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ummary" sheetId="2" state="visible" r:id="rId2"/>
    <sheet name="Sync" sheetId="3" state="visible" r:id="rId3"/>
    <sheet name="Calc" sheetId="4" state="visible" r:id="rId4"/>
    <sheet name="Ledger" sheetId="5" state="visible" r:id="rId5"/>
    <sheet name="Help" sheetId="6" state="visible" r:id="rId6"/>
  </sheets>
  <externalReferences>
    <externalReference r:id="rId9"/>
    <externalReference r:id="rId10"/>
    <externalReference r:id="rId11"/>
  </externalReferences>
  <definedNames>
    <definedName name="AcctTbl">Sync!$A$6:$F$565</definedName>
    <definedName name="AcctCodes">Sync!$A$6:$A$565</definedName>
    <definedName name="OpTbl">Sync!$I$6:$K$25</definedName>
    <definedName name="ParamTbl">Sync!$O$6:$Q$17</definedName>
    <definedName name="PkAcctAll">Sync!$AS$6:$AS$565</definedName>
    <definedName name="NAcctAll">Sync!$AR$565</definedName>
    <definedName name="CalcNormDate">Calc!$E$9:$E$2008</definedName>
    <definedName name="CalcYM">Calc!$F$9:$F$2008</definedName>
    <definedName name="CalcParty">Calc!$G$9:$G$2008</definedName>
    <definedName name="CalcOp">Calc!$H$9:$H$2008</definedName>
    <definedName name="CalcGroup">Calc!$I$9:$I$2008</definedName>
    <definedName name="CalcSub">Calc!$J$9:$J$2008</definedName>
    <definedName name="CalcCitrus">Calc!$K$9:$K$2008</definedName>
    <definedName name="CalcScale">Calc!$L$9:$L$2008</definedName>
    <definedName name="CalcBaskets">Calc!$M$9:$M$2008</definedName>
    <definedName name="CalcNet">Calc!$N$9:$N$2008</definedName>
    <definedName name="CalcAmount">Calc!$O$9:$O$2008</definedName>
    <definedName name="PCNormDate">Calc!$E$9:$E$2008</definedName>
    <definedName name="PCOp">Calc!$H$9:$H$2008</definedName>
    <definedName name="PCCitrus">Calc!$K$9:$K$2008</definedName>
    <definedName name="PCScale">Calc!$L$9:$L$2008</definedName>
    <definedName name="PCBaskets">Calc!$M$9:$M$2008</definedName>
    <definedName name="PCNet">Calc!$N$9:$N$2008</definedName>
    <definedName name="PCAmount">Calc!$O$9:$O$2008</definedName>
    <definedName name="PCDoc">Calc!$P$9:$P$2008</definedName>
    <definedName name="PCNotes">Calc!$Q$9:$Q$2008</definedName>
    <definedName name="LdgPartyA">Ledger!$A$6:$A$2005</definedName>
    <definedName name="LdgKeyA">Ledger!$B$6:$B$2005</definedName>
    <definedName name="LdgRankKeyA">Ledger!$D$6:$D$2005</definedName>
    <definedName name="LdgPartyB">Ledger!$F$6:$F$2005</definedName>
    <definedName name="LdgKeyB">Ledger!$K$6:$K$2005</definedName>
    <definedName name="LdgRankKeyB">Ledger!$M$6:$M$2005</definedName>
    <definedName name="LdgDateB">Ledger!$J$6:$J$2005</definedName>
    <definedName name="TxnDepB">Sync!$AM$6:$AM$2005</definedName>
    <definedName name="TxnWitB">Sync!$AN$6:$AN$2005</definedName>
    <definedName name="LdgBankB">Sync!$AI$6:$AI$2005</definedName>
    <definedName name="LdgNoteB">Sync!$AO$6:$AO$2005</definedName>
    <definedName name="_xlnm.Print_Titles" localSheetId="0">'Report'!$15:$16</definedName>
    <definedName name="_xlnm.Print_Area" localSheetId="0">'Report'!$A$1:$L$2016</definedName>
    <definedName name="_xlnm.Print_Titles" localSheetId="1">'Summary'!$8:$9</definedName>
    <definedName name="_xlnm.Print_Area" localSheetId="1">'Summary'!$A$1:$K$570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4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FFFFFF"/>
      <sz val="7.5"/>
    </font>
    <font>
      <name val="Tahoma"/>
      <b val="1"/>
      <color rgb="00E65100"/>
      <sz val="13"/>
    </font>
    <font>
      <name val="Tahoma"/>
      <b val="1"/>
      <color rgb="00607D8B"/>
      <sz val="9"/>
    </font>
    <font>
      <name val="Tahoma"/>
      <b val="1"/>
      <color rgb="00E65100"/>
      <sz val="12"/>
    </font>
    <font>
      <name val="Tahoma"/>
      <i val="1"/>
      <color rgb="00607D8B"/>
      <sz val="7.5"/>
    </font>
    <font>
      <name val="Tahoma"/>
      <b val="1"/>
      <color rgb="00607D8B"/>
      <sz val="8.5"/>
    </font>
    <font>
      <name val="Tahoma"/>
      <color rgb="00263238"/>
      <sz val="10"/>
    </font>
    <font>
      <name val="Tahoma"/>
      <b val="1"/>
      <color rgb="00263238"/>
      <sz val="10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607D8B"/>
      <sz val="9"/>
    </font>
    <font>
      <name val="Tahoma"/>
      <color rgb="00263238"/>
      <sz val="9"/>
    </font>
    <font>
      <name val="Tahoma"/>
      <b val="1"/>
      <color rgb="00263238"/>
      <sz val="9"/>
    </font>
    <font>
      <name val="Tahoma"/>
      <b val="1"/>
      <color rgb="001B5E20"/>
      <sz val="9"/>
    </font>
    <font>
      <name val="Tahoma"/>
      <b val="1"/>
      <color rgb="00FFFFFF"/>
      <sz val="10"/>
    </font>
    <font>
      <name val="Tahoma"/>
      <b val="1"/>
      <color rgb="001B5E20"/>
      <sz val="10"/>
    </font>
    <font>
      <name val="Tahoma"/>
      <b val="1"/>
      <color rgb="00FFFFFF"/>
      <sz val="10.5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607D8B"/>
      </patternFill>
    </fill>
    <fill>
      <patternFill patternType="solid">
        <fgColor rgb="00F1F8F2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EF3F1"/>
      </patternFill>
    </fill>
    <fill>
      <patternFill patternType="solid">
        <fgColor rgb="00F3F8F3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1" applyAlignment="1" pivotButton="0" quotePrefix="0" xfId="0">
      <alignment horizontal="right" vertical="center"/>
    </xf>
    <xf numFmtId="49" fontId="8" fillId="8" borderId="3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right" vertical="center"/>
    </xf>
    <xf numFmtId="3" fontId="12" fillId="8" borderId="3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3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1" fontId="14" fillId="9" borderId="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3" fontId="18" fillId="9" borderId="1" applyAlignment="1" pivotButton="0" quotePrefix="0" xfId="0">
      <alignment horizontal="center" vertical="center"/>
    </xf>
    <xf numFmtId="164" fontId="18" fillId="9" borderId="1" applyAlignment="1" pivotButton="0" quotePrefix="0" xfId="0">
      <alignment horizontal="center" vertical="center"/>
    </xf>
    <xf numFmtId="3" fontId="19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3" fontId="18" fillId="11" borderId="1" applyAlignment="1" pivotButton="0" quotePrefix="0" xfId="0">
      <alignment horizontal="center" vertical="center"/>
    </xf>
    <xf numFmtId="164" fontId="18" fillId="11" borderId="1" applyAlignment="1" pivotButton="0" quotePrefix="0" xfId="0">
      <alignment horizontal="center" vertical="center"/>
    </xf>
    <xf numFmtId="3" fontId="19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1" fontId="18" fillId="9" borderId="1" applyAlignment="1" pivotButton="0" quotePrefix="0" xfId="0">
      <alignment horizontal="center" vertical="center"/>
    </xf>
    <xf numFmtId="165" fontId="18" fillId="9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1" fontId="18" fillId="11" borderId="1" applyAlignment="1" pivotButton="0" quotePrefix="0" xfId="0">
      <alignment horizontal="center" vertical="center"/>
    </xf>
    <xf numFmtId="165" fontId="18" fillId="11" borderId="1" applyAlignment="1" pivotButton="0" quotePrefix="0" xfId="0">
      <alignment horizontal="center" vertical="center"/>
    </xf>
    <xf numFmtId="0" fontId="21" fillId="3" borderId="2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center" vertical="center"/>
    </xf>
    <xf numFmtId="164" fontId="22" fillId="7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right" vertical="center"/>
    </xf>
    <xf numFmtId="0" fontId="18" fillId="9" borderId="1" applyAlignment="1" pivotButton="0" quotePrefix="0" xfId="0">
      <alignment horizontal="right" vertical="center" wrapText="1"/>
    </xf>
    <xf numFmtId="0" fontId="18" fillId="11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7"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  <dxf>
      <font>
        <name val="Tahoma"/>
        <b val="1"/>
        <color rgb="00C62828"/>
        <sz val="9"/>
      </font>
      <fill>
        <patternFill patternType="solid">
          <fgColor rgb="00FFCDD2"/>
        </patternFill>
      </fill>
    </dxf>
    <dxf>
      <font>
        <name val="Tahoma"/>
        <b val="1"/>
        <color rgb="002E7D32"/>
        <sz val="9"/>
      </font>
      <fill>
        <patternFill patternType="solid">
          <fgColor rgb="00C8E6C9"/>
        </patternFill>
      </fill>
    </dxf>
    <dxf>
      <font>
        <name val="Tahoma"/>
        <b val="1"/>
        <color rgb="00E65100"/>
        <sz val="9"/>
      </font>
    </dxf>
    <dxf>
      <font>
        <name val="Tahoma"/>
        <b val="1"/>
        <color rgb="002E7D32"/>
        <sz val="9"/>
      </font>
    </dxf>
    <dxf>
      <font>
        <name val="Tahoma"/>
        <b val="1"/>
        <color rgb="00C62828"/>
        <sz val="9"/>
      </font>
    </dxf>
    <dxf>
      <font>
        <name val="Tahoma"/>
        <b val="1"/>
        <color rgb="002E7D32"/>
        <sz val="9"/>
      </font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9" Type="http://schemas.openxmlformats.org/officeDocument/2006/relationships/externalLink" Target="externalLinks/externalLink1.xml"/><Relationship Id="rId10" Type="http://schemas.openxmlformats.org/officeDocument/2006/relationships/externalLink" Target="externalLinks/externalLink2.xml"/><Relationship Id="rId11" Type="http://schemas.openxmlformats.org/officeDocument/2006/relationships/externalLink" Target="externalLinks/externalLink3.xml"/></Relationships>
</file>

<file path=xl/comments/comment1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t>کد تأمین‌کننده (S…) را وارد کنید — توزین‌های خرید + پرداخت‌ها (تراکنش و چک) + مانده.
برای تأمین‌کننده دیگر: کپی شیت + تغییر همین کد.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Baskol.xlsx" TargetMode="External"/></Relationships>
</file>

<file path=xl/externalLinks/_rels/externalLink3.xml.rels><?xml version="1.0" encoding="UTF-8" standalone="yes"?>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Baskol"/>
      <sheetName val="Sync"/>
      <sheetName val="Help"/>
    </sheetNames>
    <sheetDataSet>
      <sheetData sheetId="0">
        <row r="9">
          <cell r="B9" t="str">
            <v>1405/07/01</v>
          </cell>
          <cell r="C9" t="str">
            <v>07:45</v>
          </cell>
          <cell r="D9" t="str">
            <v>BS-001</v>
          </cell>
          <cell r="E9" t="str">
            <v>خرید مرکبات</v>
          </cell>
          <cell r="G9" t="str">
            <v>S001</v>
          </cell>
          <cell r="J9" t="str">
            <v>پرتقال</v>
          </cell>
          <cell r="K9">
            <v>12000</v>
          </cell>
          <cell r="L9">
            <v>800</v>
          </cell>
          <cell r="O9" t="str">
            <v>ورودی اول باغ آقای رستمی (نمونه)</v>
          </cell>
        </row>
        <row r="10">
          <cell r="B10" t="str">
            <v>1405/07/02</v>
          </cell>
          <cell r="C10" t="str">
            <v>09:10</v>
          </cell>
          <cell r="D10" t="str">
            <v>BS-002</v>
          </cell>
          <cell r="E10" t="str">
            <v>خرید مرکبات</v>
          </cell>
          <cell r="G10" t="str">
            <v>S002</v>
          </cell>
          <cell r="J10" t="str">
            <v>نارنگی</v>
          </cell>
          <cell r="K10">
            <v>9500</v>
          </cell>
          <cell r="L10">
            <v>620</v>
          </cell>
        </row>
        <row r="11">
          <cell r="B11" t="str">
            <v>1405/07/02</v>
          </cell>
          <cell r="C11" t="str">
            <v>11:30</v>
          </cell>
          <cell r="D11" t="str">
            <v>BS-003</v>
          </cell>
          <cell r="E11" t="str">
            <v>خرید مرکبات</v>
          </cell>
          <cell r="G11" t="str">
            <v>S001</v>
          </cell>
          <cell r="J11" t="str">
            <v>پرتقال</v>
          </cell>
          <cell r="K11">
            <v>8500</v>
          </cell>
          <cell r="L11">
            <v>560</v>
          </cell>
          <cell r="O11" t="str">
            <v>بار دوم (نمونه)</v>
          </cell>
        </row>
        <row r="12">
          <cell r="B12" t="str">
            <v>1405/07/03</v>
          </cell>
          <cell r="C12" t="str">
            <v>08:20</v>
          </cell>
          <cell r="D12" t="str">
            <v>BS-004</v>
          </cell>
          <cell r="E12" t="str">
            <v>خرید مرکبات</v>
          </cell>
          <cell r="G12" t="str">
            <v>S003</v>
          </cell>
          <cell r="J12" t="str">
            <v>لیمو</v>
          </cell>
          <cell r="K12">
            <v>3000</v>
          </cell>
          <cell r="L12">
            <v>200</v>
          </cell>
        </row>
        <row r="13">
          <cell r="B13" t="str">
            <v>1405/07/05</v>
          </cell>
          <cell r="C13" t="str">
            <v>10:00</v>
          </cell>
          <cell r="D13" t="str">
            <v>1001</v>
          </cell>
          <cell r="E13" t="str">
            <v>فروش</v>
          </cell>
          <cell r="G13" t="str">
            <v>SL001</v>
          </cell>
          <cell r="J13" t="str">
            <v>پرتقال</v>
          </cell>
          <cell r="K13">
            <v>13742.5</v>
          </cell>
          <cell r="L13">
            <v>1195</v>
          </cell>
          <cell r="N13">
            <v>950000000</v>
          </cell>
          <cell r="O13" t="str">
            <v>فاکتور 1001 (نمونه)</v>
          </cell>
        </row>
        <row r="14">
          <cell r="B14" t="str">
            <v>1405/07/06</v>
          </cell>
          <cell r="C14" t="str">
            <v>11:20</v>
          </cell>
          <cell r="D14" t="str">
            <v>1002</v>
          </cell>
          <cell r="E14" t="str">
            <v>فروش</v>
          </cell>
          <cell r="G14" t="str">
            <v>SL002</v>
          </cell>
          <cell r="J14" t="str">
            <v>نارنگی</v>
          </cell>
          <cell r="K14">
            <v>22425</v>
          </cell>
          <cell r="L14">
            <v>1950</v>
          </cell>
          <cell r="N14">
            <v>1600000000</v>
          </cell>
          <cell r="O14" t="str">
            <v>فاکتور 1002 (نمونه)</v>
          </cell>
        </row>
        <row r="15">
          <cell r="B15" t="str">
            <v>1405/07/08</v>
          </cell>
          <cell r="C15" t="str">
            <v>09:40</v>
          </cell>
          <cell r="D15" t="str">
            <v>1003</v>
          </cell>
          <cell r="E15" t="str">
            <v>فروش</v>
          </cell>
          <cell r="G15" t="str">
            <v>SL003</v>
          </cell>
          <cell r="J15" t="str">
            <v>پرتقال</v>
          </cell>
          <cell r="K15">
            <v>9200</v>
          </cell>
          <cell r="L15">
            <v>800</v>
          </cell>
          <cell r="N15">
            <v>640000000</v>
          </cell>
          <cell r="O15" t="str">
            <v>فاکتور 1003 (نمونه)</v>
          </cell>
        </row>
        <row r="16">
          <cell r="B16" t="str">
            <v>1405/07/10</v>
          </cell>
          <cell r="C16" t="str">
            <v>08:50</v>
          </cell>
          <cell r="D16" t="str">
            <v>1004</v>
          </cell>
          <cell r="E16" t="str">
            <v>فروش</v>
          </cell>
          <cell r="G16" t="str">
            <v>SL004</v>
          </cell>
          <cell r="J16" t="str">
            <v>پرتقال</v>
          </cell>
          <cell r="K16">
            <v>5738.5</v>
          </cell>
          <cell r="L16">
            <v>499</v>
          </cell>
          <cell r="N16">
            <v>400000000</v>
          </cell>
          <cell r="O16" t="str">
            <v>فاکتور 1004 (نمونه)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>
  <externalBook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J9" t="str">
            <v>واریز</v>
          </cell>
          <cell r="K9" t="str">
            <v>فروش</v>
          </cell>
          <cell r="M9">
            <v>250000000</v>
          </cell>
          <cell r="O9">
            <v>750000000</v>
          </cell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J10" t="str">
            <v>برداشت</v>
          </cell>
          <cell r="K10" t="str">
            <v>هزینه</v>
          </cell>
          <cell r="L10" t="str">
            <v>کارمزد بانکی</v>
          </cell>
          <cell r="N10">
            <v>1200000</v>
          </cell>
          <cell r="O10">
            <v>748800000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J11" t="str">
            <v>برداشت</v>
          </cell>
          <cell r="K11" t="str">
            <v>خرید</v>
          </cell>
          <cell r="N11">
            <v>80000000</v>
          </cell>
          <cell r="O11">
            <v>668800000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J12" t="str">
            <v>واریز</v>
          </cell>
          <cell r="K12" t="str">
            <v>فروش</v>
          </cell>
          <cell r="M12">
            <v>90000000</v>
          </cell>
          <cell r="O12">
            <v>215000000</v>
          </cell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J13" t="str">
            <v>برداشت</v>
          </cell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J14" t="str">
            <v>واریز</v>
          </cell>
          <cell r="K14" t="str">
            <v>فروش</v>
          </cell>
          <cell r="M14">
            <v>250000000</v>
          </cell>
          <cell r="O14">
            <v>750000000</v>
          </cell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J15" t="str">
            <v>واریز</v>
          </cell>
          <cell r="K15" t="str">
            <v>فروش</v>
          </cell>
          <cell r="M15">
            <v>300000000</v>
          </cell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J16" t="str">
            <v>واریز</v>
          </cell>
          <cell r="K16" t="str">
            <v>فروش</v>
          </cell>
          <cell r="M16">
            <v>1600000000</v>
          </cell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J17" t="str">
            <v>برداشت</v>
          </cell>
          <cell r="K17" t="str">
            <v>هزینه</v>
          </cell>
          <cell r="L17" t="str">
            <v>دستمزد کارکنان</v>
          </cell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J18" t="str">
            <v>برداشت</v>
          </cell>
          <cell r="K18" t="str">
            <v>هزینه</v>
          </cell>
          <cell r="L18" t="str">
            <v>رنگ و واکس</v>
          </cell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J19" t="str">
            <v>برداشت</v>
          </cell>
          <cell r="K19" t="str">
            <v>هزینه</v>
          </cell>
          <cell r="L19" t="str">
            <v>مواد غذایی</v>
          </cell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J20" t="str">
            <v>برداشت</v>
          </cell>
          <cell r="K20" t="str">
            <v>شخصی قاسم</v>
          </cell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J21" t="str">
            <v>برداشت</v>
          </cell>
          <cell r="K21" t="str">
            <v>خرید</v>
          </cell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J22" t="str">
            <v>پاس چک</v>
          </cell>
          <cell r="N22">
            <v>80000000</v>
          </cell>
          <cell r="R22" t="str">
            <v>پاس شدن چک ۲۴۰۱۲۳۴۵ — تسویه خرید باغ (نمونه)</v>
          </cell>
          <cell r="S22" t="str">
            <v>24012345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J23" t="str">
            <v>واریز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J24" t="str">
            <v>واریز</v>
          </cell>
          <cell r="K24" t="str">
            <v>وام و تسهیلات</v>
          </cell>
          <cell r="M24">
            <v>200000000</v>
          </cell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J25" t="str">
            <v>برداشت</v>
          </cell>
          <cell r="K25" t="str">
            <v>وام و تسهیلات</v>
          </cell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J26" t="str">
            <v>برداشت</v>
          </cell>
          <cell r="K26" t="str">
            <v>هزینه</v>
          </cell>
          <cell r="L26" t="str">
            <v>بهره و کارمزد وام</v>
          </cell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J27" t="str">
            <v>برداشت</v>
          </cell>
          <cell r="K27" t="str">
            <v>دارایی ثابت</v>
          </cell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J28" t="str">
            <v>برداشت</v>
          </cell>
          <cell r="K28" t="str">
            <v>خرید</v>
          </cell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J29" t="str">
            <v>واریز</v>
          </cell>
          <cell r="K29" t="str">
            <v>فروش</v>
          </cell>
          <cell r="M29">
            <v>5000000</v>
          </cell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J30" t="str">
            <v>برداشت</v>
          </cell>
          <cell r="K30" t="str">
            <v>هزینه</v>
          </cell>
          <cell r="N30">
            <v>3000000</v>
          </cell>
          <cell r="R30" t="str">
            <v>هزینه بدون زیرگروه — برای نمایش در شیت کنترل (نمونه)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O2016"/>
  <sheetViews>
    <sheetView showGridLines="0" rightToLeft="1" zoomScale="9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13" customWidth="1" min="3" max="3"/>
    <col width="10" customWidth="1" min="4" max="4"/>
    <col width="12" customWidth="1" min="5" max="5"/>
    <col width="12" customWidth="1" min="6" max="6"/>
    <col width="9" customWidth="1" min="7" max="7"/>
    <col width="12" customWidth="1" min="8" max="8"/>
    <col width="15" customWidth="1" min="9" max="9"/>
    <col width="15" customWidth="1" min="10" max="10"/>
    <col width="16" customWidth="1" min="11" max="11"/>
    <col width="26" customWidth="1" min="12" max="12"/>
    <col width="6" customWidth="1" min="14" max="14"/>
    <col width="6" customWidth="1" min="15" max="15"/>
  </cols>
  <sheetData>
    <row r="1" ht="26" customHeight="1">
      <c r="A1" s="1">
        <f>IF(Sync!$N$6="","مازندشت",Sync!$N$6)&amp;" — "&amp;IF(Sync!$N$9="","سورتینگ و بسته‌بندی مرکبات",Sync!$N$9)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4" customHeight="1">
      <c r="A2" s="2">
        <f>IF(Sync!$N$7="","باغدشت، بخش مرکزی، شهرستان قائم‌شهر، استان مازندران، ایران",Sync!$N$7)&amp;"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3">
        <f>"گزارش خرید — "&amp;IFERROR(IF(VLOOKUP($C$5,AcctTbl,4,0)="","(بدون عنوان)",VLOOKUP($C$5,AcctTbl,4,0)),"کد را وارد کنید")</f>
        <v/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A5" s="4" t="inlineStr">
        <is>
          <t>کد حساب (ورود دستی):</t>
        </is>
      </c>
      <c r="B5" s="4" t="n"/>
      <c r="C5" s="5" t="inlineStr">
        <is>
          <t>S001</t>
        </is>
      </c>
      <c r="D5" s="5" t="n"/>
      <c r="E5" s="6" t="inlineStr">
        <is>
          <t>کد را از فایل INFO (شیت Accounts) وارد کنید — همه‌چیز این شیت خودکار به‌روز می‌شود. برای حساب دیگر، همین شیت را کپی و کد را عوض کنید.</t>
        </is>
      </c>
      <c r="F5" s="6" t="n"/>
      <c r="G5" s="6" t="n"/>
      <c r="H5" s="6" t="n"/>
      <c r="I5" s="6" t="n"/>
      <c r="J5" s="6" t="n"/>
      <c r="K5" s="6" t="n"/>
      <c r="L5" s="6" t="n"/>
    </row>
    <row r="6" ht="17" customHeight="1">
      <c r="A6" s="7" t="inlineStr">
        <is>
          <t>نام صاحب حساب:</t>
        </is>
      </c>
      <c r="B6" s="7" t="n"/>
      <c r="C6" s="8">
        <f>IFERROR(IF(VLOOKUP($C$5,AcctTbl,4,0)="","(بدون عنوان)",VLOOKUP($C$5,AcctTbl,4,0)),"—")</f>
        <v/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17" customHeight="1">
      <c r="A7" s="7" t="inlineStr">
        <is>
          <t>نوع حساب:</t>
        </is>
      </c>
      <c r="B7" s="7" t="n"/>
      <c r="C7" s="8">
        <f>IFERROR(IF(VLOOKUP($C$5,AcctTbl,3,0)="",IF(VLOOKUP($C$5,AcctTbl,2,0)="","—",VLOOKUP($C$5,AcctTbl,2,0)),VLOOKUP($C$5,AcctTbl,3,0)),"—")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17" customHeight="1">
      <c r="A8" s="7" t="inlineStr">
        <is>
          <t>گروه حسابداری:</t>
        </is>
      </c>
      <c r="B8" s="7" t="n"/>
      <c r="C8" s="8">
        <f>IFERROR(IF(VLOOKUP($C$5,AcctTbl,5,0)="","—",VLOOKUP($C$5,AcctTbl,5,0)),"—")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17" customHeight="1">
      <c r="A9" s="7" t="inlineStr">
        <is>
          <t>گروه حسابرسی:</t>
        </is>
      </c>
      <c r="B9" s="7" t="n"/>
      <c r="C9" s="8">
        <f>IFERROR(IF(VLOOKUP($C$5,AcctTbl,6,0)="","—",VLOOKUP($C$5,AcctTbl,6,0)),"—")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7" t="inlineStr">
        <is>
          <t>مانده اولیه بدهی (دستی):</t>
        </is>
      </c>
      <c r="B10" s="7" t="n"/>
      <c r="C10" s="9" t="n">
        <v>0</v>
      </c>
      <c r="D10" s="9" t="n"/>
      <c r="E10" s="6" t="inlineStr">
        <is>
          <t>اگر از قبل بدهی دارید (مثبت = بدهکار ما) اینجا بنویسید — در مانده‌ها اثر می‌گذارد.</t>
        </is>
      </c>
      <c r="F10" s="6" t="n"/>
      <c r="G10" s="6" t="n"/>
      <c r="H10" s="6" t="n"/>
      <c r="I10" s="6" t="n"/>
      <c r="J10" s="6" t="n"/>
      <c r="K10" s="6" t="n"/>
      <c r="L10" s="6" t="n"/>
    </row>
    <row r="11" ht="13" customHeight="1">
      <c r="A11" s="10" t="inlineStr">
        <is>
          <t>جمع وزن خالص خرید (kg)</t>
        </is>
      </c>
      <c r="B11" s="10" t="n"/>
      <c r="C11" s="10" t="inlineStr">
        <is>
          <t>جمع وزن باسکول (kg)</t>
        </is>
      </c>
      <c r="D11" s="10" t="n"/>
      <c r="E11" s="10" t="inlineStr">
        <is>
          <t>جمع مبلغ خرید (ریال)</t>
        </is>
      </c>
      <c r="F11" s="10" t="n"/>
      <c r="G11" s="10" t="inlineStr">
        <is>
          <t>مانده نهایی بدهی</t>
        </is>
      </c>
      <c r="H11" s="10" t="n"/>
      <c r="I11" s="10" t="n"/>
      <c r="J11" s="10" t="inlineStr">
        <is>
          <t>وضعیت</t>
        </is>
      </c>
      <c r="K11" s="10" t="n"/>
      <c r="L11" s="10" t="n"/>
    </row>
    <row r="12" ht="22" customHeight="1">
      <c r="A12" s="11">
        <f>SUM($H$17:$H$2016)</f>
        <v/>
      </c>
      <c r="B12" s="11" t="n"/>
      <c r="C12" s="12">
        <f>SUM($F$17:$F$2016)</f>
        <v/>
      </c>
      <c r="D12" s="12" t="n"/>
      <c r="E12" s="12">
        <f>SUM($I$17:$I$2016)</f>
        <v/>
      </c>
      <c r="F12" s="12" t="n"/>
      <c r="G12" s="12">
        <f>IFERROR(LOOKUP(9.99E+307,$K$17:$K$2016),$C$10)</f>
        <v/>
      </c>
      <c r="H12" s="12" t="n"/>
      <c r="I12" s="12" t="n"/>
      <c r="J12" s="13">
        <f>IF($G$12&gt;0,"● بدهکار — به او بدهکاریم",IF($G$12&lt;0,"● بستانکار — به ما بدهکار است","= تسویه شده"))</f>
        <v/>
      </c>
      <c r="K12" s="13" t="n"/>
      <c r="L12" s="13" t="n"/>
    </row>
    <row r="13" ht="13" customHeight="1">
      <c r="A13" s="10" t="inlineStr">
        <is>
          <t>تعداد توزین خرید</t>
        </is>
      </c>
      <c r="B13" s="10" t="n"/>
      <c r="C13" s="10" t="inlineStr">
        <is>
          <t>تعداد پرداخت/دریافت</t>
        </is>
      </c>
      <c r="D13" s="10" t="n"/>
      <c r="E13" s="10" t="inlineStr">
        <is>
          <t>جمع پرداخت‌ها (ریال)</t>
        </is>
      </c>
      <c r="F13" s="10" t="n"/>
      <c r="G13" s="10" t="inlineStr">
        <is>
          <t>جمع تعداد سبد</t>
        </is>
      </c>
      <c r="H13" s="10" t="n"/>
      <c r="I13" s="10" t="n"/>
      <c r="J13" s="10" t="inlineStr">
        <is>
          <t>آخرین تراکنش</t>
        </is>
      </c>
      <c r="K13" s="10" t="n"/>
      <c r="L13" s="10" t="n"/>
    </row>
    <row r="14" ht="22" customHeight="1">
      <c r="A14" s="14">
        <f>COUNTIF($C$17:$C$2016,"خرید مرکبات")+COUNTIF($C$17:$C$2016,"مرجوعی خرید")</f>
        <v/>
      </c>
      <c r="B14" s="14" t="n"/>
      <c r="C14" s="14">
        <f>COUNTIF($C$17:$C$2016,"پرداخت بانکی")+COUNTIF($C$17:$C$2016,"دریافت بانکی")</f>
        <v/>
      </c>
      <c r="D14" s="14" t="n"/>
      <c r="E14" s="12">
        <f>SUM($J$17:$J$2016)</f>
        <v/>
      </c>
      <c r="F14" s="12" t="n"/>
      <c r="G14" s="12">
        <f>SUM($G$17:$G$2016)</f>
        <v/>
      </c>
      <c r="H14" s="12" t="n"/>
      <c r="I14" s="12" t="n"/>
      <c r="J14" s="13">
        <f>IF(COUNT($K$17:$K$2016)=0,"—",INDEX($B$17:$B$2016,COUNT($K$17:$K$2016)))</f>
        <v/>
      </c>
      <c r="K14" s="13" t="n"/>
      <c r="L14" s="13" t="n"/>
    </row>
    <row r="15" ht="30" customHeight="1">
      <c r="A15" s="15" t="inlineStr">
        <is>
          <t>ردیف</t>
        </is>
      </c>
      <c r="B15" s="15" t="inlineStr">
        <is>
          <t>تاریخ</t>
        </is>
      </c>
      <c r="C15" s="15" t="inlineStr">
        <is>
          <t>نوع عملیات</t>
        </is>
      </c>
      <c r="D15" s="15" t="inlineStr">
        <is>
          <t>سند</t>
        </is>
      </c>
      <c r="E15" s="15" t="inlineStr">
        <is>
          <t>نوع مرکبات</t>
        </is>
      </c>
      <c r="F15" s="15" t="inlineStr">
        <is>
          <t>باسکول (kg)</t>
        </is>
      </c>
      <c r="G15" s="15" t="inlineStr">
        <is>
          <t>سبد</t>
        </is>
      </c>
      <c r="H15" s="15" t="inlineStr">
        <is>
          <t>خالص (kg)</t>
        </is>
      </c>
      <c r="I15" s="15" t="inlineStr">
        <is>
          <t>بدهکار (ریال)</t>
        </is>
      </c>
      <c r="J15" s="15" t="inlineStr">
        <is>
          <t>بستانکار (ریال)</t>
        </is>
      </c>
      <c r="K15" s="15" t="inlineStr">
        <is>
          <t>مانده (ریال)</t>
        </is>
      </c>
      <c r="L15" s="15" t="inlineStr">
        <is>
          <t>توضیحات</t>
        </is>
      </c>
    </row>
    <row r="16" ht="13" customHeight="1">
      <c r="A16" s="16" t="inlineStr">
        <is>
          <t>No.</t>
        </is>
      </c>
      <c r="B16" s="16" t="inlineStr">
        <is>
          <t>Date</t>
        </is>
      </c>
      <c r="C16" s="16" t="inlineStr">
        <is>
          <t>Type</t>
        </is>
      </c>
      <c r="D16" s="16" t="inlineStr">
        <is>
          <t>Doc</t>
        </is>
      </c>
      <c r="E16" s="16" t="inlineStr">
        <is>
          <t>Citrus</t>
        </is>
      </c>
      <c r="F16" s="16" t="inlineStr">
        <is>
          <t>Scale</t>
        </is>
      </c>
      <c r="G16" s="16" t="inlineStr">
        <is>
          <t>Baskets</t>
        </is>
      </c>
      <c r="H16" s="16" t="inlineStr">
        <is>
          <t>Net</t>
        </is>
      </c>
      <c r="I16" s="16" t="inlineStr">
        <is>
          <t>Debit</t>
        </is>
      </c>
      <c r="J16" s="16" t="inlineStr">
        <is>
          <t>Credit</t>
        </is>
      </c>
      <c r="K16" s="16" t="inlineStr">
        <is>
          <t>Balance</t>
        </is>
      </c>
      <c r="L16" s="16" t="inlineStr">
        <is>
          <t>Notes</t>
        </is>
      </c>
    </row>
    <row r="17">
      <c r="A17" s="17" t="n">
        <v>1</v>
      </c>
      <c r="B17" s="18">
        <f>IF(AND($N17="",$O17=""),"",IF($N17&lt;&gt;"",INDEX(PCNormDate,$N17),INDEX(LdgDateB,$O17)))</f>
        <v/>
      </c>
      <c r="C17" s="18">
        <f>IF($N17&lt;&gt;"",INDEX(PCOp,$N17),IF($O17&lt;&gt;"",IF(N(INDEX(TxnDepB,$O17))&gt;0,"دریافت بانکی","پرداخت بانکی"),""))</f>
        <v/>
      </c>
      <c r="D17" s="18">
        <f>IF($N17&lt;&gt;"",IF(INDEX(PCDoc,$N17)="","—",INDEX(PCDoc,$N17)),IF($O17&lt;&gt;"",INDEX(LdgBankB,$O17),""))</f>
        <v/>
      </c>
      <c r="E17" s="18">
        <f>IF($N17&lt;&gt;"",IF(INDEX(PCCitrus,$N17)="","—",INDEX(PCCitrus,$N17)),"")</f>
        <v/>
      </c>
      <c r="F17" s="19">
        <f>IF($N17&lt;&gt;"",IF(INDEX(PCScale,$N17)=0,"",INDEX(PCScale,$N17)),"")</f>
        <v/>
      </c>
      <c r="G17" s="19">
        <f>IF($N17&lt;&gt;"",IF(INDEX(PCBaskets,$N17)=0,"",INDEX(PCBaskets,$N17)),"")</f>
        <v/>
      </c>
      <c r="H17" s="20">
        <f>IF($N17&lt;&gt;"",IF(INDEX(PCNet,$N17)=0,"",INDEX(PCNet,$N17)),"")</f>
        <v/>
      </c>
      <c r="I17" s="19">
        <f>IF($N17&lt;&gt;"",IF(INDEX(PCOp,$N17)="مرجوعی خرید","",IF(INDEX(PCAmount,$N17)&lt;=0,"",INDEX(PCAmount,$N17))),IF($O17&lt;&gt;"",IF(INDEX(TxnDepB,$O17)=0,"",INDEX(TxnDepB,$O17)),""))</f>
        <v/>
      </c>
      <c r="J17" s="19">
        <f>IF($N17&lt;&gt;"",IF(INDEX(PCOp,$N17)="مرجوعی خرید",IF(INDEX(PCAmount,$N17)=0,"",-INDEX(PCAmount,$N17)),""),IF($O17&lt;&gt;"",IF(INDEX(TxnWitB,$O17)=0,"",INDEX(TxnWitB,$O17)),""))</f>
        <v/>
      </c>
      <c r="K17" s="21">
        <f>IF($B17="","",$C$10+IF($I17="",0,$I17)-IF($J17="",0,$J17))</f>
        <v/>
      </c>
      <c r="L17" s="22">
        <f>IF($N17&lt;&gt;"",IF(INDEX(PCNotes,$N17)="","—",INDEX(PCNotes,$N17)),IF($O17&lt;&gt;"",IF(INDEX(LdgNoteB,$O17)="","—",INDEX(LdgNoteB,$O17)),""))</f>
        <v/>
      </c>
      <c r="N17">
        <f>IFERROR(MATCH($C$5&amp;"|"&amp;RIGHT("000000"&amp;1,6),LdgRankKeyA,0),"")</f>
        <v/>
      </c>
      <c r="O17">
        <f>IFERROR(MATCH($C$5&amp;"|"&amp;RIGHT("000000"&amp;1,6),LdgRankKeyB,0),"")</f>
        <v/>
      </c>
    </row>
    <row r="18">
      <c r="A18" s="23" t="n">
        <v>2</v>
      </c>
      <c r="B18" s="24">
        <f>IF(AND($N18="",$O18=""),"",IF($N18&lt;&gt;"",INDEX(PCNormDate,$N18),INDEX(LdgDateB,$O18)))</f>
        <v/>
      </c>
      <c r="C18" s="24">
        <f>IF($N18&lt;&gt;"",INDEX(PCOp,$N18),IF($O18&lt;&gt;"",IF(N(INDEX(TxnDepB,$O18))&gt;0,"دریافت بانکی","پرداخت بانکی"),""))</f>
        <v/>
      </c>
      <c r="D18" s="24">
        <f>IF($N18&lt;&gt;"",IF(INDEX(PCDoc,$N18)="","—",INDEX(PCDoc,$N18)),IF($O18&lt;&gt;"",INDEX(LdgBankB,$O18),""))</f>
        <v/>
      </c>
      <c r="E18" s="24">
        <f>IF($N18&lt;&gt;"",IF(INDEX(PCCitrus,$N18)="","—",INDEX(PCCitrus,$N18)),"")</f>
        <v/>
      </c>
      <c r="F18" s="25">
        <f>IF($N18&lt;&gt;"",IF(INDEX(PCScale,$N18)=0,"",INDEX(PCScale,$N18)),"")</f>
        <v/>
      </c>
      <c r="G18" s="25">
        <f>IF($N18&lt;&gt;"",IF(INDEX(PCBaskets,$N18)=0,"",INDEX(PCBaskets,$N18)),"")</f>
        <v/>
      </c>
      <c r="H18" s="26">
        <f>IF($N18&lt;&gt;"",IF(INDEX(PCNet,$N18)=0,"",INDEX(PCNet,$N18)),"")</f>
        <v/>
      </c>
      <c r="I18" s="25">
        <f>IF($N18&lt;&gt;"",IF(INDEX(PCOp,$N18)="مرجوعی خرید","",IF(INDEX(PCAmount,$N18)&lt;=0,"",INDEX(PCAmount,$N18))),IF($O18&lt;&gt;"",IF(INDEX(TxnDepB,$O18)=0,"",INDEX(TxnDepB,$O18)),""))</f>
        <v/>
      </c>
      <c r="J18" s="25">
        <f>IF($N18&lt;&gt;"",IF(INDEX(PCOp,$N18)="مرجوعی خرید",IF(INDEX(PCAmount,$N18)=0,"",-INDEX(PCAmount,$N18)),""),IF($O18&lt;&gt;"",IF(INDEX(TxnWitB,$O18)=0,"",INDEX(TxnWitB,$O18)),""))</f>
        <v/>
      </c>
      <c r="K18" s="27">
        <f>IF($B18="","",IF($K17="",$C$10,$K17)+IF($I18="",0,$I18)-IF($J18="",0,$J18))</f>
        <v/>
      </c>
      <c r="L18" s="28">
        <f>IF($N18&lt;&gt;"",IF(INDEX(PCNotes,$N18)="","—",INDEX(PCNotes,$N18)),IF($O18&lt;&gt;"",IF(INDEX(LdgNoteB,$O18)="","—",INDEX(LdgNoteB,$O18)),""))</f>
        <v/>
      </c>
      <c r="N18">
        <f>IFERROR(MATCH($C$5&amp;"|"&amp;RIGHT("000000"&amp;2,6),LdgRankKeyA,0),"")</f>
        <v/>
      </c>
      <c r="O18">
        <f>IFERROR(MATCH($C$5&amp;"|"&amp;RIGHT("000000"&amp;2,6),LdgRankKeyB,0),"")</f>
        <v/>
      </c>
    </row>
    <row r="19">
      <c r="A19" s="17" t="n">
        <v>3</v>
      </c>
      <c r="B19" s="18">
        <f>IF(AND($N19="",$O19=""),"",IF($N19&lt;&gt;"",INDEX(PCNormDate,$N19),INDEX(LdgDateB,$O19)))</f>
        <v/>
      </c>
      <c r="C19" s="18">
        <f>IF($N19&lt;&gt;"",INDEX(PCOp,$N19),IF($O19&lt;&gt;"",IF(N(INDEX(TxnDepB,$O19))&gt;0,"دریافت بانکی","پرداخت بانکی"),""))</f>
        <v/>
      </c>
      <c r="D19" s="18">
        <f>IF($N19&lt;&gt;"",IF(INDEX(PCDoc,$N19)="","—",INDEX(PCDoc,$N19)),IF($O19&lt;&gt;"",INDEX(LdgBankB,$O19),""))</f>
        <v/>
      </c>
      <c r="E19" s="18">
        <f>IF($N19&lt;&gt;"",IF(INDEX(PCCitrus,$N19)="","—",INDEX(PCCitrus,$N19)),"")</f>
        <v/>
      </c>
      <c r="F19" s="19">
        <f>IF($N19&lt;&gt;"",IF(INDEX(PCScale,$N19)=0,"",INDEX(PCScale,$N19)),"")</f>
        <v/>
      </c>
      <c r="G19" s="19">
        <f>IF($N19&lt;&gt;"",IF(INDEX(PCBaskets,$N19)=0,"",INDEX(PCBaskets,$N19)),"")</f>
        <v/>
      </c>
      <c r="H19" s="20">
        <f>IF($N19&lt;&gt;"",IF(INDEX(PCNet,$N19)=0,"",INDEX(PCNet,$N19)),"")</f>
        <v/>
      </c>
      <c r="I19" s="19">
        <f>IF($N19&lt;&gt;"",IF(INDEX(PCOp,$N19)="مرجوعی خرید","",IF(INDEX(PCAmount,$N19)&lt;=0,"",INDEX(PCAmount,$N19))),IF($O19&lt;&gt;"",IF(INDEX(TxnDepB,$O19)=0,"",INDEX(TxnDepB,$O19)),""))</f>
        <v/>
      </c>
      <c r="J19" s="19">
        <f>IF($N19&lt;&gt;"",IF(INDEX(PCOp,$N19)="مرجوعی خرید",IF(INDEX(PCAmount,$N19)=0,"",-INDEX(PCAmount,$N19)),""),IF($O19&lt;&gt;"",IF(INDEX(TxnWitB,$O19)=0,"",INDEX(TxnWitB,$O19)),""))</f>
        <v/>
      </c>
      <c r="K19" s="21">
        <f>IF($B19="","",IF($K18="",$C$10,$K18)+IF($I19="",0,$I19)-IF($J19="",0,$J19))</f>
        <v/>
      </c>
      <c r="L19" s="22">
        <f>IF($N19&lt;&gt;"",IF(INDEX(PCNotes,$N19)="","—",INDEX(PCNotes,$N19)),IF($O19&lt;&gt;"",IF(INDEX(LdgNoteB,$O19)="","—",INDEX(LdgNoteB,$O19)),""))</f>
        <v/>
      </c>
      <c r="N19">
        <f>IFERROR(MATCH($C$5&amp;"|"&amp;RIGHT("000000"&amp;3,6),LdgRankKeyA,0),"")</f>
        <v/>
      </c>
      <c r="O19">
        <f>IFERROR(MATCH($C$5&amp;"|"&amp;RIGHT("000000"&amp;3,6),LdgRankKeyB,0),"")</f>
        <v/>
      </c>
    </row>
    <row r="20">
      <c r="A20" s="23" t="n">
        <v>4</v>
      </c>
      <c r="B20" s="24">
        <f>IF(AND($N20="",$O20=""),"",IF($N20&lt;&gt;"",INDEX(PCNormDate,$N20),INDEX(LdgDateB,$O20)))</f>
        <v/>
      </c>
      <c r="C20" s="24">
        <f>IF($N20&lt;&gt;"",INDEX(PCOp,$N20),IF($O20&lt;&gt;"",IF(N(INDEX(TxnDepB,$O20))&gt;0,"دریافت بانکی","پرداخت بانکی"),""))</f>
        <v/>
      </c>
      <c r="D20" s="24">
        <f>IF($N20&lt;&gt;"",IF(INDEX(PCDoc,$N20)="","—",INDEX(PCDoc,$N20)),IF($O20&lt;&gt;"",INDEX(LdgBankB,$O20),""))</f>
        <v/>
      </c>
      <c r="E20" s="24">
        <f>IF($N20&lt;&gt;"",IF(INDEX(PCCitrus,$N20)="","—",INDEX(PCCitrus,$N20)),"")</f>
        <v/>
      </c>
      <c r="F20" s="25">
        <f>IF($N20&lt;&gt;"",IF(INDEX(PCScale,$N20)=0,"",INDEX(PCScale,$N20)),"")</f>
        <v/>
      </c>
      <c r="G20" s="25">
        <f>IF($N20&lt;&gt;"",IF(INDEX(PCBaskets,$N20)=0,"",INDEX(PCBaskets,$N20)),"")</f>
        <v/>
      </c>
      <c r="H20" s="26">
        <f>IF($N20&lt;&gt;"",IF(INDEX(PCNet,$N20)=0,"",INDEX(PCNet,$N20)),"")</f>
        <v/>
      </c>
      <c r="I20" s="25">
        <f>IF($N20&lt;&gt;"",IF(INDEX(PCOp,$N20)="مرجوعی خرید","",IF(INDEX(PCAmount,$N20)&lt;=0,"",INDEX(PCAmount,$N20))),IF($O20&lt;&gt;"",IF(INDEX(TxnDepB,$O20)=0,"",INDEX(TxnDepB,$O20)),""))</f>
        <v/>
      </c>
      <c r="J20" s="25">
        <f>IF($N20&lt;&gt;"",IF(INDEX(PCOp,$N20)="مرجوعی خرید",IF(INDEX(PCAmount,$N20)=0,"",-INDEX(PCAmount,$N20)),""),IF($O20&lt;&gt;"",IF(INDEX(TxnWitB,$O20)=0,"",INDEX(TxnWitB,$O20)),""))</f>
        <v/>
      </c>
      <c r="K20" s="27">
        <f>IF($B20="","",IF($K19="",$C$10,$K19)+IF($I20="",0,$I20)-IF($J20="",0,$J20))</f>
        <v/>
      </c>
      <c r="L20" s="28">
        <f>IF($N20&lt;&gt;"",IF(INDEX(PCNotes,$N20)="","—",INDEX(PCNotes,$N20)),IF($O20&lt;&gt;"",IF(INDEX(LdgNoteB,$O20)="","—",INDEX(LdgNoteB,$O20)),""))</f>
        <v/>
      </c>
      <c r="N20">
        <f>IFERROR(MATCH($C$5&amp;"|"&amp;RIGHT("000000"&amp;4,6),LdgRankKeyA,0),"")</f>
        <v/>
      </c>
      <c r="O20">
        <f>IFERROR(MATCH($C$5&amp;"|"&amp;RIGHT("000000"&amp;4,6),LdgRankKeyB,0),"")</f>
        <v/>
      </c>
    </row>
    <row r="21">
      <c r="A21" s="17" t="n">
        <v>5</v>
      </c>
      <c r="B21" s="18">
        <f>IF(AND($N21="",$O21=""),"",IF($N21&lt;&gt;"",INDEX(PCNormDate,$N21),INDEX(LdgDateB,$O21)))</f>
        <v/>
      </c>
      <c r="C21" s="18">
        <f>IF($N21&lt;&gt;"",INDEX(PCOp,$N21),IF($O21&lt;&gt;"",IF(N(INDEX(TxnDepB,$O21))&gt;0,"دریافت بانکی","پرداخت بانکی"),""))</f>
        <v/>
      </c>
      <c r="D21" s="18">
        <f>IF($N21&lt;&gt;"",IF(INDEX(PCDoc,$N21)="","—",INDEX(PCDoc,$N21)),IF($O21&lt;&gt;"",INDEX(LdgBankB,$O21),""))</f>
        <v/>
      </c>
      <c r="E21" s="18">
        <f>IF($N21&lt;&gt;"",IF(INDEX(PCCitrus,$N21)="","—",INDEX(PCCitrus,$N21)),"")</f>
        <v/>
      </c>
      <c r="F21" s="19">
        <f>IF($N21&lt;&gt;"",IF(INDEX(PCScale,$N21)=0,"",INDEX(PCScale,$N21)),"")</f>
        <v/>
      </c>
      <c r="G21" s="19">
        <f>IF($N21&lt;&gt;"",IF(INDEX(PCBaskets,$N21)=0,"",INDEX(PCBaskets,$N21)),"")</f>
        <v/>
      </c>
      <c r="H21" s="20">
        <f>IF($N21&lt;&gt;"",IF(INDEX(PCNet,$N21)=0,"",INDEX(PCNet,$N21)),"")</f>
        <v/>
      </c>
      <c r="I21" s="19">
        <f>IF($N21&lt;&gt;"",IF(INDEX(PCOp,$N21)="مرجوعی خرید","",IF(INDEX(PCAmount,$N21)&lt;=0,"",INDEX(PCAmount,$N21))),IF($O21&lt;&gt;"",IF(INDEX(TxnDepB,$O21)=0,"",INDEX(TxnDepB,$O21)),""))</f>
        <v/>
      </c>
      <c r="J21" s="19">
        <f>IF($N21&lt;&gt;"",IF(INDEX(PCOp,$N21)="مرجوعی خرید",IF(INDEX(PCAmount,$N21)=0,"",-INDEX(PCAmount,$N21)),""),IF($O21&lt;&gt;"",IF(INDEX(TxnWitB,$O21)=0,"",INDEX(TxnWitB,$O21)),""))</f>
        <v/>
      </c>
      <c r="K21" s="21">
        <f>IF($B21="","",IF($K20="",$C$10,$K20)+IF($I21="",0,$I21)-IF($J21="",0,$J21))</f>
        <v/>
      </c>
      <c r="L21" s="22">
        <f>IF($N21&lt;&gt;"",IF(INDEX(PCNotes,$N21)="","—",INDEX(PCNotes,$N21)),IF($O21&lt;&gt;"",IF(INDEX(LdgNoteB,$O21)="","—",INDEX(LdgNoteB,$O21)),""))</f>
        <v/>
      </c>
      <c r="N21">
        <f>IFERROR(MATCH($C$5&amp;"|"&amp;RIGHT("000000"&amp;5,6),LdgRankKeyA,0),"")</f>
        <v/>
      </c>
      <c r="O21">
        <f>IFERROR(MATCH($C$5&amp;"|"&amp;RIGHT("000000"&amp;5,6),LdgRankKeyB,0),"")</f>
        <v/>
      </c>
    </row>
    <row r="22">
      <c r="A22" s="23" t="n">
        <v>6</v>
      </c>
      <c r="B22" s="24">
        <f>IF(AND($N22="",$O22=""),"",IF($N22&lt;&gt;"",INDEX(PCNormDate,$N22),INDEX(LdgDateB,$O22)))</f>
        <v/>
      </c>
      <c r="C22" s="24">
        <f>IF($N22&lt;&gt;"",INDEX(PCOp,$N22),IF($O22&lt;&gt;"",IF(N(INDEX(TxnDepB,$O22))&gt;0,"دریافت بانکی","پرداخت بانکی"),""))</f>
        <v/>
      </c>
      <c r="D22" s="24">
        <f>IF($N22&lt;&gt;"",IF(INDEX(PCDoc,$N22)="","—",INDEX(PCDoc,$N22)),IF($O22&lt;&gt;"",INDEX(LdgBankB,$O22),""))</f>
        <v/>
      </c>
      <c r="E22" s="24">
        <f>IF($N22&lt;&gt;"",IF(INDEX(PCCitrus,$N22)="","—",INDEX(PCCitrus,$N22)),"")</f>
        <v/>
      </c>
      <c r="F22" s="25">
        <f>IF($N22&lt;&gt;"",IF(INDEX(PCScale,$N22)=0,"",INDEX(PCScale,$N22)),"")</f>
        <v/>
      </c>
      <c r="G22" s="25">
        <f>IF($N22&lt;&gt;"",IF(INDEX(PCBaskets,$N22)=0,"",INDEX(PCBaskets,$N22)),"")</f>
        <v/>
      </c>
      <c r="H22" s="26">
        <f>IF($N22&lt;&gt;"",IF(INDEX(PCNet,$N22)=0,"",INDEX(PCNet,$N22)),"")</f>
        <v/>
      </c>
      <c r="I22" s="25">
        <f>IF($N22&lt;&gt;"",IF(INDEX(PCOp,$N22)="مرجوعی خرید","",IF(INDEX(PCAmount,$N22)&lt;=0,"",INDEX(PCAmount,$N22))),IF($O22&lt;&gt;"",IF(INDEX(TxnDepB,$O22)=0,"",INDEX(TxnDepB,$O22)),""))</f>
        <v/>
      </c>
      <c r="J22" s="25">
        <f>IF($N22&lt;&gt;"",IF(INDEX(PCOp,$N22)="مرجوعی خرید",IF(INDEX(PCAmount,$N22)=0,"",-INDEX(PCAmount,$N22)),""),IF($O22&lt;&gt;"",IF(INDEX(TxnWitB,$O22)=0,"",INDEX(TxnWitB,$O22)),""))</f>
        <v/>
      </c>
      <c r="K22" s="27">
        <f>IF($B22="","",IF($K21="",$C$10,$K21)+IF($I22="",0,$I22)-IF($J22="",0,$J22))</f>
        <v/>
      </c>
      <c r="L22" s="28">
        <f>IF($N22&lt;&gt;"",IF(INDEX(PCNotes,$N22)="","—",INDEX(PCNotes,$N22)),IF($O22&lt;&gt;"",IF(INDEX(LdgNoteB,$O22)="","—",INDEX(LdgNoteB,$O22)),""))</f>
        <v/>
      </c>
      <c r="N22">
        <f>IFERROR(MATCH($C$5&amp;"|"&amp;RIGHT("000000"&amp;6,6),LdgRankKeyA,0),"")</f>
        <v/>
      </c>
      <c r="O22">
        <f>IFERROR(MATCH($C$5&amp;"|"&amp;RIGHT("000000"&amp;6,6),LdgRankKeyB,0),"")</f>
        <v/>
      </c>
    </row>
    <row r="23">
      <c r="A23" s="17" t="n">
        <v>7</v>
      </c>
      <c r="B23" s="18">
        <f>IF(AND($N23="",$O23=""),"",IF($N23&lt;&gt;"",INDEX(PCNormDate,$N23),INDEX(LdgDateB,$O23)))</f>
        <v/>
      </c>
      <c r="C23" s="18">
        <f>IF($N23&lt;&gt;"",INDEX(PCOp,$N23),IF($O23&lt;&gt;"",IF(N(INDEX(TxnDepB,$O23))&gt;0,"دریافت بانکی","پرداخت بانکی"),""))</f>
        <v/>
      </c>
      <c r="D23" s="18">
        <f>IF($N23&lt;&gt;"",IF(INDEX(PCDoc,$N23)="","—",INDEX(PCDoc,$N23)),IF($O23&lt;&gt;"",INDEX(LdgBankB,$O23),""))</f>
        <v/>
      </c>
      <c r="E23" s="18">
        <f>IF($N23&lt;&gt;"",IF(INDEX(PCCitrus,$N23)="","—",INDEX(PCCitrus,$N23)),"")</f>
        <v/>
      </c>
      <c r="F23" s="19">
        <f>IF($N23&lt;&gt;"",IF(INDEX(PCScale,$N23)=0,"",INDEX(PCScale,$N23)),"")</f>
        <v/>
      </c>
      <c r="G23" s="19">
        <f>IF($N23&lt;&gt;"",IF(INDEX(PCBaskets,$N23)=0,"",INDEX(PCBaskets,$N23)),"")</f>
        <v/>
      </c>
      <c r="H23" s="20">
        <f>IF($N23&lt;&gt;"",IF(INDEX(PCNet,$N23)=0,"",INDEX(PCNet,$N23)),"")</f>
        <v/>
      </c>
      <c r="I23" s="19">
        <f>IF($N23&lt;&gt;"",IF(INDEX(PCOp,$N23)="مرجوعی خرید","",IF(INDEX(PCAmount,$N23)&lt;=0,"",INDEX(PCAmount,$N23))),IF($O23&lt;&gt;"",IF(INDEX(TxnDepB,$O23)=0,"",INDEX(TxnDepB,$O23)),""))</f>
        <v/>
      </c>
      <c r="J23" s="19">
        <f>IF($N23&lt;&gt;"",IF(INDEX(PCOp,$N23)="مرجوعی خرید",IF(INDEX(PCAmount,$N23)=0,"",-INDEX(PCAmount,$N23)),""),IF($O23&lt;&gt;"",IF(INDEX(TxnWitB,$O23)=0,"",INDEX(TxnWitB,$O23)),""))</f>
        <v/>
      </c>
      <c r="K23" s="21">
        <f>IF($B23="","",IF($K22="",$C$10,$K22)+IF($I23="",0,$I23)-IF($J23="",0,$J23))</f>
        <v/>
      </c>
      <c r="L23" s="22">
        <f>IF($N23&lt;&gt;"",IF(INDEX(PCNotes,$N23)="","—",INDEX(PCNotes,$N23)),IF($O23&lt;&gt;"",IF(INDEX(LdgNoteB,$O23)="","—",INDEX(LdgNoteB,$O23)),""))</f>
        <v/>
      </c>
      <c r="N23">
        <f>IFERROR(MATCH($C$5&amp;"|"&amp;RIGHT("000000"&amp;7,6),LdgRankKeyA,0),"")</f>
        <v/>
      </c>
      <c r="O23">
        <f>IFERROR(MATCH($C$5&amp;"|"&amp;RIGHT("000000"&amp;7,6),LdgRankKeyB,0),"")</f>
        <v/>
      </c>
    </row>
    <row r="24">
      <c r="A24" s="23" t="n">
        <v>8</v>
      </c>
      <c r="B24" s="24">
        <f>IF(AND($N24="",$O24=""),"",IF($N24&lt;&gt;"",INDEX(PCNormDate,$N24),INDEX(LdgDateB,$O24)))</f>
        <v/>
      </c>
      <c r="C24" s="24">
        <f>IF($N24&lt;&gt;"",INDEX(PCOp,$N24),IF($O24&lt;&gt;"",IF(N(INDEX(TxnDepB,$O24))&gt;0,"دریافت بانکی","پرداخت بانکی"),""))</f>
        <v/>
      </c>
      <c r="D24" s="24">
        <f>IF($N24&lt;&gt;"",IF(INDEX(PCDoc,$N24)="","—",INDEX(PCDoc,$N24)),IF($O24&lt;&gt;"",INDEX(LdgBankB,$O24),""))</f>
        <v/>
      </c>
      <c r="E24" s="24">
        <f>IF($N24&lt;&gt;"",IF(INDEX(PCCitrus,$N24)="","—",INDEX(PCCitrus,$N24)),"")</f>
        <v/>
      </c>
      <c r="F24" s="25">
        <f>IF($N24&lt;&gt;"",IF(INDEX(PCScale,$N24)=0,"",INDEX(PCScale,$N24)),"")</f>
        <v/>
      </c>
      <c r="G24" s="25">
        <f>IF($N24&lt;&gt;"",IF(INDEX(PCBaskets,$N24)=0,"",INDEX(PCBaskets,$N24)),"")</f>
        <v/>
      </c>
      <c r="H24" s="26">
        <f>IF($N24&lt;&gt;"",IF(INDEX(PCNet,$N24)=0,"",INDEX(PCNet,$N24)),"")</f>
        <v/>
      </c>
      <c r="I24" s="25">
        <f>IF($N24&lt;&gt;"",IF(INDEX(PCOp,$N24)="مرجوعی خرید","",IF(INDEX(PCAmount,$N24)&lt;=0,"",INDEX(PCAmount,$N24))),IF($O24&lt;&gt;"",IF(INDEX(TxnDepB,$O24)=0,"",INDEX(TxnDepB,$O24)),""))</f>
        <v/>
      </c>
      <c r="J24" s="25">
        <f>IF($N24&lt;&gt;"",IF(INDEX(PCOp,$N24)="مرجوعی خرید",IF(INDEX(PCAmount,$N24)=0,"",-INDEX(PCAmount,$N24)),""),IF($O24&lt;&gt;"",IF(INDEX(TxnWitB,$O24)=0,"",INDEX(TxnWitB,$O24)),""))</f>
        <v/>
      </c>
      <c r="K24" s="27">
        <f>IF($B24="","",IF($K23="",$C$10,$K23)+IF($I24="",0,$I24)-IF($J24="",0,$J24))</f>
        <v/>
      </c>
      <c r="L24" s="28">
        <f>IF($N24&lt;&gt;"",IF(INDEX(PCNotes,$N24)="","—",INDEX(PCNotes,$N24)),IF($O24&lt;&gt;"",IF(INDEX(LdgNoteB,$O24)="","—",INDEX(LdgNoteB,$O24)),""))</f>
        <v/>
      </c>
      <c r="N24">
        <f>IFERROR(MATCH($C$5&amp;"|"&amp;RIGHT("000000"&amp;8,6),LdgRankKeyA,0),"")</f>
        <v/>
      </c>
      <c r="O24">
        <f>IFERROR(MATCH($C$5&amp;"|"&amp;RIGHT("000000"&amp;8,6),LdgRankKeyB,0),"")</f>
        <v/>
      </c>
    </row>
    <row r="25">
      <c r="A25" s="17" t="n">
        <v>9</v>
      </c>
      <c r="B25" s="18">
        <f>IF(AND($N25="",$O25=""),"",IF($N25&lt;&gt;"",INDEX(PCNormDate,$N25),INDEX(LdgDateB,$O25)))</f>
        <v/>
      </c>
      <c r="C25" s="18">
        <f>IF($N25&lt;&gt;"",INDEX(PCOp,$N25),IF($O25&lt;&gt;"",IF(N(INDEX(TxnDepB,$O25))&gt;0,"دریافت بانکی","پرداخت بانکی"),""))</f>
        <v/>
      </c>
      <c r="D25" s="18">
        <f>IF($N25&lt;&gt;"",IF(INDEX(PCDoc,$N25)="","—",INDEX(PCDoc,$N25)),IF($O25&lt;&gt;"",INDEX(LdgBankB,$O25),""))</f>
        <v/>
      </c>
      <c r="E25" s="18">
        <f>IF($N25&lt;&gt;"",IF(INDEX(PCCitrus,$N25)="","—",INDEX(PCCitrus,$N25)),"")</f>
        <v/>
      </c>
      <c r="F25" s="19">
        <f>IF($N25&lt;&gt;"",IF(INDEX(PCScale,$N25)=0,"",INDEX(PCScale,$N25)),"")</f>
        <v/>
      </c>
      <c r="G25" s="19">
        <f>IF($N25&lt;&gt;"",IF(INDEX(PCBaskets,$N25)=0,"",INDEX(PCBaskets,$N25)),"")</f>
        <v/>
      </c>
      <c r="H25" s="20">
        <f>IF($N25&lt;&gt;"",IF(INDEX(PCNet,$N25)=0,"",INDEX(PCNet,$N25)),"")</f>
        <v/>
      </c>
      <c r="I25" s="19">
        <f>IF($N25&lt;&gt;"",IF(INDEX(PCOp,$N25)="مرجوعی خرید","",IF(INDEX(PCAmount,$N25)&lt;=0,"",INDEX(PCAmount,$N25))),IF($O25&lt;&gt;"",IF(INDEX(TxnDepB,$O25)=0,"",INDEX(TxnDepB,$O25)),""))</f>
        <v/>
      </c>
      <c r="J25" s="19">
        <f>IF($N25&lt;&gt;"",IF(INDEX(PCOp,$N25)="مرجوعی خرید",IF(INDEX(PCAmount,$N25)=0,"",-INDEX(PCAmount,$N25)),""),IF($O25&lt;&gt;"",IF(INDEX(TxnWitB,$O25)=0,"",INDEX(TxnWitB,$O25)),""))</f>
        <v/>
      </c>
      <c r="K25" s="21">
        <f>IF($B25="","",IF($K24="",$C$10,$K24)+IF($I25="",0,$I25)-IF($J25="",0,$J25))</f>
        <v/>
      </c>
      <c r="L25" s="22">
        <f>IF($N25&lt;&gt;"",IF(INDEX(PCNotes,$N25)="","—",INDEX(PCNotes,$N25)),IF($O25&lt;&gt;"",IF(INDEX(LdgNoteB,$O25)="","—",INDEX(LdgNoteB,$O25)),""))</f>
        <v/>
      </c>
      <c r="N25">
        <f>IFERROR(MATCH($C$5&amp;"|"&amp;RIGHT("000000"&amp;9,6),LdgRankKeyA,0),"")</f>
        <v/>
      </c>
      <c r="O25">
        <f>IFERROR(MATCH($C$5&amp;"|"&amp;RIGHT("000000"&amp;9,6),LdgRankKeyB,0),"")</f>
        <v/>
      </c>
    </row>
    <row r="26">
      <c r="A26" s="23" t="n">
        <v>10</v>
      </c>
      <c r="B26" s="24">
        <f>IF(AND($N26="",$O26=""),"",IF($N26&lt;&gt;"",INDEX(PCNormDate,$N26),INDEX(LdgDateB,$O26)))</f>
        <v/>
      </c>
      <c r="C26" s="24">
        <f>IF($N26&lt;&gt;"",INDEX(PCOp,$N26),IF($O26&lt;&gt;"",IF(N(INDEX(TxnDepB,$O26))&gt;0,"دریافت بانکی","پرداخت بانکی"),""))</f>
        <v/>
      </c>
      <c r="D26" s="24">
        <f>IF($N26&lt;&gt;"",IF(INDEX(PCDoc,$N26)="","—",INDEX(PCDoc,$N26)),IF($O26&lt;&gt;"",INDEX(LdgBankB,$O26),""))</f>
        <v/>
      </c>
      <c r="E26" s="24">
        <f>IF($N26&lt;&gt;"",IF(INDEX(PCCitrus,$N26)="","—",INDEX(PCCitrus,$N26)),"")</f>
        <v/>
      </c>
      <c r="F26" s="25">
        <f>IF($N26&lt;&gt;"",IF(INDEX(PCScale,$N26)=0,"",INDEX(PCScale,$N26)),"")</f>
        <v/>
      </c>
      <c r="G26" s="25">
        <f>IF($N26&lt;&gt;"",IF(INDEX(PCBaskets,$N26)=0,"",INDEX(PCBaskets,$N26)),"")</f>
        <v/>
      </c>
      <c r="H26" s="26">
        <f>IF($N26&lt;&gt;"",IF(INDEX(PCNet,$N26)=0,"",INDEX(PCNet,$N26)),"")</f>
        <v/>
      </c>
      <c r="I26" s="25">
        <f>IF($N26&lt;&gt;"",IF(INDEX(PCOp,$N26)="مرجوعی خرید","",IF(INDEX(PCAmount,$N26)&lt;=0,"",INDEX(PCAmount,$N26))),IF($O26&lt;&gt;"",IF(INDEX(TxnDepB,$O26)=0,"",INDEX(TxnDepB,$O26)),""))</f>
        <v/>
      </c>
      <c r="J26" s="25">
        <f>IF($N26&lt;&gt;"",IF(INDEX(PCOp,$N26)="مرجوعی خرید",IF(INDEX(PCAmount,$N26)=0,"",-INDEX(PCAmount,$N26)),""),IF($O26&lt;&gt;"",IF(INDEX(TxnWitB,$O26)=0,"",INDEX(TxnWitB,$O26)),""))</f>
        <v/>
      </c>
      <c r="K26" s="27">
        <f>IF($B26="","",IF($K25="",$C$10,$K25)+IF($I26="",0,$I26)-IF($J26="",0,$J26))</f>
        <v/>
      </c>
      <c r="L26" s="28">
        <f>IF($N26&lt;&gt;"",IF(INDEX(PCNotes,$N26)="","—",INDEX(PCNotes,$N26)),IF($O26&lt;&gt;"",IF(INDEX(LdgNoteB,$O26)="","—",INDEX(LdgNoteB,$O26)),""))</f>
        <v/>
      </c>
      <c r="N26">
        <f>IFERROR(MATCH($C$5&amp;"|"&amp;RIGHT("000000"&amp;10,6),LdgRankKeyA,0),"")</f>
        <v/>
      </c>
      <c r="O26">
        <f>IFERROR(MATCH($C$5&amp;"|"&amp;RIGHT("000000"&amp;10,6),LdgRankKeyB,0),"")</f>
        <v/>
      </c>
    </row>
    <row r="27">
      <c r="A27" s="17" t="n">
        <v>11</v>
      </c>
      <c r="B27" s="18">
        <f>IF(AND($N27="",$O27=""),"",IF($N27&lt;&gt;"",INDEX(PCNormDate,$N27),INDEX(LdgDateB,$O27)))</f>
        <v/>
      </c>
      <c r="C27" s="18">
        <f>IF($N27&lt;&gt;"",INDEX(PCOp,$N27),IF($O27&lt;&gt;"",IF(N(INDEX(TxnDepB,$O27))&gt;0,"دریافت بانکی","پرداخت بانکی"),""))</f>
        <v/>
      </c>
      <c r="D27" s="18">
        <f>IF($N27&lt;&gt;"",IF(INDEX(PCDoc,$N27)="","—",INDEX(PCDoc,$N27)),IF($O27&lt;&gt;"",INDEX(LdgBankB,$O27),""))</f>
        <v/>
      </c>
      <c r="E27" s="18">
        <f>IF($N27&lt;&gt;"",IF(INDEX(PCCitrus,$N27)="","—",INDEX(PCCitrus,$N27)),"")</f>
        <v/>
      </c>
      <c r="F27" s="19">
        <f>IF($N27&lt;&gt;"",IF(INDEX(PCScale,$N27)=0,"",INDEX(PCScale,$N27)),"")</f>
        <v/>
      </c>
      <c r="G27" s="19">
        <f>IF($N27&lt;&gt;"",IF(INDEX(PCBaskets,$N27)=0,"",INDEX(PCBaskets,$N27)),"")</f>
        <v/>
      </c>
      <c r="H27" s="20">
        <f>IF($N27&lt;&gt;"",IF(INDEX(PCNet,$N27)=0,"",INDEX(PCNet,$N27)),"")</f>
        <v/>
      </c>
      <c r="I27" s="19">
        <f>IF($N27&lt;&gt;"",IF(INDEX(PCOp,$N27)="مرجوعی خرید","",IF(INDEX(PCAmount,$N27)&lt;=0,"",INDEX(PCAmount,$N27))),IF($O27&lt;&gt;"",IF(INDEX(TxnDepB,$O27)=0,"",INDEX(TxnDepB,$O27)),""))</f>
        <v/>
      </c>
      <c r="J27" s="19">
        <f>IF($N27&lt;&gt;"",IF(INDEX(PCOp,$N27)="مرجوعی خرید",IF(INDEX(PCAmount,$N27)=0,"",-INDEX(PCAmount,$N27)),""),IF($O27&lt;&gt;"",IF(INDEX(TxnWitB,$O27)=0,"",INDEX(TxnWitB,$O27)),""))</f>
        <v/>
      </c>
      <c r="K27" s="21">
        <f>IF($B27="","",IF($K26="",$C$10,$K26)+IF($I27="",0,$I27)-IF($J27="",0,$J27))</f>
        <v/>
      </c>
      <c r="L27" s="22">
        <f>IF($N27&lt;&gt;"",IF(INDEX(PCNotes,$N27)="","—",INDEX(PCNotes,$N27)),IF($O27&lt;&gt;"",IF(INDEX(LdgNoteB,$O27)="","—",INDEX(LdgNoteB,$O27)),""))</f>
        <v/>
      </c>
      <c r="N27">
        <f>IFERROR(MATCH($C$5&amp;"|"&amp;RIGHT("000000"&amp;11,6),LdgRankKeyA,0),"")</f>
        <v/>
      </c>
      <c r="O27">
        <f>IFERROR(MATCH($C$5&amp;"|"&amp;RIGHT("000000"&amp;11,6),LdgRankKeyB,0),"")</f>
        <v/>
      </c>
    </row>
    <row r="28">
      <c r="A28" s="23" t="n">
        <v>12</v>
      </c>
      <c r="B28" s="24">
        <f>IF(AND($N28="",$O28=""),"",IF($N28&lt;&gt;"",INDEX(PCNormDate,$N28),INDEX(LdgDateB,$O28)))</f>
        <v/>
      </c>
      <c r="C28" s="24">
        <f>IF($N28&lt;&gt;"",INDEX(PCOp,$N28),IF($O28&lt;&gt;"",IF(N(INDEX(TxnDepB,$O28))&gt;0,"دریافت بانکی","پرداخت بانکی"),""))</f>
        <v/>
      </c>
      <c r="D28" s="24">
        <f>IF($N28&lt;&gt;"",IF(INDEX(PCDoc,$N28)="","—",INDEX(PCDoc,$N28)),IF($O28&lt;&gt;"",INDEX(LdgBankB,$O28),""))</f>
        <v/>
      </c>
      <c r="E28" s="24">
        <f>IF($N28&lt;&gt;"",IF(INDEX(PCCitrus,$N28)="","—",INDEX(PCCitrus,$N28)),"")</f>
        <v/>
      </c>
      <c r="F28" s="25">
        <f>IF($N28&lt;&gt;"",IF(INDEX(PCScale,$N28)=0,"",INDEX(PCScale,$N28)),"")</f>
        <v/>
      </c>
      <c r="G28" s="25">
        <f>IF($N28&lt;&gt;"",IF(INDEX(PCBaskets,$N28)=0,"",INDEX(PCBaskets,$N28)),"")</f>
        <v/>
      </c>
      <c r="H28" s="26">
        <f>IF($N28&lt;&gt;"",IF(INDEX(PCNet,$N28)=0,"",INDEX(PCNet,$N28)),"")</f>
        <v/>
      </c>
      <c r="I28" s="25">
        <f>IF($N28&lt;&gt;"",IF(INDEX(PCOp,$N28)="مرجوعی خرید","",IF(INDEX(PCAmount,$N28)&lt;=0,"",INDEX(PCAmount,$N28))),IF($O28&lt;&gt;"",IF(INDEX(TxnDepB,$O28)=0,"",INDEX(TxnDepB,$O28)),""))</f>
        <v/>
      </c>
      <c r="J28" s="25">
        <f>IF($N28&lt;&gt;"",IF(INDEX(PCOp,$N28)="مرجوعی خرید",IF(INDEX(PCAmount,$N28)=0,"",-INDEX(PCAmount,$N28)),""),IF($O28&lt;&gt;"",IF(INDEX(TxnWitB,$O28)=0,"",INDEX(TxnWitB,$O28)),""))</f>
        <v/>
      </c>
      <c r="K28" s="27">
        <f>IF($B28="","",IF($K27="",$C$10,$K27)+IF($I28="",0,$I28)-IF($J28="",0,$J28))</f>
        <v/>
      </c>
      <c r="L28" s="28">
        <f>IF($N28&lt;&gt;"",IF(INDEX(PCNotes,$N28)="","—",INDEX(PCNotes,$N28)),IF($O28&lt;&gt;"",IF(INDEX(LdgNoteB,$O28)="","—",INDEX(LdgNoteB,$O28)),""))</f>
        <v/>
      </c>
      <c r="N28">
        <f>IFERROR(MATCH($C$5&amp;"|"&amp;RIGHT("000000"&amp;12,6),LdgRankKeyA,0),"")</f>
        <v/>
      </c>
      <c r="O28">
        <f>IFERROR(MATCH($C$5&amp;"|"&amp;RIGHT("000000"&amp;12,6),LdgRankKeyB,0),"")</f>
        <v/>
      </c>
    </row>
    <row r="29">
      <c r="A29" s="17" t="n">
        <v>13</v>
      </c>
      <c r="B29" s="18">
        <f>IF(AND($N29="",$O29=""),"",IF($N29&lt;&gt;"",INDEX(PCNormDate,$N29),INDEX(LdgDateB,$O29)))</f>
        <v/>
      </c>
      <c r="C29" s="18">
        <f>IF($N29&lt;&gt;"",INDEX(PCOp,$N29),IF($O29&lt;&gt;"",IF(N(INDEX(TxnDepB,$O29))&gt;0,"دریافت بانکی","پرداخت بانکی"),""))</f>
        <v/>
      </c>
      <c r="D29" s="18">
        <f>IF($N29&lt;&gt;"",IF(INDEX(PCDoc,$N29)="","—",INDEX(PCDoc,$N29)),IF($O29&lt;&gt;"",INDEX(LdgBankB,$O29),""))</f>
        <v/>
      </c>
      <c r="E29" s="18">
        <f>IF($N29&lt;&gt;"",IF(INDEX(PCCitrus,$N29)="","—",INDEX(PCCitrus,$N29)),"")</f>
        <v/>
      </c>
      <c r="F29" s="19">
        <f>IF($N29&lt;&gt;"",IF(INDEX(PCScale,$N29)=0,"",INDEX(PCScale,$N29)),"")</f>
        <v/>
      </c>
      <c r="G29" s="19">
        <f>IF($N29&lt;&gt;"",IF(INDEX(PCBaskets,$N29)=0,"",INDEX(PCBaskets,$N29)),"")</f>
        <v/>
      </c>
      <c r="H29" s="20">
        <f>IF($N29&lt;&gt;"",IF(INDEX(PCNet,$N29)=0,"",INDEX(PCNet,$N29)),"")</f>
        <v/>
      </c>
      <c r="I29" s="19">
        <f>IF($N29&lt;&gt;"",IF(INDEX(PCOp,$N29)="مرجوعی خرید","",IF(INDEX(PCAmount,$N29)&lt;=0,"",INDEX(PCAmount,$N29))),IF($O29&lt;&gt;"",IF(INDEX(TxnDepB,$O29)=0,"",INDEX(TxnDepB,$O29)),""))</f>
        <v/>
      </c>
      <c r="J29" s="19">
        <f>IF($N29&lt;&gt;"",IF(INDEX(PCOp,$N29)="مرجوعی خرید",IF(INDEX(PCAmount,$N29)=0,"",-INDEX(PCAmount,$N29)),""),IF($O29&lt;&gt;"",IF(INDEX(TxnWitB,$O29)=0,"",INDEX(TxnWitB,$O29)),""))</f>
        <v/>
      </c>
      <c r="K29" s="21">
        <f>IF($B29="","",IF($K28="",$C$10,$K28)+IF($I29="",0,$I29)-IF($J29="",0,$J29))</f>
        <v/>
      </c>
      <c r="L29" s="22">
        <f>IF($N29&lt;&gt;"",IF(INDEX(PCNotes,$N29)="","—",INDEX(PCNotes,$N29)),IF($O29&lt;&gt;"",IF(INDEX(LdgNoteB,$O29)="","—",INDEX(LdgNoteB,$O29)),""))</f>
        <v/>
      </c>
      <c r="N29">
        <f>IFERROR(MATCH($C$5&amp;"|"&amp;RIGHT("000000"&amp;13,6),LdgRankKeyA,0),"")</f>
        <v/>
      </c>
      <c r="O29">
        <f>IFERROR(MATCH($C$5&amp;"|"&amp;RIGHT("000000"&amp;13,6),LdgRankKeyB,0),"")</f>
        <v/>
      </c>
    </row>
    <row r="30">
      <c r="A30" s="23" t="n">
        <v>14</v>
      </c>
      <c r="B30" s="24">
        <f>IF(AND($N30="",$O30=""),"",IF($N30&lt;&gt;"",INDEX(PCNormDate,$N30),INDEX(LdgDateB,$O30)))</f>
        <v/>
      </c>
      <c r="C30" s="24">
        <f>IF($N30&lt;&gt;"",INDEX(PCOp,$N30),IF($O30&lt;&gt;"",IF(N(INDEX(TxnDepB,$O30))&gt;0,"دریافت بانکی","پرداخت بانکی"),""))</f>
        <v/>
      </c>
      <c r="D30" s="24">
        <f>IF($N30&lt;&gt;"",IF(INDEX(PCDoc,$N30)="","—",INDEX(PCDoc,$N30)),IF($O30&lt;&gt;"",INDEX(LdgBankB,$O30),""))</f>
        <v/>
      </c>
      <c r="E30" s="24">
        <f>IF($N30&lt;&gt;"",IF(INDEX(PCCitrus,$N30)="","—",INDEX(PCCitrus,$N30)),"")</f>
        <v/>
      </c>
      <c r="F30" s="25">
        <f>IF($N30&lt;&gt;"",IF(INDEX(PCScale,$N30)=0,"",INDEX(PCScale,$N30)),"")</f>
        <v/>
      </c>
      <c r="G30" s="25">
        <f>IF($N30&lt;&gt;"",IF(INDEX(PCBaskets,$N30)=0,"",INDEX(PCBaskets,$N30)),"")</f>
        <v/>
      </c>
      <c r="H30" s="26">
        <f>IF($N30&lt;&gt;"",IF(INDEX(PCNet,$N30)=0,"",INDEX(PCNet,$N30)),"")</f>
        <v/>
      </c>
      <c r="I30" s="25">
        <f>IF($N30&lt;&gt;"",IF(INDEX(PCOp,$N30)="مرجوعی خرید","",IF(INDEX(PCAmount,$N30)&lt;=0,"",INDEX(PCAmount,$N30))),IF($O30&lt;&gt;"",IF(INDEX(TxnDepB,$O30)=0,"",INDEX(TxnDepB,$O30)),""))</f>
        <v/>
      </c>
      <c r="J30" s="25">
        <f>IF($N30&lt;&gt;"",IF(INDEX(PCOp,$N30)="مرجوعی خرید",IF(INDEX(PCAmount,$N30)=0,"",-INDEX(PCAmount,$N30)),""),IF($O30&lt;&gt;"",IF(INDEX(TxnWitB,$O30)=0,"",INDEX(TxnWitB,$O30)),""))</f>
        <v/>
      </c>
      <c r="K30" s="27">
        <f>IF($B30="","",IF($K29="",$C$10,$K29)+IF($I30="",0,$I30)-IF($J30="",0,$J30))</f>
        <v/>
      </c>
      <c r="L30" s="28">
        <f>IF($N30&lt;&gt;"",IF(INDEX(PCNotes,$N30)="","—",INDEX(PCNotes,$N30)),IF($O30&lt;&gt;"",IF(INDEX(LdgNoteB,$O30)="","—",INDEX(LdgNoteB,$O30)),""))</f>
        <v/>
      </c>
      <c r="N30">
        <f>IFERROR(MATCH($C$5&amp;"|"&amp;RIGHT("000000"&amp;14,6),LdgRankKeyA,0),"")</f>
        <v/>
      </c>
      <c r="O30">
        <f>IFERROR(MATCH($C$5&amp;"|"&amp;RIGHT("000000"&amp;14,6),LdgRankKeyB,0),"")</f>
        <v/>
      </c>
    </row>
    <row r="31">
      <c r="A31" s="17" t="n">
        <v>15</v>
      </c>
      <c r="B31" s="18">
        <f>IF(AND($N31="",$O31=""),"",IF($N31&lt;&gt;"",INDEX(PCNormDate,$N31),INDEX(LdgDateB,$O31)))</f>
        <v/>
      </c>
      <c r="C31" s="18">
        <f>IF($N31&lt;&gt;"",INDEX(PCOp,$N31),IF($O31&lt;&gt;"",IF(N(INDEX(TxnDepB,$O31))&gt;0,"دریافت بانکی","پرداخت بانکی"),""))</f>
        <v/>
      </c>
      <c r="D31" s="18">
        <f>IF($N31&lt;&gt;"",IF(INDEX(PCDoc,$N31)="","—",INDEX(PCDoc,$N31)),IF($O31&lt;&gt;"",INDEX(LdgBankB,$O31),""))</f>
        <v/>
      </c>
      <c r="E31" s="18">
        <f>IF($N31&lt;&gt;"",IF(INDEX(PCCitrus,$N31)="","—",INDEX(PCCitrus,$N31)),"")</f>
        <v/>
      </c>
      <c r="F31" s="19">
        <f>IF($N31&lt;&gt;"",IF(INDEX(PCScale,$N31)=0,"",INDEX(PCScale,$N31)),"")</f>
        <v/>
      </c>
      <c r="G31" s="19">
        <f>IF($N31&lt;&gt;"",IF(INDEX(PCBaskets,$N31)=0,"",INDEX(PCBaskets,$N31)),"")</f>
        <v/>
      </c>
      <c r="H31" s="20">
        <f>IF($N31&lt;&gt;"",IF(INDEX(PCNet,$N31)=0,"",INDEX(PCNet,$N31)),"")</f>
        <v/>
      </c>
      <c r="I31" s="19">
        <f>IF($N31&lt;&gt;"",IF(INDEX(PCOp,$N31)="مرجوعی خرید","",IF(INDEX(PCAmount,$N31)&lt;=0,"",INDEX(PCAmount,$N31))),IF($O31&lt;&gt;"",IF(INDEX(TxnDepB,$O31)=0,"",INDEX(TxnDepB,$O31)),""))</f>
        <v/>
      </c>
      <c r="J31" s="19">
        <f>IF($N31&lt;&gt;"",IF(INDEX(PCOp,$N31)="مرجوعی خرید",IF(INDEX(PCAmount,$N31)=0,"",-INDEX(PCAmount,$N31)),""),IF($O31&lt;&gt;"",IF(INDEX(TxnWitB,$O31)=0,"",INDEX(TxnWitB,$O31)),""))</f>
        <v/>
      </c>
      <c r="K31" s="21">
        <f>IF($B31="","",IF($K30="",$C$10,$K30)+IF($I31="",0,$I31)-IF($J31="",0,$J31))</f>
        <v/>
      </c>
      <c r="L31" s="22">
        <f>IF($N31&lt;&gt;"",IF(INDEX(PCNotes,$N31)="","—",INDEX(PCNotes,$N31)),IF($O31&lt;&gt;"",IF(INDEX(LdgNoteB,$O31)="","—",INDEX(LdgNoteB,$O31)),""))</f>
        <v/>
      </c>
      <c r="N31">
        <f>IFERROR(MATCH($C$5&amp;"|"&amp;RIGHT("000000"&amp;15,6),LdgRankKeyA,0),"")</f>
        <v/>
      </c>
      <c r="O31">
        <f>IFERROR(MATCH($C$5&amp;"|"&amp;RIGHT("000000"&amp;15,6),LdgRankKeyB,0),"")</f>
        <v/>
      </c>
    </row>
    <row r="32">
      <c r="A32" s="23" t="n">
        <v>16</v>
      </c>
      <c r="B32" s="24">
        <f>IF(AND($N32="",$O32=""),"",IF($N32&lt;&gt;"",INDEX(PCNormDate,$N32),INDEX(LdgDateB,$O32)))</f>
        <v/>
      </c>
      <c r="C32" s="24">
        <f>IF($N32&lt;&gt;"",INDEX(PCOp,$N32),IF($O32&lt;&gt;"",IF(N(INDEX(TxnDepB,$O32))&gt;0,"دریافت بانکی","پرداخت بانکی"),""))</f>
        <v/>
      </c>
      <c r="D32" s="24">
        <f>IF($N32&lt;&gt;"",IF(INDEX(PCDoc,$N32)="","—",INDEX(PCDoc,$N32)),IF($O32&lt;&gt;"",INDEX(LdgBankB,$O32),""))</f>
        <v/>
      </c>
      <c r="E32" s="24">
        <f>IF($N32&lt;&gt;"",IF(INDEX(PCCitrus,$N32)="","—",INDEX(PCCitrus,$N32)),"")</f>
        <v/>
      </c>
      <c r="F32" s="25">
        <f>IF($N32&lt;&gt;"",IF(INDEX(PCScale,$N32)=0,"",INDEX(PCScale,$N32)),"")</f>
        <v/>
      </c>
      <c r="G32" s="25">
        <f>IF($N32&lt;&gt;"",IF(INDEX(PCBaskets,$N32)=0,"",INDEX(PCBaskets,$N32)),"")</f>
        <v/>
      </c>
      <c r="H32" s="26">
        <f>IF($N32&lt;&gt;"",IF(INDEX(PCNet,$N32)=0,"",INDEX(PCNet,$N32)),"")</f>
        <v/>
      </c>
      <c r="I32" s="25">
        <f>IF($N32&lt;&gt;"",IF(INDEX(PCOp,$N32)="مرجوعی خرید","",IF(INDEX(PCAmount,$N32)&lt;=0,"",INDEX(PCAmount,$N32))),IF($O32&lt;&gt;"",IF(INDEX(TxnDepB,$O32)=0,"",INDEX(TxnDepB,$O32)),""))</f>
        <v/>
      </c>
      <c r="J32" s="25">
        <f>IF($N32&lt;&gt;"",IF(INDEX(PCOp,$N32)="مرجوعی خرید",IF(INDEX(PCAmount,$N32)=0,"",-INDEX(PCAmount,$N32)),""),IF($O32&lt;&gt;"",IF(INDEX(TxnWitB,$O32)=0,"",INDEX(TxnWitB,$O32)),""))</f>
        <v/>
      </c>
      <c r="K32" s="27">
        <f>IF($B32="","",IF($K31="",$C$10,$K31)+IF($I32="",0,$I32)-IF($J32="",0,$J32))</f>
        <v/>
      </c>
      <c r="L32" s="28">
        <f>IF($N32&lt;&gt;"",IF(INDEX(PCNotes,$N32)="","—",INDEX(PCNotes,$N32)),IF($O32&lt;&gt;"",IF(INDEX(LdgNoteB,$O32)="","—",INDEX(LdgNoteB,$O32)),""))</f>
        <v/>
      </c>
      <c r="N32">
        <f>IFERROR(MATCH($C$5&amp;"|"&amp;RIGHT("000000"&amp;16,6),LdgRankKeyA,0),"")</f>
        <v/>
      </c>
      <c r="O32">
        <f>IFERROR(MATCH($C$5&amp;"|"&amp;RIGHT("000000"&amp;16,6),LdgRankKeyB,0),"")</f>
        <v/>
      </c>
    </row>
    <row r="33">
      <c r="A33" s="17" t="n">
        <v>17</v>
      </c>
      <c r="B33" s="18">
        <f>IF(AND($N33="",$O33=""),"",IF($N33&lt;&gt;"",INDEX(PCNormDate,$N33),INDEX(LdgDateB,$O33)))</f>
        <v/>
      </c>
      <c r="C33" s="18">
        <f>IF($N33&lt;&gt;"",INDEX(PCOp,$N33),IF($O33&lt;&gt;"",IF(N(INDEX(TxnDepB,$O33))&gt;0,"دریافت بانکی","پرداخت بانکی"),""))</f>
        <v/>
      </c>
      <c r="D33" s="18">
        <f>IF($N33&lt;&gt;"",IF(INDEX(PCDoc,$N33)="","—",INDEX(PCDoc,$N33)),IF($O33&lt;&gt;"",INDEX(LdgBankB,$O33),""))</f>
        <v/>
      </c>
      <c r="E33" s="18">
        <f>IF($N33&lt;&gt;"",IF(INDEX(PCCitrus,$N33)="","—",INDEX(PCCitrus,$N33)),"")</f>
        <v/>
      </c>
      <c r="F33" s="19">
        <f>IF($N33&lt;&gt;"",IF(INDEX(PCScale,$N33)=0,"",INDEX(PCScale,$N33)),"")</f>
        <v/>
      </c>
      <c r="G33" s="19">
        <f>IF($N33&lt;&gt;"",IF(INDEX(PCBaskets,$N33)=0,"",INDEX(PCBaskets,$N33)),"")</f>
        <v/>
      </c>
      <c r="H33" s="20">
        <f>IF($N33&lt;&gt;"",IF(INDEX(PCNet,$N33)=0,"",INDEX(PCNet,$N33)),"")</f>
        <v/>
      </c>
      <c r="I33" s="19">
        <f>IF($N33&lt;&gt;"",IF(INDEX(PCOp,$N33)="مرجوعی خرید","",IF(INDEX(PCAmount,$N33)&lt;=0,"",INDEX(PCAmount,$N33))),IF($O33&lt;&gt;"",IF(INDEX(TxnDepB,$O33)=0,"",INDEX(TxnDepB,$O33)),""))</f>
        <v/>
      </c>
      <c r="J33" s="19">
        <f>IF($N33&lt;&gt;"",IF(INDEX(PCOp,$N33)="مرجوعی خرید",IF(INDEX(PCAmount,$N33)=0,"",-INDEX(PCAmount,$N33)),""),IF($O33&lt;&gt;"",IF(INDEX(TxnWitB,$O33)=0,"",INDEX(TxnWitB,$O33)),""))</f>
        <v/>
      </c>
      <c r="K33" s="21">
        <f>IF($B33="","",IF($K32="",$C$10,$K32)+IF($I33="",0,$I33)-IF($J33="",0,$J33))</f>
        <v/>
      </c>
      <c r="L33" s="22">
        <f>IF($N33&lt;&gt;"",IF(INDEX(PCNotes,$N33)="","—",INDEX(PCNotes,$N33)),IF($O33&lt;&gt;"",IF(INDEX(LdgNoteB,$O33)="","—",INDEX(LdgNoteB,$O33)),""))</f>
        <v/>
      </c>
      <c r="N33">
        <f>IFERROR(MATCH($C$5&amp;"|"&amp;RIGHT("000000"&amp;17,6),LdgRankKeyA,0),"")</f>
        <v/>
      </c>
      <c r="O33">
        <f>IFERROR(MATCH($C$5&amp;"|"&amp;RIGHT("000000"&amp;17,6),LdgRankKeyB,0),"")</f>
        <v/>
      </c>
    </row>
    <row r="34">
      <c r="A34" s="23" t="n">
        <v>18</v>
      </c>
      <c r="B34" s="24">
        <f>IF(AND($N34="",$O34=""),"",IF($N34&lt;&gt;"",INDEX(PCNormDate,$N34),INDEX(LdgDateB,$O34)))</f>
        <v/>
      </c>
      <c r="C34" s="24">
        <f>IF($N34&lt;&gt;"",INDEX(PCOp,$N34),IF($O34&lt;&gt;"",IF(N(INDEX(TxnDepB,$O34))&gt;0,"دریافت بانکی","پرداخت بانکی"),""))</f>
        <v/>
      </c>
      <c r="D34" s="24">
        <f>IF($N34&lt;&gt;"",IF(INDEX(PCDoc,$N34)="","—",INDEX(PCDoc,$N34)),IF($O34&lt;&gt;"",INDEX(LdgBankB,$O34),""))</f>
        <v/>
      </c>
      <c r="E34" s="24">
        <f>IF($N34&lt;&gt;"",IF(INDEX(PCCitrus,$N34)="","—",INDEX(PCCitrus,$N34)),"")</f>
        <v/>
      </c>
      <c r="F34" s="25">
        <f>IF($N34&lt;&gt;"",IF(INDEX(PCScale,$N34)=0,"",INDEX(PCScale,$N34)),"")</f>
        <v/>
      </c>
      <c r="G34" s="25">
        <f>IF($N34&lt;&gt;"",IF(INDEX(PCBaskets,$N34)=0,"",INDEX(PCBaskets,$N34)),"")</f>
        <v/>
      </c>
      <c r="H34" s="26">
        <f>IF($N34&lt;&gt;"",IF(INDEX(PCNet,$N34)=0,"",INDEX(PCNet,$N34)),"")</f>
        <v/>
      </c>
      <c r="I34" s="25">
        <f>IF($N34&lt;&gt;"",IF(INDEX(PCOp,$N34)="مرجوعی خرید","",IF(INDEX(PCAmount,$N34)&lt;=0,"",INDEX(PCAmount,$N34))),IF($O34&lt;&gt;"",IF(INDEX(TxnDepB,$O34)=0,"",INDEX(TxnDepB,$O34)),""))</f>
        <v/>
      </c>
      <c r="J34" s="25">
        <f>IF($N34&lt;&gt;"",IF(INDEX(PCOp,$N34)="مرجوعی خرید",IF(INDEX(PCAmount,$N34)=0,"",-INDEX(PCAmount,$N34)),""),IF($O34&lt;&gt;"",IF(INDEX(TxnWitB,$O34)=0,"",INDEX(TxnWitB,$O34)),""))</f>
        <v/>
      </c>
      <c r="K34" s="27">
        <f>IF($B34="","",IF($K33="",$C$10,$K33)+IF($I34="",0,$I34)-IF($J34="",0,$J34))</f>
        <v/>
      </c>
      <c r="L34" s="28">
        <f>IF($N34&lt;&gt;"",IF(INDEX(PCNotes,$N34)="","—",INDEX(PCNotes,$N34)),IF($O34&lt;&gt;"",IF(INDEX(LdgNoteB,$O34)="","—",INDEX(LdgNoteB,$O34)),""))</f>
        <v/>
      </c>
      <c r="N34">
        <f>IFERROR(MATCH($C$5&amp;"|"&amp;RIGHT("000000"&amp;18,6),LdgRankKeyA,0),"")</f>
        <v/>
      </c>
      <c r="O34">
        <f>IFERROR(MATCH($C$5&amp;"|"&amp;RIGHT("000000"&amp;18,6),LdgRankKeyB,0),"")</f>
        <v/>
      </c>
    </row>
    <row r="35">
      <c r="A35" s="17" t="n">
        <v>19</v>
      </c>
      <c r="B35" s="18">
        <f>IF(AND($N35="",$O35=""),"",IF($N35&lt;&gt;"",INDEX(PCNormDate,$N35),INDEX(LdgDateB,$O35)))</f>
        <v/>
      </c>
      <c r="C35" s="18">
        <f>IF($N35&lt;&gt;"",INDEX(PCOp,$N35),IF($O35&lt;&gt;"",IF(N(INDEX(TxnDepB,$O35))&gt;0,"دریافت بانکی","پرداخت بانکی"),""))</f>
        <v/>
      </c>
      <c r="D35" s="18">
        <f>IF($N35&lt;&gt;"",IF(INDEX(PCDoc,$N35)="","—",INDEX(PCDoc,$N35)),IF($O35&lt;&gt;"",INDEX(LdgBankB,$O35),""))</f>
        <v/>
      </c>
      <c r="E35" s="18">
        <f>IF($N35&lt;&gt;"",IF(INDEX(PCCitrus,$N35)="","—",INDEX(PCCitrus,$N35)),"")</f>
        <v/>
      </c>
      <c r="F35" s="19">
        <f>IF($N35&lt;&gt;"",IF(INDEX(PCScale,$N35)=0,"",INDEX(PCScale,$N35)),"")</f>
        <v/>
      </c>
      <c r="G35" s="19">
        <f>IF($N35&lt;&gt;"",IF(INDEX(PCBaskets,$N35)=0,"",INDEX(PCBaskets,$N35)),"")</f>
        <v/>
      </c>
      <c r="H35" s="20">
        <f>IF($N35&lt;&gt;"",IF(INDEX(PCNet,$N35)=0,"",INDEX(PCNet,$N35)),"")</f>
        <v/>
      </c>
      <c r="I35" s="19">
        <f>IF($N35&lt;&gt;"",IF(INDEX(PCOp,$N35)="مرجوعی خرید","",IF(INDEX(PCAmount,$N35)&lt;=0,"",INDEX(PCAmount,$N35))),IF($O35&lt;&gt;"",IF(INDEX(TxnDepB,$O35)=0,"",INDEX(TxnDepB,$O35)),""))</f>
        <v/>
      </c>
      <c r="J35" s="19">
        <f>IF($N35&lt;&gt;"",IF(INDEX(PCOp,$N35)="مرجوعی خرید",IF(INDEX(PCAmount,$N35)=0,"",-INDEX(PCAmount,$N35)),""),IF($O35&lt;&gt;"",IF(INDEX(TxnWitB,$O35)=0,"",INDEX(TxnWitB,$O35)),""))</f>
        <v/>
      </c>
      <c r="K35" s="21">
        <f>IF($B35="","",IF($K34="",$C$10,$K34)+IF($I35="",0,$I35)-IF($J35="",0,$J35))</f>
        <v/>
      </c>
      <c r="L35" s="22">
        <f>IF($N35&lt;&gt;"",IF(INDEX(PCNotes,$N35)="","—",INDEX(PCNotes,$N35)),IF($O35&lt;&gt;"",IF(INDEX(LdgNoteB,$O35)="","—",INDEX(LdgNoteB,$O35)),""))</f>
        <v/>
      </c>
      <c r="N35">
        <f>IFERROR(MATCH($C$5&amp;"|"&amp;RIGHT("000000"&amp;19,6),LdgRankKeyA,0),"")</f>
        <v/>
      </c>
      <c r="O35">
        <f>IFERROR(MATCH($C$5&amp;"|"&amp;RIGHT("000000"&amp;19,6),LdgRankKeyB,0),"")</f>
        <v/>
      </c>
    </row>
    <row r="36">
      <c r="A36" s="23" t="n">
        <v>20</v>
      </c>
      <c r="B36" s="24">
        <f>IF(AND($N36="",$O36=""),"",IF($N36&lt;&gt;"",INDEX(PCNormDate,$N36),INDEX(LdgDateB,$O36)))</f>
        <v/>
      </c>
      <c r="C36" s="24">
        <f>IF($N36&lt;&gt;"",INDEX(PCOp,$N36),IF($O36&lt;&gt;"",IF(N(INDEX(TxnDepB,$O36))&gt;0,"دریافت بانکی","پرداخت بانکی"),""))</f>
        <v/>
      </c>
      <c r="D36" s="24">
        <f>IF($N36&lt;&gt;"",IF(INDEX(PCDoc,$N36)="","—",INDEX(PCDoc,$N36)),IF($O36&lt;&gt;"",INDEX(LdgBankB,$O36),""))</f>
        <v/>
      </c>
      <c r="E36" s="24">
        <f>IF($N36&lt;&gt;"",IF(INDEX(PCCitrus,$N36)="","—",INDEX(PCCitrus,$N36)),"")</f>
        <v/>
      </c>
      <c r="F36" s="25">
        <f>IF($N36&lt;&gt;"",IF(INDEX(PCScale,$N36)=0,"",INDEX(PCScale,$N36)),"")</f>
        <v/>
      </c>
      <c r="G36" s="25">
        <f>IF($N36&lt;&gt;"",IF(INDEX(PCBaskets,$N36)=0,"",INDEX(PCBaskets,$N36)),"")</f>
        <v/>
      </c>
      <c r="H36" s="26">
        <f>IF($N36&lt;&gt;"",IF(INDEX(PCNet,$N36)=0,"",INDEX(PCNet,$N36)),"")</f>
        <v/>
      </c>
      <c r="I36" s="25">
        <f>IF($N36&lt;&gt;"",IF(INDEX(PCOp,$N36)="مرجوعی خرید","",IF(INDEX(PCAmount,$N36)&lt;=0,"",INDEX(PCAmount,$N36))),IF($O36&lt;&gt;"",IF(INDEX(TxnDepB,$O36)=0,"",INDEX(TxnDepB,$O36)),""))</f>
        <v/>
      </c>
      <c r="J36" s="25">
        <f>IF($N36&lt;&gt;"",IF(INDEX(PCOp,$N36)="مرجوعی خرید",IF(INDEX(PCAmount,$N36)=0,"",-INDEX(PCAmount,$N36)),""),IF($O36&lt;&gt;"",IF(INDEX(TxnWitB,$O36)=0,"",INDEX(TxnWitB,$O36)),""))</f>
        <v/>
      </c>
      <c r="K36" s="27">
        <f>IF($B36="","",IF($K35="",$C$10,$K35)+IF($I36="",0,$I36)-IF($J36="",0,$J36))</f>
        <v/>
      </c>
      <c r="L36" s="28">
        <f>IF($N36&lt;&gt;"",IF(INDEX(PCNotes,$N36)="","—",INDEX(PCNotes,$N36)),IF($O36&lt;&gt;"",IF(INDEX(LdgNoteB,$O36)="","—",INDEX(LdgNoteB,$O36)),""))</f>
        <v/>
      </c>
      <c r="N36">
        <f>IFERROR(MATCH($C$5&amp;"|"&amp;RIGHT("000000"&amp;20,6),LdgRankKeyA,0),"")</f>
        <v/>
      </c>
      <c r="O36">
        <f>IFERROR(MATCH($C$5&amp;"|"&amp;RIGHT("000000"&amp;20,6),LdgRankKeyB,0),"")</f>
        <v/>
      </c>
    </row>
    <row r="37">
      <c r="A37" s="17" t="n">
        <v>21</v>
      </c>
      <c r="B37" s="18">
        <f>IF(AND($N37="",$O37=""),"",IF($N37&lt;&gt;"",INDEX(PCNormDate,$N37),INDEX(LdgDateB,$O37)))</f>
        <v/>
      </c>
      <c r="C37" s="18">
        <f>IF($N37&lt;&gt;"",INDEX(PCOp,$N37),IF($O37&lt;&gt;"",IF(N(INDEX(TxnDepB,$O37))&gt;0,"دریافت بانکی","پرداخت بانکی"),""))</f>
        <v/>
      </c>
      <c r="D37" s="18">
        <f>IF($N37&lt;&gt;"",IF(INDEX(PCDoc,$N37)="","—",INDEX(PCDoc,$N37)),IF($O37&lt;&gt;"",INDEX(LdgBankB,$O37),""))</f>
        <v/>
      </c>
      <c r="E37" s="18">
        <f>IF($N37&lt;&gt;"",IF(INDEX(PCCitrus,$N37)="","—",INDEX(PCCitrus,$N37)),"")</f>
        <v/>
      </c>
      <c r="F37" s="19">
        <f>IF($N37&lt;&gt;"",IF(INDEX(PCScale,$N37)=0,"",INDEX(PCScale,$N37)),"")</f>
        <v/>
      </c>
      <c r="G37" s="19">
        <f>IF($N37&lt;&gt;"",IF(INDEX(PCBaskets,$N37)=0,"",INDEX(PCBaskets,$N37)),"")</f>
        <v/>
      </c>
      <c r="H37" s="20">
        <f>IF($N37&lt;&gt;"",IF(INDEX(PCNet,$N37)=0,"",INDEX(PCNet,$N37)),"")</f>
        <v/>
      </c>
      <c r="I37" s="19">
        <f>IF($N37&lt;&gt;"",IF(INDEX(PCOp,$N37)="مرجوعی خرید","",IF(INDEX(PCAmount,$N37)&lt;=0,"",INDEX(PCAmount,$N37))),IF($O37&lt;&gt;"",IF(INDEX(TxnDepB,$O37)=0,"",INDEX(TxnDepB,$O37)),""))</f>
        <v/>
      </c>
      <c r="J37" s="19">
        <f>IF($N37&lt;&gt;"",IF(INDEX(PCOp,$N37)="مرجوعی خرید",IF(INDEX(PCAmount,$N37)=0,"",-INDEX(PCAmount,$N37)),""),IF($O37&lt;&gt;"",IF(INDEX(TxnWitB,$O37)=0,"",INDEX(TxnWitB,$O37)),""))</f>
        <v/>
      </c>
      <c r="K37" s="21">
        <f>IF($B37="","",IF($K36="",$C$10,$K36)+IF($I37="",0,$I37)-IF($J37="",0,$J37))</f>
        <v/>
      </c>
      <c r="L37" s="22">
        <f>IF($N37&lt;&gt;"",IF(INDEX(PCNotes,$N37)="","—",INDEX(PCNotes,$N37)),IF($O37&lt;&gt;"",IF(INDEX(LdgNoteB,$O37)="","—",INDEX(LdgNoteB,$O37)),""))</f>
        <v/>
      </c>
      <c r="N37">
        <f>IFERROR(MATCH($C$5&amp;"|"&amp;RIGHT("000000"&amp;21,6),LdgRankKeyA,0),"")</f>
        <v/>
      </c>
      <c r="O37">
        <f>IFERROR(MATCH($C$5&amp;"|"&amp;RIGHT("000000"&amp;21,6),LdgRankKeyB,0),"")</f>
        <v/>
      </c>
    </row>
    <row r="38">
      <c r="A38" s="23" t="n">
        <v>22</v>
      </c>
      <c r="B38" s="24">
        <f>IF(AND($N38="",$O38=""),"",IF($N38&lt;&gt;"",INDEX(PCNormDate,$N38),INDEX(LdgDateB,$O38)))</f>
        <v/>
      </c>
      <c r="C38" s="24">
        <f>IF($N38&lt;&gt;"",INDEX(PCOp,$N38),IF($O38&lt;&gt;"",IF(N(INDEX(TxnDepB,$O38))&gt;0,"دریافت بانکی","پرداخت بانکی"),""))</f>
        <v/>
      </c>
      <c r="D38" s="24">
        <f>IF($N38&lt;&gt;"",IF(INDEX(PCDoc,$N38)="","—",INDEX(PCDoc,$N38)),IF($O38&lt;&gt;"",INDEX(LdgBankB,$O38),""))</f>
        <v/>
      </c>
      <c r="E38" s="24">
        <f>IF($N38&lt;&gt;"",IF(INDEX(PCCitrus,$N38)="","—",INDEX(PCCitrus,$N38)),"")</f>
        <v/>
      </c>
      <c r="F38" s="25">
        <f>IF($N38&lt;&gt;"",IF(INDEX(PCScale,$N38)=0,"",INDEX(PCScale,$N38)),"")</f>
        <v/>
      </c>
      <c r="G38" s="25">
        <f>IF($N38&lt;&gt;"",IF(INDEX(PCBaskets,$N38)=0,"",INDEX(PCBaskets,$N38)),"")</f>
        <v/>
      </c>
      <c r="H38" s="26">
        <f>IF($N38&lt;&gt;"",IF(INDEX(PCNet,$N38)=0,"",INDEX(PCNet,$N38)),"")</f>
        <v/>
      </c>
      <c r="I38" s="25">
        <f>IF($N38&lt;&gt;"",IF(INDEX(PCOp,$N38)="مرجوعی خرید","",IF(INDEX(PCAmount,$N38)&lt;=0,"",INDEX(PCAmount,$N38))),IF($O38&lt;&gt;"",IF(INDEX(TxnDepB,$O38)=0,"",INDEX(TxnDepB,$O38)),""))</f>
        <v/>
      </c>
      <c r="J38" s="25">
        <f>IF($N38&lt;&gt;"",IF(INDEX(PCOp,$N38)="مرجوعی خرید",IF(INDEX(PCAmount,$N38)=0,"",-INDEX(PCAmount,$N38)),""),IF($O38&lt;&gt;"",IF(INDEX(TxnWitB,$O38)=0,"",INDEX(TxnWitB,$O38)),""))</f>
        <v/>
      </c>
      <c r="K38" s="27">
        <f>IF($B38="","",IF($K37="",$C$10,$K37)+IF($I38="",0,$I38)-IF($J38="",0,$J38))</f>
        <v/>
      </c>
      <c r="L38" s="28">
        <f>IF($N38&lt;&gt;"",IF(INDEX(PCNotes,$N38)="","—",INDEX(PCNotes,$N38)),IF($O38&lt;&gt;"",IF(INDEX(LdgNoteB,$O38)="","—",INDEX(LdgNoteB,$O38)),""))</f>
        <v/>
      </c>
      <c r="N38">
        <f>IFERROR(MATCH($C$5&amp;"|"&amp;RIGHT("000000"&amp;22,6),LdgRankKeyA,0),"")</f>
        <v/>
      </c>
      <c r="O38">
        <f>IFERROR(MATCH($C$5&amp;"|"&amp;RIGHT("000000"&amp;22,6),LdgRankKeyB,0),"")</f>
        <v/>
      </c>
    </row>
    <row r="39">
      <c r="A39" s="17" t="n">
        <v>23</v>
      </c>
      <c r="B39" s="18">
        <f>IF(AND($N39="",$O39=""),"",IF($N39&lt;&gt;"",INDEX(PCNormDate,$N39),INDEX(LdgDateB,$O39)))</f>
        <v/>
      </c>
      <c r="C39" s="18">
        <f>IF($N39&lt;&gt;"",INDEX(PCOp,$N39),IF($O39&lt;&gt;"",IF(N(INDEX(TxnDepB,$O39))&gt;0,"دریافت بانکی","پرداخت بانکی"),""))</f>
        <v/>
      </c>
      <c r="D39" s="18">
        <f>IF($N39&lt;&gt;"",IF(INDEX(PCDoc,$N39)="","—",INDEX(PCDoc,$N39)),IF($O39&lt;&gt;"",INDEX(LdgBankB,$O39),""))</f>
        <v/>
      </c>
      <c r="E39" s="18">
        <f>IF($N39&lt;&gt;"",IF(INDEX(PCCitrus,$N39)="","—",INDEX(PCCitrus,$N39)),"")</f>
        <v/>
      </c>
      <c r="F39" s="19">
        <f>IF($N39&lt;&gt;"",IF(INDEX(PCScale,$N39)=0,"",INDEX(PCScale,$N39)),"")</f>
        <v/>
      </c>
      <c r="G39" s="19">
        <f>IF($N39&lt;&gt;"",IF(INDEX(PCBaskets,$N39)=0,"",INDEX(PCBaskets,$N39)),"")</f>
        <v/>
      </c>
      <c r="H39" s="20">
        <f>IF($N39&lt;&gt;"",IF(INDEX(PCNet,$N39)=0,"",INDEX(PCNet,$N39)),"")</f>
        <v/>
      </c>
      <c r="I39" s="19">
        <f>IF($N39&lt;&gt;"",IF(INDEX(PCOp,$N39)="مرجوعی خرید","",IF(INDEX(PCAmount,$N39)&lt;=0,"",INDEX(PCAmount,$N39))),IF($O39&lt;&gt;"",IF(INDEX(TxnDepB,$O39)=0,"",INDEX(TxnDepB,$O39)),""))</f>
        <v/>
      </c>
      <c r="J39" s="19">
        <f>IF($N39&lt;&gt;"",IF(INDEX(PCOp,$N39)="مرجوعی خرید",IF(INDEX(PCAmount,$N39)=0,"",-INDEX(PCAmount,$N39)),""),IF($O39&lt;&gt;"",IF(INDEX(TxnWitB,$O39)=0,"",INDEX(TxnWitB,$O39)),""))</f>
        <v/>
      </c>
      <c r="K39" s="21">
        <f>IF($B39="","",IF($K38="",$C$10,$K38)+IF($I39="",0,$I39)-IF($J39="",0,$J39))</f>
        <v/>
      </c>
      <c r="L39" s="22">
        <f>IF($N39&lt;&gt;"",IF(INDEX(PCNotes,$N39)="","—",INDEX(PCNotes,$N39)),IF($O39&lt;&gt;"",IF(INDEX(LdgNoteB,$O39)="","—",INDEX(LdgNoteB,$O39)),""))</f>
        <v/>
      </c>
      <c r="N39">
        <f>IFERROR(MATCH($C$5&amp;"|"&amp;RIGHT("000000"&amp;23,6),LdgRankKeyA,0),"")</f>
        <v/>
      </c>
      <c r="O39">
        <f>IFERROR(MATCH($C$5&amp;"|"&amp;RIGHT("000000"&amp;23,6),LdgRankKeyB,0),"")</f>
        <v/>
      </c>
    </row>
    <row r="40">
      <c r="A40" s="23" t="n">
        <v>24</v>
      </c>
      <c r="B40" s="24">
        <f>IF(AND($N40="",$O40=""),"",IF($N40&lt;&gt;"",INDEX(PCNormDate,$N40),INDEX(LdgDateB,$O40)))</f>
        <v/>
      </c>
      <c r="C40" s="24">
        <f>IF($N40&lt;&gt;"",INDEX(PCOp,$N40),IF($O40&lt;&gt;"",IF(N(INDEX(TxnDepB,$O40))&gt;0,"دریافت بانکی","پرداخت بانکی"),""))</f>
        <v/>
      </c>
      <c r="D40" s="24">
        <f>IF($N40&lt;&gt;"",IF(INDEX(PCDoc,$N40)="","—",INDEX(PCDoc,$N40)),IF($O40&lt;&gt;"",INDEX(LdgBankB,$O40),""))</f>
        <v/>
      </c>
      <c r="E40" s="24">
        <f>IF($N40&lt;&gt;"",IF(INDEX(PCCitrus,$N40)="","—",INDEX(PCCitrus,$N40)),"")</f>
        <v/>
      </c>
      <c r="F40" s="25">
        <f>IF($N40&lt;&gt;"",IF(INDEX(PCScale,$N40)=0,"",INDEX(PCScale,$N40)),"")</f>
        <v/>
      </c>
      <c r="G40" s="25">
        <f>IF($N40&lt;&gt;"",IF(INDEX(PCBaskets,$N40)=0,"",INDEX(PCBaskets,$N40)),"")</f>
        <v/>
      </c>
      <c r="H40" s="26">
        <f>IF($N40&lt;&gt;"",IF(INDEX(PCNet,$N40)=0,"",INDEX(PCNet,$N40)),"")</f>
        <v/>
      </c>
      <c r="I40" s="25">
        <f>IF($N40&lt;&gt;"",IF(INDEX(PCOp,$N40)="مرجوعی خرید","",IF(INDEX(PCAmount,$N40)&lt;=0,"",INDEX(PCAmount,$N40))),IF($O40&lt;&gt;"",IF(INDEX(TxnDepB,$O40)=0,"",INDEX(TxnDepB,$O40)),""))</f>
        <v/>
      </c>
      <c r="J40" s="25">
        <f>IF($N40&lt;&gt;"",IF(INDEX(PCOp,$N40)="مرجوعی خرید",IF(INDEX(PCAmount,$N40)=0,"",-INDEX(PCAmount,$N40)),""),IF($O40&lt;&gt;"",IF(INDEX(TxnWitB,$O40)=0,"",INDEX(TxnWitB,$O40)),""))</f>
        <v/>
      </c>
      <c r="K40" s="27">
        <f>IF($B40="","",IF($K39="",$C$10,$K39)+IF($I40="",0,$I40)-IF($J40="",0,$J40))</f>
        <v/>
      </c>
      <c r="L40" s="28">
        <f>IF($N40&lt;&gt;"",IF(INDEX(PCNotes,$N40)="","—",INDEX(PCNotes,$N40)),IF($O40&lt;&gt;"",IF(INDEX(LdgNoteB,$O40)="","—",INDEX(LdgNoteB,$O40)),""))</f>
        <v/>
      </c>
      <c r="N40">
        <f>IFERROR(MATCH($C$5&amp;"|"&amp;RIGHT("000000"&amp;24,6),LdgRankKeyA,0),"")</f>
        <v/>
      </c>
      <c r="O40">
        <f>IFERROR(MATCH($C$5&amp;"|"&amp;RIGHT("000000"&amp;24,6),LdgRankKeyB,0),"")</f>
        <v/>
      </c>
    </row>
    <row r="41">
      <c r="A41" s="17" t="n">
        <v>25</v>
      </c>
      <c r="B41" s="18">
        <f>IF(AND($N41="",$O41=""),"",IF($N41&lt;&gt;"",INDEX(PCNormDate,$N41),INDEX(LdgDateB,$O41)))</f>
        <v/>
      </c>
      <c r="C41" s="18">
        <f>IF($N41&lt;&gt;"",INDEX(PCOp,$N41),IF($O41&lt;&gt;"",IF(N(INDEX(TxnDepB,$O41))&gt;0,"دریافت بانکی","پرداخت بانکی"),""))</f>
        <v/>
      </c>
      <c r="D41" s="18">
        <f>IF($N41&lt;&gt;"",IF(INDEX(PCDoc,$N41)="","—",INDEX(PCDoc,$N41)),IF($O41&lt;&gt;"",INDEX(LdgBankB,$O41),""))</f>
        <v/>
      </c>
      <c r="E41" s="18">
        <f>IF($N41&lt;&gt;"",IF(INDEX(PCCitrus,$N41)="","—",INDEX(PCCitrus,$N41)),"")</f>
        <v/>
      </c>
      <c r="F41" s="19">
        <f>IF($N41&lt;&gt;"",IF(INDEX(PCScale,$N41)=0,"",INDEX(PCScale,$N41)),"")</f>
        <v/>
      </c>
      <c r="G41" s="19">
        <f>IF($N41&lt;&gt;"",IF(INDEX(PCBaskets,$N41)=0,"",INDEX(PCBaskets,$N41)),"")</f>
        <v/>
      </c>
      <c r="H41" s="20">
        <f>IF($N41&lt;&gt;"",IF(INDEX(PCNet,$N41)=0,"",INDEX(PCNet,$N41)),"")</f>
        <v/>
      </c>
      <c r="I41" s="19">
        <f>IF($N41&lt;&gt;"",IF(INDEX(PCOp,$N41)="مرجوعی خرید","",IF(INDEX(PCAmount,$N41)&lt;=0,"",INDEX(PCAmount,$N41))),IF($O41&lt;&gt;"",IF(INDEX(TxnDepB,$O41)=0,"",INDEX(TxnDepB,$O41)),""))</f>
        <v/>
      </c>
      <c r="J41" s="19">
        <f>IF($N41&lt;&gt;"",IF(INDEX(PCOp,$N41)="مرجوعی خرید",IF(INDEX(PCAmount,$N41)=0,"",-INDEX(PCAmount,$N41)),""),IF($O41&lt;&gt;"",IF(INDEX(TxnWitB,$O41)=0,"",INDEX(TxnWitB,$O41)),""))</f>
        <v/>
      </c>
      <c r="K41" s="21">
        <f>IF($B41="","",IF($K40="",$C$10,$K40)+IF($I41="",0,$I41)-IF($J41="",0,$J41))</f>
        <v/>
      </c>
      <c r="L41" s="22">
        <f>IF($N41&lt;&gt;"",IF(INDEX(PCNotes,$N41)="","—",INDEX(PCNotes,$N41)),IF($O41&lt;&gt;"",IF(INDEX(LdgNoteB,$O41)="","—",INDEX(LdgNoteB,$O41)),""))</f>
        <v/>
      </c>
      <c r="N41">
        <f>IFERROR(MATCH($C$5&amp;"|"&amp;RIGHT("000000"&amp;25,6),LdgRankKeyA,0),"")</f>
        <v/>
      </c>
      <c r="O41">
        <f>IFERROR(MATCH($C$5&amp;"|"&amp;RIGHT("000000"&amp;25,6),LdgRankKeyB,0),"")</f>
        <v/>
      </c>
    </row>
    <row r="42">
      <c r="A42" s="23" t="n">
        <v>26</v>
      </c>
      <c r="B42" s="24">
        <f>IF(AND($N42="",$O42=""),"",IF($N42&lt;&gt;"",INDEX(PCNormDate,$N42),INDEX(LdgDateB,$O42)))</f>
        <v/>
      </c>
      <c r="C42" s="24">
        <f>IF($N42&lt;&gt;"",INDEX(PCOp,$N42),IF($O42&lt;&gt;"",IF(N(INDEX(TxnDepB,$O42))&gt;0,"دریافت بانکی","پرداخت بانکی"),""))</f>
        <v/>
      </c>
      <c r="D42" s="24">
        <f>IF($N42&lt;&gt;"",IF(INDEX(PCDoc,$N42)="","—",INDEX(PCDoc,$N42)),IF($O42&lt;&gt;"",INDEX(LdgBankB,$O42),""))</f>
        <v/>
      </c>
      <c r="E42" s="24">
        <f>IF($N42&lt;&gt;"",IF(INDEX(PCCitrus,$N42)="","—",INDEX(PCCitrus,$N42)),"")</f>
        <v/>
      </c>
      <c r="F42" s="25">
        <f>IF($N42&lt;&gt;"",IF(INDEX(PCScale,$N42)=0,"",INDEX(PCScale,$N42)),"")</f>
        <v/>
      </c>
      <c r="G42" s="25">
        <f>IF($N42&lt;&gt;"",IF(INDEX(PCBaskets,$N42)=0,"",INDEX(PCBaskets,$N42)),"")</f>
        <v/>
      </c>
      <c r="H42" s="26">
        <f>IF($N42&lt;&gt;"",IF(INDEX(PCNet,$N42)=0,"",INDEX(PCNet,$N42)),"")</f>
        <v/>
      </c>
      <c r="I42" s="25">
        <f>IF($N42&lt;&gt;"",IF(INDEX(PCOp,$N42)="مرجوعی خرید","",IF(INDEX(PCAmount,$N42)&lt;=0,"",INDEX(PCAmount,$N42))),IF($O42&lt;&gt;"",IF(INDEX(TxnDepB,$O42)=0,"",INDEX(TxnDepB,$O42)),""))</f>
        <v/>
      </c>
      <c r="J42" s="25">
        <f>IF($N42&lt;&gt;"",IF(INDEX(PCOp,$N42)="مرجوعی خرید",IF(INDEX(PCAmount,$N42)=0,"",-INDEX(PCAmount,$N42)),""),IF($O42&lt;&gt;"",IF(INDEX(TxnWitB,$O42)=0,"",INDEX(TxnWitB,$O42)),""))</f>
        <v/>
      </c>
      <c r="K42" s="27">
        <f>IF($B42="","",IF($K41="",$C$10,$K41)+IF($I42="",0,$I42)-IF($J42="",0,$J42))</f>
        <v/>
      </c>
      <c r="L42" s="28">
        <f>IF($N42&lt;&gt;"",IF(INDEX(PCNotes,$N42)="","—",INDEX(PCNotes,$N42)),IF($O42&lt;&gt;"",IF(INDEX(LdgNoteB,$O42)="","—",INDEX(LdgNoteB,$O42)),""))</f>
        <v/>
      </c>
      <c r="N42">
        <f>IFERROR(MATCH($C$5&amp;"|"&amp;RIGHT("000000"&amp;26,6),LdgRankKeyA,0),"")</f>
        <v/>
      </c>
      <c r="O42">
        <f>IFERROR(MATCH($C$5&amp;"|"&amp;RIGHT("000000"&amp;26,6),LdgRankKeyB,0),"")</f>
        <v/>
      </c>
    </row>
    <row r="43">
      <c r="A43" s="17" t="n">
        <v>27</v>
      </c>
      <c r="B43" s="18">
        <f>IF(AND($N43="",$O43=""),"",IF($N43&lt;&gt;"",INDEX(PCNormDate,$N43),INDEX(LdgDateB,$O43)))</f>
        <v/>
      </c>
      <c r="C43" s="18">
        <f>IF($N43&lt;&gt;"",INDEX(PCOp,$N43),IF($O43&lt;&gt;"",IF(N(INDEX(TxnDepB,$O43))&gt;0,"دریافت بانکی","پرداخت بانکی"),""))</f>
        <v/>
      </c>
      <c r="D43" s="18">
        <f>IF($N43&lt;&gt;"",IF(INDEX(PCDoc,$N43)="","—",INDEX(PCDoc,$N43)),IF($O43&lt;&gt;"",INDEX(LdgBankB,$O43),""))</f>
        <v/>
      </c>
      <c r="E43" s="18">
        <f>IF($N43&lt;&gt;"",IF(INDEX(PCCitrus,$N43)="","—",INDEX(PCCitrus,$N43)),"")</f>
        <v/>
      </c>
      <c r="F43" s="19">
        <f>IF($N43&lt;&gt;"",IF(INDEX(PCScale,$N43)=0,"",INDEX(PCScale,$N43)),"")</f>
        <v/>
      </c>
      <c r="G43" s="19">
        <f>IF($N43&lt;&gt;"",IF(INDEX(PCBaskets,$N43)=0,"",INDEX(PCBaskets,$N43)),"")</f>
        <v/>
      </c>
      <c r="H43" s="20">
        <f>IF($N43&lt;&gt;"",IF(INDEX(PCNet,$N43)=0,"",INDEX(PCNet,$N43)),"")</f>
        <v/>
      </c>
      <c r="I43" s="19">
        <f>IF($N43&lt;&gt;"",IF(INDEX(PCOp,$N43)="مرجوعی خرید","",IF(INDEX(PCAmount,$N43)&lt;=0,"",INDEX(PCAmount,$N43))),IF($O43&lt;&gt;"",IF(INDEX(TxnDepB,$O43)=0,"",INDEX(TxnDepB,$O43)),""))</f>
        <v/>
      </c>
      <c r="J43" s="19">
        <f>IF($N43&lt;&gt;"",IF(INDEX(PCOp,$N43)="مرجوعی خرید",IF(INDEX(PCAmount,$N43)=0,"",-INDEX(PCAmount,$N43)),""),IF($O43&lt;&gt;"",IF(INDEX(TxnWitB,$O43)=0,"",INDEX(TxnWitB,$O43)),""))</f>
        <v/>
      </c>
      <c r="K43" s="21">
        <f>IF($B43="","",IF($K42="",$C$10,$K42)+IF($I43="",0,$I43)-IF($J43="",0,$J43))</f>
        <v/>
      </c>
      <c r="L43" s="22">
        <f>IF($N43&lt;&gt;"",IF(INDEX(PCNotes,$N43)="","—",INDEX(PCNotes,$N43)),IF($O43&lt;&gt;"",IF(INDEX(LdgNoteB,$O43)="","—",INDEX(LdgNoteB,$O43)),""))</f>
        <v/>
      </c>
      <c r="N43">
        <f>IFERROR(MATCH($C$5&amp;"|"&amp;RIGHT("000000"&amp;27,6),LdgRankKeyA,0),"")</f>
        <v/>
      </c>
      <c r="O43">
        <f>IFERROR(MATCH($C$5&amp;"|"&amp;RIGHT("000000"&amp;27,6),LdgRankKeyB,0),"")</f>
        <v/>
      </c>
    </row>
    <row r="44">
      <c r="A44" s="23" t="n">
        <v>28</v>
      </c>
      <c r="B44" s="24">
        <f>IF(AND($N44="",$O44=""),"",IF($N44&lt;&gt;"",INDEX(PCNormDate,$N44),INDEX(LdgDateB,$O44)))</f>
        <v/>
      </c>
      <c r="C44" s="24">
        <f>IF($N44&lt;&gt;"",INDEX(PCOp,$N44),IF($O44&lt;&gt;"",IF(N(INDEX(TxnDepB,$O44))&gt;0,"دریافت بانکی","پرداخت بانکی"),""))</f>
        <v/>
      </c>
      <c r="D44" s="24">
        <f>IF($N44&lt;&gt;"",IF(INDEX(PCDoc,$N44)="","—",INDEX(PCDoc,$N44)),IF($O44&lt;&gt;"",INDEX(LdgBankB,$O44),""))</f>
        <v/>
      </c>
      <c r="E44" s="24">
        <f>IF($N44&lt;&gt;"",IF(INDEX(PCCitrus,$N44)="","—",INDEX(PCCitrus,$N44)),"")</f>
        <v/>
      </c>
      <c r="F44" s="25">
        <f>IF($N44&lt;&gt;"",IF(INDEX(PCScale,$N44)=0,"",INDEX(PCScale,$N44)),"")</f>
        <v/>
      </c>
      <c r="G44" s="25">
        <f>IF($N44&lt;&gt;"",IF(INDEX(PCBaskets,$N44)=0,"",INDEX(PCBaskets,$N44)),"")</f>
        <v/>
      </c>
      <c r="H44" s="26">
        <f>IF($N44&lt;&gt;"",IF(INDEX(PCNet,$N44)=0,"",INDEX(PCNet,$N44)),"")</f>
        <v/>
      </c>
      <c r="I44" s="25">
        <f>IF($N44&lt;&gt;"",IF(INDEX(PCOp,$N44)="مرجوعی خرید","",IF(INDEX(PCAmount,$N44)&lt;=0,"",INDEX(PCAmount,$N44))),IF($O44&lt;&gt;"",IF(INDEX(TxnDepB,$O44)=0,"",INDEX(TxnDepB,$O44)),""))</f>
        <v/>
      </c>
      <c r="J44" s="25">
        <f>IF($N44&lt;&gt;"",IF(INDEX(PCOp,$N44)="مرجوعی خرید",IF(INDEX(PCAmount,$N44)=0,"",-INDEX(PCAmount,$N44)),""),IF($O44&lt;&gt;"",IF(INDEX(TxnWitB,$O44)=0,"",INDEX(TxnWitB,$O44)),""))</f>
        <v/>
      </c>
      <c r="K44" s="27">
        <f>IF($B44="","",IF($K43="",$C$10,$K43)+IF($I44="",0,$I44)-IF($J44="",0,$J44))</f>
        <v/>
      </c>
      <c r="L44" s="28">
        <f>IF($N44&lt;&gt;"",IF(INDEX(PCNotes,$N44)="","—",INDEX(PCNotes,$N44)),IF($O44&lt;&gt;"",IF(INDEX(LdgNoteB,$O44)="","—",INDEX(LdgNoteB,$O44)),""))</f>
        <v/>
      </c>
      <c r="N44">
        <f>IFERROR(MATCH($C$5&amp;"|"&amp;RIGHT("000000"&amp;28,6),LdgRankKeyA,0),"")</f>
        <v/>
      </c>
      <c r="O44">
        <f>IFERROR(MATCH($C$5&amp;"|"&amp;RIGHT("000000"&amp;28,6),LdgRankKeyB,0),"")</f>
        <v/>
      </c>
    </row>
    <row r="45">
      <c r="A45" s="17" t="n">
        <v>29</v>
      </c>
      <c r="B45" s="18">
        <f>IF(AND($N45="",$O45=""),"",IF($N45&lt;&gt;"",INDEX(PCNormDate,$N45),INDEX(LdgDateB,$O45)))</f>
        <v/>
      </c>
      <c r="C45" s="18">
        <f>IF($N45&lt;&gt;"",INDEX(PCOp,$N45),IF($O45&lt;&gt;"",IF(N(INDEX(TxnDepB,$O45))&gt;0,"دریافت بانکی","پرداخت بانکی"),""))</f>
        <v/>
      </c>
      <c r="D45" s="18">
        <f>IF($N45&lt;&gt;"",IF(INDEX(PCDoc,$N45)="","—",INDEX(PCDoc,$N45)),IF($O45&lt;&gt;"",INDEX(LdgBankB,$O45),""))</f>
        <v/>
      </c>
      <c r="E45" s="18">
        <f>IF($N45&lt;&gt;"",IF(INDEX(PCCitrus,$N45)="","—",INDEX(PCCitrus,$N45)),"")</f>
        <v/>
      </c>
      <c r="F45" s="19">
        <f>IF($N45&lt;&gt;"",IF(INDEX(PCScale,$N45)=0,"",INDEX(PCScale,$N45)),"")</f>
        <v/>
      </c>
      <c r="G45" s="19">
        <f>IF($N45&lt;&gt;"",IF(INDEX(PCBaskets,$N45)=0,"",INDEX(PCBaskets,$N45)),"")</f>
        <v/>
      </c>
      <c r="H45" s="20">
        <f>IF($N45&lt;&gt;"",IF(INDEX(PCNet,$N45)=0,"",INDEX(PCNet,$N45)),"")</f>
        <v/>
      </c>
      <c r="I45" s="19">
        <f>IF($N45&lt;&gt;"",IF(INDEX(PCOp,$N45)="مرجوعی خرید","",IF(INDEX(PCAmount,$N45)&lt;=0,"",INDEX(PCAmount,$N45))),IF($O45&lt;&gt;"",IF(INDEX(TxnDepB,$O45)=0,"",INDEX(TxnDepB,$O45)),""))</f>
        <v/>
      </c>
      <c r="J45" s="19">
        <f>IF($N45&lt;&gt;"",IF(INDEX(PCOp,$N45)="مرجوعی خرید",IF(INDEX(PCAmount,$N45)=0,"",-INDEX(PCAmount,$N45)),""),IF($O45&lt;&gt;"",IF(INDEX(TxnWitB,$O45)=0,"",INDEX(TxnWitB,$O45)),""))</f>
        <v/>
      </c>
      <c r="K45" s="21">
        <f>IF($B45="","",IF($K44="",$C$10,$K44)+IF($I45="",0,$I45)-IF($J45="",0,$J45))</f>
        <v/>
      </c>
      <c r="L45" s="22">
        <f>IF($N45&lt;&gt;"",IF(INDEX(PCNotes,$N45)="","—",INDEX(PCNotes,$N45)),IF($O45&lt;&gt;"",IF(INDEX(LdgNoteB,$O45)="","—",INDEX(LdgNoteB,$O45)),""))</f>
        <v/>
      </c>
      <c r="N45">
        <f>IFERROR(MATCH($C$5&amp;"|"&amp;RIGHT("000000"&amp;29,6),LdgRankKeyA,0),"")</f>
        <v/>
      </c>
      <c r="O45">
        <f>IFERROR(MATCH($C$5&amp;"|"&amp;RIGHT("000000"&amp;29,6),LdgRankKeyB,0),"")</f>
        <v/>
      </c>
    </row>
    <row r="46">
      <c r="A46" s="23" t="n">
        <v>30</v>
      </c>
      <c r="B46" s="24">
        <f>IF(AND($N46="",$O46=""),"",IF($N46&lt;&gt;"",INDEX(PCNormDate,$N46),INDEX(LdgDateB,$O46)))</f>
        <v/>
      </c>
      <c r="C46" s="24">
        <f>IF($N46&lt;&gt;"",INDEX(PCOp,$N46),IF($O46&lt;&gt;"",IF(N(INDEX(TxnDepB,$O46))&gt;0,"دریافت بانکی","پرداخت بانکی"),""))</f>
        <v/>
      </c>
      <c r="D46" s="24">
        <f>IF($N46&lt;&gt;"",IF(INDEX(PCDoc,$N46)="","—",INDEX(PCDoc,$N46)),IF($O46&lt;&gt;"",INDEX(LdgBankB,$O46),""))</f>
        <v/>
      </c>
      <c r="E46" s="24">
        <f>IF($N46&lt;&gt;"",IF(INDEX(PCCitrus,$N46)="","—",INDEX(PCCitrus,$N46)),"")</f>
        <v/>
      </c>
      <c r="F46" s="25">
        <f>IF($N46&lt;&gt;"",IF(INDEX(PCScale,$N46)=0,"",INDEX(PCScale,$N46)),"")</f>
        <v/>
      </c>
      <c r="G46" s="25">
        <f>IF($N46&lt;&gt;"",IF(INDEX(PCBaskets,$N46)=0,"",INDEX(PCBaskets,$N46)),"")</f>
        <v/>
      </c>
      <c r="H46" s="26">
        <f>IF($N46&lt;&gt;"",IF(INDEX(PCNet,$N46)=0,"",INDEX(PCNet,$N46)),"")</f>
        <v/>
      </c>
      <c r="I46" s="25">
        <f>IF($N46&lt;&gt;"",IF(INDEX(PCOp,$N46)="مرجوعی خرید","",IF(INDEX(PCAmount,$N46)&lt;=0,"",INDEX(PCAmount,$N46))),IF($O46&lt;&gt;"",IF(INDEX(TxnDepB,$O46)=0,"",INDEX(TxnDepB,$O46)),""))</f>
        <v/>
      </c>
      <c r="J46" s="25">
        <f>IF($N46&lt;&gt;"",IF(INDEX(PCOp,$N46)="مرجوعی خرید",IF(INDEX(PCAmount,$N46)=0,"",-INDEX(PCAmount,$N46)),""),IF($O46&lt;&gt;"",IF(INDEX(TxnWitB,$O46)=0,"",INDEX(TxnWitB,$O46)),""))</f>
        <v/>
      </c>
      <c r="K46" s="27">
        <f>IF($B46="","",IF($K45="",$C$10,$K45)+IF($I46="",0,$I46)-IF($J46="",0,$J46))</f>
        <v/>
      </c>
      <c r="L46" s="28">
        <f>IF($N46&lt;&gt;"",IF(INDEX(PCNotes,$N46)="","—",INDEX(PCNotes,$N46)),IF($O46&lt;&gt;"",IF(INDEX(LdgNoteB,$O46)="","—",INDEX(LdgNoteB,$O46)),""))</f>
        <v/>
      </c>
      <c r="N46">
        <f>IFERROR(MATCH($C$5&amp;"|"&amp;RIGHT("000000"&amp;30,6),LdgRankKeyA,0),"")</f>
        <v/>
      </c>
      <c r="O46">
        <f>IFERROR(MATCH($C$5&amp;"|"&amp;RIGHT("000000"&amp;30,6),LdgRankKeyB,0),"")</f>
        <v/>
      </c>
    </row>
    <row r="47">
      <c r="A47" s="17" t="n">
        <v>31</v>
      </c>
      <c r="B47" s="18">
        <f>IF(AND($N47="",$O47=""),"",IF($N47&lt;&gt;"",INDEX(PCNormDate,$N47),INDEX(LdgDateB,$O47)))</f>
        <v/>
      </c>
      <c r="C47" s="18">
        <f>IF($N47&lt;&gt;"",INDEX(PCOp,$N47),IF($O47&lt;&gt;"",IF(N(INDEX(TxnDepB,$O47))&gt;0,"دریافت بانکی","پرداخت بانکی"),""))</f>
        <v/>
      </c>
      <c r="D47" s="18">
        <f>IF($N47&lt;&gt;"",IF(INDEX(PCDoc,$N47)="","—",INDEX(PCDoc,$N47)),IF($O47&lt;&gt;"",INDEX(LdgBankB,$O47),""))</f>
        <v/>
      </c>
      <c r="E47" s="18">
        <f>IF($N47&lt;&gt;"",IF(INDEX(PCCitrus,$N47)="","—",INDEX(PCCitrus,$N47)),"")</f>
        <v/>
      </c>
      <c r="F47" s="19">
        <f>IF($N47&lt;&gt;"",IF(INDEX(PCScale,$N47)=0,"",INDEX(PCScale,$N47)),"")</f>
        <v/>
      </c>
      <c r="G47" s="19">
        <f>IF($N47&lt;&gt;"",IF(INDEX(PCBaskets,$N47)=0,"",INDEX(PCBaskets,$N47)),"")</f>
        <v/>
      </c>
      <c r="H47" s="20">
        <f>IF($N47&lt;&gt;"",IF(INDEX(PCNet,$N47)=0,"",INDEX(PCNet,$N47)),"")</f>
        <v/>
      </c>
      <c r="I47" s="19">
        <f>IF($N47&lt;&gt;"",IF(INDEX(PCOp,$N47)="مرجوعی خرید","",IF(INDEX(PCAmount,$N47)&lt;=0,"",INDEX(PCAmount,$N47))),IF($O47&lt;&gt;"",IF(INDEX(TxnDepB,$O47)=0,"",INDEX(TxnDepB,$O47)),""))</f>
        <v/>
      </c>
      <c r="J47" s="19">
        <f>IF($N47&lt;&gt;"",IF(INDEX(PCOp,$N47)="مرجوعی خرید",IF(INDEX(PCAmount,$N47)=0,"",-INDEX(PCAmount,$N47)),""),IF($O47&lt;&gt;"",IF(INDEX(TxnWitB,$O47)=0,"",INDEX(TxnWitB,$O47)),""))</f>
        <v/>
      </c>
      <c r="K47" s="21">
        <f>IF($B47="","",IF($K46="",$C$10,$K46)+IF($I47="",0,$I47)-IF($J47="",0,$J47))</f>
        <v/>
      </c>
      <c r="L47" s="22">
        <f>IF($N47&lt;&gt;"",IF(INDEX(PCNotes,$N47)="","—",INDEX(PCNotes,$N47)),IF($O47&lt;&gt;"",IF(INDEX(LdgNoteB,$O47)="","—",INDEX(LdgNoteB,$O47)),""))</f>
        <v/>
      </c>
      <c r="N47">
        <f>IFERROR(MATCH($C$5&amp;"|"&amp;RIGHT("000000"&amp;31,6),LdgRankKeyA,0),"")</f>
        <v/>
      </c>
      <c r="O47">
        <f>IFERROR(MATCH($C$5&amp;"|"&amp;RIGHT("000000"&amp;31,6),LdgRankKeyB,0),"")</f>
        <v/>
      </c>
    </row>
    <row r="48">
      <c r="A48" s="23" t="n">
        <v>32</v>
      </c>
      <c r="B48" s="24">
        <f>IF(AND($N48="",$O48=""),"",IF($N48&lt;&gt;"",INDEX(PCNormDate,$N48),INDEX(LdgDateB,$O48)))</f>
        <v/>
      </c>
      <c r="C48" s="24">
        <f>IF($N48&lt;&gt;"",INDEX(PCOp,$N48),IF($O48&lt;&gt;"",IF(N(INDEX(TxnDepB,$O48))&gt;0,"دریافت بانکی","پرداخت بانکی"),""))</f>
        <v/>
      </c>
      <c r="D48" s="24">
        <f>IF($N48&lt;&gt;"",IF(INDEX(PCDoc,$N48)="","—",INDEX(PCDoc,$N48)),IF($O48&lt;&gt;"",INDEX(LdgBankB,$O48),""))</f>
        <v/>
      </c>
      <c r="E48" s="24">
        <f>IF($N48&lt;&gt;"",IF(INDEX(PCCitrus,$N48)="","—",INDEX(PCCitrus,$N48)),"")</f>
        <v/>
      </c>
      <c r="F48" s="25">
        <f>IF($N48&lt;&gt;"",IF(INDEX(PCScale,$N48)=0,"",INDEX(PCScale,$N48)),"")</f>
        <v/>
      </c>
      <c r="G48" s="25">
        <f>IF($N48&lt;&gt;"",IF(INDEX(PCBaskets,$N48)=0,"",INDEX(PCBaskets,$N48)),"")</f>
        <v/>
      </c>
      <c r="H48" s="26">
        <f>IF($N48&lt;&gt;"",IF(INDEX(PCNet,$N48)=0,"",INDEX(PCNet,$N48)),"")</f>
        <v/>
      </c>
      <c r="I48" s="25">
        <f>IF($N48&lt;&gt;"",IF(INDEX(PCOp,$N48)="مرجوعی خرید","",IF(INDEX(PCAmount,$N48)&lt;=0,"",INDEX(PCAmount,$N48))),IF($O48&lt;&gt;"",IF(INDEX(TxnDepB,$O48)=0,"",INDEX(TxnDepB,$O48)),""))</f>
        <v/>
      </c>
      <c r="J48" s="25">
        <f>IF($N48&lt;&gt;"",IF(INDEX(PCOp,$N48)="مرجوعی خرید",IF(INDEX(PCAmount,$N48)=0,"",-INDEX(PCAmount,$N48)),""),IF($O48&lt;&gt;"",IF(INDEX(TxnWitB,$O48)=0,"",INDEX(TxnWitB,$O48)),""))</f>
        <v/>
      </c>
      <c r="K48" s="27">
        <f>IF($B48="","",IF($K47="",$C$10,$K47)+IF($I48="",0,$I48)-IF($J48="",0,$J48))</f>
        <v/>
      </c>
      <c r="L48" s="28">
        <f>IF($N48&lt;&gt;"",IF(INDEX(PCNotes,$N48)="","—",INDEX(PCNotes,$N48)),IF($O48&lt;&gt;"",IF(INDEX(LdgNoteB,$O48)="","—",INDEX(LdgNoteB,$O48)),""))</f>
        <v/>
      </c>
      <c r="N48">
        <f>IFERROR(MATCH($C$5&amp;"|"&amp;RIGHT("000000"&amp;32,6),LdgRankKeyA,0),"")</f>
        <v/>
      </c>
      <c r="O48">
        <f>IFERROR(MATCH($C$5&amp;"|"&amp;RIGHT("000000"&amp;32,6),LdgRankKeyB,0),"")</f>
        <v/>
      </c>
    </row>
    <row r="49">
      <c r="A49" s="17" t="n">
        <v>33</v>
      </c>
      <c r="B49" s="18">
        <f>IF(AND($N49="",$O49=""),"",IF($N49&lt;&gt;"",INDEX(PCNormDate,$N49),INDEX(LdgDateB,$O49)))</f>
        <v/>
      </c>
      <c r="C49" s="18">
        <f>IF($N49&lt;&gt;"",INDEX(PCOp,$N49),IF($O49&lt;&gt;"",IF(N(INDEX(TxnDepB,$O49))&gt;0,"دریافت بانکی","پرداخت بانکی"),""))</f>
        <v/>
      </c>
      <c r="D49" s="18">
        <f>IF($N49&lt;&gt;"",IF(INDEX(PCDoc,$N49)="","—",INDEX(PCDoc,$N49)),IF($O49&lt;&gt;"",INDEX(LdgBankB,$O49),""))</f>
        <v/>
      </c>
      <c r="E49" s="18">
        <f>IF($N49&lt;&gt;"",IF(INDEX(PCCitrus,$N49)="","—",INDEX(PCCitrus,$N49)),"")</f>
        <v/>
      </c>
      <c r="F49" s="19">
        <f>IF($N49&lt;&gt;"",IF(INDEX(PCScale,$N49)=0,"",INDEX(PCScale,$N49)),"")</f>
        <v/>
      </c>
      <c r="G49" s="19">
        <f>IF($N49&lt;&gt;"",IF(INDEX(PCBaskets,$N49)=0,"",INDEX(PCBaskets,$N49)),"")</f>
        <v/>
      </c>
      <c r="H49" s="20">
        <f>IF($N49&lt;&gt;"",IF(INDEX(PCNet,$N49)=0,"",INDEX(PCNet,$N49)),"")</f>
        <v/>
      </c>
      <c r="I49" s="19">
        <f>IF($N49&lt;&gt;"",IF(INDEX(PCOp,$N49)="مرجوعی خرید","",IF(INDEX(PCAmount,$N49)&lt;=0,"",INDEX(PCAmount,$N49))),IF($O49&lt;&gt;"",IF(INDEX(TxnDepB,$O49)=0,"",INDEX(TxnDepB,$O49)),""))</f>
        <v/>
      </c>
      <c r="J49" s="19">
        <f>IF($N49&lt;&gt;"",IF(INDEX(PCOp,$N49)="مرجوعی خرید",IF(INDEX(PCAmount,$N49)=0,"",-INDEX(PCAmount,$N49)),""),IF($O49&lt;&gt;"",IF(INDEX(TxnWitB,$O49)=0,"",INDEX(TxnWitB,$O49)),""))</f>
        <v/>
      </c>
      <c r="K49" s="21">
        <f>IF($B49="","",IF($K48="",$C$10,$K48)+IF($I49="",0,$I49)-IF($J49="",0,$J49))</f>
        <v/>
      </c>
      <c r="L49" s="22">
        <f>IF($N49&lt;&gt;"",IF(INDEX(PCNotes,$N49)="","—",INDEX(PCNotes,$N49)),IF($O49&lt;&gt;"",IF(INDEX(LdgNoteB,$O49)="","—",INDEX(LdgNoteB,$O49)),""))</f>
        <v/>
      </c>
      <c r="N49">
        <f>IFERROR(MATCH($C$5&amp;"|"&amp;RIGHT("000000"&amp;33,6),LdgRankKeyA,0),"")</f>
        <v/>
      </c>
      <c r="O49">
        <f>IFERROR(MATCH($C$5&amp;"|"&amp;RIGHT("000000"&amp;33,6),LdgRankKeyB,0),"")</f>
        <v/>
      </c>
    </row>
    <row r="50">
      <c r="A50" s="23" t="n">
        <v>34</v>
      </c>
      <c r="B50" s="24">
        <f>IF(AND($N50="",$O50=""),"",IF($N50&lt;&gt;"",INDEX(PCNormDate,$N50),INDEX(LdgDateB,$O50)))</f>
        <v/>
      </c>
      <c r="C50" s="24">
        <f>IF($N50&lt;&gt;"",INDEX(PCOp,$N50),IF($O50&lt;&gt;"",IF(N(INDEX(TxnDepB,$O50))&gt;0,"دریافت بانکی","پرداخت بانکی"),""))</f>
        <v/>
      </c>
      <c r="D50" s="24">
        <f>IF($N50&lt;&gt;"",IF(INDEX(PCDoc,$N50)="","—",INDEX(PCDoc,$N50)),IF($O50&lt;&gt;"",INDEX(LdgBankB,$O50),""))</f>
        <v/>
      </c>
      <c r="E50" s="24">
        <f>IF($N50&lt;&gt;"",IF(INDEX(PCCitrus,$N50)="","—",INDEX(PCCitrus,$N50)),"")</f>
        <v/>
      </c>
      <c r="F50" s="25">
        <f>IF($N50&lt;&gt;"",IF(INDEX(PCScale,$N50)=0,"",INDEX(PCScale,$N50)),"")</f>
        <v/>
      </c>
      <c r="G50" s="25">
        <f>IF($N50&lt;&gt;"",IF(INDEX(PCBaskets,$N50)=0,"",INDEX(PCBaskets,$N50)),"")</f>
        <v/>
      </c>
      <c r="H50" s="26">
        <f>IF($N50&lt;&gt;"",IF(INDEX(PCNet,$N50)=0,"",INDEX(PCNet,$N50)),"")</f>
        <v/>
      </c>
      <c r="I50" s="25">
        <f>IF($N50&lt;&gt;"",IF(INDEX(PCOp,$N50)="مرجوعی خرید","",IF(INDEX(PCAmount,$N50)&lt;=0,"",INDEX(PCAmount,$N50))),IF($O50&lt;&gt;"",IF(INDEX(TxnDepB,$O50)=0,"",INDEX(TxnDepB,$O50)),""))</f>
        <v/>
      </c>
      <c r="J50" s="25">
        <f>IF($N50&lt;&gt;"",IF(INDEX(PCOp,$N50)="مرجوعی خرید",IF(INDEX(PCAmount,$N50)=0,"",-INDEX(PCAmount,$N50)),""),IF($O50&lt;&gt;"",IF(INDEX(TxnWitB,$O50)=0,"",INDEX(TxnWitB,$O50)),""))</f>
        <v/>
      </c>
      <c r="K50" s="27">
        <f>IF($B50="","",IF($K49="",$C$10,$K49)+IF($I50="",0,$I50)-IF($J50="",0,$J50))</f>
        <v/>
      </c>
      <c r="L50" s="28">
        <f>IF($N50&lt;&gt;"",IF(INDEX(PCNotes,$N50)="","—",INDEX(PCNotes,$N50)),IF($O50&lt;&gt;"",IF(INDEX(LdgNoteB,$O50)="","—",INDEX(LdgNoteB,$O50)),""))</f>
        <v/>
      </c>
      <c r="N50">
        <f>IFERROR(MATCH($C$5&amp;"|"&amp;RIGHT("000000"&amp;34,6),LdgRankKeyA,0),"")</f>
        <v/>
      </c>
      <c r="O50">
        <f>IFERROR(MATCH($C$5&amp;"|"&amp;RIGHT("000000"&amp;34,6),LdgRankKeyB,0),"")</f>
        <v/>
      </c>
    </row>
    <row r="51">
      <c r="A51" s="17" t="n">
        <v>35</v>
      </c>
      <c r="B51" s="18">
        <f>IF(AND($N51="",$O51=""),"",IF($N51&lt;&gt;"",INDEX(PCNormDate,$N51),INDEX(LdgDateB,$O51)))</f>
        <v/>
      </c>
      <c r="C51" s="18">
        <f>IF($N51&lt;&gt;"",INDEX(PCOp,$N51),IF($O51&lt;&gt;"",IF(N(INDEX(TxnDepB,$O51))&gt;0,"دریافت بانکی","پرداخت بانکی"),""))</f>
        <v/>
      </c>
      <c r="D51" s="18">
        <f>IF($N51&lt;&gt;"",IF(INDEX(PCDoc,$N51)="","—",INDEX(PCDoc,$N51)),IF($O51&lt;&gt;"",INDEX(LdgBankB,$O51),""))</f>
        <v/>
      </c>
      <c r="E51" s="18">
        <f>IF($N51&lt;&gt;"",IF(INDEX(PCCitrus,$N51)="","—",INDEX(PCCitrus,$N51)),"")</f>
        <v/>
      </c>
      <c r="F51" s="19">
        <f>IF($N51&lt;&gt;"",IF(INDEX(PCScale,$N51)=0,"",INDEX(PCScale,$N51)),"")</f>
        <v/>
      </c>
      <c r="G51" s="19">
        <f>IF($N51&lt;&gt;"",IF(INDEX(PCBaskets,$N51)=0,"",INDEX(PCBaskets,$N51)),"")</f>
        <v/>
      </c>
      <c r="H51" s="20">
        <f>IF($N51&lt;&gt;"",IF(INDEX(PCNet,$N51)=0,"",INDEX(PCNet,$N51)),"")</f>
        <v/>
      </c>
      <c r="I51" s="19">
        <f>IF($N51&lt;&gt;"",IF(INDEX(PCOp,$N51)="مرجوعی خرید","",IF(INDEX(PCAmount,$N51)&lt;=0,"",INDEX(PCAmount,$N51))),IF($O51&lt;&gt;"",IF(INDEX(TxnDepB,$O51)=0,"",INDEX(TxnDepB,$O51)),""))</f>
        <v/>
      </c>
      <c r="J51" s="19">
        <f>IF($N51&lt;&gt;"",IF(INDEX(PCOp,$N51)="مرجوعی خرید",IF(INDEX(PCAmount,$N51)=0,"",-INDEX(PCAmount,$N51)),""),IF($O51&lt;&gt;"",IF(INDEX(TxnWitB,$O51)=0,"",INDEX(TxnWitB,$O51)),""))</f>
        <v/>
      </c>
      <c r="K51" s="21">
        <f>IF($B51="","",IF($K50="",$C$10,$K50)+IF($I51="",0,$I51)-IF($J51="",0,$J51))</f>
        <v/>
      </c>
      <c r="L51" s="22">
        <f>IF($N51&lt;&gt;"",IF(INDEX(PCNotes,$N51)="","—",INDEX(PCNotes,$N51)),IF($O51&lt;&gt;"",IF(INDEX(LdgNoteB,$O51)="","—",INDEX(LdgNoteB,$O51)),""))</f>
        <v/>
      </c>
      <c r="N51">
        <f>IFERROR(MATCH($C$5&amp;"|"&amp;RIGHT("000000"&amp;35,6),LdgRankKeyA,0),"")</f>
        <v/>
      </c>
      <c r="O51">
        <f>IFERROR(MATCH($C$5&amp;"|"&amp;RIGHT("000000"&amp;35,6),LdgRankKeyB,0),"")</f>
        <v/>
      </c>
    </row>
    <row r="52">
      <c r="A52" s="23" t="n">
        <v>36</v>
      </c>
      <c r="B52" s="24">
        <f>IF(AND($N52="",$O52=""),"",IF($N52&lt;&gt;"",INDEX(PCNormDate,$N52),INDEX(LdgDateB,$O52)))</f>
        <v/>
      </c>
      <c r="C52" s="24">
        <f>IF($N52&lt;&gt;"",INDEX(PCOp,$N52),IF($O52&lt;&gt;"",IF(N(INDEX(TxnDepB,$O52))&gt;0,"دریافت بانکی","پرداخت بانکی"),""))</f>
        <v/>
      </c>
      <c r="D52" s="24">
        <f>IF($N52&lt;&gt;"",IF(INDEX(PCDoc,$N52)="","—",INDEX(PCDoc,$N52)),IF($O52&lt;&gt;"",INDEX(LdgBankB,$O52),""))</f>
        <v/>
      </c>
      <c r="E52" s="24">
        <f>IF($N52&lt;&gt;"",IF(INDEX(PCCitrus,$N52)="","—",INDEX(PCCitrus,$N52)),"")</f>
        <v/>
      </c>
      <c r="F52" s="25">
        <f>IF($N52&lt;&gt;"",IF(INDEX(PCScale,$N52)=0,"",INDEX(PCScale,$N52)),"")</f>
        <v/>
      </c>
      <c r="G52" s="25">
        <f>IF($N52&lt;&gt;"",IF(INDEX(PCBaskets,$N52)=0,"",INDEX(PCBaskets,$N52)),"")</f>
        <v/>
      </c>
      <c r="H52" s="26">
        <f>IF($N52&lt;&gt;"",IF(INDEX(PCNet,$N52)=0,"",INDEX(PCNet,$N52)),"")</f>
        <v/>
      </c>
      <c r="I52" s="25">
        <f>IF($N52&lt;&gt;"",IF(INDEX(PCOp,$N52)="مرجوعی خرید","",IF(INDEX(PCAmount,$N52)&lt;=0,"",INDEX(PCAmount,$N52))),IF($O52&lt;&gt;"",IF(INDEX(TxnDepB,$O52)=0,"",INDEX(TxnDepB,$O52)),""))</f>
        <v/>
      </c>
      <c r="J52" s="25">
        <f>IF($N52&lt;&gt;"",IF(INDEX(PCOp,$N52)="مرجوعی خرید",IF(INDEX(PCAmount,$N52)=0,"",-INDEX(PCAmount,$N52)),""),IF($O52&lt;&gt;"",IF(INDEX(TxnWitB,$O52)=0,"",INDEX(TxnWitB,$O52)),""))</f>
        <v/>
      </c>
      <c r="K52" s="27">
        <f>IF($B52="","",IF($K51="",$C$10,$K51)+IF($I52="",0,$I52)-IF($J52="",0,$J52))</f>
        <v/>
      </c>
      <c r="L52" s="28">
        <f>IF($N52&lt;&gt;"",IF(INDEX(PCNotes,$N52)="","—",INDEX(PCNotes,$N52)),IF($O52&lt;&gt;"",IF(INDEX(LdgNoteB,$O52)="","—",INDEX(LdgNoteB,$O52)),""))</f>
        <v/>
      </c>
      <c r="N52">
        <f>IFERROR(MATCH($C$5&amp;"|"&amp;RIGHT("000000"&amp;36,6),LdgRankKeyA,0),"")</f>
        <v/>
      </c>
      <c r="O52">
        <f>IFERROR(MATCH($C$5&amp;"|"&amp;RIGHT("000000"&amp;36,6),LdgRankKeyB,0),"")</f>
        <v/>
      </c>
    </row>
    <row r="53">
      <c r="A53" s="17" t="n">
        <v>37</v>
      </c>
      <c r="B53" s="18">
        <f>IF(AND($N53="",$O53=""),"",IF($N53&lt;&gt;"",INDEX(PCNormDate,$N53),INDEX(LdgDateB,$O53)))</f>
        <v/>
      </c>
      <c r="C53" s="18">
        <f>IF($N53&lt;&gt;"",INDEX(PCOp,$N53),IF($O53&lt;&gt;"",IF(N(INDEX(TxnDepB,$O53))&gt;0,"دریافت بانکی","پرداخت بانکی"),""))</f>
        <v/>
      </c>
      <c r="D53" s="18">
        <f>IF($N53&lt;&gt;"",IF(INDEX(PCDoc,$N53)="","—",INDEX(PCDoc,$N53)),IF($O53&lt;&gt;"",INDEX(LdgBankB,$O53),""))</f>
        <v/>
      </c>
      <c r="E53" s="18">
        <f>IF($N53&lt;&gt;"",IF(INDEX(PCCitrus,$N53)="","—",INDEX(PCCitrus,$N53)),"")</f>
        <v/>
      </c>
      <c r="F53" s="19">
        <f>IF($N53&lt;&gt;"",IF(INDEX(PCScale,$N53)=0,"",INDEX(PCScale,$N53)),"")</f>
        <v/>
      </c>
      <c r="G53" s="19">
        <f>IF($N53&lt;&gt;"",IF(INDEX(PCBaskets,$N53)=0,"",INDEX(PCBaskets,$N53)),"")</f>
        <v/>
      </c>
      <c r="H53" s="20">
        <f>IF($N53&lt;&gt;"",IF(INDEX(PCNet,$N53)=0,"",INDEX(PCNet,$N53)),"")</f>
        <v/>
      </c>
      <c r="I53" s="19">
        <f>IF($N53&lt;&gt;"",IF(INDEX(PCOp,$N53)="مرجوعی خرید","",IF(INDEX(PCAmount,$N53)&lt;=0,"",INDEX(PCAmount,$N53))),IF($O53&lt;&gt;"",IF(INDEX(TxnDepB,$O53)=0,"",INDEX(TxnDepB,$O53)),""))</f>
        <v/>
      </c>
      <c r="J53" s="19">
        <f>IF($N53&lt;&gt;"",IF(INDEX(PCOp,$N53)="مرجوعی خرید",IF(INDEX(PCAmount,$N53)=0,"",-INDEX(PCAmount,$N53)),""),IF($O53&lt;&gt;"",IF(INDEX(TxnWitB,$O53)=0,"",INDEX(TxnWitB,$O53)),""))</f>
        <v/>
      </c>
      <c r="K53" s="21">
        <f>IF($B53="","",IF($K52="",$C$10,$K52)+IF($I53="",0,$I53)-IF($J53="",0,$J53))</f>
        <v/>
      </c>
      <c r="L53" s="22">
        <f>IF($N53&lt;&gt;"",IF(INDEX(PCNotes,$N53)="","—",INDEX(PCNotes,$N53)),IF($O53&lt;&gt;"",IF(INDEX(LdgNoteB,$O53)="","—",INDEX(LdgNoteB,$O53)),""))</f>
        <v/>
      </c>
      <c r="N53">
        <f>IFERROR(MATCH($C$5&amp;"|"&amp;RIGHT("000000"&amp;37,6),LdgRankKeyA,0),"")</f>
        <v/>
      </c>
      <c r="O53">
        <f>IFERROR(MATCH($C$5&amp;"|"&amp;RIGHT("000000"&amp;37,6),LdgRankKeyB,0),"")</f>
        <v/>
      </c>
    </row>
    <row r="54">
      <c r="A54" s="23" t="n">
        <v>38</v>
      </c>
      <c r="B54" s="24">
        <f>IF(AND($N54="",$O54=""),"",IF($N54&lt;&gt;"",INDEX(PCNormDate,$N54),INDEX(LdgDateB,$O54)))</f>
        <v/>
      </c>
      <c r="C54" s="24">
        <f>IF($N54&lt;&gt;"",INDEX(PCOp,$N54),IF($O54&lt;&gt;"",IF(N(INDEX(TxnDepB,$O54))&gt;0,"دریافت بانکی","پرداخت بانکی"),""))</f>
        <v/>
      </c>
      <c r="D54" s="24">
        <f>IF($N54&lt;&gt;"",IF(INDEX(PCDoc,$N54)="","—",INDEX(PCDoc,$N54)),IF($O54&lt;&gt;"",INDEX(LdgBankB,$O54),""))</f>
        <v/>
      </c>
      <c r="E54" s="24">
        <f>IF($N54&lt;&gt;"",IF(INDEX(PCCitrus,$N54)="","—",INDEX(PCCitrus,$N54)),"")</f>
        <v/>
      </c>
      <c r="F54" s="25">
        <f>IF($N54&lt;&gt;"",IF(INDEX(PCScale,$N54)=0,"",INDEX(PCScale,$N54)),"")</f>
        <v/>
      </c>
      <c r="G54" s="25">
        <f>IF($N54&lt;&gt;"",IF(INDEX(PCBaskets,$N54)=0,"",INDEX(PCBaskets,$N54)),"")</f>
        <v/>
      </c>
      <c r="H54" s="26">
        <f>IF($N54&lt;&gt;"",IF(INDEX(PCNet,$N54)=0,"",INDEX(PCNet,$N54)),"")</f>
        <v/>
      </c>
      <c r="I54" s="25">
        <f>IF($N54&lt;&gt;"",IF(INDEX(PCOp,$N54)="مرجوعی خرید","",IF(INDEX(PCAmount,$N54)&lt;=0,"",INDEX(PCAmount,$N54))),IF($O54&lt;&gt;"",IF(INDEX(TxnDepB,$O54)=0,"",INDEX(TxnDepB,$O54)),""))</f>
        <v/>
      </c>
      <c r="J54" s="25">
        <f>IF($N54&lt;&gt;"",IF(INDEX(PCOp,$N54)="مرجوعی خرید",IF(INDEX(PCAmount,$N54)=0,"",-INDEX(PCAmount,$N54)),""),IF($O54&lt;&gt;"",IF(INDEX(TxnWitB,$O54)=0,"",INDEX(TxnWitB,$O54)),""))</f>
        <v/>
      </c>
      <c r="K54" s="27">
        <f>IF($B54="","",IF($K53="",$C$10,$K53)+IF($I54="",0,$I54)-IF($J54="",0,$J54))</f>
        <v/>
      </c>
      <c r="L54" s="28">
        <f>IF($N54&lt;&gt;"",IF(INDEX(PCNotes,$N54)="","—",INDEX(PCNotes,$N54)),IF($O54&lt;&gt;"",IF(INDEX(LdgNoteB,$O54)="","—",INDEX(LdgNoteB,$O54)),""))</f>
        <v/>
      </c>
      <c r="N54">
        <f>IFERROR(MATCH($C$5&amp;"|"&amp;RIGHT("000000"&amp;38,6),LdgRankKeyA,0),"")</f>
        <v/>
      </c>
      <c r="O54">
        <f>IFERROR(MATCH($C$5&amp;"|"&amp;RIGHT("000000"&amp;38,6),LdgRankKeyB,0),"")</f>
        <v/>
      </c>
    </row>
    <row r="55">
      <c r="A55" s="17" t="n">
        <v>39</v>
      </c>
      <c r="B55" s="18">
        <f>IF(AND($N55="",$O55=""),"",IF($N55&lt;&gt;"",INDEX(PCNormDate,$N55),INDEX(LdgDateB,$O55)))</f>
        <v/>
      </c>
      <c r="C55" s="18">
        <f>IF($N55&lt;&gt;"",INDEX(PCOp,$N55),IF($O55&lt;&gt;"",IF(N(INDEX(TxnDepB,$O55))&gt;0,"دریافت بانکی","پرداخت بانکی"),""))</f>
        <v/>
      </c>
      <c r="D55" s="18">
        <f>IF($N55&lt;&gt;"",IF(INDEX(PCDoc,$N55)="","—",INDEX(PCDoc,$N55)),IF($O55&lt;&gt;"",INDEX(LdgBankB,$O55),""))</f>
        <v/>
      </c>
      <c r="E55" s="18">
        <f>IF($N55&lt;&gt;"",IF(INDEX(PCCitrus,$N55)="","—",INDEX(PCCitrus,$N55)),"")</f>
        <v/>
      </c>
      <c r="F55" s="19">
        <f>IF($N55&lt;&gt;"",IF(INDEX(PCScale,$N55)=0,"",INDEX(PCScale,$N55)),"")</f>
        <v/>
      </c>
      <c r="G55" s="19">
        <f>IF($N55&lt;&gt;"",IF(INDEX(PCBaskets,$N55)=0,"",INDEX(PCBaskets,$N55)),"")</f>
        <v/>
      </c>
      <c r="H55" s="20">
        <f>IF($N55&lt;&gt;"",IF(INDEX(PCNet,$N55)=0,"",INDEX(PCNet,$N55)),"")</f>
        <v/>
      </c>
      <c r="I55" s="19">
        <f>IF($N55&lt;&gt;"",IF(INDEX(PCOp,$N55)="مرجوعی خرید","",IF(INDEX(PCAmount,$N55)&lt;=0,"",INDEX(PCAmount,$N55))),IF($O55&lt;&gt;"",IF(INDEX(TxnDepB,$O55)=0,"",INDEX(TxnDepB,$O55)),""))</f>
        <v/>
      </c>
      <c r="J55" s="19">
        <f>IF($N55&lt;&gt;"",IF(INDEX(PCOp,$N55)="مرجوعی خرید",IF(INDEX(PCAmount,$N55)=0,"",-INDEX(PCAmount,$N55)),""),IF($O55&lt;&gt;"",IF(INDEX(TxnWitB,$O55)=0,"",INDEX(TxnWitB,$O55)),""))</f>
        <v/>
      </c>
      <c r="K55" s="21">
        <f>IF($B55="","",IF($K54="",$C$10,$K54)+IF($I55="",0,$I55)-IF($J55="",0,$J55))</f>
        <v/>
      </c>
      <c r="L55" s="22">
        <f>IF($N55&lt;&gt;"",IF(INDEX(PCNotes,$N55)="","—",INDEX(PCNotes,$N55)),IF($O55&lt;&gt;"",IF(INDEX(LdgNoteB,$O55)="","—",INDEX(LdgNoteB,$O55)),""))</f>
        <v/>
      </c>
      <c r="N55">
        <f>IFERROR(MATCH($C$5&amp;"|"&amp;RIGHT("000000"&amp;39,6),LdgRankKeyA,0),"")</f>
        <v/>
      </c>
      <c r="O55">
        <f>IFERROR(MATCH($C$5&amp;"|"&amp;RIGHT("000000"&amp;39,6),LdgRankKeyB,0),"")</f>
        <v/>
      </c>
    </row>
    <row r="56">
      <c r="A56" s="23" t="n">
        <v>40</v>
      </c>
      <c r="B56" s="24">
        <f>IF(AND($N56="",$O56=""),"",IF($N56&lt;&gt;"",INDEX(PCNormDate,$N56),INDEX(LdgDateB,$O56)))</f>
        <v/>
      </c>
      <c r="C56" s="24">
        <f>IF($N56&lt;&gt;"",INDEX(PCOp,$N56),IF($O56&lt;&gt;"",IF(N(INDEX(TxnDepB,$O56))&gt;0,"دریافت بانکی","پرداخت بانکی"),""))</f>
        <v/>
      </c>
      <c r="D56" s="24">
        <f>IF($N56&lt;&gt;"",IF(INDEX(PCDoc,$N56)="","—",INDEX(PCDoc,$N56)),IF($O56&lt;&gt;"",INDEX(LdgBankB,$O56),""))</f>
        <v/>
      </c>
      <c r="E56" s="24">
        <f>IF($N56&lt;&gt;"",IF(INDEX(PCCitrus,$N56)="","—",INDEX(PCCitrus,$N56)),"")</f>
        <v/>
      </c>
      <c r="F56" s="25">
        <f>IF($N56&lt;&gt;"",IF(INDEX(PCScale,$N56)=0,"",INDEX(PCScale,$N56)),"")</f>
        <v/>
      </c>
      <c r="G56" s="25">
        <f>IF($N56&lt;&gt;"",IF(INDEX(PCBaskets,$N56)=0,"",INDEX(PCBaskets,$N56)),"")</f>
        <v/>
      </c>
      <c r="H56" s="26">
        <f>IF($N56&lt;&gt;"",IF(INDEX(PCNet,$N56)=0,"",INDEX(PCNet,$N56)),"")</f>
        <v/>
      </c>
      <c r="I56" s="25">
        <f>IF($N56&lt;&gt;"",IF(INDEX(PCOp,$N56)="مرجوعی خرید","",IF(INDEX(PCAmount,$N56)&lt;=0,"",INDEX(PCAmount,$N56))),IF($O56&lt;&gt;"",IF(INDEX(TxnDepB,$O56)=0,"",INDEX(TxnDepB,$O56)),""))</f>
        <v/>
      </c>
      <c r="J56" s="25">
        <f>IF($N56&lt;&gt;"",IF(INDEX(PCOp,$N56)="مرجوعی خرید",IF(INDEX(PCAmount,$N56)=0,"",-INDEX(PCAmount,$N56)),""),IF($O56&lt;&gt;"",IF(INDEX(TxnWitB,$O56)=0,"",INDEX(TxnWitB,$O56)),""))</f>
        <v/>
      </c>
      <c r="K56" s="27">
        <f>IF($B56="","",IF($K55="",$C$10,$K55)+IF($I56="",0,$I56)-IF($J56="",0,$J56))</f>
        <v/>
      </c>
      <c r="L56" s="28">
        <f>IF($N56&lt;&gt;"",IF(INDEX(PCNotes,$N56)="","—",INDEX(PCNotes,$N56)),IF($O56&lt;&gt;"",IF(INDEX(LdgNoteB,$O56)="","—",INDEX(LdgNoteB,$O56)),""))</f>
        <v/>
      </c>
      <c r="N56">
        <f>IFERROR(MATCH($C$5&amp;"|"&amp;RIGHT("000000"&amp;40,6),LdgRankKeyA,0),"")</f>
        <v/>
      </c>
      <c r="O56">
        <f>IFERROR(MATCH($C$5&amp;"|"&amp;RIGHT("000000"&amp;40,6),LdgRankKeyB,0),"")</f>
        <v/>
      </c>
    </row>
    <row r="57">
      <c r="A57" s="17" t="n">
        <v>41</v>
      </c>
      <c r="B57" s="18">
        <f>IF(AND($N57="",$O57=""),"",IF($N57&lt;&gt;"",INDEX(PCNormDate,$N57),INDEX(LdgDateB,$O57)))</f>
        <v/>
      </c>
      <c r="C57" s="18">
        <f>IF($N57&lt;&gt;"",INDEX(PCOp,$N57),IF($O57&lt;&gt;"",IF(N(INDEX(TxnDepB,$O57))&gt;0,"دریافت بانکی","پرداخت بانکی"),""))</f>
        <v/>
      </c>
      <c r="D57" s="18">
        <f>IF($N57&lt;&gt;"",IF(INDEX(PCDoc,$N57)="","—",INDEX(PCDoc,$N57)),IF($O57&lt;&gt;"",INDEX(LdgBankB,$O57),""))</f>
        <v/>
      </c>
      <c r="E57" s="18">
        <f>IF($N57&lt;&gt;"",IF(INDEX(PCCitrus,$N57)="","—",INDEX(PCCitrus,$N57)),"")</f>
        <v/>
      </c>
      <c r="F57" s="19">
        <f>IF($N57&lt;&gt;"",IF(INDEX(PCScale,$N57)=0,"",INDEX(PCScale,$N57)),"")</f>
        <v/>
      </c>
      <c r="G57" s="19">
        <f>IF($N57&lt;&gt;"",IF(INDEX(PCBaskets,$N57)=0,"",INDEX(PCBaskets,$N57)),"")</f>
        <v/>
      </c>
      <c r="H57" s="20">
        <f>IF($N57&lt;&gt;"",IF(INDEX(PCNet,$N57)=0,"",INDEX(PCNet,$N57)),"")</f>
        <v/>
      </c>
      <c r="I57" s="19">
        <f>IF($N57&lt;&gt;"",IF(INDEX(PCOp,$N57)="مرجوعی خرید","",IF(INDEX(PCAmount,$N57)&lt;=0,"",INDEX(PCAmount,$N57))),IF($O57&lt;&gt;"",IF(INDEX(TxnDepB,$O57)=0,"",INDEX(TxnDepB,$O57)),""))</f>
        <v/>
      </c>
      <c r="J57" s="19">
        <f>IF($N57&lt;&gt;"",IF(INDEX(PCOp,$N57)="مرجوعی خرید",IF(INDEX(PCAmount,$N57)=0,"",-INDEX(PCAmount,$N57)),""),IF($O57&lt;&gt;"",IF(INDEX(TxnWitB,$O57)=0,"",INDEX(TxnWitB,$O57)),""))</f>
        <v/>
      </c>
      <c r="K57" s="21">
        <f>IF($B57="","",IF($K56="",$C$10,$K56)+IF($I57="",0,$I57)-IF($J57="",0,$J57))</f>
        <v/>
      </c>
      <c r="L57" s="22">
        <f>IF($N57&lt;&gt;"",IF(INDEX(PCNotes,$N57)="","—",INDEX(PCNotes,$N57)),IF($O57&lt;&gt;"",IF(INDEX(LdgNoteB,$O57)="","—",INDEX(LdgNoteB,$O57)),""))</f>
        <v/>
      </c>
      <c r="N57">
        <f>IFERROR(MATCH($C$5&amp;"|"&amp;RIGHT("000000"&amp;41,6),LdgRankKeyA,0),"")</f>
        <v/>
      </c>
      <c r="O57">
        <f>IFERROR(MATCH($C$5&amp;"|"&amp;RIGHT("000000"&amp;41,6),LdgRankKeyB,0),"")</f>
        <v/>
      </c>
    </row>
    <row r="58">
      <c r="A58" s="23" t="n">
        <v>42</v>
      </c>
      <c r="B58" s="24">
        <f>IF(AND($N58="",$O58=""),"",IF($N58&lt;&gt;"",INDEX(PCNormDate,$N58),INDEX(LdgDateB,$O58)))</f>
        <v/>
      </c>
      <c r="C58" s="24">
        <f>IF($N58&lt;&gt;"",INDEX(PCOp,$N58),IF($O58&lt;&gt;"",IF(N(INDEX(TxnDepB,$O58))&gt;0,"دریافت بانکی","پرداخت بانکی"),""))</f>
        <v/>
      </c>
      <c r="D58" s="24">
        <f>IF($N58&lt;&gt;"",IF(INDEX(PCDoc,$N58)="","—",INDEX(PCDoc,$N58)),IF($O58&lt;&gt;"",INDEX(LdgBankB,$O58),""))</f>
        <v/>
      </c>
      <c r="E58" s="24">
        <f>IF($N58&lt;&gt;"",IF(INDEX(PCCitrus,$N58)="","—",INDEX(PCCitrus,$N58)),"")</f>
        <v/>
      </c>
      <c r="F58" s="25">
        <f>IF($N58&lt;&gt;"",IF(INDEX(PCScale,$N58)=0,"",INDEX(PCScale,$N58)),"")</f>
        <v/>
      </c>
      <c r="G58" s="25">
        <f>IF($N58&lt;&gt;"",IF(INDEX(PCBaskets,$N58)=0,"",INDEX(PCBaskets,$N58)),"")</f>
        <v/>
      </c>
      <c r="H58" s="26">
        <f>IF($N58&lt;&gt;"",IF(INDEX(PCNet,$N58)=0,"",INDEX(PCNet,$N58)),"")</f>
        <v/>
      </c>
      <c r="I58" s="25">
        <f>IF($N58&lt;&gt;"",IF(INDEX(PCOp,$N58)="مرجوعی خرید","",IF(INDEX(PCAmount,$N58)&lt;=0,"",INDEX(PCAmount,$N58))),IF($O58&lt;&gt;"",IF(INDEX(TxnDepB,$O58)=0,"",INDEX(TxnDepB,$O58)),""))</f>
        <v/>
      </c>
      <c r="J58" s="25">
        <f>IF($N58&lt;&gt;"",IF(INDEX(PCOp,$N58)="مرجوعی خرید",IF(INDEX(PCAmount,$N58)=0,"",-INDEX(PCAmount,$N58)),""),IF($O58&lt;&gt;"",IF(INDEX(TxnWitB,$O58)=0,"",INDEX(TxnWitB,$O58)),""))</f>
        <v/>
      </c>
      <c r="K58" s="27">
        <f>IF($B58="","",IF($K57="",$C$10,$K57)+IF($I58="",0,$I58)-IF($J58="",0,$J58))</f>
        <v/>
      </c>
      <c r="L58" s="28">
        <f>IF($N58&lt;&gt;"",IF(INDEX(PCNotes,$N58)="","—",INDEX(PCNotes,$N58)),IF($O58&lt;&gt;"",IF(INDEX(LdgNoteB,$O58)="","—",INDEX(LdgNoteB,$O58)),""))</f>
        <v/>
      </c>
      <c r="N58">
        <f>IFERROR(MATCH($C$5&amp;"|"&amp;RIGHT("000000"&amp;42,6),LdgRankKeyA,0),"")</f>
        <v/>
      </c>
      <c r="O58">
        <f>IFERROR(MATCH($C$5&amp;"|"&amp;RIGHT("000000"&amp;42,6),LdgRankKeyB,0),"")</f>
        <v/>
      </c>
    </row>
    <row r="59">
      <c r="A59" s="17" t="n">
        <v>43</v>
      </c>
      <c r="B59" s="18">
        <f>IF(AND($N59="",$O59=""),"",IF($N59&lt;&gt;"",INDEX(PCNormDate,$N59),INDEX(LdgDateB,$O59)))</f>
        <v/>
      </c>
      <c r="C59" s="18">
        <f>IF($N59&lt;&gt;"",INDEX(PCOp,$N59),IF($O59&lt;&gt;"",IF(N(INDEX(TxnDepB,$O59))&gt;0,"دریافت بانکی","پرداخت بانکی"),""))</f>
        <v/>
      </c>
      <c r="D59" s="18">
        <f>IF($N59&lt;&gt;"",IF(INDEX(PCDoc,$N59)="","—",INDEX(PCDoc,$N59)),IF($O59&lt;&gt;"",INDEX(LdgBankB,$O59),""))</f>
        <v/>
      </c>
      <c r="E59" s="18">
        <f>IF($N59&lt;&gt;"",IF(INDEX(PCCitrus,$N59)="","—",INDEX(PCCitrus,$N59)),"")</f>
        <v/>
      </c>
      <c r="F59" s="19">
        <f>IF($N59&lt;&gt;"",IF(INDEX(PCScale,$N59)=0,"",INDEX(PCScale,$N59)),"")</f>
        <v/>
      </c>
      <c r="G59" s="19">
        <f>IF($N59&lt;&gt;"",IF(INDEX(PCBaskets,$N59)=0,"",INDEX(PCBaskets,$N59)),"")</f>
        <v/>
      </c>
      <c r="H59" s="20">
        <f>IF($N59&lt;&gt;"",IF(INDEX(PCNet,$N59)=0,"",INDEX(PCNet,$N59)),"")</f>
        <v/>
      </c>
      <c r="I59" s="19">
        <f>IF($N59&lt;&gt;"",IF(INDEX(PCOp,$N59)="مرجوعی خرید","",IF(INDEX(PCAmount,$N59)&lt;=0,"",INDEX(PCAmount,$N59))),IF($O59&lt;&gt;"",IF(INDEX(TxnDepB,$O59)=0,"",INDEX(TxnDepB,$O59)),""))</f>
        <v/>
      </c>
      <c r="J59" s="19">
        <f>IF($N59&lt;&gt;"",IF(INDEX(PCOp,$N59)="مرجوعی خرید",IF(INDEX(PCAmount,$N59)=0,"",-INDEX(PCAmount,$N59)),""),IF($O59&lt;&gt;"",IF(INDEX(TxnWitB,$O59)=0,"",INDEX(TxnWitB,$O59)),""))</f>
        <v/>
      </c>
      <c r="K59" s="21">
        <f>IF($B59="","",IF($K58="",$C$10,$K58)+IF($I59="",0,$I59)-IF($J59="",0,$J59))</f>
        <v/>
      </c>
      <c r="L59" s="22">
        <f>IF($N59&lt;&gt;"",IF(INDEX(PCNotes,$N59)="","—",INDEX(PCNotes,$N59)),IF($O59&lt;&gt;"",IF(INDEX(LdgNoteB,$O59)="","—",INDEX(LdgNoteB,$O59)),""))</f>
        <v/>
      </c>
      <c r="N59">
        <f>IFERROR(MATCH($C$5&amp;"|"&amp;RIGHT("000000"&amp;43,6),LdgRankKeyA,0),"")</f>
        <v/>
      </c>
      <c r="O59">
        <f>IFERROR(MATCH($C$5&amp;"|"&amp;RIGHT("000000"&amp;43,6),LdgRankKeyB,0),"")</f>
        <v/>
      </c>
    </row>
    <row r="60">
      <c r="A60" s="23" t="n">
        <v>44</v>
      </c>
      <c r="B60" s="24">
        <f>IF(AND($N60="",$O60=""),"",IF($N60&lt;&gt;"",INDEX(PCNormDate,$N60),INDEX(LdgDateB,$O60)))</f>
        <v/>
      </c>
      <c r="C60" s="24">
        <f>IF($N60&lt;&gt;"",INDEX(PCOp,$N60),IF($O60&lt;&gt;"",IF(N(INDEX(TxnDepB,$O60))&gt;0,"دریافت بانکی","پرداخت بانکی"),""))</f>
        <v/>
      </c>
      <c r="D60" s="24">
        <f>IF($N60&lt;&gt;"",IF(INDEX(PCDoc,$N60)="","—",INDEX(PCDoc,$N60)),IF($O60&lt;&gt;"",INDEX(LdgBankB,$O60),""))</f>
        <v/>
      </c>
      <c r="E60" s="24">
        <f>IF($N60&lt;&gt;"",IF(INDEX(PCCitrus,$N60)="","—",INDEX(PCCitrus,$N60)),"")</f>
        <v/>
      </c>
      <c r="F60" s="25">
        <f>IF($N60&lt;&gt;"",IF(INDEX(PCScale,$N60)=0,"",INDEX(PCScale,$N60)),"")</f>
        <v/>
      </c>
      <c r="G60" s="25">
        <f>IF($N60&lt;&gt;"",IF(INDEX(PCBaskets,$N60)=0,"",INDEX(PCBaskets,$N60)),"")</f>
        <v/>
      </c>
      <c r="H60" s="26">
        <f>IF($N60&lt;&gt;"",IF(INDEX(PCNet,$N60)=0,"",INDEX(PCNet,$N60)),"")</f>
        <v/>
      </c>
      <c r="I60" s="25">
        <f>IF($N60&lt;&gt;"",IF(INDEX(PCOp,$N60)="مرجوعی خرید","",IF(INDEX(PCAmount,$N60)&lt;=0,"",INDEX(PCAmount,$N60))),IF($O60&lt;&gt;"",IF(INDEX(TxnDepB,$O60)=0,"",INDEX(TxnDepB,$O60)),""))</f>
        <v/>
      </c>
      <c r="J60" s="25">
        <f>IF($N60&lt;&gt;"",IF(INDEX(PCOp,$N60)="مرجوعی خرید",IF(INDEX(PCAmount,$N60)=0,"",-INDEX(PCAmount,$N60)),""),IF($O60&lt;&gt;"",IF(INDEX(TxnWitB,$O60)=0,"",INDEX(TxnWitB,$O60)),""))</f>
        <v/>
      </c>
      <c r="K60" s="27">
        <f>IF($B60="","",IF($K59="",$C$10,$K59)+IF($I60="",0,$I60)-IF($J60="",0,$J60))</f>
        <v/>
      </c>
      <c r="L60" s="28">
        <f>IF($N60&lt;&gt;"",IF(INDEX(PCNotes,$N60)="","—",INDEX(PCNotes,$N60)),IF($O60&lt;&gt;"",IF(INDEX(LdgNoteB,$O60)="","—",INDEX(LdgNoteB,$O60)),""))</f>
        <v/>
      </c>
      <c r="N60">
        <f>IFERROR(MATCH($C$5&amp;"|"&amp;RIGHT("000000"&amp;44,6),LdgRankKeyA,0),"")</f>
        <v/>
      </c>
      <c r="O60">
        <f>IFERROR(MATCH($C$5&amp;"|"&amp;RIGHT("000000"&amp;44,6),LdgRankKeyB,0),"")</f>
        <v/>
      </c>
    </row>
    <row r="61">
      <c r="A61" s="17" t="n">
        <v>45</v>
      </c>
      <c r="B61" s="18">
        <f>IF(AND($N61="",$O61=""),"",IF($N61&lt;&gt;"",INDEX(PCNormDate,$N61),INDEX(LdgDateB,$O61)))</f>
        <v/>
      </c>
      <c r="C61" s="18">
        <f>IF($N61&lt;&gt;"",INDEX(PCOp,$N61),IF($O61&lt;&gt;"",IF(N(INDEX(TxnDepB,$O61))&gt;0,"دریافت بانکی","پرداخت بانکی"),""))</f>
        <v/>
      </c>
      <c r="D61" s="18">
        <f>IF($N61&lt;&gt;"",IF(INDEX(PCDoc,$N61)="","—",INDEX(PCDoc,$N61)),IF($O61&lt;&gt;"",INDEX(LdgBankB,$O61),""))</f>
        <v/>
      </c>
      <c r="E61" s="18">
        <f>IF($N61&lt;&gt;"",IF(INDEX(PCCitrus,$N61)="","—",INDEX(PCCitrus,$N61)),"")</f>
        <v/>
      </c>
      <c r="F61" s="19">
        <f>IF($N61&lt;&gt;"",IF(INDEX(PCScale,$N61)=0,"",INDEX(PCScale,$N61)),"")</f>
        <v/>
      </c>
      <c r="G61" s="19">
        <f>IF($N61&lt;&gt;"",IF(INDEX(PCBaskets,$N61)=0,"",INDEX(PCBaskets,$N61)),"")</f>
        <v/>
      </c>
      <c r="H61" s="20">
        <f>IF($N61&lt;&gt;"",IF(INDEX(PCNet,$N61)=0,"",INDEX(PCNet,$N61)),"")</f>
        <v/>
      </c>
      <c r="I61" s="19">
        <f>IF($N61&lt;&gt;"",IF(INDEX(PCOp,$N61)="مرجوعی خرید","",IF(INDEX(PCAmount,$N61)&lt;=0,"",INDEX(PCAmount,$N61))),IF($O61&lt;&gt;"",IF(INDEX(TxnDepB,$O61)=0,"",INDEX(TxnDepB,$O61)),""))</f>
        <v/>
      </c>
      <c r="J61" s="19">
        <f>IF($N61&lt;&gt;"",IF(INDEX(PCOp,$N61)="مرجوعی خرید",IF(INDEX(PCAmount,$N61)=0,"",-INDEX(PCAmount,$N61)),""),IF($O61&lt;&gt;"",IF(INDEX(TxnWitB,$O61)=0,"",INDEX(TxnWitB,$O61)),""))</f>
        <v/>
      </c>
      <c r="K61" s="21">
        <f>IF($B61="","",IF($K60="",$C$10,$K60)+IF($I61="",0,$I61)-IF($J61="",0,$J61))</f>
        <v/>
      </c>
      <c r="L61" s="22">
        <f>IF($N61&lt;&gt;"",IF(INDEX(PCNotes,$N61)="","—",INDEX(PCNotes,$N61)),IF($O61&lt;&gt;"",IF(INDEX(LdgNoteB,$O61)="","—",INDEX(LdgNoteB,$O61)),""))</f>
        <v/>
      </c>
      <c r="N61">
        <f>IFERROR(MATCH($C$5&amp;"|"&amp;RIGHT("000000"&amp;45,6),LdgRankKeyA,0),"")</f>
        <v/>
      </c>
      <c r="O61">
        <f>IFERROR(MATCH($C$5&amp;"|"&amp;RIGHT("000000"&amp;45,6),LdgRankKeyB,0),"")</f>
        <v/>
      </c>
    </row>
    <row r="62">
      <c r="A62" s="23" t="n">
        <v>46</v>
      </c>
      <c r="B62" s="24">
        <f>IF(AND($N62="",$O62=""),"",IF($N62&lt;&gt;"",INDEX(PCNormDate,$N62),INDEX(LdgDateB,$O62)))</f>
        <v/>
      </c>
      <c r="C62" s="24">
        <f>IF($N62&lt;&gt;"",INDEX(PCOp,$N62),IF($O62&lt;&gt;"",IF(N(INDEX(TxnDepB,$O62))&gt;0,"دریافت بانکی","پرداخت بانکی"),""))</f>
        <v/>
      </c>
      <c r="D62" s="24">
        <f>IF($N62&lt;&gt;"",IF(INDEX(PCDoc,$N62)="","—",INDEX(PCDoc,$N62)),IF($O62&lt;&gt;"",INDEX(LdgBankB,$O62),""))</f>
        <v/>
      </c>
      <c r="E62" s="24">
        <f>IF($N62&lt;&gt;"",IF(INDEX(PCCitrus,$N62)="","—",INDEX(PCCitrus,$N62)),"")</f>
        <v/>
      </c>
      <c r="F62" s="25">
        <f>IF($N62&lt;&gt;"",IF(INDEX(PCScale,$N62)=0,"",INDEX(PCScale,$N62)),"")</f>
        <v/>
      </c>
      <c r="G62" s="25">
        <f>IF($N62&lt;&gt;"",IF(INDEX(PCBaskets,$N62)=0,"",INDEX(PCBaskets,$N62)),"")</f>
        <v/>
      </c>
      <c r="H62" s="26">
        <f>IF($N62&lt;&gt;"",IF(INDEX(PCNet,$N62)=0,"",INDEX(PCNet,$N62)),"")</f>
        <v/>
      </c>
      <c r="I62" s="25">
        <f>IF($N62&lt;&gt;"",IF(INDEX(PCOp,$N62)="مرجوعی خرید","",IF(INDEX(PCAmount,$N62)&lt;=0,"",INDEX(PCAmount,$N62))),IF($O62&lt;&gt;"",IF(INDEX(TxnDepB,$O62)=0,"",INDEX(TxnDepB,$O62)),""))</f>
        <v/>
      </c>
      <c r="J62" s="25">
        <f>IF($N62&lt;&gt;"",IF(INDEX(PCOp,$N62)="مرجوعی خرید",IF(INDEX(PCAmount,$N62)=0,"",-INDEX(PCAmount,$N62)),""),IF($O62&lt;&gt;"",IF(INDEX(TxnWitB,$O62)=0,"",INDEX(TxnWitB,$O62)),""))</f>
        <v/>
      </c>
      <c r="K62" s="27">
        <f>IF($B62="","",IF($K61="",$C$10,$K61)+IF($I62="",0,$I62)-IF($J62="",0,$J62))</f>
        <v/>
      </c>
      <c r="L62" s="28">
        <f>IF($N62&lt;&gt;"",IF(INDEX(PCNotes,$N62)="","—",INDEX(PCNotes,$N62)),IF($O62&lt;&gt;"",IF(INDEX(LdgNoteB,$O62)="","—",INDEX(LdgNoteB,$O62)),""))</f>
        <v/>
      </c>
      <c r="N62">
        <f>IFERROR(MATCH($C$5&amp;"|"&amp;RIGHT("000000"&amp;46,6),LdgRankKeyA,0),"")</f>
        <v/>
      </c>
      <c r="O62">
        <f>IFERROR(MATCH($C$5&amp;"|"&amp;RIGHT("000000"&amp;46,6),LdgRankKeyB,0),"")</f>
        <v/>
      </c>
    </row>
    <row r="63">
      <c r="A63" s="17" t="n">
        <v>47</v>
      </c>
      <c r="B63" s="18">
        <f>IF(AND($N63="",$O63=""),"",IF($N63&lt;&gt;"",INDEX(PCNormDate,$N63),INDEX(LdgDateB,$O63)))</f>
        <v/>
      </c>
      <c r="C63" s="18">
        <f>IF($N63&lt;&gt;"",INDEX(PCOp,$N63),IF($O63&lt;&gt;"",IF(N(INDEX(TxnDepB,$O63))&gt;0,"دریافت بانکی","پرداخت بانکی"),""))</f>
        <v/>
      </c>
      <c r="D63" s="18">
        <f>IF($N63&lt;&gt;"",IF(INDEX(PCDoc,$N63)="","—",INDEX(PCDoc,$N63)),IF($O63&lt;&gt;"",INDEX(LdgBankB,$O63),""))</f>
        <v/>
      </c>
      <c r="E63" s="18">
        <f>IF($N63&lt;&gt;"",IF(INDEX(PCCitrus,$N63)="","—",INDEX(PCCitrus,$N63)),"")</f>
        <v/>
      </c>
      <c r="F63" s="19">
        <f>IF($N63&lt;&gt;"",IF(INDEX(PCScale,$N63)=0,"",INDEX(PCScale,$N63)),"")</f>
        <v/>
      </c>
      <c r="G63" s="19">
        <f>IF($N63&lt;&gt;"",IF(INDEX(PCBaskets,$N63)=0,"",INDEX(PCBaskets,$N63)),"")</f>
        <v/>
      </c>
      <c r="H63" s="20">
        <f>IF($N63&lt;&gt;"",IF(INDEX(PCNet,$N63)=0,"",INDEX(PCNet,$N63)),"")</f>
        <v/>
      </c>
      <c r="I63" s="19">
        <f>IF($N63&lt;&gt;"",IF(INDEX(PCOp,$N63)="مرجوعی خرید","",IF(INDEX(PCAmount,$N63)&lt;=0,"",INDEX(PCAmount,$N63))),IF($O63&lt;&gt;"",IF(INDEX(TxnDepB,$O63)=0,"",INDEX(TxnDepB,$O63)),""))</f>
        <v/>
      </c>
      <c r="J63" s="19">
        <f>IF($N63&lt;&gt;"",IF(INDEX(PCOp,$N63)="مرجوعی خرید",IF(INDEX(PCAmount,$N63)=0,"",-INDEX(PCAmount,$N63)),""),IF($O63&lt;&gt;"",IF(INDEX(TxnWitB,$O63)=0,"",INDEX(TxnWitB,$O63)),""))</f>
        <v/>
      </c>
      <c r="K63" s="21">
        <f>IF($B63="","",IF($K62="",$C$10,$K62)+IF($I63="",0,$I63)-IF($J63="",0,$J63))</f>
        <v/>
      </c>
      <c r="L63" s="22">
        <f>IF($N63&lt;&gt;"",IF(INDEX(PCNotes,$N63)="","—",INDEX(PCNotes,$N63)),IF($O63&lt;&gt;"",IF(INDEX(LdgNoteB,$O63)="","—",INDEX(LdgNoteB,$O63)),""))</f>
        <v/>
      </c>
      <c r="N63">
        <f>IFERROR(MATCH($C$5&amp;"|"&amp;RIGHT("000000"&amp;47,6),LdgRankKeyA,0),"")</f>
        <v/>
      </c>
      <c r="O63">
        <f>IFERROR(MATCH($C$5&amp;"|"&amp;RIGHT("000000"&amp;47,6),LdgRankKeyB,0),"")</f>
        <v/>
      </c>
    </row>
    <row r="64">
      <c r="A64" s="23" t="n">
        <v>48</v>
      </c>
      <c r="B64" s="24">
        <f>IF(AND($N64="",$O64=""),"",IF($N64&lt;&gt;"",INDEX(PCNormDate,$N64),INDEX(LdgDateB,$O64)))</f>
        <v/>
      </c>
      <c r="C64" s="24">
        <f>IF($N64&lt;&gt;"",INDEX(PCOp,$N64),IF($O64&lt;&gt;"",IF(N(INDEX(TxnDepB,$O64))&gt;0,"دریافت بانکی","پرداخت بانکی"),""))</f>
        <v/>
      </c>
      <c r="D64" s="24">
        <f>IF($N64&lt;&gt;"",IF(INDEX(PCDoc,$N64)="","—",INDEX(PCDoc,$N64)),IF($O64&lt;&gt;"",INDEX(LdgBankB,$O64),""))</f>
        <v/>
      </c>
      <c r="E64" s="24">
        <f>IF($N64&lt;&gt;"",IF(INDEX(PCCitrus,$N64)="","—",INDEX(PCCitrus,$N64)),"")</f>
        <v/>
      </c>
      <c r="F64" s="25">
        <f>IF($N64&lt;&gt;"",IF(INDEX(PCScale,$N64)=0,"",INDEX(PCScale,$N64)),"")</f>
        <v/>
      </c>
      <c r="G64" s="25">
        <f>IF($N64&lt;&gt;"",IF(INDEX(PCBaskets,$N64)=0,"",INDEX(PCBaskets,$N64)),"")</f>
        <v/>
      </c>
      <c r="H64" s="26">
        <f>IF($N64&lt;&gt;"",IF(INDEX(PCNet,$N64)=0,"",INDEX(PCNet,$N64)),"")</f>
        <v/>
      </c>
      <c r="I64" s="25">
        <f>IF($N64&lt;&gt;"",IF(INDEX(PCOp,$N64)="مرجوعی خرید","",IF(INDEX(PCAmount,$N64)&lt;=0,"",INDEX(PCAmount,$N64))),IF($O64&lt;&gt;"",IF(INDEX(TxnDepB,$O64)=0,"",INDEX(TxnDepB,$O64)),""))</f>
        <v/>
      </c>
      <c r="J64" s="25">
        <f>IF($N64&lt;&gt;"",IF(INDEX(PCOp,$N64)="مرجوعی خرید",IF(INDEX(PCAmount,$N64)=0,"",-INDEX(PCAmount,$N64)),""),IF($O64&lt;&gt;"",IF(INDEX(TxnWitB,$O64)=0,"",INDEX(TxnWitB,$O64)),""))</f>
        <v/>
      </c>
      <c r="K64" s="27">
        <f>IF($B64="","",IF($K63="",$C$10,$K63)+IF($I64="",0,$I64)-IF($J64="",0,$J64))</f>
        <v/>
      </c>
      <c r="L64" s="28">
        <f>IF($N64&lt;&gt;"",IF(INDEX(PCNotes,$N64)="","—",INDEX(PCNotes,$N64)),IF($O64&lt;&gt;"",IF(INDEX(LdgNoteB,$O64)="","—",INDEX(LdgNoteB,$O64)),""))</f>
        <v/>
      </c>
      <c r="N64">
        <f>IFERROR(MATCH($C$5&amp;"|"&amp;RIGHT("000000"&amp;48,6),LdgRankKeyA,0),"")</f>
        <v/>
      </c>
      <c r="O64">
        <f>IFERROR(MATCH($C$5&amp;"|"&amp;RIGHT("000000"&amp;48,6),LdgRankKeyB,0),"")</f>
        <v/>
      </c>
    </row>
    <row r="65">
      <c r="A65" s="17" t="n">
        <v>49</v>
      </c>
      <c r="B65" s="18">
        <f>IF(AND($N65="",$O65=""),"",IF($N65&lt;&gt;"",INDEX(PCNormDate,$N65),INDEX(LdgDateB,$O65)))</f>
        <v/>
      </c>
      <c r="C65" s="18">
        <f>IF($N65&lt;&gt;"",INDEX(PCOp,$N65),IF($O65&lt;&gt;"",IF(N(INDEX(TxnDepB,$O65))&gt;0,"دریافت بانکی","پرداخت بانکی"),""))</f>
        <v/>
      </c>
      <c r="D65" s="18">
        <f>IF($N65&lt;&gt;"",IF(INDEX(PCDoc,$N65)="","—",INDEX(PCDoc,$N65)),IF($O65&lt;&gt;"",INDEX(LdgBankB,$O65),""))</f>
        <v/>
      </c>
      <c r="E65" s="18">
        <f>IF($N65&lt;&gt;"",IF(INDEX(PCCitrus,$N65)="","—",INDEX(PCCitrus,$N65)),"")</f>
        <v/>
      </c>
      <c r="F65" s="19">
        <f>IF($N65&lt;&gt;"",IF(INDEX(PCScale,$N65)=0,"",INDEX(PCScale,$N65)),"")</f>
        <v/>
      </c>
      <c r="G65" s="19">
        <f>IF($N65&lt;&gt;"",IF(INDEX(PCBaskets,$N65)=0,"",INDEX(PCBaskets,$N65)),"")</f>
        <v/>
      </c>
      <c r="H65" s="20">
        <f>IF($N65&lt;&gt;"",IF(INDEX(PCNet,$N65)=0,"",INDEX(PCNet,$N65)),"")</f>
        <v/>
      </c>
      <c r="I65" s="19">
        <f>IF($N65&lt;&gt;"",IF(INDEX(PCOp,$N65)="مرجوعی خرید","",IF(INDEX(PCAmount,$N65)&lt;=0,"",INDEX(PCAmount,$N65))),IF($O65&lt;&gt;"",IF(INDEX(TxnDepB,$O65)=0,"",INDEX(TxnDepB,$O65)),""))</f>
        <v/>
      </c>
      <c r="J65" s="19">
        <f>IF($N65&lt;&gt;"",IF(INDEX(PCOp,$N65)="مرجوعی خرید",IF(INDEX(PCAmount,$N65)=0,"",-INDEX(PCAmount,$N65)),""),IF($O65&lt;&gt;"",IF(INDEX(TxnWitB,$O65)=0,"",INDEX(TxnWitB,$O65)),""))</f>
        <v/>
      </c>
      <c r="K65" s="21">
        <f>IF($B65="","",IF($K64="",$C$10,$K64)+IF($I65="",0,$I65)-IF($J65="",0,$J65))</f>
        <v/>
      </c>
      <c r="L65" s="22">
        <f>IF($N65&lt;&gt;"",IF(INDEX(PCNotes,$N65)="","—",INDEX(PCNotes,$N65)),IF($O65&lt;&gt;"",IF(INDEX(LdgNoteB,$O65)="","—",INDEX(LdgNoteB,$O65)),""))</f>
        <v/>
      </c>
      <c r="N65">
        <f>IFERROR(MATCH($C$5&amp;"|"&amp;RIGHT("000000"&amp;49,6),LdgRankKeyA,0),"")</f>
        <v/>
      </c>
      <c r="O65">
        <f>IFERROR(MATCH($C$5&amp;"|"&amp;RIGHT("000000"&amp;49,6),LdgRankKeyB,0),"")</f>
        <v/>
      </c>
    </row>
    <row r="66">
      <c r="A66" s="23" t="n">
        <v>50</v>
      </c>
      <c r="B66" s="24">
        <f>IF(AND($N66="",$O66=""),"",IF($N66&lt;&gt;"",INDEX(PCNormDate,$N66),INDEX(LdgDateB,$O66)))</f>
        <v/>
      </c>
      <c r="C66" s="24">
        <f>IF($N66&lt;&gt;"",INDEX(PCOp,$N66),IF($O66&lt;&gt;"",IF(N(INDEX(TxnDepB,$O66))&gt;0,"دریافت بانکی","پرداخت بانکی"),""))</f>
        <v/>
      </c>
      <c r="D66" s="24">
        <f>IF($N66&lt;&gt;"",IF(INDEX(PCDoc,$N66)="","—",INDEX(PCDoc,$N66)),IF($O66&lt;&gt;"",INDEX(LdgBankB,$O66),""))</f>
        <v/>
      </c>
      <c r="E66" s="24">
        <f>IF($N66&lt;&gt;"",IF(INDEX(PCCitrus,$N66)="","—",INDEX(PCCitrus,$N66)),"")</f>
        <v/>
      </c>
      <c r="F66" s="25">
        <f>IF($N66&lt;&gt;"",IF(INDEX(PCScale,$N66)=0,"",INDEX(PCScale,$N66)),"")</f>
        <v/>
      </c>
      <c r="G66" s="25">
        <f>IF($N66&lt;&gt;"",IF(INDEX(PCBaskets,$N66)=0,"",INDEX(PCBaskets,$N66)),"")</f>
        <v/>
      </c>
      <c r="H66" s="26">
        <f>IF($N66&lt;&gt;"",IF(INDEX(PCNet,$N66)=0,"",INDEX(PCNet,$N66)),"")</f>
        <v/>
      </c>
      <c r="I66" s="25">
        <f>IF($N66&lt;&gt;"",IF(INDEX(PCOp,$N66)="مرجوعی خرید","",IF(INDEX(PCAmount,$N66)&lt;=0,"",INDEX(PCAmount,$N66))),IF($O66&lt;&gt;"",IF(INDEX(TxnDepB,$O66)=0,"",INDEX(TxnDepB,$O66)),""))</f>
        <v/>
      </c>
      <c r="J66" s="25">
        <f>IF($N66&lt;&gt;"",IF(INDEX(PCOp,$N66)="مرجوعی خرید",IF(INDEX(PCAmount,$N66)=0,"",-INDEX(PCAmount,$N66)),""),IF($O66&lt;&gt;"",IF(INDEX(TxnWitB,$O66)=0,"",INDEX(TxnWitB,$O66)),""))</f>
        <v/>
      </c>
      <c r="K66" s="27">
        <f>IF($B66="","",IF($K65="",$C$10,$K65)+IF($I66="",0,$I66)-IF($J66="",0,$J66))</f>
        <v/>
      </c>
      <c r="L66" s="28">
        <f>IF($N66&lt;&gt;"",IF(INDEX(PCNotes,$N66)="","—",INDEX(PCNotes,$N66)),IF($O66&lt;&gt;"",IF(INDEX(LdgNoteB,$O66)="","—",INDEX(LdgNoteB,$O66)),""))</f>
        <v/>
      </c>
      <c r="N66">
        <f>IFERROR(MATCH($C$5&amp;"|"&amp;RIGHT("000000"&amp;50,6),LdgRankKeyA,0),"")</f>
        <v/>
      </c>
      <c r="O66">
        <f>IFERROR(MATCH($C$5&amp;"|"&amp;RIGHT("000000"&amp;50,6),LdgRankKeyB,0),"")</f>
        <v/>
      </c>
    </row>
    <row r="67">
      <c r="A67" s="17" t="n">
        <v>51</v>
      </c>
      <c r="B67" s="18">
        <f>IF(AND($N67="",$O67=""),"",IF($N67&lt;&gt;"",INDEX(PCNormDate,$N67),INDEX(LdgDateB,$O67)))</f>
        <v/>
      </c>
      <c r="C67" s="18">
        <f>IF($N67&lt;&gt;"",INDEX(PCOp,$N67),IF($O67&lt;&gt;"",IF(N(INDEX(TxnDepB,$O67))&gt;0,"دریافت بانکی","پرداخت بانکی"),""))</f>
        <v/>
      </c>
      <c r="D67" s="18">
        <f>IF($N67&lt;&gt;"",IF(INDEX(PCDoc,$N67)="","—",INDEX(PCDoc,$N67)),IF($O67&lt;&gt;"",INDEX(LdgBankB,$O67),""))</f>
        <v/>
      </c>
      <c r="E67" s="18">
        <f>IF($N67&lt;&gt;"",IF(INDEX(PCCitrus,$N67)="","—",INDEX(PCCitrus,$N67)),"")</f>
        <v/>
      </c>
      <c r="F67" s="19">
        <f>IF($N67&lt;&gt;"",IF(INDEX(PCScale,$N67)=0,"",INDEX(PCScale,$N67)),"")</f>
        <v/>
      </c>
      <c r="G67" s="19">
        <f>IF($N67&lt;&gt;"",IF(INDEX(PCBaskets,$N67)=0,"",INDEX(PCBaskets,$N67)),"")</f>
        <v/>
      </c>
      <c r="H67" s="20">
        <f>IF($N67&lt;&gt;"",IF(INDEX(PCNet,$N67)=0,"",INDEX(PCNet,$N67)),"")</f>
        <v/>
      </c>
      <c r="I67" s="19">
        <f>IF($N67&lt;&gt;"",IF(INDEX(PCOp,$N67)="مرجوعی خرید","",IF(INDEX(PCAmount,$N67)&lt;=0,"",INDEX(PCAmount,$N67))),IF($O67&lt;&gt;"",IF(INDEX(TxnDepB,$O67)=0,"",INDEX(TxnDepB,$O67)),""))</f>
        <v/>
      </c>
      <c r="J67" s="19">
        <f>IF($N67&lt;&gt;"",IF(INDEX(PCOp,$N67)="مرجوعی خرید",IF(INDEX(PCAmount,$N67)=0,"",-INDEX(PCAmount,$N67)),""),IF($O67&lt;&gt;"",IF(INDEX(TxnWitB,$O67)=0,"",INDEX(TxnWitB,$O67)),""))</f>
        <v/>
      </c>
      <c r="K67" s="21">
        <f>IF($B67="","",IF($K66="",$C$10,$K66)+IF($I67="",0,$I67)-IF($J67="",0,$J67))</f>
        <v/>
      </c>
      <c r="L67" s="22">
        <f>IF($N67&lt;&gt;"",IF(INDEX(PCNotes,$N67)="","—",INDEX(PCNotes,$N67)),IF($O67&lt;&gt;"",IF(INDEX(LdgNoteB,$O67)="","—",INDEX(LdgNoteB,$O67)),""))</f>
        <v/>
      </c>
      <c r="N67">
        <f>IFERROR(MATCH($C$5&amp;"|"&amp;RIGHT("000000"&amp;51,6),LdgRankKeyA,0),"")</f>
        <v/>
      </c>
      <c r="O67">
        <f>IFERROR(MATCH($C$5&amp;"|"&amp;RIGHT("000000"&amp;51,6),LdgRankKeyB,0),"")</f>
        <v/>
      </c>
    </row>
    <row r="68">
      <c r="A68" s="23" t="n">
        <v>52</v>
      </c>
      <c r="B68" s="24">
        <f>IF(AND($N68="",$O68=""),"",IF($N68&lt;&gt;"",INDEX(PCNormDate,$N68),INDEX(LdgDateB,$O68)))</f>
        <v/>
      </c>
      <c r="C68" s="24">
        <f>IF($N68&lt;&gt;"",INDEX(PCOp,$N68),IF($O68&lt;&gt;"",IF(N(INDEX(TxnDepB,$O68))&gt;0,"دریافت بانکی","پرداخت بانکی"),""))</f>
        <v/>
      </c>
      <c r="D68" s="24">
        <f>IF($N68&lt;&gt;"",IF(INDEX(PCDoc,$N68)="","—",INDEX(PCDoc,$N68)),IF($O68&lt;&gt;"",INDEX(LdgBankB,$O68),""))</f>
        <v/>
      </c>
      <c r="E68" s="24">
        <f>IF($N68&lt;&gt;"",IF(INDEX(PCCitrus,$N68)="","—",INDEX(PCCitrus,$N68)),"")</f>
        <v/>
      </c>
      <c r="F68" s="25">
        <f>IF($N68&lt;&gt;"",IF(INDEX(PCScale,$N68)=0,"",INDEX(PCScale,$N68)),"")</f>
        <v/>
      </c>
      <c r="G68" s="25">
        <f>IF($N68&lt;&gt;"",IF(INDEX(PCBaskets,$N68)=0,"",INDEX(PCBaskets,$N68)),"")</f>
        <v/>
      </c>
      <c r="H68" s="26">
        <f>IF($N68&lt;&gt;"",IF(INDEX(PCNet,$N68)=0,"",INDEX(PCNet,$N68)),"")</f>
        <v/>
      </c>
      <c r="I68" s="25">
        <f>IF($N68&lt;&gt;"",IF(INDEX(PCOp,$N68)="مرجوعی خرید","",IF(INDEX(PCAmount,$N68)&lt;=0,"",INDEX(PCAmount,$N68))),IF($O68&lt;&gt;"",IF(INDEX(TxnDepB,$O68)=0,"",INDEX(TxnDepB,$O68)),""))</f>
        <v/>
      </c>
      <c r="J68" s="25">
        <f>IF($N68&lt;&gt;"",IF(INDEX(PCOp,$N68)="مرجوعی خرید",IF(INDEX(PCAmount,$N68)=0,"",-INDEX(PCAmount,$N68)),""),IF($O68&lt;&gt;"",IF(INDEX(TxnWitB,$O68)=0,"",INDEX(TxnWitB,$O68)),""))</f>
        <v/>
      </c>
      <c r="K68" s="27">
        <f>IF($B68="","",IF($K67="",$C$10,$K67)+IF($I68="",0,$I68)-IF($J68="",0,$J68))</f>
        <v/>
      </c>
      <c r="L68" s="28">
        <f>IF($N68&lt;&gt;"",IF(INDEX(PCNotes,$N68)="","—",INDEX(PCNotes,$N68)),IF($O68&lt;&gt;"",IF(INDEX(LdgNoteB,$O68)="","—",INDEX(LdgNoteB,$O68)),""))</f>
        <v/>
      </c>
      <c r="N68">
        <f>IFERROR(MATCH($C$5&amp;"|"&amp;RIGHT("000000"&amp;52,6),LdgRankKeyA,0),"")</f>
        <v/>
      </c>
      <c r="O68">
        <f>IFERROR(MATCH($C$5&amp;"|"&amp;RIGHT("000000"&amp;52,6),LdgRankKeyB,0),"")</f>
        <v/>
      </c>
    </row>
    <row r="69">
      <c r="A69" s="17" t="n">
        <v>53</v>
      </c>
      <c r="B69" s="18">
        <f>IF(AND($N69="",$O69=""),"",IF($N69&lt;&gt;"",INDEX(PCNormDate,$N69),INDEX(LdgDateB,$O69)))</f>
        <v/>
      </c>
      <c r="C69" s="18">
        <f>IF($N69&lt;&gt;"",INDEX(PCOp,$N69),IF($O69&lt;&gt;"",IF(N(INDEX(TxnDepB,$O69))&gt;0,"دریافت بانکی","پرداخت بانکی"),""))</f>
        <v/>
      </c>
      <c r="D69" s="18">
        <f>IF($N69&lt;&gt;"",IF(INDEX(PCDoc,$N69)="","—",INDEX(PCDoc,$N69)),IF($O69&lt;&gt;"",INDEX(LdgBankB,$O69),""))</f>
        <v/>
      </c>
      <c r="E69" s="18">
        <f>IF($N69&lt;&gt;"",IF(INDEX(PCCitrus,$N69)="","—",INDEX(PCCitrus,$N69)),"")</f>
        <v/>
      </c>
      <c r="F69" s="19">
        <f>IF($N69&lt;&gt;"",IF(INDEX(PCScale,$N69)=0,"",INDEX(PCScale,$N69)),"")</f>
        <v/>
      </c>
      <c r="G69" s="19">
        <f>IF($N69&lt;&gt;"",IF(INDEX(PCBaskets,$N69)=0,"",INDEX(PCBaskets,$N69)),"")</f>
        <v/>
      </c>
      <c r="H69" s="20">
        <f>IF($N69&lt;&gt;"",IF(INDEX(PCNet,$N69)=0,"",INDEX(PCNet,$N69)),"")</f>
        <v/>
      </c>
      <c r="I69" s="19">
        <f>IF($N69&lt;&gt;"",IF(INDEX(PCOp,$N69)="مرجوعی خرید","",IF(INDEX(PCAmount,$N69)&lt;=0,"",INDEX(PCAmount,$N69))),IF($O69&lt;&gt;"",IF(INDEX(TxnDepB,$O69)=0,"",INDEX(TxnDepB,$O69)),""))</f>
        <v/>
      </c>
      <c r="J69" s="19">
        <f>IF($N69&lt;&gt;"",IF(INDEX(PCOp,$N69)="مرجوعی خرید",IF(INDEX(PCAmount,$N69)=0,"",-INDEX(PCAmount,$N69)),""),IF($O69&lt;&gt;"",IF(INDEX(TxnWitB,$O69)=0,"",INDEX(TxnWitB,$O69)),""))</f>
        <v/>
      </c>
      <c r="K69" s="21">
        <f>IF($B69="","",IF($K68="",$C$10,$K68)+IF($I69="",0,$I69)-IF($J69="",0,$J69))</f>
        <v/>
      </c>
      <c r="L69" s="22">
        <f>IF($N69&lt;&gt;"",IF(INDEX(PCNotes,$N69)="","—",INDEX(PCNotes,$N69)),IF($O69&lt;&gt;"",IF(INDEX(LdgNoteB,$O69)="","—",INDEX(LdgNoteB,$O69)),""))</f>
        <v/>
      </c>
      <c r="N69">
        <f>IFERROR(MATCH($C$5&amp;"|"&amp;RIGHT("000000"&amp;53,6),LdgRankKeyA,0),"")</f>
        <v/>
      </c>
      <c r="O69">
        <f>IFERROR(MATCH($C$5&amp;"|"&amp;RIGHT("000000"&amp;53,6),LdgRankKeyB,0),"")</f>
        <v/>
      </c>
    </row>
    <row r="70">
      <c r="A70" s="23" t="n">
        <v>54</v>
      </c>
      <c r="B70" s="24">
        <f>IF(AND($N70="",$O70=""),"",IF($N70&lt;&gt;"",INDEX(PCNormDate,$N70),INDEX(LdgDateB,$O70)))</f>
        <v/>
      </c>
      <c r="C70" s="24">
        <f>IF($N70&lt;&gt;"",INDEX(PCOp,$N70),IF($O70&lt;&gt;"",IF(N(INDEX(TxnDepB,$O70))&gt;0,"دریافت بانکی","پرداخت بانکی"),""))</f>
        <v/>
      </c>
      <c r="D70" s="24">
        <f>IF($N70&lt;&gt;"",IF(INDEX(PCDoc,$N70)="","—",INDEX(PCDoc,$N70)),IF($O70&lt;&gt;"",INDEX(LdgBankB,$O70),""))</f>
        <v/>
      </c>
      <c r="E70" s="24">
        <f>IF($N70&lt;&gt;"",IF(INDEX(PCCitrus,$N70)="","—",INDEX(PCCitrus,$N70)),"")</f>
        <v/>
      </c>
      <c r="F70" s="25">
        <f>IF($N70&lt;&gt;"",IF(INDEX(PCScale,$N70)=0,"",INDEX(PCScale,$N70)),"")</f>
        <v/>
      </c>
      <c r="G70" s="25">
        <f>IF($N70&lt;&gt;"",IF(INDEX(PCBaskets,$N70)=0,"",INDEX(PCBaskets,$N70)),"")</f>
        <v/>
      </c>
      <c r="H70" s="26">
        <f>IF($N70&lt;&gt;"",IF(INDEX(PCNet,$N70)=0,"",INDEX(PCNet,$N70)),"")</f>
        <v/>
      </c>
      <c r="I70" s="25">
        <f>IF($N70&lt;&gt;"",IF(INDEX(PCOp,$N70)="مرجوعی خرید","",IF(INDEX(PCAmount,$N70)&lt;=0,"",INDEX(PCAmount,$N70))),IF($O70&lt;&gt;"",IF(INDEX(TxnDepB,$O70)=0,"",INDEX(TxnDepB,$O70)),""))</f>
        <v/>
      </c>
      <c r="J70" s="25">
        <f>IF($N70&lt;&gt;"",IF(INDEX(PCOp,$N70)="مرجوعی خرید",IF(INDEX(PCAmount,$N70)=0,"",-INDEX(PCAmount,$N70)),""),IF($O70&lt;&gt;"",IF(INDEX(TxnWitB,$O70)=0,"",INDEX(TxnWitB,$O70)),""))</f>
        <v/>
      </c>
      <c r="K70" s="27">
        <f>IF($B70="","",IF($K69="",$C$10,$K69)+IF($I70="",0,$I70)-IF($J70="",0,$J70))</f>
        <v/>
      </c>
      <c r="L70" s="28">
        <f>IF($N70&lt;&gt;"",IF(INDEX(PCNotes,$N70)="","—",INDEX(PCNotes,$N70)),IF($O70&lt;&gt;"",IF(INDEX(LdgNoteB,$O70)="","—",INDEX(LdgNoteB,$O70)),""))</f>
        <v/>
      </c>
      <c r="N70">
        <f>IFERROR(MATCH($C$5&amp;"|"&amp;RIGHT("000000"&amp;54,6),LdgRankKeyA,0),"")</f>
        <v/>
      </c>
      <c r="O70">
        <f>IFERROR(MATCH($C$5&amp;"|"&amp;RIGHT("000000"&amp;54,6),LdgRankKeyB,0),"")</f>
        <v/>
      </c>
    </row>
    <row r="71">
      <c r="A71" s="17" t="n">
        <v>55</v>
      </c>
      <c r="B71" s="18">
        <f>IF(AND($N71="",$O71=""),"",IF($N71&lt;&gt;"",INDEX(PCNormDate,$N71),INDEX(LdgDateB,$O71)))</f>
        <v/>
      </c>
      <c r="C71" s="18">
        <f>IF($N71&lt;&gt;"",INDEX(PCOp,$N71),IF($O71&lt;&gt;"",IF(N(INDEX(TxnDepB,$O71))&gt;0,"دریافت بانکی","پرداخت بانکی"),""))</f>
        <v/>
      </c>
      <c r="D71" s="18">
        <f>IF($N71&lt;&gt;"",IF(INDEX(PCDoc,$N71)="","—",INDEX(PCDoc,$N71)),IF($O71&lt;&gt;"",INDEX(LdgBankB,$O71),""))</f>
        <v/>
      </c>
      <c r="E71" s="18">
        <f>IF($N71&lt;&gt;"",IF(INDEX(PCCitrus,$N71)="","—",INDEX(PCCitrus,$N71)),"")</f>
        <v/>
      </c>
      <c r="F71" s="19">
        <f>IF($N71&lt;&gt;"",IF(INDEX(PCScale,$N71)=0,"",INDEX(PCScale,$N71)),"")</f>
        <v/>
      </c>
      <c r="G71" s="19">
        <f>IF($N71&lt;&gt;"",IF(INDEX(PCBaskets,$N71)=0,"",INDEX(PCBaskets,$N71)),"")</f>
        <v/>
      </c>
      <c r="H71" s="20">
        <f>IF($N71&lt;&gt;"",IF(INDEX(PCNet,$N71)=0,"",INDEX(PCNet,$N71)),"")</f>
        <v/>
      </c>
      <c r="I71" s="19">
        <f>IF($N71&lt;&gt;"",IF(INDEX(PCOp,$N71)="مرجوعی خرید","",IF(INDEX(PCAmount,$N71)&lt;=0,"",INDEX(PCAmount,$N71))),IF($O71&lt;&gt;"",IF(INDEX(TxnDepB,$O71)=0,"",INDEX(TxnDepB,$O71)),""))</f>
        <v/>
      </c>
      <c r="J71" s="19">
        <f>IF($N71&lt;&gt;"",IF(INDEX(PCOp,$N71)="مرجوعی خرید",IF(INDEX(PCAmount,$N71)=0,"",-INDEX(PCAmount,$N71)),""),IF($O71&lt;&gt;"",IF(INDEX(TxnWitB,$O71)=0,"",INDEX(TxnWitB,$O71)),""))</f>
        <v/>
      </c>
      <c r="K71" s="21">
        <f>IF($B71="","",IF($K70="",$C$10,$K70)+IF($I71="",0,$I71)-IF($J71="",0,$J71))</f>
        <v/>
      </c>
      <c r="L71" s="22">
        <f>IF($N71&lt;&gt;"",IF(INDEX(PCNotes,$N71)="","—",INDEX(PCNotes,$N71)),IF($O71&lt;&gt;"",IF(INDEX(LdgNoteB,$O71)="","—",INDEX(LdgNoteB,$O71)),""))</f>
        <v/>
      </c>
      <c r="N71">
        <f>IFERROR(MATCH($C$5&amp;"|"&amp;RIGHT("000000"&amp;55,6),LdgRankKeyA,0),"")</f>
        <v/>
      </c>
      <c r="O71">
        <f>IFERROR(MATCH($C$5&amp;"|"&amp;RIGHT("000000"&amp;55,6),LdgRankKeyB,0),"")</f>
        <v/>
      </c>
    </row>
    <row r="72">
      <c r="A72" s="23" t="n">
        <v>56</v>
      </c>
      <c r="B72" s="24">
        <f>IF(AND($N72="",$O72=""),"",IF($N72&lt;&gt;"",INDEX(PCNormDate,$N72),INDEX(LdgDateB,$O72)))</f>
        <v/>
      </c>
      <c r="C72" s="24">
        <f>IF($N72&lt;&gt;"",INDEX(PCOp,$N72),IF($O72&lt;&gt;"",IF(N(INDEX(TxnDepB,$O72))&gt;0,"دریافت بانکی","پرداخت بانکی"),""))</f>
        <v/>
      </c>
      <c r="D72" s="24">
        <f>IF($N72&lt;&gt;"",IF(INDEX(PCDoc,$N72)="","—",INDEX(PCDoc,$N72)),IF($O72&lt;&gt;"",INDEX(LdgBankB,$O72),""))</f>
        <v/>
      </c>
      <c r="E72" s="24">
        <f>IF($N72&lt;&gt;"",IF(INDEX(PCCitrus,$N72)="","—",INDEX(PCCitrus,$N72)),"")</f>
        <v/>
      </c>
      <c r="F72" s="25">
        <f>IF($N72&lt;&gt;"",IF(INDEX(PCScale,$N72)=0,"",INDEX(PCScale,$N72)),"")</f>
        <v/>
      </c>
      <c r="G72" s="25">
        <f>IF($N72&lt;&gt;"",IF(INDEX(PCBaskets,$N72)=0,"",INDEX(PCBaskets,$N72)),"")</f>
        <v/>
      </c>
      <c r="H72" s="26">
        <f>IF($N72&lt;&gt;"",IF(INDEX(PCNet,$N72)=0,"",INDEX(PCNet,$N72)),"")</f>
        <v/>
      </c>
      <c r="I72" s="25">
        <f>IF($N72&lt;&gt;"",IF(INDEX(PCOp,$N72)="مرجوعی خرید","",IF(INDEX(PCAmount,$N72)&lt;=0,"",INDEX(PCAmount,$N72))),IF($O72&lt;&gt;"",IF(INDEX(TxnDepB,$O72)=0,"",INDEX(TxnDepB,$O72)),""))</f>
        <v/>
      </c>
      <c r="J72" s="25">
        <f>IF($N72&lt;&gt;"",IF(INDEX(PCOp,$N72)="مرجوعی خرید",IF(INDEX(PCAmount,$N72)=0,"",-INDEX(PCAmount,$N72)),""),IF($O72&lt;&gt;"",IF(INDEX(TxnWitB,$O72)=0,"",INDEX(TxnWitB,$O72)),""))</f>
        <v/>
      </c>
      <c r="K72" s="27">
        <f>IF($B72="","",IF($K71="",$C$10,$K71)+IF($I72="",0,$I72)-IF($J72="",0,$J72))</f>
        <v/>
      </c>
      <c r="L72" s="28">
        <f>IF($N72&lt;&gt;"",IF(INDEX(PCNotes,$N72)="","—",INDEX(PCNotes,$N72)),IF($O72&lt;&gt;"",IF(INDEX(LdgNoteB,$O72)="","—",INDEX(LdgNoteB,$O72)),""))</f>
        <v/>
      </c>
      <c r="N72">
        <f>IFERROR(MATCH($C$5&amp;"|"&amp;RIGHT("000000"&amp;56,6),LdgRankKeyA,0),"")</f>
        <v/>
      </c>
      <c r="O72">
        <f>IFERROR(MATCH($C$5&amp;"|"&amp;RIGHT("000000"&amp;56,6),LdgRankKeyB,0),"")</f>
        <v/>
      </c>
    </row>
    <row r="73">
      <c r="A73" s="17" t="n">
        <v>57</v>
      </c>
      <c r="B73" s="18">
        <f>IF(AND($N73="",$O73=""),"",IF($N73&lt;&gt;"",INDEX(PCNormDate,$N73),INDEX(LdgDateB,$O73)))</f>
        <v/>
      </c>
      <c r="C73" s="18">
        <f>IF($N73&lt;&gt;"",INDEX(PCOp,$N73),IF($O73&lt;&gt;"",IF(N(INDEX(TxnDepB,$O73))&gt;0,"دریافت بانکی","پرداخت بانکی"),""))</f>
        <v/>
      </c>
      <c r="D73" s="18">
        <f>IF($N73&lt;&gt;"",IF(INDEX(PCDoc,$N73)="","—",INDEX(PCDoc,$N73)),IF($O73&lt;&gt;"",INDEX(LdgBankB,$O73),""))</f>
        <v/>
      </c>
      <c r="E73" s="18">
        <f>IF($N73&lt;&gt;"",IF(INDEX(PCCitrus,$N73)="","—",INDEX(PCCitrus,$N73)),"")</f>
        <v/>
      </c>
      <c r="F73" s="19">
        <f>IF($N73&lt;&gt;"",IF(INDEX(PCScale,$N73)=0,"",INDEX(PCScale,$N73)),"")</f>
        <v/>
      </c>
      <c r="G73" s="19">
        <f>IF($N73&lt;&gt;"",IF(INDEX(PCBaskets,$N73)=0,"",INDEX(PCBaskets,$N73)),"")</f>
        <v/>
      </c>
      <c r="H73" s="20">
        <f>IF($N73&lt;&gt;"",IF(INDEX(PCNet,$N73)=0,"",INDEX(PCNet,$N73)),"")</f>
        <v/>
      </c>
      <c r="I73" s="19">
        <f>IF($N73&lt;&gt;"",IF(INDEX(PCOp,$N73)="مرجوعی خرید","",IF(INDEX(PCAmount,$N73)&lt;=0,"",INDEX(PCAmount,$N73))),IF($O73&lt;&gt;"",IF(INDEX(TxnDepB,$O73)=0,"",INDEX(TxnDepB,$O73)),""))</f>
        <v/>
      </c>
      <c r="J73" s="19">
        <f>IF($N73&lt;&gt;"",IF(INDEX(PCOp,$N73)="مرجوعی خرید",IF(INDEX(PCAmount,$N73)=0,"",-INDEX(PCAmount,$N73)),""),IF($O73&lt;&gt;"",IF(INDEX(TxnWitB,$O73)=0,"",INDEX(TxnWitB,$O73)),""))</f>
        <v/>
      </c>
      <c r="K73" s="21">
        <f>IF($B73="","",IF($K72="",$C$10,$K72)+IF($I73="",0,$I73)-IF($J73="",0,$J73))</f>
        <v/>
      </c>
      <c r="L73" s="22">
        <f>IF($N73&lt;&gt;"",IF(INDEX(PCNotes,$N73)="","—",INDEX(PCNotes,$N73)),IF($O73&lt;&gt;"",IF(INDEX(LdgNoteB,$O73)="","—",INDEX(LdgNoteB,$O73)),""))</f>
        <v/>
      </c>
      <c r="N73">
        <f>IFERROR(MATCH($C$5&amp;"|"&amp;RIGHT("000000"&amp;57,6),LdgRankKeyA,0),"")</f>
        <v/>
      </c>
      <c r="O73">
        <f>IFERROR(MATCH($C$5&amp;"|"&amp;RIGHT("000000"&amp;57,6),LdgRankKeyB,0),"")</f>
        <v/>
      </c>
    </row>
    <row r="74">
      <c r="A74" s="23" t="n">
        <v>58</v>
      </c>
      <c r="B74" s="24">
        <f>IF(AND($N74="",$O74=""),"",IF($N74&lt;&gt;"",INDEX(PCNormDate,$N74),INDEX(LdgDateB,$O74)))</f>
        <v/>
      </c>
      <c r="C74" s="24">
        <f>IF($N74&lt;&gt;"",INDEX(PCOp,$N74),IF($O74&lt;&gt;"",IF(N(INDEX(TxnDepB,$O74))&gt;0,"دریافت بانکی","پرداخت بانکی"),""))</f>
        <v/>
      </c>
      <c r="D74" s="24">
        <f>IF($N74&lt;&gt;"",IF(INDEX(PCDoc,$N74)="","—",INDEX(PCDoc,$N74)),IF($O74&lt;&gt;"",INDEX(LdgBankB,$O74),""))</f>
        <v/>
      </c>
      <c r="E74" s="24">
        <f>IF($N74&lt;&gt;"",IF(INDEX(PCCitrus,$N74)="","—",INDEX(PCCitrus,$N74)),"")</f>
        <v/>
      </c>
      <c r="F74" s="25">
        <f>IF($N74&lt;&gt;"",IF(INDEX(PCScale,$N74)=0,"",INDEX(PCScale,$N74)),"")</f>
        <v/>
      </c>
      <c r="G74" s="25">
        <f>IF($N74&lt;&gt;"",IF(INDEX(PCBaskets,$N74)=0,"",INDEX(PCBaskets,$N74)),"")</f>
        <v/>
      </c>
      <c r="H74" s="26">
        <f>IF($N74&lt;&gt;"",IF(INDEX(PCNet,$N74)=0,"",INDEX(PCNet,$N74)),"")</f>
        <v/>
      </c>
      <c r="I74" s="25">
        <f>IF($N74&lt;&gt;"",IF(INDEX(PCOp,$N74)="مرجوعی خرید","",IF(INDEX(PCAmount,$N74)&lt;=0,"",INDEX(PCAmount,$N74))),IF($O74&lt;&gt;"",IF(INDEX(TxnDepB,$O74)=0,"",INDEX(TxnDepB,$O74)),""))</f>
        <v/>
      </c>
      <c r="J74" s="25">
        <f>IF($N74&lt;&gt;"",IF(INDEX(PCOp,$N74)="مرجوعی خرید",IF(INDEX(PCAmount,$N74)=0,"",-INDEX(PCAmount,$N74)),""),IF($O74&lt;&gt;"",IF(INDEX(TxnWitB,$O74)=0,"",INDEX(TxnWitB,$O74)),""))</f>
        <v/>
      </c>
      <c r="K74" s="27">
        <f>IF($B74="","",IF($K73="",$C$10,$K73)+IF($I74="",0,$I74)-IF($J74="",0,$J74))</f>
        <v/>
      </c>
      <c r="L74" s="28">
        <f>IF($N74&lt;&gt;"",IF(INDEX(PCNotes,$N74)="","—",INDEX(PCNotes,$N74)),IF($O74&lt;&gt;"",IF(INDEX(LdgNoteB,$O74)="","—",INDEX(LdgNoteB,$O74)),""))</f>
        <v/>
      </c>
      <c r="N74">
        <f>IFERROR(MATCH($C$5&amp;"|"&amp;RIGHT("000000"&amp;58,6),LdgRankKeyA,0),"")</f>
        <v/>
      </c>
      <c r="O74">
        <f>IFERROR(MATCH($C$5&amp;"|"&amp;RIGHT("000000"&amp;58,6),LdgRankKeyB,0),"")</f>
        <v/>
      </c>
    </row>
    <row r="75">
      <c r="A75" s="17" t="n">
        <v>59</v>
      </c>
      <c r="B75" s="18">
        <f>IF(AND($N75="",$O75=""),"",IF($N75&lt;&gt;"",INDEX(PCNormDate,$N75),INDEX(LdgDateB,$O75)))</f>
        <v/>
      </c>
      <c r="C75" s="18">
        <f>IF($N75&lt;&gt;"",INDEX(PCOp,$N75),IF($O75&lt;&gt;"",IF(N(INDEX(TxnDepB,$O75))&gt;0,"دریافت بانکی","پرداخت بانکی"),""))</f>
        <v/>
      </c>
      <c r="D75" s="18">
        <f>IF($N75&lt;&gt;"",IF(INDEX(PCDoc,$N75)="","—",INDEX(PCDoc,$N75)),IF($O75&lt;&gt;"",INDEX(LdgBankB,$O75),""))</f>
        <v/>
      </c>
      <c r="E75" s="18">
        <f>IF($N75&lt;&gt;"",IF(INDEX(PCCitrus,$N75)="","—",INDEX(PCCitrus,$N75)),"")</f>
        <v/>
      </c>
      <c r="F75" s="19">
        <f>IF($N75&lt;&gt;"",IF(INDEX(PCScale,$N75)=0,"",INDEX(PCScale,$N75)),"")</f>
        <v/>
      </c>
      <c r="G75" s="19">
        <f>IF($N75&lt;&gt;"",IF(INDEX(PCBaskets,$N75)=0,"",INDEX(PCBaskets,$N75)),"")</f>
        <v/>
      </c>
      <c r="H75" s="20">
        <f>IF($N75&lt;&gt;"",IF(INDEX(PCNet,$N75)=0,"",INDEX(PCNet,$N75)),"")</f>
        <v/>
      </c>
      <c r="I75" s="19">
        <f>IF($N75&lt;&gt;"",IF(INDEX(PCOp,$N75)="مرجوعی خرید","",IF(INDEX(PCAmount,$N75)&lt;=0,"",INDEX(PCAmount,$N75))),IF($O75&lt;&gt;"",IF(INDEX(TxnDepB,$O75)=0,"",INDEX(TxnDepB,$O75)),""))</f>
        <v/>
      </c>
      <c r="J75" s="19">
        <f>IF($N75&lt;&gt;"",IF(INDEX(PCOp,$N75)="مرجوعی خرید",IF(INDEX(PCAmount,$N75)=0,"",-INDEX(PCAmount,$N75)),""),IF($O75&lt;&gt;"",IF(INDEX(TxnWitB,$O75)=0,"",INDEX(TxnWitB,$O75)),""))</f>
        <v/>
      </c>
      <c r="K75" s="21">
        <f>IF($B75="","",IF($K74="",$C$10,$K74)+IF($I75="",0,$I75)-IF($J75="",0,$J75))</f>
        <v/>
      </c>
      <c r="L75" s="22">
        <f>IF($N75&lt;&gt;"",IF(INDEX(PCNotes,$N75)="","—",INDEX(PCNotes,$N75)),IF($O75&lt;&gt;"",IF(INDEX(LdgNoteB,$O75)="","—",INDEX(LdgNoteB,$O75)),""))</f>
        <v/>
      </c>
      <c r="N75">
        <f>IFERROR(MATCH($C$5&amp;"|"&amp;RIGHT("000000"&amp;59,6),LdgRankKeyA,0),"")</f>
        <v/>
      </c>
      <c r="O75">
        <f>IFERROR(MATCH($C$5&amp;"|"&amp;RIGHT("000000"&amp;59,6),LdgRankKeyB,0),"")</f>
        <v/>
      </c>
    </row>
    <row r="76">
      <c r="A76" s="23" t="n">
        <v>60</v>
      </c>
      <c r="B76" s="24">
        <f>IF(AND($N76="",$O76=""),"",IF($N76&lt;&gt;"",INDEX(PCNormDate,$N76),INDEX(LdgDateB,$O76)))</f>
        <v/>
      </c>
      <c r="C76" s="24">
        <f>IF($N76&lt;&gt;"",INDEX(PCOp,$N76),IF($O76&lt;&gt;"",IF(N(INDEX(TxnDepB,$O76))&gt;0,"دریافت بانکی","پرداخت بانکی"),""))</f>
        <v/>
      </c>
      <c r="D76" s="24">
        <f>IF($N76&lt;&gt;"",IF(INDEX(PCDoc,$N76)="","—",INDEX(PCDoc,$N76)),IF($O76&lt;&gt;"",INDEX(LdgBankB,$O76),""))</f>
        <v/>
      </c>
      <c r="E76" s="24">
        <f>IF($N76&lt;&gt;"",IF(INDEX(PCCitrus,$N76)="","—",INDEX(PCCitrus,$N76)),"")</f>
        <v/>
      </c>
      <c r="F76" s="25">
        <f>IF($N76&lt;&gt;"",IF(INDEX(PCScale,$N76)=0,"",INDEX(PCScale,$N76)),"")</f>
        <v/>
      </c>
      <c r="G76" s="25">
        <f>IF($N76&lt;&gt;"",IF(INDEX(PCBaskets,$N76)=0,"",INDEX(PCBaskets,$N76)),"")</f>
        <v/>
      </c>
      <c r="H76" s="26">
        <f>IF($N76&lt;&gt;"",IF(INDEX(PCNet,$N76)=0,"",INDEX(PCNet,$N76)),"")</f>
        <v/>
      </c>
      <c r="I76" s="25">
        <f>IF($N76&lt;&gt;"",IF(INDEX(PCOp,$N76)="مرجوعی خرید","",IF(INDEX(PCAmount,$N76)&lt;=0,"",INDEX(PCAmount,$N76))),IF($O76&lt;&gt;"",IF(INDEX(TxnDepB,$O76)=0,"",INDEX(TxnDepB,$O76)),""))</f>
        <v/>
      </c>
      <c r="J76" s="25">
        <f>IF($N76&lt;&gt;"",IF(INDEX(PCOp,$N76)="مرجوعی خرید",IF(INDEX(PCAmount,$N76)=0,"",-INDEX(PCAmount,$N76)),""),IF($O76&lt;&gt;"",IF(INDEX(TxnWitB,$O76)=0,"",INDEX(TxnWitB,$O76)),""))</f>
        <v/>
      </c>
      <c r="K76" s="27">
        <f>IF($B76="","",IF($K75="",$C$10,$K75)+IF($I76="",0,$I76)-IF($J76="",0,$J76))</f>
        <v/>
      </c>
      <c r="L76" s="28">
        <f>IF($N76&lt;&gt;"",IF(INDEX(PCNotes,$N76)="","—",INDEX(PCNotes,$N76)),IF($O76&lt;&gt;"",IF(INDEX(LdgNoteB,$O76)="","—",INDEX(LdgNoteB,$O76)),""))</f>
        <v/>
      </c>
      <c r="N76">
        <f>IFERROR(MATCH($C$5&amp;"|"&amp;RIGHT("000000"&amp;60,6),LdgRankKeyA,0),"")</f>
        <v/>
      </c>
      <c r="O76">
        <f>IFERROR(MATCH($C$5&amp;"|"&amp;RIGHT("000000"&amp;60,6),LdgRankKeyB,0),"")</f>
        <v/>
      </c>
    </row>
    <row r="77">
      <c r="A77" s="17" t="n">
        <v>61</v>
      </c>
      <c r="B77" s="18">
        <f>IF(AND($N77="",$O77=""),"",IF($N77&lt;&gt;"",INDEX(PCNormDate,$N77),INDEX(LdgDateB,$O77)))</f>
        <v/>
      </c>
      <c r="C77" s="18">
        <f>IF($N77&lt;&gt;"",INDEX(PCOp,$N77),IF($O77&lt;&gt;"",IF(N(INDEX(TxnDepB,$O77))&gt;0,"دریافت بانکی","پرداخت بانکی"),""))</f>
        <v/>
      </c>
      <c r="D77" s="18">
        <f>IF($N77&lt;&gt;"",IF(INDEX(PCDoc,$N77)="","—",INDEX(PCDoc,$N77)),IF($O77&lt;&gt;"",INDEX(LdgBankB,$O77),""))</f>
        <v/>
      </c>
      <c r="E77" s="18">
        <f>IF($N77&lt;&gt;"",IF(INDEX(PCCitrus,$N77)="","—",INDEX(PCCitrus,$N77)),"")</f>
        <v/>
      </c>
      <c r="F77" s="19">
        <f>IF($N77&lt;&gt;"",IF(INDEX(PCScale,$N77)=0,"",INDEX(PCScale,$N77)),"")</f>
        <v/>
      </c>
      <c r="G77" s="19">
        <f>IF($N77&lt;&gt;"",IF(INDEX(PCBaskets,$N77)=0,"",INDEX(PCBaskets,$N77)),"")</f>
        <v/>
      </c>
      <c r="H77" s="20">
        <f>IF($N77&lt;&gt;"",IF(INDEX(PCNet,$N77)=0,"",INDEX(PCNet,$N77)),"")</f>
        <v/>
      </c>
      <c r="I77" s="19">
        <f>IF($N77&lt;&gt;"",IF(INDEX(PCOp,$N77)="مرجوعی خرید","",IF(INDEX(PCAmount,$N77)&lt;=0,"",INDEX(PCAmount,$N77))),IF($O77&lt;&gt;"",IF(INDEX(TxnDepB,$O77)=0,"",INDEX(TxnDepB,$O77)),""))</f>
        <v/>
      </c>
      <c r="J77" s="19">
        <f>IF($N77&lt;&gt;"",IF(INDEX(PCOp,$N77)="مرجوعی خرید",IF(INDEX(PCAmount,$N77)=0,"",-INDEX(PCAmount,$N77)),""),IF($O77&lt;&gt;"",IF(INDEX(TxnWitB,$O77)=0,"",INDEX(TxnWitB,$O77)),""))</f>
        <v/>
      </c>
      <c r="K77" s="21">
        <f>IF($B77="","",IF($K76="",$C$10,$K76)+IF($I77="",0,$I77)-IF($J77="",0,$J77))</f>
        <v/>
      </c>
      <c r="L77" s="22">
        <f>IF($N77&lt;&gt;"",IF(INDEX(PCNotes,$N77)="","—",INDEX(PCNotes,$N77)),IF($O77&lt;&gt;"",IF(INDEX(LdgNoteB,$O77)="","—",INDEX(LdgNoteB,$O77)),""))</f>
        <v/>
      </c>
      <c r="N77">
        <f>IFERROR(MATCH($C$5&amp;"|"&amp;RIGHT("000000"&amp;61,6),LdgRankKeyA,0),"")</f>
        <v/>
      </c>
      <c r="O77">
        <f>IFERROR(MATCH($C$5&amp;"|"&amp;RIGHT("000000"&amp;61,6),LdgRankKeyB,0),"")</f>
        <v/>
      </c>
    </row>
    <row r="78">
      <c r="A78" s="23" t="n">
        <v>62</v>
      </c>
      <c r="B78" s="24">
        <f>IF(AND($N78="",$O78=""),"",IF($N78&lt;&gt;"",INDEX(PCNormDate,$N78),INDEX(LdgDateB,$O78)))</f>
        <v/>
      </c>
      <c r="C78" s="24">
        <f>IF($N78&lt;&gt;"",INDEX(PCOp,$N78),IF($O78&lt;&gt;"",IF(N(INDEX(TxnDepB,$O78))&gt;0,"دریافت بانکی","پرداخت بانکی"),""))</f>
        <v/>
      </c>
      <c r="D78" s="24">
        <f>IF($N78&lt;&gt;"",IF(INDEX(PCDoc,$N78)="","—",INDEX(PCDoc,$N78)),IF($O78&lt;&gt;"",INDEX(LdgBankB,$O78),""))</f>
        <v/>
      </c>
      <c r="E78" s="24">
        <f>IF($N78&lt;&gt;"",IF(INDEX(PCCitrus,$N78)="","—",INDEX(PCCitrus,$N78)),"")</f>
        <v/>
      </c>
      <c r="F78" s="25">
        <f>IF($N78&lt;&gt;"",IF(INDEX(PCScale,$N78)=0,"",INDEX(PCScale,$N78)),"")</f>
        <v/>
      </c>
      <c r="G78" s="25">
        <f>IF($N78&lt;&gt;"",IF(INDEX(PCBaskets,$N78)=0,"",INDEX(PCBaskets,$N78)),"")</f>
        <v/>
      </c>
      <c r="H78" s="26">
        <f>IF($N78&lt;&gt;"",IF(INDEX(PCNet,$N78)=0,"",INDEX(PCNet,$N78)),"")</f>
        <v/>
      </c>
      <c r="I78" s="25">
        <f>IF($N78&lt;&gt;"",IF(INDEX(PCOp,$N78)="مرجوعی خرید","",IF(INDEX(PCAmount,$N78)&lt;=0,"",INDEX(PCAmount,$N78))),IF($O78&lt;&gt;"",IF(INDEX(TxnDepB,$O78)=0,"",INDEX(TxnDepB,$O78)),""))</f>
        <v/>
      </c>
      <c r="J78" s="25">
        <f>IF($N78&lt;&gt;"",IF(INDEX(PCOp,$N78)="مرجوعی خرید",IF(INDEX(PCAmount,$N78)=0,"",-INDEX(PCAmount,$N78)),""),IF($O78&lt;&gt;"",IF(INDEX(TxnWitB,$O78)=0,"",INDEX(TxnWitB,$O78)),""))</f>
        <v/>
      </c>
      <c r="K78" s="27">
        <f>IF($B78="","",IF($K77="",$C$10,$K77)+IF($I78="",0,$I78)-IF($J78="",0,$J78))</f>
        <v/>
      </c>
      <c r="L78" s="28">
        <f>IF($N78&lt;&gt;"",IF(INDEX(PCNotes,$N78)="","—",INDEX(PCNotes,$N78)),IF($O78&lt;&gt;"",IF(INDEX(LdgNoteB,$O78)="","—",INDEX(LdgNoteB,$O78)),""))</f>
        <v/>
      </c>
      <c r="N78">
        <f>IFERROR(MATCH($C$5&amp;"|"&amp;RIGHT("000000"&amp;62,6),LdgRankKeyA,0),"")</f>
        <v/>
      </c>
      <c r="O78">
        <f>IFERROR(MATCH($C$5&amp;"|"&amp;RIGHT("000000"&amp;62,6),LdgRankKeyB,0),"")</f>
        <v/>
      </c>
    </row>
    <row r="79">
      <c r="A79" s="17" t="n">
        <v>63</v>
      </c>
      <c r="B79" s="18">
        <f>IF(AND($N79="",$O79=""),"",IF($N79&lt;&gt;"",INDEX(PCNormDate,$N79),INDEX(LdgDateB,$O79)))</f>
        <v/>
      </c>
      <c r="C79" s="18">
        <f>IF($N79&lt;&gt;"",INDEX(PCOp,$N79),IF($O79&lt;&gt;"",IF(N(INDEX(TxnDepB,$O79))&gt;0,"دریافت بانکی","پرداخت بانکی"),""))</f>
        <v/>
      </c>
      <c r="D79" s="18">
        <f>IF($N79&lt;&gt;"",IF(INDEX(PCDoc,$N79)="","—",INDEX(PCDoc,$N79)),IF($O79&lt;&gt;"",INDEX(LdgBankB,$O79),""))</f>
        <v/>
      </c>
      <c r="E79" s="18">
        <f>IF($N79&lt;&gt;"",IF(INDEX(PCCitrus,$N79)="","—",INDEX(PCCitrus,$N79)),"")</f>
        <v/>
      </c>
      <c r="F79" s="19">
        <f>IF($N79&lt;&gt;"",IF(INDEX(PCScale,$N79)=0,"",INDEX(PCScale,$N79)),"")</f>
        <v/>
      </c>
      <c r="G79" s="19">
        <f>IF($N79&lt;&gt;"",IF(INDEX(PCBaskets,$N79)=0,"",INDEX(PCBaskets,$N79)),"")</f>
        <v/>
      </c>
      <c r="H79" s="20">
        <f>IF($N79&lt;&gt;"",IF(INDEX(PCNet,$N79)=0,"",INDEX(PCNet,$N79)),"")</f>
        <v/>
      </c>
      <c r="I79" s="19">
        <f>IF($N79&lt;&gt;"",IF(INDEX(PCOp,$N79)="مرجوعی خرید","",IF(INDEX(PCAmount,$N79)&lt;=0,"",INDEX(PCAmount,$N79))),IF($O79&lt;&gt;"",IF(INDEX(TxnDepB,$O79)=0,"",INDEX(TxnDepB,$O79)),""))</f>
        <v/>
      </c>
      <c r="J79" s="19">
        <f>IF($N79&lt;&gt;"",IF(INDEX(PCOp,$N79)="مرجوعی خرید",IF(INDEX(PCAmount,$N79)=0,"",-INDEX(PCAmount,$N79)),""),IF($O79&lt;&gt;"",IF(INDEX(TxnWitB,$O79)=0,"",INDEX(TxnWitB,$O79)),""))</f>
        <v/>
      </c>
      <c r="K79" s="21">
        <f>IF($B79="","",IF($K78="",$C$10,$K78)+IF($I79="",0,$I79)-IF($J79="",0,$J79))</f>
        <v/>
      </c>
      <c r="L79" s="22">
        <f>IF($N79&lt;&gt;"",IF(INDEX(PCNotes,$N79)="","—",INDEX(PCNotes,$N79)),IF($O79&lt;&gt;"",IF(INDEX(LdgNoteB,$O79)="","—",INDEX(LdgNoteB,$O79)),""))</f>
        <v/>
      </c>
      <c r="N79">
        <f>IFERROR(MATCH($C$5&amp;"|"&amp;RIGHT("000000"&amp;63,6),LdgRankKeyA,0),"")</f>
        <v/>
      </c>
      <c r="O79">
        <f>IFERROR(MATCH($C$5&amp;"|"&amp;RIGHT("000000"&amp;63,6),LdgRankKeyB,0),"")</f>
        <v/>
      </c>
    </row>
    <row r="80">
      <c r="A80" s="23" t="n">
        <v>64</v>
      </c>
      <c r="B80" s="24">
        <f>IF(AND($N80="",$O80=""),"",IF($N80&lt;&gt;"",INDEX(PCNormDate,$N80),INDEX(LdgDateB,$O80)))</f>
        <v/>
      </c>
      <c r="C80" s="24">
        <f>IF($N80&lt;&gt;"",INDEX(PCOp,$N80),IF($O80&lt;&gt;"",IF(N(INDEX(TxnDepB,$O80))&gt;0,"دریافت بانکی","پرداخت بانکی"),""))</f>
        <v/>
      </c>
      <c r="D80" s="24">
        <f>IF($N80&lt;&gt;"",IF(INDEX(PCDoc,$N80)="","—",INDEX(PCDoc,$N80)),IF($O80&lt;&gt;"",INDEX(LdgBankB,$O80),""))</f>
        <v/>
      </c>
      <c r="E80" s="24">
        <f>IF($N80&lt;&gt;"",IF(INDEX(PCCitrus,$N80)="","—",INDEX(PCCitrus,$N80)),"")</f>
        <v/>
      </c>
      <c r="F80" s="25">
        <f>IF($N80&lt;&gt;"",IF(INDEX(PCScale,$N80)=0,"",INDEX(PCScale,$N80)),"")</f>
        <v/>
      </c>
      <c r="G80" s="25">
        <f>IF($N80&lt;&gt;"",IF(INDEX(PCBaskets,$N80)=0,"",INDEX(PCBaskets,$N80)),"")</f>
        <v/>
      </c>
      <c r="H80" s="26">
        <f>IF($N80&lt;&gt;"",IF(INDEX(PCNet,$N80)=0,"",INDEX(PCNet,$N80)),"")</f>
        <v/>
      </c>
      <c r="I80" s="25">
        <f>IF($N80&lt;&gt;"",IF(INDEX(PCOp,$N80)="مرجوعی خرید","",IF(INDEX(PCAmount,$N80)&lt;=0,"",INDEX(PCAmount,$N80))),IF($O80&lt;&gt;"",IF(INDEX(TxnDepB,$O80)=0,"",INDEX(TxnDepB,$O80)),""))</f>
        <v/>
      </c>
      <c r="J80" s="25">
        <f>IF($N80&lt;&gt;"",IF(INDEX(PCOp,$N80)="مرجوعی خرید",IF(INDEX(PCAmount,$N80)=0,"",-INDEX(PCAmount,$N80)),""),IF($O80&lt;&gt;"",IF(INDEX(TxnWitB,$O80)=0,"",INDEX(TxnWitB,$O80)),""))</f>
        <v/>
      </c>
      <c r="K80" s="27">
        <f>IF($B80="","",IF($K79="",$C$10,$K79)+IF($I80="",0,$I80)-IF($J80="",0,$J80))</f>
        <v/>
      </c>
      <c r="L80" s="28">
        <f>IF($N80&lt;&gt;"",IF(INDEX(PCNotes,$N80)="","—",INDEX(PCNotes,$N80)),IF($O80&lt;&gt;"",IF(INDEX(LdgNoteB,$O80)="","—",INDEX(LdgNoteB,$O80)),""))</f>
        <v/>
      </c>
      <c r="N80">
        <f>IFERROR(MATCH($C$5&amp;"|"&amp;RIGHT("000000"&amp;64,6),LdgRankKeyA,0),"")</f>
        <v/>
      </c>
      <c r="O80">
        <f>IFERROR(MATCH($C$5&amp;"|"&amp;RIGHT("000000"&amp;64,6),LdgRankKeyB,0),"")</f>
        <v/>
      </c>
    </row>
    <row r="81">
      <c r="A81" s="17" t="n">
        <v>65</v>
      </c>
      <c r="B81" s="18">
        <f>IF(AND($N81="",$O81=""),"",IF($N81&lt;&gt;"",INDEX(PCNormDate,$N81),INDEX(LdgDateB,$O81)))</f>
        <v/>
      </c>
      <c r="C81" s="18">
        <f>IF($N81&lt;&gt;"",INDEX(PCOp,$N81),IF($O81&lt;&gt;"",IF(N(INDEX(TxnDepB,$O81))&gt;0,"دریافت بانکی","پرداخت بانکی"),""))</f>
        <v/>
      </c>
      <c r="D81" s="18">
        <f>IF($N81&lt;&gt;"",IF(INDEX(PCDoc,$N81)="","—",INDEX(PCDoc,$N81)),IF($O81&lt;&gt;"",INDEX(LdgBankB,$O81),""))</f>
        <v/>
      </c>
      <c r="E81" s="18">
        <f>IF($N81&lt;&gt;"",IF(INDEX(PCCitrus,$N81)="","—",INDEX(PCCitrus,$N81)),"")</f>
        <v/>
      </c>
      <c r="F81" s="19">
        <f>IF($N81&lt;&gt;"",IF(INDEX(PCScale,$N81)=0,"",INDEX(PCScale,$N81)),"")</f>
        <v/>
      </c>
      <c r="G81" s="19">
        <f>IF($N81&lt;&gt;"",IF(INDEX(PCBaskets,$N81)=0,"",INDEX(PCBaskets,$N81)),"")</f>
        <v/>
      </c>
      <c r="H81" s="20">
        <f>IF($N81&lt;&gt;"",IF(INDEX(PCNet,$N81)=0,"",INDEX(PCNet,$N81)),"")</f>
        <v/>
      </c>
      <c r="I81" s="19">
        <f>IF($N81&lt;&gt;"",IF(INDEX(PCOp,$N81)="مرجوعی خرید","",IF(INDEX(PCAmount,$N81)&lt;=0,"",INDEX(PCAmount,$N81))),IF($O81&lt;&gt;"",IF(INDEX(TxnDepB,$O81)=0,"",INDEX(TxnDepB,$O81)),""))</f>
        <v/>
      </c>
      <c r="J81" s="19">
        <f>IF($N81&lt;&gt;"",IF(INDEX(PCOp,$N81)="مرجوعی خرید",IF(INDEX(PCAmount,$N81)=0,"",-INDEX(PCAmount,$N81)),""),IF($O81&lt;&gt;"",IF(INDEX(TxnWitB,$O81)=0,"",INDEX(TxnWitB,$O81)),""))</f>
        <v/>
      </c>
      <c r="K81" s="21">
        <f>IF($B81="","",IF($K80="",$C$10,$K80)+IF($I81="",0,$I81)-IF($J81="",0,$J81))</f>
        <v/>
      </c>
      <c r="L81" s="22">
        <f>IF($N81&lt;&gt;"",IF(INDEX(PCNotes,$N81)="","—",INDEX(PCNotes,$N81)),IF($O81&lt;&gt;"",IF(INDEX(LdgNoteB,$O81)="","—",INDEX(LdgNoteB,$O81)),""))</f>
        <v/>
      </c>
      <c r="N81">
        <f>IFERROR(MATCH($C$5&amp;"|"&amp;RIGHT("000000"&amp;65,6),LdgRankKeyA,0),"")</f>
        <v/>
      </c>
      <c r="O81">
        <f>IFERROR(MATCH($C$5&amp;"|"&amp;RIGHT("000000"&amp;65,6),LdgRankKeyB,0),"")</f>
        <v/>
      </c>
    </row>
    <row r="82">
      <c r="A82" s="23" t="n">
        <v>66</v>
      </c>
      <c r="B82" s="24">
        <f>IF(AND($N82="",$O82=""),"",IF($N82&lt;&gt;"",INDEX(PCNormDate,$N82),INDEX(LdgDateB,$O82)))</f>
        <v/>
      </c>
      <c r="C82" s="24">
        <f>IF($N82&lt;&gt;"",INDEX(PCOp,$N82),IF($O82&lt;&gt;"",IF(N(INDEX(TxnDepB,$O82))&gt;0,"دریافت بانکی","پرداخت بانکی"),""))</f>
        <v/>
      </c>
      <c r="D82" s="24">
        <f>IF($N82&lt;&gt;"",IF(INDEX(PCDoc,$N82)="","—",INDEX(PCDoc,$N82)),IF($O82&lt;&gt;"",INDEX(LdgBankB,$O82),""))</f>
        <v/>
      </c>
      <c r="E82" s="24">
        <f>IF($N82&lt;&gt;"",IF(INDEX(PCCitrus,$N82)="","—",INDEX(PCCitrus,$N82)),"")</f>
        <v/>
      </c>
      <c r="F82" s="25">
        <f>IF($N82&lt;&gt;"",IF(INDEX(PCScale,$N82)=0,"",INDEX(PCScale,$N82)),"")</f>
        <v/>
      </c>
      <c r="G82" s="25">
        <f>IF($N82&lt;&gt;"",IF(INDEX(PCBaskets,$N82)=0,"",INDEX(PCBaskets,$N82)),"")</f>
        <v/>
      </c>
      <c r="H82" s="26">
        <f>IF($N82&lt;&gt;"",IF(INDEX(PCNet,$N82)=0,"",INDEX(PCNet,$N82)),"")</f>
        <v/>
      </c>
      <c r="I82" s="25">
        <f>IF($N82&lt;&gt;"",IF(INDEX(PCOp,$N82)="مرجوعی خرید","",IF(INDEX(PCAmount,$N82)&lt;=0,"",INDEX(PCAmount,$N82))),IF($O82&lt;&gt;"",IF(INDEX(TxnDepB,$O82)=0,"",INDEX(TxnDepB,$O82)),""))</f>
        <v/>
      </c>
      <c r="J82" s="25">
        <f>IF($N82&lt;&gt;"",IF(INDEX(PCOp,$N82)="مرجوعی خرید",IF(INDEX(PCAmount,$N82)=0,"",-INDEX(PCAmount,$N82)),""),IF($O82&lt;&gt;"",IF(INDEX(TxnWitB,$O82)=0,"",INDEX(TxnWitB,$O82)),""))</f>
        <v/>
      </c>
      <c r="K82" s="27">
        <f>IF($B82="","",IF($K81="",$C$10,$K81)+IF($I82="",0,$I82)-IF($J82="",0,$J82))</f>
        <v/>
      </c>
      <c r="L82" s="28">
        <f>IF($N82&lt;&gt;"",IF(INDEX(PCNotes,$N82)="","—",INDEX(PCNotes,$N82)),IF($O82&lt;&gt;"",IF(INDEX(LdgNoteB,$O82)="","—",INDEX(LdgNoteB,$O82)),""))</f>
        <v/>
      </c>
      <c r="N82">
        <f>IFERROR(MATCH($C$5&amp;"|"&amp;RIGHT("000000"&amp;66,6),LdgRankKeyA,0),"")</f>
        <v/>
      </c>
      <c r="O82">
        <f>IFERROR(MATCH($C$5&amp;"|"&amp;RIGHT("000000"&amp;66,6),LdgRankKeyB,0),"")</f>
        <v/>
      </c>
    </row>
    <row r="83">
      <c r="A83" s="17" t="n">
        <v>67</v>
      </c>
      <c r="B83" s="18">
        <f>IF(AND($N83="",$O83=""),"",IF($N83&lt;&gt;"",INDEX(PCNormDate,$N83),INDEX(LdgDateB,$O83)))</f>
        <v/>
      </c>
      <c r="C83" s="18">
        <f>IF($N83&lt;&gt;"",INDEX(PCOp,$N83),IF($O83&lt;&gt;"",IF(N(INDEX(TxnDepB,$O83))&gt;0,"دریافت بانکی","پرداخت بانکی"),""))</f>
        <v/>
      </c>
      <c r="D83" s="18">
        <f>IF($N83&lt;&gt;"",IF(INDEX(PCDoc,$N83)="","—",INDEX(PCDoc,$N83)),IF($O83&lt;&gt;"",INDEX(LdgBankB,$O83),""))</f>
        <v/>
      </c>
      <c r="E83" s="18">
        <f>IF($N83&lt;&gt;"",IF(INDEX(PCCitrus,$N83)="","—",INDEX(PCCitrus,$N83)),"")</f>
        <v/>
      </c>
      <c r="F83" s="19">
        <f>IF($N83&lt;&gt;"",IF(INDEX(PCScale,$N83)=0,"",INDEX(PCScale,$N83)),"")</f>
        <v/>
      </c>
      <c r="G83" s="19">
        <f>IF($N83&lt;&gt;"",IF(INDEX(PCBaskets,$N83)=0,"",INDEX(PCBaskets,$N83)),"")</f>
        <v/>
      </c>
      <c r="H83" s="20">
        <f>IF($N83&lt;&gt;"",IF(INDEX(PCNet,$N83)=0,"",INDEX(PCNet,$N83)),"")</f>
        <v/>
      </c>
      <c r="I83" s="19">
        <f>IF($N83&lt;&gt;"",IF(INDEX(PCOp,$N83)="مرجوعی خرید","",IF(INDEX(PCAmount,$N83)&lt;=0,"",INDEX(PCAmount,$N83))),IF($O83&lt;&gt;"",IF(INDEX(TxnDepB,$O83)=0,"",INDEX(TxnDepB,$O83)),""))</f>
        <v/>
      </c>
      <c r="J83" s="19">
        <f>IF($N83&lt;&gt;"",IF(INDEX(PCOp,$N83)="مرجوعی خرید",IF(INDEX(PCAmount,$N83)=0,"",-INDEX(PCAmount,$N83)),""),IF($O83&lt;&gt;"",IF(INDEX(TxnWitB,$O83)=0,"",INDEX(TxnWitB,$O83)),""))</f>
        <v/>
      </c>
      <c r="K83" s="21">
        <f>IF($B83="","",IF($K82="",$C$10,$K82)+IF($I83="",0,$I83)-IF($J83="",0,$J83))</f>
        <v/>
      </c>
      <c r="L83" s="22">
        <f>IF($N83&lt;&gt;"",IF(INDEX(PCNotes,$N83)="","—",INDEX(PCNotes,$N83)),IF($O83&lt;&gt;"",IF(INDEX(LdgNoteB,$O83)="","—",INDEX(LdgNoteB,$O83)),""))</f>
        <v/>
      </c>
      <c r="N83">
        <f>IFERROR(MATCH($C$5&amp;"|"&amp;RIGHT("000000"&amp;67,6),LdgRankKeyA,0),"")</f>
        <v/>
      </c>
      <c r="O83">
        <f>IFERROR(MATCH($C$5&amp;"|"&amp;RIGHT("000000"&amp;67,6),LdgRankKeyB,0),"")</f>
        <v/>
      </c>
    </row>
    <row r="84">
      <c r="A84" s="23" t="n">
        <v>68</v>
      </c>
      <c r="B84" s="24">
        <f>IF(AND($N84="",$O84=""),"",IF($N84&lt;&gt;"",INDEX(PCNormDate,$N84),INDEX(LdgDateB,$O84)))</f>
        <v/>
      </c>
      <c r="C84" s="24">
        <f>IF($N84&lt;&gt;"",INDEX(PCOp,$N84),IF($O84&lt;&gt;"",IF(N(INDEX(TxnDepB,$O84))&gt;0,"دریافت بانکی","پرداخت بانکی"),""))</f>
        <v/>
      </c>
      <c r="D84" s="24">
        <f>IF($N84&lt;&gt;"",IF(INDEX(PCDoc,$N84)="","—",INDEX(PCDoc,$N84)),IF($O84&lt;&gt;"",INDEX(LdgBankB,$O84),""))</f>
        <v/>
      </c>
      <c r="E84" s="24">
        <f>IF($N84&lt;&gt;"",IF(INDEX(PCCitrus,$N84)="","—",INDEX(PCCitrus,$N84)),"")</f>
        <v/>
      </c>
      <c r="F84" s="25">
        <f>IF($N84&lt;&gt;"",IF(INDEX(PCScale,$N84)=0,"",INDEX(PCScale,$N84)),"")</f>
        <v/>
      </c>
      <c r="G84" s="25">
        <f>IF($N84&lt;&gt;"",IF(INDEX(PCBaskets,$N84)=0,"",INDEX(PCBaskets,$N84)),"")</f>
        <v/>
      </c>
      <c r="H84" s="26">
        <f>IF($N84&lt;&gt;"",IF(INDEX(PCNet,$N84)=0,"",INDEX(PCNet,$N84)),"")</f>
        <v/>
      </c>
      <c r="I84" s="25">
        <f>IF($N84&lt;&gt;"",IF(INDEX(PCOp,$N84)="مرجوعی خرید","",IF(INDEX(PCAmount,$N84)&lt;=0,"",INDEX(PCAmount,$N84))),IF($O84&lt;&gt;"",IF(INDEX(TxnDepB,$O84)=0,"",INDEX(TxnDepB,$O84)),""))</f>
        <v/>
      </c>
      <c r="J84" s="25">
        <f>IF($N84&lt;&gt;"",IF(INDEX(PCOp,$N84)="مرجوعی خرید",IF(INDEX(PCAmount,$N84)=0,"",-INDEX(PCAmount,$N84)),""),IF($O84&lt;&gt;"",IF(INDEX(TxnWitB,$O84)=0,"",INDEX(TxnWitB,$O84)),""))</f>
        <v/>
      </c>
      <c r="K84" s="27">
        <f>IF($B84="","",IF($K83="",$C$10,$K83)+IF($I84="",0,$I84)-IF($J84="",0,$J84))</f>
        <v/>
      </c>
      <c r="L84" s="28">
        <f>IF($N84&lt;&gt;"",IF(INDEX(PCNotes,$N84)="","—",INDEX(PCNotes,$N84)),IF($O84&lt;&gt;"",IF(INDEX(LdgNoteB,$O84)="","—",INDEX(LdgNoteB,$O84)),""))</f>
        <v/>
      </c>
      <c r="N84">
        <f>IFERROR(MATCH($C$5&amp;"|"&amp;RIGHT("000000"&amp;68,6),LdgRankKeyA,0),"")</f>
        <v/>
      </c>
      <c r="O84">
        <f>IFERROR(MATCH($C$5&amp;"|"&amp;RIGHT("000000"&amp;68,6),LdgRankKeyB,0),"")</f>
        <v/>
      </c>
    </row>
    <row r="85">
      <c r="A85" s="17" t="n">
        <v>69</v>
      </c>
      <c r="B85" s="18">
        <f>IF(AND($N85="",$O85=""),"",IF($N85&lt;&gt;"",INDEX(PCNormDate,$N85),INDEX(LdgDateB,$O85)))</f>
        <v/>
      </c>
      <c r="C85" s="18">
        <f>IF($N85&lt;&gt;"",INDEX(PCOp,$N85),IF($O85&lt;&gt;"",IF(N(INDEX(TxnDepB,$O85))&gt;0,"دریافت بانکی","پرداخت بانکی"),""))</f>
        <v/>
      </c>
      <c r="D85" s="18">
        <f>IF($N85&lt;&gt;"",IF(INDEX(PCDoc,$N85)="","—",INDEX(PCDoc,$N85)),IF($O85&lt;&gt;"",INDEX(LdgBankB,$O85),""))</f>
        <v/>
      </c>
      <c r="E85" s="18">
        <f>IF($N85&lt;&gt;"",IF(INDEX(PCCitrus,$N85)="","—",INDEX(PCCitrus,$N85)),"")</f>
        <v/>
      </c>
      <c r="F85" s="19">
        <f>IF($N85&lt;&gt;"",IF(INDEX(PCScale,$N85)=0,"",INDEX(PCScale,$N85)),"")</f>
        <v/>
      </c>
      <c r="G85" s="19">
        <f>IF($N85&lt;&gt;"",IF(INDEX(PCBaskets,$N85)=0,"",INDEX(PCBaskets,$N85)),"")</f>
        <v/>
      </c>
      <c r="H85" s="20">
        <f>IF($N85&lt;&gt;"",IF(INDEX(PCNet,$N85)=0,"",INDEX(PCNet,$N85)),"")</f>
        <v/>
      </c>
      <c r="I85" s="19">
        <f>IF($N85&lt;&gt;"",IF(INDEX(PCOp,$N85)="مرجوعی خرید","",IF(INDEX(PCAmount,$N85)&lt;=0,"",INDEX(PCAmount,$N85))),IF($O85&lt;&gt;"",IF(INDEX(TxnDepB,$O85)=0,"",INDEX(TxnDepB,$O85)),""))</f>
        <v/>
      </c>
      <c r="J85" s="19">
        <f>IF($N85&lt;&gt;"",IF(INDEX(PCOp,$N85)="مرجوعی خرید",IF(INDEX(PCAmount,$N85)=0,"",-INDEX(PCAmount,$N85)),""),IF($O85&lt;&gt;"",IF(INDEX(TxnWitB,$O85)=0,"",INDEX(TxnWitB,$O85)),""))</f>
        <v/>
      </c>
      <c r="K85" s="21">
        <f>IF($B85="","",IF($K84="",$C$10,$K84)+IF($I85="",0,$I85)-IF($J85="",0,$J85))</f>
        <v/>
      </c>
      <c r="L85" s="22">
        <f>IF($N85&lt;&gt;"",IF(INDEX(PCNotes,$N85)="","—",INDEX(PCNotes,$N85)),IF($O85&lt;&gt;"",IF(INDEX(LdgNoteB,$O85)="","—",INDEX(LdgNoteB,$O85)),""))</f>
        <v/>
      </c>
      <c r="N85">
        <f>IFERROR(MATCH($C$5&amp;"|"&amp;RIGHT("000000"&amp;69,6),LdgRankKeyA,0),"")</f>
        <v/>
      </c>
      <c r="O85">
        <f>IFERROR(MATCH($C$5&amp;"|"&amp;RIGHT("000000"&amp;69,6),LdgRankKeyB,0),"")</f>
        <v/>
      </c>
    </row>
    <row r="86">
      <c r="A86" s="23" t="n">
        <v>70</v>
      </c>
      <c r="B86" s="24">
        <f>IF(AND($N86="",$O86=""),"",IF($N86&lt;&gt;"",INDEX(PCNormDate,$N86),INDEX(LdgDateB,$O86)))</f>
        <v/>
      </c>
      <c r="C86" s="24">
        <f>IF($N86&lt;&gt;"",INDEX(PCOp,$N86),IF($O86&lt;&gt;"",IF(N(INDEX(TxnDepB,$O86))&gt;0,"دریافت بانکی","پرداخت بانکی"),""))</f>
        <v/>
      </c>
      <c r="D86" s="24">
        <f>IF($N86&lt;&gt;"",IF(INDEX(PCDoc,$N86)="","—",INDEX(PCDoc,$N86)),IF($O86&lt;&gt;"",INDEX(LdgBankB,$O86),""))</f>
        <v/>
      </c>
      <c r="E86" s="24">
        <f>IF($N86&lt;&gt;"",IF(INDEX(PCCitrus,$N86)="","—",INDEX(PCCitrus,$N86)),"")</f>
        <v/>
      </c>
      <c r="F86" s="25">
        <f>IF($N86&lt;&gt;"",IF(INDEX(PCScale,$N86)=0,"",INDEX(PCScale,$N86)),"")</f>
        <v/>
      </c>
      <c r="G86" s="25">
        <f>IF($N86&lt;&gt;"",IF(INDEX(PCBaskets,$N86)=0,"",INDEX(PCBaskets,$N86)),"")</f>
        <v/>
      </c>
      <c r="H86" s="26">
        <f>IF($N86&lt;&gt;"",IF(INDEX(PCNet,$N86)=0,"",INDEX(PCNet,$N86)),"")</f>
        <v/>
      </c>
      <c r="I86" s="25">
        <f>IF($N86&lt;&gt;"",IF(INDEX(PCOp,$N86)="مرجوعی خرید","",IF(INDEX(PCAmount,$N86)&lt;=0,"",INDEX(PCAmount,$N86))),IF($O86&lt;&gt;"",IF(INDEX(TxnDepB,$O86)=0,"",INDEX(TxnDepB,$O86)),""))</f>
        <v/>
      </c>
      <c r="J86" s="25">
        <f>IF($N86&lt;&gt;"",IF(INDEX(PCOp,$N86)="مرجوعی خرید",IF(INDEX(PCAmount,$N86)=0,"",-INDEX(PCAmount,$N86)),""),IF($O86&lt;&gt;"",IF(INDEX(TxnWitB,$O86)=0,"",INDEX(TxnWitB,$O86)),""))</f>
        <v/>
      </c>
      <c r="K86" s="27">
        <f>IF($B86="","",IF($K85="",$C$10,$K85)+IF($I86="",0,$I86)-IF($J86="",0,$J86))</f>
        <v/>
      </c>
      <c r="L86" s="28">
        <f>IF($N86&lt;&gt;"",IF(INDEX(PCNotes,$N86)="","—",INDEX(PCNotes,$N86)),IF($O86&lt;&gt;"",IF(INDEX(LdgNoteB,$O86)="","—",INDEX(LdgNoteB,$O86)),""))</f>
        <v/>
      </c>
      <c r="N86">
        <f>IFERROR(MATCH($C$5&amp;"|"&amp;RIGHT("000000"&amp;70,6),LdgRankKeyA,0),"")</f>
        <v/>
      </c>
      <c r="O86">
        <f>IFERROR(MATCH($C$5&amp;"|"&amp;RIGHT("000000"&amp;70,6),LdgRankKeyB,0),"")</f>
        <v/>
      </c>
    </row>
    <row r="87">
      <c r="A87" s="17" t="n">
        <v>71</v>
      </c>
      <c r="B87" s="18">
        <f>IF(AND($N87="",$O87=""),"",IF($N87&lt;&gt;"",INDEX(PCNormDate,$N87),INDEX(LdgDateB,$O87)))</f>
        <v/>
      </c>
      <c r="C87" s="18">
        <f>IF($N87&lt;&gt;"",INDEX(PCOp,$N87),IF($O87&lt;&gt;"",IF(N(INDEX(TxnDepB,$O87))&gt;0,"دریافت بانکی","پرداخت بانکی"),""))</f>
        <v/>
      </c>
      <c r="D87" s="18">
        <f>IF($N87&lt;&gt;"",IF(INDEX(PCDoc,$N87)="","—",INDEX(PCDoc,$N87)),IF($O87&lt;&gt;"",INDEX(LdgBankB,$O87),""))</f>
        <v/>
      </c>
      <c r="E87" s="18">
        <f>IF($N87&lt;&gt;"",IF(INDEX(PCCitrus,$N87)="","—",INDEX(PCCitrus,$N87)),"")</f>
        <v/>
      </c>
      <c r="F87" s="19">
        <f>IF($N87&lt;&gt;"",IF(INDEX(PCScale,$N87)=0,"",INDEX(PCScale,$N87)),"")</f>
        <v/>
      </c>
      <c r="G87" s="19">
        <f>IF($N87&lt;&gt;"",IF(INDEX(PCBaskets,$N87)=0,"",INDEX(PCBaskets,$N87)),"")</f>
        <v/>
      </c>
      <c r="H87" s="20">
        <f>IF($N87&lt;&gt;"",IF(INDEX(PCNet,$N87)=0,"",INDEX(PCNet,$N87)),"")</f>
        <v/>
      </c>
      <c r="I87" s="19">
        <f>IF($N87&lt;&gt;"",IF(INDEX(PCOp,$N87)="مرجوعی خرید","",IF(INDEX(PCAmount,$N87)&lt;=0,"",INDEX(PCAmount,$N87))),IF($O87&lt;&gt;"",IF(INDEX(TxnDepB,$O87)=0,"",INDEX(TxnDepB,$O87)),""))</f>
        <v/>
      </c>
      <c r="J87" s="19">
        <f>IF($N87&lt;&gt;"",IF(INDEX(PCOp,$N87)="مرجوعی خرید",IF(INDEX(PCAmount,$N87)=0,"",-INDEX(PCAmount,$N87)),""),IF($O87&lt;&gt;"",IF(INDEX(TxnWitB,$O87)=0,"",INDEX(TxnWitB,$O87)),""))</f>
        <v/>
      </c>
      <c r="K87" s="21">
        <f>IF($B87="","",IF($K86="",$C$10,$K86)+IF($I87="",0,$I87)-IF($J87="",0,$J87))</f>
        <v/>
      </c>
      <c r="L87" s="22">
        <f>IF($N87&lt;&gt;"",IF(INDEX(PCNotes,$N87)="","—",INDEX(PCNotes,$N87)),IF($O87&lt;&gt;"",IF(INDEX(LdgNoteB,$O87)="","—",INDEX(LdgNoteB,$O87)),""))</f>
        <v/>
      </c>
      <c r="N87">
        <f>IFERROR(MATCH($C$5&amp;"|"&amp;RIGHT("000000"&amp;71,6),LdgRankKeyA,0),"")</f>
        <v/>
      </c>
      <c r="O87">
        <f>IFERROR(MATCH($C$5&amp;"|"&amp;RIGHT("000000"&amp;71,6),LdgRankKeyB,0),"")</f>
        <v/>
      </c>
    </row>
    <row r="88">
      <c r="A88" s="23" t="n">
        <v>72</v>
      </c>
      <c r="B88" s="24">
        <f>IF(AND($N88="",$O88=""),"",IF($N88&lt;&gt;"",INDEX(PCNormDate,$N88),INDEX(LdgDateB,$O88)))</f>
        <v/>
      </c>
      <c r="C88" s="24">
        <f>IF($N88&lt;&gt;"",INDEX(PCOp,$N88),IF($O88&lt;&gt;"",IF(N(INDEX(TxnDepB,$O88))&gt;0,"دریافت بانکی","پرداخت بانکی"),""))</f>
        <v/>
      </c>
      <c r="D88" s="24">
        <f>IF($N88&lt;&gt;"",IF(INDEX(PCDoc,$N88)="","—",INDEX(PCDoc,$N88)),IF($O88&lt;&gt;"",INDEX(LdgBankB,$O88),""))</f>
        <v/>
      </c>
      <c r="E88" s="24">
        <f>IF($N88&lt;&gt;"",IF(INDEX(PCCitrus,$N88)="","—",INDEX(PCCitrus,$N88)),"")</f>
        <v/>
      </c>
      <c r="F88" s="25">
        <f>IF($N88&lt;&gt;"",IF(INDEX(PCScale,$N88)=0,"",INDEX(PCScale,$N88)),"")</f>
        <v/>
      </c>
      <c r="G88" s="25">
        <f>IF($N88&lt;&gt;"",IF(INDEX(PCBaskets,$N88)=0,"",INDEX(PCBaskets,$N88)),"")</f>
        <v/>
      </c>
      <c r="H88" s="26">
        <f>IF($N88&lt;&gt;"",IF(INDEX(PCNet,$N88)=0,"",INDEX(PCNet,$N88)),"")</f>
        <v/>
      </c>
      <c r="I88" s="25">
        <f>IF($N88&lt;&gt;"",IF(INDEX(PCOp,$N88)="مرجوعی خرید","",IF(INDEX(PCAmount,$N88)&lt;=0,"",INDEX(PCAmount,$N88))),IF($O88&lt;&gt;"",IF(INDEX(TxnDepB,$O88)=0,"",INDEX(TxnDepB,$O88)),""))</f>
        <v/>
      </c>
      <c r="J88" s="25">
        <f>IF($N88&lt;&gt;"",IF(INDEX(PCOp,$N88)="مرجوعی خرید",IF(INDEX(PCAmount,$N88)=0,"",-INDEX(PCAmount,$N88)),""),IF($O88&lt;&gt;"",IF(INDEX(TxnWitB,$O88)=0,"",INDEX(TxnWitB,$O88)),""))</f>
        <v/>
      </c>
      <c r="K88" s="27">
        <f>IF($B88="","",IF($K87="",$C$10,$K87)+IF($I88="",0,$I88)-IF($J88="",0,$J88))</f>
        <v/>
      </c>
      <c r="L88" s="28">
        <f>IF($N88&lt;&gt;"",IF(INDEX(PCNotes,$N88)="","—",INDEX(PCNotes,$N88)),IF($O88&lt;&gt;"",IF(INDEX(LdgNoteB,$O88)="","—",INDEX(LdgNoteB,$O88)),""))</f>
        <v/>
      </c>
      <c r="N88">
        <f>IFERROR(MATCH($C$5&amp;"|"&amp;RIGHT("000000"&amp;72,6),LdgRankKeyA,0),"")</f>
        <v/>
      </c>
      <c r="O88">
        <f>IFERROR(MATCH($C$5&amp;"|"&amp;RIGHT("000000"&amp;72,6),LdgRankKeyB,0),"")</f>
        <v/>
      </c>
    </row>
    <row r="89">
      <c r="A89" s="17" t="n">
        <v>73</v>
      </c>
      <c r="B89" s="18">
        <f>IF(AND($N89="",$O89=""),"",IF($N89&lt;&gt;"",INDEX(PCNormDate,$N89),INDEX(LdgDateB,$O89)))</f>
        <v/>
      </c>
      <c r="C89" s="18">
        <f>IF($N89&lt;&gt;"",INDEX(PCOp,$N89),IF($O89&lt;&gt;"",IF(N(INDEX(TxnDepB,$O89))&gt;0,"دریافت بانکی","پرداخت بانکی"),""))</f>
        <v/>
      </c>
      <c r="D89" s="18">
        <f>IF($N89&lt;&gt;"",IF(INDEX(PCDoc,$N89)="","—",INDEX(PCDoc,$N89)),IF($O89&lt;&gt;"",INDEX(LdgBankB,$O89),""))</f>
        <v/>
      </c>
      <c r="E89" s="18">
        <f>IF($N89&lt;&gt;"",IF(INDEX(PCCitrus,$N89)="","—",INDEX(PCCitrus,$N89)),"")</f>
        <v/>
      </c>
      <c r="F89" s="19">
        <f>IF($N89&lt;&gt;"",IF(INDEX(PCScale,$N89)=0,"",INDEX(PCScale,$N89)),"")</f>
        <v/>
      </c>
      <c r="G89" s="19">
        <f>IF($N89&lt;&gt;"",IF(INDEX(PCBaskets,$N89)=0,"",INDEX(PCBaskets,$N89)),"")</f>
        <v/>
      </c>
      <c r="H89" s="20">
        <f>IF($N89&lt;&gt;"",IF(INDEX(PCNet,$N89)=0,"",INDEX(PCNet,$N89)),"")</f>
        <v/>
      </c>
      <c r="I89" s="19">
        <f>IF($N89&lt;&gt;"",IF(INDEX(PCOp,$N89)="مرجوعی خرید","",IF(INDEX(PCAmount,$N89)&lt;=0,"",INDEX(PCAmount,$N89))),IF($O89&lt;&gt;"",IF(INDEX(TxnDepB,$O89)=0,"",INDEX(TxnDepB,$O89)),""))</f>
        <v/>
      </c>
      <c r="J89" s="19">
        <f>IF($N89&lt;&gt;"",IF(INDEX(PCOp,$N89)="مرجوعی خرید",IF(INDEX(PCAmount,$N89)=0,"",-INDEX(PCAmount,$N89)),""),IF($O89&lt;&gt;"",IF(INDEX(TxnWitB,$O89)=0,"",INDEX(TxnWitB,$O89)),""))</f>
        <v/>
      </c>
      <c r="K89" s="21">
        <f>IF($B89="","",IF($K88="",$C$10,$K88)+IF($I89="",0,$I89)-IF($J89="",0,$J89))</f>
        <v/>
      </c>
      <c r="L89" s="22">
        <f>IF($N89&lt;&gt;"",IF(INDEX(PCNotes,$N89)="","—",INDEX(PCNotes,$N89)),IF($O89&lt;&gt;"",IF(INDEX(LdgNoteB,$O89)="","—",INDEX(LdgNoteB,$O89)),""))</f>
        <v/>
      </c>
      <c r="N89">
        <f>IFERROR(MATCH($C$5&amp;"|"&amp;RIGHT("000000"&amp;73,6),LdgRankKeyA,0),"")</f>
        <v/>
      </c>
      <c r="O89">
        <f>IFERROR(MATCH($C$5&amp;"|"&amp;RIGHT("000000"&amp;73,6),LdgRankKeyB,0),"")</f>
        <v/>
      </c>
    </row>
    <row r="90">
      <c r="A90" s="23" t="n">
        <v>74</v>
      </c>
      <c r="B90" s="24">
        <f>IF(AND($N90="",$O90=""),"",IF($N90&lt;&gt;"",INDEX(PCNormDate,$N90),INDEX(LdgDateB,$O90)))</f>
        <v/>
      </c>
      <c r="C90" s="24">
        <f>IF($N90&lt;&gt;"",INDEX(PCOp,$N90),IF($O90&lt;&gt;"",IF(N(INDEX(TxnDepB,$O90))&gt;0,"دریافت بانکی","پرداخت بانکی"),""))</f>
        <v/>
      </c>
      <c r="D90" s="24">
        <f>IF($N90&lt;&gt;"",IF(INDEX(PCDoc,$N90)="","—",INDEX(PCDoc,$N90)),IF($O90&lt;&gt;"",INDEX(LdgBankB,$O90),""))</f>
        <v/>
      </c>
      <c r="E90" s="24">
        <f>IF($N90&lt;&gt;"",IF(INDEX(PCCitrus,$N90)="","—",INDEX(PCCitrus,$N90)),"")</f>
        <v/>
      </c>
      <c r="F90" s="25">
        <f>IF($N90&lt;&gt;"",IF(INDEX(PCScale,$N90)=0,"",INDEX(PCScale,$N90)),"")</f>
        <v/>
      </c>
      <c r="G90" s="25">
        <f>IF($N90&lt;&gt;"",IF(INDEX(PCBaskets,$N90)=0,"",INDEX(PCBaskets,$N90)),"")</f>
        <v/>
      </c>
      <c r="H90" s="26">
        <f>IF($N90&lt;&gt;"",IF(INDEX(PCNet,$N90)=0,"",INDEX(PCNet,$N90)),"")</f>
        <v/>
      </c>
      <c r="I90" s="25">
        <f>IF($N90&lt;&gt;"",IF(INDEX(PCOp,$N90)="مرجوعی خرید","",IF(INDEX(PCAmount,$N90)&lt;=0,"",INDEX(PCAmount,$N90))),IF($O90&lt;&gt;"",IF(INDEX(TxnDepB,$O90)=0,"",INDEX(TxnDepB,$O90)),""))</f>
        <v/>
      </c>
      <c r="J90" s="25">
        <f>IF($N90&lt;&gt;"",IF(INDEX(PCOp,$N90)="مرجوعی خرید",IF(INDEX(PCAmount,$N90)=0,"",-INDEX(PCAmount,$N90)),""),IF($O90&lt;&gt;"",IF(INDEX(TxnWitB,$O90)=0,"",INDEX(TxnWitB,$O90)),""))</f>
        <v/>
      </c>
      <c r="K90" s="27">
        <f>IF($B90="","",IF($K89="",$C$10,$K89)+IF($I90="",0,$I90)-IF($J90="",0,$J90))</f>
        <v/>
      </c>
      <c r="L90" s="28">
        <f>IF($N90&lt;&gt;"",IF(INDEX(PCNotes,$N90)="","—",INDEX(PCNotes,$N90)),IF($O90&lt;&gt;"",IF(INDEX(LdgNoteB,$O90)="","—",INDEX(LdgNoteB,$O90)),""))</f>
        <v/>
      </c>
      <c r="N90">
        <f>IFERROR(MATCH($C$5&amp;"|"&amp;RIGHT("000000"&amp;74,6),LdgRankKeyA,0),"")</f>
        <v/>
      </c>
      <c r="O90">
        <f>IFERROR(MATCH($C$5&amp;"|"&amp;RIGHT("000000"&amp;74,6),LdgRankKeyB,0),"")</f>
        <v/>
      </c>
    </row>
    <row r="91">
      <c r="A91" s="17" t="n">
        <v>75</v>
      </c>
      <c r="B91" s="18">
        <f>IF(AND($N91="",$O91=""),"",IF($N91&lt;&gt;"",INDEX(PCNormDate,$N91),INDEX(LdgDateB,$O91)))</f>
        <v/>
      </c>
      <c r="C91" s="18">
        <f>IF($N91&lt;&gt;"",INDEX(PCOp,$N91),IF($O91&lt;&gt;"",IF(N(INDEX(TxnDepB,$O91))&gt;0,"دریافت بانکی","پرداخت بانکی"),""))</f>
        <v/>
      </c>
      <c r="D91" s="18">
        <f>IF($N91&lt;&gt;"",IF(INDEX(PCDoc,$N91)="","—",INDEX(PCDoc,$N91)),IF($O91&lt;&gt;"",INDEX(LdgBankB,$O91),""))</f>
        <v/>
      </c>
      <c r="E91" s="18">
        <f>IF($N91&lt;&gt;"",IF(INDEX(PCCitrus,$N91)="","—",INDEX(PCCitrus,$N91)),"")</f>
        <v/>
      </c>
      <c r="F91" s="19">
        <f>IF($N91&lt;&gt;"",IF(INDEX(PCScale,$N91)=0,"",INDEX(PCScale,$N91)),"")</f>
        <v/>
      </c>
      <c r="G91" s="19">
        <f>IF($N91&lt;&gt;"",IF(INDEX(PCBaskets,$N91)=0,"",INDEX(PCBaskets,$N91)),"")</f>
        <v/>
      </c>
      <c r="H91" s="20">
        <f>IF($N91&lt;&gt;"",IF(INDEX(PCNet,$N91)=0,"",INDEX(PCNet,$N91)),"")</f>
        <v/>
      </c>
      <c r="I91" s="19">
        <f>IF($N91&lt;&gt;"",IF(INDEX(PCOp,$N91)="مرجوعی خرید","",IF(INDEX(PCAmount,$N91)&lt;=0,"",INDEX(PCAmount,$N91))),IF($O91&lt;&gt;"",IF(INDEX(TxnDepB,$O91)=0,"",INDEX(TxnDepB,$O91)),""))</f>
        <v/>
      </c>
      <c r="J91" s="19">
        <f>IF($N91&lt;&gt;"",IF(INDEX(PCOp,$N91)="مرجوعی خرید",IF(INDEX(PCAmount,$N91)=0,"",-INDEX(PCAmount,$N91)),""),IF($O91&lt;&gt;"",IF(INDEX(TxnWitB,$O91)=0,"",INDEX(TxnWitB,$O91)),""))</f>
        <v/>
      </c>
      <c r="K91" s="21">
        <f>IF($B91="","",IF($K90="",$C$10,$K90)+IF($I91="",0,$I91)-IF($J91="",0,$J91))</f>
        <v/>
      </c>
      <c r="L91" s="22">
        <f>IF($N91&lt;&gt;"",IF(INDEX(PCNotes,$N91)="","—",INDEX(PCNotes,$N91)),IF($O91&lt;&gt;"",IF(INDEX(LdgNoteB,$O91)="","—",INDEX(LdgNoteB,$O91)),""))</f>
        <v/>
      </c>
      <c r="N91">
        <f>IFERROR(MATCH($C$5&amp;"|"&amp;RIGHT("000000"&amp;75,6),LdgRankKeyA,0),"")</f>
        <v/>
      </c>
      <c r="O91">
        <f>IFERROR(MATCH($C$5&amp;"|"&amp;RIGHT("000000"&amp;75,6),LdgRankKeyB,0),"")</f>
        <v/>
      </c>
    </row>
    <row r="92">
      <c r="A92" s="23" t="n">
        <v>76</v>
      </c>
      <c r="B92" s="24">
        <f>IF(AND($N92="",$O92=""),"",IF($N92&lt;&gt;"",INDEX(PCNormDate,$N92),INDEX(LdgDateB,$O92)))</f>
        <v/>
      </c>
      <c r="C92" s="24">
        <f>IF($N92&lt;&gt;"",INDEX(PCOp,$N92),IF($O92&lt;&gt;"",IF(N(INDEX(TxnDepB,$O92))&gt;0,"دریافت بانکی","پرداخت بانکی"),""))</f>
        <v/>
      </c>
      <c r="D92" s="24">
        <f>IF($N92&lt;&gt;"",IF(INDEX(PCDoc,$N92)="","—",INDEX(PCDoc,$N92)),IF($O92&lt;&gt;"",INDEX(LdgBankB,$O92),""))</f>
        <v/>
      </c>
      <c r="E92" s="24">
        <f>IF($N92&lt;&gt;"",IF(INDEX(PCCitrus,$N92)="","—",INDEX(PCCitrus,$N92)),"")</f>
        <v/>
      </c>
      <c r="F92" s="25">
        <f>IF($N92&lt;&gt;"",IF(INDEX(PCScale,$N92)=0,"",INDEX(PCScale,$N92)),"")</f>
        <v/>
      </c>
      <c r="G92" s="25">
        <f>IF($N92&lt;&gt;"",IF(INDEX(PCBaskets,$N92)=0,"",INDEX(PCBaskets,$N92)),"")</f>
        <v/>
      </c>
      <c r="H92" s="26">
        <f>IF($N92&lt;&gt;"",IF(INDEX(PCNet,$N92)=0,"",INDEX(PCNet,$N92)),"")</f>
        <v/>
      </c>
      <c r="I92" s="25">
        <f>IF($N92&lt;&gt;"",IF(INDEX(PCOp,$N92)="مرجوعی خرید","",IF(INDEX(PCAmount,$N92)&lt;=0,"",INDEX(PCAmount,$N92))),IF($O92&lt;&gt;"",IF(INDEX(TxnDepB,$O92)=0,"",INDEX(TxnDepB,$O92)),""))</f>
        <v/>
      </c>
      <c r="J92" s="25">
        <f>IF($N92&lt;&gt;"",IF(INDEX(PCOp,$N92)="مرجوعی خرید",IF(INDEX(PCAmount,$N92)=0,"",-INDEX(PCAmount,$N92)),""),IF($O92&lt;&gt;"",IF(INDEX(TxnWitB,$O92)=0,"",INDEX(TxnWitB,$O92)),""))</f>
        <v/>
      </c>
      <c r="K92" s="27">
        <f>IF($B92="","",IF($K91="",$C$10,$K91)+IF($I92="",0,$I92)-IF($J92="",0,$J92))</f>
        <v/>
      </c>
      <c r="L92" s="28">
        <f>IF($N92&lt;&gt;"",IF(INDEX(PCNotes,$N92)="","—",INDEX(PCNotes,$N92)),IF($O92&lt;&gt;"",IF(INDEX(LdgNoteB,$O92)="","—",INDEX(LdgNoteB,$O92)),""))</f>
        <v/>
      </c>
      <c r="N92">
        <f>IFERROR(MATCH($C$5&amp;"|"&amp;RIGHT("000000"&amp;76,6),LdgRankKeyA,0),"")</f>
        <v/>
      </c>
      <c r="O92">
        <f>IFERROR(MATCH($C$5&amp;"|"&amp;RIGHT("000000"&amp;76,6),LdgRankKeyB,0),"")</f>
        <v/>
      </c>
    </row>
    <row r="93">
      <c r="A93" s="17" t="n">
        <v>77</v>
      </c>
      <c r="B93" s="18">
        <f>IF(AND($N93="",$O93=""),"",IF($N93&lt;&gt;"",INDEX(PCNormDate,$N93),INDEX(LdgDateB,$O93)))</f>
        <v/>
      </c>
      <c r="C93" s="18">
        <f>IF($N93&lt;&gt;"",INDEX(PCOp,$N93),IF($O93&lt;&gt;"",IF(N(INDEX(TxnDepB,$O93))&gt;0,"دریافت بانکی","پرداخت بانکی"),""))</f>
        <v/>
      </c>
      <c r="D93" s="18">
        <f>IF($N93&lt;&gt;"",IF(INDEX(PCDoc,$N93)="","—",INDEX(PCDoc,$N93)),IF($O93&lt;&gt;"",INDEX(LdgBankB,$O93),""))</f>
        <v/>
      </c>
      <c r="E93" s="18">
        <f>IF($N93&lt;&gt;"",IF(INDEX(PCCitrus,$N93)="","—",INDEX(PCCitrus,$N93)),"")</f>
        <v/>
      </c>
      <c r="F93" s="19">
        <f>IF($N93&lt;&gt;"",IF(INDEX(PCScale,$N93)=0,"",INDEX(PCScale,$N93)),"")</f>
        <v/>
      </c>
      <c r="G93" s="19">
        <f>IF($N93&lt;&gt;"",IF(INDEX(PCBaskets,$N93)=0,"",INDEX(PCBaskets,$N93)),"")</f>
        <v/>
      </c>
      <c r="H93" s="20">
        <f>IF($N93&lt;&gt;"",IF(INDEX(PCNet,$N93)=0,"",INDEX(PCNet,$N93)),"")</f>
        <v/>
      </c>
      <c r="I93" s="19">
        <f>IF($N93&lt;&gt;"",IF(INDEX(PCOp,$N93)="مرجوعی خرید","",IF(INDEX(PCAmount,$N93)&lt;=0,"",INDEX(PCAmount,$N93))),IF($O93&lt;&gt;"",IF(INDEX(TxnDepB,$O93)=0,"",INDEX(TxnDepB,$O93)),""))</f>
        <v/>
      </c>
      <c r="J93" s="19">
        <f>IF($N93&lt;&gt;"",IF(INDEX(PCOp,$N93)="مرجوعی خرید",IF(INDEX(PCAmount,$N93)=0,"",-INDEX(PCAmount,$N93)),""),IF($O93&lt;&gt;"",IF(INDEX(TxnWitB,$O93)=0,"",INDEX(TxnWitB,$O93)),""))</f>
        <v/>
      </c>
      <c r="K93" s="21">
        <f>IF($B93="","",IF($K92="",$C$10,$K92)+IF($I93="",0,$I93)-IF($J93="",0,$J93))</f>
        <v/>
      </c>
      <c r="L93" s="22">
        <f>IF($N93&lt;&gt;"",IF(INDEX(PCNotes,$N93)="","—",INDEX(PCNotes,$N93)),IF($O93&lt;&gt;"",IF(INDEX(LdgNoteB,$O93)="","—",INDEX(LdgNoteB,$O93)),""))</f>
        <v/>
      </c>
      <c r="N93">
        <f>IFERROR(MATCH($C$5&amp;"|"&amp;RIGHT("000000"&amp;77,6),LdgRankKeyA,0),"")</f>
        <v/>
      </c>
      <c r="O93">
        <f>IFERROR(MATCH($C$5&amp;"|"&amp;RIGHT("000000"&amp;77,6),LdgRankKeyB,0),"")</f>
        <v/>
      </c>
    </row>
    <row r="94">
      <c r="A94" s="23" t="n">
        <v>78</v>
      </c>
      <c r="B94" s="24">
        <f>IF(AND($N94="",$O94=""),"",IF($N94&lt;&gt;"",INDEX(PCNormDate,$N94),INDEX(LdgDateB,$O94)))</f>
        <v/>
      </c>
      <c r="C94" s="24">
        <f>IF($N94&lt;&gt;"",INDEX(PCOp,$N94),IF($O94&lt;&gt;"",IF(N(INDEX(TxnDepB,$O94))&gt;0,"دریافت بانکی","پرداخت بانکی"),""))</f>
        <v/>
      </c>
      <c r="D94" s="24">
        <f>IF($N94&lt;&gt;"",IF(INDEX(PCDoc,$N94)="","—",INDEX(PCDoc,$N94)),IF($O94&lt;&gt;"",INDEX(LdgBankB,$O94),""))</f>
        <v/>
      </c>
      <c r="E94" s="24">
        <f>IF($N94&lt;&gt;"",IF(INDEX(PCCitrus,$N94)="","—",INDEX(PCCitrus,$N94)),"")</f>
        <v/>
      </c>
      <c r="F94" s="25">
        <f>IF($N94&lt;&gt;"",IF(INDEX(PCScale,$N94)=0,"",INDEX(PCScale,$N94)),"")</f>
        <v/>
      </c>
      <c r="G94" s="25">
        <f>IF($N94&lt;&gt;"",IF(INDEX(PCBaskets,$N94)=0,"",INDEX(PCBaskets,$N94)),"")</f>
        <v/>
      </c>
      <c r="H94" s="26">
        <f>IF($N94&lt;&gt;"",IF(INDEX(PCNet,$N94)=0,"",INDEX(PCNet,$N94)),"")</f>
        <v/>
      </c>
      <c r="I94" s="25">
        <f>IF($N94&lt;&gt;"",IF(INDEX(PCOp,$N94)="مرجوعی خرید","",IF(INDEX(PCAmount,$N94)&lt;=0,"",INDEX(PCAmount,$N94))),IF($O94&lt;&gt;"",IF(INDEX(TxnDepB,$O94)=0,"",INDEX(TxnDepB,$O94)),""))</f>
        <v/>
      </c>
      <c r="J94" s="25">
        <f>IF($N94&lt;&gt;"",IF(INDEX(PCOp,$N94)="مرجوعی خرید",IF(INDEX(PCAmount,$N94)=0,"",-INDEX(PCAmount,$N94)),""),IF($O94&lt;&gt;"",IF(INDEX(TxnWitB,$O94)=0,"",INDEX(TxnWitB,$O94)),""))</f>
        <v/>
      </c>
      <c r="K94" s="27">
        <f>IF($B94="","",IF($K93="",$C$10,$K93)+IF($I94="",0,$I94)-IF($J94="",0,$J94))</f>
        <v/>
      </c>
      <c r="L94" s="28">
        <f>IF($N94&lt;&gt;"",IF(INDEX(PCNotes,$N94)="","—",INDEX(PCNotes,$N94)),IF($O94&lt;&gt;"",IF(INDEX(LdgNoteB,$O94)="","—",INDEX(LdgNoteB,$O94)),""))</f>
        <v/>
      </c>
      <c r="N94">
        <f>IFERROR(MATCH($C$5&amp;"|"&amp;RIGHT("000000"&amp;78,6),LdgRankKeyA,0),"")</f>
        <v/>
      </c>
      <c r="O94">
        <f>IFERROR(MATCH($C$5&amp;"|"&amp;RIGHT("000000"&amp;78,6),LdgRankKeyB,0),"")</f>
        <v/>
      </c>
    </row>
    <row r="95">
      <c r="A95" s="17" t="n">
        <v>79</v>
      </c>
      <c r="B95" s="18">
        <f>IF(AND($N95="",$O95=""),"",IF($N95&lt;&gt;"",INDEX(PCNormDate,$N95),INDEX(LdgDateB,$O95)))</f>
        <v/>
      </c>
      <c r="C95" s="18">
        <f>IF($N95&lt;&gt;"",INDEX(PCOp,$N95),IF($O95&lt;&gt;"",IF(N(INDEX(TxnDepB,$O95))&gt;0,"دریافت بانکی","پرداخت بانکی"),""))</f>
        <v/>
      </c>
      <c r="D95" s="18">
        <f>IF($N95&lt;&gt;"",IF(INDEX(PCDoc,$N95)="","—",INDEX(PCDoc,$N95)),IF($O95&lt;&gt;"",INDEX(LdgBankB,$O95),""))</f>
        <v/>
      </c>
      <c r="E95" s="18">
        <f>IF($N95&lt;&gt;"",IF(INDEX(PCCitrus,$N95)="","—",INDEX(PCCitrus,$N95)),"")</f>
        <v/>
      </c>
      <c r="F95" s="19">
        <f>IF($N95&lt;&gt;"",IF(INDEX(PCScale,$N95)=0,"",INDEX(PCScale,$N95)),"")</f>
        <v/>
      </c>
      <c r="G95" s="19">
        <f>IF($N95&lt;&gt;"",IF(INDEX(PCBaskets,$N95)=0,"",INDEX(PCBaskets,$N95)),"")</f>
        <v/>
      </c>
      <c r="H95" s="20">
        <f>IF($N95&lt;&gt;"",IF(INDEX(PCNet,$N95)=0,"",INDEX(PCNet,$N95)),"")</f>
        <v/>
      </c>
      <c r="I95" s="19">
        <f>IF($N95&lt;&gt;"",IF(INDEX(PCOp,$N95)="مرجوعی خرید","",IF(INDEX(PCAmount,$N95)&lt;=0,"",INDEX(PCAmount,$N95))),IF($O95&lt;&gt;"",IF(INDEX(TxnDepB,$O95)=0,"",INDEX(TxnDepB,$O95)),""))</f>
        <v/>
      </c>
      <c r="J95" s="19">
        <f>IF($N95&lt;&gt;"",IF(INDEX(PCOp,$N95)="مرجوعی خرید",IF(INDEX(PCAmount,$N95)=0,"",-INDEX(PCAmount,$N95)),""),IF($O95&lt;&gt;"",IF(INDEX(TxnWitB,$O95)=0,"",INDEX(TxnWitB,$O95)),""))</f>
        <v/>
      </c>
      <c r="K95" s="21">
        <f>IF($B95="","",IF($K94="",$C$10,$K94)+IF($I95="",0,$I95)-IF($J95="",0,$J95))</f>
        <v/>
      </c>
      <c r="L95" s="22">
        <f>IF($N95&lt;&gt;"",IF(INDEX(PCNotes,$N95)="","—",INDEX(PCNotes,$N95)),IF($O95&lt;&gt;"",IF(INDEX(LdgNoteB,$O95)="","—",INDEX(LdgNoteB,$O95)),""))</f>
        <v/>
      </c>
      <c r="N95">
        <f>IFERROR(MATCH($C$5&amp;"|"&amp;RIGHT("000000"&amp;79,6),LdgRankKeyA,0),"")</f>
        <v/>
      </c>
      <c r="O95">
        <f>IFERROR(MATCH($C$5&amp;"|"&amp;RIGHT("000000"&amp;79,6),LdgRankKeyB,0),"")</f>
        <v/>
      </c>
    </row>
    <row r="96">
      <c r="A96" s="23" t="n">
        <v>80</v>
      </c>
      <c r="B96" s="24">
        <f>IF(AND($N96="",$O96=""),"",IF($N96&lt;&gt;"",INDEX(PCNormDate,$N96),INDEX(LdgDateB,$O96)))</f>
        <v/>
      </c>
      <c r="C96" s="24">
        <f>IF($N96&lt;&gt;"",INDEX(PCOp,$N96),IF($O96&lt;&gt;"",IF(N(INDEX(TxnDepB,$O96))&gt;0,"دریافت بانکی","پرداخت بانکی"),""))</f>
        <v/>
      </c>
      <c r="D96" s="24">
        <f>IF($N96&lt;&gt;"",IF(INDEX(PCDoc,$N96)="","—",INDEX(PCDoc,$N96)),IF($O96&lt;&gt;"",INDEX(LdgBankB,$O96),""))</f>
        <v/>
      </c>
      <c r="E96" s="24">
        <f>IF($N96&lt;&gt;"",IF(INDEX(PCCitrus,$N96)="","—",INDEX(PCCitrus,$N96)),"")</f>
        <v/>
      </c>
      <c r="F96" s="25">
        <f>IF($N96&lt;&gt;"",IF(INDEX(PCScale,$N96)=0,"",INDEX(PCScale,$N96)),"")</f>
        <v/>
      </c>
      <c r="G96" s="25">
        <f>IF($N96&lt;&gt;"",IF(INDEX(PCBaskets,$N96)=0,"",INDEX(PCBaskets,$N96)),"")</f>
        <v/>
      </c>
      <c r="H96" s="26">
        <f>IF($N96&lt;&gt;"",IF(INDEX(PCNet,$N96)=0,"",INDEX(PCNet,$N96)),"")</f>
        <v/>
      </c>
      <c r="I96" s="25">
        <f>IF($N96&lt;&gt;"",IF(INDEX(PCOp,$N96)="مرجوعی خرید","",IF(INDEX(PCAmount,$N96)&lt;=0,"",INDEX(PCAmount,$N96))),IF($O96&lt;&gt;"",IF(INDEX(TxnDepB,$O96)=0,"",INDEX(TxnDepB,$O96)),""))</f>
        <v/>
      </c>
      <c r="J96" s="25">
        <f>IF($N96&lt;&gt;"",IF(INDEX(PCOp,$N96)="مرجوعی خرید",IF(INDEX(PCAmount,$N96)=0,"",-INDEX(PCAmount,$N96)),""),IF($O96&lt;&gt;"",IF(INDEX(TxnWitB,$O96)=0,"",INDEX(TxnWitB,$O96)),""))</f>
        <v/>
      </c>
      <c r="K96" s="27">
        <f>IF($B96="","",IF($K95="",$C$10,$K95)+IF($I96="",0,$I96)-IF($J96="",0,$J96))</f>
        <v/>
      </c>
      <c r="L96" s="28">
        <f>IF($N96&lt;&gt;"",IF(INDEX(PCNotes,$N96)="","—",INDEX(PCNotes,$N96)),IF($O96&lt;&gt;"",IF(INDEX(LdgNoteB,$O96)="","—",INDEX(LdgNoteB,$O96)),""))</f>
        <v/>
      </c>
      <c r="N96">
        <f>IFERROR(MATCH($C$5&amp;"|"&amp;RIGHT("000000"&amp;80,6),LdgRankKeyA,0),"")</f>
        <v/>
      </c>
      <c r="O96">
        <f>IFERROR(MATCH($C$5&amp;"|"&amp;RIGHT("000000"&amp;80,6),LdgRankKeyB,0),"")</f>
        <v/>
      </c>
    </row>
    <row r="97">
      <c r="A97" s="17" t="n">
        <v>81</v>
      </c>
      <c r="B97" s="18">
        <f>IF(AND($N97="",$O97=""),"",IF($N97&lt;&gt;"",INDEX(PCNormDate,$N97),INDEX(LdgDateB,$O97)))</f>
        <v/>
      </c>
      <c r="C97" s="18">
        <f>IF($N97&lt;&gt;"",INDEX(PCOp,$N97),IF($O97&lt;&gt;"",IF(N(INDEX(TxnDepB,$O97))&gt;0,"دریافت بانکی","پرداخت بانکی"),""))</f>
        <v/>
      </c>
      <c r="D97" s="18">
        <f>IF($N97&lt;&gt;"",IF(INDEX(PCDoc,$N97)="","—",INDEX(PCDoc,$N97)),IF($O97&lt;&gt;"",INDEX(LdgBankB,$O97),""))</f>
        <v/>
      </c>
      <c r="E97" s="18">
        <f>IF($N97&lt;&gt;"",IF(INDEX(PCCitrus,$N97)="","—",INDEX(PCCitrus,$N97)),"")</f>
        <v/>
      </c>
      <c r="F97" s="19">
        <f>IF($N97&lt;&gt;"",IF(INDEX(PCScale,$N97)=0,"",INDEX(PCScale,$N97)),"")</f>
        <v/>
      </c>
      <c r="G97" s="19">
        <f>IF($N97&lt;&gt;"",IF(INDEX(PCBaskets,$N97)=0,"",INDEX(PCBaskets,$N97)),"")</f>
        <v/>
      </c>
      <c r="H97" s="20">
        <f>IF($N97&lt;&gt;"",IF(INDEX(PCNet,$N97)=0,"",INDEX(PCNet,$N97)),"")</f>
        <v/>
      </c>
      <c r="I97" s="19">
        <f>IF($N97&lt;&gt;"",IF(INDEX(PCOp,$N97)="مرجوعی خرید","",IF(INDEX(PCAmount,$N97)&lt;=0,"",INDEX(PCAmount,$N97))),IF($O97&lt;&gt;"",IF(INDEX(TxnDepB,$O97)=0,"",INDEX(TxnDepB,$O97)),""))</f>
        <v/>
      </c>
      <c r="J97" s="19">
        <f>IF($N97&lt;&gt;"",IF(INDEX(PCOp,$N97)="مرجوعی خرید",IF(INDEX(PCAmount,$N97)=0,"",-INDEX(PCAmount,$N97)),""),IF($O97&lt;&gt;"",IF(INDEX(TxnWitB,$O97)=0,"",INDEX(TxnWitB,$O97)),""))</f>
        <v/>
      </c>
      <c r="K97" s="21">
        <f>IF($B97="","",IF($K96="",$C$10,$K96)+IF($I97="",0,$I97)-IF($J97="",0,$J97))</f>
        <v/>
      </c>
      <c r="L97" s="22">
        <f>IF($N97&lt;&gt;"",IF(INDEX(PCNotes,$N97)="","—",INDEX(PCNotes,$N97)),IF($O97&lt;&gt;"",IF(INDEX(LdgNoteB,$O97)="","—",INDEX(LdgNoteB,$O97)),""))</f>
        <v/>
      </c>
      <c r="N97">
        <f>IFERROR(MATCH($C$5&amp;"|"&amp;RIGHT("000000"&amp;81,6),LdgRankKeyA,0),"")</f>
        <v/>
      </c>
      <c r="O97">
        <f>IFERROR(MATCH($C$5&amp;"|"&amp;RIGHT("000000"&amp;81,6),LdgRankKeyB,0),"")</f>
        <v/>
      </c>
    </row>
    <row r="98">
      <c r="A98" s="23" t="n">
        <v>82</v>
      </c>
      <c r="B98" s="24">
        <f>IF(AND($N98="",$O98=""),"",IF($N98&lt;&gt;"",INDEX(PCNormDate,$N98),INDEX(LdgDateB,$O98)))</f>
        <v/>
      </c>
      <c r="C98" s="24">
        <f>IF($N98&lt;&gt;"",INDEX(PCOp,$N98),IF($O98&lt;&gt;"",IF(N(INDEX(TxnDepB,$O98))&gt;0,"دریافت بانکی","پرداخت بانکی"),""))</f>
        <v/>
      </c>
      <c r="D98" s="24">
        <f>IF($N98&lt;&gt;"",IF(INDEX(PCDoc,$N98)="","—",INDEX(PCDoc,$N98)),IF($O98&lt;&gt;"",INDEX(LdgBankB,$O98),""))</f>
        <v/>
      </c>
      <c r="E98" s="24">
        <f>IF($N98&lt;&gt;"",IF(INDEX(PCCitrus,$N98)="","—",INDEX(PCCitrus,$N98)),"")</f>
        <v/>
      </c>
      <c r="F98" s="25">
        <f>IF($N98&lt;&gt;"",IF(INDEX(PCScale,$N98)=0,"",INDEX(PCScale,$N98)),"")</f>
        <v/>
      </c>
      <c r="G98" s="25">
        <f>IF($N98&lt;&gt;"",IF(INDEX(PCBaskets,$N98)=0,"",INDEX(PCBaskets,$N98)),"")</f>
        <v/>
      </c>
      <c r="H98" s="26">
        <f>IF($N98&lt;&gt;"",IF(INDEX(PCNet,$N98)=0,"",INDEX(PCNet,$N98)),"")</f>
        <v/>
      </c>
      <c r="I98" s="25">
        <f>IF($N98&lt;&gt;"",IF(INDEX(PCOp,$N98)="مرجوعی خرید","",IF(INDEX(PCAmount,$N98)&lt;=0,"",INDEX(PCAmount,$N98))),IF($O98&lt;&gt;"",IF(INDEX(TxnDepB,$O98)=0,"",INDEX(TxnDepB,$O98)),""))</f>
        <v/>
      </c>
      <c r="J98" s="25">
        <f>IF($N98&lt;&gt;"",IF(INDEX(PCOp,$N98)="مرجوعی خرید",IF(INDEX(PCAmount,$N98)=0,"",-INDEX(PCAmount,$N98)),""),IF($O98&lt;&gt;"",IF(INDEX(TxnWitB,$O98)=0,"",INDEX(TxnWitB,$O98)),""))</f>
        <v/>
      </c>
      <c r="K98" s="27">
        <f>IF($B98="","",IF($K97="",$C$10,$K97)+IF($I98="",0,$I98)-IF($J98="",0,$J98))</f>
        <v/>
      </c>
      <c r="L98" s="28">
        <f>IF($N98&lt;&gt;"",IF(INDEX(PCNotes,$N98)="","—",INDEX(PCNotes,$N98)),IF($O98&lt;&gt;"",IF(INDEX(LdgNoteB,$O98)="","—",INDEX(LdgNoteB,$O98)),""))</f>
        <v/>
      </c>
      <c r="N98">
        <f>IFERROR(MATCH($C$5&amp;"|"&amp;RIGHT("000000"&amp;82,6),LdgRankKeyA,0),"")</f>
        <v/>
      </c>
      <c r="O98">
        <f>IFERROR(MATCH($C$5&amp;"|"&amp;RIGHT("000000"&amp;82,6),LdgRankKeyB,0),"")</f>
        <v/>
      </c>
    </row>
    <row r="99">
      <c r="A99" s="17" t="n">
        <v>83</v>
      </c>
      <c r="B99" s="18">
        <f>IF(AND($N99="",$O99=""),"",IF($N99&lt;&gt;"",INDEX(PCNormDate,$N99),INDEX(LdgDateB,$O99)))</f>
        <v/>
      </c>
      <c r="C99" s="18">
        <f>IF($N99&lt;&gt;"",INDEX(PCOp,$N99),IF($O99&lt;&gt;"",IF(N(INDEX(TxnDepB,$O99))&gt;0,"دریافت بانکی","پرداخت بانکی"),""))</f>
        <v/>
      </c>
      <c r="D99" s="18">
        <f>IF($N99&lt;&gt;"",IF(INDEX(PCDoc,$N99)="","—",INDEX(PCDoc,$N99)),IF($O99&lt;&gt;"",INDEX(LdgBankB,$O99),""))</f>
        <v/>
      </c>
      <c r="E99" s="18">
        <f>IF($N99&lt;&gt;"",IF(INDEX(PCCitrus,$N99)="","—",INDEX(PCCitrus,$N99)),"")</f>
        <v/>
      </c>
      <c r="F99" s="19">
        <f>IF($N99&lt;&gt;"",IF(INDEX(PCScale,$N99)=0,"",INDEX(PCScale,$N99)),"")</f>
        <v/>
      </c>
      <c r="G99" s="19">
        <f>IF($N99&lt;&gt;"",IF(INDEX(PCBaskets,$N99)=0,"",INDEX(PCBaskets,$N99)),"")</f>
        <v/>
      </c>
      <c r="H99" s="20">
        <f>IF($N99&lt;&gt;"",IF(INDEX(PCNet,$N99)=0,"",INDEX(PCNet,$N99)),"")</f>
        <v/>
      </c>
      <c r="I99" s="19">
        <f>IF($N99&lt;&gt;"",IF(INDEX(PCOp,$N99)="مرجوعی خرید","",IF(INDEX(PCAmount,$N99)&lt;=0,"",INDEX(PCAmount,$N99))),IF($O99&lt;&gt;"",IF(INDEX(TxnDepB,$O99)=0,"",INDEX(TxnDepB,$O99)),""))</f>
        <v/>
      </c>
      <c r="J99" s="19">
        <f>IF($N99&lt;&gt;"",IF(INDEX(PCOp,$N99)="مرجوعی خرید",IF(INDEX(PCAmount,$N99)=0,"",-INDEX(PCAmount,$N99)),""),IF($O99&lt;&gt;"",IF(INDEX(TxnWitB,$O99)=0,"",INDEX(TxnWitB,$O99)),""))</f>
        <v/>
      </c>
      <c r="K99" s="21">
        <f>IF($B99="","",IF($K98="",$C$10,$K98)+IF($I99="",0,$I99)-IF($J99="",0,$J99))</f>
        <v/>
      </c>
      <c r="L99" s="22">
        <f>IF($N99&lt;&gt;"",IF(INDEX(PCNotes,$N99)="","—",INDEX(PCNotes,$N99)),IF($O99&lt;&gt;"",IF(INDEX(LdgNoteB,$O99)="","—",INDEX(LdgNoteB,$O99)),""))</f>
        <v/>
      </c>
      <c r="N99">
        <f>IFERROR(MATCH($C$5&amp;"|"&amp;RIGHT("000000"&amp;83,6),LdgRankKeyA,0),"")</f>
        <v/>
      </c>
      <c r="O99">
        <f>IFERROR(MATCH($C$5&amp;"|"&amp;RIGHT("000000"&amp;83,6),LdgRankKeyB,0),"")</f>
        <v/>
      </c>
    </row>
    <row r="100">
      <c r="A100" s="23" t="n">
        <v>84</v>
      </c>
      <c r="B100" s="24">
        <f>IF(AND($N100="",$O100=""),"",IF($N100&lt;&gt;"",INDEX(PCNormDate,$N100),INDEX(LdgDateB,$O100)))</f>
        <v/>
      </c>
      <c r="C100" s="24">
        <f>IF($N100&lt;&gt;"",INDEX(PCOp,$N100),IF($O100&lt;&gt;"",IF(N(INDEX(TxnDepB,$O100))&gt;0,"دریافت بانکی","پرداخت بانکی"),""))</f>
        <v/>
      </c>
      <c r="D100" s="24">
        <f>IF($N100&lt;&gt;"",IF(INDEX(PCDoc,$N100)="","—",INDEX(PCDoc,$N100)),IF($O100&lt;&gt;"",INDEX(LdgBankB,$O100),""))</f>
        <v/>
      </c>
      <c r="E100" s="24">
        <f>IF($N100&lt;&gt;"",IF(INDEX(PCCitrus,$N100)="","—",INDEX(PCCitrus,$N100)),"")</f>
        <v/>
      </c>
      <c r="F100" s="25">
        <f>IF($N100&lt;&gt;"",IF(INDEX(PCScale,$N100)=0,"",INDEX(PCScale,$N100)),"")</f>
        <v/>
      </c>
      <c r="G100" s="25">
        <f>IF($N100&lt;&gt;"",IF(INDEX(PCBaskets,$N100)=0,"",INDEX(PCBaskets,$N100)),"")</f>
        <v/>
      </c>
      <c r="H100" s="26">
        <f>IF($N100&lt;&gt;"",IF(INDEX(PCNet,$N100)=0,"",INDEX(PCNet,$N100)),"")</f>
        <v/>
      </c>
      <c r="I100" s="25">
        <f>IF($N100&lt;&gt;"",IF(INDEX(PCOp,$N100)="مرجوعی خرید","",IF(INDEX(PCAmount,$N100)&lt;=0,"",INDEX(PCAmount,$N100))),IF($O100&lt;&gt;"",IF(INDEX(TxnDepB,$O100)=0,"",INDEX(TxnDepB,$O100)),""))</f>
        <v/>
      </c>
      <c r="J100" s="25">
        <f>IF($N100&lt;&gt;"",IF(INDEX(PCOp,$N100)="مرجوعی خرید",IF(INDEX(PCAmount,$N100)=0,"",-INDEX(PCAmount,$N100)),""),IF($O100&lt;&gt;"",IF(INDEX(TxnWitB,$O100)=0,"",INDEX(TxnWitB,$O100)),""))</f>
        <v/>
      </c>
      <c r="K100" s="27">
        <f>IF($B100="","",IF($K99="",$C$10,$K99)+IF($I100="",0,$I100)-IF($J100="",0,$J100))</f>
        <v/>
      </c>
      <c r="L100" s="28">
        <f>IF($N100&lt;&gt;"",IF(INDEX(PCNotes,$N100)="","—",INDEX(PCNotes,$N100)),IF($O100&lt;&gt;"",IF(INDEX(LdgNoteB,$O100)="","—",INDEX(LdgNoteB,$O100)),""))</f>
        <v/>
      </c>
      <c r="N100">
        <f>IFERROR(MATCH($C$5&amp;"|"&amp;RIGHT("000000"&amp;84,6),LdgRankKeyA,0),"")</f>
        <v/>
      </c>
      <c r="O100">
        <f>IFERROR(MATCH($C$5&amp;"|"&amp;RIGHT("000000"&amp;84,6),LdgRankKeyB,0),"")</f>
        <v/>
      </c>
    </row>
    <row r="101">
      <c r="A101" s="17" t="n">
        <v>85</v>
      </c>
      <c r="B101" s="18">
        <f>IF(AND($N101="",$O101=""),"",IF($N101&lt;&gt;"",INDEX(PCNormDate,$N101),INDEX(LdgDateB,$O101)))</f>
        <v/>
      </c>
      <c r="C101" s="18">
        <f>IF($N101&lt;&gt;"",INDEX(PCOp,$N101),IF($O101&lt;&gt;"",IF(N(INDEX(TxnDepB,$O101))&gt;0,"دریافت بانکی","پرداخت بانکی"),""))</f>
        <v/>
      </c>
      <c r="D101" s="18">
        <f>IF($N101&lt;&gt;"",IF(INDEX(PCDoc,$N101)="","—",INDEX(PCDoc,$N101)),IF($O101&lt;&gt;"",INDEX(LdgBankB,$O101),""))</f>
        <v/>
      </c>
      <c r="E101" s="18">
        <f>IF($N101&lt;&gt;"",IF(INDEX(PCCitrus,$N101)="","—",INDEX(PCCitrus,$N101)),"")</f>
        <v/>
      </c>
      <c r="F101" s="19">
        <f>IF($N101&lt;&gt;"",IF(INDEX(PCScale,$N101)=0,"",INDEX(PCScale,$N101)),"")</f>
        <v/>
      </c>
      <c r="G101" s="19">
        <f>IF($N101&lt;&gt;"",IF(INDEX(PCBaskets,$N101)=0,"",INDEX(PCBaskets,$N101)),"")</f>
        <v/>
      </c>
      <c r="H101" s="20">
        <f>IF($N101&lt;&gt;"",IF(INDEX(PCNet,$N101)=0,"",INDEX(PCNet,$N101)),"")</f>
        <v/>
      </c>
      <c r="I101" s="19">
        <f>IF($N101&lt;&gt;"",IF(INDEX(PCOp,$N101)="مرجوعی خرید","",IF(INDEX(PCAmount,$N101)&lt;=0,"",INDEX(PCAmount,$N101))),IF($O101&lt;&gt;"",IF(INDEX(TxnDepB,$O101)=0,"",INDEX(TxnDepB,$O101)),""))</f>
        <v/>
      </c>
      <c r="J101" s="19">
        <f>IF($N101&lt;&gt;"",IF(INDEX(PCOp,$N101)="مرجوعی خرید",IF(INDEX(PCAmount,$N101)=0,"",-INDEX(PCAmount,$N101)),""),IF($O101&lt;&gt;"",IF(INDEX(TxnWitB,$O101)=0,"",INDEX(TxnWitB,$O101)),""))</f>
        <v/>
      </c>
      <c r="K101" s="21">
        <f>IF($B101="","",IF($K100="",$C$10,$K100)+IF($I101="",0,$I101)-IF($J101="",0,$J101))</f>
        <v/>
      </c>
      <c r="L101" s="22">
        <f>IF($N101&lt;&gt;"",IF(INDEX(PCNotes,$N101)="","—",INDEX(PCNotes,$N101)),IF($O101&lt;&gt;"",IF(INDEX(LdgNoteB,$O101)="","—",INDEX(LdgNoteB,$O101)),""))</f>
        <v/>
      </c>
      <c r="N101">
        <f>IFERROR(MATCH($C$5&amp;"|"&amp;RIGHT("000000"&amp;85,6),LdgRankKeyA,0),"")</f>
        <v/>
      </c>
      <c r="O101">
        <f>IFERROR(MATCH($C$5&amp;"|"&amp;RIGHT("000000"&amp;85,6),LdgRankKeyB,0),"")</f>
        <v/>
      </c>
    </row>
    <row r="102">
      <c r="A102" s="23" t="n">
        <v>86</v>
      </c>
      <c r="B102" s="24">
        <f>IF(AND($N102="",$O102=""),"",IF($N102&lt;&gt;"",INDEX(PCNormDate,$N102),INDEX(LdgDateB,$O102)))</f>
        <v/>
      </c>
      <c r="C102" s="24">
        <f>IF($N102&lt;&gt;"",INDEX(PCOp,$N102),IF($O102&lt;&gt;"",IF(N(INDEX(TxnDepB,$O102))&gt;0,"دریافت بانکی","پرداخت بانکی"),""))</f>
        <v/>
      </c>
      <c r="D102" s="24">
        <f>IF($N102&lt;&gt;"",IF(INDEX(PCDoc,$N102)="","—",INDEX(PCDoc,$N102)),IF($O102&lt;&gt;"",INDEX(LdgBankB,$O102),""))</f>
        <v/>
      </c>
      <c r="E102" s="24">
        <f>IF($N102&lt;&gt;"",IF(INDEX(PCCitrus,$N102)="","—",INDEX(PCCitrus,$N102)),"")</f>
        <v/>
      </c>
      <c r="F102" s="25">
        <f>IF($N102&lt;&gt;"",IF(INDEX(PCScale,$N102)=0,"",INDEX(PCScale,$N102)),"")</f>
        <v/>
      </c>
      <c r="G102" s="25">
        <f>IF($N102&lt;&gt;"",IF(INDEX(PCBaskets,$N102)=0,"",INDEX(PCBaskets,$N102)),"")</f>
        <v/>
      </c>
      <c r="H102" s="26">
        <f>IF($N102&lt;&gt;"",IF(INDEX(PCNet,$N102)=0,"",INDEX(PCNet,$N102)),"")</f>
        <v/>
      </c>
      <c r="I102" s="25">
        <f>IF($N102&lt;&gt;"",IF(INDEX(PCOp,$N102)="مرجوعی خرید","",IF(INDEX(PCAmount,$N102)&lt;=0,"",INDEX(PCAmount,$N102))),IF($O102&lt;&gt;"",IF(INDEX(TxnDepB,$O102)=0,"",INDEX(TxnDepB,$O102)),""))</f>
        <v/>
      </c>
      <c r="J102" s="25">
        <f>IF($N102&lt;&gt;"",IF(INDEX(PCOp,$N102)="مرجوعی خرید",IF(INDEX(PCAmount,$N102)=0,"",-INDEX(PCAmount,$N102)),""),IF($O102&lt;&gt;"",IF(INDEX(TxnWitB,$O102)=0,"",INDEX(TxnWitB,$O102)),""))</f>
        <v/>
      </c>
      <c r="K102" s="27">
        <f>IF($B102="","",IF($K101="",$C$10,$K101)+IF($I102="",0,$I102)-IF($J102="",0,$J102))</f>
        <v/>
      </c>
      <c r="L102" s="28">
        <f>IF($N102&lt;&gt;"",IF(INDEX(PCNotes,$N102)="","—",INDEX(PCNotes,$N102)),IF($O102&lt;&gt;"",IF(INDEX(LdgNoteB,$O102)="","—",INDEX(LdgNoteB,$O102)),""))</f>
        <v/>
      </c>
      <c r="N102">
        <f>IFERROR(MATCH($C$5&amp;"|"&amp;RIGHT("000000"&amp;86,6),LdgRankKeyA,0),"")</f>
        <v/>
      </c>
      <c r="O102">
        <f>IFERROR(MATCH($C$5&amp;"|"&amp;RIGHT("000000"&amp;86,6),LdgRankKeyB,0),"")</f>
        <v/>
      </c>
    </row>
    <row r="103">
      <c r="A103" s="17" t="n">
        <v>87</v>
      </c>
      <c r="B103" s="18">
        <f>IF(AND($N103="",$O103=""),"",IF($N103&lt;&gt;"",INDEX(PCNormDate,$N103),INDEX(LdgDateB,$O103)))</f>
        <v/>
      </c>
      <c r="C103" s="18">
        <f>IF($N103&lt;&gt;"",INDEX(PCOp,$N103),IF($O103&lt;&gt;"",IF(N(INDEX(TxnDepB,$O103))&gt;0,"دریافت بانکی","پرداخت بانکی"),""))</f>
        <v/>
      </c>
      <c r="D103" s="18">
        <f>IF($N103&lt;&gt;"",IF(INDEX(PCDoc,$N103)="","—",INDEX(PCDoc,$N103)),IF($O103&lt;&gt;"",INDEX(LdgBankB,$O103),""))</f>
        <v/>
      </c>
      <c r="E103" s="18">
        <f>IF($N103&lt;&gt;"",IF(INDEX(PCCitrus,$N103)="","—",INDEX(PCCitrus,$N103)),"")</f>
        <v/>
      </c>
      <c r="F103" s="19">
        <f>IF($N103&lt;&gt;"",IF(INDEX(PCScale,$N103)=0,"",INDEX(PCScale,$N103)),"")</f>
        <v/>
      </c>
      <c r="G103" s="19">
        <f>IF($N103&lt;&gt;"",IF(INDEX(PCBaskets,$N103)=0,"",INDEX(PCBaskets,$N103)),"")</f>
        <v/>
      </c>
      <c r="H103" s="20">
        <f>IF($N103&lt;&gt;"",IF(INDEX(PCNet,$N103)=0,"",INDEX(PCNet,$N103)),"")</f>
        <v/>
      </c>
      <c r="I103" s="19">
        <f>IF($N103&lt;&gt;"",IF(INDEX(PCOp,$N103)="مرجوعی خرید","",IF(INDEX(PCAmount,$N103)&lt;=0,"",INDEX(PCAmount,$N103))),IF($O103&lt;&gt;"",IF(INDEX(TxnDepB,$O103)=0,"",INDEX(TxnDepB,$O103)),""))</f>
        <v/>
      </c>
      <c r="J103" s="19">
        <f>IF($N103&lt;&gt;"",IF(INDEX(PCOp,$N103)="مرجوعی خرید",IF(INDEX(PCAmount,$N103)=0,"",-INDEX(PCAmount,$N103)),""),IF($O103&lt;&gt;"",IF(INDEX(TxnWitB,$O103)=0,"",INDEX(TxnWitB,$O103)),""))</f>
        <v/>
      </c>
      <c r="K103" s="21">
        <f>IF($B103="","",IF($K102="",$C$10,$K102)+IF($I103="",0,$I103)-IF($J103="",0,$J103))</f>
        <v/>
      </c>
      <c r="L103" s="22">
        <f>IF($N103&lt;&gt;"",IF(INDEX(PCNotes,$N103)="","—",INDEX(PCNotes,$N103)),IF($O103&lt;&gt;"",IF(INDEX(LdgNoteB,$O103)="","—",INDEX(LdgNoteB,$O103)),""))</f>
        <v/>
      </c>
      <c r="N103">
        <f>IFERROR(MATCH($C$5&amp;"|"&amp;RIGHT("000000"&amp;87,6),LdgRankKeyA,0),"")</f>
        <v/>
      </c>
      <c r="O103">
        <f>IFERROR(MATCH($C$5&amp;"|"&amp;RIGHT("000000"&amp;87,6),LdgRankKeyB,0),"")</f>
        <v/>
      </c>
    </row>
    <row r="104">
      <c r="A104" s="23" t="n">
        <v>88</v>
      </c>
      <c r="B104" s="24">
        <f>IF(AND($N104="",$O104=""),"",IF($N104&lt;&gt;"",INDEX(PCNormDate,$N104),INDEX(LdgDateB,$O104)))</f>
        <v/>
      </c>
      <c r="C104" s="24">
        <f>IF($N104&lt;&gt;"",INDEX(PCOp,$N104),IF($O104&lt;&gt;"",IF(N(INDEX(TxnDepB,$O104))&gt;0,"دریافت بانکی","پرداخت بانکی"),""))</f>
        <v/>
      </c>
      <c r="D104" s="24">
        <f>IF($N104&lt;&gt;"",IF(INDEX(PCDoc,$N104)="","—",INDEX(PCDoc,$N104)),IF($O104&lt;&gt;"",INDEX(LdgBankB,$O104),""))</f>
        <v/>
      </c>
      <c r="E104" s="24">
        <f>IF($N104&lt;&gt;"",IF(INDEX(PCCitrus,$N104)="","—",INDEX(PCCitrus,$N104)),"")</f>
        <v/>
      </c>
      <c r="F104" s="25">
        <f>IF($N104&lt;&gt;"",IF(INDEX(PCScale,$N104)=0,"",INDEX(PCScale,$N104)),"")</f>
        <v/>
      </c>
      <c r="G104" s="25">
        <f>IF($N104&lt;&gt;"",IF(INDEX(PCBaskets,$N104)=0,"",INDEX(PCBaskets,$N104)),"")</f>
        <v/>
      </c>
      <c r="H104" s="26">
        <f>IF($N104&lt;&gt;"",IF(INDEX(PCNet,$N104)=0,"",INDEX(PCNet,$N104)),"")</f>
        <v/>
      </c>
      <c r="I104" s="25">
        <f>IF($N104&lt;&gt;"",IF(INDEX(PCOp,$N104)="مرجوعی خرید","",IF(INDEX(PCAmount,$N104)&lt;=0,"",INDEX(PCAmount,$N104))),IF($O104&lt;&gt;"",IF(INDEX(TxnDepB,$O104)=0,"",INDEX(TxnDepB,$O104)),""))</f>
        <v/>
      </c>
      <c r="J104" s="25">
        <f>IF($N104&lt;&gt;"",IF(INDEX(PCOp,$N104)="مرجوعی خرید",IF(INDEX(PCAmount,$N104)=0,"",-INDEX(PCAmount,$N104)),""),IF($O104&lt;&gt;"",IF(INDEX(TxnWitB,$O104)=0,"",INDEX(TxnWitB,$O104)),""))</f>
        <v/>
      </c>
      <c r="K104" s="27">
        <f>IF($B104="","",IF($K103="",$C$10,$K103)+IF($I104="",0,$I104)-IF($J104="",0,$J104))</f>
        <v/>
      </c>
      <c r="L104" s="28">
        <f>IF($N104&lt;&gt;"",IF(INDEX(PCNotes,$N104)="","—",INDEX(PCNotes,$N104)),IF($O104&lt;&gt;"",IF(INDEX(LdgNoteB,$O104)="","—",INDEX(LdgNoteB,$O104)),""))</f>
        <v/>
      </c>
      <c r="N104">
        <f>IFERROR(MATCH($C$5&amp;"|"&amp;RIGHT("000000"&amp;88,6),LdgRankKeyA,0),"")</f>
        <v/>
      </c>
      <c r="O104">
        <f>IFERROR(MATCH($C$5&amp;"|"&amp;RIGHT("000000"&amp;88,6),LdgRankKeyB,0),"")</f>
        <v/>
      </c>
    </row>
    <row r="105">
      <c r="A105" s="17" t="n">
        <v>89</v>
      </c>
      <c r="B105" s="18">
        <f>IF(AND($N105="",$O105=""),"",IF($N105&lt;&gt;"",INDEX(PCNormDate,$N105),INDEX(LdgDateB,$O105)))</f>
        <v/>
      </c>
      <c r="C105" s="18">
        <f>IF($N105&lt;&gt;"",INDEX(PCOp,$N105),IF($O105&lt;&gt;"",IF(N(INDEX(TxnDepB,$O105))&gt;0,"دریافت بانکی","پرداخت بانکی"),""))</f>
        <v/>
      </c>
      <c r="D105" s="18">
        <f>IF($N105&lt;&gt;"",IF(INDEX(PCDoc,$N105)="","—",INDEX(PCDoc,$N105)),IF($O105&lt;&gt;"",INDEX(LdgBankB,$O105),""))</f>
        <v/>
      </c>
      <c r="E105" s="18">
        <f>IF($N105&lt;&gt;"",IF(INDEX(PCCitrus,$N105)="","—",INDEX(PCCitrus,$N105)),"")</f>
        <v/>
      </c>
      <c r="F105" s="19">
        <f>IF($N105&lt;&gt;"",IF(INDEX(PCScale,$N105)=0,"",INDEX(PCScale,$N105)),"")</f>
        <v/>
      </c>
      <c r="G105" s="19">
        <f>IF($N105&lt;&gt;"",IF(INDEX(PCBaskets,$N105)=0,"",INDEX(PCBaskets,$N105)),"")</f>
        <v/>
      </c>
      <c r="H105" s="20">
        <f>IF($N105&lt;&gt;"",IF(INDEX(PCNet,$N105)=0,"",INDEX(PCNet,$N105)),"")</f>
        <v/>
      </c>
      <c r="I105" s="19">
        <f>IF($N105&lt;&gt;"",IF(INDEX(PCOp,$N105)="مرجوعی خرید","",IF(INDEX(PCAmount,$N105)&lt;=0,"",INDEX(PCAmount,$N105))),IF($O105&lt;&gt;"",IF(INDEX(TxnDepB,$O105)=0,"",INDEX(TxnDepB,$O105)),""))</f>
        <v/>
      </c>
      <c r="J105" s="19">
        <f>IF($N105&lt;&gt;"",IF(INDEX(PCOp,$N105)="مرجوعی خرید",IF(INDEX(PCAmount,$N105)=0,"",-INDEX(PCAmount,$N105)),""),IF($O105&lt;&gt;"",IF(INDEX(TxnWitB,$O105)=0,"",INDEX(TxnWitB,$O105)),""))</f>
        <v/>
      </c>
      <c r="K105" s="21">
        <f>IF($B105="","",IF($K104="",$C$10,$K104)+IF($I105="",0,$I105)-IF($J105="",0,$J105))</f>
        <v/>
      </c>
      <c r="L105" s="22">
        <f>IF($N105&lt;&gt;"",IF(INDEX(PCNotes,$N105)="","—",INDEX(PCNotes,$N105)),IF($O105&lt;&gt;"",IF(INDEX(LdgNoteB,$O105)="","—",INDEX(LdgNoteB,$O105)),""))</f>
        <v/>
      </c>
      <c r="N105">
        <f>IFERROR(MATCH($C$5&amp;"|"&amp;RIGHT("000000"&amp;89,6),LdgRankKeyA,0),"")</f>
        <v/>
      </c>
      <c r="O105">
        <f>IFERROR(MATCH($C$5&amp;"|"&amp;RIGHT("000000"&amp;89,6),LdgRankKeyB,0),"")</f>
        <v/>
      </c>
    </row>
    <row r="106">
      <c r="A106" s="23" t="n">
        <v>90</v>
      </c>
      <c r="B106" s="24">
        <f>IF(AND($N106="",$O106=""),"",IF($N106&lt;&gt;"",INDEX(PCNormDate,$N106),INDEX(LdgDateB,$O106)))</f>
        <v/>
      </c>
      <c r="C106" s="24">
        <f>IF($N106&lt;&gt;"",INDEX(PCOp,$N106),IF($O106&lt;&gt;"",IF(N(INDEX(TxnDepB,$O106))&gt;0,"دریافت بانکی","پرداخت بانکی"),""))</f>
        <v/>
      </c>
      <c r="D106" s="24">
        <f>IF($N106&lt;&gt;"",IF(INDEX(PCDoc,$N106)="","—",INDEX(PCDoc,$N106)),IF($O106&lt;&gt;"",INDEX(LdgBankB,$O106),""))</f>
        <v/>
      </c>
      <c r="E106" s="24">
        <f>IF($N106&lt;&gt;"",IF(INDEX(PCCitrus,$N106)="","—",INDEX(PCCitrus,$N106)),"")</f>
        <v/>
      </c>
      <c r="F106" s="25">
        <f>IF($N106&lt;&gt;"",IF(INDEX(PCScale,$N106)=0,"",INDEX(PCScale,$N106)),"")</f>
        <v/>
      </c>
      <c r="G106" s="25">
        <f>IF($N106&lt;&gt;"",IF(INDEX(PCBaskets,$N106)=0,"",INDEX(PCBaskets,$N106)),"")</f>
        <v/>
      </c>
      <c r="H106" s="26">
        <f>IF($N106&lt;&gt;"",IF(INDEX(PCNet,$N106)=0,"",INDEX(PCNet,$N106)),"")</f>
        <v/>
      </c>
      <c r="I106" s="25">
        <f>IF($N106&lt;&gt;"",IF(INDEX(PCOp,$N106)="مرجوعی خرید","",IF(INDEX(PCAmount,$N106)&lt;=0,"",INDEX(PCAmount,$N106))),IF($O106&lt;&gt;"",IF(INDEX(TxnDepB,$O106)=0,"",INDEX(TxnDepB,$O106)),""))</f>
        <v/>
      </c>
      <c r="J106" s="25">
        <f>IF($N106&lt;&gt;"",IF(INDEX(PCOp,$N106)="مرجوعی خرید",IF(INDEX(PCAmount,$N106)=0,"",-INDEX(PCAmount,$N106)),""),IF($O106&lt;&gt;"",IF(INDEX(TxnWitB,$O106)=0,"",INDEX(TxnWitB,$O106)),""))</f>
        <v/>
      </c>
      <c r="K106" s="27">
        <f>IF($B106="","",IF($K105="",$C$10,$K105)+IF($I106="",0,$I106)-IF($J106="",0,$J106))</f>
        <v/>
      </c>
      <c r="L106" s="28">
        <f>IF($N106&lt;&gt;"",IF(INDEX(PCNotes,$N106)="","—",INDEX(PCNotes,$N106)),IF($O106&lt;&gt;"",IF(INDEX(LdgNoteB,$O106)="","—",INDEX(LdgNoteB,$O106)),""))</f>
        <v/>
      </c>
      <c r="N106">
        <f>IFERROR(MATCH($C$5&amp;"|"&amp;RIGHT("000000"&amp;90,6),LdgRankKeyA,0),"")</f>
        <v/>
      </c>
      <c r="O106">
        <f>IFERROR(MATCH($C$5&amp;"|"&amp;RIGHT("000000"&amp;90,6),LdgRankKeyB,0),"")</f>
        <v/>
      </c>
    </row>
    <row r="107">
      <c r="A107" s="17" t="n">
        <v>91</v>
      </c>
      <c r="B107" s="18">
        <f>IF(AND($N107="",$O107=""),"",IF($N107&lt;&gt;"",INDEX(PCNormDate,$N107),INDEX(LdgDateB,$O107)))</f>
        <v/>
      </c>
      <c r="C107" s="18">
        <f>IF($N107&lt;&gt;"",INDEX(PCOp,$N107),IF($O107&lt;&gt;"",IF(N(INDEX(TxnDepB,$O107))&gt;0,"دریافت بانکی","پرداخت بانکی"),""))</f>
        <v/>
      </c>
      <c r="D107" s="18">
        <f>IF($N107&lt;&gt;"",IF(INDEX(PCDoc,$N107)="","—",INDEX(PCDoc,$N107)),IF($O107&lt;&gt;"",INDEX(LdgBankB,$O107),""))</f>
        <v/>
      </c>
      <c r="E107" s="18">
        <f>IF($N107&lt;&gt;"",IF(INDEX(PCCitrus,$N107)="","—",INDEX(PCCitrus,$N107)),"")</f>
        <v/>
      </c>
      <c r="F107" s="19">
        <f>IF($N107&lt;&gt;"",IF(INDEX(PCScale,$N107)=0,"",INDEX(PCScale,$N107)),"")</f>
        <v/>
      </c>
      <c r="G107" s="19">
        <f>IF($N107&lt;&gt;"",IF(INDEX(PCBaskets,$N107)=0,"",INDEX(PCBaskets,$N107)),"")</f>
        <v/>
      </c>
      <c r="H107" s="20">
        <f>IF($N107&lt;&gt;"",IF(INDEX(PCNet,$N107)=0,"",INDEX(PCNet,$N107)),"")</f>
        <v/>
      </c>
      <c r="I107" s="19">
        <f>IF($N107&lt;&gt;"",IF(INDEX(PCOp,$N107)="مرجوعی خرید","",IF(INDEX(PCAmount,$N107)&lt;=0,"",INDEX(PCAmount,$N107))),IF($O107&lt;&gt;"",IF(INDEX(TxnDepB,$O107)=0,"",INDEX(TxnDepB,$O107)),""))</f>
        <v/>
      </c>
      <c r="J107" s="19">
        <f>IF($N107&lt;&gt;"",IF(INDEX(PCOp,$N107)="مرجوعی خرید",IF(INDEX(PCAmount,$N107)=0,"",-INDEX(PCAmount,$N107)),""),IF($O107&lt;&gt;"",IF(INDEX(TxnWitB,$O107)=0,"",INDEX(TxnWitB,$O107)),""))</f>
        <v/>
      </c>
      <c r="K107" s="21">
        <f>IF($B107="","",IF($K106="",$C$10,$K106)+IF($I107="",0,$I107)-IF($J107="",0,$J107))</f>
        <v/>
      </c>
      <c r="L107" s="22">
        <f>IF($N107&lt;&gt;"",IF(INDEX(PCNotes,$N107)="","—",INDEX(PCNotes,$N107)),IF($O107&lt;&gt;"",IF(INDEX(LdgNoteB,$O107)="","—",INDEX(LdgNoteB,$O107)),""))</f>
        <v/>
      </c>
      <c r="N107">
        <f>IFERROR(MATCH($C$5&amp;"|"&amp;RIGHT("000000"&amp;91,6),LdgRankKeyA,0),"")</f>
        <v/>
      </c>
      <c r="O107">
        <f>IFERROR(MATCH($C$5&amp;"|"&amp;RIGHT("000000"&amp;91,6),LdgRankKeyB,0),"")</f>
        <v/>
      </c>
    </row>
    <row r="108">
      <c r="A108" s="23" t="n">
        <v>92</v>
      </c>
      <c r="B108" s="24">
        <f>IF(AND($N108="",$O108=""),"",IF($N108&lt;&gt;"",INDEX(PCNormDate,$N108),INDEX(LdgDateB,$O108)))</f>
        <v/>
      </c>
      <c r="C108" s="24">
        <f>IF($N108&lt;&gt;"",INDEX(PCOp,$N108),IF($O108&lt;&gt;"",IF(N(INDEX(TxnDepB,$O108))&gt;0,"دریافت بانکی","پرداخت بانکی"),""))</f>
        <v/>
      </c>
      <c r="D108" s="24">
        <f>IF($N108&lt;&gt;"",IF(INDEX(PCDoc,$N108)="","—",INDEX(PCDoc,$N108)),IF($O108&lt;&gt;"",INDEX(LdgBankB,$O108),""))</f>
        <v/>
      </c>
      <c r="E108" s="24">
        <f>IF($N108&lt;&gt;"",IF(INDEX(PCCitrus,$N108)="","—",INDEX(PCCitrus,$N108)),"")</f>
        <v/>
      </c>
      <c r="F108" s="25">
        <f>IF($N108&lt;&gt;"",IF(INDEX(PCScale,$N108)=0,"",INDEX(PCScale,$N108)),"")</f>
        <v/>
      </c>
      <c r="G108" s="25">
        <f>IF($N108&lt;&gt;"",IF(INDEX(PCBaskets,$N108)=0,"",INDEX(PCBaskets,$N108)),"")</f>
        <v/>
      </c>
      <c r="H108" s="26">
        <f>IF($N108&lt;&gt;"",IF(INDEX(PCNet,$N108)=0,"",INDEX(PCNet,$N108)),"")</f>
        <v/>
      </c>
      <c r="I108" s="25">
        <f>IF($N108&lt;&gt;"",IF(INDEX(PCOp,$N108)="مرجوعی خرید","",IF(INDEX(PCAmount,$N108)&lt;=0,"",INDEX(PCAmount,$N108))),IF($O108&lt;&gt;"",IF(INDEX(TxnDepB,$O108)=0,"",INDEX(TxnDepB,$O108)),""))</f>
        <v/>
      </c>
      <c r="J108" s="25">
        <f>IF($N108&lt;&gt;"",IF(INDEX(PCOp,$N108)="مرجوعی خرید",IF(INDEX(PCAmount,$N108)=0,"",-INDEX(PCAmount,$N108)),""),IF($O108&lt;&gt;"",IF(INDEX(TxnWitB,$O108)=0,"",INDEX(TxnWitB,$O108)),""))</f>
        <v/>
      </c>
      <c r="K108" s="27">
        <f>IF($B108="","",IF($K107="",$C$10,$K107)+IF($I108="",0,$I108)-IF($J108="",0,$J108))</f>
        <v/>
      </c>
      <c r="L108" s="28">
        <f>IF($N108&lt;&gt;"",IF(INDEX(PCNotes,$N108)="","—",INDEX(PCNotes,$N108)),IF($O108&lt;&gt;"",IF(INDEX(LdgNoteB,$O108)="","—",INDEX(LdgNoteB,$O108)),""))</f>
        <v/>
      </c>
      <c r="N108">
        <f>IFERROR(MATCH($C$5&amp;"|"&amp;RIGHT("000000"&amp;92,6),LdgRankKeyA,0),"")</f>
        <v/>
      </c>
      <c r="O108">
        <f>IFERROR(MATCH($C$5&amp;"|"&amp;RIGHT("000000"&amp;92,6),LdgRankKeyB,0),"")</f>
        <v/>
      </c>
    </row>
    <row r="109">
      <c r="A109" s="17" t="n">
        <v>93</v>
      </c>
      <c r="B109" s="18">
        <f>IF(AND($N109="",$O109=""),"",IF($N109&lt;&gt;"",INDEX(PCNormDate,$N109),INDEX(LdgDateB,$O109)))</f>
        <v/>
      </c>
      <c r="C109" s="18">
        <f>IF($N109&lt;&gt;"",INDEX(PCOp,$N109),IF($O109&lt;&gt;"",IF(N(INDEX(TxnDepB,$O109))&gt;0,"دریافت بانکی","پرداخت بانکی"),""))</f>
        <v/>
      </c>
      <c r="D109" s="18">
        <f>IF($N109&lt;&gt;"",IF(INDEX(PCDoc,$N109)="","—",INDEX(PCDoc,$N109)),IF($O109&lt;&gt;"",INDEX(LdgBankB,$O109),""))</f>
        <v/>
      </c>
      <c r="E109" s="18">
        <f>IF($N109&lt;&gt;"",IF(INDEX(PCCitrus,$N109)="","—",INDEX(PCCitrus,$N109)),"")</f>
        <v/>
      </c>
      <c r="F109" s="19">
        <f>IF($N109&lt;&gt;"",IF(INDEX(PCScale,$N109)=0,"",INDEX(PCScale,$N109)),"")</f>
        <v/>
      </c>
      <c r="G109" s="19">
        <f>IF($N109&lt;&gt;"",IF(INDEX(PCBaskets,$N109)=0,"",INDEX(PCBaskets,$N109)),"")</f>
        <v/>
      </c>
      <c r="H109" s="20">
        <f>IF($N109&lt;&gt;"",IF(INDEX(PCNet,$N109)=0,"",INDEX(PCNet,$N109)),"")</f>
        <v/>
      </c>
      <c r="I109" s="19">
        <f>IF($N109&lt;&gt;"",IF(INDEX(PCOp,$N109)="مرجوعی خرید","",IF(INDEX(PCAmount,$N109)&lt;=0,"",INDEX(PCAmount,$N109))),IF($O109&lt;&gt;"",IF(INDEX(TxnDepB,$O109)=0,"",INDEX(TxnDepB,$O109)),""))</f>
        <v/>
      </c>
      <c r="J109" s="19">
        <f>IF($N109&lt;&gt;"",IF(INDEX(PCOp,$N109)="مرجوعی خرید",IF(INDEX(PCAmount,$N109)=0,"",-INDEX(PCAmount,$N109)),""),IF($O109&lt;&gt;"",IF(INDEX(TxnWitB,$O109)=0,"",INDEX(TxnWitB,$O109)),""))</f>
        <v/>
      </c>
      <c r="K109" s="21">
        <f>IF($B109="","",IF($K108="",$C$10,$K108)+IF($I109="",0,$I109)-IF($J109="",0,$J109))</f>
        <v/>
      </c>
      <c r="L109" s="22">
        <f>IF($N109&lt;&gt;"",IF(INDEX(PCNotes,$N109)="","—",INDEX(PCNotes,$N109)),IF($O109&lt;&gt;"",IF(INDEX(LdgNoteB,$O109)="","—",INDEX(LdgNoteB,$O109)),""))</f>
        <v/>
      </c>
      <c r="N109">
        <f>IFERROR(MATCH($C$5&amp;"|"&amp;RIGHT("000000"&amp;93,6),LdgRankKeyA,0),"")</f>
        <v/>
      </c>
      <c r="O109">
        <f>IFERROR(MATCH($C$5&amp;"|"&amp;RIGHT("000000"&amp;93,6),LdgRankKeyB,0),"")</f>
        <v/>
      </c>
    </row>
    <row r="110">
      <c r="A110" s="23" t="n">
        <v>94</v>
      </c>
      <c r="B110" s="24">
        <f>IF(AND($N110="",$O110=""),"",IF($N110&lt;&gt;"",INDEX(PCNormDate,$N110),INDEX(LdgDateB,$O110)))</f>
        <v/>
      </c>
      <c r="C110" s="24">
        <f>IF($N110&lt;&gt;"",INDEX(PCOp,$N110),IF($O110&lt;&gt;"",IF(N(INDEX(TxnDepB,$O110))&gt;0,"دریافت بانکی","پرداخت بانکی"),""))</f>
        <v/>
      </c>
      <c r="D110" s="24">
        <f>IF($N110&lt;&gt;"",IF(INDEX(PCDoc,$N110)="","—",INDEX(PCDoc,$N110)),IF($O110&lt;&gt;"",INDEX(LdgBankB,$O110),""))</f>
        <v/>
      </c>
      <c r="E110" s="24">
        <f>IF($N110&lt;&gt;"",IF(INDEX(PCCitrus,$N110)="","—",INDEX(PCCitrus,$N110)),"")</f>
        <v/>
      </c>
      <c r="F110" s="25">
        <f>IF($N110&lt;&gt;"",IF(INDEX(PCScale,$N110)=0,"",INDEX(PCScale,$N110)),"")</f>
        <v/>
      </c>
      <c r="G110" s="25">
        <f>IF($N110&lt;&gt;"",IF(INDEX(PCBaskets,$N110)=0,"",INDEX(PCBaskets,$N110)),"")</f>
        <v/>
      </c>
      <c r="H110" s="26">
        <f>IF($N110&lt;&gt;"",IF(INDEX(PCNet,$N110)=0,"",INDEX(PCNet,$N110)),"")</f>
        <v/>
      </c>
      <c r="I110" s="25">
        <f>IF($N110&lt;&gt;"",IF(INDEX(PCOp,$N110)="مرجوعی خرید","",IF(INDEX(PCAmount,$N110)&lt;=0,"",INDEX(PCAmount,$N110))),IF($O110&lt;&gt;"",IF(INDEX(TxnDepB,$O110)=0,"",INDEX(TxnDepB,$O110)),""))</f>
        <v/>
      </c>
      <c r="J110" s="25">
        <f>IF($N110&lt;&gt;"",IF(INDEX(PCOp,$N110)="مرجوعی خرید",IF(INDEX(PCAmount,$N110)=0,"",-INDEX(PCAmount,$N110)),""),IF($O110&lt;&gt;"",IF(INDEX(TxnWitB,$O110)=0,"",INDEX(TxnWitB,$O110)),""))</f>
        <v/>
      </c>
      <c r="K110" s="27">
        <f>IF($B110="","",IF($K109="",$C$10,$K109)+IF($I110="",0,$I110)-IF($J110="",0,$J110))</f>
        <v/>
      </c>
      <c r="L110" s="28">
        <f>IF($N110&lt;&gt;"",IF(INDEX(PCNotes,$N110)="","—",INDEX(PCNotes,$N110)),IF($O110&lt;&gt;"",IF(INDEX(LdgNoteB,$O110)="","—",INDEX(LdgNoteB,$O110)),""))</f>
        <v/>
      </c>
      <c r="N110">
        <f>IFERROR(MATCH($C$5&amp;"|"&amp;RIGHT("000000"&amp;94,6),LdgRankKeyA,0),"")</f>
        <v/>
      </c>
      <c r="O110">
        <f>IFERROR(MATCH($C$5&amp;"|"&amp;RIGHT("000000"&amp;94,6),LdgRankKeyB,0),"")</f>
        <v/>
      </c>
    </row>
    <row r="111">
      <c r="A111" s="17" t="n">
        <v>95</v>
      </c>
      <c r="B111" s="18">
        <f>IF(AND($N111="",$O111=""),"",IF($N111&lt;&gt;"",INDEX(PCNormDate,$N111),INDEX(LdgDateB,$O111)))</f>
        <v/>
      </c>
      <c r="C111" s="18">
        <f>IF($N111&lt;&gt;"",INDEX(PCOp,$N111),IF($O111&lt;&gt;"",IF(N(INDEX(TxnDepB,$O111))&gt;0,"دریافت بانکی","پرداخت بانکی"),""))</f>
        <v/>
      </c>
      <c r="D111" s="18">
        <f>IF($N111&lt;&gt;"",IF(INDEX(PCDoc,$N111)="","—",INDEX(PCDoc,$N111)),IF($O111&lt;&gt;"",INDEX(LdgBankB,$O111),""))</f>
        <v/>
      </c>
      <c r="E111" s="18">
        <f>IF($N111&lt;&gt;"",IF(INDEX(PCCitrus,$N111)="","—",INDEX(PCCitrus,$N111)),"")</f>
        <v/>
      </c>
      <c r="F111" s="19">
        <f>IF($N111&lt;&gt;"",IF(INDEX(PCScale,$N111)=0,"",INDEX(PCScale,$N111)),"")</f>
        <v/>
      </c>
      <c r="G111" s="19">
        <f>IF($N111&lt;&gt;"",IF(INDEX(PCBaskets,$N111)=0,"",INDEX(PCBaskets,$N111)),"")</f>
        <v/>
      </c>
      <c r="H111" s="20">
        <f>IF($N111&lt;&gt;"",IF(INDEX(PCNet,$N111)=0,"",INDEX(PCNet,$N111)),"")</f>
        <v/>
      </c>
      <c r="I111" s="19">
        <f>IF($N111&lt;&gt;"",IF(INDEX(PCOp,$N111)="مرجوعی خرید","",IF(INDEX(PCAmount,$N111)&lt;=0,"",INDEX(PCAmount,$N111))),IF($O111&lt;&gt;"",IF(INDEX(TxnDepB,$O111)=0,"",INDEX(TxnDepB,$O111)),""))</f>
        <v/>
      </c>
      <c r="J111" s="19">
        <f>IF($N111&lt;&gt;"",IF(INDEX(PCOp,$N111)="مرجوعی خرید",IF(INDEX(PCAmount,$N111)=0,"",-INDEX(PCAmount,$N111)),""),IF($O111&lt;&gt;"",IF(INDEX(TxnWitB,$O111)=0,"",INDEX(TxnWitB,$O111)),""))</f>
        <v/>
      </c>
      <c r="K111" s="21">
        <f>IF($B111="","",IF($K110="",$C$10,$K110)+IF($I111="",0,$I111)-IF($J111="",0,$J111))</f>
        <v/>
      </c>
      <c r="L111" s="22">
        <f>IF($N111&lt;&gt;"",IF(INDEX(PCNotes,$N111)="","—",INDEX(PCNotes,$N111)),IF($O111&lt;&gt;"",IF(INDEX(LdgNoteB,$O111)="","—",INDEX(LdgNoteB,$O111)),""))</f>
        <v/>
      </c>
      <c r="N111">
        <f>IFERROR(MATCH($C$5&amp;"|"&amp;RIGHT("000000"&amp;95,6),LdgRankKeyA,0),"")</f>
        <v/>
      </c>
      <c r="O111">
        <f>IFERROR(MATCH($C$5&amp;"|"&amp;RIGHT("000000"&amp;95,6),LdgRankKeyB,0),"")</f>
        <v/>
      </c>
    </row>
    <row r="112">
      <c r="A112" s="23" t="n">
        <v>96</v>
      </c>
      <c r="B112" s="24">
        <f>IF(AND($N112="",$O112=""),"",IF($N112&lt;&gt;"",INDEX(PCNormDate,$N112),INDEX(LdgDateB,$O112)))</f>
        <v/>
      </c>
      <c r="C112" s="24">
        <f>IF($N112&lt;&gt;"",INDEX(PCOp,$N112),IF($O112&lt;&gt;"",IF(N(INDEX(TxnDepB,$O112))&gt;0,"دریافت بانکی","پرداخت بانکی"),""))</f>
        <v/>
      </c>
      <c r="D112" s="24">
        <f>IF($N112&lt;&gt;"",IF(INDEX(PCDoc,$N112)="","—",INDEX(PCDoc,$N112)),IF($O112&lt;&gt;"",INDEX(LdgBankB,$O112),""))</f>
        <v/>
      </c>
      <c r="E112" s="24">
        <f>IF($N112&lt;&gt;"",IF(INDEX(PCCitrus,$N112)="","—",INDEX(PCCitrus,$N112)),"")</f>
        <v/>
      </c>
      <c r="F112" s="25">
        <f>IF($N112&lt;&gt;"",IF(INDEX(PCScale,$N112)=0,"",INDEX(PCScale,$N112)),"")</f>
        <v/>
      </c>
      <c r="G112" s="25">
        <f>IF($N112&lt;&gt;"",IF(INDEX(PCBaskets,$N112)=0,"",INDEX(PCBaskets,$N112)),"")</f>
        <v/>
      </c>
      <c r="H112" s="26">
        <f>IF($N112&lt;&gt;"",IF(INDEX(PCNet,$N112)=0,"",INDEX(PCNet,$N112)),"")</f>
        <v/>
      </c>
      <c r="I112" s="25">
        <f>IF($N112&lt;&gt;"",IF(INDEX(PCOp,$N112)="مرجوعی خرید","",IF(INDEX(PCAmount,$N112)&lt;=0,"",INDEX(PCAmount,$N112))),IF($O112&lt;&gt;"",IF(INDEX(TxnDepB,$O112)=0,"",INDEX(TxnDepB,$O112)),""))</f>
        <v/>
      </c>
      <c r="J112" s="25">
        <f>IF($N112&lt;&gt;"",IF(INDEX(PCOp,$N112)="مرجوعی خرید",IF(INDEX(PCAmount,$N112)=0,"",-INDEX(PCAmount,$N112)),""),IF($O112&lt;&gt;"",IF(INDEX(TxnWitB,$O112)=0,"",INDEX(TxnWitB,$O112)),""))</f>
        <v/>
      </c>
      <c r="K112" s="27">
        <f>IF($B112="","",IF($K111="",$C$10,$K111)+IF($I112="",0,$I112)-IF($J112="",0,$J112))</f>
        <v/>
      </c>
      <c r="L112" s="28">
        <f>IF($N112&lt;&gt;"",IF(INDEX(PCNotes,$N112)="","—",INDEX(PCNotes,$N112)),IF($O112&lt;&gt;"",IF(INDEX(LdgNoteB,$O112)="","—",INDEX(LdgNoteB,$O112)),""))</f>
        <v/>
      </c>
      <c r="N112">
        <f>IFERROR(MATCH($C$5&amp;"|"&amp;RIGHT("000000"&amp;96,6),LdgRankKeyA,0),"")</f>
        <v/>
      </c>
      <c r="O112">
        <f>IFERROR(MATCH($C$5&amp;"|"&amp;RIGHT("000000"&amp;96,6),LdgRankKeyB,0),"")</f>
        <v/>
      </c>
    </row>
    <row r="113">
      <c r="A113" s="17" t="n">
        <v>97</v>
      </c>
      <c r="B113" s="18">
        <f>IF(AND($N113="",$O113=""),"",IF($N113&lt;&gt;"",INDEX(PCNormDate,$N113),INDEX(LdgDateB,$O113)))</f>
        <v/>
      </c>
      <c r="C113" s="18">
        <f>IF($N113&lt;&gt;"",INDEX(PCOp,$N113),IF($O113&lt;&gt;"",IF(N(INDEX(TxnDepB,$O113))&gt;0,"دریافت بانکی","پرداخت بانکی"),""))</f>
        <v/>
      </c>
      <c r="D113" s="18">
        <f>IF($N113&lt;&gt;"",IF(INDEX(PCDoc,$N113)="","—",INDEX(PCDoc,$N113)),IF($O113&lt;&gt;"",INDEX(LdgBankB,$O113),""))</f>
        <v/>
      </c>
      <c r="E113" s="18">
        <f>IF($N113&lt;&gt;"",IF(INDEX(PCCitrus,$N113)="","—",INDEX(PCCitrus,$N113)),"")</f>
        <v/>
      </c>
      <c r="F113" s="19">
        <f>IF($N113&lt;&gt;"",IF(INDEX(PCScale,$N113)=0,"",INDEX(PCScale,$N113)),"")</f>
        <v/>
      </c>
      <c r="G113" s="19">
        <f>IF($N113&lt;&gt;"",IF(INDEX(PCBaskets,$N113)=0,"",INDEX(PCBaskets,$N113)),"")</f>
        <v/>
      </c>
      <c r="H113" s="20">
        <f>IF($N113&lt;&gt;"",IF(INDEX(PCNet,$N113)=0,"",INDEX(PCNet,$N113)),"")</f>
        <v/>
      </c>
      <c r="I113" s="19">
        <f>IF($N113&lt;&gt;"",IF(INDEX(PCOp,$N113)="مرجوعی خرید","",IF(INDEX(PCAmount,$N113)&lt;=0,"",INDEX(PCAmount,$N113))),IF($O113&lt;&gt;"",IF(INDEX(TxnDepB,$O113)=0,"",INDEX(TxnDepB,$O113)),""))</f>
        <v/>
      </c>
      <c r="J113" s="19">
        <f>IF($N113&lt;&gt;"",IF(INDEX(PCOp,$N113)="مرجوعی خرید",IF(INDEX(PCAmount,$N113)=0,"",-INDEX(PCAmount,$N113)),""),IF($O113&lt;&gt;"",IF(INDEX(TxnWitB,$O113)=0,"",INDEX(TxnWitB,$O113)),""))</f>
        <v/>
      </c>
      <c r="K113" s="21">
        <f>IF($B113="","",IF($K112="",$C$10,$K112)+IF($I113="",0,$I113)-IF($J113="",0,$J113))</f>
        <v/>
      </c>
      <c r="L113" s="22">
        <f>IF($N113&lt;&gt;"",IF(INDEX(PCNotes,$N113)="","—",INDEX(PCNotes,$N113)),IF($O113&lt;&gt;"",IF(INDEX(LdgNoteB,$O113)="","—",INDEX(LdgNoteB,$O113)),""))</f>
        <v/>
      </c>
      <c r="N113">
        <f>IFERROR(MATCH($C$5&amp;"|"&amp;RIGHT("000000"&amp;97,6),LdgRankKeyA,0),"")</f>
        <v/>
      </c>
      <c r="O113">
        <f>IFERROR(MATCH($C$5&amp;"|"&amp;RIGHT("000000"&amp;97,6),LdgRankKeyB,0),"")</f>
        <v/>
      </c>
    </row>
    <row r="114">
      <c r="A114" s="23" t="n">
        <v>98</v>
      </c>
      <c r="B114" s="24">
        <f>IF(AND($N114="",$O114=""),"",IF($N114&lt;&gt;"",INDEX(PCNormDate,$N114),INDEX(LdgDateB,$O114)))</f>
        <v/>
      </c>
      <c r="C114" s="24">
        <f>IF($N114&lt;&gt;"",INDEX(PCOp,$N114),IF($O114&lt;&gt;"",IF(N(INDEX(TxnDepB,$O114))&gt;0,"دریافت بانکی","پرداخت بانکی"),""))</f>
        <v/>
      </c>
      <c r="D114" s="24">
        <f>IF($N114&lt;&gt;"",IF(INDEX(PCDoc,$N114)="","—",INDEX(PCDoc,$N114)),IF($O114&lt;&gt;"",INDEX(LdgBankB,$O114),""))</f>
        <v/>
      </c>
      <c r="E114" s="24">
        <f>IF($N114&lt;&gt;"",IF(INDEX(PCCitrus,$N114)="","—",INDEX(PCCitrus,$N114)),"")</f>
        <v/>
      </c>
      <c r="F114" s="25">
        <f>IF($N114&lt;&gt;"",IF(INDEX(PCScale,$N114)=0,"",INDEX(PCScale,$N114)),"")</f>
        <v/>
      </c>
      <c r="G114" s="25">
        <f>IF($N114&lt;&gt;"",IF(INDEX(PCBaskets,$N114)=0,"",INDEX(PCBaskets,$N114)),"")</f>
        <v/>
      </c>
      <c r="H114" s="26">
        <f>IF($N114&lt;&gt;"",IF(INDEX(PCNet,$N114)=0,"",INDEX(PCNet,$N114)),"")</f>
        <v/>
      </c>
      <c r="I114" s="25">
        <f>IF($N114&lt;&gt;"",IF(INDEX(PCOp,$N114)="مرجوعی خرید","",IF(INDEX(PCAmount,$N114)&lt;=0,"",INDEX(PCAmount,$N114))),IF($O114&lt;&gt;"",IF(INDEX(TxnDepB,$O114)=0,"",INDEX(TxnDepB,$O114)),""))</f>
        <v/>
      </c>
      <c r="J114" s="25">
        <f>IF($N114&lt;&gt;"",IF(INDEX(PCOp,$N114)="مرجوعی خرید",IF(INDEX(PCAmount,$N114)=0,"",-INDEX(PCAmount,$N114)),""),IF($O114&lt;&gt;"",IF(INDEX(TxnWitB,$O114)=0,"",INDEX(TxnWitB,$O114)),""))</f>
        <v/>
      </c>
      <c r="K114" s="27">
        <f>IF($B114="","",IF($K113="",$C$10,$K113)+IF($I114="",0,$I114)-IF($J114="",0,$J114))</f>
        <v/>
      </c>
      <c r="L114" s="28">
        <f>IF($N114&lt;&gt;"",IF(INDEX(PCNotes,$N114)="","—",INDEX(PCNotes,$N114)),IF($O114&lt;&gt;"",IF(INDEX(LdgNoteB,$O114)="","—",INDEX(LdgNoteB,$O114)),""))</f>
        <v/>
      </c>
      <c r="N114">
        <f>IFERROR(MATCH($C$5&amp;"|"&amp;RIGHT("000000"&amp;98,6),LdgRankKeyA,0),"")</f>
        <v/>
      </c>
      <c r="O114">
        <f>IFERROR(MATCH($C$5&amp;"|"&amp;RIGHT("000000"&amp;98,6),LdgRankKeyB,0),"")</f>
        <v/>
      </c>
    </row>
    <row r="115">
      <c r="A115" s="17" t="n">
        <v>99</v>
      </c>
      <c r="B115" s="18">
        <f>IF(AND($N115="",$O115=""),"",IF($N115&lt;&gt;"",INDEX(PCNormDate,$N115),INDEX(LdgDateB,$O115)))</f>
        <v/>
      </c>
      <c r="C115" s="18">
        <f>IF($N115&lt;&gt;"",INDEX(PCOp,$N115),IF($O115&lt;&gt;"",IF(N(INDEX(TxnDepB,$O115))&gt;0,"دریافت بانکی","پرداخت بانکی"),""))</f>
        <v/>
      </c>
      <c r="D115" s="18">
        <f>IF($N115&lt;&gt;"",IF(INDEX(PCDoc,$N115)="","—",INDEX(PCDoc,$N115)),IF($O115&lt;&gt;"",INDEX(LdgBankB,$O115),""))</f>
        <v/>
      </c>
      <c r="E115" s="18">
        <f>IF($N115&lt;&gt;"",IF(INDEX(PCCitrus,$N115)="","—",INDEX(PCCitrus,$N115)),"")</f>
        <v/>
      </c>
      <c r="F115" s="19">
        <f>IF($N115&lt;&gt;"",IF(INDEX(PCScale,$N115)=0,"",INDEX(PCScale,$N115)),"")</f>
        <v/>
      </c>
      <c r="G115" s="19">
        <f>IF($N115&lt;&gt;"",IF(INDEX(PCBaskets,$N115)=0,"",INDEX(PCBaskets,$N115)),"")</f>
        <v/>
      </c>
      <c r="H115" s="20">
        <f>IF($N115&lt;&gt;"",IF(INDEX(PCNet,$N115)=0,"",INDEX(PCNet,$N115)),"")</f>
        <v/>
      </c>
      <c r="I115" s="19">
        <f>IF($N115&lt;&gt;"",IF(INDEX(PCOp,$N115)="مرجوعی خرید","",IF(INDEX(PCAmount,$N115)&lt;=0,"",INDEX(PCAmount,$N115))),IF($O115&lt;&gt;"",IF(INDEX(TxnDepB,$O115)=0,"",INDEX(TxnDepB,$O115)),""))</f>
        <v/>
      </c>
      <c r="J115" s="19">
        <f>IF($N115&lt;&gt;"",IF(INDEX(PCOp,$N115)="مرجوعی خرید",IF(INDEX(PCAmount,$N115)=0,"",-INDEX(PCAmount,$N115)),""),IF($O115&lt;&gt;"",IF(INDEX(TxnWitB,$O115)=0,"",INDEX(TxnWitB,$O115)),""))</f>
        <v/>
      </c>
      <c r="K115" s="21">
        <f>IF($B115="","",IF($K114="",$C$10,$K114)+IF($I115="",0,$I115)-IF($J115="",0,$J115))</f>
        <v/>
      </c>
      <c r="L115" s="22">
        <f>IF($N115&lt;&gt;"",IF(INDEX(PCNotes,$N115)="","—",INDEX(PCNotes,$N115)),IF($O115&lt;&gt;"",IF(INDEX(LdgNoteB,$O115)="","—",INDEX(LdgNoteB,$O115)),""))</f>
        <v/>
      </c>
      <c r="N115">
        <f>IFERROR(MATCH($C$5&amp;"|"&amp;RIGHT("000000"&amp;99,6),LdgRankKeyA,0),"")</f>
        <v/>
      </c>
      <c r="O115">
        <f>IFERROR(MATCH($C$5&amp;"|"&amp;RIGHT("000000"&amp;99,6),LdgRankKeyB,0),"")</f>
        <v/>
      </c>
    </row>
    <row r="116">
      <c r="A116" s="23" t="n">
        <v>100</v>
      </c>
      <c r="B116" s="24">
        <f>IF(AND($N116="",$O116=""),"",IF($N116&lt;&gt;"",INDEX(PCNormDate,$N116),INDEX(LdgDateB,$O116)))</f>
        <v/>
      </c>
      <c r="C116" s="24">
        <f>IF($N116&lt;&gt;"",INDEX(PCOp,$N116),IF($O116&lt;&gt;"",IF(N(INDEX(TxnDepB,$O116))&gt;0,"دریافت بانکی","پرداخت بانکی"),""))</f>
        <v/>
      </c>
      <c r="D116" s="24">
        <f>IF($N116&lt;&gt;"",IF(INDEX(PCDoc,$N116)="","—",INDEX(PCDoc,$N116)),IF($O116&lt;&gt;"",INDEX(LdgBankB,$O116),""))</f>
        <v/>
      </c>
      <c r="E116" s="24">
        <f>IF($N116&lt;&gt;"",IF(INDEX(PCCitrus,$N116)="","—",INDEX(PCCitrus,$N116)),"")</f>
        <v/>
      </c>
      <c r="F116" s="25">
        <f>IF($N116&lt;&gt;"",IF(INDEX(PCScale,$N116)=0,"",INDEX(PCScale,$N116)),"")</f>
        <v/>
      </c>
      <c r="G116" s="25">
        <f>IF($N116&lt;&gt;"",IF(INDEX(PCBaskets,$N116)=0,"",INDEX(PCBaskets,$N116)),"")</f>
        <v/>
      </c>
      <c r="H116" s="26">
        <f>IF($N116&lt;&gt;"",IF(INDEX(PCNet,$N116)=0,"",INDEX(PCNet,$N116)),"")</f>
        <v/>
      </c>
      <c r="I116" s="25">
        <f>IF($N116&lt;&gt;"",IF(INDEX(PCOp,$N116)="مرجوعی خرید","",IF(INDEX(PCAmount,$N116)&lt;=0,"",INDEX(PCAmount,$N116))),IF($O116&lt;&gt;"",IF(INDEX(TxnDepB,$O116)=0,"",INDEX(TxnDepB,$O116)),""))</f>
        <v/>
      </c>
      <c r="J116" s="25">
        <f>IF($N116&lt;&gt;"",IF(INDEX(PCOp,$N116)="مرجوعی خرید",IF(INDEX(PCAmount,$N116)=0,"",-INDEX(PCAmount,$N116)),""),IF($O116&lt;&gt;"",IF(INDEX(TxnWitB,$O116)=0,"",INDEX(TxnWitB,$O116)),""))</f>
        <v/>
      </c>
      <c r="K116" s="27">
        <f>IF($B116="","",IF($K115="",$C$10,$K115)+IF($I116="",0,$I116)-IF($J116="",0,$J116))</f>
        <v/>
      </c>
      <c r="L116" s="28">
        <f>IF($N116&lt;&gt;"",IF(INDEX(PCNotes,$N116)="","—",INDEX(PCNotes,$N116)),IF($O116&lt;&gt;"",IF(INDEX(LdgNoteB,$O116)="","—",INDEX(LdgNoteB,$O116)),""))</f>
        <v/>
      </c>
      <c r="N116">
        <f>IFERROR(MATCH($C$5&amp;"|"&amp;RIGHT("000000"&amp;100,6),LdgRankKeyA,0),"")</f>
        <v/>
      </c>
      <c r="O116">
        <f>IFERROR(MATCH($C$5&amp;"|"&amp;RIGHT("000000"&amp;100,6),LdgRankKeyB,0),"")</f>
        <v/>
      </c>
    </row>
    <row r="117">
      <c r="A117" s="17" t="n">
        <v>101</v>
      </c>
      <c r="B117" s="18">
        <f>IF(AND($N117="",$O117=""),"",IF($N117&lt;&gt;"",INDEX(PCNormDate,$N117),INDEX(LdgDateB,$O117)))</f>
        <v/>
      </c>
      <c r="C117" s="18">
        <f>IF($N117&lt;&gt;"",INDEX(PCOp,$N117),IF($O117&lt;&gt;"",IF(N(INDEX(TxnDepB,$O117))&gt;0,"دریافت بانکی","پرداخت بانکی"),""))</f>
        <v/>
      </c>
      <c r="D117" s="18">
        <f>IF($N117&lt;&gt;"",IF(INDEX(PCDoc,$N117)="","—",INDEX(PCDoc,$N117)),IF($O117&lt;&gt;"",INDEX(LdgBankB,$O117),""))</f>
        <v/>
      </c>
      <c r="E117" s="18">
        <f>IF($N117&lt;&gt;"",IF(INDEX(PCCitrus,$N117)="","—",INDEX(PCCitrus,$N117)),"")</f>
        <v/>
      </c>
      <c r="F117" s="19">
        <f>IF($N117&lt;&gt;"",IF(INDEX(PCScale,$N117)=0,"",INDEX(PCScale,$N117)),"")</f>
        <v/>
      </c>
      <c r="G117" s="19">
        <f>IF($N117&lt;&gt;"",IF(INDEX(PCBaskets,$N117)=0,"",INDEX(PCBaskets,$N117)),"")</f>
        <v/>
      </c>
      <c r="H117" s="20">
        <f>IF($N117&lt;&gt;"",IF(INDEX(PCNet,$N117)=0,"",INDEX(PCNet,$N117)),"")</f>
        <v/>
      </c>
      <c r="I117" s="19">
        <f>IF($N117&lt;&gt;"",IF(INDEX(PCOp,$N117)="مرجوعی خرید","",IF(INDEX(PCAmount,$N117)&lt;=0,"",INDEX(PCAmount,$N117))),IF($O117&lt;&gt;"",IF(INDEX(TxnDepB,$O117)=0,"",INDEX(TxnDepB,$O117)),""))</f>
        <v/>
      </c>
      <c r="J117" s="19">
        <f>IF($N117&lt;&gt;"",IF(INDEX(PCOp,$N117)="مرجوعی خرید",IF(INDEX(PCAmount,$N117)=0,"",-INDEX(PCAmount,$N117)),""),IF($O117&lt;&gt;"",IF(INDEX(TxnWitB,$O117)=0,"",INDEX(TxnWitB,$O117)),""))</f>
        <v/>
      </c>
      <c r="K117" s="21">
        <f>IF($B117="","",IF($K116="",$C$10,$K116)+IF($I117="",0,$I117)-IF($J117="",0,$J117))</f>
        <v/>
      </c>
      <c r="L117" s="22">
        <f>IF($N117&lt;&gt;"",IF(INDEX(PCNotes,$N117)="","—",INDEX(PCNotes,$N117)),IF($O117&lt;&gt;"",IF(INDEX(LdgNoteB,$O117)="","—",INDEX(LdgNoteB,$O117)),""))</f>
        <v/>
      </c>
      <c r="N117">
        <f>IFERROR(MATCH($C$5&amp;"|"&amp;RIGHT("000000"&amp;101,6),LdgRankKeyA,0),"")</f>
        <v/>
      </c>
      <c r="O117">
        <f>IFERROR(MATCH($C$5&amp;"|"&amp;RIGHT("000000"&amp;101,6),LdgRankKeyB,0),"")</f>
        <v/>
      </c>
    </row>
    <row r="118">
      <c r="A118" s="23" t="n">
        <v>102</v>
      </c>
      <c r="B118" s="24">
        <f>IF(AND($N118="",$O118=""),"",IF($N118&lt;&gt;"",INDEX(PCNormDate,$N118),INDEX(LdgDateB,$O118)))</f>
        <v/>
      </c>
      <c r="C118" s="24">
        <f>IF($N118&lt;&gt;"",INDEX(PCOp,$N118),IF($O118&lt;&gt;"",IF(N(INDEX(TxnDepB,$O118))&gt;0,"دریافت بانکی","پرداخت بانکی"),""))</f>
        <v/>
      </c>
      <c r="D118" s="24">
        <f>IF($N118&lt;&gt;"",IF(INDEX(PCDoc,$N118)="","—",INDEX(PCDoc,$N118)),IF($O118&lt;&gt;"",INDEX(LdgBankB,$O118),""))</f>
        <v/>
      </c>
      <c r="E118" s="24">
        <f>IF($N118&lt;&gt;"",IF(INDEX(PCCitrus,$N118)="","—",INDEX(PCCitrus,$N118)),"")</f>
        <v/>
      </c>
      <c r="F118" s="25">
        <f>IF($N118&lt;&gt;"",IF(INDEX(PCScale,$N118)=0,"",INDEX(PCScale,$N118)),"")</f>
        <v/>
      </c>
      <c r="G118" s="25">
        <f>IF($N118&lt;&gt;"",IF(INDEX(PCBaskets,$N118)=0,"",INDEX(PCBaskets,$N118)),"")</f>
        <v/>
      </c>
      <c r="H118" s="26">
        <f>IF($N118&lt;&gt;"",IF(INDEX(PCNet,$N118)=0,"",INDEX(PCNet,$N118)),"")</f>
        <v/>
      </c>
      <c r="I118" s="25">
        <f>IF($N118&lt;&gt;"",IF(INDEX(PCOp,$N118)="مرجوعی خرید","",IF(INDEX(PCAmount,$N118)&lt;=0,"",INDEX(PCAmount,$N118))),IF($O118&lt;&gt;"",IF(INDEX(TxnDepB,$O118)=0,"",INDEX(TxnDepB,$O118)),""))</f>
        <v/>
      </c>
      <c r="J118" s="25">
        <f>IF($N118&lt;&gt;"",IF(INDEX(PCOp,$N118)="مرجوعی خرید",IF(INDEX(PCAmount,$N118)=0,"",-INDEX(PCAmount,$N118)),""),IF($O118&lt;&gt;"",IF(INDEX(TxnWitB,$O118)=0,"",INDEX(TxnWitB,$O118)),""))</f>
        <v/>
      </c>
      <c r="K118" s="27">
        <f>IF($B118="","",IF($K117="",$C$10,$K117)+IF($I118="",0,$I118)-IF($J118="",0,$J118))</f>
        <v/>
      </c>
      <c r="L118" s="28">
        <f>IF($N118&lt;&gt;"",IF(INDEX(PCNotes,$N118)="","—",INDEX(PCNotes,$N118)),IF($O118&lt;&gt;"",IF(INDEX(LdgNoteB,$O118)="","—",INDEX(LdgNoteB,$O118)),""))</f>
        <v/>
      </c>
      <c r="N118">
        <f>IFERROR(MATCH($C$5&amp;"|"&amp;RIGHT("000000"&amp;102,6),LdgRankKeyA,0),"")</f>
        <v/>
      </c>
      <c r="O118">
        <f>IFERROR(MATCH($C$5&amp;"|"&amp;RIGHT("000000"&amp;102,6),LdgRankKeyB,0),"")</f>
        <v/>
      </c>
    </row>
    <row r="119">
      <c r="A119" s="17" t="n">
        <v>103</v>
      </c>
      <c r="B119" s="18">
        <f>IF(AND($N119="",$O119=""),"",IF($N119&lt;&gt;"",INDEX(PCNormDate,$N119),INDEX(LdgDateB,$O119)))</f>
        <v/>
      </c>
      <c r="C119" s="18">
        <f>IF($N119&lt;&gt;"",INDEX(PCOp,$N119),IF($O119&lt;&gt;"",IF(N(INDEX(TxnDepB,$O119))&gt;0,"دریافت بانکی","پرداخت بانکی"),""))</f>
        <v/>
      </c>
      <c r="D119" s="18">
        <f>IF($N119&lt;&gt;"",IF(INDEX(PCDoc,$N119)="","—",INDEX(PCDoc,$N119)),IF($O119&lt;&gt;"",INDEX(LdgBankB,$O119),""))</f>
        <v/>
      </c>
      <c r="E119" s="18">
        <f>IF($N119&lt;&gt;"",IF(INDEX(PCCitrus,$N119)="","—",INDEX(PCCitrus,$N119)),"")</f>
        <v/>
      </c>
      <c r="F119" s="19">
        <f>IF($N119&lt;&gt;"",IF(INDEX(PCScale,$N119)=0,"",INDEX(PCScale,$N119)),"")</f>
        <v/>
      </c>
      <c r="G119" s="19">
        <f>IF($N119&lt;&gt;"",IF(INDEX(PCBaskets,$N119)=0,"",INDEX(PCBaskets,$N119)),"")</f>
        <v/>
      </c>
      <c r="H119" s="20">
        <f>IF($N119&lt;&gt;"",IF(INDEX(PCNet,$N119)=0,"",INDEX(PCNet,$N119)),"")</f>
        <v/>
      </c>
      <c r="I119" s="19">
        <f>IF($N119&lt;&gt;"",IF(INDEX(PCOp,$N119)="مرجوعی خرید","",IF(INDEX(PCAmount,$N119)&lt;=0,"",INDEX(PCAmount,$N119))),IF($O119&lt;&gt;"",IF(INDEX(TxnDepB,$O119)=0,"",INDEX(TxnDepB,$O119)),""))</f>
        <v/>
      </c>
      <c r="J119" s="19">
        <f>IF($N119&lt;&gt;"",IF(INDEX(PCOp,$N119)="مرجوعی خرید",IF(INDEX(PCAmount,$N119)=0,"",-INDEX(PCAmount,$N119)),""),IF($O119&lt;&gt;"",IF(INDEX(TxnWitB,$O119)=0,"",INDEX(TxnWitB,$O119)),""))</f>
        <v/>
      </c>
      <c r="K119" s="21">
        <f>IF($B119="","",IF($K118="",$C$10,$K118)+IF($I119="",0,$I119)-IF($J119="",0,$J119))</f>
        <v/>
      </c>
      <c r="L119" s="22">
        <f>IF($N119&lt;&gt;"",IF(INDEX(PCNotes,$N119)="","—",INDEX(PCNotes,$N119)),IF($O119&lt;&gt;"",IF(INDEX(LdgNoteB,$O119)="","—",INDEX(LdgNoteB,$O119)),""))</f>
        <v/>
      </c>
      <c r="N119">
        <f>IFERROR(MATCH($C$5&amp;"|"&amp;RIGHT("000000"&amp;103,6),LdgRankKeyA,0),"")</f>
        <v/>
      </c>
      <c r="O119">
        <f>IFERROR(MATCH($C$5&amp;"|"&amp;RIGHT("000000"&amp;103,6),LdgRankKeyB,0),"")</f>
        <v/>
      </c>
    </row>
    <row r="120">
      <c r="A120" s="23" t="n">
        <v>104</v>
      </c>
      <c r="B120" s="24">
        <f>IF(AND($N120="",$O120=""),"",IF($N120&lt;&gt;"",INDEX(PCNormDate,$N120),INDEX(LdgDateB,$O120)))</f>
        <v/>
      </c>
      <c r="C120" s="24">
        <f>IF($N120&lt;&gt;"",INDEX(PCOp,$N120),IF($O120&lt;&gt;"",IF(N(INDEX(TxnDepB,$O120))&gt;0,"دریافت بانکی","پرداخت بانکی"),""))</f>
        <v/>
      </c>
      <c r="D120" s="24">
        <f>IF($N120&lt;&gt;"",IF(INDEX(PCDoc,$N120)="","—",INDEX(PCDoc,$N120)),IF($O120&lt;&gt;"",INDEX(LdgBankB,$O120),""))</f>
        <v/>
      </c>
      <c r="E120" s="24">
        <f>IF($N120&lt;&gt;"",IF(INDEX(PCCitrus,$N120)="","—",INDEX(PCCitrus,$N120)),"")</f>
        <v/>
      </c>
      <c r="F120" s="25">
        <f>IF($N120&lt;&gt;"",IF(INDEX(PCScale,$N120)=0,"",INDEX(PCScale,$N120)),"")</f>
        <v/>
      </c>
      <c r="G120" s="25">
        <f>IF($N120&lt;&gt;"",IF(INDEX(PCBaskets,$N120)=0,"",INDEX(PCBaskets,$N120)),"")</f>
        <v/>
      </c>
      <c r="H120" s="26">
        <f>IF($N120&lt;&gt;"",IF(INDEX(PCNet,$N120)=0,"",INDEX(PCNet,$N120)),"")</f>
        <v/>
      </c>
      <c r="I120" s="25">
        <f>IF($N120&lt;&gt;"",IF(INDEX(PCOp,$N120)="مرجوعی خرید","",IF(INDEX(PCAmount,$N120)&lt;=0,"",INDEX(PCAmount,$N120))),IF($O120&lt;&gt;"",IF(INDEX(TxnDepB,$O120)=0,"",INDEX(TxnDepB,$O120)),""))</f>
        <v/>
      </c>
      <c r="J120" s="25">
        <f>IF($N120&lt;&gt;"",IF(INDEX(PCOp,$N120)="مرجوعی خرید",IF(INDEX(PCAmount,$N120)=0,"",-INDEX(PCAmount,$N120)),""),IF($O120&lt;&gt;"",IF(INDEX(TxnWitB,$O120)=0,"",INDEX(TxnWitB,$O120)),""))</f>
        <v/>
      </c>
      <c r="K120" s="27">
        <f>IF($B120="","",IF($K119="",$C$10,$K119)+IF($I120="",0,$I120)-IF($J120="",0,$J120))</f>
        <v/>
      </c>
      <c r="L120" s="28">
        <f>IF($N120&lt;&gt;"",IF(INDEX(PCNotes,$N120)="","—",INDEX(PCNotes,$N120)),IF($O120&lt;&gt;"",IF(INDEX(LdgNoteB,$O120)="","—",INDEX(LdgNoteB,$O120)),""))</f>
        <v/>
      </c>
      <c r="N120">
        <f>IFERROR(MATCH($C$5&amp;"|"&amp;RIGHT("000000"&amp;104,6),LdgRankKeyA,0),"")</f>
        <v/>
      </c>
      <c r="O120">
        <f>IFERROR(MATCH($C$5&amp;"|"&amp;RIGHT("000000"&amp;104,6),LdgRankKeyB,0),"")</f>
        <v/>
      </c>
    </row>
    <row r="121">
      <c r="A121" s="17" t="n">
        <v>105</v>
      </c>
      <c r="B121" s="18">
        <f>IF(AND($N121="",$O121=""),"",IF($N121&lt;&gt;"",INDEX(PCNormDate,$N121),INDEX(LdgDateB,$O121)))</f>
        <v/>
      </c>
      <c r="C121" s="18">
        <f>IF($N121&lt;&gt;"",INDEX(PCOp,$N121),IF($O121&lt;&gt;"",IF(N(INDEX(TxnDepB,$O121))&gt;0,"دریافت بانکی","پرداخت بانکی"),""))</f>
        <v/>
      </c>
      <c r="D121" s="18">
        <f>IF($N121&lt;&gt;"",IF(INDEX(PCDoc,$N121)="","—",INDEX(PCDoc,$N121)),IF($O121&lt;&gt;"",INDEX(LdgBankB,$O121),""))</f>
        <v/>
      </c>
      <c r="E121" s="18">
        <f>IF($N121&lt;&gt;"",IF(INDEX(PCCitrus,$N121)="","—",INDEX(PCCitrus,$N121)),"")</f>
        <v/>
      </c>
      <c r="F121" s="19">
        <f>IF($N121&lt;&gt;"",IF(INDEX(PCScale,$N121)=0,"",INDEX(PCScale,$N121)),"")</f>
        <v/>
      </c>
      <c r="G121" s="19">
        <f>IF($N121&lt;&gt;"",IF(INDEX(PCBaskets,$N121)=0,"",INDEX(PCBaskets,$N121)),"")</f>
        <v/>
      </c>
      <c r="H121" s="20">
        <f>IF($N121&lt;&gt;"",IF(INDEX(PCNet,$N121)=0,"",INDEX(PCNet,$N121)),"")</f>
        <v/>
      </c>
      <c r="I121" s="19">
        <f>IF($N121&lt;&gt;"",IF(INDEX(PCOp,$N121)="مرجوعی خرید","",IF(INDEX(PCAmount,$N121)&lt;=0,"",INDEX(PCAmount,$N121))),IF($O121&lt;&gt;"",IF(INDEX(TxnDepB,$O121)=0,"",INDEX(TxnDepB,$O121)),""))</f>
        <v/>
      </c>
      <c r="J121" s="19">
        <f>IF($N121&lt;&gt;"",IF(INDEX(PCOp,$N121)="مرجوعی خرید",IF(INDEX(PCAmount,$N121)=0,"",-INDEX(PCAmount,$N121)),""),IF($O121&lt;&gt;"",IF(INDEX(TxnWitB,$O121)=0,"",INDEX(TxnWitB,$O121)),""))</f>
        <v/>
      </c>
      <c r="K121" s="21">
        <f>IF($B121="","",IF($K120="",$C$10,$K120)+IF($I121="",0,$I121)-IF($J121="",0,$J121))</f>
        <v/>
      </c>
      <c r="L121" s="22">
        <f>IF($N121&lt;&gt;"",IF(INDEX(PCNotes,$N121)="","—",INDEX(PCNotes,$N121)),IF($O121&lt;&gt;"",IF(INDEX(LdgNoteB,$O121)="","—",INDEX(LdgNoteB,$O121)),""))</f>
        <v/>
      </c>
      <c r="N121">
        <f>IFERROR(MATCH($C$5&amp;"|"&amp;RIGHT("000000"&amp;105,6),LdgRankKeyA,0),"")</f>
        <v/>
      </c>
      <c r="O121">
        <f>IFERROR(MATCH($C$5&amp;"|"&amp;RIGHT("000000"&amp;105,6),LdgRankKeyB,0),"")</f>
        <v/>
      </c>
    </row>
    <row r="122">
      <c r="A122" s="23" t="n">
        <v>106</v>
      </c>
      <c r="B122" s="24">
        <f>IF(AND($N122="",$O122=""),"",IF($N122&lt;&gt;"",INDEX(PCNormDate,$N122),INDEX(LdgDateB,$O122)))</f>
        <v/>
      </c>
      <c r="C122" s="24">
        <f>IF($N122&lt;&gt;"",INDEX(PCOp,$N122),IF($O122&lt;&gt;"",IF(N(INDEX(TxnDepB,$O122))&gt;0,"دریافت بانکی","پرداخت بانکی"),""))</f>
        <v/>
      </c>
      <c r="D122" s="24">
        <f>IF($N122&lt;&gt;"",IF(INDEX(PCDoc,$N122)="","—",INDEX(PCDoc,$N122)),IF($O122&lt;&gt;"",INDEX(LdgBankB,$O122),""))</f>
        <v/>
      </c>
      <c r="E122" s="24">
        <f>IF($N122&lt;&gt;"",IF(INDEX(PCCitrus,$N122)="","—",INDEX(PCCitrus,$N122)),"")</f>
        <v/>
      </c>
      <c r="F122" s="25">
        <f>IF($N122&lt;&gt;"",IF(INDEX(PCScale,$N122)=0,"",INDEX(PCScale,$N122)),"")</f>
        <v/>
      </c>
      <c r="G122" s="25">
        <f>IF($N122&lt;&gt;"",IF(INDEX(PCBaskets,$N122)=0,"",INDEX(PCBaskets,$N122)),"")</f>
        <v/>
      </c>
      <c r="H122" s="26">
        <f>IF($N122&lt;&gt;"",IF(INDEX(PCNet,$N122)=0,"",INDEX(PCNet,$N122)),"")</f>
        <v/>
      </c>
      <c r="I122" s="25">
        <f>IF($N122&lt;&gt;"",IF(INDEX(PCOp,$N122)="مرجوعی خرید","",IF(INDEX(PCAmount,$N122)&lt;=0,"",INDEX(PCAmount,$N122))),IF($O122&lt;&gt;"",IF(INDEX(TxnDepB,$O122)=0,"",INDEX(TxnDepB,$O122)),""))</f>
        <v/>
      </c>
      <c r="J122" s="25">
        <f>IF($N122&lt;&gt;"",IF(INDEX(PCOp,$N122)="مرجوعی خرید",IF(INDEX(PCAmount,$N122)=0,"",-INDEX(PCAmount,$N122)),""),IF($O122&lt;&gt;"",IF(INDEX(TxnWitB,$O122)=0,"",INDEX(TxnWitB,$O122)),""))</f>
        <v/>
      </c>
      <c r="K122" s="27">
        <f>IF($B122="","",IF($K121="",$C$10,$K121)+IF($I122="",0,$I122)-IF($J122="",0,$J122))</f>
        <v/>
      </c>
      <c r="L122" s="28">
        <f>IF($N122&lt;&gt;"",IF(INDEX(PCNotes,$N122)="","—",INDEX(PCNotes,$N122)),IF($O122&lt;&gt;"",IF(INDEX(LdgNoteB,$O122)="","—",INDEX(LdgNoteB,$O122)),""))</f>
        <v/>
      </c>
      <c r="N122">
        <f>IFERROR(MATCH($C$5&amp;"|"&amp;RIGHT("000000"&amp;106,6),LdgRankKeyA,0),"")</f>
        <v/>
      </c>
      <c r="O122">
        <f>IFERROR(MATCH($C$5&amp;"|"&amp;RIGHT("000000"&amp;106,6),LdgRankKeyB,0),"")</f>
        <v/>
      </c>
    </row>
    <row r="123">
      <c r="A123" s="17" t="n">
        <v>107</v>
      </c>
      <c r="B123" s="18">
        <f>IF(AND($N123="",$O123=""),"",IF($N123&lt;&gt;"",INDEX(PCNormDate,$N123),INDEX(LdgDateB,$O123)))</f>
        <v/>
      </c>
      <c r="C123" s="18">
        <f>IF($N123&lt;&gt;"",INDEX(PCOp,$N123),IF($O123&lt;&gt;"",IF(N(INDEX(TxnDepB,$O123))&gt;0,"دریافت بانکی","پرداخت بانکی"),""))</f>
        <v/>
      </c>
      <c r="D123" s="18">
        <f>IF($N123&lt;&gt;"",IF(INDEX(PCDoc,$N123)="","—",INDEX(PCDoc,$N123)),IF($O123&lt;&gt;"",INDEX(LdgBankB,$O123),""))</f>
        <v/>
      </c>
      <c r="E123" s="18">
        <f>IF($N123&lt;&gt;"",IF(INDEX(PCCitrus,$N123)="","—",INDEX(PCCitrus,$N123)),"")</f>
        <v/>
      </c>
      <c r="F123" s="19">
        <f>IF($N123&lt;&gt;"",IF(INDEX(PCScale,$N123)=0,"",INDEX(PCScale,$N123)),"")</f>
        <v/>
      </c>
      <c r="G123" s="19">
        <f>IF($N123&lt;&gt;"",IF(INDEX(PCBaskets,$N123)=0,"",INDEX(PCBaskets,$N123)),"")</f>
        <v/>
      </c>
      <c r="H123" s="20">
        <f>IF($N123&lt;&gt;"",IF(INDEX(PCNet,$N123)=0,"",INDEX(PCNet,$N123)),"")</f>
        <v/>
      </c>
      <c r="I123" s="19">
        <f>IF($N123&lt;&gt;"",IF(INDEX(PCOp,$N123)="مرجوعی خرید","",IF(INDEX(PCAmount,$N123)&lt;=0,"",INDEX(PCAmount,$N123))),IF($O123&lt;&gt;"",IF(INDEX(TxnDepB,$O123)=0,"",INDEX(TxnDepB,$O123)),""))</f>
        <v/>
      </c>
      <c r="J123" s="19">
        <f>IF($N123&lt;&gt;"",IF(INDEX(PCOp,$N123)="مرجوعی خرید",IF(INDEX(PCAmount,$N123)=0,"",-INDEX(PCAmount,$N123)),""),IF($O123&lt;&gt;"",IF(INDEX(TxnWitB,$O123)=0,"",INDEX(TxnWitB,$O123)),""))</f>
        <v/>
      </c>
      <c r="K123" s="21">
        <f>IF($B123="","",IF($K122="",$C$10,$K122)+IF($I123="",0,$I123)-IF($J123="",0,$J123))</f>
        <v/>
      </c>
      <c r="L123" s="22">
        <f>IF($N123&lt;&gt;"",IF(INDEX(PCNotes,$N123)="","—",INDEX(PCNotes,$N123)),IF($O123&lt;&gt;"",IF(INDEX(LdgNoteB,$O123)="","—",INDEX(LdgNoteB,$O123)),""))</f>
        <v/>
      </c>
      <c r="N123">
        <f>IFERROR(MATCH($C$5&amp;"|"&amp;RIGHT("000000"&amp;107,6),LdgRankKeyA,0),"")</f>
        <v/>
      </c>
      <c r="O123">
        <f>IFERROR(MATCH($C$5&amp;"|"&amp;RIGHT("000000"&amp;107,6),LdgRankKeyB,0),"")</f>
        <v/>
      </c>
    </row>
    <row r="124">
      <c r="A124" s="23" t="n">
        <v>108</v>
      </c>
      <c r="B124" s="24">
        <f>IF(AND($N124="",$O124=""),"",IF($N124&lt;&gt;"",INDEX(PCNormDate,$N124),INDEX(LdgDateB,$O124)))</f>
        <v/>
      </c>
      <c r="C124" s="24">
        <f>IF($N124&lt;&gt;"",INDEX(PCOp,$N124),IF($O124&lt;&gt;"",IF(N(INDEX(TxnDepB,$O124))&gt;0,"دریافت بانکی","پرداخت بانکی"),""))</f>
        <v/>
      </c>
      <c r="D124" s="24">
        <f>IF($N124&lt;&gt;"",IF(INDEX(PCDoc,$N124)="","—",INDEX(PCDoc,$N124)),IF($O124&lt;&gt;"",INDEX(LdgBankB,$O124),""))</f>
        <v/>
      </c>
      <c r="E124" s="24">
        <f>IF($N124&lt;&gt;"",IF(INDEX(PCCitrus,$N124)="","—",INDEX(PCCitrus,$N124)),"")</f>
        <v/>
      </c>
      <c r="F124" s="25">
        <f>IF($N124&lt;&gt;"",IF(INDEX(PCScale,$N124)=0,"",INDEX(PCScale,$N124)),"")</f>
        <v/>
      </c>
      <c r="G124" s="25">
        <f>IF($N124&lt;&gt;"",IF(INDEX(PCBaskets,$N124)=0,"",INDEX(PCBaskets,$N124)),"")</f>
        <v/>
      </c>
      <c r="H124" s="26">
        <f>IF($N124&lt;&gt;"",IF(INDEX(PCNet,$N124)=0,"",INDEX(PCNet,$N124)),"")</f>
        <v/>
      </c>
      <c r="I124" s="25">
        <f>IF($N124&lt;&gt;"",IF(INDEX(PCOp,$N124)="مرجوعی خرید","",IF(INDEX(PCAmount,$N124)&lt;=0,"",INDEX(PCAmount,$N124))),IF($O124&lt;&gt;"",IF(INDEX(TxnDepB,$O124)=0,"",INDEX(TxnDepB,$O124)),""))</f>
        <v/>
      </c>
      <c r="J124" s="25">
        <f>IF($N124&lt;&gt;"",IF(INDEX(PCOp,$N124)="مرجوعی خرید",IF(INDEX(PCAmount,$N124)=0,"",-INDEX(PCAmount,$N124)),""),IF($O124&lt;&gt;"",IF(INDEX(TxnWitB,$O124)=0,"",INDEX(TxnWitB,$O124)),""))</f>
        <v/>
      </c>
      <c r="K124" s="27">
        <f>IF($B124="","",IF($K123="",$C$10,$K123)+IF($I124="",0,$I124)-IF($J124="",0,$J124))</f>
        <v/>
      </c>
      <c r="L124" s="28">
        <f>IF($N124&lt;&gt;"",IF(INDEX(PCNotes,$N124)="","—",INDEX(PCNotes,$N124)),IF($O124&lt;&gt;"",IF(INDEX(LdgNoteB,$O124)="","—",INDEX(LdgNoteB,$O124)),""))</f>
        <v/>
      </c>
      <c r="N124">
        <f>IFERROR(MATCH($C$5&amp;"|"&amp;RIGHT("000000"&amp;108,6),LdgRankKeyA,0),"")</f>
        <v/>
      </c>
      <c r="O124">
        <f>IFERROR(MATCH($C$5&amp;"|"&amp;RIGHT("000000"&amp;108,6),LdgRankKeyB,0),"")</f>
        <v/>
      </c>
    </row>
    <row r="125">
      <c r="A125" s="17" t="n">
        <v>109</v>
      </c>
      <c r="B125" s="18">
        <f>IF(AND($N125="",$O125=""),"",IF($N125&lt;&gt;"",INDEX(PCNormDate,$N125),INDEX(LdgDateB,$O125)))</f>
        <v/>
      </c>
      <c r="C125" s="18">
        <f>IF($N125&lt;&gt;"",INDEX(PCOp,$N125),IF($O125&lt;&gt;"",IF(N(INDEX(TxnDepB,$O125))&gt;0,"دریافت بانکی","پرداخت بانکی"),""))</f>
        <v/>
      </c>
      <c r="D125" s="18">
        <f>IF($N125&lt;&gt;"",IF(INDEX(PCDoc,$N125)="","—",INDEX(PCDoc,$N125)),IF($O125&lt;&gt;"",INDEX(LdgBankB,$O125),""))</f>
        <v/>
      </c>
      <c r="E125" s="18">
        <f>IF($N125&lt;&gt;"",IF(INDEX(PCCitrus,$N125)="","—",INDEX(PCCitrus,$N125)),"")</f>
        <v/>
      </c>
      <c r="F125" s="19">
        <f>IF($N125&lt;&gt;"",IF(INDEX(PCScale,$N125)=0,"",INDEX(PCScale,$N125)),"")</f>
        <v/>
      </c>
      <c r="G125" s="19">
        <f>IF($N125&lt;&gt;"",IF(INDEX(PCBaskets,$N125)=0,"",INDEX(PCBaskets,$N125)),"")</f>
        <v/>
      </c>
      <c r="H125" s="20">
        <f>IF($N125&lt;&gt;"",IF(INDEX(PCNet,$N125)=0,"",INDEX(PCNet,$N125)),"")</f>
        <v/>
      </c>
      <c r="I125" s="19">
        <f>IF($N125&lt;&gt;"",IF(INDEX(PCOp,$N125)="مرجوعی خرید","",IF(INDEX(PCAmount,$N125)&lt;=0,"",INDEX(PCAmount,$N125))),IF($O125&lt;&gt;"",IF(INDEX(TxnDepB,$O125)=0,"",INDEX(TxnDepB,$O125)),""))</f>
        <v/>
      </c>
      <c r="J125" s="19">
        <f>IF($N125&lt;&gt;"",IF(INDEX(PCOp,$N125)="مرجوعی خرید",IF(INDEX(PCAmount,$N125)=0,"",-INDEX(PCAmount,$N125)),""),IF($O125&lt;&gt;"",IF(INDEX(TxnWitB,$O125)=0,"",INDEX(TxnWitB,$O125)),""))</f>
        <v/>
      </c>
      <c r="K125" s="21">
        <f>IF($B125="","",IF($K124="",$C$10,$K124)+IF($I125="",0,$I125)-IF($J125="",0,$J125))</f>
        <v/>
      </c>
      <c r="L125" s="22">
        <f>IF($N125&lt;&gt;"",IF(INDEX(PCNotes,$N125)="","—",INDEX(PCNotes,$N125)),IF($O125&lt;&gt;"",IF(INDEX(LdgNoteB,$O125)="","—",INDEX(LdgNoteB,$O125)),""))</f>
        <v/>
      </c>
      <c r="N125">
        <f>IFERROR(MATCH($C$5&amp;"|"&amp;RIGHT("000000"&amp;109,6),LdgRankKeyA,0),"")</f>
        <v/>
      </c>
      <c r="O125">
        <f>IFERROR(MATCH($C$5&amp;"|"&amp;RIGHT("000000"&amp;109,6),LdgRankKeyB,0),"")</f>
        <v/>
      </c>
    </row>
    <row r="126">
      <c r="A126" s="23" t="n">
        <v>110</v>
      </c>
      <c r="B126" s="24">
        <f>IF(AND($N126="",$O126=""),"",IF($N126&lt;&gt;"",INDEX(PCNormDate,$N126),INDEX(LdgDateB,$O126)))</f>
        <v/>
      </c>
      <c r="C126" s="24">
        <f>IF($N126&lt;&gt;"",INDEX(PCOp,$N126),IF($O126&lt;&gt;"",IF(N(INDEX(TxnDepB,$O126))&gt;0,"دریافت بانکی","پرداخت بانکی"),""))</f>
        <v/>
      </c>
      <c r="D126" s="24">
        <f>IF($N126&lt;&gt;"",IF(INDEX(PCDoc,$N126)="","—",INDEX(PCDoc,$N126)),IF($O126&lt;&gt;"",INDEX(LdgBankB,$O126),""))</f>
        <v/>
      </c>
      <c r="E126" s="24">
        <f>IF($N126&lt;&gt;"",IF(INDEX(PCCitrus,$N126)="","—",INDEX(PCCitrus,$N126)),"")</f>
        <v/>
      </c>
      <c r="F126" s="25">
        <f>IF($N126&lt;&gt;"",IF(INDEX(PCScale,$N126)=0,"",INDEX(PCScale,$N126)),"")</f>
        <v/>
      </c>
      <c r="G126" s="25">
        <f>IF($N126&lt;&gt;"",IF(INDEX(PCBaskets,$N126)=0,"",INDEX(PCBaskets,$N126)),"")</f>
        <v/>
      </c>
      <c r="H126" s="26">
        <f>IF($N126&lt;&gt;"",IF(INDEX(PCNet,$N126)=0,"",INDEX(PCNet,$N126)),"")</f>
        <v/>
      </c>
      <c r="I126" s="25">
        <f>IF($N126&lt;&gt;"",IF(INDEX(PCOp,$N126)="مرجوعی خرید","",IF(INDEX(PCAmount,$N126)&lt;=0,"",INDEX(PCAmount,$N126))),IF($O126&lt;&gt;"",IF(INDEX(TxnDepB,$O126)=0,"",INDEX(TxnDepB,$O126)),""))</f>
        <v/>
      </c>
      <c r="J126" s="25">
        <f>IF($N126&lt;&gt;"",IF(INDEX(PCOp,$N126)="مرجوعی خرید",IF(INDEX(PCAmount,$N126)=0,"",-INDEX(PCAmount,$N126)),""),IF($O126&lt;&gt;"",IF(INDEX(TxnWitB,$O126)=0,"",INDEX(TxnWitB,$O126)),""))</f>
        <v/>
      </c>
      <c r="K126" s="27">
        <f>IF($B126="","",IF($K125="",$C$10,$K125)+IF($I126="",0,$I126)-IF($J126="",0,$J126))</f>
        <v/>
      </c>
      <c r="L126" s="28">
        <f>IF($N126&lt;&gt;"",IF(INDEX(PCNotes,$N126)="","—",INDEX(PCNotes,$N126)),IF($O126&lt;&gt;"",IF(INDEX(LdgNoteB,$O126)="","—",INDEX(LdgNoteB,$O126)),""))</f>
        <v/>
      </c>
      <c r="N126">
        <f>IFERROR(MATCH($C$5&amp;"|"&amp;RIGHT("000000"&amp;110,6),LdgRankKeyA,0),"")</f>
        <v/>
      </c>
      <c r="O126">
        <f>IFERROR(MATCH($C$5&amp;"|"&amp;RIGHT("000000"&amp;110,6),LdgRankKeyB,0),"")</f>
        <v/>
      </c>
    </row>
    <row r="127">
      <c r="A127" s="17" t="n">
        <v>111</v>
      </c>
      <c r="B127" s="18">
        <f>IF(AND($N127="",$O127=""),"",IF($N127&lt;&gt;"",INDEX(PCNormDate,$N127),INDEX(LdgDateB,$O127)))</f>
        <v/>
      </c>
      <c r="C127" s="18">
        <f>IF($N127&lt;&gt;"",INDEX(PCOp,$N127),IF($O127&lt;&gt;"",IF(N(INDEX(TxnDepB,$O127))&gt;0,"دریافت بانکی","پرداخت بانکی"),""))</f>
        <v/>
      </c>
      <c r="D127" s="18">
        <f>IF($N127&lt;&gt;"",IF(INDEX(PCDoc,$N127)="","—",INDEX(PCDoc,$N127)),IF($O127&lt;&gt;"",INDEX(LdgBankB,$O127),""))</f>
        <v/>
      </c>
      <c r="E127" s="18">
        <f>IF($N127&lt;&gt;"",IF(INDEX(PCCitrus,$N127)="","—",INDEX(PCCitrus,$N127)),"")</f>
        <v/>
      </c>
      <c r="F127" s="19">
        <f>IF($N127&lt;&gt;"",IF(INDEX(PCScale,$N127)=0,"",INDEX(PCScale,$N127)),"")</f>
        <v/>
      </c>
      <c r="G127" s="19">
        <f>IF($N127&lt;&gt;"",IF(INDEX(PCBaskets,$N127)=0,"",INDEX(PCBaskets,$N127)),"")</f>
        <v/>
      </c>
      <c r="H127" s="20">
        <f>IF($N127&lt;&gt;"",IF(INDEX(PCNet,$N127)=0,"",INDEX(PCNet,$N127)),"")</f>
        <v/>
      </c>
      <c r="I127" s="19">
        <f>IF($N127&lt;&gt;"",IF(INDEX(PCOp,$N127)="مرجوعی خرید","",IF(INDEX(PCAmount,$N127)&lt;=0,"",INDEX(PCAmount,$N127))),IF($O127&lt;&gt;"",IF(INDEX(TxnDepB,$O127)=0,"",INDEX(TxnDepB,$O127)),""))</f>
        <v/>
      </c>
      <c r="J127" s="19">
        <f>IF($N127&lt;&gt;"",IF(INDEX(PCOp,$N127)="مرجوعی خرید",IF(INDEX(PCAmount,$N127)=0,"",-INDEX(PCAmount,$N127)),""),IF($O127&lt;&gt;"",IF(INDEX(TxnWitB,$O127)=0,"",INDEX(TxnWitB,$O127)),""))</f>
        <v/>
      </c>
      <c r="K127" s="21">
        <f>IF($B127="","",IF($K126="",$C$10,$K126)+IF($I127="",0,$I127)-IF($J127="",0,$J127))</f>
        <v/>
      </c>
      <c r="L127" s="22">
        <f>IF($N127&lt;&gt;"",IF(INDEX(PCNotes,$N127)="","—",INDEX(PCNotes,$N127)),IF($O127&lt;&gt;"",IF(INDEX(LdgNoteB,$O127)="","—",INDEX(LdgNoteB,$O127)),""))</f>
        <v/>
      </c>
      <c r="N127">
        <f>IFERROR(MATCH($C$5&amp;"|"&amp;RIGHT("000000"&amp;111,6),LdgRankKeyA,0),"")</f>
        <v/>
      </c>
      <c r="O127">
        <f>IFERROR(MATCH($C$5&amp;"|"&amp;RIGHT("000000"&amp;111,6),LdgRankKeyB,0),"")</f>
        <v/>
      </c>
    </row>
    <row r="128">
      <c r="A128" s="23" t="n">
        <v>112</v>
      </c>
      <c r="B128" s="24">
        <f>IF(AND($N128="",$O128=""),"",IF($N128&lt;&gt;"",INDEX(PCNormDate,$N128),INDEX(LdgDateB,$O128)))</f>
        <v/>
      </c>
      <c r="C128" s="24">
        <f>IF($N128&lt;&gt;"",INDEX(PCOp,$N128),IF($O128&lt;&gt;"",IF(N(INDEX(TxnDepB,$O128))&gt;0,"دریافت بانکی","پرداخت بانکی"),""))</f>
        <v/>
      </c>
      <c r="D128" s="24">
        <f>IF($N128&lt;&gt;"",IF(INDEX(PCDoc,$N128)="","—",INDEX(PCDoc,$N128)),IF($O128&lt;&gt;"",INDEX(LdgBankB,$O128),""))</f>
        <v/>
      </c>
      <c r="E128" s="24">
        <f>IF($N128&lt;&gt;"",IF(INDEX(PCCitrus,$N128)="","—",INDEX(PCCitrus,$N128)),"")</f>
        <v/>
      </c>
      <c r="F128" s="25">
        <f>IF($N128&lt;&gt;"",IF(INDEX(PCScale,$N128)=0,"",INDEX(PCScale,$N128)),"")</f>
        <v/>
      </c>
      <c r="G128" s="25">
        <f>IF($N128&lt;&gt;"",IF(INDEX(PCBaskets,$N128)=0,"",INDEX(PCBaskets,$N128)),"")</f>
        <v/>
      </c>
      <c r="H128" s="26">
        <f>IF($N128&lt;&gt;"",IF(INDEX(PCNet,$N128)=0,"",INDEX(PCNet,$N128)),"")</f>
        <v/>
      </c>
      <c r="I128" s="25">
        <f>IF($N128&lt;&gt;"",IF(INDEX(PCOp,$N128)="مرجوعی خرید","",IF(INDEX(PCAmount,$N128)&lt;=0,"",INDEX(PCAmount,$N128))),IF($O128&lt;&gt;"",IF(INDEX(TxnDepB,$O128)=0,"",INDEX(TxnDepB,$O128)),""))</f>
        <v/>
      </c>
      <c r="J128" s="25">
        <f>IF($N128&lt;&gt;"",IF(INDEX(PCOp,$N128)="مرجوعی خرید",IF(INDEX(PCAmount,$N128)=0,"",-INDEX(PCAmount,$N128)),""),IF($O128&lt;&gt;"",IF(INDEX(TxnWitB,$O128)=0,"",INDEX(TxnWitB,$O128)),""))</f>
        <v/>
      </c>
      <c r="K128" s="27">
        <f>IF($B128="","",IF($K127="",$C$10,$K127)+IF($I128="",0,$I128)-IF($J128="",0,$J128))</f>
        <v/>
      </c>
      <c r="L128" s="28">
        <f>IF($N128&lt;&gt;"",IF(INDEX(PCNotes,$N128)="","—",INDEX(PCNotes,$N128)),IF($O128&lt;&gt;"",IF(INDEX(LdgNoteB,$O128)="","—",INDEX(LdgNoteB,$O128)),""))</f>
        <v/>
      </c>
      <c r="N128">
        <f>IFERROR(MATCH($C$5&amp;"|"&amp;RIGHT("000000"&amp;112,6),LdgRankKeyA,0),"")</f>
        <v/>
      </c>
      <c r="O128">
        <f>IFERROR(MATCH($C$5&amp;"|"&amp;RIGHT("000000"&amp;112,6),LdgRankKeyB,0),"")</f>
        <v/>
      </c>
    </row>
    <row r="129">
      <c r="A129" s="17" t="n">
        <v>113</v>
      </c>
      <c r="B129" s="18">
        <f>IF(AND($N129="",$O129=""),"",IF($N129&lt;&gt;"",INDEX(PCNormDate,$N129),INDEX(LdgDateB,$O129)))</f>
        <v/>
      </c>
      <c r="C129" s="18">
        <f>IF($N129&lt;&gt;"",INDEX(PCOp,$N129),IF($O129&lt;&gt;"",IF(N(INDEX(TxnDepB,$O129))&gt;0,"دریافت بانکی","پرداخت بانکی"),""))</f>
        <v/>
      </c>
      <c r="D129" s="18">
        <f>IF($N129&lt;&gt;"",IF(INDEX(PCDoc,$N129)="","—",INDEX(PCDoc,$N129)),IF($O129&lt;&gt;"",INDEX(LdgBankB,$O129),""))</f>
        <v/>
      </c>
      <c r="E129" s="18">
        <f>IF($N129&lt;&gt;"",IF(INDEX(PCCitrus,$N129)="","—",INDEX(PCCitrus,$N129)),"")</f>
        <v/>
      </c>
      <c r="F129" s="19">
        <f>IF($N129&lt;&gt;"",IF(INDEX(PCScale,$N129)=0,"",INDEX(PCScale,$N129)),"")</f>
        <v/>
      </c>
      <c r="G129" s="19">
        <f>IF($N129&lt;&gt;"",IF(INDEX(PCBaskets,$N129)=0,"",INDEX(PCBaskets,$N129)),"")</f>
        <v/>
      </c>
      <c r="H129" s="20">
        <f>IF($N129&lt;&gt;"",IF(INDEX(PCNet,$N129)=0,"",INDEX(PCNet,$N129)),"")</f>
        <v/>
      </c>
      <c r="I129" s="19">
        <f>IF($N129&lt;&gt;"",IF(INDEX(PCOp,$N129)="مرجوعی خرید","",IF(INDEX(PCAmount,$N129)&lt;=0,"",INDEX(PCAmount,$N129))),IF($O129&lt;&gt;"",IF(INDEX(TxnDepB,$O129)=0,"",INDEX(TxnDepB,$O129)),""))</f>
        <v/>
      </c>
      <c r="J129" s="19">
        <f>IF($N129&lt;&gt;"",IF(INDEX(PCOp,$N129)="مرجوعی خرید",IF(INDEX(PCAmount,$N129)=0,"",-INDEX(PCAmount,$N129)),""),IF($O129&lt;&gt;"",IF(INDEX(TxnWitB,$O129)=0,"",INDEX(TxnWitB,$O129)),""))</f>
        <v/>
      </c>
      <c r="K129" s="21">
        <f>IF($B129="","",IF($K128="",$C$10,$K128)+IF($I129="",0,$I129)-IF($J129="",0,$J129))</f>
        <v/>
      </c>
      <c r="L129" s="22">
        <f>IF($N129&lt;&gt;"",IF(INDEX(PCNotes,$N129)="","—",INDEX(PCNotes,$N129)),IF($O129&lt;&gt;"",IF(INDEX(LdgNoteB,$O129)="","—",INDEX(LdgNoteB,$O129)),""))</f>
        <v/>
      </c>
      <c r="N129">
        <f>IFERROR(MATCH($C$5&amp;"|"&amp;RIGHT("000000"&amp;113,6),LdgRankKeyA,0),"")</f>
        <v/>
      </c>
      <c r="O129">
        <f>IFERROR(MATCH($C$5&amp;"|"&amp;RIGHT("000000"&amp;113,6),LdgRankKeyB,0),"")</f>
        <v/>
      </c>
    </row>
    <row r="130">
      <c r="A130" s="23" t="n">
        <v>114</v>
      </c>
      <c r="B130" s="24">
        <f>IF(AND($N130="",$O130=""),"",IF($N130&lt;&gt;"",INDEX(PCNormDate,$N130),INDEX(LdgDateB,$O130)))</f>
        <v/>
      </c>
      <c r="C130" s="24">
        <f>IF($N130&lt;&gt;"",INDEX(PCOp,$N130),IF($O130&lt;&gt;"",IF(N(INDEX(TxnDepB,$O130))&gt;0,"دریافت بانکی","پرداخت بانکی"),""))</f>
        <v/>
      </c>
      <c r="D130" s="24">
        <f>IF($N130&lt;&gt;"",IF(INDEX(PCDoc,$N130)="","—",INDEX(PCDoc,$N130)),IF($O130&lt;&gt;"",INDEX(LdgBankB,$O130),""))</f>
        <v/>
      </c>
      <c r="E130" s="24">
        <f>IF($N130&lt;&gt;"",IF(INDEX(PCCitrus,$N130)="","—",INDEX(PCCitrus,$N130)),"")</f>
        <v/>
      </c>
      <c r="F130" s="25">
        <f>IF($N130&lt;&gt;"",IF(INDEX(PCScale,$N130)=0,"",INDEX(PCScale,$N130)),"")</f>
        <v/>
      </c>
      <c r="G130" s="25">
        <f>IF($N130&lt;&gt;"",IF(INDEX(PCBaskets,$N130)=0,"",INDEX(PCBaskets,$N130)),"")</f>
        <v/>
      </c>
      <c r="H130" s="26">
        <f>IF($N130&lt;&gt;"",IF(INDEX(PCNet,$N130)=0,"",INDEX(PCNet,$N130)),"")</f>
        <v/>
      </c>
      <c r="I130" s="25">
        <f>IF($N130&lt;&gt;"",IF(INDEX(PCOp,$N130)="مرجوعی خرید","",IF(INDEX(PCAmount,$N130)&lt;=0,"",INDEX(PCAmount,$N130))),IF($O130&lt;&gt;"",IF(INDEX(TxnDepB,$O130)=0,"",INDEX(TxnDepB,$O130)),""))</f>
        <v/>
      </c>
      <c r="J130" s="25">
        <f>IF($N130&lt;&gt;"",IF(INDEX(PCOp,$N130)="مرجوعی خرید",IF(INDEX(PCAmount,$N130)=0,"",-INDEX(PCAmount,$N130)),""),IF($O130&lt;&gt;"",IF(INDEX(TxnWitB,$O130)=0,"",INDEX(TxnWitB,$O130)),""))</f>
        <v/>
      </c>
      <c r="K130" s="27">
        <f>IF($B130="","",IF($K129="",$C$10,$K129)+IF($I130="",0,$I130)-IF($J130="",0,$J130))</f>
        <v/>
      </c>
      <c r="L130" s="28">
        <f>IF($N130&lt;&gt;"",IF(INDEX(PCNotes,$N130)="","—",INDEX(PCNotes,$N130)),IF($O130&lt;&gt;"",IF(INDEX(LdgNoteB,$O130)="","—",INDEX(LdgNoteB,$O130)),""))</f>
        <v/>
      </c>
      <c r="N130">
        <f>IFERROR(MATCH($C$5&amp;"|"&amp;RIGHT("000000"&amp;114,6),LdgRankKeyA,0),"")</f>
        <v/>
      </c>
      <c r="O130">
        <f>IFERROR(MATCH($C$5&amp;"|"&amp;RIGHT("000000"&amp;114,6),LdgRankKeyB,0),"")</f>
        <v/>
      </c>
    </row>
    <row r="131">
      <c r="A131" s="17" t="n">
        <v>115</v>
      </c>
      <c r="B131" s="18">
        <f>IF(AND($N131="",$O131=""),"",IF($N131&lt;&gt;"",INDEX(PCNormDate,$N131),INDEX(LdgDateB,$O131)))</f>
        <v/>
      </c>
      <c r="C131" s="18">
        <f>IF($N131&lt;&gt;"",INDEX(PCOp,$N131),IF($O131&lt;&gt;"",IF(N(INDEX(TxnDepB,$O131))&gt;0,"دریافت بانکی","پرداخت بانکی"),""))</f>
        <v/>
      </c>
      <c r="D131" s="18">
        <f>IF($N131&lt;&gt;"",IF(INDEX(PCDoc,$N131)="","—",INDEX(PCDoc,$N131)),IF($O131&lt;&gt;"",INDEX(LdgBankB,$O131),""))</f>
        <v/>
      </c>
      <c r="E131" s="18">
        <f>IF($N131&lt;&gt;"",IF(INDEX(PCCitrus,$N131)="","—",INDEX(PCCitrus,$N131)),"")</f>
        <v/>
      </c>
      <c r="F131" s="19">
        <f>IF($N131&lt;&gt;"",IF(INDEX(PCScale,$N131)=0,"",INDEX(PCScale,$N131)),"")</f>
        <v/>
      </c>
      <c r="G131" s="19">
        <f>IF($N131&lt;&gt;"",IF(INDEX(PCBaskets,$N131)=0,"",INDEX(PCBaskets,$N131)),"")</f>
        <v/>
      </c>
      <c r="H131" s="20">
        <f>IF($N131&lt;&gt;"",IF(INDEX(PCNet,$N131)=0,"",INDEX(PCNet,$N131)),"")</f>
        <v/>
      </c>
      <c r="I131" s="19">
        <f>IF($N131&lt;&gt;"",IF(INDEX(PCOp,$N131)="مرجوعی خرید","",IF(INDEX(PCAmount,$N131)&lt;=0,"",INDEX(PCAmount,$N131))),IF($O131&lt;&gt;"",IF(INDEX(TxnDepB,$O131)=0,"",INDEX(TxnDepB,$O131)),""))</f>
        <v/>
      </c>
      <c r="J131" s="19">
        <f>IF($N131&lt;&gt;"",IF(INDEX(PCOp,$N131)="مرجوعی خرید",IF(INDEX(PCAmount,$N131)=0,"",-INDEX(PCAmount,$N131)),""),IF($O131&lt;&gt;"",IF(INDEX(TxnWitB,$O131)=0,"",INDEX(TxnWitB,$O131)),""))</f>
        <v/>
      </c>
      <c r="K131" s="21">
        <f>IF($B131="","",IF($K130="",$C$10,$K130)+IF($I131="",0,$I131)-IF($J131="",0,$J131))</f>
        <v/>
      </c>
      <c r="L131" s="22">
        <f>IF($N131&lt;&gt;"",IF(INDEX(PCNotes,$N131)="","—",INDEX(PCNotes,$N131)),IF($O131&lt;&gt;"",IF(INDEX(LdgNoteB,$O131)="","—",INDEX(LdgNoteB,$O131)),""))</f>
        <v/>
      </c>
      <c r="N131">
        <f>IFERROR(MATCH($C$5&amp;"|"&amp;RIGHT("000000"&amp;115,6),LdgRankKeyA,0),"")</f>
        <v/>
      </c>
      <c r="O131">
        <f>IFERROR(MATCH($C$5&amp;"|"&amp;RIGHT("000000"&amp;115,6),LdgRankKeyB,0),"")</f>
        <v/>
      </c>
    </row>
    <row r="132">
      <c r="A132" s="23" t="n">
        <v>116</v>
      </c>
      <c r="B132" s="24">
        <f>IF(AND($N132="",$O132=""),"",IF($N132&lt;&gt;"",INDEX(PCNormDate,$N132),INDEX(LdgDateB,$O132)))</f>
        <v/>
      </c>
      <c r="C132" s="24">
        <f>IF($N132&lt;&gt;"",INDEX(PCOp,$N132),IF($O132&lt;&gt;"",IF(N(INDEX(TxnDepB,$O132))&gt;0,"دریافت بانکی","پرداخت بانکی"),""))</f>
        <v/>
      </c>
      <c r="D132" s="24">
        <f>IF($N132&lt;&gt;"",IF(INDEX(PCDoc,$N132)="","—",INDEX(PCDoc,$N132)),IF($O132&lt;&gt;"",INDEX(LdgBankB,$O132),""))</f>
        <v/>
      </c>
      <c r="E132" s="24">
        <f>IF($N132&lt;&gt;"",IF(INDEX(PCCitrus,$N132)="","—",INDEX(PCCitrus,$N132)),"")</f>
        <v/>
      </c>
      <c r="F132" s="25">
        <f>IF($N132&lt;&gt;"",IF(INDEX(PCScale,$N132)=0,"",INDEX(PCScale,$N132)),"")</f>
        <v/>
      </c>
      <c r="G132" s="25">
        <f>IF($N132&lt;&gt;"",IF(INDEX(PCBaskets,$N132)=0,"",INDEX(PCBaskets,$N132)),"")</f>
        <v/>
      </c>
      <c r="H132" s="26">
        <f>IF($N132&lt;&gt;"",IF(INDEX(PCNet,$N132)=0,"",INDEX(PCNet,$N132)),"")</f>
        <v/>
      </c>
      <c r="I132" s="25">
        <f>IF($N132&lt;&gt;"",IF(INDEX(PCOp,$N132)="مرجوعی خرید","",IF(INDEX(PCAmount,$N132)&lt;=0,"",INDEX(PCAmount,$N132))),IF($O132&lt;&gt;"",IF(INDEX(TxnDepB,$O132)=0,"",INDEX(TxnDepB,$O132)),""))</f>
        <v/>
      </c>
      <c r="J132" s="25">
        <f>IF($N132&lt;&gt;"",IF(INDEX(PCOp,$N132)="مرجوعی خرید",IF(INDEX(PCAmount,$N132)=0,"",-INDEX(PCAmount,$N132)),""),IF($O132&lt;&gt;"",IF(INDEX(TxnWitB,$O132)=0,"",INDEX(TxnWitB,$O132)),""))</f>
        <v/>
      </c>
      <c r="K132" s="27">
        <f>IF($B132="","",IF($K131="",$C$10,$K131)+IF($I132="",0,$I132)-IF($J132="",0,$J132))</f>
        <v/>
      </c>
      <c r="L132" s="28">
        <f>IF($N132&lt;&gt;"",IF(INDEX(PCNotes,$N132)="","—",INDEX(PCNotes,$N132)),IF($O132&lt;&gt;"",IF(INDEX(LdgNoteB,$O132)="","—",INDEX(LdgNoteB,$O132)),""))</f>
        <v/>
      </c>
      <c r="N132">
        <f>IFERROR(MATCH($C$5&amp;"|"&amp;RIGHT("000000"&amp;116,6),LdgRankKeyA,0),"")</f>
        <v/>
      </c>
      <c r="O132">
        <f>IFERROR(MATCH($C$5&amp;"|"&amp;RIGHT("000000"&amp;116,6),LdgRankKeyB,0),"")</f>
        <v/>
      </c>
    </row>
    <row r="133">
      <c r="A133" s="17" t="n">
        <v>117</v>
      </c>
      <c r="B133" s="18">
        <f>IF(AND($N133="",$O133=""),"",IF($N133&lt;&gt;"",INDEX(PCNormDate,$N133),INDEX(LdgDateB,$O133)))</f>
        <v/>
      </c>
      <c r="C133" s="18">
        <f>IF($N133&lt;&gt;"",INDEX(PCOp,$N133),IF($O133&lt;&gt;"",IF(N(INDEX(TxnDepB,$O133))&gt;0,"دریافت بانکی","پرداخت بانکی"),""))</f>
        <v/>
      </c>
      <c r="D133" s="18">
        <f>IF($N133&lt;&gt;"",IF(INDEX(PCDoc,$N133)="","—",INDEX(PCDoc,$N133)),IF($O133&lt;&gt;"",INDEX(LdgBankB,$O133),""))</f>
        <v/>
      </c>
      <c r="E133" s="18">
        <f>IF($N133&lt;&gt;"",IF(INDEX(PCCitrus,$N133)="","—",INDEX(PCCitrus,$N133)),"")</f>
        <v/>
      </c>
      <c r="F133" s="19">
        <f>IF($N133&lt;&gt;"",IF(INDEX(PCScale,$N133)=0,"",INDEX(PCScale,$N133)),"")</f>
        <v/>
      </c>
      <c r="G133" s="19">
        <f>IF($N133&lt;&gt;"",IF(INDEX(PCBaskets,$N133)=0,"",INDEX(PCBaskets,$N133)),"")</f>
        <v/>
      </c>
      <c r="H133" s="20">
        <f>IF($N133&lt;&gt;"",IF(INDEX(PCNet,$N133)=0,"",INDEX(PCNet,$N133)),"")</f>
        <v/>
      </c>
      <c r="I133" s="19">
        <f>IF($N133&lt;&gt;"",IF(INDEX(PCOp,$N133)="مرجوعی خرید","",IF(INDEX(PCAmount,$N133)&lt;=0,"",INDEX(PCAmount,$N133))),IF($O133&lt;&gt;"",IF(INDEX(TxnDepB,$O133)=0,"",INDEX(TxnDepB,$O133)),""))</f>
        <v/>
      </c>
      <c r="J133" s="19">
        <f>IF($N133&lt;&gt;"",IF(INDEX(PCOp,$N133)="مرجوعی خرید",IF(INDEX(PCAmount,$N133)=0,"",-INDEX(PCAmount,$N133)),""),IF($O133&lt;&gt;"",IF(INDEX(TxnWitB,$O133)=0,"",INDEX(TxnWitB,$O133)),""))</f>
        <v/>
      </c>
      <c r="K133" s="21">
        <f>IF($B133="","",IF($K132="",$C$10,$K132)+IF($I133="",0,$I133)-IF($J133="",0,$J133))</f>
        <v/>
      </c>
      <c r="L133" s="22">
        <f>IF($N133&lt;&gt;"",IF(INDEX(PCNotes,$N133)="","—",INDEX(PCNotes,$N133)),IF($O133&lt;&gt;"",IF(INDEX(LdgNoteB,$O133)="","—",INDEX(LdgNoteB,$O133)),""))</f>
        <v/>
      </c>
      <c r="N133">
        <f>IFERROR(MATCH($C$5&amp;"|"&amp;RIGHT("000000"&amp;117,6),LdgRankKeyA,0),"")</f>
        <v/>
      </c>
      <c r="O133">
        <f>IFERROR(MATCH($C$5&amp;"|"&amp;RIGHT("000000"&amp;117,6),LdgRankKeyB,0),"")</f>
        <v/>
      </c>
    </row>
    <row r="134">
      <c r="A134" s="23" t="n">
        <v>118</v>
      </c>
      <c r="B134" s="24">
        <f>IF(AND($N134="",$O134=""),"",IF($N134&lt;&gt;"",INDEX(PCNormDate,$N134),INDEX(LdgDateB,$O134)))</f>
        <v/>
      </c>
      <c r="C134" s="24">
        <f>IF($N134&lt;&gt;"",INDEX(PCOp,$N134),IF($O134&lt;&gt;"",IF(N(INDEX(TxnDepB,$O134))&gt;0,"دریافت بانکی","پرداخت بانکی"),""))</f>
        <v/>
      </c>
      <c r="D134" s="24">
        <f>IF($N134&lt;&gt;"",IF(INDEX(PCDoc,$N134)="","—",INDEX(PCDoc,$N134)),IF($O134&lt;&gt;"",INDEX(LdgBankB,$O134),""))</f>
        <v/>
      </c>
      <c r="E134" s="24">
        <f>IF($N134&lt;&gt;"",IF(INDEX(PCCitrus,$N134)="","—",INDEX(PCCitrus,$N134)),"")</f>
        <v/>
      </c>
      <c r="F134" s="25">
        <f>IF($N134&lt;&gt;"",IF(INDEX(PCScale,$N134)=0,"",INDEX(PCScale,$N134)),"")</f>
        <v/>
      </c>
      <c r="G134" s="25">
        <f>IF($N134&lt;&gt;"",IF(INDEX(PCBaskets,$N134)=0,"",INDEX(PCBaskets,$N134)),"")</f>
        <v/>
      </c>
      <c r="H134" s="26">
        <f>IF($N134&lt;&gt;"",IF(INDEX(PCNet,$N134)=0,"",INDEX(PCNet,$N134)),"")</f>
        <v/>
      </c>
      <c r="I134" s="25">
        <f>IF($N134&lt;&gt;"",IF(INDEX(PCOp,$N134)="مرجوعی خرید","",IF(INDEX(PCAmount,$N134)&lt;=0,"",INDEX(PCAmount,$N134))),IF($O134&lt;&gt;"",IF(INDEX(TxnDepB,$O134)=0,"",INDEX(TxnDepB,$O134)),""))</f>
        <v/>
      </c>
      <c r="J134" s="25">
        <f>IF($N134&lt;&gt;"",IF(INDEX(PCOp,$N134)="مرجوعی خرید",IF(INDEX(PCAmount,$N134)=0,"",-INDEX(PCAmount,$N134)),""),IF($O134&lt;&gt;"",IF(INDEX(TxnWitB,$O134)=0,"",INDEX(TxnWitB,$O134)),""))</f>
        <v/>
      </c>
      <c r="K134" s="27">
        <f>IF($B134="","",IF($K133="",$C$10,$K133)+IF($I134="",0,$I134)-IF($J134="",0,$J134))</f>
        <v/>
      </c>
      <c r="L134" s="28">
        <f>IF($N134&lt;&gt;"",IF(INDEX(PCNotes,$N134)="","—",INDEX(PCNotes,$N134)),IF($O134&lt;&gt;"",IF(INDEX(LdgNoteB,$O134)="","—",INDEX(LdgNoteB,$O134)),""))</f>
        <v/>
      </c>
      <c r="N134">
        <f>IFERROR(MATCH($C$5&amp;"|"&amp;RIGHT("000000"&amp;118,6),LdgRankKeyA,0),"")</f>
        <v/>
      </c>
      <c r="O134">
        <f>IFERROR(MATCH($C$5&amp;"|"&amp;RIGHT("000000"&amp;118,6),LdgRankKeyB,0),"")</f>
        <v/>
      </c>
    </row>
    <row r="135">
      <c r="A135" s="17" t="n">
        <v>119</v>
      </c>
      <c r="B135" s="18">
        <f>IF(AND($N135="",$O135=""),"",IF($N135&lt;&gt;"",INDEX(PCNormDate,$N135),INDEX(LdgDateB,$O135)))</f>
        <v/>
      </c>
      <c r="C135" s="18">
        <f>IF($N135&lt;&gt;"",INDEX(PCOp,$N135),IF($O135&lt;&gt;"",IF(N(INDEX(TxnDepB,$O135))&gt;0,"دریافت بانکی","پرداخت بانکی"),""))</f>
        <v/>
      </c>
      <c r="D135" s="18">
        <f>IF($N135&lt;&gt;"",IF(INDEX(PCDoc,$N135)="","—",INDEX(PCDoc,$N135)),IF($O135&lt;&gt;"",INDEX(LdgBankB,$O135),""))</f>
        <v/>
      </c>
      <c r="E135" s="18">
        <f>IF($N135&lt;&gt;"",IF(INDEX(PCCitrus,$N135)="","—",INDEX(PCCitrus,$N135)),"")</f>
        <v/>
      </c>
      <c r="F135" s="19">
        <f>IF($N135&lt;&gt;"",IF(INDEX(PCScale,$N135)=0,"",INDEX(PCScale,$N135)),"")</f>
        <v/>
      </c>
      <c r="G135" s="19">
        <f>IF($N135&lt;&gt;"",IF(INDEX(PCBaskets,$N135)=0,"",INDEX(PCBaskets,$N135)),"")</f>
        <v/>
      </c>
      <c r="H135" s="20">
        <f>IF($N135&lt;&gt;"",IF(INDEX(PCNet,$N135)=0,"",INDEX(PCNet,$N135)),"")</f>
        <v/>
      </c>
      <c r="I135" s="19">
        <f>IF($N135&lt;&gt;"",IF(INDEX(PCOp,$N135)="مرجوعی خرید","",IF(INDEX(PCAmount,$N135)&lt;=0,"",INDEX(PCAmount,$N135))),IF($O135&lt;&gt;"",IF(INDEX(TxnDepB,$O135)=0,"",INDEX(TxnDepB,$O135)),""))</f>
        <v/>
      </c>
      <c r="J135" s="19">
        <f>IF($N135&lt;&gt;"",IF(INDEX(PCOp,$N135)="مرجوعی خرید",IF(INDEX(PCAmount,$N135)=0,"",-INDEX(PCAmount,$N135)),""),IF($O135&lt;&gt;"",IF(INDEX(TxnWitB,$O135)=0,"",INDEX(TxnWitB,$O135)),""))</f>
        <v/>
      </c>
      <c r="K135" s="21">
        <f>IF($B135="","",IF($K134="",$C$10,$K134)+IF($I135="",0,$I135)-IF($J135="",0,$J135))</f>
        <v/>
      </c>
      <c r="L135" s="22">
        <f>IF($N135&lt;&gt;"",IF(INDEX(PCNotes,$N135)="","—",INDEX(PCNotes,$N135)),IF($O135&lt;&gt;"",IF(INDEX(LdgNoteB,$O135)="","—",INDEX(LdgNoteB,$O135)),""))</f>
        <v/>
      </c>
      <c r="N135">
        <f>IFERROR(MATCH($C$5&amp;"|"&amp;RIGHT("000000"&amp;119,6),LdgRankKeyA,0),"")</f>
        <v/>
      </c>
      <c r="O135">
        <f>IFERROR(MATCH($C$5&amp;"|"&amp;RIGHT("000000"&amp;119,6),LdgRankKeyB,0),"")</f>
        <v/>
      </c>
    </row>
    <row r="136">
      <c r="A136" s="23" t="n">
        <v>120</v>
      </c>
      <c r="B136" s="24">
        <f>IF(AND($N136="",$O136=""),"",IF($N136&lt;&gt;"",INDEX(PCNormDate,$N136),INDEX(LdgDateB,$O136)))</f>
        <v/>
      </c>
      <c r="C136" s="24">
        <f>IF($N136&lt;&gt;"",INDEX(PCOp,$N136),IF($O136&lt;&gt;"",IF(N(INDEX(TxnDepB,$O136))&gt;0,"دریافت بانکی","پرداخت بانکی"),""))</f>
        <v/>
      </c>
      <c r="D136" s="24">
        <f>IF($N136&lt;&gt;"",IF(INDEX(PCDoc,$N136)="","—",INDEX(PCDoc,$N136)),IF($O136&lt;&gt;"",INDEX(LdgBankB,$O136),""))</f>
        <v/>
      </c>
      <c r="E136" s="24">
        <f>IF($N136&lt;&gt;"",IF(INDEX(PCCitrus,$N136)="","—",INDEX(PCCitrus,$N136)),"")</f>
        <v/>
      </c>
      <c r="F136" s="25">
        <f>IF($N136&lt;&gt;"",IF(INDEX(PCScale,$N136)=0,"",INDEX(PCScale,$N136)),"")</f>
        <v/>
      </c>
      <c r="G136" s="25">
        <f>IF($N136&lt;&gt;"",IF(INDEX(PCBaskets,$N136)=0,"",INDEX(PCBaskets,$N136)),"")</f>
        <v/>
      </c>
      <c r="H136" s="26">
        <f>IF($N136&lt;&gt;"",IF(INDEX(PCNet,$N136)=0,"",INDEX(PCNet,$N136)),"")</f>
        <v/>
      </c>
      <c r="I136" s="25">
        <f>IF($N136&lt;&gt;"",IF(INDEX(PCOp,$N136)="مرجوعی خرید","",IF(INDEX(PCAmount,$N136)&lt;=0,"",INDEX(PCAmount,$N136))),IF($O136&lt;&gt;"",IF(INDEX(TxnDepB,$O136)=0,"",INDEX(TxnDepB,$O136)),""))</f>
        <v/>
      </c>
      <c r="J136" s="25">
        <f>IF($N136&lt;&gt;"",IF(INDEX(PCOp,$N136)="مرجوعی خرید",IF(INDEX(PCAmount,$N136)=0,"",-INDEX(PCAmount,$N136)),""),IF($O136&lt;&gt;"",IF(INDEX(TxnWitB,$O136)=0,"",INDEX(TxnWitB,$O136)),""))</f>
        <v/>
      </c>
      <c r="K136" s="27">
        <f>IF($B136="","",IF($K135="",$C$10,$K135)+IF($I136="",0,$I136)-IF($J136="",0,$J136))</f>
        <v/>
      </c>
      <c r="L136" s="28">
        <f>IF($N136&lt;&gt;"",IF(INDEX(PCNotes,$N136)="","—",INDEX(PCNotes,$N136)),IF($O136&lt;&gt;"",IF(INDEX(LdgNoteB,$O136)="","—",INDEX(LdgNoteB,$O136)),""))</f>
        <v/>
      </c>
      <c r="N136">
        <f>IFERROR(MATCH($C$5&amp;"|"&amp;RIGHT("000000"&amp;120,6),LdgRankKeyA,0),"")</f>
        <v/>
      </c>
      <c r="O136">
        <f>IFERROR(MATCH($C$5&amp;"|"&amp;RIGHT("000000"&amp;120,6),LdgRankKeyB,0),"")</f>
        <v/>
      </c>
    </row>
    <row r="137">
      <c r="A137" s="17" t="n">
        <v>121</v>
      </c>
      <c r="B137" s="18">
        <f>IF(AND($N137="",$O137=""),"",IF($N137&lt;&gt;"",INDEX(PCNormDate,$N137),INDEX(LdgDateB,$O137)))</f>
        <v/>
      </c>
      <c r="C137" s="18">
        <f>IF($N137&lt;&gt;"",INDEX(PCOp,$N137),IF($O137&lt;&gt;"",IF(N(INDEX(TxnDepB,$O137))&gt;0,"دریافت بانکی","پرداخت بانکی"),""))</f>
        <v/>
      </c>
      <c r="D137" s="18">
        <f>IF($N137&lt;&gt;"",IF(INDEX(PCDoc,$N137)="","—",INDEX(PCDoc,$N137)),IF($O137&lt;&gt;"",INDEX(LdgBankB,$O137),""))</f>
        <v/>
      </c>
      <c r="E137" s="18">
        <f>IF($N137&lt;&gt;"",IF(INDEX(PCCitrus,$N137)="","—",INDEX(PCCitrus,$N137)),"")</f>
        <v/>
      </c>
      <c r="F137" s="19">
        <f>IF($N137&lt;&gt;"",IF(INDEX(PCScale,$N137)=0,"",INDEX(PCScale,$N137)),"")</f>
        <v/>
      </c>
      <c r="G137" s="19">
        <f>IF($N137&lt;&gt;"",IF(INDEX(PCBaskets,$N137)=0,"",INDEX(PCBaskets,$N137)),"")</f>
        <v/>
      </c>
      <c r="H137" s="20">
        <f>IF($N137&lt;&gt;"",IF(INDEX(PCNet,$N137)=0,"",INDEX(PCNet,$N137)),"")</f>
        <v/>
      </c>
      <c r="I137" s="19">
        <f>IF($N137&lt;&gt;"",IF(INDEX(PCOp,$N137)="مرجوعی خرید","",IF(INDEX(PCAmount,$N137)&lt;=0,"",INDEX(PCAmount,$N137))),IF($O137&lt;&gt;"",IF(INDEX(TxnDepB,$O137)=0,"",INDEX(TxnDepB,$O137)),""))</f>
        <v/>
      </c>
      <c r="J137" s="19">
        <f>IF($N137&lt;&gt;"",IF(INDEX(PCOp,$N137)="مرجوعی خرید",IF(INDEX(PCAmount,$N137)=0,"",-INDEX(PCAmount,$N137)),""),IF($O137&lt;&gt;"",IF(INDEX(TxnWitB,$O137)=0,"",INDEX(TxnWitB,$O137)),""))</f>
        <v/>
      </c>
      <c r="K137" s="21">
        <f>IF($B137="","",IF($K136="",$C$10,$K136)+IF($I137="",0,$I137)-IF($J137="",0,$J137))</f>
        <v/>
      </c>
      <c r="L137" s="22">
        <f>IF($N137&lt;&gt;"",IF(INDEX(PCNotes,$N137)="","—",INDEX(PCNotes,$N137)),IF($O137&lt;&gt;"",IF(INDEX(LdgNoteB,$O137)="","—",INDEX(LdgNoteB,$O137)),""))</f>
        <v/>
      </c>
      <c r="N137">
        <f>IFERROR(MATCH($C$5&amp;"|"&amp;RIGHT("000000"&amp;121,6),LdgRankKeyA,0),"")</f>
        <v/>
      </c>
      <c r="O137">
        <f>IFERROR(MATCH($C$5&amp;"|"&amp;RIGHT("000000"&amp;121,6),LdgRankKeyB,0),"")</f>
        <v/>
      </c>
    </row>
    <row r="138">
      <c r="A138" s="23" t="n">
        <v>122</v>
      </c>
      <c r="B138" s="24">
        <f>IF(AND($N138="",$O138=""),"",IF($N138&lt;&gt;"",INDEX(PCNormDate,$N138),INDEX(LdgDateB,$O138)))</f>
        <v/>
      </c>
      <c r="C138" s="24">
        <f>IF($N138&lt;&gt;"",INDEX(PCOp,$N138),IF($O138&lt;&gt;"",IF(N(INDEX(TxnDepB,$O138))&gt;0,"دریافت بانکی","پرداخت بانکی"),""))</f>
        <v/>
      </c>
      <c r="D138" s="24">
        <f>IF($N138&lt;&gt;"",IF(INDEX(PCDoc,$N138)="","—",INDEX(PCDoc,$N138)),IF($O138&lt;&gt;"",INDEX(LdgBankB,$O138),""))</f>
        <v/>
      </c>
      <c r="E138" s="24">
        <f>IF($N138&lt;&gt;"",IF(INDEX(PCCitrus,$N138)="","—",INDEX(PCCitrus,$N138)),"")</f>
        <v/>
      </c>
      <c r="F138" s="25">
        <f>IF($N138&lt;&gt;"",IF(INDEX(PCScale,$N138)=0,"",INDEX(PCScale,$N138)),"")</f>
        <v/>
      </c>
      <c r="G138" s="25">
        <f>IF($N138&lt;&gt;"",IF(INDEX(PCBaskets,$N138)=0,"",INDEX(PCBaskets,$N138)),"")</f>
        <v/>
      </c>
      <c r="H138" s="26">
        <f>IF($N138&lt;&gt;"",IF(INDEX(PCNet,$N138)=0,"",INDEX(PCNet,$N138)),"")</f>
        <v/>
      </c>
      <c r="I138" s="25">
        <f>IF($N138&lt;&gt;"",IF(INDEX(PCOp,$N138)="مرجوعی خرید","",IF(INDEX(PCAmount,$N138)&lt;=0,"",INDEX(PCAmount,$N138))),IF($O138&lt;&gt;"",IF(INDEX(TxnDepB,$O138)=0,"",INDEX(TxnDepB,$O138)),""))</f>
        <v/>
      </c>
      <c r="J138" s="25">
        <f>IF($N138&lt;&gt;"",IF(INDEX(PCOp,$N138)="مرجوعی خرید",IF(INDEX(PCAmount,$N138)=0,"",-INDEX(PCAmount,$N138)),""),IF($O138&lt;&gt;"",IF(INDEX(TxnWitB,$O138)=0,"",INDEX(TxnWitB,$O138)),""))</f>
        <v/>
      </c>
      <c r="K138" s="27">
        <f>IF($B138="","",IF($K137="",$C$10,$K137)+IF($I138="",0,$I138)-IF($J138="",0,$J138))</f>
        <v/>
      </c>
      <c r="L138" s="28">
        <f>IF($N138&lt;&gt;"",IF(INDEX(PCNotes,$N138)="","—",INDEX(PCNotes,$N138)),IF($O138&lt;&gt;"",IF(INDEX(LdgNoteB,$O138)="","—",INDEX(LdgNoteB,$O138)),""))</f>
        <v/>
      </c>
      <c r="N138">
        <f>IFERROR(MATCH($C$5&amp;"|"&amp;RIGHT("000000"&amp;122,6),LdgRankKeyA,0),"")</f>
        <v/>
      </c>
      <c r="O138">
        <f>IFERROR(MATCH($C$5&amp;"|"&amp;RIGHT("000000"&amp;122,6),LdgRankKeyB,0),"")</f>
        <v/>
      </c>
    </row>
    <row r="139">
      <c r="A139" s="17" t="n">
        <v>123</v>
      </c>
      <c r="B139" s="18">
        <f>IF(AND($N139="",$O139=""),"",IF($N139&lt;&gt;"",INDEX(PCNormDate,$N139),INDEX(LdgDateB,$O139)))</f>
        <v/>
      </c>
      <c r="C139" s="18">
        <f>IF($N139&lt;&gt;"",INDEX(PCOp,$N139),IF($O139&lt;&gt;"",IF(N(INDEX(TxnDepB,$O139))&gt;0,"دریافت بانکی","پرداخت بانکی"),""))</f>
        <v/>
      </c>
      <c r="D139" s="18">
        <f>IF($N139&lt;&gt;"",IF(INDEX(PCDoc,$N139)="","—",INDEX(PCDoc,$N139)),IF($O139&lt;&gt;"",INDEX(LdgBankB,$O139),""))</f>
        <v/>
      </c>
      <c r="E139" s="18">
        <f>IF($N139&lt;&gt;"",IF(INDEX(PCCitrus,$N139)="","—",INDEX(PCCitrus,$N139)),"")</f>
        <v/>
      </c>
      <c r="F139" s="19">
        <f>IF($N139&lt;&gt;"",IF(INDEX(PCScale,$N139)=0,"",INDEX(PCScale,$N139)),"")</f>
        <v/>
      </c>
      <c r="G139" s="19">
        <f>IF($N139&lt;&gt;"",IF(INDEX(PCBaskets,$N139)=0,"",INDEX(PCBaskets,$N139)),"")</f>
        <v/>
      </c>
      <c r="H139" s="20">
        <f>IF($N139&lt;&gt;"",IF(INDEX(PCNet,$N139)=0,"",INDEX(PCNet,$N139)),"")</f>
        <v/>
      </c>
      <c r="I139" s="19">
        <f>IF($N139&lt;&gt;"",IF(INDEX(PCOp,$N139)="مرجوعی خرید","",IF(INDEX(PCAmount,$N139)&lt;=0,"",INDEX(PCAmount,$N139))),IF($O139&lt;&gt;"",IF(INDEX(TxnDepB,$O139)=0,"",INDEX(TxnDepB,$O139)),""))</f>
        <v/>
      </c>
      <c r="J139" s="19">
        <f>IF($N139&lt;&gt;"",IF(INDEX(PCOp,$N139)="مرجوعی خرید",IF(INDEX(PCAmount,$N139)=0,"",-INDEX(PCAmount,$N139)),""),IF($O139&lt;&gt;"",IF(INDEX(TxnWitB,$O139)=0,"",INDEX(TxnWitB,$O139)),""))</f>
        <v/>
      </c>
      <c r="K139" s="21">
        <f>IF($B139="","",IF($K138="",$C$10,$K138)+IF($I139="",0,$I139)-IF($J139="",0,$J139))</f>
        <v/>
      </c>
      <c r="L139" s="22">
        <f>IF($N139&lt;&gt;"",IF(INDEX(PCNotes,$N139)="","—",INDEX(PCNotes,$N139)),IF($O139&lt;&gt;"",IF(INDEX(LdgNoteB,$O139)="","—",INDEX(LdgNoteB,$O139)),""))</f>
        <v/>
      </c>
      <c r="N139">
        <f>IFERROR(MATCH($C$5&amp;"|"&amp;RIGHT("000000"&amp;123,6),LdgRankKeyA,0),"")</f>
        <v/>
      </c>
      <c r="O139">
        <f>IFERROR(MATCH($C$5&amp;"|"&amp;RIGHT("000000"&amp;123,6),LdgRankKeyB,0),"")</f>
        <v/>
      </c>
    </row>
    <row r="140">
      <c r="A140" s="23" t="n">
        <v>124</v>
      </c>
      <c r="B140" s="24">
        <f>IF(AND($N140="",$O140=""),"",IF($N140&lt;&gt;"",INDEX(PCNormDate,$N140),INDEX(LdgDateB,$O140)))</f>
        <v/>
      </c>
      <c r="C140" s="24">
        <f>IF($N140&lt;&gt;"",INDEX(PCOp,$N140),IF($O140&lt;&gt;"",IF(N(INDEX(TxnDepB,$O140))&gt;0,"دریافت بانکی","پرداخت بانکی"),""))</f>
        <v/>
      </c>
      <c r="D140" s="24">
        <f>IF($N140&lt;&gt;"",IF(INDEX(PCDoc,$N140)="","—",INDEX(PCDoc,$N140)),IF($O140&lt;&gt;"",INDEX(LdgBankB,$O140),""))</f>
        <v/>
      </c>
      <c r="E140" s="24">
        <f>IF($N140&lt;&gt;"",IF(INDEX(PCCitrus,$N140)="","—",INDEX(PCCitrus,$N140)),"")</f>
        <v/>
      </c>
      <c r="F140" s="25">
        <f>IF($N140&lt;&gt;"",IF(INDEX(PCScale,$N140)=0,"",INDEX(PCScale,$N140)),"")</f>
        <v/>
      </c>
      <c r="G140" s="25">
        <f>IF($N140&lt;&gt;"",IF(INDEX(PCBaskets,$N140)=0,"",INDEX(PCBaskets,$N140)),"")</f>
        <v/>
      </c>
      <c r="H140" s="26">
        <f>IF($N140&lt;&gt;"",IF(INDEX(PCNet,$N140)=0,"",INDEX(PCNet,$N140)),"")</f>
        <v/>
      </c>
      <c r="I140" s="25">
        <f>IF($N140&lt;&gt;"",IF(INDEX(PCOp,$N140)="مرجوعی خرید","",IF(INDEX(PCAmount,$N140)&lt;=0,"",INDEX(PCAmount,$N140))),IF($O140&lt;&gt;"",IF(INDEX(TxnDepB,$O140)=0,"",INDEX(TxnDepB,$O140)),""))</f>
        <v/>
      </c>
      <c r="J140" s="25">
        <f>IF($N140&lt;&gt;"",IF(INDEX(PCOp,$N140)="مرجوعی خرید",IF(INDEX(PCAmount,$N140)=0,"",-INDEX(PCAmount,$N140)),""),IF($O140&lt;&gt;"",IF(INDEX(TxnWitB,$O140)=0,"",INDEX(TxnWitB,$O140)),""))</f>
        <v/>
      </c>
      <c r="K140" s="27">
        <f>IF($B140="","",IF($K139="",$C$10,$K139)+IF($I140="",0,$I140)-IF($J140="",0,$J140))</f>
        <v/>
      </c>
      <c r="L140" s="28">
        <f>IF($N140&lt;&gt;"",IF(INDEX(PCNotes,$N140)="","—",INDEX(PCNotes,$N140)),IF($O140&lt;&gt;"",IF(INDEX(LdgNoteB,$O140)="","—",INDEX(LdgNoteB,$O140)),""))</f>
        <v/>
      </c>
      <c r="N140">
        <f>IFERROR(MATCH($C$5&amp;"|"&amp;RIGHT("000000"&amp;124,6),LdgRankKeyA,0),"")</f>
        <v/>
      </c>
      <c r="O140">
        <f>IFERROR(MATCH($C$5&amp;"|"&amp;RIGHT("000000"&amp;124,6),LdgRankKeyB,0),"")</f>
        <v/>
      </c>
    </row>
    <row r="141">
      <c r="A141" s="17" t="n">
        <v>125</v>
      </c>
      <c r="B141" s="18">
        <f>IF(AND($N141="",$O141=""),"",IF($N141&lt;&gt;"",INDEX(PCNormDate,$N141),INDEX(LdgDateB,$O141)))</f>
        <v/>
      </c>
      <c r="C141" s="18">
        <f>IF($N141&lt;&gt;"",INDEX(PCOp,$N141),IF($O141&lt;&gt;"",IF(N(INDEX(TxnDepB,$O141))&gt;0,"دریافت بانکی","پرداخت بانکی"),""))</f>
        <v/>
      </c>
      <c r="D141" s="18">
        <f>IF($N141&lt;&gt;"",IF(INDEX(PCDoc,$N141)="","—",INDEX(PCDoc,$N141)),IF($O141&lt;&gt;"",INDEX(LdgBankB,$O141),""))</f>
        <v/>
      </c>
      <c r="E141" s="18">
        <f>IF($N141&lt;&gt;"",IF(INDEX(PCCitrus,$N141)="","—",INDEX(PCCitrus,$N141)),"")</f>
        <v/>
      </c>
      <c r="F141" s="19">
        <f>IF($N141&lt;&gt;"",IF(INDEX(PCScale,$N141)=0,"",INDEX(PCScale,$N141)),"")</f>
        <v/>
      </c>
      <c r="G141" s="19">
        <f>IF($N141&lt;&gt;"",IF(INDEX(PCBaskets,$N141)=0,"",INDEX(PCBaskets,$N141)),"")</f>
        <v/>
      </c>
      <c r="H141" s="20">
        <f>IF($N141&lt;&gt;"",IF(INDEX(PCNet,$N141)=0,"",INDEX(PCNet,$N141)),"")</f>
        <v/>
      </c>
      <c r="I141" s="19">
        <f>IF($N141&lt;&gt;"",IF(INDEX(PCOp,$N141)="مرجوعی خرید","",IF(INDEX(PCAmount,$N141)&lt;=0,"",INDEX(PCAmount,$N141))),IF($O141&lt;&gt;"",IF(INDEX(TxnDepB,$O141)=0,"",INDEX(TxnDepB,$O141)),""))</f>
        <v/>
      </c>
      <c r="J141" s="19">
        <f>IF($N141&lt;&gt;"",IF(INDEX(PCOp,$N141)="مرجوعی خرید",IF(INDEX(PCAmount,$N141)=0,"",-INDEX(PCAmount,$N141)),""),IF($O141&lt;&gt;"",IF(INDEX(TxnWitB,$O141)=0,"",INDEX(TxnWitB,$O141)),""))</f>
        <v/>
      </c>
      <c r="K141" s="21">
        <f>IF($B141="","",IF($K140="",$C$10,$K140)+IF($I141="",0,$I141)-IF($J141="",0,$J141))</f>
        <v/>
      </c>
      <c r="L141" s="22">
        <f>IF($N141&lt;&gt;"",IF(INDEX(PCNotes,$N141)="","—",INDEX(PCNotes,$N141)),IF($O141&lt;&gt;"",IF(INDEX(LdgNoteB,$O141)="","—",INDEX(LdgNoteB,$O141)),""))</f>
        <v/>
      </c>
      <c r="N141">
        <f>IFERROR(MATCH($C$5&amp;"|"&amp;RIGHT("000000"&amp;125,6),LdgRankKeyA,0),"")</f>
        <v/>
      </c>
      <c r="O141">
        <f>IFERROR(MATCH($C$5&amp;"|"&amp;RIGHT("000000"&amp;125,6),LdgRankKeyB,0),"")</f>
        <v/>
      </c>
    </row>
    <row r="142">
      <c r="A142" s="23" t="n">
        <v>126</v>
      </c>
      <c r="B142" s="24">
        <f>IF(AND($N142="",$O142=""),"",IF($N142&lt;&gt;"",INDEX(PCNormDate,$N142),INDEX(LdgDateB,$O142)))</f>
        <v/>
      </c>
      <c r="C142" s="24">
        <f>IF($N142&lt;&gt;"",INDEX(PCOp,$N142),IF($O142&lt;&gt;"",IF(N(INDEX(TxnDepB,$O142))&gt;0,"دریافت بانکی","پرداخت بانکی"),""))</f>
        <v/>
      </c>
      <c r="D142" s="24">
        <f>IF($N142&lt;&gt;"",IF(INDEX(PCDoc,$N142)="","—",INDEX(PCDoc,$N142)),IF($O142&lt;&gt;"",INDEX(LdgBankB,$O142),""))</f>
        <v/>
      </c>
      <c r="E142" s="24">
        <f>IF($N142&lt;&gt;"",IF(INDEX(PCCitrus,$N142)="","—",INDEX(PCCitrus,$N142)),"")</f>
        <v/>
      </c>
      <c r="F142" s="25">
        <f>IF($N142&lt;&gt;"",IF(INDEX(PCScale,$N142)=0,"",INDEX(PCScale,$N142)),"")</f>
        <v/>
      </c>
      <c r="G142" s="25">
        <f>IF($N142&lt;&gt;"",IF(INDEX(PCBaskets,$N142)=0,"",INDEX(PCBaskets,$N142)),"")</f>
        <v/>
      </c>
      <c r="H142" s="26">
        <f>IF($N142&lt;&gt;"",IF(INDEX(PCNet,$N142)=0,"",INDEX(PCNet,$N142)),"")</f>
        <v/>
      </c>
      <c r="I142" s="25">
        <f>IF($N142&lt;&gt;"",IF(INDEX(PCOp,$N142)="مرجوعی خرید","",IF(INDEX(PCAmount,$N142)&lt;=0,"",INDEX(PCAmount,$N142))),IF($O142&lt;&gt;"",IF(INDEX(TxnDepB,$O142)=0,"",INDEX(TxnDepB,$O142)),""))</f>
        <v/>
      </c>
      <c r="J142" s="25">
        <f>IF($N142&lt;&gt;"",IF(INDEX(PCOp,$N142)="مرجوعی خرید",IF(INDEX(PCAmount,$N142)=0,"",-INDEX(PCAmount,$N142)),""),IF($O142&lt;&gt;"",IF(INDEX(TxnWitB,$O142)=0,"",INDEX(TxnWitB,$O142)),""))</f>
        <v/>
      </c>
      <c r="K142" s="27">
        <f>IF($B142="","",IF($K141="",$C$10,$K141)+IF($I142="",0,$I142)-IF($J142="",0,$J142))</f>
        <v/>
      </c>
      <c r="L142" s="28">
        <f>IF($N142&lt;&gt;"",IF(INDEX(PCNotes,$N142)="","—",INDEX(PCNotes,$N142)),IF($O142&lt;&gt;"",IF(INDEX(LdgNoteB,$O142)="","—",INDEX(LdgNoteB,$O142)),""))</f>
        <v/>
      </c>
      <c r="N142">
        <f>IFERROR(MATCH($C$5&amp;"|"&amp;RIGHT("000000"&amp;126,6),LdgRankKeyA,0),"")</f>
        <v/>
      </c>
      <c r="O142">
        <f>IFERROR(MATCH($C$5&amp;"|"&amp;RIGHT("000000"&amp;126,6),LdgRankKeyB,0),"")</f>
        <v/>
      </c>
    </row>
    <row r="143">
      <c r="A143" s="17" t="n">
        <v>127</v>
      </c>
      <c r="B143" s="18">
        <f>IF(AND($N143="",$O143=""),"",IF($N143&lt;&gt;"",INDEX(PCNormDate,$N143),INDEX(LdgDateB,$O143)))</f>
        <v/>
      </c>
      <c r="C143" s="18">
        <f>IF($N143&lt;&gt;"",INDEX(PCOp,$N143),IF($O143&lt;&gt;"",IF(N(INDEX(TxnDepB,$O143))&gt;0,"دریافت بانکی","پرداخت بانکی"),""))</f>
        <v/>
      </c>
      <c r="D143" s="18">
        <f>IF($N143&lt;&gt;"",IF(INDEX(PCDoc,$N143)="","—",INDEX(PCDoc,$N143)),IF($O143&lt;&gt;"",INDEX(LdgBankB,$O143),""))</f>
        <v/>
      </c>
      <c r="E143" s="18">
        <f>IF($N143&lt;&gt;"",IF(INDEX(PCCitrus,$N143)="","—",INDEX(PCCitrus,$N143)),"")</f>
        <v/>
      </c>
      <c r="F143" s="19">
        <f>IF($N143&lt;&gt;"",IF(INDEX(PCScale,$N143)=0,"",INDEX(PCScale,$N143)),"")</f>
        <v/>
      </c>
      <c r="G143" s="19">
        <f>IF($N143&lt;&gt;"",IF(INDEX(PCBaskets,$N143)=0,"",INDEX(PCBaskets,$N143)),"")</f>
        <v/>
      </c>
      <c r="H143" s="20">
        <f>IF($N143&lt;&gt;"",IF(INDEX(PCNet,$N143)=0,"",INDEX(PCNet,$N143)),"")</f>
        <v/>
      </c>
      <c r="I143" s="19">
        <f>IF($N143&lt;&gt;"",IF(INDEX(PCOp,$N143)="مرجوعی خرید","",IF(INDEX(PCAmount,$N143)&lt;=0,"",INDEX(PCAmount,$N143))),IF($O143&lt;&gt;"",IF(INDEX(TxnDepB,$O143)=0,"",INDEX(TxnDepB,$O143)),""))</f>
        <v/>
      </c>
      <c r="J143" s="19">
        <f>IF($N143&lt;&gt;"",IF(INDEX(PCOp,$N143)="مرجوعی خرید",IF(INDEX(PCAmount,$N143)=0,"",-INDEX(PCAmount,$N143)),""),IF($O143&lt;&gt;"",IF(INDEX(TxnWitB,$O143)=0,"",INDEX(TxnWitB,$O143)),""))</f>
        <v/>
      </c>
      <c r="K143" s="21">
        <f>IF($B143="","",IF($K142="",$C$10,$K142)+IF($I143="",0,$I143)-IF($J143="",0,$J143))</f>
        <v/>
      </c>
      <c r="L143" s="22">
        <f>IF($N143&lt;&gt;"",IF(INDEX(PCNotes,$N143)="","—",INDEX(PCNotes,$N143)),IF($O143&lt;&gt;"",IF(INDEX(LdgNoteB,$O143)="","—",INDEX(LdgNoteB,$O143)),""))</f>
        <v/>
      </c>
      <c r="N143">
        <f>IFERROR(MATCH($C$5&amp;"|"&amp;RIGHT("000000"&amp;127,6),LdgRankKeyA,0),"")</f>
        <v/>
      </c>
      <c r="O143">
        <f>IFERROR(MATCH($C$5&amp;"|"&amp;RIGHT("000000"&amp;127,6),LdgRankKeyB,0),"")</f>
        <v/>
      </c>
    </row>
    <row r="144">
      <c r="A144" s="23" t="n">
        <v>128</v>
      </c>
      <c r="B144" s="24">
        <f>IF(AND($N144="",$O144=""),"",IF($N144&lt;&gt;"",INDEX(PCNormDate,$N144),INDEX(LdgDateB,$O144)))</f>
        <v/>
      </c>
      <c r="C144" s="24">
        <f>IF($N144&lt;&gt;"",INDEX(PCOp,$N144),IF($O144&lt;&gt;"",IF(N(INDEX(TxnDepB,$O144))&gt;0,"دریافت بانکی","پرداخت بانکی"),""))</f>
        <v/>
      </c>
      <c r="D144" s="24">
        <f>IF($N144&lt;&gt;"",IF(INDEX(PCDoc,$N144)="","—",INDEX(PCDoc,$N144)),IF($O144&lt;&gt;"",INDEX(LdgBankB,$O144),""))</f>
        <v/>
      </c>
      <c r="E144" s="24">
        <f>IF($N144&lt;&gt;"",IF(INDEX(PCCitrus,$N144)="","—",INDEX(PCCitrus,$N144)),"")</f>
        <v/>
      </c>
      <c r="F144" s="25">
        <f>IF($N144&lt;&gt;"",IF(INDEX(PCScale,$N144)=0,"",INDEX(PCScale,$N144)),"")</f>
        <v/>
      </c>
      <c r="G144" s="25">
        <f>IF($N144&lt;&gt;"",IF(INDEX(PCBaskets,$N144)=0,"",INDEX(PCBaskets,$N144)),"")</f>
        <v/>
      </c>
      <c r="H144" s="26">
        <f>IF($N144&lt;&gt;"",IF(INDEX(PCNet,$N144)=0,"",INDEX(PCNet,$N144)),"")</f>
        <v/>
      </c>
      <c r="I144" s="25">
        <f>IF($N144&lt;&gt;"",IF(INDEX(PCOp,$N144)="مرجوعی خرید","",IF(INDEX(PCAmount,$N144)&lt;=0,"",INDEX(PCAmount,$N144))),IF($O144&lt;&gt;"",IF(INDEX(TxnDepB,$O144)=0,"",INDEX(TxnDepB,$O144)),""))</f>
        <v/>
      </c>
      <c r="J144" s="25">
        <f>IF($N144&lt;&gt;"",IF(INDEX(PCOp,$N144)="مرجوعی خرید",IF(INDEX(PCAmount,$N144)=0,"",-INDEX(PCAmount,$N144)),""),IF($O144&lt;&gt;"",IF(INDEX(TxnWitB,$O144)=0,"",INDEX(TxnWitB,$O144)),""))</f>
        <v/>
      </c>
      <c r="K144" s="27">
        <f>IF($B144="","",IF($K143="",$C$10,$K143)+IF($I144="",0,$I144)-IF($J144="",0,$J144))</f>
        <v/>
      </c>
      <c r="L144" s="28">
        <f>IF($N144&lt;&gt;"",IF(INDEX(PCNotes,$N144)="","—",INDEX(PCNotes,$N144)),IF($O144&lt;&gt;"",IF(INDEX(LdgNoteB,$O144)="","—",INDEX(LdgNoteB,$O144)),""))</f>
        <v/>
      </c>
      <c r="N144">
        <f>IFERROR(MATCH($C$5&amp;"|"&amp;RIGHT("000000"&amp;128,6),LdgRankKeyA,0),"")</f>
        <v/>
      </c>
      <c r="O144">
        <f>IFERROR(MATCH($C$5&amp;"|"&amp;RIGHT("000000"&amp;128,6),LdgRankKeyB,0),"")</f>
        <v/>
      </c>
    </row>
    <row r="145">
      <c r="A145" s="17" t="n">
        <v>129</v>
      </c>
      <c r="B145" s="18">
        <f>IF(AND($N145="",$O145=""),"",IF($N145&lt;&gt;"",INDEX(PCNormDate,$N145),INDEX(LdgDateB,$O145)))</f>
        <v/>
      </c>
      <c r="C145" s="18">
        <f>IF($N145&lt;&gt;"",INDEX(PCOp,$N145),IF($O145&lt;&gt;"",IF(N(INDEX(TxnDepB,$O145))&gt;0,"دریافت بانکی","پرداخت بانکی"),""))</f>
        <v/>
      </c>
      <c r="D145" s="18">
        <f>IF($N145&lt;&gt;"",IF(INDEX(PCDoc,$N145)="","—",INDEX(PCDoc,$N145)),IF($O145&lt;&gt;"",INDEX(LdgBankB,$O145),""))</f>
        <v/>
      </c>
      <c r="E145" s="18">
        <f>IF($N145&lt;&gt;"",IF(INDEX(PCCitrus,$N145)="","—",INDEX(PCCitrus,$N145)),"")</f>
        <v/>
      </c>
      <c r="F145" s="19">
        <f>IF($N145&lt;&gt;"",IF(INDEX(PCScale,$N145)=0,"",INDEX(PCScale,$N145)),"")</f>
        <v/>
      </c>
      <c r="G145" s="19">
        <f>IF($N145&lt;&gt;"",IF(INDEX(PCBaskets,$N145)=0,"",INDEX(PCBaskets,$N145)),"")</f>
        <v/>
      </c>
      <c r="H145" s="20">
        <f>IF($N145&lt;&gt;"",IF(INDEX(PCNet,$N145)=0,"",INDEX(PCNet,$N145)),"")</f>
        <v/>
      </c>
      <c r="I145" s="19">
        <f>IF($N145&lt;&gt;"",IF(INDEX(PCOp,$N145)="مرجوعی خرید","",IF(INDEX(PCAmount,$N145)&lt;=0,"",INDEX(PCAmount,$N145))),IF($O145&lt;&gt;"",IF(INDEX(TxnDepB,$O145)=0,"",INDEX(TxnDepB,$O145)),""))</f>
        <v/>
      </c>
      <c r="J145" s="19">
        <f>IF($N145&lt;&gt;"",IF(INDEX(PCOp,$N145)="مرجوعی خرید",IF(INDEX(PCAmount,$N145)=0,"",-INDEX(PCAmount,$N145)),""),IF($O145&lt;&gt;"",IF(INDEX(TxnWitB,$O145)=0,"",INDEX(TxnWitB,$O145)),""))</f>
        <v/>
      </c>
      <c r="K145" s="21">
        <f>IF($B145="","",IF($K144="",$C$10,$K144)+IF($I145="",0,$I145)-IF($J145="",0,$J145))</f>
        <v/>
      </c>
      <c r="L145" s="22">
        <f>IF($N145&lt;&gt;"",IF(INDEX(PCNotes,$N145)="","—",INDEX(PCNotes,$N145)),IF($O145&lt;&gt;"",IF(INDEX(LdgNoteB,$O145)="","—",INDEX(LdgNoteB,$O145)),""))</f>
        <v/>
      </c>
      <c r="N145">
        <f>IFERROR(MATCH($C$5&amp;"|"&amp;RIGHT("000000"&amp;129,6),LdgRankKeyA,0),"")</f>
        <v/>
      </c>
      <c r="O145">
        <f>IFERROR(MATCH($C$5&amp;"|"&amp;RIGHT("000000"&amp;129,6),LdgRankKeyB,0),"")</f>
        <v/>
      </c>
    </row>
    <row r="146">
      <c r="A146" s="23" t="n">
        <v>130</v>
      </c>
      <c r="B146" s="24">
        <f>IF(AND($N146="",$O146=""),"",IF($N146&lt;&gt;"",INDEX(PCNormDate,$N146),INDEX(LdgDateB,$O146)))</f>
        <v/>
      </c>
      <c r="C146" s="24">
        <f>IF($N146&lt;&gt;"",INDEX(PCOp,$N146),IF($O146&lt;&gt;"",IF(N(INDEX(TxnDepB,$O146))&gt;0,"دریافت بانکی","پرداخت بانکی"),""))</f>
        <v/>
      </c>
      <c r="D146" s="24">
        <f>IF($N146&lt;&gt;"",IF(INDEX(PCDoc,$N146)="","—",INDEX(PCDoc,$N146)),IF($O146&lt;&gt;"",INDEX(LdgBankB,$O146),""))</f>
        <v/>
      </c>
      <c r="E146" s="24">
        <f>IF($N146&lt;&gt;"",IF(INDEX(PCCitrus,$N146)="","—",INDEX(PCCitrus,$N146)),"")</f>
        <v/>
      </c>
      <c r="F146" s="25">
        <f>IF($N146&lt;&gt;"",IF(INDEX(PCScale,$N146)=0,"",INDEX(PCScale,$N146)),"")</f>
        <v/>
      </c>
      <c r="G146" s="25">
        <f>IF($N146&lt;&gt;"",IF(INDEX(PCBaskets,$N146)=0,"",INDEX(PCBaskets,$N146)),"")</f>
        <v/>
      </c>
      <c r="H146" s="26">
        <f>IF($N146&lt;&gt;"",IF(INDEX(PCNet,$N146)=0,"",INDEX(PCNet,$N146)),"")</f>
        <v/>
      </c>
      <c r="I146" s="25">
        <f>IF($N146&lt;&gt;"",IF(INDEX(PCOp,$N146)="مرجوعی خرید","",IF(INDEX(PCAmount,$N146)&lt;=0,"",INDEX(PCAmount,$N146))),IF($O146&lt;&gt;"",IF(INDEX(TxnDepB,$O146)=0,"",INDEX(TxnDepB,$O146)),""))</f>
        <v/>
      </c>
      <c r="J146" s="25">
        <f>IF($N146&lt;&gt;"",IF(INDEX(PCOp,$N146)="مرجوعی خرید",IF(INDEX(PCAmount,$N146)=0,"",-INDEX(PCAmount,$N146)),""),IF($O146&lt;&gt;"",IF(INDEX(TxnWitB,$O146)=0,"",INDEX(TxnWitB,$O146)),""))</f>
        <v/>
      </c>
      <c r="K146" s="27">
        <f>IF($B146="","",IF($K145="",$C$10,$K145)+IF($I146="",0,$I146)-IF($J146="",0,$J146))</f>
        <v/>
      </c>
      <c r="L146" s="28">
        <f>IF($N146&lt;&gt;"",IF(INDEX(PCNotes,$N146)="","—",INDEX(PCNotes,$N146)),IF($O146&lt;&gt;"",IF(INDEX(LdgNoteB,$O146)="","—",INDEX(LdgNoteB,$O146)),""))</f>
        <v/>
      </c>
      <c r="N146">
        <f>IFERROR(MATCH($C$5&amp;"|"&amp;RIGHT("000000"&amp;130,6),LdgRankKeyA,0),"")</f>
        <v/>
      </c>
      <c r="O146">
        <f>IFERROR(MATCH($C$5&amp;"|"&amp;RIGHT("000000"&amp;130,6),LdgRankKeyB,0),"")</f>
        <v/>
      </c>
    </row>
    <row r="147">
      <c r="A147" s="17" t="n">
        <v>131</v>
      </c>
      <c r="B147" s="18">
        <f>IF(AND($N147="",$O147=""),"",IF($N147&lt;&gt;"",INDEX(PCNormDate,$N147),INDEX(LdgDateB,$O147)))</f>
        <v/>
      </c>
      <c r="C147" s="18">
        <f>IF($N147&lt;&gt;"",INDEX(PCOp,$N147),IF($O147&lt;&gt;"",IF(N(INDEX(TxnDepB,$O147))&gt;0,"دریافت بانکی","پرداخت بانکی"),""))</f>
        <v/>
      </c>
      <c r="D147" s="18">
        <f>IF($N147&lt;&gt;"",IF(INDEX(PCDoc,$N147)="","—",INDEX(PCDoc,$N147)),IF($O147&lt;&gt;"",INDEX(LdgBankB,$O147),""))</f>
        <v/>
      </c>
      <c r="E147" s="18">
        <f>IF($N147&lt;&gt;"",IF(INDEX(PCCitrus,$N147)="","—",INDEX(PCCitrus,$N147)),"")</f>
        <v/>
      </c>
      <c r="F147" s="19">
        <f>IF($N147&lt;&gt;"",IF(INDEX(PCScale,$N147)=0,"",INDEX(PCScale,$N147)),"")</f>
        <v/>
      </c>
      <c r="G147" s="19">
        <f>IF($N147&lt;&gt;"",IF(INDEX(PCBaskets,$N147)=0,"",INDEX(PCBaskets,$N147)),"")</f>
        <v/>
      </c>
      <c r="H147" s="20">
        <f>IF($N147&lt;&gt;"",IF(INDEX(PCNet,$N147)=0,"",INDEX(PCNet,$N147)),"")</f>
        <v/>
      </c>
      <c r="I147" s="19">
        <f>IF($N147&lt;&gt;"",IF(INDEX(PCOp,$N147)="مرجوعی خرید","",IF(INDEX(PCAmount,$N147)&lt;=0,"",INDEX(PCAmount,$N147))),IF($O147&lt;&gt;"",IF(INDEX(TxnDepB,$O147)=0,"",INDEX(TxnDepB,$O147)),""))</f>
        <v/>
      </c>
      <c r="J147" s="19">
        <f>IF($N147&lt;&gt;"",IF(INDEX(PCOp,$N147)="مرجوعی خرید",IF(INDEX(PCAmount,$N147)=0,"",-INDEX(PCAmount,$N147)),""),IF($O147&lt;&gt;"",IF(INDEX(TxnWitB,$O147)=0,"",INDEX(TxnWitB,$O147)),""))</f>
        <v/>
      </c>
      <c r="K147" s="21">
        <f>IF($B147="","",IF($K146="",$C$10,$K146)+IF($I147="",0,$I147)-IF($J147="",0,$J147))</f>
        <v/>
      </c>
      <c r="L147" s="22">
        <f>IF($N147&lt;&gt;"",IF(INDEX(PCNotes,$N147)="","—",INDEX(PCNotes,$N147)),IF($O147&lt;&gt;"",IF(INDEX(LdgNoteB,$O147)="","—",INDEX(LdgNoteB,$O147)),""))</f>
        <v/>
      </c>
      <c r="N147">
        <f>IFERROR(MATCH($C$5&amp;"|"&amp;RIGHT("000000"&amp;131,6),LdgRankKeyA,0),"")</f>
        <v/>
      </c>
      <c r="O147">
        <f>IFERROR(MATCH($C$5&amp;"|"&amp;RIGHT("000000"&amp;131,6),LdgRankKeyB,0),"")</f>
        <v/>
      </c>
    </row>
    <row r="148">
      <c r="A148" s="23" t="n">
        <v>132</v>
      </c>
      <c r="B148" s="24">
        <f>IF(AND($N148="",$O148=""),"",IF($N148&lt;&gt;"",INDEX(PCNormDate,$N148),INDEX(LdgDateB,$O148)))</f>
        <v/>
      </c>
      <c r="C148" s="24">
        <f>IF($N148&lt;&gt;"",INDEX(PCOp,$N148),IF($O148&lt;&gt;"",IF(N(INDEX(TxnDepB,$O148))&gt;0,"دریافت بانکی","پرداخت بانکی"),""))</f>
        <v/>
      </c>
      <c r="D148" s="24">
        <f>IF($N148&lt;&gt;"",IF(INDEX(PCDoc,$N148)="","—",INDEX(PCDoc,$N148)),IF($O148&lt;&gt;"",INDEX(LdgBankB,$O148),""))</f>
        <v/>
      </c>
      <c r="E148" s="24">
        <f>IF($N148&lt;&gt;"",IF(INDEX(PCCitrus,$N148)="","—",INDEX(PCCitrus,$N148)),"")</f>
        <v/>
      </c>
      <c r="F148" s="25">
        <f>IF($N148&lt;&gt;"",IF(INDEX(PCScale,$N148)=0,"",INDEX(PCScale,$N148)),"")</f>
        <v/>
      </c>
      <c r="G148" s="25">
        <f>IF($N148&lt;&gt;"",IF(INDEX(PCBaskets,$N148)=0,"",INDEX(PCBaskets,$N148)),"")</f>
        <v/>
      </c>
      <c r="H148" s="26">
        <f>IF($N148&lt;&gt;"",IF(INDEX(PCNet,$N148)=0,"",INDEX(PCNet,$N148)),"")</f>
        <v/>
      </c>
      <c r="I148" s="25">
        <f>IF($N148&lt;&gt;"",IF(INDEX(PCOp,$N148)="مرجوعی خرید","",IF(INDEX(PCAmount,$N148)&lt;=0,"",INDEX(PCAmount,$N148))),IF($O148&lt;&gt;"",IF(INDEX(TxnDepB,$O148)=0,"",INDEX(TxnDepB,$O148)),""))</f>
        <v/>
      </c>
      <c r="J148" s="25">
        <f>IF($N148&lt;&gt;"",IF(INDEX(PCOp,$N148)="مرجوعی خرید",IF(INDEX(PCAmount,$N148)=0,"",-INDEX(PCAmount,$N148)),""),IF($O148&lt;&gt;"",IF(INDEX(TxnWitB,$O148)=0,"",INDEX(TxnWitB,$O148)),""))</f>
        <v/>
      </c>
      <c r="K148" s="27">
        <f>IF($B148="","",IF($K147="",$C$10,$K147)+IF($I148="",0,$I148)-IF($J148="",0,$J148))</f>
        <v/>
      </c>
      <c r="L148" s="28">
        <f>IF($N148&lt;&gt;"",IF(INDEX(PCNotes,$N148)="","—",INDEX(PCNotes,$N148)),IF($O148&lt;&gt;"",IF(INDEX(LdgNoteB,$O148)="","—",INDEX(LdgNoteB,$O148)),""))</f>
        <v/>
      </c>
      <c r="N148">
        <f>IFERROR(MATCH($C$5&amp;"|"&amp;RIGHT("000000"&amp;132,6),LdgRankKeyA,0),"")</f>
        <v/>
      </c>
      <c r="O148">
        <f>IFERROR(MATCH($C$5&amp;"|"&amp;RIGHT("000000"&amp;132,6),LdgRankKeyB,0),"")</f>
        <v/>
      </c>
    </row>
    <row r="149">
      <c r="A149" s="17" t="n">
        <v>133</v>
      </c>
      <c r="B149" s="18">
        <f>IF(AND($N149="",$O149=""),"",IF($N149&lt;&gt;"",INDEX(PCNormDate,$N149),INDEX(LdgDateB,$O149)))</f>
        <v/>
      </c>
      <c r="C149" s="18">
        <f>IF($N149&lt;&gt;"",INDEX(PCOp,$N149),IF($O149&lt;&gt;"",IF(N(INDEX(TxnDepB,$O149))&gt;0,"دریافت بانکی","پرداخت بانکی"),""))</f>
        <v/>
      </c>
      <c r="D149" s="18">
        <f>IF($N149&lt;&gt;"",IF(INDEX(PCDoc,$N149)="","—",INDEX(PCDoc,$N149)),IF($O149&lt;&gt;"",INDEX(LdgBankB,$O149),""))</f>
        <v/>
      </c>
      <c r="E149" s="18">
        <f>IF($N149&lt;&gt;"",IF(INDEX(PCCitrus,$N149)="","—",INDEX(PCCitrus,$N149)),"")</f>
        <v/>
      </c>
      <c r="F149" s="19">
        <f>IF($N149&lt;&gt;"",IF(INDEX(PCScale,$N149)=0,"",INDEX(PCScale,$N149)),"")</f>
        <v/>
      </c>
      <c r="G149" s="19">
        <f>IF($N149&lt;&gt;"",IF(INDEX(PCBaskets,$N149)=0,"",INDEX(PCBaskets,$N149)),"")</f>
        <v/>
      </c>
      <c r="H149" s="20">
        <f>IF($N149&lt;&gt;"",IF(INDEX(PCNet,$N149)=0,"",INDEX(PCNet,$N149)),"")</f>
        <v/>
      </c>
      <c r="I149" s="19">
        <f>IF($N149&lt;&gt;"",IF(INDEX(PCOp,$N149)="مرجوعی خرید","",IF(INDEX(PCAmount,$N149)&lt;=0,"",INDEX(PCAmount,$N149))),IF($O149&lt;&gt;"",IF(INDEX(TxnDepB,$O149)=0,"",INDEX(TxnDepB,$O149)),""))</f>
        <v/>
      </c>
      <c r="J149" s="19">
        <f>IF($N149&lt;&gt;"",IF(INDEX(PCOp,$N149)="مرجوعی خرید",IF(INDEX(PCAmount,$N149)=0,"",-INDEX(PCAmount,$N149)),""),IF($O149&lt;&gt;"",IF(INDEX(TxnWitB,$O149)=0,"",INDEX(TxnWitB,$O149)),""))</f>
        <v/>
      </c>
      <c r="K149" s="21">
        <f>IF($B149="","",IF($K148="",$C$10,$K148)+IF($I149="",0,$I149)-IF($J149="",0,$J149))</f>
        <v/>
      </c>
      <c r="L149" s="22">
        <f>IF($N149&lt;&gt;"",IF(INDEX(PCNotes,$N149)="","—",INDEX(PCNotes,$N149)),IF($O149&lt;&gt;"",IF(INDEX(LdgNoteB,$O149)="","—",INDEX(LdgNoteB,$O149)),""))</f>
        <v/>
      </c>
      <c r="N149">
        <f>IFERROR(MATCH($C$5&amp;"|"&amp;RIGHT("000000"&amp;133,6),LdgRankKeyA,0),"")</f>
        <v/>
      </c>
      <c r="O149">
        <f>IFERROR(MATCH($C$5&amp;"|"&amp;RIGHT("000000"&amp;133,6),LdgRankKeyB,0),"")</f>
        <v/>
      </c>
    </row>
    <row r="150">
      <c r="A150" s="23" t="n">
        <v>134</v>
      </c>
      <c r="B150" s="24">
        <f>IF(AND($N150="",$O150=""),"",IF($N150&lt;&gt;"",INDEX(PCNormDate,$N150),INDEX(LdgDateB,$O150)))</f>
        <v/>
      </c>
      <c r="C150" s="24">
        <f>IF($N150&lt;&gt;"",INDEX(PCOp,$N150),IF($O150&lt;&gt;"",IF(N(INDEX(TxnDepB,$O150))&gt;0,"دریافت بانکی","پرداخت بانکی"),""))</f>
        <v/>
      </c>
      <c r="D150" s="24">
        <f>IF($N150&lt;&gt;"",IF(INDEX(PCDoc,$N150)="","—",INDEX(PCDoc,$N150)),IF($O150&lt;&gt;"",INDEX(LdgBankB,$O150),""))</f>
        <v/>
      </c>
      <c r="E150" s="24">
        <f>IF($N150&lt;&gt;"",IF(INDEX(PCCitrus,$N150)="","—",INDEX(PCCitrus,$N150)),"")</f>
        <v/>
      </c>
      <c r="F150" s="25">
        <f>IF($N150&lt;&gt;"",IF(INDEX(PCScale,$N150)=0,"",INDEX(PCScale,$N150)),"")</f>
        <v/>
      </c>
      <c r="G150" s="25">
        <f>IF($N150&lt;&gt;"",IF(INDEX(PCBaskets,$N150)=0,"",INDEX(PCBaskets,$N150)),"")</f>
        <v/>
      </c>
      <c r="H150" s="26">
        <f>IF($N150&lt;&gt;"",IF(INDEX(PCNet,$N150)=0,"",INDEX(PCNet,$N150)),"")</f>
        <v/>
      </c>
      <c r="I150" s="25">
        <f>IF($N150&lt;&gt;"",IF(INDEX(PCOp,$N150)="مرجوعی خرید","",IF(INDEX(PCAmount,$N150)&lt;=0,"",INDEX(PCAmount,$N150))),IF($O150&lt;&gt;"",IF(INDEX(TxnDepB,$O150)=0,"",INDEX(TxnDepB,$O150)),""))</f>
        <v/>
      </c>
      <c r="J150" s="25">
        <f>IF($N150&lt;&gt;"",IF(INDEX(PCOp,$N150)="مرجوعی خرید",IF(INDEX(PCAmount,$N150)=0,"",-INDEX(PCAmount,$N150)),""),IF($O150&lt;&gt;"",IF(INDEX(TxnWitB,$O150)=0,"",INDEX(TxnWitB,$O150)),""))</f>
        <v/>
      </c>
      <c r="K150" s="27">
        <f>IF($B150="","",IF($K149="",$C$10,$K149)+IF($I150="",0,$I150)-IF($J150="",0,$J150))</f>
        <v/>
      </c>
      <c r="L150" s="28">
        <f>IF($N150&lt;&gt;"",IF(INDEX(PCNotes,$N150)="","—",INDEX(PCNotes,$N150)),IF($O150&lt;&gt;"",IF(INDEX(LdgNoteB,$O150)="","—",INDEX(LdgNoteB,$O150)),""))</f>
        <v/>
      </c>
      <c r="N150">
        <f>IFERROR(MATCH($C$5&amp;"|"&amp;RIGHT("000000"&amp;134,6),LdgRankKeyA,0),"")</f>
        <v/>
      </c>
      <c r="O150">
        <f>IFERROR(MATCH($C$5&amp;"|"&amp;RIGHT("000000"&amp;134,6),LdgRankKeyB,0),"")</f>
        <v/>
      </c>
    </row>
    <row r="151">
      <c r="A151" s="17" t="n">
        <v>135</v>
      </c>
      <c r="B151" s="18">
        <f>IF(AND($N151="",$O151=""),"",IF($N151&lt;&gt;"",INDEX(PCNormDate,$N151),INDEX(LdgDateB,$O151)))</f>
        <v/>
      </c>
      <c r="C151" s="18">
        <f>IF($N151&lt;&gt;"",INDEX(PCOp,$N151),IF($O151&lt;&gt;"",IF(N(INDEX(TxnDepB,$O151))&gt;0,"دریافت بانکی","پرداخت بانکی"),""))</f>
        <v/>
      </c>
      <c r="D151" s="18">
        <f>IF($N151&lt;&gt;"",IF(INDEX(PCDoc,$N151)="","—",INDEX(PCDoc,$N151)),IF($O151&lt;&gt;"",INDEX(LdgBankB,$O151),""))</f>
        <v/>
      </c>
      <c r="E151" s="18">
        <f>IF($N151&lt;&gt;"",IF(INDEX(PCCitrus,$N151)="","—",INDEX(PCCitrus,$N151)),"")</f>
        <v/>
      </c>
      <c r="F151" s="19">
        <f>IF($N151&lt;&gt;"",IF(INDEX(PCScale,$N151)=0,"",INDEX(PCScale,$N151)),"")</f>
        <v/>
      </c>
      <c r="G151" s="19">
        <f>IF($N151&lt;&gt;"",IF(INDEX(PCBaskets,$N151)=0,"",INDEX(PCBaskets,$N151)),"")</f>
        <v/>
      </c>
      <c r="H151" s="20">
        <f>IF($N151&lt;&gt;"",IF(INDEX(PCNet,$N151)=0,"",INDEX(PCNet,$N151)),"")</f>
        <v/>
      </c>
      <c r="I151" s="19">
        <f>IF($N151&lt;&gt;"",IF(INDEX(PCOp,$N151)="مرجوعی خرید","",IF(INDEX(PCAmount,$N151)&lt;=0,"",INDEX(PCAmount,$N151))),IF($O151&lt;&gt;"",IF(INDEX(TxnDepB,$O151)=0,"",INDEX(TxnDepB,$O151)),""))</f>
        <v/>
      </c>
      <c r="J151" s="19">
        <f>IF($N151&lt;&gt;"",IF(INDEX(PCOp,$N151)="مرجوعی خرید",IF(INDEX(PCAmount,$N151)=0,"",-INDEX(PCAmount,$N151)),""),IF($O151&lt;&gt;"",IF(INDEX(TxnWitB,$O151)=0,"",INDEX(TxnWitB,$O151)),""))</f>
        <v/>
      </c>
      <c r="K151" s="21">
        <f>IF($B151="","",IF($K150="",$C$10,$K150)+IF($I151="",0,$I151)-IF($J151="",0,$J151))</f>
        <v/>
      </c>
      <c r="L151" s="22">
        <f>IF($N151&lt;&gt;"",IF(INDEX(PCNotes,$N151)="","—",INDEX(PCNotes,$N151)),IF($O151&lt;&gt;"",IF(INDEX(LdgNoteB,$O151)="","—",INDEX(LdgNoteB,$O151)),""))</f>
        <v/>
      </c>
      <c r="N151">
        <f>IFERROR(MATCH($C$5&amp;"|"&amp;RIGHT("000000"&amp;135,6),LdgRankKeyA,0),"")</f>
        <v/>
      </c>
      <c r="O151">
        <f>IFERROR(MATCH($C$5&amp;"|"&amp;RIGHT("000000"&amp;135,6),LdgRankKeyB,0),"")</f>
        <v/>
      </c>
    </row>
    <row r="152">
      <c r="A152" s="23" t="n">
        <v>136</v>
      </c>
      <c r="B152" s="24">
        <f>IF(AND($N152="",$O152=""),"",IF($N152&lt;&gt;"",INDEX(PCNormDate,$N152),INDEX(LdgDateB,$O152)))</f>
        <v/>
      </c>
      <c r="C152" s="24">
        <f>IF($N152&lt;&gt;"",INDEX(PCOp,$N152),IF($O152&lt;&gt;"",IF(N(INDEX(TxnDepB,$O152))&gt;0,"دریافت بانکی","پرداخت بانکی"),""))</f>
        <v/>
      </c>
      <c r="D152" s="24">
        <f>IF($N152&lt;&gt;"",IF(INDEX(PCDoc,$N152)="","—",INDEX(PCDoc,$N152)),IF($O152&lt;&gt;"",INDEX(LdgBankB,$O152),""))</f>
        <v/>
      </c>
      <c r="E152" s="24">
        <f>IF($N152&lt;&gt;"",IF(INDEX(PCCitrus,$N152)="","—",INDEX(PCCitrus,$N152)),"")</f>
        <v/>
      </c>
      <c r="F152" s="25">
        <f>IF($N152&lt;&gt;"",IF(INDEX(PCScale,$N152)=0,"",INDEX(PCScale,$N152)),"")</f>
        <v/>
      </c>
      <c r="G152" s="25">
        <f>IF($N152&lt;&gt;"",IF(INDEX(PCBaskets,$N152)=0,"",INDEX(PCBaskets,$N152)),"")</f>
        <v/>
      </c>
      <c r="H152" s="26">
        <f>IF($N152&lt;&gt;"",IF(INDEX(PCNet,$N152)=0,"",INDEX(PCNet,$N152)),"")</f>
        <v/>
      </c>
      <c r="I152" s="25">
        <f>IF($N152&lt;&gt;"",IF(INDEX(PCOp,$N152)="مرجوعی خرید","",IF(INDEX(PCAmount,$N152)&lt;=0,"",INDEX(PCAmount,$N152))),IF($O152&lt;&gt;"",IF(INDEX(TxnDepB,$O152)=0,"",INDEX(TxnDepB,$O152)),""))</f>
        <v/>
      </c>
      <c r="J152" s="25">
        <f>IF($N152&lt;&gt;"",IF(INDEX(PCOp,$N152)="مرجوعی خرید",IF(INDEX(PCAmount,$N152)=0,"",-INDEX(PCAmount,$N152)),""),IF($O152&lt;&gt;"",IF(INDEX(TxnWitB,$O152)=0,"",INDEX(TxnWitB,$O152)),""))</f>
        <v/>
      </c>
      <c r="K152" s="27">
        <f>IF($B152="","",IF($K151="",$C$10,$K151)+IF($I152="",0,$I152)-IF($J152="",0,$J152))</f>
        <v/>
      </c>
      <c r="L152" s="28">
        <f>IF($N152&lt;&gt;"",IF(INDEX(PCNotes,$N152)="","—",INDEX(PCNotes,$N152)),IF($O152&lt;&gt;"",IF(INDEX(LdgNoteB,$O152)="","—",INDEX(LdgNoteB,$O152)),""))</f>
        <v/>
      </c>
      <c r="N152">
        <f>IFERROR(MATCH($C$5&amp;"|"&amp;RIGHT("000000"&amp;136,6),LdgRankKeyA,0),"")</f>
        <v/>
      </c>
      <c r="O152">
        <f>IFERROR(MATCH($C$5&amp;"|"&amp;RIGHT("000000"&amp;136,6),LdgRankKeyB,0),"")</f>
        <v/>
      </c>
    </row>
    <row r="153">
      <c r="A153" s="17" t="n">
        <v>137</v>
      </c>
      <c r="B153" s="18">
        <f>IF(AND($N153="",$O153=""),"",IF($N153&lt;&gt;"",INDEX(PCNormDate,$N153),INDEX(LdgDateB,$O153)))</f>
        <v/>
      </c>
      <c r="C153" s="18">
        <f>IF($N153&lt;&gt;"",INDEX(PCOp,$N153),IF($O153&lt;&gt;"",IF(N(INDEX(TxnDepB,$O153))&gt;0,"دریافت بانکی","پرداخت بانکی"),""))</f>
        <v/>
      </c>
      <c r="D153" s="18">
        <f>IF($N153&lt;&gt;"",IF(INDEX(PCDoc,$N153)="","—",INDEX(PCDoc,$N153)),IF($O153&lt;&gt;"",INDEX(LdgBankB,$O153),""))</f>
        <v/>
      </c>
      <c r="E153" s="18">
        <f>IF($N153&lt;&gt;"",IF(INDEX(PCCitrus,$N153)="","—",INDEX(PCCitrus,$N153)),"")</f>
        <v/>
      </c>
      <c r="F153" s="19">
        <f>IF($N153&lt;&gt;"",IF(INDEX(PCScale,$N153)=0,"",INDEX(PCScale,$N153)),"")</f>
        <v/>
      </c>
      <c r="G153" s="19">
        <f>IF($N153&lt;&gt;"",IF(INDEX(PCBaskets,$N153)=0,"",INDEX(PCBaskets,$N153)),"")</f>
        <v/>
      </c>
      <c r="H153" s="20">
        <f>IF($N153&lt;&gt;"",IF(INDEX(PCNet,$N153)=0,"",INDEX(PCNet,$N153)),"")</f>
        <v/>
      </c>
      <c r="I153" s="19">
        <f>IF($N153&lt;&gt;"",IF(INDEX(PCOp,$N153)="مرجوعی خرید","",IF(INDEX(PCAmount,$N153)&lt;=0,"",INDEX(PCAmount,$N153))),IF($O153&lt;&gt;"",IF(INDEX(TxnDepB,$O153)=0,"",INDEX(TxnDepB,$O153)),""))</f>
        <v/>
      </c>
      <c r="J153" s="19">
        <f>IF($N153&lt;&gt;"",IF(INDEX(PCOp,$N153)="مرجوعی خرید",IF(INDEX(PCAmount,$N153)=0,"",-INDEX(PCAmount,$N153)),""),IF($O153&lt;&gt;"",IF(INDEX(TxnWitB,$O153)=0,"",INDEX(TxnWitB,$O153)),""))</f>
        <v/>
      </c>
      <c r="K153" s="21">
        <f>IF($B153="","",IF($K152="",$C$10,$K152)+IF($I153="",0,$I153)-IF($J153="",0,$J153))</f>
        <v/>
      </c>
      <c r="L153" s="22">
        <f>IF($N153&lt;&gt;"",IF(INDEX(PCNotes,$N153)="","—",INDEX(PCNotes,$N153)),IF($O153&lt;&gt;"",IF(INDEX(LdgNoteB,$O153)="","—",INDEX(LdgNoteB,$O153)),""))</f>
        <v/>
      </c>
      <c r="N153">
        <f>IFERROR(MATCH($C$5&amp;"|"&amp;RIGHT("000000"&amp;137,6),LdgRankKeyA,0),"")</f>
        <v/>
      </c>
      <c r="O153">
        <f>IFERROR(MATCH($C$5&amp;"|"&amp;RIGHT("000000"&amp;137,6),LdgRankKeyB,0),"")</f>
        <v/>
      </c>
    </row>
    <row r="154">
      <c r="A154" s="23" t="n">
        <v>138</v>
      </c>
      <c r="B154" s="24">
        <f>IF(AND($N154="",$O154=""),"",IF($N154&lt;&gt;"",INDEX(PCNormDate,$N154),INDEX(LdgDateB,$O154)))</f>
        <v/>
      </c>
      <c r="C154" s="24">
        <f>IF($N154&lt;&gt;"",INDEX(PCOp,$N154),IF($O154&lt;&gt;"",IF(N(INDEX(TxnDepB,$O154))&gt;0,"دریافت بانکی","پرداخت بانکی"),""))</f>
        <v/>
      </c>
      <c r="D154" s="24">
        <f>IF($N154&lt;&gt;"",IF(INDEX(PCDoc,$N154)="","—",INDEX(PCDoc,$N154)),IF($O154&lt;&gt;"",INDEX(LdgBankB,$O154),""))</f>
        <v/>
      </c>
      <c r="E154" s="24">
        <f>IF($N154&lt;&gt;"",IF(INDEX(PCCitrus,$N154)="","—",INDEX(PCCitrus,$N154)),"")</f>
        <v/>
      </c>
      <c r="F154" s="25">
        <f>IF($N154&lt;&gt;"",IF(INDEX(PCScale,$N154)=0,"",INDEX(PCScale,$N154)),"")</f>
        <v/>
      </c>
      <c r="G154" s="25">
        <f>IF($N154&lt;&gt;"",IF(INDEX(PCBaskets,$N154)=0,"",INDEX(PCBaskets,$N154)),"")</f>
        <v/>
      </c>
      <c r="H154" s="26">
        <f>IF($N154&lt;&gt;"",IF(INDEX(PCNet,$N154)=0,"",INDEX(PCNet,$N154)),"")</f>
        <v/>
      </c>
      <c r="I154" s="25">
        <f>IF($N154&lt;&gt;"",IF(INDEX(PCOp,$N154)="مرجوعی خرید","",IF(INDEX(PCAmount,$N154)&lt;=0,"",INDEX(PCAmount,$N154))),IF($O154&lt;&gt;"",IF(INDEX(TxnDepB,$O154)=0,"",INDEX(TxnDepB,$O154)),""))</f>
        <v/>
      </c>
      <c r="J154" s="25">
        <f>IF($N154&lt;&gt;"",IF(INDEX(PCOp,$N154)="مرجوعی خرید",IF(INDEX(PCAmount,$N154)=0,"",-INDEX(PCAmount,$N154)),""),IF($O154&lt;&gt;"",IF(INDEX(TxnWitB,$O154)=0,"",INDEX(TxnWitB,$O154)),""))</f>
        <v/>
      </c>
      <c r="K154" s="27">
        <f>IF($B154="","",IF($K153="",$C$10,$K153)+IF($I154="",0,$I154)-IF($J154="",0,$J154))</f>
        <v/>
      </c>
      <c r="L154" s="28">
        <f>IF($N154&lt;&gt;"",IF(INDEX(PCNotes,$N154)="","—",INDEX(PCNotes,$N154)),IF($O154&lt;&gt;"",IF(INDEX(LdgNoteB,$O154)="","—",INDEX(LdgNoteB,$O154)),""))</f>
        <v/>
      </c>
      <c r="N154">
        <f>IFERROR(MATCH($C$5&amp;"|"&amp;RIGHT("000000"&amp;138,6),LdgRankKeyA,0),"")</f>
        <v/>
      </c>
      <c r="O154">
        <f>IFERROR(MATCH($C$5&amp;"|"&amp;RIGHT("000000"&amp;138,6),LdgRankKeyB,0),"")</f>
        <v/>
      </c>
    </row>
    <row r="155">
      <c r="A155" s="17" t="n">
        <v>139</v>
      </c>
      <c r="B155" s="18">
        <f>IF(AND($N155="",$O155=""),"",IF($N155&lt;&gt;"",INDEX(PCNormDate,$N155),INDEX(LdgDateB,$O155)))</f>
        <v/>
      </c>
      <c r="C155" s="18">
        <f>IF($N155&lt;&gt;"",INDEX(PCOp,$N155),IF($O155&lt;&gt;"",IF(N(INDEX(TxnDepB,$O155))&gt;0,"دریافت بانکی","پرداخت بانکی"),""))</f>
        <v/>
      </c>
      <c r="D155" s="18">
        <f>IF($N155&lt;&gt;"",IF(INDEX(PCDoc,$N155)="","—",INDEX(PCDoc,$N155)),IF($O155&lt;&gt;"",INDEX(LdgBankB,$O155),""))</f>
        <v/>
      </c>
      <c r="E155" s="18">
        <f>IF($N155&lt;&gt;"",IF(INDEX(PCCitrus,$N155)="","—",INDEX(PCCitrus,$N155)),"")</f>
        <v/>
      </c>
      <c r="F155" s="19">
        <f>IF($N155&lt;&gt;"",IF(INDEX(PCScale,$N155)=0,"",INDEX(PCScale,$N155)),"")</f>
        <v/>
      </c>
      <c r="G155" s="19">
        <f>IF($N155&lt;&gt;"",IF(INDEX(PCBaskets,$N155)=0,"",INDEX(PCBaskets,$N155)),"")</f>
        <v/>
      </c>
      <c r="H155" s="20">
        <f>IF($N155&lt;&gt;"",IF(INDEX(PCNet,$N155)=0,"",INDEX(PCNet,$N155)),"")</f>
        <v/>
      </c>
      <c r="I155" s="19">
        <f>IF($N155&lt;&gt;"",IF(INDEX(PCOp,$N155)="مرجوعی خرید","",IF(INDEX(PCAmount,$N155)&lt;=0,"",INDEX(PCAmount,$N155))),IF($O155&lt;&gt;"",IF(INDEX(TxnDepB,$O155)=0,"",INDEX(TxnDepB,$O155)),""))</f>
        <v/>
      </c>
      <c r="J155" s="19">
        <f>IF($N155&lt;&gt;"",IF(INDEX(PCOp,$N155)="مرجوعی خرید",IF(INDEX(PCAmount,$N155)=0,"",-INDEX(PCAmount,$N155)),""),IF($O155&lt;&gt;"",IF(INDEX(TxnWitB,$O155)=0,"",INDEX(TxnWitB,$O155)),""))</f>
        <v/>
      </c>
      <c r="K155" s="21">
        <f>IF($B155="","",IF($K154="",$C$10,$K154)+IF($I155="",0,$I155)-IF($J155="",0,$J155))</f>
        <v/>
      </c>
      <c r="L155" s="22">
        <f>IF($N155&lt;&gt;"",IF(INDEX(PCNotes,$N155)="","—",INDEX(PCNotes,$N155)),IF($O155&lt;&gt;"",IF(INDEX(LdgNoteB,$O155)="","—",INDEX(LdgNoteB,$O155)),""))</f>
        <v/>
      </c>
      <c r="N155">
        <f>IFERROR(MATCH($C$5&amp;"|"&amp;RIGHT("000000"&amp;139,6),LdgRankKeyA,0),"")</f>
        <v/>
      </c>
      <c r="O155">
        <f>IFERROR(MATCH($C$5&amp;"|"&amp;RIGHT("000000"&amp;139,6),LdgRankKeyB,0),"")</f>
        <v/>
      </c>
    </row>
    <row r="156">
      <c r="A156" s="23" t="n">
        <v>140</v>
      </c>
      <c r="B156" s="24">
        <f>IF(AND($N156="",$O156=""),"",IF($N156&lt;&gt;"",INDEX(PCNormDate,$N156),INDEX(LdgDateB,$O156)))</f>
        <v/>
      </c>
      <c r="C156" s="24">
        <f>IF($N156&lt;&gt;"",INDEX(PCOp,$N156),IF($O156&lt;&gt;"",IF(N(INDEX(TxnDepB,$O156))&gt;0,"دریافت بانکی","پرداخت بانکی"),""))</f>
        <v/>
      </c>
      <c r="D156" s="24">
        <f>IF($N156&lt;&gt;"",IF(INDEX(PCDoc,$N156)="","—",INDEX(PCDoc,$N156)),IF($O156&lt;&gt;"",INDEX(LdgBankB,$O156),""))</f>
        <v/>
      </c>
      <c r="E156" s="24">
        <f>IF($N156&lt;&gt;"",IF(INDEX(PCCitrus,$N156)="","—",INDEX(PCCitrus,$N156)),"")</f>
        <v/>
      </c>
      <c r="F156" s="25">
        <f>IF($N156&lt;&gt;"",IF(INDEX(PCScale,$N156)=0,"",INDEX(PCScale,$N156)),"")</f>
        <v/>
      </c>
      <c r="G156" s="25">
        <f>IF($N156&lt;&gt;"",IF(INDEX(PCBaskets,$N156)=0,"",INDEX(PCBaskets,$N156)),"")</f>
        <v/>
      </c>
      <c r="H156" s="26">
        <f>IF($N156&lt;&gt;"",IF(INDEX(PCNet,$N156)=0,"",INDEX(PCNet,$N156)),"")</f>
        <v/>
      </c>
      <c r="I156" s="25">
        <f>IF($N156&lt;&gt;"",IF(INDEX(PCOp,$N156)="مرجوعی خرید","",IF(INDEX(PCAmount,$N156)&lt;=0,"",INDEX(PCAmount,$N156))),IF($O156&lt;&gt;"",IF(INDEX(TxnDepB,$O156)=0,"",INDEX(TxnDepB,$O156)),""))</f>
        <v/>
      </c>
      <c r="J156" s="25">
        <f>IF($N156&lt;&gt;"",IF(INDEX(PCOp,$N156)="مرجوعی خرید",IF(INDEX(PCAmount,$N156)=0,"",-INDEX(PCAmount,$N156)),""),IF($O156&lt;&gt;"",IF(INDEX(TxnWitB,$O156)=0,"",INDEX(TxnWitB,$O156)),""))</f>
        <v/>
      </c>
      <c r="K156" s="27">
        <f>IF($B156="","",IF($K155="",$C$10,$K155)+IF($I156="",0,$I156)-IF($J156="",0,$J156))</f>
        <v/>
      </c>
      <c r="L156" s="28">
        <f>IF($N156&lt;&gt;"",IF(INDEX(PCNotes,$N156)="","—",INDEX(PCNotes,$N156)),IF($O156&lt;&gt;"",IF(INDEX(LdgNoteB,$O156)="","—",INDEX(LdgNoteB,$O156)),""))</f>
        <v/>
      </c>
      <c r="N156">
        <f>IFERROR(MATCH($C$5&amp;"|"&amp;RIGHT("000000"&amp;140,6),LdgRankKeyA,0),"")</f>
        <v/>
      </c>
      <c r="O156">
        <f>IFERROR(MATCH($C$5&amp;"|"&amp;RIGHT("000000"&amp;140,6),LdgRankKeyB,0),"")</f>
        <v/>
      </c>
    </row>
    <row r="157">
      <c r="A157" s="17" t="n">
        <v>141</v>
      </c>
      <c r="B157" s="18">
        <f>IF(AND($N157="",$O157=""),"",IF($N157&lt;&gt;"",INDEX(PCNormDate,$N157),INDEX(LdgDateB,$O157)))</f>
        <v/>
      </c>
      <c r="C157" s="18">
        <f>IF($N157&lt;&gt;"",INDEX(PCOp,$N157),IF($O157&lt;&gt;"",IF(N(INDEX(TxnDepB,$O157))&gt;0,"دریافت بانکی","پرداخت بانکی"),""))</f>
        <v/>
      </c>
      <c r="D157" s="18">
        <f>IF($N157&lt;&gt;"",IF(INDEX(PCDoc,$N157)="","—",INDEX(PCDoc,$N157)),IF($O157&lt;&gt;"",INDEX(LdgBankB,$O157),""))</f>
        <v/>
      </c>
      <c r="E157" s="18">
        <f>IF($N157&lt;&gt;"",IF(INDEX(PCCitrus,$N157)="","—",INDEX(PCCitrus,$N157)),"")</f>
        <v/>
      </c>
      <c r="F157" s="19">
        <f>IF($N157&lt;&gt;"",IF(INDEX(PCScale,$N157)=0,"",INDEX(PCScale,$N157)),"")</f>
        <v/>
      </c>
      <c r="G157" s="19">
        <f>IF($N157&lt;&gt;"",IF(INDEX(PCBaskets,$N157)=0,"",INDEX(PCBaskets,$N157)),"")</f>
        <v/>
      </c>
      <c r="H157" s="20">
        <f>IF($N157&lt;&gt;"",IF(INDEX(PCNet,$N157)=0,"",INDEX(PCNet,$N157)),"")</f>
        <v/>
      </c>
      <c r="I157" s="19">
        <f>IF($N157&lt;&gt;"",IF(INDEX(PCOp,$N157)="مرجوعی خرید","",IF(INDEX(PCAmount,$N157)&lt;=0,"",INDEX(PCAmount,$N157))),IF($O157&lt;&gt;"",IF(INDEX(TxnDepB,$O157)=0,"",INDEX(TxnDepB,$O157)),""))</f>
        <v/>
      </c>
      <c r="J157" s="19">
        <f>IF($N157&lt;&gt;"",IF(INDEX(PCOp,$N157)="مرجوعی خرید",IF(INDEX(PCAmount,$N157)=0,"",-INDEX(PCAmount,$N157)),""),IF($O157&lt;&gt;"",IF(INDEX(TxnWitB,$O157)=0,"",INDEX(TxnWitB,$O157)),""))</f>
        <v/>
      </c>
      <c r="K157" s="21">
        <f>IF($B157="","",IF($K156="",$C$10,$K156)+IF($I157="",0,$I157)-IF($J157="",0,$J157))</f>
        <v/>
      </c>
      <c r="L157" s="22">
        <f>IF($N157&lt;&gt;"",IF(INDEX(PCNotes,$N157)="","—",INDEX(PCNotes,$N157)),IF($O157&lt;&gt;"",IF(INDEX(LdgNoteB,$O157)="","—",INDEX(LdgNoteB,$O157)),""))</f>
        <v/>
      </c>
      <c r="N157">
        <f>IFERROR(MATCH($C$5&amp;"|"&amp;RIGHT("000000"&amp;141,6),LdgRankKeyA,0),"")</f>
        <v/>
      </c>
      <c r="O157">
        <f>IFERROR(MATCH($C$5&amp;"|"&amp;RIGHT("000000"&amp;141,6),LdgRankKeyB,0),"")</f>
        <v/>
      </c>
    </row>
    <row r="158">
      <c r="A158" s="23" t="n">
        <v>142</v>
      </c>
      <c r="B158" s="24">
        <f>IF(AND($N158="",$O158=""),"",IF($N158&lt;&gt;"",INDEX(PCNormDate,$N158),INDEX(LdgDateB,$O158)))</f>
        <v/>
      </c>
      <c r="C158" s="24">
        <f>IF($N158&lt;&gt;"",INDEX(PCOp,$N158),IF($O158&lt;&gt;"",IF(N(INDEX(TxnDepB,$O158))&gt;0,"دریافت بانکی","پرداخت بانکی"),""))</f>
        <v/>
      </c>
      <c r="D158" s="24">
        <f>IF($N158&lt;&gt;"",IF(INDEX(PCDoc,$N158)="","—",INDEX(PCDoc,$N158)),IF($O158&lt;&gt;"",INDEX(LdgBankB,$O158),""))</f>
        <v/>
      </c>
      <c r="E158" s="24">
        <f>IF($N158&lt;&gt;"",IF(INDEX(PCCitrus,$N158)="","—",INDEX(PCCitrus,$N158)),"")</f>
        <v/>
      </c>
      <c r="F158" s="25">
        <f>IF($N158&lt;&gt;"",IF(INDEX(PCScale,$N158)=0,"",INDEX(PCScale,$N158)),"")</f>
        <v/>
      </c>
      <c r="G158" s="25">
        <f>IF($N158&lt;&gt;"",IF(INDEX(PCBaskets,$N158)=0,"",INDEX(PCBaskets,$N158)),"")</f>
        <v/>
      </c>
      <c r="H158" s="26">
        <f>IF($N158&lt;&gt;"",IF(INDEX(PCNet,$N158)=0,"",INDEX(PCNet,$N158)),"")</f>
        <v/>
      </c>
      <c r="I158" s="25">
        <f>IF($N158&lt;&gt;"",IF(INDEX(PCOp,$N158)="مرجوعی خرید","",IF(INDEX(PCAmount,$N158)&lt;=0,"",INDEX(PCAmount,$N158))),IF($O158&lt;&gt;"",IF(INDEX(TxnDepB,$O158)=0,"",INDEX(TxnDepB,$O158)),""))</f>
        <v/>
      </c>
      <c r="J158" s="25">
        <f>IF($N158&lt;&gt;"",IF(INDEX(PCOp,$N158)="مرجوعی خرید",IF(INDEX(PCAmount,$N158)=0,"",-INDEX(PCAmount,$N158)),""),IF($O158&lt;&gt;"",IF(INDEX(TxnWitB,$O158)=0,"",INDEX(TxnWitB,$O158)),""))</f>
        <v/>
      </c>
      <c r="K158" s="27">
        <f>IF($B158="","",IF($K157="",$C$10,$K157)+IF($I158="",0,$I158)-IF($J158="",0,$J158))</f>
        <v/>
      </c>
      <c r="L158" s="28">
        <f>IF($N158&lt;&gt;"",IF(INDEX(PCNotes,$N158)="","—",INDEX(PCNotes,$N158)),IF($O158&lt;&gt;"",IF(INDEX(LdgNoteB,$O158)="","—",INDEX(LdgNoteB,$O158)),""))</f>
        <v/>
      </c>
      <c r="N158">
        <f>IFERROR(MATCH($C$5&amp;"|"&amp;RIGHT("000000"&amp;142,6),LdgRankKeyA,0),"")</f>
        <v/>
      </c>
      <c r="O158">
        <f>IFERROR(MATCH($C$5&amp;"|"&amp;RIGHT("000000"&amp;142,6),LdgRankKeyB,0),"")</f>
        <v/>
      </c>
    </row>
    <row r="159">
      <c r="A159" s="17" t="n">
        <v>143</v>
      </c>
      <c r="B159" s="18">
        <f>IF(AND($N159="",$O159=""),"",IF($N159&lt;&gt;"",INDEX(PCNormDate,$N159),INDEX(LdgDateB,$O159)))</f>
        <v/>
      </c>
      <c r="C159" s="18">
        <f>IF($N159&lt;&gt;"",INDEX(PCOp,$N159),IF($O159&lt;&gt;"",IF(N(INDEX(TxnDepB,$O159))&gt;0,"دریافت بانکی","پرداخت بانکی"),""))</f>
        <v/>
      </c>
      <c r="D159" s="18">
        <f>IF($N159&lt;&gt;"",IF(INDEX(PCDoc,$N159)="","—",INDEX(PCDoc,$N159)),IF($O159&lt;&gt;"",INDEX(LdgBankB,$O159),""))</f>
        <v/>
      </c>
      <c r="E159" s="18">
        <f>IF($N159&lt;&gt;"",IF(INDEX(PCCitrus,$N159)="","—",INDEX(PCCitrus,$N159)),"")</f>
        <v/>
      </c>
      <c r="F159" s="19">
        <f>IF($N159&lt;&gt;"",IF(INDEX(PCScale,$N159)=0,"",INDEX(PCScale,$N159)),"")</f>
        <v/>
      </c>
      <c r="G159" s="19">
        <f>IF($N159&lt;&gt;"",IF(INDEX(PCBaskets,$N159)=0,"",INDEX(PCBaskets,$N159)),"")</f>
        <v/>
      </c>
      <c r="H159" s="20">
        <f>IF($N159&lt;&gt;"",IF(INDEX(PCNet,$N159)=0,"",INDEX(PCNet,$N159)),"")</f>
        <v/>
      </c>
      <c r="I159" s="19">
        <f>IF($N159&lt;&gt;"",IF(INDEX(PCOp,$N159)="مرجوعی خرید","",IF(INDEX(PCAmount,$N159)&lt;=0,"",INDEX(PCAmount,$N159))),IF($O159&lt;&gt;"",IF(INDEX(TxnDepB,$O159)=0,"",INDEX(TxnDepB,$O159)),""))</f>
        <v/>
      </c>
      <c r="J159" s="19">
        <f>IF($N159&lt;&gt;"",IF(INDEX(PCOp,$N159)="مرجوعی خرید",IF(INDEX(PCAmount,$N159)=0,"",-INDEX(PCAmount,$N159)),""),IF($O159&lt;&gt;"",IF(INDEX(TxnWitB,$O159)=0,"",INDEX(TxnWitB,$O159)),""))</f>
        <v/>
      </c>
      <c r="K159" s="21">
        <f>IF($B159="","",IF($K158="",$C$10,$K158)+IF($I159="",0,$I159)-IF($J159="",0,$J159))</f>
        <v/>
      </c>
      <c r="L159" s="22">
        <f>IF($N159&lt;&gt;"",IF(INDEX(PCNotes,$N159)="","—",INDEX(PCNotes,$N159)),IF($O159&lt;&gt;"",IF(INDEX(LdgNoteB,$O159)="","—",INDEX(LdgNoteB,$O159)),""))</f>
        <v/>
      </c>
      <c r="N159">
        <f>IFERROR(MATCH($C$5&amp;"|"&amp;RIGHT("000000"&amp;143,6),LdgRankKeyA,0),"")</f>
        <v/>
      </c>
      <c r="O159">
        <f>IFERROR(MATCH($C$5&amp;"|"&amp;RIGHT("000000"&amp;143,6),LdgRankKeyB,0),"")</f>
        <v/>
      </c>
    </row>
    <row r="160">
      <c r="A160" s="23" t="n">
        <v>144</v>
      </c>
      <c r="B160" s="24">
        <f>IF(AND($N160="",$O160=""),"",IF($N160&lt;&gt;"",INDEX(PCNormDate,$N160),INDEX(LdgDateB,$O160)))</f>
        <v/>
      </c>
      <c r="C160" s="24">
        <f>IF($N160&lt;&gt;"",INDEX(PCOp,$N160),IF($O160&lt;&gt;"",IF(N(INDEX(TxnDepB,$O160))&gt;0,"دریافت بانکی","پرداخت بانکی"),""))</f>
        <v/>
      </c>
      <c r="D160" s="24">
        <f>IF($N160&lt;&gt;"",IF(INDEX(PCDoc,$N160)="","—",INDEX(PCDoc,$N160)),IF($O160&lt;&gt;"",INDEX(LdgBankB,$O160),""))</f>
        <v/>
      </c>
      <c r="E160" s="24">
        <f>IF($N160&lt;&gt;"",IF(INDEX(PCCitrus,$N160)="","—",INDEX(PCCitrus,$N160)),"")</f>
        <v/>
      </c>
      <c r="F160" s="25">
        <f>IF($N160&lt;&gt;"",IF(INDEX(PCScale,$N160)=0,"",INDEX(PCScale,$N160)),"")</f>
        <v/>
      </c>
      <c r="G160" s="25">
        <f>IF($N160&lt;&gt;"",IF(INDEX(PCBaskets,$N160)=0,"",INDEX(PCBaskets,$N160)),"")</f>
        <v/>
      </c>
      <c r="H160" s="26">
        <f>IF($N160&lt;&gt;"",IF(INDEX(PCNet,$N160)=0,"",INDEX(PCNet,$N160)),"")</f>
        <v/>
      </c>
      <c r="I160" s="25">
        <f>IF($N160&lt;&gt;"",IF(INDEX(PCOp,$N160)="مرجوعی خرید","",IF(INDEX(PCAmount,$N160)&lt;=0,"",INDEX(PCAmount,$N160))),IF($O160&lt;&gt;"",IF(INDEX(TxnDepB,$O160)=0,"",INDEX(TxnDepB,$O160)),""))</f>
        <v/>
      </c>
      <c r="J160" s="25">
        <f>IF($N160&lt;&gt;"",IF(INDEX(PCOp,$N160)="مرجوعی خرید",IF(INDEX(PCAmount,$N160)=0,"",-INDEX(PCAmount,$N160)),""),IF($O160&lt;&gt;"",IF(INDEX(TxnWitB,$O160)=0,"",INDEX(TxnWitB,$O160)),""))</f>
        <v/>
      </c>
      <c r="K160" s="27">
        <f>IF($B160="","",IF($K159="",$C$10,$K159)+IF($I160="",0,$I160)-IF($J160="",0,$J160))</f>
        <v/>
      </c>
      <c r="L160" s="28">
        <f>IF($N160&lt;&gt;"",IF(INDEX(PCNotes,$N160)="","—",INDEX(PCNotes,$N160)),IF($O160&lt;&gt;"",IF(INDEX(LdgNoteB,$O160)="","—",INDEX(LdgNoteB,$O160)),""))</f>
        <v/>
      </c>
      <c r="N160">
        <f>IFERROR(MATCH($C$5&amp;"|"&amp;RIGHT("000000"&amp;144,6),LdgRankKeyA,0),"")</f>
        <v/>
      </c>
      <c r="O160">
        <f>IFERROR(MATCH($C$5&amp;"|"&amp;RIGHT("000000"&amp;144,6),LdgRankKeyB,0),"")</f>
        <v/>
      </c>
    </row>
    <row r="161">
      <c r="A161" s="17" t="n">
        <v>145</v>
      </c>
      <c r="B161" s="18">
        <f>IF(AND($N161="",$O161=""),"",IF($N161&lt;&gt;"",INDEX(PCNormDate,$N161),INDEX(LdgDateB,$O161)))</f>
        <v/>
      </c>
      <c r="C161" s="18">
        <f>IF($N161&lt;&gt;"",INDEX(PCOp,$N161),IF($O161&lt;&gt;"",IF(N(INDEX(TxnDepB,$O161))&gt;0,"دریافت بانکی","پرداخت بانکی"),""))</f>
        <v/>
      </c>
      <c r="D161" s="18">
        <f>IF($N161&lt;&gt;"",IF(INDEX(PCDoc,$N161)="","—",INDEX(PCDoc,$N161)),IF($O161&lt;&gt;"",INDEX(LdgBankB,$O161),""))</f>
        <v/>
      </c>
      <c r="E161" s="18">
        <f>IF($N161&lt;&gt;"",IF(INDEX(PCCitrus,$N161)="","—",INDEX(PCCitrus,$N161)),"")</f>
        <v/>
      </c>
      <c r="F161" s="19">
        <f>IF($N161&lt;&gt;"",IF(INDEX(PCScale,$N161)=0,"",INDEX(PCScale,$N161)),"")</f>
        <v/>
      </c>
      <c r="G161" s="19">
        <f>IF($N161&lt;&gt;"",IF(INDEX(PCBaskets,$N161)=0,"",INDEX(PCBaskets,$N161)),"")</f>
        <v/>
      </c>
      <c r="H161" s="20">
        <f>IF($N161&lt;&gt;"",IF(INDEX(PCNet,$N161)=0,"",INDEX(PCNet,$N161)),"")</f>
        <v/>
      </c>
      <c r="I161" s="19">
        <f>IF($N161&lt;&gt;"",IF(INDEX(PCOp,$N161)="مرجوعی خرید","",IF(INDEX(PCAmount,$N161)&lt;=0,"",INDEX(PCAmount,$N161))),IF($O161&lt;&gt;"",IF(INDEX(TxnDepB,$O161)=0,"",INDEX(TxnDepB,$O161)),""))</f>
        <v/>
      </c>
      <c r="J161" s="19">
        <f>IF($N161&lt;&gt;"",IF(INDEX(PCOp,$N161)="مرجوعی خرید",IF(INDEX(PCAmount,$N161)=0,"",-INDEX(PCAmount,$N161)),""),IF($O161&lt;&gt;"",IF(INDEX(TxnWitB,$O161)=0,"",INDEX(TxnWitB,$O161)),""))</f>
        <v/>
      </c>
      <c r="K161" s="21">
        <f>IF($B161="","",IF($K160="",$C$10,$K160)+IF($I161="",0,$I161)-IF($J161="",0,$J161))</f>
        <v/>
      </c>
      <c r="L161" s="22">
        <f>IF($N161&lt;&gt;"",IF(INDEX(PCNotes,$N161)="","—",INDEX(PCNotes,$N161)),IF($O161&lt;&gt;"",IF(INDEX(LdgNoteB,$O161)="","—",INDEX(LdgNoteB,$O161)),""))</f>
        <v/>
      </c>
      <c r="N161">
        <f>IFERROR(MATCH($C$5&amp;"|"&amp;RIGHT("000000"&amp;145,6),LdgRankKeyA,0),"")</f>
        <v/>
      </c>
      <c r="O161">
        <f>IFERROR(MATCH($C$5&amp;"|"&amp;RIGHT("000000"&amp;145,6),LdgRankKeyB,0),"")</f>
        <v/>
      </c>
    </row>
    <row r="162">
      <c r="A162" s="23" t="n">
        <v>146</v>
      </c>
      <c r="B162" s="24">
        <f>IF(AND($N162="",$O162=""),"",IF($N162&lt;&gt;"",INDEX(PCNormDate,$N162),INDEX(LdgDateB,$O162)))</f>
        <v/>
      </c>
      <c r="C162" s="24">
        <f>IF($N162&lt;&gt;"",INDEX(PCOp,$N162),IF($O162&lt;&gt;"",IF(N(INDEX(TxnDepB,$O162))&gt;0,"دریافت بانکی","پرداخت بانکی"),""))</f>
        <v/>
      </c>
      <c r="D162" s="24">
        <f>IF($N162&lt;&gt;"",IF(INDEX(PCDoc,$N162)="","—",INDEX(PCDoc,$N162)),IF($O162&lt;&gt;"",INDEX(LdgBankB,$O162),""))</f>
        <v/>
      </c>
      <c r="E162" s="24">
        <f>IF($N162&lt;&gt;"",IF(INDEX(PCCitrus,$N162)="","—",INDEX(PCCitrus,$N162)),"")</f>
        <v/>
      </c>
      <c r="F162" s="25">
        <f>IF($N162&lt;&gt;"",IF(INDEX(PCScale,$N162)=0,"",INDEX(PCScale,$N162)),"")</f>
        <v/>
      </c>
      <c r="G162" s="25">
        <f>IF($N162&lt;&gt;"",IF(INDEX(PCBaskets,$N162)=0,"",INDEX(PCBaskets,$N162)),"")</f>
        <v/>
      </c>
      <c r="H162" s="26">
        <f>IF($N162&lt;&gt;"",IF(INDEX(PCNet,$N162)=0,"",INDEX(PCNet,$N162)),"")</f>
        <v/>
      </c>
      <c r="I162" s="25">
        <f>IF($N162&lt;&gt;"",IF(INDEX(PCOp,$N162)="مرجوعی خرید","",IF(INDEX(PCAmount,$N162)&lt;=0,"",INDEX(PCAmount,$N162))),IF($O162&lt;&gt;"",IF(INDEX(TxnDepB,$O162)=0,"",INDEX(TxnDepB,$O162)),""))</f>
        <v/>
      </c>
      <c r="J162" s="25">
        <f>IF($N162&lt;&gt;"",IF(INDEX(PCOp,$N162)="مرجوعی خرید",IF(INDEX(PCAmount,$N162)=0,"",-INDEX(PCAmount,$N162)),""),IF($O162&lt;&gt;"",IF(INDEX(TxnWitB,$O162)=0,"",INDEX(TxnWitB,$O162)),""))</f>
        <v/>
      </c>
      <c r="K162" s="27">
        <f>IF($B162="","",IF($K161="",$C$10,$K161)+IF($I162="",0,$I162)-IF($J162="",0,$J162))</f>
        <v/>
      </c>
      <c r="L162" s="28">
        <f>IF($N162&lt;&gt;"",IF(INDEX(PCNotes,$N162)="","—",INDEX(PCNotes,$N162)),IF($O162&lt;&gt;"",IF(INDEX(LdgNoteB,$O162)="","—",INDEX(LdgNoteB,$O162)),""))</f>
        <v/>
      </c>
      <c r="N162">
        <f>IFERROR(MATCH($C$5&amp;"|"&amp;RIGHT("000000"&amp;146,6),LdgRankKeyA,0),"")</f>
        <v/>
      </c>
      <c r="O162">
        <f>IFERROR(MATCH($C$5&amp;"|"&amp;RIGHT("000000"&amp;146,6),LdgRankKeyB,0),"")</f>
        <v/>
      </c>
    </row>
    <row r="163">
      <c r="A163" s="17" t="n">
        <v>147</v>
      </c>
      <c r="B163" s="18">
        <f>IF(AND($N163="",$O163=""),"",IF($N163&lt;&gt;"",INDEX(PCNormDate,$N163),INDEX(LdgDateB,$O163)))</f>
        <v/>
      </c>
      <c r="C163" s="18">
        <f>IF($N163&lt;&gt;"",INDEX(PCOp,$N163),IF($O163&lt;&gt;"",IF(N(INDEX(TxnDepB,$O163))&gt;0,"دریافت بانکی","پرداخت بانکی"),""))</f>
        <v/>
      </c>
      <c r="D163" s="18">
        <f>IF($N163&lt;&gt;"",IF(INDEX(PCDoc,$N163)="","—",INDEX(PCDoc,$N163)),IF($O163&lt;&gt;"",INDEX(LdgBankB,$O163),""))</f>
        <v/>
      </c>
      <c r="E163" s="18">
        <f>IF($N163&lt;&gt;"",IF(INDEX(PCCitrus,$N163)="","—",INDEX(PCCitrus,$N163)),"")</f>
        <v/>
      </c>
      <c r="F163" s="19">
        <f>IF($N163&lt;&gt;"",IF(INDEX(PCScale,$N163)=0,"",INDEX(PCScale,$N163)),"")</f>
        <v/>
      </c>
      <c r="G163" s="19">
        <f>IF($N163&lt;&gt;"",IF(INDEX(PCBaskets,$N163)=0,"",INDEX(PCBaskets,$N163)),"")</f>
        <v/>
      </c>
      <c r="H163" s="20">
        <f>IF($N163&lt;&gt;"",IF(INDEX(PCNet,$N163)=0,"",INDEX(PCNet,$N163)),"")</f>
        <v/>
      </c>
      <c r="I163" s="19">
        <f>IF($N163&lt;&gt;"",IF(INDEX(PCOp,$N163)="مرجوعی خرید","",IF(INDEX(PCAmount,$N163)&lt;=0,"",INDEX(PCAmount,$N163))),IF($O163&lt;&gt;"",IF(INDEX(TxnDepB,$O163)=0,"",INDEX(TxnDepB,$O163)),""))</f>
        <v/>
      </c>
      <c r="J163" s="19">
        <f>IF($N163&lt;&gt;"",IF(INDEX(PCOp,$N163)="مرجوعی خرید",IF(INDEX(PCAmount,$N163)=0,"",-INDEX(PCAmount,$N163)),""),IF($O163&lt;&gt;"",IF(INDEX(TxnWitB,$O163)=0,"",INDEX(TxnWitB,$O163)),""))</f>
        <v/>
      </c>
      <c r="K163" s="21">
        <f>IF($B163="","",IF($K162="",$C$10,$K162)+IF($I163="",0,$I163)-IF($J163="",0,$J163))</f>
        <v/>
      </c>
      <c r="L163" s="22">
        <f>IF($N163&lt;&gt;"",IF(INDEX(PCNotes,$N163)="","—",INDEX(PCNotes,$N163)),IF($O163&lt;&gt;"",IF(INDEX(LdgNoteB,$O163)="","—",INDEX(LdgNoteB,$O163)),""))</f>
        <v/>
      </c>
      <c r="N163">
        <f>IFERROR(MATCH($C$5&amp;"|"&amp;RIGHT("000000"&amp;147,6),LdgRankKeyA,0),"")</f>
        <v/>
      </c>
      <c r="O163">
        <f>IFERROR(MATCH($C$5&amp;"|"&amp;RIGHT("000000"&amp;147,6),LdgRankKeyB,0),"")</f>
        <v/>
      </c>
    </row>
    <row r="164">
      <c r="A164" s="23" t="n">
        <v>148</v>
      </c>
      <c r="B164" s="24">
        <f>IF(AND($N164="",$O164=""),"",IF($N164&lt;&gt;"",INDEX(PCNormDate,$N164),INDEX(LdgDateB,$O164)))</f>
        <v/>
      </c>
      <c r="C164" s="24">
        <f>IF($N164&lt;&gt;"",INDEX(PCOp,$N164),IF($O164&lt;&gt;"",IF(N(INDEX(TxnDepB,$O164))&gt;0,"دریافت بانکی","پرداخت بانکی"),""))</f>
        <v/>
      </c>
      <c r="D164" s="24">
        <f>IF($N164&lt;&gt;"",IF(INDEX(PCDoc,$N164)="","—",INDEX(PCDoc,$N164)),IF($O164&lt;&gt;"",INDEX(LdgBankB,$O164),""))</f>
        <v/>
      </c>
      <c r="E164" s="24">
        <f>IF($N164&lt;&gt;"",IF(INDEX(PCCitrus,$N164)="","—",INDEX(PCCitrus,$N164)),"")</f>
        <v/>
      </c>
      <c r="F164" s="25">
        <f>IF($N164&lt;&gt;"",IF(INDEX(PCScale,$N164)=0,"",INDEX(PCScale,$N164)),"")</f>
        <v/>
      </c>
      <c r="G164" s="25">
        <f>IF($N164&lt;&gt;"",IF(INDEX(PCBaskets,$N164)=0,"",INDEX(PCBaskets,$N164)),"")</f>
        <v/>
      </c>
      <c r="H164" s="26">
        <f>IF($N164&lt;&gt;"",IF(INDEX(PCNet,$N164)=0,"",INDEX(PCNet,$N164)),"")</f>
        <v/>
      </c>
      <c r="I164" s="25">
        <f>IF($N164&lt;&gt;"",IF(INDEX(PCOp,$N164)="مرجوعی خرید","",IF(INDEX(PCAmount,$N164)&lt;=0,"",INDEX(PCAmount,$N164))),IF($O164&lt;&gt;"",IF(INDEX(TxnDepB,$O164)=0,"",INDEX(TxnDepB,$O164)),""))</f>
        <v/>
      </c>
      <c r="J164" s="25">
        <f>IF($N164&lt;&gt;"",IF(INDEX(PCOp,$N164)="مرجوعی خرید",IF(INDEX(PCAmount,$N164)=0,"",-INDEX(PCAmount,$N164)),""),IF($O164&lt;&gt;"",IF(INDEX(TxnWitB,$O164)=0,"",INDEX(TxnWitB,$O164)),""))</f>
        <v/>
      </c>
      <c r="K164" s="27">
        <f>IF($B164="","",IF($K163="",$C$10,$K163)+IF($I164="",0,$I164)-IF($J164="",0,$J164))</f>
        <v/>
      </c>
      <c r="L164" s="28">
        <f>IF($N164&lt;&gt;"",IF(INDEX(PCNotes,$N164)="","—",INDEX(PCNotes,$N164)),IF($O164&lt;&gt;"",IF(INDEX(LdgNoteB,$O164)="","—",INDEX(LdgNoteB,$O164)),""))</f>
        <v/>
      </c>
      <c r="N164">
        <f>IFERROR(MATCH($C$5&amp;"|"&amp;RIGHT("000000"&amp;148,6),LdgRankKeyA,0),"")</f>
        <v/>
      </c>
      <c r="O164">
        <f>IFERROR(MATCH($C$5&amp;"|"&amp;RIGHT("000000"&amp;148,6),LdgRankKeyB,0),"")</f>
        <v/>
      </c>
    </row>
    <row r="165">
      <c r="A165" s="17" t="n">
        <v>149</v>
      </c>
      <c r="B165" s="18">
        <f>IF(AND($N165="",$O165=""),"",IF($N165&lt;&gt;"",INDEX(PCNormDate,$N165),INDEX(LdgDateB,$O165)))</f>
        <v/>
      </c>
      <c r="C165" s="18">
        <f>IF($N165&lt;&gt;"",INDEX(PCOp,$N165),IF($O165&lt;&gt;"",IF(N(INDEX(TxnDepB,$O165))&gt;0,"دریافت بانکی","پرداخت بانکی"),""))</f>
        <v/>
      </c>
      <c r="D165" s="18">
        <f>IF($N165&lt;&gt;"",IF(INDEX(PCDoc,$N165)="","—",INDEX(PCDoc,$N165)),IF($O165&lt;&gt;"",INDEX(LdgBankB,$O165),""))</f>
        <v/>
      </c>
      <c r="E165" s="18">
        <f>IF($N165&lt;&gt;"",IF(INDEX(PCCitrus,$N165)="","—",INDEX(PCCitrus,$N165)),"")</f>
        <v/>
      </c>
      <c r="F165" s="19">
        <f>IF($N165&lt;&gt;"",IF(INDEX(PCScale,$N165)=0,"",INDEX(PCScale,$N165)),"")</f>
        <v/>
      </c>
      <c r="G165" s="19">
        <f>IF($N165&lt;&gt;"",IF(INDEX(PCBaskets,$N165)=0,"",INDEX(PCBaskets,$N165)),"")</f>
        <v/>
      </c>
      <c r="H165" s="20">
        <f>IF($N165&lt;&gt;"",IF(INDEX(PCNet,$N165)=0,"",INDEX(PCNet,$N165)),"")</f>
        <v/>
      </c>
      <c r="I165" s="19">
        <f>IF($N165&lt;&gt;"",IF(INDEX(PCOp,$N165)="مرجوعی خرید","",IF(INDEX(PCAmount,$N165)&lt;=0,"",INDEX(PCAmount,$N165))),IF($O165&lt;&gt;"",IF(INDEX(TxnDepB,$O165)=0,"",INDEX(TxnDepB,$O165)),""))</f>
        <v/>
      </c>
      <c r="J165" s="19">
        <f>IF($N165&lt;&gt;"",IF(INDEX(PCOp,$N165)="مرجوعی خرید",IF(INDEX(PCAmount,$N165)=0,"",-INDEX(PCAmount,$N165)),""),IF($O165&lt;&gt;"",IF(INDEX(TxnWitB,$O165)=0,"",INDEX(TxnWitB,$O165)),""))</f>
        <v/>
      </c>
      <c r="K165" s="21">
        <f>IF($B165="","",IF($K164="",$C$10,$K164)+IF($I165="",0,$I165)-IF($J165="",0,$J165))</f>
        <v/>
      </c>
      <c r="L165" s="22">
        <f>IF($N165&lt;&gt;"",IF(INDEX(PCNotes,$N165)="","—",INDEX(PCNotes,$N165)),IF($O165&lt;&gt;"",IF(INDEX(LdgNoteB,$O165)="","—",INDEX(LdgNoteB,$O165)),""))</f>
        <v/>
      </c>
      <c r="N165">
        <f>IFERROR(MATCH($C$5&amp;"|"&amp;RIGHT("000000"&amp;149,6),LdgRankKeyA,0),"")</f>
        <v/>
      </c>
      <c r="O165">
        <f>IFERROR(MATCH($C$5&amp;"|"&amp;RIGHT("000000"&amp;149,6),LdgRankKeyB,0),"")</f>
        <v/>
      </c>
    </row>
    <row r="166">
      <c r="A166" s="23" t="n">
        <v>150</v>
      </c>
      <c r="B166" s="24">
        <f>IF(AND($N166="",$O166=""),"",IF($N166&lt;&gt;"",INDEX(PCNormDate,$N166),INDEX(LdgDateB,$O166)))</f>
        <v/>
      </c>
      <c r="C166" s="24">
        <f>IF($N166&lt;&gt;"",INDEX(PCOp,$N166),IF($O166&lt;&gt;"",IF(N(INDEX(TxnDepB,$O166))&gt;0,"دریافت بانکی","پرداخت بانکی"),""))</f>
        <v/>
      </c>
      <c r="D166" s="24">
        <f>IF($N166&lt;&gt;"",IF(INDEX(PCDoc,$N166)="","—",INDEX(PCDoc,$N166)),IF($O166&lt;&gt;"",INDEX(LdgBankB,$O166),""))</f>
        <v/>
      </c>
      <c r="E166" s="24">
        <f>IF($N166&lt;&gt;"",IF(INDEX(PCCitrus,$N166)="","—",INDEX(PCCitrus,$N166)),"")</f>
        <v/>
      </c>
      <c r="F166" s="25">
        <f>IF($N166&lt;&gt;"",IF(INDEX(PCScale,$N166)=0,"",INDEX(PCScale,$N166)),"")</f>
        <v/>
      </c>
      <c r="G166" s="25">
        <f>IF($N166&lt;&gt;"",IF(INDEX(PCBaskets,$N166)=0,"",INDEX(PCBaskets,$N166)),"")</f>
        <v/>
      </c>
      <c r="H166" s="26">
        <f>IF($N166&lt;&gt;"",IF(INDEX(PCNet,$N166)=0,"",INDEX(PCNet,$N166)),"")</f>
        <v/>
      </c>
      <c r="I166" s="25">
        <f>IF($N166&lt;&gt;"",IF(INDEX(PCOp,$N166)="مرجوعی خرید","",IF(INDEX(PCAmount,$N166)&lt;=0,"",INDEX(PCAmount,$N166))),IF($O166&lt;&gt;"",IF(INDEX(TxnDepB,$O166)=0,"",INDEX(TxnDepB,$O166)),""))</f>
        <v/>
      </c>
      <c r="J166" s="25">
        <f>IF($N166&lt;&gt;"",IF(INDEX(PCOp,$N166)="مرجوعی خرید",IF(INDEX(PCAmount,$N166)=0,"",-INDEX(PCAmount,$N166)),""),IF($O166&lt;&gt;"",IF(INDEX(TxnWitB,$O166)=0,"",INDEX(TxnWitB,$O166)),""))</f>
        <v/>
      </c>
      <c r="K166" s="27">
        <f>IF($B166="","",IF($K165="",$C$10,$K165)+IF($I166="",0,$I166)-IF($J166="",0,$J166))</f>
        <v/>
      </c>
      <c r="L166" s="28">
        <f>IF($N166&lt;&gt;"",IF(INDEX(PCNotes,$N166)="","—",INDEX(PCNotes,$N166)),IF($O166&lt;&gt;"",IF(INDEX(LdgNoteB,$O166)="","—",INDEX(LdgNoteB,$O166)),""))</f>
        <v/>
      </c>
      <c r="N166">
        <f>IFERROR(MATCH($C$5&amp;"|"&amp;RIGHT("000000"&amp;150,6),LdgRankKeyA,0),"")</f>
        <v/>
      </c>
      <c r="O166">
        <f>IFERROR(MATCH($C$5&amp;"|"&amp;RIGHT("000000"&amp;150,6),LdgRankKeyB,0),"")</f>
        <v/>
      </c>
    </row>
    <row r="167">
      <c r="A167" s="17" t="n">
        <v>151</v>
      </c>
      <c r="B167" s="18">
        <f>IF(AND($N167="",$O167=""),"",IF($N167&lt;&gt;"",INDEX(PCNormDate,$N167),INDEX(LdgDateB,$O167)))</f>
        <v/>
      </c>
      <c r="C167" s="18">
        <f>IF($N167&lt;&gt;"",INDEX(PCOp,$N167),IF($O167&lt;&gt;"",IF(N(INDEX(TxnDepB,$O167))&gt;0,"دریافت بانکی","پرداخت بانکی"),""))</f>
        <v/>
      </c>
      <c r="D167" s="18">
        <f>IF($N167&lt;&gt;"",IF(INDEX(PCDoc,$N167)="","—",INDEX(PCDoc,$N167)),IF($O167&lt;&gt;"",INDEX(LdgBankB,$O167),""))</f>
        <v/>
      </c>
      <c r="E167" s="18">
        <f>IF($N167&lt;&gt;"",IF(INDEX(PCCitrus,$N167)="","—",INDEX(PCCitrus,$N167)),"")</f>
        <v/>
      </c>
      <c r="F167" s="19">
        <f>IF($N167&lt;&gt;"",IF(INDEX(PCScale,$N167)=0,"",INDEX(PCScale,$N167)),"")</f>
        <v/>
      </c>
      <c r="G167" s="19">
        <f>IF($N167&lt;&gt;"",IF(INDEX(PCBaskets,$N167)=0,"",INDEX(PCBaskets,$N167)),"")</f>
        <v/>
      </c>
      <c r="H167" s="20">
        <f>IF($N167&lt;&gt;"",IF(INDEX(PCNet,$N167)=0,"",INDEX(PCNet,$N167)),"")</f>
        <v/>
      </c>
      <c r="I167" s="19">
        <f>IF($N167&lt;&gt;"",IF(INDEX(PCOp,$N167)="مرجوعی خرید","",IF(INDEX(PCAmount,$N167)&lt;=0,"",INDEX(PCAmount,$N167))),IF($O167&lt;&gt;"",IF(INDEX(TxnDepB,$O167)=0,"",INDEX(TxnDepB,$O167)),""))</f>
        <v/>
      </c>
      <c r="J167" s="19">
        <f>IF($N167&lt;&gt;"",IF(INDEX(PCOp,$N167)="مرجوعی خرید",IF(INDEX(PCAmount,$N167)=0,"",-INDEX(PCAmount,$N167)),""),IF($O167&lt;&gt;"",IF(INDEX(TxnWitB,$O167)=0,"",INDEX(TxnWitB,$O167)),""))</f>
        <v/>
      </c>
      <c r="K167" s="21">
        <f>IF($B167="","",IF($K166="",$C$10,$K166)+IF($I167="",0,$I167)-IF($J167="",0,$J167))</f>
        <v/>
      </c>
      <c r="L167" s="22">
        <f>IF($N167&lt;&gt;"",IF(INDEX(PCNotes,$N167)="","—",INDEX(PCNotes,$N167)),IF($O167&lt;&gt;"",IF(INDEX(LdgNoteB,$O167)="","—",INDEX(LdgNoteB,$O167)),""))</f>
        <v/>
      </c>
      <c r="N167">
        <f>IFERROR(MATCH($C$5&amp;"|"&amp;RIGHT("000000"&amp;151,6),LdgRankKeyA,0),"")</f>
        <v/>
      </c>
      <c r="O167">
        <f>IFERROR(MATCH($C$5&amp;"|"&amp;RIGHT("000000"&amp;151,6),LdgRankKeyB,0),"")</f>
        <v/>
      </c>
    </row>
    <row r="168">
      <c r="A168" s="23" t="n">
        <v>152</v>
      </c>
      <c r="B168" s="24">
        <f>IF(AND($N168="",$O168=""),"",IF($N168&lt;&gt;"",INDEX(PCNormDate,$N168),INDEX(LdgDateB,$O168)))</f>
        <v/>
      </c>
      <c r="C168" s="24">
        <f>IF($N168&lt;&gt;"",INDEX(PCOp,$N168),IF($O168&lt;&gt;"",IF(N(INDEX(TxnDepB,$O168))&gt;0,"دریافت بانکی","پرداخت بانکی"),""))</f>
        <v/>
      </c>
      <c r="D168" s="24">
        <f>IF($N168&lt;&gt;"",IF(INDEX(PCDoc,$N168)="","—",INDEX(PCDoc,$N168)),IF($O168&lt;&gt;"",INDEX(LdgBankB,$O168),""))</f>
        <v/>
      </c>
      <c r="E168" s="24">
        <f>IF($N168&lt;&gt;"",IF(INDEX(PCCitrus,$N168)="","—",INDEX(PCCitrus,$N168)),"")</f>
        <v/>
      </c>
      <c r="F168" s="25">
        <f>IF($N168&lt;&gt;"",IF(INDEX(PCScale,$N168)=0,"",INDEX(PCScale,$N168)),"")</f>
        <v/>
      </c>
      <c r="G168" s="25">
        <f>IF($N168&lt;&gt;"",IF(INDEX(PCBaskets,$N168)=0,"",INDEX(PCBaskets,$N168)),"")</f>
        <v/>
      </c>
      <c r="H168" s="26">
        <f>IF($N168&lt;&gt;"",IF(INDEX(PCNet,$N168)=0,"",INDEX(PCNet,$N168)),"")</f>
        <v/>
      </c>
      <c r="I168" s="25">
        <f>IF($N168&lt;&gt;"",IF(INDEX(PCOp,$N168)="مرجوعی خرید","",IF(INDEX(PCAmount,$N168)&lt;=0,"",INDEX(PCAmount,$N168))),IF($O168&lt;&gt;"",IF(INDEX(TxnDepB,$O168)=0,"",INDEX(TxnDepB,$O168)),""))</f>
        <v/>
      </c>
      <c r="J168" s="25">
        <f>IF($N168&lt;&gt;"",IF(INDEX(PCOp,$N168)="مرجوعی خرید",IF(INDEX(PCAmount,$N168)=0,"",-INDEX(PCAmount,$N168)),""),IF($O168&lt;&gt;"",IF(INDEX(TxnWitB,$O168)=0,"",INDEX(TxnWitB,$O168)),""))</f>
        <v/>
      </c>
      <c r="K168" s="27">
        <f>IF($B168="","",IF($K167="",$C$10,$K167)+IF($I168="",0,$I168)-IF($J168="",0,$J168))</f>
        <v/>
      </c>
      <c r="L168" s="28">
        <f>IF($N168&lt;&gt;"",IF(INDEX(PCNotes,$N168)="","—",INDEX(PCNotes,$N168)),IF($O168&lt;&gt;"",IF(INDEX(LdgNoteB,$O168)="","—",INDEX(LdgNoteB,$O168)),""))</f>
        <v/>
      </c>
      <c r="N168">
        <f>IFERROR(MATCH($C$5&amp;"|"&amp;RIGHT("000000"&amp;152,6),LdgRankKeyA,0),"")</f>
        <v/>
      </c>
      <c r="O168">
        <f>IFERROR(MATCH($C$5&amp;"|"&amp;RIGHT("000000"&amp;152,6),LdgRankKeyB,0),"")</f>
        <v/>
      </c>
    </row>
    <row r="169">
      <c r="A169" s="17" t="n">
        <v>153</v>
      </c>
      <c r="B169" s="18">
        <f>IF(AND($N169="",$O169=""),"",IF($N169&lt;&gt;"",INDEX(PCNormDate,$N169),INDEX(LdgDateB,$O169)))</f>
        <v/>
      </c>
      <c r="C169" s="18">
        <f>IF($N169&lt;&gt;"",INDEX(PCOp,$N169),IF($O169&lt;&gt;"",IF(N(INDEX(TxnDepB,$O169))&gt;0,"دریافت بانکی","پرداخت بانکی"),""))</f>
        <v/>
      </c>
      <c r="D169" s="18">
        <f>IF($N169&lt;&gt;"",IF(INDEX(PCDoc,$N169)="","—",INDEX(PCDoc,$N169)),IF($O169&lt;&gt;"",INDEX(LdgBankB,$O169),""))</f>
        <v/>
      </c>
      <c r="E169" s="18">
        <f>IF($N169&lt;&gt;"",IF(INDEX(PCCitrus,$N169)="","—",INDEX(PCCitrus,$N169)),"")</f>
        <v/>
      </c>
      <c r="F169" s="19">
        <f>IF($N169&lt;&gt;"",IF(INDEX(PCScale,$N169)=0,"",INDEX(PCScale,$N169)),"")</f>
        <v/>
      </c>
      <c r="G169" s="19">
        <f>IF($N169&lt;&gt;"",IF(INDEX(PCBaskets,$N169)=0,"",INDEX(PCBaskets,$N169)),"")</f>
        <v/>
      </c>
      <c r="H169" s="20">
        <f>IF($N169&lt;&gt;"",IF(INDEX(PCNet,$N169)=0,"",INDEX(PCNet,$N169)),"")</f>
        <v/>
      </c>
      <c r="I169" s="19">
        <f>IF($N169&lt;&gt;"",IF(INDEX(PCOp,$N169)="مرجوعی خرید","",IF(INDEX(PCAmount,$N169)&lt;=0,"",INDEX(PCAmount,$N169))),IF($O169&lt;&gt;"",IF(INDEX(TxnDepB,$O169)=0,"",INDEX(TxnDepB,$O169)),""))</f>
        <v/>
      </c>
      <c r="J169" s="19">
        <f>IF($N169&lt;&gt;"",IF(INDEX(PCOp,$N169)="مرجوعی خرید",IF(INDEX(PCAmount,$N169)=0,"",-INDEX(PCAmount,$N169)),""),IF($O169&lt;&gt;"",IF(INDEX(TxnWitB,$O169)=0,"",INDEX(TxnWitB,$O169)),""))</f>
        <v/>
      </c>
      <c r="K169" s="21">
        <f>IF($B169="","",IF($K168="",$C$10,$K168)+IF($I169="",0,$I169)-IF($J169="",0,$J169))</f>
        <v/>
      </c>
      <c r="L169" s="22">
        <f>IF($N169&lt;&gt;"",IF(INDEX(PCNotes,$N169)="","—",INDEX(PCNotes,$N169)),IF($O169&lt;&gt;"",IF(INDEX(LdgNoteB,$O169)="","—",INDEX(LdgNoteB,$O169)),""))</f>
        <v/>
      </c>
      <c r="N169">
        <f>IFERROR(MATCH($C$5&amp;"|"&amp;RIGHT("000000"&amp;153,6),LdgRankKeyA,0),"")</f>
        <v/>
      </c>
      <c r="O169">
        <f>IFERROR(MATCH($C$5&amp;"|"&amp;RIGHT("000000"&amp;153,6),LdgRankKeyB,0),"")</f>
        <v/>
      </c>
    </row>
    <row r="170">
      <c r="A170" s="23" t="n">
        <v>154</v>
      </c>
      <c r="B170" s="24">
        <f>IF(AND($N170="",$O170=""),"",IF($N170&lt;&gt;"",INDEX(PCNormDate,$N170),INDEX(LdgDateB,$O170)))</f>
        <v/>
      </c>
      <c r="C170" s="24">
        <f>IF($N170&lt;&gt;"",INDEX(PCOp,$N170),IF($O170&lt;&gt;"",IF(N(INDEX(TxnDepB,$O170))&gt;0,"دریافت بانکی","پرداخت بانکی"),""))</f>
        <v/>
      </c>
      <c r="D170" s="24">
        <f>IF($N170&lt;&gt;"",IF(INDEX(PCDoc,$N170)="","—",INDEX(PCDoc,$N170)),IF($O170&lt;&gt;"",INDEX(LdgBankB,$O170),""))</f>
        <v/>
      </c>
      <c r="E170" s="24">
        <f>IF($N170&lt;&gt;"",IF(INDEX(PCCitrus,$N170)="","—",INDEX(PCCitrus,$N170)),"")</f>
        <v/>
      </c>
      <c r="F170" s="25">
        <f>IF($N170&lt;&gt;"",IF(INDEX(PCScale,$N170)=0,"",INDEX(PCScale,$N170)),"")</f>
        <v/>
      </c>
      <c r="G170" s="25">
        <f>IF($N170&lt;&gt;"",IF(INDEX(PCBaskets,$N170)=0,"",INDEX(PCBaskets,$N170)),"")</f>
        <v/>
      </c>
      <c r="H170" s="26">
        <f>IF($N170&lt;&gt;"",IF(INDEX(PCNet,$N170)=0,"",INDEX(PCNet,$N170)),"")</f>
        <v/>
      </c>
      <c r="I170" s="25">
        <f>IF($N170&lt;&gt;"",IF(INDEX(PCOp,$N170)="مرجوعی خرید","",IF(INDEX(PCAmount,$N170)&lt;=0,"",INDEX(PCAmount,$N170))),IF($O170&lt;&gt;"",IF(INDEX(TxnDepB,$O170)=0,"",INDEX(TxnDepB,$O170)),""))</f>
        <v/>
      </c>
      <c r="J170" s="25">
        <f>IF($N170&lt;&gt;"",IF(INDEX(PCOp,$N170)="مرجوعی خرید",IF(INDEX(PCAmount,$N170)=0,"",-INDEX(PCAmount,$N170)),""),IF($O170&lt;&gt;"",IF(INDEX(TxnWitB,$O170)=0,"",INDEX(TxnWitB,$O170)),""))</f>
        <v/>
      </c>
      <c r="K170" s="27">
        <f>IF($B170="","",IF($K169="",$C$10,$K169)+IF($I170="",0,$I170)-IF($J170="",0,$J170))</f>
        <v/>
      </c>
      <c r="L170" s="28">
        <f>IF($N170&lt;&gt;"",IF(INDEX(PCNotes,$N170)="","—",INDEX(PCNotes,$N170)),IF($O170&lt;&gt;"",IF(INDEX(LdgNoteB,$O170)="","—",INDEX(LdgNoteB,$O170)),""))</f>
        <v/>
      </c>
      <c r="N170">
        <f>IFERROR(MATCH($C$5&amp;"|"&amp;RIGHT("000000"&amp;154,6),LdgRankKeyA,0),"")</f>
        <v/>
      </c>
      <c r="O170">
        <f>IFERROR(MATCH($C$5&amp;"|"&amp;RIGHT("000000"&amp;154,6),LdgRankKeyB,0),"")</f>
        <v/>
      </c>
    </row>
    <row r="171">
      <c r="A171" s="17" t="n">
        <v>155</v>
      </c>
      <c r="B171" s="18">
        <f>IF(AND($N171="",$O171=""),"",IF($N171&lt;&gt;"",INDEX(PCNormDate,$N171),INDEX(LdgDateB,$O171)))</f>
        <v/>
      </c>
      <c r="C171" s="18">
        <f>IF($N171&lt;&gt;"",INDEX(PCOp,$N171),IF($O171&lt;&gt;"",IF(N(INDEX(TxnDepB,$O171))&gt;0,"دریافت بانکی","پرداخت بانکی"),""))</f>
        <v/>
      </c>
      <c r="D171" s="18">
        <f>IF($N171&lt;&gt;"",IF(INDEX(PCDoc,$N171)="","—",INDEX(PCDoc,$N171)),IF($O171&lt;&gt;"",INDEX(LdgBankB,$O171),""))</f>
        <v/>
      </c>
      <c r="E171" s="18">
        <f>IF($N171&lt;&gt;"",IF(INDEX(PCCitrus,$N171)="","—",INDEX(PCCitrus,$N171)),"")</f>
        <v/>
      </c>
      <c r="F171" s="19">
        <f>IF($N171&lt;&gt;"",IF(INDEX(PCScale,$N171)=0,"",INDEX(PCScale,$N171)),"")</f>
        <v/>
      </c>
      <c r="G171" s="19">
        <f>IF($N171&lt;&gt;"",IF(INDEX(PCBaskets,$N171)=0,"",INDEX(PCBaskets,$N171)),"")</f>
        <v/>
      </c>
      <c r="H171" s="20">
        <f>IF($N171&lt;&gt;"",IF(INDEX(PCNet,$N171)=0,"",INDEX(PCNet,$N171)),"")</f>
        <v/>
      </c>
      <c r="I171" s="19">
        <f>IF($N171&lt;&gt;"",IF(INDEX(PCOp,$N171)="مرجوعی خرید","",IF(INDEX(PCAmount,$N171)&lt;=0,"",INDEX(PCAmount,$N171))),IF($O171&lt;&gt;"",IF(INDEX(TxnDepB,$O171)=0,"",INDEX(TxnDepB,$O171)),""))</f>
        <v/>
      </c>
      <c r="J171" s="19">
        <f>IF($N171&lt;&gt;"",IF(INDEX(PCOp,$N171)="مرجوعی خرید",IF(INDEX(PCAmount,$N171)=0,"",-INDEX(PCAmount,$N171)),""),IF($O171&lt;&gt;"",IF(INDEX(TxnWitB,$O171)=0,"",INDEX(TxnWitB,$O171)),""))</f>
        <v/>
      </c>
      <c r="K171" s="21">
        <f>IF($B171="","",IF($K170="",$C$10,$K170)+IF($I171="",0,$I171)-IF($J171="",0,$J171))</f>
        <v/>
      </c>
      <c r="L171" s="22">
        <f>IF($N171&lt;&gt;"",IF(INDEX(PCNotes,$N171)="","—",INDEX(PCNotes,$N171)),IF($O171&lt;&gt;"",IF(INDEX(LdgNoteB,$O171)="","—",INDEX(LdgNoteB,$O171)),""))</f>
        <v/>
      </c>
      <c r="N171">
        <f>IFERROR(MATCH($C$5&amp;"|"&amp;RIGHT("000000"&amp;155,6),LdgRankKeyA,0),"")</f>
        <v/>
      </c>
      <c r="O171">
        <f>IFERROR(MATCH($C$5&amp;"|"&amp;RIGHT("000000"&amp;155,6),LdgRankKeyB,0),"")</f>
        <v/>
      </c>
    </row>
    <row r="172">
      <c r="A172" s="23" t="n">
        <v>156</v>
      </c>
      <c r="B172" s="24">
        <f>IF(AND($N172="",$O172=""),"",IF($N172&lt;&gt;"",INDEX(PCNormDate,$N172),INDEX(LdgDateB,$O172)))</f>
        <v/>
      </c>
      <c r="C172" s="24">
        <f>IF($N172&lt;&gt;"",INDEX(PCOp,$N172),IF($O172&lt;&gt;"",IF(N(INDEX(TxnDepB,$O172))&gt;0,"دریافت بانکی","پرداخت بانکی"),""))</f>
        <v/>
      </c>
      <c r="D172" s="24">
        <f>IF($N172&lt;&gt;"",IF(INDEX(PCDoc,$N172)="","—",INDEX(PCDoc,$N172)),IF($O172&lt;&gt;"",INDEX(LdgBankB,$O172),""))</f>
        <v/>
      </c>
      <c r="E172" s="24">
        <f>IF($N172&lt;&gt;"",IF(INDEX(PCCitrus,$N172)="","—",INDEX(PCCitrus,$N172)),"")</f>
        <v/>
      </c>
      <c r="F172" s="25">
        <f>IF($N172&lt;&gt;"",IF(INDEX(PCScale,$N172)=0,"",INDEX(PCScale,$N172)),"")</f>
        <v/>
      </c>
      <c r="G172" s="25">
        <f>IF($N172&lt;&gt;"",IF(INDEX(PCBaskets,$N172)=0,"",INDEX(PCBaskets,$N172)),"")</f>
        <v/>
      </c>
      <c r="H172" s="26">
        <f>IF($N172&lt;&gt;"",IF(INDEX(PCNet,$N172)=0,"",INDEX(PCNet,$N172)),"")</f>
        <v/>
      </c>
      <c r="I172" s="25">
        <f>IF($N172&lt;&gt;"",IF(INDEX(PCOp,$N172)="مرجوعی خرید","",IF(INDEX(PCAmount,$N172)&lt;=0,"",INDEX(PCAmount,$N172))),IF($O172&lt;&gt;"",IF(INDEX(TxnDepB,$O172)=0,"",INDEX(TxnDepB,$O172)),""))</f>
        <v/>
      </c>
      <c r="J172" s="25">
        <f>IF($N172&lt;&gt;"",IF(INDEX(PCOp,$N172)="مرجوعی خرید",IF(INDEX(PCAmount,$N172)=0,"",-INDEX(PCAmount,$N172)),""),IF($O172&lt;&gt;"",IF(INDEX(TxnWitB,$O172)=0,"",INDEX(TxnWitB,$O172)),""))</f>
        <v/>
      </c>
      <c r="K172" s="27">
        <f>IF($B172="","",IF($K171="",$C$10,$K171)+IF($I172="",0,$I172)-IF($J172="",0,$J172))</f>
        <v/>
      </c>
      <c r="L172" s="28">
        <f>IF($N172&lt;&gt;"",IF(INDEX(PCNotes,$N172)="","—",INDEX(PCNotes,$N172)),IF($O172&lt;&gt;"",IF(INDEX(LdgNoteB,$O172)="","—",INDEX(LdgNoteB,$O172)),""))</f>
        <v/>
      </c>
      <c r="N172">
        <f>IFERROR(MATCH($C$5&amp;"|"&amp;RIGHT("000000"&amp;156,6),LdgRankKeyA,0),"")</f>
        <v/>
      </c>
      <c r="O172">
        <f>IFERROR(MATCH($C$5&amp;"|"&amp;RIGHT("000000"&amp;156,6),LdgRankKeyB,0),"")</f>
        <v/>
      </c>
    </row>
    <row r="173">
      <c r="A173" s="17" t="n">
        <v>157</v>
      </c>
      <c r="B173" s="18">
        <f>IF(AND($N173="",$O173=""),"",IF($N173&lt;&gt;"",INDEX(PCNormDate,$N173),INDEX(LdgDateB,$O173)))</f>
        <v/>
      </c>
      <c r="C173" s="18">
        <f>IF($N173&lt;&gt;"",INDEX(PCOp,$N173),IF($O173&lt;&gt;"",IF(N(INDEX(TxnDepB,$O173))&gt;0,"دریافت بانکی","پرداخت بانکی"),""))</f>
        <v/>
      </c>
      <c r="D173" s="18">
        <f>IF($N173&lt;&gt;"",IF(INDEX(PCDoc,$N173)="","—",INDEX(PCDoc,$N173)),IF($O173&lt;&gt;"",INDEX(LdgBankB,$O173),""))</f>
        <v/>
      </c>
      <c r="E173" s="18">
        <f>IF($N173&lt;&gt;"",IF(INDEX(PCCitrus,$N173)="","—",INDEX(PCCitrus,$N173)),"")</f>
        <v/>
      </c>
      <c r="F173" s="19">
        <f>IF($N173&lt;&gt;"",IF(INDEX(PCScale,$N173)=0,"",INDEX(PCScale,$N173)),"")</f>
        <v/>
      </c>
      <c r="G173" s="19">
        <f>IF($N173&lt;&gt;"",IF(INDEX(PCBaskets,$N173)=0,"",INDEX(PCBaskets,$N173)),"")</f>
        <v/>
      </c>
      <c r="H173" s="20">
        <f>IF($N173&lt;&gt;"",IF(INDEX(PCNet,$N173)=0,"",INDEX(PCNet,$N173)),"")</f>
        <v/>
      </c>
      <c r="I173" s="19">
        <f>IF($N173&lt;&gt;"",IF(INDEX(PCOp,$N173)="مرجوعی خرید","",IF(INDEX(PCAmount,$N173)&lt;=0,"",INDEX(PCAmount,$N173))),IF($O173&lt;&gt;"",IF(INDEX(TxnDepB,$O173)=0,"",INDEX(TxnDepB,$O173)),""))</f>
        <v/>
      </c>
      <c r="J173" s="19">
        <f>IF($N173&lt;&gt;"",IF(INDEX(PCOp,$N173)="مرجوعی خرید",IF(INDEX(PCAmount,$N173)=0,"",-INDEX(PCAmount,$N173)),""),IF($O173&lt;&gt;"",IF(INDEX(TxnWitB,$O173)=0,"",INDEX(TxnWitB,$O173)),""))</f>
        <v/>
      </c>
      <c r="K173" s="21">
        <f>IF($B173="","",IF($K172="",$C$10,$K172)+IF($I173="",0,$I173)-IF($J173="",0,$J173))</f>
        <v/>
      </c>
      <c r="L173" s="22">
        <f>IF($N173&lt;&gt;"",IF(INDEX(PCNotes,$N173)="","—",INDEX(PCNotes,$N173)),IF($O173&lt;&gt;"",IF(INDEX(LdgNoteB,$O173)="","—",INDEX(LdgNoteB,$O173)),""))</f>
        <v/>
      </c>
      <c r="N173">
        <f>IFERROR(MATCH($C$5&amp;"|"&amp;RIGHT("000000"&amp;157,6),LdgRankKeyA,0),"")</f>
        <v/>
      </c>
      <c r="O173">
        <f>IFERROR(MATCH($C$5&amp;"|"&amp;RIGHT("000000"&amp;157,6),LdgRankKeyB,0),"")</f>
        <v/>
      </c>
    </row>
    <row r="174">
      <c r="A174" s="23" t="n">
        <v>158</v>
      </c>
      <c r="B174" s="24">
        <f>IF(AND($N174="",$O174=""),"",IF($N174&lt;&gt;"",INDEX(PCNormDate,$N174),INDEX(LdgDateB,$O174)))</f>
        <v/>
      </c>
      <c r="C174" s="24">
        <f>IF($N174&lt;&gt;"",INDEX(PCOp,$N174),IF($O174&lt;&gt;"",IF(N(INDEX(TxnDepB,$O174))&gt;0,"دریافت بانکی","پرداخت بانکی"),""))</f>
        <v/>
      </c>
      <c r="D174" s="24">
        <f>IF($N174&lt;&gt;"",IF(INDEX(PCDoc,$N174)="","—",INDEX(PCDoc,$N174)),IF($O174&lt;&gt;"",INDEX(LdgBankB,$O174),""))</f>
        <v/>
      </c>
      <c r="E174" s="24">
        <f>IF($N174&lt;&gt;"",IF(INDEX(PCCitrus,$N174)="","—",INDEX(PCCitrus,$N174)),"")</f>
        <v/>
      </c>
      <c r="F174" s="25">
        <f>IF($N174&lt;&gt;"",IF(INDEX(PCScale,$N174)=0,"",INDEX(PCScale,$N174)),"")</f>
        <v/>
      </c>
      <c r="G174" s="25">
        <f>IF($N174&lt;&gt;"",IF(INDEX(PCBaskets,$N174)=0,"",INDEX(PCBaskets,$N174)),"")</f>
        <v/>
      </c>
      <c r="H174" s="26">
        <f>IF($N174&lt;&gt;"",IF(INDEX(PCNet,$N174)=0,"",INDEX(PCNet,$N174)),"")</f>
        <v/>
      </c>
      <c r="I174" s="25">
        <f>IF($N174&lt;&gt;"",IF(INDEX(PCOp,$N174)="مرجوعی خرید","",IF(INDEX(PCAmount,$N174)&lt;=0,"",INDEX(PCAmount,$N174))),IF($O174&lt;&gt;"",IF(INDEX(TxnDepB,$O174)=0,"",INDEX(TxnDepB,$O174)),""))</f>
        <v/>
      </c>
      <c r="J174" s="25">
        <f>IF($N174&lt;&gt;"",IF(INDEX(PCOp,$N174)="مرجوعی خرید",IF(INDEX(PCAmount,$N174)=0,"",-INDEX(PCAmount,$N174)),""),IF($O174&lt;&gt;"",IF(INDEX(TxnWitB,$O174)=0,"",INDEX(TxnWitB,$O174)),""))</f>
        <v/>
      </c>
      <c r="K174" s="27">
        <f>IF($B174="","",IF($K173="",$C$10,$K173)+IF($I174="",0,$I174)-IF($J174="",0,$J174))</f>
        <v/>
      </c>
      <c r="L174" s="28">
        <f>IF($N174&lt;&gt;"",IF(INDEX(PCNotes,$N174)="","—",INDEX(PCNotes,$N174)),IF($O174&lt;&gt;"",IF(INDEX(LdgNoteB,$O174)="","—",INDEX(LdgNoteB,$O174)),""))</f>
        <v/>
      </c>
      <c r="N174">
        <f>IFERROR(MATCH($C$5&amp;"|"&amp;RIGHT("000000"&amp;158,6),LdgRankKeyA,0),"")</f>
        <v/>
      </c>
      <c r="O174">
        <f>IFERROR(MATCH($C$5&amp;"|"&amp;RIGHT("000000"&amp;158,6),LdgRankKeyB,0),"")</f>
        <v/>
      </c>
    </row>
    <row r="175">
      <c r="A175" s="17" t="n">
        <v>159</v>
      </c>
      <c r="B175" s="18">
        <f>IF(AND($N175="",$O175=""),"",IF($N175&lt;&gt;"",INDEX(PCNormDate,$N175),INDEX(LdgDateB,$O175)))</f>
        <v/>
      </c>
      <c r="C175" s="18">
        <f>IF($N175&lt;&gt;"",INDEX(PCOp,$N175),IF($O175&lt;&gt;"",IF(N(INDEX(TxnDepB,$O175))&gt;0,"دریافت بانکی","پرداخت بانکی"),""))</f>
        <v/>
      </c>
      <c r="D175" s="18">
        <f>IF($N175&lt;&gt;"",IF(INDEX(PCDoc,$N175)="","—",INDEX(PCDoc,$N175)),IF($O175&lt;&gt;"",INDEX(LdgBankB,$O175),""))</f>
        <v/>
      </c>
      <c r="E175" s="18">
        <f>IF($N175&lt;&gt;"",IF(INDEX(PCCitrus,$N175)="","—",INDEX(PCCitrus,$N175)),"")</f>
        <v/>
      </c>
      <c r="F175" s="19">
        <f>IF($N175&lt;&gt;"",IF(INDEX(PCScale,$N175)=0,"",INDEX(PCScale,$N175)),"")</f>
        <v/>
      </c>
      <c r="G175" s="19">
        <f>IF($N175&lt;&gt;"",IF(INDEX(PCBaskets,$N175)=0,"",INDEX(PCBaskets,$N175)),"")</f>
        <v/>
      </c>
      <c r="H175" s="20">
        <f>IF($N175&lt;&gt;"",IF(INDEX(PCNet,$N175)=0,"",INDEX(PCNet,$N175)),"")</f>
        <v/>
      </c>
      <c r="I175" s="19">
        <f>IF($N175&lt;&gt;"",IF(INDEX(PCOp,$N175)="مرجوعی خرید","",IF(INDEX(PCAmount,$N175)&lt;=0,"",INDEX(PCAmount,$N175))),IF($O175&lt;&gt;"",IF(INDEX(TxnDepB,$O175)=0,"",INDEX(TxnDepB,$O175)),""))</f>
        <v/>
      </c>
      <c r="J175" s="19">
        <f>IF($N175&lt;&gt;"",IF(INDEX(PCOp,$N175)="مرجوعی خرید",IF(INDEX(PCAmount,$N175)=0,"",-INDEX(PCAmount,$N175)),""),IF($O175&lt;&gt;"",IF(INDEX(TxnWitB,$O175)=0,"",INDEX(TxnWitB,$O175)),""))</f>
        <v/>
      </c>
      <c r="K175" s="21">
        <f>IF($B175="","",IF($K174="",$C$10,$K174)+IF($I175="",0,$I175)-IF($J175="",0,$J175))</f>
        <v/>
      </c>
      <c r="L175" s="22">
        <f>IF($N175&lt;&gt;"",IF(INDEX(PCNotes,$N175)="","—",INDEX(PCNotes,$N175)),IF($O175&lt;&gt;"",IF(INDEX(LdgNoteB,$O175)="","—",INDEX(LdgNoteB,$O175)),""))</f>
        <v/>
      </c>
      <c r="N175">
        <f>IFERROR(MATCH($C$5&amp;"|"&amp;RIGHT("000000"&amp;159,6),LdgRankKeyA,0),"")</f>
        <v/>
      </c>
      <c r="O175">
        <f>IFERROR(MATCH($C$5&amp;"|"&amp;RIGHT("000000"&amp;159,6),LdgRankKeyB,0),"")</f>
        <v/>
      </c>
    </row>
    <row r="176">
      <c r="A176" s="23" t="n">
        <v>160</v>
      </c>
      <c r="B176" s="24">
        <f>IF(AND($N176="",$O176=""),"",IF($N176&lt;&gt;"",INDEX(PCNormDate,$N176),INDEX(LdgDateB,$O176)))</f>
        <v/>
      </c>
      <c r="C176" s="24">
        <f>IF($N176&lt;&gt;"",INDEX(PCOp,$N176),IF($O176&lt;&gt;"",IF(N(INDEX(TxnDepB,$O176))&gt;0,"دریافت بانکی","پرداخت بانکی"),""))</f>
        <v/>
      </c>
      <c r="D176" s="24">
        <f>IF($N176&lt;&gt;"",IF(INDEX(PCDoc,$N176)="","—",INDEX(PCDoc,$N176)),IF($O176&lt;&gt;"",INDEX(LdgBankB,$O176),""))</f>
        <v/>
      </c>
      <c r="E176" s="24">
        <f>IF($N176&lt;&gt;"",IF(INDEX(PCCitrus,$N176)="","—",INDEX(PCCitrus,$N176)),"")</f>
        <v/>
      </c>
      <c r="F176" s="25">
        <f>IF($N176&lt;&gt;"",IF(INDEX(PCScale,$N176)=0,"",INDEX(PCScale,$N176)),"")</f>
        <v/>
      </c>
      <c r="G176" s="25">
        <f>IF($N176&lt;&gt;"",IF(INDEX(PCBaskets,$N176)=0,"",INDEX(PCBaskets,$N176)),"")</f>
        <v/>
      </c>
      <c r="H176" s="26">
        <f>IF($N176&lt;&gt;"",IF(INDEX(PCNet,$N176)=0,"",INDEX(PCNet,$N176)),"")</f>
        <v/>
      </c>
      <c r="I176" s="25">
        <f>IF($N176&lt;&gt;"",IF(INDEX(PCOp,$N176)="مرجوعی خرید","",IF(INDEX(PCAmount,$N176)&lt;=0,"",INDEX(PCAmount,$N176))),IF($O176&lt;&gt;"",IF(INDEX(TxnDepB,$O176)=0,"",INDEX(TxnDepB,$O176)),""))</f>
        <v/>
      </c>
      <c r="J176" s="25">
        <f>IF($N176&lt;&gt;"",IF(INDEX(PCOp,$N176)="مرجوعی خرید",IF(INDEX(PCAmount,$N176)=0,"",-INDEX(PCAmount,$N176)),""),IF($O176&lt;&gt;"",IF(INDEX(TxnWitB,$O176)=0,"",INDEX(TxnWitB,$O176)),""))</f>
        <v/>
      </c>
      <c r="K176" s="27">
        <f>IF($B176="","",IF($K175="",$C$10,$K175)+IF($I176="",0,$I176)-IF($J176="",0,$J176))</f>
        <v/>
      </c>
      <c r="L176" s="28">
        <f>IF($N176&lt;&gt;"",IF(INDEX(PCNotes,$N176)="","—",INDEX(PCNotes,$N176)),IF($O176&lt;&gt;"",IF(INDEX(LdgNoteB,$O176)="","—",INDEX(LdgNoteB,$O176)),""))</f>
        <v/>
      </c>
      <c r="N176">
        <f>IFERROR(MATCH($C$5&amp;"|"&amp;RIGHT("000000"&amp;160,6),LdgRankKeyA,0),"")</f>
        <v/>
      </c>
      <c r="O176">
        <f>IFERROR(MATCH($C$5&amp;"|"&amp;RIGHT("000000"&amp;160,6),LdgRankKeyB,0),"")</f>
        <v/>
      </c>
    </row>
    <row r="177">
      <c r="A177" s="17" t="n">
        <v>161</v>
      </c>
      <c r="B177" s="18">
        <f>IF(AND($N177="",$O177=""),"",IF($N177&lt;&gt;"",INDEX(PCNormDate,$N177),INDEX(LdgDateB,$O177)))</f>
        <v/>
      </c>
      <c r="C177" s="18">
        <f>IF($N177&lt;&gt;"",INDEX(PCOp,$N177),IF($O177&lt;&gt;"",IF(N(INDEX(TxnDepB,$O177))&gt;0,"دریافت بانکی","پرداخت بانکی"),""))</f>
        <v/>
      </c>
      <c r="D177" s="18">
        <f>IF($N177&lt;&gt;"",IF(INDEX(PCDoc,$N177)="","—",INDEX(PCDoc,$N177)),IF($O177&lt;&gt;"",INDEX(LdgBankB,$O177),""))</f>
        <v/>
      </c>
      <c r="E177" s="18">
        <f>IF($N177&lt;&gt;"",IF(INDEX(PCCitrus,$N177)="","—",INDEX(PCCitrus,$N177)),"")</f>
        <v/>
      </c>
      <c r="F177" s="19">
        <f>IF($N177&lt;&gt;"",IF(INDEX(PCScale,$N177)=0,"",INDEX(PCScale,$N177)),"")</f>
        <v/>
      </c>
      <c r="G177" s="19">
        <f>IF($N177&lt;&gt;"",IF(INDEX(PCBaskets,$N177)=0,"",INDEX(PCBaskets,$N177)),"")</f>
        <v/>
      </c>
      <c r="H177" s="20">
        <f>IF($N177&lt;&gt;"",IF(INDEX(PCNet,$N177)=0,"",INDEX(PCNet,$N177)),"")</f>
        <v/>
      </c>
      <c r="I177" s="19">
        <f>IF($N177&lt;&gt;"",IF(INDEX(PCOp,$N177)="مرجوعی خرید","",IF(INDEX(PCAmount,$N177)&lt;=0,"",INDEX(PCAmount,$N177))),IF($O177&lt;&gt;"",IF(INDEX(TxnDepB,$O177)=0,"",INDEX(TxnDepB,$O177)),""))</f>
        <v/>
      </c>
      <c r="J177" s="19">
        <f>IF($N177&lt;&gt;"",IF(INDEX(PCOp,$N177)="مرجوعی خرید",IF(INDEX(PCAmount,$N177)=0,"",-INDEX(PCAmount,$N177)),""),IF($O177&lt;&gt;"",IF(INDEX(TxnWitB,$O177)=0,"",INDEX(TxnWitB,$O177)),""))</f>
        <v/>
      </c>
      <c r="K177" s="21">
        <f>IF($B177="","",IF($K176="",$C$10,$K176)+IF($I177="",0,$I177)-IF($J177="",0,$J177))</f>
        <v/>
      </c>
      <c r="L177" s="22">
        <f>IF($N177&lt;&gt;"",IF(INDEX(PCNotes,$N177)="","—",INDEX(PCNotes,$N177)),IF($O177&lt;&gt;"",IF(INDEX(LdgNoteB,$O177)="","—",INDEX(LdgNoteB,$O177)),""))</f>
        <v/>
      </c>
      <c r="N177">
        <f>IFERROR(MATCH($C$5&amp;"|"&amp;RIGHT("000000"&amp;161,6),LdgRankKeyA,0),"")</f>
        <v/>
      </c>
      <c r="O177">
        <f>IFERROR(MATCH($C$5&amp;"|"&amp;RIGHT("000000"&amp;161,6),LdgRankKeyB,0),"")</f>
        <v/>
      </c>
    </row>
    <row r="178">
      <c r="A178" s="23" t="n">
        <v>162</v>
      </c>
      <c r="B178" s="24">
        <f>IF(AND($N178="",$O178=""),"",IF($N178&lt;&gt;"",INDEX(PCNormDate,$N178),INDEX(LdgDateB,$O178)))</f>
        <v/>
      </c>
      <c r="C178" s="24">
        <f>IF($N178&lt;&gt;"",INDEX(PCOp,$N178),IF($O178&lt;&gt;"",IF(N(INDEX(TxnDepB,$O178))&gt;0,"دریافت بانکی","پرداخت بانکی"),""))</f>
        <v/>
      </c>
      <c r="D178" s="24">
        <f>IF($N178&lt;&gt;"",IF(INDEX(PCDoc,$N178)="","—",INDEX(PCDoc,$N178)),IF($O178&lt;&gt;"",INDEX(LdgBankB,$O178),""))</f>
        <v/>
      </c>
      <c r="E178" s="24">
        <f>IF($N178&lt;&gt;"",IF(INDEX(PCCitrus,$N178)="","—",INDEX(PCCitrus,$N178)),"")</f>
        <v/>
      </c>
      <c r="F178" s="25">
        <f>IF($N178&lt;&gt;"",IF(INDEX(PCScale,$N178)=0,"",INDEX(PCScale,$N178)),"")</f>
        <v/>
      </c>
      <c r="G178" s="25">
        <f>IF($N178&lt;&gt;"",IF(INDEX(PCBaskets,$N178)=0,"",INDEX(PCBaskets,$N178)),"")</f>
        <v/>
      </c>
      <c r="H178" s="26">
        <f>IF($N178&lt;&gt;"",IF(INDEX(PCNet,$N178)=0,"",INDEX(PCNet,$N178)),"")</f>
        <v/>
      </c>
      <c r="I178" s="25">
        <f>IF($N178&lt;&gt;"",IF(INDEX(PCOp,$N178)="مرجوعی خرید","",IF(INDEX(PCAmount,$N178)&lt;=0,"",INDEX(PCAmount,$N178))),IF($O178&lt;&gt;"",IF(INDEX(TxnDepB,$O178)=0,"",INDEX(TxnDepB,$O178)),""))</f>
        <v/>
      </c>
      <c r="J178" s="25">
        <f>IF($N178&lt;&gt;"",IF(INDEX(PCOp,$N178)="مرجوعی خرید",IF(INDEX(PCAmount,$N178)=0,"",-INDEX(PCAmount,$N178)),""),IF($O178&lt;&gt;"",IF(INDEX(TxnWitB,$O178)=0,"",INDEX(TxnWitB,$O178)),""))</f>
        <v/>
      </c>
      <c r="K178" s="27">
        <f>IF($B178="","",IF($K177="",$C$10,$K177)+IF($I178="",0,$I178)-IF($J178="",0,$J178))</f>
        <v/>
      </c>
      <c r="L178" s="28">
        <f>IF($N178&lt;&gt;"",IF(INDEX(PCNotes,$N178)="","—",INDEX(PCNotes,$N178)),IF($O178&lt;&gt;"",IF(INDEX(LdgNoteB,$O178)="","—",INDEX(LdgNoteB,$O178)),""))</f>
        <v/>
      </c>
      <c r="N178">
        <f>IFERROR(MATCH($C$5&amp;"|"&amp;RIGHT("000000"&amp;162,6),LdgRankKeyA,0),"")</f>
        <v/>
      </c>
      <c r="O178">
        <f>IFERROR(MATCH($C$5&amp;"|"&amp;RIGHT("000000"&amp;162,6),LdgRankKeyB,0),"")</f>
        <v/>
      </c>
    </row>
    <row r="179">
      <c r="A179" s="17" t="n">
        <v>163</v>
      </c>
      <c r="B179" s="18">
        <f>IF(AND($N179="",$O179=""),"",IF($N179&lt;&gt;"",INDEX(PCNormDate,$N179),INDEX(LdgDateB,$O179)))</f>
        <v/>
      </c>
      <c r="C179" s="18">
        <f>IF($N179&lt;&gt;"",INDEX(PCOp,$N179),IF($O179&lt;&gt;"",IF(N(INDEX(TxnDepB,$O179))&gt;0,"دریافت بانکی","پرداخت بانکی"),""))</f>
        <v/>
      </c>
      <c r="D179" s="18">
        <f>IF($N179&lt;&gt;"",IF(INDEX(PCDoc,$N179)="","—",INDEX(PCDoc,$N179)),IF($O179&lt;&gt;"",INDEX(LdgBankB,$O179),""))</f>
        <v/>
      </c>
      <c r="E179" s="18">
        <f>IF($N179&lt;&gt;"",IF(INDEX(PCCitrus,$N179)="","—",INDEX(PCCitrus,$N179)),"")</f>
        <v/>
      </c>
      <c r="F179" s="19">
        <f>IF($N179&lt;&gt;"",IF(INDEX(PCScale,$N179)=0,"",INDEX(PCScale,$N179)),"")</f>
        <v/>
      </c>
      <c r="G179" s="19">
        <f>IF($N179&lt;&gt;"",IF(INDEX(PCBaskets,$N179)=0,"",INDEX(PCBaskets,$N179)),"")</f>
        <v/>
      </c>
      <c r="H179" s="20">
        <f>IF($N179&lt;&gt;"",IF(INDEX(PCNet,$N179)=0,"",INDEX(PCNet,$N179)),"")</f>
        <v/>
      </c>
      <c r="I179" s="19">
        <f>IF($N179&lt;&gt;"",IF(INDEX(PCOp,$N179)="مرجوعی خرید","",IF(INDEX(PCAmount,$N179)&lt;=0,"",INDEX(PCAmount,$N179))),IF($O179&lt;&gt;"",IF(INDEX(TxnDepB,$O179)=0,"",INDEX(TxnDepB,$O179)),""))</f>
        <v/>
      </c>
      <c r="J179" s="19">
        <f>IF($N179&lt;&gt;"",IF(INDEX(PCOp,$N179)="مرجوعی خرید",IF(INDEX(PCAmount,$N179)=0,"",-INDEX(PCAmount,$N179)),""),IF($O179&lt;&gt;"",IF(INDEX(TxnWitB,$O179)=0,"",INDEX(TxnWitB,$O179)),""))</f>
        <v/>
      </c>
      <c r="K179" s="21">
        <f>IF($B179="","",IF($K178="",$C$10,$K178)+IF($I179="",0,$I179)-IF($J179="",0,$J179))</f>
        <v/>
      </c>
      <c r="L179" s="22">
        <f>IF($N179&lt;&gt;"",IF(INDEX(PCNotes,$N179)="","—",INDEX(PCNotes,$N179)),IF($O179&lt;&gt;"",IF(INDEX(LdgNoteB,$O179)="","—",INDEX(LdgNoteB,$O179)),""))</f>
        <v/>
      </c>
      <c r="N179">
        <f>IFERROR(MATCH($C$5&amp;"|"&amp;RIGHT("000000"&amp;163,6),LdgRankKeyA,0),"")</f>
        <v/>
      </c>
      <c r="O179">
        <f>IFERROR(MATCH($C$5&amp;"|"&amp;RIGHT("000000"&amp;163,6),LdgRankKeyB,0),"")</f>
        <v/>
      </c>
    </row>
    <row r="180">
      <c r="A180" s="23" t="n">
        <v>164</v>
      </c>
      <c r="B180" s="24">
        <f>IF(AND($N180="",$O180=""),"",IF($N180&lt;&gt;"",INDEX(PCNormDate,$N180),INDEX(LdgDateB,$O180)))</f>
        <v/>
      </c>
      <c r="C180" s="24">
        <f>IF($N180&lt;&gt;"",INDEX(PCOp,$N180),IF($O180&lt;&gt;"",IF(N(INDEX(TxnDepB,$O180))&gt;0,"دریافت بانکی","پرداخت بانکی"),""))</f>
        <v/>
      </c>
      <c r="D180" s="24">
        <f>IF($N180&lt;&gt;"",IF(INDEX(PCDoc,$N180)="","—",INDEX(PCDoc,$N180)),IF($O180&lt;&gt;"",INDEX(LdgBankB,$O180),""))</f>
        <v/>
      </c>
      <c r="E180" s="24">
        <f>IF($N180&lt;&gt;"",IF(INDEX(PCCitrus,$N180)="","—",INDEX(PCCitrus,$N180)),"")</f>
        <v/>
      </c>
      <c r="F180" s="25">
        <f>IF($N180&lt;&gt;"",IF(INDEX(PCScale,$N180)=0,"",INDEX(PCScale,$N180)),"")</f>
        <v/>
      </c>
      <c r="G180" s="25">
        <f>IF($N180&lt;&gt;"",IF(INDEX(PCBaskets,$N180)=0,"",INDEX(PCBaskets,$N180)),"")</f>
        <v/>
      </c>
      <c r="H180" s="26">
        <f>IF($N180&lt;&gt;"",IF(INDEX(PCNet,$N180)=0,"",INDEX(PCNet,$N180)),"")</f>
        <v/>
      </c>
      <c r="I180" s="25">
        <f>IF($N180&lt;&gt;"",IF(INDEX(PCOp,$N180)="مرجوعی خرید","",IF(INDEX(PCAmount,$N180)&lt;=0,"",INDEX(PCAmount,$N180))),IF($O180&lt;&gt;"",IF(INDEX(TxnDepB,$O180)=0,"",INDEX(TxnDepB,$O180)),""))</f>
        <v/>
      </c>
      <c r="J180" s="25">
        <f>IF($N180&lt;&gt;"",IF(INDEX(PCOp,$N180)="مرجوعی خرید",IF(INDEX(PCAmount,$N180)=0,"",-INDEX(PCAmount,$N180)),""),IF($O180&lt;&gt;"",IF(INDEX(TxnWitB,$O180)=0,"",INDEX(TxnWitB,$O180)),""))</f>
        <v/>
      </c>
      <c r="K180" s="27">
        <f>IF($B180="","",IF($K179="",$C$10,$K179)+IF($I180="",0,$I180)-IF($J180="",0,$J180))</f>
        <v/>
      </c>
      <c r="L180" s="28">
        <f>IF($N180&lt;&gt;"",IF(INDEX(PCNotes,$N180)="","—",INDEX(PCNotes,$N180)),IF($O180&lt;&gt;"",IF(INDEX(LdgNoteB,$O180)="","—",INDEX(LdgNoteB,$O180)),""))</f>
        <v/>
      </c>
      <c r="N180">
        <f>IFERROR(MATCH($C$5&amp;"|"&amp;RIGHT("000000"&amp;164,6),LdgRankKeyA,0),"")</f>
        <v/>
      </c>
      <c r="O180">
        <f>IFERROR(MATCH($C$5&amp;"|"&amp;RIGHT("000000"&amp;164,6),LdgRankKeyB,0),"")</f>
        <v/>
      </c>
    </row>
    <row r="181">
      <c r="A181" s="17" t="n">
        <v>165</v>
      </c>
      <c r="B181" s="18">
        <f>IF(AND($N181="",$O181=""),"",IF($N181&lt;&gt;"",INDEX(PCNormDate,$N181),INDEX(LdgDateB,$O181)))</f>
        <v/>
      </c>
      <c r="C181" s="18">
        <f>IF($N181&lt;&gt;"",INDEX(PCOp,$N181),IF($O181&lt;&gt;"",IF(N(INDEX(TxnDepB,$O181))&gt;0,"دریافت بانکی","پرداخت بانکی"),""))</f>
        <v/>
      </c>
      <c r="D181" s="18">
        <f>IF($N181&lt;&gt;"",IF(INDEX(PCDoc,$N181)="","—",INDEX(PCDoc,$N181)),IF($O181&lt;&gt;"",INDEX(LdgBankB,$O181),""))</f>
        <v/>
      </c>
      <c r="E181" s="18">
        <f>IF($N181&lt;&gt;"",IF(INDEX(PCCitrus,$N181)="","—",INDEX(PCCitrus,$N181)),"")</f>
        <v/>
      </c>
      <c r="F181" s="19">
        <f>IF($N181&lt;&gt;"",IF(INDEX(PCScale,$N181)=0,"",INDEX(PCScale,$N181)),"")</f>
        <v/>
      </c>
      <c r="G181" s="19">
        <f>IF($N181&lt;&gt;"",IF(INDEX(PCBaskets,$N181)=0,"",INDEX(PCBaskets,$N181)),"")</f>
        <v/>
      </c>
      <c r="H181" s="20">
        <f>IF($N181&lt;&gt;"",IF(INDEX(PCNet,$N181)=0,"",INDEX(PCNet,$N181)),"")</f>
        <v/>
      </c>
      <c r="I181" s="19">
        <f>IF($N181&lt;&gt;"",IF(INDEX(PCOp,$N181)="مرجوعی خرید","",IF(INDEX(PCAmount,$N181)&lt;=0,"",INDEX(PCAmount,$N181))),IF($O181&lt;&gt;"",IF(INDEX(TxnDepB,$O181)=0,"",INDEX(TxnDepB,$O181)),""))</f>
        <v/>
      </c>
      <c r="J181" s="19">
        <f>IF($N181&lt;&gt;"",IF(INDEX(PCOp,$N181)="مرجوعی خرید",IF(INDEX(PCAmount,$N181)=0,"",-INDEX(PCAmount,$N181)),""),IF($O181&lt;&gt;"",IF(INDEX(TxnWitB,$O181)=0,"",INDEX(TxnWitB,$O181)),""))</f>
        <v/>
      </c>
      <c r="K181" s="21">
        <f>IF($B181="","",IF($K180="",$C$10,$K180)+IF($I181="",0,$I181)-IF($J181="",0,$J181))</f>
        <v/>
      </c>
      <c r="L181" s="22">
        <f>IF($N181&lt;&gt;"",IF(INDEX(PCNotes,$N181)="","—",INDEX(PCNotes,$N181)),IF($O181&lt;&gt;"",IF(INDEX(LdgNoteB,$O181)="","—",INDEX(LdgNoteB,$O181)),""))</f>
        <v/>
      </c>
      <c r="N181">
        <f>IFERROR(MATCH($C$5&amp;"|"&amp;RIGHT("000000"&amp;165,6),LdgRankKeyA,0),"")</f>
        <v/>
      </c>
      <c r="O181">
        <f>IFERROR(MATCH($C$5&amp;"|"&amp;RIGHT("000000"&amp;165,6),LdgRankKeyB,0),"")</f>
        <v/>
      </c>
    </row>
    <row r="182">
      <c r="A182" s="23" t="n">
        <v>166</v>
      </c>
      <c r="B182" s="24">
        <f>IF(AND($N182="",$O182=""),"",IF($N182&lt;&gt;"",INDEX(PCNormDate,$N182),INDEX(LdgDateB,$O182)))</f>
        <v/>
      </c>
      <c r="C182" s="24">
        <f>IF($N182&lt;&gt;"",INDEX(PCOp,$N182),IF($O182&lt;&gt;"",IF(N(INDEX(TxnDepB,$O182))&gt;0,"دریافت بانکی","پرداخت بانکی"),""))</f>
        <v/>
      </c>
      <c r="D182" s="24">
        <f>IF($N182&lt;&gt;"",IF(INDEX(PCDoc,$N182)="","—",INDEX(PCDoc,$N182)),IF($O182&lt;&gt;"",INDEX(LdgBankB,$O182),""))</f>
        <v/>
      </c>
      <c r="E182" s="24">
        <f>IF($N182&lt;&gt;"",IF(INDEX(PCCitrus,$N182)="","—",INDEX(PCCitrus,$N182)),"")</f>
        <v/>
      </c>
      <c r="F182" s="25">
        <f>IF($N182&lt;&gt;"",IF(INDEX(PCScale,$N182)=0,"",INDEX(PCScale,$N182)),"")</f>
        <v/>
      </c>
      <c r="G182" s="25">
        <f>IF($N182&lt;&gt;"",IF(INDEX(PCBaskets,$N182)=0,"",INDEX(PCBaskets,$N182)),"")</f>
        <v/>
      </c>
      <c r="H182" s="26">
        <f>IF($N182&lt;&gt;"",IF(INDEX(PCNet,$N182)=0,"",INDEX(PCNet,$N182)),"")</f>
        <v/>
      </c>
      <c r="I182" s="25">
        <f>IF($N182&lt;&gt;"",IF(INDEX(PCOp,$N182)="مرجوعی خرید","",IF(INDEX(PCAmount,$N182)&lt;=0,"",INDEX(PCAmount,$N182))),IF($O182&lt;&gt;"",IF(INDEX(TxnDepB,$O182)=0,"",INDEX(TxnDepB,$O182)),""))</f>
        <v/>
      </c>
      <c r="J182" s="25">
        <f>IF($N182&lt;&gt;"",IF(INDEX(PCOp,$N182)="مرجوعی خرید",IF(INDEX(PCAmount,$N182)=0,"",-INDEX(PCAmount,$N182)),""),IF($O182&lt;&gt;"",IF(INDEX(TxnWitB,$O182)=0,"",INDEX(TxnWitB,$O182)),""))</f>
        <v/>
      </c>
      <c r="K182" s="27">
        <f>IF($B182="","",IF($K181="",$C$10,$K181)+IF($I182="",0,$I182)-IF($J182="",0,$J182))</f>
        <v/>
      </c>
      <c r="L182" s="28">
        <f>IF($N182&lt;&gt;"",IF(INDEX(PCNotes,$N182)="","—",INDEX(PCNotes,$N182)),IF($O182&lt;&gt;"",IF(INDEX(LdgNoteB,$O182)="","—",INDEX(LdgNoteB,$O182)),""))</f>
        <v/>
      </c>
      <c r="N182">
        <f>IFERROR(MATCH($C$5&amp;"|"&amp;RIGHT("000000"&amp;166,6),LdgRankKeyA,0),"")</f>
        <v/>
      </c>
      <c r="O182">
        <f>IFERROR(MATCH($C$5&amp;"|"&amp;RIGHT("000000"&amp;166,6),LdgRankKeyB,0),"")</f>
        <v/>
      </c>
    </row>
    <row r="183">
      <c r="A183" s="17" t="n">
        <v>167</v>
      </c>
      <c r="B183" s="18">
        <f>IF(AND($N183="",$O183=""),"",IF($N183&lt;&gt;"",INDEX(PCNormDate,$N183),INDEX(LdgDateB,$O183)))</f>
        <v/>
      </c>
      <c r="C183" s="18">
        <f>IF($N183&lt;&gt;"",INDEX(PCOp,$N183),IF($O183&lt;&gt;"",IF(N(INDEX(TxnDepB,$O183))&gt;0,"دریافت بانکی","پرداخت بانکی"),""))</f>
        <v/>
      </c>
      <c r="D183" s="18">
        <f>IF($N183&lt;&gt;"",IF(INDEX(PCDoc,$N183)="","—",INDEX(PCDoc,$N183)),IF($O183&lt;&gt;"",INDEX(LdgBankB,$O183),""))</f>
        <v/>
      </c>
      <c r="E183" s="18">
        <f>IF($N183&lt;&gt;"",IF(INDEX(PCCitrus,$N183)="","—",INDEX(PCCitrus,$N183)),"")</f>
        <v/>
      </c>
      <c r="F183" s="19">
        <f>IF($N183&lt;&gt;"",IF(INDEX(PCScale,$N183)=0,"",INDEX(PCScale,$N183)),"")</f>
        <v/>
      </c>
      <c r="G183" s="19">
        <f>IF($N183&lt;&gt;"",IF(INDEX(PCBaskets,$N183)=0,"",INDEX(PCBaskets,$N183)),"")</f>
        <v/>
      </c>
      <c r="H183" s="20">
        <f>IF($N183&lt;&gt;"",IF(INDEX(PCNet,$N183)=0,"",INDEX(PCNet,$N183)),"")</f>
        <v/>
      </c>
      <c r="I183" s="19">
        <f>IF($N183&lt;&gt;"",IF(INDEX(PCOp,$N183)="مرجوعی خرید","",IF(INDEX(PCAmount,$N183)&lt;=0,"",INDEX(PCAmount,$N183))),IF($O183&lt;&gt;"",IF(INDEX(TxnDepB,$O183)=0,"",INDEX(TxnDepB,$O183)),""))</f>
        <v/>
      </c>
      <c r="J183" s="19">
        <f>IF($N183&lt;&gt;"",IF(INDEX(PCOp,$N183)="مرجوعی خرید",IF(INDEX(PCAmount,$N183)=0,"",-INDEX(PCAmount,$N183)),""),IF($O183&lt;&gt;"",IF(INDEX(TxnWitB,$O183)=0,"",INDEX(TxnWitB,$O183)),""))</f>
        <v/>
      </c>
      <c r="K183" s="21">
        <f>IF($B183="","",IF($K182="",$C$10,$K182)+IF($I183="",0,$I183)-IF($J183="",0,$J183))</f>
        <v/>
      </c>
      <c r="L183" s="22">
        <f>IF($N183&lt;&gt;"",IF(INDEX(PCNotes,$N183)="","—",INDEX(PCNotes,$N183)),IF($O183&lt;&gt;"",IF(INDEX(LdgNoteB,$O183)="","—",INDEX(LdgNoteB,$O183)),""))</f>
        <v/>
      </c>
      <c r="N183">
        <f>IFERROR(MATCH($C$5&amp;"|"&amp;RIGHT("000000"&amp;167,6),LdgRankKeyA,0),"")</f>
        <v/>
      </c>
      <c r="O183">
        <f>IFERROR(MATCH($C$5&amp;"|"&amp;RIGHT("000000"&amp;167,6),LdgRankKeyB,0),"")</f>
        <v/>
      </c>
    </row>
    <row r="184">
      <c r="A184" s="23" t="n">
        <v>168</v>
      </c>
      <c r="B184" s="24">
        <f>IF(AND($N184="",$O184=""),"",IF($N184&lt;&gt;"",INDEX(PCNormDate,$N184),INDEX(LdgDateB,$O184)))</f>
        <v/>
      </c>
      <c r="C184" s="24">
        <f>IF($N184&lt;&gt;"",INDEX(PCOp,$N184),IF($O184&lt;&gt;"",IF(N(INDEX(TxnDepB,$O184))&gt;0,"دریافت بانکی","پرداخت بانکی"),""))</f>
        <v/>
      </c>
      <c r="D184" s="24">
        <f>IF($N184&lt;&gt;"",IF(INDEX(PCDoc,$N184)="","—",INDEX(PCDoc,$N184)),IF($O184&lt;&gt;"",INDEX(LdgBankB,$O184),""))</f>
        <v/>
      </c>
      <c r="E184" s="24">
        <f>IF($N184&lt;&gt;"",IF(INDEX(PCCitrus,$N184)="","—",INDEX(PCCitrus,$N184)),"")</f>
        <v/>
      </c>
      <c r="F184" s="25">
        <f>IF($N184&lt;&gt;"",IF(INDEX(PCScale,$N184)=0,"",INDEX(PCScale,$N184)),"")</f>
        <v/>
      </c>
      <c r="G184" s="25">
        <f>IF($N184&lt;&gt;"",IF(INDEX(PCBaskets,$N184)=0,"",INDEX(PCBaskets,$N184)),"")</f>
        <v/>
      </c>
      <c r="H184" s="26">
        <f>IF($N184&lt;&gt;"",IF(INDEX(PCNet,$N184)=0,"",INDEX(PCNet,$N184)),"")</f>
        <v/>
      </c>
      <c r="I184" s="25">
        <f>IF($N184&lt;&gt;"",IF(INDEX(PCOp,$N184)="مرجوعی خرید","",IF(INDEX(PCAmount,$N184)&lt;=0,"",INDEX(PCAmount,$N184))),IF($O184&lt;&gt;"",IF(INDEX(TxnDepB,$O184)=0,"",INDEX(TxnDepB,$O184)),""))</f>
        <v/>
      </c>
      <c r="J184" s="25">
        <f>IF($N184&lt;&gt;"",IF(INDEX(PCOp,$N184)="مرجوعی خرید",IF(INDEX(PCAmount,$N184)=0,"",-INDEX(PCAmount,$N184)),""),IF($O184&lt;&gt;"",IF(INDEX(TxnWitB,$O184)=0,"",INDEX(TxnWitB,$O184)),""))</f>
        <v/>
      </c>
      <c r="K184" s="27">
        <f>IF($B184="","",IF($K183="",$C$10,$K183)+IF($I184="",0,$I184)-IF($J184="",0,$J184))</f>
        <v/>
      </c>
      <c r="L184" s="28">
        <f>IF($N184&lt;&gt;"",IF(INDEX(PCNotes,$N184)="","—",INDEX(PCNotes,$N184)),IF($O184&lt;&gt;"",IF(INDEX(LdgNoteB,$O184)="","—",INDEX(LdgNoteB,$O184)),""))</f>
        <v/>
      </c>
      <c r="N184">
        <f>IFERROR(MATCH($C$5&amp;"|"&amp;RIGHT("000000"&amp;168,6),LdgRankKeyA,0),"")</f>
        <v/>
      </c>
      <c r="O184">
        <f>IFERROR(MATCH($C$5&amp;"|"&amp;RIGHT("000000"&amp;168,6),LdgRankKeyB,0),"")</f>
        <v/>
      </c>
    </row>
    <row r="185">
      <c r="A185" s="17" t="n">
        <v>169</v>
      </c>
      <c r="B185" s="18">
        <f>IF(AND($N185="",$O185=""),"",IF($N185&lt;&gt;"",INDEX(PCNormDate,$N185),INDEX(LdgDateB,$O185)))</f>
        <v/>
      </c>
      <c r="C185" s="18">
        <f>IF($N185&lt;&gt;"",INDEX(PCOp,$N185),IF($O185&lt;&gt;"",IF(N(INDEX(TxnDepB,$O185))&gt;0,"دریافت بانکی","پرداخت بانکی"),""))</f>
        <v/>
      </c>
      <c r="D185" s="18">
        <f>IF($N185&lt;&gt;"",IF(INDEX(PCDoc,$N185)="","—",INDEX(PCDoc,$N185)),IF($O185&lt;&gt;"",INDEX(LdgBankB,$O185),""))</f>
        <v/>
      </c>
      <c r="E185" s="18">
        <f>IF($N185&lt;&gt;"",IF(INDEX(PCCitrus,$N185)="","—",INDEX(PCCitrus,$N185)),"")</f>
        <v/>
      </c>
      <c r="F185" s="19">
        <f>IF($N185&lt;&gt;"",IF(INDEX(PCScale,$N185)=0,"",INDEX(PCScale,$N185)),"")</f>
        <v/>
      </c>
      <c r="G185" s="19">
        <f>IF($N185&lt;&gt;"",IF(INDEX(PCBaskets,$N185)=0,"",INDEX(PCBaskets,$N185)),"")</f>
        <v/>
      </c>
      <c r="H185" s="20">
        <f>IF($N185&lt;&gt;"",IF(INDEX(PCNet,$N185)=0,"",INDEX(PCNet,$N185)),"")</f>
        <v/>
      </c>
      <c r="I185" s="19">
        <f>IF($N185&lt;&gt;"",IF(INDEX(PCOp,$N185)="مرجوعی خرید","",IF(INDEX(PCAmount,$N185)&lt;=0,"",INDEX(PCAmount,$N185))),IF($O185&lt;&gt;"",IF(INDEX(TxnDepB,$O185)=0,"",INDEX(TxnDepB,$O185)),""))</f>
        <v/>
      </c>
      <c r="J185" s="19">
        <f>IF($N185&lt;&gt;"",IF(INDEX(PCOp,$N185)="مرجوعی خرید",IF(INDEX(PCAmount,$N185)=0,"",-INDEX(PCAmount,$N185)),""),IF($O185&lt;&gt;"",IF(INDEX(TxnWitB,$O185)=0,"",INDEX(TxnWitB,$O185)),""))</f>
        <v/>
      </c>
      <c r="K185" s="21">
        <f>IF($B185="","",IF($K184="",$C$10,$K184)+IF($I185="",0,$I185)-IF($J185="",0,$J185))</f>
        <v/>
      </c>
      <c r="L185" s="22">
        <f>IF($N185&lt;&gt;"",IF(INDEX(PCNotes,$N185)="","—",INDEX(PCNotes,$N185)),IF($O185&lt;&gt;"",IF(INDEX(LdgNoteB,$O185)="","—",INDEX(LdgNoteB,$O185)),""))</f>
        <v/>
      </c>
      <c r="N185">
        <f>IFERROR(MATCH($C$5&amp;"|"&amp;RIGHT("000000"&amp;169,6),LdgRankKeyA,0),"")</f>
        <v/>
      </c>
      <c r="O185">
        <f>IFERROR(MATCH($C$5&amp;"|"&amp;RIGHT("000000"&amp;169,6),LdgRankKeyB,0),"")</f>
        <v/>
      </c>
    </row>
    <row r="186">
      <c r="A186" s="23" t="n">
        <v>170</v>
      </c>
      <c r="B186" s="24">
        <f>IF(AND($N186="",$O186=""),"",IF($N186&lt;&gt;"",INDEX(PCNormDate,$N186),INDEX(LdgDateB,$O186)))</f>
        <v/>
      </c>
      <c r="C186" s="24">
        <f>IF($N186&lt;&gt;"",INDEX(PCOp,$N186),IF($O186&lt;&gt;"",IF(N(INDEX(TxnDepB,$O186))&gt;0,"دریافت بانکی","پرداخت بانکی"),""))</f>
        <v/>
      </c>
      <c r="D186" s="24">
        <f>IF($N186&lt;&gt;"",IF(INDEX(PCDoc,$N186)="","—",INDEX(PCDoc,$N186)),IF($O186&lt;&gt;"",INDEX(LdgBankB,$O186),""))</f>
        <v/>
      </c>
      <c r="E186" s="24">
        <f>IF($N186&lt;&gt;"",IF(INDEX(PCCitrus,$N186)="","—",INDEX(PCCitrus,$N186)),"")</f>
        <v/>
      </c>
      <c r="F186" s="25">
        <f>IF($N186&lt;&gt;"",IF(INDEX(PCScale,$N186)=0,"",INDEX(PCScale,$N186)),"")</f>
        <v/>
      </c>
      <c r="G186" s="25">
        <f>IF($N186&lt;&gt;"",IF(INDEX(PCBaskets,$N186)=0,"",INDEX(PCBaskets,$N186)),"")</f>
        <v/>
      </c>
      <c r="H186" s="26">
        <f>IF($N186&lt;&gt;"",IF(INDEX(PCNet,$N186)=0,"",INDEX(PCNet,$N186)),"")</f>
        <v/>
      </c>
      <c r="I186" s="25">
        <f>IF($N186&lt;&gt;"",IF(INDEX(PCOp,$N186)="مرجوعی خرید","",IF(INDEX(PCAmount,$N186)&lt;=0,"",INDEX(PCAmount,$N186))),IF($O186&lt;&gt;"",IF(INDEX(TxnDepB,$O186)=0,"",INDEX(TxnDepB,$O186)),""))</f>
        <v/>
      </c>
      <c r="J186" s="25">
        <f>IF($N186&lt;&gt;"",IF(INDEX(PCOp,$N186)="مرجوعی خرید",IF(INDEX(PCAmount,$N186)=0,"",-INDEX(PCAmount,$N186)),""),IF($O186&lt;&gt;"",IF(INDEX(TxnWitB,$O186)=0,"",INDEX(TxnWitB,$O186)),""))</f>
        <v/>
      </c>
      <c r="K186" s="27">
        <f>IF($B186="","",IF($K185="",$C$10,$K185)+IF($I186="",0,$I186)-IF($J186="",0,$J186))</f>
        <v/>
      </c>
      <c r="L186" s="28">
        <f>IF($N186&lt;&gt;"",IF(INDEX(PCNotes,$N186)="","—",INDEX(PCNotes,$N186)),IF($O186&lt;&gt;"",IF(INDEX(LdgNoteB,$O186)="","—",INDEX(LdgNoteB,$O186)),""))</f>
        <v/>
      </c>
      <c r="N186">
        <f>IFERROR(MATCH($C$5&amp;"|"&amp;RIGHT("000000"&amp;170,6),LdgRankKeyA,0),"")</f>
        <v/>
      </c>
      <c r="O186">
        <f>IFERROR(MATCH($C$5&amp;"|"&amp;RIGHT("000000"&amp;170,6),LdgRankKeyB,0),"")</f>
        <v/>
      </c>
    </row>
    <row r="187">
      <c r="A187" s="17" t="n">
        <v>171</v>
      </c>
      <c r="B187" s="18">
        <f>IF(AND($N187="",$O187=""),"",IF($N187&lt;&gt;"",INDEX(PCNormDate,$N187),INDEX(LdgDateB,$O187)))</f>
        <v/>
      </c>
      <c r="C187" s="18">
        <f>IF($N187&lt;&gt;"",INDEX(PCOp,$N187),IF($O187&lt;&gt;"",IF(N(INDEX(TxnDepB,$O187))&gt;0,"دریافت بانکی","پرداخت بانکی"),""))</f>
        <v/>
      </c>
      <c r="D187" s="18">
        <f>IF($N187&lt;&gt;"",IF(INDEX(PCDoc,$N187)="","—",INDEX(PCDoc,$N187)),IF($O187&lt;&gt;"",INDEX(LdgBankB,$O187),""))</f>
        <v/>
      </c>
      <c r="E187" s="18">
        <f>IF($N187&lt;&gt;"",IF(INDEX(PCCitrus,$N187)="","—",INDEX(PCCitrus,$N187)),"")</f>
        <v/>
      </c>
      <c r="F187" s="19">
        <f>IF($N187&lt;&gt;"",IF(INDEX(PCScale,$N187)=0,"",INDEX(PCScale,$N187)),"")</f>
        <v/>
      </c>
      <c r="G187" s="19">
        <f>IF($N187&lt;&gt;"",IF(INDEX(PCBaskets,$N187)=0,"",INDEX(PCBaskets,$N187)),"")</f>
        <v/>
      </c>
      <c r="H187" s="20">
        <f>IF($N187&lt;&gt;"",IF(INDEX(PCNet,$N187)=0,"",INDEX(PCNet,$N187)),"")</f>
        <v/>
      </c>
      <c r="I187" s="19">
        <f>IF($N187&lt;&gt;"",IF(INDEX(PCOp,$N187)="مرجوعی خرید","",IF(INDEX(PCAmount,$N187)&lt;=0,"",INDEX(PCAmount,$N187))),IF($O187&lt;&gt;"",IF(INDEX(TxnDepB,$O187)=0,"",INDEX(TxnDepB,$O187)),""))</f>
        <v/>
      </c>
      <c r="J187" s="19">
        <f>IF($N187&lt;&gt;"",IF(INDEX(PCOp,$N187)="مرجوعی خرید",IF(INDEX(PCAmount,$N187)=0,"",-INDEX(PCAmount,$N187)),""),IF($O187&lt;&gt;"",IF(INDEX(TxnWitB,$O187)=0,"",INDEX(TxnWitB,$O187)),""))</f>
        <v/>
      </c>
      <c r="K187" s="21">
        <f>IF($B187="","",IF($K186="",$C$10,$K186)+IF($I187="",0,$I187)-IF($J187="",0,$J187))</f>
        <v/>
      </c>
      <c r="L187" s="22">
        <f>IF($N187&lt;&gt;"",IF(INDEX(PCNotes,$N187)="","—",INDEX(PCNotes,$N187)),IF($O187&lt;&gt;"",IF(INDEX(LdgNoteB,$O187)="","—",INDEX(LdgNoteB,$O187)),""))</f>
        <v/>
      </c>
      <c r="N187">
        <f>IFERROR(MATCH($C$5&amp;"|"&amp;RIGHT("000000"&amp;171,6),LdgRankKeyA,0),"")</f>
        <v/>
      </c>
      <c r="O187">
        <f>IFERROR(MATCH($C$5&amp;"|"&amp;RIGHT("000000"&amp;171,6),LdgRankKeyB,0),"")</f>
        <v/>
      </c>
    </row>
    <row r="188">
      <c r="A188" s="23" t="n">
        <v>172</v>
      </c>
      <c r="B188" s="24">
        <f>IF(AND($N188="",$O188=""),"",IF($N188&lt;&gt;"",INDEX(PCNormDate,$N188),INDEX(LdgDateB,$O188)))</f>
        <v/>
      </c>
      <c r="C188" s="24">
        <f>IF($N188&lt;&gt;"",INDEX(PCOp,$N188),IF($O188&lt;&gt;"",IF(N(INDEX(TxnDepB,$O188))&gt;0,"دریافت بانکی","پرداخت بانکی"),""))</f>
        <v/>
      </c>
      <c r="D188" s="24">
        <f>IF($N188&lt;&gt;"",IF(INDEX(PCDoc,$N188)="","—",INDEX(PCDoc,$N188)),IF($O188&lt;&gt;"",INDEX(LdgBankB,$O188),""))</f>
        <v/>
      </c>
      <c r="E188" s="24">
        <f>IF($N188&lt;&gt;"",IF(INDEX(PCCitrus,$N188)="","—",INDEX(PCCitrus,$N188)),"")</f>
        <v/>
      </c>
      <c r="F188" s="25">
        <f>IF($N188&lt;&gt;"",IF(INDEX(PCScale,$N188)=0,"",INDEX(PCScale,$N188)),"")</f>
        <v/>
      </c>
      <c r="G188" s="25">
        <f>IF($N188&lt;&gt;"",IF(INDEX(PCBaskets,$N188)=0,"",INDEX(PCBaskets,$N188)),"")</f>
        <v/>
      </c>
      <c r="H188" s="26">
        <f>IF($N188&lt;&gt;"",IF(INDEX(PCNet,$N188)=0,"",INDEX(PCNet,$N188)),"")</f>
        <v/>
      </c>
      <c r="I188" s="25">
        <f>IF($N188&lt;&gt;"",IF(INDEX(PCOp,$N188)="مرجوعی خرید","",IF(INDEX(PCAmount,$N188)&lt;=0,"",INDEX(PCAmount,$N188))),IF($O188&lt;&gt;"",IF(INDEX(TxnDepB,$O188)=0,"",INDEX(TxnDepB,$O188)),""))</f>
        <v/>
      </c>
      <c r="J188" s="25">
        <f>IF($N188&lt;&gt;"",IF(INDEX(PCOp,$N188)="مرجوعی خرید",IF(INDEX(PCAmount,$N188)=0,"",-INDEX(PCAmount,$N188)),""),IF($O188&lt;&gt;"",IF(INDEX(TxnWitB,$O188)=0,"",INDEX(TxnWitB,$O188)),""))</f>
        <v/>
      </c>
      <c r="K188" s="27">
        <f>IF($B188="","",IF($K187="",$C$10,$K187)+IF($I188="",0,$I188)-IF($J188="",0,$J188))</f>
        <v/>
      </c>
      <c r="L188" s="28">
        <f>IF($N188&lt;&gt;"",IF(INDEX(PCNotes,$N188)="","—",INDEX(PCNotes,$N188)),IF($O188&lt;&gt;"",IF(INDEX(LdgNoteB,$O188)="","—",INDEX(LdgNoteB,$O188)),""))</f>
        <v/>
      </c>
      <c r="N188">
        <f>IFERROR(MATCH($C$5&amp;"|"&amp;RIGHT("000000"&amp;172,6),LdgRankKeyA,0),"")</f>
        <v/>
      </c>
      <c r="O188">
        <f>IFERROR(MATCH($C$5&amp;"|"&amp;RIGHT("000000"&amp;172,6),LdgRankKeyB,0),"")</f>
        <v/>
      </c>
    </row>
    <row r="189">
      <c r="A189" s="17" t="n">
        <v>173</v>
      </c>
      <c r="B189" s="18">
        <f>IF(AND($N189="",$O189=""),"",IF($N189&lt;&gt;"",INDEX(PCNormDate,$N189),INDEX(LdgDateB,$O189)))</f>
        <v/>
      </c>
      <c r="C189" s="18">
        <f>IF($N189&lt;&gt;"",INDEX(PCOp,$N189),IF($O189&lt;&gt;"",IF(N(INDEX(TxnDepB,$O189))&gt;0,"دریافت بانکی","پرداخت بانکی"),""))</f>
        <v/>
      </c>
      <c r="D189" s="18">
        <f>IF($N189&lt;&gt;"",IF(INDEX(PCDoc,$N189)="","—",INDEX(PCDoc,$N189)),IF($O189&lt;&gt;"",INDEX(LdgBankB,$O189),""))</f>
        <v/>
      </c>
      <c r="E189" s="18">
        <f>IF($N189&lt;&gt;"",IF(INDEX(PCCitrus,$N189)="","—",INDEX(PCCitrus,$N189)),"")</f>
        <v/>
      </c>
      <c r="F189" s="19">
        <f>IF($N189&lt;&gt;"",IF(INDEX(PCScale,$N189)=0,"",INDEX(PCScale,$N189)),"")</f>
        <v/>
      </c>
      <c r="G189" s="19">
        <f>IF($N189&lt;&gt;"",IF(INDEX(PCBaskets,$N189)=0,"",INDEX(PCBaskets,$N189)),"")</f>
        <v/>
      </c>
      <c r="H189" s="20">
        <f>IF($N189&lt;&gt;"",IF(INDEX(PCNet,$N189)=0,"",INDEX(PCNet,$N189)),"")</f>
        <v/>
      </c>
      <c r="I189" s="19">
        <f>IF($N189&lt;&gt;"",IF(INDEX(PCOp,$N189)="مرجوعی خرید","",IF(INDEX(PCAmount,$N189)&lt;=0,"",INDEX(PCAmount,$N189))),IF($O189&lt;&gt;"",IF(INDEX(TxnDepB,$O189)=0,"",INDEX(TxnDepB,$O189)),""))</f>
        <v/>
      </c>
      <c r="J189" s="19">
        <f>IF($N189&lt;&gt;"",IF(INDEX(PCOp,$N189)="مرجوعی خرید",IF(INDEX(PCAmount,$N189)=0,"",-INDEX(PCAmount,$N189)),""),IF($O189&lt;&gt;"",IF(INDEX(TxnWitB,$O189)=0,"",INDEX(TxnWitB,$O189)),""))</f>
        <v/>
      </c>
      <c r="K189" s="21">
        <f>IF($B189="","",IF($K188="",$C$10,$K188)+IF($I189="",0,$I189)-IF($J189="",0,$J189))</f>
        <v/>
      </c>
      <c r="L189" s="22">
        <f>IF($N189&lt;&gt;"",IF(INDEX(PCNotes,$N189)="","—",INDEX(PCNotes,$N189)),IF($O189&lt;&gt;"",IF(INDEX(LdgNoteB,$O189)="","—",INDEX(LdgNoteB,$O189)),""))</f>
        <v/>
      </c>
      <c r="N189">
        <f>IFERROR(MATCH($C$5&amp;"|"&amp;RIGHT("000000"&amp;173,6),LdgRankKeyA,0),"")</f>
        <v/>
      </c>
      <c r="O189">
        <f>IFERROR(MATCH($C$5&amp;"|"&amp;RIGHT("000000"&amp;173,6),LdgRankKeyB,0),"")</f>
        <v/>
      </c>
    </row>
    <row r="190">
      <c r="A190" s="23" t="n">
        <v>174</v>
      </c>
      <c r="B190" s="24">
        <f>IF(AND($N190="",$O190=""),"",IF($N190&lt;&gt;"",INDEX(PCNormDate,$N190),INDEX(LdgDateB,$O190)))</f>
        <v/>
      </c>
      <c r="C190" s="24">
        <f>IF($N190&lt;&gt;"",INDEX(PCOp,$N190),IF($O190&lt;&gt;"",IF(N(INDEX(TxnDepB,$O190))&gt;0,"دریافت بانکی","پرداخت بانکی"),""))</f>
        <v/>
      </c>
      <c r="D190" s="24">
        <f>IF($N190&lt;&gt;"",IF(INDEX(PCDoc,$N190)="","—",INDEX(PCDoc,$N190)),IF($O190&lt;&gt;"",INDEX(LdgBankB,$O190),""))</f>
        <v/>
      </c>
      <c r="E190" s="24">
        <f>IF($N190&lt;&gt;"",IF(INDEX(PCCitrus,$N190)="","—",INDEX(PCCitrus,$N190)),"")</f>
        <v/>
      </c>
      <c r="F190" s="25">
        <f>IF($N190&lt;&gt;"",IF(INDEX(PCScale,$N190)=0,"",INDEX(PCScale,$N190)),"")</f>
        <v/>
      </c>
      <c r="G190" s="25">
        <f>IF($N190&lt;&gt;"",IF(INDEX(PCBaskets,$N190)=0,"",INDEX(PCBaskets,$N190)),"")</f>
        <v/>
      </c>
      <c r="H190" s="26">
        <f>IF($N190&lt;&gt;"",IF(INDEX(PCNet,$N190)=0,"",INDEX(PCNet,$N190)),"")</f>
        <v/>
      </c>
      <c r="I190" s="25">
        <f>IF($N190&lt;&gt;"",IF(INDEX(PCOp,$N190)="مرجوعی خرید","",IF(INDEX(PCAmount,$N190)&lt;=0,"",INDEX(PCAmount,$N190))),IF($O190&lt;&gt;"",IF(INDEX(TxnDepB,$O190)=0,"",INDEX(TxnDepB,$O190)),""))</f>
        <v/>
      </c>
      <c r="J190" s="25">
        <f>IF($N190&lt;&gt;"",IF(INDEX(PCOp,$N190)="مرجوعی خرید",IF(INDEX(PCAmount,$N190)=0,"",-INDEX(PCAmount,$N190)),""),IF($O190&lt;&gt;"",IF(INDEX(TxnWitB,$O190)=0,"",INDEX(TxnWitB,$O190)),""))</f>
        <v/>
      </c>
      <c r="K190" s="27">
        <f>IF($B190="","",IF($K189="",$C$10,$K189)+IF($I190="",0,$I190)-IF($J190="",0,$J190))</f>
        <v/>
      </c>
      <c r="L190" s="28">
        <f>IF($N190&lt;&gt;"",IF(INDEX(PCNotes,$N190)="","—",INDEX(PCNotes,$N190)),IF($O190&lt;&gt;"",IF(INDEX(LdgNoteB,$O190)="","—",INDEX(LdgNoteB,$O190)),""))</f>
        <v/>
      </c>
      <c r="N190">
        <f>IFERROR(MATCH($C$5&amp;"|"&amp;RIGHT("000000"&amp;174,6),LdgRankKeyA,0),"")</f>
        <v/>
      </c>
      <c r="O190">
        <f>IFERROR(MATCH($C$5&amp;"|"&amp;RIGHT("000000"&amp;174,6),LdgRankKeyB,0),"")</f>
        <v/>
      </c>
    </row>
    <row r="191">
      <c r="A191" s="17" t="n">
        <v>175</v>
      </c>
      <c r="B191" s="18">
        <f>IF(AND($N191="",$O191=""),"",IF($N191&lt;&gt;"",INDEX(PCNormDate,$N191),INDEX(LdgDateB,$O191)))</f>
        <v/>
      </c>
      <c r="C191" s="18">
        <f>IF($N191&lt;&gt;"",INDEX(PCOp,$N191),IF($O191&lt;&gt;"",IF(N(INDEX(TxnDepB,$O191))&gt;0,"دریافت بانکی","پرداخت بانکی"),""))</f>
        <v/>
      </c>
      <c r="D191" s="18">
        <f>IF($N191&lt;&gt;"",IF(INDEX(PCDoc,$N191)="","—",INDEX(PCDoc,$N191)),IF($O191&lt;&gt;"",INDEX(LdgBankB,$O191),""))</f>
        <v/>
      </c>
      <c r="E191" s="18">
        <f>IF($N191&lt;&gt;"",IF(INDEX(PCCitrus,$N191)="","—",INDEX(PCCitrus,$N191)),"")</f>
        <v/>
      </c>
      <c r="F191" s="19">
        <f>IF($N191&lt;&gt;"",IF(INDEX(PCScale,$N191)=0,"",INDEX(PCScale,$N191)),"")</f>
        <v/>
      </c>
      <c r="G191" s="19">
        <f>IF($N191&lt;&gt;"",IF(INDEX(PCBaskets,$N191)=0,"",INDEX(PCBaskets,$N191)),"")</f>
        <v/>
      </c>
      <c r="H191" s="20">
        <f>IF($N191&lt;&gt;"",IF(INDEX(PCNet,$N191)=0,"",INDEX(PCNet,$N191)),"")</f>
        <v/>
      </c>
      <c r="I191" s="19">
        <f>IF($N191&lt;&gt;"",IF(INDEX(PCOp,$N191)="مرجوعی خرید","",IF(INDEX(PCAmount,$N191)&lt;=0,"",INDEX(PCAmount,$N191))),IF($O191&lt;&gt;"",IF(INDEX(TxnDepB,$O191)=0,"",INDEX(TxnDepB,$O191)),""))</f>
        <v/>
      </c>
      <c r="J191" s="19">
        <f>IF($N191&lt;&gt;"",IF(INDEX(PCOp,$N191)="مرجوعی خرید",IF(INDEX(PCAmount,$N191)=0,"",-INDEX(PCAmount,$N191)),""),IF($O191&lt;&gt;"",IF(INDEX(TxnWitB,$O191)=0,"",INDEX(TxnWitB,$O191)),""))</f>
        <v/>
      </c>
      <c r="K191" s="21">
        <f>IF($B191="","",IF($K190="",$C$10,$K190)+IF($I191="",0,$I191)-IF($J191="",0,$J191))</f>
        <v/>
      </c>
      <c r="L191" s="22">
        <f>IF($N191&lt;&gt;"",IF(INDEX(PCNotes,$N191)="","—",INDEX(PCNotes,$N191)),IF($O191&lt;&gt;"",IF(INDEX(LdgNoteB,$O191)="","—",INDEX(LdgNoteB,$O191)),""))</f>
        <v/>
      </c>
      <c r="N191">
        <f>IFERROR(MATCH($C$5&amp;"|"&amp;RIGHT("000000"&amp;175,6),LdgRankKeyA,0),"")</f>
        <v/>
      </c>
      <c r="O191">
        <f>IFERROR(MATCH($C$5&amp;"|"&amp;RIGHT("000000"&amp;175,6),LdgRankKeyB,0),"")</f>
        <v/>
      </c>
    </row>
    <row r="192">
      <c r="A192" s="23" t="n">
        <v>176</v>
      </c>
      <c r="B192" s="24">
        <f>IF(AND($N192="",$O192=""),"",IF($N192&lt;&gt;"",INDEX(PCNormDate,$N192),INDEX(LdgDateB,$O192)))</f>
        <v/>
      </c>
      <c r="C192" s="24">
        <f>IF($N192&lt;&gt;"",INDEX(PCOp,$N192),IF($O192&lt;&gt;"",IF(N(INDEX(TxnDepB,$O192))&gt;0,"دریافت بانکی","پرداخت بانکی"),""))</f>
        <v/>
      </c>
      <c r="D192" s="24">
        <f>IF($N192&lt;&gt;"",IF(INDEX(PCDoc,$N192)="","—",INDEX(PCDoc,$N192)),IF($O192&lt;&gt;"",INDEX(LdgBankB,$O192),""))</f>
        <v/>
      </c>
      <c r="E192" s="24">
        <f>IF($N192&lt;&gt;"",IF(INDEX(PCCitrus,$N192)="","—",INDEX(PCCitrus,$N192)),"")</f>
        <v/>
      </c>
      <c r="F192" s="25">
        <f>IF($N192&lt;&gt;"",IF(INDEX(PCScale,$N192)=0,"",INDEX(PCScale,$N192)),"")</f>
        <v/>
      </c>
      <c r="G192" s="25">
        <f>IF($N192&lt;&gt;"",IF(INDEX(PCBaskets,$N192)=0,"",INDEX(PCBaskets,$N192)),"")</f>
        <v/>
      </c>
      <c r="H192" s="26">
        <f>IF($N192&lt;&gt;"",IF(INDEX(PCNet,$N192)=0,"",INDEX(PCNet,$N192)),"")</f>
        <v/>
      </c>
      <c r="I192" s="25">
        <f>IF($N192&lt;&gt;"",IF(INDEX(PCOp,$N192)="مرجوعی خرید","",IF(INDEX(PCAmount,$N192)&lt;=0,"",INDEX(PCAmount,$N192))),IF($O192&lt;&gt;"",IF(INDEX(TxnDepB,$O192)=0,"",INDEX(TxnDepB,$O192)),""))</f>
        <v/>
      </c>
      <c r="J192" s="25">
        <f>IF($N192&lt;&gt;"",IF(INDEX(PCOp,$N192)="مرجوعی خرید",IF(INDEX(PCAmount,$N192)=0,"",-INDEX(PCAmount,$N192)),""),IF($O192&lt;&gt;"",IF(INDEX(TxnWitB,$O192)=0,"",INDEX(TxnWitB,$O192)),""))</f>
        <v/>
      </c>
      <c r="K192" s="27">
        <f>IF($B192="","",IF($K191="",$C$10,$K191)+IF($I192="",0,$I192)-IF($J192="",0,$J192))</f>
        <v/>
      </c>
      <c r="L192" s="28">
        <f>IF($N192&lt;&gt;"",IF(INDEX(PCNotes,$N192)="","—",INDEX(PCNotes,$N192)),IF($O192&lt;&gt;"",IF(INDEX(LdgNoteB,$O192)="","—",INDEX(LdgNoteB,$O192)),""))</f>
        <v/>
      </c>
      <c r="N192">
        <f>IFERROR(MATCH($C$5&amp;"|"&amp;RIGHT("000000"&amp;176,6),LdgRankKeyA,0),"")</f>
        <v/>
      </c>
      <c r="O192">
        <f>IFERROR(MATCH($C$5&amp;"|"&amp;RIGHT("000000"&amp;176,6),LdgRankKeyB,0),"")</f>
        <v/>
      </c>
    </row>
    <row r="193">
      <c r="A193" s="17" t="n">
        <v>177</v>
      </c>
      <c r="B193" s="18">
        <f>IF(AND($N193="",$O193=""),"",IF($N193&lt;&gt;"",INDEX(PCNormDate,$N193),INDEX(LdgDateB,$O193)))</f>
        <v/>
      </c>
      <c r="C193" s="18">
        <f>IF($N193&lt;&gt;"",INDEX(PCOp,$N193),IF($O193&lt;&gt;"",IF(N(INDEX(TxnDepB,$O193))&gt;0,"دریافت بانکی","پرداخت بانکی"),""))</f>
        <v/>
      </c>
      <c r="D193" s="18">
        <f>IF($N193&lt;&gt;"",IF(INDEX(PCDoc,$N193)="","—",INDEX(PCDoc,$N193)),IF($O193&lt;&gt;"",INDEX(LdgBankB,$O193),""))</f>
        <v/>
      </c>
      <c r="E193" s="18">
        <f>IF($N193&lt;&gt;"",IF(INDEX(PCCitrus,$N193)="","—",INDEX(PCCitrus,$N193)),"")</f>
        <v/>
      </c>
      <c r="F193" s="19">
        <f>IF($N193&lt;&gt;"",IF(INDEX(PCScale,$N193)=0,"",INDEX(PCScale,$N193)),"")</f>
        <v/>
      </c>
      <c r="G193" s="19">
        <f>IF($N193&lt;&gt;"",IF(INDEX(PCBaskets,$N193)=0,"",INDEX(PCBaskets,$N193)),"")</f>
        <v/>
      </c>
      <c r="H193" s="20">
        <f>IF($N193&lt;&gt;"",IF(INDEX(PCNet,$N193)=0,"",INDEX(PCNet,$N193)),"")</f>
        <v/>
      </c>
      <c r="I193" s="19">
        <f>IF($N193&lt;&gt;"",IF(INDEX(PCOp,$N193)="مرجوعی خرید","",IF(INDEX(PCAmount,$N193)&lt;=0,"",INDEX(PCAmount,$N193))),IF($O193&lt;&gt;"",IF(INDEX(TxnDepB,$O193)=0,"",INDEX(TxnDepB,$O193)),""))</f>
        <v/>
      </c>
      <c r="J193" s="19">
        <f>IF($N193&lt;&gt;"",IF(INDEX(PCOp,$N193)="مرجوعی خرید",IF(INDEX(PCAmount,$N193)=0,"",-INDEX(PCAmount,$N193)),""),IF($O193&lt;&gt;"",IF(INDEX(TxnWitB,$O193)=0,"",INDEX(TxnWitB,$O193)),""))</f>
        <v/>
      </c>
      <c r="K193" s="21">
        <f>IF($B193="","",IF($K192="",$C$10,$K192)+IF($I193="",0,$I193)-IF($J193="",0,$J193))</f>
        <v/>
      </c>
      <c r="L193" s="22">
        <f>IF($N193&lt;&gt;"",IF(INDEX(PCNotes,$N193)="","—",INDEX(PCNotes,$N193)),IF($O193&lt;&gt;"",IF(INDEX(LdgNoteB,$O193)="","—",INDEX(LdgNoteB,$O193)),""))</f>
        <v/>
      </c>
      <c r="N193">
        <f>IFERROR(MATCH($C$5&amp;"|"&amp;RIGHT("000000"&amp;177,6),LdgRankKeyA,0),"")</f>
        <v/>
      </c>
      <c r="O193">
        <f>IFERROR(MATCH($C$5&amp;"|"&amp;RIGHT("000000"&amp;177,6),LdgRankKeyB,0),"")</f>
        <v/>
      </c>
    </row>
    <row r="194">
      <c r="A194" s="23" t="n">
        <v>178</v>
      </c>
      <c r="B194" s="24">
        <f>IF(AND($N194="",$O194=""),"",IF($N194&lt;&gt;"",INDEX(PCNormDate,$N194),INDEX(LdgDateB,$O194)))</f>
        <v/>
      </c>
      <c r="C194" s="24">
        <f>IF($N194&lt;&gt;"",INDEX(PCOp,$N194),IF($O194&lt;&gt;"",IF(N(INDEX(TxnDepB,$O194))&gt;0,"دریافت بانکی","پرداخت بانکی"),""))</f>
        <v/>
      </c>
      <c r="D194" s="24">
        <f>IF($N194&lt;&gt;"",IF(INDEX(PCDoc,$N194)="","—",INDEX(PCDoc,$N194)),IF($O194&lt;&gt;"",INDEX(LdgBankB,$O194),""))</f>
        <v/>
      </c>
      <c r="E194" s="24">
        <f>IF($N194&lt;&gt;"",IF(INDEX(PCCitrus,$N194)="","—",INDEX(PCCitrus,$N194)),"")</f>
        <v/>
      </c>
      <c r="F194" s="25">
        <f>IF($N194&lt;&gt;"",IF(INDEX(PCScale,$N194)=0,"",INDEX(PCScale,$N194)),"")</f>
        <v/>
      </c>
      <c r="G194" s="25">
        <f>IF($N194&lt;&gt;"",IF(INDEX(PCBaskets,$N194)=0,"",INDEX(PCBaskets,$N194)),"")</f>
        <v/>
      </c>
      <c r="H194" s="26">
        <f>IF($N194&lt;&gt;"",IF(INDEX(PCNet,$N194)=0,"",INDEX(PCNet,$N194)),"")</f>
        <v/>
      </c>
      <c r="I194" s="25">
        <f>IF($N194&lt;&gt;"",IF(INDEX(PCOp,$N194)="مرجوعی خرید","",IF(INDEX(PCAmount,$N194)&lt;=0,"",INDEX(PCAmount,$N194))),IF($O194&lt;&gt;"",IF(INDEX(TxnDepB,$O194)=0,"",INDEX(TxnDepB,$O194)),""))</f>
        <v/>
      </c>
      <c r="J194" s="25">
        <f>IF($N194&lt;&gt;"",IF(INDEX(PCOp,$N194)="مرجوعی خرید",IF(INDEX(PCAmount,$N194)=0,"",-INDEX(PCAmount,$N194)),""),IF($O194&lt;&gt;"",IF(INDEX(TxnWitB,$O194)=0,"",INDEX(TxnWitB,$O194)),""))</f>
        <v/>
      </c>
      <c r="K194" s="27">
        <f>IF($B194="","",IF($K193="",$C$10,$K193)+IF($I194="",0,$I194)-IF($J194="",0,$J194))</f>
        <v/>
      </c>
      <c r="L194" s="28">
        <f>IF($N194&lt;&gt;"",IF(INDEX(PCNotes,$N194)="","—",INDEX(PCNotes,$N194)),IF($O194&lt;&gt;"",IF(INDEX(LdgNoteB,$O194)="","—",INDEX(LdgNoteB,$O194)),""))</f>
        <v/>
      </c>
      <c r="N194">
        <f>IFERROR(MATCH($C$5&amp;"|"&amp;RIGHT("000000"&amp;178,6),LdgRankKeyA,0),"")</f>
        <v/>
      </c>
      <c r="O194">
        <f>IFERROR(MATCH($C$5&amp;"|"&amp;RIGHT("000000"&amp;178,6),LdgRankKeyB,0),"")</f>
        <v/>
      </c>
    </row>
    <row r="195">
      <c r="A195" s="17" t="n">
        <v>179</v>
      </c>
      <c r="B195" s="18">
        <f>IF(AND($N195="",$O195=""),"",IF($N195&lt;&gt;"",INDEX(PCNormDate,$N195),INDEX(LdgDateB,$O195)))</f>
        <v/>
      </c>
      <c r="C195" s="18">
        <f>IF($N195&lt;&gt;"",INDEX(PCOp,$N195),IF($O195&lt;&gt;"",IF(N(INDEX(TxnDepB,$O195))&gt;0,"دریافت بانکی","پرداخت بانکی"),""))</f>
        <v/>
      </c>
      <c r="D195" s="18">
        <f>IF($N195&lt;&gt;"",IF(INDEX(PCDoc,$N195)="","—",INDEX(PCDoc,$N195)),IF($O195&lt;&gt;"",INDEX(LdgBankB,$O195),""))</f>
        <v/>
      </c>
      <c r="E195" s="18">
        <f>IF($N195&lt;&gt;"",IF(INDEX(PCCitrus,$N195)="","—",INDEX(PCCitrus,$N195)),"")</f>
        <v/>
      </c>
      <c r="F195" s="19">
        <f>IF($N195&lt;&gt;"",IF(INDEX(PCScale,$N195)=0,"",INDEX(PCScale,$N195)),"")</f>
        <v/>
      </c>
      <c r="G195" s="19">
        <f>IF($N195&lt;&gt;"",IF(INDEX(PCBaskets,$N195)=0,"",INDEX(PCBaskets,$N195)),"")</f>
        <v/>
      </c>
      <c r="H195" s="20">
        <f>IF($N195&lt;&gt;"",IF(INDEX(PCNet,$N195)=0,"",INDEX(PCNet,$N195)),"")</f>
        <v/>
      </c>
      <c r="I195" s="19">
        <f>IF($N195&lt;&gt;"",IF(INDEX(PCOp,$N195)="مرجوعی خرید","",IF(INDEX(PCAmount,$N195)&lt;=0,"",INDEX(PCAmount,$N195))),IF($O195&lt;&gt;"",IF(INDEX(TxnDepB,$O195)=0,"",INDEX(TxnDepB,$O195)),""))</f>
        <v/>
      </c>
      <c r="J195" s="19">
        <f>IF($N195&lt;&gt;"",IF(INDEX(PCOp,$N195)="مرجوعی خرید",IF(INDEX(PCAmount,$N195)=0,"",-INDEX(PCAmount,$N195)),""),IF($O195&lt;&gt;"",IF(INDEX(TxnWitB,$O195)=0,"",INDEX(TxnWitB,$O195)),""))</f>
        <v/>
      </c>
      <c r="K195" s="21">
        <f>IF($B195="","",IF($K194="",$C$10,$K194)+IF($I195="",0,$I195)-IF($J195="",0,$J195))</f>
        <v/>
      </c>
      <c r="L195" s="22">
        <f>IF($N195&lt;&gt;"",IF(INDEX(PCNotes,$N195)="","—",INDEX(PCNotes,$N195)),IF($O195&lt;&gt;"",IF(INDEX(LdgNoteB,$O195)="","—",INDEX(LdgNoteB,$O195)),""))</f>
        <v/>
      </c>
      <c r="N195">
        <f>IFERROR(MATCH($C$5&amp;"|"&amp;RIGHT("000000"&amp;179,6),LdgRankKeyA,0),"")</f>
        <v/>
      </c>
      <c r="O195">
        <f>IFERROR(MATCH($C$5&amp;"|"&amp;RIGHT("000000"&amp;179,6),LdgRankKeyB,0),"")</f>
        <v/>
      </c>
    </row>
    <row r="196">
      <c r="A196" s="23" t="n">
        <v>180</v>
      </c>
      <c r="B196" s="24">
        <f>IF(AND($N196="",$O196=""),"",IF($N196&lt;&gt;"",INDEX(PCNormDate,$N196),INDEX(LdgDateB,$O196)))</f>
        <v/>
      </c>
      <c r="C196" s="24">
        <f>IF($N196&lt;&gt;"",INDEX(PCOp,$N196),IF($O196&lt;&gt;"",IF(N(INDEX(TxnDepB,$O196))&gt;0,"دریافت بانکی","پرداخت بانکی"),""))</f>
        <v/>
      </c>
      <c r="D196" s="24">
        <f>IF($N196&lt;&gt;"",IF(INDEX(PCDoc,$N196)="","—",INDEX(PCDoc,$N196)),IF($O196&lt;&gt;"",INDEX(LdgBankB,$O196),""))</f>
        <v/>
      </c>
      <c r="E196" s="24">
        <f>IF($N196&lt;&gt;"",IF(INDEX(PCCitrus,$N196)="","—",INDEX(PCCitrus,$N196)),"")</f>
        <v/>
      </c>
      <c r="F196" s="25">
        <f>IF($N196&lt;&gt;"",IF(INDEX(PCScale,$N196)=0,"",INDEX(PCScale,$N196)),"")</f>
        <v/>
      </c>
      <c r="G196" s="25">
        <f>IF($N196&lt;&gt;"",IF(INDEX(PCBaskets,$N196)=0,"",INDEX(PCBaskets,$N196)),"")</f>
        <v/>
      </c>
      <c r="H196" s="26">
        <f>IF($N196&lt;&gt;"",IF(INDEX(PCNet,$N196)=0,"",INDEX(PCNet,$N196)),"")</f>
        <v/>
      </c>
      <c r="I196" s="25">
        <f>IF($N196&lt;&gt;"",IF(INDEX(PCOp,$N196)="مرجوعی خرید","",IF(INDEX(PCAmount,$N196)&lt;=0,"",INDEX(PCAmount,$N196))),IF($O196&lt;&gt;"",IF(INDEX(TxnDepB,$O196)=0,"",INDEX(TxnDepB,$O196)),""))</f>
        <v/>
      </c>
      <c r="J196" s="25">
        <f>IF($N196&lt;&gt;"",IF(INDEX(PCOp,$N196)="مرجوعی خرید",IF(INDEX(PCAmount,$N196)=0,"",-INDEX(PCAmount,$N196)),""),IF($O196&lt;&gt;"",IF(INDEX(TxnWitB,$O196)=0,"",INDEX(TxnWitB,$O196)),""))</f>
        <v/>
      </c>
      <c r="K196" s="27">
        <f>IF($B196="","",IF($K195="",$C$10,$K195)+IF($I196="",0,$I196)-IF($J196="",0,$J196))</f>
        <v/>
      </c>
      <c r="L196" s="28">
        <f>IF($N196&lt;&gt;"",IF(INDEX(PCNotes,$N196)="","—",INDEX(PCNotes,$N196)),IF($O196&lt;&gt;"",IF(INDEX(LdgNoteB,$O196)="","—",INDEX(LdgNoteB,$O196)),""))</f>
        <v/>
      </c>
      <c r="N196">
        <f>IFERROR(MATCH($C$5&amp;"|"&amp;RIGHT("000000"&amp;180,6),LdgRankKeyA,0),"")</f>
        <v/>
      </c>
      <c r="O196">
        <f>IFERROR(MATCH($C$5&amp;"|"&amp;RIGHT("000000"&amp;180,6),LdgRankKeyB,0),"")</f>
        <v/>
      </c>
    </row>
    <row r="197">
      <c r="A197" s="17" t="n">
        <v>181</v>
      </c>
      <c r="B197" s="18">
        <f>IF(AND($N197="",$O197=""),"",IF($N197&lt;&gt;"",INDEX(PCNormDate,$N197),INDEX(LdgDateB,$O197)))</f>
        <v/>
      </c>
      <c r="C197" s="18">
        <f>IF($N197&lt;&gt;"",INDEX(PCOp,$N197),IF($O197&lt;&gt;"",IF(N(INDEX(TxnDepB,$O197))&gt;0,"دریافت بانکی","پرداخت بانکی"),""))</f>
        <v/>
      </c>
      <c r="D197" s="18">
        <f>IF($N197&lt;&gt;"",IF(INDEX(PCDoc,$N197)="","—",INDEX(PCDoc,$N197)),IF($O197&lt;&gt;"",INDEX(LdgBankB,$O197),""))</f>
        <v/>
      </c>
      <c r="E197" s="18">
        <f>IF($N197&lt;&gt;"",IF(INDEX(PCCitrus,$N197)="","—",INDEX(PCCitrus,$N197)),"")</f>
        <v/>
      </c>
      <c r="F197" s="19">
        <f>IF($N197&lt;&gt;"",IF(INDEX(PCScale,$N197)=0,"",INDEX(PCScale,$N197)),"")</f>
        <v/>
      </c>
      <c r="G197" s="19">
        <f>IF($N197&lt;&gt;"",IF(INDEX(PCBaskets,$N197)=0,"",INDEX(PCBaskets,$N197)),"")</f>
        <v/>
      </c>
      <c r="H197" s="20">
        <f>IF($N197&lt;&gt;"",IF(INDEX(PCNet,$N197)=0,"",INDEX(PCNet,$N197)),"")</f>
        <v/>
      </c>
      <c r="I197" s="19">
        <f>IF($N197&lt;&gt;"",IF(INDEX(PCOp,$N197)="مرجوعی خرید","",IF(INDEX(PCAmount,$N197)&lt;=0,"",INDEX(PCAmount,$N197))),IF($O197&lt;&gt;"",IF(INDEX(TxnDepB,$O197)=0,"",INDEX(TxnDepB,$O197)),""))</f>
        <v/>
      </c>
      <c r="J197" s="19">
        <f>IF($N197&lt;&gt;"",IF(INDEX(PCOp,$N197)="مرجوعی خرید",IF(INDEX(PCAmount,$N197)=0,"",-INDEX(PCAmount,$N197)),""),IF($O197&lt;&gt;"",IF(INDEX(TxnWitB,$O197)=0,"",INDEX(TxnWitB,$O197)),""))</f>
        <v/>
      </c>
      <c r="K197" s="21">
        <f>IF($B197="","",IF($K196="",$C$10,$K196)+IF($I197="",0,$I197)-IF($J197="",0,$J197))</f>
        <v/>
      </c>
      <c r="L197" s="22">
        <f>IF($N197&lt;&gt;"",IF(INDEX(PCNotes,$N197)="","—",INDEX(PCNotes,$N197)),IF($O197&lt;&gt;"",IF(INDEX(LdgNoteB,$O197)="","—",INDEX(LdgNoteB,$O197)),""))</f>
        <v/>
      </c>
      <c r="N197">
        <f>IFERROR(MATCH($C$5&amp;"|"&amp;RIGHT("000000"&amp;181,6),LdgRankKeyA,0),"")</f>
        <v/>
      </c>
      <c r="O197">
        <f>IFERROR(MATCH($C$5&amp;"|"&amp;RIGHT("000000"&amp;181,6),LdgRankKeyB,0),"")</f>
        <v/>
      </c>
    </row>
    <row r="198">
      <c r="A198" s="23" t="n">
        <v>182</v>
      </c>
      <c r="B198" s="24">
        <f>IF(AND($N198="",$O198=""),"",IF($N198&lt;&gt;"",INDEX(PCNormDate,$N198),INDEX(LdgDateB,$O198)))</f>
        <v/>
      </c>
      <c r="C198" s="24">
        <f>IF($N198&lt;&gt;"",INDEX(PCOp,$N198),IF($O198&lt;&gt;"",IF(N(INDEX(TxnDepB,$O198))&gt;0,"دریافت بانکی","پرداخت بانکی"),""))</f>
        <v/>
      </c>
      <c r="D198" s="24">
        <f>IF($N198&lt;&gt;"",IF(INDEX(PCDoc,$N198)="","—",INDEX(PCDoc,$N198)),IF($O198&lt;&gt;"",INDEX(LdgBankB,$O198),""))</f>
        <v/>
      </c>
      <c r="E198" s="24">
        <f>IF($N198&lt;&gt;"",IF(INDEX(PCCitrus,$N198)="","—",INDEX(PCCitrus,$N198)),"")</f>
        <v/>
      </c>
      <c r="F198" s="25">
        <f>IF($N198&lt;&gt;"",IF(INDEX(PCScale,$N198)=0,"",INDEX(PCScale,$N198)),"")</f>
        <v/>
      </c>
      <c r="G198" s="25">
        <f>IF($N198&lt;&gt;"",IF(INDEX(PCBaskets,$N198)=0,"",INDEX(PCBaskets,$N198)),"")</f>
        <v/>
      </c>
      <c r="H198" s="26">
        <f>IF($N198&lt;&gt;"",IF(INDEX(PCNet,$N198)=0,"",INDEX(PCNet,$N198)),"")</f>
        <v/>
      </c>
      <c r="I198" s="25">
        <f>IF($N198&lt;&gt;"",IF(INDEX(PCOp,$N198)="مرجوعی خرید","",IF(INDEX(PCAmount,$N198)&lt;=0,"",INDEX(PCAmount,$N198))),IF($O198&lt;&gt;"",IF(INDEX(TxnDepB,$O198)=0,"",INDEX(TxnDepB,$O198)),""))</f>
        <v/>
      </c>
      <c r="J198" s="25">
        <f>IF($N198&lt;&gt;"",IF(INDEX(PCOp,$N198)="مرجوعی خرید",IF(INDEX(PCAmount,$N198)=0,"",-INDEX(PCAmount,$N198)),""),IF($O198&lt;&gt;"",IF(INDEX(TxnWitB,$O198)=0,"",INDEX(TxnWitB,$O198)),""))</f>
        <v/>
      </c>
      <c r="K198" s="27">
        <f>IF($B198="","",IF($K197="",$C$10,$K197)+IF($I198="",0,$I198)-IF($J198="",0,$J198))</f>
        <v/>
      </c>
      <c r="L198" s="28">
        <f>IF($N198&lt;&gt;"",IF(INDEX(PCNotes,$N198)="","—",INDEX(PCNotes,$N198)),IF($O198&lt;&gt;"",IF(INDEX(LdgNoteB,$O198)="","—",INDEX(LdgNoteB,$O198)),""))</f>
        <v/>
      </c>
      <c r="N198">
        <f>IFERROR(MATCH($C$5&amp;"|"&amp;RIGHT("000000"&amp;182,6),LdgRankKeyA,0),"")</f>
        <v/>
      </c>
      <c r="O198">
        <f>IFERROR(MATCH($C$5&amp;"|"&amp;RIGHT("000000"&amp;182,6),LdgRankKeyB,0),"")</f>
        <v/>
      </c>
    </row>
    <row r="199">
      <c r="A199" s="17" t="n">
        <v>183</v>
      </c>
      <c r="B199" s="18">
        <f>IF(AND($N199="",$O199=""),"",IF($N199&lt;&gt;"",INDEX(PCNormDate,$N199),INDEX(LdgDateB,$O199)))</f>
        <v/>
      </c>
      <c r="C199" s="18">
        <f>IF($N199&lt;&gt;"",INDEX(PCOp,$N199),IF($O199&lt;&gt;"",IF(N(INDEX(TxnDepB,$O199))&gt;0,"دریافت بانکی","پرداخت بانکی"),""))</f>
        <v/>
      </c>
      <c r="D199" s="18">
        <f>IF($N199&lt;&gt;"",IF(INDEX(PCDoc,$N199)="","—",INDEX(PCDoc,$N199)),IF($O199&lt;&gt;"",INDEX(LdgBankB,$O199),""))</f>
        <v/>
      </c>
      <c r="E199" s="18">
        <f>IF($N199&lt;&gt;"",IF(INDEX(PCCitrus,$N199)="","—",INDEX(PCCitrus,$N199)),"")</f>
        <v/>
      </c>
      <c r="F199" s="19">
        <f>IF($N199&lt;&gt;"",IF(INDEX(PCScale,$N199)=0,"",INDEX(PCScale,$N199)),"")</f>
        <v/>
      </c>
      <c r="G199" s="19">
        <f>IF($N199&lt;&gt;"",IF(INDEX(PCBaskets,$N199)=0,"",INDEX(PCBaskets,$N199)),"")</f>
        <v/>
      </c>
      <c r="H199" s="20">
        <f>IF($N199&lt;&gt;"",IF(INDEX(PCNet,$N199)=0,"",INDEX(PCNet,$N199)),"")</f>
        <v/>
      </c>
      <c r="I199" s="19">
        <f>IF($N199&lt;&gt;"",IF(INDEX(PCOp,$N199)="مرجوعی خرید","",IF(INDEX(PCAmount,$N199)&lt;=0,"",INDEX(PCAmount,$N199))),IF($O199&lt;&gt;"",IF(INDEX(TxnDepB,$O199)=0,"",INDEX(TxnDepB,$O199)),""))</f>
        <v/>
      </c>
      <c r="J199" s="19">
        <f>IF($N199&lt;&gt;"",IF(INDEX(PCOp,$N199)="مرجوعی خرید",IF(INDEX(PCAmount,$N199)=0,"",-INDEX(PCAmount,$N199)),""),IF($O199&lt;&gt;"",IF(INDEX(TxnWitB,$O199)=0,"",INDEX(TxnWitB,$O199)),""))</f>
        <v/>
      </c>
      <c r="K199" s="21">
        <f>IF($B199="","",IF($K198="",$C$10,$K198)+IF($I199="",0,$I199)-IF($J199="",0,$J199))</f>
        <v/>
      </c>
      <c r="L199" s="22">
        <f>IF($N199&lt;&gt;"",IF(INDEX(PCNotes,$N199)="","—",INDEX(PCNotes,$N199)),IF($O199&lt;&gt;"",IF(INDEX(LdgNoteB,$O199)="","—",INDEX(LdgNoteB,$O199)),""))</f>
        <v/>
      </c>
      <c r="N199">
        <f>IFERROR(MATCH($C$5&amp;"|"&amp;RIGHT("000000"&amp;183,6),LdgRankKeyA,0),"")</f>
        <v/>
      </c>
      <c r="O199">
        <f>IFERROR(MATCH($C$5&amp;"|"&amp;RIGHT("000000"&amp;183,6),LdgRankKeyB,0),"")</f>
        <v/>
      </c>
    </row>
    <row r="200">
      <c r="A200" s="23" t="n">
        <v>184</v>
      </c>
      <c r="B200" s="24">
        <f>IF(AND($N200="",$O200=""),"",IF($N200&lt;&gt;"",INDEX(PCNormDate,$N200),INDEX(LdgDateB,$O200)))</f>
        <v/>
      </c>
      <c r="C200" s="24">
        <f>IF($N200&lt;&gt;"",INDEX(PCOp,$N200),IF($O200&lt;&gt;"",IF(N(INDEX(TxnDepB,$O200))&gt;0,"دریافت بانکی","پرداخت بانکی"),""))</f>
        <v/>
      </c>
      <c r="D200" s="24">
        <f>IF($N200&lt;&gt;"",IF(INDEX(PCDoc,$N200)="","—",INDEX(PCDoc,$N200)),IF($O200&lt;&gt;"",INDEX(LdgBankB,$O200),""))</f>
        <v/>
      </c>
      <c r="E200" s="24">
        <f>IF($N200&lt;&gt;"",IF(INDEX(PCCitrus,$N200)="","—",INDEX(PCCitrus,$N200)),"")</f>
        <v/>
      </c>
      <c r="F200" s="25">
        <f>IF($N200&lt;&gt;"",IF(INDEX(PCScale,$N200)=0,"",INDEX(PCScale,$N200)),"")</f>
        <v/>
      </c>
      <c r="G200" s="25">
        <f>IF($N200&lt;&gt;"",IF(INDEX(PCBaskets,$N200)=0,"",INDEX(PCBaskets,$N200)),"")</f>
        <v/>
      </c>
      <c r="H200" s="26">
        <f>IF($N200&lt;&gt;"",IF(INDEX(PCNet,$N200)=0,"",INDEX(PCNet,$N200)),"")</f>
        <v/>
      </c>
      <c r="I200" s="25">
        <f>IF($N200&lt;&gt;"",IF(INDEX(PCOp,$N200)="مرجوعی خرید","",IF(INDEX(PCAmount,$N200)&lt;=0,"",INDEX(PCAmount,$N200))),IF($O200&lt;&gt;"",IF(INDEX(TxnDepB,$O200)=0,"",INDEX(TxnDepB,$O200)),""))</f>
        <v/>
      </c>
      <c r="J200" s="25">
        <f>IF($N200&lt;&gt;"",IF(INDEX(PCOp,$N200)="مرجوعی خرید",IF(INDEX(PCAmount,$N200)=0,"",-INDEX(PCAmount,$N200)),""),IF($O200&lt;&gt;"",IF(INDEX(TxnWitB,$O200)=0,"",INDEX(TxnWitB,$O200)),""))</f>
        <v/>
      </c>
      <c r="K200" s="27">
        <f>IF($B200="","",IF($K199="",$C$10,$K199)+IF($I200="",0,$I200)-IF($J200="",0,$J200))</f>
        <v/>
      </c>
      <c r="L200" s="28">
        <f>IF($N200&lt;&gt;"",IF(INDEX(PCNotes,$N200)="","—",INDEX(PCNotes,$N200)),IF($O200&lt;&gt;"",IF(INDEX(LdgNoteB,$O200)="","—",INDEX(LdgNoteB,$O200)),""))</f>
        <v/>
      </c>
      <c r="N200">
        <f>IFERROR(MATCH($C$5&amp;"|"&amp;RIGHT("000000"&amp;184,6),LdgRankKeyA,0),"")</f>
        <v/>
      </c>
      <c r="O200">
        <f>IFERROR(MATCH($C$5&amp;"|"&amp;RIGHT("000000"&amp;184,6),LdgRankKeyB,0),"")</f>
        <v/>
      </c>
    </row>
    <row r="201">
      <c r="A201" s="17" t="n">
        <v>185</v>
      </c>
      <c r="B201" s="18">
        <f>IF(AND($N201="",$O201=""),"",IF($N201&lt;&gt;"",INDEX(PCNormDate,$N201),INDEX(LdgDateB,$O201)))</f>
        <v/>
      </c>
      <c r="C201" s="18">
        <f>IF($N201&lt;&gt;"",INDEX(PCOp,$N201),IF($O201&lt;&gt;"",IF(N(INDEX(TxnDepB,$O201))&gt;0,"دریافت بانکی","پرداخت بانکی"),""))</f>
        <v/>
      </c>
      <c r="D201" s="18">
        <f>IF($N201&lt;&gt;"",IF(INDEX(PCDoc,$N201)="","—",INDEX(PCDoc,$N201)),IF($O201&lt;&gt;"",INDEX(LdgBankB,$O201),""))</f>
        <v/>
      </c>
      <c r="E201" s="18">
        <f>IF($N201&lt;&gt;"",IF(INDEX(PCCitrus,$N201)="","—",INDEX(PCCitrus,$N201)),"")</f>
        <v/>
      </c>
      <c r="F201" s="19">
        <f>IF($N201&lt;&gt;"",IF(INDEX(PCScale,$N201)=0,"",INDEX(PCScale,$N201)),"")</f>
        <v/>
      </c>
      <c r="G201" s="19">
        <f>IF($N201&lt;&gt;"",IF(INDEX(PCBaskets,$N201)=0,"",INDEX(PCBaskets,$N201)),"")</f>
        <v/>
      </c>
      <c r="H201" s="20">
        <f>IF($N201&lt;&gt;"",IF(INDEX(PCNet,$N201)=0,"",INDEX(PCNet,$N201)),"")</f>
        <v/>
      </c>
      <c r="I201" s="19">
        <f>IF($N201&lt;&gt;"",IF(INDEX(PCOp,$N201)="مرجوعی خرید","",IF(INDEX(PCAmount,$N201)&lt;=0,"",INDEX(PCAmount,$N201))),IF($O201&lt;&gt;"",IF(INDEX(TxnDepB,$O201)=0,"",INDEX(TxnDepB,$O201)),""))</f>
        <v/>
      </c>
      <c r="J201" s="19">
        <f>IF($N201&lt;&gt;"",IF(INDEX(PCOp,$N201)="مرجوعی خرید",IF(INDEX(PCAmount,$N201)=0,"",-INDEX(PCAmount,$N201)),""),IF($O201&lt;&gt;"",IF(INDEX(TxnWitB,$O201)=0,"",INDEX(TxnWitB,$O201)),""))</f>
        <v/>
      </c>
      <c r="K201" s="21">
        <f>IF($B201="","",IF($K200="",$C$10,$K200)+IF($I201="",0,$I201)-IF($J201="",0,$J201))</f>
        <v/>
      </c>
      <c r="L201" s="22">
        <f>IF($N201&lt;&gt;"",IF(INDEX(PCNotes,$N201)="","—",INDEX(PCNotes,$N201)),IF($O201&lt;&gt;"",IF(INDEX(LdgNoteB,$O201)="","—",INDEX(LdgNoteB,$O201)),""))</f>
        <v/>
      </c>
      <c r="N201">
        <f>IFERROR(MATCH($C$5&amp;"|"&amp;RIGHT("000000"&amp;185,6),LdgRankKeyA,0),"")</f>
        <v/>
      </c>
      <c r="O201">
        <f>IFERROR(MATCH($C$5&amp;"|"&amp;RIGHT("000000"&amp;185,6),LdgRankKeyB,0),"")</f>
        <v/>
      </c>
    </row>
    <row r="202">
      <c r="A202" s="23" t="n">
        <v>186</v>
      </c>
      <c r="B202" s="24">
        <f>IF(AND($N202="",$O202=""),"",IF($N202&lt;&gt;"",INDEX(PCNormDate,$N202),INDEX(LdgDateB,$O202)))</f>
        <v/>
      </c>
      <c r="C202" s="24">
        <f>IF($N202&lt;&gt;"",INDEX(PCOp,$N202),IF($O202&lt;&gt;"",IF(N(INDEX(TxnDepB,$O202))&gt;0,"دریافت بانکی","پرداخت بانکی"),""))</f>
        <v/>
      </c>
      <c r="D202" s="24">
        <f>IF($N202&lt;&gt;"",IF(INDEX(PCDoc,$N202)="","—",INDEX(PCDoc,$N202)),IF($O202&lt;&gt;"",INDEX(LdgBankB,$O202),""))</f>
        <v/>
      </c>
      <c r="E202" s="24">
        <f>IF($N202&lt;&gt;"",IF(INDEX(PCCitrus,$N202)="","—",INDEX(PCCitrus,$N202)),"")</f>
        <v/>
      </c>
      <c r="F202" s="25">
        <f>IF($N202&lt;&gt;"",IF(INDEX(PCScale,$N202)=0,"",INDEX(PCScale,$N202)),"")</f>
        <v/>
      </c>
      <c r="G202" s="25">
        <f>IF($N202&lt;&gt;"",IF(INDEX(PCBaskets,$N202)=0,"",INDEX(PCBaskets,$N202)),"")</f>
        <v/>
      </c>
      <c r="H202" s="26">
        <f>IF($N202&lt;&gt;"",IF(INDEX(PCNet,$N202)=0,"",INDEX(PCNet,$N202)),"")</f>
        <v/>
      </c>
      <c r="I202" s="25">
        <f>IF($N202&lt;&gt;"",IF(INDEX(PCOp,$N202)="مرجوعی خرید","",IF(INDEX(PCAmount,$N202)&lt;=0,"",INDEX(PCAmount,$N202))),IF($O202&lt;&gt;"",IF(INDEX(TxnDepB,$O202)=0,"",INDEX(TxnDepB,$O202)),""))</f>
        <v/>
      </c>
      <c r="J202" s="25">
        <f>IF($N202&lt;&gt;"",IF(INDEX(PCOp,$N202)="مرجوعی خرید",IF(INDEX(PCAmount,$N202)=0,"",-INDEX(PCAmount,$N202)),""),IF($O202&lt;&gt;"",IF(INDEX(TxnWitB,$O202)=0,"",INDEX(TxnWitB,$O202)),""))</f>
        <v/>
      </c>
      <c r="K202" s="27">
        <f>IF($B202="","",IF($K201="",$C$10,$K201)+IF($I202="",0,$I202)-IF($J202="",0,$J202))</f>
        <v/>
      </c>
      <c r="L202" s="28">
        <f>IF($N202&lt;&gt;"",IF(INDEX(PCNotes,$N202)="","—",INDEX(PCNotes,$N202)),IF($O202&lt;&gt;"",IF(INDEX(LdgNoteB,$O202)="","—",INDEX(LdgNoteB,$O202)),""))</f>
        <v/>
      </c>
      <c r="N202">
        <f>IFERROR(MATCH($C$5&amp;"|"&amp;RIGHT("000000"&amp;186,6),LdgRankKeyA,0),"")</f>
        <v/>
      </c>
      <c r="O202">
        <f>IFERROR(MATCH($C$5&amp;"|"&amp;RIGHT("000000"&amp;186,6),LdgRankKeyB,0),"")</f>
        <v/>
      </c>
    </row>
    <row r="203">
      <c r="A203" s="17" t="n">
        <v>187</v>
      </c>
      <c r="B203" s="18">
        <f>IF(AND($N203="",$O203=""),"",IF($N203&lt;&gt;"",INDEX(PCNormDate,$N203),INDEX(LdgDateB,$O203)))</f>
        <v/>
      </c>
      <c r="C203" s="18">
        <f>IF($N203&lt;&gt;"",INDEX(PCOp,$N203),IF($O203&lt;&gt;"",IF(N(INDEX(TxnDepB,$O203))&gt;0,"دریافت بانکی","پرداخت بانکی"),""))</f>
        <v/>
      </c>
      <c r="D203" s="18">
        <f>IF($N203&lt;&gt;"",IF(INDEX(PCDoc,$N203)="","—",INDEX(PCDoc,$N203)),IF($O203&lt;&gt;"",INDEX(LdgBankB,$O203),""))</f>
        <v/>
      </c>
      <c r="E203" s="18">
        <f>IF($N203&lt;&gt;"",IF(INDEX(PCCitrus,$N203)="","—",INDEX(PCCitrus,$N203)),"")</f>
        <v/>
      </c>
      <c r="F203" s="19">
        <f>IF($N203&lt;&gt;"",IF(INDEX(PCScale,$N203)=0,"",INDEX(PCScale,$N203)),"")</f>
        <v/>
      </c>
      <c r="G203" s="19">
        <f>IF($N203&lt;&gt;"",IF(INDEX(PCBaskets,$N203)=0,"",INDEX(PCBaskets,$N203)),"")</f>
        <v/>
      </c>
      <c r="H203" s="20">
        <f>IF($N203&lt;&gt;"",IF(INDEX(PCNet,$N203)=0,"",INDEX(PCNet,$N203)),"")</f>
        <v/>
      </c>
      <c r="I203" s="19">
        <f>IF($N203&lt;&gt;"",IF(INDEX(PCOp,$N203)="مرجوعی خرید","",IF(INDEX(PCAmount,$N203)&lt;=0,"",INDEX(PCAmount,$N203))),IF($O203&lt;&gt;"",IF(INDEX(TxnDepB,$O203)=0,"",INDEX(TxnDepB,$O203)),""))</f>
        <v/>
      </c>
      <c r="J203" s="19">
        <f>IF($N203&lt;&gt;"",IF(INDEX(PCOp,$N203)="مرجوعی خرید",IF(INDEX(PCAmount,$N203)=0,"",-INDEX(PCAmount,$N203)),""),IF($O203&lt;&gt;"",IF(INDEX(TxnWitB,$O203)=0,"",INDEX(TxnWitB,$O203)),""))</f>
        <v/>
      </c>
      <c r="K203" s="21">
        <f>IF($B203="","",IF($K202="",$C$10,$K202)+IF($I203="",0,$I203)-IF($J203="",0,$J203))</f>
        <v/>
      </c>
      <c r="L203" s="22">
        <f>IF($N203&lt;&gt;"",IF(INDEX(PCNotes,$N203)="","—",INDEX(PCNotes,$N203)),IF($O203&lt;&gt;"",IF(INDEX(LdgNoteB,$O203)="","—",INDEX(LdgNoteB,$O203)),""))</f>
        <v/>
      </c>
      <c r="N203">
        <f>IFERROR(MATCH($C$5&amp;"|"&amp;RIGHT("000000"&amp;187,6),LdgRankKeyA,0),"")</f>
        <v/>
      </c>
      <c r="O203">
        <f>IFERROR(MATCH($C$5&amp;"|"&amp;RIGHT("000000"&amp;187,6),LdgRankKeyB,0),"")</f>
        <v/>
      </c>
    </row>
    <row r="204">
      <c r="A204" s="23" t="n">
        <v>188</v>
      </c>
      <c r="B204" s="24">
        <f>IF(AND($N204="",$O204=""),"",IF($N204&lt;&gt;"",INDEX(PCNormDate,$N204),INDEX(LdgDateB,$O204)))</f>
        <v/>
      </c>
      <c r="C204" s="24">
        <f>IF($N204&lt;&gt;"",INDEX(PCOp,$N204),IF($O204&lt;&gt;"",IF(N(INDEX(TxnDepB,$O204))&gt;0,"دریافت بانکی","پرداخت بانکی"),""))</f>
        <v/>
      </c>
      <c r="D204" s="24">
        <f>IF($N204&lt;&gt;"",IF(INDEX(PCDoc,$N204)="","—",INDEX(PCDoc,$N204)),IF($O204&lt;&gt;"",INDEX(LdgBankB,$O204),""))</f>
        <v/>
      </c>
      <c r="E204" s="24">
        <f>IF($N204&lt;&gt;"",IF(INDEX(PCCitrus,$N204)="","—",INDEX(PCCitrus,$N204)),"")</f>
        <v/>
      </c>
      <c r="F204" s="25">
        <f>IF($N204&lt;&gt;"",IF(INDEX(PCScale,$N204)=0,"",INDEX(PCScale,$N204)),"")</f>
        <v/>
      </c>
      <c r="G204" s="25">
        <f>IF($N204&lt;&gt;"",IF(INDEX(PCBaskets,$N204)=0,"",INDEX(PCBaskets,$N204)),"")</f>
        <v/>
      </c>
      <c r="H204" s="26">
        <f>IF($N204&lt;&gt;"",IF(INDEX(PCNet,$N204)=0,"",INDEX(PCNet,$N204)),"")</f>
        <v/>
      </c>
      <c r="I204" s="25">
        <f>IF($N204&lt;&gt;"",IF(INDEX(PCOp,$N204)="مرجوعی خرید","",IF(INDEX(PCAmount,$N204)&lt;=0,"",INDEX(PCAmount,$N204))),IF($O204&lt;&gt;"",IF(INDEX(TxnDepB,$O204)=0,"",INDEX(TxnDepB,$O204)),""))</f>
        <v/>
      </c>
      <c r="J204" s="25">
        <f>IF($N204&lt;&gt;"",IF(INDEX(PCOp,$N204)="مرجوعی خرید",IF(INDEX(PCAmount,$N204)=0,"",-INDEX(PCAmount,$N204)),""),IF($O204&lt;&gt;"",IF(INDEX(TxnWitB,$O204)=0,"",INDEX(TxnWitB,$O204)),""))</f>
        <v/>
      </c>
      <c r="K204" s="27">
        <f>IF($B204="","",IF($K203="",$C$10,$K203)+IF($I204="",0,$I204)-IF($J204="",0,$J204))</f>
        <v/>
      </c>
      <c r="L204" s="28">
        <f>IF($N204&lt;&gt;"",IF(INDEX(PCNotes,$N204)="","—",INDEX(PCNotes,$N204)),IF($O204&lt;&gt;"",IF(INDEX(LdgNoteB,$O204)="","—",INDEX(LdgNoteB,$O204)),""))</f>
        <v/>
      </c>
      <c r="N204">
        <f>IFERROR(MATCH($C$5&amp;"|"&amp;RIGHT("000000"&amp;188,6),LdgRankKeyA,0),"")</f>
        <v/>
      </c>
      <c r="O204">
        <f>IFERROR(MATCH($C$5&amp;"|"&amp;RIGHT("000000"&amp;188,6),LdgRankKeyB,0),"")</f>
        <v/>
      </c>
    </row>
    <row r="205">
      <c r="A205" s="17" t="n">
        <v>189</v>
      </c>
      <c r="B205" s="18">
        <f>IF(AND($N205="",$O205=""),"",IF($N205&lt;&gt;"",INDEX(PCNormDate,$N205),INDEX(LdgDateB,$O205)))</f>
        <v/>
      </c>
      <c r="C205" s="18">
        <f>IF($N205&lt;&gt;"",INDEX(PCOp,$N205),IF($O205&lt;&gt;"",IF(N(INDEX(TxnDepB,$O205))&gt;0,"دریافت بانکی","پرداخت بانکی"),""))</f>
        <v/>
      </c>
      <c r="D205" s="18">
        <f>IF($N205&lt;&gt;"",IF(INDEX(PCDoc,$N205)="","—",INDEX(PCDoc,$N205)),IF($O205&lt;&gt;"",INDEX(LdgBankB,$O205),""))</f>
        <v/>
      </c>
      <c r="E205" s="18">
        <f>IF($N205&lt;&gt;"",IF(INDEX(PCCitrus,$N205)="","—",INDEX(PCCitrus,$N205)),"")</f>
        <v/>
      </c>
      <c r="F205" s="19">
        <f>IF($N205&lt;&gt;"",IF(INDEX(PCScale,$N205)=0,"",INDEX(PCScale,$N205)),"")</f>
        <v/>
      </c>
      <c r="G205" s="19">
        <f>IF($N205&lt;&gt;"",IF(INDEX(PCBaskets,$N205)=0,"",INDEX(PCBaskets,$N205)),"")</f>
        <v/>
      </c>
      <c r="H205" s="20">
        <f>IF($N205&lt;&gt;"",IF(INDEX(PCNet,$N205)=0,"",INDEX(PCNet,$N205)),"")</f>
        <v/>
      </c>
      <c r="I205" s="19">
        <f>IF($N205&lt;&gt;"",IF(INDEX(PCOp,$N205)="مرجوعی خرید","",IF(INDEX(PCAmount,$N205)&lt;=0,"",INDEX(PCAmount,$N205))),IF($O205&lt;&gt;"",IF(INDEX(TxnDepB,$O205)=0,"",INDEX(TxnDepB,$O205)),""))</f>
        <v/>
      </c>
      <c r="J205" s="19">
        <f>IF($N205&lt;&gt;"",IF(INDEX(PCOp,$N205)="مرجوعی خرید",IF(INDEX(PCAmount,$N205)=0,"",-INDEX(PCAmount,$N205)),""),IF($O205&lt;&gt;"",IF(INDEX(TxnWitB,$O205)=0,"",INDEX(TxnWitB,$O205)),""))</f>
        <v/>
      </c>
      <c r="K205" s="21">
        <f>IF($B205="","",IF($K204="",$C$10,$K204)+IF($I205="",0,$I205)-IF($J205="",0,$J205))</f>
        <v/>
      </c>
      <c r="L205" s="22">
        <f>IF($N205&lt;&gt;"",IF(INDEX(PCNotes,$N205)="","—",INDEX(PCNotes,$N205)),IF($O205&lt;&gt;"",IF(INDEX(LdgNoteB,$O205)="","—",INDEX(LdgNoteB,$O205)),""))</f>
        <v/>
      </c>
      <c r="N205">
        <f>IFERROR(MATCH($C$5&amp;"|"&amp;RIGHT("000000"&amp;189,6),LdgRankKeyA,0),"")</f>
        <v/>
      </c>
      <c r="O205">
        <f>IFERROR(MATCH($C$5&amp;"|"&amp;RIGHT("000000"&amp;189,6),LdgRankKeyB,0),"")</f>
        <v/>
      </c>
    </row>
    <row r="206">
      <c r="A206" s="23" t="n">
        <v>190</v>
      </c>
      <c r="B206" s="24">
        <f>IF(AND($N206="",$O206=""),"",IF($N206&lt;&gt;"",INDEX(PCNormDate,$N206),INDEX(LdgDateB,$O206)))</f>
        <v/>
      </c>
      <c r="C206" s="24">
        <f>IF($N206&lt;&gt;"",INDEX(PCOp,$N206),IF($O206&lt;&gt;"",IF(N(INDEX(TxnDepB,$O206))&gt;0,"دریافت بانکی","پرداخت بانکی"),""))</f>
        <v/>
      </c>
      <c r="D206" s="24">
        <f>IF($N206&lt;&gt;"",IF(INDEX(PCDoc,$N206)="","—",INDEX(PCDoc,$N206)),IF($O206&lt;&gt;"",INDEX(LdgBankB,$O206),""))</f>
        <v/>
      </c>
      <c r="E206" s="24">
        <f>IF($N206&lt;&gt;"",IF(INDEX(PCCitrus,$N206)="","—",INDEX(PCCitrus,$N206)),"")</f>
        <v/>
      </c>
      <c r="F206" s="25">
        <f>IF($N206&lt;&gt;"",IF(INDEX(PCScale,$N206)=0,"",INDEX(PCScale,$N206)),"")</f>
        <v/>
      </c>
      <c r="G206" s="25">
        <f>IF($N206&lt;&gt;"",IF(INDEX(PCBaskets,$N206)=0,"",INDEX(PCBaskets,$N206)),"")</f>
        <v/>
      </c>
      <c r="H206" s="26">
        <f>IF($N206&lt;&gt;"",IF(INDEX(PCNet,$N206)=0,"",INDEX(PCNet,$N206)),"")</f>
        <v/>
      </c>
      <c r="I206" s="25">
        <f>IF($N206&lt;&gt;"",IF(INDEX(PCOp,$N206)="مرجوعی خرید","",IF(INDEX(PCAmount,$N206)&lt;=0,"",INDEX(PCAmount,$N206))),IF($O206&lt;&gt;"",IF(INDEX(TxnDepB,$O206)=0,"",INDEX(TxnDepB,$O206)),""))</f>
        <v/>
      </c>
      <c r="J206" s="25">
        <f>IF($N206&lt;&gt;"",IF(INDEX(PCOp,$N206)="مرجوعی خرید",IF(INDEX(PCAmount,$N206)=0,"",-INDEX(PCAmount,$N206)),""),IF($O206&lt;&gt;"",IF(INDEX(TxnWitB,$O206)=0,"",INDEX(TxnWitB,$O206)),""))</f>
        <v/>
      </c>
      <c r="K206" s="27">
        <f>IF($B206="","",IF($K205="",$C$10,$K205)+IF($I206="",0,$I206)-IF($J206="",0,$J206))</f>
        <v/>
      </c>
      <c r="L206" s="28">
        <f>IF($N206&lt;&gt;"",IF(INDEX(PCNotes,$N206)="","—",INDEX(PCNotes,$N206)),IF($O206&lt;&gt;"",IF(INDEX(LdgNoteB,$O206)="","—",INDEX(LdgNoteB,$O206)),""))</f>
        <v/>
      </c>
      <c r="N206">
        <f>IFERROR(MATCH($C$5&amp;"|"&amp;RIGHT("000000"&amp;190,6),LdgRankKeyA,0),"")</f>
        <v/>
      </c>
      <c r="O206">
        <f>IFERROR(MATCH($C$5&amp;"|"&amp;RIGHT("000000"&amp;190,6),LdgRankKeyB,0),"")</f>
        <v/>
      </c>
    </row>
    <row r="207">
      <c r="A207" s="17" t="n">
        <v>191</v>
      </c>
      <c r="B207" s="18">
        <f>IF(AND($N207="",$O207=""),"",IF($N207&lt;&gt;"",INDEX(PCNormDate,$N207),INDEX(LdgDateB,$O207)))</f>
        <v/>
      </c>
      <c r="C207" s="18">
        <f>IF($N207&lt;&gt;"",INDEX(PCOp,$N207),IF($O207&lt;&gt;"",IF(N(INDEX(TxnDepB,$O207))&gt;0,"دریافت بانکی","پرداخت بانکی"),""))</f>
        <v/>
      </c>
      <c r="D207" s="18">
        <f>IF($N207&lt;&gt;"",IF(INDEX(PCDoc,$N207)="","—",INDEX(PCDoc,$N207)),IF($O207&lt;&gt;"",INDEX(LdgBankB,$O207),""))</f>
        <v/>
      </c>
      <c r="E207" s="18">
        <f>IF($N207&lt;&gt;"",IF(INDEX(PCCitrus,$N207)="","—",INDEX(PCCitrus,$N207)),"")</f>
        <v/>
      </c>
      <c r="F207" s="19">
        <f>IF($N207&lt;&gt;"",IF(INDEX(PCScale,$N207)=0,"",INDEX(PCScale,$N207)),"")</f>
        <v/>
      </c>
      <c r="G207" s="19">
        <f>IF($N207&lt;&gt;"",IF(INDEX(PCBaskets,$N207)=0,"",INDEX(PCBaskets,$N207)),"")</f>
        <v/>
      </c>
      <c r="H207" s="20">
        <f>IF($N207&lt;&gt;"",IF(INDEX(PCNet,$N207)=0,"",INDEX(PCNet,$N207)),"")</f>
        <v/>
      </c>
      <c r="I207" s="19">
        <f>IF($N207&lt;&gt;"",IF(INDEX(PCOp,$N207)="مرجوعی خرید","",IF(INDEX(PCAmount,$N207)&lt;=0,"",INDEX(PCAmount,$N207))),IF($O207&lt;&gt;"",IF(INDEX(TxnDepB,$O207)=0,"",INDEX(TxnDepB,$O207)),""))</f>
        <v/>
      </c>
      <c r="J207" s="19">
        <f>IF($N207&lt;&gt;"",IF(INDEX(PCOp,$N207)="مرجوعی خرید",IF(INDEX(PCAmount,$N207)=0,"",-INDEX(PCAmount,$N207)),""),IF($O207&lt;&gt;"",IF(INDEX(TxnWitB,$O207)=0,"",INDEX(TxnWitB,$O207)),""))</f>
        <v/>
      </c>
      <c r="K207" s="21">
        <f>IF($B207="","",IF($K206="",$C$10,$K206)+IF($I207="",0,$I207)-IF($J207="",0,$J207))</f>
        <v/>
      </c>
      <c r="L207" s="22">
        <f>IF($N207&lt;&gt;"",IF(INDEX(PCNotes,$N207)="","—",INDEX(PCNotes,$N207)),IF($O207&lt;&gt;"",IF(INDEX(LdgNoteB,$O207)="","—",INDEX(LdgNoteB,$O207)),""))</f>
        <v/>
      </c>
      <c r="N207">
        <f>IFERROR(MATCH($C$5&amp;"|"&amp;RIGHT("000000"&amp;191,6),LdgRankKeyA,0),"")</f>
        <v/>
      </c>
      <c r="O207">
        <f>IFERROR(MATCH($C$5&amp;"|"&amp;RIGHT("000000"&amp;191,6),LdgRankKeyB,0),"")</f>
        <v/>
      </c>
    </row>
    <row r="208">
      <c r="A208" s="23" t="n">
        <v>192</v>
      </c>
      <c r="B208" s="24">
        <f>IF(AND($N208="",$O208=""),"",IF($N208&lt;&gt;"",INDEX(PCNormDate,$N208),INDEX(LdgDateB,$O208)))</f>
        <v/>
      </c>
      <c r="C208" s="24">
        <f>IF($N208&lt;&gt;"",INDEX(PCOp,$N208),IF($O208&lt;&gt;"",IF(N(INDEX(TxnDepB,$O208))&gt;0,"دریافت بانکی","پرداخت بانکی"),""))</f>
        <v/>
      </c>
      <c r="D208" s="24">
        <f>IF($N208&lt;&gt;"",IF(INDEX(PCDoc,$N208)="","—",INDEX(PCDoc,$N208)),IF($O208&lt;&gt;"",INDEX(LdgBankB,$O208),""))</f>
        <v/>
      </c>
      <c r="E208" s="24">
        <f>IF($N208&lt;&gt;"",IF(INDEX(PCCitrus,$N208)="","—",INDEX(PCCitrus,$N208)),"")</f>
        <v/>
      </c>
      <c r="F208" s="25">
        <f>IF($N208&lt;&gt;"",IF(INDEX(PCScale,$N208)=0,"",INDEX(PCScale,$N208)),"")</f>
        <v/>
      </c>
      <c r="G208" s="25">
        <f>IF($N208&lt;&gt;"",IF(INDEX(PCBaskets,$N208)=0,"",INDEX(PCBaskets,$N208)),"")</f>
        <v/>
      </c>
      <c r="H208" s="26">
        <f>IF($N208&lt;&gt;"",IF(INDEX(PCNet,$N208)=0,"",INDEX(PCNet,$N208)),"")</f>
        <v/>
      </c>
      <c r="I208" s="25">
        <f>IF($N208&lt;&gt;"",IF(INDEX(PCOp,$N208)="مرجوعی خرید","",IF(INDEX(PCAmount,$N208)&lt;=0,"",INDEX(PCAmount,$N208))),IF($O208&lt;&gt;"",IF(INDEX(TxnDepB,$O208)=0,"",INDEX(TxnDepB,$O208)),""))</f>
        <v/>
      </c>
      <c r="J208" s="25">
        <f>IF($N208&lt;&gt;"",IF(INDEX(PCOp,$N208)="مرجوعی خرید",IF(INDEX(PCAmount,$N208)=0,"",-INDEX(PCAmount,$N208)),""),IF($O208&lt;&gt;"",IF(INDEX(TxnWitB,$O208)=0,"",INDEX(TxnWitB,$O208)),""))</f>
        <v/>
      </c>
      <c r="K208" s="27">
        <f>IF($B208="","",IF($K207="",$C$10,$K207)+IF($I208="",0,$I208)-IF($J208="",0,$J208))</f>
        <v/>
      </c>
      <c r="L208" s="28">
        <f>IF($N208&lt;&gt;"",IF(INDEX(PCNotes,$N208)="","—",INDEX(PCNotes,$N208)),IF($O208&lt;&gt;"",IF(INDEX(LdgNoteB,$O208)="","—",INDEX(LdgNoteB,$O208)),""))</f>
        <v/>
      </c>
      <c r="N208">
        <f>IFERROR(MATCH($C$5&amp;"|"&amp;RIGHT("000000"&amp;192,6),LdgRankKeyA,0),"")</f>
        <v/>
      </c>
      <c r="O208">
        <f>IFERROR(MATCH($C$5&amp;"|"&amp;RIGHT("000000"&amp;192,6),LdgRankKeyB,0),"")</f>
        <v/>
      </c>
    </row>
    <row r="209">
      <c r="A209" s="17" t="n">
        <v>193</v>
      </c>
      <c r="B209" s="18">
        <f>IF(AND($N209="",$O209=""),"",IF($N209&lt;&gt;"",INDEX(PCNormDate,$N209),INDEX(LdgDateB,$O209)))</f>
        <v/>
      </c>
      <c r="C209" s="18">
        <f>IF($N209&lt;&gt;"",INDEX(PCOp,$N209),IF($O209&lt;&gt;"",IF(N(INDEX(TxnDepB,$O209))&gt;0,"دریافت بانکی","پرداخت بانکی"),""))</f>
        <v/>
      </c>
      <c r="D209" s="18">
        <f>IF($N209&lt;&gt;"",IF(INDEX(PCDoc,$N209)="","—",INDEX(PCDoc,$N209)),IF($O209&lt;&gt;"",INDEX(LdgBankB,$O209),""))</f>
        <v/>
      </c>
      <c r="E209" s="18">
        <f>IF($N209&lt;&gt;"",IF(INDEX(PCCitrus,$N209)="","—",INDEX(PCCitrus,$N209)),"")</f>
        <v/>
      </c>
      <c r="F209" s="19">
        <f>IF($N209&lt;&gt;"",IF(INDEX(PCScale,$N209)=0,"",INDEX(PCScale,$N209)),"")</f>
        <v/>
      </c>
      <c r="G209" s="19">
        <f>IF($N209&lt;&gt;"",IF(INDEX(PCBaskets,$N209)=0,"",INDEX(PCBaskets,$N209)),"")</f>
        <v/>
      </c>
      <c r="H209" s="20">
        <f>IF($N209&lt;&gt;"",IF(INDEX(PCNet,$N209)=0,"",INDEX(PCNet,$N209)),"")</f>
        <v/>
      </c>
      <c r="I209" s="19">
        <f>IF($N209&lt;&gt;"",IF(INDEX(PCOp,$N209)="مرجوعی خرید","",IF(INDEX(PCAmount,$N209)&lt;=0,"",INDEX(PCAmount,$N209))),IF($O209&lt;&gt;"",IF(INDEX(TxnDepB,$O209)=0,"",INDEX(TxnDepB,$O209)),""))</f>
        <v/>
      </c>
      <c r="J209" s="19">
        <f>IF($N209&lt;&gt;"",IF(INDEX(PCOp,$N209)="مرجوعی خرید",IF(INDEX(PCAmount,$N209)=0,"",-INDEX(PCAmount,$N209)),""),IF($O209&lt;&gt;"",IF(INDEX(TxnWitB,$O209)=0,"",INDEX(TxnWitB,$O209)),""))</f>
        <v/>
      </c>
      <c r="K209" s="21">
        <f>IF($B209="","",IF($K208="",$C$10,$K208)+IF($I209="",0,$I209)-IF($J209="",0,$J209))</f>
        <v/>
      </c>
      <c r="L209" s="22">
        <f>IF($N209&lt;&gt;"",IF(INDEX(PCNotes,$N209)="","—",INDEX(PCNotes,$N209)),IF($O209&lt;&gt;"",IF(INDEX(LdgNoteB,$O209)="","—",INDEX(LdgNoteB,$O209)),""))</f>
        <v/>
      </c>
      <c r="N209">
        <f>IFERROR(MATCH($C$5&amp;"|"&amp;RIGHT("000000"&amp;193,6),LdgRankKeyA,0),"")</f>
        <v/>
      </c>
      <c r="O209">
        <f>IFERROR(MATCH($C$5&amp;"|"&amp;RIGHT("000000"&amp;193,6),LdgRankKeyB,0),"")</f>
        <v/>
      </c>
    </row>
    <row r="210">
      <c r="A210" s="23" t="n">
        <v>194</v>
      </c>
      <c r="B210" s="24">
        <f>IF(AND($N210="",$O210=""),"",IF($N210&lt;&gt;"",INDEX(PCNormDate,$N210),INDEX(LdgDateB,$O210)))</f>
        <v/>
      </c>
      <c r="C210" s="24">
        <f>IF($N210&lt;&gt;"",INDEX(PCOp,$N210),IF($O210&lt;&gt;"",IF(N(INDEX(TxnDepB,$O210))&gt;0,"دریافت بانکی","پرداخت بانکی"),""))</f>
        <v/>
      </c>
      <c r="D210" s="24">
        <f>IF($N210&lt;&gt;"",IF(INDEX(PCDoc,$N210)="","—",INDEX(PCDoc,$N210)),IF($O210&lt;&gt;"",INDEX(LdgBankB,$O210),""))</f>
        <v/>
      </c>
      <c r="E210" s="24">
        <f>IF($N210&lt;&gt;"",IF(INDEX(PCCitrus,$N210)="","—",INDEX(PCCitrus,$N210)),"")</f>
        <v/>
      </c>
      <c r="F210" s="25">
        <f>IF($N210&lt;&gt;"",IF(INDEX(PCScale,$N210)=0,"",INDEX(PCScale,$N210)),"")</f>
        <v/>
      </c>
      <c r="G210" s="25">
        <f>IF($N210&lt;&gt;"",IF(INDEX(PCBaskets,$N210)=0,"",INDEX(PCBaskets,$N210)),"")</f>
        <v/>
      </c>
      <c r="H210" s="26">
        <f>IF($N210&lt;&gt;"",IF(INDEX(PCNet,$N210)=0,"",INDEX(PCNet,$N210)),"")</f>
        <v/>
      </c>
      <c r="I210" s="25">
        <f>IF($N210&lt;&gt;"",IF(INDEX(PCOp,$N210)="مرجوعی خرید","",IF(INDEX(PCAmount,$N210)&lt;=0,"",INDEX(PCAmount,$N210))),IF($O210&lt;&gt;"",IF(INDEX(TxnDepB,$O210)=0,"",INDEX(TxnDepB,$O210)),""))</f>
        <v/>
      </c>
      <c r="J210" s="25">
        <f>IF($N210&lt;&gt;"",IF(INDEX(PCOp,$N210)="مرجوعی خرید",IF(INDEX(PCAmount,$N210)=0,"",-INDEX(PCAmount,$N210)),""),IF($O210&lt;&gt;"",IF(INDEX(TxnWitB,$O210)=0,"",INDEX(TxnWitB,$O210)),""))</f>
        <v/>
      </c>
      <c r="K210" s="27">
        <f>IF($B210="","",IF($K209="",$C$10,$K209)+IF($I210="",0,$I210)-IF($J210="",0,$J210))</f>
        <v/>
      </c>
      <c r="L210" s="28">
        <f>IF($N210&lt;&gt;"",IF(INDEX(PCNotes,$N210)="","—",INDEX(PCNotes,$N210)),IF($O210&lt;&gt;"",IF(INDEX(LdgNoteB,$O210)="","—",INDEX(LdgNoteB,$O210)),""))</f>
        <v/>
      </c>
      <c r="N210">
        <f>IFERROR(MATCH($C$5&amp;"|"&amp;RIGHT("000000"&amp;194,6),LdgRankKeyA,0),"")</f>
        <v/>
      </c>
      <c r="O210">
        <f>IFERROR(MATCH($C$5&amp;"|"&amp;RIGHT("000000"&amp;194,6),LdgRankKeyB,0),"")</f>
        <v/>
      </c>
    </row>
    <row r="211">
      <c r="A211" s="17" t="n">
        <v>195</v>
      </c>
      <c r="B211" s="18">
        <f>IF(AND($N211="",$O211=""),"",IF($N211&lt;&gt;"",INDEX(PCNormDate,$N211),INDEX(LdgDateB,$O211)))</f>
        <v/>
      </c>
      <c r="C211" s="18">
        <f>IF($N211&lt;&gt;"",INDEX(PCOp,$N211),IF($O211&lt;&gt;"",IF(N(INDEX(TxnDepB,$O211))&gt;0,"دریافت بانکی","پرداخت بانکی"),""))</f>
        <v/>
      </c>
      <c r="D211" s="18">
        <f>IF($N211&lt;&gt;"",IF(INDEX(PCDoc,$N211)="","—",INDEX(PCDoc,$N211)),IF($O211&lt;&gt;"",INDEX(LdgBankB,$O211),""))</f>
        <v/>
      </c>
      <c r="E211" s="18">
        <f>IF($N211&lt;&gt;"",IF(INDEX(PCCitrus,$N211)="","—",INDEX(PCCitrus,$N211)),"")</f>
        <v/>
      </c>
      <c r="F211" s="19">
        <f>IF($N211&lt;&gt;"",IF(INDEX(PCScale,$N211)=0,"",INDEX(PCScale,$N211)),"")</f>
        <v/>
      </c>
      <c r="G211" s="19">
        <f>IF($N211&lt;&gt;"",IF(INDEX(PCBaskets,$N211)=0,"",INDEX(PCBaskets,$N211)),"")</f>
        <v/>
      </c>
      <c r="H211" s="20">
        <f>IF($N211&lt;&gt;"",IF(INDEX(PCNet,$N211)=0,"",INDEX(PCNet,$N211)),"")</f>
        <v/>
      </c>
      <c r="I211" s="19">
        <f>IF($N211&lt;&gt;"",IF(INDEX(PCOp,$N211)="مرجوعی خرید","",IF(INDEX(PCAmount,$N211)&lt;=0,"",INDEX(PCAmount,$N211))),IF($O211&lt;&gt;"",IF(INDEX(TxnDepB,$O211)=0,"",INDEX(TxnDepB,$O211)),""))</f>
        <v/>
      </c>
      <c r="J211" s="19">
        <f>IF($N211&lt;&gt;"",IF(INDEX(PCOp,$N211)="مرجوعی خرید",IF(INDEX(PCAmount,$N211)=0,"",-INDEX(PCAmount,$N211)),""),IF($O211&lt;&gt;"",IF(INDEX(TxnWitB,$O211)=0,"",INDEX(TxnWitB,$O211)),""))</f>
        <v/>
      </c>
      <c r="K211" s="21">
        <f>IF($B211="","",IF($K210="",$C$10,$K210)+IF($I211="",0,$I211)-IF($J211="",0,$J211))</f>
        <v/>
      </c>
      <c r="L211" s="22">
        <f>IF($N211&lt;&gt;"",IF(INDEX(PCNotes,$N211)="","—",INDEX(PCNotes,$N211)),IF($O211&lt;&gt;"",IF(INDEX(LdgNoteB,$O211)="","—",INDEX(LdgNoteB,$O211)),""))</f>
        <v/>
      </c>
      <c r="N211">
        <f>IFERROR(MATCH($C$5&amp;"|"&amp;RIGHT("000000"&amp;195,6),LdgRankKeyA,0),"")</f>
        <v/>
      </c>
      <c r="O211">
        <f>IFERROR(MATCH($C$5&amp;"|"&amp;RIGHT("000000"&amp;195,6),LdgRankKeyB,0),"")</f>
        <v/>
      </c>
    </row>
    <row r="212">
      <c r="A212" s="23" t="n">
        <v>196</v>
      </c>
      <c r="B212" s="24">
        <f>IF(AND($N212="",$O212=""),"",IF($N212&lt;&gt;"",INDEX(PCNormDate,$N212),INDEX(LdgDateB,$O212)))</f>
        <v/>
      </c>
      <c r="C212" s="24">
        <f>IF($N212&lt;&gt;"",INDEX(PCOp,$N212),IF($O212&lt;&gt;"",IF(N(INDEX(TxnDepB,$O212))&gt;0,"دریافت بانکی","پرداخت بانکی"),""))</f>
        <v/>
      </c>
      <c r="D212" s="24">
        <f>IF($N212&lt;&gt;"",IF(INDEX(PCDoc,$N212)="","—",INDEX(PCDoc,$N212)),IF($O212&lt;&gt;"",INDEX(LdgBankB,$O212),""))</f>
        <v/>
      </c>
      <c r="E212" s="24">
        <f>IF($N212&lt;&gt;"",IF(INDEX(PCCitrus,$N212)="","—",INDEX(PCCitrus,$N212)),"")</f>
        <v/>
      </c>
      <c r="F212" s="25">
        <f>IF($N212&lt;&gt;"",IF(INDEX(PCScale,$N212)=0,"",INDEX(PCScale,$N212)),"")</f>
        <v/>
      </c>
      <c r="G212" s="25">
        <f>IF($N212&lt;&gt;"",IF(INDEX(PCBaskets,$N212)=0,"",INDEX(PCBaskets,$N212)),"")</f>
        <v/>
      </c>
      <c r="H212" s="26">
        <f>IF($N212&lt;&gt;"",IF(INDEX(PCNet,$N212)=0,"",INDEX(PCNet,$N212)),"")</f>
        <v/>
      </c>
      <c r="I212" s="25">
        <f>IF($N212&lt;&gt;"",IF(INDEX(PCOp,$N212)="مرجوعی خرید","",IF(INDEX(PCAmount,$N212)&lt;=0,"",INDEX(PCAmount,$N212))),IF($O212&lt;&gt;"",IF(INDEX(TxnDepB,$O212)=0,"",INDEX(TxnDepB,$O212)),""))</f>
        <v/>
      </c>
      <c r="J212" s="25">
        <f>IF($N212&lt;&gt;"",IF(INDEX(PCOp,$N212)="مرجوعی خرید",IF(INDEX(PCAmount,$N212)=0,"",-INDEX(PCAmount,$N212)),""),IF($O212&lt;&gt;"",IF(INDEX(TxnWitB,$O212)=0,"",INDEX(TxnWitB,$O212)),""))</f>
        <v/>
      </c>
      <c r="K212" s="27">
        <f>IF($B212="","",IF($K211="",$C$10,$K211)+IF($I212="",0,$I212)-IF($J212="",0,$J212))</f>
        <v/>
      </c>
      <c r="L212" s="28">
        <f>IF($N212&lt;&gt;"",IF(INDEX(PCNotes,$N212)="","—",INDEX(PCNotes,$N212)),IF($O212&lt;&gt;"",IF(INDEX(LdgNoteB,$O212)="","—",INDEX(LdgNoteB,$O212)),""))</f>
        <v/>
      </c>
      <c r="N212">
        <f>IFERROR(MATCH($C$5&amp;"|"&amp;RIGHT("000000"&amp;196,6),LdgRankKeyA,0),"")</f>
        <v/>
      </c>
      <c r="O212">
        <f>IFERROR(MATCH($C$5&amp;"|"&amp;RIGHT("000000"&amp;196,6),LdgRankKeyB,0),"")</f>
        <v/>
      </c>
    </row>
    <row r="213">
      <c r="A213" s="17" t="n">
        <v>197</v>
      </c>
      <c r="B213" s="18">
        <f>IF(AND($N213="",$O213=""),"",IF($N213&lt;&gt;"",INDEX(PCNormDate,$N213),INDEX(LdgDateB,$O213)))</f>
        <v/>
      </c>
      <c r="C213" s="18">
        <f>IF($N213&lt;&gt;"",INDEX(PCOp,$N213),IF($O213&lt;&gt;"",IF(N(INDEX(TxnDepB,$O213))&gt;0,"دریافت بانکی","پرداخت بانکی"),""))</f>
        <v/>
      </c>
      <c r="D213" s="18">
        <f>IF($N213&lt;&gt;"",IF(INDEX(PCDoc,$N213)="","—",INDEX(PCDoc,$N213)),IF($O213&lt;&gt;"",INDEX(LdgBankB,$O213),""))</f>
        <v/>
      </c>
      <c r="E213" s="18">
        <f>IF($N213&lt;&gt;"",IF(INDEX(PCCitrus,$N213)="","—",INDEX(PCCitrus,$N213)),"")</f>
        <v/>
      </c>
      <c r="F213" s="19">
        <f>IF($N213&lt;&gt;"",IF(INDEX(PCScale,$N213)=0,"",INDEX(PCScale,$N213)),"")</f>
        <v/>
      </c>
      <c r="G213" s="19">
        <f>IF($N213&lt;&gt;"",IF(INDEX(PCBaskets,$N213)=0,"",INDEX(PCBaskets,$N213)),"")</f>
        <v/>
      </c>
      <c r="H213" s="20">
        <f>IF($N213&lt;&gt;"",IF(INDEX(PCNet,$N213)=0,"",INDEX(PCNet,$N213)),"")</f>
        <v/>
      </c>
      <c r="I213" s="19">
        <f>IF($N213&lt;&gt;"",IF(INDEX(PCOp,$N213)="مرجوعی خرید","",IF(INDEX(PCAmount,$N213)&lt;=0,"",INDEX(PCAmount,$N213))),IF($O213&lt;&gt;"",IF(INDEX(TxnDepB,$O213)=0,"",INDEX(TxnDepB,$O213)),""))</f>
        <v/>
      </c>
      <c r="J213" s="19">
        <f>IF($N213&lt;&gt;"",IF(INDEX(PCOp,$N213)="مرجوعی خرید",IF(INDEX(PCAmount,$N213)=0,"",-INDEX(PCAmount,$N213)),""),IF($O213&lt;&gt;"",IF(INDEX(TxnWitB,$O213)=0,"",INDEX(TxnWitB,$O213)),""))</f>
        <v/>
      </c>
      <c r="K213" s="21">
        <f>IF($B213="","",IF($K212="",$C$10,$K212)+IF($I213="",0,$I213)-IF($J213="",0,$J213))</f>
        <v/>
      </c>
      <c r="L213" s="22">
        <f>IF($N213&lt;&gt;"",IF(INDEX(PCNotes,$N213)="","—",INDEX(PCNotes,$N213)),IF($O213&lt;&gt;"",IF(INDEX(LdgNoteB,$O213)="","—",INDEX(LdgNoteB,$O213)),""))</f>
        <v/>
      </c>
      <c r="N213">
        <f>IFERROR(MATCH($C$5&amp;"|"&amp;RIGHT("000000"&amp;197,6),LdgRankKeyA,0),"")</f>
        <v/>
      </c>
      <c r="O213">
        <f>IFERROR(MATCH($C$5&amp;"|"&amp;RIGHT("000000"&amp;197,6),LdgRankKeyB,0),"")</f>
        <v/>
      </c>
    </row>
    <row r="214">
      <c r="A214" s="23" t="n">
        <v>198</v>
      </c>
      <c r="B214" s="24">
        <f>IF(AND($N214="",$O214=""),"",IF($N214&lt;&gt;"",INDEX(PCNormDate,$N214),INDEX(LdgDateB,$O214)))</f>
        <v/>
      </c>
      <c r="C214" s="24">
        <f>IF($N214&lt;&gt;"",INDEX(PCOp,$N214),IF($O214&lt;&gt;"",IF(N(INDEX(TxnDepB,$O214))&gt;0,"دریافت بانکی","پرداخت بانکی"),""))</f>
        <v/>
      </c>
      <c r="D214" s="24">
        <f>IF($N214&lt;&gt;"",IF(INDEX(PCDoc,$N214)="","—",INDEX(PCDoc,$N214)),IF($O214&lt;&gt;"",INDEX(LdgBankB,$O214),""))</f>
        <v/>
      </c>
      <c r="E214" s="24">
        <f>IF($N214&lt;&gt;"",IF(INDEX(PCCitrus,$N214)="","—",INDEX(PCCitrus,$N214)),"")</f>
        <v/>
      </c>
      <c r="F214" s="25">
        <f>IF($N214&lt;&gt;"",IF(INDEX(PCScale,$N214)=0,"",INDEX(PCScale,$N214)),"")</f>
        <v/>
      </c>
      <c r="G214" s="25">
        <f>IF($N214&lt;&gt;"",IF(INDEX(PCBaskets,$N214)=0,"",INDEX(PCBaskets,$N214)),"")</f>
        <v/>
      </c>
      <c r="H214" s="26">
        <f>IF($N214&lt;&gt;"",IF(INDEX(PCNet,$N214)=0,"",INDEX(PCNet,$N214)),"")</f>
        <v/>
      </c>
      <c r="I214" s="25">
        <f>IF($N214&lt;&gt;"",IF(INDEX(PCOp,$N214)="مرجوعی خرید","",IF(INDEX(PCAmount,$N214)&lt;=0,"",INDEX(PCAmount,$N214))),IF($O214&lt;&gt;"",IF(INDEX(TxnDepB,$O214)=0,"",INDEX(TxnDepB,$O214)),""))</f>
        <v/>
      </c>
      <c r="J214" s="25">
        <f>IF($N214&lt;&gt;"",IF(INDEX(PCOp,$N214)="مرجوعی خرید",IF(INDEX(PCAmount,$N214)=0,"",-INDEX(PCAmount,$N214)),""),IF($O214&lt;&gt;"",IF(INDEX(TxnWitB,$O214)=0,"",INDEX(TxnWitB,$O214)),""))</f>
        <v/>
      </c>
      <c r="K214" s="27">
        <f>IF($B214="","",IF($K213="",$C$10,$K213)+IF($I214="",0,$I214)-IF($J214="",0,$J214))</f>
        <v/>
      </c>
      <c r="L214" s="28">
        <f>IF($N214&lt;&gt;"",IF(INDEX(PCNotes,$N214)="","—",INDEX(PCNotes,$N214)),IF($O214&lt;&gt;"",IF(INDEX(LdgNoteB,$O214)="","—",INDEX(LdgNoteB,$O214)),""))</f>
        <v/>
      </c>
      <c r="N214">
        <f>IFERROR(MATCH($C$5&amp;"|"&amp;RIGHT("000000"&amp;198,6),LdgRankKeyA,0),"")</f>
        <v/>
      </c>
      <c r="O214">
        <f>IFERROR(MATCH($C$5&amp;"|"&amp;RIGHT("000000"&amp;198,6),LdgRankKeyB,0),"")</f>
        <v/>
      </c>
    </row>
    <row r="215">
      <c r="A215" s="17" t="n">
        <v>199</v>
      </c>
      <c r="B215" s="18">
        <f>IF(AND($N215="",$O215=""),"",IF($N215&lt;&gt;"",INDEX(PCNormDate,$N215),INDEX(LdgDateB,$O215)))</f>
        <v/>
      </c>
      <c r="C215" s="18">
        <f>IF($N215&lt;&gt;"",INDEX(PCOp,$N215),IF($O215&lt;&gt;"",IF(N(INDEX(TxnDepB,$O215))&gt;0,"دریافت بانکی","پرداخت بانکی"),""))</f>
        <v/>
      </c>
      <c r="D215" s="18">
        <f>IF($N215&lt;&gt;"",IF(INDEX(PCDoc,$N215)="","—",INDEX(PCDoc,$N215)),IF($O215&lt;&gt;"",INDEX(LdgBankB,$O215),""))</f>
        <v/>
      </c>
      <c r="E215" s="18">
        <f>IF($N215&lt;&gt;"",IF(INDEX(PCCitrus,$N215)="","—",INDEX(PCCitrus,$N215)),"")</f>
        <v/>
      </c>
      <c r="F215" s="19">
        <f>IF($N215&lt;&gt;"",IF(INDEX(PCScale,$N215)=0,"",INDEX(PCScale,$N215)),"")</f>
        <v/>
      </c>
      <c r="G215" s="19">
        <f>IF($N215&lt;&gt;"",IF(INDEX(PCBaskets,$N215)=0,"",INDEX(PCBaskets,$N215)),"")</f>
        <v/>
      </c>
      <c r="H215" s="20">
        <f>IF($N215&lt;&gt;"",IF(INDEX(PCNet,$N215)=0,"",INDEX(PCNet,$N215)),"")</f>
        <v/>
      </c>
      <c r="I215" s="19">
        <f>IF($N215&lt;&gt;"",IF(INDEX(PCOp,$N215)="مرجوعی خرید","",IF(INDEX(PCAmount,$N215)&lt;=0,"",INDEX(PCAmount,$N215))),IF($O215&lt;&gt;"",IF(INDEX(TxnDepB,$O215)=0,"",INDEX(TxnDepB,$O215)),""))</f>
        <v/>
      </c>
      <c r="J215" s="19">
        <f>IF($N215&lt;&gt;"",IF(INDEX(PCOp,$N215)="مرجوعی خرید",IF(INDEX(PCAmount,$N215)=0,"",-INDEX(PCAmount,$N215)),""),IF($O215&lt;&gt;"",IF(INDEX(TxnWitB,$O215)=0,"",INDEX(TxnWitB,$O215)),""))</f>
        <v/>
      </c>
      <c r="K215" s="21">
        <f>IF($B215="","",IF($K214="",$C$10,$K214)+IF($I215="",0,$I215)-IF($J215="",0,$J215))</f>
        <v/>
      </c>
      <c r="L215" s="22">
        <f>IF($N215&lt;&gt;"",IF(INDEX(PCNotes,$N215)="","—",INDEX(PCNotes,$N215)),IF($O215&lt;&gt;"",IF(INDEX(LdgNoteB,$O215)="","—",INDEX(LdgNoteB,$O215)),""))</f>
        <v/>
      </c>
      <c r="N215">
        <f>IFERROR(MATCH($C$5&amp;"|"&amp;RIGHT("000000"&amp;199,6),LdgRankKeyA,0),"")</f>
        <v/>
      </c>
      <c r="O215">
        <f>IFERROR(MATCH($C$5&amp;"|"&amp;RIGHT("000000"&amp;199,6),LdgRankKeyB,0),"")</f>
        <v/>
      </c>
    </row>
    <row r="216">
      <c r="A216" s="23" t="n">
        <v>200</v>
      </c>
      <c r="B216" s="24">
        <f>IF(AND($N216="",$O216=""),"",IF($N216&lt;&gt;"",INDEX(PCNormDate,$N216),INDEX(LdgDateB,$O216)))</f>
        <v/>
      </c>
      <c r="C216" s="24">
        <f>IF($N216&lt;&gt;"",INDEX(PCOp,$N216),IF($O216&lt;&gt;"",IF(N(INDEX(TxnDepB,$O216))&gt;0,"دریافت بانکی","پرداخت بانکی"),""))</f>
        <v/>
      </c>
      <c r="D216" s="24">
        <f>IF($N216&lt;&gt;"",IF(INDEX(PCDoc,$N216)="","—",INDEX(PCDoc,$N216)),IF($O216&lt;&gt;"",INDEX(LdgBankB,$O216),""))</f>
        <v/>
      </c>
      <c r="E216" s="24">
        <f>IF($N216&lt;&gt;"",IF(INDEX(PCCitrus,$N216)="","—",INDEX(PCCitrus,$N216)),"")</f>
        <v/>
      </c>
      <c r="F216" s="25">
        <f>IF($N216&lt;&gt;"",IF(INDEX(PCScale,$N216)=0,"",INDEX(PCScale,$N216)),"")</f>
        <v/>
      </c>
      <c r="G216" s="25">
        <f>IF($N216&lt;&gt;"",IF(INDEX(PCBaskets,$N216)=0,"",INDEX(PCBaskets,$N216)),"")</f>
        <v/>
      </c>
      <c r="H216" s="26">
        <f>IF($N216&lt;&gt;"",IF(INDEX(PCNet,$N216)=0,"",INDEX(PCNet,$N216)),"")</f>
        <v/>
      </c>
      <c r="I216" s="25">
        <f>IF($N216&lt;&gt;"",IF(INDEX(PCOp,$N216)="مرجوعی خرید","",IF(INDEX(PCAmount,$N216)&lt;=0,"",INDEX(PCAmount,$N216))),IF($O216&lt;&gt;"",IF(INDEX(TxnDepB,$O216)=0,"",INDEX(TxnDepB,$O216)),""))</f>
        <v/>
      </c>
      <c r="J216" s="25">
        <f>IF($N216&lt;&gt;"",IF(INDEX(PCOp,$N216)="مرجوعی خرید",IF(INDEX(PCAmount,$N216)=0,"",-INDEX(PCAmount,$N216)),""),IF($O216&lt;&gt;"",IF(INDEX(TxnWitB,$O216)=0,"",INDEX(TxnWitB,$O216)),""))</f>
        <v/>
      </c>
      <c r="K216" s="27">
        <f>IF($B216="","",IF($K215="",$C$10,$K215)+IF($I216="",0,$I216)-IF($J216="",0,$J216))</f>
        <v/>
      </c>
      <c r="L216" s="28">
        <f>IF($N216&lt;&gt;"",IF(INDEX(PCNotes,$N216)="","—",INDEX(PCNotes,$N216)),IF($O216&lt;&gt;"",IF(INDEX(LdgNoteB,$O216)="","—",INDEX(LdgNoteB,$O216)),""))</f>
        <v/>
      </c>
      <c r="N216">
        <f>IFERROR(MATCH($C$5&amp;"|"&amp;RIGHT("000000"&amp;200,6),LdgRankKeyA,0),"")</f>
        <v/>
      </c>
      <c r="O216">
        <f>IFERROR(MATCH($C$5&amp;"|"&amp;RIGHT("000000"&amp;200,6),LdgRankKeyB,0),"")</f>
        <v/>
      </c>
    </row>
    <row r="217">
      <c r="A217" s="17" t="n">
        <v>201</v>
      </c>
      <c r="B217" s="18">
        <f>IF(AND($N217="",$O217=""),"",IF($N217&lt;&gt;"",INDEX(PCNormDate,$N217),INDEX(LdgDateB,$O217)))</f>
        <v/>
      </c>
      <c r="C217" s="18">
        <f>IF($N217&lt;&gt;"",INDEX(PCOp,$N217),IF($O217&lt;&gt;"",IF(N(INDEX(TxnDepB,$O217))&gt;0,"دریافت بانکی","پرداخت بانکی"),""))</f>
        <v/>
      </c>
      <c r="D217" s="18">
        <f>IF($N217&lt;&gt;"",IF(INDEX(PCDoc,$N217)="","—",INDEX(PCDoc,$N217)),IF($O217&lt;&gt;"",INDEX(LdgBankB,$O217),""))</f>
        <v/>
      </c>
      <c r="E217" s="18">
        <f>IF($N217&lt;&gt;"",IF(INDEX(PCCitrus,$N217)="","—",INDEX(PCCitrus,$N217)),"")</f>
        <v/>
      </c>
      <c r="F217" s="19">
        <f>IF($N217&lt;&gt;"",IF(INDEX(PCScale,$N217)=0,"",INDEX(PCScale,$N217)),"")</f>
        <v/>
      </c>
      <c r="G217" s="19">
        <f>IF($N217&lt;&gt;"",IF(INDEX(PCBaskets,$N217)=0,"",INDEX(PCBaskets,$N217)),"")</f>
        <v/>
      </c>
      <c r="H217" s="20">
        <f>IF($N217&lt;&gt;"",IF(INDEX(PCNet,$N217)=0,"",INDEX(PCNet,$N217)),"")</f>
        <v/>
      </c>
      <c r="I217" s="19">
        <f>IF($N217&lt;&gt;"",IF(INDEX(PCOp,$N217)="مرجوعی خرید","",IF(INDEX(PCAmount,$N217)&lt;=0,"",INDEX(PCAmount,$N217))),IF($O217&lt;&gt;"",IF(INDEX(TxnDepB,$O217)=0,"",INDEX(TxnDepB,$O217)),""))</f>
        <v/>
      </c>
      <c r="J217" s="19">
        <f>IF($N217&lt;&gt;"",IF(INDEX(PCOp,$N217)="مرجوعی خرید",IF(INDEX(PCAmount,$N217)=0,"",-INDEX(PCAmount,$N217)),""),IF($O217&lt;&gt;"",IF(INDEX(TxnWitB,$O217)=0,"",INDEX(TxnWitB,$O217)),""))</f>
        <v/>
      </c>
      <c r="K217" s="21">
        <f>IF($B217="","",IF($K216="",$C$10,$K216)+IF($I217="",0,$I217)-IF($J217="",0,$J217))</f>
        <v/>
      </c>
      <c r="L217" s="22">
        <f>IF($N217&lt;&gt;"",IF(INDEX(PCNotes,$N217)="","—",INDEX(PCNotes,$N217)),IF($O217&lt;&gt;"",IF(INDEX(LdgNoteB,$O217)="","—",INDEX(LdgNoteB,$O217)),""))</f>
        <v/>
      </c>
      <c r="N217">
        <f>IFERROR(MATCH($C$5&amp;"|"&amp;RIGHT("000000"&amp;201,6),LdgRankKeyA,0),"")</f>
        <v/>
      </c>
      <c r="O217">
        <f>IFERROR(MATCH($C$5&amp;"|"&amp;RIGHT("000000"&amp;201,6),LdgRankKeyB,0),"")</f>
        <v/>
      </c>
    </row>
    <row r="218">
      <c r="A218" s="23" t="n">
        <v>202</v>
      </c>
      <c r="B218" s="24">
        <f>IF(AND($N218="",$O218=""),"",IF($N218&lt;&gt;"",INDEX(PCNormDate,$N218),INDEX(LdgDateB,$O218)))</f>
        <v/>
      </c>
      <c r="C218" s="24">
        <f>IF($N218&lt;&gt;"",INDEX(PCOp,$N218),IF($O218&lt;&gt;"",IF(N(INDEX(TxnDepB,$O218))&gt;0,"دریافت بانکی","پرداخت بانکی"),""))</f>
        <v/>
      </c>
      <c r="D218" s="24">
        <f>IF($N218&lt;&gt;"",IF(INDEX(PCDoc,$N218)="","—",INDEX(PCDoc,$N218)),IF($O218&lt;&gt;"",INDEX(LdgBankB,$O218),""))</f>
        <v/>
      </c>
      <c r="E218" s="24">
        <f>IF($N218&lt;&gt;"",IF(INDEX(PCCitrus,$N218)="","—",INDEX(PCCitrus,$N218)),"")</f>
        <v/>
      </c>
      <c r="F218" s="25">
        <f>IF($N218&lt;&gt;"",IF(INDEX(PCScale,$N218)=0,"",INDEX(PCScale,$N218)),"")</f>
        <v/>
      </c>
      <c r="G218" s="25">
        <f>IF($N218&lt;&gt;"",IF(INDEX(PCBaskets,$N218)=0,"",INDEX(PCBaskets,$N218)),"")</f>
        <v/>
      </c>
      <c r="H218" s="26">
        <f>IF($N218&lt;&gt;"",IF(INDEX(PCNet,$N218)=0,"",INDEX(PCNet,$N218)),"")</f>
        <v/>
      </c>
      <c r="I218" s="25">
        <f>IF($N218&lt;&gt;"",IF(INDEX(PCOp,$N218)="مرجوعی خرید","",IF(INDEX(PCAmount,$N218)&lt;=0,"",INDEX(PCAmount,$N218))),IF($O218&lt;&gt;"",IF(INDEX(TxnDepB,$O218)=0,"",INDEX(TxnDepB,$O218)),""))</f>
        <v/>
      </c>
      <c r="J218" s="25">
        <f>IF($N218&lt;&gt;"",IF(INDEX(PCOp,$N218)="مرجوعی خرید",IF(INDEX(PCAmount,$N218)=0,"",-INDEX(PCAmount,$N218)),""),IF($O218&lt;&gt;"",IF(INDEX(TxnWitB,$O218)=0,"",INDEX(TxnWitB,$O218)),""))</f>
        <v/>
      </c>
      <c r="K218" s="27">
        <f>IF($B218="","",IF($K217="",$C$10,$K217)+IF($I218="",0,$I218)-IF($J218="",0,$J218))</f>
        <v/>
      </c>
      <c r="L218" s="28">
        <f>IF($N218&lt;&gt;"",IF(INDEX(PCNotes,$N218)="","—",INDEX(PCNotes,$N218)),IF($O218&lt;&gt;"",IF(INDEX(LdgNoteB,$O218)="","—",INDEX(LdgNoteB,$O218)),""))</f>
        <v/>
      </c>
      <c r="N218">
        <f>IFERROR(MATCH($C$5&amp;"|"&amp;RIGHT("000000"&amp;202,6),LdgRankKeyA,0),"")</f>
        <v/>
      </c>
      <c r="O218">
        <f>IFERROR(MATCH($C$5&amp;"|"&amp;RIGHT("000000"&amp;202,6),LdgRankKeyB,0),"")</f>
        <v/>
      </c>
    </row>
    <row r="219">
      <c r="A219" s="17" t="n">
        <v>203</v>
      </c>
      <c r="B219" s="18">
        <f>IF(AND($N219="",$O219=""),"",IF($N219&lt;&gt;"",INDEX(PCNormDate,$N219),INDEX(LdgDateB,$O219)))</f>
        <v/>
      </c>
      <c r="C219" s="18">
        <f>IF($N219&lt;&gt;"",INDEX(PCOp,$N219),IF($O219&lt;&gt;"",IF(N(INDEX(TxnDepB,$O219))&gt;0,"دریافت بانکی","پرداخت بانکی"),""))</f>
        <v/>
      </c>
      <c r="D219" s="18">
        <f>IF($N219&lt;&gt;"",IF(INDEX(PCDoc,$N219)="","—",INDEX(PCDoc,$N219)),IF($O219&lt;&gt;"",INDEX(LdgBankB,$O219),""))</f>
        <v/>
      </c>
      <c r="E219" s="18">
        <f>IF($N219&lt;&gt;"",IF(INDEX(PCCitrus,$N219)="","—",INDEX(PCCitrus,$N219)),"")</f>
        <v/>
      </c>
      <c r="F219" s="19">
        <f>IF($N219&lt;&gt;"",IF(INDEX(PCScale,$N219)=0,"",INDEX(PCScale,$N219)),"")</f>
        <v/>
      </c>
      <c r="G219" s="19">
        <f>IF($N219&lt;&gt;"",IF(INDEX(PCBaskets,$N219)=0,"",INDEX(PCBaskets,$N219)),"")</f>
        <v/>
      </c>
      <c r="H219" s="20">
        <f>IF($N219&lt;&gt;"",IF(INDEX(PCNet,$N219)=0,"",INDEX(PCNet,$N219)),"")</f>
        <v/>
      </c>
      <c r="I219" s="19">
        <f>IF($N219&lt;&gt;"",IF(INDEX(PCOp,$N219)="مرجوعی خرید","",IF(INDEX(PCAmount,$N219)&lt;=0,"",INDEX(PCAmount,$N219))),IF($O219&lt;&gt;"",IF(INDEX(TxnDepB,$O219)=0,"",INDEX(TxnDepB,$O219)),""))</f>
        <v/>
      </c>
      <c r="J219" s="19">
        <f>IF($N219&lt;&gt;"",IF(INDEX(PCOp,$N219)="مرجوعی خرید",IF(INDEX(PCAmount,$N219)=0,"",-INDEX(PCAmount,$N219)),""),IF($O219&lt;&gt;"",IF(INDEX(TxnWitB,$O219)=0,"",INDEX(TxnWitB,$O219)),""))</f>
        <v/>
      </c>
      <c r="K219" s="21">
        <f>IF($B219="","",IF($K218="",$C$10,$K218)+IF($I219="",0,$I219)-IF($J219="",0,$J219))</f>
        <v/>
      </c>
      <c r="L219" s="22">
        <f>IF($N219&lt;&gt;"",IF(INDEX(PCNotes,$N219)="","—",INDEX(PCNotes,$N219)),IF($O219&lt;&gt;"",IF(INDEX(LdgNoteB,$O219)="","—",INDEX(LdgNoteB,$O219)),""))</f>
        <v/>
      </c>
      <c r="N219">
        <f>IFERROR(MATCH($C$5&amp;"|"&amp;RIGHT("000000"&amp;203,6),LdgRankKeyA,0),"")</f>
        <v/>
      </c>
      <c r="O219">
        <f>IFERROR(MATCH($C$5&amp;"|"&amp;RIGHT("000000"&amp;203,6),LdgRankKeyB,0),"")</f>
        <v/>
      </c>
    </row>
    <row r="220">
      <c r="A220" s="23" t="n">
        <v>204</v>
      </c>
      <c r="B220" s="24">
        <f>IF(AND($N220="",$O220=""),"",IF($N220&lt;&gt;"",INDEX(PCNormDate,$N220),INDEX(LdgDateB,$O220)))</f>
        <v/>
      </c>
      <c r="C220" s="24">
        <f>IF($N220&lt;&gt;"",INDEX(PCOp,$N220),IF($O220&lt;&gt;"",IF(N(INDEX(TxnDepB,$O220))&gt;0,"دریافت بانکی","پرداخت بانکی"),""))</f>
        <v/>
      </c>
      <c r="D220" s="24">
        <f>IF($N220&lt;&gt;"",IF(INDEX(PCDoc,$N220)="","—",INDEX(PCDoc,$N220)),IF($O220&lt;&gt;"",INDEX(LdgBankB,$O220),""))</f>
        <v/>
      </c>
      <c r="E220" s="24">
        <f>IF($N220&lt;&gt;"",IF(INDEX(PCCitrus,$N220)="","—",INDEX(PCCitrus,$N220)),"")</f>
        <v/>
      </c>
      <c r="F220" s="25">
        <f>IF($N220&lt;&gt;"",IF(INDEX(PCScale,$N220)=0,"",INDEX(PCScale,$N220)),"")</f>
        <v/>
      </c>
      <c r="G220" s="25">
        <f>IF($N220&lt;&gt;"",IF(INDEX(PCBaskets,$N220)=0,"",INDEX(PCBaskets,$N220)),"")</f>
        <v/>
      </c>
      <c r="H220" s="26">
        <f>IF($N220&lt;&gt;"",IF(INDEX(PCNet,$N220)=0,"",INDEX(PCNet,$N220)),"")</f>
        <v/>
      </c>
      <c r="I220" s="25">
        <f>IF($N220&lt;&gt;"",IF(INDEX(PCOp,$N220)="مرجوعی خرید","",IF(INDEX(PCAmount,$N220)&lt;=0,"",INDEX(PCAmount,$N220))),IF($O220&lt;&gt;"",IF(INDEX(TxnDepB,$O220)=0,"",INDEX(TxnDepB,$O220)),""))</f>
        <v/>
      </c>
      <c r="J220" s="25">
        <f>IF($N220&lt;&gt;"",IF(INDEX(PCOp,$N220)="مرجوعی خرید",IF(INDEX(PCAmount,$N220)=0,"",-INDEX(PCAmount,$N220)),""),IF($O220&lt;&gt;"",IF(INDEX(TxnWitB,$O220)=0,"",INDEX(TxnWitB,$O220)),""))</f>
        <v/>
      </c>
      <c r="K220" s="27">
        <f>IF($B220="","",IF($K219="",$C$10,$K219)+IF($I220="",0,$I220)-IF($J220="",0,$J220))</f>
        <v/>
      </c>
      <c r="L220" s="28">
        <f>IF($N220&lt;&gt;"",IF(INDEX(PCNotes,$N220)="","—",INDEX(PCNotes,$N220)),IF($O220&lt;&gt;"",IF(INDEX(LdgNoteB,$O220)="","—",INDEX(LdgNoteB,$O220)),""))</f>
        <v/>
      </c>
      <c r="N220">
        <f>IFERROR(MATCH($C$5&amp;"|"&amp;RIGHT("000000"&amp;204,6),LdgRankKeyA,0),"")</f>
        <v/>
      </c>
      <c r="O220">
        <f>IFERROR(MATCH($C$5&amp;"|"&amp;RIGHT("000000"&amp;204,6),LdgRankKeyB,0),"")</f>
        <v/>
      </c>
    </row>
    <row r="221">
      <c r="A221" s="17" t="n">
        <v>205</v>
      </c>
      <c r="B221" s="18">
        <f>IF(AND($N221="",$O221=""),"",IF($N221&lt;&gt;"",INDEX(PCNormDate,$N221),INDEX(LdgDateB,$O221)))</f>
        <v/>
      </c>
      <c r="C221" s="18">
        <f>IF($N221&lt;&gt;"",INDEX(PCOp,$N221),IF($O221&lt;&gt;"",IF(N(INDEX(TxnDepB,$O221))&gt;0,"دریافت بانکی","پرداخت بانکی"),""))</f>
        <v/>
      </c>
      <c r="D221" s="18">
        <f>IF($N221&lt;&gt;"",IF(INDEX(PCDoc,$N221)="","—",INDEX(PCDoc,$N221)),IF($O221&lt;&gt;"",INDEX(LdgBankB,$O221),""))</f>
        <v/>
      </c>
      <c r="E221" s="18">
        <f>IF($N221&lt;&gt;"",IF(INDEX(PCCitrus,$N221)="","—",INDEX(PCCitrus,$N221)),"")</f>
        <v/>
      </c>
      <c r="F221" s="19">
        <f>IF($N221&lt;&gt;"",IF(INDEX(PCScale,$N221)=0,"",INDEX(PCScale,$N221)),"")</f>
        <v/>
      </c>
      <c r="G221" s="19">
        <f>IF($N221&lt;&gt;"",IF(INDEX(PCBaskets,$N221)=0,"",INDEX(PCBaskets,$N221)),"")</f>
        <v/>
      </c>
      <c r="H221" s="20">
        <f>IF($N221&lt;&gt;"",IF(INDEX(PCNet,$N221)=0,"",INDEX(PCNet,$N221)),"")</f>
        <v/>
      </c>
      <c r="I221" s="19">
        <f>IF($N221&lt;&gt;"",IF(INDEX(PCOp,$N221)="مرجوعی خرید","",IF(INDEX(PCAmount,$N221)&lt;=0,"",INDEX(PCAmount,$N221))),IF($O221&lt;&gt;"",IF(INDEX(TxnDepB,$O221)=0,"",INDEX(TxnDepB,$O221)),""))</f>
        <v/>
      </c>
      <c r="J221" s="19">
        <f>IF($N221&lt;&gt;"",IF(INDEX(PCOp,$N221)="مرجوعی خرید",IF(INDEX(PCAmount,$N221)=0,"",-INDEX(PCAmount,$N221)),""),IF($O221&lt;&gt;"",IF(INDEX(TxnWitB,$O221)=0,"",INDEX(TxnWitB,$O221)),""))</f>
        <v/>
      </c>
      <c r="K221" s="21">
        <f>IF($B221="","",IF($K220="",$C$10,$K220)+IF($I221="",0,$I221)-IF($J221="",0,$J221))</f>
        <v/>
      </c>
      <c r="L221" s="22">
        <f>IF($N221&lt;&gt;"",IF(INDEX(PCNotes,$N221)="","—",INDEX(PCNotes,$N221)),IF($O221&lt;&gt;"",IF(INDEX(LdgNoteB,$O221)="","—",INDEX(LdgNoteB,$O221)),""))</f>
        <v/>
      </c>
      <c r="N221">
        <f>IFERROR(MATCH($C$5&amp;"|"&amp;RIGHT("000000"&amp;205,6),LdgRankKeyA,0),"")</f>
        <v/>
      </c>
      <c r="O221">
        <f>IFERROR(MATCH($C$5&amp;"|"&amp;RIGHT("000000"&amp;205,6),LdgRankKeyB,0),"")</f>
        <v/>
      </c>
    </row>
    <row r="222">
      <c r="A222" s="23" t="n">
        <v>206</v>
      </c>
      <c r="B222" s="24">
        <f>IF(AND($N222="",$O222=""),"",IF($N222&lt;&gt;"",INDEX(PCNormDate,$N222),INDEX(LdgDateB,$O222)))</f>
        <v/>
      </c>
      <c r="C222" s="24">
        <f>IF($N222&lt;&gt;"",INDEX(PCOp,$N222),IF($O222&lt;&gt;"",IF(N(INDEX(TxnDepB,$O222))&gt;0,"دریافت بانکی","پرداخت بانکی"),""))</f>
        <v/>
      </c>
      <c r="D222" s="24">
        <f>IF($N222&lt;&gt;"",IF(INDEX(PCDoc,$N222)="","—",INDEX(PCDoc,$N222)),IF($O222&lt;&gt;"",INDEX(LdgBankB,$O222),""))</f>
        <v/>
      </c>
      <c r="E222" s="24">
        <f>IF($N222&lt;&gt;"",IF(INDEX(PCCitrus,$N222)="","—",INDEX(PCCitrus,$N222)),"")</f>
        <v/>
      </c>
      <c r="F222" s="25">
        <f>IF($N222&lt;&gt;"",IF(INDEX(PCScale,$N222)=0,"",INDEX(PCScale,$N222)),"")</f>
        <v/>
      </c>
      <c r="G222" s="25">
        <f>IF($N222&lt;&gt;"",IF(INDEX(PCBaskets,$N222)=0,"",INDEX(PCBaskets,$N222)),"")</f>
        <v/>
      </c>
      <c r="H222" s="26">
        <f>IF($N222&lt;&gt;"",IF(INDEX(PCNet,$N222)=0,"",INDEX(PCNet,$N222)),"")</f>
        <v/>
      </c>
      <c r="I222" s="25">
        <f>IF($N222&lt;&gt;"",IF(INDEX(PCOp,$N222)="مرجوعی خرید","",IF(INDEX(PCAmount,$N222)&lt;=0,"",INDEX(PCAmount,$N222))),IF($O222&lt;&gt;"",IF(INDEX(TxnDepB,$O222)=0,"",INDEX(TxnDepB,$O222)),""))</f>
        <v/>
      </c>
      <c r="J222" s="25">
        <f>IF($N222&lt;&gt;"",IF(INDEX(PCOp,$N222)="مرجوعی خرید",IF(INDEX(PCAmount,$N222)=0,"",-INDEX(PCAmount,$N222)),""),IF($O222&lt;&gt;"",IF(INDEX(TxnWitB,$O222)=0,"",INDEX(TxnWitB,$O222)),""))</f>
        <v/>
      </c>
      <c r="K222" s="27">
        <f>IF($B222="","",IF($K221="",$C$10,$K221)+IF($I222="",0,$I222)-IF($J222="",0,$J222))</f>
        <v/>
      </c>
      <c r="L222" s="28">
        <f>IF($N222&lt;&gt;"",IF(INDEX(PCNotes,$N222)="","—",INDEX(PCNotes,$N222)),IF($O222&lt;&gt;"",IF(INDEX(LdgNoteB,$O222)="","—",INDEX(LdgNoteB,$O222)),""))</f>
        <v/>
      </c>
      <c r="N222">
        <f>IFERROR(MATCH($C$5&amp;"|"&amp;RIGHT("000000"&amp;206,6),LdgRankKeyA,0),"")</f>
        <v/>
      </c>
      <c r="O222">
        <f>IFERROR(MATCH($C$5&amp;"|"&amp;RIGHT("000000"&amp;206,6),LdgRankKeyB,0),"")</f>
        <v/>
      </c>
    </row>
    <row r="223">
      <c r="A223" s="17" t="n">
        <v>207</v>
      </c>
      <c r="B223" s="18">
        <f>IF(AND($N223="",$O223=""),"",IF($N223&lt;&gt;"",INDEX(PCNormDate,$N223),INDEX(LdgDateB,$O223)))</f>
        <v/>
      </c>
      <c r="C223" s="18">
        <f>IF($N223&lt;&gt;"",INDEX(PCOp,$N223),IF($O223&lt;&gt;"",IF(N(INDEX(TxnDepB,$O223))&gt;0,"دریافت بانکی","پرداخت بانکی"),""))</f>
        <v/>
      </c>
      <c r="D223" s="18">
        <f>IF($N223&lt;&gt;"",IF(INDEX(PCDoc,$N223)="","—",INDEX(PCDoc,$N223)),IF($O223&lt;&gt;"",INDEX(LdgBankB,$O223),""))</f>
        <v/>
      </c>
      <c r="E223" s="18">
        <f>IF($N223&lt;&gt;"",IF(INDEX(PCCitrus,$N223)="","—",INDEX(PCCitrus,$N223)),"")</f>
        <v/>
      </c>
      <c r="F223" s="19">
        <f>IF($N223&lt;&gt;"",IF(INDEX(PCScale,$N223)=0,"",INDEX(PCScale,$N223)),"")</f>
        <v/>
      </c>
      <c r="G223" s="19">
        <f>IF($N223&lt;&gt;"",IF(INDEX(PCBaskets,$N223)=0,"",INDEX(PCBaskets,$N223)),"")</f>
        <v/>
      </c>
      <c r="H223" s="20">
        <f>IF($N223&lt;&gt;"",IF(INDEX(PCNet,$N223)=0,"",INDEX(PCNet,$N223)),"")</f>
        <v/>
      </c>
      <c r="I223" s="19">
        <f>IF($N223&lt;&gt;"",IF(INDEX(PCOp,$N223)="مرجوعی خرید","",IF(INDEX(PCAmount,$N223)&lt;=0,"",INDEX(PCAmount,$N223))),IF($O223&lt;&gt;"",IF(INDEX(TxnDepB,$O223)=0,"",INDEX(TxnDepB,$O223)),""))</f>
        <v/>
      </c>
      <c r="J223" s="19">
        <f>IF($N223&lt;&gt;"",IF(INDEX(PCOp,$N223)="مرجوعی خرید",IF(INDEX(PCAmount,$N223)=0,"",-INDEX(PCAmount,$N223)),""),IF($O223&lt;&gt;"",IF(INDEX(TxnWitB,$O223)=0,"",INDEX(TxnWitB,$O223)),""))</f>
        <v/>
      </c>
      <c r="K223" s="21">
        <f>IF($B223="","",IF($K222="",$C$10,$K222)+IF($I223="",0,$I223)-IF($J223="",0,$J223))</f>
        <v/>
      </c>
      <c r="L223" s="22">
        <f>IF($N223&lt;&gt;"",IF(INDEX(PCNotes,$N223)="","—",INDEX(PCNotes,$N223)),IF($O223&lt;&gt;"",IF(INDEX(LdgNoteB,$O223)="","—",INDEX(LdgNoteB,$O223)),""))</f>
        <v/>
      </c>
      <c r="N223">
        <f>IFERROR(MATCH($C$5&amp;"|"&amp;RIGHT("000000"&amp;207,6),LdgRankKeyA,0),"")</f>
        <v/>
      </c>
      <c r="O223">
        <f>IFERROR(MATCH($C$5&amp;"|"&amp;RIGHT("000000"&amp;207,6),LdgRankKeyB,0),"")</f>
        <v/>
      </c>
    </row>
    <row r="224">
      <c r="A224" s="23" t="n">
        <v>208</v>
      </c>
      <c r="B224" s="24">
        <f>IF(AND($N224="",$O224=""),"",IF($N224&lt;&gt;"",INDEX(PCNormDate,$N224),INDEX(LdgDateB,$O224)))</f>
        <v/>
      </c>
      <c r="C224" s="24">
        <f>IF($N224&lt;&gt;"",INDEX(PCOp,$N224),IF($O224&lt;&gt;"",IF(N(INDEX(TxnDepB,$O224))&gt;0,"دریافت بانکی","پرداخت بانکی"),""))</f>
        <v/>
      </c>
      <c r="D224" s="24">
        <f>IF($N224&lt;&gt;"",IF(INDEX(PCDoc,$N224)="","—",INDEX(PCDoc,$N224)),IF($O224&lt;&gt;"",INDEX(LdgBankB,$O224),""))</f>
        <v/>
      </c>
      <c r="E224" s="24">
        <f>IF($N224&lt;&gt;"",IF(INDEX(PCCitrus,$N224)="","—",INDEX(PCCitrus,$N224)),"")</f>
        <v/>
      </c>
      <c r="F224" s="25">
        <f>IF($N224&lt;&gt;"",IF(INDEX(PCScale,$N224)=0,"",INDEX(PCScale,$N224)),"")</f>
        <v/>
      </c>
      <c r="G224" s="25">
        <f>IF($N224&lt;&gt;"",IF(INDEX(PCBaskets,$N224)=0,"",INDEX(PCBaskets,$N224)),"")</f>
        <v/>
      </c>
      <c r="H224" s="26">
        <f>IF($N224&lt;&gt;"",IF(INDEX(PCNet,$N224)=0,"",INDEX(PCNet,$N224)),"")</f>
        <v/>
      </c>
      <c r="I224" s="25">
        <f>IF($N224&lt;&gt;"",IF(INDEX(PCOp,$N224)="مرجوعی خرید","",IF(INDEX(PCAmount,$N224)&lt;=0,"",INDEX(PCAmount,$N224))),IF($O224&lt;&gt;"",IF(INDEX(TxnDepB,$O224)=0,"",INDEX(TxnDepB,$O224)),""))</f>
        <v/>
      </c>
      <c r="J224" s="25">
        <f>IF($N224&lt;&gt;"",IF(INDEX(PCOp,$N224)="مرجوعی خرید",IF(INDEX(PCAmount,$N224)=0,"",-INDEX(PCAmount,$N224)),""),IF($O224&lt;&gt;"",IF(INDEX(TxnWitB,$O224)=0,"",INDEX(TxnWitB,$O224)),""))</f>
        <v/>
      </c>
      <c r="K224" s="27">
        <f>IF($B224="","",IF($K223="",$C$10,$K223)+IF($I224="",0,$I224)-IF($J224="",0,$J224))</f>
        <v/>
      </c>
      <c r="L224" s="28">
        <f>IF($N224&lt;&gt;"",IF(INDEX(PCNotes,$N224)="","—",INDEX(PCNotes,$N224)),IF($O224&lt;&gt;"",IF(INDEX(LdgNoteB,$O224)="","—",INDEX(LdgNoteB,$O224)),""))</f>
        <v/>
      </c>
      <c r="N224">
        <f>IFERROR(MATCH($C$5&amp;"|"&amp;RIGHT("000000"&amp;208,6),LdgRankKeyA,0),"")</f>
        <v/>
      </c>
      <c r="O224">
        <f>IFERROR(MATCH($C$5&amp;"|"&amp;RIGHT("000000"&amp;208,6),LdgRankKeyB,0),"")</f>
        <v/>
      </c>
    </row>
    <row r="225">
      <c r="A225" s="17" t="n">
        <v>209</v>
      </c>
      <c r="B225" s="18">
        <f>IF(AND($N225="",$O225=""),"",IF($N225&lt;&gt;"",INDEX(PCNormDate,$N225),INDEX(LdgDateB,$O225)))</f>
        <v/>
      </c>
      <c r="C225" s="18">
        <f>IF($N225&lt;&gt;"",INDEX(PCOp,$N225),IF($O225&lt;&gt;"",IF(N(INDEX(TxnDepB,$O225))&gt;0,"دریافت بانکی","پرداخت بانکی"),""))</f>
        <v/>
      </c>
      <c r="D225" s="18">
        <f>IF($N225&lt;&gt;"",IF(INDEX(PCDoc,$N225)="","—",INDEX(PCDoc,$N225)),IF($O225&lt;&gt;"",INDEX(LdgBankB,$O225),""))</f>
        <v/>
      </c>
      <c r="E225" s="18">
        <f>IF($N225&lt;&gt;"",IF(INDEX(PCCitrus,$N225)="","—",INDEX(PCCitrus,$N225)),"")</f>
        <v/>
      </c>
      <c r="F225" s="19">
        <f>IF($N225&lt;&gt;"",IF(INDEX(PCScale,$N225)=0,"",INDEX(PCScale,$N225)),"")</f>
        <v/>
      </c>
      <c r="G225" s="19">
        <f>IF($N225&lt;&gt;"",IF(INDEX(PCBaskets,$N225)=0,"",INDEX(PCBaskets,$N225)),"")</f>
        <v/>
      </c>
      <c r="H225" s="20">
        <f>IF($N225&lt;&gt;"",IF(INDEX(PCNet,$N225)=0,"",INDEX(PCNet,$N225)),"")</f>
        <v/>
      </c>
      <c r="I225" s="19">
        <f>IF($N225&lt;&gt;"",IF(INDEX(PCOp,$N225)="مرجوعی خرید","",IF(INDEX(PCAmount,$N225)&lt;=0,"",INDEX(PCAmount,$N225))),IF($O225&lt;&gt;"",IF(INDEX(TxnDepB,$O225)=0,"",INDEX(TxnDepB,$O225)),""))</f>
        <v/>
      </c>
      <c r="J225" s="19">
        <f>IF($N225&lt;&gt;"",IF(INDEX(PCOp,$N225)="مرجوعی خرید",IF(INDEX(PCAmount,$N225)=0,"",-INDEX(PCAmount,$N225)),""),IF($O225&lt;&gt;"",IF(INDEX(TxnWitB,$O225)=0,"",INDEX(TxnWitB,$O225)),""))</f>
        <v/>
      </c>
      <c r="K225" s="21">
        <f>IF($B225="","",IF($K224="",$C$10,$K224)+IF($I225="",0,$I225)-IF($J225="",0,$J225))</f>
        <v/>
      </c>
      <c r="L225" s="22">
        <f>IF($N225&lt;&gt;"",IF(INDEX(PCNotes,$N225)="","—",INDEX(PCNotes,$N225)),IF($O225&lt;&gt;"",IF(INDEX(LdgNoteB,$O225)="","—",INDEX(LdgNoteB,$O225)),""))</f>
        <v/>
      </c>
      <c r="N225">
        <f>IFERROR(MATCH($C$5&amp;"|"&amp;RIGHT("000000"&amp;209,6),LdgRankKeyA,0),"")</f>
        <v/>
      </c>
      <c r="O225">
        <f>IFERROR(MATCH($C$5&amp;"|"&amp;RIGHT("000000"&amp;209,6),LdgRankKeyB,0),"")</f>
        <v/>
      </c>
    </row>
    <row r="226">
      <c r="A226" s="23" t="n">
        <v>210</v>
      </c>
      <c r="B226" s="24">
        <f>IF(AND($N226="",$O226=""),"",IF($N226&lt;&gt;"",INDEX(PCNormDate,$N226),INDEX(LdgDateB,$O226)))</f>
        <v/>
      </c>
      <c r="C226" s="24">
        <f>IF($N226&lt;&gt;"",INDEX(PCOp,$N226),IF($O226&lt;&gt;"",IF(N(INDEX(TxnDepB,$O226))&gt;0,"دریافت بانکی","پرداخت بانکی"),""))</f>
        <v/>
      </c>
      <c r="D226" s="24">
        <f>IF($N226&lt;&gt;"",IF(INDEX(PCDoc,$N226)="","—",INDEX(PCDoc,$N226)),IF($O226&lt;&gt;"",INDEX(LdgBankB,$O226),""))</f>
        <v/>
      </c>
      <c r="E226" s="24">
        <f>IF($N226&lt;&gt;"",IF(INDEX(PCCitrus,$N226)="","—",INDEX(PCCitrus,$N226)),"")</f>
        <v/>
      </c>
      <c r="F226" s="25">
        <f>IF($N226&lt;&gt;"",IF(INDEX(PCScale,$N226)=0,"",INDEX(PCScale,$N226)),"")</f>
        <v/>
      </c>
      <c r="G226" s="25">
        <f>IF($N226&lt;&gt;"",IF(INDEX(PCBaskets,$N226)=0,"",INDEX(PCBaskets,$N226)),"")</f>
        <v/>
      </c>
      <c r="H226" s="26">
        <f>IF($N226&lt;&gt;"",IF(INDEX(PCNet,$N226)=0,"",INDEX(PCNet,$N226)),"")</f>
        <v/>
      </c>
      <c r="I226" s="25">
        <f>IF($N226&lt;&gt;"",IF(INDEX(PCOp,$N226)="مرجوعی خرید","",IF(INDEX(PCAmount,$N226)&lt;=0,"",INDEX(PCAmount,$N226))),IF($O226&lt;&gt;"",IF(INDEX(TxnDepB,$O226)=0,"",INDEX(TxnDepB,$O226)),""))</f>
        <v/>
      </c>
      <c r="J226" s="25">
        <f>IF($N226&lt;&gt;"",IF(INDEX(PCOp,$N226)="مرجوعی خرید",IF(INDEX(PCAmount,$N226)=0,"",-INDEX(PCAmount,$N226)),""),IF($O226&lt;&gt;"",IF(INDEX(TxnWitB,$O226)=0,"",INDEX(TxnWitB,$O226)),""))</f>
        <v/>
      </c>
      <c r="K226" s="27">
        <f>IF($B226="","",IF($K225="",$C$10,$K225)+IF($I226="",0,$I226)-IF($J226="",0,$J226))</f>
        <v/>
      </c>
      <c r="L226" s="28">
        <f>IF($N226&lt;&gt;"",IF(INDEX(PCNotes,$N226)="","—",INDEX(PCNotes,$N226)),IF($O226&lt;&gt;"",IF(INDEX(LdgNoteB,$O226)="","—",INDEX(LdgNoteB,$O226)),""))</f>
        <v/>
      </c>
      <c r="N226">
        <f>IFERROR(MATCH($C$5&amp;"|"&amp;RIGHT("000000"&amp;210,6),LdgRankKeyA,0),"")</f>
        <v/>
      </c>
      <c r="O226">
        <f>IFERROR(MATCH($C$5&amp;"|"&amp;RIGHT("000000"&amp;210,6),LdgRankKeyB,0),"")</f>
        <v/>
      </c>
    </row>
    <row r="227">
      <c r="A227" s="17" t="n">
        <v>211</v>
      </c>
      <c r="B227" s="18">
        <f>IF(AND($N227="",$O227=""),"",IF($N227&lt;&gt;"",INDEX(PCNormDate,$N227),INDEX(LdgDateB,$O227)))</f>
        <v/>
      </c>
      <c r="C227" s="18">
        <f>IF($N227&lt;&gt;"",INDEX(PCOp,$N227),IF($O227&lt;&gt;"",IF(N(INDEX(TxnDepB,$O227))&gt;0,"دریافت بانکی","پرداخت بانکی"),""))</f>
        <v/>
      </c>
      <c r="D227" s="18">
        <f>IF($N227&lt;&gt;"",IF(INDEX(PCDoc,$N227)="","—",INDEX(PCDoc,$N227)),IF($O227&lt;&gt;"",INDEX(LdgBankB,$O227),""))</f>
        <v/>
      </c>
      <c r="E227" s="18">
        <f>IF($N227&lt;&gt;"",IF(INDEX(PCCitrus,$N227)="","—",INDEX(PCCitrus,$N227)),"")</f>
        <v/>
      </c>
      <c r="F227" s="19">
        <f>IF($N227&lt;&gt;"",IF(INDEX(PCScale,$N227)=0,"",INDEX(PCScale,$N227)),"")</f>
        <v/>
      </c>
      <c r="G227" s="19">
        <f>IF($N227&lt;&gt;"",IF(INDEX(PCBaskets,$N227)=0,"",INDEX(PCBaskets,$N227)),"")</f>
        <v/>
      </c>
      <c r="H227" s="20">
        <f>IF($N227&lt;&gt;"",IF(INDEX(PCNet,$N227)=0,"",INDEX(PCNet,$N227)),"")</f>
        <v/>
      </c>
      <c r="I227" s="19">
        <f>IF($N227&lt;&gt;"",IF(INDEX(PCOp,$N227)="مرجوعی خرید","",IF(INDEX(PCAmount,$N227)&lt;=0,"",INDEX(PCAmount,$N227))),IF($O227&lt;&gt;"",IF(INDEX(TxnDepB,$O227)=0,"",INDEX(TxnDepB,$O227)),""))</f>
        <v/>
      </c>
      <c r="J227" s="19">
        <f>IF($N227&lt;&gt;"",IF(INDEX(PCOp,$N227)="مرجوعی خرید",IF(INDEX(PCAmount,$N227)=0,"",-INDEX(PCAmount,$N227)),""),IF($O227&lt;&gt;"",IF(INDEX(TxnWitB,$O227)=0,"",INDEX(TxnWitB,$O227)),""))</f>
        <v/>
      </c>
      <c r="K227" s="21">
        <f>IF($B227="","",IF($K226="",$C$10,$K226)+IF($I227="",0,$I227)-IF($J227="",0,$J227))</f>
        <v/>
      </c>
      <c r="L227" s="22">
        <f>IF($N227&lt;&gt;"",IF(INDEX(PCNotes,$N227)="","—",INDEX(PCNotes,$N227)),IF($O227&lt;&gt;"",IF(INDEX(LdgNoteB,$O227)="","—",INDEX(LdgNoteB,$O227)),""))</f>
        <v/>
      </c>
      <c r="N227">
        <f>IFERROR(MATCH($C$5&amp;"|"&amp;RIGHT("000000"&amp;211,6),LdgRankKeyA,0),"")</f>
        <v/>
      </c>
      <c r="O227">
        <f>IFERROR(MATCH($C$5&amp;"|"&amp;RIGHT("000000"&amp;211,6),LdgRankKeyB,0),"")</f>
        <v/>
      </c>
    </row>
    <row r="228">
      <c r="A228" s="23" t="n">
        <v>212</v>
      </c>
      <c r="B228" s="24">
        <f>IF(AND($N228="",$O228=""),"",IF($N228&lt;&gt;"",INDEX(PCNormDate,$N228),INDEX(LdgDateB,$O228)))</f>
        <v/>
      </c>
      <c r="C228" s="24">
        <f>IF($N228&lt;&gt;"",INDEX(PCOp,$N228),IF($O228&lt;&gt;"",IF(N(INDEX(TxnDepB,$O228))&gt;0,"دریافت بانکی","پرداخت بانکی"),""))</f>
        <v/>
      </c>
      <c r="D228" s="24">
        <f>IF($N228&lt;&gt;"",IF(INDEX(PCDoc,$N228)="","—",INDEX(PCDoc,$N228)),IF($O228&lt;&gt;"",INDEX(LdgBankB,$O228),""))</f>
        <v/>
      </c>
      <c r="E228" s="24">
        <f>IF($N228&lt;&gt;"",IF(INDEX(PCCitrus,$N228)="","—",INDEX(PCCitrus,$N228)),"")</f>
        <v/>
      </c>
      <c r="F228" s="25">
        <f>IF($N228&lt;&gt;"",IF(INDEX(PCScale,$N228)=0,"",INDEX(PCScale,$N228)),"")</f>
        <v/>
      </c>
      <c r="G228" s="25">
        <f>IF($N228&lt;&gt;"",IF(INDEX(PCBaskets,$N228)=0,"",INDEX(PCBaskets,$N228)),"")</f>
        <v/>
      </c>
      <c r="H228" s="26">
        <f>IF($N228&lt;&gt;"",IF(INDEX(PCNet,$N228)=0,"",INDEX(PCNet,$N228)),"")</f>
        <v/>
      </c>
      <c r="I228" s="25">
        <f>IF($N228&lt;&gt;"",IF(INDEX(PCOp,$N228)="مرجوعی خرید","",IF(INDEX(PCAmount,$N228)&lt;=0,"",INDEX(PCAmount,$N228))),IF($O228&lt;&gt;"",IF(INDEX(TxnDepB,$O228)=0,"",INDEX(TxnDepB,$O228)),""))</f>
        <v/>
      </c>
      <c r="J228" s="25">
        <f>IF($N228&lt;&gt;"",IF(INDEX(PCOp,$N228)="مرجوعی خرید",IF(INDEX(PCAmount,$N228)=0,"",-INDEX(PCAmount,$N228)),""),IF($O228&lt;&gt;"",IF(INDEX(TxnWitB,$O228)=0,"",INDEX(TxnWitB,$O228)),""))</f>
        <v/>
      </c>
      <c r="K228" s="27">
        <f>IF($B228="","",IF($K227="",$C$10,$K227)+IF($I228="",0,$I228)-IF($J228="",0,$J228))</f>
        <v/>
      </c>
      <c r="L228" s="28">
        <f>IF($N228&lt;&gt;"",IF(INDEX(PCNotes,$N228)="","—",INDEX(PCNotes,$N228)),IF($O228&lt;&gt;"",IF(INDEX(LdgNoteB,$O228)="","—",INDEX(LdgNoteB,$O228)),""))</f>
        <v/>
      </c>
      <c r="N228">
        <f>IFERROR(MATCH($C$5&amp;"|"&amp;RIGHT("000000"&amp;212,6),LdgRankKeyA,0),"")</f>
        <v/>
      </c>
      <c r="O228">
        <f>IFERROR(MATCH($C$5&amp;"|"&amp;RIGHT("000000"&amp;212,6),LdgRankKeyB,0),"")</f>
        <v/>
      </c>
    </row>
    <row r="229">
      <c r="A229" s="17" t="n">
        <v>213</v>
      </c>
      <c r="B229" s="18">
        <f>IF(AND($N229="",$O229=""),"",IF($N229&lt;&gt;"",INDEX(PCNormDate,$N229),INDEX(LdgDateB,$O229)))</f>
        <v/>
      </c>
      <c r="C229" s="18">
        <f>IF($N229&lt;&gt;"",INDEX(PCOp,$N229),IF($O229&lt;&gt;"",IF(N(INDEX(TxnDepB,$O229))&gt;0,"دریافت بانکی","پرداخت بانکی"),""))</f>
        <v/>
      </c>
      <c r="D229" s="18">
        <f>IF($N229&lt;&gt;"",IF(INDEX(PCDoc,$N229)="","—",INDEX(PCDoc,$N229)),IF($O229&lt;&gt;"",INDEX(LdgBankB,$O229),""))</f>
        <v/>
      </c>
      <c r="E229" s="18">
        <f>IF($N229&lt;&gt;"",IF(INDEX(PCCitrus,$N229)="","—",INDEX(PCCitrus,$N229)),"")</f>
        <v/>
      </c>
      <c r="F229" s="19">
        <f>IF($N229&lt;&gt;"",IF(INDEX(PCScale,$N229)=0,"",INDEX(PCScale,$N229)),"")</f>
        <v/>
      </c>
      <c r="G229" s="19">
        <f>IF($N229&lt;&gt;"",IF(INDEX(PCBaskets,$N229)=0,"",INDEX(PCBaskets,$N229)),"")</f>
        <v/>
      </c>
      <c r="H229" s="20">
        <f>IF($N229&lt;&gt;"",IF(INDEX(PCNet,$N229)=0,"",INDEX(PCNet,$N229)),"")</f>
        <v/>
      </c>
      <c r="I229" s="19">
        <f>IF($N229&lt;&gt;"",IF(INDEX(PCOp,$N229)="مرجوعی خرید","",IF(INDEX(PCAmount,$N229)&lt;=0,"",INDEX(PCAmount,$N229))),IF($O229&lt;&gt;"",IF(INDEX(TxnDepB,$O229)=0,"",INDEX(TxnDepB,$O229)),""))</f>
        <v/>
      </c>
      <c r="J229" s="19">
        <f>IF($N229&lt;&gt;"",IF(INDEX(PCOp,$N229)="مرجوعی خرید",IF(INDEX(PCAmount,$N229)=0,"",-INDEX(PCAmount,$N229)),""),IF($O229&lt;&gt;"",IF(INDEX(TxnWitB,$O229)=0,"",INDEX(TxnWitB,$O229)),""))</f>
        <v/>
      </c>
      <c r="K229" s="21">
        <f>IF($B229="","",IF($K228="",$C$10,$K228)+IF($I229="",0,$I229)-IF($J229="",0,$J229))</f>
        <v/>
      </c>
      <c r="L229" s="22">
        <f>IF($N229&lt;&gt;"",IF(INDEX(PCNotes,$N229)="","—",INDEX(PCNotes,$N229)),IF($O229&lt;&gt;"",IF(INDEX(LdgNoteB,$O229)="","—",INDEX(LdgNoteB,$O229)),""))</f>
        <v/>
      </c>
      <c r="N229">
        <f>IFERROR(MATCH($C$5&amp;"|"&amp;RIGHT("000000"&amp;213,6),LdgRankKeyA,0),"")</f>
        <v/>
      </c>
      <c r="O229">
        <f>IFERROR(MATCH($C$5&amp;"|"&amp;RIGHT("000000"&amp;213,6),LdgRankKeyB,0),"")</f>
        <v/>
      </c>
    </row>
    <row r="230">
      <c r="A230" s="23" t="n">
        <v>214</v>
      </c>
      <c r="B230" s="24">
        <f>IF(AND($N230="",$O230=""),"",IF($N230&lt;&gt;"",INDEX(PCNormDate,$N230),INDEX(LdgDateB,$O230)))</f>
        <v/>
      </c>
      <c r="C230" s="24">
        <f>IF($N230&lt;&gt;"",INDEX(PCOp,$N230),IF($O230&lt;&gt;"",IF(N(INDEX(TxnDepB,$O230))&gt;0,"دریافت بانکی","پرداخت بانکی"),""))</f>
        <v/>
      </c>
      <c r="D230" s="24">
        <f>IF($N230&lt;&gt;"",IF(INDEX(PCDoc,$N230)="","—",INDEX(PCDoc,$N230)),IF($O230&lt;&gt;"",INDEX(LdgBankB,$O230),""))</f>
        <v/>
      </c>
      <c r="E230" s="24">
        <f>IF($N230&lt;&gt;"",IF(INDEX(PCCitrus,$N230)="","—",INDEX(PCCitrus,$N230)),"")</f>
        <v/>
      </c>
      <c r="F230" s="25">
        <f>IF($N230&lt;&gt;"",IF(INDEX(PCScale,$N230)=0,"",INDEX(PCScale,$N230)),"")</f>
        <v/>
      </c>
      <c r="G230" s="25">
        <f>IF($N230&lt;&gt;"",IF(INDEX(PCBaskets,$N230)=0,"",INDEX(PCBaskets,$N230)),"")</f>
        <v/>
      </c>
      <c r="H230" s="26">
        <f>IF($N230&lt;&gt;"",IF(INDEX(PCNet,$N230)=0,"",INDEX(PCNet,$N230)),"")</f>
        <v/>
      </c>
      <c r="I230" s="25">
        <f>IF($N230&lt;&gt;"",IF(INDEX(PCOp,$N230)="مرجوعی خرید","",IF(INDEX(PCAmount,$N230)&lt;=0,"",INDEX(PCAmount,$N230))),IF($O230&lt;&gt;"",IF(INDEX(TxnDepB,$O230)=0,"",INDEX(TxnDepB,$O230)),""))</f>
        <v/>
      </c>
      <c r="J230" s="25">
        <f>IF($N230&lt;&gt;"",IF(INDEX(PCOp,$N230)="مرجوعی خرید",IF(INDEX(PCAmount,$N230)=0,"",-INDEX(PCAmount,$N230)),""),IF($O230&lt;&gt;"",IF(INDEX(TxnWitB,$O230)=0,"",INDEX(TxnWitB,$O230)),""))</f>
        <v/>
      </c>
      <c r="K230" s="27">
        <f>IF($B230="","",IF($K229="",$C$10,$K229)+IF($I230="",0,$I230)-IF($J230="",0,$J230))</f>
        <v/>
      </c>
      <c r="L230" s="28">
        <f>IF($N230&lt;&gt;"",IF(INDEX(PCNotes,$N230)="","—",INDEX(PCNotes,$N230)),IF($O230&lt;&gt;"",IF(INDEX(LdgNoteB,$O230)="","—",INDEX(LdgNoteB,$O230)),""))</f>
        <v/>
      </c>
      <c r="N230">
        <f>IFERROR(MATCH($C$5&amp;"|"&amp;RIGHT("000000"&amp;214,6),LdgRankKeyA,0),"")</f>
        <v/>
      </c>
      <c r="O230">
        <f>IFERROR(MATCH($C$5&amp;"|"&amp;RIGHT("000000"&amp;214,6),LdgRankKeyB,0),"")</f>
        <v/>
      </c>
    </row>
    <row r="231">
      <c r="A231" s="17" t="n">
        <v>215</v>
      </c>
      <c r="B231" s="18">
        <f>IF(AND($N231="",$O231=""),"",IF($N231&lt;&gt;"",INDEX(PCNormDate,$N231),INDEX(LdgDateB,$O231)))</f>
        <v/>
      </c>
      <c r="C231" s="18">
        <f>IF($N231&lt;&gt;"",INDEX(PCOp,$N231),IF($O231&lt;&gt;"",IF(N(INDEX(TxnDepB,$O231))&gt;0,"دریافت بانکی","پرداخت بانکی"),""))</f>
        <v/>
      </c>
      <c r="D231" s="18">
        <f>IF($N231&lt;&gt;"",IF(INDEX(PCDoc,$N231)="","—",INDEX(PCDoc,$N231)),IF($O231&lt;&gt;"",INDEX(LdgBankB,$O231),""))</f>
        <v/>
      </c>
      <c r="E231" s="18">
        <f>IF($N231&lt;&gt;"",IF(INDEX(PCCitrus,$N231)="","—",INDEX(PCCitrus,$N231)),"")</f>
        <v/>
      </c>
      <c r="F231" s="19">
        <f>IF($N231&lt;&gt;"",IF(INDEX(PCScale,$N231)=0,"",INDEX(PCScale,$N231)),"")</f>
        <v/>
      </c>
      <c r="G231" s="19">
        <f>IF($N231&lt;&gt;"",IF(INDEX(PCBaskets,$N231)=0,"",INDEX(PCBaskets,$N231)),"")</f>
        <v/>
      </c>
      <c r="H231" s="20">
        <f>IF($N231&lt;&gt;"",IF(INDEX(PCNet,$N231)=0,"",INDEX(PCNet,$N231)),"")</f>
        <v/>
      </c>
      <c r="I231" s="19">
        <f>IF($N231&lt;&gt;"",IF(INDEX(PCOp,$N231)="مرجوعی خرید","",IF(INDEX(PCAmount,$N231)&lt;=0,"",INDEX(PCAmount,$N231))),IF($O231&lt;&gt;"",IF(INDEX(TxnDepB,$O231)=0,"",INDEX(TxnDepB,$O231)),""))</f>
        <v/>
      </c>
      <c r="J231" s="19">
        <f>IF($N231&lt;&gt;"",IF(INDEX(PCOp,$N231)="مرجوعی خرید",IF(INDEX(PCAmount,$N231)=0,"",-INDEX(PCAmount,$N231)),""),IF($O231&lt;&gt;"",IF(INDEX(TxnWitB,$O231)=0,"",INDEX(TxnWitB,$O231)),""))</f>
        <v/>
      </c>
      <c r="K231" s="21">
        <f>IF($B231="","",IF($K230="",$C$10,$K230)+IF($I231="",0,$I231)-IF($J231="",0,$J231))</f>
        <v/>
      </c>
      <c r="L231" s="22">
        <f>IF($N231&lt;&gt;"",IF(INDEX(PCNotes,$N231)="","—",INDEX(PCNotes,$N231)),IF($O231&lt;&gt;"",IF(INDEX(LdgNoteB,$O231)="","—",INDEX(LdgNoteB,$O231)),""))</f>
        <v/>
      </c>
      <c r="N231">
        <f>IFERROR(MATCH($C$5&amp;"|"&amp;RIGHT("000000"&amp;215,6),LdgRankKeyA,0),"")</f>
        <v/>
      </c>
      <c r="O231">
        <f>IFERROR(MATCH($C$5&amp;"|"&amp;RIGHT("000000"&amp;215,6),LdgRankKeyB,0),"")</f>
        <v/>
      </c>
    </row>
    <row r="232">
      <c r="A232" s="23" t="n">
        <v>216</v>
      </c>
      <c r="B232" s="24">
        <f>IF(AND($N232="",$O232=""),"",IF($N232&lt;&gt;"",INDEX(PCNormDate,$N232),INDEX(LdgDateB,$O232)))</f>
        <v/>
      </c>
      <c r="C232" s="24">
        <f>IF($N232&lt;&gt;"",INDEX(PCOp,$N232),IF($O232&lt;&gt;"",IF(N(INDEX(TxnDepB,$O232))&gt;0,"دریافت بانکی","پرداخت بانکی"),""))</f>
        <v/>
      </c>
      <c r="D232" s="24">
        <f>IF($N232&lt;&gt;"",IF(INDEX(PCDoc,$N232)="","—",INDEX(PCDoc,$N232)),IF($O232&lt;&gt;"",INDEX(LdgBankB,$O232),""))</f>
        <v/>
      </c>
      <c r="E232" s="24">
        <f>IF($N232&lt;&gt;"",IF(INDEX(PCCitrus,$N232)="","—",INDEX(PCCitrus,$N232)),"")</f>
        <v/>
      </c>
      <c r="F232" s="25">
        <f>IF($N232&lt;&gt;"",IF(INDEX(PCScale,$N232)=0,"",INDEX(PCScale,$N232)),"")</f>
        <v/>
      </c>
      <c r="G232" s="25">
        <f>IF($N232&lt;&gt;"",IF(INDEX(PCBaskets,$N232)=0,"",INDEX(PCBaskets,$N232)),"")</f>
        <v/>
      </c>
      <c r="H232" s="26">
        <f>IF($N232&lt;&gt;"",IF(INDEX(PCNet,$N232)=0,"",INDEX(PCNet,$N232)),"")</f>
        <v/>
      </c>
      <c r="I232" s="25">
        <f>IF($N232&lt;&gt;"",IF(INDEX(PCOp,$N232)="مرجوعی خرید","",IF(INDEX(PCAmount,$N232)&lt;=0,"",INDEX(PCAmount,$N232))),IF($O232&lt;&gt;"",IF(INDEX(TxnDepB,$O232)=0,"",INDEX(TxnDepB,$O232)),""))</f>
        <v/>
      </c>
      <c r="J232" s="25">
        <f>IF($N232&lt;&gt;"",IF(INDEX(PCOp,$N232)="مرجوعی خرید",IF(INDEX(PCAmount,$N232)=0,"",-INDEX(PCAmount,$N232)),""),IF($O232&lt;&gt;"",IF(INDEX(TxnWitB,$O232)=0,"",INDEX(TxnWitB,$O232)),""))</f>
        <v/>
      </c>
      <c r="K232" s="27">
        <f>IF($B232="","",IF($K231="",$C$10,$K231)+IF($I232="",0,$I232)-IF($J232="",0,$J232))</f>
        <v/>
      </c>
      <c r="L232" s="28">
        <f>IF($N232&lt;&gt;"",IF(INDEX(PCNotes,$N232)="","—",INDEX(PCNotes,$N232)),IF($O232&lt;&gt;"",IF(INDEX(LdgNoteB,$O232)="","—",INDEX(LdgNoteB,$O232)),""))</f>
        <v/>
      </c>
      <c r="N232">
        <f>IFERROR(MATCH($C$5&amp;"|"&amp;RIGHT("000000"&amp;216,6),LdgRankKeyA,0),"")</f>
        <v/>
      </c>
      <c r="O232">
        <f>IFERROR(MATCH($C$5&amp;"|"&amp;RIGHT("000000"&amp;216,6),LdgRankKeyB,0),"")</f>
        <v/>
      </c>
    </row>
    <row r="233">
      <c r="A233" s="17" t="n">
        <v>217</v>
      </c>
      <c r="B233" s="18">
        <f>IF(AND($N233="",$O233=""),"",IF($N233&lt;&gt;"",INDEX(PCNormDate,$N233),INDEX(LdgDateB,$O233)))</f>
        <v/>
      </c>
      <c r="C233" s="18">
        <f>IF($N233&lt;&gt;"",INDEX(PCOp,$N233),IF($O233&lt;&gt;"",IF(N(INDEX(TxnDepB,$O233))&gt;0,"دریافت بانکی","پرداخت بانکی"),""))</f>
        <v/>
      </c>
      <c r="D233" s="18">
        <f>IF($N233&lt;&gt;"",IF(INDEX(PCDoc,$N233)="","—",INDEX(PCDoc,$N233)),IF($O233&lt;&gt;"",INDEX(LdgBankB,$O233),""))</f>
        <v/>
      </c>
      <c r="E233" s="18">
        <f>IF($N233&lt;&gt;"",IF(INDEX(PCCitrus,$N233)="","—",INDEX(PCCitrus,$N233)),"")</f>
        <v/>
      </c>
      <c r="F233" s="19">
        <f>IF($N233&lt;&gt;"",IF(INDEX(PCScale,$N233)=0,"",INDEX(PCScale,$N233)),"")</f>
        <v/>
      </c>
      <c r="G233" s="19">
        <f>IF($N233&lt;&gt;"",IF(INDEX(PCBaskets,$N233)=0,"",INDEX(PCBaskets,$N233)),"")</f>
        <v/>
      </c>
      <c r="H233" s="20">
        <f>IF($N233&lt;&gt;"",IF(INDEX(PCNet,$N233)=0,"",INDEX(PCNet,$N233)),"")</f>
        <v/>
      </c>
      <c r="I233" s="19">
        <f>IF($N233&lt;&gt;"",IF(INDEX(PCOp,$N233)="مرجوعی خرید","",IF(INDEX(PCAmount,$N233)&lt;=0,"",INDEX(PCAmount,$N233))),IF($O233&lt;&gt;"",IF(INDEX(TxnDepB,$O233)=0,"",INDEX(TxnDepB,$O233)),""))</f>
        <v/>
      </c>
      <c r="J233" s="19">
        <f>IF($N233&lt;&gt;"",IF(INDEX(PCOp,$N233)="مرجوعی خرید",IF(INDEX(PCAmount,$N233)=0,"",-INDEX(PCAmount,$N233)),""),IF($O233&lt;&gt;"",IF(INDEX(TxnWitB,$O233)=0,"",INDEX(TxnWitB,$O233)),""))</f>
        <v/>
      </c>
      <c r="K233" s="21">
        <f>IF($B233="","",IF($K232="",$C$10,$K232)+IF($I233="",0,$I233)-IF($J233="",0,$J233))</f>
        <v/>
      </c>
      <c r="L233" s="22">
        <f>IF($N233&lt;&gt;"",IF(INDEX(PCNotes,$N233)="","—",INDEX(PCNotes,$N233)),IF($O233&lt;&gt;"",IF(INDEX(LdgNoteB,$O233)="","—",INDEX(LdgNoteB,$O233)),""))</f>
        <v/>
      </c>
      <c r="N233">
        <f>IFERROR(MATCH($C$5&amp;"|"&amp;RIGHT("000000"&amp;217,6),LdgRankKeyA,0),"")</f>
        <v/>
      </c>
      <c r="O233">
        <f>IFERROR(MATCH($C$5&amp;"|"&amp;RIGHT("000000"&amp;217,6),LdgRankKeyB,0),"")</f>
        <v/>
      </c>
    </row>
    <row r="234">
      <c r="A234" s="23" t="n">
        <v>218</v>
      </c>
      <c r="B234" s="24">
        <f>IF(AND($N234="",$O234=""),"",IF($N234&lt;&gt;"",INDEX(PCNormDate,$N234),INDEX(LdgDateB,$O234)))</f>
        <v/>
      </c>
      <c r="C234" s="24">
        <f>IF($N234&lt;&gt;"",INDEX(PCOp,$N234),IF($O234&lt;&gt;"",IF(N(INDEX(TxnDepB,$O234))&gt;0,"دریافت بانکی","پرداخت بانکی"),""))</f>
        <v/>
      </c>
      <c r="D234" s="24">
        <f>IF($N234&lt;&gt;"",IF(INDEX(PCDoc,$N234)="","—",INDEX(PCDoc,$N234)),IF($O234&lt;&gt;"",INDEX(LdgBankB,$O234),""))</f>
        <v/>
      </c>
      <c r="E234" s="24">
        <f>IF($N234&lt;&gt;"",IF(INDEX(PCCitrus,$N234)="","—",INDEX(PCCitrus,$N234)),"")</f>
        <v/>
      </c>
      <c r="F234" s="25">
        <f>IF($N234&lt;&gt;"",IF(INDEX(PCScale,$N234)=0,"",INDEX(PCScale,$N234)),"")</f>
        <v/>
      </c>
      <c r="G234" s="25">
        <f>IF($N234&lt;&gt;"",IF(INDEX(PCBaskets,$N234)=0,"",INDEX(PCBaskets,$N234)),"")</f>
        <v/>
      </c>
      <c r="H234" s="26">
        <f>IF($N234&lt;&gt;"",IF(INDEX(PCNet,$N234)=0,"",INDEX(PCNet,$N234)),"")</f>
        <v/>
      </c>
      <c r="I234" s="25">
        <f>IF($N234&lt;&gt;"",IF(INDEX(PCOp,$N234)="مرجوعی خرید","",IF(INDEX(PCAmount,$N234)&lt;=0,"",INDEX(PCAmount,$N234))),IF($O234&lt;&gt;"",IF(INDEX(TxnDepB,$O234)=0,"",INDEX(TxnDepB,$O234)),""))</f>
        <v/>
      </c>
      <c r="J234" s="25">
        <f>IF($N234&lt;&gt;"",IF(INDEX(PCOp,$N234)="مرجوعی خرید",IF(INDEX(PCAmount,$N234)=0,"",-INDEX(PCAmount,$N234)),""),IF($O234&lt;&gt;"",IF(INDEX(TxnWitB,$O234)=0,"",INDEX(TxnWitB,$O234)),""))</f>
        <v/>
      </c>
      <c r="K234" s="27">
        <f>IF($B234="","",IF($K233="",$C$10,$K233)+IF($I234="",0,$I234)-IF($J234="",0,$J234))</f>
        <v/>
      </c>
      <c r="L234" s="28">
        <f>IF($N234&lt;&gt;"",IF(INDEX(PCNotes,$N234)="","—",INDEX(PCNotes,$N234)),IF($O234&lt;&gt;"",IF(INDEX(LdgNoteB,$O234)="","—",INDEX(LdgNoteB,$O234)),""))</f>
        <v/>
      </c>
      <c r="N234">
        <f>IFERROR(MATCH($C$5&amp;"|"&amp;RIGHT("000000"&amp;218,6),LdgRankKeyA,0),"")</f>
        <v/>
      </c>
      <c r="O234">
        <f>IFERROR(MATCH($C$5&amp;"|"&amp;RIGHT("000000"&amp;218,6),LdgRankKeyB,0),"")</f>
        <v/>
      </c>
    </row>
    <row r="235">
      <c r="A235" s="17" t="n">
        <v>219</v>
      </c>
      <c r="B235" s="18">
        <f>IF(AND($N235="",$O235=""),"",IF($N235&lt;&gt;"",INDEX(PCNormDate,$N235),INDEX(LdgDateB,$O235)))</f>
        <v/>
      </c>
      <c r="C235" s="18">
        <f>IF($N235&lt;&gt;"",INDEX(PCOp,$N235),IF($O235&lt;&gt;"",IF(N(INDEX(TxnDepB,$O235))&gt;0,"دریافت بانکی","پرداخت بانکی"),""))</f>
        <v/>
      </c>
      <c r="D235" s="18">
        <f>IF($N235&lt;&gt;"",IF(INDEX(PCDoc,$N235)="","—",INDEX(PCDoc,$N235)),IF($O235&lt;&gt;"",INDEX(LdgBankB,$O235),""))</f>
        <v/>
      </c>
      <c r="E235" s="18">
        <f>IF($N235&lt;&gt;"",IF(INDEX(PCCitrus,$N235)="","—",INDEX(PCCitrus,$N235)),"")</f>
        <v/>
      </c>
      <c r="F235" s="19">
        <f>IF($N235&lt;&gt;"",IF(INDEX(PCScale,$N235)=0,"",INDEX(PCScale,$N235)),"")</f>
        <v/>
      </c>
      <c r="G235" s="19">
        <f>IF($N235&lt;&gt;"",IF(INDEX(PCBaskets,$N235)=0,"",INDEX(PCBaskets,$N235)),"")</f>
        <v/>
      </c>
      <c r="H235" s="20">
        <f>IF($N235&lt;&gt;"",IF(INDEX(PCNet,$N235)=0,"",INDEX(PCNet,$N235)),"")</f>
        <v/>
      </c>
      <c r="I235" s="19">
        <f>IF($N235&lt;&gt;"",IF(INDEX(PCOp,$N235)="مرجوعی خرید","",IF(INDEX(PCAmount,$N235)&lt;=0,"",INDEX(PCAmount,$N235))),IF($O235&lt;&gt;"",IF(INDEX(TxnDepB,$O235)=0,"",INDEX(TxnDepB,$O235)),""))</f>
        <v/>
      </c>
      <c r="J235" s="19">
        <f>IF($N235&lt;&gt;"",IF(INDEX(PCOp,$N235)="مرجوعی خرید",IF(INDEX(PCAmount,$N235)=0,"",-INDEX(PCAmount,$N235)),""),IF($O235&lt;&gt;"",IF(INDEX(TxnWitB,$O235)=0,"",INDEX(TxnWitB,$O235)),""))</f>
        <v/>
      </c>
      <c r="K235" s="21">
        <f>IF($B235="","",IF($K234="",$C$10,$K234)+IF($I235="",0,$I235)-IF($J235="",0,$J235))</f>
        <v/>
      </c>
      <c r="L235" s="22">
        <f>IF($N235&lt;&gt;"",IF(INDEX(PCNotes,$N235)="","—",INDEX(PCNotes,$N235)),IF($O235&lt;&gt;"",IF(INDEX(LdgNoteB,$O235)="","—",INDEX(LdgNoteB,$O235)),""))</f>
        <v/>
      </c>
      <c r="N235">
        <f>IFERROR(MATCH($C$5&amp;"|"&amp;RIGHT("000000"&amp;219,6),LdgRankKeyA,0),"")</f>
        <v/>
      </c>
      <c r="O235">
        <f>IFERROR(MATCH($C$5&amp;"|"&amp;RIGHT("000000"&amp;219,6),LdgRankKeyB,0),"")</f>
        <v/>
      </c>
    </row>
    <row r="236">
      <c r="A236" s="23" t="n">
        <v>220</v>
      </c>
      <c r="B236" s="24">
        <f>IF(AND($N236="",$O236=""),"",IF($N236&lt;&gt;"",INDEX(PCNormDate,$N236),INDEX(LdgDateB,$O236)))</f>
        <v/>
      </c>
      <c r="C236" s="24">
        <f>IF($N236&lt;&gt;"",INDEX(PCOp,$N236),IF($O236&lt;&gt;"",IF(N(INDEX(TxnDepB,$O236))&gt;0,"دریافت بانکی","پرداخت بانکی"),""))</f>
        <v/>
      </c>
      <c r="D236" s="24">
        <f>IF($N236&lt;&gt;"",IF(INDEX(PCDoc,$N236)="","—",INDEX(PCDoc,$N236)),IF($O236&lt;&gt;"",INDEX(LdgBankB,$O236),""))</f>
        <v/>
      </c>
      <c r="E236" s="24">
        <f>IF($N236&lt;&gt;"",IF(INDEX(PCCitrus,$N236)="","—",INDEX(PCCitrus,$N236)),"")</f>
        <v/>
      </c>
      <c r="F236" s="25">
        <f>IF($N236&lt;&gt;"",IF(INDEX(PCScale,$N236)=0,"",INDEX(PCScale,$N236)),"")</f>
        <v/>
      </c>
      <c r="G236" s="25">
        <f>IF($N236&lt;&gt;"",IF(INDEX(PCBaskets,$N236)=0,"",INDEX(PCBaskets,$N236)),"")</f>
        <v/>
      </c>
      <c r="H236" s="26">
        <f>IF($N236&lt;&gt;"",IF(INDEX(PCNet,$N236)=0,"",INDEX(PCNet,$N236)),"")</f>
        <v/>
      </c>
      <c r="I236" s="25">
        <f>IF($N236&lt;&gt;"",IF(INDEX(PCOp,$N236)="مرجوعی خرید","",IF(INDEX(PCAmount,$N236)&lt;=0,"",INDEX(PCAmount,$N236))),IF($O236&lt;&gt;"",IF(INDEX(TxnDepB,$O236)=0,"",INDEX(TxnDepB,$O236)),""))</f>
        <v/>
      </c>
      <c r="J236" s="25">
        <f>IF($N236&lt;&gt;"",IF(INDEX(PCOp,$N236)="مرجوعی خرید",IF(INDEX(PCAmount,$N236)=0,"",-INDEX(PCAmount,$N236)),""),IF($O236&lt;&gt;"",IF(INDEX(TxnWitB,$O236)=0,"",INDEX(TxnWitB,$O236)),""))</f>
        <v/>
      </c>
      <c r="K236" s="27">
        <f>IF($B236="","",IF($K235="",$C$10,$K235)+IF($I236="",0,$I236)-IF($J236="",0,$J236))</f>
        <v/>
      </c>
      <c r="L236" s="28">
        <f>IF($N236&lt;&gt;"",IF(INDEX(PCNotes,$N236)="","—",INDEX(PCNotes,$N236)),IF($O236&lt;&gt;"",IF(INDEX(LdgNoteB,$O236)="","—",INDEX(LdgNoteB,$O236)),""))</f>
        <v/>
      </c>
      <c r="N236">
        <f>IFERROR(MATCH($C$5&amp;"|"&amp;RIGHT("000000"&amp;220,6),LdgRankKeyA,0),"")</f>
        <v/>
      </c>
      <c r="O236">
        <f>IFERROR(MATCH($C$5&amp;"|"&amp;RIGHT("000000"&amp;220,6),LdgRankKeyB,0),"")</f>
        <v/>
      </c>
    </row>
    <row r="237">
      <c r="A237" s="17" t="n">
        <v>221</v>
      </c>
      <c r="B237" s="18">
        <f>IF(AND($N237="",$O237=""),"",IF($N237&lt;&gt;"",INDEX(PCNormDate,$N237),INDEX(LdgDateB,$O237)))</f>
        <v/>
      </c>
      <c r="C237" s="18">
        <f>IF($N237&lt;&gt;"",INDEX(PCOp,$N237),IF($O237&lt;&gt;"",IF(N(INDEX(TxnDepB,$O237))&gt;0,"دریافت بانکی","پرداخت بانکی"),""))</f>
        <v/>
      </c>
      <c r="D237" s="18">
        <f>IF($N237&lt;&gt;"",IF(INDEX(PCDoc,$N237)="","—",INDEX(PCDoc,$N237)),IF($O237&lt;&gt;"",INDEX(LdgBankB,$O237),""))</f>
        <v/>
      </c>
      <c r="E237" s="18">
        <f>IF($N237&lt;&gt;"",IF(INDEX(PCCitrus,$N237)="","—",INDEX(PCCitrus,$N237)),"")</f>
        <v/>
      </c>
      <c r="F237" s="19">
        <f>IF($N237&lt;&gt;"",IF(INDEX(PCScale,$N237)=0,"",INDEX(PCScale,$N237)),"")</f>
        <v/>
      </c>
      <c r="G237" s="19">
        <f>IF($N237&lt;&gt;"",IF(INDEX(PCBaskets,$N237)=0,"",INDEX(PCBaskets,$N237)),"")</f>
        <v/>
      </c>
      <c r="H237" s="20">
        <f>IF($N237&lt;&gt;"",IF(INDEX(PCNet,$N237)=0,"",INDEX(PCNet,$N237)),"")</f>
        <v/>
      </c>
      <c r="I237" s="19">
        <f>IF($N237&lt;&gt;"",IF(INDEX(PCOp,$N237)="مرجوعی خرید","",IF(INDEX(PCAmount,$N237)&lt;=0,"",INDEX(PCAmount,$N237))),IF($O237&lt;&gt;"",IF(INDEX(TxnDepB,$O237)=0,"",INDEX(TxnDepB,$O237)),""))</f>
        <v/>
      </c>
      <c r="J237" s="19">
        <f>IF($N237&lt;&gt;"",IF(INDEX(PCOp,$N237)="مرجوعی خرید",IF(INDEX(PCAmount,$N237)=0,"",-INDEX(PCAmount,$N237)),""),IF($O237&lt;&gt;"",IF(INDEX(TxnWitB,$O237)=0,"",INDEX(TxnWitB,$O237)),""))</f>
        <v/>
      </c>
      <c r="K237" s="21">
        <f>IF($B237="","",IF($K236="",$C$10,$K236)+IF($I237="",0,$I237)-IF($J237="",0,$J237))</f>
        <v/>
      </c>
      <c r="L237" s="22">
        <f>IF($N237&lt;&gt;"",IF(INDEX(PCNotes,$N237)="","—",INDEX(PCNotes,$N237)),IF($O237&lt;&gt;"",IF(INDEX(LdgNoteB,$O237)="","—",INDEX(LdgNoteB,$O237)),""))</f>
        <v/>
      </c>
      <c r="N237">
        <f>IFERROR(MATCH($C$5&amp;"|"&amp;RIGHT("000000"&amp;221,6),LdgRankKeyA,0),"")</f>
        <v/>
      </c>
      <c r="O237">
        <f>IFERROR(MATCH($C$5&amp;"|"&amp;RIGHT("000000"&amp;221,6),LdgRankKeyB,0),"")</f>
        <v/>
      </c>
    </row>
    <row r="238">
      <c r="A238" s="23" t="n">
        <v>222</v>
      </c>
      <c r="B238" s="24">
        <f>IF(AND($N238="",$O238=""),"",IF($N238&lt;&gt;"",INDEX(PCNormDate,$N238),INDEX(LdgDateB,$O238)))</f>
        <v/>
      </c>
      <c r="C238" s="24">
        <f>IF($N238&lt;&gt;"",INDEX(PCOp,$N238),IF($O238&lt;&gt;"",IF(N(INDEX(TxnDepB,$O238))&gt;0,"دریافت بانکی","پرداخت بانکی"),""))</f>
        <v/>
      </c>
      <c r="D238" s="24">
        <f>IF($N238&lt;&gt;"",IF(INDEX(PCDoc,$N238)="","—",INDEX(PCDoc,$N238)),IF($O238&lt;&gt;"",INDEX(LdgBankB,$O238),""))</f>
        <v/>
      </c>
      <c r="E238" s="24">
        <f>IF($N238&lt;&gt;"",IF(INDEX(PCCitrus,$N238)="","—",INDEX(PCCitrus,$N238)),"")</f>
        <v/>
      </c>
      <c r="F238" s="25">
        <f>IF($N238&lt;&gt;"",IF(INDEX(PCScale,$N238)=0,"",INDEX(PCScale,$N238)),"")</f>
        <v/>
      </c>
      <c r="G238" s="25">
        <f>IF($N238&lt;&gt;"",IF(INDEX(PCBaskets,$N238)=0,"",INDEX(PCBaskets,$N238)),"")</f>
        <v/>
      </c>
      <c r="H238" s="26">
        <f>IF($N238&lt;&gt;"",IF(INDEX(PCNet,$N238)=0,"",INDEX(PCNet,$N238)),"")</f>
        <v/>
      </c>
      <c r="I238" s="25">
        <f>IF($N238&lt;&gt;"",IF(INDEX(PCOp,$N238)="مرجوعی خرید","",IF(INDEX(PCAmount,$N238)&lt;=0,"",INDEX(PCAmount,$N238))),IF($O238&lt;&gt;"",IF(INDEX(TxnDepB,$O238)=0,"",INDEX(TxnDepB,$O238)),""))</f>
        <v/>
      </c>
      <c r="J238" s="25">
        <f>IF($N238&lt;&gt;"",IF(INDEX(PCOp,$N238)="مرجوعی خرید",IF(INDEX(PCAmount,$N238)=0,"",-INDEX(PCAmount,$N238)),""),IF($O238&lt;&gt;"",IF(INDEX(TxnWitB,$O238)=0,"",INDEX(TxnWitB,$O238)),""))</f>
        <v/>
      </c>
      <c r="K238" s="27">
        <f>IF($B238="","",IF($K237="",$C$10,$K237)+IF($I238="",0,$I238)-IF($J238="",0,$J238))</f>
        <v/>
      </c>
      <c r="L238" s="28">
        <f>IF($N238&lt;&gt;"",IF(INDEX(PCNotes,$N238)="","—",INDEX(PCNotes,$N238)),IF($O238&lt;&gt;"",IF(INDEX(LdgNoteB,$O238)="","—",INDEX(LdgNoteB,$O238)),""))</f>
        <v/>
      </c>
      <c r="N238">
        <f>IFERROR(MATCH($C$5&amp;"|"&amp;RIGHT("000000"&amp;222,6),LdgRankKeyA,0),"")</f>
        <v/>
      </c>
      <c r="O238">
        <f>IFERROR(MATCH($C$5&amp;"|"&amp;RIGHT("000000"&amp;222,6),LdgRankKeyB,0),"")</f>
        <v/>
      </c>
    </row>
    <row r="239">
      <c r="A239" s="17" t="n">
        <v>223</v>
      </c>
      <c r="B239" s="18">
        <f>IF(AND($N239="",$O239=""),"",IF($N239&lt;&gt;"",INDEX(PCNormDate,$N239),INDEX(LdgDateB,$O239)))</f>
        <v/>
      </c>
      <c r="C239" s="18">
        <f>IF($N239&lt;&gt;"",INDEX(PCOp,$N239),IF($O239&lt;&gt;"",IF(N(INDEX(TxnDepB,$O239))&gt;0,"دریافت بانکی","پرداخت بانکی"),""))</f>
        <v/>
      </c>
      <c r="D239" s="18">
        <f>IF($N239&lt;&gt;"",IF(INDEX(PCDoc,$N239)="","—",INDEX(PCDoc,$N239)),IF($O239&lt;&gt;"",INDEX(LdgBankB,$O239),""))</f>
        <v/>
      </c>
      <c r="E239" s="18">
        <f>IF($N239&lt;&gt;"",IF(INDEX(PCCitrus,$N239)="","—",INDEX(PCCitrus,$N239)),"")</f>
        <v/>
      </c>
      <c r="F239" s="19">
        <f>IF($N239&lt;&gt;"",IF(INDEX(PCScale,$N239)=0,"",INDEX(PCScale,$N239)),"")</f>
        <v/>
      </c>
      <c r="G239" s="19">
        <f>IF($N239&lt;&gt;"",IF(INDEX(PCBaskets,$N239)=0,"",INDEX(PCBaskets,$N239)),"")</f>
        <v/>
      </c>
      <c r="H239" s="20">
        <f>IF($N239&lt;&gt;"",IF(INDEX(PCNet,$N239)=0,"",INDEX(PCNet,$N239)),"")</f>
        <v/>
      </c>
      <c r="I239" s="19">
        <f>IF($N239&lt;&gt;"",IF(INDEX(PCOp,$N239)="مرجوعی خرید","",IF(INDEX(PCAmount,$N239)&lt;=0,"",INDEX(PCAmount,$N239))),IF($O239&lt;&gt;"",IF(INDEX(TxnDepB,$O239)=0,"",INDEX(TxnDepB,$O239)),""))</f>
        <v/>
      </c>
      <c r="J239" s="19">
        <f>IF($N239&lt;&gt;"",IF(INDEX(PCOp,$N239)="مرجوعی خرید",IF(INDEX(PCAmount,$N239)=0,"",-INDEX(PCAmount,$N239)),""),IF($O239&lt;&gt;"",IF(INDEX(TxnWitB,$O239)=0,"",INDEX(TxnWitB,$O239)),""))</f>
        <v/>
      </c>
      <c r="K239" s="21">
        <f>IF($B239="","",IF($K238="",$C$10,$K238)+IF($I239="",0,$I239)-IF($J239="",0,$J239))</f>
        <v/>
      </c>
      <c r="L239" s="22">
        <f>IF($N239&lt;&gt;"",IF(INDEX(PCNotes,$N239)="","—",INDEX(PCNotes,$N239)),IF($O239&lt;&gt;"",IF(INDEX(LdgNoteB,$O239)="","—",INDEX(LdgNoteB,$O239)),""))</f>
        <v/>
      </c>
      <c r="N239">
        <f>IFERROR(MATCH($C$5&amp;"|"&amp;RIGHT("000000"&amp;223,6),LdgRankKeyA,0),"")</f>
        <v/>
      </c>
      <c r="O239">
        <f>IFERROR(MATCH($C$5&amp;"|"&amp;RIGHT("000000"&amp;223,6),LdgRankKeyB,0),"")</f>
        <v/>
      </c>
    </row>
    <row r="240">
      <c r="A240" s="23" t="n">
        <v>224</v>
      </c>
      <c r="B240" s="24">
        <f>IF(AND($N240="",$O240=""),"",IF($N240&lt;&gt;"",INDEX(PCNormDate,$N240),INDEX(LdgDateB,$O240)))</f>
        <v/>
      </c>
      <c r="C240" s="24">
        <f>IF($N240&lt;&gt;"",INDEX(PCOp,$N240),IF($O240&lt;&gt;"",IF(N(INDEX(TxnDepB,$O240))&gt;0,"دریافت بانکی","پرداخت بانکی"),""))</f>
        <v/>
      </c>
      <c r="D240" s="24">
        <f>IF($N240&lt;&gt;"",IF(INDEX(PCDoc,$N240)="","—",INDEX(PCDoc,$N240)),IF($O240&lt;&gt;"",INDEX(LdgBankB,$O240),""))</f>
        <v/>
      </c>
      <c r="E240" s="24">
        <f>IF($N240&lt;&gt;"",IF(INDEX(PCCitrus,$N240)="","—",INDEX(PCCitrus,$N240)),"")</f>
        <v/>
      </c>
      <c r="F240" s="25">
        <f>IF($N240&lt;&gt;"",IF(INDEX(PCScale,$N240)=0,"",INDEX(PCScale,$N240)),"")</f>
        <v/>
      </c>
      <c r="G240" s="25">
        <f>IF($N240&lt;&gt;"",IF(INDEX(PCBaskets,$N240)=0,"",INDEX(PCBaskets,$N240)),"")</f>
        <v/>
      </c>
      <c r="H240" s="26">
        <f>IF($N240&lt;&gt;"",IF(INDEX(PCNet,$N240)=0,"",INDEX(PCNet,$N240)),"")</f>
        <v/>
      </c>
      <c r="I240" s="25">
        <f>IF($N240&lt;&gt;"",IF(INDEX(PCOp,$N240)="مرجوعی خرید","",IF(INDEX(PCAmount,$N240)&lt;=0,"",INDEX(PCAmount,$N240))),IF($O240&lt;&gt;"",IF(INDEX(TxnDepB,$O240)=0,"",INDEX(TxnDepB,$O240)),""))</f>
        <v/>
      </c>
      <c r="J240" s="25">
        <f>IF($N240&lt;&gt;"",IF(INDEX(PCOp,$N240)="مرجوعی خرید",IF(INDEX(PCAmount,$N240)=0,"",-INDEX(PCAmount,$N240)),""),IF($O240&lt;&gt;"",IF(INDEX(TxnWitB,$O240)=0,"",INDEX(TxnWitB,$O240)),""))</f>
        <v/>
      </c>
      <c r="K240" s="27">
        <f>IF($B240="","",IF($K239="",$C$10,$K239)+IF($I240="",0,$I240)-IF($J240="",0,$J240))</f>
        <v/>
      </c>
      <c r="L240" s="28">
        <f>IF($N240&lt;&gt;"",IF(INDEX(PCNotes,$N240)="","—",INDEX(PCNotes,$N240)),IF($O240&lt;&gt;"",IF(INDEX(LdgNoteB,$O240)="","—",INDEX(LdgNoteB,$O240)),""))</f>
        <v/>
      </c>
      <c r="N240">
        <f>IFERROR(MATCH($C$5&amp;"|"&amp;RIGHT("000000"&amp;224,6),LdgRankKeyA,0),"")</f>
        <v/>
      </c>
      <c r="O240">
        <f>IFERROR(MATCH($C$5&amp;"|"&amp;RIGHT("000000"&amp;224,6),LdgRankKeyB,0),"")</f>
        <v/>
      </c>
    </row>
    <row r="241">
      <c r="A241" s="17" t="n">
        <v>225</v>
      </c>
      <c r="B241" s="18">
        <f>IF(AND($N241="",$O241=""),"",IF($N241&lt;&gt;"",INDEX(PCNormDate,$N241),INDEX(LdgDateB,$O241)))</f>
        <v/>
      </c>
      <c r="C241" s="18">
        <f>IF($N241&lt;&gt;"",INDEX(PCOp,$N241),IF($O241&lt;&gt;"",IF(N(INDEX(TxnDepB,$O241))&gt;0,"دریافت بانکی","پرداخت بانکی"),""))</f>
        <v/>
      </c>
      <c r="D241" s="18">
        <f>IF($N241&lt;&gt;"",IF(INDEX(PCDoc,$N241)="","—",INDEX(PCDoc,$N241)),IF($O241&lt;&gt;"",INDEX(LdgBankB,$O241),""))</f>
        <v/>
      </c>
      <c r="E241" s="18">
        <f>IF($N241&lt;&gt;"",IF(INDEX(PCCitrus,$N241)="","—",INDEX(PCCitrus,$N241)),"")</f>
        <v/>
      </c>
      <c r="F241" s="19">
        <f>IF($N241&lt;&gt;"",IF(INDEX(PCScale,$N241)=0,"",INDEX(PCScale,$N241)),"")</f>
        <v/>
      </c>
      <c r="G241" s="19">
        <f>IF($N241&lt;&gt;"",IF(INDEX(PCBaskets,$N241)=0,"",INDEX(PCBaskets,$N241)),"")</f>
        <v/>
      </c>
      <c r="H241" s="20">
        <f>IF($N241&lt;&gt;"",IF(INDEX(PCNet,$N241)=0,"",INDEX(PCNet,$N241)),"")</f>
        <v/>
      </c>
      <c r="I241" s="19">
        <f>IF($N241&lt;&gt;"",IF(INDEX(PCOp,$N241)="مرجوعی خرید","",IF(INDEX(PCAmount,$N241)&lt;=0,"",INDEX(PCAmount,$N241))),IF($O241&lt;&gt;"",IF(INDEX(TxnDepB,$O241)=0,"",INDEX(TxnDepB,$O241)),""))</f>
        <v/>
      </c>
      <c r="J241" s="19">
        <f>IF($N241&lt;&gt;"",IF(INDEX(PCOp,$N241)="مرجوعی خرید",IF(INDEX(PCAmount,$N241)=0,"",-INDEX(PCAmount,$N241)),""),IF($O241&lt;&gt;"",IF(INDEX(TxnWitB,$O241)=0,"",INDEX(TxnWitB,$O241)),""))</f>
        <v/>
      </c>
      <c r="K241" s="21">
        <f>IF($B241="","",IF($K240="",$C$10,$K240)+IF($I241="",0,$I241)-IF($J241="",0,$J241))</f>
        <v/>
      </c>
      <c r="L241" s="22">
        <f>IF($N241&lt;&gt;"",IF(INDEX(PCNotes,$N241)="","—",INDEX(PCNotes,$N241)),IF($O241&lt;&gt;"",IF(INDEX(LdgNoteB,$O241)="","—",INDEX(LdgNoteB,$O241)),""))</f>
        <v/>
      </c>
      <c r="N241">
        <f>IFERROR(MATCH($C$5&amp;"|"&amp;RIGHT("000000"&amp;225,6),LdgRankKeyA,0),"")</f>
        <v/>
      </c>
      <c r="O241">
        <f>IFERROR(MATCH($C$5&amp;"|"&amp;RIGHT("000000"&amp;225,6),LdgRankKeyB,0),"")</f>
        <v/>
      </c>
    </row>
    <row r="242">
      <c r="A242" s="23" t="n">
        <v>226</v>
      </c>
      <c r="B242" s="24">
        <f>IF(AND($N242="",$O242=""),"",IF($N242&lt;&gt;"",INDEX(PCNormDate,$N242),INDEX(LdgDateB,$O242)))</f>
        <v/>
      </c>
      <c r="C242" s="24">
        <f>IF($N242&lt;&gt;"",INDEX(PCOp,$N242),IF($O242&lt;&gt;"",IF(N(INDEX(TxnDepB,$O242))&gt;0,"دریافت بانکی","پرداخت بانکی"),""))</f>
        <v/>
      </c>
      <c r="D242" s="24">
        <f>IF($N242&lt;&gt;"",IF(INDEX(PCDoc,$N242)="","—",INDEX(PCDoc,$N242)),IF($O242&lt;&gt;"",INDEX(LdgBankB,$O242),""))</f>
        <v/>
      </c>
      <c r="E242" s="24">
        <f>IF($N242&lt;&gt;"",IF(INDEX(PCCitrus,$N242)="","—",INDEX(PCCitrus,$N242)),"")</f>
        <v/>
      </c>
      <c r="F242" s="25">
        <f>IF($N242&lt;&gt;"",IF(INDEX(PCScale,$N242)=0,"",INDEX(PCScale,$N242)),"")</f>
        <v/>
      </c>
      <c r="G242" s="25">
        <f>IF($N242&lt;&gt;"",IF(INDEX(PCBaskets,$N242)=0,"",INDEX(PCBaskets,$N242)),"")</f>
        <v/>
      </c>
      <c r="H242" s="26">
        <f>IF($N242&lt;&gt;"",IF(INDEX(PCNet,$N242)=0,"",INDEX(PCNet,$N242)),"")</f>
        <v/>
      </c>
      <c r="I242" s="25">
        <f>IF($N242&lt;&gt;"",IF(INDEX(PCOp,$N242)="مرجوعی خرید","",IF(INDEX(PCAmount,$N242)&lt;=0,"",INDEX(PCAmount,$N242))),IF($O242&lt;&gt;"",IF(INDEX(TxnDepB,$O242)=0,"",INDEX(TxnDepB,$O242)),""))</f>
        <v/>
      </c>
      <c r="J242" s="25">
        <f>IF($N242&lt;&gt;"",IF(INDEX(PCOp,$N242)="مرجوعی خرید",IF(INDEX(PCAmount,$N242)=0,"",-INDEX(PCAmount,$N242)),""),IF($O242&lt;&gt;"",IF(INDEX(TxnWitB,$O242)=0,"",INDEX(TxnWitB,$O242)),""))</f>
        <v/>
      </c>
      <c r="K242" s="27">
        <f>IF($B242="","",IF($K241="",$C$10,$K241)+IF($I242="",0,$I242)-IF($J242="",0,$J242))</f>
        <v/>
      </c>
      <c r="L242" s="28">
        <f>IF($N242&lt;&gt;"",IF(INDEX(PCNotes,$N242)="","—",INDEX(PCNotes,$N242)),IF($O242&lt;&gt;"",IF(INDEX(LdgNoteB,$O242)="","—",INDEX(LdgNoteB,$O242)),""))</f>
        <v/>
      </c>
      <c r="N242">
        <f>IFERROR(MATCH($C$5&amp;"|"&amp;RIGHT("000000"&amp;226,6),LdgRankKeyA,0),"")</f>
        <v/>
      </c>
      <c r="O242">
        <f>IFERROR(MATCH($C$5&amp;"|"&amp;RIGHT("000000"&amp;226,6),LdgRankKeyB,0),"")</f>
        <v/>
      </c>
    </row>
    <row r="243">
      <c r="A243" s="17" t="n">
        <v>227</v>
      </c>
      <c r="B243" s="18">
        <f>IF(AND($N243="",$O243=""),"",IF($N243&lt;&gt;"",INDEX(PCNormDate,$N243),INDEX(LdgDateB,$O243)))</f>
        <v/>
      </c>
      <c r="C243" s="18">
        <f>IF($N243&lt;&gt;"",INDEX(PCOp,$N243),IF($O243&lt;&gt;"",IF(N(INDEX(TxnDepB,$O243))&gt;0,"دریافت بانکی","پرداخت بانکی"),""))</f>
        <v/>
      </c>
      <c r="D243" s="18">
        <f>IF($N243&lt;&gt;"",IF(INDEX(PCDoc,$N243)="","—",INDEX(PCDoc,$N243)),IF($O243&lt;&gt;"",INDEX(LdgBankB,$O243),""))</f>
        <v/>
      </c>
      <c r="E243" s="18">
        <f>IF($N243&lt;&gt;"",IF(INDEX(PCCitrus,$N243)="","—",INDEX(PCCitrus,$N243)),"")</f>
        <v/>
      </c>
      <c r="F243" s="19">
        <f>IF($N243&lt;&gt;"",IF(INDEX(PCScale,$N243)=0,"",INDEX(PCScale,$N243)),"")</f>
        <v/>
      </c>
      <c r="G243" s="19">
        <f>IF($N243&lt;&gt;"",IF(INDEX(PCBaskets,$N243)=0,"",INDEX(PCBaskets,$N243)),"")</f>
        <v/>
      </c>
      <c r="H243" s="20">
        <f>IF($N243&lt;&gt;"",IF(INDEX(PCNet,$N243)=0,"",INDEX(PCNet,$N243)),"")</f>
        <v/>
      </c>
      <c r="I243" s="19">
        <f>IF($N243&lt;&gt;"",IF(INDEX(PCOp,$N243)="مرجوعی خرید","",IF(INDEX(PCAmount,$N243)&lt;=0,"",INDEX(PCAmount,$N243))),IF($O243&lt;&gt;"",IF(INDEX(TxnDepB,$O243)=0,"",INDEX(TxnDepB,$O243)),""))</f>
        <v/>
      </c>
      <c r="J243" s="19">
        <f>IF($N243&lt;&gt;"",IF(INDEX(PCOp,$N243)="مرجوعی خرید",IF(INDEX(PCAmount,$N243)=0,"",-INDEX(PCAmount,$N243)),""),IF($O243&lt;&gt;"",IF(INDEX(TxnWitB,$O243)=0,"",INDEX(TxnWitB,$O243)),""))</f>
        <v/>
      </c>
      <c r="K243" s="21">
        <f>IF($B243="","",IF($K242="",$C$10,$K242)+IF($I243="",0,$I243)-IF($J243="",0,$J243))</f>
        <v/>
      </c>
      <c r="L243" s="22">
        <f>IF($N243&lt;&gt;"",IF(INDEX(PCNotes,$N243)="","—",INDEX(PCNotes,$N243)),IF($O243&lt;&gt;"",IF(INDEX(LdgNoteB,$O243)="","—",INDEX(LdgNoteB,$O243)),""))</f>
        <v/>
      </c>
      <c r="N243">
        <f>IFERROR(MATCH($C$5&amp;"|"&amp;RIGHT("000000"&amp;227,6),LdgRankKeyA,0),"")</f>
        <v/>
      </c>
      <c r="O243">
        <f>IFERROR(MATCH($C$5&amp;"|"&amp;RIGHT("000000"&amp;227,6),LdgRankKeyB,0),"")</f>
        <v/>
      </c>
    </row>
    <row r="244">
      <c r="A244" s="23" t="n">
        <v>228</v>
      </c>
      <c r="B244" s="24">
        <f>IF(AND($N244="",$O244=""),"",IF($N244&lt;&gt;"",INDEX(PCNormDate,$N244),INDEX(LdgDateB,$O244)))</f>
        <v/>
      </c>
      <c r="C244" s="24">
        <f>IF($N244&lt;&gt;"",INDEX(PCOp,$N244),IF($O244&lt;&gt;"",IF(N(INDEX(TxnDepB,$O244))&gt;0,"دریافت بانکی","پرداخت بانکی"),""))</f>
        <v/>
      </c>
      <c r="D244" s="24">
        <f>IF($N244&lt;&gt;"",IF(INDEX(PCDoc,$N244)="","—",INDEX(PCDoc,$N244)),IF($O244&lt;&gt;"",INDEX(LdgBankB,$O244),""))</f>
        <v/>
      </c>
      <c r="E244" s="24">
        <f>IF($N244&lt;&gt;"",IF(INDEX(PCCitrus,$N244)="","—",INDEX(PCCitrus,$N244)),"")</f>
        <v/>
      </c>
      <c r="F244" s="25">
        <f>IF($N244&lt;&gt;"",IF(INDEX(PCScale,$N244)=0,"",INDEX(PCScale,$N244)),"")</f>
        <v/>
      </c>
      <c r="G244" s="25">
        <f>IF($N244&lt;&gt;"",IF(INDEX(PCBaskets,$N244)=0,"",INDEX(PCBaskets,$N244)),"")</f>
        <v/>
      </c>
      <c r="H244" s="26">
        <f>IF($N244&lt;&gt;"",IF(INDEX(PCNet,$N244)=0,"",INDEX(PCNet,$N244)),"")</f>
        <v/>
      </c>
      <c r="I244" s="25">
        <f>IF($N244&lt;&gt;"",IF(INDEX(PCOp,$N244)="مرجوعی خرید","",IF(INDEX(PCAmount,$N244)&lt;=0,"",INDEX(PCAmount,$N244))),IF($O244&lt;&gt;"",IF(INDEX(TxnDepB,$O244)=0,"",INDEX(TxnDepB,$O244)),""))</f>
        <v/>
      </c>
      <c r="J244" s="25">
        <f>IF($N244&lt;&gt;"",IF(INDEX(PCOp,$N244)="مرجوعی خرید",IF(INDEX(PCAmount,$N244)=0,"",-INDEX(PCAmount,$N244)),""),IF($O244&lt;&gt;"",IF(INDEX(TxnWitB,$O244)=0,"",INDEX(TxnWitB,$O244)),""))</f>
        <v/>
      </c>
      <c r="K244" s="27">
        <f>IF($B244="","",IF($K243="",$C$10,$K243)+IF($I244="",0,$I244)-IF($J244="",0,$J244))</f>
        <v/>
      </c>
      <c r="L244" s="28">
        <f>IF($N244&lt;&gt;"",IF(INDEX(PCNotes,$N244)="","—",INDEX(PCNotes,$N244)),IF($O244&lt;&gt;"",IF(INDEX(LdgNoteB,$O244)="","—",INDEX(LdgNoteB,$O244)),""))</f>
        <v/>
      </c>
      <c r="N244">
        <f>IFERROR(MATCH($C$5&amp;"|"&amp;RIGHT("000000"&amp;228,6),LdgRankKeyA,0),"")</f>
        <v/>
      </c>
      <c r="O244">
        <f>IFERROR(MATCH($C$5&amp;"|"&amp;RIGHT("000000"&amp;228,6),LdgRankKeyB,0),"")</f>
        <v/>
      </c>
    </row>
    <row r="245">
      <c r="A245" s="17" t="n">
        <v>229</v>
      </c>
      <c r="B245" s="18">
        <f>IF(AND($N245="",$O245=""),"",IF($N245&lt;&gt;"",INDEX(PCNormDate,$N245),INDEX(LdgDateB,$O245)))</f>
        <v/>
      </c>
      <c r="C245" s="18">
        <f>IF($N245&lt;&gt;"",INDEX(PCOp,$N245),IF($O245&lt;&gt;"",IF(N(INDEX(TxnDepB,$O245))&gt;0,"دریافت بانکی","پرداخت بانکی"),""))</f>
        <v/>
      </c>
      <c r="D245" s="18">
        <f>IF($N245&lt;&gt;"",IF(INDEX(PCDoc,$N245)="","—",INDEX(PCDoc,$N245)),IF($O245&lt;&gt;"",INDEX(LdgBankB,$O245),""))</f>
        <v/>
      </c>
      <c r="E245" s="18">
        <f>IF($N245&lt;&gt;"",IF(INDEX(PCCitrus,$N245)="","—",INDEX(PCCitrus,$N245)),"")</f>
        <v/>
      </c>
      <c r="F245" s="19">
        <f>IF($N245&lt;&gt;"",IF(INDEX(PCScale,$N245)=0,"",INDEX(PCScale,$N245)),"")</f>
        <v/>
      </c>
      <c r="G245" s="19">
        <f>IF($N245&lt;&gt;"",IF(INDEX(PCBaskets,$N245)=0,"",INDEX(PCBaskets,$N245)),"")</f>
        <v/>
      </c>
      <c r="H245" s="20">
        <f>IF($N245&lt;&gt;"",IF(INDEX(PCNet,$N245)=0,"",INDEX(PCNet,$N245)),"")</f>
        <v/>
      </c>
      <c r="I245" s="19">
        <f>IF($N245&lt;&gt;"",IF(INDEX(PCOp,$N245)="مرجوعی خرید","",IF(INDEX(PCAmount,$N245)&lt;=0,"",INDEX(PCAmount,$N245))),IF($O245&lt;&gt;"",IF(INDEX(TxnDepB,$O245)=0,"",INDEX(TxnDepB,$O245)),""))</f>
        <v/>
      </c>
      <c r="J245" s="19">
        <f>IF($N245&lt;&gt;"",IF(INDEX(PCOp,$N245)="مرجوعی خرید",IF(INDEX(PCAmount,$N245)=0,"",-INDEX(PCAmount,$N245)),""),IF($O245&lt;&gt;"",IF(INDEX(TxnWitB,$O245)=0,"",INDEX(TxnWitB,$O245)),""))</f>
        <v/>
      </c>
      <c r="K245" s="21">
        <f>IF($B245="","",IF($K244="",$C$10,$K244)+IF($I245="",0,$I245)-IF($J245="",0,$J245))</f>
        <v/>
      </c>
      <c r="L245" s="22">
        <f>IF($N245&lt;&gt;"",IF(INDEX(PCNotes,$N245)="","—",INDEX(PCNotes,$N245)),IF($O245&lt;&gt;"",IF(INDEX(LdgNoteB,$O245)="","—",INDEX(LdgNoteB,$O245)),""))</f>
        <v/>
      </c>
      <c r="N245">
        <f>IFERROR(MATCH($C$5&amp;"|"&amp;RIGHT("000000"&amp;229,6),LdgRankKeyA,0),"")</f>
        <v/>
      </c>
      <c r="O245">
        <f>IFERROR(MATCH($C$5&amp;"|"&amp;RIGHT("000000"&amp;229,6),LdgRankKeyB,0),"")</f>
        <v/>
      </c>
    </row>
    <row r="246">
      <c r="A246" s="23" t="n">
        <v>230</v>
      </c>
      <c r="B246" s="24">
        <f>IF(AND($N246="",$O246=""),"",IF($N246&lt;&gt;"",INDEX(PCNormDate,$N246),INDEX(LdgDateB,$O246)))</f>
        <v/>
      </c>
      <c r="C246" s="24">
        <f>IF($N246&lt;&gt;"",INDEX(PCOp,$N246),IF($O246&lt;&gt;"",IF(N(INDEX(TxnDepB,$O246))&gt;0,"دریافت بانکی","پرداخت بانکی"),""))</f>
        <v/>
      </c>
      <c r="D246" s="24">
        <f>IF($N246&lt;&gt;"",IF(INDEX(PCDoc,$N246)="","—",INDEX(PCDoc,$N246)),IF($O246&lt;&gt;"",INDEX(LdgBankB,$O246),""))</f>
        <v/>
      </c>
      <c r="E246" s="24">
        <f>IF($N246&lt;&gt;"",IF(INDEX(PCCitrus,$N246)="","—",INDEX(PCCitrus,$N246)),"")</f>
        <v/>
      </c>
      <c r="F246" s="25">
        <f>IF($N246&lt;&gt;"",IF(INDEX(PCScale,$N246)=0,"",INDEX(PCScale,$N246)),"")</f>
        <v/>
      </c>
      <c r="G246" s="25">
        <f>IF($N246&lt;&gt;"",IF(INDEX(PCBaskets,$N246)=0,"",INDEX(PCBaskets,$N246)),"")</f>
        <v/>
      </c>
      <c r="H246" s="26">
        <f>IF($N246&lt;&gt;"",IF(INDEX(PCNet,$N246)=0,"",INDEX(PCNet,$N246)),"")</f>
        <v/>
      </c>
      <c r="I246" s="25">
        <f>IF($N246&lt;&gt;"",IF(INDEX(PCOp,$N246)="مرجوعی خرید","",IF(INDEX(PCAmount,$N246)&lt;=0,"",INDEX(PCAmount,$N246))),IF($O246&lt;&gt;"",IF(INDEX(TxnDepB,$O246)=0,"",INDEX(TxnDepB,$O246)),""))</f>
        <v/>
      </c>
      <c r="J246" s="25">
        <f>IF($N246&lt;&gt;"",IF(INDEX(PCOp,$N246)="مرجوعی خرید",IF(INDEX(PCAmount,$N246)=0,"",-INDEX(PCAmount,$N246)),""),IF($O246&lt;&gt;"",IF(INDEX(TxnWitB,$O246)=0,"",INDEX(TxnWitB,$O246)),""))</f>
        <v/>
      </c>
      <c r="K246" s="27">
        <f>IF($B246="","",IF($K245="",$C$10,$K245)+IF($I246="",0,$I246)-IF($J246="",0,$J246))</f>
        <v/>
      </c>
      <c r="L246" s="28">
        <f>IF($N246&lt;&gt;"",IF(INDEX(PCNotes,$N246)="","—",INDEX(PCNotes,$N246)),IF($O246&lt;&gt;"",IF(INDEX(LdgNoteB,$O246)="","—",INDEX(LdgNoteB,$O246)),""))</f>
        <v/>
      </c>
      <c r="N246">
        <f>IFERROR(MATCH($C$5&amp;"|"&amp;RIGHT("000000"&amp;230,6),LdgRankKeyA,0),"")</f>
        <v/>
      </c>
      <c r="O246">
        <f>IFERROR(MATCH($C$5&amp;"|"&amp;RIGHT("000000"&amp;230,6),LdgRankKeyB,0),"")</f>
        <v/>
      </c>
    </row>
    <row r="247">
      <c r="A247" s="17" t="n">
        <v>231</v>
      </c>
      <c r="B247" s="18">
        <f>IF(AND($N247="",$O247=""),"",IF($N247&lt;&gt;"",INDEX(PCNormDate,$N247),INDEX(LdgDateB,$O247)))</f>
        <v/>
      </c>
      <c r="C247" s="18">
        <f>IF($N247&lt;&gt;"",INDEX(PCOp,$N247),IF($O247&lt;&gt;"",IF(N(INDEX(TxnDepB,$O247))&gt;0,"دریافت بانکی","پرداخت بانکی"),""))</f>
        <v/>
      </c>
      <c r="D247" s="18">
        <f>IF($N247&lt;&gt;"",IF(INDEX(PCDoc,$N247)="","—",INDEX(PCDoc,$N247)),IF($O247&lt;&gt;"",INDEX(LdgBankB,$O247),""))</f>
        <v/>
      </c>
      <c r="E247" s="18">
        <f>IF($N247&lt;&gt;"",IF(INDEX(PCCitrus,$N247)="","—",INDEX(PCCitrus,$N247)),"")</f>
        <v/>
      </c>
      <c r="F247" s="19">
        <f>IF($N247&lt;&gt;"",IF(INDEX(PCScale,$N247)=0,"",INDEX(PCScale,$N247)),"")</f>
        <v/>
      </c>
      <c r="G247" s="19">
        <f>IF($N247&lt;&gt;"",IF(INDEX(PCBaskets,$N247)=0,"",INDEX(PCBaskets,$N247)),"")</f>
        <v/>
      </c>
      <c r="H247" s="20">
        <f>IF($N247&lt;&gt;"",IF(INDEX(PCNet,$N247)=0,"",INDEX(PCNet,$N247)),"")</f>
        <v/>
      </c>
      <c r="I247" s="19">
        <f>IF($N247&lt;&gt;"",IF(INDEX(PCOp,$N247)="مرجوعی خرید","",IF(INDEX(PCAmount,$N247)&lt;=0,"",INDEX(PCAmount,$N247))),IF($O247&lt;&gt;"",IF(INDEX(TxnDepB,$O247)=0,"",INDEX(TxnDepB,$O247)),""))</f>
        <v/>
      </c>
      <c r="J247" s="19">
        <f>IF($N247&lt;&gt;"",IF(INDEX(PCOp,$N247)="مرجوعی خرید",IF(INDEX(PCAmount,$N247)=0,"",-INDEX(PCAmount,$N247)),""),IF($O247&lt;&gt;"",IF(INDEX(TxnWitB,$O247)=0,"",INDEX(TxnWitB,$O247)),""))</f>
        <v/>
      </c>
      <c r="K247" s="21">
        <f>IF($B247="","",IF($K246="",$C$10,$K246)+IF($I247="",0,$I247)-IF($J247="",0,$J247))</f>
        <v/>
      </c>
      <c r="L247" s="22">
        <f>IF($N247&lt;&gt;"",IF(INDEX(PCNotes,$N247)="","—",INDEX(PCNotes,$N247)),IF($O247&lt;&gt;"",IF(INDEX(LdgNoteB,$O247)="","—",INDEX(LdgNoteB,$O247)),""))</f>
        <v/>
      </c>
      <c r="N247">
        <f>IFERROR(MATCH($C$5&amp;"|"&amp;RIGHT("000000"&amp;231,6),LdgRankKeyA,0),"")</f>
        <v/>
      </c>
      <c r="O247">
        <f>IFERROR(MATCH($C$5&amp;"|"&amp;RIGHT("000000"&amp;231,6),LdgRankKeyB,0),"")</f>
        <v/>
      </c>
    </row>
    <row r="248">
      <c r="A248" s="23" t="n">
        <v>232</v>
      </c>
      <c r="B248" s="24">
        <f>IF(AND($N248="",$O248=""),"",IF($N248&lt;&gt;"",INDEX(PCNormDate,$N248),INDEX(LdgDateB,$O248)))</f>
        <v/>
      </c>
      <c r="C248" s="24">
        <f>IF($N248&lt;&gt;"",INDEX(PCOp,$N248),IF($O248&lt;&gt;"",IF(N(INDEX(TxnDepB,$O248))&gt;0,"دریافت بانکی","پرداخت بانکی"),""))</f>
        <v/>
      </c>
      <c r="D248" s="24">
        <f>IF($N248&lt;&gt;"",IF(INDEX(PCDoc,$N248)="","—",INDEX(PCDoc,$N248)),IF($O248&lt;&gt;"",INDEX(LdgBankB,$O248),""))</f>
        <v/>
      </c>
      <c r="E248" s="24">
        <f>IF($N248&lt;&gt;"",IF(INDEX(PCCitrus,$N248)="","—",INDEX(PCCitrus,$N248)),"")</f>
        <v/>
      </c>
      <c r="F248" s="25">
        <f>IF($N248&lt;&gt;"",IF(INDEX(PCScale,$N248)=0,"",INDEX(PCScale,$N248)),"")</f>
        <v/>
      </c>
      <c r="G248" s="25">
        <f>IF($N248&lt;&gt;"",IF(INDEX(PCBaskets,$N248)=0,"",INDEX(PCBaskets,$N248)),"")</f>
        <v/>
      </c>
      <c r="H248" s="26">
        <f>IF($N248&lt;&gt;"",IF(INDEX(PCNet,$N248)=0,"",INDEX(PCNet,$N248)),"")</f>
        <v/>
      </c>
      <c r="I248" s="25">
        <f>IF($N248&lt;&gt;"",IF(INDEX(PCOp,$N248)="مرجوعی خرید","",IF(INDEX(PCAmount,$N248)&lt;=0,"",INDEX(PCAmount,$N248))),IF($O248&lt;&gt;"",IF(INDEX(TxnDepB,$O248)=0,"",INDEX(TxnDepB,$O248)),""))</f>
        <v/>
      </c>
      <c r="J248" s="25">
        <f>IF($N248&lt;&gt;"",IF(INDEX(PCOp,$N248)="مرجوعی خرید",IF(INDEX(PCAmount,$N248)=0,"",-INDEX(PCAmount,$N248)),""),IF($O248&lt;&gt;"",IF(INDEX(TxnWitB,$O248)=0,"",INDEX(TxnWitB,$O248)),""))</f>
        <v/>
      </c>
      <c r="K248" s="27">
        <f>IF($B248="","",IF($K247="",$C$10,$K247)+IF($I248="",0,$I248)-IF($J248="",0,$J248))</f>
        <v/>
      </c>
      <c r="L248" s="28">
        <f>IF($N248&lt;&gt;"",IF(INDEX(PCNotes,$N248)="","—",INDEX(PCNotes,$N248)),IF($O248&lt;&gt;"",IF(INDEX(LdgNoteB,$O248)="","—",INDEX(LdgNoteB,$O248)),""))</f>
        <v/>
      </c>
      <c r="N248">
        <f>IFERROR(MATCH($C$5&amp;"|"&amp;RIGHT("000000"&amp;232,6),LdgRankKeyA,0),"")</f>
        <v/>
      </c>
      <c r="O248">
        <f>IFERROR(MATCH($C$5&amp;"|"&amp;RIGHT("000000"&amp;232,6),LdgRankKeyB,0),"")</f>
        <v/>
      </c>
    </row>
    <row r="249">
      <c r="A249" s="17" t="n">
        <v>233</v>
      </c>
      <c r="B249" s="18">
        <f>IF(AND($N249="",$O249=""),"",IF($N249&lt;&gt;"",INDEX(PCNormDate,$N249),INDEX(LdgDateB,$O249)))</f>
        <v/>
      </c>
      <c r="C249" s="18">
        <f>IF($N249&lt;&gt;"",INDEX(PCOp,$N249),IF($O249&lt;&gt;"",IF(N(INDEX(TxnDepB,$O249))&gt;0,"دریافت بانکی","پرداخت بانکی"),""))</f>
        <v/>
      </c>
      <c r="D249" s="18">
        <f>IF($N249&lt;&gt;"",IF(INDEX(PCDoc,$N249)="","—",INDEX(PCDoc,$N249)),IF($O249&lt;&gt;"",INDEX(LdgBankB,$O249),""))</f>
        <v/>
      </c>
      <c r="E249" s="18">
        <f>IF($N249&lt;&gt;"",IF(INDEX(PCCitrus,$N249)="","—",INDEX(PCCitrus,$N249)),"")</f>
        <v/>
      </c>
      <c r="F249" s="19">
        <f>IF($N249&lt;&gt;"",IF(INDEX(PCScale,$N249)=0,"",INDEX(PCScale,$N249)),"")</f>
        <v/>
      </c>
      <c r="G249" s="19">
        <f>IF($N249&lt;&gt;"",IF(INDEX(PCBaskets,$N249)=0,"",INDEX(PCBaskets,$N249)),"")</f>
        <v/>
      </c>
      <c r="H249" s="20">
        <f>IF($N249&lt;&gt;"",IF(INDEX(PCNet,$N249)=0,"",INDEX(PCNet,$N249)),"")</f>
        <v/>
      </c>
      <c r="I249" s="19">
        <f>IF($N249&lt;&gt;"",IF(INDEX(PCOp,$N249)="مرجوعی خرید","",IF(INDEX(PCAmount,$N249)&lt;=0,"",INDEX(PCAmount,$N249))),IF($O249&lt;&gt;"",IF(INDEX(TxnDepB,$O249)=0,"",INDEX(TxnDepB,$O249)),""))</f>
        <v/>
      </c>
      <c r="J249" s="19">
        <f>IF($N249&lt;&gt;"",IF(INDEX(PCOp,$N249)="مرجوعی خرید",IF(INDEX(PCAmount,$N249)=0,"",-INDEX(PCAmount,$N249)),""),IF($O249&lt;&gt;"",IF(INDEX(TxnWitB,$O249)=0,"",INDEX(TxnWitB,$O249)),""))</f>
        <v/>
      </c>
      <c r="K249" s="21">
        <f>IF($B249="","",IF($K248="",$C$10,$K248)+IF($I249="",0,$I249)-IF($J249="",0,$J249))</f>
        <v/>
      </c>
      <c r="L249" s="22">
        <f>IF($N249&lt;&gt;"",IF(INDEX(PCNotes,$N249)="","—",INDEX(PCNotes,$N249)),IF($O249&lt;&gt;"",IF(INDEX(LdgNoteB,$O249)="","—",INDEX(LdgNoteB,$O249)),""))</f>
        <v/>
      </c>
      <c r="N249">
        <f>IFERROR(MATCH($C$5&amp;"|"&amp;RIGHT("000000"&amp;233,6),LdgRankKeyA,0),"")</f>
        <v/>
      </c>
      <c r="O249">
        <f>IFERROR(MATCH($C$5&amp;"|"&amp;RIGHT("000000"&amp;233,6),LdgRankKeyB,0),"")</f>
        <v/>
      </c>
    </row>
    <row r="250">
      <c r="A250" s="23" t="n">
        <v>234</v>
      </c>
      <c r="B250" s="24">
        <f>IF(AND($N250="",$O250=""),"",IF($N250&lt;&gt;"",INDEX(PCNormDate,$N250),INDEX(LdgDateB,$O250)))</f>
        <v/>
      </c>
      <c r="C250" s="24">
        <f>IF($N250&lt;&gt;"",INDEX(PCOp,$N250),IF($O250&lt;&gt;"",IF(N(INDEX(TxnDepB,$O250))&gt;0,"دریافت بانکی","پرداخت بانکی"),""))</f>
        <v/>
      </c>
      <c r="D250" s="24">
        <f>IF($N250&lt;&gt;"",IF(INDEX(PCDoc,$N250)="","—",INDEX(PCDoc,$N250)),IF($O250&lt;&gt;"",INDEX(LdgBankB,$O250),""))</f>
        <v/>
      </c>
      <c r="E250" s="24">
        <f>IF($N250&lt;&gt;"",IF(INDEX(PCCitrus,$N250)="","—",INDEX(PCCitrus,$N250)),"")</f>
        <v/>
      </c>
      <c r="F250" s="25">
        <f>IF($N250&lt;&gt;"",IF(INDEX(PCScale,$N250)=0,"",INDEX(PCScale,$N250)),"")</f>
        <v/>
      </c>
      <c r="G250" s="25">
        <f>IF($N250&lt;&gt;"",IF(INDEX(PCBaskets,$N250)=0,"",INDEX(PCBaskets,$N250)),"")</f>
        <v/>
      </c>
      <c r="H250" s="26">
        <f>IF($N250&lt;&gt;"",IF(INDEX(PCNet,$N250)=0,"",INDEX(PCNet,$N250)),"")</f>
        <v/>
      </c>
      <c r="I250" s="25">
        <f>IF($N250&lt;&gt;"",IF(INDEX(PCOp,$N250)="مرجوعی خرید","",IF(INDEX(PCAmount,$N250)&lt;=0,"",INDEX(PCAmount,$N250))),IF($O250&lt;&gt;"",IF(INDEX(TxnDepB,$O250)=0,"",INDEX(TxnDepB,$O250)),""))</f>
        <v/>
      </c>
      <c r="J250" s="25">
        <f>IF($N250&lt;&gt;"",IF(INDEX(PCOp,$N250)="مرجوعی خرید",IF(INDEX(PCAmount,$N250)=0,"",-INDEX(PCAmount,$N250)),""),IF($O250&lt;&gt;"",IF(INDEX(TxnWitB,$O250)=0,"",INDEX(TxnWitB,$O250)),""))</f>
        <v/>
      </c>
      <c r="K250" s="27">
        <f>IF($B250="","",IF($K249="",$C$10,$K249)+IF($I250="",0,$I250)-IF($J250="",0,$J250))</f>
        <v/>
      </c>
      <c r="L250" s="28">
        <f>IF($N250&lt;&gt;"",IF(INDEX(PCNotes,$N250)="","—",INDEX(PCNotes,$N250)),IF($O250&lt;&gt;"",IF(INDEX(LdgNoteB,$O250)="","—",INDEX(LdgNoteB,$O250)),""))</f>
        <v/>
      </c>
      <c r="N250">
        <f>IFERROR(MATCH($C$5&amp;"|"&amp;RIGHT("000000"&amp;234,6),LdgRankKeyA,0),"")</f>
        <v/>
      </c>
      <c r="O250">
        <f>IFERROR(MATCH($C$5&amp;"|"&amp;RIGHT("000000"&amp;234,6),LdgRankKeyB,0),"")</f>
        <v/>
      </c>
    </row>
    <row r="251">
      <c r="A251" s="17" t="n">
        <v>235</v>
      </c>
      <c r="B251" s="18">
        <f>IF(AND($N251="",$O251=""),"",IF($N251&lt;&gt;"",INDEX(PCNormDate,$N251),INDEX(LdgDateB,$O251)))</f>
        <v/>
      </c>
      <c r="C251" s="18">
        <f>IF($N251&lt;&gt;"",INDEX(PCOp,$N251),IF($O251&lt;&gt;"",IF(N(INDEX(TxnDepB,$O251))&gt;0,"دریافت بانکی","پرداخت بانکی"),""))</f>
        <v/>
      </c>
      <c r="D251" s="18">
        <f>IF($N251&lt;&gt;"",IF(INDEX(PCDoc,$N251)="","—",INDEX(PCDoc,$N251)),IF($O251&lt;&gt;"",INDEX(LdgBankB,$O251),""))</f>
        <v/>
      </c>
      <c r="E251" s="18">
        <f>IF($N251&lt;&gt;"",IF(INDEX(PCCitrus,$N251)="","—",INDEX(PCCitrus,$N251)),"")</f>
        <v/>
      </c>
      <c r="F251" s="19">
        <f>IF($N251&lt;&gt;"",IF(INDEX(PCScale,$N251)=0,"",INDEX(PCScale,$N251)),"")</f>
        <v/>
      </c>
      <c r="G251" s="19">
        <f>IF($N251&lt;&gt;"",IF(INDEX(PCBaskets,$N251)=0,"",INDEX(PCBaskets,$N251)),"")</f>
        <v/>
      </c>
      <c r="H251" s="20">
        <f>IF($N251&lt;&gt;"",IF(INDEX(PCNet,$N251)=0,"",INDEX(PCNet,$N251)),"")</f>
        <v/>
      </c>
      <c r="I251" s="19">
        <f>IF($N251&lt;&gt;"",IF(INDEX(PCOp,$N251)="مرجوعی خرید","",IF(INDEX(PCAmount,$N251)&lt;=0,"",INDEX(PCAmount,$N251))),IF($O251&lt;&gt;"",IF(INDEX(TxnDepB,$O251)=0,"",INDEX(TxnDepB,$O251)),""))</f>
        <v/>
      </c>
      <c r="J251" s="19">
        <f>IF($N251&lt;&gt;"",IF(INDEX(PCOp,$N251)="مرجوعی خرید",IF(INDEX(PCAmount,$N251)=0,"",-INDEX(PCAmount,$N251)),""),IF($O251&lt;&gt;"",IF(INDEX(TxnWitB,$O251)=0,"",INDEX(TxnWitB,$O251)),""))</f>
        <v/>
      </c>
      <c r="K251" s="21">
        <f>IF($B251="","",IF($K250="",$C$10,$K250)+IF($I251="",0,$I251)-IF($J251="",0,$J251))</f>
        <v/>
      </c>
      <c r="L251" s="22">
        <f>IF($N251&lt;&gt;"",IF(INDEX(PCNotes,$N251)="","—",INDEX(PCNotes,$N251)),IF($O251&lt;&gt;"",IF(INDEX(LdgNoteB,$O251)="","—",INDEX(LdgNoteB,$O251)),""))</f>
        <v/>
      </c>
      <c r="N251">
        <f>IFERROR(MATCH($C$5&amp;"|"&amp;RIGHT("000000"&amp;235,6),LdgRankKeyA,0),"")</f>
        <v/>
      </c>
      <c r="O251">
        <f>IFERROR(MATCH($C$5&amp;"|"&amp;RIGHT("000000"&amp;235,6),LdgRankKeyB,0),"")</f>
        <v/>
      </c>
    </row>
    <row r="252">
      <c r="A252" s="23" t="n">
        <v>236</v>
      </c>
      <c r="B252" s="24">
        <f>IF(AND($N252="",$O252=""),"",IF($N252&lt;&gt;"",INDEX(PCNormDate,$N252),INDEX(LdgDateB,$O252)))</f>
        <v/>
      </c>
      <c r="C252" s="24">
        <f>IF($N252&lt;&gt;"",INDEX(PCOp,$N252),IF($O252&lt;&gt;"",IF(N(INDEX(TxnDepB,$O252))&gt;0,"دریافت بانکی","پرداخت بانکی"),""))</f>
        <v/>
      </c>
      <c r="D252" s="24">
        <f>IF($N252&lt;&gt;"",IF(INDEX(PCDoc,$N252)="","—",INDEX(PCDoc,$N252)),IF($O252&lt;&gt;"",INDEX(LdgBankB,$O252),""))</f>
        <v/>
      </c>
      <c r="E252" s="24">
        <f>IF($N252&lt;&gt;"",IF(INDEX(PCCitrus,$N252)="","—",INDEX(PCCitrus,$N252)),"")</f>
        <v/>
      </c>
      <c r="F252" s="25">
        <f>IF($N252&lt;&gt;"",IF(INDEX(PCScale,$N252)=0,"",INDEX(PCScale,$N252)),"")</f>
        <v/>
      </c>
      <c r="G252" s="25">
        <f>IF($N252&lt;&gt;"",IF(INDEX(PCBaskets,$N252)=0,"",INDEX(PCBaskets,$N252)),"")</f>
        <v/>
      </c>
      <c r="H252" s="26">
        <f>IF($N252&lt;&gt;"",IF(INDEX(PCNet,$N252)=0,"",INDEX(PCNet,$N252)),"")</f>
        <v/>
      </c>
      <c r="I252" s="25">
        <f>IF($N252&lt;&gt;"",IF(INDEX(PCOp,$N252)="مرجوعی خرید","",IF(INDEX(PCAmount,$N252)&lt;=0,"",INDEX(PCAmount,$N252))),IF($O252&lt;&gt;"",IF(INDEX(TxnDepB,$O252)=0,"",INDEX(TxnDepB,$O252)),""))</f>
        <v/>
      </c>
      <c r="J252" s="25">
        <f>IF($N252&lt;&gt;"",IF(INDEX(PCOp,$N252)="مرجوعی خرید",IF(INDEX(PCAmount,$N252)=0,"",-INDEX(PCAmount,$N252)),""),IF($O252&lt;&gt;"",IF(INDEX(TxnWitB,$O252)=0,"",INDEX(TxnWitB,$O252)),""))</f>
        <v/>
      </c>
      <c r="K252" s="27">
        <f>IF($B252="","",IF($K251="",$C$10,$K251)+IF($I252="",0,$I252)-IF($J252="",0,$J252))</f>
        <v/>
      </c>
      <c r="L252" s="28">
        <f>IF($N252&lt;&gt;"",IF(INDEX(PCNotes,$N252)="","—",INDEX(PCNotes,$N252)),IF($O252&lt;&gt;"",IF(INDEX(LdgNoteB,$O252)="","—",INDEX(LdgNoteB,$O252)),""))</f>
        <v/>
      </c>
      <c r="N252">
        <f>IFERROR(MATCH($C$5&amp;"|"&amp;RIGHT("000000"&amp;236,6),LdgRankKeyA,0),"")</f>
        <v/>
      </c>
      <c r="O252">
        <f>IFERROR(MATCH($C$5&amp;"|"&amp;RIGHT("000000"&amp;236,6),LdgRankKeyB,0),"")</f>
        <v/>
      </c>
    </row>
    <row r="253">
      <c r="A253" s="17" t="n">
        <v>237</v>
      </c>
      <c r="B253" s="18">
        <f>IF(AND($N253="",$O253=""),"",IF($N253&lt;&gt;"",INDEX(PCNormDate,$N253),INDEX(LdgDateB,$O253)))</f>
        <v/>
      </c>
      <c r="C253" s="18">
        <f>IF($N253&lt;&gt;"",INDEX(PCOp,$N253),IF($O253&lt;&gt;"",IF(N(INDEX(TxnDepB,$O253))&gt;0,"دریافت بانکی","پرداخت بانکی"),""))</f>
        <v/>
      </c>
      <c r="D253" s="18">
        <f>IF($N253&lt;&gt;"",IF(INDEX(PCDoc,$N253)="","—",INDEX(PCDoc,$N253)),IF($O253&lt;&gt;"",INDEX(LdgBankB,$O253),""))</f>
        <v/>
      </c>
      <c r="E253" s="18">
        <f>IF($N253&lt;&gt;"",IF(INDEX(PCCitrus,$N253)="","—",INDEX(PCCitrus,$N253)),"")</f>
        <v/>
      </c>
      <c r="F253" s="19">
        <f>IF($N253&lt;&gt;"",IF(INDEX(PCScale,$N253)=0,"",INDEX(PCScale,$N253)),"")</f>
        <v/>
      </c>
      <c r="G253" s="19">
        <f>IF($N253&lt;&gt;"",IF(INDEX(PCBaskets,$N253)=0,"",INDEX(PCBaskets,$N253)),"")</f>
        <v/>
      </c>
      <c r="H253" s="20">
        <f>IF($N253&lt;&gt;"",IF(INDEX(PCNet,$N253)=0,"",INDEX(PCNet,$N253)),"")</f>
        <v/>
      </c>
      <c r="I253" s="19">
        <f>IF($N253&lt;&gt;"",IF(INDEX(PCOp,$N253)="مرجوعی خرید","",IF(INDEX(PCAmount,$N253)&lt;=0,"",INDEX(PCAmount,$N253))),IF($O253&lt;&gt;"",IF(INDEX(TxnDepB,$O253)=0,"",INDEX(TxnDepB,$O253)),""))</f>
        <v/>
      </c>
      <c r="J253" s="19">
        <f>IF($N253&lt;&gt;"",IF(INDEX(PCOp,$N253)="مرجوعی خرید",IF(INDEX(PCAmount,$N253)=0,"",-INDEX(PCAmount,$N253)),""),IF($O253&lt;&gt;"",IF(INDEX(TxnWitB,$O253)=0,"",INDEX(TxnWitB,$O253)),""))</f>
        <v/>
      </c>
      <c r="K253" s="21">
        <f>IF($B253="","",IF($K252="",$C$10,$K252)+IF($I253="",0,$I253)-IF($J253="",0,$J253))</f>
        <v/>
      </c>
      <c r="L253" s="22">
        <f>IF($N253&lt;&gt;"",IF(INDEX(PCNotes,$N253)="","—",INDEX(PCNotes,$N253)),IF($O253&lt;&gt;"",IF(INDEX(LdgNoteB,$O253)="","—",INDEX(LdgNoteB,$O253)),""))</f>
        <v/>
      </c>
      <c r="N253">
        <f>IFERROR(MATCH($C$5&amp;"|"&amp;RIGHT("000000"&amp;237,6),LdgRankKeyA,0),"")</f>
        <v/>
      </c>
      <c r="O253">
        <f>IFERROR(MATCH($C$5&amp;"|"&amp;RIGHT("000000"&amp;237,6),LdgRankKeyB,0),"")</f>
        <v/>
      </c>
    </row>
    <row r="254">
      <c r="A254" s="23" t="n">
        <v>238</v>
      </c>
      <c r="B254" s="24">
        <f>IF(AND($N254="",$O254=""),"",IF($N254&lt;&gt;"",INDEX(PCNormDate,$N254),INDEX(LdgDateB,$O254)))</f>
        <v/>
      </c>
      <c r="C254" s="24">
        <f>IF($N254&lt;&gt;"",INDEX(PCOp,$N254),IF($O254&lt;&gt;"",IF(N(INDEX(TxnDepB,$O254))&gt;0,"دریافت بانکی","پرداخت بانکی"),""))</f>
        <v/>
      </c>
      <c r="D254" s="24">
        <f>IF($N254&lt;&gt;"",IF(INDEX(PCDoc,$N254)="","—",INDEX(PCDoc,$N254)),IF($O254&lt;&gt;"",INDEX(LdgBankB,$O254),""))</f>
        <v/>
      </c>
      <c r="E254" s="24">
        <f>IF($N254&lt;&gt;"",IF(INDEX(PCCitrus,$N254)="","—",INDEX(PCCitrus,$N254)),"")</f>
        <v/>
      </c>
      <c r="F254" s="25">
        <f>IF($N254&lt;&gt;"",IF(INDEX(PCScale,$N254)=0,"",INDEX(PCScale,$N254)),"")</f>
        <v/>
      </c>
      <c r="G254" s="25">
        <f>IF($N254&lt;&gt;"",IF(INDEX(PCBaskets,$N254)=0,"",INDEX(PCBaskets,$N254)),"")</f>
        <v/>
      </c>
      <c r="H254" s="26">
        <f>IF($N254&lt;&gt;"",IF(INDEX(PCNet,$N254)=0,"",INDEX(PCNet,$N254)),"")</f>
        <v/>
      </c>
      <c r="I254" s="25">
        <f>IF($N254&lt;&gt;"",IF(INDEX(PCOp,$N254)="مرجوعی خرید","",IF(INDEX(PCAmount,$N254)&lt;=0,"",INDEX(PCAmount,$N254))),IF($O254&lt;&gt;"",IF(INDEX(TxnDepB,$O254)=0,"",INDEX(TxnDepB,$O254)),""))</f>
        <v/>
      </c>
      <c r="J254" s="25">
        <f>IF($N254&lt;&gt;"",IF(INDEX(PCOp,$N254)="مرجوعی خرید",IF(INDEX(PCAmount,$N254)=0,"",-INDEX(PCAmount,$N254)),""),IF($O254&lt;&gt;"",IF(INDEX(TxnWitB,$O254)=0,"",INDEX(TxnWitB,$O254)),""))</f>
        <v/>
      </c>
      <c r="K254" s="27">
        <f>IF($B254="","",IF($K253="",$C$10,$K253)+IF($I254="",0,$I254)-IF($J254="",0,$J254))</f>
        <v/>
      </c>
      <c r="L254" s="28">
        <f>IF($N254&lt;&gt;"",IF(INDEX(PCNotes,$N254)="","—",INDEX(PCNotes,$N254)),IF($O254&lt;&gt;"",IF(INDEX(LdgNoteB,$O254)="","—",INDEX(LdgNoteB,$O254)),""))</f>
        <v/>
      </c>
      <c r="N254">
        <f>IFERROR(MATCH($C$5&amp;"|"&amp;RIGHT("000000"&amp;238,6),LdgRankKeyA,0),"")</f>
        <v/>
      </c>
      <c r="O254">
        <f>IFERROR(MATCH($C$5&amp;"|"&amp;RIGHT("000000"&amp;238,6),LdgRankKeyB,0),"")</f>
        <v/>
      </c>
    </row>
    <row r="255">
      <c r="A255" s="17" t="n">
        <v>239</v>
      </c>
      <c r="B255" s="18">
        <f>IF(AND($N255="",$O255=""),"",IF($N255&lt;&gt;"",INDEX(PCNormDate,$N255),INDEX(LdgDateB,$O255)))</f>
        <v/>
      </c>
      <c r="C255" s="18">
        <f>IF($N255&lt;&gt;"",INDEX(PCOp,$N255),IF($O255&lt;&gt;"",IF(N(INDEX(TxnDepB,$O255))&gt;0,"دریافت بانکی","پرداخت بانکی"),""))</f>
        <v/>
      </c>
      <c r="D255" s="18">
        <f>IF($N255&lt;&gt;"",IF(INDEX(PCDoc,$N255)="","—",INDEX(PCDoc,$N255)),IF($O255&lt;&gt;"",INDEX(LdgBankB,$O255),""))</f>
        <v/>
      </c>
      <c r="E255" s="18">
        <f>IF($N255&lt;&gt;"",IF(INDEX(PCCitrus,$N255)="","—",INDEX(PCCitrus,$N255)),"")</f>
        <v/>
      </c>
      <c r="F255" s="19">
        <f>IF($N255&lt;&gt;"",IF(INDEX(PCScale,$N255)=0,"",INDEX(PCScale,$N255)),"")</f>
        <v/>
      </c>
      <c r="G255" s="19">
        <f>IF($N255&lt;&gt;"",IF(INDEX(PCBaskets,$N255)=0,"",INDEX(PCBaskets,$N255)),"")</f>
        <v/>
      </c>
      <c r="H255" s="20">
        <f>IF($N255&lt;&gt;"",IF(INDEX(PCNet,$N255)=0,"",INDEX(PCNet,$N255)),"")</f>
        <v/>
      </c>
      <c r="I255" s="19">
        <f>IF($N255&lt;&gt;"",IF(INDEX(PCOp,$N255)="مرجوعی خرید","",IF(INDEX(PCAmount,$N255)&lt;=0,"",INDEX(PCAmount,$N255))),IF($O255&lt;&gt;"",IF(INDEX(TxnDepB,$O255)=0,"",INDEX(TxnDepB,$O255)),""))</f>
        <v/>
      </c>
      <c r="J255" s="19">
        <f>IF($N255&lt;&gt;"",IF(INDEX(PCOp,$N255)="مرجوعی خرید",IF(INDEX(PCAmount,$N255)=0,"",-INDEX(PCAmount,$N255)),""),IF($O255&lt;&gt;"",IF(INDEX(TxnWitB,$O255)=0,"",INDEX(TxnWitB,$O255)),""))</f>
        <v/>
      </c>
      <c r="K255" s="21">
        <f>IF($B255="","",IF($K254="",$C$10,$K254)+IF($I255="",0,$I255)-IF($J255="",0,$J255))</f>
        <v/>
      </c>
      <c r="L255" s="22">
        <f>IF($N255&lt;&gt;"",IF(INDEX(PCNotes,$N255)="","—",INDEX(PCNotes,$N255)),IF($O255&lt;&gt;"",IF(INDEX(LdgNoteB,$O255)="","—",INDEX(LdgNoteB,$O255)),""))</f>
        <v/>
      </c>
      <c r="N255">
        <f>IFERROR(MATCH($C$5&amp;"|"&amp;RIGHT("000000"&amp;239,6),LdgRankKeyA,0),"")</f>
        <v/>
      </c>
      <c r="O255">
        <f>IFERROR(MATCH($C$5&amp;"|"&amp;RIGHT("000000"&amp;239,6),LdgRankKeyB,0),"")</f>
        <v/>
      </c>
    </row>
    <row r="256">
      <c r="A256" s="23" t="n">
        <v>240</v>
      </c>
      <c r="B256" s="24">
        <f>IF(AND($N256="",$O256=""),"",IF($N256&lt;&gt;"",INDEX(PCNormDate,$N256),INDEX(LdgDateB,$O256)))</f>
        <v/>
      </c>
      <c r="C256" s="24">
        <f>IF($N256&lt;&gt;"",INDEX(PCOp,$N256),IF($O256&lt;&gt;"",IF(N(INDEX(TxnDepB,$O256))&gt;0,"دریافت بانکی","پرداخت بانکی"),""))</f>
        <v/>
      </c>
      <c r="D256" s="24">
        <f>IF($N256&lt;&gt;"",IF(INDEX(PCDoc,$N256)="","—",INDEX(PCDoc,$N256)),IF($O256&lt;&gt;"",INDEX(LdgBankB,$O256),""))</f>
        <v/>
      </c>
      <c r="E256" s="24">
        <f>IF($N256&lt;&gt;"",IF(INDEX(PCCitrus,$N256)="","—",INDEX(PCCitrus,$N256)),"")</f>
        <v/>
      </c>
      <c r="F256" s="25">
        <f>IF($N256&lt;&gt;"",IF(INDEX(PCScale,$N256)=0,"",INDEX(PCScale,$N256)),"")</f>
        <v/>
      </c>
      <c r="G256" s="25">
        <f>IF($N256&lt;&gt;"",IF(INDEX(PCBaskets,$N256)=0,"",INDEX(PCBaskets,$N256)),"")</f>
        <v/>
      </c>
      <c r="H256" s="26">
        <f>IF($N256&lt;&gt;"",IF(INDEX(PCNet,$N256)=0,"",INDEX(PCNet,$N256)),"")</f>
        <v/>
      </c>
      <c r="I256" s="25">
        <f>IF($N256&lt;&gt;"",IF(INDEX(PCOp,$N256)="مرجوعی خرید","",IF(INDEX(PCAmount,$N256)&lt;=0,"",INDEX(PCAmount,$N256))),IF($O256&lt;&gt;"",IF(INDEX(TxnDepB,$O256)=0,"",INDEX(TxnDepB,$O256)),""))</f>
        <v/>
      </c>
      <c r="J256" s="25">
        <f>IF($N256&lt;&gt;"",IF(INDEX(PCOp,$N256)="مرجوعی خرید",IF(INDEX(PCAmount,$N256)=0,"",-INDEX(PCAmount,$N256)),""),IF($O256&lt;&gt;"",IF(INDEX(TxnWitB,$O256)=0,"",INDEX(TxnWitB,$O256)),""))</f>
        <v/>
      </c>
      <c r="K256" s="27">
        <f>IF($B256="","",IF($K255="",$C$10,$K255)+IF($I256="",0,$I256)-IF($J256="",0,$J256))</f>
        <v/>
      </c>
      <c r="L256" s="28">
        <f>IF($N256&lt;&gt;"",IF(INDEX(PCNotes,$N256)="","—",INDEX(PCNotes,$N256)),IF($O256&lt;&gt;"",IF(INDEX(LdgNoteB,$O256)="","—",INDEX(LdgNoteB,$O256)),""))</f>
        <v/>
      </c>
      <c r="N256">
        <f>IFERROR(MATCH($C$5&amp;"|"&amp;RIGHT("000000"&amp;240,6),LdgRankKeyA,0),"")</f>
        <v/>
      </c>
      <c r="O256">
        <f>IFERROR(MATCH($C$5&amp;"|"&amp;RIGHT("000000"&amp;240,6),LdgRankKeyB,0),"")</f>
        <v/>
      </c>
    </row>
    <row r="257">
      <c r="A257" s="17" t="n">
        <v>241</v>
      </c>
      <c r="B257" s="18">
        <f>IF(AND($N257="",$O257=""),"",IF($N257&lt;&gt;"",INDEX(PCNormDate,$N257),INDEX(LdgDateB,$O257)))</f>
        <v/>
      </c>
      <c r="C257" s="18">
        <f>IF($N257&lt;&gt;"",INDEX(PCOp,$N257),IF($O257&lt;&gt;"",IF(N(INDEX(TxnDepB,$O257))&gt;0,"دریافت بانکی","پرداخت بانکی"),""))</f>
        <v/>
      </c>
      <c r="D257" s="18">
        <f>IF($N257&lt;&gt;"",IF(INDEX(PCDoc,$N257)="","—",INDEX(PCDoc,$N257)),IF($O257&lt;&gt;"",INDEX(LdgBankB,$O257),""))</f>
        <v/>
      </c>
      <c r="E257" s="18">
        <f>IF($N257&lt;&gt;"",IF(INDEX(PCCitrus,$N257)="","—",INDEX(PCCitrus,$N257)),"")</f>
        <v/>
      </c>
      <c r="F257" s="19">
        <f>IF($N257&lt;&gt;"",IF(INDEX(PCScale,$N257)=0,"",INDEX(PCScale,$N257)),"")</f>
        <v/>
      </c>
      <c r="G257" s="19">
        <f>IF($N257&lt;&gt;"",IF(INDEX(PCBaskets,$N257)=0,"",INDEX(PCBaskets,$N257)),"")</f>
        <v/>
      </c>
      <c r="H257" s="20">
        <f>IF($N257&lt;&gt;"",IF(INDEX(PCNet,$N257)=0,"",INDEX(PCNet,$N257)),"")</f>
        <v/>
      </c>
      <c r="I257" s="19">
        <f>IF($N257&lt;&gt;"",IF(INDEX(PCOp,$N257)="مرجوعی خرید","",IF(INDEX(PCAmount,$N257)&lt;=0,"",INDEX(PCAmount,$N257))),IF($O257&lt;&gt;"",IF(INDEX(TxnDepB,$O257)=0,"",INDEX(TxnDepB,$O257)),""))</f>
        <v/>
      </c>
      <c r="J257" s="19">
        <f>IF($N257&lt;&gt;"",IF(INDEX(PCOp,$N257)="مرجوعی خرید",IF(INDEX(PCAmount,$N257)=0,"",-INDEX(PCAmount,$N257)),""),IF($O257&lt;&gt;"",IF(INDEX(TxnWitB,$O257)=0,"",INDEX(TxnWitB,$O257)),""))</f>
        <v/>
      </c>
      <c r="K257" s="21">
        <f>IF($B257="","",IF($K256="",$C$10,$K256)+IF($I257="",0,$I257)-IF($J257="",0,$J257))</f>
        <v/>
      </c>
      <c r="L257" s="22">
        <f>IF($N257&lt;&gt;"",IF(INDEX(PCNotes,$N257)="","—",INDEX(PCNotes,$N257)),IF($O257&lt;&gt;"",IF(INDEX(LdgNoteB,$O257)="","—",INDEX(LdgNoteB,$O257)),""))</f>
        <v/>
      </c>
      <c r="N257">
        <f>IFERROR(MATCH($C$5&amp;"|"&amp;RIGHT("000000"&amp;241,6),LdgRankKeyA,0),"")</f>
        <v/>
      </c>
      <c r="O257">
        <f>IFERROR(MATCH($C$5&amp;"|"&amp;RIGHT("000000"&amp;241,6),LdgRankKeyB,0),"")</f>
        <v/>
      </c>
    </row>
    <row r="258">
      <c r="A258" s="23" t="n">
        <v>242</v>
      </c>
      <c r="B258" s="24">
        <f>IF(AND($N258="",$O258=""),"",IF($N258&lt;&gt;"",INDEX(PCNormDate,$N258),INDEX(LdgDateB,$O258)))</f>
        <v/>
      </c>
      <c r="C258" s="24">
        <f>IF($N258&lt;&gt;"",INDEX(PCOp,$N258),IF($O258&lt;&gt;"",IF(N(INDEX(TxnDepB,$O258))&gt;0,"دریافت بانکی","پرداخت بانکی"),""))</f>
        <v/>
      </c>
      <c r="D258" s="24">
        <f>IF($N258&lt;&gt;"",IF(INDEX(PCDoc,$N258)="","—",INDEX(PCDoc,$N258)),IF($O258&lt;&gt;"",INDEX(LdgBankB,$O258),""))</f>
        <v/>
      </c>
      <c r="E258" s="24">
        <f>IF($N258&lt;&gt;"",IF(INDEX(PCCitrus,$N258)="","—",INDEX(PCCitrus,$N258)),"")</f>
        <v/>
      </c>
      <c r="F258" s="25">
        <f>IF($N258&lt;&gt;"",IF(INDEX(PCScale,$N258)=0,"",INDEX(PCScale,$N258)),"")</f>
        <v/>
      </c>
      <c r="G258" s="25">
        <f>IF($N258&lt;&gt;"",IF(INDEX(PCBaskets,$N258)=0,"",INDEX(PCBaskets,$N258)),"")</f>
        <v/>
      </c>
      <c r="H258" s="26">
        <f>IF($N258&lt;&gt;"",IF(INDEX(PCNet,$N258)=0,"",INDEX(PCNet,$N258)),"")</f>
        <v/>
      </c>
      <c r="I258" s="25">
        <f>IF($N258&lt;&gt;"",IF(INDEX(PCOp,$N258)="مرجوعی خرید","",IF(INDEX(PCAmount,$N258)&lt;=0,"",INDEX(PCAmount,$N258))),IF($O258&lt;&gt;"",IF(INDEX(TxnDepB,$O258)=0,"",INDEX(TxnDepB,$O258)),""))</f>
        <v/>
      </c>
      <c r="J258" s="25">
        <f>IF($N258&lt;&gt;"",IF(INDEX(PCOp,$N258)="مرجوعی خرید",IF(INDEX(PCAmount,$N258)=0,"",-INDEX(PCAmount,$N258)),""),IF($O258&lt;&gt;"",IF(INDEX(TxnWitB,$O258)=0,"",INDEX(TxnWitB,$O258)),""))</f>
        <v/>
      </c>
      <c r="K258" s="27">
        <f>IF($B258="","",IF($K257="",$C$10,$K257)+IF($I258="",0,$I258)-IF($J258="",0,$J258))</f>
        <v/>
      </c>
      <c r="L258" s="28">
        <f>IF($N258&lt;&gt;"",IF(INDEX(PCNotes,$N258)="","—",INDEX(PCNotes,$N258)),IF($O258&lt;&gt;"",IF(INDEX(LdgNoteB,$O258)="","—",INDEX(LdgNoteB,$O258)),""))</f>
        <v/>
      </c>
      <c r="N258">
        <f>IFERROR(MATCH($C$5&amp;"|"&amp;RIGHT("000000"&amp;242,6),LdgRankKeyA,0),"")</f>
        <v/>
      </c>
      <c r="O258">
        <f>IFERROR(MATCH($C$5&amp;"|"&amp;RIGHT("000000"&amp;242,6),LdgRankKeyB,0),"")</f>
        <v/>
      </c>
    </row>
    <row r="259">
      <c r="A259" s="17" t="n">
        <v>243</v>
      </c>
      <c r="B259" s="18">
        <f>IF(AND($N259="",$O259=""),"",IF($N259&lt;&gt;"",INDEX(PCNormDate,$N259),INDEX(LdgDateB,$O259)))</f>
        <v/>
      </c>
      <c r="C259" s="18">
        <f>IF($N259&lt;&gt;"",INDEX(PCOp,$N259),IF($O259&lt;&gt;"",IF(N(INDEX(TxnDepB,$O259))&gt;0,"دریافت بانکی","پرداخت بانکی"),""))</f>
        <v/>
      </c>
      <c r="D259" s="18">
        <f>IF($N259&lt;&gt;"",IF(INDEX(PCDoc,$N259)="","—",INDEX(PCDoc,$N259)),IF($O259&lt;&gt;"",INDEX(LdgBankB,$O259),""))</f>
        <v/>
      </c>
      <c r="E259" s="18">
        <f>IF($N259&lt;&gt;"",IF(INDEX(PCCitrus,$N259)="","—",INDEX(PCCitrus,$N259)),"")</f>
        <v/>
      </c>
      <c r="F259" s="19">
        <f>IF($N259&lt;&gt;"",IF(INDEX(PCScale,$N259)=0,"",INDEX(PCScale,$N259)),"")</f>
        <v/>
      </c>
      <c r="G259" s="19">
        <f>IF($N259&lt;&gt;"",IF(INDEX(PCBaskets,$N259)=0,"",INDEX(PCBaskets,$N259)),"")</f>
        <v/>
      </c>
      <c r="H259" s="20">
        <f>IF($N259&lt;&gt;"",IF(INDEX(PCNet,$N259)=0,"",INDEX(PCNet,$N259)),"")</f>
        <v/>
      </c>
      <c r="I259" s="19">
        <f>IF($N259&lt;&gt;"",IF(INDEX(PCOp,$N259)="مرجوعی خرید","",IF(INDEX(PCAmount,$N259)&lt;=0,"",INDEX(PCAmount,$N259))),IF($O259&lt;&gt;"",IF(INDEX(TxnDepB,$O259)=0,"",INDEX(TxnDepB,$O259)),""))</f>
        <v/>
      </c>
      <c r="J259" s="19">
        <f>IF($N259&lt;&gt;"",IF(INDEX(PCOp,$N259)="مرجوعی خرید",IF(INDEX(PCAmount,$N259)=0,"",-INDEX(PCAmount,$N259)),""),IF($O259&lt;&gt;"",IF(INDEX(TxnWitB,$O259)=0,"",INDEX(TxnWitB,$O259)),""))</f>
        <v/>
      </c>
      <c r="K259" s="21">
        <f>IF($B259="","",IF($K258="",$C$10,$K258)+IF($I259="",0,$I259)-IF($J259="",0,$J259))</f>
        <v/>
      </c>
      <c r="L259" s="22">
        <f>IF($N259&lt;&gt;"",IF(INDEX(PCNotes,$N259)="","—",INDEX(PCNotes,$N259)),IF($O259&lt;&gt;"",IF(INDEX(LdgNoteB,$O259)="","—",INDEX(LdgNoteB,$O259)),""))</f>
        <v/>
      </c>
      <c r="N259">
        <f>IFERROR(MATCH($C$5&amp;"|"&amp;RIGHT("000000"&amp;243,6),LdgRankKeyA,0),"")</f>
        <v/>
      </c>
      <c r="O259">
        <f>IFERROR(MATCH($C$5&amp;"|"&amp;RIGHT("000000"&amp;243,6),LdgRankKeyB,0),"")</f>
        <v/>
      </c>
    </row>
    <row r="260">
      <c r="A260" s="23" t="n">
        <v>244</v>
      </c>
      <c r="B260" s="24">
        <f>IF(AND($N260="",$O260=""),"",IF($N260&lt;&gt;"",INDEX(PCNormDate,$N260),INDEX(LdgDateB,$O260)))</f>
        <v/>
      </c>
      <c r="C260" s="24">
        <f>IF($N260&lt;&gt;"",INDEX(PCOp,$N260),IF($O260&lt;&gt;"",IF(N(INDEX(TxnDepB,$O260))&gt;0,"دریافت بانکی","پرداخت بانکی"),""))</f>
        <v/>
      </c>
      <c r="D260" s="24">
        <f>IF($N260&lt;&gt;"",IF(INDEX(PCDoc,$N260)="","—",INDEX(PCDoc,$N260)),IF($O260&lt;&gt;"",INDEX(LdgBankB,$O260),""))</f>
        <v/>
      </c>
      <c r="E260" s="24">
        <f>IF($N260&lt;&gt;"",IF(INDEX(PCCitrus,$N260)="","—",INDEX(PCCitrus,$N260)),"")</f>
        <v/>
      </c>
      <c r="F260" s="25">
        <f>IF($N260&lt;&gt;"",IF(INDEX(PCScale,$N260)=0,"",INDEX(PCScale,$N260)),"")</f>
        <v/>
      </c>
      <c r="G260" s="25">
        <f>IF($N260&lt;&gt;"",IF(INDEX(PCBaskets,$N260)=0,"",INDEX(PCBaskets,$N260)),"")</f>
        <v/>
      </c>
      <c r="H260" s="26">
        <f>IF($N260&lt;&gt;"",IF(INDEX(PCNet,$N260)=0,"",INDEX(PCNet,$N260)),"")</f>
        <v/>
      </c>
      <c r="I260" s="25">
        <f>IF($N260&lt;&gt;"",IF(INDEX(PCOp,$N260)="مرجوعی خرید","",IF(INDEX(PCAmount,$N260)&lt;=0,"",INDEX(PCAmount,$N260))),IF($O260&lt;&gt;"",IF(INDEX(TxnDepB,$O260)=0,"",INDEX(TxnDepB,$O260)),""))</f>
        <v/>
      </c>
      <c r="J260" s="25">
        <f>IF($N260&lt;&gt;"",IF(INDEX(PCOp,$N260)="مرجوعی خرید",IF(INDEX(PCAmount,$N260)=0,"",-INDEX(PCAmount,$N260)),""),IF($O260&lt;&gt;"",IF(INDEX(TxnWitB,$O260)=0,"",INDEX(TxnWitB,$O260)),""))</f>
        <v/>
      </c>
      <c r="K260" s="27">
        <f>IF($B260="","",IF($K259="",$C$10,$K259)+IF($I260="",0,$I260)-IF($J260="",0,$J260))</f>
        <v/>
      </c>
      <c r="L260" s="28">
        <f>IF($N260&lt;&gt;"",IF(INDEX(PCNotes,$N260)="","—",INDEX(PCNotes,$N260)),IF($O260&lt;&gt;"",IF(INDEX(LdgNoteB,$O260)="","—",INDEX(LdgNoteB,$O260)),""))</f>
        <v/>
      </c>
      <c r="N260">
        <f>IFERROR(MATCH($C$5&amp;"|"&amp;RIGHT("000000"&amp;244,6),LdgRankKeyA,0),"")</f>
        <v/>
      </c>
      <c r="O260">
        <f>IFERROR(MATCH($C$5&amp;"|"&amp;RIGHT("000000"&amp;244,6),LdgRankKeyB,0),"")</f>
        <v/>
      </c>
    </row>
    <row r="261">
      <c r="A261" s="17" t="n">
        <v>245</v>
      </c>
      <c r="B261" s="18">
        <f>IF(AND($N261="",$O261=""),"",IF($N261&lt;&gt;"",INDEX(PCNormDate,$N261),INDEX(LdgDateB,$O261)))</f>
        <v/>
      </c>
      <c r="C261" s="18">
        <f>IF($N261&lt;&gt;"",INDEX(PCOp,$N261),IF($O261&lt;&gt;"",IF(N(INDEX(TxnDepB,$O261))&gt;0,"دریافت بانکی","پرداخت بانکی"),""))</f>
        <v/>
      </c>
      <c r="D261" s="18">
        <f>IF($N261&lt;&gt;"",IF(INDEX(PCDoc,$N261)="","—",INDEX(PCDoc,$N261)),IF($O261&lt;&gt;"",INDEX(LdgBankB,$O261),""))</f>
        <v/>
      </c>
      <c r="E261" s="18">
        <f>IF($N261&lt;&gt;"",IF(INDEX(PCCitrus,$N261)="","—",INDEX(PCCitrus,$N261)),"")</f>
        <v/>
      </c>
      <c r="F261" s="19">
        <f>IF($N261&lt;&gt;"",IF(INDEX(PCScale,$N261)=0,"",INDEX(PCScale,$N261)),"")</f>
        <v/>
      </c>
      <c r="G261" s="19">
        <f>IF($N261&lt;&gt;"",IF(INDEX(PCBaskets,$N261)=0,"",INDEX(PCBaskets,$N261)),"")</f>
        <v/>
      </c>
      <c r="H261" s="20">
        <f>IF($N261&lt;&gt;"",IF(INDEX(PCNet,$N261)=0,"",INDEX(PCNet,$N261)),"")</f>
        <v/>
      </c>
      <c r="I261" s="19">
        <f>IF($N261&lt;&gt;"",IF(INDEX(PCOp,$N261)="مرجوعی خرید","",IF(INDEX(PCAmount,$N261)&lt;=0,"",INDEX(PCAmount,$N261))),IF($O261&lt;&gt;"",IF(INDEX(TxnDepB,$O261)=0,"",INDEX(TxnDepB,$O261)),""))</f>
        <v/>
      </c>
      <c r="J261" s="19">
        <f>IF($N261&lt;&gt;"",IF(INDEX(PCOp,$N261)="مرجوعی خرید",IF(INDEX(PCAmount,$N261)=0,"",-INDEX(PCAmount,$N261)),""),IF($O261&lt;&gt;"",IF(INDEX(TxnWitB,$O261)=0,"",INDEX(TxnWitB,$O261)),""))</f>
        <v/>
      </c>
      <c r="K261" s="21">
        <f>IF($B261="","",IF($K260="",$C$10,$K260)+IF($I261="",0,$I261)-IF($J261="",0,$J261))</f>
        <v/>
      </c>
      <c r="L261" s="22">
        <f>IF($N261&lt;&gt;"",IF(INDEX(PCNotes,$N261)="","—",INDEX(PCNotes,$N261)),IF($O261&lt;&gt;"",IF(INDEX(LdgNoteB,$O261)="","—",INDEX(LdgNoteB,$O261)),""))</f>
        <v/>
      </c>
      <c r="N261">
        <f>IFERROR(MATCH($C$5&amp;"|"&amp;RIGHT("000000"&amp;245,6),LdgRankKeyA,0),"")</f>
        <v/>
      </c>
      <c r="O261">
        <f>IFERROR(MATCH($C$5&amp;"|"&amp;RIGHT("000000"&amp;245,6),LdgRankKeyB,0),"")</f>
        <v/>
      </c>
    </row>
    <row r="262">
      <c r="A262" s="23" t="n">
        <v>246</v>
      </c>
      <c r="B262" s="24">
        <f>IF(AND($N262="",$O262=""),"",IF($N262&lt;&gt;"",INDEX(PCNormDate,$N262),INDEX(LdgDateB,$O262)))</f>
        <v/>
      </c>
      <c r="C262" s="24">
        <f>IF($N262&lt;&gt;"",INDEX(PCOp,$N262),IF($O262&lt;&gt;"",IF(N(INDEX(TxnDepB,$O262))&gt;0,"دریافت بانکی","پرداخت بانکی"),""))</f>
        <v/>
      </c>
      <c r="D262" s="24">
        <f>IF($N262&lt;&gt;"",IF(INDEX(PCDoc,$N262)="","—",INDEX(PCDoc,$N262)),IF($O262&lt;&gt;"",INDEX(LdgBankB,$O262),""))</f>
        <v/>
      </c>
      <c r="E262" s="24">
        <f>IF($N262&lt;&gt;"",IF(INDEX(PCCitrus,$N262)="","—",INDEX(PCCitrus,$N262)),"")</f>
        <v/>
      </c>
      <c r="F262" s="25">
        <f>IF($N262&lt;&gt;"",IF(INDEX(PCScale,$N262)=0,"",INDEX(PCScale,$N262)),"")</f>
        <v/>
      </c>
      <c r="G262" s="25">
        <f>IF($N262&lt;&gt;"",IF(INDEX(PCBaskets,$N262)=0,"",INDEX(PCBaskets,$N262)),"")</f>
        <v/>
      </c>
      <c r="H262" s="26">
        <f>IF($N262&lt;&gt;"",IF(INDEX(PCNet,$N262)=0,"",INDEX(PCNet,$N262)),"")</f>
        <v/>
      </c>
      <c r="I262" s="25">
        <f>IF($N262&lt;&gt;"",IF(INDEX(PCOp,$N262)="مرجوعی خرید","",IF(INDEX(PCAmount,$N262)&lt;=0,"",INDEX(PCAmount,$N262))),IF($O262&lt;&gt;"",IF(INDEX(TxnDepB,$O262)=0,"",INDEX(TxnDepB,$O262)),""))</f>
        <v/>
      </c>
      <c r="J262" s="25">
        <f>IF($N262&lt;&gt;"",IF(INDEX(PCOp,$N262)="مرجوعی خرید",IF(INDEX(PCAmount,$N262)=0,"",-INDEX(PCAmount,$N262)),""),IF($O262&lt;&gt;"",IF(INDEX(TxnWitB,$O262)=0,"",INDEX(TxnWitB,$O262)),""))</f>
        <v/>
      </c>
      <c r="K262" s="27">
        <f>IF($B262="","",IF($K261="",$C$10,$K261)+IF($I262="",0,$I262)-IF($J262="",0,$J262))</f>
        <v/>
      </c>
      <c r="L262" s="28">
        <f>IF($N262&lt;&gt;"",IF(INDEX(PCNotes,$N262)="","—",INDEX(PCNotes,$N262)),IF($O262&lt;&gt;"",IF(INDEX(LdgNoteB,$O262)="","—",INDEX(LdgNoteB,$O262)),""))</f>
        <v/>
      </c>
      <c r="N262">
        <f>IFERROR(MATCH($C$5&amp;"|"&amp;RIGHT("000000"&amp;246,6),LdgRankKeyA,0),"")</f>
        <v/>
      </c>
      <c r="O262">
        <f>IFERROR(MATCH($C$5&amp;"|"&amp;RIGHT("000000"&amp;246,6),LdgRankKeyB,0),"")</f>
        <v/>
      </c>
    </row>
    <row r="263">
      <c r="A263" s="17" t="n">
        <v>247</v>
      </c>
      <c r="B263" s="18">
        <f>IF(AND($N263="",$O263=""),"",IF($N263&lt;&gt;"",INDEX(PCNormDate,$N263),INDEX(LdgDateB,$O263)))</f>
        <v/>
      </c>
      <c r="C263" s="18">
        <f>IF($N263&lt;&gt;"",INDEX(PCOp,$N263),IF($O263&lt;&gt;"",IF(N(INDEX(TxnDepB,$O263))&gt;0,"دریافت بانکی","پرداخت بانکی"),""))</f>
        <v/>
      </c>
      <c r="D263" s="18">
        <f>IF($N263&lt;&gt;"",IF(INDEX(PCDoc,$N263)="","—",INDEX(PCDoc,$N263)),IF($O263&lt;&gt;"",INDEX(LdgBankB,$O263),""))</f>
        <v/>
      </c>
      <c r="E263" s="18">
        <f>IF($N263&lt;&gt;"",IF(INDEX(PCCitrus,$N263)="","—",INDEX(PCCitrus,$N263)),"")</f>
        <v/>
      </c>
      <c r="F263" s="19">
        <f>IF($N263&lt;&gt;"",IF(INDEX(PCScale,$N263)=0,"",INDEX(PCScale,$N263)),"")</f>
        <v/>
      </c>
      <c r="G263" s="19">
        <f>IF($N263&lt;&gt;"",IF(INDEX(PCBaskets,$N263)=0,"",INDEX(PCBaskets,$N263)),"")</f>
        <v/>
      </c>
      <c r="H263" s="20">
        <f>IF($N263&lt;&gt;"",IF(INDEX(PCNet,$N263)=0,"",INDEX(PCNet,$N263)),"")</f>
        <v/>
      </c>
      <c r="I263" s="19">
        <f>IF($N263&lt;&gt;"",IF(INDEX(PCOp,$N263)="مرجوعی خرید","",IF(INDEX(PCAmount,$N263)&lt;=0,"",INDEX(PCAmount,$N263))),IF($O263&lt;&gt;"",IF(INDEX(TxnDepB,$O263)=0,"",INDEX(TxnDepB,$O263)),""))</f>
        <v/>
      </c>
      <c r="J263" s="19">
        <f>IF($N263&lt;&gt;"",IF(INDEX(PCOp,$N263)="مرجوعی خرید",IF(INDEX(PCAmount,$N263)=0,"",-INDEX(PCAmount,$N263)),""),IF($O263&lt;&gt;"",IF(INDEX(TxnWitB,$O263)=0,"",INDEX(TxnWitB,$O263)),""))</f>
        <v/>
      </c>
      <c r="K263" s="21">
        <f>IF($B263="","",IF($K262="",$C$10,$K262)+IF($I263="",0,$I263)-IF($J263="",0,$J263))</f>
        <v/>
      </c>
      <c r="L263" s="22">
        <f>IF($N263&lt;&gt;"",IF(INDEX(PCNotes,$N263)="","—",INDEX(PCNotes,$N263)),IF($O263&lt;&gt;"",IF(INDEX(LdgNoteB,$O263)="","—",INDEX(LdgNoteB,$O263)),""))</f>
        <v/>
      </c>
      <c r="N263">
        <f>IFERROR(MATCH($C$5&amp;"|"&amp;RIGHT("000000"&amp;247,6),LdgRankKeyA,0),"")</f>
        <v/>
      </c>
      <c r="O263">
        <f>IFERROR(MATCH($C$5&amp;"|"&amp;RIGHT("000000"&amp;247,6),LdgRankKeyB,0),"")</f>
        <v/>
      </c>
    </row>
    <row r="264">
      <c r="A264" s="23" t="n">
        <v>248</v>
      </c>
      <c r="B264" s="24">
        <f>IF(AND($N264="",$O264=""),"",IF($N264&lt;&gt;"",INDEX(PCNormDate,$N264),INDEX(LdgDateB,$O264)))</f>
        <v/>
      </c>
      <c r="C264" s="24">
        <f>IF($N264&lt;&gt;"",INDEX(PCOp,$N264),IF($O264&lt;&gt;"",IF(N(INDEX(TxnDepB,$O264))&gt;0,"دریافت بانکی","پرداخت بانکی"),""))</f>
        <v/>
      </c>
      <c r="D264" s="24">
        <f>IF($N264&lt;&gt;"",IF(INDEX(PCDoc,$N264)="","—",INDEX(PCDoc,$N264)),IF($O264&lt;&gt;"",INDEX(LdgBankB,$O264),""))</f>
        <v/>
      </c>
      <c r="E264" s="24">
        <f>IF($N264&lt;&gt;"",IF(INDEX(PCCitrus,$N264)="","—",INDEX(PCCitrus,$N264)),"")</f>
        <v/>
      </c>
      <c r="F264" s="25">
        <f>IF($N264&lt;&gt;"",IF(INDEX(PCScale,$N264)=0,"",INDEX(PCScale,$N264)),"")</f>
        <v/>
      </c>
      <c r="G264" s="25">
        <f>IF($N264&lt;&gt;"",IF(INDEX(PCBaskets,$N264)=0,"",INDEX(PCBaskets,$N264)),"")</f>
        <v/>
      </c>
      <c r="H264" s="26">
        <f>IF($N264&lt;&gt;"",IF(INDEX(PCNet,$N264)=0,"",INDEX(PCNet,$N264)),"")</f>
        <v/>
      </c>
      <c r="I264" s="25">
        <f>IF($N264&lt;&gt;"",IF(INDEX(PCOp,$N264)="مرجوعی خرید","",IF(INDEX(PCAmount,$N264)&lt;=0,"",INDEX(PCAmount,$N264))),IF($O264&lt;&gt;"",IF(INDEX(TxnDepB,$O264)=0,"",INDEX(TxnDepB,$O264)),""))</f>
        <v/>
      </c>
      <c r="J264" s="25">
        <f>IF($N264&lt;&gt;"",IF(INDEX(PCOp,$N264)="مرجوعی خرید",IF(INDEX(PCAmount,$N264)=0,"",-INDEX(PCAmount,$N264)),""),IF($O264&lt;&gt;"",IF(INDEX(TxnWitB,$O264)=0,"",INDEX(TxnWitB,$O264)),""))</f>
        <v/>
      </c>
      <c r="K264" s="27">
        <f>IF($B264="","",IF($K263="",$C$10,$K263)+IF($I264="",0,$I264)-IF($J264="",0,$J264))</f>
        <v/>
      </c>
      <c r="L264" s="28">
        <f>IF($N264&lt;&gt;"",IF(INDEX(PCNotes,$N264)="","—",INDEX(PCNotes,$N264)),IF($O264&lt;&gt;"",IF(INDEX(LdgNoteB,$O264)="","—",INDEX(LdgNoteB,$O264)),""))</f>
        <v/>
      </c>
      <c r="N264">
        <f>IFERROR(MATCH($C$5&amp;"|"&amp;RIGHT("000000"&amp;248,6),LdgRankKeyA,0),"")</f>
        <v/>
      </c>
      <c r="O264">
        <f>IFERROR(MATCH($C$5&amp;"|"&amp;RIGHT("000000"&amp;248,6),LdgRankKeyB,0),"")</f>
        <v/>
      </c>
    </row>
    <row r="265">
      <c r="A265" s="17" t="n">
        <v>249</v>
      </c>
      <c r="B265" s="18">
        <f>IF(AND($N265="",$O265=""),"",IF($N265&lt;&gt;"",INDEX(PCNormDate,$N265),INDEX(LdgDateB,$O265)))</f>
        <v/>
      </c>
      <c r="C265" s="18">
        <f>IF($N265&lt;&gt;"",INDEX(PCOp,$N265),IF($O265&lt;&gt;"",IF(N(INDEX(TxnDepB,$O265))&gt;0,"دریافت بانکی","پرداخت بانکی"),""))</f>
        <v/>
      </c>
      <c r="D265" s="18">
        <f>IF($N265&lt;&gt;"",IF(INDEX(PCDoc,$N265)="","—",INDEX(PCDoc,$N265)),IF($O265&lt;&gt;"",INDEX(LdgBankB,$O265),""))</f>
        <v/>
      </c>
      <c r="E265" s="18">
        <f>IF($N265&lt;&gt;"",IF(INDEX(PCCitrus,$N265)="","—",INDEX(PCCitrus,$N265)),"")</f>
        <v/>
      </c>
      <c r="F265" s="19">
        <f>IF($N265&lt;&gt;"",IF(INDEX(PCScale,$N265)=0,"",INDEX(PCScale,$N265)),"")</f>
        <v/>
      </c>
      <c r="G265" s="19">
        <f>IF($N265&lt;&gt;"",IF(INDEX(PCBaskets,$N265)=0,"",INDEX(PCBaskets,$N265)),"")</f>
        <v/>
      </c>
      <c r="H265" s="20">
        <f>IF($N265&lt;&gt;"",IF(INDEX(PCNet,$N265)=0,"",INDEX(PCNet,$N265)),"")</f>
        <v/>
      </c>
      <c r="I265" s="19">
        <f>IF($N265&lt;&gt;"",IF(INDEX(PCOp,$N265)="مرجوعی خرید","",IF(INDEX(PCAmount,$N265)&lt;=0,"",INDEX(PCAmount,$N265))),IF($O265&lt;&gt;"",IF(INDEX(TxnDepB,$O265)=0,"",INDEX(TxnDepB,$O265)),""))</f>
        <v/>
      </c>
      <c r="J265" s="19">
        <f>IF($N265&lt;&gt;"",IF(INDEX(PCOp,$N265)="مرجوعی خرید",IF(INDEX(PCAmount,$N265)=0,"",-INDEX(PCAmount,$N265)),""),IF($O265&lt;&gt;"",IF(INDEX(TxnWitB,$O265)=0,"",INDEX(TxnWitB,$O265)),""))</f>
        <v/>
      </c>
      <c r="K265" s="21">
        <f>IF($B265="","",IF($K264="",$C$10,$K264)+IF($I265="",0,$I265)-IF($J265="",0,$J265))</f>
        <v/>
      </c>
      <c r="L265" s="22">
        <f>IF($N265&lt;&gt;"",IF(INDEX(PCNotes,$N265)="","—",INDEX(PCNotes,$N265)),IF($O265&lt;&gt;"",IF(INDEX(LdgNoteB,$O265)="","—",INDEX(LdgNoteB,$O265)),""))</f>
        <v/>
      </c>
      <c r="N265">
        <f>IFERROR(MATCH($C$5&amp;"|"&amp;RIGHT("000000"&amp;249,6),LdgRankKeyA,0),"")</f>
        <v/>
      </c>
      <c r="O265">
        <f>IFERROR(MATCH($C$5&amp;"|"&amp;RIGHT("000000"&amp;249,6),LdgRankKeyB,0),"")</f>
        <v/>
      </c>
    </row>
    <row r="266">
      <c r="A266" s="23" t="n">
        <v>250</v>
      </c>
      <c r="B266" s="24">
        <f>IF(AND($N266="",$O266=""),"",IF($N266&lt;&gt;"",INDEX(PCNormDate,$N266),INDEX(LdgDateB,$O266)))</f>
        <v/>
      </c>
      <c r="C266" s="24">
        <f>IF($N266&lt;&gt;"",INDEX(PCOp,$N266),IF($O266&lt;&gt;"",IF(N(INDEX(TxnDepB,$O266))&gt;0,"دریافت بانکی","پرداخت بانکی"),""))</f>
        <v/>
      </c>
      <c r="D266" s="24">
        <f>IF($N266&lt;&gt;"",IF(INDEX(PCDoc,$N266)="","—",INDEX(PCDoc,$N266)),IF($O266&lt;&gt;"",INDEX(LdgBankB,$O266),""))</f>
        <v/>
      </c>
      <c r="E266" s="24">
        <f>IF($N266&lt;&gt;"",IF(INDEX(PCCitrus,$N266)="","—",INDEX(PCCitrus,$N266)),"")</f>
        <v/>
      </c>
      <c r="F266" s="25">
        <f>IF($N266&lt;&gt;"",IF(INDEX(PCScale,$N266)=0,"",INDEX(PCScale,$N266)),"")</f>
        <v/>
      </c>
      <c r="G266" s="25">
        <f>IF($N266&lt;&gt;"",IF(INDEX(PCBaskets,$N266)=0,"",INDEX(PCBaskets,$N266)),"")</f>
        <v/>
      </c>
      <c r="H266" s="26">
        <f>IF($N266&lt;&gt;"",IF(INDEX(PCNet,$N266)=0,"",INDEX(PCNet,$N266)),"")</f>
        <v/>
      </c>
      <c r="I266" s="25">
        <f>IF($N266&lt;&gt;"",IF(INDEX(PCOp,$N266)="مرجوعی خرید","",IF(INDEX(PCAmount,$N266)&lt;=0,"",INDEX(PCAmount,$N266))),IF($O266&lt;&gt;"",IF(INDEX(TxnDepB,$O266)=0,"",INDEX(TxnDepB,$O266)),""))</f>
        <v/>
      </c>
      <c r="J266" s="25">
        <f>IF($N266&lt;&gt;"",IF(INDEX(PCOp,$N266)="مرجوعی خرید",IF(INDEX(PCAmount,$N266)=0,"",-INDEX(PCAmount,$N266)),""),IF($O266&lt;&gt;"",IF(INDEX(TxnWitB,$O266)=0,"",INDEX(TxnWitB,$O266)),""))</f>
        <v/>
      </c>
      <c r="K266" s="27">
        <f>IF($B266="","",IF($K265="",$C$10,$K265)+IF($I266="",0,$I266)-IF($J266="",0,$J266))</f>
        <v/>
      </c>
      <c r="L266" s="28">
        <f>IF($N266&lt;&gt;"",IF(INDEX(PCNotes,$N266)="","—",INDEX(PCNotes,$N266)),IF($O266&lt;&gt;"",IF(INDEX(LdgNoteB,$O266)="","—",INDEX(LdgNoteB,$O266)),""))</f>
        <v/>
      </c>
      <c r="N266">
        <f>IFERROR(MATCH($C$5&amp;"|"&amp;RIGHT("000000"&amp;250,6),LdgRankKeyA,0),"")</f>
        <v/>
      </c>
      <c r="O266">
        <f>IFERROR(MATCH($C$5&amp;"|"&amp;RIGHT("000000"&amp;250,6),LdgRankKeyB,0),"")</f>
        <v/>
      </c>
    </row>
    <row r="267">
      <c r="A267" s="17" t="n">
        <v>251</v>
      </c>
      <c r="B267" s="18">
        <f>IF(AND($N267="",$O267=""),"",IF($N267&lt;&gt;"",INDEX(PCNormDate,$N267),INDEX(LdgDateB,$O267)))</f>
        <v/>
      </c>
      <c r="C267" s="18">
        <f>IF($N267&lt;&gt;"",INDEX(PCOp,$N267),IF($O267&lt;&gt;"",IF(N(INDEX(TxnDepB,$O267))&gt;0,"دریافت بانکی","پرداخت بانکی"),""))</f>
        <v/>
      </c>
      <c r="D267" s="18">
        <f>IF($N267&lt;&gt;"",IF(INDEX(PCDoc,$N267)="","—",INDEX(PCDoc,$N267)),IF($O267&lt;&gt;"",INDEX(LdgBankB,$O267),""))</f>
        <v/>
      </c>
      <c r="E267" s="18">
        <f>IF($N267&lt;&gt;"",IF(INDEX(PCCitrus,$N267)="","—",INDEX(PCCitrus,$N267)),"")</f>
        <v/>
      </c>
      <c r="F267" s="19">
        <f>IF($N267&lt;&gt;"",IF(INDEX(PCScale,$N267)=0,"",INDEX(PCScale,$N267)),"")</f>
        <v/>
      </c>
      <c r="G267" s="19">
        <f>IF($N267&lt;&gt;"",IF(INDEX(PCBaskets,$N267)=0,"",INDEX(PCBaskets,$N267)),"")</f>
        <v/>
      </c>
      <c r="H267" s="20">
        <f>IF($N267&lt;&gt;"",IF(INDEX(PCNet,$N267)=0,"",INDEX(PCNet,$N267)),"")</f>
        <v/>
      </c>
      <c r="I267" s="19">
        <f>IF($N267&lt;&gt;"",IF(INDEX(PCOp,$N267)="مرجوعی خرید","",IF(INDEX(PCAmount,$N267)&lt;=0,"",INDEX(PCAmount,$N267))),IF($O267&lt;&gt;"",IF(INDEX(TxnDepB,$O267)=0,"",INDEX(TxnDepB,$O267)),""))</f>
        <v/>
      </c>
      <c r="J267" s="19">
        <f>IF($N267&lt;&gt;"",IF(INDEX(PCOp,$N267)="مرجوعی خرید",IF(INDEX(PCAmount,$N267)=0,"",-INDEX(PCAmount,$N267)),""),IF($O267&lt;&gt;"",IF(INDEX(TxnWitB,$O267)=0,"",INDEX(TxnWitB,$O267)),""))</f>
        <v/>
      </c>
      <c r="K267" s="21">
        <f>IF($B267="","",IF($K266="",$C$10,$K266)+IF($I267="",0,$I267)-IF($J267="",0,$J267))</f>
        <v/>
      </c>
      <c r="L267" s="22">
        <f>IF($N267&lt;&gt;"",IF(INDEX(PCNotes,$N267)="","—",INDEX(PCNotes,$N267)),IF($O267&lt;&gt;"",IF(INDEX(LdgNoteB,$O267)="","—",INDEX(LdgNoteB,$O267)),""))</f>
        <v/>
      </c>
      <c r="N267">
        <f>IFERROR(MATCH($C$5&amp;"|"&amp;RIGHT("000000"&amp;251,6),LdgRankKeyA,0),"")</f>
        <v/>
      </c>
      <c r="O267">
        <f>IFERROR(MATCH($C$5&amp;"|"&amp;RIGHT("000000"&amp;251,6),LdgRankKeyB,0),"")</f>
        <v/>
      </c>
    </row>
    <row r="268">
      <c r="A268" s="23" t="n">
        <v>252</v>
      </c>
      <c r="B268" s="24">
        <f>IF(AND($N268="",$O268=""),"",IF($N268&lt;&gt;"",INDEX(PCNormDate,$N268),INDEX(LdgDateB,$O268)))</f>
        <v/>
      </c>
      <c r="C268" s="24">
        <f>IF($N268&lt;&gt;"",INDEX(PCOp,$N268),IF($O268&lt;&gt;"",IF(N(INDEX(TxnDepB,$O268))&gt;0,"دریافت بانکی","پرداخت بانکی"),""))</f>
        <v/>
      </c>
      <c r="D268" s="24">
        <f>IF($N268&lt;&gt;"",IF(INDEX(PCDoc,$N268)="","—",INDEX(PCDoc,$N268)),IF($O268&lt;&gt;"",INDEX(LdgBankB,$O268),""))</f>
        <v/>
      </c>
      <c r="E268" s="24">
        <f>IF($N268&lt;&gt;"",IF(INDEX(PCCitrus,$N268)="","—",INDEX(PCCitrus,$N268)),"")</f>
        <v/>
      </c>
      <c r="F268" s="25">
        <f>IF($N268&lt;&gt;"",IF(INDEX(PCScale,$N268)=0,"",INDEX(PCScale,$N268)),"")</f>
        <v/>
      </c>
      <c r="G268" s="25">
        <f>IF($N268&lt;&gt;"",IF(INDEX(PCBaskets,$N268)=0,"",INDEX(PCBaskets,$N268)),"")</f>
        <v/>
      </c>
      <c r="H268" s="26">
        <f>IF($N268&lt;&gt;"",IF(INDEX(PCNet,$N268)=0,"",INDEX(PCNet,$N268)),"")</f>
        <v/>
      </c>
      <c r="I268" s="25">
        <f>IF($N268&lt;&gt;"",IF(INDEX(PCOp,$N268)="مرجوعی خرید","",IF(INDEX(PCAmount,$N268)&lt;=0,"",INDEX(PCAmount,$N268))),IF($O268&lt;&gt;"",IF(INDEX(TxnDepB,$O268)=0,"",INDEX(TxnDepB,$O268)),""))</f>
        <v/>
      </c>
      <c r="J268" s="25">
        <f>IF($N268&lt;&gt;"",IF(INDEX(PCOp,$N268)="مرجوعی خرید",IF(INDEX(PCAmount,$N268)=0,"",-INDEX(PCAmount,$N268)),""),IF($O268&lt;&gt;"",IF(INDEX(TxnWitB,$O268)=0,"",INDEX(TxnWitB,$O268)),""))</f>
        <v/>
      </c>
      <c r="K268" s="27">
        <f>IF($B268="","",IF($K267="",$C$10,$K267)+IF($I268="",0,$I268)-IF($J268="",0,$J268))</f>
        <v/>
      </c>
      <c r="L268" s="28">
        <f>IF($N268&lt;&gt;"",IF(INDEX(PCNotes,$N268)="","—",INDEX(PCNotes,$N268)),IF($O268&lt;&gt;"",IF(INDEX(LdgNoteB,$O268)="","—",INDEX(LdgNoteB,$O268)),""))</f>
        <v/>
      </c>
      <c r="N268">
        <f>IFERROR(MATCH($C$5&amp;"|"&amp;RIGHT("000000"&amp;252,6),LdgRankKeyA,0),"")</f>
        <v/>
      </c>
      <c r="O268">
        <f>IFERROR(MATCH($C$5&amp;"|"&amp;RIGHT("000000"&amp;252,6),LdgRankKeyB,0),"")</f>
        <v/>
      </c>
    </row>
    <row r="269">
      <c r="A269" s="17" t="n">
        <v>253</v>
      </c>
      <c r="B269" s="18">
        <f>IF(AND($N269="",$O269=""),"",IF($N269&lt;&gt;"",INDEX(PCNormDate,$N269),INDEX(LdgDateB,$O269)))</f>
        <v/>
      </c>
      <c r="C269" s="18">
        <f>IF($N269&lt;&gt;"",INDEX(PCOp,$N269),IF($O269&lt;&gt;"",IF(N(INDEX(TxnDepB,$O269))&gt;0,"دریافت بانکی","پرداخت بانکی"),""))</f>
        <v/>
      </c>
      <c r="D269" s="18">
        <f>IF($N269&lt;&gt;"",IF(INDEX(PCDoc,$N269)="","—",INDEX(PCDoc,$N269)),IF($O269&lt;&gt;"",INDEX(LdgBankB,$O269),""))</f>
        <v/>
      </c>
      <c r="E269" s="18">
        <f>IF($N269&lt;&gt;"",IF(INDEX(PCCitrus,$N269)="","—",INDEX(PCCitrus,$N269)),"")</f>
        <v/>
      </c>
      <c r="F269" s="19">
        <f>IF($N269&lt;&gt;"",IF(INDEX(PCScale,$N269)=0,"",INDEX(PCScale,$N269)),"")</f>
        <v/>
      </c>
      <c r="G269" s="19">
        <f>IF($N269&lt;&gt;"",IF(INDEX(PCBaskets,$N269)=0,"",INDEX(PCBaskets,$N269)),"")</f>
        <v/>
      </c>
      <c r="H269" s="20">
        <f>IF($N269&lt;&gt;"",IF(INDEX(PCNet,$N269)=0,"",INDEX(PCNet,$N269)),"")</f>
        <v/>
      </c>
      <c r="I269" s="19">
        <f>IF($N269&lt;&gt;"",IF(INDEX(PCOp,$N269)="مرجوعی خرید","",IF(INDEX(PCAmount,$N269)&lt;=0,"",INDEX(PCAmount,$N269))),IF($O269&lt;&gt;"",IF(INDEX(TxnDepB,$O269)=0,"",INDEX(TxnDepB,$O269)),""))</f>
        <v/>
      </c>
      <c r="J269" s="19">
        <f>IF($N269&lt;&gt;"",IF(INDEX(PCOp,$N269)="مرجوعی خرید",IF(INDEX(PCAmount,$N269)=0,"",-INDEX(PCAmount,$N269)),""),IF($O269&lt;&gt;"",IF(INDEX(TxnWitB,$O269)=0,"",INDEX(TxnWitB,$O269)),""))</f>
        <v/>
      </c>
      <c r="K269" s="21">
        <f>IF($B269="","",IF($K268="",$C$10,$K268)+IF($I269="",0,$I269)-IF($J269="",0,$J269))</f>
        <v/>
      </c>
      <c r="L269" s="22">
        <f>IF($N269&lt;&gt;"",IF(INDEX(PCNotes,$N269)="","—",INDEX(PCNotes,$N269)),IF($O269&lt;&gt;"",IF(INDEX(LdgNoteB,$O269)="","—",INDEX(LdgNoteB,$O269)),""))</f>
        <v/>
      </c>
      <c r="N269">
        <f>IFERROR(MATCH($C$5&amp;"|"&amp;RIGHT("000000"&amp;253,6),LdgRankKeyA,0),"")</f>
        <v/>
      </c>
      <c r="O269">
        <f>IFERROR(MATCH($C$5&amp;"|"&amp;RIGHT("000000"&amp;253,6),LdgRankKeyB,0),"")</f>
        <v/>
      </c>
    </row>
    <row r="270">
      <c r="A270" s="23" t="n">
        <v>254</v>
      </c>
      <c r="B270" s="24">
        <f>IF(AND($N270="",$O270=""),"",IF($N270&lt;&gt;"",INDEX(PCNormDate,$N270),INDEX(LdgDateB,$O270)))</f>
        <v/>
      </c>
      <c r="C270" s="24">
        <f>IF($N270&lt;&gt;"",INDEX(PCOp,$N270),IF($O270&lt;&gt;"",IF(N(INDEX(TxnDepB,$O270))&gt;0,"دریافت بانکی","پرداخت بانکی"),""))</f>
        <v/>
      </c>
      <c r="D270" s="24">
        <f>IF($N270&lt;&gt;"",IF(INDEX(PCDoc,$N270)="","—",INDEX(PCDoc,$N270)),IF($O270&lt;&gt;"",INDEX(LdgBankB,$O270),""))</f>
        <v/>
      </c>
      <c r="E270" s="24">
        <f>IF($N270&lt;&gt;"",IF(INDEX(PCCitrus,$N270)="","—",INDEX(PCCitrus,$N270)),"")</f>
        <v/>
      </c>
      <c r="F270" s="25">
        <f>IF($N270&lt;&gt;"",IF(INDEX(PCScale,$N270)=0,"",INDEX(PCScale,$N270)),"")</f>
        <v/>
      </c>
      <c r="G270" s="25">
        <f>IF($N270&lt;&gt;"",IF(INDEX(PCBaskets,$N270)=0,"",INDEX(PCBaskets,$N270)),"")</f>
        <v/>
      </c>
      <c r="H270" s="26">
        <f>IF($N270&lt;&gt;"",IF(INDEX(PCNet,$N270)=0,"",INDEX(PCNet,$N270)),"")</f>
        <v/>
      </c>
      <c r="I270" s="25">
        <f>IF($N270&lt;&gt;"",IF(INDEX(PCOp,$N270)="مرجوعی خرید","",IF(INDEX(PCAmount,$N270)&lt;=0,"",INDEX(PCAmount,$N270))),IF($O270&lt;&gt;"",IF(INDEX(TxnDepB,$O270)=0,"",INDEX(TxnDepB,$O270)),""))</f>
        <v/>
      </c>
      <c r="J270" s="25">
        <f>IF($N270&lt;&gt;"",IF(INDEX(PCOp,$N270)="مرجوعی خرید",IF(INDEX(PCAmount,$N270)=0,"",-INDEX(PCAmount,$N270)),""),IF($O270&lt;&gt;"",IF(INDEX(TxnWitB,$O270)=0,"",INDEX(TxnWitB,$O270)),""))</f>
        <v/>
      </c>
      <c r="K270" s="27">
        <f>IF($B270="","",IF($K269="",$C$10,$K269)+IF($I270="",0,$I270)-IF($J270="",0,$J270))</f>
        <v/>
      </c>
      <c r="L270" s="28">
        <f>IF($N270&lt;&gt;"",IF(INDEX(PCNotes,$N270)="","—",INDEX(PCNotes,$N270)),IF($O270&lt;&gt;"",IF(INDEX(LdgNoteB,$O270)="","—",INDEX(LdgNoteB,$O270)),""))</f>
        <v/>
      </c>
      <c r="N270">
        <f>IFERROR(MATCH($C$5&amp;"|"&amp;RIGHT("000000"&amp;254,6),LdgRankKeyA,0),"")</f>
        <v/>
      </c>
      <c r="O270">
        <f>IFERROR(MATCH($C$5&amp;"|"&amp;RIGHT("000000"&amp;254,6),LdgRankKeyB,0),"")</f>
        <v/>
      </c>
    </row>
    <row r="271">
      <c r="A271" s="17" t="n">
        <v>255</v>
      </c>
      <c r="B271" s="18">
        <f>IF(AND($N271="",$O271=""),"",IF($N271&lt;&gt;"",INDEX(PCNormDate,$N271),INDEX(LdgDateB,$O271)))</f>
        <v/>
      </c>
      <c r="C271" s="18">
        <f>IF($N271&lt;&gt;"",INDEX(PCOp,$N271),IF($O271&lt;&gt;"",IF(N(INDEX(TxnDepB,$O271))&gt;0,"دریافت بانکی","پرداخت بانکی"),""))</f>
        <v/>
      </c>
      <c r="D271" s="18">
        <f>IF($N271&lt;&gt;"",IF(INDEX(PCDoc,$N271)="","—",INDEX(PCDoc,$N271)),IF($O271&lt;&gt;"",INDEX(LdgBankB,$O271),""))</f>
        <v/>
      </c>
      <c r="E271" s="18">
        <f>IF($N271&lt;&gt;"",IF(INDEX(PCCitrus,$N271)="","—",INDEX(PCCitrus,$N271)),"")</f>
        <v/>
      </c>
      <c r="F271" s="19">
        <f>IF($N271&lt;&gt;"",IF(INDEX(PCScale,$N271)=0,"",INDEX(PCScale,$N271)),"")</f>
        <v/>
      </c>
      <c r="G271" s="19">
        <f>IF($N271&lt;&gt;"",IF(INDEX(PCBaskets,$N271)=0,"",INDEX(PCBaskets,$N271)),"")</f>
        <v/>
      </c>
      <c r="H271" s="20">
        <f>IF($N271&lt;&gt;"",IF(INDEX(PCNet,$N271)=0,"",INDEX(PCNet,$N271)),"")</f>
        <v/>
      </c>
      <c r="I271" s="19">
        <f>IF($N271&lt;&gt;"",IF(INDEX(PCOp,$N271)="مرجوعی خرید","",IF(INDEX(PCAmount,$N271)&lt;=0,"",INDEX(PCAmount,$N271))),IF($O271&lt;&gt;"",IF(INDEX(TxnDepB,$O271)=0,"",INDEX(TxnDepB,$O271)),""))</f>
        <v/>
      </c>
      <c r="J271" s="19">
        <f>IF($N271&lt;&gt;"",IF(INDEX(PCOp,$N271)="مرجوعی خرید",IF(INDEX(PCAmount,$N271)=0,"",-INDEX(PCAmount,$N271)),""),IF($O271&lt;&gt;"",IF(INDEX(TxnWitB,$O271)=0,"",INDEX(TxnWitB,$O271)),""))</f>
        <v/>
      </c>
      <c r="K271" s="21">
        <f>IF($B271="","",IF($K270="",$C$10,$K270)+IF($I271="",0,$I271)-IF($J271="",0,$J271))</f>
        <v/>
      </c>
      <c r="L271" s="22">
        <f>IF($N271&lt;&gt;"",IF(INDEX(PCNotes,$N271)="","—",INDEX(PCNotes,$N271)),IF($O271&lt;&gt;"",IF(INDEX(LdgNoteB,$O271)="","—",INDEX(LdgNoteB,$O271)),""))</f>
        <v/>
      </c>
      <c r="N271">
        <f>IFERROR(MATCH($C$5&amp;"|"&amp;RIGHT("000000"&amp;255,6),LdgRankKeyA,0),"")</f>
        <v/>
      </c>
      <c r="O271">
        <f>IFERROR(MATCH($C$5&amp;"|"&amp;RIGHT("000000"&amp;255,6),LdgRankKeyB,0),"")</f>
        <v/>
      </c>
    </row>
    <row r="272">
      <c r="A272" s="23" t="n">
        <v>256</v>
      </c>
      <c r="B272" s="24">
        <f>IF(AND($N272="",$O272=""),"",IF($N272&lt;&gt;"",INDEX(PCNormDate,$N272),INDEX(LdgDateB,$O272)))</f>
        <v/>
      </c>
      <c r="C272" s="24">
        <f>IF($N272&lt;&gt;"",INDEX(PCOp,$N272),IF($O272&lt;&gt;"",IF(N(INDEX(TxnDepB,$O272))&gt;0,"دریافت بانکی","پرداخت بانکی"),""))</f>
        <v/>
      </c>
      <c r="D272" s="24">
        <f>IF($N272&lt;&gt;"",IF(INDEX(PCDoc,$N272)="","—",INDEX(PCDoc,$N272)),IF($O272&lt;&gt;"",INDEX(LdgBankB,$O272),""))</f>
        <v/>
      </c>
      <c r="E272" s="24">
        <f>IF($N272&lt;&gt;"",IF(INDEX(PCCitrus,$N272)="","—",INDEX(PCCitrus,$N272)),"")</f>
        <v/>
      </c>
      <c r="F272" s="25">
        <f>IF($N272&lt;&gt;"",IF(INDEX(PCScale,$N272)=0,"",INDEX(PCScale,$N272)),"")</f>
        <v/>
      </c>
      <c r="G272" s="25">
        <f>IF($N272&lt;&gt;"",IF(INDEX(PCBaskets,$N272)=0,"",INDEX(PCBaskets,$N272)),"")</f>
        <v/>
      </c>
      <c r="H272" s="26">
        <f>IF($N272&lt;&gt;"",IF(INDEX(PCNet,$N272)=0,"",INDEX(PCNet,$N272)),"")</f>
        <v/>
      </c>
      <c r="I272" s="25">
        <f>IF($N272&lt;&gt;"",IF(INDEX(PCOp,$N272)="مرجوعی خرید","",IF(INDEX(PCAmount,$N272)&lt;=0,"",INDEX(PCAmount,$N272))),IF($O272&lt;&gt;"",IF(INDEX(TxnDepB,$O272)=0,"",INDEX(TxnDepB,$O272)),""))</f>
        <v/>
      </c>
      <c r="J272" s="25">
        <f>IF($N272&lt;&gt;"",IF(INDEX(PCOp,$N272)="مرجوعی خرید",IF(INDEX(PCAmount,$N272)=0,"",-INDEX(PCAmount,$N272)),""),IF($O272&lt;&gt;"",IF(INDEX(TxnWitB,$O272)=0,"",INDEX(TxnWitB,$O272)),""))</f>
        <v/>
      </c>
      <c r="K272" s="27">
        <f>IF($B272="","",IF($K271="",$C$10,$K271)+IF($I272="",0,$I272)-IF($J272="",0,$J272))</f>
        <v/>
      </c>
      <c r="L272" s="28">
        <f>IF($N272&lt;&gt;"",IF(INDEX(PCNotes,$N272)="","—",INDEX(PCNotes,$N272)),IF($O272&lt;&gt;"",IF(INDEX(LdgNoteB,$O272)="","—",INDEX(LdgNoteB,$O272)),""))</f>
        <v/>
      </c>
      <c r="N272">
        <f>IFERROR(MATCH($C$5&amp;"|"&amp;RIGHT("000000"&amp;256,6),LdgRankKeyA,0),"")</f>
        <v/>
      </c>
      <c r="O272">
        <f>IFERROR(MATCH($C$5&amp;"|"&amp;RIGHT("000000"&amp;256,6),LdgRankKeyB,0),"")</f>
        <v/>
      </c>
    </row>
    <row r="273">
      <c r="A273" s="17" t="n">
        <v>257</v>
      </c>
      <c r="B273" s="18">
        <f>IF(AND($N273="",$O273=""),"",IF($N273&lt;&gt;"",INDEX(PCNormDate,$N273),INDEX(LdgDateB,$O273)))</f>
        <v/>
      </c>
      <c r="C273" s="18">
        <f>IF($N273&lt;&gt;"",INDEX(PCOp,$N273),IF($O273&lt;&gt;"",IF(N(INDEX(TxnDepB,$O273))&gt;0,"دریافت بانکی","پرداخت بانکی"),""))</f>
        <v/>
      </c>
      <c r="D273" s="18">
        <f>IF($N273&lt;&gt;"",IF(INDEX(PCDoc,$N273)="","—",INDEX(PCDoc,$N273)),IF($O273&lt;&gt;"",INDEX(LdgBankB,$O273),""))</f>
        <v/>
      </c>
      <c r="E273" s="18">
        <f>IF($N273&lt;&gt;"",IF(INDEX(PCCitrus,$N273)="","—",INDEX(PCCitrus,$N273)),"")</f>
        <v/>
      </c>
      <c r="F273" s="19">
        <f>IF($N273&lt;&gt;"",IF(INDEX(PCScale,$N273)=0,"",INDEX(PCScale,$N273)),"")</f>
        <v/>
      </c>
      <c r="G273" s="19">
        <f>IF($N273&lt;&gt;"",IF(INDEX(PCBaskets,$N273)=0,"",INDEX(PCBaskets,$N273)),"")</f>
        <v/>
      </c>
      <c r="H273" s="20">
        <f>IF($N273&lt;&gt;"",IF(INDEX(PCNet,$N273)=0,"",INDEX(PCNet,$N273)),"")</f>
        <v/>
      </c>
      <c r="I273" s="19">
        <f>IF($N273&lt;&gt;"",IF(INDEX(PCOp,$N273)="مرجوعی خرید","",IF(INDEX(PCAmount,$N273)&lt;=0,"",INDEX(PCAmount,$N273))),IF($O273&lt;&gt;"",IF(INDEX(TxnDepB,$O273)=0,"",INDEX(TxnDepB,$O273)),""))</f>
        <v/>
      </c>
      <c r="J273" s="19">
        <f>IF($N273&lt;&gt;"",IF(INDEX(PCOp,$N273)="مرجوعی خرید",IF(INDEX(PCAmount,$N273)=0,"",-INDEX(PCAmount,$N273)),""),IF($O273&lt;&gt;"",IF(INDEX(TxnWitB,$O273)=0,"",INDEX(TxnWitB,$O273)),""))</f>
        <v/>
      </c>
      <c r="K273" s="21">
        <f>IF($B273="","",IF($K272="",$C$10,$K272)+IF($I273="",0,$I273)-IF($J273="",0,$J273))</f>
        <v/>
      </c>
      <c r="L273" s="22">
        <f>IF($N273&lt;&gt;"",IF(INDEX(PCNotes,$N273)="","—",INDEX(PCNotes,$N273)),IF($O273&lt;&gt;"",IF(INDEX(LdgNoteB,$O273)="","—",INDEX(LdgNoteB,$O273)),""))</f>
        <v/>
      </c>
      <c r="N273">
        <f>IFERROR(MATCH($C$5&amp;"|"&amp;RIGHT("000000"&amp;257,6),LdgRankKeyA,0),"")</f>
        <v/>
      </c>
      <c r="O273">
        <f>IFERROR(MATCH($C$5&amp;"|"&amp;RIGHT("000000"&amp;257,6),LdgRankKeyB,0),"")</f>
        <v/>
      </c>
    </row>
    <row r="274">
      <c r="A274" s="23" t="n">
        <v>258</v>
      </c>
      <c r="B274" s="24">
        <f>IF(AND($N274="",$O274=""),"",IF($N274&lt;&gt;"",INDEX(PCNormDate,$N274),INDEX(LdgDateB,$O274)))</f>
        <v/>
      </c>
      <c r="C274" s="24">
        <f>IF($N274&lt;&gt;"",INDEX(PCOp,$N274),IF($O274&lt;&gt;"",IF(N(INDEX(TxnDepB,$O274))&gt;0,"دریافت بانکی","پرداخت بانکی"),""))</f>
        <v/>
      </c>
      <c r="D274" s="24">
        <f>IF($N274&lt;&gt;"",IF(INDEX(PCDoc,$N274)="","—",INDEX(PCDoc,$N274)),IF($O274&lt;&gt;"",INDEX(LdgBankB,$O274),""))</f>
        <v/>
      </c>
      <c r="E274" s="24">
        <f>IF($N274&lt;&gt;"",IF(INDEX(PCCitrus,$N274)="","—",INDEX(PCCitrus,$N274)),"")</f>
        <v/>
      </c>
      <c r="F274" s="25">
        <f>IF($N274&lt;&gt;"",IF(INDEX(PCScale,$N274)=0,"",INDEX(PCScale,$N274)),"")</f>
        <v/>
      </c>
      <c r="G274" s="25">
        <f>IF($N274&lt;&gt;"",IF(INDEX(PCBaskets,$N274)=0,"",INDEX(PCBaskets,$N274)),"")</f>
        <v/>
      </c>
      <c r="H274" s="26">
        <f>IF($N274&lt;&gt;"",IF(INDEX(PCNet,$N274)=0,"",INDEX(PCNet,$N274)),"")</f>
        <v/>
      </c>
      <c r="I274" s="25">
        <f>IF($N274&lt;&gt;"",IF(INDEX(PCOp,$N274)="مرجوعی خرید","",IF(INDEX(PCAmount,$N274)&lt;=0,"",INDEX(PCAmount,$N274))),IF($O274&lt;&gt;"",IF(INDEX(TxnDepB,$O274)=0,"",INDEX(TxnDepB,$O274)),""))</f>
        <v/>
      </c>
      <c r="J274" s="25">
        <f>IF($N274&lt;&gt;"",IF(INDEX(PCOp,$N274)="مرجوعی خرید",IF(INDEX(PCAmount,$N274)=0,"",-INDEX(PCAmount,$N274)),""),IF($O274&lt;&gt;"",IF(INDEX(TxnWitB,$O274)=0,"",INDEX(TxnWitB,$O274)),""))</f>
        <v/>
      </c>
      <c r="K274" s="27">
        <f>IF($B274="","",IF($K273="",$C$10,$K273)+IF($I274="",0,$I274)-IF($J274="",0,$J274))</f>
        <v/>
      </c>
      <c r="L274" s="28">
        <f>IF($N274&lt;&gt;"",IF(INDEX(PCNotes,$N274)="","—",INDEX(PCNotes,$N274)),IF($O274&lt;&gt;"",IF(INDEX(LdgNoteB,$O274)="","—",INDEX(LdgNoteB,$O274)),""))</f>
        <v/>
      </c>
      <c r="N274">
        <f>IFERROR(MATCH($C$5&amp;"|"&amp;RIGHT("000000"&amp;258,6),LdgRankKeyA,0),"")</f>
        <v/>
      </c>
      <c r="O274">
        <f>IFERROR(MATCH($C$5&amp;"|"&amp;RIGHT("000000"&amp;258,6),LdgRankKeyB,0),"")</f>
        <v/>
      </c>
    </row>
    <row r="275">
      <c r="A275" s="17" t="n">
        <v>259</v>
      </c>
      <c r="B275" s="18">
        <f>IF(AND($N275="",$O275=""),"",IF($N275&lt;&gt;"",INDEX(PCNormDate,$N275),INDEX(LdgDateB,$O275)))</f>
        <v/>
      </c>
      <c r="C275" s="18">
        <f>IF($N275&lt;&gt;"",INDEX(PCOp,$N275),IF($O275&lt;&gt;"",IF(N(INDEX(TxnDepB,$O275))&gt;0,"دریافت بانکی","پرداخت بانکی"),""))</f>
        <v/>
      </c>
      <c r="D275" s="18">
        <f>IF($N275&lt;&gt;"",IF(INDEX(PCDoc,$N275)="","—",INDEX(PCDoc,$N275)),IF($O275&lt;&gt;"",INDEX(LdgBankB,$O275),""))</f>
        <v/>
      </c>
      <c r="E275" s="18">
        <f>IF($N275&lt;&gt;"",IF(INDEX(PCCitrus,$N275)="","—",INDEX(PCCitrus,$N275)),"")</f>
        <v/>
      </c>
      <c r="F275" s="19">
        <f>IF($N275&lt;&gt;"",IF(INDEX(PCScale,$N275)=0,"",INDEX(PCScale,$N275)),"")</f>
        <v/>
      </c>
      <c r="G275" s="19">
        <f>IF($N275&lt;&gt;"",IF(INDEX(PCBaskets,$N275)=0,"",INDEX(PCBaskets,$N275)),"")</f>
        <v/>
      </c>
      <c r="H275" s="20">
        <f>IF($N275&lt;&gt;"",IF(INDEX(PCNet,$N275)=0,"",INDEX(PCNet,$N275)),"")</f>
        <v/>
      </c>
      <c r="I275" s="19">
        <f>IF($N275&lt;&gt;"",IF(INDEX(PCOp,$N275)="مرجوعی خرید","",IF(INDEX(PCAmount,$N275)&lt;=0,"",INDEX(PCAmount,$N275))),IF($O275&lt;&gt;"",IF(INDEX(TxnDepB,$O275)=0,"",INDEX(TxnDepB,$O275)),""))</f>
        <v/>
      </c>
      <c r="J275" s="19">
        <f>IF($N275&lt;&gt;"",IF(INDEX(PCOp,$N275)="مرجوعی خرید",IF(INDEX(PCAmount,$N275)=0,"",-INDEX(PCAmount,$N275)),""),IF($O275&lt;&gt;"",IF(INDEX(TxnWitB,$O275)=0,"",INDEX(TxnWitB,$O275)),""))</f>
        <v/>
      </c>
      <c r="K275" s="21">
        <f>IF($B275="","",IF($K274="",$C$10,$K274)+IF($I275="",0,$I275)-IF($J275="",0,$J275))</f>
        <v/>
      </c>
      <c r="L275" s="22">
        <f>IF($N275&lt;&gt;"",IF(INDEX(PCNotes,$N275)="","—",INDEX(PCNotes,$N275)),IF($O275&lt;&gt;"",IF(INDEX(LdgNoteB,$O275)="","—",INDEX(LdgNoteB,$O275)),""))</f>
        <v/>
      </c>
      <c r="N275">
        <f>IFERROR(MATCH($C$5&amp;"|"&amp;RIGHT("000000"&amp;259,6),LdgRankKeyA,0),"")</f>
        <v/>
      </c>
      <c r="O275">
        <f>IFERROR(MATCH($C$5&amp;"|"&amp;RIGHT("000000"&amp;259,6),LdgRankKeyB,0),"")</f>
        <v/>
      </c>
    </row>
    <row r="276">
      <c r="A276" s="23" t="n">
        <v>260</v>
      </c>
      <c r="B276" s="24">
        <f>IF(AND($N276="",$O276=""),"",IF($N276&lt;&gt;"",INDEX(PCNormDate,$N276),INDEX(LdgDateB,$O276)))</f>
        <v/>
      </c>
      <c r="C276" s="24">
        <f>IF($N276&lt;&gt;"",INDEX(PCOp,$N276),IF($O276&lt;&gt;"",IF(N(INDEX(TxnDepB,$O276))&gt;0,"دریافت بانکی","پرداخت بانکی"),""))</f>
        <v/>
      </c>
      <c r="D276" s="24">
        <f>IF($N276&lt;&gt;"",IF(INDEX(PCDoc,$N276)="","—",INDEX(PCDoc,$N276)),IF($O276&lt;&gt;"",INDEX(LdgBankB,$O276),""))</f>
        <v/>
      </c>
      <c r="E276" s="24">
        <f>IF($N276&lt;&gt;"",IF(INDEX(PCCitrus,$N276)="","—",INDEX(PCCitrus,$N276)),"")</f>
        <v/>
      </c>
      <c r="F276" s="25">
        <f>IF($N276&lt;&gt;"",IF(INDEX(PCScale,$N276)=0,"",INDEX(PCScale,$N276)),"")</f>
        <v/>
      </c>
      <c r="G276" s="25">
        <f>IF($N276&lt;&gt;"",IF(INDEX(PCBaskets,$N276)=0,"",INDEX(PCBaskets,$N276)),"")</f>
        <v/>
      </c>
      <c r="H276" s="26">
        <f>IF($N276&lt;&gt;"",IF(INDEX(PCNet,$N276)=0,"",INDEX(PCNet,$N276)),"")</f>
        <v/>
      </c>
      <c r="I276" s="25">
        <f>IF($N276&lt;&gt;"",IF(INDEX(PCOp,$N276)="مرجوعی خرید","",IF(INDEX(PCAmount,$N276)&lt;=0,"",INDEX(PCAmount,$N276))),IF($O276&lt;&gt;"",IF(INDEX(TxnDepB,$O276)=0,"",INDEX(TxnDepB,$O276)),""))</f>
        <v/>
      </c>
      <c r="J276" s="25">
        <f>IF($N276&lt;&gt;"",IF(INDEX(PCOp,$N276)="مرجوعی خرید",IF(INDEX(PCAmount,$N276)=0,"",-INDEX(PCAmount,$N276)),""),IF($O276&lt;&gt;"",IF(INDEX(TxnWitB,$O276)=0,"",INDEX(TxnWitB,$O276)),""))</f>
        <v/>
      </c>
      <c r="K276" s="27">
        <f>IF($B276="","",IF($K275="",$C$10,$K275)+IF($I276="",0,$I276)-IF($J276="",0,$J276))</f>
        <v/>
      </c>
      <c r="L276" s="28">
        <f>IF($N276&lt;&gt;"",IF(INDEX(PCNotes,$N276)="","—",INDEX(PCNotes,$N276)),IF($O276&lt;&gt;"",IF(INDEX(LdgNoteB,$O276)="","—",INDEX(LdgNoteB,$O276)),""))</f>
        <v/>
      </c>
      <c r="N276">
        <f>IFERROR(MATCH($C$5&amp;"|"&amp;RIGHT("000000"&amp;260,6),LdgRankKeyA,0),"")</f>
        <v/>
      </c>
      <c r="O276">
        <f>IFERROR(MATCH($C$5&amp;"|"&amp;RIGHT("000000"&amp;260,6),LdgRankKeyB,0),"")</f>
        <v/>
      </c>
    </row>
    <row r="277">
      <c r="A277" s="17" t="n">
        <v>261</v>
      </c>
      <c r="B277" s="18">
        <f>IF(AND($N277="",$O277=""),"",IF($N277&lt;&gt;"",INDEX(PCNormDate,$N277),INDEX(LdgDateB,$O277)))</f>
        <v/>
      </c>
      <c r="C277" s="18">
        <f>IF($N277&lt;&gt;"",INDEX(PCOp,$N277),IF($O277&lt;&gt;"",IF(N(INDEX(TxnDepB,$O277))&gt;0,"دریافت بانکی","پرداخت بانکی"),""))</f>
        <v/>
      </c>
      <c r="D277" s="18">
        <f>IF($N277&lt;&gt;"",IF(INDEX(PCDoc,$N277)="","—",INDEX(PCDoc,$N277)),IF($O277&lt;&gt;"",INDEX(LdgBankB,$O277),""))</f>
        <v/>
      </c>
      <c r="E277" s="18">
        <f>IF($N277&lt;&gt;"",IF(INDEX(PCCitrus,$N277)="","—",INDEX(PCCitrus,$N277)),"")</f>
        <v/>
      </c>
      <c r="F277" s="19">
        <f>IF($N277&lt;&gt;"",IF(INDEX(PCScale,$N277)=0,"",INDEX(PCScale,$N277)),"")</f>
        <v/>
      </c>
      <c r="G277" s="19">
        <f>IF($N277&lt;&gt;"",IF(INDEX(PCBaskets,$N277)=0,"",INDEX(PCBaskets,$N277)),"")</f>
        <v/>
      </c>
      <c r="H277" s="20">
        <f>IF($N277&lt;&gt;"",IF(INDEX(PCNet,$N277)=0,"",INDEX(PCNet,$N277)),"")</f>
        <v/>
      </c>
      <c r="I277" s="19">
        <f>IF($N277&lt;&gt;"",IF(INDEX(PCOp,$N277)="مرجوعی خرید","",IF(INDEX(PCAmount,$N277)&lt;=0,"",INDEX(PCAmount,$N277))),IF($O277&lt;&gt;"",IF(INDEX(TxnDepB,$O277)=0,"",INDEX(TxnDepB,$O277)),""))</f>
        <v/>
      </c>
      <c r="J277" s="19">
        <f>IF($N277&lt;&gt;"",IF(INDEX(PCOp,$N277)="مرجوعی خرید",IF(INDEX(PCAmount,$N277)=0,"",-INDEX(PCAmount,$N277)),""),IF($O277&lt;&gt;"",IF(INDEX(TxnWitB,$O277)=0,"",INDEX(TxnWitB,$O277)),""))</f>
        <v/>
      </c>
      <c r="K277" s="21">
        <f>IF($B277="","",IF($K276="",$C$10,$K276)+IF($I277="",0,$I277)-IF($J277="",0,$J277))</f>
        <v/>
      </c>
      <c r="L277" s="22">
        <f>IF($N277&lt;&gt;"",IF(INDEX(PCNotes,$N277)="","—",INDEX(PCNotes,$N277)),IF($O277&lt;&gt;"",IF(INDEX(LdgNoteB,$O277)="","—",INDEX(LdgNoteB,$O277)),""))</f>
        <v/>
      </c>
      <c r="N277">
        <f>IFERROR(MATCH($C$5&amp;"|"&amp;RIGHT("000000"&amp;261,6),LdgRankKeyA,0),"")</f>
        <v/>
      </c>
      <c r="O277">
        <f>IFERROR(MATCH($C$5&amp;"|"&amp;RIGHT("000000"&amp;261,6),LdgRankKeyB,0),"")</f>
        <v/>
      </c>
    </row>
    <row r="278">
      <c r="A278" s="23" t="n">
        <v>262</v>
      </c>
      <c r="B278" s="24">
        <f>IF(AND($N278="",$O278=""),"",IF($N278&lt;&gt;"",INDEX(PCNormDate,$N278),INDEX(LdgDateB,$O278)))</f>
        <v/>
      </c>
      <c r="C278" s="24">
        <f>IF($N278&lt;&gt;"",INDEX(PCOp,$N278),IF($O278&lt;&gt;"",IF(N(INDEX(TxnDepB,$O278))&gt;0,"دریافت بانکی","پرداخت بانکی"),""))</f>
        <v/>
      </c>
      <c r="D278" s="24">
        <f>IF($N278&lt;&gt;"",IF(INDEX(PCDoc,$N278)="","—",INDEX(PCDoc,$N278)),IF($O278&lt;&gt;"",INDEX(LdgBankB,$O278),""))</f>
        <v/>
      </c>
      <c r="E278" s="24">
        <f>IF($N278&lt;&gt;"",IF(INDEX(PCCitrus,$N278)="","—",INDEX(PCCitrus,$N278)),"")</f>
        <v/>
      </c>
      <c r="F278" s="25">
        <f>IF($N278&lt;&gt;"",IF(INDEX(PCScale,$N278)=0,"",INDEX(PCScale,$N278)),"")</f>
        <v/>
      </c>
      <c r="G278" s="25">
        <f>IF($N278&lt;&gt;"",IF(INDEX(PCBaskets,$N278)=0,"",INDEX(PCBaskets,$N278)),"")</f>
        <v/>
      </c>
      <c r="H278" s="26">
        <f>IF($N278&lt;&gt;"",IF(INDEX(PCNet,$N278)=0,"",INDEX(PCNet,$N278)),"")</f>
        <v/>
      </c>
      <c r="I278" s="25">
        <f>IF($N278&lt;&gt;"",IF(INDEX(PCOp,$N278)="مرجوعی خرید","",IF(INDEX(PCAmount,$N278)&lt;=0,"",INDEX(PCAmount,$N278))),IF($O278&lt;&gt;"",IF(INDEX(TxnDepB,$O278)=0,"",INDEX(TxnDepB,$O278)),""))</f>
        <v/>
      </c>
      <c r="J278" s="25">
        <f>IF($N278&lt;&gt;"",IF(INDEX(PCOp,$N278)="مرجوعی خرید",IF(INDEX(PCAmount,$N278)=0,"",-INDEX(PCAmount,$N278)),""),IF($O278&lt;&gt;"",IF(INDEX(TxnWitB,$O278)=0,"",INDEX(TxnWitB,$O278)),""))</f>
        <v/>
      </c>
      <c r="K278" s="27">
        <f>IF($B278="","",IF($K277="",$C$10,$K277)+IF($I278="",0,$I278)-IF($J278="",0,$J278))</f>
        <v/>
      </c>
      <c r="L278" s="28">
        <f>IF($N278&lt;&gt;"",IF(INDEX(PCNotes,$N278)="","—",INDEX(PCNotes,$N278)),IF($O278&lt;&gt;"",IF(INDEX(LdgNoteB,$O278)="","—",INDEX(LdgNoteB,$O278)),""))</f>
        <v/>
      </c>
      <c r="N278">
        <f>IFERROR(MATCH($C$5&amp;"|"&amp;RIGHT("000000"&amp;262,6),LdgRankKeyA,0),"")</f>
        <v/>
      </c>
      <c r="O278">
        <f>IFERROR(MATCH($C$5&amp;"|"&amp;RIGHT("000000"&amp;262,6),LdgRankKeyB,0),"")</f>
        <v/>
      </c>
    </row>
    <row r="279">
      <c r="A279" s="17" t="n">
        <v>263</v>
      </c>
      <c r="B279" s="18">
        <f>IF(AND($N279="",$O279=""),"",IF($N279&lt;&gt;"",INDEX(PCNormDate,$N279),INDEX(LdgDateB,$O279)))</f>
        <v/>
      </c>
      <c r="C279" s="18">
        <f>IF($N279&lt;&gt;"",INDEX(PCOp,$N279),IF($O279&lt;&gt;"",IF(N(INDEX(TxnDepB,$O279))&gt;0,"دریافت بانکی","پرداخت بانکی"),""))</f>
        <v/>
      </c>
      <c r="D279" s="18">
        <f>IF($N279&lt;&gt;"",IF(INDEX(PCDoc,$N279)="","—",INDEX(PCDoc,$N279)),IF($O279&lt;&gt;"",INDEX(LdgBankB,$O279),""))</f>
        <v/>
      </c>
      <c r="E279" s="18">
        <f>IF($N279&lt;&gt;"",IF(INDEX(PCCitrus,$N279)="","—",INDEX(PCCitrus,$N279)),"")</f>
        <v/>
      </c>
      <c r="F279" s="19">
        <f>IF($N279&lt;&gt;"",IF(INDEX(PCScale,$N279)=0,"",INDEX(PCScale,$N279)),"")</f>
        <v/>
      </c>
      <c r="G279" s="19">
        <f>IF($N279&lt;&gt;"",IF(INDEX(PCBaskets,$N279)=0,"",INDEX(PCBaskets,$N279)),"")</f>
        <v/>
      </c>
      <c r="H279" s="20">
        <f>IF($N279&lt;&gt;"",IF(INDEX(PCNet,$N279)=0,"",INDEX(PCNet,$N279)),"")</f>
        <v/>
      </c>
      <c r="I279" s="19">
        <f>IF($N279&lt;&gt;"",IF(INDEX(PCOp,$N279)="مرجوعی خرید","",IF(INDEX(PCAmount,$N279)&lt;=0,"",INDEX(PCAmount,$N279))),IF($O279&lt;&gt;"",IF(INDEX(TxnDepB,$O279)=0,"",INDEX(TxnDepB,$O279)),""))</f>
        <v/>
      </c>
      <c r="J279" s="19">
        <f>IF($N279&lt;&gt;"",IF(INDEX(PCOp,$N279)="مرجوعی خرید",IF(INDEX(PCAmount,$N279)=0,"",-INDEX(PCAmount,$N279)),""),IF($O279&lt;&gt;"",IF(INDEX(TxnWitB,$O279)=0,"",INDEX(TxnWitB,$O279)),""))</f>
        <v/>
      </c>
      <c r="K279" s="21">
        <f>IF($B279="","",IF($K278="",$C$10,$K278)+IF($I279="",0,$I279)-IF($J279="",0,$J279))</f>
        <v/>
      </c>
      <c r="L279" s="22">
        <f>IF($N279&lt;&gt;"",IF(INDEX(PCNotes,$N279)="","—",INDEX(PCNotes,$N279)),IF($O279&lt;&gt;"",IF(INDEX(LdgNoteB,$O279)="","—",INDEX(LdgNoteB,$O279)),""))</f>
        <v/>
      </c>
      <c r="N279">
        <f>IFERROR(MATCH($C$5&amp;"|"&amp;RIGHT("000000"&amp;263,6),LdgRankKeyA,0),"")</f>
        <v/>
      </c>
      <c r="O279">
        <f>IFERROR(MATCH($C$5&amp;"|"&amp;RIGHT("000000"&amp;263,6),LdgRankKeyB,0),"")</f>
        <v/>
      </c>
    </row>
    <row r="280">
      <c r="A280" s="23" t="n">
        <v>264</v>
      </c>
      <c r="B280" s="24">
        <f>IF(AND($N280="",$O280=""),"",IF($N280&lt;&gt;"",INDEX(PCNormDate,$N280),INDEX(LdgDateB,$O280)))</f>
        <v/>
      </c>
      <c r="C280" s="24">
        <f>IF($N280&lt;&gt;"",INDEX(PCOp,$N280),IF($O280&lt;&gt;"",IF(N(INDEX(TxnDepB,$O280))&gt;0,"دریافت بانکی","پرداخت بانکی"),""))</f>
        <v/>
      </c>
      <c r="D280" s="24">
        <f>IF($N280&lt;&gt;"",IF(INDEX(PCDoc,$N280)="","—",INDEX(PCDoc,$N280)),IF($O280&lt;&gt;"",INDEX(LdgBankB,$O280),""))</f>
        <v/>
      </c>
      <c r="E280" s="24">
        <f>IF($N280&lt;&gt;"",IF(INDEX(PCCitrus,$N280)="","—",INDEX(PCCitrus,$N280)),"")</f>
        <v/>
      </c>
      <c r="F280" s="25">
        <f>IF($N280&lt;&gt;"",IF(INDEX(PCScale,$N280)=0,"",INDEX(PCScale,$N280)),"")</f>
        <v/>
      </c>
      <c r="G280" s="25">
        <f>IF($N280&lt;&gt;"",IF(INDEX(PCBaskets,$N280)=0,"",INDEX(PCBaskets,$N280)),"")</f>
        <v/>
      </c>
      <c r="H280" s="26">
        <f>IF($N280&lt;&gt;"",IF(INDEX(PCNet,$N280)=0,"",INDEX(PCNet,$N280)),"")</f>
        <v/>
      </c>
      <c r="I280" s="25">
        <f>IF($N280&lt;&gt;"",IF(INDEX(PCOp,$N280)="مرجوعی خرید","",IF(INDEX(PCAmount,$N280)&lt;=0,"",INDEX(PCAmount,$N280))),IF($O280&lt;&gt;"",IF(INDEX(TxnDepB,$O280)=0,"",INDEX(TxnDepB,$O280)),""))</f>
        <v/>
      </c>
      <c r="J280" s="25">
        <f>IF($N280&lt;&gt;"",IF(INDEX(PCOp,$N280)="مرجوعی خرید",IF(INDEX(PCAmount,$N280)=0,"",-INDEX(PCAmount,$N280)),""),IF($O280&lt;&gt;"",IF(INDEX(TxnWitB,$O280)=0,"",INDEX(TxnWitB,$O280)),""))</f>
        <v/>
      </c>
      <c r="K280" s="27">
        <f>IF($B280="","",IF($K279="",$C$10,$K279)+IF($I280="",0,$I280)-IF($J280="",0,$J280))</f>
        <v/>
      </c>
      <c r="L280" s="28">
        <f>IF($N280&lt;&gt;"",IF(INDEX(PCNotes,$N280)="","—",INDEX(PCNotes,$N280)),IF($O280&lt;&gt;"",IF(INDEX(LdgNoteB,$O280)="","—",INDEX(LdgNoteB,$O280)),""))</f>
        <v/>
      </c>
      <c r="N280">
        <f>IFERROR(MATCH($C$5&amp;"|"&amp;RIGHT("000000"&amp;264,6),LdgRankKeyA,0),"")</f>
        <v/>
      </c>
      <c r="O280">
        <f>IFERROR(MATCH($C$5&amp;"|"&amp;RIGHT("000000"&amp;264,6),LdgRankKeyB,0),"")</f>
        <v/>
      </c>
    </row>
    <row r="281">
      <c r="A281" s="17" t="n">
        <v>265</v>
      </c>
      <c r="B281" s="18">
        <f>IF(AND($N281="",$O281=""),"",IF($N281&lt;&gt;"",INDEX(PCNormDate,$N281),INDEX(LdgDateB,$O281)))</f>
        <v/>
      </c>
      <c r="C281" s="18">
        <f>IF($N281&lt;&gt;"",INDEX(PCOp,$N281),IF($O281&lt;&gt;"",IF(N(INDEX(TxnDepB,$O281))&gt;0,"دریافت بانکی","پرداخت بانکی"),""))</f>
        <v/>
      </c>
      <c r="D281" s="18">
        <f>IF($N281&lt;&gt;"",IF(INDEX(PCDoc,$N281)="","—",INDEX(PCDoc,$N281)),IF($O281&lt;&gt;"",INDEX(LdgBankB,$O281),""))</f>
        <v/>
      </c>
      <c r="E281" s="18">
        <f>IF($N281&lt;&gt;"",IF(INDEX(PCCitrus,$N281)="","—",INDEX(PCCitrus,$N281)),"")</f>
        <v/>
      </c>
      <c r="F281" s="19">
        <f>IF($N281&lt;&gt;"",IF(INDEX(PCScale,$N281)=0,"",INDEX(PCScale,$N281)),"")</f>
        <v/>
      </c>
      <c r="G281" s="19">
        <f>IF($N281&lt;&gt;"",IF(INDEX(PCBaskets,$N281)=0,"",INDEX(PCBaskets,$N281)),"")</f>
        <v/>
      </c>
      <c r="H281" s="20">
        <f>IF($N281&lt;&gt;"",IF(INDEX(PCNet,$N281)=0,"",INDEX(PCNet,$N281)),"")</f>
        <v/>
      </c>
      <c r="I281" s="19">
        <f>IF($N281&lt;&gt;"",IF(INDEX(PCOp,$N281)="مرجوعی خرید","",IF(INDEX(PCAmount,$N281)&lt;=0,"",INDEX(PCAmount,$N281))),IF($O281&lt;&gt;"",IF(INDEX(TxnDepB,$O281)=0,"",INDEX(TxnDepB,$O281)),""))</f>
        <v/>
      </c>
      <c r="J281" s="19">
        <f>IF($N281&lt;&gt;"",IF(INDEX(PCOp,$N281)="مرجوعی خرید",IF(INDEX(PCAmount,$N281)=0,"",-INDEX(PCAmount,$N281)),""),IF($O281&lt;&gt;"",IF(INDEX(TxnWitB,$O281)=0,"",INDEX(TxnWitB,$O281)),""))</f>
        <v/>
      </c>
      <c r="K281" s="21">
        <f>IF($B281="","",IF($K280="",$C$10,$K280)+IF($I281="",0,$I281)-IF($J281="",0,$J281))</f>
        <v/>
      </c>
      <c r="L281" s="22">
        <f>IF($N281&lt;&gt;"",IF(INDEX(PCNotes,$N281)="","—",INDEX(PCNotes,$N281)),IF($O281&lt;&gt;"",IF(INDEX(LdgNoteB,$O281)="","—",INDEX(LdgNoteB,$O281)),""))</f>
        <v/>
      </c>
      <c r="N281">
        <f>IFERROR(MATCH($C$5&amp;"|"&amp;RIGHT("000000"&amp;265,6),LdgRankKeyA,0),"")</f>
        <v/>
      </c>
      <c r="O281">
        <f>IFERROR(MATCH($C$5&amp;"|"&amp;RIGHT("000000"&amp;265,6),LdgRankKeyB,0),"")</f>
        <v/>
      </c>
    </row>
    <row r="282">
      <c r="A282" s="23" t="n">
        <v>266</v>
      </c>
      <c r="B282" s="24">
        <f>IF(AND($N282="",$O282=""),"",IF($N282&lt;&gt;"",INDEX(PCNormDate,$N282),INDEX(LdgDateB,$O282)))</f>
        <v/>
      </c>
      <c r="C282" s="24">
        <f>IF($N282&lt;&gt;"",INDEX(PCOp,$N282),IF($O282&lt;&gt;"",IF(N(INDEX(TxnDepB,$O282))&gt;0,"دریافت بانکی","پرداخت بانکی"),""))</f>
        <v/>
      </c>
      <c r="D282" s="24">
        <f>IF($N282&lt;&gt;"",IF(INDEX(PCDoc,$N282)="","—",INDEX(PCDoc,$N282)),IF($O282&lt;&gt;"",INDEX(LdgBankB,$O282),""))</f>
        <v/>
      </c>
      <c r="E282" s="24">
        <f>IF($N282&lt;&gt;"",IF(INDEX(PCCitrus,$N282)="","—",INDEX(PCCitrus,$N282)),"")</f>
        <v/>
      </c>
      <c r="F282" s="25">
        <f>IF($N282&lt;&gt;"",IF(INDEX(PCScale,$N282)=0,"",INDEX(PCScale,$N282)),"")</f>
        <v/>
      </c>
      <c r="G282" s="25">
        <f>IF($N282&lt;&gt;"",IF(INDEX(PCBaskets,$N282)=0,"",INDEX(PCBaskets,$N282)),"")</f>
        <v/>
      </c>
      <c r="H282" s="26">
        <f>IF($N282&lt;&gt;"",IF(INDEX(PCNet,$N282)=0,"",INDEX(PCNet,$N282)),"")</f>
        <v/>
      </c>
      <c r="I282" s="25">
        <f>IF($N282&lt;&gt;"",IF(INDEX(PCOp,$N282)="مرجوعی خرید","",IF(INDEX(PCAmount,$N282)&lt;=0,"",INDEX(PCAmount,$N282))),IF($O282&lt;&gt;"",IF(INDEX(TxnDepB,$O282)=0,"",INDEX(TxnDepB,$O282)),""))</f>
        <v/>
      </c>
      <c r="J282" s="25">
        <f>IF($N282&lt;&gt;"",IF(INDEX(PCOp,$N282)="مرجوعی خرید",IF(INDEX(PCAmount,$N282)=0,"",-INDEX(PCAmount,$N282)),""),IF($O282&lt;&gt;"",IF(INDEX(TxnWitB,$O282)=0,"",INDEX(TxnWitB,$O282)),""))</f>
        <v/>
      </c>
      <c r="K282" s="27">
        <f>IF($B282="","",IF($K281="",$C$10,$K281)+IF($I282="",0,$I282)-IF($J282="",0,$J282))</f>
        <v/>
      </c>
      <c r="L282" s="28">
        <f>IF($N282&lt;&gt;"",IF(INDEX(PCNotes,$N282)="","—",INDEX(PCNotes,$N282)),IF($O282&lt;&gt;"",IF(INDEX(LdgNoteB,$O282)="","—",INDEX(LdgNoteB,$O282)),""))</f>
        <v/>
      </c>
      <c r="N282">
        <f>IFERROR(MATCH($C$5&amp;"|"&amp;RIGHT("000000"&amp;266,6),LdgRankKeyA,0),"")</f>
        <v/>
      </c>
      <c r="O282">
        <f>IFERROR(MATCH($C$5&amp;"|"&amp;RIGHT("000000"&amp;266,6),LdgRankKeyB,0),"")</f>
        <v/>
      </c>
    </row>
    <row r="283">
      <c r="A283" s="17" t="n">
        <v>267</v>
      </c>
      <c r="B283" s="18">
        <f>IF(AND($N283="",$O283=""),"",IF($N283&lt;&gt;"",INDEX(PCNormDate,$N283),INDEX(LdgDateB,$O283)))</f>
        <v/>
      </c>
      <c r="C283" s="18">
        <f>IF($N283&lt;&gt;"",INDEX(PCOp,$N283),IF($O283&lt;&gt;"",IF(N(INDEX(TxnDepB,$O283))&gt;0,"دریافت بانکی","پرداخت بانکی"),""))</f>
        <v/>
      </c>
      <c r="D283" s="18">
        <f>IF($N283&lt;&gt;"",IF(INDEX(PCDoc,$N283)="","—",INDEX(PCDoc,$N283)),IF($O283&lt;&gt;"",INDEX(LdgBankB,$O283),""))</f>
        <v/>
      </c>
      <c r="E283" s="18">
        <f>IF($N283&lt;&gt;"",IF(INDEX(PCCitrus,$N283)="","—",INDEX(PCCitrus,$N283)),"")</f>
        <v/>
      </c>
      <c r="F283" s="19">
        <f>IF($N283&lt;&gt;"",IF(INDEX(PCScale,$N283)=0,"",INDEX(PCScale,$N283)),"")</f>
        <v/>
      </c>
      <c r="G283" s="19">
        <f>IF($N283&lt;&gt;"",IF(INDEX(PCBaskets,$N283)=0,"",INDEX(PCBaskets,$N283)),"")</f>
        <v/>
      </c>
      <c r="H283" s="20">
        <f>IF($N283&lt;&gt;"",IF(INDEX(PCNet,$N283)=0,"",INDEX(PCNet,$N283)),"")</f>
        <v/>
      </c>
      <c r="I283" s="19">
        <f>IF($N283&lt;&gt;"",IF(INDEX(PCOp,$N283)="مرجوعی خرید","",IF(INDEX(PCAmount,$N283)&lt;=0,"",INDEX(PCAmount,$N283))),IF($O283&lt;&gt;"",IF(INDEX(TxnDepB,$O283)=0,"",INDEX(TxnDepB,$O283)),""))</f>
        <v/>
      </c>
      <c r="J283" s="19">
        <f>IF($N283&lt;&gt;"",IF(INDEX(PCOp,$N283)="مرجوعی خرید",IF(INDEX(PCAmount,$N283)=0,"",-INDEX(PCAmount,$N283)),""),IF($O283&lt;&gt;"",IF(INDEX(TxnWitB,$O283)=0,"",INDEX(TxnWitB,$O283)),""))</f>
        <v/>
      </c>
      <c r="K283" s="21">
        <f>IF($B283="","",IF($K282="",$C$10,$K282)+IF($I283="",0,$I283)-IF($J283="",0,$J283))</f>
        <v/>
      </c>
      <c r="L283" s="22">
        <f>IF($N283&lt;&gt;"",IF(INDEX(PCNotes,$N283)="","—",INDEX(PCNotes,$N283)),IF($O283&lt;&gt;"",IF(INDEX(LdgNoteB,$O283)="","—",INDEX(LdgNoteB,$O283)),""))</f>
        <v/>
      </c>
      <c r="N283">
        <f>IFERROR(MATCH($C$5&amp;"|"&amp;RIGHT("000000"&amp;267,6),LdgRankKeyA,0),"")</f>
        <v/>
      </c>
      <c r="O283">
        <f>IFERROR(MATCH($C$5&amp;"|"&amp;RIGHT("000000"&amp;267,6),LdgRankKeyB,0),"")</f>
        <v/>
      </c>
    </row>
    <row r="284">
      <c r="A284" s="23" t="n">
        <v>268</v>
      </c>
      <c r="B284" s="24">
        <f>IF(AND($N284="",$O284=""),"",IF($N284&lt;&gt;"",INDEX(PCNormDate,$N284),INDEX(LdgDateB,$O284)))</f>
        <v/>
      </c>
      <c r="C284" s="24">
        <f>IF($N284&lt;&gt;"",INDEX(PCOp,$N284),IF($O284&lt;&gt;"",IF(N(INDEX(TxnDepB,$O284))&gt;0,"دریافت بانکی","پرداخت بانکی"),""))</f>
        <v/>
      </c>
      <c r="D284" s="24">
        <f>IF($N284&lt;&gt;"",IF(INDEX(PCDoc,$N284)="","—",INDEX(PCDoc,$N284)),IF($O284&lt;&gt;"",INDEX(LdgBankB,$O284),""))</f>
        <v/>
      </c>
      <c r="E284" s="24">
        <f>IF($N284&lt;&gt;"",IF(INDEX(PCCitrus,$N284)="","—",INDEX(PCCitrus,$N284)),"")</f>
        <v/>
      </c>
      <c r="F284" s="25">
        <f>IF($N284&lt;&gt;"",IF(INDEX(PCScale,$N284)=0,"",INDEX(PCScale,$N284)),"")</f>
        <v/>
      </c>
      <c r="G284" s="25">
        <f>IF($N284&lt;&gt;"",IF(INDEX(PCBaskets,$N284)=0,"",INDEX(PCBaskets,$N284)),"")</f>
        <v/>
      </c>
      <c r="H284" s="26">
        <f>IF($N284&lt;&gt;"",IF(INDEX(PCNet,$N284)=0,"",INDEX(PCNet,$N284)),"")</f>
        <v/>
      </c>
      <c r="I284" s="25">
        <f>IF($N284&lt;&gt;"",IF(INDEX(PCOp,$N284)="مرجوعی خرید","",IF(INDEX(PCAmount,$N284)&lt;=0,"",INDEX(PCAmount,$N284))),IF($O284&lt;&gt;"",IF(INDEX(TxnDepB,$O284)=0,"",INDEX(TxnDepB,$O284)),""))</f>
        <v/>
      </c>
      <c r="J284" s="25">
        <f>IF($N284&lt;&gt;"",IF(INDEX(PCOp,$N284)="مرجوعی خرید",IF(INDEX(PCAmount,$N284)=0,"",-INDEX(PCAmount,$N284)),""),IF($O284&lt;&gt;"",IF(INDEX(TxnWitB,$O284)=0,"",INDEX(TxnWitB,$O284)),""))</f>
        <v/>
      </c>
      <c r="K284" s="27">
        <f>IF($B284="","",IF($K283="",$C$10,$K283)+IF($I284="",0,$I284)-IF($J284="",0,$J284))</f>
        <v/>
      </c>
      <c r="L284" s="28">
        <f>IF($N284&lt;&gt;"",IF(INDEX(PCNotes,$N284)="","—",INDEX(PCNotes,$N284)),IF($O284&lt;&gt;"",IF(INDEX(LdgNoteB,$O284)="","—",INDEX(LdgNoteB,$O284)),""))</f>
        <v/>
      </c>
      <c r="N284">
        <f>IFERROR(MATCH($C$5&amp;"|"&amp;RIGHT("000000"&amp;268,6),LdgRankKeyA,0),"")</f>
        <v/>
      </c>
      <c r="O284">
        <f>IFERROR(MATCH($C$5&amp;"|"&amp;RIGHT("000000"&amp;268,6),LdgRankKeyB,0),"")</f>
        <v/>
      </c>
    </row>
    <row r="285">
      <c r="A285" s="17" t="n">
        <v>269</v>
      </c>
      <c r="B285" s="18">
        <f>IF(AND($N285="",$O285=""),"",IF($N285&lt;&gt;"",INDEX(PCNormDate,$N285),INDEX(LdgDateB,$O285)))</f>
        <v/>
      </c>
      <c r="C285" s="18">
        <f>IF($N285&lt;&gt;"",INDEX(PCOp,$N285),IF($O285&lt;&gt;"",IF(N(INDEX(TxnDepB,$O285))&gt;0,"دریافت بانکی","پرداخت بانکی"),""))</f>
        <v/>
      </c>
      <c r="D285" s="18">
        <f>IF($N285&lt;&gt;"",IF(INDEX(PCDoc,$N285)="","—",INDEX(PCDoc,$N285)),IF($O285&lt;&gt;"",INDEX(LdgBankB,$O285),""))</f>
        <v/>
      </c>
      <c r="E285" s="18">
        <f>IF($N285&lt;&gt;"",IF(INDEX(PCCitrus,$N285)="","—",INDEX(PCCitrus,$N285)),"")</f>
        <v/>
      </c>
      <c r="F285" s="19">
        <f>IF($N285&lt;&gt;"",IF(INDEX(PCScale,$N285)=0,"",INDEX(PCScale,$N285)),"")</f>
        <v/>
      </c>
      <c r="G285" s="19">
        <f>IF($N285&lt;&gt;"",IF(INDEX(PCBaskets,$N285)=0,"",INDEX(PCBaskets,$N285)),"")</f>
        <v/>
      </c>
      <c r="H285" s="20">
        <f>IF($N285&lt;&gt;"",IF(INDEX(PCNet,$N285)=0,"",INDEX(PCNet,$N285)),"")</f>
        <v/>
      </c>
      <c r="I285" s="19">
        <f>IF($N285&lt;&gt;"",IF(INDEX(PCOp,$N285)="مرجوعی خرید","",IF(INDEX(PCAmount,$N285)&lt;=0,"",INDEX(PCAmount,$N285))),IF($O285&lt;&gt;"",IF(INDEX(TxnDepB,$O285)=0,"",INDEX(TxnDepB,$O285)),""))</f>
        <v/>
      </c>
      <c r="J285" s="19">
        <f>IF($N285&lt;&gt;"",IF(INDEX(PCOp,$N285)="مرجوعی خرید",IF(INDEX(PCAmount,$N285)=0,"",-INDEX(PCAmount,$N285)),""),IF($O285&lt;&gt;"",IF(INDEX(TxnWitB,$O285)=0,"",INDEX(TxnWitB,$O285)),""))</f>
        <v/>
      </c>
      <c r="K285" s="21">
        <f>IF($B285="","",IF($K284="",$C$10,$K284)+IF($I285="",0,$I285)-IF($J285="",0,$J285))</f>
        <v/>
      </c>
      <c r="L285" s="22">
        <f>IF($N285&lt;&gt;"",IF(INDEX(PCNotes,$N285)="","—",INDEX(PCNotes,$N285)),IF($O285&lt;&gt;"",IF(INDEX(LdgNoteB,$O285)="","—",INDEX(LdgNoteB,$O285)),""))</f>
        <v/>
      </c>
      <c r="N285">
        <f>IFERROR(MATCH($C$5&amp;"|"&amp;RIGHT("000000"&amp;269,6),LdgRankKeyA,0),"")</f>
        <v/>
      </c>
      <c r="O285">
        <f>IFERROR(MATCH($C$5&amp;"|"&amp;RIGHT("000000"&amp;269,6),LdgRankKeyB,0),"")</f>
        <v/>
      </c>
    </row>
    <row r="286">
      <c r="A286" s="23" t="n">
        <v>270</v>
      </c>
      <c r="B286" s="24">
        <f>IF(AND($N286="",$O286=""),"",IF($N286&lt;&gt;"",INDEX(PCNormDate,$N286),INDEX(LdgDateB,$O286)))</f>
        <v/>
      </c>
      <c r="C286" s="24">
        <f>IF($N286&lt;&gt;"",INDEX(PCOp,$N286),IF($O286&lt;&gt;"",IF(N(INDEX(TxnDepB,$O286))&gt;0,"دریافت بانکی","پرداخت بانکی"),""))</f>
        <v/>
      </c>
      <c r="D286" s="24">
        <f>IF($N286&lt;&gt;"",IF(INDEX(PCDoc,$N286)="","—",INDEX(PCDoc,$N286)),IF($O286&lt;&gt;"",INDEX(LdgBankB,$O286),""))</f>
        <v/>
      </c>
      <c r="E286" s="24">
        <f>IF($N286&lt;&gt;"",IF(INDEX(PCCitrus,$N286)="","—",INDEX(PCCitrus,$N286)),"")</f>
        <v/>
      </c>
      <c r="F286" s="25">
        <f>IF($N286&lt;&gt;"",IF(INDEX(PCScale,$N286)=0,"",INDEX(PCScale,$N286)),"")</f>
        <v/>
      </c>
      <c r="G286" s="25">
        <f>IF($N286&lt;&gt;"",IF(INDEX(PCBaskets,$N286)=0,"",INDEX(PCBaskets,$N286)),"")</f>
        <v/>
      </c>
      <c r="H286" s="26">
        <f>IF($N286&lt;&gt;"",IF(INDEX(PCNet,$N286)=0,"",INDEX(PCNet,$N286)),"")</f>
        <v/>
      </c>
      <c r="I286" s="25">
        <f>IF($N286&lt;&gt;"",IF(INDEX(PCOp,$N286)="مرجوعی خرید","",IF(INDEX(PCAmount,$N286)&lt;=0,"",INDEX(PCAmount,$N286))),IF($O286&lt;&gt;"",IF(INDEX(TxnDepB,$O286)=0,"",INDEX(TxnDepB,$O286)),""))</f>
        <v/>
      </c>
      <c r="J286" s="25">
        <f>IF($N286&lt;&gt;"",IF(INDEX(PCOp,$N286)="مرجوعی خرید",IF(INDEX(PCAmount,$N286)=0,"",-INDEX(PCAmount,$N286)),""),IF($O286&lt;&gt;"",IF(INDEX(TxnWitB,$O286)=0,"",INDEX(TxnWitB,$O286)),""))</f>
        <v/>
      </c>
      <c r="K286" s="27">
        <f>IF($B286="","",IF($K285="",$C$10,$K285)+IF($I286="",0,$I286)-IF($J286="",0,$J286))</f>
        <v/>
      </c>
      <c r="L286" s="28">
        <f>IF($N286&lt;&gt;"",IF(INDEX(PCNotes,$N286)="","—",INDEX(PCNotes,$N286)),IF($O286&lt;&gt;"",IF(INDEX(LdgNoteB,$O286)="","—",INDEX(LdgNoteB,$O286)),""))</f>
        <v/>
      </c>
      <c r="N286">
        <f>IFERROR(MATCH($C$5&amp;"|"&amp;RIGHT("000000"&amp;270,6),LdgRankKeyA,0),"")</f>
        <v/>
      </c>
      <c r="O286">
        <f>IFERROR(MATCH($C$5&amp;"|"&amp;RIGHT("000000"&amp;270,6),LdgRankKeyB,0),"")</f>
        <v/>
      </c>
    </row>
    <row r="287">
      <c r="A287" s="17" t="n">
        <v>271</v>
      </c>
      <c r="B287" s="18">
        <f>IF(AND($N287="",$O287=""),"",IF($N287&lt;&gt;"",INDEX(PCNormDate,$N287),INDEX(LdgDateB,$O287)))</f>
        <v/>
      </c>
      <c r="C287" s="18">
        <f>IF($N287&lt;&gt;"",INDEX(PCOp,$N287),IF($O287&lt;&gt;"",IF(N(INDEX(TxnDepB,$O287))&gt;0,"دریافت بانکی","پرداخت بانکی"),""))</f>
        <v/>
      </c>
      <c r="D287" s="18">
        <f>IF($N287&lt;&gt;"",IF(INDEX(PCDoc,$N287)="","—",INDEX(PCDoc,$N287)),IF($O287&lt;&gt;"",INDEX(LdgBankB,$O287),""))</f>
        <v/>
      </c>
      <c r="E287" s="18">
        <f>IF($N287&lt;&gt;"",IF(INDEX(PCCitrus,$N287)="","—",INDEX(PCCitrus,$N287)),"")</f>
        <v/>
      </c>
      <c r="F287" s="19">
        <f>IF($N287&lt;&gt;"",IF(INDEX(PCScale,$N287)=0,"",INDEX(PCScale,$N287)),"")</f>
        <v/>
      </c>
      <c r="G287" s="19">
        <f>IF($N287&lt;&gt;"",IF(INDEX(PCBaskets,$N287)=0,"",INDEX(PCBaskets,$N287)),"")</f>
        <v/>
      </c>
      <c r="H287" s="20">
        <f>IF($N287&lt;&gt;"",IF(INDEX(PCNet,$N287)=0,"",INDEX(PCNet,$N287)),"")</f>
        <v/>
      </c>
      <c r="I287" s="19">
        <f>IF($N287&lt;&gt;"",IF(INDEX(PCOp,$N287)="مرجوعی خرید","",IF(INDEX(PCAmount,$N287)&lt;=0,"",INDEX(PCAmount,$N287))),IF($O287&lt;&gt;"",IF(INDEX(TxnDepB,$O287)=0,"",INDEX(TxnDepB,$O287)),""))</f>
        <v/>
      </c>
      <c r="J287" s="19">
        <f>IF($N287&lt;&gt;"",IF(INDEX(PCOp,$N287)="مرجوعی خرید",IF(INDEX(PCAmount,$N287)=0,"",-INDEX(PCAmount,$N287)),""),IF($O287&lt;&gt;"",IF(INDEX(TxnWitB,$O287)=0,"",INDEX(TxnWitB,$O287)),""))</f>
        <v/>
      </c>
      <c r="K287" s="21">
        <f>IF($B287="","",IF($K286="",$C$10,$K286)+IF($I287="",0,$I287)-IF($J287="",0,$J287))</f>
        <v/>
      </c>
      <c r="L287" s="22">
        <f>IF($N287&lt;&gt;"",IF(INDEX(PCNotes,$N287)="","—",INDEX(PCNotes,$N287)),IF($O287&lt;&gt;"",IF(INDEX(LdgNoteB,$O287)="","—",INDEX(LdgNoteB,$O287)),""))</f>
        <v/>
      </c>
      <c r="N287">
        <f>IFERROR(MATCH($C$5&amp;"|"&amp;RIGHT("000000"&amp;271,6),LdgRankKeyA,0),"")</f>
        <v/>
      </c>
      <c r="O287">
        <f>IFERROR(MATCH($C$5&amp;"|"&amp;RIGHT("000000"&amp;271,6),LdgRankKeyB,0),"")</f>
        <v/>
      </c>
    </row>
    <row r="288">
      <c r="A288" s="23" t="n">
        <v>272</v>
      </c>
      <c r="B288" s="24">
        <f>IF(AND($N288="",$O288=""),"",IF($N288&lt;&gt;"",INDEX(PCNormDate,$N288),INDEX(LdgDateB,$O288)))</f>
        <v/>
      </c>
      <c r="C288" s="24">
        <f>IF($N288&lt;&gt;"",INDEX(PCOp,$N288),IF($O288&lt;&gt;"",IF(N(INDEX(TxnDepB,$O288))&gt;0,"دریافت بانکی","پرداخت بانکی"),""))</f>
        <v/>
      </c>
      <c r="D288" s="24">
        <f>IF($N288&lt;&gt;"",IF(INDEX(PCDoc,$N288)="","—",INDEX(PCDoc,$N288)),IF($O288&lt;&gt;"",INDEX(LdgBankB,$O288),""))</f>
        <v/>
      </c>
      <c r="E288" s="24">
        <f>IF($N288&lt;&gt;"",IF(INDEX(PCCitrus,$N288)="","—",INDEX(PCCitrus,$N288)),"")</f>
        <v/>
      </c>
      <c r="F288" s="25">
        <f>IF($N288&lt;&gt;"",IF(INDEX(PCScale,$N288)=0,"",INDEX(PCScale,$N288)),"")</f>
        <v/>
      </c>
      <c r="G288" s="25">
        <f>IF($N288&lt;&gt;"",IF(INDEX(PCBaskets,$N288)=0,"",INDEX(PCBaskets,$N288)),"")</f>
        <v/>
      </c>
      <c r="H288" s="26">
        <f>IF($N288&lt;&gt;"",IF(INDEX(PCNet,$N288)=0,"",INDEX(PCNet,$N288)),"")</f>
        <v/>
      </c>
      <c r="I288" s="25">
        <f>IF($N288&lt;&gt;"",IF(INDEX(PCOp,$N288)="مرجوعی خرید","",IF(INDEX(PCAmount,$N288)&lt;=0,"",INDEX(PCAmount,$N288))),IF($O288&lt;&gt;"",IF(INDEX(TxnDepB,$O288)=0,"",INDEX(TxnDepB,$O288)),""))</f>
        <v/>
      </c>
      <c r="J288" s="25">
        <f>IF($N288&lt;&gt;"",IF(INDEX(PCOp,$N288)="مرجوعی خرید",IF(INDEX(PCAmount,$N288)=0,"",-INDEX(PCAmount,$N288)),""),IF($O288&lt;&gt;"",IF(INDEX(TxnWitB,$O288)=0,"",INDEX(TxnWitB,$O288)),""))</f>
        <v/>
      </c>
      <c r="K288" s="27">
        <f>IF($B288="","",IF($K287="",$C$10,$K287)+IF($I288="",0,$I288)-IF($J288="",0,$J288))</f>
        <v/>
      </c>
      <c r="L288" s="28">
        <f>IF($N288&lt;&gt;"",IF(INDEX(PCNotes,$N288)="","—",INDEX(PCNotes,$N288)),IF($O288&lt;&gt;"",IF(INDEX(LdgNoteB,$O288)="","—",INDEX(LdgNoteB,$O288)),""))</f>
        <v/>
      </c>
      <c r="N288">
        <f>IFERROR(MATCH($C$5&amp;"|"&amp;RIGHT("000000"&amp;272,6),LdgRankKeyA,0),"")</f>
        <v/>
      </c>
      <c r="O288">
        <f>IFERROR(MATCH($C$5&amp;"|"&amp;RIGHT("000000"&amp;272,6),LdgRankKeyB,0),"")</f>
        <v/>
      </c>
    </row>
    <row r="289">
      <c r="A289" s="17" t="n">
        <v>273</v>
      </c>
      <c r="B289" s="18">
        <f>IF(AND($N289="",$O289=""),"",IF($N289&lt;&gt;"",INDEX(PCNormDate,$N289),INDEX(LdgDateB,$O289)))</f>
        <v/>
      </c>
      <c r="C289" s="18">
        <f>IF($N289&lt;&gt;"",INDEX(PCOp,$N289),IF($O289&lt;&gt;"",IF(N(INDEX(TxnDepB,$O289))&gt;0,"دریافت بانکی","پرداخت بانکی"),""))</f>
        <v/>
      </c>
      <c r="D289" s="18">
        <f>IF($N289&lt;&gt;"",IF(INDEX(PCDoc,$N289)="","—",INDEX(PCDoc,$N289)),IF($O289&lt;&gt;"",INDEX(LdgBankB,$O289),""))</f>
        <v/>
      </c>
      <c r="E289" s="18">
        <f>IF($N289&lt;&gt;"",IF(INDEX(PCCitrus,$N289)="","—",INDEX(PCCitrus,$N289)),"")</f>
        <v/>
      </c>
      <c r="F289" s="19">
        <f>IF($N289&lt;&gt;"",IF(INDEX(PCScale,$N289)=0,"",INDEX(PCScale,$N289)),"")</f>
        <v/>
      </c>
      <c r="G289" s="19">
        <f>IF($N289&lt;&gt;"",IF(INDEX(PCBaskets,$N289)=0,"",INDEX(PCBaskets,$N289)),"")</f>
        <v/>
      </c>
      <c r="H289" s="20">
        <f>IF($N289&lt;&gt;"",IF(INDEX(PCNet,$N289)=0,"",INDEX(PCNet,$N289)),"")</f>
        <v/>
      </c>
      <c r="I289" s="19">
        <f>IF($N289&lt;&gt;"",IF(INDEX(PCOp,$N289)="مرجوعی خرید","",IF(INDEX(PCAmount,$N289)&lt;=0,"",INDEX(PCAmount,$N289))),IF($O289&lt;&gt;"",IF(INDEX(TxnDepB,$O289)=0,"",INDEX(TxnDepB,$O289)),""))</f>
        <v/>
      </c>
      <c r="J289" s="19">
        <f>IF($N289&lt;&gt;"",IF(INDEX(PCOp,$N289)="مرجوعی خرید",IF(INDEX(PCAmount,$N289)=0,"",-INDEX(PCAmount,$N289)),""),IF($O289&lt;&gt;"",IF(INDEX(TxnWitB,$O289)=0,"",INDEX(TxnWitB,$O289)),""))</f>
        <v/>
      </c>
      <c r="K289" s="21">
        <f>IF($B289="","",IF($K288="",$C$10,$K288)+IF($I289="",0,$I289)-IF($J289="",0,$J289))</f>
        <v/>
      </c>
      <c r="L289" s="22">
        <f>IF($N289&lt;&gt;"",IF(INDEX(PCNotes,$N289)="","—",INDEX(PCNotes,$N289)),IF($O289&lt;&gt;"",IF(INDEX(LdgNoteB,$O289)="","—",INDEX(LdgNoteB,$O289)),""))</f>
        <v/>
      </c>
      <c r="N289">
        <f>IFERROR(MATCH($C$5&amp;"|"&amp;RIGHT("000000"&amp;273,6),LdgRankKeyA,0),"")</f>
        <v/>
      </c>
      <c r="O289">
        <f>IFERROR(MATCH($C$5&amp;"|"&amp;RIGHT("000000"&amp;273,6),LdgRankKeyB,0),"")</f>
        <v/>
      </c>
    </row>
    <row r="290">
      <c r="A290" s="23" t="n">
        <v>274</v>
      </c>
      <c r="B290" s="24">
        <f>IF(AND($N290="",$O290=""),"",IF($N290&lt;&gt;"",INDEX(PCNormDate,$N290),INDEX(LdgDateB,$O290)))</f>
        <v/>
      </c>
      <c r="C290" s="24">
        <f>IF($N290&lt;&gt;"",INDEX(PCOp,$N290),IF($O290&lt;&gt;"",IF(N(INDEX(TxnDepB,$O290))&gt;0,"دریافت بانکی","پرداخت بانکی"),""))</f>
        <v/>
      </c>
      <c r="D290" s="24">
        <f>IF($N290&lt;&gt;"",IF(INDEX(PCDoc,$N290)="","—",INDEX(PCDoc,$N290)),IF($O290&lt;&gt;"",INDEX(LdgBankB,$O290),""))</f>
        <v/>
      </c>
      <c r="E290" s="24">
        <f>IF($N290&lt;&gt;"",IF(INDEX(PCCitrus,$N290)="","—",INDEX(PCCitrus,$N290)),"")</f>
        <v/>
      </c>
      <c r="F290" s="25">
        <f>IF($N290&lt;&gt;"",IF(INDEX(PCScale,$N290)=0,"",INDEX(PCScale,$N290)),"")</f>
        <v/>
      </c>
      <c r="G290" s="25">
        <f>IF($N290&lt;&gt;"",IF(INDEX(PCBaskets,$N290)=0,"",INDEX(PCBaskets,$N290)),"")</f>
        <v/>
      </c>
      <c r="H290" s="26">
        <f>IF($N290&lt;&gt;"",IF(INDEX(PCNet,$N290)=0,"",INDEX(PCNet,$N290)),"")</f>
        <v/>
      </c>
      <c r="I290" s="25">
        <f>IF($N290&lt;&gt;"",IF(INDEX(PCOp,$N290)="مرجوعی خرید","",IF(INDEX(PCAmount,$N290)&lt;=0,"",INDEX(PCAmount,$N290))),IF($O290&lt;&gt;"",IF(INDEX(TxnDepB,$O290)=0,"",INDEX(TxnDepB,$O290)),""))</f>
        <v/>
      </c>
      <c r="J290" s="25">
        <f>IF($N290&lt;&gt;"",IF(INDEX(PCOp,$N290)="مرجوعی خرید",IF(INDEX(PCAmount,$N290)=0,"",-INDEX(PCAmount,$N290)),""),IF($O290&lt;&gt;"",IF(INDEX(TxnWitB,$O290)=0,"",INDEX(TxnWitB,$O290)),""))</f>
        <v/>
      </c>
      <c r="K290" s="27">
        <f>IF($B290="","",IF($K289="",$C$10,$K289)+IF($I290="",0,$I290)-IF($J290="",0,$J290))</f>
        <v/>
      </c>
      <c r="L290" s="28">
        <f>IF($N290&lt;&gt;"",IF(INDEX(PCNotes,$N290)="","—",INDEX(PCNotes,$N290)),IF($O290&lt;&gt;"",IF(INDEX(LdgNoteB,$O290)="","—",INDEX(LdgNoteB,$O290)),""))</f>
        <v/>
      </c>
      <c r="N290">
        <f>IFERROR(MATCH($C$5&amp;"|"&amp;RIGHT("000000"&amp;274,6),LdgRankKeyA,0),"")</f>
        <v/>
      </c>
      <c r="O290">
        <f>IFERROR(MATCH($C$5&amp;"|"&amp;RIGHT("000000"&amp;274,6),LdgRankKeyB,0),"")</f>
        <v/>
      </c>
    </row>
    <row r="291">
      <c r="A291" s="17" t="n">
        <v>275</v>
      </c>
      <c r="B291" s="18">
        <f>IF(AND($N291="",$O291=""),"",IF($N291&lt;&gt;"",INDEX(PCNormDate,$N291),INDEX(LdgDateB,$O291)))</f>
        <v/>
      </c>
      <c r="C291" s="18">
        <f>IF($N291&lt;&gt;"",INDEX(PCOp,$N291),IF($O291&lt;&gt;"",IF(N(INDEX(TxnDepB,$O291))&gt;0,"دریافت بانکی","پرداخت بانکی"),""))</f>
        <v/>
      </c>
      <c r="D291" s="18">
        <f>IF($N291&lt;&gt;"",IF(INDEX(PCDoc,$N291)="","—",INDEX(PCDoc,$N291)),IF($O291&lt;&gt;"",INDEX(LdgBankB,$O291),""))</f>
        <v/>
      </c>
      <c r="E291" s="18">
        <f>IF($N291&lt;&gt;"",IF(INDEX(PCCitrus,$N291)="","—",INDEX(PCCitrus,$N291)),"")</f>
        <v/>
      </c>
      <c r="F291" s="19">
        <f>IF($N291&lt;&gt;"",IF(INDEX(PCScale,$N291)=0,"",INDEX(PCScale,$N291)),"")</f>
        <v/>
      </c>
      <c r="G291" s="19">
        <f>IF($N291&lt;&gt;"",IF(INDEX(PCBaskets,$N291)=0,"",INDEX(PCBaskets,$N291)),"")</f>
        <v/>
      </c>
      <c r="H291" s="20">
        <f>IF($N291&lt;&gt;"",IF(INDEX(PCNet,$N291)=0,"",INDEX(PCNet,$N291)),"")</f>
        <v/>
      </c>
      <c r="I291" s="19">
        <f>IF($N291&lt;&gt;"",IF(INDEX(PCOp,$N291)="مرجوعی خرید","",IF(INDEX(PCAmount,$N291)&lt;=0,"",INDEX(PCAmount,$N291))),IF($O291&lt;&gt;"",IF(INDEX(TxnDepB,$O291)=0,"",INDEX(TxnDepB,$O291)),""))</f>
        <v/>
      </c>
      <c r="J291" s="19">
        <f>IF($N291&lt;&gt;"",IF(INDEX(PCOp,$N291)="مرجوعی خرید",IF(INDEX(PCAmount,$N291)=0,"",-INDEX(PCAmount,$N291)),""),IF($O291&lt;&gt;"",IF(INDEX(TxnWitB,$O291)=0,"",INDEX(TxnWitB,$O291)),""))</f>
        <v/>
      </c>
      <c r="K291" s="21">
        <f>IF($B291="","",IF($K290="",$C$10,$K290)+IF($I291="",0,$I291)-IF($J291="",0,$J291))</f>
        <v/>
      </c>
      <c r="L291" s="22">
        <f>IF($N291&lt;&gt;"",IF(INDEX(PCNotes,$N291)="","—",INDEX(PCNotes,$N291)),IF($O291&lt;&gt;"",IF(INDEX(LdgNoteB,$O291)="","—",INDEX(LdgNoteB,$O291)),""))</f>
        <v/>
      </c>
      <c r="N291">
        <f>IFERROR(MATCH($C$5&amp;"|"&amp;RIGHT("000000"&amp;275,6),LdgRankKeyA,0),"")</f>
        <v/>
      </c>
      <c r="O291">
        <f>IFERROR(MATCH($C$5&amp;"|"&amp;RIGHT("000000"&amp;275,6),LdgRankKeyB,0),"")</f>
        <v/>
      </c>
    </row>
    <row r="292">
      <c r="A292" s="23" t="n">
        <v>276</v>
      </c>
      <c r="B292" s="24">
        <f>IF(AND($N292="",$O292=""),"",IF($N292&lt;&gt;"",INDEX(PCNormDate,$N292),INDEX(LdgDateB,$O292)))</f>
        <v/>
      </c>
      <c r="C292" s="24">
        <f>IF($N292&lt;&gt;"",INDEX(PCOp,$N292),IF($O292&lt;&gt;"",IF(N(INDEX(TxnDepB,$O292))&gt;0,"دریافت بانکی","پرداخت بانکی"),""))</f>
        <v/>
      </c>
      <c r="D292" s="24">
        <f>IF($N292&lt;&gt;"",IF(INDEX(PCDoc,$N292)="","—",INDEX(PCDoc,$N292)),IF($O292&lt;&gt;"",INDEX(LdgBankB,$O292),""))</f>
        <v/>
      </c>
      <c r="E292" s="24">
        <f>IF($N292&lt;&gt;"",IF(INDEX(PCCitrus,$N292)="","—",INDEX(PCCitrus,$N292)),"")</f>
        <v/>
      </c>
      <c r="F292" s="25">
        <f>IF($N292&lt;&gt;"",IF(INDEX(PCScale,$N292)=0,"",INDEX(PCScale,$N292)),"")</f>
        <v/>
      </c>
      <c r="G292" s="25">
        <f>IF($N292&lt;&gt;"",IF(INDEX(PCBaskets,$N292)=0,"",INDEX(PCBaskets,$N292)),"")</f>
        <v/>
      </c>
      <c r="H292" s="26">
        <f>IF($N292&lt;&gt;"",IF(INDEX(PCNet,$N292)=0,"",INDEX(PCNet,$N292)),"")</f>
        <v/>
      </c>
      <c r="I292" s="25">
        <f>IF($N292&lt;&gt;"",IF(INDEX(PCOp,$N292)="مرجوعی خرید","",IF(INDEX(PCAmount,$N292)&lt;=0,"",INDEX(PCAmount,$N292))),IF($O292&lt;&gt;"",IF(INDEX(TxnDepB,$O292)=0,"",INDEX(TxnDepB,$O292)),""))</f>
        <v/>
      </c>
      <c r="J292" s="25">
        <f>IF($N292&lt;&gt;"",IF(INDEX(PCOp,$N292)="مرجوعی خرید",IF(INDEX(PCAmount,$N292)=0,"",-INDEX(PCAmount,$N292)),""),IF($O292&lt;&gt;"",IF(INDEX(TxnWitB,$O292)=0,"",INDEX(TxnWitB,$O292)),""))</f>
        <v/>
      </c>
      <c r="K292" s="27">
        <f>IF($B292="","",IF($K291="",$C$10,$K291)+IF($I292="",0,$I292)-IF($J292="",0,$J292))</f>
        <v/>
      </c>
      <c r="L292" s="28">
        <f>IF($N292&lt;&gt;"",IF(INDEX(PCNotes,$N292)="","—",INDEX(PCNotes,$N292)),IF($O292&lt;&gt;"",IF(INDEX(LdgNoteB,$O292)="","—",INDEX(LdgNoteB,$O292)),""))</f>
        <v/>
      </c>
      <c r="N292">
        <f>IFERROR(MATCH($C$5&amp;"|"&amp;RIGHT("000000"&amp;276,6),LdgRankKeyA,0),"")</f>
        <v/>
      </c>
      <c r="O292">
        <f>IFERROR(MATCH($C$5&amp;"|"&amp;RIGHT("000000"&amp;276,6),LdgRankKeyB,0),"")</f>
        <v/>
      </c>
    </row>
    <row r="293">
      <c r="A293" s="17" t="n">
        <v>277</v>
      </c>
      <c r="B293" s="18">
        <f>IF(AND($N293="",$O293=""),"",IF($N293&lt;&gt;"",INDEX(PCNormDate,$N293),INDEX(LdgDateB,$O293)))</f>
        <v/>
      </c>
      <c r="C293" s="18">
        <f>IF($N293&lt;&gt;"",INDEX(PCOp,$N293),IF($O293&lt;&gt;"",IF(N(INDEX(TxnDepB,$O293))&gt;0,"دریافت بانکی","پرداخت بانکی"),""))</f>
        <v/>
      </c>
      <c r="D293" s="18">
        <f>IF($N293&lt;&gt;"",IF(INDEX(PCDoc,$N293)="","—",INDEX(PCDoc,$N293)),IF($O293&lt;&gt;"",INDEX(LdgBankB,$O293),""))</f>
        <v/>
      </c>
      <c r="E293" s="18">
        <f>IF($N293&lt;&gt;"",IF(INDEX(PCCitrus,$N293)="","—",INDEX(PCCitrus,$N293)),"")</f>
        <v/>
      </c>
      <c r="F293" s="19">
        <f>IF($N293&lt;&gt;"",IF(INDEX(PCScale,$N293)=0,"",INDEX(PCScale,$N293)),"")</f>
        <v/>
      </c>
      <c r="G293" s="19">
        <f>IF($N293&lt;&gt;"",IF(INDEX(PCBaskets,$N293)=0,"",INDEX(PCBaskets,$N293)),"")</f>
        <v/>
      </c>
      <c r="H293" s="20">
        <f>IF($N293&lt;&gt;"",IF(INDEX(PCNet,$N293)=0,"",INDEX(PCNet,$N293)),"")</f>
        <v/>
      </c>
      <c r="I293" s="19">
        <f>IF($N293&lt;&gt;"",IF(INDEX(PCOp,$N293)="مرجوعی خرید","",IF(INDEX(PCAmount,$N293)&lt;=0,"",INDEX(PCAmount,$N293))),IF($O293&lt;&gt;"",IF(INDEX(TxnDepB,$O293)=0,"",INDEX(TxnDepB,$O293)),""))</f>
        <v/>
      </c>
      <c r="J293" s="19">
        <f>IF($N293&lt;&gt;"",IF(INDEX(PCOp,$N293)="مرجوعی خرید",IF(INDEX(PCAmount,$N293)=0,"",-INDEX(PCAmount,$N293)),""),IF($O293&lt;&gt;"",IF(INDEX(TxnWitB,$O293)=0,"",INDEX(TxnWitB,$O293)),""))</f>
        <v/>
      </c>
      <c r="K293" s="21">
        <f>IF($B293="","",IF($K292="",$C$10,$K292)+IF($I293="",0,$I293)-IF($J293="",0,$J293))</f>
        <v/>
      </c>
      <c r="L293" s="22">
        <f>IF($N293&lt;&gt;"",IF(INDEX(PCNotes,$N293)="","—",INDEX(PCNotes,$N293)),IF($O293&lt;&gt;"",IF(INDEX(LdgNoteB,$O293)="","—",INDEX(LdgNoteB,$O293)),""))</f>
        <v/>
      </c>
      <c r="N293">
        <f>IFERROR(MATCH($C$5&amp;"|"&amp;RIGHT("000000"&amp;277,6),LdgRankKeyA,0),"")</f>
        <v/>
      </c>
      <c r="O293">
        <f>IFERROR(MATCH($C$5&amp;"|"&amp;RIGHT("000000"&amp;277,6),LdgRankKeyB,0),"")</f>
        <v/>
      </c>
    </row>
    <row r="294">
      <c r="A294" s="23" t="n">
        <v>278</v>
      </c>
      <c r="B294" s="24">
        <f>IF(AND($N294="",$O294=""),"",IF($N294&lt;&gt;"",INDEX(PCNormDate,$N294),INDEX(LdgDateB,$O294)))</f>
        <v/>
      </c>
      <c r="C294" s="24">
        <f>IF($N294&lt;&gt;"",INDEX(PCOp,$N294),IF($O294&lt;&gt;"",IF(N(INDEX(TxnDepB,$O294))&gt;0,"دریافت بانکی","پرداخت بانکی"),""))</f>
        <v/>
      </c>
      <c r="D294" s="24">
        <f>IF($N294&lt;&gt;"",IF(INDEX(PCDoc,$N294)="","—",INDEX(PCDoc,$N294)),IF($O294&lt;&gt;"",INDEX(LdgBankB,$O294),""))</f>
        <v/>
      </c>
      <c r="E294" s="24">
        <f>IF($N294&lt;&gt;"",IF(INDEX(PCCitrus,$N294)="","—",INDEX(PCCitrus,$N294)),"")</f>
        <v/>
      </c>
      <c r="F294" s="25">
        <f>IF($N294&lt;&gt;"",IF(INDEX(PCScale,$N294)=0,"",INDEX(PCScale,$N294)),"")</f>
        <v/>
      </c>
      <c r="G294" s="25">
        <f>IF($N294&lt;&gt;"",IF(INDEX(PCBaskets,$N294)=0,"",INDEX(PCBaskets,$N294)),"")</f>
        <v/>
      </c>
      <c r="H294" s="26">
        <f>IF($N294&lt;&gt;"",IF(INDEX(PCNet,$N294)=0,"",INDEX(PCNet,$N294)),"")</f>
        <v/>
      </c>
      <c r="I294" s="25">
        <f>IF($N294&lt;&gt;"",IF(INDEX(PCOp,$N294)="مرجوعی خرید","",IF(INDEX(PCAmount,$N294)&lt;=0,"",INDEX(PCAmount,$N294))),IF($O294&lt;&gt;"",IF(INDEX(TxnDepB,$O294)=0,"",INDEX(TxnDepB,$O294)),""))</f>
        <v/>
      </c>
      <c r="J294" s="25">
        <f>IF($N294&lt;&gt;"",IF(INDEX(PCOp,$N294)="مرجوعی خرید",IF(INDEX(PCAmount,$N294)=0,"",-INDEX(PCAmount,$N294)),""),IF($O294&lt;&gt;"",IF(INDEX(TxnWitB,$O294)=0,"",INDEX(TxnWitB,$O294)),""))</f>
        <v/>
      </c>
      <c r="K294" s="27">
        <f>IF($B294="","",IF($K293="",$C$10,$K293)+IF($I294="",0,$I294)-IF($J294="",0,$J294))</f>
        <v/>
      </c>
      <c r="L294" s="28">
        <f>IF($N294&lt;&gt;"",IF(INDEX(PCNotes,$N294)="","—",INDEX(PCNotes,$N294)),IF($O294&lt;&gt;"",IF(INDEX(LdgNoteB,$O294)="","—",INDEX(LdgNoteB,$O294)),""))</f>
        <v/>
      </c>
      <c r="N294">
        <f>IFERROR(MATCH($C$5&amp;"|"&amp;RIGHT("000000"&amp;278,6),LdgRankKeyA,0),"")</f>
        <v/>
      </c>
      <c r="O294">
        <f>IFERROR(MATCH($C$5&amp;"|"&amp;RIGHT("000000"&amp;278,6),LdgRankKeyB,0),"")</f>
        <v/>
      </c>
    </row>
    <row r="295">
      <c r="A295" s="17" t="n">
        <v>279</v>
      </c>
      <c r="B295" s="18">
        <f>IF(AND($N295="",$O295=""),"",IF($N295&lt;&gt;"",INDEX(PCNormDate,$N295),INDEX(LdgDateB,$O295)))</f>
        <v/>
      </c>
      <c r="C295" s="18">
        <f>IF($N295&lt;&gt;"",INDEX(PCOp,$N295),IF($O295&lt;&gt;"",IF(N(INDEX(TxnDepB,$O295))&gt;0,"دریافت بانکی","پرداخت بانکی"),""))</f>
        <v/>
      </c>
      <c r="D295" s="18">
        <f>IF($N295&lt;&gt;"",IF(INDEX(PCDoc,$N295)="","—",INDEX(PCDoc,$N295)),IF($O295&lt;&gt;"",INDEX(LdgBankB,$O295),""))</f>
        <v/>
      </c>
      <c r="E295" s="18">
        <f>IF($N295&lt;&gt;"",IF(INDEX(PCCitrus,$N295)="","—",INDEX(PCCitrus,$N295)),"")</f>
        <v/>
      </c>
      <c r="F295" s="19">
        <f>IF($N295&lt;&gt;"",IF(INDEX(PCScale,$N295)=0,"",INDEX(PCScale,$N295)),"")</f>
        <v/>
      </c>
      <c r="G295" s="19">
        <f>IF($N295&lt;&gt;"",IF(INDEX(PCBaskets,$N295)=0,"",INDEX(PCBaskets,$N295)),"")</f>
        <v/>
      </c>
      <c r="H295" s="20">
        <f>IF($N295&lt;&gt;"",IF(INDEX(PCNet,$N295)=0,"",INDEX(PCNet,$N295)),"")</f>
        <v/>
      </c>
      <c r="I295" s="19">
        <f>IF($N295&lt;&gt;"",IF(INDEX(PCOp,$N295)="مرجوعی خرید","",IF(INDEX(PCAmount,$N295)&lt;=0,"",INDEX(PCAmount,$N295))),IF($O295&lt;&gt;"",IF(INDEX(TxnDepB,$O295)=0,"",INDEX(TxnDepB,$O295)),""))</f>
        <v/>
      </c>
      <c r="J295" s="19">
        <f>IF($N295&lt;&gt;"",IF(INDEX(PCOp,$N295)="مرجوعی خرید",IF(INDEX(PCAmount,$N295)=0,"",-INDEX(PCAmount,$N295)),""),IF($O295&lt;&gt;"",IF(INDEX(TxnWitB,$O295)=0,"",INDEX(TxnWitB,$O295)),""))</f>
        <v/>
      </c>
      <c r="K295" s="21">
        <f>IF($B295="","",IF($K294="",$C$10,$K294)+IF($I295="",0,$I295)-IF($J295="",0,$J295))</f>
        <v/>
      </c>
      <c r="L295" s="22">
        <f>IF($N295&lt;&gt;"",IF(INDEX(PCNotes,$N295)="","—",INDEX(PCNotes,$N295)),IF($O295&lt;&gt;"",IF(INDEX(LdgNoteB,$O295)="","—",INDEX(LdgNoteB,$O295)),""))</f>
        <v/>
      </c>
      <c r="N295">
        <f>IFERROR(MATCH($C$5&amp;"|"&amp;RIGHT("000000"&amp;279,6),LdgRankKeyA,0),"")</f>
        <v/>
      </c>
      <c r="O295">
        <f>IFERROR(MATCH($C$5&amp;"|"&amp;RIGHT("000000"&amp;279,6),LdgRankKeyB,0),"")</f>
        <v/>
      </c>
    </row>
    <row r="296">
      <c r="A296" s="23" t="n">
        <v>280</v>
      </c>
      <c r="B296" s="24">
        <f>IF(AND($N296="",$O296=""),"",IF($N296&lt;&gt;"",INDEX(PCNormDate,$N296),INDEX(LdgDateB,$O296)))</f>
        <v/>
      </c>
      <c r="C296" s="24">
        <f>IF($N296&lt;&gt;"",INDEX(PCOp,$N296),IF($O296&lt;&gt;"",IF(N(INDEX(TxnDepB,$O296))&gt;0,"دریافت بانکی","پرداخت بانکی"),""))</f>
        <v/>
      </c>
      <c r="D296" s="24">
        <f>IF($N296&lt;&gt;"",IF(INDEX(PCDoc,$N296)="","—",INDEX(PCDoc,$N296)),IF($O296&lt;&gt;"",INDEX(LdgBankB,$O296),""))</f>
        <v/>
      </c>
      <c r="E296" s="24">
        <f>IF($N296&lt;&gt;"",IF(INDEX(PCCitrus,$N296)="","—",INDEX(PCCitrus,$N296)),"")</f>
        <v/>
      </c>
      <c r="F296" s="25">
        <f>IF($N296&lt;&gt;"",IF(INDEX(PCScale,$N296)=0,"",INDEX(PCScale,$N296)),"")</f>
        <v/>
      </c>
      <c r="G296" s="25">
        <f>IF($N296&lt;&gt;"",IF(INDEX(PCBaskets,$N296)=0,"",INDEX(PCBaskets,$N296)),"")</f>
        <v/>
      </c>
      <c r="H296" s="26">
        <f>IF($N296&lt;&gt;"",IF(INDEX(PCNet,$N296)=0,"",INDEX(PCNet,$N296)),"")</f>
        <v/>
      </c>
      <c r="I296" s="25">
        <f>IF($N296&lt;&gt;"",IF(INDEX(PCOp,$N296)="مرجوعی خرید","",IF(INDEX(PCAmount,$N296)&lt;=0,"",INDEX(PCAmount,$N296))),IF($O296&lt;&gt;"",IF(INDEX(TxnDepB,$O296)=0,"",INDEX(TxnDepB,$O296)),""))</f>
        <v/>
      </c>
      <c r="J296" s="25">
        <f>IF($N296&lt;&gt;"",IF(INDEX(PCOp,$N296)="مرجوعی خرید",IF(INDEX(PCAmount,$N296)=0,"",-INDEX(PCAmount,$N296)),""),IF($O296&lt;&gt;"",IF(INDEX(TxnWitB,$O296)=0,"",INDEX(TxnWitB,$O296)),""))</f>
        <v/>
      </c>
      <c r="K296" s="27">
        <f>IF($B296="","",IF($K295="",$C$10,$K295)+IF($I296="",0,$I296)-IF($J296="",0,$J296))</f>
        <v/>
      </c>
      <c r="L296" s="28">
        <f>IF($N296&lt;&gt;"",IF(INDEX(PCNotes,$N296)="","—",INDEX(PCNotes,$N296)),IF($O296&lt;&gt;"",IF(INDEX(LdgNoteB,$O296)="","—",INDEX(LdgNoteB,$O296)),""))</f>
        <v/>
      </c>
      <c r="N296">
        <f>IFERROR(MATCH($C$5&amp;"|"&amp;RIGHT("000000"&amp;280,6),LdgRankKeyA,0),"")</f>
        <v/>
      </c>
      <c r="O296">
        <f>IFERROR(MATCH($C$5&amp;"|"&amp;RIGHT("000000"&amp;280,6),LdgRankKeyB,0),"")</f>
        <v/>
      </c>
    </row>
    <row r="297">
      <c r="A297" s="17" t="n">
        <v>281</v>
      </c>
      <c r="B297" s="18">
        <f>IF(AND($N297="",$O297=""),"",IF($N297&lt;&gt;"",INDEX(PCNormDate,$N297),INDEX(LdgDateB,$O297)))</f>
        <v/>
      </c>
      <c r="C297" s="18">
        <f>IF($N297&lt;&gt;"",INDEX(PCOp,$N297),IF($O297&lt;&gt;"",IF(N(INDEX(TxnDepB,$O297))&gt;0,"دریافت بانکی","پرداخت بانکی"),""))</f>
        <v/>
      </c>
      <c r="D297" s="18">
        <f>IF($N297&lt;&gt;"",IF(INDEX(PCDoc,$N297)="","—",INDEX(PCDoc,$N297)),IF($O297&lt;&gt;"",INDEX(LdgBankB,$O297),""))</f>
        <v/>
      </c>
      <c r="E297" s="18">
        <f>IF($N297&lt;&gt;"",IF(INDEX(PCCitrus,$N297)="","—",INDEX(PCCitrus,$N297)),"")</f>
        <v/>
      </c>
      <c r="F297" s="19">
        <f>IF($N297&lt;&gt;"",IF(INDEX(PCScale,$N297)=0,"",INDEX(PCScale,$N297)),"")</f>
        <v/>
      </c>
      <c r="G297" s="19">
        <f>IF($N297&lt;&gt;"",IF(INDEX(PCBaskets,$N297)=0,"",INDEX(PCBaskets,$N297)),"")</f>
        <v/>
      </c>
      <c r="H297" s="20">
        <f>IF($N297&lt;&gt;"",IF(INDEX(PCNet,$N297)=0,"",INDEX(PCNet,$N297)),"")</f>
        <v/>
      </c>
      <c r="I297" s="19">
        <f>IF($N297&lt;&gt;"",IF(INDEX(PCOp,$N297)="مرجوعی خرید","",IF(INDEX(PCAmount,$N297)&lt;=0,"",INDEX(PCAmount,$N297))),IF($O297&lt;&gt;"",IF(INDEX(TxnDepB,$O297)=0,"",INDEX(TxnDepB,$O297)),""))</f>
        <v/>
      </c>
      <c r="J297" s="19">
        <f>IF($N297&lt;&gt;"",IF(INDEX(PCOp,$N297)="مرجوعی خرید",IF(INDEX(PCAmount,$N297)=0,"",-INDEX(PCAmount,$N297)),""),IF($O297&lt;&gt;"",IF(INDEX(TxnWitB,$O297)=0,"",INDEX(TxnWitB,$O297)),""))</f>
        <v/>
      </c>
      <c r="K297" s="21">
        <f>IF($B297="","",IF($K296="",$C$10,$K296)+IF($I297="",0,$I297)-IF($J297="",0,$J297))</f>
        <v/>
      </c>
      <c r="L297" s="22">
        <f>IF($N297&lt;&gt;"",IF(INDEX(PCNotes,$N297)="","—",INDEX(PCNotes,$N297)),IF($O297&lt;&gt;"",IF(INDEX(LdgNoteB,$O297)="","—",INDEX(LdgNoteB,$O297)),""))</f>
        <v/>
      </c>
      <c r="N297">
        <f>IFERROR(MATCH($C$5&amp;"|"&amp;RIGHT("000000"&amp;281,6),LdgRankKeyA,0),"")</f>
        <v/>
      </c>
      <c r="O297">
        <f>IFERROR(MATCH($C$5&amp;"|"&amp;RIGHT("000000"&amp;281,6),LdgRankKeyB,0),"")</f>
        <v/>
      </c>
    </row>
    <row r="298">
      <c r="A298" s="23" t="n">
        <v>282</v>
      </c>
      <c r="B298" s="24">
        <f>IF(AND($N298="",$O298=""),"",IF($N298&lt;&gt;"",INDEX(PCNormDate,$N298),INDEX(LdgDateB,$O298)))</f>
        <v/>
      </c>
      <c r="C298" s="24">
        <f>IF($N298&lt;&gt;"",INDEX(PCOp,$N298),IF($O298&lt;&gt;"",IF(N(INDEX(TxnDepB,$O298))&gt;0,"دریافت بانکی","پرداخت بانکی"),""))</f>
        <v/>
      </c>
      <c r="D298" s="24">
        <f>IF($N298&lt;&gt;"",IF(INDEX(PCDoc,$N298)="","—",INDEX(PCDoc,$N298)),IF($O298&lt;&gt;"",INDEX(LdgBankB,$O298),""))</f>
        <v/>
      </c>
      <c r="E298" s="24">
        <f>IF($N298&lt;&gt;"",IF(INDEX(PCCitrus,$N298)="","—",INDEX(PCCitrus,$N298)),"")</f>
        <v/>
      </c>
      <c r="F298" s="25">
        <f>IF($N298&lt;&gt;"",IF(INDEX(PCScale,$N298)=0,"",INDEX(PCScale,$N298)),"")</f>
        <v/>
      </c>
      <c r="G298" s="25">
        <f>IF($N298&lt;&gt;"",IF(INDEX(PCBaskets,$N298)=0,"",INDEX(PCBaskets,$N298)),"")</f>
        <v/>
      </c>
      <c r="H298" s="26">
        <f>IF($N298&lt;&gt;"",IF(INDEX(PCNet,$N298)=0,"",INDEX(PCNet,$N298)),"")</f>
        <v/>
      </c>
      <c r="I298" s="25">
        <f>IF($N298&lt;&gt;"",IF(INDEX(PCOp,$N298)="مرجوعی خرید","",IF(INDEX(PCAmount,$N298)&lt;=0,"",INDEX(PCAmount,$N298))),IF($O298&lt;&gt;"",IF(INDEX(TxnDepB,$O298)=0,"",INDEX(TxnDepB,$O298)),""))</f>
        <v/>
      </c>
      <c r="J298" s="25">
        <f>IF($N298&lt;&gt;"",IF(INDEX(PCOp,$N298)="مرجوعی خرید",IF(INDEX(PCAmount,$N298)=0,"",-INDEX(PCAmount,$N298)),""),IF($O298&lt;&gt;"",IF(INDEX(TxnWitB,$O298)=0,"",INDEX(TxnWitB,$O298)),""))</f>
        <v/>
      </c>
      <c r="K298" s="27">
        <f>IF($B298="","",IF($K297="",$C$10,$K297)+IF($I298="",0,$I298)-IF($J298="",0,$J298))</f>
        <v/>
      </c>
      <c r="L298" s="28">
        <f>IF($N298&lt;&gt;"",IF(INDEX(PCNotes,$N298)="","—",INDEX(PCNotes,$N298)),IF($O298&lt;&gt;"",IF(INDEX(LdgNoteB,$O298)="","—",INDEX(LdgNoteB,$O298)),""))</f>
        <v/>
      </c>
      <c r="N298">
        <f>IFERROR(MATCH($C$5&amp;"|"&amp;RIGHT("000000"&amp;282,6),LdgRankKeyA,0),"")</f>
        <v/>
      </c>
      <c r="O298">
        <f>IFERROR(MATCH($C$5&amp;"|"&amp;RIGHT("000000"&amp;282,6),LdgRankKeyB,0),"")</f>
        <v/>
      </c>
    </row>
    <row r="299">
      <c r="A299" s="17" t="n">
        <v>283</v>
      </c>
      <c r="B299" s="18">
        <f>IF(AND($N299="",$O299=""),"",IF($N299&lt;&gt;"",INDEX(PCNormDate,$N299),INDEX(LdgDateB,$O299)))</f>
        <v/>
      </c>
      <c r="C299" s="18">
        <f>IF($N299&lt;&gt;"",INDEX(PCOp,$N299),IF($O299&lt;&gt;"",IF(N(INDEX(TxnDepB,$O299))&gt;0,"دریافت بانکی","پرداخت بانکی"),""))</f>
        <v/>
      </c>
      <c r="D299" s="18">
        <f>IF($N299&lt;&gt;"",IF(INDEX(PCDoc,$N299)="","—",INDEX(PCDoc,$N299)),IF($O299&lt;&gt;"",INDEX(LdgBankB,$O299),""))</f>
        <v/>
      </c>
      <c r="E299" s="18">
        <f>IF($N299&lt;&gt;"",IF(INDEX(PCCitrus,$N299)="","—",INDEX(PCCitrus,$N299)),"")</f>
        <v/>
      </c>
      <c r="F299" s="19">
        <f>IF($N299&lt;&gt;"",IF(INDEX(PCScale,$N299)=0,"",INDEX(PCScale,$N299)),"")</f>
        <v/>
      </c>
      <c r="G299" s="19">
        <f>IF($N299&lt;&gt;"",IF(INDEX(PCBaskets,$N299)=0,"",INDEX(PCBaskets,$N299)),"")</f>
        <v/>
      </c>
      <c r="H299" s="20">
        <f>IF($N299&lt;&gt;"",IF(INDEX(PCNet,$N299)=0,"",INDEX(PCNet,$N299)),"")</f>
        <v/>
      </c>
      <c r="I299" s="19">
        <f>IF($N299&lt;&gt;"",IF(INDEX(PCOp,$N299)="مرجوعی خرید","",IF(INDEX(PCAmount,$N299)&lt;=0,"",INDEX(PCAmount,$N299))),IF($O299&lt;&gt;"",IF(INDEX(TxnDepB,$O299)=0,"",INDEX(TxnDepB,$O299)),""))</f>
        <v/>
      </c>
      <c r="J299" s="19">
        <f>IF($N299&lt;&gt;"",IF(INDEX(PCOp,$N299)="مرجوعی خرید",IF(INDEX(PCAmount,$N299)=0,"",-INDEX(PCAmount,$N299)),""),IF($O299&lt;&gt;"",IF(INDEX(TxnWitB,$O299)=0,"",INDEX(TxnWitB,$O299)),""))</f>
        <v/>
      </c>
      <c r="K299" s="21">
        <f>IF($B299="","",IF($K298="",$C$10,$K298)+IF($I299="",0,$I299)-IF($J299="",0,$J299))</f>
        <v/>
      </c>
      <c r="L299" s="22">
        <f>IF($N299&lt;&gt;"",IF(INDEX(PCNotes,$N299)="","—",INDEX(PCNotes,$N299)),IF($O299&lt;&gt;"",IF(INDEX(LdgNoteB,$O299)="","—",INDEX(LdgNoteB,$O299)),""))</f>
        <v/>
      </c>
      <c r="N299">
        <f>IFERROR(MATCH($C$5&amp;"|"&amp;RIGHT("000000"&amp;283,6),LdgRankKeyA,0),"")</f>
        <v/>
      </c>
      <c r="O299">
        <f>IFERROR(MATCH($C$5&amp;"|"&amp;RIGHT("000000"&amp;283,6),LdgRankKeyB,0),"")</f>
        <v/>
      </c>
    </row>
    <row r="300">
      <c r="A300" s="23" t="n">
        <v>284</v>
      </c>
      <c r="B300" s="24">
        <f>IF(AND($N300="",$O300=""),"",IF($N300&lt;&gt;"",INDEX(PCNormDate,$N300),INDEX(LdgDateB,$O300)))</f>
        <v/>
      </c>
      <c r="C300" s="24">
        <f>IF($N300&lt;&gt;"",INDEX(PCOp,$N300),IF($O300&lt;&gt;"",IF(N(INDEX(TxnDepB,$O300))&gt;0,"دریافت بانکی","پرداخت بانکی"),""))</f>
        <v/>
      </c>
      <c r="D300" s="24">
        <f>IF($N300&lt;&gt;"",IF(INDEX(PCDoc,$N300)="","—",INDEX(PCDoc,$N300)),IF($O300&lt;&gt;"",INDEX(LdgBankB,$O300),""))</f>
        <v/>
      </c>
      <c r="E300" s="24">
        <f>IF($N300&lt;&gt;"",IF(INDEX(PCCitrus,$N300)="","—",INDEX(PCCitrus,$N300)),"")</f>
        <v/>
      </c>
      <c r="F300" s="25">
        <f>IF($N300&lt;&gt;"",IF(INDEX(PCScale,$N300)=0,"",INDEX(PCScale,$N300)),"")</f>
        <v/>
      </c>
      <c r="G300" s="25">
        <f>IF($N300&lt;&gt;"",IF(INDEX(PCBaskets,$N300)=0,"",INDEX(PCBaskets,$N300)),"")</f>
        <v/>
      </c>
      <c r="H300" s="26">
        <f>IF($N300&lt;&gt;"",IF(INDEX(PCNet,$N300)=0,"",INDEX(PCNet,$N300)),"")</f>
        <v/>
      </c>
      <c r="I300" s="25">
        <f>IF($N300&lt;&gt;"",IF(INDEX(PCOp,$N300)="مرجوعی خرید","",IF(INDEX(PCAmount,$N300)&lt;=0,"",INDEX(PCAmount,$N300))),IF($O300&lt;&gt;"",IF(INDEX(TxnDepB,$O300)=0,"",INDEX(TxnDepB,$O300)),""))</f>
        <v/>
      </c>
      <c r="J300" s="25">
        <f>IF($N300&lt;&gt;"",IF(INDEX(PCOp,$N300)="مرجوعی خرید",IF(INDEX(PCAmount,$N300)=0,"",-INDEX(PCAmount,$N300)),""),IF($O300&lt;&gt;"",IF(INDEX(TxnWitB,$O300)=0,"",INDEX(TxnWitB,$O300)),""))</f>
        <v/>
      </c>
      <c r="K300" s="27">
        <f>IF($B300="","",IF($K299="",$C$10,$K299)+IF($I300="",0,$I300)-IF($J300="",0,$J300))</f>
        <v/>
      </c>
      <c r="L300" s="28">
        <f>IF($N300&lt;&gt;"",IF(INDEX(PCNotes,$N300)="","—",INDEX(PCNotes,$N300)),IF($O300&lt;&gt;"",IF(INDEX(LdgNoteB,$O300)="","—",INDEX(LdgNoteB,$O300)),""))</f>
        <v/>
      </c>
      <c r="N300">
        <f>IFERROR(MATCH($C$5&amp;"|"&amp;RIGHT("000000"&amp;284,6),LdgRankKeyA,0),"")</f>
        <v/>
      </c>
      <c r="O300">
        <f>IFERROR(MATCH($C$5&amp;"|"&amp;RIGHT("000000"&amp;284,6),LdgRankKeyB,0),"")</f>
        <v/>
      </c>
    </row>
    <row r="301">
      <c r="A301" s="17" t="n">
        <v>285</v>
      </c>
      <c r="B301" s="18">
        <f>IF(AND($N301="",$O301=""),"",IF($N301&lt;&gt;"",INDEX(PCNormDate,$N301),INDEX(LdgDateB,$O301)))</f>
        <v/>
      </c>
      <c r="C301" s="18">
        <f>IF($N301&lt;&gt;"",INDEX(PCOp,$N301),IF($O301&lt;&gt;"",IF(N(INDEX(TxnDepB,$O301))&gt;0,"دریافت بانکی","پرداخت بانکی"),""))</f>
        <v/>
      </c>
      <c r="D301" s="18">
        <f>IF($N301&lt;&gt;"",IF(INDEX(PCDoc,$N301)="","—",INDEX(PCDoc,$N301)),IF($O301&lt;&gt;"",INDEX(LdgBankB,$O301),""))</f>
        <v/>
      </c>
      <c r="E301" s="18">
        <f>IF($N301&lt;&gt;"",IF(INDEX(PCCitrus,$N301)="","—",INDEX(PCCitrus,$N301)),"")</f>
        <v/>
      </c>
      <c r="F301" s="19">
        <f>IF($N301&lt;&gt;"",IF(INDEX(PCScale,$N301)=0,"",INDEX(PCScale,$N301)),"")</f>
        <v/>
      </c>
      <c r="G301" s="19">
        <f>IF($N301&lt;&gt;"",IF(INDEX(PCBaskets,$N301)=0,"",INDEX(PCBaskets,$N301)),"")</f>
        <v/>
      </c>
      <c r="H301" s="20">
        <f>IF($N301&lt;&gt;"",IF(INDEX(PCNet,$N301)=0,"",INDEX(PCNet,$N301)),"")</f>
        <v/>
      </c>
      <c r="I301" s="19">
        <f>IF($N301&lt;&gt;"",IF(INDEX(PCOp,$N301)="مرجوعی خرید","",IF(INDEX(PCAmount,$N301)&lt;=0,"",INDEX(PCAmount,$N301))),IF($O301&lt;&gt;"",IF(INDEX(TxnDepB,$O301)=0,"",INDEX(TxnDepB,$O301)),""))</f>
        <v/>
      </c>
      <c r="J301" s="19">
        <f>IF($N301&lt;&gt;"",IF(INDEX(PCOp,$N301)="مرجوعی خرید",IF(INDEX(PCAmount,$N301)=0,"",-INDEX(PCAmount,$N301)),""),IF($O301&lt;&gt;"",IF(INDEX(TxnWitB,$O301)=0,"",INDEX(TxnWitB,$O301)),""))</f>
        <v/>
      </c>
      <c r="K301" s="21">
        <f>IF($B301="","",IF($K300="",$C$10,$K300)+IF($I301="",0,$I301)-IF($J301="",0,$J301))</f>
        <v/>
      </c>
      <c r="L301" s="22">
        <f>IF($N301&lt;&gt;"",IF(INDEX(PCNotes,$N301)="","—",INDEX(PCNotes,$N301)),IF($O301&lt;&gt;"",IF(INDEX(LdgNoteB,$O301)="","—",INDEX(LdgNoteB,$O301)),""))</f>
        <v/>
      </c>
      <c r="N301">
        <f>IFERROR(MATCH($C$5&amp;"|"&amp;RIGHT("000000"&amp;285,6),LdgRankKeyA,0),"")</f>
        <v/>
      </c>
      <c r="O301">
        <f>IFERROR(MATCH($C$5&amp;"|"&amp;RIGHT("000000"&amp;285,6),LdgRankKeyB,0),"")</f>
        <v/>
      </c>
    </row>
    <row r="302">
      <c r="A302" s="23" t="n">
        <v>286</v>
      </c>
      <c r="B302" s="24">
        <f>IF(AND($N302="",$O302=""),"",IF($N302&lt;&gt;"",INDEX(PCNormDate,$N302),INDEX(LdgDateB,$O302)))</f>
        <v/>
      </c>
      <c r="C302" s="24">
        <f>IF($N302&lt;&gt;"",INDEX(PCOp,$N302),IF($O302&lt;&gt;"",IF(N(INDEX(TxnDepB,$O302))&gt;0,"دریافت بانکی","پرداخت بانکی"),""))</f>
        <v/>
      </c>
      <c r="D302" s="24">
        <f>IF($N302&lt;&gt;"",IF(INDEX(PCDoc,$N302)="","—",INDEX(PCDoc,$N302)),IF($O302&lt;&gt;"",INDEX(LdgBankB,$O302),""))</f>
        <v/>
      </c>
      <c r="E302" s="24">
        <f>IF($N302&lt;&gt;"",IF(INDEX(PCCitrus,$N302)="","—",INDEX(PCCitrus,$N302)),"")</f>
        <v/>
      </c>
      <c r="F302" s="25">
        <f>IF($N302&lt;&gt;"",IF(INDEX(PCScale,$N302)=0,"",INDEX(PCScale,$N302)),"")</f>
        <v/>
      </c>
      <c r="G302" s="25">
        <f>IF($N302&lt;&gt;"",IF(INDEX(PCBaskets,$N302)=0,"",INDEX(PCBaskets,$N302)),"")</f>
        <v/>
      </c>
      <c r="H302" s="26">
        <f>IF($N302&lt;&gt;"",IF(INDEX(PCNet,$N302)=0,"",INDEX(PCNet,$N302)),"")</f>
        <v/>
      </c>
      <c r="I302" s="25">
        <f>IF($N302&lt;&gt;"",IF(INDEX(PCOp,$N302)="مرجوعی خرید","",IF(INDEX(PCAmount,$N302)&lt;=0,"",INDEX(PCAmount,$N302))),IF($O302&lt;&gt;"",IF(INDEX(TxnDepB,$O302)=0,"",INDEX(TxnDepB,$O302)),""))</f>
        <v/>
      </c>
      <c r="J302" s="25">
        <f>IF($N302&lt;&gt;"",IF(INDEX(PCOp,$N302)="مرجوعی خرید",IF(INDEX(PCAmount,$N302)=0,"",-INDEX(PCAmount,$N302)),""),IF($O302&lt;&gt;"",IF(INDEX(TxnWitB,$O302)=0,"",INDEX(TxnWitB,$O302)),""))</f>
        <v/>
      </c>
      <c r="K302" s="27">
        <f>IF($B302="","",IF($K301="",$C$10,$K301)+IF($I302="",0,$I302)-IF($J302="",0,$J302))</f>
        <v/>
      </c>
      <c r="L302" s="28">
        <f>IF($N302&lt;&gt;"",IF(INDEX(PCNotes,$N302)="","—",INDEX(PCNotes,$N302)),IF($O302&lt;&gt;"",IF(INDEX(LdgNoteB,$O302)="","—",INDEX(LdgNoteB,$O302)),""))</f>
        <v/>
      </c>
      <c r="N302">
        <f>IFERROR(MATCH($C$5&amp;"|"&amp;RIGHT("000000"&amp;286,6),LdgRankKeyA,0),"")</f>
        <v/>
      </c>
      <c r="O302">
        <f>IFERROR(MATCH($C$5&amp;"|"&amp;RIGHT("000000"&amp;286,6),LdgRankKeyB,0),"")</f>
        <v/>
      </c>
    </row>
    <row r="303">
      <c r="A303" s="17" t="n">
        <v>287</v>
      </c>
      <c r="B303" s="18">
        <f>IF(AND($N303="",$O303=""),"",IF($N303&lt;&gt;"",INDEX(PCNormDate,$N303),INDEX(LdgDateB,$O303)))</f>
        <v/>
      </c>
      <c r="C303" s="18">
        <f>IF($N303&lt;&gt;"",INDEX(PCOp,$N303),IF($O303&lt;&gt;"",IF(N(INDEX(TxnDepB,$O303))&gt;0,"دریافت بانکی","پرداخت بانکی"),""))</f>
        <v/>
      </c>
      <c r="D303" s="18">
        <f>IF($N303&lt;&gt;"",IF(INDEX(PCDoc,$N303)="","—",INDEX(PCDoc,$N303)),IF($O303&lt;&gt;"",INDEX(LdgBankB,$O303),""))</f>
        <v/>
      </c>
      <c r="E303" s="18">
        <f>IF($N303&lt;&gt;"",IF(INDEX(PCCitrus,$N303)="","—",INDEX(PCCitrus,$N303)),"")</f>
        <v/>
      </c>
      <c r="F303" s="19">
        <f>IF($N303&lt;&gt;"",IF(INDEX(PCScale,$N303)=0,"",INDEX(PCScale,$N303)),"")</f>
        <v/>
      </c>
      <c r="G303" s="19">
        <f>IF($N303&lt;&gt;"",IF(INDEX(PCBaskets,$N303)=0,"",INDEX(PCBaskets,$N303)),"")</f>
        <v/>
      </c>
      <c r="H303" s="20">
        <f>IF($N303&lt;&gt;"",IF(INDEX(PCNet,$N303)=0,"",INDEX(PCNet,$N303)),"")</f>
        <v/>
      </c>
      <c r="I303" s="19">
        <f>IF($N303&lt;&gt;"",IF(INDEX(PCOp,$N303)="مرجوعی خرید","",IF(INDEX(PCAmount,$N303)&lt;=0,"",INDEX(PCAmount,$N303))),IF($O303&lt;&gt;"",IF(INDEX(TxnDepB,$O303)=0,"",INDEX(TxnDepB,$O303)),""))</f>
        <v/>
      </c>
      <c r="J303" s="19">
        <f>IF($N303&lt;&gt;"",IF(INDEX(PCOp,$N303)="مرجوعی خرید",IF(INDEX(PCAmount,$N303)=0,"",-INDEX(PCAmount,$N303)),""),IF($O303&lt;&gt;"",IF(INDEX(TxnWitB,$O303)=0,"",INDEX(TxnWitB,$O303)),""))</f>
        <v/>
      </c>
      <c r="K303" s="21">
        <f>IF($B303="","",IF($K302="",$C$10,$K302)+IF($I303="",0,$I303)-IF($J303="",0,$J303))</f>
        <v/>
      </c>
      <c r="L303" s="22">
        <f>IF($N303&lt;&gt;"",IF(INDEX(PCNotes,$N303)="","—",INDEX(PCNotes,$N303)),IF($O303&lt;&gt;"",IF(INDEX(LdgNoteB,$O303)="","—",INDEX(LdgNoteB,$O303)),""))</f>
        <v/>
      </c>
      <c r="N303">
        <f>IFERROR(MATCH($C$5&amp;"|"&amp;RIGHT("000000"&amp;287,6),LdgRankKeyA,0),"")</f>
        <v/>
      </c>
      <c r="O303">
        <f>IFERROR(MATCH($C$5&amp;"|"&amp;RIGHT("000000"&amp;287,6),LdgRankKeyB,0),"")</f>
        <v/>
      </c>
    </row>
    <row r="304">
      <c r="A304" s="23" t="n">
        <v>288</v>
      </c>
      <c r="B304" s="24">
        <f>IF(AND($N304="",$O304=""),"",IF($N304&lt;&gt;"",INDEX(PCNormDate,$N304),INDEX(LdgDateB,$O304)))</f>
        <v/>
      </c>
      <c r="C304" s="24">
        <f>IF($N304&lt;&gt;"",INDEX(PCOp,$N304),IF($O304&lt;&gt;"",IF(N(INDEX(TxnDepB,$O304))&gt;0,"دریافت بانکی","پرداخت بانکی"),""))</f>
        <v/>
      </c>
      <c r="D304" s="24">
        <f>IF($N304&lt;&gt;"",IF(INDEX(PCDoc,$N304)="","—",INDEX(PCDoc,$N304)),IF($O304&lt;&gt;"",INDEX(LdgBankB,$O304),""))</f>
        <v/>
      </c>
      <c r="E304" s="24">
        <f>IF($N304&lt;&gt;"",IF(INDEX(PCCitrus,$N304)="","—",INDEX(PCCitrus,$N304)),"")</f>
        <v/>
      </c>
      <c r="F304" s="25">
        <f>IF($N304&lt;&gt;"",IF(INDEX(PCScale,$N304)=0,"",INDEX(PCScale,$N304)),"")</f>
        <v/>
      </c>
      <c r="G304" s="25">
        <f>IF($N304&lt;&gt;"",IF(INDEX(PCBaskets,$N304)=0,"",INDEX(PCBaskets,$N304)),"")</f>
        <v/>
      </c>
      <c r="H304" s="26">
        <f>IF($N304&lt;&gt;"",IF(INDEX(PCNet,$N304)=0,"",INDEX(PCNet,$N304)),"")</f>
        <v/>
      </c>
      <c r="I304" s="25">
        <f>IF($N304&lt;&gt;"",IF(INDEX(PCOp,$N304)="مرجوعی خرید","",IF(INDEX(PCAmount,$N304)&lt;=0,"",INDEX(PCAmount,$N304))),IF($O304&lt;&gt;"",IF(INDEX(TxnDepB,$O304)=0,"",INDEX(TxnDepB,$O304)),""))</f>
        <v/>
      </c>
      <c r="J304" s="25">
        <f>IF($N304&lt;&gt;"",IF(INDEX(PCOp,$N304)="مرجوعی خرید",IF(INDEX(PCAmount,$N304)=0,"",-INDEX(PCAmount,$N304)),""),IF($O304&lt;&gt;"",IF(INDEX(TxnWitB,$O304)=0,"",INDEX(TxnWitB,$O304)),""))</f>
        <v/>
      </c>
      <c r="K304" s="27">
        <f>IF($B304="","",IF($K303="",$C$10,$K303)+IF($I304="",0,$I304)-IF($J304="",0,$J304))</f>
        <v/>
      </c>
      <c r="L304" s="28">
        <f>IF($N304&lt;&gt;"",IF(INDEX(PCNotes,$N304)="","—",INDEX(PCNotes,$N304)),IF($O304&lt;&gt;"",IF(INDEX(LdgNoteB,$O304)="","—",INDEX(LdgNoteB,$O304)),""))</f>
        <v/>
      </c>
      <c r="N304">
        <f>IFERROR(MATCH($C$5&amp;"|"&amp;RIGHT("000000"&amp;288,6),LdgRankKeyA,0),"")</f>
        <v/>
      </c>
      <c r="O304">
        <f>IFERROR(MATCH($C$5&amp;"|"&amp;RIGHT("000000"&amp;288,6),LdgRankKeyB,0),"")</f>
        <v/>
      </c>
    </row>
    <row r="305">
      <c r="A305" s="17" t="n">
        <v>289</v>
      </c>
      <c r="B305" s="18">
        <f>IF(AND($N305="",$O305=""),"",IF($N305&lt;&gt;"",INDEX(PCNormDate,$N305),INDEX(LdgDateB,$O305)))</f>
        <v/>
      </c>
      <c r="C305" s="18">
        <f>IF($N305&lt;&gt;"",INDEX(PCOp,$N305),IF($O305&lt;&gt;"",IF(N(INDEX(TxnDepB,$O305))&gt;0,"دریافت بانکی","پرداخت بانکی"),""))</f>
        <v/>
      </c>
      <c r="D305" s="18">
        <f>IF($N305&lt;&gt;"",IF(INDEX(PCDoc,$N305)="","—",INDEX(PCDoc,$N305)),IF($O305&lt;&gt;"",INDEX(LdgBankB,$O305),""))</f>
        <v/>
      </c>
      <c r="E305" s="18">
        <f>IF($N305&lt;&gt;"",IF(INDEX(PCCitrus,$N305)="","—",INDEX(PCCitrus,$N305)),"")</f>
        <v/>
      </c>
      <c r="F305" s="19">
        <f>IF($N305&lt;&gt;"",IF(INDEX(PCScale,$N305)=0,"",INDEX(PCScale,$N305)),"")</f>
        <v/>
      </c>
      <c r="G305" s="19">
        <f>IF($N305&lt;&gt;"",IF(INDEX(PCBaskets,$N305)=0,"",INDEX(PCBaskets,$N305)),"")</f>
        <v/>
      </c>
      <c r="H305" s="20">
        <f>IF($N305&lt;&gt;"",IF(INDEX(PCNet,$N305)=0,"",INDEX(PCNet,$N305)),"")</f>
        <v/>
      </c>
      <c r="I305" s="19">
        <f>IF($N305&lt;&gt;"",IF(INDEX(PCOp,$N305)="مرجوعی خرید","",IF(INDEX(PCAmount,$N305)&lt;=0,"",INDEX(PCAmount,$N305))),IF($O305&lt;&gt;"",IF(INDEX(TxnDepB,$O305)=0,"",INDEX(TxnDepB,$O305)),""))</f>
        <v/>
      </c>
      <c r="J305" s="19">
        <f>IF($N305&lt;&gt;"",IF(INDEX(PCOp,$N305)="مرجوعی خرید",IF(INDEX(PCAmount,$N305)=0,"",-INDEX(PCAmount,$N305)),""),IF($O305&lt;&gt;"",IF(INDEX(TxnWitB,$O305)=0,"",INDEX(TxnWitB,$O305)),""))</f>
        <v/>
      </c>
      <c r="K305" s="21">
        <f>IF($B305="","",IF($K304="",$C$10,$K304)+IF($I305="",0,$I305)-IF($J305="",0,$J305))</f>
        <v/>
      </c>
      <c r="L305" s="22">
        <f>IF($N305&lt;&gt;"",IF(INDEX(PCNotes,$N305)="","—",INDEX(PCNotes,$N305)),IF($O305&lt;&gt;"",IF(INDEX(LdgNoteB,$O305)="","—",INDEX(LdgNoteB,$O305)),""))</f>
        <v/>
      </c>
      <c r="N305">
        <f>IFERROR(MATCH($C$5&amp;"|"&amp;RIGHT("000000"&amp;289,6),LdgRankKeyA,0),"")</f>
        <v/>
      </c>
      <c r="O305">
        <f>IFERROR(MATCH($C$5&amp;"|"&amp;RIGHT("000000"&amp;289,6),LdgRankKeyB,0),"")</f>
        <v/>
      </c>
    </row>
    <row r="306">
      <c r="A306" s="23" t="n">
        <v>290</v>
      </c>
      <c r="B306" s="24">
        <f>IF(AND($N306="",$O306=""),"",IF($N306&lt;&gt;"",INDEX(PCNormDate,$N306),INDEX(LdgDateB,$O306)))</f>
        <v/>
      </c>
      <c r="C306" s="24">
        <f>IF($N306&lt;&gt;"",INDEX(PCOp,$N306),IF($O306&lt;&gt;"",IF(N(INDEX(TxnDepB,$O306))&gt;0,"دریافت بانکی","پرداخت بانکی"),""))</f>
        <v/>
      </c>
      <c r="D306" s="24">
        <f>IF($N306&lt;&gt;"",IF(INDEX(PCDoc,$N306)="","—",INDEX(PCDoc,$N306)),IF($O306&lt;&gt;"",INDEX(LdgBankB,$O306),""))</f>
        <v/>
      </c>
      <c r="E306" s="24">
        <f>IF($N306&lt;&gt;"",IF(INDEX(PCCitrus,$N306)="","—",INDEX(PCCitrus,$N306)),"")</f>
        <v/>
      </c>
      <c r="F306" s="25">
        <f>IF($N306&lt;&gt;"",IF(INDEX(PCScale,$N306)=0,"",INDEX(PCScale,$N306)),"")</f>
        <v/>
      </c>
      <c r="G306" s="25">
        <f>IF($N306&lt;&gt;"",IF(INDEX(PCBaskets,$N306)=0,"",INDEX(PCBaskets,$N306)),"")</f>
        <v/>
      </c>
      <c r="H306" s="26">
        <f>IF($N306&lt;&gt;"",IF(INDEX(PCNet,$N306)=0,"",INDEX(PCNet,$N306)),"")</f>
        <v/>
      </c>
      <c r="I306" s="25">
        <f>IF($N306&lt;&gt;"",IF(INDEX(PCOp,$N306)="مرجوعی خرید","",IF(INDEX(PCAmount,$N306)&lt;=0,"",INDEX(PCAmount,$N306))),IF($O306&lt;&gt;"",IF(INDEX(TxnDepB,$O306)=0,"",INDEX(TxnDepB,$O306)),""))</f>
        <v/>
      </c>
      <c r="J306" s="25">
        <f>IF($N306&lt;&gt;"",IF(INDEX(PCOp,$N306)="مرجوعی خرید",IF(INDEX(PCAmount,$N306)=0,"",-INDEX(PCAmount,$N306)),""),IF($O306&lt;&gt;"",IF(INDEX(TxnWitB,$O306)=0,"",INDEX(TxnWitB,$O306)),""))</f>
        <v/>
      </c>
      <c r="K306" s="27">
        <f>IF($B306="","",IF($K305="",$C$10,$K305)+IF($I306="",0,$I306)-IF($J306="",0,$J306))</f>
        <v/>
      </c>
      <c r="L306" s="28">
        <f>IF($N306&lt;&gt;"",IF(INDEX(PCNotes,$N306)="","—",INDEX(PCNotes,$N306)),IF($O306&lt;&gt;"",IF(INDEX(LdgNoteB,$O306)="","—",INDEX(LdgNoteB,$O306)),""))</f>
        <v/>
      </c>
      <c r="N306">
        <f>IFERROR(MATCH($C$5&amp;"|"&amp;RIGHT("000000"&amp;290,6),LdgRankKeyA,0),"")</f>
        <v/>
      </c>
      <c r="O306">
        <f>IFERROR(MATCH($C$5&amp;"|"&amp;RIGHT("000000"&amp;290,6),LdgRankKeyB,0),"")</f>
        <v/>
      </c>
    </row>
    <row r="307">
      <c r="A307" s="17" t="n">
        <v>291</v>
      </c>
      <c r="B307" s="18">
        <f>IF(AND($N307="",$O307=""),"",IF($N307&lt;&gt;"",INDEX(PCNormDate,$N307),INDEX(LdgDateB,$O307)))</f>
        <v/>
      </c>
      <c r="C307" s="18">
        <f>IF($N307&lt;&gt;"",INDEX(PCOp,$N307),IF($O307&lt;&gt;"",IF(N(INDEX(TxnDepB,$O307))&gt;0,"دریافت بانکی","پرداخت بانکی"),""))</f>
        <v/>
      </c>
      <c r="D307" s="18">
        <f>IF($N307&lt;&gt;"",IF(INDEX(PCDoc,$N307)="","—",INDEX(PCDoc,$N307)),IF($O307&lt;&gt;"",INDEX(LdgBankB,$O307),""))</f>
        <v/>
      </c>
      <c r="E307" s="18">
        <f>IF($N307&lt;&gt;"",IF(INDEX(PCCitrus,$N307)="","—",INDEX(PCCitrus,$N307)),"")</f>
        <v/>
      </c>
      <c r="F307" s="19">
        <f>IF($N307&lt;&gt;"",IF(INDEX(PCScale,$N307)=0,"",INDEX(PCScale,$N307)),"")</f>
        <v/>
      </c>
      <c r="G307" s="19">
        <f>IF($N307&lt;&gt;"",IF(INDEX(PCBaskets,$N307)=0,"",INDEX(PCBaskets,$N307)),"")</f>
        <v/>
      </c>
      <c r="H307" s="20">
        <f>IF($N307&lt;&gt;"",IF(INDEX(PCNet,$N307)=0,"",INDEX(PCNet,$N307)),"")</f>
        <v/>
      </c>
      <c r="I307" s="19">
        <f>IF($N307&lt;&gt;"",IF(INDEX(PCOp,$N307)="مرجوعی خرید","",IF(INDEX(PCAmount,$N307)&lt;=0,"",INDEX(PCAmount,$N307))),IF($O307&lt;&gt;"",IF(INDEX(TxnDepB,$O307)=0,"",INDEX(TxnDepB,$O307)),""))</f>
        <v/>
      </c>
      <c r="J307" s="19">
        <f>IF($N307&lt;&gt;"",IF(INDEX(PCOp,$N307)="مرجوعی خرید",IF(INDEX(PCAmount,$N307)=0,"",-INDEX(PCAmount,$N307)),""),IF($O307&lt;&gt;"",IF(INDEX(TxnWitB,$O307)=0,"",INDEX(TxnWitB,$O307)),""))</f>
        <v/>
      </c>
      <c r="K307" s="21">
        <f>IF($B307="","",IF($K306="",$C$10,$K306)+IF($I307="",0,$I307)-IF($J307="",0,$J307))</f>
        <v/>
      </c>
      <c r="L307" s="22">
        <f>IF($N307&lt;&gt;"",IF(INDEX(PCNotes,$N307)="","—",INDEX(PCNotes,$N307)),IF($O307&lt;&gt;"",IF(INDEX(LdgNoteB,$O307)="","—",INDEX(LdgNoteB,$O307)),""))</f>
        <v/>
      </c>
      <c r="N307">
        <f>IFERROR(MATCH($C$5&amp;"|"&amp;RIGHT("000000"&amp;291,6),LdgRankKeyA,0),"")</f>
        <v/>
      </c>
      <c r="O307">
        <f>IFERROR(MATCH($C$5&amp;"|"&amp;RIGHT("000000"&amp;291,6),LdgRankKeyB,0),"")</f>
        <v/>
      </c>
    </row>
    <row r="308">
      <c r="A308" s="23" t="n">
        <v>292</v>
      </c>
      <c r="B308" s="24">
        <f>IF(AND($N308="",$O308=""),"",IF($N308&lt;&gt;"",INDEX(PCNormDate,$N308),INDEX(LdgDateB,$O308)))</f>
        <v/>
      </c>
      <c r="C308" s="24">
        <f>IF($N308&lt;&gt;"",INDEX(PCOp,$N308),IF($O308&lt;&gt;"",IF(N(INDEX(TxnDepB,$O308))&gt;0,"دریافت بانکی","پرداخت بانکی"),""))</f>
        <v/>
      </c>
      <c r="D308" s="24">
        <f>IF($N308&lt;&gt;"",IF(INDEX(PCDoc,$N308)="","—",INDEX(PCDoc,$N308)),IF($O308&lt;&gt;"",INDEX(LdgBankB,$O308),""))</f>
        <v/>
      </c>
      <c r="E308" s="24">
        <f>IF($N308&lt;&gt;"",IF(INDEX(PCCitrus,$N308)="","—",INDEX(PCCitrus,$N308)),"")</f>
        <v/>
      </c>
      <c r="F308" s="25">
        <f>IF($N308&lt;&gt;"",IF(INDEX(PCScale,$N308)=0,"",INDEX(PCScale,$N308)),"")</f>
        <v/>
      </c>
      <c r="G308" s="25">
        <f>IF($N308&lt;&gt;"",IF(INDEX(PCBaskets,$N308)=0,"",INDEX(PCBaskets,$N308)),"")</f>
        <v/>
      </c>
      <c r="H308" s="26">
        <f>IF($N308&lt;&gt;"",IF(INDEX(PCNet,$N308)=0,"",INDEX(PCNet,$N308)),"")</f>
        <v/>
      </c>
      <c r="I308" s="25">
        <f>IF($N308&lt;&gt;"",IF(INDEX(PCOp,$N308)="مرجوعی خرید","",IF(INDEX(PCAmount,$N308)&lt;=0,"",INDEX(PCAmount,$N308))),IF($O308&lt;&gt;"",IF(INDEX(TxnDepB,$O308)=0,"",INDEX(TxnDepB,$O308)),""))</f>
        <v/>
      </c>
      <c r="J308" s="25">
        <f>IF($N308&lt;&gt;"",IF(INDEX(PCOp,$N308)="مرجوعی خرید",IF(INDEX(PCAmount,$N308)=0,"",-INDEX(PCAmount,$N308)),""),IF($O308&lt;&gt;"",IF(INDEX(TxnWitB,$O308)=0,"",INDEX(TxnWitB,$O308)),""))</f>
        <v/>
      </c>
      <c r="K308" s="27">
        <f>IF($B308="","",IF($K307="",$C$10,$K307)+IF($I308="",0,$I308)-IF($J308="",0,$J308))</f>
        <v/>
      </c>
      <c r="L308" s="28">
        <f>IF($N308&lt;&gt;"",IF(INDEX(PCNotes,$N308)="","—",INDEX(PCNotes,$N308)),IF($O308&lt;&gt;"",IF(INDEX(LdgNoteB,$O308)="","—",INDEX(LdgNoteB,$O308)),""))</f>
        <v/>
      </c>
      <c r="N308">
        <f>IFERROR(MATCH($C$5&amp;"|"&amp;RIGHT("000000"&amp;292,6),LdgRankKeyA,0),"")</f>
        <v/>
      </c>
      <c r="O308">
        <f>IFERROR(MATCH($C$5&amp;"|"&amp;RIGHT("000000"&amp;292,6),LdgRankKeyB,0),"")</f>
        <v/>
      </c>
    </row>
    <row r="309">
      <c r="A309" s="17" t="n">
        <v>293</v>
      </c>
      <c r="B309" s="18">
        <f>IF(AND($N309="",$O309=""),"",IF($N309&lt;&gt;"",INDEX(PCNormDate,$N309),INDEX(LdgDateB,$O309)))</f>
        <v/>
      </c>
      <c r="C309" s="18">
        <f>IF($N309&lt;&gt;"",INDEX(PCOp,$N309),IF($O309&lt;&gt;"",IF(N(INDEX(TxnDepB,$O309))&gt;0,"دریافت بانکی","پرداخت بانکی"),""))</f>
        <v/>
      </c>
      <c r="D309" s="18">
        <f>IF($N309&lt;&gt;"",IF(INDEX(PCDoc,$N309)="","—",INDEX(PCDoc,$N309)),IF($O309&lt;&gt;"",INDEX(LdgBankB,$O309),""))</f>
        <v/>
      </c>
      <c r="E309" s="18">
        <f>IF($N309&lt;&gt;"",IF(INDEX(PCCitrus,$N309)="","—",INDEX(PCCitrus,$N309)),"")</f>
        <v/>
      </c>
      <c r="F309" s="19">
        <f>IF($N309&lt;&gt;"",IF(INDEX(PCScale,$N309)=0,"",INDEX(PCScale,$N309)),"")</f>
        <v/>
      </c>
      <c r="G309" s="19">
        <f>IF($N309&lt;&gt;"",IF(INDEX(PCBaskets,$N309)=0,"",INDEX(PCBaskets,$N309)),"")</f>
        <v/>
      </c>
      <c r="H309" s="20">
        <f>IF($N309&lt;&gt;"",IF(INDEX(PCNet,$N309)=0,"",INDEX(PCNet,$N309)),"")</f>
        <v/>
      </c>
      <c r="I309" s="19">
        <f>IF($N309&lt;&gt;"",IF(INDEX(PCOp,$N309)="مرجوعی خرید","",IF(INDEX(PCAmount,$N309)&lt;=0,"",INDEX(PCAmount,$N309))),IF($O309&lt;&gt;"",IF(INDEX(TxnDepB,$O309)=0,"",INDEX(TxnDepB,$O309)),""))</f>
        <v/>
      </c>
      <c r="J309" s="19">
        <f>IF($N309&lt;&gt;"",IF(INDEX(PCOp,$N309)="مرجوعی خرید",IF(INDEX(PCAmount,$N309)=0,"",-INDEX(PCAmount,$N309)),""),IF($O309&lt;&gt;"",IF(INDEX(TxnWitB,$O309)=0,"",INDEX(TxnWitB,$O309)),""))</f>
        <v/>
      </c>
      <c r="K309" s="21">
        <f>IF($B309="","",IF($K308="",$C$10,$K308)+IF($I309="",0,$I309)-IF($J309="",0,$J309))</f>
        <v/>
      </c>
      <c r="L309" s="22">
        <f>IF($N309&lt;&gt;"",IF(INDEX(PCNotes,$N309)="","—",INDEX(PCNotes,$N309)),IF($O309&lt;&gt;"",IF(INDEX(LdgNoteB,$O309)="","—",INDEX(LdgNoteB,$O309)),""))</f>
        <v/>
      </c>
      <c r="N309">
        <f>IFERROR(MATCH($C$5&amp;"|"&amp;RIGHT("000000"&amp;293,6),LdgRankKeyA,0),"")</f>
        <v/>
      </c>
      <c r="O309">
        <f>IFERROR(MATCH($C$5&amp;"|"&amp;RIGHT("000000"&amp;293,6),LdgRankKeyB,0),"")</f>
        <v/>
      </c>
    </row>
    <row r="310">
      <c r="A310" s="23" t="n">
        <v>294</v>
      </c>
      <c r="B310" s="24">
        <f>IF(AND($N310="",$O310=""),"",IF($N310&lt;&gt;"",INDEX(PCNormDate,$N310),INDEX(LdgDateB,$O310)))</f>
        <v/>
      </c>
      <c r="C310" s="24">
        <f>IF($N310&lt;&gt;"",INDEX(PCOp,$N310),IF($O310&lt;&gt;"",IF(N(INDEX(TxnDepB,$O310))&gt;0,"دریافت بانکی","پرداخت بانکی"),""))</f>
        <v/>
      </c>
      <c r="D310" s="24">
        <f>IF($N310&lt;&gt;"",IF(INDEX(PCDoc,$N310)="","—",INDEX(PCDoc,$N310)),IF($O310&lt;&gt;"",INDEX(LdgBankB,$O310),""))</f>
        <v/>
      </c>
      <c r="E310" s="24">
        <f>IF($N310&lt;&gt;"",IF(INDEX(PCCitrus,$N310)="","—",INDEX(PCCitrus,$N310)),"")</f>
        <v/>
      </c>
      <c r="F310" s="25">
        <f>IF($N310&lt;&gt;"",IF(INDEX(PCScale,$N310)=0,"",INDEX(PCScale,$N310)),"")</f>
        <v/>
      </c>
      <c r="G310" s="25">
        <f>IF($N310&lt;&gt;"",IF(INDEX(PCBaskets,$N310)=0,"",INDEX(PCBaskets,$N310)),"")</f>
        <v/>
      </c>
      <c r="H310" s="26">
        <f>IF($N310&lt;&gt;"",IF(INDEX(PCNet,$N310)=0,"",INDEX(PCNet,$N310)),"")</f>
        <v/>
      </c>
      <c r="I310" s="25">
        <f>IF($N310&lt;&gt;"",IF(INDEX(PCOp,$N310)="مرجوعی خرید","",IF(INDEX(PCAmount,$N310)&lt;=0,"",INDEX(PCAmount,$N310))),IF($O310&lt;&gt;"",IF(INDEX(TxnDepB,$O310)=0,"",INDEX(TxnDepB,$O310)),""))</f>
        <v/>
      </c>
      <c r="J310" s="25">
        <f>IF($N310&lt;&gt;"",IF(INDEX(PCOp,$N310)="مرجوعی خرید",IF(INDEX(PCAmount,$N310)=0,"",-INDEX(PCAmount,$N310)),""),IF($O310&lt;&gt;"",IF(INDEX(TxnWitB,$O310)=0,"",INDEX(TxnWitB,$O310)),""))</f>
        <v/>
      </c>
      <c r="K310" s="27">
        <f>IF($B310="","",IF($K309="",$C$10,$K309)+IF($I310="",0,$I310)-IF($J310="",0,$J310))</f>
        <v/>
      </c>
      <c r="L310" s="28">
        <f>IF($N310&lt;&gt;"",IF(INDEX(PCNotes,$N310)="","—",INDEX(PCNotes,$N310)),IF($O310&lt;&gt;"",IF(INDEX(LdgNoteB,$O310)="","—",INDEX(LdgNoteB,$O310)),""))</f>
        <v/>
      </c>
      <c r="N310">
        <f>IFERROR(MATCH($C$5&amp;"|"&amp;RIGHT("000000"&amp;294,6),LdgRankKeyA,0),"")</f>
        <v/>
      </c>
      <c r="O310">
        <f>IFERROR(MATCH($C$5&amp;"|"&amp;RIGHT("000000"&amp;294,6),LdgRankKeyB,0),"")</f>
        <v/>
      </c>
    </row>
    <row r="311">
      <c r="A311" s="17" t="n">
        <v>295</v>
      </c>
      <c r="B311" s="18">
        <f>IF(AND($N311="",$O311=""),"",IF($N311&lt;&gt;"",INDEX(PCNormDate,$N311),INDEX(LdgDateB,$O311)))</f>
        <v/>
      </c>
      <c r="C311" s="18">
        <f>IF($N311&lt;&gt;"",INDEX(PCOp,$N311),IF($O311&lt;&gt;"",IF(N(INDEX(TxnDepB,$O311))&gt;0,"دریافت بانکی","پرداخت بانکی"),""))</f>
        <v/>
      </c>
      <c r="D311" s="18">
        <f>IF($N311&lt;&gt;"",IF(INDEX(PCDoc,$N311)="","—",INDEX(PCDoc,$N311)),IF($O311&lt;&gt;"",INDEX(LdgBankB,$O311),""))</f>
        <v/>
      </c>
      <c r="E311" s="18">
        <f>IF($N311&lt;&gt;"",IF(INDEX(PCCitrus,$N311)="","—",INDEX(PCCitrus,$N311)),"")</f>
        <v/>
      </c>
      <c r="F311" s="19">
        <f>IF($N311&lt;&gt;"",IF(INDEX(PCScale,$N311)=0,"",INDEX(PCScale,$N311)),"")</f>
        <v/>
      </c>
      <c r="G311" s="19">
        <f>IF($N311&lt;&gt;"",IF(INDEX(PCBaskets,$N311)=0,"",INDEX(PCBaskets,$N311)),"")</f>
        <v/>
      </c>
      <c r="H311" s="20">
        <f>IF($N311&lt;&gt;"",IF(INDEX(PCNet,$N311)=0,"",INDEX(PCNet,$N311)),"")</f>
        <v/>
      </c>
      <c r="I311" s="19">
        <f>IF($N311&lt;&gt;"",IF(INDEX(PCOp,$N311)="مرجوعی خرید","",IF(INDEX(PCAmount,$N311)&lt;=0,"",INDEX(PCAmount,$N311))),IF($O311&lt;&gt;"",IF(INDEX(TxnDepB,$O311)=0,"",INDEX(TxnDepB,$O311)),""))</f>
        <v/>
      </c>
      <c r="J311" s="19">
        <f>IF($N311&lt;&gt;"",IF(INDEX(PCOp,$N311)="مرجوعی خرید",IF(INDEX(PCAmount,$N311)=0,"",-INDEX(PCAmount,$N311)),""),IF($O311&lt;&gt;"",IF(INDEX(TxnWitB,$O311)=0,"",INDEX(TxnWitB,$O311)),""))</f>
        <v/>
      </c>
      <c r="K311" s="21">
        <f>IF($B311="","",IF($K310="",$C$10,$K310)+IF($I311="",0,$I311)-IF($J311="",0,$J311))</f>
        <v/>
      </c>
      <c r="L311" s="22">
        <f>IF($N311&lt;&gt;"",IF(INDEX(PCNotes,$N311)="","—",INDEX(PCNotes,$N311)),IF($O311&lt;&gt;"",IF(INDEX(LdgNoteB,$O311)="","—",INDEX(LdgNoteB,$O311)),""))</f>
        <v/>
      </c>
      <c r="N311">
        <f>IFERROR(MATCH($C$5&amp;"|"&amp;RIGHT("000000"&amp;295,6),LdgRankKeyA,0),"")</f>
        <v/>
      </c>
      <c r="O311">
        <f>IFERROR(MATCH($C$5&amp;"|"&amp;RIGHT("000000"&amp;295,6),LdgRankKeyB,0),"")</f>
        <v/>
      </c>
    </row>
    <row r="312">
      <c r="A312" s="23" t="n">
        <v>296</v>
      </c>
      <c r="B312" s="24">
        <f>IF(AND($N312="",$O312=""),"",IF($N312&lt;&gt;"",INDEX(PCNormDate,$N312),INDEX(LdgDateB,$O312)))</f>
        <v/>
      </c>
      <c r="C312" s="24">
        <f>IF($N312&lt;&gt;"",INDEX(PCOp,$N312),IF($O312&lt;&gt;"",IF(N(INDEX(TxnDepB,$O312))&gt;0,"دریافت بانکی","پرداخت بانکی"),""))</f>
        <v/>
      </c>
      <c r="D312" s="24">
        <f>IF($N312&lt;&gt;"",IF(INDEX(PCDoc,$N312)="","—",INDEX(PCDoc,$N312)),IF($O312&lt;&gt;"",INDEX(LdgBankB,$O312),""))</f>
        <v/>
      </c>
      <c r="E312" s="24">
        <f>IF($N312&lt;&gt;"",IF(INDEX(PCCitrus,$N312)="","—",INDEX(PCCitrus,$N312)),"")</f>
        <v/>
      </c>
      <c r="F312" s="25">
        <f>IF($N312&lt;&gt;"",IF(INDEX(PCScale,$N312)=0,"",INDEX(PCScale,$N312)),"")</f>
        <v/>
      </c>
      <c r="G312" s="25">
        <f>IF($N312&lt;&gt;"",IF(INDEX(PCBaskets,$N312)=0,"",INDEX(PCBaskets,$N312)),"")</f>
        <v/>
      </c>
      <c r="H312" s="26">
        <f>IF($N312&lt;&gt;"",IF(INDEX(PCNet,$N312)=0,"",INDEX(PCNet,$N312)),"")</f>
        <v/>
      </c>
      <c r="I312" s="25">
        <f>IF($N312&lt;&gt;"",IF(INDEX(PCOp,$N312)="مرجوعی خرید","",IF(INDEX(PCAmount,$N312)&lt;=0,"",INDEX(PCAmount,$N312))),IF($O312&lt;&gt;"",IF(INDEX(TxnDepB,$O312)=0,"",INDEX(TxnDepB,$O312)),""))</f>
        <v/>
      </c>
      <c r="J312" s="25">
        <f>IF($N312&lt;&gt;"",IF(INDEX(PCOp,$N312)="مرجوعی خرید",IF(INDEX(PCAmount,$N312)=0,"",-INDEX(PCAmount,$N312)),""),IF($O312&lt;&gt;"",IF(INDEX(TxnWitB,$O312)=0,"",INDEX(TxnWitB,$O312)),""))</f>
        <v/>
      </c>
      <c r="K312" s="27">
        <f>IF($B312="","",IF($K311="",$C$10,$K311)+IF($I312="",0,$I312)-IF($J312="",0,$J312))</f>
        <v/>
      </c>
      <c r="L312" s="28">
        <f>IF($N312&lt;&gt;"",IF(INDEX(PCNotes,$N312)="","—",INDEX(PCNotes,$N312)),IF($O312&lt;&gt;"",IF(INDEX(LdgNoteB,$O312)="","—",INDEX(LdgNoteB,$O312)),""))</f>
        <v/>
      </c>
      <c r="N312">
        <f>IFERROR(MATCH($C$5&amp;"|"&amp;RIGHT("000000"&amp;296,6),LdgRankKeyA,0),"")</f>
        <v/>
      </c>
      <c r="O312">
        <f>IFERROR(MATCH($C$5&amp;"|"&amp;RIGHT("000000"&amp;296,6),LdgRankKeyB,0),"")</f>
        <v/>
      </c>
    </row>
    <row r="313">
      <c r="A313" s="17" t="n">
        <v>297</v>
      </c>
      <c r="B313" s="18">
        <f>IF(AND($N313="",$O313=""),"",IF($N313&lt;&gt;"",INDEX(PCNormDate,$N313),INDEX(LdgDateB,$O313)))</f>
        <v/>
      </c>
      <c r="C313" s="18">
        <f>IF($N313&lt;&gt;"",INDEX(PCOp,$N313),IF($O313&lt;&gt;"",IF(N(INDEX(TxnDepB,$O313))&gt;0,"دریافت بانکی","پرداخت بانکی"),""))</f>
        <v/>
      </c>
      <c r="D313" s="18">
        <f>IF($N313&lt;&gt;"",IF(INDEX(PCDoc,$N313)="","—",INDEX(PCDoc,$N313)),IF($O313&lt;&gt;"",INDEX(LdgBankB,$O313),""))</f>
        <v/>
      </c>
      <c r="E313" s="18">
        <f>IF($N313&lt;&gt;"",IF(INDEX(PCCitrus,$N313)="","—",INDEX(PCCitrus,$N313)),"")</f>
        <v/>
      </c>
      <c r="F313" s="19">
        <f>IF($N313&lt;&gt;"",IF(INDEX(PCScale,$N313)=0,"",INDEX(PCScale,$N313)),"")</f>
        <v/>
      </c>
      <c r="G313" s="19">
        <f>IF($N313&lt;&gt;"",IF(INDEX(PCBaskets,$N313)=0,"",INDEX(PCBaskets,$N313)),"")</f>
        <v/>
      </c>
      <c r="H313" s="20">
        <f>IF($N313&lt;&gt;"",IF(INDEX(PCNet,$N313)=0,"",INDEX(PCNet,$N313)),"")</f>
        <v/>
      </c>
      <c r="I313" s="19">
        <f>IF($N313&lt;&gt;"",IF(INDEX(PCOp,$N313)="مرجوعی خرید","",IF(INDEX(PCAmount,$N313)&lt;=0,"",INDEX(PCAmount,$N313))),IF($O313&lt;&gt;"",IF(INDEX(TxnDepB,$O313)=0,"",INDEX(TxnDepB,$O313)),""))</f>
        <v/>
      </c>
      <c r="J313" s="19">
        <f>IF($N313&lt;&gt;"",IF(INDEX(PCOp,$N313)="مرجوعی خرید",IF(INDEX(PCAmount,$N313)=0,"",-INDEX(PCAmount,$N313)),""),IF($O313&lt;&gt;"",IF(INDEX(TxnWitB,$O313)=0,"",INDEX(TxnWitB,$O313)),""))</f>
        <v/>
      </c>
      <c r="K313" s="21">
        <f>IF($B313="","",IF($K312="",$C$10,$K312)+IF($I313="",0,$I313)-IF($J313="",0,$J313))</f>
        <v/>
      </c>
      <c r="L313" s="22">
        <f>IF($N313&lt;&gt;"",IF(INDEX(PCNotes,$N313)="","—",INDEX(PCNotes,$N313)),IF($O313&lt;&gt;"",IF(INDEX(LdgNoteB,$O313)="","—",INDEX(LdgNoteB,$O313)),""))</f>
        <v/>
      </c>
      <c r="N313">
        <f>IFERROR(MATCH($C$5&amp;"|"&amp;RIGHT("000000"&amp;297,6),LdgRankKeyA,0),"")</f>
        <v/>
      </c>
      <c r="O313">
        <f>IFERROR(MATCH($C$5&amp;"|"&amp;RIGHT("000000"&amp;297,6),LdgRankKeyB,0),"")</f>
        <v/>
      </c>
    </row>
    <row r="314">
      <c r="A314" s="23" t="n">
        <v>298</v>
      </c>
      <c r="B314" s="24">
        <f>IF(AND($N314="",$O314=""),"",IF($N314&lt;&gt;"",INDEX(PCNormDate,$N314),INDEX(LdgDateB,$O314)))</f>
        <v/>
      </c>
      <c r="C314" s="24">
        <f>IF($N314&lt;&gt;"",INDEX(PCOp,$N314),IF($O314&lt;&gt;"",IF(N(INDEX(TxnDepB,$O314))&gt;0,"دریافت بانکی","پرداخت بانکی"),""))</f>
        <v/>
      </c>
      <c r="D314" s="24">
        <f>IF($N314&lt;&gt;"",IF(INDEX(PCDoc,$N314)="","—",INDEX(PCDoc,$N314)),IF($O314&lt;&gt;"",INDEX(LdgBankB,$O314),""))</f>
        <v/>
      </c>
      <c r="E314" s="24">
        <f>IF($N314&lt;&gt;"",IF(INDEX(PCCitrus,$N314)="","—",INDEX(PCCitrus,$N314)),"")</f>
        <v/>
      </c>
      <c r="F314" s="25">
        <f>IF($N314&lt;&gt;"",IF(INDEX(PCScale,$N314)=0,"",INDEX(PCScale,$N314)),"")</f>
        <v/>
      </c>
      <c r="G314" s="25">
        <f>IF($N314&lt;&gt;"",IF(INDEX(PCBaskets,$N314)=0,"",INDEX(PCBaskets,$N314)),"")</f>
        <v/>
      </c>
      <c r="H314" s="26">
        <f>IF($N314&lt;&gt;"",IF(INDEX(PCNet,$N314)=0,"",INDEX(PCNet,$N314)),"")</f>
        <v/>
      </c>
      <c r="I314" s="25">
        <f>IF($N314&lt;&gt;"",IF(INDEX(PCOp,$N314)="مرجوعی خرید","",IF(INDEX(PCAmount,$N314)&lt;=0,"",INDEX(PCAmount,$N314))),IF($O314&lt;&gt;"",IF(INDEX(TxnDepB,$O314)=0,"",INDEX(TxnDepB,$O314)),""))</f>
        <v/>
      </c>
      <c r="J314" s="25">
        <f>IF($N314&lt;&gt;"",IF(INDEX(PCOp,$N314)="مرجوعی خرید",IF(INDEX(PCAmount,$N314)=0,"",-INDEX(PCAmount,$N314)),""),IF($O314&lt;&gt;"",IF(INDEX(TxnWitB,$O314)=0,"",INDEX(TxnWitB,$O314)),""))</f>
        <v/>
      </c>
      <c r="K314" s="27">
        <f>IF($B314="","",IF($K313="",$C$10,$K313)+IF($I314="",0,$I314)-IF($J314="",0,$J314))</f>
        <v/>
      </c>
      <c r="L314" s="28">
        <f>IF($N314&lt;&gt;"",IF(INDEX(PCNotes,$N314)="","—",INDEX(PCNotes,$N314)),IF($O314&lt;&gt;"",IF(INDEX(LdgNoteB,$O314)="","—",INDEX(LdgNoteB,$O314)),""))</f>
        <v/>
      </c>
      <c r="N314">
        <f>IFERROR(MATCH($C$5&amp;"|"&amp;RIGHT("000000"&amp;298,6),LdgRankKeyA,0),"")</f>
        <v/>
      </c>
      <c r="O314">
        <f>IFERROR(MATCH($C$5&amp;"|"&amp;RIGHT("000000"&amp;298,6),LdgRankKeyB,0),"")</f>
        <v/>
      </c>
    </row>
    <row r="315">
      <c r="A315" s="17" t="n">
        <v>299</v>
      </c>
      <c r="B315" s="18">
        <f>IF(AND($N315="",$O315=""),"",IF($N315&lt;&gt;"",INDEX(PCNormDate,$N315),INDEX(LdgDateB,$O315)))</f>
        <v/>
      </c>
      <c r="C315" s="18">
        <f>IF($N315&lt;&gt;"",INDEX(PCOp,$N315),IF($O315&lt;&gt;"",IF(N(INDEX(TxnDepB,$O315))&gt;0,"دریافت بانکی","پرداخت بانکی"),""))</f>
        <v/>
      </c>
      <c r="D315" s="18">
        <f>IF($N315&lt;&gt;"",IF(INDEX(PCDoc,$N315)="","—",INDEX(PCDoc,$N315)),IF($O315&lt;&gt;"",INDEX(LdgBankB,$O315),""))</f>
        <v/>
      </c>
      <c r="E315" s="18">
        <f>IF($N315&lt;&gt;"",IF(INDEX(PCCitrus,$N315)="","—",INDEX(PCCitrus,$N315)),"")</f>
        <v/>
      </c>
      <c r="F315" s="19">
        <f>IF($N315&lt;&gt;"",IF(INDEX(PCScale,$N315)=0,"",INDEX(PCScale,$N315)),"")</f>
        <v/>
      </c>
      <c r="G315" s="19">
        <f>IF($N315&lt;&gt;"",IF(INDEX(PCBaskets,$N315)=0,"",INDEX(PCBaskets,$N315)),"")</f>
        <v/>
      </c>
      <c r="H315" s="20">
        <f>IF($N315&lt;&gt;"",IF(INDEX(PCNet,$N315)=0,"",INDEX(PCNet,$N315)),"")</f>
        <v/>
      </c>
      <c r="I315" s="19">
        <f>IF($N315&lt;&gt;"",IF(INDEX(PCOp,$N315)="مرجوعی خرید","",IF(INDEX(PCAmount,$N315)&lt;=0,"",INDEX(PCAmount,$N315))),IF($O315&lt;&gt;"",IF(INDEX(TxnDepB,$O315)=0,"",INDEX(TxnDepB,$O315)),""))</f>
        <v/>
      </c>
      <c r="J315" s="19">
        <f>IF($N315&lt;&gt;"",IF(INDEX(PCOp,$N315)="مرجوعی خرید",IF(INDEX(PCAmount,$N315)=0,"",-INDEX(PCAmount,$N315)),""),IF($O315&lt;&gt;"",IF(INDEX(TxnWitB,$O315)=0,"",INDEX(TxnWitB,$O315)),""))</f>
        <v/>
      </c>
      <c r="K315" s="21">
        <f>IF($B315="","",IF($K314="",$C$10,$K314)+IF($I315="",0,$I315)-IF($J315="",0,$J315))</f>
        <v/>
      </c>
      <c r="L315" s="22">
        <f>IF($N315&lt;&gt;"",IF(INDEX(PCNotes,$N315)="","—",INDEX(PCNotes,$N315)),IF($O315&lt;&gt;"",IF(INDEX(LdgNoteB,$O315)="","—",INDEX(LdgNoteB,$O315)),""))</f>
        <v/>
      </c>
      <c r="N315">
        <f>IFERROR(MATCH($C$5&amp;"|"&amp;RIGHT("000000"&amp;299,6),LdgRankKeyA,0),"")</f>
        <v/>
      </c>
      <c r="O315">
        <f>IFERROR(MATCH($C$5&amp;"|"&amp;RIGHT("000000"&amp;299,6),LdgRankKeyB,0),"")</f>
        <v/>
      </c>
    </row>
    <row r="316">
      <c r="A316" s="23" t="n">
        <v>300</v>
      </c>
      <c r="B316" s="24">
        <f>IF(AND($N316="",$O316=""),"",IF($N316&lt;&gt;"",INDEX(PCNormDate,$N316),INDEX(LdgDateB,$O316)))</f>
        <v/>
      </c>
      <c r="C316" s="24">
        <f>IF($N316&lt;&gt;"",INDEX(PCOp,$N316),IF($O316&lt;&gt;"",IF(N(INDEX(TxnDepB,$O316))&gt;0,"دریافت بانکی","پرداخت بانکی"),""))</f>
        <v/>
      </c>
      <c r="D316" s="24">
        <f>IF($N316&lt;&gt;"",IF(INDEX(PCDoc,$N316)="","—",INDEX(PCDoc,$N316)),IF($O316&lt;&gt;"",INDEX(LdgBankB,$O316),""))</f>
        <v/>
      </c>
      <c r="E316" s="24">
        <f>IF($N316&lt;&gt;"",IF(INDEX(PCCitrus,$N316)="","—",INDEX(PCCitrus,$N316)),"")</f>
        <v/>
      </c>
      <c r="F316" s="25">
        <f>IF($N316&lt;&gt;"",IF(INDEX(PCScale,$N316)=0,"",INDEX(PCScale,$N316)),"")</f>
        <v/>
      </c>
      <c r="G316" s="25">
        <f>IF($N316&lt;&gt;"",IF(INDEX(PCBaskets,$N316)=0,"",INDEX(PCBaskets,$N316)),"")</f>
        <v/>
      </c>
      <c r="H316" s="26">
        <f>IF($N316&lt;&gt;"",IF(INDEX(PCNet,$N316)=0,"",INDEX(PCNet,$N316)),"")</f>
        <v/>
      </c>
      <c r="I316" s="25">
        <f>IF($N316&lt;&gt;"",IF(INDEX(PCOp,$N316)="مرجوعی خرید","",IF(INDEX(PCAmount,$N316)&lt;=0,"",INDEX(PCAmount,$N316))),IF($O316&lt;&gt;"",IF(INDEX(TxnDepB,$O316)=0,"",INDEX(TxnDepB,$O316)),""))</f>
        <v/>
      </c>
      <c r="J316" s="25">
        <f>IF($N316&lt;&gt;"",IF(INDEX(PCOp,$N316)="مرجوعی خرید",IF(INDEX(PCAmount,$N316)=0,"",-INDEX(PCAmount,$N316)),""),IF($O316&lt;&gt;"",IF(INDEX(TxnWitB,$O316)=0,"",INDEX(TxnWitB,$O316)),""))</f>
        <v/>
      </c>
      <c r="K316" s="27">
        <f>IF($B316="","",IF($K315="",$C$10,$K315)+IF($I316="",0,$I316)-IF($J316="",0,$J316))</f>
        <v/>
      </c>
      <c r="L316" s="28">
        <f>IF($N316&lt;&gt;"",IF(INDEX(PCNotes,$N316)="","—",INDEX(PCNotes,$N316)),IF($O316&lt;&gt;"",IF(INDEX(LdgNoteB,$O316)="","—",INDEX(LdgNoteB,$O316)),""))</f>
        <v/>
      </c>
      <c r="N316">
        <f>IFERROR(MATCH($C$5&amp;"|"&amp;RIGHT("000000"&amp;300,6),LdgRankKeyA,0),"")</f>
        <v/>
      </c>
      <c r="O316">
        <f>IFERROR(MATCH($C$5&amp;"|"&amp;RIGHT("000000"&amp;300,6),LdgRankKeyB,0),"")</f>
        <v/>
      </c>
    </row>
    <row r="317">
      <c r="A317" s="17" t="n">
        <v>301</v>
      </c>
      <c r="B317" s="18">
        <f>IF(AND($N317="",$O317=""),"",IF($N317&lt;&gt;"",INDEX(PCNormDate,$N317),INDEX(LdgDateB,$O317)))</f>
        <v/>
      </c>
      <c r="C317" s="18">
        <f>IF($N317&lt;&gt;"",INDEX(PCOp,$N317),IF($O317&lt;&gt;"",IF(N(INDEX(TxnDepB,$O317))&gt;0,"دریافت بانکی","پرداخت بانکی"),""))</f>
        <v/>
      </c>
      <c r="D317" s="18">
        <f>IF($N317&lt;&gt;"",IF(INDEX(PCDoc,$N317)="","—",INDEX(PCDoc,$N317)),IF($O317&lt;&gt;"",INDEX(LdgBankB,$O317),""))</f>
        <v/>
      </c>
      <c r="E317" s="18">
        <f>IF($N317&lt;&gt;"",IF(INDEX(PCCitrus,$N317)="","—",INDEX(PCCitrus,$N317)),"")</f>
        <v/>
      </c>
      <c r="F317" s="19">
        <f>IF($N317&lt;&gt;"",IF(INDEX(PCScale,$N317)=0,"",INDEX(PCScale,$N317)),"")</f>
        <v/>
      </c>
      <c r="G317" s="19">
        <f>IF($N317&lt;&gt;"",IF(INDEX(PCBaskets,$N317)=0,"",INDEX(PCBaskets,$N317)),"")</f>
        <v/>
      </c>
      <c r="H317" s="20">
        <f>IF($N317&lt;&gt;"",IF(INDEX(PCNet,$N317)=0,"",INDEX(PCNet,$N317)),"")</f>
        <v/>
      </c>
      <c r="I317" s="19">
        <f>IF($N317&lt;&gt;"",IF(INDEX(PCOp,$N317)="مرجوعی خرید","",IF(INDEX(PCAmount,$N317)&lt;=0,"",INDEX(PCAmount,$N317))),IF($O317&lt;&gt;"",IF(INDEX(TxnDepB,$O317)=0,"",INDEX(TxnDepB,$O317)),""))</f>
        <v/>
      </c>
      <c r="J317" s="19">
        <f>IF($N317&lt;&gt;"",IF(INDEX(PCOp,$N317)="مرجوعی خرید",IF(INDEX(PCAmount,$N317)=0,"",-INDEX(PCAmount,$N317)),""),IF($O317&lt;&gt;"",IF(INDEX(TxnWitB,$O317)=0,"",INDEX(TxnWitB,$O317)),""))</f>
        <v/>
      </c>
      <c r="K317" s="21">
        <f>IF($B317="","",IF($K316="",$C$10,$K316)+IF($I317="",0,$I317)-IF($J317="",0,$J317))</f>
        <v/>
      </c>
      <c r="L317" s="22">
        <f>IF($N317&lt;&gt;"",IF(INDEX(PCNotes,$N317)="","—",INDEX(PCNotes,$N317)),IF($O317&lt;&gt;"",IF(INDEX(LdgNoteB,$O317)="","—",INDEX(LdgNoteB,$O317)),""))</f>
        <v/>
      </c>
      <c r="N317">
        <f>IFERROR(MATCH($C$5&amp;"|"&amp;RIGHT("000000"&amp;301,6),LdgRankKeyA,0),"")</f>
        <v/>
      </c>
      <c r="O317">
        <f>IFERROR(MATCH($C$5&amp;"|"&amp;RIGHT("000000"&amp;301,6),LdgRankKeyB,0),"")</f>
        <v/>
      </c>
    </row>
    <row r="318">
      <c r="A318" s="23" t="n">
        <v>302</v>
      </c>
      <c r="B318" s="24">
        <f>IF(AND($N318="",$O318=""),"",IF($N318&lt;&gt;"",INDEX(PCNormDate,$N318),INDEX(LdgDateB,$O318)))</f>
        <v/>
      </c>
      <c r="C318" s="24">
        <f>IF($N318&lt;&gt;"",INDEX(PCOp,$N318),IF($O318&lt;&gt;"",IF(N(INDEX(TxnDepB,$O318))&gt;0,"دریافت بانکی","پرداخت بانکی"),""))</f>
        <v/>
      </c>
      <c r="D318" s="24">
        <f>IF($N318&lt;&gt;"",IF(INDEX(PCDoc,$N318)="","—",INDEX(PCDoc,$N318)),IF($O318&lt;&gt;"",INDEX(LdgBankB,$O318),""))</f>
        <v/>
      </c>
      <c r="E318" s="24">
        <f>IF($N318&lt;&gt;"",IF(INDEX(PCCitrus,$N318)="","—",INDEX(PCCitrus,$N318)),"")</f>
        <v/>
      </c>
      <c r="F318" s="25">
        <f>IF($N318&lt;&gt;"",IF(INDEX(PCScale,$N318)=0,"",INDEX(PCScale,$N318)),"")</f>
        <v/>
      </c>
      <c r="G318" s="25">
        <f>IF($N318&lt;&gt;"",IF(INDEX(PCBaskets,$N318)=0,"",INDEX(PCBaskets,$N318)),"")</f>
        <v/>
      </c>
      <c r="H318" s="26">
        <f>IF($N318&lt;&gt;"",IF(INDEX(PCNet,$N318)=0,"",INDEX(PCNet,$N318)),"")</f>
        <v/>
      </c>
      <c r="I318" s="25">
        <f>IF($N318&lt;&gt;"",IF(INDEX(PCOp,$N318)="مرجوعی خرید","",IF(INDEX(PCAmount,$N318)&lt;=0,"",INDEX(PCAmount,$N318))),IF($O318&lt;&gt;"",IF(INDEX(TxnDepB,$O318)=0,"",INDEX(TxnDepB,$O318)),""))</f>
        <v/>
      </c>
      <c r="J318" s="25">
        <f>IF($N318&lt;&gt;"",IF(INDEX(PCOp,$N318)="مرجوعی خرید",IF(INDEX(PCAmount,$N318)=0,"",-INDEX(PCAmount,$N318)),""),IF($O318&lt;&gt;"",IF(INDEX(TxnWitB,$O318)=0,"",INDEX(TxnWitB,$O318)),""))</f>
        <v/>
      </c>
      <c r="K318" s="27">
        <f>IF($B318="","",IF($K317="",$C$10,$K317)+IF($I318="",0,$I318)-IF($J318="",0,$J318))</f>
        <v/>
      </c>
      <c r="L318" s="28">
        <f>IF($N318&lt;&gt;"",IF(INDEX(PCNotes,$N318)="","—",INDEX(PCNotes,$N318)),IF($O318&lt;&gt;"",IF(INDEX(LdgNoteB,$O318)="","—",INDEX(LdgNoteB,$O318)),""))</f>
        <v/>
      </c>
      <c r="N318">
        <f>IFERROR(MATCH($C$5&amp;"|"&amp;RIGHT("000000"&amp;302,6),LdgRankKeyA,0),"")</f>
        <v/>
      </c>
      <c r="O318">
        <f>IFERROR(MATCH($C$5&amp;"|"&amp;RIGHT("000000"&amp;302,6),LdgRankKeyB,0),"")</f>
        <v/>
      </c>
    </row>
    <row r="319">
      <c r="A319" s="17" t="n">
        <v>303</v>
      </c>
      <c r="B319" s="18">
        <f>IF(AND($N319="",$O319=""),"",IF($N319&lt;&gt;"",INDEX(PCNormDate,$N319),INDEX(LdgDateB,$O319)))</f>
        <v/>
      </c>
      <c r="C319" s="18">
        <f>IF($N319&lt;&gt;"",INDEX(PCOp,$N319),IF($O319&lt;&gt;"",IF(N(INDEX(TxnDepB,$O319))&gt;0,"دریافت بانکی","پرداخت بانکی"),""))</f>
        <v/>
      </c>
      <c r="D319" s="18">
        <f>IF($N319&lt;&gt;"",IF(INDEX(PCDoc,$N319)="","—",INDEX(PCDoc,$N319)),IF($O319&lt;&gt;"",INDEX(LdgBankB,$O319),""))</f>
        <v/>
      </c>
      <c r="E319" s="18">
        <f>IF($N319&lt;&gt;"",IF(INDEX(PCCitrus,$N319)="","—",INDEX(PCCitrus,$N319)),"")</f>
        <v/>
      </c>
      <c r="F319" s="19">
        <f>IF($N319&lt;&gt;"",IF(INDEX(PCScale,$N319)=0,"",INDEX(PCScale,$N319)),"")</f>
        <v/>
      </c>
      <c r="G319" s="19">
        <f>IF($N319&lt;&gt;"",IF(INDEX(PCBaskets,$N319)=0,"",INDEX(PCBaskets,$N319)),"")</f>
        <v/>
      </c>
      <c r="H319" s="20">
        <f>IF($N319&lt;&gt;"",IF(INDEX(PCNet,$N319)=0,"",INDEX(PCNet,$N319)),"")</f>
        <v/>
      </c>
      <c r="I319" s="19">
        <f>IF($N319&lt;&gt;"",IF(INDEX(PCOp,$N319)="مرجوعی خرید","",IF(INDEX(PCAmount,$N319)&lt;=0,"",INDEX(PCAmount,$N319))),IF($O319&lt;&gt;"",IF(INDEX(TxnDepB,$O319)=0,"",INDEX(TxnDepB,$O319)),""))</f>
        <v/>
      </c>
      <c r="J319" s="19">
        <f>IF($N319&lt;&gt;"",IF(INDEX(PCOp,$N319)="مرجوعی خرید",IF(INDEX(PCAmount,$N319)=0,"",-INDEX(PCAmount,$N319)),""),IF($O319&lt;&gt;"",IF(INDEX(TxnWitB,$O319)=0,"",INDEX(TxnWitB,$O319)),""))</f>
        <v/>
      </c>
      <c r="K319" s="21">
        <f>IF($B319="","",IF($K318="",$C$10,$K318)+IF($I319="",0,$I319)-IF($J319="",0,$J319))</f>
        <v/>
      </c>
      <c r="L319" s="22">
        <f>IF($N319&lt;&gt;"",IF(INDEX(PCNotes,$N319)="","—",INDEX(PCNotes,$N319)),IF($O319&lt;&gt;"",IF(INDEX(LdgNoteB,$O319)="","—",INDEX(LdgNoteB,$O319)),""))</f>
        <v/>
      </c>
      <c r="N319">
        <f>IFERROR(MATCH($C$5&amp;"|"&amp;RIGHT("000000"&amp;303,6),LdgRankKeyA,0),"")</f>
        <v/>
      </c>
      <c r="O319">
        <f>IFERROR(MATCH($C$5&amp;"|"&amp;RIGHT("000000"&amp;303,6),LdgRankKeyB,0),"")</f>
        <v/>
      </c>
    </row>
    <row r="320">
      <c r="A320" s="23" t="n">
        <v>304</v>
      </c>
      <c r="B320" s="24">
        <f>IF(AND($N320="",$O320=""),"",IF($N320&lt;&gt;"",INDEX(PCNormDate,$N320),INDEX(LdgDateB,$O320)))</f>
        <v/>
      </c>
      <c r="C320" s="24">
        <f>IF($N320&lt;&gt;"",INDEX(PCOp,$N320),IF($O320&lt;&gt;"",IF(N(INDEX(TxnDepB,$O320))&gt;0,"دریافت بانکی","پرداخت بانکی"),""))</f>
        <v/>
      </c>
      <c r="D320" s="24">
        <f>IF($N320&lt;&gt;"",IF(INDEX(PCDoc,$N320)="","—",INDEX(PCDoc,$N320)),IF($O320&lt;&gt;"",INDEX(LdgBankB,$O320),""))</f>
        <v/>
      </c>
      <c r="E320" s="24">
        <f>IF($N320&lt;&gt;"",IF(INDEX(PCCitrus,$N320)="","—",INDEX(PCCitrus,$N320)),"")</f>
        <v/>
      </c>
      <c r="F320" s="25">
        <f>IF($N320&lt;&gt;"",IF(INDEX(PCScale,$N320)=0,"",INDEX(PCScale,$N320)),"")</f>
        <v/>
      </c>
      <c r="G320" s="25">
        <f>IF($N320&lt;&gt;"",IF(INDEX(PCBaskets,$N320)=0,"",INDEX(PCBaskets,$N320)),"")</f>
        <v/>
      </c>
      <c r="H320" s="26">
        <f>IF($N320&lt;&gt;"",IF(INDEX(PCNet,$N320)=0,"",INDEX(PCNet,$N320)),"")</f>
        <v/>
      </c>
      <c r="I320" s="25">
        <f>IF($N320&lt;&gt;"",IF(INDEX(PCOp,$N320)="مرجوعی خرید","",IF(INDEX(PCAmount,$N320)&lt;=0,"",INDEX(PCAmount,$N320))),IF($O320&lt;&gt;"",IF(INDEX(TxnDepB,$O320)=0,"",INDEX(TxnDepB,$O320)),""))</f>
        <v/>
      </c>
      <c r="J320" s="25">
        <f>IF($N320&lt;&gt;"",IF(INDEX(PCOp,$N320)="مرجوعی خرید",IF(INDEX(PCAmount,$N320)=0,"",-INDEX(PCAmount,$N320)),""),IF($O320&lt;&gt;"",IF(INDEX(TxnWitB,$O320)=0,"",INDEX(TxnWitB,$O320)),""))</f>
        <v/>
      </c>
      <c r="K320" s="27">
        <f>IF($B320="","",IF($K319="",$C$10,$K319)+IF($I320="",0,$I320)-IF($J320="",0,$J320))</f>
        <v/>
      </c>
      <c r="L320" s="28">
        <f>IF($N320&lt;&gt;"",IF(INDEX(PCNotes,$N320)="","—",INDEX(PCNotes,$N320)),IF($O320&lt;&gt;"",IF(INDEX(LdgNoteB,$O320)="","—",INDEX(LdgNoteB,$O320)),""))</f>
        <v/>
      </c>
      <c r="N320">
        <f>IFERROR(MATCH($C$5&amp;"|"&amp;RIGHT("000000"&amp;304,6),LdgRankKeyA,0),"")</f>
        <v/>
      </c>
      <c r="O320">
        <f>IFERROR(MATCH($C$5&amp;"|"&amp;RIGHT("000000"&amp;304,6),LdgRankKeyB,0),"")</f>
        <v/>
      </c>
    </row>
    <row r="321">
      <c r="A321" s="17" t="n">
        <v>305</v>
      </c>
      <c r="B321" s="18">
        <f>IF(AND($N321="",$O321=""),"",IF($N321&lt;&gt;"",INDEX(PCNormDate,$N321),INDEX(LdgDateB,$O321)))</f>
        <v/>
      </c>
      <c r="C321" s="18">
        <f>IF($N321&lt;&gt;"",INDEX(PCOp,$N321),IF($O321&lt;&gt;"",IF(N(INDEX(TxnDepB,$O321))&gt;0,"دریافت بانکی","پرداخت بانکی"),""))</f>
        <v/>
      </c>
      <c r="D321" s="18">
        <f>IF($N321&lt;&gt;"",IF(INDEX(PCDoc,$N321)="","—",INDEX(PCDoc,$N321)),IF($O321&lt;&gt;"",INDEX(LdgBankB,$O321),""))</f>
        <v/>
      </c>
      <c r="E321" s="18">
        <f>IF($N321&lt;&gt;"",IF(INDEX(PCCitrus,$N321)="","—",INDEX(PCCitrus,$N321)),"")</f>
        <v/>
      </c>
      <c r="F321" s="19">
        <f>IF($N321&lt;&gt;"",IF(INDEX(PCScale,$N321)=0,"",INDEX(PCScale,$N321)),"")</f>
        <v/>
      </c>
      <c r="G321" s="19">
        <f>IF($N321&lt;&gt;"",IF(INDEX(PCBaskets,$N321)=0,"",INDEX(PCBaskets,$N321)),"")</f>
        <v/>
      </c>
      <c r="H321" s="20">
        <f>IF($N321&lt;&gt;"",IF(INDEX(PCNet,$N321)=0,"",INDEX(PCNet,$N321)),"")</f>
        <v/>
      </c>
      <c r="I321" s="19">
        <f>IF($N321&lt;&gt;"",IF(INDEX(PCOp,$N321)="مرجوعی خرید","",IF(INDEX(PCAmount,$N321)&lt;=0,"",INDEX(PCAmount,$N321))),IF($O321&lt;&gt;"",IF(INDEX(TxnDepB,$O321)=0,"",INDEX(TxnDepB,$O321)),""))</f>
        <v/>
      </c>
      <c r="J321" s="19">
        <f>IF($N321&lt;&gt;"",IF(INDEX(PCOp,$N321)="مرجوعی خرید",IF(INDEX(PCAmount,$N321)=0,"",-INDEX(PCAmount,$N321)),""),IF($O321&lt;&gt;"",IF(INDEX(TxnWitB,$O321)=0,"",INDEX(TxnWitB,$O321)),""))</f>
        <v/>
      </c>
      <c r="K321" s="21">
        <f>IF($B321="","",IF($K320="",$C$10,$K320)+IF($I321="",0,$I321)-IF($J321="",0,$J321))</f>
        <v/>
      </c>
      <c r="L321" s="22">
        <f>IF($N321&lt;&gt;"",IF(INDEX(PCNotes,$N321)="","—",INDEX(PCNotes,$N321)),IF($O321&lt;&gt;"",IF(INDEX(LdgNoteB,$O321)="","—",INDEX(LdgNoteB,$O321)),""))</f>
        <v/>
      </c>
      <c r="N321">
        <f>IFERROR(MATCH($C$5&amp;"|"&amp;RIGHT("000000"&amp;305,6),LdgRankKeyA,0),"")</f>
        <v/>
      </c>
      <c r="O321">
        <f>IFERROR(MATCH($C$5&amp;"|"&amp;RIGHT("000000"&amp;305,6),LdgRankKeyB,0),"")</f>
        <v/>
      </c>
    </row>
    <row r="322">
      <c r="A322" s="23" t="n">
        <v>306</v>
      </c>
      <c r="B322" s="24">
        <f>IF(AND($N322="",$O322=""),"",IF($N322&lt;&gt;"",INDEX(PCNormDate,$N322),INDEX(LdgDateB,$O322)))</f>
        <v/>
      </c>
      <c r="C322" s="24">
        <f>IF($N322&lt;&gt;"",INDEX(PCOp,$N322),IF($O322&lt;&gt;"",IF(N(INDEX(TxnDepB,$O322))&gt;0,"دریافت بانکی","پرداخت بانکی"),""))</f>
        <v/>
      </c>
      <c r="D322" s="24">
        <f>IF($N322&lt;&gt;"",IF(INDEX(PCDoc,$N322)="","—",INDEX(PCDoc,$N322)),IF($O322&lt;&gt;"",INDEX(LdgBankB,$O322),""))</f>
        <v/>
      </c>
      <c r="E322" s="24">
        <f>IF($N322&lt;&gt;"",IF(INDEX(PCCitrus,$N322)="","—",INDEX(PCCitrus,$N322)),"")</f>
        <v/>
      </c>
      <c r="F322" s="25">
        <f>IF($N322&lt;&gt;"",IF(INDEX(PCScale,$N322)=0,"",INDEX(PCScale,$N322)),"")</f>
        <v/>
      </c>
      <c r="G322" s="25">
        <f>IF($N322&lt;&gt;"",IF(INDEX(PCBaskets,$N322)=0,"",INDEX(PCBaskets,$N322)),"")</f>
        <v/>
      </c>
      <c r="H322" s="26">
        <f>IF($N322&lt;&gt;"",IF(INDEX(PCNet,$N322)=0,"",INDEX(PCNet,$N322)),"")</f>
        <v/>
      </c>
      <c r="I322" s="25">
        <f>IF($N322&lt;&gt;"",IF(INDEX(PCOp,$N322)="مرجوعی خرید","",IF(INDEX(PCAmount,$N322)&lt;=0,"",INDEX(PCAmount,$N322))),IF($O322&lt;&gt;"",IF(INDEX(TxnDepB,$O322)=0,"",INDEX(TxnDepB,$O322)),""))</f>
        <v/>
      </c>
      <c r="J322" s="25">
        <f>IF($N322&lt;&gt;"",IF(INDEX(PCOp,$N322)="مرجوعی خرید",IF(INDEX(PCAmount,$N322)=0,"",-INDEX(PCAmount,$N322)),""),IF($O322&lt;&gt;"",IF(INDEX(TxnWitB,$O322)=0,"",INDEX(TxnWitB,$O322)),""))</f>
        <v/>
      </c>
      <c r="K322" s="27">
        <f>IF($B322="","",IF($K321="",$C$10,$K321)+IF($I322="",0,$I322)-IF($J322="",0,$J322))</f>
        <v/>
      </c>
      <c r="L322" s="28">
        <f>IF($N322&lt;&gt;"",IF(INDEX(PCNotes,$N322)="","—",INDEX(PCNotes,$N322)),IF($O322&lt;&gt;"",IF(INDEX(LdgNoteB,$O322)="","—",INDEX(LdgNoteB,$O322)),""))</f>
        <v/>
      </c>
      <c r="N322">
        <f>IFERROR(MATCH($C$5&amp;"|"&amp;RIGHT("000000"&amp;306,6),LdgRankKeyA,0),"")</f>
        <v/>
      </c>
      <c r="O322">
        <f>IFERROR(MATCH($C$5&amp;"|"&amp;RIGHT("000000"&amp;306,6),LdgRankKeyB,0),"")</f>
        <v/>
      </c>
    </row>
    <row r="323">
      <c r="A323" s="17" t="n">
        <v>307</v>
      </c>
      <c r="B323" s="18">
        <f>IF(AND($N323="",$O323=""),"",IF($N323&lt;&gt;"",INDEX(PCNormDate,$N323),INDEX(LdgDateB,$O323)))</f>
        <v/>
      </c>
      <c r="C323" s="18">
        <f>IF($N323&lt;&gt;"",INDEX(PCOp,$N323),IF($O323&lt;&gt;"",IF(N(INDEX(TxnDepB,$O323))&gt;0,"دریافت بانکی","پرداخت بانکی"),""))</f>
        <v/>
      </c>
      <c r="D323" s="18">
        <f>IF($N323&lt;&gt;"",IF(INDEX(PCDoc,$N323)="","—",INDEX(PCDoc,$N323)),IF($O323&lt;&gt;"",INDEX(LdgBankB,$O323),""))</f>
        <v/>
      </c>
      <c r="E323" s="18">
        <f>IF($N323&lt;&gt;"",IF(INDEX(PCCitrus,$N323)="","—",INDEX(PCCitrus,$N323)),"")</f>
        <v/>
      </c>
      <c r="F323" s="19">
        <f>IF($N323&lt;&gt;"",IF(INDEX(PCScale,$N323)=0,"",INDEX(PCScale,$N323)),"")</f>
        <v/>
      </c>
      <c r="G323" s="19">
        <f>IF($N323&lt;&gt;"",IF(INDEX(PCBaskets,$N323)=0,"",INDEX(PCBaskets,$N323)),"")</f>
        <v/>
      </c>
      <c r="H323" s="20">
        <f>IF($N323&lt;&gt;"",IF(INDEX(PCNet,$N323)=0,"",INDEX(PCNet,$N323)),"")</f>
        <v/>
      </c>
      <c r="I323" s="19">
        <f>IF($N323&lt;&gt;"",IF(INDEX(PCOp,$N323)="مرجوعی خرید","",IF(INDEX(PCAmount,$N323)&lt;=0,"",INDEX(PCAmount,$N323))),IF($O323&lt;&gt;"",IF(INDEX(TxnDepB,$O323)=0,"",INDEX(TxnDepB,$O323)),""))</f>
        <v/>
      </c>
      <c r="J323" s="19">
        <f>IF($N323&lt;&gt;"",IF(INDEX(PCOp,$N323)="مرجوعی خرید",IF(INDEX(PCAmount,$N323)=0,"",-INDEX(PCAmount,$N323)),""),IF($O323&lt;&gt;"",IF(INDEX(TxnWitB,$O323)=0,"",INDEX(TxnWitB,$O323)),""))</f>
        <v/>
      </c>
      <c r="K323" s="21">
        <f>IF($B323="","",IF($K322="",$C$10,$K322)+IF($I323="",0,$I323)-IF($J323="",0,$J323))</f>
        <v/>
      </c>
      <c r="L323" s="22">
        <f>IF($N323&lt;&gt;"",IF(INDEX(PCNotes,$N323)="","—",INDEX(PCNotes,$N323)),IF($O323&lt;&gt;"",IF(INDEX(LdgNoteB,$O323)="","—",INDEX(LdgNoteB,$O323)),""))</f>
        <v/>
      </c>
      <c r="N323">
        <f>IFERROR(MATCH($C$5&amp;"|"&amp;RIGHT("000000"&amp;307,6),LdgRankKeyA,0),"")</f>
        <v/>
      </c>
      <c r="O323">
        <f>IFERROR(MATCH($C$5&amp;"|"&amp;RIGHT("000000"&amp;307,6),LdgRankKeyB,0),"")</f>
        <v/>
      </c>
    </row>
    <row r="324">
      <c r="A324" s="23" t="n">
        <v>308</v>
      </c>
      <c r="B324" s="24">
        <f>IF(AND($N324="",$O324=""),"",IF($N324&lt;&gt;"",INDEX(PCNormDate,$N324),INDEX(LdgDateB,$O324)))</f>
        <v/>
      </c>
      <c r="C324" s="24">
        <f>IF($N324&lt;&gt;"",INDEX(PCOp,$N324),IF($O324&lt;&gt;"",IF(N(INDEX(TxnDepB,$O324))&gt;0,"دریافت بانکی","پرداخت بانکی"),""))</f>
        <v/>
      </c>
      <c r="D324" s="24">
        <f>IF($N324&lt;&gt;"",IF(INDEX(PCDoc,$N324)="","—",INDEX(PCDoc,$N324)),IF($O324&lt;&gt;"",INDEX(LdgBankB,$O324),""))</f>
        <v/>
      </c>
      <c r="E324" s="24">
        <f>IF($N324&lt;&gt;"",IF(INDEX(PCCitrus,$N324)="","—",INDEX(PCCitrus,$N324)),"")</f>
        <v/>
      </c>
      <c r="F324" s="25">
        <f>IF($N324&lt;&gt;"",IF(INDEX(PCScale,$N324)=0,"",INDEX(PCScale,$N324)),"")</f>
        <v/>
      </c>
      <c r="G324" s="25">
        <f>IF($N324&lt;&gt;"",IF(INDEX(PCBaskets,$N324)=0,"",INDEX(PCBaskets,$N324)),"")</f>
        <v/>
      </c>
      <c r="H324" s="26">
        <f>IF($N324&lt;&gt;"",IF(INDEX(PCNet,$N324)=0,"",INDEX(PCNet,$N324)),"")</f>
        <v/>
      </c>
      <c r="I324" s="25">
        <f>IF($N324&lt;&gt;"",IF(INDEX(PCOp,$N324)="مرجوعی خرید","",IF(INDEX(PCAmount,$N324)&lt;=0,"",INDEX(PCAmount,$N324))),IF($O324&lt;&gt;"",IF(INDEX(TxnDepB,$O324)=0,"",INDEX(TxnDepB,$O324)),""))</f>
        <v/>
      </c>
      <c r="J324" s="25">
        <f>IF($N324&lt;&gt;"",IF(INDEX(PCOp,$N324)="مرجوعی خرید",IF(INDEX(PCAmount,$N324)=0,"",-INDEX(PCAmount,$N324)),""),IF($O324&lt;&gt;"",IF(INDEX(TxnWitB,$O324)=0,"",INDEX(TxnWitB,$O324)),""))</f>
        <v/>
      </c>
      <c r="K324" s="27">
        <f>IF($B324="","",IF($K323="",$C$10,$K323)+IF($I324="",0,$I324)-IF($J324="",0,$J324))</f>
        <v/>
      </c>
      <c r="L324" s="28">
        <f>IF($N324&lt;&gt;"",IF(INDEX(PCNotes,$N324)="","—",INDEX(PCNotes,$N324)),IF($O324&lt;&gt;"",IF(INDEX(LdgNoteB,$O324)="","—",INDEX(LdgNoteB,$O324)),""))</f>
        <v/>
      </c>
      <c r="N324">
        <f>IFERROR(MATCH($C$5&amp;"|"&amp;RIGHT("000000"&amp;308,6),LdgRankKeyA,0),"")</f>
        <v/>
      </c>
      <c r="O324">
        <f>IFERROR(MATCH($C$5&amp;"|"&amp;RIGHT("000000"&amp;308,6),LdgRankKeyB,0),"")</f>
        <v/>
      </c>
    </row>
    <row r="325">
      <c r="A325" s="17" t="n">
        <v>309</v>
      </c>
      <c r="B325" s="18">
        <f>IF(AND($N325="",$O325=""),"",IF($N325&lt;&gt;"",INDEX(PCNormDate,$N325),INDEX(LdgDateB,$O325)))</f>
        <v/>
      </c>
      <c r="C325" s="18">
        <f>IF($N325&lt;&gt;"",INDEX(PCOp,$N325),IF($O325&lt;&gt;"",IF(N(INDEX(TxnDepB,$O325))&gt;0,"دریافت بانکی","پرداخت بانکی"),""))</f>
        <v/>
      </c>
      <c r="D325" s="18">
        <f>IF($N325&lt;&gt;"",IF(INDEX(PCDoc,$N325)="","—",INDEX(PCDoc,$N325)),IF($O325&lt;&gt;"",INDEX(LdgBankB,$O325),""))</f>
        <v/>
      </c>
      <c r="E325" s="18">
        <f>IF($N325&lt;&gt;"",IF(INDEX(PCCitrus,$N325)="","—",INDEX(PCCitrus,$N325)),"")</f>
        <v/>
      </c>
      <c r="F325" s="19">
        <f>IF($N325&lt;&gt;"",IF(INDEX(PCScale,$N325)=0,"",INDEX(PCScale,$N325)),"")</f>
        <v/>
      </c>
      <c r="G325" s="19">
        <f>IF($N325&lt;&gt;"",IF(INDEX(PCBaskets,$N325)=0,"",INDEX(PCBaskets,$N325)),"")</f>
        <v/>
      </c>
      <c r="H325" s="20">
        <f>IF($N325&lt;&gt;"",IF(INDEX(PCNet,$N325)=0,"",INDEX(PCNet,$N325)),"")</f>
        <v/>
      </c>
      <c r="I325" s="19">
        <f>IF($N325&lt;&gt;"",IF(INDEX(PCOp,$N325)="مرجوعی خرید","",IF(INDEX(PCAmount,$N325)&lt;=0,"",INDEX(PCAmount,$N325))),IF($O325&lt;&gt;"",IF(INDEX(TxnDepB,$O325)=0,"",INDEX(TxnDepB,$O325)),""))</f>
        <v/>
      </c>
      <c r="J325" s="19">
        <f>IF($N325&lt;&gt;"",IF(INDEX(PCOp,$N325)="مرجوعی خرید",IF(INDEX(PCAmount,$N325)=0,"",-INDEX(PCAmount,$N325)),""),IF($O325&lt;&gt;"",IF(INDEX(TxnWitB,$O325)=0,"",INDEX(TxnWitB,$O325)),""))</f>
        <v/>
      </c>
      <c r="K325" s="21">
        <f>IF($B325="","",IF($K324="",$C$10,$K324)+IF($I325="",0,$I325)-IF($J325="",0,$J325))</f>
        <v/>
      </c>
      <c r="L325" s="22">
        <f>IF($N325&lt;&gt;"",IF(INDEX(PCNotes,$N325)="","—",INDEX(PCNotes,$N325)),IF($O325&lt;&gt;"",IF(INDEX(LdgNoteB,$O325)="","—",INDEX(LdgNoteB,$O325)),""))</f>
        <v/>
      </c>
      <c r="N325">
        <f>IFERROR(MATCH($C$5&amp;"|"&amp;RIGHT("000000"&amp;309,6),LdgRankKeyA,0),"")</f>
        <v/>
      </c>
      <c r="O325">
        <f>IFERROR(MATCH($C$5&amp;"|"&amp;RIGHT("000000"&amp;309,6),LdgRankKeyB,0),"")</f>
        <v/>
      </c>
    </row>
    <row r="326">
      <c r="A326" s="23" t="n">
        <v>310</v>
      </c>
      <c r="B326" s="24">
        <f>IF(AND($N326="",$O326=""),"",IF($N326&lt;&gt;"",INDEX(PCNormDate,$N326),INDEX(LdgDateB,$O326)))</f>
        <v/>
      </c>
      <c r="C326" s="24">
        <f>IF($N326&lt;&gt;"",INDEX(PCOp,$N326),IF($O326&lt;&gt;"",IF(N(INDEX(TxnDepB,$O326))&gt;0,"دریافت بانکی","پرداخت بانکی"),""))</f>
        <v/>
      </c>
      <c r="D326" s="24">
        <f>IF($N326&lt;&gt;"",IF(INDEX(PCDoc,$N326)="","—",INDEX(PCDoc,$N326)),IF($O326&lt;&gt;"",INDEX(LdgBankB,$O326),""))</f>
        <v/>
      </c>
      <c r="E326" s="24">
        <f>IF($N326&lt;&gt;"",IF(INDEX(PCCitrus,$N326)="","—",INDEX(PCCitrus,$N326)),"")</f>
        <v/>
      </c>
      <c r="F326" s="25">
        <f>IF($N326&lt;&gt;"",IF(INDEX(PCScale,$N326)=0,"",INDEX(PCScale,$N326)),"")</f>
        <v/>
      </c>
      <c r="G326" s="25">
        <f>IF($N326&lt;&gt;"",IF(INDEX(PCBaskets,$N326)=0,"",INDEX(PCBaskets,$N326)),"")</f>
        <v/>
      </c>
      <c r="H326" s="26">
        <f>IF($N326&lt;&gt;"",IF(INDEX(PCNet,$N326)=0,"",INDEX(PCNet,$N326)),"")</f>
        <v/>
      </c>
      <c r="I326" s="25">
        <f>IF($N326&lt;&gt;"",IF(INDEX(PCOp,$N326)="مرجوعی خرید","",IF(INDEX(PCAmount,$N326)&lt;=0,"",INDEX(PCAmount,$N326))),IF($O326&lt;&gt;"",IF(INDEX(TxnDepB,$O326)=0,"",INDEX(TxnDepB,$O326)),""))</f>
        <v/>
      </c>
      <c r="J326" s="25">
        <f>IF($N326&lt;&gt;"",IF(INDEX(PCOp,$N326)="مرجوعی خرید",IF(INDEX(PCAmount,$N326)=0,"",-INDEX(PCAmount,$N326)),""),IF($O326&lt;&gt;"",IF(INDEX(TxnWitB,$O326)=0,"",INDEX(TxnWitB,$O326)),""))</f>
        <v/>
      </c>
      <c r="K326" s="27">
        <f>IF($B326="","",IF($K325="",$C$10,$K325)+IF($I326="",0,$I326)-IF($J326="",0,$J326))</f>
        <v/>
      </c>
      <c r="L326" s="28">
        <f>IF($N326&lt;&gt;"",IF(INDEX(PCNotes,$N326)="","—",INDEX(PCNotes,$N326)),IF($O326&lt;&gt;"",IF(INDEX(LdgNoteB,$O326)="","—",INDEX(LdgNoteB,$O326)),""))</f>
        <v/>
      </c>
      <c r="N326">
        <f>IFERROR(MATCH($C$5&amp;"|"&amp;RIGHT("000000"&amp;310,6),LdgRankKeyA,0),"")</f>
        <v/>
      </c>
      <c r="O326">
        <f>IFERROR(MATCH($C$5&amp;"|"&amp;RIGHT("000000"&amp;310,6),LdgRankKeyB,0),"")</f>
        <v/>
      </c>
    </row>
    <row r="327">
      <c r="A327" s="17" t="n">
        <v>311</v>
      </c>
      <c r="B327" s="18">
        <f>IF(AND($N327="",$O327=""),"",IF($N327&lt;&gt;"",INDEX(PCNormDate,$N327),INDEX(LdgDateB,$O327)))</f>
        <v/>
      </c>
      <c r="C327" s="18">
        <f>IF($N327&lt;&gt;"",INDEX(PCOp,$N327),IF($O327&lt;&gt;"",IF(N(INDEX(TxnDepB,$O327))&gt;0,"دریافت بانکی","پرداخت بانکی"),""))</f>
        <v/>
      </c>
      <c r="D327" s="18">
        <f>IF($N327&lt;&gt;"",IF(INDEX(PCDoc,$N327)="","—",INDEX(PCDoc,$N327)),IF($O327&lt;&gt;"",INDEX(LdgBankB,$O327),""))</f>
        <v/>
      </c>
      <c r="E327" s="18">
        <f>IF($N327&lt;&gt;"",IF(INDEX(PCCitrus,$N327)="","—",INDEX(PCCitrus,$N327)),"")</f>
        <v/>
      </c>
      <c r="F327" s="19">
        <f>IF($N327&lt;&gt;"",IF(INDEX(PCScale,$N327)=0,"",INDEX(PCScale,$N327)),"")</f>
        <v/>
      </c>
      <c r="G327" s="19">
        <f>IF($N327&lt;&gt;"",IF(INDEX(PCBaskets,$N327)=0,"",INDEX(PCBaskets,$N327)),"")</f>
        <v/>
      </c>
      <c r="H327" s="20">
        <f>IF($N327&lt;&gt;"",IF(INDEX(PCNet,$N327)=0,"",INDEX(PCNet,$N327)),"")</f>
        <v/>
      </c>
      <c r="I327" s="19">
        <f>IF($N327&lt;&gt;"",IF(INDEX(PCOp,$N327)="مرجوعی خرید","",IF(INDEX(PCAmount,$N327)&lt;=0,"",INDEX(PCAmount,$N327))),IF($O327&lt;&gt;"",IF(INDEX(TxnDepB,$O327)=0,"",INDEX(TxnDepB,$O327)),""))</f>
        <v/>
      </c>
      <c r="J327" s="19">
        <f>IF($N327&lt;&gt;"",IF(INDEX(PCOp,$N327)="مرجوعی خرید",IF(INDEX(PCAmount,$N327)=0,"",-INDEX(PCAmount,$N327)),""),IF($O327&lt;&gt;"",IF(INDEX(TxnWitB,$O327)=0,"",INDEX(TxnWitB,$O327)),""))</f>
        <v/>
      </c>
      <c r="K327" s="21">
        <f>IF($B327="","",IF($K326="",$C$10,$K326)+IF($I327="",0,$I327)-IF($J327="",0,$J327))</f>
        <v/>
      </c>
      <c r="L327" s="22">
        <f>IF($N327&lt;&gt;"",IF(INDEX(PCNotes,$N327)="","—",INDEX(PCNotes,$N327)),IF($O327&lt;&gt;"",IF(INDEX(LdgNoteB,$O327)="","—",INDEX(LdgNoteB,$O327)),""))</f>
        <v/>
      </c>
      <c r="N327">
        <f>IFERROR(MATCH($C$5&amp;"|"&amp;RIGHT("000000"&amp;311,6),LdgRankKeyA,0),"")</f>
        <v/>
      </c>
      <c r="O327">
        <f>IFERROR(MATCH($C$5&amp;"|"&amp;RIGHT("000000"&amp;311,6),LdgRankKeyB,0),"")</f>
        <v/>
      </c>
    </row>
    <row r="328">
      <c r="A328" s="23" t="n">
        <v>312</v>
      </c>
      <c r="B328" s="24">
        <f>IF(AND($N328="",$O328=""),"",IF($N328&lt;&gt;"",INDEX(PCNormDate,$N328),INDEX(LdgDateB,$O328)))</f>
        <v/>
      </c>
      <c r="C328" s="24">
        <f>IF($N328&lt;&gt;"",INDEX(PCOp,$N328),IF($O328&lt;&gt;"",IF(N(INDEX(TxnDepB,$O328))&gt;0,"دریافت بانکی","پرداخت بانکی"),""))</f>
        <v/>
      </c>
      <c r="D328" s="24">
        <f>IF($N328&lt;&gt;"",IF(INDEX(PCDoc,$N328)="","—",INDEX(PCDoc,$N328)),IF($O328&lt;&gt;"",INDEX(LdgBankB,$O328),""))</f>
        <v/>
      </c>
      <c r="E328" s="24">
        <f>IF($N328&lt;&gt;"",IF(INDEX(PCCitrus,$N328)="","—",INDEX(PCCitrus,$N328)),"")</f>
        <v/>
      </c>
      <c r="F328" s="25">
        <f>IF($N328&lt;&gt;"",IF(INDEX(PCScale,$N328)=0,"",INDEX(PCScale,$N328)),"")</f>
        <v/>
      </c>
      <c r="G328" s="25">
        <f>IF($N328&lt;&gt;"",IF(INDEX(PCBaskets,$N328)=0,"",INDEX(PCBaskets,$N328)),"")</f>
        <v/>
      </c>
      <c r="H328" s="26">
        <f>IF($N328&lt;&gt;"",IF(INDEX(PCNet,$N328)=0,"",INDEX(PCNet,$N328)),"")</f>
        <v/>
      </c>
      <c r="I328" s="25">
        <f>IF($N328&lt;&gt;"",IF(INDEX(PCOp,$N328)="مرجوعی خرید","",IF(INDEX(PCAmount,$N328)&lt;=0,"",INDEX(PCAmount,$N328))),IF($O328&lt;&gt;"",IF(INDEX(TxnDepB,$O328)=0,"",INDEX(TxnDepB,$O328)),""))</f>
        <v/>
      </c>
      <c r="J328" s="25">
        <f>IF($N328&lt;&gt;"",IF(INDEX(PCOp,$N328)="مرجوعی خرید",IF(INDEX(PCAmount,$N328)=0,"",-INDEX(PCAmount,$N328)),""),IF($O328&lt;&gt;"",IF(INDEX(TxnWitB,$O328)=0,"",INDEX(TxnWitB,$O328)),""))</f>
        <v/>
      </c>
      <c r="K328" s="27">
        <f>IF($B328="","",IF($K327="",$C$10,$K327)+IF($I328="",0,$I328)-IF($J328="",0,$J328))</f>
        <v/>
      </c>
      <c r="L328" s="28">
        <f>IF($N328&lt;&gt;"",IF(INDEX(PCNotes,$N328)="","—",INDEX(PCNotes,$N328)),IF($O328&lt;&gt;"",IF(INDEX(LdgNoteB,$O328)="","—",INDEX(LdgNoteB,$O328)),""))</f>
        <v/>
      </c>
      <c r="N328">
        <f>IFERROR(MATCH($C$5&amp;"|"&amp;RIGHT("000000"&amp;312,6),LdgRankKeyA,0),"")</f>
        <v/>
      </c>
      <c r="O328">
        <f>IFERROR(MATCH($C$5&amp;"|"&amp;RIGHT("000000"&amp;312,6),LdgRankKeyB,0),"")</f>
        <v/>
      </c>
    </row>
    <row r="329">
      <c r="A329" s="17" t="n">
        <v>313</v>
      </c>
      <c r="B329" s="18">
        <f>IF(AND($N329="",$O329=""),"",IF($N329&lt;&gt;"",INDEX(PCNormDate,$N329),INDEX(LdgDateB,$O329)))</f>
        <v/>
      </c>
      <c r="C329" s="18">
        <f>IF($N329&lt;&gt;"",INDEX(PCOp,$N329),IF($O329&lt;&gt;"",IF(N(INDEX(TxnDepB,$O329))&gt;0,"دریافت بانکی","پرداخت بانکی"),""))</f>
        <v/>
      </c>
      <c r="D329" s="18">
        <f>IF($N329&lt;&gt;"",IF(INDEX(PCDoc,$N329)="","—",INDEX(PCDoc,$N329)),IF($O329&lt;&gt;"",INDEX(LdgBankB,$O329),""))</f>
        <v/>
      </c>
      <c r="E329" s="18">
        <f>IF($N329&lt;&gt;"",IF(INDEX(PCCitrus,$N329)="","—",INDEX(PCCitrus,$N329)),"")</f>
        <v/>
      </c>
      <c r="F329" s="19">
        <f>IF($N329&lt;&gt;"",IF(INDEX(PCScale,$N329)=0,"",INDEX(PCScale,$N329)),"")</f>
        <v/>
      </c>
      <c r="G329" s="19">
        <f>IF($N329&lt;&gt;"",IF(INDEX(PCBaskets,$N329)=0,"",INDEX(PCBaskets,$N329)),"")</f>
        <v/>
      </c>
      <c r="H329" s="20">
        <f>IF($N329&lt;&gt;"",IF(INDEX(PCNet,$N329)=0,"",INDEX(PCNet,$N329)),"")</f>
        <v/>
      </c>
      <c r="I329" s="19">
        <f>IF($N329&lt;&gt;"",IF(INDEX(PCOp,$N329)="مرجوعی خرید","",IF(INDEX(PCAmount,$N329)&lt;=0,"",INDEX(PCAmount,$N329))),IF($O329&lt;&gt;"",IF(INDEX(TxnDepB,$O329)=0,"",INDEX(TxnDepB,$O329)),""))</f>
        <v/>
      </c>
      <c r="J329" s="19">
        <f>IF($N329&lt;&gt;"",IF(INDEX(PCOp,$N329)="مرجوعی خرید",IF(INDEX(PCAmount,$N329)=0,"",-INDEX(PCAmount,$N329)),""),IF($O329&lt;&gt;"",IF(INDEX(TxnWitB,$O329)=0,"",INDEX(TxnWitB,$O329)),""))</f>
        <v/>
      </c>
      <c r="K329" s="21">
        <f>IF($B329="","",IF($K328="",$C$10,$K328)+IF($I329="",0,$I329)-IF($J329="",0,$J329))</f>
        <v/>
      </c>
      <c r="L329" s="22">
        <f>IF($N329&lt;&gt;"",IF(INDEX(PCNotes,$N329)="","—",INDEX(PCNotes,$N329)),IF($O329&lt;&gt;"",IF(INDEX(LdgNoteB,$O329)="","—",INDEX(LdgNoteB,$O329)),""))</f>
        <v/>
      </c>
      <c r="N329">
        <f>IFERROR(MATCH($C$5&amp;"|"&amp;RIGHT("000000"&amp;313,6),LdgRankKeyA,0),"")</f>
        <v/>
      </c>
      <c r="O329">
        <f>IFERROR(MATCH($C$5&amp;"|"&amp;RIGHT("000000"&amp;313,6),LdgRankKeyB,0),"")</f>
        <v/>
      </c>
    </row>
    <row r="330">
      <c r="A330" s="23" t="n">
        <v>314</v>
      </c>
      <c r="B330" s="24">
        <f>IF(AND($N330="",$O330=""),"",IF($N330&lt;&gt;"",INDEX(PCNormDate,$N330),INDEX(LdgDateB,$O330)))</f>
        <v/>
      </c>
      <c r="C330" s="24">
        <f>IF($N330&lt;&gt;"",INDEX(PCOp,$N330),IF($O330&lt;&gt;"",IF(N(INDEX(TxnDepB,$O330))&gt;0,"دریافت بانکی","پرداخت بانکی"),""))</f>
        <v/>
      </c>
      <c r="D330" s="24">
        <f>IF($N330&lt;&gt;"",IF(INDEX(PCDoc,$N330)="","—",INDEX(PCDoc,$N330)),IF($O330&lt;&gt;"",INDEX(LdgBankB,$O330),""))</f>
        <v/>
      </c>
      <c r="E330" s="24">
        <f>IF($N330&lt;&gt;"",IF(INDEX(PCCitrus,$N330)="","—",INDEX(PCCitrus,$N330)),"")</f>
        <v/>
      </c>
      <c r="F330" s="25">
        <f>IF($N330&lt;&gt;"",IF(INDEX(PCScale,$N330)=0,"",INDEX(PCScale,$N330)),"")</f>
        <v/>
      </c>
      <c r="G330" s="25">
        <f>IF($N330&lt;&gt;"",IF(INDEX(PCBaskets,$N330)=0,"",INDEX(PCBaskets,$N330)),"")</f>
        <v/>
      </c>
      <c r="H330" s="26">
        <f>IF($N330&lt;&gt;"",IF(INDEX(PCNet,$N330)=0,"",INDEX(PCNet,$N330)),"")</f>
        <v/>
      </c>
      <c r="I330" s="25">
        <f>IF($N330&lt;&gt;"",IF(INDEX(PCOp,$N330)="مرجوعی خرید","",IF(INDEX(PCAmount,$N330)&lt;=0,"",INDEX(PCAmount,$N330))),IF($O330&lt;&gt;"",IF(INDEX(TxnDepB,$O330)=0,"",INDEX(TxnDepB,$O330)),""))</f>
        <v/>
      </c>
      <c r="J330" s="25">
        <f>IF($N330&lt;&gt;"",IF(INDEX(PCOp,$N330)="مرجوعی خرید",IF(INDEX(PCAmount,$N330)=0,"",-INDEX(PCAmount,$N330)),""),IF($O330&lt;&gt;"",IF(INDEX(TxnWitB,$O330)=0,"",INDEX(TxnWitB,$O330)),""))</f>
        <v/>
      </c>
      <c r="K330" s="27">
        <f>IF($B330="","",IF($K329="",$C$10,$K329)+IF($I330="",0,$I330)-IF($J330="",0,$J330))</f>
        <v/>
      </c>
      <c r="L330" s="28">
        <f>IF($N330&lt;&gt;"",IF(INDEX(PCNotes,$N330)="","—",INDEX(PCNotes,$N330)),IF($O330&lt;&gt;"",IF(INDEX(LdgNoteB,$O330)="","—",INDEX(LdgNoteB,$O330)),""))</f>
        <v/>
      </c>
      <c r="N330">
        <f>IFERROR(MATCH($C$5&amp;"|"&amp;RIGHT("000000"&amp;314,6),LdgRankKeyA,0),"")</f>
        <v/>
      </c>
      <c r="O330">
        <f>IFERROR(MATCH($C$5&amp;"|"&amp;RIGHT("000000"&amp;314,6),LdgRankKeyB,0),"")</f>
        <v/>
      </c>
    </row>
    <row r="331">
      <c r="A331" s="17" t="n">
        <v>315</v>
      </c>
      <c r="B331" s="18">
        <f>IF(AND($N331="",$O331=""),"",IF($N331&lt;&gt;"",INDEX(PCNormDate,$N331),INDEX(LdgDateB,$O331)))</f>
        <v/>
      </c>
      <c r="C331" s="18">
        <f>IF($N331&lt;&gt;"",INDEX(PCOp,$N331),IF($O331&lt;&gt;"",IF(N(INDEX(TxnDepB,$O331))&gt;0,"دریافت بانکی","پرداخت بانکی"),""))</f>
        <v/>
      </c>
      <c r="D331" s="18">
        <f>IF($N331&lt;&gt;"",IF(INDEX(PCDoc,$N331)="","—",INDEX(PCDoc,$N331)),IF($O331&lt;&gt;"",INDEX(LdgBankB,$O331),""))</f>
        <v/>
      </c>
      <c r="E331" s="18">
        <f>IF($N331&lt;&gt;"",IF(INDEX(PCCitrus,$N331)="","—",INDEX(PCCitrus,$N331)),"")</f>
        <v/>
      </c>
      <c r="F331" s="19">
        <f>IF($N331&lt;&gt;"",IF(INDEX(PCScale,$N331)=0,"",INDEX(PCScale,$N331)),"")</f>
        <v/>
      </c>
      <c r="G331" s="19">
        <f>IF($N331&lt;&gt;"",IF(INDEX(PCBaskets,$N331)=0,"",INDEX(PCBaskets,$N331)),"")</f>
        <v/>
      </c>
      <c r="H331" s="20">
        <f>IF($N331&lt;&gt;"",IF(INDEX(PCNet,$N331)=0,"",INDEX(PCNet,$N331)),"")</f>
        <v/>
      </c>
      <c r="I331" s="19">
        <f>IF($N331&lt;&gt;"",IF(INDEX(PCOp,$N331)="مرجوعی خرید","",IF(INDEX(PCAmount,$N331)&lt;=0,"",INDEX(PCAmount,$N331))),IF($O331&lt;&gt;"",IF(INDEX(TxnDepB,$O331)=0,"",INDEX(TxnDepB,$O331)),""))</f>
        <v/>
      </c>
      <c r="J331" s="19">
        <f>IF($N331&lt;&gt;"",IF(INDEX(PCOp,$N331)="مرجوعی خرید",IF(INDEX(PCAmount,$N331)=0,"",-INDEX(PCAmount,$N331)),""),IF($O331&lt;&gt;"",IF(INDEX(TxnWitB,$O331)=0,"",INDEX(TxnWitB,$O331)),""))</f>
        <v/>
      </c>
      <c r="K331" s="21">
        <f>IF($B331="","",IF($K330="",$C$10,$K330)+IF($I331="",0,$I331)-IF($J331="",0,$J331))</f>
        <v/>
      </c>
      <c r="L331" s="22">
        <f>IF($N331&lt;&gt;"",IF(INDEX(PCNotes,$N331)="","—",INDEX(PCNotes,$N331)),IF($O331&lt;&gt;"",IF(INDEX(LdgNoteB,$O331)="","—",INDEX(LdgNoteB,$O331)),""))</f>
        <v/>
      </c>
      <c r="N331">
        <f>IFERROR(MATCH($C$5&amp;"|"&amp;RIGHT("000000"&amp;315,6),LdgRankKeyA,0),"")</f>
        <v/>
      </c>
      <c r="O331">
        <f>IFERROR(MATCH($C$5&amp;"|"&amp;RIGHT("000000"&amp;315,6),LdgRankKeyB,0),"")</f>
        <v/>
      </c>
    </row>
    <row r="332">
      <c r="A332" s="23" t="n">
        <v>316</v>
      </c>
      <c r="B332" s="24">
        <f>IF(AND($N332="",$O332=""),"",IF($N332&lt;&gt;"",INDEX(PCNormDate,$N332),INDEX(LdgDateB,$O332)))</f>
        <v/>
      </c>
      <c r="C332" s="24">
        <f>IF($N332&lt;&gt;"",INDEX(PCOp,$N332),IF($O332&lt;&gt;"",IF(N(INDEX(TxnDepB,$O332))&gt;0,"دریافت بانکی","پرداخت بانکی"),""))</f>
        <v/>
      </c>
      <c r="D332" s="24">
        <f>IF($N332&lt;&gt;"",IF(INDEX(PCDoc,$N332)="","—",INDEX(PCDoc,$N332)),IF($O332&lt;&gt;"",INDEX(LdgBankB,$O332),""))</f>
        <v/>
      </c>
      <c r="E332" s="24">
        <f>IF($N332&lt;&gt;"",IF(INDEX(PCCitrus,$N332)="","—",INDEX(PCCitrus,$N332)),"")</f>
        <v/>
      </c>
      <c r="F332" s="25">
        <f>IF($N332&lt;&gt;"",IF(INDEX(PCScale,$N332)=0,"",INDEX(PCScale,$N332)),"")</f>
        <v/>
      </c>
      <c r="G332" s="25">
        <f>IF($N332&lt;&gt;"",IF(INDEX(PCBaskets,$N332)=0,"",INDEX(PCBaskets,$N332)),"")</f>
        <v/>
      </c>
      <c r="H332" s="26">
        <f>IF($N332&lt;&gt;"",IF(INDEX(PCNet,$N332)=0,"",INDEX(PCNet,$N332)),"")</f>
        <v/>
      </c>
      <c r="I332" s="25">
        <f>IF($N332&lt;&gt;"",IF(INDEX(PCOp,$N332)="مرجوعی خرید","",IF(INDEX(PCAmount,$N332)&lt;=0,"",INDEX(PCAmount,$N332))),IF($O332&lt;&gt;"",IF(INDEX(TxnDepB,$O332)=0,"",INDEX(TxnDepB,$O332)),""))</f>
        <v/>
      </c>
      <c r="J332" s="25">
        <f>IF($N332&lt;&gt;"",IF(INDEX(PCOp,$N332)="مرجوعی خرید",IF(INDEX(PCAmount,$N332)=0,"",-INDEX(PCAmount,$N332)),""),IF($O332&lt;&gt;"",IF(INDEX(TxnWitB,$O332)=0,"",INDEX(TxnWitB,$O332)),""))</f>
        <v/>
      </c>
      <c r="K332" s="27">
        <f>IF($B332="","",IF($K331="",$C$10,$K331)+IF($I332="",0,$I332)-IF($J332="",0,$J332))</f>
        <v/>
      </c>
      <c r="L332" s="28">
        <f>IF($N332&lt;&gt;"",IF(INDEX(PCNotes,$N332)="","—",INDEX(PCNotes,$N332)),IF($O332&lt;&gt;"",IF(INDEX(LdgNoteB,$O332)="","—",INDEX(LdgNoteB,$O332)),""))</f>
        <v/>
      </c>
      <c r="N332">
        <f>IFERROR(MATCH($C$5&amp;"|"&amp;RIGHT("000000"&amp;316,6),LdgRankKeyA,0),"")</f>
        <v/>
      </c>
      <c r="O332">
        <f>IFERROR(MATCH($C$5&amp;"|"&amp;RIGHT("000000"&amp;316,6),LdgRankKeyB,0),"")</f>
        <v/>
      </c>
    </row>
    <row r="333">
      <c r="A333" s="17" t="n">
        <v>317</v>
      </c>
      <c r="B333" s="18">
        <f>IF(AND($N333="",$O333=""),"",IF($N333&lt;&gt;"",INDEX(PCNormDate,$N333),INDEX(LdgDateB,$O333)))</f>
        <v/>
      </c>
      <c r="C333" s="18">
        <f>IF($N333&lt;&gt;"",INDEX(PCOp,$N333),IF($O333&lt;&gt;"",IF(N(INDEX(TxnDepB,$O333))&gt;0,"دریافت بانکی","پرداخت بانکی"),""))</f>
        <v/>
      </c>
      <c r="D333" s="18">
        <f>IF($N333&lt;&gt;"",IF(INDEX(PCDoc,$N333)="","—",INDEX(PCDoc,$N333)),IF($O333&lt;&gt;"",INDEX(LdgBankB,$O333),""))</f>
        <v/>
      </c>
      <c r="E333" s="18">
        <f>IF($N333&lt;&gt;"",IF(INDEX(PCCitrus,$N333)="","—",INDEX(PCCitrus,$N333)),"")</f>
        <v/>
      </c>
      <c r="F333" s="19">
        <f>IF($N333&lt;&gt;"",IF(INDEX(PCScale,$N333)=0,"",INDEX(PCScale,$N333)),"")</f>
        <v/>
      </c>
      <c r="G333" s="19">
        <f>IF($N333&lt;&gt;"",IF(INDEX(PCBaskets,$N333)=0,"",INDEX(PCBaskets,$N333)),"")</f>
        <v/>
      </c>
      <c r="H333" s="20">
        <f>IF($N333&lt;&gt;"",IF(INDEX(PCNet,$N333)=0,"",INDEX(PCNet,$N333)),"")</f>
        <v/>
      </c>
      <c r="I333" s="19">
        <f>IF($N333&lt;&gt;"",IF(INDEX(PCOp,$N333)="مرجوعی خرید","",IF(INDEX(PCAmount,$N333)&lt;=0,"",INDEX(PCAmount,$N333))),IF($O333&lt;&gt;"",IF(INDEX(TxnDepB,$O333)=0,"",INDEX(TxnDepB,$O333)),""))</f>
        <v/>
      </c>
      <c r="J333" s="19">
        <f>IF($N333&lt;&gt;"",IF(INDEX(PCOp,$N333)="مرجوعی خرید",IF(INDEX(PCAmount,$N333)=0,"",-INDEX(PCAmount,$N333)),""),IF($O333&lt;&gt;"",IF(INDEX(TxnWitB,$O333)=0,"",INDEX(TxnWitB,$O333)),""))</f>
        <v/>
      </c>
      <c r="K333" s="21">
        <f>IF($B333="","",IF($K332="",$C$10,$K332)+IF($I333="",0,$I333)-IF($J333="",0,$J333))</f>
        <v/>
      </c>
      <c r="L333" s="22">
        <f>IF($N333&lt;&gt;"",IF(INDEX(PCNotes,$N333)="","—",INDEX(PCNotes,$N333)),IF($O333&lt;&gt;"",IF(INDEX(LdgNoteB,$O333)="","—",INDEX(LdgNoteB,$O333)),""))</f>
        <v/>
      </c>
      <c r="N333">
        <f>IFERROR(MATCH($C$5&amp;"|"&amp;RIGHT("000000"&amp;317,6),LdgRankKeyA,0),"")</f>
        <v/>
      </c>
      <c r="O333">
        <f>IFERROR(MATCH($C$5&amp;"|"&amp;RIGHT("000000"&amp;317,6),LdgRankKeyB,0),"")</f>
        <v/>
      </c>
    </row>
    <row r="334">
      <c r="A334" s="23" t="n">
        <v>318</v>
      </c>
      <c r="B334" s="24">
        <f>IF(AND($N334="",$O334=""),"",IF($N334&lt;&gt;"",INDEX(PCNormDate,$N334),INDEX(LdgDateB,$O334)))</f>
        <v/>
      </c>
      <c r="C334" s="24">
        <f>IF($N334&lt;&gt;"",INDEX(PCOp,$N334),IF($O334&lt;&gt;"",IF(N(INDEX(TxnDepB,$O334))&gt;0,"دریافت بانکی","پرداخت بانکی"),""))</f>
        <v/>
      </c>
      <c r="D334" s="24">
        <f>IF($N334&lt;&gt;"",IF(INDEX(PCDoc,$N334)="","—",INDEX(PCDoc,$N334)),IF($O334&lt;&gt;"",INDEX(LdgBankB,$O334),""))</f>
        <v/>
      </c>
      <c r="E334" s="24">
        <f>IF($N334&lt;&gt;"",IF(INDEX(PCCitrus,$N334)="","—",INDEX(PCCitrus,$N334)),"")</f>
        <v/>
      </c>
      <c r="F334" s="25">
        <f>IF($N334&lt;&gt;"",IF(INDEX(PCScale,$N334)=0,"",INDEX(PCScale,$N334)),"")</f>
        <v/>
      </c>
      <c r="G334" s="25">
        <f>IF($N334&lt;&gt;"",IF(INDEX(PCBaskets,$N334)=0,"",INDEX(PCBaskets,$N334)),"")</f>
        <v/>
      </c>
      <c r="H334" s="26">
        <f>IF($N334&lt;&gt;"",IF(INDEX(PCNet,$N334)=0,"",INDEX(PCNet,$N334)),"")</f>
        <v/>
      </c>
      <c r="I334" s="25">
        <f>IF($N334&lt;&gt;"",IF(INDEX(PCOp,$N334)="مرجوعی خرید","",IF(INDEX(PCAmount,$N334)&lt;=0,"",INDEX(PCAmount,$N334))),IF($O334&lt;&gt;"",IF(INDEX(TxnDepB,$O334)=0,"",INDEX(TxnDepB,$O334)),""))</f>
        <v/>
      </c>
      <c r="J334" s="25">
        <f>IF($N334&lt;&gt;"",IF(INDEX(PCOp,$N334)="مرجوعی خرید",IF(INDEX(PCAmount,$N334)=0,"",-INDEX(PCAmount,$N334)),""),IF($O334&lt;&gt;"",IF(INDEX(TxnWitB,$O334)=0,"",INDEX(TxnWitB,$O334)),""))</f>
        <v/>
      </c>
      <c r="K334" s="27">
        <f>IF($B334="","",IF($K333="",$C$10,$K333)+IF($I334="",0,$I334)-IF($J334="",0,$J334))</f>
        <v/>
      </c>
      <c r="L334" s="28">
        <f>IF($N334&lt;&gt;"",IF(INDEX(PCNotes,$N334)="","—",INDEX(PCNotes,$N334)),IF($O334&lt;&gt;"",IF(INDEX(LdgNoteB,$O334)="","—",INDEX(LdgNoteB,$O334)),""))</f>
        <v/>
      </c>
      <c r="N334">
        <f>IFERROR(MATCH($C$5&amp;"|"&amp;RIGHT("000000"&amp;318,6),LdgRankKeyA,0),"")</f>
        <v/>
      </c>
      <c r="O334">
        <f>IFERROR(MATCH($C$5&amp;"|"&amp;RIGHT("000000"&amp;318,6),LdgRankKeyB,0),"")</f>
        <v/>
      </c>
    </row>
    <row r="335">
      <c r="A335" s="17" t="n">
        <v>319</v>
      </c>
      <c r="B335" s="18">
        <f>IF(AND($N335="",$O335=""),"",IF($N335&lt;&gt;"",INDEX(PCNormDate,$N335),INDEX(LdgDateB,$O335)))</f>
        <v/>
      </c>
      <c r="C335" s="18">
        <f>IF($N335&lt;&gt;"",INDEX(PCOp,$N335),IF($O335&lt;&gt;"",IF(N(INDEX(TxnDepB,$O335))&gt;0,"دریافت بانکی","پرداخت بانکی"),""))</f>
        <v/>
      </c>
      <c r="D335" s="18">
        <f>IF($N335&lt;&gt;"",IF(INDEX(PCDoc,$N335)="","—",INDEX(PCDoc,$N335)),IF($O335&lt;&gt;"",INDEX(LdgBankB,$O335),""))</f>
        <v/>
      </c>
      <c r="E335" s="18">
        <f>IF($N335&lt;&gt;"",IF(INDEX(PCCitrus,$N335)="","—",INDEX(PCCitrus,$N335)),"")</f>
        <v/>
      </c>
      <c r="F335" s="19">
        <f>IF($N335&lt;&gt;"",IF(INDEX(PCScale,$N335)=0,"",INDEX(PCScale,$N335)),"")</f>
        <v/>
      </c>
      <c r="G335" s="19">
        <f>IF($N335&lt;&gt;"",IF(INDEX(PCBaskets,$N335)=0,"",INDEX(PCBaskets,$N335)),"")</f>
        <v/>
      </c>
      <c r="H335" s="20">
        <f>IF($N335&lt;&gt;"",IF(INDEX(PCNet,$N335)=0,"",INDEX(PCNet,$N335)),"")</f>
        <v/>
      </c>
      <c r="I335" s="19">
        <f>IF($N335&lt;&gt;"",IF(INDEX(PCOp,$N335)="مرجوعی خرید","",IF(INDEX(PCAmount,$N335)&lt;=0,"",INDEX(PCAmount,$N335))),IF($O335&lt;&gt;"",IF(INDEX(TxnDepB,$O335)=0,"",INDEX(TxnDepB,$O335)),""))</f>
        <v/>
      </c>
      <c r="J335" s="19">
        <f>IF($N335&lt;&gt;"",IF(INDEX(PCOp,$N335)="مرجوعی خرید",IF(INDEX(PCAmount,$N335)=0,"",-INDEX(PCAmount,$N335)),""),IF($O335&lt;&gt;"",IF(INDEX(TxnWitB,$O335)=0,"",INDEX(TxnWitB,$O335)),""))</f>
        <v/>
      </c>
      <c r="K335" s="21">
        <f>IF($B335="","",IF($K334="",$C$10,$K334)+IF($I335="",0,$I335)-IF($J335="",0,$J335))</f>
        <v/>
      </c>
      <c r="L335" s="22">
        <f>IF($N335&lt;&gt;"",IF(INDEX(PCNotes,$N335)="","—",INDEX(PCNotes,$N335)),IF($O335&lt;&gt;"",IF(INDEX(LdgNoteB,$O335)="","—",INDEX(LdgNoteB,$O335)),""))</f>
        <v/>
      </c>
      <c r="N335">
        <f>IFERROR(MATCH($C$5&amp;"|"&amp;RIGHT("000000"&amp;319,6),LdgRankKeyA,0),"")</f>
        <v/>
      </c>
      <c r="O335">
        <f>IFERROR(MATCH($C$5&amp;"|"&amp;RIGHT("000000"&amp;319,6),LdgRankKeyB,0),"")</f>
        <v/>
      </c>
    </row>
    <row r="336">
      <c r="A336" s="23" t="n">
        <v>320</v>
      </c>
      <c r="B336" s="24">
        <f>IF(AND($N336="",$O336=""),"",IF($N336&lt;&gt;"",INDEX(PCNormDate,$N336),INDEX(LdgDateB,$O336)))</f>
        <v/>
      </c>
      <c r="C336" s="24">
        <f>IF($N336&lt;&gt;"",INDEX(PCOp,$N336),IF($O336&lt;&gt;"",IF(N(INDEX(TxnDepB,$O336))&gt;0,"دریافت بانکی","پرداخت بانکی"),""))</f>
        <v/>
      </c>
      <c r="D336" s="24">
        <f>IF($N336&lt;&gt;"",IF(INDEX(PCDoc,$N336)="","—",INDEX(PCDoc,$N336)),IF($O336&lt;&gt;"",INDEX(LdgBankB,$O336),""))</f>
        <v/>
      </c>
      <c r="E336" s="24">
        <f>IF($N336&lt;&gt;"",IF(INDEX(PCCitrus,$N336)="","—",INDEX(PCCitrus,$N336)),"")</f>
        <v/>
      </c>
      <c r="F336" s="25">
        <f>IF($N336&lt;&gt;"",IF(INDEX(PCScale,$N336)=0,"",INDEX(PCScale,$N336)),"")</f>
        <v/>
      </c>
      <c r="G336" s="25">
        <f>IF($N336&lt;&gt;"",IF(INDEX(PCBaskets,$N336)=0,"",INDEX(PCBaskets,$N336)),"")</f>
        <v/>
      </c>
      <c r="H336" s="26">
        <f>IF($N336&lt;&gt;"",IF(INDEX(PCNet,$N336)=0,"",INDEX(PCNet,$N336)),"")</f>
        <v/>
      </c>
      <c r="I336" s="25">
        <f>IF($N336&lt;&gt;"",IF(INDEX(PCOp,$N336)="مرجوعی خرید","",IF(INDEX(PCAmount,$N336)&lt;=0,"",INDEX(PCAmount,$N336))),IF($O336&lt;&gt;"",IF(INDEX(TxnDepB,$O336)=0,"",INDEX(TxnDepB,$O336)),""))</f>
        <v/>
      </c>
      <c r="J336" s="25">
        <f>IF($N336&lt;&gt;"",IF(INDEX(PCOp,$N336)="مرجوعی خرید",IF(INDEX(PCAmount,$N336)=0,"",-INDEX(PCAmount,$N336)),""),IF($O336&lt;&gt;"",IF(INDEX(TxnWitB,$O336)=0,"",INDEX(TxnWitB,$O336)),""))</f>
        <v/>
      </c>
      <c r="K336" s="27">
        <f>IF($B336="","",IF($K335="",$C$10,$K335)+IF($I336="",0,$I336)-IF($J336="",0,$J336))</f>
        <v/>
      </c>
      <c r="L336" s="28">
        <f>IF($N336&lt;&gt;"",IF(INDEX(PCNotes,$N336)="","—",INDEX(PCNotes,$N336)),IF($O336&lt;&gt;"",IF(INDEX(LdgNoteB,$O336)="","—",INDEX(LdgNoteB,$O336)),""))</f>
        <v/>
      </c>
      <c r="N336">
        <f>IFERROR(MATCH($C$5&amp;"|"&amp;RIGHT("000000"&amp;320,6),LdgRankKeyA,0),"")</f>
        <v/>
      </c>
      <c r="O336">
        <f>IFERROR(MATCH($C$5&amp;"|"&amp;RIGHT("000000"&amp;320,6),LdgRankKeyB,0),"")</f>
        <v/>
      </c>
    </row>
    <row r="337">
      <c r="A337" s="17" t="n">
        <v>321</v>
      </c>
      <c r="B337" s="18">
        <f>IF(AND($N337="",$O337=""),"",IF($N337&lt;&gt;"",INDEX(PCNormDate,$N337),INDEX(LdgDateB,$O337)))</f>
        <v/>
      </c>
      <c r="C337" s="18">
        <f>IF($N337&lt;&gt;"",INDEX(PCOp,$N337),IF($O337&lt;&gt;"",IF(N(INDEX(TxnDepB,$O337))&gt;0,"دریافت بانکی","پرداخت بانکی"),""))</f>
        <v/>
      </c>
      <c r="D337" s="18">
        <f>IF($N337&lt;&gt;"",IF(INDEX(PCDoc,$N337)="","—",INDEX(PCDoc,$N337)),IF($O337&lt;&gt;"",INDEX(LdgBankB,$O337),""))</f>
        <v/>
      </c>
      <c r="E337" s="18">
        <f>IF($N337&lt;&gt;"",IF(INDEX(PCCitrus,$N337)="","—",INDEX(PCCitrus,$N337)),"")</f>
        <v/>
      </c>
      <c r="F337" s="19">
        <f>IF($N337&lt;&gt;"",IF(INDEX(PCScale,$N337)=0,"",INDEX(PCScale,$N337)),"")</f>
        <v/>
      </c>
      <c r="G337" s="19">
        <f>IF($N337&lt;&gt;"",IF(INDEX(PCBaskets,$N337)=0,"",INDEX(PCBaskets,$N337)),"")</f>
        <v/>
      </c>
      <c r="H337" s="20">
        <f>IF($N337&lt;&gt;"",IF(INDEX(PCNet,$N337)=0,"",INDEX(PCNet,$N337)),"")</f>
        <v/>
      </c>
      <c r="I337" s="19">
        <f>IF($N337&lt;&gt;"",IF(INDEX(PCOp,$N337)="مرجوعی خرید","",IF(INDEX(PCAmount,$N337)&lt;=0,"",INDEX(PCAmount,$N337))),IF($O337&lt;&gt;"",IF(INDEX(TxnDepB,$O337)=0,"",INDEX(TxnDepB,$O337)),""))</f>
        <v/>
      </c>
      <c r="J337" s="19">
        <f>IF($N337&lt;&gt;"",IF(INDEX(PCOp,$N337)="مرجوعی خرید",IF(INDEX(PCAmount,$N337)=0,"",-INDEX(PCAmount,$N337)),""),IF($O337&lt;&gt;"",IF(INDEX(TxnWitB,$O337)=0,"",INDEX(TxnWitB,$O337)),""))</f>
        <v/>
      </c>
      <c r="K337" s="21">
        <f>IF($B337="","",IF($K336="",$C$10,$K336)+IF($I337="",0,$I337)-IF($J337="",0,$J337))</f>
        <v/>
      </c>
      <c r="L337" s="22">
        <f>IF($N337&lt;&gt;"",IF(INDEX(PCNotes,$N337)="","—",INDEX(PCNotes,$N337)),IF($O337&lt;&gt;"",IF(INDEX(LdgNoteB,$O337)="","—",INDEX(LdgNoteB,$O337)),""))</f>
        <v/>
      </c>
      <c r="N337">
        <f>IFERROR(MATCH($C$5&amp;"|"&amp;RIGHT("000000"&amp;321,6),LdgRankKeyA,0),"")</f>
        <v/>
      </c>
      <c r="O337">
        <f>IFERROR(MATCH($C$5&amp;"|"&amp;RIGHT("000000"&amp;321,6),LdgRankKeyB,0),"")</f>
        <v/>
      </c>
    </row>
    <row r="338">
      <c r="A338" s="23" t="n">
        <v>322</v>
      </c>
      <c r="B338" s="24">
        <f>IF(AND($N338="",$O338=""),"",IF($N338&lt;&gt;"",INDEX(PCNormDate,$N338),INDEX(LdgDateB,$O338)))</f>
        <v/>
      </c>
      <c r="C338" s="24">
        <f>IF($N338&lt;&gt;"",INDEX(PCOp,$N338),IF($O338&lt;&gt;"",IF(N(INDEX(TxnDepB,$O338))&gt;0,"دریافت بانکی","پرداخت بانکی"),""))</f>
        <v/>
      </c>
      <c r="D338" s="24">
        <f>IF($N338&lt;&gt;"",IF(INDEX(PCDoc,$N338)="","—",INDEX(PCDoc,$N338)),IF($O338&lt;&gt;"",INDEX(LdgBankB,$O338),""))</f>
        <v/>
      </c>
      <c r="E338" s="24">
        <f>IF($N338&lt;&gt;"",IF(INDEX(PCCitrus,$N338)="","—",INDEX(PCCitrus,$N338)),"")</f>
        <v/>
      </c>
      <c r="F338" s="25">
        <f>IF($N338&lt;&gt;"",IF(INDEX(PCScale,$N338)=0,"",INDEX(PCScale,$N338)),"")</f>
        <v/>
      </c>
      <c r="G338" s="25">
        <f>IF($N338&lt;&gt;"",IF(INDEX(PCBaskets,$N338)=0,"",INDEX(PCBaskets,$N338)),"")</f>
        <v/>
      </c>
      <c r="H338" s="26">
        <f>IF($N338&lt;&gt;"",IF(INDEX(PCNet,$N338)=0,"",INDEX(PCNet,$N338)),"")</f>
        <v/>
      </c>
      <c r="I338" s="25">
        <f>IF($N338&lt;&gt;"",IF(INDEX(PCOp,$N338)="مرجوعی خرید","",IF(INDEX(PCAmount,$N338)&lt;=0,"",INDEX(PCAmount,$N338))),IF($O338&lt;&gt;"",IF(INDEX(TxnDepB,$O338)=0,"",INDEX(TxnDepB,$O338)),""))</f>
        <v/>
      </c>
      <c r="J338" s="25">
        <f>IF($N338&lt;&gt;"",IF(INDEX(PCOp,$N338)="مرجوعی خرید",IF(INDEX(PCAmount,$N338)=0,"",-INDEX(PCAmount,$N338)),""),IF($O338&lt;&gt;"",IF(INDEX(TxnWitB,$O338)=0,"",INDEX(TxnWitB,$O338)),""))</f>
        <v/>
      </c>
      <c r="K338" s="27">
        <f>IF($B338="","",IF($K337="",$C$10,$K337)+IF($I338="",0,$I338)-IF($J338="",0,$J338))</f>
        <v/>
      </c>
      <c r="L338" s="28">
        <f>IF($N338&lt;&gt;"",IF(INDEX(PCNotes,$N338)="","—",INDEX(PCNotes,$N338)),IF($O338&lt;&gt;"",IF(INDEX(LdgNoteB,$O338)="","—",INDEX(LdgNoteB,$O338)),""))</f>
        <v/>
      </c>
      <c r="N338">
        <f>IFERROR(MATCH($C$5&amp;"|"&amp;RIGHT("000000"&amp;322,6),LdgRankKeyA,0),"")</f>
        <v/>
      </c>
      <c r="O338">
        <f>IFERROR(MATCH($C$5&amp;"|"&amp;RIGHT("000000"&amp;322,6),LdgRankKeyB,0),"")</f>
        <v/>
      </c>
    </row>
    <row r="339">
      <c r="A339" s="17" t="n">
        <v>323</v>
      </c>
      <c r="B339" s="18">
        <f>IF(AND($N339="",$O339=""),"",IF($N339&lt;&gt;"",INDEX(PCNormDate,$N339),INDEX(LdgDateB,$O339)))</f>
        <v/>
      </c>
      <c r="C339" s="18">
        <f>IF($N339&lt;&gt;"",INDEX(PCOp,$N339),IF($O339&lt;&gt;"",IF(N(INDEX(TxnDepB,$O339))&gt;0,"دریافت بانکی","پرداخت بانکی"),""))</f>
        <v/>
      </c>
      <c r="D339" s="18">
        <f>IF($N339&lt;&gt;"",IF(INDEX(PCDoc,$N339)="","—",INDEX(PCDoc,$N339)),IF($O339&lt;&gt;"",INDEX(LdgBankB,$O339),""))</f>
        <v/>
      </c>
      <c r="E339" s="18">
        <f>IF($N339&lt;&gt;"",IF(INDEX(PCCitrus,$N339)="","—",INDEX(PCCitrus,$N339)),"")</f>
        <v/>
      </c>
      <c r="F339" s="19">
        <f>IF($N339&lt;&gt;"",IF(INDEX(PCScale,$N339)=0,"",INDEX(PCScale,$N339)),"")</f>
        <v/>
      </c>
      <c r="G339" s="19">
        <f>IF($N339&lt;&gt;"",IF(INDEX(PCBaskets,$N339)=0,"",INDEX(PCBaskets,$N339)),"")</f>
        <v/>
      </c>
      <c r="H339" s="20">
        <f>IF($N339&lt;&gt;"",IF(INDEX(PCNet,$N339)=0,"",INDEX(PCNet,$N339)),"")</f>
        <v/>
      </c>
      <c r="I339" s="19">
        <f>IF($N339&lt;&gt;"",IF(INDEX(PCOp,$N339)="مرجوعی خرید","",IF(INDEX(PCAmount,$N339)&lt;=0,"",INDEX(PCAmount,$N339))),IF($O339&lt;&gt;"",IF(INDEX(TxnDepB,$O339)=0,"",INDEX(TxnDepB,$O339)),""))</f>
        <v/>
      </c>
      <c r="J339" s="19">
        <f>IF($N339&lt;&gt;"",IF(INDEX(PCOp,$N339)="مرجوعی خرید",IF(INDEX(PCAmount,$N339)=0,"",-INDEX(PCAmount,$N339)),""),IF($O339&lt;&gt;"",IF(INDEX(TxnWitB,$O339)=0,"",INDEX(TxnWitB,$O339)),""))</f>
        <v/>
      </c>
      <c r="K339" s="21">
        <f>IF($B339="","",IF($K338="",$C$10,$K338)+IF($I339="",0,$I339)-IF($J339="",0,$J339))</f>
        <v/>
      </c>
      <c r="L339" s="22">
        <f>IF($N339&lt;&gt;"",IF(INDEX(PCNotes,$N339)="","—",INDEX(PCNotes,$N339)),IF($O339&lt;&gt;"",IF(INDEX(LdgNoteB,$O339)="","—",INDEX(LdgNoteB,$O339)),""))</f>
        <v/>
      </c>
      <c r="N339">
        <f>IFERROR(MATCH($C$5&amp;"|"&amp;RIGHT("000000"&amp;323,6),LdgRankKeyA,0),"")</f>
        <v/>
      </c>
      <c r="O339">
        <f>IFERROR(MATCH($C$5&amp;"|"&amp;RIGHT("000000"&amp;323,6),LdgRankKeyB,0),"")</f>
        <v/>
      </c>
    </row>
    <row r="340">
      <c r="A340" s="23" t="n">
        <v>324</v>
      </c>
      <c r="B340" s="24">
        <f>IF(AND($N340="",$O340=""),"",IF($N340&lt;&gt;"",INDEX(PCNormDate,$N340),INDEX(LdgDateB,$O340)))</f>
        <v/>
      </c>
      <c r="C340" s="24">
        <f>IF($N340&lt;&gt;"",INDEX(PCOp,$N340),IF($O340&lt;&gt;"",IF(N(INDEX(TxnDepB,$O340))&gt;0,"دریافت بانکی","پرداخت بانکی"),""))</f>
        <v/>
      </c>
      <c r="D340" s="24">
        <f>IF($N340&lt;&gt;"",IF(INDEX(PCDoc,$N340)="","—",INDEX(PCDoc,$N340)),IF($O340&lt;&gt;"",INDEX(LdgBankB,$O340),""))</f>
        <v/>
      </c>
      <c r="E340" s="24">
        <f>IF($N340&lt;&gt;"",IF(INDEX(PCCitrus,$N340)="","—",INDEX(PCCitrus,$N340)),"")</f>
        <v/>
      </c>
      <c r="F340" s="25">
        <f>IF($N340&lt;&gt;"",IF(INDEX(PCScale,$N340)=0,"",INDEX(PCScale,$N340)),"")</f>
        <v/>
      </c>
      <c r="G340" s="25">
        <f>IF($N340&lt;&gt;"",IF(INDEX(PCBaskets,$N340)=0,"",INDEX(PCBaskets,$N340)),"")</f>
        <v/>
      </c>
      <c r="H340" s="26">
        <f>IF($N340&lt;&gt;"",IF(INDEX(PCNet,$N340)=0,"",INDEX(PCNet,$N340)),"")</f>
        <v/>
      </c>
      <c r="I340" s="25">
        <f>IF($N340&lt;&gt;"",IF(INDEX(PCOp,$N340)="مرجوعی خرید","",IF(INDEX(PCAmount,$N340)&lt;=0,"",INDEX(PCAmount,$N340))),IF($O340&lt;&gt;"",IF(INDEX(TxnDepB,$O340)=0,"",INDEX(TxnDepB,$O340)),""))</f>
        <v/>
      </c>
      <c r="J340" s="25">
        <f>IF($N340&lt;&gt;"",IF(INDEX(PCOp,$N340)="مرجوعی خرید",IF(INDEX(PCAmount,$N340)=0,"",-INDEX(PCAmount,$N340)),""),IF($O340&lt;&gt;"",IF(INDEX(TxnWitB,$O340)=0,"",INDEX(TxnWitB,$O340)),""))</f>
        <v/>
      </c>
      <c r="K340" s="27">
        <f>IF($B340="","",IF($K339="",$C$10,$K339)+IF($I340="",0,$I340)-IF($J340="",0,$J340))</f>
        <v/>
      </c>
      <c r="L340" s="28">
        <f>IF($N340&lt;&gt;"",IF(INDEX(PCNotes,$N340)="","—",INDEX(PCNotes,$N340)),IF($O340&lt;&gt;"",IF(INDEX(LdgNoteB,$O340)="","—",INDEX(LdgNoteB,$O340)),""))</f>
        <v/>
      </c>
      <c r="N340">
        <f>IFERROR(MATCH($C$5&amp;"|"&amp;RIGHT("000000"&amp;324,6),LdgRankKeyA,0),"")</f>
        <v/>
      </c>
      <c r="O340">
        <f>IFERROR(MATCH($C$5&amp;"|"&amp;RIGHT("000000"&amp;324,6),LdgRankKeyB,0),"")</f>
        <v/>
      </c>
    </row>
    <row r="341">
      <c r="A341" s="17" t="n">
        <v>325</v>
      </c>
      <c r="B341" s="18">
        <f>IF(AND($N341="",$O341=""),"",IF($N341&lt;&gt;"",INDEX(PCNormDate,$N341),INDEX(LdgDateB,$O341)))</f>
        <v/>
      </c>
      <c r="C341" s="18">
        <f>IF($N341&lt;&gt;"",INDEX(PCOp,$N341),IF($O341&lt;&gt;"",IF(N(INDEX(TxnDepB,$O341))&gt;0,"دریافت بانکی","پرداخت بانکی"),""))</f>
        <v/>
      </c>
      <c r="D341" s="18">
        <f>IF($N341&lt;&gt;"",IF(INDEX(PCDoc,$N341)="","—",INDEX(PCDoc,$N341)),IF($O341&lt;&gt;"",INDEX(LdgBankB,$O341),""))</f>
        <v/>
      </c>
      <c r="E341" s="18">
        <f>IF($N341&lt;&gt;"",IF(INDEX(PCCitrus,$N341)="","—",INDEX(PCCitrus,$N341)),"")</f>
        <v/>
      </c>
      <c r="F341" s="19">
        <f>IF($N341&lt;&gt;"",IF(INDEX(PCScale,$N341)=0,"",INDEX(PCScale,$N341)),"")</f>
        <v/>
      </c>
      <c r="G341" s="19">
        <f>IF($N341&lt;&gt;"",IF(INDEX(PCBaskets,$N341)=0,"",INDEX(PCBaskets,$N341)),"")</f>
        <v/>
      </c>
      <c r="H341" s="20">
        <f>IF($N341&lt;&gt;"",IF(INDEX(PCNet,$N341)=0,"",INDEX(PCNet,$N341)),"")</f>
        <v/>
      </c>
      <c r="I341" s="19">
        <f>IF($N341&lt;&gt;"",IF(INDEX(PCOp,$N341)="مرجوعی خرید","",IF(INDEX(PCAmount,$N341)&lt;=0,"",INDEX(PCAmount,$N341))),IF($O341&lt;&gt;"",IF(INDEX(TxnDepB,$O341)=0,"",INDEX(TxnDepB,$O341)),""))</f>
        <v/>
      </c>
      <c r="J341" s="19">
        <f>IF($N341&lt;&gt;"",IF(INDEX(PCOp,$N341)="مرجوعی خرید",IF(INDEX(PCAmount,$N341)=0,"",-INDEX(PCAmount,$N341)),""),IF($O341&lt;&gt;"",IF(INDEX(TxnWitB,$O341)=0,"",INDEX(TxnWitB,$O341)),""))</f>
        <v/>
      </c>
      <c r="K341" s="21">
        <f>IF($B341="","",IF($K340="",$C$10,$K340)+IF($I341="",0,$I341)-IF($J341="",0,$J341))</f>
        <v/>
      </c>
      <c r="L341" s="22">
        <f>IF($N341&lt;&gt;"",IF(INDEX(PCNotes,$N341)="","—",INDEX(PCNotes,$N341)),IF($O341&lt;&gt;"",IF(INDEX(LdgNoteB,$O341)="","—",INDEX(LdgNoteB,$O341)),""))</f>
        <v/>
      </c>
      <c r="N341">
        <f>IFERROR(MATCH($C$5&amp;"|"&amp;RIGHT("000000"&amp;325,6),LdgRankKeyA,0),"")</f>
        <v/>
      </c>
      <c r="O341">
        <f>IFERROR(MATCH($C$5&amp;"|"&amp;RIGHT("000000"&amp;325,6),LdgRankKeyB,0),"")</f>
        <v/>
      </c>
    </row>
    <row r="342">
      <c r="A342" s="23" t="n">
        <v>326</v>
      </c>
      <c r="B342" s="24">
        <f>IF(AND($N342="",$O342=""),"",IF($N342&lt;&gt;"",INDEX(PCNormDate,$N342),INDEX(LdgDateB,$O342)))</f>
        <v/>
      </c>
      <c r="C342" s="24">
        <f>IF($N342&lt;&gt;"",INDEX(PCOp,$N342),IF($O342&lt;&gt;"",IF(N(INDEX(TxnDepB,$O342))&gt;0,"دریافت بانکی","پرداخت بانکی"),""))</f>
        <v/>
      </c>
      <c r="D342" s="24">
        <f>IF($N342&lt;&gt;"",IF(INDEX(PCDoc,$N342)="","—",INDEX(PCDoc,$N342)),IF($O342&lt;&gt;"",INDEX(LdgBankB,$O342),""))</f>
        <v/>
      </c>
      <c r="E342" s="24">
        <f>IF($N342&lt;&gt;"",IF(INDEX(PCCitrus,$N342)="","—",INDEX(PCCitrus,$N342)),"")</f>
        <v/>
      </c>
      <c r="F342" s="25">
        <f>IF($N342&lt;&gt;"",IF(INDEX(PCScale,$N342)=0,"",INDEX(PCScale,$N342)),"")</f>
        <v/>
      </c>
      <c r="G342" s="25">
        <f>IF($N342&lt;&gt;"",IF(INDEX(PCBaskets,$N342)=0,"",INDEX(PCBaskets,$N342)),"")</f>
        <v/>
      </c>
      <c r="H342" s="26">
        <f>IF($N342&lt;&gt;"",IF(INDEX(PCNet,$N342)=0,"",INDEX(PCNet,$N342)),"")</f>
        <v/>
      </c>
      <c r="I342" s="25">
        <f>IF($N342&lt;&gt;"",IF(INDEX(PCOp,$N342)="مرجوعی خرید","",IF(INDEX(PCAmount,$N342)&lt;=0,"",INDEX(PCAmount,$N342))),IF($O342&lt;&gt;"",IF(INDEX(TxnDepB,$O342)=0,"",INDEX(TxnDepB,$O342)),""))</f>
        <v/>
      </c>
      <c r="J342" s="25">
        <f>IF($N342&lt;&gt;"",IF(INDEX(PCOp,$N342)="مرجوعی خرید",IF(INDEX(PCAmount,$N342)=0,"",-INDEX(PCAmount,$N342)),""),IF($O342&lt;&gt;"",IF(INDEX(TxnWitB,$O342)=0,"",INDEX(TxnWitB,$O342)),""))</f>
        <v/>
      </c>
      <c r="K342" s="27">
        <f>IF($B342="","",IF($K341="",$C$10,$K341)+IF($I342="",0,$I342)-IF($J342="",0,$J342))</f>
        <v/>
      </c>
      <c r="L342" s="28">
        <f>IF($N342&lt;&gt;"",IF(INDEX(PCNotes,$N342)="","—",INDEX(PCNotes,$N342)),IF($O342&lt;&gt;"",IF(INDEX(LdgNoteB,$O342)="","—",INDEX(LdgNoteB,$O342)),""))</f>
        <v/>
      </c>
      <c r="N342">
        <f>IFERROR(MATCH($C$5&amp;"|"&amp;RIGHT("000000"&amp;326,6),LdgRankKeyA,0),"")</f>
        <v/>
      </c>
      <c r="O342">
        <f>IFERROR(MATCH($C$5&amp;"|"&amp;RIGHT("000000"&amp;326,6),LdgRankKeyB,0),"")</f>
        <v/>
      </c>
    </row>
    <row r="343">
      <c r="A343" s="17" t="n">
        <v>327</v>
      </c>
      <c r="B343" s="18">
        <f>IF(AND($N343="",$O343=""),"",IF($N343&lt;&gt;"",INDEX(PCNormDate,$N343),INDEX(LdgDateB,$O343)))</f>
        <v/>
      </c>
      <c r="C343" s="18">
        <f>IF($N343&lt;&gt;"",INDEX(PCOp,$N343),IF($O343&lt;&gt;"",IF(N(INDEX(TxnDepB,$O343))&gt;0,"دریافت بانکی","پرداخت بانکی"),""))</f>
        <v/>
      </c>
      <c r="D343" s="18">
        <f>IF($N343&lt;&gt;"",IF(INDEX(PCDoc,$N343)="","—",INDEX(PCDoc,$N343)),IF($O343&lt;&gt;"",INDEX(LdgBankB,$O343),""))</f>
        <v/>
      </c>
      <c r="E343" s="18">
        <f>IF($N343&lt;&gt;"",IF(INDEX(PCCitrus,$N343)="","—",INDEX(PCCitrus,$N343)),"")</f>
        <v/>
      </c>
      <c r="F343" s="19">
        <f>IF($N343&lt;&gt;"",IF(INDEX(PCScale,$N343)=0,"",INDEX(PCScale,$N343)),"")</f>
        <v/>
      </c>
      <c r="G343" s="19">
        <f>IF($N343&lt;&gt;"",IF(INDEX(PCBaskets,$N343)=0,"",INDEX(PCBaskets,$N343)),"")</f>
        <v/>
      </c>
      <c r="H343" s="20">
        <f>IF($N343&lt;&gt;"",IF(INDEX(PCNet,$N343)=0,"",INDEX(PCNet,$N343)),"")</f>
        <v/>
      </c>
      <c r="I343" s="19">
        <f>IF($N343&lt;&gt;"",IF(INDEX(PCOp,$N343)="مرجوعی خرید","",IF(INDEX(PCAmount,$N343)&lt;=0,"",INDEX(PCAmount,$N343))),IF($O343&lt;&gt;"",IF(INDEX(TxnDepB,$O343)=0,"",INDEX(TxnDepB,$O343)),""))</f>
        <v/>
      </c>
      <c r="J343" s="19">
        <f>IF($N343&lt;&gt;"",IF(INDEX(PCOp,$N343)="مرجوعی خرید",IF(INDEX(PCAmount,$N343)=0,"",-INDEX(PCAmount,$N343)),""),IF($O343&lt;&gt;"",IF(INDEX(TxnWitB,$O343)=0,"",INDEX(TxnWitB,$O343)),""))</f>
        <v/>
      </c>
      <c r="K343" s="21">
        <f>IF($B343="","",IF($K342="",$C$10,$K342)+IF($I343="",0,$I343)-IF($J343="",0,$J343))</f>
        <v/>
      </c>
      <c r="L343" s="22">
        <f>IF($N343&lt;&gt;"",IF(INDEX(PCNotes,$N343)="","—",INDEX(PCNotes,$N343)),IF($O343&lt;&gt;"",IF(INDEX(LdgNoteB,$O343)="","—",INDEX(LdgNoteB,$O343)),""))</f>
        <v/>
      </c>
      <c r="N343">
        <f>IFERROR(MATCH($C$5&amp;"|"&amp;RIGHT("000000"&amp;327,6),LdgRankKeyA,0),"")</f>
        <v/>
      </c>
      <c r="O343">
        <f>IFERROR(MATCH($C$5&amp;"|"&amp;RIGHT("000000"&amp;327,6),LdgRankKeyB,0),"")</f>
        <v/>
      </c>
    </row>
    <row r="344">
      <c r="A344" s="23" t="n">
        <v>328</v>
      </c>
      <c r="B344" s="24">
        <f>IF(AND($N344="",$O344=""),"",IF($N344&lt;&gt;"",INDEX(PCNormDate,$N344),INDEX(LdgDateB,$O344)))</f>
        <v/>
      </c>
      <c r="C344" s="24">
        <f>IF($N344&lt;&gt;"",INDEX(PCOp,$N344),IF($O344&lt;&gt;"",IF(N(INDEX(TxnDepB,$O344))&gt;0,"دریافت بانکی","پرداخت بانکی"),""))</f>
        <v/>
      </c>
      <c r="D344" s="24">
        <f>IF($N344&lt;&gt;"",IF(INDEX(PCDoc,$N344)="","—",INDEX(PCDoc,$N344)),IF($O344&lt;&gt;"",INDEX(LdgBankB,$O344),""))</f>
        <v/>
      </c>
      <c r="E344" s="24">
        <f>IF($N344&lt;&gt;"",IF(INDEX(PCCitrus,$N344)="","—",INDEX(PCCitrus,$N344)),"")</f>
        <v/>
      </c>
      <c r="F344" s="25">
        <f>IF($N344&lt;&gt;"",IF(INDEX(PCScale,$N344)=0,"",INDEX(PCScale,$N344)),"")</f>
        <v/>
      </c>
      <c r="G344" s="25">
        <f>IF($N344&lt;&gt;"",IF(INDEX(PCBaskets,$N344)=0,"",INDEX(PCBaskets,$N344)),"")</f>
        <v/>
      </c>
      <c r="H344" s="26">
        <f>IF($N344&lt;&gt;"",IF(INDEX(PCNet,$N344)=0,"",INDEX(PCNet,$N344)),"")</f>
        <v/>
      </c>
      <c r="I344" s="25">
        <f>IF($N344&lt;&gt;"",IF(INDEX(PCOp,$N344)="مرجوعی خرید","",IF(INDEX(PCAmount,$N344)&lt;=0,"",INDEX(PCAmount,$N344))),IF($O344&lt;&gt;"",IF(INDEX(TxnDepB,$O344)=0,"",INDEX(TxnDepB,$O344)),""))</f>
        <v/>
      </c>
      <c r="J344" s="25">
        <f>IF($N344&lt;&gt;"",IF(INDEX(PCOp,$N344)="مرجوعی خرید",IF(INDEX(PCAmount,$N344)=0,"",-INDEX(PCAmount,$N344)),""),IF($O344&lt;&gt;"",IF(INDEX(TxnWitB,$O344)=0,"",INDEX(TxnWitB,$O344)),""))</f>
        <v/>
      </c>
      <c r="K344" s="27">
        <f>IF($B344="","",IF($K343="",$C$10,$K343)+IF($I344="",0,$I344)-IF($J344="",0,$J344))</f>
        <v/>
      </c>
      <c r="L344" s="28">
        <f>IF($N344&lt;&gt;"",IF(INDEX(PCNotes,$N344)="","—",INDEX(PCNotes,$N344)),IF($O344&lt;&gt;"",IF(INDEX(LdgNoteB,$O344)="","—",INDEX(LdgNoteB,$O344)),""))</f>
        <v/>
      </c>
      <c r="N344">
        <f>IFERROR(MATCH($C$5&amp;"|"&amp;RIGHT("000000"&amp;328,6),LdgRankKeyA,0),"")</f>
        <v/>
      </c>
      <c r="O344">
        <f>IFERROR(MATCH($C$5&amp;"|"&amp;RIGHT("000000"&amp;328,6),LdgRankKeyB,0),"")</f>
        <v/>
      </c>
    </row>
    <row r="345">
      <c r="A345" s="17" t="n">
        <v>329</v>
      </c>
      <c r="B345" s="18">
        <f>IF(AND($N345="",$O345=""),"",IF($N345&lt;&gt;"",INDEX(PCNormDate,$N345),INDEX(LdgDateB,$O345)))</f>
        <v/>
      </c>
      <c r="C345" s="18">
        <f>IF($N345&lt;&gt;"",INDEX(PCOp,$N345),IF($O345&lt;&gt;"",IF(N(INDEX(TxnDepB,$O345))&gt;0,"دریافت بانکی","پرداخت بانکی"),""))</f>
        <v/>
      </c>
      <c r="D345" s="18">
        <f>IF($N345&lt;&gt;"",IF(INDEX(PCDoc,$N345)="","—",INDEX(PCDoc,$N345)),IF($O345&lt;&gt;"",INDEX(LdgBankB,$O345),""))</f>
        <v/>
      </c>
      <c r="E345" s="18">
        <f>IF($N345&lt;&gt;"",IF(INDEX(PCCitrus,$N345)="","—",INDEX(PCCitrus,$N345)),"")</f>
        <v/>
      </c>
      <c r="F345" s="19">
        <f>IF($N345&lt;&gt;"",IF(INDEX(PCScale,$N345)=0,"",INDEX(PCScale,$N345)),"")</f>
        <v/>
      </c>
      <c r="G345" s="19">
        <f>IF($N345&lt;&gt;"",IF(INDEX(PCBaskets,$N345)=0,"",INDEX(PCBaskets,$N345)),"")</f>
        <v/>
      </c>
      <c r="H345" s="20">
        <f>IF($N345&lt;&gt;"",IF(INDEX(PCNet,$N345)=0,"",INDEX(PCNet,$N345)),"")</f>
        <v/>
      </c>
      <c r="I345" s="19">
        <f>IF($N345&lt;&gt;"",IF(INDEX(PCOp,$N345)="مرجوعی خرید","",IF(INDEX(PCAmount,$N345)&lt;=0,"",INDEX(PCAmount,$N345))),IF($O345&lt;&gt;"",IF(INDEX(TxnDepB,$O345)=0,"",INDEX(TxnDepB,$O345)),""))</f>
        <v/>
      </c>
      <c r="J345" s="19">
        <f>IF($N345&lt;&gt;"",IF(INDEX(PCOp,$N345)="مرجوعی خرید",IF(INDEX(PCAmount,$N345)=0,"",-INDEX(PCAmount,$N345)),""),IF($O345&lt;&gt;"",IF(INDEX(TxnWitB,$O345)=0,"",INDEX(TxnWitB,$O345)),""))</f>
        <v/>
      </c>
      <c r="K345" s="21">
        <f>IF($B345="","",IF($K344="",$C$10,$K344)+IF($I345="",0,$I345)-IF($J345="",0,$J345))</f>
        <v/>
      </c>
      <c r="L345" s="22">
        <f>IF($N345&lt;&gt;"",IF(INDEX(PCNotes,$N345)="","—",INDEX(PCNotes,$N345)),IF($O345&lt;&gt;"",IF(INDEX(LdgNoteB,$O345)="","—",INDEX(LdgNoteB,$O345)),""))</f>
        <v/>
      </c>
      <c r="N345">
        <f>IFERROR(MATCH($C$5&amp;"|"&amp;RIGHT("000000"&amp;329,6),LdgRankKeyA,0),"")</f>
        <v/>
      </c>
      <c r="O345">
        <f>IFERROR(MATCH($C$5&amp;"|"&amp;RIGHT("000000"&amp;329,6),LdgRankKeyB,0),"")</f>
        <v/>
      </c>
    </row>
    <row r="346">
      <c r="A346" s="23" t="n">
        <v>330</v>
      </c>
      <c r="B346" s="24">
        <f>IF(AND($N346="",$O346=""),"",IF($N346&lt;&gt;"",INDEX(PCNormDate,$N346),INDEX(LdgDateB,$O346)))</f>
        <v/>
      </c>
      <c r="C346" s="24">
        <f>IF($N346&lt;&gt;"",INDEX(PCOp,$N346),IF($O346&lt;&gt;"",IF(N(INDEX(TxnDepB,$O346))&gt;0,"دریافت بانکی","پرداخت بانکی"),""))</f>
        <v/>
      </c>
      <c r="D346" s="24">
        <f>IF($N346&lt;&gt;"",IF(INDEX(PCDoc,$N346)="","—",INDEX(PCDoc,$N346)),IF($O346&lt;&gt;"",INDEX(LdgBankB,$O346),""))</f>
        <v/>
      </c>
      <c r="E346" s="24">
        <f>IF($N346&lt;&gt;"",IF(INDEX(PCCitrus,$N346)="","—",INDEX(PCCitrus,$N346)),"")</f>
        <v/>
      </c>
      <c r="F346" s="25">
        <f>IF($N346&lt;&gt;"",IF(INDEX(PCScale,$N346)=0,"",INDEX(PCScale,$N346)),"")</f>
        <v/>
      </c>
      <c r="G346" s="25">
        <f>IF($N346&lt;&gt;"",IF(INDEX(PCBaskets,$N346)=0,"",INDEX(PCBaskets,$N346)),"")</f>
        <v/>
      </c>
      <c r="H346" s="26">
        <f>IF($N346&lt;&gt;"",IF(INDEX(PCNet,$N346)=0,"",INDEX(PCNet,$N346)),"")</f>
        <v/>
      </c>
      <c r="I346" s="25">
        <f>IF($N346&lt;&gt;"",IF(INDEX(PCOp,$N346)="مرجوعی خرید","",IF(INDEX(PCAmount,$N346)&lt;=0,"",INDEX(PCAmount,$N346))),IF($O346&lt;&gt;"",IF(INDEX(TxnDepB,$O346)=0,"",INDEX(TxnDepB,$O346)),""))</f>
        <v/>
      </c>
      <c r="J346" s="25">
        <f>IF($N346&lt;&gt;"",IF(INDEX(PCOp,$N346)="مرجوعی خرید",IF(INDEX(PCAmount,$N346)=0,"",-INDEX(PCAmount,$N346)),""),IF($O346&lt;&gt;"",IF(INDEX(TxnWitB,$O346)=0,"",INDEX(TxnWitB,$O346)),""))</f>
        <v/>
      </c>
      <c r="K346" s="27">
        <f>IF($B346="","",IF($K345="",$C$10,$K345)+IF($I346="",0,$I346)-IF($J346="",0,$J346))</f>
        <v/>
      </c>
      <c r="L346" s="28">
        <f>IF($N346&lt;&gt;"",IF(INDEX(PCNotes,$N346)="","—",INDEX(PCNotes,$N346)),IF($O346&lt;&gt;"",IF(INDEX(LdgNoteB,$O346)="","—",INDEX(LdgNoteB,$O346)),""))</f>
        <v/>
      </c>
      <c r="N346">
        <f>IFERROR(MATCH($C$5&amp;"|"&amp;RIGHT("000000"&amp;330,6),LdgRankKeyA,0),"")</f>
        <v/>
      </c>
      <c r="O346">
        <f>IFERROR(MATCH($C$5&amp;"|"&amp;RIGHT("000000"&amp;330,6),LdgRankKeyB,0),"")</f>
        <v/>
      </c>
    </row>
    <row r="347">
      <c r="A347" s="17" t="n">
        <v>331</v>
      </c>
      <c r="B347" s="18">
        <f>IF(AND($N347="",$O347=""),"",IF($N347&lt;&gt;"",INDEX(PCNormDate,$N347),INDEX(LdgDateB,$O347)))</f>
        <v/>
      </c>
      <c r="C347" s="18">
        <f>IF($N347&lt;&gt;"",INDEX(PCOp,$N347),IF($O347&lt;&gt;"",IF(N(INDEX(TxnDepB,$O347))&gt;0,"دریافت بانکی","پرداخت بانکی"),""))</f>
        <v/>
      </c>
      <c r="D347" s="18">
        <f>IF($N347&lt;&gt;"",IF(INDEX(PCDoc,$N347)="","—",INDEX(PCDoc,$N347)),IF($O347&lt;&gt;"",INDEX(LdgBankB,$O347),""))</f>
        <v/>
      </c>
      <c r="E347" s="18">
        <f>IF($N347&lt;&gt;"",IF(INDEX(PCCitrus,$N347)="","—",INDEX(PCCitrus,$N347)),"")</f>
        <v/>
      </c>
      <c r="F347" s="19">
        <f>IF($N347&lt;&gt;"",IF(INDEX(PCScale,$N347)=0,"",INDEX(PCScale,$N347)),"")</f>
        <v/>
      </c>
      <c r="G347" s="19">
        <f>IF($N347&lt;&gt;"",IF(INDEX(PCBaskets,$N347)=0,"",INDEX(PCBaskets,$N347)),"")</f>
        <v/>
      </c>
      <c r="H347" s="20">
        <f>IF($N347&lt;&gt;"",IF(INDEX(PCNet,$N347)=0,"",INDEX(PCNet,$N347)),"")</f>
        <v/>
      </c>
      <c r="I347" s="19">
        <f>IF($N347&lt;&gt;"",IF(INDEX(PCOp,$N347)="مرجوعی خرید","",IF(INDEX(PCAmount,$N347)&lt;=0,"",INDEX(PCAmount,$N347))),IF($O347&lt;&gt;"",IF(INDEX(TxnDepB,$O347)=0,"",INDEX(TxnDepB,$O347)),""))</f>
        <v/>
      </c>
      <c r="J347" s="19">
        <f>IF($N347&lt;&gt;"",IF(INDEX(PCOp,$N347)="مرجوعی خرید",IF(INDEX(PCAmount,$N347)=0,"",-INDEX(PCAmount,$N347)),""),IF($O347&lt;&gt;"",IF(INDEX(TxnWitB,$O347)=0,"",INDEX(TxnWitB,$O347)),""))</f>
        <v/>
      </c>
      <c r="K347" s="21">
        <f>IF($B347="","",IF($K346="",$C$10,$K346)+IF($I347="",0,$I347)-IF($J347="",0,$J347))</f>
        <v/>
      </c>
      <c r="L347" s="22">
        <f>IF($N347&lt;&gt;"",IF(INDEX(PCNotes,$N347)="","—",INDEX(PCNotes,$N347)),IF($O347&lt;&gt;"",IF(INDEX(LdgNoteB,$O347)="","—",INDEX(LdgNoteB,$O347)),""))</f>
        <v/>
      </c>
      <c r="N347">
        <f>IFERROR(MATCH($C$5&amp;"|"&amp;RIGHT("000000"&amp;331,6),LdgRankKeyA,0),"")</f>
        <v/>
      </c>
      <c r="O347">
        <f>IFERROR(MATCH($C$5&amp;"|"&amp;RIGHT("000000"&amp;331,6),LdgRankKeyB,0),"")</f>
        <v/>
      </c>
    </row>
    <row r="348">
      <c r="A348" s="23" t="n">
        <v>332</v>
      </c>
      <c r="B348" s="24">
        <f>IF(AND($N348="",$O348=""),"",IF($N348&lt;&gt;"",INDEX(PCNormDate,$N348),INDEX(LdgDateB,$O348)))</f>
        <v/>
      </c>
      <c r="C348" s="24">
        <f>IF($N348&lt;&gt;"",INDEX(PCOp,$N348),IF($O348&lt;&gt;"",IF(N(INDEX(TxnDepB,$O348))&gt;0,"دریافت بانکی","پرداخت بانکی"),""))</f>
        <v/>
      </c>
      <c r="D348" s="24">
        <f>IF($N348&lt;&gt;"",IF(INDEX(PCDoc,$N348)="","—",INDEX(PCDoc,$N348)),IF($O348&lt;&gt;"",INDEX(LdgBankB,$O348),""))</f>
        <v/>
      </c>
      <c r="E348" s="24">
        <f>IF($N348&lt;&gt;"",IF(INDEX(PCCitrus,$N348)="","—",INDEX(PCCitrus,$N348)),"")</f>
        <v/>
      </c>
      <c r="F348" s="25">
        <f>IF($N348&lt;&gt;"",IF(INDEX(PCScale,$N348)=0,"",INDEX(PCScale,$N348)),"")</f>
        <v/>
      </c>
      <c r="G348" s="25">
        <f>IF($N348&lt;&gt;"",IF(INDEX(PCBaskets,$N348)=0,"",INDEX(PCBaskets,$N348)),"")</f>
        <v/>
      </c>
      <c r="H348" s="26">
        <f>IF($N348&lt;&gt;"",IF(INDEX(PCNet,$N348)=0,"",INDEX(PCNet,$N348)),"")</f>
        <v/>
      </c>
      <c r="I348" s="25">
        <f>IF($N348&lt;&gt;"",IF(INDEX(PCOp,$N348)="مرجوعی خرید","",IF(INDEX(PCAmount,$N348)&lt;=0,"",INDEX(PCAmount,$N348))),IF($O348&lt;&gt;"",IF(INDEX(TxnDepB,$O348)=0,"",INDEX(TxnDepB,$O348)),""))</f>
        <v/>
      </c>
      <c r="J348" s="25">
        <f>IF($N348&lt;&gt;"",IF(INDEX(PCOp,$N348)="مرجوعی خرید",IF(INDEX(PCAmount,$N348)=0,"",-INDEX(PCAmount,$N348)),""),IF($O348&lt;&gt;"",IF(INDEX(TxnWitB,$O348)=0,"",INDEX(TxnWitB,$O348)),""))</f>
        <v/>
      </c>
      <c r="K348" s="27">
        <f>IF($B348="","",IF($K347="",$C$10,$K347)+IF($I348="",0,$I348)-IF($J348="",0,$J348))</f>
        <v/>
      </c>
      <c r="L348" s="28">
        <f>IF($N348&lt;&gt;"",IF(INDEX(PCNotes,$N348)="","—",INDEX(PCNotes,$N348)),IF($O348&lt;&gt;"",IF(INDEX(LdgNoteB,$O348)="","—",INDEX(LdgNoteB,$O348)),""))</f>
        <v/>
      </c>
      <c r="N348">
        <f>IFERROR(MATCH($C$5&amp;"|"&amp;RIGHT("000000"&amp;332,6),LdgRankKeyA,0),"")</f>
        <v/>
      </c>
      <c r="O348">
        <f>IFERROR(MATCH($C$5&amp;"|"&amp;RIGHT("000000"&amp;332,6),LdgRankKeyB,0),"")</f>
        <v/>
      </c>
    </row>
    <row r="349">
      <c r="A349" s="17" t="n">
        <v>333</v>
      </c>
      <c r="B349" s="18">
        <f>IF(AND($N349="",$O349=""),"",IF($N349&lt;&gt;"",INDEX(PCNormDate,$N349),INDEX(LdgDateB,$O349)))</f>
        <v/>
      </c>
      <c r="C349" s="18">
        <f>IF($N349&lt;&gt;"",INDEX(PCOp,$N349),IF($O349&lt;&gt;"",IF(N(INDEX(TxnDepB,$O349))&gt;0,"دریافت بانکی","پرداخت بانکی"),""))</f>
        <v/>
      </c>
      <c r="D349" s="18">
        <f>IF($N349&lt;&gt;"",IF(INDEX(PCDoc,$N349)="","—",INDEX(PCDoc,$N349)),IF($O349&lt;&gt;"",INDEX(LdgBankB,$O349),""))</f>
        <v/>
      </c>
      <c r="E349" s="18">
        <f>IF($N349&lt;&gt;"",IF(INDEX(PCCitrus,$N349)="","—",INDEX(PCCitrus,$N349)),"")</f>
        <v/>
      </c>
      <c r="F349" s="19">
        <f>IF($N349&lt;&gt;"",IF(INDEX(PCScale,$N349)=0,"",INDEX(PCScale,$N349)),"")</f>
        <v/>
      </c>
      <c r="G349" s="19">
        <f>IF($N349&lt;&gt;"",IF(INDEX(PCBaskets,$N349)=0,"",INDEX(PCBaskets,$N349)),"")</f>
        <v/>
      </c>
      <c r="H349" s="20">
        <f>IF($N349&lt;&gt;"",IF(INDEX(PCNet,$N349)=0,"",INDEX(PCNet,$N349)),"")</f>
        <v/>
      </c>
      <c r="I349" s="19">
        <f>IF($N349&lt;&gt;"",IF(INDEX(PCOp,$N349)="مرجوعی خرید","",IF(INDEX(PCAmount,$N349)&lt;=0,"",INDEX(PCAmount,$N349))),IF($O349&lt;&gt;"",IF(INDEX(TxnDepB,$O349)=0,"",INDEX(TxnDepB,$O349)),""))</f>
        <v/>
      </c>
      <c r="J349" s="19">
        <f>IF($N349&lt;&gt;"",IF(INDEX(PCOp,$N349)="مرجوعی خرید",IF(INDEX(PCAmount,$N349)=0,"",-INDEX(PCAmount,$N349)),""),IF($O349&lt;&gt;"",IF(INDEX(TxnWitB,$O349)=0,"",INDEX(TxnWitB,$O349)),""))</f>
        <v/>
      </c>
      <c r="K349" s="21">
        <f>IF($B349="","",IF($K348="",$C$10,$K348)+IF($I349="",0,$I349)-IF($J349="",0,$J349))</f>
        <v/>
      </c>
      <c r="L349" s="22">
        <f>IF($N349&lt;&gt;"",IF(INDEX(PCNotes,$N349)="","—",INDEX(PCNotes,$N349)),IF($O349&lt;&gt;"",IF(INDEX(LdgNoteB,$O349)="","—",INDEX(LdgNoteB,$O349)),""))</f>
        <v/>
      </c>
      <c r="N349">
        <f>IFERROR(MATCH($C$5&amp;"|"&amp;RIGHT("000000"&amp;333,6),LdgRankKeyA,0),"")</f>
        <v/>
      </c>
      <c r="O349">
        <f>IFERROR(MATCH($C$5&amp;"|"&amp;RIGHT("000000"&amp;333,6),LdgRankKeyB,0),"")</f>
        <v/>
      </c>
    </row>
    <row r="350">
      <c r="A350" s="23" t="n">
        <v>334</v>
      </c>
      <c r="B350" s="24">
        <f>IF(AND($N350="",$O350=""),"",IF($N350&lt;&gt;"",INDEX(PCNormDate,$N350),INDEX(LdgDateB,$O350)))</f>
        <v/>
      </c>
      <c r="C350" s="24">
        <f>IF($N350&lt;&gt;"",INDEX(PCOp,$N350),IF($O350&lt;&gt;"",IF(N(INDEX(TxnDepB,$O350))&gt;0,"دریافت بانکی","پرداخت بانکی"),""))</f>
        <v/>
      </c>
      <c r="D350" s="24">
        <f>IF($N350&lt;&gt;"",IF(INDEX(PCDoc,$N350)="","—",INDEX(PCDoc,$N350)),IF($O350&lt;&gt;"",INDEX(LdgBankB,$O350),""))</f>
        <v/>
      </c>
      <c r="E350" s="24">
        <f>IF($N350&lt;&gt;"",IF(INDEX(PCCitrus,$N350)="","—",INDEX(PCCitrus,$N350)),"")</f>
        <v/>
      </c>
      <c r="F350" s="25">
        <f>IF($N350&lt;&gt;"",IF(INDEX(PCScale,$N350)=0,"",INDEX(PCScale,$N350)),"")</f>
        <v/>
      </c>
      <c r="G350" s="25">
        <f>IF($N350&lt;&gt;"",IF(INDEX(PCBaskets,$N350)=0,"",INDEX(PCBaskets,$N350)),"")</f>
        <v/>
      </c>
      <c r="H350" s="26">
        <f>IF($N350&lt;&gt;"",IF(INDEX(PCNet,$N350)=0,"",INDEX(PCNet,$N350)),"")</f>
        <v/>
      </c>
      <c r="I350" s="25">
        <f>IF($N350&lt;&gt;"",IF(INDEX(PCOp,$N350)="مرجوعی خرید","",IF(INDEX(PCAmount,$N350)&lt;=0,"",INDEX(PCAmount,$N350))),IF($O350&lt;&gt;"",IF(INDEX(TxnDepB,$O350)=0,"",INDEX(TxnDepB,$O350)),""))</f>
        <v/>
      </c>
      <c r="J350" s="25">
        <f>IF($N350&lt;&gt;"",IF(INDEX(PCOp,$N350)="مرجوعی خرید",IF(INDEX(PCAmount,$N350)=0,"",-INDEX(PCAmount,$N350)),""),IF($O350&lt;&gt;"",IF(INDEX(TxnWitB,$O350)=0,"",INDEX(TxnWitB,$O350)),""))</f>
        <v/>
      </c>
      <c r="K350" s="27">
        <f>IF($B350="","",IF($K349="",$C$10,$K349)+IF($I350="",0,$I350)-IF($J350="",0,$J350))</f>
        <v/>
      </c>
      <c r="L350" s="28">
        <f>IF($N350&lt;&gt;"",IF(INDEX(PCNotes,$N350)="","—",INDEX(PCNotes,$N350)),IF($O350&lt;&gt;"",IF(INDEX(LdgNoteB,$O350)="","—",INDEX(LdgNoteB,$O350)),""))</f>
        <v/>
      </c>
      <c r="N350">
        <f>IFERROR(MATCH($C$5&amp;"|"&amp;RIGHT("000000"&amp;334,6),LdgRankKeyA,0),"")</f>
        <v/>
      </c>
      <c r="O350">
        <f>IFERROR(MATCH($C$5&amp;"|"&amp;RIGHT("000000"&amp;334,6),LdgRankKeyB,0),"")</f>
        <v/>
      </c>
    </row>
    <row r="351">
      <c r="A351" s="17" t="n">
        <v>335</v>
      </c>
      <c r="B351" s="18">
        <f>IF(AND($N351="",$O351=""),"",IF($N351&lt;&gt;"",INDEX(PCNormDate,$N351),INDEX(LdgDateB,$O351)))</f>
        <v/>
      </c>
      <c r="C351" s="18">
        <f>IF($N351&lt;&gt;"",INDEX(PCOp,$N351),IF($O351&lt;&gt;"",IF(N(INDEX(TxnDepB,$O351))&gt;0,"دریافت بانکی","پرداخت بانکی"),""))</f>
        <v/>
      </c>
      <c r="D351" s="18">
        <f>IF($N351&lt;&gt;"",IF(INDEX(PCDoc,$N351)="","—",INDEX(PCDoc,$N351)),IF($O351&lt;&gt;"",INDEX(LdgBankB,$O351),""))</f>
        <v/>
      </c>
      <c r="E351" s="18">
        <f>IF($N351&lt;&gt;"",IF(INDEX(PCCitrus,$N351)="","—",INDEX(PCCitrus,$N351)),"")</f>
        <v/>
      </c>
      <c r="F351" s="19">
        <f>IF($N351&lt;&gt;"",IF(INDEX(PCScale,$N351)=0,"",INDEX(PCScale,$N351)),"")</f>
        <v/>
      </c>
      <c r="G351" s="19">
        <f>IF($N351&lt;&gt;"",IF(INDEX(PCBaskets,$N351)=0,"",INDEX(PCBaskets,$N351)),"")</f>
        <v/>
      </c>
      <c r="H351" s="20">
        <f>IF($N351&lt;&gt;"",IF(INDEX(PCNet,$N351)=0,"",INDEX(PCNet,$N351)),"")</f>
        <v/>
      </c>
      <c r="I351" s="19">
        <f>IF($N351&lt;&gt;"",IF(INDEX(PCOp,$N351)="مرجوعی خرید","",IF(INDEX(PCAmount,$N351)&lt;=0,"",INDEX(PCAmount,$N351))),IF($O351&lt;&gt;"",IF(INDEX(TxnDepB,$O351)=0,"",INDEX(TxnDepB,$O351)),""))</f>
        <v/>
      </c>
      <c r="J351" s="19">
        <f>IF($N351&lt;&gt;"",IF(INDEX(PCOp,$N351)="مرجوعی خرید",IF(INDEX(PCAmount,$N351)=0,"",-INDEX(PCAmount,$N351)),""),IF($O351&lt;&gt;"",IF(INDEX(TxnWitB,$O351)=0,"",INDEX(TxnWitB,$O351)),""))</f>
        <v/>
      </c>
      <c r="K351" s="21">
        <f>IF($B351="","",IF($K350="",$C$10,$K350)+IF($I351="",0,$I351)-IF($J351="",0,$J351))</f>
        <v/>
      </c>
      <c r="L351" s="22">
        <f>IF($N351&lt;&gt;"",IF(INDEX(PCNotes,$N351)="","—",INDEX(PCNotes,$N351)),IF($O351&lt;&gt;"",IF(INDEX(LdgNoteB,$O351)="","—",INDEX(LdgNoteB,$O351)),""))</f>
        <v/>
      </c>
      <c r="N351">
        <f>IFERROR(MATCH($C$5&amp;"|"&amp;RIGHT("000000"&amp;335,6),LdgRankKeyA,0),"")</f>
        <v/>
      </c>
      <c r="O351">
        <f>IFERROR(MATCH($C$5&amp;"|"&amp;RIGHT("000000"&amp;335,6),LdgRankKeyB,0),"")</f>
        <v/>
      </c>
    </row>
    <row r="352">
      <c r="A352" s="23" t="n">
        <v>336</v>
      </c>
      <c r="B352" s="24">
        <f>IF(AND($N352="",$O352=""),"",IF($N352&lt;&gt;"",INDEX(PCNormDate,$N352),INDEX(LdgDateB,$O352)))</f>
        <v/>
      </c>
      <c r="C352" s="24">
        <f>IF($N352&lt;&gt;"",INDEX(PCOp,$N352),IF($O352&lt;&gt;"",IF(N(INDEX(TxnDepB,$O352))&gt;0,"دریافت بانکی","پرداخت بانکی"),""))</f>
        <v/>
      </c>
      <c r="D352" s="24">
        <f>IF($N352&lt;&gt;"",IF(INDEX(PCDoc,$N352)="","—",INDEX(PCDoc,$N352)),IF($O352&lt;&gt;"",INDEX(LdgBankB,$O352),""))</f>
        <v/>
      </c>
      <c r="E352" s="24">
        <f>IF($N352&lt;&gt;"",IF(INDEX(PCCitrus,$N352)="","—",INDEX(PCCitrus,$N352)),"")</f>
        <v/>
      </c>
      <c r="F352" s="25">
        <f>IF($N352&lt;&gt;"",IF(INDEX(PCScale,$N352)=0,"",INDEX(PCScale,$N352)),"")</f>
        <v/>
      </c>
      <c r="G352" s="25">
        <f>IF($N352&lt;&gt;"",IF(INDEX(PCBaskets,$N352)=0,"",INDEX(PCBaskets,$N352)),"")</f>
        <v/>
      </c>
      <c r="H352" s="26">
        <f>IF($N352&lt;&gt;"",IF(INDEX(PCNet,$N352)=0,"",INDEX(PCNet,$N352)),"")</f>
        <v/>
      </c>
      <c r="I352" s="25">
        <f>IF($N352&lt;&gt;"",IF(INDEX(PCOp,$N352)="مرجوعی خرید","",IF(INDEX(PCAmount,$N352)&lt;=0,"",INDEX(PCAmount,$N352))),IF($O352&lt;&gt;"",IF(INDEX(TxnDepB,$O352)=0,"",INDEX(TxnDepB,$O352)),""))</f>
        <v/>
      </c>
      <c r="J352" s="25">
        <f>IF($N352&lt;&gt;"",IF(INDEX(PCOp,$N352)="مرجوعی خرید",IF(INDEX(PCAmount,$N352)=0,"",-INDEX(PCAmount,$N352)),""),IF($O352&lt;&gt;"",IF(INDEX(TxnWitB,$O352)=0,"",INDEX(TxnWitB,$O352)),""))</f>
        <v/>
      </c>
      <c r="K352" s="27">
        <f>IF($B352="","",IF($K351="",$C$10,$K351)+IF($I352="",0,$I352)-IF($J352="",0,$J352))</f>
        <v/>
      </c>
      <c r="L352" s="28">
        <f>IF($N352&lt;&gt;"",IF(INDEX(PCNotes,$N352)="","—",INDEX(PCNotes,$N352)),IF($O352&lt;&gt;"",IF(INDEX(LdgNoteB,$O352)="","—",INDEX(LdgNoteB,$O352)),""))</f>
        <v/>
      </c>
      <c r="N352">
        <f>IFERROR(MATCH($C$5&amp;"|"&amp;RIGHT("000000"&amp;336,6),LdgRankKeyA,0),"")</f>
        <v/>
      </c>
      <c r="O352">
        <f>IFERROR(MATCH($C$5&amp;"|"&amp;RIGHT("000000"&amp;336,6),LdgRankKeyB,0),"")</f>
        <v/>
      </c>
    </row>
    <row r="353">
      <c r="A353" s="17" t="n">
        <v>337</v>
      </c>
      <c r="B353" s="18">
        <f>IF(AND($N353="",$O353=""),"",IF($N353&lt;&gt;"",INDEX(PCNormDate,$N353),INDEX(LdgDateB,$O353)))</f>
        <v/>
      </c>
      <c r="C353" s="18">
        <f>IF($N353&lt;&gt;"",INDEX(PCOp,$N353),IF($O353&lt;&gt;"",IF(N(INDEX(TxnDepB,$O353))&gt;0,"دریافت بانکی","پرداخت بانکی"),""))</f>
        <v/>
      </c>
      <c r="D353" s="18">
        <f>IF($N353&lt;&gt;"",IF(INDEX(PCDoc,$N353)="","—",INDEX(PCDoc,$N353)),IF($O353&lt;&gt;"",INDEX(LdgBankB,$O353),""))</f>
        <v/>
      </c>
      <c r="E353" s="18">
        <f>IF($N353&lt;&gt;"",IF(INDEX(PCCitrus,$N353)="","—",INDEX(PCCitrus,$N353)),"")</f>
        <v/>
      </c>
      <c r="F353" s="19">
        <f>IF($N353&lt;&gt;"",IF(INDEX(PCScale,$N353)=0,"",INDEX(PCScale,$N353)),"")</f>
        <v/>
      </c>
      <c r="G353" s="19">
        <f>IF($N353&lt;&gt;"",IF(INDEX(PCBaskets,$N353)=0,"",INDEX(PCBaskets,$N353)),"")</f>
        <v/>
      </c>
      <c r="H353" s="20">
        <f>IF($N353&lt;&gt;"",IF(INDEX(PCNet,$N353)=0,"",INDEX(PCNet,$N353)),"")</f>
        <v/>
      </c>
      <c r="I353" s="19">
        <f>IF($N353&lt;&gt;"",IF(INDEX(PCOp,$N353)="مرجوعی خرید","",IF(INDEX(PCAmount,$N353)&lt;=0,"",INDEX(PCAmount,$N353))),IF($O353&lt;&gt;"",IF(INDEX(TxnDepB,$O353)=0,"",INDEX(TxnDepB,$O353)),""))</f>
        <v/>
      </c>
      <c r="J353" s="19">
        <f>IF($N353&lt;&gt;"",IF(INDEX(PCOp,$N353)="مرجوعی خرید",IF(INDEX(PCAmount,$N353)=0,"",-INDEX(PCAmount,$N353)),""),IF($O353&lt;&gt;"",IF(INDEX(TxnWitB,$O353)=0,"",INDEX(TxnWitB,$O353)),""))</f>
        <v/>
      </c>
      <c r="K353" s="21">
        <f>IF($B353="","",IF($K352="",$C$10,$K352)+IF($I353="",0,$I353)-IF($J353="",0,$J353))</f>
        <v/>
      </c>
      <c r="L353" s="22">
        <f>IF($N353&lt;&gt;"",IF(INDEX(PCNotes,$N353)="","—",INDEX(PCNotes,$N353)),IF($O353&lt;&gt;"",IF(INDEX(LdgNoteB,$O353)="","—",INDEX(LdgNoteB,$O353)),""))</f>
        <v/>
      </c>
      <c r="N353">
        <f>IFERROR(MATCH($C$5&amp;"|"&amp;RIGHT("000000"&amp;337,6),LdgRankKeyA,0),"")</f>
        <v/>
      </c>
      <c r="O353">
        <f>IFERROR(MATCH($C$5&amp;"|"&amp;RIGHT("000000"&amp;337,6),LdgRankKeyB,0),"")</f>
        <v/>
      </c>
    </row>
    <row r="354">
      <c r="A354" s="23" t="n">
        <v>338</v>
      </c>
      <c r="B354" s="24">
        <f>IF(AND($N354="",$O354=""),"",IF($N354&lt;&gt;"",INDEX(PCNormDate,$N354),INDEX(LdgDateB,$O354)))</f>
        <v/>
      </c>
      <c r="C354" s="24">
        <f>IF($N354&lt;&gt;"",INDEX(PCOp,$N354),IF($O354&lt;&gt;"",IF(N(INDEX(TxnDepB,$O354))&gt;0,"دریافت بانکی","پرداخت بانکی"),""))</f>
        <v/>
      </c>
      <c r="D354" s="24">
        <f>IF($N354&lt;&gt;"",IF(INDEX(PCDoc,$N354)="","—",INDEX(PCDoc,$N354)),IF($O354&lt;&gt;"",INDEX(LdgBankB,$O354),""))</f>
        <v/>
      </c>
      <c r="E354" s="24">
        <f>IF($N354&lt;&gt;"",IF(INDEX(PCCitrus,$N354)="","—",INDEX(PCCitrus,$N354)),"")</f>
        <v/>
      </c>
      <c r="F354" s="25">
        <f>IF($N354&lt;&gt;"",IF(INDEX(PCScale,$N354)=0,"",INDEX(PCScale,$N354)),"")</f>
        <v/>
      </c>
      <c r="G354" s="25">
        <f>IF($N354&lt;&gt;"",IF(INDEX(PCBaskets,$N354)=0,"",INDEX(PCBaskets,$N354)),"")</f>
        <v/>
      </c>
      <c r="H354" s="26">
        <f>IF($N354&lt;&gt;"",IF(INDEX(PCNet,$N354)=0,"",INDEX(PCNet,$N354)),"")</f>
        <v/>
      </c>
      <c r="I354" s="25">
        <f>IF($N354&lt;&gt;"",IF(INDEX(PCOp,$N354)="مرجوعی خرید","",IF(INDEX(PCAmount,$N354)&lt;=0,"",INDEX(PCAmount,$N354))),IF($O354&lt;&gt;"",IF(INDEX(TxnDepB,$O354)=0,"",INDEX(TxnDepB,$O354)),""))</f>
        <v/>
      </c>
      <c r="J354" s="25">
        <f>IF($N354&lt;&gt;"",IF(INDEX(PCOp,$N354)="مرجوعی خرید",IF(INDEX(PCAmount,$N354)=0,"",-INDEX(PCAmount,$N354)),""),IF($O354&lt;&gt;"",IF(INDEX(TxnWitB,$O354)=0,"",INDEX(TxnWitB,$O354)),""))</f>
        <v/>
      </c>
      <c r="K354" s="27">
        <f>IF($B354="","",IF($K353="",$C$10,$K353)+IF($I354="",0,$I354)-IF($J354="",0,$J354))</f>
        <v/>
      </c>
      <c r="L354" s="28">
        <f>IF($N354&lt;&gt;"",IF(INDEX(PCNotes,$N354)="","—",INDEX(PCNotes,$N354)),IF($O354&lt;&gt;"",IF(INDEX(LdgNoteB,$O354)="","—",INDEX(LdgNoteB,$O354)),""))</f>
        <v/>
      </c>
      <c r="N354">
        <f>IFERROR(MATCH($C$5&amp;"|"&amp;RIGHT("000000"&amp;338,6),LdgRankKeyA,0),"")</f>
        <v/>
      </c>
      <c r="O354">
        <f>IFERROR(MATCH($C$5&amp;"|"&amp;RIGHT("000000"&amp;338,6),LdgRankKeyB,0),"")</f>
        <v/>
      </c>
    </row>
    <row r="355">
      <c r="A355" s="17" t="n">
        <v>339</v>
      </c>
      <c r="B355" s="18">
        <f>IF(AND($N355="",$O355=""),"",IF($N355&lt;&gt;"",INDEX(PCNormDate,$N355),INDEX(LdgDateB,$O355)))</f>
        <v/>
      </c>
      <c r="C355" s="18">
        <f>IF($N355&lt;&gt;"",INDEX(PCOp,$N355),IF($O355&lt;&gt;"",IF(N(INDEX(TxnDepB,$O355))&gt;0,"دریافت بانکی","پرداخت بانکی"),""))</f>
        <v/>
      </c>
      <c r="D355" s="18">
        <f>IF($N355&lt;&gt;"",IF(INDEX(PCDoc,$N355)="","—",INDEX(PCDoc,$N355)),IF($O355&lt;&gt;"",INDEX(LdgBankB,$O355),""))</f>
        <v/>
      </c>
      <c r="E355" s="18">
        <f>IF($N355&lt;&gt;"",IF(INDEX(PCCitrus,$N355)="","—",INDEX(PCCitrus,$N355)),"")</f>
        <v/>
      </c>
      <c r="F355" s="19">
        <f>IF($N355&lt;&gt;"",IF(INDEX(PCScale,$N355)=0,"",INDEX(PCScale,$N355)),"")</f>
        <v/>
      </c>
      <c r="G355" s="19">
        <f>IF($N355&lt;&gt;"",IF(INDEX(PCBaskets,$N355)=0,"",INDEX(PCBaskets,$N355)),"")</f>
        <v/>
      </c>
      <c r="H355" s="20">
        <f>IF($N355&lt;&gt;"",IF(INDEX(PCNet,$N355)=0,"",INDEX(PCNet,$N355)),"")</f>
        <v/>
      </c>
      <c r="I355" s="19">
        <f>IF($N355&lt;&gt;"",IF(INDEX(PCOp,$N355)="مرجوعی خرید","",IF(INDEX(PCAmount,$N355)&lt;=0,"",INDEX(PCAmount,$N355))),IF($O355&lt;&gt;"",IF(INDEX(TxnDepB,$O355)=0,"",INDEX(TxnDepB,$O355)),""))</f>
        <v/>
      </c>
      <c r="J355" s="19">
        <f>IF($N355&lt;&gt;"",IF(INDEX(PCOp,$N355)="مرجوعی خرید",IF(INDEX(PCAmount,$N355)=0,"",-INDEX(PCAmount,$N355)),""),IF($O355&lt;&gt;"",IF(INDEX(TxnWitB,$O355)=0,"",INDEX(TxnWitB,$O355)),""))</f>
        <v/>
      </c>
      <c r="K355" s="21">
        <f>IF($B355="","",IF($K354="",$C$10,$K354)+IF($I355="",0,$I355)-IF($J355="",0,$J355))</f>
        <v/>
      </c>
      <c r="L355" s="22">
        <f>IF($N355&lt;&gt;"",IF(INDEX(PCNotes,$N355)="","—",INDEX(PCNotes,$N355)),IF($O355&lt;&gt;"",IF(INDEX(LdgNoteB,$O355)="","—",INDEX(LdgNoteB,$O355)),""))</f>
        <v/>
      </c>
      <c r="N355">
        <f>IFERROR(MATCH($C$5&amp;"|"&amp;RIGHT("000000"&amp;339,6),LdgRankKeyA,0),"")</f>
        <v/>
      </c>
      <c r="O355">
        <f>IFERROR(MATCH($C$5&amp;"|"&amp;RIGHT("000000"&amp;339,6),LdgRankKeyB,0),"")</f>
        <v/>
      </c>
    </row>
    <row r="356">
      <c r="A356" s="23" t="n">
        <v>340</v>
      </c>
      <c r="B356" s="24">
        <f>IF(AND($N356="",$O356=""),"",IF($N356&lt;&gt;"",INDEX(PCNormDate,$N356),INDEX(LdgDateB,$O356)))</f>
        <v/>
      </c>
      <c r="C356" s="24">
        <f>IF($N356&lt;&gt;"",INDEX(PCOp,$N356),IF($O356&lt;&gt;"",IF(N(INDEX(TxnDepB,$O356))&gt;0,"دریافت بانکی","پرداخت بانکی"),""))</f>
        <v/>
      </c>
      <c r="D356" s="24">
        <f>IF($N356&lt;&gt;"",IF(INDEX(PCDoc,$N356)="","—",INDEX(PCDoc,$N356)),IF($O356&lt;&gt;"",INDEX(LdgBankB,$O356),""))</f>
        <v/>
      </c>
      <c r="E356" s="24">
        <f>IF($N356&lt;&gt;"",IF(INDEX(PCCitrus,$N356)="","—",INDEX(PCCitrus,$N356)),"")</f>
        <v/>
      </c>
      <c r="F356" s="25">
        <f>IF($N356&lt;&gt;"",IF(INDEX(PCScale,$N356)=0,"",INDEX(PCScale,$N356)),"")</f>
        <v/>
      </c>
      <c r="G356" s="25">
        <f>IF($N356&lt;&gt;"",IF(INDEX(PCBaskets,$N356)=0,"",INDEX(PCBaskets,$N356)),"")</f>
        <v/>
      </c>
      <c r="H356" s="26">
        <f>IF($N356&lt;&gt;"",IF(INDEX(PCNet,$N356)=0,"",INDEX(PCNet,$N356)),"")</f>
        <v/>
      </c>
      <c r="I356" s="25">
        <f>IF($N356&lt;&gt;"",IF(INDEX(PCOp,$N356)="مرجوعی خرید","",IF(INDEX(PCAmount,$N356)&lt;=0,"",INDEX(PCAmount,$N356))),IF($O356&lt;&gt;"",IF(INDEX(TxnDepB,$O356)=0,"",INDEX(TxnDepB,$O356)),""))</f>
        <v/>
      </c>
      <c r="J356" s="25">
        <f>IF($N356&lt;&gt;"",IF(INDEX(PCOp,$N356)="مرجوعی خرید",IF(INDEX(PCAmount,$N356)=0,"",-INDEX(PCAmount,$N356)),""),IF($O356&lt;&gt;"",IF(INDEX(TxnWitB,$O356)=0,"",INDEX(TxnWitB,$O356)),""))</f>
        <v/>
      </c>
      <c r="K356" s="27">
        <f>IF($B356="","",IF($K355="",$C$10,$K355)+IF($I356="",0,$I356)-IF($J356="",0,$J356))</f>
        <v/>
      </c>
      <c r="L356" s="28">
        <f>IF($N356&lt;&gt;"",IF(INDEX(PCNotes,$N356)="","—",INDEX(PCNotes,$N356)),IF($O356&lt;&gt;"",IF(INDEX(LdgNoteB,$O356)="","—",INDEX(LdgNoteB,$O356)),""))</f>
        <v/>
      </c>
      <c r="N356">
        <f>IFERROR(MATCH($C$5&amp;"|"&amp;RIGHT("000000"&amp;340,6),LdgRankKeyA,0),"")</f>
        <v/>
      </c>
      <c r="O356">
        <f>IFERROR(MATCH($C$5&amp;"|"&amp;RIGHT("000000"&amp;340,6),LdgRankKeyB,0),"")</f>
        <v/>
      </c>
    </row>
    <row r="357">
      <c r="A357" s="17" t="n">
        <v>341</v>
      </c>
      <c r="B357" s="18">
        <f>IF(AND($N357="",$O357=""),"",IF($N357&lt;&gt;"",INDEX(PCNormDate,$N357),INDEX(LdgDateB,$O357)))</f>
        <v/>
      </c>
      <c r="C357" s="18">
        <f>IF($N357&lt;&gt;"",INDEX(PCOp,$N357),IF($O357&lt;&gt;"",IF(N(INDEX(TxnDepB,$O357))&gt;0,"دریافت بانکی","پرداخت بانکی"),""))</f>
        <v/>
      </c>
      <c r="D357" s="18">
        <f>IF($N357&lt;&gt;"",IF(INDEX(PCDoc,$N357)="","—",INDEX(PCDoc,$N357)),IF($O357&lt;&gt;"",INDEX(LdgBankB,$O357),""))</f>
        <v/>
      </c>
      <c r="E357" s="18">
        <f>IF($N357&lt;&gt;"",IF(INDEX(PCCitrus,$N357)="","—",INDEX(PCCitrus,$N357)),"")</f>
        <v/>
      </c>
      <c r="F357" s="19">
        <f>IF($N357&lt;&gt;"",IF(INDEX(PCScale,$N357)=0,"",INDEX(PCScale,$N357)),"")</f>
        <v/>
      </c>
      <c r="G357" s="19">
        <f>IF($N357&lt;&gt;"",IF(INDEX(PCBaskets,$N357)=0,"",INDEX(PCBaskets,$N357)),"")</f>
        <v/>
      </c>
      <c r="H357" s="20">
        <f>IF($N357&lt;&gt;"",IF(INDEX(PCNet,$N357)=0,"",INDEX(PCNet,$N357)),"")</f>
        <v/>
      </c>
      <c r="I357" s="19">
        <f>IF($N357&lt;&gt;"",IF(INDEX(PCOp,$N357)="مرجوعی خرید","",IF(INDEX(PCAmount,$N357)&lt;=0,"",INDEX(PCAmount,$N357))),IF($O357&lt;&gt;"",IF(INDEX(TxnDepB,$O357)=0,"",INDEX(TxnDepB,$O357)),""))</f>
        <v/>
      </c>
      <c r="J357" s="19">
        <f>IF($N357&lt;&gt;"",IF(INDEX(PCOp,$N357)="مرجوعی خرید",IF(INDEX(PCAmount,$N357)=0,"",-INDEX(PCAmount,$N357)),""),IF($O357&lt;&gt;"",IF(INDEX(TxnWitB,$O357)=0,"",INDEX(TxnWitB,$O357)),""))</f>
        <v/>
      </c>
      <c r="K357" s="21">
        <f>IF($B357="","",IF($K356="",$C$10,$K356)+IF($I357="",0,$I357)-IF($J357="",0,$J357))</f>
        <v/>
      </c>
      <c r="L357" s="22">
        <f>IF($N357&lt;&gt;"",IF(INDEX(PCNotes,$N357)="","—",INDEX(PCNotes,$N357)),IF($O357&lt;&gt;"",IF(INDEX(LdgNoteB,$O357)="","—",INDEX(LdgNoteB,$O357)),""))</f>
        <v/>
      </c>
      <c r="N357">
        <f>IFERROR(MATCH($C$5&amp;"|"&amp;RIGHT("000000"&amp;341,6),LdgRankKeyA,0),"")</f>
        <v/>
      </c>
      <c r="O357">
        <f>IFERROR(MATCH($C$5&amp;"|"&amp;RIGHT("000000"&amp;341,6),LdgRankKeyB,0),"")</f>
        <v/>
      </c>
    </row>
    <row r="358">
      <c r="A358" s="23" t="n">
        <v>342</v>
      </c>
      <c r="B358" s="24">
        <f>IF(AND($N358="",$O358=""),"",IF($N358&lt;&gt;"",INDEX(PCNormDate,$N358),INDEX(LdgDateB,$O358)))</f>
        <v/>
      </c>
      <c r="C358" s="24">
        <f>IF($N358&lt;&gt;"",INDEX(PCOp,$N358),IF($O358&lt;&gt;"",IF(N(INDEX(TxnDepB,$O358))&gt;0,"دریافت بانکی","پرداخت بانکی"),""))</f>
        <v/>
      </c>
      <c r="D358" s="24">
        <f>IF($N358&lt;&gt;"",IF(INDEX(PCDoc,$N358)="","—",INDEX(PCDoc,$N358)),IF($O358&lt;&gt;"",INDEX(LdgBankB,$O358),""))</f>
        <v/>
      </c>
      <c r="E358" s="24">
        <f>IF($N358&lt;&gt;"",IF(INDEX(PCCitrus,$N358)="","—",INDEX(PCCitrus,$N358)),"")</f>
        <v/>
      </c>
      <c r="F358" s="25">
        <f>IF($N358&lt;&gt;"",IF(INDEX(PCScale,$N358)=0,"",INDEX(PCScale,$N358)),"")</f>
        <v/>
      </c>
      <c r="G358" s="25">
        <f>IF($N358&lt;&gt;"",IF(INDEX(PCBaskets,$N358)=0,"",INDEX(PCBaskets,$N358)),"")</f>
        <v/>
      </c>
      <c r="H358" s="26">
        <f>IF($N358&lt;&gt;"",IF(INDEX(PCNet,$N358)=0,"",INDEX(PCNet,$N358)),"")</f>
        <v/>
      </c>
      <c r="I358" s="25">
        <f>IF($N358&lt;&gt;"",IF(INDEX(PCOp,$N358)="مرجوعی خرید","",IF(INDEX(PCAmount,$N358)&lt;=0,"",INDEX(PCAmount,$N358))),IF($O358&lt;&gt;"",IF(INDEX(TxnDepB,$O358)=0,"",INDEX(TxnDepB,$O358)),""))</f>
        <v/>
      </c>
      <c r="J358" s="25">
        <f>IF($N358&lt;&gt;"",IF(INDEX(PCOp,$N358)="مرجوعی خرید",IF(INDEX(PCAmount,$N358)=0,"",-INDEX(PCAmount,$N358)),""),IF($O358&lt;&gt;"",IF(INDEX(TxnWitB,$O358)=0,"",INDEX(TxnWitB,$O358)),""))</f>
        <v/>
      </c>
      <c r="K358" s="27">
        <f>IF($B358="","",IF($K357="",$C$10,$K357)+IF($I358="",0,$I358)-IF($J358="",0,$J358))</f>
        <v/>
      </c>
      <c r="L358" s="28">
        <f>IF($N358&lt;&gt;"",IF(INDEX(PCNotes,$N358)="","—",INDEX(PCNotes,$N358)),IF($O358&lt;&gt;"",IF(INDEX(LdgNoteB,$O358)="","—",INDEX(LdgNoteB,$O358)),""))</f>
        <v/>
      </c>
      <c r="N358">
        <f>IFERROR(MATCH($C$5&amp;"|"&amp;RIGHT("000000"&amp;342,6),LdgRankKeyA,0),"")</f>
        <v/>
      </c>
      <c r="O358">
        <f>IFERROR(MATCH($C$5&amp;"|"&amp;RIGHT("000000"&amp;342,6),LdgRankKeyB,0),"")</f>
        <v/>
      </c>
    </row>
    <row r="359">
      <c r="A359" s="17" t="n">
        <v>343</v>
      </c>
      <c r="B359" s="18">
        <f>IF(AND($N359="",$O359=""),"",IF($N359&lt;&gt;"",INDEX(PCNormDate,$N359),INDEX(LdgDateB,$O359)))</f>
        <v/>
      </c>
      <c r="C359" s="18">
        <f>IF($N359&lt;&gt;"",INDEX(PCOp,$N359),IF($O359&lt;&gt;"",IF(N(INDEX(TxnDepB,$O359))&gt;0,"دریافت بانکی","پرداخت بانکی"),""))</f>
        <v/>
      </c>
      <c r="D359" s="18">
        <f>IF($N359&lt;&gt;"",IF(INDEX(PCDoc,$N359)="","—",INDEX(PCDoc,$N359)),IF($O359&lt;&gt;"",INDEX(LdgBankB,$O359),""))</f>
        <v/>
      </c>
      <c r="E359" s="18">
        <f>IF($N359&lt;&gt;"",IF(INDEX(PCCitrus,$N359)="","—",INDEX(PCCitrus,$N359)),"")</f>
        <v/>
      </c>
      <c r="F359" s="19">
        <f>IF($N359&lt;&gt;"",IF(INDEX(PCScale,$N359)=0,"",INDEX(PCScale,$N359)),"")</f>
        <v/>
      </c>
      <c r="G359" s="19">
        <f>IF($N359&lt;&gt;"",IF(INDEX(PCBaskets,$N359)=0,"",INDEX(PCBaskets,$N359)),"")</f>
        <v/>
      </c>
      <c r="H359" s="20">
        <f>IF($N359&lt;&gt;"",IF(INDEX(PCNet,$N359)=0,"",INDEX(PCNet,$N359)),"")</f>
        <v/>
      </c>
      <c r="I359" s="19">
        <f>IF($N359&lt;&gt;"",IF(INDEX(PCOp,$N359)="مرجوعی خرید","",IF(INDEX(PCAmount,$N359)&lt;=0,"",INDEX(PCAmount,$N359))),IF($O359&lt;&gt;"",IF(INDEX(TxnDepB,$O359)=0,"",INDEX(TxnDepB,$O359)),""))</f>
        <v/>
      </c>
      <c r="J359" s="19">
        <f>IF($N359&lt;&gt;"",IF(INDEX(PCOp,$N359)="مرجوعی خرید",IF(INDEX(PCAmount,$N359)=0,"",-INDEX(PCAmount,$N359)),""),IF($O359&lt;&gt;"",IF(INDEX(TxnWitB,$O359)=0,"",INDEX(TxnWitB,$O359)),""))</f>
        <v/>
      </c>
      <c r="K359" s="21">
        <f>IF($B359="","",IF($K358="",$C$10,$K358)+IF($I359="",0,$I359)-IF($J359="",0,$J359))</f>
        <v/>
      </c>
      <c r="L359" s="22">
        <f>IF($N359&lt;&gt;"",IF(INDEX(PCNotes,$N359)="","—",INDEX(PCNotes,$N359)),IF($O359&lt;&gt;"",IF(INDEX(LdgNoteB,$O359)="","—",INDEX(LdgNoteB,$O359)),""))</f>
        <v/>
      </c>
      <c r="N359">
        <f>IFERROR(MATCH($C$5&amp;"|"&amp;RIGHT("000000"&amp;343,6),LdgRankKeyA,0),"")</f>
        <v/>
      </c>
      <c r="O359">
        <f>IFERROR(MATCH($C$5&amp;"|"&amp;RIGHT("000000"&amp;343,6),LdgRankKeyB,0),"")</f>
        <v/>
      </c>
    </row>
    <row r="360">
      <c r="A360" s="23" t="n">
        <v>344</v>
      </c>
      <c r="B360" s="24">
        <f>IF(AND($N360="",$O360=""),"",IF($N360&lt;&gt;"",INDEX(PCNormDate,$N360),INDEX(LdgDateB,$O360)))</f>
        <v/>
      </c>
      <c r="C360" s="24">
        <f>IF($N360&lt;&gt;"",INDEX(PCOp,$N360),IF($O360&lt;&gt;"",IF(N(INDEX(TxnDepB,$O360))&gt;0,"دریافت بانکی","پرداخت بانکی"),""))</f>
        <v/>
      </c>
      <c r="D360" s="24">
        <f>IF($N360&lt;&gt;"",IF(INDEX(PCDoc,$N360)="","—",INDEX(PCDoc,$N360)),IF($O360&lt;&gt;"",INDEX(LdgBankB,$O360),""))</f>
        <v/>
      </c>
      <c r="E360" s="24">
        <f>IF($N360&lt;&gt;"",IF(INDEX(PCCitrus,$N360)="","—",INDEX(PCCitrus,$N360)),"")</f>
        <v/>
      </c>
      <c r="F360" s="25">
        <f>IF($N360&lt;&gt;"",IF(INDEX(PCScale,$N360)=0,"",INDEX(PCScale,$N360)),"")</f>
        <v/>
      </c>
      <c r="G360" s="25">
        <f>IF($N360&lt;&gt;"",IF(INDEX(PCBaskets,$N360)=0,"",INDEX(PCBaskets,$N360)),"")</f>
        <v/>
      </c>
      <c r="H360" s="26">
        <f>IF($N360&lt;&gt;"",IF(INDEX(PCNet,$N360)=0,"",INDEX(PCNet,$N360)),"")</f>
        <v/>
      </c>
      <c r="I360" s="25">
        <f>IF($N360&lt;&gt;"",IF(INDEX(PCOp,$N360)="مرجوعی خرید","",IF(INDEX(PCAmount,$N360)&lt;=0,"",INDEX(PCAmount,$N360))),IF($O360&lt;&gt;"",IF(INDEX(TxnDepB,$O360)=0,"",INDEX(TxnDepB,$O360)),""))</f>
        <v/>
      </c>
      <c r="J360" s="25">
        <f>IF($N360&lt;&gt;"",IF(INDEX(PCOp,$N360)="مرجوعی خرید",IF(INDEX(PCAmount,$N360)=0,"",-INDEX(PCAmount,$N360)),""),IF($O360&lt;&gt;"",IF(INDEX(TxnWitB,$O360)=0,"",INDEX(TxnWitB,$O360)),""))</f>
        <v/>
      </c>
      <c r="K360" s="27">
        <f>IF($B360="","",IF($K359="",$C$10,$K359)+IF($I360="",0,$I360)-IF($J360="",0,$J360))</f>
        <v/>
      </c>
      <c r="L360" s="28">
        <f>IF($N360&lt;&gt;"",IF(INDEX(PCNotes,$N360)="","—",INDEX(PCNotes,$N360)),IF($O360&lt;&gt;"",IF(INDEX(LdgNoteB,$O360)="","—",INDEX(LdgNoteB,$O360)),""))</f>
        <v/>
      </c>
      <c r="N360">
        <f>IFERROR(MATCH($C$5&amp;"|"&amp;RIGHT("000000"&amp;344,6),LdgRankKeyA,0),"")</f>
        <v/>
      </c>
      <c r="O360">
        <f>IFERROR(MATCH($C$5&amp;"|"&amp;RIGHT("000000"&amp;344,6),LdgRankKeyB,0),"")</f>
        <v/>
      </c>
    </row>
    <row r="361">
      <c r="A361" s="17" t="n">
        <v>345</v>
      </c>
      <c r="B361" s="18">
        <f>IF(AND($N361="",$O361=""),"",IF($N361&lt;&gt;"",INDEX(PCNormDate,$N361),INDEX(LdgDateB,$O361)))</f>
        <v/>
      </c>
      <c r="C361" s="18">
        <f>IF($N361&lt;&gt;"",INDEX(PCOp,$N361),IF($O361&lt;&gt;"",IF(N(INDEX(TxnDepB,$O361))&gt;0,"دریافت بانکی","پرداخت بانکی"),""))</f>
        <v/>
      </c>
      <c r="D361" s="18">
        <f>IF($N361&lt;&gt;"",IF(INDEX(PCDoc,$N361)="","—",INDEX(PCDoc,$N361)),IF($O361&lt;&gt;"",INDEX(LdgBankB,$O361),""))</f>
        <v/>
      </c>
      <c r="E361" s="18">
        <f>IF($N361&lt;&gt;"",IF(INDEX(PCCitrus,$N361)="","—",INDEX(PCCitrus,$N361)),"")</f>
        <v/>
      </c>
      <c r="F361" s="19">
        <f>IF($N361&lt;&gt;"",IF(INDEX(PCScale,$N361)=0,"",INDEX(PCScale,$N361)),"")</f>
        <v/>
      </c>
      <c r="G361" s="19">
        <f>IF($N361&lt;&gt;"",IF(INDEX(PCBaskets,$N361)=0,"",INDEX(PCBaskets,$N361)),"")</f>
        <v/>
      </c>
      <c r="H361" s="20">
        <f>IF($N361&lt;&gt;"",IF(INDEX(PCNet,$N361)=0,"",INDEX(PCNet,$N361)),"")</f>
        <v/>
      </c>
      <c r="I361" s="19">
        <f>IF($N361&lt;&gt;"",IF(INDEX(PCOp,$N361)="مرجوعی خرید","",IF(INDEX(PCAmount,$N361)&lt;=0,"",INDEX(PCAmount,$N361))),IF($O361&lt;&gt;"",IF(INDEX(TxnDepB,$O361)=0,"",INDEX(TxnDepB,$O361)),""))</f>
        <v/>
      </c>
      <c r="J361" s="19">
        <f>IF($N361&lt;&gt;"",IF(INDEX(PCOp,$N361)="مرجوعی خرید",IF(INDEX(PCAmount,$N361)=0,"",-INDEX(PCAmount,$N361)),""),IF($O361&lt;&gt;"",IF(INDEX(TxnWitB,$O361)=0,"",INDEX(TxnWitB,$O361)),""))</f>
        <v/>
      </c>
      <c r="K361" s="21">
        <f>IF($B361="","",IF($K360="",$C$10,$K360)+IF($I361="",0,$I361)-IF($J361="",0,$J361))</f>
        <v/>
      </c>
      <c r="L361" s="22">
        <f>IF($N361&lt;&gt;"",IF(INDEX(PCNotes,$N361)="","—",INDEX(PCNotes,$N361)),IF($O361&lt;&gt;"",IF(INDEX(LdgNoteB,$O361)="","—",INDEX(LdgNoteB,$O361)),""))</f>
        <v/>
      </c>
      <c r="N361">
        <f>IFERROR(MATCH($C$5&amp;"|"&amp;RIGHT("000000"&amp;345,6),LdgRankKeyA,0),"")</f>
        <v/>
      </c>
      <c r="O361">
        <f>IFERROR(MATCH($C$5&amp;"|"&amp;RIGHT("000000"&amp;345,6),LdgRankKeyB,0),"")</f>
        <v/>
      </c>
    </row>
    <row r="362">
      <c r="A362" s="23" t="n">
        <v>346</v>
      </c>
      <c r="B362" s="24">
        <f>IF(AND($N362="",$O362=""),"",IF($N362&lt;&gt;"",INDEX(PCNormDate,$N362),INDEX(LdgDateB,$O362)))</f>
        <v/>
      </c>
      <c r="C362" s="24">
        <f>IF($N362&lt;&gt;"",INDEX(PCOp,$N362),IF($O362&lt;&gt;"",IF(N(INDEX(TxnDepB,$O362))&gt;0,"دریافت بانکی","پرداخت بانکی"),""))</f>
        <v/>
      </c>
      <c r="D362" s="24">
        <f>IF($N362&lt;&gt;"",IF(INDEX(PCDoc,$N362)="","—",INDEX(PCDoc,$N362)),IF($O362&lt;&gt;"",INDEX(LdgBankB,$O362),""))</f>
        <v/>
      </c>
      <c r="E362" s="24">
        <f>IF($N362&lt;&gt;"",IF(INDEX(PCCitrus,$N362)="","—",INDEX(PCCitrus,$N362)),"")</f>
        <v/>
      </c>
      <c r="F362" s="25">
        <f>IF($N362&lt;&gt;"",IF(INDEX(PCScale,$N362)=0,"",INDEX(PCScale,$N362)),"")</f>
        <v/>
      </c>
      <c r="G362" s="25">
        <f>IF($N362&lt;&gt;"",IF(INDEX(PCBaskets,$N362)=0,"",INDEX(PCBaskets,$N362)),"")</f>
        <v/>
      </c>
      <c r="H362" s="26">
        <f>IF($N362&lt;&gt;"",IF(INDEX(PCNet,$N362)=0,"",INDEX(PCNet,$N362)),"")</f>
        <v/>
      </c>
      <c r="I362" s="25">
        <f>IF($N362&lt;&gt;"",IF(INDEX(PCOp,$N362)="مرجوعی خرید","",IF(INDEX(PCAmount,$N362)&lt;=0,"",INDEX(PCAmount,$N362))),IF($O362&lt;&gt;"",IF(INDEX(TxnDepB,$O362)=0,"",INDEX(TxnDepB,$O362)),""))</f>
        <v/>
      </c>
      <c r="J362" s="25">
        <f>IF($N362&lt;&gt;"",IF(INDEX(PCOp,$N362)="مرجوعی خرید",IF(INDEX(PCAmount,$N362)=0,"",-INDEX(PCAmount,$N362)),""),IF($O362&lt;&gt;"",IF(INDEX(TxnWitB,$O362)=0,"",INDEX(TxnWitB,$O362)),""))</f>
        <v/>
      </c>
      <c r="K362" s="27">
        <f>IF($B362="","",IF($K361="",$C$10,$K361)+IF($I362="",0,$I362)-IF($J362="",0,$J362))</f>
        <v/>
      </c>
      <c r="L362" s="28">
        <f>IF($N362&lt;&gt;"",IF(INDEX(PCNotes,$N362)="","—",INDEX(PCNotes,$N362)),IF($O362&lt;&gt;"",IF(INDEX(LdgNoteB,$O362)="","—",INDEX(LdgNoteB,$O362)),""))</f>
        <v/>
      </c>
      <c r="N362">
        <f>IFERROR(MATCH($C$5&amp;"|"&amp;RIGHT("000000"&amp;346,6),LdgRankKeyA,0),"")</f>
        <v/>
      </c>
      <c r="O362">
        <f>IFERROR(MATCH($C$5&amp;"|"&amp;RIGHT("000000"&amp;346,6),LdgRankKeyB,0),"")</f>
        <v/>
      </c>
    </row>
    <row r="363">
      <c r="A363" s="17" t="n">
        <v>347</v>
      </c>
      <c r="B363" s="18">
        <f>IF(AND($N363="",$O363=""),"",IF($N363&lt;&gt;"",INDEX(PCNormDate,$N363),INDEX(LdgDateB,$O363)))</f>
        <v/>
      </c>
      <c r="C363" s="18">
        <f>IF($N363&lt;&gt;"",INDEX(PCOp,$N363),IF($O363&lt;&gt;"",IF(N(INDEX(TxnDepB,$O363))&gt;0,"دریافت بانکی","پرداخت بانکی"),""))</f>
        <v/>
      </c>
      <c r="D363" s="18">
        <f>IF($N363&lt;&gt;"",IF(INDEX(PCDoc,$N363)="","—",INDEX(PCDoc,$N363)),IF($O363&lt;&gt;"",INDEX(LdgBankB,$O363),""))</f>
        <v/>
      </c>
      <c r="E363" s="18">
        <f>IF($N363&lt;&gt;"",IF(INDEX(PCCitrus,$N363)="","—",INDEX(PCCitrus,$N363)),"")</f>
        <v/>
      </c>
      <c r="F363" s="19">
        <f>IF($N363&lt;&gt;"",IF(INDEX(PCScale,$N363)=0,"",INDEX(PCScale,$N363)),"")</f>
        <v/>
      </c>
      <c r="G363" s="19">
        <f>IF($N363&lt;&gt;"",IF(INDEX(PCBaskets,$N363)=0,"",INDEX(PCBaskets,$N363)),"")</f>
        <v/>
      </c>
      <c r="H363" s="20">
        <f>IF($N363&lt;&gt;"",IF(INDEX(PCNet,$N363)=0,"",INDEX(PCNet,$N363)),"")</f>
        <v/>
      </c>
      <c r="I363" s="19">
        <f>IF($N363&lt;&gt;"",IF(INDEX(PCOp,$N363)="مرجوعی خرید","",IF(INDEX(PCAmount,$N363)&lt;=0,"",INDEX(PCAmount,$N363))),IF($O363&lt;&gt;"",IF(INDEX(TxnDepB,$O363)=0,"",INDEX(TxnDepB,$O363)),""))</f>
        <v/>
      </c>
      <c r="J363" s="19">
        <f>IF($N363&lt;&gt;"",IF(INDEX(PCOp,$N363)="مرجوعی خرید",IF(INDEX(PCAmount,$N363)=0,"",-INDEX(PCAmount,$N363)),""),IF($O363&lt;&gt;"",IF(INDEX(TxnWitB,$O363)=0,"",INDEX(TxnWitB,$O363)),""))</f>
        <v/>
      </c>
      <c r="K363" s="21">
        <f>IF($B363="","",IF($K362="",$C$10,$K362)+IF($I363="",0,$I363)-IF($J363="",0,$J363))</f>
        <v/>
      </c>
      <c r="L363" s="22">
        <f>IF($N363&lt;&gt;"",IF(INDEX(PCNotes,$N363)="","—",INDEX(PCNotes,$N363)),IF($O363&lt;&gt;"",IF(INDEX(LdgNoteB,$O363)="","—",INDEX(LdgNoteB,$O363)),""))</f>
        <v/>
      </c>
      <c r="N363">
        <f>IFERROR(MATCH($C$5&amp;"|"&amp;RIGHT("000000"&amp;347,6),LdgRankKeyA,0),"")</f>
        <v/>
      </c>
      <c r="O363">
        <f>IFERROR(MATCH($C$5&amp;"|"&amp;RIGHT("000000"&amp;347,6),LdgRankKeyB,0),"")</f>
        <v/>
      </c>
    </row>
    <row r="364">
      <c r="A364" s="23" t="n">
        <v>348</v>
      </c>
      <c r="B364" s="24">
        <f>IF(AND($N364="",$O364=""),"",IF($N364&lt;&gt;"",INDEX(PCNormDate,$N364),INDEX(LdgDateB,$O364)))</f>
        <v/>
      </c>
      <c r="C364" s="24">
        <f>IF($N364&lt;&gt;"",INDEX(PCOp,$N364),IF($O364&lt;&gt;"",IF(N(INDEX(TxnDepB,$O364))&gt;0,"دریافت بانکی","پرداخت بانکی"),""))</f>
        <v/>
      </c>
      <c r="D364" s="24">
        <f>IF($N364&lt;&gt;"",IF(INDEX(PCDoc,$N364)="","—",INDEX(PCDoc,$N364)),IF($O364&lt;&gt;"",INDEX(LdgBankB,$O364),""))</f>
        <v/>
      </c>
      <c r="E364" s="24">
        <f>IF($N364&lt;&gt;"",IF(INDEX(PCCitrus,$N364)="","—",INDEX(PCCitrus,$N364)),"")</f>
        <v/>
      </c>
      <c r="F364" s="25">
        <f>IF($N364&lt;&gt;"",IF(INDEX(PCScale,$N364)=0,"",INDEX(PCScale,$N364)),"")</f>
        <v/>
      </c>
      <c r="G364" s="25">
        <f>IF($N364&lt;&gt;"",IF(INDEX(PCBaskets,$N364)=0,"",INDEX(PCBaskets,$N364)),"")</f>
        <v/>
      </c>
      <c r="H364" s="26">
        <f>IF($N364&lt;&gt;"",IF(INDEX(PCNet,$N364)=0,"",INDEX(PCNet,$N364)),"")</f>
        <v/>
      </c>
      <c r="I364" s="25">
        <f>IF($N364&lt;&gt;"",IF(INDEX(PCOp,$N364)="مرجوعی خرید","",IF(INDEX(PCAmount,$N364)&lt;=0,"",INDEX(PCAmount,$N364))),IF($O364&lt;&gt;"",IF(INDEX(TxnDepB,$O364)=0,"",INDEX(TxnDepB,$O364)),""))</f>
        <v/>
      </c>
      <c r="J364" s="25">
        <f>IF($N364&lt;&gt;"",IF(INDEX(PCOp,$N364)="مرجوعی خرید",IF(INDEX(PCAmount,$N364)=0,"",-INDEX(PCAmount,$N364)),""),IF($O364&lt;&gt;"",IF(INDEX(TxnWitB,$O364)=0,"",INDEX(TxnWitB,$O364)),""))</f>
        <v/>
      </c>
      <c r="K364" s="27">
        <f>IF($B364="","",IF($K363="",$C$10,$K363)+IF($I364="",0,$I364)-IF($J364="",0,$J364))</f>
        <v/>
      </c>
      <c r="L364" s="28">
        <f>IF($N364&lt;&gt;"",IF(INDEX(PCNotes,$N364)="","—",INDEX(PCNotes,$N364)),IF($O364&lt;&gt;"",IF(INDEX(LdgNoteB,$O364)="","—",INDEX(LdgNoteB,$O364)),""))</f>
        <v/>
      </c>
      <c r="N364">
        <f>IFERROR(MATCH($C$5&amp;"|"&amp;RIGHT("000000"&amp;348,6),LdgRankKeyA,0),"")</f>
        <v/>
      </c>
      <c r="O364">
        <f>IFERROR(MATCH($C$5&amp;"|"&amp;RIGHT("000000"&amp;348,6),LdgRankKeyB,0),"")</f>
        <v/>
      </c>
    </row>
    <row r="365">
      <c r="A365" s="17" t="n">
        <v>349</v>
      </c>
      <c r="B365" s="18">
        <f>IF(AND($N365="",$O365=""),"",IF($N365&lt;&gt;"",INDEX(PCNormDate,$N365),INDEX(LdgDateB,$O365)))</f>
        <v/>
      </c>
      <c r="C365" s="18">
        <f>IF($N365&lt;&gt;"",INDEX(PCOp,$N365),IF($O365&lt;&gt;"",IF(N(INDEX(TxnDepB,$O365))&gt;0,"دریافت بانکی","پرداخت بانکی"),""))</f>
        <v/>
      </c>
      <c r="D365" s="18">
        <f>IF($N365&lt;&gt;"",IF(INDEX(PCDoc,$N365)="","—",INDEX(PCDoc,$N365)),IF($O365&lt;&gt;"",INDEX(LdgBankB,$O365),""))</f>
        <v/>
      </c>
      <c r="E365" s="18">
        <f>IF($N365&lt;&gt;"",IF(INDEX(PCCitrus,$N365)="","—",INDEX(PCCitrus,$N365)),"")</f>
        <v/>
      </c>
      <c r="F365" s="19">
        <f>IF($N365&lt;&gt;"",IF(INDEX(PCScale,$N365)=0,"",INDEX(PCScale,$N365)),"")</f>
        <v/>
      </c>
      <c r="G365" s="19">
        <f>IF($N365&lt;&gt;"",IF(INDEX(PCBaskets,$N365)=0,"",INDEX(PCBaskets,$N365)),"")</f>
        <v/>
      </c>
      <c r="H365" s="20">
        <f>IF($N365&lt;&gt;"",IF(INDEX(PCNet,$N365)=0,"",INDEX(PCNet,$N365)),"")</f>
        <v/>
      </c>
      <c r="I365" s="19">
        <f>IF($N365&lt;&gt;"",IF(INDEX(PCOp,$N365)="مرجوعی خرید","",IF(INDEX(PCAmount,$N365)&lt;=0,"",INDEX(PCAmount,$N365))),IF($O365&lt;&gt;"",IF(INDEX(TxnDepB,$O365)=0,"",INDEX(TxnDepB,$O365)),""))</f>
        <v/>
      </c>
      <c r="J365" s="19">
        <f>IF($N365&lt;&gt;"",IF(INDEX(PCOp,$N365)="مرجوعی خرید",IF(INDEX(PCAmount,$N365)=0,"",-INDEX(PCAmount,$N365)),""),IF($O365&lt;&gt;"",IF(INDEX(TxnWitB,$O365)=0,"",INDEX(TxnWitB,$O365)),""))</f>
        <v/>
      </c>
      <c r="K365" s="21">
        <f>IF($B365="","",IF($K364="",$C$10,$K364)+IF($I365="",0,$I365)-IF($J365="",0,$J365))</f>
        <v/>
      </c>
      <c r="L365" s="22">
        <f>IF($N365&lt;&gt;"",IF(INDEX(PCNotes,$N365)="","—",INDEX(PCNotes,$N365)),IF($O365&lt;&gt;"",IF(INDEX(LdgNoteB,$O365)="","—",INDEX(LdgNoteB,$O365)),""))</f>
        <v/>
      </c>
      <c r="N365">
        <f>IFERROR(MATCH($C$5&amp;"|"&amp;RIGHT("000000"&amp;349,6),LdgRankKeyA,0),"")</f>
        <v/>
      </c>
      <c r="O365">
        <f>IFERROR(MATCH($C$5&amp;"|"&amp;RIGHT("000000"&amp;349,6),LdgRankKeyB,0),"")</f>
        <v/>
      </c>
    </row>
    <row r="366">
      <c r="A366" s="23" t="n">
        <v>350</v>
      </c>
      <c r="B366" s="24">
        <f>IF(AND($N366="",$O366=""),"",IF($N366&lt;&gt;"",INDEX(PCNormDate,$N366),INDEX(LdgDateB,$O366)))</f>
        <v/>
      </c>
      <c r="C366" s="24">
        <f>IF($N366&lt;&gt;"",INDEX(PCOp,$N366),IF($O366&lt;&gt;"",IF(N(INDEX(TxnDepB,$O366))&gt;0,"دریافت بانکی","پرداخت بانکی"),""))</f>
        <v/>
      </c>
      <c r="D366" s="24">
        <f>IF($N366&lt;&gt;"",IF(INDEX(PCDoc,$N366)="","—",INDEX(PCDoc,$N366)),IF($O366&lt;&gt;"",INDEX(LdgBankB,$O366),""))</f>
        <v/>
      </c>
      <c r="E366" s="24">
        <f>IF($N366&lt;&gt;"",IF(INDEX(PCCitrus,$N366)="","—",INDEX(PCCitrus,$N366)),"")</f>
        <v/>
      </c>
      <c r="F366" s="25">
        <f>IF($N366&lt;&gt;"",IF(INDEX(PCScale,$N366)=0,"",INDEX(PCScale,$N366)),"")</f>
        <v/>
      </c>
      <c r="G366" s="25">
        <f>IF($N366&lt;&gt;"",IF(INDEX(PCBaskets,$N366)=0,"",INDEX(PCBaskets,$N366)),"")</f>
        <v/>
      </c>
      <c r="H366" s="26">
        <f>IF($N366&lt;&gt;"",IF(INDEX(PCNet,$N366)=0,"",INDEX(PCNet,$N366)),"")</f>
        <v/>
      </c>
      <c r="I366" s="25">
        <f>IF($N366&lt;&gt;"",IF(INDEX(PCOp,$N366)="مرجوعی خرید","",IF(INDEX(PCAmount,$N366)&lt;=0,"",INDEX(PCAmount,$N366))),IF($O366&lt;&gt;"",IF(INDEX(TxnDepB,$O366)=0,"",INDEX(TxnDepB,$O366)),""))</f>
        <v/>
      </c>
      <c r="J366" s="25">
        <f>IF($N366&lt;&gt;"",IF(INDEX(PCOp,$N366)="مرجوعی خرید",IF(INDEX(PCAmount,$N366)=0,"",-INDEX(PCAmount,$N366)),""),IF($O366&lt;&gt;"",IF(INDEX(TxnWitB,$O366)=0,"",INDEX(TxnWitB,$O366)),""))</f>
        <v/>
      </c>
      <c r="K366" s="27">
        <f>IF($B366="","",IF($K365="",$C$10,$K365)+IF($I366="",0,$I366)-IF($J366="",0,$J366))</f>
        <v/>
      </c>
      <c r="L366" s="28">
        <f>IF($N366&lt;&gt;"",IF(INDEX(PCNotes,$N366)="","—",INDEX(PCNotes,$N366)),IF($O366&lt;&gt;"",IF(INDEX(LdgNoteB,$O366)="","—",INDEX(LdgNoteB,$O366)),""))</f>
        <v/>
      </c>
      <c r="N366">
        <f>IFERROR(MATCH($C$5&amp;"|"&amp;RIGHT("000000"&amp;350,6),LdgRankKeyA,0),"")</f>
        <v/>
      </c>
      <c r="O366">
        <f>IFERROR(MATCH($C$5&amp;"|"&amp;RIGHT("000000"&amp;350,6),LdgRankKeyB,0),"")</f>
        <v/>
      </c>
    </row>
    <row r="367">
      <c r="A367" s="17" t="n">
        <v>351</v>
      </c>
      <c r="B367" s="18">
        <f>IF(AND($N367="",$O367=""),"",IF($N367&lt;&gt;"",INDEX(PCNormDate,$N367),INDEX(LdgDateB,$O367)))</f>
        <v/>
      </c>
      <c r="C367" s="18">
        <f>IF($N367&lt;&gt;"",INDEX(PCOp,$N367),IF($O367&lt;&gt;"",IF(N(INDEX(TxnDepB,$O367))&gt;0,"دریافت بانکی","پرداخت بانکی"),""))</f>
        <v/>
      </c>
      <c r="D367" s="18">
        <f>IF($N367&lt;&gt;"",IF(INDEX(PCDoc,$N367)="","—",INDEX(PCDoc,$N367)),IF($O367&lt;&gt;"",INDEX(LdgBankB,$O367),""))</f>
        <v/>
      </c>
      <c r="E367" s="18">
        <f>IF($N367&lt;&gt;"",IF(INDEX(PCCitrus,$N367)="","—",INDEX(PCCitrus,$N367)),"")</f>
        <v/>
      </c>
      <c r="F367" s="19">
        <f>IF($N367&lt;&gt;"",IF(INDEX(PCScale,$N367)=0,"",INDEX(PCScale,$N367)),"")</f>
        <v/>
      </c>
      <c r="G367" s="19">
        <f>IF($N367&lt;&gt;"",IF(INDEX(PCBaskets,$N367)=0,"",INDEX(PCBaskets,$N367)),"")</f>
        <v/>
      </c>
      <c r="H367" s="20">
        <f>IF($N367&lt;&gt;"",IF(INDEX(PCNet,$N367)=0,"",INDEX(PCNet,$N367)),"")</f>
        <v/>
      </c>
      <c r="I367" s="19">
        <f>IF($N367&lt;&gt;"",IF(INDEX(PCOp,$N367)="مرجوعی خرید","",IF(INDEX(PCAmount,$N367)&lt;=0,"",INDEX(PCAmount,$N367))),IF($O367&lt;&gt;"",IF(INDEX(TxnDepB,$O367)=0,"",INDEX(TxnDepB,$O367)),""))</f>
        <v/>
      </c>
      <c r="J367" s="19">
        <f>IF($N367&lt;&gt;"",IF(INDEX(PCOp,$N367)="مرجوعی خرید",IF(INDEX(PCAmount,$N367)=0,"",-INDEX(PCAmount,$N367)),""),IF($O367&lt;&gt;"",IF(INDEX(TxnWitB,$O367)=0,"",INDEX(TxnWitB,$O367)),""))</f>
        <v/>
      </c>
      <c r="K367" s="21">
        <f>IF($B367="","",IF($K366="",$C$10,$K366)+IF($I367="",0,$I367)-IF($J367="",0,$J367))</f>
        <v/>
      </c>
      <c r="L367" s="22">
        <f>IF($N367&lt;&gt;"",IF(INDEX(PCNotes,$N367)="","—",INDEX(PCNotes,$N367)),IF($O367&lt;&gt;"",IF(INDEX(LdgNoteB,$O367)="","—",INDEX(LdgNoteB,$O367)),""))</f>
        <v/>
      </c>
      <c r="N367">
        <f>IFERROR(MATCH($C$5&amp;"|"&amp;RIGHT("000000"&amp;351,6),LdgRankKeyA,0),"")</f>
        <v/>
      </c>
      <c r="O367">
        <f>IFERROR(MATCH($C$5&amp;"|"&amp;RIGHT("000000"&amp;351,6),LdgRankKeyB,0),"")</f>
        <v/>
      </c>
    </row>
    <row r="368">
      <c r="A368" s="23" t="n">
        <v>352</v>
      </c>
      <c r="B368" s="24">
        <f>IF(AND($N368="",$O368=""),"",IF($N368&lt;&gt;"",INDEX(PCNormDate,$N368),INDEX(LdgDateB,$O368)))</f>
        <v/>
      </c>
      <c r="C368" s="24">
        <f>IF($N368&lt;&gt;"",INDEX(PCOp,$N368),IF($O368&lt;&gt;"",IF(N(INDEX(TxnDepB,$O368))&gt;0,"دریافت بانکی","پرداخت بانکی"),""))</f>
        <v/>
      </c>
      <c r="D368" s="24">
        <f>IF($N368&lt;&gt;"",IF(INDEX(PCDoc,$N368)="","—",INDEX(PCDoc,$N368)),IF($O368&lt;&gt;"",INDEX(LdgBankB,$O368),""))</f>
        <v/>
      </c>
      <c r="E368" s="24">
        <f>IF($N368&lt;&gt;"",IF(INDEX(PCCitrus,$N368)="","—",INDEX(PCCitrus,$N368)),"")</f>
        <v/>
      </c>
      <c r="F368" s="25">
        <f>IF($N368&lt;&gt;"",IF(INDEX(PCScale,$N368)=0,"",INDEX(PCScale,$N368)),"")</f>
        <v/>
      </c>
      <c r="G368" s="25">
        <f>IF($N368&lt;&gt;"",IF(INDEX(PCBaskets,$N368)=0,"",INDEX(PCBaskets,$N368)),"")</f>
        <v/>
      </c>
      <c r="H368" s="26">
        <f>IF($N368&lt;&gt;"",IF(INDEX(PCNet,$N368)=0,"",INDEX(PCNet,$N368)),"")</f>
        <v/>
      </c>
      <c r="I368" s="25">
        <f>IF($N368&lt;&gt;"",IF(INDEX(PCOp,$N368)="مرجوعی خرید","",IF(INDEX(PCAmount,$N368)&lt;=0,"",INDEX(PCAmount,$N368))),IF($O368&lt;&gt;"",IF(INDEX(TxnDepB,$O368)=0,"",INDEX(TxnDepB,$O368)),""))</f>
        <v/>
      </c>
      <c r="J368" s="25">
        <f>IF($N368&lt;&gt;"",IF(INDEX(PCOp,$N368)="مرجوعی خرید",IF(INDEX(PCAmount,$N368)=0,"",-INDEX(PCAmount,$N368)),""),IF($O368&lt;&gt;"",IF(INDEX(TxnWitB,$O368)=0,"",INDEX(TxnWitB,$O368)),""))</f>
        <v/>
      </c>
      <c r="K368" s="27">
        <f>IF($B368="","",IF($K367="",$C$10,$K367)+IF($I368="",0,$I368)-IF($J368="",0,$J368))</f>
        <v/>
      </c>
      <c r="L368" s="28">
        <f>IF($N368&lt;&gt;"",IF(INDEX(PCNotes,$N368)="","—",INDEX(PCNotes,$N368)),IF($O368&lt;&gt;"",IF(INDEX(LdgNoteB,$O368)="","—",INDEX(LdgNoteB,$O368)),""))</f>
        <v/>
      </c>
      <c r="N368">
        <f>IFERROR(MATCH($C$5&amp;"|"&amp;RIGHT("000000"&amp;352,6),LdgRankKeyA,0),"")</f>
        <v/>
      </c>
      <c r="O368">
        <f>IFERROR(MATCH($C$5&amp;"|"&amp;RIGHT("000000"&amp;352,6),LdgRankKeyB,0),"")</f>
        <v/>
      </c>
    </row>
    <row r="369">
      <c r="A369" s="17" t="n">
        <v>353</v>
      </c>
      <c r="B369" s="18">
        <f>IF(AND($N369="",$O369=""),"",IF($N369&lt;&gt;"",INDEX(PCNormDate,$N369),INDEX(LdgDateB,$O369)))</f>
        <v/>
      </c>
      <c r="C369" s="18">
        <f>IF($N369&lt;&gt;"",INDEX(PCOp,$N369),IF($O369&lt;&gt;"",IF(N(INDEX(TxnDepB,$O369))&gt;0,"دریافت بانکی","پرداخت بانکی"),""))</f>
        <v/>
      </c>
      <c r="D369" s="18">
        <f>IF($N369&lt;&gt;"",IF(INDEX(PCDoc,$N369)="","—",INDEX(PCDoc,$N369)),IF($O369&lt;&gt;"",INDEX(LdgBankB,$O369),""))</f>
        <v/>
      </c>
      <c r="E369" s="18">
        <f>IF($N369&lt;&gt;"",IF(INDEX(PCCitrus,$N369)="","—",INDEX(PCCitrus,$N369)),"")</f>
        <v/>
      </c>
      <c r="F369" s="19">
        <f>IF($N369&lt;&gt;"",IF(INDEX(PCScale,$N369)=0,"",INDEX(PCScale,$N369)),"")</f>
        <v/>
      </c>
      <c r="G369" s="19">
        <f>IF($N369&lt;&gt;"",IF(INDEX(PCBaskets,$N369)=0,"",INDEX(PCBaskets,$N369)),"")</f>
        <v/>
      </c>
      <c r="H369" s="20">
        <f>IF($N369&lt;&gt;"",IF(INDEX(PCNet,$N369)=0,"",INDEX(PCNet,$N369)),"")</f>
        <v/>
      </c>
      <c r="I369" s="19">
        <f>IF($N369&lt;&gt;"",IF(INDEX(PCOp,$N369)="مرجوعی خرید","",IF(INDEX(PCAmount,$N369)&lt;=0,"",INDEX(PCAmount,$N369))),IF($O369&lt;&gt;"",IF(INDEX(TxnDepB,$O369)=0,"",INDEX(TxnDepB,$O369)),""))</f>
        <v/>
      </c>
      <c r="J369" s="19">
        <f>IF($N369&lt;&gt;"",IF(INDEX(PCOp,$N369)="مرجوعی خرید",IF(INDEX(PCAmount,$N369)=0,"",-INDEX(PCAmount,$N369)),""),IF($O369&lt;&gt;"",IF(INDEX(TxnWitB,$O369)=0,"",INDEX(TxnWitB,$O369)),""))</f>
        <v/>
      </c>
      <c r="K369" s="21">
        <f>IF($B369="","",IF($K368="",$C$10,$K368)+IF($I369="",0,$I369)-IF($J369="",0,$J369))</f>
        <v/>
      </c>
      <c r="L369" s="22">
        <f>IF($N369&lt;&gt;"",IF(INDEX(PCNotes,$N369)="","—",INDEX(PCNotes,$N369)),IF($O369&lt;&gt;"",IF(INDEX(LdgNoteB,$O369)="","—",INDEX(LdgNoteB,$O369)),""))</f>
        <v/>
      </c>
      <c r="N369">
        <f>IFERROR(MATCH($C$5&amp;"|"&amp;RIGHT("000000"&amp;353,6),LdgRankKeyA,0),"")</f>
        <v/>
      </c>
      <c r="O369">
        <f>IFERROR(MATCH($C$5&amp;"|"&amp;RIGHT("000000"&amp;353,6),LdgRankKeyB,0),"")</f>
        <v/>
      </c>
    </row>
    <row r="370">
      <c r="A370" s="23" t="n">
        <v>354</v>
      </c>
      <c r="B370" s="24">
        <f>IF(AND($N370="",$O370=""),"",IF($N370&lt;&gt;"",INDEX(PCNormDate,$N370),INDEX(LdgDateB,$O370)))</f>
        <v/>
      </c>
      <c r="C370" s="24">
        <f>IF($N370&lt;&gt;"",INDEX(PCOp,$N370),IF($O370&lt;&gt;"",IF(N(INDEX(TxnDepB,$O370))&gt;0,"دریافت بانکی","پرداخت بانکی"),""))</f>
        <v/>
      </c>
      <c r="D370" s="24">
        <f>IF($N370&lt;&gt;"",IF(INDEX(PCDoc,$N370)="","—",INDEX(PCDoc,$N370)),IF($O370&lt;&gt;"",INDEX(LdgBankB,$O370),""))</f>
        <v/>
      </c>
      <c r="E370" s="24">
        <f>IF($N370&lt;&gt;"",IF(INDEX(PCCitrus,$N370)="","—",INDEX(PCCitrus,$N370)),"")</f>
        <v/>
      </c>
      <c r="F370" s="25">
        <f>IF($N370&lt;&gt;"",IF(INDEX(PCScale,$N370)=0,"",INDEX(PCScale,$N370)),"")</f>
        <v/>
      </c>
      <c r="G370" s="25">
        <f>IF($N370&lt;&gt;"",IF(INDEX(PCBaskets,$N370)=0,"",INDEX(PCBaskets,$N370)),"")</f>
        <v/>
      </c>
      <c r="H370" s="26">
        <f>IF($N370&lt;&gt;"",IF(INDEX(PCNet,$N370)=0,"",INDEX(PCNet,$N370)),"")</f>
        <v/>
      </c>
      <c r="I370" s="25">
        <f>IF($N370&lt;&gt;"",IF(INDEX(PCOp,$N370)="مرجوعی خرید","",IF(INDEX(PCAmount,$N370)&lt;=0,"",INDEX(PCAmount,$N370))),IF($O370&lt;&gt;"",IF(INDEX(TxnDepB,$O370)=0,"",INDEX(TxnDepB,$O370)),""))</f>
        <v/>
      </c>
      <c r="J370" s="25">
        <f>IF($N370&lt;&gt;"",IF(INDEX(PCOp,$N370)="مرجوعی خرید",IF(INDEX(PCAmount,$N370)=0,"",-INDEX(PCAmount,$N370)),""),IF($O370&lt;&gt;"",IF(INDEX(TxnWitB,$O370)=0,"",INDEX(TxnWitB,$O370)),""))</f>
        <v/>
      </c>
      <c r="K370" s="27">
        <f>IF($B370="","",IF($K369="",$C$10,$K369)+IF($I370="",0,$I370)-IF($J370="",0,$J370))</f>
        <v/>
      </c>
      <c r="L370" s="28">
        <f>IF($N370&lt;&gt;"",IF(INDEX(PCNotes,$N370)="","—",INDEX(PCNotes,$N370)),IF($O370&lt;&gt;"",IF(INDEX(LdgNoteB,$O370)="","—",INDEX(LdgNoteB,$O370)),""))</f>
        <v/>
      </c>
      <c r="N370">
        <f>IFERROR(MATCH($C$5&amp;"|"&amp;RIGHT("000000"&amp;354,6),LdgRankKeyA,0),"")</f>
        <v/>
      </c>
      <c r="O370">
        <f>IFERROR(MATCH($C$5&amp;"|"&amp;RIGHT("000000"&amp;354,6),LdgRankKeyB,0),"")</f>
        <v/>
      </c>
    </row>
    <row r="371">
      <c r="A371" s="17" t="n">
        <v>355</v>
      </c>
      <c r="B371" s="18">
        <f>IF(AND($N371="",$O371=""),"",IF($N371&lt;&gt;"",INDEX(PCNormDate,$N371),INDEX(LdgDateB,$O371)))</f>
        <v/>
      </c>
      <c r="C371" s="18">
        <f>IF($N371&lt;&gt;"",INDEX(PCOp,$N371),IF($O371&lt;&gt;"",IF(N(INDEX(TxnDepB,$O371))&gt;0,"دریافت بانکی","پرداخت بانکی"),""))</f>
        <v/>
      </c>
      <c r="D371" s="18">
        <f>IF($N371&lt;&gt;"",IF(INDEX(PCDoc,$N371)="","—",INDEX(PCDoc,$N371)),IF($O371&lt;&gt;"",INDEX(LdgBankB,$O371),""))</f>
        <v/>
      </c>
      <c r="E371" s="18">
        <f>IF($N371&lt;&gt;"",IF(INDEX(PCCitrus,$N371)="","—",INDEX(PCCitrus,$N371)),"")</f>
        <v/>
      </c>
      <c r="F371" s="19">
        <f>IF($N371&lt;&gt;"",IF(INDEX(PCScale,$N371)=0,"",INDEX(PCScale,$N371)),"")</f>
        <v/>
      </c>
      <c r="G371" s="19">
        <f>IF($N371&lt;&gt;"",IF(INDEX(PCBaskets,$N371)=0,"",INDEX(PCBaskets,$N371)),"")</f>
        <v/>
      </c>
      <c r="H371" s="20">
        <f>IF($N371&lt;&gt;"",IF(INDEX(PCNet,$N371)=0,"",INDEX(PCNet,$N371)),"")</f>
        <v/>
      </c>
      <c r="I371" s="19">
        <f>IF($N371&lt;&gt;"",IF(INDEX(PCOp,$N371)="مرجوعی خرید","",IF(INDEX(PCAmount,$N371)&lt;=0,"",INDEX(PCAmount,$N371))),IF($O371&lt;&gt;"",IF(INDEX(TxnDepB,$O371)=0,"",INDEX(TxnDepB,$O371)),""))</f>
        <v/>
      </c>
      <c r="J371" s="19">
        <f>IF($N371&lt;&gt;"",IF(INDEX(PCOp,$N371)="مرجوعی خرید",IF(INDEX(PCAmount,$N371)=0,"",-INDEX(PCAmount,$N371)),""),IF($O371&lt;&gt;"",IF(INDEX(TxnWitB,$O371)=0,"",INDEX(TxnWitB,$O371)),""))</f>
        <v/>
      </c>
      <c r="K371" s="21">
        <f>IF($B371="","",IF($K370="",$C$10,$K370)+IF($I371="",0,$I371)-IF($J371="",0,$J371))</f>
        <v/>
      </c>
      <c r="L371" s="22">
        <f>IF($N371&lt;&gt;"",IF(INDEX(PCNotes,$N371)="","—",INDEX(PCNotes,$N371)),IF($O371&lt;&gt;"",IF(INDEX(LdgNoteB,$O371)="","—",INDEX(LdgNoteB,$O371)),""))</f>
        <v/>
      </c>
      <c r="N371">
        <f>IFERROR(MATCH($C$5&amp;"|"&amp;RIGHT("000000"&amp;355,6),LdgRankKeyA,0),"")</f>
        <v/>
      </c>
      <c r="O371">
        <f>IFERROR(MATCH($C$5&amp;"|"&amp;RIGHT("000000"&amp;355,6),LdgRankKeyB,0),"")</f>
        <v/>
      </c>
    </row>
    <row r="372">
      <c r="A372" s="23" t="n">
        <v>356</v>
      </c>
      <c r="B372" s="24">
        <f>IF(AND($N372="",$O372=""),"",IF($N372&lt;&gt;"",INDEX(PCNormDate,$N372),INDEX(LdgDateB,$O372)))</f>
        <v/>
      </c>
      <c r="C372" s="24">
        <f>IF($N372&lt;&gt;"",INDEX(PCOp,$N372),IF($O372&lt;&gt;"",IF(N(INDEX(TxnDepB,$O372))&gt;0,"دریافت بانکی","پرداخت بانکی"),""))</f>
        <v/>
      </c>
      <c r="D372" s="24">
        <f>IF($N372&lt;&gt;"",IF(INDEX(PCDoc,$N372)="","—",INDEX(PCDoc,$N372)),IF($O372&lt;&gt;"",INDEX(LdgBankB,$O372),""))</f>
        <v/>
      </c>
      <c r="E372" s="24">
        <f>IF($N372&lt;&gt;"",IF(INDEX(PCCitrus,$N372)="","—",INDEX(PCCitrus,$N372)),"")</f>
        <v/>
      </c>
      <c r="F372" s="25">
        <f>IF($N372&lt;&gt;"",IF(INDEX(PCScale,$N372)=0,"",INDEX(PCScale,$N372)),"")</f>
        <v/>
      </c>
      <c r="G372" s="25">
        <f>IF($N372&lt;&gt;"",IF(INDEX(PCBaskets,$N372)=0,"",INDEX(PCBaskets,$N372)),"")</f>
        <v/>
      </c>
      <c r="H372" s="26">
        <f>IF($N372&lt;&gt;"",IF(INDEX(PCNet,$N372)=0,"",INDEX(PCNet,$N372)),"")</f>
        <v/>
      </c>
      <c r="I372" s="25">
        <f>IF($N372&lt;&gt;"",IF(INDEX(PCOp,$N372)="مرجوعی خرید","",IF(INDEX(PCAmount,$N372)&lt;=0,"",INDEX(PCAmount,$N372))),IF($O372&lt;&gt;"",IF(INDEX(TxnDepB,$O372)=0,"",INDEX(TxnDepB,$O372)),""))</f>
        <v/>
      </c>
      <c r="J372" s="25">
        <f>IF($N372&lt;&gt;"",IF(INDEX(PCOp,$N372)="مرجوعی خرید",IF(INDEX(PCAmount,$N372)=0,"",-INDEX(PCAmount,$N372)),""),IF($O372&lt;&gt;"",IF(INDEX(TxnWitB,$O372)=0,"",INDEX(TxnWitB,$O372)),""))</f>
        <v/>
      </c>
      <c r="K372" s="27">
        <f>IF($B372="","",IF($K371="",$C$10,$K371)+IF($I372="",0,$I372)-IF($J372="",0,$J372))</f>
        <v/>
      </c>
      <c r="L372" s="28">
        <f>IF($N372&lt;&gt;"",IF(INDEX(PCNotes,$N372)="","—",INDEX(PCNotes,$N372)),IF($O372&lt;&gt;"",IF(INDEX(LdgNoteB,$O372)="","—",INDEX(LdgNoteB,$O372)),""))</f>
        <v/>
      </c>
      <c r="N372">
        <f>IFERROR(MATCH($C$5&amp;"|"&amp;RIGHT("000000"&amp;356,6),LdgRankKeyA,0),"")</f>
        <v/>
      </c>
      <c r="O372">
        <f>IFERROR(MATCH($C$5&amp;"|"&amp;RIGHT("000000"&amp;356,6),LdgRankKeyB,0),"")</f>
        <v/>
      </c>
    </row>
    <row r="373">
      <c r="A373" s="17" t="n">
        <v>357</v>
      </c>
      <c r="B373" s="18">
        <f>IF(AND($N373="",$O373=""),"",IF($N373&lt;&gt;"",INDEX(PCNormDate,$N373),INDEX(LdgDateB,$O373)))</f>
        <v/>
      </c>
      <c r="C373" s="18">
        <f>IF($N373&lt;&gt;"",INDEX(PCOp,$N373),IF($O373&lt;&gt;"",IF(N(INDEX(TxnDepB,$O373))&gt;0,"دریافت بانکی","پرداخت بانکی"),""))</f>
        <v/>
      </c>
      <c r="D373" s="18">
        <f>IF($N373&lt;&gt;"",IF(INDEX(PCDoc,$N373)="","—",INDEX(PCDoc,$N373)),IF($O373&lt;&gt;"",INDEX(LdgBankB,$O373),""))</f>
        <v/>
      </c>
      <c r="E373" s="18">
        <f>IF($N373&lt;&gt;"",IF(INDEX(PCCitrus,$N373)="","—",INDEX(PCCitrus,$N373)),"")</f>
        <v/>
      </c>
      <c r="F373" s="19">
        <f>IF($N373&lt;&gt;"",IF(INDEX(PCScale,$N373)=0,"",INDEX(PCScale,$N373)),"")</f>
        <v/>
      </c>
      <c r="G373" s="19">
        <f>IF($N373&lt;&gt;"",IF(INDEX(PCBaskets,$N373)=0,"",INDEX(PCBaskets,$N373)),"")</f>
        <v/>
      </c>
      <c r="H373" s="20">
        <f>IF($N373&lt;&gt;"",IF(INDEX(PCNet,$N373)=0,"",INDEX(PCNet,$N373)),"")</f>
        <v/>
      </c>
      <c r="I373" s="19">
        <f>IF($N373&lt;&gt;"",IF(INDEX(PCOp,$N373)="مرجوعی خرید","",IF(INDEX(PCAmount,$N373)&lt;=0,"",INDEX(PCAmount,$N373))),IF($O373&lt;&gt;"",IF(INDEX(TxnDepB,$O373)=0,"",INDEX(TxnDepB,$O373)),""))</f>
        <v/>
      </c>
      <c r="J373" s="19">
        <f>IF($N373&lt;&gt;"",IF(INDEX(PCOp,$N373)="مرجوعی خرید",IF(INDEX(PCAmount,$N373)=0,"",-INDEX(PCAmount,$N373)),""),IF($O373&lt;&gt;"",IF(INDEX(TxnWitB,$O373)=0,"",INDEX(TxnWitB,$O373)),""))</f>
        <v/>
      </c>
      <c r="K373" s="21">
        <f>IF($B373="","",IF($K372="",$C$10,$K372)+IF($I373="",0,$I373)-IF($J373="",0,$J373))</f>
        <v/>
      </c>
      <c r="L373" s="22">
        <f>IF($N373&lt;&gt;"",IF(INDEX(PCNotes,$N373)="","—",INDEX(PCNotes,$N373)),IF($O373&lt;&gt;"",IF(INDEX(LdgNoteB,$O373)="","—",INDEX(LdgNoteB,$O373)),""))</f>
        <v/>
      </c>
      <c r="N373">
        <f>IFERROR(MATCH($C$5&amp;"|"&amp;RIGHT("000000"&amp;357,6),LdgRankKeyA,0),"")</f>
        <v/>
      </c>
      <c r="O373">
        <f>IFERROR(MATCH($C$5&amp;"|"&amp;RIGHT("000000"&amp;357,6),LdgRankKeyB,0),"")</f>
        <v/>
      </c>
    </row>
    <row r="374">
      <c r="A374" s="23" t="n">
        <v>358</v>
      </c>
      <c r="B374" s="24">
        <f>IF(AND($N374="",$O374=""),"",IF($N374&lt;&gt;"",INDEX(PCNormDate,$N374),INDEX(LdgDateB,$O374)))</f>
        <v/>
      </c>
      <c r="C374" s="24">
        <f>IF($N374&lt;&gt;"",INDEX(PCOp,$N374),IF($O374&lt;&gt;"",IF(N(INDEX(TxnDepB,$O374))&gt;0,"دریافت بانکی","پرداخت بانکی"),""))</f>
        <v/>
      </c>
      <c r="D374" s="24">
        <f>IF($N374&lt;&gt;"",IF(INDEX(PCDoc,$N374)="","—",INDEX(PCDoc,$N374)),IF($O374&lt;&gt;"",INDEX(LdgBankB,$O374),""))</f>
        <v/>
      </c>
      <c r="E374" s="24">
        <f>IF($N374&lt;&gt;"",IF(INDEX(PCCitrus,$N374)="","—",INDEX(PCCitrus,$N374)),"")</f>
        <v/>
      </c>
      <c r="F374" s="25">
        <f>IF($N374&lt;&gt;"",IF(INDEX(PCScale,$N374)=0,"",INDEX(PCScale,$N374)),"")</f>
        <v/>
      </c>
      <c r="G374" s="25">
        <f>IF($N374&lt;&gt;"",IF(INDEX(PCBaskets,$N374)=0,"",INDEX(PCBaskets,$N374)),"")</f>
        <v/>
      </c>
      <c r="H374" s="26">
        <f>IF($N374&lt;&gt;"",IF(INDEX(PCNet,$N374)=0,"",INDEX(PCNet,$N374)),"")</f>
        <v/>
      </c>
      <c r="I374" s="25">
        <f>IF($N374&lt;&gt;"",IF(INDEX(PCOp,$N374)="مرجوعی خرید","",IF(INDEX(PCAmount,$N374)&lt;=0,"",INDEX(PCAmount,$N374))),IF($O374&lt;&gt;"",IF(INDEX(TxnDepB,$O374)=0,"",INDEX(TxnDepB,$O374)),""))</f>
        <v/>
      </c>
      <c r="J374" s="25">
        <f>IF($N374&lt;&gt;"",IF(INDEX(PCOp,$N374)="مرجوعی خرید",IF(INDEX(PCAmount,$N374)=0,"",-INDEX(PCAmount,$N374)),""),IF($O374&lt;&gt;"",IF(INDEX(TxnWitB,$O374)=0,"",INDEX(TxnWitB,$O374)),""))</f>
        <v/>
      </c>
      <c r="K374" s="27">
        <f>IF($B374="","",IF($K373="",$C$10,$K373)+IF($I374="",0,$I374)-IF($J374="",0,$J374))</f>
        <v/>
      </c>
      <c r="L374" s="28">
        <f>IF($N374&lt;&gt;"",IF(INDEX(PCNotes,$N374)="","—",INDEX(PCNotes,$N374)),IF($O374&lt;&gt;"",IF(INDEX(LdgNoteB,$O374)="","—",INDEX(LdgNoteB,$O374)),""))</f>
        <v/>
      </c>
      <c r="N374">
        <f>IFERROR(MATCH($C$5&amp;"|"&amp;RIGHT("000000"&amp;358,6),LdgRankKeyA,0),"")</f>
        <v/>
      </c>
      <c r="O374">
        <f>IFERROR(MATCH($C$5&amp;"|"&amp;RIGHT("000000"&amp;358,6),LdgRankKeyB,0),"")</f>
        <v/>
      </c>
    </row>
    <row r="375">
      <c r="A375" s="17" t="n">
        <v>359</v>
      </c>
      <c r="B375" s="18">
        <f>IF(AND($N375="",$O375=""),"",IF($N375&lt;&gt;"",INDEX(PCNormDate,$N375),INDEX(LdgDateB,$O375)))</f>
        <v/>
      </c>
      <c r="C375" s="18">
        <f>IF($N375&lt;&gt;"",INDEX(PCOp,$N375),IF($O375&lt;&gt;"",IF(N(INDEX(TxnDepB,$O375))&gt;0,"دریافت بانکی","پرداخت بانکی"),""))</f>
        <v/>
      </c>
      <c r="D375" s="18">
        <f>IF($N375&lt;&gt;"",IF(INDEX(PCDoc,$N375)="","—",INDEX(PCDoc,$N375)),IF($O375&lt;&gt;"",INDEX(LdgBankB,$O375),""))</f>
        <v/>
      </c>
      <c r="E375" s="18">
        <f>IF($N375&lt;&gt;"",IF(INDEX(PCCitrus,$N375)="","—",INDEX(PCCitrus,$N375)),"")</f>
        <v/>
      </c>
      <c r="F375" s="19">
        <f>IF($N375&lt;&gt;"",IF(INDEX(PCScale,$N375)=0,"",INDEX(PCScale,$N375)),"")</f>
        <v/>
      </c>
      <c r="G375" s="19">
        <f>IF($N375&lt;&gt;"",IF(INDEX(PCBaskets,$N375)=0,"",INDEX(PCBaskets,$N375)),"")</f>
        <v/>
      </c>
      <c r="H375" s="20">
        <f>IF($N375&lt;&gt;"",IF(INDEX(PCNet,$N375)=0,"",INDEX(PCNet,$N375)),"")</f>
        <v/>
      </c>
      <c r="I375" s="19">
        <f>IF($N375&lt;&gt;"",IF(INDEX(PCOp,$N375)="مرجوعی خرید","",IF(INDEX(PCAmount,$N375)&lt;=0,"",INDEX(PCAmount,$N375))),IF($O375&lt;&gt;"",IF(INDEX(TxnDepB,$O375)=0,"",INDEX(TxnDepB,$O375)),""))</f>
        <v/>
      </c>
      <c r="J375" s="19">
        <f>IF($N375&lt;&gt;"",IF(INDEX(PCOp,$N375)="مرجوعی خرید",IF(INDEX(PCAmount,$N375)=0,"",-INDEX(PCAmount,$N375)),""),IF($O375&lt;&gt;"",IF(INDEX(TxnWitB,$O375)=0,"",INDEX(TxnWitB,$O375)),""))</f>
        <v/>
      </c>
      <c r="K375" s="21">
        <f>IF($B375="","",IF($K374="",$C$10,$K374)+IF($I375="",0,$I375)-IF($J375="",0,$J375))</f>
        <v/>
      </c>
      <c r="L375" s="22">
        <f>IF($N375&lt;&gt;"",IF(INDEX(PCNotes,$N375)="","—",INDEX(PCNotes,$N375)),IF($O375&lt;&gt;"",IF(INDEX(LdgNoteB,$O375)="","—",INDEX(LdgNoteB,$O375)),""))</f>
        <v/>
      </c>
      <c r="N375">
        <f>IFERROR(MATCH($C$5&amp;"|"&amp;RIGHT("000000"&amp;359,6),LdgRankKeyA,0),"")</f>
        <v/>
      </c>
      <c r="O375">
        <f>IFERROR(MATCH($C$5&amp;"|"&amp;RIGHT("000000"&amp;359,6),LdgRankKeyB,0),"")</f>
        <v/>
      </c>
    </row>
    <row r="376">
      <c r="A376" s="23" t="n">
        <v>360</v>
      </c>
      <c r="B376" s="24">
        <f>IF(AND($N376="",$O376=""),"",IF($N376&lt;&gt;"",INDEX(PCNormDate,$N376),INDEX(LdgDateB,$O376)))</f>
        <v/>
      </c>
      <c r="C376" s="24">
        <f>IF($N376&lt;&gt;"",INDEX(PCOp,$N376),IF($O376&lt;&gt;"",IF(N(INDEX(TxnDepB,$O376))&gt;0,"دریافت بانکی","پرداخت بانکی"),""))</f>
        <v/>
      </c>
      <c r="D376" s="24">
        <f>IF($N376&lt;&gt;"",IF(INDEX(PCDoc,$N376)="","—",INDEX(PCDoc,$N376)),IF($O376&lt;&gt;"",INDEX(LdgBankB,$O376),""))</f>
        <v/>
      </c>
      <c r="E376" s="24">
        <f>IF($N376&lt;&gt;"",IF(INDEX(PCCitrus,$N376)="","—",INDEX(PCCitrus,$N376)),"")</f>
        <v/>
      </c>
      <c r="F376" s="25">
        <f>IF($N376&lt;&gt;"",IF(INDEX(PCScale,$N376)=0,"",INDEX(PCScale,$N376)),"")</f>
        <v/>
      </c>
      <c r="G376" s="25">
        <f>IF($N376&lt;&gt;"",IF(INDEX(PCBaskets,$N376)=0,"",INDEX(PCBaskets,$N376)),"")</f>
        <v/>
      </c>
      <c r="H376" s="26">
        <f>IF($N376&lt;&gt;"",IF(INDEX(PCNet,$N376)=0,"",INDEX(PCNet,$N376)),"")</f>
        <v/>
      </c>
      <c r="I376" s="25">
        <f>IF($N376&lt;&gt;"",IF(INDEX(PCOp,$N376)="مرجوعی خرید","",IF(INDEX(PCAmount,$N376)&lt;=0,"",INDEX(PCAmount,$N376))),IF($O376&lt;&gt;"",IF(INDEX(TxnDepB,$O376)=0,"",INDEX(TxnDepB,$O376)),""))</f>
        <v/>
      </c>
      <c r="J376" s="25">
        <f>IF($N376&lt;&gt;"",IF(INDEX(PCOp,$N376)="مرجوعی خرید",IF(INDEX(PCAmount,$N376)=0,"",-INDEX(PCAmount,$N376)),""),IF($O376&lt;&gt;"",IF(INDEX(TxnWitB,$O376)=0,"",INDEX(TxnWitB,$O376)),""))</f>
        <v/>
      </c>
      <c r="K376" s="27">
        <f>IF($B376="","",IF($K375="",$C$10,$K375)+IF($I376="",0,$I376)-IF($J376="",0,$J376))</f>
        <v/>
      </c>
      <c r="L376" s="28">
        <f>IF($N376&lt;&gt;"",IF(INDEX(PCNotes,$N376)="","—",INDEX(PCNotes,$N376)),IF($O376&lt;&gt;"",IF(INDEX(LdgNoteB,$O376)="","—",INDEX(LdgNoteB,$O376)),""))</f>
        <v/>
      </c>
      <c r="N376">
        <f>IFERROR(MATCH($C$5&amp;"|"&amp;RIGHT("000000"&amp;360,6),LdgRankKeyA,0),"")</f>
        <v/>
      </c>
      <c r="O376">
        <f>IFERROR(MATCH($C$5&amp;"|"&amp;RIGHT("000000"&amp;360,6),LdgRankKeyB,0),"")</f>
        <v/>
      </c>
    </row>
    <row r="377">
      <c r="A377" s="17" t="n">
        <v>361</v>
      </c>
      <c r="B377" s="18">
        <f>IF(AND($N377="",$O377=""),"",IF($N377&lt;&gt;"",INDEX(PCNormDate,$N377),INDEX(LdgDateB,$O377)))</f>
        <v/>
      </c>
      <c r="C377" s="18">
        <f>IF($N377&lt;&gt;"",INDEX(PCOp,$N377),IF($O377&lt;&gt;"",IF(N(INDEX(TxnDepB,$O377))&gt;0,"دریافت بانکی","پرداخت بانکی"),""))</f>
        <v/>
      </c>
      <c r="D377" s="18">
        <f>IF($N377&lt;&gt;"",IF(INDEX(PCDoc,$N377)="","—",INDEX(PCDoc,$N377)),IF($O377&lt;&gt;"",INDEX(LdgBankB,$O377),""))</f>
        <v/>
      </c>
      <c r="E377" s="18">
        <f>IF($N377&lt;&gt;"",IF(INDEX(PCCitrus,$N377)="","—",INDEX(PCCitrus,$N377)),"")</f>
        <v/>
      </c>
      <c r="F377" s="19">
        <f>IF($N377&lt;&gt;"",IF(INDEX(PCScale,$N377)=0,"",INDEX(PCScale,$N377)),"")</f>
        <v/>
      </c>
      <c r="G377" s="19">
        <f>IF($N377&lt;&gt;"",IF(INDEX(PCBaskets,$N377)=0,"",INDEX(PCBaskets,$N377)),"")</f>
        <v/>
      </c>
      <c r="H377" s="20">
        <f>IF($N377&lt;&gt;"",IF(INDEX(PCNet,$N377)=0,"",INDEX(PCNet,$N377)),"")</f>
        <v/>
      </c>
      <c r="I377" s="19">
        <f>IF($N377&lt;&gt;"",IF(INDEX(PCOp,$N377)="مرجوعی خرید","",IF(INDEX(PCAmount,$N377)&lt;=0,"",INDEX(PCAmount,$N377))),IF($O377&lt;&gt;"",IF(INDEX(TxnDepB,$O377)=0,"",INDEX(TxnDepB,$O377)),""))</f>
        <v/>
      </c>
      <c r="J377" s="19">
        <f>IF($N377&lt;&gt;"",IF(INDEX(PCOp,$N377)="مرجوعی خرید",IF(INDEX(PCAmount,$N377)=0,"",-INDEX(PCAmount,$N377)),""),IF($O377&lt;&gt;"",IF(INDEX(TxnWitB,$O377)=0,"",INDEX(TxnWitB,$O377)),""))</f>
        <v/>
      </c>
      <c r="K377" s="21">
        <f>IF($B377="","",IF($K376="",$C$10,$K376)+IF($I377="",0,$I377)-IF($J377="",0,$J377))</f>
        <v/>
      </c>
      <c r="L377" s="22">
        <f>IF($N377&lt;&gt;"",IF(INDEX(PCNotes,$N377)="","—",INDEX(PCNotes,$N377)),IF($O377&lt;&gt;"",IF(INDEX(LdgNoteB,$O377)="","—",INDEX(LdgNoteB,$O377)),""))</f>
        <v/>
      </c>
      <c r="N377">
        <f>IFERROR(MATCH($C$5&amp;"|"&amp;RIGHT("000000"&amp;361,6),LdgRankKeyA,0),"")</f>
        <v/>
      </c>
      <c r="O377">
        <f>IFERROR(MATCH($C$5&amp;"|"&amp;RIGHT("000000"&amp;361,6),LdgRankKeyB,0),"")</f>
        <v/>
      </c>
    </row>
    <row r="378">
      <c r="A378" s="23" t="n">
        <v>362</v>
      </c>
      <c r="B378" s="24">
        <f>IF(AND($N378="",$O378=""),"",IF($N378&lt;&gt;"",INDEX(PCNormDate,$N378),INDEX(LdgDateB,$O378)))</f>
        <v/>
      </c>
      <c r="C378" s="24">
        <f>IF($N378&lt;&gt;"",INDEX(PCOp,$N378),IF($O378&lt;&gt;"",IF(N(INDEX(TxnDepB,$O378))&gt;0,"دریافت بانکی","پرداخت بانکی"),""))</f>
        <v/>
      </c>
      <c r="D378" s="24">
        <f>IF($N378&lt;&gt;"",IF(INDEX(PCDoc,$N378)="","—",INDEX(PCDoc,$N378)),IF($O378&lt;&gt;"",INDEX(LdgBankB,$O378),""))</f>
        <v/>
      </c>
      <c r="E378" s="24">
        <f>IF($N378&lt;&gt;"",IF(INDEX(PCCitrus,$N378)="","—",INDEX(PCCitrus,$N378)),"")</f>
        <v/>
      </c>
      <c r="F378" s="25">
        <f>IF($N378&lt;&gt;"",IF(INDEX(PCScale,$N378)=0,"",INDEX(PCScale,$N378)),"")</f>
        <v/>
      </c>
      <c r="G378" s="25">
        <f>IF($N378&lt;&gt;"",IF(INDEX(PCBaskets,$N378)=0,"",INDEX(PCBaskets,$N378)),"")</f>
        <v/>
      </c>
      <c r="H378" s="26">
        <f>IF($N378&lt;&gt;"",IF(INDEX(PCNet,$N378)=0,"",INDEX(PCNet,$N378)),"")</f>
        <v/>
      </c>
      <c r="I378" s="25">
        <f>IF($N378&lt;&gt;"",IF(INDEX(PCOp,$N378)="مرجوعی خرید","",IF(INDEX(PCAmount,$N378)&lt;=0,"",INDEX(PCAmount,$N378))),IF($O378&lt;&gt;"",IF(INDEX(TxnDepB,$O378)=0,"",INDEX(TxnDepB,$O378)),""))</f>
        <v/>
      </c>
      <c r="J378" s="25">
        <f>IF($N378&lt;&gt;"",IF(INDEX(PCOp,$N378)="مرجوعی خرید",IF(INDEX(PCAmount,$N378)=0,"",-INDEX(PCAmount,$N378)),""),IF($O378&lt;&gt;"",IF(INDEX(TxnWitB,$O378)=0,"",INDEX(TxnWitB,$O378)),""))</f>
        <v/>
      </c>
      <c r="K378" s="27">
        <f>IF($B378="","",IF($K377="",$C$10,$K377)+IF($I378="",0,$I378)-IF($J378="",0,$J378))</f>
        <v/>
      </c>
      <c r="L378" s="28">
        <f>IF($N378&lt;&gt;"",IF(INDEX(PCNotes,$N378)="","—",INDEX(PCNotes,$N378)),IF($O378&lt;&gt;"",IF(INDEX(LdgNoteB,$O378)="","—",INDEX(LdgNoteB,$O378)),""))</f>
        <v/>
      </c>
      <c r="N378">
        <f>IFERROR(MATCH($C$5&amp;"|"&amp;RIGHT("000000"&amp;362,6),LdgRankKeyA,0),"")</f>
        <v/>
      </c>
      <c r="O378">
        <f>IFERROR(MATCH($C$5&amp;"|"&amp;RIGHT("000000"&amp;362,6),LdgRankKeyB,0),"")</f>
        <v/>
      </c>
    </row>
    <row r="379">
      <c r="A379" s="17" t="n">
        <v>363</v>
      </c>
      <c r="B379" s="18">
        <f>IF(AND($N379="",$O379=""),"",IF($N379&lt;&gt;"",INDEX(PCNormDate,$N379),INDEX(LdgDateB,$O379)))</f>
        <v/>
      </c>
      <c r="C379" s="18">
        <f>IF($N379&lt;&gt;"",INDEX(PCOp,$N379),IF($O379&lt;&gt;"",IF(N(INDEX(TxnDepB,$O379))&gt;0,"دریافت بانکی","پرداخت بانکی"),""))</f>
        <v/>
      </c>
      <c r="D379" s="18">
        <f>IF($N379&lt;&gt;"",IF(INDEX(PCDoc,$N379)="","—",INDEX(PCDoc,$N379)),IF($O379&lt;&gt;"",INDEX(LdgBankB,$O379),""))</f>
        <v/>
      </c>
      <c r="E379" s="18">
        <f>IF($N379&lt;&gt;"",IF(INDEX(PCCitrus,$N379)="","—",INDEX(PCCitrus,$N379)),"")</f>
        <v/>
      </c>
      <c r="F379" s="19">
        <f>IF($N379&lt;&gt;"",IF(INDEX(PCScale,$N379)=0,"",INDEX(PCScale,$N379)),"")</f>
        <v/>
      </c>
      <c r="G379" s="19">
        <f>IF($N379&lt;&gt;"",IF(INDEX(PCBaskets,$N379)=0,"",INDEX(PCBaskets,$N379)),"")</f>
        <v/>
      </c>
      <c r="H379" s="20">
        <f>IF($N379&lt;&gt;"",IF(INDEX(PCNet,$N379)=0,"",INDEX(PCNet,$N379)),"")</f>
        <v/>
      </c>
      <c r="I379" s="19">
        <f>IF($N379&lt;&gt;"",IF(INDEX(PCOp,$N379)="مرجوعی خرید","",IF(INDEX(PCAmount,$N379)&lt;=0,"",INDEX(PCAmount,$N379))),IF($O379&lt;&gt;"",IF(INDEX(TxnDepB,$O379)=0,"",INDEX(TxnDepB,$O379)),""))</f>
        <v/>
      </c>
      <c r="J379" s="19">
        <f>IF($N379&lt;&gt;"",IF(INDEX(PCOp,$N379)="مرجوعی خرید",IF(INDEX(PCAmount,$N379)=0,"",-INDEX(PCAmount,$N379)),""),IF($O379&lt;&gt;"",IF(INDEX(TxnWitB,$O379)=0,"",INDEX(TxnWitB,$O379)),""))</f>
        <v/>
      </c>
      <c r="K379" s="21">
        <f>IF($B379="","",IF($K378="",$C$10,$K378)+IF($I379="",0,$I379)-IF($J379="",0,$J379))</f>
        <v/>
      </c>
      <c r="L379" s="22">
        <f>IF($N379&lt;&gt;"",IF(INDEX(PCNotes,$N379)="","—",INDEX(PCNotes,$N379)),IF($O379&lt;&gt;"",IF(INDEX(LdgNoteB,$O379)="","—",INDEX(LdgNoteB,$O379)),""))</f>
        <v/>
      </c>
      <c r="N379">
        <f>IFERROR(MATCH($C$5&amp;"|"&amp;RIGHT("000000"&amp;363,6),LdgRankKeyA,0),"")</f>
        <v/>
      </c>
      <c r="O379">
        <f>IFERROR(MATCH($C$5&amp;"|"&amp;RIGHT("000000"&amp;363,6),LdgRankKeyB,0),"")</f>
        <v/>
      </c>
    </row>
    <row r="380">
      <c r="A380" s="23" t="n">
        <v>364</v>
      </c>
      <c r="B380" s="24">
        <f>IF(AND($N380="",$O380=""),"",IF($N380&lt;&gt;"",INDEX(PCNormDate,$N380),INDEX(LdgDateB,$O380)))</f>
        <v/>
      </c>
      <c r="C380" s="24">
        <f>IF($N380&lt;&gt;"",INDEX(PCOp,$N380),IF($O380&lt;&gt;"",IF(N(INDEX(TxnDepB,$O380))&gt;0,"دریافت بانکی","پرداخت بانکی"),""))</f>
        <v/>
      </c>
      <c r="D380" s="24">
        <f>IF($N380&lt;&gt;"",IF(INDEX(PCDoc,$N380)="","—",INDEX(PCDoc,$N380)),IF($O380&lt;&gt;"",INDEX(LdgBankB,$O380),""))</f>
        <v/>
      </c>
      <c r="E380" s="24">
        <f>IF($N380&lt;&gt;"",IF(INDEX(PCCitrus,$N380)="","—",INDEX(PCCitrus,$N380)),"")</f>
        <v/>
      </c>
      <c r="F380" s="25">
        <f>IF($N380&lt;&gt;"",IF(INDEX(PCScale,$N380)=0,"",INDEX(PCScale,$N380)),"")</f>
        <v/>
      </c>
      <c r="G380" s="25">
        <f>IF($N380&lt;&gt;"",IF(INDEX(PCBaskets,$N380)=0,"",INDEX(PCBaskets,$N380)),"")</f>
        <v/>
      </c>
      <c r="H380" s="26">
        <f>IF($N380&lt;&gt;"",IF(INDEX(PCNet,$N380)=0,"",INDEX(PCNet,$N380)),"")</f>
        <v/>
      </c>
      <c r="I380" s="25">
        <f>IF($N380&lt;&gt;"",IF(INDEX(PCOp,$N380)="مرجوعی خرید","",IF(INDEX(PCAmount,$N380)&lt;=0,"",INDEX(PCAmount,$N380))),IF($O380&lt;&gt;"",IF(INDEX(TxnDepB,$O380)=0,"",INDEX(TxnDepB,$O380)),""))</f>
        <v/>
      </c>
      <c r="J380" s="25">
        <f>IF($N380&lt;&gt;"",IF(INDEX(PCOp,$N380)="مرجوعی خرید",IF(INDEX(PCAmount,$N380)=0,"",-INDEX(PCAmount,$N380)),""),IF($O380&lt;&gt;"",IF(INDEX(TxnWitB,$O380)=0,"",INDEX(TxnWitB,$O380)),""))</f>
        <v/>
      </c>
      <c r="K380" s="27">
        <f>IF($B380="","",IF($K379="",$C$10,$K379)+IF($I380="",0,$I380)-IF($J380="",0,$J380))</f>
        <v/>
      </c>
      <c r="L380" s="28">
        <f>IF($N380&lt;&gt;"",IF(INDEX(PCNotes,$N380)="","—",INDEX(PCNotes,$N380)),IF($O380&lt;&gt;"",IF(INDEX(LdgNoteB,$O380)="","—",INDEX(LdgNoteB,$O380)),""))</f>
        <v/>
      </c>
      <c r="N380">
        <f>IFERROR(MATCH($C$5&amp;"|"&amp;RIGHT("000000"&amp;364,6),LdgRankKeyA,0),"")</f>
        <v/>
      </c>
      <c r="O380">
        <f>IFERROR(MATCH($C$5&amp;"|"&amp;RIGHT("000000"&amp;364,6),LdgRankKeyB,0),"")</f>
        <v/>
      </c>
    </row>
    <row r="381">
      <c r="A381" s="17" t="n">
        <v>365</v>
      </c>
      <c r="B381" s="18">
        <f>IF(AND($N381="",$O381=""),"",IF($N381&lt;&gt;"",INDEX(PCNormDate,$N381),INDEX(LdgDateB,$O381)))</f>
        <v/>
      </c>
      <c r="C381" s="18">
        <f>IF($N381&lt;&gt;"",INDEX(PCOp,$N381),IF($O381&lt;&gt;"",IF(N(INDEX(TxnDepB,$O381))&gt;0,"دریافت بانکی","پرداخت بانکی"),""))</f>
        <v/>
      </c>
      <c r="D381" s="18">
        <f>IF($N381&lt;&gt;"",IF(INDEX(PCDoc,$N381)="","—",INDEX(PCDoc,$N381)),IF($O381&lt;&gt;"",INDEX(LdgBankB,$O381),""))</f>
        <v/>
      </c>
      <c r="E381" s="18">
        <f>IF($N381&lt;&gt;"",IF(INDEX(PCCitrus,$N381)="","—",INDEX(PCCitrus,$N381)),"")</f>
        <v/>
      </c>
      <c r="F381" s="19">
        <f>IF($N381&lt;&gt;"",IF(INDEX(PCScale,$N381)=0,"",INDEX(PCScale,$N381)),"")</f>
        <v/>
      </c>
      <c r="G381" s="19">
        <f>IF($N381&lt;&gt;"",IF(INDEX(PCBaskets,$N381)=0,"",INDEX(PCBaskets,$N381)),"")</f>
        <v/>
      </c>
      <c r="H381" s="20">
        <f>IF($N381&lt;&gt;"",IF(INDEX(PCNet,$N381)=0,"",INDEX(PCNet,$N381)),"")</f>
        <v/>
      </c>
      <c r="I381" s="19">
        <f>IF($N381&lt;&gt;"",IF(INDEX(PCOp,$N381)="مرجوعی خرید","",IF(INDEX(PCAmount,$N381)&lt;=0,"",INDEX(PCAmount,$N381))),IF($O381&lt;&gt;"",IF(INDEX(TxnDepB,$O381)=0,"",INDEX(TxnDepB,$O381)),""))</f>
        <v/>
      </c>
      <c r="J381" s="19">
        <f>IF($N381&lt;&gt;"",IF(INDEX(PCOp,$N381)="مرجوعی خرید",IF(INDEX(PCAmount,$N381)=0,"",-INDEX(PCAmount,$N381)),""),IF($O381&lt;&gt;"",IF(INDEX(TxnWitB,$O381)=0,"",INDEX(TxnWitB,$O381)),""))</f>
        <v/>
      </c>
      <c r="K381" s="21">
        <f>IF($B381="","",IF($K380="",$C$10,$K380)+IF($I381="",0,$I381)-IF($J381="",0,$J381))</f>
        <v/>
      </c>
      <c r="L381" s="22">
        <f>IF($N381&lt;&gt;"",IF(INDEX(PCNotes,$N381)="","—",INDEX(PCNotes,$N381)),IF($O381&lt;&gt;"",IF(INDEX(LdgNoteB,$O381)="","—",INDEX(LdgNoteB,$O381)),""))</f>
        <v/>
      </c>
      <c r="N381">
        <f>IFERROR(MATCH($C$5&amp;"|"&amp;RIGHT("000000"&amp;365,6),LdgRankKeyA,0),"")</f>
        <v/>
      </c>
      <c r="O381">
        <f>IFERROR(MATCH($C$5&amp;"|"&amp;RIGHT("000000"&amp;365,6),LdgRankKeyB,0),"")</f>
        <v/>
      </c>
    </row>
    <row r="382">
      <c r="A382" s="23" t="n">
        <v>366</v>
      </c>
      <c r="B382" s="24">
        <f>IF(AND($N382="",$O382=""),"",IF($N382&lt;&gt;"",INDEX(PCNormDate,$N382),INDEX(LdgDateB,$O382)))</f>
        <v/>
      </c>
      <c r="C382" s="24">
        <f>IF($N382&lt;&gt;"",INDEX(PCOp,$N382),IF($O382&lt;&gt;"",IF(N(INDEX(TxnDepB,$O382))&gt;0,"دریافت بانکی","پرداخت بانکی"),""))</f>
        <v/>
      </c>
      <c r="D382" s="24">
        <f>IF($N382&lt;&gt;"",IF(INDEX(PCDoc,$N382)="","—",INDEX(PCDoc,$N382)),IF($O382&lt;&gt;"",INDEX(LdgBankB,$O382),""))</f>
        <v/>
      </c>
      <c r="E382" s="24">
        <f>IF($N382&lt;&gt;"",IF(INDEX(PCCitrus,$N382)="","—",INDEX(PCCitrus,$N382)),"")</f>
        <v/>
      </c>
      <c r="F382" s="25">
        <f>IF($N382&lt;&gt;"",IF(INDEX(PCScale,$N382)=0,"",INDEX(PCScale,$N382)),"")</f>
        <v/>
      </c>
      <c r="G382" s="25">
        <f>IF($N382&lt;&gt;"",IF(INDEX(PCBaskets,$N382)=0,"",INDEX(PCBaskets,$N382)),"")</f>
        <v/>
      </c>
      <c r="H382" s="26">
        <f>IF($N382&lt;&gt;"",IF(INDEX(PCNet,$N382)=0,"",INDEX(PCNet,$N382)),"")</f>
        <v/>
      </c>
      <c r="I382" s="25">
        <f>IF($N382&lt;&gt;"",IF(INDEX(PCOp,$N382)="مرجوعی خرید","",IF(INDEX(PCAmount,$N382)&lt;=0,"",INDEX(PCAmount,$N382))),IF($O382&lt;&gt;"",IF(INDEX(TxnDepB,$O382)=0,"",INDEX(TxnDepB,$O382)),""))</f>
        <v/>
      </c>
      <c r="J382" s="25">
        <f>IF($N382&lt;&gt;"",IF(INDEX(PCOp,$N382)="مرجوعی خرید",IF(INDEX(PCAmount,$N382)=0,"",-INDEX(PCAmount,$N382)),""),IF($O382&lt;&gt;"",IF(INDEX(TxnWitB,$O382)=0,"",INDEX(TxnWitB,$O382)),""))</f>
        <v/>
      </c>
      <c r="K382" s="27">
        <f>IF($B382="","",IF($K381="",$C$10,$K381)+IF($I382="",0,$I382)-IF($J382="",0,$J382))</f>
        <v/>
      </c>
      <c r="L382" s="28">
        <f>IF($N382&lt;&gt;"",IF(INDEX(PCNotes,$N382)="","—",INDEX(PCNotes,$N382)),IF($O382&lt;&gt;"",IF(INDEX(LdgNoteB,$O382)="","—",INDEX(LdgNoteB,$O382)),""))</f>
        <v/>
      </c>
      <c r="N382">
        <f>IFERROR(MATCH($C$5&amp;"|"&amp;RIGHT("000000"&amp;366,6),LdgRankKeyA,0),"")</f>
        <v/>
      </c>
      <c r="O382">
        <f>IFERROR(MATCH($C$5&amp;"|"&amp;RIGHT("000000"&amp;366,6),LdgRankKeyB,0),"")</f>
        <v/>
      </c>
    </row>
    <row r="383">
      <c r="A383" s="17" t="n">
        <v>367</v>
      </c>
      <c r="B383" s="18">
        <f>IF(AND($N383="",$O383=""),"",IF($N383&lt;&gt;"",INDEX(PCNormDate,$N383),INDEX(LdgDateB,$O383)))</f>
        <v/>
      </c>
      <c r="C383" s="18">
        <f>IF($N383&lt;&gt;"",INDEX(PCOp,$N383),IF($O383&lt;&gt;"",IF(N(INDEX(TxnDepB,$O383))&gt;0,"دریافت بانکی","پرداخت بانکی"),""))</f>
        <v/>
      </c>
      <c r="D383" s="18">
        <f>IF($N383&lt;&gt;"",IF(INDEX(PCDoc,$N383)="","—",INDEX(PCDoc,$N383)),IF($O383&lt;&gt;"",INDEX(LdgBankB,$O383),""))</f>
        <v/>
      </c>
      <c r="E383" s="18">
        <f>IF($N383&lt;&gt;"",IF(INDEX(PCCitrus,$N383)="","—",INDEX(PCCitrus,$N383)),"")</f>
        <v/>
      </c>
      <c r="F383" s="19">
        <f>IF($N383&lt;&gt;"",IF(INDEX(PCScale,$N383)=0,"",INDEX(PCScale,$N383)),"")</f>
        <v/>
      </c>
      <c r="G383" s="19">
        <f>IF($N383&lt;&gt;"",IF(INDEX(PCBaskets,$N383)=0,"",INDEX(PCBaskets,$N383)),"")</f>
        <v/>
      </c>
      <c r="H383" s="20">
        <f>IF($N383&lt;&gt;"",IF(INDEX(PCNet,$N383)=0,"",INDEX(PCNet,$N383)),"")</f>
        <v/>
      </c>
      <c r="I383" s="19">
        <f>IF($N383&lt;&gt;"",IF(INDEX(PCOp,$N383)="مرجوعی خرید","",IF(INDEX(PCAmount,$N383)&lt;=0,"",INDEX(PCAmount,$N383))),IF($O383&lt;&gt;"",IF(INDEX(TxnDepB,$O383)=0,"",INDEX(TxnDepB,$O383)),""))</f>
        <v/>
      </c>
      <c r="J383" s="19">
        <f>IF($N383&lt;&gt;"",IF(INDEX(PCOp,$N383)="مرجوعی خرید",IF(INDEX(PCAmount,$N383)=0,"",-INDEX(PCAmount,$N383)),""),IF($O383&lt;&gt;"",IF(INDEX(TxnWitB,$O383)=0,"",INDEX(TxnWitB,$O383)),""))</f>
        <v/>
      </c>
      <c r="K383" s="21">
        <f>IF($B383="","",IF($K382="",$C$10,$K382)+IF($I383="",0,$I383)-IF($J383="",0,$J383))</f>
        <v/>
      </c>
      <c r="L383" s="22">
        <f>IF($N383&lt;&gt;"",IF(INDEX(PCNotes,$N383)="","—",INDEX(PCNotes,$N383)),IF($O383&lt;&gt;"",IF(INDEX(LdgNoteB,$O383)="","—",INDEX(LdgNoteB,$O383)),""))</f>
        <v/>
      </c>
      <c r="N383">
        <f>IFERROR(MATCH($C$5&amp;"|"&amp;RIGHT("000000"&amp;367,6),LdgRankKeyA,0),"")</f>
        <v/>
      </c>
      <c r="O383">
        <f>IFERROR(MATCH($C$5&amp;"|"&amp;RIGHT("000000"&amp;367,6),LdgRankKeyB,0),"")</f>
        <v/>
      </c>
    </row>
    <row r="384">
      <c r="A384" s="23" t="n">
        <v>368</v>
      </c>
      <c r="B384" s="24">
        <f>IF(AND($N384="",$O384=""),"",IF($N384&lt;&gt;"",INDEX(PCNormDate,$N384),INDEX(LdgDateB,$O384)))</f>
        <v/>
      </c>
      <c r="C384" s="24">
        <f>IF($N384&lt;&gt;"",INDEX(PCOp,$N384),IF($O384&lt;&gt;"",IF(N(INDEX(TxnDepB,$O384))&gt;0,"دریافت بانکی","پرداخت بانکی"),""))</f>
        <v/>
      </c>
      <c r="D384" s="24">
        <f>IF($N384&lt;&gt;"",IF(INDEX(PCDoc,$N384)="","—",INDEX(PCDoc,$N384)),IF($O384&lt;&gt;"",INDEX(LdgBankB,$O384),""))</f>
        <v/>
      </c>
      <c r="E384" s="24">
        <f>IF($N384&lt;&gt;"",IF(INDEX(PCCitrus,$N384)="","—",INDEX(PCCitrus,$N384)),"")</f>
        <v/>
      </c>
      <c r="F384" s="25">
        <f>IF($N384&lt;&gt;"",IF(INDEX(PCScale,$N384)=0,"",INDEX(PCScale,$N384)),"")</f>
        <v/>
      </c>
      <c r="G384" s="25">
        <f>IF($N384&lt;&gt;"",IF(INDEX(PCBaskets,$N384)=0,"",INDEX(PCBaskets,$N384)),"")</f>
        <v/>
      </c>
      <c r="H384" s="26">
        <f>IF($N384&lt;&gt;"",IF(INDEX(PCNet,$N384)=0,"",INDEX(PCNet,$N384)),"")</f>
        <v/>
      </c>
      <c r="I384" s="25">
        <f>IF($N384&lt;&gt;"",IF(INDEX(PCOp,$N384)="مرجوعی خرید","",IF(INDEX(PCAmount,$N384)&lt;=0,"",INDEX(PCAmount,$N384))),IF($O384&lt;&gt;"",IF(INDEX(TxnDepB,$O384)=0,"",INDEX(TxnDepB,$O384)),""))</f>
        <v/>
      </c>
      <c r="J384" s="25">
        <f>IF($N384&lt;&gt;"",IF(INDEX(PCOp,$N384)="مرجوعی خرید",IF(INDEX(PCAmount,$N384)=0,"",-INDEX(PCAmount,$N384)),""),IF($O384&lt;&gt;"",IF(INDEX(TxnWitB,$O384)=0,"",INDEX(TxnWitB,$O384)),""))</f>
        <v/>
      </c>
      <c r="K384" s="27">
        <f>IF($B384="","",IF($K383="",$C$10,$K383)+IF($I384="",0,$I384)-IF($J384="",0,$J384))</f>
        <v/>
      </c>
      <c r="L384" s="28">
        <f>IF($N384&lt;&gt;"",IF(INDEX(PCNotes,$N384)="","—",INDEX(PCNotes,$N384)),IF($O384&lt;&gt;"",IF(INDEX(LdgNoteB,$O384)="","—",INDEX(LdgNoteB,$O384)),""))</f>
        <v/>
      </c>
      <c r="N384">
        <f>IFERROR(MATCH($C$5&amp;"|"&amp;RIGHT("000000"&amp;368,6),LdgRankKeyA,0),"")</f>
        <v/>
      </c>
      <c r="O384">
        <f>IFERROR(MATCH($C$5&amp;"|"&amp;RIGHT("000000"&amp;368,6),LdgRankKeyB,0),"")</f>
        <v/>
      </c>
    </row>
    <row r="385">
      <c r="A385" s="17" t="n">
        <v>369</v>
      </c>
      <c r="B385" s="18">
        <f>IF(AND($N385="",$O385=""),"",IF($N385&lt;&gt;"",INDEX(PCNormDate,$N385),INDEX(LdgDateB,$O385)))</f>
        <v/>
      </c>
      <c r="C385" s="18">
        <f>IF($N385&lt;&gt;"",INDEX(PCOp,$N385),IF($O385&lt;&gt;"",IF(N(INDEX(TxnDepB,$O385))&gt;0,"دریافت بانکی","پرداخت بانکی"),""))</f>
        <v/>
      </c>
      <c r="D385" s="18">
        <f>IF($N385&lt;&gt;"",IF(INDEX(PCDoc,$N385)="","—",INDEX(PCDoc,$N385)),IF($O385&lt;&gt;"",INDEX(LdgBankB,$O385),""))</f>
        <v/>
      </c>
      <c r="E385" s="18">
        <f>IF($N385&lt;&gt;"",IF(INDEX(PCCitrus,$N385)="","—",INDEX(PCCitrus,$N385)),"")</f>
        <v/>
      </c>
      <c r="F385" s="19">
        <f>IF($N385&lt;&gt;"",IF(INDEX(PCScale,$N385)=0,"",INDEX(PCScale,$N385)),"")</f>
        <v/>
      </c>
      <c r="G385" s="19">
        <f>IF($N385&lt;&gt;"",IF(INDEX(PCBaskets,$N385)=0,"",INDEX(PCBaskets,$N385)),"")</f>
        <v/>
      </c>
      <c r="H385" s="20">
        <f>IF($N385&lt;&gt;"",IF(INDEX(PCNet,$N385)=0,"",INDEX(PCNet,$N385)),"")</f>
        <v/>
      </c>
      <c r="I385" s="19">
        <f>IF($N385&lt;&gt;"",IF(INDEX(PCOp,$N385)="مرجوعی خرید","",IF(INDEX(PCAmount,$N385)&lt;=0,"",INDEX(PCAmount,$N385))),IF($O385&lt;&gt;"",IF(INDEX(TxnDepB,$O385)=0,"",INDEX(TxnDepB,$O385)),""))</f>
        <v/>
      </c>
      <c r="J385" s="19">
        <f>IF($N385&lt;&gt;"",IF(INDEX(PCOp,$N385)="مرجوعی خرید",IF(INDEX(PCAmount,$N385)=0,"",-INDEX(PCAmount,$N385)),""),IF($O385&lt;&gt;"",IF(INDEX(TxnWitB,$O385)=0,"",INDEX(TxnWitB,$O385)),""))</f>
        <v/>
      </c>
      <c r="K385" s="21">
        <f>IF($B385="","",IF($K384="",$C$10,$K384)+IF($I385="",0,$I385)-IF($J385="",0,$J385))</f>
        <v/>
      </c>
      <c r="L385" s="22">
        <f>IF($N385&lt;&gt;"",IF(INDEX(PCNotes,$N385)="","—",INDEX(PCNotes,$N385)),IF($O385&lt;&gt;"",IF(INDEX(LdgNoteB,$O385)="","—",INDEX(LdgNoteB,$O385)),""))</f>
        <v/>
      </c>
      <c r="N385">
        <f>IFERROR(MATCH($C$5&amp;"|"&amp;RIGHT("000000"&amp;369,6),LdgRankKeyA,0),"")</f>
        <v/>
      </c>
      <c r="O385">
        <f>IFERROR(MATCH($C$5&amp;"|"&amp;RIGHT("000000"&amp;369,6),LdgRankKeyB,0),"")</f>
        <v/>
      </c>
    </row>
    <row r="386">
      <c r="A386" s="23" t="n">
        <v>370</v>
      </c>
      <c r="B386" s="24">
        <f>IF(AND($N386="",$O386=""),"",IF($N386&lt;&gt;"",INDEX(PCNormDate,$N386),INDEX(LdgDateB,$O386)))</f>
        <v/>
      </c>
      <c r="C386" s="24">
        <f>IF($N386&lt;&gt;"",INDEX(PCOp,$N386),IF($O386&lt;&gt;"",IF(N(INDEX(TxnDepB,$O386))&gt;0,"دریافت بانکی","پرداخت بانکی"),""))</f>
        <v/>
      </c>
      <c r="D386" s="24">
        <f>IF($N386&lt;&gt;"",IF(INDEX(PCDoc,$N386)="","—",INDEX(PCDoc,$N386)),IF($O386&lt;&gt;"",INDEX(LdgBankB,$O386),""))</f>
        <v/>
      </c>
      <c r="E386" s="24">
        <f>IF($N386&lt;&gt;"",IF(INDEX(PCCitrus,$N386)="","—",INDEX(PCCitrus,$N386)),"")</f>
        <v/>
      </c>
      <c r="F386" s="25">
        <f>IF($N386&lt;&gt;"",IF(INDEX(PCScale,$N386)=0,"",INDEX(PCScale,$N386)),"")</f>
        <v/>
      </c>
      <c r="G386" s="25">
        <f>IF($N386&lt;&gt;"",IF(INDEX(PCBaskets,$N386)=0,"",INDEX(PCBaskets,$N386)),"")</f>
        <v/>
      </c>
      <c r="H386" s="26">
        <f>IF($N386&lt;&gt;"",IF(INDEX(PCNet,$N386)=0,"",INDEX(PCNet,$N386)),"")</f>
        <v/>
      </c>
      <c r="I386" s="25">
        <f>IF($N386&lt;&gt;"",IF(INDEX(PCOp,$N386)="مرجوعی خرید","",IF(INDEX(PCAmount,$N386)&lt;=0,"",INDEX(PCAmount,$N386))),IF($O386&lt;&gt;"",IF(INDEX(TxnDepB,$O386)=0,"",INDEX(TxnDepB,$O386)),""))</f>
        <v/>
      </c>
      <c r="J386" s="25">
        <f>IF($N386&lt;&gt;"",IF(INDEX(PCOp,$N386)="مرجوعی خرید",IF(INDEX(PCAmount,$N386)=0,"",-INDEX(PCAmount,$N386)),""),IF($O386&lt;&gt;"",IF(INDEX(TxnWitB,$O386)=0,"",INDEX(TxnWitB,$O386)),""))</f>
        <v/>
      </c>
      <c r="K386" s="27">
        <f>IF($B386="","",IF($K385="",$C$10,$K385)+IF($I386="",0,$I386)-IF($J386="",0,$J386))</f>
        <v/>
      </c>
      <c r="L386" s="28">
        <f>IF($N386&lt;&gt;"",IF(INDEX(PCNotes,$N386)="","—",INDEX(PCNotes,$N386)),IF($O386&lt;&gt;"",IF(INDEX(LdgNoteB,$O386)="","—",INDEX(LdgNoteB,$O386)),""))</f>
        <v/>
      </c>
      <c r="N386">
        <f>IFERROR(MATCH($C$5&amp;"|"&amp;RIGHT("000000"&amp;370,6),LdgRankKeyA,0),"")</f>
        <v/>
      </c>
      <c r="O386">
        <f>IFERROR(MATCH($C$5&amp;"|"&amp;RIGHT("000000"&amp;370,6),LdgRankKeyB,0),"")</f>
        <v/>
      </c>
    </row>
    <row r="387">
      <c r="A387" s="17" t="n">
        <v>371</v>
      </c>
      <c r="B387" s="18">
        <f>IF(AND($N387="",$O387=""),"",IF($N387&lt;&gt;"",INDEX(PCNormDate,$N387),INDEX(LdgDateB,$O387)))</f>
        <v/>
      </c>
      <c r="C387" s="18">
        <f>IF($N387&lt;&gt;"",INDEX(PCOp,$N387),IF($O387&lt;&gt;"",IF(N(INDEX(TxnDepB,$O387))&gt;0,"دریافت بانکی","پرداخت بانکی"),""))</f>
        <v/>
      </c>
      <c r="D387" s="18">
        <f>IF($N387&lt;&gt;"",IF(INDEX(PCDoc,$N387)="","—",INDEX(PCDoc,$N387)),IF($O387&lt;&gt;"",INDEX(LdgBankB,$O387),""))</f>
        <v/>
      </c>
      <c r="E387" s="18">
        <f>IF($N387&lt;&gt;"",IF(INDEX(PCCitrus,$N387)="","—",INDEX(PCCitrus,$N387)),"")</f>
        <v/>
      </c>
      <c r="F387" s="19">
        <f>IF($N387&lt;&gt;"",IF(INDEX(PCScale,$N387)=0,"",INDEX(PCScale,$N387)),"")</f>
        <v/>
      </c>
      <c r="G387" s="19">
        <f>IF($N387&lt;&gt;"",IF(INDEX(PCBaskets,$N387)=0,"",INDEX(PCBaskets,$N387)),"")</f>
        <v/>
      </c>
      <c r="H387" s="20">
        <f>IF($N387&lt;&gt;"",IF(INDEX(PCNet,$N387)=0,"",INDEX(PCNet,$N387)),"")</f>
        <v/>
      </c>
      <c r="I387" s="19">
        <f>IF($N387&lt;&gt;"",IF(INDEX(PCOp,$N387)="مرجوعی خرید","",IF(INDEX(PCAmount,$N387)&lt;=0,"",INDEX(PCAmount,$N387))),IF($O387&lt;&gt;"",IF(INDEX(TxnDepB,$O387)=0,"",INDEX(TxnDepB,$O387)),""))</f>
        <v/>
      </c>
      <c r="J387" s="19">
        <f>IF($N387&lt;&gt;"",IF(INDEX(PCOp,$N387)="مرجوعی خرید",IF(INDEX(PCAmount,$N387)=0,"",-INDEX(PCAmount,$N387)),""),IF($O387&lt;&gt;"",IF(INDEX(TxnWitB,$O387)=0,"",INDEX(TxnWitB,$O387)),""))</f>
        <v/>
      </c>
      <c r="K387" s="21">
        <f>IF($B387="","",IF($K386="",$C$10,$K386)+IF($I387="",0,$I387)-IF($J387="",0,$J387))</f>
        <v/>
      </c>
      <c r="L387" s="22">
        <f>IF($N387&lt;&gt;"",IF(INDEX(PCNotes,$N387)="","—",INDEX(PCNotes,$N387)),IF($O387&lt;&gt;"",IF(INDEX(LdgNoteB,$O387)="","—",INDEX(LdgNoteB,$O387)),""))</f>
        <v/>
      </c>
      <c r="N387">
        <f>IFERROR(MATCH($C$5&amp;"|"&amp;RIGHT("000000"&amp;371,6),LdgRankKeyA,0),"")</f>
        <v/>
      </c>
      <c r="O387">
        <f>IFERROR(MATCH($C$5&amp;"|"&amp;RIGHT("000000"&amp;371,6),LdgRankKeyB,0),"")</f>
        <v/>
      </c>
    </row>
    <row r="388">
      <c r="A388" s="23" t="n">
        <v>372</v>
      </c>
      <c r="B388" s="24">
        <f>IF(AND($N388="",$O388=""),"",IF($N388&lt;&gt;"",INDEX(PCNormDate,$N388),INDEX(LdgDateB,$O388)))</f>
        <v/>
      </c>
      <c r="C388" s="24">
        <f>IF($N388&lt;&gt;"",INDEX(PCOp,$N388),IF($O388&lt;&gt;"",IF(N(INDEX(TxnDepB,$O388))&gt;0,"دریافت بانکی","پرداخت بانکی"),""))</f>
        <v/>
      </c>
      <c r="D388" s="24">
        <f>IF($N388&lt;&gt;"",IF(INDEX(PCDoc,$N388)="","—",INDEX(PCDoc,$N388)),IF($O388&lt;&gt;"",INDEX(LdgBankB,$O388),""))</f>
        <v/>
      </c>
      <c r="E388" s="24">
        <f>IF($N388&lt;&gt;"",IF(INDEX(PCCitrus,$N388)="","—",INDEX(PCCitrus,$N388)),"")</f>
        <v/>
      </c>
      <c r="F388" s="25">
        <f>IF($N388&lt;&gt;"",IF(INDEX(PCScale,$N388)=0,"",INDEX(PCScale,$N388)),"")</f>
        <v/>
      </c>
      <c r="G388" s="25">
        <f>IF($N388&lt;&gt;"",IF(INDEX(PCBaskets,$N388)=0,"",INDEX(PCBaskets,$N388)),"")</f>
        <v/>
      </c>
      <c r="H388" s="26">
        <f>IF($N388&lt;&gt;"",IF(INDEX(PCNet,$N388)=0,"",INDEX(PCNet,$N388)),"")</f>
        <v/>
      </c>
      <c r="I388" s="25">
        <f>IF($N388&lt;&gt;"",IF(INDEX(PCOp,$N388)="مرجوعی خرید","",IF(INDEX(PCAmount,$N388)&lt;=0,"",INDEX(PCAmount,$N388))),IF($O388&lt;&gt;"",IF(INDEX(TxnDepB,$O388)=0,"",INDEX(TxnDepB,$O388)),""))</f>
        <v/>
      </c>
      <c r="J388" s="25">
        <f>IF($N388&lt;&gt;"",IF(INDEX(PCOp,$N388)="مرجوعی خرید",IF(INDEX(PCAmount,$N388)=0,"",-INDEX(PCAmount,$N388)),""),IF($O388&lt;&gt;"",IF(INDEX(TxnWitB,$O388)=0,"",INDEX(TxnWitB,$O388)),""))</f>
        <v/>
      </c>
      <c r="K388" s="27">
        <f>IF($B388="","",IF($K387="",$C$10,$K387)+IF($I388="",0,$I388)-IF($J388="",0,$J388))</f>
        <v/>
      </c>
      <c r="L388" s="28">
        <f>IF($N388&lt;&gt;"",IF(INDEX(PCNotes,$N388)="","—",INDEX(PCNotes,$N388)),IF($O388&lt;&gt;"",IF(INDEX(LdgNoteB,$O388)="","—",INDEX(LdgNoteB,$O388)),""))</f>
        <v/>
      </c>
      <c r="N388">
        <f>IFERROR(MATCH($C$5&amp;"|"&amp;RIGHT("000000"&amp;372,6),LdgRankKeyA,0),"")</f>
        <v/>
      </c>
      <c r="O388">
        <f>IFERROR(MATCH($C$5&amp;"|"&amp;RIGHT("000000"&amp;372,6),LdgRankKeyB,0),"")</f>
        <v/>
      </c>
    </row>
    <row r="389">
      <c r="A389" s="17" t="n">
        <v>373</v>
      </c>
      <c r="B389" s="18">
        <f>IF(AND($N389="",$O389=""),"",IF($N389&lt;&gt;"",INDEX(PCNormDate,$N389),INDEX(LdgDateB,$O389)))</f>
        <v/>
      </c>
      <c r="C389" s="18">
        <f>IF($N389&lt;&gt;"",INDEX(PCOp,$N389),IF($O389&lt;&gt;"",IF(N(INDEX(TxnDepB,$O389))&gt;0,"دریافت بانکی","پرداخت بانکی"),""))</f>
        <v/>
      </c>
      <c r="D389" s="18">
        <f>IF($N389&lt;&gt;"",IF(INDEX(PCDoc,$N389)="","—",INDEX(PCDoc,$N389)),IF($O389&lt;&gt;"",INDEX(LdgBankB,$O389),""))</f>
        <v/>
      </c>
      <c r="E389" s="18">
        <f>IF($N389&lt;&gt;"",IF(INDEX(PCCitrus,$N389)="","—",INDEX(PCCitrus,$N389)),"")</f>
        <v/>
      </c>
      <c r="F389" s="19">
        <f>IF($N389&lt;&gt;"",IF(INDEX(PCScale,$N389)=0,"",INDEX(PCScale,$N389)),"")</f>
        <v/>
      </c>
      <c r="G389" s="19">
        <f>IF($N389&lt;&gt;"",IF(INDEX(PCBaskets,$N389)=0,"",INDEX(PCBaskets,$N389)),"")</f>
        <v/>
      </c>
      <c r="H389" s="20">
        <f>IF($N389&lt;&gt;"",IF(INDEX(PCNet,$N389)=0,"",INDEX(PCNet,$N389)),"")</f>
        <v/>
      </c>
      <c r="I389" s="19">
        <f>IF($N389&lt;&gt;"",IF(INDEX(PCOp,$N389)="مرجوعی خرید","",IF(INDEX(PCAmount,$N389)&lt;=0,"",INDEX(PCAmount,$N389))),IF($O389&lt;&gt;"",IF(INDEX(TxnDepB,$O389)=0,"",INDEX(TxnDepB,$O389)),""))</f>
        <v/>
      </c>
      <c r="J389" s="19">
        <f>IF($N389&lt;&gt;"",IF(INDEX(PCOp,$N389)="مرجوعی خرید",IF(INDEX(PCAmount,$N389)=0,"",-INDEX(PCAmount,$N389)),""),IF($O389&lt;&gt;"",IF(INDEX(TxnWitB,$O389)=0,"",INDEX(TxnWitB,$O389)),""))</f>
        <v/>
      </c>
      <c r="K389" s="21">
        <f>IF($B389="","",IF($K388="",$C$10,$K388)+IF($I389="",0,$I389)-IF($J389="",0,$J389))</f>
        <v/>
      </c>
      <c r="L389" s="22">
        <f>IF($N389&lt;&gt;"",IF(INDEX(PCNotes,$N389)="","—",INDEX(PCNotes,$N389)),IF($O389&lt;&gt;"",IF(INDEX(LdgNoteB,$O389)="","—",INDEX(LdgNoteB,$O389)),""))</f>
        <v/>
      </c>
      <c r="N389">
        <f>IFERROR(MATCH($C$5&amp;"|"&amp;RIGHT("000000"&amp;373,6),LdgRankKeyA,0),"")</f>
        <v/>
      </c>
      <c r="O389">
        <f>IFERROR(MATCH($C$5&amp;"|"&amp;RIGHT("000000"&amp;373,6),LdgRankKeyB,0),"")</f>
        <v/>
      </c>
    </row>
    <row r="390">
      <c r="A390" s="23" t="n">
        <v>374</v>
      </c>
      <c r="B390" s="24">
        <f>IF(AND($N390="",$O390=""),"",IF($N390&lt;&gt;"",INDEX(PCNormDate,$N390),INDEX(LdgDateB,$O390)))</f>
        <v/>
      </c>
      <c r="C390" s="24">
        <f>IF($N390&lt;&gt;"",INDEX(PCOp,$N390),IF($O390&lt;&gt;"",IF(N(INDEX(TxnDepB,$O390))&gt;0,"دریافت بانکی","پرداخت بانکی"),""))</f>
        <v/>
      </c>
      <c r="D390" s="24">
        <f>IF($N390&lt;&gt;"",IF(INDEX(PCDoc,$N390)="","—",INDEX(PCDoc,$N390)),IF($O390&lt;&gt;"",INDEX(LdgBankB,$O390),""))</f>
        <v/>
      </c>
      <c r="E390" s="24">
        <f>IF($N390&lt;&gt;"",IF(INDEX(PCCitrus,$N390)="","—",INDEX(PCCitrus,$N390)),"")</f>
        <v/>
      </c>
      <c r="F390" s="25">
        <f>IF($N390&lt;&gt;"",IF(INDEX(PCScale,$N390)=0,"",INDEX(PCScale,$N390)),"")</f>
        <v/>
      </c>
      <c r="G390" s="25">
        <f>IF($N390&lt;&gt;"",IF(INDEX(PCBaskets,$N390)=0,"",INDEX(PCBaskets,$N390)),"")</f>
        <v/>
      </c>
      <c r="H390" s="26">
        <f>IF($N390&lt;&gt;"",IF(INDEX(PCNet,$N390)=0,"",INDEX(PCNet,$N390)),"")</f>
        <v/>
      </c>
      <c r="I390" s="25">
        <f>IF($N390&lt;&gt;"",IF(INDEX(PCOp,$N390)="مرجوعی خرید","",IF(INDEX(PCAmount,$N390)&lt;=0,"",INDEX(PCAmount,$N390))),IF($O390&lt;&gt;"",IF(INDEX(TxnDepB,$O390)=0,"",INDEX(TxnDepB,$O390)),""))</f>
        <v/>
      </c>
      <c r="J390" s="25">
        <f>IF($N390&lt;&gt;"",IF(INDEX(PCOp,$N390)="مرجوعی خرید",IF(INDEX(PCAmount,$N390)=0,"",-INDEX(PCAmount,$N390)),""),IF($O390&lt;&gt;"",IF(INDEX(TxnWitB,$O390)=0,"",INDEX(TxnWitB,$O390)),""))</f>
        <v/>
      </c>
      <c r="K390" s="27">
        <f>IF($B390="","",IF($K389="",$C$10,$K389)+IF($I390="",0,$I390)-IF($J390="",0,$J390))</f>
        <v/>
      </c>
      <c r="L390" s="28">
        <f>IF($N390&lt;&gt;"",IF(INDEX(PCNotes,$N390)="","—",INDEX(PCNotes,$N390)),IF($O390&lt;&gt;"",IF(INDEX(LdgNoteB,$O390)="","—",INDEX(LdgNoteB,$O390)),""))</f>
        <v/>
      </c>
      <c r="N390">
        <f>IFERROR(MATCH($C$5&amp;"|"&amp;RIGHT("000000"&amp;374,6),LdgRankKeyA,0),"")</f>
        <v/>
      </c>
      <c r="O390">
        <f>IFERROR(MATCH($C$5&amp;"|"&amp;RIGHT("000000"&amp;374,6),LdgRankKeyB,0),"")</f>
        <v/>
      </c>
    </row>
    <row r="391">
      <c r="A391" s="17" t="n">
        <v>375</v>
      </c>
      <c r="B391" s="18">
        <f>IF(AND($N391="",$O391=""),"",IF($N391&lt;&gt;"",INDEX(PCNormDate,$N391),INDEX(LdgDateB,$O391)))</f>
        <v/>
      </c>
      <c r="C391" s="18">
        <f>IF($N391&lt;&gt;"",INDEX(PCOp,$N391),IF($O391&lt;&gt;"",IF(N(INDEX(TxnDepB,$O391))&gt;0,"دریافت بانکی","پرداخت بانکی"),""))</f>
        <v/>
      </c>
      <c r="D391" s="18">
        <f>IF($N391&lt;&gt;"",IF(INDEX(PCDoc,$N391)="","—",INDEX(PCDoc,$N391)),IF($O391&lt;&gt;"",INDEX(LdgBankB,$O391),""))</f>
        <v/>
      </c>
      <c r="E391" s="18">
        <f>IF($N391&lt;&gt;"",IF(INDEX(PCCitrus,$N391)="","—",INDEX(PCCitrus,$N391)),"")</f>
        <v/>
      </c>
      <c r="F391" s="19">
        <f>IF($N391&lt;&gt;"",IF(INDEX(PCScale,$N391)=0,"",INDEX(PCScale,$N391)),"")</f>
        <v/>
      </c>
      <c r="G391" s="19">
        <f>IF($N391&lt;&gt;"",IF(INDEX(PCBaskets,$N391)=0,"",INDEX(PCBaskets,$N391)),"")</f>
        <v/>
      </c>
      <c r="H391" s="20">
        <f>IF($N391&lt;&gt;"",IF(INDEX(PCNet,$N391)=0,"",INDEX(PCNet,$N391)),"")</f>
        <v/>
      </c>
      <c r="I391" s="19">
        <f>IF($N391&lt;&gt;"",IF(INDEX(PCOp,$N391)="مرجوعی خرید","",IF(INDEX(PCAmount,$N391)&lt;=0,"",INDEX(PCAmount,$N391))),IF($O391&lt;&gt;"",IF(INDEX(TxnDepB,$O391)=0,"",INDEX(TxnDepB,$O391)),""))</f>
        <v/>
      </c>
      <c r="J391" s="19">
        <f>IF($N391&lt;&gt;"",IF(INDEX(PCOp,$N391)="مرجوعی خرید",IF(INDEX(PCAmount,$N391)=0,"",-INDEX(PCAmount,$N391)),""),IF($O391&lt;&gt;"",IF(INDEX(TxnWitB,$O391)=0,"",INDEX(TxnWitB,$O391)),""))</f>
        <v/>
      </c>
      <c r="K391" s="21">
        <f>IF($B391="","",IF($K390="",$C$10,$K390)+IF($I391="",0,$I391)-IF($J391="",0,$J391))</f>
        <v/>
      </c>
      <c r="L391" s="22">
        <f>IF($N391&lt;&gt;"",IF(INDEX(PCNotes,$N391)="","—",INDEX(PCNotes,$N391)),IF($O391&lt;&gt;"",IF(INDEX(LdgNoteB,$O391)="","—",INDEX(LdgNoteB,$O391)),""))</f>
        <v/>
      </c>
      <c r="N391">
        <f>IFERROR(MATCH($C$5&amp;"|"&amp;RIGHT("000000"&amp;375,6),LdgRankKeyA,0),"")</f>
        <v/>
      </c>
      <c r="O391">
        <f>IFERROR(MATCH($C$5&amp;"|"&amp;RIGHT("000000"&amp;375,6),LdgRankKeyB,0),"")</f>
        <v/>
      </c>
    </row>
    <row r="392">
      <c r="A392" s="23" t="n">
        <v>376</v>
      </c>
      <c r="B392" s="24">
        <f>IF(AND($N392="",$O392=""),"",IF($N392&lt;&gt;"",INDEX(PCNormDate,$N392),INDEX(LdgDateB,$O392)))</f>
        <v/>
      </c>
      <c r="C392" s="24">
        <f>IF($N392&lt;&gt;"",INDEX(PCOp,$N392),IF($O392&lt;&gt;"",IF(N(INDEX(TxnDepB,$O392))&gt;0,"دریافت بانکی","پرداخت بانکی"),""))</f>
        <v/>
      </c>
      <c r="D392" s="24">
        <f>IF($N392&lt;&gt;"",IF(INDEX(PCDoc,$N392)="","—",INDEX(PCDoc,$N392)),IF($O392&lt;&gt;"",INDEX(LdgBankB,$O392),""))</f>
        <v/>
      </c>
      <c r="E392" s="24">
        <f>IF($N392&lt;&gt;"",IF(INDEX(PCCitrus,$N392)="","—",INDEX(PCCitrus,$N392)),"")</f>
        <v/>
      </c>
      <c r="F392" s="25">
        <f>IF($N392&lt;&gt;"",IF(INDEX(PCScale,$N392)=0,"",INDEX(PCScale,$N392)),"")</f>
        <v/>
      </c>
      <c r="G392" s="25">
        <f>IF($N392&lt;&gt;"",IF(INDEX(PCBaskets,$N392)=0,"",INDEX(PCBaskets,$N392)),"")</f>
        <v/>
      </c>
      <c r="H392" s="26">
        <f>IF($N392&lt;&gt;"",IF(INDEX(PCNet,$N392)=0,"",INDEX(PCNet,$N392)),"")</f>
        <v/>
      </c>
      <c r="I392" s="25">
        <f>IF($N392&lt;&gt;"",IF(INDEX(PCOp,$N392)="مرجوعی خرید","",IF(INDEX(PCAmount,$N392)&lt;=0,"",INDEX(PCAmount,$N392))),IF($O392&lt;&gt;"",IF(INDEX(TxnDepB,$O392)=0,"",INDEX(TxnDepB,$O392)),""))</f>
        <v/>
      </c>
      <c r="J392" s="25">
        <f>IF($N392&lt;&gt;"",IF(INDEX(PCOp,$N392)="مرجوعی خرید",IF(INDEX(PCAmount,$N392)=0,"",-INDEX(PCAmount,$N392)),""),IF($O392&lt;&gt;"",IF(INDEX(TxnWitB,$O392)=0,"",INDEX(TxnWitB,$O392)),""))</f>
        <v/>
      </c>
      <c r="K392" s="27">
        <f>IF($B392="","",IF($K391="",$C$10,$K391)+IF($I392="",0,$I392)-IF($J392="",0,$J392))</f>
        <v/>
      </c>
      <c r="L392" s="28">
        <f>IF($N392&lt;&gt;"",IF(INDEX(PCNotes,$N392)="","—",INDEX(PCNotes,$N392)),IF($O392&lt;&gt;"",IF(INDEX(LdgNoteB,$O392)="","—",INDEX(LdgNoteB,$O392)),""))</f>
        <v/>
      </c>
      <c r="N392">
        <f>IFERROR(MATCH($C$5&amp;"|"&amp;RIGHT("000000"&amp;376,6),LdgRankKeyA,0),"")</f>
        <v/>
      </c>
      <c r="O392">
        <f>IFERROR(MATCH($C$5&amp;"|"&amp;RIGHT("000000"&amp;376,6),LdgRankKeyB,0),"")</f>
        <v/>
      </c>
    </row>
    <row r="393">
      <c r="A393" s="17" t="n">
        <v>377</v>
      </c>
      <c r="B393" s="18">
        <f>IF(AND($N393="",$O393=""),"",IF($N393&lt;&gt;"",INDEX(PCNormDate,$N393),INDEX(LdgDateB,$O393)))</f>
        <v/>
      </c>
      <c r="C393" s="18">
        <f>IF($N393&lt;&gt;"",INDEX(PCOp,$N393),IF($O393&lt;&gt;"",IF(N(INDEX(TxnDepB,$O393))&gt;0,"دریافت بانکی","پرداخت بانکی"),""))</f>
        <v/>
      </c>
      <c r="D393" s="18">
        <f>IF($N393&lt;&gt;"",IF(INDEX(PCDoc,$N393)="","—",INDEX(PCDoc,$N393)),IF($O393&lt;&gt;"",INDEX(LdgBankB,$O393),""))</f>
        <v/>
      </c>
      <c r="E393" s="18">
        <f>IF($N393&lt;&gt;"",IF(INDEX(PCCitrus,$N393)="","—",INDEX(PCCitrus,$N393)),"")</f>
        <v/>
      </c>
      <c r="F393" s="19">
        <f>IF($N393&lt;&gt;"",IF(INDEX(PCScale,$N393)=0,"",INDEX(PCScale,$N393)),"")</f>
        <v/>
      </c>
      <c r="G393" s="19">
        <f>IF($N393&lt;&gt;"",IF(INDEX(PCBaskets,$N393)=0,"",INDEX(PCBaskets,$N393)),"")</f>
        <v/>
      </c>
      <c r="H393" s="20">
        <f>IF($N393&lt;&gt;"",IF(INDEX(PCNet,$N393)=0,"",INDEX(PCNet,$N393)),"")</f>
        <v/>
      </c>
      <c r="I393" s="19">
        <f>IF($N393&lt;&gt;"",IF(INDEX(PCOp,$N393)="مرجوعی خرید","",IF(INDEX(PCAmount,$N393)&lt;=0,"",INDEX(PCAmount,$N393))),IF($O393&lt;&gt;"",IF(INDEX(TxnDepB,$O393)=0,"",INDEX(TxnDepB,$O393)),""))</f>
        <v/>
      </c>
      <c r="J393" s="19">
        <f>IF($N393&lt;&gt;"",IF(INDEX(PCOp,$N393)="مرجوعی خرید",IF(INDEX(PCAmount,$N393)=0,"",-INDEX(PCAmount,$N393)),""),IF($O393&lt;&gt;"",IF(INDEX(TxnWitB,$O393)=0,"",INDEX(TxnWitB,$O393)),""))</f>
        <v/>
      </c>
      <c r="K393" s="21">
        <f>IF($B393="","",IF($K392="",$C$10,$K392)+IF($I393="",0,$I393)-IF($J393="",0,$J393))</f>
        <v/>
      </c>
      <c r="L393" s="22">
        <f>IF($N393&lt;&gt;"",IF(INDEX(PCNotes,$N393)="","—",INDEX(PCNotes,$N393)),IF($O393&lt;&gt;"",IF(INDEX(LdgNoteB,$O393)="","—",INDEX(LdgNoteB,$O393)),""))</f>
        <v/>
      </c>
      <c r="N393">
        <f>IFERROR(MATCH($C$5&amp;"|"&amp;RIGHT("000000"&amp;377,6),LdgRankKeyA,0),"")</f>
        <v/>
      </c>
      <c r="O393">
        <f>IFERROR(MATCH($C$5&amp;"|"&amp;RIGHT("000000"&amp;377,6),LdgRankKeyB,0),"")</f>
        <v/>
      </c>
    </row>
    <row r="394">
      <c r="A394" s="23" t="n">
        <v>378</v>
      </c>
      <c r="B394" s="24">
        <f>IF(AND($N394="",$O394=""),"",IF($N394&lt;&gt;"",INDEX(PCNormDate,$N394),INDEX(LdgDateB,$O394)))</f>
        <v/>
      </c>
      <c r="C394" s="24">
        <f>IF($N394&lt;&gt;"",INDEX(PCOp,$N394),IF($O394&lt;&gt;"",IF(N(INDEX(TxnDepB,$O394))&gt;0,"دریافت بانکی","پرداخت بانکی"),""))</f>
        <v/>
      </c>
      <c r="D394" s="24">
        <f>IF($N394&lt;&gt;"",IF(INDEX(PCDoc,$N394)="","—",INDEX(PCDoc,$N394)),IF($O394&lt;&gt;"",INDEX(LdgBankB,$O394),""))</f>
        <v/>
      </c>
      <c r="E394" s="24">
        <f>IF($N394&lt;&gt;"",IF(INDEX(PCCitrus,$N394)="","—",INDEX(PCCitrus,$N394)),"")</f>
        <v/>
      </c>
      <c r="F394" s="25">
        <f>IF($N394&lt;&gt;"",IF(INDEX(PCScale,$N394)=0,"",INDEX(PCScale,$N394)),"")</f>
        <v/>
      </c>
      <c r="G394" s="25">
        <f>IF($N394&lt;&gt;"",IF(INDEX(PCBaskets,$N394)=0,"",INDEX(PCBaskets,$N394)),"")</f>
        <v/>
      </c>
      <c r="H394" s="26">
        <f>IF($N394&lt;&gt;"",IF(INDEX(PCNet,$N394)=0,"",INDEX(PCNet,$N394)),"")</f>
        <v/>
      </c>
      <c r="I394" s="25">
        <f>IF($N394&lt;&gt;"",IF(INDEX(PCOp,$N394)="مرجوعی خرید","",IF(INDEX(PCAmount,$N394)&lt;=0,"",INDEX(PCAmount,$N394))),IF($O394&lt;&gt;"",IF(INDEX(TxnDepB,$O394)=0,"",INDEX(TxnDepB,$O394)),""))</f>
        <v/>
      </c>
      <c r="J394" s="25">
        <f>IF($N394&lt;&gt;"",IF(INDEX(PCOp,$N394)="مرجوعی خرید",IF(INDEX(PCAmount,$N394)=0,"",-INDEX(PCAmount,$N394)),""),IF($O394&lt;&gt;"",IF(INDEX(TxnWitB,$O394)=0,"",INDEX(TxnWitB,$O394)),""))</f>
        <v/>
      </c>
      <c r="K394" s="27">
        <f>IF($B394="","",IF($K393="",$C$10,$K393)+IF($I394="",0,$I394)-IF($J394="",0,$J394))</f>
        <v/>
      </c>
      <c r="L394" s="28">
        <f>IF($N394&lt;&gt;"",IF(INDEX(PCNotes,$N394)="","—",INDEX(PCNotes,$N394)),IF($O394&lt;&gt;"",IF(INDEX(LdgNoteB,$O394)="","—",INDEX(LdgNoteB,$O394)),""))</f>
        <v/>
      </c>
      <c r="N394">
        <f>IFERROR(MATCH($C$5&amp;"|"&amp;RIGHT("000000"&amp;378,6),LdgRankKeyA,0),"")</f>
        <v/>
      </c>
      <c r="O394">
        <f>IFERROR(MATCH($C$5&amp;"|"&amp;RIGHT("000000"&amp;378,6),LdgRankKeyB,0),"")</f>
        <v/>
      </c>
    </row>
    <row r="395">
      <c r="A395" s="17" t="n">
        <v>379</v>
      </c>
      <c r="B395" s="18">
        <f>IF(AND($N395="",$O395=""),"",IF($N395&lt;&gt;"",INDEX(PCNormDate,$N395),INDEX(LdgDateB,$O395)))</f>
        <v/>
      </c>
      <c r="C395" s="18">
        <f>IF($N395&lt;&gt;"",INDEX(PCOp,$N395),IF($O395&lt;&gt;"",IF(N(INDEX(TxnDepB,$O395))&gt;0,"دریافت بانکی","پرداخت بانکی"),""))</f>
        <v/>
      </c>
      <c r="D395" s="18">
        <f>IF($N395&lt;&gt;"",IF(INDEX(PCDoc,$N395)="","—",INDEX(PCDoc,$N395)),IF($O395&lt;&gt;"",INDEX(LdgBankB,$O395),""))</f>
        <v/>
      </c>
      <c r="E395" s="18">
        <f>IF($N395&lt;&gt;"",IF(INDEX(PCCitrus,$N395)="","—",INDEX(PCCitrus,$N395)),"")</f>
        <v/>
      </c>
      <c r="F395" s="19">
        <f>IF($N395&lt;&gt;"",IF(INDEX(PCScale,$N395)=0,"",INDEX(PCScale,$N395)),"")</f>
        <v/>
      </c>
      <c r="G395" s="19">
        <f>IF($N395&lt;&gt;"",IF(INDEX(PCBaskets,$N395)=0,"",INDEX(PCBaskets,$N395)),"")</f>
        <v/>
      </c>
      <c r="H395" s="20">
        <f>IF($N395&lt;&gt;"",IF(INDEX(PCNet,$N395)=0,"",INDEX(PCNet,$N395)),"")</f>
        <v/>
      </c>
      <c r="I395" s="19">
        <f>IF($N395&lt;&gt;"",IF(INDEX(PCOp,$N395)="مرجوعی خرید","",IF(INDEX(PCAmount,$N395)&lt;=0,"",INDEX(PCAmount,$N395))),IF($O395&lt;&gt;"",IF(INDEX(TxnDepB,$O395)=0,"",INDEX(TxnDepB,$O395)),""))</f>
        <v/>
      </c>
      <c r="J395" s="19">
        <f>IF($N395&lt;&gt;"",IF(INDEX(PCOp,$N395)="مرجوعی خرید",IF(INDEX(PCAmount,$N395)=0,"",-INDEX(PCAmount,$N395)),""),IF($O395&lt;&gt;"",IF(INDEX(TxnWitB,$O395)=0,"",INDEX(TxnWitB,$O395)),""))</f>
        <v/>
      </c>
      <c r="K395" s="21">
        <f>IF($B395="","",IF($K394="",$C$10,$K394)+IF($I395="",0,$I395)-IF($J395="",0,$J395))</f>
        <v/>
      </c>
      <c r="L395" s="22">
        <f>IF($N395&lt;&gt;"",IF(INDEX(PCNotes,$N395)="","—",INDEX(PCNotes,$N395)),IF($O395&lt;&gt;"",IF(INDEX(LdgNoteB,$O395)="","—",INDEX(LdgNoteB,$O395)),""))</f>
        <v/>
      </c>
      <c r="N395">
        <f>IFERROR(MATCH($C$5&amp;"|"&amp;RIGHT("000000"&amp;379,6),LdgRankKeyA,0),"")</f>
        <v/>
      </c>
      <c r="O395">
        <f>IFERROR(MATCH($C$5&amp;"|"&amp;RIGHT("000000"&amp;379,6),LdgRankKeyB,0),"")</f>
        <v/>
      </c>
    </row>
    <row r="396">
      <c r="A396" s="23" t="n">
        <v>380</v>
      </c>
      <c r="B396" s="24">
        <f>IF(AND($N396="",$O396=""),"",IF($N396&lt;&gt;"",INDEX(PCNormDate,$N396),INDEX(LdgDateB,$O396)))</f>
        <v/>
      </c>
      <c r="C396" s="24">
        <f>IF($N396&lt;&gt;"",INDEX(PCOp,$N396),IF($O396&lt;&gt;"",IF(N(INDEX(TxnDepB,$O396))&gt;0,"دریافت بانکی","پرداخت بانکی"),""))</f>
        <v/>
      </c>
      <c r="D396" s="24">
        <f>IF($N396&lt;&gt;"",IF(INDEX(PCDoc,$N396)="","—",INDEX(PCDoc,$N396)),IF($O396&lt;&gt;"",INDEX(LdgBankB,$O396),""))</f>
        <v/>
      </c>
      <c r="E396" s="24">
        <f>IF($N396&lt;&gt;"",IF(INDEX(PCCitrus,$N396)="","—",INDEX(PCCitrus,$N396)),"")</f>
        <v/>
      </c>
      <c r="F396" s="25">
        <f>IF($N396&lt;&gt;"",IF(INDEX(PCScale,$N396)=0,"",INDEX(PCScale,$N396)),"")</f>
        <v/>
      </c>
      <c r="G396" s="25">
        <f>IF($N396&lt;&gt;"",IF(INDEX(PCBaskets,$N396)=0,"",INDEX(PCBaskets,$N396)),"")</f>
        <v/>
      </c>
      <c r="H396" s="26">
        <f>IF($N396&lt;&gt;"",IF(INDEX(PCNet,$N396)=0,"",INDEX(PCNet,$N396)),"")</f>
        <v/>
      </c>
      <c r="I396" s="25">
        <f>IF($N396&lt;&gt;"",IF(INDEX(PCOp,$N396)="مرجوعی خرید","",IF(INDEX(PCAmount,$N396)&lt;=0,"",INDEX(PCAmount,$N396))),IF($O396&lt;&gt;"",IF(INDEX(TxnDepB,$O396)=0,"",INDEX(TxnDepB,$O396)),""))</f>
        <v/>
      </c>
      <c r="J396" s="25">
        <f>IF($N396&lt;&gt;"",IF(INDEX(PCOp,$N396)="مرجوعی خرید",IF(INDEX(PCAmount,$N396)=0,"",-INDEX(PCAmount,$N396)),""),IF($O396&lt;&gt;"",IF(INDEX(TxnWitB,$O396)=0,"",INDEX(TxnWitB,$O396)),""))</f>
        <v/>
      </c>
      <c r="K396" s="27">
        <f>IF($B396="","",IF($K395="",$C$10,$K395)+IF($I396="",0,$I396)-IF($J396="",0,$J396))</f>
        <v/>
      </c>
      <c r="L396" s="28">
        <f>IF($N396&lt;&gt;"",IF(INDEX(PCNotes,$N396)="","—",INDEX(PCNotes,$N396)),IF($O396&lt;&gt;"",IF(INDEX(LdgNoteB,$O396)="","—",INDEX(LdgNoteB,$O396)),""))</f>
        <v/>
      </c>
      <c r="N396">
        <f>IFERROR(MATCH($C$5&amp;"|"&amp;RIGHT("000000"&amp;380,6),LdgRankKeyA,0),"")</f>
        <v/>
      </c>
      <c r="O396">
        <f>IFERROR(MATCH($C$5&amp;"|"&amp;RIGHT("000000"&amp;380,6),LdgRankKeyB,0),"")</f>
        <v/>
      </c>
    </row>
    <row r="397">
      <c r="A397" s="17" t="n">
        <v>381</v>
      </c>
      <c r="B397" s="18">
        <f>IF(AND($N397="",$O397=""),"",IF($N397&lt;&gt;"",INDEX(PCNormDate,$N397),INDEX(LdgDateB,$O397)))</f>
        <v/>
      </c>
      <c r="C397" s="18">
        <f>IF($N397&lt;&gt;"",INDEX(PCOp,$N397),IF($O397&lt;&gt;"",IF(N(INDEX(TxnDepB,$O397))&gt;0,"دریافت بانکی","پرداخت بانکی"),""))</f>
        <v/>
      </c>
      <c r="D397" s="18">
        <f>IF($N397&lt;&gt;"",IF(INDEX(PCDoc,$N397)="","—",INDEX(PCDoc,$N397)),IF($O397&lt;&gt;"",INDEX(LdgBankB,$O397),""))</f>
        <v/>
      </c>
      <c r="E397" s="18">
        <f>IF($N397&lt;&gt;"",IF(INDEX(PCCitrus,$N397)="","—",INDEX(PCCitrus,$N397)),"")</f>
        <v/>
      </c>
      <c r="F397" s="19">
        <f>IF($N397&lt;&gt;"",IF(INDEX(PCScale,$N397)=0,"",INDEX(PCScale,$N397)),"")</f>
        <v/>
      </c>
      <c r="G397" s="19">
        <f>IF($N397&lt;&gt;"",IF(INDEX(PCBaskets,$N397)=0,"",INDEX(PCBaskets,$N397)),"")</f>
        <v/>
      </c>
      <c r="H397" s="20">
        <f>IF($N397&lt;&gt;"",IF(INDEX(PCNet,$N397)=0,"",INDEX(PCNet,$N397)),"")</f>
        <v/>
      </c>
      <c r="I397" s="19">
        <f>IF($N397&lt;&gt;"",IF(INDEX(PCOp,$N397)="مرجوعی خرید","",IF(INDEX(PCAmount,$N397)&lt;=0,"",INDEX(PCAmount,$N397))),IF($O397&lt;&gt;"",IF(INDEX(TxnDepB,$O397)=0,"",INDEX(TxnDepB,$O397)),""))</f>
        <v/>
      </c>
      <c r="J397" s="19">
        <f>IF($N397&lt;&gt;"",IF(INDEX(PCOp,$N397)="مرجوعی خرید",IF(INDEX(PCAmount,$N397)=0,"",-INDEX(PCAmount,$N397)),""),IF($O397&lt;&gt;"",IF(INDEX(TxnWitB,$O397)=0,"",INDEX(TxnWitB,$O397)),""))</f>
        <v/>
      </c>
      <c r="K397" s="21">
        <f>IF($B397="","",IF($K396="",$C$10,$K396)+IF($I397="",0,$I397)-IF($J397="",0,$J397))</f>
        <v/>
      </c>
      <c r="L397" s="22">
        <f>IF($N397&lt;&gt;"",IF(INDEX(PCNotes,$N397)="","—",INDEX(PCNotes,$N397)),IF($O397&lt;&gt;"",IF(INDEX(LdgNoteB,$O397)="","—",INDEX(LdgNoteB,$O397)),""))</f>
        <v/>
      </c>
      <c r="N397">
        <f>IFERROR(MATCH($C$5&amp;"|"&amp;RIGHT("000000"&amp;381,6),LdgRankKeyA,0),"")</f>
        <v/>
      </c>
      <c r="O397">
        <f>IFERROR(MATCH($C$5&amp;"|"&amp;RIGHT("000000"&amp;381,6),LdgRankKeyB,0),"")</f>
        <v/>
      </c>
    </row>
    <row r="398">
      <c r="A398" s="23" t="n">
        <v>382</v>
      </c>
      <c r="B398" s="24">
        <f>IF(AND($N398="",$O398=""),"",IF($N398&lt;&gt;"",INDEX(PCNormDate,$N398),INDEX(LdgDateB,$O398)))</f>
        <v/>
      </c>
      <c r="C398" s="24">
        <f>IF($N398&lt;&gt;"",INDEX(PCOp,$N398),IF($O398&lt;&gt;"",IF(N(INDEX(TxnDepB,$O398))&gt;0,"دریافت بانکی","پرداخت بانکی"),""))</f>
        <v/>
      </c>
      <c r="D398" s="24">
        <f>IF($N398&lt;&gt;"",IF(INDEX(PCDoc,$N398)="","—",INDEX(PCDoc,$N398)),IF($O398&lt;&gt;"",INDEX(LdgBankB,$O398),""))</f>
        <v/>
      </c>
      <c r="E398" s="24">
        <f>IF($N398&lt;&gt;"",IF(INDEX(PCCitrus,$N398)="","—",INDEX(PCCitrus,$N398)),"")</f>
        <v/>
      </c>
      <c r="F398" s="25">
        <f>IF($N398&lt;&gt;"",IF(INDEX(PCScale,$N398)=0,"",INDEX(PCScale,$N398)),"")</f>
        <v/>
      </c>
      <c r="G398" s="25">
        <f>IF($N398&lt;&gt;"",IF(INDEX(PCBaskets,$N398)=0,"",INDEX(PCBaskets,$N398)),"")</f>
        <v/>
      </c>
      <c r="H398" s="26">
        <f>IF($N398&lt;&gt;"",IF(INDEX(PCNet,$N398)=0,"",INDEX(PCNet,$N398)),"")</f>
        <v/>
      </c>
      <c r="I398" s="25">
        <f>IF($N398&lt;&gt;"",IF(INDEX(PCOp,$N398)="مرجوعی خرید","",IF(INDEX(PCAmount,$N398)&lt;=0,"",INDEX(PCAmount,$N398))),IF($O398&lt;&gt;"",IF(INDEX(TxnDepB,$O398)=0,"",INDEX(TxnDepB,$O398)),""))</f>
        <v/>
      </c>
      <c r="J398" s="25">
        <f>IF($N398&lt;&gt;"",IF(INDEX(PCOp,$N398)="مرجوعی خرید",IF(INDEX(PCAmount,$N398)=0,"",-INDEX(PCAmount,$N398)),""),IF($O398&lt;&gt;"",IF(INDEX(TxnWitB,$O398)=0,"",INDEX(TxnWitB,$O398)),""))</f>
        <v/>
      </c>
      <c r="K398" s="27">
        <f>IF($B398="","",IF($K397="",$C$10,$K397)+IF($I398="",0,$I398)-IF($J398="",0,$J398))</f>
        <v/>
      </c>
      <c r="L398" s="28">
        <f>IF($N398&lt;&gt;"",IF(INDEX(PCNotes,$N398)="","—",INDEX(PCNotes,$N398)),IF($O398&lt;&gt;"",IF(INDEX(LdgNoteB,$O398)="","—",INDEX(LdgNoteB,$O398)),""))</f>
        <v/>
      </c>
      <c r="N398">
        <f>IFERROR(MATCH($C$5&amp;"|"&amp;RIGHT("000000"&amp;382,6),LdgRankKeyA,0),"")</f>
        <v/>
      </c>
      <c r="O398">
        <f>IFERROR(MATCH($C$5&amp;"|"&amp;RIGHT("000000"&amp;382,6),LdgRankKeyB,0),"")</f>
        <v/>
      </c>
    </row>
    <row r="399">
      <c r="A399" s="17" t="n">
        <v>383</v>
      </c>
      <c r="B399" s="18">
        <f>IF(AND($N399="",$O399=""),"",IF($N399&lt;&gt;"",INDEX(PCNormDate,$N399),INDEX(LdgDateB,$O399)))</f>
        <v/>
      </c>
      <c r="C399" s="18">
        <f>IF($N399&lt;&gt;"",INDEX(PCOp,$N399),IF($O399&lt;&gt;"",IF(N(INDEX(TxnDepB,$O399))&gt;0,"دریافت بانکی","پرداخت بانکی"),""))</f>
        <v/>
      </c>
      <c r="D399" s="18">
        <f>IF($N399&lt;&gt;"",IF(INDEX(PCDoc,$N399)="","—",INDEX(PCDoc,$N399)),IF($O399&lt;&gt;"",INDEX(LdgBankB,$O399),""))</f>
        <v/>
      </c>
      <c r="E399" s="18">
        <f>IF($N399&lt;&gt;"",IF(INDEX(PCCitrus,$N399)="","—",INDEX(PCCitrus,$N399)),"")</f>
        <v/>
      </c>
      <c r="F399" s="19">
        <f>IF($N399&lt;&gt;"",IF(INDEX(PCScale,$N399)=0,"",INDEX(PCScale,$N399)),"")</f>
        <v/>
      </c>
      <c r="G399" s="19">
        <f>IF($N399&lt;&gt;"",IF(INDEX(PCBaskets,$N399)=0,"",INDEX(PCBaskets,$N399)),"")</f>
        <v/>
      </c>
      <c r="H399" s="20">
        <f>IF($N399&lt;&gt;"",IF(INDEX(PCNet,$N399)=0,"",INDEX(PCNet,$N399)),"")</f>
        <v/>
      </c>
      <c r="I399" s="19">
        <f>IF($N399&lt;&gt;"",IF(INDEX(PCOp,$N399)="مرجوعی خرید","",IF(INDEX(PCAmount,$N399)&lt;=0,"",INDEX(PCAmount,$N399))),IF($O399&lt;&gt;"",IF(INDEX(TxnDepB,$O399)=0,"",INDEX(TxnDepB,$O399)),""))</f>
        <v/>
      </c>
      <c r="J399" s="19">
        <f>IF($N399&lt;&gt;"",IF(INDEX(PCOp,$N399)="مرجوعی خرید",IF(INDEX(PCAmount,$N399)=0,"",-INDEX(PCAmount,$N399)),""),IF($O399&lt;&gt;"",IF(INDEX(TxnWitB,$O399)=0,"",INDEX(TxnWitB,$O399)),""))</f>
        <v/>
      </c>
      <c r="K399" s="21">
        <f>IF($B399="","",IF($K398="",$C$10,$K398)+IF($I399="",0,$I399)-IF($J399="",0,$J399))</f>
        <v/>
      </c>
      <c r="L399" s="22">
        <f>IF($N399&lt;&gt;"",IF(INDEX(PCNotes,$N399)="","—",INDEX(PCNotes,$N399)),IF($O399&lt;&gt;"",IF(INDEX(LdgNoteB,$O399)="","—",INDEX(LdgNoteB,$O399)),""))</f>
        <v/>
      </c>
      <c r="N399">
        <f>IFERROR(MATCH($C$5&amp;"|"&amp;RIGHT("000000"&amp;383,6),LdgRankKeyA,0),"")</f>
        <v/>
      </c>
      <c r="O399">
        <f>IFERROR(MATCH($C$5&amp;"|"&amp;RIGHT("000000"&amp;383,6),LdgRankKeyB,0),"")</f>
        <v/>
      </c>
    </row>
    <row r="400">
      <c r="A400" s="23" t="n">
        <v>384</v>
      </c>
      <c r="B400" s="24">
        <f>IF(AND($N400="",$O400=""),"",IF($N400&lt;&gt;"",INDEX(PCNormDate,$N400),INDEX(LdgDateB,$O400)))</f>
        <v/>
      </c>
      <c r="C400" s="24">
        <f>IF($N400&lt;&gt;"",INDEX(PCOp,$N400),IF($O400&lt;&gt;"",IF(N(INDEX(TxnDepB,$O400))&gt;0,"دریافت بانکی","پرداخت بانکی"),""))</f>
        <v/>
      </c>
      <c r="D400" s="24">
        <f>IF($N400&lt;&gt;"",IF(INDEX(PCDoc,$N400)="","—",INDEX(PCDoc,$N400)),IF($O400&lt;&gt;"",INDEX(LdgBankB,$O400),""))</f>
        <v/>
      </c>
      <c r="E400" s="24">
        <f>IF($N400&lt;&gt;"",IF(INDEX(PCCitrus,$N400)="","—",INDEX(PCCitrus,$N400)),"")</f>
        <v/>
      </c>
      <c r="F400" s="25">
        <f>IF($N400&lt;&gt;"",IF(INDEX(PCScale,$N400)=0,"",INDEX(PCScale,$N400)),"")</f>
        <v/>
      </c>
      <c r="G400" s="25">
        <f>IF($N400&lt;&gt;"",IF(INDEX(PCBaskets,$N400)=0,"",INDEX(PCBaskets,$N400)),"")</f>
        <v/>
      </c>
      <c r="H400" s="26">
        <f>IF($N400&lt;&gt;"",IF(INDEX(PCNet,$N400)=0,"",INDEX(PCNet,$N400)),"")</f>
        <v/>
      </c>
      <c r="I400" s="25">
        <f>IF($N400&lt;&gt;"",IF(INDEX(PCOp,$N400)="مرجوعی خرید","",IF(INDEX(PCAmount,$N400)&lt;=0,"",INDEX(PCAmount,$N400))),IF($O400&lt;&gt;"",IF(INDEX(TxnDepB,$O400)=0,"",INDEX(TxnDepB,$O400)),""))</f>
        <v/>
      </c>
      <c r="J400" s="25">
        <f>IF($N400&lt;&gt;"",IF(INDEX(PCOp,$N400)="مرجوعی خرید",IF(INDEX(PCAmount,$N400)=0,"",-INDEX(PCAmount,$N400)),""),IF($O400&lt;&gt;"",IF(INDEX(TxnWitB,$O400)=0,"",INDEX(TxnWitB,$O400)),""))</f>
        <v/>
      </c>
      <c r="K400" s="27">
        <f>IF($B400="","",IF($K399="",$C$10,$K399)+IF($I400="",0,$I400)-IF($J400="",0,$J400))</f>
        <v/>
      </c>
      <c r="L400" s="28">
        <f>IF($N400&lt;&gt;"",IF(INDEX(PCNotes,$N400)="","—",INDEX(PCNotes,$N400)),IF($O400&lt;&gt;"",IF(INDEX(LdgNoteB,$O400)="","—",INDEX(LdgNoteB,$O400)),""))</f>
        <v/>
      </c>
      <c r="N400">
        <f>IFERROR(MATCH($C$5&amp;"|"&amp;RIGHT("000000"&amp;384,6),LdgRankKeyA,0),"")</f>
        <v/>
      </c>
      <c r="O400">
        <f>IFERROR(MATCH($C$5&amp;"|"&amp;RIGHT("000000"&amp;384,6),LdgRankKeyB,0),"")</f>
        <v/>
      </c>
    </row>
    <row r="401">
      <c r="A401" s="17" t="n">
        <v>385</v>
      </c>
      <c r="B401" s="18">
        <f>IF(AND($N401="",$O401=""),"",IF($N401&lt;&gt;"",INDEX(PCNormDate,$N401),INDEX(LdgDateB,$O401)))</f>
        <v/>
      </c>
      <c r="C401" s="18">
        <f>IF($N401&lt;&gt;"",INDEX(PCOp,$N401),IF($O401&lt;&gt;"",IF(N(INDEX(TxnDepB,$O401))&gt;0,"دریافت بانکی","پرداخت بانکی"),""))</f>
        <v/>
      </c>
      <c r="D401" s="18">
        <f>IF($N401&lt;&gt;"",IF(INDEX(PCDoc,$N401)="","—",INDEX(PCDoc,$N401)),IF($O401&lt;&gt;"",INDEX(LdgBankB,$O401),""))</f>
        <v/>
      </c>
      <c r="E401" s="18">
        <f>IF($N401&lt;&gt;"",IF(INDEX(PCCitrus,$N401)="","—",INDEX(PCCitrus,$N401)),"")</f>
        <v/>
      </c>
      <c r="F401" s="19">
        <f>IF($N401&lt;&gt;"",IF(INDEX(PCScale,$N401)=0,"",INDEX(PCScale,$N401)),"")</f>
        <v/>
      </c>
      <c r="G401" s="19">
        <f>IF($N401&lt;&gt;"",IF(INDEX(PCBaskets,$N401)=0,"",INDEX(PCBaskets,$N401)),"")</f>
        <v/>
      </c>
      <c r="H401" s="20">
        <f>IF($N401&lt;&gt;"",IF(INDEX(PCNet,$N401)=0,"",INDEX(PCNet,$N401)),"")</f>
        <v/>
      </c>
      <c r="I401" s="19">
        <f>IF($N401&lt;&gt;"",IF(INDEX(PCOp,$N401)="مرجوعی خرید","",IF(INDEX(PCAmount,$N401)&lt;=0,"",INDEX(PCAmount,$N401))),IF($O401&lt;&gt;"",IF(INDEX(TxnDepB,$O401)=0,"",INDEX(TxnDepB,$O401)),""))</f>
        <v/>
      </c>
      <c r="J401" s="19">
        <f>IF($N401&lt;&gt;"",IF(INDEX(PCOp,$N401)="مرجوعی خرید",IF(INDEX(PCAmount,$N401)=0,"",-INDEX(PCAmount,$N401)),""),IF($O401&lt;&gt;"",IF(INDEX(TxnWitB,$O401)=0,"",INDEX(TxnWitB,$O401)),""))</f>
        <v/>
      </c>
      <c r="K401" s="21">
        <f>IF($B401="","",IF($K400="",$C$10,$K400)+IF($I401="",0,$I401)-IF($J401="",0,$J401))</f>
        <v/>
      </c>
      <c r="L401" s="22">
        <f>IF($N401&lt;&gt;"",IF(INDEX(PCNotes,$N401)="","—",INDEX(PCNotes,$N401)),IF($O401&lt;&gt;"",IF(INDEX(LdgNoteB,$O401)="","—",INDEX(LdgNoteB,$O401)),""))</f>
        <v/>
      </c>
      <c r="N401">
        <f>IFERROR(MATCH($C$5&amp;"|"&amp;RIGHT("000000"&amp;385,6),LdgRankKeyA,0),"")</f>
        <v/>
      </c>
      <c r="O401">
        <f>IFERROR(MATCH($C$5&amp;"|"&amp;RIGHT("000000"&amp;385,6),LdgRankKeyB,0),"")</f>
        <v/>
      </c>
    </row>
    <row r="402">
      <c r="A402" s="23" t="n">
        <v>386</v>
      </c>
      <c r="B402" s="24">
        <f>IF(AND($N402="",$O402=""),"",IF($N402&lt;&gt;"",INDEX(PCNormDate,$N402),INDEX(LdgDateB,$O402)))</f>
        <v/>
      </c>
      <c r="C402" s="24">
        <f>IF($N402&lt;&gt;"",INDEX(PCOp,$N402),IF($O402&lt;&gt;"",IF(N(INDEX(TxnDepB,$O402))&gt;0,"دریافت بانکی","پرداخت بانکی"),""))</f>
        <v/>
      </c>
      <c r="D402" s="24">
        <f>IF($N402&lt;&gt;"",IF(INDEX(PCDoc,$N402)="","—",INDEX(PCDoc,$N402)),IF($O402&lt;&gt;"",INDEX(LdgBankB,$O402),""))</f>
        <v/>
      </c>
      <c r="E402" s="24">
        <f>IF($N402&lt;&gt;"",IF(INDEX(PCCitrus,$N402)="","—",INDEX(PCCitrus,$N402)),"")</f>
        <v/>
      </c>
      <c r="F402" s="25">
        <f>IF($N402&lt;&gt;"",IF(INDEX(PCScale,$N402)=0,"",INDEX(PCScale,$N402)),"")</f>
        <v/>
      </c>
      <c r="G402" s="25">
        <f>IF($N402&lt;&gt;"",IF(INDEX(PCBaskets,$N402)=0,"",INDEX(PCBaskets,$N402)),"")</f>
        <v/>
      </c>
      <c r="H402" s="26">
        <f>IF($N402&lt;&gt;"",IF(INDEX(PCNet,$N402)=0,"",INDEX(PCNet,$N402)),"")</f>
        <v/>
      </c>
      <c r="I402" s="25">
        <f>IF($N402&lt;&gt;"",IF(INDEX(PCOp,$N402)="مرجوعی خرید","",IF(INDEX(PCAmount,$N402)&lt;=0,"",INDEX(PCAmount,$N402))),IF($O402&lt;&gt;"",IF(INDEX(TxnDepB,$O402)=0,"",INDEX(TxnDepB,$O402)),""))</f>
        <v/>
      </c>
      <c r="J402" s="25">
        <f>IF($N402&lt;&gt;"",IF(INDEX(PCOp,$N402)="مرجوعی خرید",IF(INDEX(PCAmount,$N402)=0,"",-INDEX(PCAmount,$N402)),""),IF($O402&lt;&gt;"",IF(INDEX(TxnWitB,$O402)=0,"",INDEX(TxnWitB,$O402)),""))</f>
        <v/>
      </c>
      <c r="K402" s="27">
        <f>IF($B402="","",IF($K401="",$C$10,$K401)+IF($I402="",0,$I402)-IF($J402="",0,$J402))</f>
        <v/>
      </c>
      <c r="L402" s="28">
        <f>IF($N402&lt;&gt;"",IF(INDEX(PCNotes,$N402)="","—",INDEX(PCNotes,$N402)),IF($O402&lt;&gt;"",IF(INDEX(LdgNoteB,$O402)="","—",INDEX(LdgNoteB,$O402)),""))</f>
        <v/>
      </c>
      <c r="N402">
        <f>IFERROR(MATCH($C$5&amp;"|"&amp;RIGHT("000000"&amp;386,6),LdgRankKeyA,0),"")</f>
        <v/>
      </c>
      <c r="O402">
        <f>IFERROR(MATCH($C$5&amp;"|"&amp;RIGHT("000000"&amp;386,6),LdgRankKeyB,0),"")</f>
        <v/>
      </c>
    </row>
    <row r="403">
      <c r="A403" s="17" t="n">
        <v>387</v>
      </c>
      <c r="B403" s="18">
        <f>IF(AND($N403="",$O403=""),"",IF($N403&lt;&gt;"",INDEX(PCNormDate,$N403),INDEX(LdgDateB,$O403)))</f>
        <v/>
      </c>
      <c r="C403" s="18">
        <f>IF($N403&lt;&gt;"",INDEX(PCOp,$N403),IF($O403&lt;&gt;"",IF(N(INDEX(TxnDepB,$O403))&gt;0,"دریافت بانکی","پرداخت بانکی"),""))</f>
        <v/>
      </c>
      <c r="D403" s="18">
        <f>IF($N403&lt;&gt;"",IF(INDEX(PCDoc,$N403)="","—",INDEX(PCDoc,$N403)),IF($O403&lt;&gt;"",INDEX(LdgBankB,$O403),""))</f>
        <v/>
      </c>
      <c r="E403" s="18">
        <f>IF($N403&lt;&gt;"",IF(INDEX(PCCitrus,$N403)="","—",INDEX(PCCitrus,$N403)),"")</f>
        <v/>
      </c>
      <c r="F403" s="19">
        <f>IF($N403&lt;&gt;"",IF(INDEX(PCScale,$N403)=0,"",INDEX(PCScale,$N403)),"")</f>
        <v/>
      </c>
      <c r="G403" s="19">
        <f>IF($N403&lt;&gt;"",IF(INDEX(PCBaskets,$N403)=0,"",INDEX(PCBaskets,$N403)),"")</f>
        <v/>
      </c>
      <c r="H403" s="20">
        <f>IF($N403&lt;&gt;"",IF(INDEX(PCNet,$N403)=0,"",INDEX(PCNet,$N403)),"")</f>
        <v/>
      </c>
      <c r="I403" s="19">
        <f>IF($N403&lt;&gt;"",IF(INDEX(PCOp,$N403)="مرجوعی خرید","",IF(INDEX(PCAmount,$N403)&lt;=0,"",INDEX(PCAmount,$N403))),IF($O403&lt;&gt;"",IF(INDEX(TxnDepB,$O403)=0,"",INDEX(TxnDepB,$O403)),""))</f>
        <v/>
      </c>
      <c r="J403" s="19">
        <f>IF($N403&lt;&gt;"",IF(INDEX(PCOp,$N403)="مرجوعی خرید",IF(INDEX(PCAmount,$N403)=0,"",-INDEX(PCAmount,$N403)),""),IF($O403&lt;&gt;"",IF(INDEX(TxnWitB,$O403)=0,"",INDEX(TxnWitB,$O403)),""))</f>
        <v/>
      </c>
      <c r="K403" s="21">
        <f>IF($B403="","",IF($K402="",$C$10,$K402)+IF($I403="",0,$I403)-IF($J403="",0,$J403))</f>
        <v/>
      </c>
      <c r="L403" s="22">
        <f>IF($N403&lt;&gt;"",IF(INDEX(PCNotes,$N403)="","—",INDEX(PCNotes,$N403)),IF($O403&lt;&gt;"",IF(INDEX(LdgNoteB,$O403)="","—",INDEX(LdgNoteB,$O403)),""))</f>
        <v/>
      </c>
      <c r="N403">
        <f>IFERROR(MATCH($C$5&amp;"|"&amp;RIGHT("000000"&amp;387,6),LdgRankKeyA,0),"")</f>
        <v/>
      </c>
      <c r="O403">
        <f>IFERROR(MATCH($C$5&amp;"|"&amp;RIGHT("000000"&amp;387,6),LdgRankKeyB,0),"")</f>
        <v/>
      </c>
    </row>
    <row r="404">
      <c r="A404" s="23" t="n">
        <v>388</v>
      </c>
      <c r="B404" s="24">
        <f>IF(AND($N404="",$O404=""),"",IF($N404&lt;&gt;"",INDEX(PCNormDate,$N404),INDEX(LdgDateB,$O404)))</f>
        <v/>
      </c>
      <c r="C404" s="24">
        <f>IF($N404&lt;&gt;"",INDEX(PCOp,$N404),IF($O404&lt;&gt;"",IF(N(INDEX(TxnDepB,$O404))&gt;0,"دریافت بانکی","پرداخت بانکی"),""))</f>
        <v/>
      </c>
      <c r="D404" s="24">
        <f>IF($N404&lt;&gt;"",IF(INDEX(PCDoc,$N404)="","—",INDEX(PCDoc,$N404)),IF($O404&lt;&gt;"",INDEX(LdgBankB,$O404),""))</f>
        <v/>
      </c>
      <c r="E404" s="24">
        <f>IF($N404&lt;&gt;"",IF(INDEX(PCCitrus,$N404)="","—",INDEX(PCCitrus,$N404)),"")</f>
        <v/>
      </c>
      <c r="F404" s="25">
        <f>IF($N404&lt;&gt;"",IF(INDEX(PCScale,$N404)=0,"",INDEX(PCScale,$N404)),"")</f>
        <v/>
      </c>
      <c r="G404" s="25">
        <f>IF($N404&lt;&gt;"",IF(INDEX(PCBaskets,$N404)=0,"",INDEX(PCBaskets,$N404)),"")</f>
        <v/>
      </c>
      <c r="H404" s="26">
        <f>IF($N404&lt;&gt;"",IF(INDEX(PCNet,$N404)=0,"",INDEX(PCNet,$N404)),"")</f>
        <v/>
      </c>
      <c r="I404" s="25">
        <f>IF($N404&lt;&gt;"",IF(INDEX(PCOp,$N404)="مرجوعی خرید","",IF(INDEX(PCAmount,$N404)&lt;=0,"",INDEX(PCAmount,$N404))),IF($O404&lt;&gt;"",IF(INDEX(TxnDepB,$O404)=0,"",INDEX(TxnDepB,$O404)),""))</f>
        <v/>
      </c>
      <c r="J404" s="25">
        <f>IF($N404&lt;&gt;"",IF(INDEX(PCOp,$N404)="مرجوعی خرید",IF(INDEX(PCAmount,$N404)=0,"",-INDEX(PCAmount,$N404)),""),IF($O404&lt;&gt;"",IF(INDEX(TxnWitB,$O404)=0,"",INDEX(TxnWitB,$O404)),""))</f>
        <v/>
      </c>
      <c r="K404" s="27">
        <f>IF($B404="","",IF($K403="",$C$10,$K403)+IF($I404="",0,$I404)-IF($J404="",0,$J404))</f>
        <v/>
      </c>
      <c r="L404" s="28">
        <f>IF($N404&lt;&gt;"",IF(INDEX(PCNotes,$N404)="","—",INDEX(PCNotes,$N404)),IF($O404&lt;&gt;"",IF(INDEX(LdgNoteB,$O404)="","—",INDEX(LdgNoteB,$O404)),""))</f>
        <v/>
      </c>
      <c r="N404">
        <f>IFERROR(MATCH($C$5&amp;"|"&amp;RIGHT("000000"&amp;388,6),LdgRankKeyA,0),"")</f>
        <v/>
      </c>
      <c r="O404">
        <f>IFERROR(MATCH($C$5&amp;"|"&amp;RIGHT("000000"&amp;388,6),LdgRankKeyB,0),"")</f>
        <v/>
      </c>
    </row>
    <row r="405">
      <c r="A405" s="17" t="n">
        <v>389</v>
      </c>
      <c r="B405" s="18">
        <f>IF(AND($N405="",$O405=""),"",IF($N405&lt;&gt;"",INDEX(PCNormDate,$N405),INDEX(LdgDateB,$O405)))</f>
        <v/>
      </c>
      <c r="C405" s="18">
        <f>IF($N405&lt;&gt;"",INDEX(PCOp,$N405),IF($O405&lt;&gt;"",IF(N(INDEX(TxnDepB,$O405))&gt;0,"دریافت بانکی","پرداخت بانکی"),""))</f>
        <v/>
      </c>
      <c r="D405" s="18">
        <f>IF($N405&lt;&gt;"",IF(INDEX(PCDoc,$N405)="","—",INDEX(PCDoc,$N405)),IF($O405&lt;&gt;"",INDEX(LdgBankB,$O405),""))</f>
        <v/>
      </c>
      <c r="E405" s="18">
        <f>IF($N405&lt;&gt;"",IF(INDEX(PCCitrus,$N405)="","—",INDEX(PCCitrus,$N405)),"")</f>
        <v/>
      </c>
      <c r="F405" s="19">
        <f>IF($N405&lt;&gt;"",IF(INDEX(PCScale,$N405)=0,"",INDEX(PCScale,$N405)),"")</f>
        <v/>
      </c>
      <c r="G405" s="19">
        <f>IF($N405&lt;&gt;"",IF(INDEX(PCBaskets,$N405)=0,"",INDEX(PCBaskets,$N405)),"")</f>
        <v/>
      </c>
      <c r="H405" s="20">
        <f>IF($N405&lt;&gt;"",IF(INDEX(PCNet,$N405)=0,"",INDEX(PCNet,$N405)),"")</f>
        <v/>
      </c>
      <c r="I405" s="19">
        <f>IF($N405&lt;&gt;"",IF(INDEX(PCOp,$N405)="مرجوعی خرید","",IF(INDEX(PCAmount,$N405)&lt;=0,"",INDEX(PCAmount,$N405))),IF($O405&lt;&gt;"",IF(INDEX(TxnDepB,$O405)=0,"",INDEX(TxnDepB,$O405)),""))</f>
        <v/>
      </c>
      <c r="J405" s="19">
        <f>IF($N405&lt;&gt;"",IF(INDEX(PCOp,$N405)="مرجوعی خرید",IF(INDEX(PCAmount,$N405)=0,"",-INDEX(PCAmount,$N405)),""),IF($O405&lt;&gt;"",IF(INDEX(TxnWitB,$O405)=0,"",INDEX(TxnWitB,$O405)),""))</f>
        <v/>
      </c>
      <c r="K405" s="21">
        <f>IF($B405="","",IF($K404="",$C$10,$K404)+IF($I405="",0,$I405)-IF($J405="",0,$J405))</f>
        <v/>
      </c>
      <c r="L405" s="22">
        <f>IF($N405&lt;&gt;"",IF(INDEX(PCNotes,$N405)="","—",INDEX(PCNotes,$N405)),IF($O405&lt;&gt;"",IF(INDEX(LdgNoteB,$O405)="","—",INDEX(LdgNoteB,$O405)),""))</f>
        <v/>
      </c>
      <c r="N405">
        <f>IFERROR(MATCH($C$5&amp;"|"&amp;RIGHT("000000"&amp;389,6),LdgRankKeyA,0),"")</f>
        <v/>
      </c>
      <c r="O405">
        <f>IFERROR(MATCH($C$5&amp;"|"&amp;RIGHT("000000"&amp;389,6),LdgRankKeyB,0),"")</f>
        <v/>
      </c>
    </row>
    <row r="406">
      <c r="A406" s="23" t="n">
        <v>390</v>
      </c>
      <c r="B406" s="24">
        <f>IF(AND($N406="",$O406=""),"",IF($N406&lt;&gt;"",INDEX(PCNormDate,$N406),INDEX(LdgDateB,$O406)))</f>
        <v/>
      </c>
      <c r="C406" s="24">
        <f>IF($N406&lt;&gt;"",INDEX(PCOp,$N406),IF($O406&lt;&gt;"",IF(N(INDEX(TxnDepB,$O406))&gt;0,"دریافت بانکی","پرداخت بانکی"),""))</f>
        <v/>
      </c>
      <c r="D406" s="24">
        <f>IF($N406&lt;&gt;"",IF(INDEX(PCDoc,$N406)="","—",INDEX(PCDoc,$N406)),IF($O406&lt;&gt;"",INDEX(LdgBankB,$O406),""))</f>
        <v/>
      </c>
      <c r="E406" s="24">
        <f>IF($N406&lt;&gt;"",IF(INDEX(PCCitrus,$N406)="","—",INDEX(PCCitrus,$N406)),"")</f>
        <v/>
      </c>
      <c r="F406" s="25">
        <f>IF($N406&lt;&gt;"",IF(INDEX(PCScale,$N406)=0,"",INDEX(PCScale,$N406)),"")</f>
        <v/>
      </c>
      <c r="G406" s="25">
        <f>IF($N406&lt;&gt;"",IF(INDEX(PCBaskets,$N406)=0,"",INDEX(PCBaskets,$N406)),"")</f>
        <v/>
      </c>
      <c r="H406" s="26">
        <f>IF($N406&lt;&gt;"",IF(INDEX(PCNet,$N406)=0,"",INDEX(PCNet,$N406)),"")</f>
        <v/>
      </c>
      <c r="I406" s="25">
        <f>IF($N406&lt;&gt;"",IF(INDEX(PCOp,$N406)="مرجوعی خرید","",IF(INDEX(PCAmount,$N406)&lt;=0,"",INDEX(PCAmount,$N406))),IF($O406&lt;&gt;"",IF(INDEX(TxnDepB,$O406)=0,"",INDEX(TxnDepB,$O406)),""))</f>
        <v/>
      </c>
      <c r="J406" s="25">
        <f>IF($N406&lt;&gt;"",IF(INDEX(PCOp,$N406)="مرجوعی خرید",IF(INDEX(PCAmount,$N406)=0,"",-INDEX(PCAmount,$N406)),""),IF($O406&lt;&gt;"",IF(INDEX(TxnWitB,$O406)=0,"",INDEX(TxnWitB,$O406)),""))</f>
        <v/>
      </c>
      <c r="K406" s="27">
        <f>IF($B406="","",IF($K405="",$C$10,$K405)+IF($I406="",0,$I406)-IF($J406="",0,$J406))</f>
        <v/>
      </c>
      <c r="L406" s="28">
        <f>IF($N406&lt;&gt;"",IF(INDEX(PCNotes,$N406)="","—",INDEX(PCNotes,$N406)),IF($O406&lt;&gt;"",IF(INDEX(LdgNoteB,$O406)="","—",INDEX(LdgNoteB,$O406)),""))</f>
        <v/>
      </c>
      <c r="N406">
        <f>IFERROR(MATCH($C$5&amp;"|"&amp;RIGHT("000000"&amp;390,6),LdgRankKeyA,0),"")</f>
        <v/>
      </c>
      <c r="O406">
        <f>IFERROR(MATCH($C$5&amp;"|"&amp;RIGHT("000000"&amp;390,6),LdgRankKeyB,0),"")</f>
        <v/>
      </c>
    </row>
    <row r="407">
      <c r="A407" s="17" t="n">
        <v>391</v>
      </c>
      <c r="B407" s="18">
        <f>IF(AND($N407="",$O407=""),"",IF($N407&lt;&gt;"",INDEX(PCNormDate,$N407),INDEX(LdgDateB,$O407)))</f>
        <v/>
      </c>
      <c r="C407" s="18">
        <f>IF($N407&lt;&gt;"",INDEX(PCOp,$N407),IF($O407&lt;&gt;"",IF(N(INDEX(TxnDepB,$O407))&gt;0,"دریافت بانکی","پرداخت بانکی"),""))</f>
        <v/>
      </c>
      <c r="D407" s="18">
        <f>IF($N407&lt;&gt;"",IF(INDEX(PCDoc,$N407)="","—",INDEX(PCDoc,$N407)),IF($O407&lt;&gt;"",INDEX(LdgBankB,$O407),""))</f>
        <v/>
      </c>
      <c r="E407" s="18">
        <f>IF($N407&lt;&gt;"",IF(INDEX(PCCitrus,$N407)="","—",INDEX(PCCitrus,$N407)),"")</f>
        <v/>
      </c>
      <c r="F407" s="19">
        <f>IF($N407&lt;&gt;"",IF(INDEX(PCScale,$N407)=0,"",INDEX(PCScale,$N407)),"")</f>
        <v/>
      </c>
      <c r="G407" s="19">
        <f>IF($N407&lt;&gt;"",IF(INDEX(PCBaskets,$N407)=0,"",INDEX(PCBaskets,$N407)),"")</f>
        <v/>
      </c>
      <c r="H407" s="20">
        <f>IF($N407&lt;&gt;"",IF(INDEX(PCNet,$N407)=0,"",INDEX(PCNet,$N407)),"")</f>
        <v/>
      </c>
      <c r="I407" s="19">
        <f>IF($N407&lt;&gt;"",IF(INDEX(PCOp,$N407)="مرجوعی خرید","",IF(INDEX(PCAmount,$N407)&lt;=0,"",INDEX(PCAmount,$N407))),IF($O407&lt;&gt;"",IF(INDEX(TxnDepB,$O407)=0,"",INDEX(TxnDepB,$O407)),""))</f>
        <v/>
      </c>
      <c r="J407" s="19">
        <f>IF($N407&lt;&gt;"",IF(INDEX(PCOp,$N407)="مرجوعی خرید",IF(INDEX(PCAmount,$N407)=0,"",-INDEX(PCAmount,$N407)),""),IF($O407&lt;&gt;"",IF(INDEX(TxnWitB,$O407)=0,"",INDEX(TxnWitB,$O407)),""))</f>
        <v/>
      </c>
      <c r="K407" s="21">
        <f>IF($B407="","",IF($K406="",$C$10,$K406)+IF($I407="",0,$I407)-IF($J407="",0,$J407))</f>
        <v/>
      </c>
      <c r="L407" s="22">
        <f>IF($N407&lt;&gt;"",IF(INDEX(PCNotes,$N407)="","—",INDEX(PCNotes,$N407)),IF($O407&lt;&gt;"",IF(INDEX(LdgNoteB,$O407)="","—",INDEX(LdgNoteB,$O407)),""))</f>
        <v/>
      </c>
      <c r="N407">
        <f>IFERROR(MATCH($C$5&amp;"|"&amp;RIGHT("000000"&amp;391,6),LdgRankKeyA,0),"")</f>
        <v/>
      </c>
      <c r="O407">
        <f>IFERROR(MATCH($C$5&amp;"|"&amp;RIGHT("000000"&amp;391,6),LdgRankKeyB,0),"")</f>
        <v/>
      </c>
    </row>
    <row r="408">
      <c r="A408" s="23" t="n">
        <v>392</v>
      </c>
      <c r="B408" s="24">
        <f>IF(AND($N408="",$O408=""),"",IF($N408&lt;&gt;"",INDEX(PCNormDate,$N408),INDEX(LdgDateB,$O408)))</f>
        <v/>
      </c>
      <c r="C408" s="24">
        <f>IF($N408&lt;&gt;"",INDEX(PCOp,$N408),IF($O408&lt;&gt;"",IF(N(INDEX(TxnDepB,$O408))&gt;0,"دریافت بانکی","پرداخت بانکی"),""))</f>
        <v/>
      </c>
      <c r="D408" s="24">
        <f>IF($N408&lt;&gt;"",IF(INDEX(PCDoc,$N408)="","—",INDEX(PCDoc,$N408)),IF($O408&lt;&gt;"",INDEX(LdgBankB,$O408),""))</f>
        <v/>
      </c>
      <c r="E408" s="24">
        <f>IF($N408&lt;&gt;"",IF(INDEX(PCCitrus,$N408)="","—",INDEX(PCCitrus,$N408)),"")</f>
        <v/>
      </c>
      <c r="F408" s="25">
        <f>IF($N408&lt;&gt;"",IF(INDEX(PCScale,$N408)=0,"",INDEX(PCScale,$N408)),"")</f>
        <v/>
      </c>
      <c r="G408" s="25">
        <f>IF($N408&lt;&gt;"",IF(INDEX(PCBaskets,$N408)=0,"",INDEX(PCBaskets,$N408)),"")</f>
        <v/>
      </c>
      <c r="H408" s="26">
        <f>IF($N408&lt;&gt;"",IF(INDEX(PCNet,$N408)=0,"",INDEX(PCNet,$N408)),"")</f>
        <v/>
      </c>
      <c r="I408" s="25">
        <f>IF($N408&lt;&gt;"",IF(INDEX(PCOp,$N408)="مرجوعی خرید","",IF(INDEX(PCAmount,$N408)&lt;=0,"",INDEX(PCAmount,$N408))),IF($O408&lt;&gt;"",IF(INDEX(TxnDepB,$O408)=0,"",INDEX(TxnDepB,$O408)),""))</f>
        <v/>
      </c>
      <c r="J408" s="25">
        <f>IF($N408&lt;&gt;"",IF(INDEX(PCOp,$N408)="مرجوعی خرید",IF(INDEX(PCAmount,$N408)=0,"",-INDEX(PCAmount,$N408)),""),IF($O408&lt;&gt;"",IF(INDEX(TxnWitB,$O408)=0,"",INDEX(TxnWitB,$O408)),""))</f>
        <v/>
      </c>
      <c r="K408" s="27">
        <f>IF($B408="","",IF($K407="",$C$10,$K407)+IF($I408="",0,$I408)-IF($J408="",0,$J408))</f>
        <v/>
      </c>
      <c r="L408" s="28">
        <f>IF($N408&lt;&gt;"",IF(INDEX(PCNotes,$N408)="","—",INDEX(PCNotes,$N408)),IF($O408&lt;&gt;"",IF(INDEX(LdgNoteB,$O408)="","—",INDEX(LdgNoteB,$O408)),""))</f>
        <v/>
      </c>
      <c r="N408">
        <f>IFERROR(MATCH($C$5&amp;"|"&amp;RIGHT("000000"&amp;392,6),LdgRankKeyA,0),"")</f>
        <v/>
      </c>
      <c r="O408">
        <f>IFERROR(MATCH($C$5&amp;"|"&amp;RIGHT("000000"&amp;392,6),LdgRankKeyB,0),"")</f>
        <v/>
      </c>
    </row>
    <row r="409">
      <c r="A409" s="17" t="n">
        <v>393</v>
      </c>
      <c r="B409" s="18">
        <f>IF(AND($N409="",$O409=""),"",IF($N409&lt;&gt;"",INDEX(PCNormDate,$N409),INDEX(LdgDateB,$O409)))</f>
        <v/>
      </c>
      <c r="C409" s="18">
        <f>IF($N409&lt;&gt;"",INDEX(PCOp,$N409),IF($O409&lt;&gt;"",IF(N(INDEX(TxnDepB,$O409))&gt;0,"دریافت بانکی","پرداخت بانکی"),""))</f>
        <v/>
      </c>
      <c r="D409" s="18">
        <f>IF($N409&lt;&gt;"",IF(INDEX(PCDoc,$N409)="","—",INDEX(PCDoc,$N409)),IF($O409&lt;&gt;"",INDEX(LdgBankB,$O409),""))</f>
        <v/>
      </c>
      <c r="E409" s="18">
        <f>IF($N409&lt;&gt;"",IF(INDEX(PCCitrus,$N409)="","—",INDEX(PCCitrus,$N409)),"")</f>
        <v/>
      </c>
      <c r="F409" s="19">
        <f>IF($N409&lt;&gt;"",IF(INDEX(PCScale,$N409)=0,"",INDEX(PCScale,$N409)),"")</f>
        <v/>
      </c>
      <c r="G409" s="19">
        <f>IF($N409&lt;&gt;"",IF(INDEX(PCBaskets,$N409)=0,"",INDEX(PCBaskets,$N409)),"")</f>
        <v/>
      </c>
      <c r="H409" s="20">
        <f>IF($N409&lt;&gt;"",IF(INDEX(PCNet,$N409)=0,"",INDEX(PCNet,$N409)),"")</f>
        <v/>
      </c>
      <c r="I409" s="19">
        <f>IF($N409&lt;&gt;"",IF(INDEX(PCOp,$N409)="مرجوعی خرید","",IF(INDEX(PCAmount,$N409)&lt;=0,"",INDEX(PCAmount,$N409))),IF($O409&lt;&gt;"",IF(INDEX(TxnDepB,$O409)=0,"",INDEX(TxnDepB,$O409)),""))</f>
        <v/>
      </c>
      <c r="J409" s="19">
        <f>IF($N409&lt;&gt;"",IF(INDEX(PCOp,$N409)="مرجوعی خرید",IF(INDEX(PCAmount,$N409)=0,"",-INDEX(PCAmount,$N409)),""),IF($O409&lt;&gt;"",IF(INDEX(TxnWitB,$O409)=0,"",INDEX(TxnWitB,$O409)),""))</f>
        <v/>
      </c>
      <c r="K409" s="21">
        <f>IF($B409="","",IF($K408="",$C$10,$K408)+IF($I409="",0,$I409)-IF($J409="",0,$J409))</f>
        <v/>
      </c>
      <c r="L409" s="22">
        <f>IF($N409&lt;&gt;"",IF(INDEX(PCNotes,$N409)="","—",INDEX(PCNotes,$N409)),IF($O409&lt;&gt;"",IF(INDEX(LdgNoteB,$O409)="","—",INDEX(LdgNoteB,$O409)),""))</f>
        <v/>
      </c>
      <c r="N409">
        <f>IFERROR(MATCH($C$5&amp;"|"&amp;RIGHT("000000"&amp;393,6),LdgRankKeyA,0),"")</f>
        <v/>
      </c>
      <c r="O409">
        <f>IFERROR(MATCH($C$5&amp;"|"&amp;RIGHT("000000"&amp;393,6),LdgRankKeyB,0),"")</f>
        <v/>
      </c>
    </row>
    <row r="410">
      <c r="A410" s="23" t="n">
        <v>394</v>
      </c>
      <c r="B410" s="24">
        <f>IF(AND($N410="",$O410=""),"",IF($N410&lt;&gt;"",INDEX(PCNormDate,$N410),INDEX(LdgDateB,$O410)))</f>
        <v/>
      </c>
      <c r="C410" s="24">
        <f>IF($N410&lt;&gt;"",INDEX(PCOp,$N410),IF($O410&lt;&gt;"",IF(N(INDEX(TxnDepB,$O410))&gt;0,"دریافت بانکی","پرداخت بانکی"),""))</f>
        <v/>
      </c>
      <c r="D410" s="24">
        <f>IF($N410&lt;&gt;"",IF(INDEX(PCDoc,$N410)="","—",INDEX(PCDoc,$N410)),IF($O410&lt;&gt;"",INDEX(LdgBankB,$O410),""))</f>
        <v/>
      </c>
      <c r="E410" s="24">
        <f>IF($N410&lt;&gt;"",IF(INDEX(PCCitrus,$N410)="","—",INDEX(PCCitrus,$N410)),"")</f>
        <v/>
      </c>
      <c r="F410" s="25">
        <f>IF($N410&lt;&gt;"",IF(INDEX(PCScale,$N410)=0,"",INDEX(PCScale,$N410)),"")</f>
        <v/>
      </c>
      <c r="G410" s="25">
        <f>IF($N410&lt;&gt;"",IF(INDEX(PCBaskets,$N410)=0,"",INDEX(PCBaskets,$N410)),"")</f>
        <v/>
      </c>
      <c r="H410" s="26">
        <f>IF($N410&lt;&gt;"",IF(INDEX(PCNet,$N410)=0,"",INDEX(PCNet,$N410)),"")</f>
        <v/>
      </c>
      <c r="I410" s="25">
        <f>IF($N410&lt;&gt;"",IF(INDEX(PCOp,$N410)="مرجوعی خرید","",IF(INDEX(PCAmount,$N410)&lt;=0,"",INDEX(PCAmount,$N410))),IF($O410&lt;&gt;"",IF(INDEX(TxnDepB,$O410)=0,"",INDEX(TxnDepB,$O410)),""))</f>
        <v/>
      </c>
      <c r="J410" s="25">
        <f>IF($N410&lt;&gt;"",IF(INDEX(PCOp,$N410)="مرجوعی خرید",IF(INDEX(PCAmount,$N410)=0,"",-INDEX(PCAmount,$N410)),""),IF($O410&lt;&gt;"",IF(INDEX(TxnWitB,$O410)=0,"",INDEX(TxnWitB,$O410)),""))</f>
        <v/>
      </c>
      <c r="K410" s="27">
        <f>IF($B410="","",IF($K409="",$C$10,$K409)+IF($I410="",0,$I410)-IF($J410="",0,$J410))</f>
        <v/>
      </c>
      <c r="L410" s="28">
        <f>IF($N410&lt;&gt;"",IF(INDEX(PCNotes,$N410)="","—",INDEX(PCNotes,$N410)),IF($O410&lt;&gt;"",IF(INDEX(LdgNoteB,$O410)="","—",INDEX(LdgNoteB,$O410)),""))</f>
        <v/>
      </c>
      <c r="N410">
        <f>IFERROR(MATCH($C$5&amp;"|"&amp;RIGHT("000000"&amp;394,6),LdgRankKeyA,0),"")</f>
        <v/>
      </c>
      <c r="O410">
        <f>IFERROR(MATCH($C$5&amp;"|"&amp;RIGHT("000000"&amp;394,6),LdgRankKeyB,0),"")</f>
        <v/>
      </c>
    </row>
    <row r="411">
      <c r="A411" s="17" t="n">
        <v>395</v>
      </c>
      <c r="B411" s="18">
        <f>IF(AND($N411="",$O411=""),"",IF($N411&lt;&gt;"",INDEX(PCNormDate,$N411),INDEX(LdgDateB,$O411)))</f>
        <v/>
      </c>
      <c r="C411" s="18">
        <f>IF($N411&lt;&gt;"",INDEX(PCOp,$N411),IF($O411&lt;&gt;"",IF(N(INDEX(TxnDepB,$O411))&gt;0,"دریافت بانکی","پرداخت بانکی"),""))</f>
        <v/>
      </c>
      <c r="D411" s="18">
        <f>IF($N411&lt;&gt;"",IF(INDEX(PCDoc,$N411)="","—",INDEX(PCDoc,$N411)),IF($O411&lt;&gt;"",INDEX(LdgBankB,$O411),""))</f>
        <v/>
      </c>
      <c r="E411" s="18">
        <f>IF($N411&lt;&gt;"",IF(INDEX(PCCitrus,$N411)="","—",INDEX(PCCitrus,$N411)),"")</f>
        <v/>
      </c>
      <c r="F411" s="19">
        <f>IF($N411&lt;&gt;"",IF(INDEX(PCScale,$N411)=0,"",INDEX(PCScale,$N411)),"")</f>
        <v/>
      </c>
      <c r="G411" s="19">
        <f>IF($N411&lt;&gt;"",IF(INDEX(PCBaskets,$N411)=0,"",INDEX(PCBaskets,$N411)),"")</f>
        <v/>
      </c>
      <c r="H411" s="20">
        <f>IF($N411&lt;&gt;"",IF(INDEX(PCNet,$N411)=0,"",INDEX(PCNet,$N411)),"")</f>
        <v/>
      </c>
      <c r="I411" s="19">
        <f>IF($N411&lt;&gt;"",IF(INDEX(PCOp,$N411)="مرجوعی خرید","",IF(INDEX(PCAmount,$N411)&lt;=0,"",INDEX(PCAmount,$N411))),IF($O411&lt;&gt;"",IF(INDEX(TxnDepB,$O411)=0,"",INDEX(TxnDepB,$O411)),""))</f>
        <v/>
      </c>
      <c r="J411" s="19">
        <f>IF($N411&lt;&gt;"",IF(INDEX(PCOp,$N411)="مرجوعی خرید",IF(INDEX(PCAmount,$N411)=0,"",-INDEX(PCAmount,$N411)),""),IF($O411&lt;&gt;"",IF(INDEX(TxnWitB,$O411)=0,"",INDEX(TxnWitB,$O411)),""))</f>
        <v/>
      </c>
      <c r="K411" s="21">
        <f>IF($B411="","",IF($K410="",$C$10,$K410)+IF($I411="",0,$I411)-IF($J411="",0,$J411))</f>
        <v/>
      </c>
      <c r="L411" s="22">
        <f>IF($N411&lt;&gt;"",IF(INDEX(PCNotes,$N411)="","—",INDEX(PCNotes,$N411)),IF($O411&lt;&gt;"",IF(INDEX(LdgNoteB,$O411)="","—",INDEX(LdgNoteB,$O411)),""))</f>
        <v/>
      </c>
      <c r="N411">
        <f>IFERROR(MATCH($C$5&amp;"|"&amp;RIGHT("000000"&amp;395,6),LdgRankKeyA,0),"")</f>
        <v/>
      </c>
      <c r="O411">
        <f>IFERROR(MATCH($C$5&amp;"|"&amp;RIGHT("000000"&amp;395,6),LdgRankKeyB,0),"")</f>
        <v/>
      </c>
    </row>
    <row r="412">
      <c r="A412" s="23" t="n">
        <v>396</v>
      </c>
      <c r="B412" s="24">
        <f>IF(AND($N412="",$O412=""),"",IF($N412&lt;&gt;"",INDEX(PCNormDate,$N412),INDEX(LdgDateB,$O412)))</f>
        <v/>
      </c>
      <c r="C412" s="24">
        <f>IF($N412&lt;&gt;"",INDEX(PCOp,$N412),IF($O412&lt;&gt;"",IF(N(INDEX(TxnDepB,$O412))&gt;0,"دریافت بانکی","پرداخت بانکی"),""))</f>
        <v/>
      </c>
      <c r="D412" s="24">
        <f>IF($N412&lt;&gt;"",IF(INDEX(PCDoc,$N412)="","—",INDEX(PCDoc,$N412)),IF($O412&lt;&gt;"",INDEX(LdgBankB,$O412),""))</f>
        <v/>
      </c>
      <c r="E412" s="24">
        <f>IF($N412&lt;&gt;"",IF(INDEX(PCCitrus,$N412)="","—",INDEX(PCCitrus,$N412)),"")</f>
        <v/>
      </c>
      <c r="F412" s="25">
        <f>IF($N412&lt;&gt;"",IF(INDEX(PCScale,$N412)=0,"",INDEX(PCScale,$N412)),"")</f>
        <v/>
      </c>
      <c r="G412" s="25">
        <f>IF($N412&lt;&gt;"",IF(INDEX(PCBaskets,$N412)=0,"",INDEX(PCBaskets,$N412)),"")</f>
        <v/>
      </c>
      <c r="H412" s="26">
        <f>IF($N412&lt;&gt;"",IF(INDEX(PCNet,$N412)=0,"",INDEX(PCNet,$N412)),"")</f>
        <v/>
      </c>
      <c r="I412" s="25">
        <f>IF($N412&lt;&gt;"",IF(INDEX(PCOp,$N412)="مرجوعی خرید","",IF(INDEX(PCAmount,$N412)&lt;=0,"",INDEX(PCAmount,$N412))),IF($O412&lt;&gt;"",IF(INDEX(TxnDepB,$O412)=0,"",INDEX(TxnDepB,$O412)),""))</f>
        <v/>
      </c>
      <c r="J412" s="25">
        <f>IF($N412&lt;&gt;"",IF(INDEX(PCOp,$N412)="مرجوعی خرید",IF(INDEX(PCAmount,$N412)=0,"",-INDEX(PCAmount,$N412)),""),IF($O412&lt;&gt;"",IF(INDEX(TxnWitB,$O412)=0,"",INDEX(TxnWitB,$O412)),""))</f>
        <v/>
      </c>
      <c r="K412" s="27">
        <f>IF($B412="","",IF($K411="",$C$10,$K411)+IF($I412="",0,$I412)-IF($J412="",0,$J412))</f>
        <v/>
      </c>
      <c r="L412" s="28">
        <f>IF($N412&lt;&gt;"",IF(INDEX(PCNotes,$N412)="","—",INDEX(PCNotes,$N412)),IF($O412&lt;&gt;"",IF(INDEX(LdgNoteB,$O412)="","—",INDEX(LdgNoteB,$O412)),""))</f>
        <v/>
      </c>
      <c r="N412">
        <f>IFERROR(MATCH($C$5&amp;"|"&amp;RIGHT("000000"&amp;396,6),LdgRankKeyA,0),"")</f>
        <v/>
      </c>
      <c r="O412">
        <f>IFERROR(MATCH($C$5&amp;"|"&amp;RIGHT("000000"&amp;396,6),LdgRankKeyB,0),"")</f>
        <v/>
      </c>
    </row>
    <row r="413">
      <c r="A413" s="17" t="n">
        <v>397</v>
      </c>
      <c r="B413" s="18">
        <f>IF(AND($N413="",$O413=""),"",IF($N413&lt;&gt;"",INDEX(PCNormDate,$N413),INDEX(LdgDateB,$O413)))</f>
        <v/>
      </c>
      <c r="C413" s="18">
        <f>IF($N413&lt;&gt;"",INDEX(PCOp,$N413),IF($O413&lt;&gt;"",IF(N(INDEX(TxnDepB,$O413))&gt;0,"دریافت بانکی","پرداخت بانکی"),""))</f>
        <v/>
      </c>
      <c r="D413" s="18">
        <f>IF($N413&lt;&gt;"",IF(INDEX(PCDoc,$N413)="","—",INDEX(PCDoc,$N413)),IF($O413&lt;&gt;"",INDEX(LdgBankB,$O413),""))</f>
        <v/>
      </c>
      <c r="E413" s="18">
        <f>IF($N413&lt;&gt;"",IF(INDEX(PCCitrus,$N413)="","—",INDEX(PCCitrus,$N413)),"")</f>
        <v/>
      </c>
      <c r="F413" s="19">
        <f>IF($N413&lt;&gt;"",IF(INDEX(PCScale,$N413)=0,"",INDEX(PCScale,$N413)),"")</f>
        <v/>
      </c>
      <c r="G413" s="19">
        <f>IF($N413&lt;&gt;"",IF(INDEX(PCBaskets,$N413)=0,"",INDEX(PCBaskets,$N413)),"")</f>
        <v/>
      </c>
      <c r="H413" s="20">
        <f>IF($N413&lt;&gt;"",IF(INDEX(PCNet,$N413)=0,"",INDEX(PCNet,$N413)),"")</f>
        <v/>
      </c>
      <c r="I413" s="19">
        <f>IF($N413&lt;&gt;"",IF(INDEX(PCOp,$N413)="مرجوعی خرید","",IF(INDEX(PCAmount,$N413)&lt;=0,"",INDEX(PCAmount,$N413))),IF($O413&lt;&gt;"",IF(INDEX(TxnDepB,$O413)=0,"",INDEX(TxnDepB,$O413)),""))</f>
        <v/>
      </c>
      <c r="J413" s="19">
        <f>IF($N413&lt;&gt;"",IF(INDEX(PCOp,$N413)="مرجوعی خرید",IF(INDEX(PCAmount,$N413)=0,"",-INDEX(PCAmount,$N413)),""),IF($O413&lt;&gt;"",IF(INDEX(TxnWitB,$O413)=0,"",INDEX(TxnWitB,$O413)),""))</f>
        <v/>
      </c>
      <c r="K413" s="21">
        <f>IF($B413="","",IF($K412="",$C$10,$K412)+IF($I413="",0,$I413)-IF($J413="",0,$J413))</f>
        <v/>
      </c>
      <c r="L413" s="22">
        <f>IF($N413&lt;&gt;"",IF(INDEX(PCNotes,$N413)="","—",INDEX(PCNotes,$N413)),IF($O413&lt;&gt;"",IF(INDEX(LdgNoteB,$O413)="","—",INDEX(LdgNoteB,$O413)),""))</f>
        <v/>
      </c>
      <c r="N413">
        <f>IFERROR(MATCH($C$5&amp;"|"&amp;RIGHT("000000"&amp;397,6),LdgRankKeyA,0),"")</f>
        <v/>
      </c>
      <c r="O413">
        <f>IFERROR(MATCH($C$5&amp;"|"&amp;RIGHT("000000"&amp;397,6),LdgRankKeyB,0),"")</f>
        <v/>
      </c>
    </row>
    <row r="414">
      <c r="A414" s="23" t="n">
        <v>398</v>
      </c>
      <c r="B414" s="24">
        <f>IF(AND($N414="",$O414=""),"",IF($N414&lt;&gt;"",INDEX(PCNormDate,$N414),INDEX(LdgDateB,$O414)))</f>
        <v/>
      </c>
      <c r="C414" s="24">
        <f>IF($N414&lt;&gt;"",INDEX(PCOp,$N414),IF($O414&lt;&gt;"",IF(N(INDEX(TxnDepB,$O414))&gt;0,"دریافت بانکی","پرداخت بانکی"),""))</f>
        <v/>
      </c>
      <c r="D414" s="24">
        <f>IF($N414&lt;&gt;"",IF(INDEX(PCDoc,$N414)="","—",INDEX(PCDoc,$N414)),IF($O414&lt;&gt;"",INDEX(LdgBankB,$O414),""))</f>
        <v/>
      </c>
      <c r="E414" s="24">
        <f>IF($N414&lt;&gt;"",IF(INDEX(PCCitrus,$N414)="","—",INDEX(PCCitrus,$N414)),"")</f>
        <v/>
      </c>
      <c r="F414" s="25">
        <f>IF($N414&lt;&gt;"",IF(INDEX(PCScale,$N414)=0,"",INDEX(PCScale,$N414)),"")</f>
        <v/>
      </c>
      <c r="G414" s="25">
        <f>IF($N414&lt;&gt;"",IF(INDEX(PCBaskets,$N414)=0,"",INDEX(PCBaskets,$N414)),"")</f>
        <v/>
      </c>
      <c r="H414" s="26">
        <f>IF($N414&lt;&gt;"",IF(INDEX(PCNet,$N414)=0,"",INDEX(PCNet,$N414)),"")</f>
        <v/>
      </c>
      <c r="I414" s="25">
        <f>IF($N414&lt;&gt;"",IF(INDEX(PCOp,$N414)="مرجوعی خرید","",IF(INDEX(PCAmount,$N414)&lt;=0,"",INDEX(PCAmount,$N414))),IF($O414&lt;&gt;"",IF(INDEX(TxnDepB,$O414)=0,"",INDEX(TxnDepB,$O414)),""))</f>
        <v/>
      </c>
      <c r="J414" s="25">
        <f>IF($N414&lt;&gt;"",IF(INDEX(PCOp,$N414)="مرجوعی خرید",IF(INDEX(PCAmount,$N414)=0,"",-INDEX(PCAmount,$N414)),""),IF($O414&lt;&gt;"",IF(INDEX(TxnWitB,$O414)=0,"",INDEX(TxnWitB,$O414)),""))</f>
        <v/>
      </c>
      <c r="K414" s="27">
        <f>IF($B414="","",IF($K413="",$C$10,$K413)+IF($I414="",0,$I414)-IF($J414="",0,$J414))</f>
        <v/>
      </c>
      <c r="L414" s="28">
        <f>IF($N414&lt;&gt;"",IF(INDEX(PCNotes,$N414)="","—",INDEX(PCNotes,$N414)),IF($O414&lt;&gt;"",IF(INDEX(LdgNoteB,$O414)="","—",INDEX(LdgNoteB,$O414)),""))</f>
        <v/>
      </c>
      <c r="N414">
        <f>IFERROR(MATCH($C$5&amp;"|"&amp;RIGHT("000000"&amp;398,6),LdgRankKeyA,0),"")</f>
        <v/>
      </c>
      <c r="O414">
        <f>IFERROR(MATCH($C$5&amp;"|"&amp;RIGHT("000000"&amp;398,6),LdgRankKeyB,0),"")</f>
        <v/>
      </c>
    </row>
    <row r="415">
      <c r="A415" s="17" t="n">
        <v>399</v>
      </c>
      <c r="B415" s="18">
        <f>IF(AND($N415="",$O415=""),"",IF($N415&lt;&gt;"",INDEX(PCNormDate,$N415),INDEX(LdgDateB,$O415)))</f>
        <v/>
      </c>
      <c r="C415" s="18">
        <f>IF($N415&lt;&gt;"",INDEX(PCOp,$N415),IF($O415&lt;&gt;"",IF(N(INDEX(TxnDepB,$O415))&gt;0,"دریافت بانکی","پرداخت بانکی"),""))</f>
        <v/>
      </c>
      <c r="D415" s="18">
        <f>IF($N415&lt;&gt;"",IF(INDEX(PCDoc,$N415)="","—",INDEX(PCDoc,$N415)),IF($O415&lt;&gt;"",INDEX(LdgBankB,$O415),""))</f>
        <v/>
      </c>
      <c r="E415" s="18">
        <f>IF($N415&lt;&gt;"",IF(INDEX(PCCitrus,$N415)="","—",INDEX(PCCitrus,$N415)),"")</f>
        <v/>
      </c>
      <c r="F415" s="19">
        <f>IF($N415&lt;&gt;"",IF(INDEX(PCScale,$N415)=0,"",INDEX(PCScale,$N415)),"")</f>
        <v/>
      </c>
      <c r="G415" s="19">
        <f>IF($N415&lt;&gt;"",IF(INDEX(PCBaskets,$N415)=0,"",INDEX(PCBaskets,$N415)),"")</f>
        <v/>
      </c>
      <c r="H415" s="20">
        <f>IF($N415&lt;&gt;"",IF(INDEX(PCNet,$N415)=0,"",INDEX(PCNet,$N415)),"")</f>
        <v/>
      </c>
      <c r="I415" s="19">
        <f>IF($N415&lt;&gt;"",IF(INDEX(PCOp,$N415)="مرجوعی خرید","",IF(INDEX(PCAmount,$N415)&lt;=0,"",INDEX(PCAmount,$N415))),IF($O415&lt;&gt;"",IF(INDEX(TxnDepB,$O415)=0,"",INDEX(TxnDepB,$O415)),""))</f>
        <v/>
      </c>
      <c r="J415" s="19">
        <f>IF($N415&lt;&gt;"",IF(INDEX(PCOp,$N415)="مرجوعی خرید",IF(INDEX(PCAmount,$N415)=0,"",-INDEX(PCAmount,$N415)),""),IF($O415&lt;&gt;"",IF(INDEX(TxnWitB,$O415)=0,"",INDEX(TxnWitB,$O415)),""))</f>
        <v/>
      </c>
      <c r="K415" s="21">
        <f>IF($B415="","",IF($K414="",$C$10,$K414)+IF($I415="",0,$I415)-IF($J415="",0,$J415))</f>
        <v/>
      </c>
      <c r="L415" s="22">
        <f>IF($N415&lt;&gt;"",IF(INDEX(PCNotes,$N415)="","—",INDEX(PCNotes,$N415)),IF($O415&lt;&gt;"",IF(INDEX(LdgNoteB,$O415)="","—",INDEX(LdgNoteB,$O415)),""))</f>
        <v/>
      </c>
      <c r="N415">
        <f>IFERROR(MATCH($C$5&amp;"|"&amp;RIGHT("000000"&amp;399,6),LdgRankKeyA,0),"")</f>
        <v/>
      </c>
      <c r="O415">
        <f>IFERROR(MATCH($C$5&amp;"|"&amp;RIGHT("000000"&amp;399,6),LdgRankKeyB,0),"")</f>
        <v/>
      </c>
    </row>
    <row r="416">
      <c r="A416" s="23" t="n">
        <v>400</v>
      </c>
      <c r="B416" s="24">
        <f>IF(AND($N416="",$O416=""),"",IF($N416&lt;&gt;"",INDEX(PCNormDate,$N416),INDEX(LdgDateB,$O416)))</f>
        <v/>
      </c>
      <c r="C416" s="24">
        <f>IF($N416&lt;&gt;"",INDEX(PCOp,$N416),IF($O416&lt;&gt;"",IF(N(INDEX(TxnDepB,$O416))&gt;0,"دریافت بانکی","پرداخت بانکی"),""))</f>
        <v/>
      </c>
      <c r="D416" s="24">
        <f>IF($N416&lt;&gt;"",IF(INDEX(PCDoc,$N416)="","—",INDEX(PCDoc,$N416)),IF($O416&lt;&gt;"",INDEX(LdgBankB,$O416),""))</f>
        <v/>
      </c>
      <c r="E416" s="24">
        <f>IF($N416&lt;&gt;"",IF(INDEX(PCCitrus,$N416)="","—",INDEX(PCCitrus,$N416)),"")</f>
        <v/>
      </c>
      <c r="F416" s="25">
        <f>IF($N416&lt;&gt;"",IF(INDEX(PCScale,$N416)=0,"",INDEX(PCScale,$N416)),"")</f>
        <v/>
      </c>
      <c r="G416" s="25">
        <f>IF($N416&lt;&gt;"",IF(INDEX(PCBaskets,$N416)=0,"",INDEX(PCBaskets,$N416)),"")</f>
        <v/>
      </c>
      <c r="H416" s="26">
        <f>IF($N416&lt;&gt;"",IF(INDEX(PCNet,$N416)=0,"",INDEX(PCNet,$N416)),"")</f>
        <v/>
      </c>
      <c r="I416" s="25">
        <f>IF($N416&lt;&gt;"",IF(INDEX(PCOp,$N416)="مرجوعی خرید","",IF(INDEX(PCAmount,$N416)&lt;=0,"",INDEX(PCAmount,$N416))),IF($O416&lt;&gt;"",IF(INDEX(TxnDepB,$O416)=0,"",INDEX(TxnDepB,$O416)),""))</f>
        <v/>
      </c>
      <c r="J416" s="25">
        <f>IF($N416&lt;&gt;"",IF(INDEX(PCOp,$N416)="مرجوعی خرید",IF(INDEX(PCAmount,$N416)=0,"",-INDEX(PCAmount,$N416)),""),IF($O416&lt;&gt;"",IF(INDEX(TxnWitB,$O416)=0,"",INDEX(TxnWitB,$O416)),""))</f>
        <v/>
      </c>
      <c r="K416" s="27">
        <f>IF($B416="","",IF($K415="",$C$10,$K415)+IF($I416="",0,$I416)-IF($J416="",0,$J416))</f>
        <v/>
      </c>
      <c r="L416" s="28">
        <f>IF($N416&lt;&gt;"",IF(INDEX(PCNotes,$N416)="","—",INDEX(PCNotes,$N416)),IF($O416&lt;&gt;"",IF(INDEX(LdgNoteB,$O416)="","—",INDEX(LdgNoteB,$O416)),""))</f>
        <v/>
      </c>
      <c r="N416">
        <f>IFERROR(MATCH($C$5&amp;"|"&amp;RIGHT("000000"&amp;400,6),LdgRankKeyA,0),"")</f>
        <v/>
      </c>
      <c r="O416">
        <f>IFERROR(MATCH($C$5&amp;"|"&amp;RIGHT("000000"&amp;400,6),LdgRankKeyB,0),"")</f>
        <v/>
      </c>
    </row>
    <row r="417">
      <c r="A417" s="17" t="n">
        <v>401</v>
      </c>
      <c r="B417" s="18">
        <f>IF(AND($N417="",$O417=""),"",IF($N417&lt;&gt;"",INDEX(PCNormDate,$N417),INDEX(LdgDateB,$O417)))</f>
        <v/>
      </c>
      <c r="C417" s="18">
        <f>IF($N417&lt;&gt;"",INDEX(PCOp,$N417),IF($O417&lt;&gt;"",IF(N(INDEX(TxnDepB,$O417))&gt;0,"دریافت بانکی","پرداخت بانکی"),""))</f>
        <v/>
      </c>
      <c r="D417" s="18">
        <f>IF($N417&lt;&gt;"",IF(INDEX(PCDoc,$N417)="","—",INDEX(PCDoc,$N417)),IF($O417&lt;&gt;"",INDEX(LdgBankB,$O417),""))</f>
        <v/>
      </c>
      <c r="E417" s="18">
        <f>IF($N417&lt;&gt;"",IF(INDEX(PCCitrus,$N417)="","—",INDEX(PCCitrus,$N417)),"")</f>
        <v/>
      </c>
      <c r="F417" s="19">
        <f>IF($N417&lt;&gt;"",IF(INDEX(PCScale,$N417)=0,"",INDEX(PCScale,$N417)),"")</f>
        <v/>
      </c>
      <c r="G417" s="19">
        <f>IF($N417&lt;&gt;"",IF(INDEX(PCBaskets,$N417)=0,"",INDEX(PCBaskets,$N417)),"")</f>
        <v/>
      </c>
      <c r="H417" s="20">
        <f>IF($N417&lt;&gt;"",IF(INDEX(PCNet,$N417)=0,"",INDEX(PCNet,$N417)),"")</f>
        <v/>
      </c>
      <c r="I417" s="19">
        <f>IF($N417&lt;&gt;"",IF(INDEX(PCOp,$N417)="مرجوعی خرید","",IF(INDEX(PCAmount,$N417)&lt;=0,"",INDEX(PCAmount,$N417))),IF($O417&lt;&gt;"",IF(INDEX(TxnDepB,$O417)=0,"",INDEX(TxnDepB,$O417)),""))</f>
        <v/>
      </c>
      <c r="J417" s="19">
        <f>IF($N417&lt;&gt;"",IF(INDEX(PCOp,$N417)="مرجوعی خرید",IF(INDEX(PCAmount,$N417)=0,"",-INDEX(PCAmount,$N417)),""),IF($O417&lt;&gt;"",IF(INDEX(TxnWitB,$O417)=0,"",INDEX(TxnWitB,$O417)),""))</f>
        <v/>
      </c>
      <c r="K417" s="21">
        <f>IF($B417="","",IF($K416="",$C$10,$K416)+IF($I417="",0,$I417)-IF($J417="",0,$J417))</f>
        <v/>
      </c>
      <c r="L417" s="22">
        <f>IF($N417&lt;&gt;"",IF(INDEX(PCNotes,$N417)="","—",INDEX(PCNotes,$N417)),IF($O417&lt;&gt;"",IF(INDEX(LdgNoteB,$O417)="","—",INDEX(LdgNoteB,$O417)),""))</f>
        <v/>
      </c>
      <c r="N417">
        <f>IFERROR(MATCH($C$5&amp;"|"&amp;RIGHT("000000"&amp;401,6),LdgRankKeyA,0),"")</f>
        <v/>
      </c>
      <c r="O417">
        <f>IFERROR(MATCH($C$5&amp;"|"&amp;RIGHT("000000"&amp;401,6),LdgRankKeyB,0),"")</f>
        <v/>
      </c>
    </row>
    <row r="418">
      <c r="A418" s="23" t="n">
        <v>402</v>
      </c>
      <c r="B418" s="24">
        <f>IF(AND($N418="",$O418=""),"",IF($N418&lt;&gt;"",INDEX(PCNormDate,$N418),INDEX(LdgDateB,$O418)))</f>
        <v/>
      </c>
      <c r="C418" s="24">
        <f>IF($N418&lt;&gt;"",INDEX(PCOp,$N418),IF($O418&lt;&gt;"",IF(N(INDEX(TxnDepB,$O418))&gt;0,"دریافت بانکی","پرداخت بانکی"),""))</f>
        <v/>
      </c>
      <c r="D418" s="24">
        <f>IF($N418&lt;&gt;"",IF(INDEX(PCDoc,$N418)="","—",INDEX(PCDoc,$N418)),IF($O418&lt;&gt;"",INDEX(LdgBankB,$O418),""))</f>
        <v/>
      </c>
      <c r="E418" s="24">
        <f>IF($N418&lt;&gt;"",IF(INDEX(PCCitrus,$N418)="","—",INDEX(PCCitrus,$N418)),"")</f>
        <v/>
      </c>
      <c r="F418" s="25">
        <f>IF($N418&lt;&gt;"",IF(INDEX(PCScale,$N418)=0,"",INDEX(PCScale,$N418)),"")</f>
        <v/>
      </c>
      <c r="G418" s="25">
        <f>IF($N418&lt;&gt;"",IF(INDEX(PCBaskets,$N418)=0,"",INDEX(PCBaskets,$N418)),"")</f>
        <v/>
      </c>
      <c r="H418" s="26">
        <f>IF($N418&lt;&gt;"",IF(INDEX(PCNet,$N418)=0,"",INDEX(PCNet,$N418)),"")</f>
        <v/>
      </c>
      <c r="I418" s="25">
        <f>IF($N418&lt;&gt;"",IF(INDEX(PCOp,$N418)="مرجوعی خرید","",IF(INDEX(PCAmount,$N418)&lt;=0,"",INDEX(PCAmount,$N418))),IF($O418&lt;&gt;"",IF(INDEX(TxnDepB,$O418)=0,"",INDEX(TxnDepB,$O418)),""))</f>
        <v/>
      </c>
      <c r="J418" s="25">
        <f>IF($N418&lt;&gt;"",IF(INDEX(PCOp,$N418)="مرجوعی خرید",IF(INDEX(PCAmount,$N418)=0,"",-INDEX(PCAmount,$N418)),""),IF($O418&lt;&gt;"",IF(INDEX(TxnWitB,$O418)=0,"",INDEX(TxnWitB,$O418)),""))</f>
        <v/>
      </c>
      <c r="K418" s="27">
        <f>IF($B418="","",IF($K417="",$C$10,$K417)+IF($I418="",0,$I418)-IF($J418="",0,$J418))</f>
        <v/>
      </c>
      <c r="L418" s="28">
        <f>IF($N418&lt;&gt;"",IF(INDEX(PCNotes,$N418)="","—",INDEX(PCNotes,$N418)),IF($O418&lt;&gt;"",IF(INDEX(LdgNoteB,$O418)="","—",INDEX(LdgNoteB,$O418)),""))</f>
        <v/>
      </c>
      <c r="N418">
        <f>IFERROR(MATCH($C$5&amp;"|"&amp;RIGHT("000000"&amp;402,6),LdgRankKeyA,0),"")</f>
        <v/>
      </c>
      <c r="O418">
        <f>IFERROR(MATCH($C$5&amp;"|"&amp;RIGHT("000000"&amp;402,6),LdgRankKeyB,0),"")</f>
        <v/>
      </c>
    </row>
    <row r="419">
      <c r="A419" s="17" t="n">
        <v>403</v>
      </c>
      <c r="B419" s="18">
        <f>IF(AND($N419="",$O419=""),"",IF($N419&lt;&gt;"",INDEX(PCNormDate,$N419),INDEX(LdgDateB,$O419)))</f>
        <v/>
      </c>
      <c r="C419" s="18">
        <f>IF($N419&lt;&gt;"",INDEX(PCOp,$N419),IF($O419&lt;&gt;"",IF(N(INDEX(TxnDepB,$O419))&gt;0,"دریافت بانکی","پرداخت بانکی"),""))</f>
        <v/>
      </c>
      <c r="D419" s="18">
        <f>IF($N419&lt;&gt;"",IF(INDEX(PCDoc,$N419)="","—",INDEX(PCDoc,$N419)),IF($O419&lt;&gt;"",INDEX(LdgBankB,$O419),""))</f>
        <v/>
      </c>
      <c r="E419" s="18">
        <f>IF($N419&lt;&gt;"",IF(INDEX(PCCitrus,$N419)="","—",INDEX(PCCitrus,$N419)),"")</f>
        <v/>
      </c>
      <c r="F419" s="19">
        <f>IF($N419&lt;&gt;"",IF(INDEX(PCScale,$N419)=0,"",INDEX(PCScale,$N419)),"")</f>
        <v/>
      </c>
      <c r="G419" s="19">
        <f>IF($N419&lt;&gt;"",IF(INDEX(PCBaskets,$N419)=0,"",INDEX(PCBaskets,$N419)),"")</f>
        <v/>
      </c>
      <c r="H419" s="20">
        <f>IF($N419&lt;&gt;"",IF(INDEX(PCNet,$N419)=0,"",INDEX(PCNet,$N419)),"")</f>
        <v/>
      </c>
      <c r="I419" s="19">
        <f>IF($N419&lt;&gt;"",IF(INDEX(PCOp,$N419)="مرجوعی خرید","",IF(INDEX(PCAmount,$N419)&lt;=0,"",INDEX(PCAmount,$N419))),IF($O419&lt;&gt;"",IF(INDEX(TxnDepB,$O419)=0,"",INDEX(TxnDepB,$O419)),""))</f>
        <v/>
      </c>
      <c r="J419" s="19">
        <f>IF($N419&lt;&gt;"",IF(INDEX(PCOp,$N419)="مرجوعی خرید",IF(INDEX(PCAmount,$N419)=0,"",-INDEX(PCAmount,$N419)),""),IF($O419&lt;&gt;"",IF(INDEX(TxnWitB,$O419)=0,"",INDEX(TxnWitB,$O419)),""))</f>
        <v/>
      </c>
      <c r="K419" s="21">
        <f>IF($B419="","",IF($K418="",$C$10,$K418)+IF($I419="",0,$I419)-IF($J419="",0,$J419))</f>
        <v/>
      </c>
      <c r="L419" s="22">
        <f>IF($N419&lt;&gt;"",IF(INDEX(PCNotes,$N419)="","—",INDEX(PCNotes,$N419)),IF($O419&lt;&gt;"",IF(INDEX(LdgNoteB,$O419)="","—",INDEX(LdgNoteB,$O419)),""))</f>
        <v/>
      </c>
      <c r="N419">
        <f>IFERROR(MATCH($C$5&amp;"|"&amp;RIGHT("000000"&amp;403,6),LdgRankKeyA,0),"")</f>
        <v/>
      </c>
      <c r="O419">
        <f>IFERROR(MATCH($C$5&amp;"|"&amp;RIGHT("000000"&amp;403,6),LdgRankKeyB,0),"")</f>
        <v/>
      </c>
    </row>
    <row r="420">
      <c r="A420" s="23" t="n">
        <v>404</v>
      </c>
      <c r="B420" s="24">
        <f>IF(AND($N420="",$O420=""),"",IF($N420&lt;&gt;"",INDEX(PCNormDate,$N420),INDEX(LdgDateB,$O420)))</f>
        <v/>
      </c>
      <c r="C420" s="24">
        <f>IF($N420&lt;&gt;"",INDEX(PCOp,$N420),IF($O420&lt;&gt;"",IF(N(INDEX(TxnDepB,$O420))&gt;0,"دریافت بانکی","پرداخت بانکی"),""))</f>
        <v/>
      </c>
      <c r="D420" s="24">
        <f>IF($N420&lt;&gt;"",IF(INDEX(PCDoc,$N420)="","—",INDEX(PCDoc,$N420)),IF($O420&lt;&gt;"",INDEX(LdgBankB,$O420),""))</f>
        <v/>
      </c>
      <c r="E420" s="24">
        <f>IF($N420&lt;&gt;"",IF(INDEX(PCCitrus,$N420)="","—",INDEX(PCCitrus,$N420)),"")</f>
        <v/>
      </c>
      <c r="F420" s="25">
        <f>IF($N420&lt;&gt;"",IF(INDEX(PCScale,$N420)=0,"",INDEX(PCScale,$N420)),"")</f>
        <v/>
      </c>
      <c r="G420" s="25">
        <f>IF($N420&lt;&gt;"",IF(INDEX(PCBaskets,$N420)=0,"",INDEX(PCBaskets,$N420)),"")</f>
        <v/>
      </c>
      <c r="H420" s="26">
        <f>IF($N420&lt;&gt;"",IF(INDEX(PCNet,$N420)=0,"",INDEX(PCNet,$N420)),"")</f>
        <v/>
      </c>
      <c r="I420" s="25">
        <f>IF($N420&lt;&gt;"",IF(INDEX(PCOp,$N420)="مرجوعی خرید","",IF(INDEX(PCAmount,$N420)&lt;=0,"",INDEX(PCAmount,$N420))),IF($O420&lt;&gt;"",IF(INDEX(TxnDepB,$O420)=0,"",INDEX(TxnDepB,$O420)),""))</f>
        <v/>
      </c>
      <c r="J420" s="25">
        <f>IF($N420&lt;&gt;"",IF(INDEX(PCOp,$N420)="مرجوعی خرید",IF(INDEX(PCAmount,$N420)=0,"",-INDEX(PCAmount,$N420)),""),IF($O420&lt;&gt;"",IF(INDEX(TxnWitB,$O420)=0,"",INDEX(TxnWitB,$O420)),""))</f>
        <v/>
      </c>
      <c r="K420" s="27">
        <f>IF($B420="","",IF($K419="",$C$10,$K419)+IF($I420="",0,$I420)-IF($J420="",0,$J420))</f>
        <v/>
      </c>
      <c r="L420" s="28">
        <f>IF($N420&lt;&gt;"",IF(INDEX(PCNotes,$N420)="","—",INDEX(PCNotes,$N420)),IF($O420&lt;&gt;"",IF(INDEX(LdgNoteB,$O420)="","—",INDEX(LdgNoteB,$O420)),""))</f>
        <v/>
      </c>
      <c r="N420">
        <f>IFERROR(MATCH($C$5&amp;"|"&amp;RIGHT("000000"&amp;404,6),LdgRankKeyA,0),"")</f>
        <v/>
      </c>
      <c r="O420">
        <f>IFERROR(MATCH($C$5&amp;"|"&amp;RIGHT("000000"&amp;404,6),LdgRankKeyB,0),"")</f>
        <v/>
      </c>
    </row>
    <row r="421">
      <c r="A421" s="17" t="n">
        <v>405</v>
      </c>
      <c r="B421" s="18">
        <f>IF(AND($N421="",$O421=""),"",IF($N421&lt;&gt;"",INDEX(PCNormDate,$N421),INDEX(LdgDateB,$O421)))</f>
        <v/>
      </c>
      <c r="C421" s="18">
        <f>IF($N421&lt;&gt;"",INDEX(PCOp,$N421),IF($O421&lt;&gt;"",IF(N(INDEX(TxnDepB,$O421))&gt;0,"دریافت بانکی","پرداخت بانکی"),""))</f>
        <v/>
      </c>
      <c r="D421" s="18">
        <f>IF($N421&lt;&gt;"",IF(INDEX(PCDoc,$N421)="","—",INDEX(PCDoc,$N421)),IF($O421&lt;&gt;"",INDEX(LdgBankB,$O421),""))</f>
        <v/>
      </c>
      <c r="E421" s="18">
        <f>IF($N421&lt;&gt;"",IF(INDEX(PCCitrus,$N421)="","—",INDEX(PCCitrus,$N421)),"")</f>
        <v/>
      </c>
      <c r="F421" s="19">
        <f>IF($N421&lt;&gt;"",IF(INDEX(PCScale,$N421)=0,"",INDEX(PCScale,$N421)),"")</f>
        <v/>
      </c>
      <c r="G421" s="19">
        <f>IF($N421&lt;&gt;"",IF(INDEX(PCBaskets,$N421)=0,"",INDEX(PCBaskets,$N421)),"")</f>
        <v/>
      </c>
      <c r="H421" s="20">
        <f>IF($N421&lt;&gt;"",IF(INDEX(PCNet,$N421)=0,"",INDEX(PCNet,$N421)),"")</f>
        <v/>
      </c>
      <c r="I421" s="19">
        <f>IF($N421&lt;&gt;"",IF(INDEX(PCOp,$N421)="مرجوعی خرید","",IF(INDEX(PCAmount,$N421)&lt;=0,"",INDEX(PCAmount,$N421))),IF($O421&lt;&gt;"",IF(INDEX(TxnDepB,$O421)=0,"",INDEX(TxnDepB,$O421)),""))</f>
        <v/>
      </c>
      <c r="J421" s="19">
        <f>IF($N421&lt;&gt;"",IF(INDEX(PCOp,$N421)="مرجوعی خرید",IF(INDEX(PCAmount,$N421)=0,"",-INDEX(PCAmount,$N421)),""),IF($O421&lt;&gt;"",IF(INDEX(TxnWitB,$O421)=0,"",INDEX(TxnWitB,$O421)),""))</f>
        <v/>
      </c>
      <c r="K421" s="21">
        <f>IF($B421="","",IF($K420="",$C$10,$K420)+IF($I421="",0,$I421)-IF($J421="",0,$J421))</f>
        <v/>
      </c>
      <c r="L421" s="22">
        <f>IF($N421&lt;&gt;"",IF(INDEX(PCNotes,$N421)="","—",INDEX(PCNotes,$N421)),IF($O421&lt;&gt;"",IF(INDEX(LdgNoteB,$O421)="","—",INDEX(LdgNoteB,$O421)),""))</f>
        <v/>
      </c>
      <c r="N421">
        <f>IFERROR(MATCH($C$5&amp;"|"&amp;RIGHT("000000"&amp;405,6),LdgRankKeyA,0),"")</f>
        <v/>
      </c>
      <c r="O421">
        <f>IFERROR(MATCH($C$5&amp;"|"&amp;RIGHT("000000"&amp;405,6),LdgRankKeyB,0),"")</f>
        <v/>
      </c>
    </row>
    <row r="422">
      <c r="A422" s="23" t="n">
        <v>406</v>
      </c>
      <c r="B422" s="24">
        <f>IF(AND($N422="",$O422=""),"",IF($N422&lt;&gt;"",INDEX(PCNormDate,$N422),INDEX(LdgDateB,$O422)))</f>
        <v/>
      </c>
      <c r="C422" s="24">
        <f>IF($N422&lt;&gt;"",INDEX(PCOp,$N422),IF($O422&lt;&gt;"",IF(N(INDEX(TxnDepB,$O422))&gt;0,"دریافت بانکی","پرداخت بانکی"),""))</f>
        <v/>
      </c>
      <c r="D422" s="24">
        <f>IF($N422&lt;&gt;"",IF(INDEX(PCDoc,$N422)="","—",INDEX(PCDoc,$N422)),IF($O422&lt;&gt;"",INDEX(LdgBankB,$O422),""))</f>
        <v/>
      </c>
      <c r="E422" s="24">
        <f>IF($N422&lt;&gt;"",IF(INDEX(PCCitrus,$N422)="","—",INDEX(PCCitrus,$N422)),"")</f>
        <v/>
      </c>
      <c r="F422" s="25">
        <f>IF($N422&lt;&gt;"",IF(INDEX(PCScale,$N422)=0,"",INDEX(PCScale,$N422)),"")</f>
        <v/>
      </c>
      <c r="G422" s="25">
        <f>IF($N422&lt;&gt;"",IF(INDEX(PCBaskets,$N422)=0,"",INDEX(PCBaskets,$N422)),"")</f>
        <v/>
      </c>
      <c r="H422" s="26">
        <f>IF($N422&lt;&gt;"",IF(INDEX(PCNet,$N422)=0,"",INDEX(PCNet,$N422)),"")</f>
        <v/>
      </c>
      <c r="I422" s="25">
        <f>IF($N422&lt;&gt;"",IF(INDEX(PCOp,$N422)="مرجوعی خرید","",IF(INDEX(PCAmount,$N422)&lt;=0,"",INDEX(PCAmount,$N422))),IF($O422&lt;&gt;"",IF(INDEX(TxnDepB,$O422)=0,"",INDEX(TxnDepB,$O422)),""))</f>
        <v/>
      </c>
      <c r="J422" s="25">
        <f>IF($N422&lt;&gt;"",IF(INDEX(PCOp,$N422)="مرجوعی خرید",IF(INDEX(PCAmount,$N422)=0,"",-INDEX(PCAmount,$N422)),""),IF($O422&lt;&gt;"",IF(INDEX(TxnWitB,$O422)=0,"",INDEX(TxnWitB,$O422)),""))</f>
        <v/>
      </c>
      <c r="K422" s="27">
        <f>IF($B422="","",IF($K421="",$C$10,$K421)+IF($I422="",0,$I422)-IF($J422="",0,$J422))</f>
        <v/>
      </c>
      <c r="L422" s="28">
        <f>IF($N422&lt;&gt;"",IF(INDEX(PCNotes,$N422)="","—",INDEX(PCNotes,$N422)),IF($O422&lt;&gt;"",IF(INDEX(LdgNoteB,$O422)="","—",INDEX(LdgNoteB,$O422)),""))</f>
        <v/>
      </c>
      <c r="N422">
        <f>IFERROR(MATCH($C$5&amp;"|"&amp;RIGHT("000000"&amp;406,6),LdgRankKeyA,0),"")</f>
        <v/>
      </c>
      <c r="O422">
        <f>IFERROR(MATCH($C$5&amp;"|"&amp;RIGHT("000000"&amp;406,6),LdgRankKeyB,0),"")</f>
        <v/>
      </c>
    </row>
    <row r="423">
      <c r="A423" s="17" t="n">
        <v>407</v>
      </c>
      <c r="B423" s="18">
        <f>IF(AND($N423="",$O423=""),"",IF($N423&lt;&gt;"",INDEX(PCNormDate,$N423),INDEX(LdgDateB,$O423)))</f>
        <v/>
      </c>
      <c r="C423" s="18">
        <f>IF($N423&lt;&gt;"",INDEX(PCOp,$N423),IF($O423&lt;&gt;"",IF(N(INDEX(TxnDepB,$O423))&gt;0,"دریافت بانکی","پرداخت بانکی"),""))</f>
        <v/>
      </c>
      <c r="D423" s="18">
        <f>IF($N423&lt;&gt;"",IF(INDEX(PCDoc,$N423)="","—",INDEX(PCDoc,$N423)),IF($O423&lt;&gt;"",INDEX(LdgBankB,$O423),""))</f>
        <v/>
      </c>
      <c r="E423" s="18">
        <f>IF($N423&lt;&gt;"",IF(INDEX(PCCitrus,$N423)="","—",INDEX(PCCitrus,$N423)),"")</f>
        <v/>
      </c>
      <c r="F423" s="19">
        <f>IF($N423&lt;&gt;"",IF(INDEX(PCScale,$N423)=0,"",INDEX(PCScale,$N423)),"")</f>
        <v/>
      </c>
      <c r="G423" s="19">
        <f>IF($N423&lt;&gt;"",IF(INDEX(PCBaskets,$N423)=0,"",INDEX(PCBaskets,$N423)),"")</f>
        <v/>
      </c>
      <c r="H423" s="20">
        <f>IF($N423&lt;&gt;"",IF(INDEX(PCNet,$N423)=0,"",INDEX(PCNet,$N423)),"")</f>
        <v/>
      </c>
      <c r="I423" s="19">
        <f>IF($N423&lt;&gt;"",IF(INDEX(PCOp,$N423)="مرجوعی خرید","",IF(INDEX(PCAmount,$N423)&lt;=0,"",INDEX(PCAmount,$N423))),IF($O423&lt;&gt;"",IF(INDEX(TxnDepB,$O423)=0,"",INDEX(TxnDepB,$O423)),""))</f>
        <v/>
      </c>
      <c r="J423" s="19">
        <f>IF($N423&lt;&gt;"",IF(INDEX(PCOp,$N423)="مرجوعی خرید",IF(INDEX(PCAmount,$N423)=0,"",-INDEX(PCAmount,$N423)),""),IF($O423&lt;&gt;"",IF(INDEX(TxnWitB,$O423)=0,"",INDEX(TxnWitB,$O423)),""))</f>
        <v/>
      </c>
      <c r="K423" s="21">
        <f>IF($B423="","",IF($K422="",$C$10,$K422)+IF($I423="",0,$I423)-IF($J423="",0,$J423))</f>
        <v/>
      </c>
      <c r="L423" s="22">
        <f>IF($N423&lt;&gt;"",IF(INDEX(PCNotes,$N423)="","—",INDEX(PCNotes,$N423)),IF($O423&lt;&gt;"",IF(INDEX(LdgNoteB,$O423)="","—",INDEX(LdgNoteB,$O423)),""))</f>
        <v/>
      </c>
      <c r="N423">
        <f>IFERROR(MATCH($C$5&amp;"|"&amp;RIGHT("000000"&amp;407,6),LdgRankKeyA,0),"")</f>
        <v/>
      </c>
      <c r="O423">
        <f>IFERROR(MATCH($C$5&amp;"|"&amp;RIGHT("000000"&amp;407,6),LdgRankKeyB,0),"")</f>
        <v/>
      </c>
    </row>
    <row r="424">
      <c r="A424" s="23" t="n">
        <v>408</v>
      </c>
      <c r="B424" s="24">
        <f>IF(AND($N424="",$O424=""),"",IF($N424&lt;&gt;"",INDEX(PCNormDate,$N424),INDEX(LdgDateB,$O424)))</f>
        <v/>
      </c>
      <c r="C424" s="24">
        <f>IF($N424&lt;&gt;"",INDEX(PCOp,$N424),IF($O424&lt;&gt;"",IF(N(INDEX(TxnDepB,$O424))&gt;0,"دریافت بانکی","پرداخت بانکی"),""))</f>
        <v/>
      </c>
      <c r="D424" s="24">
        <f>IF($N424&lt;&gt;"",IF(INDEX(PCDoc,$N424)="","—",INDEX(PCDoc,$N424)),IF($O424&lt;&gt;"",INDEX(LdgBankB,$O424),""))</f>
        <v/>
      </c>
      <c r="E424" s="24">
        <f>IF($N424&lt;&gt;"",IF(INDEX(PCCitrus,$N424)="","—",INDEX(PCCitrus,$N424)),"")</f>
        <v/>
      </c>
      <c r="F424" s="25">
        <f>IF($N424&lt;&gt;"",IF(INDEX(PCScale,$N424)=0,"",INDEX(PCScale,$N424)),"")</f>
        <v/>
      </c>
      <c r="G424" s="25">
        <f>IF($N424&lt;&gt;"",IF(INDEX(PCBaskets,$N424)=0,"",INDEX(PCBaskets,$N424)),"")</f>
        <v/>
      </c>
      <c r="H424" s="26">
        <f>IF($N424&lt;&gt;"",IF(INDEX(PCNet,$N424)=0,"",INDEX(PCNet,$N424)),"")</f>
        <v/>
      </c>
      <c r="I424" s="25">
        <f>IF($N424&lt;&gt;"",IF(INDEX(PCOp,$N424)="مرجوعی خرید","",IF(INDEX(PCAmount,$N424)&lt;=0,"",INDEX(PCAmount,$N424))),IF($O424&lt;&gt;"",IF(INDEX(TxnDepB,$O424)=0,"",INDEX(TxnDepB,$O424)),""))</f>
        <v/>
      </c>
      <c r="J424" s="25">
        <f>IF($N424&lt;&gt;"",IF(INDEX(PCOp,$N424)="مرجوعی خرید",IF(INDEX(PCAmount,$N424)=0,"",-INDEX(PCAmount,$N424)),""),IF($O424&lt;&gt;"",IF(INDEX(TxnWitB,$O424)=0,"",INDEX(TxnWitB,$O424)),""))</f>
        <v/>
      </c>
      <c r="K424" s="27">
        <f>IF($B424="","",IF($K423="",$C$10,$K423)+IF($I424="",0,$I424)-IF($J424="",0,$J424))</f>
        <v/>
      </c>
      <c r="L424" s="28">
        <f>IF($N424&lt;&gt;"",IF(INDEX(PCNotes,$N424)="","—",INDEX(PCNotes,$N424)),IF($O424&lt;&gt;"",IF(INDEX(LdgNoteB,$O424)="","—",INDEX(LdgNoteB,$O424)),""))</f>
        <v/>
      </c>
      <c r="N424">
        <f>IFERROR(MATCH($C$5&amp;"|"&amp;RIGHT("000000"&amp;408,6),LdgRankKeyA,0),"")</f>
        <v/>
      </c>
      <c r="O424">
        <f>IFERROR(MATCH($C$5&amp;"|"&amp;RIGHT("000000"&amp;408,6),LdgRankKeyB,0),"")</f>
        <v/>
      </c>
    </row>
    <row r="425">
      <c r="A425" s="17" t="n">
        <v>409</v>
      </c>
      <c r="B425" s="18">
        <f>IF(AND($N425="",$O425=""),"",IF($N425&lt;&gt;"",INDEX(PCNormDate,$N425),INDEX(LdgDateB,$O425)))</f>
        <v/>
      </c>
      <c r="C425" s="18">
        <f>IF($N425&lt;&gt;"",INDEX(PCOp,$N425),IF($O425&lt;&gt;"",IF(N(INDEX(TxnDepB,$O425))&gt;0,"دریافت بانکی","پرداخت بانکی"),""))</f>
        <v/>
      </c>
      <c r="D425" s="18">
        <f>IF($N425&lt;&gt;"",IF(INDEX(PCDoc,$N425)="","—",INDEX(PCDoc,$N425)),IF($O425&lt;&gt;"",INDEX(LdgBankB,$O425),""))</f>
        <v/>
      </c>
      <c r="E425" s="18">
        <f>IF($N425&lt;&gt;"",IF(INDEX(PCCitrus,$N425)="","—",INDEX(PCCitrus,$N425)),"")</f>
        <v/>
      </c>
      <c r="F425" s="19">
        <f>IF($N425&lt;&gt;"",IF(INDEX(PCScale,$N425)=0,"",INDEX(PCScale,$N425)),"")</f>
        <v/>
      </c>
      <c r="G425" s="19">
        <f>IF($N425&lt;&gt;"",IF(INDEX(PCBaskets,$N425)=0,"",INDEX(PCBaskets,$N425)),"")</f>
        <v/>
      </c>
      <c r="H425" s="20">
        <f>IF($N425&lt;&gt;"",IF(INDEX(PCNet,$N425)=0,"",INDEX(PCNet,$N425)),"")</f>
        <v/>
      </c>
      <c r="I425" s="19">
        <f>IF($N425&lt;&gt;"",IF(INDEX(PCOp,$N425)="مرجوعی خرید","",IF(INDEX(PCAmount,$N425)&lt;=0,"",INDEX(PCAmount,$N425))),IF($O425&lt;&gt;"",IF(INDEX(TxnDepB,$O425)=0,"",INDEX(TxnDepB,$O425)),""))</f>
        <v/>
      </c>
      <c r="J425" s="19">
        <f>IF($N425&lt;&gt;"",IF(INDEX(PCOp,$N425)="مرجوعی خرید",IF(INDEX(PCAmount,$N425)=0,"",-INDEX(PCAmount,$N425)),""),IF($O425&lt;&gt;"",IF(INDEX(TxnWitB,$O425)=0,"",INDEX(TxnWitB,$O425)),""))</f>
        <v/>
      </c>
      <c r="K425" s="21">
        <f>IF($B425="","",IF($K424="",$C$10,$K424)+IF($I425="",0,$I425)-IF($J425="",0,$J425))</f>
        <v/>
      </c>
      <c r="L425" s="22">
        <f>IF($N425&lt;&gt;"",IF(INDEX(PCNotes,$N425)="","—",INDEX(PCNotes,$N425)),IF($O425&lt;&gt;"",IF(INDEX(LdgNoteB,$O425)="","—",INDEX(LdgNoteB,$O425)),""))</f>
        <v/>
      </c>
      <c r="N425">
        <f>IFERROR(MATCH($C$5&amp;"|"&amp;RIGHT("000000"&amp;409,6),LdgRankKeyA,0),"")</f>
        <v/>
      </c>
      <c r="O425">
        <f>IFERROR(MATCH($C$5&amp;"|"&amp;RIGHT("000000"&amp;409,6),LdgRankKeyB,0),"")</f>
        <v/>
      </c>
    </row>
    <row r="426">
      <c r="A426" s="23" t="n">
        <v>410</v>
      </c>
      <c r="B426" s="24">
        <f>IF(AND($N426="",$O426=""),"",IF($N426&lt;&gt;"",INDEX(PCNormDate,$N426),INDEX(LdgDateB,$O426)))</f>
        <v/>
      </c>
      <c r="C426" s="24">
        <f>IF($N426&lt;&gt;"",INDEX(PCOp,$N426),IF($O426&lt;&gt;"",IF(N(INDEX(TxnDepB,$O426))&gt;0,"دریافت بانکی","پرداخت بانکی"),""))</f>
        <v/>
      </c>
      <c r="D426" s="24">
        <f>IF($N426&lt;&gt;"",IF(INDEX(PCDoc,$N426)="","—",INDEX(PCDoc,$N426)),IF($O426&lt;&gt;"",INDEX(LdgBankB,$O426),""))</f>
        <v/>
      </c>
      <c r="E426" s="24">
        <f>IF($N426&lt;&gt;"",IF(INDEX(PCCitrus,$N426)="","—",INDEX(PCCitrus,$N426)),"")</f>
        <v/>
      </c>
      <c r="F426" s="25">
        <f>IF($N426&lt;&gt;"",IF(INDEX(PCScale,$N426)=0,"",INDEX(PCScale,$N426)),"")</f>
        <v/>
      </c>
      <c r="G426" s="25">
        <f>IF($N426&lt;&gt;"",IF(INDEX(PCBaskets,$N426)=0,"",INDEX(PCBaskets,$N426)),"")</f>
        <v/>
      </c>
      <c r="H426" s="26">
        <f>IF($N426&lt;&gt;"",IF(INDEX(PCNet,$N426)=0,"",INDEX(PCNet,$N426)),"")</f>
        <v/>
      </c>
      <c r="I426" s="25">
        <f>IF($N426&lt;&gt;"",IF(INDEX(PCOp,$N426)="مرجوعی خرید","",IF(INDEX(PCAmount,$N426)&lt;=0,"",INDEX(PCAmount,$N426))),IF($O426&lt;&gt;"",IF(INDEX(TxnDepB,$O426)=0,"",INDEX(TxnDepB,$O426)),""))</f>
        <v/>
      </c>
      <c r="J426" s="25">
        <f>IF($N426&lt;&gt;"",IF(INDEX(PCOp,$N426)="مرجوعی خرید",IF(INDEX(PCAmount,$N426)=0,"",-INDEX(PCAmount,$N426)),""),IF($O426&lt;&gt;"",IF(INDEX(TxnWitB,$O426)=0,"",INDEX(TxnWitB,$O426)),""))</f>
        <v/>
      </c>
      <c r="K426" s="27">
        <f>IF($B426="","",IF($K425="",$C$10,$K425)+IF($I426="",0,$I426)-IF($J426="",0,$J426))</f>
        <v/>
      </c>
      <c r="L426" s="28">
        <f>IF($N426&lt;&gt;"",IF(INDEX(PCNotes,$N426)="","—",INDEX(PCNotes,$N426)),IF($O426&lt;&gt;"",IF(INDEX(LdgNoteB,$O426)="","—",INDEX(LdgNoteB,$O426)),""))</f>
        <v/>
      </c>
      <c r="N426">
        <f>IFERROR(MATCH($C$5&amp;"|"&amp;RIGHT("000000"&amp;410,6),LdgRankKeyA,0),"")</f>
        <v/>
      </c>
      <c r="O426">
        <f>IFERROR(MATCH($C$5&amp;"|"&amp;RIGHT("000000"&amp;410,6),LdgRankKeyB,0),"")</f>
        <v/>
      </c>
    </row>
    <row r="427">
      <c r="A427" s="17" t="n">
        <v>411</v>
      </c>
      <c r="B427" s="18">
        <f>IF(AND($N427="",$O427=""),"",IF($N427&lt;&gt;"",INDEX(PCNormDate,$N427),INDEX(LdgDateB,$O427)))</f>
        <v/>
      </c>
      <c r="C427" s="18">
        <f>IF($N427&lt;&gt;"",INDEX(PCOp,$N427),IF($O427&lt;&gt;"",IF(N(INDEX(TxnDepB,$O427))&gt;0,"دریافت بانکی","پرداخت بانکی"),""))</f>
        <v/>
      </c>
      <c r="D427" s="18">
        <f>IF($N427&lt;&gt;"",IF(INDEX(PCDoc,$N427)="","—",INDEX(PCDoc,$N427)),IF($O427&lt;&gt;"",INDEX(LdgBankB,$O427),""))</f>
        <v/>
      </c>
      <c r="E427" s="18">
        <f>IF($N427&lt;&gt;"",IF(INDEX(PCCitrus,$N427)="","—",INDEX(PCCitrus,$N427)),"")</f>
        <v/>
      </c>
      <c r="F427" s="19">
        <f>IF($N427&lt;&gt;"",IF(INDEX(PCScale,$N427)=0,"",INDEX(PCScale,$N427)),"")</f>
        <v/>
      </c>
      <c r="G427" s="19">
        <f>IF($N427&lt;&gt;"",IF(INDEX(PCBaskets,$N427)=0,"",INDEX(PCBaskets,$N427)),"")</f>
        <v/>
      </c>
      <c r="H427" s="20">
        <f>IF($N427&lt;&gt;"",IF(INDEX(PCNet,$N427)=0,"",INDEX(PCNet,$N427)),"")</f>
        <v/>
      </c>
      <c r="I427" s="19">
        <f>IF($N427&lt;&gt;"",IF(INDEX(PCOp,$N427)="مرجوعی خرید","",IF(INDEX(PCAmount,$N427)&lt;=0,"",INDEX(PCAmount,$N427))),IF($O427&lt;&gt;"",IF(INDEX(TxnDepB,$O427)=0,"",INDEX(TxnDepB,$O427)),""))</f>
        <v/>
      </c>
      <c r="J427" s="19">
        <f>IF($N427&lt;&gt;"",IF(INDEX(PCOp,$N427)="مرجوعی خرید",IF(INDEX(PCAmount,$N427)=0,"",-INDEX(PCAmount,$N427)),""),IF($O427&lt;&gt;"",IF(INDEX(TxnWitB,$O427)=0,"",INDEX(TxnWitB,$O427)),""))</f>
        <v/>
      </c>
      <c r="K427" s="21">
        <f>IF($B427="","",IF($K426="",$C$10,$K426)+IF($I427="",0,$I427)-IF($J427="",0,$J427))</f>
        <v/>
      </c>
      <c r="L427" s="22">
        <f>IF($N427&lt;&gt;"",IF(INDEX(PCNotes,$N427)="","—",INDEX(PCNotes,$N427)),IF($O427&lt;&gt;"",IF(INDEX(LdgNoteB,$O427)="","—",INDEX(LdgNoteB,$O427)),""))</f>
        <v/>
      </c>
      <c r="N427">
        <f>IFERROR(MATCH($C$5&amp;"|"&amp;RIGHT("000000"&amp;411,6),LdgRankKeyA,0),"")</f>
        <v/>
      </c>
      <c r="O427">
        <f>IFERROR(MATCH($C$5&amp;"|"&amp;RIGHT("000000"&amp;411,6),LdgRankKeyB,0),"")</f>
        <v/>
      </c>
    </row>
    <row r="428">
      <c r="A428" s="23" t="n">
        <v>412</v>
      </c>
      <c r="B428" s="24">
        <f>IF(AND($N428="",$O428=""),"",IF($N428&lt;&gt;"",INDEX(PCNormDate,$N428),INDEX(LdgDateB,$O428)))</f>
        <v/>
      </c>
      <c r="C428" s="24">
        <f>IF($N428&lt;&gt;"",INDEX(PCOp,$N428),IF($O428&lt;&gt;"",IF(N(INDEX(TxnDepB,$O428))&gt;0,"دریافت بانکی","پرداخت بانکی"),""))</f>
        <v/>
      </c>
      <c r="D428" s="24">
        <f>IF($N428&lt;&gt;"",IF(INDEX(PCDoc,$N428)="","—",INDEX(PCDoc,$N428)),IF($O428&lt;&gt;"",INDEX(LdgBankB,$O428),""))</f>
        <v/>
      </c>
      <c r="E428" s="24">
        <f>IF($N428&lt;&gt;"",IF(INDEX(PCCitrus,$N428)="","—",INDEX(PCCitrus,$N428)),"")</f>
        <v/>
      </c>
      <c r="F428" s="25">
        <f>IF($N428&lt;&gt;"",IF(INDEX(PCScale,$N428)=0,"",INDEX(PCScale,$N428)),"")</f>
        <v/>
      </c>
      <c r="G428" s="25">
        <f>IF($N428&lt;&gt;"",IF(INDEX(PCBaskets,$N428)=0,"",INDEX(PCBaskets,$N428)),"")</f>
        <v/>
      </c>
      <c r="H428" s="26">
        <f>IF($N428&lt;&gt;"",IF(INDEX(PCNet,$N428)=0,"",INDEX(PCNet,$N428)),"")</f>
        <v/>
      </c>
      <c r="I428" s="25">
        <f>IF($N428&lt;&gt;"",IF(INDEX(PCOp,$N428)="مرجوعی خرید","",IF(INDEX(PCAmount,$N428)&lt;=0,"",INDEX(PCAmount,$N428))),IF($O428&lt;&gt;"",IF(INDEX(TxnDepB,$O428)=0,"",INDEX(TxnDepB,$O428)),""))</f>
        <v/>
      </c>
      <c r="J428" s="25">
        <f>IF($N428&lt;&gt;"",IF(INDEX(PCOp,$N428)="مرجوعی خرید",IF(INDEX(PCAmount,$N428)=0,"",-INDEX(PCAmount,$N428)),""),IF($O428&lt;&gt;"",IF(INDEX(TxnWitB,$O428)=0,"",INDEX(TxnWitB,$O428)),""))</f>
        <v/>
      </c>
      <c r="K428" s="27">
        <f>IF($B428="","",IF($K427="",$C$10,$K427)+IF($I428="",0,$I428)-IF($J428="",0,$J428))</f>
        <v/>
      </c>
      <c r="L428" s="28">
        <f>IF($N428&lt;&gt;"",IF(INDEX(PCNotes,$N428)="","—",INDEX(PCNotes,$N428)),IF($O428&lt;&gt;"",IF(INDEX(LdgNoteB,$O428)="","—",INDEX(LdgNoteB,$O428)),""))</f>
        <v/>
      </c>
      <c r="N428">
        <f>IFERROR(MATCH($C$5&amp;"|"&amp;RIGHT("000000"&amp;412,6),LdgRankKeyA,0),"")</f>
        <v/>
      </c>
      <c r="O428">
        <f>IFERROR(MATCH($C$5&amp;"|"&amp;RIGHT("000000"&amp;412,6),LdgRankKeyB,0),"")</f>
        <v/>
      </c>
    </row>
    <row r="429">
      <c r="A429" s="17" t="n">
        <v>413</v>
      </c>
      <c r="B429" s="18">
        <f>IF(AND($N429="",$O429=""),"",IF($N429&lt;&gt;"",INDEX(PCNormDate,$N429),INDEX(LdgDateB,$O429)))</f>
        <v/>
      </c>
      <c r="C429" s="18">
        <f>IF($N429&lt;&gt;"",INDEX(PCOp,$N429),IF($O429&lt;&gt;"",IF(N(INDEX(TxnDepB,$O429))&gt;0,"دریافت بانکی","پرداخت بانکی"),""))</f>
        <v/>
      </c>
      <c r="D429" s="18">
        <f>IF($N429&lt;&gt;"",IF(INDEX(PCDoc,$N429)="","—",INDEX(PCDoc,$N429)),IF($O429&lt;&gt;"",INDEX(LdgBankB,$O429),""))</f>
        <v/>
      </c>
      <c r="E429" s="18">
        <f>IF($N429&lt;&gt;"",IF(INDEX(PCCitrus,$N429)="","—",INDEX(PCCitrus,$N429)),"")</f>
        <v/>
      </c>
      <c r="F429" s="19">
        <f>IF($N429&lt;&gt;"",IF(INDEX(PCScale,$N429)=0,"",INDEX(PCScale,$N429)),"")</f>
        <v/>
      </c>
      <c r="G429" s="19">
        <f>IF($N429&lt;&gt;"",IF(INDEX(PCBaskets,$N429)=0,"",INDEX(PCBaskets,$N429)),"")</f>
        <v/>
      </c>
      <c r="H429" s="20">
        <f>IF($N429&lt;&gt;"",IF(INDEX(PCNet,$N429)=0,"",INDEX(PCNet,$N429)),"")</f>
        <v/>
      </c>
      <c r="I429" s="19">
        <f>IF($N429&lt;&gt;"",IF(INDEX(PCOp,$N429)="مرجوعی خرید","",IF(INDEX(PCAmount,$N429)&lt;=0,"",INDEX(PCAmount,$N429))),IF($O429&lt;&gt;"",IF(INDEX(TxnDepB,$O429)=0,"",INDEX(TxnDepB,$O429)),""))</f>
        <v/>
      </c>
      <c r="J429" s="19">
        <f>IF($N429&lt;&gt;"",IF(INDEX(PCOp,$N429)="مرجوعی خرید",IF(INDEX(PCAmount,$N429)=0,"",-INDEX(PCAmount,$N429)),""),IF($O429&lt;&gt;"",IF(INDEX(TxnWitB,$O429)=0,"",INDEX(TxnWitB,$O429)),""))</f>
        <v/>
      </c>
      <c r="K429" s="21">
        <f>IF($B429="","",IF($K428="",$C$10,$K428)+IF($I429="",0,$I429)-IF($J429="",0,$J429))</f>
        <v/>
      </c>
      <c r="L429" s="22">
        <f>IF($N429&lt;&gt;"",IF(INDEX(PCNotes,$N429)="","—",INDEX(PCNotes,$N429)),IF($O429&lt;&gt;"",IF(INDEX(LdgNoteB,$O429)="","—",INDEX(LdgNoteB,$O429)),""))</f>
        <v/>
      </c>
      <c r="N429">
        <f>IFERROR(MATCH($C$5&amp;"|"&amp;RIGHT("000000"&amp;413,6),LdgRankKeyA,0),"")</f>
        <v/>
      </c>
      <c r="O429">
        <f>IFERROR(MATCH($C$5&amp;"|"&amp;RIGHT("000000"&amp;413,6),LdgRankKeyB,0),"")</f>
        <v/>
      </c>
    </row>
    <row r="430">
      <c r="A430" s="23" t="n">
        <v>414</v>
      </c>
      <c r="B430" s="24">
        <f>IF(AND($N430="",$O430=""),"",IF($N430&lt;&gt;"",INDEX(PCNormDate,$N430),INDEX(LdgDateB,$O430)))</f>
        <v/>
      </c>
      <c r="C430" s="24">
        <f>IF($N430&lt;&gt;"",INDEX(PCOp,$N430),IF($O430&lt;&gt;"",IF(N(INDEX(TxnDepB,$O430))&gt;0,"دریافت بانکی","پرداخت بانکی"),""))</f>
        <v/>
      </c>
      <c r="D430" s="24">
        <f>IF($N430&lt;&gt;"",IF(INDEX(PCDoc,$N430)="","—",INDEX(PCDoc,$N430)),IF($O430&lt;&gt;"",INDEX(LdgBankB,$O430),""))</f>
        <v/>
      </c>
      <c r="E430" s="24">
        <f>IF($N430&lt;&gt;"",IF(INDEX(PCCitrus,$N430)="","—",INDEX(PCCitrus,$N430)),"")</f>
        <v/>
      </c>
      <c r="F430" s="25">
        <f>IF($N430&lt;&gt;"",IF(INDEX(PCScale,$N430)=0,"",INDEX(PCScale,$N430)),"")</f>
        <v/>
      </c>
      <c r="G430" s="25">
        <f>IF($N430&lt;&gt;"",IF(INDEX(PCBaskets,$N430)=0,"",INDEX(PCBaskets,$N430)),"")</f>
        <v/>
      </c>
      <c r="H430" s="26">
        <f>IF($N430&lt;&gt;"",IF(INDEX(PCNet,$N430)=0,"",INDEX(PCNet,$N430)),"")</f>
        <v/>
      </c>
      <c r="I430" s="25">
        <f>IF($N430&lt;&gt;"",IF(INDEX(PCOp,$N430)="مرجوعی خرید","",IF(INDEX(PCAmount,$N430)&lt;=0,"",INDEX(PCAmount,$N430))),IF($O430&lt;&gt;"",IF(INDEX(TxnDepB,$O430)=0,"",INDEX(TxnDepB,$O430)),""))</f>
        <v/>
      </c>
      <c r="J430" s="25">
        <f>IF($N430&lt;&gt;"",IF(INDEX(PCOp,$N430)="مرجوعی خرید",IF(INDEX(PCAmount,$N430)=0,"",-INDEX(PCAmount,$N430)),""),IF($O430&lt;&gt;"",IF(INDEX(TxnWitB,$O430)=0,"",INDEX(TxnWitB,$O430)),""))</f>
        <v/>
      </c>
      <c r="K430" s="27">
        <f>IF($B430="","",IF($K429="",$C$10,$K429)+IF($I430="",0,$I430)-IF($J430="",0,$J430))</f>
        <v/>
      </c>
      <c r="L430" s="28">
        <f>IF($N430&lt;&gt;"",IF(INDEX(PCNotes,$N430)="","—",INDEX(PCNotes,$N430)),IF($O430&lt;&gt;"",IF(INDEX(LdgNoteB,$O430)="","—",INDEX(LdgNoteB,$O430)),""))</f>
        <v/>
      </c>
      <c r="N430">
        <f>IFERROR(MATCH($C$5&amp;"|"&amp;RIGHT("000000"&amp;414,6),LdgRankKeyA,0),"")</f>
        <v/>
      </c>
      <c r="O430">
        <f>IFERROR(MATCH($C$5&amp;"|"&amp;RIGHT("000000"&amp;414,6),LdgRankKeyB,0),"")</f>
        <v/>
      </c>
    </row>
    <row r="431">
      <c r="A431" s="17" t="n">
        <v>415</v>
      </c>
      <c r="B431" s="18">
        <f>IF(AND($N431="",$O431=""),"",IF($N431&lt;&gt;"",INDEX(PCNormDate,$N431),INDEX(LdgDateB,$O431)))</f>
        <v/>
      </c>
      <c r="C431" s="18">
        <f>IF($N431&lt;&gt;"",INDEX(PCOp,$N431),IF($O431&lt;&gt;"",IF(N(INDEX(TxnDepB,$O431))&gt;0,"دریافت بانکی","پرداخت بانکی"),""))</f>
        <v/>
      </c>
      <c r="D431" s="18">
        <f>IF($N431&lt;&gt;"",IF(INDEX(PCDoc,$N431)="","—",INDEX(PCDoc,$N431)),IF($O431&lt;&gt;"",INDEX(LdgBankB,$O431),""))</f>
        <v/>
      </c>
      <c r="E431" s="18">
        <f>IF($N431&lt;&gt;"",IF(INDEX(PCCitrus,$N431)="","—",INDEX(PCCitrus,$N431)),"")</f>
        <v/>
      </c>
      <c r="F431" s="19">
        <f>IF($N431&lt;&gt;"",IF(INDEX(PCScale,$N431)=0,"",INDEX(PCScale,$N431)),"")</f>
        <v/>
      </c>
      <c r="G431" s="19">
        <f>IF($N431&lt;&gt;"",IF(INDEX(PCBaskets,$N431)=0,"",INDEX(PCBaskets,$N431)),"")</f>
        <v/>
      </c>
      <c r="H431" s="20">
        <f>IF($N431&lt;&gt;"",IF(INDEX(PCNet,$N431)=0,"",INDEX(PCNet,$N431)),"")</f>
        <v/>
      </c>
      <c r="I431" s="19">
        <f>IF($N431&lt;&gt;"",IF(INDEX(PCOp,$N431)="مرجوعی خرید","",IF(INDEX(PCAmount,$N431)&lt;=0,"",INDEX(PCAmount,$N431))),IF($O431&lt;&gt;"",IF(INDEX(TxnDepB,$O431)=0,"",INDEX(TxnDepB,$O431)),""))</f>
        <v/>
      </c>
      <c r="J431" s="19">
        <f>IF($N431&lt;&gt;"",IF(INDEX(PCOp,$N431)="مرجوعی خرید",IF(INDEX(PCAmount,$N431)=0,"",-INDEX(PCAmount,$N431)),""),IF($O431&lt;&gt;"",IF(INDEX(TxnWitB,$O431)=0,"",INDEX(TxnWitB,$O431)),""))</f>
        <v/>
      </c>
      <c r="K431" s="21">
        <f>IF($B431="","",IF($K430="",$C$10,$K430)+IF($I431="",0,$I431)-IF($J431="",0,$J431))</f>
        <v/>
      </c>
      <c r="L431" s="22">
        <f>IF($N431&lt;&gt;"",IF(INDEX(PCNotes,$N431)="","—",INDEX(PCNotes,$N431)),IF($O431&lt;&gt;"",IF(INDEX(LdgNoteB,$O431)="","—",INDEX(LdgNoteB,$O431)),""))</f>
        <v/>
      </c>
      <c r="N431">
        <f>IFERROR(MATCH($C$5&amp;"|"&amp;RIGHT("000000"&amp;415,6),LdgRankKeyA,0),"")</f>
        <v/>
      </c>
      <c r="O431">
        <f>IFERROR(MATCH($C$5&amp;"|"&amp;RIGHT("000000"&amp;415,6),LdgRankKeyB,0),"")</f>
        <v/>
      </c>
    </row>
    <row r="432">
      <c r="A432" s="23" t="n">
        <v>416</v>
      </c>
      <c r="B432" s="24">
        <f>IF(AND($N432="",$O432=""),"",IF($N432&lt;&gt;"",INDEX(PCNormDate,$N432),INDEX(LdgDateB,$O432)))</f>
        <v/>
      </c>
      <c r="C432" s="24">
        <f>IF($N432&lt;&gt;"",INDEX(PCOp,$N432),IF($O432&lt;&gt;"",IF(N(INDEX(TxnDepB,$O432))&gt;0,"دریافت بانکی","پرداخت بانکی"),""))</f>
        <v/>
      </c>
      <c r="D432" s="24">
        <f>IF($N432&lt;&gt;"",IF(INDEX(PCDoc,$N432)="","—",INDEX(PCDoc,$N432)),IF($O432&lt;&gt;"",INDEX(LdgBankB,$O432),""))</f>
        <v/>
      </c>
      <c r="E432" s="24">
        <f>IF($N432&lt;&gt;"",IF(INDEX(PCCitrus,$N432)="","—",INDEX(PCCitrus,$N432)),"")</f>
        <v/>
      </c>
      <c r="F432" s="25">
        <f>IF($N432&lt;&gt;"",IF(INDEX(PCScale,$N432)=0,"",INDEX(PCScale,$N432)),"")</f>
        <v/>
      </c>
      <c r="G432" s="25">
        <f>IF($N432&lt;&gt;"",IF(INDEX(PCBaskets,$N432)=0,"",INDEX(PCBaskets,$N432)),"")</f>
        <v/>
      </c>
      <c r="H432" s="26">
        <f>IF($N432&lt;&gt;"",IF(INDEX(PCNet,$N432)=0,"",INDEX(PCNet,$N432)),"")</f>
        <v/>
      </c>
      <c r="I432" s="25">
        <f>IF($N432&lt;&gt;"",IF(INDEX(PCOp,$N432)="مرجوعی خرید","",IF(INDEX(PCAmount,$N432)&lt;=0,"",INDEX(PCAmount,$N432))),IF($O432&lt;&gt;"",IF(INDEX(TxnDepB,$O432)=0,"",INDEX(TxnDepB,$O432)),""))</f>
        <v/>
      </c>
      <c r="J432" s="25">
        <f>IF($N432&lt;&gt;"",IF(INDEX(PCOp,$N432)="مرجوعی خرید",IF(INDEX(PCAmount,$N432)=0,"",-INDEX(PCAmount,$N432)),""),IF($O432&lt;&gt;"",IF(INDEX(TxnWitB,$O432)=0,"",INDEX(TxnWitB,$O432)),""))</f>
        <v/>
      </c>
      <c r="K432" s="27">
        <f>IF($B432="","",IF($K431="",$C$10,$K431)+IF($I432="",0,$I432)-IF($J432="",0,$J432))</f>
        <v/>
      </c>
      <c r="L432" s="28">
        <f>IF($N432&lt;&gt;"",IF(INDEX(PCNotes,$N432)="","—",INDEX(PCNotes,$N432)),IF($O432&lt;&gt;"",IF(INDEX(LdgNoteB,$O432)="","—",INDEX(LdgNoteB,$O432)),""))</f>
        <v/>
      </c>
      <c r="N432">
        <f>IFERROR(MATCH($C$5&amp;"|"&amp;RIGHT("000000"&amp;416,6),LdgRankKeyA,0),"")</f>
        <v/>
      </c>
      <c r="O432">
        <f>IFERROR(MATCH($C$5&amp;"|"&amp;RIGHT("000000"&amp;416,6),LdgRankKeyB,0),"")</f>
        <v/>
      </c>
    </row>
    <row r="433">
      <c r="A433" s="17" t="n">
        <v>417</v>
      </c>
      <c r="B433" s="18">
        <f>IF(AND($N433="",$O433=""),"",IF($N433&lt;&gt;"",INDEX(PCNormDate,$N433),INDEX(LdgDateB,$O433)))</f>
        <v/>
      </c>
      <c r="C433" s="18">
        <f>IF($N433&lt;&gt;"",INDEX(PCOp,$N433),IF($O433&lt;&gt;"",IF(N(INDEX(TxnDepB,$O433))&gt;0,"دریافت بانکی","پرداخت بانکی"),""))</f>
        <v/>
      </c>
      <c r="D433" s="18">
        <f>IF($N433&lt;&gt;"",IF(INDEX(PCDoc,$N433)="","—",INDEX(PCDoc,$N433)),IF($O433&lt;&gt;"",INDEX(LdgBankB,$O433),""))</f>
        <v/>
      </c>
      <c r="E433" s="18">
        <f>IF($N433&lt;&gt;"",IF(INDEX(PCCitrus,$N433)="","—",INDEX(PCCitrus,$N433)),"")</f>
        <v/>
      </c>
      <c r="F433" s="19">
        <f>IF($N433&lt;&gt;"",IF(INDEX(PCScale,$N433)=0,"",INDEX(PCScale,$N433)),"")</f>
        <v/>
      </c>
      <c r="G433" s="19">
        <f>IF($N433&lt;&gt;"",IF(INDEX(PCBaskets,$N433)=0,"",INDEX(PCBaskets,$N433)),"")</f>
        <v/>
      </c>
      <c r="H433" s="20">
        <f>IF($N433&lt;&gt;"",IF(INDEX(PCNet,$N433)=0,"",INDEX(PCNet,$N433)),"")</f>
        <v/>
      </c>
      <c r="I433" s="19">
        <f>IF($N433&lt;&gt;"",IF(INDEX(PCOp,$N433)="مرجوعی خرید","",IF(INDEX(PCAmount,$N433)&lt;=0,"",INDEX(PCAmount,$N433))),IF($O433&lt;&gt;"",IF(INDEX(TxnDepB,$O433)=0,"",INDEX(TxnDepB,$O433)),""))</f>
        <v/>
      </c>
      <c r="J433" s="19">
        <f>IF($N433&lt;&gt;"",IF(INDEX(PCOp,$N433)="مرجوعی خرید",IF(INDEX(PCAmount,$N433)=0,"",-INDEX(PCAmount,$N433)),""),IF($O433&lt;&gt;"",IF(INDEX(TxnWitB,$O433)=0,"",INDEX(TxnWitB,$O433)),""))</f>
        <v/>
      </c>
      <c r="K433" s="21">
        <f>IF($B433="","",IF($K432="",$C$10,$K432)+IF($I433="",0,$I433)-IF($J433="",0,$J433))</f>
        <v/>
      </c>
      <c r="L433" s="22">
        <f>IF($N433&lt;&gt;"",IF(INDEX(PCNotes,$N433)="","—",INDEX(PCNotes,$N433)),IF($O433&lt;&gt;"",IF(INDEX(LdgNoteB,$O433)="","—",INDEX(LdgNoteB,$O433)),""))</f>
        <v/>
      </c>
      <c r="N433">
        <f>IFERROR(MATCH($C$5&amp;"|"&amp;RIGHT("000000"&amp;417,6),LdgRankKeyA,0),"")</f>
        <v/>
      </c>
      <c r="O433">
        <f>IFERROR(MATCH($C$5&amp;"|"&amp;RIGHT("000000"&amp;417,6),LdgRankKeyB,0),"")</f>
        <v/>
      </c>
    </row>
    <row r="434">
      <c r="A434" s="23" t="n">
        <v>418</v>
      </c>
      <c r="B434" s="24">
        <f>IF(AND($N434="",$O434=""),"",IF($N434&lt;&gt;"",INDEX(PCNormDate,$N434),INDEX(LdgDateB,$O434)))</f>
        <v/>
      </c>
      <c r="C434" s="24">
        <f>IF($N434&lt;&gt;"",INDEX(PCOp,$N434),IF($O434&lt;&gt;"",IF(N(INDEX(TxnDepB,$O434))&gt;0,"دریافت بانکی","پرداخت بانکی"),""))</f>
        <v/>
      </c>
      <c r="D434" s="24">
        <f>IF($N434&lt;&gt;"",IF(INDEX(PCDoc,$N434)="","—",INDEX(PCDoc,$N434)),IF($O434&lt;&gt;"",INDEX(LdgBankB,$O434),""))</f>
        <v/>
      </c>
      <c r="E434" s="24">
        <f>IF($N434&lt;&gt;"",IF(INDEX(PCCitrus,$N434)="","—",INDEX(PCCitrus,$N434)),"")</f>
        <v/>
      </c>
      <c r="F434" s="25">
        <f>IF($N434&lt;&gt;"",IF(INDEX(PCScale,$N434)=0,"",INDEX(PCScale,$N434)),"")</f>
        <v/>
      </c>
      <c r="G434" s="25">
        <f>IF($N434&lt;&gt;"",IF(INDEX(PCBaskets,$N434)=0,"",INDEX(PCBaskets,$N434)),"")</f>
        <v/>
      </c>
      <c r="H434" s="26">
        <f>IF($N434&lt;&gt;"",IF(INDEX(PCNet,$N434)=0,"",INDEX(PCNet,$N434)),"")</f>
        <v/>
      </c>
      <c r="I434" s="25">
        <f>IF($N434&lt;&gt;"",IF(INDEX(PCOp,$N434)="مرجوعی خرید","",IF(INDEX(PCAmount,$N434)&lt;=0,"",INDEX(PCAmount,$N434))),IF($O434&lt;&gt;"",IF(INDEX(TxnDepB,$O434)=0,"",INDEX(TxnDepB,$O434)),""))</f>
        <v/>
      </c>
      <c r="J434" s="25">
        <f>IF($N434&lt;&gt;"",IF(INDEX(PCOp,$N434)="مرجوعی خرید",IF(INDEX(PCAmount,$N434)=0,"",-INDEX(PCAmount,$N434)),""),IF($O434&lt;&gt;"",IF(INDEX(TxnWitB,$O434)=0,"",INDEX(TxnWitB,$O434)),""))</f>
        <v/>
      </c>
      <c r="K434" s="27">
        <f>IF($B434="","",IF($K433="",$C$10,$K433)+IF($I434="",0,$I434)-IF($J434="",0,$J434))</f>
        <v/>
      </c>
      <c r="L434" s="28">
        <f>IF($N434&lt;&gt;"",IF(INDEX(PCNotes,$N434)="","—",INDEX(PCNotes,$N434)),IF($O434&lt;&gt;"",IF(INDEX(LdgNoteB,$O434)="","—",INDEX(LdgNoteB,$O434)),""))</f>
        <v/>
      </c>
      <c r="N434">
        <f>IFERROR(MATCH($C$5&amp;"|"&amp;RIGHT("000000"&amp;418,6),LdgRankKeyA,0),"")</f>
        <v/>
      </c>
      <c r="O434">
        <f>IFERROR(MATCH($C$5&amp;"|"&amp;RIGHT("000000"&amp;418,6),LdgRankKeyB,0),"")</f>
        <v/>
      </c>
    </row>
    <row r="435">
      <c r="A435" s="17" t="n">
        <v>419</v>
      </c>
      <c r="B435" s="18">
        <f>IF(AND($N435="",$O435=""),"",IF($N435&lt;&gt;"",INDEX(PCNormDate,$N435),INDEX(LdgDateB,$O435)))</f>
        <v/>
      </c>
      <c r="C435" s="18">
        <f>IF($N435&lt;&gt;"",INDEX(PCOp,$N435),IF($O435&lt;&gt;"",IF(N(INDEX(TxnDepB,$O435))&gt;0,"دریافت بانکی","پرداخت بانکی"),""))</f>
        <v/>
      </c>
      <c r="D435" s="18">
        <f>IF($N435&lt;&gt;"",IF(INDEX(PCDoc,$N435)="","—",INDEX(PCDoc,$N435)),IF($O435&lt;&gt;"",INDEX(LdgBankB,$O435),""))</f>
        <v/>
      </c>
      <c r="E435" s="18">
        <f>IF($N435&lt;&gt;"",IF(INDEX(PCCitrus,$N435)="","—",INDEX(PCCitrus,$N435)),"")</f>
        <v/>
      </c>
      <c r="F435" s="19">
        <f>IF($N435&lt;&gt;"",IF(INDEX(PCScale,$N435)=0,"",INDEX(PCScale,$N435)),"")</f>
        <v/>
      </c>
      <c r="G435" s="19">
        <f>IF($N435&lt;&gt;"",IF(INDEX(PCBaskets,$N435)=0,"",INDEX(PCBaskets,$N435)),"")</f>
        <v/>
      </c>
      <c r="H435" s="20">
        <f>IF($N435&lt;&gt;"",IF(INDEX(PCNet,$N435)=0,"",INDEX(PCNet,$N435)),"")</f>
        <v/>
      </c>
      <c r="I435" s="19">
        <f>IF($N435&lt;&gt;"",IF(INDEX(PCOp,$N435)="مرجوعی خرید","",IF(INDEX(PCAmount,$N435)&lt;=0,"",INDEX(PCAmount,$N435))),IF($O435&lt;&gt;"",IF(INDEX(TxnDepB,$O435)=0,"",INDEX(TxnDepB,$O435)),""))</f>
        <v/>
      </c>
      <c r="J435" s="19">
        <f>IF($N435&lt;&gt;"",IF(INDEX(PCOp,$N435)="مرجوعی خرید",IF(INDEX(PCAmount,$N435)=0,"",-INDEX(PCAmount,$N435)),""),IF($O435&lt;&gt;"",IF(INDEX(TxnWitB,$O435)=0,"",INDEX(TxnWitB,$O435)),""))</f>
        <v/>
      </c>
      <c r="K435" s="21">
        <f>IF($B435="","",IF($K434="",$C$10,$K434)+IF($I435="",0,$I435)-IF($J435="",0,$J435))</f>
        <v/>
      </c>
      <c r="L435" s="22">
        <f>IF($N435&lt;&gt;"",IF(INDEX(PCNotes,$N435)="","—",INDEX(PCNotes,$N435)),IF($O435&lt;&gt;"",IF(INDEX(LdgNoteB,$O435)="","—",INDEX(LdgNoteB,$O435)),""))</f>
        <v/>
      </c>
      <c r="N435">
        <f>IFERROR(MATCH($C$5&amp;"|"&amp;RIGHT("000000"&amp;419,6),LdgRankKeyA,0),"")</f>
        <v/>
      </c>
      <c r="O435">
        <f>IFERROR(MATCH($C$5&amp;"|"&amp;RIGHT("000000"&amp;419,6),LdgRankKeyB,0),"")</f>
        <v/>
      </c>
    </row>
    <row r="436">
      <c r="A436" s="23" t="n">
        <v>420</v>
      </c>
      <c r="B436" s="24">
        <f>IF(AND($N436="",$O436=""),"",IF($N436&lt;&gt;"",INDEX(PCNormDate,$N436),INDEX(LdgDateB,$O436)))</f>
        <v/>
      </c>
      <c r="C436" s="24">
        <f>IF($N436&lt;&gt;"",INDEX(PCOp,$N436),IF($O436&lt;&gt;"",IF(N(INDEX(TxnDepB,$O436))&gt;0,"دریافت بانکی","پرداخت بانکی"),""))</f>
        <v/>
      </c>
      <c r="D436" s="24">
        <f>IF($N436&lt;&gt;"",IF(INDEX(PCDoc,$N436)="","—",INDEX(PCDoc,$N436)),IF($O436&lt;&gt;"",INDEX(LdgBankB,$O436),""))</f>
        <v/>
      </c>
      <c r="E436" s="24">
        <f>IF($N436&lt;&gt;"",IF(INDEX(PCCitrus,$N436)="","—",INDEX(PCCitrus,$N436)),"")</f>
        <v/>
      </c>
      <c r="F436" s="25">
        <f>IF($N436&lt;&gt;"",IF(INDEX(PCScale,$N436)=0,"",INDEX(PCScale,$N436)),"")</f>
        <v/>
      </c>
      <c r="G436" s="25">
        <f>IF($N436&lt;&gt;"",IF(INDEX(PCBaskets,$N436)=0,"",INDEX(PCBaskets,$N436)),"")</f>
        <v/>
      </c>
      <c r="H436" s="26">
        <f>IF($N436&lt;&gt;"",IF(INDEX(PCNet,$N436)=0,"",INDEX(PCNet,$N436)),"")</f>
        <v/>
      </c>
      <c r="I436" s="25">
        <f>IF($N436&lt;&gt;"",IF(INDEX(PCOp,$N436)="مرجوعی خرید","",IF(INDEX(PCAmount,$N436)&lt;=0,"",INDEX(PCAmount,$N436))),IF($O436&lt;&gt;"",IF(INDEX(TxnDepB,$O436)=0,"",INDEX(TxnDepB,$O436)),""))</f>
        <v/>
      </c>
      <c r="J436" s="25">
        <f>IF($N436&lt;&gt;"",IF(INDEX(PCOp,$N436)="مرجوعی خرید",IF(INDEX(PCAmount,$N436)=0,"",-INDEX(PCAmount,$N436)),""),IF($O436&lt;&gt;"",IF(INDEX(TxnWitB,$O436)=0,"",INDEX(TxnWitB,$O436)),""))</f>
        <v/>
      </c>
      <c r="K436" s="27">
        <f>IF($B436="","",IF($K435="",$C$10,$K435)+IF($I436="",0,$I436)-IF($J436="",0,$J436))</f>
        <v/>
      </c>
      <c r="L436" s="28">
        <f>IF($N436&lt;&gt;"",IF(INDEX(PCNotes,$N436)="","—",INDEX(PCNotes,$N436)),IF($O436&lt;&gt;"",IF(INDEX(LdgNoteB,$O436)="","—",INDEX(LdgNoteB,$O436)),""))</f>
        <v/>
      </c>
      <c r="N436">
        <f>IFERROR(MATCH($C$5&amp;"|"&amp;RIGHT("000000"&amp;420,6),LdgRankKeyA,0),"")</f>
        <v/>
      </c>
      <c r="O436">
        <f>IFERROR(MATCH($C$5&amp;"|"&amp;RIGHT("000000"&amp;420,6),LdgRankKeyB,0),"")</f>
        <v/>
      </c>
    </row>
    <row r="437">
      <c r="A437" s="17" t="n">
        <v>421</v>
      </c>
      <c r="B437" s="18">
        <f>IF(AND($N437="",$O437=""),"",IF($N437&lt;&gt;"",INDEX(PCNormDate,$N437),INDEX(LdgDateB,$O437)))</f>
        <v/>
      </c>
      <c r="C437" s="18">
        <f>IF($N437&lt;&gt;"",INDEX(PCOp,$N437),IF($O437&lt;&gt;"",IF(N(INDEX(TxnDepB,$O437))&gt;0,"دریافت بانکی","پرداخت بانکی"),""))</f>
        <v/>
      </c>
      <c r="D437" s="18">
        <f>IF($N437&lt;&gt;"",IF(INDEX(PCDoc,$N437)="","—",INDEX(PCDoc,$N437)),IF($O437&lt;&gt;"",INDEX(LdgBankB,$O437),""))</f>
        <v/>
      </c>
      <c r="E437" s="18">
        <f>IF($N437&lt;&gt;"",IF(INDEX(PCCitrus,$N437)="","—",INDEX(PCCitrus,$N437)),"")</f>
        <v/>
      </c>
      <c r="F437" s="19">
        <f>IF($N437&lt;&gt;"",IF(INDEX(PCScale,$N437)=0,"",INDEX(PCScale,$N437)),"")</f>
        <v/>
      </c>
      <c r="G437" s="19">
        <f>IF($N437&lt;&gt;"",IF(INDEX(PCBaskets,$N437)=0,"",INDEX(PCBaskets,$N437)),"")</f>
        <v/>
      </c>
      <c r="H437" s="20">
        <f>IF($N437&lt;&gt;"",IF(INDEX(PCNet,$N437)=0,"",INDEX(PCNet,$N437)),"")</f>
        <v/>
      </c>
      <c r="I437" s="19">
        <f>IF($N437&lt;&gt;"",IF(INDEX(PCOp,$N437)="مرجوعی خرید","",IF(INDEX(PCAmount,$N437)&lt;=0,"",INDEX(PCAmount,$N437))),IF($O437&lt;&gt;"",IF(INDEX(TxnDepB,$O437)=0,"",INDEX(TxnDepB,$O437)),""))</f>
        <v/>
      </c>
      <c r="J437" s="19">
        <f>IF($N437&lt;&gt;"",IF(INDEX(PCOp,$N437)="مرجوعی خرید",IF(INDEX(PCAmount,$N437)=0,"",-INDEX(PCAmount,$N437)),""),IF($O437&lt;&gt;"",IF(INDEX(TxnWitB,$O437)=0,"",INDEX(TxnWitB,$O437)),""))</f>
        <v/>
      </c>
      <c r="K437" s="21">
        <f>IF($B437="","",IF($K436="",$C$10,$K436)+IF($I437="",0,$I437)-IF($J437="",0,$J437))</f>
        <v/>
      </c>
      <c r="L437" s="22">
        <f>IF($N437&lt;&gt;"",IF(INDEX(PCNotes,$N437)="","—",INDEX(PCNotes,$N437)),IF($O437&lt;&gt;"",IF(INDEX(LdgNoteB,$O437)="","—",INDEX(LdgNoteB,$O437)),""))</f>
        <v/>
      </c>
      <c r="N437">
        <f>IFERROR(MATCH($C$5&amp;"|"&amp;RIGHT("000000"&amp;421,6),LdgRankKeyA,0),"")</f>
        <v/>
      </c>
      <c r="O437">
        <f>IFERROR(MATCH($C$5&amp;"|"&amp;RIGHT("000000"&amp;421,6),LdgRankKeyB,0),"")</f>
        <v/>
      </c>
    </row>
    <row r="438">
      <c r="A438" s="23" t="n">
        <v>422</v>
      </c>
      <c r="B438" s="24">
        <f>IF(AND($N438="",$O438=""),"",IF($N438&lt;&gt;"",INDEX(PCNormDate,$N438),INDEX(LdgDateB,$O438)))</f>
        <v/>
      </c>
      <c r="C438" s="24">
        <f>IF($N438&lt;&gt;"",INDEX(PCOp,$N438),IF($O438&lt;&gt;"",IF(N(INDEX(TxnDepB,$O438))&gt;0,"دریافت بانکی","پرداخت بانکی"),""))</f>
        <v/>
      </c>
      <c r="D438" s="24">
        <f>IF($N438&lt;&gt;"",IF(INDEX(PCDoc,$N438)="","—",INDEX(PCDoc,$N438)),IF($O438&lt;&gt;"",INDEX(LdgBankB,$O438),""))</f>
        <v/>
      </c>
      <c r="E438" s="24">
        <f>IF($N438&lt;&gt;"",IF(INDEX(PCCitrus,$N438)="","—",INDEX(PCCitrus,$N438)),"")</f>
        <v/>
      </c>
      <c r="F438" s="25">
        <f>IF($N438&lt;&gt;"",IF(INDEX(PCScale,$N438)=0,"",INDEX(PCScale,$N438)),"")</f>
        <v/>
      </c>
      <c r="G438" s="25">
        <f>IF($N438&lt;&gt;"",IF(INDEX(PCBaskets,$N438)=0,"",INDEX(PCBaskets,$N438)),"")</f>
        <v/>
      </c>
      <c r="H438" s="26">
        <f>IF($N438&lt;&gt;"",IF(INDEX(PCNet,$N438)=0,"",INDEX(PCNet,$N438)),"")</f>
        <v/>
      </c>
      <c r="I438" s="25">
        <f>IF($N438&lt;&gt;"",IF(INDEX(PCOp,$N438)="مرجوعی خرید","",IF(INDEX(PCAmount,$N438)&lt;=0,"",INDEX(PCAmount,$N438))),IF($O438&lt;&gt;"",IF(INDEX(TxnDepB,$O438)=0,"",INDEX(TxnDepB,$O438)),""))</f>
        <v/>
      </c>
      <c r="J438" s="25">
        <f>IF($N438&lt;&gt;"",IF(INDEX(PCOp,$N438)="مرجوعی خرید",IF(INDEX(PCAmount,$N438)=0,"",-INDEX(PCAmount,$N438)),""),IF($O438&lt;&gt;"",IF(INDEX(TxnWitB,$O438)=0,"",INDEX(TxnWitB,$O438)),""))</f>
        <v/>
      </c>
      <c r="K438" s="27">
        <f>IF($B438="","",IF($K437="",$C$10,$K437)+IF($I438="",0,$I438)-IF($J438="",0,$J438))</f>
        <v/>
      </c>
      <c r="L438" s="28">
        <f>IF($N438&lt;&gt;"",IF(INDEX(PCNotes,$N438)="","—",INDEX(PCNotes,$N438)),IF($O438&lt;&gt;"",IF(INDEX(LdgNoteB,$O438)="","—",INDEX(LdgNoteB,$O438)),""))</f>
        <v/>
      </c>
      <c r="N438">
        <f>IFERROR(MATCH($C$5&amp;"|"&amp;RIGHT("000000"&amp;422,6),LdgRankKeyA,0),"")</f>
        <v/>
      </c>
      <c r="O438">
        <f>IFERROR(MATCH($C$5&amp;"|"&amp;RIGHT("000000"&amp;422,6),LdgRankKeyB,0),"")</f>
        <v/>
      </c>
    </row>
    <row r="439">
      <c r="A439" s="17" t="n">
        <v>423</v>
      </c>
      <c r="B439" s="18">
        <f>IF(AND($N439="",$O439=""),"",IF($N439&lt;&gt;"",INDEX(PCNormDate,$N439),INDEX(LdgDateB,$O439)))</f>
        <v/>
      </c>
      <c r="C439" s="18">
        <f>IF($N439&lt;&gt;"",INDEX(PCOp,$N439),IF($O439&lt;&gt;"",IF(N(INDEX(TxnDepB,$O439))&gt;0,"دریافت بانکی","پرداخت بانکی"),""))</f>
        <v/>
      </c>
      <c r="D439" s="18">
        <f>IF($N439&lt;&gt;"",IF(INDEX(PCDoc,$N439)="","—",INDEX(PCDoc,$N439)),IF($O439&lt;&gt;"",INDEX(LdgBankB,$O439),""))</f>
        <v/>
      </c>
      <c r="E439" s="18">
        <f>IF($N439&lt;&gt;"",IF(INDEX(PCCitrus,$N439)="","—",INDEX(PCCitrus,$N439)),"")</f>
        <v/>
      </c>
      <c r="F439" s="19">
        <f>IF($N439&lt;&gt;"",IF(INDEX(PCScale,$N439)=0,"",INDEX(PCScale,$N439)),"")</f>
        <v/>
      </c>
      <c r="G439" s="19">
        <f>IF($N439&lt;&gt;"",IF(INDEX(PCBaskets,$N439)=0,"",INDEX(PCBaskets,$N439)),"")</f>
        <v/>
      </c>
      <c r="H439" s="20">
        <f>IF($N439&lt;&gt;"",IF(INDEX(PCNet,$N439)=0,"",INDEX(PCNet,$N439)),"")</f>
        <v/>
      </c>
      <c r="I439" s="19">
        <f>IF($N439&lt;&gt;"",IF(INDEX(PCOp,$N439)="مرجوعی خرید","",IF(INDEX(PCAmount,$N439)&lt;=0,"",INDEX(PCAmount,$N439))),IF($O439&lt;&gt;"",IF(INDEX(TxnDepB,$O439)=0,"",INDEX(TxnDepB,$O439)),""))</f>
        <v/>
      </c>
      <c r="J439" s="19">
        <f>IF($N439&lt;&gt;"",IF(INDEX(PCOp,$N439)="مرجوعی خرید",IF(INDEX(PCAmount,$N439)=0,"",-INDEX(PCAmount,$N439)),""),IF($O439&lt;&gt;"",IF(INDEX(TxnWitB,$O439)=0,"",INDEX(TxnWitB,$O439)),""))</f>
        <v/>
      </c>
      <c r="K439" s="21">
        <f>IF($B439="","",IF($K438="",$C$10,$K438)+IF($I439="",0,$I439)-IF($J439="",0,$J439))</f>
        <v/>
      </c>
      <c r="L439" s="22">
        <f>IF($N439&lt;&gt;"",IF(INDEX(PCNotes,$N439)="","—",INDEX(PCNotes,$N439)),IF($O439&lt;&gt;"",IF(INDEX(LdgNoteB,$O439)="","—",INDEX(LdgNoteB,$O439)),""))</f>
        <v/>
      </c>
      <c r="N439">
        <f>IFERROR(MATCH($C$5&amp;"|"&amp;RIGHT("000000"&amp;423,6),LdgRankKeyA,0),"")</f>
        <v/>
      </c>
      <c r="O439">
        <f>IFERROR(MATCH($C$5&amp;"|"&amp;RIGHT("000000"&amp;423,6),LdgRankKeyB,0),"")</f>
        <v/>
      </c>
    </row>
    <row r="440">
      <c r="A440" s="23" t="n">
        <v>424</v>
      </c>
      <c r="B440" s="24">
        <f>IF(AND($N440="",$O440=""),"",IF($N440&lt;&gt;"",INDEX(PCNormDate,$N440),INDEX(LdgDateB,$O440)))</f>
        <v/>
      </c>
      <c r="C440" s="24">
        <f>IF($N440&lt;&gt;"",INDEX(PCOp,$N440),IF($O440&lt;&gt;"",IF(N(INDEX(TxnDepB,$O440))&gt;0,"دریافت بانکی","پرداخت بانکی"),""))</f>
        <v/>
      </c>
      <c r="D440" s="24">
        <f>IF($N440&lt;&gt;"",IF(INDEX(PCDoc,$N440)="","—",INDEX(PCDoc,$N440)),IF($O440&lt;&gt;"",INDEX(LdgBankB,$O440),""))</f>
        <v/>
      </c>
      <c r="E440" s="24">
        <f>IF($N440&lt;&gt;"",IF(INDEX(PCCitrus,$N440)="","—",INDEX(PCCitrus,$N440)),"")</f>
        <v/>
      </c>
      <c r="F440" s="25">
        <f>IF($N440&lt;&gt;"",IF(INDEX(PCScale,$N440)=0,"",INDEX(PCScale,$N440)),"")</f>
        <v/>
      </c>
      <c r="G440" s="25">
        <f>IF($N440&lt;&gt;"",IF(INDEX(PCBaskets,$N440)=0,"",INDEX(PCBaskets,$N440)),"")</f>
        <v/>
      </c>
      <c r="H440" s="26">
        <f>IF($N440&lt;&gt;"",IF(INDEX(PCNet,$N440)=0,"",INDEX(PCNet,$N440)),"")</f>
        <v/>
      </c>
      <c r="I440" s="25">
        <f>IF($N440&lt;&gt;"",IF(INDEX(PCOp,$N440)="مرجوعی خرید","",IF(INDEX(PCAmount,$N440)&lt;=0,"",INDEX(PCAmount,$N440))),IF($O440&lt;&gt;"",IF(INDEX(TxnDepB,$O440)=0,"",INDEX(TxnDepB,$O440)),""))</f>
        <v/>
      </c>
      <c r="J440" s="25">
        <f>IF($N440&lt;&gt;"",IF(INDEX(PCOp,$N440)="مرجوعی خرید",IF(INDEX(PCAmount,$N440)=0,"",-INDEX(PCAmount,$N440)),""),IF($O440&lt;&gt;"",IF(INDEX(TxnWitB,$O440)=0,"",INDEX(TxnWitB,$O440)),""))</f>
        <v/>
      </c>
      <c r="K440" s="27">
        <f>IF($B440="","",IF($K439="",$C$10,$K439)+IF($I440="",0,$I440)-IF($J440="",0,$J440))</f>
        <v/>
      </c>
      <c r="L440" s="28">
        <f>IF($N440&lt;&gt;"",IF(INDEX(PCNotes,$N440)="","—",INDEX(PCNotes,$N440)),IF($O440&lt;&gt;"",IF(INDEX(LdgNoteB,$O440)="","—",INDEX(LdgNoteB,$O440)),""))</f>
        <v/>
      </c>
      <c r="N440">
        <f>IFERROR(MATCH($C$5&amp;"|"&amp;RIGHT("000000"&amp;424,6),LdgRankKeyA,0),"")</f>
        <v/>
      </c>
      <c r="O440">
        <f>IFERROR(MATCH($C$5&amp;"|"&amp;RIGHT("000000"&amp;424,6),LdgRankKeyB,0),"")</f>
        <v/>
      </c>
    </row>
    <row r="441">
      <c r="A441" s="17" t="n">
        <v>425</v>
      </c>
      <c r="B441" s="18">
        <f>IF(AND($N441="",$O441=""),"",IF($N441&lt;&gt;"",INDEX(PCNormDate,$N441),INDEX(LdgDateB,$O441)))</f>
        <v/>
      </c>
      <c r="C441" s="18">
        <f>IF($N441&lt;&gt;"",INDEX(PCOp,$N441),IF($O441&lt;&gt;"",IF(N(INDEX(TxnDepB,$O441))&gt;0,"دریافت بانکی","پرداخت بانکی"),""))</f>
        <v/>
      </c>
      <c r="D441" s="18">
        <f>IF($N441&lt;&gt;"",IF(INDEX(PCDoc,$N441)="","—",INDEX(PCDoc,$N441)),IF($O441&lt;&gt;"",INDEX(LdgBankB,$O441),""))</f>
        <v/>
      </c>
      <c r="E441" s="18">
        <f>IF($N441&lt;&gt;"",IF(INDEX(PCCitrus,$N441)="","—",INDEX(PCCitrus,$N441)),"")</f>
        <v/>
      </c>
      <c r="F441" s="19">
        <f>IF($N441&lt;&gt;"",IF(INDEX(PCScale,$N441)=0,"",INDEX(PCScale,$N441)),"")</f>
        <v/>
      </c>
      <c r="G441" s="19">
        <f>IF($N441&lt;&gt;"",IF(INDEX(PCBaskets,$N441)=0,"",INDEX(PCBaskets,$N441)),"")</f>
        <v/>
      </c>
      <c r="H441" s="20">
        <f>IF($N441&lt;&gt;"",IF(INDEX(PCNet,$N441)=0,"",INDEX(PCNet,$N441)),"")</f>
        <v/>
      </c>
      <c r="I441" s="19">
        <f>IF($N441&lt;&gt;"",IF(INDEX(PCOp,$N441)="مرجوعی خرید","",IF(INDEX(PCAmount,$N441)&lt;=0,"",INDEX(PCAmount,$N441))),IF($O441&lt;&gt;"",IF(INDEX(TxnDepB,$O441)=0,"",INDEX(TxnDepB,$O441)),""))</f>
        <v/>
      </c>
      <c r="J441" s="19">
        <f>IF($N441&lt;&gt;"",IF(INDEX(PCOp,$N441)="مرجوعی خرید",IF(INDEX(PCAmount,$N441)=0,"",-INDEX(PCAmount,$N441)),""),IF($O441&lt;&gt;"",IF(INDEX(TxnWitB,$O441)=0,"",INDEX(TxnWitB,$O441)),""))</f>
        <v/>
      </c>
      <c r="K441" s="21">
        <f>IF($B441="","",IF($K440="",$C$10,$K440)+IF($I441="",0,$I441)-IF($J441="",0,$J441))</f>
        <v/>
      </c>
      <c r="L441" s="22">
        <f>IF($N441&lt;&gt;"",IF(INDEX(PCNotes,$N441)="","—",INDEX(PCNotes,$N441)),IF($O441&lt;&gt;"",IF(INDEX(LdgNoteB,$O441)="","—",INDEX(LdgNoteB,$O441)),""))</f>
        <v/>
      </c>
      <c r="N441">
        <f>IFERROR(MATCH($C$5&amp;"|"&amp;RIGHT("000000"&amp;425,6),LdgRankKeyA,0),"")</f>
        <v/>
      </c>
      <c r="O441">
        <f>IFERROR(MATCH($C$5&amp;"|"&amp;RIGHT("000000"&amp;425,6),LdgRankKeyB,0),"")</f>
        <v/>
      </c>
    </row>
    <row r="442">
      <c r="A442" s="23" t="n">
        <v>426</v>
      </c>
      <c r="B442" s="24">
        <f>IF(AND($N442="",$O442=""),"",IF($N442&lt;&gt;"",INDEX(PCNormDate,$N442),INDEX(LdgDateB,$O442)))</f>
        <v/>
      </c>
      <c r="C442" s="24">
        <f>IF($N442&lt;&gt;"",INDEX(PCOp,$N442),IF($O442&lt;&gt;"",IF(N(INDEX(TxnDepB,$O442))&gt;0,"دریافت بانکی","پرداخت بانکی"),""))</f>
        <v/>
      </c>
      <c r="D442" s="24">
        <f>IF($N442&lt;&gt;"",IF(INDEX(PCDoc,$N442)="","—",INDEX(PCDoc,$N442)),IF($O442&lt;&gt;"",INDEX(LdgBankB,$O442),""))</f>
        <v/>
      </c>
      <c r="E442" s="24">
        <f>IF($N442&lt;&gt;"",IF(INDEX(PCCitrus,$N442)="","—",INDEX(PCCitrus,$N442)),"")</f>
        <v/>
      </c>
      <c r="F442" s="25">
        <f>IF($N442&lt;&gt;"",IF(INDEX(PCScale,$N442)=0,"",INDEX(PCScale,$N442)),"")</f>
        <v/>
      </c>
      <c r="G442" s="25">
        <f>IF($N442&lt;&gt;"",IF(INDEX(PCBaskets,$N442)=0,"",INDEX(PCBaskets,$N442)),"")</f>
        <v/>
      </c>
      <c r="H442" s="26">
        <f>IF($N442&lt;&gt;"",IF(INDEX(PCNet,$N442)=0,"",INDEX(PCNet,$N442)),"")</f>
        <v/>
      </c>
      <c r="I442" s="25">
        <f>IF($N442&lt;&gt;"",IF(INDEX(PCOp,$N442)="مرجوعی خرید","",IF(INDEX(PCAmount,$N442)&lt;=0,"",INDEX(PCAmount,$N442))),IF($O442&lt;&gt;"",IF(INDEX(TxnDepB,$O442)=0,"",INDEX(TxnDepB,$O442)),""))</f>
        <v/>
      </c>
      <c r="J442" s="25">
        <f>IF($N442&lt;&gt;"",IF(INDEX(PCOp,$N442)="مرجوعی خرید",IF(INDEX(PCAmount,$N442)=0,"",-INDEX(PCAmount,$N442)),""),IF($O442&lt;&gt;"",IF(INDEX(TxnWitB,$O442)=0,"",INDEX(TxnWitB,$O442)),""))</f>
        <v/>
      </c>
      <c r="K442" s="27">
        <f>IF($B442="","",IF($K441="",$C$10,$K441)+IF($I442="",0,$I442)-IF($J442="",0,$J442))</f>
        <v/>
      </c>
      <c r="L442" s="28">
        <f>IF($N442&lt;&gt;"",IF(INDEX(PCNotes,$N442)="","—",INDEX(PCNotes,$N442)),IF($O442&lt;&gt;"",IF(INDEX(LdgNoteB,$O442)="","—",INDEX(LdgNoteB,$O442)),""))</f>
        <v/>
      </c>
      <c r="N442">
        <f>IFERROR(MATCH($C$5&amp;"|"&amp;RIGHT("000000"&amp;426,6),LdgRankKeyA,0),"")</f>
        <v/>
      </c>
      <c r="O442">
        <f>IFERROR(MATCH($C$5&amp;"|"&amp;RIGHT("000000"&amp;426,6),LdgRankKeyB,0),"")</f>
        <v/>
      </c>
    </row>
    <row r="443">
      <c r="A443" s="17" t="n">
        <v>427</v>
      </c>
      <c r="B443" s="18">
        <f>IF(AND($N443="",$O443=""),"",IF($N443&lt;&gt;"",INDEX(PCNormDate,$N443),INDEX(LdgDateB,$O443)))</f>
        <v/>
      </c>
      <c r="C443" s="18">
        <f>IF($N443&lt;&gt;"",INDEX(PCOp,$N443),IF($O443&lt;&gt;"",IF(N(INDEX(TxnDepB,$O443))&gt;0,"دریافت بانکی","پرداخت بانکی"),""))</f>
        <v/>
      </c>
      <c r="D443" s="18">
        <f>IF($N443&lt;&gt;"",IF(INDEX(PCDoc,$N443)="","—",INDEX(PCDoc,$N443)),IF($O443&lt;&gt;"",INDEX(LdgBankB,$O443),""))</f>
        <v/>
      </c>
      <c r="E443" s="18">
        <f>IF($N443&lt;&gt;"",IF(INDEX(PCCitrus,$N443)="","—",INDEX(PCCitrus,$N443)),"")</f>
        <v/>
      </c>
      <c r="F443" s="19">
        <f>IF($N443&lt;&gt;"",IF(INDEX(PCScale,$N443)=0,"",INDEX(PCScale,$N443)),"")</f>
        <v/>
      </c>
      <c r="G443" s="19">
        <f>IF($N443&lt;&gt;"",IF(INDEX(PCBaskets,$N443)=0,"",INDEX(PCBaskets,$N443)),"")</f>
        <v/>
      </c>
      <c r="H443" s="20">
        <f>IF($N443&lt;&gt;"",IF(INDEX(PCNet,$N443)=0,"",INDEX(PCNet,$N443)),"")</f>
        <v/>
      </c>
      <c r="I443" s="19">
        <f>IF($N443&lt;&gt;"",IF(INDEX(PCOp,$N443)="مرجوعی خرید","",IF(INDEX(PCAmount,$N443)&lt;=0,"",INDEX(PCAmount,$N443))),IF($O443&lt;&gt;"",IF(INDEX(TxnDepB,$O443)=0,"",INDEX(TxnDepB,$O443)),""))</f>
        <v/>
      </c>
      <c r="J443" s="19">
        <f>IF($N443&lt;&gt;"",IF(INDEX(PCOp,$N443)="مرجوعی خرید",IF(INDEX(PCAmount,$N443)=0,"",-INDEX(PCAmount,$N443)),""),IF($O443&lt;&gt;"",IF(INDEX(TxnWitB,$O443)=0,"",INDEX(TxnWitB,$O443)),""))</f>
        <v/>
      </c>
      <c r="K443" s="21">
        <f>IF($B443="","",IF($K442="",$C$10,$K442)+IF($I443="",0,$I443)-IF($J443="",0,$J443))</f>
        <v/>
      </c>
      <c r="L443" s="22">
        <f>IF($N443&lt;&gt;"",IF(INDEX(PCNotes,$N443)="","—",INDEX(PCNotes,$N443)),IF($O443&lt;&gt;"",IF(INDEX(LdgNoteB,$O443)="","—",INDEX(LdgNoteB,$O443)),""))</f>
        <v/>
      </c>
      <c r="N443">
        <f>IFERROR(MATCH($C$5&amp;"|"&amp;RIGHT("000000"&amp;427,6),LdgRankKeyA,0),"")</f>
        <v/>
      </c>
      <c r="O443">
        <f>IFERROR(MATCH($C$5&amp;"|"&amp;RIGHT("000000"&amp;427,6),LdgRankKeyB,0),"")</f>
        <v/>
      </c>
    </row>
    <row r="444">
      <c r="A444" s="23" t="n">
        <v>428</v>
      </c>
      <c r="B444" s="24">
        <f>IF(AND($N444="",$O444=""),"",IF($N444&lt;&gt;"",INDEX(PCNormDate,$N444),INDEX(LdgDateB,$O444)))</f>
        <v/>
      </c>
      <c r="C444" s="24">
        <f>IF($N444&lt;&gt;"",INDEX(PCOp,$N444),IF($O444&lt;&gt;"",IF(N(INDEX(TxnDepB,$O444))&gt;0,"دریافت بانکی","پرداخت بانکی"),""))</f>
        <v/>
      </c>
      <c r="D444" s="24">
        <f>IF($N444&lt;&gt;"",IF(INDEX(PCDoc,$N444)="","—",INDEX(PCDoc,$N444)),IF($O444&lt;&gt;"",INDEX(LdgBankB,$O444),""))</f>
        <v/>
      </c>
      <c r="E444" s="24">
        <f>IF($N444&lt;&gt;"",IF(INDEX(PCCitrus,$N444)="","—",INDEX(PCCitrus,$N444)),"")</f>
        <v/>
      </c>
      <c r="F444" s="25">
        <f>IF($N444&lt;&gt;"",IF(INDEX(PCScale,$N444)=0,"",INDEX(PCScale,$N444)),"")</f>
        <v/>
      </c>
      <c r="G444" s="25">
        <f>IF($N444&lt;&gt;"",IF(INDEX(PCBaskets,$N444)=0,"",INDEX(PCBaskets,$N444)),"")</f>
        <v/>
      </c>
      <c r="H444" s="26">
        <f>IF($N444&lt;&gt;"",IF(INDEX(PCNet,$N444)=0,"",INDEX(PCNet,$N444)),"")</f>
        <v/>
      </c>
      <c r="I444" s="25">
        <f>IF($N444&lt;&gt;"",IF(INDEX(PCOp,$N444)="مرجوعی خرید","",IF(INDEX(PCAmount,$N444)&lt;=0,"",INDEX(PCAmount,$N444))),IF($O444&lt;&gt;"",IF(INDEX(TxnDepB,$O444)=0,"",INDEX(TxnDepB,$O444)),""))</f>
        <v/>
      </c>
      <c r="J444" s="25">
        <f>IF($N444&lt;&gt;"",IF(INDEX(PCOp,$N444)="مرجوعی خرید",IF(INDEX(PCAmount,$N444)=0,"",-INDEX(PCAmount,$N444)),""),IF($O444&lt;&gt;"",IF(INDEX(TxnWitB,$O444)=0,"",INDEX(TxnWitB,$O444)),""))</f>
        <v/>
      </c>
      <c r="K444" s="27">
        <f>IF($B444="","",IF($K443="",$C$10,$K443)+IF($I444="",0,$I444)-IF($J444="",0,$J444))</f>
        <v/>
      </c>
      <c r="L444" s="28">
        <f>IF($N444&lt;&gt;"",IF(INDEX(PCNotes,$N444)="","—",INDEX(PCNotes,$N444)),IF($O444&lt;&gt;"",IF(INDEX(LdgNoteB,$O444)="","—",INDEX(LdgNoteB,$O444)),""))</f>
        <v/>
      </c>
      <c r="N444">
        <f>IFERROR(MATCH($C$5&amp;"|"&amp;RIGHT("000000"&amp;428,6),LdgRankKeyA,0),"")</f>
        <v/>
      </c>
      <c r="O444">
        <f>IFERROR(MATCH($C$5&amp;"|"&amp;RIGHT("000000"&amp;428,6),LdgRankKeyB,0),"")</f>
        <v/>
      </c>
    </row>
    <row r="445">
      <c r="A445" s="17" t="n">
        <v>429</v>
      </c>
      <c r="B445" s="18">
        <f>IF(AND($N445="",$O445=""),"",IF($N445&lt;&gt;"",INDEX(PCNormDate,$N445),INDEX(LdgDateB,$O445)))</f>
        <v/>
      </c>
      <c r="C445" s="18">
        <f>IF($N445&lt;&gt;"",INDEX(PCOp,$N445),IF($O445&lt;&gt;"",IF(N(INDEX(TxnDepB,$O445))&gt;0,"دریافت بانکی","پرداخت بانکی"),""))</f>
        <v/>
      </c>
      <c r="D445" s="18">
        <f>IF($N445&lt;&gt;"",IF(INDEX(PCDoc,$N445)="","—",INDEX(PCDoc,$N445)),IF($O445&lt;&gt;"",INDEX(LdgBankB,$O445),""))</f>
        <v/>
      </c>
      <c r="E445" s="18">
        <f>IF($N445&lt;&gt;"",IF(INDEX(PCCitrus,$N445)="","—",INDEX(PCCitrus,$N445)),"")</f>
        <v/>
      </c>
      <c r="F445" s="19">
        <f>IF($N445&lt;&gt;"",IF(INDEX(PCScale,$N445)=0,"",INDEX(PCScale,$N445)),"")</f>
        <v/>
      </c>
      <c r="G445" s="19">
        <f>IF($N445&lt;&gt;"",IF(INDEX(PCBaskets,$N445)=0,"",INDEX(PCBaskets,$N445)),"")</f>
        <v/>
      </c>
      <c r="H445" s="20">
        <f>IF($N445&lt;&gt;"",IF(INDEX(PCNet,$N445)=0,"",INDEX(PCNet,$N445)),"")</f>
        <v/>
      </c>
      <c r="I445" s="19">
        <f>IF($N445&lt;&gt;"",IF(INDEX(PCOp,$N445)="مرجوعی خرید","",IF(INDEX(PCAmount,$N445)&lt;=0,"",INDEX(PCAmount,$N445))),IF($O445&lt;&gt;"",IF(INDEX(TxnDepB,$O445)=0,"",INDEX(TxnDepB,$O445)),""))</f>
        <v/>
      </c>
      <c r="J445" s="19">
        <f>IF($N445&lt;&gt;"",IF(INDEX(PCOp,$N445)="مرجوعی خرید",IF(INDEX(PCAmount,$N445)=0,"",-INDEX(PCAmount,$N445)),""),IF($O445&lt;&gt;"",IF(INDEX(TxnWitB,$O445)=0,"",INDEX(TxnWitB,$O445)),""))</f>
        <v/>
      </c>
      <c r="K445" s="21">
        <f>IF($B445="","",IF($K444="",$C$10,$K444)+IF($I445="",0,$I445)-IF($J445="",0,$J445))</f>
        <v/>
      </c>
      <c r="L445" s="22">
        <f>IF($N445&lt;&gt;"",IF(INDEX(PCNotes,$N445)="","—",INDEX(PCNotes,$N445)),IF($O445&lt;&gt;"",IF(INDEX(LdgNoteB,$O445)="","—",INDEX(LdgNoteB,$O445)),""))</f>
        <v/>
      </c>
      <c r="N445">
        <f>IFERROR(MATCH($C$5&amp;"|"&amp;RIGHT("000000"&amp;429,6),LdgRankKeyA,0),"")</f>
        <v/>
      </c>
      <c r="O445">
        <f>IFERROR(MATCH($C$5&amp;"|"&amp;RIGHT("000000"&amp;429,6),LdgRankKeyB,0),"")</f>
        <v/>
      </c>
    </row>
    <row r="446">
      <c r="A446" s="23" t="n">
        <v>430</v>
      </c>
      <c r="B446" s="24">
        <f>IF(AND($N446="",$O446=""),"",IF($N446&lt;&gt;"",INDEX(PCNormDate,$N446),INDEX(LdgDateB,$O446)))</f>
        <v/>
      </c>
      <c r="C446" s="24">
        <f>IF($N446&lt;&gt;"",INDEX(PCOp,$N446),IF($O446&lt;&gt;"",IF(N(INDEX(TxnDepB,$O446))&gt;0,"دریافت بانکی","پرداخت بانکی"),""))</f>
        <v/>
      </c>
      <c r="D446" s="24">
        <f>IF($N446&lt;&gt;"",IF(INDEX(PCDoc,$N446)="","—",INDEX(PCDoc,$N446)),IF($O446&lt;&gt;"",INDEX(LdgBankB,$O446),""))</f>
        <v/>
      </c>
      <c r="E446" s="24">
        <f>IF($N446&lt;&gt;"",IF(INDEX(PCCitrus,$N446)="","—",INDEX(PCCitrus,$N446)),"")</f>
        <v/>
      </c>
      <c r="F446" s="25">
        <f>IF($N446&lt;&gt;"",IF(INDEX(PCScale,$N446)=0,"",INDEX(PCScale,$N446)),"")</f>
        <v/>
      </c>
      <c r="G446" s="25">
        <f>IF($N446&lt;&gt;"",IF(INDEX(PCBaskets,$N446)=0,"",INDEX(PCBaskets,$N446)),"")</f>
        <v/>
      </c>
      <c r="H446" s="26">
        <f>IF($N446&lt;&gt;"",IF(INDEX(PCNet,$N446)=0,"",INDEX(PCNet,$N446)),"")</f>
        <v/>
      </c>
      <c r="I446" s="25">
        <f>IF($N446&lt;&gt;"",IF(INDEX(PCOp,$N446)="مرجوعی خرید","",IF(INDEX(PCAmount,$N446)&lt;=0,"",INDEX(PCAmount,$N446))),IF($O446&lt;&gt;"",IF(INDEX(TxnDepB,$O446)=0,"",INDEX(TxnDepB,$O446)),""))</f>
        <v/>
      </c>
      <c r="J446" s="25">
        <f>IF($N446&lt;&gt;"",IF(INDEX(PCOp,$N446)="مرجوعی خرید",IF(INDEX(PCAmount,$N446)=0,"",-INDEX(PCAmount,$N446)),""),IF($O446&lt;&gt;"",IF(INDEX(TxnWitB,$O446)=0,"",INDEX(TxnWitB,$O446)),""))</f>
        <v/>
      </c>
      <c r="K446" s="27">
        <f>IF($B446="","",IF($K445="",$C$10,$K445)+IF($I446="",0,$I446)-IF($J446="",0,$J446))</f>
        <v/>
      </c>
      <c r="L446" s="28">
        <f>IF($N446&lt;&gt;"",IF(INDEX(PCNotes,$N446)="","—",INDEX(PCNotes,$N446)),IF($O446&lt;&gt;"",IF(INDEX(LdgNoteB,$O446)="","—",INDEX(LdgNoteB,$O446)),""))</f>
        <v/>
      </c>
      <c r="N446">
        <f>IFERROR(MATCH($C$5&amp;"|"&amp;RIGHT("000000"&amp;430,6),LdgRankKeyA,0),"")</f>
        <v/>
      </c>
      <c r="O446">
        <f>IFERROR(MATCH($C$5&amp;"|"&amp;RIGHT("000000"&amp;430,6),LdgRankKeyB,0),"")</f>
        <v/>
      </c>
    </row>
    <row r="447">
      <c r="A447" s="17" t="n">
        <v>431</v>
      </c>
      <c r="B447" s="18">
        <f>IF(AND($N447="",$O447=""),"",IF($N447&lt;&gt;"",INDEX(PCNormDate,$N447),INDEX(LdgDateB,$O447)))</f>
        <v/>
      </c>
      <c r="C447" s="18">
        <f>IF($N447&lt;&gt;"",INDEX(PCOp,$N447),IF($O447&lt;&gt;"",IF(N(INDEX(TxnDepB,$O447))&gt;0,"دریافت بانکی","پرداخت بانکی"),""))</f>
        <v/>
      </c>
      <c r="D447" s="18">
        <f>IF($N447&lt;&gt;"",IF(INDEX(PCDoc,$N447)="","—",INDEX(PCDoc,$N447)),IF($O447&lt;&gt;"",INDEX(LdgBankB,$O447),""))</f>
        <v/>
      </c>
      <c r="E447" s="18">
        <f>IF($N447&lt;&gt;"",IF(INDEX(PCCitrus,$N447)="","—",INDEX(PCCitrus,$N447)),"")</f>
        <v/>
      </c>
      <c r="F447" s="19">
        <f>IF($N447&lt;&gt;"",IF(INDEX(PCScale,$N447)=0,"",INDEX(PCScale,$N447)),"")</f>
        <v/>
      </c>
      <c r="G447" s="19">
        <f>IF($N447&lt;&gt;"",IF(INDEX(PCBaskets,$N447)=0,"",INDEX(PCBaskets,$N447)),"")</f>
        <v/>
      </c>
      <c r="H447" s="20">
        <f>IF($N447&lt;&gt;"",IF(INDEX(PCNet,$N447)=0,"",INDEX(PCNet,$N447)),"")</f>
        <v/>
      </c>
      <c r="I447" s="19">
        <f>IF($N447&lt;&gt;"",IF(INDEX(PCOp,$N447)="مرجوعی خرید","",IF(INDEX(PCAmount,$N447)&lt;=0,"",INDEX(PCAmount,$N447))),IF($O447&lt;&gt;"",IF(INDEX(TxnDepB,$O447)=0,"",INDEX(TxnDepB,$O447)),""))</f>
        <v/>
      </c>
      <c r="J447" s="19">
        <f>IF($N447&lt;&gt;"",IF(INDEX(PCOp,$N447)="مرجوعی خرید",IF(INDEX(PCAmount,$N447)=0,"",-INDEX(PCAmount,$N447)),""),IF($O447&lt;&gt;"",IF(INDEX(TxnWitB,$O447)=0,"",INDEX(TxnWitB,$O447)),""))</f>
        <v/>
      </c>
      <c r="K447" s="21">
        <f>IF($B447="","",IF($K446="",$C$10,$K446)+IF($I447="",0,$I447)-IF($J447="",0,$J447))</f>
        <v/>
      </c>
      <c r="L447" s="22">
        <f>IF($N447&lt;&gt;"",IF(INDEX(PCNotes,$N447)="","—",INDEX(PCNotes,$N447)),IF($O447&lt;&gt;"",IF(INDEX(LdgNoteB,$O447)="","—",INDEX(LdgNoteB,$O447)),""))</f>
        <v/>
      </c>
      <c r="N447">
        <f>IFERROR(MATCH($C$5&amp;"|"&amp;RIGHT("000000"&amp;431,6),LdgRankKeyA,0),"")</f>
        <v/>
      </c>
      <c r="O447">
        <f>IFERROR(MATCH($C$5&amp;"|"&amp;RIGHT("000000"&amp;431,6),LdgRankKeyB,0),"")</f>
        <v/>
      </c>
    </row>
    <row r="448">
      <c r="A448" s="23" t="n">
        <v>432</v>
      </c>
      <c r="B448" s="24">
        <f>IF(AND($N448="",$O448=""),"",IF($N448&lt;&gt;"",INDEX(PCNormDate,$N448),INDEX(LdgDateB,$O448)))</f>
        <v/>
      </c>
      <c r="C448" s="24">
        <f>IF($N448&lt;&gt;"",INDEX(PCOp,$N448),IF($O448&lt;&gt;"",IF(N(INDEX(TxnDepB,$O448))&gt;0,"دریافت بانکی","پرداخت بانکی"),""))</f>
        <v/>
      </c>
      <c r="D448" s="24">
        <f>IF($N448&lt;&gt;"",IF(INDEX(PCDoc,$N448)="","—",INDEX(PCDoc,$N448)),IF($O448&lt;&gt;"",INDEX(LdgBankB,$O448),""))</f>
        <v/>
      </c>
      <c r="E448" s="24">
        <f>IF($N448&lt;&gt;"",IF(INDEX(PCCitrus,$N448)="","—",INDEX(PCCitrus,$N448)),"")</f>
        <v/>
      </c>
      <c r="F448" s="25">
        <f>IF($N448&lt;&gt;"",IF(INDEX(PCScale,$N448)=0,"",INDEX(PCScale,$N448)),"")</f>
        <v/>
      </c>
      <c r="G448" s="25">
        <f>IF($N448&lt;&gt;"",IF(INDEX(PCBaskets,$N448)=0,"",INDEX(PCBaskets,$N448)),"")</f>
        <v/>
      </c>
      <c r="H448" s="26">
        <f>IF($N448&lt;&gt;"",IF(INDEX(PCNet,$N448)=0,"",INDEX(PCNet,$N448)),"")</f>
        <v/>
      </c>
      <c r="I448" s="25">
        <f>IF($N448&lt;&gt;"",IF(INDEX(PCOp,$N448)="مرجوعی خرید","",IF(INDEX(PCAmount,$N448)&lt;=0,"",INDEX(PCAmount,$N448))),IF($O448&lt;&gt;"",IF(INDEX(TxnDepB,$O448)=0,"",INDEX(TxnDepB,$O448)),""))</f>
        <v/>
      </c>
      <c r="J448" s="25">
        <f>IF($N448&lt;&gt;"",IF(INDEX(PCOp,$N448)="مرجوعی خرید",IF(INDEX(PCAmount,$N448)=0,"",-INDEX(PCAmount,$N448)),""),IF($O448&lt;&gt;"",IF(INDEX(TxnWitB,$O448)=0,"",INDEX(TxnWitB,$O448)),""))</f>
        <v/>
      </c>
      <c r="K448" s="27">
        <f>IF($B448="","",IF($K447="",$C$10,$K447)+IF($I448="",0,$I448)-IF($J448="",0,$J448))</f>
        <v/>
      </c>
      <c r="L448" s="28">
        <f>IF($N448&lt;&gt;"",IF(INDEX(PCNotes,$N448)="","—",INDEX(PCNotes,$N448)),IF($O448&lt;&gt;"",IF(INDEX(LdgNoteB,$O448)="","—",INDEX(LdgNoteB,$O448)),""))</f>
        <v/>
      </c>
      <c r="N448">
        <f>IFERROR(MATCH($C$5&amp;"|"&amp;RIGHT("000000"&amp;432,6),LdgRankKeyA,0),"")</f>
        <v/>
      </c>
      <c r="O448">
        <f>IFERROR(MATCH($C$5&amp;"|"&amp;RIGHT("000000"&amp;432,6),LdgRankKeyB,0),"")</f>
        <v/>
      </c>
    </row>
    <row r="449">
      <c r="A449" s="17" t="n">
        <v>433</v>
      </c>
      <c r="B449" s="18">
        <f>IF(AND($N449="",$O449=""),"",IF($N449&lt;&gt;"",INDEX(PCNormDate,$N449),INDEX(LdgDateB,$O449)))</f>
        <v/>
      </c>
      <c r="C449" s="18">
        <f>IF($N449&lt;&gt;"",INDEX(PCOp,$N449),IF($O449&lt;&gt;"",IF(N(INDEX(TxnDepB,$O449))&gt;0,"دریافت بانکی","پرداخت بانکی"),""))</f>
        <v/>
      </c>
      <c r="D449" s="18">
        <f>IF($N449&lt;&gt;"",IF(INDEX(PCDoc,$N449)="","—",INDEX(PCDoc,$N449)),IF($O449&lt;&gt;"",INDEX(LdgBankB,$O449),""))</f>
        <v/>
      </c>
      <c r="E449" s="18">
        <f>IF($N449&lt;&gt;"",IF(INDEX(PCCitrus,$N449)="","—",INDEX(PCCitrus,$N449)),"")</f>
        <v/>
      </c>
      <c r="F449" s="19">
        <f>IF($N449&lt;&gt;"",IF(INDEX(PCScale,$N449)=0,"",INDEX(PCScale,$N449)),"")</f>
        <v/>
      </c>
      <c r="G449" s="19">
        <f>IF($N449&lt;&gt;"",IF(INDEX(PCBaskets,$N449)=0,"",INDEX(PCBaskets,$N449)),"")</f>
        <v/>
      </c>
      <c r="H449" s="20">
        <f>IF($N449&lt;&gt;"",IF(INDEX(PCNet,$N449)=0,"",INDEX(PCNet,$N449)),"")</f>
        <v/>
      </c>
      <c r="I449" s="19">
        <f>IF($N449&lt;&gt;"",IF(INDEX(PCOp,$N449)="مرجوعی خرید","",IF(INDEX(PCAmount,$N449)&lt;=0,"",INDEX(PCAmount,$N449))),IF($O449&lt;&gt;"",IF(INDEX(TxnDepB,$O449)=0,"",INDEX(TxnDepB,$O449)),""))</f>
        <v/>
      </c>
      <c r="J449" s="19">
        <f>IF($N449&lt;&gt;"",IF(INDEX(PCOp,$N449)="مرجوعی خرید",IF(INDEX(PCAmount,$N449)=0,"",-INDEX(PCAmount,$N449)),""),IF($O449&lt;&gt;"",IF(INDEX(TxnWitB,$O449)=0,"",INDEX(TxnWitB,$O449)),""))</f>
        <v/>
      </c>
      <c r="K449" s="21">
        <f>IF($B449="","",IF($K448="",$C$10,$K448)+IF($I449="",0,$I449)-IF($J449="",0,$J449))</f>
        <v/>
      </c>
      <c r="L449" s="22">
        <f>IF($N449&lt;&gt;"",IF(INDEX(PCNotes,$N449)="","—",INDEX(PCNotes,$N449)),IF($O449&lt;&gt;"",IF(INDEX(LdgNoteB,$O449)="","—",INDEX(LdgNoteB,$O449)),""))</f>
        <v/>
      </c>
      <c r="N449">
        <f>IFERROR(MATCH($C$5&amp;"|"&amp;RIGHT("000000"&amp;433,6),LdgRankKeyA,0),"")</f>
        <v/>
      </c>
      <c r="O449">
        <f>IFERROR(MATCH($C$5&amp;"|"&amp;RIGHT("000000"&amp;433,6),LdgRankKeyB,0),"")</f>
        <v/>
      </c>
    </row>
    <row r="450">
      <c r="A450" s="23" t="n">
        <v>434</v>
      </c>
      <c r="B450" s="24">
        <f>IF(AND($N450="",$O450=""),"",IF($N450&lt;&gt;"",INDEX(PCNormDate,$N450),INDEX(LdgDateB,$O450)))</f>
        <v/>
      </c>
      <c r="C450" s="24">
        <f>IF($N450&lt;&gt;"",INDEX(PCOp,$N450),IF($O450&lt;&gt;"",IF(N(INDEX(TxnDepB,$O450))&gt;0,"دریافت بانکی","پرداخت بانکی"),""))</f>
        <v/>
      </c>
      <c r="D450" s="24">
        <f>IF($N450&lt;&gt;"",IF(INDEX(PCDoc,$N450)="","—",INDEX(PCDoc,$N450)),IF($O450&lt;&gt;"",INDEX(LdgBankB,$O450),""))</f>
        <v/>
      </c>
      <c r="E450" s="24">
        <f>IF($N450&lt;&gt;"",IF(INDEX(PCCitrus,$N450)="","—",INDEX(PCCitrus,$N450)),"")</f>
        <v/>
      </c>
      <c r="F450" s="25">
        <f>IF($N450&lt;&gt;"",IF(INDEX(PCScale,$N450)=0,"",INDEX(PCScale,$N450)),"")</f>
        <v/>
      </c>
      <c r="G450" s="25">
        <f>IF($N450&lt;&gt;"",IF(INDEX(PCBaskets,$N450)=0,"",INDEX(PCBaskets,$N450)),"")</f>
        <v/>
      </c>
      <c r="H450" s="26">
        <f>IF($N450&lt;&gt;"",IF(INDEX(PCNet,$N450)=0,"",INDEX(PCNet,$N450)),"")</f>
        <v/>
      </c>
      <c r="I450" s="25">
        <f>IF($N450&lt;&gt;"",IF(INDEX(PCOp,$N450)="مرجوعی خرید","",IF(INDEX(PCAmount,$N450)&lt;=0,"",INDEX(PCAmount,$N450))),IF($O450&lt;&gt;"",IF(INDEX(TxnDepB,$O450)=0,"",INDEX(TxnDepB,$O450)),""))</f>
        <v/>
      </c>
      <c r="J450" s="25">
        <f>IF($N450&lt;&gt;"",IF(INDEX(PCOp,$N450)="مرجوعی خرید",IF(INDEX(PCAmount,$N450)=0,"",-INDEX(PCAmount,$N450)),""),IF($O450&lt;&gt;"",IF(INDEX(TxnWitB,$O450)=0,"",INDEX(TxnWitB,$O450)),""))</f>
        <v/>
      </c>
      <c r="K450" s="27">
        <f>IF($B450="","",IF($K449="",$C$10,$K449)+IF($I450="",0,$I450)-IF($J450="",0,$J450))</f>
        <v/>
      </c>
      <c r="L450" s="28">
        <f>IF($N450&lt;&gt;"",IF(INDEX(PCNotes,$N450)="","—",INDEX(PCNotes,$N450)),IF($O450&lt;&gt;"",IF(INDEX(LdgNoteB,$O450)="","—",INDEX(LdgNoteB,$O450)),""))</f>
        <v/>
      </c>
      <c r="N450">
        <f>IFERROR(MATCH($C$5&amp;"|"&amp;RIGHT("000000"&amp;434,6),LdgRankKeyA,0),"")</f>
        <v/>
      </c>
      <c r="O450">
        <f>IFERROR(MATCH($C$5&amp;"|"&amp;RIGHT("000000"&amp;434,6),LdgRankKeyB,0),"")</f>
        <v/>
      </c>
    </row>
    <row r="451">
      <c r="A451" s="17" t="n">
        <v>435</v>
      </c>
      <c r="B451" s="18">
        <f>IF(AND($N451="",$O451=""),"",IF($N451&lt;&gt;"",INDEX(PCNormDate,$N451),INDEX(LdgDateB,$O451)))</f>
        <v/>
      </c>
      <c r="C451" s="18">
        <f>IF($N451&lt;&gt;"",INDEX(PCOp,$N451),IF($O451&lt;&gt;"",IF(N(INDEX(TxnDepB,$O451))&gt;0,"دریافت بانکی","پرداخت بانکی"),""))</f>
        <v/>
      </c>
      <c r="D451" s="18">
        <f>IF($N451&lt;&gt;"",IF(INDEX(PCDoc,$N451)="","—",INDEX(PCDoc,$N451)),IF($O451&lt;&gt;"",INDEX(LdgBankB,$O451),""))</f>
        <v/>
      </c>
      <c r="E451" s="18">
        <f>IF($N451&lt;&gt;"",IF(INDEX(PCCitrus,$N451)="","—",INDEX(PCCitrus,$N451)),"")</f>
        <v/>
      </c>
      <c r="F451" s="19">
        <f>IF($N451&lt;&gt;"",IF(INDEX(PCScale,$N451)=0,"",INDEX(PCScale,$N451)),"")</f>
        <v/>
      </c>
      <c r="G451" s="19">
        <f>IF($N451&lt;&gt;"",IF(INDEX(PCBaskets,$N451)=0,"",INDEX(PCBaskets,$N451)),"")</f>
        <v/>
      </c>
      <c r="H451" s="20">
        <f>IF($N451&lt;&gt;"",IF(INDEX(PCNet,$N451)=0,"",INDEX(PCNet,$N451)),"")</f>
        <v/>
      </c>
      <c r="I451" s="19">
        <f>IF($N451&lt;&gt;"",IF(INDEX(PCOp,$N451)="مرجوعی خرید","",IF(INDEX(PCAmount,$N451)&lt;=0,"",INDEX(PCAmount,$N451))),IF($O451&lt;&gt;"",IF(INDEX(TxnDepB,$O451)=0,"",INDEX(TxnDepB,$O451)),""))</f>
        <v/>
      </c>
      <c r="J451" s="19">
        <f>IF($N451&lt;&gt;"",IF(INDEX(PCOp,$N451)="مرجوعی خرید",IF(INDEX(PCAmount,$N451)=0,"",-INDEX(PCAmount,$N451)),""),IF($O451&lt;&gt;"",IF(INDEX(TxnWitB,$O451)=0,"",INDEX(TxnWitB,$O451)),""))</f>
        <v/>
      </c>
      <c r="K451" s="21">
        <f>IF($B451="","",IF($K450="",$C$10,$K450)+IF($I451="",0,$I451)-IF($J451="",0,$J451))</f>
        <v/>
      </c>
      <c r="L451" s="22">
        <f>IF($N451&lt;&gt;"",IF(INDEX(PCNotes,$N451)="","—",INDEX(PCNotes,$N451)),IF($O451&lt;&gt;"",IF(INDEX(LdgNoteB,$O451)="","—",INDEX(LdgNoteB,$O451)),""))</f>
        <v/>
      </c>
      <c r="N451">
        <f>IFERROR(MATCH($C$5&amp;"|"&amp;RIGHT("000000"&amp;435,6),LdgRankKeyA,0),"")</f>
        <v/>
      </c>
      <c r="O451">
        <f>IFERROR(MATCH($C$5&amp;"|"&amp;RIGHT("000000"&amp;435,6),LdgRankKeyB,0),"")</f>
        <v/>
      </c>
    </row>
    <row r="452">
      <c r="A452" s="23" t="n">
        <v>436</v>
      </c>
      <c r="B452" s="24">
        <f>IF(AND($N452="",$O452=""),"",IF($N452&lt;&gt;"",INDEX(PCNormDate,$N452),INDEX(LdgDateB,$O452)))</f>
        <v/>
      </c>
      <c r="C452" s="24">
        <f>IF($N452&lt;&gt;"",INDEX(PCOp,$N452),IF($O452&lt;&gt;"",IF(N(INDEX(TxnDepB,$O452))&gt;0,"دریافت بانکی","پرداخت بانکی"),""))</f>
        <v/>
      </c>
      <c r="D452" s="24">
        <f>IF($N452&lt;&gt;"",IF(INDEX(PCDoc,$N452)="","—",INDEX(PCDoc,$N452)),IF($O452&lt;&gt;"",INDEX(LdgBankB,$O452),""))</f>
        <v/>
      </c>
      <c r="E452" s="24">
        <f>IF($N452&lt;&gt;"",IF(INDEX(PCCitrus,$N452)="","—",INDEX(PCCitrus,$N452)),"")</f>
        <v/>
      </c>
      <c r="F452" s="25">
        <f>IF($N452&lt;&gt;"",IF(INDEX(PCScale,$N452)=0,"",INDEX(PCScale,$N452)),"")</f>
        <v/>
      </c>
      <c r="G452" s="25">
        <f>IF($N452&lt;&gt;"",IF(INDEX(PCBaskets,$N452)=0,"",INDEX(PCBaskets,$N452)),"")</f>
        <v/>
      </c>
      <c r="H452" s="26">
        <f>IF($N452&lt;&gt;"",IF(INDEX(PCNet,$N452)=0,"",INDEX(PCNet,$N452)),"")</f>
        <v/>
      </c>
      <c r="I452" s="25">
        <f>IF($N452&lt;&gt;"",IF(INDEX(PCOp,$N452)="مرجوعی خرید","",IF(INDEX(PCAmount,$N452)&lt;=0,"",INDEX(PCAmount,$N452))),IF($O452&lt;&gt;"",IF(INDEX(TxnDepB,$O452)=0,"",INDEX(TxnDepB,$O452)),""))</f>
        <v/>
      </c>
      <c r="J452" s="25">
        <f>IF($N452&lt;&gt;"",IF(INDEX(PCOp,$N452)="مرجوعی خرید",IF(INDEX(PCAmount,$N452)=0,"",-INDEX(PCAmount,$N452)),""),IF($O452&lt;&gt;"",IF(INDEX(TxnWitB,$O452)=0,"",INDEX(TxnWitB,$O452)),""))</f>
        <v/>
      </c>
      <c r="K452" s="27">
        <f>IF($B452="","",IF($K451="",$C$10,$K451)+IF($I452="",0,$I452)-IF($J452="",0,$J452))</f>
        <v/>
      </c>
      <c r="L452" s="28">
        <f>IF($N452&lt;&gt;"",IF(INDEX(PCNotes,$N452)="","—",INDEX(PCNotes,$N452)),IF($O452&lt;&gt;"",IF(INDEX(LdgNoteB,$O452)="","—",INDEX(LdgNoteB,$O452)),""))</f>
        <v/>
      </c>
      <c r="N452">
        <f>IFERROR(MATCH($C$5&amp;"|"&amp;RIGHT("000000"&amp;436,6),LdgRankKeyA,0),"")</f>
        <v/>
      </c>
      <c r="O452">
        <f>IFERROR(MATCH($C$5&amp;"|"&amp;RIGHT("000000"&amp;436,6),LdgRankKeyB,0),"")</f>
        <v/>
      </c>
    </row>
    <row r="453">
      <c r="A453" s="17" t="n">
        <v>437</v>
      </c>
      <c r="B453" s="18">
        <f>IF(AND($N453="",$O453=""),"",IF($N453&lt;&gt;"",INDEX(PCNormDate,$N453),INDEX(LdgDateB,$O453)))</f>
        <v/>
      </c>
      <c r="C453" s="18">
        <f>IF($N453&lt;&gt;"",INDEX(PCOp,$N453),IF($O453&lt;&gt;"",IF(N(INDEX(TxnDepB,$O453))&gt;0,"دریافت بانکی","پرداخت بانکی"),""))</f>
        <v/>
      </c>
      <c r="D453" s="18">
        <f>IF($N453&lt;&gt;"",IF(INDEX(PCDoc,$N453)="","—",INDEX(PCDoc,$N453)),IF($O453&lt;&gt;"",INDEX(LdgBankB,$O453),""))</f>
        <v/>
      </c>
      <c r="E453" s="18">
        <f>IF($N453&lt;&gt;"",IF(INDEX(PCCitrus,$N453)="","—",INDEX(PCCitrus,$N453)),"")</f>
        <v/>
      </c>
      <c r="F453" s="19">
        <f>IF($N453&lt;&gt;"",IF(INDEX(PCScale,$N453)=0,"",INDEX(PCScale,$N453)),"")</f>
        <v/>
      </c>
      <c r="G453" s="19">
        <f>IF($N453&lt;&gt;"",IF(INDEX(PCBaskets,$N453)=0,"",INDEX(PCBaskets,$N453)),"")</f>
        <v/>
      </c>
      <c r="H453" s="20">
        <f>IF($N453&lt;&gt;"",IF(INDEX(PCNet,$N453)=0,"",INDEX(PCNet,$N453)),"")</f>
        <v/>
      </c>
      <c r="I453" s="19">
        <f>IF($N453&lt;&gt;"",IF(INDEX(PCOp,$N453)="مرجوعی خرید","",IF(INDEX(PCAmount,$N453)&lt;=0,"",INDEX(PCAmount,$N453))),IF($O453&lt;&gt;"",IF(INDEX(TxnDepB,$O453)=0,"",INDEX(TxnDepB,$O453)),""))</f>
        <v/>
      </c>
      <c r="J453" s="19">
        <f>IF($N453&lt;&gt;"",IF(INDEX(PCOp,$N453)="مرجوعی خرید",IF(INDEX(PCAmount,$N453)=0,"",-INDEX(PCAmount,$N453)),""),IF($O453&lt;&gt;"",IF(INDEX(TxnWitB,$O453)=0,"",INDEX(TxnWitB,$O453)),""))</f>
        <v/>
      </c>
      <c r="K453" s="21">
        <f>IF($B453="","",IF($K452="",$C$10,$K452)+IF($I453="",0,$I453)-IF($J453="",0,$J453))</f>
        <v/>
      </c>
      <c r="L453" s="22">
        <f>IF($N453&lt;&gt;"",IF(INDEX(PCNotes,$N453)="","—",INDEX(PCNotes,$N453)),IF($O453&lt;&gt;"",IF(INDEX(LdgNoteB,$O453)="","—",INDEX(LdgNoteB,$O453)),""))</f>
        <v/>
      </c>
      <c r="N453">
        <f>IFERROR(MATCH($C$5&amp;"|"&amp;RIGHT("000000"&amp;437,6),LdgRankKeyA,0),"")</f>
        <v/>
      </c>
      <c r="O453">
        <f>IFERROR(MATCH($C$5&amp;"|"&amp;RIGHT("000000"&amp;437,6),LdgRankKeyB,0),"")</f>
        <v/>
      </c>
    </row>
    <row r="454">
      <c r="A454" s="23" t="n">
        <v>438</v>
      </c>
      <c r="B454" s="24">
        <f>IF(AND($N454="",$O454=""),"",IF($N454&lt;&gt;"",INDEX(PCNormDate,$N454),INDEX(LdgDateB,$O454)))</f>
        <v/>
      </c>
      <c r="C454" s="24">
        <f>IF($N454&lt;&gt;"",INDEX(PCOp,$N454),IF($O454&lt;&gt;"",IF(N(INDEX(TxnDepB,$O454))&gt;0,"دریافت بانکی","پرداخت بانکی"),""))</f>
        <v/>
      </c>
      <c r="D454" s="24">
        <f>IF($N454&lt;&gt;"",IF(INDEX(PCDoc,$N454)="","—",INDEX(PCDoc,$N454)),IF($O454&lt;&gt;"",INDEX(LdgBankB,$O454),""))</f>
        <v/>
      </c>
      <c r="E454" s="24">
        <f>IF($N454&lt;&gt;"",IF(INDEX(PCCitrus,$N454)="","—",INDEX(PCCitrus,$N454)),"")</f>
        <v/>
      </c>
      <c r="F454" s="25">
        <f>IF($N454&lt;&gt;"",IF(INDEX(PCScale,$N454)=0,"",INDEX(PCScale,$N454)),"")</f>
        <v/>
      </c>
      <c r="G454" s="25">
        <f>IF($N454&lt;&gt;"",IF(INDEX(PCBaskets,$N454)=0,"",INDEX(PCBaskets,$N454)),"")</f>
        <v/>
      </c>
      <c r="H454" s="26">
        <f>IF($N454&lt;&gt;"",IF(INDEX(PCNet,$N454)=0,"",INDEX(PCNet,$N454)),"")</f>
        <v/>
      </c>
      <c r="I454" s="25">
        <f>IF($N454&lt;&gt;"",IF(INDEX(PCOp,$N454)="مرجوعی خرید","",IF(INDEX(PCAmount,$N454)&lt;=0,"",INDEX(PCAmount,$N454))),IF($O454&lt;&gt;"",IF(INDEX(TxnDepB,$O454)=0,"",INDEX(TxnDepB,$O454)),""))</f>
        <v/>
      </c>
      <c r="J454" s="25">
        <f>IF($N454&lt;&gt;"",IF(INDEX(PCOp,$N454)="مرجوعی خرید",IF(INDEX(PCAmount,$N454)=0,"",-INDEX(PCAmount,$N454)),""),IF($O454&lt;&gt;"",IF(INDEX(TxnWitB,$O454)=0,"",INDEX(TxnWitB,$O454)),""))</f>
        <v/>
      </c>
      <c r="K454" s="27">
        <f>IF($B454="","",IF($K453="",$C$10,$K453)+IF($I454="",0,$I454)-IF($J454="",0,$J454))</f>
        <v/>
      </c>
      <c r="L454" s="28">
        <f>IF($N454&lt;&gt;"",IF(INDEX(PCNotes,$N454)="","—",INDEX(PCNotes,$N454)),IF($O454&lt;&gt;"",IF(INDEX(LdgNoteB,$O454)="","—",INDEX(LdgNoteB,$O454)),""))</f>
        <v/>
      </c>
      <c r="N454">
        <f>IFERROR(MATCH($C$5&amp;"|"&amp;RIGHT("000000"&amp;438,6),LdgRankKeyA,0),"")</f>
        <v/>
      </c>
      <c r="O454">
        <f>IFERROR(MATCH($C$5&amp;"|"&amp;RIGHT("000000"&amp;438,6),LdgRankKeyB,0),"")</f>
        <v/>
      </c>
    </row>
    <row r="455">
      <c r="A455" s="17" t="n">
        <v>439</v>
      </c>
      <c r="B455" s="18">
        <f>IF(AND($N455="",$O455=""),"",IF($N455&lt;&gt;"",INDEX(PCNormDate,$N455),INDEX(LdgDateB,$O455)))</f>
        <v/>
      </c>
      <c r="C455" s="18">
        <f>IF($N455&lt;&gt;"",INDEX(PCOp,$N455),IF($O455&lt;&gt;"",IF(N(INDEX(TxnDepB,$O455))&gt;0,"دریافت بانکی","پرداخت بانکی"),""))</f>
        <v/>
      </c>
      <c r="D455" s="18">
        <f>IF($N455&lt;&gt;"",IF(INDEX(PCDoc,$N455)="","—",INDEX(PCDoc,$N455)),IF($O455&lt;&gt;"",INDEX(LdgBankB,$O455),""))</f>
        <v/>
      </c>
      <c r="E455" s="18">
        <f>IF($N455&lt;&gt;"",IF(INDEX(PCCitrus,$N455)="","—",INDEX(PCCitrus,$N455)),"")</f>
        <v/>
      </c>
      <c r="F455" s="19">
        <f>IF($N455&lt;&gt;"",IF(INDEX(PCScale,$N455)=0,"",INDEX(PCScale,$N455)),"")</f>
        <v/>
      </c>
      <c r="G455" s="19">
        <f>IF($N455&lt;&gt;"",IF(INDEX(PCBaskets,$N455)=0,"",INDEX(PCBaskets,$N455)),"")</f>
        <v/>
      </c>
      <c r="H455" s="20">
        <f>IF($N455&lt;&gt;"",IF(INDEX(PCNet,$N455)=0,"",INDEX(PCNet,$N455)),"")</f>
        <v/>
      </c>
      <c r="I455" s="19">
        <f>IF($N455&lt;&gt;"",IF(INDEX(PCOp,$N455)="مرجوعی خرید","",IF(INDEX(PCAmount,$N455)&lt;=0,"",INDEX(PCAmount,$N455))),IF($O455&lt;&gt;"",IF(INDEX(TxnDepB,$O455)=0,"",INDEX(TxnDepB,$O455)),""))</f>
        <v/>
      </c>
      <c r="J455" s="19">
        <f>IF($N455&lt;&gt;"",IF(INDEX(PCOp,$N455)="مرجوعی خرید",IF(INDEX(PCAmount,$N455)=0,"",-INDEX(PCAmount,$N455)),""),IF($O455&lt;&gt;"",IF(INDEX(TxnWitB,$O455)=0,"",INDEX(TxnWitB,$O455)),""))</f>
        <v/>
      </c>
      <c r="K455" s="21">
        <f>IF($B455="","",IF($K454="",$C$10,$K454)+IF($I455="",0,$I455)-IF($J455="",0,$J455))</f>
        <v/>
      </c>
      <c r="L455" s="22">
        <f>IF($N455&lt;&gt;"",IF(INDEX(PCNotes,$N455)="","—",INDEX(PCNotes,$N455)),IF($O455&lt;&gt;"",IF(INDEX(LdgNoteB,$O455)="","—",INDEX(LdgNoteB,$O455)),""))</f>
        <v/>
      </c>
      <c r="N455">
        <f>IFERROR(MATCH($C$5&amp;"|"&amp;RIGHT("000000"&amp;439,6),LdgRankKeyA,0),"")</f>
        <v/>
      </c>
      <c r="O455">
        <f>IFERROR(MATCH($C$5&amp;"|"&amp;RIGHT("000000"&amp;439,6),LdgRankKeyB,0),"")</f>
        <v/>
      </c>
    </row>
    <row r="456">
      <c r="A456" s="23" t="n">
        <v>440</v>
      </c>
      <c r="B456" s="24">
        <f>IF(AND($N456="",$O456=""),"",IF($N456&lt;&gt;"",INDEX(PCNormDate,$N456),INDEX(LdgDateB,$O456)))</f>
        <v/>
      </c>
      <c r="C456" s="24">
        <f>IF($N456&lt;&gt;"",INDEX(PCOp,$N456),IF($O456&lt;&gt;"",IF(N(INDEX(TxnDepB,$O456))&gt;0,"دریافت بانکی","پرداخت بانکی"),""))</f>
        <v/>
      </c>
      <c r="D456" s="24">
        <f>IF($N456&lt;&gt;"",IF(INDEX(PCDoc,$N456)="","—",INDEX(PCDoc,$N456)),IF($O456&lt;&gt;"",INDEX(LdgBankB,$O456),""))</f>
        <v/>
      </c>
      <c r="E456" s="24">
        <f>IF($N456&lt;&gt;"",IF(INDEX(PCCitrus,$N456)="","—",INDEX(PCCitrus,$N456)),"")</f>
        <v/>
      </c>
      <c r="F456" s="25">
        <f>IF($N456&lt;&gt;"",IF(INDEX(PCScale,$N456)=0,"",INDEX(PCScale,$N456)),"")</f>
        <v/>
      </c>
      <c r="G456" s="25">
        <f>IF($N456&lt;&gt;"",IF(INDEX(PCBaskets,$N456)=0,"",INDEX(PCBaskets,$N456)),"")</f>
        <v/>
      </c>
      <c r="H456" s="26">
        <f>IF($N456&lt;&gt;"",IF(INDEX(PCNet,$N456)=0,"",INDEX(PCNet,$N456)),"")</f>
        <v/>
      </c>
      <c r="I456" s="25">
        <f>IF($N456&lt;&gt;"",IF(INDEX(PCOp,$N456)="مرجوعی خرید","",IF(INDEX(PCAmount,$N456)&lt;=0,"",INDEX(PCAmount,$N456))),IF($O456&lt;&gt;"",IF(INDEX(TxnDepB,$O456)=0,"",INDEX(TxnDepB,$O456)),""))</f>
        <v/>
      </c>
      <c r="J456" s="25">
        <f>IF($N456&lt;&gt;"",IF(INDEX(PCOp,$N456)="مرجوعی خرید",IF(INDEX(PCAmount,$N456)=0,"",-INDEX(PCAmount,$N456)),""),IF($O456&lt;&gt;"",IF(INDEX(TxnWitB,$O456)=0,"",INDEX(TxnWitB,$O456)),""))</f>
        <v/>
      </c>
      <c r="K456" s="27">
        <f>IF($B456="","",IF($K455="",$C$10,$K455)+IF($I456="",0,$I456)-IF($J456="",0,$J456))</f>
        <v/>
      </c>
      <c r="L456" s="28">
        <f>IF($N456&lt;&gt;"",IF(INDEX(PCNotes,$N456)="","—",INDEX(PCNotes,$N456)),IF($O456&lt;&gt;"",IF(INDEX(LdgNoteB,$O456)="","—",INDEX(LdgNoteB,$O456)),""))</f>
        <v/>
      </c>
      <c r="N456">
        <f>IFERROR(MATCH($C$5&amp;"|"&amp;RIGHT("000000"&amp;440,6),LdgRankKeyA,0),"")</f>
        <v/>
      </c>
      <c r="O456">
        <f>IFERROR(MATCH($C$5&amp;"|"&amp;RIGHT("000000"&amp;440,6),LdgRankKeyB,0),"")</f>
        <v/>
      </c>
    </row>
    <row r="457">
      <c r="A457" s="17" t="n">
        <v>441</v>
      </c>
      <c r="B457" s="18">
        <f>IF(AND($N457="",$O457=""),"",IF($N457&lt;&gt;"",INDEX(PCNormDate,$N457),INDEX(LdgDateB,$O457)))</f>
        <v/>
      </c>
      <c r="C457" s="18">
        <f>IF($N457&lt;&gt;"",INDEX(PCOp,$N457),IF($O457&lt;&gt;"",IF(N(INDEX(TxnDepB,$O457))&gt;0,"دریافت بانکی","پرداخت بانکی"),""))</f>
        <v/>
      </c>
      <c r="D457" s="18">
        <f>IF($N457&lt;&gt;"",IF(INDEX(PCDoc,$N457)="","—",INDEX(PCDoc,$N457)),IF($O457&lt;&gt;"",INDEX(LdgBankB,$O457),""))</f>
        <v/>
      </c>
      <c r="E457" s="18">
        <f>IF($N457&lt;&gt;"",IF(INDEX(PCCitrus,$N457)="","—",INDEX(PCCitrus,$N457)),"")</f>
        <v/>
      </c>
      <c r="F457" s="19">
        <f>IF($N457&lt;&gt;"",IF(INDEX(PCScale,$N457)=0,"",INDEX(PCScale,$N457)),"")</f>
        <v/>
      </c>
      <c r="G457" s="19">
        <f>IF($N457&lt;&gt;"",IF(INDEX(PCBaskets,$N457)=0,"",INDEX(PCBaskets,$N457)),"")</f>
        <v/>
      </c>
      <c r="H457" s="20">
        <f>IF($N457&lt;&gt;"",IF(INDEX(PCNet,$N457)=0,"",INDEX(PCNet,$N457)),"")</f>
        <v/>
      </c>
      <c r="I457" s="19">
        <f>IF($N457&lt;&gt;"",IF(INDEX(PCOp,$N457)="مرجوعی خرید","",IF(INDEX(PCAmount,$N457)&lt;=0,"",INDEX(PCAmount,$N457))),IF($O457&lt;&gt;"",IF(INDEX(TxnDepB,$O457)=0,"",INDEX(TxnDepB,$O457)),""))</f>
        <v/>
      </c>
      <c r="J457" s="19">
        <f>IF($N457&lt;&gt;"",IF(INDEX(PCOp,$N457)="مرجوعی خرید",IF(INDEX(PCAmount,$N457)=0,"",-INDEX(PCAmount,$N457)),""),IF($O457&lt;&gt;"",IF(INDEX(TxnWitB,$O457)=0,"",INDEX(TxnWitB,$O457)),""))</f>
        <v/>
      </c>
      <c r="K457" s="21">
        <f>IF($B457="","",IF($K456="",$C$10,$K456)+IF($I457="",0,$I457)-IF($J457="",0,$J457))</f>
        <v/>
      </c>
      <c r="L457" s="22">
        <f>IF($N457&lt;&gt;"",IF(INDEX(PCNotes,$N457)="","—",INDEX(PCNotes,$N457)),IF($O457&lt;&gt;"",IF(INDEX(LdgNoteB,$O457)="","—",INDEX(LdgNoteB,$O457)),""))</f>
        <v/>
      </c>
      <c r="N457">
        <f>IFERROR(MATCH($C$5&amp;"|"&amp;RIGHT("000000"&amp;441,6),LdgRankKeyA,0),"")</f>
        <v/>
      </c>
      <c r="O457">
        <f>IFERROR(MATCH($C$5&amp;"|"&amp;RIGHT("000000"&amp;441,6),LdgRankKeyB,0),"")</f>
        <v/>
      </c>
    </row>
    <row r="458">
      <c r="A458" s="23" t="n">
        <v>442</v>
      </c>
      <c r="B458" s="24">
        <f>IF(AND($N458="",$O458=""),"",IF($N458&lt;&gt;"",INDEX(PCNormDate,$N458),INDEX(LdgDateB,$O458)))</f>
        <v/>
      </c>
      <c r="C458" s="24">
        <f>IF($N458&lt;&gt;"",INDEX(PCOp,$N458),IF($O458&lt;&gt;"",IF(N(INDEX(TxnDepB,$O458))&gt;0,"دریافت بانکی","پرداخت بانکی"),""))</f>
        <v/>
      </c>
      <c r="D458" s="24">
        <f>IF($N458&lt;&gt;"",IF(INDEX(PCDoc,$N458)="","—",INDEX(PCDoc,$N458)),IF($O458&lt;&gt;"",INDEX(LdgBankB,$O458),""))</f>
        <v/>
      </c>
      <c r="E458" s="24">
        <f>IF($N458&lt;&gt;"",IF(INDEX(PCCitrus,$N458)="","—",INDEX(PCCitrus,$N458)),"")</f>
        <v/>
      </c>
      <c r="F458" s="25">
        <f>IF($N458&lt;&gt;"",IF(INDEX(PCScale,$N458)=0,"",INDEX(PCScale,$N458)),"")</f>
        <v/>
      </c>
      <c r="G458" s="25">
        <f>IF($N458&lt;&gt;"",IF(INDEX(PCBaskets,$N458)=0,"",INDEX(PCBaskets,$N458)),"")</f>
        <v/>
      </c>
      <c r="H458" s="26">
        <f>IF($N458&lt;&gt;"",IF(INDEX(PCNet,$N458)=0,"",INDEX(PCNet,$N458)),"")</f>
        <v/>
      </c>
      <c r="I458" s="25">
        <f>IF($N458&lt;&gt;"",IF(INDEX(PCOp,$N458)="مرجوعی خرید","",IF(INDEX(PCAmount,$N458)&lt;=0,"",INDEX(PCAmount,$N458))),IF($O458&lt;&gt;"",IF(INDEX(TxnDepB,$O458)=0,"",INDEX(TxnDepB,$O458)),""))</f>
        <v/>
      </c>
      <c r="J458" s="25">
        <f>IF($N458&lt;&gt;"",IF(INDEX(PCOp,$N458)="مرجوعی خرید",IF(INDEX(PCAmount,$N458)=0,"",-INDEX(PCAmount,$N458)),""),IF($O458&lt;&gt;"",IF(INDEX(TxnWitB,$O458)=0,"",INDEX(TxnWitB,$O458)),""))</f>
        <v/>
      </c>
      <c r="K458" s="27">
        <f>IF($B458="","",IF($K457="",$C$10,$K457)+IF($I458="",0,$I458)-IF($J458="",0,$J458))</f>
        <v/>
      </c>
      <c r="L458" s="28">
        <f>IF($N458&lt;&gt;"",IF(INDEX(PCNotes,$N458)="","—",INDEX(PCNotes,$N458)),IF($O458&lt;&gt;"",IF(INDEX(LdgNoteB,$O458)="","—",INDEX(LdgNoteB,$O458)),""))</f>
        <v/>
      </c>
      <c r="N458">
        <f>IFERROR(MATCH($C$5&amp;"|"&amp;RIGHT("000000"&amp;442,6),LdgRankKeyA,0),"")</f>
        <v/>
      </c>
      <c r="O458">
        <f>IFERROR(MATCH($C$5&amp;"|"&amp;RIGHT("000000"&amp;442,6),LdgRankKeyB,0),"")</f>
        <v/>
      </c>
    </row>
    <row r="459">
      <c r="A459" s="17" t="n">
        <v>443</v>
      </c>
      <c r="B459" s="18">
        <f>IF(AND($N459="",$O459=""),"",IF($N459&lt;&gt;"",INDEX(PCNormDate,$N459),INDEX(LdgDateB,$O459)))</f>
        <v/>
      </c>
      <c r="C459" s="18">
        <f>IF($N459&lt;&gt;"",INDEX(PCOp,$N459),IF($O459&lt;&gt;"",IF(N(INDEX(TxnDepB,$O459))&gt;0,"دریافت بانکی","پرداخت بانکی"),""))</f>
        <v/>
      </c>
      <c r="D459" s="18">
        <f>IF($N459&lt;&gt;"",IF(INDEX(PCDoc,$N459)="","—",INDEX(PCDoc,$N459)),IF($O459&lt;&gt;"",INDEX(LdgBankB,$O459),""))</f>
        <v/>
      </c>
      <c r="E459" s="18">
        <f>IF($N459&lt;&gt;"",IF(INDEX(PCCitrus,$N459)="","—",INDEX(PCCitrus,$N459)),"")</f>
        <v/>
      </c>
      <c r="F459" s="19">
        <f>IF($N459&lt;&gt;"",IF(INDEX(PCScale,$N459)=0,"",INDEX(PCScale,$N459)),"")</f>
        <v/>
      </c>
      <c r="G459" s="19">
        <f>IF($N459&lt;&gt;"",IF(INDEX(PCBaskets,$N459)=0,"",INDEX(PCBaskets,$N459)),"")</f>
        <v/>
      </c>
      <c r="H459" s="20">
        <f>IF($N459&lt;&gt;"",IF(INDEX(PCNet,$N459)=0,"",INDEX(PCNet,$N459)),"")</f>
        <v/>
      </c>
      <c r="I459" s="19">
        <f>IF($N459&lt;&gt;"",IF(INDEX(PCOp,$N459)="مرجوعی خرید","",IF(INDEX(PCAmount,$N459)&lt;=0,"",INDEX(PCAmount,$N459))),IF($O459&lt;&gt;"",IF(INDEX(TxnDepB,$O459)=0,"",INDEX(TxnDepB,$O459)),""))</f>
        <v/>
      </c>
      <c r="J459" s="19">
        <f>IF($N459&lt;&gt;"",IF(INDEX(PCOp,$N459)="مرجوعی خرید",IF(INDEX(PCAmount,$N459)=0,"",-INDEX(PCAmount,$N459)),""),IF($O459&lt;&gt;"",IF(INDEX(TxnWitB,$O459)=0,"",INDEX(TxnWitB,$O459)),""))</f>
        <v/>
      </c>
      <c r="K459" s="21">
        <f>IF($B459="","",IF($K458="",$C$10,$K458)+IF($I459="",0,$I459)-IF($J459="",0,$J459))</f>
        <v/>
      </c>
      <c r="L459" s="22">
        <f>IF($N459&lt;&gt;"",IF(INDEX(PCNotes,$N459)="","—",INDEX(PCNotes,$N459)),IF($O459&lt;&gt;"",IF(INDEX(LdgNoteB,$O459)="","—",INDEX(LdgNoteB,$O459)),""))</f>
        <v/>
      </c>
      <c r="N459">
        <f>IFERROR(MATCH($C$5&amp;"|"&amp;RIGHT("000000"&amp;443,6),LdgRankKeyA,0),"")</f>
        <v/>
      </c>
      <c r="O459">
        <f>IFERROR(MATCH($C$5&amp;"|"&amp;RIGHT("000000"&amp;443,6),LdgRankKeyB,0),"")</f>
        <v/>
      </c>
    </row>
    <row r="460">
      <c r="A460" s="23" t="n">
        <v>444</v>
      </c>
      <c r="B460" s="24">
        <f>IF(AND($N460="",$O460=""),"",IF($N460&lt;&gt;"",INDEX(PCNormDate,$N460),INDEX(LdgDateB,$O460)))</f>
        <v/>
      </c>
      <c r="C460" s="24">
        <f>IF($N460&lt;&gt;"",INDEX(PCOp,$N460),IF($O460&lt;&gt;"",IF(N(INDEX(TxnDepB,$O460))&gt;0,"دریافت بانکی","پرداخت بانکی"),""))</f>
        <v/>
      </c>
      <c r="D460" s="24">
        <f>IF($N460&lt;&gt;"",IF(INDEX(PCDoc,$N460)="","—",INDEX(PCDoc,$N460)),IF($O460&lt;&gt;"",INDEX(LdgBankB,$O460),""))</f>
        <v/>
      </c>
      <c r="E460" s="24">
        <f>IF($N460&lt;&gt;"",IF(INDEX(PCCitrus,$N460)="","—",INDEX(PCCitrus,$N460)),"")</f>
        <v/>
      </c>
      <c r="F460" s="25">
        <f>IF($N460&lt;&gt;"",IF(INDEX(PCScale,$N460)=0,"",INDEX(PCScale,$N460)),"")</f>
        <v/>
      </c>
      <c r="G460" s="25">
        <f>IF($N460&lt;&gt;"",IF(INDEX(PCBaskets,$N460)=0,"",INDEX(PCBaskets,$N460)),"")</f>
        <v/>
      </c>
      <c r="H460" s="26">
        <f>IF($N460&lt;&gt;"",IF(INDEX(PCNet,$N460)=0,"",INDEX(PCNet,$N460)),"")</f>
        <v/>
      </c>
      <c r="I460" s="25">
        <f>IF($N460&lt;&gt;"",IF(INDEX(PCOp,$N460)="مرجوعی خرید","",IF(INDEX(PCAmount,$N460)&lt;=0,"",INDEX(PCAmount,$N460))),IF($O460&lt;&gt;"",IF(INDEX(TxnDepB,$O460)=0,"",INDEX(TxnDepB,$O460)),""))</f>
        <v/>
      </c>
      <c r="J460" s="25">
        <f>IF($N460&lt;&gt;"",IF(INDEX(PCOp,$N460)="مرجوعی خرید",IF(INDEX(PCAmount,$N460)=0,"",-INDEX(PCAmount,$N460)),""),IF($O460&lt;&gt;"",IF(INDEX(TxnWitB,$O460)=0,"",INDEX(TxnWitB,$O460)),""))</f>
        <v/>
      </c>
      <c r="K460" s="27">
        <f>IF($B460="","",IF($K459="",$C$10,$K459)+IF($I460="",0,$I460)-IF($J460="",0,$J460))</f>
        <v/>
      </c>
      <c r="L460" s="28">
        <f>IF($N460&lt;&gt;"",IF(INDEX(PCNotes,$N460)="","—",INDEX(PCNotes,$N460)),IF($O460&lt;&gt;"",IF(INDEX(LdgNoteB,$O460)="","—",INDEX(LdgNoteB,$O460)),""))</f>
        <v/>
      </c>
      <c r="N460">
        <f>IFERROR(MATCH($C$5&amp;"|"&amp;RIGHT("000000"&amp;444,6),LdgRankKeyA,0),"")</f>
        <v/>
      </c>
      <c r="O460">
        <f>IFERROR(MATCH($C$5&amp;"|"&amp;RIGHT("000000"&amp;444,6),LdgRankKeyB,0),"")</f>
        <v/>
      </c>
    </row>
    <row r="461">
      <c r="A461" s="17" t="n">
        <v>445</v>
      </c>
      <c r="B461" s="18">
        <f>IF(AND($N461="",$O461=""),"",IF($N461&lt;&gt;"",INDEX(PCNormDate,$N461),INDEX(LdgDateB,$O461)))</f>
        <v/>
      </c>
      <c r="C461" s="18">
        <f>IF($N461&lt;&gt;"",INDEX(PCOp,$N461),IF($O461&lt;&gt;"",IF(N(INDEX(TxnDepB,$O461))&gt;0,"دریافت بانکی","پرداخت بانکی"),""))</f>
        <v/>
      </c>
      <c r="D461" s="18">
        <f>IF($N461&lt;&gt;"",IF(INDEX(PCDoc,$N461)="","—",INDEX(PCDoc,$N461)),IF($O461&lt;&gt;"",INDEX(LdgBankB,$O461),""))</f>
        <v/>
      </c>
      <c r="E461" s="18">
        <f>IF($N461&lt;&gt;"",IF(INDEX(PCCitrus,$N461)="","—",INDEX(PCCitrus,$N461)),"")</f>
        <v/>
      </c>
      <c r="F461" s="19">
        <f>IF($N461&lt;&gt;"",IF(INDEX(PCScale,$N461)=0,"",INDEX(PCScale,$N461)),"")</f>
        <v/>
      </c>
      <c r="G461" s="19">
        <f>IF($N461&lt;&gt;"",IF(INDEX(PCBaskets,$N461)=0,"",INDEX(PCBaskets,$N461)),"")</f>
        <v/>
      </c>
      <c r="H461" s="20">
        <f>IF($N461&lt;&gt;"",IF(INDEX(PCNet,$N461)=0,"",INDEX(PCNet,$N461)),"")</f>
        <v/>
      </c>
      <c r="I461" s="19">
        <f>IF($N461&lt;&gt;"",IF(INDEX(PCOp,$N461)="مرجوعی خرید","",IF(INDEX(PCAmount,$N461)&lt;=0,"",INDEX(PCAmount,$N461))),IF($O461&lt;&gt;"",IF(INDEX(TxnDepB,$O461)=0,"",INDEX(TxnDepB,$O461)),""))</f>
        <v/>
      </c>
      <c r="J461" s="19">
        <f>IF($N461&lt;&gt;"",IF(INDEX(PCOp,$N461)="مرجوعی خرید",IF(INDEX(PCAmount,$N461)=0,"",-INDEX(PCAmount,$N461)),""),IF($O461&lt;&gt;"",IF(INDEX(TxnWitB,$O461)=0,"",INDEX(TxnWitB,$O461)),""))</f>
        <v/>
      </c>
      <c r="K461" s="21">
        <f>IF($B461="","",IF($K460="",$C$10,$K460)+IF($I461="",0,$I461)-IF($J461="",0,$J461))</f>
        <v/>
      </c>
      <c r="L461" s="22">
        <f>IF($N461&lt;&gt;"",IF(INDEX(PCNotes,$N461)="","—",INDEX(PCNotes,$N461)),IF($O461&lt;&gt;"",IF(INDEX(LdgNoteB,$O461)="","—",INDEX(LdgNoteB,$O461)),""))</f>
        <v/>
      </c>
      <c r="N461">
        <f>IFERROR(MATCH($C$5&amp;"|"&amp;RIGHT("000000"&amp;445,6),LdgRankKeyA,0),"")</f>
        <v/>
      </c>
      <c r="O461">
        <f>IFERROR(MATCH($C$5&amp;"|"&amp;RIGHT("000000"&amp;445,6),LdgRankKeyB,0),"")</f>
        <v/>
      </c>
    </row>
    <row r="462">
      <c r="A462" s="23" t="n">
        <v>446</v>
      </c>
      <c r="B462" s="24">
        <f>IF(AND($N462="",$O462=""),"",IF($N462&lt;&gt;"",INDEX(PCNormDate,$N462),INDEX(LdgDateB,$O462)))</f>
        <v/>
      </c>
      <c r="C462" s="24">
        <f>IF($N462&lt;&gt;"",INDEX(PCOp,$N462),IF($O462&lt;&gt;"",IF(N(INDEX(TxnDepB,$O462))&gt;0,"دریافت بانکی","پرداخت بانکی"),""))</f>
        <v/>
      </c>
      <c r="D462" s="24">
        <f>IF($N462&lt;&gt;"",IF(INDEX(PCDoc,$N462)="","—",INDEX(PCDoc,$N462)),IF($O462&lt;&gt;"",INDEX(LdgBankB,$O462),""))</f>
        <v/>
      </c>
      <c r="E462" s="24">
        <f>IF($N462&lt;&gt;"",IF(INDEX(PCCitrus,$N462)="","—",INDEX(PCCitrus,$N462)),"")</f>
        <v/>
      </c>
      <c r="F462" s="25">
        <f>IF($N462&lt;&gt;"",IF(INDEX(PCScale,$N462)=0,"",INDEX(PCScale,$N462)),"")</f>
        <v/>
      </c>
      <c r="G462" s="25">
        <f>IF($N462&lt;&gt;"",IF(INDEX(PCBaskets,$N462)=0,"",INDEX(PCBaskets,$N462)),"")</f>
        <v/>
      </c>
      <c r="H462" s="26">
        <f>IF($N462&lt;&gt;"",IF(INDEX(PCNet,$N462)=0,"",INDEX(PCNet,$N462)),"")</f>
        <v/>
      </c>
      <c r="I462" s="25">
        <f>IF($N462&lt;&gt;"",IF(INDEX(PCOp,$N462)="مرجوعی خرید","",IF(INDEX(PCAmount,$N462)&lt;=0,"",INDEX(PCAmount,$N462))),IF($O462&lt;&gt;"",IF(INDEX(TxnDepB,$O462)=0,"",INDEX(TxnDepB,$O462)),""))</f>
        <v/>
      </c>
      <c r="J462" s="25">
        <f>IF($N462&lt;&gt;"",IF(INDEX(PCOp,$N462)="مرجوعی خرید",IF(INDEX(PCAmount,$N462)=0,"",-INDEX(PCAmount,$N462)),""),IF($O462&lt;&gt;"",IF(INDEX(TxnWitB,$O462)=0,"",INDEX(TxnWitB,$O462)),""))</f>
        <v/>
      </c>
      <c r="K462" s="27">
        <f>IF($B462="","",IF($K461="",$C$10,$K461)+IF($I462="",0,$I462)-IF($J462="",0,$J462))</f>
        <v/>
      </c>
      <c r="L462" s="28">
        <f>IF($N462&lt;&gt;"",IF(INDEX(PCNotes,$N462)="","—",INDEX(PCNotes,$N462)),IF($O462&lt;&gt;"",IF(INDEX(LdgNoteB,$O462)="","—",INDEX(LdgNoteB,$O462)),""))</f>
        <v/>
      </c>
      <c r="N462">
        <f>IFERROR(MATCH($C$5&amp;"|"&amp;RIGHT("000000"&amp;446,6),LdgRankKeyA,0),"")</f>
        <v/>
      </c>
      <c r="O462">
        <f>IFERROR(MATCH($C$5&amp;"|"&amp;RIGHT("000000"&amp;446,6),LdgRankKeyB,0),"")</f>
        <v/>
      </c>
    </row>
    <row r="463">
      <c r="A463" s="17" t="n">
        <v>447</v>
      </c>
      <c r="B463" s="18">
        <f>IF(AND($N463="",$O463=""),"",IF($N463&lt;&gt;"",INDEX(PCNormDate,$N463),INDEX(LdgDateB,$O463)))</f>
        <v/>
      </c>
      <c r="C463" s="18">
        <f>IF($N463&lt;&gt;"",INDEX(PCOp,$N463),IF($O463&lt;&gt;"",IF(N(INDEX(TxnDepB,$O463))&gt;0,"دریافت بانکی","پرداخت بانکی"),""))</f>
        <v/>
      </c>
      <c r="D463" s="18">
        <f>IF($N463&lt;&gt;"",IF(INDEX(PCDoc,$N463)="","—",INDEX(PCDoc,$N463)),IF($O463&lt;&gt;"",INDEX(LdgBankB,$O463),""))</f>
        <v/>
      </c>
      <c r="E463" s="18">
        <f>IF($N463&lt;&gt;"",IF(INDEX(PCCitrus,$N463)="","—",INDEX(PCCitrus,$N463)),"")</f>
        <v/>
      </c>
      <c r="F463" s="19">
        <f>IF($N463&lt;&gt;"",IF(INDEX(PCScale,$N463)=0,"",INDEX(PCScale,$N463)),"")</f>
        <v/>
      </c>
      <c r="G463" s="19">
        <f>IF($N463&lt;&gt;"",IF(INDEX(PCBaskets,$N463)=0,"",INDEX(PCBaskets,$N463)),"")</f>
        <v/>
      </c>
      <c r="H463" s="20">
        <f>IF($N463&lt;&gt;"",IF(INDEX(PCNet,$N463)=0,"",INDEX(PCNet,$N463)),"")</f>
        <v/>
      </c>
      <c r="I463" s="19">
        <f>IF($N463&lt;&gt;"",IF(INDEX(PCOp,$N463)="مرجوعی خرید","",IF(INDEX(PCAmount,$N463)&lt;=0,"",INDEX(PCAmount,$N463))),IF($O463&lt;&gt;"",IF(INDEX(TxnDepB,$O463)=0,"",INDEX(TxnDepB,$O463)),""))</f>
        <v/>
      </c>
      <c r="J463" s="19">
        <f>IF($N463&lt;&gt;"",IF(INDEX(PCOp,$N463)="مرجوعی خرید",IF(INDEX(PCAmount,$N463)=0,"",-INDEX(PCAmount,$N463)),""),IF($O463&lt;&gt;"",IF(INDEX(TxnWitB,$O463)=0,"",INDEX(TxnWitB,$O463)),""))</f>
        <v/>
      </c>
      <c r="K463" s="21">
        <f>IF($B463="","",IF($K462="",$C$10,$K462)+IF($I463="",0,$I463)-IF($J463="",0,$J463))</f>
        <v/>
      </c>
      <c r="L463" s="22">
        <f>IF($N463&lt;&gt;"",IF(INDEX(PCNotes,$N463)="","—",INDEX(PCNotes,$N463)),IF($O463&lt;&gt;"",IF(INDEX(LdgNoteB,$O463)="","—",INDEX(LdgNoteB,$O463)),""))</f>
        <v/>
      </c>
      <c r="N463">
        <f>IFERROR(MATCH($C$5&amp;"|"&amp;RIGHT("000000"&amp;447,6),LdgRankKeyA,0),"")</f>
        <v/>
      </c>
      <c r="O463">
        <f>IFERROR(MATCH($C$5&amp;"|"&amp;RIGHT("000000"&amp;447,6),LdgRankKeyB,0),"")</f>
        <v/>
      </c>
    </row>
    <row r="464">
      <c r="A464" s="23" t="n">
        <v>448</v>
      </c>
      <c r="B464" s="24">
        <f>IF(AND($N464="",$O464=""),"",IF($N464&lt;&gt;"",INDEX(PCNormDate,$N464),INDEX(LdgDateB,$O464)))</f>
        <v/>
      </c>
      <c r="C464" s="24">
        <f>IF($N464&lt;&gt;"",INDEX(PCOp,$N464),IF($O464&lt;&gt;"",IF(N(INDEX(TxnDepB,$O464))&gt;0,"دریافت بانکی","پرداخت بانکی"),""))</f>
        <v/>
      </c>
      <c r="D464" s="24">
        <f>IF($N464&lt;&gt;"",IF(INDEX(PCDoc,$N464)="","—",INDEX(PCDoc,$N464)),IF($O464&lt;&gt;"",INDEX(LdgBankB,$O464),""))</f>
        <v/>
      </c>
      <c r="E464" s="24">
        <f>IF($N464&lt;&gt;"",IF(INDEX(PCCitrus,$N464)="","—",INDEX(PCCitrus,$N464)),"")</f>
        <v/>
      </c>
      <c r="F464" s="25">
        <f>IF($N464&lt;&gt;"",IF(INDEX(PCScale,$N464)=0,"",INDEX(PCScale,$N464)),"")</f>
        <v/>
      </c>
      <c r="G464" s="25">
        <f>IF($N464&lt;&gt;"",IF(INDEX(PCBaskets,$N464)=0,"",INDEX(PCBaskets,$N464)),"")</f>
        <v/>
      </c>
      <c r="H464" s="26">
        <f>IF($N464&lt;&gt;"",IF(INDEX(PCNet,$N464)=0,"",INDEX(PCNet,$N464)),"")</f>
        <v/>
      </c>
      <c r="I464" s="25">
        <f>IF($N464&lt;&gt;"",IF(INDEX(PCOp,$N464)="مرجوعی خرید","",IF(INDEX(PCAmount,$N464)&lt;=0,"",INDEX(PCAmount,$N464))),IF($O464&lt;&gt;"",IF(INDEX(TxnDepB,$O464)=0,"",INDEX(TxnDepB,$O464)),""))</f>
        <v/>
      </c>
      <c r="J464" s="25">
        <f>IF($N464&lt;&gt;"",IF(INDEX(PCOp,$N464)="مرجوعی خرید",IF(INDEX(PCAmount,$N464)=0,"",-INDEX(PCAmount,$N464)),""),IF($O464&lt;&gt;"",IF(INDEX(TxnWitB,$O464)=0,"",INDEX(TxnWitB,$O464)),""))</f>
        <v/>
      </c>
      <c r="K464" s="27">
        <f>IF($B464="","",IF($K463="",$C$10,$K463)+IF($I464="",0,$I464)-IF($J464="",0,$J464))</f>
        <v/>
      </c>
      <c r="L464" s="28">
        <f>IF($N464&lt;&gt;"",IF(INDEX(PCNotes,$N464)="","—",INDEX(PCNotes,$N464)),IF($O464&lt;&gt;"",IF(INDEX(LdgNoteB,$O464)="","—",INDEX(LdgNoteB,$O464)),""))</f>
        <v/>
      </c>
      <c r="N464">
        <f>IFERROR(MATCH($C$5&amp;"|"&amp;RIGHT("000000"&amp;448,6),LdgRankKeyA,0),"")</f>
        <v/>
      </c>
      <c r="O464">
        <f>IFERROR(MATCH($C$5&amp;"|"&amp;RIGHT("000000"&amp;448,6),LdgRankKeyB,0),"")</f>
        <v/>
      </c>
    </row>
    <row r="465">
      <c r="A465" s="17" t="n">
        <v>449</v>
      </c>
      <c r="B465" s="18">
        <f>IF(AND($N465="",$O465=""),"",IF($N465&lt;&gt;"",INDEX(PCNormDate,$N465),INDEX(LdgDateB,$O465)))</f>
        <v/>
      </c>
      <c r="C465" s="18">
        <f>IF($N465&lt;&gt;"",INDEX(PCOp,$N465),IF($O465&lt;&gt;"",IF(N(INDEX(TxnDepB,$O465))&gt;0,"دریافت بانکی","پرداخت بانکی"),""))</f>
        <v/>
      </c>
      <c r="D465" s="18">
        <f>IF($N465&lt;&gt;"",IF(INDEX(PCDoc,$N465)="","—",INDEX(PCDoc,$N465)),IF($O465&lt;&gt;"",INDEX(LdgBankB,$O465),""))</f>
        <v/>
      </c>
      <c r="E465" s="18">
        <f>IF($N465&lt;&gt;"",IF(INDEX(PCCitrus,$N465)="","—",INDEX(PCCitrus,$N465)),"")</f>
        <v/>
      </c>
      <c r="F465" s="19">
        <f>IF($N465&lt;&gt;"",IF(INDEX(PCScale,$N465)=0,"",INDEX(PCScale,$N465)),"")</f>
        <v/>
      </c>
      <c r="G465" s="19">
        <f>IF($N465&lt;&gt;"",IF(INDEX(PCBaskets,$N465)=0,"",INDEX(PCBaskets,$N465)),"")</f>
        <v/>
      </c>
      <c r="H465" s="20">
        <f>IF($N465&lt;&gt;"",IF(INDEX(PCNet,$N465)=0,"",INDEX(PCNet,$N465)),"")</f>
        <v/>
      </c>
      <c r="I465" s="19">
        <f>IF($N465&lt;&gt;"",IF(INDEX(PCOp,$N465)="مرجوعی خرید","",IF(INDEX(PCAmount,$N465)&lt;=0,"",INDEX(PCAmount,$N465))),IF($O465&lt;&gt;"",IF(INDEX(TxnDepB,$O465)=0,"",INDEX(TxnDepB,$O465)),""))</f>
        <v/>
      </c>
      <c r="J465" s="19">
        <f>IF($N465&lt;&gt;"",IF(INDEX(PCOp,$N465)="مرجوعی خرید",IF(INDEX(PCAmount,$N465)=0,"",-INDEX(PCAmount,$N465)),""),IF($O465&lt;&gt;"",IF(INDEX(TxnWitB,$O465)=0,"",INDEX(TxnWitB,$O465)),""))</f>
        <v/>
      </c>
      <c r="K465" s="21">
        <f>IF($B465="","",IF($K464="",$C$10,$K464)+IF($I465="",0,$I465)-IF($J465="",0,$J465))</f>
        <v/>
      </c>
      <c r="L465" s="22">
        <f>IF($N465&lt;&gt;"",IF(INDEX(PCNotes,$N465)="","—",INDEX(PCNotes,$N465)),IF($O465&lt;&gt;"",IF(INDEX(LdgNoteB,$O465)="","—",INDEX(LdgNoteB,$O465)),""))</f>
        <v/>
      </c>
      <c r="N465">
        <f>IFERROR(MATCH($C$5&amp;"|"&amp;RIGHT("000000"&amp;449,6),LdgRankKeyA,0),"")</f>
        <v/>
      </c>
      <c r="O465">
        <f>IFERROR(MATCH($C$5&amp;"|"&amp;RIGHT("000000"&amp;449,6),LdgRankKeyB,0),"")</f>
        <v/>
      </c>
    </row>
    <row r="466">
      <c r="A466" s="23" t="n">
        <v>450</v>
      </c>
      <c r="B466" s="24">
        <f>IF(AND($N466="",$O466=""),"",IF($N466&lt;&gt;"",INDEX(PCNormDate,$N466),INDEX(LdgDateB,$O466)))</f>
        <v/>
      </c>
      <c r="C466" s="24">
        <f>IF($N466&lt;&gt;"",INDEX(PCOp,$N466),IF($O466&lt;&gt;"",IF(N(INDEX(TxnDepB,$O466))&gt;0,"دریافت بانکی","پرداخت بانکی"),""))</f>
        <v/>
      </c>
      <c r="D466" s="24">
        <f>IF($N466&lt;&gt;"",IF(INDEX(PCDoc,$N466)="","—",INDEX(PCDoc,$N466)),IF($O466&lt;&gt;"",INDEX(LdgBankB,$O466),""))</f>
        <v/>
      </c>
      <c r="E466" s="24">
        <f>IF($N466&lt;&gt;"",IF(INDEX(PCCitrus,$N466)="","—",INDEX(PCCitrus,$N466)),"")</f>
        <v/>
      </c>
      <c r="F466" s="25">
        <f>IF($N466&lt;&gt;"",IF(INDEX(PCScale,$N466)=0,"",INDEX(PCScale,$N466)),"")</f>
        <v/>
      </c>
      <c r="G466" s="25">
        <f>IF($N466&lt;&gt;"",IF(INDEX(PCBaskets,$N466)=0,"",INDEX(PCBaskets,$N466)),"")</f>
        <v/>
      </c>
      <c r="H466" s="26">
        <f>IF($N466&lt;&gt;"",IF(INDEX(PCNet,$N466)=0,"",INDEX(PCNet,$N466)),"")</f>
        <v/>
      </c>
      <c r="I466" s="25">
        <f>IF($N466&lt;&gt;"",IF(INDEX(PCOp,$N466)="مرجوعی خرید","",IF(INDEX(PCAmount,$N466)&lt;=0,"",INDEX(PCAmount,$N466))),IF($O466&lt;&gt;"",IF(INDEX(TxnDepB,$O466)=0,"",INDEX(TxnDepB,$O466)),""))</f>
        <v/>
      </c>
      <c r="J466" s="25">
        <f>IF($N466&lt;&gt;"",IF(INDEX(PCOp,$N466)="مرجوعی خرید",IF(INDEX(PCAmount,$N466)=0,"",-INDEX(PCAmount,$N466)),""),IF($O466&lt;&gt;"",IF(INDEX(TxnWitB,$O466)=0,"",INDEX(TxnWitB,$O466)),""))</f>
        <v/>
      </c>
      <c r="K466" s="27">
        <f>IF($B466="","",IF($K465="",$C$10,$K465)+IF($I466="",0,$I466)-IF($J466="",0,$J466))</f>
        <v/>
      </c>
      <c r="L466" s="28">
        <f>IF($N466&lt;&gt;"",IF(INDEX(PCNotes,$N466)="","—",INDEX(PCNotes,$N466)),IF($O466&lt;&gt;"",IF(INDEX(LdgNoteB,$O466)="","—",INDEX(LdgNoteB,$O466)),""))</f>
        <v/>
      </c>
      <c r="N466">
        <f>IFERROR(MATCH($C$5&amp;"|"&amp;RIGHT("000000"&amp;450,6),LdgRankKeyA,0),"")</f>
        <v/>
      </c>
      <c r="O466">
        <f>IFERROR(MATCH($C$5&amp;"|"&amp;RIGHT("000000"&amp;450,6),LdgRankKeyB,0),"")</f>
        <v/>
      </c>
    </row>
    <row r="467">
      <c r="A467" s="17" t="n">
        <v>451</v>
      </c>
      <c r="B467" s="18">
        <f>IF(AND($N467="",$O467=""),"",IF($N467&lt;&gt;"",INDEX(PCNormDate,$N467),INDEX(LdgDateB,$O467)))</f>
        <v/>
      </c>
      <c r="C467" s="18">
        <f>IF($N467&lt;&gt;"",INDEX(PCOp,$N467),IF($O467&lt;&gt;"",IF(N(INDEX(TxnDepB,$O467))&gt;0,"دریافت بانکی","پرداخت بانکی"),""))</f>
        <v/>
      </c>
      <c r="D467" s="18">
        <f>IF($N467&lt;&gt;"",IF(INDEX(PCDoc,$N467)="","—",INDEX(PCDoc,$N467)),IF($O467&lt;&gt;"",INDEX(LdgBankB,$O467),""))</f>
        <v/>
      </c>
      <c r="E467" s="18">
        <f>IF($N467&lt;&gt;"",IF(INDEX(PCCitrus,$N467)="","—",INDEX(PCCitrus,$N467)),"")</f>
        <v/>
      </c>
      <c r="F467" s="19">
        <f>IF($N467&lt;&gt;"",IF(INDEX(PCScale,$N467)=0,"",INDEX(PCScale,$N467)),"")</f>
        <v/>
      </c>
      <c r="G467" s="19">
        <f>IF($N467&lt;&gt;"",IF(INDEX(PCBaskets,$N467)=0,"",INDEX(PCBaskets,$N467)),"")</f>
        <v/>
      </c>
      <c r="H467" s="20">
        <f>IF($N467&lt;&gt;"",IF(INDEX(PCNet,$N467)=0,"",INDEX(PCNet,$N467)),"")</f>
        <v/>
      </c>
      <c r="I467" s="19">
        <f>IF($N467&lt;&gt;"",IF(INDEX(PCOp,$N467)="مرجوعی خرید","",IF(INDEX(PCAmount,$N467)&lt;=0,"",INDEX(PCAmount,$N467))),IF($O467&lt;&gt;"",IF(INDEX(TxnDepB,$O467)=0,"",INDEX(TxnDepB,$O467)),""))</f>
        <v/>
      </c>
      <c r="J467" s="19">
        <f>IF($N467&lt;&gt;"",IF(INDEX(PCOp,$N467)="مرجوعی خرید",IF(INDEX(PCAmount,$N467)=0,"",-INDEX(PCAmount,$N467)),""),IF($O467&lt;&gt;"",IF(INDEX(TxnWitB,$O467)=0,"",INDEX(TxnWitB,$O467)),""))</f>
        <v/>
      </c>
      <c r="K467" s="21">
        <f>IF($B467="","",IF($K466="",$C$10,$K466)+IF($I467="",0,$I467)-IF($J467="",0,$J467))</f>
        <v/>
      </c>
      <c r="L467" s="22">
        <f>IF($N467&lt;&gt;"",IF(INDEX(PCNotes,$N467)="","—",INDEX(PCNotes,$N467)),IF($O467&lt;&gt;"",IF(INDEX(LdgNoteB,$O467)="","—",INDEX(LdgNoteB,$O467)),""))</f>
        <v/>
      </c>
      <c r="N467">
        <f>IFERROR(MATCH($C$5&amp;"|"&amp;RIGHT("000000"&amp;451,6),LdgRankKeyA,0),"")</f>
        <v/>
      </c>
      <c r="O467">
        <f>IFERROR(MATCH($C$5&amp;"|"&amp;RIGHT("000000"&amp;451,6),LdgRankKeyB,0),"")</f>
        <v/>
      </c>
    </row>
    <row r="468">
      <c r="A468" s="23" t="n">
        <v>452</v>
      </c>
      <c r="B468" s="24">
        <f>IF(AND($N468="",$O468=""),"",IF($N468&lt;&gt;"",INDEX(PCNormDate,$N468),INDEX(LdgDateB,$O468)))</f>
        <v/>
      </c>
      <c r="C468" s="24">
        <f>IF($N468&lt;&gt;"",INDEX(PCOp,$N468),IF($O468&lt;&gt;"",IF(N(INDEX(TxnDepB,$O468))&gt;0,"دریافت بانکی","پرداخت بانکی"),""))</f>
        <v/>
      </c>
      <c r="D468" s="24">
        <f>IF($N468&lt;&gt;"",IF(INDEX(PCDoc,$N468)="","—",INDEX(PCDoc,$N468)),IF($O468&lt;&gt;"",INDEX(LdgBankB,$O468),""))</f>
        <v/>
      </c>
      <c r="E468" s="24">
        <f>IF($N468&lt;&gt;"",IF(INDEX(PCCitrus,$N468)="","—",INDEX(PCCitrus,$N468)),"")</f>
        <v/>
      </c>
      <c r="F468" s="25">
        <f>IF($N468&lt;&gt;"",IF(INDEX(PCScale,$N468)=0,"",INDEX(PCScale,$N468)),"")</f>
        <v/>
      </c>
      <c r="G468" s="25">
        <f>IF($N468&lt;&gt;"",IF(INDEX(PCBaskets,$N468)=0,"",INDEX(PCBaskets,$N468)),"")</f>
        <v/>
      </c>
      <c r="H468" s="26">
        <f>IF($N468&lt;&gt;"",IF(INDEX(PCNet,$N468)=0,"",INDEX(PCNet,$N468)),"")</f>
        <v/>
      </c>
      <c r="I468" s="25">
        <f>IF($N468&lt;&gt;"",IF(INDEX(PCOp,$N468)="مرجوعی خرید","",IF(INDEX(PCAmount,$N468)&lt;=0,"",INDEX(PCAmount,$N468))),IF($O468&lt;&gt;"",IF(INDEX(TxnDepB,$O468)=0,"",INDEX(TxnDepB,$O468)),""))</f>
        <v/>
      </c>
      <c r="J468" s="25">
        <f>IF($N468&lt;&gt;"",IF(INDEX(PCOp,$N468)="مرجوعی خرید",IF(INDEX(PCAmount,$N468)=0,"",-INDEX(PCAmount,$N468)),""),IF($O468&lt;&gt;"",IF(INDEX(TxnWitB,$O468)=0,"",INDEX(TxnWitB,$O468)),""))</f>
        <v/>
      </c>
      <c r="K468" s="27">
        <f>IF($B468="","",IF($K467="",$C$10,$K467)+IF($I468="",0,$I468)-IF($J468="",0,$J468))</f>
        <v/>
      </c>
      <c r="L468" s="28">
        <f>IF($N468&lt;&gt;"",IF(INDEX(PCNotes,$N468)="","—",INDEX(PCNotes,$N468)),IF($O468&lt;&gt;"",IF(INDEX(LdgNoteB,$O468)="","—",INDEX(LdgNoteB,$O468)),""))</f>
        <v/>
      </c>
      <c r="N468">
        <f>IFERROR(MATCH($C$5&amp;"|"&amp;RIGHT("000000"&amp;452,6),LdgRankKeyA,0),"")</f>
        <v/>
      </c>
      <c r="O468">
        <f>IFERROR(MATCH($C$5&amp;"|"&amp;RIGHT("000000"&amp;452,6),LdgRankKeyB,0),"")</f>
        <v/>
      </c>
    </row>
    <row r="469">
      <c r="A469" s="17" t="n">
        <v>453</v>
      </c>
      <c r="B469" s="18">
        <f>IF(AND($N469="",$O469=""),"",IF($N469&lt;&gt;"",INDEX(PCNormDate,$N469),INDEX(LdgDateB,$O469)))</f>
        <v/>
      </c>
      <c r="C469" s="18">
        <f>IF($N469&lt;&gt;"",INDEX(PCOp,$N469),IF($O469&lt;&gt;"",IF(N(INDEX(TxnDepB,$O469))&gt;0,"دریافت بانکی","پرداخت بانکی"),""))</f>
        <v/>
      </c>
      <c r="D469" s="18">
        <f>IF($N469&lt;&gt;"",IF(INDEX(PCDoc,$N469)="","—",INDEX(PCDoc,$N469)),IF($O469&lt;&gt;"",INDEX(LdgBankB,$O469),""))</f>
        <v/>
      </c>
      <c r="E469" s="18">
        <f>IF($N469&lt;&gt;"",IF(INDEX(PCCitrus,$N469)="","—",INDEX(PCCitrus,$N469)),"")</f>
        <v/>
      </c>
      <c r="F469" s="19">
        <f>IF($N469&lt;&gt;"",IF(INDEX(PCScale,$N469)=0,"",INDEX(PCScale,$N469)),"")</f>
        <v/>
      </c>
      <c r="G469" s="19">
        <f>IF($N469&lt;&gt;"",IF(INDEX(PCBaskets,$N469)=0,"",INDEX(PCBaskets,$N469)),"")</f>
        <v/>
      </c>
      <c r="H469" s="20">
        <f>IF($N469&lt;&gt;"",IF(INDEX(PCNet,$N469)=0,"",INDEX(PCNet,$N469)),"")</f>
        <v/>
      </c>
      <c r="I469" s="19">
        <f>IF($N469&lt;&gt;"",IF(INDEX(PCOp,$N469)="مرجوعی خرید","",IF(INDEX(PCAmount,$N469)&lt;=0,"",INDEX(PCAmount,$N469))),IF($O469&lt;&gt;"",IF(INDEX(TxnDepB,$O469)=0,"",INDEX(TxnDepB,$O469)),""))</f>
        <v/>
      </c>
      <c r="J469" s="19">
        <f>IF($N469&lt;&gt;"",IF(INDEX(PCOp,$N469)="مرجوعی خرید",IF(INDEX(PCAmount,$N469)=0,"",-INDEX(PCAmount,$N469)),""),IF($O469&lt;&gt;"",IF(INDEX(TxnWitB,$O469)=0,"",INDEX(TxnWitB,$O469)),""))</f>
        <v/>
      </c>
      <c r="K469" s="21">
        <f>IF($B469="","",IF($K468="",$C$10,$K468)+IF($I469="",0,$I469)-IF($J469="",0,$J469))</f>
        <v/>
      </c>
      <c r="L469" s="22">
        <f>IF($N469&lt;&gt;"",IF(INDEX(PCNotes,$N469)="","—",INDEX(PCNotes,$N469)),IF($O469&lt;&gt;"",IF(INDEX(LdgNoteB,$O469)="","—",INDEX(LdgNoteB,$O469)),""))</f>
        <v/>
      </c>
      <c r="N469">
        <f>IFERROR(MATCH($C$5&amp;"|"&amp;RIGHT("000000"&amp;453,6),LdgRankKeyA,0),"")</f>
        <v/>
      </c>
      <c r="O469">
        <f>IFERROR(MATCH($C$5&amp;"|"&amp;RIGHT("000000"&amp;453,6),LdgRankKeyB,0),"")</f>
        <v/>
      </c>
    </row>
    <row r="470">
      <c r="A470" s="23" t="n">
        <v>454</v>
      </c>
      <c r="B470" s="24">
        <f>IF(AND($N470="",$O470=""),"",IF($N470&lt;&gt;"",INDEX(PCNormDate,$N470),INDEX(LdgDateB,$O470)))</f>
        <v/>
      </c>
      <c r="C470" s="24">
        <f>IF($N470&lt;&gt;"",INDEX(PCOp,$N470),IF($O470&lt;&gt;"",IF(N(INDEX(TxnDepB,$O470))&gt;0,"دریافت بانکی","پرداخت بانکی"),""))</f>
        <v/>
      </c>
      <c r="D470" s="24">
        <f>IF($N470&lt;&gt;"",IF(INDEX(PCDoc,$N470)="","—",INDEX(PCDoc,$N470)),IF($O470&lt;&gt;"",INDEX(LdgBankB,$O470),""))</f>
        <v/>
      </c>
      <c r="E470" s="24">
        <f>IF($N470&lt;&gt;"",IF(INDEX(PCCitrus,$N470)="","—",INDEX(PCCitrus,$N470)),"")</f>
        <v/>
      </c>
      <c r="F470" s="25">
        <f>IF($N470&lt;&gt;"",IF(INDEX(PCScale,$N470)=0,"",INDEX(PCScale,$N470)),"")</f>
        <v/>
      </c>
      <c r="G470" s="25">
        <f>IF($N470&lt;&gt;"",IF(INDEX(PCBaskets,$N470)=0,"",INDEX(PCBaskets,$N470)),"")</f>
        <v/>
      </c>
      <c r="H470" s="26">
        <f>IF($N470&lt;&gt;"",IF(INDEX(PCNet,$N470)=0,"",INDEX(PCNet,$N470)),"")</f>
        <v/>
      </c>
      <c r="I470" s="25">
        <f>IF($N470&lt;&gt;"",IF(INDEX(PCOp,$N470)="مرجوعی خرید","",IF(INDEX(PCAmount,$N470)&lt;=0,"",INDEX(PCAmount,$N470))),IF($O470&lt;&gt;"",IF(INDEX(TxnDepB,$O470)=0,"",INDEX(TxnDepB,$O470)),""))</f>
        <v/>
      </c>
      <c r="J470" s="25">
        <f>IF($N470&lt;&gt;"",IF(INDEX(PCOp,$N470)="مرجوعی خرید",IF(INDEX(PCAmount,$N470)=0,"",-INDEX(PCAmount,$N470)),""),IF($O470&lt;&gt;"",IF(INDEX(TxnWitB,$O470)=0,"",INDEX(TxnWitB,$O470)),""))</f>
        <v/>
      </c>
      <c r="K470" s="27">
        <f>IF($B470="","",IF($K469="",$C$10,$K469)+IF($I470="",0,$I470)-IF($J470="",0,$J470))</f>
        <v/>
      </c>
      <c r="L470" s="28">
        <f>IF($N470&lt;&gt;"",IF(INDEX(PCNotes,$N470)="","—",INDEX(PCNotes,$N470)),IF($O470&lt;&gt;"",IF(INDEX(LdgNoteB,$O470)="","—",INDEX(LdgNoteB,$O470)),""))</f>
        <v/>
      </c>
      <c r="N470">
        <f>IFERROR(MATCH($C$5&amp;"|"&amp;RIGHT("000000"&amp;454,6),LdgRankKeyA,0),"")</f>
        <v/>
      </c>
      <c r="O470">
        <f>IFERROR(MATCH($C$5&amp;"|"&amp;RIGHT("000000"&amp;454,6),LdgRankKeyB,0),"")</f>
        <v/>
      </c>
    </row>
    <row r="471">
      <c r="A471" s="17" t="n">
        <v>455</v>
      </c>
      <c r="B471" s="18">
        <f>IF(AND($N471="",$O471=""),"",IF($N471&lt;&gt;"",INDEX(PCNormDate,$N471),INDEX(LdgDateB,$O471)))</f>
        <v/>
      </c>
      <c r="C471" s="18">
        <f>IF($N471&lt;&gt;"",INDEX(PCOp,$N471),IF($O471&lt;&gt;"",IF(N(INDEX(TxnDepB,$O471))&gt;0,"دریافت بانکی","پرداخت بانکی"),""))</f>
        <v/>
      </c>
      <c r="D471" s="18">
        <f>IF($N471&lt;&gt;"",IF(INDEX(PCDoc,$N471)="","—",INDEX(PCDoc,$N471)),IF($O471&lt;&gt;"",INDEX(LdgBankB,$O471),""))</f>
        <v/>
      </c>
      <c r="E471" s="18">
        <f>IF($N471&lt;&gt;"",IF(INDEX(PCCitrus,$N471)="","—",INDEX(PCCitrus,$N471)),"")</f>
        <v/>
      </c>
      <c r="F471" s="19">
        <f>IF($N471&lt;&gt;"",IF(INDEX(PCScale,$N471)=0,"",INDEX(PCScale,$N471)),"")</f>
        <v/>
      </c>
      <c r="G471" s="19">
        <f>IF($N471&lt;&gt;"",IF(INDEX(PCBaskets,$N471)=0,"",INDEX(PCBaskets,$N471)),"")</f>
        <v/>
      </c>
      <c r="H471" s="20">
        <f>IF($N471&lt;&gt;"",IF(INDEX(PCNet,$N471)=0,"",INDEX(PCNet,$N471)),"")</f>
        <v/>
      </c>
      <c r="I471" s="19">
        <f>IF($N471&lt;&gt;"",IF(INDEX(PCOp,$N471)="مرجوعی خرید","",IF(INDEX(PCAmount,$N471)&lt;=0,"",INDEX(PCAmount,$N471))),IF($O471&lt;&gt;"",IF(INDEX(TxnDepB,$O471)=0,"",INDEX(TxnDepB,$O471)),""))</f>
        <v/>
      </c>
      <c r="J471" s="19">
        <f>IF($N471&lt;&gt;"",IF(INDEX(PCOp,$N471)="مرجوعی خرید",IF(INDEX(PCAmount,$N471)=0,"",-INDEX(PCAmount,$N471)),""),IF($O471&lt;&gt;"",IF(INDEX(TxnWitB,$O471)=0,"",INDEX(TxnWitB,$O471)),""))</f>
        <v/>
      </c>
      <c r="K471" s="21">
        <f>IF($B471="","",IF($K470="",$C$10,$K470)+IF($I471="",0,$I471)-IF($J471="",0,$J471))</f>
        <v/>
      </c>
      <c r="L471" s="22">
        <f>IF($N471&lt;&gt;"",IF(INDEX(PCNotes,$N471)="","—",INDEX(PCNotes,$N471)),IF($O471&lt;&gt;"",IF(INDEX(LdgNoteB,$O471)="","—",INDEX(LdgNoteB,$O471)),""))</f>
        <v/>
      </c>
      <c r="N471">
        <f>IFERROR(MATCH($C$5&amp;"|"&amp;RIGHT("000000"&amp;455,6),LdgRankKeyA,0),"")</f>
        <v/>
      </c>
      <c r="O471">
        <f>IFERROR(MATCH($C$5&amp;"|"&amp;RIGHT("000000"&amp;455,6),LdgRankKeyB,0),"")</f>
        <v/>
      </c>
    </row>
    <row r="472">
      <c r="A472" s="23" t="n">
        <v>456</v>
      </c>
      <c r="B472" s="24">
        <f>IF(AND($N472="",$O472=""),"",IF($N472&lt;&gt;"",INDEX(PCNormDate,$N472),INDEX(LdgDateB,$O472)))</f>
        <v/>
      </c>
      <c r="C472" s="24">
        <f>IF($N472&lt;&gt;"",INDEX(PCOp,$N472),IF($O472&lt;&gt;"",IF(N(INDEX(TxnDepB,$O472))&gt;0,"دریافت بانکی","پرداخت بانکی"),""))</f>
        <v/>
      </c>
      <c r="D472" s="24">
        <f>IF($N472&lt;&gt;"",IF(INDEX(PCDoc,$N472)="","—",INDEX(PCDoc,$N472)),IF($O472&lt;&gt;"",INDEX(LdgBankB,$O472),""))</f>
        <v/>
      </c>
      <c r="E472" s="24">
        <f>IF($N472&lt;&gt;"",IF(INDEX(PCCitrus,$N472)="","—",INDEX(PCCitrus,$N472)),"")</f>
        <v/>
      </c>
      <c r="F472" s="25">
        <f>IF($N472&lt;&gt;"",IF(INDEX(PCScale,$N472)=0,"",INDEX(PCScale,$N472)),"")</f>
        <v/>
      </c>
      <c r="G472" s="25">
        <f>IF($N472&lt;&gt;"",IF(INDEX(PCBaskets,$N472)=0,"",INDEX(PCBaskets,$N472)),"")</f>
        <v/>
      </c>
      <c r="H472" s="26">
        <f>IF($N472&lt;&gt;"",IF(INDEX(PCNet,$N472)=0,"",INDEX(PCNet,$N472)),"")</f>
        <v/>
      </c>
      <c r="I472" s="25">
        <f>IF($N472&lt;&gt;"",IF(INDEX(PCOp,$N472)="مرجوعی خرید","",IF(INDEX(PCAmount,$N472)&lt;=0,"",INDEX(PCAmount,$N472))),IF($O472&lt;&gt;"",IF(INDEX(TxnDepB,$O472)=0,"",INDEX(TxnDepB,$O472)),""))</f>
        <v/>
      </c>
      <c r="J472" s="25">
        <f>IF($N472&lt;&gt;"",IF(INDEX(PCOp,$N472)="مرجوعی خرید",IF(INDEX(PCAmount,$N472)=0,"",-INDEX(PCAmount,$N472)),""),IF($O472&lt;&gt;"",IF(INDEX(TxnWitB,$O472)=0,"",INDEX(TxnWitB,$O472)),""))</f>
        <v/>
      </c>
      <c r="K472" s="27">
        <f>IF($B472="","",IF($K471="",$C$10,$K471)+IF($I472="",0,$I472)-IF($J472="",0,$J472))</f>
        <v/>
      </c>
      <c r="L472" s="28">
        <f>IF($N472&lt;&gt;"",IF(INDEX(PCNotes,$N472)="","—",INDEX(PCNotes,$N472)),IF($O472&lt;&gt;"",IF(INDEX(LdgNoteB,$O472)="","—",INDEX(LdgNoteB,$O472)),""))</f>
        <v/>
      </c>
      <c r="N472">
        <f>IFERROR(MATCH($C$5&amp;"|"&amp;RIGHT("000000"&amp;456,6),LdgRankKeyA,0),"")</f>
        <v/>
      </c>
      <c r="O472">
        <f>IFERROR(MATCH($C$5&amp;"|"&amp;RIGHT("000000"&amp;456,6),LdgRankKeyB,0),"")</f>
        <v/>
      </c>
    </row>
    <row r="473">
      <c r="A473" s="17" t="n">
        <v>457</v>
      </c>
      <c r="B473" s="18">
        <f>IF(AND($N473="",$O473=""),"",IF($N473&lt;&gt;"",INDEX(PCNormDate,$N473),INDEX(LdgDateB,$O473)))</f>
        <v/>
      </c>
      <c r="C473" s="18">
        <f>IF($N473&lt;&gt;"",INDEX(PCOp,$N473),IF($O473&lt;&gt;"",IF(N(INDEX(TxnDepB,$O473))&gt;0,"دریافت بانکی","پرداخت بانکی"),""))</f>
        <v/>
      </c>
      <c r="D473" s="18">
        <f>IF($N473&lt;&gt;"",IF(INDEX(PCDoc,$N473)="","—",INDEX(PCDoc,$N473)),IF($O473&lt;&gt;"",INDEX(LdgBankB,$O473),""))</f>
        <v/>
      </c>
      <c r="E473" s="18">
        <f>IF($N473&lt;&gt;"",IF(INDEX(PCCitrus,$N473)="","—",INDEX(PCCitrus,$N473)),"")</f>
        <v/>
      </c>
      <c r="F473" s="19">
        <f>IF($N473&lt;&gt;"",IF(INDEX(PCScale,$N473)=0,"",INDEX(PCScale,$N473)),"")</f>
        <v/>
      </c>
      <c r="G473" s="19">
        <f>IF($N473&lt;&gt;"",IF(INDEX(PCBaskets,$N473)=0,"",INDEX(PCBaskets,$N473)),"")</f>
        <v/>
      </c>
      <c r="H473" s="20">
        <f>IF($N473&lt;&gt;"",IF(INDEX(PCNet,$N473)=0,"",INDEX(PCNet,$N473)),"")</f>
        <v/>
      </c>
      <c r="I473" s="19">
        <f>IF($N473&lt;&gt;"",IF(INDEX(PCOp,$N473)="مرجوعی خرید","",IF(INDEX(PCAmount,$N473)&lt;=0,"",INDEX(PCAmount,$N473))),IF($O473&lt;&gt;"",IF(INDEX(TxnDepB,$O473)=0,"",INDEX(TxnDepB,$O473)),""))</f>
        <v/>
      </c>
      <c r="J473" s="19">
        <f>IF($N473&lt;&gt;"",IF(INDEX(PCOp,$N473)="مرجوعی خرید",IF(INDEX(PCAmount,$N473)=0,"",-INDEX(PCAmount,$N473)),""),IF($O473&lt;&gt;"",IF(INDEX(TxnWitB,$O473)=0,"",INDEX(TxnWitB,$O473)),""))</f>
        <v/>
      </c>
      <c r="K473" s="21">
        <f>IF($B473="","",IF($K472="",$C$10,$K472)+IF($I473="",0,$I473)-IF($J473="",0,$J473))</f>
        <v/>
      </c>
      <c r="L473" s="22">
        <f>IF($N473&lt;&gt;"",IF(INDEX(PCNotes,$N473)="","—",INDEX(PCNotes,$N473)),IF($O473&lt;&gt;"",IF(INDEX(LdgNoteB,$O473)="","—",INDEX(LdgNoteB,$O473)),""))</f>
        <v/>
      </c>
      <c r="N473">
        <f>IFERROR(MATCH($C$5&amp;"|"&amp;RIGHT("000000"&amp;457,6),LdgRankKeyA,0),"")</f>
        <v/>
      </c>
      <c r="O473">
        <f>IFERROR(MATCH($C$5&amp;"|"&amp;RIGHT("000000"&amp;457,6),LdgRankKeyB,0),"")</f>
        <v/>
      </c>
    </row>
    <row r="474">
      <c r="A474" s="23" t="n">
        <v>458</v>
      </c>
      <c r="B474" s="24">
        <f>IF(AND($N474="",$O474=""),"",IF($N474&lt;&gt;"",INDEX(PCNormDate,$N474),INDEX(LdgDateB,$O474)))</f>
        <v/>
      </c>
      <c r="C474" s="24">
        <f>IF($N474&lt;&gt;"",INDEX(PCOp,$N474),IF($O474&lt;&gt;"",IF(N(INDEX(TxnDepB,$O474))&gt;0,"دریافت بانکی","پرداخت بانکی"),""))</f>
        <v/>
      </c>
      <c r="D474" s="24">
        <f>IF($N474&lt;&gt;"",IF(INDEX(PCDoc,$N474)="","—",INDEX(PCDoc,$N474)),IF($O474&lt;&gt;"",INDEX(LdgBankB,$O474),""))</f>
        <v/>
      </c>
      <c r="E474" s="24">
        <f>IF($N474&lt;&gt;"",IF(INDEX(PCCitrus,$N474)="","—",INDEX(PCCitrus,$N474)),"")</f>
        <v/>
      </c>
      <c r="F474" s="25">
        <f>IF($N474&lt;&gt;"",IF(INDEX(PCScale,$N474)=0,"",INDEX(PCScale,$N474)),"")</f>
        <v/>
      </c>
      <c r="G474" s="25">
        <f>IF($N474&lt;&gt;"",IF(INDEX(PCBaskets,$N474)=0,"",INDEX(PCBaskets,$N474)),"")</f>
        <v/>
      </c>
      <c r="H474" s="26">
        <f>IF($N474&lt;&gt;"",IF(INDEX(PCNet,$N474)=0,"",INDEX(PCNet,$N474)),"")</f>
        <v/>
      </c>
      <c r="I474" s="25">
        <f>IF($N474&lt;&gt;"",IF(INDEX(PCOp,$N474)="مرجوعی خرید","",IF(INDEX(PCAmount,$N474)&lt;=0,"",INDEX(PCAmount,$N474))),IF($O474&lt;&gt;"",IF(INDEX(TxnDepB,$O474)=0,"",INDEX(TxnDepB,$O474)),""))</f>
        <v/>
      </c>
      <c r="J474" s="25">
        <f>IF($N474&lt;&gt;"",IF(INDEX(PCOp,$N474)="مرجوعی خرید",IF(INDEX(PCAmount,$N474)=0,"",-INDEX(PCAmount,$N474)),""),IF($O474&lt;&gt;"",IF(INDEX(TxnWitB,$O474)=0,"",INDEX(TxnWitB,$O474)),""))</f>
        <v/>
      </c>
      <c r="K474" s="27">
        <f>IF($B474="","",IF($K473="",$C$10,$K473)+IF($I474="",0,$I474)-IF($J474="",0,$J474))</f>
        <v/>
      </c>
      <c r="L474" s="28">
        <f>IF($N474&lt;&gt;"",IF(INDEX(PCNotes,$N474)="","—",INDEX(PCNotes,$N474)),IF($O474&lt;&gt;"",IF(INDEX(LdgNoteB,$O474)="","—",INDEX(LdgNoteB,$O474)),""))</f>
        <v/>
      </c>
      <c r="N474">
        <f>IFERROR(MATCH($C$5&amp;"|"&amp;RIGHT("000000"&amp;458,6),LdgRankKeyA,0),"")</f>
        <v/>
      </c>
      <c r="O474">
        <f>IFERROR(MATCH($C$5&amp;"|"&amp;RIGHT("000000"&amp;458,6),LdgRankKeyB,0),"")</f>
        <v/>
      </c>
    </row>
    <row r="475">
      <c r="A475" s="17" t="n">
        <v>459</v>
      </c>
      <c r="B475" s="18">
        <f>IF(AND($N475="",$O475=""),"",IF($N475&lt;&gt;"",INDEX(PCNormDate,$N475),INDEX(LdgDateB,$O475)))</f>
        <v/>
      </c>
      <c r="C475" s="18">
        <f>IF($N475&lt;&gt;"",INDEX(PCOp,$N475),IF($O475&lt;&gt;"",IF(N(INDEX(TxnDepB,$O475))&gt;0,"دریافت بانکی","پرداخت بانکی"),""))</f>
        <v/>
      </c>
      <c r="D475" s="18">
        <f>IF($N475&lt;&gt;"",IF(INDEX(PCDoc,$N475)="","—",INDEX(PCDoc,$N475)),IF($O475&lt;&gt;"",INDEX(LdgBankB,$O475),""))</f>
        <v/>
      </c>
      <c r="E475" s="18">
        <f>IF($N475&lt;&gt;"",IF(INDEX(PCCitrus,$N475)="","—",INDEX(PCCitrus,$N475)),"")</f>
        <v/>
      </c>
      <c r="F475" s="19">
        <f>IF($N475&lt;&gt;"",IF(INDEX(PCScale,$N475)=0,"",INDEX(PCScale,$N475)),"")</f>
        <v/>
      </c>
      <c r="G475" s="19">
        <f>IF($N475&lt;&gt;"",IF(INDEX(PCBaskets,$N475)=0,"",INDEX(PCBaskets,$N475)),"")</f>
        <v/>
      </c>
      <c r="H475" s="20">
        <f>IF($N475&lt;&gt;"",IF(INDEX(PCNet,$N475)=0,"",INDEX(PCNet,$N475)),"")</f>
        <v/>
      </c>
      <c r="I475" s="19">
        <f>IF($N475&lt;&gt;"",IF(INDEX(PCOp,$N475)="مرجوعی خرید","",IF(INDEX(PCAmount,$N475)&lt;=0,"",INDEX(PCAmount,$N475))),IF($O475&lt;&gt;"",IF(INDEX(TxnDepB,$O475)=0,"",INDEX(TxnDepB,$O475)),""))</f>
        <v/>
      </c>
      <c r="J475" s="19">
        <f>IF($N475&lt;&gt;"",IF(INDEX(PCOp,$N475)="مرجوعی خرید",IF(INDEX(PCAmount,$N475)=0,"",-INDEX(PCAmount,$N475)),""),IF($O475&lt;&gt;"",IF(INDEX(TxnWitB,$O475)=0,"",INDEX(TxnWitB,$O475)),""))</f>
        <v/>
      </c>
      <c r="K475" s="21">
        <f>IF($B475="","",IF($K474="",$C$10,$K474)+IF($I475="",0,$I475)-IF($J475="",0,$J475))</f>
        <v/>
      </c>
      <c r="L475" s="22">
        <f>IF($N475&lt;&gt;"",IF(INDEX(PCNotes,$N475)="","—",INDEX(PCNotes,$N475)),IF($O475&lt;&gt;"",IF(INDEX(LdgNoteB,$O475)="","—",INDEX(LdgNoteB,$O475)),""))</f>
        <v/>
      </c>
      <c r="N475">
        <f>IFERROR(MATCH($C$5&amp;"|"&amp;RIGHT("000000"&amp;459,6),LdgRankKeyA,0),"")</f>
        <v/>
      </c>
      <c r="O475">
        <f>IFERROR(MATCH($C$5&amp;"|"&amp;RIGHT("000000"&amp;459,6),LdgRankKeyB,0),"")</f>
        <v/>
      </c>
    </row>
    <row r="476">
      <c r="A476" s="23" t="n">
        <v>460</v>
      </c>
      <c r="B476" s="24">
        <f>IF(AND($N476="",$O476=""),"",IF($N476&lt;&gt;"",INDEX(PCNormDate,$N476),INDEX(LdgDateB,$O476)))</f>
        <v/>
      </c>
      <c r="C476" s="24">
        <f>IF($N476&lt;&gt;"",INDEX(PCOp,$N476),IF($O476&lt;&gt;"",IF(N(INDEX(TxnDepB,$O476))&gt;0,"دریافت بانکی","پرداخت بانکی"),""))</f>
        <v/>
      </c>
      <c r="D476" s="24">
        <f>IF($N476&lt;&gt;"",IF(INDEX(PCDoc,$N476)="","—",INDEX(PCDoc,$N476)),IF($O476&lt;&gt;"",INDEX(LdgBankB,$O476),""))</f>
        <v/>
      </c>
      <c r="E476" s="24">
        <f>IF($N476&lt;&gt;"",IF(INDEX(PCCitrus,$N476)="","—",INDEX(PCCitrus,$N476)),"")</f>
        <v/>
      </c>
      <c r="F476" s="25">
        <f>IF($N476&lt;&gt;"",IF(INDEX(PCScale,$N476)=0,"",INDEX(PCScale,$N476)),"")</f>
        <v/>
      </c>
      <c r="G476" s="25">
        <f>IF($N476&lt;&gt;"",IF(INDEX(PCBaskets,$N476)=0,"",INDEX(PCBaskets,$N476)),"")</f>
        <v/>
      </c>
      <c r="H476" s="26">
        <f>IF($N476&lt;&gt;"",IF(INDEX(PCNet,$N476)=0,"",INDEX(PCNet,$N476)),"")</f>
        <v/>
      </c>
      <c r="I476" s="25">
        <f>IF($N476&lt;&gt;"",IF(INDEX(PCOp,$N476)="مرجوعی خرید","",IF(INDEX(PCAmount,$N476)&lt;=0,"",INDEX(PCAmount,$N476))),IF($O476&lt;&gt;"",IF(INDEX(TxnDepB,$O476)=0,"",INDEX(TxnDepB,$O476)),""))</f>
        <v/>
      </c>
      <c r="J476" s="25">
        <f>IF($N476&lt;&gt;"",IF(INDEX(PCOp,$N476)="مرجوعی خرید",IF(INDEX(PCAmount,$N476)=0,"",-INDEX(PCAmount,$N476)),""),IF($O476&lt;&gt;"",IF(INDEX(TxnWitB,$O476)=0,"",INDEX(TxnWitB,$O476)),""))</f>
        <v/>
      </c>
      <c r="K476" s="27">
        <f>IF($B476="","",IF($K475="",$C$10,$K475)+IF($I476="",0,$I476)-IF($J476="",0,$J476))</f>
        <v/>
      </c>
      <c r="L476" s="28">
        <f>IF($N476&lt;&gt;"",IF(INDEX(PCNotes,$N476)="","—",INDEX(PCNotes,$N476)),IF($O476&lt;&gt;"",IF(INDEX(LdgNoteB,$O476)="","—",INDEX(LdgNoteB,$O476)),""))</f>
        <v/>
      </c>
      <c r="N476">
        <f>IFERROR(MATCH($C$5&amp;"|"&amp;RIGHT("000000"&amp;460,6),LdgRankKeyA,0),"")</f>
        <v/>
      </c>
      <c r="O476">
        <f>IFERROR(MATCH($C$5&amp;"|"&amp;RIGHT("000000"&amp;460,6),LdgRankKeyB,0),"")</f>
        <v/>
      </c>
    </row>
    <row r="477">
      <c r="A477" s="17" t="n">
        <v>461</v>
      </c>
      <c r="B477" s="18">
        <f>IF(AND($N477="",$O477=""),"",IF($N477&lt;&gt;"",INDEX(PCNormDate,$N477),INDEX(LdgDateB,$O477)))</f>
        <v/>
      </c>
      <c r="C477" s="18">
        <f>IF($N477&lt;&gt;"",INDEX(PCOp,$N477),IF($O477&lt;&gt;"",IF(N(INDEX(TxnDepB,$O477))&gt;0,"دریافت بانکی","پرداخت بانکی"),""))</f>
        <v/>
      </c>
      <c r="D477" s="18">
        <f>IF($N477&lt;&gt;"",IF(INDEX(PCDoc,$N477)="","—",INDEX(PCDoc,$N477)),IF($O477&lt;&gt;"",INDEX(LdgBankB,$O477),""))</f>
        <v/>
      </c>
      <c r="E477" s="18">
        <f>IF($N477&lt;&gt;"",IF(INDEX(PCCitrus,$N477)="","—",INDEX(PCCitrus,$N477)),"")</f>
        <v/>
      </c>
      <c r="F477" s="19">
        <f>IF($N477&lt;&gt;"",IF(INDEX(PCScale,$N477)=0,"",INDEX(PCScale,$N477)),"")</f>
        <v/>
      </c>
      <c r="G477" s="19">
        <f>IF($N477&lt;&gt;"",IF(INDEX(PCBaskets,$N477)=0,"",INDEX(PCBaskets,$N477)),"")</f>
        <v/>
      </c>
      <c r="H477" s="20">
        <f>IF($N477&lt;&gt;"",IF(INDEX(PCNet,$N477)=0,"",INDEX(PCNet,$N477)),"")</f>
        <v/>
      </c>
      <c r="I477" s="19">
        <f>IF($N477&lt;&gt;"",IF(INDEX(PCOp,$N477)="مرجوعی خرید","",IF(INDEX(PCAmount,$N477)&lt;=0,"",INDEX(PCAmount,$N477))),IF($O477&lt;&gt;"",IF(INDEX(TxnDepB,$O477)=0,"",INDEX(TxnDepB,$O477)),""))</f>
        <v/>
      </c>
      <c r="J477" s="19">
        <f>IF($N477&lt;&gt;"",IF(INDEX(PCOp,$N477)="مرجوعی خرید",IF(INDEX(PCAmount,$N477)=0,"",-INDEX(PCAmount,$N477)),""),IF($O477&lt;&gt;"",IF(INDEX(TxnWitB,$O477)=0,"",INDEX(TxnWitB,$O477)),""))</f>
        <v/>
      </c>
      <c r="K477" s="21">
        <f>IF($B477="","",IF($K476="",$C$10,$K476)+IF($I477="",0,$I477)-IF($J477="",0,$J477))</f>
        <v/>
      </c>
      <c r="L477" s="22">
        <f>IF($N477&lt;&gt;"",IF(INDEX(PCNotes,$N477)="","—",INDEX(PCNotes,$N477)),IF($O477&lt;&gt;"",IF(INDEX(LdgNoteB,$O477)="","—",INDEX(LdgNoteB,$O477)),""))</f>
        <v/>
      </c>
      <c r="N477">
        <f>IFERROR(MATCH($C$5&amp;"|"&amp;RIGHT("000000"&amp;461,6),LdgRankKeyA,0),"")</f>
        <v/>
      </c>
      <c r="O477">
        <f>IFERROR(MATCH($C$5&amp;"|"&amp;RIGHT("000000"&amp;461,6),LdgRankKeyB,0),"")</f>
        <v/>
      </c>
    </row>
    <row r="478">
      <c r="A478" s="23" t="n">
        <v>462</v>
      </c>
      <c r="B478" s="24">
        <f>IF(AND($N478="",$O478=""),"",IF($N478&lt;&gt;"",INDEX(PCNormDate,$N478),INDEX(LdgDateB,$O478)))</f>
        <v/>
      </c>
      <c r="C478" s="24">
        <f>IF($N478&lt;&gt;"",INDEX(PCOp,$N478),IF($O478&lt;&gt;"",IF(N(INDEX(TxnDepB,$O478))&gt;0,"دریافت بانکی","پرداخت بانکی"),""))</f>
        <v/>
      </c>
      <c r="D478" s="24">
        <f>IF($N478&lt;&gt;"",IF(INDEX(PCDoc,$N478)="","—",INDEX(PCDoc,$N478)),IF($O478&lt;&gt;"",INDEX(LdgBankB,$O478),""))</f>
        <v/>
      </c>
      <c r="E478" s="24">
        <f>IF($N478&lt;&gt;"",IF(INDEX(PCCitrus,$N478)="","—",INDEX(PCCitrus,$N478)),"")</f>
        <v/>
      </c>
      <c r="F478" s="25">
        <f>IF($N478&lt;&gt;"",IF(INDEX(PCScale,$N478)=0,"",INDEX(PCScale,$N478)),"")</f>
        <v/>
      </c>
      <c r="G478" s="25">
        <f>IF($N478&lt;&gt;"",IF(INDEX(PCBaskets,$N478)=0,"",INDEX(PCBaskets,$N478)),"")</f>
        <v/>
      </c>
      <c r="H478" s="26">
        <f>IF($N478&lt;&gt;"",IF(INDEX(PCNet,$N478)=0,"",INDEX(PCNet,$N478)),"")</f>
        <v/>
      </c>
      <c r="I478" s="25">
        <f>IF($N478&lt;&gt;"",IF(INDEX(PCOp,$N478)="مرجوعی خرید","",IF(INDEX(PCAmount,$N478)&lt;=0,"",INDEX(PCAmount,$N478))),IF($O478&lt;&gt;"",IF(INDEX(TxnDepB,$O478)=0,"",INDEX(TxnDepB,$O478)),""))</f>
        <v/>
      </c>
      <c r="J478" s="25">
        <f>IF($N478&lt;&gt;"",IF(INDEX(PCOp,$N478)="مرجوعی خرید",IF(INDEX(PCAmount,$N478)=0,"",-INDEX(PCAmount,$N478)),""),IF($O478&lt;&gt;"",IF(INDEX(TxnWitB,$O478)=0,"",INDEX(TxnWitB,$O478)),""))</f>
        <v/>
      </c>
      <c r="K478" s="27">
        <f>IF($B478="","",IF($K477="",$C$10,$K477)+IF($I478="",0,$I478)-IF($J478="",0,$J478))</f>
        <v/>
      </c>
      <c r="L478" s="28">
        <f>IF($N478&lt;&gt;"",IF(INDEX(PCNotes,$N478)="","—",INDEX(PCNotes,$N478)),IF($O478&lt;&gt;"",IF(INDEX(LdgNoteB,$O478)="","—",INDEX(LdgNoteB,$O478)),""))</f>
        <v/>
      </c>
      <c r="N478">
        <f>IFERROR(MATCH($C$5&amp;"|"&amp;RIGHT("000000"&amp;462,6),LdgRankKeyA,0),"")</f>
        <v/>
      </c>
      <c r="O478">
        <f>IFERROR(MATCH($C$5&amp;"|"&amp;RIGHT("000000"&amp;462,6),LdgRankKeyB,0),"")</f>
        <v/>
      </c>
    </row>
    <row r="479">
      <c r="A479" s="17" t="n">
        <v>463</v>
      </c>
      <c r="B479" s="18">
        <f>IF(AND($N479="",$O479=""),"",IF($N479&lt;&gt;"",INDEX(PCNormDate,$N479),INDEX(LdgDateB,$O479)))</f>
        <v/>
      </c>
      <c r="C479" s="18">
        <f>IF($N479&lt;&gt;"",INDEX(PCOp,$N479),IF($O479&lt;&gt;"",IF(N(INDEX(TxnDepB,$O479))&gt;0,"دریافت بانکی","پرداخت بانکی"),""))</f>
        <v/>
      </c>
      <c r="D479" s="18">
        <f>IF($N479&lt;&gt;"",IF(INDEX(PCDoc,$N479)="","—",INDEX(PCDoc,$N479)),IF($O479&lt;&gt;"",INDEX(LdgBankB,$O479),""))</f>
        <v/>
      </c>
      <c r="E479" s="18">
        <f>IF($N479&lt;&gt;"",IF(INDEX(PCCitrus,$N479)="","—",INDEX(PCCitrus,$N479)),"")</f>
        <v/>
      </c>
      <c r="F479" s="19">
        <f>IF($N479&lt;&gt;"",IF(INDEX(PCScale,$N479)=0,"",INDEX(PCScale,$N479)),"")</f>
        <v/>
      </c>
      <c r="G479" s="19">
        <f>IF($N479&lt;&gt;"",IF(INDEX(PCBaskets,$N479)=0,"",INDEX(PCBaskets,$N479)),"")</f>
        <v/>
      </c>
      <c r="H479" s="20">
        <f>IF($N479&lt;&gt;"",IF(INDEX(PCNet,$N479)=0,"",INDEX(PCNet,$N479)),"")</f>
        <v/>
      </c>
      <c r="I479" s="19">
        <f>IF($N479&lt;&gt;"",IF(INDEX(PCOp,$N479)="مرجوعی خرید","",IF(INDEX(PCAmount,$N479)&lt;=0,"",INDEX(PCAmount,$N479))),IF($O479&lt;&gt;"",IF(INDEX(TxnDepB,$O479)=0,"",INDEX(TxnDepB,$O479)),""))</f>
        <v/>
      </c>
      <c r="J479" s="19">
        <f>IF($N479&lt;&gt;"",IF(INDEX(PCOp,$N479)="مرجوعی خرید",IF(INDEX(PCAmount,$N479)=0,"",-INDEX(PCAmount,$N479)),""),IF($O479&lt;&gt;"",IF(INDEX(TxnWitB,$O479)=0,"",INDEX(TxnWitB,$O479)),""))</f>
        <v/>
      </c>
      <c r="K479" s="21">
        <f>IF($B479="","",IF($K478="",$C$10,$K478)+IF($I479="",0,$I479)-IF($J479="",0,$J479))</f>
        <v/>
      </c>
      <c r="L479" s="22">
        <f>IF($N479&lt;&gt;"",IF(INDEX(PCNotes,$N479)="","—",INDEX(PCNotes,$N479)),IF($O479&lt;&gt;"",IF(INDEX(LdgNoteB,$O479)="","—",INDEX(LdgNoteB,$O479)),""))</f>
        <v/>
      </c>
      <c r="N479">
        <f>IFERROR(MATCH($C$5&amp;"|"&amp;RIGHT("000000"&amp;463,6),LdgRankKeyA,0),"")</f>
        <v/>
      </c>
      <c r="O479">
        <f>IFERROR(MATCH($C$5&amp;"|"&amp;RIGHT("000000"&amp;463,6),LdgRankKeyB,0),"")</f>
        <v/>
      </c>
    </row>
    <row r="480">
      <c r="A480" s="23" t="n">
        <v>464</v>
      </c>
      <c r="B480" s="24">
        <f>IF(AND($N480="",$O480=""),"",IF($N480&lt;&gt;"",INDEX(PCNormDate,$N480),INDEX(LdgDateB,$O480)))</f>
        <v/>
      </c>
      <c r="C480" s="24">
        <f>IF($N480&lt;&gt;"",INDEX(PCOp,$N480),IF($O480&lt;&gt;"",IF(N(INDEX(TxnDepB,$O480))&gt;0,"دریافت بانکی","پرداخت بانکی"),""))</f>
        <v/>
      </c>
      <c r="D480" s="24">
        <f>IF($N480&lt;&gt;"",IF(INDEX(PCDoc,$N480)="","—",INDEX(PCDoc,$N480)),IF($O480&lt;&gt;"",INDEX(LdgBankB,$O480),""))</f>
        <v/>
      </c>
      <c r="E480" s="24">
        <f>IF($N480&lt;&gt;"",IF(INDEX(PCCitrus,$N480)="","—",INDEX(PCCitrus,$N480)),"")</f>
        <v/>
      </c>
      <c r="F480" s="25">
        <f>IF($N480&lt;&gt;"",IF(INDEX(PCScale,$N480)=0,"",INDEX(PCScale,$N480)),"")</f>
        <v/>
      </c>
      <c r="G480" s="25">
        <f>IF($N480&lt;&gt;"",IF(INDEX(PCBaskets,$N480)=0,"",INDEX(PCBaskets,$N480)),"")</f>
        <v/>
      </c>
      <c r="H480" s="26">
        <f>IF($N480&lt;&gt;"",IF(INDEX(PCNet,$N480)=0,"",INDEX(PCNet,$N480)),"")</f>
        <v/>
      </c>
      <c r="I480" s="25">
        <f>IF($N480&lt;&gt;"",IF(INDEX(PCOp,$N480)="مرجوعی خرید","",IF(INDEX(PCAmount,$N480)&lt;=0,"",INDEX(PCAmount,$N480))),IF($O480&lt;&gt;"",IF(INDEX(TxnDepB,$O480)=0,"",INDEX(TxnDepB,$O480)),""))</f>
        <v/>
      </c>
      <c r="J480" s="25">
        <f>IF($N480&lt;&gt;"",IF(INDEX(PCOp,$N480)="مرجوعی خرید",IF(INDEX(PCAmount,$N480)=0,"",-INDEX(PCAmount,$N480)),""),IF($O480&lt;&gt;"",IF(INDEX(TxnWitB,$O480)=0,"",INDEX(TxnWitB,$O480)),""))</f>
        <v/>
      </c>
      <c r="K480" s="27">
        <f>IF($B480="","",IF($K479="",$C$10,$K479)+IF($I480="",0,$I480)-IF($J480="",0,$J480))</f>
        <v/>
      </c>
      <c r="L480" s="28">
        <f>IF($N480&lt;&gt;"",IF(INDEX(PCNotes,$N480)="","—",INDEX(PCNotes,$N480)),IF($O480&lt;&gt;"",IF(INDEX(LdgNoteB,$O480)="","—",INDEX(LdgNoteB,$O480)),""))</f>
        <v/>
      </c>
      <c r="N480">
        <f>IFERROR(MATCH($C$5&amp;"|"&amp;RIGHT("000000"&amp;464,6),LdgRankKeyA,0),"")</f>
        <v/>
      </c>
      <c r="O480">
        <f>IFERROR(MATCH($C$5&amp;"|"&amp;RIGHT("000000"&amp;464,6),LdgRankKeyB,0),"")</f>
        <v/>
      </c>
    </row>
    <row r="481">
      <c r="A481" s="17" t="n">
        <v>465</v>
      </c>
      <c r="B481" s="18">
        <f>IF(AND($N481="",$O481=""),"",IF($N481&lt;&gt;"",INDEX(PCNormDate,$N481),INDEX(LdgDateB,$O481)))</f>
        <v/>
      </c>
      <c r="C481" s="18">
        <f>IF($N481&lt;&gt;"",INDEX(PCOp,$N481),IF($O481&lt;&gt;"",IF(N(INDEX(TxnDepB,$O481))&gt;0,"دریافت بانکی","پرداخت بانکی"),""))</f>
        <v/>
      </c>
      <c r="D481" s="18">
        <f>IF($N481&lt;&gt;"",IF(INDEX(PCDoc,$N481)="","—",INDEX(PCDoc,$N481)),IF($O481&lt;&gt;"",INDEX(LdgBankB,$O481),""))</f>
        <v/>
      </c>
      <c r="E481" s="18">
        <f>IF($N481&lt;&gt;"",IF(INDEX(PCCitrus,$N481)="","—",INDEX(PCCitrus,$N481)),"")</f>
        <v/>
      </c>
      <c r="F481" s="19">
        <f>IF($N481&lt;&gt;"",IF(INDEX(PCScale,$N481)=0,"",INDEX(PCScale,$N481)),"")</f>
        <v/>
      </c>
      <c r="G481" s="19">
        <f>IF($N481&lt;&gt;"",IF(INDEX(PCBaskets,$N481)=0,"",INDEX(PCBaskets,$N481)),"")</f>
        <v/>
      </c>
      <c r="H481" s="20">
        <f>IF($N481&lt;&gt;"",IF(INDEX(PCNet,$N481)=0,"",INDEX(PCNet,$N481)),"")</f>
        <v/>
      </c>
      <c r="I481" s="19">
        <f>IF($N481&lt;&gt;"",IF(INDEX(PCOp,$N481)="مرجوعی خرید","",IF(INDEX(PCAmount,$N481)&lt;=0,"",INDEX(PCAmount,$N481))),IF($O481&lt;&gt;"",IF(INDEX(TxnDepB,$O481)=0,"",INDEX(TxnDepB,$O481)),""))</f>
        <v/>
      </c>
      <c r="J481" s="19">
        <f>IF($N481&lt;&gt;"",IF(INDEX(PCOp,$N481)="مرجوعی خرید",IF(INDEX(PCAmount,$N481)=0,"",-INDEX(PCAmount,$N481)),""),IF($O481&lt;&gt;"",IF(INDEX(TxnWitB,$O481)=0,"",INDEX(TxnWitB,$O481)),""))</f>
        <v/>
      </c>
      <c r="K481" s="21">
        <f>IF($B481="","",IF($K480="",$C$10,$K480)+IF($I481="",0,$I481)-IF($J481="",0,$J481))</f>
        <v/>
      </c>
      <c r="L481" s="22">
        <f>IF($N481&lt;&gt;"",IF(INDEX(PCNotes,$N481)="","—",INDEX(PCNotes,$N481)),IF($O481&lt;&gt;"",IF(INDEX(LdgNoteB,$O481)="","—",INDEX(LdgNoteB,$O481)),""))</f>
        <v/>
      </c>
      <c r="N481">
        <f>IFERROR(MATCH($C$5&amp;"|"&amp;RIGHT("000000"&amp;465,6),LdgRankKeyA,0),"")</f>
        <v/>
      </c>
      <c r="O481">
        <f>IFERROR(MATCH($C$5&amp;"|"&amp;RIGHT("000000"&amp;465,6),LdgRankKeyB,0),"")</f>
        <v/>
      </c>
    </row>
    <row r="482">
      <c r="A482" s="23" t="n">
        <v>466</v>
      </c>
      <c r="B482" s="24">
        <f>IF(AND($N482="",$O482=""),"",IF($N482&lt;&gt;"",INDEX(PCNormDate,$N482),INDEX(LdgDateB,$O482)))</f>
        <v/>
      </c>
      <c r="C482" s="24">
        <f>IF($N482&lt;&gt;"",INDEX(PCOp,$N482),IF($O482&lt;&gt;"",IF(N(INDEX(TxnDepB,$O482))&gt;0,"دریافت بانکی","پرداخت بانکی"),""))</f>
        <v/>
      </c>
      <c r="D482" s="24">
        <f>IF($N482&lt;&gt;"",IF(INDEX(PCDoc,$N482)="","—",INDEX(PCDoc,$N482)),IF($O482&lt;&gt;"",INDEX(LdgBankB,$O482),""))</f>
        <v/>
      </c>
      <c r="E482" s="24">
        <f>IF($N482&lt;&gt;"",IF(INDEX(PCCitrus,$N482)="","—",INDEX(PCCitrus,$N482)),"")</f>
        <v/>
      </c>
      <c r="F482" s="25">
        <f>IF($N482&lt;&gt;"",IF(INDEX(PCScale,$N482)=0,"",INDEX(PCScale,$N482)),"")</f>
        <v/>
      </c>
      <c r="G482" s="25">
        <f>IF($N482&lt;&gt;"",IF(INDEX(PCBaskets,$N482)=0,"",INDEX(PCBaskets,$N482)),"")</f>
        <v/>
      </c>
      <c r="H482" s="26">
        <f>IF($N482&lt;&gt;"",IF(INDEX(PCNet,$N482)=0,"",INDEX(PCNet,$N482)),"")</f>
        <v/>
      </c>
      <c r="I482" s="25">
        <f>IF($N482&lt;&gt;"",IF(INDEX(PCOp,$N482)="مرجوعی خرید","",IF(INDEX(PCAmount,$N482)&lt;=0,"",INDEX(PCAmount,$N482))),IF($O482&lt;&gt;"",IF(INDEX(TxnDepB,$O482)=0,"",INDEX(TxnDepB,$O482)),""))</f>
        <v/>
      </c>
      <c r="J482" s="25">
        <f>IF($N482&lt;&gt;"",IF(INDEX(PCOp,$N482)="مرجوعی خرید",IF(INDEX(PCAmount,$N482)=0,"",-INDEX(PCAmount,$N482)),""),IF($O482&lt;&gt;"",IF(INDEX(TxnWitB,$O482)=0,"",INDEX(TxnWitB,$O482)),""))</f>
        <v/>
      </c>
      <c r="K482" s="27">
        <f>IF($B482="","",IF($K481="",$C$10,$K481)+IF($I482="",0,$I482)-IF($J482="",0,$J482))</f>
        <v/>
      </c>
      <c r="L482" s="28">
        <f>IF($N482&lt;&gt;"",IF(INDEX(PCNotes,$N482)="","—",INDEX(PCNotes,$N482)),IF($O482&lt;&gt;"",IF(INDEX(LdgNoteB,$O482)="","—",INDEX(LdgNoteB,$O482)),""))</f>
        <v/>
      </c>
      <c r="N482">
        <f>IFERROR(MATCH($C$5&amp;"|"&amp;RIGHT("000000"&amp;466,6),LdgRankKeyA,0),"")</f>
        <v/>
      </c>
      <c r="O482">
        <f>IFERROR(MATCH($C$5&amp;"|"&amp;RIGHT("000000"&amp;466,6),LdgRankKeyB,0),"")</f>
        <v/>
      </c>
    </row>
    <row r="483">
      <c r="A483" s="17" t="n">
        <v>467</v>
      </c>
      <c r="B483" s="18">
        <f>IF(AND($N483="",$O483=""),"",IF($N483&lt;&gt;"",INDEX(PCNormDate,$N483),INDEX(LdgDateB,$O483)))</f>
        <v/>
      </c>
      <c r="C483" s="18">
        <f>IF($N483&lt;&gt;"",INDEX(PCOp,$N483),IF($O483&lt;&gt;"",IF(N(INDEX(TxnDepB,$O483))&gt;0,"دریافت بانکی","پرداخت بانکی"),""))</f>
        <v/>
      </c>
      <c r="D483" s="18">
        <f>IF($N483&lt;&gt;"",IF(INDEX(PCDoc,$N483)="","—",INDEX(PCDoc,$N483)),IF($O483&lt;&gt;"",INDEX(LdgBankB,$O483),""))</f>
        <v/>
      </c>
      <c r="E483" s="18">
        <f>IF($N483&lt;&gt;"",IF(INDEX(PCCitrus,$N483)="","—",INDEX(PCCitrus,$N483)),"")</f>
        <v/>
      </c>
      <c r="F483" s="19">
        <f>IF($N483&lt;&gt;"",IF(INDEX(PCScale,$N483)=0,"",INDEX(PCScale,$N483)),"")</f>
        <v/>
      </c>
      <c r="G483" s="19">
        <f>IF($N483&lt;&gt;"",IF(INDEX(PCBaskets,$N483)=0,"",INDEX(PCBaskets,$N483)),"")</f>
        <v/>
      </c>
      <c r="H483" s="20">
        <f>IF($N483&lt;&gt;"",IF(INDEX(PCNet,$N483)=0,"",INDEX(PCNet,$N483)),"")</f>
        <v/>
      </c>
      <c r="I483" s="19">
        <f>IF($N483&lt;&gt;"",IF(INDEX(PCOp,$N483)="مرجوعی خرید","",IF(INDEX(PCAmount,$N483)&lt;=0,"",INDEX(PCAmount,$N483))),IF($O483&lt;&gt;"",IF(INDEX(TxnDepB,$O483)=0,"",INDEX(TxnDepB,$O483)),""))</f>
        <v/>
      </c>
      <c r="J483" s="19">
        <f>IF($N483&lt;&gt;"",IF(INDEX(PCOp,$N483)="مرجوعی خرید",IF(INDEX(PCAmount,$N483)=0,"",-INDEX(PCAmount,$N483)),""),IF($O483&lt;&gt;"",IF(INDEX(TxnWitB,$O483)=0,"",INDEX(TxnWitB,$O483)),""))</f>
        <v/>
      </c>
      <c r="K483" s="21">
        <f>IF($B483="","",IF($K482="",$C$10,$K482)+IF($I483="",0,$I483)-IF($J483="",0,$J483))</f>
        <v/>
      </c>
      <c r="L483" s="22">
        <f>IF($N483&lt;&gt;"",IF(INDEX(PCNotes,$N483)="","—",INDEX(PCNotes,$N483)),IF($O483&lt;&gt;"",IF(INDEX(LdgNoteB,$O483)="","—",INDEX(LdgNoteB,$O483)),""))</f>
        <v/>
      </c>
      <c r="N483">
        <f>IFERROR(MATCH($C$5&amp;"|"&amp;RIGHT("000000"&amp;467,6),LdgRankKeyA,0),"")</f>
        <v/>
      </c>
      <c r="O483">
        <f>IFERROR(MATCH($C$5&amp;"|"&amp;RIGHT("000000"&amp;467,6),LdgRankKeyB,0),"")</f>
        <v/>
      </c>
    </row>
    <row r="484">
      <c r="A484" s="23" t="n">
        <v>468</v>
      </c>
      <c r="B484" s="24">
        <f>IF(AND($N484="",$O484=""),"",IF($N484&lt;&gt;"",INDEX(PCNormDate,$N484),INDEX(LdgDateB,$O484)))</f>
        <v/>
      </c>
      <c r="C484" s="24">
        <f>IF($N484&lt;&gt;"",INDEX(PCOp,$N484),IF($O484&lt;&gt;"",IF(N(INDEX(TxnDepB,$O484))&gt;0,"دریافت بانکی","پرداخت بانکی"),""))</f>
        <v/>
      </c>
      <c r="D484" s="24">
        <f>IF($N484&lt;&gt;"",IF(INDEX(PCDoc,$N484)="","—",INDEX(PCDoc,$N484)),IF($O484&lt;&gt;"",INDEX(LdgBankB,$O484),""))</f>
        <v/>
      </c>
      <c r="E484" s="24">
        <f>IF($N484&lt;&gt;"",IF(INDEX(PCCitrus,$N484)="","—",INDEX(PCCitrus,$N484)),"")</f>
        <v/>
      </c>
      <c r="F484" s="25">
        <f>IF($N484&lt;&gt;"",IF(INDEX(PCScale,$N484)=0,"",INDEX(PCScale,$N484)),"")</f>
        <v/>
      </c>
      <c r="G484" s="25">
        <f>IF($N484&lt;&gt;"",IF(INDEX(PCBaskets,$N484)=0,"",INDEX(PCBaskets,$N484)),"")</f>
        <v/>
      </c>
      <c r="H484" s="26">
        <f>IF($N484&lt;&gt;"",IF(INDEX(PCNet,$N484)=0,"",INDEX(PCNet,$N484)),"")</f>
        <v/>
      </c>
      <c r="I484" s="25">
        <f>IF($N484&lt;&gt;"",IF(INDEX(PCOp,$N484)="مرجوعی خرید","",IF(INDEX(PCAmount,$N484)&lt;=0,"",INDEX(PCAmount,$N484))),IF($O484&lt;&gt;"",IF(INDEX(TxnDepB,$O484)=0,"",INDEX(TxnDepB,$O484)),""))</f>
        <v/>
      </c>
      <c r="J484" s="25">
        <f>IF($N484&lt;&gt;"",IF(INDEX(PCOp,$N484)="مرجوعی خرید",IF(INDEX(PCAmount,$N484)=0,"",-INDEX(PCAmount,$N484)),""),IF($O484&lt;&gt;"",IF(INDEX(TxnWitB,$O484)=0,"",INDEX(TxnWitB,$O484)),""))</f>
        <v/>
      </c>
      <c r="K484" s="27">
        <f>IF($B484="","",IF($K483="",$C$10,$K483)+IF($I484="",0,$I484)-IF($J484="",0,$J484))</f>
        <v/>
      </c>
      <c r="L484" s="28">
        <f>IF($N484&lt;&gt;"",IF(INDEX(PCNotes,$N484)="","—",INDEX(PCNotes,$N484)),IF($O484&lt;&gt;"",IF(INDEX(LdgNoteB,$O484)="","—",INDEX(LdgNoteB,$O484)),""))</f>
        <v/>
      </c>
      <c r="N484">
        <f>IFERROR(MATCH($C$5&amp;"|"&amp;RIGHT("000000"&amp;468,6),LdgRankKeyA,0),"")</f>
        <v/>
      </c>
      <c r="O484">
        <f>IFERROR(MATCH($C$5&amp;"|"&amp;RIGHT("000000"&amp;468,6),LdgRankKeyB,0),"")</f>
        <v/>
      </c>
    </row>
    <row r="485">
      <c r="A485" s="17" t="n">
        <v>469</v>
      </c>
      <c r="B485" s="18">
        <f>IF(AND($N485="",$O485=""),"",IF($N485&lt;&gt;"",INDEX(PCNormDate,$N485),INDEX(LdgDateB,$O485)))</f>
        <v/>
      </c>
      <c r="C485" s="18">
        <f>IF($N485&lt;&gt;"",INDEX(PCOp,$N485),IF($O485&lt;&gt;"",IF(N(INDEX(TxnDepB,$O485))&gt;0,"دریافت بانکی","پرداخت بانکی"),""))</f>
        <v/>
      </c>
      <c r="D485" s="18">
        <f>IF($N485&lt;&gt;"",IF(INDEX(PCDoc,$N485)="","—",INDEX(PCDoc,$N485)),IF($O485&lt;&gt;"",INDEX(LdgBankB,$O485),""))</f>
        <v/>
      </c>
      <c r="E485" s="18">
        <f>IF($N485&lt;&gt;"",IF(INDEX(PCCitrus,$N485)="","—",INDEX(PCCitrus,$N485)),"")</f>
        <v/>
      </c>
      <c r="F485" s="19">
        <f>IF($N485&lt;&gt;"",IF(INDEX(PCScale,$N485)=0,"",INDEX(PCScale,$N485)),"")</f>
        <v/>
      </c>
      <c r="G485" s="19">
        <f>IF($N485&lt;&gt;"",IF(INDEX(PCBaskets,$N485)=0,"",INDEX(PCBaskets,$N485)),"")</f>
        <v/>
      </c>
      <c r="H485" s="20">
        <f>IF($N485&lt;&gt;"",IF(INDEX(PCNet,$N485)=0,"",INDEX(PCNet,$N485)),"")</f>
        <v/>
      </c>
      <c r="I485" s="19">
        <f>IF($N485&lt;&gt;"",IF(INDEX(PCOp,$N485)="مرجوعی خرید","",IF(INDEX(PCAmount,$N485)&lt;=0,"",INDEX(PCAmount,$N485))),IF($O485&lt;&gt;"",IF(INDEX(TxnDepB,$O485)=0,"",INDEX(TxnDepB,$O485)),""))</f>
        <v/>
      </c>
      <c r="J485" s="19">
        <f>IF($N485&lt;&gt;"",IF(INDEX(PCOp,$N485)="مرجوعی خرید",IF(INDEX(PCAmount,$N485)=0,"",-INDEX(PCAmount,$N485)),""),IF($O485&lt;&gt;"",IF(INDEX(TxnWitB,$O485)=0,"",INDEX(TxnWitB,$O485)),""))</f>
        <v/>
      </c>
      <c r="K485" s="21">
        <f>IF($B485="","",IF($K484="",$C$10,$K484)+IF($I485="",0,$I485)-IF($J485="",0,$J485))</f>
        <v/>
      </c>
      <c r="L485" s="22">
        <f>IF($N485&lt;&gt;"",IF(INDEX(PCNotes,$N485)="","—",INDEX(PCNotes,$N485)),IF($O485&lt;&gt;"",IF(INDEX(LdgNoteB,$O485)="","—",INDEX(LdgNoteB,$O485)),""))</f>
        <v/>
      </c>
      <c r="N485">
        <f>IFERROR(MATCH($C$5&amp;"|"&amp;RIGHT("000000"&amp;469,6),LdgRankKeyA,0),"")</f>
        <v/>
      </c>
      <c r="O485">
        <f>IFERROR(MATCH($C$5&amp;"|"&amp;RIGHT("000000"&amp;469,6),LdgRankKeyB,0),"")</f>
        <v/>
      </c>
    </row>
    <row r="486">
      <c r="A486" s="23" t="n">
        <v>470</v>
      </c>
      <c r="B486" s="24">
        <f>IF(AND($N486="",$O486=""),"",IF($N486&lt;&gt;"",INDEX(PCNormDate,$N486),INDEX(LdgDateB,$O486)))</f>
        <v/>
      </c>
      <c r="C486" s="24">
        <f>IF($N486&lt;&gt;"",INDEX(PCOp,$N486),IF($O486&lt;&gt;"",IF(N(INDEX(TxnDepB,$O486))&gt;0,"دریافت بانکی","پرداخت بانکی"),""))</f>
        <v/>
      </c>
      <c r="D486" s="24">
        <f>IF($N486&lt;&gt;"",IF(INDEX(PCDoc,$N486)="","—",INDEX(PCDoc,$N486)),IF($O486&lt;&gt;"",INDEX(LdgBankB,$O486),""))</f>
        <v/>
      </c>
      <c r="E486" s="24">
        <f>IF($N486&lt;&gt;"",IF(INDEX(PCCitrus,$N486)="","—",INDEX(PCCitrus,$N486)),"")</f>
        <v/>
      </c>
      <c r="F486" s="25">
        <f>IF($N486&lt;&gt;"",IF(INDEX(PCScale,$N486)=0,"",INDEX(PCScale,$N486)),"")</f>
        <v/>
      </c>
      <c r="G486" s="25">
        <f>IF($N486&lt;&gt;"",IF(INDEX(PCBaskets,$N486)=0,"",INDEX(PCBaskets,$N486)),"")</f>
        <v/>
      </c>
      <c r="H486" s="26">
        <f>IF($N486&lt;&gt;"",IF(INDEX(PCNet,$N486)=0,"",INDEX(PCNet,$N486)),"")</f>
        <v/>
      </c>
      <c r="I486" s="25">
        <f>IF($N486&lt;&gt;"",IF(INDEX(PCOp,$N486)="مرجوعی خرید","",IF(INDEX(PCAmount,$N486)&lt;=0,"",INDEX(PCAmount,$N486))),IF($O486&lt;&gt;"",IF(INDEX(TxnDepB,$O486)=0,"",INDEX(TxnDepB,$O486)),""))</f>
        <v/>
      </c>
      <c r="J486" s="25">
        <f>IF($N486&lt;&gt;"",IF(INDEX(PCOp,$N486)="مرجوعی خرید",IF(INDEX(PCAmount,$N486)=0,"",-INDEX(PCAmount,$N486)),""),IF($O486&lt;&gt;"",IF(INDEX(TxnWitB,$O486)=0,"",INDEX(TxnWitB,$O486)),""))</f>
        <v/>
      </c>
      <c r="K486" s="27">
        <f>IF($B486="","",IF($K485="",$C$10,$K485)+IF($I486="",0,$I486)-IF($J486="",0,$J486))</f>
        <v/>
      </c>
      <c r="L486" s="28">
        <f>IF($N486&lt;&gt;"",IF(INDEX(PCNotes,$N486)="","—",INDEX(PCNotes,$N486)),IF($O486&lt;&gt;"",IF(INDEX(LdgNoteB,$O486)="","—",INDEX(LdgNoteB,$O486)),""))</f>
        <v/>
      </c>
      <c r="N486">
        <f>IFERROR(MATCH($C$5&amp;"|"&amp;RIGHT("000000"&amp;470,6),LdgRankKeyA,0),"")</f>
        <v/>
      </c>
      <c r="O486">
        <f>IFERROR(MATCH($C$5&amp;"|"&amp;RIGHT("000000"&amp;470,6),LdgRankKeyB,0),"")</f>
        <v/>
      </c>
    </row>
    <row r="487">
      <c r="A487" s="17" t="n">
        <v>471</v>
      </c>
      <c r="B487" s="18">
        <f>IF(AND($N487="",$O487=""),"",IF($N487&lt;&gt;"",INDEX(PCNormDate,$N487),INDEX(LdgDateB,$O487)))</f>
        <v/>
      </c>
      <c r="C487" s="18">
        <f>IF($N487&lt;&gt;"",INDEX(PCOp,$N487),IF($O487&lt;&gt;"",IF(N(INDEX(TxnDepB,$O487))&gt;0,"دریافت بانکی","پرداخت بانکی"),""))</f>
        <v/>
      </c>
      <c r="D487" s="18">
        <f>IF($N487&lt;&gt;"",IF(INDEX(PCDoc,$N487)="","—",INDEX(PCDoc,$N487)),IF($O487&lt;&gt;"",INDEX(LdgBankB,$O487),""))</f>
        <v/>
      </c>
      <c r="E487" s="18">
        <f>IF($N487&lt;&gt;"",IF(INDEX(PCCitrus,$N487)="","—",INDEX(PCCitrus,$N487)),"")</f>
        <v/>
      </c>
      <c r="F487" s="19">
        <f>IF($N487&lt;&gt;"",IF(INDEX(PCScale,$N487)=0,"",INDEX(PCScale,$N487)),"")</f>
        <v/>
      </c>
      <c r="G487" s="19">
        <f>IF($N487&lt;&gt;"",IF(INDEX(PCBaskets,$N487)=0,"",INDEX(PCBaskets,$N487)),"")</f>
        <v/>
      </c>
      <c r="H487" s="20">
        <f>IF($N487&lt;&gt;"",IF(INDEX(PCNet,$N487)=0,"",INDEX(PCNet,$N487)),"")</f>
        <v/>
      </c>
      <c r="I487" s="19">
        <f>IF($N487&lt;&gt;"",IF(INDEX(PCOp,$N487)="مرجوعی خرید","",IF(INDEX(PCAmount,$N487)&lt;=0,"",INDEX(PCAmount,$N487))),IF($O487&lt;&gt;"",IF(INDEX(TxnDepB,$O487)=0,"",INDEX(TxnDepB,$O487)),""))</f>
        <v/>
      </c>
      <c r="J487" s="19">
        <f>IF($N487&lt;&gt;"",IF(INDEX(PCOp,$N487)="مرجوعی خرید",IF(INDEX(PCAmount,$N487)=0,"",-INDEX(PCAmount,$N487)),""),IF($O487&lt;&gt;"",IF(INDEX(TxnWitB,$O487)=0,"",INDEX(TxnWitB,$O487)),""))</f>
        <v/>
      </c>
      <c r="K487" s="21">
        <f>IF($B487="","",IF($K486="",$C$10,$K486)+IF($I487="",0,$I487)-IF($J487="",0,$J487))</f>
        <v/>
      </c>
      <c r="L487" s="22">
        <f>IF($N487&lt;&gt;"",IF(INDEX(PCNotes,$N487)="","—",INDEX(PCNotes,$N487)),IF($O487&lt;&gt;"",IF(INDEX(LdgNoteB,$O487)="","—",INDEX(LdgNoteB,$O487)),""))</f>
        <v/>
      </c>
      <c r="N487">
        <f>IFERROR(MATCH($C$5&amp;"|"&amp;RIGHT("000000"&amp;471,6),LdgRankKeyA,0),"")</f>
        <v/>
      </c>
      <c r="O487">
        <f>IFERROR(MATCH($C$5&amp;"|"&amp;RIGHT("000000"&amp;471,6),LdgRankKeyB,0),"")</f>
        <v/>
      </c>
    </row>
    <row r="488">
      <c r="A488" s="23" t="n">
        <v>472</v>
      </c>
      <c r="B488" s="24">
        <f>IF(AND($N488="",$O488=""),"",IF($N488&lt;&gt;"",INDEX(PCNormDate,$N488),INDEX(LdgDateB,$O488)))</f>
        <v/>
      </c>
      <c r="C488" s="24">
        <f>IF($N488&lt;&gt;"",INDEX(PCOp,$N488),IF($O488&lt;&gt;"",IF(N(INDEX(TxnDepB,$O488))&gt;0,"دریافت بانکی","پرداخت بانکی"),""))</f>
        <v/>
      </c>
      <c r="D488" s="24">
        <f>IF($N488&lt;&gt;"",IF(INDEX(PCDoc,$N488)="","—",INDEX(PCDoc,$N488)),IF($O488&lt;&gt;"",INDEX(LdgBankB,$O488),""))</f>
        <v/>
      </c>
      <c r="E488" s="24">
        <f>IF($N488&lt;&gt;"",IF(INDEX(PCCitrus,$N488)="","—",INDEX(PCCitrus,$N488)),"")</f>
        <v/>
      </c>
      <c r="F488" s="25">
        <f>IF($N488&lt;&gt;"",IF(INDEX(PCScale,$N488)=0,"",INDEX(PCScale,$N488)),"")</f>
        <v/>
      </c>
      <c r="G488" s="25">
        <f>IF($N488&lt;&gt;"",IF(INDEX(PCBaskets,$N488)=0,"",INDEX(PCBaskets,$N488)),"")</f>
        <v/>
      </c>
      <c r="H488" s="26">
        <f>IF($N488&lt;&gt;"",IF(INDEX(PCNet,$N488)=0,"",INDEX(PCNet,$N488)),"")</f>
        <v/>
      </c>
      <c r="I488" s="25">
        <f>IF($N488&lt;&gt;"",IF(INDEX(PCOp,$N488)="مرجوعی خرید","",IF(INDEX(PCAmount,$N488)&lt;=0,"",INDEX(PCAmount,$N488))),IF($O488&lt;&gt;"",IF(INDEX(TxnDepB,$O488)=0,"",INDEX(TxnDepB,$O488)),""))</f>
        <v/>
      </c>
      <c r="J488" s="25">
        <f>IF($N488&lt;&gt;"",IF(INDEX(PCOp,$N488)="مرجوعی خرید",IF(INDEX(PCAmount,$N488)=0,"",-INDEX(PCAmount,$N488)),""),IF($O488&lt;&gt;"",IF(INDEX(TxnWitB,$O488)=0,"",INDEX(TxnWitB,$O488)),""))</f>
        <v/>
      </c>
      <c r="K488" s="27">
        <f>IF($B488="","",IF($K487="",$C$10,$K487)+IF($I488="",0,$I488)-IF($J488="",0,$J488))</f>
        <v/>
      </c>
      <c r="L488" s="28">
        <f>IF($N488&lt;&gt;"",IF(INDEX(PCNotes,$N488)="","—",INDEX(PCNotes,$N488)),IF($O488&lt;&gt;"",IF(INDEX(LdgNoteB,$O488)="","—",INDEX(LdgNoteB,$O488)),""))</f>
        <v/>
      </c>
      <c r="N488">
        <f>IFERROR(MATCH($C$5&amp;"|"&amp;RIGHT("000000"&amp;472,6),LdgRankKeyA,0),"")</f>
        <v/>
      </c>
      <c r="O488">
        <f>IFERROR(MATCH($C$5&amp;"|"&amp;RIGHT("000000"&amp;472,6),LdgRankKeyB,0),"")</f>
        <v/>
      </c>
    </row>
    <row r="489">
      <c r="A489" s="17" t="n">
        <v>473</v>
      </c>
      <c r="B489" s="18">
        <f>IF(AND($N489="",$O489=""),"",IF($N489&lt;&gt;"",INDEX(PCNormDate,$N489),INDEX(LdgDateB,$O489)))</f>
        <v/>
      </c>
      <c r="C489" s="18">
        <f>IF($N489&lt;&gt;"",INDEX(PCOp,$N489),IF($O489&lt;&gt;"",IF(N(INDEX(TxnDepB,$O489))&gt;0,"دریافت بانکی","پرداخت بانکی"),""))</f>
        <v/>
      </c>
      <c r="D489" s="18">
        <f>IF($N489&lt;&gt;"",IF(INDEX(PCDoc,$N489)="","—",INDEX(PCDoc,$N489)),IF($O489&lt;&gt;"",INDEX(LdgBankB,$O489),""))</f>
        <v/>
      </c>
      <c r="E489" s="18">
        <f>IF($N489&lt;&gt;"",IF(INDEX(PCCitrus,$N489)="","—",INDEX(PCCitrus,$N489)),"")</f>
        <v/>
      </c>
      <c r="F489" s="19">
        <f>IF($N489&lt;&gt;"",IF(INDEX(PCScale,$N489)=0,"",INDEX(PCScale,$N489)),"")</f>
        <v/>
      </c>
      <c r="G489" s="19">
        <f>IF($N489&lt;&gt;"",IF(INDEX(PCBaskets,$N489)=0,"",INDEX(PCBaskets,$N489)),"")</f>
        <v/>
      </c>
      <c r="H489" s="20">
        <f>IF($N489&lt;&gt;"",IF(INDEX(PCNet,$N489)=0,"",INDEX(PCNet,$N489)),"")</f>
        <v/>
      </c>
      <c r="I489" s="19">
        <f>IF($N489&lt;&gt;"",IF(INDEX(PCOp,$N489)="مرجوعی خرید","",IF(INDEX(PCAmount,$N489)&lt;=0,"",INDEX(PCAmount,$N489))),IF($O489&lt;&gt;"",IF(INDEX(TxnDepB,$O489)=0,"",INDEX(TxnDepB,$O489)),""))</f>
        <v/>
      </c>
      <c r="J489" s="19">
        <f>IF($N489&lt;&gt;"",IF(INDEX(PCOp,$N489)="مرجوعی خرید",IF(INDEX(PCAmount,$N489)=0,"",-INDEX(PCAmount,$N489)),""),IF($O489&lt;&gt;"",IF(INDEX(TxnWitB,$O489)=0,"",INDEX(TxnWitB,$O489)),""))</f>
        <v/>
      </c>
      <c r="K489" s="21">
        <f>IF($B489="","",IF($K488="",$C$10,$K488)+IF($I489="",0,$I489)-IF($J489="",0,$J489))</f>
        <v/>
      </c>
      <c r="L489" s="22">
        <f>IF($N489&lt;&gt;"",IF(INDEX(PCNotes,$N489)="","—",INDEX(PCNotes,$N489)),IF($O489&lt;&gt;"",IF(INDEX(LdgNoteB,$O489)="","—",INDEX(LdgNoteB,$O489)),""))</f>
        <v/>
      </c>
      <c r="N489">
        <f>IFERROR(MATCH($C$5&amp;"|"&amp;RIGHT("000000"&amp;473,6),LdgRankKeyA,0),"")</f>
        <v/>
      </c>
      <c r="O489">
        <f>IFERROR(MATCH($C$5&amp;"|"&amp;RIGHT("000000"&amp;473,6),LdgRankKeyB,0),"")</f>
        <v/>
      </c>
    </row>
    <row r="490">
      <c r="A490" s="23" t="n">
        <v>474</v>
      </c>
      <c r="B490" s="24">
        <f>IF(AND($N490="",$O490=""),"",IF($N490&lt;&gt;"",INDEX(PCNormDate,$N490),INDEX(LdgDateB,$O490)))</f>
        <v/>
      </c>
      <c r="C490" s="24">
        <f>IF($N490&lt;&gt;"",INDEX(PCOp,$N490),IF($O490&lt;&gt;"",IF(N(INDEX(TxnDepB,$O490))&gt;0,"دریافت بانکی","پرداخت بانکی"),""))</f>
        <v/>
      </c>
      <c r="D490" s="24">
        <f>IF($N490&lt;&gt;"",IF(INDEX(PCDoc,$N490)="","—",INDEX(PCDoc,$N490)),IF($O490&lt;&gt;"",INDEX(LdgBankB,$O490),""))</f>
        <v/>
      </c>
      <c r="E490" s="24">
        <f>IF($N490&lt;&gt;"",IF(INDEX(PCCitrus,$N490)="","—",INDEX(PCCitrus,$N490)),"")</f>
        <v/>
      </c>
      <c r="F490" s="25">
        <f>IF($N490&lt;&gt;"",IF(INDEX(PCScale,$N490)=0,"",INDEX(PCScale,$N490)),"")</f>
        <v/>
      </c>
      <c r="G490" s="25">
        <f>IF($N490&lt;&gt;"",IF(INDEX(PCBaskets,$N490)=0,"",INDEX(PCBaskets,$N490)),"")</f>
        <v/>
      </c>
      <c r="H490" s="26">
        <f>IF($N490&lt;&gt;"",IF(INDEX(PCNet,$N490)=0,"",INDEX(PCNet,$N490)),"")</f>
        <v/>
      </c>
      <c r="I490" s="25">
        <f>IF($N490&lt;&gt;"",IF(INDEX(PCOp,$N490)="مرجوعی خرید","",IF(INDEX(PCAmount,$N490)&lt;=0,"",INDEX(PCAmount,$N490))),IF($O490&lt;&gt;"",IF(INDEX(TxnDepB,$O490)=0,"",INDEX(TxnDepB,$O490)),""))</f>
        <v/>
      </c>
      <c r="J490" s="25">
        <f>IF($N490&lt;&gt;"",IF(INDEX(PCOp,$N490)="مرجوعی خرید",IF(INDEX(PCAmount,$N490)=0,"",-INDEX(PCAmount,$N490)),""),IF($O490&lt;&gt;"",IF(INDEX(TxnWitB,$O490)=0,"",INDEX(TxnWitB,$O490)),""))</f>
        <v/>
      </c>
      <c r="K490" s="27">
        <f>IF($B490="","",IF($K489="",$C$10,$K489)+IF($I490="",0,$I490)-IF($J490="",0,$J490))</f>
        <v/>
      </c>
      <c r="L490" s="28">
        <f>IF($N490&lt;&gt;"",IF(INDEX(PCNotes,$N490)="","—",INDEX(PCNotes,$N490)),IF($O490&lt;&gt;"",IF(INDEX(LdgNoteB,$O490)="","—",INDEX(LdgNoteB,$O490)),""))</f>
        <v/>
      </c>
      <c r="N490">
        <f>IFERROR(MATCH($C$5&amp;"|"&amp;RIGHT("000000"&amp;474,6),LdgRankKeyA,0),"")</f>
        <v/>
      </c>
      <c r="O490">
        <f>IFERROR(MATCH($C$5&amp;"|"&amp;RIGHT("000000"&amp;474,6),LdgRankKeyB,0),"")</f>
        <v/>
      </c>
    </row>
    <row r="491">
      <c r="A491" s="17" t="n">
        <v>475</v>
      </c>
      <c r="B491" s="18">
        <f>IF(AND($N491="",$O491=""),"",IF($N491&lt;&gt;"",INDEX(PCNormDate,$N491),INDEX(LdgDateB,$O491)))</f>
        <v/>
      </c>
      <c r="C491" s="18">
        <f>IF($N491&lt;&gt;"",INDEX(PCOp,$N491),IF($O491&lt;&gt;"",IF(N(INDEX(TxnDepB,$O491))&gt;0,"دریافت بانکی","پرداخت بانکی"),""))</f>
        <v/>
      </c>
      <c r="D491" s="18">
        <f>IF($N491&lt;&gt;"",IF(INDEX(PCDoc,$N491)="","—",INDEX(PCDoc,$N491)),IF($O491&lt;&gt;"",INDEX(LdgBankB,$O491),""))</f>
        <v/>
      </c>
      <c r="E491" s="18">
        <f>IF($N491&lt;&gt;"",IF(INDEX(PCCitrus,$N491)="","—",INDEX(PCCitrus,$N491)),"")</f>
        <v/>
      </c>
      <c r="F491" s="19">
        <f>IF($N491&lt;&gt;"",IF(INDEX(PCScale,$N491)=0,"",INDEX(PCScale,$N491)),"")</f>
        <v/>
      </c>
      <c r="G491" s="19">
        <f>IF($N491&lt;&gt;"",IF(INDEX(PCBaskets,$N491)=0,"",INDEX(PCBaskets,$N491)),"")</f>
        <v/>
      </c>
      <c r="H491" s="20">
        <f>IF($N491&lt;&gt;"",IF(INDEX(PCNet,$N491)=0,"",INDEX(PCNet,$N491)),"")</f>
        <v/>
      </c>
      <c r="I491" s="19">
        <f>IF($N491&lt;&gt;"",IF(INDEX(PCOp,$N491)="مرجوعی خرید","",IF(INDEX(PCAmount,$N491)&lt;=0,"",INDEX(PCAmount,$N491))),IF($O491&lt;&gt;"",IF(INDEX(TxnDepB,$O491)=0,"",INDEX(TxnDepB,$O491)),""))</f>
        <v/>
      </c>
      <c r="J491" s="19">
        <f>IF($N491&lt;&gt;"",IF(INDEX(PCOp,$N491)="مرجوعی خرید",IF(INDEX(PCAmount,$N491)=0,"",-INDEX(PCAmount,$N491)),""),IF($O491&lt;&gt;"",IF(INDEX(TxnWitB,$O491)=0,"",INDEX(TxnWitB,$O491)),""))</f>
        <v/>
      </c>
      <c r="K491" s="21">
        <f>IF($B491="","",IF($K490="",$C$10,$K490)+IF($I491="",0,$I491)-IF($J491="",0,$J491))</f>
        <v/>
      </c>
      <c r="L491" s="22">
        <f>IF($N491&lt;&gt;"",IF(INDEX(PCNotes,$N491)="","—",INDEX(PCNotes,$N491)),IF($O491&lt;&gt;"",IF(INDEX(LdgNoteB,$O491)="","—",INDEX(LdgNoteB,$O491)),""))</f>
        <v/>
      </c>
      <c r="N491">
        <f>IFERROR(MATCH($C$5&amp;"|"&amp;RIGHT("000000"&amp;475,6),LdgRankKeyA,0),"")</f>
        <v/>
      </c>
      <c r="O491">
        <f>IFERROR(MATCH($C$5&amp;"|"&amp;RIGHT("000000"&amp;475,6),LdgRankKeyB,0),"")</f>
        <v/>
      </c>
    </row>
    <row r="492">
      <c r="A492" s="23" t="n">
        <v>476</v>
      </c>
      <c r="B492" s="24">
        <f>IF(AND($N492="",$O492=""),"",IF($N492&lt;&gt;"",INDEX(PCNormDate,$N492),INDEX(LdgDateB,$O492)))</f>
        <v/>
      </c>
      <c r="C492" s="24">
        <f>IF($N492&lt;&gt;"",INDEX(PCOp,$N492),IF($O492&lt;&gt;"",IF(N(INDEX(TxnDepB,$O492))&gt;0,"دریافت بانکی","پرداخت بانکی"),""))</f>
        <v/>
      </c>
      <c r="D492" s="24">
        <f>IF($N492&lt;&gt;"",IF(INDEX(PCDoc,$N492)="","—",INDEX(PCDoc,$N492)),IF($O492&lt;&gt;"",INDEX(LdgBankB,$O492),""))</f>
        <v/>
      </c>
      <c r="E492" s="24">
        <f>IF($N492&lt;&gt;"",IF(INDEX(PCCitrus,$N492)="","—",INDEX(PCCitrus,$N492)),"")</f>
        <v/>
      </c>
      <c r="F492" s="25">
        <f>IF($N492&lt;&gt;"",IF(INDEX(PCScale,$N492)=0,"",INDEX(PCScale,$N492)),"")</f>
        <v/>
      </c>
      <c r="G492" s="25">
        <f>IF($N492&lt;&gt;"",IF(INDEX(PCBaskets,$N492)=0,"",INDEX(PCBaskets,$N492)),"")</f>
        <v/>
      </c>
      <c r="H492" s="26">
        <f>IF($N492&lt;&gt;"",IF(INDEX(PCNet,$N492)=0,"",INDEX(PCNet,$N492)),"")</f>
        <v/>
      </c>
      <c r="I492" s="25">
        <f>IF($N492&lt;&gt;"",IF(INDEX(PCOp,$N492)="مرجوعی خرید","",IF(INDEX(PCAmount,$N492)&lt;=0,"",INDEX(PCAmount,$N492))),IF($O492&lt;&gt;"",IF(INDEX(TxnDepB,$O492)=0,"",INDEX(TxnDepB,$O492)),""))</f>
        <v/>
      </c>
      <c r="J492" s="25">
        <f>IF($N492&lt;&gt;"",IF(INDEX(PCOp,$N492)="مرجوعی خرید",IF(INDEX(PCAmount,$N492)=0,"",-INDEX(PCAmount,$N492)),""),IF($O492&lt;&gt;"",IF(INDEX(TxnWitB,$O492)=0,"",INDEX(TxnWitB,$O492)),""))</f>
        <v/>
      </c>
      <c r="K492" s="27">
        <f>IF($B492="","",IF($K491="",$C$10,$K491)+IF($I492="",0,$I492)-IF($J492="",0,$J492))</f>
        <v/>
      </c>
      <c r="L492" s="28">
        <f>IF($N492&lt;&gt;"",IF(INDEX(PCNotes,$N492)="","—",INDEX(PCNotes,$N492)),IF($O492&lt;&gt;"",IF(INDEX(LdgNoteB,$O492)="","—",INDEX(LdgNoteB,$O492)),""))</f>
        <v/>
      </c>
      <c r="N492">
        <f>IFERROR(MATCH($C$5&amp;"|"&amp;RIGHT("000000"&amp;476,6),LdgRankKeyA,0),"")</f>
        <v/>
      </c>
      <c r="O492">
        <f>IFERROR(MATCH($C$5&amp;"|"&amp;RIGHT("000000"&amp;476,6),LdgRankKeyB,0),"")</f>
        <v/>
      </c>
    </row>
    <row r="493">
      <c r="A493" s="17" t="n">
        <v>477</v>
      </c>
      <c r="B493" s="18">
        <f>IF(AND($N493="",$O493=""),"",IF($N493&lt;&gt;"",INDEX(PCNormDate,$N493),INDEX(LdgDateB,$O493)))</f>
        <v/>
      </c>
      <c r="C493" s="18">
        <f>IF($N493&lt;&gt;"",INDEX(PCOp,$N493),IF($O493&lt;&gt;"",IF(N(INDEX(TxnDepB,$O493))&gt;0,"دریافت بانکی","پرداخت بانکی"),""))</f>
        <v/>
      </c>
      <c r="D493" s="18">
        <f>IF($N493&lt;&gt;"",IF(INDEX(PCDoc,$N493)="","—",INDEX(PCDoc,$N493)),IF($O493&lt;&gt;"",INDEX(LdgBankB,$O493),""))</f>
        <v/>
      </c>
      <c r="E493" s="18">
        <f>IF($N493&lt;&gt;"",IF(INDEX(PCCitrus,$N493)="","—",INDEX(PCCitrus,$N493)),"")</f>
        <v/>
      </c>
      <c r="F493" s="19">
        <f>IF($N493&lt;&gt;"",IF(INDEX(PCScale,$N493)=0,"",INDEX(PCScale,$N493)),"")</f>
        <v/>
      </c>
      <c r="G493" s="19">
        <f>IF($N493&lt;&gt;"",IF(INDEX(PCBaskets,$N493)=0,"",INDEX(PCBaskets,$N493)),"")</f>
        <v/>
      </c>
      <c r="H493" s="20">
        <f>IF($N493&lt;&gt;"",IF(INDEX(PCNet,$N493)=0,"",INDEX(PCNet,$N493)),"")</f>
        <v/>
      </c>
      <c r="I493" s="19">
        <f>IF($N493&lt;&gt;"",IF(INDEX(PCOp,$N493)="مرجوعی خرید","",IF(INDEX(PCAmount,$N493)&lt;=0,"",INDEX(PCAmount,$N493))),IF($O493&lt;&gt;"",IF(INDEX(TxnDepB,$O493)=0,"",INDEX(TxnDepB,$O493)),""))</f>
        <v/>
      </c>
      <c r="J493" s="19">
        <f>IF($N493&lt;&gt;"",IF(INDEX(PCOp,$N493)="مرجوعی خرید",IF(INDEX(PCAmount,$N493)=0,"",-INDEX(PCAmount,$N493)),""),IF($O493&lt;&gt;"",IF(INDEX(TxnWitB,$O493)=0,"",INDEX(TxnWitB,$O493)),""))</f>
        <v/>
      </c>
      <c r="K493" s="21">
        <f>IF($B493="","",IF($K492="",$C$10,$K492)+IF($I493="",0,$I493)-IF($J493="",0,$J493))</f>
        <v/>
      </c>
      <c r="L493" s="22">
        <f>IF($N493&lt;&gt;"",IF(INDEX(PCNotes,$N493)="","—",INDEX(PCNotes,$N493)),IF($O493&lt;&gt;"",IF(INDEX(LdgNoteB,$O493)="","—",INDEX(LdgNoteB,$O493)),""))</f>
        <v/>
      </c>
      <c r="N493">
        <f>IFERROR(MATCH($C$5&amp;"|"&amp;RIGHT("000000"&amp;477,6),LdgRankKeyA,0),"")</f>
        <v/>
      </c>
      <c r="O493">
        <f>IFERROR(MATCH($C$5&amp;"|"&amp;RIGHT("000000"&amp;477,6),LdgRankKeyB,0),"")</f>
        <v/>
      </c>
    </row>
    <row r="494">
      <c r="A494" s="23" t="n">
        <v>478</v>
      </c>
      <c r="B494" s="24">
        <f>IF(AND($N494="",$O494=""),"",IF($N494&lt;&gt;"",INDEX(PCNormDate,$N494),INDEX(LdgDateB,$O494)))</f>
        <v/>
      </c>
      <c r="C494" s="24">
        <f>IF($N494&lt;&gt;"",INDEX(PCOp,$N494),IF($O494&lt;&gt;"",IF(N(INDEX(TxnDepB,$O494))&gt;0,"دریافت بانکی","پرداخت بانکی"),""))</f>
        <v/>
      </c>
      <c r="D494" s="24">
        <f>IF($N494&lt;&gt;"",IF(INDEX(PCDoc,$N494)="","—",INDEX(PCDoc,$N494)),IF($O494&lt;&gt;"",INDEX(LdgBankB,$O494),""))</f>
        <v/>
      </c>
      <c r="E494" s="24">
        <f>IF($N494&lt;&gt;"",IF(INDEX(PCCitrus,$N494)="","—",INDEX(PCCitrus,$N494)),"")</f>
        <v/>
      </c>
      <c r="F494" s="25">
        <f>IF($N494&lt;&gt;"",IF(INDEX(PCScale,$N494)=0,"",INDEX(PCScale,$N494)),"")</f>
        <v/>
      </c>
      <c r="G494" s="25">
        <f>IF($N494&lt;&gt;"",IF(INDEX(PCBaskets,$N494)=0,"",INDEX(PCBaskets,$N494)),"")</f>
        <v/>
      </c>
      <c r="H494" s="26">
        <f>IF($N494&lt;&gt;"",IF(INDEX(PCNet,$N494)=0,"",INDEX(PCNet,$N494)),"")</f>
        <v/>
      </c>
      <c r="I494" s="25">
        <f>IF($N494&lt;&gt;"",IF(INDEX(PCOp,$N494)="مرجوعی خرید","",IF(INDEX(PCAmount,$N494)&lt;=0,"",INDEX(PCAmount,$N494))),IF($O494&lt;&gt;"",IF(INDEX(TxnDepB,$O494)=0,"",INDEX(TxnDepB,$O494)),""))</f>
        <v/>
      </c>
      <c r="J494" s="25">
        <f>IF($N494&lt;&gt;"",IF(INDEX(PCOp,$N494)="مرجوعی خرید",IF(INDEX(PCAmount,$N494)=0,"",-INDEX(PCAmount,$N494)),""),IF($O494&lt;&gt;"",IF(INDEX(TxnWitB,$O494)=0,"",INDEX(TxnWitB,$O494)),""))</f>
        <v/>
      </c>
      <c r="K494" s="27">
        <f>IF($B494="","",IF($K493="",$C$10,$K493)+IF($I494="",0,$I494)-IF($J494="",0,$J494))</f>
        <v/>
      </c>
      <c r="L494" s="28">
        <f>IF($N494&lt;&gt;"",IF(INDEX(PCNotes,$N494)="","—",INDEX(PCNotes,$N494)),IF($O494&lt;&gt;"",IF(INDEX(LdgNoteB,$O494)="","—",INDEX(LdgNoteB,$O494)),""))</f>
        <v/>
      </c>
      <c r="N494">
        <f>IFERROR(MATCH($C$5&amp;"|"&amp;RIGHT("000000"&amp;478,6),LdgRankKeyA,0),"")</f>
        <v/>
      </c>
      <c r="O494">
        <f>IFERROR(MATCH($C$5&amp;"|"&amp;RIGHT("000000"&amp;478,6),LdgRankKeyB,0),"")</f>
        <v/>
      </c>
    </row>
    <row r="495">
      <c r="A495" s="17" t="n">
        <v>479</v>
      </c>
      <c r="B495" s="18">
        <f>IF(AND($N495="",$O495=""),"",IF($N495&lt;&gt;"",INDEX(PCNormDate,$N495),INDEX(LdgDateB,$O495)))</f>
        <v/>
      </c>
      <c r="C495" s="18">
        <f>IF($N495&lt;&gt;"",INDEX(PCOp,$N495),IF($O495&lt;&gt;"",IF(N(INDEX(TxnDepB,$O495))&gt;0,"دریافت بانکی","پرداخت بانکی"),""))</f>
        <v/>
      </c>
      <c r="D495" s="18">
        <f>IF($N495&lt;&gt;"",IF(INDEX(PCDoc,$N495)="","—",INDEX(PCDoc,$N495)),IF($O495&lt;&gt;"",INDEX(LdgBankB,$O495),""))</f>
        <v/>
      </c>
      <c r="E495" s="18">
        <f>IF($N495&lt;&gt;"",IF(INDEX(PCCitrus,$N495)="","—",INDEX(PCCitrus,$N495)),"")</f>
        <v/>
      </c>
      <c r="F495" s="19">
        <f>IF($N495&lt;&gt;"",IF(INDEX(PCScale,$N495)=0,"",INDEX(PCScale,$N495)),"")</f>
        <v/>
      </c>
      <c r="G495" s="19">
        <f>IF($N495&lt;&gt;"",IF(INDEX(PCBaskets,$N495)=0,"",INDEX(PCBaskets,$N495)),"")</f>
        <v/>
      </c>
      <c r="H495" s="20">
        <f>IF($N495&lt;&gt;"",IF(INDEX(PCNet,$N495)=0,"",INDEX(PCNet,$N495)),"")</f>
        <v/>
      </c>
      <c r="I495" s="19">
        <f>IF($N495&lt;&gt;"",IF(INDEX(PCOp,$N495)="مرجوعی خرید","",IF(INDEX(PCAmount,$N495)&lt;=0,"",INDEX(PCAmount,$N495))),IF($O495&lt;&gt;"",IF(INDEX(TxnDepB,$O495)=0,"",INDEX(TxnDepB,$O495)),""))</f>
        <v/>
      </c>
      <c r="J495" s="19">
        <f>IF($N495&lt;&gt;"",IF(INDEX(PCOp,$N495)="مرجوعی خرید",IF(INDEX(PCAmount,$N495)=0,"",-INDEX(PCAmount,$N495)),""),IF($O495&lt;&gt;"",IF(INDEX(TxnWitB,$O495)=0,"",INDEX(TxnWitB,$O495)),""))</f>
        <v/>
      </c>
      <c r="K495" s="21">
        <f>IF($B495="","",IF($K494="",$C$10,$K494)+IF($I495="",0,$I495)-IF($J495="",0,$J495))</f>
        <v/>
      </c>
      <c r="L495" s="22">
        <f>IF($N495&lt;&gt;"",IF(INDEX(PCNotes,$N495)="","—",INDEX(PCNotes,$N495)),IF($O495&lt;&gt;"",IF(INDEX(LdgNoteB,$O495)="","—",INDEX(LdgNoteB,$O495)),""))</f>
        <v/>
      </c>
      <c r="N495">
        <f>IFERROR(MATCH($C$5&amp;"|"&amp;RIGHT("000000"&amp;479,6),LdgRankKeyA,0),"")</f>
        <v/>
      </c>
      <c r="O495">
        <f>IFERROR(MATCH($C$5&amp;"|"&amp;RIGHT("000000"&amp;479,6),LdgRankKeyB,0),"")</f>
        <v/>
      </c>
    </row>
    <row r="496">
      <c r="A496" s="23" t="n">
        <v>480</v>
      </c>
      <c r="B496" s="24">
        <f>IF(AND($N496="",$O496=""),"",IF($N496&lt;&gt;"",INDEX(PCNormDate,$N496),INDEX(LdgDateB,$O496)))</f>
        <v/>
      </c>
      <c r="C496" s="24">
        <f>IF($N496&lt;&gt;"",INDEX(PCOp,$N496),IF($O496&lt;&gt;"",IF(N(INDEX(TxnDepB,$O496))&gt;0,"دریافت بانکی","پرداخت بانکی"),""))</f>
        <v/>
      </c>
      <c r="D496" s="24">
        <f>IF($N496&lt;&gt;"",IF(INDEX(PCDoc,$N496)="","—",INDEX(PCDoc,$N496)),IF($O496&lt;&gt;"",INDEX(LdgBankB,$O496),""))</f>
        <v/>
      </c>
      <c r="E496" s="24">
        <f>IF($N496&lt;&gt;"",IF(INDEX(PCCitrus,$N496)="","—",INDEX(PCCitrus,$N496)),"")</f>
        <v/>
      </c>
      <c r="F496" s="25">
        <f>IF($N496&lt;&gt;"",IF(INDEX(PCScale,$N496)=0,"",INDEX(PCScale,$N496)),"")</f>
        <v/>
      </c>
      <c r="G496" s="25">
        <f>IF($N496&lt;&gt;"",IF(INDEX(PCBaskets,$N496)=0,"",INDEX(PCBaskets,$N496)),"")</f>
        <v/>
      </c>
      <c r="H496" s="26">
        <f>IF($N496&lt;&gt;"",IF(INDEX(PCNet,$N496)=0,"",INDEX(PCNet,$N496)),"")</f>
        <v/>
      </c>
      <c r="I496" s="25">
        <f>IF($N496&lt;&gt;"",IF(INDEX(PCOp,$N496)="مرجوعی خرید","",IF(INDEX(PCAmount,$N496)&lt;=0,"",INDEX(PCAmount,$N496))),IF($O496&lt;&gt;"",IF(INDEX(TxnDepB,$O496)=0,"",INDEX(TxnDepB,$O496)),""))</f>
        <v/>
      </c>
      <c r="J496" s="25">
        <f>IF($N496&lt;&gt;"",IF(INDEX(PCOp,$N496)="مرجوعی خرید",IF(INDEX(PCAmount,$N496)=0,"",-INDEX(PCAmount,$N496)),""),IF($O496&lt;&gt;"",IF(INDEX(TxnWitB,$O496)=0,"",INDEX(TxnWitB,$O496)),""))</f>
        <v/>
      </c>
      <c r="K496" s="27">
        <f>IF($B496="","",IF($K495="",$C$10,$K495)+IF($I496="",0,$I496)-IF($J496="",0,$J496))</f>
        <v/>
      </c>
      <c r="L496" s="28">
        <f>IF($N496&lt;&gt;"",IF(INDEX(PCNotes,$N496)="","—",INDEX(PCNotes,$N496)),IF($O496&lt;&gt;"",IF(INDEX(LdgNoteB,$O496)="","—",INDEX(LdgNoteB,$O496)),""))</f>
        <v/>
      </c>
      <c r="N496">
        <f>IFERROR(MATCH($C$5&amp;"|"&amp;RIGHT("000000"&amp;480,6),LdgRankKeyA,0),"")</f>
        <v/>
      </c>
      <c r="O496">
        <f>IFERROR(MATCH($C$5&amp;"|"&amp;RIGHT("000000"&amp;480,6),LdgRankKeyB,0),"")</f>
        <v/>
      </c>
    </row>
    <row r="497">
      <c r="A497" s="17" t="n">
        <v>481</v>
      </c>
      <c r="B497" s="18">
        <f>IF(AND($N497="",$O497=""),"",IF($N497&lt;&gt;"",INDEX(PCNormDate,$N497),INDEX(LdgDateB,$O497)))</f>
        <v/>
      </c>
      <c r="C497" s="18">
        <f>IF($N497&lt;&gt;"",INDEX(PCOp,$N497),IF($O497&lt;&gt;"",IF(N(INDEX(TxnDepB,$O497))&gt;0,"دریافت بانکی","پرداخت بانکی"),""))</f>
        <v/>
      </c>
      <c r="D497" s="18">
        <f>IF($N497&lt;&gt;"",IF(INDEX(PCDoc,$N497)="","—",INDEX(PCDoc,$N497)),IF($O497&lt;&gt;"",INDEX(LdgBankB,$O497),""))</f>
        <v/>
      </c>
      <c r="E497" s="18">
        <f>IF($N497&lt;&gt;"",IF(INDEX(PCCitrus,$N497)="","—",INDEX(PCCitrus,$N497)),"")</f>
        <v/>
      </c>
      <c r="F497" s="19">
        <f>IF($N497&lt;&gt;"",IF(INDEX(PCScale,$N497)=0,"",INDEX(PCScale,$N497)),"")</f>
        <v/>
      </c>
      <c r="G497" s="19">
        <f>IF($N497&lt;&gt;"",IF(INDEX(PCBaskets,$N497)=0,"",INDEX(PCBaskets,$N497)),"")</f>
        <v/>
      </c>
      <c r="H497" s="20">
        <f>IF($N497&lt;&gt;"",IF(INDEX(PCNet,$N497)=0,"",INDEX(PCNet,$N497)),"")</f>
        <v/>
      </c>
      <c r="I497" s="19">
        <f>IF($N497&lt;&gt;"",IF(INDEX(PCOp,$N497)="مرجوعی خرید","",IF(INDEX(PCAmount,$N497)&lt;=0,"",INDEX(PCAmount,$N497))),IF($O497&lt;&gt;"",IF(INDEX(TxnDepB,$O497)=0,"",INDEX(TxnDepB,$O497)),""))</f>
        <v/>
      </c>
      <c r="J497" s="19">
        <f>IF($N497&lt;&gt;"",IF(INDEX(PCOp,$N497)="مرجوعی خرید",IF(INDEX(PCAmount,$N497)=0,"",-INDEX(PCAmount,$N497)),""),IF($O497&lt;&gt;"",IF(INDEX(TxnWitB,$O497)=0,"",INDEX(TxnWitB,$O497)),""))</f>
        <v/>
      </c>
      <c r="K497" s="21">
        <f>IF($B497="","",IF($K496="",$C$10,$K496)+IF($I497="",0,$I497)-IF($J497="",0,$J497))</f>
        <v/>
      </c>
      <c r="L497" s="22">
        <f>IF($N497&lt;&gt;"",IF(INDEX(PCNotes,$N497)="","—",INDEX(PCNotes,$N497)),IF($O497&lt;&gt;"",IF(INDEX(LdgNoteB,$O497)="","—",INDEX(LdgNoteB,$O497)),""))</f>
        <v/>
      </c>
      <c r="N497">
        <f>IFERROR(MATCH($C$5&amp;"|"&amp;RIGHT("000000"&amp;481,6),LdgRankKeyA,0),"")</f>
        <v/>
      </c>
      <c r="O497">
        <f>IFERROR(MATCH($C$5&amp;"|"&amp;RIGHT("000000"&amp;481,6),LdgRankKeyB,0),"")</f>
        <v/>
      </c>
    </row>
    <row r="498">
      <c r="A498" s="23" t="n">
        <v>482</v>
      </c>
      <c r="B498" s="24">
        <f>IF(AND($N498="",$O498=""),"",IF($N498&lt;&gt;"",INDEX(PCNormDate,$N498),INDEX(LdgDateB,$O498)))</f>
        <v/>
      </c>
      <c r="C498" s="24">
        <f>IF($N498&lt;&gt;"",INDEX(PCOp,$N498),IF($O498&lt;&gt;"",IF(N(INDEX(TxnDepB,$O498))&gt;0,"دریافت بانکی","پرداخت بانکی"),""))</f>
        <v/>
      </c>
      <c r="D498" s="24">
        <f>IF($N498&lt;&gt;"",IF(INDEX(PCDoc,$N498)="","—",INDEX(PCDoc,$N498)),IF($O498&lt;&gt;"",INDEX(LdgBankB,$O498),""))</f>
        <v/>
      </c>
      <c r="E498" s="24">
        <f>IF($N498&lt;&gt;"",IF(INDEX(PCCitrus,$N498)="","—",INDEX(PCCitrus,$N498)),"")</f>
        <v/>
      </c>
      <c r="F498" s="25">
        <f>IF($N498&lt;&gt;"",IF(INDEX(PCScale,$N498)=0,"",INDEX(PCScale,$N498)),"")</f>
        <v/>
      </c>
      <c r="G498" s="25">
        <f>IF($N498&lt;&gt;"",IF(INDEX(PCBaskets,$N498)=0,"",INDEX(PCBaskets,$N498)),"")</f>
        <v/>
      </c>
      <c r="H498" s="26">
        <f>IF($N498&lt;&gt;"",IF(INDEX(PCNet,$N498)=0,"",INDEX(PCNet,$N498)),"")</f>
        <v/>
      </c>
      <c r="I498" s="25">
        <f>IF($N498&lt;&gt;"",IF(INDEX(PCOp,$N498)="مرجوعی خرید","",IF(INDEX(PCAmount,$N498)&lt;=0,"",INDEX(PCAmount,$N498))),IF($O498&lt;&gt;"",IF(INDEX(TxnDepB,$O498)=0,"",INDEX(TxnDepB,$O498)),""))</f>
        <v/>
      </c>
      <c r="J498" s="25">
        <f>IF($N498&lt;&gt;"",IF(INDEX(PCOp,$N498)="مرجوعی خرید",IF(INDEX(PCAmount,$N498)=0,"",-INDEX(PCAmount,$N498)),""),IF($O498&lt;&gt;"",IF(INDEX(TxnWitB,$O498)=0,"",INDEX(TxnWitB,$O498)),""))</f>
        <v/>
      </c>
      <c r="K498" s="27">
        <f>IF($B498="","",IF($K497="",$C$10,$K497)+IF($I498="",0,$I498)-IF($J498="",0,$J498))</f>
        <v/>
      </c>
      <c r="L498" s="28">
        <f>IF($N498&lt;&gt;"",IF(INDEX(PCNotes,$N498)="","—",INDEX(PCNotes,$N498)),IF($O498&lt;&gt;"",IF(INDEX(LdgNoteB,$O498)="","—",INDEX(LdgNoteB,$O498)),""))</f>
        <v/>
      </c>
      <c r="N498">
        <f>IFERROR(MATCH($C$5&amp;"|"&amp;RIGHT("000000"&amp;482,6),LdgRankKeyA,0),"")</f>
        <v/>
      </c>
      <c r="O498">
        <f>IFERROR(MATCH($C$5&amp;"|"&amp;RIGHT("000000"&amp;482,6),LdgRankKeyB,0),"")</f>
        <v/>
      </c>
    </row>
    <row r="499">
      <c r="A499" s="17" t="n">
        <v>483</v>
      </c>
      <c r="B499" s="18">
        <f>IF(AND($N499="",$O499=""),"",IF($N499&lt;&gt;"",INDEX(PCNormDate,$N499),INDEX(LdgDateB,$O499)))</f>
        <v/>
      </c>
      <c r="C499" s="18">
        <f>IF($N499&lt;&gt;"",INDEX(PCOp,$N499),IF($O499&lt;&gt;"",IF(N(INDEX(TxnDepB,$O499))&gt;0,"دریافت بانکی","پرداخت بانکی"),""))</f>
        <v/>
      </c>
      <c r="D499" s="18">
        <f>IF($N499&lt;&gt;"",IF(INDEX(PCDoc,$N499)="","—",INDEX(PCDoc,$N499)),IF($O499&lt;&gt;"",INDEX(LdgBankB,$O499),""))</f>
        <v/>
      </c>
      <c r="E499" s="18">
        <f>IF($N499&lt;&gt;"",IF(INDEX(PCCitrus,$N499)="","—",INDEX(PCCitrus,$N499)),"")</f>
        <v/>
      </c>
      <c r="F499" s="19">
        <f>IF($N499&lt;&gt;"",IF(INDEX(PCScale,$N499)=0,"",INDEX(PCScale,$N499)),"")</f>
        <v/>
      </c>
      <c r="G499" s="19">
        <f>IF($N499&lt;&gt;"",IF(INDEX(PCBaskets,$N499)=0,"",INDEX(PCBaskets,$N499)),"")</f>
        <v/>
      </c>
      <c r="H499" s="20">
        <f>IF($N499&lt;&gt;"",IF(INDEX(PCNet,$N499)=0,"",INDEX(PCNet,$N499)),"")</f>
        <v/>
      </c>
      <c r="I499" s="19">
        <f>IF($N499&lt;&gt;"",IF(INDEX(PCOp,$N499)="مرجوعی خرید","",IF(INDEX(PCAmount,$N499)&lt;=0,"",INDEX(PCAmount,$N499))),IF($O499&lt;&gt;"",IF(INDEX(TxnDepB,$O499)=0,"",INDEX(TxnDepB,$O499)),""))</f>
        <v/>
      </c>
      <c r="J499" s="19">
        <f>IF($N499&lt;&gt;"",IF(INDEX(PCOp,$N499)="مرجوعی خرید",IF(INDEX(PCAmount,$N499)=0,"",-INDEX(PCAmount,$N499)),""),IF($O499&lt;&gt;"",IF(INDEX(TxnWitB,$O499)=0,"",INDEX(TxnWitB,$O499)),""))</f>
        <v/>
      </c>
      <c r="K499" s="21">
        <f>IF($B499="","",IF($K498="",$C$10,$K498)+IF($I499="",0,$I499)-IF($J499="",0,$J499))</f>
        <v/>
      </c>
      <c r="L499" s="22">
        <f>IF($N499&lt;&gt;"",IF(INDEX(PCNotes,$N499)="","—",INDEX(PCNotes,$N499)),IF($O499&lt;&gt;"",IF(INDEX(LdgNoteB,$O499)="","—",INDEX(LdgNoteB,$O499)),""))</f>
        <v/>
      </c>
      <c r="N499">
        <f>IFERROR(MATCH($C$5&amp;"|"&amp;RIGHT("000000"&amp;483,6),LdgRankKeyA,0),"")</f>
        <v/>
      </c>
      <c r="O499">
        <f>IFERROR(MATCH($C$5&amp;"|"&amp;RIGHT("000000"&amp;483,6),LdgRankKeyB,0),"")</f>
        <v/>
      </c>
    </row>
    <row r="500">
      <c r="A500" s="23" t="n">
        <v>484</v>
      </c>
      <c r="B500" s="24">
        <f>IF(AND($N500="",$O500=""),"",IF($N500&lt;&gt;"",INDEX(PCNormDate,$N500),INDEX(LdgDateB,$O500)))</f>
        <v/>
      </c>
      <c r="C500" s="24">
        <f>IF($N500&lt;&gt;"",INDEX(PCOp,$N500),IF($O500&lt;&gt;"",IF(N(INDEX(TxnDepB,$O500))&gt;0,"دریافت بانکی","پرداخت بانکی"),""))</f>
        <v/>
      </c>
      <c r="D500" s="24">
        <f>IF($N500&lt;&gt;"",IF(INDEX(PCDoc,$N500)="","—",INDEX(PCDoc,$N500)),IF($O500&lt;&gt;"",INDEX(LdgBankB,$O500),""))</f>
        <v/>
      </c>
      <c r="E500" s="24">
        <f>IF($N500&lt;&gt;"",IF(INDEX(PCCitrus,$N500)="","—",INDEX(PCCitrus,$N500)),"")</f>
        <v/>
      </c>
      <c r="F500" s="25">
        <f>IF($N500&lt;&gt;"",IF(INDEX(PCScale,$N500)=0,"",INDEX(PCScale,$N500)),"")</f>
        <v/>
      </c>
      <c r="G500" s="25">
        <f>IF($N500&lt;&gt;"",IF(INDEX(PCBaskets,$N500)=0,"",INDEX(PCBaskets,$N500)),"")</f>
        <v/>
      </c>
      <c r="H500" s="26">
        <f>IF($N500&lt;&gt;"",IF(INDEX(PCNet,$N500)=0,"",INDEX(PCNet,$N500)),"")</f>
        <v/>
      </c>
      <c r="I500" s="25">
        <f>IF($N500&lt;&gt;"",IF(INDEX(PCOp,$N500)="مرجوعی خرید","",IF(INDEX(PCAmount,$N500)&lt;=0,"",INDEX(PCAmount,$N500))),IF($O500&lt;&gt;"",IF(INDEX(TxnDepB,$O500)=0,"",INDEX(TxnDepB,$O500)),""))</f>
        <v/>
      </c>
      <c r="J500" s="25">
        <f>IF($N500&lt;&gt;"",IF(INDEX(PCOp,$N500)="مرجوعی خرید",IF(INDEX(PCAmount,$N500)=0,"",-INDEX(PCAmount,$N500)),""),IF($O500&lt;&gt;"",IF(INDEX(TxnWitB,$O500)=0,"",INDEX(TxnWitB,$O500)),""))</f>
        <v/>
      </c>
      <c r="K500" s="27">
        <f>IF($B500="","",IF($K499="",$C$10,$K499)+IF($I500="",0,$I500)-IF($J500="",0,$J500))</f>
        <v/>
      </c>
      <c r="L500" s="28">
        <f>IF($N500&lt;&gt;"",IF(INDEX(PCNotes,$N500)="","—",INDEX(PCNotes,$N500)),IF($O500&lt;&gt;"",IF(INDEX(LdgNoteB,$O500)="","—",INDEX(LdgNoteB,$O500)),""))</f>
        <v/>
      </c>
      <c r="N500">
        <f>IFERROR(MATCH($C$5&amp;"|"&amp;RIGHT("000000"&amp;484,6),LdgRankKeyA,0),"")</f>
        <v/>
      </c>
      <c r="O500">
        <f>IFERROR(MATCH($C$5&amp;"|"&amp;RIGHT("000000"&amp;484,6),LdgRankKeyB,0),"")</f>
        <v/>
      </c>
    </row>
    <row r="501">
      <c r="A501" s="17" t="n">
        <v>485</v>
      </c>
      <c r="B501" s="18">
        <f>IF(AND($N501="",$O501=""),"",IF($N501&lt;&gt;"",INDEX(PCNormDate,$N501),INDEX(LdgDateB,$O501)))</f>
        <v/>
      </c>
      <c r="C501" s="18">
        <f>IF($N501&lt;&gt;"",INDEX(PCOp,$N501),IF($O501&lt;&gt;"",IF(N(INDEX(TxnDepB,$O501))&gt;0,"دریافت بانکی","پرداخت بانکی"),""))</f>
        <v/>
      </c>
      <c r="D501" s="18">
        <f>IF($N501&lt;&gt;"",IF(INDEX(PCDoc,$N501)="","—",INDEX(PCDoc,$N501)),IF($O501&lt;&gt;"",INDEX(LdgBankB,$O501),""))</f>
        <v/>
      </c>
      <c r="E501" s="18">
        <f>IF($N501&lt;&gt;"",IF(INDEX(PCCitrus,$N501)="","—",INDEX(PCCitrus,$N501)),"")</f>
        <v/>
      </c>
      <c r="F501" s="19">
        <f>IF($N501&lt;&gt;"",IF(INDEX(PCScale,$N501)=0,"",INDEX(PCScale,$N501)),"")</f>
        <v/>
      </c>
      <c r="G501" s="19">
        <f>IF($N501&lt;&gt;"",IF(INDEX(PCBaskets,$N501)=0,"",INDEX(PCBaskets,$N501)),"")</f>
        <v/>
      </c>
      <c r="H501" s="20">
        <f>IF($N501&lt;&gt;"",IF(INDEX(PCNet,$N501)=0,"",INDEX(PCNet,$N501)),"")</f>
        <v/>
      </c>
      <c r="I501" s="19">
        <f>IF($N501&lt;&gt;"",IF(INDEX(PCOp,$N501)="مرجوعی خرید","",IF(INDEX(PCAmount,$N501)&lt;=0,"",INDEX(PCAmount,$N501))),IF($O501&lt;&gt;"",IF(INDEX(TxnDepB,$O501)=0,"",INDEX(TxnDepB,$O501)),""))</f>
        <v/>
      </c>
      <c r="J501" s="19">
        <f>IF($N501&lt;&gt;"",IF(INDEX(PCOp,$N501)="مرجوعی خرید",IF(INDEX(PCAmount,$N501)=0,"",-INDEX(PCAmount,$N501)),""),IF($O501&lt;&gt;"",IF(INDEX(TxnWitB,$O501)=0,"",INDEX(TxnWitB,$O501)),""))</f>
        <v/>
      </c>
      <c r="K501" s="21">
        <f>IF($B501="","",IF($K500="",$C$10,$K500)+IF($I501="",0,$I501)-IF($J501="",0,$J501))</f>
        <v/>
      </c>
      <c r="L501" s="22">
        <f>IF($N501&lt;&gt;"",IF(INDEX(PCNotes,$N501)="","—",INDEX(PCNotes,$N501)),IF($O501&lt;&gt;"",IF(INDEX(LdgNoteB,$O501)="","—",INDEX(LdgNoteB,$O501)),""))</f>
        <v/>
      </c>
      <c r="N501">
        <f>IFERROR(MATCH($C$5&amp;"|"&amp;RIGHT("000000"&amp;485,6),LdgRankKeyA,0),"")</f>
        <v/>
      </c>
      <c r="O501">
        <f>IFERROR(MATCH($C$5&amp;"|"&amp;RIGHT("000000"&amp;485,6),LdgRankKeyB,0),"")</f>
        <v/>
      </c>
    </row>
    <row r="502">
      <c r="A502" s="23" t="n">
        <v>486</v>
      </c>
      <c r="B502" s="24">
        <f>IF(AND($N502="",$O502=""),"",IF($N502&lt;&gt;"",INDEX(PCNormDate,$N502),INDEX(LdgDateB,$O502)))</f>
        <v/>
      </c>
      <c r="C502" s="24">
        <f>IF($N502&lt;&gt;"",INDEX(PCOp,$N502),IF($O502&lt;&gt;"",IF(N(INDEX(TxnDepB,$O502))&gt;0,"دریافت بانکی","پرداخت بانکی"),""))</f>
        <v/>
      </c>
      <c r="D502" s="24">
        <f>IF($N502&lt;&gt;"",IF(INDEX(PCDoc,$N502)="","—",INDEX(PCDoc,$N502)),IF($O502&lt;&gt;"",INDEX(LdgBankB,$O502),""))</f>
        <v/>
      </c>
      <c r="E502" s="24">
        <f>IF($N502&lt;&gt;"",IF(INDEX(PCCitrus,$N502)="","—",INDEX(PCCitrus,$N502)),"")</f>
        <v/>
      </c>
      <c r="F502" s="25">
        <f>IF($N502&lt;&gt;"",IF(INDEX(PCScale,$N502)=0,"",INDEX(PCScale,$N502)),"")</f>
        <v/>
      </c>
      <c r="G502" s="25">
        <f>IF($N502&lt;&gt;"",IF(INDEX(PCBaskets,$N502)=0,"",INDEX(PCBaskets,$N502)),"")</f>
        <v/>
      </c>
      <c r="H502" s="26">
        <f>IF($N502&lt;&gt;"",IF(INDEX(PCNet,$N502)=0,"",INDEX(PCNet,$N502)),"")</f>
        <v/>
      </c>
      <c r="I502" s="25">
        <f>IF($N502&lt;&gt;"",IF(INDEX(PCOp,$N502)="مرجوعی خرید","",IF(INDEX(PCAmount,$N502)&lt;=0,"",INDEX(PCAmount,$N502))),IF($O502&lt;&gt;"",IF(INDEX(TxnDepB,$O502)=0,"",INDEX(TxnDepB,$O502)),""))</f>
        <v/>
      </c>
      <c r="J502" s="25">
        <f>IF($N502&lt;&gt;"",IF(INDEX(PCOp,$N502)="مرجوعی خرید",IF(INDEX(PCAmount,$N502)=0,"",-INDEX(PCAmount,$N502)),""),IF($O502&lt;&gt;"",IF(INDEX(TxnWitB,$O502)=0,"",INDEX(TxnWitB,$O502)),""))</f>
        <v/>
      </c>
      <c r="K502" s="27">
        <f>IF($B502="","",IF($K501="",$C$10,$K501)+IF($I502="",0,$I502)-IF($J502="",0,$J502))</f>
        <v/>
      </c>
      <c r="L502" s="28">
        <f>IF($N502&lt;&gt;"",IF(INDEX(PCNotes,$N502)="","—",INDEX(PCNotes,$N502)),IF($O502&lt;&gt;"",IF(INDEX(LdgNoteB,$O502)="","—",INDEX(LdgNoteB,$O502)),""))</f>
        <v/>
      </c>
      <c r="N502">
        <f>IFERROR(MATCH($C$5&amp;"|"&amp;RIGHT("000000"&amp;486,6),LdgRankKeyA,0),"")</f>
        <v/>
      </c>
      <c r="O502">
        <f>IFERROR(MATCH($C$5&amp;"|"&amp;RIGHT("000000"&amp;486,6),LdgRankKeyB,0),"")</f>
        <v/>
      </c>
    </row>
    <row r="503">
      <c r="A503" s="17" t="n">
        <v>487</v>
      </c>
      <c r="B503" s="18">
        <f>IF(AND($N503="",$O503=""),"",IF($N503&lt;&gt;"",INDEX(PCNormDate,$N503),INDEX(LdgDateB,$O503)))</f>
        <v/>
      </c>
      <c r="C503" s="18">
        <f>IF($N503&lt;&gt;"",INDEX(PCOp,$N503),IF($O503&lt;&gt;"",IF(N(INDEX(TxnDepB,$O503))&gt;0,"دریافت بانکی","پرداخت بانکی"),""))</f>
        <v/>
      </c>
      <c r="D503" s="18">
        <f>IF($N503&lt;&gt;"",IF(INDEX(PCDoc,$N503)="","—",INDEX(PCDoc,$N503)),IF($O503&lt;&gt;"",INDEX(LdgBankB,$O503),""))</f>
        <v/>
      </c>
      <c r="E503" s="18">
        <f>IF($N503&lt;&gt;"",IF(INDEX(PCCitrus,$N503)="","—",INDEX(PCCitrus,$N503)),"")</f>
        <v/>
      </c>
      <c r="F503" s="19">
        <f>IF($N503&lt;&gt;"",IF(INDEX(PCScale,$N503)=0,"",INDEX(PCScale,$N503)),"")</f>
        <v/>
      </c>
      <c r="G503" s="19">
        <f>IF($N503&lt;&gt;"",IF(INDEX(PCBaskets,$N503)=0,"",INDEX(PCBaskets,$N503)),"")</f>
        <v/>
      </c>
      <c r="H503" s="20">
        <f>IF($N503&lt;&gt;"",IF(INDEX(PCNet,$N503)=0,"",INDEX(PCNet,$N503)),"")</f>
        <v/>
      </c>
      <c r="I503" s="19">
        <f>IF($N503&lt;&gt;"",IF(INDEX(PCOp,$N503)="مرجوعی خرید","",IF(INDEX(PCAmount,$N503)&lt;=0,"",INDEX(PCAmount,$N503))),IF($O503&lt;&gt;"",IF(INDEX(TxnDepB,$O503)=0,"",INDEX(TxnDepB,$O503)),""))</f>
        <v/>
      </c>
      <c r="J503" s="19">
        <f>IF($N503&lt;&gt;"",IF(INDEX(PCOp,$N503)="مرجوعی خرید",IF(INDEX(PCAmount,$N503)=0,"",-INDEX(PCAmount,$N503)),""),IF($O503&lt;&gt;"",IF(INDEX(TxnWitB,$O503)=0,"",INDEX(TxnWitB,$O503)),""))</f>
        <v/>
      </c>
      <c r="K503" s="21">
        <f>IF($B503="","",IF($K502="",$C$10,$K502)+IF($I503="",0,$I503)-IF($J503="",0,$J503))</f>
        <v/>
      </c>
      <c r="L503" s="22">
        <f>IF($N503&lt;&gt;"",IF(INDEX(PCNotes,$N503)="","—",INDEX(PCNotes,$N503)),IF($O503&lt;&gt;"",IF(INDEX(LdgNoteB,$O503)="","—",INDEX(LdgNoteB,$O503)),""))</f>
        <v/>
      </c>
      <c r="N503">
        <f>IFERROR(MATCH($C$5&amp;"|"&amp;RIGHT("000000"&amp;487,6),LdgRankKeyA,0),"")</f>
        <v/>
      </c>
      <c r="O503">
        <f>IFERROR(MATCH($C$5&amp;"|"&amp;RIGHT("000000"&amp;487,6),LdgRankKeyB,0),"")</f>
        <v/>
      </c>
    </row>
    <row r="504">
      <c r="A504" s="23" t="n">
        <v>488</v>
      </c>
      <c r="B504" s="24">
        <f>IF(AND($N504="",$O504=""),"",IF($N504&lt;&gt;"",INDEX(PCNormDate,$N504),INDEX(LdgDateB,$O504)))</f>
        <v/>
      </c>
      <c r="C504" s="24">
        <f>IF($N504&lt;&gt;"",INDEX(PCOp,$N504),IF($O504&lt;&gt;"",IF(N(INDEX(TxnDepB,$O504))&gt;0,"دریافت بانکی","پرداخت بانکی"),""))</f>
        <v/>
      </c>
      <c r="D504" s="24">
        <f>IF($N504&lt;&gt;"",IF(INDEX(PCDoc,$N504)="","—",INDEX(PCDoc,$N504)),IF($O504&lt;&gt;"",INDEX(LdgBankB,$O504),""))</f>
        <v/>
      </c>
      <c r="E504" s="24">
        <f>IF($N504&lt;&gt;"",IF(INDEX(PCCitrus,$N504)="","—",INDEX(PCCitrus,$N504)),"")</f>
        <v/>
      </c>
      <c r="F504" s="25">
        <f>IF($N504&lt;&gt;"",IF(INDEX(PCScale,$N504)=0,"",INDEX(PCScale,$N504)),"")</f>
        <v/>
      </c>
      <c r="G504" s="25">
        <f>IF($N504&lt;&gt;"",IF(INDEX(PCBaskets,$N504)=0,"",INDEX(PCBaskets,$N504)),"")</f>
        <v/>
      </c>
      <c r="H504" s="26">
        <f>IF($N504&lt;&gt;"",IF(INDEX(PCNet,$N504)=0,"",INDEX(PCNet,$N504)),"")</f>
        <v/>
      </c>
      <c r="I504" s="25">
        <f>IF($N504&lt;&gt;"",IF(INDEX(PCOp,$N504)="مرجوعی خرید","",IF(INDEX(PCAmount,$N504)&lt;=0,"",INDEX(PCAmount,$N504))),IF($O504&lt;&gt;"",IF(INDEX(TxnDepB,$O504)=0,"",INDEX(TxnDepB,$O504)),""))</f>
        <v/>
      </c>
      <c r="J504" s="25">
        <f>IF($N504&lt;&gt;"",IF(INDEX(PCOp,$N504)="مرجوعی خرید",IF(INDEX(PCAmount,$N504)=0,"",-INDEX(PCAmount,$N504)),""),IF($O504&lt;&gt;"",IF(INDEX(TxnWitB,$O504)=0,"",INDEX(TxnWitB,$O504)),""))</f>
        <v/>
      </c>
      <c r="K504" s="27">
        <f>IF($B504="","",IF($K503="",$C$10,$K503)+IF($I504="",0,$I504)-IF($J504="",0,$J504))</f>
        <v/>
      </c>
      <c r="L504" s="28">
        <f>IF($N504&lt;&gt;"",IF(INDEX(PCNotes,$N504)="","—",INDEX(PCNotes,$N504)),IF($O504&lt;&gt;"",IF(INDEX(LdgNoteB,$O504)="","—",INDEX(LdgNoteB,$O504)),""))</f>
        <v/>
      </c>
      <c r="N504">
        <f>IFERROR(MATCH($C$5&amp;"|"&amp;RIGHT("000000"&amp;488,6),LdgRankKeyA,0),"")</f>
        <v/>
      </c>
      <c r="O504">
        <f>IFERROR(MATCH($C$5&amp;"|"&amp;RIGHT("000000"&amp;488,6),LdgRankKeyB,0),"")</f>
        <v/>
      </c>
    </row>
    <row r="505">
      <c r="A505" s="17" t="n">
        <v>489</v>
      </c>
      <c r="B505" s="18">
        <f>IF(AND($N505="",$O505=""),"",IF($N505&lt;&gt;"",INDEX(PCNormDate,$N505),INDEX(LdgDateB,$O505)))</f>
        <v/>
      </c>
      <c r="C505" s="18">
        <f>IF($N505&lt;&gt;"",INDEX(PCOp,$N505),IF($O505&lt;&gt;"",IF(N(INDEX(TxnDepB,$O505))&gt;0,"دریافت بانکی","پرداخت بانکی"),""))</f>
        <v/>
      </c>
      <c r="D505" s="18">
        <f>IF($N505&lt;&gt;"",IF(INDEX(PCDoc,$N505)="","—",INDEX(PCDoc,$N505)),IF($O505&lt;&gt;"",INDEX(LdgBankB,$O505),""))</f>
        <v/>
      </c>
      <c r="E505" s="18">
        <f>IF($N505&lt;&gt;"",IF(INDEX(PCCitrus,$N505)="","—",INDEX(PCCitrus,$N505)),"")</f>
        <v/>
      </c>
      <c r="F505" s="19">
        <f>IF($N505&lt;&gt;"",IF(INDEX(PCScale,$N505)=0,"",INDEX(PCScale,$N505)),"")</f>
        <v/>
      </c>
      <c r="G505" s="19">
        <f>IF($N505&lt;&gt;"",IF(INDEX(PCBaskets,$N505)=0,"",INDEX(PCBaskets,$N505)),"")</f>
        <v/>
      </c>
      <c r="H505" s="20">
        <f>IF($N505&lt;&gt;"",IF(INDEX(PCNet,$N505)=0,"",INDEX(PCNet,$N505)),"")</f>
        <v/>
      </c>
      <c r="I505" s="19">
        <f>IF($N505&lt;&gt;"",IF(INDEX(PCOp,$N505)="مرجوعی خرید","",IF(INDEX(PCAmount,$N505)&lt;=0,"",INDEX(PCAmount,$N505))),IF($O505&lt;&gt;"",IF(INDEX(TxnDepB,$O505)=0,"",INDEX(TxnDepB,$O505)),""))</f>
        <v/>
      </c>
      <c r="J505" s="19">
        <f>IF($N505&lt;&gt;"",IF(INDEX(PCOp,$N505)="مرجوعی خرید",IF(INDEX(PCAmount,$N505)=0,"",-INDEX(PCAmount,$N505)),""),IF($O505&lt;&gt;"",IF(INDEX(TxnWitB,$O505)=0,"",INDEX(TxnWitB,$O505)),""))</f>
        <v/>
      </c>
      <c r="K505" s="21">
        <f>IF($B505="","",IF($K504="",$C$10,$K504)+IF($I505="",0,$I505)-IF($J505="",0,$J505))</f>
        <v/>
      </c>
      <c r="L505" s="22">
        <f>IF($N505&lt;&gt;"",IF(INDEX(PCNotes,$N505)="","—",INDEX(PCNotes,$N505)),IF($O505&lt;&gt;"",IF(INDEX(LdgNoteB,$O505)="","—",INDEX(LdgNoteB,$O505)),""))</f>
        <v/>
      </c>
      <c r="N505">
        <f>IFERROR(MATCH($C$5&amp;"|"&amp;RIGHT("000000"&amp;489,6),LdgRankKeyA,0),"")</f>
        <v/>
      </c>
      <c r="O505">
        <f>IFERROR(MATCH($C$5&amp;"|"&amp;RIGHT("000000"&amp;489,6),LdgRankKeyB,0),"")</f>
        <v/>
      </c>
    </row>
    <row r="506">
      <c r="A506" s="23" t="n">
        <v>490</v>
      </c>
      <c r="B506" s="24">
        <f>IF(AND($N506="",$O506=""),"",IF($N506&lt;&gt;"",INDEX(PCNormDate,$N506),INDEX(LdgDateB,$O506)))</f>
        <v/>
      </c>
      <c r="C506" s="24">
        <f>IF($N506&lt;&gt;"",INDEX(PCOp,$N506),IF($O506&lt;&gt;"",IF(N(INDEX(TxnDepB,$O506))&gt;0,"دریافت بانکی","پرداخت بانکی"),""))</f>
        <v/>
      </c>
      <c r="D506" s="24">
        <f>IF($N506&lt;&gt;"",IF(INDEX(PCDoc,$N506)="","—",INDEX(PCDoc,$N506)),IF($O506&lt;&gt;"",INDEX(LdgBankB,$O506),""))</f>
        <v/>
      </c>
      <c r="E506" s="24">
        <f>IF($N506&lt;&gt;"",IF(INDEX(PCCitrus,$N506)="","—",INDEX(PCCitrus,$N506)),"")</f>
        <v/>
      </c>
      <c r="F506" s="25">
        <f>IF($N506&lt;&gt;"",IF(INDEX(PCScale,$N506)=0,"",INDEX(PCScale,$N506)),"")</f>
        <v/>
      </c>
      <c r="G506" s="25">
        <f>IF($N506&lt;&gt;"",IF(INDEX(PCBaskets,$N506)=0,"",INDEX(PCBaskets,$N506)),"")</f>
        <v/>
      </c>
      <c r="H506" s="26">
        <f>IF($N506&lt;&gt;"",IF(INDEX(PCNet,$N506)=0,"",INDEX(PCNet,$N506)),"")</f>
        <v/>
      </c>
      <c r="I506" s="25">
        <f>IF($N506&lt;&gt;"",IF(INDEX(PCOp,$N506)="مرجوعی خرید","",IF(INDEX(PCAmount,$N506)&lt;=0,"",INDEX(PCAmount,$N506))),IF($O506&lt;&gt;"",IF(INDEX(TxnDepB,$O506)=0,"",INDEX(TxnDepB,$O506)),""))</f>
        <v/>
      </c>
      <c r="J506" s="25">
        <f>IF($N506&lt;&gt;"",IF(INDEX(PCOp,$N506)="مرجوعی خرید",IF(INDEX(PCAmount,$N506)=0,"",-INDEX(PCAmount,$N506)),""),IF($O506&lt;&gt;"",IF(INDEX(TxnWitB,$O506)=0,"",INDEX(TxnWitB,$O506)),""))</f>
        <v/>
      </c>
      <c r="K506" s="27">
        <f>IF($B506="","",IF($K505="",$C$10,$K505)+IF($I506="",0,$I506)-IF($J506="",0,$J506))</f>
        <v/>
      </c>
      <c r="L506" s="28">
        <f>IF($N506&lt;&gt;"",IF(INDEX(PCNotes,$N506)="","—",INDEX(PCNotes,$N506)),IF($O506&lt;&gt;"",IF(INDEX(LdgNoteB,$O506)="","—",INDEX(LdgNoteB,$O506)),""))</f>
        <v/>
      </c>
      <c r="N506">
        <f>IFERROR(MATCH($C$5&amp;"|"&amp;RIGHT("000000"&amp;490,6),LdgRankKeyA,0),"")</f>
        <v/>
      </c>
      <c r="O506">
        <f>IFERROR(MATCH($C$5&amp;"|"&amp;RIGHT("000000"&amp;490,6),LdgRankKeyB,0),"")</f>
        <v/>
      </c>
    </row>
    <row r="507">
      <c r="A507" s="17" t="n">
        <v>491</v>
      </c>
      <c r="B507" s="18">
        <f>IF(AND($N507="",$O507=""),"",IF($N507&lt;&gt;"",INDEX(PCNormDate,$N507),INDEX(LdgDateB,$O507)))</f>
        <v/>
      </c>
      <c r="C507" s="18">
        <f>IF($N507&lt;&gt;"",INDEX(PCOp,$N507),IF($O507&lt;&gt;"",IF(N(INDEX(TxnDepB,$O507))&gt;0,"دریافت بانکی","پرداخت بانکی"),""))</f>
        <v/>
      </c>
      <c r="D507" s="18">
        <f>IF($N507&lt;&gt;"",IF(INDEX(PCDoc,$N507)="","—",INDEX(PCDoc,$N507)),IF($O507&lt;&gt;"",INDEX(LdgBankB,$O507),""))</f>
        <v/>
      </c>
      <c r="E507" s="18">
        <f>IF($N507&lt;&gt;"",IF(INDEX(PCCitrus,$N507)="","—",INDEX(PCCitrus,$N507)),"")</f>
        <v/>
      </c>
      <c r="F507" s="19">
        <f>IF($N507&lt;&gt;"",IF(INDEX(PCScale,$N507)=0,"",INDEX(PCScale,$N507)),"")</f>
        <v/>
      </c>
      <c r="G507" s="19">
        <f>IF($N507&lt;&gt;"",IF(INDEX(PCBaskets,$N507)=0,"",INDEX(PCBaskets,$N507)),"")</f>
        <v/>
      </c>
      <c r="H507" s="20">
        <f>IF($N507&lt;&gt;"",IF(INDEX(PCNet,$N507)=0,"",INDEX(PCNet,$N507)),"")</f>
        <v/>
      </c>
      <c r="I507" s="19">
        <f>IF($N507&lt;&gt;"",IF(INDEX(PCOp,$N507)="مرجوعی خرید","",IF(INDEX(PCAmount,$N507)&lt;=0,"",INDEX(PCAmount,$N507))),IF($O507&lt;&gt;"",IF(INDEX(TxnDepB,$O507)=0,"",INDEX(TxnDepB,$O507)),""))</f>
        <v/>
      </c>
      <c r="J507" s="19">
        <f>IF($N507&lt;&gt;"",IF(INDEX(PCOp,$N507)="مرجوعی خرید",IF(INDEX(PCAmount,$N507)=0,"",-INDEX(PCAmount,$N507)),""),IF($O507&lt;&gt;"",IF(INDEX(TxnWitB,$O507)=0,"",INDEX(TxnWitB,$O507)),""))</f>
        <v/>
      </c>
      <c r="K507" s="21">
        <f>IF($B507="","",IF($K506="",$C$10,$K506)+IF($I507="",0,$I507)-IF($J507="",0,$J507))</f>
        <v/>
      </c>
      <c r="L507" s="22">
        <f>IF($N507&lt;&gt;"",IF(INDEX(PCNotes,$N507)="","—",INDEX(PCNotes,$N507)),IF($O507&lt;&gt;"",IF(INDEX(LdgNoteB,$O507)="","—",INDEX(LdgNoteB,$O507)),""))</f>
        <v/>
      </c>
      <c r="N507">
        <f>IFERROR(MATCH($C$5&amp;"|"&amp;RIGHT("000000"&amp;491,6),LdgRankKeyA,0),"")</f>
        <v/>
      </c>
      <c r="O507">
        <f>IFERROR(MATCH($C$5&amp;"|"&amp;RIGHT("000000"&amp;491,6),LdgRankKeyB,0),"")</f>
        <v/>
      </c>
    </row>
    <row r="508">
      <c r="A508" s="23" t="n">
        <v>492</v>
      </c>
      <c r="B508" s="24">
        <f>IF(AND($N508="",$O508=""),"",IF($N508&lt;&gt;"",INDEX(PCNormDate,$N508),INDEX(LdgDateB,$O508)))</f>
        <v/>
      </c>
      <c r="C508" s="24">
        <f>IF($N508&lt;&gt;"",INDEX(PCOp,$N508),IF($O508&lt;&gt;"",IF(N(INDEX(TxnDepB,$O508))&gt;0,"دریافت بانکی","پرداخت بانکی"),""))</f>
        <v/>
      </c>
      <c r="D508" s="24">
        <f>IF($N508&lt;&gt;"",IF(INDEX(PCDoc,$N508)="","—",INDEX(PCDoc,$N508)),IF($O508&lt;&gt;"",INDEX(LdgBankB,$O508),""))</f>
        <v/>
      </c>
      <c r="E508" s="24">
        <f>IF($N508&lt;&gt;"",IF(INDEX(PCCitrus,$N508)="","—",INDEX(PCCitrus,$N508)),"")</f>
        <v/>
      </c>
      <c r="F508" s="25">
        <f>IF($N508&lt;&gt;"",IF(INDEX(PCScale,$N508)=0,"",INDEX(PCScale,$N508)),"")</f>
        <v/>
      </c>
      <c r="G508" s="25">
        <f>IF($N508&lt;&gt;"",IF(INDEX(PCBaskets,$N508)=0,"",INDEX(PCBaskets,$N508)),"")</f>
        <v/>
      </c>
      <c r="H508" s="26">
        <f>IF($N508&lt;&gt;"",IF(INDEX(PCNet,$N508)=0,"",INDEX(PCNet,$N508)),"")</f>
        <v/>
      </c>
      <c r="I508" s="25">
        <f>IF($N508&lt;&gt;"",IF(INDEX(PCOp,$N508)="مرجوعی خرید","",IF(INDEX(PCAmount,$N508)&lt;=0,"",INDEX(PCAmount,$N508))),IF($O508&lt;&gt;"",IF(INDEX(TxnDepB,$O508)=0,"",INDEX(TxnDepB,$O508)),""))</f>
        <v/>
      </c>
      <c r="J508" s="25">
        <f>IF($N508&lt;&gt;"",IF(INDEX(PCOp,$N508)="مرجوعی خرید",IF(INDEX(PCAmount,$N508)=0,"",-INDEX(PCAmount,$N508)),""),IF($O508&lt;&gt;"",IF(INDEX(TxnWitB,$O508)=0,"",INDEX(TxnWitB,$O508)),""))</f>
        <v/>
      </c>
      <c r="K508" s="27">
        <f>IF($B508="","",IF($K507="",$C$10,$K507)+IF($I508="",0,$I508)-IF($J508="",0,$J508))</f>
        <v/>
      </c>
      <c r="L508" s="28">
        <f>IF($N508&lt;&gt;"",IF(INDEX(PCNotes,$N508)="","—",INDEX(PCNotes,$N508)),IF($O508&lt;&gt;"",IF(INDEX(LdgNoteB,$O508)="","—",INDEX(LdgNoteB,$O508)),""))</f>
        <v/>
      </c>
      <c r="N508">
        <f>IFERROR(MATCH($C$5&amp;"|"&amp;RIGHT("000000"&amp;492,6),LdgRankKeyA,0),"")</f>
        <v/>
      </c>
      <c r="O508">
        <f>IFERROR(MATCH($C$5&amp;"|"&amp;RIGHT("000000"&amp;492,6),LdgRankKeyB,0),"")</f>
        <v/>
      </c>
    </row>
    <row r="509">
      <c r="A509" s="17" t="n">
        <v>493</v>
      </c>
      <c r="B509" s="18">
        <f>IF(AND($N509="",$O509=""),"",IF($N509&lt;&gt;"",INDEX(PCNormDate,$N509),INDEX(LdgDateB,$O509)))</f>
        <v/>
      </c>
      <c r="C509" s="18">
        <f>IF($N509&lt;&gt;"",INDEX(PCOp,$N509),IF($O509&lt;&gt;"",IF(N(INDEX(TxnDepB,$O509))&gt;0,"دریافت بانکی","پرداخت بانکی"),""))</f>
        <v/>
      </c>
      <c r="D509" s="18">
        <f>IF($N509&lt;&gt;"",IF(INDEX(PCDoc,$N509)="","—",INDEX(PCDoc,$N509)),IF($O509&lt;&gt;"",INDEX(LdgBankB,$O509),""))</f>
        <v/>
      </c>
      <c r="E509" s="18">
        <f>IF($N509&lt;&gt;"",IF(INDEX(PCCitrus,$N509)="","—",INDEX(PCCitrus,$N509)),"")</f>
        <v/>
      </c>
      <c r="F509" s="19">
        <f>IF($N509&lt;&gt;"",IF(INDEX(PCScale,$N509)=0,"",INDEX(PCScale,$N509)),"")</f>
        <v/>
      </c>
      <c r="G509" s="19">
        <f>IF($N509&lt;&gt;"",IF(INDEX(PCBaskets,$N509)=0,"",INDEX(PCBaskets,$N509)),"")</f>
        <v/>
      </c>
      <c r="H509" s="20">
        <f>IF($N509&lt;&gt;"",IF(INDEX(PCNet,$N509)=0,"",INDEX(PCNet,$N509)),"")</f>
        <v/>
      </c>
      <c r="I509" s="19">
        <f>IF($N509&lt;&gt;"",IF(INDEX(PCOp,$N509)="مرجوعی خرید","",IF(INDEX(PCAmount,$N509)&lt;=0,"",INDEX(PCAmount,$N509))),IF($O509&lt;&gt;"",IF(INDEX(TxnDepB,$O509)=0,"",INDEX(TxnDepB,$O509)),""))</f>
        <v/>
      </c>
      <c r="J509" s="19">
        <f>IF($N509&lt;&gt;"",IF(INDEX(PCOp,$N509)="مرجوعی خرید",IF(INDEX(PCAmount,$N509)=0,"",-INDEX(PCAmount,$N509)),""),IF($O509&lt;&gt;"",IF(INDEX(TxnWitB,$O509)=0,"",INDEX(TxnWitB,$O509)),""))</f>
        <v/>
      </c>
      <c r="K509" s="21">
        <f>IF($B509="","",IF($K508="",$C$10,$K508)+IF($I509="",0,$I509)-IF($J509="",0,$J509))</f>
        <v/>
      </c>
      <c r="L509" s="22">
        <f>IF($N509&lt;&gt;"",IF(INDEX(PCNotes,$N509)="","—",INDEX(PCNotes,$N509)),IF($O509&lt;&gt;"",IF(INDEX(LdgNoteB,$O509)="","—",INDEX(LdgNoteB,$O509)),""))</f>
        <v/>
      </c>
      <c r="N509">
        <f>IFERROR(MATCH($C$5&amp;"|"&amp;RIGHT("000000"&amp;493,6),LdgRankKeyA,0),"")</f>
        <v/>
      </c>
      <c r="O509">
        <f>IFERROR(MATCH($C$5&amp;"|"&amp;RIGHT("000000"&amp;493,6),LdgRankKeyB,0),"")</f>
        <v/>
      </c>
    </row>
    <row r="510">
      <c r="A510" s="23" t="n">
        <v>494</v>
      </c>
      <c r="B510" s="24">
        <f>IF(AND($N510="",$O510=""),"",IF($N510&lt;&gt;"",INDEX(PCNormDate,$N510),INDEX(LdgDateB,$O510)))</f>
        <v/>
      </c>
      <c r="C510" s="24">
        <f>IF($N510&lt;&gt;"",INDEX(PCOp,$N510),IF($O510&lt;&gt;"",IF(N(INDEX(TxnDepB,$O510))&gt;0,"دریافت بانکی","پرداخت بانکی"),""))</f>
        <v/>
      </c>
      <c r="D510" s="24">
        <f>IF($N510&lt;&gt;"",IF(INDEX(PCDoc,$N510)="","—",INDEX(PCDoc,$N510)),IF($O510&lt;&gt;"",INDEX(LdgBankB,$O510),""))</f>
        <v/>
      </c>
      <c r="E510" s="24">
        <f>IF($N510&lt;&gt;"",IF(INDEX(PCCitrus,$N510)="","—",INDEX(PCCitrus,$N510)),"")</f>
        <v/>
      </c>
      <c r="F510" s="25">
        <f>IF($N510&lt;&gt;"",IF(INDEX(PCScale,$N510)=0,"",INDEX(PCScale,$N510)),"")</f>
        <v/>
      </c>
      <c r="G510" s="25">
        <f>IF($N510&lt;&gt;"",IF(INDEX(PCBaskets,$N510)=0,"",INDEX(PCBaskets,$N510)),"")</f>
        <v/>
      </c>
      <c r="H510" s="26">
        <f>IF($N510&lt;&gt;"",IF(INDEX(PCNet,$N510)=0,"",INDEX(PCNet,$N510)),"")</f>
        <v/>
      </c>
      <c r="I510" s="25">
        <f>IF($N510&lt;&gt;"",IF(INDEX(PCOp,$N510)="مرجوعی خرید","",IF(INDEX(PCAmount,$N510)&lt;=0,"",INDEX(PCAmount,$N510))),IF($O510&lt;&gt;"",IF(INDEX(TxnDepB,$O510)=0,"",INDEX(TxnDepB,$O510)),""))</f>
        <v/>
      </c>
      <c r="J510" s="25">
        <f>IF($N510&lt;&gt;"",IF(INDEX(PCOp,$N510)="مرجوعی خرید",IF(INDEX(PCAmount,$N510)=0,"",-INDEX(PCAmount,$N510)),""),IF($O510&lt;&gt;"",IF(INDEX(TxnWitB,$O510)=0,"",INDEX(TxnWitB,$O510)),""))</f>
        <v/>
      </c>
      <c r="K510" s="27">
        <f>IF($B510="","",IF($K509="",$C$10,$K509)+IF($I510="",0,$I510)-IF($J510="",0,$J510))</f>
        <v/>
      </c>
      <c r="L510" s="28">
        <f>IF($N510&lt;&gt;"",IF(INDEX(PCNotes,$N510)="","—",INDEX(PCNotes,$N510)),IF($O510&lt;&gt;"",IF(INDEX(LdgNoteB,$O510)="","—",INDEX(LdgNoteB,$O510)),""))</f>
        <v/>
      </c>
      <c r="N510">
        <f>IFERROR(MATCH($C$5&amp;"|"&amp;RIGHT("000000"&amp;494,6),LdgRankKeyA,0),"")</f>
        <v/>
      </c>
      <c r="O510">
        <f>IFERROR(MATCH($C$5&amp;"|"&amp;RIGHT("000000"&amp;494,6),LdgRankKeyB,0),"")</f>
        <v/>
      </c>
    </row>
    <row r="511">
      <c r="A511" s="17" t="n">
        <v>495</v>
      </c>
      <c r="B511" s="18">
        <f>IF(AND($N511="",$O511=""),"",IF($N511&lt;&gt;"",INDEX(PCNormDate,$N511),INDEX(LdgDateB,$O511)))</f>
        <v/>
      </c>
      <c r="C511" s="18">
        <f>IF($N511&lt;&gt;"",INDEX(PCOp,$N511),IF($O511&lt;&gt;"",IF(N(INDEX(TxnDepB,$O511))&gt;0,"دریافت بانکی","پرداخت بانکی"),""))</f>
        <v/>
      </c>
      <c r="D511" s="18">
        <f>IF($N511&lt;&gt;"",IF(INDEX(PCDoc,$N511)="","—",INDEX(PCDoc,$N511)),IF($O511&lt;&gt;"",INDEX(LdgBankB,$O511),""))</f>
        <v/>
      </c>
      <c r="E511" s="18">
        <f>IF($N511&lt;&gt;"",IF(INDEX(PCCitrus,$N511)="","—",INDEX(PCCitrus,$N511)),"")</f>
        <v/>
      </c>
      <c r="F511" s="19">
        <f>IF($N511&lt;&gt;"",IF(INDEX(PCScale,$N511)=0,"",INDEX(PCScale,$N511)),"")</f>
        <v/>
      </c>
      <c r="G511" s="19">
        <f>IF($N511&lt;&gt;"",IF(INDEX(PCBaskets,$N511)=0,"",INDEX(PCBaskets,$N511)),"")</f>
        <v/>
      </c>
      <c r="H511" s="20">
        <f>IF($N511&lt;&gt;"",IF(INDEX(PCNet,$N511)=0,"",INDEX(PCNet,$N511)),"")</f>
        <v/>
      </c>
      <c r="I511" s="19">
        <f>IF($N511&lt;&gt;"",IF(INDEX(PCOp,$N511)="مرجوعی خرید","",IF(INDEX(PCAmount,$N511)&lt;=0,"",INDEX(PCAmount,$N511))),IF($O511&lt;&gt;"",IF(INDEX(TxnDepB,$O511)=0,"",INDEX(TxnDepB,$O511)),""))</f>
        <v/>
      </c>
      <c r="J511" s="19">
        <f>IF($N511&lt;&gt;"",IF(INDEX(PCOp,$N511)="مرجوعی خرید",IF(INDEX(PCAmount,$N511)=0,"",-INDEX(PCAmount,$N511)),""),IF($O511&lt;&gt;"",IF(INDEX(TxnWitB,$O511)=0,"",INDEX(TxnWitB,$O511)),""))</f>
        <v/>
      </c>
      <c r="K511" s="21">
        <f>IF($B511="","",IF($K510="",$C$10,$K510)+IF($I511="",0,$I511)-IF($J511="",0,$J511))</f>
        <v/>
      </c>
      <c r="L511" s="22">
        <f>IF($N511&lt;&gt;"",IF(INDEX(PCNotes,$N511)="","—",INDEX(PCNotes,$N511)),IF($O511&lt;&gt;"",IF(INDEX(LdgNoteB,$O511)="","—",INDEX(LdgNoteB,$O511)),""))</f>
        <v/>
      </c>
      <c r="N511">
        <f>IFERROR(MATCH($C$5&amp;"|"&amp;RIGHT("000000"&amp;495,6),LdgRankKeyA,0),"")</f>
        <v/>
      </c>
      <c r="O511">
        <f>IFERROR(MATCH($C$5&amp;"|"&amp;RIGHT("000000"&amp;495,6),LdgRankKeyB,0),"")</f>
        <v/>
      </c>
    </row>
    <row r="512">
      <c r="A512" s="23" t="n">
        <v>496</v>
      </c>
      <c r="B512" s="24">
        <f>IF(AND($N512="",$O512=""),"",IF($N512&lt;&gt;"",INDEX(PCNormDate,$N512),INDEX(LdgDateB,$O512)))</f>
        <v/>
      </c>
      <c r="C512" s="24">
        <f>IF($N512&lt;&gt;"",INDEX(PCOp,$N512),IF($O512&lt;&gt;"",IF(N(INDEX(TxnDepB,$O512))&gt;0,"دریافت بانکی","پرداخت بانکی"),""))</f>
        <v/>
      </c>
      <c r="D512" s="24">
        <f>IF($N512&lt;&gt;"",IF(INDEX(PCDoc,$N512)="","—",INDEX(PCDoc,$N512)),IF($O512&lt;&gt;"",INDEX(LdgBankB,$O512),""))</f>
        <v/>
      </c>
      <c r="E512" s="24">
        <f>IF($N512&lt;&gt;"",IF(INDEX(PCCitrus,$N512)="","—",INDEX(PCCitrus,$N512)),"")</f>
        <v/>
      </c>
      <c r="F512" s="25">
        <f>IF($N512&lt;&gt;"",IF(INDEX(PCScale,$N512)=0,"",INDEX(PCScale,$N512)),"")</f>
        <v/>
      </c>
      <c r="G512" s="25">
        <f>IF($N512&lt;&gt;"",IF(INDEX(PCBaskets,$N512)=0,"",INDEX(PCBaskets,$N512)),"")</f>
        <v/>
      </c>
      <c r="H512" s="26">
        <f>IF($N512&lt;&gt;"",IF(INDEX(PCNet,$N512)=0,"",INDEX(PCNet,$N512)),"")</f>
        <v/>
      </c>
      <c r="I512" s="25">
        <f>IF($N512&lt;&gt;"",IF(INDEX(PCOp,$N512)="مرجوعی خرید","",IF(INDEX(PCAmount,$N512)&lt;=0,"",INDEX(PCAmount,$N512))),IF($O512&lt;&gt;"",IF(INDEX(TxnDepB,$O512)=0,"",INDEX(TxnDepB,$O512)),""))</f>
        <v/>
      </c>
      <c r="J512" s="25">
        <f>IF($N512&lt;&gt;"",IF(INDEX(PCOp,$N512)="مرجوعی خرید",IF(INDEX(PCAmount,$N512)=0,"",-INDEX(PCAmount,$N512)),""),IF($O512&lt;&gt;"",IF(INDEX(TxnWitB,$O512)=0,"",INDEX(TxnWitB,$O512)),""))</f>
        <v/>
      </c>
      <c r="K512" s="27">
        <f>IF($B512="","",IF($K511="",$C$10,$K511)+IF($I512="",0,$I512)-IF($J512="",0,$J512))</f>
        <v/>
      </c>
      <c r="L512" s="28">
        <f>IF($N512&lt;&gt;"",IF(INDEX(PCNotes,$N512)="","—",INDEX(PCNotes,$N512)),IF($O512&lt;&gt;"",IF(INDEX(LdgNoteB,$O512)="","—",INDEX(LdgNoteB,$O512)),""))</f>
        <v/>
      </c>
      <c r="N512">
        <f>IFERROR(MATCH($C$5&amp;"|"&amp;RIGHT("000000"&amp;496,6),LdgRankKeyA,0),"")</f>
        <v/>
      </c>
      <c r="O512">
        <f>IFERROR(MATCH($C$5&amp;"|"&amp;RIGHT("000000"&amp;496,6),LdgRankKeyB,0),"")</f>
        <v/>
      </c>
    </row>
    <row r="513">
      <c r="A513" s="17" t="n">
        <v>497</v>
      </c>
      <c r="B513" s="18">
        <f>IF(AND($N513="",$O513=""),"",IF($N513&lt;&gt;"",INDEX(PCNormDate,$N513),INDEX(LdgDateB,$O513)))</f>
        <v/>
      </c>
      <c r="C513" s="18">
        <f>IF($N513&lt;&gt;"",INDEX(PCOp,$N513),IF($O513&lt;&gt;"",IF(N(INDEX(TxnDepB,$O513))&gt;0,"دریافت بانکی","پرداخت بانکی"),""))</f>
        <v/>
      </c>
      <c r="D513" s="18">
        <f>IF($N513&lt;&gt;"",IF(INDEX(PCDoc,$N513)="","—",INDEX(PCDoc,$N513)),IF($O513&lt;&gt;"",INDEX(LdgBankB,$O513),""))</f>
        <v/>
      </c>
      <c r="E513" s="18">
        <f>IF($N513&lt;&gt;"",IF(INDEX(PCCitrus,$N513)="","—",INDEX(PCCitrus,$N513)),"")</f>
        <v/>
      </c>
      <c r="F513" s="19">
        <f>IF($N513&lt;&gt;"",IF(INDEX(PCScale,$N513)=0,"",INDEX(PCScale,$N513)),"")</f>
        <v/>
      </c>
      <c r="G513" s="19">
        <f>IF($N513&lt;&gt;"",IF(INDEX(PCBaskets,$N513)=0,"",INDEX(PCBaskets,$N513)),"")</f>
        <v/>
      </c>
      <c r="H513" s="20">
        <f>IF($N513&lt;&gt;"",IF(INDEX(PCNet,$N513)=0,"",INDEX(PCNet,$N513)),"")</f>
        <v/>
      </c>
      <c r="I513" s="19">
        <f>IF($N513&lt;&gt;"",IF(INDEX(PCOp,$N513)="مرجوعی خرید","",IF(INDEX(PCAmount,$N513)&lt;=0,"",INDEX(PCAmount,$N513))),IF($O513&lt;&gt;"",IF(INDEX(TxnDepB,$O513)=0,"",INDEX(TxnDepB,$O513)),""))</f>
        <v/>
      </c>
      <c r="J513" s="19">
        <f>IF($N513&lt;&gt;"",IF(INDEX(PCOp,$N513)="مرجوعی خرید",IF(INDEX(PCAmount,$N513)=0,"",-INDEX(PCAmount,$N513)),""),IF($O513&lt;&gt;"",IF(INDEX(TxnWitB,$O513)=0,"",INDEX(TxnWitB,$O513)),""))</f>
        <v/>
      </c>
      <c r="K513" s="21">
        <f>IF($B513="","",IF($K512="",$C$10,$K512)+IF($I513="",0,$I513)-IF($J513="",0,$J513))</f>
        <v/>
      </c>
      <c r="L513" s="22">
        <f>IF($N513&lt;&gt;"",IF(INDEX(PCNotes,$N513)="","—",INDEX(PCNotes,$N513)),IF($O513&lt;&gt;"",IF(INDEX(LdgNoteB,$O513)="","—",INDEX(LdgNoteB,$O513)),""))</f>
        <v/>
      </c>
      <c r="N513">
        <f>IFERROR(MATCH($C$5&amp;"|"&amp;RIGHT("000000"&amp;497,6),LdgRankKeyA,0),"")</f>
        <v/>
      </c>
      <c r="O513">
        <f>IFERROR(MATCH($C$5&amp;"|"&amp;RIGHT("000000"&amp;497,6),LdgRankKeyB,0),"")</f>
        <v/>
      </c>
    </row>
    <row r="514">
      <c r="A514" s="23" t="n">
        <v>498</v>
      </c>
      <c r="B514" s="24">
        <f>IF(AND($N514="",$O514=""),"",IF($N514&lt;&gt;"",INDEX(PCNormDate,$N514),INDEX(LdgDateB,$O514)))</f>
        <v/>
      </c>
      <c r="C514" s="24">
        <f>IF($N514&lt;&gt;"",INDEX(PCOp,$N514),IF($O514&lt;&gt;"",IF(N(INDEX(TxnDepB,$O514))&gt;0,"دریافت بانکی","پرداخت بانکی"),""))</f>
        <v/>
      </c>
      <c r="D514" s="24">
        <f>IF($N514&lt;&gt;"",IF(INDEX(PCDoc,$N514)="","—",INDEX(PCDoc,$N514)),IF($O514&lt;&gt;"",INDEX(LdgBankB,$O514),""))</f>
        <v/>
      </c>
      <c r="E514" s="24">
        <f>IF($N514&lt;&gt;"",IF(INDEX(PCCitrus,$N514)="","—",INDEX(PCCitrus,$N514)),"")</f>
        <v/>
      </c>
      <c r="F514" s="25">
        <f>IF($N514&lt;&gt;"",IF(INDEX(PCScale,$N514)=0,"",INDEX(PCScale,$N514)),"")</f>
        <v/>
      </c>
      <c r="G514" s="25">
        <f>IF($N514&lt;&gt;"",IF(INDEX(PCBaskets,$N514)=0,"",INDEX(PCBaskets,$N514)),"")</f>
        <v/>
      </c>
      <c r="H514" s="26">
        <f>IF($N514&lt;&gt;"",IF(INDEX(PCNet,$N514)=0,"",INDEX(PCNet,$N514)),"")</f>
        <v/>
      </c>
      <c r="I514" s="25">
        <f>IF($N514&lt;&gt;"",IF(INDEX(PCOp,$N514)="مرجوعی خرید","",IF(INDEX(PCAmount,$N514)&lt;=0,"",INDEX(PCAmount,$N514))),IF($O514&lt;&gt;"",IF(INDEX(TxnDepB,$O514)=0,"",INDEX(TxnDepB,$O514)),""))</f>
        <v/>
      </c>
      <c r="J514" s="25">
        <f>IF($N514&lt;&gt;"",IF(INDEX(PCOp,$N514)="مرجوعی خرید",IF(INDEX(PCAmount,$N514)=0,"",-INDEX(PCAmount,$N514)),""),IF($O514&lt;&gt;"",IF(INDEX(TxnWitB,$O514)=0,"",INDEX(TxnWitB,$O514)),""))</f>
        <v/>
      </c>
      <c r="K514" s="27">
        <f>IF($B514="","",IF($K513="",$C$10,$K513)+IF($I514="",0,$I514)-IF($J514="",0,$J514))</f>
        <v/>
      </c>
      <c r="L514" s="28">
        <f>IF($N514&lt;&gt;"",IF(INDEX(PCNotes,$N514)="","—",INDEX(PCNotes,$N514)),IF($O514&lt;&gt;"",IF(INDEX(LdgNoteB,$O514)="","—",INDEX(LdgNoteB,$O514)),""))</f>
        <v/>
      </c>
      <c r="N514">
        <f>IFERROR(MATCH($C$5&amp;"|"&amp;RIGHT("000000"&amp;498,6),LdgRankKeyA,0),"")</f>
        <v/>
      </c>
      <c r="O514">
        <f>IFERROR(MATCH($C$5&amp;"|"&amp;RIGHT("000000"&amp;498,6),LdgRankKeyB,0),"")</f>
        <v/>
      </c>
    </row>
    <row r="515">
      <c r="A515" s="17" t="n">
        <v>499</v>
      </c>
      <c r="B515" s="18">
        <f>IF(AND($N515="",$O515=""),"",IF($N515&lt;&gt;"",INDEX(PCNormDate,$N515),INDEX(LdgDateB,$O515)))</f>
        <v/>
      </c>
      <c r="C515" s="18">
        <f>IF($N515&lt;&gt;"",INDEX(PCOp,$N515),IF($O515&lt;&gt;"",IF(N(INDEX(TxnDepB,$O515))&gt;0,"دریافت بانکی","پرداخت بانکی"),""))</f>
        <v/>
      </c>
      <c r="D515" s="18">
        <f>IF($N515&lt;&gt;"",IF(INDEX(PCDoc,$N515)="","—",INDEX(PCDoc,$N515)),IF($O515&lt;&gt;"",INDEX(LdgBankB,$O515),""))</f>
        <v/>
      </c>
      <c r="E515" s="18">
        <f>IF($N515&lt;&gt;"",IF(INDEX(PCCitrus,$N515)="","—",INDEX(PCCitrus,$N515)),"")</f>
        <v/>
      </c>
      <c r="F515" s="19">
        <f>IF($N515&lt;&gt;"",IF(INDEX(PCScale,$N515)=0,"",INDEX(PCScale,$N515)),"")</f>
        <v/>
      </c>
      <c r="G515" s="19">
        <f>IF($N515&lt;&gt;"",IF(INDEX(PCBaskets,$N515)=0,"",INDEX(PCBaskets,$N515)),"")</f>
        <v/>
      </c>
      <c r="H515" s="20">
        <f>IF($N515&lt;&gt;"",IF(INDEX(PCNet,$N515)=0,"",INDEX(PCNet,$N515)),"")</f>
        <v/>
      </c>
      <c r="I515" s="19">
        <f>IF($N515&lt;&gt;"",IF(INDEX(PCOp,$N515)="مرجوعی خرید","",IF(INDEX(PCAmount,$N515)&lt;=0,"",INDEX(PCAmount,$N515))),IF($O515&lt;&gt;"",IF(INDEX(TxnDepB,$O515)=0,"",INDEX(TxnDepB,$O515)),""))</f>
        <v/>
      </c>
      <c r="J515" s="19">
        <f>IF($N515&lt;&gt;"",IF(INDEX(PCOp,$N515)="مرجوعی خرید",IF(INDEX(PCAmount,$N515)=0,"",-INDEX(PCAmount,$N515)),""),IF($O515&lt;&gt;"",IF(INDEX(TxnWitB,$O515)=0,"",INDEX(TxnWitB,$O515)),""))</f>
        <v/>
      </c>
      <c r="K515" s="21">
        <f>IF($B515="","",IF($K514="",$C$10,$K514)+IF($I515="",0,$I515)-IF($J515="",0,$J515))</f>
        <v/>
      </c>
      <c r="L515" s="22">
        <f>IF($N515&lt;&gt;"",IF(INDEX(PCNotes,$N515)="","—",INDEX(PCNotes,$N515)),IF($O515&lt;&gt;"",IF(INDEX(LdgNoteB,$O515)="","—",INDEX(LdgNoteB,$O515)),""))</f>
        <v/>
      </c>
      <c r="N515">
        <f>IFERROR(MATCH($C$5&amp;"|"&amp;RIGHT("000000"&amp;499,6),LdgRankKeyA,0),"")</f>
        <v/>
      </c>
      <c r="O515">
        <f>IFERROR(MATCH($C$5&amp;"|"&amp;RIGHT("000000"&amp;499,6),LdgRankKeyB,0),"")</f>
        <v/>
      </c>
    </row>
    <row r="516">
      <c r="A516" s="23" t="n">
        <v>500</v>
      </c>
      <c r="B516" s="24">
        <f>IF(AND($N516="",$O516=""),"",IF($N516&lt;&gt;"",INDEX(PCNormDate,$N516),INDEX(LdgDateB,$O516)))</f>
        <v/>
      </c>
      <c r="C516" s="24">
        <f>IF($N516&lt;&gt;"",INDEX(PCOp,$N516),IF($O516&lt;&gt;"",IF(N(INDEX(TxnDepB,$O516))&gt;0,"دریافت بانکی","پرداخت بانکی"),""))</f>
        <v/>
      </c>
      <c r="D516" s="24">
        <f>IF($N516&lt;&gt;"",IF(INDEX(PCDoc,$N516)="","—",INDEX(PCDoc,$N516)),IF($O516&lt;&gt;"",INDEX(LdgBankB,$O516),""))</f>
        <v/>
      </c>
      <c r="E516" s="24">
        <f>IF($N516&lt;&gt;"",IF(INDEX(PCCitrus,$N516)="","—",INDEX(PCCitrus,$N516)),"")</f>
        <v/>
      </c>
      <c r="F516" s="25">
        <f>IF($N516&lt;&gt;"",IF(INDEX(PCScale,$N516)=0,"",INDEX(PCScale,$N516)),"")</f>
        <v/>
      </c>
      <c r="G516" s="25">
        <f>IF($N516&lt;&gt;"",IF(INDEX(PCBaskets,$N516)=0,"",INDEX(PCBaskets,$N516)),"")</f>
        <v/>
      </c>
      <c r="H516" s="26">
        <f>IF($N516&lt;&gt;"",IF(INDEX(PCNet,$N516)=0,"",INDEX(PCNet,$N516)),"")</f>
        <v/>
      </c>
      <c r="I516" s="25">
        <f>IF($N516&lt;&gt;"",IF(INDEX(PCOp,$N516)="مرجوعی خرید","",IF(INDEX(PCAmount,$N516)&lt;=0,"",INDEX(PCAmount,$N516))),IF($O516&lt;&gt;"",IF(INDEX(TxnDepB,$O516)=0,"",INDEX(TxnDepB,$O516)),""))</f>
        <v/>
      </c>
      <c r="J516" s="25">
        <f>IF($N516&lt;&gt;"",IF(INDEX(PCOp,$N516)="مرجوعی خرید",IF(INDEX(PCAmount,$N516)=0,"",-INDEX(PCAmount,$N516)),""),IF($O516&lt;&gt;"",IF(INDEX(TxnWitB,$O516)=0,"",INDEX(TxnWitB,$O516)),""))</f>
        <v/>
      </c>
      <c r="K516" s="27">
        <f>IF($B516="","",IF($K515="",$C$10,$K515)+IF($I516="",0,$I516)-IF($J516="",0,$J516))</f>
        <v/>
      </c>
      <c r="L516" s="28">
        <f>IF($N516&lt;&gt;"",IF(INDEX(PCNotes,$N516)="","—",INDEX(PCNotes,$N516)),IF($O516&lt;&gt;"",IF(INDEX(LdgNoteB,$O516)="","—",INDEX(LdgNoteB,$O516)),""))</f>
        <v/>
      </c>
      <c r="N516">
        <f>IFERROR(MATCH($C$5&amp;"|"&amp;RIGHT("000000"&amp;500,6),LdgRankKeyA,0),"")</f>
        <v/>
      </c>
      <c r="O516">
        <f>IFERROR(MATCH($C$5&amp;"|"&amp;RIGHT("000000"&amp;500,6),LdgRankKeyB,0),"")</f>
        <v/>
      </c>
    </row>
    <row r="517">
      <c r="A517" s="17" t="n">
        <v>501</v>
      </c>
      <c r="B517" s="18">
        <f>IF(AND($N517="",$O517=""),"",IF($N517&lt;&gt;"",INDEX(PCNormDate,$N517),INDEX(LdgDateB,$O517)))</f>
        <v/>
      </c>
      <c r="C517" s="18">
        <f>IF($N517&lt;&gt;"",INDEX(PCOp,$N517),IF($O517&lt;&gt;"",IF(N(INDEX(TxnDepB,$O517))&gt;0,"دریافت بانکی","پرداخت بانکی"),""))</f>
        <v/>
      </c>
      <c r="D517" s="18">
        <f>IF($N517&lt;&gt;"",IF(INDEX(PCDoc,$N517)="","—",INDEX(PCDoc,$N517)),IF($O517&lt;&gt;"",INDEX(LdgBankB,$O517),""))</f>
        <v/>
      </c>
      <c r="E517" s="18">
        <f>IF($N517&lt;&gt;"",IF(INDEX(PCCitrus,$N517)="","—",INDEX(PCCitrus,$N517)),"")</f>
        <v/>
      </c>
      <c r="F517" s="19">
        <f>IF($N517&lt;&gt;"",IF(INDEX(PCScale,$N517)=0,"",INDEX(PCScale,$N517)),"")</f>
        <v/>
      </c>
      <c r="G517" s="19">
        <f>IF($N517&lt;&gt;"",IF(INDEX(PCBaskets,$N517)=0,"",INDEX(PCBaskets,$N517)),"")</f>
        <v/>
      </c>
      <c r="H517" s="20">
        <f>IF($N517&lt;&gt;"",IF(INDEX(PCNet,$N517)=0,"",INDEX(PCNet,$N517)),"")</f>
        <v/>
      </c>
      <c r="I517" s="19">
        <f>IF($N517&lt;&gt;"",IF(INDEX(PCOp,$N517)="مرجوعی خرید","",IF(INDEX(PCAmount,$N517)&lt;=0,"",INDEX(PCAmount,$N517))),IF($O517&lt;&gt;"",IF(INDEX(TxnDepB,$O517)=0,"",INDEX(TxnDepB,$O517)),""))</f>
        <v/>
      </c>
      <c r="J517" s="19">
        <f>IF($N517&lt;&gt;"",IF(INDEX(PCOp,$N517)="مرجوعی خرید",IF(INDEX(PCAmount,$N517)=0,"",-INDEX(PCAmount,$N517)),""),IF($O517&lt;&gt;"",IF(INDEX(TxnWitB,$O517)=0,"",INDEX(TxnWitB,$O517)),""))</f>
        <v/>
      </c>
      <c r="K517" s="21">
        <f>IF($B517="","",IF($K516="",$C$10,$K516)+IF($I517="",0,$I517)-IF($J517="",0,$J517))</f>
        <v/>
      </c>
      <c r="L517" s="22">
        <f>IF($N517&lt;&gt;"",IF(INDEX(PCNotes,$N517)="","—",INDEX(PCNotes,$N517)),IF($O517&lt;&gt;"",IF(INDEX(LdgNoteB,$O517)="","—",INDEX(LdgNoteB,$O517)),""))</f>
        <v/>
      </c>
      <c r="N517">
        <f>IFERROR(MATCH($C$5&amp;"|"&amp;RIGHT("000000"&amp;501,6),LdgRankKeyA,0),"")</f>
        <v/>
      </c>
      <c r="O517">
        <f>IFERROR(MATCH($C$5&amp;"|"&amp;RIGHT("000000"&amp;501,6),LdgRankKeyB,0),"")</f>
        <v/>
      </c>
    </row>
    <row r="518">
      <c r="A518" s="23" t="n">
        <v>502</v>
      </c>
      <c r="B518" s="24">
        <f>IF(AND($N518="",$O518=""),"",IF($N518&lt;&gt;"",INDEX(PCNormDate,$N518),INDEX(LdgDateB,$O518)))</f>
        <v/>
      </c>
      <c r="C518" s="24">
        <f>IF($N518&lt;&gt;"",INDEX(PCOp,$N518),IF($O518&lt;&gt;"",IF(N(INDEX(TxnDepB,$O518))&gt;0,"دریافت بانکی","پرداخت بانکی"),""))</f>
        <v/>
      </c>
      <c r="D518" s="24">
        <f>IF($N518&lt;&gt;"",IF(INDEX(PCDoc,$N518)="","—",INDEX(PCDoc,$N518)),IF($O518&lt;&gt;"",INDEX(LdgBankB,$O518),""))</f>
        <v/>
      </c>
      <c r="E518" s="24">
        <f>IF($N518&lt;&gt;"",IF(INDEX(PCCitrus,$N518)="","—",INDEX(PCCitrus,$N518)),"")</f>
        <v/>
      </c>
      <c r="F518" s="25">
        <f>IF($N518&lt;&gt;"",IF(INDEX(PCScale,$N518)=0,"",INDEX(PCScale,$N518)),"")</f>
        <v/>
      </c>
      <c r="G518" s="25">
        <f>IF($N518&lt;&gt;"",IF(INDEX(PCBaskets,$N518)=0,"",INDEX(PCBaskets,$N518)),"")</f>
        <v/>
      </c>
      <c r="H518" s="26">
        <f>IF($N518&lt;&gt;"",IF(INDEX(PCNet,$N518)=0,"",INDEX(PCNet,$N518)),"")</f>
        <v/>
      </c>
      <c r="I518" s="25">
        <f>IF($N518&lt;&gt;"",IF(INDEX(PCOp,$N518)="مرجوعی خرید","",IF(INDEX(PCAmount,$N518)&lt;=0,"",INDEX(PCAmount,$N518))),IF($O518&lt;&gt;"",IF(INDEX(TxnDepB,$O518)=0,"",INDEX(TxnDepB,$O518)),""))</f>
        <v/>
      </c>
      <c r="J518" s="25">
        <f>IF($N518&lt;&gt;"",IF(INDEX(PCOp,$N518)="مرجوعی خرید",IF(INDEX(PCAmount,$N518)=0,"",-INDEX(PCAmount,$N518)),""),IF($O518&lt;&gt;"",IF(INDEX(TxnWitB,$O518)=0,"",INDEX(TxnWitB,$O518)),""))</f>
        <v/>
      </c>
      <c r="K518" s="27">
        <f>IF($B518="","",IF($K517="",$C$10,$K517)+IF($I518="",0,$I518)-IF($J518="",0,$J518))</f>
        <v/>
      </c>
      <c r="L518" s="28">
        <f>IF($N518&lt;&gt;"",IF(INDEX(PCNotes,$N518)="","—",INDEX(PCNotes,$N518)),IF($O518&lt;&gt;"",IF(INDEX(LdgNoteB,$O518)="","—",INDEX(LdgNoteB,$O518)),""))</f>
        <v/>
      </c>
      <c r="N518">
        <f>IFERROR(MATCH($C$5&amp;"|"&amp;RIGHT("000000"&amp;502,6),LdgRankKeyA,0),"")</f>
        <v/>
      </c>
      <c r="O518">
        <f>IFERROR(MATCH($C$5&amp;"|"&amp;RIGHT("000000"&amp;502,6),LdgRankKeyB,0),"")</f>
        <v/>
      </c>
    </row>
    <row r="519">
      <c r="A519" s="17" t="n">
        <v>503</v>
      </c>
      <c r="B519" s="18">
        <f>IF(AND($N519="",$O519=""),"",IF($N519&lt;&gt;"",INDEX(PCNormDate,$N519),INDEX(LdgDateB,$O519)))</f>
        <v/>
      </c>
      <c r="C519" s="18">
        <f>IF($N519&lt;&gt;"",INDEX(PCOp,$N519),IF($O519&lt;&gt;"",IF(N(INDEX(TxnDepB,$O519))&gt;0,"دریافت بانکی","پرداخت بانکی"),""))</f>
        <v/>
      </c>
      <c r="D519" s="18">
        <f>IF($N519&lt;&gt;"",IF(INDEX(PCDoc,$N519)="","—",INDEX(PCDoc,$N519)),IF($O519&lt;&gt;"",INDEX(LdgBankB,$O519),""))</f>
        <v/>
      </c>
      <c r="E519" s="18">
        <f>IF($N519&lt;&gt;"",IF(INDEX(PCCitrus,$N519)="","—",INDEX(PCCitrus,$N519)),"")</f>
        <v/>
      </c>
      <c r="F519" s="19">
        <f>IF($N519&lt;&gt;"",IF(INDEX(PCScale,$N519)=0,"",INDEX(PCScale,$N519)),"")</f>
        <v/>
      </c>
      <c r="G519" s="19">
        <f>IF($N519&lt;&gt;"",IF(INDEX(PCBaskets,$N519)=0,"",INDEX(PCBaskets,$N519)),"")</f>
        <v/>
      </c>
      <c r="H519" s="20">
        <f>IF($N519&lt;&gt;"",IF(INDEX(PCNet,$N519)=0,"",INDEX(PCNet,$N519)),"")</f>
        <v/>
      </c>
      <c r="I519" s="19">
        <f>IF($N519&lt;&gt;"",IF(INDEX(PCOp,$N519)="مرجوعی خرید","",IF(INDEX(PCAmount,$N519)&lt;=0,"",INDEX(PCAmount,$N519))),IF($O519&lt;&gt;"",IF(INDEX(TxnDepB,$O519)=0,"",INDEX(TxnDepB,$O519)),""))</f>
        <v/>
      </c>
      <c r="J519" s="19">
        <f>IF($N519&lt;&gt;"",IF(INDEX(PCOp,$N519)="مرجوعی خرید",IF(INDEX(PCAmount,$N519)=0,"",-INDEX(PCAmount,$N519)),""),IF($O519&lt;&gt;"",IF(INDEX(TxnWitB,$O519)=0,"",INDEX(TxnWitB,$O519)),""))</f>
        <v/>
      </c>
      <c r="K519" s="21">
        <f>IF($B519="","",IF($K518="",$C$10,$K518)+IF($I519="",0,$I519)-IF($J519="",0,$J519))</f>
        <v/>
      </c>
      <c r="L519" s="22">
        <f>IF($N519&lt;&gt;"",IF(INDEX(PCNotes,$N519)="","—",INDEX(PCNotes,$N519)),IF($O519&lt;&gt;"",IF(INDEX(LdgNoteB,$O519)="","—",INDEX(LdgNoteB,$O519)),""))</f>
        <v/>
      </c>
      <c r="N519">
        <f>IFERROR(MATCH($C$5&amp;"|"&amp;RIGHT("000000"&amp;503,6),LdgRankKeyA,0),"")</f>
        <v/>
      </c>
      <c r="O519">
        <f>IFERROR(MATCH($C$5&amp;"|"&amp;RIGHT("000000"&amp;503,6),LdgRankKeyB,0),"")</f>
        <v/>
      </c>
    </row>
    <row r="520">
      <c r="A520" s="23" t="n">
        <v>504</v>
      </c>
      <c r="B520" s="24">
        <f>IF(AND($N520="",$O520=""),"",IF($N520&lt;&gt;"",INDEX(PCNormDate,$N520),INDEX(LdgDateB,$O520)))</f>
        <v/>
      </c>
      <c r="C520" s="24">
        <f>IF($N520&lt;&gt;"",INDEX(PCOp,$N520),IF($O520&lt;&gt;"",IF(N(INDEX(TxnDepB,$O520))&gt;0,"دریافت بانکی","پرداخت بانکی"),""))</f>
        <v/>
      </c>
      <c r="D520" s="24">
        <f>IF($N520&lt;&gt;"",IF(INDEX(PCDoc,$N520)="","—",INDEX(PCDoc,$N520)),IF($O520&lt;&gt;"",INDEX(LdgBankB,$O520),""))</f>
        <v/>
      </c>
      <c r="E520" s="24">
        <f>IF($N520&lt;&gt;"",IF(INDEX(PCCitrus,$N520)="","—",INDEX(PCCitrus,$N520)),"")</f>
        <v/>
      </c>
      <c r="F520" s="25">
        <f>IF($N520&lt;&gt;"",IF(INDEX(PCScale,$N520)=0,"",INDEX(PCScale,$N520)),"")</f>
        <v/>
      </c>
      <c r="G520" s="25">
        <f>IF($N520&lt;&gt;"",IF(INDEX(PCBaskets,$N520)=0,"",INDEX(PCBaskets,$N520)),"")</f>
        <v/>
      </c>
      <c r="H520" s="26">
        <f>IF($N520&lt;&gt;"",IF(INDEX(PCNet,$N520)=0,"",INDEX(PCNet,$N520)),"")</f>
        <v/>
      </c>
      <c r="I520" s="25">
        <f>IF($N520&lt;&gt;"",IF(INDEX(PCOp,$N520)="مرجوعی خرید","",IF(INDEX(PCAmount,$N520)&lt;=0,"",INDEX(PCAmount,$N520))),IF($O520&lt;&gt;"",IF(INDEX(TxnDepB,$O520)=0,"",INDEX(TxnDepB,$O520)),""))</f>
        <v/>
      </c>
      <c r="J520" s="25">
        <f>IF($N520&lt;&gt;"",IF(INDEX(PCOp,$N520)="مرجوعی خرید",IF(INDEX(PCAmount,$N520)=0,"",-INDEX(PCAmount,$N520)),""),IF($O520&lt;&gt;"",IF(INDEX(TxnWitB,$O520)=0,"",INDEX(TxnWitB,$O520)),""))</f>
        <v/>
      </c>
      <c r="K520" s="27">
        <f>IF($B520="","",IF($K519="",$C$10,$K519)+IF($I520="",0,$I520)-IF($J520="",0,$J520))</f>
        <v/>
      </c>
      <c r="L520" s="28">
        <f>IF($N520&lt;&gt;"",IF(INDEX(PCNotes,$N520)="","—",INDEX(PCNotes,$N520)),IF($O520&lt;&gt;"",IF(INDEX(LdgNoteB,$O520)="","—",INDEX(LdgNoteB,$O520)),""))</f>
        <v/>
      </c>
      <c r="N520">
        <f>IFERROR(MATCH($C$5&amp;"|"&amp;RIGHT("000000"&amp;504,6),LdgRankKeyA,0),"")</f>
        <v/>
      </c>
      <c r="O520">
        <f>IFERROR(MATCH($C$5&amp;"|"&amp;RIGHT("000000"&amp;504,6),LdgRankKeyB,0),"")</f>
        <v/>
      </c>
    </row>
    <row r="521">
      <c r="A521" s="17" t="n">
        <v>505</v>
      </c>
      <c r="B521" s="18">
        <f>IF(AND($N521="",$O521=""),"",IF($N521&lt;&gt;"",INDEX(PCNormDate,$N521),INDEX(LdgDateB,$O521)))</f>
        <v/>
      </c>
      <c r="C521" s="18">
        <f>IF($N521&lt;&gt;"",INDEX(PCOp,$N521),IF($O521&lt;&gt;"",IF(N(INDEX(TxnDepB,$O521))&gt;0,"دریافت بانکی","پرداخت بانکی"),""))</f>
        <v/>
      </c>
      <c r="D521" s="18">
        <f>IF($N521&lt;&gt;"",IF(INDEX(PCDoc,$N521)="","—",INDEX(PCDoc,$N521)),IF($O521&lt;&gt;"",INDEX(LdgBankB,$O521),""))</f>
        <v/>
      </c>
      <c r="E521" s="18">
        <f>IF($N521&lt;&gt;"",IF(INDEX(PCCitrus,$N521)="","—",INDEX(PCCitrus,$N521)),"")</f>
        <v/>
      </c>
      <c r="F521" s="19">
        <f>IF($N521&lt;&gt;"",IF(INDEX(PCScale,$N521)=0,"",INDEX(PCScale,$N521)),"")</f>
        <v/>
      </c>
      <c r="G521" s="19">
        <f>IF($N521&lt;&gt;"",IF(INDEX(PCBaskets,$N521)=0,"",INDEX(PCBaskets,$N521)),"")</f>
        <v/>
      </c>
      <c r="H521" s="20">
        <f>IF($N521&lt;&gt;"",IF(INDEX(PCNet,$N521)=0,"",INDEX(PCNet,$N521)),"")</f>
        <v/>
      </c>
      <c r="I521" s="19">
        <f>IF($N521&lt;&gt;"",IF(INDEX(PCOp,$N521)="مرجوعی خرید","",IF(INDEX(PCAmount,$N521)&lt;=0,"",INDEX(PCAmount,$N521))),IF($O521&lt;&gt;"",IF(INDEX(TxnDepB,$O521)=0,"",INDEX(TxnDepB,$O521)),""))</f>
        <v/>
      </c>
      <c r="J521" s="19">
        <f>IF($N521&lt;&gt;"",IF(INDEX(PCOp,$N521)="مرجوعی خرید",IF(INDEX(PCAmount,$N521)=0,"",-INDEX(PCAmount,$N521)),""),IF($O521&lt;&gt;"",IF(INDEX(TxnWitB,$O521)=0,"",INDEX(TxnWitB,$O521)),""))</f>
        <v/>
      </c>
      <c r="K521" s="21">
        <f>IF($B521="","",IF($K520="",$C$10,$K520)+IF($I521="",0,$I521)-IF($J521="",0,$J521))</f>
        <v/>
      </c>
      <c r="L521" s="22">
        <f>IF($N521&lt;&gt;"",IF(INDEX(PCNotes,$N521)="","—",INDEX(PCNotes,$N521)),IF($O521&lt;&gt;"",IF(INDEX(LdgNoteB,$O521)="","—",INDEX(LdgNoteB,$O521)),""))</f>
        <v/>
      </c>
      <c r="N521">
        <f>IFERROR(MATCH($C$5&amp;"|"&amp;RIGHT("000000"&amp;505,6),LdgRankKeyA,0),"")</f>
        <v/>
      </c>
      <c r="O521">
        <f>IFERROR(MATCH($C$5&amp;"|"&amp;RIGHT("000000"&amp;505,6),LdgRankKeyB,0),"")</f>
        <v/>
      </c>
    </row>
    <row r="522">
      <c r="A522" s="23" t="n">
        <v>506</v>
      </c>
      <c r="B522" s="24">
        <f>IF(AND($N522="",$O522=""),"",IF($N522&lt;&gt;"",INDEX(PCNormDate,$N522),INDEX(LdgDateB,$O522)))</f>
        <v/>
      </c>
      <c r="C522" s="24">
        <f>IF($N522&lt;&gt;"",INDEX(PCOp,$N522),IF($O522&lt;&gt;"",IF(N(INDEX(TxnDepB,$O522))&gt;0,"دریافت بانکی","پرداخت بانکی"),""))</f>
        <v/>
      </c>
      <c r="D522" s="24">
        <f>IF($N522&lt;&gt;"",IF(INDEX(PCDoc,$N522)="","—",INDEX(PCDoc,$N522)),IF($O522&lt;&gt;"",INDEX(LdgBankB,$O522),""))</f>
        <v/>
      </c>
      <c r="E522" s="24">
        <f>IF($N522&lt;&gt;"",IF(INDEX(PCCitrus,$N522)="","—",INDEX(PCCitrus,$N522)),"")</f>
        <v/>
      </c>
      <c r="F522" s="25">
        <f>IF($N522&lt;&gt;"",IF(INDEX(PCScale,$N522)=0,"",INDEX(PCScale,$N522)),"")</f>
        <v/>
      </c>
      <c r="G522" s="25">
        <f>IF($N522&lt;&gt;"",IF(INDEX(PCBaskets,$N522)=0,"",INDEX(PCBaskets,$N522)),"")</f>
        <v/>
      </c>
      <c r="H522" s="26">
        <f>IF($N522&lt;&gt;"",IF(INDEX(PCNet,$N522)=0,"",INDEX(PCNet,$N522)),"")</f>
        <v/>
      </c>
      <c r="I522" s="25">
        <f>IF($N522&lt;&gt;"",IF(INDEX(PCOp,$N522)="مرجوعی خرید","",IF(INDEX(PCAmount,$N522)&lt;=0,"",INDEX(PCAmount,$N522))),IF($O522&lt;&gt;"",IF(INDEX(TxnDepB,$O522)=0,"",INDEX(TxnDepB,$O522)),""))</f>
        <v/>
      </c>
      <c r="J522" s="25">
        <f>IF($N522&lt;&gt;"",IF(INDEX(PCOp,$N522)="مرجوعی خرید",IF(INDEX(PCAmount,$N522)=0,"",-INDEX(PCAmount,$N522)),""),IF($O522&lt;&gt;"",IF(INDEX(TxnWitB,$O522)=0,"",INDEX(TxnWitB,$O522)),""))</f>
        <v/>
      </c>
      <c r="K522" s="27">
        <f>IF($B522="","",IF($K521="",$C$10,$K521)+IF($I522="",0,$I522)-IF($J522="",0,$J522))</f>
        <v/>
      </c>
      <c r="L522" s="28">
        <f>IF($N522&lt;&gt;"",IF(INDEX(PCNotes,$N522)="","—",INDEX(PCNotes,$N522)),IF($O522&lt;&gt;"",IF(INDEX(LdgNoteB,$O522)="","—",INDEX(LdgNoteB,$O522)),""))</f>
        <v/>
      </c>
      <c r="N522">
        <f>IFERROR(MATCH($C$5&amp;"|"&amp;RIGHT("000000"&amp;506,6),LdgRankKeyA,0),"")</f>
        <v/>
      </c>
      <c r="O522">
        <f>IFERROR(MATCH($C$5&amp;"|"&amp;RIGHT("000000"&amp;506,6),LdgRankKeyB,0),"")</f>
        <v/>
      </c>
    </row>
    <row r="523">
      <c r="A523" s="17" t="n">
        <v>507</v>
      </c>
      <c r="B523" s="18">
        <f>IF(AND($N523="",$O523=""),"",IF($N523&lt;&gt;"",INDEX(PCNormDate,$N523),INDEX(LdgDateB,$O523)))</f>
        <v/>
      </c>
      <c r="C523" s="18">
        <f>IF($N523&lt;&gt;"",INDEX(PCOp,$N523),IF($O523&lt;&gt;"",IF(N(INDEX(TxnDepB,$O523))&gt;0,"دریافت بانکی","پرداخت بانکی"),""))</f>
        <v/>
      </c>
      <c r="D523" s="18">
        <f>IF($N523&lt;&gt;"",IF(INDEX(PCDoc,$N523)="","—",INDEX(PCDoc,$N523)),IF($O523&lt;&gt;"",INDEX(LdgBankB,$O523),""))</f>
        <v/>
      </c>
      <c r="E523" s="18">
        <f>IF($N523&lt;&gt;"",IF(INDEX(PCCitrus,$N523)="","—",INDEX(PCCitrus,$N523)),"")</f>
        <v/>
      </c>
      <c r="F523" s="19">
        <f>IF($N523&lt;&gt;"",IF(INDEX(PCScale,$N523)=0,"",INDEX(PCScale,$N523)),"")</f>
        <v/>
      </c>
      <c r="G523" s="19">
        <f>IF($N523&lt;&gt;"",IF(INDEX(PCBaskets,$N523)=0,"",INDEX(PCBaskets,$N523)),"")</f>
        <v/>
      </c>
      <c r="H523" s="20">
        <f>IF($N523&lt;&gt;"",IF(INDEX(PCNet,$N523)=0,"",INDEX(PCNet,$N523)),"")</f>
        <v/>
      </c>
      <c r="I523" s="19">
        <f>IF($N523&lt;&gt;"",IF(INDEX(PCOp,$N523)="مرجوعی خرید","",IF(INDEX(PCAmount,$N523)&lt;=0,"",INDEX(PCAmount,$N523))),IF($O523&lt;&gt;"",IF(INDEX(TxnDepB,$O523)=0,"",INDEX(TxnDepB,$O523)),""))</f>
        <v/>
      </c>
      <c r="J523" s="19">
        <f>IF($N523&lt;&gt;"",IF(INDEX(PCOp,$N523)="مرجوعی خرید",IF(INDEX(PCAmount,$N523)=0,"",-INDEX(PCAmount,$N523)),""),IF($O523&lt;&gt;"",IF(INDEX(TxnWitB,$O523)=0,"",INDEX(TxnWitB,$O523)),""))</f>
        <v/>
      </c>
      <c r="K523" s="21">
        <f>IF($B523="","",IF($K522="",$C$10,$K522)+IF($I523="",0,$I523)-IF($J523="",0,$J523))</f>
        <v/>
      </c>
      <c r="L523" s="22">
        <f>IF($N523&lt;&gt;"",IF(INDEX(PCNotes,$N523)="","—",INDEX(PCNotes,$N523)),IF($O523&lt;&gt;"",IF(INDEX(LdgNoteB,$O523)="","—",INDEX(LdgNoteB,$O523)),""))</f>
        <v/>
      </c>
      <c r="N523">
        <f>IFERROR(MATCH($C$5&amp;"|"&amp;RIGHT("000000"&amp;507,6),LdgRankKeyA,0),"")</f>
        <v/>
      </c>
      <c r="O523">
        <f>IFERROR(MATCH($C$5&amp;"|"&amp;RIGHT("000000"&amp;507,6),LdgRankKeyB,0),"")</f>
        <v/>
      </c>
    </row>
    <row r="524">
      <c r="A524" s="23" t="n">
        <v>508</v>
      </c>
      <c r="B524" s="24">
        <f>IF(AND($N524="",$O524=""),"",IF($N524&lt;&gt;"",INDEX(PCNormDate,$N524),INDEX(LdgDateB,$O524)))</f>
        <v/>
      </c>
      <c r="C524" s="24">
        <f>IF($N524&lt;&gt;"",INDEX(PCOp,$N524),IF($O524&lt;&gt;"",IF(N(INDEX(TxnDepB,$O524))&gt;0,"دریافت بانکی","پرداخت بانکی"),""))</f>
        <v/>
      </c>
      <c r="D524" s="24">
        <f>IF($N524&lt;&gt;"",IF(INDEX(PCDoc,$N524)="","—",INDEX(PCDoc,$N524)),IF($O524&lt;&gt;"",INDEX(LdgBankB,$O524),""))</f>
        <v/>
      </c>
      <c r="E524" s="24">
        <f>IF($N524&lt;&gt;"",IF(INDEX(PCCitrus,$N524)="","—",INDEX(PCCitrus,$N524)),"")</f>
        <v/>
      </c>
      <c r="F524" s="25">
        <f>IF($N524&lt;&gt;"",IF(INDEX(PCScale,$N524)=0,"",INDEX(PCScale,$N524)),"")</f>
        <v/>
      </c>
      <c r="G524" s="25">
        <f>IF($N524&lt;&gt;"",IF(INDEX(PCBaskets,$N524)=0,"",INDEX(PCBaskets,$N524)),"")</f>
        <v/>
      </c>
      <c r="H524" s="26">
        <f>IF($N524&lt;&gt;"",IF(INDEX(PCNet,$N524)=0,"",INDEX(PCNet,$N524)),"")</f>
        <v/>
      </c>
      <c r="I524" s="25">
        <f>IF($N524&lt;&gt;"",IF(INDEX(PCOp,$N524)="مرجوعی خرید","",IF(INDEX(PCAmount,$N524)&lt;=0,"",INDEX(PCAmount,$N524))),IF($O524&lt;&gt;"",IF(INDEX(TxnDepB,$O524)=0,"",INDEX(TxnDepB,$O524)),""))</f>
        <v/>
      </c>
      <c r="J524" s="25">
        <f>IF($N524&lt;&gt;"",IF(INDEX(PCOp,$N524)="مرجوعی خرید",IF(INDEX(PCAmount,$N524)=0,"",-INDEX(PCAmount,$N524)),""),IF($O524&lt;&gt;"",IF(INDEX(TxnWitB,$O524)=0,"",INDEX(TxnWitB,$O524)),""))</f>
        <v/>
      </c>
      <c r="K524" s="27">
        <f>IF($B524="","",IF($K523="",$C$10,$K523)+IF($I524="",0,$I524)-IF($J524="",0,$J524))</f>
        <v/>
      </c>
      <c r="L524" s="28">
        <f>IF($N524&lt;&gt;"",IF(INDEX(PCNotes,$N524)="","—",INDEX(PCNotes,$N524)),IF($O524&lt;&gt;"",IF(INDEX(LdgNoteB,$O524)="","—",INDEX(LdgNoteB,$O524)),""))</f>
        <v/>
      </c>
      <c r="N524">
        <f>IFERROR(MATCH($C$5&amp;"|"&amp;RIGHT("000000"&amp;508,6),LdgRankKeyA,0),"")</f>
        <v/>
      </c>
      <c r="O524">
        <f>IFERROR(MATCH($C$5&amp;"|"&amp;RIGHT("000000"&amp;508,6),LdgRankKeyB,0),"")</f>
        <v/>
      </c>
    </row>
    <row r="525">
      <c r="A525" s="17" t="n">
        <v>509</v>
      </c>
      <c r="B525" s="18">
        <f>IF(AND($N525="",$O525=""),"",IF($N525&lt;&gt;"",INDEX(PCNormDate,$N525),INDEX(LdgDateB,$O525)))</f>
        <v/>
      </c>
      <c r="C525" s="18">
        <f>IF($N525&lt;&gt;"",INDEX(PCOp,$N525),IF($O525&lt;&gt;"",IF(N(INDEX(TxnDepB,$O525))&gt;0,"دریافت بانکی","پرداخت بانکی"),""))</f>
        <v/>
      </c>
      <c r="D525" s="18">
        <f>IF($N525&lt;&gt;"",IF(INDEX(PCDoc,$N525)="","—",INDEX(PCDoc,$N525)),IF($O525&lt;&gt;"",INDEX(LdgBankB,$O525),""))</f>
        <v/>
      </c>
      <c r="E525" s="18">
        <f>IF($N525&lt;&gt;"",IF(INDEX(PCCitrus,$N525)="","—",INDEX(PCCitrus,$N525)),"")</f>
        <v/>
      </c>
      <c r="F525" s="19">
        <f>IF($N525&lt;&gt;"",IF(INDEX(PCScale,$N525)=0,"",INDEX(PCScale,$N525)),"")</f>
        <v/>
      </c>
      <c r="G525" s="19">
        <f>IF($N525&lt;&gt;"",IF(INDEX(PCBaskets,$N525)=0,"",INDEX(PCBaskets,$N525)),"")</f>
        <v/>
      </c>
      <c r="H525" s="20">
        <f>IF($N525&lt;&gt;"",IF(INDEX(PCNet,$N525)=0,"",INDEX(PCNet,$N525)),"")</f>
        <v/>
      </c>
      <c r="I525" s="19">
        <f>IF($N525&lt;&gt;"",IF(INDEX(PCOp,$N525)="مرجوعی خرید","",IF(INDEX(PCAmount,$N525)&lt;=0,"",INDEX(PCAmount,$N525))),IF($O525&lt;&gt;"",IF(INDEX(TxnDepB,$O525)=0,"",INDEX(TxnDepB,$O525)),""))</f>
        <v/>
      </c>
      <c r="J525" s="19">
        <f>IF($N525&lt;&gt;"",IF(INDEX(PCOp,$N525)="مرجوعی خرید",IF(INDEX(PCAmount,$N525)=0,"",-INDEX(PCAmount,$N525)),""),IF($O525&lt;&gt;"",IF(INDEX(TxnWitB,$O525)=0,"",INDEX(TxnWitB,$O525)),""))</f>
        <v/>
      </c>
      <c r="K525" s="21">
        <f>IF($B525="","",IF($K524="",$C$10,$K524)+IF($I525="",0,$I525)-IF($J525="",0,$J525))</f>
        <v/>
      </c>
      <c r="L525" s="22">
        <f>IF($N525&lt;&gt;"",IF(INDEX(PCNotes,$N525)="","—",INDEX(PCNotes,$N525)),IF($O525&lt;&gt;"",IF(INDEX(LdgNoteB,$O525)="","—",INDEX(LdgNoteB,$O525)),""))</f>
        <v/>
      </c>
      <c r="N525">
        <f>IFERROR(MATCH($C$5&amp;"|"&amp;RIGHT("000000"&amp;509,6),LdgRankKeyA,0),"")</f>
        <v/>
      </c>
      <c r="O525">
        <f>IFERROR(MATCH($C$5&amp;"|"&amp;RIGHT("000000"&amp;509,6),LdgRankKeyB,0),"")</f>
        <v/>
      </c>
    </row>
    <row r="526">
      <c r="A526" s="23" t="n">
        <v>510</v>
      </c>
      <c r="B526" s="24">
        <f>IF(AND($N526="",$O526=""),"",IF($N526&lt;&gt;"",INDEX(PCNormDate,$N526),INDEX(LdgDateB,$O526)))</f>
        <v/>
      </c>
      <c r="C526" s="24">
        <f>IF($N526&lt;&gt;"",INDEX(PCOp,$N526),IF($O526&lt;&gt;"",IF(N(INDEX(TxnDepB,$O526))&gt;0,"دریافت بانکی","پرداخت بانکی"),""))</f>
        <v/>
      </c>
      <c r="D526" s="24">
        <f>IF($N526&lt;&gt;"",IF(INDEX(PCDoc,$N526)="","—",INDEX(PCDoc,$N526)),IF($O526&lt;&gt;"",INDEX(LdgBankB,$O526),""))</f>
        <v/>
      </c>
      <c r="E526" s="24">
        <f>IF($N526&lt;&gt;"",IF(INDEX(PCCitrus,$N526)="","—",INDEX(PCCitrus,$N526)),"")</f>
        <v/>
      </c>
      <c r="F526" s="25">
        <f>IF($N526&lt;&gt;"",IF(INDEX(PCScale,$N526)=0,"",INDEX(PCScale,$N526)),"")</f>
        <v/>
      </c>
      <c r="G526" s="25">
        <f>IF($N526&lt;&gt;"",IF(INDEX(PCBaskets,$N526)=0,"",INDEX(PCBaskets,$N526)),"")</f>
        <v/>
      </c>
      <c r="H526" s="26">
        <f>IF($N526&lt;&gt;"",IF(INDEX(PCNet,$N526)=0,"",INDEX(PCNet,$N526)),"")</f>
        <v/>
      </c>
      <c r="I526" s="25">
        <f>IF($N526&lt;&gt;"",IF(INDEX(PCOp,$N526)="مرجوعی خرید","",IF(INDEX(PCAmount,$N526)&lt;=0,"",INDEX(PCAmount,$N526))),IF($O526&lt;&gt;"",IF(INDEX(TxnDepB,$O526)=0,"",INDEX(TxnDepB,$O526)),""))</f>
        <v/>
      </c>
      <c r="J526" s="25">
        <f>IF($N526&lt;&gt;"",IF(INDEX(PCOp,$N526)="مرجوعی خرید",IF(INDEX(PCAmount,$N526)=0,"",-INDEX(PCAmount,$N526)),""),IF($O526&lt;&gt;"",IF(INDEX(TxnWitB,$O526)=0,"",INDEX(TxnWitB,$O526)),""))</f>
        <v/>
      </c>
      <c r="K526" s="27">
        <f>IF($B526="","",IF($K525="",$C$10,$K525)+IF($I526="",0,$I526)-IF($J526="",0,$J526))</f>
        <v/>
      </c>
      <c r="L526" s="28">
        <f>IF($N526&lt;&gt;"",IF(INDEX(PCNotes,$N526)="","—",INDEX(PCNotes,$N526)),IF($O526&lt;&gt;"",IF(INDEX(LdgNoteB,$O526)="","—",INDEX(LdgNoteB,$O526)),""))</f>
        <v/>
      </c>
      <c r="N526">
        <f>IFERROR(MATCH($C$5&amp;"|"&amp;RIGHT("000000"&amp;510,6),LdgRankKeyA,0),"")</f>
        <v/>
      </c>
      <c r="O526">
        <f>IFERROR(MATCH($C$5&amp;"|"&amp;RIGHT("000000"&amp;510,6),LdgRankKeyB,0),"")</f>
        <v/>
      </c>
    </row>
    <row r="527">
      <c r="A527" s="17" t="n">
        <v>511</v>
      </c>
      <c r="B527" s="18">
        <f>IF(AND($N527="",$O527=""),"",IF($N527&lt;&gt;"",INDEX(PCNormDate,$N527),INDEX(LdgDateB,$O527)))</f>
        <v/>
      </c>
      <c r="C527" s="18">
        <f>IF($N527&lt;&gt;"",INDEX(PCOp,$N527),IF($O527&lt;&gt;"",IF(N(INDEX(TxnDepB,$O527))&gt;0,"دریافت بانکی","پرداخت بانکی"),""))</f>
        <v/>
      </c>
      <c r="D527" s="18">
        <f>IF($N527&lt;&gt;"",IF(INDEX(PCDoc,$N527)="","—",INDEX(PCDoc,$N527)),IF($O527&lt;&gt;"",INDEX(LdgBankB,$O527),""))</f>
        <v/>
      </c>
      <c r="E527" s="18">
        <f>IF($N527&lt;&gt;"",IF(INDEX(PCCitrus,$N527)="","—",INDEX(PCCitrus,$N527)),"")</f>
        <v/>
      </c>
      <c r="F527" s="19">
        <f>IF($N527&lt;&gt;"",IF(INDEX(PCScale,$N527)=0,"",INDEX(PCScale,$N527)),"")</f>
        <v/>
      </c>
      <c r="G527" s="19">
        <f>IF($N527&lt;&gt;"",IF(INDEX(PCBaskets,$N527)=0,"",INDEX(PCBaskets,$N527)),"")</f>
        <v/>
      </c>
      <c r="H527" s="20">
        <f>IF($N527&lt;&gt;"",IF(INDEX(PCNet,$N527)=0,"",INDEX(PCNet,$N527)),"")</f>
        <v/>
      </c>
      <c r="I527" s="19">
        <f>IF($N527&lt;&gt;"",IF(INDEX(PCOp,$N527)="مرجوعی خرید","",IF(INDEX(PCAmount,$N527)&lt;=0,"",INDEX(PCAmount,$N527))),IF($O527&lt;&gt;"",IF(INDEX(TxnDepB,$O527)=0,"",INDEX(TxnDepB,$O527)),""))</f>
        <v/>
      </c>
      <c r="J527" s="19">
        <f>IF($N527&lt;&gt;"",IF(INDEX(PCOp,$N527)="مرجوعی خرید",IF(INDEX(PCAmount,$N527)=0,"",-INDEX(PCAmount,$N527)),""),IF($O527&lt;&gt;"",IF(INDEX(TxnWitB,$O527)=0,"",INDEX(TxnWitB,$O527)),""))</f>
        <v/>
      </c>
      <c r="K527" s="21">
        <f>IF($B527="","",IF($K526="",$C$10,$K526)+IF($I527="",0,$I527)-IF($J527="",0,$J527))</f>
        <v/>
      </c>
      <c r="L527" s="22">
        <f>IF($N527&lt;&gt;"",IF(INDEX(PCNotes,$N527)="","—",INDEX(PCNotes,$N527)),IF($O527&lt;&gt;"",IF(INDEX(LdgNoteB,$O527)="","—",INDEX(LdgNoteB,$O527)),""))</f>
        <v/>
      </c>
      <c r="N527">
        <f>IFERROR(MATCH($C$5&amp;"|"&amp;RIGHT("000000"&amp;511,6),LdgRankKeyA,0),"")</f>
        <v/>
      </c>
      <c r="O527">
        <f>IFERROR(MATCH($C$5&amp;"|"&amp;RIGHT("000000"&amp;511,6),LdgRankKeyB,0),"")</f>
        <v/>
      </c>
    </row>
    <row r="528">
      <c r="A528" s="23" t="n">
        <v>512</v>
      </c>
      <c r="B528" s="24">
        <f>IF(AND($N528="",$O528=""),"",IF($N528&lt;&gt;"",INDEX(PCNormDate,$N528),INDEX(LdgDateB,$O528)))</f>
        <v/>
      </c>
      <c r="C528" s="24">
        <f>IF($N528&lt;&gt;"",INDEX(PCOp,$N528),IF($O528&lt;&gt;"",IF(N(INDEX(TxnDepB,$O528))&gt;0,"دریافت بانکی","پرداخت بانکی"),""))</f>
        <v/>
      </c>
      <c r="D528" s="24">
        <f>IF($N528&lt;&gt;"",IF(INDEX(PCDoc,$N528)="","—",INDEX(PCDoc,$N528)),IF($O528&lt;&gt;"",INDEX(LdgBankB,$O528),""))</f>
        <v/>
      </c>
      <c r="E528" s="24">
        <f>IF($N528&lt;&gt;"",IF(INDEX(PCCitrus,$N528)="","—",INDEX(PCCitrus,$N528)),"")</f>
        <v/>
      </c>
      <c r="F528" s="25">
        <f>IF($N528&lt;&gt;"",IF(INDEX(PCScale,$N528)=0,"",INDEX(PCScale,$N528)),"")</f>
        <v/>
      </c>
      <c r="G528" s="25">
        <f>IF($N528&lt;&gt;"",IF(INDEX(PCBaskets,$N528)=0,"",INDEX(PCBaskets,$N528)),"")</f>
        <v/>
      </c>
      <c r="H528" s="26">
        <f>IF($N528&lt;&gt;"",IF(INDEX(PCNet,$N528)=0,"",INDEX(PCNet,$N528)),"")</f>
        <v/>
      </c>
      <c r="I528" s="25">
        <f>IF($N528&lt;&gt;"",IF(INDEX(PCOp,$N528)="مرجوعی خرید","",IF(INDEX(PCAmount,$N528)&lt;=0,"",INDEX(PCAmount,$N528))),IF($O528&lt;&gt;"",IF(INDEX(TxnDepB,$O528)=0,"",INDEX(TxnDepB,$O528)),""))</f>
        <v/>
      </c>
      <c r="J528" s="25">
        <f>IF($N528&lt;&gt;"",IF(INDEX(PCOp,$N528)="مرجوعی خرید",IF(INDEX(PCAmount,$N528)=0,"",-INDEX(PCAmount,$N528)),""),IF($O528&lt;&gt;"",IF(INDEX(TxnWitB,$O528)=0,"",INDEX(TxnWitB,$O528)),""))</f>
        <v/>
      </c>
      <c r="K528" s="27">
        <f>IF($B528="","",IF($K527="",$C$10,$K527)+IF($I528="",0,$I528)-IF($J528="",0,$J528))</f>
        <v/>
      </c>
      <c r="L528" s="28">
        <f>IF($N528&lt;&gt;"",IF(INDEX(PCNotes,$N528)="","—",INDEX(PCNotes,$N528)),IF($O528&lt;&gt;"",IF(INDEX(LdgNoteB,$O528)="","—",INDEX(LdgNoteB,$O528)),""))</f>
        <v/>
      </c>
      <c r="N528">
        <f>IFERROR(MATCH($C$5&amp;"|"&amp;RIGHT("000000"&amp;512,6),LdgRankKeyA,0),"")</f>
        <v/>
      </c>
      <c r="O528">
        <f>IFERROR(MATCH($C$5&amp;"|"&amp;RIGHT("000000"&amp;512,6),LdgRankKeyB,0),"")</f>
        <v/>
      </c>
    </row>
    <row r="529">
      <c r="A529" s="17" t="n">
        <v>513</v>
      </c>
      <c r="B529" s="18">
        <f>IF(AND($N529="",$O529=""),"",IF($N529&lt;&gt;"",INDEX(PCNormDate,$N529),INDEX(LdgDateB,$O529)))</f>
        <v/>
      </c>
      <c r="C529" s="18">
        <f>IF($N529&lt;&gt;"",INDEX(PCOp,$N529),IF($O529&lt;&gt;"",IF(N(INDEX(TxnDepB,$O529))&gt;0,"دریافت بانکی","پرداخت بانکی"),""))</f>
        <v/>
      </c>
      <c r="D529" s="18">
        <f>IF($N529&lt;&gt;"",IF(INDEX(PCDoc,$N529)="","—",INDEX(PCDoc,$N529)),IF($O529&lt;&gt;"",INDEX(LdgBankB,$O529),""))</f>
        <v/>
      </c>
      <c r="E529" s="18">
        <f>IF($N529&lt;&gt;"",IF(INDEX(PCCitrus,$N529)="","—",INDEX(PCCitrus,$N529)),"")</f>
        <v/>
      </c>
      <c r="F529" s="19">
        <f>IF($N529&lt;&gt;"",IF(INDEX(PCScale,$N529)=0,"",INDEX(PCScale,$N529)),"")</f>
        <v/>
      </c>
      <c r="G529" s="19">
        <f>IF($N529&lt;&gt;"",IF(INDEX(PCBaskets,$N529)=0,"",INDEX(PCBaskets,$N529)),"")</f>
        <v/>
      </c>
      <c r="H529" s="20">
        <f>IF($N529&lt;&gt;"",IF(INDEX(PCNet,$N529)=0,"",INDEX(PCNet,$N529)),"")</f>
        <v/>
      </c>
      <c r="I529" s="19">
        <f>IF($N529&lt;&gt;"",IF(INDEX(PCOp,$N529)="مرجوعی خرید","",IF(INDEX(PCAmount,$N529)&lt;=0,"",INDEX(PCAmount,$N529))),IF($O529&lt;&gt;"",IF(INDEX(TxnDepB,$O529)=0,"",INDEX(TxnDepB,$O529)),""))</f>
        <v/>
      </c>
      <c r="J529" s="19">
        <f>IF($N529&lt;&gt;"",IF(INDEX(PCOp,$N529)="مرجوعی خرید",IF(INDEX(PCAmount,$N529)=0,"",-INDEX(PCAmount,$N529)),""),IF($O529&lt;&gt;"",IF(INDEX(TxnWitB,$O529)=0,"",INDEX(TxnWitB,$O529)),""))</f>
        <v/>
      </c>
      <c r="K529" s="21">
        <f>IF($B529="","",IF($K528="",$C$10,$K528)+IF($I529="",0,$I529)-IF($J529="",0,$J529))</f>
        <v/>
      </c>
      <c r="L529" s="22">
        <f>IF($N529&lt;&gt;"",IF(INDEX(PCNotes,$N529)="","—",INDEX(PCNotes,$N529)),IF($O529&lt;&gt;"",IF(INDEX(LdgNoteB,$O529)="","—",INDEX(LdgNoteB,$O529)),""))</f>
        <v/>
      </c>
      <c r="N529">
        <f>IFERROR(MATCH($C$5&amp;"|"&amp;RIGHT("000000"&amp;513,6),LdgRankKeyA,0),"")</f>
        <v/>
      </c>
      <c r="O529">
        <f>IFERROR(MATCH($C$5&amp;"|"&amp;RIGHT("000000"&amp;513,6),LdgRankKeyB,0),"")</f>
        <v/>
      </c>
    </row>
    <row r="530">
      <c r="A530" s="23" t="n">
        <v>514</v>
      </c>
      <c r="B530" s="24">
        <f>IF(AND($N530="",$O530=""),"",IF($N530&lt;&gt;"",INDEX(PCNormDate,$N530),INDEX(LdgDateB,$O530)))</f>
        <v/>
      </c>
      <c r="C530" s="24">
        <f>IF($N530&lt;&gt;"",INDEX(PCOp,$N530),IF($O530&lt;&gt;"",IF(N(INDEX(TxnDepB,$O530))&gt;0,"دریافت بانکی","پرداخت بانکی"),""))</f>
        <v/>
      </c>
      <c r="D530" s="24">
        <f>IF($N530&lt;&gt;"",IF(INDEX(PCDoc,$N530)="","—",INDEX(PCDoc,$N530)),IF($O530&lt;&gt;"",INDEX(LdgBankB,$O530),""))</f>
        <v/>
      </c>
      <c r="E530" s="24">
        <f>IF($N530&lt;&gt;"",IF(INDEX(PCCitrus,$N530)="","—",INDEX(PCCitrus,$N530)),"")</f>
        <v/>
      </c>
      <c r="F530" s="25">
        <f>IF($N530&lt;&gt;"",IF(INDEX(PCScale,$N530)=0,"",INDEX(PCScale,$N530)),"")</f>
        <v/>
      </c>
      <c r="G530" s="25">
        <f>IF($N530&lt;&gt;"",IF(INDEX(PCBaskets,$N530)=0,"",INDEX(PCBaskets,$N530)),"")</f>
        <v/>
      </c>
      <c r="H530" s="26">
        <f>IF($N530&lt;&gt;"",IF(INDEX(PCNet,$N530)=0,"",INDEX(PCNet,$N530)),"")</f>
        <v/>
      </c>
      <c r="I530" s="25">
        <f>IF($N530&lt;&gt;"",IF(INDEX(PCOp,$N530)="مرجوعی خرید","",IF(INDEX(PCAmount,$N530)&lt;=0,"",INDEX(PCAmount,$N530))),IF($O530&lt;&gt;"",IF(INDEX(TxnDepB,$O530)=0,"",INDEX(TxnDepB,$O530)),""))</f>
        <v/>
      </c>
      <c r="J530" s="25">
        <f>IF($N530&lt;&gt;"",IF(INDEX(PCOp,$N530)="مرجوعی خرید",IF(INDEX(PCAmount,$N530)=0,"",-INDEX(PCAmount,$N530)),""),IF($O530&lt;&gt;"",IF(INDEX(TxnWitB,$O530)=0,"",INDEX(TxnWitB,$O530)),""))</f>
        <v/>
      </c>
      <c r="K530" s="27">
        <f>IF($B530="","",IF($K529="",$C$10,$K529)+IF($I530="",0,$I530)-IF($J530="",0,$J530))</f>
        <v/>
      </c>
      <c r="L530" s="28">
        <f>IF($N530&lt;&gt;"",IF(INDEX(PCNotes,$N530)="","—",INDEX(PCNotes,$N530)),IF($O530&lt;&gt;"",IF(INDEX(LdgNoteB,$O530)="","—",INDEX(LdgNoteB,$O530)),""))</f>
        <v/>
      </c>
      <c r="N530">
        <f>IFERROR(MATCH($C$5&amp;"|"&amp;RIGHT("000000"&amp;514,6),LdgRankKeyA,0),"")</f>
        <v/>
      </c>
      <c r="O530">
        <f>IFERROR(MATCH($C$5&amp;"|"&amp;RIGHT("000000"&amp;514,6),LdgRankKeyB,0),"")</f>
        <v/>
      </c>
    </row>
    <row r="531">
      <c r="A531" s="17" t="n">
        <v>515</v>
      </c>
      <c r="B531" s="18">
        <f>IF(AND($N531="",$O531=""),"",IF($N531&lt;&gt;"",INDEX(PCNormDate,$N531),INDEX(LdgDateB,$O531)))</f>
        <v/>
      </c>
      <c r="C531" s="18">
        <f>IF($N531&lt;&gt;"",INDEX(PCOp,$N531),IF($O531&lt;&gt;"",IF(N(INDEX(TxnDepB,$O531))&gt;0,"دریافت بانکی","پرداخت بانکی"),""))</f>
        <v/>
      </c>
      <c r="D531" s="18">
        <f>IF($N531&lt;&gt;"",IF(INDEX(PCDoc,$N531)="","—",INDEX(PCDoc,$N531)),IF($O531&lt;&gt;"",INDEX(LdgBankB,$O531),""))</f>
        <v/>
      </c>
      <c r="E531" s="18">
        <f>IF($N531&lt;&gt;"",IF(INDEX(PCCitrus,$N531)="","—",INDEX(PCCitrus,$N531)),"")</f>
        <v/>
      </c>
      <c r="F531" s="19">
        <f>IF($N531&lt;&gt;"",IF(INDEX(PCScale,$N531)=0,"",INDEX(PCScale,$N531)),"")</f>
        <v/>
      </c>
      <c r="G531" s="19">
        <f>IF($N531&lt;&gt;"",IF(INDEX(PCBaskets,$N531)=0,"",INDEX(PCBaskets,$N531)),"")</f>
        <v/>
      </c>
      <c r="H531" s="20">
        <f>IF($N531&lt;&gt;"",IF(INDEX(PCNet,$N531)=0,"",INDEX(PCNet,$N531)),"")</f>
        <v/>
      </c>
      <c r="I531" s="19">
        <f>IF($N531&lt;&gt;"",IF(INDEX(PCOp,$N531)="مرجوعی خرید","",IF(INDEX(PCAmount,$N531)&lt;=0,"",INDEX(PCAmount,$N531))),IF($O531&lt;&gt;"",IF(INDEX(TxnDepB,$O531)=0,"",INDEX(TxnDepB,$O531)),""))</f>
        <v/>
      </c>
      <c r="J531" s="19">
        <f>IF($N531&lt;&gt;"",IF(INDEX(PCOp,$N531)="مرجوعی خرید",IF(INDEX(PCAmount,$N531)=0,"",-INDEX(PCAmount,$N531)),""),IF($O531&lt;&gt;"",IF(INDEX(TxnWitB,$O531)=0,"",INDEX(TxnWitB,$O531)),""))</f>
        <v/>
      </c>
      <c r="K531" s="21">
        <f>IF($B531="","",IF($K530="",$C$10,$K530)+IF($I531="",0,$I531)-IF($J531="",0,$J531))</f>
        <v/>
      </c>
      <c r="L531" s="22">
        <f>IF($N531&lt;&gt;"",IF(INDEX(PCNotes,$N531)="","—",INDEX(PCNotes,$N531)),IF($O531&lt;&gt;"",IF(INDEX(LdgNoteB,$O531)="","—",INDEX(LdgNoteB,$O531)),""))</f>
        <v/>
      </c>
      <c r="N531">
        <f>IFERROR(MATCH($C$5&amp;"|"&amp;RIGHT("000000"&amp;515,6),LdgRankKeyA,0),"")</f>
        <v/>
      </c>
      <c r="O531">
        <f>IFERROR(MATCH($C$5&amp;"|"&amp;RIGHT("000000"&amp;515,6),LdgRankKeyB,0),"")</f>
        <v/>
      </c>
    </row>
    <row r="532">
      <c r="A532" s="23" t="n">
        <v>516</v>
      </c>
      <c r="B532" s="24">
        <f>IF(AND($N532="",$O532=""),"",IF($N532&lt;&gt;"",INDEX(PCNormDate,$N532),INDEX(LdgDateB,$O532)))</f>
        <v/>
      </c>
      <c r="C532" s="24">
        <f>IF($N532&lt;&gt;"",INDEX(PCOp,$N532),IF($O532&lt;&gt;"",IF(N(INDEX(TxnDepB,$O532))&gt;0,"دریافت بانکی","پرداخت بانکی"),""))</f>
        <v/>
      </c>
      <c r="D532" s="24">
        <f>IF($N532&lt;&gt;"",IF(INDEX(PCDoc,$N532)="","—",INDEX(PCDoc,$N532)),IF($O532&lt;&gt;"",INDEX(LdgBankB,$O532),""))</f>
        <v/>
      </c>
      <c r="E532" s="24">
        <f>IF($N532&lt;&gt;"",IF(INDEX(PCCitrus,$N532)="","—",INDEX(PCCitrus,$N532)),"")</f>
        <v/>
      </c>
      <c r="F532" s="25">
        <f>IF($N532&lt;&gt;"",IF(INDEX(PCScale,$N532)=0,"",INDEX(PCScale,$N532)),"")</f>
        <v/>
      </c>
      <c r="G532" s="25">
        <f>IF($N532&lt;&gt;"",IF(INDEX(PCBaskets,$N532)=0,"",INDEX(PCBaskets,$N532)),"")</f>
        <v/>
      </c>
      <c r="H532" s="26">
        <f>IF($N532&lt;&gt;"",IF(INDEX(PCNet,$N532)=0,"",INDEX(PCNet,$N532)),"")</f>
        <v/>
      </c>
      <c r="I532" s="25">
        <f>IF($N532&lt;&gt;"",IF(INDEX(PCOp,$N532)="مرجوعی خرید","",IF(INDEX(PCAmount,$N532)&lt;=0,"",INDEX(PCAmount,$N532))),IF($O532&lt;&gt;"",IF(INDEX(TxnDepB,$O532)=0,"",INDEX(TxnDepB,$O532)),""))</f>
        <v/>
      </c>
      <c r="J532" s="25">
        <f>IF($N532&lt;&gt;"",IF(INDEX(PCOp,$N532)="مرجوعی خرید",IF(INDEX(PCAmount,$N532)=0,"",-INDEX(PCAmount,$N532)),""),IF($O532&lt;&gt;"",IF(INDEX(TxnWitB,$O532)=0,"",INDEX(TxnWitB,$O532)),""))</f>
        <v/>
      </c>
      <c r="K532" s="27">
        <f>IF($B532="","",IF($K531="",$C$10,$K531)+IF($I532="",0,$I532)-IF($J532="",0,$J532))</f>
        <v/>
      </c>
      <c r="L532" s="28">
        <f>IF($N532&lt;&gt;"",IF(INDEX(PCNotes,$N532)="","—",INDEX(PCNotes,$N532)),IF($O532&lt;&gt;"",IF(INDEX(LdgNoteB,$O532)="","—",INDEX(LdgNoteB,$O532)),""))</f>
        <v/>
      </c>
      <c r="N532">
        <f>IFERROR(MATCH($C$5&amp;"|"&amp;RIGHT("000000"&amp;516,6),LdgRankKeyA,0),"")</f>
        <v/>
      </c>
      <c r="O532">
        <f>IFERROR(MATCH($C$5&amp;"|"&amp;RIGHT("000000"&amp;516,6),LdgRankKeyB,0),"")</f>
        <v/>
      </c>
    </row>
    <row r="533">
      <c r="A533" s="17" t="n">
        <v>517</v>
      </c>
      <c r="B533" s="18">
        <f>IF(AND($N533="",$O533=""),"",IF($N533&lt;&gt;"",INDEX(PCNormDate,$N533),INDEX(LdgDateB,$O533)))</f>
        <v/>
      </c>
      <c r="C533" s="18">
        <f>IF($N533&lt;&gt;"",INDEX(PCOp,$N533),IF($O533&lt;&gt;"",IF(N(INDEX(TxnDepB,$O533))&gt;0,"دریافت بانکی","پرداخت بانکی"),""))</f>
        <v/>
      </c>
      <c r="D533" s="18">
        <f>IF($N533&lt;&gt;"",IF(INDEX(PCDoc,$N533)="","—",INDEX(PCDoc,$N533)),IF($O533&lt;&gt;"",INDEX(LdgBankB,$O533),""))</f>
        <v/>
      </c>
      <c r="E533" s="18">
        <f>IF($N533&lt;&gt;"",IF(INDEX(PCCitrus,$N533)="","—",INDEX(PCCitrus,$N533)),"")</f>
        <v/>
      </c>
      <c r="F533" s="19">
        <f>IF($N533&lt;&gt;"",IF(INDEX(PCScale,$N533)=0,"",INDEX(PCScale,$N533)),"")</f>
        <v/>
      </c>
      <c r="G533" s="19">
        <f>IF($N533&lt;&gt;"",IF(INDEX(PCBaskets,$N533)=0,"",INDEX(PCBaskets,$N533)),"")</f>
        <v/>
      </c>
      <c r="H533" s="20">
        <f>IF($N533&lt;&gt;"",IF(INDEX(PCNet,$N533)=0,"",INDEX(PCNet,$N533)),"")</f>
        <v/>
      </c>
      <c r="I533" s="19">
        <f>IF($N533&lt;&gt;"",IF(INDEX(PCOp,$N533)="مرجوعی خرید","",IF(INDEX(PCAmount,$N533)&lt;=0,"",INDEX(PCAmount,$N533))),IF($O533&lt;&gt;"",IF(INDEX(TxnDepB,$O533)=0,"",INDEX(TxnDepB,$O533)),""))</f>
        <v/>
      </c>
      <c r="J533" s="19">
        <f>IF($N533&lt;&gt;"",IF(INDEX(PCOp,$N533)="مرجوعی خرید",IF(INDEX(PCAmount,$N533)=0,"",-INDEX(PCAmount,$N533)),""),IF($O533&lt;&gt;"",IF(INDEX(TxnWitB,$O533)=0,"",INDEX(TxnWitB,$O533)),""))</f>
        <v/>
      </c>
      <c r="K533" s="21">
        <f>IF($B533="","",IF($K532="",$C$10,$K532)+IF($I533="",0,$I533)-IF($J533="",0,$J533))</f>
        <v/>
      </c>
      <c r="L533" s="22">
        <f>IF($N533&lt;&gt;"",IF(INDEX(PCNotes,$N533)="","—",INDEX(PCNotes,$N533)),IF($O533&lt;&gt;"",IF(INDEX(LdgNoteB,$O533)="","—",INDEX(LdgNoteB,$O533)),""))</f>
        <v/>
      </c>
      <c r="N533">
        <f>IFERROR(MATCH($C$5&amp;"|"&amp;RIGHT("000000"&amp;517,6),LdgRankKeyA,0),"")</f>
        <v/>
      </c>
      <c r="O533">
        <f>IFERROR(MATCH($C$5&amp;"|"&amp;RIGHT("000000"&amp;517,6),LdgRankKeyB,0),"")</f>
        <v/>
      </c>
    </row>
    <row r="534">
      <c r="A534" s="23" t="n">
        <v>518</v>
      </c>
      <c r="B534" s="24">
        <f>IF(AND($N534="",$O534=""),"",IF($N534&lt;&gt;"",INDEX(PCNormDate,$N534),INDEX(LdgDateB,$O534)))</f>
        <v/>
      </c>
      <c r="C534" s="24">
        <f>IF($N534&lt;&gt;"",INDEX(PCOp,$N534),IF($O534&lt;&gt;"",IF(N(INDEX(TxnDepB,$O534))&gt;0,"دریافت بانکی","پرداخت بانکی"),""))</f>
        <v/>
      </c>
      <c r="D534" s="24">
        <f>IF($N534&lt;&gt;"",IF(INDEX(PCDoc,$N534)="","—",INDEX(PCDoc,$N534)),IF($O534&lt;&gt;"",INDEX(LdgBankB,$O534),""))</f>
        <v/>
      </c>
      <c r="E534" s="24">
        <f>IF($N534&lt;&gt;"",IF(INDEX(PCCitrus,$N534)="","—",INDEX(PCCitrus,$N534)),"")</f>
        <v/>
      </c>
      <c r="F534" s="25">
        <f>IF($N534&lt;&gt;"",IF(INDEX(PCScale,$N534)=0,"",INDEX(PCScale,$N534)),"")</f>
        <v/>
      </c>
      <c r="G534" s="25">
        <f>IF($N534&lt;&gt;"",IF(INDEX(PCBaskets,$N534)=0,"",INDEX(PCBaskets,$N534)),"")</f>
        <v/>
      </c>
      <c r="H534" s="26">
        <f>IF($N534&lt;&gt;"",IF(INDEX(PCNet,$N534)=0,"",INDEX(PCNet,$N534)),"")</f>
        <v/>
      </c>
      <c r="I534" s="25">
        <f>IF($N534&lt;&gt;"",IF(INDEX(PCOp,$N534)="مرجوعی خرید","",IF(INDEX(PCAmount,$N534)&lt;=0,"",INDEX(PCAmount,$N534))),IF($O534&lt;&gt;"",IF(INDEX(TxnDepB,$O534)=0,"",INDEX(TxnDepB,$O534)),""))</f>
        <v/>
      </c>
      <c r="J534" s="25">
        <f>IF($N534&lt;&gt;"",IF(INDEX(PCOp,$N534)="مرجوعی خرید",IF(INDEX(PCAmount,$N534)=0,"",-INDEX(PCAmount,$N534)),""),IF($O534&lt;&gt;"",IF(INDEX(TxnWitB,$O534)=0,"",INDEX(TxnWitB,$O534)),""))</f>
        <v/>
      </c>
      <c r="K534" s="27">
        <f>IF($B534="","",IF($K533="",$C$10,$K533)+IF($I534="",0,$I534)-IF($J534="",0,$J534))</f>
        <v/>
      </c>
      <c r="L534" s="28">
        <f>IF($N534&lt;&gt;"",IF(INDEX(PCNotes,$N534)="","—",INDEX(PCNotes,$N534)),IF($O534&lt;&gt;"",IF(INDEX(LdgNoteB,$O534)="","—",INDEX(LdgNoteB,$O534)),""))</f>
        <v/>
      </c>
      <c r="N534">
        <f>IFERROR(MATCH($C$5&amp;"|"&amp;RIGHT("000000"&amp;518,6),LdgRankKeyA,0),"")</f>
        <v/>
      </c>
      <c r="O534">
        <f>IFERROR(MATCH($C$5&amp;"|"&amp;RIGHT("000000"&amp;518,6),LdgRankKeyB,0),"")</f>
        <v/>
      </c>
    </row>
    <row r="535">
      <c r="A535" s="17" t="n">
        <v>519</v>
      </c>
      <c r="B535" s="18">
        <f>IF(AND($N535="",$O535=""),"",IF($N535&lt;&gt;"",INDEX(PCNormDate,$N535),INDEX(LdgDateB,$O535)))</f>
        <v/>
      </c>
      <c r="C535" s="18">
        <f>IF($N535&lt;&gt;"",INDEX(PCOp,$N535),IF($O535&lt;&gt;"",IF(N(INDEX(TxnDepB,$O535))&gt;0,"دریافت بانکی","پرداخت بانکی"),""))</f>
        <v/>
      </c>
      <c r="D535" s="18">
        <f>IF($N535&lt;&gt;"",IF(INDEX(PCDoc,$N535)="","—",INDEX(PCDoc,$N535)),IF($O535&lt;&gt;"",INDEX(LdgBankB,$O535),""))</f>
        <v/>
      </c>
      <c r="E535" s="18">
        <f>IF($N535&lt;&gt;"",IF(INDEX(PCCitrus,$N535)="","—",INDEX(PCCitrus,$N535)),"")</f>
        <v/>
      </c>
      <c r="F535" s="19">
        <f>IF($N535&lt;&gt;"",IF(INDEX(PCScale,$N535)=0,"",INDEX(PCScale,$N535)),"")</f>
        <v/>
      </c>
      <c r="G535" s="19">
        <f>IF($N535&lt;&gt;"",IF(INDEX(PCBaskets,$N535)=0,"",INDEX(PCBaskets,$N535)),"")</f>
        <v/>
      </c>
      <c r="H535" s="20">
        <f>IF($N535&lt;&gt;"",IF(INDEX(PCNet,$N535)=0,"",INDEX(PCNet,$N535)),"")</f>
        <v/>
      </c>
      <c r="I535" s="19">
        <f>IF($N535&lt;&gt;"",IF(INDEX(PCOp,$N535)="مرجوعی خرید","",IF(INDEX(PCAmount,$N535)&lt;=0,"",INDEX(PCAmount,$N535))),IF($O535&lt;&gt;"",IF(INDEX(TxnDepB,$O535)=0,"",INDEX(TxnDepB,$O535)),""))</f>
        <v/>
      </c>
      <c r="J535" s="19">
        <f>IF($N535&lt;&gt;"",IF(INDEX(PCOp,$N535)="مرجوعی خرید",IF(INDEX(PCAmount,$N535)=0,"",-INDEX(PCAmount,$N535)),""),IF($O535&lt;&gt;"",IF(INDEX(TxnWitB,$O535)=0,"",INDEX(TxnWitB,$O535)),""))</f>
        <v/>
      </c>
      <c r="K535" s="21">
        <f>IF($B535="","",IF($K534="",$C$10,$K534)+IF($I535="",0,$I535)-IF($J535="",0,$J535))</f>
        <v/>
      </c>
      <c r="L535" s="22">
        <f>IF($N535&lt;&gt;"",IF(INDEX(PCNotes,$N535)="","—",INDEX(PCNotes,$N535)),IF($O535&lt;&gt;"",IF(INDEX(LdgNoteB,$O535)="","—",INDEX(LdgNoteB,$O535)),""))</f>
        <v/>
      </c>
      <c r="N535">
        <f>IFERROR(MATCH($C$5&amp;"|"&amp;RIGHT("000000"&amp;519,6),LdgRankKeyA,0),"")</f>
        <v/>
      </c>
      <c r="O535">
        <f>IFERROR(MATCH($C$5&amp;"|"&amp;RIGHT("000000"&amp;519,6),LdgRankKeyB,0),"")</f>
        <v/>
      </c>
    </row>
    <row r="536">
      <c r="A536" s="23" t="n">
        <v>520</v>
      </c>
      <c r="B536" s="24">
        <f>IF(AND($N536="",$O536=""),"",IF($N536&lt;&gt;"",INDEX(PCNormDate,$N536),INDEX(LdgDateB,$O536)))</f>
        <v/>
      </c>
      <c r="C536" s="24">
        <f>IF($N536&lt;&gt;"",INDEX(PCOp,$N536),IF($O536&lt;&gt;"",IF(N(INDEX(TxnDepB,$O536))&gt;0,"دریافت بانکی","پرداخت بانکی"),""))</f>
        <v/>
      </c>
      <c r="D536" s="24">
        <f>IF($N536&lt;&gt;"",IF(INDEX(PCDoc,$N536)="","—",INDEX(PCDoc,$N536)),IF($O536&lt;&gt;"",INDEX(LdgBankB,$O536),""))</f>
        <v/>
      </c>
      <c r="E536" s="24">
        <f>IF($N536&lt;&gt;"",IF(INDEX(PCCitrus,$N536)="","—",INDEX(PCCitrus,$N536)),"")</f>
        <v/>
      </c>
      <c r="F536" s="25">
        <f>IF($N536&lt;&gt;"",IF(INDEX(PCScale,$N536)=0,"",INDEX(PCScale,$N536)),"")</f>
        <v/>
      </c>
      <c r="G536" s="25">
        <f>IF($N536&lt;&gt;"",IF(INDEX(PCBaskets,$N536)=0,"",INDEX(PCBaskets,$N536)),"")</f>
        <v/>
      </c>
      <c r="H536" s="26">
        <f>IF($N536&lt;&gt;"",IF(INDEX(PCNet,$N536)=0,"",INDEX(PCNet,$N536)),"")</f>
        <v/>
      </c>
      <c r="I536" s="25">
        <f>IF($N536&lt;&gt;"",IF(INDEX(PCOp,$N536)="مرجوعی خرید","",IF(INDEX(PCAmount,$N536)&lt;=0,"",INDEX(PCAmount,$N536))),IF($O536&lt;&gt;"",IF(INDEX(TxnDepB,$O536)=0,"",INDEX(TxnDepB,$O536)),""))</f>
        <v/>
      </c>
      <c r="J536" s="25">
        <f>IF($N536&lt;&gt;"",IF(INDEX(PCOp,$N536)="مرجوعی خرید",IF(INDEX(PCAmount,$N536)=0,"",-INDEX(PCAmount,$N536)),""),IF($O536&lt;&gt;"",IF(INDEX(TxnWitB,$O536)=0,"",INDEX(TxnWitB,$O536)),""))</f>
        <v/>
      </c>
      <c r="K536" s="27">
        <f>IF($B536="","",IF($K535="",$C$10,$K535)+IF($I536="",0,$I536)-IF($J536="",0,$J536))</f>
        <v/>
      </c>
      <c r="L536" s="28">
        <f>IF($N536&lt;&gt;"",IF(INDEX(PCNotes,$N536)="","—",INDEX(PCNotes,$N536)),IF($O536&lt;&gt;"",IF(INDEX(LdgNoteB,$O536)="","—",INDEX(LdgNoteB,$O536)),""))</f>
        <v/>
      </c>
      <c r="N536">
        <f>IFERROR(MATCH($C$5&amp;"|"&amp;RIGHT("000000"&amp;520,6),LdgRankKeyA,0),"")</f>
        <v/>
      </c>
      <c r="O536">
        <f>IFERROR(MATCH($C$5&amp;"|"&amp;RIGHT("000000"&amp;520,6),LdgRankKeyB,0),"")</f>
        <v/>
      </c>
    </row>
    <row r="537">
      <c r="A537" s="17" t="n">
        <v>521</v>
      </c>
      <c r="B537" s="18">
        <f>IF(AND($N537="",$O537=""),"",IF($N537&lt;&gt;"",INDEX(PCNormDate,$N537),INDEX(LdgDateB,$O537)))</f>
        <v/>
      </c>
      <c r="C537" s="18">
        <f>IF($N537&lt;&gt;"",INDEX(PCOp,$N537),IF($O537&lt;&gt;"",IF(N(INDEX(TxnDepB,$O537))&gt;0,"دریافت بانکی","پرداخت بانکی"),""))</f>
        <v/>
      </c>
      <c r="D537" s="18">
        <f>IF($N537&lt;&gt;"",IF(INDEX(PCDoc,$N537)="","—",INDEX(PCDoc,$N537)),IF($O537&lt;&gt;"",INDEX(LdgBankB,$O537),""))</f>
        <v/>
      </c>
      <c r="E537" s="18">
        <f>IF($N537&lt;&gt;"",IF(INDEX(PCCitrus,$N537)="","—",INDEX(PCCitrus,$N537)),"")</f>
        <v/>
      </c>
      <c r="F537" s="19">
        <f>IF($N537&lt;&gt;"",IF(INDEX(PCScale,$N537)=0,"",INDEX(PCScale,$N537)),"")</f>
        <v/>
      </c>
      <c r="G537" s="19">
        <f>IF($N537&lt;&gt;"",IF(INDEX(PCBaskets,$N537)=0,"",INDEX(PCBaskets,$N537)),"")</f>
        <v/>
      </c>
      <c r="H537" s="20">
        <f>IF($N537&lt;&gt;"",IF(INDEX(PCNet,$N537)=0,"",INDEX(PCNet,$N537)),"")</f>
        <v/>
      </c>
      <c r="I537" s="19">
        <f>IF($N537&lt;&gt;"",IF(INDEX(PCOp,$N537)="مرجوعی خرید","",IF(INDEX(PCAmount,$N537)&lt;=0,"",INDEX(PCAmount,$N537))),IF($O537&lt;&gt;"",IF(INDEX(TxnDepB,$O537)=0,"",INDEX(TxnDepB,$O537)),""))</f>
        <v/>
      </c>
      <c r="J537" s="19">
        <f>IF($N537&lt;&gt;"",IF(INDEX(PCOp,$N537)="مرجوعی خرید",IF(INDEX(PCAmount,$N537)=0,"",-INDEX(PCAmount,$N537)),""),IF($O537&lt;&gt;"",IF(INDEX(TxnWitB,$O537)=0,"",INDEX(TxnWitB,$O537)),""))</f>
        <v/>
      </c>
      <c r="K537" s="21">
        <f>IF($B537="","",IF($K536="",$C$10,$K536)+IF($I537="",0,$I537)-IF($J537="",0,$J537))</f>
        <v/>
      </c>
      <c r="L537" s="22">
        <f>IF($N537&lt;&gt;"",IF(INDEX(PCNotes,$N537)="","—",INDEX(PCNotes,$N537)),IF($O537&lt;&gt;"",IF(INDEX(LdgNoteB,$O537)="","—",INDEX(LdgNoteB,$O537)),""))</f>
        <v/>
      </c>
      <c r="N537">
        <f>IFERROR(MATCH($C$5&amp;"|"&amp;RIGHT("000000"&amp;521,6),LdgRankKeyA,0),"")</f>
        <v/>
      </c>
      <c r="O537">
        <f>IFERROR(MATCH($C$5&amp;"|"&amp;RIGHT("000000"&amp;521,6),LdgRankKeyB,0),"")</f>
        <v/>
      </c>
    </row>
    <row r="538">
      <c r="A538" s="23" t="n">
        <v>522</v>
      </c>
      <c r="B538" s="24">
        <f>IF(AND($N538="",$O538=""),"",IF($N538&lt;&gt;"",INDEX(PCNormDate,$N538),INDEX(LdgDateB,$O538)))</f>
        <v/>
      </c>
      <c r="C538" s="24">
        <f>IF($N538&lt;&gt;"",INDEX(PCOp,$N538),IF($O538&lt;&gt;"",IF(N(INDEX(TxnDepB,$O538))&gt;0,"دریافت بانکی","پرداخت بانکی"),""))</f>
        <v/>
      </c>
      <c r="D538" s="24">
        <f>IF($N538&lt;&gt;"",IF(INDEX(PCDoc,$N538)="","—",INDEX(PCDoc,$N538)),IF($O538&lt;&gt;"",INDEX(LdgBankB,$O538),""))</f>
        <v/>
      </c>
      <c r="E538" s="24">
        <f>IF($N538&lt;&gt;"",IF(INDEX(PCCitrus,$N538)="","—",INDEX(PCCitrus,$N538)),"")</f>
        <v/>
      </c>
      <c r="F538" s="25">
        <f>IF($N538&lt;&gt;"",IF(INDEX(PCScale,$N538)=0,"",INDEX(PCScale,$N538)),"")</f>
        <v/>
      </c>
      <c r="G538" s="25">
        <f>IF($N538&lt;&gt;"",IF(INDEX(PCBaskets,$N538)=0,"",INDEX(PCBaskets,$N538)),"")</f>
        <v/>
      </c>
      <c r="H538" s="26">
        <f>IF($N538&lt;&gt;"",IF(INDEX(PCNet,$N538)=0,"",INDEX(PCNet,$N538)),"")</f>
        <v/>
      </c>
      <c r="I538" s="25">
        <f>IF($N538&lt;&gt;"",IF(INDEX(PCOp,$N538)="مرجوعی خرید","",IF(INDEX(PCAmount,$N538)&lt;=0,"",INDEX(PCAmount,$N538))),IF($O538&lt;&gt;"",IF(INDEX(TxnDepB,$O538)=0,"",INDEX(TxnDepB,$O538)),""))</f>
        <v/>
      </c>
      <c r="J538" s="25">
        <f>IF($N538&lt;&gt;"",IF(INDEX(PCOp,$N538)="مرجوعی خرید",IF(INDEX(PCAmount,$N538)=0,"",-INDEX(PCAmount,$N538)),""),IF($O538&lt;&gt;"",IF(INDEX(TxnWitB,$O538)=0,"",INDEX(TxnWitB,$O538)),""))</f>
        <v/>
      </c>
      <c r="K538" s="27">
        <f>IF($B538="","",IF($K537="",$C$10,$K537)+IF($I538="",0,$I538)-IF($J538="",0,$J538))</f>
        <v/>
      </c>
      <c r="L538" s="28">
        <f>IF($N538&lt;&gt;"",IF(INDEX(PCNotes,$N538)="","—",INDEX(PCNotes,$N538)),IF($O538&lt;&gt;"",IF(INDEX(LdgNoteB,$O538)="","—",INDEX(LdgNoteB,$O538)),""))</f>
        <v/>
      </c>
      <c r="N538">
        <f>IFERROR(MATCH($C$5&amp;"|"&amp;RIGHT("000000"&amp;522,6),LdgRankKeyA,0),"")</f>
        <v/>
      </c>
      <c r="O538">
        <f>IFERROR(MATCH($C$5&amp;"|"&amp;RIGHT("000000"&amp;522,6),LdgRankKeyB,0),"")</f>
        <v/>
      </c>
    </row>
    <row r="539">
      <c r="A539" s="17" t="n">
        <v>523</v>
      </c>
      <c r="B539" s="18">
        <f>IF(AND($N539="",$O539=""),"",IF($N539&lt;&gt;"",INDEX(PCNormDate,$N539),INDEX(LdgDateB,$O539)))</f>
        <v/>
      </c>
      <c r="C539" s="18">
        <f>IF($N539&lt;&gt;"",INDEX(PCOp,$N539),IF($O539&lt;&gt;"",IF(N(INDEX(TxnDepB,$O539))&gt;0,"دریافت بانکی","پرداخت بانکی"),""))</f>
        <v/>
      </c>
      <c r="D539" s="18">
        <f>IF($N539&lt;&gt;"",IF(INDEX(PCDoc,$N539)="","—",INDEX(PCDoc,$N539)),IF($O539&lt;&gt;"",INDEX(LdgBankB,$O539),""))</f>
        <v/>
      </c>
      <c r="E539" s="18">
        <f>IF($N539&lt;&gt;"",IF(INDEX(PCCitrus,$N539)="","—",INDEX(PCCitrus,$N539)),"")</f>
        <v/>
      </c>
      <c r="F539" s="19">
        <f>IF($N539&lt;&gt;"",IF(INDEX(PCScale,$N539)=0,"",INDEX(PCScale,$N539)),"")</f>
        <v/>
      </c>
      <c r="G539" s="19">
        <f>IF($N539&lt;&gt;"",IF(INDEX(PCBaskets,$N539)=0,"",INDEX(PCBaskets,$N539)),"")</f>
        <v/>
      </c>
      <c r="H539" s="20">
        <f>IF($N539&lt;&gt;"",IF(INDEX(PCNet,$N539)=0,"",INDEX(PCNet,$N539)),"")</f>
        <v/>
      </c>
      <c r="I539" s="19">
        <f>IF($N539&lt;&gt;"",IF(INDEX(PCOp,$N539)="مرجوعی خرید","",IF(INDEX(PCAmount,$N539)&lt;=0,"",INDEX(PCAmount,$N539))),IF($O539&lt;&gt;"",IF(INDEX(TxnDepB,$O539)=0,"",INDEX(TxnDepB,$O539)),""))</f>
        <v/>
      </c>
      <c r="J539" s="19">
        <f>IF($N539&lt;&gt;"",IF(INDEX(PCOp,$N539)="مرجوعی خرید",IF(INDEX(PCAmount,$N539)=0,"",-INDEX(PCAmount,$N539)),""),IF($O539&lt;&gt;"",IF(INDEX(TxnWitB,$O539)=0,"",INDEX(TxnWitB,$O539)),""))</f>
        <v/>
      </c>
      <c r="K539" s="21">
        <f>IF($B539="","",IF($K538="",$C$10,$K538)+IF($I539="",0,$I539)-IF($J539="",0,$J539))</f>
        <v/>
      </c>
      <c r="L539" s="22">
        <f>IF($N539&lt;&gt;"",IF(INDEX(PCNotes,$N539)="","—",INDEX(PCNotes,$N539)),IF($O539&lt;&gt;"",IF(INDEX(LdgNoteB,$O539)="","—",INDEX(LdgNoteB,$O539)),""))</f>
        <v/>
      </c>
      <c r="N539">
        <f>IFERROR(MATCH($C$5&amp;"|"&amp;RIGHT("000000"&amp;523,6),LdgRankKeyA,0),"")</f>
        <v/>
      </c>
      <c r="O539">
        <f>IFERROR(MATCH($C$5&amp;"|"&amp;RIGHT("000000"&amp;523,6),LdgRankKeyB,0),"")</f>
        <v/>
      </c>
    </row>
    <row r="540">
      <c r="A540" s="23" t="n">
        <v>524</v>
      </c>
      <c r="B540" s="24">
        <f>IF(AND($N540="",$O540=""),"",IF($N540&lt;&gt;"",INDEX(PCNormDate,$N540),INDEX(LdgDateB,$O540)))</f>
        <v/>
      </c>
      <c r="C540" s="24">
        <f>IF($N540&lt;&gt;"",INDEX(PCOp,$N540),IF($O540&lt;&gt;"",IF(N(INDEX(TxnDepB,$O540))&gt;0,"دریافت بانکی","پرداخت بانکی"),""))</f>
        <v/>
      </c>
      <c r="D540" s="24">
        <f>IF($N540&lt;&gt;"",IF(INDEX(PCDoc,$N540)="","—",INDEX(PCDoc,$N540)),IF($O540&lt;&gt;"",INDEX(LdgBankB,$O540),""))</f>
        <v/>
      </c>
      <c r="E540" s="24">
        <f>IF($N540&lt;&gt;"",IF(INDEX(PCCitrus,$N540)="","—",INDEX(PCCitrus,$N540)),"")</f>
        <v/>
      </c>
      <c r="F540" s="25">
        <f>IF($N540&lt;&gt;"",IF(INDEX(PCScale,$N540)=0,"",INDEX(PCScale,$N540)),"")</f>
        <v/>
      </c>
      <c r="G540" s="25">
        <f>IF($N540&lt;&gt;"",IF(INDEX(PCBaskets,$N540)=0,"",INDEX(PCBaskets,$N540)),"")</f>
        <v/>
      </c>
      <c r="H540" s="26">
        <f>IF($N540&lt;&gt;"",IF(INDEX(PCNet,$N540)=0,"",INDEX(PCNet,$N540)),"")</f>
        <v/>
      </c>
      <c r="I540" s="25">
        <f>IF($N540&lt;&gt;"",IF(INDEX(PCOp,$N540)="مرجوعی خرید","",IF(INDEX(PCAmount,$N540)&lt;=0,"",INDEX(PCAmount,$N540))),IF($O540&lt;&gt;"",IF(INDEX(TxnDepB,$O540)=0,"",INDEX(TxnDepB,$O540)),""))</f>
        <v/>
      </c>
      <c r="J540" s="25">
        <f>IF($N540&lt;&gt;"",IF(INDEX(PCOp,$N540)="مرجوعی خرید",IF(INDEX(PCAmount,$N540)=0,"",-INDEX(PCAmount,$N540)),""),IF($O540&lt;&gt;"",IF(INDEX(TxnWitB,$O540)=0,"",INDEX(TxnWitB,$O540)),""))</f>
        <v/>
      </c>
      <c r="K540" s="27">
        <f>IF($B540="","",IF($K539="",$C$10,$K539)+IF($I540="",0,$I540)-IF($J540="",0,$J540))</f>
        <v/>
      </c>
      <c r="L540" s="28">
        <f>IF($N540&lt;&gt;"",IF(INDEX(PCNotes,$N540)="","—",INDEX(PCNotes,$N540)),IF($O540&lt;&gt;"",IF(INDEX(LdgNoteB,$O540)="","—",INDEX(LdgNoteB,$O540)),""))</f>
        <v/>
      </c>
      <c r="N540">
        <f>IFERROR(MATCH($C$5&amp;"|"&amp;RIGHT("000000"&amp;524,6),LdgRankKeyA,0),"")</f>
        <v/>
      </c>
      <c r="O540">
        <f>IFERROR(MATCH($C$5&amp;"|"&amp;RIGHT("000000"&amp;524,6),LdgRankKeyB,0),"")</f>
        <v/>
      </c>
    </row>
    <row r="541">
      <c r="A541" s="17" t="n">
        <v>525</v>
      </c>
      <c r="B541" s="18">
        <f>IF(AND($N541="",$O541=""),"",IF($N541&lt;&gt;"",INDEX(PCNormDate,$N541),INDEX(LdgDateB,$O541)))</f>
        <v/>
      </c>
      <c r="C541" s="18">
        <f>IF($N541&lt;&gt;"",INDEX(PCOp,$N541),IF($O541&lt;&gt;"",IF(N(INDEX(TxnDepB,$O541))&gt;0,"دریافت بانکی","پرداخت بانکی"),""))</f>
        <v/>
      </c>
      <c r="D541" s="18">
        <f>IF($N541&lt;&gt;"",IF(INDEX(PCDoc,$N541)="","—",INDEX(PCDoc,$N541)),IF($O541&lt;&gt;"",INDEX(LdgBankB,$O541),""))</f>
        <v/>
      </c>
      <c r="E541" s="18">
        <f>IF($N541&lt;&gt;"",IF(INDEX(PCCitrus,$N541)="","—",INDEX(PCCitrus,$N541)),"")</f>
        <v/>
      </c>
      <c r="F541" s="19">
        <f>IF($N541&lt;&gt;"",IF(INDEX(PCScale,$N541)=0,"",INDEX(PCScale,$N541)),"")</f>
        <v/>
      </c>
      <c r="G541" s="19">
        <f>IF($N541&lt;&gt;"",IF(INDEX(PCBaskets,$N541)=0,"",INDEX(PCBaskets,$N541)),"")</f>
        <v/>
      </c>
      <c r="H541" s="20">
        <f>IF($N541&lt;&gt;"",IF(INDEX(PCNet,$N541)=0,"",INDEX(PCNet,$N541)),"")</f>
        <v/>
      </c>
      <c r="I541" s="19">
        <f>IF($N541&lt;&gt;"",IF(INDEX(PCOp,$N541)="مرجوعی خرید","",IF(INDEX(PCAmount,$N541)&lt;=0,"",INDEX(PCAmount,$N541))),IF($O541&lt;&gt;"",IF(INDEX(TxnDepB,$O541)=0,"",INDEX(TxnDepB,$O541)),""))</f>
        <v/>
      </c>
      <c r="J541" s="19">
        <f>IF($N541&lt;&gt;"",IF(INDEX(PCOp,$N541)="مرجوعی خرید",IF(INDEX(PCAmount,$N541)=0,"",-INDEX(PCAmount,$N541)),""),IF($O541&lt;&gt;"",IF(INDEX(TxnWitB,$O541)=0,"",INDEX(TxnWitB,$O541)),""))</f>
        <v/>
      </c>
      <c r="K541" s="21">
        <f>IF($B541="","",IF($K540="",$C$10,$K540)+IF($I541="",0,$I541)-IF($J541="",0,$J541))</f>
        <v/>
      </c>
      <c r="L541" s="22">
        <f>IF($N541&lt;&gt;"",IF(INDEX(PCNotes,$N541)="","—",INDEX(PCNotes,$N541)),IF($O541&lt;&gt;"",IF(INDEX(LdgNoteB,$O541)="","—",INDEX(LdgNoteB,$O541)),""))</f>
        <v/>
      </c>
      <c r="N541">
        <f>IFERROR(MATCH($C$5&amp;"|"&amp;RIGHT("000000"&amp;525,6),LdgRankKeyA,0),"")</f>
        <v/>
      </c>
      <c r="O541">
        <f>IFERROR(MATCH($C$5&amp;"|"&amp;RIGHT("000000"&amp;525,6),LdgRankKeyB,0),"")</f>
        <v/>
      </c>
    </row>
    <row r="542">
      <c r="A542" s="23" t="n">
        <v>526</v>
      </c>
      <c r="B542" s="24">
        <f>IF(AND($N542="",$O542=""),"",IF($N542&lt;&gt;"",INDEX(PCNormDate,$N542),INDEX(LdgDateB,$O542)))</f>
        <v/>
      </c>
      <c r="C542" s="24">
        <f>IF($N542&lt;&gt;"",INDEX(PCOp,$N542),IF($O542&lt;&gt;"",IF(N(INDEX(TxnDepB,$O542))&gt;0,"دریافت بانکی","پرداخت بانکی"),""))</f>
        <v/>
      </c>
      <c r="D542" s="24">
        <f>IF($N542&lt;&gt;"",IF(INDEX(PCDoc,$N542)="","—",INDEX(PCDoc,$N542)),IF($O542&lt;&gt;"",INDEX(LdgBankB,$O542),""))</f>
        <v/>
      </c>
      <c r="E542" s="24">
        <f>IF($N542&lt;&gt;"",IF(INDEX(PCCitrus,$N542)="","—",INDEX(PCCitrus,$N542)),"")</f>
        <v/>
      </c>
      <c r="F542" s="25">
        <f>IF($N542&lt;&gt;"",IF(INDEX(PCScale,$N542)=0,"",INDEX(PCScale,$N542)),"")</f>
        <v/>
      </c>
      <c r="G542" s="25">
        <f>IF($N542&lt;&gt;"",IF(INDEX(PCBaskets,$N542)=0,"",INDEX(PCBaskets,$N542)),"")</f>
        <v/>
      </c>
      <c r="H542" s="26">
        <f>IF($N542&lt;&gt;"",IF(INDEX(PCNet,$N542)=0,"",INDEX(PCNet,$N542)),"")</f>
        <v/>
      </c>
      <c r="I542" s="25">
        <f>IF($N542&lt;&gt;"",IF(INDEX(PCOp,$N542)="مرجوعی خرید","",IF(INDEX(PCAmount,$N542)&lt;=0,"",INDEX(PCAmount,$N542))),IF($O542&lt;&gt;"",IF(INDEX(TxnDepB,$O542)=0,"",INDEX(TxnDepB,$O542)),""))</f>
        <v/>
      </c>
      <c r="J542" s="25">
        <f>IF($N542&lt;&gt;"",IF(INDEX(PCOp,$N542)="مرجوعی خرید",IF(INDEX(PCAmount,$N542)=0,"",-INDEX(PCAmount,$N542)),""),IF($O542&lt;&gt;"",IF(INDEX(TxnWitB,$O542)=0,"",INDEX(TxnWitB,$O542)),""))</f>
        <v/>
      </c>
      <c r="K542" s="27">
        <f>IF($B542="","",IF($K541="",$C$10,$K541)+IF($I542="",0,$I542)-IF($J542="",0,$J542))</f>
        <v/>
      </c>
      <c r="L542" s="28">
        <f>IF($N542&lt;&gt;"",IF(INDEX(PCNotes,$N542)="","—",INDEX(PCNotes,$N542)),IF($O542&lt;&gt;"",IF(INDEX(LdgNoteB,$O542)="","—",INDEX(LdgNoteB,$O542)),""))</f>
        <v/>
      </c>
      <c r="N542">
        <f>IFERROR(MATCH($C$5&amp;"|"&amp;RIGHT("000000"&amp;526,6),LdgRankKeyA,0),"")</f>
        <v/>
      </c>
      <c r="O542">
        <f>IFERROR(MATCH($C$5&amp;"|"&amp;RIGHT("000000"&amp;526,6),LdgRankKeyB,0),"")</f>
        <v/>
      </c>
    </row>
    <row r="543">
      <c r="A543" s="17" t="n">
        <v>527</v>
      </c>
      <c r="B543" s="18">
        <f>IF(AND($N543="",$O543=""),"",IF($N543&lt;&gt;"",INDEX(PCNormDate,$N543),INDEX(LdgDateB,$O543)))</f>
        <v/>
      </c>
      <c r="C543" s="18">
        <f>IF($N543&lt;&gt;"",INDEX(PCOp,$N543),IF($O543&lt;&gt;"",IF(N(INDEX(TxnDepB,$O543))&gt;0,"دریافت بانکی","پرداخت بانکی"),""))</f>
        <v/>
      </c>
      <c r="D543" s="18">
        <f>IF($N543&lt;&gt;"",IF(INDEX(PCDoc,$N543)="","—",INDEX(PCDoc,$N543)),IF($O543&lt;&gt;"",INDEX(LdgBankB,$O543),""))</f>
        <v/>
      </c>
      <c r="E543" s="18">
        <f>IF($N543&lt;&gt;"",IF(INDEX(PCCitrus,$N543)="","—",INDEX(PCCitrus,$N543)),"")</f>
        <v/>
      </c>
      <c r="F543" s="19">
        <f>IF($N543&lt;&gt;"",IF(INDEX(PCScale,$N543)=0,"",INDEX(PCScale,$N543)),"")</f>
        <v/>
      </c>
      <c r="G543" s="19">
        <f>IF($N543&lt;&gt;"",IF(INDEX(PCBaskets,$N543)=0,"",INDEX(PCBaskets,$N543)),"")</f>
        <v/>
      </c>
      <c r="H543" s="20">
        <f>IF($N543&lt;&gt;"",IF(INDEX(PCNet,$N543)=0,"",INDEX(PCNet,$N543)),"")</f>
        <v/>
      </c>
      <c r="I543" s="19">
        <f>IF($N543&lt;&gt;"",IF(INDEX(PCOp,$N543)="مرجوعی خرید","",IF(INDEX(PCAmount,$N543)&lt;=0,"",INDEX(PCAmount,$N543))),IF($O543&lt;&gt;"",IF(INDEX(TxnDepB,$O543)=0,"",INDEX(TxnDepB,$O543)),""))</f>
        <v/>
      </c>
      <c r="J543" s="19">
        <f>IF($N543&lt;&gt;"",IF(INDEX(PCOp,$N543)="مرجوعی خرید",IF(INDEX(PCAmount,$N543)=0,"",-INDEX(PCAmount,$N543)),""),IF($O543&lt;&gt;"",IF(INDEX(TxnWitB,$O543)=0,"",INDEX(TxnWitB,$O543)),""))</f>
        <v/>
      </c>
      <c r="K543" s="21">
        <f>IF($B543="","",IF($K542="",$C$10,$K542)+IF($I543="",0,$I543)-IF($J543="",0,$J543))</f>
        <v/>
      </c>
      <c r="L543" s="22">
        <f>IF($N543&lt;&gt;"",IF(INDEX(PCNotes,$N543)="","—",INDEX(PCNotes,$N543)),IF($O543&lt;&gt;"",IF(INDEX(LdgNoteB,$O543)="","—",INDEX(LdgNoteB,$O543)),""))</f>
        <v/>
      </c>
      <c r="N543">
        <f>IFERROR(MATCH($C$5&amp;"|"&amp;RIGHT("000000"&amp;527,6),LdgRankKeyA,0),"")</f>
        <v/>
      </c>
      <c r="O543">
        <f>IFERROR(MATCH($C$5&amp;"|"&amp;RIGHT("000000"&amp;527,6),LdgRankKeyB,0),"")</f>
        <v/>
      </c>
    </row>
    <row r="544">
      <c r="A544" s="23" t="n">
        <v>528</v>
      </c>
      <c r="B544" s="24">
        <f>IF(AND($N544="",$O544=""),"",IF($N544&lt;&gt;"",INDEX(PCNormDate,$N544),INDEX(LdgDateB,$O544)))</f>
        <v/>
      </c>
      <c r="C544" s="24">
        <f>IF($N544&lt;&gt;"",INDEX(PCOp,$N544),IF($O544&lt;&gt;"",IF(N(INDEX(TxnDepB,$O544))&gt;0,"دریافت بانکی","پرداخت بانکی"),""))</f>
        <v/>
      </c>
      <c r="D544" s="24">
        <f>IF($N544&lt;&gt;"",IF(INDEX(PCDoc,$N544)="","—",INDEX(PCDoc,$N544)),IF($O544&lt;&gt;"",INDEX(LdgBankB,$O544),""))</f>
        <v/>
      </c>
      <c r="E544" s="24">
        <f>IF($N544&lt;&gt;"",IF(INDEX(PCCitrus,$N544)="","—",INDEX(PCCitrus,$N544)),"")</f>
        <v/>
      </c>
      <c r="F544" s="25">
        <f>IF($N544&lt;&gt;"",IF(INDEX(PCScale,$N544)=0,"",INDEX(PCScale,$N544)),"")</f>
        <v/>
      </c>
      <c r="G544" s="25">
        <f>IF($N544&lt;&gt;"",IF(INDEX(PCBaskets,$N544)=0,"",INDEX(PCBaskets,$N544)),"")</f>
        <v/>
      </c>
      <c r="H544" s="26">
        <f>IF($N544&lt;&gt;"",IF(INDEX(PCNet,$N544)=0,"",INDEX(PCNet,$N544)),"")</f>
        <v/>
      </c>
      <c r="I544" s="25">
        <f>IF($N544&lt;&gt;"",IF(INDEX(PCOp,$N544)="مرجوعی خرید","",IF(INDEX(PCAmount,$N544)&lt;=0,"",INDEX(PCAmount,$N544))),IF($O544&lt;&gt;"",IF(INDEX(TxnDepB,$O544)=0,"",INDEX(TxnDepB,$O544)),""))</f>
        <v/>
      </c>
      <c r="J544" s="25">
        <f>IF($N544&lt;&gt;"",IF(INDEX(PCOp,$N544)="مرجوعی خرید",IF(INDEX(PCAmount,$N544)=0,"",-INDEX(PCAmount,$N544)),""),IF($O544&lt;&gt;"",IF(INDEX(TxnWitB,$O544)=0,"",INDEX(TxnWitB,$O544)),""))</f>
        <v/>
      </c>
      <c r="K544" s="27">
        <f>IF($B544="","",IF($K543="",$C$10,$K543)+IF($I544="",0,$I544)-IF($J544="",0,$J544))</f>
        <v/>
      </c>
      <c r="L544" s="28">
        <f>IF($N544&lt;&gt;"",IF(INDEX(PCNotes,$N544)="","—",INDEX(PCNotes,$N544)),IF($O544&lt;&gt;"",IF(INDEX(LdgNoteB,$O544)="","—",INDEX(LdgNoteB,$O544)),""))</f>
        <v/>
      </c>
      <c r="N544">
        <f>IFERROR(MATCH($C$5&amp;"|"&amp;RIGHT("000000"&amp;528,6),LdgRankKeyA,0),"")</f>
        <v/>
      </c>
      <c r="O544">
        <f>IFERROR(MATCH($C$5&amp;"|"&amp;RIGHT("000000"&amp;528,6),LdgRankKeyB,0),"")</f>
        <v/>
      </c>
    </row>
    <row r="545">
      <c r="A545" s="17" t="n">
        <v>529</v>
      </c>
      <c r="B545" s="18">
        <f>IF(AND($N545="",$O545=""),"",IF($N545&lt;&gt;"",INDEX(PCNormDate,$N545),INDEX(LdgDateB,$O545)))</f>
        <v/>
      </c>
      <c r="C545" s="18">
        <f>IF($N545&lt;&gt;"",INDEX(PCOp,$N545),IF($O545&lt;&gt;"",IF(N(INDEX(TxnDepB,$O545))&gt;0,"دریافت بانکی","پرداخت بانکی"),""))</f>
        <v/>
      </c>
      <c r="D545" s="18">
        <f>IF($N545&lt;&gt;"",IF(INDEX(PCDoc,$N545)="","—",INDEX(PCDoc,$N545)),IF($O545&lt;&gt;"",INDEX(LdgBankB,$O545),""))</f>
        <v/>
      </c>
      <c r="E545" s="18">
        <f>IF($N545&lt;&gt;"",IF(INDEX(PCCitrus,$N545)="","—",INDEX(PCCitrus,$N545)),"")</f>
        <v/>
      </c>
      <c r="F545" s="19">
        <f>IF($N545&lt;&gt;"",IF(INDEX(PCScale,$N545)=0,"",INDEX(PCScale,$N545)),"")</f>
        <v/>
      </c>
      <c r="G545" s="19">
        <f>IF($N545&lt;&gt;"",IF(INDEX(PCBaskets,$N545)=0,"",INDEX(PCBaskets,$N545)),"")</f>
        <v/>
      </c>
      <c r="H545" s="20">
        <f>IF($N545&lt;&gt;"",IF(INDEX(PCNet,$N545)=0,"",INDEX(PCNet,$N545)),"")</f>
        <v/>
      </c>
      <c r="I545" s="19">
        <f>IF($N545&lt;&gt;"",IF(INDEX(PCOp,$N545)="مرجوعی خرید","",IF(INDEX(PCAmount,$N545)&lt;=0,"",INDEX(PCAmount,$N545))),IF($O545&lt;&gt;"",IF(INDEX(TxnDepB,$O545)=0,"",INDEX(TxnDepB,$O545)),""))</f>
        <v/>
      </c>
      <c r="J545" s="19">
        <f>IF($N545&lt;&gt;"",IF(INDEX(PCOp,$N545)="مرجوعی خرید",IF(INDEX(PCAmount,$N545)=0,"",-INDEX(PCAmount,$N545)),""),IF($O545&lt;&gt;"",IF(INDEX(TxnWitB,$O545)=0,"",INDEX(TxnWitB,$O545)),""))</f>
        <v/>
      </c>
      <c r="K545" s="21">
        <f>IF($B545="","",IF($K544="",$C$10,$K544)+IF($I545="",0,$I545)-IF($J545="",0,$J545))</f>
        <v/>
      </c>
      <c r="L545" s="22">
        <f>IF($N545&lt;&gt;"",IF(INDEX(PCNotes,$N545)="","—",INDEX(PCNotes,$N545)),IF($O545&lt;&gt;"",IF(INDEX(LdgNoteB,$O545)="","—",INDEX(LdgNoteB,$O545)),""))</f>
        <v/>
      </c>
      <c r="N545">
        <f>IFERROR(MATCH($C$5&amp;"|"&amp;RIGHT("000000"&amp;529,6),LdgRankKeyA,0),"")</f>
        <v/>
      </c>
      <c r="O545">
        <f>IFERROR(MATCH($C$5&amp;"|"&amp;RIGHT("000000"&amp;529,6),LdgRankKeyB,0),"")</f>
        <v/>
      </c>
    </row>
    <row r="546">
      <c r="A546" s="23" t="n">
        <v>530</v>
      </c>
      <c r="B546" s="24">
        <f>IF(AND($N546="",$O546=""),"",IF($N546&lt;&gt;"",INDEX(PCNormDate,$N546),INDEX(LdgDateB,$O546)))</f>
        <v/>
      </c>
      <c r="C546" s="24">
        <f>IF($N546&lt;&gt;"",INDEX(PCOp,$N546),IF($O546&lt;&gt;"",IF(N(INDEX(TxnDepB,$O546))&gt;0,"دریافت بانکی","پرداخت بانکی"),""))</f>
        <v/>
      </c>
      <c r="D546" s="24">
        <f>IF($N546&lt;&gt;"",IF(INDEX(PCDoc,$N546)="","—",INDEX(PCDoc,$N546)),IF($O546&lt;&gt;"",INDEX(LdgBankB,$O546),""))</f>
        <v/>
      </c>
      <c r="E546" s="24">
        <f>IF($N546&lt;&gt;"",IF(INDEX(PCCitrus,$N546)="","—",INDEX(PCCitrus,$N546)),"")</f>
        <v/>
      </c>
      <c r="F546" s="25">
        <f>IF($N546&lt;&gt;"",IF(INDEX(PCScale,$N546)=0,"",INDEX(PCScale,$N546)),"")</f>
        <v/>
      </c>
      <c r="G546" s="25">
        <f>IF($N546&lt;&gt;"",IF(INDEX(PCBaskets,$N546)=0,"",INDEX(PCBaskets,$N546)),"")</f>
        <v/>
      </c>
      <c r="H546" s="26">
        <f>IF($N546&lt;&gt;"",IF(INDEX(PCNet,$N546)=0,"",INDEX(PCNet,$N546)),"")</f>
        <v/>
      </c>
      <c r="I546" s="25">
        <f>IF($N546&lt;&gt;"",IF(INDEX(PCOp,$N546)="مرجوعی خرید","",IF(INDEX(PCAmount,$N546)&lt;=0,"",INDEX(PCAmount,$N546))),IF($O546&lt;&gt;"",IF(INDEX(TxnDepB,$O546)=0,"",INDEX(TxnDepB,$O546)),""))</f>
        <v/>
      </c>
      <c r="J546" s="25">
        <f>IF($N546&lt;&gt;"",IF(INDEX(PCOp,$N546)="مرجوعی خرید",IF(INDEX(PCAmount,$N546)=0,"",-INDEX(PCAmount,$N546)),""),IF($O546&lt;&gt;"",IF(INDEX(TxnWitB,$O546)=0,"",INDEX(TxnWitB,$O546)),""))</f>
        <v/>
      </c>
      <c r="K546" s="27">
        <f>IF($B546="","",IF($K545="",$C$10,$K545)+IF($I546="",0,$I546)-IF($J546="",0,$J546))</f>
        <v/>
      </c>
      <c r="L546" s="28">
        <f>IF($N546&lt;&gt;"",IF(INDEX(PCNotes,$N546)="","—",INDEX(PCNotes,$N546)),IF($O546&lt;&gt;"",IF(INDEX(LdgNoteB,$O546)="","—",INDEX(LdgNoteB,$O546)),""))</f>
        <v/>
      </c>
      <c r="N546">
        <f>IFERROR(MATCH($C$5&amp;"|"&amp;RIGHT("000000"&amp;530,6),LdgRankKeyA,0),"")</f>
        <v/>
      </c>
      <c r="O546">
        <f>IFERROR(MATCH($C$5&amp;"|"&amp;RIGHT("000000"&amp;530,6),LdgRankKeyB,0),"")</f>
        <v/>
      </c>
    </row>
    <row r="547">
      <c r="A547" s="17" t="n">
        <v>531</v>
      </c>
      <c r="B547" s="18">
        <f>IF(AND($N547="",$O547=""),"",IF($N547&lt;&gt;"",INDEX(PCNormDate,$N547),INDEX(LdgDateB,$O547)))</f>
        <v/>
      </c>
      <c r="C547" s="18">
        <f>IF($N547&lt;&gt;"",INDEX(PCOp,$N547),IF($O547&lt;&gt;"",IF(N(INDEX(TxnDepB,$O547))&gt;0,"دریافت بانکی","پرداخت بانکی"),""))</f>
        <v/>
      </c>
      <c r="D547" s="18">
        <f>IF($N547&lt;&gt;"",IF(INDEX(PCDoc,$N547)="","—",INDEX(PCDoc,$N547)),IF($O547&lt;&gt;"",INDEX(LdgBankB,$O547),""))</f>
        <v/>
      </c>
      <c r="E547" s="18">
        <f>IF($N547&lt;&gt;"",IF(INDEX(PCCitrus,$N547)="","—",INDEX(PCCitrus,$N547)),"")</f>
        <v/>
      </c>
      <c r="F547" s="19">
        <f>IF($N547&lt;&gt;"",IF(INDEX(PCScale,$N547)=0,"",INDEX(PCScale,$N547)),"")</f>
        <v/>
      </c>
      <c r="G547" s="19">
        <f>IF($N547&lt;&gt;"",IF(INDEX(PCBaskets,$N547)=0,"",INDEX(PCBaskets,$N547)),"")</f>
        <v/>
      </c>
      <c r="H547" s="20">
        <f>IF($N547&lt;&gt;"",IF(INDEX(PCNet,$N547)=0,"",INDEX(PCNet,$N547)),"")</f>
        <v/>
      </c>
      <c r="I547" s="19">
        <f>IF($N547&lt;&gt;"",IF(INDEX(PCOp,$N547)="مرجوعی خرید","",IF(INDEX(PCAmount,$N547)&lt;=0,"",INDEX(PCAmount,$N547))),IF($O547&lt;&gt;"",IF(INDEX(TxnDepB,$O547)=0,"",INDEX(TxnDepB,$O547)),""))</f>
        <v/>
      </c>
      <c r="J547" s="19">
        <f>IF($N547&lt;&gt;"",IF(INDEX(PCOp,$N547)="مرجوعی خرید",IF(INDEX(PCAmount,$N547)=0,"",-INDEX(PCAmount,$N547)),""),IF($O547&lt;&gt;"",IF(INDEX(TxnWitB,$O547)=0,"",INDEX(TxnWitB,$O547)),""))</f>
        <v/>
      </c>
      <c r="K547" s="21">
        <f>IF($B547="","",IF($K546="",$C$10,$K546)+IF($I547="",0,$I547)-IF($J547="",0,$J547))</f>
        <v/>
      </c>
      <c r="L547" s="22">
        <f>IF($N547&lt;&gt;"",IF(INDEX(PCNotes,$N547)="","—",INDEX(PCNotes,$N547)),IF($O547&lt;&gt;"",IF(INDEX(LdgNoteB,$O547)="","—",INDEX(LdgNoteB,$O547)),""))</f>
        <v/>
      </c>
      <c r="N547">
        <f>IFERROR(MATCH($C$5&amp;"|"&amp;RIGHT("000000"&amp;531,6),LdgRankKeyA,0),"")</f>
        <v/>
      </c>
      <c r="O547">
        <f>IFERROR(MATCH($C$5&amp;"|"&amp;RIGHT("000000"&amp;531,6),LdgRankKeyB,0),"")</f>
        <v/>
      </c>
    </row>
    <row r="548">
      <c r="A548" s="23" t="n">
        <v>532</v>
      </c>
      <c r="B548" s="24">
        <f>IF(AND($N548="",$O548=""),"",IF($N548&lt;&gt;"",INDEX(PCNormDate,$N548),INDEX(LdgDateB,$O548)))</f>
        <v/>
      </c>
      <c r="C548" s="24">
        <f>IF($N548&lt;&gt;"",INDEX(PCOp,$N548),IF($O548&lt;&gt;"",IF(N(INDEX(TxnDepB,$O548))&gt;0,"دریافت بانکی","پرداخت بانکی"),""))</f>
        <v/>
      </c>
      <c r="D548" s="24">
        <f>IF($N548&lt;&gt;"",IF(INDEX(PCDoc,$N548)="","—",INDEX(PCDoc,$N548)),IF($O548&lt;&gt;"",INDEX(LdgBankB,$O548),""))</f>
        <v/>
      </c>
      <c r="E548" s="24">
        <f>IF($N548&lt;&gt;"",IF(INDEX(PCCitrus,$N548)="","—",INDEX(PCCitrus,$N548)),"")</f>
        <v/>
      </c>
      <c r="F548" s="25">
        <f>IF($N548&lt;&gt;"",IF(INDEX(PCScale,$N548)=0,"",INDEX(PCScale,$N548)),"")</f>
        <v/>
      </c>
      <c r="G548" s="25">
        <f>IF($N548&lt;&gt;"",IF(INDEX(PCBaskets,$N548)=0,"",INDEX(PCBaskets,$N548)),"")</f>
        <v/>
      </c>
      <c r="H548" s="26">
        <f>IF($N548&lt;&gt;"",IF(INDEX(PCNet,$N548)=0,"",INDEX(PCNet,$N548)),"")</f>
        <v/>
      </c>
      <c r="I548" s="25">
        <f>IF($N548&lt;&gt;"",IF(INDEX(PCOp,$N548)="مرجوعی خرید","",IF(INDEX(PCAmount,$N548)&lt;=0,"",INDEX(PCAmount,$N548))),IF($O548&lt;&gt;"",IF(INDEX(TxnDepB,$O548)=0,"",INDEX(TxnDepB,$O548)),""))</f>
        <v/>
      </c>
      <c r="J548" s="25">
        <f>IF($N548&lt;&gt;"",IF(INDEX(PCOp,$N548)="مرجوعی خرید",IF(INDEX(PCAmount,$N548)=0,"",-INDEX(PCAmount,$N548)),""),IF($O548&lt;&gt;"",IF(INDEX(TxnWitB,$O548)=0,"",INDEX(TxnWitB,$O548)),""))</f>
        <v/>
      </c>
      <c r="K548" s="27">
        <f>IF($B548="","",IF($K547="",$C$10,$K547)+IF($I548="",0,$I548)-IF($J548="",0,$J548))</f>
        <v/>
      </c>
      <c r="L548" s="28">
        <f>IF($N548&lt;&gt;"",IF(INDEX(PCNotes,$N548)="","—",INDEX(PCNotes,$N548)),IF($O548&lt;&gt;"",IF(INDEX(LdgNoteB,$O548)="","—",INDEX(LdgNoteB,$O548)),""))</f>
        <v/>
      </c>
      <c r="N548">
        <f>IFERROR(MATCH($C$5&amp;"|"&amp;RIGHT("000000"&amp;532,6),LdgRankKeyA,0),"")</f>
        <v/>
      </c>
      <c r="O548">
        <f>IFERROR(MATCH($C$5&amp;"|"&amp;RIGHT("000000"&amp;532,6),LdgRankKeyB,0),"")</f>
        <v/>
      </c>
    </row>
    <row r="549">
      <c r="A549" s="17" t="n">
        <v>533</v>
      </c>
      <c r="B549" s="18">
        <f>IF(AND($N549="",$O549=""),"",IF($N549&lt;&gt;"",INDEX(PCNormDate,$N549),INDEX(LdgDateB,$O549)))</f>
        <v/>
      </c>
      <c r="C549" s="18">
        <f>IF($N549&lt;&gt;"",INDEX(PCOp,$N549),IF($O549&lt;&gt;"",IF(N(INDEX(TxnDepB,$O549))&gt;0,"دریافت بانکی","پرداخت بانکی"),""))</f>
        <v/>
      </c>
      <c r="D549" s="18">
        <f>IF($N549&lt;&gt;"",IF(INDEX(PCDoc,$N549)="","—",INDEX(PCDoc,$N549)),IF($O549&lt;&gt;"",INDEX(LdgBankB,$O549),""))</f>
        <v/>
      </c>
      <c r="E549" s="18">
        <f>IF($N549&lt;&gt;"",IF(INDEX(PCCitrus,$N549)="","—",INDEX(PCCitrus,$N549)),"")</f>
        <v/>
      </c>
      <c r="F549" s="19">
        <f>IF($N549&lt;&gt;"",IF(INDEX(PCScale,$N549)=0,"",INDEX(PCScale,$N549)),"")</f>
        <v/>
      </c>
      <c r="G549" s="19">
        <f>IF($N549&lt;&gt;"",IF(INDEX(PCBaskets,$N549)=0,"",INDEX(PCBaskets,$N549)),"")</f>
        <v/>
      </c>
      <c r="H549" s="20">
        <f>IF($N549&lt;&gt;"",IF(INDEX(PCNet,$N549)=0,"",INDEX(PCNet,$N549)),"")</f>
        <v/>
      </c>
      <c r="I549" s="19">
        <f>IF($N549&lt;&gt;"",IF(INDEX(PCOp,$N549)="مرجوعی خرید","",IF(INDEX(PCAmount,$N549)&lt;=0,"",INDEX(PCAmount,$N549))),IF($O549&lt;&gt;"",IF(INDEX(TxnDepB,$O549)=0,"",INDEX(TxnDepB,$O549)),""))</f>
        <v/>
      </c>
      <c r="J549" s="19">
        <f>IF($N549&lt;&gt;"",IF(INDEX(PCOp,$N549)="مرجوعی خرید",IF(INDEX(PCAmount,$N549)=0,"",-INDEX(PCAmount,$N549)),""),IF($O549&lt;&gt;"",IF(INDEX(TxnWitB,$O549)=0,"",INDEX(TxnWitB,$O549)),""))</f>
        <v/>
      </c>
      <c r="K549" s="21">
        <f>IF($B549="","",IF($K548="",$C$10,$K548)+IF($I549="",0,$I549)-IF($J549="",0,$J549))</f>
        <v/>
      </c>
      <c r="L549" s="22">
        <f>IF($N549&lt;&gt;"",IF(INDEX(PCNotes,$N549)="","—",INDEX(PCNotes,$N549)),IF($O549&lt;&gt;"",IF(INDEX(LdgNoteB,$O549)="","—",INDEX(LdgNoteB,$O549)),""))</f>
        <v/>
      </c>
      <c r="N549">
        <f>IFERROR(MATCH($C$5&amp;"|"&amp;RIGHT("000000"&amp;533,6),LdgRankKeyA,0),"")</f>
        <v/>
      </c>
      <c r="O549">
        <f>IFERROR(MATCH($C$5&amp;"|"&amp;RIGHT("000000"&amp;533,6),LdgRankKeyB,0),"")</f>
        <v/>
      </c>
    </row>
    <row r="550">
      <c r="A550" s="23" t="n">
        <v>534</v>
      </c>
      <c r="B550" s="24">
        <f>IF(AND($N550="",$O550=""),"",IF($N550&lt;&gt;"",INDEX(PCNormDate,$N550),INDEX(LdgDateB,$O550)))</f>
        <v/>
      </c>
      <c r="C550" s="24">
        <f>IF($N550&lt;&gt;"",INDEX(PCOp,$N550),IF($O550&lt;&gt;"",IF(N(INDEX(TxnDepB,$O550))&gt;0,"دریافت بانکی","پرداخت بانکی"),""))</f>
        <v/>
      </c>
      <c r="D550" s="24">
        <f>IF($N550&lt;&gt;"",IF(INDEX(PCDoc,$N550)="","—",INDEX(PCDoc,$N550)),IF($O550&lt;&gt;"",INDEX(LdgBankB,$O550),""))</f>
        <v/>
      </c>
      <c r="E550" s="24">
        <f>IF($N550&lt;&gt;"",IF(INDEX(PCCitrus,$N550)="","—",INDEX(PCCitrus,$N550)),"")</f>
        <v/>
      </c>
      <c r="F550" s="25">
        <f>IF($N550&lt;&gt;"",IF(INDEX(PCScale,$N550)=0,"",INDEX(PCScale,$N550)),"")</f>
        <v/>
      </c>
      <c r="G550" s="25">
        <f>IF($N550&lt;&gt;"",IF(INDEX(PCBaskets,$N550)=0,"",INDEX(PCBaskets,$N550)),"")</f>
        <v/>
      </c>
      <c r="H550" s="26">
        <f>IF($N550&lt;&gt;"",IF(INDEX(PCNet,$N550)=0,"",INDEX(PCNet,$N550)),"")</f>
        <v/>
      </c>
      <c r="I550" s="25">
        <f>IF($N550&lt;&gt;"",IF(INDEX(PCOp,$N550)="مرجوعی خرید","",IF(INDEX(PCAmount,$N550)&lt;=0,"",INDEX(PCAmount,$N550))),IF($O550&lt;&gt;"",IF(INDEX(TxnDepB,$O550)=0,"",INDEX(TxnDepB,$O550)),""))</f>
        <v/>
      </c>
      <c r="J550" s="25">
        <f>IF($N550&lt;&gt;"",IF(INDEX(PCOp,$N550)="مرجوعی خرید",IF(INDEX(PCAmount,$N550)=0,"",-INDEX(PCAmount,$N550)),""),IF($O550&lt;&gt;"",IF(INDEX(TxnWitB,$O550)=0,"",INDEX(TxnWitB,$O550)),""))</f>
        <v/>
      </c>
      <c r="K550" s="27">
        <f>IF($B550="","",IF($K549="",$C$10,$K549)+IF($I550="",0,$I550)-IF($J550="",0,$J550))</f>
        <v/>
      </c>
      <c r="L550" s="28">
        <f>IF($N550&lt;&gt;"",IF(INDEX(PCNotes,$N550)="","—",INDEX(PCNotes,$N550)),IF($O550&lt;&gt;"",IF(INDEX(LdgNoteB,$O550)="","—",INDEX(LdgNoteB,$O550)),""))</f>
        <v/>
      </c>
      <c r="N550">
        <f>IFERROR(MATCH($C$5&amp;"|"&amp;RIGHT("000000"&amp;534,6),LdgRankKeyA,0),"")</f>
        <v/>
      </c>
      <c r="O550">
        <f>IFERROR(MATCH($C$5&amp;"|"&amp;RIGHT("000000"&amp;534,6),LdgRankKeyB,0),"")</f>
        <v/>
      </c>
    </row>
    <row r="551">
      <c r="A551" s="17" t="n">
        <v>535</v>
      </c>
      <c r="B551" s="18">
        <f>IF(AND($N551="",$O551=""),"",IF($N551&lt;&gt;"",INDEX(PCNormDate,$N551),INDEX(LdgDateB,$O551)))</f>
        <v/>
      </c>
      <c r="C551" s="18">
        <f>IF($N551&lt;&gt;"",INDEX(PCOp,$N551),IF($O551&lt;&gt;"",IF(N(INDEX(TxnDepB,$O551))&gt;0,"دریافت بانکی","پرداخت بانکی"),""))</f>
        <v/>
      </c>
      <c r="D551" s="18">
        <f>IF($N551&lt;&gt;"",IF(INDEX(PCDoc,$N551)="","—",INDEX(PCDoc,$N551)),IF($O551&lt;&gt;"",INDEX(LdgBankB,$O551),""))</f>
        <v/>
      </c>
      <c r="E551" s="18">
        <f>IF($N551&lt;&gt;"",IF(INDEX(PCCitrus,$N551)="","—",INDEX(PCCitrus,$N551)),"")</f>
        <v/>
      </c>
      <c r="F551" s="19">
        <f>IF($N551&lt;&gt;"",IF(INDEX(PCScale,$N551)=0,"",INDEX(PCScale,$N551)),"")</f>
        <v/>
      </c>
      <c r="G551" s="19">
        <f>IF($N551&lt;&gt;"",IF(INDEX(PCBaskets,$N551)=0,"",INDEX(PCBaskets,$N551)),"")</f>
        <v/>
      </c>
      <c r="H551" s="20">
        <f>IF($N551&lt;&gt;"",IF(INDEX(PCNet,$N551)=0,"",INDEX(PCNet,$N551)),"")</f>
        <v/>
      </c>
      <c r="I551" s="19">
        <f>IF($N551&lt;&gt;"",IF(INDEX(PCOp,$N551)="مرجوعی خرید","",IF(INDEX(PCAmount,$N551)&lt;=0,"",INDEX(PCAmount,$N551))),IF($O551&lt;&gt;"",IF(INDEX(TxnDepB,$O551)=0,"",INDEX(TxnDepB,$O551)),""))</f>
        <v/>
      </c>
      <c r="J551" s="19">
        <f>IF($N551&lt;&gt;"",IF(INDEX(PCOp,$N551)="مرجوعی خرید",IF(INDEX(PCAmount,$N551)=0,"",-INDEX(PCAmount,$N551)),""),IF($O551&lt;&gt;"",IF(INDEX(TxnWitB,$O551)=0,"",INDEX(TxnWitB,$O551)),""))</f>
        <v/>
      </c>
      <c r="K551" s="21">
        <f>IF($B551="","",IF($K550="",$C$10,$K550)+IF($I551="",0,$I551)-IF($J551="",0,$J551))</f>
        <v/>
      </c>
      <c r="L551" s="22">
        <f>IF($N551&lt;&gt;"",IF(INDEX(PCNotes,$N551)="","—",INDEX(PCNotes,$N551)),IF($O551&lt;&gt;"",IF(INDEX(LdgNoteB,$O551)="","—",INDEX(LdgNoteB,$O551)),""))</f>
        <v/>
      </c>
      <c r="N551">
        <f>IFERROR(MATCH($C$5&amp;"|"&amp;RIGHT("000000"&amp;535,6),LdgRankKeyA,0),"")</f>
        <v/>
      </c>
      <c r="O551">
        <f>IFERROR(MATCH($C$5&amp;"|"&amp;RIGHT("000000"&amp;535,6),LdgRankKeyB,0),"")</f>
        <v/>
      </c>
    </row>
    <row r="552">
      <c r="A552" s="23" t="n">
        <v>536</v>
      </c>
      <c r="B552" s="24">
        <f>IF(AND($N552="",$O552=""),"",IF($N552&lt;&gt;"",INDEX(PCNormDate,$N552),INDEX(LdgDateB,$O552)))</f>
        <v/>
      </c>
      <c r="C552" s="24">
        <f>IF($N552&lt;&gt;"",INDEX(PCOp,$N552),IF($O552&lt;&gt;"",IF(N(INDEX(TxnDepB,$O552))&gt;0,"دریافت بانکی","پرداخت بانکی"),""))</f>
        <v/>
      </c>
      <c r="D552" s="24">
        <f>IF($N552&lt;&gt;"",IF(INDEX(PCDoc,$N552)="","—",INDEX(PCDoc,$N552)),IF($O552&lt;&gt;"",INDEX(LdgBankB,$O552),""))</f>
        <v/>
      </c>
      <c r="E552" s="24">
        <f>IF($N552&lt;&gt;"",IF(INDEX(PCCitrus,$N552)="","—",INDEX(PCCitrus,$N552)),"")</f>
        <v/>
      </c>
      <c r="F552" s="25">
        <f>IF($N552&lt;&gt;"",IF(INDEX(PCScale,$N552)=0,"",INDEX(PCScale,$N552)),"")</f>
        <v/>
      </c>
      <c r="G552" s="25">
        <f>IF($N552&lt;&gt;"",IF(INDEX(PCBaskets,$N552)=0,"",INDEX(PCBaskets,$N552)),"")</f>
        <v/>
      </c>
      <c r="H552" s="26">
        <f>IF($N552&lt;&gt;"",IF(INDEX(PCNet,$N552)=0,"",INDEX(PCNet,$N552)),"")</f>
        <v/>
      </c>
      <c r="I552" s="25">
        <f>IF($N552&lt;&gt;"",IF(INDEX(PCOp,$N552)="مرجوعی خرید","",IF(INDEX(PCAmount,$N552)&lt;=0,"",INDEX(PCAmount,$N552))),IF($O552&lt;&gt;"",IF(INDEX(TxnDepB,$O552)=0,"",INDEX(TxnDepB,$O552)),""))</f>
        <v/>
      </c>
      <c r="J552" s="25">
        <f>IF($N552&lt;&gt;"",IF(INDEX(PCOp,$N552)="مرجوعی خرید",IF(INDEX(PCAmount,$N552)=0,"",-INDEX(PCAmount,$N552)),""),IF($O552&lt;&gt;"",IF(INDEX(TxnWitB,$O552)=0,"",INDEX(TxnWitB,$O552)),""))</f>
        <v/>
      </c>
      <c r="K552" s="27">
        <f>IF($B552="","",IF($K551="",$C$10,$K551)+IF($I552="",0,$I552)-IF($J552="",0,$J552))</f>
        <v/>
      </c>
      <c r="L552" s="28">
        <f>IF($N552&lt;&gt;"",IF(INDEX(PCNotes,$N552)="","—",INDEX(PCNotes,$N552)),IF($O552&lt;&gt;"",IF(INDEX(LdgNoteB,$O552)="","—",INDEX(LdgNoteB,$O552)),""))</f>
        <v/>
      </c>
      <c r="N552">
        <f>IFERROR(MATCH($C$5&amp;"|"&amp;RIGHT("000000"&amp;536,6),LdgRankKeyA,0),"")</f>
        <v/>
      </c>
      <c r="O552">
        <f>IFERROR(MATCH($C$5&amp;"|"&amp;RIGHT("000000"&amp;536,6),LdgRankKeyB,0),"")</f>
        <v/>
      </c>
    </row>
    <row r="553">
      <c r="A553" s="17" t="n">
        <v>537</v>
      </c>
      <c r="B553" s="18">
        <f>IF(AND($N553="",$O553=""),"",IF($N553&lt;&gt;"",INDEX(PCNormDate,$N553),INDEX(LdgDateB,$O553)))</f>
        <v/>
      </c>
      <c r="C553" s="18">
        <f>IF($N553&lt;&gt;"",INDEX(PCOp,$N553),IF($O553&lt;&gt;"",IF(N(INDEX(TxnDepB,$O553))&gt;0,"دریافت بانکی","پرداخت بانکی"),""))</f>
        <v/>
      </c>
      <c r="D553" s="18">
        <f>IF($N553&lt;&gt;"",IF(INDEX(PCDoc,$N553)="","—",INDEX(PCDoc,$N553)),IF($O553&lt;&gt;"",INDEX(LdgBankB,$O553),""))</f>
        <v/>
      </c>
      <c r="E553" s="18">
        <f>IF($N553&lt;&gt;"",IF(INDEX(PCCitrus,$N553)="","—",INDEX(PCCitrus,$N553)),"")</f>
        <v/>
      </c>
      <c r="F553" s="19">
        <f>IF($N553&lt;&gt;"",IF(INDEX(PCScale,$N553)=0,"",INDEX(PCScale,$N553)),"")</f>
        <v/>
      </c>
      <c r="G553" s="19">
        <f>IF($N553&lt;&gt;"",IF(INDEX(PCBaskets,$N553)=0,"",INDEX(PCBaskets,$N553)),"")</f>
        <v/>
      </c>
      <c r="H553" s="20">
        <f>IF($N553&lt;&gt;"",IF(INDEX(PCNet,$N553)=0,"",INDEX(PCNet,$N553)),"")</f>
        <v/>
      </c>
      <c r="I553" s="19">
        <f>IF($N553&lt;&gt;"",IF(INDEX(PCOp,$N553)="مرجوعی خرید","",IF(INDEX(PCAmount,$N553)&lt;=0,"",INDEX(PCAmount,$N553))),IF($O553&lt;&gt;"",IF(INDEX(TxnDepB,$O553)=0,"",INDEX(TxnDepB,$O553)),""))</f>
        <v/>
      </c>
      <c r="J553" s="19">
        <f>IF($N553&lt;&gt;"",IF(INDEX(PCOp,$N553)="مرجوعی خرید",IF(INDEX(PCAmount,$N553)=0,"",-INDEX(PCAmount,$N553)),""),IF($O553&lt;&gt;"",IF(INDEX(TxnWitB,$O553)=0,"",INDEX(TxnWitB,$O553)),""))</f>
        <v/>
      </c>
      <c r="K553" s="21">
        <f>IF($B553="","",IF($K552="",$C$10,$K552)+IF($I553="",0,$I553)-IF($J553="",0,$J553))</f>
        <v/>
      </c>
      <c r="L553" s="22">
        <f>IF($N553&lt;&gt;"",IF(INDEX(PCNotes,$N553)="","—",INDEX(PCNotes,$N553)),IF($O553&lt;&gt;"",IF(INDEX(LdgNoteB,$O553)="","—",INDEX(LdgNoteB,$O553)),""))</f>
        <v/>
      </c>
      <c r="N553">
        <f>IFERROR(MATCH($C$5&amp;"|"&amp;RIGHT("000000"&amp;537,6),LdgRankKeyA,0),"")</f>
        <v/>
      </c>
      <c r="O553">
        <f>IFERROR(MATCH($C$5&amp;"|"&amp;RIGHT("000000"&amp;537,6),LdgRankKeyB,0),"")</f>
        <v/>
      </c>
    </row>
    <row r="554">
      <c r="A554" s="23" t="n">
        <v>538</v>
      </c>
      <c r="B554" s="24">
        <f>IF(AND($N554="",$O554=""),"",IF($N554&lt;&gt;"",INDEX(PCNormDate,$N554),INDEX(LdgDateB,$O554)))</f>
        <v/>
      </c>
      <c r="C554" s="24">
        <f>IF($N554&lt;&gt;"",INDEX(PCOp,$N554),IF($O554&lt;&gt;"",IF(N(INDEX(TxnDepB,$O554))&gt;0,"دریافت بانکی","پرداخت بانکی"),""))</f>
        <v/>
      </c>
      <c r="D554" s="24">
        <f>IF($N554&lt;&gt;"",IF(INDEX(PCDoc,$N554)="","—",INDEX(PCDoc,$N554)),IF($O554&lt;&gt;"",INDEX(LdgBankB,$O554),""))</f>
        <v/>
      </c>
      <c r="E554" s="24">
        <f>IF($N554&lt;&gt;"",IF(INDEX(PCCitrus,$N554)="","—",INDEX(PCCitrus,$N554)),"")</f>
        <v/>
      </c>
      <c r="F554" s="25">
        <f>IF($N554&lt;&gt;"",IF(INDEX(PCScale,$N554)=0,"",INDEX(PCScale,$N554)),"")</f>
        <v/>
      </c>
      <c r="G554" s="25">
        <f>IF($N554&lt;&gt;"",IF(INDEX(PCBaskets,$N554)=0,"",INDEX(PCBaskets,$N554)),"")</f>
        <v/>
      </c>
      <c r="H554" s="26">
        <f>IF($N554&lt;&gt;"",IF(INDEX(PCNet,$N554)=0,"",INDEX(PCNet,$N554)),"")</f>
        <v/>
      </c>
      <c r="I554" s="25">
        <f>IF($N554&lt;&gt;"",IF(INDEX(PCOp,$N554)="مرجوعی خرید","",IF(INDEX(PCAmount,$N554)&lt;=0,"",INDEX(PCAmount,$N554))),IF($O554&lt;&gt;"",IF(INDEX(TxnDepB,$O554)=0,"",INDEX(TxnDepB,$O554)),""))</f>
        <v/>
      </c>
      <c r="J554" s="25">
        <f>IF($N554&lt;&gt;"",IF(INDEX(PCOp,$N554)="مرجوعی خرید",IF(INDEX(PCAmount,$N554)=0,"",-INDEX(PCAmount,$N554)),""),IF($O554&lt;&gt;"",IF(INDEX(TxnWitB,$O554)=0,"",INDEX(TxnWitB,$O554)),""))</f>
        <v/>
      </c>
      <c r="K554" s="27">
        <f>IF($B554="","",IF($K553="",$C$10,$K553)+IF($I554="",0,$I554)-IF($J554="",0,$J554))</f>
        <v/>
      </c>
      <c r="L554" s="28">
        <f>IF($N554&lt;&gt;"",IF(INDEX(PCNotes,$N554)="","—",INDEX(PCNotes,$N554)),IF($O554&lt;&gt;"",IF(INDEX(LdgNoteB,$O554)="","—",INDEX(LdgNoteB,$O554)),""))</f>
        <v/>
      </c>
      <c r="N554">
        <f>IFERROR(MATCH($C$5&amp;"|"&amp;RIGHT("000000"&amp;538,6),LdgRankKeyA,0),"")</f>
        <v/>
      </c>
      <c r="O554">
        <f>IFERROR(MATCH($C$5&amp;"|"&amp;RIGHT("000000"&amp;538,6),LdgRankKeyB,0),"")</f>
        <v/>
      </c>
    </row>
    <row r="555">
      <c r="A555" s="17" t="n">
        <v>539</v>
      </c>
      <c r="B555" s="18">
        <f>IF(AND($N555="",$O555=""),"",IF($N555&lt;&gt;"",INDEX(PCNormDate,$N555),INDEX(LdgDateB,$O555)))</f>
        <v/>
      </c>
      <c r="C555" s="18">
        <f>IF($N555&lt;&gt;"",INDEX(PCOp,$N555),IF($O555&lt;&gt;"",IF(N(INDEX(TxnDepB,$O555))&gt;0,"دریافت بانکی","پرداخت بانکی"),""))</f>
        <v/>
      </c>
      <c r="D555" s="18">
        <f>IF($N555&lt;&gt;"",IF(INDEX(PCDoc,$N555)="","—",INDEX(PCDoc,$N555)),IF($O555&lt;&gt;"",INDEX(LdgBankB,$O555),""))</f>
        <v/>
      </c>
      <c r="E555" s="18">
        <f>IF($N555&lt;&gt;"",IF(INDEX(PCCitrus,$N555)="","—",INDEX(PCCitrus,$N555)),"")</f>
        <v/>
      </c>
      <c r="F555" s="19">
        <f>IF($N555&lt;&gt;"",IF(INDEX(PCScale,$N555)=0,"",INDEX(PCScale,$N555)),"")</f>
        <v/>
      </c>
      <c r="G555" s="19">
        <f>IF($N555&lt;&gt;"",IF(INDEX(PCBaskets,$N555)=0,"",INDEX(PCBaskets,$N555)),"")</f>
        <v/>
      </c>
      <c r="H555" s="20">
        <f>IF($N555&lt;&gt;"",IF(INDEX(PCNet,$N555)=0,"",INDEX(PCNet,$N555)),"")</f>
        <v/>
      </c>
      <c r="I555" s="19">
        <f>IF($N555&lt;&gt;"",IF(INDEX(PCOp,$N555)="مرجوعی خرید","",IF(INDEX(PCAmount,$N555)&lt;=0,"",INDEX(PCAmount,$N555))),IF($O555&lt;&gt;"",IF(INDEX(TxnDepB,$O555)=0,"",INDEX(TxnDepB,$O555)),""))</f>
        <v/>
      </c>
      <c r="J555" s="19">
        <f>IF($N555&lt;&gt;"",IF(INDEX(PCOp,$N555)="مرجوعی خرید",IF(INDEX(PCAmount,$N555)=0,"",-INDEX(PCAmount,$N555)),""),IF($O555&lt;&gt;"",IF(INDEX(TxnWitB,$O555)=0,"",INDEX(TxnWitB,$O555)),""))</f>
        <v/>
      </c>
      <c r="K555" s="21">
        <f>IF($B555="","",IF($K554="",$C$10,$K554)+IF($I555="",0,$I555)-IF($J555="",0,$J555))</f>
        <v/>
      </c>
      <c r="L555" s="22">
        <f>IF($N555&lt;&gt;"",IF(INDEX(PCNotes,$N555)="","—",INDEX(PCNotes,$N555)),IF($O555&lt;&gt;"",IF(INDEX(LdgNoteB,$O555)="","—",INDEX(LdgNoteB,$O555)),""))</f>
        <v/>
      </c>
      <c r="N555">
        <f>IFERROR(MATCH($C$5&amp;"|"&amp;RIGHT("000000"&amp;539,6),LdgRankKeyA,0),"")</f>
        <v/>
      </c>
      <c r="O555">
        <f>IFERROR(MATCH($C$5&amp;"|"&amp;RIGHT("000000"&amp;539,6),LdgRankKeyB,0),"")</f>
        <v/>
      </c>
    </row>
    <row r="556">
      <c r="A556" s="23" t="n">
        <v>540</v>
      </c>
      <c r="B556" s="24">
        <f>IF(AND($N556="",$O556=""),"",IF($N556&lt;&gt;"",INDEX(PCNormDate,$N556),INDEX(LdgDateB,$O556)))</f>
        <v/>
      </c>
      <c r="C556" s="24">
        <f>IF($N556&lt;&gt;"",INDEX(PCOp,$N556),IF($O556&lt;&gt;"",IF(N(INDEX(TxnDepB,$O556))&gt;0,"دریافت بانکی","پرداخت بانکی"),""))</f>
        <v/>
      </c>
      <c r="D556" s="24">
        <f>IF($N556&lt;&gt;"",IF(INDEX(PCDoc,$N556)="","—",INDEX(PCDoc,$N556)),IF($O556&lt;&gt;"",INDEX(LdgBankB,$O556),""))</f>
        <v/>
      </c>
      <c r="E556" s="24">
        <f>IF($N556&lt;&gt;"",IF(INDEX(PCCitrus,$N556)="","—",INDEX(PCCitrus,$N556)),"")</f>
        <v/>
      </c>
      <c r="F556" s="25">
        <f>IF($N556&lt;&gt;"",IF(INDEX(PCScale,$N556)=0,"",INDEX(PCScale,$N556)),"")</f>
        <v/>
      </c>
      <c r="G556" s="25">
        <f>IF($N556&lt;&gt;"",IF(INDEX(PCBaskets,$N556)=0,"",INDEX(PCBaskets,$N556)),"")</f>
        <v/>
      </c>
      <c r="H556" s="26">
        <f>IF($N556&lt;&gt;"",IF(INDEX(PCNet,$N556)=0,"",INDEX(PCNet,$N556)),"")</f>
        <v/>
      </c>
      <c r="I556" s="25">
        <f>IF($N556&lt;&gt;"",IF(INDEX(PCOp,$N556)="مرجوعی خرید","",IF(INDEX(PCAmount,$N556)&lt;=0,"",INDEX(PCAmount,$N556))),IF($O556&lt;&gt;"",IF(INDEX(TxnDepB,$O556)=0,"",INDEX(TxnDepB,$O556)),""))</f>
        <v/>
      </c>
      <c r="J556" s="25">
        <f>IF($N556&lt;&gt;"",IF(INDEX(PCOp,$N556)="مرجوعی خرید",IF(INDEX(PCAmount,$N556)=0,"",-INDEX(PCAmount,$N556)),""),IF($O556&lt;&gt;"",IF(INDEX(TxnWitB,$O556)=0,"",INDEX(TxnWitB,$O556)),""))</f>
        <v/>
      </c>
      <c r="K556" s="27">
        <f>IF($B556="","",IF($K555="",$C$10,$K555)+IF($I556="",0,$I556)-IF($J556="",0,$J556))</f>
        <v/>
      </c>
      <c r="L556" s="28">
        <f>IF($N556&lt;&gt;"",IF(INDEX(PCNotes,$N556)="","—",INDEX(PCNotes,$N556)),IF($O556&lt;&gt;"",IF(INDEX(LdgNoteB,$O556)="","—",INDEX(LdgNoteB,$O556)),""))</f>
        <v/>
      </c>
      <c r="N556">
        <f>IFERROR(MATCH($C$5&amp;"|"&amp;RIGHT("000000"&amp;540,6),LdgRankKeyA,0),"")</f>
        <v/>
      </c>
      <c r="O556">
        <f>IFERROR(MATCH($C$5&amp;"|"&amp;RIGHT("000000"&amp;540,6),LdgRankKeyB,0),"")</f>
        <v/>
      </c>
    </row>
    <row r="557">
      <c r="A557" s="17" t="n">
        <v>541</v>
      </c>
      <c r="B557" s="18">
        <f>IF(AND($N557="",$O557=""),"",IF($N557&lt;&gt;"",INDEX(PCNormDate,$N557),INDEX(LdgDateB,$O557)))</f>
        <v/>
      </c>
      <c r="C557" s="18">
        <f>IF($N557&lt;&gt;"",INDEX(PCOp,$N557),IF($O557&lt;&gt;"",IF(N(INDEX(TxnDepB,$O557))&gt;0,"دریافت بانکی","پرداخت بانکی"),""))</f>
        <v/>
      </c>
      <c r="D557" s="18">
        <f>IF($N557&lt;&gt;"",IF(INDEX(PCDoc,$N557)="","—",INDEX(PCDoc,$N557)),IF($O557&lt;&gt;"",INDEX(LdgBankB,$O557),""))</f>
        <v/>
      </c>
      <c r="E557" s="18">
        <f>IF($N557&lt;&gt;"",IF(INDEX(PCCitrus,$N557)="","—",INDEX(PCCitrus,$N557)),"")</f>
        <v/>
      </c>
      <c r="F557" s="19">
        <f>IF($N557&lt;&gt;"",IF(INDEX(PCScale,$N557)=0,"",INDEX(PCScale,$N557)),"")</f>
        <v/>
      </c>
      <c r="G557" s="19">
        <f>IF($N557&lt;&gt;"",IF(INDEX(PCBaskets,$N557)=0,"",INDEX(PCBaskets,$N557)),"")</f>
        <v/>
      </c>
      <c r="H557" s="20">
        <f>IF($N557&lt;&gt;"",IF(INDEX(PCNet,$N557)=0,"",INDEX(PCNet,$N557)),"")</f>
        <v/>
      </c>
      <c r="I557" s="19">
        <f>IF($N557&lt;&gt;"",IF(INDEX(PCOp,$N557)="مرجوعی خرید","",IF(INDEX(PCAmount,$N557)&lt;=0,"",INDEX(PCAmount,$N557))),IF($O557&lt;&gt;"",IF(INDEX(TxnDepB,$O557)=0,"",INDEX(TxnDepB,$O557)),""))</f>
        <v/>
      </c>
      <c r="J557" s="19">
        <f>IF($N557&lt;&gt;"",IF(INDEX(PCOp,$N557)="مرجوعی خرید",IF(INDEX(PCAmount,$N557)=0,"",-INDEX(PCAmount,$N557)),""),IF($O557&lt;&gt;"",IF(INDEX(TxnWitB,$O557)=0,"",INDEX(TxnWitB,$O557)),""))</f>
        <v/>
      </c>
      <c r="K557" s="21">
        <f>IF($B557="","",IF($K556="",$C$10,$K556)+IF($I557="",0,$I557)-IF($J557="",0,$J557))</f>
        <v/>
      </c>
      <c r="L557" s="22">
        <f>IF($N557&lt;&gt;"",IF(INDEX(PCNotes,$N557)="","—",INDEX(PCNotes,$N557)),IF($O557&lt;&gt;"",IF(INDEX(LdgNoteB,$O557)="","—",INDEX(LdgNoteB,$O557)),""))</f>
        <v/>
      </c>
      <c r="N557">
        <f>IFERROR(MATCH($C$5&amp;"|"&amp;RIGHT("000000"&amp;541,6),LdgRankKeyA,0),"")</f>
        <v/>
      </c>
      <c r="O557">
        <f>IFERROR(MATCH($C$5&amp;"|"&amp;RIGHT("000000"&amp;541,6),LdgRankKeyB,0),"")</f>
        <v/>
      </c>
    </row>
    <row r="558">
      <c r="A558" s="23" t="n">
        <v>542</v>
      </c>
      <c r="B558" s="24">
        <f>IF(AND($N558="",$O558=""),"",IF($N558&lt;&gt;"",INDEX(PCNormDate,$N558),INDEX(LdgDateB,$O558)))</f>
        <v/>
      </c>
      <c r="C558" s="24">
        <f>IF($N558&lt;&gt;"",INDEX(PCOp,$N558),IF($O558&lt;&gt;"",IF(N(INDEX(TxnDepB,$O558))&gt;0,"دریافت بانکی","پرداخت بانکی"),""))</f>
        <v/>
      </c>
      <c r="D558" s="24">
        <f>IF($N558&lt;&gt;"",IF(INDEX(PCDoc,$N558)="","—",INDEX(PCDoc,$N558)),IF($O558&lt;&gt;"",INDEX(LdgBankB,$O558),""))</f>
        <v/>
      </c>
      <c r="E558" s="24">
        <f>IF($N558&lt;&gt;"",IF(INDEX(PCCitrus,$N558)="","—",INDEX(PCCitrus,$N558)),"")</f>
        <v/>
      </c>
      <c r="F558" s="25">
        <f>IF($N558&lt;&gt;"",IF(INDEX(PCScale,$N558)=0,"",INDEX(PCScale,$N558)),"")</f>
        <v/>
      </c>
      <c r="G558" s="25">
        <f>IF($N558&lt;&gt;"",IF(INDEX(PCBaskets,$N558)=0,"",INDEX(PCBaskets,$N558)),"")</f>
        <v/>
      </c>
      <c r="H558" s="26">
        <f>IF($N558&lt;&gt;"",IF(INDEX(PCNet,$N558)=0,"",INDEX(PCNet,$N558)),"")</f>
        <v/>
      </c>
      <c r="I558" s="25">
        <f>IF($N558&lt;&gt;"",IF(INDEX(PCOp,$N558)="مرجوعی خرید","",IF(INDEX(PCAmount,$N558)&lt;=0,"",INDEX(PCAmount,$N558))),IF($O558&lt;&gt;"",IF(INDEX(TxnDepB,$O558)=0,"",INDEX(TxnDepB,$O558)),""))</f>
        <v/>
      </c>
      <c r="J558" s="25">
        <f>IF($N558&lt;&gt;"",IF(INDEX(PCOp,$N558)="مرجوعی خرید",IF(INDEX(PCAmount,$N558)=0,"",-INDEX(PCAmount,$N558)),""),IF($O558&lt;&gt;"",IF(INDEX(TxnWitB,$O558)=0,"",INDEX(TxnWitB,$O558)),""))</f>
        <v/>
      </c>
      <c r="K558" s="27">
        <f>IF($B558="","",IF($K557="",$C$10,$K557)+IF($I558="",0,$I558)-IF($J558="",0,$J558))</f>
        <v/>
      </c>
      <c r="L558" s="28">
        <f>IF($N558&lt;&gt;"",IF(INDEX(PCNotes,$N558)="","—",INDEX(PCNotes,$N558)),IF($O558&lt;&gt;"",IF(INDEX(LdgNoteB,$O558)="","—",INDEX(LdgNoteB,$O558)),""))</f>
        <v/>
      </c>
      <c r="N558">
        <f>IFERROR(MATCH($C$5&amp;"|"&amp;RIGHT("000000"&amp;542,6),LdgRankKeyA,0),"")</f>
        <v/>
      </c>
      <c r="O558">
        <f>IFERROR(MATCH($C$5&amp;"|"&amp;RIGHT("000000"&amp;542,6),LdgRankKeyB,0),"")</f>
        <v/>
      </c>
    </row>
    <row r="559">
      <c r="A559" s="17" t="n">
        <v>543</v>
      </c>
      <c r="B559" s="18">
        <f>IF(AND($N559="",$O559=""),"",IF($N559&lt;&gt;"",INDEX(PCNormDate,$N559),INDEX(LdgDateB,$O559)))</f>
        <v/>
      </c>
      <c r="C559" s="18">
        <f>IF($N559&lt;&gt;"",INDEX(PCOp,$N559),IF($O559&lt;&gt;"",IF(N(INDEX(TxnDepB,$O559))&gt;0,"دریافت بانکی","پرداخت بانکی"),""))</f>
        <v/>
      </c>
      <c r="D559" s="18">
        <f>IF($N559&lt;&gt;"",IF(INDEX(PCDoc,$N559)="","—",INDEX(PCDoc,$N559)),IF($O559&lt;&gt;"",INDEX(LdgBankB,$O559),""))</f>
        <v/>
      </c>
      <c r="E559" s="18">
        <f>IF($N559&lt;&gt;"",IF(INDEX(PCCitrus,$N559)="","—",INDEX(PCCitrus,$N559)),"")</f>
        <v/>
      </c>
      <c r="F559" s="19">
        <f>IF($N559&lt;&gt;"",IF(INDEX(PCScale,$N559)=0,"",INDEX(PCScale,$N559)),"")</f>
        <v/>
      </c>
      <c r="G559" s="19">
        <f>IF($N559&lt;&gt;"",IF(INDEX(PCBaskets,$N559)=0,"",INDEX(PCBaskets,$N559)),"")</f>
        <v/>
      </c>
      <c r="H559" s="20">
        <f>IF($N559&lt;&gt;"",IF(INDEX(PCNet,$N559)=0,"",INDEX(PCNet,$N559)),"")</f>
        <v/>
      </c>
      <c r="I559" s="19">
        <f>IF($N559&lt;&gt;"",IF(INDEX(PCOp,$N559)="مرجوعی خرید","",IF(INDEX(PCAmount,$N559)&lt;=0,"",INDEX(PCAmount,$N559))),IF($O559&lt;&gt;"",IF(INDEX(TxnDepB,$O559)=0,"",INDEX(TxnDepB,$O559)),""))</f>
        <v/>
      </c>
      <c r="J559" s="19">
        <f>IF($N559&lt;&gt;"",IF(INDEX(PCOp,$N559)="مرجوعی خرید",IF(INDEX(PCAmount,$N559)=0,"",-INDEX(PCAmount,$N559)),""),IF($O559&lt;&gt;"",IF(INDEX(TxnWitB,$O559)=0,"",INDEX(TxnWitB,$O559)),""))</f>
        <v/>
      </c>
      <c r="K559" s="21">
        <f>IF($B559="","",IF($K558="",$C$10,$K558)+IF($I559="",0,$I559)-IF($J559="",0,$J559))</f>
        <v/>
      </c>
      <c r="L559" s="22">
        <f>IF($N559&lt;&gt;"",IF(INDEX(PCNotes,$N559)="","—",INDEX(PCNotes,$N559)),IF($O559&lt;&gt;"",IF(INDEX(LdgNoteB,$O559)="","—",INDEX(LdgNoteB,$O559)),""))</f>
        <v/>
      </c>
      <c r="N559">
        <f>IFERROR(MATCH($C$5&amp;"|"&amp;RIGHT("000000"&amp;543,6),LdgRankKeyA,0),"")</f>
        <v/>
      </c>
      <c r="O559">
        <f>IFERROR(MATCH($C$5&amp;"|"&amp;RIGHT("000000"&amp;543,6),LdgRankKeyB,0),"")</f>
        <v/>
      </c>
    </row>
    <row r="560">
      <c r="A560" s="23" t="n">
        <v>544</v>
      </c>
      <c r="B560" s="24">
        <f>IF(AND($N560="",$O560=""),"",IF($N560&lt;&gt;"",INDEX(PCNormDate,$N560),INDEX(LdgDateB,$O560)))</f>
        <v/>
      </c>
      <c r="C560" s="24">
        <f>IF($N560&lt;&gt;"",INDEX(PCOp,$N560),IF($O560&lt;&gt;"",IF(N(INDEX(TxnDepB,$O560))&gt;0,"دریافت بانکی","پرداخت بانکی"),""))</f>
        <v/>
      </c>
      <c r="D560" s="24">
        <f>IF($N560&lt;&gt;"",IF(INDEX(PCDoc,$N560)="","—",INDEX(PCDoc,$N560)),IF($O560&lt;&gt;"",INDEX(LdgBankB,$O560),""))</f>
        <v/>
      </c>
      <c r="E560" s="24">
        <f>IF($N560&lt;&gt;"",IF(INDEX(PCCitrus,$N560)="","—",INDEX(PCCitrus,$N560)),"")</f>
        <v/>
      </c>
      <c r="F560" s="25">
        <f>IF($N560&lt;&gt;"",IF(INDEX(PCScale,$N560)=0,"",INDEX(PCScale,$N560)),"")</f>
        <v/>
      </c>
      <c r="G560" s="25">
        <f>IF($N560&lt;&gt;"",IF(INDEX(PCBaskets,$N560)=0,"",INDEX(PCBaskets,$N560)),"")</f>
        <v/>
      </c>
      <c r="H560" s="26">
        <f>IF($N560&lt;&gt;"",IF(INDEX(PCNet,$N560)=0,"",INDEX(PCNet,$N560)),"")</f>
        <v/>
      </c>
      <c r="I560" s="25">
        <f>IF($N560&lt;&gt;"",IF(INDEX(PCOp,$N560)="مرجوعی خرید","",IF(INDEX(PCAmount,$N560)&lt;=0,"",INDEX(PCAmount,$N560))),IF($O560&lt;&gt;"",IF(INDEX(TxnDepB,$O560)=0,"",INDEX(TxnDepB,$O560)),""))</f>
        <v/>
      </c>
      <c r="J560" s="25">
        <f>IF($N560&lt;&gt;"",IF(INDEX(PCOp,$N560)="مرجوعی خرید",IF(INDEX(PCAmount,$N560)=0,"",-INDEX(PCAmount,$N560)),""),IF($O560&lt;&gt;"",IF(INDEX(TxnWitB,$O560)=0,"",INDEX(TxnWitB,$O560)),""))</f>
        <v/>
      </c>
      <c r="K560" s="27">
        <f>IF($B560="","",IF($K559="",$C$10,$K559)+IF($I560="",0,$I560)-IF($J560="",0,$J560))</f>
        <v/>
      </c>
      <c r="L560" s="28">
        <f>IF($N560&lt;&gt;"",IF(INDEX(PCNotes,$N560)="","—",INDEX(PCNotes,$N560)),IF($O560&lt;&gt;"",IF(INDEX(LdgNoteB,$O560)="","—",INDEX(LdgNoteB,$O560)),""))</f>
        <v/>
      </c>
      <c r="N560">
        <f>IFERROR(MATCH($C$5&amp;"|"&amp;RIGHT("000000"&amp;544,6),LdgRankKeyA,0),"")</f>
        <v/>
      </c>
      <c r="O560">
        <f>IFERROR(MATCH($C$5&amp;"|"&amp;RIGHT("000000"&amp;544,6),LdgRankKeyB,0),"")</f>
        <v/>
      </c>
    </row>
    <row r="561">
      <c r="A561" s="17" t="n">
        <v>545</v>
      </c>
      <c r="B561" s="18">
        <f>IF(AND($N561="",$O561=""),"",IF($N561&lt;&gt;"",INDEX(PCNormDate,$N561),INDEX(LdgDateB,$O561)))</f>
        <v/>
      </c>
      <c r="C561" s="18">
        <f>IF($N561&lt;&gt;"",INDEX(PCOp,$N561),IF($O561&lt;&gt;"",IF(N(INDEX(TxnDepB,$O561))&gt;0,"دریافت بانکی","پرداخت بانکی"),""))</f>
        <v/>
      </c>
      <c r="D561" s="18">
        <f>IF($N561&lt;&gt;"",IF(INDEX(PCDoc,$N561)="","—",INDEX(PCDoc,$N561)),IF($O561&lt;&gt;"",INDEX(LdgBankB,$O561),""))</f>
        <v/>
      </c>
      <c r="E561" s="18">
        <f>IF($N561&lt;&gt;"",IF(INDEX(PCCitrus,$N561)="","—",INDEX(PCCitrus,$N561)),"")</f>
        <v/>
      </c>
      <c r="F561" s="19">
        <f>IF($N561&lt;&gt;"",IF(INDEX(PCScale,$N561)=0,"",INDEX(PCScale,$N561)),"")</f>
        <v/>
      </c>
      <c r="G561" s="19">
        <f>IF($N561&lt;&gt;"",IF(INDEX(PCBaskets,$N561)=0,"",INDEX(PCBaskets,$N561)),"")</f>
        <v/>
      </c>
      <c r="H561" s="20">
        <f>IF($N561&lt;&gt;"",IF(INDEX(PCNet,$N561)=0,"",INDEX(PCNet,$N561)),"")</f>
        <v/>
      </c>
      <c r="I561" s="19">
        <f>IF($N561&lt;&gt;"",IF(INDEX(PCOp,$N561)="مرجوعی خرید","",IF(INDEX(PCAmount,$N561)&lt;=0,"",INDEX(PCAmount,$N561))),IF($O561&lt;&gt;"",IF(INDEX(TxnDepB,$O561)=0,"",INDEX(TxnDepB,$O561)),""))</f>
        <v/>
      </c>
      <c r="J561" s="19">
        <f>IF($N561&lt;&gt;"",IF(INDEX(PCOp,$N561)="مرجوعی خرید",IF(INDEX(PCAmount,$N561)=0,"",-INDEX(PCAmount,$N561)),""),IF($O561&lt;&gt;"",IF(INDEX(TxnWitB,$O561)=0,"",INDEX(TxnWitB,$O561)),""))</f>
        <v/>
      </c>
      <c r="K561" s="21">
        <f>IF($B561="","",IF($K560="",$C$10,$K560)+IF($I561="",0,$I561)-IF($J561="",0,$J561))</f>
        <v/>
      </c>
      <c r="L561" s="22">
        <f>IF($N561&lt;&gt;"",IF(INDEX(PCNotes,$N561)="","—",INDEX(PCNotes,$N561)),IF($O561&lt;&gt;"",IF(INDEX(LdgNoteB,$O561)="","—",INDEX(LdgNoteB,$O561)),""))</f>
        <v/>
      </c>
      <c r="N561">
        <f>IFERROR(MATCH($C$5&amp;"|"&amp;RIGHT("000000"&amp;545,6),LdgRankKeyA,0),"")</f>
        <v/>
      </c>
      <c r="O561">
        <f>IFERROR(MATCH($C$5&amp;"|"&amp;RIGHT("000000"&amp;545,6),LdgRankKeyB,0),"")</f>
        <v/>
      </c>
    </row>
    <row r="562">
      <c r="A562" s="23" t="n">
        <v>546</v>
      </c>
      <c r="B562" s="24">
        <f>IF(AND($N562="",$O562=""),"",IF($N562&lt;&gt;"",INDEX(PCNormDate,$N562),INDEX(LdgDateB,$O562)))</f>
        <v/>
      </c>
      <c r="C562" s="24">
        <f>IF($N562&lt;&gt;"",INDEX(PCOp,$N562),IF($O562&lt;&gt;"",IF(N(INDEX(TxnDepB,$O562))&gt;0,"دریافت بانکی","پرداخت بانکی"),""))</f>
        <v/>
      </c>
      <c r="D562" s="24">
        <f>IF($N562&lt;&gt;"",IF(INDEX(PCDoc,$N562)="","—",INDEX(PCDoc,$N562)),IF($O562&lt;&gt;"",INDEX(LdgBankB,$O562),""))</f>
        <v/>
      </c>
      <c r="E562" s="24">
        <f>IF($N562&lt;&gt;"",IF(INDEX(PCCitrus,$N562)="","—",INDEX(PCCitrus,$N562)),"")</f>
        <v/>
      </c>
      <c r="F562" s="25">
        <f>IF($N562&lt;&gt;"",IF(INDEX(PCScale,$N562)=0,"",INDEX(PCScale,$N562)),"")</f>
        <v/>
      </c>
      <c r="G562" s="25">
        <f>IF($N562&lt;&gt;"",IF(INDEX(PCBaskets,$N562)=0,"",INDEX(PCBaskets,$N562)),"")</f>
        <v/>
      </c>
      <c r="H562" s="26">
        <f>IF($N562&lt;&gt;"",IF(INDEX(PCNet,$N562)=0,"",INDEX(PCNet,$N562)),"")</f>
        <v/>
      </c>
      <c r="I562" s="25">
        <f>IF($N562&lt;&gt;"",IF(INDEX(PCOp,$N562)="مرجوعی خرید","",IF(INDEX(PCAmount,$N562)&lt;=0,"",INDEX(PCAmount,$N562))),IF($O562&lt;&gt;"",IF(INDEX(TxnDepB,$O562)=0,"",INDEX(TxnDepB,$O562)),""))</f>
        <v/>
      </c>
      <c r="J562" s="25">
        <f>IF($N562&lt;&gt;"",IF(INDEX(PCOp,$N562)="مرجوعی خرید",IF(INDEX(PCAmount,$N562)=0,"",-INDEX(PCAmount,$N562)),""),IF($O562&lt;&gt;"",IF(INDEX(TxnWitB,$O562)=0,"",INDEX(TxnWitB,$O562)),""))</f>
        <v/>
      </c>
      <c r="K562" s="27">
        <f>IF($B562="","",IF($K561="",$C$10,$K561)+IF($I562="",0,$I562)-IF($J562="",0,$J562))</f>
        <v/>
      </c>
      <c r="L562" s="28">
        <f>IF($N562&lt;&gt;"",IF(INDEX(PCNotes,$N562)="","—",INDEX(PCNotes,$N562)),IF($O562&lt;&gt;"",IF(INDEX(LdgNoteB,$O562)="","—",INDEX(LdgNoteB,$O562)),""))</f>
        <v/>
      </c>
      <c r="N562">
        <f>IFERROR(MATCH($C$5&amp;"|"&amp;RIGHT("000000"&amp;546,6),LdgRankKeyA,0),"")</f>
        <v/>
      </c>
      <c r="O562">
        <f>IFERROR(MATCH($C$5&amp;"|"&amp;RIGHT("000000"&amp;546,6),LdgRankKeyB,0),"")</f>
        <v/>
      </c>
    </row>
    <row r="563">
      <c r="A563" s="17" t="n">
        <v>547</v>
      </c>
      <c r="B563" s="18">
        <f>IF(AND($N563="",$O563=""),"",IF($N563&lt;&gt;"",INDEX(PCNormDate,$N563),INDEX(LdgDateB,$O563)))</f>
        <v/>
      </c>
      <c r="C563" s="18">
        <f>IF($N563&lt;&gt;"",INDEX(PCOp,$N563),IF($O563&lt;&gt;"",IF(N(INDEX(TxnDepB,$O563))&gt;0,"دریافت بانکی","پرداخت بانکی"),""))</f>
        <v/>
      </c>
      <c r="D563" s="18">
        <f>IF($N563&lt;&gt;"",IF(INDEX(PCDoc,$N563)="","—",INDEX(PCDoc,$N563)),IF($O563&lt;&gt;"",INDEX(LdgBankB,$O563),""))</f>
        <v/>
      </c>
      <c r="E563" s="18">
        <f>IF($N563&lt;&gt;"",IF(INDEX(PCCitrus,$N563)="","—",INDEX(PCCitrus,$N563)),"")</f>
        <v/>
      </c>
      <c r="F563" s="19">
        <f>IF($N563&lt;&gt;"",IF(INDEX(PCScale,$N563)=0,"",INDEX(PCScale,$N563)),"")</f>
        <v/>
      </c>
      <c r="G563" s="19">
        <f>IF($N563&lt;&gt;"",IF(INDEX(PCBaskets,$N563)=0,"",INDEX(PCBaskets,$N563)),"")</f>
        <v/>
      </c>
      <c r="H563" s="20">
        <f>IF($N563&lt;&gt;"",IF(INDEX(PCNet,$N563)=0,"",INDEX(PCNet,$N563)),"")</f>
        <v/>
      </c>
      <c r="I563" s="19">
        <f>IF($N563&lt;&gt;"",IF(INDEX(PCOp,$N563)="مرجوعی خرید","",IF(INDEX(PCAmount,$N563)&lt;=0,"",INDEX(PCAmount,$N563))),IF($O563&lt;&gt;"",IF(INDEX(TxnDepB,$O563)=0,"",INDEX(TxnDepB,$O563)),""))</f>
        <v/>
      </c>
      <c r="J563" s="19">
        <f>IF($N563&lt;&gt;"",IF(INDEX(PCOp,$N563)="مرجوعی خرید",IF(INDEX(PCAmount,$N563)=0,"",-INDEX(PCAmount,$N563)),""),IF($O563&lt;&gt;"",IF(INDEX(TxnWitB,$O563)=0,"",INDEX(TxnWitB,$O563)),""))</f>
        <v/>
      </c>
      <c r="K563" s="21">
        <f>IF($B563="","",IF($K562="",$C$10,$K562)+IF($I563="",0,$I563)-IF($J563="",0,$J563))</f>
        <v/>
      </c>
      <c r="L563" s="22">
        <f>IF($N563&lt;&gt;"",IF(INDEX(PCNotes,$N563)="","—",INDEX(PCNotes,$N563)),IF($O563&lt;&gt;"",IF(INDEX(LdgNoteB,$O563)="","—",INDEX(LdgNoteB,$O563)),""))</f>
        <v/>
      </c>
      <c r="N563">
        <f>IFERROR(MATCH($C$5&amp;"|"&amp;RIGHT("000000"&amp;547,6),LdgRankKeyA,0),"")</f>
        <v/>
      </c>
      <c r="O563">
        <f>IFERROR(MATCH($C$5&amp;"|"&amp;RIGHT("000000"&amp;547,6),LdgRankKeyB,0),"")</f>
        <v/>
      </c>
    </row>
    <row r="564">
      <c r="A564" s="23" t="n">
        <v>548</v>
      </c>
      <c r="B564" s="24">
        <f>IF(AND($N564="",$O564=""),"",IF($N564&lt;&gt;"",INDEX(PCNormDate,$N564),INDEX(LdgDateB,$O564)))</f>
        <v/>
      </c>
      <c r="C564" s="24">
        <f>IF($N564&lt;&gt;"",INDEX(PCOp,$N564),IF($O564&lt;&gt;"",IF(N(INDEX(TxnDepB,$O564))&gt;0,"دریافت بانکی","پرداخت بانکی"),""))</f>
        <v/>
      </c>
      <c r="D564" s="24">
        <f>IF($N564&lt;&gt;"",IF(INDEX(PCDoc,$N564)="","—",INDEX(PCDoc,$N564)),IF($O564&lt;&gt;"",INDEX(LdgBankB,$O564),""))</f>
        <v/>
      </c>
      <c r="E564" s="24">
        <f>IF($N564&lt;&gt;"",IF(INDEX(PCCitrus,$N564)="","—",INDEX(PCCitrus,$N564)),"")</f>
        <v/>
      </c>
      <c r="F564" s="25">
        <f>IF($N564&lt;&gt;"",IF(INDEX(PCScale,$N564)=0,"",INDEX(PCScale,$N564)),"")</f>
        <v/>
      </c>
      <c r="G564" s="25">
        <f>IF($N564&lt;&gt;"",IF(INDEX(PCBaskets,$N564)=0,"",INDEX(PCBaskets,$N564)),"")</f>
        <v/>
      </c>
      <c r="H564" s="26">
        <f>IF($N564&lt;&gt;"",IF(INDEX(PCNet,$N564)=0,"",INDEX(PCNet,$N564)),"")</f>
        <v/>
      </c>
      <c r="I564" s="25">
        <f>IF($N564&lt;&gt;"",IF(INDEX(PCOp,$N564)="مرجوعی خرید","",IF(INDEX(PCAmount,$N564)&lt;=0,"",INDEX(PCAmount,$N564))),IF($O564&lt;&gt;"",IF(INDEX(TxnDepB,$O564)=0,"",INDEX(TxnDepB,$O564)),""))</f>
        <v/>
      </c>
      <c r="J564" s="25">
        <f>IF($N564&lt;&gt;"",IF(INDEX(PCOp,$N564)="مرجوعی خرید",IF(INDEX(PCAmount,$N564)=0,"",-INDEX(PCAmount,$N564)),""),IF($O564&lt;&gt;"",IF(INDEX(TxnWitB,$O564)=0,"",INDEX(TxnWitB,$O564)),""))</f>
        <v/>
      </c>
      <c r="K564" s="27">
        <f>IF($B564="","",IF($K563="",$C$10,$K563)+IF($I564="",0,$I564)-IF($J564="",0,$J564))</f>
        <v/>
      </c>
      <c r="L564" s="28">
        <f>IF($N564&lt;&gt;"",IF(INDEX(PCNotes,$N564)="","—",INDEX(PCNotes,$N564)),IF($O564&lt;&gt;"",IF(INDEX(LdgNoteB,$O564)="","—",INDEX(LdgNoteB,$O564)),""))</f>
        <v/>
      </c>
      <c r="N564">
        <f>IFERROR(MATCH($C$5&amp;"|"&amp;RIGHT("000000"&amp;548,6),LdgRankKeyA,0),"")</f>
        <v/>
      </c>
      <c r="O564">
        <f>IFERROR(MATCH($C$5&amp;"|"&amp;RIGHT("000000"&amp;548,6),LdgRankKeyB,0),"")</f>
        <v/>
      </c>
    </row>
    <row r="565">
      <c r="A565" s="17" t="n">
        <v>549</v>
      </c>
      <c r="B565" s="18">
        <f>IF(AND($N565="",$O565=""),"",IF($N565&lt;&gt;"",INDEX(PCNormDate,$N565),INDEX(LdgDateB,$O565)))</f>
        <v/>
      </c>
      <c r="C565" s="18">
        <f>IF($N565&lt;&gt;"",INDEX(PCOp,$N565),IF($O565&lt;&gt;"",IF(N(INDEX(TxnDepB,$O565))&gt;0,"دریافت بانکی","پرداخت بانکی"),""))</f>
        <v/>
      </c>
      <c r="D565" s="18">
        <f>IF($N565&lt;&gt;"",IF(INDEX(PCDoc,$N565)="","—",INDEX(PCDoc,$N565)),IF($O565&lt;&gt;"",INDEX(LdgBankB,$O565),""))</f>
        <v/>
      </c>
      <c r="E565" s="18">
        <f>IF($N565&lt;&gt;"",IF(INDEX(PCCitrus,$N565)="","—",INDEX(PCCitrus,$N565)),"")</f>
        <v/>
      </c>
      <c r="F565" s="19">
        <f>IF($N565&lt;&gt;"",IF(INDEX(PCScale,$N565)=0,"",INDEX(PCScale,$N565)),"")</f>
        <v/>
      </c>
      <c r="G565" s="19">
        <f>IF($N565&lt;&gt;"",IF(INDEX(PCBaskets,$N565)=0,"",INDEX(PCBaskets,$N565)),"")</f>
        <v/>
      </c>
      <c r="H565" s="20">
        <f>IF($N565&lt;&gt;"",IF(INDEX(PCNet,$N565)=0,"",INDEX(PCNet,$N565)),"")</f>
        <v/>
      </c>
      <c r="I565" s="19">
        <f>IF($N565&lt;&gt;"",IF(INDEX(PCOp,$N565)="مرجوعی خرید","",IF(INDEX(PCAmount,$N565)&lt;=0,"",INDEX(PCAmount,$N565))),IF($O565&lt;&gt;"",IF(INDEX(TxnDepB,$O565)=0,"",INDEX(TxnDepB,$O565)),""))</f>
        <v/>
      </c>
      <c r="J565" s="19">
        <f>IF($N565&lt;&gt;"",IF(INDEX(PCOp,$N565)="مرجوعی خرید",IF(INDEX(PCAmount,$N565)=0,"",-INDEX(PCAmount,$N565)),""),IF($O565&lt;&gt;"",IF(INDEX(TxnWitB,$O565)=0,"",INDEX(TxnWitB,$O565)),""))</f>
        <v/>
      </c>
      <c r="K565" s="21">
        <f>IF($B565="","",IF($K564="",$C$10,$K564)+IF($I565="",0,$I565)-IF($J565="",0,$J565))</f>
        <v/>
      </c>
      <c r="L565" s="22">
        <f>IF($N565&lt;&gt;"",IF(INDEX(PCNotes,$N565)="","—",INDEX(PCNotes,$N565)),IF($O565&lt;&gt;"",IF(INDEX(LdgNoteB,$O565)="","—",INDEX(LdgNoteB,$O565)),""))</f>
        <v/>
      </c>
      <c r="N565">
        <f>IFERROR(MATCH($C$5&amp;"|"&amp;RIGHT("000000"&amp;549,6),LdgRankKeyA,0),"")</f>
        <v/>
      </c>
      <c r="O565">
        <f>IFERROR(MATCH($C$5&amp;"|"&amp;RIGHT("000000"&amp;549,6),LdgRankKeyB,0),"")</f>
        <v/>
      </c>
    </row>
    <row r="566">
      <c r="A566" s="23" t="n">
        <v>550</v>
      </c>
      <c r="B566" s="24">
        <f>IF(AND($N566="",$O566=""),"",IF($N566&lt;&gt;"",INDEX(PCNormDate,$N566),INDEX(LdgDateB,$O566)))</f>
        <v/>
      </c>
      <c r="C566" s="24">
        <f>IF($N566&lt;&gt;"",INDEX(PCOp,$N566),IF($O566&lt;&gt;"",IF(N(INDEX(TxnDepB,$O566))&gt;0,"دریافت بانکی","پرداخت بانکی"),""))</f>
        <v/>
      </c>
      <c r="D566" s="24">
        <f>IF($N566&lt;&gt;"",IF(INDEX(PCDoc,$N566)="","—",INDEX(PCDoc,$N566)),IF($O566&lt;&gt;"",INDEX(LdgBankB,$O566),""))</f>
        <v/>
      </c>
      <c r="E566" s="24">
        <f>IF($N566&lt;&gt;"",IF(INDEX(PCCitrus,$N566)="","—",INDEX(PCCitrus,$N566)),"")</f>
        <v/>
      </c>
      <c r="F566" s="25">
        <f>IF($N566&lt;&gt;"",IF(INDEX(PCScale,$N566)=0,"",INDEX(PCScale,$N566)),"")</f>
        <v/>
      </c>
      <c r="G566" s="25">
        <f>IF($N566&lt;&gt;"",IF(INDEX(PCBaskets,$N566)=0,"",INDEX(PCBaskets,$N566)),"")</f>
        <v/>
      </c>
      <c r="H566" s="26">
        <f>IF($N566&lt;&gt;"",IF(INDEX(PCNet,$N566)=0,"",INDEX(PCNet,$N566)),"")</f>
        <v/>
      </c>
      <c r="I566" s="25">
        <f>IF($N566&lt;&gt;"",IF(INDEX(PCOp,$N566)="مرجوعی خرید","",IF(INDEX(PCAmount,$N566)&lt;=0,"",INDEX(PCAmount,$N566))),IF($O566&lt;&gt;"",IF(INDEX(TxnDepB,$O566)=0,"",INDEX(TxnDepB,$O566)),""))</f>
        <v/>
      </c>
      <c r="J566" s="25">
        <f>IF($N566&lt;&gt;"",IF(INDEX(PCOp,$N566)="مرجوعی خرید",IF(INDEX(PCAmount,$N566)=0,"",-INDEX(PCAmount,$N566)),""),IF($O566&lt;&gt;"",IF(INDEX(TxnWitB,$O566)=0,"",INDEX(TxnWitB,$O566)),""))</f>
        <v/>
      </c>
      <c r="K566" s="27">
        <f>IF($B566="","",IF($K565="",$C$10,$K565)+IF($I566="",0,$I566)-IF($J566="",0,$J566))</f>
        <v/>
      </c>
      <c r="L566" s="28">
        <f>IF($N566&lt;&gt;"",IF(INDEX(PCNotes,$N566)="","—",INDEX(PCNotes,$N566)),IF($O566&lt;&gt;"",IF(INDEX(LdgNoteB,$O566)="","—",INDEX(LdgNoteB,$O566)),""))</f>
        <v/>
      </c>
      <c r="N566">
        <f>IFERROR(MATCH($C$5&amp;"|"&amp;RIGHT("000000"&amp;550,6),LdgRankKeyA,0),"")</f>
        <v/>
      </c>
      <c r="O566">
        <f>IFERROR(MATCH($C$5&amp;"|"&amp;RIGHT("000000"&amp;550,6),LdgRankKeyB,0),"")</f>
        <v/>
      </c>
    </row>
    <row r="567">
      <c r="A567" s="17" t="n">
        <v>551</v>
      </c>
      <c r="B567" s="18">
        <f>IF(AND($N567="",$O567=""),"",IF($N567&lt;&gt;"",INDEX(PCNormDate,$N567),INDEX(LdgDateB,$O567)))</f>
        <v/>
      </c>
      <c r="C567" s="18">
        <f>IF($N567&lt;&gt;"",INDEX(PCOp,$N567),IF($O567&lt;&gt;"",IF(N(INDEX(TxnDepB,$O567))&gt;0,"دریافت بانکی","پرداخت بانکی"),""))</f>
        <v/>
      </c>
      <c r="D567" s="18">
        <f>IF($N567&lt;&gt;"",IF(INDEX(PCDoc,$N567)="","—",INDEX(PCDoc,$N567)),IF($O567&lt;&gt;"",INDEX(LdgBankB,$O567),""))</f>
        <v/>
      </c>
      <c r="E567" s="18">
        <f>IF($N567&lt;&gt;"",IF(INDEX(PCCitrus,$N567)="","—",INDEX(PCCitrus,$N567)),"")</f>
        <v/>
      </c>
      <c r="F567" s="19">
        <f>IF($N567&lt;&gt;"",IF(INDEX(PCScale,$N567)=0,"",INDEX(PCScale,$N567)),"")</f>
        <v/>
      </c>
      <c r="G567" s="19">
        <f>IF($N567&lt;&gt;"",IF(INDEX(PCBaskets,$N567)=0,"",INDEX(PCBaskets,$N567)),"")</f>
        <v/>
      </c>
      <c r="H567" s="20">
        <f>IF($N567&lt;&gt;"",IF(INDEX(PCNet,$N567)=0,"",INDEX(PCNet,$N567)),"")</f>
        <v/>
      </c>
      <c r="I567" s="19">
        <f>IF($N567&lt;&gt;"",IF(INDEX(PCOp,$N567)="مرجوعی خرید","",IF(INDEX(PCAmount,$N567)&lt;=0,"",INDEX(PCAmount,$N567))),IF($O567&lt;&gt;"",IF(INDEX(TxnDepB,$O567)=0,"",INDEX(TxnDepB,$O567)),""))</f>
        <v/>
      </c>
      <c r="J567" s="19">
        <f>IF($N567&lt;&gt;"",IF(INDEX(PCOp,$N567)="مرجوعی خرید",IF(INDEX(PCAmount,$N567)=0,"",-INDEX(PCAmount,$N567)),""),IF($O567&lt;&gt;"",IF(INDEX(TxnWitB,$O567)=0,"",INDEX(TxnWitB,$O567)),""))</f>
        <v/>
      </c>
      <c r="K567" s="21">
        <f>IF($B567="","",IF($K566="",$C$10,$K566)+IF($I567="",0,$I567)-IF($J567="",0,$J567))</f>
        <v/>
      </c>
      <c r="L567" s="22">
        <f>IF($N567&lt;&gt;"",IF(INDEX(PCNotes,$N567)="","—",INDEX(PCNotes,$N567)),IF($O567&lt;&gt;"",IF(INDEX(LdgNoteB,$O567)="","—",INDEX(LdgNoteB,$O567)),""))</f>
        <v/>
      </c>
      <c r="N567">
        <f>IFERROR(MATCH($C$5&amp;"|"&amp;RIGHT("000000"&amp;551,6),LdgRankKeyA,0),"")</f>
        <v/>
      </c>
      <c r="O567">
        <f>IFERROR(MATCH($C$5&amp;"|"&amp;RIGHT("000000"&amp;551,6),LdgRankKeyB,0),"")</f>
        <v/>
      </c>
    </row>
    <row r="568">
      <c r="A568" s="23" t="n">
        <v>552</v>
      </c>
      <c r="B568" s="24">
        <f>IF(AND($N568="",$O568=""),"",IF($N568&lt;&gt;"",INDEX(PCNormDate,$N568),INDEX(LdgDateB,$O568)))</f>
        <v/>
      </c>
      <c r="C568" s="24">
        <f>IF($N568&lt;&gt;"",INDEX(PCOp,$N568),IF($O568&lt;&gt;"",IF(N(INDEX(TxnDepB,$O568))&gt;0,"دریافت بانکی","پرداخت بانکی"),""))</f>
        <v/>
      </c>
      <c r="D568" s="24">
        <f>IF($N568&lt;&gt;"",IF(INDEX(PCDoc,$N568)="","—",INDEX(PCDoc,$N568)),IF($O568&lt;&gt;"",INDEX(LdgBankB,$O568),""))</f>
        <v/>
      </c>
      <c r="E568" s="24">
        <f>IF($N568&lt;&gt;"",IF(INDEX(PCCitrus,$N568)="","—",INDEX(PCCitrus,$N568)),"")</f>
        <v/>
      </c>
      <c r="F568" s="25">
        <f>IF($N568&lt;&gt;"",IF(INDEX(PCScale,$N568)=0,"",INDEX(PCScale,$N568)),"")</f>
        <v/>
      </c>
      <c r="G568" s="25">
        <f>IF($N568&lt;&gt;"",IF(INDEX(PCBaskets,$N568)=0,"",INDEX(PCBaskets,$N568)),"")</f>
        <v/>
      </c>
      <c r="H568" s="26">
        <f>IF($N568&lt;&gt;"",IF(INDEX(PCNet,$N568)=0,"",INDEX(PCNet,$N568)),"")</f>
        <v/>
      </c>
      <c r="I568" s="25">
        <f>IF($N568&lt;&gt;"",IF(INDEX(PCOp,$N568)="مرجوعی خرید","",IF(INDEX(PCAmount,$N568)&lt;=0,"",INDEX(PCAmount,$N568))),IF($O568&lt;&gt;"",IF(INDEX(TxnDepB,$O568)=0,"",INDEX(TxnDepB,$O568)),""))</f>
        <v/>
      </c>
      <c r="J568" s="25">
        <f>IF($N568&lt;&gt;"",IF(INDEX(PCOp,$N568)="مرجوعی خرید",IF(INDEX(PCAmount,$N568)=0,"",-INDEX(PCAmount,$N568)),""),IF($O568&lt;&gt;"",IF(INDEX(TxnWitB,$O568)=0,"",INDEX(TxnWitB,$O568)),""))</f>
        <v/>
      </c>
      <c r="K568" s="27">
        <f>IF($B568="","",IF($K567="",$C$10,$K567)+IF($I568="",0,$I568)-IF($J568="",0,$J568))</f>
        <v/>
      </c>
      <c r="L568" s="28">
        <f>IF($N568&lt;&gt;"",IF(INDEX(PCNotes,$N568)="","—",INDEX(PCNotes,$N568)),IF($O568&lt;&gt;"",IF(INDEX(LdgNoteB,$O568)="","—",INDEX(LdgNoteB,$O568)),""))</f>
        <v/>
      </c>
      <c r="N568">
        <f>IFERROR(MATCH($C$5&amp;"|"&amp;RIGHT("000000"&amp;552,6),LdgRankKeyA,0),"")</f>
        <v/>
      </c>
      <c r="O568">
        <f>IFERROR(MATCH($C$5&amp;"|"&amp;RIGHT("000000"&amp;552,6),LdgRankKeyB,0),"")</f>
        <v/>
      </c>
    </row>
    <row r="569">
      <c r="A569" s="17" t="n">
        <v>553</v>
      </c>
      <c r="B569" s="18">
        <f>IF(AND($N569="",$O569=""),"",IF($N569&lt;&gt;"",INDEX(PCNormDate,$N569),INDEX(LdgDateB,$O569)))</f>
        <v/>
      </c>
      <c r="C569" s="18">
        <f>IF($N569&lt;&gt;"",INDEX(PCOp,$N569),IF($O569&lt;&gt;"",IF(N(INDEX(TxnDepB,$O569))&gt;0,"دریافت بانکی","پرداخت بانکی"),""))</f>
        <v/>
      </c>
      <c r="D569" s="18">
        <f>IF($N569&lt;&gt;"",IF(INDEX(PCDoc,$N569)="","—",INDEX(PCDoc,$N569)),IF($O569&lt;&gt;"",INDEX(LdgBankB,$O569),""))</f>
        <v/>
      </c>
      <c r="E569" s="18">
        <f>IF($N569&lt;&gt;"",IF(INDEX(PCCitrus,$N569)="","—",INDEX(PCCitrus,$N569)),"")</f>
        <v/>
      </c>
      <c r="F569" s="19">
        <f>IF($N569&lt;&gt;"",IF(INDEX(PCScale,$N569)=0,"",INDEX(PCScale,$N569)),"")</f>
        <v/>
      </c>
      <c r="G569" s="19">
        <f>IF($N569&lt;&gt;"",IF(INDEX(PCBaskets,$N569)=0,"",INDEX(PCBaskets,$N569)),"")</f>
        <v/>
      </c>
      <c r="H569" s="20">
        <f>IF($N569&lt;&gt;"",IF(INDEX(PCNet,$N569)=0,"",INDEX(PCNet,$N569)),"")</f>
        <v/>
      </c>
      <c r="I569" s="19">
        <f>IF($N569&lt;&gt;"",IF(INDEX(PCOp,$N569)="مرجوعی خرید","",IF(INDEX(PCAmount,$N569)&lt;=0,"",INDEX(PCAmount,$N569))),IF($O569&lt;&gt;"",IF(INDEX(TxnDepB,$O569)=0,"",INDEX(TxnDepB,$O569)),""))</f>
        <v/>
      </c>
      <c r="J569" s="19">
        <f>IF($N569&lt;&gt;"",IF(INDEX(PCOp,$N569)="مرجوعی خرید",IF(INDEX(PCAmount,$N569)=0,"",-INDEX(PCAmount,$N569)),""),IF($O569&lt;&gt;"",IF(INDEX(TxnWitB,$O569)=0,"",INDEX(TxnWitB,$O569)),""))</f>
        <v/>
      </c>
      <c r="K569" s="21">
        <f>IF($B569="","",IF($K568="",$C$10,$K568)+IF($I569="",0,$I569)-IF($J569="",0,$J569))</f>
        <v/>
      </c>
      <c r="L569" s="22">
        <f>IF($N569&lt;&gt;"",IF(INDEX(PCNotes,$N569)="","—",INDEX(PCNotes,$N569)),IF($O569&lt;&gt;"",IF(INDEX(LdgNoteB,$O569)="","—",INDEX(LdgNoteB,$O569)),""))</f>
        <v/>
      </c>
      <c r="N569">
        <f>IFERROR(MATCH($C$5&amp;"|"&amp;RIGHT("000000"&amp;553,6),LdgRankKeyA,0),"")</f>
        <v/>
      </c>
      <c r="O569">
        <f>IFERROR(MATCH($C$5&amp;"|"&amp;RIGHT("000000"&amp;553,6),LdgRankKeyB,0),"")</f>
        <v/>
      </c>
    </row>
    <row r="570">
      <c r="A570" s="23" t="n">
        <v>554</v>
      </c>
      <c r="B570" s="24">
        <f>IF(AND($N570="",$O570=""),"",IF($N570&lt;&gt;"",INDEX(PCNormDate,$N570),INDEX(LdgDateB,$O570)))</f>
        <v/>
      </c>
      <c r="C570" s="24">
        <f>IF($N570&lt;&gt;"",INDEX(PCOp,$N570),IF($O570&lt;&gt;"",IF(N(INDEX(TxnDepB,$O570))&gt;0,"دریافت بانکی","پرداخت بانکی"),""))</f>
        <v/>
      </c>
      <c r="D570" s="24">
        <f>IF($N570&lt;&gt;"",IF(INDEX(PCDoc,$N570)="","—",INDEX(PCDoc,$N570)),IF($O570&lt;&gt;"",INDEX(LdgBankB,$O570),""))</f>
        <v/>
      </c>
      <c r="E570" s="24">
        <f>IF($N570&lt;&gt;"",IF(INDEX(PCCitrus,$N570)="","—",INDEX(PCCitrus,$N570)),"")</f>
        <v/>
      </c>
      <c r="F570" s="25">
        <f>IF($N570&lt;&gt;"",IF(INDEX(PCScale,$N570)=0,"",INDEX(PCScale,$N570)),"")</f>
        <v/>
      </c>
      <c r="G570" s="25">
        <f>IF($N570&lt;&gt;"",IF(INDEX(PCBaskets,$N570)=0,"",INDEX(PCBaskets,$N570)),"")</f>
        <v/>
      </c>
      <c r="H570" s="26">
        <f>IF($N570&lt;&gt;"",IF(INDEX(PCNet,$N570)=0,"",INDEX(PCNet,$N570)),"")</f>
        <v/>
      </c>
      <c r="I570" s="25">
        <f>IF($N570&lt;&gt;"",IF(INDEX(PCOp,$N570)="مرجوعی خرید","",IF(INDEX(PCAmount,$N570)&lt;=0,"",INDEX(PCAmount,$N570))),IF($O570&lt;&gt;"",IF(INDEX(TxnDepB,$O570)=0,"",INDEX(TxnDepB,$O570)),""))</f>
        <v/>
      </c>
      <c r="J570" s="25">
        <f>IF($N570&lt;&gt;"",IF(INDEX(PCOp,$N570)="مرجوعی خرید",IF(INDEX(PCAmount,$N570)=0,"",-INDEX(PCAmount,$N570)),""),IF($O570&lt;&gt;"",IF(INDEX(TxnWitB,$O570)=0,"",INDEX(TxnWitB,$O570)),""))</f>
        <v/>
      </c>
      <c r="K570" s="27">
        <f>IF($B570="","",IF($K569="",$C$10,$K569)+IF($I570="",0,$I570)-IF($J570="",0,$J570))</f>
        <v/>
      </c>
      <c r="L570" s="28">
        <f>IF($N570&lt;&gt;"",IF(INDEX(PCNotes,$N570)="","—",INDEX(PCNotes,$N570)),IF($O570&lt;&gt;"",IF(INDEX(LdgNoteB,$O570)="","—",INDEX(LdgNoteB,$O570)),""))</f>
        <v/>
      </c>
      <c r="N570">
        <f>IFERROR(MATCH($C$5&amp;"|"&amp;RIGHT("000000"&amp;554,6),LdgRankKeyA,0),"")</f>
        <v/>
      </c>
      <c r="O570">
        <f>IFERROR(MATCH($C$5&amp;"|"&amp;RIGHT("000000"&amp;554,6),LdgRankKeyB,0),"")</f>
        <v/>
      </c>
    </row>
    <row r="571">
      <c r="A571" s="17" t="n">
        <v>555</v>
      </c>
      <c r="B571" s="18">
        <f>IF(AND($N571="",$O571=""),"",IF($N571&lt;&gt;"",INDEX(PCNormDate,$N571),INDEX(LdgDateB,$O571)))</f>
        <v/>
      </c>
      <c r="C571" s="18">
        <f>IF($N571&lt;&gt;"",INDEX(PCOp,$N571),IF($O571&lt;&gt;"",IF(N(INDEX(TxnDepB,$O571))&gt;0,"دریافت بانکی","پرداخت بانکی"),""))</f>
        <v/>
      </c>
      <c r="D571" s="18">
        <f>IF($N571&lt;&gt;"",IF(INDEX(PCDoc,$N571)="","—",INDEX(PCDoc,$N571)),IF($O571&lt;&gt;"",INDEX(LdgBankB,$O571),""))</f>
        <v/>
      </c>
      <c r="E571" s="18">
        <f>IF($N571&lt;&gt;"",IF(INDEX(PCCitrus,$N571)="","—",INDEX(PCCitrus,$N571)),"")</f>
        <v/>
      </c>
      <c r="F571" s="19">
        <f>IF($N571&lt;&gt;"",IF(INDEX(PCScale,$N571)=0,"",INDEX(PCScale,$N571)),"")</f>
        <v/>
      </c>
      <c r="G571" s="19">
        <f>IF($N571&lt;&gt;"",IF(INDEX(PCBaskets,$N571)=0,"",INDEX(PCBaskets,$N571)),"")</f>
        <v/>
      </c>
      <c r="H571" s="20">
        <f>IF($N571&lt;&gt;"",IF(INDEX(PCNet,$N571)=0,"",INDEX(PCNet,$N571)),"")</f>
        <v/>
      </c>
      <c r="I571" s="19">
        <f>IF($N571&lt;&gt;"",IF(INDEX(PCOp,$N571)="مرجوعی خرید","",IF(INDEX(PCAmount,$N571)&lt;=0,"",INDEX(PCAmount,$N571))),IF($O571&lt;&gt;"",IF(INDEX(TxnDepB,$O571)=0,"",INDEX(TxnDepB,$O571)),""))</f>
        <v/>
      </c>
      <c r="J571" s="19">
        <f>IF($N571&lt;&gt;"",IF(INDEX(PCOp,$N571)="مرجوعی خرید",IF(INDEX(PCAmount,$N571)=0,"",-INDEX(PCAmount,$N571)),""),IF($O571&lt;&gt;"",IF(INDEX(TxnWitB,$O571)=0,"",INDEX(TxnWitB,$O571)),""))</f>
        <v/>
      </c>
      <c r="K571" s="21">
        <f>IF($B571="","",IF($K570="",$C$10,$K570)+IF($I571="",0,$I571)-IF($J571="",0,$J571))</f>
        <v/>
      </c>
      <c r="L571" s="22">
        <f>IF($N571&lt;&gt;"",IF(INDEX(PCNotes,$N571)="","—",INDEX(PCNotes,$N571)),IF($O571&lt;&gt;"",IF(INDEX(LdgNoteB,$O571)="","—",INDEX(LdgNoteB,$O571)),""))</f>
        <v/>
      </c>
      <c r="N571">
        <f>IFERROR(MATCH($C$5&amp;"|"&amp;RIGHT("000000"&amp;555,6),LdgRankKeyA,0),"")</f>
        <v/>
      </c>
      <c r="O571">
        <f>IFERROR(MATCH($C$5&amp;"|"&amp;RIGHT("000000"&amp;555,6),LdgRankKeyB,0),"")</f>
        <v/>
      </c>
    </row>
    <row r="572">
      <c r="A572" s="23" t="n">
        <v>556</v>
      </c>
      <c r="B572" s="24">
        <f>IF(AND($N572="",$O572=""),"",IF($N572&lt;&gt;"",INDEX(PCNormDate,$N572),INDEX(LdgDateB,$O572)))</f>
        <v/>
      </c>
      <c r="C572" s="24">
        <f>IF($N572&lt;&gt;"",INDEX(PCOp,$N572),IF($O572&lt;&gt;"",IF(N(INDEX(TxnDepB,$O572))&gt;0,"دریافت بانکی","پرداخت بانکی"),""))</f>
        <v/>
      </c>
      <c r="D572" s="24">
        <f>IF($N572&lt;&gt;"",IF(INDEX(PCDoc,$N572)="","—",INDEX(PCDoc,$N572)),IF($O572&lt;&gt;"",INDEX(LdgBankB,$O572),""))</f>
        <v/>
      </c>
      <c r="E572" s="24">
        <f>IF($N572&lt;&gt;"",IF(INDEX(PCCitrus,$N572)="","—",INDEX(PCCitrus,$N572)),"")</f>
        <v/>
      </c>
      <c r="F572" s="25">
        <f>IF($N572&lt;&gt;"",IF(INDEX(PCScale,$N572)=0,"",INDEX(PCScale,$N572)),"")</f>
        <v/>
      </c>
      <c r="G572" s="25">
        <f>IF($N572&lt;&gt;"",IF(INDEX(PCBaskets,$N572)=0,"",INDEX(PCBaskets,$N572)),"")</f>
        <v/>
      </c>
      <c r="H572" s="26">
        <f>IF($N572&lt;&gt;"",IF(INDEX(PCNet,$N572)=0,"",INDEX(PCNet,$N572)),"")</f>
        <v/>
      </c>
      <c r="I572" s="25">
        <f>IF($N572&lt;&gt;"",IF(INDEX(PCOp,$N572)="مرجوعی خرید","",IF(INDEX(PCAmount,$N572)&lt;=0,"",INDEX(PCAmount,$N572))),IF($O572&lt;&gt;"",IF(INDEX(TxnDepB,$O572)=0,"",INDEX(TxnDepB,$O572)),""))</f>
        <v/>
      </c>
      <c r="J572" s="25">
        <f>IF($N572&lt;&gt;"",IF(INDEX(PCOp,$N572)="مرجوعی خرید",IF(INDEX(PCAmount,$N572)=0,"",-INDEX(PCAmount,$N572)),""),IF($O572&lt;&gt;"",IF(INDEX(TxnWitB,$O572)=0,"",INDEX(TxnWitB,$O572)),""))</f>
        <v/>
      </c>
      <c r="K572" s="27">
        <f>IF($B572="","",IF($K571="",$C$10,$K571)+IF($I572="",0,$I572)-IF($J572="",0,$J572))</f>
        <v/>
      </c>
      <c r="L572" s="28">
        <f>IF($N572&lt;&gt;"",IF(INDEX(PCNotes,$N572)="","—",INDEX(PCNotes,$N572)),IF($O572&lt;&gt;"",IF(INDEX(LdgNoteB,$O572)="","—",INDEX(LdgNoteB,$O572)),""))</f>
        <v/>
      </c>
      <c r="N572">
        <f>IFERROR(MATCH($C$5&amp;"|"&amp;RIGHT("000000"&amp;556,6),LdgRankKeyA,0),"")</f>
        <v/>
      </c>
      <c r="O572">
        <f>IFERROR(MATCH($C$5&amp;"|"&amp;RIGHT("000000"&amp;556,6),LdgRankKeyB,0),"")</f>
        <v/>
      </c>
    </row>
    <row r="573">
      <c r="A573" s="17" t="n">
        <v>557</v>
      </c>
      <c r="B573" s="18">
        <f>IF(AND($N573="",$O573=""),"",IF($N573&lt;&gt;"",INDEX(PCNormDate,$N573),INDEX(LdgDateB,$O573)))</f>
        <v/>
      </c>
      <c r="C573" s="18">
        <f>IF($N573&lt;&gt;"",INDEX(PCOp,$N573),IF($O573&lt;&gt;"",IF(N(INDEX(TxnDepB,$O573))&gt;0,"دریافت بانکی","پرداخت بانکی"),""))</f>
        <v/>
      </c>
      <c r="D573" s="18">
        <f>IF($N573&lt;&gt;"",IF(INDEX(PCDoc,$N573)="","—",INDEX(PCDoc,$N573)),IF($O573&lt;&gt;"",INDEX(LdgBankB,$O573),""))</f>
        <v/>
      </c>
      <c r="E573" s="18">
        <f>IF($N573&lt;&gt;"",IF(INDEX(PCCitrus,$N573)="","—",INDEX(PCCitrus,$N573)),"")</f>
        <v/>
      </c>
      <c r="F573" s="19">
        <f>IF($N573&lt;&gt;"",IF(INDEX(PCScale,$N573)=0,"",INDEX(PCScale,$N573)),"")</f>
        <v/>
      </c>
      <c r="G573" s="19">
        <f>IF($N573&lt;&gt;"",IF(INDEX(PCBaskets,$N573)=0,"",INDEX(PCBaskets,$N573)),"")</f>
        <v/>
      </c>
      <c r="H573" s="20">
        <f>IF($N573&lt;&gt;"",IF(INDEX(PCNet,$N573)=0,"",INDEX(PCNet,$N573)),"")</f>
        <v/>
      </c>
      <c r="I573" s="19">
        <f>IF($N573&lt;&gt;"",IF(INDEX(PCOp,$N573)="مرجوعی خرید","",IF(INDEX(PCAmount,$N573)&lt;=0,"",INDEX(PCAmount,$N573))),IF($O573&lt;&gt;"",IF(INDEX(TxnDepB,$O573)=0,"",INDEX(TxnDepB,$O573)),""))</f>
        <v/>
      </c>
      <c r="J573" s="19">
        <f>IF($N573&lt;&gt;"",IF(INDEX(PCOp,$N573)="مرجوعی خرید",IF(INDEX(PCAmount,$N573)=0,"",-INDEX(PCAmount,$N573)),""),IF($O573&lt;&gt;"",IF(INDEX(TxnWitB,$O573)=0,"",INDEX(TxnWitB,$O573)),""))</f>
        <v/>
      </c>
      <c r="K573" s="21">
        <f>IF($B573="","",IF($K572="",$C$10,$K572)+IF($I573="",0,$I573)-IF($J573="",0,$J573))</f>
        <v/>
      </c>
      <c r="L573" s="22">
        <f>IF($N573&lt;&gt;"",IF(INDEX(PCNotes,$N573)="","—",INDEX(PCNotes,$N573)),IF($O573&lt;&gt;"",IF(INDEX(LdgNoteB,$O573)="","—",INDEX(LdgNoteB,$O573)),""))</f>
        <v/>
      </c>
      <c r="N573">
        <f>IFERROR(MATCH($C$5&amp;"|"&amp;RIGHT("000000"&amp;557,6),LdgRankKeyA,0),"")</f>
        <v/>
      </c>
      <c r="O573">
        <f>IFERROR(MATCH($C$5&amp;"|"&amp;RIGHT("000000"&amp;557,6),LdgRankKeyB,0),"")</f>
        <v/>
      </c>
    </row>
    <row r="574">
      <c r="A574" s="23" t="n">
        <v>558</v>
      </c>
      <c r="B574" s="24">
        <f>IF(AND($N574="",$O574=""),"",IF($N574&lt;&gt;"",INDEX(PCNormDate,$N574),INDEX(LdgDateB,$O574)))</f>
        <v/>
      </c>
      <c r="C574" s="24">
        <f>IF($N574&lt;&gt;"",INDEX(PCOp,$N574),IF($O574&lt;&gt;"",IF(N(INDEX(TxnDepB,$O574))&gt;0,"دریافت بانکی","پرداخت بانکی"),""))</f>
        <v/>
      </c>
      <c r="D574" s="24">
        <f>IF($N574&lt;&gt;"",IF(INDEX(PCDoc,$N574)="","—",INDEX(PCDoc,$N574)),IF($O574&lt;&gt;"",INDEX(LdgBankB,$O574),""))</f>
        <v/>
      </c>
      <c r="E574" s="24">
        <f>IF($N574&lt;&gt;"",IF(INDEX(PCCitrus,$N574)="","—",INDEX(PCCitrus,$N574)),"")</f>
        <v/>
      </c>
      <c r="F574" s="25">
        <f>IF($N574&lt;&gt;"",IF(INDEX(PCScale,$N574)=0,"",INDEX(PCScale,$N574)),"")</f>
        <v/>
      </c>
      <c r="G574" s="25">
        <f>IF($N574&lt;&gt;"",IF(INDEX(PCBaskets,$N574)=0,"",INDEX(PCBaskets,$N574)),"")</f>
        <v/>
      </c>
      <c r="H574" s="26">
        <f>IF($N574&lt;&gt;"",IF(INDEX(PCNet,$N574)=0,"",INDEX(PCNet,$N574)),"")</f>
        <v/>
      </c>
      <c r="I574" s="25">
        <f>IF($N574&lt;&gt;"",IF(INDEX(PCOp,$N574)="مرجوعی خرید","",IF(INDEX(PCAmount,$N574)&lt;=0,"",INDEX(PCAmount,$N574))),IF($O574&lt;&gt;"",IF(INDEX(TxnDepB,$O574)=0,"",INDEX(TxnDepB,$O574)),""))</f>
        <v/>
      </c>
      <c r="J574" s="25">
        <f>IF($N574&lt;&gt;"",IF(INDEX(PCOp,$N574)="مرجوعی خرید",IF(INDEX(PCAmount,$N574)=0,"",-INDEX(PCAmount,$N574)),""),IF($O574&lt;&gt;"",IF(INDEX(TxnWitB,$O574)=0,"",INDEX(TxnWitB,$O574)),""))</f>
        <v/>
      </c>
      <c r="K574" s="27">
        <f>IF($B574="","",IF($K573="",$C$10,$K573)+IF($I574="",0,$I574)-IF($J574="",0,$J574))</f>
        <v/>
      </c>
      <c r="L574" s="28">
        <f>IF($N574&lt;&gt;"",IF(INDEX(PCNotes,$N574)="","—",INDEX(PCNotes,$N574)),IF($O574&lt;&gt;"",IF(INDEX(LdgNoteB,$O574)="","—",INDEX(LdgNoteB,$O574)),""))</f>
        <v/>
      </c>
      <c r="N574">
        <f>IFERROR(MATCH($C$5&amp;"|"&amp;RIGHT("000000"&amp;558,6),LdgRankKeyA,0),"")</f>
        <v/>
      </c>
      <c r="O574">
        <f>IFERROR(MATCH($C$5&amp;"|"&amp;RIGHT("000000"&amp;558,6),LdgRankKeyB,0),"")</f>
        <v/>
      </c>
    </row>
    <row r="575">
      <c r="A575" s="17" t="n">
        <v>559</v>
      </c>
      <c r="B575" s="18">
        <f>IF(AND($N575="",$O575=""),"",IF($N575&lt;&gt;"",INDEX(PCNormDate,$N575),INDEX(LdgDateB,$O575)))</f>
        <v/>
      </c>
      <c r="C575" s="18">
        <f>IF($N575&lt;&gt;"",INDEX(PCOp,$N575),IF($O575&lt;&gt;"",IF(N(INDEX(TxnDepB,$O575))&gt;0,"دریافت بانکی","پرداخت بانکی"),""))</f>
        <v/>
      </c>
      <c r="D575" s="18">
        <f>IF($N575&lt;&gt;"",IF(INDEX(PCDoc,$N575)="","—",INDEX(PCDoc,$N575)),IF($O575&lt;&gt;"",INDEX(LdgBankB,$O575),""))</f>
        <v/>
      </c>
      <c r="E575" s="18">
        <f>IF($N575&lt;&gt;"",IF(INDEX(PCCitrus,$N575)="","—",INDEX(PCCitrus,$N575)),"")</f>
        <v/>
      </c>
      <c r="F575" s="19">
        <f>IF($N575&lt;&gt;"",IF(INDEX(PCScale,$N575)=0,"",INDEX(PCScale,$N575)),"")</f>
        <v/>
      </c>
      <c r="G575" s="19">
        <f>IF($N575&lt;&gt;"",IF(INDEX(PCBaskets,$N575)=0,"",INDEX(PCBaskets,$N575)),"")</f>
        <v/>
      </c>
      <c r="H575" s="20">
        <f>IF($N575&lt;&gt;"",IF(INDEX(PCNet,$N575)=0,"",INDEX(PCNet,$N575)),"")</f>
        <v/>
      </c>
      <c r="I575" s="19">
        <f>IF($N575&lt;&gt;"",IF(INDEX(PCOp,$N575)="مرجوعی خرید","",IF(INDEX(PCAmount,$N575)&lt;=0,"",INDEX(PCAmount,$N575))),IF($O575&lt;&gt;"",IF(INDEX(TxnDepB,$O575)=0,"",INDEX(TxnDepB,$O575)),""))</f>
        <v/>
      </c>
      <c r="J575" s="19">
        <f>IF($N575&lt;&gt;"",IF(INDEX(PCOp,$N575)="مرجوعی خرید",IF(INDEX(PCAmount,$N575)=0,"",-INDEX(PCAmount,$N575)),""),IF($O575&lt;&gt;"",IF(INDEX(TxnWitB,$O575)=0,"",INDEX(TxnWitB,$O575)),""))</f>
        <v/>
      </c>
      <c r="K575" s="21">
        <f>IF($B575="","",IF($K574="",$C$10,$K574)+IF($I575="",0,$I575)-IF($J575="",0,$J575))</f>
        <v/>
      </c>
      <c r="L575" s="22">
        <f>IF($N575&lt;&gt;"",IF(INDEX(PCNotes,$N575)="","—",INDEX(PCNotes,$N575)),IF($O575&lt;&gt;"",IF(INDEX(LdgNoteB,$O575)="","—",INDEX(LdgNoteB,$O575)),""))</f>
        <v/>
      </c>
      <c r="N575">
        <f>IFERROR(MATCH($C$5&amp;"|"&amp;RIGHT("000000"&amp;559,6),LdgRankKeyA,0),"")</f>
        <v/>
      </c>
      <c r="O575">
        <f>IFERROR(MATCH($C$5&amp;"|"&amp;RIGHT("000000"&amp;559,6),LdgRankKeyB,0),"")</f>
        <v/>
      </c>
    </row>
    <row r="576">
      <c r="A576" s="23" t="n">
        <v>560</v>
      </c>
      <c r="B576" s="24">
        <f>IF(AND($N576="",$O576=""),"",IF($N576&lt;&gt;"",INDEX(PCNormDate,$N576),INDEX(LdgDateB,$O576)))</f>
        <v/>
      </c>
      <c r="C576" s="24">
        <f>IF($N576&lt;&gt;"",INDEX(PCOp,$N576),IF($O576&lt;&gt;"",IF(N(INDEX(TxnDepB,$O576))&gt;0,"دریافت بانکی","پرداخت بانکی"),""))</f>
        <v/>
      </c>
      <c r="D576" s="24">
        <f>IF($N576&lt;&gt;"",IF(INDEX(PCDoc,$N576)="","—",INDEX(PCDoc,$N576)),IF($O576&lt;&gt;"",INDEX(LdgBankB,$O576),""))</f>
        <v/>
      </c>
      <c r="E576" s="24">
        <f>IF($N576&lt;&gt;"",IF(INDEX(PCCitrus,$N576)="","—",INDEX(PCCitrus,$N576)),"")</f>
        <v/>
      </c>
      <c r="F576" s="25">
        <f>IF($N576&lt;&gt;"",IF(INDEX(PCScale,$N576)=0,"",INDEX(PCScale,$N576)),"")</f>
        <v/>
      </c>
      <c r="G576" s="25">
        <f>IF($N576&lt;&gt;"",IF(INDEX(PCBaskets,$N576)=0,"",INDEX(PCBaskets,$N576)),"")</f>
        <v/>
      </c>
      <c r="H576" s="26">
        <f>IF($N576&lt;&gt;"",IF(INDEX(PCNet,$N576)=0,"",INDEX(PCNet,$N576)),"")</f>
        <v/>
      </c>
      <c r="I576" s="25">
        <f>IF($N576&lt;&gt;"",IF(INDEX(PCOp,$N576)="مرجوعی خرید","",IF(INDEX(PCAmount,$N576)&lt;=0,"",INDEX(PCAmount,$N576))),IF($O576&lt;&gt;"",IF(INDEX(TxnDepB,$O576)=0,"",INDEX(TxnDepB,$O576)),""))</f>
        <v/>
      </c>
      <c r="J576" s="25">
        <f>IF($N576&lt;&gt;"",IF(INDEX(PCOp,$N576)="مرجوعی خرید",IF(INDEX(PCAmount,$N576)=0,"",-INDEX(PCAmount,$N576)),""),IF($O576&lt;&gt;"",IF(INDEX(TxnWitB,$O576)=0,"",INDEX(TxnWitB,$O576)),""))</f>
        <v/>
      </c>
      <c r="K576" s="27">
        <f>IF($B576="","",IF($K575="",$C$10,$K575)+IF($I576="",0,$I576)-IF($J576="",0,$J576))</f>
        <v/>
      </c>
      <c r="L576" s="28">
        <f>IF($N576&lt;&gt;"",IF(INDEX(PCNotes,$N576)="","—",INDEX(PCNotes,$N576)),IF($O576&lt;&gt;"",IF(INDEX(LdgNoteB,$O576)="","—",INDEX(LdgNoteB,$O576)),""))</f>
        <v/>
      </c>
      <c r="N576">
        <f>IFERROR(MATCH($C$5&amp;"|"&amp;RIGHT("000000"&amp;560,6),LdgRankKeyA,0),"")</f>
        <v/>
      </c>
      <c r="O576">
        <f>IFERROR(MATCH($C$5&amp;"|"&amp;RIGHT("000000"&amp;560,6),LdgRankKeyB,0),"")</f>
        <v/>
      </c>
    </row>
    <row r="577">
      <c r="A577" s="17" t="n">
        <v>561</v>
      </c>
      <c r="B577" s="18">
        <f>IF(AND($N577="",$O577=""),"",IF($N577&lt;&gt;"",INDEX(PCNormDate,$N577),INDEX(LdgDateB,$O577)))</f>
        <v/>
      </c>
      <c r="C577" s="18">
        <f>IF($N577&lt;&gt;"",INDEX(PCOp,$N577),IF($O577&lt;&gt;"",IF(N(INDEX(TxnDepB,$O577))&gt;0,"دریافت بانکی","پرداخت بانکی"),""))</f>
        <v/>
      </c>
      <c r="D577" s="18">
        <f>IF($N577&lt;&gt;"",IF(INDEX(PCDoc,$N577)="","—",INDEX(PCDoc,$N577)),IF($O577&lt;&gt;"",INDEX(LdgBankB,$O577),""))</f>
        <v/>
      </c>
      <c r="E577" s="18">
        <f>IF($N577&lt;&gt;"",IF(INDEX(PCCitrus,$N577)="","—",INDEX(PCCitrus,$N577)),"")</f>
        <v/>
      </c>
      <c r="F577" s="19">
        <f>IF($N577&lt;&gt;"",IF(INDEX(PCScale,$N577)=0,"",INDEX(PCScale,$N577)),"")</f>
        <v/>
      </c>
      <c r="G577" s="19">
        <f>IF($N577&lt;&gt;"",IF(INDEX(PCBaskets,$N577)=0,"",INDEX(PCBaskets,$N577)),"")</f>
        <v/>
      </c>
      <c r="H577" s="20">
        <f>IF($N577&lt;&gt;"",IF(INDEX(PCNet,$N577)=0,"",INDEX(PCNet,$N577)),"")</f>
        <v/>
      </c>
      <c r="I577" s="19">
        <f>IF($N577&lt;&gt;"",IF(INDEX(PCOp,$N577)="مرجوعی خرید","",IF(INDEX(PCAmount,$N577)&lt;=0,"",INDEX(PCAmount,$N577))),IF($O577&lt;&gt;"",IF(INDEX(TxnDepB,$O577)=0,"",INDEX(TxnDepB,$O577)),""))</f>
        <v/>
      </c>
      <c r="J577" s="19">
        <f>IF($N577&lt;&gt;"",IF(INDEX(PCOp,$N577)="مرجوعی خرید",IF(INDEX(PCAmount,$N577)=0,"",-INDEX(PCAmount,$N577)),""),IF($O577&lt;&gt;"",IF(INDEX(TxnWitB,$O577)=0,"",INDEX(TxnWitB,$O577)),""))</f>
        <v/>
      </c>
      <c r="K577" s="21">
        <f>IF($B577="","",IF($K576="",$C$10,$K576)+IF($I577="",0,$I577)-IF($J577="",0,$J577))</f>
        <v/>
      </c>
      <c r="L577" s="22">
        <f>IF($N577&lt;&gt;"",IF(INDEX(PCNotes,$N577)="","—",INDEX(PCNotes,$N577)),IF($O577&lt;&gt;"",IF(INDEX(LdgNoteB,$O577)="","—",INDEX(LdgNoteB,$O577)),""))</f>
        <v/>
      </c>
      <c r="N577">
        <f>IFERROR(MATCH($C$5&amp;"|"&amp;RIGHT("000000"&amp;561,6),LdgRankKeyA,0),"")</f>
        <v/>
      </c>
      <c r="O577">
        <f>IFERROR(MATCH($C$5&amp;"|"&amp;RIGHT("000000"&amp;561,6),LdgRankKeyB,0),"")</f>
        <v/>
      </c>
    </row>
    <row r="578">
      <c r="A578" s="23" t="n">
        <v>562</v>
      </c>
      <c r="B578" s="24">
        <f>IF(AND($N578="",$O578=""),"",IF($N578&lt;&gt;"",INDEX(PCNormDate,$N578),INDEX(LdgDateB,$O578)))</f>
        <v/>
      </c>
      <c r="C578" s="24">
        <f>IF($N578&lt;&gt;"",INDEX(PCOp,$N578),IF($O578&lt;&gt;"",IF(N(INDEX(TxnDepB,$O578))&gt;0,"دریافت بانکی","پرداخت بانکی"),""))</f>
        <v/>
      </c>
      <c r="D578" s="24">
        <f>IF($N578&lt;&gt;"",IF(INDEX(PCDoc,$N578)="","—",INDEX(PCDoc,$N578)),IF($O578&lt;&gt;"",INDEX(LdgBankB,$O578),""))</f>
        <v/>
      </c>
      <c r="E578" s="24">
        <f>IF($N578&lt;&gt;"",IF(INDEX(PCCitrus,$N578)="","—",INDEX(PCCitrus,$N578)),"")</f>
        <v/>
      </c>
      <c r="F578" s="25">
        <f>IF($N578&lt;&gt;"",IF(INDEX(PCScale,$N578)=0,"",INDEX(PCScale,$N578)),"")</f>
        <v/>
      </c>
      <c r="G578" s="25">
        <f>IF($N578&lt;&gt;"",IF(INDEX(PCBaskets,$N578)=0,"",INDEX(PCBaskets,$N578)),"")</f>
        <v/>
      </c>
      <c r="H578" s="26">
        <f>IF($N578&lt;&gt;"",IF(INDEX(PCNet,$N578)=0,"",INDEX(PCNet,$N578)),"")</f>
        <v/>
      </c>
      <c r="I578" s="25">
        <f>IF($N578&lt;&gt;"",IF(INDEX(PCOp,$N578)="مرجوعی خرید","",IF(INDEX(PCAmount,$N578)&lt;=0,"",INDEX(PCAmount,$N578))),IF($O578&lt;&gt;"",IF(INDEX(TxnDepB,$O578)=0,"",INDEX(TxnDepB,$O578)),""))</f>
        <v/>
      </c>
      <c r="J578" s="25">
        <f>IF($N578&lt;&gt;"",IF(INDEX(PCOp,$N578)="مرجوعی خرید",IF(INDEX(PCAmount,$N578)=0,"",-INDEX(PCAmount,$N578)),""),IF($O578&lt;&gt;"",IF(INDEX(TxnWitB,$O578)=0,"",INDEX(TxnWitB,$O578)),""))</f>
        <v/>
      </c>
      <c r="K578" s="27">
        <f>IF($B578="","",IF($K577="",$C$10,$K577)+IF($I578="",0,$I578)-IF($J578="",0,$J578))</f>
        <v/>
      </c>
      <c r="L578" s="28">
        <f>IF($N578&lt;&gt;"",IF(INDEX(PCNotes,$N578)="","—",INDEX(PCNotes,$N578)),IF($O578&lt;&gt;"",IF(INDEX(LdgNoteB,$O578)="","—",INDEX(LdgNoteB,$O578)),""))</f>
        <v/>
      </c>
      <c r="N578">
        <f>IFERROR(MATCH($C$5&amp;"|"&amp;RIGHT("000000"&amp;562,6),LdgRankKeyA,0),"")</f>
        <v/>
      </c>
      <c r="O578">
        <f>IFERROR(MATCH($C$5&amp;"|"&amp;RIGHT("000000"&amp;562,6),LdgRankKeyB,0),"")</f>
        <v/>
      </c>
    </row>
    <row r="579">
      <c r="A579" s="17" t="n">
        <v>563</v>
      </c>
      <c r="B579" s="18">
        <f>IF(AND($N579="",$O579=""),"",IF($N579&lt;&gt;"",INDEX(PCNormDate,$N579),INDEX(LdgDateB,$O579)))</f>
        <v/>
      </c>
      <c r="C579" s="18">
        <f>IF($N579&lt;&gt;"",INDEX(PCOp,$N579),IF($O579&lt;&gt;"",IF(N(INDEX(TxnDepB,$O579))&gt;0,"دریافت بانکی","پرداخت بانکی"),""))</f>
        <v/>
      </c>
      <c r="D579" s="18">
        <f>IF($N579&lt;&gt;"",IF(INDEX(PCDoc,$N579)="","—",INDEX(PCDoc,$N579)),IF($O579&lt;&gt;"",INDEX(LdgBankB,$O579),""))</f>
        <v/>
      </c>
      <c r="E579" s="18">
        <f>IF($N579&lt;&gt;"",IF(INDEX(PCCitrus,$N579)="","—",INDEX(PCCitrus,$N579)),"")</f>
        <v/>
      </c>
      <c r="F579" s="19">
        <f>IF($N579&lt;&gt;"",IF(INDEX(PCScale,$N579)=0,"",INDEX(PCScale,$N579)),"")</f>
        <v/>
      </c>
      <c r="G579" s="19">
        <f>IF($N579&lt;&gt;"",IF(INDEX(PCBaskets,$N579)=0,"",INDEX(PCBaskets,$N579)),"")</f>
        <v/>
      </c>
      <c r="H579" s="20">
        <f>IF($N579&lt;&gt;"",IF(INDEX(PCNet,$N579)=0,"",INDEX(PCNet,$N579)),"")</f>
        <v/>
      </c>
      <c r="I579" s="19">
        <f>IF($N579&lt;&gt;"",IF(INDEX(PCOp,$N579)="مرجوعی خرید","",IF(INDEX(PCAmount,$N579)&lt;=0,"",INDEX(PCAmount,$N579))),IF($O579&lt;&gt;"",IF(INDEX(TxnDepB,$O579)=0,"",INDEX(TxnDepB,$O579)),""))</f>
        <v/>
      </c>
      <c r="J579" s="19">
        <f>IF($N579&lt;&gt;"",IF(INDEX(PCOp,$N579)="مرجوعی خرید",IF(INDEX(PCAmount,$N579)=0,"",-INDEX(PCAmount,$N579)),""),IF($O579&lt;&gt;"",IF(INDEX(TxnWitB,$O579)=0,"",INDEX(TxnWitB,$O579)),""))</f>
        <v/>
      </c>
      <c r="K579" s="21">
        <f>IF($B579="","",IF($K578="",$C$10,$K578)+IF($I579="",0,$I579)-IF($J579="",0,$J579))</f>
        <v/>
      </c>
      <c r="L579" s="22">
        <f>IF($N579&lt;&gt;"",IF(INDEX(PCNotes,$N579)="","—",INDEX(PCNotes,$N579)),IF($O579&lt;&gt;"",IF(INDEX(LdgNoteB,$O579)="","—",INDEX(LdgNoteB,$O579)),""))</f>
        <v/>
      </c>
      <c r="N579">
        <f>IFERROR(MATCH($C$5&amp;"|"&amp;RIGHT("000000"&amp;563,6),LdgRankKeyA,0),"")</f>
        <v/>
      </c>
      <c r="O579">
        <f>IFERROR(MATCH($C$5&amp;"|"&amp;RIGHT("000000"&amp;563,6),LdgRankKeyB,0),"")</f>
        <v/>
      </c>
    </row>
    <row r="580">
      <c r="A580" s="23" t="n">
        <v>564</v>
      </c>
      <c r="B580" s="24">
        <f>IF(AND($N580="",$O580=""),"",IF($N580&lt;&gt;"",INDEX(PCNormDate,$N580),INDEX(LdgDateB,$O580)))</f>
        <v/>
      </c>
      <c r="C580" s="24">
        <f>IF($N580&lt;&gt;"",INDEX(PCOp,$N580),IF($O580&lt;&gt;"",IF(N(INDEX(TxnDepB,$O580))&gt;0,"دریافت بانکی","پرداخت بانکی"),""))</f>
        <v/>
      </c>
      <c r="D580" s="24">
        <f>IF($N580&lt;&gt;"",IF(INDEX(PCDoc,$N580)="","—",INDEX(PCDoc,$N580)),IF($O580&lt;&gt;"",INDEX(LdgBankB,$O580),""))</f>
        <v/>
      </c>
      <c r="E580" s="24">
        <f>IF($N580&lt;&gt;"",IF(INDEX(PCCitrus,$N580)="","—",INDEX(PCCitrus,$N580)),"")</f>
        <v/>
      </c>
      <c r="F580" s="25">
        <f>IF($N580&lt;&gt;"",IF(INDEX(PCScale,$N580)=0,"",INDEX(PCScale,$N580)),"")</f>
        <v/>
      </c>
      <c r="G580" s="25">
        <f>IF($N580&lt;&gt;"",IF(INDEX(PCBaskets,$N580)=0,"",INDEX(PCBaskets,$N580)),"")</f>
        <v/>
      </c>
      <c r="H580" s="26">
        <f>IF($N580&lt;&gt;"",IF(INDEX(PCNet,$N580)=0,"",INDEX(PCNet,$N580)),"")</f>
        <v/>
      </c>
      <c r="I580" s="25">
        <f>IF($N580&lt;&gt;"",IF(INDEX(PCOp,$N580)="مرجوعی خرید","",IF(INDEX(PCAmount,$N580)&lt;=0,"",INDEX(PCAmount,$N580))),IF($O580&lt;&gt;"",IF(INDEX(TxnDepB,$O580)=0,"",INDEX(TxnDepB,$O580)),""))</f>
        <v/>
      </c>
      <c r="J580" s="25">
        <f>IF($N580&lt;&gt;"",IF(INDEX(PCOp,$N580)="مرجوعی خرید",IF(INDEX(PCAmount,$N580)=0,"",-INDEX(PCAmount,$N580)),""),IF($O580&lt;&gt;"",IF(INDEX(TxnWitB,$O580)=0,"",INDEX(TxnWitB,$O580)),""))</f>
        <v/>
      </c>
      <c r="K580" s="27">
        <f>IF($B580="","",IF($K579="",$C$10,$K579)+IF($I580="",0,$I580)-IF($J580="",0,$J580))</f>
        <v/>
      </c>
      <c r="L580" s="28">
        <f>IF($N580&lt;&gt;"",IF(INDEX(PCNotes,$N580)="","—",INDEX(PCNotes,$N580)),IF($O580&lt;&gt;"",IF(INDEX(LdgNoteB,$O580)="","—",INDEX(LdgNoteB,$O580)),""))</f>
        <v/>
      </c>
      <c r="N580">
        <f>IFERROR(MATCH($C$5&amp;"|"&amp;RIGHT("000000"&amp;564,6),LdgRankKeyA,0),"")</f>
        <v/>
      </c>
      <c r="O580">
        <f>IFERROR(MATCH($C$5&amp;"|"&amp;RIGHT("000000"&amp;564,6),LdgRankKeyB,0),"")</f>
        <v/>
      </c>
    </row>
    <row r="581">
      <c r="A581" s="17" t="n">
        <v>565</v>
      </c>
      <c r="B581" s="18">
        <f>IF(AND($N581="",$O581=""),"",IF($N581&lt;&gt;"",INDEX(PCNormDate,$N581),INDEX(LdgDateB,$O581)))</f>
        <v/>
      </c>
      <c r="C581" s="18">
        <f>IF($N581&lt;&gt;"",INDEX(PCOp,$N581),IF($O581&lt;&gt;"",IF(N(INDEX(TxnDepB,$O581))&gt;0,"دریافت بانکی","پرداخت بانکی"),""))</f>
        <v/>
      </c>
      <c r="D581" s="18">
        <f>IF($N581&lt;&gt;"",IF(INDEX(PCDoc,$N581)="","—",INDEX(PCDoc,$N581)),IF($O581&lt;&gt;"",INDEX(LdgBankB,$O581),""))</f>
        <v/>
      </c>
      <c r="E581" s="18">
        <f>IF($N581&lt;&gt;"",IF(INDEX(PCCitrus,$N581)="","—",INDEX(PCCitrus,$N581)),"")</f>
        <v/>
      </c>
      <c r="F581" s="19">
        <f>IF($N581&lt;&gt;"",IF(INDEX(PCScale,$N581)=0,"",INDEX(PCScale,$N581)),"")</f>
        <v/>
      </c>
      <c r="G581" s="19">
        <f>IF($N581&lt;&gt;"",IF(INDEX(PCBaskets,$N581)=0,"",INDEX(PCBaskets,$N581)),"")</f>
        <v/>
      </c>
      <c r="H581" s="20">
        <f>IF($N581&lt;&gt;"",IF(INDEX(PCNet,$N581)=0,"",INDEX(PCNet,$N581)),"")</f>
        <v/>
      </c>
      <c r="I581" s="19">
        <f>IF($N581&lt;&gt;"",IF(INDEX(PCOp,$N581)="مرجوعی خرید","",IF(INDEX(PCAmount,$N581)&lt;=0,"",INDEX(PCAmount,$N581))),IF($O581&lt;&gt;"",IF(INDEX(TxnDepB,$O581)=0,"",INDEX(TxnDepB,$O581)),""))</f>
        <v/>
      </c>
      <c r="J581" s="19">
        <f>IF($N581&lt;&gt;"",IF(INDEX(PCOp,$N581)="مرجوعی خرید",IF(INDEX(PCAmount,$N581)=0,"",-INDEX(PCAmount,$N581)),""),IF($O581&lt;&gt;"",IF(INDEX(TxnWitB,$O581)=0,"",INDEX(TxnWitB,$O581)),""))</f>
        <v/>
      </c>
      <c r="K581" s="21">
        <f>IF($B581="","",IF($K580="",$C$10,$K580)+IF($I581="",0,$I581)-IF($J581="",0,$J581))</f>
        <v/>
      </c>
      <c r="L581" s="22">
        <f>IF($N581&lt;&gt;"",IF(INDEX(PCNotes,$N581)="","—",INDEX(PCNotes,$N581)),IF($O581&lt;&gt;"",IF(INDEX(LdgNoteB,$O581)="","—",INDEX(LdgNoteB,$O581)),""))</f>
        <v/>
      </c>
      <c r="N581">
        <f>IFERROR(MATCH($C$5&amp;"|"&amp;RIGHT("000000"&amp;565,6),LdgRankKeyA,0),"")</f>
        <v/>
      </c>
      <c r="O581">
        <f>IFERROR(MATCH($C$5&amp;"|"&amp;RIGHT("000000"&amp;565,6),LdgRankKeyB,0),"")</f>
        <v/>
      </c>
    </row>
    <row r="582">
      <c r="A582" s="23" t="n">
        <v>566</v>
      </c>
      <c r="B582" s="24">
        <f>IF(AND($N582="",$O582=""),"",IF($N582&lt;&gt;"",INDEX(PCNormDate,$N582),INDEX(LdgDateB,$O582)))</f>
        <v/>
      </c>
      <c r="C582" s="24">
        <f>IF($N582&lt;&gt;"",INDEX(PCOp,$N582),IF($O582&lt;&gt;"",IF(N(INDEX(TxnDepB,$O582))&gt;0,"دریافت بانکی","پرداخت بانکی"),""))</f>
        <v/>
      </c>
      <c r="D582" s="24">
        <f>IF($N582&lt;&gt;"",IF(INDEX(PCDoc,$N582)="","—",INDEX(PCDoc,$N582)),IF($O582&lt;&gt;"",INDEX(LdgBankB,$O582),""))</f>
        <v/>
      </c>
      <c r="E582" s="24">
        <f>IF($N582&lt;&gt;"",IF(INDEX(PCCitrus,$N582)="","—",INDEX(PCCitrus,$N582)),"")</f>
        <v/>
      </c>
      <c r="F582" s="25">
        <f>IF($N582&lt;&gt;"",IF(INDEX(PCScale,$N582)=0,"",INDEX(PCScale,$N582)),"")</f>
        <v/>
      </c>
      <c r="G582" s="25">
        <f>IF($N582&lt;&gt;"",IF(INDEX(PCBaskets,$N582)=0,"",INDEX(PCBaskets,$N582)),"")</f>
        <v/>
      </c>
      <c r="H582" s="26">
        <f>IF($N582&lt;&gt;"",IF(INDEX(PCNet,$N582)=0,"",INDEX(PCNet,$N582)),"")</f>
        <v/>
      </c>
      <c r="I582" s="25">
        <f>IF($N582&lt;&gt;"",IF(INDEX(PCOp,$N582)="مرجوعی خرید","",IF(INDEX(PCAmount,$N582)&lt;=0,"",INDEX(PCAmount,$N582))),IF($O582&lt;&gt;"",IF(INDEX(TxnDepB,$O582)=0,"",INDEX(TxnDepB,$O582)),""))</f>
        <v/>
      </c>
      <c r="J582" s="25">
        <f>IF($N582&lt;&gt;"",IF(INDEX(PCOp,$N582)="مرجوعی خرید",IF(INDEX(PCAmount,$N582)=0,"",-INDEX(PCAmount,$N582)),""),IF($O582&lt;&gt;"",IF(INDEX(TxnWitB,$O582)=0,"",INDEX(TxnWitB,$O582)),""))</f>
        <v/>
      </c>
      <c r="K582" s="27">
        <f>IF($B582="","",IF($K581="",$C$10,$K581)+IF($I582="",0,$I582)-IF($J582="",0,$J582))</f>
        <v/>
      </c>
      <c r="L582" s="28">
        <f>IF($N582&lt;&gt;"",IF(INDEX(PCNotes,$N582)="","—",INDEX(PCNotes,$N582)),IF($O582&lt;&gt;"",IF(INDEX(LdgNoteB,$O582)="","—",INDEX(LdgNoteB,$O582)),""))</f>
        <v/>
      </c>
      <c r="N582">
        <f>IFERROR(MATCH($C$5&amp;"|"&amp;RIGHT("000000"&amp;566,6),LdgRankKeyA,0),"")</f>
        <v/>
      </c>
      <c r="O582">
        <f>IFERROR(MATCH($C$5&amp;"|"&amp;RIGHT("000000"&amp;566,6),LdgRankKeyB,0),"")</f>
        <v/>
      </c>
    </row>
    <row r="583">
      <c r="A583" s="17" t="n">
        <v>567</v>
      </c>
      <c r="B583" s="18">
        <f>IF(AND($N583="",$O583=""),"",IF($N583&lt;&gt;"",INDEX(PCNormDate,$N583),INDEX(LdgDateB,$O583)))</f>
        <v/>
      </c>
      <c r="C583" s="18">
        <f>IF($N583&lt;&gt;"",INDEX(PCOp,$N583),IF($O583&lt;&gt;"",IF(N(INDEX(TxnDepB,$O583))&gt;0,"دریافت بانکی","پرداخت بانکی"),""))</f>
        <v/>
      </c>
      <c r="D583" s="18">
        <f>IF($N583&lt;&gt;"",IF(INDEX(PCDoc,$N583)="","—",INDEX(PCDoc,$N583)),IF($O583&lt;&gt;"",INDEX(LdgBankB,$O583),""))</f>
        <v/>
      </c>
      <c r="E583" s="18">
        <f>IF($N583&lt;&gt;"",IF(INDEX(PCCitrus,$N583)="","—",INDEX(PCCitrus,$N583)),"")</f>
        <v/>
      </c>
      <c r="F583" s="19">
        <f>IF($N583&lt;&gt;"",IF(INDEX(PCScale,$N583)=0,"",INDEX(PCScale,$N583)),"")</f>
        <v/>
      </c>
      <c r="G583" s="19">
        <f>IF($N583&lt;&gt;"",IF(INDEX(PCBaskets,$N583)=0,"",INDEX(PCBaskets,$N583)),"")</f>
        <v/>
      </c>
      <c r="H583" s="20">
        <f>IF($N583&lt;&gt;"",IF(INDEX(PCNet,$N583)=0,"",INDEX(PCNet,$N583)),"")</f>
        <v/>
      </c>
      <c r="I583" s="19">
        <f>IF($N583&lt;&gt;"",IF(INDEX(PCOp,$N583)="مرجوعی خرید","",IF(INDEX(PCAmount,$N583)&lt;=0,"",INDEX(PCAmount,$N583))),IF($O583&lt;&gt;"",IF(INDEX(TxnDepB,$O583)=0,"",INDEX(TxnDepB,$O583)),""))</f>
        <v/>
      </c>
      <c r="J583" s="19">
        <f>IF($N583&lt;&gt;"",IF(INDEX(PCOp,$N583)="مرجوعی خرید",IF(INDEX(PCAmount,$N583)=0,"",-INDEX(PCAmount,$N583)),""),IF($O583&lt;&gt;"",IF(INDEX(TxnWitB,$O583)=0,"",INDEX(TxnWitB,$O583)),""))</f>
        <v/>
      </c>
      <c r="K583" s="21">
        <f>IF($B583="","",IF($K582="",$C$10,$K582)+IF($I583="",0,$I583)-IF($J583="",0,$J583))</f>
        <v/>
      </c>
      <c r="L583" s="22">
        <f>IF($N583&lt;&gt;"",IF(INDEX(PCNotes,$N583)="","—",INDEX(PCNotes,$N583)),IF($O583&lt;&gt;"",IF(INDEX(LdgNoteB,$O583)="","—",INDEX(LdgNoteB,$O583)),""))</f>
        <v/>
      </c>
      <c r="N583">
        <f>IFERROR(MATCH($C$5&amp;"|"&amp;RIGHT("000000"&amp;567,6),LdgRankKeyA,0),"")</f>
        <v/>
      </c>
      <c r="O583">
        <f>IFERROR(MATCH($C$5&amp;"|"&amp;RIGHT("000000"&amp;567,6),LdgRankKeyB,0),"")</f>
        <v/>
      </c>
    </row>
    <row r="584">
      <c r="A584" s="23" t="n">
        <v>568</v>
      </c>
      <c r="B584" s="24">
        <f>IF(AND($N584="",$O584=""),"",IF($N584&lt;&gt;"",INDEX(PCNormDate,$N584),INDEX(LdgDateB,$O584)))</f>
        <v/>
      </c>
      <c r="C584" s="24">
        <f>IF($N584&lt;&gt;"",INDEX(PCOp,$N584),IF($O584&lt;&gt;"",IF(N(INDEX(TxnDepB,$O584))&gt;0,"دریافت بانکی","پرداخت بانکی"),""))</f>
        <v/>
      </c>
      <c r="D584" s="24">
        <f>IF($N584&lt;&gt;"",IF(INDEX(PCDoc,$N584)="","—",INDEX(PCDoc,$N584)),IF($O584&lt;&gt;"",INDEX(LdgBankB,$O584),""))</f>
        <v/>
      </c>
      <c r="E584" s="24">
        <f>IF($N584&lt;&gt;"",IF(INDEX(PCCitrus,$N584)="","—",INDEX(PCCitrus,$N584)),"")</f>
        <v/>
      </c>
      <c r="F584" s="25">
        <f>IF($N584&lt;&gt;"",IF(INDEX(PCScale,$N584)=0,"",INDEX(PCScale,$N584)),"")</f>
        <v/>
      </c>
      <c r="G584" s="25">
        <f>IF($N584&lt;&gt;"",IF(INDEX(PCBaskets,$N584)=0,"",INDEX(PCBaskets,$N584)),"")</f>
        <v/>
      </c>
      <c r="H584" s="26">
        <f>IF($N584&lt;&gt;"",IF(INDEX(PCNet,$N584)=0,"",INDEX(PCNet,$N584)),"")</f>
        <v/>
      </c>
      <c r="I584" s="25">
        <f>IF($N584&lt;&gt;"",IF(INDEX(PCOp,$N584)="مرجوعی خرید","",IF(INDEX(PCAmount,$N584)&lt;=0,"",INDEX(PCAmount,$N584))),IF($O584&lt;&gt;"",IF(INDEX(TxnDepB,$O584)=0,"",INDEX(TxnDepB,$O584)),""))</f>
        <v/>
      </c>
      <c r="J584" s="25">
        <f>IF($N584&lt;&gt;"",IF(INDEX(PCOp,$N584)="مرجوعی خرید",IF(INDEX(PCAmount,$N584)=0,"",-INDEX(PCAmount,$N584)),""),IF($O584&lt;&gt;"",IF(INDEX(TxnWitB,$O584)=0,"",INDEX(TxnWitB,$O584)),""))</f>
        <v/>
      </c>
      <c r="K584" s="27">
        <f>IF($B584="","",IF($K583="",$C$10,$K583)+IF($I584="",0,$I584)-IF($J584="",0,$J584))</f>
        <v/>
      </c>
      <c r="L584" s="28">
        <f>IF($N584&lt;&gt;"",IF(INDEX(PCNotes,$N584)="","—",INDEX(PCNotes,$N584)),IF($O584&lt;&gt;"",IF(INDEX(LdgNoteB,$O584)="","—",INDEX(LdgNoteB,$O584)),""))</f>
        <v/>
      </c>
      <c r="N584">
        <f>IFERROR(MATCH($C$5&amp;"|"&amp;RIGHT("000000"&amp;568,6),LdgRankKeyA,0),"")</f>
        <v/>
      </c>
      <c r="O584">
        <f>IFERROR(MATCH($C$5&amp;"|"&amp;RIGHT("000000"&amp;568,6),LdgRankKeyB,0),"")</f>
        <v/>
      </c>
    </row>
    <row r="585">
      <c r="A585" s="17" t="n">
        <v>569</v>
      </c>
      <c r="B585" s="18">
        <f>IF(AND($N585="",$O585=""),"",IF($N585&lt;&gt;"",INDEX(PCNormDate,$N585),INDEX(LdgDateB,$O585)))</f>
        <v/>
      </c>
      <c r="C585" s="18">
        <f>IF($N585&lt;&gt;"",INDEX(PCOp,$N585),IF($O585&lt;&gt;"",IF(N(INDEX(TxnDepB,$O585))&gt;0,"دریافت بانکی","پرداخت بانکی"),""))</f>
        <v/>
      </c>
      <c r="D585" s="18">
        <f>IF($N585&lt;&gt;"",IF(INDEX(PCDoc,$N585)="","—",INDEX(PCDoc,$N585)),IF($O585&lt;&gt;"",INDEX(LdgBankB,$O585),""))</f>
        <v/>
      </c>
      <c r="E585" s="18">
        <f>IF($N585&lt;&gt;"",IF(INDEX(PCCitrus,$N585)="","—",INDEX(PCCitrus,$N585)),"")</f>
        <v/>
      </c>
      <c r="F585" s="19">
        <f>IF($N585&lt;&gt;"",IF(INDEX(PCScale,$N585)=0,"",INDEX(PCScale,$N585)),"")</f>
        <v/>
      </c>
      <c r="G585" s="19">
        <f>IF($N585&lt;&gt;"",IF(INDEX(PCBaskets,$N585)=0,"",INDEX(PCBaskets,$N585)),"")</f>
        <v/>
      </c>
      <c r="H585" s="20">
        <f>IF($N585&lt;&gt;"",IF(INDEX(PCNet,$N585)=0,"",INDEX(PCNet,$N585)),"")</f>
        <v/>
      </c>
      <c r="I585" s="19">
        <f>IF($N585&lt;&gt;"",IF(INDEX(PCOp,$N585)="مرجوعی خرید","",IF(INDEX(PCAmount,$N585)&lt;=0,"",INDEX(PCAmount,$N585))),IF($O585&lt;&gt;"",IF(INDEX(TxnDepB,$O585)=0,"",INDEX(TxnDepB,$O585)),""))</f>
        <v/>
      </c>
      <c r="J585" s="19">
        <f>IF($N585&lt;&gt;"",IF(INDEX(PCOp,$N585)="مرجوعی خرید",IF(INDEX(PCAmount,$N585)=0,"",-INDEX(PCAmount,$N585)),""),IF($O585&lt;&gt;"",IF(INDEX(TxnWitB,$O585)=0,"",INDEX(TxnWitB,$O585)),""))</f>
        <v/>
      </c>
      <c r="K585" s="21">
        <f>IF($B585="","",IF($K584="",$C$10,$K584)+IF($I585="",0,$I585)-IF($J585="",0,$J585))</f>
        <v/>
      </c>
      <c r="L585" s="22">
        <f>IF($N585&lt;&gt;"",IF(INDEX(PCNotes,$N585)="","—",INDEX(PCNotes,$N585)),IF($O585&lt;&gt;"",IF(INDEX(LdgNoteB,$O585)="","—",INDEX(LdgNoteB,$O585)),""))</f>
        <v/>
      </c>
      <c r="N585">
        <f>IFERROR(MATCH($C$5&amp;"|"&amp;RIGHT("000000"&amp;569,6),LdgRankKeyA,0),"")</f>
        <v/>
      </c>
      <c r="O585">
        <f>IFERROR(MATCH($C$5&amp;"|"&amp;RIGHT("000000"&amp;569,6),LdgRankKeyB,0),"")</f>
        <v/>
      </c>
    </row>
    <row r="586">
      <c r="A586" s="23" t="n">
        <v>570</v>
      </c>
      <c r="B586" s="24">
        <f>IF(AND($N586="",$O586=""),"",IF($N586&lt;&gt;"",INDEX(PCNormDate,$N586),INDEX(LdgDateB,$O586)))</f>
        <v/>
      </c>
      <c r="C586" s="24">
        <f>IF($N586&lt;&gt;"",INDEX(PCOp,$N586),IF($O586&lt;&gt;"",IF(N(INDEX(TxnDepB,$O586))&gt;0,"دریافت بانکی","پرداخت بانکی"),""))</f>
        <v/>
      </c>
      <c r="D586" s="24">
        <f>IF($N586&lt;&gt;"",IF(INDEX(PCDoc,$N586)="","—",INDEX(PCDoc,$N586)),IF($O586&lt;&gt;"",INDEX(LdgBankB,$O586),""))</f>
        <v/>
      </c>
      <c r="E586" s="24">
        <f>IF($N586&lt;&gt;"",IF(INDEX(PCCitrus,$N586)="","—",INDEX(PCCitrus,$N586)),"")</f>
        <v/>
      </c>
      <c r="F586" s="25">
        <f>IF($N586&lt;&gt;"",IF(INDEX(PCScale,$N586)=0,"",INDEX(PCScale,$N586)),"")</f>
        <v/>
      </c>
      <c r="G586" s="25">
        <f>IF($N586&lt;&gt;"",IF(INDEX(PCBaskets,$N586)=0,"",INDEX(PCBaskets,$N586)),"")</f>
        <v/>
      </c>
      <c r="H586" s="26">
        <f>IF($N586&lt;&gt;"",IF(INDEX(PCNet,$N586)=0,"",INDEX(PCNet,$N586)),"")</f>
        <v/>
      </c>
      <c r="I586" s="25">
        <f>IF($N586&lt;&gt;"",IF(INDEX(PCOp,$N586)="مرجوعی خرید","",IF(INDEX(PCAmount,$N586)&lt;=0,"",INDEX(PCAmount,$N586))),IF($O586&lt;&gt;"",IF(INDEX(TxnDepB,$O586)=0,"",INDEX(TxnDepB,$O586)),""))</f>
        <v/>
      </c>
      <c r="J586" s="25">
        <f>IF($N586&lt;&gt;"",IF(INDEX(PCOp,$N586)="مرجوعی خرید",IF(INDEX(PCAmount,$N586)=0,"",-INDEX(PCAmount,$N586)),""),IF($O586&lt;&gt;"",IF(INDEX(TxnWitB,$O586)=0,"",INDEX(TxnWitB,$O586)),""))</f>
        <v/>
      </c>
      <c r="K586" s="27">
        <f>IF($B586="","",IF($K585="",$C$10,$K585)+IF($I586="",0,$I586)-IF($J586="",0,$J586))</f>
        <v/>
      </c>
      <c r="L586" s="28">
        <f>IF($N586&lt;&gt;"",IF(INDEX(PCNotes,$N586)="","—",INDEX(PCNotes,$N586)),IF($O586&lt;&gt;"",IF(INDEX(LdgNoteB,$O586)="","—",INDEX(LdgNoteB,$O586)),""))</f>
        <v/>
      </c>
      <c r="N586">
        <f>IFERROR(MATCH($C$5&amp;"|"&amp;RIGHT("000000"&amp;570,6),LdgRankKeyA,0),"")</f>
        <v/>
      </c>
      <c r="O586">
        <f>IFERROR(MATCH($C$5&amp;"|"&amp;RIGHT("000000"&amp;570,6),LdgRankKeyB,0),"")</f>
        <v/>
      </c>
    </row>
    <row r="587">
      <c r="A587" s="17" t="n">
        <v>571</v>
      </c>
      <c r="B587" s="18">
        <f>IF(AND($N587="",$O587=""),"",IF($N587&lt;&gt;"",INDEX(PCNormDate,$N587),INDEX(LdgDateB,$O587)))</f>
        <v/>
      </c>
      <c r="C587" s="18">
        <f>IF($N587&lt;&gt;"",INDEX(PCOp,$N587),IF($O587&lt;&gt;"",IF(N(INDEX(TxnDepB,$O587))&gt;0,"دریافت بانکی","پرداخت بانکی"),""))</f>
        <v/>
      </c>
      <c r="D587" s="18">
        <f>IF($N587&lt;&gt;"",IF(INDEX(PCDoc,$N587)="","—",INDEX(PCDoc,$N587)),IF($O587&lt;&gt;"",INDEX(LdgBankB,$O587),""))</f>
        <v/>
      </c>
      <c r="E587" s="18">
        <f>IF($N587&lt;&gt;"",IF(INDEX(PCCitrus,$N587)="","—",INDEX(PCCitrus,$N587)),"")</f>
        <v/>
      </c>
      <c r="F587" s="19">
        <f>IF($N587&lt;&gt;"",IF(INDEX(PCScale,$N587)=0,"",INDEX(PCScale,$N587)),"")</f>
        <v/>
      </c>
      <c r="G587" s="19">
        <f>IF($N587&lt;&gt;"",IF(INDEX(PCBaskets,$N587)=0,"",INDEX(PCBaskets,$N587)),"")</f>
        <v/>
      </c>
      <c r="H587" s="20">
        <f>IF($N587&lt;&gt;"",IF(INDEX(PCNet,$N587)=0,"",INDEX(PCNet,$N587)),"")</f>
        <v/>
      </c>
      <c r="I587" s="19">
        <f>IF($N587&lt;&gt;"",IF(INDEX(PCOp,$N587)="مرجوعی خرید","",IF(INDEX(PCAmount,$N587)&lt;=0,"",INDEX(PCAmount,$N587))),IF($O587&lt;&gt;"",IF(INDEX(TxnDepB,$O587)=0,"",INDEX(TxnDepB,$O587)),""))</f>
        <v/>
      </c>
      <c r="J587" s="19">
        <f>IF($N587&lt;&gt;"",IF(INDEX(PCOp,$N587)="مرجوعی خرید",IF(INDEX(PCAmount,$N587)=0,"",-INDEX(PCAmount,$N587)),""),IF($O587&lt;&gt;"",IF(INDEX(TxnWitB,$O587)=0,"",INDEX(TxnWitB,$O587)),""))</f>
        <v/>
      </c>
      <c r="K587" s="21">
        <f>IF($B587="","",IF($K586="",$C$10,$K586)+IF($I587="",0,$I587)-IF($J587="",0,$J587))</f>
        <v/>
      </c>
      <c r="L587" s="22">
        <f>IF($N587&lt;&gt;"",IF(INDEX(PCNotes,$N587)="","—",INDEX(PCNotes,$N587)),IF($O587&lt;&gt;"",IF(INDEX(LdgNoteB,$O587)="","—",INDEX(LdgNoteB,$O587)),""))</f>
        <v/>
      </c>
      <c r="N587">
        <f>IFERROR(MATCH($C$5&amp;"|"&amp;RIGHT("000000"&amp;571,6),LdgRankKeyA,0),"")</f>
        <v/>
      </c>
      <c r="O587">
        <f>IFERROR(MATCH($C$5&amp;"|"&amp;RIGHT("000000"&amp;571,6),LdgRankKeyB,0),"")</f>
        <v/>
      </c>
    </row>
    <row r="588">
      <c r="A588" s="23" t="n">
        <v>572</v>
      </c>
      <c r="B588" s="24">
        <f>IF(AND($N588="",$O588=""),"",IF($N588&lt;&gt;"",INDEX(PCNormDate,$N588),INDEX(LdgDateB,$O588)))</f>
        <v/>
      </c>
      <c r="C588" s="24">
        <f>IF($N588&lt;&gt;"",INDEX(PCOp,$N588),IF($O588&lt;&gt;"",IF(N(INDEX(TxnDepB,$O588))&gt;0,"دریافت بانکی","پرداخت بانکی"),""))</f>
        <v/>
      </c>
      <c r="D588" s="24">
        <f>IF($N588&lt;&gt;"",IF(INDEX(PCDoc,$N588)="","—",INDEX(PCDoc,$N588)),IF($O588&lt;&gt;"",INDEX(LdgBankB,$O588),""))</f>
        <v/>
      </c>
      <c r="E588" s="24">
        <f>IF($N588&lt;&gt;"",IF(INDEX(PCCitrus,$N588)="","—",INDEX(PCCitrus,$N588)),"")</f>
        <v/>
      </c>
      <c r="F588" s="25">
        <f>IF($N588&lt;&gt;"",IF(INDEX(PCScale,$N588)=0,"",INDEX(PCScale,$N588)),"")</f>
        <v/>
      </c>
      <c r="G588" s="25">
        <f>IF($N588&lt;&gt;"",IF(INDEX(PCBaskets,$N588)=0,"",INDEX(PCBaskets,$N588)),"")</f>
        <v/>
      </c>
      <c r="H588" s="26">
        <f>IF($N588&lt;&gt;"",IF(INDEX(PCNet,$N588)=0,"",INDEX(PCNet,$N588)),"")</f>
        <v/>
      </c>
      <c r="I588" s="25">
        <f>IF($N588&lt;&gt;"",IF(INDEX(PCOp,$N588)="مرجوعی خرید","",IF(INDEX(PCAmount,$N588)&lt;=0,"",INDEX(PCAmount,$N588))),IF($O588&lt;&gt;"",IF(INDEX(TxnDepB,$O588)=0,"",INDEX(TxnDepB,$O588)),""))</f>
        <v/>
      </c>
      <c r="J588" s="25">
        <f>IF($N588&lt;&gt;"",IF(INDEX(PCOp,$N588)="مرجوعی خرید",IF(INDEX(PCAmount,$N588)=0,"",-INDEX(PCAmount,$N588)),""),IF($O588&lt;&gt;"",IF(INDEX(TxnWitB,$O588)=0,"",INDEX(TxnWitB,$O588)),""))</f>
        <v/>
      </c>
      <c r="K588" s="27">
        <f>IF($B588="","",IF($K587="",$C$10,$K587)+IF($I588="",0,$I588)-IF($J588="",0,$J588))</f>
        <v/>
      </c>
      <c r="L588" s="28">
        <f>IF($N588&lt;&gt;"",IF(INDEX(PCNotes,$N588)="","—",INDEX(PCNotes,$N588)),IF($O588&lt;&gt;"",IF(INDEX(LdgNoteB,$O588)="","—",INDEX(LdgNoteB,$O588)),""))</f>
        <v/>
      </c>
      <c r="N588">
        <f>IFERROR(MATCH($C$5&amp;"|"&amp;RIGHT("000000"&amp;572,6),LdgRankKeyA,0),"")</f>
        <v/>
      </c>
      <c r="O588">
        <f>IFERROR(MATCH($C$5&amp;"|"&amp;RIGHT("000000"&amp;572,6),LdgRankKeyB,0),"")</f>
        <v/>
      </c>
    </row>
    <row r="589">
      <c r="A589" s="17" t="n">
        <v>573</v>
      </c>
      <c r="B589" s="18">
        <f>IF(AND($N589="",$O589=""),"",IF($N589&lt;&gt;"",INDEX(PCNormDate,$N589),INDEX(LdgDateB,$O589)))</f>
        <v/>
      </c>
      <c r="C589" s="18">
        <f>IF($N589&lt;&gt;"",INDEX(PCOp,$N589),IF($O589&lt;&gt;"",IF(N(INDEX(TxnDepB,$O589))&gt;0,"دریافت بانکی","پرداخت بانکی"),""))</f>
        <v/>
      </c>
      <c r="D589" s="18">
        <f>IF($N589&lt;&gt;"",IF(INDEX(PCDoc,$N589)="","—",INDEX(PCDoc,$N589)),IF($O589&lt;&gt;"",INDEX(LdgBankB,$O589),""))</f>
        <v/>
      </c>
      <c r="E589" s="18">
        <f>IF($N589&lt;&gt;"",IF(INDEX(PCCitrus,$N589)="","—",INDEX(PCCitrus,$N589)),"")</f>
        <v/>
      </c>
      <c r="F589" s="19">
        <f>IF($N589&lt;&gt;"",IF(INDEX(PCScale,$N589)=0,"",INDEX(PCScale,$N589)),"")</f>
        <v/>
      </c>
      <c r="G589" s="19">
        <f>IF($N589&lt;&gt;"",IF(INDEX(PCBaskets,$N589)=0,"",INDEX(PCBaskets,$N589)),"")</f>
        <v/>
      </c>
      <c r="H589" s="20">
        <f>IF($N589&lt;&gt;"",IF(INDEX(PCNet,$N589)=0,"",INDEX(PCNet,$N589)),"")</f>
        <v/>
      </c>
      <c r="I589" s="19">
        <f>IF($N589&lt;&gt;"",IF(INDEX(PCOp,$N589)="مرجوعی خرید","",IF(INDEX(PCAmount,$N589)&lt;=0,"",INDEX(PCAmount,$N589))),IF($O589&lt;&gt;"",IF(INDEX(TxnDepB,$O589)=0,"",INDEX(TxnDepB,$O589)),""))</f>
        <v/>
      </c>
      <c r="J589" s="19">
        <f>IF($N589&lt;&gt;"",IF(INDEX(PCOp,$N589)="مرجوعی خرید",IF(INDEX(PCAmount,$N589)=0,"",-INDEX(PCAmount,$N589)),""),IF($O589&lt;&gt;"",IF(INDEX(TxnWitB,$O589)=0,"",INDEX(TxnWitB,$O589)),""))</f>
        <v/>
      </c>
      <c r="K589" s="21">
        <f>IF($B589="","",IF($K588="",$C$10,$K588)+IF($I589="",0,$I589)-IF($J589="",0,$J589))</f>
        <v/>
      </c>
      <c r="L589" s="22">
        <f>IF($N589&lt;&gt;"",IF(INDEX(PCNotes,$N589)="","—",INDEX(PCNotes,$N589)),IF($O589&lt;&gt;"",IF(INDEX(LdgNoteB,$O589)="","—",INDEX(LdgNoteB,$O589)),""))</f>
        <v/>
      </c>
      <c r="N589">
        <f>IFERROR(MATCH($C$5&amp;"|"&amp;RIGHT("000000"&amp;573,6),LdgRankKeyA,0),"")</f>
        <v/>
      </c>
      <c r="O589">
        <f>IFERROR(MATCH($C$5&amp;"|"&amp;RIGHT("000000"&amp;573,6),LdgRankKeyB,0),"")</f>
        <v/>
      </c>
    </row>
    <row r="590">
      <c r="A590" s="23" t="n">
        <v>574</v>
      </c>
      <c r="B590" s="24">
        <f>IF(AND($N590="",$O590=""),"",IF($N590&lt;&gt;"",INDEX(PCNormDate,$N590),INDEX(LdgDateB,$O590)))</f>
        <v/>
      </c>
      <c r="C590" s="24">
        <f>IF($N590&lt;&gt;"",INDEX(PCOp,$N590),IF($O590&lt;&gt;"",IF(N(INDEX(TxnDepB,$O590))&gt;0,"دریافت بانکی","پرداخت بانکی"),""))</f>
        <v/>
      </c>
      <c r="D590" s="24">
        <f>IF($N590&lt;&gt;"",IF(INDEX(PCDoc,$N590)="","—",INDEX(PCDoc,$N590)),IF($O590&lt;&gt;"",INDEX(LdgBankB,$O590),""))</f>
        <v/>
      </c>
      <c r="E590" s="24">
        <f>IF($N590&lt;&gt;"",IF(INDEX(PCCitrus,$N590)="","—",INDEX(PCCitrus,$N590)),"")</f>
        <v/>
      </c>
      <c r="F590" s="25">
        <f>IF($N590&lt;&gt;"",IF(INDEX(PCScale,$N590)=0,"",INDEX(PCScale,$N590)),"")</f>
        <v/>
      </c>
      <c r="G590" s="25">
        <f>IF($N590&lt;&gt;"",IF(INDEX(PCBaskets,$N590)=0,"",INDEX(PCBaskets,$N590)),"")</f>
        <v/>
      </c>
      <c r="H590" s="26">
        <f>IF($N590&lt;&gt;"",IF(INDEX(PCNet,$N590)=0,"",INDEX(PCNet,$N590)),"")</f>
        <v/>
      </c>
      <c r="I590" s="25">
        <f>IF($N590&lt;&gt;"",IF(INDEX(PCOp,$N590)="مرجوعی خرید","",IF(INDEX(PCAmount,$N590)&lt;=0,"",INDEX(PCAmount,$N590))),IF($O590&lt;&gt;"",IF(INDEX(TxnDepB,$O590)=0,"",INDEX(TxnDepB,$O590)),""))</f>
        <v/>
      </c>
      <c r="J590" s="25">
        <f>IF($N590&lt;&gt;"",IF(INDEX(PCOp,$N590)="مرجوعی خرید",IF(INDEX(PCAmount,$N590)=0,"",-INDEX(PCAmount,$N590)),""),IF($O590&lt;&gt;"",IF(INDEX(TxnWitB,$O590)=0,"",INDEX(TxnWitB,$O590)),""))</f>
        <v/>
      </c>
      <c r="K590" s="27">
        <f>IF($B590="","",IF($K589="",$C$10,$K589)+IF($I590="",0,$I590)-IF($J590="",0,$J590))</f>
        <v/>
      </c>
      <c r="L590" s="28">
        <f>IF($N590&lt;&gt;"",IF(INDEX(PCNotes,$N590)="","—",INDEX(PCNotes,$N590)),IF($O590&lt;&gt;"",IF(INDEX(LdgNoteB,$O590)="","—",INDEX(LdgNoteB,$O590)),""))</f>
        <v/>
      </c>
      <c r="N590">
        <f>IFERROR(MATCH($C$5&amp;"|"&amp;RIGHT("000000"&amp;574,6),LdgRankKeyA,0),"")</f>
        <v/>
      </c>
      <c r="O590">
        <f>IFERROR(MATCH($C$5&amp;"|"&amp;RIGHT("000000"&amp;574,6),LdgRankKeyB,0),"")</f>
        <v/>
      </c>
    </row>
    <row r="591">
      <c r="A591" s="17" t="n">
        <v>575</v>
      </c>
      <c r="B591" s="18">
        <f>IF(AND($N591="",$O591=""),"",IF($N591&lt;&gt;"",INDEX(PCNormDate,$N591),INDEX(LdgDateB,$O591)))</f>
        <v/>
      </c>
      <c r="C591" s="18">
        <f>IF($N591&lt;&gt;"",INDEX(PCOp,$N591),IF($O591&lt;&gt;"",IF(N(INDEX(TxnDepB,$O591))&gt;0,"دریافت بانکی","پرداخت بانکی"),""))</f>
        <v/>
      </c>
      <c r="D591" s="18">
        <f>IF($N591&lt;&gt;"",IF(INDEX(PCDoc,$N591)="","—",INDEX(PCDoc,$N591)),IF($O591&lt;&gt;"",INDEX(LdgBankB,$O591),""))</f>
        <v/>
      </c>
      <c r="E591" s="18">
        <f>IF($N591&lt;&gt;"",IF(INDEX(PCCitrus,$N591)="","—",INDEX(PCCitrus,$N591)),"")</f>
        <v/>
      </c>
      <c r="F591" s="19">
        <f>IF($N591&lt;&gt;"",IF(INDEX(PCScale,$N591)=0,"",INDEX(PCScale,$N591)),"")</f>
        <v/>
      </c>
      <c r="G591" s="19">
        <f>IF($N591&lt;&gt;"",IF(INDEX(PCBaskets,$N591)=0,"",INDEX(PCBaskets,$N591)),"")</f>
        <v/>
      </c>
      <c r="H591" s="20">
        <f>IF($N591&lt;&gt;"",IF(INDEX(PCNet,$N591)=0,"",INDEX(PCNet,$N591)),"")</f>
        <v/>
      </c>
      <c r="I591" s="19">
        <f>IF($N591&lt;&gt;"",IF(INDEX(PCOp,$N591)="مرجوعی خرید","",IF(INDEX(PCAmount,$N591)&lt;=0,"",INDEX(PCAmount,$N591))),IF($O591&lt;&gt;"",IF(INDEX(TxnDepB,$O591)=0,"",INDEX(TxnDepB,$O591)),""))</f>
        <v/>
      </c>
      <c r="J591" s="19">
        <f>IF($N591&lt;&gt;"",IF(INDEX(PCOp,$N591)="مرجوعی خرید",IF(INDEX(PCAmount,$N591)=0,"",-INDEX(PCAmount,$N591)),""),IF($O591&lt;&gt;"",IF(INDEX(TxnWitB,$O591)=0,"",INDEX(TxnWitB,$O591)),""))</f>
        <v/>
      </c>
      <c r="K591" s="21">
        <f>IF($B591="","",IF($K590="",$C$10,$K590)+IF($I591="",0,$I591)-IF($J591="",0,$J591))</f>
        <v/>
      </c>
      <c r="L591" s="22">
        <f>IF($N591&lt;&gt;"",IF(INDEX(PCNotes,$N591)="","—",INDEX(PCNotes,$N591)),IF($O591&lt;&gt;"",IF(INDEX(LdgNoteB,$O591)="","—",INDEX(LdgNoteB,$O591)),""))</f>
        <v/>
      </c>
      <c r="N591">
        <f>IFERROR(MATCH($C$5&amp;"|"&amp;RIGHT("000000"&amp;575,6),LdgRankKeyA,0),"")</f>
        <v/>
      </c>
      <c r="O591">
        <f>IFERROR(MATCH($C$5&amp;"|"&amp;RIGHT("000000"&amp;575,6),LdgRankKeyB,0),"")</f>
        <v/>
      </c>
    </row>
    <row r="592">
      <c r="A592" s="23" t="n">
        <v>576</v>
      </c>
      <c r="B592" s="24">
        <f>IF(AND($N592="",$O592=""),"",IF($N592&lt;&gt;"",INDEX(PCNormDate,$N592),INDEX(LdgDateB,$O592)))</f>
        <v/>
      </c>
      <c r="C592" s="24">
        <f>IF($N592&lt;&gt;"",INDEX(PCOp,$N592),IF($O592&lt;&gt;"",IF(N(INDEX(TxnDepB,$O592))&gt;0,"دریافت بانکی","پرداخت بانکی"),""))</f>
        <v/>
      </c>
      <c r="D592" s="24">
        <f>IF($N592&lt;&gt;"",IF(INDEX(PCDoc,$N592)="","—",INDEX(PCDoc,$N592)),IF($O592&lt;&gt;"",INDEX(LdgBankB,$O592),""))</f>
        <v/>
      </c>
      <c r="E592" s="24">
        <f>IF($N592&lt;&gt;"",IF(INDEX(PCCitrus,$N592)="","—",INDEX(PCCitrus,$N592)),"")</f>
        <v/>
      </c>
      <c r="F592" s="25">
        <f>IF($N592&lt;&gt;"",IF(INDEX(PCScale,$N592)=0,"",INDEX(PCScale,$N592)),"")</f>
        <v/>
      </c>
      <c r="G592" s="25">
        <f>IF($N592&lt;&gt;"",IF(INDEX(PCBaskets,$N592)=0,"",INDEX(PCBaskets,$N592)),"")</f>
        <v/>
      </c>
      <c r="H592" s="26">
        <f>IF($N592&lt;&gt;"",IF(INDEX(PCNet,$N592)=0,"",INDEX(PCNet,$N592)),"")</f>
        <v/>
      </c>
      <c r="I592" s="25">
        <f>IF($N592&lt;&gt;"",IF(INDEX(PCOp,$N592)="مرجوعی خرید","",IF(INDEX(PCAmount,$N592)&lt;=0,"",INDEX(PCAmount,$N592))),IF($O592&lt;&gt;"",IF(INDEX(TxnDepB,$O592)=0,"",INDEX(TxnDepB,$O592)),""))</f>
        <v/>
      </c>
      <c r="J592" s="25">
        <f>IF($N592&lt;&gt;"",IF(INDEX(PCOp,$N592)="مرجوعی خرید",IF(INDEX(PCAmount,$N592)=0,"",-INDEX(PCAmount,$N592)),""),IF($O592&lt;&gt;"",IF(INDEX(TxnWitB,$O592)=0,"",INDEX(TxnWitB,$O592)),""))</f>
        <v/>
      </c>
      <c r="K592" s="27">
        <f>IF($B592="","",IF($K591="",$C$10,$K591)+IF($I592="",0,$I592)-IF($J592="",0,$J592))</f>
        <v/>
      </c>
      <c r="L592" s="28">
        <f>IF($N592&lt;&gt;"",IF(INDEX(PCNotes,$N592)="","—",INDEX(PCNotes,$N592)),IF($O592&lt;&gt;"",IF(INDEX(LdgNoteB,$O592)="","—",INDEX(LdgNoteB,$O592)),""))</f>
        <v/>
      </c>
      <c r="N592">
        <f>IFERROR(MATCH($C$5&amp;"|"&amp;RIGHT("000000"&amp;576,6),LdgRankKeyA,0),"")</f>
        <v/>
      </c>
      <c r="O592">
        <f>IFERROR(MATCH($C$5&amp;"|"&amp;RIGHT("000000"&amp;576,6),LdgRankKeyB,0),"")</f>
        <v/>
      </c>
    </row>
    <row r="593">
      <c r="A593" s="17" t="n">
        <v>577</v>
      </c>
      <c r="B593" s="18">
        <f>IF(AND($N593="",$O593=""),"",IF($N593&lt;&gt;"",INDEX(PCNormDate,$N593),INDEX(LdgDateB,$O593)))</f>
        <v/>
      </c>
      <c r="C593" s="18">
        <f>IF($N593&lt;&gt;"",INDEX(PCOp,$N593),IF($O593&lt;&gt;"",IF(N(INDEX(TxnDepB,$O593))&gt;0,"دریافت بانکی","پرداخت بانکی"),""))</f>
        <v/>
      </c>
      <c r="D593" s="18">
        <f>IF($N593&lt;&gt;"",IF(INDEX(PCDoc,$N593)="","—",INDEX(PCDoc,$N593)),IF($O593&lt;&gt;"",INDEX(LdgBankB,$O593),""))</f>
        <v/>
      </c>
      <c r="E593" s="18">
        <f>IF($N593&lt;&gt;"",IF(INDEX(PCCitrus,$N593)="","—",INDEX(PCCitrus,$N593)),"")</f>
        <v/>
      </c>
      <c r="F593" s="19">
        <f>IF($N593&lt;&gt;"",IF(INDEX(PCScale,$N593)=0,"",INDEX(PCScale,$N593)),"")</f>
        <v/>
      </c>
      <c r="G593" s="19">
        <f>IF($N593&lt;&gt;"",IF(INDEX(PCBaskets,$N593)=0,"",INDEX(PCBaskets,$N593)),"")</f>
        <v/>
      </c>
      <c r="H593" s="20">
        <f>IF($N593&lt;&gt;"",IF(INDEX(PCNet,$N593)=0,"",INDEX(PCNet,$N593)),"")</f>
        <v/>
      </c>
      <c r="I593" s="19">
        <f>IF($N593&lt;&gt;"",IF(INDEX(PCOp,$N593)="مرجوعی خرید","",IF(INDEX(PCAmount,$N593)&lt;=0,"",INDEX(PCAmount,$N593))),IF($O593&lt;&gt;"",IF(INDEX(TxnDepB,$O593)=0,"",INDEX(TxnDepB,$O593)),""))</f>
        <v/>
      </c>
      <c r="J593" s="19">
        <f>IF($N593&lt;&gt;"",IF(INDEX(PCOp,$N593)="مرجوعی خرید",IF(INDEX(PCAmount,$N593)=0,"",-INDEX(PCAmount,$N593)),""),IF($O593&lt;&gt;"",IF(INDEX(TxnWitB,$O593)=0,"",INDEX(TxnWitB,$O593)),""))</f>
        <v/>
      </c>
      <c r="K593" s="21">
        <f>IF($B593="","",IF($K592="",$C$10,$K592)+IF($I593="",0,$I593)-IF($J593="",0,$J593))</f>
        <v/>
      </c>
      <c r="L593" s="22">
        <f>IF($N593&lt;&gt;"",IF(INDEX(PCNotes,$N593)="","—",INDEX(PCNotes,$N593)),IF($O593&lt;&gt;"",IF(INDEX(LdgNoteB,$O593)="","—",INDEX(LdgNoteB,$O593)),""))</f>
        <v/>
      </c>
      <c r="N593">
        <f>IFERROR(MATCH($C$5&amp;"|"&amp;RIGHT("000000"&amp;577,6),LdgRankKeyA,0),"")</f>
        <v/>
      </c>
      <c r="O593">
        <f>IFERROR(MATCH($C$5&amp;"|"&amp;RIGHT("000000"&amp;577,6),LdgRankKeyB,0),"")</f>
        <v/>
      </c>
    </row>
    <row r="594">
      <c r="A594" s="23" t="n">
        <v>578</v>
      </c>
      <c r="B594" s="24">
        <f>IF(AND($N594="",$O594=""),"",IF($N594&lt;&gt;"",INDEX(PCNormDate,$N594),INDEX(LdgDateB,$O594)))</f>
        <v/>
      </c>
      <c r="C594" s="24">
        <f>IF($N594&lt;&gt;"",INDEX(PCOp,$N594),IF($O594&lt;&gt;"",IF(N(INDEX(TxnDepB,$O594))&gt;0,"دریافت بانکی","پرداخت بانکی"),""))</f>
        <v/>
      </c>
      <c r="D594" s="24">
        <f>IF($N594&lt;&gt;"",IF(INDEX(PCDoc,$N594)="","—",INDEX(PCDoc,$N594)),IF($O594&lt;&gt;"",INDEX(LdgBankB,$O594),""))</f>
        <v/>
      </c>
      <c r="E594" s="24">
        <f>IF($N594&lt;&gt;"",IF(INDEX(PCCitrus,$N594)="","—",INDEX(PCCitrus,$N594)),"")</f>
        <v/>
      </c>
      <c r="F594" s="25">
        <f>IF($N594&lt;&gt;"",IF(INDEX(PCScale,$N594)=0,"",INDEX(PCScale,$N594)),"")</f>
        <v/>
      </c>
      <c r="G594" s="25">
        <f>IF($N594&lt;&gt;"",IF(INDEX(PCBaskets,$N594)=0,"",INDEX(PCBaskets,$N594)),"")</f>
        <v/>
      </c>
      <c r="H594" s="26">
        <f>IF($N594&lt;&gt;"",IF(INDEX(PCNet,$N594)=0,"",INDEX(PCNet,$N594)),"")</f>
        <v/>
      </c>
      <c r="I594" s="25">
        <f>IF($N594&lt;&gt;"",IF(INDEX(PCOp,$N594)="مرجوعی خرید","",IF(INDEX(PCAmount,$N594)&lt;=0,"",INDEX(PCAmount,$N594))),IF($O594&lt;&gt;"",IF(INDEX(TxnDepB,$O594)=0,"",INDEX(TxnDepB,$O594)),""))</f>
        <v/>
      </c>
      <c r="J594" s="25">
        <f>IF($N594&lt;&gt;"",IF(INDEX(PCOp,$N594)="مرجوعی خرید",IF(INDEX(PCAmount,$N594)=0,"",-INDEX(PCAmount,$N594)),""),IF($O594&lt;&gt;"",IF(INDEX(TxnWitB,$O594)=0,"",INDEX(TxnWitB,$O594)),""))</f>
        <v/>
      </c>
      <c r="K594" s="27">
        <f>IF($B594="","",IF($K593="",$C$10,$K593)+IF($I594="",0,$I594)-IF($J594="",0,$J594))</f>
        <v/>
      </c>
      <c r="L594" s="28">
        <f>IF($N594&lt;&gt;"",IF(INDEX(PCNotes,$N594)="","—",INDEX(PCNotes,$N594)),IF($O594&lt;&gt;"",IF(INDEX(LdgNoteB,$O594)="","—",INDEX(LdgNoteB,$O594)),""))</f>
        <v/>
      </c>
      <c r="N594">
        <f>IFERROR(MATCH($C$5&amp;"|"&amp;RIGHT("000000"&amp;578,6),LdgRankKeyA,0),"")</f>
        <v/>
      </c>
      <c r="O594">
        <f>IFERROR(MATCH($C$5&amp;"|"&amp;RIGHT("000000"&amp;578,6),LdgRankKeyB,0),"")</f>
        <v/>
      </c>
    </row>
    <row r="595">
      <c r="A595" s="17" t="n">
        <v>579</v>
      </c>
      <c r="B595" s="18">
        <f>IF(AND($N595="",$O595=""),"",IF($N595&lt;&gt;"",INDEX(PCNormDate,$N595),INDEX(LdgDateB,$O595)))</f>
        <v/>
      </c>
      <c r="C595" s="18">
        <f>IF($N595&lt;&gt;"",INDEX(PCOp,$N595),IF($O595&lt;&gt;"",IF(N(INDEX(TxnDepB,$O595))&gt;0,"دریافت بانکی","پرداخت بانکی"),""))</f>
        <v/>
      </c>
      <c r="D595" s="18">
        <f>IF($N595&lt;&gt;"",IF(INDEX(PCDoc,$N595)="","—",INDEX(PCDoc,$N595)),IF($O595&lt;&gt;"",INDEX(LdgBankB,$O595),""))</f>
        <v/>
      </c>
      <c r="E595" s="18">
        <f>IF($N595&lt;&gt;"",IF(INDEX(PCCitrus,$N595)="","—",INDEX(PCCitrus,$N595)),"")</f>
        <v/>
      </c>
      <c r="F595" s="19">
        <f>IF($N595&lt;&gt;"",IF(INDEX(PCScale,$N595)=0,"",INDEX(PCScale,$N595)),"")</f>
        <v/>
      </c>
      <c r="G595" s="19">
        <f>IF($N595&lt;&gt;"",IF(INDEX(PCBaskets,$N595)=0,"",INDEX(PCBaskets,$N595)),"")</f>
        <v/>
      </c>
      <c r="H595" s="20">
        <f>IF($N595&lt;&gt;"",IF(INDEX(PCNet,$N595)=0,"",INDEX(PCNet,$N595)),"")</f>
        <v/>
      </c>
      <c r="I595" s="19">
        <f>IF($N595&lt;&gt;"",IF(INDEX(PCOp,$N595)="مرجوعی خرید","",IF(INDEX(PCAmount,$N595)&lt;=0,"",INDEX(PCAmount,$N595))),IF($O595&lt;&gt;"",IF(INDEX(TxnDepB,$O595)=0,"",INDEX(TxnDepB,$O595)),""))</f>
        <v/>
      </c>
      <c r="J595" s="19">
        <f>IF($N595&lt;&gt;"",IF(INDEX(PCOp,$N595)="مرجوعی خرید",IF(INDEX(PCAmount,$N595)=0,"",-INDEX(PCAmount,$N595)),""),IF($O595&lt;&gt;"",IF(INDEX(TxnWitB,$O595)=0,"",INDEX(TxnWitB,$O595)),""))</f>
        <v/>
      </c>
      <c r="K595" s="21">
        <f>IF($B595="","",IF($K594="",$C$10,$K594)+IF($I595="",0,$I595)-IF($J595="",0,$J595))</f>
        <v/>
      </c>
      <c r="L595" s="22">
        <f>IF($N595&lt;&gt;"",IF(INDEX(PCNotes,$N595)="","—",INDEX(PCNotes,$N595)),IF($O595&lt;&gt;"",IF(INDEX(LdgNoteB,$O595)="","—",INDEX(LdgNoteB,$O595)),""))</f>
        <v/>
      </c>
      <c r="N595">
        <f>IFERROR(MATCH($C$5&amp;"|"&amp;RIGHT("000000"&amp;579,6),LdgRankKeyA,0),"")</f>
        <v/>
      </c>
      <c r="O595">
        <f>IFERROR(MATCH($C$5&amp;"|"&amp;RIGHT("000000"&amp;579,6),LdgRankKeyB,0),"")</f>
        <v/>
      </c>
    </row>
    <row r="596">
      <c r="A596" s="23" t="n">
        <v>580</v>
      </c>
      <c r="B596" s="24">
        <f>IF(AND($N596="",$O596=""),"",IF($N596&lt;&gt;"",INDEX(PCNormDate,$N596),INDEX(LdgDateB,$O596)))</f>
        <v/>
      </c>
      <c r="C596" s="24">
        <f>IF($N596&lt;&gt;"",INDEX(PCOp,$N596),IF($O596&lt;&gt;"",IF(N(INDEX(TxnDepB,$O596))&gt;0,"دریافت بانکی","پرداخت بانکی"),""))</f>
        <v/>
      </c>
      <c r="D596" s="24">
        <f>IF($N596&lt;&gt;"",IF(INDEX(PCDoc,$N596)="","—",INDEX(PCDoc,$N596)),IF($O596&lt;&gt;"",INDEX(LdgBankB,$O596),""))</f>
        <v/>
      </c>
      <c r="E596" s="24">
        <f>IF($N596&lt;&gt;"",IF(INDEX(PCCitrus,$N596)="","—",INDEX(PCCitrus,$N596)),"")</f>
        <v/>
      </c>
      <c r="F596" s="25">
        <f>IF($N596&lt;&gt;"",IF(INDEX(PCScale,$N596)=0,"",INDEX(PCScale,$N596)),"")</f>
        <v/>
      </c>
      <c r="G596" s="25">
        <f>IF($N596&lt;&gt;"",IF(INDEX(PCBaskets,$N596)=0,"",INDEX(PCBaskets,$N596)),"")</f>
        <v/>
      </c>
      <c r="H596" s="26">
        <f>IF($N596&lt;&gt;"",IF(INDEX(PCNet,$N596)=0,"",INDEX(PCNet,$N596)),"")</f>
        <v/>
      </c>
      <c r="I596" s="25">
        <f>IF($N596&lt;&gt;"",IF(INDEX(PCOp,$N596)="مرجوعی خرید","",IF(INDEX(PCAmount,$N596)&lt;=0,"",INDEX(PCAmount,$N596))),IF($O596&lt;&gt;"",IF(INDEX(TxnDepB,$O596)=0,"",INDEX(TxnDepB,$O596)),""))</f>
        <v/>
      </c>
      <c r="J596" s="25">
        <f>IF($N596&lt;&gt;"",IF(INDEX(PCOp,$N596)="مرجوعی خرید",IF(INDEX(PCAmount,$N596)=0,"",-INDEX(PCAmount,$N596)),""),IF($O596&lt;&gt;"",IF(INDEX(TxnWitB,$O596)=0,"",INDEX(TxnWitB,$O596)),""))</f>
        <v/>
      </c>
      <c r="K596" s="27">
        <f>IF($B596="","",IF($K595="",$C$10,$K595)+IF($I596="",0,$I596)-IF($J596="",0,$J596))</f>
        <v/>
      </c>
      <c r="L596" s="28">
        <f>IF($N596&lt;&gt;"",IF(INDEX(PCNotes,$N596)="","—",INDEX(PCNotes,$N596)),IF($O596&lt;&gt;"",IF(INDEX(LdgNoteB,$O596)="","—",INDEX(LdgNoteB,$O596)),""))</f>
        <v/>
      </c>
      <c r="N596">
        <f>IFERROR(MATCH($C$5&amp;"|"&amp;RIGHT("000000"&amp;580,6),LdgRankKeyA,0),"")</f>
        <v/>
      </c>
      <c r="O596">
        <f>IFERROR(MATCH($C$5&amp;"|"&amp;RIGHT("000000"&amp;580,6),LdgRankKeyB,0),"")</f>
        <v/>
      </c>
    </row>
    <row r="597">
      <c r="A597" s="17" t="n">
        <v>581</v>
      </c>
      <c r="B597" s="18">
        <f>IF(AND($N597="",$O597=""),"",IF($N597&lt;&gt;"",INDEX(PCNormDate,$N597),INDEX(LdgDateB,$O597)))</f>
        <v/>
      </c>
      <c r="C597" s="18">
        <f>IF($N597&lt;&gt;"",INDEX(PCOp,$N597),IF($O597&lt;&gt;"",IF(N(INDEX(TxnDepB,$O597))&gt;0,"دریافت بانکی","پرداخت بانکی"),""))</f>
        <v/>
      </c>
      <c r="D597" s="18">
        <f>IF($N597&lt;&gt;"",IF(INDEX(PCDoc,$N597)="","—",INDEX(PCDoc,$N597)),IF($O597&lt;&gt;"",INDEX(LdgBankB,$O597),""))</f>
        <v/>
      </c>
      <c r="E597" s="18">
        <f>IF($N597&lt;&gt;"",IF(INDEX(PCCitrus,$N597)="","—",INDEX(PCCitrus,$N597)),"")</f>
        <v/>
      </c>
      <c r="F597" s="19">
        <f>IF($N597&lt;&gt;"",IF(INDEX(PCScale,$N597)=0,"",INDEX(PCScale,$N597)),"")</f>
        <v/>
      </c>
      <c r="G597" s="19">
        <f>IF($N597&lt;&gt;"",IF(INDEX(PCBaskets,$N597)=0,"",INDEX(PCBaskets,$N597)),"")</f>
        <v/>
      </c>
      <c r="H597" s="20">
        <f>IF($N597&lt;&gt;"",IF(INDEX(PCNet,$N597)=0,"",INDEX(PCNet,$N597)),"")</f>
        <v/>
      </c>
      <c r="I597" s="19">
        <f>IF($N597&lt;&gt;"",IF(INDEX(PCOp,$N597)="مرجوعی خرید","",IF(INDEX(PCAmount,$N597)&lt;=0,"",INDEX(PCAmount,$N597))),IF($O597&lt;&gt;"",IF(INDEX(TxnDepB,$O597)=0,"",INDEX(TxnDepB,$O597)),""))</f>
        <v/>
      </c>
      <c r="J597" s="19">
        <f>IF($N597&lt;&gt;"",IF(INDEX(PCOp,$N597)="مرجوعی خرید",IF(INDEX(PCAmount,$N597)=0,"",-INDEX(PCAmount,$N597)),""),IF($O597&lt;&gt;"",IF(INDEX(TxnWitB,$O597)=0,"",INDEX(TxnWitB,$O597)),""))</f>
        <v/>
      </c>
      <c r="K597" s="21">
        <f>IF($B597="","",IF($K596="",$C$10,$K596)+IF($I597="",0,$I597)-IF($J597="",0,$J597))</f>
        <v/>
      </c>
      <c r="L597" s="22">
        <f>IF($N597&lt;&gt;"",IF(INDEX(PCNotes,$N597)="","—",INDEX(PCNotes,$N597)),IF($O597&lt;&gt;"",IF(INDEX(LdgNoteB,$O597)="","—",INDEX(LdgNoteB,$O597)),""))</f>
        <v/>
      </c>
      <c r="N597">
        <f>IFERROR(MATCH($C$5&amp;"|"&amp;RIGHT("000000"&amp;581,6),LdgRankKeyA,0),"")</f>
        <v/>
      </c>
      <c r="O597">
        <f>IFERROR(MATCH($C$5&amp;"|"&amp;RIGHT("000000"&amp;581,6),LdgRankKeyB,0),"")</f>
        <v/>
      </c>
    </row>
    <row r="598">
      <c r="A598" s="23" t="n">
        <v>582</v>
      </c>
      <c r="B598" s="24">
        <f>IF(AND($N598="",$O598=""),"",IF($N598&lt;&gt;"",INDEX(PCNormDate,$N598),INDEX(LdgDateB,$O598)))</f>
        <v/>
      </c>
      <c r="C598" s="24">
        <f>IF($N598&lt;&gt;"",INDEX(PCOp,$N598),IF($O598&lt;&gt;"",IF(N(INDEX(TxnDepB,$O598))&gt;0,"دریافت بانکی","پرداخت بانکی"),""))</f>
        <v/>
      </c>
      <c r="D598" s="24">
        <f>IF($N598&lt;&gt;"",IF(INDEX(PCDoc,$N598)="","—",INDEX(PCDoc,$N598)),IF($O598&lt;&gt;"",INDEX(LdgBankB,$O598),""))</f>
        <v/>
      </c>
      <c r="E598" s="24">
        <f>IF($N598&lt;&gt;"",IF(INDEX(PCCitrus,$N598)="","—",INDEX(PCCitrus,$N598)),"")</f>
        <v/>
      </c>
      <c r="F598" s="25">
        <f>IF($N598&lt;&gt;"",IF(INDEX(PCScale,$N598)=0,"",INDEX(PCScale,$N598)),"")</f>
        <v/>
      </c>
      <c r="G598" s="25">
        <f>IF($N598&lt;&gt;"",IF(INDEX(PCBaskets,$N598)=0,"",INDEX(PCBaskets,$N598)),"")</f>
        <v/>
      </c>
      <c r="H598" s="26">
        <f>IF($N598&lt;&gt;"",IF(INDEX(PCNet,$N598)=0,"",INDEX(PCNet,$N598)),"")</f>
        <v/>
      </c>
      <c r="I598" s="25">
        <f>IF($N598&lt;&gt;"",IF(INDEX(PCOp,$N598)="مرجوعی خرید","",IF(INDEX(PCAmount,$N598)&lt;=0,"",INDEX(PCAmount,$N598))),IF($O598&lt;&gt;"",IF(INDEX(TxnDepB,$O598)=0,"",INDEX(TxnDepB,$O598)),""))</f>
        <v/>
      </c>
      <c r="J598" s="25">
        <f>IF($N598&lt;&gt;"",IF(INDEX(PCOp,$N598)="مرجوعی خرید",IF(INDEX(PCAmount,$N598)=0,"",-INDEX(PCAmount,$N598)),""),IF($O598&lt;&gt;"",IF(INDEX(TxnWitB,$O598)=0,"",INDEX(TxnWitB,$O598)),""))</f>
        <v/>
      </c>
      <c r="K598" s="27">
        <f>IF($B598="","",IF($K597="",$C$10,$K597)+IF($I598="",0,$I598)-IF($J598="",0,$J598))</f>
        <v/>
      </c>
      <c r="L598" s="28">
        <f>IF($N598&lt;&gt;"",IF(INDEX(PCNotes,$N598)="","—",INDEX(PCNotes,$N598)),IF($O598&lt;&gt;"",IF(INDEX(LdgNoteB,$O598)="","—",INDEX(LdgNoteB,$O598)),""))</f>
        <v/>
      </c>
      <c r="N598">
        <f>IFERROR(MATCH($C$5&amp;"|"&amp;RIGHT("000000"&amp;582,6),LdgRankKeyA,0),"")</f>
        <v/>
      </c>
      <c r="O598">
        <f>IFERROR(MATCH($C$5&amp;"|"&amp;RIGHT("000000"&amp;582,6),LdgRankKeyB,0),"")</f>
        <v/>
      </c>
    </row>
    <row r="599">
      <c r="A599" s="17" t="n">
        <v>583</v>
      </c>
      <c r="B599" s="18">
        <f>IF(AND($N599="",$O599=""),"",IF($N599&lt;&gt;"",INDEX(PCNormDate,$N599),INDEX(LdgDateB,$O599)))</f>
        <v/>
      </c>
      <c r="C599" s="18">
        <f>IF($N599&lt;&gt;"",INDEX(PCOp,$N599),IF($O599&lt;&gt;"",IF(N(INDEX(TxnDepB,$O599))&gt;0,"دریافت بانکی","پرداخت بانکی"),""))</f>
        <v/>
      </c>
      <c r="D599" s="18">
        <f>IF($N599&lt;&gt;"",IF(INDEX(PCDoc,$N599)="","—",INDEX(PCDoc,$N599)),IF($O599&lt;&gt;"",INDEX(LdgBankB,$O599),""))</f>
        <v/>
      </c>
      <c r="E599" s="18">
        <f>IF($N599&lt;&gt;"",IF(INDEX(PCCitrus,$N599)="","—",INDEX(PCCitrus,$N599)),"")</f>
        <v/>
      </c>
      <c r="F599" s="19">
        <f>IF($N599&lt;&gt;"",IF(INDEX(PCScale,$N599)=0,"",INDEX(PCScale,$N599)),"")</f>
        <v/>
      </c>
      <c r="G599" s="19">
        <f>IF($N599&lt;&gt;"",IF(INDEX(PCBaskets,$N599)=0,"",INDEX(PCBaskets,$N599)),"")</f>
        <v/>
      </c>
      <c r="H599" s="20">
        <f>IF($N599&lt;&gt;"",IF(INDEX(PCNet,$N599)=0,"",INDEX(PCNet,$N599)),"")</f>
        <v/>
      </c>
      <c r="I599" s="19">
        <f>IF($N599&lt;&gt;"",IF(INDEX(PCOp,$N599)="مرجوعی خرید","",IF(INDEX(PCAmount,$N599)&lt;=0,"",INDEX(PCAmount,$N599))),IF($O599&lt;&gt;"",IF(INDEX(TxnDepB,$O599)=0,"",INDEX(TxnDepB,$O599)),""))</f>
        <v/>
      </c>
      <c r="J599" s="19">
        <f>IF($N599&lt;&gt;"",IF(INDEX(PCOp,$N599)="مرجوعی خرید",IF(INDEX(PCAmount,$N599)=0,"",-INDEX(PCAmount,$N599)),""),IF($O599&lt;&gt;"",IF(INDEX(TxnWitB,$O599)=0,"",INDEX(TxnWitB,$O599)),""))</f>
        <v/>
      </c>
      <c r="K599" s="21">
        <f>IF($B599="","",IF($K598="",$C$10,$K598)+IF($I599="",0,$I599)-IF($J599="",0,$J599))</f>
        <v/>
      </c>
      <c r="L599" s="22">
        <f>IF($N599&lt;&gt;"",IF(INDEX(PCNotes,$N599)="","—",INDEX(PCNotes,$N599)),IF($O599&lt;&gt;"",IF(INDEX(LdgNoteB,$O599)="","—",INDEX(LdgNoteB,$O599)),""))</f>
        <v/>
      </c>
      <c r="N599">
        <f>IFERROR(MATCH($C$5&amp;"|"&amp;RIGHT("000000"&amp;583,6),LdgRankKeyA,0),"")</f>
        <v/>
      </c>
      <c r="O599">
        <f>IFERROR(MATCH($C$5&amp;"|"&amp;RIGHT("000000"&amp;583,6),LdgRankKeyB,0),"")</f>
        <v/>
      </c>
    </row>
    <row r="600">
      <c r="A600" s="23" t="n">
        <v>584</v>
      </c>
      <c r="B600" s="24">
        <f>IF(AND($N600="",$O600=""),"",IF($N600&lt;&gt;"",INDEX(PCNormDate,$N600),INDEX(LdgDateB,$O600)))</f>
        <v/>
      </c>
      <c r="C600" s="24">
        <f>IF($N600&lt;&gt;"",INDEX(PCOp,$N600),IF($O600&lt;&gt;"",IF(N(INDEX(TxnDepB,$O600))&gt;0,"دریافت بانکی","پرداخت بانکی"),""))</f>
        <v/>
      </c>
      <c r="D600" s="24">
        <f>IF($N600&lt;&gt;"",IF(INDEX(PCDoc,$N600)="","—",INDEX(PCDoc,$N600)),IF($O600&lt;&gt;"",INDEX(LdgBankB,$O600),""))</f>
        <v/>
      </c>
      <c r="E600" s="24">
        <f>IF($N600&lt;&gt;"",IF(INDEX(PCCitrus,$N600)="","—",INDEX(PCCitrus,$N600)),"")</f>
        <v/>
      </c>
      <c r="F600" s="25">
        <f>IF($N600&lt;&gt;"",IF(INDEX(PCScale,$N600)=0,"",INDEX(PCScale,$N600)),"")</f>
        <v/>
      </c>
      <c r="G600" s="25">
        <f>IF($N600&lt;&gt;"",IF(INDEX(PCBaskets,$N600)=0,"",INDEX(PCBaskets,$N600)),"")</f>
        <v/>
      </c>
      <c r="H600" s="26">
        <f>IF($N600&lt;&gt;"",IF(INDEX(PCNet,$N600)=0,"",INDEX(PCNet,$N600)),"")</f>
        <v/>
      </c>
      <c r="I600" s="25">
        <f>IF($N600&lt;&gt;"",IF(INDEX(PCOp,$N600)="مرجوعی خرید","",IF(INDEX(PCAmount,$N600)&lt;=0,"",INDEX(PCAmount,$N600))),IF($O600&lt;&gt;"",IF(INDEX(TxnDepB,$O600)=0,"",INDEX(TxnDepB,$O600)),""))</f>
        <v/>
      </c>
      <c r="J600" s="25">
        <f>IF($N600&lt;&gt;"",IF(INDEX(PCOp,$N600)="مرجوعی خرید",IF(INDEX(PCAmount,$N600)=0,"",-INDEX(PCAmount,$N600)),""),IF($O600&lt;&gt;"",IF(INDEX(TxnWitB,$O600)=0,"",INDEX(TxnWitB,$O600)),""))</f>
        <v/>
      </c>
      <c r="K600" s="27">
        <f>IF($B600="","",IF($K599="",$C$10,$K599)+IF($I600="",0,$I600)-IF($J600="",0,$J600))</f>
        <v/>
      </c>
      <c r="L600" s="28">
        <f>IF($N600&lt;&gt;"",IF(INDEX(PCNotes,$N600)="","—",INDEX(PCNotes,$N600)),IF($O600&lt;&gt;"",IF(INDEX(LdgNoteB,$O600)="","—",INDEX(LdgNoteB,$O600)),""))</f>
        <v/>
      </c>
      <c r="N600">
        <f>IFERROR(MATCH($C$5&amp;"|"&amp;RIGHT("000000"&amp;584,6),LdgRankKeyA,0),"")</f>
        <v/>
      </c>
      <c r="O600">
        <f>IFERROR(MATCH($C$5&amp;"|"&amp;RIGHT("000000"&amp;584,6),LdgRankKeyB,0),"")</f>
        <v/>
      </c>
    </row>
    <row r="601">
      <c r="A601" s="17" t="n">
        <v>585</v>
      </c>
      <c r="B601" s="18">
        <f>IF(AND($N601="",$O601=""),"",IF($N601&lt;&gt;"",INDEX(PCNormDate,$N601),INDEX(LdgDateB,$O601)))</f>
        <v/>
      </c>
      <c r="C601" s="18">
        <f>IF($N601&lt;&gt;"",INDEX(PCOp,$N601),IF($O601&lt;&gt;"",IF(N(INDEX(TxnDepB,$O601))&gt;0,"دریافت بانکی","پرداخت بانکی"),""))</f>
        <v/>
      </c>
      <c r="D601" s="18">
        <f>IF($N601&lt;&gt;"",IF(INDEX(PCDoc,$N601)="","—",INDEX(PCDoc,$N601)),IF($O601&lt;&gt;"",INDEX(LdgBankB,$O601),""))</f>
        <v/>
      </c>
      <c r="E601" s="18">
        <f>IF($N601&lt;&gt;"",IF(INDEX(PCCitrus,$N601)="","—",INDEX(PCCitrus,$N601)),"")</f>
        <v/>
      </c>
      <c r="F601" s="19">
        <f>IF($N601&lt;&gt;"",IF(INDEX(PCScale,$N601)=0,"",INDEX(PCScale,$N601)),"")</f>
        <v/>
      </c>
      <c r="G601" s="19">
        <f>IF($N601&lt;&gt;"",IF(INDEX(PCBaskets,$N601)=0,"",INDEX(PCBaskets,$N601)),"")</f>
        <v/>
      </c>
      <c r="H601" s="20">
        <f>IF($N601&lt;&gt;"",IF(INDEX(PCNet,$N601)=0,"",INDEX(PCNet,$N601)),"")</f>
        <v/>
      </c>
      <c r="I601" s="19">
        <f>IF($N601&lt;&gt;"",IF(INDEX(PCOp,$N601)="مرجوعی خرید","",IF(INDEX(PCAmount,$N601)&lt;=0,"",INDEX(PCAmount,$N601))),IF($O601&lt;&gt;"",IF(INDEX(TxnDepB,$O601)=0,"",INDEX(TxnDepB,$O601)),""))</f>
        <v/>
      </c>
      <c r="J601" s="19">
        <f>IF($N601&lt;&gt;"",IF(INDEX(PCOp,$N601)="مرجوعی خرید",IF(INDEX(PCAmount,$N601)=0,"",-INDEX(PCAmount,$N601)),""),IF($O601&lt;&gt;"",IF(INDEX(TxnWitB,$O601)=0,"",INDEX(TxnWitB,$O601)),""))</f>
        <v/>
      </c>
      <c r="K601" s="21">
        <f>IF($B601="","",IF($K600="",$C$10,$K600)+IF($I601="",0,$I601)-IF($J601="",0,$J601))</f>
        <v/>
      </c>
      <c r="L601" s="22">
        <f>IF($N601&lt;&gt;"",IF(INDEX(PCNotes,$N601)="","—",INDEX(PCNotes,$N601)),IF($O601&lt;&gt;"",IF(INDEX(LdgNoteB,$O601)="","—",INDEX(LdgNoteB,$O601)),""))</f>
        <v/>
      </c>
      <c r="N601">
        <f>IFERROR(MATCH($C$5&amp;"|"&amp;RIGHT("000000"&amp;585,6),LdgRankKeyA,0),"")</f>
        <v/>
      </c>
      <c r="O601">
        <f>IFERROR(MATCH($C$5&amp;"|"&amp;RIGHT("000000"&amp;585,6),LdgRankKeyB,0),"")</f>
        <v/>
      </c>
    </row>
    <row r="602">
      <c r="A602" s="23" t="n">
        <v>586</v>
      </c>
      <c r="B602" s="24">
        <f>IF(AND($N602="",$O602=""),"",IF($N602&lt;&gt;"",INDEX(PCNormDate,$N602),INDEX(LdgDateB,$O602)))</f>
        <v/>
      </c>
      <c r="C602" s="24">
        <f>IF($N602&lt;&gt;"",INDEX(PCOp,$N602),IF($O602&lt;&gt;"",IF(N(INDEX(TxnDepB,$O602))&gt;0,"دریافت بانکی","پرداخت بانکی"),""))</f>
        <v/>
      </c>
      <c r="D602" s="24">
        <f>IF($N602&lt;&gt;"",IF(INDEX(PCDoc,$N602)="","—",INDEX(PCDoc,$N602)),IF($O602&lt;&gt;"",INDEX(LdgBankB,$O602),""))</f>
        <v/>
      </c>
      <c r="E602" s="24">
        <f>IF($N602&lt;&gt;"",IF(INDEX(PCCitrus,$N602)="","—",INDEX(PCCitrus,$N602)),"")</f>
        <v/>
      </c>
      <c r="F602" s="25">
        <f>IF($N602&lt;&gt;"",IF(INDEX(PCScale,$N602)=0,"",INDEX(PCScale,$N602)),"")</f>
        <v/>
      </c>
      <c r="G602" s="25">
        <f>IF($N602&lt;&gt;"",IF(INDEX(PCBaskets,$N602)=0,"",INDEX(PCBaskets,$N602)),"")</f>
        <v/>
      </c>
      <c r="H602" s="26">
        <f>IF($N602&lt;&gt;"",IF(INDEX(PCNet,$N602)=0,"",INDEX(PCNet,$N602)),"")</f>
        <v/>
      </c>
      <c r="I602" s="25">
        <f>IF($N602&lt;&gt;"",IF(INDEX(PCOp,$N602)="مرجوعی خرید","",IF(INDEX(PCAmount,$N602)&lt;=0,"",INDEX(PCAmount,$N602))),IF($O602&lt;&gt;"",IF(INDEX(TxnDepB,$O602)=0,"",INDEX(TxnDepB,$O602)),""))</f>
        <v/>
      </c>
      <c r="J602" s="25">
        <f>IF($N602&lt;&gt;"",IF(INDEX(PCOp,$N602)="مرجوعی خرید",IF(INDEX(PCAmount,$N602)=0,"",-INDEX(PCAmount,$N602)),""),IF($O602&lt;&gt;"",IF(INDEX(TxnWitB,$O602)=0,"",INDEX(TxnWitB,$O602)),""))</f>
        <v/>
      </c>
      <c r="K602" s="27">
        <f>IF($B602="","",IF($K601="",$C$10,$K601)+IF($I602="",0,$I602)-IF($J602="",0,$J602))</f>
        <v/>
      </c>
      <c r="L602" s="28">
        <f>IF($N602&lt;&gt;"",IF(INDEX(PCNotes,$N602)="","—",INDEX(PCNotes,$N602)),IF($O602&lt;&gt;"",IF(INDEX(LdgNoteB,$O602)="","—",INDEX(LdgNoteB,$O602)),""))</f>
        <v/>
      </c>
      <c r="N602">
        <f>IFERROR(MATCH($C$5&amp;"|"&amp;RIGHT("000000"&amp;586,6),LdgRankKeyA,0),"")</f>
        <v/>
      </c>
      <c r="O602">
        <f>IFERROR(MATCH($C$5&amp;"|"&amp;RIGHT("000000"&amp;586,6),LdgRankKeyB,0),"")</f>
        <v/>
      </c>
    </row>
    <row r="603">
      <c r="A603" s="17" t="n">
        <v>587</v>
      </c>
      <c r="B603" s="18">
        <f>IF(AND($N603="",$O603=""),"",IF($N603&lt;&gt;"",INDEX(PCNormDate,$N603),INDEX(LdgDateB,$O603)))</f>
        <v/>
      </c>
      <c r="C603" s="18">
        <f>IF($N603&lt;&gt;"",INDEX(PCOp,$N603),IF($O603&lt;&gt;"",IF(N(INDEX(TxnDepB,$O603))&gt;0,"دریافت بانکی","پرداخت بانکی"),""))</f>
        <v/>
      </c>
      <c r="D603" s="18">
        <f>IF($N603&lt;&gt;"",IF(INDEX(PCDoc,$N603)="","—",INDEX(PCDoc,$N603)),IF($O603&lt;&gt;"",INDEX(LdgBankB,$O603),""))</f>
        <v/>
      </c>
      <c r="E603" s="18">
        <f>IF($N603&lt;&gt;"",IF(INDEX(PCCitrus,$N603)="","—",INDEX(PCCitrus,$N603)),"")</f>
        <v/>
      </c>
      <c r="F603" s="19">
        <f>IF($N603&lt;&gt;"",IF(INDEX(PCScale,$N603)=0,"",INDEX(PCScale,$N603)),"")</f>
        <v/>
      </c>
      <c r="G603" s="19">
        <f>IF($N603&lt;&gt;"",IF(INDEX(PCBaskets,$N603)=0,"",INDEX(PCBaskets,$N603)),"")</f>
        <v/>
      </c>
      <c r="H603" s="20">
        <f>IF($N603&lt;&gt;"",IF(INDEX(PCNet,$N603)=0,"",INDEX(PCNet,$N603)),"")</f>
        <v/>
      </c>
      <c r="I603" s="19">
        <f>IF($N603&lt;&gt;"",IF(INDEX(PCOp,$N603)="مرجوعی خرید","",IF(INDEX(PCAmount,$N603)&lt;=0,"",INDEX(PCAmount,$N603))),IF($O603&lt;&gt;"",IF(INDEX(TxnDepB,$O603)=0,"",INDEX(TxnDepB,$O603)),""))</f>
        <v/>
      </c>
      <c r="J603" s="19">
        <f>IF($N603&lt;&gt;"",IF(INDEX(PCOp,$N603)="مرجوعی خرید",IF(INDEX(PCAmount,$N603)=0,"",-INDEX(PCAmount,$N603)),""),IF($O603&lt;&gt;"",IF(INDEX(TxnWitB,$O603)=0,"",INDEX(TxnWitB,$O603)),""))</f>
        <v/>
      </c>
      <c r="K603" s="21">
        <f>IF($B603="","",IF($K602="",$C$10,$K602)+IF($I603="",0,$I603)-IF($J603="",0,$J603))</f>
        <v/>
      </c>
      <c r="L603" s="22">
        <f>IF($N603&lt;&gt;"",IF(INDEX(PCNotes,$N603)="","—",INDEX(PCNotes,$N603)),IF($O603&lt;&gt;"",IF(INDEX(LdgNoteB,$O603)="","—",INDEX(LdgNoteB,$O603)),""))</f>
        <v/>
      </c>
      <c r="N603">
        <f>IFERROR(MATCH($C$5&amp;"|"&amp;RIGHT("000000"&amp;587,6),LdgRankKeyA,0),"")</f>
        <v/>
      </c>
      <c r="O603">
        <f>IFERROR(MATCH($C$5&amp;"|"&amp;RIGHT("000000"&amp;587,6),LdgRankKeyB,0),"")</f>
        <v/>
      </c>
    </row>
    <row r="604">
      <c r="A604" s="23" t="n">
        <v>588</v>
      </c>
      <c r="B604" s="24">
        <f>IF(AND($N604="",$O604=""),"",IF($N604&lt;&gt;"",INDEX(PCNormDate,$N604),INDEX(LdgDateB,$O604)))</f>
        <v/>
      </c>
      <c r="C604" s="24">
        <f>IF($N604&lt;&gt;"",INDEX(PCOp,$N604),IF($O604&lt;&gt;"",IF(N(INDEX(TxnDepB,$O604))&gt;0,"دریافت بانکی","پرداخت بانکی"),""))</f>
        <v/>
      </c>
      <c r="D604" s="24">
        <f>IF($N604&lt;&gt;"",IF(INDEX(PCDoc,$N604)="","—",INDEX(PCDoc,$N604)),IF($O604&lt;&gt;"",INDEX(LdgBankB,$O604),""))</f>
        <v/>
      </c>
      <c r="E604" s="24">
        <f>IF($N604&lt;&gt;"",IF(INDEX(PCCitrus,$N604)="","—",INDEX(PCCitrus,$N604)),"")</f>
        <v/>
      </c>
      <c r="F604" s="25">
        <f>IF($N604&lt;&gt;"",IF(INDEX(PCScale,$N604)=0,"",INDEX(PCScale,$N604)),"")</f>
        <v/>
      </c>
      <c r="G604" s="25">
        <f>IF($N604&lt;&gt;"",IF(INDEX(PCBaskets,$N604)=0,"",INDEX(PCBaskets,$N604)),"")</f>
        <v/>
      </c>
      <c r="H604" s="26">
        <f>IF($N604&lt;&gt;"",IF(INDEX(PCNet,$N604)=0,"",INDEX(PCNet,$N604)),"")</f>
        <v/>
      </c>
      <c r="I604" s="25">
        <f>IF($N604&lt;&gt;"",IF(INDEX(PCOp,$N604)="مرجوعی خرید","",IF(INDEX(PCAmount,$N604)&lt;=0,"",INDEX(PCAmount,$N604))),IF($O604&lt;&gt;"",IF(INDEX(TxnDepB,$O604)=0,"",INDEX(TxnDepB,$O604)),""))</f>
        <v/>
      </c>
      <c r="J604" s="25">
        <f>IF($N604&lt;&gt;"",IF(INDEX(PCOp,$N604)="مرجوعی خرید",IF(INDEX(PCAmount,$N604)=0,"",-INDEX(PCAmount,$N604)),""),IF($O604&lt;&gt;"",IF(INDEX(TxnWitB,$O604)=0,"",INDEX(TxnWitB,$O604)),""))</f>
        <v/>
      </c>
      <c r="K604" s="27">
        <f>IF($B604="","",IF($K603="",$C$10,$K603)+IF($I604="",0,$I604)-IF($J604="",0,$J604))</f>
        <v/>
      </c>
      <c r="L604" s="28">
        <f>IF($N604&lt;&gt;"",IF(INDEX(PCNotes,$N604)="","—",INDEX(PCNotes,$N604)),IF($O604&lt;&gt;"",IF(INDEX(LdgNoteB,$O604)="","—",INDEX(LdgNoteB,$O604)),""))</f>
        <v/>
      </c>
      <c r="N604">
        <f>IFERROR(MATCH($C$5&amp;"|"&amp;RIGHT("000000"&amp;588,6),LdgRankKeyA,0),"")</f>
        <v/>
      </c>
      <c r="O604">
        <f>IFERROR(MATCH($C$5&amp;"|"&amp;RIGHT("000000"&amp;588,6),LdgRankKeyB,0),"")</f>
        <v/>
      </c>
    </row>
    <row r="605">
      <c r="A605" s="17" t="n">
        <v>589</v>
      </c>
      <c r="B605" s="18">
        <f>IF(AND($N605="",$O605=""),"",IF($N605&lt;&gt;"",INDEX(PCNormDate,$N605),INDEX(LdgDateB,$O605)))</f>
        <v/>
      </c>
      <c r="C605" s="18">
        <f>IF($N605&lt;&gt;"",INDEX(PCOp,$N605),IF($O605&lt;&gt;"",IF(N(INDEX(TxnDepB,$O605))&gt;0,"دریافت بانکی","پرداخت بانکی"),""))</f>
        <v/>
      </c>
      <c r="D605" s="18">
        <f>IF($N605&lt;&gt;"",IF(INDEX(PCDoc,$N605)="","—",INDEX(PCDoc,$N605)),IF($O605&lt;&gt;"",INDEX(LdgBankB,$O605),""))</f>
        <v/>
      </c>
      <c r="E605" s="18">
        <f>IF($N605&lt;&gt;"",IF(INDEX(PCCitrus,$N605)="","—",INDEX(PCCitrus,$N605)),"")</f>
        <v/>
      </c>
      <c r="F605" s="19">
        <f>IF($N605&lt;&gt;"",IF(INDEX(PCScale,$N605)=0,"",INDEX(PCScale,$N605)),"")</f>
        <v/>
      </c>
      <c r="G605" s="19">
        <f>IF($N605&lt;&gt;"",IF(INDEX(PCBaskets,$N605)=0,"",INDEX(PCBaskets,$N605)),"")</f>
        <v/>
      </c>
      <c r="H605" s="20">
        <f>IF($N605&lt;&gt;"",IF(INDEX(PCNet,$N605)=0,"",INDEX(PCNet,$N605)),"")</f>
        <v/>
      </c>
      <c r="I605" s="19">
        <f>IF($N605&lt;&gt;"",IF(INDEX(PCOp,$N605)="مرجوعی خرید","",IF(INDEX(PCAmount,$N605)&lt;=0,"",INDEX(PCAmount,$N605))),IF($O605&lt;&gt;"",IF(INDEX(TxnDepB,$O605)=0,"",INDEX(TxnDepB,$O605)),""))</f>
        <v/>
      </c>
      <c r="J605" s="19">
        <f>IF($N605&lt;&gt;"",IF(INDEX(PCOp,$N605)="مرجوعی خرید",IF(INDEX(PCAmount,$N605)=0,"",-INDEX(PCAmount,$N605)),""),IF($O605&lt;&gt;"",IF(INDEX(TxnWitB,$O605)=0,"",INDEX(TxnWitB,$O605)),""))</f>
        <v/>
      </c>
      <c r="K605" s="21">
        <f>IF($B605="","",IF($K604="",$C$10,$K604)+IF($I605="",0,$I605)-IF($J605="",0,$J605))</f>
        <v/>
      </c>
      <c r="L605" s="22">
        <f>IF($N605&lt;&gt;"",IF(INDEX(PCNotes,$N605)="","—",INDEX(PCNotes,$N605)),IF($O605&lt;&gt;"",IF(INDEX(LdgNoteB,$O605)="","—",INDEX(LdgNoteB,$O605)),""))</f>
        <v/>
      </c>
      <c r="N605">
        <f>IFERROR(MATCH($C$5&amp;"|"&amp;RIGHT("000000"&amp;589,6),LdgRankKeyA,0),"")</f>
        <v/>
      </c>
      <c r="O605">
        <f>IFERROR(MATCH($C$5&amp;"|"&amp;RIGHT("000000"&amp;589,6),LdgRankKeyB,0),"")</f>
        <v/>
      </c>
    </row>
    <row r="606">
      <c r="A606" s="23" t="n">
        <v>590</v>
      </c>
      <c r="B606" s="24">
        <f>IF(AND($N606="",$O606=""),"",IF($N606&lt;&gt;"",INDEX(PCNormDate,$N606),INDEX(LdgDateB,$O606)))</f>
        <v/>
      </c>
      <c r="C606" s="24">
        <f>IF($N606&lt;&gt;"",INDEX(PCOp,$N606),IF($O606&lt;&gt;"",IF(N(INDEX(TxnDepB,$O606))&gt;0,"دریافت بانکی","پرداخت بانکی"),""))</f>
        <v/>
      </c>
      <c r="D606" s="24">
        <f>IF($N606&lt;&gt;"",IF(INDEX(PCDoc,$N606)="","—",INDEX(PCDoc,$N606)),IF($O606&lt;&gt;"",INDEX(LdgBankB,$O606),""))</f>
        <v/>
      </c>
      <c r="E606" s="24">
        <f>IF($N606&lt;&gt;"",IF(INDEX(PCCitrus,$N606)="","—",INDEX(PCCitrus,$N606)),"")</f>
        <v/>
      </c>
      <c r="F606" s="25">
        <f>IF($N606&lt;&gt;"",IF(INDEX(PCScale,$N606)=0,"",INDEX(PCScale,$N606)),"")</f>
        <v/>
      </c>
      <c r="G606" s="25">
        <f>IF($N606&lt;&gt;"",IF(INDEX(PCBaskets,$N606)=0,"",INDEX(PCBaskets,$N606)),"")</f>
        <v/>
      </c>
      <c r="H606" s="26">
        <f>IF($N606&lt;&gt;"",IF(INDEX(PCNet,$N606)=0,"",INDEX(PCNet,$N606)),"")</f>
        <v/>
      </c>
      <c r="I606" s="25">
        <f>IF($N606&lt;&gt;"",IF(INDEX(PCOp,$N606)="مرجوعی خرید","",IF(INDEX(PCAmount,$N606)&lt;=0,"",INDEX(PCAmount,$N606))),IF($O606&lt;&gt;"",IF(INDEX(TxnDepB,$O606)=0,"",INDEX(TxnDepB,$O606)),""))</f>
        <v/>
      </c>
      <c r="J606" s="25">
        <f>IF($N606&lt;&gt;"",IF(INDEX(PCOp,$N606)="مرجوعی خرید",IF(INDEX(PCAmount,$N606)=0,"",-INDEX(PCAmount,$N606)),""),IF($O606&lt;&gt;"",IF(INDEX(TxnWitB,$O606)=0,"",INDEX(TxnWitB,$O606)),""))</f>
        <v/>
      </c>
      <c r="K606" s="27">
        <f>IF($B606="","",IF($K605="",$C$10,$K605)+IF($I606="",0,$I606)-IF($J606="",0,$J606))</f>
        <v/>
      </c>
      <c r="L606" s="28">
        <f>IF($N606&lt;&gt;"",IF(INDEX(PCNotes,$N606)="","—",INDEX(PCNotes,$N606)),IF($O606&lt;&gt;"",IF(INDEX(LdgNoteB,$O606)="","—",INDEX(LdgNoteB,$O606)),""))</f>
        <v/>
      </c>
      <c r="N606">
        <f>IFERROR(MATCH($C$5&amp;"|"&amp;RIGHT("000000"&amp;590,6),LdgRankKeyA,0),"")</f>
        <v/>
      </c>
      <c r="O606">
        <f>IFERROR(MATCH($C$5&amp;"|"&amp;RIGHT("000000"&amp;590,6),LdgRankKeyB,0),"")</f>
        <v/>
      </c>
    </row>
    <row r="607">
      <c r="A607" s="17" t="n">
        <v>591</v>
      </c>
      <c r="B607" s="18">
        <f>IF(AND($N607="",$O607=""),"",IF($N607&lt;&gt;"",INDEX(PCNormDate,$N607),INDEX(LdgDateB,$O607)))</f>
        <v/>
      </c>
      <c r="C607" s="18">
        <f>IF($N607&lt;&gt;"",INDEX(PCOp,$N607),IF($O607&lt;&gt;"",IF(N(INDEX(TxnDepB,$O607))&gt;0,"دریافت بانکی","پرداخت بانکی"),""))</f>
        <v/>
      </c>
      <c r="D607" s="18">
        <f>IF($N607&lt;&gt;"",IF(INDEX(PCDoc,$N607)="","—",INDEX(PCDoc,$N607)),IF($O607&lt;&gt;"",INDEX(LdgBankB,$O607),""))</f>
        <v/>
      </c>
      <c r="E607" s="18">
        <f>IF($N607&lt;&gt;"",IF(INDEX(PCCitrus,$N607)="","—",INDEX(PCCitrus,$N607)),"")</f>
        <v/>
      </c>
      <c r="F607" s="19">
        <f>IF($N607&lt;&gt;"",IF(INDEX(PCScale,$N607)=0,"",INDEX(PCScale,$N607)),"")</f>
        <v/>
      </c>
      <c r="G607" s="19">
        <f>IF($N607&lt;&gt;"",IF(INDEX(PCBaskets,$N607)=0,"",INDEX(PCBaskets,$N607)),"")</f>
        <v/>
      </c>
      <c r="H607" s="20">
        <f>IF($N607&lt;&gt;"",IF(INDEX(PCNet,$N607)=0,"",INDEX(PCNet,$N607)),"")</f>
        <v/>
      </c>
      <c r="I607" s="19">
        <f>IF($N607&lt;&gt;"",IF(INDEX(PCOp,$N607)="مرجوعی خرید","",IF(INDEX(PCAmount,$N607)&lt;=0,"",INDEX(PCAmount,$N607))),IF($O607&lt;&gt;"",IF(INDEX(TxnDepB,$O607)=0,"",INDEX(TxnDepB,$O607)),""))</f>
        <v/>
      </c>
      <c r="J607" s="19">
        <f>IF($N607&lt;&gt;"",IF(INDEX(PCOp,$N607)="مرجوعی خرید",IF(INDEX(PCAmount,$N607)=0,"",-INDEX(PCAmount,$N607)),""),IF($O607&lt;&gt;"",IF(INDEX(TxnWitB,$O607)=0,"",INDEX(TxnWitB,$O607)),""))</f>
        <v/>
      </c>
      <c r="K607" s="21">
        <f>IF($B607="","",IF($K606="",$C$10,$K606)+IF($I607="",0,$I607)-IF($J607="",0,$J607))</f>
        <v/>
      </c>
      <c r="L607" s="22">
        <f>IF($N607&lt;&gt;"",IF(INDEX(PCNotes,$N607)="","—",INDEX(PCNotes,$N607)),IF($O607&lt;&gt;"",IF(INDEX(LdgNoteB,$O607)="","—",INDEX(LdgNoteB,$O607)),""))</f>
        <v/>
      </c>
      <c r="N607">
        <f>IFERROR(MATCH($C$5&amp;"|"&amp;RIGHT("000000"&amp;591,6),LdgRankKeyA,0),"")</f>
        <v/>
      </c>
      <c r="O607">
        <f>IFERROR(MATCH($C$5&amp;"|"&amp;RIGHT("000000"&amp;591,6),LdgRankKeyB,0),"")</f>
        <v/>
      </c>
    </row>
    <row r="608">
      <c r="A608" s="23" t="n">
        <v>592</v>
      </c>
      <c r="B608" s="24">
        <f>IF(AND($N608="",$O608=""),"",IF($N608&lt;&gt;"",INDEX(PCNormDate,$N608),INDEX(LdgDateB,$O608)))</f>
        <v/>
      </c>
      <c r="C608" s="24">
        <f>IF($N608&lt;&gt;"",INDEX(PCOp,$N608),IF($O608&lt;&gt;"",IF(N(INDEX(TxnDepB,$O608))&gt;0,"دریافت بانکی","پرداخت بانکی"),""))</f>
        <v/>
      </c>
      <c r="D608" s="24">
        <f>IF($N608&lt;&gt;"",IF(INDEX(PCDoc,$N608)="","—",INDEX(PCDoc,$N608)),IF($O608&lt;&gt;"",INDEX(LdgBankB,$O608),""))</f>
        <v/>
      </c>
      <c r="E608" s="24">
        <f>IF($N608&lt;&gt;"",IF(INDEX(PCCitrus,$N608)="","—",INDEX(PCCitrus,$N608)),"")</f>
        <v/>
      </c>
      <c r="F608" s="25">
        <f>IF($N608&lt;&gt;"",IF(INDEX(PCScale,$N608)=0,"",INDEX(PCScale,$N608)),"")</f>
        <v/>
      </c>
      <c r="G608" s="25">
        <f>IF($N608&lt;&gt;"",IF(INDEX(PCBaskets,$N608)=0,"",INDEX(PCBaskets,$N608)),"")</f>
        <v/>
      </c>
      <c r="H608" s="26">
        <f>IF($N608&lt;&gt;"",IF(INDEX(PCNet,$N608)=0,"",INDEX(PCNet,$N608)),"")</f>
        <v/>
      </c>
      <c r="I608" s="25">
        <f>IF($N608&lt;&gt;"",IF(INDEX(PCOp,$N608)="مرجوعی خرید","",IF(INDEX(PCAmount,$N608)&lt;=0,"",INDEX(PCAmount,$N608))),IF($O608&lt;&gt;"",IF(INDEX(TxnDepB,$O608)=0,"",INDEX(TxnDepB,$O608)),""))</f>
        <v/>
      </c>
      <c r="J608" s="25">
        <f>IF($N608&lt;&gt;"",IF(INDEX(PCOp,$N608)="مرجوعی خرید",IF(INDEX(PCAmount,$N608)=0,"",-INDEX(PCAmount,$N608)),""),IF($O608&lt;&gt;"",IF(INDEX(TxnWitB,$O608)=0,"",INDEX(TxnWitB,$O608)),""))</f>
        <v/>
      </c>
      <c r="K608" s="27">
        <f>IF($B608="","",IF($K607="",$C$10,$K607)+IF($I608="",0,$I608)-IF($J608="",0,$J608))</f>
        <v/>
      </c>
      <c r="L608" s="28">
        <f>IF($N608&lt;&gt;"",IF(INDEX(PCNotes,$N608)="","—",INDEX(PCNotes,$N608)),IF($O608&lt;&gt;"",IF(INDEX(LdgNoteB,$O608)="","—",INDEX(LdgNoteB,$O608)),""))</f>
        <v/>
      </c>
      <c r="N608">
        <f>IFERROR(MATCH($C$5&amp;"|"&amp;RIGHT("000000"&amp;592,6),LdgRankKeyA,0),"")</f>
        <v/>
      </c>
      <c r="O608">
        <f>IFERROR(MATCH($C$5&amp;"|"&amp;RIGHT("000000"&amp;592,6),LdgRankKeyB,0),"")</f>
        <v/>
      </c>
    </row>
    <row r="609">
      <c r="A609" s="17" t="n">
        <v>593</v>
      </c>
      <c r="B609" s="18">
        <f>IF(AND($N609="",$O609=""),"",IF($N609&lt;&gt;"",INDEX(PCNormDate,$N609),INDEX(LdgDateB,$O609)))</f>
        <v/>
      </c>
      <c r="C609" s="18">
        <f>IF($N609&lt;&gt;"",INDEX(PCOp,$N609),IF($O609&lt;&gt;"",IF(N(INDEX(TxnDepB,$O609))&gt;0,"دریافت بانکی","پرداخت بانکی"),""))</f>
        <v/>
      </c>
      <c r="D609" s="18">
        <f>IF($N609&lt;&gt;"",IF(INDEX(PCDoc,$N609)="","—",INDEX(PCDoc,$N609)),IF($O609&lt;&gt;"",INDEX(LdgBankB,$O609),""))</f>
        <v/>
      </c>
      <c r="E609" s="18">
        <f>IF($N609&lt;&gt;"",IF(INDEX(PCCitrus,$N609)="","—",INDEX(PCCitrus,$N609)),"")</f>
        <v/>
      </c>
      <c r="F609" s="19">
        <f>IF($N609&lt;&gt;"",IF(INDEX(PCScale,$N609)=0,"",INDEX(PCScale,$N609)),"")</f>
        <v/>
      </c>
      <c r="G609" s="19">
        <f>IF($N609&lt;&gt;"",IF(INDEX(PCBaskets,$N609)=0,"",INDEX(PCBaskets,$N609)),"")</f>
        <v/>
      </c>
      <c r="H609" s="20">
        <f>IF($N609&lt;&gt;"",IF(INDEX(PCNet,$N609)=0,"",INDEX(PCNet,$N609)),"")</f>
        <v/>
      </c>
      <c r="I609" s="19">
        <f>IF($N609&lt;&gt;"",IF(INDEX(PCOp,$N609)="مرجوعی خرید","",IF(INDEX(PCAmount,$N609)&lt;=0,"",INDEX(PCAmount,$N609))),IF($O609&lt;&gt;"",IF(INDEX(TxnDepB,$O609)=0,"",INDEX(TxnDepB,$O609)),""))</f>
        <v/>
      </c>
      <c r="J609" s="19">
        <f>IF($N609&lt;&gt;"",IF(INDEX(PCOp,$N609)="مرجوعی خرید",IF(INDEX(PCAmount,$N609)=0,"",-INDEX(PCAmount,$N609)),""),IF($O609&lt;&gt;"",IF(INDEX(TxnWitB,$O609)=0,"",INDEX(TxnWitB,$O609)),""))</f>
        <v/>
      </c>
      <c r="K609" s="21">
        <f>IF($B609="","",IF($K608="",$C$10,$K608)+IF($I609="",0,$I609)-IF($J609="",0,$J609))</f>
        <v/>
      </c>
      <c r="L609" s="22">
        <f>IF($N609&lt;&gt;"",IF(INDEX(PCNotes,$N609)="","—",INDEX(PCNotes,$N609)),IF($O609&lt;&gt;"",IF(INDEX(LdgNoteB,$O609)="","—",INDEX(LdgNoteB,$O609)),""))</f>
        <v/>
      </c>
      <c r="N609">
        <f>IFERROR(MATCH($C$5&amp;"|"&amp;RIGHT("000000"&amp;593,6),LdgRankKeyA,0),"")</f>
        <v/>
      </c>
      <c r="O609">
        <f>IFERROR(MATCH($C$5&amp;"|"&amp;RIGHT("000000"&amp;593,6),LdgRankKeyB,0),"")</f>
        <v/>
      </c>
    </row>
    <row r="610">
      <c r="A610" s="23" t="n">
        <v>594</v>
      </c>
      <c r="B610" s="24">
        <f>IF(AND($N610="",$O610=""),"",IF($N610&lt;&gt;"",INDEX(PCNormDate,$N610),INDEX(LdgDateB,$O610)))</f>
        <v/>
      </c>
      <c r="C610" s="24">
        <f>IF($N610&lt;&gt;"",INDEX(PCOp,$N610),IF($O610&lt;&gt;"",IF(N(INDEX(TxnDepB,$O610))&gt;0,"دریافت بانکی","پرداخت بانکی"),""))</f>
        <v/>
      </c>
      <c r="D610" s="24">
        <f>IF($N610&lt;&gt;"",IF(INDEX(PCDoc,$N610)="","—",INDEX(PCDoc,$N610)),IF($O610&lt;&gt;"",INDEX(LdgBankB,$O610),""))</f>
        <v/>
      </c>
      <c r="E610" s="24">
        <f>IF($N610&lt;&gt;"",IF(INDEX(PCCitrus,$N610)="","—",INDEX(PCCitrus,$N610)),"")</f>
        <v/>
      </c>
      <c r="F610" s="25">
        <f>IF($N610&lt;&gt;"",IF(INDEX(PCScale,$N610)=0,"",INDEX(PCScale,$N610)),"")</f>
        <v/>
      </c>
      <c r="G610" s="25">
        <f>IF($N610&lt;&gt;"",IF(INDEX(PCBaskets,$N610)=0,"",INDEX(PCBaskets,$N610)),"")</f>
        <v/>
      </c>
      <c r="H610" s="26">
        <f>IF($N610&lt;&gt;"",IF(INDEX(PCNet,$N610)=0,"",INDEX(PCNet,$N610)),"")</f>
        <v/>
      </c>
      <c r="I610" s="25">
        <f>IF($N610&lt;&gt;"",IF(INDEX(PCOp,$N610)="مرجوعی خرید","",IF(INDEX(PCAmount,$N610)&lt;=0,"",INDEX(PCAmount,$N610))),IF($O610&lt;&gt;"",IF(INDEX(TxnDepB,$O610)=0,"",INDEX(TxnDepB,$O610)),""))</f>
        <v/>
      </c>
      <c r="J610" s="25">
        <f>IF($N610&lt;&gt;"",IF(INDEX(PCOp,$N610)="مرجوعی خرید",IF(INDEX(PCAmount,$N610)=0,"",-INDEX(PCAmount,$N610)),""),IF($O610&lt;&gt;"",IF(INDEX(TxnWitB,$O610)=0,"",INDEX(TxnWitB,$O610)),""))</f>
        <v/>
      </c>
      <c r="K610" s="27">
        <f>IF($B610="","",IF($K609="",$C$10,$K609)+IF($I610="",0,$I610)-IF($J610="",0,$J610))</f>
        <v/>
      </c>
      <c r="L610" s="28">
        <f>IF($N610&lt;&gt;"",IF(INDEX(PCNotes,$N610)="","—",INDEX(PCNotes,$N610)),IF($O610&lt;&gt;"",IF(INDEX(LdgNoteB,$O610)="","—",INDEX(LdgNoteB,$O610)),""))</f>
        <v/>
      </c>
      <c r="N610">
        <f>IFERROR(MATCH($C$5&amp;"|"&amp;RIGHT("000000"&amp;594,6),LdgRankKeyA,0),"")</f>
        <v/>
      </c>
      <c r="O610">
        <f>IFERROR(MATCH($C$5&amp;"|"&amp;RIGHT("000000"&amp;594,6),LdgRankKeyB,0),"")</f>
        <v/>
      </c>
    </row>
    <row r="611">
      <c r="A611" s="17" t="n">
        <v>595</v>
      </c>
      <c r="B611" s="18">
        <f>IF(AND($N611="",$O611=""),"",IF($N611&lt;&gt;"",INDEX(PCNormDate,$N611),INDEX(LdgDateB,$O611)))</f>
        <v/>
      </c>
      <c r="C611" s="18">
        <f>IF($N611&lt;&gt;"",INDEX(PCOp,$N611),IF($O611&lt;&gt;"",IF(N(INDEX(TxnDepB,$O611))&gt;0,"دریافت بانکی","پرداخت بانکی"),""))</f>
        <v/>
      </c>
      <c r="D611" s="18">
        <f>IF($N611&lt;&gt;"",IF(INDEX(PCDoc,$N611)="","—",INDEX(PCDoc,$N611)),IF($O611&lt;&gt;"",INDEX(LdgBankB,$O611),""))</f>
        <v/>
      </c>
      <c r="E611" s="18">
        <f>IF($N611&lt;&gt;"",IF(INDEX(PCCitrus,$N611)="","—",INDEX(PCCitrus,$N611)),"")</f>
        <v/>
      </c>
      <c r="F611" s="19">
        <f>IF($N611&lt;&gt;"",IF(INDEX(PCScale,$N611)=0,"",INDEX(PCScale,$N611)),"")</f>
        <v/>
      </c>
      <c r="G611" s="19">
        <f>IF($N611&lt;&gt;"",IF(INDEX(PCBaskets,$N611)=0,"",INDEX(PCBaskets,$N611)),"")</f>
        <v/>
      </c>
      <c r="H611" s="20">
        <f>IF($N611&lt;&gt;"",IF(INDEX(PCNet,$N611)=0,"",INDEX(PCNet,$N611)),"")</f>
        <v/>
      </c>
      <c r="I611" s="19">
        <f>IF($N611&lt;&gt;"",IF(INDEX(PCOp,$N611)="مرجوعی خرید","",IF(INDEX(PCAmount,$N611)&lt;=0,"",INDEX(PCAmount,$N611))),IF($O611&lt;&gt;"",IF(INDEX(TxnDepB,$O611)=0,"",INDEX(TxnDepB,$O611)),""))</f>
        <v/>
      </c>
      <c r="J611" s="19">
        <f>IF($N611&lt;&gt;"",IF(INDEX(PCOp,$N611)="مرجوعی خرید",IF(INDEX(PCAmount,$N611)=0,"",-INDEX(PCAmount,$N611)),""),IF($O611&lt;&gt;"",IF(INDEX(TxnWitB,$O611)=0,"",INDEX(TxnWitB,$O611)),""))</f>
        <v/>
      </c>
      <c r="K611" s="21">
        <f>IF($B611="","",IF($K610="",$C$10,$K610)+IF($I611="",0,$I611)-IF($J611="",0,$J611))</f>
        <v/>
      </c>
      <c r="L611" s="22">
        <f>IF($N611&lt;&gt;"",IF(INDEX(PCNotes,$N611)="","—",INDEX(PCNotes,$N611)),IF($O611&lt;&gt;"",IF(INDEX(LdgNoteB,$O611)="","—",INDEX(LdgNoteB,$O611)),""))</f>
        <v/>
      </c>
      <c r="N611">
        <f>IFERROR(MATCH($C$5&amp;"|"&amp;RIGHT("000000"&amp;595,6),LdgRankKeyA,0),"")</f>
        <v/>
      </c>
      <c r="O611">
        <f>IFERROR(MATCH($C$5&amp;"|"&amp;RIGHT("000000"&amp;595,6),LdgRankKeyB,0),"")</f>
        <v/>
      </c>
    </row>
    <row r="612">
      <c r="A612" s="23" t="n">
        <v>596</v>
      </c>
      <c r="B612" s="24">
        <f>IF(AND($N612="",$O612=""),"",IF($N612&lt;&gt;"",INDEX(PCNormDate,$N612),INDEX(LdgDateB,$O612)))</f>
        <v/>
      </c>
      <c r="C612" s="24">
        <f>IF($N612&lt;&gt;"",INDEX(PCOp,$N612),IF($O612&lt;&gt;"",IF(N(INDEX(TxnDepB,$O612))&gt;0,"دریافت بانکی","پرداخت بانکی"),""))</f>
        <v/>
      </c>
      <c r="D612" s="24">
        <f>IF($N612&lt;&gt;"",IF(INDEX(PCDoc,$N612)="","—",INDEX(PCDoc,$N612)),IF($O612&lt;&gt;"",INDEX(LdgBankB,$O612),""))</f>
        <v/>
      </c>
      <c r="E612" s="24">
        <f>IF($N612&lt;&gt;"",IF(INDEX(PCCitrus,$N612)="","—",INDEX(PCCitrus,$N612)),"")</f>
        <v/>
      </c>
      <c r="F612" s="25">
        <f>IF($N612&lt;&gt;"",IF(INDEX(PCScale,$N612)=0,"",INDEX(PCScale,$N612)),"")</f>
        <v/>
      </c>
      <c r="G612" s="25">
        <f>IF($N612&lt;&gt;"",IF(INDEX(PCBaskets,$N612)=0,"",INDEX(PCBaskets,$N612)),"")</f>
        <v/>
      </c>
      <c r="H612" s="26">
        <f>IF($N612&lt;&gt;"",IF(INDEX(PCNet,$N612)=0,"",INDEX(PCNet,$N612)),"")</f>
        <v/>
      </c>
      <c r="I612" s="25">
        <f>IF($N612&lt;&gt;"",IF(INDEX(PCOp,$N612)="مرجوعی خرید","",IF(INDEX(PCAmount,$N612)&lt;=0,"",INDEX(PCAmount,$N612))),IF($O612&lt;&gt;"",IF(INDEX(TxnDepB,$O612)=0,"",INDEX(TxnDepB,$O612)),""))</f>
        <v/>
      </c>
      <c r="J612" s="25">
        <f>IF($N612&lt;&gt;"",IF(INDEX(PCOp,$N612)="مرجوعی خرید",IF(INDEX(PCAmount,$N612)=0,"",-INDEX(PCAmount,$N612)),""),IF($O612&lt;&gt;"",IF(INDEX(TxnWitB,$O612)=0,"",INDEX(TxnWitB,$O612)),""))</f>
        <v/>
      </c>
      <c r="K612" s="27">
        <f>IF($B612="","",IF($K611="",$C$10,$K611)+IF($I612="",0,$I612)-IF($J612="",0,$J612))</f>
        <v/>
      </c>
      <c r="L612" s="28">
        <f>IF($N612&lt;&gt;"",IF(INDEX(PCNotes,$N612)="","—",INDEX(PCNotes,$N612)),IF($O612&lt;&gt;"",IF(INDEX(LdgNoteB,$O612)="","—",INDEX(LdgNoteB,$O612)),""))</f>
        <v/>
      </c>
      <c r="N612">
        <f>IFERROR(MATCH($C$5&amp;"|"&amp;RIGHT("000000"&amp;596,6),LdgRankKeyA,0),"")</f>
        <v/>
      </c>
      <c r="O612">
        <f>IFERROR(MATCH($C$5&amp;"|"&amp;RIGHT("000000"&amp;596,6),LdgRankKeyB,0),"")</f>
        <v/>
      </c>
    </row>
    <row r="613">
      <c r="A613" s="17" t="n">
        <v>597</v>
      </c>
      <c r="B613" s="18">
        <f>IF(AND($N613="",$O613=""),"",IF($N613&lt;&gt;"",INDEX(PCNormDate,$N613),INDEX(LdgDateB,$O613)))</f>
        <v/>
      </c>
      <c r="C613" s="18">
        <f>IF($N613&lt;&gt;"",INDEX(PCOp,$N613),IF($O613&lt;&gt;"",IF(N(INDEX(TxnDepB,$O613))&gt;0,"دریافت بانکی","پرداخت بانکی"),""))</f>
        <v/>
      </c>
      <c r="D613" s="18">
        <f>IF($N613&lt;&gt;"",IF(INDEX(PCDoc,$N613)="","—",INDEX(PCDoc,$N613)),IF($O613&lt;&gt;"",INDEX(LdgBankB,$O613),""))</f>
        <v/>
      </c>
      <c r="E613" s="18">
        <f>IF($N613&lt;&gt;"",IF(INDEX(PCCitrus,$N613)="","—",INDEX(PCCitrus,$N613)),"")</f>
        <v/>
      </c>
      <c r="F613" s="19">
        <f>IF($N613&lt;&gt;"",IF(INDEX(PCScale,$N613)=0,"",INDEX(PCScale,$N613)),"")</f>
        <v/>
      </c>
      <c r="G613" s="19">
        <f>IF($N613&lt;&gt;"",IF(INDEX(PCBaskets,$N613)=0,"",INDEX(PCBaskets,$N613)),"")</f>
        <v/>
      </c>
      <c r="H613" s="20">
        <f>IF($N613&lt;&gt;"",IF(INDEX(PCNet,$N613)=0,"",INDEX(PCNet,$N613)),"")</f>
        <v/>
      </c>
      <c r="I613" s="19">
        <f>IF($N613&lt;&gt;"",IF(INDEX(PCOp,$N613)="مرجوعی خرید","",IF(INDEX(PCAmount,$N613)&lt;=0,"",INDEX(PCAmount,$N613))),IF($O613&lt;&gt;"",IF(INDEX(TxnDepB,$O613)=0,"",INDEX(TxnDepB,$O613)),""))</f>
        <v/>
      </c>
      <c r="J613" s="19">
        <f>IF($N613&lt;&gt;"",IF(INDEX(PCOp,$N613)="مرجوعی خرید",IF(INDEX(PCAmount,$N613)=0,"",-INDEX(PCAmount,$N613)),""),IF($O613&lt;&gt;"",IF(INDEX(TxnWitB,$O613)=0,"",INDEX(TxnWitB,$O613)),""))</f>
        <v/>
      </c>
      <c r="K613" s="21">
        <f>IF($B613="","",IF($K612="",$C$10,$K612)+IF($I613="",0,$I613)-IF($J613="",0,$J613))</f>
        <v/>
      </c>
      <c r="L613" s="22">
        <f>IF($N613&lt;&gt;"",IF(INDEX(PCNotes,$N613)="","—",INDEX(PCNotes,$N613)),IF($O613&lt;&gt;"",IF(INDEX(LdgNoteB,$O613)="","—",INDEX(LdgNoteB,$O613)),""))</f>
        <v/>
      </c>
      <c r="N613">
        <f>IFERROR(MATCH($C$5&amp;"|"&amp;RIGHT("000000"&amp;597,6),LdgRankKeyA,0),"")</f>
        <v/>
      </c>
      <c r="O613">
        <f>IFERROR(MATCH($C$5&amp;"|"&amp;RIGHT("000000"&amp;597,6),LdgRankKeyB,0),"")</f>
        <v/>
      </c>
    </row>
    <row r="614">
      <c r="A614" s="23" t="n">
        <v>598</v>
      </c>
      <c r="B614" s="24">
        <f>IF(AND($N614="",$O614=""),"",IF($N614&lt;&gt;"",INDEX(PCNormDate,$N614),INDEX(LdgDateB,$O614)))</f>
        <v/>
      </c>
      <c r="C614" s="24">
        <f>IF($N614&lt;&gt;"",INDEX(PCOp,$N614),IF($O614&lt;&gt;"",IF(N(INDEX(TxnDepB,$O614))&gt;0,"دریافت بانکی","پرداخت بانکی"),""))</f>
        <v/>
      </c>
      <c r="D614" s="24">
        <f>IF($N614&lt;&gt;"",IF(INDEX(PCDoc,$N614)="","—",INDEX(PCDoc,$N614)),IF($O614&lt;&gt;"",INDEX(LdgBankB,$O614),""))</f>
        <v/>
      </c>
      <c r="E614" s="24">
        <f>IF($N614&lt;&gt;"",IF(INDEX(PCCitrus,$N614)="","—",INDEX(PCCitrus,$N614)),"")</f>
        <v/>
      </c>
      <c r="F614" s="25">
        <f>IF($N614&lt;&gt;"",IF(INDEX(PCScale,$N614)=0,"",INDEX(PCScale,$N614)),"")</f>
        <v/>
      </c>
      <c r="G614" s="25">
        <f>IF($N614&lt;&gt;"",IF(INDEX(PCBaskets,$N614)=0,"",INDEX(PCBaskets,$N614)),"")</f>
        <v/>
      </c>
      <c r="H614" s="26">
        <f>IF($N614&lt;&gt;"",IF(INDEX(PCNet,$N614)=0,"",INDEX(PCNet,$N614)),"")</f>
        <v/>
      </c>
      <c r="I614" s="25">
        <f>IF($N614&lt;&gt;"",IF(INDEX(PCOp,$N614)="مرجوعی خرید","",IF(INDEX(PCAmount,$N614)&lt;=0,"",INDEX(PCAmount,$N614))),IF($O614&lt;&gt;"",IF(INDEX(TxnDepB,$O614)=0,"",INDEX(TxnDepB,$O614)),""))</f>
        <v/>
      </c>
      <c r="J614" s="25">
        <f>IF($N614&lt;&gt;"",IF(INDEX(PCOp,$N614)="مرجوعی خرید",IF(INDEX(PCAmount,$N614)=0,"",-INDEX(PCAmount,$N614)),""),IF($O614&lt;&gt;"",IF(INDEX(TxnWitB,$O614)=0,"",INDEX(TxnWitB,$O614)),""))</f>
        <v/>
      </c>
      <c r="K614" s="27">
        <f>IF($B614="","",IF($K613="",$C$10,$K613)+IF($I614="",0,$I614)-IF($J614="",0,$J614))</f>
        <v/>
      </c>
      <c r="L614" s="28">
        <f>IF($N614&lt;&gt;"",IF(INDEX(PCNotes,$N614)="","—",INDEX(PCNotes,$N614)),IF($O614&lt;&gt;"",IF(INDEX(LdgNoteB,$O614)="","—",INDEX(LdgNoteB,$O614)),""))</f>
        <v/>
      </c>
      <c r="N614">
        <f>IFERROR(MATCH($C$5&amp;"|"&amp;RIGHT("000000"&amp;598,6),LdgRankKeyA,0),"")</f>
        <v/>
      </c>
      <c r="O614">
        <f>IFERROR(MATCH($C$5&amp;"|"&amp;RIGHT("000000"&amp;598,6),LdgRankKeyB,0),"")</f>
        <v/>
      </c>
    </row>
    <row r="615">
      <c r="A615" s="17" t="n">
        <v>599</v>
      </c>
      <c r="B615" s="18">
        <f>IF(AND($N615="",$O615=""),"",IF($N615&lt;&gt;"",INDEX(PCNormDate,$N615),INDEX(LdgDateB,$O615)))</f>
        <v/>
      </c>
      <c r="C615" s="18">
        <f>IF($N615&lt;&gt;"",INDEX(PCOp,$N615),IF($O615&lt;&gt;"",IF(N(INDEX(TxnDepB,$O615))&gt;0,"دریافت بانکی","پرداخت بانکی"),""))</f>
        <v/>
      </c>
      <c r="D615" s="18">
        <f>IF($N615&lt;&gt;"",IF(INDEX(PCDoc,$N615)="","—",INDEX(PCDoc,$N615)),IF($O615&lt;&gt;"",INDEX(LdgBankB,$O615),""))</f>
        <v/>
      </c>
      <c r="E615" s="18">
        <f>IF($N615&lt;&gt;"",IF(INDEX(PCCitrus,$N615)="","—",INDEX(PCCitrus,$N615)),"")</f>
        <v/>
      </c>
      <c r="F615" s="19">
        <f>IF($N615&lt;&gt;"",IF(INDEX(PCScale,$N615)=0,"",INDEX(PCScale,$N615)),"")</f>
        <v/>
      </c>
      <c r="G615" s="19">
        <f>IF($N615&lt;&gt;"",IF(INDEX(PCBaskets,$N615)=0,"",INDEX(PCBaskets,$N615)),"")</f>
        <v/>
      </c>
      <c r="H615" s="20">
        <f>IF($N615&lt;&gt;"",IF(INDEX(PCNet,$N615)=0,"",INDEX(PCNet,$N615)),"")</f>
        <v/>
      </c>
      <c r="I615" s="19">
        <f>IF($N615&lt;&gt;"",IF(INDEX(PCOp,$N615)="مرجوعی خرید","",IF(INDEX(PCAmount,$N615)&lt;=0,"",INDEX(PCAmount,$N615))),IF($O615&lt;&gt;"",IF(INDEX(TxnDepB,$O615)=0,"",INDEX(TxnDepB,$O615)),""))</f>
        <v/>
      </c>
      <c r="J615" s="19">
        <f>IF($N615&lt;&gt;"",IF(INDEX(PCOp,$N615)="مرجوعی خرید",IF(INDEX(PCAmount,$N615)=0,"",-INDEX(PCAmount,$N615)),""),IF($O615&lt;&gt;"",IF(INDEX(TxnWitB,$O615)=0,"",INDEX(TxnWitB,$O615)),""))</f>
        <v/>
      </c>
      <c r="K615" s="21">
        <f>IF($B615="","",IF($K614="",$C$10,$K614)+IF($I615="",0,$I615)-IF($J615="",0,$J615))</f>
        <v/>
      </c>
      <c r="L615" s="22">
        <f>IF($N615&lt;&gt;"",IF(INDEX(PCNotes,$N615)="","—",INDEX(PCNotes,$N615)),IF($O615&lt;&gt;"",IF(INDEX(LdgNoteB,$O615)="","—",INDEX(LdgNoteB,$O615)),""))</f>
        <v/>
      </c>
      <c r="N615">
        <f>IFERROR(MATCH($C$5&amp;"|"&amp;RIGHT("000000"&amp;599,6),LdgRankKeyA,0),"")</f>
        <v/>
      </c>
      <c r="O615">
        <f>IFERROR(MATCH($C$5&amp;"|"&amp;RIGHT("000000"&amp;599,6),LdgRankKeyB,0),"")</f>
        <v/>
      </c>
    </row>
    <row r="616">
      <c r="A616" s="23" t="n">
        <v>600</v>
      </c>
      <c r="B616" s="24">
        <f>IF(AND($N616="",$O616=""),"",IF($N616&lt;&gt;"",INDEX(PCNormDate,$N616),INDEX(LdgDateB,$O616)))</f>
        <v/>
      </c>
      <c r="C616" s="24">
        <f>IF($N616&lt;&gt;"",INDEX(PCOp,$N616),IF($O616&lt;&gt;"",IF(N(INDEX(TxnDepB,$O616))&gt;0,"دریافت بانکی","پرداخت بانکی"),""))</f>
        <v/>
      </c>
      <c r="D616" s="24">
        <f>IF($N616&lt;&gt;"",IF(INDEX(PCDoc,$N616)="","—",INDEX(PCDoc,$N616)),IF($O616&lt;&gt;"",INDEX(LdgBankB,$O616),""))</f>
        <v/>
      </c>
      <c r="E616" s="24">
        <f>IF($N616&lt;&gt;"",IF(INDEX(PCCitrus,$N616)="","—",INDEX(PCCitrus,$N616)),"")</f>
        <v/>
      </c>
      <c r="F616" s="25">
        <f>IF($N616&lt;&gt;"",IF(INDEX(PCScale,$N616)=0,"",INDEX(PCScale,$N616)),"")</f>
        <v/>
      </c>
      <c r="G616" s="25">
        <f>IF($N616&lt;&gt;"",IF(INDEX(PCBaskets,$N616)=0,"",INDEX(PCBaskets,$N616)),"")</f>
        <v/>
      </c>
      <c r="H616" s="26">
        <f>IF($N616&lt;&gt;"",IF(INDEX(PCNet,$N616)=0,"",INDEX(PCNet,$N616)),"")</f>
        <v/>
      </c>
      <c r="I616" s="25">
        <f>IF($N616&lt;&gt;"",IF(INDEX(PCOp,$N616)="مرجوعی خرید","",IF(INDEX(PCAmount,$N616)&lt;=0,"",INDEX(PCAmount,$N616))),IF($O616&lt;&gt;"",IF(INDEX(TxnDepB,$O616)=0,"",INDEX(TxnDepB,$O616)),""))</f>
        <v/>
      </c>
      <c r="J616" s="25">
        <f>IF($N616&lt;&gt;"",IF(INDEX(PCOp,$N616)="مرجوعی خرید",IF(INDEX(PCAmount,$N616)=0,"",-INDEX(PCAmount,$N616)),""),IF($O616&lt;&gt;"",IF(INDEX(TxnWitB,$O616)=0,"",INDEX(TxnWitB,$O616)),""))</f>
        <v/>
      </c>
      <c r="K616" s="27">
        <f>IF($B616="","",IF($K615="",$C$10,$K615)+IF($I616="",0,$I616)-IF($J616="",0,$J616))</f>
        <v/>
      </c>
      <c r="L616" s="28">
        <f>IF($N616&lt;&gt;"",IF(INDEX(PCNotes,$N616)="","—",INDEX(PCNotes,$N616)),IF($O616&lt;&gt;"",IF(INDEX(LdgNoteB,$O616)="","—",INDEX(LdgNoteB,$O616)),""))</f>
        <v/>
      </c>
      <c r="N616">
        <f>IFERROR(MATCH($C$5&amp;"|"&amp;RIGHT("000000"&amp;600,6),LdgRankKeyA,0),"")</f>
        <v/>
      </c>
      <c r="O616">
        <f>IFERROR(MATCH($C$5&amp;"|"&amp;RIGHT("000000"&amp;600,6),LdgRankKeyB,0),"")</f>
        <v/>
      </c>
    </row>
    <row r="617">
      <c r="A617" s="17" t="n">
        <v>601</v>
      </c>
      <c r="B617" s="18">
        <f>IF(AND($N617="",$O617=""),"",IF($N617&lt;&gt;"",INDEX(PCNormDate,$N617),INDEX(LdgDateB,$O617)))</f>
        <v/>
      </c>
      <c r="C617" s="18">
        <f>IF($N617&lt;&gt;"",INDEX(PCOp,$N617),IF($O617&lt;&gt;"",IF(N(INDEX(TxnDepB,$O617))&gt;0,"دریافت بانکی","پرداخت بانکی"),""))</f>
        <v/>
      </c>
      <c r="D617" s="18">
        <f>IF($N617&lt;&gt;"",IF(INDEX(PCDoc,$N617)="","—",INDEX(PCDoc,$N617)),IF($O617&lt;&gt;"",INDEX(LdgBankB,$O617),""))</f>
        <v/>
      </c>
      <c r="E617" s="18">
        <f>IF($N617&lt;&gt;"",IF(INDEX(PCCitrus,$N617)="","—",INDEX(PCCitrus,$N617)),"")</f>
        <v/>
      </c>
      <c r="F617" s="19">
        <f>IF($N617&lt;&gt;"",IF(INDEX(PCScale,$N617)=0,"",INDEX(PCScale,$N617)),"")</f>
        <v/>
      </c>
      <c r="G617" s="19">
        <f>IF($N617&lt;&gt;"",IF(INDEX(PCBaskets,$N617)=0,"",INDEX(PCBaskets,$N617)),"")</f>
        <v/>
      </c>
      <c r="H617" s="20">
        <f>IF($N617&lt;&gt;"",IF(INDEX(PCNet,$N617)=0,"",INDEX(PCNet,$N617)),"")</f>
        <v/>
      </c>
      <c r="I617" s="19">
        <f>IF($N617&lt;&gt;"",IF(INDEX(PCOp,$N617)="مرجوعی خرید","",IF(INDEX(PCAmount,$N617)&lt;=0,"",INDEX(PCAmount,$N617))),IF($O617&lt;&gt;"",IF(INDEX(TxnDepB,$O617)=0,"",INDEX(TxnDepB,$O617)),""))</f>
        <v/>
      </c>
      <c r="J617" s="19">
        <f>IF($N617&lt;&gt;"",IF(INDEX(PCOp,$N617)="مرجوعی خرید",IF(INDEX(PCAmount,$N617)=0,"",-INDEX(PCAmount,$N617)),""),IF($O617&lt;&gt;"",IF(INDEX(TxnWitB,$O617)=0,"",INDEX(TxnWitB,$O617)),""))</f>
        <v/>
      </c>
      <c r="K617" s="21">
        <f>IF($B617="","",IF($K616="",$C$10,$K616)+IF($I617="",0,$I617)-IF($J617="",0,$J617))</f>
        <v/>
      </c>
      <c r="L617" s="22">
        <f>IF($N617&lt;&gt;"",IF(INDEX(PCNotes,$N617)="","—",INDEX(PCNotes,$N617)),IF($O617&lt;&gt;"",IF(INDEX(LdgNoteB,$O617)="","—",INDEX(LdgNoteB,$O617)),""))</f>
        <v/>
      </c>
      <c r="N617">
        <f>IFERROR(MATCH($C$5&amp;"|"&amp;RIGHT("000000"&amp;601,6),LdgRankKeyA,0),"")</f>
        <v/>
      </c>
      <c r="O617">
        <f>IFERROR(MATCH($C$5&amp;"|"&amp;RIGHT("000000"&amp;601,6),LdgRankKeyB,0),"")</f>
        <v/>
      </c>
    </row>
    <row r="618">
      <c r="A618" s="23" t="n">
        <v>602</v>
      </c>
      <c r="B618" s="24">
        <f>IF(AND($N618="",$O618=""),"",IF($N618&lt;&gt;"",INDEX(PCNormDate,$N618),INDEX(LdgDateB,$O618)))</f>
        <v/>
      </c>
      <c r="C618" s="24">
        <f>IF($N618&lt;&gt;"",INDEX(PCOp,$N618),IF($O618&lt;&gt;"",IF(N(INDEX(TxnDepB,$O618))&gt;0,"دریافت بانکی","پرداخت بانکی"),""))</f>
        <v/>
      </c>
      <c r="D618" s="24">
        <f>IF($N618&lt;&gt;"",IF(INDEX(PCDoc,$N618)="","—",INDEX(PCDoc,$N618)),IF($O618&lt;&gt;"",INDEX(LdgBankB,$O618),""))</f>
        <v/>
      </c>
      <c r="E618" s="24">
        <f>IF($N618&lt;&gt;"",IF(INDEX(PCCitrus,$N618)="","—",INDEX(PCCitrus,$N618)),"")</f>
        <v/>
      </c>
      <c r="F618" s="25">
        <f>IF($N618&lt;&gt;"",IF(INDEX(PCScale,$N618)=0,"",INDEX(PCScale,$N618)),"")</f>
        <v/>
      </c>
      <c r="G618" s="25">
        <f>IF($N618&lt;&gt;"",IF(INDEX(PCBaskets,$N618)=0,"",INDEX(PCBaskets,$N618)),"")</f>
        <v/>
      </c>
      <c r="H618" s="26">
        <f>IF($N618&lt;&gt;"",IF(INDEX(PCNet,$N618)=0,"",INDEX(PCNet,$N618)),"")</f>
        <v/>
      </c>
      <c r="I618" s="25">
        <f>IF($N618&lt;&gt;"",IF(INDEX(PCOp,$N618)="مرجوعی خرید","",IF(INDEX(PCAmount,$N618)&lt;=0,"",INDEX(PCAmount,$N618))),IF($O618&lt;&gt;"",IF(INDEX(TxnDepB,$O618)=0,"",INDEX(TxnDepB,$O618)),""))</f>
        <v/>
      </c>
      <c r="J618" s="25">
        <f>IF($N618&lt;&gt;"",IF(INDEX(PCOp,$N618)="مرجوعی خرید",IF(INDEX(PCAmount,$N618)=0,"",-INDEX(PCAmount,$N618)),""),IF($O618&lt;&gt;"",IF(INDEX(TxnWitB,$O618)=0,"",INDEX(TxnWitB,$O618)),""))</f>
        <v/>
      </c>
      <c r="K618" s="27">
        <f>IF($B618="","",IF($K617="",$C$10,$K617)+IF($I618="",0,$I618)-IF($J618="",0,$J618))</f>
        <v/>
      </c>
      <c r="L618" s="28">
        <f>IF($N618&lt;&gt;"",IF(INDEX(PCNotes,$N618)="","—",INDEX(PCNotes,$N618)),IF($O618&lt;&gt;"",IF(INDEX(LdgNoteB,$O618)="","—",INDEX(LdgNoteB,$O618)),""))</f>
        <v/>
      </c>
      <c r="N618">
        <f>IFERROR(MATCH($C$5&amp;"|"&amp;RIGHT("000000"&amp;602,6),LdgRankKeyA,0),"")</f>
        <v/>
      </c>
      <c r="O618">
        <f>IFERROR(MATCH($C$5&amp;"|"&amp;RIGHT("000000"&amp;602,6),LdgRankKeyB,0),"")</f>
        <v/>
      </c>
    </row>
    <row r="619">
      <c r="A619" s="17" t="n">
        <v>603</v>
      </c>
      <c r="B619" s="18">
        <f>IF(AND($N619="",$O619=""),"",IF($N619&lt;&gt;"",INDEX(PCNormDate,$N619),INDEX(LdgDateB,$O619)))</f>
        <v/>
      </c>
      <c r="C619" s="18">
        <f>IF($N619&lt;&gt;"",INDEX(PCOp,$N619),IF($O619&lt;&gt;"",IF(N(INDEX(TxnDepB,$O619))&gt;0,"دریافت بانکی","پرداخت بانکی"),""))</f>
        <v/>
      </c>
      <c r="D619" s="18">
        <f>IF($N619&lt;&gt;"",IF(INDEX(PCDoc,$N619)="","—",INDEX(PCDoc,$N619)),IF($O619&lt;&gt;"",INDEX(LdgBankB,$O619),""))</f>
        <v/>
      </c>
      <c r="E619" s="18">
        <f>IF($N619&lt;&gt;"",IF(INDEX(PCCitrus,$N619)="","—",INDEX(PCCitrus,$N619)),"")</f>
        <v/>
      </c>
      <c r="F619" s="19">
        <f>IF($N619&lt;&gt;"",IF(INDEX(PCScale,$N619)=0,"",INDEX(PCScale,$N619)),"")</f>
        <v/>
      </c>
      <c r="G619" s="19">
        <f>IF($N619&lt;&gt;"",IF(INDEX(PCBaskets,$N619)=0,"",INDEX(PCBaskets,$N619)),"")</f>
        <v/>
      </c>
      <c r="H619" s="20">
        <f>IF($N619&lt;&gt;"",IF(INDEX(PCNet,$N619)=0,"",INDEX(PCNet,$N619)),"")</f>
        <v/>
      </c>
      <c r="I619" s="19">
        <f>IF($N619&lt;&gt;"",IF(INDEX(PCOp,$N619)="مرجوعی خرید","",IF(INDEX(PCAmount,$N619)&lt;=0,"",INDEX(PCAmount,$N619))),IF($O619&lt;&gt;"",IF(INDEX(TxnDepB,$O619)=0,"",INDEX(TxnDepB,$O619)),""))</f>
        <v/>
      </c>
      <c r="J619" s="19">
        <f>IF($N619&lt;&gt;"",IF(INDEX(PCOp,$N619)="مرجوعی خرید",IF(INDEX(PCAmount,$N619)=0,"",-INDEX(PCAmount,$N619)),""),IF($O619&lt;&gt;"",IF(INDEX(TxnWitB,$O619)=0,"",INDEX(TxnWitB,$O619)),""))</f>
        <v/>
      </c>
      <c r="K619" s="21">
        <f>IF($B619="","",IF($K618="",$C$10,$K618)+IF($I619="",0,$I619)-IF($J619="",0,$J619))</f>
        <v/>
      </c>
      <c r="L619" s="22">
        <f>IF($N619&lt;&gt;"",IF(INDEX(PCNotes,$N619)="","—",INDEX(PCNotes,$N619)),IF($O619&lt;&gt;"",IF(INDEX(LdgNoteB,$O619)="","—",INDEX(LdgNoteB,$O619)),""))</f>
        <v/>
      </c>
      <c r="N619">
        <f>IFERROR(MATCH($C$5&amp;"|"&amp;RIGHT("000000"&amp;603,6),LdgRankKeyA,0),"")</f>
        <v/>
      </c>
      <c r="O619">
        <f>IFERROR(MATCH($C$5&amp;"|"&amp;RIGHT("000000"&amp;603,6),LdgRankKeyB,0),"")</f>
        <v/>
      </c>
    </row>
    <row r="620">
      <c r="A620" s="23" t="n">
        <v>604</v>
      </c>
      <c r="B620" s="24">
        <f>IF(AND($N620="",$O620=""),"",IF($N620&lt;&gt;"",INDEX(PCNormDate,$N620),INDEX(LdgDateB,$O620)))</f>
        <v/>
      </c>
      <c r="C620" s="24">
        <f>IF($N620&lt;&gt;"",INDEX(PCOp,$N620),IF($O620&lt;&gt;"",IF(N(INDEX(TxnDepB,$O620))&gt;0,"دریافت بانکی","پرداخت بانکی"),""))</f>
        <v/>
      </c>
      <c r="D620" s="24">
        <f>IF($N620&lt;&gt;"",IF(INDEX(PCDoc,$N620)="","—",INDEX(PCDoc,$N620)),IF($O620&lt;&gt;"",INDEX(LdgBankB,$O620),""))</f>
        <v/>
      </c>
      <c r="E620" s="24">
        <f>IF($N620&lt;&gt;"",IF(INDEX(PCCitrus,$N620)="","—",INDEX(PCCitrus,$N620)),"")</f>
        <v/>
      </c>
      <c r="F620" s="25">
        <f>IF($N620&lt;&gt;"",IF(INDEX(PCScale,$N620)=0,"",INDEX(PCScale,$N620)),"")</f>
        <v/>
      </c>
      <c r="G620" s="25">
        <f>IF($N620&lt;&gt;"",IF(INDEX(PCBaskets,$N620)=0,"",INDEX(PCBaskets,$N620)),"")</f>
        <v/>
      </c>
      <c r="H620" s="26">
        <f>IF($N620&lt;&gt;"",IF(INDEX(PCNet,$N620)=0,"",INDEX(PCNet,$N620)),"")</f>
        <v/>
      </c>
      <c r="I620" s="25">
        <f>IF($N620&lt;&gt;"",IF(INDEX(PCOp,$N620)="مرجوعی خرید","",IF(INDEX(PCAmount,$N620)&lt;=0,"",INDEX(PCAmount,$N620))),IF($O620&lt;&gt;"",IF(INDEX(TxnDepB,$O620)=0,"",INDEX(TxnDepB,$O620)),""))</f>
        <v/>
      </c>
      <c r="J620" s="25">
        <f>IF($N620&lt;&gt;"",IF(INDEX(PCOp,$N620)="مرجوعی خرید",IF(INDEX(PCAmount,$N620)=0,"",-INDEX(PCAmount,$N620)),""),IF($O620&lt;&gt;"",IF(INDEX(TxnWitB,$O620)=0,"",INDEX(TxnWitB,$O620)),""))</f>
        <v/>
      </c>
      <c r="K620" s="27">
        <f>IF($B620="","",IF($K619="",$C$10,$K619)+IF($I620="",0,$I620)-IF($J620="",0,$J620))</f>
        <v/>
      </c>
      <c r="L620" s="28">
        <f>IF($N620&lt;&gt;"",IF(INDEX(PCNotes,$N620)="","—",INDEX(PCNotes,$N620)),IF($O620&lt;&gt;"",IF(INDEX(LdgNoteB,$O620)="","—",INDEX(LdgNoteB,$O620)),""))</f>
        <v/>
      </c>
      <c r="N620">
        <f>IFERROR(MATCH($C$5&amp;"|"&amp;RIGHT("000000"&amp;604,6),LdgRankKeyA,0),"")</f>
        <v/>
      </c>
      <c r="O620">
        <f>IFERROR(MATCH($C$5&amp;"|"&amp;RIGHT("000000"&amp;604,6),LdgRankKeyB,0),"")</f>
        <v/>
      </c>
    </row>
    <row r="621">
      <c r="A621" s="17" t="n">
        <v>605</v>
      </c>
      <c r="B621" s="18">
        <f>IF(AND($N621="",$O621=""),"",IF($N621&lt;&gt;"",INDEX(PCNormDate,$N621),INDEX(LdgDateB,$O621)))</f>
        <v/>
      </c>
      <c r="C621" s="18">
        <f>IF($N621&lt;&gt;"",INDEX(PCOp,$N621),IF($O621&lt;&gt;"",IF(N(INDEX(TxnDepB,$O621))&gt;0,"دریافت بانکی","پرداخت بانکی"),""))</f>
        <v/>
      </c>
      <c r="D621" s="18">
        <f>IF($N621&lt;&gt;"",IF(INDEX(PCDoc,$N621)="","—",INDEX(PCDoc,$N621)),IF($O621&lt;&gt;"",INDEX(LdgBankB,$O621),""))</f>
        <v/>
      </c>
      <c r="E621" s="18">
        <f>IF($N621&lt;&gt;"",IF(INDEX(PCCitrus,$N621)="","—",INDEX(PCCitrus,$N621)),"")</f>
        <v/>
      </c>
      <c r="F621" s="19">
        <f>IF($N621&lt;&gt;"",IF(INDEX(PCScale,$N621)=0,"",INDEX(PCScale,$N621)),"")</f>
        <v/>
      </c>
      <c r="G621" s="19">
        <f>IF($N621&lt;&gt;"",IF(INDEX(PCBaskets,$N621)=0,"",INDEX(PCBaskets,$N621)),"")</f>
        <v/>
      </c>
      <c r="H621" s="20">
        <f>IF($N621&lt;&gt;"",IF(INDEX(PCNet,$N621)=0,"",INDEX(PCNet,$N621)),"")</f>
        <v/>
      </c>
      <c r="I621" s="19">
        <f>IF($N621&lt;&gt;"",IF(INDEX(PCOp,$N621)="مرجوعی خرید","",IF(INDEX(PCAmount,$N621)&lt;=0,"",INDEX(PCAmount,$N621))),IF($O621&lt;&gt;"",IF(INDEX(TxnDepB,$O621)=0,"",INDEX(TxnDepB,$O621)),""))</f>
        <v/>
      </c>
      <c r="J621" s="19">
        <f>IF($N621&lt;&gt;"",IF(INDEX(PCOp,$N621)="مرجوعی خرید",IF(INDEX(PCAmount,$N621)=0,"",-INDEX(PCAmount,$N621)),""),IF($O621&lt;&gt;"",IF(INDEX(TxnWitB,$O621)=0,"",INDEX(TxnWitB,$O621)),""))</f>
        <v/>
      </c>
      <c r="K621" s="21">
        <f>IF($B621="","",IF($K620="",$C$10,$K620)+IF($I621="",0,$I621)-IF($J621="",0,$J621))</f>
        <v/>
      </c>
      <c r="L621" s="22">
        <f>IF($N621&lt;&gt;"",IF(INDEX(PCNotes,$N621)="","—",INDEX(PCNotes,$N621)),IF($O621&lt;&gt;"",IF(INDEX(LdgNoteB,$O621)="","—",INDEX(LdgNoteB,$O621)),""))</f>
        <v/>
      </c>
      <c r="N621">
        <f>IFERROR(MATCH($C$5&amp;"|"&amp;RIGHT("000000"&amp;605,6),LdgRankKeyA,0),"")</f>
        <v/>
      </c>
      <c r="O621">
        <f>IFERROR(MATCH($C$5&amp;"|"&amp;RIGHT("000000"&amp;605,6),LdgRankKeyB,0),"")</f>
        <v/>
      </c>
    </row>
    <row r="622">
      <c r="A622" s="23" t="n">
        <v>606</v>
      </c>
      <c r="B622" s="24">
        <f>IF(AND($N622="",$O622=""),"",IF($N622&lt;&gt;"",INDEX(PCNormDate,$N622),INDEX(LdgDateB,$O622)))</f>
        <v/>
      </c>
      <c r="C622" s="24">
        <f>IF($N622&lt;&gt;"",INDEX(PCOp,$N622),IF($O622&lt;&gt;"",IF(N(INDEX(TxnDepB,$O622))&gt;0,"دریافت بانکی","پرداخت بانکی"),""))</f>
        <v/>
      </c>
      <c r="D622" s="24">
        <f>IF($N622&lt;&gt;"",IF(INDEX(PCDoc,$N622)="","—",INDEX(PCDoc,$N622)),IF($O622&lt;&gt;"",INDEX(LdgBankB,$O622),""))</f>
        <v/>
      </c>
      <c r="E622" s="24">
        <f>IF($N622&lt;&gt;"",IF(INDEX(PCCitrus,$N622)="","—",INDEX(PCCitrus,$N622)),"")</f>
        <v/>
      </c>
      <c r="F622" s="25">
        <f>IF($N622&lt;&gt;"",IF(INDEX(PCScale,$N622)=0,"",INDEX(PCScale,$N622)),"")</f>
        <v/>
      </c>
      <c r="G622" s="25">
        <f>IF($N622&lt;&gt;"",IF(INDEX(PCBaskets,$N622)=0,"",INDEX(PCBaskets,$N622)),"")</f>
        <v/>
      </c>
      <c r="H622" s="26">
        <f>IF($N622&lt;&gt;"",IF(INDEX(PCNet,$N622)=0,"",INDEX(PCNet,$N622)),"")</f>
        <v/>
      </c>
      <c r="I622" s="25">
        <f>IF($N622&lt;&gt;"",IF(INDEX(PCOp,$N622)="مرجوعی خرید","",IF(INDEX(PCAmount,$N622)&lt;=0,"",INDEX(PCAmount,$N622))),IF($O622&lt;&gt;"",IF(INDEX(TxnDepB,$O622)=0,"",INDEX(TxnDepB,$O622)),""))</f>
        <v/>
      </c>
      <c r="J622" s="25">
        <f>IF($N622&lt;&gt;"",IF(INDEX(PCOp,$N622)="مرجوعی خرید",IF(INDEX(PCAmount,$N622)=0,"",-INDEX(PCAmount,$N622)),""),IF($O622&lt;&gt;"",IF(INDEX(TxnWitB,$O622)=0,"",INDEX(TxnWitB,$O622)),""))</f>
        <v/>
      </c>
      <c r="K622" s="27">
        <f>IF($B622="","",IF($K621="",$C$10,$K621)+IF($I622="",0,$I622)-IF($J622="",0,$J622))</f>
        <v/>
      </c>
      <c r="L622" s="28">
        <f>IF($N622&lt;&gt;"",IF(INDEX(PCNotes,$N622)="","—",INDEX(PCNotes,$N622)),IF($O622&lt;&gt;"",IF(INDEX(LdgNoteB,$O622)="","—",INDEX(LdgNoteB,$O622)),""))</f>
        <v/>
      </c>
      <c r="N622">
        <f>IFERROR(MATCH($C$5&amp;"|"&amp;RIGHT("000000"&amp;606,6),LdgRankKeyA,0),"")</f>
        <v/>
      </c>
      <c r="O622">
        <f>IFERROR(MATCH($C$5&amp;"|"&amp;RIGHT("000000"&amp;606,6),LdgRankKeyB,0),"")</f>
        <v/>
      </c>
    </row>
    <row r="623">
      <c r="A623" s="17" t="n">
        <v>607</v>
      </c>
      <c r="B623" s="18">
        <f>IF(AND($N623="",$O623=""),"",IF($N623&lt;&gt;"",INDEX(PCNormDate,$N623),INDEX(LdgDateB,$O623)))</f>
        <v/>
      </c>
      <c r="C623" s="18">
        <f>IF($N623&lt;&gt;"",INDEX(PCOp,$N623),IF($O623&lt;&gt;"",IF(N(INDEX(TxnDepB,$O623))&gt;0,"دریافت بانکی","پرداخت بانکی"),""))</f>
        <v/>
      </c>
      <c r="D623" s="18">
        <f>IF($N623&lt;&gt;"",IF(INDEX(PCDoc,$N623)="","—",INDEX(PCDoc,$N623)),IF($O623&lt;&gt;"",INDEX(LdgBankB,$O623),""))</f>
        <v/>
      </c>
      <c r="E623" s="18">
        <f>IF($N623&lt;&gt;"",IF(INDEX(PCCitrus,$N623)="","—",INDEX(PCCitrus,$N623)),"")</f>
        <v/>
      </c>
      <c r="F623" s="19">
        <f>IF($N623&lt;&gt;"",IF(INDEX(PCScale,$N623)=0,"",INDEX(PCScale,$N623)),"")</f>
        <v/>
      </c>
      <c r="G623" s="19">
        <f>IF($N623&lt;&gt;"",IF(INDEX(PCBaskets,$N623)=0,"",INDEX(PCBaskets,$N623)),"")</f>
        <v/>
      </c>
      <c r="H623" s="20">
        <f>IF($N623&lt;&gt;"",IF(INDEX(PCNet,$N623)=0,"",INDEX(PCNet,$N623)),"")</f>
        <v/>
      </c>
      <c r="I623" s="19">
        <f>IF($N623&lt;&gt;"",IF(INDEX(PCOp,$N623)="مرجوعی خرید","",IF(INDEX(PCAmount,$N623)&lt;=0,"",INDEX(PCAmount,$N623))),IF($O623&lt;&gt;"",IF(INDEX(TxnDepB,$O623)=0,"",INDEX(TxnDepB,$O623)),""))</f>
        <v/>
      </c>
      <c r="J623" s="19">
        <f>IF($N623&lt;&gt;"",IF(INDEX(PCOp,$N623)="مرجوعی خرید",IF(INDEX(PCAmount,$N623)=0,"",-INDEX(PCAmount,$N623)),""),IF($O623&lt;&gt;"",IF(INDEX(TxnWitB,$O623)=0,"",INDEX(TxnWitB,$O623)),""))</f>
        <v/>
      </c>
      <c r="K623" s="21">
        <f>IF($B623="","",IF($K622="",$C$10,$K622)+IF($I623="",0,$I623)-IF($J623="",0,$J623))</f>
        <v/>
      </c>
      <c r="L623" s="22">
        <f>IF($N623&lt;&gt;"",IF(INDEX(PCNotes,$N623)="","—",INDEX(PCNotes,$N623)),IF($O623&lt;&gt;"",IF(INDEX(LdgNoteB,$O623)="","—",INDEX(LdgNoteB,$O623)),""))</f>
        <v/>
      </c>
      <c r="N623">
        <f>IFERROR(MATCH($C$5&amp;"|"&amp;RIGHT("000000"&amp;607,6),LdgRankKeyA,0),"")</f>
        <v/>
      </c>
      <c r="O623">
        <f>IFERROR(MATCH($C$5&amp;"|"&amp;RIGHT("000000"&amp;607,6),LdgRankKeyB,0),"")</f>
        <v/>
      </c>
    </row>
    <row r="624">
      <c r="A624" s="23" t="n">
        <v>608</v>
      </c>
      <c r="B624" s="24">
        <f>IF(AND($N624="",$O624=""),"",IF($N624&lt;&gt;"",INDEX(PCNormDate,$N624),INDEX(LdgDateB,$O624)))</f>
        <v/>
      </c>
      <c r="C624" s="24">
        <f>IF($N624&lt;&gt;"",INDEX(PCOp,$N624),IF($O624&lt;&gt;"",IF(N(INDEX(TxnDepB,$O624))&gt;0,"دریافت بانکی","پرداخت بانکی"),""))</f>
        <v/>
      </c>
      <c r="D624" s="24">
        <f>IF($N624&lt;&gt;"",IF(INDEX(PCDoc,$N624)="","—",INDEX(PCDoc,$N624)),IF($O624&lt;&gt;"",INDEX(LdgBankB,$O624),""))</f>
        <v/>
      </c>
      <c r="E624" s="24">
        <f>IF($N624&lt;&gt;"",IF(INDEX(PCCitrus,$N624)="","—",INDEX(PCCitrus,$N624)),"")</f>
        <v/>
      </c>
      <c r="F624" s="25">
        <f>IF($N624&lt;&gt;"",IF(INDEX(PCScale,$N624)=0,"",INDEX(PCScale,$N624)),"")</f>
        <v/>
      </c>
      <c r="G624" s="25">
        <f>IF($N624&lt;&gt;"",IF(INDEX(PCBaskets,$N624)=0,"",INDEX(PCBaskets,$N624)),"")</f>
        <v/>
      </c>
      <c r="H624" s="26">
        <f>IF($N624&lt;&gt;"",IF(INDEX(PCNet,$N624)=0,"",INDEX(PCNet,$N624)),"")</f>
        <v/>
      </c>
      <c r="I624" s="25">
        <f>IF($N624&lt;&gt;"",IF(INDEX(PCOp,$N624)="مرجوعی خرید","",IF(INDEX(PCAmount,$N624)&lt;=0,"",INDEX(PCAmount,$N624))),IF($O624&lt;&gt;"",IF(INDEX(TxnDepB,$O624)=0,"",INDEX(TxnDepB,$O624)),""))</f>
        <v/>
      </c>
      <c r="J624" s="25">
        <f>IF($N624&lt;&gt;"",IF(INDEX(PCOp,$N624)="مرجوعی خرید",IF(INDEX(PCAmount,$N624)=0,"",-INDEX(PCAmount,$N624)),""),IF($O624&lt;&gt;"",IF(INDEX(TxnWitB,$O624)=0,"",INDEX(TxnWitB,$O624)),""))</f>
        <v/>
      </c>
      <c r="K624" s="27">
        <f>IF($B624="","",IF($K623="",$C$10,$K623)+IF($I624="",0,$I624)-IF($J624="",0,$J624))</f>
        <v/>
      </c>
      <c r="L624" s="28">
        <f>IF($N624&lt;&gt;"",IF(INDEX(PCNotes,$N624)="","—",INDEX(PCNotes,$N624)),IF($O624&lt;&gt;"",IF(INDEX(LdgNoteB,$O624)="","—",INDEX(LdgNoteB,$O624)),""))</f>
        <v/>
      </c>
      <c r="N624">
        <f>IFERROR(MATCH($C$5&amp;"|"&amp;RIGHT("000000"&amp;608,6),LdgRankKeyA,0),"")</f>
        <v/>
      </c>
      <c r="O624">
        <f>IFERROR(MATCH($C$5&amp;"|"&amp;RIGHT("000000"&amp;608,6),LdgRankKeyB,0),"")</f>
        <v/>
      </c>
    </row>
    <row r="625">
      <c r="A625" s="17" t="n">
        <v>609</v>
      </c>
      <c r="B625" s="18">
        <f>IF(AND($N625="",$O625=""),"",IF($N625&lt;&gt;"",INDEX(PCNormDate,$N625),INDEX(LdgDateB,$O625)))</f>
        <v/>
      </c>
      <c r="C625" s="18">
        <f>IF($N625&lt;&gt;"",INDEX(PCOp,$N625),IF($O625&lt;&gt;"",IF(N(INDEX(TxnDepB,$O625))&gt;0,"دریافت بانکی","پرداخت بانکی"),""))</f>
        <v/>
      </c>
      <c r="D625" s="18">
        <f>IF($N625&lt;&gt;"",IF(INDEX(PCDoc,$N625)="","—",INDEX(PCDoc,$N625)),IF($O625&lt;&gt;"",INDEX(LdgBankB,$O625),""))</f>
        <v/>
      </c>
      <c r="E625" s="18">
        <f>IF($N625&lt;&gt;"",IF(INDEX(PCCitrus,$N625)="","—",INDEX(PCCitrus,$N625)),"")</f>
        <v/>
      </c>
      <c r="F625" s="19">
        <f>IF($N625&lt;&gt;"",IF(INDEX(PCScale,$N625)=0,"",INDEX(PCScale,$N625)),"")</f>
        <v/>
      </c>
      <c r="G625" s="19">
        <f>IF($N625&lt;&gt;"",IF(INDEX(PCBaskets,$N625)=0,"",INDEX(PCBaskets,$N625)),"")</f>
        <v/>
      </c>
      <c r="H625" s="20">
        <f>IF($N625&lt;&gt;"",IF(INDEX(PCNet,$N625)=0,"",INDEX(PCNet,$N625)),"")</f>
        <v/>
      </c>
      <c r="I625" s="19">
        <f>IF($N625&lt;&gt;"",IF(INDEX(PCOp,$N625)="مرجوعی خرید","",IF(INDEX(PCAmount,$N625)&lt;=0,"",INDEX(PCAmount,$N625))),IF($O625&lt;&gt;"",IF(INDEX(TxnDepB,$O625)=0,"",INDEX(TxnDepB,$O625)),""))</f>
        <v/>
      </c>
      <c r="J625" s="19">
        <f>IF($N625&lt;&gt;"",IF(INDEX(PCOp,$N625)="مرجوعی خرید",IF(INDEX(PCAmount,$N625)=0,"",-INDEX(PCAmount,$N625)),""),IF($O625&lt;&gt;"",IF(INDEX(TxnWitB,$O625)=0,"",INDEX(TxnWitB,$O625)),""))</f>
        <v/>
      </c>
      <c r="K625" s="21">
        <f>IF($B625="","",IF($K624="",$C$10,$K624)+IF($I625="",0,$I625)-IF($J625="",0,$J625))</f>
        <v/>
      </c>
      <c r="L625" s="22">
        <f>IF($N625&lt;&gt;"",IF(INDEX(PCNotes,$N625)="","—",INDEX(PCNotes,$N625)),IF($O625&lt;&gt;"",IF(INDEX(LdgNoteB,$O625)="","—",INDEX(LdgNoteB,$O625)),""))</f>
        <v/>
      </c>
      <c r="N625">
        <f>IFERROR(MATCH($C$5&amp;"|"&amp;RIGHT("000000"&amp;609,6),LdgRankKeyA,0),"")</f>
        <v/>
      </c>
      <c r="O625">
        <f>IFERROR(MATCH($C$5&amp;"|"&amp;RIGHT("000000"&amp;609,6),LdgRankKeyB,0),"")</f>
        <v/>
      </c>
    </row>
    <row r="626">
      <c r="A626" s="23" t="n">
        <v>610</v>
      </c>
      <c r="B626" s="24">
        <f>IF(AND($N626="",$O626=""),"",IF($N626&lt;&gt;"",INDEX(PCNormDate,$N626),INDEX(LdgDateB,$O626)))</f>
        <v/>
      </c>
      <c r="C626" s="24">
        <f>IF($N626&lt;&gt;"",INDEX(PCOp,$N626),IF($O626&lt;&gt;"",IF(N(INDEX(TxnDepB,$O626))&gt;0,"دریافت بانکی","پرداخت بانکی"),""))</f>
        <v/>
      </c>
      <c r="D626" s="24">
        <f>IF($N626&lt;&gt;"",IF(INDEX(PCDoc,$N626)="","—",INDEX(PCDoc,$N626)),IF($O626&lt;&gt;"",INDEX(LdgBankB,$O626),""))</f>
        <v/>
      </c>
      <c r="E626" s="24">
        <f>IF($N626&lt;&gt;"",IF(INDEX(PCCitrus,$N626)="","—",INDEX(PCCitrus,$N626)),"")</f>
        <v/>
      </c>
      <c r="F626" s="25">
        <f>IF($N626&lt;&gt;"",IF(INDEX(PCScale,$N626)=0,"",INDEX(PCScale,$N626)),"")</f>
        <v/>
      </c>
      <c r="G626" s="25">
        <f>IF($N626&lt;&gt;"",IF(INDEX(PCBaskets,$N626)=0,"",INDEX(PCBaskets,$N626)),"")</f>
        <v/>
      </c>
      <c r="H626" s="26">
        <f>IF($N626&lt;&gt;"",IF(INDEX(PCNet,$N626)=0,"",INDEX(PCNet,$N626)),"")</f>
        <v/>
      </c>
      <c r="I626" s="25">
        <f>IF($N626&lt;&gt;"",IF(INDEX(PCOp,$N626)="مرجوعی خرید","",IF(INDEX(PCAmount,$N626)&lt;=0,"",INDEX(PCAmount,$N626))),IF($O626&lt;&gt;"",IF(INDEX(TxnDepB,$O626)=0,"",INDEX(TxnDepB,$O626)),""))</f>
        <v/>
      </c>
      <c r="J626" s="25">
        <f>IF($N626&lt;&gt;"",IF(INDEX(PCOp,$N626)="مرجوعی خرید",IF(INDEX(PCAmount,$N626)=0,"",-INDEX(PCAmount,$N626)),""),IF($O626&lt;&gt;"",IF(INDEX(TxnWitB,$O626)=0,"",INDEX(TxnWitB,$O626)),""))</f>
        <v/>
      </c>
      <c r="K626" s="27">
        <f>IF($B626="","",IF($K625="",$C$10,$K625)+IF($I626="",0,$I626)-IF($J626="",0,$J626))</f>
        <v/>
      </c>
      <c r="L626" s="28">
        <f>IF($N626&lt;&gt;"",IF(INDEX(PCNotes,$N626)="","—",INDEX(PCNotes,$N626)),IF($O626&lt;&gt;"",IF(INDEX(LdgNoteB,$O626)="","—",INDEX(LdgNoteB,$O626)),""))</f>
        <v/>
      </c>
      <c r="N626">
        <f>IFERROR(MATCH($C$5&amp;"|"&amp;RIGHT("000000"&amp;610,6),LdgRankKeyA,0),"")</f>
        <v/>
      </c>
      <c r="O626">
        <f>IFERROR(MATCH($C$5&amp;"|"&amp;RIGHT("000000"&amp;610,6),LdgRankKeyB,0),"")</f>
        <v/>
      </c>
    </row>
    <row r="627">
      <c r="A627" s="17" t="n">
        <v>611</v>
      </c>
      <c r="B627" s="18">
        <f>IF(AND($N627="",$O627=""),"",IF($N627&lt;&gt;"",INDEX(PCNormDate,$N627),INDEX(LdgDateB,$O627)))</f>
        <v/>
      </c>
      <c r="C627" s="18">
        <f>IF($N627&lt;&gt;"",INDEX(PCOp,$N627),IF($O627&lt;&gt;"",IF(N(INDEX(TxnDepB,$O627))&gt;0,"دریافت بانکی","پرداخت بانکی"),""))</f>
        <v/>
      </c>
      <c r="D627" s="18">
        <f>IF($N627&lt;&gt;"",IF(INDEX(PCDoc,$N627)="","—",INDEX(PCDoc,$N627)),IF($O627&lt;&gt;"",INDEX(LdgBankB,$O627),""))</f>
        <v/>
      </c>
      <c r="E627" s="18">
        <f>IF($N627&lt;&gt;"",IF(INDEX(PCCitrus,$N627)="","—",INDEX(PCCitrus,$N627)),"")</f>
        <v/>
      </c>
      <c r="F627" s="19">
        <f>IF($N627&lt;&gt;"",IF(INDEX(PCScale,$N627)=0,"",INDEX(PCScale,$N627)),"")</f>
        <v/>
      </c>
      <c r="G627" s="19">
        <f>IF($N627&lt;&gt;"",IF(INDEX(PCBaskets,$N627)=0,"",INDEX(PCBaskets,$N627)),"")</f>
        <v/>
      </c>
      <c r="H627" s="20">
        <f>IF($N627&lt;&gt;"",IF(INDEX(PCNet,$N627)=0,"",INDEX(PCNet,$N627)),"")</f>
        <v/>
      </c>
      <c r="I627" s="19">
        <f>IF($N627&lt;&gt;"",IF(INDEX(PCOp,$N627)="مرجوعی خرید","",IF(INDEX(PCAmount,$N627)&lt;=0,"",INDEX(PCAmount,$N627))),IF($O627&lt;&gt;"",IF(INDEX(TxnDepB,$O627)=0,"",INDEX(TxnDepB,$O627)),""))</f>
        <v/>
      </c>
      <c r="J627" s="19">
        <f>IF($N627&lt;&gt;"",IF(INDEX(PCOp,$N627)="مرجوعی خرید",IF(INDEX(PCAmount,$N627)=0,"",-INDEX(PCAmount,$N627)),""),IF($O627&lt;&gt;"",IF(INDEX(TxnWitB,$O627)=0,"",INDEX(TxnWitB,$O627)),""))</f>
        <v/>
      </c>
      <c r="K627" s="21">
        <f>IF($B627="","",IF($K626="",$C$10,$K626)+IF($I627="",0,$I627)-IF($J627="",0,$J627))</f>
        <v/>
      </c>
      <c r="L627" s="22">
        <f>IF($N627&lt;&gt;"",IF(INDEX(PCNotes,$N627)="","—",INDEX(PCNotes,$N627)),IF($O627&lt;&gt;"",IF(INDEX(LdgNoteB,$O627)="","—",INDEX(LdgNoteB,$O627)),""))</f>
        <v/>
      </c>
      <c r="N627">
        <f>IFERROR(MATCH($C$5&amp;"|"&amp;RIGHT("000000"&amp;611,6),LdgRankKeyA,0),"")</f>
        <v/>
      </c>
      <c r="O627">
        <f>IFERROR(MATCH($C$5&amp;"|"&amp;RIGHT("000000"&amp;611,6),LdgRankKeyB,0),"")</f>
        <v/>
      </c>
    </row>
    <row r="628">
      <c r="A628" s="23" t="n">
        <v>612</v>
      </c>
      <c r="B628" s="24">
        <f>IF(AND($N628="",$O628=""),"",IF($N628&lt;&gt;"",INDEX(PCNormDate,$N628),INDEX(LdgDateB,$O628)))</f>
        <v/>
      </c>
      <c r="C628" s="24">
        <f>IF($N628&lt;&gt;"",INDEX(PCOp,$N628),IF($O628&lt;&gt;"",IF(N(INDEX(TxnDepB,$O628))&gt;0,"دریافت بانکی","پرداخت بانکی"),""))</f>
        <v/>
      </c>
      <c r="D628" s="24">
        <f>IF($N628&lt;&gt;"",IF(INDEX(PCDoc,$N628)="","—",INDEX(PCDoc,$N628)),IF($O628&lt;&gt;"",INDEX(LdgBankB,$O628),""))</f>
        <v/>
      </c>
      <c r="E628" s="24">
        <f>IF($N628&lt;&gt;"",IF(INDEX(PCCitrus,$N628)="","—",INDEX(PCCitrus,$N628)),"")</f>
        <v/>
      </c>
      <c r="F628" s="25">
        <f>IF($N628&lt;&gt;"",IF(INDEX(PCScale,$N628)=0,"",INDEX(PCScale,$N628)),"")</f>
        <v/>
      </c>
      <c r="G628" s="25">
        <f>IF($N628&lt;&gt;"",IF(INDEX(PCBaskets,$N628)=0,"",INDEX(PCBaskets,$N628)),"")</f>
        <v/>
      </c>
      <c r="H628" s="26">
        <f>IF($N628&lt;&gt;"",IF(INDEX(PCNet,$N628)=0,"",INDEX(PCNet,$N628)),"")</f>
        <v/>
      </c>
      <c r="I628" s="25">
        <f>IF($N628&lt;&gt;"",IF(INDEX(PCOp,$N628)="مرجوعی خرید","",IF(INDEX(PCAmount,$N628)&lt;=0,"",INDEX(PCAmount,$N628))),IF($O628&lt;&gt;"",IF(INDEX(TxnDepB,$O628)=0,"",INDEX(TxnDepB,$O628)),""))</f>
        <v/>
      </c>
      <c r="J628" s="25">
        <f>IF($N628&lt;&gt;"",IF(INDEX(PCOp,$N628)="مرجوعی خرید",IF(INDEX(PCAmount,$N628)=0,"",-INDEX(PCAmount,$N628)),""),IF($O628&lt;&gt;"",IF(INDEX(TxnWitB,$O628)=0,"",INDEX(TxnWitB,$O628)),""))</f>
        <v/>
      </c>
      <c r="K628" s="27">
        <f>IF($B628="","",IF($K627="",$C$10,$K627)+IF($I628="",0,$I628)-IF($J628="",0,$J628))</f>
        <v/>
      </c>
      <c r="L628" s="28">
        <f>IF($N628&lt;&gt;"",IF(INDEX(PCNotes,$N628)="","—",INDEX(PCNotes,$N628)),IF($O628&lt;&gt;"",IF(INDEX(LdgNoteB,$O628)="","—",INDEX(LdgNoteB,$O628)),""))</f>
        <v/>
      </c>
      <c r="N628">
        <f>IFERROR(MATCH($C$5&amp;"|"&amp;RIGHT("000000"&amp;612,6),LdgRankKeyA,0),"")</f>
        <v/>
      </c>
      <c r="O628">
        <f>IFERROR(MATCH($C$5&amp;"|"&amp;RIGHT("000000"&amp;612,6),LdgRankKeyB,0),"")</f>
        <v/>
      </c>
    </row>
    <row r="629">
      <c r="A629" s="17" t="n">
        <v>613</v>
      </c>
      <c r="B629" s="18">
        <f>IF(AND($N629="",$O629=""),"",IF($N629&lt;&gt;"",INDEX(PCNormDate,$N629),INDEX(LdgDateB,$O629)))</f>
        <v/>
      </c>
      <c r="C629" s="18">
        <f>IF($N629&lt;&gt;"",INDEX(PCOp,$N629),IF($O629&lt;&gt;"",IF(N(INDEX(TxnDepB,$O629))&gt;0,"دریافت بانکی","پرداخت بانکی"),""))</f>
        <v/>
      </c>
      <c r="D629" s="18">
        <f>IF($N629&lt;&gt;"",IF(INDEX(PCDoc,$N629)="","—",INDEX(PCDoc,$N629)),IF($O629&lt;&gt;"",INDEX(LdgBankB,$O629),""))</f>
        <v/>
      </c>
      <c r="E629" s="18">
        <f>IF($N629&lt;&gt;"",IF(INDEX(PCCitrus,$N629)="","—",INDEX(PCCitrus,$N629)),"")</f>
        <v/>
      </c>
      <c r="F629" s="19">
        <f>IF($N629&lt;&gt;"",IF(INDEX(PCScale,$N629)=0,"",INDEX(PCScale,$N629)),"")</f>
        <v/>
      </c>
      <c r="G629" s="19">
        <f>IF($N629&lt;&gt;"",IF(INDEX(PCBaskets,$N629)=0,"",INDEX(PCBaskets,$N629)),"")</f>
        <v/>
      </c>
      <c r="H629" s="20">
        <f>IF($N629&lt;&gt;"",IF(INDEX(PCNet,$N629)=0,"",INDEX(PCNet,$N629)),"")</f>
        <v/>
      </c>
      <c r="I629" s="19">
        <f>IF($N629&lt;&gt;"",IF(INDEX(PCOp,$N629)="مرجوعی خرید","",IF(INDEX(PCAmount,$N629)&lt;=0,"",INDEX(PCAmount,$N629))),IF($O629&lt;&gt;"",IF(INDEX(TxnDepB,$O629)=0,"",INDEX(TxnDepB,$O629)),""))</f>
        <v/>
      </c>
      <c r="J629" s="19">
        <f>IF($N629&lt;&gt;"",IF(INDEX(PCOp,$N629)="مرجوعی خرید",IF(INDEX(PCAmount,$N629)=0,"",-INDEX(PCAmount,$N629)),""),IF($O629&lt;&gt;"",IF(INDEX(TxnWitB,$O629)=0,"",INDEX(TxnWitB,$O629)),""))</f>
        <v/>
      </c>
      <c r="K629" s="21">
        <f>IF($B629="","",IF($K628="",$C$10,$K628)+IF($I629="",0,$I629)-IF($J629="",0,$J629))</f>
        <v/>
      </c>
      <c r="L629" s="22">
        <f>IF($N629&lt;&gt;"",IF(INDEX(PCNotes,$N629)="","—",INDEX(PCNotes,$N629)),IF($O629&lt;&gt;"",IF(INDEX(LdgNoteB,$O629)="","—",INDEX(LdgNoteB,$O629)),""))</f>
        <v/>
      </c>
      <c r="N629">
        <f>IFERROR(MATCH($C$5&amp;"|"&amp;RIGHT("000000"&amp;613,6),LdgRankKeyA,0),"")</f>
        <v/>
      </c>
      <c r="O629">
        <f>IFERROR(MATCH($C$5&amp;"|"&amp;RIGHT("000000"&amp;613,6),LdgRankKeyB,0),"")</f>
        <v/>
      </c>
    </row>
    <row r="630">
      <c r="A630" s="23" t="n">
        <v>614</v>
      </c>
      <c r="B630" s="24">
        <f>IF(AND($N630="",$O630=""),"",IF($N630&lt;&gt;"",INDEX(PCNormDate,$N630),INDEX(LdgDateB,$O630)))</f>
        <v/>
      </c>
      <c r="C630" s="24">
        <f>IF($N630&lt;&gt;"",INDEX(PCOp,$N630),IF($O630&lt;&gt;"",IF(N(INDEX(TxnDepB,$O630))&gt;0,"دریافت بانکی","پرداخت بانکی"),""))</f>
        <v/>
      </c>
      <c r="D630" s="24">
        <f>IF($N630&lt;&gt;"",IF(INDEX(PCDoc,$N630)="","—",INDEX(PCDoc,$N630)),IF($O630&lt;&gt;"",INDEX(LdgBankB,$O630),""))</f>
        <v/>
      </c>
      <c r="E630" s="24">
        <f>IF($N630&lt;&gt;"",IF(INDEX(PCCitrus,$N630)="","—",INDEX(PCCitrus,$N630)),"")</f>
        <v/>
      </c>
      <c r="F630" s="25">
        <f>IF($N630&lt;&gt;"",IF(INDEX(PCScale,$N630)=0,"",INDEX(PCScale,$N630)),"")</f>
        <v/>
      </c>
      <c r="G630" s="25">
        <f>IF($N630&lt;&gt;"",IF(INDEX(PCBaskets,$N630)=0,"",INDEX(PCBaskets,$N630)),"")</f>
        <v/>
      </c>
      <c r="H630" s="26">
        <f>IF($N630&lt;&gt;"",IF(INDEX(PCNet,$N630)=0,"",INDEX(PCNet,$N630)),"")</f>
        <v/>
      </c>
      <c r="I630" s="25">
        <f>IF($N630&lt;&gt;"",IF(INDEX(PCOp,$N630)="مرجوعی خرید","",IF(INDEX(PCAmount,$N630)&lt;=0,"",INDEX(PCAmount,$N630))),IF($O630&lt;&gt;"",IF(INDEX(TxnDepB,$O630)=0,"",INDEX(TxnDepB,$O630)),""))</f>
        <v/>
      </c>
      <c r="J630" s="25">
        <f>IF($N630&lt;&gt;"",IF(INDEX(PCOp,$N630)="مرجوعی خرید",IF(INDEX(PCAmount,$N630)=0,"",-INDEX(PCAmount,$N630)),""),IF($O630&lt;&gt;"",IF(INDEX(TxnWitB,$O630)=0,"",INDEX(TxnWitB,$O630)),""))</f>
        <v/>
      </c>
      <c r="K630" s="27">
        <f>IF($B630="","",IF($K629="",$C$10,$K629)+IF($I630="",0,$I630)-IF($J630="",0,$J630))</f>
        <v/>
      </c>
      <c r="L630" s="28">
        <f>IF($N630&lt;&gt;"",IF(INDEX(PCNotes,$N630)="","—",INDEX(PCNotes,$N630)),IF($O630&lt;&gt;"",IF(INDEX(LdgNoteB,$O630)="","—",INDEX(LdgNoteB,$O630)),""))</f>
        <v/>
      </c>
      <c r="N630">
        <f>IFERROR(MATCH($C$5&amp;"|"&amp;RIGHT("000000"&amp;614,6),LdgRankKeyA,0),"")</f>
        <v/>
      </c>
      <c r="O630">
        <f>IFERROR(MATCH($C$5&amp;"|"&amp;RIGHT("000000"&amp;614,6),LdgRankKeyB,0),"")</f>
        <v/>
      </c>
    </row>
    <row r="631">
      <c r="A631" s="17" t="n">
        <v>615</v>
      </c>
      <c r="B631" s="18">
        <f>IF(AND($N631="",$O631=""),"",IF($N631&lt;&gt;"",INDEX(PCNormDate,$N631),INDEX(LdgDateB,$O631)))</f>
        <v/>
      </c>
      <c r="C631" s="18">
        <f>IF($N631&lt;&gt;"",INDEX(PCOp,$N631),IF($O631&lt;&gt;"",IF(N(INDEX(TxnDepB,$O631))&gt;0,"دریافت بانکی","پرداخت بانکی"),""))</f>
        <v/>
      </c>
      <c r="D631" s="18">
        <f>IF($N631&lt;&gt;"",IF(INDEX(PCDoc,$N631)="","—",INDEX(PCDoc,$N631)),IF($O631&lt;&gt;"",INDEX(LdgBankB,$O631),""))</f>
        <v/>
      </c>
      <c r="E631" s="18">
        <f>IF($N631&lt;&gt;"",IF(INDEX(PCCitrus,$N631)="","—",INDEX(PCCitrus,$N631)),"")</f>
        <v/>
      </c>
      <c r="F631" s="19">
        <f>IF($N631&lt;&gt;"",IF(INDEX(PCScale,$N631)=0,"",INDEX(PCScale,$N631)),"")</f>
        <v/>
      </c>
      <c r="G631" s="19">
        <f>IF($N631&lt;&gt;"",IF(INDEX(PCBaskets,$N631)=0,"",INDEX(PCBaskets,$N631)),"")</f>
        <v/>
      </c>
      <c r="H631" s="20">
        <f>IF($N631&lt;&gt;"",IF(INDEX(PCNet,$N631)=0,"",INDEX(PCNet,$N631)),"")</f>
        <v/>
      </c>
      <c r="I631" s="19">
        <f>IF($N631&lt;&gt;"",IF(INDEX(PCOp,$N631)="مرجوعی خرید","",IF(INDEX(PCAmount,$N631)&lt;=0,"",INDEX(PCAmount,$N631))),IF($O631&lt;&gt;"",IF(INDEX(TxnDepB,$O631)=0,"",INDEX(TxnDepB,$O631)),""))</f>
        <v/>
      </c>
      <c r="J631" s="19">
        <f>IF($N631&lt;&gt;"",IF(INDEX(PCOp,$N631)="مرجوعی خرید",IF(INDEX(PCAmount,$N631)=0,"",-INDEX(PCAmount,$N631)),""),IF($O631&lt;&gt;"",IF(INDEX(TxnWitB,$O631)=0,"",INDEX(TxnWitB,$O631)),""))</f>
        <v/>
      </c>
      <c r="K631" s="21">
        <f>IF($B631="","",IF($K630="",$C$10,$K630)+IF($I631="",0,$I631)-IF($J631="",0,$J631))</f>
        <v/>
      </c>
      <c r="L631" s="22">
        <f>IF($N631&lt;&gt;"",IF(INDEX(PCNotes,$N631)="","—",INDEX(PCNotes,$N631)),IF($O631&lt;&gt;"",IF(INDEX(LdgNoteB,$O631)="","—",INDEX(LdgNoteB,$O631)),""))</f>
        <v/>
      </c>
      <c r="N631">
        <f>IFERROR(MATCH($C$5&amp;"|"&amp;RIGHT("000000"&amp;615,6),LdgRankKeyA,0),"")</f>
        <v/>
      </c>
      <c r="O631">
        <f>IFERROR(MATCH($C$5&amp;"|"&amp;RIGHT("000000"&amp;615,6),LdgRankKeyB,0),"")</f>
        <v/>
      </c>
    </row>
    <row r="632">
      <c r="A632" s="23" t="n">
        <v>616</v>
      </c>
      <c r="B632" s="24">
        <f>IF(AND($N632="",$O632=""),"",IF($N632&lt;&gt;"",INDEX(PCNormDate,$N632),INDEX(LdgDateB,$O632)))</f>
        <v/>
      </c>
      <c r="C632" s="24">
        <f>IF($N632&lt;&gt;"",INDEX(PCOp,$N632),IF($O632&lt;&gt;"",IF(N(INDEX(TxnDepB,$O632))&gt;0,"دریافت بانکی","پرداخت بانکی"),""))</f>
        <v/>
      </c>
      <c r="D632" s="24">
        <f>IF($N632&lt;&gt;"",IF(INDEX(PCDoc,$N632)="","—",INDEX(PCDoc,$N632)),IF($O632&lt;&gt;"",INDEX(LdgBankB,$O632),""))</f>
        <v/>
      </c>
      <c r="E632" s="24">
        <f>IF($N632&lt;&gt;"",IF(INDEX(PCCitrus,$N632)="","—",INDEX(PCCitrus,$N632)),"")</f>
        <v/>
      </c>
      <c r="F632" s="25">
        <f>IF($N632&lt;&gt;"",IF(INDEX(PCScale,$N632)=0,"",INDEX(PCScale,$N632)),"")</f>
        <v/>
      </c>
      <c r="G632" s="25">
        <f>IF($N632&lt;&gt;"",IF(INDEX(PCBaskets,$N632)=0,"",INDEX(PCBaskets,$N632)),"")</f>
        <v/>
      </c>
      <c r="H632" s="26">
        <f>IF($N632&lt;&gt;"",IF(INDEX(PCNet,$N632)=0,"",INDEX(PCNet,$N632)),"")</f>
        <v/>
      </c>
      <c r="I632" s="25">
        <f>IF($N632&lt;&gt;"",IF(INDEX(PCOp,$N632)="مرجوعی خرید","",IF(INDEX(PCAmount,$N632)&lt;=0,"",INDEX(PCAmount,$N632))),IF($O632&lt;&gt;"",IF(INDEX(TxnDepB,$O632)=0,"",INDEX(TxnDepB,$O632)),""))</f>
        <v/>
      </c>
      <c r="J632" s="25">
        <f>IF($N632&lt;&gt;"",IF(INDEX(PCOp,$N632)="مرجوعی خرید",IF(INDEX(PCAmount,$N632)=0,"",-INDEX(PCAmount,$N632)),""),IF($O632&lt;&gt;"",IF(INDEX(TxnWitB,$O632)=0,"",INDEX(TxnWitB,$O632)),""))</f>
        <v/>
      </c>
      <c r="K632" s="27">
        <f>IF($B632="","",IF($K631="",$C$10,$K631)+IF($I632="",0,$I632)-IF($J632="",0,$J632))</f>
        <v/>
      </c>
      <c r="L632" s="28">
        <f>IF($N632&lt;&gt;"",IF(INDEX(PCNotes,$N632)="","—",INDEX(PCNotes,$N632)),IF($O632&lt;&gt;"",IF(INDEX(LdgNoteB,$O632)="","—",INDEX(LdgNoteB,$O632)),""))</f>
        <v/>
      </c>
      <c r="N632">
        <f>IFERROR(MATCH($C$5&amp;"|"&amp;RIGHT("000000"&amp;616,6),LdgRankKeyA,0),"")</f>
        <v/>
      </c>
      <c r="O632">
        <f>IFERROR(MATCH($C$5&amp;"|"&amp;RIGHT("000000"&amp;616,6),LdgRankKeyB,0),"")</f>
        <v/>
      </c>
    </row>
    <row r="633">
      <c r="A633" s="17" t="n">
        <v>617</v>
      </c>
      <c r="B633" s="18">
        <f>IF(AND($N633="",$O633=""),"",IF($N633&lt;&gt;"",INDEX(PCNormDate,$N633),INDEX(LdgDateB,$O633)))</f>
        <v/>
      </c>
      <c r="C633" s="18">
        <f>IF($N633&lt;&gt;"",INDEX(PCOp,$N633),IF($O633&lt;&gt;"",IF(N(INDEX(TxnDepB,$O633))&gt;0,"دریافت بانکی","پرداخت بانکی"),""))</f>
        <v/>
      </c>
      <c r="D633" s="18">
        <f>IF($N633&lt;&gt;"",IF(INDEX(PCDoc,$N633)="","—",INDEX(PCDoc,$N633)),IF($O633&lt;&gt;"",INDEX(LdgBankB,$O633),""))</f>
        <v/>
      </c>
      <c r="E633" s="18">
        <f>IF($N633&lt;&gt;"",IF(INDEX(PCCitrus,$N633)="","—",INDEX(PCCitrus,$N633)),"")</f>
        <v/>
      </c>
      <c r="F633" s="19">
        <f>IF($N633&lt;&gt;"",IF(INDEX(PCScale,$N633)=0,"",INDEX(PCScale,$N633)),"")</f>
        <v/>
      </c>
      <c r="G633" s="19">
        <f>IF($N633&lt;&gt;"",IF(INDEX(PCBaskets,$N633)=0,"",INDEX(PCBaskets,$N633)),"")</f>
        <v/>
      </c>
      <c r="H633" s="20">
        <f>IF($N633&lt;&gt;"",IF(INDEX(PCNet,$N633)=0,"",INDEX(PCNet,$N633)),"")</f>
        <v/>
      </c>
      <c r="I633" s="19">
        <f>IF($N633&lt;&gt;"",IF(INDEX(PCOp,$N633)="مرجوعی خرید","",IF(INDEX(PCAmount,$N633)&lt;=0,"",INDEX(PCAmount,$N633))),IF($O633&lt;&gt;"",IF(INDEX(TxnDepB,$O633)=0,"",INDEX(TxnDepB,$O633)),""))</f>
        <v/>
      </c>
      <c r="J633" s="19">
        <f>IF($N633&lt;&gt;"",IF(INDEX(PCOp,$N633)="مرجوعی خرید",IF(INDEX(PCAmount,$N633)=0,"",-INDEX(PCAmount,$N633)),""),IF($O633&lt;&gt;"",IF(INDEX(TxnWitB,$O633)=0,"",INDEX(TxnWitB,$O633)),""))</f>
        <v/>
      </c>
      <c r="K633" s="21">
        <f>IF($B633="","",IF($K632="",$C$10,$K632)+IF($I633="",0,$I633)-IF($J633="",0,$J633))</f>
        <v/>
      </c>
      <c r="L633" s="22">
        <f>IF($N633&lt;&gt;"",IF(INDEX(PCNotes,$N633)="","—",INDEX(PCNotes,$N633)),IF($O633&lt;&gt;"",IF(INDEX(LdgNoteB,$O633)="","—",INDEX(LdgNoteB,$O633)),""))</f>
        <v/>
      </c>
      <c r="N633">
        <f>IFERROR(MATCH($C$5&amp;"|"&amp;RIGHT("000000"&amp;617,6),LdgRankKeyA,0),"")</f>
        <v/>
      </c>
      <c r="O633">
        <f>IFERROR(MATCH($C$5&amp;"|"&amp;RIGHT("000000"&amp;617,6),LdgRankKeyB,0),"")</f>
        <v/>
      </c>
    </row>
    <row r="634">
      <c r="A634" s="23" t="n">
        <v>618</v>
      </c>
      <c r="B634" s="24">
        <f>IF(AND($N634="",$O634=""),"",IF($N634&lt;&gt;"",INDEX(PCNormDate,$N634),INDEX(LdgDateB,$O634)))</f>
        <v/>
      </c>
      <c r="C634" s="24">
        <f>IF($N634&lt;&gt;"",INDEX(PCOp,$N634),IF($O634&lt;&gt;"",IF(N(INDEX(TxnDepB,$O634))&gt;0,"دریافت بانکی","پرداخت بانکی"),""))</f>
        <v/>
      </c>
      <c r="D634" s="24">
        <f>IF($N634&lt;&gt;"",IF(INDEX(PCDoc,$N634)="","—",INDEX(PCDoc,$N634)),IF($O634&lt;&gt;"",INDEX(LdgBankB,$O634),""))</f>
        <v/>
      </c>
      <c r="E634" s="24">
        <f>IF($N634&lt;&gt;"",IF(INDEX(PCCitrus,$N634)="","—",INDEX(PCCitrus,$N634)),"")</f>
        <v/>
      </c>
      <c r="F634" s="25">
        <f>IF($N634&lt;&gt;"",IF(INDEX(PCScale,$N634)=0,"",INDEX(PCScale,$N634)),"")</f>
        <v/>
      </c>
      <c r="G634" s="25">
        <f>IF($N634&lt;&gt;"",IF(INDEX(PCBaskets,$N634)=0,"",INDEX(PCBaskets,$N634)),"")</f>
        <v/>
      </c>
      <c r="H634" s="26">
        <f>IF($N634&lt;&gt;"",IF(INDEX(PCNet,$N634)=0,"",INDEX(PCNet,$N634)),"")</f>
        <v/>
      </c>
      <c r="I634" s="25">
        <f>IF($N634&lt;&gt;"",IF(INDEX(PCOp,$N634)="مرجوعی خرید","",IF(INDEX(PCAmount,$N634)&lt;=0,"",INDEX(PCAmount,$N634))),IF($O634&lt;&gt;"",IF(INDEX(TxnDepB,$O634)=0,"",INDEX(TxnDepB,$O634)),""))</f>
        <v/>
      </c>
      <c r="J634" s="25">
        <f>IF($N634&lt;&gt;"",IF(INDEX(PCOp,$N634)="مرجوعی خرید",IF(INDEX(PCAmount,$N634)=0,"",-INDEX(PCAmount,$N634)),""),IF($O634&lt;&gt;"",IF(INDEX(TxnWitB,$O634)=0,"",INDEX(TxnWitB,$O634)),""))</f>
        <v/>
      </c>
      <c r="K634" s="27">
        <f>IF($B634="","",IF($K633="",$C$10,$K633)+IF($I634="",0,$I634)-IF($J634="",0,$J634))</f>
        <v/>
      </c>
      <c r="L634" s="28">
        <f>IF($N634&lt;&gt;"",IF(INDEX(PCNotes,$N634)="","—",INDEX(PCNotes,$N634)),IF($O634&lt;&gt;"",IF(INDEX(LdgNoteB,$O634)="","—",INDEX(LdgNoteB,$O634)),""))</f>
        <v/>
      </c>
      <c r="N634">
        <f>IFERROR(MATCH($C$5&amp;"|"&amp;RIGHT("000000"&amp;618,6),LdgRankKeyA,0),"")</f>
        <v/>
      </c>
      <c r="O634">
        <f>IFERROR(MATCH($C$5&amp;"|"&amp;RIGHT("000000"&amp;618,6),LdgRankKeyB,0),"")</f>
        <v/>
      </c>
    </row>
    <row r="635">
      <c r="A635" s="17" t="n">
        <v>619</v>
      </c>
      <c r="B635" s="18">
        <f>IF(AND($N635="",$O635=""),"",IF($N635&lt;&gt;"",INDEX(PCNormDate,$N635),INDEX(LdgDateB,$O635)))</f>
        <v/>
      </c>
      <c r="C635" s="18">
        <f>IF($N635&lt;&gt;"",INDEX(PCOp,$N635),IF($O635&lt;&gt;"",IF(N(INDEX(TxnDepB,$O635))&gt;0,"دریافت بانکی","پرداخت بانکی"),""))</f>
        <v/>
      </c>
      <c r="D635" s="18">
        <f>IF($N635&lt;&gt;"",IF(INDEX(PCDoc,$N635)="","—",INDEX(PCDoc,$N635)),IF($O635&lt;&gt;"",INDEX(LdgBankB,$O635),""))</f>
        <v/>
      </c>
      <c r="E635" s="18">
        <f>IF($N635&lt;&gt;"",IF(INDEX(PCCitrus,$N635)="","—",INDEX(PCCitrus,$N635)),"")</f>
        <v/>
      </c>
      <c r="F635" s="19">
        <f>IF($N635&lt;&gt;"",IF(INDEX(PCScale,$N635)=0,"",INDEX(PCScale,$N635)),"")</f>
        <v/>
      </c>
      <c r="G635" s="19">
        <f>IF($N635&lt;&gt;"",IF(INDEX(PCBaskets,$N635)=0,"",INDEX(PCBaskets,$N635)),"")</f>
        <v/>
      </c>
      <c r="H635" s="20">
        <f>IF($N635&lt;&gt;"",IF(INDEX(PCNet,$N635)=0,"",INDEX(PCNet,$N635)),"")</f>
        <v/>
      </c>
      <c r="I635" s="19">
        <f>IF($N635&lt;&gt;"",IF(INDEX(PCOp,$N635)="مرجوعی خرید","",IF(INDEX(PCAmount,$N635)&lt;=0,"",INDEX(PCAmount,$N635))),IF($O635&lt;&gt;"",IF(INDEX(TxnDepB,$O635)=0,"",INDEX(TxnDepB,$O635)),""))</f>
        <v/>
      </c>
      <c r="J635" s="19">
        <f>IF($N635&lt;&gt;"",IF(INDEX(PCOp,$N635)="مرجوعی خرید",IF(INDEX(PCAmount,$N635)=0,"",-INDEX(PCAmount,$N635)),""),IF($O635&lt;&gt;"",IF(INDEX(TxnWitB,$O635)=0,"",INDEX(TxnWitB,$O635)),""))</f>
        <v/>
      </c>
      <c r="K635" s="21">
        <f>IF($B635="","",IF($K634="",$C$10,$K634)+IF($I635="",0,$I635)-IF($J635="",0,$J635))</f>
        <v/>
      </c>
      <c r="L635" s="22">
        <f>IF($N635&lt;&gt;"",IF(INDEX(PCNotes,$N635)="","—",INDEX(PCNotes,$N635)),IF($O635&lt;&gt;"",IF(INDEX(LdgNoteB,$O635)="","—",INDEX(LdgNoteB,$O635)),""))</f>
        <v/>
      </c>
      <c r="N635">
        <f>IFERROR(MATCH($C$5&amp;"|"&amp;RIGHT("000000"&amp;619,6),LdgRankKeyA,0),"")</f>
        <v/>
      </c>
      <c r="O635">
        <f>IFERROR(MATCH($C$5&amp;"|"&amp;RIGHT("000000"&amp;619,6),LdgRankKeyB,0),"")</f>
        <v/>
      </c>
    </row>
    <row r="636">
      <c r="A636" s="23" t="n">
        <v>620</v>
      </c>
      <c r="B636" s="24">
        <f>IF(AND($N636="",$O636=""),"",IF($N636&lt;&gt;"",INDEX(PCNormDate,$N636),INDEX(LdgDateB,$O636)))</f>
        <v/>
      </c>
      <c r="C636" s="24">
        <f>IF($N636&lt;&gt;"",INDEX(PCOp,$N636),IF($O636&lt;&gt;"",IF(N(INDEX(TxnDepB,$O636))&gt;0,"دریافت بانکی","پرداخت بانکی"),""))</f>
        <v/>
      </c>
      <c r="D636" s="24">
        <f>IF($N636&lt;&gt;"",IF(INDEX(PCDoc,$N636)="","—",INDEX(PCDoc,$N636)),IF($O636&lt;&gt;"",INDEX(LdgBankB,$O636),""))</f>
        <v/>
      </c>
      <c r="E636" s="24">
        <f>IF($N636&lt;&gt;"",IF(INDEX(PCCitrus,$N636)="","—",INDEX(PCCitrus,$N636)),"")</f>
        <v/>
      </c>
      <c r="F636" s="25">
        <f>IF($N636&lt;&gt;"",IF(INDEX(PCScale,$N636)=0,"",INDEX(PCScale,$N636)),"")</f>
        <v/>
      </c>
      <c r="G636" s="25">
        <f>IF($N636&lt;&gt;"",IF(INDEX(PCBaskets,$N636)=0,"",INDEX(PCBaskets,$N636)),"")</f>
        <v/>
      </c>
      <c r="H636" s="26">
        <f>IF($N636&lt;&gt;"",IF(INDEX(PCNet,$N636)=0,"",INDEX(PCNet,$N636)),"")</f>
        <v/>
      </c>
      <c r="I636" s="25">
        <f>IF($N636&lt;&gt;"",IF(INDEX(PCOp,$N636)="مرجوعی خرید","",IF(INDEX(PCAmount,$N636)&lt;=0,"",INDEX(PCAmount,$N636))),IF($O636&lt;&gt;"",IF(INDEX(TxnDepB,$O636)=0,"",INDEX(TxnDepB,$O636)),""))</f>
        <v/>
      </c>
      <c r="J636" s="25">
        <f>IF($N636&lt;&gt;"",IF(INDEX(PCOp,$N636)="مرجوعی خرید",IF(INDEX(PCAmount,$N636)=0,"",-INDEX(PCAmount,$N636)),""),IF($O636&lt;&gt;"",IF(INDEX(TxnWitB,$O636)=0,"",INDEX(TxnWitB,$O636)),""))</f>
        <v/>
      </c>
      <c r="K636" s="27">
        <f>IF($B636="","",IF($K635="",$C$10,$K635)+IF($I636="",0,$I636)-IF($J636="",0,$J636))</f>
        <v/>
      </c>
      <c r="L636" s="28">
        <f>IF($N636&lt;&gt;"",IF(INDEX(PCNotes,$N636)="","—",INDEX(PCNotes,$N636)),IF($O636&lt;&gt;"",IF(INDEX(LdgNoteB,$O636)="","—",INDEX(LdgNoteB,$O636)),""))</f>
        <v/>
      </c>
      <c r="N636">
        <f>IFERROR(MATCH($C$5&amp;"|"&amp;RIGHT("000000"&amp;620,6),LdgRankKeyA,0),"")</f>
        <v/>
      </c>
      <c r="O636">
        <f>IFERROR(MATCH($C$5&amp;"|"&amp;RIGHT("000000"&amp;620,6),LdgRankKeyB,0),"")</f>
        <v/>
      </c>
    </row>
    <row r="637">
      <c r="A637" s="17" t="n">
        <v>621</v>
      </c>
      <c r="B637" s="18">
        <f>IF(AND($N637="",$O637=""),"",IF($N637&lt;&gt;"",INDEX(PCNormDate,$N637),INDEX(LdgDateB,$O637)))</f>
        <v/>
      </c>
      <c r="C637" s="18">
        <f>IF($N637&lt;&gt;"",INDEX(PCOp,$N637),IF($O637&lt;&gt;"",IF(N(INDEX(TxnDepB,$O637))&gt;0,"دریافت بانکی","پرداخت بانکی"),""))</f>
        <v/>
      </c>
      <c r="D637" s="18">
        <f>IF($N637&lt;&gt;"",IF(INDEX(PCDoc,$N637)="","—",INDEX(PCDoc,$N637)),IF($O637&lt;&gt;"",INDEX(LdgBankB,$O637),""))</f>
        <v/>
      </c>
      <c r="E637" s="18">
        <f>IF($N637&lt;&gt;"",IF(INDEX(PCCitrus,$N637)="","—",INDEX(PCCitrus,$N637)),"")</f>
        <v/>
      </c>
      <c r="F637" s="19">
        <f>IF($N637&lt;&gt;"",IF(INDEX(PCScale,$N637)=0,"",INDEX(PCScale,$N637)),"")</f>
        <v/>
      </c>
      <c r="G637" s="19">
        <f>IF($N637&lt;&gt;"",IF(INDEX(PCBaskets,$N637)=0,"",INDEX(PCBaskets,$N637)),"")</f>
        <v/>
      </c>
      <c r="H637" s="20">
        <f>IF($N637&lt;&gt;"",IF(INDEX(PCNet,$N637)=0,"",INDEX(PCNet,$N637)),"")</f>
        <v/>
      </c>
      <c r="I637" s="19">
        <f>IF($N637&lt;&gt;"",IF(INDEX(PCOp,$N637)="مرجوعی خرید","",IF(INDEX(PCAmount,$N637)&lt;=0,"",INDEX(PCAmount,$N637))),IF($O637&lt;&gt;"",IF(INDEX(TxnDepB,$O637)=0,"",INDEX(TxnDepB,$O637)),""))</f>
        <v/>
      </c>
      <c r="J637" s="19">
        <f>IF($N637&lt;&gt;"",IF(INDEX(PCOp,$N637)="مرجوعی خرید",IF(INDEX(PCAmount,$N637)=0,"",-INDEX(PCAmount,$N637)),""),IF($O637&lt;&gt;"",IF(INDEX(TxnWitB,$O637)=0,"",INDEX(TxnWitB,$O637)),""))</f>
        <v/>
      </c>
      <c r="K637" s="21">
        <f>IF($B637="","",IF($K636="",$C$10,$K636)+IF($I637="",0,$I637)-IF($J637="",0,$J637))</f>
        <v/>
      </c>
      <c r="L637" s="22">
        <f>IF($N637&lt;&gt;"",IF(INDEX(PCNotes,$N637)="","—",INDEX(PCNotes,$N637)),IF($O637&lt;&gt;"",IF(INDEX(LdgNoteB,$O637)="","—",INDEX(LdgNoteB,$O637)),""))</f>
        <v/>
      </c>
      <c r="N637">
        <f>IFERROR(MATCH($C$5&amp;"|"&amp;RIGHT("000000"&amp;621,6),LdgRankKeyA,0),"")</f>
        <v/>
      </c>
      <c r="O637">
        <f>IFERROR(MATCH($C$5&amp;"|"&amp;RIGHT("000000"&amp;621,6),LdgRankKeyB,0),"")</f>
        <v/>
      </c>
    </row>
    <row r="638">
      <c r="A638" s="23" t="n">
        <v>622</v>
      </c>
      <c r="B638" s="24">
        <f>IF(AND($N638="",$O638=""),"",IF($N638&lt;&gt;"",INDEX(PCNormDate,$N638),INDEX(LdgDateB,$O638)))</f>
        <v/>
      </c>
      <c r="C638" s="24">
        <f>IF($N638&lt;&gt;"",INDEX(PCOp,$N638),IF($O638&lt;&gt;"",IF(N(INDEX(TxnDepB,$O638))&gt;0,"دریافت بانکی","پرداخت بانکی"),""))</f>
        <v/>
      </c>
      <c r="D638" s="24">
        <f>IF($N638&lt;&gt;"",IF(INDEX(PCDoc,$N638)="","—",INDEX(PCDoc,$N638)),IF($O638&lt;&gt;"",INDEX(LdgBankB,$O638),""))</f>
        <v/>
      </c>
      <c r="E638" s="24">
        <f>IF($N638&lt;&gt;"",IF(INDEX(PCCitrus,$N638)="","—",INDEX(PCCitrus,$N638)),"")</f>
        <v/>
      </c>
      <c r="F638" s="25">
        <f>IF($N638&lt;&gt;"",IF(INDEX(PCScale,$N638)=0,"",INDEX(PCScale,$N638)),"")</f>
        <v/>
      </c>
      <c r="G638" s="25">
        <f>IF($N638&lt;&gt;"",IF(INDEX(PCBaskets,$N638)=0,"",INDEX(PCBaskets,$N638)),"")</f>
        <v/>
      </c>
      <c r="H638" s="26">
        <f>IF($N638&lt;&gt;"",IF(INDEX(PCNet,$N638)=0,"",INDEX(PCNet,$N638)),"")</f>
        <v/>
      </c>
      <c r="I638" s="25">
        <f>IF($N638&lt;&gt;"",IF(INDEX(PCOp,$N638)="مرجوعی خرید","",IF(INDEX(PCAmount,$N638)&lt;=0,"",INDEX(PCAmount,$N638))),IF($O638&lt;&gt;"",IF(INDEX(TxnDepB,$O638)=0,"",INDEX(TxnDepB,$O638)),""))</f>
        <v/>
      </c>
      <c r="J638" s="25">
        <f>IF($N638&lt;&gt;"",IF(INDEX(PCOp,$N638)="مرجوعی خرید",IF(INDEX(PCAmount,$N638)=0,"",-INDEX(PCAmount,$N638)),""),IF($O638&lt;&gt;"",IF(INDEX(TxnWitB,$O638)=0,"",INDEX(TxnWitB,$O638)),""))</f>
        <v/>
      </c>
      <c r="K638" s="27">
        <f>IF($B638="","",IF($K637="",$C$10,$K637)+IF($I638="",0,$I638)-IF($J638="",0,$J638))</f>
        <v/>
      </c>
      <c r="L638" s="28">
        <f>IF($N638&lt;&gt;"",IF(INDEX(PCNotes,$N638)="","—",INDEX(PCNotes,$N638)),IF($O638&lt;&gt;"",IF(INDEX(LdgNoteB,$O638)="","—",INDEX(LdgNoteB,$O638)),""))</f>
        <v/>
      </c>
      <c r="N638">
        <f>IFERROR(MATCH($C$5&amp;"|"&amp;RIGHT("000000"&amp;622,6),LdgRankKeyA,0),"")</f>
        <v/>
      </c>
      <c r="O638">
        <f>IFERROR(MATCH($C$5&amp;"|"&amp;RIGHT("000000"&amp;622,6),LdgRankKeyB,0),"")</f>
        <v/>
      </c>
    </row>
    <row r="639">
      <c r="A639" s="17" t="n">
        <v>623</v>
      </c>
      <c r="B639" s="18">
        <f>IF(AND($N639="",$O639=""),"",IF($N639&lt;&gt;"",INDEX(PCNormDate,$N639),INDEX(LdgDateB,$O639)))</f>
        <v/>
      </c>
      <c r="C639" s="18">
        <f>IF($N639&lt;&gt;"",INDEX(PCOp,$N639),IF($O639&lt;&gt;"",IF(N(INDEX(TxnDepB,$O639))&gt;0,"دریافت بانکی","پرداخت بانکی"),""))</f>
        <v/>
      </c>
      <c r="D639" s="18">
        <f>IF($N639&lt;&gt;"",IF(INDEX(PCDoc,$N639)="","—",INDEX(PCDoc,$N639)),IF($O639&lt;&gt;"",INDEX(LdgBankB,$O639),""))</f>
        <v/>
      </c>
      <c r="E639" s="18">
        <f>IF($N639&lt;&gt;"",IF(INDEX(PCCitrus,$N639)="","—",INDEX(PCCitrus,$N639)),"")</f>
        <v/>
      </c>
      <c r="F639" s="19">
        <f>IF($N639&lt;&gt;"",IF(INDEX(PCScale,$N639)=0,"",INDEX(PCScale,$N639)),"")</f>
        <v/>
      </c>
      <c r="G639" s="19">
        <f>IF($N639&lt;&gt;"",IF(INDEX(PCBaskets,$N639)=0,"",INDEX(PCBaskets,$N639)),"")</f>
        <v/>
      </c>
      <c r="H639" s="20">
        <f>IF($N639&lt;&gt;"",IF(INDEX(PCNet,$N639)=0,"",INDEX(PCNet,$N639)),"")</f>
        <v/>
      </c>
      <c r="I639" s="19">
        <f>IF($N639&lt;&gt;"",IF(INDEX(PCOp,$N639)="مرجوعی خرید","",IF(INDEX(PCAmount,$N639)&lt;=0,"",INDEX(PCAmount,$N639))),IF($O639&lt;&gt;"",IF(INDEX(TxnDepB,$O639)=0,"",INDEX(TxnDepB,$O639)),""))</f>
        <v/>
      </c>
      <c r="J639" s="19">
        <f>IF($N639&lt;&gt;"",IF(INDEX(PCOp,$N639)="مرجوعی خرید",IF(INDEX(PCAmount,$N639)=0,"",-INDEX(PCAmount,$N639)),""),IF($O639&lt;&gt;"",IF(INDEX(TxnWitB,$O639)=0,"",INDEX(TxnWitB,$O639)),""))</f>
        <v/>
      </c>
      <c r="K639" s="21">
        <f>IF($B639="","",IF($K638="",$C$10,$K638)+IF($I639="",0,$I639)-IF($J639="",0,$J639))</f>
        <v/>
      </c>
      <c r="L639" s="22">
        <f>IF($N639&lt;&gt;"",IF(INDEX(PCNotes,$N639)="","—",INDEX(PCNotes,$N639)),IF($O639&lt;&gt;"",IF(INDEX(LdgNoteB,$O639)="","—",INDEX(LdgNoteB,$O639)),""))</f>
        <v/>
      </c>
      <c r="N639">
        <f>IFERROR(MATCH($C$5&amp;"|"&amp;RIGHT("000000"&amp;623,6),LdgRankKeyA,0),"")</f>
        <v/>
      </c>
      <c r="O639">
        <f>IFERROR(MATCH($C$5&amp;"|"&amp;RIGHT("000000"&amp;623,6),LdgRankKeyB,0),"")</f>
        <v/>
      </c>
    </row>
    <row r="640">
      <c r="A640" s="23" t="n">
        <v>624</v>
      </c>
      <c r="B640" s="24">
        <f>IF(AND($N640="",$O640=""),"",IF($N640&lt;&gt;"",INDEX(PCNormDate,$N640),INDEX(LdgDateB,$O640)))</f>
        <v/>
      </c>
      <c r="C640" s="24">
        <f>IF($N640&lt;&gt;"",INDEX(PCOp,$N640),IF($O640&lt;&gt;"",IF(N(INDEX(TxnDepB,$O640))&gt;0,"دریافت بانکی","پرداخت بانکی"),""))</f>
        <v/>
      </c>
      <c r="D640" s="24">
        <f>IF($N640&lt;&gt;"",IF(INDEX(PCDoc,$N640)="","—",INDEX(PCDoc,$N640)),IF($O640&lt;&gt;"",INDEX(LdgBankB,$O640),""))</f>
        <v/>
      </c>
      <c r="E640" s="24">
        <f>IF($N640&lt;&gt;"",IF(INDEX(PCCitrus,$N640)="","—",INDEX(PCCitrus,$N640)),"")</f>
        <v/>
      </c>
      <c r="F640" s="25">
        <f>IF($N640&lt;&gt;"",IF(INDEX(PCScale,$N640)=0,"",INDEX(PCScale,$N640)),"")</f>
        <v/>
      </c>
      <c r="G640" s="25">
        <f>IF($N640&lt;&gt;"",IF(INDEX(PCBaskets,$N640)=0,"",INDEX(PCBaskets,$N640)),"")</f>
        <v/>
      </c>
      <c r="H640" s="26">
        <f>IF($N640&lt;&gt;"",IF(INDEX(PCNet,$N640)=0,"",INDEX(PCNet,$N640)),"")</f>
        <v/>
      </c>
      <c r="I640" s="25">
        <f>IF($N640&lt;&gt;"",IF(INDEX(PCOp,$N640)="مرجوعی خرید","",IF(INDEX(PCAmount,$N640)&lt;=0,"",INDEX(PCAmount,$N640))),IF($O640&lt;&gt;"",IF(INDEX(TxnDepB,$O640)=0,"",INDEX(TxnDepB,$O640)),""))</f>
        <v/>
      </c>
      <c r="J640" s="25">
        <f>IF($N640&lt;&gt;"",IF(INDEX(PCOp,$N640)="مرجوعی خرید",IF(INDEX(PCAmount,$N640)=0,"",-INDEX(PCAmount,$N640)),""),IF($O640&lt;&gt;"",IF(INDEX(TxnWitB,$O640)=0,"",INDEX(TxnWitB,$O640)),""))</f>
        <v/>
      </c>
      <c r="K640" s="27">
        <f>IF($B640="","",IF($K639="",$C$10,$K639)+IF($I640="",0,$I640)-IF($J640="",0,$J640))</f>
        <v/>
      </c>
      <c r="L640" s="28">
        <f>IF($N640&lt;&gt;"",IF(INDEX(PCNotes,$N640)="","—",INDEX(PCNotes,$N640)),IF($O640&lt;&gt;"",IF(INDEX(LdgNoteB,$O640)="","—",INDEX(LdgNoteB,$O640)),""))</f>
        <v/>
      </c>
      <c r="N640">
        <f>IFERROR(MATCH($C$5&amp;"|"&amp;RIGHT("000000"&amp;624,6),LdgRankKeyA,0),"")</f>
        <v/>
      </c>
      <c r="O640">
        <f>IFERROR(MATCH($C$5&amp;"|"&amp;RIGHT("000000"&amp;624,6),LdgRankKeyB,0),"")</f>
        <v/>
      </c>
    </row>
    <row r="641">
      <c r="A641" s="17" t="n">
        <v>625</v>
      </c>
      <c r="B641" s="18">
        <f>IF(AND($N641="",$O641=""),"",IF($N641&lt;&gt;"",INDEX(PCNormDate,$N641),INDEX(LdgDateB,$O641)))</f>
        <v/>
      </c>
      <c r="C641" s="18">
        <f>IF($N641&lt;&gt;"",INDEX(PCOp,$N641),IF($O641&lt;&gt;"",IF(N(INDEX(TxnDepB,$O641))&gt;0,"دریافت بانکی","پرداخت بانکی"),""))</f>
        <v/>
      </c>
      <c r="D641" s="18">
        <f>IF($N641&lt;&gt;"",IF(INDEX(PCDoc,$N641)="","—",INDEX(PCDoc,$N641)),IF($O641&lt;&gt;"",INDEX(LdgBankB,$O641),""))</f>
        <v/>
      </c>
      <c r="E641" s="18">
        <f>IF($N641&lt;&gt;"",IF(INDEX(PCCitrus,$N641)="","—",INDEX(PCCitrus,$N641)),"")</f>
        <v/>
      </c>
      <c r="F641" s="19">
        <f>IF($N641&lt;&gt;"",IF(INDEX(PCScale,$N641)=0,"",INDEX(PCScale,$N641)),"")</f>
        <v/>
      </c>
      <c r="G641" s="19">
        <f>IF($N641&lt;&gt;"",IF(INDEX(PCBaskets,$N641)=0,"",INDEX(PCBaskets,$N641)),"")</f>
        <v/>
      </c>
      <c r="H641" s="20">
        <f>IF($N641&lt;&gt;"",IF(INDEX(PCNet,$N641)=0,"",INDEX(PCNet,$N641)),"")</f>
        <v/>
      </c>
      <c r="I641" s="19">
        <f>IF($N641&lt;&gt;"",IF(INDEX(PCOp,$N641)="مرجوعی خرید","",IF(INDEX(PCAmount,$N641)&lt;=0,"",INDEX(PCAmount,$N641))),IF($O641&lt;&gt;"",IF(INDEX(TxnDepB,$O641)=0,"",INDEX(TxnDepB,$O641)),""))</f>
        <v/>
      </c>
      <c r="J641" s="19">
        <f>IF($N641&lt;&gt;"",IF(INDEX(PCOp,$N641)="مرجوعی خرید",IF(INDEX(PCAmount,$N641)=0,"",-INDEX(PCAmount,$N641)),""),IF($O641&lt;&gt;"",IF(INDEX(TxnWitB,$O641)=0,"",INDEX(TxnWitB,$O641)),""))</f>
        <v/>
      </c>
      <c r="K641" s="21">
        <f>IF($B641="","",IF($K640="",$C$10,$K640)+IF($I641="",0,$I641)-IF($J641="",0,$J641))</f>
        <v/>
      </c>
      <c r="L641" s="22">
        <f>IF($N641&lt;&gt;"",IF(INDEX(PCNotes,$N641)="","—",INDEX(PCNotes,$N641)),IF($O641&lt;&gt;"",IF(INDEX(LdgNoteB,$O641)="","—",INDEX(LdgNoteB,$O641)),""))</f>
        <v/>
      </c>
      <c r="N641">
        <f>IFERROR(MATCH($C$5&amp;"|"&amp;RIGHT("000000"&amp;625,6),LdgRankKeyA,0),"")</f>
        <v/>
      </c>
      <c r="O641">
        <f>IFERROR(MATCH($C$5&amp;"|"&amp;RIGHT("000000"&amp;625,6),LdgRankKeyB,0),"")</f>
        <v/>
      </c>
    </row>
    <row r="642">
      <c r="A642" s="23" t="n">
        <v>626</v>
      </c>
      <c r="B642" s="24">
        <f>IF(AND($N642="",$O642=""),"",IF($N642&lt;&gt;"",INDEX(PCNormDate,$N642),INDEX(LdgDateB,$O642)))</f>
        <v/>
      </c>
      <c r="C642" s="24">
        <f>IF($N642&lt;&gt;"",INDEX(PCOp,$N642),IF($O642&lt;&gt;"",IF(N(INDEX(TxnDepB,$O642))&gt;0,"دریافت بانکی","پرداخت بانکی"),""))</f>
        <v/>
      </c>
      <c r="D642" s="24">
        <f>IF($N642&lt;&gt;"",IF(INDEX(PCDoc,$N642)="","—",INDEX(PCDoc,$N642)),IF($O642&lt;&gt;"",INDEX(LdgBankB,$O642),""))</f>
        <v/>
      </c>
      <c r="E642" s="24">
        <f>IF($N642&lt;&gt;"",IF(INDEX(PCCitrus,$N642)="","—",INDEX(PCCitrus,$N642)),"")</f>
        <v/>
      </c>
      <c r="F642" s="25">
        <f>IF($N642&lt;&gt;"",IF(INDEX(PCScale,$N642)=0,"",INDEX(PCScale,$N642)),"")</f>
        <v/>
      </c>
      <c r="G642" s="25">
        <f>IF($N642&lt;&gt;"",IF(INDEX(PCBaskets,$N642)=0,"",INDEX(PCBaskets,$N642)),"")</f>
        <v/>
      </c>
      <c r="H642" s="26">
        <f>IF($N642&lt;&gt;"",IF(INDEX(PCNet,$N642)=0,"",INDEX(PCNet,$N642)),"")</f>
        <v/>
      </c>
      <c r="I642" s="25">
        <f>IF($N642&lt;&gt;"",IF(INDEX(PCOp,$N642)="مرجوعی خرید","",IF(INDEX(PCAmount,$N642)&lt;=0,"",INDEX(PCAmount,$N642))),IF($O642&lt;&gt;"",IF(INDEX(TxnDepB,$O642)=0,"",INDEX(TxnDepB,$O642)),""))</f>
        <v/>
      </c>
      <c r="J642" s="25">
        <f>IF($N642&lt;&gt;"",IF(INDEX(PCOp,$N642)="مرجوعی خرید",IF(INDEX(PCAmount,$N642)=0,"",-INDEX(PCAmount,$N642)),""),IF($O642&lt;&gt;"",IF(INDEX(TxnWitB,$O642)=0,"",INDEX(TxnWitB,$O642)),""))</f>
        <v/>
      </c>
      <c r="K642" s="27">
        <f>IF($B642="","",IF($K641="",$C$10,$K641)+IF($I642="",0,$I642)-IF($J642="",0,$J642))</f>
        <v/>
      </c>
      <c r="L642" s="28">
        <f>IF($N642&lt;&gt;"",IF(INDEX(PCNotes,$N642)="","—",INDEX(PCNotes,$N642)),IF($O642&lt;&gt;"",IF(INDEX(LdgNoteB,$O642)="","—",INDEX(LdgNoteB,$O642)),""))</f>
        <v/>
      </c>
      <c r="N642">
        <f>IFERROR(MATCH($C$5&amp;"|"&amp;RIGHT("000000"&amp;626,6),LdgRankKeyA,0),"")</f>
        <v/>
      </c>
      <c r="O642">
        <f>IFERROR(MATCH($C$5&amp;"|"&amp;RIGHT("000000"&amp;626,6),LdgRankKeyB,0),"")</f>
        <v/>
      </c>
    </row>
    <row r="643">
      <c r="A643" s="17" t="n">
        <v>627</v>
      </c>
      <c r="B643" s="18">
        <f>IF(AND($N643="",$O643=""),"",IF($N643&lt;&gt;"",INDEX(PCNormDate,$N643),INDEX(LdgDateB,$O643)))</f>
        <v/>
      </c>
      <c r="C643" s="18">
        <f>IF($N643&lt;&gt;"",INDEX(PCOp,$N643),IF($O643&lt;&gt;"",IF(N(INDEX(TxnDepB,$O643))&gt;0,"دریافت بانکی","پرداخت بانکی"),""))</f>
        <v/>
      </c>
      <c r="D643" s="18">
        <f>IF($N643&lt;&gt;"",IF(INDEX(PCDoc,$N643)="","—",INDEX(PCDoc,$N643)),IF($O643&lt;&gt;"",INDEX(LdgBankB,$O643),""))</f>
        <v/>
      </c>
      <c r="E643" s="18">
        <f>IF($N643&lt;&gt;"",IF(INDEX(PCCitrus,$N643)="","—",INDEX(PCCitrus,$N643)),"")</f>
        <v/>
      </c>
      <c r="F643" s="19">
        <f>IF($N643&lt;&gt;"",IF(INDEX(PCScale,$N643)=0,"",INDEX(PCScale,$N643)),"")</f>
        <v/>
      </c>
      <c r="G643" s="19">
        <f>IF($N643&lt;&gt;"",IF(INDEX(PCBaskets,$N643)=0,"",INDEX(PCBaskets,$N643)),"")</f>
        <v/>
      </c>
      <c r="H643" s="20">
        <f>IF($N643&lt;&gt;"",IF(INDEX(PCNet,$N643)=0,"",INDEX(PCNet,$N643)),"")</f>
        <v/>
      </c>
      <c r="I643" s="19">
        <f>IF($N643&lt;&gt;"",IF(INDEX(PCOp,$N643)="مرجوعی خرید","",IF(INDEX(PCAmount,$N643)&lt;=0,"",INDEX(PCAmount,$N643))),IF($O643&lt;&gt;"",IF(INDEX(TxnDepB,$O643)=0,"",INDEX(TxnDepB,$O643)),""))</f>
        <v/>
      </c>
      <c r="J643" s="19">
        <f>IF($N643&lt;&gt;"",IF(INDEX(PCOp,$N643)="مرجوعی خرید",IF(INDEX(PCAmount,$N643)=0,"",-INDEX(PCAmount,$N643)),""),IF($O643&lt;&gt;"",IF(INDEX(TxnWitB,$O643)=0,"",INDEX(TxnWitB,$O643)),""))</f>
        <v/>
      </c>
      <c r="K643" s="21">
        <f>IF($B643="","",IF($K642="",$C$10,$K642)+IF($I643="",0,$I643)-IF($J643="",0,$J643))</f>
        <v/>
      </c>
      <c r="L643" s="22">
        <f>IF($N643&lt;&gt;"",IF(INDEX(PCNotes,$N643)="","—",INDEX(PCNotes,$N643)),IF($O643&lt;&gt;"",IF(INDEX(LdgNoteB,$O643)="","—",INDEX(LdgNoteB,$O643)),""))</f>
        <v/>
      </c>
      <c r="N643">
        <f>IFERROR(MATCH($C$5&amp;"|"&amp;RIGHT("000000"&amp;627,6),LdgRankKeyA,0),"")</f>
        <v/>
      </c>
      <c r="O643">
        <f>IFERROR(MATCH($C$5&amp;"|"&amp;RIGHT("000000"&amp;627,6),LdgRankKeyB,0),"")</f>
        <v/>
      </c>
    </row>
    <row r="644">
      <c r="A644" s="23" t="n">
        <v>628</v>
      </c>
      <c r="B644" s="24">
        <f>IF(AND($N644="",$O644=""),"",IF($N644&lt;&gt;"",INDEX(PCNormDate,$N644),INDEX(LdgDateB,$O644)))</f>
        <v/>
      </c>
      <c r="C644" s="24">
        <f>IF($N644&lt;&gt;"",INDEX(PCOp,$N644),IF($O644&lt;&gt;"",IF(N(INDEX(TxnDepB,$O644))&gt;0,"دریافت بانکی","پرداخت بانکی"),""))</f>
        <v/>
      </c>
      <c r="D644" s="24">
        <f>IF($N644&lt;&gt;"",IF(INDEX(PCDoc,$N644)="","—",INDEX(PCDoc,$N644)),IF($O644&lt;&gt;"",INDEX(LdgBankB,$O644),""))</f>
        <v/>
      </c>
      <c r="E644" s="24">
        <f>IF($N644&lt;&gt;"",IF(INDEX(PCCitrus,$N644)="","—",INDEX(PCCitrus,$N644)),"")</f>
        <v/>
      </c>
      <c r="F644" s="25">
        <f>IF($N644&lt;&gt;"",IF(INDEX(PCScale,$N644)=0,"",INDEX(PCScale,$N644)),"")</f>
        <v/>
      </c>
      <c r="G644" s="25">
        <f>IF($N644&lt;&gt;"",IF(INDEX(PCBaskets,$N644)=0,"",INDEX(PCBaskets,$N644)),"")</f>
        <v/>
      </c>
      <c r="H644" s="26">
        <f>IF($N644&lt;&gt;"",IF(INDEX(PCNet,$N644)=0,"",INDEX(PCNet,$N644)),"")</f>
        <v/>
      </c>
      <c r="I644" s="25">
        <f>IF($N644&lt;&gt;"",IF(INDEX(PCOp,$N644)="مرجوعی خرید","",IF(INDEX(PCAmount,$N644)&lt;=0,"",INDEX(PCAmount,$N644))),IF($O644&lt;&gt;"",IF(INDEX(TxnDepB,$O644)=0,"",INDEX(TxnDepB,$O644)),""))</f>
        <v/>
      </c>
      <c r="J644" s="25">
        <f>IF($N644&lt;&gt;"",IF(INDEX(PCOp,$N644)="مرجوعی خرید",IF(INDEX(PCAmount,$N644)=0,"",-INDEX(PCAmount,$N644)),""),IF($O644&lt;&gt;"",IF(INDEX(TxnWitB,$O644)=0,"",INDEX(TxnWitB,$O644)),""))</f>
        <v/>
      </c>
      <c r="K644" s="27">
        <f>IF($B644="","",IF($K643="",$C$10,$K643)+IF($I644="",0,$I644)-IF($J644="",0,$J644))</f>
        <v/>
      </c>
      <c r="L644" s="28">
        <f>IF($N644&lt;&gt;"",IF(INDEX(PCNotes,$N644)="","—",INDEX(PCNotes,$N644)),IF($O644&lt;&gt;"",IF(INDEX(LdgNoteB,$O644)="","—",INDEX(LdgNoteB,$O644)),""))</f>
        <v/>
      </c>
      <c r="N644">
        <f>IFERROR(MATCH($C$5&amp;"|"&amp;RIGHT("000000"&amp;628,6),LdgRankKeyA,0),"")</f>
        <v/>
      </c>
      <c r="O644">
        <f>IFERROR(MATCH($C$5&amp;"|"&amp;RIGHT("000000"&amp;628,6),LdgRankKeyB,0),"")</f>
        <v/>
      </c>
    </row>
    <row r="645">
      <c r="A645" s="17" t="n">
        <v>629</v>
      </c>
      <c r="B645" s="18">
        <f>IF(AND($N645="",$O645=""),"",IF($N645&lt;&gt;"",INDEX(PCNormDate,$N645),INDEX(LdgDateB,$O645)))</f>
        <v/>
      </c>
      <c r="C645" s="18">
        <f>IF($N645&lt;&gt;"",INDEX(PCOp,$N645),IF($O645&lt;&gt;"",IF(N(INDEX(TxnDepB,$O645))&gt;0,"دریافت بانکی","پرداخت بانکی"),""))</f>
        <v/>
      </c>
      <c r="D645" s="18">
        <f>IF($N645&lt;&gt;"",IF(INDEX(PCDoc,$N645)="","—",INDEX(PCDoc,$N645)),IF($O645&lt;&gt;"",INDEX(LdgBankB,$O645),""))</f>
        <v/>
      </c>
      <c r="E645" s="18">
        <f>IF($N645&lt;&gt;"",IF(INDEX(PCCitrus,$N645)="","—",INDEX(PCCitrus,$N645)),"")</f>
        <v/>
      </c>
      <c r="F645" s="19">
        <f>IF($N645&lt;&gt;"",IF(INDEX(PCScale,$N645)=0,"",INDEX(PCScale,$N645)),"")</f>
        <v/>
      </c>
      <c r="G645" s="19">
        <f>IF($N645&lt;&gt;"",IF(INDEX(PCBaskets,$N645)=0,"",INDEX(PCBaskets,$N645)),"")</f>
        <v/>
      </c>
      <c r="H645" s="20">
        <f>IF($N645&lt;&gt;"",IF(INDEX(PCNet,$N645)=0,"",INDEX(PCNet,$N645)),"")</f>
        <v/>
      </c>
      <c r="I645" s="19">
        <f>IF($N645&lt;&gt;"",IF(INDEX(PCOp,$N645)="مرجوعی خرید","",IF(INDEX(PCAmount,$N645)&lt;=0,"",INDEX(PCAmount,$N645))),IF($O645&lt;&gt;"",IF(INDEX(TxnDepB,$O645)=0,"",INDEX(TxnDepB,$O645)),""))</f>
        <v/>
      </c>
      <c r="J645" s="19">
        <f>IF($N645&lt;&gt;"",IF(INDEX(PCOp,$N645)="مرجوعی خرید",IF(INDEX(PCAmount,$N645)=0,"",-INDEX(PCAmount,$N645)),""),IF($O645&lt;&gt;"",IF(INDEX(TxnWitB,$O645)=0,"",INDEX(TxnWitB,$O645)),""))</f>
        <v/>
      </c>
      <c r="K645" s="21">
        <f>IF($B645="","",IF($K644="",$C$10,$K644)+IF($I645="",0,$I645)-IF($J645="",0,$J645))</f>
        <v/>
      </c>
      <c r="L645" s="22">
        <f>IF($N645&lt;&gt;"",IF(INDEX(PCNotes,$N645)="","—",INDEX(PCNotes,$N645)),IF($O645&lt;&gt;"",IF(INDEX(LdgNoteB,$O645)="","—",INDEX(LdgNoteB,$O645)),""))</f>
        <v/>
      </c>
      <c r="N645">
        <f>IFERROR(MATCH($C$5&amp;"|"&amp;RIGHT("000000"&amp;629,6),LdgRankKeyA,0),"")</f>
        <v/>
      </c>
      <c r="O645">
        <f>IFERROR(MATCH($C$5&amp;"|"&amp;RIGHT("000000"&amp;629,6),LdgRankKeyB,0),"")</f>
        <v/>
      </c>
    </row>
    <row r="646">
      <c r="A646" s="23" t="n">
        <v>630</v>
      </c>
      <c r="B646" s="24">
        <f>IF(AND($N646="",$O646=""),"",IF($N646&lt;&gt;"",INDEX(PCNormDate,$N646),INDEX(LdgDateB,$O646)))</f>
        <v/>
      </c>
      <c r="C646" s="24">
        <f>IF($N646&lt;&gt;"",INDEX(PCOp,$N646),IF($O646&lt;&gt;"",IF(N(INDEX(TxnDepB,$O646))&gt;0,"دریافت بانکی","پرداخت بانکی"),""))</f>
        <v/>
      </c>
      <c r="D646" s="24">
        <f>IF($N646&lt;&gt;"",IF(INDEX(PCDoc,$N646)="","—",INDEX(PCDoc,$N646)),IF($O646&lt;&gt;"",INDEX(LdgBankB,$O646),""))</f>
        <v/>
      </c>
      <c r="E646" s="24">
        <f>IF($N646&lt;&gt;"",IF(INDEX(PCCitrus,$N646)="","—",INDEX(PCCitrus,$N646)),"")</f>
        <v/>
      </c>
      <c r="F646" s="25">
        <f>IF($N646&lt;&gt;"",IF(INDEX(PCScale,$N646)=0,"",INDEX(PCScale,$N646)),"")</f>
        <v/>
      </c>
      <c r="G646" s="25">
        <f>IF($N646&lt;&gt;"",IF(INDEX(PCBaskets,$N646)=0,"",INDEX(PCBaskets,$N646)),"")</f>
        <v/>
      </c>
      <c r="H646" s="26">
        <f>IF($N646&lt;&gt;"",IF(INDEX(PCNet,$N646)=0,"",INDEX(PCNet,$N646)),"")</f>
        <v/>
      </c>
      <c r="I646" s="25">
        <f>IF($N646&lt;&gt;"",IF(INDEX(PCOp,$N646)="مرجوعی خرید","",IF(INDEX(PCAmount,$N646)&lt;=0,"",INDEX(PCAmount,$N646))),IF($O646&lt;&gt;"",IF(INDEX(TxnDepB,$O646)=0,"",INDEX(TxnDepB,$O646)),""))</f>
        <v/>
      </c>
      <c r="J646" s="25">
        <f>IF($N646&lt;&gt;"",IF(INDEX(PCOp,$N646)="مرجوعی خرید",IF(INDEX(PCAmount,$N646)=0,"",-INDEX(PCAmount,$N646)),""),IF($O646&lt;&gt;"",IF(INDEX(TxnWitB,$O646)=0,"",INDEX(TxnWitB,$O646)),""))</f>
        <v/>
      </c>
      <c r="K646" s="27">
        <f>IF($B646="","",IF($K645="",$C$10,$K645)+IF($I646="",0,$I646)-IF($J646="",0,$J646))</f>
        <v/>
      </c>
      <c r="L646" s="28">
        <f>IF($N646&lt;&gt;"",IF(INDEX(PCNotes,$N646)="","—",INDEX(PCNotes,$N646)),IF($O646&lt;&gt;"",IF(INDEX(LdgNoteB,$O646)="","—",INDEX(LdgNoteB,$O646)),""))</f>
        <v/>
      </c>
      <c r="N646">
        <f>IFERROR(MATCH($C$5&amp;"|"&amp;RIGHT("000000"&amp;630,6),LdgRankKeyA,0),"")</f>
        <v/>
      </c>
      <c r="O646">
        <f>IFERROR(MATCH($C$5&amp;"|"&amp;RIGHT("000000"&amp;630,6),LdgRankKeyB,0),"")</f>
        <v/>
      </c>
    </row>
    <row r="647">
      <c r="A647" s="17" t="n">
        <v>631</v>
      </c>
      <c r="B647" s="18">
        <f>IF(AND($N647="",$O647=""),"",IF($N647&lt;&gt;"",INDEX(PCNormDate,$N647),INDEX(LdgDateB,$O647)))</f>
        <v/>
      </c>
      <c r="C647" s="18">
        <f>IF($N647&lt;&gt;"",INDEX(PCOp,$N647),IF($O647&lt;&gt;"",IF(N(INDEX(TxnDepB,$O647))&gt;0,"دریافت بانکی","پرداخت بانکی"),""))</f>
        <v/>
      </c>
      <c r="D647" s="18">
        <f>IF($N647&lt;&gt;"",IF(INDEX(PCDoc,$N647)="","—",INDEX(PCDoc,$N647)),IF($O647&lt;&gt;"",INDEX(LdgBankB,$O647),""))</f>
        <v/>
      </c>
      <c r="E647" s="18">
        <f>IF($N647&lt;&gt;"",IF(INDEX(PCCitrus,$N647)="","—",INDEX(PCCitrus,$N647)),"")</f>
        <v/>
      </c>
      <c r="F647" s="19">
        <f>IF($N647&lt;&gt;"",IF(INDEX(PCScale,$N647)=0,"",INDEX(PCScale,$N647)),"")</f>
        <v/>
      </c>
      <c r="G647" s="19">
        <f>IF($N647&lt;&gt;"",IF(INDEX(PCBaskets,$N647)=0,"",INDEX(PCBaskets,$N647)),"")</f>
        <v/>
      </c>
      <c r="H647" s="20">
        <f>IF($N647&lt;&gt;"",IF(INDEX(PCNet,$N647)=0,"",INDEX(PCNet,$N647)),"")</f>
        <v/>
      </c>
      <c r="I647" s="19">
        <f>IF($N647&lt;&gt;"",IF(INDEX(PCOp,$N647)="مرجوعی خرید","",IF(INDEX(PCAmount,$N647)&lt;=0,"",INDEX(PCAmount,$N647))),IF($O647&lt;&gt;"",IF(INDEX(TxnDepB,$O647)=0,"",INDEX(TxnDepB,$O647)),""))</f>
        <v/>
      </c>
      <c r="J647" s="19">
        <f>IF($N647&lt;&gt;"",IF(INDEX(PCOp,$N647)="مرجوعی خرید",IF(INDEX(PCAmount,$N647)=0,"",-INDEX(PCAmount,$N647)),""),IF($O647&lt;&gt;"",IF(INDEX(TxnWitB,$O647)=0,"",INDEX(TxnWitB,$O647)),""))</f>
        <v/>
      </c>
      <c r="K647" s="21">
        <f>IF($B647="","",IF($K646="",$C$10,$K646)+IF($I647="",0,$I647)-IF($J647="",0,$J647))</f>
        <v/>
      </c>
      <c r="L647" s="22">
        <f>IF($N647&lt;&gt;"",IF(INDEX(PCNotes,$N647)="","—",INDEX(PCNotes,$N647)),IF($O647&lt;&gt;"",IF(INDEX(LdgNoteB,$O647)="","—",INDEX(LdgNoteB,$O647)),""))</f>
        <v/>
      </c>
      <c r="N647">
        <f>IFERROR(MATCH($C$5&amp;"|"&amp;RIGHT("000000"&amp;631,6),LdgRankKeyA,0),"")</f>
        <v/>
      </c>
      <c r="O647">
        <f>IFERROR(MATCH($C$5&amp;"|"&amp;RIGHT("000000"&amp;631,6),LdgRankKeyB,0),"")</f>
        <v/>
      </c>
    </row>
    <row r="648">
      <c r="A648" s="23" t="n">
        <v>632</v>
      </c>
      <c r="B648" s="24">
        <f>IF(AND($N648="",$O648=""),"",IF($N648&lt;&gt;"",INDEX(PCNormDate,$N648),INDEX(LdgDateB,$O648)))</f>
        <v/>
      </c>
      <c r="C648" s="24">
        <f>IF($N648&lt;&gt;"",INDEX(PCOp,$N648),IF($O648&lt;&gt;"",IF(N(INDEX(TxnDepB,$O648))&gt;0,"دریافت بانکی","پرداخت بانکی"),""))</f>
        <v/>
      </c>
      <c r="D648" s="24">
        <f>IF($N648&lt;&gt;"",IF(INDEX(PCDoc,$N648)="","—",INDEX(PCDoc,$N648)),IF($O648&lt;&gt;"",INDEX(LdgBankB,$O648),""))</f>
        <v/>
      </c>
      <c r="E648" s="24">
        <f>IF($N648&lt;&gt;"",IF(INDEX(PCCitrus,$N648)="","—",INDEX(PCCitrus,$N648)),"")</f>
        <v/>
      </c>
      <c r="F648" s="25">
        <f>IF($N648&lt;&gt;"",IF(INDEX(PCScale,$N648)=0,"",INDEX(PCScale,$N648)),"")</f>
        <v/>
      </c>
      <c r="G648" s="25">
        <f>IF($N648&lt;&gt;"",IF(INDEX(PCBaskets,$N648)=0,"",INDEX(PCBaskets,$N648)),"")</f>
        <v/>
      </c>
      <c r="H648" s="26">
        <f>IF($N648&lt;&gt;"",IF(INDEX(PCNet,$N648)=0,"",INDEX(PCNet,$N648)),"")</f>
        <v/>
      </c>
      <c r="I648" s="25">
        <f>IF($N648&lt;&gt;"",IF(INDEX(PCOp,$N648)="مرجوعی خرید","",IF(INDEX(PCAmount,$N648)&lt;=0,"",INDEX(PCAmount,$N648))),IF($O648&lt;&gt;"",IF(INDEX(TxnDepB,$O648)=0,"",INDEX(TxnDepB,$O648)),""))</f>
        <v/>
      </c>
      <c r="J648" s="25">
        <f>IF($N648&lt;&gt;"",IF(INDEX(PCOp,$N648)="مرجوعی خرید",IF(INDEX(PCAmount,$N648)=0,"",-INDEX(PCAmount,$N648)),""),IF($O648&lt;&gt;"",IF(INDEX(TxnWitB,$O648)=0,"",INDEX(TxnWitB,$O648)),""))</f>
        <v/>
      </c>
      <c r="K648" s="27">
        <f>IF($B648="","",IF($K647="",$C$10,$K647)+IF($I648="",0,$I648)-IF($J648="",0,$J648))</f>
        <v/>
      </c>
      <c r="L648" s="28">
        <f>IF($N648&lt;&gt;"",IF(INDEX(PCNotes,$N648)="","—",INDEX(PCNotes,$N648)),IF($O648&lt;&gt;"",IF(INDEX(LdgNoteB,$O648)="","—",INDEX(LdgNoteB,$O648)),""))</f>
        <v/>
      </c>
      <c r="N648">
        <f>IFERROR(MATCH($C$5&amp;"|"&amp;RIGHT("000000"&amp;632,6),LdgRankKeyA,0),"")</f>
        <v/>
      </c>
      <c r="O648">
        <f>IFERROR(MATCH($C$5&amp;"|"&amp;RIGHT("000000"&amp;632,6),LdgRankKeyB,0),"")</f>
        <v/>
      </c>
    </row>
    <row r="649">
      <c r="A649" s="17" t="n">
        <v>633</v>
      </c>
      <c r="B649" s="18">
        <f>IF(AND($N649="",$O649=""),"",IF($N649&lt;&gt;"",INDEX(PCNormDate,$N649),INDEX(LdgDateB,$O649)))</f>
        <v/>
      </c>
      <c r="C649" s="18">
        <f>IF($N649&lt;&gt;"",INDEX(PCOp,$N649),IF($O649&lt;&gt;"",IF(N(INDEX(TxnDepB,$O649))&gt;0,"دریافت بانکی","پرداخت بانکی"),""))</f>
        <v/>
      </c>
      <c r="D649" s="18">
        <f>IF($N649&lt;&gt;"",IF(INDEX(PCDoc,$N649)="","—",INDEX(PCDoc,$N649)),IF($O649&lt;&gt;"",INDEX(LdgBankB,$O649),""))</f>
        <v/>
      </c>
      <c r="E649" s="18">
        <f>IF($N649&lt;&gt;"",IF(INDEX(PCCitrus,$N649)="","—",INDEX(PCCitrus,$N649)),"")</f>
        <v/>
      </c>
      <c r="F649" s="19">
        <f>IF($N649&lt;&gt;"",IF(INDEX(PCScale,$N649)=0,"",INDEX(PCScale,$N649)),"")</f>
        <v/>
      </c>
      <c r="G649" s="19">
        <f>IF($N649&lt;&gt;"",IF(INDEX(PCBaskets,$N649)=0,"",INDEX(PCBaskets,$N649)),"")</f>
        <v/>
      </c>
      <c r="H649" s="20">
        <f>IF($N649&lt;&gt;"",IF(INDEX(PCNet,$N649)=0,"",INDEX(PCNet,$N649)),"")</f>
        <v/>
      </c>
      <c r="I649" s="19">
        <f>IF($N649&lt;&gt;"",IF(INDEX(PCOp,$N649)="مرجوعی خرید","",IF(INDEX(PCAmount,$N649)&lt;=0,"",INDEX(PCAmount,$N649))),IF($O649&lt;&gt;"",IF(INDEX(TxnDepB,$O649)=0,"",INDEX(TxnDepB,$O649)),""))</f>
        <v/>
      </c>
      <c r="J649" s="19">
        <f>IF($N649&lt;&gt;"",IF(INDEX(PCOp,$N649)="مرجوعی خرید",IF(INDEX(PCAmount,$N649)=0,"",-INDEX(PCAmount,$N649)),""),IF($O649&lt;&gt;"",IF(INDEX(TxnWitB,$O649)=0,"",INDEX(TxnWitB,$O649)),""))</f>
        <v/>
      </c>
      <c r="K649" s="21">
        <f>IF($B649="","",IF($K648="",$C$10,$K648)+IF($I649="",0,$I649)-IF($J649="",0,$J649))</f>
        <v/>
      </c>
      <c r="L649" s="22">
        <f>IF($N649&lt;&gt;"",IF(INDEX(PCNotes,$N649)="","—",INDEX(PCNotes,$N649)),IF($O649&lt;&gt;"",IF(INDEX(LdgNoteB,$O649)="","—",INDEX(LdgNoteB,$O649)),""))</f>
        <v/>
      </c>
      <c r="N649">
        <f>IFERROR(MATCH($C$5&amp;"|"&amp;RIGHT("000000"&amp;633,6),LdgRankKeyA,0),"")</f>
        <v/>
      </c>
      <c r="O649">
        <f>IFERROR(MATCH($C$5&amp;"|"&amp;RIGHT("000000"&amp;633,6),LdgRankKeyB,0),"")</f>
        <v/>
      </c>
    </row>
    <row r="650">
      <c r="A650" s="23" t="n">
        <v>634</v>
      </c>
      <c r="B650" s="24">
        <f>IF(AND($N650="",$O650=""),"",IF($N650&lt;&gt;"",INDEX(PCNormDate,$N650),INDEX(LdgDateB,$O650)))</f>
        <v/>
      </c>
      <c r="C650" s="24">
        <f>IF($N650&lt;&gt;"",INDEX(PCOp,$N650),IF($O650&lt;&gt;"",IF(N(INDEX(TxnDepB,$O650))&gt;0,"دریافت بانکی","پرداخت بانکی"),""))</f>
        <v/>
      </c>
      <c r="D650" s="24">
        <f>IF($N650&lt;&gt;"",IF(INDEX(PCDoc,$N650)="","—",INDEX(PCDoc,$N650)),IF($O650&lt;&gt;"",INDEX(LdgBankB,$O650),""))</f>
        <v/>
      </c>
      <c r="E650" s="24">
        <f>IF($N650&lt;&gt;"",IF(INDEX(PCCitrus,$N650)="","—",INDEX(PCCitrus,$N650)),"")</f>
        <v/>
      </c>
      <c r="F650" s="25">
        <f>IF($N650&lt;&gt;"",IF(INDEX(PCScale,$N650)=0,"",INDEX(PCScale,$N650)),"")</f>
        <v/>
      </c>
      <c r="G650" s="25">
        <f>IF($N650&lt;&gt;"",IF(INDEX(PCBaskets,$N650)=0,"",INDEX(PCBaskets,$N650)),"")</f>
        <v/>
      </c>
      <c r="H650" s="26">
        <f>IF($N650&lt;&gt;"",IF(INDEX(PCNet,$N650)=0,"",INDEX(PCNet,$N650)),"")</f>
        <v/>
      </c>
      <c r="I650" s="25">
        <f>IF($N650&lt;&gt;"",IF(INDEX(PCOp,$N650)="مرجوعی خرید","",IF(INDEX(PCAmount,$N650)&lt;=0,"",INDEX(PCAmount,$N650))),IF($O650&lt;&gt;"",IF(INDEX(TxnDepB,$O650)=0,"",INDEX(TxnDepB,$O650)),""))</f>
        <v/>
      </c>
      <c r="J650" s="25">
        <f>IF($N650&lt;&gt;"",IF(INDEX(PCOp,$N650)="مرجوعی خرید",IF(INDEX(PCAmount,$N650)=0,"",-INDEX(PCAmount,$N650)),""),IF($O650&lt;&gt;"",IF(INDEX(TxnWitB,$O650)=0,"",INDEX(TxnWitB,$O650)),""))</f>
        <v/>
      </c>
      <c r="K650" s="27">
        <f>IF($B650="","",IF($K649="",$C$10,$K649)+IF($I650="",0,$I650)-IF($J650="",0,$J650))</f>
        <v/>
      </c>
      <c r="L650" s="28">
        <f>IF($N650&lt;&gt;"",IF(INDEX(PCNotes,$N650)="","—",INDEX(PCNotes,$N650)),IF($O650&lt;&gt;"",IF(INDEX(LdgNoteB,$O650)="","—",INDEX(LdgNoteB,$O650)),""))</f>
        <v/>
      </c>
      <c r="N650">
        <f>IFERROR(MATCH($C$5&amp;"|"&amp;RIGHT("000000"&amp;634,6),LdgRankKeyA,0),"")</f>
        <v/>
      </c>
      <c r="O650">
        <f>IFERROR(MATCH($C$5&amp;"|"&amp;RIGHT("000000"&amp;634,6),LdgRankKeyB,0),"")</f>
        <v/>
      </c>
    </row>
    <row r="651">
      <c r="A651" s="17" t="n">
        <v>635</v>
      </c>
      <c r="B651" s="18">
        <f>IF(AND($N651="",$O651=""),"",IF($N651&lt;&gt;"",INDEX(PCNormDate,$N651),INDEX(LdgDateB,$O651)))</f>
        <v/>
      </c>
      <c r="C651" s="18">
        <f>IF($N651&lt;&gt;"",INDEX(PCOp,$N651),IF($O651&lt;&gt;"",IF(N(INDEX(TxnDepB,$O651))&gt;0,"دریافت بانکی","پرداخت بانکی"),""))</f>
        <v/>
      </c>
      <c r="D651" s="18">
        <f>IF($N651&lt;&gt;"",IF(INDEX(PCDoc,$N651)="","—",INDEX(PCDoc,$N651)),IF($O651&lt;&gt;"",INDEX(LdgBankB,$O651),""))</f>
        <v/>
      </c>
      <c r="E651" s="18">
        <f>IF($N651&lt;&gt;"",IF(INDEX(PCCitrus,$N651)="","—",INDEX(PCCitrus,$N651)),"")</f>
        <v/>
      </c>
      <c r="F651" s="19">
        <f>IF($N651&lt;&gt;"",IF(INDEX(PCScale,$N651)=0,"",INDEX(PCScale,$N651)),"")</f>
        <v/>
      </c>
      <c r="G651" s="19">
        <f>IF($N651&lt;&gt;"",IF(INDEX(PCBaskets,$N651)=0,"",INDEX(PCBaskets,$N651)),"")</f>
        <v/>
      </c>
      <c r="H651" s="20">
        <f>IF($N651&lt;&gt;"",IF(INDEX(PCNet,$N651)=0,"",INDEX(PCNet,$N651)),"")</f>
        <v/>
      </c>
      <c r="I651" s="19">
        <f>IF($N651&lt;&gt;"",IF(INDEX(PCOp,$N651)="مرجوعی خرید","",IF(INDEX(PCAmount,$N651)&lt;=0,"",INDEX(PCAmount,$N651))),IF($O651&lt;&gt;"",IF(INDEX(TxnDepB,$O651)=0,"",INDEX(TxnDepB,$O651)),""))</f>
        <v/>
      </c>
      <c r="J651" s="19">
        <f>IF($N651&lt;&gt;"",IF(INDEX(PCOp,$N651)="مرجوعی خرید",IF(INDEX(PCAmount,$N651)=0,"",-INDEX(PCAmount,$N651)),""),IF($O651&lt;&gt;"",IF(INDEX(TxnWitB,$O651)=0,"",INDEX(TxnWitB,$O651)),""))</f>
        <v/>
      </c>
      <c r="K651" s="21">
        <f>IF($B651="","",IF($K650="",$C$10,$K650)+IF($I651="",0,$I651)-IF($J651="",0,$J651))</f>
        <v/>
      </c>
      <c r="L651" s="22">
        <f>IF($N651&lt;&gt;"",IF(INDEX(PCNotes,$N651)="","—",INDEX(PCNotes,$N651)),IF($O651&lt;&gt;"",IF(INDEX(LdgNoteB,$O651)="","—",INDEX(LdgNoteB,$O651)),""))</f>
        <v/>
      </c>
      <c r="N651">
        <f>IFERROR(MATCH($C$5&amp;"|"&amp;RIGHT("000000"&amp;635,6),LdgRankKeyA,0),"")</f>
        <v/>
      </c>
      <c r="O651">
        <f>IFERROR(MATCH($C$5&amp;"|"&amp;RIGHT("000000"&amp;635,6),LdgRankKeyB,0),"")</f>
        <v/>
      </c>
    </row>
    <row r="652">
      <c r="A652" s="23" t="n">
        <v>636</v>
      </c>
      <c r="B652" s="24">
        <f>IF(AND($N652="",$O652=""),"",IF($N652&lt;&gt;"",INDEX(PCNormDate,$N652),INDEX(LdgDateB,$O652)))</f>
        <v/>
      </c>
      <c r="C652" s="24">
        <f>IF($N652&lt;&gt;"",INDEX(PCOp,$N652),IF($O652&lt;&gt;"",IF(N(INDEX(TxnDepB,$O652))&gt;0,"دریافت بانکی","پرداخت بانکی"),""))</f>
        <v/>
      </c>
      <c r="D652" s="24">
        <f>IF($N652&lt;&gt;"",IF(INDEX(PCDoc,$N652)="","—",INDEX(PCDoc,$N652)),IF($O652&lt;&gt;"",INDEX(LdgBankB,$O652),""))</f>
        <v/>
      </c>
      <c r="E652" s="24">
        <f>IF($N652&lt;&gt;"",IF(INDEX(PCCitrus,$N652)="","—",INDEX(PCCitrus,$N652)),"")</f>
        <v/>
      </c>
      <c r="F652" s="25">
        <f>IF($N652&lt;&gt;"",IF(INDEX(PCScale,$N652)=0,"",INDEX(PCScale,$N652)),"")</f>
        <v/>
      </c>
      <c r="G652" s="25">
        <f>IF($N652&lt;&gt;"",IF(INDEX(PCBaskets,$N652)=0,"",INDEX(PCBaskets,$N652)),"")</f>
        <v/>
      </c>
      <c r="H652" s="26">
        <f>IF($N652&lt;&gt;"",IF(INDEX(PCNet,$N652)=0,"",INDEX(PCNet,$N652)),"")</f>
        <v/>
      </c>
      <c r="I652" s="25">
        <f>IF($N652&lt;&gt;"",IF(INDEX(PCOp,$N652)="مرجوعی خرید","",IF(INDEX(PCAmount,$N652)&lt;=0,"",INDEX(PCAmount,$N652))),IF($O652&lt;&gt;"",IF(INDEX(TxnDepB,$O652)=0,"",INDEX(TxnDepB,$O652)),""))</f>
        <v/>
      </c>
      <c r="J652" s="25">
        <f>IF($N652&lt;&gt;"",IF(INDEX(PCOp,$N652)="مرجوعی خرید",IF(INDEX(PCAmount,$N652)=0,"",-INDEX(PCAmount,$N652)),""),IF($O652&lt;&gt;"",IF(INDEX(TxnWitB,$O652)=0,"",INDEX(TxnWitB,$O652)),""))</f>
        <v/>
      </c>
      <c r="K652" s="27">
        <f>IF($B652="","",IF($K651="",$C$10,$K651)+IF($I652="",0,$I652)-IF($J652="",0,$J652))</f>
        <v/>
      </c>
      <c r="L652" s="28">
        <f>IF($N652&lt;&gt;"",IF(INDEX(PCNotes,$N652)="","—",INDEX(PCNotes,$N652)),IF($O652&lt;&gt;"",IF(INDEX(LdgNoteB,$O652)="","—",INDEX(LdgNoteB,$O652)),""))</f>
        <v/>
      </c>
      <c r="N652">
        <f>IFERROR(MATCH($C$5&amp;"|"&amp;RIGHT("000000"&amp;636,6),LdgRankKeyA,0),"")</f>
        <v/>
      </c>
      <c r="O652">
        <f>IFERROR(MATCH($C$5&amp;"|"&amp;RIGHT("000000"&amp;636,6),LdgRankKeyB,0),"")</f>
        <v/>
      </c>
    </row>
    <row r="653">
      <c r="A653" s="17" t="n">
        <v>637</v>
      </c>
      <c r="B653" s="18">
        <f>IF(AND($N653="",$O653=""),"",IF($N653&lt;&gt;"",INDEX(PCNormDate,$N653),INDEX(LdgDateB,$O653)))</f>
        <v/>
      </c>
      <c r="C653" s="18">
        <f>IF($N653&lt;&gt;"",INDEX(PCOp,$N653),IF($O653&lt;&gt;"",IF(N(INDEX(TxnDepB,$O653))&gt;0,"دریافت بانکی","پرداخت بانکی"),""))</f>
        <v/>
      </c>
      <c r="D653" s="18">
        <f>IF($N653&lt;&gt;"",IF(INDEX(PCDoc,$N653)="","—",INDEX(PCDoc,$N653)),IF($O653&lt;&gt;"",INDEX(LdgBankB,$O653),""))</f>
        <v/>
      </c>
      <c r="E653" s="18">
        <f>IF($N653&lt;&gt;"",IF(INDEX(PCCitrus,$N653)="","—",INDEX(PCCitrus,$N653)),"")</f>
        <v/>
      </c>
      <c r="F653" s="19">
        <f>IF($N653&lt;&gt;"",IF(INDEX(PCScale,$N653)=0,"",INDEX(PCScale,$N653)),"")</f>
        <v/>
      </c>
      <c r="G653" s="19">
        <f>IF($N653&lt;&gt;"",IF(INDEX(PCBaskets,$N653)=0,"",INDEX(PCBaskets,$N653)),"")</f>
        <v/>
      </c>
      <c r="H653" s="20">
        <f>IF($N653&lt;&gt;"",IF(INDEX(PCNet,$N653)=0,"",INDEX(PCNet,$N653)),"")</f>
        <v/>
      </c>
      <c r="I653" s="19">
        <f>IF($N653&lt;&gt;"",IF(INDEX(PCOp,$N653)="مرجوعی خرید","",IF(INDEX(PCAmount,$N653)&lt;=0,"",INDEX(PCAmount,$N653))),IF($O653&lt;&gt;"",IF(INDEX(TxnDepB,$O653)=0,"",INDEX(TxnDepB,$O653)),""))</f>
        <v/>
      </c>
      <c r="J653" s="19">
        <f>IF($N653&lt;&gt;"",IF(INDEX(PCOp,$N653)="مرجوعی خرید",IF(INDEX(PCAmount,$N653)=0,"",-INDEX(PCAmount,$N653)),""),IF($O653&lt;&gt;"",IF(INDEX(TxnWitB,$O653)=0,"",INDEX(TxnWitB,$O653)),""))</f>
        <v/>
      </c>
      <c r="K653" s="21">
        <f>IF($B653="","",IF($K652="",$C$10,$K652)+IF($I653="",0,$I653)-IF($J653="",0,$J653))</f>
        <v/>
      </c>
      <c r="L653" s="22">
        <f>IF($N653&lt;&gt;"",IF(INDEX(PCNotes,$N653)="","—",INDEX(PCNotes,$N653)),IF($O653&lt;&gt;"",IF(INDEX(LdgNoteB,$O653)="","—",INDEX(LdgNoteB,$O653)),""))</f>
        <v/>
      </c>
      <c r="N653">
        <f>IFERROR(MATCH($C$5&amp;"|"&amp;RIGHT("000000"&amp;637,6),LdgRankKeyA,0),"")</f>
        <v/>
      </c>
      <c r="O653">
        <f>IFERROR(MATCH($C$5&amp;"|"&amp;RIGHT("000000"&amp;637,6),LdgRankKeyB,0),"")</f>
        <v/>
      </c>
    </row>
    <row r="654">
      <c r="A654" s="23" t="n">
        <v>638</v>
      </c>
      <c r="B654" s="24">
        <f>IF(AND($N654="",$O654=""),"",IF($N654&lt;&gt;"",INDEX(PCNormDate,$N654),INDEX(LdgDateB,$O654)))</f>
        <v/>
      </c>
      <c r="C654" s="24">
        <f>IF($N654&lt;&gt;"",INDEX(PCOp,$N654),IF($O654&lt;&gt;"",IF(N(INDEX(TxnDepB,$O654))&gt;0,"دریافت بانکی","پرداخت بانکی"),""))</f>
        <v/>
      </c>
      <c r="D654" s="24">
        <f>IF($N654&lt;&gt;"",IF(INDEX(PCDoc,$N654)="","—",INDEX(PCDoc,$N654)),IF($O654&lt;&gt;"",INDEX(LdgBankB,$O654),""))</f>
        <v/>
      </c>
      <c r="E654" s="24">
        <f>IF($N654&lt;&gt;"",IF(INDEX(PCCitrus,$N654)="","—",INDEX(PCCitrus,$N654)),"")</f>
        <v/>
      </c>
      <c r="F654" s="25">
        <f>IF($N654&lt;&gt;"",IF(INDEX(PCScale,$N654)=0,"",INDEX(PCScale,$N654)),"")</f>
        <v/>
      </c>
      <c r="G654" s="25">
        <f>IF($N654&lt;&gt;"",IF(INDEX(PCBaskets,$N654)=0,"",INDEX(PCBaskets,$N654)),"")</f>
        <v/>
      </c>
      <c r="H654" s="26">
        <f>IF($N654&lt;&gt;"",IF(INDEX(PCNet,$N654)=0,"",INDEX(PCNet,$N654)),"")</f>
        <v/>
      </c>
      <c r="I654" s="25">
        <f>IF($N654&lt;&gt;"",IF(INDEX(PCOp,$N654)="مرجوعی خرید","",IF(INDEX(PCAmount,$N654)&lt;=0,"",INDEX(PCAmount,$N654))),IF($O654&lt;&gt;"",IF(INDEX(TxnDepB,$O654)=0,"",INDEX(TxnDepB,$O654)),""))</f>
        <v/>
      </c>
      <c r="J654" s="25">
        <f>IF($N654&lt;&gt;"",IF(INDEX(PCOp,$N654)="مرجوعی خرید",IF(INDEX(PCAmount,$N654)=0,"",-INDEX(PCAmount,$N654)),""),IF($O654&lt;&gt;"",IF(INDEX(TxnWitB,$O654)=0,"",INDEX(TxnWitB,$O654)),""))</f>
        <v/>
      </c>
      <c r="K654" s="27">
        <f>IF($B654="","",IF($K653="",$C$10,$K653)+IF($I654="",0,$I654)-IF($J654="",0,$J654))</f>
        <v/>
      </c>
      <c r="L654" s="28">
        <f>IF($N654&lt;&gt;"",IF(INDEX(PCNotes,$N654)="","—",INDEX(PCNotes,$N654)),IF($O654&lt;&gt;"",IF(INDEX(LdgNoteB,$O654)="","—",INDEX(LdgNoteB,$O654)),""))</f>
        <v/>
      </c>
      <c r="N654">
        <f>IFERROR(MATCH($C$5&amp;"|"&amp;RIGHT("000000"&amp;638,6),LdgRankKeyA,0),"")</f>
        <v/>
      </c>
      <c r="O654">
        <f>IFERROR(MATCH($C$5&amp;"|"&amp;RIGHT("000000"&amp;638,6),LdgRankKeyB,0),"")</f>
        <v/>
      </c>
    </row>
    <row r="655">
      <c r="A655" s="17" t="n">
        <v>639</v>
      </c>
      <c r="B655" s="18">
        <f>IF(AND($N655="",$O655=""),"",IF($N655&lt;&gt;"",INDEX(PCNormDate,$N655),INDEX(LdgDateB,$O655)))</f>
        <v/>
      </c>
      <c r="C655" s="18">
        <f>IF($N655&lt;&gt;"",INDEX(PCOp,$N655),IF($O655&lt;&gt;"",IF(N(INDEX(TxnDepB,$O655))&gt;0,"دریافت بانکی","پرداخت بانکی"),""))</f>
        <v/>
      </c>
      <c r="D655" s="18">
        <f>IF($N655&lt;&gt;"",IF(INDEX(PCDoc,$N655)="","—",INDEX(PCDoc,$N655)),IF($O655&lt;&gt;"",INDEX(LdgBankB,$O655),""))</f>
        <v/>
      </c>
      <c r="E655" s="18">
        <f>IF($N655&lt;&gt;"",IF(INDEX(PCCitrus,$N655)="","—",INDEX(PCCitrus,$N655)),"")</f>
        <v/>
      </c>
      <c r="F655" s="19">
        <f>IF($N655&lt;&gt;"",IF(INDEX(PCScale,$N655)=0,"",INDEX(PCScale,$N655)),"")</f>
        <v/>
      </c>
      <c r="G655" s="19">
        <f>IF($N655&lt;&gt;"",IF(INDEX(PCBaskets,$N655)=0,"",INDEX(PCBaskets,$N655)),"")</f>
        <v/>
      </c>
      <c r="H655" s="20">
        <f>IF($N655&lt;&gt;"",IF(INDEX(PCNet,$N655)=0,"",INDEX(PCNet,$N655)),"")</f>
        <v/>
      </c>
      <c r="I655" s="19">
        <f>IF($N655&lt;&gt;"",IF(INDEX(PCOp,$N655)="مرجوعی خرید","",IF(INDEX(PCAmount,$N655)&lt;=0,"",INDEX(PCAmount,$N655))),IF($O655&lt;&gt;"",IF(INDEX(TxnDepB,$O655)=0,"",INDEX(TxnDepB,$O655)),""))</f>
        <v/>
      </c>
      <c r="J655" s="19">
        <f>IF($N655&lt;&gt;"",IF(INDEX(PCOp,$N655)="مرجوعی خرید",IF(INDEX(PCAmount,$N655)=0,"",-INDEX(PCAmount,$N655)),""),IF($O655&lt;&gt;"",IF(INDEX(TxnWitB,$O655)=0,"",INDEX(TxnWitB,$O655)),""))</f>
        <v/>
      </c>
      <c r="K655" s="21">
        <f>IF($B655="","",IF($K654="",$C$10,$K654)+IF($I655="",0,$I655)-IF($J655="",0,$J655))</f>
        <v/>
      </c>
      <c r="L655" s="22">
        <f>IF($N655&lt;&gt;"",IF(INDEX(PCNotes,$N655)="","—",INDEX(PCNotes,$N655)),IF($O655&lt;&gt;"",IF(INDEX(LdgNoteB,$O655)="","—",INDEX(LdgNoteB,$O655)),""))</f>
        <v/>
      </c>
      <c r="N655">
        <f>IFERROR(MATCH($C$5&amp;"|"&amp;RIGHT("000000"&amp;639,6),LdgRankKeyA,0),"")</f>
        <v/>
      </c>
      <c r="O655">
        <f>IFERROR(MATCH($C$5&amp;"|"&amp;RIGHT("000000"&amp;639,6),LdgRankKeyB,0),"")</f>
        <v/>
      </c>
    </row>
    <row r="656">
      <c r="A656" s="23" t="n">
        <v>640</v>
      </c>
      <c r="B656" s="24">
        <f>IF(AND($N656="",$O656=""),"",IF($N656&lt;&gt;"",INDEX(PCNormDate,$N656),INDEX(LdgDateB,$O656)))</f>
        <v/>
      </c>
      <c r="C656" s="24">
        <f>IF($N656&lt;&gt;"",INDEX(PCOp,$N656),IF($O656&lt;&gt;"",IF(N(INDEX(TxnDepB,$O656))&gt;0,"دریافت بانکی","پرداخت بانکی"),""))</f>
        <v/>
      </c>
      <c r="D656" s="24">
        <f>IF($N656&lt;&gt;"",IF(INDEX(PCDoc,$N656)="","—",INDEX(PCDoc,$N656)),IF($O656&lt;&gt;"",INDEX(LdgBankB,$O656),""))</f>
        <v/>
      </c>
      <c r="E656" s="24">
        <f>IF($N656&lt;&gt;"",IF(INDEX(PCCitrus,$N656)="","—",INDEX(PCCitrus,$N656)),"")</f>
        <v/>
      </c>
      <c r="F656" s="25">
        <f>IF($N656&lt;&gt;"",IF(INDEX(PCScale,$N656)=0,"",INDEX(PCScale,$N656)),"")</f>
        <v/>
      </c>
      <c r="G656" s="25">
        <f>IF($N656&lt;&gt;"",IF(INDEX(PCBaskets,$N656)=0,"",INDEX(PCBaskets,$N656)),"")</f>
        <v/>
      </c>
      <c r="H656" s="26">
        <f>IF($N656&lt;&gt;"",IF(INDEX(PCNet,$N656)=0,"",INDEX(PCNet,$N656)),"")</f>
        <v/>
      </c>
      <c r="I656" s="25">
        <f>IF($N656&lt;&gt;"",IF(INDEX(PCOp,$N656)="مرجوعی خرید","",IF(INDEX(PCAmount,$N656)&lt;=0,"",INDEX(PCAmount,$N656))),IF($O656&lt;&gt;"",IF(INDEX(TxnDepB,$O656)=0,"",INDEX(TxnDepB,$O656)),""))</f>
        <v/>
      </c>
      <c r="J656" s="25">
        <f>IF($N656&lt;&gt;"",IF(INDEX(PCOp,$N656)="مرجوعی خرید",IF(INDEX(PCAmount,$N656)=0,"",-INDEX(PCAmount,$N656)),""),IF($O656&lt;&gt;"",IF(INDEX(TxnWitB,$O656)=0,"",INDEX(TxnWitB,$O656)),""))</f>
        <v/>
      </c>
      <c r="K656" s="27">
        <f>IF($B656="","",IF($K655="",$C$10,$K655)+IF($I656="",0,$I656)-IF($J656="",0,$J656))</f>
        <v/>
      </c>
      <c r="L656" s="28">
        <f>IF($N656&lt;&gt;"",IF(INDEX(PCNotes,$N656)="","—",INDEX(PCNotes,$N656)),IF($O656&lt;&gt;"",IF(INDEX(LdgNoteB,$O656)="","—",INDEX(LdgNoteB,$O656)),""))</f>
        <v/>
      </c>
      <c r="N656">
        <f>IFERROR(MATCH($C$5&amp;"|"&amp;RIGHT("000000"&amp;640,6),LdgRankKeyA,0),"")</f>
        <v/>
      </c>
      <c r="O656">
        <f>IFERROR(MATCH($C$5&amp;"|"&amp;RIGHT("000000"&amp;640,6),LdgRankKeyB,0),"")</f>
        <v/>
      </c>
    </row>
    <row r="657">
      <c r="A657" s="17" t="n">
        <v>641</v>
      </c>
      <c r="B657" s="18">
        <f>IF(AND($N657="",$O657=""),"",IF($N657&lt;&gt;"",INDEX(PCNormDate,$N657),INDEX(LdgDateB,$O657)))</f>
        <v/>
      </c>
      <c r="C657" s="18">
        <f>IF($N657&lt;&gt;"",INDEX(PCOp,$N657),IF($O657&lt;&gt;"",IF(N(INDEX(TxnDepB,$O657))&gt;0,"دریافت بانکی","پرداخت بانکی"),""))</f>
        <v/>
      </c>
      <c r="D657" s="18">
        <f>IF($N657&lt;&gt;"",IF(INDEX(PCDoc,$N657)="","—",INDEX(PCDoc,$N657)),IF($O657&lt;&gt;"",INDEX(LdgBankB,$O657),""))</f>
        <v/>
      </c>
      <c r="E657" s="18">
        <f>IF($N657&lt;&gt;"",IF(INDEX(PCCitrus,$N657)="","—",INDEX(PCCitrus,$N657)),"")</f>
        <v/>
      </c>
      <c r="F657" s="19">
        <f>IF($N657&lt;&gt;"",IF(INDEX(PCScale,$N657)=0,"",INDEX(PCScale,$N657)),"")</f>
        <v/>
      </c>
      <c r="G657" s="19">
        <f>IF($N657&lt;&gt;"",IF(INDEX(PCBaskets,$N657)=0,"",INDEX(PCBaskets,$N657)),"")</f>
        <v/>
      </c>
      <c r="H657" s="20">
        <f>IF($N657&lt;&gt;"",IF(INDEX(PCNet,$N657)=0,"",INDEX(PCNet,$N657)),"")</f>
        <v/>
      </c>
      <c r="I657" s="19">
        <f>IF($N657&lt;&gt;"",IF(INDEX(PCOp,$N657)="مرجوعی خرید","",IF(INDEX(PCAmount,$N657)&lt;=0,"",INDEX(PCAmount,$N657))),IF($O657&lt;&gt;"",IF(INDEX(TxnDepB,$O657)=0,"",INDEX(TxnDepB,$O657)),""))</f>
        <v/>
      </c>
      <c r="J657" s="19">
        <f>IF($N657&lt;&gt;"",IF(INDEX(PCOp,$N657)="مرجوعی خرید",IF(INDEX(PCAmount,$N657)=0,"",-INDEX(PCAmount,$N657)),""),IF($O657&lt;&gt;"",IF(INDEX(TxnWitB,$O657)=0,"",INDEX(TxnWitB,$O657)),""))</f>
        <v/>
      </c>
      <c r="K657" s="21">
        <f>IF($B657="","",IF($K656="",$C$10,$K656)+IF($I657="",0,$I657)-IF($J657="",0,$J657))</f>
        <v/>
      </c>
      <c r="L657" s="22">
        <f>IF($N657&lt;&gt;"",IF(INDEX(PCNotes,$N657)="","—",INDEX(PCNotes,$N657)),IF($O657&lt;&gt;"",IF(INDEX(LdgNoteB,$O657)="","—",INDEX(LdgNoteB,$O657)),""))</f>
        <v/>
      </c>
      <c r="N657">
        <f>IFERROR(MATCH($C$5&amp;"|"&amp;RIGHT("000000"&amp;641,6),LdgRankKeyA,0),"")</f>
        <v/>
      </c>
      <c r="O657">
        <f>IFERROR(MATCH($C$5&amp;"|"&amp;RIGHT("000000"&amp;641,6),LdgRankKeyB,0),"")</f>
        <v/>
      </c>
    </row>
    <row r="658">
      <c r="A658" s="23" t="n">
        <v>642</v>
      </c>
      <c r="B658" s="24">
        <f>IF(AND($N658="",$O658=""),"",IF($N658&lt;&gt;"",INDEX(PCNormDate,$N658),INDEX(LdgDateB,$O658)))</f>
        <v/>
      </c>
      <c r="C658" s="24">
        <f>IF($N658&lt;&gt;"",INDEX(PCOp,$N658),IF($O658&lt;&gt;"",IF(N(INDEX(TxnDepB,$O658))&gt;0,"دریافت بانکی","پرداخت بانکی"),""))</f>
        <v/>
      </c>
      <c r="D658" s="24">
        <f>IF($N658&lt;&gt;"",IF(INDEX(PCDoc,$N658)="","—",INDEX(PCDoc,$N658)),IF($O658&lt;&gt;"",INDEX(LdgBankB,$O658),""))</f>
        <v/>
      </c>
      <c r="E658" s="24">
        <f>IF($N658&lt;&gt;"",IF(INDEX(PCCitrus,$N658)="","—",INDEX(PCCitrus,$N658)),"")</f>
        <v/>
      </c>
      <c r="F658" s="25">
        <f>IF($N658&lt;&gt;"",IF(INDEX(PCScale,$N658)=0,"",INDEX(PCScale,$N658)),"")</f>
        <v/>
      </c>
      <c r="G658" s="25">
        <f>IF($N658&lt;&gt;"",IF(INDEX(PCBaskets,$N658)=0,"",INDEX(PCBaskets,$N658)),"")</f>
        <v/>
      </c>
      <c r="H658" s="26">
        <f>IF($N658&lt;&gt;"",IF(INDEX(PCNet,$N658)=0,"",INDEX(PCNet,$N658)),"")</f>
        <v/>
      </c>
      <c r="I658" s="25">
        <f>IF($N658&lt;&gt;"",IF(INDEX(PCOp,$N658)="مرجوعی خرید","",IF(INDEX(PCAmount,$N658)&lt;=0,"",INDEX(PCAmount,$N658))),IF($O658&lt;&gt;"",IF(INDEX(TxnDepB,$O658)=0,"",INDEX(TxnDepB,$O658)),""))</f>
        <v/>
      </c>
      <c r="J658" s="25">
        <f>IF($N658&lt;&gt;"",IF(INDEX(PCOp,$N658)="مرجوعی خرید",IF(INDEX(PCAmount,$N658)=0,"",-INDEX(PCAmount,$N658)),""),IF($O658&lt;&gt;"",IF(INDEX(TxnWitB,$O658)=0,"",INDEX(TxnWitB,$O658)),""))</f>
        <v/>
      </c>
      <c r="K658" s="27">
        <f>IF($B658="","",IF($K657="",$C$10,$K657)+IF($I658="",0,$I658)-IF($J658="",0,$J658))</f>
        <v/>
      </c>
      <c r="L658" s="28">
        <f>IF($N658&lt;&gt;"",IF(INDEX(PCNotes,$N658)="","—",INDEX(PCNotes,$N658)),IF($O658&lt;&gt;"",IF(INDEX(LdgNoteB,$O658)="","—",INDEX(LdgNoteB,$O658)),""))</f>
        <v/>
      </c>
      <c r="N658">
        <f>IFERROR(MATCH($C$5&amp;"|"&amp;RIGHT("000000"&amp;642,6),LdgRankKeyA,0),"")</f>
        <v/>
      </c>
      <c r="O658">
        <f>IFERROR(MATCH($C$5&amp;"|"&amp;RIGHT("000000"&amp;642,6),LdgRankKeyB,0),"")</f>
        <v/>
      </c>
    </row>
    <row r="659">
      <c r="A659" s="17" t="n">
        <v>643</v>
      </c>
      <c r="B659" s="18">
        <f>IF(AND($N659="",$O659=""),"",IF($N659&lt;&gt;"",INDEX(PCNormDate,$N659),INDEX(LdgDateB,$O659)))</f>
        <v/>
      </c>
      <c r="C659" s="18">
        <f>IF($N659&lt;&gt;"",INDEX(PCOp,$N659),IF($O659&lt;&gt;"",IF(N(INDEX(TxnDepB,$O659))&gt;0,"دریافت بانکی","پرداخت بانکی"),""))</f>
        <v/>
      </c>
      <c r="D659" s="18">
        <f>IF($N659&lt;&gt;"",IF(INDEX(PCDoc,$N659)="","—",INDEX(PCDoc,$N659)),IF($O659&lt;&gt;"",INDEX(LdgBankB,$O659),""))</f>
        <v/>
      </c>
      <c r="E659" s="18">
        <f>IF($N659&lt;&gt;"",IF(INDEX(PCCitrus,$N659)="","—",INDEX(PCCitrus,$N659)),"")</f>
        <v/>
      </c>
      <c r="F659" s="19">
        <f>IF($N659&lt;&gt;"",IF(INDEX(PCScale,$N659)=0,"",INDEX(PCScale,$N659)),"")</f>
        <v/>
      </c>
      <c r="G659" s="19">
        <f>IF($N659&lt;&gt;"",IF(INDEX(PCBaskets,$N659)=0,"",INDEX(PCBaskets,$N659)),"")</f>
        <v/>
      </c>
      <c r="H659" s="20">
        <f>IF($N659&lt;&gt;"",IF(INDEX(PCNet,$N659)=0,"",INDEX(PCNet,$N659)),"")</f>
        <v/>
      </c>
      <c r="I659" s="19">
        <f>IF($N659&lt;&gt;"",IF(INDEX(PCOp,$N659)="مرجوعی خرید","",IF(INDEX(PCAmount,$N659)&lt;=0,"",INDEX(PCAmount,$N659))),IF($O659&lt;&gt;"",IF(INDEX(TxnDepB,$O659)=0,"",INDEX(TxnDepB,$O659)),""))</f>
        <v/>
      </c>
      <c r="J659" s="19">
        <f>IF($N659&lt;&gt;"",IF(INDEX(PCOp,$N659)="مرجوعی خرید",IF(INDEX(PCAmount,$N659)=0,"",-INDEX(PCAmount,$N659)),""),IF($O659&lt;&gt;"",IF(INDEX(TxnWitB,$O659)=0,"",INDEX(TxnWitB,$O659)),""))</f>
        <v/>
      </c>
      <c r="K659" s="21">
        <f>IF($B659="","",IF($K658="",$C$10,$K658)+IF($I659="",0,$I659)-IF($J659="",0,$J659))</f>
        <v/>
      </c>
      <c r="L659" s="22">
        <f>IF($N659&lt;&gt;"",IF(INDEX(PCNotes,$N659)="","—",INDEX(PCNotes,$N659)),IF($O659&lt;&gt;"",IF(INDEX(LdgNoteB,$O659)="","—",INDEX(LdgNoteB,$O659)),""))</f>
        <v/>
      </c>
      <c r="N659">
        <f>IFERROR(MATCH($C$5&amp;"|"&amp;RIGHT("000000"&amp;643,6),LdgRankKeyA,0),"")</f>
        <v/>
      </c>
      <c r="O659">
        <f>IFERROR(MATCH($C$5&amp;"|"&amp;RIGHT("000000"&amp;643,6),LdgRankKeyB,0),"")</f>
        <v/>
      </c>
    </row>
    <row r="660">
      <c r="A660" s="23" t="n">
        <v>644</v>
      </c>
      <c r="B660" s="24">
        <f>IF(AND($N660="",$O660=""),"",IF($N660&lt;&gt;"",INDEX(PCNormDate,$N660),INDEX(LdgDateB,$O660)))</f>
        <v/>
      </c>
      <c r="C660" s="24">
        <f>IF($N660&lt;&gt;"",INDEX(PCOp,$N660),IF($O660&lt;&gt;"",IF(N(INDEX(TxnDepB,$O660))&gt;0,"دریافت بانکی","پرداخت بانکی"),""))</f>
        <v/>
      </c>
      <c r="D660" s="24">
        <f>IF($N660&lt;&gt;"",IF(INDEX(PCDoc,$N660)="","—",INDEX(PCDoc,$N660)),IF($O660&lt;&gt;"",INDEX(LdgBankB,$O660),""))</f>
        <v/>
      </c>
      <c r="E660" s="24">
        <f>IF($N660&lt;&gt;"",IF(INDEX(PCCitrus,$N660)="","—",INDEX(PCCitrus,$N660)),"")</f>
        <v/>
      </c>
      <c r="F660" s="25">
        <f>IF($N660&lt;&gt;"",IF(INDEX(PCScale,$N660)=0,"",INDEX(PCScale,$N660)),"")</f>
        <v/>
      </c>
      <c r="G660" s="25">
        <f>IF($N660&lt;&gt;"",IF(INDEX(PCBaskets,$N660)=0,"",INDEX(PCBaskets,$N660)),"")</f>
        <v/>
      </c>
      <c r="H660" s="26">
        <f>IF($N660&lt;&gt;"",IF(INDEX(PCNet,$N660)=0,"",INDEX(PCNet,$N660)),"")</f>
        <v/>
      </c>
      <c r="I660" s="25">
        <f>IF($N660&lt;&gt;"",IF(INDEX(PCOp,$N660)="مرجوعی خرید","",IF(INDEX(PCAmount,$N660)&lt;=0,"",INDEX(PCAmount,$N660))),IF($O660&lt;&gt;"",IF(INDEX(TxnDepB,$O660)=0,"",INDEX(TxnDepB,$O660)),""))</f>
        <v/>
      </c>
      <c r="J660" s="25">
        <f>IF($N660&lt;&gt;"",IF(INDEX(PCOp,$N660)="مرجوعی خرید",IF(INDEX(PCAmount,$N660)=0,"",-INDEX(PCAmount,$N660)),""),IF($O660&lt;&gt;"",IF(INDEX(TxnWitB,$O660)=0,"",INDEX(TxnWitB,$O660)),""))</f>
        <v/>
      </c>
      <c r="K660" s="27">
        <f>IF($B660="","",IF($K659="",$C$10,$K659)+IF($I660="",0,$I660)-IF($J660="",0,$J660))</f>
        <v/>
      </c>
      <c r="L660" s="28">
        <f>IF($N660&lt;&gt;"",IF(INDEX(PCNotes,$N660)="","—",INDEX(PCNotes,$N660)),IF($O660&lt;&gt;"",IF(INDEX(LdgNoteB,$O660)="","—",INDEX(LdgNoteB,$O660)),""))</f>
        <v/>
      </c>
      <c r="N660">
        <f>IFERROR(MATCH($C$5&amp;"|"&amp;RIGHT("000000"&amp;644,6),LdgRankKeyA,0),"")</f>
        <v/>
      </c>
      <c r="O660">
        <f>IFERROR(MATCH($C$5&amp;"|"&amp;RIGHT("000000"&amp;644,6),LdgRankKeyB,0),"")</f>
        <v/>
      </c>
    </row>
    <row r="661">
      <c r="A661" s="17" t="n">
        <v>645</v>
      </c>
      <c r="B661" s="18">
        <f>IF(AND($N661="",$O661=""),"",IF($N661&lt;&gt;"",INDEX(PCNormDate,$N661),INDEX(LdgDateB,$O661)))</f>
        <v/>
      </c>
      <c r="C661" s="18">
        <f>IF($N661&lt;&gt;"",INDEX(PCOp,$N661),IF($O661&lt;&gt;"",IF(N(INDEX(TxnDepB,$O661))&gt;0,"دریافت بانکی","پرداخت بانکی"),""))</f>
        <v/>
      </c>
      <c r="D661" s="18">
        <f>IF($N661&lt;&gt;"",IF(INDEX(PCDoc,$N661)="","—",INDEX(PCDoc,$N661)),IF($O661&lt;&gt;"",INDEX(LdgBankB,$O661),""))</f>
        <v/>
      </c>
      <c r="E661" s="18">
        <f>IF($N661&lt;&gt;"",IF(INDEX(PCCitrus,$N661)="","—",INDEX(PCCitrus,$N661)),"")</f>
        <v/>
      </c>
      <c r="F661" s="19">
        <f>IF($N661&lt;&gt;"",IF(INDEX(PCScale,$N661)=0,"",INDEX(PCScale,$N661)),"")</f>
        <v/>
      </c>
      <c r="G661" s="19">
        <f>IF($N661&lt;&gt;"",IF(INDEX(PCBaskets,$N661)=0,"",INDEX(PCBaskets,$N661)),"")</f>
        <v/>
      </c>
      <c r="H661" s="20">
        <f>IF($N661&lt;&gt;"",IF(INDEX(PCNet,$N661)=0,"",INDEX(PCNet,$N661)),"")</f>
        <v/>
      </c>
      <c r="I661" s="19">
        <f>IF($N661&lt;&gt;"",IF(INDEX(PCOp,$N661)="مرجوعی خرید","",IF(INDEX(PCAmount,$N661)&lt;=0,"",INDEX(PCAmount,$N661))),IF($O661&lt;&gt;"",IF(INDEX(TxnDepB,$O661)=0,"",INDEX(TxnDepB,$O661)),""))</f>
        <v/>
      </c>
      <c r="J661" s="19">
        <f>IF($N661&lt;&gt;"",IF(INDEX(PCOp,$N661)="مرجوعی خرید",IF(INDEX(PCAmount,$N661)=0,"",-INDEX(PCAmount,$N661)),""),IF($O661&lt;&gt;"",IF(INDEX(TxnWitB,$O661)=0,"",INDEX(TxnWitB,$O661)),""))</f>
        <v/>
      </c>
      <c r="K661" s="21">
        <f>IF($B661="","",IF($K660="",$C$10,$K660)+IF($I661="",0,$I661)-IF($J661="",0,$J661))</f>
        <v/>
      </c>
      <c r="L661" s="22">
        <f>IF($N661&lt;&gt;"",IF(INDEX(PCNotes,$N661)="","—",INDEX(PCNotes,$N661)),IF($O661&lt;&gt;"",IF(INDEX(LdgNoteB,$O661)="","—",INDEX(LdgNoteB,$O661)),""))</f>
        <v/>
      </c>
      <c r="N661">
        <f>IFERROR(MATCH($C$5&amp;"|"&amp;RIGHT("000000"&amp;645,6),LdgRankKeyA,0),"")</f>
        <v/>
      </c>
      <c r="O661">
        <f>IFERROR(MATCH($C$5&amp;"|"&amp;RIGHT("000000"&amp;645,6),LdgRankKeyB,0),"")</f>
        <v/>
      </c>
    </row>
    <row r="662">
      <c r="A662" s="23" t="n">
        <v>646</v>
      </c>
      <c r="B662" s="24">
        <f>IF(AND($N662="",$O662=""),"",IF($N662&lt;&gt;"",INDEX(PCNormDate,$N662),INDEX(LdgDateB,$O662)))</f>
        <v/>
      </c>
      <c r="C662" s="24">
        <f>IF($N662&lt;&gt;"",INDEX(PCOp,$N662),IF($O662&lt;&gt;"",IF(N(INDEX(TxnDepB,$O662))&gt;0,"دریافت بانکی","پرداخت بانکی"),""))</f>
        <v/>
      </c>
      <c r="D662" s="24">
        <f>IF($N662&lt;&gt;"",IF(INDEX(PCDoc,$N662)="","—",INDEX(PCDoc,$N662)),IF($O662&lt;&gt;"",INDEX(LdgBankB,$O662),""))</f>
        <v/>
      </c>
      <c r="E662" s="24">
        <f>IF($N662&lt;&gt;"",IF(INDEX(PCCitrus,$N662)="","—",INDEX(PCCitrus,$N662)),"")</f>
        <v/>
      </c>
      <c r="F662" s="25">
        <f>IF($N662&lt;&gt;"",IF(INDEX(PCScale,$N662)=0,"",INDEX(PCScale,$N662)),"")</f>
        <v/>
      </c>
      <c r="G662" s="25">
        <f>IF($N662&lt;&gt;"",IF(INDEX(PCBaskets,$N662)=0,"",INDEX(PCBaskets,$N662)),"")</f>
        <v/>
      </c>
      <c r="H662" s="26">
        <f>IF($N662&lt;&gt;"",IF(INDEX(PCNet,$N662)=0,"",INDEX(PCNet,$N662)),"")</f>
        <v/>
      </c>
      <c r="I662" s="25">
        <f>IF($N662&lt;&gt;"",IF(INDEX(PCOp,$N662)="مرجوعی خرید","",IF(INDEX(PCAmount,$N662)&lt;=0,"",INDEX(PCAmount,$N662))),IF($O662&lt;&gt;"",IF(INDEX(TxnDepB,$O662)=0,"",INDEX(TxnDepB,$O662)),""))</f>
        <v/>
      </c>
      <c r="J662" s="25">
        <f>IF($N662&lt;&gt;"",IF(INDEX(PCOp,$N662)="مرجوعی خرید",IF(INDEX(PCAmount,$N662)=0,"",-INDEX(PCAmount,$N662)),""),IF($O662&lt;&gt;"",IF(INDEX(TxnWitB,$O662)=0,"",INDEX(TxnWitB,$O662)),""))</f>
        <v/>
      </c>
      <c r="K662" s="27">
        <f>IF($B662="","",IF($K661="",$C$10,$K661)+IF($I662="",0,$I662)-IF($J662="",0,$J662))</f>
        <v/>
      </c>
      <c r="L662" s="28">
        <f>IF($N662&lt;&gt;"",IF(INDEX(PCNotes,$N662)="","—",INDEX(PCNotes,$N662)),IF($O662&lt;&gt;"",IF(INDEX(LdgNoteB,$O662)="","—",INDEX(LdgNoteB,$O662)),""))</f>
        <v/>
      </c>
      <c r="N662">
        <f>IFERROR(MATCH($C$5&amp;"|"&amp;RIGHT("000000"&amp;646,6),LdgRankKeyA,0),"")</f>
        <v/>
      </c>
      <c r="O662">
        <f>IFERROR(MATCH($C$5&amp;"|"&amp;RIGHT("000000"&amp;646,6),LdgRankKeyB,0),"")</f>
        <v/>
      </c>
    </row>
    <row r="663">
      <c r="A663" s="17" t="n">
        <v>647</v>
      </c>
      <c r="B663" s="18">
        <f>IF(AND($N663="",$O663=""),"",IF($N663&lt;&gt;"",INDEX(PCNormDate,$N663),INDEX(LdgDateB,$O663)))</f>
        <v/>
      </c>
      <c r="C663" s="18">
        <f>IF($N663&lt;&gt;"",INDEX(PCOp,$N663),IF($O663&lt;&gt;"",IF(N(INDEX(TxnDepB,$O663))&gt;0,"دریافت بانکی","پرداخت بانکی"),""))</f>
        <v/>
      </c>
      <c r="D663" s="18">
        <f>IF($N663&lt;&gt;"",IF(INDEX(PCDoc,$N663)="","—",INDEX(PCDoc,$N663)),IF($O663&lt;&gt;"",INDEX(LdgBankB,$O663),""))</f>
        <v/>
      </c>
      <c r="E663" s="18">
        <f>IF($N663&lt;&gt;"",IF(INDEX(PCCitrus,$N663)="","—",INDEX(PCCitrus,$N663)),"")</f>
        <v/>
      </c>
      <c r="F663" s="19">
        <f>IF($N663&lt;&gt;"",IF(INDEX(PCScale,$N663)=0,"",INDEX(PCScale,$N663)),"")</f>
        <v/>
      </c>
      <c r="G663" s="19">
        <f>IF($N663&lt;&gt;"",IF(INDEX(PCBaskets,$N663)=0,"",INDEX(PCBaskets,$N663)),"")</f>
        <v/>
      </c>
      <c r="H663" s="20">
        <f>IF($N663&lt;&gt;"",IF(INDEX(PCNet,$N663)=0,"",INDEX(PCNet,$N663)),"")</f>
        <v/>
      </c>
      <c r="I663" s="19">
        <f>IF($N663&lt;&gt;"",IF(INDEX(PCOp,$N663)="مرجوعی خرید","",IF(INDEX(PCAmount,$N663)&lt;=0,"",INDEX(PCAmount,$N663))),IF($O663&lt;&gt;"",IF(INDEX(TxnDepB,$O663)=0,"",INDEX(TxnDepB,$O663)),""))</f>
        <v/>
      </c>
      <c r="J663" s="19">
        <f>IF($N663&lt;&gt;"",IF(INDEX(PCOp,$N663)="مرجوعی خرید",IF(INDEX(PCAmount,$N663)=0,"",-INDEX(PCAmount,$N663)),""),IF($O663&lt;&gt;"",IF(INDEX(TxnWitB,$O663)=0,"",INDEX(TxnWitB,$O663)),""))</f>
        <v/>
      </c>
      <c r="K663" s="21">
        <f>IF($B663="","",IF($K662="",$C$10,$K662)+IF($I663="",0,$I663)-IF($J663="",0,$J663))</f>
        <v/>
      </c>
      <c r="L663" s="22">
        <f>IF($N663&lt;&gt;"",IF(INDEX(PCNotes,$N663)="","—",INDEX(PCNotes,$N663)),IF($O663&lt;&gt;"",IF(INDEX(LdgNoteB,$O663)="","—",INDEX(LdgNoteB,$O663)),""))</f>
        <v/>
      </c>
      <c r="N663">
        <f>IFERROR(MATCH($C$5&amp;"|"&amp;RIGHT("000000"&amp;647,6),LdgRankKeyA,0),"")</f>
        <v/>
      </c>
      <c r="O663">
        <f>IFERROR(MATCH($C$5&amp;"|"&amp;RIGHT("000000"&amp;647,6),LdgRankKeyB,0),"")</f>
        <v/>
      </c>
    </row>
    <row r="664">
      <c r="A664" s="23" t="n">
        <v>648</v>
      </c>
      <c r="B664" s="24">
        <f>IF(AND($N664="",$O664=""),"",IF($N664&lt;&gt;"",INDEX(PCNormDate,$N664),INDEX(LdgDateB,$O664)))</f>
        <v/>
      </c>
      <c r="C664" s="24">
        <f>IF($N664&lt;&gt;"",INDEX(PCOp,$N664),IF($O664&lt;&gt;"",IF(N(INDEX(TxnDepB,$O664))&gt;0,"دریافت بانکی","پرداخت بانکی"),""))</f>
        <v/>
      </c>
      <c r="D664" s="24">
        <f>IF($N664&lt;&gt;"",IF(INDEX(PCDoc,$N664)="","—",INDEX(PCDoc,$N664)),IF($O664&lt;&gt;"",INDEX(LdgBankB,$O664),""))</f>
        <v/>
      </c>
      <c r="E664" s="24">
        <f>IF($N664&lt;&gt;"",IF(INDEX(PCCitrus,$N664)="","—",INDEX(PCCitrus,$N664)),"")</f>
        <v/>
      </c>
      <c r="F664" s="25">
        <f>IF($N664&lt;&gt;"",IF(INDEX(PCScale,$N664)=0,"",INDEX(PCScale,$N664)),"")</f>
        <v/>
      </c>
      <c r="G664" s="25">
        <f>IF($N664&lt;&gt;"",IF(INDEX(PCBaskets,$N664)=0,"",INDEX(PCBaskets,$N664)),"")</f>
        <v/>
      </c>
      <c r="H664" s="26">
        <f>IF($N664&lt;&gt;"",IF(INDEX(PCNet,$N664)=0,"",INDEX(PCNet,$N664)),"")</f>
        <v/>
      </c>
      <c r="I664" s="25">
        <f>IF($N664&lt;&gt;"",IF(INDEX(PCOp,$N664)="مرجوعی خرید","",IF(INDEX(PCAmount,$N664)&lt;=0,"",INDEX(PCAmount,$N664))),IF($O664&lt;&gt;"",IF(INDEX(TxnDepB,$O664)=0,"",INDEX(TxnDepB,$O664)),""))</f>
        <v/>
      </c>
      <c r="J664" s="25">
        <f>IF($N664&lt;&gt;"",IF(INDEX(PCOp,$N664)="مرجوعی خرید",IF(INDEX(PCAmount,$N664)=0,"",-INDEX(PCAmount,$N664)),""),IF($O664&lt;&gt;"",IF(INDEX(TxnWitB,$O664)=0,"",INDEX(TxnWitB,$O664)),""))</f>
        <v/>
      </c>
      <c r="K664" s="27">
        <f>IF($B664="","",IF($K663="",$C$10,$K663)+IF($I664="",0,$I664)-IF($J664="",0,$J664))</f>
        <v/>
      </c>
      <c r="L664" s="28">
        <f>IF($N664&lt;&gt;"",IF(INDEX(PCNotes,$N664)="","—",INDEX(PCNotes,$N664)),IF($O664&lt;&gt;"",IF(INDEX(LdgNoteB,$O664)="","—",INDEX(LdgNoteB,$O664)),""))</f>
        <v/>
      </c>
      <c r="N664">
        <f>IFERROR(MATCH($C$5&amp;"|"&amp;RIGHT("000000"&amp;648,6),LdgRankKeyA,0),"")</f>
        <v/>
      </c>
      <c r="O664">
        <f>IFERROR(MATCH($C$5&amp;"|"&amp;RIGHT("000000"&amp;648,6),LdgRankKeyB,0),"")</f>
        <v/>
      </c>
    </row>
    <row r="665">
      <c r="A665" s="17" t="n">
        <v>649</v>
      </c>
      <c r="B665" s="18">
        <f>IF(AND($N665="",$O665=""),"",IF($N665&lt;&gt;"",INDEX(PCNormDate,$N665),INDEX(LdgDateB,$O665)))</f>
        <v/>
      </c>
      <c r="C665" s="18">
        <f>IF($N665&lt;&gt;"",INDEX(PCOp,$N665),IF($O665&lt;&gt;"",IF(N(INDEX(TxnDepB,$O665))&gt;0,"دریافت بانکی","پرداخت بانکی"),""))</f>
        <v/>
      </c>
      <c r="D665" s="18">
        <f>IF($N665&lt;&gt;"",IF(INDEX(PCDoc,$N665)="","—",INDEX(PCDoc,$N665)),IF($O665&lt;&gt;"",INDEX(LdgBankB,$O665),""))</f>
        <v/>
      </c>
      <c r="E665" s="18">
        <f>IF($N665&lt;&gt;"",IF(INDEX(PCCitrus,$N665)="","—",INDEX(PCCitrus,$N665)),"")</f>
        <v/>
      </c>
      <c r="F665" s="19">
        <f>IF($N665&lt;&gt;"",IF(INDEX(PCScale,$N665)=0,"",INDEX(PCScale,$N665)),"")</f>
        <v/>
      </c>
      <c r="G665" s="19">
        <f>IF($N665&lt;&gt;"",IF(INDEX(PCBaskets,$N665)=0,"",INDEX(PCBaskets,$N665)),"")</f>
        <v/>
      </c>
      <c r="H665" s="20">
        <f>IF($N665&lt;&gt;"",IF(INDEX(PCNet,$N665)=0,"",INDEX(PCNet,$N665)),"")</f>
        <v/>
      </c>
      <c r="I665" s="19">
        <f>IF($N665&lt;&gt;"",IF(INDEX(PCOp,$N665)="مرجوعی خرید","",IF(INDEX(PCAmount,$N665)&lt;=0,"",INDEX(PCAmount,$N665))),IF($O665&lt;&gt;"",IF(INDEX(TxnDepB,$O665)=0,"",INDEX(TxnDepB,$O665)),""))</f>
        <v/>
      </c>
      <c r="J665" s="19">
        <f>IF($N665&lt;&gt;"",IF(INDEX(PCOp,$N665)="مرجوعی خرید",IF(INDEX(PCAmount,$N665)=0,"",-INDEX(PCAmount,$N665)),""),IF($O665&lt;&gt;"",IF(INDEX(TxnWitB,$O665)=0,"",INDEX(TxnWitB,$O665)),""))</f>
        <v/>
      </c>
      <c r="K665" s="21">
        <f>IF($B665="","",IF($K664="",$C$10,$K664)+IF($I665="",0,$I665)-IF($J665="",0,$J665))</f>
        <v/>
      </c>
      <c r="L665" s="22">
        <f>IF($N665&lt;&gt;"",IF(INDEX(PCNotes,$N665)="","—",INDEX(PCNotes,$N665)),IF($O665&lt;&gt;"",IF(INDEX(LdgNoteB,$O665)="","—",INDEX(LdgNoteB,$O665)),""))</f>
        <v/>
      </c>
      <c r="N665">
        <f>IFERROR(MATCH($C$5&amp;"|"&amp;RIGHT("000000"&amp;649,6),LdgRankKeyA,0),"")</f>
        <v/>
      </c>
      <c r="O665">
        <f>IFERROR(MATCH($C$5&amp;"|"&amp;RIGHT("000000"&amp;649,6),LdgRankKeyB,0),"")</f>
        <v/>
      </c>
    </row>
    <row r="666">
      <c r="A666" s="23" t="n">
        <v>650</v>
      </c>
      <c r="B666" s="24">
        <f>IF(AND($N666="",$O666=""),"",IF($N666&lt;&gt;"",INDEX(PCNormDate,$N666),INDEX(LdgDateB,$O666)))</f>
        <v/>
      </c>
      <c r="C666" s="24">
        <f>IF($N666&lt;&gt;"",INDEX(PCOp,$N666),IF($O666&lt;&gt;"",IF(N(INDEX(TxnDepB,$O666))&gt;0,"دریافت بانکی","پرداخت بانکی"),""))</f>
        <v/>
      </c>
      <c r="D666" s="24">
        <f>IF($N666&lt;&gt;"",IF(INDEX(PCDoc,$N666)="","—",INDEX(PCDoc,$N666)),IF($O666&lt;&gt;"",INDEX(LdgBankB,$O666),""))</f>
        <v/>
      </c>
      <c r="E666" s="24">
        <f>IF($N666&lt;&gt;"",IF(INDEX(PCCitrus,$N666)="","—",INDEX(PCCitrus,$N666)),"")</f>
        <v/>
      </c>
      <c r="F666" s="25">
        <f>IF($N666&lt;&gt;"",IF(INDEX(PCScale,$N666)=0,"",INDEX(PCScale,$N666)),"")</f>
        <v/>
      </c>
      <c r="G666" s="25">
        <f>IF($N666&lt;&gt;"",IF(INDEX(PCBaskets,$N666)=0,"",INDEX(PCBaskets,$N666)),"")</f>
        <v/>
      </c>
      <c r="H666" s="26">
        <f>IF($N666&lt;&gt;"",IF(INDEX(PCNet,$N666)=0,"",INDEX(PCNet,$N666)),"")</f>
        <v/>
      </c>
      <c r="I666" s="25">
        <f>IF($N666&lt;&gt;"",IF(INDEX(PCOp,$N666)="مرجوعی خرید","",IF(INDEX(PCAmount,$N666)&lt;=0,"",INDEX(PCAmount,$N666))),IF($O666&lt;&gt;"",IF(INDEX(TxnDepB,$O666)=0,"",INDEX(TxnDepB,$O666)),""))</f>
        <v/>
      </c>
      <c r="J666" s="25">
        <f>IF($N666&lt;&gt;"",IF(INDEX(PCOp,$N666)="مرجوعی خرید",IF(INDEX(PCAmount,$N666)=0,"",-INDEX(PCAmount,$N666)),""),IF($O666&lt;&gt;"",IF(INDEX(TxnWitB,$O666)=0,"",INDEX(TxnWitB,$O666)),""))</f>
        <v/>
      </c>
      <c r="K666" s="27">
        <f>IF($B666="","",IF($K665="",$C$10,$K665)+IF($I666="",0,$I666)-IF($J666="",0,$J666))</f>
        <v/>
      </c>
      <c r="L666" s="28">
        <f>IF($N666&lt;&gt;"",IF(INDEX(PCNotes,$N666)="","—",INDEX(PCNotes,$N666)),IF($O666&lt;&gt;"",IF(INDEX(LdgNoteB,$O666)="","—",INDEX(LdgNoteB,$O666)),""))</f>
        <v/>
      </c>
      <c r="N666">
        <f>IFERROR(MATCH($C$5&amp;"|"&amp;RIGHT("000000"&amp;650,6),LdgRankKeyA,0),"")</f>
        <v/>
      </c>
      <c r="O666">
        <f>IFERROR(MATCH($C$5&amp;"|"&amp;RIGHT("000000"&amp;650,6),LdgRankKeyB,0),"")</f>
        <v/>
      </c>
    </row>
    <row r="667">
      <c r="A667" s="17" t="n">
        <v>651</v>
      </c>
      <c r="B667" s="18">
        <f>IF(AND($N667="",$O667=""),"",IF($N667&lt;&gt;"",INDEX(PCNormDate,$N667),INDEX(LdgDateB,$O667)))</f>
        <v/>
      </c>
      <c r="C667" s="18">
        <f>IF($N667&lt;&gt;"",INDEX(PCOp,$N667),IF($O667&lt;&gt;"",IF(N(INDEX(TxnDepB,$O667))&gt;0,"دریافت بانکی","پرداخت بانکی"),""))</f>
        <v/>
      </c>
      <c r="D667" s="18">
        <f>IF($N667&lt;&gt;"",IF(INDEX(PCDoc,$N667)="","—",INDEX(PCDoc,$N667)),IF($O667&lt;&gt;"",INDEX(LdgBankB,$O667),""))</f>
        <v/>
      </c>
      <c r="E667" s="18">
        <f>IF($N667&lt;&gt;"",IF(INDEX(PCCitrus,$N667)="","—",INDEX(PCCitrus,$N667)),"")</f>
        <v/>
      </c>
      <c r="F667" s="19">
        <f>IF($N667&lt;&gt;"",IF(INDEX(PCScale,$N667)=0,"",INDEX(PCScale,$N667)),"")</f>
        <v/>
      </c>
      <c r="G667" s="19">
        <f>IF($N667&lt;&gt;"",IF(INDEX(PCBaskets,$N667)=0,"",INDEX(PCBaskets,$N667)),"")</f>
        <v/>
      </c>
      <c r="H667" s="20">
        <f>IF($N667&lt;&gt;"",IF(INDEX(PCNet,$N667)=0,"",INDEX(PCNet,$N667)),"")</f>
        <v/>
      </c>
      <c r="I667" s="19">
        <f>IF($N667&lt;&gt;"",IF(INDEX(PCOp,$N667)="مرجوعی خرید","",IF(INDEX(PCAmount,$N667)&lt;=0,"",INDEX(PCAmount,$N667))),IF($O667&lt;&gt;"",IF(INDEX(TxnDepB,$O667)=0,"",INDEX(TxnDepB,$O667)),""))</f>
        <v/>
      </c>
      <c r="J667" s="19">
        <f>IF($N667&lt;&gt;"",IF(INDEX(PCOp,$N667)="مرجوعی خرید",IF(INDEX(PCAmount,$N667)=0,"",-INDEX(PCAmount,$N667)),""),IF($O667&lt;&gt;"",IF(INDEX(TxnWitB,$O667)=0,"",INDEX(TxnWitB,$O667)),""))</f>
        <v/>
      </c>
      <c r="K667" s="21">
        <f>IF($B667="","",IF($K666="",$C$10,$K666)+IF($I667="",0,$I667)-IF($J667="",0,$J667))</f>
        <v/>
      </c>
      <c r="L667" s="22">
        <f>IF($N667&lt;&gt;"",IF(INDEX(PCNotes,$N667)="","—",INDEX(PCNotes,$N667)),IF($O667&lt;&gt;"",IF(INDEX(LdgNoteB,$O667)="","—",INDEX(LdgNoteB,$O667)),""))</f>
        <v/>
      </c>
      <c r="N667">
        <f>IFERROR(MATCH($C$5&amp;"|"&amp;RIGHT("000000"&amp;651,6),LdgRankKeyA,0),"")</f>
        <v/>
      </c>
      <c r="O667">
        <f>IFERROR(MATCH($C$5&amp;"|"&amp;RIGHT("000000"&amp;651,6),LdgRankKeyB,0),"")</f>
        <v/>
      </c>
    </row>
    <row r="668">
      <c r="A668" s="23" t="n">
        <v>652</v>
      </c>
      <c r="B668" s="24">
        <f>IF(AND($N668="",$O668=""),"",IF($N668&lt;&gt;"",INDEX(PCNormDate,$N668),INDEX(LdgDateB,$O668)))</f>
        <v/>
      </c>
      <c r="C668" s="24">
        <f>IF($N668&lt;&gt;"",INDEX(PCOp,$N668),IF($O668&lt;&gt;"",IF(N(INDEX(TxnDepB,$O668))&gt;0,"دریافت بانکی","پرداخت بانکی"),""))</f>
        <v/>
      </c>
      <c r="D668" s="24">
        <f>IF($N668&lt;&gt;"",IF(INDEX(PCDoc,$N668)="","—",INDEX(PCDoc,$N668)),IF($O668&lt;&gt;"",INDEX(LdgBankB,$O668),""))</f>
        <v/>
      </c>
      <c r="E668" s="24">
        <f>IF($N668&lt;&gt;"",IF(INDEX(PCCitrus,$N668)="","—",INDEX(PCCitrus,$N668)),"")</f>
        <v/>
      </c>
      <c r="F668" s="25">
        <f>IF($N668&lt;&gt;"",IF(INDEX(PCScale,$N668)=0,"",INDEX(PCScale,$N668)),"")</f>
        <v/>
      </c>
      <c r="G668" s="25">
        <f>IF($N668&lt;&gt;"",IF(INDEX(PCBaskets,$N668)=0,"",INDEX(PCBaskets,$N668)),"")</f>
        <v/>
      </c>
      <c r="H668" s="26">
        <f>IF($N668&lt;&gt;"",IF(INDEX(PCNet,$N668)=0,"",INDEX(PCNet,$N668)),"")</f>
        <v/>
      </c>
      <c r="I668" s="25">
        <f>IF($N668&lt;&gt;"",IF(INDEX(PCOp,$N668)="مرجوعی خرید","",IF(INDEX(PCAmount,$N668)&lt;=0,"",INDEX(PCAmount,$N668))),IF($O668&lt;&gt;"",IF(INDEX(TxnDepB,$O668)=0,"",INDEX(TxnDepB,$O668)),""))</f>
        <v/>
      </c>
      <c r="J668" s="25">
        <f>IF($N668&lt;&gt;"",IF(INDEX(PCOp,$N668)="مرجوعی خرید",IF(INDEX(PCAmount,$N668)=0,"",-INDEX(PCAmount,$N668)),""),IF($O668&lt;&gt;"",IF(INDEX(TxnWitB,$O668)=0,"",INDEX(TxnWitB,$O668)),""))</f>
        <v/>
      </c>
      <c r="K668" s="27">
        <f>IF($B668="","",IF($K667="",$C$10,$K667)+IF($I668="",0,$I668)-IF($J668="",0,$J668))</f>
        <v/>
      </c>
      <c r="L668" s="28">
        <f>IF($N668&lt;&gt;"",IF(INDEX(PCNotes,$N668)="","—",INDEX(PCNotes,$N668)),IF($O668&lt;&gt;"",IF(INDEX(LdgNoteB,$O668)="","—",INDEX(LdgNoteB,$O668)),""))</f>
        <v/>
      </c>
      <c r="N668">
        <f>IFERROR(MATCH($C$5&amp;"|"&amp;RIGHT("000000"&amp;652,6),LdgRankKeyA,0),"")</f>
        <v/>
      </c>
      <c r="O668">
        <f>IFERROR(MATCH($C$5&amp;"|"&amp;RIGHT("000000"&amp;652,6),LdgRankKeyB,0),"")</f>
        <v/>
      </c>
    </row>
    <row r="669">
      <c r="A669" s="17" t="n">
        <v>653</v>
      </c>
      <c r="B669" s="18">
        <f>IF(AND($N669="",$O669=""),"",IF($N669&lt;&gt;"",INDEX(PCNormDate,$N669),INDEX(LdgDateB,$O669)))</f>
        <v/>
      </c>
      <c r="C669" s="18">
        <f>IF($N669&lt;&gt;"",INDEX(PCOp,$N669),IF($O669&lt;&gt;"",IF(N(INDEX(TxnDepB,$O669))&gt;0,"دریافت بانکی","پرداخت بانکی"),""))</f>
        <v/>
      </c>
      <c r="D669" s="18">
        <f>IF($N669&lt;&gt;"",IF(INDEX(PCDoc,$N669)="","—",INDEX(PCDoc,$N669)),IF($O669&lt;&gt;"",INDEX(LdgBankB,$O669),""))</f>
        <v/>
      </c>
      <c r="E669" s="18">
        <f>IF($N669&lt;&gt;"",IF(INDEX(PCCitrus,$N669)="","—",INDEX(PCCitrus,$N669)),"")</f>
        <v/>
      </c>
      <c r="F669" s="19">
        <f>IF($N669&lt;&gt;"",IF(INDEX(PCScale,$N669)=0,"",INDEX(PCScale,$N669)),"")</f>
        <v/>
      </c>
      <c r="G669" s="19">
        <f>IF($N669&lt;&gt;"",IF(INDEX(PCBaskets,$N669)=0,"",INDEX(PCBaskets,$N669)),"")</f>
        <v/>
      </c>
      <c r="H669" s="20">
        <f>IF($N669&lt;&gt;"",IF(INDEX(PCNet,$N669)=0,"",INDEX(PCNet,$N669)),"")</f>
        <v/>
      </c>
      <c r="I669" s="19">
        <f>IF($N669&lt;&gt;"",IF(INDEX(PCOp,$N669)="مرجوعی خرید","",IF(INDEX(PCAmount,$N669)&lt;=0,"",INDEX(PCAmount,$N669))),IF($O669&lt;&gt;"",IF(INDEX(TxnDepB,$O669)=0,"",INDEX(TxnDepB,$O669)),""))</f>
        <v/>
      </c>
      <c r="J669" s="19">
        <f>IF($N669&lt;&gt;"",IF(INDEX(PCOp,$N669)="مرجوعی خرید",IF(INDEX(PCAmount,$N669)=0,"",-INDEX(PCAmount,$N669)),""),IF($O669&lt;&gt;"",IF(INDEX(TxnWitB,$O669)=0,"",INDEX(TxnWitB,$O669)),""))</f>
        <v/>
      </c>
      <c r="K669" s="21">
        <f>IF($B669="","",IF($K668="",$C$10,$K668)+IF($I669="",0,$I669)-IF($J669="",0,$J669))</f>
        <v/>
      </c>
      <c r="L669" s="22">
        <f>IF($N669&lt;&gt;"",IF(INDEX(PCNotes,$N669)="","—",INDEX(PCNotes,$N669)),IF($O669&lt;&gt;"",IF(INDEX(LdgNoteB,$O669)="","—",INDEX(LdgNoteB,$O669)),""))</f>
        <v/>
      </c>
      <c r="N669">
        <f>IFERROR(MATCH($C$5&amp;"|"&amp;RIGHT("000000"&amp;653,6),LdgRankKeyA,0),"")</f>
        <v/>
      </c>
      <c r="O669">
        <f>IFERROR(MATCH($C$5&amp;"|"&amp;RIGHT("000000"&amp;653,6),LdgRankKeyB,0),"")</f>
        <v/>
      </c>
    </row>
    <row r="670">
      <c r="A670" s="23" t="n">
        <v>654</v>
      </c>
      <c r="B670" s="24">
        <f>IF(AND($N670="",$O670=""),"",IF($N670&lt;&gt;"",INDEX(PCNormDate,$N670),INDEX(LdgDateB,$O670)))</f>
        <v/>
      </c>
      <c r="C670" s="24">
        <f>IF($N670&lt;&gt;"",INDEX(PCOp,$N670),IF($O670&lt;&gt;"",IF(N(INDEX(TxnDepB,$O670))&gt;0,"دریافت بانکی","پرداخت بانکی"),""))</f>
        <v/>
      </c>
      <c r="D670" s="24">
        <f>IF($N670&lt;&gt;"",IF(INDEX(PCDoc,$N670)="","—",INDEX(PCDoc,$N670)),IF($O670&lt;&gt;"",INDEX(LdgBankB,$O670),""))</f>
        <v/>
      </c>
      <c r="E670" s="24">
        <f>IF($N670&lt;&gt;"",IF(INDEX(PCCitrus,$N670)="","—",INDEX(PCCitrus,$N670)),"")</f>
        <v/>
      </c>
      <c r="F670" s="25">
        <f>IF($N670&lt;&gt;"",IF(INDEX(PCScale,$N670)=0,"",INDEX(PCScale,$N670)),"")</f>
        <v/>
      </c>
      <c r="G670" s="25">
        <f>IF($N670&lt;&gt;"",IF(INDEX(PCBaskets,$N670)=0,"",INDEX(PCBaskets,$N670)),"")</f>
        <v/>
      </c>
      <c r="H670" s="26">
        <f>IF($N670&lt;&gt;"",IF(INDEX(PCNet,$N670)=0,"",INDEX(PCNet,$N670)),"")</f>
        <v/>
      </c>
      <c r="I670" s="25">
        <f>IF($N670&lt;&gt;"",IF(INDEX(PCOp,$N670)="مرجوعی خرید","",IF(INDEX(PCAmount,$N670)&lt;=0,"",INDEX(PCAmount,$N670))),IF($O670&lt;&gt;"",IF(INDEX(TxnDepB,$O670)=0,"",INDEX(TxnDepB,$O670)),""))</f>
        <v/>
      </c>
      <c r="J670" s="25">
        <f>IF($N670&lt;&gt;"",IF(INDEX(PCOp,$N670)="مرجوعی خرید",IF(INDEX(PCAmount,$N670)=0,"",-INDEX(PCAmount,$N670)),""),IF($O670&lt;&gt;"",IF(INDEX(TxnWitB,$O670)=0,"",INDEX(TxnWitB,$O670)),""))</f>
        <v/>
      </c>
      <c r="K670" s="27">
        <f>IF($B670="","",IF($K669="",$C$10,$K669)+IF($I670="",0,$I670)-IF($J670="",0,$J670))</f>
        <v/>
      </c>
      <c r="L670" s="28">
        <f>IF($N670&lt;&gt;"",IF(INDEX(PCNotes,$N670)="","—",INDEX(PCNotes,$N670)),IF($O670&lt;&gt;"",IF(INDEX(LdgNoteB,$O670)="","—",INDEX(LdgNoteB,$O670)),""))</f>
        <v/>
      </c>
      <c r="N670">
        <f>IFERROR(MATCH($C$5&amp;"|"&amp;RIGHT("000000"&amp;654,6),LdgRankKeyA,0),"")</f>
        <v/>
      </c>
      <c r="O670">
        <f>IFERROR(MATCH($C$5&amp;"|"&amp;RIGHT("000000"&amp;654,6),LdgRankKeyB,0),"")</f>
        <v/>
      </c>
    </row>
    <row r="671">
      <c r="A671" s="17" t="n">
        <v>655</v>
      </c>
      <c r="B671" s="18">
        <f>IF(AND($N671="",$O671=""),"",IF($N671&lt;&gt;"",INDEX(PCNormDate,$N671),INDEX(LdgDateB,$O671)))</f>
        <v/>
      </c>
      <c r="C671" s="18">
        <f>IF($N671&lt;&gt;"",INDEX(PCOp,$N671),IF($O671&lt;&gt;"",IF(N(INDEX(TxnDepB,$O671))&gt;0,"دریافت بانکی","پرداخت بانکی"),""))</f>
        <v/>
      </c>
      <c r="D671" s="18">
        <f>IF($N671&lt;&gt;"",IF(INDEX(PCDoc,$N671)="","—",INDEX(PCDoc,$N671)),IF($O671&lt;&gt;"",INDEX(LdgBankB,$O671),""))</f>
        <v/>
      </c>
      <c r="E671" s="18">
        <f>IF($N671&lt;&gt;"",IF(INDEX(PCCitrus,$N671)="","—",INDEX(PCCitrus,$N671)),"")</f>
        <v/>
      </c>
      <c r="F671" s="19">
        <f>IF($N671&lt;&gt;"",IF(INDEX(PCScale,$N671)=0,"",INDEX(PCScale,$N671)),"")</f>
        <v/>
      </c>
      <c r="G671" s="19">
        <f>IF($N671&lt;&gt;"",IF(INDEX(PCBaskets,$N671)=0,"",INDEX(PCBaskets,$N671)),"")</f>
        <v/>
      </c>
      <c r="H671" s="20">
        <f>IF($N671&lt;&gt;"",IF(INDEX(PCNet,$N671)=0,"",INDEX(PCNet,$N671)),"")</f>
        <v/>
      </c>
      <c r="I671" s="19">
        <f>IF($N671&lt;&gt;"",IF(INDEX(PCOp,$N671)="مرجوعی خرید","",IF(INDEX(PCAmount,$N671)&lt;=0,"",INDEX(PCAmount,$N671))),IF($O671&lt;&gt;"",IF(INDEX(TxnDepB,$O671)=0,"",INDEX(TxnDepB,$O671)),""))</f>
        <v/>
      </c>
      <c r="J671" s="19">
        <f>IF($N671&lt;&gt;"",IF(INDEX(PCOp,$N671)="مرجوعی خرید",IF(INDEX(PCAmount,$N671)=0,"",-INDEX(PCAmount,$N671)),""),IF($O671&lt;&gt;"",IF(INDEX(TxnWitB,$O671)=0,"",INDEX(TxnWitB,$O671)),""))</f>
        <v/>
      </c>
      <c r="K671" s="21">
        <f>IF($B671="","",IF($K670="",$C$10,$K670)+IF($I671="",0,$I671)-IF($J671="",0,$J671))</f>
        <v/>
      </c>
      <c r="L671" s="22">
        <f>IF($N671&lt;&gt;"",IF(INDEX(PCNotes,$N671)="","—",INDEX(PCNotes,$N671)),IF($O671&lt;&gt;"",IF(INDEX(LdgNoteB,$O671)="","—",INDEX(LdgNoteB,$O671)),""))</f>
        <v/>
      </c>
      <c r="N671">
        <f>IFERROR(MATCH($C$5&amp;"|"&amp;RIGHT("000000"&amp;655,6),LdgRankKeyA,0),"")</f>
        <v/>
      </c>
      <c r="O671">
        <f>IFERROR(MATCH($C$5&amp;"|"&amp;RIGHT("000000"&amp;655,6),LdgRankKeyB,0),"")</f>
        <v/>
      </c>
    </row>
    <row r="672">
      <c r="A672" s="23" t="n">
        <v>656</v>
      </c>
      <c r="B672" s="24">
        <f>IF(AND($N672="",$O672=""),"",IF($N672&lt;&gt;"",INDEX(PCNormDate,$N672),INDEX(LdgDateB,$O672)))</f>
        <v/>
      </c>
      <c r="C672" s="24">
        <f>IF($N672&lt;&gt;"",INDEX(PCOp,$N672),IF($O672&lt;&gt;"",IF(N(INDEX(TxnDepB,$O672))&gt;0,"دریافت بانکی","پرداخت بانکی"),""))</f>
        <v/>
      </c>
      <c r="D672" s="24">
        <f>IF($N672&lt;&gt;"",IF(INDEX(PCDoc,$N672)="","—",INDEX(PCDoc,$N672)),IF($O672&lt;&gt;"",INDEX(LdgBankB,$O672),""))</f>
        <v/>
      </c>
      <c r="E672" s="24">
        <f>IF($N672&lt;&gt;"",IF(INDEX(PCCitrus,$N672)="","—",INDEX(PCCitrus,$N672)),"")</f>
        <v/>
      </c>
      <c r="F672" s="25">
        <f>IF($N672&lt;&gt;"",IF(INDEX(PCScale,$N672)=0,"",INDEX(PCScale,$N672)),"")</f>
        <v/>
      </c>
      <c r="G672" s="25">
        <f>IF($N672&lt;&gt;"",IF(INDEX(PCBaskets,$N672)=0,"",INDEX(PCBaskets,$N672)),"")</f>
        <v/>
      </c>
      <c r="H672" s="26">
        <f>IF($N672&lt;&gt;"",IF(INDEX(PCNet,$N672)=0,"",INDEX(PCNet,$N672)),"")</f>
        <v/>
      </c>
      <c r="I672" s="25">
        <f>IF($N672&lt;&gt;"",IF(INDEX(PCOp,$N672)="مرجوعی خرید","",IF(INDEX(PCAmount,$N672)&lt;=0,"",INDEX(PCAmount,$N672))),IF($O672&lt;&gt;"",IF(INDEX(TxnDepB,$O672)=0,"",INDEX(TxnDepB,$O672)),""))</f>
        <v/>
      </c>
      <c r="J672" s="25">
        <f>IF($N672&lt;&gt;"",IF(INDEX(PCOp,$N672)="مرجوعی خرید",IF(INDEX(PCAmount,$N672)=0,"",-INDEX(PCAmount,$N672)),""),IF($O672&lt;&gt;"",IF(INDEX(TxnWitB,$O672)=0,"",INDEX(TxnWitB,$O672)),""))</f>
        <v/>
      </c>
      <c r="K672" s="27">
        <f>IF($B672="","",IF($K671="",$C$10,$K671)+IF($I672="",0,$I672)-IF($J672="",0,$J672))</f>
        <v/>
      </c>
      <c r="L672" s="28">
        <f>IF($N672&lt;&gt;"",IF(INDEX(PCNotes,$N672)="","—",INDEX(PCNotes,$N672)),IF($O672&lt;&gt;"",IF(INDEX(LdgNoteB,$O672)="","—",INDEX(LdgNoteB,$O672)),""))</f>
        <v/>
      </c>
      <c r="N672">
        <f>IFERROR(MATCH($C$5&amp;"|"&amp;RIGHT("000000"&amp;656,6),LdgRankKeyA,0),"")</f>
        <v/>
      </c>
      <c r="O672">
        <f>IFERROR(MATCH($C$5&amp;"|"&amp;RIGHT("000000"&amp;656,6),LdgRankKeyB,0),"")</f>
        <v/>
      </c>
    </row>
    <row r="673">
      <c r="A673" s="17" t="n">
        <v>657</v>
      </c>
      <c r="B673" s="18">
        <f>IF(AND($N673="",$O673=""),"",IF($N673&lt;&gt;"",INDEX(PCNormDate,$N673),INDEX(LdgDateB,$O673)))</f>
        <v/>
      </c>
      <c r="C673" s="18">
        <f>IF($N673&lt;&gt;"",INDEX(PCOp,$N673),IF($O673&lt;&gt;"",IF(N(INDEX(TxnDepB,$O673))&gt;0,"دریافت بانکی","پرداخت بانکی"),""))</f>
        <v/>
      </c>
      <c r="D673" s="18">
        <f>IF($N673&lt;&gt;"",IF(INDEX(PCDoc,$N673)="","—",INDEX(PCDoc,$N673)),IF($O673&lt;&gt;"",INDEX(LdgBankB,$O673),""))</f>
        <v/>
      </c>
      <c r="E673" s="18">
        <f>IF($N673&lt;&gt;"",IF(INDEX(PCCitrus,$N673)="","—",INDEX(PCCitrus,$N673)),"")</f>
        <v/>
      </c>
      <c r="F673" s="19">
        <f>IF($N673&lt;&gt;"",IF(INDEX(PCScale,$N673)=0,"",INDEX(PCScale,$N673)),"")</f>
        <v/>
      </c>
      <c r="G673" s="19">
        <f>IF($N673&lt;&gt;"",IF(INDEX(PCBaskets,$N673)=0,"",INDEX(PCBaskets,$N673)),"")</f>
        <v/>
      </c>
      <c r="H673" s="20">
        <f>IF($N673&lt;&gt;"",IF(INDEX(PCNet,$N673)=0,"",INDEX(PCNet,$N673)),"")</f>
        <v/>
      </c>
      <c r="I673" s="19">
        <f>IF($N673&lt;&gt;"",IF(INDEX(PCOp,$N673)="مرجوعی خرید","",IF(INDEX(PCAmount,$N673)&lt;=0,"",INDEX(PCAmount,$N673))),IF($O673&lt;&gt;"",IF(INDEX(TxnDepB,$O673)=0,"",INDEX(TxnDepB,$O673)),""))</f>
        <v/>
      </c>
      <c r="J673" s="19">
        <f>IF($N673&lt;&gt;"",IF(INDEX(PCOp,$N673)="مرجوعی خرید",IF(INDEX(PCAmount,$N673)=0,"",-INDEX(PCAmount,$N673)),""),IF($O673&lt;&gt;"",IF(INDEX(TxnWitB,$O673)=0,"",INDEX(TxnWitB,$O673)),""))</f>
        <v/>
      </c>
      <c r="K673" s="21">
        <f>IF($B673="","",IF($K672="",$C$10,$K672)+IF($I673="",0,$I673)-IF($J673="",0,$J673))</f>
        <v/>
      </c>
      <c r="L673" s="22">
        <f>IF($N673&lt;&gt;"",IF(INDEX(PCNotes,$N673)="","—",INDEX(PCNotes,$N673)),IF($O673&lt;&gt;"",IF(INDEX(LdgNoteB,$O673)="","—",INDEX(LdgNoteB,$O673)),""))</f>
        <v/>
      </c>
      <c r="N673">
        <f>IFERROR(MATCH($C$5&amp;"|"&amp;RIGHT("000000"&amp;657,6),LdgRankKeyA,0),"")</f>
        <v/>
      </c>
      <c r="O673">
        <f>IFERROR(MATCH($C$5&amp;"|"&amp;RIGHT("000000"&amp;657,6),LdgRankKeyB,0),"")</f>
        <v/>
      </c>
    </row>
    <row r="674">
      <c r="A674" s="23" t="n">
        <v>658</v>
      </c>
      <c r="B674" s="24">
        <f>IF(AND($N674="",$O674=""),"",IF($N674&lt;&gt;"",INDEX(PCNormDate,$N674),INDEX(LdgDateB,$O674)))</f>
        <v/>
      </c>
      <c r="C674" s="24">
        <f>IF($N674&lt;&gt;"",INDEX(PCOp,$N674),IF($O674&lt;&gt;"",IF(N(INDEX(TxnDepB,$O674))&gt;0,"دریافت بانکی","پرداخت بانکی"),""))</f>
        <v/>
      </c>
      <c r="D674" s="24">
        <f>IF($N674&lt;&gt;"",IF(INDEX(PCDoc,$N674)="","—",INDEX(PCDoc,$N674)),IF($O674&lt;&gt;"",INDEX(LdgBankB,$O674),""))</f>
        <v/>
      </c>
      <c r="E674" s="24">
        <f>IF($N674&lt;&gt;"",IF(INDEX(PCCitrus,$N674)="","—",INDEX(PCCitrus,$N674)),"")</f>
        <v/>
      </c>
      <c r="F674" s="25">
        <f>IF($N674&lt;&gt;"",IF(INDEX(PCScale,$N674)=0,"",INDEX(PCScale,$N674)),"")</f>
        <v/>
      </c>
      <c r="G674" s="25">
        <f>IF($N674&lt;&gt;"",IF(INDEX(PCBaskets,$N674)=0,"",INDEX(PCBaskets,$N674)),"")</f>
        <v/>
      </c>
      <c r="H674" s="26">
        <f>IF($N674&lt;&gt;"",IF(INDEX(PCNet,$N674)=0,"",INDEX(PCNet,$N674)),"")</f>
        <v/>
      </c>
      <c r="I674" s="25">
        <f>IF($N674&lt;&gt;"",IF(INDEX(PCOp,$N674)="مرجوعی خرید","",IF(INDEX(PCAmount,$N674)&lt;=0,"",INDEX(PCAmount,$N674))),IF($O674&lt;&gt;"",IF(INDEX(TxnDepB,$O674)=0,"",INDEX(TxnDepB,$O674)),""))</f>
        <v/>
      </c>
      <c r="J674" s="25">
        <f>IF($N674&lt;&gt;"",IF(INDEX(PCOp,$N674)="مرجوعی خرید",IF(INDEX(PCAmount,$N674)=0,"",-INDEX(PCAmount,$N674)),""),IF($O674&lt;&gt;"",IF(INDEX(TxnWitB,$O674)=0,"",INDEX(TxnWitB,$O674)),""))</f>
        <v/>
      </c>
      <c r="K674" s="27">
        <f>IF($B674="","",IF($K673="",$C$10,$K673)+IF($I674="",0,$I674)-IF($J674="",0,$J674))</f>
        <v/>
      </c>
      <c r="L674" s="28">
        <f>IF($N674&lt;&gt;"",IF(INDEX(PCNotes,$N674)="","—",INDEX(PCNotes,$N674)),IF($O674&lt;&gt;"",IF(INDEX(LdgNoteB,$O674)="","—",INDEX(LdgNoteB,$O674)),""))</f>
        <v/>
      </c>
      <c r="N674">
        <f>IFERROR(MATCH($C$5&amp;"|"&amp;RIGHT("000000"&amp;658,6),LdgRankKeyA,0),"")</f>
        <v/>
      </c>
      <c r="O674">
        <f>IFERROR(MATCH($C$5&amp;"|"&amp;RIGHT("000000"&amp;658,6),LdgRankKeyB,0),"")</f>
        <v/>
      </c>
    </row>
    <row r="675">
      <c r="A675" s="17" t="n">
        <v>659</v>
      </c>
      <c r="B675" s="18">
        <f>IF(AND($N675="",$O675=""),"",IF($N675&lt;&gt;"",INDEX(PCNormDate,$N675),INDEX(LdgDateB,$O675)))</f>
        <v/>
      </c>
      <c r="C675" s="18">
        <f>IF($N675&lt;&gt;"",INDEX(PCOp,$N675),IF($O675&lt;&gt;"",IF(N(INDEX(TxnDepB,$O675))&gt;0,"دریافت بانکی","پرداخت بانکی"),""))</f>
        <v/>
      </c>
      <c r="D675" s="18">
        <f>IF($N675&lt;&gt;"",IF(INDEX(PCDoc,$N675)="","—",INDEX(PCDoc,$N675)),IF($O675&lt;&gt;"",INDEX(LdgBankB,$O675),""))</f>
        <v/>
      </c>
      <c r="E675" s="18">
        <f>IF($N675&lt;&gt;"",IF(INDEX(PCCitrus,$N675)="","—",INDEX(PCCitrus,$N675)),"")</f>
        <v/>
      </c>
      <c r="F675" s="19">
        <f>IF($N675&lt;&gt;"",IF(INDEX(PCScale,$N675)=0,"",INDEX(PCScale,$N675)),"")</f>
        <v/>
      </c>
      <c r="G675" s="19">
        <f>IF($N675&lt;&gt;"",IF(INDEX(PCBaskets,$N675)=0,"",INDEX(PCBaskets,$N675)),"")</f>
        <v/>
      </c>
      <c r="H675" s="20">
        <f>IF($N675&lt;&gt;"",IF(INDEX(PCNet,$N675)=0,"",INDEX(PCNet,$N675)),"")</f>
        <v/>
      </c>
      <c r="I675" s="19">
        <f>IF($N675&lt;&gt;"",IF(INDEX(PCOp,$N675)="مرجوعی خرید","",IF(INDEX(PCAmount,$N675)&lt;=0,"",INDEX(PCAmount,$N675))),IF($O675&lt;&gt;"",IF(INDEX(TxnDepB,$O675)=0,"",INDEX(TxnDepB,$O675)),""))</f>
        <v/>
      </c>
      <c r="J675" s="19">
        <f>IF($N675&lt;&gt;"",IF(INDEX(PCOp,$N675)="مرجوعی خرید",IF(INDEX(PCAmount,$N675)=0,"",-INDEX(PCAmount,$N675)),""),IF($O675&lt;&gt;"",IF(INDEX(TxnWitB,$O675)=0,"",INDEX(TxnWitB,$O675)),""))</f>
        <v/>
      </c>
      <c r="K675" s="21">
        <f>IF($B675="","",IF($K674="",$C$10,$K674)+IF($I675="",0,$I675)-IF($J675="",0,$J675))</f>
        <v/>
      </c>
      <c r="L675" s="22">
        <f>IF($N675&lt;&gt;"",IF(INDEX(PCNotes,$N675)="","—",INDEX(PCNotes,$N675)),IF($O675&lt;&gt;"",IF(INDEX(LdgNoteB,$O675)="","—",INDEX(LdgNoteB,$O675)),""))</f>
        <v/>
      </c>
      <c r="N675">
        <f>IFERROR(MATCH($C$5&amp;"|"&amp;RIGHT("000000"&amp;659,6),LdgRankKeyA,0),"")</f>
        <v/>
      </c>
      <c r="O675">
        <f>IFERROR(MATCH($C$5&amp;"|"&amp;RIGHT("000000"&amp;659,6),LdgRankKeyB,0),"")</f>
        <v/>
      </c>
    </row>
    <row r="676">
      <c r="A676" s="23" t="n">
        <v>660</v>
      </c>
      <c r="B676" s="24">
        <f>IF(AND($N676="",$O676=""),"",IF($N676&lt;&gt;"",INDEX(PCNormDate,$N676),INDEX(LdgDateB,$O676)))</f>
        <v/>
      </c>
      <c r="C676" s="24">
        <f>IF($N676&lt;&gt;"",INDEX(PCOp,$N676),IF($O676&lt;&gt;"",IF(N(INDEX(TxnDepB,$O676))&gt;0,"دریافت بانکی","پرداخت بانکی"),""))</f>
        <v/>
      </c>
      <c r="D676" s="24">
        <f>IF($N676&lt;&gt;"",IF(INDEX(PCDoc,$N676)="","—",INDEX(PCDoc,$N676)),IF($O676&lt;&gt;"",INDEX(LdgBankB,$O676),""))</f>
        <v/>
      </c>
      <c r="E676" s="24">
        <f>IF($N676&lt;&gt;"",IF(INDEX(PCCitrus,$N676)="","—",INDEX(PCCitrus,$N676)),"")</f>
        <v/>
      </c>
      <c r="F676" s="25">
        <f>IF($N676&lt;&gt;"",IF(INDEX(PCScale,$N676)=0,"",INDEX(PCScale,$N676)),"")</f>
        <v/>
      </c>
      <c r="G676" s="25">
        <f>IF($N676&lt;&gt;"",IF(INDEX(PCBaskets,$N676)=0,"",INDEX(PCBaskets,$N676)),"")</f>
        <v/>
      </c>
      <c r="H676" s="26">
        <f>IF($N676&lt;&gt;"",IF(INDEX(PCNet,$N676)=0,"",INDEX(PCNet,$N676)),"")</f>
        <v/>
      </c>
      <c r="I676" s="25">
        <f>IF($N676&lt;&gt;"",IF(INDEX(PCOp,$N676)="مرجوعی خرید","",IF(INDEX(PCAmount,$N676)&lt;=0,"",INDEX(PCAmount,$N676))),IF($O676&lt;&gt;"",IF(INDEX(TxnDepB,$O676)=0,"",INDEX(TxnDepB,$O676)),""))</f>
        <v/>
      </c>
      <c r="J676" s="25">
        <f>IF($N676&lt;&gt;"",IF(INDEX(PCOp,$N676)="مرجوعی خرید",IF(INDEX(PCAmount,$N676)=0,"",-INDEX(PCAmount,$N676)),""),IF($O676&lt;&gt;"",IF(INDEX(TxnWitB,$O676)=0,"",INDEX(TxnWitB,$O676)),""))</f>
        <v/>
      </c>
      <c r="K676" s="27">
        <f>IF($B676="","",IF($K675="",$C$10,$K675)+IF($I676="",0,$I676)-IF($J676="",0,$J676))</f>
        <v/>
      </c>
      <c r="L676" s="28">
        <f>IF($N676&lt;&gt;"",IF(INDEX(PCNotes,$N676)="","—",INDEX(PCNotes,$N676)),IF($O676&lt;&gt;"",IF(INDEX(LdgNoteB,$O676)="","—",INDEX(LdgNoteB,$O676)),""))</f>
        <v/>
      </c>
      <c r="N676">
        <f>IFERROR(MATCH($C$5&amp;"|"&amp;RIGHT("000000"&amp;660,6),LdgRankKeyA,0),"")</f>
        <v/>
      </c>
      <c r="O676">
        <f>IFERROR(MATCH($C$5&amp;"|"&amp;RIGHT("000000"&amp;660,6),LdgRankKeyB,0),"")</f>
        <v/>
      </c>
    </row>
    <row r="677">
      <c r="A677" s="17" t="n">
        <v>661</v>
      </c>
      <c r="B677" s="18">
        <f>IF(AND($N677="",$O677=""),"",IF($N677&lt;&gt;"",INDEX(PCNormDate,$N677),INDEX(LdgDateB,$O677)))</f>
        <v/>
      </c>
      <c r="C677" s="18">
        <f>IF($N677&lt;&gt;"",INDEX(PCOp,$N677),IF($O677&lt;&gt;"",IF(N(INDEX(TxnDepB,$O677))&gt;0,"دریافت بانکی","پرداخت بانکی"),""))</f>
        <v/>
      </c>
      <c r="D677" s="18">
        <f>IF($N677&lt;&gt;"",IF(INDEX(PCDoc,$N677)="","—",INDEX(PCDoc,$N677)),IF($O677&lt;&gt;"",INDEX(LdgBankB,$O677),""))</f>
        <v/>
      </c>
      <c r="E677" s="18">
        <f>IF($N677&lt;&gt;"",IF(INDEX(PCCitrus,$N677)="","—",INDEX(PCCitrus,$N677)),"")</f>
        <v/>
      </c>
      <c r="F677" s="19">
        <f>IF($N677&lt;&gt;"",IF(INDEX(PCScale,$N677)=0,"",INDEX(PCScale,$N677)),"")</f>
        <v/>
      </c>
      <c r="G677" s="19">
        <f>IF($N677&lt;&gt;"",IF(INDEX(PCBaskets,$N677)=0,"",INDEX(PCBaskets,$N677)),"")</f>
        <v/>
      </c>
      <c r="H677" s="20">
        <f>IF($N677&lt;&gt;"",IF(INDEX(PCNet,$N677)=0,"",INDEX(PCNet,$N677)),"")</f>
        <v/>
      </c>
      <c r="I677" s="19">
        <f>IF($N677&lt;&gt;"",IF(INDEX(PCOp,$N677)="مرجوعی خرید","",IF(INDEX(PCAmount,$N677)&lt;=0,"",INDEX(PCAmount,$N677))),IF($O677&lt;&gt;"",IF(INDEX(TxnDepB,$O677)=0,"",INDEX(TxnDepB,$O677)),""))</f>
        <v/>
      </c>
      <c r="J677" s="19">
        <f>IF($N677&lt;&gt;"",IF(INDEX(PCOp,$N677)="مرجوعی خرید",IF(INDEX(PCAmount,$N677)=0,"",-INDEX(PCAmount,$N677)),""),IF($O677&lt;&gt;"",IF(INDEX(TxnWitB,$O677)=0,"",INDEX(TxnWitB,$O677)),""))</f>
        <v/>
      </c>
      <c r="K677" s="21">
        <f>IF($B677="","",IF($K676="",$C$10,$K676)+IF($I677="",0,$I677)-IF($J677="",0,$J677))</f>
        <v/>
      </c>
      <c r="L677" s="22">
        <f>IF($N677&lt;&gt;"",IF(INDEX(PCNotes,$N677)="","—",INDEX(PCNotes,$N677)),IF($O677&lt;&gt;"",IF(INDEX(LdgNoteB,$O677)="","—",INDEX(LdgNoteB,$O677)),""))</f>
        <v/>
      </c>
      <c r="N677">
        <f>IFERROR(MATCH($C$5&amp;"|"&amp;RIGHT("000000"&amp;661,6),LdgRankKeyA,0),"")</f>
        <v/>
      </c>
      <c r="O677">
        <f>IFERROR(MATCH($C$5&amp;"|"&amp;RIGHT("000000"&amp;661,6),LdgRankKeyB,0),"")</f>
        <v/>
      </c>
    </row>
    <row r="678">
      <c r="A678" s="23" t="n">
        <v>662</v>
      </c>
      <c r="B678" s="24">
        <f>IF(AND($N678="",$O678=""),"",IF($N678&lt;&gt;"",INDEX(PCNormDate,$N678),INDEX(LdgDateB,$O678)))</f>
        <v/>
      </c>
      <c r="C678" s="24">
        <f>IF($N678&lt;&gt;"",INDEX(PCOp,$N678),IF($O678&lt;&gt;"",IF(N(INDEX(TxnDepB,$O678))&gt;0,"دریافت بانکی","پرداخت بانکی"),""))</f>
        <v/>
      </c>
      <c r="D678" s="24">
        <f>IF($N678&lt;&gt;"",IF(INDEX(PCDoc,$N678)="","—",INDEX(PCDoc,$N678)),IF($O678&lt;&gt;"",INDEX(LdgBankB,$O678),""))</f>
        <v/>
      </c>
      <c r="E678" s="24">
        <f>IF($N678&lt;&gt;"",IF(INDEX(PCCitrus,$N678)="","—",INDEX(PCCitrus,$N678)),"")</f>
        <v/>
      </c>
      <c r="F678" s="25">
        <f>IF($N678&lt;&gt;"",IF(INDEX(PCScale,$N678)=0,"",INDEX(PCScale,$N678)),"")</f>
        <v/>
      </c>
      <c r="G678" s="25">
        <f>IF($N678&lt;&gt;"",IF(INDEX(PCBaskets,$N678)=0,"",INDEX(PCBaskets,$N678)),"")</f>
        <v/>
      </c>
      <c r="H678" s="26">
        <f>IF($N678&lt;&gt;"",IF(INDEX(PCNet,$N678)=0,"",INDEX(PCNet,$N678)),"")</f>
        <v/>
      </c>
      <c r="I678" s="25">
        <f>IF($N678&lt;&gt;"",IF(INDEX(PCOp,$N678)="مرجوعی خرید","",IF(INDEX(PCAmount,$N678)&lt;=0,"",INDEX(PCAmount,$N678))),IF($O678&lt;&gt;"",IF(INDEX(TxnDepB,$O678)=0,"",INDEX(TxnDepB,$O678)),""))</f>
        <v/>
      </c>
      <c r="J678" s="25">
        <f>IF($N678&lt;&gt;"",IF(INDEX(PCOp,$N678)="مرجوعی خرید",IF(INDEX(PCAmount,$N678)=0,"",-INDEX(PCAmount,$N678)),""),IF($O678&lt;&gt;"",IF(INDEX(TxnWitB,$O678)=0,"",INDEX(TxnWitB,$O678)),""))</f>
        <v/>
      </c>
      <c r="K678" s="27">
        <f>IF($B678="","",IF($K677="",$C$10,$K677)+IF($I678="",0,$I678)-IF($J678="",0,$J678))</f>
        <v/>
      </c>
      <c r="L678" s="28">
        <f>IF($N678&lt;&gt;"",IF(INDEX(PCNotes,$N678)="","—",INDEX(PCNotes,$N678)),IF($O678&lt;&gt;"",IF(INDEX(LdgNoteB,$O678)="","—",INDEX(LdgNoteB,$O678)),""))</f>
        <v/>
      </c>
      <c r="N678">
        <f>IFERROR(MATCH($C$5&amp;"|"&amp;RIGHT("000000"&amp;662,6),LdgRankKeyA,0),"")</f>
        <v/>
      </c>
      <c r="O678">
        <f>IFERROR(MATCH($C$5&amp;"|"&amp;RIGHT("000000"&amp;662,6),LdgRankKeyB,0),"")</f>
        <v/>
      </c>
    </row>
    <row r="679">
      <c r="A679" s="17" t="n">
        <v>663</v>
      </c>
      <c r="B679" s="18">
        <f>IF(AND($N679="",$O679=""),"",IF($N679&lt;&gt;"",INDEX(PCNormDate,$N679),INDEX(LdgDateB,$O679)))</f>
        <v/>
      </c>
      <c r="C679" s="18">
        <f>IF($N679&lt;&gt;"",INDEX(PCOp,$N679),IF($O679&lt;&gt;"",IF(N(INDEX(TxnDepB,$O679))&gt;0,"دریافت بانکی","پرداخت بانکی"),""))</f>
        <v/>
      </c>
      <c r="D679" s="18">
        <f>IF($N679&lt;&gt;"",IF(INDEX(PCDoc,$N679)="","—",INDEX(PCDoc,$N679)),IF($O679&lt;&gt;"",INDEX(LdgBankB,$O679),""))</f>
        <v/>
      </c>
      <c r="E679" s="18">
        <f>IF($N679&lt;&gt;"",IF(INDEX(PCCitrus,$N679)="","—",INDEX(PCCitrus,$N679)),"")</f>
        <v/>
      </c>
      <c r="F679" s="19">
        <f>IF($N679&lt;&gt;"",IF(INDEX(PCScale,$N679)=0,"",INDEX(PCScale,$N679)),"")</f>
        <v/>
      </c>
      <c r="G679" s="19">
        <f>IF($N679&lt;&gt;"",IF(INDEX(PCBaskets,$N679)=0,"",INDEX(PCBaskets,$N679)),"")</f>
        <v/>
      </c>
      <c r="H679" s="20">
        <f>IF($N679&lt;&gt;"",IF(INDEX(PCNet,$N679)=0,"",INDEX(PCNet,$N679)),"")</f>
        <v/>
      </c>
      <c r="I679" s="19">
        <f>IF($N679&lt;&gt;"",IF(INDEX(PCOp,$N679)="مرجوعی خرید","",IF(INDEX(PCAmount,$N679)&lt;=0,"",INDEX(PCAmount,$N679))),IF($O679&lt;&gt;"",IF(INDEX(TxnDepB,$O679)=0,"",INDEX(TxnDepB,$O679)),""))</f>
        <v/>
      </c>
      <c r="J679" s="19">
        <f>IF($N679&lt;&gt;"",IF(INDEX(PCOp,$N679)="مرجوعی خرید",IF(INDEX(PCAmount,$N679)=0,"",-INDEX(PCAmount,$N679)),""),IF($O679&lt;&gt;"",IF(INDEX(TxnWitB,$O679)=0,"",INDEX(TxnWitB,$O679)),""))</f>
        <v/>
      </c>
      <c r="K679" s="21">
        <f>IF($B679="","",IF($K678="",$C$10,$K678)+IF($I679="",0,$I679)-IF($J679="",0,$J679))</f>
        <v/>
      </c>
      <c r="L679" s="22">
        <f>IF($N679&lt;&gt;"",IF(INDEX(PCNotes,$N679)="","—",INDEX(PCNotes,$N679)),IF($O679&lt;&gt;"",IF(INDEX(LdgNoteB,$O679)="","—",INDEX(LdgNoteB,$O679)),""))</f>
        <v/>
      </c>
      <c r="N679">
        <f>IFERROR(MATCH($C$5&amp;"|"&amp;RIGHT("000000"&amp;663,6),LdgRankKeyA,0),"")</f>
        <v/>
      </c>
      <c r="O679">
        <f>IFERROR(MATCH($C$5&amp;"|"&amp;RIGHT("000000"&amp;663,6),LdgRankKeyB,0),"")</f>
        <v/>
      </c>
    </row>
    <row r="680">
      <c r="A680" s="23" t="n">
        <v>664</v>
      </c>
      <c r="B680" s="24">
        <f>IF(AND($N680="",$O680=""),"",IF($N680&lt;&gt;"",INDEX(PCNormDate,$N680),INDEX(LdgDateB,$O680)))</f>
        <v/>
      </c>
      <c r="C680" s="24">
        <f>IF($N680&lt;&gt;"",INDEX(PCOp,$N680),IF($O680&lt;&gt;"",IF(N(INDEX(TxnDepB,$O680))&gt;0,"دریافت بانکی","پرداخت بانکی"),""))</f>
        <v/>
      </c>
      <c r="D680" s="24">
        <f>IF($N680&lt;&gt;"",IF(INDEX(PCDoc,$N680)="","—",INDEX(PCDoc,$N680)),IF($O680&lt;&gt;"",INDEX(LdgBankB,$O680),""))</f>
        <v/>
      </c>
      <c r="E680" s="24">
        <f>IF($N680&lt;&gt;"",IF(INDEX(PCCitrus,$N680)="","—",INDEX(PCCitrus,$N680)),"")</f>
        <v/>
      </c>
      <c r="F680" s="25">
        <f>IF($N680&lt;&gt;"",IF(INDEX(PCScale,$N680)=0,"",INDEX(PCScale,$N680)),"")</f>
        <v/>
      </c>
      <c r="G680" s="25">
        <f>IF($N680&lt;&gt;"",IF(INDEX(PCBaskets,$N680)=0,"",INDEX(PCBaskets,$N680)),"")</f>
        <v/>
      </c>
      <c r="H680" s="26">
        <f>IF($N680&lt;&gt;"",IF(INDEX(PCNet,$N680)=0,"",INDEX(PCNet,$N680)),"")</f>
        <v/>
      </c>
      <c r="I680" s="25">
        <f>IF($N680&lt;&gt;"",IF(INDEX(PCOp,$N680)="مرجوعی خرید","",IF(INDEX(PCAmount,$N680)&lt;=0,"",INDEX(PCAmount,$N680))),IF($O680&lt;&gt;"",IF(INDEX(TxnDepB,$O680)=0,"",INDEX(TxnDepB,$O680)),""))</f>
        <v/>
      </c>
      <c r="J680" s="25">
        <f>IF($N680&lt;&gt;"",IF(INDEX(PCOp,$N680)="مرجوعی خرید",IF(INDEX(PCAmount,$N680)=0,"",-INDEX(PCAmount,$N680)),""),IF($O680&lt;&gt;"",IF(INDEX(TxnWitB,$O680)=0,"",INDEX(TxnWitB,$O680)),""))</f>
        <v/>
      </c>
      <c r="K680" s="27">
        <f>IF($B680="","",IF($K679="",$C$10,$K679)+IF($I680="",0,$I680)-IF($J680="",0,$J680))</f>
        <v/>
      </c>
      <c r="L680" s="28">
        <f>IF($N680&lt;&gt;"",IF(INDEX(PCNotes,$N680)="","—",INDEX(PCNotes,$N680)),IF($O680&lt;&gt;"",IF(INDEX(LdgNoteB,$O680)="","—",INDEX(LdgNoteB,$O680)),""))</f>
        <v/>
      </c>
      <c r="N680">
        <f>IFERROR(MATCH($C$5&amp;"|"&amp;RIGHT("000000"&amp;664,6),LdgRankKeyA,0),"")</f>
        <v/>
      </c>
      <c r="O680">
        <f>IFERROR(MATCH($C$5&amp;"|"&amp;RIGHT("000000"&amp;664,6),LdgRankKeyB,0),"")</f>
        <v/>
      </c>
    </row>
    <row r="681">
      <c r="A681" s="17" t="n">
        <v>665</v>
      </c>
      <c r="B681" s="18">
        <f>IF(AND($N681="",$O681=""),"",IF($N681&lt;&gt;"",INDEX(PCNormDate,$N681),INDEX(LdgDateB,$O681)))</f>
        <v/>
      </c>
      <c r="C681" s="18">
        <f>IF($N681&lt;&gt;"",INDEX(PCOp,$N681),IF($O681&lt;&gt;"",IF(N(INDEX(TxnDepB,$O681))&gt;0,"دریافت بانکی","پرداخت بانکی"),""))</f>
        <v/>
      </c>
      <c r="D681" s="18">
        <f>IF($N681&lt;&gt;"",IF(INDEX(PCDoc,$N681)="","—",INDEX(PCDoc,$N681)),IF($O681&lt;&gt;"",INDEX(LdgBankB,$O681),""))</f>
        <v/>
      </c>
      <c r="E681" s="18">
        <f>IF($N681&lt;&gt;"",IF(INDEX(PCCitrus,$N681)="","—",INDEX(PCCitrus,$N681)),"")</f>
        <v/>
      </c>
      <c r="F681" s="19">
        <f>IF($N681&lt;&gt;"",IF(INDEX(PCScale,$N681)=0,"",INDEX(PCScale,$N681)),"")</f>
        <v/>
      </c>
      <c r="G681" s="19">
        <f>IF($N681&lt;&gt;"",IF(INDEX(PCBaskets,$N681)=0,"",INDEX(PCBaskets,$N681)),"")</f>
        <v/>
      </c>
      <c r="H681" s="20">
        <f>IF($N681&lt;&gt;"",IF(INDEX(PCNet,$N681)=0,"",INDEX(PCNet,$N681)),"")</f>
        <v/>
      </c>
      <c r="I681" s="19">
        <f>IF($N681&lt;&gt;"",IF(INDEX(PCOp,$N681)="مرجوعی خرید","",IF(INDEX(PCAmount,$N681)&lt;=0,"",INDEX(PCAmount,$N681))),IF($O681&lt;&gt;"",IF(INDEX(TxnDepB,$O681)=0,"",INDEX(TxnDepB,$O681)),""))</f>
        <v/>
      </c>
      <c r="J681" s="19">
        <f>IF($N681&lt;&gt;"",IF(INDEX(PCOp,$N681)="مرجوعی خرید",IF(INDEX(PCAmount,$N681)=0,"",-INDEX(PCAmount,$N681)),""),IF($O681&lt;&gt;"",IF(INDEX(TxnWitB,$O681)=0,"",INDEX(TxnWitB,$O681)),""))</f>
        <v/>
      </c>
      <c r="K681" s="21">
        <f>IF($B681="","",IF($K680="",$C$10,$K680)+IF($I681="",0,$I681)-IF($J681="",0,$J681))</f>
        <v/>
      </c>
      <c r="L681" s="22">
        <f>IF($N681&lt;&gt;"",IF(INDEX(PCNotes,$N681)="","—",INDEX(PCNotes,$N681)),IF($O681&lt;&gt;"",IF(INDEX(LdgNoteB,$O681)="","—",INDEX(LdgNoteB,$O681)),""))</f>
        <v/>
      </c>
      <c r="N681">
        <f>IFERROR(MATCH($C$5&amp;"|"&amp;RIGHT("000000"&amp;665,6),LdgRankKeyA,0),"")</f>
        <v/>
      </c>
      <c r="O681">
        <f>IFERROR(MATCH($C$5&amp;"|"&amp;RIGHT("000000"&amp;665,6),LdgRankKeyB,0),"")</f>
        <v/>
      </c>
    </row>
    <row r="682">
      <c r="A682" s="23" t="n">
        <v>666</v>
      </c>
      <c r="B682" s="24">
        <f>IF(AND($N682="",$O682=""),"",IF($N682&lt;&gt;"",INDEX(PCNormDate,$N682),INDEX(LdgDateB,$O682)))</f>
        <v/>
      </c>
      <c r="C682" s="24">
        <f>IF($N682&lt;&gt;"",INDEX(PCOp,$N682),IF($O682&lt;&gt;"",IF(N(INDEX(TxnDepB,$O682))&gt;0,"دریافت بانکی","پرداخت بانکی"),""))</f>
        <v/>
      </c>
      <c r="D682" s="24">
        <f>IF($N682&lt;&gt;"",IF(INDEX(PCDoc,$N682)="","—",INDEX(PCDoc,$N682)),IF($O682&lt;&gt;"",INDEX(LdgBankB,$O682),""))</f>
        <v/>
      </c>
      <c r="E682" s="24">
        <f>IF($N682&lt;&gt;"",IF(INDEX(PCCitrus,$N682)="","—",INDEX(PCCitrus,$N682)),"")</f>
        <v/>
      </c>
      <c r="F682" s="25">
        <f>IF($N682&lt;&gt;"",IF(INDEX(PCScale,$N682)=0,"",INDEX(PCScale,$N682)),"")</f>
        <v/>
      </c>
      <c r="G682" s="25">
        <f>IF($N682&lt;&gt;"",IF(INDEX(PCBaskets,$N682)=0,"",INDEX(PCBaskets,$N682)),"")</f>
        <v/>
      </c>
      <c r="H682" s="26">
        <f>IF($N682&lt;&gt;"",IF(INDEX(PCNet,$N682)=0,"",INDEX(PCNet,$N682)),"")</f>
        <v/>
      </c>
      <c r="I682" s="25">
        <f>IF($N682&lt;&gt;"",IF(INDEX(PCOp,$N682)="مرجوعی خرید","",IF(INDEX(PCAmount,$N682)&lt;=0,"",INDEX(PCAmount,$N682))),IF($O682&lt;&gt;"",IF(INDEX(TxnDepB,$O682)=0,"",INDEX(TxnDepB,$O682)),""))</f>
        <v/>
      </c>
      <c r="J682" s="25">
        <f>IF($N682&lt;&gt;"",IF(INDEX(PCOp,$N682)="مرجوعی خرید",IF(INDEX(PCAmount,$N682)=0,"",-INDEX(PCAmount,$N682)),""),IF($O682&lt;&gt;"",IF(INDEX(TxnWitB,$O682)=0,"",INDEX(TxnWitB,$O682)),""))</f>
        <v/>
      </c>
      <c r="K682" s="27">
        <f>IF($B682="","",IF($K681="",$C$10,$K681)+IF($I682="",0,$I682)-IF($J682="",0,$J682))</f>
        <v/>
      </c>
      <c r="L682" s="28">
        <f>IF($N682&lt;&gt;"",IF(INDEX(PCNotes,$N682)="","—",INDEX(PCNotes,$N682)),IF($O682&lt;&gt;"",IF(INDEX(LdgNoteB,$O682)="","—",INDEX(LdgNoteB,$O682)),""))</f>
        <v/>
      </c>
      <c r="N682">
        <f>IFERROR(MATCH($C$5&amp;"|"&amp;RIGHT("000000"&amp;666,6),LdgRankKeyA,0),"")</f>
        <v/>
      </c>
      <c r="O682">
        <f>IFERROR(MATCH($C$5&amp;"|"&amp;RIGHT("000000"&amp;666,6),LdgRankKeyB,0),"")</f>
        <v/>
      </c>
    </row>
    <row r="683">
      <c r="A683" s="17" t="n">
        <v>667</v>
      </c>
      <c r="B683" s="18">
        <f>IF(AND($N683="",$O683=""),"",IF($N683&lt;&gt;"",INDEX(PCNormDate,$N683),INDEX(LdgDateB,$O683)))</f>
        <v/>
      </c>
      <c r="C683" s="18">
        <f>IF($N683&lt;&gt;"",INDEX(PCOp,$N683),IF($O683&lt;&gt;"",IF(N(INDEX(TxnDepB,$O683))&gt;0,"دریافت بانکی","پرداخت بانکی"),""))</f>
        <v/>
      </c>
      <c r="D683" s="18">
        <f>IF($N683&lt;&gt;"",IF(INDEX(PCDoc,$N683)="","—",INDEX(PCDoc,$N683)),IF($O683&lt;&gt;"",INDEX(LdgBankB,$O683),""))</f>
        <v/>
      </c>
      <c r="E683" s="18">
        <f>IF($N683&lt;&gt;"",IF(INDEX(PCCitrus,$N683)="","—",INDEX(PCCitrus,$N683)),"")</f>
        <v/>
      </c>
      <c r="F683" s="19">
        <f>IF($N683&lt;&gt;"",IF(INDEX(PCScale,$N683)=0,"",INDEX(PCScale,$N683)),"")</f>
        <v/>
      </c>
      <c r="G683" s="19">
        <f>IF($N683&lt;&gt;"",IF(INDEX(PCBaskets,$N683)=0,"",INDEX(PCBaskets,$N683)),"")</f>
        <v/>
      </c>
      <c r="H683" s="20">
        <f>IF($N683&lt;&gt;"",IF(INDEX(PCNet,$N683)=0,"",INDEX(PCNet,$N683)),"")</f>
        <v/>
      </c>
      <c r="I683" s="19">
        <f>IF($N683&lt;&gt;"",IF(INDEX(PCOp,$N683)="مرجوعی خرید","",IF(INDEX(PCAmount,$N683)&lt;=0,"",INDEX(PCAmount,$N683))),IF($O683&lt;&gt;"",IF(INDEX(TxnDepB,$O683)=0,"",INDEX(TxnDepB,$O683)),""))</f>
        <v/>
      </c>
      <c r="J683" s="19">
        <f>IF($N683&lt;&gt;"",IF(INDEX(PCOp,$N683)="مرجوعی خرید",IF(INDEX(PCAmount,$N683)=0,"",-INDEX(PCAmount,$N683)),""),IF($O683&lt;&gt;"",IF(INDEX(TxnWitB,$O683)=0,"",INDEX(TxnWitB,$O683)),""))</f>
        <v/>
      </c>
      <c r="K683" s="21">
        <f>IF($B683="","",IF($K682="",$C$10,$K682)+IF($I683="",0,$I683)-IF($J683="",0,$J683))</f>
        <v/>
      </c>
      <c r="L683" s="22">
        <f>IF($N683&lt;&gt;"",IF(INDEX(PCNotes,$N683)="","—",INDEX(PCNotes,$N683)),IF($O683&lt;&gt;"",IF(INDEX(LdgNoteB,$O683)="","—",INDEX(LdgNoteB,$O683)),""))</f>
        <v/>
      </c>
      <c r="N683">
        <f>IFERROR(MATCH($C$5&amp;"|"&amp;RIGHT("000000"&amp;667,6),LdgRankKeyA,0),"")</f>
        <v/>
      </c>
      <c r="O683">
        <f>IFERROR(MATCH($C$5&amp;"|"&amp;RIGHT("000000"&amp;667,6),LdgRankKeyB,0),"")</f>
        <v/>
      </c>
    </row>
    <row r="684">
      <c r="A684" s="23" t="n">
        <v>668</v>
      </c>
      <c r="B684" s="24">
        <f>IF(AND($N684="",$O684=""),"",IF($N684&lt;&gt;"",INDEX(PCNormDate,$N684),INDEX(LdgDateB,$O684)))</f>
        <v/>
      </c>
      <c r="C684" s="24">
        <f>IF($N684&lt;&gt;"",INDEX(PCOp,$N684),IF($O684&lt;&gt;"",IF(N(INDEX(TxnDepB,$O684))&gt;0,"دریافت بانکی","پرداخت بانکی"),""))</f>
        <v/>
      </c>
      <c r="D684" s="24">
        <f>IF($N684&lt;&gt;"",IF(INDEX(PCDoc,$N684)="","—",INDEX(PCDoc,$N684)),IF($O684&lt;&gt;"",INDEX(LdgBankB,$O684),""))</f>
        <v/>
      </c>
      <c r="E684" s="24">
        <f>IF($N684&lt;&gt;"",IF(INDEX(PCCitrus,$N684)="","—",INDEX(PCCitrus,$N684)),"")</f>
        <v/>
      </c>
      <c r="F684" s="25">
        <f>IF($N684&lt;&gt;"",IF(INDEX(PCScale,$N684)=0,"",INDEX(PCScale,$N684)),"")</f>
        <v/>
      </c>
      <c r="G684" s="25">
        <f>IF($N684&lt;&gt;"",IF(INDEX(PCBaskets,$N684)=0,"",INDEX(PCBaskets,$N684)),"")</f>
        <v/>
      </c>
      <c r="H684" s="26">
        <f>IF($N684&lt;&gt;"",IF(INDEX(PCNet,$N684)=0,"",INDEX(PCNet,$N684)),"")</f>
        <v/>
      </c>
      <c r="I684" s="25">
        <f>IF($N684&lt;&gt;"",IF(INDEX(PCOp,$N684)="مرجوعی خرید","",IF(INDEX(PCAmount,$N684)&lt;=0,"",INDEX(PCAmount,$N684))),IF($O684&lt;&gt;"",IF(INDEX(TxnDepB,$O684)=0,"",INDEX(TxnDepB,$O684)),""))</f>
        <v/>
      </c>
      <c r="J684" s="25">
        <f>IF($N684&lt;&gt;"",IF(INDEX(PCOp,$N684)="مرجوعی خرید",IF(INDEX(PCAmount,$N684)=0,"",-INDEX(PCAmount,$N684)),""),IF($O684&lt;&gt;"",IF(INDEX(TxnWitB,$O684)=0,"",INDEX(TxnWitB,$O684)),""))</f>
        <v/>
      </c>
      <c r="K684" s="27">
        <f>IF($B684="","",IF($K683="",$C$10,$K683)+IF($I684="",0,$I684)-IF($J684="",0,$J684))</f>
        <v/>
      </c>
      <c r="L684" s="28">
        <f>IF($N684&lt;&gt;"",IF(INDEX(PCNotes,$N684)="","—",INDEX(PCNotes,$N684)),IF($O684&lt;&gt;"",IF(INDEX(LdgNoteB,$O684)="","—",INDEX(LdgNoteB,$O684)),""))</f>
        <v/>
      </c>
      <c r="N684">
        <f>IFERROR(MATCH($C$5&amp;"|"&amp;RIGHT("000000"&amp;668,6),LdgRankKeyA,0),"")</f>
        <v/>
      </c>
      <c r="O684">
        <f>IFERROR(MATCH($C$5&amp;"|"&amp;RIGHT("000000"&amp;668,6),LdgRankKeyB,0),"")</f>
        <v/>
      </c>
    </row>
    <row r="685">
      <c r="A685" s="17" t="n">
        <v>669</v>
      </c>
      <c r="B685" s="18">
        <f>IF(AND($N685="",$O685=""),"",IF($N685&lt;&gt;"",INDEX(PCNormDate,$N685),INDEX(LdgDateB,$O685)))</f>
        <v/>
      </c>
      <c r="C685" s="18">
        <f>IF($N685&lt;&gt;"",INDEX(PCOp,$N685),IF($O685&lt;&gt;"",IF(N(INDEX(TxnDepB,$O685))&gt;0,"دریافت بانکی","پرداخت بانکی"),""))</f>
        <v/>
      </c>
      <c r="D685" s="18">
        <f>IF($N685&lt;&gt;"",IF(INDEX(PCDoc,$N685)="","—",INDEX(PCDoc,$N685)),IF($O685&lt;&gt;"",INDEX(LdgBankB,$O685),""))</f>
        <v/>
      </c>
      <c r="E685" s="18">
        <f>IF($N685&lt;&gt;"",IF(INDEX(PCCitrus,$N685)="","—",INDEX(PCCitrus,$N685)),"")</f>
        <v/>
      </c>
      <c r="F685" s="19">
        <f>IF($N685&lt;&gt;"",IF(INDEX(PCScale,$N685)=0,"",INDEX(PCScale,$N685)),"")</f>
        <v/>
      </c>
      <c r="G685" s="19">
        <f>IF($N685&lt;&gt;"",IF(INDEX(PCBaskets,$N685)=0,"",INDEX(PCBaskets,$N685)),"")</f>
        <v/>
      </c>
      <c r="H685" s="20">
        <f>IF($N685&lt;&gt;"",IF(INDEX(PCNet,$N685)=0,"",INDEX(PCNet,$N685)),"")</f>
        <v/>
      </c>
      <c r="I685" s="19">
        <f>IF($N685&lt;&gt;"",IF(INDEX(PCOp,$N685)="مرجوعی خرید","",IF(INDEX(PCAmount,$N685)&lt;=0,"",INDEX(PCAmount,$N685))),IF($O685&lt;&gt;"",IF(INDEX(TxnDepB,$O685)=0,"",INDEX(TxnDepB,$O685)),""))</f>
        <v/>
      </c>
      <c r="J685" s="19">
        <f>IF($N685&lt;&gt;"",IF(INDEX(PCOp,$N685)="مرجوعی خرید",IF(INDEX(PCAmount,$N685)=0,"",-INDEX(PCAmount,$N685)),""),IF($O685&lt;&gt;"",IF(INDEX(TxnWitB,$O685)=0,"",INDEX(TxnWitB,$O685)),""))</f>
        <v/>
      </c>
      <c r="K685" s="21">
        <f>IF($B685="","",IF($K684="",$C$10,$K684)+IF($I685="",0,$I685)-IF($J685="",0,$J685))</f>
        <v/>
      </c>
      <c r="L685" s="22">
        <f>IF($N685&lt;&gt;"",IF(INDEX(PCNotes,$N685)="","—",INDEX(PCNotes,$N685)),IF($O685&lt;&gt;"",IF(INDEX(LdgNoteB,$O685)="","—",INDEX(LdgNoteB,$O685)),""))</f>
        <v/>
      </c>
      <c r="N685">
        <f>IFERROR(MATCH($C$5&amp;"|"&amp;RIGHT("000000"&amp;669,6),LdgRankKeyA,0),"")</f>
        <v/>
      </c>
      <c r="O685">
        <f>IFERROR(MATCH($C$5&amp;"|"&amp;RIGHT("000000"&amp;669,6),LdgRankKeyB,0),"")</f>
        <v/>
      </c>
    </row>
    <row r="686">
      <c r="A686" s="23" t="n">
        <v>670</v>
      </c>
      <c r="B686" s="24">
        <f>IF(AND($N686="",$O686=""),"",IF($N686&lt;&gt;"",INDEX(PCNormDate,$N686),INDEX(LdgDateB,$O686)))</f>
        <v/>
      </c>
      <c r="C686" s="24">
        <f>IF($N686&lt;&gt;"",INDEX(PCOp,$N686),IF($O686&lt;&gt;"",IF(N(INDEX(TxnDepB,$O686))&gt;0,"دریافت بانکی","پرداخت بانکی"),""))</f>
        <v/>
      </c>
      <c r="D686" s="24">
        <f>IF($N686&lt;&gt;"",IF(INDEX(PCDoc,$N686)="","—",INDEX(PCDoc,$N686)),IF($O686&lt;&gt;"",INDEX(LdgBankB,$O686),""))</f>
        <v/>
      </c>
      <c r="E686" s="24">
        <f>IF($N686&lt;&gt;"",IF(INDEX(PCCitrus,$N686)="","—",INDEX(PCCitrus,$N686)),"")</f>
        <v/>
      </c>
      <c r="F686" s="25">
        <f>IF($N686&lt;&gt;"",IF(INDEX(PCScale,$N686)=0,"",INDEX(PCScale,$N686)),"")</f>
        <v/>
      </c>
      <c r="G686" s="25">
        <f>IF($N686&lt;&gt;"",IF(INDEX(PCBaskets,$N686)=0,"",INDEX(PCBaskets,$N686)),"")</f>
        <v/>
      </c>
      <c r="H686" s="26">
        <f>IF($N686&lt;&gt;"",IF(INDEX(PCNet,$N686)=0,"",INDEX(PCNet,$N686)),"")</f>
        <v/>
      </c>
      <c r="I686" s="25">
        <f>IF($N686&lt;&gt;"",IF(INDEX(PCOp,$N686)="مرجوعی خرید","",IF(INDEX(PCAmount,$N686)&lt;=0,"",INDEX(PCAmount,$N686))),IF($O686&lt;&gt;"",IF(INDEX(TxnDepB,$O686)=0,"",INDEX(TxnDepB,$O686)),""))</f>
        <v/>
      </c>
      <c r="J686" s="25">
        <f>IF($N686&lt;&gt;"",IF(INDEX(PCOp,$N686)="مرجوعی خرید",IF(INDEX(PCAmount,$N686)=0,"",-INDEX(PCAmount,$N686)),""),IF($O686&lt;&gt;"",IF(INDEX(TxnWitB,$O686)=0,"",INDEX(TxnWitB,$O686)),""))</f>
        <v/>
      </c>
      <c r="K686" s="27">
        <f>IF($B686="","",IF($K685="",$C$10,$K685)+IF($I686="",0,$I686)-IF($J686="",0,$J686))</f>
        <v/>
      </c>
      <c r="L686" s="28">
        <f>IF($N686&lt;&gt;"",IF(INDEX(PCNotes,$N686)="","—",INDEX(PCNotes,$N686)),IF($O686&lt;&gt;"",IF(INDEX(LdgNoteB,$O686)="","—",INDEX(LdgNoteB,$O686)),""))</f>
        <v/>
      </c>
      <c r="N686">
        <f>IFERROR(MATCH($C$5&amp;"|"&amp;RIGHT("000000"&amp;670,6),LdgRankKeyA,0),"")</f>
        <v/>
      </c>
      <c r="O686">
        <f>IFERROR(MATCH($C$5&amp;"|"&amp;RIGHT("000000"&amp;670,6),LdgRankKeyB,0),"")</f>
        <v/>
      </c>
    </row>
    <row r="687">
      <c r="A687" s="17" t="n">
        <v>671</v>
      </c>
      <c r="B687" s="18">
        <f>IF(AND($N687="",$O687=""),"",IF($N687&lt;&gt;"",INDEX(PCNormDate,$N687),INDEX(LdgDateB,$O687)))</f>
        <v/>
      </c>
      <c r="C687" s="18">
        <f>IF($N687&lt;&gt;"",INDEX(PCOp,$N687),IF($O687&lt;&gt;"",IF(N(INDEX(TxnDepB,$O687))&gt;0,"دریافت بانکی","پرداخت بانکی"),""))</f>
        <v/>
      </c>
      <c r="D687" s="18">
        <f>IF($N687&lt;&gt;"",IF(INDEX(PCDoc,$N687)="","—",INDEX(PCDoc,$N687)),IF($O687&lt;&gt;"",INDEX(LdgBankB,$O687),""))</f>
        <v/>
      </c>
      <c r="E687" s="18">
        <f>IF($N687&lt;&gt;"",IF(INDEX(PCCitrus,$N687)="","—",INDEX(PCCitrus,$N687)),"")</f>
        <v/>
      </c>
      <c r="F687" s="19">
        <f>IF($N687&lt;&gt;"",IF(INDEX(PCScale,$N687)=0,"",INDEX(PCScale,$N687)),"")</f>
        <v/>
      </c>
      <c r="G687" s="19">
        <f>IF($N687&lt;&gt;"",IF(INDEX(PCBaskets,$N687)=0,"",INDEX(PCBaskets,$N687)),"")</f>
        <v/>
      </c>
      <c r="H687" s="20">
        <f>IF($N687&lt;&gt;"",IF(INDEX(PCNet,$N687)=0,"",INDEX(PCNet,$N687)),"")</f>
        <v/>
      </c>
      <c r="I687" s="19">
        <f>IF($N687&lt;&gt;"",IF(INDEX(PCOp,$N687)="مرجوعی خرید","",IF(INDEX(PCAmount,$N687)&lt;=0,"",INDEX(PCAmount,$N687))),IF($O687&lt;&gt;"",IF(INDEX(TxnDepB,$O687)=0,"",INDEX(TxnDepB,$O687)),""))</f>
        <v/>
      </c>
      <c r="J687" s="19">
        <f>IF($N687&lt;&gt;"",IF(INDEX(PCOp,$N687)="مرجوعی خرید",IF(INDEX(PCAmount,$N687)=0,"",-INDEX(PCAmount,$N687)),""),IF($O687&lt;&gt;"",IF(INDEX(TxnWitB,$O687)=0,"",INDEX(TxnWitB,$O687)),""))</f>
        <v/>
      </c>
      <c r="K687" s="21">
        <f>IF($B687="","",IF($K686="",$C$10,$K686)+IF($I687="",0,$I687)-IF($J687="",0,$J687))</f>
        <v/>
      </c>
      <c r="L687" s="22">
        <f>IF($N687&lt;&gt;"",IF(INDEX(PCNotes,$N687)="","—",INDEX(PCNotes,$N687)),IF($O687&lt;&gt;"",IF(INDEX(LdgNoteB,$O687)="","—",INDEX(LdgNoteB,$O687)),""))</f>
        <v/>
      </c>
      <c r="N687">
        <f>IFERROR(MATCH($C$5&amp;"|"&amp;RIGHT("000000"&amp;671,6),LdgRankKeyA,0),"")</f>
        <v/>
      </c>
      <c r="O687">
        <f>IFERROR(MATCH($C$5&amp;"|"&amp;RIGHT("000000"&amp;671,6),LdgRankKeyB,0),"")</f>
        <v/>
      </c>
    </row>
    <row r="688">
      <c r="A688" s="23" t="n">
        <v>672</v>
      </c>
      <c r="B688" s="24">
        <f>IF(AND($N688="",$O688=""),"",IF($N688&lt;&gt;"",INDEX(PCNormDate,$N688),INDEX(LdgDateB,$O688)))</f>
        <v/>
      </c>
      <c r="C688" s="24">
        <f>IF($N688&lt;&gt;"",INDEX(PCOp,$N688),IF($O688&lt;&gt;"",IF(N(INDEX(TxnDepB,$O688))&gt;0,"دریافت بانکی","پرداخت بانکی"),""))</f>
        <v/>
      </c>
      <c r="D688" s="24">
        <f>IF($N688&lt;&gt;"",IF(INDEX(PCDoc,$N688)="","—",INDEX(PCDoc,$N688)),IF($O688&lt;&gt;"",INDEX(LdgBankB,$O688),""))</f>
        <v/>
      </c>
      <c r="E688" s="24">
        <f>IF($N688&lt;&gt;"",IF(INDEX(PCCitrus,$N688)="","—",INDEX(PCCitrus,$N688)),"")</f>
        <v/>
      </c>
      <c r="F688" s="25">
        <f>IF($N688&lt;&gt;"",IF(INDEX(PCScale,$N688)=0,"",INDEX(PCScale,$N688)),"")</f>
        <v/>
      </c>
      <c r="G688" s="25">
        <f>IF($N688&lt;&gt;"",IF(INDEX(PCBaskets,$N688)=0,"",INDEX(PCBaskets,$N688)),"")</f>
        <v/>
      </c>
      <c r="H688" s="26">
        <f>IF($N688&lt;&gt;"",IF(INDEX(PCNet,$N688)=0,"",INDEX(PCNet,$N688)),"")</f>
        <v/>
      </c>
      <c r="I688" s="25">
        <f>IF($N688&lt;&gt;"",IF(INDEX(PCOp,$N688)="مرجوعی خرید","",IF(INDEX(PCAmount,$N688)&lt;=0,"",INDEX(PCAmount,$N688))),IF($O688&lt;&gt;"",IF(INDEX(TxnDepB,$O688)=0,"",INDEX(TxnDepB,$O688)),""))</f>
        <v/>
      </c>
      <c r="J688" s="25">
        <f>IF($N688&lt;&gt;"",IF(INDEX(PCOp,$N688)="مرجوعی خرید",IF(INDEX(PCAmount,$N688)=0,"",-INDEX(PCAmount,$N688)),""),IF($O688&lt;&gt;"",IF(INDEX(TxnWitB,$O688)=0,"",INDEX(TxnWitB,$O688)),""))</f>
        <v/>
      </c>
      <c r="K688" s="27">
        <f>IF($B688="","",IF($K687="",$C$10,$K687)+IF($I688="",0,$I688)-IF($J688="",0,$J688))</f>
        <v/>
      </c>
      <c r="L688" s="28">
        <f>IF($N688&lt;&gt;"",IF(INDEX(PCNotes,$N688)="","—",INDEX(PCNotes,$N688)),IF($O688&lt;&gt;"",IF(INDEX(LdgNoteB,$O688)="","—",INDEX(LdgNoteB,$O688)),""))</f>
        <v/>
      </c>
      <c r="N688">
        <f>IFERROR(MATCH($C$5&amp;"|"&amp;RIGHT("000000"&amp;672,6),LdgRankKeyA,0),"")</f>
        <v/>
      </c>
      <c r="O688">
        <f>IFERROR(MATCH($C$5&amp;"|"&amp;RIGHT("000000"&amp;672,6),LdgRankKeyB,0),"")</f>
        <v/>
      </c>
    </row>
    <row r="689">
      <c r="A689" s="17" t="n">
        <v>673</v>
      </c>
      <c r="B689" s="18">
        <f>IF(AND($N689="",$O689=""),"",IF($N689&lt;&gt;"",INDEX(PCNormDate,$N689),INDEX(LdgDateB,$O689)))</f>
        <v/>
      </c>
      <c r="C689" s="18">
        <f>IF($N689&lt;&gt;"",INDEX(PCOp,$N689),IF($O689&lt;&gt;"",IF(N(INDEX(TxnDepB,$O689))&gt;0,"دریافت بانکی","پرداخت بانکی"),""))</f>
        <v/>
      </c>
      <c r="D689" s="18">
        <f>IF($N689&lt;&gt;"",IF(INDEX(PCDoc,$N689)="","—",INDEX(PCDoc,$N689)),IF($O689&lt;&gt;"",INDEX(LdgBankB,$O689),""))</f>
        <v/>
      </c>
      <c r="E689" s="18">
        <f>IF($N689&lt;&gt;"",IF(INDEX(PCCitrus,$N689)="","—",INDEX(PCCitrus,$N689)),"")</f>
        <v/>
      </c>
      <c r="F689" s="19">
        <f>IF($N689&lt;&gt;"",IF(INDEX(PCScale,$N689)=0,"",INDEX(PCScale,$N689)),"")</f>
        <v/>
      </c>
      <c r="G689" s="19">
        <f>IF($N689&lt;&gt;"",IF(INDEX(PCBaskets,$N689)=0,"",INDEX(PCBaskets,$N689)),"")</f>
        <v/>
      </c>
      <c r="H689" s="20">
        <f>IF($N689&lt;&gt;"",IF(INDEX(PCNet,$N689)=0,"",INDEX(PCNet,$N689)),"")</f>
        <v/>
      </c>
      <c r="I689" s="19">
        <f>IF($N689&lt;&gt;"",IF(INDEX(PCOp,$N689)="مرجوعی خرید","",IF(INDEX(PCAmount,$N689)&lt;=0,"",INDEX(PCAmount,$N689))),IF($O689&lt;&gt;"",IF(INDEX(TxnDepB,$O689)=0,"",INDEX(TxnDepB,$O689)),""))</f>
        <v/>
      </c>
      <c r="J689" s="19">
        <f>IF($N689&lt;&gt;"",IF(INDEX(PCOp,$N689)="مرجوعی خرید",IF(INDEX(PCAmount,$N689)=0,"",-INDEX(PCAmount,$N689)),""),IF($O689&lt;&gt;"",IF(INDEX(TxnWitB,$O689)=0,"",INDEX(TxnWitB,$O689)),""))</f>
        <v/>
      </c>
      <c r="K689" s="21">
        <f>IF($B689="","",IF($K688="",$C$10,$K688)+IF($I689="",0,$I689)-IF($J689="",0,$J689))</f>
        <v/>
      </c>
      <c r="L689" s="22">
        <f>IF($N689&lt;&gt;"",IF(INDEX(PCNotes,$N689)="","—",INDEX(PCNotes,$N689)),IF($O689&lt;&gt;"",IF(INDEX(LdgNoteB,$O689)="","—",INDEX(LdgNoteB,$O689)),""))</f>
        <v/>
      </c>
      <c r="N689">
        <f>IFERROR(MATCH($C$5&amp;"|"&amp;RIGHT("000000"&amp;673,6),LdgRankKeyA,0),"")</f>
        <v/>
      </c>
      <c r="O689">
        <f>IFERROR(MATCH($C$5&amp;"|"&amp;RIGHT("000000"&amp;673,6),LdgRankKeyB,0),"")</f>
        <v/>
      </c>
    </row>
    <row r="690">
      <c r="A690" s="23" t="n">
        <v>674</v>
      </c>
      <c r="B690" s="24">
        <f>IF(AND($N690="",$O690=""),"",IF($N690&lt;&gt;"",INDEX(PCNormDate,$N690),INDEX(LdgDateB,$O690)))</f>
        <v/>
      </c>
      <c r="C690" s="24">
        <f>IF($N690&lt;&gt;"",INDEX(PCOp,$N690),IF($O690&lt;&gt;"",IF(N(INDEX(TxnDepB,$O690))&gt;0,"دریافت بانکی","پرداخت بانکی"),""))</f>
        <v/>
      </c>
      <c r="D690" s="24">
        <f>IF($N690&lt;&gt;"",IF(INDEX(PCDoc,$N690)="","—",INDEX(PCDoc,$N690)),IF($O690&lt;&gt;"",INDEX(LdgBankB,$O690),""))</f>
        <v/>
      </c>
      <c r="E690" s="24">
        <f>IF($N690&lt;&gt;"",IF(INDEX(PCCitrus,$N690)="","—",INDEX(PCCitrus,$N690)),"")</f>
        <v/>
      </c>
      <c r="F690" s="25">
        <f>IF($N690&lt;&gt;"",IF(INDEX(PCScale,$N690)=0,"",INDEX(PCScale,$N690)),"")</f>
        <v/>
      </c>
      <c r="G690" s="25">
        <f>IF($N690&lt;&gt;"",IF(INDEX(PCBaskets,$N690)=0,"",INDEX(PCBaskets,$N690)),"")</f>
        <v/>
      </c>
      <c r="H690" s="26">
        <f>IF($N690&lt;&gt;"",IF(INDEX(PCNet,$N690)=0,"",INDEX(PCNet,$N690)),"")</f>
        <v/>
      </c>
      <c r="I690" s="25">
        <f>IF($N690&lt;&gt;"",IF(INDEX(PCOp,$N690)="مرجوعی خرید","",IF(INDEX(PCAmount,$N690)&lt;=0,"",INDEX(PCAmount,$N690))),IF($O690&lt;&gt;"",IF(INDEX(TxnDepB,$O690)=0,"",INDEX(TxnDepB,$O690)),""))</f>
        <v/>
      </c>
      <c r="J690" s="25">
        <f>IF($N690&lt;&gt;"",IF(INDEX(PCOp,$N690)="مرجوعی خرید",IF(INDEX(PCAmount,$N690)=0,"",-INDEX(PCAmount,$N690)),""),IF($O690&lt;&gt;"",IF(INDEX(TxnWitB,$O690)=0,"",INDEX(TxnWitB,$O690)),""))</f>
        <v/>
      </c>
      <c r="K690" s="27">
        <f>IF($B690="","",IF($K689="",$C$10,$K689)+IF($I690="",0,$I690)-IF($J690="",0,$J690))</f>
        <v/>
      </c>
      <c r="L690" s="28">
        <f>IF($N690&lt;&gt;"",IF(INDEX(PCNotes,$N690)="","—",INDEX(PCNotes,$N690)),IF($O690&lt;&gt;"",IF(INDEX(LdgNoteB,$O690)="","—",INDEX(LdgNoteB,$O690)),""))</f>
        <v/>
      </c>
      <c r="N690">
        <f>IFERROR(MATCH($C$5&amp;"|"&amp;RIGHT("000000"&amp;674,6),LdgRankKeyA,0),"")</f>
        <v/>
      </c>
      <c r="O690">
        <f>IFERROR(MATCH($C$5&amp;"|"&amp;RIGHT("000000"&amp;674,6),LdgRankKeyB,0),"")</f>
        <v/>
      </c>
    </row>
    <row r="691">
      <c r="A691" s="17" t="n">
        <v>675</v>
      </c>
      <c r="B691" s="18">
        <f>IF(AND($N691="",$O691=""),"",IF($N691&lt;&gt;"",INDEX(PCNormDate,$N691),INDEX(LdgDateB,$O691)))</f>
        <v/>
      </c>
      <c r="C691" s="18">
        <f>IF($N691&lt;&gt;"",INDEX(PCOp,$N691),IF($O691&lt;&gt;"",IF(N(INDEX(TxnDepB,$O691))&gt;0,"دریافت بانکی","پرداخت بانکی"),""))</f>
        <v/>
      </c>
      <c r="D691" s="18">
        <f>IF($N691&lt;&gt;"",IF(INDEX(PCDoc,$N691)="","—",INDEX(PCDoc,$N691)),IF($O691&lt;&gt;"",INDEX(LdgBankB,$O691),""))</f>
        <v/>
      </c>
      <c r="E691" s="18">
        <f>IF($N691&lt;&gt;"",IF(INDEX(PCCitrus,$N691)="","—",INDEX(PCCitrus,$N691)),"")</f>
        <v/>
      </c>
      <c r="F691" s="19">
        <f>IF($N691&lt;&gt;"",IF(INDEX(PCScale,$N691)=0,"",INDEX(PCScale,$N691)),"")</f>
        <v/>
      </c>
      <c r="G691" s="19">
        <f>IF($N691&lt;&gt;"",IF(INDEX(PCBaskets,$N691)=0,"",INDEX(PCBaskets,$N691)),"")</f>
        <v/>
      </c>
      <c r="H691" s="20">
        <f>IF($N691&lt;&gt;"",IF(INDEX(PCNet,$N691)=0,"",INDEX(PCNet,$N691)),"")</f>
        <v/>
      </c>
      <c r="I691" s="19">
        <f>IF($N691&lt;&gt;"",IF(INDEX(PCOp,$N691)="مرجوعی خرید","",IF(INDEX(PCAmount,$N691)&lt;=0,"",INDEX(PCAmount,$N691))),IF($O691&lt;&gt;"",IF(INDEX(TxnDepB,$O691)=0,"",INDEX(TxnDepB,$O691)),""))</f>
        <v/>
      </c>
      <c r="J691" s="19">
        <f>IF($N691&lt;&gt;"",IF(INDEX(PCOp,$N691)="مرجوعی خرید",IF(INDEX(PCAmount,$N691)=0,"",-INDEX(PCAmount,$N691)),""),IF($O691&lt;&gt;"",IF(INDEX(TxnWitB,$O691)=0,"",INDEX(TxnWitB,$O691)),""))</f>
        <v/>
      </c>
      <c r="K691" s="21">
        <f>IF($B691="","",IF($K690="",$C$10,$K690)+IF($I691="",0,$I691)-IF($J691="",0,$J691))</f>
        <v/>
      </c>
      <c r="L691" s="22">
        <f>IF($N691&lt;&gt;"",IF(INDEX(PCNotes,$N691)="","—",INDEX(PCNotes,$N691)),IF($O691&lt;&gt;"",IF(INDEX(LdgNoteB,$O691)="","—",INDEX(LdgNoteB,$O691)),""))</f>
        <v/>
      </c>
      <c r="N691">
        <f>IFERROR(MATCH($C$5&amp;"|"&amp;RIGHT("000000"&amp;675,6),LdgRankKeyA,0),"")</f>
        <v/>
      </c>
      <c r="O691">
        <f>IFERROR(MATCH($C$5&amp;"|"&amp;RIGHT("000000"&amp;675,6),LdgRankKeyB,0),"")</f>
        <v/>
      </c>
    </row>
    <row r="692">
      <c r="A692" s="23" t="n">
        <v>676</v>
      </c>
      <c r="B692" s="24">
        <f>IF(AND($N692="",$O692=""),"",IF($N692&lt;&gt;"",INDEX(PCNormDate,$N692),INDEX(LdgDateB,$O692)))</f>
        <v/>
      </c>
      <c r="C692" s="24">
        <f>IF($N692&lt;&gt;"",INDEX(PCOp,$N692),IF($O692&lt;&gt;"",IF(N(INDEX(TxnDepB,$O692))&gt;0,"دریافت بانکی","پرداخت بانکی"),""))</f>
        <v/>
      </c>
      <c r="D692" s="24">
        <f>IF($N692&lt;&gt;"",IF(INDEX(PCDoc,$N692)="","—",INDEX(PCDoc,$N692)),IF($O692&lt;&gt;"",INDEX(LdgBankB,$O692),""))</f>
        <v/>
      </c>
      <c r="E692" s="24">
        <f>IF($N692&lt;&gt;"",IF(INDEX(PCCitrus,$N692)="","—",INDEX(PCCitrus,$N692)),"")</f>
        <v/>
      </c>
      <c r="F692" s="25">
        <f>IF($N692&lt;&gt;"",IF(INDEX(PCScale,$N692)=0,"",INDEX(PCScale,$N692)),"")</f>
        <v/>
      </c>
      <c r="G692" s="25">
        <f>IF($N692&lt;&gt;"",IF(INDEX(PCBaskets,$N692)=0,"",INDEX(PCBaskets,$N692)),"")</f>
        <v/>
      </c>
      <c r="H692" s="26">
        <f>IF($N692&lt;&gt;"",IF(INDEX(PCNet,$N692)=0,"",INDEX(PCNet,$N692)),"")</f>
        <v/>
      </c>
      <c r="I692" s="25">
        <f>IF($N692&lt;&gt;"",IF(INDEX(PCOp,$N692)="مرجوعی خرید","",IF(INDEX(PCAmount,$N692)&lt;=0,"",INDEX(PCAmount,$N692))),IF($O692&lt;&gt;"",IF(INDEX(TxnDepB,$O692)=0,"",INDEX(TxnDepB,$O692)),""))</f>
        <v/>
      </c>
      <c r="J692" s="25">
        <f>IF($N692&lt;&gt;"",IF(INDEX(PCOp,$N692)="مرجوعی خرید",IF(INDEX(PCAmount,$N692)=0,"",-INDEX(PCAmount,$N692)),""),IF($O692&lt;&gt;"",IF(INDEX(TxnWitB,$O692)=0,"",INDEX(TxnWitB,$O692)),""))</f>
        <v/>
      </c>
      <c r="K692" s="27">
        <f>IF($B692="","",IF($K691="",$C$10,$K691)+IF($I692="",0,$I692)-IF($J692="",0,$J692))</f>
        <v/>
      </c>
      <c r="L692" s="28">
        <f>IF($N692&lt;&gt;"",IF(INDEX(PCNotes,$N692)="","—",INDEX(PCNotes,$N692)),IF($O692&lt;&gt;"",IF(INDEX(LdgNoteB,$O692)="","—",INDEX(LdgNoteB,$O692)),""))</f>
        <v/>
      </c>
      <c r="N692">
        <f>IFERROR(MATCH($C$5&amp;"|"&amp;RIGHT("000000"&amp;676,6),LdgRankKeyA,0),"")</f>
        <v/>
      </c>
      <c r="O692">
        <f>IFERROR(MATCH($C$5&amp;"|"&amp;RIGHT("000000"&amp;676,6),LdgRankKeyB,0),"")</f>
        <v/>
      </c>
    </row>
    <row r="693">
      <c r="A693" s="17" t="n">
        <v>677</v>
      </c>
      <c r="B693" s="18">
        <f>IF(AND($N693="",$O693=""),"",IF($N693&lt;&gt;"",INDEX(PCNormDate,$N693),INDEX(LdgDateB,$O693)))</f>
        <v/>
      </c>
      <c r="C693" s="18">
        <f>IF($N693&lt;&gt;"",INDEX(PCOp,$N693),IF($O693&lt;&gt;"",IF(N(INDEX(TxnDepB,$O693))&gt;0,"دریافت بانکی","پرداخت بانکی"),""))</f>
        <v/>
      </c>
      <c r="D693" s="18">
        <f>IF($N693&lt;&gt;"",IF(INDEX(PCDoc,$N693)="","—",INDEX(PCDoc,$N693)),IF($O693&lt;&gt;"",INDEX(LdgBankB,$O693),""))</f>
        <v/>
      </c>
      <c r="E693" s="18">
        <f>IF($N693&lt;&gt;"",IF(INDEX(PCCitrus,$N693)="","—",INDEX(PCCitrus,$N693)),"")</f>
        <v/>
      </c>
      <c r="F693" s="19">
        <f>IF($N693&lt;&gt;"",IF(INDEX(PCScale,$N693)=0,"",INDEX(PCScale,$N693)),"")</f>
        <v/>
      </c>
      <c r="G693" s="19">
        <f>IF($N693&lt;&gt;"",IF(INDEX(PCBaskets,$N693)=0,"",INDEX(PCBaskets,$N693)),"")</f>
        <v/>
      </c>
      <c r="H693" s="20">
        <f>IF($N693&lt;&gt;"",IF(INDEX(PCNet,$N693)=0,"",INDEX(PCNet,$N693)),"")</f>
        <v/>
      </c>
      <c r="I693" s="19">
        <f>IF($N693&lt;&gt;"",IF(INDEX(PCOp,$N693)="مرجوعی خرید","",IF(INDEX(PCAmount,$N693)&lt;=0,"",INDEX(PCAmount,$N693))),IF($O693&lt;&gt;"",IF(INDEX(TxnDepB,$O693)=0,"",INDEX(TxnDepB,$O693)),""))</f>
        <v/>
      </c>
      <c r="J693" s="19">
        <f>IF($N693&lt;&gt;"",IF(INDEX(PCOp,$N693)="مرجوعی خرید",IF(INDEX(PCAmount,$N693)=0,"",-INDEX(PCAmount,$N693)),""),IF($O693&lt;&gt;"",IF(INDEX(TxnWitB,$O693)=0,"",INDEX(TxnWitB,$O693)),""))</f>
        <v/>
      </c>
      <c r="K693" s="21">
        <f>IF($B693="","",IF($K692="",$C$10,$K692)+IF($I693="",0,$I693)-IF($J693="",0,$J693))</f>
        <v/>
      </c>
      <c r="L693" s="22">
        <f>IF($N693&lt;&gt;"",IF(INDEX(PCNotes,$N693)="","—",INDEX(PCNotes,$N693)),IF($O693&lt;&gt;"",IF(INDEX(LdgNoteB,$O693)="","—",INDEX(LdgNoteB,$O693)),""))</f>
        <v/>
      </c>
      <c r="N693">
        <f>IFERROR(MATCH($C$5&amp;"|"&amp;RIGHT("000000"&amp;677,6),LdgRankKeyA,0),"")</f>
        <v/>
      </c>
      <c r="O693">
        <f>IFERROR(MATCH($C$5&amp;"|"&amp;RIGHT("000000"&amp;677,6),LdgRankKeyB,0),"")</f>
        <v/>
      </c>
    </row>
    <row r="694">
      <c r="A694" s="23" t="n">
        <v>678</v>
      </c>
      <c r="B694" s="24">
        <f>IF(AND($N694="",$O694=""),"",IF($N694&lt;&gt;"",INDEX(PCNormDate,$N694),INDEX(LdgDateB,$O694)))</f>
        <v/>
      </c>
      <c r="C694" s="24">
        <f>IF($N694&lt;&gt;"",INDEX(PCOp,$N694),IF($O694&lt;&gt;"",IF(N(INDEX(TxnDepB,$O694))&gt;0,"دریافت بانکی","پرداخت بانکی"),""))</f>
        <v/>
      </c>
      <c r="D694" s="24">
        <f>IF($N694&lt;&gt;"",IF(INDEX(PCDoc,$N694)="","—",INDEX(PCDoc,$N694)),IF($O694&lt;&gt;"",INDEX(LdgBankB,$O694),""))</f>
        <v/>
      </c>
      <c r="E694" s="24">
        <f>IF($N694&lt;&gt;"",IF(INDEX(PCCitrus,$N694)="","—",INDEX(PCCitrus,$N694)),"")</f>
        <v/>
      </c>
      <c r="F694" s="25">
        <f>IF($N694&lt;&gt;"",IF(INDEX(PCScale,$N694)=0,"",INDEX(PCScale,$N694)),"")</f>
        <v/>
      </c>
      <c r="G694" s="25">
        <f>IF($N694&lt;&gt;"",IF(INDEX(PCBaskets,$N694)=0,"",INDEX(PCBaskets,$N694)),"")</f>
        <v/>
      </c>
      <c r="H694" s="26">
        <f>IF($N694&lt;&gt;"",IF(INDEX(PCNet,$N694)=0,"",INDEX(PCNet,$N694)),"")</f>
        <v/>
      </c>
      <c r="I694" s="25">
        <f>IF($N694&lt;&gt;"",IF(INDEX(PCOp,$N694)="مرجوعی خرید","",IF(INDEX(PCAmount,$N694)&lt;=0,"",INDEX(PCAmount,$N694))),IF($O694&lt;&gt;"",IF(INDEX(TxnDepB,$O694)=0,"",INDEX(TxnDepB,$O694)),""))</f>
        <v/>
      </c>
      <c r="J694" s="25">
        <f>IF($N694&lt;&gt;"",IF(INDEX(PCOp,$N694)="مرجوعی خرید",IF(INDEX(PCAmount,$N694)=0,"",-INDEX(PCAmount,$N694)),""),IF($O694&lt;&gt;"",IF(INDEX(TxnWitB,$O694)=0,"",INDEX(TxnWitB,$O694)),""))</f>
        <v/>
      </c>
      <c r="K694" s="27">
        <f>IF($B694="","",IF($K693="",$C$10,$K693)+IF($I694="",0,$I694)-IF($J694="",0,$J694))</f>
        <v/>
      </c>
      <c r="L694" s="28">
        <f>IF($N694&lt;&gt;"",IF(INDEX(PCNotes,$N694)="","—",INDEX(PCNotes,$N694)),IF($O694&lt;&gt;"",IF(INDEX(LdgNoteB,$O694)="","—",INDEX(LdgNoteB,$O694)),""))</f>
        <v/>
      </c>
      <c r="N694">
        <f>IFERROR(MATCH($C$5&amp;"|"&amp;RIGHT("000000"&amp;678,6),LdgRankKeyA,0),"")</f>
        <v/>
      </c>
      <c r="O694">
        <f>IFERROR(MATCH($C$5&amp;"|"&amp;RIGHT("000000"&amp;678,6),LdgRankKeyB,0),"")</f>
        <v/>
      </c>
    </row>
    <row r="695">
      <c r="A695" s="17" t="n">
        <v>679</v>
      </c>
      <c r="B695" s="18">
        <f>IF(AND($N695="",$O695=""),"",IF($N695&lt;&gt;"",INDEX(PCNormDate,$N695),INDEX(LdgDateB,$O695)))</f>
        <v/>
      </c>
      <c r="C695" s="18">
        <f>IF($N695&lt;&gt;"",INDEX(PCOp,$N695),IF($O695&lt;&gt;"",IF(N(INDEX(TxnDepB,$O695))&gt;0,"دریافت بانکی","پرداخت بانکی"),""))</f>
        <v/>
      </c>
      <c r="D695" s="18">
        <f>IF($N695&lt;&gt;"",IF(INDEX(PCDoc,$N695)="","—",INDEX(PCDoc,$N695)),IF($O695&lt;&gt;"",INDEX(LdgBankB,$O695),""))</f>
        <v/>
      </c>
      <c r="E695" s="18">
        <f>IF($N695&lt;&gt;"",IF(INDEX(PCCitrus,$N695)="","—",INDEX(PCCitrus,$N695)),"")</f>
        <v/>
      </c>
      <c r="F695" s="19">
        <f>IF($N695&lt;&gt;"",IF(INDEX(PCScale,$N695)=0,"",INDEX(PCScale,$N695)),"")</f>
        <v/>
      </c>
      <c r="G695" s="19">
        <f>IF($N695&lt;&gt;"",IF(INDEX(PCBaskets,$N695)=0,"",INDEX(PCBaskets,$N695)),"")</f>
        <v/>
      </c>
      <c r="H695" s="20">
        <f>IF($N695&lt;&gt;"",IF(INDEX(PCNet,$N695)=0,"",INDEX(PCNet,$N695)),"")</f>
        <v/>
      </c>
      <c r="I695" s="19">
        <f>IF($N695&lt;&gt;"",IF(INDEX(PCOp,$N695)="مرجوعی خرید","",IF(INDEX(PCAmount,$N695)&lt;=0,"",INDEX(PCAmount,$N695))),IF($O695&lt;&gt;"",IF(INDEX(TxnDepB,$O695)=0,"",INDEX(TxnDepB,$O695)),""))</f>
        <v/>
      </c>
      <c r="J695" s="19">
        <f>IF($N695&lt;&gt;"",IF(INDEX(PCOp,$N695)="مرجوعی خرید",IF(INDEX(PCAmount,$N695)=0,"",-INDEX(PCAmount,$N695)),""),IF($O695&lt;&gt;"",IF(INDEX(TxnWitB,$O695)=0,"",INDEX(TxnWitB,$O695)),""))</f>
        <v/>
      </c>
      <c r="K695" s="21">
        <f>IF($B695="","",IF($K694="",$C$10,$K694)+IF($I695="",0,$I695)-IF($J695="",0,$J695))</f>
        <v/>
      </c>
      <c r="L695" s="22">
        <f>IF($N695&lt;&gt;"",IF(INDEX(PCNotes,$N695)="","—",INDEX(PCNotes,$N695)),IF($O695&lt;&gt;"",IF(INDEX(LdgNoteB,$O695)="","—",INDEX(LdgNoteB,$O695)),""))</f>
        <v/>
      </c>
      <c r="N695">
        <f>IFERROR(MATCH($C$5&amp;"|"&amp;RIGHT("000000"&amp;679,6),LdgRankKeyA,0),"")</f>
        <v/>
      </c>
      <c r="O695">
        <f>IFERROR(MATCH($C$5&amp;"|"&amp;RIGHT("000000"&amp;679,6),LdgRankKeyB,0),"")</f>
        <v/>
      </c>
    </row>
    <row r="696">
      <c r="A696" s="23" t="n">
        <v>680</v>
      </c>
      <c r="B696" s="24">
        <f>IF(AND($N696="",$O696=""),"",IF($N696&lt;&gt;"",INDEX(PCNormDate,$N696),INDEX(LdgDateB,$O696)))</f>
        <v/>
      </c>
      <c r="C696" s="24">
        <f>IF($N696&lt;&gt;"",INDEX(PCOp,$N696),IF($O696&lt;&gt;"",IF(N(INDEX(TxnDepB,$O696))&gt;0,"دریافت بانکی","پرداخت بانکی"),""))</f>
        <v/>
      </c>
      <c r="D696" s="24">
        <f>IF($N696&lt;&gt;"",IF(INDEX(PCDoc,$N696)="","—",INDEX(PCDoc,$N696)),IF($O696&lt;&gt;"",INDEX(LdgBankB,$O696),""))</f>
        <v/>
      </c>
      <c r="E696" s="24">
        <f>IF($N696&lt;&gt;"",IF(INDEX(PCCitrus,$N696)="","—",INDEX(PCCitrus,$N696)),"")</f>
        <v/>
      </c>
      <c r="F696" s="25">
        <f>IF($N696&lt;&gt;"",IF(INDEX(PCScale,$N696)=0,"",INDEX(PCScale,$N696)),"")</f>
        <v/>
      </c>
      <c r="G696" s="25">
        <f>IF($N696&lt;&gt;"",IF(INDEX(PCBaskets,$N696)=0,"",INDEX(PCBaskets,$N696)),"")</f>
        <v/>
      </c>
      <c r="H696" s="26">
        <f>IF($N696&lt;&gt;"",IF(INDEX(PCNet,$N696)=0,"",INDEX(PCNet,$N696)),"")</f>
        <v/>
      </c>
      <c r="I696" s="25">
        <f>IF($N696&lt;&gt;"",IF(INDEX(PCOp,$N696)="مرجوعی خرید","",IF(INDEX(PCAmount,$N696)&lt;=0,"",INDEX(PCAmount,$N696))),IF($O696&lt;&gt;"",IF(INDEX(TxnDepB,$O696)=0,"",INDEX(TxnDepB,$O696)),""))</f>
        <v/>
      </c>
      <c r="J696" s="25">
        <f>IF($N696&lt;&gt;"",IF(INDEX(PCOp,$N696)="مرجوعی خرید",IF(INDEX(PCAmount,$N696)=0,"",-INDEX(PCAmount,$N696)),""),IF($O696&lt;&gt;"",IF(INDEX(TxnWitB,$O696)=0,"",INDEX(TxnWitB,$O696)),""))</f>
        <v/>
      </c>
      <c r="K696" s="27">
        <f>IF($B696="","",IF($K695="",$C$10,$K695)+IF($I696="",0,$I696)-IF($J696="",0,$J696))</f>
        <v/>
      </c>
      <c r="L696" s="28">
        <f>IF($N696&lt;&gt;"",IF(INDEX(PCNotes,$N696)="","—",INDEX(PCNotes,$N696)),IF($O696&lt;&gt;"",IF(INDEX(LdgNoteB,$O696)="","—",INDEX(LdgNoteB,$O696)),""))</f>
        <v/>
      </c>
      <c r="N696">
        <f>IFERROR(MATCH($C$5&amp;"|"&amp;RIGHT("000000"&amp;680,6),LdgRankKeyA,0),"")</f>
        <v/>
      </c>
      <c r="O696">
        <f>IFERROR(MATCH($C$5&amp;"|"&amp;RIGHT("000000"&amp;680,6),LdgRankKeyB,0),"")</f>
        <v/>
      </c>
    </row>
    <row r="697">
      <c r="A697" s="17" t="n">
        <v>681</v>
      </c>
      <c r="B697" s="18">
        <f>IF(AND($N697="",$O697=""),"",IF($N697&lt;&gt;"",INDEX(PCNormDate,$N697),INDEX(LdgDateB,$O697)))</f>
        <v/>
      </c>
      <c r="C697" s="18">
        <f>IF($N697&lt;&gt;"",INDEX(PCOp,$N697),IF($O697&lt;&gt;"",IF(N(INDEX(TxnDepB,$O697))&gt;0,"دریافت بانکی","پرداخت بانکی"),""))</f>
        <v/>
      </c>
      <c r="D697" s="18">
        <f>IF($N697&lt;&gt;"",IF(INDEX(PCDoc,$N697)="","—",INDEX(PCDoc,$N697)),IF($O697&lt;&gt;"",INDEX(LdgBankB,$O697),""))</f>
        <v/>
      </c>
      <c r="E697" s="18">
        <f>IF($N697&lt;&gt;"",IF(INDEX(PCCitrus,$N697)="","—",INDEX(PCCitrus,$N697)),"")</f>
        <v/>
      </c>
      <c r="F697" s="19">
        <f>IF($N697&lt;&gt;"",IF(INDEX(PCScale,$N697)=0,"",INDEX(PCScale,$N697)),"")</f>
        <v/>
      </c>
      <c r="G697" s="19">
        <f>IF($N697&lt;&gt;"",IF(INDEX(PCBaskets,$N697)=0,"",INDEX(PCBaskets,$N697)),"")</f>
        <v/>
      </c>
      <c r="H697" s="20">
        <f>IF($N697&lt;&gt;"",IF(INDEX(PCNet,$N697)=0,"",INDEX(PCNet,$N697)),"")</f>
        <v/>
      </c>
      <c r="I697" s="19">
        <f>IF($N697&lt;&gt;"",IF(INDEX(PCOp,$N697)="مرجوعی خرید","",IF(INDEX(PCAmount,$N697)&lt;=0,"",INDEX(PCAmount,$N697))),IF($O697&lt;&gt;"",IF(INDEX(TxnDepB,$O697)=0,"",INDEX(TxnDepB,$O697)),""))</f>
        <v/>
      </c>
      <c r="J697" s="19">
        <f>IF($N697&lt;&gt;"",IF(INDEX(PCOp,$N697)="مرجوعی خرید",IF(INDEX(PCAmount,$N697)=0,"",-INDEX(PCAmount,$N697)),""),IF($O697&lt;&gt;"",IF(INDEX(TxnWitB,$O697)=0,"",INDEX(TxnWitB,$O697)),""))</f>
        <v/>
      </c>
      <c r="K697" s="21">
        <f>IF($B697="","",IF($K696="",$C$10,$K696)+IF($I697="",0,$I697)-IF($J697="",0,$J697))</f>
        <v/>
      </c>
      <c r="L697" s="22">
        <f>IF($N697&lt;&gt;"",IF(INDEX(PCNotes,$N697)="","—",INDEX(PCNotes,$N697)),IF($O697&lt;&gt;"",IF(INDEX(LdgNoteB,$O697)="","—",INDEX(LdgNoteB,$O697)),""))</f>
        <v/>
      </c>
      <c r="N697">
        <f>IFERROR(MATCH($C$5&amp;"|"&amp;RIGHT("000000"&amp;681,6),LdgRankKeyA,0),"")</f>
        <v/>
      </c>
      <c r="O697">
        <f>IFERROR(MATCH($C$5&amp;"|"&amp;RIGHT("000000"&amp;681,6),LdgRankKeyB,0),"")</f>
        <v/>
      </c>
    </row>
    <row r="698">
      <c r="A698" s="23" t="n">
        <v>682</v>
      </c>
      <c r="B698" s="24">
        <f>IF(AND($N698="",$O698=""),"",IF($N698&lt;&gt;"",INDEX(PCNormDate,$N698),INDEX(LdgDateB,$O698)))</f>
        <v/>
      </c>
      <c r="C698" s="24">
        <f>IF($N698&lt;&gt;"",INDEX(PCOp,$N698),IF($O698&lt;&gt;"",IF(N(INDEX(TxnDepB,$O698))&gt;0,"دریافت بانکی","پرداخت بانکی"),""))</f>
        <v/>
      </c>
      <c r="D698" s="24">
        <f>IF($N698&lt;&gt;"",IF(INDEX(PCDoc,$N698)="","—",INDEX(PCDoc,$N698)),IF($O698&lt;&gt;"",INDEX(LdgBankB,$O698),""))</f>
        <v/>
      </c>
      <c r="E698" s="24">
        <f>IF($N698&lt;&gt;"",IF(INDEX(PCCitrus,$N698)="","—",INDEX(PCCitrus,$N698)),"")</f>
        <v/>
      </c>
      <c r="F698" s="25">
        <f>IF($N698&lt;&gt;"",IF(INDEX(PCScale,$N698)=0,"",INDEX(PCScale,$N698)),"")</f>
        <v/>
      </c>
      <c r="G698" s="25">
        <f>IF($N698&lt;&gt;"",IF(INDEX(PCBaskets,$N698)=0,"",INDEX(PCBaskets,$N698)),"")</f>
        <v/>
      </c>
      <c r="H698" s="26">
        <f>IF($N698&lt;&gt;"",IF(INDEX(PCNet,$N698)=0,"",INDEX(PCNet,$N698)),"")</f>
        <v/>
      </c>
      <c r="I698" s="25">
        <f>IF($N698&lt;&gt;"",IF(INDEX(PCOp,$N698)="مرجوعی خرید","",IF(INDEX(PCAmount,$N698)&lt;=0,"",INDEX(PCAmount,$N698))),IF($O698&lt;&gt;"",IF(INDEX(TxnDepB,$O698)=0,"",INDEX(TxnDepB,$O698)),""))</f>
        <v/>
      </c>
      <c r="J698" s="25">
        <f>IF($N698&lt;&gt;"",IF(INDEX(PCOp,$N698)="مرجوعی خرید",IF(INDEX(PCAmount,$N698)=0,"",-INDEX(PCAmount,$N698)),""),IF($O698&lt;&gt;"",IF(INDEX(TxnWitB,$O698)=0,"",INDEX(TxnWitB,$O698)),""))</f>
        <v/>
      </c>
      <c r="K698" s="27">
        <f>IF($B698="","",IF($K697="",$C$10,$K697)+IF($I698="",0,$I698)-IF($J698="",0,$J698))</f>
        <v/>
      </c>
      <c r="L698" s="28">
        <f>IF($N698&lt;&gt;"",IF(INDEX(PCNotes,$N698)="","—",INDEX(PCNotes,$N698)),IF($O698&lt;&gt;"",IF(INDEX(LdgNoteB,$O698)="","—",INDEX(LdgNoteB,$O698)),""))</f>
        <v/>
      </c>
      <c r="N698">
        <f>IFERROR(MATCH($C$5&amp;"|"&amp;RIGHT("000000"&amp;682,6),LdgRankKeyA,0),"")</f>
        <v/>
      </c>
      <c r="O698">
        <f>IFERROR(MATCH($C$5&amp;"|"&amp;RIGHT("000000"&amp;682,6),LdgRankKeyB,0),"")</f>
        <v/>
      </c>
    </row>
    <row r="699">
      <c r="A699" s="17" t="n">
        <v>683</v>
      </c>
      <c r="B699" s="18">
        <f>IF(AND($N699="",$O699=""),"",IF($N699&lt;&gt;"",INDEX(PCNormDate,$N699),INDEX(LdgDateB,$O699)))</f>
        <v/>
      </c>
      <c r="C699" s="18">
        <f>IF($N699&lt;&gt;"",INDEX(PCOp,$N699),IF($O699&lt;&gt;"",IF(N(INDEX(TxnDepB,$O699))&gt;0,"دریافت بانکی","پرداخت بانکی"),""))</f>
        <v/>
      </c>
      <c r="D699" s="18">
        <f>IF($N699&lt;&gt;"",IF(INDEX(PCDoc,$N699)="","—",INDEX(PCDoc,$N699)),IF($O699&lt;&gt;"",INDEX(LdgBankB,$O699),""))</f>
        <v/>
      </c>
      <c r="E699" s="18">
        <f>IF($N699&lt;&gt;"",IF(INDEX(PCCitrus,$N699)="","—",INDEX(PCCitrus,$N699)),"")</f>
        <v/>
      </c>
      <c r="F699" s="19">
        <f>IF($N699&lt;&gt;"",IF(INDEX(PCScale,$N699)=0,"",INDEX(PCScale,$N699)),"")</f>
        <v/>
      </c>
      <c r="G699" s="19">
        <f>IF($N699&lt;&gt;"",IF(INDEX(PCBaskets,$N699)=0,"",INDEX(PCBaskets,$N699)),"")</f>
        <v/>
      </c>
      <c r="H699" s="20">
        <f>IF($N699&lt;&gt;"",IF(INDEX(PCNet,$N699)=0,"",INDEX(PCNet,$N699)),"")</f>
        <v/>
      </c>
      <c r="I699" s="19">
        <f>IF($N699&lt;&gt;"",IF(INDEX(PCOp,$N699)="مرجوعی خرید","",IF(INDEX(PCAmount,$N699)&lt;=0,"",INDEX(PCAmount,$N699))),IF($O699&lt;&gt;"",IF(INDEX(TxnDepB,$O699)=0,"",INDEX(TxnDepB,$O699)),""))</f>
        <v/>
      </c>
      <c r="J699" s="19">
        <f>IF($N699&lt;&gt;"",IF(INDEX(PCOp,$N699)="مرجوعی خرید",IF(INDEX(PCAmount,$N699)=0,"",-INDEX(PCAmount,$N699)),""),IF($O699&lt;&gt;"",IF(INDEX(TxnWitB,$O699)=0,"",INDEX(TxnWitB,$O699)),""))</f>
        <v/>
      </c>
      <c r="K699" s="21">
        <f>IF($B699="","",IF($K698="",$C$10,$K698)+IF($I699="",0,$I699)-IF($J699="",0,$J699))</f>
        <v/>
      </c>
      <c r="L699" s="22">
        <f>IF($N699&lt;&gt;"",IF(INDEX(PCNotes,$N699)="","—",INDEX(PCNotes,$N699)),IF($O699&lt;&gt;"",IF(INDEX(LdgNoteB,$O699)="","—",INDEX(LdgNoteB,$O699)),""))</f>
        <v/>
      </c>
      <c r="N699">
        <f>IFERROR(MATCH($C$5&amp;"|"&amp;RIGHT("000000"&amp;683,6),LdgRankKeyA,0),"")</f>
        <v/>
      </c>
      <c r="O699">
        <f>IFERROR(MATCH($C$5&amp;"|"&amp;RIGHT("000000"&amp;683,6),LdgRankKeyB,0),"")</f>
        <v/>
      </c>
    </row>
    <row r="700">
      <c r="A700" s="23" t="n">
        <v>684</v>
      </c>
      <c r="B700" s="24">
        <f>IF(AND($N700="",$O700=""),"",IF($N700&lt;&gt;"",INDEX(PCNormDate,$N700),INDEX(LdgDateB,$O700)))</f>
        <v/>
      </c>
      <c r="C700" s="24">
        <f>IF($N700&lt;&gt;"",INDEX(PCOp,$N700),IF($O700&lt;&gt;"",IF(N(INDEX(TxnDepB,$O700))&gt;0,"دریافت بانکی","پرداخت بانکی"),""))</f>
        <v/>
      </c>
      <c r="D700" s="24">
        <f>IF($N700&lt;&gt;"",IF(INDEX(PCDoc,$N700)="","—",INDEX(PCDoc,$N700)),IF($O700&lt;&gt;"",INDEX(LdgBankB,$O700),""))</f>
        <v/>
      </c>
      <c r="E700" s="24">
        <f>IF($N700&lt;&gt;"",IF(INDEX(PCCitrus,$N700)="","—",INDEX(PCCitrus,$N700)),"")</f>
        <v/>
      </c>
      <c r="F700" s="25">
        <f>IF($N700&lt;&gt;"",IF(INDEX(PCScale,$N700)=0,"",INDEX(PCScale,$N700)),"")</f>
        <v/>
      </c>
      <c r="G700" s="25">
        <f>IF($N700&lt;&gt;"",IF(INDEX(PCBaskets,$N700)=0,"",INDEX(PCBaskets,$N700)),"")</f>
        <v/>
      </c>
      <c r="H700" s="26">
        <f>IF($N700&lt;&gt;"",IF(INDEX(PCNet,$N700)=0,"",INDEX(PCNet,$N700)),"")</f>
        <v/>
      </c>
      <c r="I700" s="25">
        <f>IF($N700&lt;&gt;"",IF(INDEX(PCOp,$N700)="مرجوعی خرید","",IF(INDEX(PCAmount,$N700)&lt;=0,"",INDEX(PCAmount,$N700))),IF($O700&lt;&gt;"",IF(INDEX(TxnDepB,$O700)=0,"",INDEX(TxnDepB,$O700)),""))</f>
        <v/>
      </c>
      <c r="J700" s="25">
        <f>IF($N700&lt;&gt;"",IF(INDEX(PCOp,$N700)="مرجوعی خرید",IF(INDEX(PCAmount,$N700)=0,"",-INDEX(PCAmount,$N700)),""),IF($O700&lt;&gt;"",IF(INDEX(TxnWitB,$O700)=0,"",INDEX(TxnWitB,$O700)),""))</f>
        <v/>
      </c>
      <c r="K700" s="27">
        <f>IF($B700="","",IF($K699="",$C$10,$K699)+IF($I700="",0,$I700)-IF($J700="",0,$J700))</f>
        <v/>
      </c>
      <c r="L700" s="28">
        <f>IF($N700&lt;&gt;"",IF(INDEX(PCNotes,$N700)="","—",INDEX(PCNotes,$N700)),IF($O700&lt;&gt;"",IF(INDEX(LdgNoteB,$O700)="","—",INDEX(LdgNoteB,$O700)),""))</f>
        <v/>
      </c>
      <c r="N700">
        <f>IFERROR(MATCH($C$5&amp;"|"&amp;RIGHT("000000"&amp;684,6),LdgRankKeyA,0),"")</f>
        <v/>
      </c>
      <c r="O700">
        <f>IFERROR(MATCH($C$5&amp;"|"&amp;RIGHT("000000"&amp;684,6),LdgRankKeyB,0),"")</f>
        <v/>
      </c>
    </row>
    <row r="701">
      <c r="A701" s="17" t="n">
        <v>685</v>
      </c>
      <c r="B701" s="18">
        <f>IF(AND($N701="",$O701=""),"",IF($N701&lt;&gt;"",INDEX(PCNormDate,$N701),INDEX(LdgDateB,$O701)))</f>
        <v/>
      </c>
      <c r="C701" s="18">
        <f>IF($N701&lt;&gt;"",INDEX(PCOp,$N701),IF($O701&lt;&gt;"",IF(N(INDEX(TxnDepB,$O701))&gt;0,"دریافت بانکی","پرداخت بانکی"),""))</f>
        <v/>
      </c>
      <c r="D701" s="18">
        <f>IF($N701&lt;&gt;"",IF(INDEX(PCDoc,$N701)="","—",INDEX(PCDoc,$N701)),IF($O701&lt;&gt;"",INDEX(LdgBankB,$O701),""))</f>
        <v/>
      </c>
      <c r="E701" s="18">
        <f>IF($N701&lt;&gt;"",IF(INDEX(PCCitrus,$N701)="","—",INDEX(PCCitrus,$N701)),"")</f>
        <v/>
      </c>
      <c r="F701" s="19">
        <f>IF($N701&lt;&gt;"",IF(INDEX(PCScale,$N701)=0,"",INDEX(PCScale,$N701)),"")</f>
        <v/>
      </c>
      <c r="G701" s="19">
        <f>IF($N701&lt;&gt;"",IF(INDEX(PCBaskets,$N701)=0,"",INDEX(PCBaskets,$N701)),"")</f>
        <v/>
      </c>
      <c r="H701" s="20">
        <f>IF($N701&lt;&gt;"",IF(INDEX(PCNet,$N701)=0,"",INDEX(PCNet,$N701)),"")</f>
        <v/>
      </c>
      <c r="I701" s="19">
        <f>IF($N701&lt;&gt;"",IF(INDEX(PCOp,$N701)="مرجوعی خرید","",IF(INDEX(PCAmount,$N701)&lt;=0,"",INDEX(PCAmount,$N701))),IF($O701&lt;&gt;"",IF(INDEX(TxnDepB,$O701)=0,"",INDEX(TxnDepB,$O701)),""))</f>
        <v/>
      </c>
      <c r="J701" s="19">
        <f>IF($N701&lt;&gt;"",IF(INDEX(PCOp,$N701)="مرجوعی خرید",IF(INDEX(PCAmount,$N701)=0,"",-INDEX(PCAmount,$N701)),""),IF($O701&lt;&gt;"",IF(INDEX(TxnWitB,$O701)=0,"",INDEX(TxnWitB,$O701)),""))</f>
        <v/>
      </c>
      <c r="K701" s="21">
        <f>IF($B701="","",IF($K700="",$C$10,$K700)+IF($I701="",0,$I701)-IF($J701="",0,$J701))</f>
        <v/>
      </c>
      <c r="L701" s="22">
        <f>IF($N701&lt;&gt;"",IF(INDEX(PCNotes,$N701)="","—",INDEX(PCNotes,$N701)),IF($O701&lt;&gt;"",IF(INDEX(LdgNoteB,$O701)="","—",INDEX(LdgNoteB,$O701)),""))</f>
        <v/>
      </c>
      <c r="N701">
        <f>IFERROR(MATCH($C$5&amp;"|"&amp;RIGHT("000000"&amp;685,6),LdgRankKeyA,0),"")</f>
        <v/>
      </c>
      <c r="O701">
        <f>IFERROR(MATCH($C$5&amp;"|"&amp;RIGHT("000000"&amp;685,6),LdgRankKeyB,0),"")</f>
        <v/>
      </c>
    </row>
    <row r="702">
      <c r="A702" s="23" t="n">
        <v>686</v>
      </c>
      <c r="B702" s="24">
        <f>IF(AND($N702="",$O702=""),"",IF($N702&lt;&gt;"",INDEX(PCNormDate,$N702),INDEX(LdgDateB,$O702)))</f>
        <v/>
      </c>
      <c r="C702" s="24">
        <f>IF($N702&lt;&gt;"",INDEX(PCOp,$N702),IF($O702&lt;&gt;"",IF(N(INDEX(TxnDepB,$O702))&gt;0,"دریافت بانکی","پرداخت بانکی"),""))</f>
        <v/>
      </c>
      <c r="D702" s="24">
        <f>IF($N702&lt;&gt;"",IF(INDEX(PCDoc,$N702)="","—",INDEX(PCDoc,$N702)),IF($O702&lt;&gt;"",INDEX(LdgBankB,$O702),""))</f>
        <v/>
      </c>
      <c r="E702" s="24">
        <f>IF($N702&lt;&gt;"",IF(INDEX(PCCitrus,$N702)="","—",INDEX(PCCitrus,$N702)),"")</f>
        <v/>
      </c>
      <c r="F702" s="25">
        <f>IF($N702&lt;&gt;"",IF(INDEX(PCScale,$N702)=0,"",INDEX(PCScale,$N702)),"")</f>
        <v/>
      </c>
      <c r="G702" s="25">
        <f>IF($N702&lt;&gt;"",IF(INDEX(PCBaskets,$N702)=0,"",INDEX(PCBaskets,$N702)),"")</f>
        <v/>
      </c>
      <c r="H702" s="26">
        <f>IF($N702&lt;&gt;"",IF(INDEX(PCNet,$N702)=0,"",INDEX(PCNet,$N702)),"")</f>
        <v/>
      </c>
      <c r="I702" s="25">
        <f>IF($N702&lt;&gt;"",IF(INDEX(PCOp,$N702)="مرجوعی خرید","",IF(INDEX(PCAmount,$N702)&lt;=0,"",INDEX(PCAmount,$N702))),IF($O702&lt;&gt;"",IF(INDEX(TxnDepB,$O702)=0,"",INDEX(TxnDepB,$O702)),""))</f>
        <v/>
      </c>
      <c r="J702" s="25">
        <f>IF($N702&lt;&gt;"",IF(INDEX(PCOp,$N702)="مرجوعی خرید",IF(INDEX(PCAmount,$N702)=0,"",-INDEX(PCAmount,$N702)),""),IF($O702&lt;&gt;"",IF(INDEX(TxnWitB,$O702)=0,"",INDEX(TxnWitB,$O702)),""))</f>
        <v/>
      </c>
      <c r="K702" s="27">
        <f>IF($B702="","",IF($K701="",$C$10,$K701)+IF($I702="",0,$I702)-IF($J702="",0,$J702))</f>
        <v/>
      </c>
      <c r="L702" s="28">
        <f>IF($N702&lt;&gt;"",IF(INDEX(PCNotes,$N702)="","—",INDEX(PCNotes,$N702)),IF($O702&lt;&gt;"",IF(INDEX(LdgNoteB,$O702)="","—",INDEX(LdgNoteB,$O702)),""))</f>
        <v/>
      </c>
      <c r="N702">
        <f>IFERROR(MATCH($C$5&amp;"|"&amp;RIGHT("000000"&amp;686,6),LdgRankKeyA,0),"")</f>
        <v/>
      </c>
      <c r="O702">
        <f>IFERROR(MATCH($C$5&amp;"|"&amp;RIGHT("000000"&amp;686,6),LdgRankKeyB,0),"")</f>
        <v/>
      </c>
    </row>
    <row r="703">
      <c r="A703" s="17" t="n">
        <v>687</v>
      </c>
      <c r="B703" s="18">
        <f>IF(AND($N703="",$O703=""),"",IF($N703&lt;&gt;"",INDEX(PCNormDate,$N703),INDEX(LdgDateB,$O703)))</f>
        <v/>
      </c>
      <c r="C703" s="18">
        <f>IF($N703&lt;&gt;"",INDEX(PCOp,$N703),IF($O703&lt;&gt;"",IF(N(INDEX(TxnDepB,$O703))&gt;0,"دریافت بانکی","پرداخت بانکی"),""))</f>
        <v/>
      </c>
      <c r="D703" s="18">
        <f>IF($N703&lt;&gt;"",IF(INDEX(PCDoc,$N703)="","—",INDEX(PCDoc,$N703)),IF($O703&lt;&gt;"",INDEX(LdgBankB,$O703),""))</f>
        <v/>
      </c>
      <c r="E703" s="18">
        <f>IF($N703&lt;&gt;"",IF(INDEX(PCCitrus,$N703)="","—",INDEX(PCCitrus,$N703)),"")</f>
        <v/>
      </c>
      <c r="F703" s="19">
        <f>IF($N703&lt;&gt;"",IF(INDEX(PCScale,$N703)=0,"",INDEX(PCScale,$N703)),"")</f>
        <v/>
      </c>
      <c r="G703" s="19">
        <f>IF($N703&lt;&gt;"",IF(INDEX(PCBaskets,$N703)=0,"",INDEX(PCBaskets,$N703)),"")</f>
        <v/>
      </c>
      <c r="H703" s="20">
        <f>IF($N703&lt;&gt;"",IF(INDEX(PCNet,$N703)=0,"",INDEX(PCNet,$N703)),"")</f>
        <v/>
      </c>
      <c r="I703" s="19">
        <f>IF($N703&lt;&gt;"",IF(INDEX(PCOp,$N703)="مرجوعی خرید","",IF(INDEX(PCAmount,$N703)&lt;=0,"",INDEX(PCAmount,$N703))),IF($O703&lt;&gt;"",IF(INDEX(TxnDepB,$O703)=0,"",INDEX(TxnDepB,$O703)),""))</f>
        <v/>
      </c>
      <c r="J703" s="19">
        <f>IF($N703&lt;&gt;"",IF(INDEX(PCOp,$N703)="مرجوعی خرید",IF(INDEX(PCAmount,$N703)=0,"",-INDEX(PCAmount,$N703)),""),IF($O703&lt;&gt;"",IF(INDEX(TxnWitB,$O703)=0,"",INDEX(TxnWitB,$O703)),""))</f>
        <v/>
      </c>
      <c r="K703" s="21">
        <f>IF($B703="","",IF($K702="",$C$10,$K702)+IF($I703="",0,$I703)-IF($J703="",0,$J703))</f>
        <v/>
      </c>
      <c r="L703" s="22">
        <f>IF($N703&lt;&gt;"",IF(INDEX(PCNotes,$N703)="","—",INDEX(PCNotes,$N703)),IF($O703&lt;&gt;"",IF(INDEX(LdgNoteB,$O703)="","—",INDEX(LdgNoteB,$O703)),""))</f>
        <v/>
      </c>
      <c r="N703">
        <f>IFERROR(MATCH($C$5&amp;"|"&amp;RIGHT("000000"&amp;687,6),LdgRankKeyA,0),"")</f>
        <v/>
      </c>
      <c r="O703">
        <f>IFERROR(MATCH($C$5&amp;"|"&amp;RIGHT("000000"&amp;687,6),LdgRankKeyB,0),"")</f>
        <v/>
      </c>
    </row>
    <row r="704">
      <c r="A704" s="23" t="n">
        <v>688</v>
      </c>
      <c r="B704" s="24">
        <f>IF(AND($N704="",$O704=""),"",IF($N704&lt;&gt;"",INDEX(PCNormDate,$N704),INDEX(LdgDateB,$O704)))</f>
        <v/>
      </c>
      <c r="C704" s="24">
        <f>IF($N704&lt;&gt;"",INDEX(PCOp,$N704),IF($O704&lt;&gt;"",IF(N(INDEX(TxnDepB,$O704))&gt;0,"دریافت بانکی","پرداخت بانکی"),""))</f>
        <v/>
      </c>
      <c r="D704" s="24">
        <f>IF($N704&lt;&gt;"",IF(INDEX(PCDoc,$N704)="","—",INDEX(PCDoc,$N704)),IF($O704&lt;&gt;"",INDEX(LdgBankB,$O704),""))</f>
        <v/>
      </c>
      <c r="E704" s="24">
        <f>IF($N704&lt;&gt;"",IF(INDEX(PCCitrus,$N704)="","—",INDEX(PCCitrus,$N704)),"")</f>
        <v/>
      </c>
      <c r="F704" s="25">
        <f>IF($N704&lt;&gt;"",IF(INDEX(PCScale,$N704)=0,"",INDEX(PCScale,$N704)),"")</f>
        <v/>
      </c>
      <c r="G704" s="25">
        <f>IF($N704&lt;&gt;"",IF(INDEX(PCBaskets,$N704)=0,"",INDEX(PCBaskets,$N704)),"")</f>
        <v/>
      </c>
      <c r="H704" s="26">
        <f>IF($N704&lt;&gt;"",IF(INDEX(PCNet,$N704)=0,"",INDEX(PCNet,$N704)),"")</f>
        <v/>
      </c>
      <c r="I704" s="25">
        <f>IF($N704&lt;&gt;"",IF(INDEX(PCOp,$N704)="مرجوعی خرید","",IF(INDEX(PCAmount,$N704)&lt;=0,"",INDEX(PCAmount,$N704))),IF($O704&lt;&gt;"",IF(INDEX(TxnDepB,$O704)=0,"",INDEX(TxnDepB,$O704)),""))</f>
        <v/>
      </c>
      <c r="J704" s="25">
        <f>IF($N704&lt;&gt;"",IF(INDEX(PCOp,$N704)="مرجوعی خرید",IF(INDEX(PCAmount,$N704)=0,"",-INDEX(PCAmount,$N704)),""),IF($O704&lt;&gt;"",IF(INDEX(TxnWitB,$O704)=0,"",INDEX(TxnWitB,$O704)),""))</f>
        <v/>
      </c>
      <c r="K704" s="27">
        <f>IF($B704="","",IF($K703="",$C$10,$K703)+IF($I704="",0,$I704)-IF($J704="",0,$J704))</f>
        <v/>
      </c>
      <c r="L704" s="28">
        <f>IF($N704&lt;&gt;"",IF(INDEX(PCNotes,$N704)="","—",INDEX(PCNotes,$N704)),IF($O704&lt;&gt;"",IF(INDEX(LdgNoteB,$O704)="","—",INDEX(LdgNoteB,$O704)),""))</f>
        <v/>
      </c>
      <c r="N704">
        <f>IFERROR(MATCH($C$5&amp;"|"&amp;RIGHT("000000"&amp;688,6),LdgRankKeyA,0),"")</f>
        <v/>
      </c>
      <c r="O704">
        <f>IFERROR(MATCH($C$5&amp;"|"&amp;RIGHT("000000"&amp;688,6),LdgRankKeyB,0),"")</f>
        <v/>
      </c>
    </row>
    <row r="705">
      <c r="A705" s="17" t="n">
        <v>689</v>
      </c>
      <c r="B705" s="18">
        <f>IF(AND($N705="",$O705=""),"",IF($N705&lt;&gt;"",INDEX(PCNormDate,$N705),INDEX(LdgDateB,$O705)))</f>
        <v/>
      </c>
      <c r="C705" s="18">
        <f>IF($N705&lt;&gt;"",INDEX(PCOp,$N705),IF($O705&lt;&gt;"",IF(N(INDEX(TxnDepB,$O705))&gt;0,"دریافت بانکی","پرداخت بانکی"),""))</f>
        <v/>
      </c>
      <c r="D705" s="18">
        <f>IF($N705&lt;&gt;"",IF(INDEX(PCDoc,$N705)="","—",INDEX(PCDoc,$N705)),IF($O705&lt;&gt;"",INDEX(LdgBankB,$O705),""))</f>
        <v/>
      </c>
      <c r="E705" s="18">
        <f>IF($N705&lt;&gt;"",IF(INDEX(PCCitrus,$N705)="","—",INDEX(PCCitrus,$N705)),"")</f>
        <v/>
      </c>
      <c r="F705" s="19">
        <f>IF($N705&lt;&gt;"",IF(INDEX(PCScale,$N705)=0,"",INDEX(PCScale,$N705)),"")</f>
        <v/>
      </c>
      <c r="G705" s="19">
        <f>IF($N705&lt;&gt;"",IF(INDEX(PCBaskets,$N705)=0,"",INDEX(PCBaskets,$N705)),"")</f>
        <v/>
      </c>
      <c r="H705" s="20">
        <f>IF($N705&lt;&gt;"",IF(INDEX(PCNet,$N705)=0,"",INDEX(PCNet,$N705)),"")</f>
        <v/>
      </c>
      <c r="I705" s="19">
        <f>IF($N705&lt;&gt;"",IF(INDEX(PCOp,$N705)="مرجوعی خرید","",IF(INDEX(PCAmount,$N705)&lt;=0,"",INDEX(PCAmount,$N705))),IF($O705&lt;&gt;"",IF(INDEX(TxnDepB,$O705)=0,"",INDEX(TxnDepB,$O705)),""))</f>
        <v/>
      </c>
      <c r="J705" s="19">
        <f>IF($N705&lt;&gt;"",IF(INDEX(PCOp,$N705)="مرجوعی خرید",IF(INDEX(PCAmount,$N705)=0,"",-INDEX(PCAmount,$N705)),""),IF($O705&lt;&gt;"",IF(INDEX(TxnWitB,$O705)=0,"",INDEX(TxnWitB,$O705)),""))</f>
        <v/>
      </c>
      <c r="K705" s="21">
        <f>IF($B705="","",IF($K704="",$C$10,$K704)+IF($I705="",0,$I705)-IF($J705="",0,$J705))</f>
        <v/>
      </c>
      <c r="L705" s="22">
        <f>IF($N705&lt;&gt;"",IF(INDEX(PCNotes,$N705)="","—",INDEX(PCNotes,$N705)),IF($O705&lt;&gt;"",IF(INDEX(LdgNoteB,$O705)="","—",INDEX(LdgNoteB,$O705)),""))</f>
        <v/>
      </c>
      <c r="N705">
        <f>IFERROR(MATCH($C$5&amp;"|"&amp;RIGHT("000000"&amp;689,6),LdgRankKeyA,0),"")</f>
        <v/>
      </c>
      <c r="O705">
        <f>IFERROR(MATCH($C$5&amp;"|"&amp;RIGHT("000000"&amp;689,6),LdgRankKeyB,0),"")</f>
        <v/>
      </c>
    </row>
    <row r="706">
      <c r="A706" s="23" t="n">
        <v>690</v>
      </c>
      <c r="B706" s="24">
        <f>IF(AND($N706="",$O706=""),"",IF($N706&lt;&gt;"",INDEX(PCNormDate,$N706),INDEX(LdgDateB,$O706)))</f>
        <v/>
      </c>
      <c r="C706" s="24">
        <f>IF($N706&lt;&gt;"",INDEX(PCOp,$N706),IF($O706&lt;&gt;"",IF(N(INDEX(TxnDepB,$O706))&gt;0,"دریافت بانکی","پرداخت بانکی"),""))</f>
        <v/>
      </c>
      <c r="D706" s="24">
        <f>IF($N706&lt;&gt;"",IF(INDEX(PCDoc,$N706)="","—",INDEX(PCDoc,$N706)),IF($O706&lt;&gt;"",INDEX(LdgBankB,$O706),""))</f>
        <v/>
      </c>
      <c r="E706" s="24">
        <f>IF($N706&lt;&gt;"",IF(INDEX(PCCitrus,$N706)="","—",INDEX(PCCitrus,$N706)),"")</f>
        <v/>
      </c>
      <c r="F706" s="25">
        <f>IF($N706&lt;&gt;"",IF(INDEX(PCScale,$N706)=0,"",INDEX(PCScale,$N706)),"")</f>
        <v/>
      </c>
      <c r="G706" s="25">
        <f>IF($N706&lt;&gt;"",IF(INDEX(PCBaskets,$N706)=0,"",INDEX(PCBaskets,$N706)),"")</f>
        <v/>
      </c>
      <c r="H706" s="26">
        <f>IF($N706&lt;&gt;"",IF(INDEX(PCNet,$N706)=0,"",INDEX(PCNet,$N706)),"")</f>
        <v/>
      </c>
      <c r="I706" s="25">
        <f>IF($N706&lt;&gt;"",IF(INDEX(PCOp,$N706)="مرجوعی خرید","",IF(INDEX(PCAmount,$N706)&lt;=0,"",INDEX(PCAmount,$N706))),IF($O706&lt;&gt;"",IF(INDEX(TxnDepB,$O706)=0,"",INDEX(TxnDepB,$O706)),""))</f>
        <v/>
      </c>
      <c r="J706" s="25">
        <f>IF($N706&lt;&gt;"",IF(INDEX(PCOp,$N706)="مرجوعی خرید",IF(INDEX(PCAmount,$N706)=0,"",-INDEX(PCAmount,$N706)),""),IF($O706&lt;&gt;"",IF(INDEX(TxnWitB,$O706)=0,"",INDEX(TxnWitB,$O706)),""))</f>
        <v/>
      </c>
      <c r="K706" s="27">
        <f>IF($B706="","",IF($K705="",$C$10,$K705)+IF($I706="",0,$I706)-IF($J706="",0,$J706))</f>
        <v/>
      </c>
      <c r="L706" s="28">
        <f>IF($N706&lt;&gt;"",IF(INDEX(PCNotes,$N706)="","—",INDEX(PCNotes,$N706)),IF($O706&lt;&gt;"",IF(INDEX(LdgNoteB,$O706)="","—",INDEX(LdgNoteB,$O706)),""))</f>
        <v/>
      </c>
      <c r="N706">
        <f>IFERROR(MATCH($C$5&amp;"|"&amp;RIGHT("000000"&amp;690,6),LdgRankKeyA,0),"")</f>
        <v/>
      </c>
      <c r="O706">
        <f>IFERROR(MATCH($C$5&amp;"|"&amp;RIGHT("000000"&amp;690,6),LdgRankKeyB,0),"")</f>
        <v/>
      </c>
    </row>
    <row r="707">
      <c r="A707" s="17" t="n">
        <v>691</v>
      </c>
      <c r="B707" s="18">
        <f>IF(AND($N707="",$O707=""),"",IF($N707&lt;&gt;"",INDEX(PCNormDate,$N707),INDEX(LdgDateB,$O707)))</f>
        <v/>
      </c>
      <c r="C707" s="18">
        <f>IF($N707&lt;&gt;"",INDEX(PCOp,$N707),IF($O707&lt;&gt;"",IF(N(INDEX(TxnDepB,$O707))&gt;0,"دریافت بانکی","پرداخت بانکی"),""))</f>
        <v/>
      </c>
      <c r="D707" s="18">
        <f>IF($N707&lt;&gt;"",IF(INDEX(PCDoc,$N707)="","—",INDEX(PCDoc,$N707)),IF($O707&lt;&gt;"",INDEX(LdgBankB,$O707),""))</f>
        <v/>
      </c>
      <c r="E707" s="18">
        <f>IF($N707&lt;&gt;"",IF(INDEX(PCCitrus,$N707)="","—",INDEX(PCCitrus,$N707)),"")</f>
        <v/>
      </c>
      <c r="F707" s="19">
        <f>IF($N707&lt;&gt;"",IF(INDEX(PCScale,$N707)=0,"",INDEX(PCScale,$N707)),"")</f>
        <v/>
      </c>
      <c r="G707" s="19">
        <f>IF($N707&lt;&gt;"",IF(INDEX(PCBaskets,$N707)=0,"",INDEX(PCBaskets,$N707)),"")</f>
        <v/>
      </c>
      <c r="H707" s="20">
        <f>IF($N707&lt;&gt;"",IF(INDEX(PCNet,$N707)=0,"",INDEX(PCNet,$N707)),"")</f>
        <v/>
      </c>
      <c r="I707" s="19">
        <f>IF($N707&lt;&gt;"",IF(INDEX(PCOp,$N707)="مرجوعی خرید","",IF(INDEX(PCAmount,$N707)&lt;=0,"",INDEX(PCAmount,$N707))),IF($O707&lt;&gt;"",IF(INDEX(TxnDepB,$O707)=0,"",INDEX(TxnDepB,$O707)),""))</f>
        <v/>
      </c>
      <c r="J707" s="19">
        <f>IF($N707&lt;&gt;"",IF(INDEX(PCOp,$N707)="مرجوعی خرید",IF(INDEX(PCAmount,$N707)=0,"",-INDEX(PCAmount,$N707)),""),IF($O707&lt;&gt;"",IF(INDEX(TxnWitB,$O707)=0,"",INDEX(TxnWitB,$O707)),""))</f>
        <v/>
      </c>
      <c r="K707" s="21">
        <f>IF($B707="","",IF($K706="",$C$10,$K706)+IF($I707="",0,$I707)-IF($J707="",0,$J707))</f>
        <v/>
      </c>
      <c r="L707" s="22">
        <f>IF($N707&lt;&gt;"",IF(INDEX(PCNotes,$N707)="","—",INDEX(PCNotes,$N707)),IF($O707&lt;&gt;"",IF(INDEX(LdgNoteB,$O707)="","—",INDEX(LdgNoteB,$O707)),""))</f>
        <v/>
      </c>
      <c r="N707">
        <f>IFERROR(MATCH($C$5&amp;"|"&amp;RIGHT("000000"&amp;691,6),LdgRankKeyA,0),"")</f>
        <v/>
      </c>
      <c r="O707">
        <f>IFERROR(MATCH($C$5&amp;"|"&amp;RIGHT("000000"&amp;691,6),LdgRankKeyB,0),"")</f>
        <v/>
      </c>
    </row>
    <row r="708">
      <c r="A708" s="23" t="n">
        <v>692</v>
      </c>
      <c r="B708" s="24">
        <f>IF(AND($N708="",$O708=""),"",IF($N708&lt;&gt;"",INDEX(PCNormDate,$N708),INDEX(LdgDateB,$O708)))</f>
        <v/>
      </c>
      <c r="C708" s="24">
        <f>IF($N708&lt;&gt;"",INDEX(PCOp,$N708),IF($O708&lt;&gt;"",IF(N(INDEX(TxnDepB,$O708))&gt;0,"دریافت بانکی","پرداخت بانکی"),""))</f>
        <v/>
      </c>
      <c r="D708" s="24">
        <f>IF($N708&lt;&gt;"",IF(INDEX(PCDoc,$N708)="","—",INDEX(PCDoc,$N708)),IF($O708&lt;&gt;"",INDEX(LdgBankB,$O708),""))</f>
        <v/>
      </c>
      <c r="E708" s="24">
        <f>IF($N708&lt;&gt;"",IF(INDEX(PCCitrus,$N708)="","—",INDEX(PCCitrus,$N708)),"")</f>
        <v/>
      </c>
      <c r="F708" s="25">
        <f>IF($N708&lt;&gt;"",IF(INDEX(PCScale,$N708)=0,"",INDEX(PCScale,$N708)),"")</f>
        <v/>
      </c>
      <c r="G708" s="25">
        <f>IF($N708&lt;&gt;"",IF(INDEX(PCBaskets,$N708)=0,"",INDEX(PCBaskets,$N708)),"")</f>
        <v/>
      </c>
      <c r="H708" s="26">
        <f>IF($N708&lt;&gt;"",IF(INDEX(PCNet,$N708)=0,"",INDEX(PCNet,$N708)),"")</f>
        <v/>
      </c>
      <c r="I708" s="25">
        <f>IF($N708&lt;&gt;"",IF(INDEX(PCOp,$N708)="مرجوعی خرید","",IF(INDEX(PCAmount,$N708)&lt;=0,"",INDEX(PCAmount,$N708))),IF($O708&lt;&gt;"",IF(INDEX(TxnDepB,$O708)=0,"",INDEX(TxnDepB,$O708)),""))</f>
        <v/>
      </c>
      <c r="J708" s="25">
        <f>IF($N708&lt;&gt;"",IF(INDEX(PCOp,$N708)="مرجوعی خرید",IF(INDEX(PCAmount,$N708)=0,"",-INDEX(PCAmount,$N708)),""),IF($O708&lt;&gt;"",IF(INDEX(TxnWitB,$O708)=0,"",INDEX(TxnWitB,$O708)),""))</f>
        <v/>
      </c>
      <c r="K708" s="27">
        <f>IF($B708="","",IF($K707="",$C$10,$K707)+IF($I708="",0,$I708)-IF($J708="",0,$J708))</f>
        <v/>
      </c>
      <c r="L708" s="28">
        <f>IF($N708&lt;&gt;"",IF(INDEX(PCNotes,$N708)="","—",INDEX(PCNotes,$N708)),IF($O708&lt;&gt;"",IF(INDEX(LdgNoteB,$O708)="","—",INDEX(LdgNoteB,$O708)),""))</f>
        <v/>
      </c>
      <c r="N708">
        <f>IFERROR(MATCH($C$5&amp;"|"&amp;RIGHT("000000"&amp;692,6),LdgRankKeyA,0),"")</f>
        <v/>
      </c>
      <c r="O708">
        <f>IFERROR(MATCH($C$5&amp;"|"&amp;RIGHT("000000"&amp;692,6),LdgRankKeyB,0),"")</f>
        <v/>
      </c>
    </row>
    <row r="709">
      <c r="A709" s="17" t="n">
        <v>693</v>
      </c>
      <c r="B709" s="18">
        <f>IF(AND($N709="",$O709=""),"",IF($N709&lt;&gt;"",INDEX(PCNormDate,$N709),INDEX(LdgDateB,$O709)))</f>
        <v/>
      </c>
      <c r="C709" s="18">
        <f>IF($N709&lt;&gt;"",INDEX(PCOp,$N709),IF($O709&lt;&gt;"",IF(N(INDEX(TxnDepB,$O709))&gt;0,"دریافت بانکی","پرداخت بانکی"),""))</f>
        <v/>
      </c>
      <c r="D709" s="18">
        <f>IF($N709&lt;&gt;"",IF(INDEX(PCDoc,$N709)="","—",INDEX(PCDoc,$N709)),IF($O709&lt;&gt;"",INDEX(LdgBankB,$O709),""))</f>
        <v/>
      </c>
      <c r="E709" s="18">
        <f>IF($N709&lt;&gt;"",IF(INDEX(PCCitrus,$N709)="","—",INDEX(PCCitrus,$N709)),"")</f>
        <v/>
      </c>
      <c r="F709" s="19">
        <f>IF($N709&lt;&gt;"",IF(INDEX(PCScale,$N709)=0,"",INDEX(PCScale,$N709)),"")</f>
        <v/>
      </c>
      <c r="G709" s="19">
        <f>IF($N709&lt;&gt;"",IF(INDEX(PCBaskets,$N709)=0,"",INDEX(PCBaskets,$N709)),"")</f>
        <v/>
      </c>
      <c r="H709" s="20">
        <f>IF($N709&lt;&gt;"",IF(INDEX(PCNet,$N709)=0,"",INDEX(PCNet,$N709)),"")</f>
        <v/>
      </c>
      <c r="I709" s="19">
        <f>IF($N709&lt;&gt;"",IF(INDEX(PCOp,$N709)="مرجوعی خرید","",IF(INDEX(PCAmount,$N709)&lt;=0,"",INDEX(PCAmount,$N709))),IF($O709&lt;&gt;"",IF(INDEX(TxnDepB,$O709)=0,"",INDEX(TxnDepB,$O709)),""))</f>
        <v/>
      </c>
      <c r="J709" s="19">
        <f>IF($N709&lt;&gt;"",IF(INDEX(PCOp,$N709)="مرجوعی خرید",IF(INDEX(PCAmount,$N709)=0,"",-INDEX(PCAmount,$N709)),""),IF($O709&lt;&gt;"",IF(INDEX(TxnWitB,$O709)=0,"",INDEX(TxnWitB,$O709)),""))</f>
        <v/>
      </c>
      <c r="K709" s="21">
        <f>IF($B709="","",IF($K708="",$C$10,$K708)+IF($I709="",0,$I709)-IF($J709="",0,$J709))</f>
        <v/>
      </c>
      <c r="L709" s="22">
        <f>IF($N709&lt;&gt;"",IF(INDEX(PCNotes,$N709)="","—",INDEX(PCNotes,$N709)),IF($O709&lt;&gt;"",IF(INDEX(LdgNoteB,$O709)="","—",INDEX(LdgNoteB,$O709)),""))</f>
        <v/>
      </c>
      <c r="N709">
        <f>IFERROR(MATCH($C$5&amp;"|"&amp;RIGHT("000000"&amp;693,6),LdgRankKeyA,0),"")</f>
        <v/>
      </c>
      <c r="O709">
        <f>IFERROR(MATCH($C$5&amp;"|"&amp;RIGHT("000000"&amp;693,6),LdgRankKeyB,0),"")</f>
        <v/>
      </c>
    </row>
    <row r="710">
      <c r="A710" s="23" t="n">
        <v>694</v>
      </c>
      <c r="B710" s="24">
        <f>IF(AND($N710="",$O710=""),"",IF($N710&lt;&gt;"",INDEX(PCNormDate,$N710),INDEX(LdgDateB,$O710)))</f>
        <v/>
      </c>
      <c r="C710" s="24">
        <f>IF($N710&lt;&gt;"",INDEX(PCOp,$N710),IF($O710&lt;&gt;"",IF(N(INDEX(TxnDepB,$O710))&gt;0,"دریافت بانکی","پرداخت بانکی"),""))</f>
        <v/>
      </c>
      <c r="D710" s="24">
        <f>IF($N710&lt;&gt;"",IF(INDEX(PCDoc,$N710)="","—",INDEX(PCDoc,$N710)),IF($O710&lt;&gt;"",INDEX(LdgBankB,$O710),""))</f>
        <v/>
      </c>
      <c r="E710" s="24">
        <f>IF($N710&lt;&gt;"",IF(INDEX(PCCitrus,$N710)="","—",INDEX(PCCitrus,$N710)),"")</f>
        <v/>
      </c>
      <c r="F710" s="25">
        <f>IF($N710&lt;&gt;"",IF(INDEX(PCScale,$N710)=0,"",INDEX(PCScale,$N710)),"")</f>
        <v/>
      </c>
      <c r="G710" s="25">
        <f>IF($N710&lt;&gt;"",IF(INDEX(PCBaskets,$N710)=0,"",INDEX(PCBaskets,$N710)),"")</f>
        <v/>
      </c>
      <c r="H710" s="26">
        <f>IF($N710&lt;&gt;"",IF(INDEX(PCNet,$N710)=0,"",INDEX(PCNet,$N710)),"")</f>
        <v/>
      </c>
      <c r="I710" s="25">
        <f>IF($N710&lt;&gt;"",IF(INDEX(PCOp,$N710)="مرجوعی خرید","",IF(INDEX(PCAmount,$N710)&lt;=0,"",INDEX(PCAmount,$N710))),IF($O710&lt;&gt;"",IF(INDEX(TxnDepB,$O710)=0,"",INDEX(TxnDepB,$O710)),""))</f>
        <v/>
      </c>
      <c r="J710" s="25">
        <f>IF($N710&lt;&gt;"",IF(INDEX(PCOp,$N710)="مرجوعی خرید",IF(INDEX(PCAmount,$N710)=0,"",-INDEX(PCAmount,$N710)),""),IF($O710&lt;&gt;"",IF(INDEX(TxnWitB,$O710)=0,"",INDEX(TxnWitB,$O710)),""))</f>
        <v/>
      </c>
      <c r="K710" s="27">
        <f>IF($B710="","",IF($K709="",$C$10,$K709)+IF($I710="",0,$I710)-IF($J710="",0,$J710))</f>
        <v/>
      </c>
      <c r="L710" s="28">
        <f>IF($N710&lt;&gt;"",IF(INDEX(PCNotes,$N710)="","—",INDEX(PCNotes,$N710)),IF($O710&lt;&gt;"",IF(INDEX(LdgNoteB,$O710)="","—",INDEX(LdgNoteB,$O710)),""))</f>
        <v/>
      </c>
      <c r="N710">
        <f>IFERROR(MATCH($C$5&amp;"|"&amp;RIGHT("000000"&amp;694,6),LdgRankKeyA,0),"")</f>
        <v/>
      </c>
      <c r="O710">
        <f>IFERROR(MATCH($C$5&amp;"|"&amp;RIGHT("000000"&amp;694,6),LdgRankKeyB,0),"")</f>
        <v/>
      </c>
    </row>
    <row r="711">
      <c r="A711" s="17" t="n">
        <v>695</v>
      </c>
      <c r="B711" s="18">
        <f>IF(AND($N711="",$O711=""),"",IF($N711&lt;&gt;"",INDEX(PCNormDate,$N711),INDEX(LdgDateB,$O711)))</f>
        <v/>
      </c>
      <c r="C711" s="18">
        <f>IF($N711&lt;&gt;"",INDEX(PCOp,$N711),IF($O711&lt;&gt;"",IF(N(INDEX(TxnDepB,$O711))&gt;0,"دریافت بانکی","پرداخت بانکی"),""))</f>
        <v/>
      </c>
      <c r="D711" s="18">
        <f>IF($N711&lt;&gt;"",IF(INDEX(PCDoc,$N711)="","—",INDEX(PCDoc,$N711)),IF($O711&lt;&gt;"",INDEX(LdgBankB,$O711),""))</f>
        <v/>
      </c>
      <c r="E711" s="18">
        <f>IF($N711&lt;&gt;"",IF(INDEX(PCCitrus,$N711)="","—",INDEX(PCCitrus,$N711)),"")</f>
        <v/>
      </c>
      <c r="F711" s="19">
        <f>IF($N711&lt;&gt;"",IF(INDEX(PCScale,$N711)=0,"",INDEX(PCScale,$N711)),"")</f>
        <v/>
      </c>
      <c r="G711" s="19">
        <f>IF($N711&lt;&gt;"",IF(INDEX(PCBaskets,$N711)=0,"",INDEX(PCBaskets,$N711)),"")</f>
        <v/>
      </c>
      <c r="H711" s="20">
        <f>IF($N711&lt;&gt;"",IF(INDEX(PCNet,$N711)=0,"",INDEX(PCNet,$N711)),"")</f>
        <v/>
      </c>
      <c r="I711" s="19">
        <f>IF($N711&lt;&gt;"",IF(INDEX(PCOp,$N711)="مرجوعی خرید","",IF(INDEX(PCAmount,$N711)&lt;=0,"",INDEX(PCAmount,$N711))),IF($O711&lt;&gt;"",IF(INDEX(TxnDepB,$O711)=0,"",INDEX(TxnDepB,$O711)),""))</f>
        <v/>
      </c>
      <c r="J711" s="19">
        <f>IF($N711&lt;&gt;"",IF(INDEX(PCOp,$N711)="مرجوعی خرید",IF(INDEX(PCAmount,$N711)=0,"",-INDEX(PCAmount,$N711)),""),IF($O711&lt;&gt;"",IF(INDEX(TxnWitB,$O711)=0,"",INDEX(TxnWitB,$O711)),""))</f>
        <v/>
      </c>
      <c r="K711" s="21">
        <f>IF($B711="","",IF($K710="",$C$10,$K710)+IF($I711="",0,$I711)-IF($J711="",0,$J711))</f>
        <v/>
      </c>
      <c r="L711" s="22">
        <f>IF($N711&lt;&gt;"",IF(INDEX(PCNotes,$N711)="","—",INDEX(PCNotes,$N711)),IF($O711&lt;&gt;"",IF(INDEX(LdgNoteB,$O711)="","—",INDEX(LdgNoteB,$O711)),""))</f>
        <v/>
      </c>
      <c r="N711">
        <f>IFERROR(MATCH($C$5&amp;"|"&amp;RIGHT("000000"&amp;695,6),LdgRankKeyA,0),"")</f>
        <v/>
      </c>
      <c r="O711">
        <f>IFERROR(MATCH($C$5&amp;"|"&amp;RIGHT("000000"&amp;695,6),LdgRankKeyB,0),"")</f>
        <v/>
      </c>
    </row>
    <row r="712">
      <c r="A712" s="23" t="n">
        <v>696</v>
      </c>
      <c r="B712" s="24">
        <f>IF(AND($N712="",$O712=""),"",IF($N712&lt;&gt;"",INDEX(PCNormDate,$N712),INDEX(LdgDateB,$O712)))</f>
        <v/>
      </c>
      <c r="C712" s="24">
        <f>IF($N712&lt;&gt;"",INDEX(PCOp,$N712),IF($O712&lt;&gt;"",IF(N(INDEX(TxnDepB,$O712))&gt;0,"دریافت بانکی","پرداخت بانکی"),""))</f>
        <v/>
      </c>
      <c r="D712" s="24">
        <f>IF($N712&lt;&gt;"",IF(INDEX(PCDoc,$N712)="","—",INDEX(PCDoc,$N712)),IF($O712&lt;&gt;"",INDEX(LdgBankB,$O712),""))</f>
        <v/>
      </c>
      <c r="E712" s="24">
        <f>IF($N712&lt;&gt;"",IF(INDEX(PCCitrus,$N712)="","—",INDEX(PCCitrus,$N712)),"")</f>
        <v/>
      </c>
      <c r="F712" s="25">
        <f>IF($N712&lt;&gt;"",IF(INDEX(PCScale,$N712)=0,"",INDEX(PCScale,$N712)),"")</f>
        <v/>
      </c>
      <c r="G712" s="25">
        <f>IF($N712&lt;&gt;"",IF(INDEX(PCBaskets,$N712)=0,"",INDEX(PCBaskets,$N712)),"")</f>
        <v/>
      </c>
      <c r="H712" s="26">
        <f>IF($N712&lt;&gt;"",IF(INDEX(PCNet,$N712)=0,"",INDEX(PCNet,$N712)),"")</f>
        <v/>
      </c>
      <c r="I712" s="25">
        <f>IF($N712&lt;&gt;"",IF(INDEX(PCOp,$N712)="مرجوعی خرید","",IF(INDEX(PCAmount,$N712)&lt;=0,"",INDEX(PCAmount,$N712))),IF($O712&lt;&gt;"",IF(INDEX(TxnDepB,$O712)=0,"",INDEX(TxnDepB,$O712)),""))</f>
        <v/>
      </c>
      <c r="J712" s="25">
        <f>IF($N712&lt;&gt;"",IF(INDEX(PCOp,$N712)="مرجوعی خرید",IF(INDEX(PCAmount,$N712)=0,"",-INDEX(PCAmount,$N712)),""),IF($O712&lt;&gt;"",IF(INDEX(TxnWitB,$O712)=0,"",INDEX(TxnWitB,$O712)),""))</f>
        <v/>
      </c>
      <c r="K712" s="27">
        <f>IF($B712="","",IF($K711="",$C$10,$K711)+IF($I712="",0,$I712)-IF($J712="",0,$J712))</f>
        <v/>
      </c>
      <c r="L712" s="28">
        <f>IF($N712&lt;&gt;"",IF(INDEX(PCNotes,$N712)="","—",INDEX(PCNotes,$N712)),IF($O712&lt;&gt;"",IF(INDEX(LdgNoteB,$O712)="","—",INDEX(LdgNoteB,$O712)),""))</f>
        <v/>
      </c>
      <c r="N712">
        <f>IFERROR(MATCH($C$5&amp;"|"&amp;RIGHT("000000"&amp;696,6),LdgRankKeyA,0),"")</f>
        <v/>
      </c>
      <c r="O712">
        <f>IFERROR(MATCH($C$5&amp;"|"&amp;RIGHT("000000"&amp;696,6),LdgRankKeyB,0),"")</f>
        <v/>
      </c>
    </row>
    <row r="713">
      <c r="A713" s="17" t="n">
        <v>697</v>
      </c>
      <c r="B713" s="18">
        <f>IF(AND($N713="",$O713=""),"",IF($N713&lt;&gt;"",INDEX(PCNormDate,$N713),INDEX(LdgDateB,$O713)))</f>
        <v/>
      </c>
      <c r="C713" s="18">
        <f>IF($N713&lt;&gt;"",INDEX(PCOp,$N713),IF($O713&lt;&gt;"",IF(N(INDEX(TxnDepB,$O713))&gt;0,"دریافت بانکی","پرداخت بانکی"),""))</f>
        <v/>
      </c>
      <c r="D713" s="18">
        <f>IF($N713&lt;&gt;"",IF(INDEX(PCDoc,$N713)="","—",INDEX(PCDoc,$N713)),IF($O713&lt;&gt;"",INDEX(LdgBankB,$O713),""))</f>
        <v/>
      </c>
      <c r="E713" s="18">
        <f>IF($N713&lt;&gt;"",IF(INDEX(PCCitrus,$N713)="","—",INDEX(PCCitrus,$N713)),"")</f>
        <v/>
      </c>
      <c r="F713" s="19">
        <f>IF($N713&lt;&gt;"",IF(INDEX(PCScale,$N713)=0,"",INDEX(PCScale,$N713)),"")</f>
        <v/>
      </c>
      <c r="G713" s="19">
        <f>IF($N713&lt;&gt;"",IF(INDEX(PCBaskets,$N713)=0,"",INDEX(PCBaskets,$N713)),"")</f>
        <v/>
      </c>
      <c r="H713" s="20">
        <f>IF($N713&lt;&gt;"",IF(INDEX(PCNet,$N713)=0,"",INDEX(PCNet,$N713)),"")</f>
        <v/>
      </c>
      <c r="I713" s="19">
        <f>IF($N713&lt;&gt;"",IF(INDEX(PCOp,$N713)="مرجوعی خرید","",IF(INDEX(PCAmount,$N713)&lt;=0,"",INDEX(PCAmount,$N713))),IF($O713&lt;&gt;"",IF(INDEX(TxnDepB,$O713)=0,"",INDEX(TxnDepB,$O713)),""))</f>
        <v/>
      </c>
      <c r="J713" s="19">
        <f>IF($N713&lt;&gt;"",IF(INDEX(PCOp,$N713)="مرجوعی خرید",IF(INDEX(PCAmount,$N713)=0,"",-INDEX(PCAmount,$N713)),""),IF($O713&lt;&gt;"",IF(INDEX(TxnWitB,$O713)=0,"",INDEX(TxnWitB,$O713)),""))</f>
        <v/>
      </c>
      <c r="K713" s="21">
        <f>IF($B713="","",IF($K712="",$C$10,$K712)+IF($I713="",0,$I713)-IF($J713="",0,$J713))</f>
        <v/>
      </c>
      <c r="L713" s="22">
        <f>IF($N713&lt;&gt;"",IF(INDEX(PCNotes,$N713)="","—",INDEX(PCNotes,$N713)),IF($O713&lt;&gt;"",IF(INDEX(LdgNoteB,$O713)="","—",INDEX(LdgNoteB,$O713)),""))</f>
        <v/>
      </c>
      <c r="N713">
        <f>IFERROR(MATCH($C$5&amp;"|"&amp;RIGHT("000000"&amp;697,6),LdgRankKeyA,0),"")</f>
        <v/>
      </c>
      <c r="O713">
        <f>IFERROR(MATCH($C$5&amp;"|"&amp;RIGHT("000000"&amp;697,6),LdgRankKeyB,0),"")</f>
        <v/>
      </c>
    </row>
    <row r="714">
      <c r="A714" s="23" t="n">
        <v>698</v>
      </c>
      <c r="B714" s="24">
        <f>IF(AND($N714="",$O714=""),"",IF($N714&lt;&gt;"",INDEX(PCNormDate,$N714),INDEX(LdgDateB,$O714)))</f>
        <v/>
      </c>
      <c r="C714" s="24">
        <f>IF($N714&lt;&gt;"",INDEX(PCOp,$N714),IF($O714&lt;&gt;"",IF(N(INDEX(TxnDepB,$O714))&gt;0,"دریافت بانکی","پرداخت بانکی"),""))</f>
        <v/>
      </c>
      <c r="D714" s="24">
        <f>IF($N714&lt;&gt;"",IF(INDEX(PCDoc,$N714)="","—",INDEX(PCDoc,$N714)),IF($O714&lt;&gt;"",INDEX(LdgBankB,$O714),""))</f>
        <v/>
      </c>
      <c r="E714" s="24">
        <f>IF($N714&lt;&gt;"",IF(INDEX(PCCitrus,$N714)="","—",INDEX(PCCitrus,$N714)),"")</f>
        <v/>
      </c>
      <c r="F714" s="25">
        <f>IF($N714&lt;&gt;"",IF(INDEX(PCScale,$N714)=0,"",INDEX(PCScale,$N714)),"")</f>
        <v/>
      </c>
      <c r="G714" s="25">
        <f>IF($N714&lt;&gt;"",IF(INDEX(PCBaskets,$N714)=0,"",INDEX(PCBaskets,$N714)),"")</f>
        <v/>
      </c>
      <c r="H714" s="26">
        <f>IF($N714&lt;&gt;"",IF(INDEX(PCNet,$N714)=0,"",INDEX(PCNet,$N714)),"")</f>
        <v/>
      </c>
      <c r="I714" s="25">
        <f>IF($N714&lt;&gt;"",IF(INDEX(PCOp,$N714)="مرجوعی خرید","",IF(INDEX(PCAmount,$N714)&lt;=0,"",INDEX(PCAmount,$N714))),IF($O714&lt;&gt;"",IF(INDEX(TxnDepB,$O714)=0,"",INDEX(TxnDepB,$O714)),""))</f>
        <v/>
      </c>
      <c r="J714" s="25">
        <f>IF($N714&lt;&gt;"",IF(INDEX(PCOp,$N714)="مرجوعی خرید",IF(INDEX(PCAmount,$N714)=0,"",-INDEX(PCAmount,$N714)),""),IF($O714&lt;&gt;"",IF(INDEX(TxnWitB,$O714)=0,"",INDEX(TxnWitB,$O714)),""))</f>
        <v/>
      </c>
      <c r="K714" s="27">
        <f>IF($B714="","",IF($K713="",$C$10,$K713)+IF($I714="",0,$I714)-IF($J714="",0,$J714))</f>
        <v/>
      </c>
      <c r="L714" s="28">
        <f>IF($N714&lt;&gt;"",IF(INDEX(PCNotes,$N714)="","—",INDEX(PCNotes,$N714)),IF($O714&lt;&gt;"",IF(INDEX(LdgNoteB,$O714)="","—",INDEX(LdgNoteB,$O714)),""))</f>
        <v/>
      </c>
      <c r="N714">
        <f>IFERROR(MATCH($C$5&amp;"|"&amp;RIGHT("000000"&amp;698,6),LdgRankKeyA,0),"")</f>
        <v/>
      </c>
      <c r="O714">
        <f>IFERROR(MATCH($C$5&amp;"|"&amp;RIGHT("000000"&amp;698,6),LdgRankKeyB,0),"")</f>
        <v/>
      </c>
    </row>
    <row r="715">
      <c r="A715" s="17" t="n">
        <v>699</v>
      </c>
      <c r="B715" s="18">
        <f>IF(AND($N715="",$O715=""),"",IF($N715&lt;&gt;"",INDEX(PCNormDate,$N715),INDEX(LdgDateB,$O715)))</f>
        <v/>
      </c>
      <c r="C715" s="18">
        <f>IF($N715&lt;&gt;"",INDEX(PCOp,$N715),IF($O715&lt;&gt;"",IF(N(INDEX(TxnDepB,$O715))&gt;0,"دریافت بانکی","پرداخت بانکی"),""))</f>
        <v/>
      </c>
      <c r="D715" s="18">
        <f>IF($N715&lt;&gt;"",IF(INDEX(PCDoc,$N715)="","—",INDEX(PCDoc,$N715)),IF($O715&lt;&gt;"",INDEX(LdgBankB,$O715),""))</f>
        <v/>
      </c>
      <c r="E715" s="18">
        <f>IF($N715&lt;&gt;"",IF(INDEX(PCCitrus,$N715)="","—",INDEX(PCCitrus,$N715)),"")</f>
        <v/>
      </c>
      <c r="F715" s="19">
        <f>IF($N715&lt;&gt;"",IF(INDEX(PCScale,$N715)=0,"",INDEX(PCScale,$N715)),"")</f>
        <v/>
      </c>
      <c r="G715" s="19">
        <f>IF($N715&lt;&gt;"",IF(INDEX(PCBaskets,$N715)=0,"",INDEX(PCBaskets,$N715)),"")</f>
        <v/>
      </c>
      <c r="H715" s="20">
        <f>IF($N715&lt;&gt;"",IF(INDEX(PCNet,$N715)=0,"",INDEX(PCNet,$N715)),"")</f>
        <v/>
      </c>
      <c r="I715" s="19">
        <f>IF($N715&lt;&gt;"",IF(INDEX(PCOp,$N715)="مرجوعی خرید","",IF(INDEX(PCAmount,$N715)&lt;=0,"",INDEX(PCAmount,$N715))),IF($O715&lt;&gt;"",IF(INDEX(TxnDepB,$O715)=0,"",INDEX(TxnDepB,$O715)),""))</f>
        <v/>
      </c>
      <c r="J715" s="19">
        <f>IF($N715&lt;&gt;"",IF(INDEX(PCOp,$N715)="مرجوعی خرید",IF(INDEX(PCAmount,$N715)=0,"",-INDEX(PCAmount,$N715)),""),IF($O715&lt;&gt;"",IF(INDEX(TxnWitB,$O715)=0,"",INDEX(TxnWitB,$O715)),""))</f>
        <v/>
      </c>
      <c r="K715" s="21">
        <f>IF($B715="","",IF($K714="",$C$10,$K714)+IF($I715="",0,$I715)-IF($J715="",0,$J715))</f>
        <v/>
      </c>
      <c r="L715" s="22">
        <f>IF($N715&lt;&gt;"",IF(INDEX(PCNotes,$N715)="","—",INDEX(PCNotes,$N715)),IF($O715&lt;&gt;"",IF(INDEX(LdgNoteB,$O715)="","—",INDEX(LdgNoteB,$O715)),""))</f>
        <v/>
      </c>
      <c r="N715">
        <f>IFERROR(MATCH($C$5&amp;"|"&amp;RIGHT("000000"&amp;699,6),LdgRankKeyA,0),"")</f>
        <v/>
      </c>
      <c r="O715">
        <f>IFERROR(MATCH($C$5&amp;"|"&amp;RIGHT("000000"&amp;699,6),LdgRankKeyB,0),"")</f>
        <v/>
      </c>
    </row>
    <row r="716">
      <c r="A716" s="23" t="n">
        <v>700</v>
      </c>
      <c r="B716" s="24">
        <f>IF(AND($N716="",$O716=""),"",IF($N716&lt;&gt;"",INDEX(PCNormDate,$N716),INDEX(LdgDateB,$O716)))</f>
        <v/>
      </c>
      <c r="C716" s="24">
        <f>IF($N716&lt;&gt;"",INDEX(PCOp,$N716),IF($O716&lt;&gt;"",IF(N(INDEX(TxnDepB,$O716))&gt;0,"دریافت بانکی","پرداخت بانکی"),""))</f>
        <v/>
      </c>
      <c r="D716" s="24">
        <f>IF($N716&lt;&gt;"",IF(INDEX(PCDoc,$N716)="","—",INDEX(PCDoc,$N716)),IF($O716&lt;&gt;"",INDEX(LdgBankB,$O716),""))</f>
        <v/>
      </c>
      <c r="E716" s="24">
        <f>IF($N716&lt;&gt;"",IF(INDEX(PCCitrus,$N716)="","—",INDEX(PCCitrus,$N716)),"")</f>
        <v/>
      </c>
      <c r="F716" s="25">
        <f>IF($N716&lt;&gt;"",IF(INDEX(PCScale,$N716)=0,"",INDEX(PCScale,$N716)),"")</f>
        <v/>
      </c>
      <c r="G716" s="25">
        <f>IF($N716&lt;&gt;"",IF(INDEX(PCBaskets,$N716)=0,"",INDEX(PCBaskets,$N716)),"")</f>
        <v/>
      </c>
      <c r="H716" s="26">
        <f>IF($N716&lt;&gt;"",IF(INDEX(PCNet,$N716)=0,"",INDEX(PCNet,$N716)),"")</f>
        <v/>
      </c>
      <c r="I716" s="25">
        <f>IF($N716&lt;&gt;"",IF(INDEX(PCOp,$N716)="مرجوعی خرید","",IF(INDEX(PCAmount,$N716)&lt;=0,"",INDEX(PCAmount,$N716))),IF($O716&lt;&gt;"",IF(INDEX(TxnDepB,$O716)=0,"",INDEX(TxnDepB,$O716)),""))</f>
        <v/>
      </c>
      <c r="J716" s="25">
        <f>IF($N716&lt;&gt;"",IF(INDEX(PCOp,$N716)="مرجوعی خرید",IF(INDEX(PCAmount,$N716)=0,"",-INDEX(PCAmount,$N716)),""),IF($O716&lt;&gt;"",IF(INDEX(TxnWitB,$O716)=0,"",INDEX(TxnWitB,$O716)),""))</f>
        <v/>
      </c>
      <c r="K716" s="27">
        <f>IF($B716="","",IF($K715="",$C$10,$K715)+IF($I716="",0,$I716)-IF($J716="",0,$J716))</f>
        <v/>
      </c>
      <c r="L716" s="28">
        <f>IF($N716&lt;&gt;"",IF(INDEX(PCNotes,$N716)="","—",INDEX(PCNotes,$N716)),IF($O716&lt;&gt;"",IF(INDEX(LdgNoteB,$O716)="","—",INDEX(LdgNoteB,$O716)),""))</f>
        <v/>
      </c>
      <c r="N716">
        <f>IFERROR(MATCH($C$5&amp;"|"&amp;RIGHT("000000"&amp;700,6),LdgRankKeyA,0),"")</f>
        <v/>
      </c>
      <c r="O716">
        <f>IFERROR(MATCH($C$5&amp;"|"&amp;RIGHT("000000"&amp;700,6),LdgRankKeyB,0),"")</f>
        <v/>
      </c>
    </row>
    <row r="717">
      <c r="A717" s="17" t="n">
        <v>701</v>
      </c>
      <c r="B717" s="18">
        <f>IF(AND($N717="",$O717=""),"",IF($N717&lt;&gt;"",INDEX(PCNormDate,$N717),INDEX(LdgDateB,$O717)))</f>
        <v/>
      </c>
      <c r="C717" s="18">
        <f>IF($N717&lt;&gt;"",INDEX(PCOp,$N717),IF($O717&lt;&gt;"",IF(N(INDEX(TxnDepB,$O717))&gt;0,"دریافت بانکی","پرداخت بانکی"),""))</f>
        <v/>
      </c>
      <c r="D717" s="18">
        <f>IF($N717&lt;&gt;"",IF(INDEX(PCDoc,$N717)="","—",INDEX(PCDoc,$N717)),IF($O717&lt;&gt;"",INDEX(LdgBankB,$O717),""))</f>
        <v/>
      </c>
      <c r="E717" s="18">
        <f>IF($N717&lt;&gt;"",IF(INDEX(PCCitrus,$N717)="","—",INDEX(PCCitrus,$N717)),"")</f>
        <v/>
      </c>
      <c r="F717" s="19">
        <f>IF($N717&lt;&gt;"",IF(INDEX(PCScale,$N717)=0,"",INDEX(PCScale,$N717)),"")</f>
        <v/>
      </c>
      <c r="G717" s="19">
        <f>IF($N717&lt;&gt;"",IF(INDEX(PCBaskets,$N717)=0,"",INDEX(PCBaskets,$N717)),"")</f>
        <v/>
      </c>
      <c r="H717" s="20">
        <f>IF($N717&lt;&gt;"",IF(INDEX(PCNet,$N717)=0,"",INDEX(PCNet,$N717)),"")</f>
        <v/>
      </c>
      <c r="I717" s="19">
        <f>IF($N717&lt;&gt;"",IF(INDEX(PCOp,$N717)="مرجوعی خرید","",IF(INDEX(PCAmount,$N717)&lt;=0,"",INDEX(PCAmount,$N717))),IF($O717&lt;&gt;"",IF(INDEX(TxnDepB,$O717)=0,"",INDEX(TxnDepB,$O717)),""))</f>
        <v/>
      </c>
      <c r="J717" s="19">
        <f>IF($N717&lt;&gt;"",IF(INDEX(PCOp,$N717)="مرجوعی خرید",IF(INDEX(PCAmount,$N717)=0,"",-INDEX(PCAmount,$N717)),""),IF($O717&lt;&gt;"",IF(INDEX(TxnWitB,$O717)=0,"",INDEX(TxnWitB,$O717)),""))</f>
        <v/>
      </c>
      <c r="K717" s="21">
        <f>IF($B717="","",IF($K716="",$C$10,$K716)+IF($I717="",0,$I717)-IF($J717="",0,$J717))</f>
        <v/>
      </c>
      <c r="L717" s="22">
        <f>IF($N717&lt;&gt;"",IF(INDEX(PCNotes,$N717)="","—",INDEX(PCNotes,$N717)),IF($O717&lt;&gt;"",IF(INDEX(LdgNoteB,$O717)="","—",INDEX(LdgNoteB,$O717)),""))</f>
        <v/>
      </c>
      <c r="N717">
        <f>IFERROR(MATCH($C$5&amp;"|"&amp;RIGHT("000000"&amp;701,6),LdgRankKeyA,0),"")</f>
        <v/>
      </c>
      <c r="O717">
        <f>IFERROR(MATCH($C$5&amp;"|"&amp;RIGHT("000000"&amp;701,6),LdgRankKeyB,0),"")</f>
        <v/>
      </c>
    </row>
    <row r="718">
      <c r="A718" s="23" t="n">
        <v>702</v>
      </c>
      <c r="B718" s="24">
        <f>IF(AND($N718="",$O718=""),"",IF($N718&lt;&gt;"",INDEX(PCNormDate,$N718),INDEX(LdgDateB,$O718)))</f>
        <v/>
      </c>
      <c r="C718" s="24">
        <f>IF($N718&lt;&gt;"",INDEX(PCOp,$N718),IF($O718&lt;&gt;"",IF(N(INDEX(TxnDepB,$O718))&gt;0,"دریافت بانکی","پرداخت بانکی"),""))</f>
        <v/>
      </c>
      <c r="D718" s="24">
        <f>IF($N718&lt;&gt;"",IF(INDEX(PCDoc,$N718)="","—",INDEX(PCDoc,$N718)),IF($O718&lt;&gt;"",INDEX(LdgBankB,$O718),""))</f>
        <v/>
      </c>
      <c r="E718" s="24">
        <f>IF($N718&lt;&gt;"",IF(INDEX(PCCitrus,$N718)="","—",INDEX(PCCitrus,$N718)),"")</f>
        <v/>
      </c>
      <c r="F718" s="25">
        <f>IF($N718&lt;&gt;"",IF(INDEX(PCScale,$N718)=0,"",INDEX(PCScale,$N718)),"")</f>
        <v/>
      </c>
      <c r="G718" s="25">
        <f>IF($N718&lt;&gt;"",IF(INDEX(PCBaskets,$N718)=0,"",INDEX(PCBaskets,$N718)),"")</f>
        <v/>
      </c>
      <c r="H718" s="26">
        <f>IF($N718&lt;&gt;"",IF(INDEX(PCNet,$N718)=0,"",INDEX(PCNet,$N718)),"")</f>
        <v/>
      </c>
      <c r="I718" s="25">
        <f>IF($N718&lt;&gt;"",IF(INDEX(PCOp,$N718)="مرجوعی خرید","",IF(INDEX(PCAmount,$N718)&lt;=0,"",INDEX(PCAmount,$N718))),IF($O718&lt;&gt;"",IF(INDEX(TxnDepB,$O718)=0,"",INDEX(TxnDepB,$O718)),""))</f>
        <v/>
      </c>
      <c r="J718" s="25">
        <f>IF($N718&lt;&gt;"",IF(INDEX(PCOp,$N718)="مرجوعی خرید",IF(INDEX(PCAmount,$N718)=0,"",-INDEX(PCAmount,$N718)),""),IF($O718&lt;&gt;"",IF(INDEX(TxnWitB,$O718)=0,"",INDEX(TxnWitB,$O718)),""))</f>
        <v/>
      </c>
      <c r="K718" s="27">
        <f>IF($B718="","",IF($K717="",$C$10,$K717)+IF($I718="",0,$I718)-IF($J718="",0,$J718))</f>
        <v/>
      </c>
      <c r="L718" s="28">
        <f>IF($N718&lt;&gt;"",IF(INDEX(PCNotes,$N718)="","—",INDEX(PCNotes,$N718)),IF($O718&lt;&gt;"",IF(INDEX(LdgNoteB,$O718)="","—",INDEX(LdgNoteB,$O718)),""))</f>
        <v/>
      </c>
      <c r="N718">
        <f>IFERROR(MATCH($C$5&amp;"|"&amp;RIGHT("000000"&amp;702,6),LdgRankKeyA,0),"")</f>
        <v/>
      </c>
      <c r="O718">
        <f>IFERROR(MATCH($C$5&amp;"|"&amp;RIGHT("000000"&amp;702,6),LdgRankKeyB,0),"")</f>
        <v/>
      </c>
    </row>
    <row r="719">
      <c r="A719" s="17" t="n">
        <v>703</v>
      </c>
      <c r="B719" s="18">
        <f>IF(AND($N719="",$O719=""),"",IF($N719&lt;&gt;"",INDEX(PCNormDate,$N719),INDEX(LdgDateB,$O719)))</f>
        <v/>
      </c>
      <c r="C719" s="18">
        <f>IF($N719&lt;&gt;"",INDEX(PCOp,$N719),IF($O719&lt;&gt;"",IF(N(INDEX(TxnDepB,$O719))&gt;0,"دریافت بانکی","پرداخت بانکی"),""))</f>
        <v/>
      </c>
      <c r="D719" s="18">
        <f>IF($N719&lt;&gt;"",IF(INDEX(PCDoc,$N719)="","—",INDEX(PCDoc,$N719)),IF($O719&lt;&gt;"",INDEX(LdgBankB,$O719),""))</f>
        <v/>
      </c>
      <c r="E719" s="18">
        <f>IF($N719&lt;&gt;"",IF(INDEX(PCCitrus,$N719)="","—",INDEX(PCCitrus,$N719)),"")</f>
        <v/>
      </c>
      <c r="F719" s="19">
        <f>IF($N719&lt;&gt;"",IF(INDEX(PCScale,$N719)=0,"",INDEX(PCScale,$N719)),"")</f>
        <v/>
      </c>
      <c r="G719" s="19">
        <f>IF($N719&lt;&gt;"",IF(INDEX(PCBaskets,$N719)=0,"",INDEX(PCBaskets,$N719)),"")</f>
        <v/>
      </c>
      <c r="H719" s="20">
        <f>IF($N719&lt;&gt;"",IF(INDEX(PCNet,$N719)=0,"",INDEX(PCNet,$N719)),"")</f>
        <v/>
      </c>
      <c r="I719" s="19">
        <f>IF($N719&lt;&gt;"",IF(INDEX(PCOp,$N719)="مرجوعی خرید","",IF(INDEX(PCAmount,$N719)&lt;=0,"",INDEX(PCAmount,$N719))),IF($O719&lt;&gt;"",IF(INDEX(TxnDepB,$O719)=0,"",INDEX(TxnDepB,$O719)),""))</f>
        <v/>
      </c>
      <c r="J719" s="19">
        <f>IF($N719&lt;&gt;"",IF(INDEX(PCOp,$N719)="مرجوعی خرید",IF(INDEX(PCAmount,$N719)=0,"",-INDEX(PCAmount,$N719)),""),IF($O719&lt;&gt;"",IF(INDEX(TxnWitB,$O719)=0,"",INDEX(TxnWitB,$O719)),""))</f>
        <v/>
      </c>
      <c r="K719" s="21">
        <f>IF($B719="","",IF($K718="",$C$10,$K718)+IF($I719="",0,$I719)-IF($J719="",0,$J719))</f>
        <v/>
      </c>
      <c r="L719" s="22">
        <f>IF($N719&lt;&gt;"",IF(INDEX(PCNotes,$N719)="","—",INDEX(PCNotes,$N719)),IF($O719&lt;&gt;"",IF(INDEX(LdgNoteB,$O719)="","—",INDEX(LdgNoteB,$O719)),""))</f>
        <v/>
      </c>
      <c r="N719">
        <f>IFERROR(MATCH($C$5&amp;"|"&amp;RIGHT("000000"&amp;703,6),LdgRankKeyA,0),"")</f>
        <v/>
      </c>
      <c r="O719">
        <f>IFERROR(MATCH($C$5&amp;"|"&amp;RIGHT("000000"&amp;703,6),LdgRankKeyB,0),"")</f>
        <v/>
      </c>
    </row>
    <row r="720">
      <c r="A720" s="23" t="n">
        <v>704</v>
      </c>
      <c r="B720" s="24">
        <f>IF(AND($N720="",$O720=""),"",IF($N720&lt;&gt;"",INDEX(PCNormDate,$N720),INDEX(LdgDateB,$O720)))</f>
        <v/>
      </c>
      <c r="C720" s="24">
        <f>IF($N720&lt;&gt;"",INDEX(PCOp,$N720),IF($O720&lt;&gt;"",IF(N(INDEX(TxnDepB,$O720))&gt;0,"دریافت بانکی","پرداخت بانکی"),""))</f>
        <v/>
      </c>
      <c r="D720" s="24">
        <f>IF($N720&lt;&gt;"",IF(INDEX(PCDoc,$N720)="","—",INDEX(PCDoc,$N720)),IF($O720&lt;&gt;"",INDEX(LdgBankB,$O720),""))</f>
        <v/>
      </c>
      <c r="E720" s="24">
        <f>IF($N720&lt;&gt;"",IF(INDEX(PCCitrus,$N720)="","—",INDEX(PCCitrus,$N720)),"")</f>
        <v/>
      </c>
      <c r="F720" s="25">
        <f>IF($N720&lt;&gt;"",IF(INDEX(PCScale,$N720)=0,"",INDEX(PCScale,$N720)),"")</f>
        <v/>
      </c>
      <c r="G720" s="25">
        <f>IF($N720&lt;&gt;"",IF(INDEX(PCBaskets,$N720)=0,"",INDEX(PCBaskets,$N720)),"")</f>
        <v/>
      </c>
      <c r="H720" s="26">
        <f>IF($N720&lt;&gt;"",IF(INDEX(PCNet,$N720)=0,"",INDEX(PCNet,$N720)),"")</f>
        <v/>
      </c>
      <c r="I720" s="25">
        <f>IF($N720&lt;&gt;"",IF(INDEX(PCOp,$N720)="مرجوعی خرید","",IF(INDEX(PCAmount,$N720)&lt;=0,"",INDEX(PCAmount,$N720))),IF($O720&lt;&gt;"",IF(INDEX(TxnDepB,$O720)=0,"",INDEX(TxnDepB,$O720)),""))</f>
        <v/>
      </c>
      <c r="J720" s="25">
        <f>IF($N720&lt;&gt;"",IF(INDEX(PCOp,$N720)="مرجوعی خرید",IF(INDEX(PCAmount,$N720)=0,"",-INDEX(PCAmount,$N720)),""),IF($O720&lt;&gt;"",IF(INDEX(TxnWitB,$O720)=0,"",INDEX(TxnWitB,$O720)),""))</f>
        <v/>
      </c>
      <c r="K720" s="27">
        <f>IF($B720="","",IF($K719="",$C$10,$K719)+IF($I720="",0,$I720)-IF($J720="",0,$J720))</f>
        <v/>
      </c>
      <c r="L720" s="28">
        <f>IF($N720&lt;&gt;"",IF(INDEX(PCNotes,$N720)="","—",INDEX(PCNotes,$N720)),IF($O720&lt;&gt;"",IF(INDEX(LdgNoteB,$O720)="","—",INDEX(LdgNoteB,$O720)),""))</f>
        <v/>
      </c>
      <c r="N720">
        <f>IFERROR(MATCH($C$5&amp;"|"&amp;RIGHT("000000"&amp;704,6),LdgRankKeyA,0),"")</f>
        <v/>
      </c>
      <c r="O720">
        <f>IFERROR(MATCH($C$5&amp;"|"&amp;RIGHT("000000"&amp;704,6),LdgRankKeyB,0),"")</f>
        <v/>
      </c>
    </row>
    <row r="721">
      <c r="A721" s="17" t="n">
        <v>705</v>
      </c>
      <c r="B721" s="18">
        <f>IF(AND($N721="",$O721=""),"",IF($N721&lt;&gt;"",INDEX(PCNormDate,$N721),INDEX(LdgDateB,$O721)))</f>
        <v/>
      </c>
      <c r="C721" s="18">
        <f>IF($N721&lt;&gt;"",INDEX(PCOp,$N721),IF($O721&lt;&gt;"",IF(N(INDEX(TxnDepB,$O721))&gt;0,"دریافت بانکی","پرداخت بانکی"),""))</f>
        <v/>
      </c>
      <c r="D721" s="18">
        <f>IF($N721&lt;&gt;"",IF(INDEX(PCDoc,$N721)="","—",INDEX(PCDoc,$N721)),IF($O721&lt;&gt;"",INDEX(LdgBankB,$O721),""))</f>
        <v/>
      </c>
      <c r="E721" s="18">
        <f>IF($N721&lt;&gt;"",IF(INDEX(PCCitrus,$N721)="","—",INDEX(PCCitrus,$N721)),"")</f>
        <v/>
      </c>
      <c r="F721" s="19">
        <f>IF($N721&lt;&gt;"",IF(INDEX(PCScale,$N721)=0,"",INDEX(PCScale,$N721)),"")</f>
        <v/>
      </c>
      <c r="G721" s="19">
        <f>IF($N721&lt;&gt;"",IF(INDEX(PCBaskets,$N721)=0,"",INDEX(PCBaskets,$N721)),"")</f>
        <v/>
      </c>
      <c r="H721" s="20">
        <f>IF($N721&lt;&gt;"",IF(INDEX(PCNet,$N721)=0,"",INDEX(PCNet,$N721)),"")</f>
        <v/>
      </c>
      <c r="I721" s="19">
        <f>IF($N721&lt;&gt;"",IF(INDEX(PCOp,$N721)="مرجوعی خرید","",IF(INDEX(PCAmount,$N721)&lt;=0,"",INDEX(PCAmount,$N721))),IF($O721&lt;&gt;"",IF(INDEX(TxnDepB,$O721)=0,"",INDEX(TxnDepB,$O721)),""))</f>
        <v/>
      </c>
      <c r="J721" s="19">
        <f>IF($N721&lt;&gt;"",IF(INDEX(PCOp,$N721)="مرجوعی خرید",IF(INDEX(PCAmount,$N721)=0,"",-INDEX(PCAmount,$N721)),""),IF($O721&lt;&gt;"",IF(INDEX(TxnWitB,$O721)=0,"",INDEX(TxnWitB,$O721)),""))</f>
        <v/>
      </c>
      <c r="K721" s="21">
        <f>IF($B721="","",IF($K720="",$C$10,$K720)+IF($I721="",0,$I721)-IF($J721="",0,$J721))</f>
        <v/>
      </c>
      <c r="L721" s="22">
        <f>IF($N721&lt;&gt;"",IF(INDEX(PCNotes,$N721)="","—",INDEX(PCNotes,$N721)),IF($O721&lt;&gt;"",IF(INDEX(LdgNoteB,$O721)="","—",INDEX(LdgNoteB,$O721)),""))</f>
        <v/>
      </c>
      <c r="N721">
        <f>IFERROR(MATCH($C$5&amp;"|"&amp;RIGHT("000000"&amp;705,6),LdgRankKeyA,0),"")</f>
        <v/>
      </c>
      <c r="O721">
        <f>IFERROR(MATCH($C$5&amp;"|"&amp;RIGHT("000000"&amp;705,6),LdgRankKeyB,0),"")</f>
        <v/>
      </c>
    </row>
    <row r="722">
      <c r="A722" s="23" t="n">
        <v>706</v>
      </c>
      <c r="B722" s="24">
        <f>IF(AND($N722="",$O722=""),"",IF($N722&lt;&gt;"",INDEX(PCNormDate,$N722),INDEX(LdgDateB,$O722)))</f>
        <v/>
      </c>
      <c r="C722" s="24">
        <f>IF($N722&lt;&gt;"",INDEX(PCOp,$N722),IF($O722&lt;&gt;"",IF(N(INDEX(TxnDepB,$O722))&gt;0,"دریافت بانکی","پرداخت بانکی"),""))</f>
        <v/>
      </c>
      <c r="D722" s="24">
        <f>IF($N722&lt;&gt;"",IF(INDEX(PCDoc,$N722)="","—",INDEX(PCDoc,$N722)),IF($O722&lt;&gt;"",INDEX(LdgBankB,$O722),""))</f>
        <v/>
      </c>
      <c r="E722" s="24">
        <f>IF($N722&lt;&gt;"",IF(INDEX(PCCitrus,$N722)="","—",INDEX(PCCitrus,$N722)),"")</f>
        <v/>
      </c>
      <c r="F722" s="25">
        <f>IF($N722&lt;&gt;"",IF(INDEX(PCScale,$N722)=0,"",INDEX(PCScale,$N722)),"")</f>
        <v/>
      </c>
      <c r="G722" s="25">
        <f>IF($N722&lt;&gt;"",IF(INDEX(PCBaskets,$N722)=0,"",INDEX(PCBaskets,$N722)),"")</f>
        <v/>
      </c>
      <c r="H722" s="26">
        <f>IF($N722&lt;&gt;"",IF(INDEX(PCNet,$N722)=0,"",INDEX(PCNet,$N722)),"")</f>
        <v/>
      </c>
      <c r="I722" s="25">
        <f>IF($N722&lt;&gt;"",IF(INDEX(PCOp,$N722)="مرجوعی خرید","",IF(INDEX(PCAmount,$N722)&lt;=0,"",INDEX(PCAmount,$N722))),IF($O722&lt;&gt;"",IF(INDEX(TxnDepB,$O722)=0,"",INDEX(TxnDepB,$O722)),""))</f>
        <v/>
      </c>
      <c r="J722" s="25">
        <f>IF($N722&lt;&gt;"",IF(INDEX(PCOp,$N722)="مرجوعی خرید",IF(INDEX(PCAmount,$N722)=0,"",-INDEX(PCAmount,$N722)),""),IF($O722&lt;&gt;"",IF(INDEX(TxnWitB,$O722)=0,"",INDEX(TxnWitB,$O722)),""))</f>
        <v/>
      </c>
      <c r="K722" s="27">
        <f>IF($B722="","",IF($K721="",$C$10,$K721)+IF($I722="",0,$I722)-IF($J722="",0,$J722))</f>
        <v/>
      </c>
      <c r="L722" s="28">
        <f>IF($N722&lt;&gt;"",IF(INDEX(PCNotes,$N722)="","—",INDEX(PCNotes,$N722)),IF($O722&lt;&gt;"",IF(INDEX(LdgNoteB,$O722)="","—",INDEX(LdgNoteB,$O722)),""))</f>
        <v/>
      </c>
      <c r="N722">
        <f>IFERROR(MATCH($C$5&amp;"|"&amp;RIGHT("000000"&amp;706,6),LdgRankKeyA,0),"")</f>
        <v/>
      </c>
      <c r="O722">
        <f>IFERROR(MATCH($C$5&amp;"|"&amp;RIGHT("000000"&amp;706,6),LdgRankKeyB,0),"")</f>
        <v/>
      </c>
    </row>
    <row r="723">
      <c r="A723" s="17" t="n">
        <v>707</v>
      </c>
      <c r="B723" s="18">
        <f>IF(AND($N723="",$O723=""),"",IF($N723&lt;&gt;"",INDEX(PCNormDate,$N723),INDEX(LdgDateB,$O723)))</f>
        <v/>
      </c>
      <c r="C723" s="18">
        <f>IF($N723&lt;&gt;"",INDEX(PCOp,$N723),IF($O723&lt;&gt;"",IF(N(INDEX(TxnDepB,$O723))&gt;0,"دریافت بانکی","پرداخت بانکی"),""))</f>
        <v/>
      </c>
      <c r="D723" s="18">
        <f>IF($N723&lt;&gt;"",IF(INDEX(PCDoc,$N723)="","—",INDEX(PCDoc,$N723)),IF($O723&lt;&gt;"",INDEX(LdgBankB,$O723),""))</f>
        <v/>
      </c>
      <c r="E723" s="18">
        <f>IF($N723&lt;&gt;"",IF(INDEX(PCCitrus,$N723)="","—",INDEX(PCCitrus,$N723)),"")</f>
        <v/>
      </c>
      <c r="F723" s="19">
        <f>IF($N723&lt;&gt;"",IF(INDEX(PCScale,$N723)=0,"",INDEX(PCScale,$N723)),"")</f>
        <v/>
      </c>
      <c r="G723" s="19">
        <f>IF($N723&lt;&gt;"",IF(INDEX(PCBaskets,$N723)=0,"",INDEX(PCBaskets,$N723)),"")</f>
        <v/>
      </c>
      <c r="H723" s="20">
        <f>IF($N723&lt;&gt;"",IF(INDEX(PCNet,$N723)=0,"",INDEX(PCNet,$N723)),"")</f>
        <v/>
      </c>
      <c r="I723" s="19">
        <f>IF($N723&lt;&gt;"",IF(INDEX(PCOp,$N723)="مرجوعی خرید","",IF(INDEX(PCAmount,$N723)&lt;=0,"",INDEX(PCAmount,$N723))),IF($O723&lt;&gt;"",IF(INDEX(TxnDepB,$O723)=0,"",INDEX(TxnDepB,$O723)),""))</f>
        <v/>
      </c>
      <c r="J723" s="19">
        <f>IF($N723&lt;&gt;"",IF(INDEX(PCOp,$N723)="مرجوعی خرید",IF(INDEX(PCAmount,$N723)=0,"",-INDEX(PCAmount,$N723)),""),IF($O723&lt;&gt;"",IF(INDEX(TxnWitB,$O723)=0,"",INDEX(TxnWitB,$O723)),""))</f>
        <v/>
      </c>
      <c r="K723" s="21">
        <f>IF($B723="","",IF($K722="",$C$10,$K722)+IF($I723="",0,$I723)-IF($J723="",0,$J723))</f>
        <v/>
      </c>
      <c r="L723" s="22">
        <f>IF($N723&lt;&gt;"",IF(INDEX(PCNotes,$N723)="","—",INDEX(PCNotes,$N723)),IF($O723&lt;&gt;"",IF(INDEX(LdgNoteB,$O723)="","—",INDEX(LdgNoteB,$O723)),""))</f>
        <v/>
      </c>
      <c r="N723">
        <f>IFERROR(MATCH($C$5&amp;"|"&amp;RIGHT("000000"&amp;707,6),LdgRankKeyA,0),"")</f>
        <v/>
      </c>
      <c r="O723">
        <f>IFERROR(MATCH($C$5&amp;"|"&amp;RIGHT("000000"&amp;707,6),LdgRankKeyB,0),"")</f>
        <v/>
      </c>
    </row>
    <row r="724">
      <c r="A724" s="23" t="n">
        <v>708</v>
      </c>
      <c r="B724" s="24">
        <f>IF(AND($N724="",$O724=""),"",IF($N724&lt;&gt;"",INDEX(PCNormDate,$N724),INDEX(LdgDateB,$O724)))</f>
        <v/>
      </c>
      <c r="C724" s="24">
        <f>IF($N724&lt;&gt;"",INDEX(PCOp,$N724),IF($O724&lt;&gt;"",IF(N(INDEX(TxnDepB,$O724))&gt;0,"دریافت بانکی","پرداخت بانکی"),""))</f>
        <v/>
      </c>
      <c r="D724" s="24">
        <f>IF($N724&lt;&gt;"",IF(INDEX(PCDoc,$N724)="","—",INDEX(PCDoc,$N724)),IF($O724&lt;&gt;"",INDEX(LdgBankB,$O724),""))</f>
        <v/>
      </c>
      <c r="E724" s="24">
        <f>IF($N724&lt;&gt;"",IF(INDEX(PCCitrus,$N724)="","—",INDEX(PCCitrus,$N724)),"")</f>
        <v/>
      </c>
      <c r="F724" s="25">
        <f>IF($N724&lt;&gt;"",IF(INDEX(PCScale,$N724)=0,"",INDEX(PCScale,$N724)),"")</f>
        <v/>
      </c>
      <c r="G724" s="25">
        <f>IF($N724&lt;&gt;"",IF(INDEX(PCBaskets,$N724)=0,"",INDEX(PCBaskets,$N724)),"")</f>
        <v/>
      </c>
      <c r="H724" s="26">
        <f>IF($N724&lt;&gt;"",IF(INDEX(PCNet,$N724)=0,"",INDEX(PCNet,$N724)),"")</f>
        <v/>
      </c>
      <c r="I724" s="25">
        <f>IF($N724&lt;&gt;"",IF(INDEX(PCOp,$N724)="مرجوعی خرید","",IF(INDEX(PCAmount,$N724)&lt;=0,"",INDEX(PCAmount,$N724))),IF($O724&lt;&gt;"",IF(INDEX(TxnDepB,$O724)=0,"",INDEX(TxnDepB,$O724)),""))</f>
        <v/>
      </c>
      <c r="J724" s="25">
        <f>IF($N724&lt;&gt;"",IF(INDEX(PCOp,$N724)="مرجوعی خرید",IF(INDEX(PCAmount,$N724)=0,"",-INDEX(PCAmount,$N724)),""),IF($O724&lt;&gt;"",IF(INDEX(TxnWitB,$O724)=0,"",INDEX(TxnWitB,$O724)),""))</f>
        <v/>
      </c>
      <c r="K724" s="27">
        <f>IF($B724="","",IF($K723="",$C$10,$K723)+IF($I724="",0,$I724)-IF($J724="",0,$J724))</f>
        <v/>
      </c>
      <c r="L724" s="28">
        <f>IF($N724&lt;&gt;"",IF(INDEX(PCNotes,$N724)="","—",INDEX(PCNotes,$N724)),IF($O724&lt;&gt;"",IF(INDEX(LdgNoteB,$O724)="","—",INDEX(LdgNoteB,$O724)),""))</f>
        <v/>
      </c>
      <c r="N724">
        <f>IFERROR(MATCH($C$5&amp;"|"&amp;RIGHT("000000"&amp;708,6),LdgRankKeyA,0),"")</f>
        <v/>
      </c>
      <c r="O724">
        <f>IFERROR(MATCH($C$5&amp;"|"&amp;RIGHT("000000"&amp;708,6),LdgRankKeyB,0),"")</f>
        <v/>
      </c>
    </row>
    <row r="725">
      <c r="A725" s="17" t="n">
        <v>709</v>
      </c>
      <c r="B725" s="18">
        <f>IF(AND($N725="",$O725=""),"",IF($N725&lt;&gt;"",INDEX(PCNormDate,$N725),INDEX(LdgDateB,$O725)))</f>
        <v/>
      </c>
      <c r="C725" s="18">
        <f>IF($N725&lt;&gt;"",INDEX(PCOp,$N725),IF($O725&lt;&gt;"",IF(N(INDEX(TxnDepB,$O725))&gt;0,"دریافت بانکی","پرداخت بانکی"),""))</f>
        <v/>
      </c>
      <c r="D725" s="18">
        <f>IF($N725&lt;&gt;"",IF(INDEX(PCDoc,$N725)="","—",INDEX(PCDoc,$N725)),IF($O725&lt;&gt;"",INDEX(LdgBankB,$O725),""))</f>
        <v/>
      </c>
      <c r="E725" s="18">
        <f>IF($N725&lt;&gt;"",IF(INDEX(PCCitrus,$N725)="","—",INDEX(PCCitrus,$N725)),"")</f>
        <v/>
      </c>
      <c r="F725" s="19">
        <f>IF($N725&lt;&gt;"",IF(INDEX(PCScale,$N725)=0,"",INDEX(PCScale,$N725)),"")</f>
        <v/>
      </c>
      <c r="G725" s="19">
        <f>IF($N725&lt;&gt;"",IF(INDEX(PCBaskets,$N725)=0,"",INDEX(PCBaskets,$N725)),"")</f>
        <v/>
      </c>
      <c r="H725" s="20">
        <f>IF($N725&lt;&gt;"",IF(INDEX(PCNet,$N725)=0,"",INDEX(PCNet,$N725)),"")</f>
        <v/>
      </c>
      <c r="I725" s="19">
        <f>IF($N725&lt;&gt;"",IF(INDEX(PCOp,$N725)="مرجوعی خرید","",IF(INDEX(PCAmount,$N725)&lt;=0,"",INDEX(PCAmount,$N725))),IF($O725&lt;&gt;"",IF(INDEX(TxnDepB,$O725)=0,"",INDEX(TxnDepB,$O725)),""))</f>
        <v/>
      </c>
      <c r="J725" s="19">
        <f>IF($N725&lt;&gt;"",IF(INDEX(PCOp,$N725)="مرجوعی خرید",IF(INDEX(PCAmount,$N725)=0,"",-INDEX(PCAmount,$N725)),""),IF($O725&lt;&gt;"",IF(INDEX(TxnWitB,$O725)=0,"",INDEX(TxnWitB,$O725)),""))</f>
        <v/>
      </c>
      <c r="K725" s="21">
        <f>IF($B725="","",IF($K724="",$C$10,$K724)+IF($I725="",0,$I725)-IF($J725="",0,$J725))</f>
        <v/>
      </c>
      <c r="L725" s="22">
        <f>IF($N725&lt;&gt;"",IF(INDEX(PCNotes,$N725)="","—",INDEX(PCNotes,$N725)),IF($O725&lt;&gt;"",IF(INDEX(LdgNoteB,$O725)="","—",INDEX(LdgNoteB,$O725)),""))</f>
        <v/>
      </c>
      <c r="N725">
        <f>IFERROR(MATCH($C$5&amp;"|"&amp;RIGHT("000000"&amp;709,6),LdgRankKeyA,0),"")</f>
        <v/>
      </c>
      <c r="O725">
        <f>IFERROR(MATCH($C$5&amp;"|"&amp;RIGHT("000000"&amp;709,6),LdgRankKeyB,0),"")</f>
        <v/>
      </c>
    </row>
    <row r="726">
      <c r="A726" s="23" t="n">
        <v>710</v>
      </c>
      <c r="B726" s="24">
        <f>IF(AND($N726="",$O726=""),"",IF($N726&lt;&gt;"",INDEX(PCNormDate,$N726),INDEX(LdgDateB,$O726)))</f>
        <v/>
      </c>
      <c r="C726" s="24">
        <f>IF($N726&lt;&gt;"",INDEX(PCOp,$N726),IF($O726&lt;&gt;"",IF(N(INDEX(TxnDepB,$O726))&gt;0,"دریافت بانکی","پرداخت بانکی"),""))</f>
        <v/>
      </c>
      <c r="D726" s="24">
        <f>IF($N726&lt;&gt;"",IF(INDEX(PCDoc,$N726)="","—",INDEX(PCDoc,$N726)),IF($O726&lt;&gt;"",INDEX(LdgBankB,$O726),""))</f>
        <v/>
      </c>
      <c r="E726" s="24">
        <f>IF($N726&lt;&gt;"",IF(INDEX(PCCitrus,$N726)="","—",INDEX(PCCitrus,$N726)),"")</f>
        <v/>
      </c>
      <c r="F726" s="25">
        <f>IF($N726&lt;&gt;"",IF(INDEX(PCScale,$N726)=0,"",INDEX(PCScale,$N726)),"")</f>
        <v/>
      </c>
      <c r="G726" s="25">
        <f>IF($N726&lt;&gt;"",IF(INDEX(PCBaskets,$N726)=0,"",INDEX(PCBaskets,$N726)),"")</f>
        <v/>
      </c>
      <c r="H726" s="26">
        <f>IF($N726&lt;&gt;"",IF(INDEX(PCNet,$N726)=0,"",INDEX(PCNet,$N726)),"")</f>
        <v/>
      </c>
      <c r="I726" s="25">
        <f>IF($N726&lt;&gt;"",IF(INDEX(PCOp,$N726)="مرجوعی خرید","",IF(INDEX(PCAmount,$N726)&lt;=0,"",INDEX(PCAmount,$N726))),IF($O726&lt;&gt;"",IF(INDEX(TxnDepB,$O726)=0,"",INDEX(TxnDepB,$O726)),""))</f>
        <v/>
      </c>
      <c r="J726" s="25">
        <f>IF($N726&lt;&gt;"",IF(INDEX(PCOp,$N726)="مرجوعی خرید",IF(INDEX(PCAmount,$N726)=0,"",-INDEX(PCAmount,$N726)),""),IF($O726&lt;&gt;"",IF(INDEX(TxnWitB,$O726)=0,"",INDEX(TxnWitB,$O726)),""))</f>
        <v/>
      </c>
      <c r="K726" s="27">
        <f>IF($B726="","",IF($K725="",$C$10,$K725)+IF($I726="",0,$I726)-IF($J726="",0,$J726))</f>
        <v/>
      </c>
      <c r="L726" s="28">
        <f>IF($N726&lt;&gt;"",IF(INDEX(PCNotes,$N726)="","—",INDEX(PCNotes,$N726)),IF($O726&lt;&gt;"",IF(INDEX(LdgNoteB,$O726)="","—",INDEX(LdgNoteB,$O726)),""))</f>
        <v/>
      </c>
      <c r="N726">
        <f>IFERROR(MATCH($C$5&amp;"|"&amp;RIGHT("000000"&amp;710,6),LdgRankKeyA,0),"")</f>
        <v/>
      </c>
      <c r="O726">
        <f>IFERROR(MATCH($C$5&amp;"|"&amp;RIGHT("000000"&amp;710,6),LdgRankKeyB,0),"")</f>
        <v/>
      </c>
    </row>
    <row r="727">
      <c r="A727" s="17" t="n">
        <v>711</v>
      </c>
      <c r="B727" s="18">
        <f>IF(AND($N727="",$O727=""),"",IF($N727&lt;&gt;"",INDEX(PCNormDate,$N727),INDEX(LdgDateB,$O727)))</f>
        <v/>
      </c>
      <c r="C727" s="18">
        <f>IF($N727&lt;&gt;"",INDEX(PCOp,$N727),IF($O727&lt;&gt;"",IF(N(INDEX(TxnDepB,$O727))&gt;0,"دریافت بانکی","پرداخت بانکی"),""))</f>
        <v/>
      </c>
      <c r="D727" s="18">
        <f>IF($N727&lt;&gt;"",IF(INDEX(PCDoc,$N727)="","—",INDEX(PCDoc,$N727)),IF($O727&lt;&gt;"",INDEX(LdgBankB,$O727),""))</f>
        <v/>
      </c>
      <c r="E727" s="18">
        <f>IF($N727&lt;&gt;"",IF(INDEX(PCCitrus,$N727)="","—",INDEX(PCCitrus,$N727)),"")</f>
        <v/>
      </c>
      <c r="F727" s="19">
        <f>IF($N727&lt;&gt;"",IF(INDEX(PCScale,$N727)=0,"",INDEX(PCScale,$N727)),"")</f>
        <v/>
      </c>
      <c r="G727" s="19">
        <f>IF($N727&lt;&gt;"",IF(INDEX(PCBaskets,$N727)=0,"",INDEX(PCBaskets,$N727)),"")</f>
        <v/>
      </c>
      <c r="H727" s="20">
        <f>IF($N727&lt;&gt;"",IF(INDEX(PCNet,$N727)=0,"",INDEX(PCNet,$N727)),"")</f>
        <v/>
      </c>
      <c r="I727" s="19">
        <f>IF($N727&lt;&gt;"",IF(INDEX(PCOp,$N727)="مرجوعی خرید","",IF(INDEX(PCAmount,$N727)&lt;=0,"",INDEX(PCAmount,$N727))),IF($O727&lt;&gt;"",IF(INDEX(TxnDepB,$O727)=0,"",INDEX(TxnDepB,$O727)),""))</f>
        <v/>
      </c>
      <c r="J727" s="19">
        <f>IF($N727&lt;&gt;"",IF(INDEX(PCOp,$N727)="مرجوعی خرید",IF(INDEX(PCAmount,$N727)=0,"",-INDEX(PCAmount,$N727)),""),IF($O727&lt;&gt;"",IF(INDEX(TxnWitB,$O727)=0,"",INDEX(TxnWitB,$O727)),""))</f>
        <v/>
      </c>
      <c r="K727" s="21">
        <f>IF($B727="","",IF($K726="",$C$10,$K726)+IF($I727="",0,$I727)-IF($J727="",0,$J727))</f>
        <v/>
      </c>
      <c r="L727" s="22">
        <f>IF($N727&lt;&gt;"",IF(INDEX(PCNotes,$N727)="","—",INDEX(PCNotes,$N727)),IF($O727&lt;&gt;"",IF(INDEX(LdgNoteB,$O727)="","—",INDEX(LdgNoteB,$O727)),""))</f>
        <v/>
      </c>
      <c r="N727">
        <f>IFERROR(MATCH($C$5&amp;"|"&amp;RIGHT("000000"&amp;711,6),LdgRankKeyA,0),"")</f>
        <v/>
      </c>
      <c r="O727">
        <f>IFERROR(MATCH($C$5&amp;"|"&amp;RIGHT("000000"&amp;711,6),LdgRankKeyB,0),"")</f>
        <v/>
      </c>
    </row>
    <row r="728">
      <c r="A728" s="23" t="n">
        <v>712</v>
      </c>
      <c r="B728" s="24">
        <f>IF(AND($N728="",$O728=""),"",IF($N728&lt;&gt;"",INDEX(PCNormDate,$N728),INDEX(LdgDateB,$O728)))</f>
        <v/>
      </c>
      <c r="C728" s="24">
        <f>IF($N728&lt;&gt;"",INDEX(PCOp,$N728),IF($O728&lt;&gt;"",IF(N(INDEX(TxnDepB,$O728))&gt;0,"دریافت بانکی","پرداخت بانکی"),""))</f>
        <v/>
      </c>
      <c r="D728" s="24">
        <f>IF($N728&lt;&gt;"",IF(INDEX(PCDoc,$N728)="","—",INDEX(PCDoc,$N728)),IF($O728&lt;&gt;"",INDEX(LdgBankB,$O728),""))</f>
        <v/>
      </c>
      <c r="E728" s="24">
        <f>IF($N728&lt;&gt;"",IF(INDEX(PCCitrus,$N728)="","—",INDEX(PCCitrus,$N728)),"")</f>
        <v/>
      </c>
      <c r="F728" s="25">
        <f>IF($N728&lt;&gt;"",IF(INDEX(PCScale,$N728)=0,"",INDEX(PCScale,$N728)),"")</f>
        <v/>
      </c>
      <c r="G728" s="25">
        <f>IF($N728&lt;&gt;"",IF(INDEX(PCBaskets,$N728)=0,"",INDEX(PCBaskets,$N728)),"")</f>
        <v/>
      </c>
      <c r="H728" s="26">
        <f>IF($N728&lt;&gt;"",IF(INDEX(PCNet,$N728)=0,"",INDEX(PCNet,$N728)),"")</f>
        <v/>
      </c>
      <c r="I728" s="25">
        <f>IF($N728&lt;&gt;"",IF(INDEX(PCOp,$N728)="مرجوعی خرید","",IF(INDEX(PCAmount,$N728)&lt;=0,"",INDEX(PCAmount,$N728))),IF($O728&lt;&gt;"",IF(INDEX(TxnDepB,$O728)=0,"",INDEX(TxnDepB,$O728)),""))</f>
        <v/>
      </c>
      <c r="J728" s="25">
        <f>IF($N728&lt;&gt;"",IF(INDEX(PCOp,$N728)="مرجوعی خرید",IF(INDEX(PCAmount,$N728)=0,"",-INDEX(PCAmount,$N728)),""),IF($O728&lt;&gt;"",IF(INDEX(TxnWitB,$O728)=0,"",INDEX(TxnWitB,$O728)),""))</f>
        <v/>
      </c>
      <c r="K728" s="27">
        <f>IF($B728="","",IF($K727="",$C$10,$K727)+IF($I728="",0,$I728)-IF($J728="",0,$J728))</f>
        <v/>
      </c>
      <c r="L728" s="28">
        <f>IF($N728&lt;&gt;"",IF(INDEX(PCNotes,$N728)="","—",INDEX(PCNotes,$N728)),IF($O728&lt;&gt;"",IF(INDEX(LdgNoteB,$O728)="","—",INDEX(LdgNoteB,$O728)),""))</f>
        <v/>
      </c>
      <c r="N728">
        <f>IFERROR(MATCH($C$5&amp;"|"&amp;RIGHT("000000"&amp;712,6),LdgRankKeyA,0),"")</f>
        <v/>
      </c>
      <c r="O728">
        <f>IFERROR(MATCH($C$5&amp;"|"&amp;RIGHT("000000"&amp;712,6),LdgRankKeyB,0),"")</f>
        <v/>
      </c>
    </row>
    <row r="729">
      <c r="A729" s="17" t="n">
        <v>713</v>
      </c>
      <c r="B729" s="18">
        <f>IF(AND($N729="",$O729=""),"",IF($N729&lt;&gt;"",INDEX(PCNormDate,$N729),INDEX(LdgDateB,$O729)))</f>
        <v/>
      </c>
      <c r="C729" s="18">
        <f>IF($N729&lt;&gt;"",INDEX(PCOp,$N729),IF($O729&lt;&gt;"",IF(N(INDEX(TxnDepB,$O729))&gt;0,"دریافت بانکی","پرداخت بانکی"),""))</f>
        <v/>
      </c>
      <c r="D729" s="18">
        <f>IF($N729&lt;&gt;"",IF(INDEX(PCDoc,$N729)="","—",INDEX(PCDoc,$N729)),IF($O729&lt;&gt;"",INDEX(LdgBankB,$O729),""))</f>
        <v/>
      </c>
      <c r="E729" s="18">
        <f>IF($N729&lt;&gt;"",IF(INDEX(PCCitrus,$N729)="","—",INDEX(PCCitrus,$N729)),"")</f>
        <v/>
      </c>
      <c r="F729" s="19">
        <f>IF($N729&lt;&gt;"",IF(INDEX(PCScale,$N729)=0,"",INDEX(PCScale,$N729)),"")</f>
        <v/>
      </c>
      <c r="G729" s="19">
        <f>IF($N729&lt;&gt;"",IF(INDEX(PCBaskets,$N729)=0,"",INDEX(PCBaskets,$N729)),"")</f>
        <v/>
      </c>
      <c r="H729" s="20">
        <f>IF($N729&lt;&gt;"",IF(INDEX(PCNet,$N729)=0,"",INDEX(PCNet,$N729)),"")</f>
        <v/>
      </c>
      <c r="I729" s="19">
        <f>IF($N729&lt;&gt;"",IF(INDEX(PCOp,$N729)="مرجوعی خرید","",IF(INDEX(PCAmount,$N729)&lt;=0,"",INDEX(PCAmount,$N729))),IF($O729&lt;&gt;"",IF(INDEX(TxnDepB,$O729)=0,"",INDEX(TxnDepB,$O729)),""))</f>
        <v/>
      </c>
      <c r="J729" s="19">
        <f>IF($N729&lt;&gt;"",IF(INDEX(PCOp,$N729)="مرجوعی خرید",IF(INDEX(PCAmount,$N729)=0,"",-INDEX(PCAmount,$N729)),""),IF($O729&lt;&gt;"",IF(INDEX(TxnWitB,$O729)=0,"",INDEX(TxnWitB,$O729)),""))</f>
        <v/>
      </c>
      <c r="K729" s="21">
        <f>IF($B729="","",IF($K728="",$C$10,$K728)+IF($I729="",0,$I729)-IF($J729="",0,$J729))</f>
        <v/>
      </c>
      <c r="L729" s="22">
        <f>IF($N729&lt;&gt;"",IF(INDEX(PCNotes,$N729)="","—",INDEX(PCNotes,$N729)),IF($O729&lt;&gt;"",IF(INDEX(LdgNoteB,$O729)="","—",INDEX(LdgNoteB,$O729)),""))</f>
        <v/>
      </c>
      <c r="N729">
        <f>IFERROR(MATCH($C$5&amp;"|"&amp;RIGHT("000000"&amp;713,6),LdgRankKeyA,0),"")</f>
        <v/>
      </c>
      <c r="O729">
        <f>IFERROR(MATCH($C$5&amp;"|"&amp;RIGHT("000000"&amp;713,6),LdgRankKeyB,0),"")</f>
        <v/>
      </c>
    </row>
    <row r="730">
      <c r="A730" s="23" t="n">
        <v>714</v>
      </c>
      <c r="B730" s="24">
        <f>IF(AND($N730="",$O730=""),"",IF($N730&lt;&gt;"",INDEX(PCNormDate,$N730),INDEX(LdgDateB,$O730)))</f>
        <v/>
      </c>
      <c r="C730" s="24">
        <f>IF($N730&lt;&gt;"",INDEX(PCOp,$N730),IF($O730&lt;&gt;"",IF(N(INDEX(TxnDepB,$O730))&gt;0,"دریافت بانکی","پرداخت بانکی"),""))</f>
        <v/>
      </c>
      <c r="D730" s="24">
        <f>IF($N730&lt;&gt;"",IF(INDEX(PCDoc,$N730)="","—",INDEX(PCDoc,$N730)),IF($O730&lt;&gt;"",INDEX(LdgBankB,$O730),""))</f>
        <v/>
      </c>
      <c r="E730" s="24">
        <f>IF($N730&lt;&gt;"",IF(INDEX(PCCitrus,$N730)="","—",INDEX(PCCitrus,$N730)),"")</f>
        <v/>
      </c>
      <c r="F730" s="25">
        <f>IF($N730&lt;&gt;"",IF(INDEX(PCScale,$N730)=0,"",INDEX(PCScale,$N730)),"")</f>
        <v/>
      </c>
      <c r="G730" s="25">
        <f>IF($N730&lt;&gt;"",IF(INDEX(PCBaskets,$N730)=0,"",INDEX(PCBaskets,$N730)),"")</f>
        <v/>
      </c>
      <c r="H730" s="26">
        <f>IF($N730&lt;&gt;"",IF(INDEX(PCNet,$N730)=0,"",INDEX(PCNet,$N730)),"")</f>
        <v/>
      </c>
      <c r="I730" s="25">
        <f>IF($N730&lt;&gt;"",IF(INDEX(PCOp,$N730)="مرجوعی خرید","",IF(INDEX(PCAmount,$N730)&lt;=0,"",INDEX(PCAmount,$N730))),IF($O730&lt;&gt;"",IF(INDEX(TxnDepB,$O730)=0,"",INDEX(TxnDepB,$O730)),""))</f>
        <v/>
      </c>
      <c r="J730" s="25">
        <f>IF($N730&lt;&gt;"",IF(INDEX(PCOp,$N730)="مرجوعی خرید",IF(INDEX(PCAmount,$N730)=0,"",-INDEX(PCAmount,$N730)),""),IF($O730&lt;&gt;"",IF(INDEX(TxnWitB,$O730)=0,"",INDEX(TxnWitB,$O730)),""))</f>
        <v/>
      </c>
      <c r="K730" s="27">
        <f>IF($B730="","",IF($K729="",$C$10,$K729)+IF($I730="",0,$I730)-IF($J730="",0,$J730))</f>
        <v/>
      </c>
      <c r="L730" s="28">
        <f>IF($N730&lt;&gt;"",IF(INDEX(PCNotes,$N730)="","—",INDEX(PCNotes,$N730)),IF($O730&lt;&gt;"",IF(INDEX(LdgNoteB,$O730)="","—",INDEX(LdgNoteB,$O730)),""))</f>
        <v/>
      </c>
      <c r="N730">
        <f>IFERROR(MATCH($C$5&amp;"|"&amp;RIGHT("000000"&amp;714,6),LdgRankKeyA,0),"")</f>
        <v/>
      </c>
      <c r="O730">
        <f>IFERROR(MATCH($C$5&amp;"|"&amp;RIGHT("000000"&amp;714,6),LdgRankKeyB,0),"")</f>
        <v/>
      </c>
    </row>
    <row r="731">
      <c r="A731" s="17" t="n">
        <v>715</v>
      </c>
      <c r="B731" s="18">
        <f>IF(AND($N731="",$O731=""),"",IF($N731&lt;&gt;"",INDEX(PCNormDate,$N731),INDEX(LdgDateB,$O731)))</f>
        <v/>
      </c>
      <c r="C731" s="18">
        <f>IF($N731&lt;&gt;"",INDEX(PCOp,$N731),IF($O731&lt;&gt;"",IF(N(INDEX(TxnDepB,$O731))&gt;0,"دریافت بانکی","پرداخت بانکی"),""))</f>
        <v/>
      </c>
      <c r="D731" s="18">
        <f>IF($N731&lt;&gt;"",IF(INDEX(PCDoc,$N731)="","—",INDEX(PCDoc,$N731)),IF($O731&lt;&gt;"",INDEX(LdgBankB,$O731),""))</f>
        <v/>
      </c>
      <c r="E731" s="18">
        <f>IF($N731&lt;&gt;"",IF(INDEX(PCCitrus,$N731)="","—",INDEX(PCCitrus,$N731)),"")</f>
        <v/>
      </c>
      <c r="F731" s="19">
        <f>IF($N731&lt;&gt;"",IF(INDEX(PCScale,$N731)=0,"",INDEX(PCScale,$N731)),"")</f>
        <v/>
      </c>
      <c r="G731" s="19">
        <f>IF($N731&lt;&gt;"",IF(INDEX(PCBaskets,$N731)=0,"",INDEX(PCBaskets,$N731)),"")</f>
        <v/>
      </c>
      <c r="H731" s="20">
        <f>IF($N731&lt;&gt;"",IF(INDEX(PCNet,$N731)=0,"",INDEX(PCNet,$N731)),"")</f>
        <v/>
      </c>
      <c r="I731" s="19">
        <f>IF($N731&lt;&gt;"",IF(INDEX(PCOp,$N731)="مرجوعی خرید","",IF(INDEX(PCAmount,$N731)&lt;=0,"",INDEX(PCAmount,$N731))),IF($O731&lt;&gt;"",IF(INDEX(TxnDepB,$O731)=0,"",INDEX(TxnDepB,$O731)),""))</f>
        <v/>
      </c>
      <c r="J731" s="19">
        <f>IF($N731&lt;&gt;"",IF(INDEX(PCOp,$N731)="مرجوعی خرید",IF(INDEX(PCAmount,$N731)=0,"",-INDEX(PCAmount,$N731)),""),IF($O731&lt;&gt;"",IF(INDEX(TxnWitB,$O731)=0,"",INDEX(TxnWitB,$O731)),""))</f>
        <v/>
      </c>
      <c r="K731" s="21">
        <f>IF($B731="","",IF($K730="",$C$10,$K730)+IF($I731="",0,$I731)-IF($J731="",0,$J731))</f>
        <v/>
      </c>
      <c r="L731" s="22">
        <f>IF($N731&lt;&gt;"",IF(INDEX(PCNotes,$N731)="","—",INDEX(PCNotes,$N731)),IF($O731&lt;&gt;"",IF(INDEX(LdgNoteB,$O731)="","—",INDEX(LdgNoteB,$O731)),""))</f>
        <v/>
      </c>
      <c r="N731">
        <f>IFERROR(MATCH($C$5&amp;"|"&amp;RIGHT("000000"&amp;715,6),LdgRankKeyA,0),"")</f>
        <v/>
      </c>
      <c r="O731">
        <f>IFERROR(MATCH($C$5&amp;"|"&amp;RIGHT("000000"&amp;715,6),LdgRankKeyB,0),"")</f>
        <v/>
      </c>
    </row>
    <row r="732">
      <c r="A732" s="23" t="n">
        <v>716</v>
      </c>
      <c r="B732" s="24">
        <f>IF(AND($N732="",$O732=""),"",IF($N732&lt;&gt;"",INDEX(PCNormDate,$N732),INDEX(LdgDateB,$O732)))</f>
        <v/>
      </c>
      <c r="C732" s="24">
        <f>IF($N732&lt;&gt;"",INDEX(PCOp,$N732),IF($O732&lt;&gt;"",IF(N(INDEX(TxnDepB,$O732))&gt;0,"دریافت بانکی","پرداخت بانکی"),""))</f>
        <v/>
      </c>
      <c r="D732" s="24">
        <f>IF($N732&lt;&gt;"",IF(INDEX(PCDoc,$N732)="","—",INDEX(PCDoc,$N732)),IF($O732&lt;&gt;"",INDEX(LdgBankB,$O732),""))</f>
        <v/>
      </c>
      <c r="E732" s="24">
        <f>IF($N732&lt;&gt;"",IF(INDEX(PCCitrus,$N732)="","—",INDEX(PCCitrus,$N732)),"")</f>
        <v/>
      </c>
      <c r="F732" s="25">
        <f>IF($N732&lt;&gt;"",IF(INDEX(PCScale,$N732)=0,"",INDEX(PCScale,$N732)),"")</f>
        <v/>
      </c>
      <c r="G732" s="25">
        <f>IF($N732&lt;&gt;"",IF(INDEX(PCBaskets,$N732)=0,"",INDEX(PCBaskets,$N732)),"")</f>
        <v/>
      </c>
      <c r="H732" s="26">
        <f>IF($N732&lt;&gt;"",IF(INDEX(PCNet,$N732)=0,"",INDEX(PCNet,$N732)),"")</f>
        <v/>
      </c>
      <c r="I732" s="25">
        <f>IF($N732&lt;&gt;"",IF(INDEX(PCOp,$N732)="مرجوعی خرید","",IF(INDEX(PCAmount,$N732)&lt;=0,"",INDEX(PCAmount,$N732))),IF($O732&lt;&gt;"",IF(INDEX(TxnDepB,$O732)=0,"",INDEX(TxnDepB,$O732)),""))</f>
        <v/>
      </c>
      <c r="J732" s="25">
        <f>IF($N732&lt;&gt;"",IF(INDEX(PCOp,$N732)="مرجوعی خرید",IF(INDEX(PCAmount,$N732)=0,"",-INDEX(PCAmount,$N732)),""),IF($O732&lt;&gt;"",IF(INDEX(TxnWitB,$O732)=0,"",INDEX(TxnWitB,$O732)),""))</f>
        <v/>
      </c>
      <c r="K732" s="27">
        <f>IF($B732="","",IF($K731="",$C$10,$K731)+IF($I732="",0,$I732)-IF($J732="",0,$J732))</f>
        <v/>
      </c>
      <c r="L732" s="28">
        <f>IF($N732&lt;&gt;"",IF(INDEX(PCNotes,$N732)="","—",INDEX(PCNotes,$N732)),IF($O732&lt;&gt;"",IF(INDEX(LdgNoteB,$O732)="","—",INDEX(LdgNoteB,$O732)),""))</f>
        <v/>
      </c>
      <c r="N732">
        <f>IFERROR(MATCH($C$5&amp;"|"&amp;RIGHT("000000"&amp;716,6),LdgRankKeyA,0),"")</f>
        <v/>
      </c>
      <c r="O732">
        <f>IFERROR(MATCH($C$5&amp;"|"&amp;RIGHT("000000"&amp;716,6),LdgRankKeyB,0),"")</f>
        <v/>
      </c>
    </row>
    <row r="733">
      <c r="A733" s="17" t="n">
        <v>717</v>
      </c>
      <c r="B733" s="18">
        <f>IF(AND($N733="",$O733=""),"",IF($N733&lt;&gt;"",INDEX(PCNormDate,$N733),INDEX(LdgDateB,$O733)))</f>
        <v/>
      </c>
      <c r="C733" s="18">
        <f>IF($N733&lt;&gt;"",INDEX(PCOp,$N733),IF($O733&lt;&gt;"",IF(N(INDEX(TxnDepB,$O733))&gt;0,"دریافت بانکی","پرداخت بانکی"),""))</f>
        <v/>
      </c>
      <c r="D733" s="18">
        <f>IF($N733&lt;&gt;"",IF(INDEX(PCDoc,$N733)="","—",INDEX(PCDoc,$N733)),IF($O733&lt;&gt;"",INDEX(LdgBankB,$O733),""))</f>
        <v/>
      </c>
      <c r="E733" s="18">
        <f>IF($N733&lt;&gt;"",IF(INDEX(PCCitrus,$N733)="","—",INDEX(PCCitrus,$N733)),"")</f>
        <v/>
      </c>
      <c r="F733" s="19">
        <f>IF($N733&lt;&gt;"",IF(INDEX(PCScale,$N733)=0,"",INDEX(PCScale,$N733)),"")</f>
        <v/>
      </c>
      <c r="G733" s="19">
        <f>IF($N733&lt;&gt;"",IF(INDEX(PCBaskets,$N733)=0,"",INDEX(PCBaskets,$N733)),"")</f>
        <v/>
      </c>
      <c r="H733" s="20">
        <f>IF($N733&lt;&gt;"",IF(INDEX(PCNet,$N733)=0,"",INDEX(PCNet,$N733)),"")</f>
        <v/>
      </c>
      <c r="I733" s="19">
        <f>IF($N733&lt;&gt;"",IF(INDEX(PCOp,$N733)="مرجوعی خرید","",IF(INDEX(PCAmount,$N733)&lt;=0,"",INDEX(PCAmount,$N733))),IF($O733&lt;&gt;"",IF(INDEX(TxnDepB,$O733)=0,"",INDEX(TxnDepB,$O733)),""))</f>
        <v/>
      </c>
      <c r="J733" s="19">
        <f>IF($N733&lt;&gt;"",IF(INDEX(PCOp,$N733)="مرجوعی خرید",IF(INDEX(PCAmount,$N733)=0,"",-INDEX(PCAmount,$N733)),""),IF($O733&lt;&gt;"",IF(INDEX(TxnWitB,$O733)=0,"",INDEX(TxnWitB,$O733)),""))</f>
        <v/>
      </c>
      <c r="K733" s="21">
        <f>IF($B733="","",IF($K732="",$C$10,$K732)+IF($I733="",0,$I733)-IF($J733="",0,$J733))</f>
        <v/>
      </c>
      <c r="L733" s="22">
        <f>IF($N733&lt;&gt;"",IF(INDEX(PCNotes,$N733)="","—",INDEX(PCNotes,$N733)),IF($O733&lt;&gt;"",IF(INDEX(LdgNoteB,$O733)="","—",INDEX(LdgNoteB,$O733)),""))</f>
        <v/>
      </c>
      <c r="N733">
        <f>IFERROR(MATCH($C$5&amp;"|"&amp;RIGHT("000000"&amp;717,6),LdgRankKeyA,0),"")</f>
        <v/>
      </c>
      <c r="O733">
        <f>IFERROR(MATCH($C$5&amp;"|"&amp;RIGHT("000000"&amp;717,6),LdgRankKeyB,0),"")</f>
        <v/>
      </c>
    </row>
    <row r="734">
      <c r="A734" s="23" t="n">
        <v>718</v>
      </c>
      <c r="B734" s="24">
        <f>IF(AND($N734="",$O734=""),"",IF($N734&lt;&gt;"",INDEX(PCNormDate,$N734),INDEX(LdgDateB,$O734)))</f>
        <v/>
      </c>
      <c r="C734" s="24">
        <f>IF($N734&lt;&gt;"",INDEX(PCOp,$N734),IF($O734&lt;&gt;"",IF(N(INDEX(TxnDepB,$O734))&gt;0,"دریافت بانکی","پرداخت بانکی"),""))</f>
        <v/>
      </c>
      <c r="D734" s="24">
        <f>IF($N734&lt;&gt;"",IF(INDEX(PCDoc,$N734)="","—",INDEX(PCDoc,$N734)),IF($O734&lt;&gt;"",INDEX(LdgBankB,$O734),""))</f>
        <v/>
      </c>
      <c r="E734" s="24">
        <f>IF($N734&lt;&gt;"",IF(INDEX(PCCitrus,$N734)="","—",INDEX(PCCitrus,$N734)),"")</f>
        <v/>
      </c>
      <c r="F734" s="25">
        <f>IF($N734&lt;&gt;"",IF(INDEX(PCScale,$N734)=0,"",INDEX(PCScale,$N734)),"")</f>
        <v/>
      </c>
      <c r="G734" s="25">
        <f>IF($N734&lt;&gt;"",IF(INDEX(PCBaskets,$N734)=0,"",INDEX(PCBaskets,$N734)),"")</f>
        <v/>
      </c>
      <c r="H734" s="26">
        <f>IF($N734&lt;&gt;"",IF(INDEX(PCNet,$N734)=0,"",INDEX(PCNet,$N734)),"")</f>
        <v/>
      </c>
      <c r="I734" s="25">
        <f>IF($N734&lt;&gt;"",IF(INDEX(PCOp,$N734)="مرجوعی خرید","",IF(INDEX(PCAmount,$N734)&lt;=0,"",INDEX(PCAmount,$N734))),IF($O734&lt;&gt;"",IF(INDEX(TxnDepB,$O734)=0,"",INDEX(TxnDepB,$O734)),""))</f>
        <v/>
      </c>
      <c r="J734" s="25">
        <f>IF($N734&lt;&gt;"",IF(INDEX(PCOp,$N734)="مرجوعی خرید",IF(INDEX(PCAmount,$N734)=0,"",-INDEX(PCAmount,$N734)),""),IF($O734&lt;&gt;"",IF(INDEX(TxnWitB,$O734)=0,"",INDEX(TxnWitB,$O734)),""))</f>
        <v/>
      </c>
      <c r="K734" s="27">
        <f>IF($B734="","",IF($K733="",$C$10,$K733)+IF($I734="",0,$I734)-IF($J734="",0,$J734))</f>
        <v/>
      </c>
      <c r="L734" s="28">
        <f>IF($N734&lt;&gt;"",IF(INDEX(PCNotes,$N734)="","—",INDEX(PCNotes,$N734)),IF($O734&lt;&gt;"",IF(INDEX(LdgNoteB,$O734)="","—",INDEX(LdgNoteB,$O734)),""))</f>
        <v/>
      </c>
      <c r="N734">
        <f>IFERROR(MATCH($C$5&amp;"|"&amp;RIGHT("000000"&amp;718,6),LdgRankKeyA,0),"")</f>
        <v/>
      </c>
      <c r="O734">
        <f>IFERROR(MATCH($C$5&amp;"|"&amp;RIGHT("000000"&amp;718,6),LdgRankKeyB,0),"")</f>
        <v/>
      </c>
    </row>
    <row r="735">
      <c r="A735" s="17" t="n">
        <v>719</v>
      </c>
      <c r="B735" s="18">
        <f>IF(AND($N735="",$O735=""),"",IF($N735&lt;&gt;"",INDEX(PCNormDate,$N735),INDEX(LdgDateB,$O735)))</f>
        <v/>
      </c>
      <c r="C735" s="18">
        <f>IF($N735&lt;&gt;"",INDEX(PCOp,$N735),IF($O735&lt;&gt;"",IF(N(INDEX(TxnDepB,$O735))&gt;0,"دریافت بانکی","پرداخت بانکی"),""))</f>
        <v/>
      </c>
      <c r="D735" s="18">
        <f>IF($N735&lt;&gt;"",IF(INDEX(PCDoc,$N735)="","—",INDEX(PCDoc,$N735)),IF($O735&lt;&gt;"",INDEX(LdgBankB,$O735),""))</f>
        <v/>
      </c>
      <c r="E735" s="18">
        <f>IF($N735&lt;&gt;"",IF(INDEX(PCCitrus,$N735)="","—",INDEX(PCCitrus,$N735)),"")</f>
        <v/>
      </c>
      <c r="F735" s="19">
        <f>IF($N735&lt;&gt;"",IF(INDEX(PCScale,$N735)=0,"",INDEX(PCScale,$N735)),"")</f>
        <v/>
      </c>
      <c r="G735" s="19">
        <f>IF($N735&lt;&gt;"",IF(INDEX(PCBaskets,$N735)=0,"",INDEX(PCBaskets,$N735)),"")</f>
        <v/>
      </c>
      <c r="H735" s="20">
        <f>IF($N735&lt;&gt;"",IF(INDEX(PCNet,$N735)=0,"",INDEX(PCNet,$N735)),"")</f>
        <v/>
      </c>
      <c r="I735" s="19">
        <f>IF($N735&lt;&gt;"",IF(INDEX(PCOp,$N735)="مرجوعی خرید","",IF(INDEX(PCAmount,$N735)&lt;=0,"",INDEX(PCAmount,$N735))),IF($O735&lt;&gt;"",IF(INDEX(TxnDepB,$O735)=0,"",INDEX(TxnDepB,$O735)),""))</f>
        <v/>
      </c>
      <c r="J735" s="19">
        <f>IF($N735&lt;&gt;"",IF(INDEX(PCOp,$N735)="مرجوعی خرید",IF(INDEX(PCAmount,$N735)=0,"",-INDEX(PCAmount,$N735)),""),IF($O735&lt;&gt;"",IF(INDEX(TxnWitB,$O735)=0,"",INDEX(TxnWitB,$O735)),""))</f>
        <v/>
      </c>
      <c r="K735" s="21">
        <f>IF($B735="","",IF($K734="",$C$10,$K734)+IF($I735="",0,$I735)-IF($J735="",0,$J735))</f>
        <v/>
      </c>
      <c r="L735" s="22">
        <f>IF($N735&lt;&gt;"",IF(INDEX(PCNotes,$N735)="","—",INDEX(PCNotes,$N735)),IF($O735&lt;&gt;"",IF(INDEX(LdgNoteB,$O735)="","—",INDEX(LdgNoteB,$O735)),""))</f>
        <v/>
      </c>
      <c r="N735">
        <f>IFERROR(MATCH($C$5&amp;"|"&amp;RIGHT("000000"&amp;719,6),LdgRankKeyA,0),"")</f>
        <v/>
      </c>
      <c r="O735">
        <f>IFERROR(MATCH($C$5&amp;"|"&amp;RIGHT("000000"&amp;719,6),LdgRankKeyB,0),"")</f>
        <v/>
      </c>
    </row>
    <row r="736">
      <c r="A736" s="23" t="n">
        <v>720</v>
      </c>
      <c r="B736" s="24">
        <f>IF(AND($N736="",$O736=""),"",IF($N736&lt;&gt;"",INDEX(PCNormDate,$N736),INDEX(LdgDateB,$O736)))</f>
        <v/>
      </c>
      <c r="C736" s="24">
        <f>IF($N736&lt;&gt;"",INDEX(PCOp,$N736),IF($O736&lt;&gt;"",IF(N(INDEX(TxnDepB,$O736))&gt;0,"دریافت بانکی","پرداخت بانکی"),""))</f>
        <v/>
      </c>
      <c r="D736" s="24">
        <f>IF($N736&lt;&gt;"",IF(INDEX(PCDoc,$N736)="","—",INDEX(PCDoc,$N736)),IF($O736&lt;&gt;"",INDEX(LdgBankB,$O736),""))</f>
        <v/>
      </c>
      <c r="E736" s="24">
        <f>IF($N736&lt;&gt;"",IF(INDEX(PCCitrus,$N736)="","—",INDEX(PCCitrus,$N736)),"")</f>
        <v/>
      </c>
      <c r="F736" s="25">
        <f>IF($N736&lt;&gt;"",IF(INDEX(PCScale,$N736)=0,"",INDEX(PCScale,$N736)),"")</f>
        <v/>
      </c>
      <c r="G736" s="25">
        <f>IF($N736&lt;&gt;"",IF(INDEX(PCBaskets,$N736)=0,"",INDEX(PCBaskets,$N736)),"")</f>
        <v/>
      </c>
      <c r="H736" s="26">
        <f>IF($N736&lt;&gt;"",IF(INDEX(PCNet,$N736)=0,"",INDEX(PCNet,$N736)),"")</f>
        <v/>
      </c>
      <c r="I736" s="25">
        <f>IF($N736&lt;&gt;"",IF(INDEX(PCOp,$N736)="مرجوعی خرید","",IF(INDEX(PCAmount,$N736)&lt;=0,"",INDEX(PCAmount,$N736))),IF($O736&lt;&gt;"",IF(INDEX(TxnDepB,$O736)=0,"",INDEX(TxnDepB,$O736)),""))</f>
        <v/>
      </c>
      <c r="J736" s="25">
        <f>IF($N736&lt;&gt;"",IF(INDEX(PCOp,$N736)="مرجوعی خرید",IF(INDEX(PCAmount,$N736)=0,"",-INDEX(PCAmount,$N736)),""),IF($O736&lt;&gt;"",IF(INDEX(TxnWitB,$O736)=0,"",INDEX(TxnWitB,$O736)),""))</f>
        <v/>
      </c>
      <c r="K736" s="27">
        <f>IF($B736="","",IF($K735="",$C$10,$K735)+IF($I736="",0,$I736)-IF($J736="",0,$J736))</f>
        <v/>
      </c>
      <c r="L736" s="28">
        <f>IF($N736&lt;&gt;"",IF(INDEX(PCNotes,$N736)="","—",INDEX(PCNotes,$N736)),IF($O736&lt;&gt;"",IF(INDEX(LdgNoteB,$O736)="","—",INDEX(LdgNoteB,$O736)),""))</f>
        <v/>
      </c>
      <c r="N736">
        <f>IFERROR(MATCH($C$5&amp;"|"&amp;RIGHT("000000"&amp;720,6),LdgRankKeyA,0),"")</f>
        <v/>
      </c>
      <c r="O736">
        <f>IFERROR(MATCH($C$5&amp;"|"&amp;RIGHT("000000"&amp;720,6),LdgRankKeyB,0),"")</f>
        <v/>
      </c>
    </row>
    <row r="737">
      <c r="A737" s="17" t="n">
        <v>721</v>
      </c>
      <c r="B737" s="18">
        <f>IF(AND($N737="",$O737=""),"",IF($N737&lt;&gt;"",INDEX(PCNormDate,$N737),INDEX(LdgDateB,$O737)))</f>
        <v/>
      </c>
      <c r="C737" s="18">
        <f>IF($N737&lt;&gt;"",INDEX(PCOp,$N737),IF($O737&lt;&gt;"",IF(N(INDEX(TxnDepB,$O737))&gt;0,"دریافت بانکی","پرداخت بانکی"),""))</f>
        <v/>
      </c>
      <c r="D737" s="18">
        <f>IF($N737&lt;&gt;"",IF(INDEX(PCDoc,$N737)="","—",INDEX(PCDoc,$N737)),IF($O737&lt;&gt;"",INDEX(LdgBankB,$O737),""))</f>
        <v/>
      </c>
      <c r="E737" s="18">
        <f>IF($N737&lt;&gt;"",IF(INDEX(PCCitrus,$N737)="","—",INDEX(PCCitrus,$N737)),"")</f>
        <v/>
      </c>
      <c r="F737" s="19">
        <f>IF($N737&lt;&gt;"",IF(INDEX(PCScale,$N737)=0,"",INDEX(PCScale,$N737)),"")</f>
        <v/>
      </c>
      <c r="G737" s="19">
        <f>IF($N737&lt;&gt;"",IF(INDEX(PCBaskets,$N737)=0,"",INDEX(PCBaskets,$N737)),"")</f>
        <v/>
      </c>
      <c r="H737" s="20">
        <f>IF($N737&lt;&gt;"",IF(INDEX(PCNet,$N737)=0,"",INDEX(PCNet,$N737)),"")</f>
        <v/>
      </c>
      <c r="I737" s="19">
        <f>IF($N737&lt;&gt;"",IF(INDEX(PCOp,$N737)="مرجوعی خرید","",IF(INDEX(PCAmount,$N737)&lt;=0,"",INDEX(PCAmount,$N737))),IF($O737&lt;&gt;"",IF(INDEX(TxnDepB,$O737)=0,"",INDEX(TxnDepB,$O737)),""))</f>
        <v/>
      </c>
      <c r="J737" s="19">
        <f>IF($N737&lt;&gt;"",IF(INDEX(PCOp,$N737)="مرجوعی خرید",IF(INDEX(PCAmount,$N737)=0,"",-INDEX(PCAmount,$N737)),""),IF($O737&lt;&gt;"",IF(INDEX(TxnWitB,$O737)=0,"",INDEX(TxnWitB,$O737)),""))</f>
        <v/>
      </c>
      <c r="K737" s="21">
        <f>IF($B737="","",IF($K736="",$C$10,$K736)+IF($I737="",0,$I737)-IF($J737="",0,$J737))</f>
        <v/>
      </c>
      <c r="L737" s="22">
        <f>IF($N737&lt;&gt;"",IF(INDEX(PCNotes,$N737)="","—",INDEX(PCNotes,$N737)),IF($O737&lt;&gt;"",IF(INDEX(LdgNoteB,$O737)="","—",INDEX(LdgNoteB,$O737)),""))</f>
        <v/>
      </c>
      <c r="N737">
        <f>IFERROR(MATCH($C$5&amp;"|"&amp;RIGHT("000000"&amp;721,6),LdgRankKeyA,0),"")</f>
        <v/>
      </c>
      <c r="O737">
        <f>IFERROR(MATCH($C$5&amp;"|"&amp;RIGHT("000000"&amp;721,6),LdgRankKeyB,0),"")</f>
        <v/>
      </c>
    </row>
    <row r="738">
      <c r="A738" s="23" t="n">
        <v>722</v>
      </c>
      <c r="B738" s="24">
        <f>IF(AND($N738="",$O738=""),"",IF($N738&lt;&gt;"",INDEX(PCNormDate,$N738),INDEX(LdgDateB,$O738)))</f>
        <v/>
      </c>
      <c r="C738" s="24">
        <f>IF($N738&lt;&gt;"",INDEX(PCOp,$N738),IF($O738&lt;&gt;"",IF(N(INDEX(TxnDepB,$O738))&gt;0,"دریافت بانکی","پرداخت بانکی"),""))</f>
        <v/>
      </c>
      <c r="D738" s="24">
        <f>IF($N738&lt;&gt;"",IF(INDEX(PCDoc,$N738)="","—",INDEX(PCDoc,$N738)),IF($O738&lt;&gt;"",INDEX(LdgBankB,$O738),""))</f>
        <v/>
      </c>
      <c r="E738" s="24">
        <f>IF($N738&lt;&gt;"",IF(INDEX(PCCitrus,$N738)="","—",INDEX(PCCitrus,$N738)),"")</f>
        <v/>
      </c>
      <c r="F738" s="25">
        <f>IF($N738&lt;&gt;"",IF(INDEX(PCScale,$N738)=0,"",INDEX(PCScale,$N738)),"")</f>
        <v/>
      </c>
      <c r="G738" s="25">
        <f>IF($N738&lt;&gt;"",IF(INDEX(PCBaskets,$N738)=0,"",INDEX(PCBaskets,$N738)),"")</f>
        <v/>
      </c>
      <c r="H738" s="26">
        <f>IF($N738&lt;&gt;"",IF(INDEX(PCNet,$N738)=0,"",INDEX(PCNet,$N738)),"")</f>
        <v/>
      </c>
      <c r="I738" s="25">
        <f>IF($N738&lt;&gt;"",IF(INDEX(PCOp,$N738)="مرجوعی خرید","",IF(INDEX(PCAmount,$N738)&lt;=0,"",INDEX(PCAmount,$N738))),IF($O738&lt;&gt;"",IF(INDEX(TxnDepB,$O738)=0,"",INDEX(TxnDepB,$O738)),""))</f>
        <v/>
      </c>
      <c r="J738" s="25">
        <f>IF($N738&lt;&gt;"",IF(INDEX(PCOp,$N738)="مرجوعی خرید",IF(INDEX(PCAmount,$N738)=0,"",-INDEX(PCAmount,$N738)),""),IF($O738&lt;&gt;"",IF(INDEX(TxnWitB,$O738)=0,"",INDEX(TxnWitB,$O738)),""))</f>
        <v/>
      </c>
      <c r="K738" s="27">
        <f>IF($B738="","",IF($K737="",$C$10,$K737)+IF($I738="",0,$I738)-IF($J738="",0,$J738))</f>
        <v/>
      </c>
      <c r="L738" s="28">
        <f>IF($N738&lt;&gt;"",IF(INDEX(PCNotes,$N738)="","—",INDEX(PCNotes,$N738)),IF($O738&lt;&gt;"",IF(INDEX(LdgNoteB,$O738)="","—",INDEX(LdgNoteB,$O738)),""))</f>
        <v/>
      </c>
      <c r="N738">
        <f>IFERROR(MATCH($C$5&amp;"|"&amp;RIGHT("000000"&amp;722,6),LdgRankKeyA,0),"")</f>
        <v/>
      </c>
      <c r="O738">
        <f>IFERROR(MATCH($C$5&amp;"|"&amp;RIGHT("000000"&amp;722,6),LdgRankKeyB,0),"")</f>
        <v/>
      </c>
    </row>
    <row r="739">
      <c r="A739" s="17" t="n">
        <v>723</v>
      </c>
      <c r="B739" s="18">
        <f>IF(AND($N739="",$O739=""),"",IF($N739&lt;&gt;"",INDEX(PCNormDate,$N739),INDEX(LdgDateB,$O739)))</f>
        <v/>
      </c>
      <c r="C739" s="18">
        <f>IF($N739&lt;&gt;"",INDEX(PCOp,$N739),IF($O739&lt;&gt;"",IF(N(INDEX(TxnDepB,$O739))&gt;0,"دریافت بانکی","پرداخت بانکی"),""))</f>
        <v/>
      </c>
      <c r="D739" s="18">
        <f>IF($N739&lt;&gt;"",IF(INDEX(PCDoc,$N739)="","—",INDEX(PCDoc,$N739)),IF($O739&lt;&gt;"",INDEX(LdgBankB,$O739),""))</f>
        <v/>
      </c>
      <c r="E739" s="18">
        <f>IF($N739&lt;&gt;"",IF(INDEX(PCCitrus,$N739)="","—",INDEX(PCCitrus,$N739)),"")</f>
        <v/>
      </c>
      <c r="F739" s="19">
        <f>IF($N739&lt;&gt;"",IF(INDEX(PCScale,$N739)=0,"",INDEX(PCScale,$N739)),"")</f>
        <v/>
      </c>
      <c r="G739" s="19">
        <f>IF($N739&lt;&gt;"",IF(INDEX(PCBaskets,$N739)=0,"",INDEX(PCBaskets,$N739)),"")</f>
        <v/>
      </c>
      <c r="H739" s="20">
        <f>IF($N739&lt;&gt;"",IF(INDEX(PCNet,$N739)=0,"",INDEX(PCNet,$N739)),"")</f>
        <v/>
      </c>
      <c r="I739" s="19">
        <f>IF($N739&lt;&gt;"",IF(INDEX(PCOp,$N739)="مرجوعی خرید","",IF(INDEX(PCAmount,$N739)&lt;=0,"",INDEX(PCAmount,$N739))),IF($O739&lt;&gt;"",IF(INDEX(TxnDepB,$O739)=0,"",INDEX(TxnDepB,$O739)),""))</f>
        <v/>
      </c>
      <c r="J739" s="19">
        <f>IF($N739&lt;&gt;"",IF(INDEX(PCOp,$N739)="مرجوعی خرید",IF(INDEX(PCAmount,$N739)=0,"",-INDEX(PCAmount,$N739)),""),IF($O739&lt;&gt;"",IF(INDEX(TxnWitB,$O739)=0,"",INDEX(TxnWitB,$O739)),""))</f>
        <v/>
      </c>
      <c r="K739" s="21">
        <f>IF($B739="","",IF($K738="",$C$10,$K738)+IF($I739="",0,$I739)-IF($J739="",0,$J739))</f>
        <v/>
      </c>
      <c r="L739" s="22">
        <f>IF($N739&lt;&gt;"",IF(INDEX(PCNotes,$N739)="","—",INDEX(PCNotes,$N739)),IF($O739&lt;&gt;"",IF(INDEX(LdgNoteB,$O739)="","—",INDEX(LdgNoteB,$O739)),""))</f>
        <v/>
      </c>
      <c r="N739">
        <f>IFERROR(MATCH($C$5&amp;"|"&amp;RIGHT("000000"&amp;723,6),LdgRankKeyA,0),"")</f>
        <v/>
      </c>
      <c r="O739">
        <f>IFERROR(MATCH($C$5&amp;"|"&amp;RIGHT("000000"&amp;723,6),LdgRankKeyB,0),"")</f>
        <v/>
      </c>
    </row>
    <row r="740">
      <c r="A740" s="23" t="n">
        <v>724</v>
      </c>
      <c r="B740" s="24">
        <f>IF(AND($N740="",$O740=""),"",IF($N740&lt;&gt;"",INDEX(PCNormDate,$N740),INDEX(LdgDateB,$O740)))</f>
        <v/>
      </c>
      <c r="C740" s="24">
        <f>IF($N740&lt;&gt;"",INDEX(PCOp,$N740),IF($O740&lt;&gt;"",IF(N(INDEX(TxnDepB,$O740))&gt;0,"دریافت بانکی","پرداخت بانکی"),""))</f>
        <v/>
      </c>
      <c r="D740" s="24">
        <f>IF($N740&lt;&gt;"",IF(INDEX(PCDoc,$N740)="","—",INDEX(PCDoc,$N740)),IF($O740&lt;&gt;"",INDEX(LdgBankB,$O740),""))</f>
        <v/>
      </c>
      <c r="E740" s="24">
        <f>IF($N740&lt;&gt;"",IF(INDEX(PCCitrus,$N740)="","—",INDEX(PCCitrus,$N740)),"")</f>
        <v/>
      </c>
      <c r="F740" s="25">
        <f>IF($N740&lt;&gt;"",IF(INDEX(PCScale,$N740)=0,"",INDEX(PCScale,$N740)),"")</f>
        <v/>
      </c>
      <c r="G740" s="25">
        <f>IF($N740&lt;&gt;"",IF(INDEX(PCBaskets,$N740)=0,"",INDEX(PCBaskets,$N740)),"")</f>
        <v/>
      </c>
      <c r="H740" s="26">
        <f>IF($N740&lt;&gt;"",IF(INDEX(PCNet,$N740)=0,"",INDEX(PCNet,$N740)),"")</f>
        <v/>
      </c>
      <c r="I740" s="25">
        <f>IF($N740&lt;&gt;"",IF(INDEX(PCOp,$N740)="مرجوعی خرید","",IF(INDEX(PCAmount,$N740)&lt;=0,"",INDEX(PCAmount,$N740))),IF($O740&lt;&gt;"",IF(INDEX(TxnDepB,$O740)=0,"",INDEX(TxnDepB,$O740)),""))</f>
        <v/>
      </c>
      <c r="J740" s="25">
        <f>IF($N740&lt;&gt;"",IF(INDEX(PCOp,$N740)="مرجوعی خرید",IF(INDEX(PCAmount,$N740)=0,"",-INDEX(PCAmount,$N740)),""),IF($O740&lt;&gt;"",IF(INDEX(TxnWitB,$O740)=0,"",INDEX(TxnWitB,$O740)),""))</f>
        <v/>
      </c>
      <c r="K740" s="27">
        <f>IF($B740="","",IF($K739="",$C$10,$K739)+IF($I740="",0,$I740)-IF($J740="",0,$J740))</f>
        <v/>
      </c>
      <c r="L740" s="28">
        <f>IF($N740&lt;&gt;"",IF(INDEX(PCNotes,$N740)="","—",INDEX(PCNotes,$N740)),IF($O740&lt;&gt;"",IF(INDEX(LdgNoteB,$O740)="","—",INDEX(LdgNoteB,$O740)),""))</f>
        <v/>
      </c>
      <c r="N740">
        <f>IFERROR(MATCH($C$5&amp;"|"&amp;RIGHT("000000"&amp;724,6),LdgRankKeyA,0),"")</f>
        <v/>
      </c>
      <c r="O740">
        <f>IFERROR(MATCH($C$5&amp;"|"&amp;RIGHT("000000"&amp;724,6),LdgRankKeyB,0),"")</f>
        <v/>
      </c>
    </row>
    <row r="741">
      <c r="A741" s="17" t="n">
        <v>725</v>
      </c>
      <c r="B741" s="18">
        <f>IF(AND($N741="",$O741=""),"",IF($N741&lt;&gt;"",INDEX(PCNormDate,$N741),INDEX(LdgDateB,$O741)))</f>
        <v/>
      </c>
      <c r="C741" s="18">
        <f>IF($N741&lt;&gt;"",INDEX(PCOp,$N741),IF($O741&lt;&gt;"",IF(N(INDEX(TxnDepB,$O741))&gt;0,"دریافت بانکی","پرداخت بانکی"),""))</f>
        <v/>
      </c>
      <c r="D741" s="18">
        <f>IF($N741&lt;&gt;"",IF(INDEX(PCDoc,$N741)="","—",INDEX(PCDoc,$N741)),IF($O741&lt;&gt;"",INDEX(LdgBankB,$O741),""))</f>
        <v/>
      </c>
      <c r="E741" s="18">
        <f>IF($N741&lt;&gt;"",IF(INDEX(PCCitrus,$N741)="","—",INDEX(PCCitrus,$N741)),"")</f>
        <v/>
      </c>
      <c r="F741" s="19">
        <f>IF($N741&lt;&gt;"",IF(INDEX(PCScale,$N741)=0,"",INDEX(PCScale,$N741)),"")</f>
        <v/>
      </c>
      <c r="G741" s="19">
        <f>IF($N741&lt;&gt;"",IF(INDEX(PCBaskets,$N741)=0,"",INDEX(PCBaskets,$N741)),"")</f>
        <v/>
      </c>
      <c r="H741" s="20">
        <f>IF($N741&lt;&gt;"",IF(INDEX(PCNet,$N741)=0,"",INDEX(PCNet,$N741)),"")</f>
        <v/>
      </c>
      <c r="I741" s="19">
        <f>IF($N741&lt;&gt;"",IF(INDEX(PCOp,$N741)="مرجوعی خرید","",IF(INDEX(PCAmount,$N741)&lt;=0,"",INDEX(PCAmount,$N741))),IF($O741&lt;&gt;"",IF(INDEX(TxnDepB,$O741)=0,"",INDEX(TxnDepB,$O741)),""))</f>
        <v/>
      </c>
      <c r="J741" s="19">
        <f>IF($N741&lt;&gt;"",IF(INDEX(PCOp,$N741)="مرجوعی خرید",IF(INDEX(PCAmount,$N741)=0,"",-INDEX(PCAmount,$N741)),""),IF($O741&lt;&gt;"",IF(INDEX(TxnWitB,$O741)=0,"",INDEX(TxnWitB,$O741)),""))</f>
        <v/>
      </c>
      <c r="K741" s="21">
        <f>IF($B741="","",IF($K740="",$C$10,$K740)+IF($I741="",0,$I741)-IF($J741="",0,$J741))</f>
        <v/>
      </c>
      <c r="L741" s="22">
        <f>IF($N741&lt;&gt;"",IF(INDEX(PCNotes,$N741)="","—",INDEX(PCNotes,$N741)),IF($O741&lt;&gt;"",IF(INDEX(LdgNoteB,$O741)="","—",INDEX(LdgNoteB,$O741)),""))</f>
        <v/>
      </c>
      <c r="N741">
        <f>IFERROR(MATCH($C$5&amp;"|"&amp;RIGHT("000000"&amp;725,6),LdgRankKeyA,0),"")</f>
        <v/>
      </c>
      <c r="O741">
        <f>IFERROR(MATCH($C$5&amp;"|"&amp;RIGHT("000000"&amp;725,6),LdgRankKeyB,0),"")</f>
        <v/>
      </c>
    </row>
    <row r="742">
      <c r="A742" s="23" t="n">
        <v>726</v>
      </c>
      <c r="B742" s="24">
        <f>IF(AND($N742="",$O742=""),"",IF($N742&lt;&gt;"",INDEX(PCNormDate,$N742),INDEX(LdgDateB,$O742)))</f>
        <v/>
      </c>
      <c r="C742" s="24">
        <f>IF($N742&lt;&gt;"",INDEX(PCOp,$N742),IF($O742&lt;&gt;"",IF(N(INDEX(TxnDepB,$O742))&gt;0,"دریافت بانکی","پرداخت بانکی"),""))</f>
        <v/>
      </c>
      <c r="D742" s="24">
        <f>IF($N742&lt;&gt;"",IF(INDEX(PCDoc,$N742)="","—",INDEX(PCDoc,$N742)),IF($O742&lt;&gt;"",INDEX(LdgBankB,$O742),""))</f>
        <v/>
      </c>
      <c r="E742" s="24">
        <f>IF($N742&lt;&gt;"",IF(INDEX(PCCitrus,$N742)="","—",INDEX(PCCitrus,$N742)),"")</f>
        <v/>
      </c>
      <c r="F742" s="25">
        <f>IF($N742&lt;&gt;"",IF(INDEX(PCScale,$N742)=0,"",INDEX(PCScale,$N742)),"")</f>
        <v/>
      </c>
      <c r="G742" s="25">
        <f>IF($N742&lt;&gt;"",IF(INDEX(PCBaskets,$N742)=0,"",INDEX(PCBaskets,$N742)),"")</f>
        <v/>
      </c>
      <c r="H742" s="26">
        <f>IF($N742&lt;&gt;"",IF(INDEX(PCNet,$N742)=0,"",INDEX(PCNet,$N742)),"")</f>
        <v/>
      </c>
      <c r="I742" s="25">
        <f>IF($N742&lt;&gt;"",IF(INDEX(PCOp,$N742)="مرجوعی خرید","",IF(INDEX(PCAmount,$N742)&lt;=0,"",INDEX(PCAmount,$N742))),IF($O742&lt;&gt;"",IF(INDEX(TxnDepB,$O742)=0,"",INDEX(TxnDepB,$O742)),""))</f>
        <v/>
      </c>
      <c r="J742" s="25">
        <f>IF($N742&lt;&gt;"",IF(INDEX(PCOp,$N742)="مرجوعی خرید",IF(INDEX(PCAmount,$N742)=0,"",-INDEX(PCAmount,$N742)),""),IF($O742&lt;&gt;"",IF(INDEX(TxnWitB,$O742)=0,"",INDEX(TxnWitB,$O742)),""))</f>
        <v/>
      </c>
      <c r="K742" s="27">
        <f>IF($B742="","",IF($K741="",$C$10,$K741)+IF($I742="",0,$I742)-IF($J742="",0,$J742))</f>
        <v/>
      </c>
      <c r="L742" s="28">
        <f>IF($N742&lt;&gt;"",IF(INDEX(PCNotes,$N742)="","—",INDEX(PCNotes,$N742)),IF($O742&lt;&gt;"",IF(INDEX(LdgNoteB,$O742)="","—",INDEX(LdgNoteB,$O742)),""))</f>
        <v/>
      </c>
      <c r="N742">
        <f>IFERROR(MATCH($C$5&amp;"|"&amp;RIGHT("000000"&amp;726,6),LdgRankKeyA,0),"")</f>
        <v/>
      </c>
      <c r="O742">
        <f>IFERROR(MATCH($C$5&amp;"|"&amp;RIGHT("000000"&amp;726,6),LdgRankKeyB,0),"")</f>
        <v/>
      </c>
    </row>
    <row r="743">
      <c r="A743" s="17" t="n">
        <v>727</v>
      </c>
      <c r="B743" s="18">
        <f>IF(AND($N743="",$O743=""),"",IF($N743&lt;&gt;"",INDEX(PCNormDate,$N743),INDEX(LdgDateB,$O743)))</f>
        <v/>
      </c>
      <c r="C743" s="18">
        <f>IF($N743&lt;&gt;"",INDEX(PCOp,$N743),IF($O743&lt;&gt;"",IF(N(INDEX(TxnDepB,$O743))&gt;0,"دریافت بانکی","پرداخت بانکی"),""))</f>
        <v/>
      </c>
      <c r="D743" s="18">
        <f>IF($N743&lt;&gt;"",IF(INDEX(PCDoc,$N743)="","—",INDEX(PCDoc,$N743)),IF($O743&lt;&gt;"",INDEX(LdgBankB,$O743),""))</f>
        <v/>
      </c>
      <c r="E743" s="18">
        <f>IF($N743&lt;&gt;"",IF(INDEX(PCCitrus,$N743)="","—",INDEX(PCCitrus,$N743)),"")</f>
        <v/>
      </c>
      <c r="F743" s="19">
        <f>IF($N743&lt;&gt;"",IF(INDEX(PCScale,$N743)=0,"",INDEX(PCScale,$N743)),"")</f>
        <v/>
      </c>
      <c r="G743" s="19">
        <f>IF($N743&lt;&gt;"",IF(INDEX(PCBaskets,$N743)=0,"",INDEX(PCBaskets,$N743)),"")</f>
        <v/>
      </c>
      <c r="H743" s="20">
        <f>IF($N743&lt;&gt;"",IF(INDEX(PCNet,$N743)=0,"",INDEX(PCNet,$N743)),"")</f>
        <v/>
      </c>
      <c r="I743" s="19">
        <f>IF($N743&lt;&gt;"",IF(INDEX(PCOp,$N743)="مرجوعی خرید","",IF(INDEX(PCAmount,$N743)&lt;=0,"",INDEX(PCAmount,$N743))),IF($O743&lt;&gt;"",IF(INDEX(TxnDepB,$O743)=0,"",INDEX(TxnDepB,$O743)),""))</f>
        <v/>
      </c>
      <c r="J743" s="19">
        <f>IF($N743&lt;&gt;"",IF(INDEX(PCOp,$N743)="مرجوعی خرید",IF(INDEX(PCAmount,$N743)=0,"",-INDEX(PCAmount,$N743)),""),IF($O743&lt;&gt;"",IF(INDEX(TxnWitB,$O743)=0,"",INDEX(TxnWitB,$O743)),""))</f>
        <v/>
      </c>
      <c r="K743" s="21">
        <f>IF($B743="","",IF($K742="",$C$10,$K742)+IF($I743="",0,$I743)-IF($J743="",0,$J743))</f>
        <v/>
      </c>
      <c r="L743" s="22">
        <f>IF($N743&lt;&gt;"",IF(INDEX(PCNotes,$N743)="","—",INDEX(PCNotes,$N743)),IF($O743&lt;&gt;"",IF(INDEX(LdgNoteB,$O743)="","—",INDEX(LdgNoteB,$O743)),""))</f>
        <v/>
      </c>
      <c r="N743">
        <f>IFERROR(MATCH($C$5&amp;"|"&amp;RIGHT("000000"&amp;727,6),LdgRankKeyA,0),"")</f>
        <v/>
      </c>
      <c r="O743">
        <f>IFERROR(MATCH($C$5&amp;"|"&amp;RIGHT("000000"&amp;727,6),LdgRankKeyB,0),"")</f>
        <v/>
      </c>
    </row>
    <row r="744">
      <c r="A744" s="23" t="n">
        <v>728</v>
      </c>
      <c r="B744" s="24">
        <f>IF(AND($N744="",$O744=""),"",IF($N744&lt;&gt;"",INDEX(PCNormDate,$N744),INDEX(LdgDateB,$O744)))</f>
        <v/>
      </c>
      <c r="C744" s="24">
        <f>IF($N744&lt;&gt;"",INDEX(PCOp,$N744),IF($O744&lt;&gt;"",IF(N(INDEX(TxnDepB,$O744))&gt;0,"دریافت بانکی","پرداخت بانکی"),""))</f>
        <v/>
      </c>
      <c r="D744" s="24">
        <f>IF($N744&lt;&gt;"",IF(INDEX(PCDoc,$N744)="","—",INDEX(PCDoc,$N744)),IF($O744&lt;&gt;"",INDEX(LdgBankB,$O744),""))</f>
        <v/>
      </c>
      <c r="E744" s="24">
        <f>IF($N744&lt;&gt;"",IF(INDEX(PCCitrus,$N744)="","—",INDEX(PCCitrus,$N744)),"")</f>
        <v/>
      </c>
      <c r="F744" s="25">
        <f>IF($N744&lt;&gt;"",IF(INDEX(PCScale,$N744)=0,"",INDEX(PCScale,$N744)),"")</f>
        <v/>
      </c>
      <c r="G744" s="25">
        <f>IF($N744&lt;&gt;"",IF(INDEX(PCBaskets,$N744)=0,"",INDEX(PCBaskets,$N744)),"")</f>
        <v/>
      </c>
      <c r="H744" s="26">
        <f>IF($N744&lt;&gt;"",IF(INDEX(PCNet,$N744)=0,"",INDEX(PCNet,$N744)),"")</f>
        <v/>
      </c>
      <c r="I744" s="25">
        <f>IF($N744&lt;&gt;"",IF(INDEX(PCOp,$N744)="مرجوعی خرید","",IF(INDEX(PCAmount,$N744)&lt;=0,"",INDEX(PCAmount,$N744))),IF($O744&lt;&gt;"",IF(INDEX(TxnDepB,$O744)=0,"",INDEX(TxnDepB,$O744)),""))</f>
        <v/>
      </c>
      <c r="J744" s="25">
        <f>IF($N744&lt;&gt;"",IF(INDEX(PCOp,$N744)="مرجوعی خرید",IF(INDEX(PCAmount,$N744)=0,"",-INDEX(PCAmount,$N744)),""),IF($O744&lt;&gt;"",IF(INDEX(TxnWitB,$O744)=0,"",INDEX(TxnWitB,$O744)),""))</f>
        <v/>
      </c>
      <c r="K744" s="27">
        <f>IF($B744="","",IF($K743="",$C$10,$K743)+IF($I744="",0,$I744)-IF($J744="",0,$J744))</f>
        <v/>
      </c>
      <c r="L744" s="28">
        <f>IF($N744&lt;&gt;"",IF(INDEX(PCNotes,$N744)="","—",INDEX(PCNotes,$N744)),IF($O744&lt;&gt;"",IF(INDEX(LdgNoteB,$O744)="","—",INDEX(LdgNoteB,$O744)),""))</f>
        <v/>
      </c>
      <c r="N744">
        <f>IFERROR(MATCH($C$5&amp;"|"&amp;RIGHT("000000"&amp;728,6),LdgRankKeyA,0),"")</f>
        <v/>
      </c>
      <c r="O744">
        <f>IFERROR(MATCH($C$5&amp;"|"&amp;RIGHT("000000"&amp;728,6),LdgRankKeyB,0),"")</f>
        <v/>
      </c>
    </row>
    <row r="745">
      <c r="A745" s="17" t="n">
        <v>729</v>
      </c>
      <c r="B745" s="18">
        <f>IF(AND($N745="",$O745=""),"",IF($N745&lt;&gt;"",INDEX(PCNormDate,$N745),INDEX(LdgDateB,$O745)))</f>
        <v/>
      </c>
      <c r="C745" s="18">
        <f>IF($N745&lt;&gt;"",INDEX(PCOp,$N745),IF($O745&lt;&gt;"",IF(N(INDEX(TxnDepB,$O745))&gt;0,"دریافت بانکی","پرداخت بانکی"),""))</f>
        <v/>
      </c>
      <c r="D745" s="18">
        <f>IF($N745&lt;&gt;"",IF(INDEX(PCDoc,$N745)="","—",INDEX(PCDoc,$N745)),IF($O745&lt;&gt;"",INDEX(LdgBankB,$O745),""))</f>
        <v/>
      </c>
      <c r="E745" s="18">
        <f>IF($N745&lt;&gt;"",IF(INDEX(PCCitrus,$N745)="","—",INDEX(PCCitrus,$N745)),"")</f>
        <v/>
      </c>
      <c r="F745" s="19">
        <f>IF($N745&lt;&gt;"",IF(INDEX(PCScale,$N745)=0,"",INDEX(PCScale,$N745)),"")</f>
        <v/>
      </c>
      <c r="G745" s="19">
        <f>IF($N745&lt;&gt;"",IF(INDEX(PCBaskets,$N745)=0,"",INDEX(PCBaskets,$N745)),"")</f>
        <v/>
      </c>
      <c r="H745" s="20">
        <f>IF($N745&lt;&gt;"",IF(INDEX(PCNet,$N745)=0,"",INDEX(PCNet,$N745)),"")</f>
        <v/>
      </c>
      <c r="I745" s="19">
        <f>IF($N745&lt;&gt;"",IF(INDEX(PCOp,$N745)="مرجوعی خرید","",IF(INDEX(PCAmount,$N745)&lt;=0,"",INDEX(PCAmount,$N745))),IF($O745&lt;&gt;"",IF(INDEX(TxnDepB,$O745)=0,"",INDEX(TxnDepB,$O745)),""))</f>
        <v/>
      </c>
      <c r="J745" s="19">
        <f>IF($N745&lt;&gt;"",IF(INDEX(PCOp,$N745)="مرجوعی خرید",IF(INDEX(PCAmount,$N745)=0,"",-INDEX(PCAmount,$N745)),""),IF($O745&lt;&gt;"",IF(INDEX(TxnWitB,$O745)=0,"",INDEX(TxnWitB,$O745)),""))</f>
        <v/>
      </c>
      <c r="K745" s="21">
        <f>IF($B745="","",IF($K744="",$C$10,$K744)+IF($I745="",0,$I745)-IF($J745="",0,$J745))</f>
        <v/>
      </c>
      <c r="L745" s="22">
        <f>IF($N745&lt;&gt;"",IF(INDEX(PCNotes,$N745)="","—",INDEX(PCNotes,$N745)),IF($O745&lt;&gt;"",IF(INDEX(LdgNoteB,$O745)="","—",INDEX(LdgNoteB,$O745)),""))</f>
        <v/>
      </c>
      <c r="N745">
        <f>IFERROR(MATCH($C$5&amp;"|"&amp;RIGHT("000000"&amp;729,6),LdgRankKeyA,0),"")</f>
        <v/>
      </c>
      <c r="O745">
        <f>IFERROR(MATCH($C$5&amp;"|"&amp;RIGHT("000000"&amp;729,6),LdgRankKeyB,0),"")</f>
        <v/>
      </c>
    </row>
    <row r="746">
      <c r="A746" s="23" t="n">
        <v>730</v>
      </c>
      <c r="B746" s="24">
        <f>IF(AND($N746="",$O746=""),"",IF($N746&lt;&gt;"",INDEX(PCNormDate,$N746),INDEX(LdgDateB,$O746)))</f>
        <v/>
      </c>
      <c r="C746" s="24">
        <f>IF($N746&lt;&gt;"",INDEX(PCOp,$N746),IF($O746&lt;&gt;"",IF(N(INDEX(TxnDepB,$O746))&gt;0,"دریافت بانکی","پرداخت بانکی"),""))</f>
        <v/>
      </c>
      <c r="D746" s="24">
        <f>IF($N746&lt;&gt;"",IF(INDEX(PCDoc,$N746)="","—",INDEX(PCDoc,$N746)),IF($O746&lt;&gt;"",INDEX(LdgBankB,$O746),""))</f>
        <v/>
      </c>
      <c r="E746" s="24">
        <f>IF($N746&lt;&gt;"",IF(INDEX(PCCitrus,$N746)="","—",INDEX(PCCitrus,$N746)),"")</f>
        <v/>
      </c>
      <c r="F746" s="25">
        <f>IF($N746&lt;&gt;"",IF(INDEX(PCScale,$N746)=0,"",INDEX(PCScale,$N746)),"")</f>
        <v/>
      </c>
      <c r="G746" s="25">
        <f>IF($N746&lt;&gt;"",IF(INDEX(PCBaskets,$N746)=0,"",INDEX(PCBaskets,$N746)),"")</f>
        <v/>
      </c>
      <c r="H746" s="26">
        <f>IF($N746&lt;&gt;"",IF(INDEX(PCNet,$N746)=0,"",INDEX(PCNet,$N746)),"")</f>
        <v/>
      </c>
      <c r="I746" s="25">
        <f>IF($N746&lt;&gt;"",IF(INDEX(PCOp,$N746)="مرجوعی خرید","",IF(INDEX(PCAmount,$N746)&lt;=0,"",INDEX(PCAmount,$N746))),IF($O746&lt;&gt;"",IF(INDEX(TxnDepB,$O746)=0,"",INDEX(TxnDepB,$O746)),""))</f>
        <v/>
      </c>
      <c r="J746" s="25">
        <f>IF($N746&lt;&gt;"",IF(INDEX(PCOp,$N746)="مرجوعی خرید",IF(INDEX(PCAmount,$N746)=0,"",-INDEX(PCAmount,$N746)),""),IF($O746&lt;&gt;"",IF(INDEX(TxnWitB,$O746)=0,"",INDEX(TxnWitB,$O746)),""))</f>
        <v/>
      </c>
      <c r="K746" s="27">
        <f>IF($B746="","",IF($K745="",$C$10,$K745)+IF($I746="",0,$I746)-IF($J746="",0,$J746))</f>
        <v/>
      </c>
      <c r="L746" s="28">
        <f>IF($N746&lt;&gt;"",IF(INDEX(PCNotes,$N746)="","—",INDEX(PCNotes,$N746)),IF($O746&lt;&gt;"",IF(INDEX(LdgNoteB,$O746)="","—",INDEX(LdgNoteB,$O746)),""))</f>
        <v/>
      </c>
      <c r="N746">
        <f>IFERROR(MATCH($C$5&amp;"|"&amp;RIGHT("000000"&amp;730,6),LdgRankKeyA,0),"")</f>
        <v/>
      </c>
      <c r="O746">
        <f>IFERROR(MATCH($C$5&amp;"|"&amp;RIGHT("000000"&amp;730,6),LdgRankKeyB,0),"")</f>
        <v/>
      </c>
    </row>
    <row r="747">
      <c r="A747" s="17" t="n">
        <v>731</v>
      </c>
      <c r="B747" s="18">
        <f>IF(AND($N747="",$O747=""),"",IF($N747&lt;&gt;"",INDEX(PCNormDate,$N747),INDEX(LdgDateB,$O747)))</f>
        <v/>
      </c>
      <c r="C747" s="18">
        <f>IF($N747&lt;&gt;"",INDEX(PCOp,$N747),IF($O747&lt;&gt;"",IF(N(INDEX(TxnDepB,$O747))&gt;0,"دریافت بانکی","پرداخت بانکی"),""))</f>
        <v/>
      </c>
      <c r="D747" s="18">
        <f>IF($N747&lt;&gt;"",IF(INDEX(PCDoc,$N747)="","—",INDEX(PCDoc,$N747)),IF($O747&lt;&gt;"",INDEX(LdgBankB,$O747),""))</f>
        <v/>
      </c>
      <c r="E747" s="18">
        <f>IF($N747&lt;&gt;"",IF(INDEX(PCCitrus,$N747)="","—",INDEX(PCCitrus,$N747)),"")</f>
        <v/>
      </c>
      <c r="F747" s="19">
        <f>IF($N747&lt;&gt;"",IF(INDEX(PCScale,$N747)=0,"",INDEX(PCScale,$N747)),"")</f>
        <v/>
      </c>
      <c r="G747" s="19">
        <f>IF($N747&lt;&gt;"",IF(INDEX(PCBaskets,$N747)=0,"",INDEX(PCBaskets,$N747)),"")</f>
        <v/>
      </c>
      <c r="H747" s="20">
        <f>IF($N747&lt;&gt;"",IF(INDEX(PCNet,$N747)=0,"",INDEX(PCNet,$N747)),"")</f>
        <v/>
      </c>
      <c r="I747" s="19">
        <f>IF($N747&lt;&gt;"",IF(INDEX(PCOp,$N747)="مرجوعی خرید","",IF(INDEX(PCAmount,$N747)&lt;=0,"",INDEX(PCAmount,$N747))),IF($O747&lt;&gt;"",IF(INDEX(TxnDepB,$O747)=0,"",INDEX(TxnDepB,$O747)),""))</f>
        <v/>
      </c>
      <c r="J747" s="19">
        <f>IF($N747&lt;&gt;"",IF(INDEX(PCOp,$N747)="مرجوعی خرید",IF(INDEX(PCAmount,$N747)=0,"",-INDEX(PCAmount,$N747)),""),IF($O747&lt;&gt;"",IF(INDEX(TxnWitB,$O747)=0,"",INDEX(TxnWitB,$O747)),""))</f>
        <v/>
      </c>
      <c r="K747" s="21">
        <f>IF($B747="","",IF($K746="",$C$10,$K746)+IF($I747="",0,$I747)-IF($J747="",0,$J747))</f>
        <v/>
      </c>
      <c r="L747" s="22">
        <f>IF($N747&lt;&gt;"",IF(INDEX(PCNotes,$N747)="","—",INDEX(PCNotes,$N747)),IF($O747&lt;&gt;"",IF(INDEX(LdgNoteB,$O747)="","—",INDEX(LdgNoteB,$O747)),""))</f>
        <v/>
      </c>
      <c r="N747">
        <f>IFERROR(MATCH($C$5&amp;"|"&amp;RIGHT("000000"&amp;731,6),LdgRankKeyA,0),"")</f>
        <v/>
      </c>
      <c r="O747">
        <f>IFERROR(MATCH($C$5&amp;"|"&amp;RIGHT("000000"&amp;731,6),LdgRankKeyB,0),"")</f>
        <v/>
      </c>
    </row>
    <row r="748">
      <c r="A748" s="23" t="n">
        <v>732</v>
      </c>
      <c r="B748" s="24">
        <f>IF(AND($N748="",$O748=""),"",IF($N748&lt;&gt;"",INDEX(PCNormDate,$N748),INDEX(LdgDateB,$O748)))</f>
        <v/>
      </c>
      <c r="C748" s="24">
        <f>IF($N748&lt;&gt;"",INDEX(PCOp,$N748),IF($O748&lt;&gt;"",IF(N(INDEX(TxnDepB,$O748))&gt;0,"دریافت بانکی","پرداخت بانکی"),""))</f>
        <v/>
      </c>
      <c r="D748" s="24">
        <f>IF($N748&lt;&gt;"",IF(INDEX(PCDoc,$N748)="","—",INDEX(PCDoc,$N748)),IF($O748&lt;&gt;"",INDEX(LdgBankB,$O748),""))</f>
        <v/>
      </c>
      <c r="E748" s="24">
        <f>IF($N748&lt;&gt;"",IF(INDEX(PCCitrus,$N748)="","—",INDEX(PCCitrus,$N748)),"")</f>
        <v/>
      </c>
      <c r="F748" s="25">
        <f>IF($N748&lt;&gt;"",IF(INDEX(PCScale,$N748)=0,"",INDEX(PCScale,$N748)),"")</f>
        <v/>
      </c>
      <c r="G748" s="25">
        <f>IF($N748&lt;&gt;"",IF(INDEX(PCBaskets,$N748)=0,"",INDEX(PCBaskets,$N748)),"")</f>
        <v/>
      </c>
      <c r="H748" s="26">
        <f>IF($N748&lt;&gt;"",IF(INDEX(PCNet,$N748)=0,"",INDEX(PCNet,$N748)),"")</f>
        <v/>
      </c>
      <c r="I748" s="25">
        <f>IF($N748&lt;&gt;"",IF(INDEX(PCOp,$N748)="مرجوعی خرید","",IF(INDEX(PCAmount,$N748)&lt;=0,"",INDEX(PCAmount,$N748))),IF($O748&lt;&gt;"",IF(INDEX(TxnDepB,$O748)=0,"",INDEX(TxnDepB,$O748)),""))</f>
        <v/>
      </c>
      <c r="J748" s="25">
        <f>IF($N748&lt;&gt;"",IF(INDEX(PCOp,$N748)="مرجوعی خرید",IF(INDEX(PCAmount,$N748)=0,"",-INDEX(PCAmount,$N748)),""),IF($O748&lt;&gt;"",IF(INDEX(TxnWitB,$O748)=0,"",INDEX(TxnWitB,$O748)),""))</f>
        <v/>
      </c>
      <c r="K748" s="27">
        <f>IF($B748="","",IF($K747="",$C$10,$K747)+IF($I748="",0,$I748)-IF($J748="",0,$J748))</f>
        <v/>
      </c>
      <c r="L748" s="28">
        <f>IF($N748&lt;&gt;"",IF(INDEX(PCNotes,$N748)="","—",INDEX(PCNotes,$N748)),IF($O748&lt;&gt;"",IF(INDEX(LdgNoteB,$O748)="","—",INDEX(LdgNoteB,$O748)),""))</f>
        <v/>
      </c>
      <c r="N748">
        <f>IFERROR(MATCH($C$5&amp;"|"&amp;RIGHT("000000"&amp;732,6),LdgRankKeyA,0),"")</f>
        <v/>
      </c>
      <c r="O748">
        <f>IFERROR(MATCH($C$5&amp;"|"&amp;RIGHT("000000"&amp;732,6),LdgRankKeyB,0),"")</f>
        <v/>
      </c>
    </row>
    <row r="749">
      <c r="A749" s="17" t="n">
        <v>733</v>
      </c>
      <c r="B749" s="18">
        <f>IF(AND($N749="",$O749=""),"",IF($N749&lt;&gt;"",INDEX(PCNormDate,$N749),INDEX(LdgDateB,$O749)))</f>
        <v/>
      </c>
      <c r="C749" s="18">
        <f>IF($N749&lt;&gt;"",INDEX(PCOp,$N749),IF($O749&lt;&gt;"",IF(N(INDEX(TxnDepB,$O749))&gt;0,"دریافت بانکی","پرداخت بانکی"),""))</f>
        <v/>
      </c>
      <c r="D749" s="18">
        <f>IF($N749&lt;&gt;"",IF(INDEX(PCDoc,$N749)="","—",INDEX(PCDoc,$N749)),IF($O749&lt;&gt;"",INDEX(LdgBankB,$O749),""))</f>
        <v/>
      </c>
      <c r="E749" s="18">
        <f>IF($N749&lt;&gt;"",IF(INDEX(PCCitrus,$N749)="","—",INDEX(PCCitrus,$N749)),"")</f>
        <v/>
      </c>
      <c r="F749" s="19">
        <f>IF($N749&lt;&gt;"",IF(INDEX(PCScale,$N749)=0,"",INDEX(PCScale,$N749)),"")</f>
        <v/>
      </c>
      <c r="G749" s="19">
        <f>IF($N749&lt;&gt;"",IF(INDEX(PCBaskets,$N749)=0,"",INDEX(PCBaskets,$N749)),"")</f>
        <v/>
      </c>
      <c r="H749" s="20">
        <f>IF($N749&lt;&gt;"",IF(INDEX(PCNet,$N749)=0,"",INDEX(PCNet,$N749)),"")</f>
        <v/>
      </c>
      <c r="I749" s="19">
        <f>IF($N749&lt;&gt;"",IF(INDEX(PCOp,$N749)="مرجوعی خرید","",IF(INDEX(PCAmount,$N749)&lt;=0,"",INDEX(PCAmount,$N749))),IF($O749&lt;&gt;"",IF(INDEX(TxnDepB,$O749)=0,"",INDEX(TxnDepB,$O749)),""))</f>
        <v/>
      </c>
      <c r="J749" s="19">
        <f>IF($N749&lt;&gt;"",IF(INDEX(PCOp,$N749)="مرجوعی خرید",IF(INDEX(PCAmount,$N749)=0,"",-INDEX(PCAmount,$N749)),""),IF($O749&lt;&gt;"",IF(INDEX(TxnWitB,$O749)=0,"",INDEX(TxnWitB,$O749)),""))</f>
        <v/>
      </c>
      <c r="K749" s="21">
        <f>IF($B749="","",IF($K748="",$C$10,$K748)+IF($I749="",0,$I749)-IF($J749="",0,$J749))</f>
        <v/>
      </c>
      <c r="L749" s="22">
        <f>IF($N749&lt;&gt;"",IF(INDEX(PCNotes,$N749)="","—",INDEX(PCNotes,$N749)),IF($O749&lt;&gt;"",IF(INDEX(LdgNoteB,$O749)="","—",INDEX(LdgNoteB,$O749)),""))</f>
        <v/>
      </c>
      <c r="N749">
        <f>IFERROR(MATCH($C$5&amp;"|"&amp;RIGHT("000000"&amp;733,6),LdgRankKeyA,0),"")</f>
        <v/>
      </c>
      <c r="O749">
        <f>IFERROR(MATCH($C$5&amp;"|"&amp;RIGHT("000000"&amp;733,6),LdgRankKeyB,0),"")</f>
        <v/>
      </c>
    </row>
    <row r="750">
      <c r="A750" s="23" t="n">
        <v>734</v>
      </c>
      <c r="B750" s="24">
        <f>IF(AND($N750="",$O750=""),"",IF($N750&lt;&gt;"",INDEX(PCNormDate,$N750),INDEX(LdgDateB,$O750)))</f>
        <v/>
      </c>
      <c r="C750" s="24">
        <f>IF($N750&lt;&gt;"",INDEX(PCOp,$N750),IF($O750&lt;&gt;"",IF(N(INDEX(TxnDepB,$O750))&gt;0,"دریافت بانکی","پرداخت بانکی"),""))</f>
        <v/>
      </c>
      <c r="D750" s="24">
        <f>IF($N750&lt;&gt;"",IF(INDEX(PCDoc,$N750)="","—",INDEX(PCDoc,$N750)),IF($O750&lt;&gt;"",INDEX(LdgBankB,$O750),""))</f>
        <v/>
      </c>
      <c r="E750" s="24">
        <f>IF($N750&lt;&gt;"",IF(INDEX(PCCitrus,$N750)="","—",INDEX(PCCitrus,$N750)),"")</f>
        <v/>
      </c>
      <c r="F750" s="25">
        <f>IF($N750&lt;&gt;"",IF(INDEX(PCScale,$N750)=0,"",INDEX(PCScale,$N750)),"")</f>
        <v/>
      </c>
      <c r="G750" s="25">
        <f>IF($N750&lt;&gt;"",IF(INDEX(PCBaskets,$N750)=0,"",INDEX(PCBaskets,$N750)),"")</f>
        <v/>
      </c>
      <c r="H750" s="26">
        <f>IF($N750&lt;&gt;"",IF(INDEX(PCNet,$N750)=0,"",INDEX(PCNet,$N750)),"")</f>
        <v/>
      </c>
      <c r="I750" s="25">
        <f>IF($N750&lt;&gt;"",IF(INDEX(PCOp,$N750)="مرجوعی خرید","",IF(INDEX(PCAmount,$N750)&lt;=0,"",INDEX(PCAmount,$N750))),IF($O750&lt;&gt;"",IF(INDEX(TxnDepB,$O750)=0,"",INDEX(TxnDepB,$O750)),""))</f>
        <v/>
      </c>
      <c r="J750" s="25">
        <f>IF($N750&lt;&gt;"",IF(INDEX(PCOp,$N750)="مرجوعی خرید",IF(INDEX(PCAmount,$N750)=0,"",-INDEX(PCAmount,$N750)),""),IF($O750&lt;&gt;"",IF(INDEX(TxnWitB,$O750)=0,"",INDEX(TxnWitB,$O750)),""))</f>
        <v/>
      </c>
      <c r="K750" s="27">
        <f>IF($B750="","",IF($K749="",$C$10,$K749)+IF($I750="",0,$I750)-IF($J750="",0,$J750))</f>
        <v/>
      </c>
      <c r="L750" s="28">
        <f>IF($N750&lt;&gt;"",IF(INDEX(PCNotes,$N750)="","—",INDEX(PCNotes,$N750)),IF($O750&lt;&gt;"",IF(INDEX(LdgNoteB,$O750)="","—",INDEX(LdgNoteB,$O750)),""))</f>
        <v/>
      </c>
      <c r="N750">
        <f>IFERROR(MATCH($C$5&amp;"|"&amp;RIGHT("000000"&amp;734,6),LdgRankKeyA,0),"")</f>
        <v/>
      </c>
      <c r="O750">
        <f>IFERROR(MATCH($C$5&amp;"|"&amp;RIGHT("000000"&amp;734,6),LdgRankKeyB,0),"")</f>
        <v/>
      </c>
    </row>
    <row r="751">
      <c r="A751" s="17" t="n">
        <v>735</v>
      </c>
      <c r="B751" s="18">
        <f>IF(AND($N751="",$O751=""),"",IF($N751&lt;&gt;"",INDEX(PCNormDate,$N751),INDEX(LdgDateB,$O751)))</f>
        <v/>
      </c>
      <c r="C751" s="18">
        <f>IF($N751&lt;&gt;"",INDEX(PCOp,$N751),IF($O751&lt;&gt;"",IF(N(INDEX(TxnDepB,$O751))&gt;0,"دریافت بانکی","پرداخت بانکی"),""))</f>
        <v/>
      </c>
      <c r="D751" s="18">
        <f>IF($N751&lt;&gt;"",IF(INDEX(PCDoc,$N751)="","—",INDEX(PCDoc,$N751)),IF($O751&lt;&gt;"",INDEX(LdgBankB,$O751),""))</f>
        <v/>
      </c>
      <c r="E751" s="18">
        <f>IF($N751&lt;&gt;"",IF(INDEX(PCCitrus,$N751)="","—",INDEX(PCCitrus,$N751)),"")</f>
        <v/>
      </c>
      <c r="F751" s="19">
        <f>IF($N751&lt;&gt;"",IF(INDEX(PCScale,$N751)=0,"",INDEX(PCScale,$N751)),"")</f>
        <v/>
      </c>
      <c r="G751" s="19">
        <f>IF($N751&lt;&gt;"",IF(INDEX(PCBaskets,$N751)=0,"",INDEX(PCBaskets,$N751)),"")</f>
        <v/>
      </c>
      <c r="H751" s="20">
        <f>IF($N751&lt;&gt;"",IF(INDEX(PCNet,$N751)=0,"",INDEX(PCNet,$N751)),"")</f>
        <v/>
      </c>
      <c r="I751" s="19">
        <f>IF($N751&lt;&gt;"",IF(INDEX(PCOp,$N751)="مرجوعی خرید","",IF(INDEX(PCAmount,$N751)&lt;=0,"",INDEX(PCAmount,$N751))),IF($O751&lt;&gt;"",IF(INDEX(TxnDepB,$O751)=0,"",INDEX(TxnDepB,$O751)),""))</f>
        <v/>
      </c>
      <c r="J751" s="19">
        <f>IF($N751&lt;&gt;"",IF(INDEX(PCOp,$N751)="مرجوعی خرید",IF(INDEX(PCAmount,$N751)=0,"",-INDEX(PCAmount,$N751)),""),IF($O751&lt;&gt;"",IF(INDEX(TxnWitB,$O751)=0,"",INDEX(TxnWitB,$O751)),""))</f>
        <v/>
      </c>
      <c r="K751" s="21">
        <f>IF($B751="","",IF($K750="",$C$10,$K750)+IF($I751="",0,$I751)-IF($J751="",0,$J751))</f>
        <v/>
      </c>
      <c r="L751" s="22">
        <f>IF($N751&lt;&gt;"",IF(INDEX(PCNotes,$N751)="","—",INDEX(PCNotes,$N751)),IF($O751&lt;&gt;"",IF(INDEX(LdgNoteB,$O751)="","—",INDEX(LdgNoteB,$O751)),""))</f>
        <v/>
      </c>
      <c r="N751">
        <f>IFERROR(MATCH($C$5&amp;"|"&amp;RIGHT("000000"&amp;735,6),LdgRankKeyA,0),"")</f>
        <v/>
      </c>
      <c r="O751">
        <f>IFERROR(MATCH($C$5&amp;"|"&amp;RIGHT("000000"&amp;735,6),LdgRankKeyB,0),"")</f>
        <v/>
      </c>
    </row>
    <row r="752">
      <c r="A752" s="23" t="n">
        <v>736</v>
      </c>
      <c r="B752" s="24">
        <f>IF(AND($N752="",$O752=""),"",IF($N752&lt;&gt;"",INDEX(PCNormDate,$N752),INDEX(LdgDateB,$O752)))</f>
        <v/>
      </c>
      <c r="C752" s="24">
        <f>IF($N752&lt;&gt;"",INDEX(PCOp,$N752),IF($O752&lt;&gt;"",IF(N(INDEX(TxnDepB,$O752))&gt;0,"دریافت بانکی","پرداخت بانکی"),""))</f>
        <v/>
      </c>
      <c r="D752" s="24">
        <f>IF($N752&lt;&gt;"",IF(INDEX(PCDoc,$N752)="","—",INDEX(PCDoc,$N752)),IF($O752&lt;&gt;"",INDEX(LdgBankB,$O752),""))</f>
        <v/>
      </c>
      <c r="E752" s="24">
        <f>IF($N752&lt;&gt;"",IF(INDEX(PCCitrus,$N752)="","—",INDEX(PCCitrus,$N752)),"")</f>
        <v/>
      </c>
      <c r="F752" s="25">
        <f>IF($N752&lt;&gt;"",IF(INDEX(PCScale,$N752)=0,"",INDEX(PCScale,$N752)),"")</f>
        <v/>
      </c>
      <c r="G752" s="25">
        <f>IF($N752&lt;&gt;"",IF(INDEX(PCBaskets,$N752)=0,"",INDEX(PCBaskets,$N752)),"")</f>
        <v/>
      </c>
      <c r="H752" s="26">
        <f>IF($N752&lt;&gt;"",IF(INDEX(PCNet,$N752)=0,"",INDEX(PCNet,$N752)),"")</f>
        <v/>
      </c>
      <c r="I752" s="25">
        <f>IF($N752&lt;&gt;"",IF(INDEX(PCOp,$N752)="مرجوعی خرید","",IF(INDEX(PCAmount,$N752)&lt;=0,"",INDEX(PCAmount,$N752))),IF($O752&lt;&gt;"",IF(INDEX(TxnDepB,$O752)=0,"",INDEX(TxnDepB,$O752)),""))</f>
        <v/>
      </c>
      <c r="J752" s="25">
        <f>IF($N752&lt;&gt;"",IF(INDEX(PCOp,$N752)="مرجوعی خرید",IF(INDEX(PCAmount,$N752)=0,"",-INDEX(PCAmount,$N752)),""),IF($O752&lt;&gt;"",IF(INDEX(TxnWitB,$O752)=0,"",INDEX(TxnWitB,$O752)),""))</f>
        <v/>
      </c>
      <c r="K752" s="27">
        <f>IF($B752="","",IF($K751="",$C$10,$K751)+IF($I752="",0,$I752)-IF($J752="",0,$J752))</f>
        <v/>
      </c>
      <c r="L752" s="28">
        <f>IF($N752&lt;&gt;"",IF(INDEX(PCNotes,$N752)="","—",INDEX(PCNotes,$N752)),IF($O752&lt;&gt;"",IF(INDEX(LdgNoteB,$O752)="","—",INDEX(LdgNoteB,$O752)),""))</f>
        <v/>
      </c>
      <c r="N752">
        <f>IFERROR(MATCH($C$5&amp;"|"&amp;RIGHT("000000"&amp;736,6),LdgRankKeyA,0),"")</f>
        <v/>
      </c>
      <c r="O752">
        <f>IFERROR(MATCH($C$5&amp;"|"&amp;RIGHT("000000"&amp;736,6),LdgRankKeyB,0),"")</f>
        <v/>
      </c>
    </row>
    <row r="753">
      <c r="A753" s="17" t="n">
        <v>737</v>
      </c>
      <c r="B753" s="18">
        <f>IF(AND($N753="",$O753=""),"",IF($N753&lt;&gt;"",INDEX(PCNormDate,$N753),INDEX(LdgDateB,$O753)))</f>
        <v/>
      </c>
      <c r="C753" s="18">
        <f>IF($N753&lt;&gt;"",INDEX(PCOp,$N753),IF($O753&lt;&gt;"",IF(N(INDEX(TxnDepB,$O753))&gt;0,"دریافت بانکی","پرداخت بانکی"),""))</f>
        <v/>
      </c>
      <c r="D753" s="18">
        <f>IF($N753&lt;&gt;"",IF(INDEX(PCDoc,$N753)="","—",INDEX(PCDoc,$N753)),IF($O753&lt;&gt;"",INDEX(LdgBankB,$O753),""))</f>
        <v/>
      </c>
      <c r="E753" s="18">
        <f>IF($N753&lt;&gt;"",IF(INDEX(PCCitrus,$N753)="","—",INDEX(PCCitrus,$N753)),"")</f>
        <v/>
      </c>
      <c r="F753" s="19">
        <f>IF($N753&lt;&gt;"",IF(INDEX(PCScale,$N753)=0,"",INDEX(PCScale,$N753)),"")</f>
        <v/>
      </c>
      <c r="G753" s="19">
        <f>IF($N753&lt;&gt;"",IF(INDEX(PCBaskets,$N753)=0,"",INDEX(PCBaskets,$N753)),"")</f>
        <v/>
      </c>
      <c r="H753" s="20">
        <f>IF($N753&lt;&gt;"",IF(INDEX(PCNet,$N753)=0,"",INDEX(PCNet,$N753)),"")</f>
        <v/>
      </c>
      <c r="I753" s="19">
        <f>IF($N753&lt;&gt;"",IF(INDEX(PCOp,$N753)="مرجوعی خرید","",IF(INDEX(PCAmount,$N753)&lt;=0,"",INDEX(PCAmount,$N753))),IF($O753&lt;&gt;"",IF(INDEX(TxnDepB,$O753)=0,"",INDEX(TxnDepB,$O753)),""))</f>
        <v/>
      </c>
      <c r="J753" s="19">
        <f>IF($N753&lt;&gt;"",IF(INDEX(PCOp,$N753)="مرجوعی خرید",IF(INDEX(PCAmount,$N753)=0,"",-INDEX(PCAmount,$N753)),""),IF($O753&lt;&gt;"",IF(INDEX(TxnWitB,$O753)=0,"",INDEX(TxnWitB,$O753)),""))</f>
        <v/>
      </c>
      <c r="K753" s="21">
        <f>IF($B753="","",IF($K752="",$C$10,$K752)+IF($I753="",0,$I753)-IF($J753="",0,$J753))</f>
        <v/>
      </c>
      <c r="L753" s="22">
        <f>IF($N753&lt;&gt;"",IF(INDEX(PCNotes,$N753)="","—",INDEX(PCNotes,$N753)),IF($O753&lt;&gt;"",IF(INDEX(LdgNoteB,$O753)="","—",INDEX(LdgNoteB,$O753)),""))</f>
        <v/>
      </c>
      <c r="N753">
        <f>IFERROR(MATCH($C$5&amp;"|"&amp;RIGHT("000000"&amp;737,6),LdgRankKeyA,0),"")</f>
        <v/>
      </c>
      <c r="O753">
        <f>IFERROR(MATCH($C$5&amp;"|"&amp;RIGHT("000000"&amp;737,6),LdgRankKeyB,0),"")</f>
        <v/>
      </c>
    </row>
    <row r="754">
      <c r="A754" s="23" t="n">
        <v>738</v>
      </c>
      <c r="B754" s="24">
        <f>IF(AND($N754="",$O754=""),"",IF($N754&lt;&gt;"",INDEX(PCNormDate,$N754),INDEX(LdgDateB,$O754)))</f>
        <v/>
      </c>
      <c r="C754" s="24">
        <f>IF($N754&lt;&gt;"",INDEX(PCOp,$N754),IF($O754&lt;&gt;"",IF(N(INDEX(TxnDepB,$O754))&gt;0,"دریافت بانکی","پرداخت بانکی"),""))</f>
        <v/>
      </c>
      <c r="D754" s="24">
        <f>IF($N754&lt;&gt;"",IF(INDEX(PCDoc,$N754)="","—",INDEX(PCDoc,$N754)),IF($O754&lt;&gt;"",INDEX(LdgBankB,$O754),""))</f>
        <v/>
      </c>
      <c r="E754" s="24">
        <f>IF($N754&lt;&gt;"",IF(INDEX(PCCitrus,$N754)="","—",INDEX(PCCitrus,$N754)),"")</f>
        <v/>
      </c>
      <c r="F754" s="25">
        <f>IF($N754&lt;&gt;"",IF(INDEX(PCScale,$N754)=0,"",INDEX(PCScale,$N754)),"")</f>
        <v/>
      </c>
      <c r="G754" s="25">
        <f>IF($N754&lt;&gt;"",IF(INDEX(PCBaskets,$N754)=0,"",INDEX(PCBaskets,$N754)),"")</f>
        <v/>
      </c>
      <c r="H754" s="26">
        <f>IF($N754&lt;&gt;"",IF(INDEX(PCNet,$N754)=0,"",INDEX(PCNet,$N754)),"")</f>
        <v/>
      </c>
      <c r="I754" s="25">
        <f>IF($N754&lt;&gt;"",IF(INDEX(PCOp,$N754)="مرجوعی خرید","",IF(INDEX(PCAmount,$N754)&lt;=0,"",INDEX(PCAmount,$N754))),IF($O754&lt;&gt;"",IF(INDEX(TxnDepB,$O754)=0,"",INDEX(TxnDepB,$O754)),""))</f>
        <v/>
      </c>
      <c r="J754" s="25">
        <f>IF($N754&lt;&gt;"",IF(INDEX(PCOp,$N754)="مرجوعی خرید",IF(INDEX(PCAmount,$N754)=0,"",-INDEX(PCAmount,$N754)),""),IF($O754&lt;&gt;"",IF(INDEX(TxnWitB,$O754)=0,"",INDEX(TxnWitB,$O754)),""))</f>
        <v/>
      </c>
      <c r="K754" s="27">
        <f>IF($B754="","",IF($K753="",$C$10,$K753)+IF($I754="",0,$I754)-IF($J754="",0,$J754))</f>
        <v/>
      </c>
      <c r="L754" s="28">
        <f>IF($N754&lt;&gt;"",IF(INDEX(PCNotes,$N754)="","—",INDEX(PCNotes,$N754)),IF($O754&lt;&gt;"",IF(INDEX(LdgNoteB,$O754)="","—",INDEX(LdgNoteB,$O754)),""))</f>
        <v/>
      </c>
      <c r="N754">
        <f>IFERROR(MATCH($C$5&amp;"|"&amp;RIGHT("000000"&amp;738,6),LdgRankKeyA,0),"")</f>
        <v/>
      </c>
      <c r="O754">
        <f>IFERROR(MATCH($C$5&amp;"|"&amp;RIGHT("000000"&amp;738,6),LdgRankKeyB,0),"")</f>
        <v/>
      </c>
    </row>
    <row r="755">
      <c r="A755" s="17" t="n">
        <v>739</v>
      </c>
      <c r="B755" s="18">
        <f>IF(AND($N755="",$O755=""),"",IF($N755&lt;&gt;"",INDEX(PCNormDate,$N755),INDEX(LdgDateB,$O755)))</f>
        <v/>
      </c>
      <c r="C755" s="18">
        <f>IF($N755&lt;&gt;"",INDEX(PCOp,$N755),IF($O755&lt;&gt;"",IF(N(INDEX(TxnDepB,$O755))&gt;0,"دریافت بانکی","پرداخت بانکی"),""))</f>
        <v/>
      </c>
      <c r="D755" s="18">
        <f>IF($N755&lt;&gt;"",IF(INDEX(PCDoc,$N755)="","—",INDEX(PCDoc,$N755)),IF($O755&lt;&gt;"",INDEX(LdgBankB,$O755),""))</f>
        <v/>
      </c>
      <c r="E755" s="18">
        <f>IF($N755&lt;&gt;"",IF(INDEX(PCCitrus,$N755)="","—",INDEX(PCCitrus,$N755)),"")</f>
        <v/>
      </c>
      <c r="F755" s="19">
        <f>IF($N755&lt;&gt;"",IF(INDEX(PCScale,$N755)=0,"",INDEX(PCScale,$N755)),"")</f>
        <v/>
      </c>
      <c r="G755" s="19">
        <f>IF($N755&lt;&gt;"",IF(INDEX(PCBaskets,$N755)=0,"",INDEX(PCBaskets,$N755)),"")</f>
        <v/>
      </c>
      <c r="H755" s="20">
        <f>IF($N755&lt;&gt;"",IF(INDEX(PCNet,$N755)=0,"",INDEX(PCNet,$N755)),"")</f>
        <v/>
      </c>
      <c r="I755" s="19">
        <f>IF($N755&lt;&gt;"",IF(INDEX(PCOp,$N755)="مرجوعی خرید","",IF(INDEX(PCAmount,$N755)&lt;=0,"",INDEX(PCAmount,$N755))),IF($O755&lt;&gt;"",IF(INDEX(TxnDepB,$O755)=0,"",INDEX(TxnDepB,$O755)),""))</f>
        <v/>
      </c>
      <c r="J755" s="19">
        <f>IF($N755&lt;&gt;"",IF(INDEX(PCOp,$N755)="مرجوعی خرید",IF(INDEX(PCAmount,$N755)=0,"",-INDEX(PCAmount,$N755)),""),IF($O755&lt;&gt;"",IF(INDEX(TxnWitB,$O755)=0,"",INDEX(TxnWitB,$O755)),""))</f>
        <v/>
      </c>
      <c r="K755" s="21">
        <f>IF($B755="","",IF($K754="",$C$10,$K754)+IF($I755="",0,$I755)-IF($J755="",0,$J755))</f>
        <v/>
      </c>
      <c r="L755" s="22">
        <f>IF($N755&lt;&gt;"",IF(INDEX(PCNotes,$N755)="","—",INDEX(PCNotes,$N755)),IF($O755&lt;&gt;"",IF(INDEX(LdgNoteB,$O755)="","—",INDEX(LdgNoteB,$O755)),""))</f>
        <v/>
      </c>
      <c r="N755">
        <f>IFERROR(MATCH($C$5&amp;"|"&amp;RIGHT("000000"&amp;739,6),LdgRankKeyA,0),"")</f>
        <v/>
      </c>
      <c r="O755">
        <f>IFERROR(MATCH($C$5&amp;"|"&amp;RIGHT("000000"&amp;739,6),LdgRankKeyB,0),"")</f>
        <v/>
      </c>
    </row>
    <row r="756">
      <c r="A756" s="23" t="n">
        <v>740</v>
      </c>
      <c r="B756" s="24">
        <f>IF(AND($N756="",$O756=""),"",IF($N756&lt;&gt;"",INDEX(PCNormDate,$N756),INDEX(LdgDateB,$O756)))</f>
        <v/>
      </c>
      <c r="C756" s="24">
        <f>IF($N756&lt;&gt;"",INDEX(PCOp,$N756),IF($O756&lt;&gt;"",IF(N(INDEX(TxnDepB,$O756))&gt;0,"دریافت بانکی","پرداخت بانکی"),""))</f>
        <v/>
      </c>
      <c r="D756" s="24">
        <f>IF($N756&lt;&gt;"",IF(INDEX(PCDoc,$N756)="","—",INDEX(PCDoc,$N756)),IF($O756&lt;&gt;"",INDEX(LdgBankB,$O756),""))</f>
        <v/>
      </c>
      <c r="E756" s="24">
        <f>IF($N756&lt;&gt;"",IF(INDEX(PCCitrus,$N756)="","—",INDEX(PCCitrus,$N756)),"")</f>
        <v/>
      </c>
      <c r="F756" s="25">
        <f>IF($N756&lt;&gt;"",IF(INDEX(PCScale,$N756)=0,"",INDEX(PCScale,$N756)),"")</f>
        <v/>
      </c>
      <c r="G756" s="25">
        <f>IF($N756&lt;&gt;"",IF(INDEX(PCBaskets,$N756)=0,"",INDEX(PCBaskets,$N756)),"")</f>
        <v/>
      </c>
      <c r="H756" s="26">
        <f>IF($N756&lt;&gt;"",IF(INDEX(PCNet,$N756)=0,"",INDEX(PCNet,$N756)),"")</f>
        <v/>
      </c>
      <c r="I756" s="25">
        <f>IF($N756&lt;&gt;"",IF(INDEX(PCOp,$N756)="مرجوعی خرید","",IF(INDEX(PCAmount,$N756)&lt;=0,"",INDEX(PCAmount,$N756))),IF($O756&lt;&gt;"",IF(INDEX(TxnDepB,$O756)=0,"",INDEX(TxnDepB,$O756)),""))</f>
        <v/>
      </c>
      <c r="J756" s="25">
        <f>IF($N756&lt;&gt;"",IF(INDEX(PCOp,$N756)="مرجوعی خرید",IF(INDEX(PCAmount,$N756)=0,"",-INDEX(PCAmount,$N756)),""),IF($O756&lt;&gt;"",IF(INDEX(TxnWitB,$O756)=0,"",INDEX(TxnWitB,$O756)),""))</f>
        <v/>
      </c>
      <c r="K756" s="27">
        <f>IF($B756="","",IF($K755="",$C$10,$K755)+IF($I756="",0,$I756)-IF($J756="",0,$J756))</f>
        <v/>
      </c>
      <c r="L756" s="28">
        <f>IF($N756&lt;&gt;"",IF(INDEX(PCNotes,$N756)="","—",INDEX(PCNotes,$N756)),IF($O756&lt;&gt;"",IF(INDEX(LdgNoteB,$O756)="","—",INDEX(LdgNoteB,$O756)),""))</f>
        <v/>
      </c>
      <c r="N756">
        <f>IFERROR(MATCH($C$5&amp;"|"&amp;RIGHT("000000"&amp;740,6),LdgRankKeyA,0),"")</f>
        <v/>
      </c>
      <c r="O756">
        <f>IFERROR(MATCH($C$5&amp;"|"&amp;RIGHT("000000"&amp;740,6),LdgRankKeyB,0),"")</f>
        <v/>
      </c>
    </row>
    <row r="757">
      <c r="A757" s="17" t="n">
        <v>741</v>
      </c>
      <c r="B757" s="18">
        <f>IF(AND($N757="",$O757=""),"",IF($N757&lt;&gt;"",INDEX(PCNormDate,$N757),INDEX(LdgDateB,$O757)))</f>
        <v/>
      </c>
      <c r="C757" s="18">
        <f>IF($N757&lt;&gt;"",INDEX(PCOp,$N757),IF($O757&lt;&gt;"",IF(N(INDEX(TxnDepB,$O757))&gt;0,"دریافت بانکی","پرداخت بانکی"),""))</f>
        <v/>
      </c>
      <c r="D757" s="18">
        <f>IF($N757&lt;&gt;"",IF(INDEX(PCDoc,$N757)="","—",INDEX(PCDoc,$N757)),IF($O757&lt;&gt;"",INDEX(LdgBankB,$O757),""))</f>
        <v/>
      </c>
      <c r="E757" s="18">
        <f>IF($N757&lt;&gt;"",IF(INDEX(PCCitrus,$N757)="","—",INDEX(PCCitrus,$N757)),"")</f>
        <v/>
      </c>
      <c r="F757" s="19">
        <f>IF($N757&lt;&gt;"",IF(INDEX(PCScale,$N757)=0,"",INDEX(PCScale,$N757)),"")</f>
        <v/>
      </c>
      <c r="G757" s="19">
        <f>IF($N757&lt;&gt;"",IF(INDEX(PCBaskets,$N757)=0,"",INDEX(PCBaskets,$N757)),"")</f>
        <v/>
      </c>
      <c r="H757" s="20">
        <f>IF($N757&lt;&gt;"",IF(INDEX(PCNet,$N757)=0,"",INDEX(PCNet,$N757)),"")</f>
        <v/>
      </c>
      <c r="I757" s="19">
        <f>IF($N757&lt;&gt;"",IF(INDEX(PCOp,$N757)="مرجوعی خرید","",IF(INDEX(PCAmount,$N757)&lt;=0,"",INDEX(PCAmount,$N757))),IF($O757&lt;&gt;"",IF(INDEX(TxnDepB,$O757)=0,"",INDEX(TxnDepB,$O757)),""))</f>
        <v/>
      </c>
      <c r="J757" s="19">
        <f>IF($N757&lt;&gt;"",IF(INDEX(PCOp,$N757)="مرجوعی خرید",IF(INDEX(PCAmount,$N757)=0,"",-INDEX(PCAmount,$N757)),""),IF($O757&lt;&gt;"",IF(INDEX(TxnWitB,$O757)=0,"",INDEX(TxnWitB,$O757)),""))</f>
        <v/>
      </c>
      <c r="K757" s="21">
        <f>IF($B757="","",IF($K756="",$C$10,$K756)+IF($I757="",0,$I757)-IF($J757="",0,$J757))</f>
        <v/>
      </c>
      <c r="L757" s="22">
        <f>IF($N757&lt;&gt;"",IF(INDEX(PCNotes,$N757)="","—",INDEX(PCNotes,$N757)),IF($O757&lt;&gt;"",IF(INDEX(LdgNoteB,$O757)="","—",INDEX(LdgNoteB,$O757)),""))</f>
        <v/>
      </c>
      <c r="N757">
        <f>IFERROR(MATCH($C$5&amp;"|"&amp;RIGHT("000000"&amp;741,6),LdgRankKeyA,0),"")</f>
        <v/>
      </c>
      <c r="O757">
        <f>IFERROR(MATCH($C$5&amp;"|"&amp;RIGHT("000000"&amp;741,6),LdgRankKeyB,0),"")</f>
        <v/>
      </c>
    </row>
    <row r="758">
      <c r="A758" s="23" t="n">
        <v>742</v>
      </c>
      <c r="B758" s="24">
        <f>IF(AND($N758="",$O758=""),"",IF($N758&lt;&gt;"",INDEX(PCNormDate,$N758),INDEX(LdgDateB,$O758)))</f>
        <v/>
      </c>
      <c r="C758" s="24">
        <f>IF($N758&lt;&gt;"",INDEX(PCOp,$N758),IF($O758&lt;&gt;"",IF(N(INDEX(TxnDepB,$O758))&gt;0,"دریافت بانکی","پرداخت بانکی"),""))</f>
        <v/>
      </c>
      <c r="D758" s="24">
        <f>IF($N758&lt;&gt;"",IF(INDEX(PCDoc,$N758)="","—",INDEX(PCDoc,$N758)),IF($O758&lt;&gt;"",INDEX(LdgBankB,$O758),""))</f>
        <v/>
      </c>
      <c r="E758" s="24">
        <f>IF($N758&lt;&gt;"",IF(INDEX(PCCitrus,$N758)="","—",INDEX(PCCitrus,$N758)),"")</f>
        <v/>
      </c>
      <c r="F758" s="25">
        <f>IF($N758&lt;&gt;"",IF(INDEX(PCScale,$N758)=0,"",INDEX(PCScale,$N758)),"")</f>
        <v/>
      </c>
      <c r="G758" s="25">
        <f>IF($N758&lt;&gt;"",IF(INDEX(PCBaskets,$N758)=0,"",INDEX(PCBaskets,$N758)),"")</f>
        <v/>
      </c>
      <c r="H758" s="26">
        <f>IF($N758&lt;&gt;"",IF(INDEX(PCNet,$N758)=0,"",INDEX(PCNet,$N758)),"")</f>
        <v/>
      </c>
      <c r="I758" s="25">
        <f>IF($N758&lt;&gt;"",IF(INDEX(PCOp,$N758)="مرجوعی خرید","",IF(INDEX(PCAmount,$N758)&lt;=0,"",INDEX(PCAmount,$N758))),IF($O758&lt;&gt;"",IF(INDEX(TxnDepB,$O758)=0,"",INDEX(TxnDepB,$O758)),""))</f>
        <v/>
      </c>
      <c r="J758" s="25">
        <f>IF($N758&lt;&gt;"",IF(INDEX(PCOp,$N758)="مرجوعی خرید",IF(INDEX(PCAmount,$N758)=0,"",-INDEX(PCAmount,$N758)),""),IF($O758&lt;&gt;"",IF(INDEX(TxnWitB,$O758)=0,"",INDEX(TxnWitB,$O758)),""))</f>
        <v/>
      </c>
      <c r="K758" s="27">
        <f>IF($B758="","",IF($K757="",$C$10,$K757)+IF($I758="",0,$I758)-IF($J758="",0,$J758))</f>
        <v/>
      </c>
      <c r="L758" s="28">
        <f>IF($N758&lt;&gt;"",IF(INDEX(PCNotes,$N758)="","—",INDEX(PCNotes,$N758)),IF($O758&lt;&gt;"",IF(INDEX(LdgNoteB,$O758)="","—",INDEX(LdgNoteB,$O758)),""))</f>
        <v/>
      </c>
      <c r="N758">
        <f>IFERROR(MATCH($C$5&amp;"|"&amp;RIGHT("000000"&amp;742,6),LdgRankKeyA,0),"")</f>
        <v/>
      </c>
      <c r="O758">
        <f>IFERROR(MATCH($C$5&amp;"|"&amp;RIGHT("000000"&amp;742,6),LdgRankKeyB,0),"")</f>
        <v/>
      </c>
    </row>
    <row r="759">
      <c r="A759" s="17" t="n">
        <v>743</v>
      </c>
      <c r="B759" s="18">
        <f>IF(AND($N759="",$O759=""),"",IF($N759&lt;&gt;"",INDEX(PCNormDate,$N759),INDEX(LdgDateB,$O759)))</f>
        <v/>
      </c>
      <c r="C759" s="18">
        <f>IF($N759&lt;&gt;"",INDEX(PCOp,$N759),IF($O759&lt;&gt;"",IF(N(INDEX(TxnDepB,$O759))&gt;0,"دریافت بانکی","پرداخت بانکی"),""))</f>
        <v/>
      </c>
      <c r="D759" s="18">
        <f>IF($N759&lt;&gt;"",IF(INDEX(PCDoc,$N759)="","—",INDEX(PCDoc,$N759)),IF($O759&lt;&gt;"",INDEX(LdgBankB,$O759),""))</f>
        <v/>
      </c>
      <c r="E759" s="18">
        <f>IF($N759&lt;&gt;"",IF(INDEX(PCCitrus,$N759)="","—",INDEX(PCCitrus,$N759)),"")</f>
        <v/>
      </c>
      <c r="F759" s="19">
        <f>IF($N759&lt;&gt;"",IF(INDEX(PCScale,$N759)=0,"",INDEX(PCScale,$N759)),"")</f>
        <v/>
      </c>
      <c r="G759" s="19">
        <f>IF($N759&lt;&gt;"",IF(INDEX(PCBaskets,$N759)=0,"",INDEX(PCBaskets,$N759)),"")</f>
        <v/>
      </c>
      <c r="H759" s="20">
        <f>IF($N759&lt;&gt;"",IF(INDEX(PCNet,$N759)=0,"",INDEX(PCNet,$N759)),"")</f>
        <v/>
      </c>
      <c r="I759" s="19">
        <f>IF($N759&lt;&gt;"",IF(INDEX(PCOp,$N759)="مرجوعی خرید","",IF(INDEX(PCAmount,$N759)&lt;=0,"",INDEX(PCAmount,$N759))),IF($O759&lt;&gt;"",IF(INDEX(TxnDepB,$O759)=0,"",INDEX(TxnDepB,$O759)),""))</f>
        <v/>
      </c>
      <c r="J759" s="19">
        <f>IF($N759&lt;&gt;"",IF(INDEX(PCOp,$N759)="مرجوعی خرید",IF(INDEX(PCAmount,$N759)=0,"",-INDEX(PCAmount,$N759)),""),IF($O759&lt;&gt;"",IF(INDEX(TxnWitB,$O759)=0,"",INDEX(TxnWitB,$O759)),""))</f>
        <v/>
      </c>
      <c r="K759" s="21">
        <f>IF($B759="","",IF($K758="",$C$10,$K758)+IF($I759="",0,$I759)-IF($J759="",0,$J759))</f>
        <v/>
      </c>
      <c r="L759" s="22">
        <f>IF($N759&lt;&gt;"",IF(INDEX(PCNotes,$N759)="","—",INDEX(PCNotes,$N759)),IF($O759&lt;&gt;"",IF(INDEX(LdgNoteB,$O759)="","—",INDEX(LdgNoteB,$O759)),""))</f>
        <v/>
      </c>
      <c r="N759">
        <f>IFERROR(MATCH($C$5&amp;"|"&amp;RIGHT("000000"&amp;743,6),LdgRankKeyA,0),"")</f>
        <v/>
      </c>
      <c r="O759">
        <f>IFERROR(MATCH($C$5&amp;"|"&amp;RIGHT("000000"&amp;743,6),LdgRankKeyB,0),"")</f>
        <v/>
      </c>
    </row>
    <row r="760">
      <c r="A760" s="23" t="n">
        <v>744</v>
      </c>
      <c r="B760" s="24">
        <f>IF(AND($N760="",$O760=""),"",IF($N760&lt;&gt;"",INDEX(PCNormDate,$N760),INDEX(LdgDateB,$O760)))</f>
        <v/>
      </c>
      <c r="C760" s="24">
        <f>IF($N760&lt;&gt;"",INDEX(PCOp,$N760),IF($O760&lt;&gt;"",IF(N(INDEX(TxnDepB,$O760))&gt;0,"دریافت بانکی","پرداخت بانکی"),""))</f>
        <v/>
      </c>
      <c r="D760" s="24">
        <f>IF($N760&lt;&gt;"",IF(INDEX(PCDoc,$N760)="","—",INDEX(PCDoc,$N760)),IF($O760&lt;&gt;"",INDEX(LdgBankB,$O760),""))</f>
        <v/>
      </c>
      <c r="E760" s="24">
        <f>IF($N760&lt;&gt;"",IF(INDEX(PCCitrus,$N760)="","—",INDEX(PCCitrus,$N760)),"")</f>
        <v/>
      </c>
      <c r="F760" s="25">
        <f>IF($N760&lt;&gt;"",IF(INDEX(PCScale,$N760)=0,"",INDEX(PCScale,$N760)),"")</f>
        <v/>
      </c>
      <c r="G760" s="25">
        <f>IF($N760&lt;&gt;"",IF(INDEX(PCBaskets,$N760)=0,"",INDEX(PCBaskets,$N760)),"")</f>
        <v/>
      </c>
      <c r="H760" s="26">
        <f>IF($N760&lt;&gt;"",IF(INDEX(PCNet,$N760)=0,"",INDEX(PCNet,$N760)),"")</f>
        <v/>
      </c>
      <c r="I760" s="25">
        <f>IF($N760&lt;&gt;"",IF(INDEX(PCOp,$N760)="مرجوعی خرید","",IF(INDEX(PCAmount,$N760)&lt;=0,"",INDEX(PCAmount,$N760))),IF($O760&lt;&gt;"",IF(INDEX(TxnDepB,$O760)=0,"",INDEX(TxnDepB,$O760)),""))</f>
        <v/>
      </c>
      <c r="J760" s="25">
        <f>IF($N760&lt;&gt;"",IF(INDEX(PCOp,$N760)="مرجوعی خرید",IF(INDEX(PCAmount,$N760)=0,"",-INDEX(PCAmount,$N760)),""),IF($O760&lt;&gt;"",IF(INDEX(TxnWitB,$O760)=0,"",INDEX(TxnWitB,$O760)),""))</f>
        <v/>
      </c>
      <c r="K760" s="27">
        <f>IF($B760="","",IF($K759="",$C$10,$K759)+IF($I760="",0,$I760)-IF($J760="",0,$J760))</f>
        <v/>
      </c>
      <c r="L760" s="28">
        <f>IF($N760&lt;&gt;"",IF(INDEX(PCNotes,$N760)="","—",INDEX(PCNotes,$N760)),IF($O760&lt;&gt;"",IF(INDEX(LdgNoteB,$O760)="","—",INDEX(LdgNoteB,$O760)),""))</f>
        <v/>
      </c>
      <c r="N760">
        <f>IFERROR(MATCH($C$5&amp;"|"&amp;RIGHT("000000"&amp;744,6),LdgRankKeyA,0),"")</f>
        <v/>
      </c>
      <c r="O760">
        <f>IFERROR(MATCH($C$5&amp;"|"&amp;RIGHT("000000"&amp;744,6),LdgRankKeyB,0),"")</f>
        <v/>
      </c>
    </row>
    <row r="761">
      <c r="A761" s="17" t="n">
        <v>745</v>
      </c>
      <c r="B761" s="18">
        <f>IF(AND($N761="",$O761=""),"",IF($N761&lt;&gt;"",INDEX(PCNormDate,$N761),INDEX(LdgDateB,$O761)))</f>
        <v/>
      </c>
      <c r="C761" s="18">
        <f>IF($N761&lt;&gt;"",INDEX(PCOp,$N761),IF($O761&lt;&gt;"",IF(N(INDEX(TxnDepB,$O761))&gt;0,"دریافت بانکی","پرداخت بانکی"),""))</f>
        <v/>
      </c>
      <c r="D761" s="18">
        <f>IF($N761&lt;&gt;"",IF(INDEX(PCDoc,$N761)="","—",INDEX(PCDoc,$N761)),IF($O761&lt;&gt;"",INDEX(LdgBankB,$O761),""))</f>
        <v/>
      </c>
      <c r="E761" s="18">
        <f>IF($N761&lt;&gt;"",IF(INDEX(PCCitrus,$N761)="","—",INDEX(PCCitrus,$N761)),"")</f>
        <v/>
      </c>
      <c r="F761" s="19">
        <f>IF($N761&lt;&gt;"",IF(INDEX(PCScale,$N761)=0,"",INDEX(PCScale,$N761)),"")</f>
        <v/>
      </c>
      <c r="G761" s="19">
        <f>IF($N761&lt;&gt;"",IF(INDEX(PCBaskets,$N761)=0,"",INDEX(PCBaskets,$N761)),"")</f>
        <v/>
      </c>
      <c r="H761" s="20">
        <f>IF($N761&lt;&gt;"",IF(INDEX(PCNet,$N761)=0,"",INDEX(PCNet,$N761)),"")</f>
        <v/>
      </c>
      <c r="I761" s="19">
        <f>IF($N761&lt;&gt;"",IF(INDEX(PCOp,$N761)="مرجوعی خرید","",IF(INDEX(PCAmount,$N761)&lt;=0,"",INDEX(PCAmount,$N761))),IF($O761&lt;&gt;"",IF(INDEX(TxnDepB,$O761)=0,"",INDEX(TxnDepB,$O761)),""))</f>
        <v/>
      </c>
      <c r="J761" s="19">
        <f>IF($N761&lt;&gt;"",IF(INDEX(PCOp,$N761)="مرجوعی خرید",IF(INDEX(PCAmount,$N761)=0,"",-INDEX(PCAmount,$N761)),""),IF($O761&lt;&gt;"",IF(INDEX(TxnWitB,$O761)=0,"",INDEX(TxnWitB,$O761)),""))</f>
        <v/>
      </c>
      <c r="K761" s="21">
        <f>IF($B761="","",IF($K760="",$C$10,$K760)+IF($I761="",0,$I761)-IF($J761="",0,$J761))</f>
        <v/>
      </c>
      <c r="L761" s="22">
        <f>IF($N761&lt;&gt;"",IF(INDEX(PCNotes,$N761)="","—",INDEX(PCNotes,$N761)),IF($O761&lt;&gt;"",IF(INDEX(LdgNoteB,$O761)="","—",INDEX(LdgNoteB,$O761)),""))</f>
        <v/>
      </c>
      <c r="N761">
        <f>IFERROR(MATCH($C$5&amp;"|"&amp;RIGHT("000000"&amp;745,6),LdgRankKeyA,0),"")</f>
        <v/>
      </c>
      <c r="O761">
        <f>IFERROR(MATCH($C$5&amp;"|"&amp;RIGHT("000000"&amp;745,6),LdgRankKeyB,0),"")</f>
        <v/>
      </c>
    </row>
    <row r="762">
      <c r="A762" s="23" t="n">
        <v>746</v>
      </c>
      <c r="B762" s="24">
        <f>IF(AND($N762="",$O762=""),"",IF($N762&lt;&gt;"",INDEX(PCNormDate,$N762),INDEX(LdgDateB,$O762)))</f>
        <v/>
      </c>
      <c r="C762" s="24">
        <f>IF($N762&lt;&gt;"",INDEX(PCOp,$N762),IF($O762&lt;&gt;"",IF(N(INDEX(TxnDepB,$O762))&gt;0,"دریافت بانکی","پرداخت بانکی"),""))</f>
        <v/>
      </c>
      <c r="D762" s="24">
        <f>IF($N762&lt;&gt;"",IF(INDEX(PCDoc,$N762)="","—",INDEX(PCDoc,$N762)),IF($O762&lt;&gt;"",INDEX(LdgBankB,$O762),""))</f>
        <v/>
      </c>
      <c r="E762" s="24">
        <f>IF($N762&lt;&gt;"",IF(INDEX(PCCitrus,$N762)="","—",INDEX(PCCitrus,$N762)),"")</f>
        <v/>
      </c>
      <c r="F762" s="25">
        <f>IF($N762&lt;&gt;"",IF(INDEX(PCScale,$N762)=0,"",INDEX(PCScale,$N762)),"")</f>
        <v/>
      </c>
      <c r="G762" s="25">
        <f>IF($N762&lt;&gt;"",IF(INDEX(PCBaskets,$N762)=0,"",INDEX(PCBaskets,$N762)),"")</f>
        <v/>
      </c>
      <c r="H762" s="26">
        <f>IF($N762&lt;&gt;"",IF(INDEX(PCNet,$N762)=0,"",INDEX(PCNet,$N762)),"")</f>
        <v/>
      </c>
      <c r="I762" s="25">
        <f>IF($N762&lt;&gt;"",IF(INDEX(PCOp,$N762)="مرجوعی خرید","",IF(INDEX(PCAmount,$N762)&lt;=0,"",INDEX(PCAmount,$N762))),IF($O762&lt;&gt;"",IF(INDEX(TxnDepB,$O762)=0,"",INDEX(TxnDepB,$O762)),""))</f>
        <v/>
      </c>
      <c r="J762" s="25">
        <f>IF($N762&lt;&gt;"",IF(INDEX(PCOp,$N762)="مرجوعی خرید",IF(INDEX(PCAmount,$N762)=0,"",-INDEX(PCAmount,$N762)),""),IF($O762&lt;&gt;"",IF(INDEX(TxnWitB,$O762)=0,"",INDEX(TxnWitB,$O762)),""))</f>
        <v/>
      </c>
      <c r="K762" s="27">
        <f>IF($B762="","",IF($K761="",$C$10,$K761)+IF($I762="",0,$I762)-IF($J762="",0,$J762))</f>
        <v/>
      </c>
      <c r="L762" s="28">
        <f>IF($N762&lt;&gt;"",IF(INDEX(PCNotes,$N762)="","—",INDEX(PCNotes,$N762)),IF($O762&lt;&gt;"",IF(INDEX(LdgNoteB,$O762)="","—",INDEX(LdgNoteB,$O762)),""))</f>
        <v/>
      </c>
      <c r="N762">
        <f>IFERROR(MATCH($C$5&amp;"|"&amp;RIGHT("000000"&amp;746,6),LdgRankKeyA,0),"")</f>
        <v/>
      </c>
      <c r="O762">
        <f>IFERROR(MATCH($C$5&amp;"|"&amp;RIGHT("000000"&amp;746,6),LdgRankKeyB,0),"")</f>
        <v/>
      </c>
    </row>
    <row r="763">
      <c r="A763" s="17" t="n">
        <v>747</v>
      </c>
      <c r="B763" s="18">
        <f>IF(AND($N763="",$O763=""),"",IF($N763&lt;&gt;"",INDEX(PCNormDate,$N763),INDEX(LdgDateB,$O763)))</f>
        <v/>
      </c>
      <c r="C763" s="18">
        <f>IF($N763&lt;&gt;"",INDEX(PCOp,$N763),IF($O763&lt;&gt;"",IF(N(INDEX(TxnDepB,$O763))&gt;0,"دریافت بانکی","پرداخت بانکی"),""))</f>
        <v/>
      </c>
      <c r="D763" s="18">
        <f>IF($N763&lt;&gt;"",IF(INDEX(PCDoc,$N763)="","—",INDEX(PCDoc,$N763)),IF($O763&lt;&gt;"",INDEX(LdgBankB,$O763),""))</f>
        <v/>
      </c>
      <c r="E763" s="18">
        <f>IF($N763&lt;&gt;"",IF(INDEX(PCCitrus,$N763)="","—",INDEX(PCCitrus,$N763)),"")</f>
        <v/>
      </c>
      <c r="F763" s="19">
        <f>IF($N763&lt;&gt;"",IF(INDEX(PCScale,$N763)=0,"",INDEX(PCScale,$N763)),"")</f>
        <v/>
      </c>
      <c r="G763" s="19">
        <f>IF($N763&lt;&gt;"",IF(INDEX(PCBaskets,$N763)=0,"",INDEX(PCBaskets,$N763)),"")</f>
        <v/>
      </c>
      <c r="H763" s="20">
        <f>IF($N763&lt;&gt;"",IF(INDEX(PCNet,$N763)=0,"",INDEX(PCNet,$N763)),"")</f>
        <v/>
      </c>
      <c r="I763" s="19">
        <f>IF($N763&lt;&gt;"",IF(INDEX(PCOp,$N763)="مرجوعی خرید","",IF(INDEX(PCAmount,$N763)&lt;=0,"",INDEX(PCAmount,$N763))),IF($O763&lt;&gt;"",IF(INDEX(TxnDepB,$O763)=0,"",INDEX(TxnDepB,$O763)),""))</f>
        <v/>
      </c>
      <c r="J763" s="19">
        <f>IF($N763&lt;&gt;"",IF(INDEX(PCOp,$N763)="مرجوعی خرید",IF(INDEX(PCAmount,$N763)=0,"",-INDEX(PCAmount,$N763)),""),IF($O763&lt;&gt;"",IF(INDEX(TxnWitB,$O763)=0,"",INDEX(TxnWitB,$O763)),""))</f>
        <v/>
      </c>
      <c r="K763" s="21">
        <f>IF($B763="","",IF($K762="",$C$10,$K762)+IF($I763="",0,$I763)-IF($J763="",0,$J763))</f>
        <v/>
      </c>
      <c r="L763" s="22">
        <f>IF($N763&lt;&gt;"",IF(INDEX(PCNotes,$N763)="","—",INDEX(PCNotes,$N763)),IF($O763&lt;&gt;"",IF(INDEX(LdgNoteB,$O763)="","—",INDEX(LdgNoteB,$O763)),""))</f>
        <v/>
      </c>
      <c r="N763">
        <f>IFERROR(MATCH($C$5&amp;"|"&amp;RIGHT("000000"&amp;747,6),LdgRankKeyA,0),"")</f>
        <v/>
      </c>
      <c r="O763">
        <f>IFERROR(MATCH($C$5&amp;"|"&amp;RIGHT("000000"&amp;747,6),LdgRankKeyB,0),"")</f>
        <v/>
      </c>
    </row>
    <row r="764">
      <c r="A764" s="23" t="n">
        <v>748</v>
      </c>
      <c r="B764" s="24">
        <f>IF(AND($N764="",$O764=""),"",IF($N764&lt;&gt;"",INDEX(PCNormDate,$N764),INDEX(LdgDateB,$O764)))</f>
        <v/>
      </c>
      <c r="C764" s="24">
        <f>IF($N764&lt;&gt;"",INDEX(PCOp,$N764),IF($O764&lt;&gt;"",IF(N(INDEX(TxnDepB,$O764))&gt;0,"دریافت بانکی","پرداخت بانکی"),""))</f>
        <v/>
      </c>
      <c r="D764" s="24">
        <f>IF($N764&lt;&gt;"",IF(INDEX(PCDoc,$N764)="","—",INDEX(PCDoc,$N764)),IF($O764&lt;&gt;"",INDEX(LdgBankB,$O764),""))</f>
        <v/>
      </c>
      <c r="E764" s="24">
        <f>IF($N764&lt;&gt;"",IF(INDEX(PCCitrus,$N764)="","—",INDEX(PCCitrus,$N764)),"")</f>
        <v/>
      </c>
      <c r="F764" s="25">
        <f>IF($N764&lt;&gt;"",IF(INDEX(PCScale,$N764)=0,"",INDEX(PCScale,$N764)),"")</f>
        <v/>
      </c>
      <c r="G764" s="25">
        <f>IF($N764&lt;&gt;"",IF(INDEX(PCBaskets,$N764)=0,"",INDEX(PCBaskets,$N764)),"")</f>
        <v/>
      </c>
      <c r="H764" s="26">
        <f>IF($N764&lt;&gt;"",IF(INDEX(PCNet,$N764)=0,"",INDEX(PCNet,$N764)),"")</f>
        <v/>
      </c>
      <c r="I764" s="25">
        <f>IF($N764&lt;&gt;"",IF(INDEX(PCOp,$N764)="مرجوعی خرید","",IF(INDEX(PCAmount,$N764)&lt;=0,"",INDEX(PCAmount,$N764))),IF($O764&lt;&gt;"",IF(INDEX(TxnDepB,$O764)=0,"",INDEX(TxnDepB,$O764)),""))</f>
        <v/>
      </c>
      <c r="J764" s="25">
        <f>IF($N764&lt;&gt;"",IF(INDEX(PCOp,$N764)="مرجوعی خرید",IF(INDEX(PCAmount,$N764)=0,"",-INDEX(PCAmount,$N764)),""),IF($O764&lt;&gt;"",IF(INDEX(TxnWitB,$O764)=0,"",INDEX(TxnWitB,$O764)),""))</f>
        <v/>
      </c>
      <c r="K764" s="27">
        <f>IF($B764="","",IF($K763="",$C$10,$K763)+IF($I764="",0,$I764)-IF($J764="",0,$J764))</f>
        <v/>
      </c>
      <c r="L764" s="28">
        <f>IF($N764&lt;&gt;"",IF(INDEX(PCNotes,$N764)="","—",INDEX(PCNotes,$N764)),IF($O764&lt;&gt;"",IF(INDEX(LdgNoteB,$O764)="","—",INDEX(LdgNoteB,$O764)),""))</f>
        <v/>
      </c>
      <c r="N764">
        <f>IFERROR(MATCH($C$5&amp;"|"&amp;RIGHT("000000"&amp;748,6),LdgRankKeyA,0),"")</f>
        <v/>
      </c>
      <c r="O764">
        <f>IFERROR(MATCH($C$5&amp;"|"&amp;RIGHT("000000"&amp;748,6),LdgRankKeyB,0),"")</f>
        <v/>
      </c>
    </row>
    <row r="765">
      <c r="A765" s="17" t="n">
        <v>749</v>
      </c>
      <c r="B765" s="18">
        <f>IF(AND($N765="",$O765=""),"",IF($N765&lt;&gt;"",INDEX(PCNormDate,$N765),INDEX(LdgDateB,$O765)))</f>
        <v/>
      </c>
      <c r="C765" s="18">
        <f>IF($N765&lt;&gt;"",INDEX(PCOp,$N765),IF($O765&lt;&gt;"",IF(N(INDEX(TxnDepB,$O765))&gt;0,"دریافت بانکی","پرداخت بانکی"),""))</f>
        <v/>
      </c>
      <c r="D765" s="18">
        <f>IF($N765&lt;&gt;"",IF(INDEX(PCDoc,$N765)="","—",INDEX(PCDoc,$N765)),IF($O765&lt;&gt;"",INDEX(LdgBankB,$O765),""))</f>
        <v/>
      </c>
      <c r="E765" s="18">
        <f>IF($N765&lt;&gt;"",IF(INDEX(PCCitrus,$N765)="","—",INDEX(PCCitrus,$N765)),"")</f>
        <v/>
      </c>
      <c r="F765" s="19">
        <f>IF($N765&lt;&gt;"",IF(INDEX(PCScale,$N765)=0,"",INDEX(PCScale,$N765)),"")</f>
        <v/>
      </c>
      <c r="G765" s="19">
        <f>IF($N765&lt;&gt;"",IF(INDEX(PCBaskets,$N765)=0,"",INDEX(PCBaskets,$N765)),"")</f>
        <v/>
      </c>
      <c r="H765" s="20">
        <f>IF($N765&lt;&gt;"",IF(INDEX(PCNet,$N765)=0,"",INDEX(PCNet,$N765)),"")</f>
        <v/>
      </c>
      <c r="I765" s="19">
        <f>IF($N765&lt;&gt;"",IF(INDEX(PCOp,$N765)="مرجوعی خرید","",IF(INDEX(PCAmount,$N765)&lt;=0,"",INDEX(PCAmount,$N765))),IF($O765&lt;&gt;"",IF(INDEX(TxnDepB,$O765)=0,"",INDEX(TxnDepB,$O765)),""))</f>
        <v/>
      </c>
      <c r="J765" s="19">
        <f>IF($N765&lt;&gt;"",IF(INDEX(PCOp,$N765)="مرجوعی خرید",IF(INDEX(PCAmount,$N765)=0,"",-INDEX(PCAmount,$N765)),""),IF($O765&lt;&gt;"",IF(INDEX(TxnWitB,$O765)=0,"",INDEX(TxnWitB,$O765)),""))</f>
        <v/>
      </c>
      <c r="K765" s="21">
        <f>IF($B765="","",IF($K764="",$C$10,$K764)+IF($I765="",0,$I765)-IF($J765="",0,$J765))</f>
        <v/>
      </c>
      <c r="L765" s="22">
        <f>IF($N765&lt;&gt;"",IF(INDEX(PCNotes,$N765)="","—",INDEX(PCNotes,$N765)),IF($O765&lt;&gt;"",IF(INDEX(LdgNoteB,$O765)="","—",INDEX(LdgNoteB,$O765)),""))</f>
        <v/>
      </c>
      <c r="N765">
        <f>IFERROR(MATCH($C$5&amp;"|"&amp;RIGHT("000000"&amp;749,6),LdgRankKeyA,0),"")</f>
        <v/>
      </c>
      <c r="O765">
        <f>IFERROR(MATCH($C$5&amp;"|"&amp;RIGHT("000000"&amp;749,6),LdgRankKeyB,0),"")</f>
        <v/>
      </c>
    </row>
    <row r="766">
      <c r="A766" s="23" t="n">
        <v>750</v>
      </c>
      <c r="B766" s="24">
        <f>IF(AND($N766="",$O766=""),"",IF($N766&lt;&gt;"",INDEX(PCNormDate,$N766),INDEX(LdgDateB,$O766)))</f>
        <v/>
      </c>
      <c r="C766" s="24">
        <f>IF($N766&lt;&gt;"",INDEX(PCOp,$N766),IF($O766&lt;&gt;"",IF(N(INDEX(TxnDepB,$O766))&gt;0,"دریافت بانکی","پرداخت بانکی"),""))</f>
        <v/>
      </c>
      <c r="D766" s="24">
        <f>IF($N766&lt;&gt;"",IF(INDEX(PCDoc,$N766)="","—",INDEX(PCDoc,$N766)),IF($O766&lt;&gt;"",INDEX(LdgBankB,$O766),""))</f>
        <v/>
      </c>
      <c r="E766" s="24">
        <f>IF($N766&lt;&gt;"",IF(INDEX(PCCitrus,$N766)="","—",INDEX(PCCitrus,$N766)),"")</f>
        <v/>
      </c>
      <c r="F766" s="25">
        <f>IF($N766&lt;&gt;"",IF(INDEX(PCScale,$N766)=0,"",INDEX(PCScale,$N766)),"")</f>
        <v/>
      </c>
      <c r="G766" s="25">
        <f>IF($N766&lt;&gt;"",IF(INDEX(PCBaskets,$N766)=0,"",INDEX(PCBaskets,$N766)),"")</f>
        <v/>
      </c>
      <c r="H766" s="26">
        <f>IF($N766&lt;&gt;"",IF(INDEX(PCNet,$N766)=0,"",INDEX(PCNet,$N766)),"")</f>
        <v/>
      </c>
      <c r="I766" s="25">
        <f>IF($N766&lt;&gt;"",IF(INDEX(PCOp,$N766)="مرجوعی خرید","",IF(INDEX(PCAmount,$N766)&lt;=0,"",INDEX(PCAmount,$N766))),IF($O766&lt;&gt;"",IF(INDEX(TxnDepB,$O766)=0,"",INDEX(TxnDepB,$O766)),""))</f>
        <v/>
      </c>
      <c r="J766" s="25">
        <f>IF($N766&lt;&gt;"",IF(INDEX(PCOp,$N766)="مرجوعی خرید",IF(INDEX(PCAmount,$N766)=0,"",-INDEX(PCAmount,$N766)),""),IF($O766&lt;&gt;"",IF(INDEX(TxnWitB,$O766)=0,"",INDEX(TxnWitB,$O766)),""))</f>
        <v/>
      </c>
      <c r="K766" s="27">
        <f>IF($B766="","",IF($K765="",$C$10,$K765)+IF($I766="",0,$I766)-IF($J766="",0,$J766))</f>
        <v/>
      </c>
      <c r="L766" s="28">
        <f>IF($N766&lt;&gt;"",IF(INDEX(PCNotes,$N766)="","—",INDEX(PCNotes,$N766)),IF($O766&lt;&gt;"",IF(INDEX(LdgNoteB,$O766)="","—",INDEX(LdgNoteB,$O766)),""))</f>
        <v/>
      </c>
      <c r="N766">
        <f>IFERROR(MATCH($C$5&amp;"|"&amp;RIGHT("000000"&amp;750,6),LdgRankKeyA,0),"")</f>
        <v/>
      </c>
      <c r="O766">
        <f>IFERROR(MATCH($C$5&amp;"|"&amp;RIGHT("000000"&amp;750,6),LdgRankKeyB,0),"")</f>
        <v/>
      </c>
    </row>
    <row r="767">
      <c r="A767" s="17" t="n">
        <v>751</v>
      </c>
      <c r="B767" s="18">
        <f>IF(AND($N767="",$O767=""),"",IF($N767&lt;&gt;"",INDEX(PCNormDate,$N767),INDEX(LdgDateB,$O767)))</f>
        <v/>
      </c>
      <c r="C767" s="18">
        <f>IF($N767&lt;&gt;"",INDEX(PCOp,$N767),IF($O767&lt;&gt;"",IF(N(INDEX(TxnDepB,$O767))&gt;0,"دریافت بانکی","پرداخت بانکی"),""))</f>
        <v/>
      </c>
      <c r="D767" s="18">
        <f>IF($N767&lt;&gt;"",IF(INDEX(PCDoc,$N767)="","—",INDEX(PCDoc,$N767)),IF($O767&lt;&gt;"",INDEX(LdgBankB,$O767),""))</f>
        <v/>
      </c>
      <c r="E767" s="18">
        <f>IF($N767&lt;&gt;"",IF(INDEX(PCCitrus,$N767)="","—",INDEX(PCCitrus,$N767)),"")</f>
        <v/>
      </c>
      <c r="F767" s="19">
        <f>IF($N767&lt;&gt;"",IF(INDEX(PCScale,$N767)=0,"",INDEX(PCScale,$N767)),"")</f>
        <v/>
      </c>
      <c r="G767" s="19">
        <f>IF($N767&lt;&gt;"",IF(INDEX(PCBaskets,$N767)=0,"",INDEX(PCBaskets,$N767)),"")</f>
        <v/>
      </c>
      <c r="H767" s="20">
        <f>IF($N767&lt;&gt;"",IF(INDEX(PCNet,$N767)=0,"",INDEX(PCNet,$N767)),"")</f>
        <v/>
      </c>
      <c r="I767" s="19">
        <f>IF($N767&lt;&gt;"",IF(INDEX(PCOp,$N767)="مرجوعی خرید","",IF(INDEX(PCAmount,$N767)&lt;=0,"",INDEX(PCAmount,$N767))),IF($O767&lt;&gt;"",IF(INDEX(TxnDepB,$O767)=0,"",INDEX(TxnDepB,$O767)),""))</f>
        <v/>
      </c>
      <c r="J767" s="19">
        <f>IF($N767&lt;&gt;"",IF(INDEX(PCOp,$N767)="مرجوعی خرید",IF(INDEX(PCAmount,$N767)=0,"",-INDEX(PCAmount,$N767)),""),IF($O767&lt;&gt;"",IF(INDEX(TxnWitB,$O767)=0,"",INDEX(TxnWitB,$O767)),""))</f>
        <v/>
      </c>
      <c r="K767" s="21">
        <f>IF($B767="","",IF($K766="",$C$10,$K766)+IF($I767="",0,$I767)-IF($J767="",0,$J767))</f>
        <v/>
      </c>
      <c r="L767" s="22">
        <f>IF($N767&lt;&gt;"",IF(INDEX(PCNotes,$N767)="","—",INDEX(PCNotes,$N767)),IF($O767&lt;&gt;"",IF(INDEX(LdgNoteB,$O767)="","—",INDEX(LdgNoteB,$O767)),""))</f>
        <v/>
      </c>
      <c r="N767">
        <f>IFERROR(MATCH($C$5&amp;"|"&amp;RIGHT("000000"&amp;751,6),LdgRankKeyA,0),"")</f>
        <v/>
      </c>
      <c r="O767">
        <f>IFERROR(MATCH($C$5&amp;"|"&amp;RIGHT("000000"&amp;751,6),LdgRankKeyB,0),"")</f>
        <v/>
      </c>
    </row>
    <row r="768">
      <c r="A768" s="23" t="n">
        <v>752</v>
      </c>
      <c r="B768" s="24">
        <f>IF(AND($N768="",$O768=""),"",IF($N768&lt;&gt;"",INDEX(PCNormDate,$N768),INDEX(LdgDateB,$O768)))</f>
        <v/>
      </c>
      <c r="C768" s="24">
        <f>IF($N768&lt;&gt;"",INDEX(PCOp,$N768),IF($O768&lt;&gt;"",IF(N(INDEX(TxnDepB,$O768))&gt;0,"دریافت بانکی","پرداخت بانکی"),""))</f>
        <v/>
      </c>
      <c r="D768" s="24">
        <f>IF($N768&lt;&gt;"",IF(INDEX(PCDoc,$N768)="","—",INDEX(PCDoc,$N768)),IF($O768&lt;&gt;"",INDEX(LdgBankB,$O768),""))</f>
        <v/>
      </c>
      <c r="E768" s="24">
        <f>IF($N768&lt;&gt;"",IF(INDEX(PCCitrus,$N768)="","—",INDEX(PCCitrus,$N768)),"")</f>
        <v/>
      </c>
      <c r="F768" s="25">
        <f>IF($N768&lt;&gt;"",IF(INDEX(PCScale,$N768)=0,"",INDEX(PCScale,$N768)),"")</f>
        <v/>
      </c>
      <c r="G768" s="25">
        <f>IF($N768&lt;&gt;"",IF(INDEX(PCBaskets,$N768)=0,"",INDEX(PCBaskets,$N768)),"")</f>
        <v/>
      </c>
      <c r="H768" s="26">
        <f>IF($N768&lt;&gt;"",IF(INDEX(PCNet,$N768)=0,"",INDEX(PCNet,$N768)),"")</f>
        <v/>
      </c>
      <c r="I768" s="25">
        <f>IF($N768&lt;&gt;"",IF(INDEX(PCOp,$N768)="مرجوعی خرید","",IF(INDEX(PCAmount,$N768)&lt;=0,"",INDEX(PCAmount,$N768))),IF($O768&lt;&gt;"",IF(INDEX(TxnDepB,$O768)=0,"",INDEX(TxnDepB,$O768)),""))</f>
        <v/>
      </c>
      <c r="J768" s="25">
        <f>IF($N768&lt;&gt;"",IF(INDEX(PCOp,$N768)="مرجوعی خرید",IF(INDEX(PCAmount,$N768)=0,"",-INDEX(PCAmount,$N768)),""),IF($O768&lt;&gt;"",IF(INDEX(TxnWitB,$O768)=0,"",INDEX(TxnWitB,$O768)),""))</f>
        <v/>
      </c>
      <c r="K768" s="27">
        <f>IF($B768="","",IF($K767="",$C$10,$K767)+IF($I768="",0,$I768)-IF($J768="",0,$J768))</f>
        <v/>
      </c>
      <c r="L768" s="28">
        <f>IF($N768&lt;&gt;"",IF(INDEX(PCNotes,$N768)="","—",INDEX(PCNotes,$N768)),IF($O768&lt;&gt;"",IF(INDEX(LdgNoteB,$O768)="","—",INDEX(LdgNoteB,$O768)),""))</f>
        <v/>
      </c>
      <c r="N768">
        <f>IFERROR(MATCH($C$5&amp;"|"&amp;RIGHT("000000"&amp;752,6),LdgRankKeyA,0),"")</f>
        <v/>
      </c>
      <c r="O768">
        <f>IFERROR(MATCH($C$5&amp;"|"&amp;RIGHT("000000"&amp;752,6),LdgRankKeyB,0),"")</f>
        <v/>
      </c>
    </row>
    <row r="769">
      <c r="A769" s="17" t="n">
        <v>753</v>
      </c>
      <c r="B769" s="18">
        <f>IF(AND($N769="",$O769=""),"",IF($N769&lt;&gt;"",INDEX(PCNormDate,$N769),INDEX(LdgDateB,$O769)))</f>
        <v/>
      </c>
      <c r="C769" s="18">
        <f>IF($N769&lt;&gt;"",INDEX(PCOp,$N769),IF($O769&lt;&gt;"",IF(N(INDEX(TxnDepB,$O769))&gt;0,"دریافت بانکی","پرداخت بانکی"),""))</f>
        <v/>
      </c>
      <c r="D769" s="18">
        <f>IF($N769&lt;&gt;"",IF(INDEX(PCDoc,$N769)="","—",INDEX(PCDoc,$N769)),IF($O769&lt;&gt;"",INDEX(LdgBankB,$O769),""))</f>
        <v/>
      </c>
      <c r="E769" s="18">
        <f>IF($N769&lt;&gt;"",IF(INDEX(PCCitrus,$N769)="","—",INDEX(PCCitrus,$N769)),"")</f>
        <v/>
      </c>
      <c r="F769" s="19">
        <f>IF($N769&lt;&gt;"",IF(INDEX(PCScale,$N769)=0,"",INDEX(PCScale,$N769)),"")</f>
        <v/>
      </c>
      <c r="G769" s="19">
        <f>IF($N769&lt;&gt;"",IF(INDEX(PCBaskets,$N769)=0,"",INDEX(PCBaskets,$N769)),"")</f>
        <v/>
      </c>
      <c r="H769" s="20">
        <f>IF($N769&lt;&gt;"",IF(INDEX(PCNet,$N769)=0,"",INDEX(PCNet,$N769)),"")</f>
        <v/>
      </c>
      <c r="I769" s="19">
        <f>IF($N769&lt;&gt;"",IF(INDEX(PCOp,$N769)="مرجوعی خرید","",IF(INDEX(PCAmount,$N769)&lt;=0,"",INDEX(PCAmount,$N769))),IF($O769&lt;&gt;"",IF(INDEX(TxnDepB,$O769)=0,"",INDEX(TxnDepB,$O769)),""))</f>
        <v/>
      </c>
      <c r="J769" s="19">
        <f>IF($N769&lt;&gt;"",IF(INDEX(PCOp,$N769)="مرجوعی خرید",IF(INDEX(PCAmount,$N769)=0,"",-INDEX(PCAmount,$N769)),""),IF($O769&lt;&gt;"",IF(INDEX(TxnWitB,$O769)=0,"",INDEX(TxnWitB,$O769)),""))</f>
        <v/>
      </c>
      <c r="K769" s="21">
        <f>IF($B769="","",IF($K768="",$C$10,$K768)+IF($I769="",0,$I769)-IF($J769="",0,$J769))</f>
        <v/>
      </c>
      <c r="L769" s="22">
        <f>IF($N769&lt;&gt;"",IF(INDEX(PCNotes,$N769)="","—",INDEX(PCNotes,$N769)),IF($O769&lt;&gt;"",IF(INDEX(LdgNoteB,$O769)="","—",INDEX(LdgNoteB,$O769)),""))</f>
        <v/>
      </c>
      <c r="N769">
        <f>IFERROR(MATCH($C$5&amp;"|"&amp;RIGHT("000000"&amp;753,6),LdgRankKeyA,0),"")</f>
        <v/>
      </c>
      <c r="O769">
        <f>IFERROR(MATCH($C$5&amp;"|"&amp;RIGHT("000000"&amp;753,6),LdgRankKeyB,0),"")</f>
        <v/>
      </c>
    </row>
    <row r="770">
      <c r="A770" s="23" t="n">
        <v>754</v>
      </c>
      <c r="B770" s="24">
        <f>IF(AND($N770="",$O770=""),"",IF($N770&lt;&gt;"",INDEX(PCNormDate,$N770),INDEX(LdgDateB,$O770)))</f>
        <v/>
      </c>
      <c r="C770" s="24">
        <f>IF($N770&lt;&gt;"",INDEX(PCOp,$N770),IF($O770&lt;&gt;"",IF(N(INDEX(TxnDepB,$O770))&gt;0,"دریافت بانکی","پرداخت بانکی"),""))</f>
        <v/>
      </c>
      <c r="D770" s="24">
        <f>IF($N770&lt;&gt;"",IF(INDEX(PCDoc,$N770)="","—",INDEX(PCDoc,$N770)),IF($O770&lt;&gt;"",INDEX(LdgBankB,$O770),""))</f>
        <v/>
      </c>
      <c r="E770" s="24">
        <f>IF($N770&lt;&gt;"",IF(INDEX(PCCitrus,$N770)="","—",INDEX(PCCitrus,$N770)),"")</f>
        <v/>
      </c>
      <c r="F770" s="25">
        <f>IF($N770&lt;&gt;"",IF(INDEX(PCScale,$N770)=0,"",INDEX(PCScale,$N770)),"")</f>
        <v/>
      </c>
      <c r="G770" s="25">
        <f>IF($N770&lt;&gt;"",IF(INDEX(PCBaskets,$N770)=0,"",INDEX(PCBaskets,$N770)),"")</f>
        <v/>
      </c>
      <c r="H770" s="26">
        <f>IF($N770&lt;&gt;"",IF(INDEX(PCNet,$N770)=0,"",INDEX(PCNet,$N770)),"")</f>
        <v/>
      </c>
      <c r="I770" s="25">
        <f>IF($N770&lt;&gt;"",IF(INDEX(PCOp,$N770)="مرجوعی خرید","",IF(INDEX(PCAmount,$N770)&lt;=0,"",INDEX(PCAmount,$N770))),IF($O770&lt;&gt;"",IF(INDEX(TxnDepB,$O770)=0,"",INDEX(TxnDepB,$O770)),""))</f>
        <v/>
      </c>
      <c r="J770" s="25">
        <f>IF($N770&lt;&gt;"",IF(INDEX(PCOp,$N770)="مرجوعی خرید",IF(INDEX(PCAmount,$N770)=0,"",-INDEX(PCAmount,$N770)),""),IF($O770&lt;&gt;"",IF(INDEX(TxnWitB,$O770)=0,"",INDEX(TxnWitB,$O770)),""))</f>
        <v/>
      </c>
      <c r="K770" s="27">
        <f>IF($B770="","",IF($K769="",$C$10,$K769)+IF($I770="",0,$I770)-IF($J770="",0,$J770))</f>
        <v/>
      </c>
      <c r="L770" s="28">
        <f>IF($N770&lt;&gt;"",IF(INDEX(PCNotes,$N770)="","—",INDEX(PCNotes,$N770)),IF($O770&lt;&gt;"",IF(INDEX(LdgNoteB,$O770)="","—",INDEX(LdgNoteB,$O770)),""))</f>
        <v/>
      </c>
      <c r="N770">
        <f>IFERROR(MATCH($C$5&amp;"|"&amp;RIGHT("000000"&amp;754,6),LdgRankKeyA,0),"")</f>
        <v/>
      </c>
      <c r="O770">
        <f>IFERROR(MATCH($C$5&amp;"|"&amp;RIGHT("000000"&amp;754,6),LdgRankKeyB,0),"")</f>
        <v/>
      </c>
    </row>
    <row r="771">
      <c r="A771" s="17" t="n">
        <v>755</v>
      </c>
      <c r="B771" s="18">
        <f>IF(AND($N771="",$O771=""),"",IF($N771&lt;&gt;"",INDEX(PCNormDate,$N771),INDEX(LdgDateB,$O771)))</f>
        <v/>
      </c>
      <c r="C771" s="18">
        <f>IF($N771&lt;&gt;"",INDEX(PCOp,$N771),IF($O771&lt;&gt;"",IF(N(INDEX(TxnDepB,$O771))&gt;0,"دریافت بانکی","پرداخت بانکی"),""))</f>
        <v/>
      </c>
      <c r="D771" s="18">
        <f>IF($N771&lt;&gt;"",IF(INDEX(PCDoc,$N771)="","—",INDEX(PCDoc,$N771)),IF($O771&lt;&gt;"",INDEX(LdgBankB,$O771),""))</f>
        <v/>
      </c>
      <c r="E771" s="18">
        <f>IF($N771&lt;&gt;"",IF(INDEX(PCCitrus,$N771)="","—",INDEX(PCCitrus,$N771)),"")</f>
        <v/>
      </c>
      <c r="F771" s="19">
        <f>IF($N771&lt;&gt;"",IF(INDEX(PCScale,$N771)=0,"",INDEX(PCScale,$N771)),"")</f>
        <v/>
      </c>
      <c r="G771" s="19">
        <f>IF($N771&lt;&gt;"",IF(INDEX(PCBaskets,$N771)=0,"",INDEX(PCBaskets,$N771)),"")</f>
        <v/>
      </c>
      <c r="H771" s="20">
        <f>IF($N771&lt;&gt;"",IF(INDEX(PCNet,$N771)=0,"",INDEX(PCNet,$N771)),"")</f>
        <v/>
      </c>
      <c r="I771" s="19">
        <f>IF($N771&lt;&gt;"",IF(INDEX(PCOp,$N771)="مرجوعی خرید","",IF(INDEX(PCAmount,$N771)&lt;=0,"",INDEX(PCAmount,$N771))),IF($O771&lt;&gt;"",IF(INDEX(TxnDepB,$O771)=0,"",INDEX(TxnDepB,$O771)),""))</f>
        <v/>
      </c>
      <c r="J771" s="19">
        <f>IF($N771&lt;&gt;"",IF(INDEX(PCOp,$N771)="مرجوعی خرید",IF(INDEX(PCAmount,$N771)=0,"",-INDEX(PCAmount,$N771)),""),IF($O771&lt;&gt;"",IF(INDEX(TxnWitB,$O771)=0,"",INDEX(TxnWitB,$O771)),""))</f>
        <v/>
      </c>
      <c r="K771" s="21">
        <f>IF($B771="","",IF($K770="",$C$10,$K770)+IF($I771="",0,$I771)-IF($J771="",0,$J771))</f>
        <v/>
      </c>
      <c r="L771" s="22">
        <f>IF($N771&lt;&gt;"",IF(INDEX(PCNotes,$N771)="","—",INDEX(PCNotes,$N771)),IF($O771&lt;&gt;"",IF(INDEX(LdgNoteB,$O771)="","—",INDEX(LdgNoteB,$O771)),""))</f>
        <v/>
      </c>
      <c r="N771">
        <f>IFERROR(MATCH($C$5&amp;"|"&amp;RIGHT("000000"&amp;755,6),LdgRankKeyA,0),"")</f>
        <v/>
      </c>
      <c r="O771">
        <f>IFERROR(MATCH($C$5&amp;"|"&amp;RIGHT("000000"&amp;755,6),LdgRankKeyB,0),"")</f>
        <v/>
      </c>
    </row>
    <row r="772">
      <c r="A772" s="23" t="n">
        <v>756</v>
      </c>
      <c r="B772" s="24">
        <f>IF(AND($N772="",$O772=""),"",IF($N772&lt;&gt;"",INDEX(PCNormDate,$N772),INDEX(LdgDateB,$O772)))</f>
        <v/>
      </c>
      <c r="C772" s="24">
        <f>IF($N772&lt;&gt;"",INDEX(PCOp,$N772),IF($O772&lt;&gt;"",IF(N(INDEX(TxnDepB,$O772))&gt;0,"دریافت بانکی","پرداخت بانکی"),""))</f>
        <v/>
      </c>
      <c r="D772" s="24">
        <f>IF($N772&lt;&gt;"",IF(INDEX(PCDoc,$N772)="","—",INDEX(PCDoc,$N772)),IF($O772&lt;&gt;"",INDEX(LdgBankB,$O772),""))</f>
        <v/>
      </c>
      <c r="E772" s="24">
        <f>IF($N772&lt;&gt;"",IF(INDEX(PCCitrus,$N772)="","—",INDEX(PCCitrus,$N772)),"")</f>
        <v/>
      </c>
      <c r="F772" s="25">
        <f>IF($N772&lt;&gt;"",IF(INDEX(PCScale,$N772)=0,"",INDEX(PCScale,$N772)),"")</f>
        <v/>
      </c>
      <c r="G772" s="25">
        <f>IF($N772&lt;&gt;"",IF(INDEX(PCBaskets,$N772)=0,"",INDEX(PCBaskets,$N772)),"")</f>
        <v/>
      </c>
      <c r="H772" s="26">
        <f>IF($N772&lt;&gt;"",IF(INDEX(PCNet,$N772)=0,"",INDEX(PCNet,$N772)),"")</f>
        <v/>
      </c>
      <c r="I772" s="25">
        <f>IF($N772&lt;&gt;"",IF(INDEX(PCOp,$N772)="مرجوعی خرید","",IF(INDEX(PCAmount,$N772)&lt;=0,"",INDEX(PCAmount,$N772))),IF($O772&lt;&gt;"",IF(INDEX(TxnDepB,$O772)=0,"",INDEX(TxnDepB,$O772)),""))</f>
        <v/>
      </c>
      <c r="J772" s="25">
        <f>IF($N772&lt;&gt;"",IF(INDEX(PCOp,$N772)="مرجوعی خرید",IF(INDEX(PCAmount,$N772)=0,"",-INDEX(PCAmount,$N772)),""),IF($O772&lt;&gt;"",IF(INDEX(TxnWitB,$O772)=0,"",INDEX(TxnWitB,$O772)),""))</f>
        <v/>
      </c>
      <c r="K772" s="27">
        <f>IF($B772="","",IF($K771="",$C$10,$K771)+IF($I772="",0,$I772)-IF($J772="",0,$J772))</f>
        <v/>
      </c>
      <c r="L772" s="28">
        <f>IF($N772&lt;&gt;"",IF(INDEX(PCNotes,$N772)="","—",INDEX(PCNotes,$N772)),IF($O772&lt;&gt;"",IF(INDEX(LdgNoteB,$O772)="","—",INDEX(LdgNoteB,$O772)),""))</f>
        <v/>
      </c>
      <c r="N772">
        <f>IFERROR(MATCH($C$5&amp;"|"&amp;RIGHT("000000"&amp;756,6),LdgRankKeyA,0),"")</f>
        <v/>
      </c>
      <c r="O772">
        <f>IFERROR(MATCH($C$5&amp;"|"&amp;RIGHT("000000"&amp;756,6),LdgRankKeyB,0),"")</f>
        <v/>
      </c>
    </row>
    <row r="773">
      <c r="A773" s="17" t="n">
        <v>757</v>
      </c>
      <c r="B773" s="18">
        <f>IF(AND($N773="",$O773=""),"",IF($N773&lt;&gt;"",INDEX(PCNormDate,$N773),INDEX(LdgDateB,$O773)))</f>
        <v/>
      </c>
      <c r="C773" s="18">
        <f>IF($N773&lt;&gt;"",INDEX(PCOp,$N773),IF($O773&lt;&gt;"",IF(N(INDEX(TxnDepB,$O773))&gt;0,"دریافت بانکی","پرداخت بانکی"),""))</f>
        <v/>
      </c>
      <c r="D773" s="18">
        <f>IF($N773&lt;&gt;"",IF(INDEX(PCDoc,$N773)="","—",INDEX(PCDoc,$N773)),IF($O773&lt;&gt;"",INDEX(LdgBankB,$O773),""))</f>
        <v/>
      </c>
      <c r="E773" s="18">
        <f>IF($N773&lt;&gt;"",IF(INDEX(PCCitrus,$N773)="","—",INDEX(PCCitrus,$N773)),"")</f>
        <v/>
      </c>
      <c r="F773" s="19">
        <f>IF($N773&lt;&gt;"",IF(INDEX(PCScale,$N773)=0,"",INDEX(PCScale,$N773)),"")</f>
        <v/>
      </c>
      <c r="G773" s="19">
        <f>IF($N773&lt;&gt;"",IF(INDEX(PCBaskets,$N773)=0,"",INDEX(PCBaskets,$N773)),"")</f>
        <v/>
      </c>
      <c r="H773" s="20">
        <f>IF($N773&lt;&gt;"",IF(INDEX(PCNet,$N773)=0,"",INDEX(PCNet,$N773)),"")</f>
        <v/>
      </c>
      <c r="I773" s="19">
        <f>IF($N773&lt;&gt;"",IF(INDEX(PCOp,$N773)="مرجوعی خرید","",IF(INDEX(PCAmount,$N773)&lt;=0,"",INDEX(PCAmount,$N773))),IF($O773&lt;&gt;"",IF(INDEX(TxnDepB,$O773)=0,"",INDEX(TxnDepB,$O773)),""))</f>
        <v/>
      </c>
      <c r="J773" s="19">
        <f>IF($N773&lt;&gt;"",IF(INDEX(PCOp,$N773)="مرجوعی خرید",IF(INDEX(PCAmount,$N773)=0,"",-INDEX(PCAmount,$N773)),""),IF($O773&lt;&gt;"",IF(INDEX(TxnWitB,$O773)=0,"",INDEX(TxnWitB,$O773)),""))</f>
        <v/>
      </c>
      <c r="K773" s="21">
        <f>IF($B773="","",IF($K772="",$C$10,$K772)+IF($I773="",0,$I773)-IF($J773="",0,$J773))</f>
        <v/>
      </c>
      <c r="L773" s="22">
        <f>IF($N773&lt;&gt;"",IF(INDEX(PCNotes,$N773)="","—",INDEX(PCNotes,$N773)),IF($O773&lt;&gt;"",IF(INDEX(LdgNoteB,$O773)="","—",INDEX(LdgNoteB,$O773)),""))</f>
        <v/>
      </c>
      <c r="N773">
        <f>IFERROR(MATCH($C$5&amp;"|"&amp;RIGHT("000000"&amp;757,6),LdgRankKeyA,0),"")</f>
        <v/>
      </c>
      <c r="O773">
        <f>IFERROR(MATCH($C$5&amp;"|"&amp;RIGHT("000000"&amp;757,6),LdgRankKeyB,0),"")</f>
        <v/>
      </c>
    </row>
    <row r="774">
      <c r="A774" s="23" t="n">
        <v>758</v>
      </c>
      <c r="B774" s="24">
        <f>IF(AND($N774="",$O774=""),"",IF($N774&lt;&gt;"",INDEX(PCNormDate,$N774),INDEX(LdgDateB,$O774)))</f>
        <v/>
      </c>
      <c r="C774" s="24">
        <f>IF($N774&lt;&gt;"",INDEX(PCOp,$N774),IF($O774&lt;&gt;"",IF(N(INDEX(TxnDepB,$O774))&gt;0,"دریافت بانکی","پرداخت بانکی"),""))</f>
        <v/>
      </c>
      <c r="D774" s="24">
        <f>IF($N774&lt;&gt;"",IF(INDEX(PCDoc,$N774)="","—",INDEX(PCDoc,$N774)),IF($O774&lt;&gt;"",INDEX(LdgBankB,$O774),""))</f>
        <v/>
      </c>
      <c r="E774" s="24">
        <f>IF($N774&lt;&gt;"",IF(INDEX(PCCitrus,$N774)="","—",INDEX(PCCitrus,$N774)),"")</f>
        <v/>
      </c>
      <c r="F774" s="25">
        <f>IF($N774&lt;&gt;"",IF(INDEX(PCScale,$N774)=0,"",INDEX(PCScale,$N774)),"")</f>
        <v/>
      </c>
      <c r="G774" s="25">
        <f>IF($N774&lt;&gt;"",IF(INDEX(PCBaskets,$N774)=0,"",INDEX(PCBaskets,$N774)),"")</f>
        <v/>
      </c>
      <c r="H774" s="26">
        <f>IF($N774&lt;&gt;"",IF(INDEX(PCNet,$N774)=0,"",INDEX(PCNet,$N774)),"")</f>
        <v/>
      </c>
      <c r="I774" s="25">
        <f>IF($N774&lt;&gt;"",IF(INDEX(PCOp,$N774)="مرجوعی خرید","",IF(INDEX(PCAmount,$N774)&lt;=0,"",INDEX(PCAmount,$N774))),IF($O774&lt;&gt;"",IF(INDEX(TxnDepB,$O774)=0,"",INDEX(TxnDepB,$O774)),""))</f>
        <v/>
      </c>
      <c r="J774" s="25">
        <f>IF($N774&lt;&gt;"",IF(INDEX(PCOp,$N774)="مرجوعی خرید",IF(INDEX(PCAmount,$N774)=0,"",-INDEX(PCAmount,$N774)),""),IF($O774&lt;&gt;"",IF(INDEX(TxnWitB,$O774)=0,"",INDEX(TxnWitB,$O774)),""))</f>
        <v/>
      </c>
      <c r="K774" s="27">
        <f>IF($B774="","",IF($K773="",$C$10,$K773)+IF($I774="",0,$I774)-IF($J774="",0,$J774))</f>
        <v/>
      </c>
      <c r="L774" s="28">
        <f>IF($N774&lt;&gt;"",IF(INDEX(PCNotes,$N774)="","—",INDEX(PCNotes,$N774)),IF($O774&lt;&gt;"",IF(INDEX(LdgNoteB,$O774)="","—",INDEX(LdgNoteB,$O774)),""))</f>
        <v/>
      </c>
      <c r="N774">
        <f>IFERROR(MATCH($C$5&amp;"|"&amp;RIGHT("000000"&amp;758,6),LdgRankKeyA,0),"")</f>
        <v/>
      </c>
      <c r="O774">
        <f>IFERROR(MATCH($C$5&amp;"|"&amp;RIGHT("000000"&amp;758,6),LdgRankKeyB,0),"")</f>
        <v/>
      </c>
    </row>
    <row r="775">
      <c r="A775" s="17" t="n">
        <v>759</v>
      </c>
      <c r="B775" s="18">
        <f>IF(AND($N775="",$O775=""),"",IF($N775&lt;&gt;"",INDEX(PCNormDate,$N775),INDEX(LdgDateB,$O775)))</f>
        <v/>
      </c>
      <c r="C775" s="18">
        <f>IF($N775&lt;&gt;"",INDEX(PCOp,$N775),IF($O775&lt;&gt;"",IF(N(INDEX(TxnDepB,$O775))&gt;0,"دریافت بانکی","پرداخت بانکی"),""))</f>
        <v/>
      </c>
      <c r="D775" s="18">
        <f>IF($N775&lt;&gt;"",IF(INDEX(PCDoc,$N775)="","—",INDEX(PCDoc,$N775)),IF($O775&lt;&gt;"",INDEX(LdgBankB,$O775),""))</f>
        <v/>
      </c>
      <c r="E775" s="18">
        <f>IF($N775&lt;&gt;"",IF(INDEX(PCCitrus,$N775)="","—",INDEX(PCCitrus,$N775)),"")</f>
        <v/>
      </c>
      <c r="F775" s="19">
        <f>IF($N775&lt;&gt;"",IF(INDEX(PCScale,$N775)=0,"",INDEX(PCScale,$N775)),"")</f>
        <v/>
      </c>
      <c r="G775" s="19">
        <f>IF($N775&lt;&gt;"",IF(INDEX(PCBaskets,$N775)=0,"",INDEX(PCBaskets,$N775)),"")</f>
        <v/>
      </c>
      <c r="H775" s="20">
        <f>IF($N775&lt;&gt;"",IF(INDEX(PCNet,$N775)=0,"",INDEX(PCNet,$N775)),"")</f>
        <v/>
      </c>
      <c r="I775" s="19">
        <f>IF($N775&lt;&gt;"",IF(INDEX(PCOp,$N775)="مرجوعی خرید","",IF(INDEX(PCAmount,$N775)&lt;=0,"",INDEX(PCAmount,$N775))),IF($O775&lt;&gt;"",IF(INDEX(TxnDepB,$O775)=0,"",INDEX(TxnDepB,$O775)),""))</f>
        <v/>
      </c>
      <c r="J775" s="19">
        <f>IF($N775&lt;&gt;"",IF(INDEX(PCOp,$N775)="مرجوعی خرید",IF(INDEX(PCAmount,$N775)=0,"",-INDEX(PCAmount,$N775)),""),IF($O775&lt;&gt;"",IF(INDEX(TxnWitB,$O775)=0,"",INDEX(TxnWitB,$O775)),""))</f>
        <v/>
      </c>
      <c r="K775" s="21">
        <f>IF($B775="","",IF($K774="",$C$10,$K774)+IF($I775="",0,$I775)-IF($J775="",0,$J775))</f>
        <v/>
      </c>
      <c r="L775" s="22">
        <f>IF($N775&lt;&gt;"",IF(INDEX(PCNotes,$N775)="","—",INDEX(PCNotes,$N775)),IF($O775&lt;&gt;"",IF(INDEX(LdgNoteB,$O775)="","—",INDEX(LdgNoteB,$O775)),""))</f>
        <v/>
      </c>
      <c r="N775">
        <f>IFERROR(MATCH($C$5&amp;"|"&amp;RIGHT("000000"&amp;759,6),LdgRankKeyA,0),"")</f>
        <v/>
      </c>
      <c r="O775">
        <f>IFERROR(MATCH($C$5&amp;"|"&amp;RIGHT("000000"&amp;759,6),LdgRankKeyB,0),"")</f>
        <v/>
      </c>
    </row>
    <row r="776">
      <c r="A776" s="23" t="n">
        <v>760</v>
      </c>
      <c r="B776" s="24">
        <f>IF(AND($N776="",$O776=""),"",IF($N776&lt;&gt;"",INDEX(PCNormDate,$N776),INDEX(LdgDateB,$O776)))</f>
        <v/>
      </c>
      <c r="C776" s="24">
        <f>IF($N776&lt;&gt;"",INDEX(PCOp,$N776),IF($O776&lt;&gt;"",IF(N(INDEX(TxnDepB,$O776))&gt;0,"دریافت بانکی","پرداخت بانکی"),""))</f>
        <v/>
      </c>
      <c r="D776" s="24">
        <f>IF($N776&lt;&gt;"",IF(INDEX(PCDoc,$N776)="","—",INDEX(PCDoc,$N776)),IF($O776&lt;&gt;"",INDEX(LdgBankB,$O776),""))</f>
        <v/>
      </c>
      <c r="E776" s="24">
        <f>IF($N776&lt;&gt;"",IF(INDEX(PCCitrus,$N776)="","—",INDEX(PCCitrus,$N776)),"")</f>
        <v/>
      </c>
      <c r="F776" s="25">
        <f>IF($N776&lt;&gt;"",IF(INDEX(PCScale,$N776)=0,"",INDEX(PCScale,$N776)),"")</f>
        <v/>
      </c>
      <c r="G776" s="25">
        <f>IF($N776&lt;&gt;"",IF(INDEX(PCBaskets,$N776)=0,"",INDEX(PCBaskets,$N776)),"")</f>
        <v/>
      </c>
      <c r="H776" s="26">
        <f>IF($N776&lt;&gt;"",IF(INDEX(PCNet,$N776)=0,"",INDEX(PCNet,$N776)),"")</f>
        <v/>
      </c>
      <c r="I776" s="25">
        <f>IF($N776&lt;&gt;"",IF(INDEX(PCOp,$N776)="مرجوعی خرید","",IF(INDEX(PCAmount,$N776)&lt;=0,"",INDEX(PCAmount,$N776))),IF($O776&lt;&gt;"",IF(INDEX(TxnDepB,$O776)=0,"",INDEX(TxnDepB,$O776)),""))</f>
        <v/>
      </c>
      <c r="J776" s="25">
        <f>IF($N776&lt;&gt;"",IF(INDEX(PCOp,$N776)="مرجوعی خرید",IF(INDEX(PCAmount,$N776)=0,"",-INDEX(PCAmount,$N776)),""),IF($O776&lt;&gt;"",IF(INDEX(TxnWitB,$O776)=0,"",INDEX(TxnWitB,$O776)),""))</f>
        <v/>
      </c>
      <c r="K776" s="27">
        <f>IF($B776="","",IF($K775="",$C$10,$K775)+IF($I776="",0,$I776)-IF($J776="",0,$J776))</f>
        <v/>
      </c>
      <c r="L776" s="28">
        <f>IF($N776&lt;&gt;"",IF(INDEX(PCNotes,$N776)="","—",INDEX(PCNotes,$N776)),IF($O776&lt;&gt;"",IF(INDEX(LdgNoteB,$O776)="","—",INDEX(LdgNoteB,$O776)),""))</f>
        <v/>
      </c>
      <c r="N776">
        <f>IFERROR(MATCH($C$5&amp;"|"&amp;RIGHT("000000"&amp;760,6),LdgRankKeyA,0),"")</f>
        <v/>
      </c>
      <c r="O776">
        <f>IFERROR(MATCH($C$5&amp;"|"&amp;RIGHT("000000"&amp;760,6),LdgRankKeyB,0),"")</f>
        <v/>
      </c>
    </row>
    <row r="777">
      <c r="A777" s="17" t="n">
        <v>761</v>
      </c>
      <c r="B777" s="18">
        <f>IF(AND($N777="",$O777=""),"",IF($N777&lt;&gt;"",INDEX(PCNormDate,$N777),INDEX(LdgDateB,$O777)))</f>
        <v/>
      </c>
      <c r="C777" s="18">
        <f>IF($N777&lt;&gt;"",INDEX(PCOp,$N777),IF($O777&lt;&gt;"",IF(N(INDEX(TxnDepB,$O777))&gt;0,"دریافت بانکی","پرداخت بانکی"),""))</f>
        <v/>
      </c>
      <c r="D777" s="18">
        <f>IF($N777&lt;&gt;"",IF(INDEX(PCDoc,$N777)="","—",INDEX(PCDoc,$N777)),IF($O777&lt;&gt;"",INDEX(LdgBankB,$O777),""))</f>
        <v/>
      </c>
      <c r="E777" s="18">
        <f>IF($N777&lt;&gt;"",IF(INDEX(PCCitrus,$N777)="","—",INDEX(PCCitrus,$N777)),"")</f>
        <v/>
      </c>
      <c r="F777" s="19">
        <f>IF($N777&lt;&gt;"",IF(INDEX(PCScale,$N777)=0,"",INDEX(PCScale,$N777)),"")</f>
        <v/>
      </c>
      <c r="G777" s="19">
        <f>IF($N777&lt;&gt;"",IF(INDEX(PCBaskets,$N777)=0,"",INDEX(PCBaskets,$N777)),"")</f>
        <v/>
      </c>
      <c r="H777" s="20">
        <f>IF($N777&lt;&gt;"",IF(INDEX(PCNet,$N777)=0,"",INDEX(PCNet,$N777)),"")</f>
        <v/>
      </c>
      <c r="I777" s="19">
        <f>IF($N777&lt;&gt;"",IF(INDEX(PCOp,$N777)="مرجوعی خرید","",IF(INDEX(PCAmount,$N777)&lt;=0,"",INDEX(PCAmount,$N777))),IF($O777&lt;&gt;"",IF(INDEX(TxnDepB,$O777)=0,"",INDEX(TxnDepB,$O777)),""))</f>
        <v/>
      </c>
      <c r="J777" s="19">
        <f>IF($N777&lt;&gt;"",IF(INDEX(PCOp,$N777)="مرجوعی خرید",IF(INDEX(PCAmount,$N777)=0,"",-INDEX(PCAmount,$N777)),""),IF($O777&lt;&gt;"",IF(INDEX(TxnWitB,$O777)=0,"",INDEX(TxnWitB,$O777)),""))</f>
        <v/>
      </c>
      <c r="K777" s="21">
        <f>IF($B777="","",IF($K776="",$C$10,$K776)+IF($I777="",0,$I777)-IF($J777="",0,$J777))</f>
        <v/>
      </c>
      <c r="L777" s="22">
        <f>IF($N777&lt;&gt;"",IF(INDEX(PCNotes,$N777)="","—",INDEX(PCNotes,$N777)),IF($O777&lt;&gt;"",IF(INDEX(LdgNoteB,$O777)="","—",INDEX(LdgNoteB,$O777)),""))</f>
        <v/>
      </c>
      <c r="N777">
        <f>IFERROR(MATCH($C$5&amp;"|"&amp;RIGHT("000000"&amp;761,6),LdgRankKeyA,0),"")</f>
        <v/>
      </c>
      <c r="O777">
        <f>IFERROR(MATCH($C$5&amp;"|"&amp;RIGHT("000000"&amp;761,6),LdgRankKeyB,0),"")</f>
        <v/>
      </c>
    </row>
    <row r="778">
      <c r="A778" s="23" t="n">
        <v>762</v>
      </c>
      <c r="B778" s="24">
        <f>IF(AND($N778="",$O778=""),"",IF($N778&lt;&gt;"",INDEX(PCNormDate,$N778),INDEX(LdgDateB,$O778)))</f>
        <v/>
      </c>
      <c r="C778" s="24">
        <f>IF($N778&lt;&gt;"",INDEX(PCOp,$N778),IF($O778&lt;&gt;"",IF(N(INDEX(TxnDepB,$O778))&gt;0,"دریافت بانکی","پرداخت بانکی"),""))</f>
        <v/>
      </c>
      <c r="D778" s="24">
        <f>IF($N778&lt;&gt;"",IF(INDEX(PCDoc,$N778)="","—",INDEX(PCDoc,$N778)),IF($O778&lt;&gt;"",INDEX(LdgBankB,$O778),""))</f>
        <v/>
      </c>
      <c r="E778" s="24">
        <f>IF($N778&lt;&gt;"",IF(INDEX(PCCitrus,$N778)="","—",INDEX(PCCitrus,$N778)),"")</f>
        <v/>
      </c>
      <c r="F778" s="25">
        <f>IF($N778&lt;&gt;"",IF(INDEX(PCScale,$N778)=0,"",INDEX(PCScale,$N778)),"")</f>
        <v/>
      </c>
      <c r="G778" s="25">
        <f>IF($N778&lt;&gt;"",IF(INDEX(PCBaskets,$N778)=0,"",INDEX(PCBaskets,$N778)),"")</f>
        <v/>
      </c>
      <c r="H778" s="26">
        <f>IF($N778&lt;&gt;"",IF(INDEX(PCNet,$N778)=0,"",INDEX(PCNet,$N778)),"")</f>
        <v/>
      </c>
      <c r="I778" s="25">
        <f>IF($N778&lt;&gt;"",IF(INDEX(PCOp,$N778)="مرجوعی خرید","",IF(INDEX(PCAmount,$N778)&lt;=0,"",INDEX(PCAmount,$N778))),IF($O778&lt;&gt;"",IF(INDEX(TxnDepB,$O778)=0,"",INDEX(TxnDepB,$O778)),""))</f>
        <v/>
      </c>
      <c r="J778" s="25">
        <f>IF($N778&lt;&gt;"",IF(INDEX(PCOp,$N778)="مرجوعی خرید",IF(INDEX(PCAmount,$N778)=0,"",-INDEX(PCAmount,$N778)),""),IF($O778&lt;&gt;"",IF(INDEX(TxnWitB,$O778)=0,"",INDEX(TxnWitB,$O778)),""))</f>
        <v/>
      </c>
      <c r="K778" s="27">
        <f>IF($B778="","",IF($K777="",$C$10,$K777)+IF($I778="",0,$I778)-IF($J778="",0,$J778))</f>
        <v/>
      </c>
      <c r="L778" s="28">
        <f>IF($N778&lt;&gt;"",IF(INDEX(PCNotes,$N778)="","—",INDEX(PCNotes,$N778)),IF($O778&lt;&gt;"",IF(INDEX(LdgNoteB,$O778)="","—",INDEX(LdgNoteB,$O778)),""))</f>
        <v/>
      </c>
      <c r="N778">
        <f>IFERROR(MATCH($C$5&amp;"|"&amp;RIGHT("000000"&amp;762,6),LdgRankKeyA,0),"")</f>
        <v/>
      </c>
      <c r="O778">
        <f>IFERROR(MATCH($C$5&amp;"|"&amp;RIGHT("000000"&amp;762,6),LdgRankKeyB,0),"")</f>
        <v/>
      </c>
    </row>
    <row r="779">
      <c r="A779" s="17" t="n">
        <v>763</v>
      </c>
      <c r="B779" s="18">
        <f>IF(AND($N779="",$O779=""),"",IF($N779&lt;&gt;"",INDEX(PCNormDate,$N779),INDEX(LdgDateB,$O779)))</f>
        <v/>
      </c>
      <c r="C779" s="18">
        <f>IF($N779&lt;&gt;"",INDEX(PCOp,$N779),IF($O779&lt;&gt;"",IF(N(INDEX(TxnDepB,$O779))&gt;0,"دریافت بانکی","پرداخت بانکی"),""))</f>
        <v/>
      </c>
      <c r="D779" s="18">
        <f>IF($N779&lt;&gt;"",IF(INDEX(PCDoc,$N779)="","—",INDEX(PCDoc,$N779)),IF($O779&lt;&gt;"",INDEX(LdgBankB,$O779),""))</f>
        <v/>
      </c>
      <c r="E779" s="18">
        <f>IF($N779&lt;&gt;"",IF(INDEX(PCCitrus,$N779)="","—",INDEX(PCCitrus,$N779)),"")</f>
        <v/>
      </c>
      <c r="F779" s="19">
        <f>IF($N779&lt;&gt;"",IF(INDEX(PCScale,$N779)=0,"",INDEX(PCScale,$N779)),"")</f>
        <v/>
      </c>
      <c r="G779" s="19">
        <f>IF($N779&lt;&gt;"",IF(INDEX(PCBaskets,$N779)=0,"",INDEX(PCBaskets,$N779)),"")</f>
        <v/>
      </c>
      <c r="H779" s="20">
        <f>IF($N779&lt;&gt;"",IF(INDEX(PCNet,$N779)=0,"",INDEX(PCNet,$N779)),"")</f>
        <v/>
      </c>
      <c r="I779" s="19">
        <f>IF($N779&lt;&gt;"",IF(INDEX(PCOp,$N779)="مرجوعی خرید","",IF(INDEX(PCAmount,$N779)&lt;=0,"",INDEX(PCAmount,$N779))),IF($O779&lt;&gt;"",IF(INDEX(TxnDepB,$O779)=0,"",INDEX(TxnDepB,$O779)),""))</f>
        <v/>
      </c>
      <c r="J779" s="19">
        <f>IF($N779&lt;&gt;"",IF(INDEX(PCOp,$N779)="مرجوعی خرید",IF(INDEX(PCAmount,$N779)=0,"",-INDEX(PCAmount,$N779)),""),IF($O779&lt;&gt;"",IF(INDEX(TxnWitB,$O779)=0,"",INDEX(TxnWitB,$O779)),""))</f>
        <v/>
      </c>
      <c r="K779" s="21">
        <f>IF($B779="","",IF($K778="",$C$10,$K778)+IF($I779="",0,$I779)-IF($J779="",0,$J779))</f>
        <v/>
      </c>
      <c r="L779" s="22">
        <f>IF($N779&lt;&gt;"",IF(INDEX(PCNotes,$N779)="","—",INDEX(PCNotes,$N779)),IF($O779&lt;&gt;"",IF(INDEX(LdgNoteB,$O779)="","—",INDEX(LdgNoteB,$O779)),""))</f>
        <v/>
      </c>
      <c r="N779">
        <f>IFERROR(MATCH($C$5&amp;"|"&amp;RIGHT("000000"&amp;763,6),LdgRankKeyA,0),"")</f>
        <v/>
      </c>
      <c r="O779">
        <f>IFERROR(MATCH($C$5&amp;"|"&amp;RIGHT("000000"&amp;763,6),LdgRankKeyB,0),"")</f>
        <v/>
      </c>
    </row>
    <row r="780">
      <c r="A780" s="23" t="n">
        <v>764</v>
      </c>
      <c r="B780" s="24">
        <f>IF(AND($N780="",$O780=""),"",IF($N780&lt;&gt;"",INDEX(PCNormDate,$N780),INDEX(LdgDateB,$O780)))</f>
        <v/>
      </c>
      <c r="C780" s="24">
        <f>IF($N780&lt;&gt;"",INDEX(PCOp,$N780),IF($O780&lt;&gt;"",IF(N(INDEX(TxnDepB,$O780))&gt;0,"دریافت بانکی","پرداخت بانکی"),""))</f>
        <v/>
      </c>
      <c r="D780" s="24">
        <f>IF($N780&lt;&gt;"",IF(INDEX(PCDoc,$N780)="","—",INDEX(PCDoc,$N780)),IF($O780&lt;&gt;"",INDEX(LdgBankB,$O780),""))</f>
        <v/>
      </c>
      <c r="E780" s="24">
        <f>IF($N780&lt;&gt;"",IF(INDEX(PCCitrus,$N780)="","—",INDEX(PCCitrus,$N780)),"")</f>
        <v/>
      </c>
      <c r="F780" s="25">
        <f>IF($N780&lt;&gt;"",IF(INDEX(PCScale,$N780)=0,"",INDEX(PCScale,$N780)),"")</f>
        <v/>
      </c>
      <c r="G780" s="25">
        <f>IF($N780&lt;&gt;"",IF(INDEX(PCBaskets,$N780)=0,"",INDEX(PCBaskets,$N780)),"")</f>
        <v/>
      </c>
      <c r="H780" s="26">
        <f>IF($N780&lt;&gt;"",IF(INDEX(PCNet,$N780)=0,"",INDEX(PCNet,$N780)),"")</f>
        <v/>
      </c>
      <c r="I780" s="25">
        <f>IF($N780&lt;&gt;"",IF(INDEX(PCOp,$N780)="مرجوعی خرید","",IF(INDEX(PCAmount,$N780)&lt;=0,"",INDEX(PCAmount,$N780))),IF($O780&lt;&gt;"",IF(INDEX(TxnDepB,$O780)=0,"",INDEX(TxnDepB,$O780)),""))</f>
        <v/>
      </c>
      <c r="J780" s="25">
        <f>IF($N780&lt;&gt;"",IF(INDEX(PCOp,$N780)="مرجوعی خرید",IF(INDEX(PCAmount,$N780)=0,"",-INDEX(PCAmount,$N780)),""),IF($O780&lt;&gt;"",IF(INDEX(TxnWitB,$O780)=0,"",INDEX(TxnWitB,$O780)),""))</f>
        <v/>
      </c>
      <c r="K780" s="27">
        <f>IF($B780="","",IF($K779="",$C$10,$K779)+IF($I780="",0,$I780)-IF($J780="",0,$J780))</f>
        <v/>
      </c>
      <c r="L780" s="28">
        <f>IF($N780&lt;&gt;"",IF(INDEX(PCNotes,$N780)="","—",INDEX(PCNotes,$N780)),IF($O780&lt;&gt;"",IF(INDEX(LdgNoteB,$O780)="","—",INDEX(LdgNoteB,$O780)),""))</f>
        <v/>
      </c>
      <c r="N780">
        <f>IFERROR(MATCH($C$5&amp;"|"&amp;RIGHT("000000"&amp;764,6),LdgRankKeyA,0),"")</f>
        <v/>
      </c>
      <c r="O780">
        <f>IFERROR(MATCH($C$5&amp;"|"&amp;RIGHT("000000"&amp;764,6),LdgRankKeyB,0),"")</f>
        <v/>
      </c>
    </row>
    <row r="781">
      <c r="A781" s="17" t="n">
        <v>765</v>
      </c>
      <c r="B781" s="18">
        <f>IF(AND($N781="",$O781=""),"",IF($N781&lt;&gt;"",INDEX(PCNormDate,$N781),INDEX(LdgDateB,$O781)))</f>
        <v/>
      </c>
      <c r="C781" s="18">
        <f>IF($N781&lt;&gt;"",INDEX(PCOp,$N781),IF($O781&lt;&gt;"",IF(N(INDEX(TxnDepB,$O781))&gt;0,"دریافت بانکی","پرداخت بانکی"),""))</f>
        <v/>
      </c>
      <c r="D781" s="18">
        <f>IF($N781&lt;&gt;"",IF(INDEX(PCDoc,$N781)="","—",INDEX(PCDoc,$N781)),IF($O781&lt;&gt;"",INDEX(LdgBankB,$O781),""))</f>
        <v/>
      </c>
      <c r="E781" s="18">
        <f>IF($N781&lt;&gt;"",IF(INDEX(PCCitrus,$N781)="","—",INDEX(PCCitrus,$N781)),"")</f>
        <v/>
      </c>
      <c r="F781" s="19">
        <f>IF($N781&lt;&gt;"",IF(INDEX(PCScale,$N781)=0,"",INDEX(PCScale,$N781)),"")</f>
        <v/>
      </c>
      <c r="G781" s="19">
        <f>IF($N781&lt;&gt;"",IF(INDEX(PCBaskets,$N781)=0,"",INDEX(PCBaskets,$N781)),"")</f>
        <v/>
      </c>
      <c r="H781" s="20">
        <f>IF($N781&lt;&gt;"",IF(INDEX(PCNet,$N781)=0,"",INDEX(PCNet,$N781)),"")</f>
        <v/>
      </c>
      <c r="I781" s="19">
        <f>IF($N781&lt;&gt;"",IF(INDEX(PCOp,$N781)="مرجوعی خرید","",IF(INDEX(PCAmount,$N781)&lt;=0,"",INDEX(PCAmount,$N781))),IF($O781&lt;&gt;"",IF(INDEX(TxnDepB,$O781)=0,"",INDEX(TxnDepB,$O781)),""))</f>
        <v/>
      </c>
      <c r="J781" s="19">
        <f>IF($N781&lt;&gt;"",IF(INDEX(PCOp,$N781)="مرجوعی خرید",IF(INDEX(PCAmount,$N781)=0,"",-INDEX(PCAmount,$N781)),""),IF($O781&lt;&gt;"",IF(INDEX(TxnWitB,$O781)=0,"",INDEX(TxnWitB,$O781)),""))</f>
        <v/>
      </c>
      <c r="K781" s="21">
        <f>IF($B781="","",IF($K780="",$C$10,$K780)+IF($I781="",0,$I781)-IF($J781="",0,$J781))</f>
        <v/>
      </c>
      <c r="L781" s="22">
        <f>IF($N781&lt;&gt;"",IF(INDEX(PCNotes,$N781)="","—",INDEX(PCNotes,$N781)),IF($O781&lt;&gt;"",IF(INDEX(LdgNoteB,$O781)="","—",INDEX(LdgNoteB,$O781)),""))</f>
        <v/>
      </c>
      <c r="N781">
        <f>IFERROR(MATCH($C$5&amp;"|"&amp;RIGHT("000000"&amp;765,6),LdgRankKeyA,0),"")</f>
        <v/>
      </c>
      <c r="O781">
        <f>IFERROR(MATCH($C$5&amp;"|"&amp;RIGHT("000000"&amp;765,6),LdgRankKeyB,0),"")</f>
        <v/>
      </c>
    </row>
    <row r="782">
      <c r="A782" s="23" t="n">
        <v>766</v>
      </c>
      <c r="B782" s="24">
        <f>IF(AND($N782="",$O782=""),"",IF($N782&lt;&gt;"",INDEX(PCNormDate,$N782),INDEX(LdgDateB,$O782)))</f>
        <v/>
      </c>
      <c r="C782" s="24">
        <f>IF($N782&lt;&gt;"",INDEX(PCOp,$N782),IF($O782&lt;&gt;"",IF(N(INDEX(TxnDepB,$O782))&gt;0,"دریافت بانکی","پرداخت بانکی"),""))</f>
        <v/>
      </c>
      <c r="D782" s="24">
        <f>IF($N782&lt;&gt;"",IF(INDEX(PCDoc,$N782)="","—",INDEX(PCDoc,$N782)),IF($O782&lt;&gt;"",INDEX(LdgBankB,$O782),""))</f>
        <v/>
      </c>
      <c r="E782" s="24">
        <f>IF($N782&lt;&gt;"",IF(INDEX(PCCitrus,$N782)="","—",INDEX(PCCitrus,$N782)),"")</f>
        <v/>
      </c>
      <c r="F782" s="25">
        <f>IF($N782&lt;&gt;"",IF(INDEX(PCScale,$N782)=0,"",INDEX(PCScale,$N782)),"")</f>
        <v/>
      </c>
      <c r="G782" s="25">
        <f>IF($N782&lt;&gt;"",IF(INDEX(PCBaskets,$N782)=0,"",INDEX(PCBaskets,$N782)),"")</f>
        <v/>
      </c>
      <c r="H782" s="26">
        <f>IF($N782&lt;&gt;"",IF(INDEX(PCNet,$N782)=0,"",INDEX(PCNet,$N782)),"")</f>
        <v/>
      </c>
      <c r="I782" s="25">
        <f>IF($N782&lt;&gt;"",IF(INDEX(PCOp,$N782)="مرجوعی خرید","",IF(INDEX(PCAmount,$N782)&lt;=0,"",INDEX(PCAmount,$N782))),IF($O782&lt;&gt;"",IF(INDEX(TxnDepB,$O782)=0,"",INDEX(TxnDepB,$O782)),""))</f>
        <v/>
      </c>
      <c r="J782" s="25">
        <f>IF($N782&lt;&gt;"",IF(INDEX(PCOp,$N782)="مرجوعی خرید",IF(INDEX(PCAmount,$N782)=0,"",-INDEX(PCAmount,$N782)),""),IF($O782&lt;&gt;"",IF(INDEX(TxnWitB,$O782)=0,"",INDEX(TxnWitB,$O782)),""))</f>
        <v/>
      </c>
      <c r="K782" s="27">
        <f>IF($B782="","",IF($K781="",$C$10,$K781)+IF($I782="",0,$I782)-IF($J782="",0,$J782))</f>
        <v/>
      </c>
      <c r="L782" s="28">
        <f>IF($N782&lt;&gt;"",IF(INDEX(PCNotes,$N782)="","—",INDEX(PCNotes,$N782)),IF($O782&lt;&gt;"",IF(INDEX(LdgNoteB,$O782)="","—",INDEX(LdgNoteB,$O782)),""))</f>
        <v/>
      </c>
      <c r="N782">
        <f>IFERROR(MATCH($C$5&amp;"|"&amp;RIGHT("000000"&amp;766,6),LdgRankKeyA,0),"")</f>
        <v/>
      </c>
      <c r="O782">
        <f>IFERROR(MATCH($C$5&amp;"|"&amp;RIGHT("000000"&amp;766,6),LdgRankKeyB,0),"")</f>
        <v/>
      </c>
    </row>
    <row r="783">
      <c r="A783" s="17" t="n">
        <v>767</v>
      </c>
      <c r="B783" s="18">
        <f>IF(AND($N783="",$O783=""),"",IF($N783&lt;&gt;"",INDEX(PCNormDate,$N783),INDEX(LdgDateB,$O783)))</f>
        <v/>
      </c>
      <c r="C783" s="18">
        <f>IF($N783&lt;&gt;"",INDEX(PCOp,$N783),IF($O783&lt;&gt;"",IF(N(INDEX(TxnDepB,$O783))&gt;0,"دریافت بانکی","پرداخت بانکی"),""))</f>
        <v/>
      </c>
      <c r="D783" s="18">
        <f>IF($N783&lt;&gt;"",IF(INDEX(PCDoc,$N783)="","—",INDEX(PCDoc,$N783)),IF($O783&lt;&gt;"",INDEX(LdgBankB,$O783),""))</f>
        <v/>
      </c>
      <c r="E783" s="18">
        <f>IF($N783&lt;&gt;"",IF(INDEX(PCCitrus,$N783)="","—",INDEX(PCCitrus,$N783)),"")</f>
        <v/>
      </c>
      <c r="F783" s="19">
        <f>IF($N783&lt;&gt;"",IF(INDEX(PCScale,$N783)=0,"",INDEX(PCScale,$N783)),"")</f>
        <v/>
      </c>
      <c r="G783" s="19">
        <f>IF($N783&lt;&gt;"",IF(INDEX(PCBaskets,$N783)=0,"",INDEX(PCBaskets,$N783)),"")</f>
        <v/>
      </c>
      <c r="H783" s="20">
        <f>IF($N783&lt;&gt;"",IF(INDEX(PCNet,$N783)=0,"",INDEX(PCNet,$N783)),"")</f>
        <v/>
      </c>
      <c r="I783" s="19">
        <f>IF($N783&lt;&gt;"",IF(INDEX(PCOp,$N783)="مرجوعی خرید","",IF(INDEX(PCAmount,$N783)&lt;=0,"",INDEX(PCAmount,$N783))),IF($O783&lt;&gt;"",IF(INDEX(TxnDepB,$O783)=0,"",INDEX(TxnDepB,$O783)),""))</f>
        <v/>
      </c>
      <c r="J783" s="19">
        <f>IF($N783&lt;&gt;"",IF(INDEX(PCOp,$N783)="مرجوعی خرید",IF(INDEX(PCAmount,$N783)=0,"",-INDEX(PCAmount,$N783)),""),IF($O783&lt;&gt;"",IF(INDEX(TxnWitB,$O783)=0,"",INDEX(TxnWitB,$O783)),""))</f>
        <v/>
      </c>
      <c r="K783" s="21">
        <f>IF($B783="","",IF($K782="",$C$10,$K782)+IF($I783="",0,$I783)-IF($J783="",0,$J783))</f>
        <v/>
      </c>
      <c r="L783" s="22">
        <f>IF($N783&lt;&gt;"",IF(INDEX(PCNotes,$N783)="","—",INDEX(PCNotes,$N783)),IF($O783&lt;&gt;"",IF(INDEX(LdgNoteB,$O783)="","—",INDEX(LdgNoteB,$O783)),""))</f>
        <v/>
      </c>
      <c r="N783">
        <f>IFERROR(MATCH($C$5&amp;"|"&amp;RIGHT("000000"&amp;767,6),LdgRankKeyA,0),"")</f>
        <v/>
      </c>
      <c r="O783">
        <f>IFERROR(MATCH($C$5&amp;"|"&amp;RIGHT("000000"&amp;767,6),LdgRankKeyB,0),"")</f>
        <v/>
      </c>
    </row>
    <row r="784">
      <c r="A784" s="23" t="n">
        <v>768</v>
      </c>
      <c r="B784" s="24">
        <f>IF(AND($N784="",$O784=""),"",IF($N784&lt;&gt;"",INDEX(PCNormDate,$N784),INDEX(LdgDateB,$O784)))</f>
        <v/>
      </c>
      <c r="C784" s="24">
        <f>IF($N784&lt;&gt;"",INDEX(PCOp,$N784),IF($O784&lt;&gt;"",IF(N(INDEX(TxnDepB,$O784))&gt;0,"دریافت بانکی","پرداخت بانکی"),""))</f>
        <v/>
      </c>
      <c r="D784" s="24">
        <f>IF($N784&lt;&gt;"",IF(INDEX(PCDoc,$N784)="","—",INDEX(PCDoc,$N784)),IF($O784&lt;&gt;"",INDEX(LdgBankB,$O784),""))</f>
        <v/>
      </c>
      <c r="E784" s="24">
        <f>IF($N784&lt;&gt;"",IF(INDEX(PCCitrus,$N784)="","—",INDEX(PCCitrus,$N784)),"")</f>
        <v/>
      </c>
      <c r="F784" s="25">
        <f>IF($N784&lt;&gt;"",IF(INDEX(PCScale,$N784)=0,"",INDEX(PCScale,$N784)),"")</f>
        <v/>
      </c>
      <c r="G784" s="25">
        <f>IF($N784&lt;&gt;"",IF(INDEX(PCBaskets,$N784)=0,"",INDEX(PCBaskets,$N784)),"")</f>
        <v/>
      </c>
      <c r="H784" s="26">
        <f>IF($N784&lt;&gt;"",IF(INDEX(PCNet,$N784)=0,"",INDEX(PCNet,$N784)),"")</f>
        <v/>
      </c>
      <c r="I784" s="25">
        <f>IF($N784&lt;&gt;"",IF(INDEX(PCOp,$N784)="مرجوعی خرید","",IF(INDEX(PCAmount,$N784)&lt;=0,"",INDEX(PCAmount,$N784))),IF($O784&lt;&gt;"",IF(INDEX(TxnDepB,$O784)=0,"",INDEX(TxnDepB,$O784)),""))</f>
        <v/>
      </c>
      <c r="J784" s="25">
        <f>IF($N784&lt;&gt;"",IF(INDEX(PCOp,$N784)="مرجوعی خرید",IF(INDEX(PCAmount,$N784)=0,"",-INDEX(PCAmount,$N784)),""),IF($O784&lt;&gt;"",IF(INDEX(TxnWitB,$O784)=0,"",INDEX(TxnWitB,$O784)),""))</f>
        <v/>
      </c>
      <c r="K784" s="27">
        <f>IF($B784="","",IF($K783="",$C$10,$K783)+IF($I784="",0,$I784)-IF($J784="",0,$J784))</f>
        <v/>
      </c>
      <c r="L784" s="28">
        <f>IF($N784&lt;&gt;"",IF(INDEX(PCNotes,$N784)="","—",INDEX(PCNotes,$N784)),IF($O784&lt;&gt;"",IF(INDEX(LdgNoteB,$O784)="","—",INDEX(LdgNoteB,$O784)),""))</f>
        <v/>
      </c>
      <c r="N784">
        <f>IFERROR(MATCH($C$5&amp;"|"&amp;RIGHT("000000"&amp;768,6),LdgRankKeyA,0),"")</f>
        <v/>
      </c>
      <c r="O784">
        <f>IFERROR(MATCH($C$5&amp;"|"&amp;RIGHT("000000"&amp;768,6),LdgRankKeyB,0),"")</f>
        <v/>
      </c>
    </row>
    <row r="785">
      <c r="A785" s="17" t="n">
        <v>769</v>
      </c>
      <c r="B785" s="18">
        <f>IF(AND($N785="",$O785=""),"",IF($N785&lt;&gt;"",INDEX(PCNormDate,$N785),INDEX(LdgDateB,$O785)))</f>
        <v/>
      </c>
      <c r="C785" s="18">
        <f>IF($N785&lt;&gt;"",INDEX(PCOp,$N785),IF($O785&lt;&gt;"",IF(N(INDEX(TxnDepB,$O785))&gt;0,"دریافت بانکی","پرداخت بانکی"),""))</f>
        <v/>
      </c>
      <c r="D785" s="18">
        <f>IF($N785&lt;&gt;"",IF(INDEX(PCDoc,$N785)="","—",INDEX(PCDoc,$N785)),IF($O785&lt;&gt;"",INDEX(LdgBankB,$O785),""))</f>
        <v/>
      </c>
      <c r="E785" s="18">
        <f>IF($N785&lt;&gt;"",IF(INDEX(PCCitrus,$N785)="","—",INDEX(PCCitrus,$N785)),"")</f>
        <v/>
      </c>
      <c r="F785" s="19">
        <f>IF($N785&lt;&gt;"",IF(INDEX(PCScale,$N785)=0,"",INDEX(PCScale,$N785)),"")</f>
        <v/>
      </c>
      <c r="G785" s="19">
        <f>IF($N785&lt;&gt;"",IF(INDEX(PCBaskets,$N785)=0,"",INDEX(PCBaskets,$N785)),"")</f>
        <v/>
      </c>
      <c r="H785" s="20">
        <f>IF($N785&lt;&gt;"",IF(INDEX(PCNet,$N785)=0,"",INDEX(PCNet,$N785)),"")</f>
        <v/>
      </c>
      <c r="I785" s="19">
        <f>IF($N785&lt;&gt;"",IF(INDEX(PCOp,$N785)="مرجوعی خرید","",IF(INDEX(PCAmount,$N785)&lt;=0,"",INDEX(PCAmount,$N785))),IF($O785&lt;&gt;"",IF(INDEX(TxnDepB,$O785)=0,"",INDEX(TxnDepB,$O785)),""))</f>
        <v/>
      </c>
      <c r="J785" s="19">
        <f>IF($N785&lt;&gt;"",IF(INDEX(PCOp,$N785)="مرجوعی خرید",IF(INDEX(PCAmount,$N785)=0,"",-INDEX(PCAmount,$N785)),""),IF($O785&lt;&gt;"",IF(INDEX(TxnWitB,$O785)=0,"",INDEX(TxnWitB,$O785)),""))</f>
        <v/>
      </c>
      <c r="K785" s="21">
        <f>IF($B785="","",IF($K784="",$C$10,$K784)+IF($I785="",0,$I785)-IF($J785="",0,$J785))</f>
        <v/>
      </c>
      <c r="L785" s="22">
        <f>IF($N785&lt;&gt;"",IF(INDEX(PCNotes,$N785)="","—",INDEX(PCNotes,$N785)),IF($O785&lt;&gt;"",IF(INDEX(LdgNoteB,$O785)="","—",INDEX(LdgNoteB,$O785)),""))</f>
        <v/>
      </c>
      <c r="N785">
        <f>IFERROR(MATCH($C$5&amp;"|"&amp;RIGHT("000000"&amp;769,6),LdgRankKeyA,0),"")</f>
        <v/>
      </c>
      <c r="O785">
        <f>IFERROR(MATCH($C$5&amp;"|"&amp;RIGHT("000000"&amp;769,6),LdgRankKeyB,0),"")</f>
        <v/>
      </c>
    </row>
    <row r="786">
      <c r="A786" s="23" t="n">
        <v>770</v>
      </c>
      <c r="B786" s="24">
        <f>IF(AND($N786="",$O786=""),"",IF($N786&lt;&gt;"",INDEX(PCNormDate,$N786),INDEX(LdgDateB,$O786)))</f>
        <v/>
      </c>
      <c r="C786" s="24">
        <f>IF($N786&lt;&gt;"",INDEX(PCOp,$N786),IF($O786&lt;&gt;"",IF(N(INDEX(TxnDepB,$O786))&gt;0,"دریافت بانکی","پرداخت بانکی"),""))</f>
        <v/>
      </c>
      <c r="D786" s="24">
        <f>IF($N786&lt;&gt;"",IF(INDEX(PCDoc,$N786)="","—",INDEX(PCDoc,$N786)),IF($O786&lt;&gt;"",INDEX(LdgBankB,$O786),""))</f>
        <v/>
      </c>
      <c r="E786" s="24">
        <f>IF($N786&lt;&gt;"",IF(INDEX(PCCitrus,$N786)="","—",INDEX(PCCitrus,$N786)),"")</f>
        <v/>
      </c>
      <c r="F786" s="25">
        <f>IF($N786&lt;&gt;"",IF(INDEX(PCScale,$N786)=0,"",INDEX(PCScale,$N786)),"")</f>
        <v/>
      </c>
      <c r="G786" s="25">
        <f>IF($N786&lt;&gt;"",IF(INDEX(PCBaskets,$N786)=0,"",INDEX(PCBaskets,$N786)),"")</f>
        <v/>
      </c>
      <c r="H786" s="26">
        <f>IF($N786&lt;&gt;"",IF(INDEX(PCNet,$N786)=0,"",INDEX(PCNet,$N786)),"")</f>
        <v/>
      </c>
      <c r="I786" s="25">
        <f>IF($N786&lt;&gt;"",IF(INDEX(PCOp,$N786)="مرجوعی خرید","",IF(INDEX(PCAmount,$N786)&lt;=0,"",INDEX(PCAmount,$N786))),IF($O786&lt;&gt;"",IF(INDEX(TxnDepB,$O786)=0,"",INDEX(TxnDepB,$O786)),""))</f>
        <v/>
      </c>
      <c r="J786" s="25">
        <f>IF($N786&lt;&gt;"",IF(INDEX(PCOp,$N786)="مرجوعی خرید",IF(INDEX(PCAmount,$N786)=0,"",-INDEX(PCAmount,$N786)),""),IF($O786&lt;&gt;"",IF(INDEX(TxnWitB,$O786)=0,"",INDEX(TxnWitB,$O786)),""))</f>
        <v/>
      </c>
      <c r="K786" s="27">
        <f>IF($B786="","",IF($K785="",$C$10,$K785)+IF($I786="",0,$I786)-IF($J786="",0,$J786))</f>
        <v/>
      </c>
      <c r="L786" s="28">
        <f>IF($N786&lt;&gt;"",IF(INDEX(PCNotes,$N786)="","—",INDEX(PCNotes,$N786)),IF($O786&lt;&gt;"",IF(INDEX(LdgNoteB,$O786)="","—",INDEX(LdgNoteB,$O786)),""))</f>
        <v/>
      </c>
      <c r="N786">
        <f>IFERROR(MATCH($C$5&amp;"|"&amp;RIGHT("000000"&amp;770,6),LdgRankKeyA,0),"")</f>
        <v/>
      </c>
      <c r="O786">
        <f>IFERROR(MATCH($C$5&amp;"|"&amp;RIGHT("000000"&amp;770,6),LdgRankKeyB,0),"")</f>
        <v/>
      </c>
    </row>
    <row r="787">
      <c r="A787" s="17" t="n">
        <v>771</v>
      </c>
      <c r="B787" s="18">
        <f>IF(AND($N787="",$O787=""),"",IF($N787&lt;&gt;"",INDEX(PCNormDate,$N787),INDEX(LdgDateB,$O787)))</f>
        <v/>
      </c>
      <c r="C787" s="18">
        <f>IF($N787&lt;&gt;"",INDEX(PCOp,$N787),IF($O787&lt;&gt;"",IF(N(INDEX(TxnDepB,$O787))&gt;0,"دریافت بانکی","پرداخت بانکی"),""))</f>
        <v/>
      </c>
      <c r="D787" s="18">
        <f>IF($N787&lt;&gt;"",IF(INDEX(PCDoc,$N787)="","—",INDEX(PCDoc,$N787)),IF($O787&lt;&gt;"",INDEX(LdgBankB,$O787),""))</f>
        <v/>
      </c>
      <c r="E787" s="18">
        <f>IF($N787&lt;&gt;"",IF(INDEX(PCCitrus,$N787)="","—",INDEX(PCCitrus,$N787)),"")</f>
        <v/>
      </c>
      <c r="F787" s="19">
        <f>IF($N787&lt;&gt;"",IF(INDEX(PCScale,$N787)=0,"",INDEX(PCScale,$N787)),"")</f>
        <v/>
      </c>
      <c r="G787" s="19">
        <f>IF($N787&lt;&gt;"",IF(INDEX(PCBaskets,$N787)=0,"",INDEX(PCBaskets,$N787)),"")</f>
        <v/>
      </c>
      <c r="H787" s="20">
        <f>IF($N787&lt;&gt;"",IF(INDEX(PCNet,$N787)=0,"",INDEX(PCNet,$N787)),"")</f>
        <v/>
      </c>
      <c r="I787" s="19">
        <f>IF($N787&lt;&gt;"",IF(INDEX(PCOp,$N787)="مرجوعی خرید","",IF(INDEX(PCAmount,$N787)&lt;=0,"",INDEX(PCAmount,$N787))),IF($O787&lt;&gt;"",IF(INDEX(TxnDepB,$O787)=0,"",INDEX(TxnDepB,$O787)),""))</f>
        <v/>
      </c>
      <c r="J787" s="19">
        <f>IF($N787&lt;&gt;"",IF(INDEX(PCOp,$N787)="مرجوعی خرید",IF(INDEX(PCAmount,$N787)=0,"",-INDEX(PCAmount,$N787)),""),IF($O787&lt;&gt;"",IF(INDEX(TxnWitB,$O787)=0,"",INDEX(TxnWitB,$O787)),""))</f>
        <v/>
      </c>
      <c r="K787" s="21">
        <f>IF($B787="","",IF($K786="",$C$10,$K786)+IF($I787="",0,$I787)-IF($J787="",0,$J787))</f>
        <v/>
      </c>
      <c r="L787" s="22">
        <f>IF($N787&lt;&gt;"",IF(INDEX(PCNotes,$N787)="","—",INDEX(PCNotes,$N787)),IF($O787&lt;&gt;"",IF(INDEX(LdgNoteB,$O787)="","—",INDEX(LdgNoteB,$O787)),""))</f>
        <v/>
      </c>
      <c r="N787">
        <f>IFERROR(MATCH($C$5&amp;"|"&amp;RIGHT("000000"&amp;771,6),LdgRankKeyA,0),"")</f>
        <v/>
      </c>
      <c r="O787">
        <f>IFERROR(MATCH($C$5&amp;"|"&amp;RIGHT("000000"&amp;771,6),LdgRankKeyB,0),"")</f>
        <v/>
      </c>
    </row>
    <row r="788">
      <c r="A788" s="23" t="n">
        <v>772</v>
      </c>
      <c r="B788" s="24">
        <f>IF(AND($N788="",$O788=""),"",IF($N788&lt;&gt;"",INDEX(PCNormDate,$N788),INDEX(LdgDateB,$O788)))</f>
        <v/>
      </c>
      <c r="C788" s="24">
        <f>IF($N788&lt;&gt;"",INDEX(PCOp,$N788),IF($O788&lt;&gt;"",IF(N(INDEX(TxnDepB,$O788))&gt;0,"دریافت بانکی","پرداخت بانکی"),""))</f>
        <v/>
      </c>
      <c r="D788" s="24">
        <f>IF($N788&lt;&gt;"",IF(INDEX(PCDoc,$N788)="","—",INDEX(PCDoc,$N788)),IF($O788&lt;&gt;"",INDEX(LdgBankB,$O788),""))</f>
        <v/>
      </c>
      <c r="E788" s="24">
        <f>IF($N788&lt;&gt;"",IF(INDEX(PCCitrus,$N788)="","—",INDEX(PCCitrus,$N788)),"")</f>
        <v/>
      </c>
      <c r="F788" s="25">
        <f>IF($N788&lt;&gt;"",IF(INDEX(PCScale,$N788)=0,"",INDEX(PCScale,$N788)),"")</f>
        <v/>
      </c>
      <c r="G788" s="25">
        <f>IF($N788&lt;&gt;"",IF(INDEX(PCBaskets,$N788)=0,"",INDEX(PCBaskets,$N788)),"")</f>
        <v/>
      </c>
      <c r="H788" s="26">
        <f>IF($N788&lt;&gt;"",IF(INDEX(PCNet,$N788)=0,"",INDEX(PCNet,$N788)),"")</f>
        <v/>
      </c>
      <c r="I788" s="25">
        <f>IF($N788&lt;&gt;"",IF(INDEX(PCOp,$N788)="مرجوعی خرید","",IF(INDEX(PCAmount,$N788)&lt;=0,"",INDEX(PCAmount,$N788))),IF($O788&lt;&gt;"",IF(INDEX(TxnDepB,$O788)=0,"",INDEX(TxnDepB,$O788)),""))</f>
        <v/>
      </c>
      <c r="J788" s="25">
        <f>IF($N788&lt;&gt;"",IF(INDEX(PCOp,$N788)="مرجوعی خرید",IF(INDEX(PCAmount,$N788)=0,"",-INDEX(PCAmount,$N788)),""),IF($O788&lt;&gt;"",IF(INDEX(TxnWitB,$O788)=0,"",INDEX(TxnWitB,$O788)),""))</f>
        <v/>
      </c>
      <c r="K788" s="27">
        <f>IF($B788="","",IF($K787="",$C$10,$K787)+IF($I788="",0,$I788)-IF($J788="",0,$J788))</f>
        <v/>
      </c>
      <c r="L788" s="28">
        <f>IF($N788&lt;&gt;"",IF(INDEX(PCNotes,$N788)="","—",INDEX(PCNotes,$N788)),IF($O788&lt;&gt;"",IF(INDEX(LdgNoteB,$O788)="","—",INDEX(LdgNoteB,$O788)),""))</f>
        <v/>
      </c>
      <c r="N788">
        <f>IFERROR(MATCH($C$5&amp;"|"&amp;RIGHT("000000"&amp;772,6),LdgRankKeyA,0),"")</f>
        <v/>
      </c>
      <c r="O788">
        <f>IFERROR(MATCH($C$5&amp;"|"&amp;RIGHT("000000"&amp;772,6),LdgRankKeyB,0),"")</f>
        <v/>
      </c>
    </row>
    <row r="789">
      <c r="A789" s="17" t="n">
        <v>773</v>
      </c>
      <c r="B789" s="18">
        <f>IF(AND($N789="",$O789=""),"",IF($N789&lt;&gt;"",INDEX(PCNormDate,$N789),INDEX(LdgDateB,$O789)))</f>
        <v/>
      </c>
      <c r="C789" s="18">
        <f>IF($N789&lt;&gt;"",INDEX(PCOp,$N789),IF($O789&lt;&gt;"",IF(N(INDEX(TxnDepB,$O789))&gt;0,"دریافت بانکی","پرداخت بانکی"),""))</f>
        <v/>
      </c>
      <c r="D789" s="18">
        <f>IF($N789&lt;&gt;"",IF(INDEX(PCDoc,$N789)="","—",INDEX(PCDoc,$N789)),IF($O789&lt;&gt;"",INDEX(LdgBankB,$O789),""))</f>
        <v/>
      </c>
      <c r="E789" s="18">
        <f>IF($N789&lt;&gt;"",IF(INDEX(PCCitrus,$N789)="","—",INDEX(PCCitrus,$N789)),"")</f>
        <v/>
      </c>
      <c r="F789" s="19">
        <f>IF($N789&lt;&gt;"",IF(INDEX(PCScale,$N789)=0,"",INDEX(PCScale,$N789)),"")</f>
        <v/>
      </c>
      <c r="G789" s="19">
        <f>IF($N789&lt;&gt;"",IF(INDEX(PCBaskets,$N789)=0,"",INDEX(PCBaskets,$N789)),"")</f>
        <v/>
      </c>
      <c r="H789" s="20">
        <f>IF($N789&lt;&gt;"",IF(INDEX(PCNet,$N789)=0,"",INDEX(PCNet,$N789)),"")</f>
        <v/>
      </c>
      <c r="I789" s="19">
        <f>IF($N789&lt;&gt;"",IF(INDEX(PCOp,$N789)="مرجوعی خرید","",IF(INDEX(PCAmount,$N789)&lt;=0,"",INDEX(PCAmount,$N789))),IF($O789&lt;&gt;"",IF(INDEX(TxnDepB,$O789)=0,"",INDEX(TxnDepB,$O789)),""))</f>
        <v/>
      </c>
      <c r="J789" s="19">
        <f>IF($N789&lt;&gt;"",IF(INDEX(PCOp,$N789)="مرجوعی خرید",IF(INDEX(PCAmount,$N789)=0,"",-INDEX(PCAmount,$N789)),""),IF($O789&lt;&gt;"",IF(INDEX(TxnWitB,$O789)=0,"",INDEX(TxnWitB,$O789)),""))</f>
        <v/>
      </c>
      <c r="K789" s="21">
        <f>IF($B789="","",IF($K788="",$C$10,$K788)+IF($I789="",0,$I789)-IF($J789="",0,$J789))</f>
        <v/>
      </c>
      <c r="L789" s="22">
        <f>IF($N789&lt;&gt;"",IF(INDEX(PCNotes,$N789)="","—",INDEX(PCNotes,$N789)),IF($O789&lt;&gt;"",IF(INDEX(LdgNoteB,$O789)="","—",INDEX(LdgNoteB,$O789)),""))</f>
        <v/>
      </c>
      <c r="N789">
        <f>IFERROR(MATCH($C$5&amp;"|"&amp;RIGHT("000000"&amp;773,6),LdgRankKeyA,0),"")</f>
        <v/>
      </c>
      <c r="O789">
        <f>IFERROR(MATCH($C$5&amp;"|"&amp;RIGHT("000000"&amp;773,6),LdgRankKeyB,0),"")</f>
        <v/>
      </c>
    </row>
    <row r="790">
      <c r="A790" s="23" t="n">
        <v>774</v>
      </c>
      <c r="B790" s="24">
        <f>IF(AND($N790="",$O790=""),"",IF($N790&lt;&gt;"",INDEX(PCNormDate,$N790),INDEX(LdgDateB,$O790)))</f>
        <v/>
      </c>
      <c r="C790" s="24">
        <f>IF($N790&lt;&gt;"",INDEX(PCOp,$N790),IF($O790&lt;&gt;"",IF(N(INDEX(TxnDepB,$O790))&gt;0,"دریافت بانکی","پرداخت بانکی"),""))</f>
        <v/>
      </c>
      <c r="D790" s="24">
        <f>IF($N790&lt;&gt;"",IF(INDEX(PCDoc,$N790)="","—",INDEX(PCDoc,$N790)),IF($O790&lt;&gt;"",INDEX(LdgBankB,$O790),""))</f>
        <v/>
      </c>
      <c r="E790" s="24">
        <f>IF($N790&lt;&gt;"",IF(INDEX(PCCitrus,$N790)="","—",INDEX(PCCitrus,$N790)),"")</f>
        <v/>
      </c>
      <c r="F790" s="25">
        <f>IF($N790&lt;&gt;"",IF(INDEX(PCScale,$N790)=0,"",INDEX(PCScale,$N790)),"")</f>
        <v/>
      </c>
      <c r="G790" s="25">
        <f>IF($N790&lt;&gt;"",IF(INDEX(PCBaskets,$N790)=0,"",INDEX(PCBaskets,$N790)),"")</f>
        <v/>
      </c>
      <c r="H790" s="26">
        <f>IF($N790&lt;&gt;"",IF(INDEX(PCNet,$N790)=0,"",INDEX(PCNet,$N790)),"")</f>
        <v/>
      </c>
      <c r="I790" s="25">
        <f>IF($N790&lt;&gt;"",IF(INDEX(PCOp,$N790)="مرجوعی خرید","",IF(INDEX(PCAmount,$N790)&lt;=0,"",INDEX(PCAmount,$N790))),IF($O790&lt;&gt;"",IF(INDEX(TxnDepB,$O790)=0,"",INDEX(TxnDepB,$O790)),""))</f>
        <v/>
      </c>
      <c r="J790" s="25">
        <f>IF($N790&lt;&gt;"",IF(INDEX(PCOp,$N790)="مرجوعی خرید",IF(INDEX(PCAmount,$N790)=0,"",-INDEX(PCAmount,$N790)),""),IF($O790&lt;&gt;"",IF(INDEX(TxnWitB,$O790)=0,"",INDEX(TxnWitB,$O790)),""))</f>
        <v/>
      </c>
      <c r="K790" s="27">
        <f>IF($B790="","",IF($K789="",$C$10,$K789)+IF($I790="",0,$I790)-IF($J790="",0,$J790))</f>
        <v/>
      </c>
      <c r="L790" s="28">
        <f>IF($N790&lt;&gt;"",IF(INDEX(PCNotes,$N790)="","—",INDEX(PCNotes,$N790)),IF($O790&lt;&gt;"",IF(INDEX(LdgNoteB,$O790)="","—",INDEX(LdgNoteB,$O790)),""))</f>
        <v/>
      </c>
      <c r="N790">
        <f>IFERROR(MATCH($C$5&amp;"|"&amp;RIGHT("000000"&amp;774,6),LdgRankKeyA,0),"")</f>
        <v/>
      </c>
      <c r="O790">
        <f>IFERROR(MATCH($C$5&amp;"|"&amp;RIGHT("000000"&amp;774,6),LdgRankKeyB,0),"")</f>
        <v/>
      </c>
    </row>
    <row r="791">
      <c r="A791" s="17" t="n">
        <v>775</v>
      </c>
      <c r="B791" s="18">
        <f>IF(AND($N791="",$O791=""),"",IF($N791&lt;&gt;"",INDEX(PCNormDate,$N791),INDEX(LdgDateB,$O791)))</f>
        <v/>
      </c>
      <c r="C791" s="18">
        <f>IF($N791&lt;&gt;"",INDEX(PCOp,$N791),IF($O791&lt;&gt;"",IF(N(INDEX(TxnDepB,$O791))&gt;0,"دریافت بانکی","پرداخت بانکی"),""))</f>
        <v/>
      </c>
      <c r="D791" s="18">
        <f>IF($N791&lt;&gt;"",IF(INDEX(PCDoc,$N791)="","—",INDEX(PCDoc,$N791)),IF($O791&lt;&gt;"",INDEX(LdgBankB,$O791),""))</f>
        <v/>
      </c>
      <c r="E791" s="18">
        <f>IF($N791&lt;&gt;"",IF(INDEX(PCCitrus,$N791)="","—",INDEX(PCCitrus,$N791)),"")</f>
        <v/>
      </c>
      <c r="F791" s="19">
        <f>IF($N791&lt;&gt;"",IF(INDEX(PCScale,$N791)=0,"",INDEX(PCScale,$N791)),"")</f>
        <v/>
      </c>
      <c r="G791" s="19">
        <f>IF($N791&lt;&gt;"",IF(INDEX(PCBaskets,$N791)=0,"",INDEX(PCBaskets,$N791)),"")</f>
        <v/>
      </c>
      <c r="H791" s="20">
        <f>IF($N791&lt;&gt;"",IF(INDEX(PCNet,$N791)=0,"",INDEX(PCNet,$N791)),"")</f>
        <v/>
      </c>
      <c r="I791" s="19">
        <f>IF($N791&lt;&gt;"",IF(INDEX(PCOp,$N791)="مرجوعی خرید","",IF(INDEX(PCAmount,$N791)&lt;=0,"",INDEX(PCAmount,$N791))),IF($O791&lt;&gt;"",IF(INDEX(TxnDepB,$O791)=0,"",INDEX(TxnDepB,$O791)),""))</f>
        <v/>
      </c>
      <c r="J791" s="19">
        <f>IF($N791&lt;&gt;"",IF(INDEX(PCOp,$N791)="مرجوعی خرید",IF(INDEX(PCAmount,$N791)=0,"",-INDEX(PCAmount,$N791)),""),IF($O791&lt;&gt;"",IF(INDEX(TxnWitB,$O791)=0,"",INDEX(TxnWitB,$O791)),""))</f>
        <v/>
      </c>
      <c r="K791" s="21">
        <f>IF($B791="","",IF($K790="",$C$10,$K790)+IF($I791="",0,$I791)-IF($J791="",0,$J791))</f>
        <v/>
      </c>
      <c r="L791" s="22">
        <f>IF($N791&lt;&gt;"",IF(INDEX(PCNotes,$N791)="","—",INDEX(PCNotes,$N791)),IF($O791&lt;&gt;"",IF(INDEX(LdgNoteB,$O791)="","—",INDEX(LdgNoteB,$O791)),""))</f>
        <v/>
      </c>
      <c r="N791">
        <f>IFERROR(MATCH($C$5&amp;"|"&amp;RIGHT("000000"&amp;775,6),LdgRankKeyA,0),"")</f>
        <v/>
      </c>
      <c r="O791">
        <f>IFERROR(MATCH($C$5&amp;"|"&amp;RIGHT("000000"&amp;775,6),LdgRankKeyB,0),"")</f>
        <v/>
      </c>
    </row>
    <row r="792">
      <c r="A792" s="23" t="n">
        <v>776</v>
      </c>
      <c r="B792" s="24">
        <f>IF(AND($N792="",$O792=""),"",IF($N792&lt;&gt;"",INDEX(PCNormDate,$N792),INDEX(LdgDateB,$O792)))</f>
        <v/>
      </c>
      <c r="C792" s="24">
        <f>IF($N792&lt;&gt;"",INDEX(PCOp,$N792),IF($O792&lt;&gt;"",IF(N(INDEX(TxnDepB,$O792))&gt;0,"دریافت بانکی","پرداخت بانکی"),""))</f>
        <v/>
      </c>
      <c r="D792" s="24">
        <f>IF($N792&lt;&gt;"",IF(INDEX(PCDoc,$N792)="","—",INDEX(PCDoc,$N792)),IF($O792&lt;&gt;"",INDEX(LdgBankB,$O792),""))</f>
        <v/>
      </c>
      <c r="E792" s="24">
        <f>IF($N792&lt;&gt;"",IF(INDEX(PCCitrus,$N792)="","—",INDEX(PCCitrus,$N792)),"")</f>
        <v/>
      </c>
      <c r="F792" s="25">
        <f>IF($N792&lt;&gt;"",IF(INDEX(PCScale,$N792)=0,"",INDEX(PCScale,$N792)),"")</f>
        <v/>
      </c>
      <c r="G792" s="25">
        <f>IF($N792&lt;&gt;"",IF(INDEX(PCBaskets,$N792)=0,"",INDEX(PCBaskets,$N792)),"")</f>
        <v/>
      </c>
      <c r="H792" s="26">
        <f>IF($N792&lt;&gt;"",IF(INDEX(PCNet,$N792)=0,"",INDEX(PCNet,$N792)),"")</f>
        <v/>
      </c>
      <c r="I792" s="25">
        <f>IF($N792&lt;&gt;"",IF(INDEX(PCOp,$N792)="مرجوعی خرید","",IF(INDEX(PCAmount,$N792)&lt;=0,"",INDEX(PCAmount,$N792))),IF($O792&lt;&gt;"",IF(INDEX(TxnDepB,$O792)=0,"",INDEX(TxnDepB,$O792)),""))</f>
        <v/>
      </c>
      <c r="J792" s="25">
        <f>IF($N792&lt;&gt;"",IF(INDEX(PCOp,$N792)="مرجوعی خرید",IF(INDEX(PCAmount,$N792)=0,"",-INDEX(PCAmount,$N792)),""),IF($O792&lt;&gt;"",IF(INDEX(TxnWitB,$O792)=0,"",INDEX(TxnWitB,$O792)),""))</f>
        <v/>
      </c>
      <c r="K792" s="27">
        <f>IF($B792="","",IF($K791="",$C$10,$K791)+IF($I792="",0,$I792)-IF($J792="",0,$J792))</f>
        <v/>
      </c>
      <c r="L792" s="28">
        <f>IF($N792&lt;&gt;"",IF(INDEX(PCNotes,$N792)="","—",INDEX(PCNotes,$N792)),IF($O792&lt;&gt;"",IF(INDEX(LdgNoteB,$O792)="","—",INDEX(LdgNoteB,$O792)),""))</f>
        <v/>
      </c>
      <c r="N792">
        <f>IFERROR(MATCH($C$5&amp;"|"&amp;RIGHT("000000"&amp;776,6),LdgRankKeyA,0),"")</f>
        <v/>
      </c>
      <c r="O792">
        <f>IFERROR(MATCH($C$5&amp;"|"&amp;RIGHT("000000"&amp;776,6),LdgRankKeyB,0),"")</f>
        <v/>
      </c>
    </row>
    <row r="793">
      <c r="A793" s="17" t="n">
        <v>777</v>
      </c>
      <c r="B793" s="18">
        <f>IF(AND($N793="",$O793=""),"",IF($N793&lt;&gt;"",INDEX(PCNormDate,$N793),INDEX(LdgDateB,$O793)))</f>
        <v/>
      </c>
      <c r="C793" s="18">
        <f>IF($N793&lt;&gt;"",INDEX(PCOp,$N793),IF($O793&lt;&gt;"",IF(N(INDEX(TxnDepB,$O793))&gt;0,"دریافت بانکی","پرداخت بانکی"),""))</f>
        <v/>
      </c>
      <c r="D793" s="18">
        <f>IF($N793&lt;&gt;"",IF(INDEX(PCDoc,$N793)="","—",INDEX(PCDoc,$N793)),IF($O793&lt;&gt;"",INDEX(LdgBankB,$O793),""))</f>
        <v/>
      </c>
      <c r="E793" s="18">
        <f>IF($N793&lt;&gt;"",IF(INDEX(PCCitrus,$N793)="","—",INDEX(PCCitrus,$N793)),"")</f>
        <v/>
      </c>
      <c r="F793" s="19">
        <f>IF($N793&lt;&gt;"",IF(INDEX(PCScale,$N793)=0,"",INDEX(PCScale,$N793)),"")</f>
        <v/>
      </c>
      <c r="G793" s="19">
        <f>IF($N793&lt;&gt;"",IF(INDEX(PCBaskets,$N793)=0,"",INDEX(PCBaskets,$N793)),"")</f>
        <v/>
      </c>
      <c r="H793" s="20">
        <f>IF($N793&lt;&gt;"",IF(INDEX(PCNet,$N793)=0,"",INDEX(PCNet,$N793)),"")</f>
        <v/>
      </c>
      <c r="I793" s="19">
        <f>IF($N793&lt;&gt;"",IF(INDEX(PCOp,$N793)="مرجوعی خرید","",IF(INDEX(PCAmount,$N793)&lt;=0,"",INDEX(PCAmount,$N793))),IF($O793&lt;&gt;"",IF(INDEX(TxnDepB,$O793)=0,"",INDEX(TxnDepB,$O793)),""))</f>
        <v/>
      </c>
      <c r="J793" s="19">
        <f>IF($N793&lt;&gt;"",IF(INDEX(PCOp,$N793)="مرجوعی خرید",IF(INDEX(PCAmount,$N793)=0,"",-INDEX(PCAmount,$N793)),""),IF($O793&lt;&gt;"",IF(INDEX(TxnWitB,$O793)=0,"",INDEX(TxnWitB,$O793)),""))</f>
        <v/>
      </c>
      <c r="K793" s="21">
        <f>IF($B793="","",IF($K792="",$C$10,$K792)+IF($I793="",0,$I793)-IF($J793="",0,$J793))</f>
        <v/>
      </c>
      <c r="L793" s="22">
        <f>IF($N793&lt;&gt;"",IF(INDEX(PCNotes,$N793)="","—",INDEX(PCNotes,$N793)),IF($O793&lt;&gt;"",IF(INDEX(LdgNoteB,$O793)="","—",INDEX(LdgNoteB,$O793)),""))</f>
        <v/>
      </c>
      <c r="N793">
        <f>IFERROR(MATCH($C$5&amp;"|"&amp;RIGHT("000000"&amp;777,6),LdgRankKeyA,0),"")</f>
        <v/>
      </c>
      <c r="O793">
        <f>IFERROR(MATCH($C$5&amp;"|"&amp;RIGHT("000000"&amp;777,6),LdgRankKeyB,0),"")</f>
        <v/>
      </c>
    </row>
    <row r="794">
      <c r="A794" s="23" t="n">
        <v>778</v>
      </c>
      <c r="B794" s="24">
        <f>IF(AND($N794="",$O794=""),"",IF($N794&lt;&gt;"",INDEX(PCNormDate,$N794),INDEX(LdgDateB,$O794)))</f>
        <v/>
      </c>
      <c r="C794" s="24">
        <f>IF($N794&lt;&gt;"",INDEX(PCOp,$N794),IF($O794&lt;&gt;"",IF(N(INDEX(TxnDepB,$O794))&gt;0,"دریافت بانکی","پرداخت بانکی"),""))</f>
        <v/>
      </c>
      <c r="D794" s="24">
        <f>IF($N794&lt;&gt;"",IF(INDEX(PCDoc,$N794)="","—",INDEX(PCDoc,$N794)),IF($O794&lt;&gt;"",INDEX(LdgBankB,$O794),""))</f>
        <v/>
      </c>
      <c r="E794" s="24">
        <f>IF($N794&lt;&gt;"",IF(INDEX(PCCitrus,$N794)="","—",INDEX(PCCitrus,$N794)),"")</f>
        <v/>
      </c>
      <c r="F794" s="25">
        <f>IF($N794&lt;&gt;"",IF(INDEX(PCScale,$N794)=0,"",INDEX(PCScale,$N794)),"")</f>
        <v/>
      </c>
      <c r="G794" s="25">
        <f>IF($N794&lt;&gt;"",IF(INDEX(PCBaskets,$N794)=0,"",INDEX(PCBaskets,$N794)),"")</f>
        <v/>
      </c>
      <c r="H794" s="26">
        <f>IF($N794&lt;&gt;"",IF(INDEX(PCNet,$N794)=0,"",INDEX(PCNet,$N794)),"")</f>
        <v/>
      </c>
      <c r="I794" s="25">
        <f>IF($N794&lt;&gt;"",IF(INDEX(PCOp,$N794)="مرجوعی خرید","",IF(INDEX(PCAmount,$N794)&lt;=0,"",INDEX(PCAmount,$N794))),IF($O794&lt;&gt;"",IF(INDEX(TxnDepB,$O794)=0,"",INDEX(TxnDepB,$O794)),""))</f>
        <v/>
      </c>
      <c r="J794" s="25">
        <f>IF($N794&lt;&gt;"",IF(INDEX(PCOp,$N794)="مرجوعی خرید",IF(INDEX(PCAmount,$N794)=0,"",-INDEX(PCAmount,$N794)),""),IF($O794&lt;&gt;"",IF(INDEX(TxnWitB,$O794)=0,"",INDEX(TxnWitB,$O794)),""))</f>
        <v/>
      </c>
      <c r="K794" s="27">
        <f>IF($B794="","",IF($K793="",$C$10,$K793)+IF($I794="",0,$I794)-IF($J794="",0,$J794))</f>
        <v/>
      </c>
      <c r="L794" s="28">
        <f>IF($N794&lt;&gt;"",IF(INDEX(PCNotes,$N794)="","—",INDEX(PCNotes,$N794)),IF($O794&lt;&gt;"",IF(INDEX(LdgNoteB,$O794)="","—",INDEX(LdgNoteB,$O794)),""))</f>
        <v/>
      </c>
      <c r="N794">
        <f>IFERROR(MATCH($C$5&amp;"|"&amp;RIGHT("000000"&amp;778,6),LdgRankKeyA,0),"")</f>
        <v/>
      </c>
      <c r="O794">
        <f>IFERROR(MATCH($C$5&amp;"|"&amp;RIGHT("000000"&amp;778,6),LdgRankKeyB,0),"")</f>
        <v/>
      </c>
    </row>
    <row r="795">
      <c r="A795" s="17" t="n">
        <v>779</v>
      </c>
      <c r="B795" s="18">
        <f>IF(AND($N795="",$O795=""),"",IF($N795&lt;&gt;"",INDEX(PCNormDate,$N795),INDEX(LdgDateB,$O795)))</f>
        <v/>
      </c>
      <c r="C795" s="18">
        <f>IF($N795&lt;&gt;"",INDEX(PCOp,$N795),IF($O795&lt;&gt;"",IF(N(INDEX(TxnDepB,$O795))&gt;0,"دریافت بانکی","پرداخت بانکی"),""))</f>
        <v/>
      </c>
      <c r="D795" s="18">
        <f>IF($N795&lt;&gt;"",IF(INDEX(PCDoc,$N795)="","—",INDEX(PCDoc,$N795)),IF($O795&lt;&gt;"",INDEX(LdgBankB,$O795),""))</f>
        <v/>
      </c>
      <c r="E795" s="18">
        <f>IF($N795&lt;&gt;"",IF(INDEX(PCCitrus,$N795)="","—",INDEX(PCCitrus,$N795)),"")</f>
        <v/>
      </c>
      <c r="F795" s="19">
        <f>IF($N795&lt;&gt;"",IF(INDEX(PCScale,$N795)=0,"",INDEX(PCScale,$N795)),"")</f>
        <v/>
      </c>
      <c r="G795" s="19">
        <f>IF($N795&lt;&gt;"",IF(INDEX(PCBaskets,$N795)=0,"",INDEX(PCBaskets,$N795)),"")</f>
        <v/>
      </c>
      <c r="H795" s="20">
        <f>IF($N795&lt;&gt;"",IF(INDEX(PCNet,$N795)=0,"",INDEX(PCNet,$N795)),"")</f>
        <v/>
      </c>
      <c r="I795" s="19">
        <f>IF($N795&lt;&gt;"",IF(INDEX(PCOp,$N795)="مرجوعی خرید","",IF(INDEX(PCAmount,$N795)&lt;=0,"",INDEX(PCAmount,$N795))),IF($O795&lt;&gt;"",IF(INDEX(TxnDepB,$O795)=0,"",INDEX(TxnDepB,$O795)),""))</f>
        <v/>
      </c>
      <c r="J795" s="19">
        <f>IF($N795&lt;&gt;"",IF(INDEX(PCOp,$N795)="مرجوعی خرید",IF(INDEX(PCAmount,$N795)=0,"",-INDEX(PCAmount,$N795)),""),IF($O795&lt;&gt;"",IF(INDEX(TxnWitB,$O795)=0,"",INDEX(TxnWitB,$O795)),""))</f>
        <v/>
      </c>
      <c r="K795" s="21">
        <f>IF($B795="","",IF($K794="",$C$10,$K794)+IF($I795="",0,$I795)-IF($J795="",0,$J795))</f>
        <v/>
      </c>
      <c r="L795" s="22">
        <f>IF($N795&lt;&gt;"",IF(INDEX(PCNotes,$N795)="","—",INDEX(PCNotes,$N795)),IF($O795&lt;&gt;"",IF(INDEX(LdgNoteB,$O795)="","—",INDEX(LdgNoteB,$O795)),""))</f>
        <v/>
      </c>
      <c r="N795">
        <f>IFERROR(MATCH($C$5&amp;"|"&amp;RIGHT("000000"&amp;779,6),LdgRankKeyA,0),"")</f>
        <v/>
      </c>
      <c r="O795">
        <f>IFERROR(MATCH($C$5&amp;"|"&amp;RIGHT("000000"&amp;779,6),LdgRankKeyB,0),"")</f>
        <v/>
      </c>
    </row>
    <row r="796">
      <c r="A796" s="23" t="n">
        <v>780</v>
      </c>
      <c r="B796" s="24">
        <f>IF(AND($N796="",$O796=""),"",IF($N796&lt;&gt;"",INDEX(PCNormDate,$N796),INDEX(LdgDateB,$O796)))</f>
        <v/>
      </c>
      <c r="C796" s="24">
        <f>IF($N796&lt;&gt;"",INDEX(PCOp,$N796),IF($O796&lt;&gt;"",IF(N(INDEX(TxnDepB,$O796))&gt;0,"دریافت بانکی","پرداخت بانکی"),""))</f>
        <v/>
      </c>
      <c r="D796" s="24">
        <f>IF($N796&lt;&gt;"",IF(INDEX(PCDoc,$N796)="","—",INDEX(PCDoc,$N796)),IF($O796&lt;&gt;"",INDEX(LdgBankB,$O796),""))</f>
        <v/>
      </c>
      <c r="E796" s="24">
        <f>IF($N796&lt;&gt;"",IF(INDEX(PCCitrus,$N796)="","—",INDEX(PCCitrus,$N796)),"")</f>
        <v/>
      </c>
      <c r="F796" s="25">
        <f>IF($N796&lt;&gt;"",IF(INDEX(PCScale,$N796)=0,"",INDEX(PCScale,$N796)),"")</f>
        <v/>
      </c>
      <c r="G796" s="25">
        <f>IF($N796&lt;&gt;"",IF(INDEX(PCBaskets,$N796)=0,"",INDEX(PCBaskets,$N796)),"")</f>
        <v/>
      </c>
      <c r="H796" s="26">
        <f>IF($N796&lt;&gt;"",IF(INDEX(PCNet,$N796)=0,"",INDEX(PCNet,$N796)),"")</f>
        <v/>
      </c>
      <c r="I796" s="25">
        <f>IF($N796&lt;&gt;"",IF(INDEX(PCOp,$N796)="مرجوعی خرید","",IF(INDEX(PCAmount,$N796)&lt;=0,"",INDEX(PCAmount,$N796))),IF($O796&lt;&gt;"",IF(INDEX(TxnDepB,$O796)=0,"",INDEX(TxnDepB,$O796)),""))</f>
        <v/>
      </c>
      <c r="J796" s="25">
        <f>IF($N796&lt;&gt;"",IF(INDEX(PCOp,$N796)="مرجوعی خرید",IF(INDEX(PCAmount,$N796)=0,"",-INDEX(PCAmount,$N796)),""),IF($O796&lt;&gt;"",IF(INDEX(TxnWitB,$O796)=0,"",INDEX(TxnWitB,$O796)),""))</f>
        <v/>
      </c>
      <c r="K796" s="27">
        <f>IF($B796="","",IF($K795="",$C$10,$K795)+IF($I796="",0,$I796)-IF($J796="",0,$J796))</f>
        <v/>
      </c>
      <c r="L796" s="28">
        <f>IF($N796&lt;&gt;"",IF(INDEX(PCNotes,$N796)="","—",INDEX(PCNotes,$N796)),IF($O796&lt;&gt;"",IF(INDEX(LdgNoteB,$O796)="","—",INDEX(LdgNoteB,$O796)),""))</f>
        <v/>
      </c>
      <c r="N796">
        <f>IFERROR(MATCH($C$5&amp;"|"&amp;RIGHT("000000"&amp;780,6),LdgRankKeyA,0),"")</f>
        <v/>
      </c>
      <c r="O796">
        <f>IFERROR(MATCH($C$5&amp;"|"&amp;RIGHT("000000"&amp;780,6),LdgRankKeyB,0),"")</f>
        <v/>
      </c>
    </row>
    <row r="797">
      <c r="A797" s="17" t="n">
        <v>781</v>
      </c>
      <c r="B797" s="18">
        <f>IF(AND($N797="",$O797=""),"",IF($N797&lt;&gt;"",INDEX(PCNormDate,$N797),INDEX(LdgDateB,$O797)))</f>
        <v/>
      </c>
      <c r="C797" s="18">
        <f>IF($N797&lt;&gt;"",INDEX(PCOp,$N797),IF($O797&lt;&gt;"",IF(N(INDEX(TxnDepB,$O797))&gt;0,"دریافت بانکی","پرداخت بانکی"),""))</f>
        <v/>
      </c>
      <c r="D797" s="18">
        <f>IF($N797&lt;&gt;"",IF(INDEX(PCDoc,$N797)="","—",INDEX(PCDoc,$N797)),IF($O797&lt;&gt;"",INDEX(LdgBankB,$O797),""))</f>
        <v/>
      </c>
      <c r="E797" s="18">
        <f>IF($N797&lt;&gt;"",IF(INDEX(PCCitrus,$N797)="","—",INDEX(PCCitrus,$N797)),"")</f>
        <v/>
      </c>
      <c r="F797" s="19">
        <f>IF($N797&lt;&gt;"",IF(INDEX(PCScale,$N797)=0,"",INDEX(PCScale,$N797)),"")</f>
        <v/>
      </c>
      <c r="G797" s="19">
        <f>IF($N797&lt;&gt;"",IF(INDEX(PCBaskets,$N797)=0,"",INDEX(PCBaskets,$N797)),"")</f>
        <v/>
      </c>
      <c r="H797" s="20">
        <f>IF($N797&lt;&gt;"",IF(INDEX(PCNet,$N797)=0,"",INDEX(PCNet,$N797)),"")</f>
        <v/>
      </c>
      <c r="I797" s="19">
        <f>IF($N797&lt;&gt;"",IF(INDEX(PCOp,$N797)="مرجوعی خرید","",IF(INDEX(PCAmount,$N797)&lt;=0,"",INDEX(PCAmount,$N797))),IF($O797&lt;&gt;"",IF(INDEX(TxnDepB,$O797)=0,"",INDEX(TxnDepB,$O797)),""))</f>
        <v/>
      </c>
      <c r="J797" s="19">
        <f>IF($N797&lt;&gt;"",IF(INDEX(PCOp,$N797)="مرجوعی خرید",IF(INDEX(PCAmount,$N797)=0,"",-INDEX(PCAmount,$N797)),""),IF($O797&lt;&gt;"",IF(INDEX(TxnWitB,$O797)=0,"",INDEX(TxnWitB,$O797)),""))</f>
        <v/>
      </c>
      <c r="K797" s="21">
        <f>IF($B797="","",IF($K796="",$C$10,$K796)+IF($I797="",0,$I797)-IF($J797="",0,$J797))</f>
        <v/>
      </c>
      <c r="L797" s="22">
        <f>IF($N797&lt;&gt;"",IF(INDEX(PCNotes,$N797)="","—",INDEX(PCNotes,$N797)),IF($O797&lt;&gt;"",IF(INDEX(LdgNoteB,$O797)="","—",INDEX(LdgNoteB,$O797)),""))</f>
        <v/>
      </c>
      <c r="N797">
        <f>IFERROR(MATCH($C$5&amp;"|"&amp;RIGHT("000000"&amp;781,6),LdgRankKeyA,0),"")</f>
        <v/>
      </c>
      <c r="O797">
        <f>IFERROR(MATCH($C$5&amp;"|"&amp;RIGHT("000000"&amp;781,6),LdgRankKeyB,0),"")</f>
        <v/>
      </c>
    </row>
    <row r="798">
      <c r="A798" s="23" t="n">
        <v>782</v>
      </c>
      <c r="B798" s="24">
        <f>IF(AND($N798="",$O798=""),"",IF($N798&lt;&gt;"",INDEX(PCNormDate,$N798),INDEX(LdgDateB,$O798)))</f>
        <v/>
      </c>
      <c r="C798" s="24">
        <f>IF($N798&lt;&gt;"",INDEX(PCOp,$N798),IF($O798&lt;&gt;"",IF(N(INDEX(TxnDepB,$O798))&gt;0,"دریافت بانکی","پرداخت بانکی"),""))</f>
        <v/>
      </c>
      <c r="D798" s="24">
        <f>IF($N798&lt;&gt;"",IF(INDEX(PCDoc,$N798)="","—",INDEX(PCDoc,$N798)),IF($O798&lt;&gt;"",INDEX(LdgBankB,$O798),""))</f>
        <v/>
      </c>
      <c r="E798" s="24">
        <f>IF($N798&lt;&gt;"",IF(INDEX(PCCitrus,$N798)="","—",INDEX(PCCitrus,$N798)),"")</f>
        <v/>
      </c>
      <c r="F798" s="25">
        <f>IF($N798&lt;&gt;"",IF(INDEX(PCScale,$N798)=0,"",INDEX(PCScale,$N798)),"")</f>
        <v/>
      </c>
      <c r="G798" s="25">
        <f>IF($N798&lt;&gt;"",IF(INDEX(PCBaskets,$N798)=0,"",INDEX(PCBaskets,$N798)),"")</f>
        <v/>
      </c>
      <c r="H798" s="26">
        <f>IF($N798&lt;&gt;"",IF(INDEX(PCNet,$N798)=0,"",INDEX(PCNet,$N798)),"")</f>
        <v/>
      </c>
      <c r="I798" s="25">
        <f>IF($N798&lt;&gt;"",IF(INDEX(PCOp,$N798)="مرجوعی خرید","",IF(INDEX(PCAmount,$N798)&lt;=0,"",INDEX(PCAmount,$N798))),IF($O798&lt;&gt;"",IF(INDEX(TxnDepB,$O798)=0,"",INDEX(TxnDepB,$O798)),""))</f>
        <v/>
      </c>
      <c r="J798" s="25">
        <f>IF($N798&lt;&gt;"",IF(INDEX(PCOp,$N798)="مرجوعی خرید",IF(INDEX(PCAmount,$N798)=0,"",-INDEX(PCAmount,$N798)),""),IF($O798&lt;&gt;"",IF(INDEX(TxnWitB,$O798)=0,"",INDEX(TxnWitB,$O798)),""))</f>
        <v/>
      </c>
      <c r="K798" s="27">
        <f>IF($B798="","",IF($K797="",$C$10,$K797)+IF($I798="",0,$I798)-IF($J798="",0,$J798))</f>
        <v/>
      </c>
      <c r="L798" s="28">
        <f>IF($N798&lt;&gt;"",IF(INDEX(PCNotes,$N798)="","—",INDEX(PCNotes,$N798)),IF($O798&lt;&gt;"",IF(INDEX(LdgNoteB,$O798)="","—",INDEX(LdgNoteB,$O798)),""))</f>
        <v/>
      </c>
      <c r="N798">
        <f>IFERROR(MATCH($C$5&amp;"|"&amp;RIGHT("000000"&amp;782,6),LdgRankKeyA,0),"")</f>
        <v/>
      </c>
      <c r="O798">
        <f>IFERROR(MATCH($C$5&amp;"|"&amp;RIGHT("000000"&amp;782,6),LdgRankKeyB,0),"")</f>
        <v/>
      </c>
    </row>
    <row r="799">
      <c r="A799" s="17" t="n">
        <v>783</v>
      </c>
      <c r="B799" s="18">
        <f>IF(AND($N799="",$O799=""),"",IF($N799&lt;&gt;"",INDEX(PCNormDate,$N799),INDEX(LdgDateB,$O799)))</f>
        <v/>
      </c>
      <c r="C799" s="18">
        <f>IF($N799&lt;&gt;"",INDEX(PCOp,$N799),IF($O799&lt;&gt;"",IF(N(INDEX(TxnDepB,$O799))&gt;0,"دریافت بانکی","پرداخت بانکی"),""))</f>
        <v/>
      </c>
      <c r="D799" s="18">
        <f>IF($N799&lt;&gt;"",IF(INDEX(PCDoc,$N799)="","—",INDEX(PCDoc,$N799)),IF($O799&lt;&gt;"",INDEX(LdgBankB,$O799),""))</f>
        <v/>
      </c>
      <c r="E799" s="18">
        <f>IF($N799&lt;&gt;"",IF(INDEX(PCCitrus,$N799)="","—",INDEX(PCCitrus,$N799)),"")</f>
        <v/>
      </c>
      <c r="F799" s="19">
        <f>IF($N799&lt;&gt;"",IF(INDEX(PCScale,$N799)=0,"",INDEX(PCScale,$N799)),"")</f>
        <v/>
      </c>
      <c r="G799" s="19">
        <f>IF($N799&lt;&gt;"",IF(INDEX(PCBaskets,$N799)=0,"",INDEX(PCBaskets,$N799)),"")</f>
        <v/>
      </c>
      <c r="H799" s="20">
        <f>IF($N799&lt;&gt;"",IF(INDEX(PCNet,$N799)=0,"",INDEX(PCNet,$N799)),"")</f>
        <v/>
      </c>
      <c r="I799" s="19">
        <f>IF($N799&lt;&gt;"",IF(INDEX(PCOp,$N799)="مرجوعی خرید","",IF(INDEX(PCAmount,$N799)&lt;=0,"",INDEX(PCAmount,$N799))),IF($O799&lt;&gt;"",IF(INDEX(TxnDepB,$O799)=0,"",INDEX(TxnDepB,$O799)),""))</f>
        <v/>
      </c>
      <c r="J799" s="19">
        <f>IF($N799&lt;&gt;"",IF(INDEX(PCOp,$N799)="مرجوعی خرید",IF(INDEX(PCAmount,$N799)=0,"",-INDEX(PCAmount,$N799)),""),IF($O799&lt;&gt;"",IF(INDEX(TxnWitB,$O799)=0,"",INDEX(TxnWitB,$O799)),""))</f>
        <v/>
      </c>
      <c r="K799" s="21">
        <f>IF($B799="","",IF($K798="",$C$10,$K798)+IF($I799="",0,$I799)-IF($J799="",0,$J799))</f>
        <v/>
      </c>
      <c r="L799" s="22">
        <f>IF($N799&lt;&gt;"",IF(INDEX(PCNotes,$N799)="","—",INDEX(PCNotes,$N799)),IF($O799&lt;&gt;"",IF(INDEX(LdgNoteB,$O799)="","—",INDEX(LdgNoteB,$O799)),""))</f>
        <v/>
      </c>
      <c r="N799">
        <f>IFERROR(MATCH($C$5&amp;"|"&amp;RIGHT("000000"&amp;783,6),LdgRankKeyA,0),"")</f>
        <v/>
      </c>
      <c r="O799">
        <f>IFERROR(MATCH($C$5&amp;"|"&amp;RIGHT("000000"&amp;783,6),LdgRankKeyB,0),"")</f>
        <v/>
      </c>
    </row>
    <row r="800">
      <c r="A800" s="23" t="n">
        <v>784</v>
      </c>
      <c r="B800" s="24">
        <f>IF(AND($N800="",$O800=""),"",IF($N800&lt;&gt;"",INDEX(PCNormDate,$N800),INDEX(LdgDateB,$O800)))</f>
        <v/>
      </c>
      <c r="C800" s="24">
        <f>IF($N800&lt;&gt;"",INDEX(PCOp,$N800),IF($O800&lt;&gt;"",IF(N(INDEX(TxnDepB,$O800))&gt;0,"دریافت بانکی","پرداخت بانکی"),""))</f>
        <v/>
      </c>
      <c r="D800" s="24">
        <f>IF($N800&lt;&gt;"",IF(INDEX(PCDoc,$N800)="","—",INDEX(PCDoc,$N800)),IF($O800&lt;&gt;"",INDEX(LdgBankB,$O800),""))</f>
        <v/>
      </c>
      <c r="E800" s="24">
        <f>IF($N800&lt;&gt;"",IF(INDEX(PCCitrus,$N800)="","—",INDEX(PCCitrus,$N800)),"")</f>
        <v/>
      </c>
      <c r="F800" s="25">
        <f>IF($N800&lt;&gt;"",IF(INDEX(PCScale,$N800)=0,"",INDEX(PCScale,$N800)),"")</f>
        <v/>
      </c>
      <c r="G800" s="25">
        <f>IF($N800&lt;&gt;"",IF(INDEX(PCBaskets,$N800)=0,"",INDEX(PCBaskets,$N800)),"")</f>
        <v/>
      </c>
      <c r="H800" s="26">
        <f>IF($N800&lt;&gt;"",IF(INDEX(PCNet,$N800)=0,"",INDEX(PCNet,$N800)),"")</f>
        <v/>
      </c>
      <c r="I800" s="25">
        <f>IF($N800&lt;&gt;"",IF(INDEX(PCOp,$N800)="مرجوعی خرید","",IF(INDEX(PCAmount,$N800)&lt;=0,"",INDEX(PCAmount,$N800))),IF($O800&lt;&gt;"",IF(INDEX(TxnDepB,$O800)=0,"",INDEX(TxnDepB,$O800)),""))</f>
        <v/>
      </c>
      <c r="J800" s="25">
        <f>IF($N800&lt;&gt;"",IF(INDEX(PCOp,$N800)="مرجوعی خرید",IF(INDEX(PCAmount,$N800)=0,"",-INDEX(PCAmount,$N800)),""),IF($O800&lt;&gt;"",IF(INDEX(TxnWitB,$O800)=0,"",INDEX(TxnWitB,$O800)),""))</f>
        <v/>
      </c>
      <c r="K800" s="27">
        <f>IF($B800="","",IF($K799="",$C$10,$K799)+IF($I800="",0,$I800)-IF($J800="",0,$J800))</f>
        <v/>
      </c>
      <c r="L800" s="28">
        <f>IF($N800&lt;&gt;"",IF(INDEX(PCNotes,$N800)="","—",INDEX(PCNotes,$N800)),IF($O800&lt;&gt;"",IF(INDEX(LdgNoteB,$O800)="","—",INDEX(LdgNoteB,$O800)),""))</f>
        <v/>
      </c>
      <c r="N800">
        <f>IFERROR(MATCH($C$5&amp;"|"&amp;RIGHT("000000"&amp;784,6),LdgRankKeyA,0),"")</f>
        <v/>
      </c>
      <c r="O800">
        <f>IFERROR(MATCH($C$5&amp;"|"&amp;RIGHT("000000"&amp;784,6),LdgRankKeyB,0),"")</f>
        <v/>
      </c>
    </row>
    <row r="801">
      <c r="A801" s="17" t="n">
        <v>785</v>
      </c>
      <c r="B801" s="18">
        <f>IF(AND($N801="",$O801=""),"",IF($N801&lt;&gt;"",INDEX(PCNormDate,$N801),INDEX(LdgDateB,$O801)))</f>
        <v/>
      </c>
      <c r="C801" s="18">
        <f>IF($N801&lt;&gt;"",INDEX(PCOp,$N801),IF($O801&lt;&gt;"",IF(N(INDEX(TxnDepB,$O801))&gt;0,"دریافت بانکی","پرداخت بانکی"),""))</f>
        <v/>
      </c>
      <c r="D801" s="18">
        <f>IF($N801&lt;&gt;"",IF(INDEX(PCDoc,$N801)="","—",INDEX(PCDoc,$N801)),IF($O801&lt;&gt;"",INDEX(LdgBankB,$O801),""))</f>
        <v/>
      </c>
      <c r="E801" s="18">
        <f>IF($N801&lt;&gt;"",IF(INDEX(PCCitrus,$N801)="","—",INDEX(PCCitrus,$N801)),"")</f>
        <v/>
      </c>
      <c r="F801" s="19">
        <f>IF($N801&lt;&gt;"",IF(INDEX(PCScale,$N801)=0,"",INDEX(PCScale,$N801)),"")</f>
        <v/>
      </c>
      <c r="G801" s="19">
        <f>IF($N801&lt;&gt;"",IF(INDEX(PCBaskets,$N801)=0,"",INDEX(PCBaskets,$N801)),"")</f>
        <v/>
      </c>
      <c r="H801" s="20">
        <f>IF($N801&lt;&gt;"",IF(INDEX(PCNet,$N801)=0,"",INDEX(PCNet,$N801)),"")</f>
        <v/>
      </c>
      <c r="I801" s="19">
        <f>IF($N801&lt;&gt;"",IF(INDEX(PCOp,$N801)="مرجوعی خرید","",IF(INDEX(PCAmount,$N801)&lt;=0,"",INDEX(PCAmount,$N801))),IF($O801&lt;&gt;"",IF(INDEX(TxnDepB,$O801)=0,"",INDEX(TxnDepB,$O801)),""))</f>
        <v/>
      </c>
      <c r="J801" s="19">
        <f>IF($N801&lt;&gt;"",IF(INDEX(PCOp,$N801)="مرجوعی خرید",IF(INDEX(PCAmount,$N801)=0,"",-INDEX(PCAmount,$N801)),""),IF($O801&lt;&gt;"",IF(INDEX(TxnWitB,$O801)=0,"",INDEX(TxnWitB,$O801)),""))</f>
        <v/>
      </c>
      <c r="K801" s="21">
        <f>IF($B801="","",IF($K800="",$C$10,$K800)+IF($I801="",0,$I801)-IF($J801="",0,$J801))</f>
        <v/>
      </c>
      <c r="L801" s="22">
        <f>IF($N801&lt;&gt;"",IF(INDEX(PCNotes,$N801)="","—",INDEX(PCNotes,$N801)),IF($O801&lt;&gt;"",IF(INDEX(LdgNoteB,$O801)="","—",INDEX(LdgNoteB,$O801)),""))</f>
        <v/>
      </c>
      <c r="N801">
        <f>IFERROR(MATCH($C$5&amp;"|"&amp;RIGHT("000000"&amp;785,6),LdgRankKeyA,0),"")</f>
        <v/>
      </c>
      <c r="O801">
        <f>IFERROR(MATCH($C$5&amp;"|"&amp;RIGHT("000000"&amp;785,6),LdgRankKeyB,0),"")</f>
        <v/>
      </c>
    </row>
    <row r="802">
      <c r="A802" s="23" t="n">
        <v>786</v>
      </c>
      <c r="B802" s="24">
        <f>IF(AND($N802="",$O802=""),"",IF($N802&lt;&gt;"",INDEX(PCNormDate,$N802),INDEX(LdgDateB,$O802)))</f>
        <v/>
      </c>
      <c r="C802" s="24">
        <f>IF($N802&lt;&gt;"",INDEX(PCOp,$N802),IF($O802&lt;&gt;"",IF(N(INDEX(TxnDepB,$O802))&gt;0,"دریافت بانکی","پرداخت بانکی"),""))</f>
        <v/>
      </c>
      <c r="D802" s="24">
        <f>IF($N802&lt;&gt;"",IF(INDEX(PCDoc,$N802)="","—",INDEX(PCDoc,$N802)),IF($O802&lt;&gt;"",INDEX(LdgBankB,$O802),""))</f>
        <v/>
      </c>
      <c r="E802" s="24">
        <f>IF($N802&lt;&gt;"",IF(INDEX(PCCitrus,$N802)="","—",INDEX(PCCitrus,$N802)),"")</f>
        <v/>
      </c>
      <c r="F802" s="25">
        <f>IF($N802&lt;&gt;"",IF(INDEX(PCScale,$N802)=0,"",INDEX(PCScale,$N802)),"")</f>
        <v/>
      </c>
      <c r="G802" s="25">
        <f>IF($N802&lt;&gt;"",IF(INDEX(PCBaskets,$N802)=0,"",INDEX(PCBaskets,$N802)),"")</f>
        <v/>
      </c>
      <c r="H802" s="26">
        <f>IF($N802&lt;&gt;"",IF(INDEX(PCNet,$N802)=0,"",INDEX(PCNet,$N802)),"")</f>
        <v/>
      </c>
      <c r="I802" s="25">
        <f>IF($N802&lt;&gt;"",IF(INDEX(PCOp,$N802)="مرجوعی خرید","",IF(INDEX(PCAmount,$N802)&lt;=0,"",INDEX(PCAmount,$N802))),IF($O802&lt;&gt;"",IF(INDEX(TxnDepB,$O802)=0,"",INDEX(TxnDepB,$O802)),""))</f>
        <v/>
      </c>
      <c r="J802" s="25">
        <f>IF($N802&lt;&gt;"",IF(INDEX(PCOp,$N802)="مرجوعی خرید",IF(INDEX(PCAmount,$N802)=0,"",-INDEX(PCAmount,$N802)),""),IF($O802&lt;&gt;"",IF(INDEX(TxnWitB,$O802)=0,"",INDEX(TxnWitB,$O802)),""))</f>
        <v/>
      </c>
      <c r="K802" s="27">
        <f>IF($B802="","",IF($K801="",$C$10,$K801)+IF($I802="",0,$I802)-IF($J802="",0,$J802))</f>
        <v/>
      </c>
      <c r="L802" s="28">
        <f>IF($N802&lt;&gt;"",IF(INDEX(PCNotes,$N802)="","—",INDEX(PCNotes,$N802)),IF($O802&lt;&gt;"",IF(INDEX(LdgNoteB,$O802)="","—",INDEX(LdgNoteB,$O802)),""))</f>
        <v/>
      </c>
      <c r="N802">
        <f>IFERROR(MATCH($C$5&amp;"|"&amp;RIGHT("000000"&amp;786,6),LdgRankKeyA,0),"")</f>
        <v/>
      </c>
      <c r="O802">
        <f>IFERROR(MATCH($C$5&amp;"|"&amp;RIGHT("000000"&amp;786,6),LdgRankKeyB,0),"")</f>
        <v/>
      </c>
    </row>
    <row r="803">
      <c r="A803" s="17" t="n">
        <v>787</v>
      </c>
      <c r="B803" s="18">
        <f>IF(AND($N803="",$O803=""),"",IF($N803&lt;&gt;"",INDEX(PCNormDate,$N803),INDEX(LdgDateB,$O803)))</f>
        <v/>
      </c>
      <c r="C803" s="18">
        <f>IF($N803&lt;&gt;"",INDEX(PCOp,$N803),IF($O803&lt;&gt;"",IF(N(INDEX(TxnDepB,$O803))&gt;0,"دریافت بانکی","پرداخت بانکی"),""))</f>
        <v/>
      </c>
      <c r="D803" s="18">
        <f>IF($N803&lt;&gt;"",IF(INDEX(PCDoc,$N803)="","—",INDEX(PCDoc,$N803)),IF($O803&lt;&gt;"",INDEX(LdgBankB,$O803),""))</f>
        <v/>
      </c>
      <c r="E803" s="18">
        <f>IF($N803&lt;&gt;"",IF(INDEX(PCCitrus,$N803)="","—",INDEX(PCCitrus,$N803)),"")</f>
        <v/>
      </c>
      <c r="F803" s="19">
        <f>IF($N803&lt;&gt;"",IF(INDEX(PCScale,$N803)=0,"",INDEX(PCScale,$N803)),"")</f>
        <v/>
      </c>
      <c r="G803" s="19">
        <f>IF($N803&lt;&gt;"",IF(INDEX(PCBaskets,$N803)=0,"",INDEX(PCBaskets,$N803)),"")</f>
        <v/>
      </c>
      <c r="H803" s="20">
        <f>IF($N803&lt;&gt;"",IF(INDEX(PCNet,$N803)=0,"",INDEX(PCNet,$N803)),"")</f>
        <v/>
      </c>
      <c r="I803" s="19">
        <f>IF($N803&lt;&gt;"",IF(INDEX(PCOp,$N803)="مرجوعی خرید","",IF(INDEX(PCAmount,$N803)&lt;=0,"",INDEX(PCAmount,$N803))),IF($O803&lt;&gt;"",IF(INDEX(TxnDepB,$O803)=0,"",INDEX(TxnDepB,$O803)),""))</f>
        <v/>
      </c>
      <c r="J803" s="19">
        <f>IF($N803&lt;&gt;"",IF(INDEX(PCOp,$N803)="مرجوعی خرید",IF(INDEX(PCAmount,$N803)=0,"",-INDEX(PCAmount,$N803)),""),IF($O803&lt;&gt;"",IF(INDEX(TxnWitB,$O803)=0,"",INDEX(TxnWitB,$O803)),""))</f>
        <v/>
      </c>
      <c r="K803" s="21">
        <f>IF($B803="","",IF($K802="",$C$10,$K802)+IF($I803="",0,$I803)-IF($J803="",0,$J803))</f>
        <v/>
      </c>
      <c r="L803" s="22">
        <f>IF($N803&lt;&gt;"",IF(INDEX(PCNotes,$N803)="","—",INDEX(PCNotes,$N803)),IF($O803&lt;&gt;"",IF(INDEX(LdgNoteB,$O803)="","—",INDEX(LdgNoteB,$O803)),""))</f>
        <v/>
      </c>
      <c r="N803">
        <f>IFERROR(MATCH($C$5&amp;"|"&amp;RIGHT("000000"&amp;787,6),LdgRankKeyA,0),"")</f>
        <v/>
      </c>
      <c r="O803">
        <f>IFERROR(MATCH($C$5&amp;"|"&amp;RIGHT("000000"&amp;787,6),LdgRankKeyB,0),"")</f>
        <v/>
      </c>
    </row>
    <row r="804">
      <c r="A804" s="23" t="n">
        <v>788</v>
      </c>
      <c r="B804" s="24">
        <f>IF(AND($N804="",$O804=""),"",IF($N804&lt;&gt;"",INDEX(PCNormDate,$N804),INDEX(LdgDateB,$O804)))</f>
        <v/>
      </c>
      <c r="C804" s="24">
        <f>IF($N804&lt;&gt;"",INDEX(PCOp,$N804),IF($O804&lt;&gt;"",IF(N(INDEX(TxnDepB,$O804))&gt;0,"دریافت بانکی","پرداخت بانکی"),""))</f>
        <v/>
      </c>
      <c r="D804" s="24">
        <f>IF($N804&lt;&gt;"",IF(INDEX(PCDoc,$N804)="","—",INDEX(PCDoc,$N804)),IF($O804&lt;&gt;"",INDEX(LdgBankB,$O804),""))</f>
        <v/>
      </c>
      <c r="E804" s="24">
        <f>IF($N804&lt;&gt;"",IF(INDEX(PCCitrus,$N804)="","—",INDEX(PCCitrus,$N804)),"")</f>
        <v/>
      </c>
      <c r="F804" s="25">
        <f>IF($N804&lt;&gt;"",IF(INDEX(PCScale,$N804)=0,"",INDEX(PCScale,$N804)),"")</f>
        <v/>
      </c>
      <c r="G804" s="25">
        <f>IF($N804&lt;&gt;"",IF(INDEX(PCBaskets,$N804)=0,"",INDEX(PCBaskets,$N804)),"")</f>
        <v/>
      </c>
      <c r="H804" s="26">
        <f>IF($N804&lt;&gt;"",IF(INDEX(PCNet,$N804)=0,"",INDEX(PCNet,$N804)),"")</f>
        <v/>
      </c>
      <c r="I804" s="25">
        <f>IF($N804&lt;&gt;"",IF(INDEX(PCOp,$N804)="مرجوعی خرید","",IF(INDEX(PCAmount,$N804)&lt;=0,"",INDEX(PCAmount,$N804))),IF($O804&lt;&gt;"",IF(INDEX(TxnDepB,$O804)=0,"",INDEX(TxnDepB,$O804)),""))</f>
        <v/>
      </c>
      <c r="J804" s="25">
        <f>IF($N804&lt;&gt;"",IF(INDEX(PCOp,$N804)="مرجوعی خرید",IF(INDEX(PCAmount,$N804)=0,"",-INDEX(PCAmount,$N804)),""),IF($O804&lt;&gt;"",IF(INDEX(TxnWitB,$O804)=0,"",INDEX(TxnWitB,$O804)),""))</f>
        <v/>
      </c>
      <c r="K804" s="27">
        <f>IF($B804="","",IF($K803="",$C$10,$K803)+IF($I804="",0,$I804)-IF($J804="",0,$J804))</f>
        <v/>
      </c>
      <c r="L804" s="28">
        <f>IF($N804&lt;&gt;"",IF(INDEX(PCNotes,$N804)="","—",INDEX(PCNotes,$N804)),IF($O804&lt;&gt;"",IF(INDEX(LdgNoteB,$O804)="","—",INDEX(LdgNoteB,$O804)),""))</f>
        <v/>
      </c>
      <c r="N804">
        <f>IFERROR(MATCH($C$5&amp;"|"&amp;RIGHT("000000"&amp;788,6),LdgRankKeyA,0),"")</f>
        <v/>
      </c>
      <c r="O804">
        <f>IFERROR(MATCH($C$5&amp;"|"&amp;RIGHT("000000"&amp;788,6),LdgRankKeyB,0),"")</f>
        <v/>
      </c>
    </row>
    <row r="805">
      <c r="A805" s="17" t="n">
        <v>789</v>
      </c>
      <c r="B805" s="18">
        <f>IF(AND($N805="",$O805=""),"",IF($N805&lt;&gt;"",INDEX(PCNormDate,$N805),INDEX(LdgDateB,$O805)))</f>
        <v/>
      </c>
      <c r="C805" s="18">
        <f>IF($N805&lt;&gt;"",INDEX(PCOp,$N805),IF($O805&lt;&gt;"",IF(N(INDEX(TxnDepB,$O805))&gt;0,"دریافت بانکی","پرداخت بانکی"),""))</f>
        <v/>
      </c>
      <c r="D805" s="18">
        <f>IF($N805&lt;&gt;"",IF(INDEX(PCDoc,$N805)="","—",INDEX(PCDoc,$N805)),IF($O805&lt;&gt;"",INDEX(LdgBankB,$O805),""))</f>
        <v/>
      </c>
      <c r="E805" s="18">
        <f>IF($N805&lt;&gt;"",IF(INDEX(PCCitrus,$N805)="","—",INDEX(PCCitrus,$N805)),"")</f>
        <v/>
      </c>
      <c r="F805" s="19">
        <f>IF($N805&lt;&gt;"",IF(INDEX(PCScale,$N805)=0,"",INDEX(PCScale,$N805)),"")</f>
        <v/>
      </c>
      <c r="G805" s="19">
        <f>IF($N805&lt;&gt;"",IF(INDEX(PCBaskets,$N805)=0,"",INDEX(PCBaskets,$N805)),"")</f>
        <v/>
      </c>
      <c r="H805" s="20">
        <f>IF($N805&lt;&gt;"",IF(INDEX(PCNet,$N805)=0,"",INDEX(PCNet,$N805)),"")</f>
        <v/>
      </c>
      <c r="I805" s="19">
        <f>IF($N805&lt;&gt;"",IF(INDEX(PCOp,$N805)="مرجوعی خرید","",IF(INDEX(PCAmount,$N805)&lt;=0,"",INDEX(PCAmount,$N805))),IF($O805&lt;&gt;"",IF(INDEX(TxnDepB,$O805)=0,"",INDEX(TxnDepB,$O805)),""))</f>
        <v/>
      </c>
      <c r="J805" s="19">
        <f>IF($N805&lt;&gt;"",IF(INDEX(PCOp,$N805)="مرجوعی خرید",IF(INDEX(PCAmount,$N805)=0,"",-INDEX(PCAmount,$N805)),""),IF($O805&lt;&gt;"",IF(INDEX(TxnWitB,$O805)=0,"",INDEX(TxnWitB,$O805)),""))</f>
        <v/>
      </c>
      <c r="K805" s="21">
        <f>IF($B805="","",IF($K804="",$C$10,$K804)+IF($I805="",0,$I805)-IF($J805="",0,$J805))</f>
        <v/>
      </c>
      <c r="L805" s="22">
        <f>IF($N805&lt;&gt;"",IF(INDEX(PCNotes,$N805)="","—",INDEX(PCNotes,$N805)),IF($O805&lt;&gt;"",IF(INDEX(LdgNoteB,$O805)="","—",INDEX(LdgNoteB,$O805)),""))</f>
        <v/>
      </c>
      <c r="N805">
        <f>IFERROR(MATCH($C$5&amp;"|"&amp;RIGHT("000000"&amp;789,6),LdgRankKeyA,0),"")</f>
        <v/>
      </c>
      <c r="O805">
        <f>IFERROR(MATCH($C$5&amp;"|"&amp;RIGHT("000000"&amp;789,6),LdgRankKeyB,0),"")</f>
        <v/>
      </c>
    </row>
    <row r="806">
      <c r="A806" s="23" t="n">
        <v>790</v>
      </c>
      <c r="B806" s="24">
        <f>IF(AND($N806="",$O806=""),"",IF($N806&lt;&gt;"",INDEX(PCNormDate,$N806),INDEX(LdgDateB,$O806)))</f>
        <v/>
      </c>
      <c r="C806" s="24">
        <f>IF($N806&lt;&gt;"",INDEX(PCOp,$N806),IF($O806&lt;&gt;"",IF(N(INDEX(TxnDepB,$O806))&gt;0,"دریافت بانکی","پرداخت بانکی"),""))</f>
        <v/>
      </c>
      <c r="D806" s="24">
        <f>IF($N806&lt;&gt;"",IF(INDEX(PCDoc,$N806)="","—",INDEX(PCDoc,$N806)),IF($O806&lt;&gt;"",INDEX(LdgBankB,$O806),""))</f>
        <v/>
      </c>
      <c r="E806" s="24">
        <f>IF($N806&lt;&gt;"",IF(INDEX(PCCitrus,$N806)="","—",INDEX(PCCitrus,$N806)),"")</f>
        <v/>
      </c>
      <c r="F806" s="25">
        <f>IF($N806&lt;&gt;"",IF(INDEX(PCScale,$N806)=0,"",INDEX(PCScale,$N806)),"")</f>
        <v/>
      </c>
      <c r="G806" s="25">
        <f>IF($N806&lt;&gt;"",IF(INDEX(PCBaskets,$N806)=0,"",INDEX(PCBaskets,$N806)),"")</f>
        <v/>
      </c>
      <c r="H806" s="26">
        <f>IF($N806&lt;&gt;"",IF(INDEX(PCNet,$N806)=0,"",INDEX(PCNet,$N806)),"")</f>
        <v/>
      </c>
      <c r="I806" s="25">
        <f>IF($N806&lt;&gt;"",IF(INDEX(PCOp,$N806)="مرجوعی خرید","",IF(INDEX(PCAmount,$N806)&lt;=0,"",INDEX(PCAmount,$N806))),IF($O806&lt;&gt;"",IF(INDEX(TxnDepB,$O806)=0,"",INDEX(TxnDepB,$O806)),""))</f>
        <v/>
      </c>
      <c r="J806" s="25">
        <f>IF($N806&lt;&gt;"",IF(INDEX(PCOp,$N806)="مرجوعی خرید",IF(INDEX(PCAmount,$N806)=0,"",-INDEX(PCAmount,$N806)),""),IF($O806&lt;&gt;"",IF(INDEX(TxnWitB,$O806)=0,"",INDEX(TxnWitB,$O806)),""))</f>
        <v/>
      </c>
      <c r="K806" s="27">
        <f>IF($B806="","",IF($K805="",$C$10,$K805)+IF($I806="",0,$I806)-IF($J806="",0,$J806))</f>
        <v/>
      </c>
      <c r="L806" s="28">
        <f>IF($N806&lt;&gt;"",IF(INDEX(PCNotes,$N806)="","—",INDEX(PCNotes,$N806)),IF($O806&lt;&gt;"",IF(INDEX(LdgNoteB,$O806)="","—",INDEX(LdgNoteB,$O806)),""))</f>
        <v/>
      </c>
      <c r="N806">
        <f>IFERROR(MATCH($C$5&amp;"|"&amp;RIGHT("000000"&amp;790,6),LdgRankKeyA,0),"")</f>
        <v/>
      </c>
      <c r="O806">
        <f>IFERROR(MATCH($C$5&amp;"|"&amp;RIGHT("000000"&amp;790,6),LdgRankKeyB,0),"")</f>
        <v/>
      </c>
    </row>
    <row r="807">
      <c r="A807" s="17" t="n">
        <v>791</v>
      </c>
      <c r="B807" s="18">
        <f>IF(AND($N807="",$O807=""),"",IF($N807&lt;&gt;"",INDEX(PCNormDate,$N807),INDEX(LdgDateB,$O807)))</f>
        <v/>
      </c>
      <c r="C807" s="18">
        <f>IF($N807&lt;&gt;"",INDEX(PCOp,$N807),IF($O807&lt;&gt;"",IF(N(INDEX(TxnDepB,$O807))&gt;0,"دریافت بانکی","پرداخت بانکی"),""))</f>
        <v/>
      </c>
      <c r="D807" s="18">
        <f>IF($N807&lt;&gt;"",IF(INDEX(PCDoc,$N807)="","—",INDEX(PCDoc,$N807)),IF($O807&lt;&gt;"",INDEX(LdgBankB,$O807),""))</f>
        <v/>
      </c>
      <c r="E807" s="18">
        <f>IF($N807&lt;&gt;"",IF(INDEX(PCCitrus,$N807)="","—",INDEX(PCCitrus,$N807)),"")</f>
        <v/>
      </c>
      <c r="F807" s="19">
        <f>IF($N807&lt;&gt;"",IF(INDEX(PCScale,$N807)=0,"",INDEX(PCScale,$N807)),"")</f>
        <v/>
      </c>
      <c r="G807" s="19">
        <f>IF($N807&lt;&gt;"",IF(INDEX(PCBaskets,$N807)=0,"",INDEX(PCBaskets,$N807)),"")</f>
        <v/>
      </c>
      <c r="H807" s="20">
        <f>IF($N807&lt;&gt;"",IF(INDEX(PCNet,$N807)=0,"",INDEX(PCNet,$N807)),"")</f>
        <v/>
      </c>
      <c r="I807" s="19">
        <f>IF($N807&lt;&gt;"",IF(INDEX(PCOp,$N807)="مرجوعی خرید","",IF(INDEX(PCAmount,$N807)&lt;=0,"",INDEX(PCAmount,$N807))),IF($O807&lt;&gt;"",IF(INDEX(TxnDepB,$O807)=0,"",INDEX(TxnDepB,$O807)),""))</f>
        <v/>
      </c>
      <c r="J807" s="19">
        <f>IF($N807&lt;&gt;"",IF(INDEX(PCOp,$N807)="مرجوعی خرید",IF(INDEX(PCAmount,$N807)=0,"",-INDEX(PCAmount,$N807)),""),IF($O807&lt;&gt;"",IF(INDEX(TxnWitB,$O807)=0,"",INDEX(TxnWitB,$O807)),""))</f>
        <v/>
      </c>
      <c r="K807" s="21">
        <f>IF($B807="","",IF($K806="",$C$10,$K806)+IF($I807="",0,$I807)-IF($J807="",0,$J807))</f>
        <v/>
      </c>
      <c r="L807" s="22">
        <f>IF($N807&lt;&gt;"",IF(INDEX(PCNotes,$N807)="","—",INDEX(PCNotes,$N807)),IF($O807&lt;&gt;"",IF(INDEX(LdgNoteB,$O807)="","—",INDEX(LdgNoteB,$O807)),""))</f>
        <v/>
      </c>
      <c r="N807">
        <f>IFERROR(MATCH($C$5&amp;"|"&amp;RIGHT("000000"&amp;791,6),LdgRankKeyA,0),"")</f>
        <v/>
      </c>
      <c r="O807">
        <f>IFERROR(MATCH($C$5&amp;"|"&amp;RIGHT("000000"&amp;791,6),LdgRankKeyB,0),"")</f>
        <v/>
      </c>
    </row>
    <row r="808">
      <c r="A808" s="23" t="n">
        <v>792</v>
      </c>
      <c r="B808" s="24">
        <f>IF(AND($N808="",$O808=""),"",IF($N808&lt;&gt;"",INDEX(PCNormDate,$N808),INDEX(LdgDateB,$O808)))</f>
        <v/>
      </c>
      <c r="C808" s="24">
        <f>IF($N808&lt;&gt;"",INDEX(PCOp,$N808),IF($O808&lt;&gt;"",IF(N(INDEX(TxnDepB,$O808))&gt;0,"دریافت بانکی","پرداخت بانکی"),""))</f>
        <v/>
      </c>
      <c r="D808" s="24">
        <f>IF($N808&lt;&gt;"",IF(INDEX(PCDoc,$N808)="","—",INDEX(PCDoc,$N808)),IF($O808&lt;&gt;"",INDEX(LdgBankB,$O808),""))</f>
        <v/>
      </c>
      <c r="E808" s="24">
        <f>IF($N808&lt;&gt;"",IF(INDEX(PCCitrus,$N808)="","—",INDEX(PCCitrus,$N808)),"")</f>
        <v/>
      </c>
      <c r="F808" s="25">
        <f>IF($N808&lt;&gt;"",IF(INDEX(PCScale,$N808)=0,"",INDEX(PCScale,$N808)),"")</f>
        <v/>
      </c>
      <c r="G808" s="25">
        <f>IF($N808&lt;&gt;"",IF(INDEX(PCBaskets,$N808)=0,"",INDEX(PCBaskets,$N808)),"")</f>
        <v/>
      </c>
      <c r="H808" s="26">
        <f>IF($N808&lt;&gt;"",IF(INDEX(PCNet,$N808)=0,"",INDEX(PCNet,$N808)),"")</f>
        <v/>
      </c>
      <c r="I808" s="25">
        <f>IF($N808&lt;&gt;"",IF(INDEX(PCOp,$N808)="مرجوعی خرید","",IF(INDEX(PCAmount,$N808)&lt;=0,"",INDEX(PCAmount,$N808))),IF($O808&lt;&gt;"",IF(INDEX(TxnDepB,$O808)=0,"",INDEX(TxnDepB,$O808)),""))</f>
        <v/>
      </c>
      <c r="J808" s="25">
        <f>IF($N808&lt;&gt;"",IF(INDEX(PCOp,$N808)="مرجوعی خرید",IF(INDEX(PCAmount,$N808)=0,"",-INDEX(PCAmount,$N808)),""),IF($O808&lt;&gt;"",IF(INDEX(TxnWitB,$O808)=0,"",INDEX(TxnWitB,$O808)),""))</f>
        <v/>
      </c>
      <c r="K808" s="27">
        <f>IF($B808="","",IF($K807="",$C$10,$K807)+IF($I808="",0,$I808)-IF($J808="",0,$J808))</f>
        <v/>
      </c>
      <c r="L808" s="28">
        <f>IF($N808&lt;&gt;"",IF(INDEX(PCNotes,$N808)="","—",INDEX(PCNotes,$N808)),IF($O808&lt;&gt;"",IF(INDEX(LdgNoteB,$O808)="","—",INDEX(LdgNoteB,$O808)),""))</f>
        <v/>
      </c>
      <c r="N808">
        <f>IFERROR(MATCH($C$5&amp;"|"&amp;RIGHT("000000"&amp;792,6),LdgRankKeyA,0),"")</f>
        <v/>
      </c>
      <c r="O808">
        <f>IFERROR(MATCH($C$5&amp;"|"&amp;RIGHT("000000"&amp;792,6),LdgRankKeyB,0),"")</f>
        <v/>
      </c>
    </row>
    <row r="809">
      <c r="A809" s="17" t="n">
        <v>793</v>
      </c>
      <c r="B809" s="18">
        <f>IF(AND($N809="",$O809=""),"",IF($N809&lt;&gt;"",INDEX(PCNormDate,$N809),INDEX(LdgDateB,$O809)))</f>
        <v/>
      </c>
      <c r="C809" s="18">
        <f>IF($N809&lt;&gt;"",INDEX(PCOp,$N809),IF($O809&lt;&gt;"",IF(N(INDEX(TxnDepB,$O809))&gt;0,"دریافت بانکی","پرداخت بانکی"),""))</f>
        <v/>
      </c>
      <c r="D809" s="18">
        <f>IF($N809&lt;&gt;"",IF(INDEX(PCDoc,$N809)="","—",INDEX(PCDoc,$N809)),IF($O809&lt;&gt;"",INDEX(LdgBankB,$O809),""))</f>
        <v/>
      </c>
      <c r="E809" s="18">
        <f>IF($N809&lt;&gt;"",IF(INDEX(PCCitrus,$N809)="","—",INDEX(PCCitrus,$N809)),"")</f>
        <v/>
      </c>
      <c r="F809" s="19">
        <f>IF($N809&lt;&gt;"",IF(INDEX(PCScale,$N809)=0,"",INDEX(PCScale,$N809)),"")</f>
        <v/>
      </c>
      <c r="G809" s="19">
        <f>IF($N809&lt;&gt;"",IF(INDEX(PCBaskets,$N809)=0,"",INDEX(PCBaskets,$N809)),"")</f>
        <v/>
      </c>
      <c r="H809" s="20">
        <f>IF($N809&lt;&gt;"",IF(INDEX(PCNet,$N809)=0,"",INDEX(PCNet,$N809)),"")</f>
        <v/>
      </c>
      <c r="I809" s="19">
        <f>IF($N809&lt;&gt;"",IF(INDEX(PCOp,$N809)="مرجوعی خرید","",IF(INDEX(PCAmount,$N809)&lt;=0,"",INDEX(PCAmount,$N809))),IF($O809&lt;&gt;"",IF(INDEX(TxnDepB,$O809)=0,"",INDEX(TxnDepB,$O809)),""))</f>
        <v/>
      </c>
      <c r="J809" s="19">
        <f>IF($N809&lt;&gt;"",IF(INDEX(PCOp,$N809)="مرجوعی خرید",IF(INDEX(PCAmount,$N809)=0,"",-INDEX(PCAmount,$N809)),""),IF($O809&lt;&gt;"",IF(INDEX(TxnWitB,$O809)=0,"",INDEX(TxnWitB,$O809)),""))</f>
        <v/>
      </c>
      <c r="K809" s="21">
        <f>IF($B809="","",IF($K808="",$C$10,$K808)+IF($I809="",0,$I809)-IF($J809="",0,$J809))</f>
        <v/>
      </c>
      <c r="L809" s="22">
        <f>IF($N809&lt;&gt;"",IF(INDEX(PCNotes,$N809)="","—",INDEX(PCNotes,$N809)),IF($O809&lt;&gt;"",IF(INDEX(LdgNoteB,$O809)="","—",INDEX(LdgNoteB,$O809)),""))</f>
        <v/>
      </c>
      <c r="N809">
        <f>IFERROR(MATCH($C$5&amp;"|"&amp;RIGHT("000000"&amp;793,6),LdgRankKeyA,0),"")</f>
        <v/>
      </c>
      <c r="O809">
        <f>IFERROR(MATCH($C$5&amp;"|"&amp;RIGHT("000000"&amp;793,6),LdgRankKeyB,0),"")</f>
        <v/>
      </c>
    </row>
    <row r="810">
      <c r="A810" s="23" t="n">
        <v>794</v>
      </c>
      <c r="B810" s="24">
        <f>IF(AND($N810="",$O810=""),"",IF($N810&lt;&gt;"",INDEX(PCNormDate,$N810),INDEX(LdgDateB,$O810)))</f>
        <v/>
      </c>
      <c r="C810" s="24">
        <f>IF($N810&lt;&gt;"",INDEX(PCOp,$N810),IF($O810&lt;&gt;"",IF(N(INDEX(TxnDepB,$O810))&gt;0,"دریافت بانکی","پرداخت بانکی"),""))</f>
        <v/>
      </c>
      <c r="D810" s="24">
        <f>IF($N810&lt;&gt;"",IF(INDEX(PCDoc,$N810)="","—",INDEX(PCDoc,$N810)),IF($O810&lt;&gt;"",INDEX(LdgBankB,$O810),""))</f>
        <v/>
      </c>
      <c r="E810" s="24">
        <f>IF($N810&lt;&gt;"",IF(INDEX(PCCitrus,$N810)="","—",INDEX(PCCitrus,$N810)),"")</f>
        <v/>
      </c>
      <c r="F810" s="25">
        <f>IF($N810&lt;&gt;"",IF(INDEX(PCScale,$N810)=0,"",INDEX(PCScale,$N810)),"")</f>
        <v/>
      </c>
      <c r="G810" s="25">
        <f>IF($N810&lt;&gt;"",IF(INDEX(PCBaskets,$N810)=0,"",INDEX(PCBaskets,$N810)),"")</f>
        <v/>
      </c>
      <c r="H810" s="26">
        <f>IF($N810&lt;&gt;"",IF(INDEX(PCNet,$N810)=0,"",INDEX(PCNet,$N810)),"")</f>
        <v/>
      </c>
      <c r="I810" s="25">
        <f>IF($N810&lt;&gt;"",IF(INDEX(PCOp,$N810)="مرجوعی خرید","",IF(INDEX(PCAmount,$N810)&lt;=0,"",INDEX(PCAmount,$N810))),IF($O810&lt;&gt;"",IF(INDEX(TxnDepB,$O810)=0,"",INDEX(TxnDepB,$O810)),""))</f>
        <v/>
      </c>
      <c r="J810" s="25">
        <f>IF($N810&lt;&gt;"",IF(INDEX(PCOp,$N810)="مرجوعی خرید",IF(INDEX(PCAmount,$N810)=0,"",-INDEX(PCAmount,$N810)),""),IF($O810&lt;&gt;"",IF(INDEX(TxnWitB,$O810)=0,"",INDEX(TxnWitB,$O810)),""))</f>
        <v/>
      </c>
      <c r="K810" s="27">
        <f>IF($B810="","",IF($K809="",$C$10,$K809)+IF($I810="",0,$I810)-IF($J810="",0,$J810))</f>
        <v/>
      </c>
      <c r="L810" s="28">
        <f>IF($N810&lt;&gt;"",IF(INDEX(PCNotes,$N810)="","—",INDEX(PCNotes,$N810)),IF($O810&lt;&gt;"",IF(INDEX(LdgNoteB,$O810)="","—",INDEX(LdgNoteB,$O810)),""))</f>
        <v/>
      </c>
      <c r="N810">
        <f>IFERROR(MATCH($C$5&amp;"|"&amp;RIGHT("000000"&amp;794,6),LdgRankKeyA,0),"")</f>
        <v/>
      </c>
      <c r="O810">
        <f>IFERROR(MATCH($C$5&amp;"|"&amp;RIGHT("000000"&amp;794,6),LdgRankKeyB,0),"")</f>
        <v/>
      </c>
    </row>
    <row r="811">
      <c r="A811" s="17" t="n">
        <v>795</v>
      </c>
      <c r="B811" s="18">
        <f>IF(AND($N811="",$O811=""),"",IF($N811&lt;&gt;"",INDEX(PCNormDate,$N811),INDEX(LdgDateB,$O811)))</f>
        <v/>
      </c>
      <c r="C811" s="18">
        <f>IF($N811&lt;&gt;"",INDEX(PCOp,$N811),IF($O811&lt;&gt;"",IF(N(INDEX(TxnDepB,$O811))&gt;0,"دریافت بانکی","پرداخت بانکی"),""))</f>
        <v/>
      </c>
      <c r="D811" s="18">
        <f>IF($N811&lt;&gt;"",IF(INDEX(PCDoc,$N811)="","—",INDEX(PCDoc,$N811)),IF($O811&lt;&gt;"",INDEX(LdgBankB,$O811),""))</f>
        <v/>
      </c>
      <c r="E811" s="18">
        <f>IF($N811&lt;&gt;"",IF(INDEX(PCCitrus,$N811)="","—",INDEX(PCCitrus,$N811)),"")</f>
        <v/>
      </c>
      <c r="F811" s="19">
        <f>IF($N811&lt;&gt;"",IF(INDEX(PCScale,$N811)=0,"",INDEX(PCScale,$N811)),"")</f>
        <v/>
      </c>
      <c r="G811" s="19">
        <f>IF($N811&lt;&gt;"",IF(INDEX(PCBaskets,$N811)=0,"",INDEX(PCBaskets,$N811)),"")</f>
        <v/>
      </c>
      <c r="H811" s="20">
        <f>IF($N811&lt;&gt;"",IF(INDEX(PCNet,$N811)=0,"",INDEX(PCNet,$N811)),"")</f>
        <v/>
      </c>
      <c r="I811" s="19">
        <f>IF($N811&lt;&gt;"",IF(INDEX(PCOp,$N811)="مرجوعی خرید","",IF(INDEX(PCAmount,$N811)&lt;=0,"",INDEX(PCAmount,$N811))),IF($O811&lt;&gt;"",IF(INDEX(TxnDepB,$O811)=0,"",INDEX(TxnDepB,$O811)),""))</f>
        <v/>
      </c>
      <c r="J811" s="19">
        <f>IF($N811&lt;&gt;"",IF(INDEX(PCOp,$N811)="مرجوعی خرید",IF(INDEX(PCAmount,$N811)=0,"",-INDEX(PCAmount,$N811)),""),IF($O811&lt;&gt;"",IF(INDEX(TxnWitB,$O811)=0,"",INDEX(TxnWitB,$O811)),""))</f>
        <v/>
      </c>
      <c r="K811" s="21">
        <f>IF($B811="","",IF($K810="",$C$10,$K810)+IF($I811="",0,$I811)-IF($J811="",0,$J811))</f>
        <v/>
      </c>
      <c r="L811" s="22">
        <f>IF($N811&lt;&gt;"",IF(INDEX(PCNotes,$N811)="","—",INDEX(PCNotes,$N811)),IF($O811&lt;&gt;"",IF(INDEX(LdgNoteB,$O811)="","—",INDEX(LdgNoteB,$O811)),""))</f>
        <v/>
      </c>
      <c r="N811">
        <f>IFERROR(MATCH($C$5&amp;"|"&amp;RIGHT("000000"&amp;795,6),LdgRankKeyA,0),"")</f>
        <v/>
      </c>
      <c r="O811">
        <f>IFERROR(MATCH($C$5&amp;"|"&amp;RIGHT("000000"&amp;795,6),LdgRankKeyB,0),"")</f>
        <v/>
      </c>
    </row>
    <row r="812">
      <c r="A812" s="23" t="n">
        <v>796</v>
      </c>
      <c r="B812" s="24">
        <f>IF(AND($N812="",$O812=""),"",IF($N812&lt;&gt;"",INDEX(PCNormDate,$N812),INDEX(LdgDateB,$O812)))</f>
        <v/>
      </c>
      <c r="C812" s="24">
        <f>IF($N812&lt;&gt;"",INDEX(PCOp,$N812),IF($O812&lt;&gt;"",IF(N(INDEX(TxnDepB,$O812))&gt;0,"دریافت بانکی","پرداخت بانکی"),""))</f>
        <v/>
      </c>
      <c r="D812" s="24">
        <f>IF($N812&lt;&gt;"",IF(INDEX(PCDoc,$N812)="","—",INDEX(PCDoc,$N812)),IF($O812&lt;&gt;"",INDEX(LdgBankB,$O812),""))</f>
        <v/>
      </c>
      <c r="E812" s="24">
        <f>IF($N812&lt;&gt;"",IF(INDEX(PCCitrus,$N812)="","—",INDEX(PCCitrus,$N812)),"")</f>
        <v/>
      </c>
      <c r="F812" s="25">
        <f>IF($N812&lt;&gt;"",IF(INDEX(PCScale,$N812)=0,"",INDEX(PCScale,$N812)),"")</f>
        <v/>
      </c>
      <c r="G812" s="25">
        <f>IF($N812&lt;&gt;"",IF(INDEX(PCBaskets,$N812)=0,"",INDEX(PCBaskets,$N812)),"")</f>
        <v/>
      </c>
      <c r="H812" s="26">
        <f>IF($N812&lt;&gt;"",IF(INDEX(PCNet,$N812)=0,"",INDEX(PCNet,$N812)),"")</f>
        <v/>
      </c>
      <c r="I812" s="25">
        <f>IF($N812&lt;&gt;"",IF(INDEX(PCOp,$N812)="مرجوعی خرید","",IF(INDEX(PCAmount,$N812)&lt;=0,"",INDEX(PCAmount,$N812))),IF($O812&lt;&gt;"",IF(INDEX(TxnDepB,$O812)=0,"",INDEX(TxnDepB,$O812)),""))</f>
        <v/>
      </c>
      <c r="J812" s="25">
        <f>IF($N812&lt;&gt;"",IF(INDEX(PCOp,$N812)="مرجوعی خرید",IF(INDEX(PCAmount,$N812)=0,"",-INDEX(PCAmount,$N812)),""),IF($O812&lt;&gt;"",IF(INDEX(TxnWitB,$O812)=0,"",INDEX(TxnWitB,$O812)),""))</f>
        <v/>
      </c>
      <c r="K812" s="27">
        <f>IF($B812="","",IF($K811="",$C$10,$K811)+IF($I812="",0,$I812)-IF($J812="",0,$J812))</f>
        <v/>
      </c>
      <c r="L812" s="28">
        <f>IF($N812&lt;&gt;"",IF(INDEX(PCNotes,$N812)="","—",INDEX(PCNotes,$N812)),IF($O812&lt;&gt;"",IF(INDEX(LdgNoteB,$O812)="","—",INDEX(LdgNoteB,$O812)),""))</f>
        <v/>
      </c>
      <c r="N812">
        <f>IFERROR(MATCH($C$5&amp;"|"&amp;RIGHT("000000"&amp;796,6),LdgRankKeyA,0),"")</f>
        <v/>
      </c>
      <c r="O812">
        <f>IFERROR(MATCH($C$5&amp;"|"&amp;RIGHT("000000"&amp;796,6),LdgRankKeyB,0),"")</f>
        <v/>
      </c>
    </row>
    <row r="813">
      <c r="A813" s="17" t="n">
        <v>797</v>
      </c>
      <c r="B813" s="18">
        <f>IF(AND($N813="",$O813=""),"",IF($N813&lt;&gt;"",INDEX(PCNormDate,$N813),INDEX(LdgDateB,$O813)))</f>
        <v/>
      </c>
      <c r="C813" s="18">
        <f>IF($N813&lt;&gt;"",INDEX(PCOp,$N813),IF($O813&lt;&gt;"",IF(N(INDEX(TxnDepB,$O813))&gt;0,"دریافت بانکی","پرداخت بانکی"),""))</f>
        <v/>
      </c>
      <c r="D813" s="18">
        <f>IF($N813&lt;&gt;"",IF(INDEX(PCDoc,$N813)="","—",INDEX(PCDoc,$N813)),IF($O813&lt;&gt;"",INDEX(LdgBankB,$O813),""))</f>
        <v/>
      </c>
      <c r="E813" s="18">
        <f>IF($N813&lt;&gt;"",IF(INDEX(PCCitrus,$N813)="","—",INDEX(PCCitrus,$N813)),"")</f>
        <v/>
      </c>
      <c r="F813" s="19">
        <f>IF($N813&lt;&gt;"",IF(INDEX(PCScale,$N813)=0,"",INDEX(PCScale,$N813)),"")</f>
        <v/>
      </c>
      <c r="G813" s="19">
        <f>IF($N813&lt;&gt;"",IF(INDEX(PCBaskets,$N813)=0,"",INDEX(PCBaskets,$N813)),"")</f>
        <v/>
      </c>
      <c r="H813" s="20">
        <f>IF($N813&lt;&gt;"",IF(INDEX(PCNet,$N813)=0,"",INDEX(PCNet,$N813)),"")</f>
        <v/>
      </c>
      <c r="I813" s="19">
        <f>IF($N813&lt;&gt;"",IF(INDEX(PCOp,$N813)="مرجوعی خرید","",IF(INDEX(PCAmount,$N813)&lt;=0,"",INDEX(PCAmount,$N813))),IF($O813&lt;&gt;"",IF(INDEX(TxnDepB,$O813)=0,"",INDEX(TxnDepB,$O813)),""))</f>
        <v/>
      </c>
      <c r="J813" s="19">
        <f>IF($N813&lt;&gt;"",IF(INDEX(PCOp,$N813)="مرجوعی خرید",IF(INDEX(PCAmount,$N813)=0,"",-INDEX(PCAmount,$N813)),""),IF($O813&lt;&gt;"",IF(INDEX(TxnWitB,$O813)=0,"",INDEX(TxnWitB,$O813)),""))</f>
        <v/>
      </c>
      <c r="K813" s="21">
        <f>IF($B813="","",IF($K812="",$C$10,$K812)+IF($I813="",0,$I813)-IF($J813="",0,$J813))</f>
        <v/>
      </c>
      <c r="L813" s="22">
        <f>IF($N813&lt;&gt;"",IF(INDEX(PCNotes,$N813)="","—",INDEX(PCNotes,$N813)),IF($O813&lt;&gt;"",IF(INDEX(LdgNoteB,$O813)="","—",INDEX(LdgNoteB,$O813)),""))</f>
        <v/>
      </c>
      <c r="N813">
        <f>IFERROR(MATCH($C$5&amp;"|"&amp;RIGHT("000000"&amp;797,6),LdgRankKeyA,0),"")</f>
        <v/>
      </c>
      <c r="O813">
        <f>IFERROR(MATCH($C$5&amp;"|"&amp;RIGHT("000000"&amp;797,6),LdgRankKeyB,0),"")</f>
        <v/>
      </c>
    </row>
    <row r="814">
      <c r="A814" s="23" t="n">
        <v>798</v>
      </c>
      <c r="B814" s="24">
        <f>IF(AND($N814="",$O814=""),"",IF($N814&lt;&gt;"",INDEX(PCNormDate,$N814),INDEX(LdgDateB,$O814)))</f>
        <v/>
      </c>
      <c r="C814" s="24">
        <f>IF($N814&lt;&gt;"",INDEX(PCOp,$N814),IF($O814&lt;&gt;"",IF(N(INDEX(TxnDepB,$O814))&gt;0,"دریافت بانکی","پرداخت بانکی"),""))</f>
        <v/>
      </c>
      <c r="D814" s="24">
        <f>IF($N814&lt;&gt;"",IF(INDEX(PCDoc,$N814)="","—",INDEX(PCDoc,$N814)),IF($O814&lt;&gt;"",INDEX(LdgBankB,$O814),""))</f>
        <v/>
      </c>
      <c r="E814" s="24">
        <f>IF($N814&lt;&gt;"",IF(INDEX(PCCitrus,$N814)="","—",INDEX(PCCitrus,$N814)),"")</f>
        <v/>
      </c>
      <c r="F814" s="25">
        <f>IF($N814&lt;&gt;"",IF(INDEX(PCScale,$N814)=0,"",INDEX(PCScale,$N814)),"")</f>
        <v/>
      </c>
      <c r="G814" s="25">
        <f>IF($N814&lt;&gt;"",IF(INDEX(PCBaskets,$N814)=0,"",INDEX(PCBaskets,$N814)),"")</f>
        <v/>
      </c>
      <c r="H814" s="26">
        <f>IF($N814&lt;&gt;"",IF(INDEX(PCNet,$N814)=0,"",INDEX(PCNet,$N814)),"")</f>
        <v/>
      </c>
      <c r="I814" s="25">
        <f>IF($N814&lt;&gt;"",IF(INDEX(PCOp,$N814)="مرجوعی خرید","",IF(INDEX(PCAmount,$N814)&lt;=0,"",INDEX(PCAmount,$N814))),IF($O814&lt;&gt;"",IF(INDEX(TxnDepB,$O814)=0,"",INDEX(TxnDepB,$O814)),""))</f>
        <v/>
      </c>
      <c r="J814" s="25">
        <f>IF($N814&lt;&gt;"",IF(INDEX(PCOp,$N814)="مرجوعی خرید",IF(INDEX(PCAmount,$N814)=0,"",-INDEX(PCAmount,$N814)),""),IF($O814&lt;&gt;"",IF(INDEX(TxnWitB,$O814)=0,"",INDEX(TxnWitB,$O814)),""))</f>
        <v/>
      </c>
      <c r="K814" s="27">
        <f>IF($B814="","",IF($K813="",$C$10,$K813)+IF($I814="",0,$I814)-IF($J814="",0,$J814))</f>
        <v/>
      </c>
      <c r="L814" s="28">
        <f>IF($N814&lt;&gt;"",IF(INDEX(PCNotes,$N814)="","—",INDEX(PCNotes,$N814)),IF($O814&lt;&gt;"",IF(INDEX(LdgNoteB,$O814)="","—",INDEX(LdgNoteB,$O814)),""))</f>
        <v/>
      </c>
      <c r="N814">
        <f>IFERROR(MATCH($C$5&amp;"|"&amp;RIGHT("000000"&amp;798,6),LdgRankKeyA,0),"")</f>
        <v/>
      </c>
      <c r="O814">
        <f>IFERROR(MATCH($C$5&amp;"|"&amp;RIGHT("000000"&amp;798,6),LdgRankKeyB,0),"")</f>
        <v/>
      </c>
    </row>
    <row r="815">
      <c r="A815" s="17" t="n">
        <v>799</v>
      </c>
      <c r="B815" s="18">
        <f>IF(AND($N815="",$O815=""),"",IF($N815&lt;&gt;"",INDEX(PCNormDate,$N815),INDEX(LdgDateB,$O815)))</f>
        <v/>
      </c>
      <c r="C815" s="18">
        <f>IF($N815&lt;&gt;"",INDEX(PCOp,$N815),IF($O815&lt;&gt;"",IF(N(INDEX(TxnDepB,$O815))&gt;0,"دریافت بانکی","پرداخت بانکی"),""))</f>
        <v/>
      </c>
      <c r="D815" s="18">
        <f>IF($N815&lt;&gt;"",IF(INDEX(PCDoc,$N815)="","—",INDEX(PCDoc,$N815)),IF($O815&lt;&gt;"",INDEX(LdgBankB,$O815),""))</f>
        <v/>
      </c>
      <c r="E815" s="18">
        <f>IF($N815&lt;&gt;"",IF(INDEX(PCCitrus,$N815)="","—",INDEX(PCCitrus,$N815)),"")</f>
        <v/>
      </c>
      <c r="F815" s="19">
        <f>IF($N815&lt;&gt;"",IF(INDEX(PCScale,$N815)=0,"",INDEX(PCScale,$N815)),"")</f>
        <v/>
      </c>
      <c r="G815" s="19">
        <f>IF($N815&lt;&gt;"",IF(INDEX(PCBaskets,$N815)=0,"",INDEX(PCBaskets,$N815)),"")</f>
        <v/>
      </c>
      <c r="H815" s="20">
        <f>IF($N815&lt;&gt;"",IF(INDEX(PCNet,$N815)=0,"",INDEX(PCNet,$N815)),"")</f>
        <v/>
      </c>
      <c r="I815" s="19">
        <f>IF($N815&lt;&gt;"",IF(INDEX(PCOp,$N815)="مرجوعی خرید","",IF(INDEX(PCAmount,$N815)&lt;=0,"",INDEX(PCAmount,$N815))),IF($O815&lt;&gt;"",IF(INDEX(TxnDepB,$O815)=0,"",INDEX(TxnDepB,$O815)),""))</f>
        <v/>
      </c>
      <c r="J815" s="19">
        <f>IF($N815&lt;&gt;"",IF(INDEX(PCOp,$N815)="مرجوعی خرید",IF(INDEX(PCAmount,$N815)=0,"",-INDEX(PCAmount,$N815)),""),IF($O815&lt;&gt;"",IF(INDEX(TxnWitB,$O815)=0,"",INDEX(TxnWitB,$O815)),""))</f>
        <v/>
      </c>
      <c r="K815" s="21">
        <f>IF($B815="","",IF($K814="",$C$10,$K814)+IF($I815="",0,$I815)-IF($J815="",0,$J815))</f>
        <v/>
      </c>
      <c r="L815" s="22">
        <f>IF($N815&lt;&gt;"",IF(INDEX(PCNotes,$N815)="","—",INDEX(PCNotes,$N815)),IF($O815&lt;&gt;"",IF(INDEX(LdgNoteB,$O815)="","—",INDEX(LdgNoteB,$O815)),""))</f>
        <v/>
      </c>
      <c r="N815">
        <f>IFERROR(MATCH($C$5&amp;"|"&amp;RIGHT("000000"&amp;799,6),LdgRankKeyA,0),"")</f>
        <v/>
      </c>
      <c r="O815">
        <f>IFERROR(MATCH($C$5&amp;"|"&amp;RIGHT("000000"&amp;799,6),LdgRankKeyB,0),"")</f>
        <v/>
      </c>
    </row>
    <row r="816">
      <c r="A816" s="23" t="n">
        <v>800</v>
      </c>
      <c r="B816" s="24">
        <f>IF(AND($N816="",$O816=""),"",IF($N816&lt;&gt;"",INDEX(PCNormDate,$N816),INDEX(LdgDateB,$O816)))</f>
        <v/>
      </c>
      <c r="C816" s="24">
        <f>IF($N816&lt;&gt;"",INDEX(PCOp,$N816),IF($O816&lt;&gt;"",IF(N(INDEX(TxnDepB,$O816))&gt;0,"دریافت بانکی","پرداخت بانکی"),""))</f>
        <v/>
      </c>
      <c r="D816" s="24">
        <f>IF($N816&lt;&gt;"",IF(INDEX(PCDoc,$N816)="","—",INDEX(PCDoc,$N816)),IF($O816&lt;&gt;"",INDEX(LdgBankB,$O816),""))</f>
        <v/>
      </c>
      <c r="E816" s="24">
        <f>IF($N816&lt;&gt;"",IF(INDEX(PCCitrus,$N816)="","—",INDEX(PCCitrus,$N816)),"")</f>
        <v/>
      </c>
      <c r="F816" s="25">
        <f>IF($N816&lt;&gt;"",IF(INDEX(PCScale,$N816)=0,"",INDEX(PCScale,$N816)),"")</f>
        <v/>
      </c>
      <c r="G816" s="25">
        <f>IF($N816&lt;&gt;"",IF(INDEX(PCBaskets,$N816)=0,"",INDEX(PCBaskets,$N816)),"")</f>
        <v/>
      </c>
      <c r="H816" s="26">
        <f>IF($N816&lt;&gt;"",IF(INDEX(PCNet,$N816)=0,"",INDEX(PCNet,$N816)),"")</f>
        <v/>
      </c>
      <c r="I816" s="25">
        <f>IF($N816&lt;&gt;"",IF(INDEX(PCOp,$N816)="مرجوعی خرید","",IF(INDEX(PCAmount,$N816)&lt;=0,"",INDEX(PCAmount,$N816))),IF($O816&lt;&gt;"",IF(INDEX(TxnDepB,$O816)=0,"",INDEX(TxnDepB,$O816)),""))</f>
        <v/>
      </c>
      <c r="J816" s="25">
        <f>IF($N816&lt;&gt;"",IF(INDEX(PCOp,$N816)="مرجوعی خرید",IF(INDEX(PCAmount,$N816)=0,"",-INDEX(PCAmount,$N816)),""),IF($O816&lt;&gt;"",IF(INDEX(TxnWitB,$O816)=0,"",INDEX(TxnWitB,$O816)),""))</f>
        <v/>
      </c>
      <c r="K816" s="27">
        <f>IF($B816="","",IF($K815="",$C$10,$K815)+IF($I816="",0,$I816)-IF($J816="",0,$J816))</f>
        <v/>
      </c>
      <c r="L816" s="28">
        <f>IF($N816&lt;&gt;"",IF(INDEX(PCNotes,$N816)="","—",INDEX(PCNotes,$N816)),IF($O816&lt;&gt;"",IF(INDEX(LdgNoteB,$O816)="","—",INDEX(LdgNoteB,$O816)),""))</f>
        <v/>
      </c>
      <c r="N816">
        <f>IFERROR(MATCH($C$5&amp;"|"&amp;RIGHT("000000"&amp;800,6),LdgRankKeyA,0),"")</f>
        <v/>
      </c>
      <c r="O816">
        <f>IFERROR(MATCH($C$5&amp;"|"&amp;RIGHT("000000"&amp;800,6),LdgRankKeyB,0),"")</f>
        <v/>
      </c>
    </row>
    <row r="817">
      <c r="A817" s="17" t="n">
        <v>801</v>
      </c>
      <c r="B817" s="18">
        <f>IF(AND($N817="",$O817=""),"",IF($N817&lt;&gt;"",INDEX(PCNormDate,$N817),INDEX(LdgDateB,$O817)))</f>
        <v/>
      </c>
      <c r="C817" s="18">
        <f>IF($N817&lt;&gt;"",INDEX(PCOp,$N817),IF($O817&lt;&gt;"",IF(N(INDEX(TxnDepB,$O817))&gt;0,"دریافت بانکی","پرداخت بانکی"),""))</f>
        <v/>
      </c>
      <c r="D817" s="18">
        <f>IF($N817&lt;&gt;"",IF(INDEX(PCDoc,$N817)="","—",INDEX(PCDoc,$N817)),IF($O817&lt;&gt;"",INDEX(LdgBankB,$O817),""))</f>
        <v/>
      </c>
      <c r="E817" s="18">
        <f>IF($N817&lt;&gt;"",IF(INDEX(PCCitrus,$N817)="","—",INDEX(PCCitrus,$N817)),"")</f>
        <v/>
      </c>
      <c r="F817" s="19">
        <f>IF($N817&lt;&gt;"",IF(INDEX(PCScale,$N817)=0,"",INDEX(PCScale,$N817)),"")</f>
        <v/>
      </c>
      <c r="G817" s="19">
        <f>IF($N817&lt;&gt;"",IF(INDEX(PCBaskets,$N817)=0,"",INDEX(PCBaskets,$N817)),"")</f>
        <v/>
      </c>
      <c r="H817" s="20">
        <f>IF($N817&lt;&gt;"",IF(INDEX(PCNet,$N817)=0,"",INDEX(PCNet,$N817)),"")</f>
        <v/>
      </c>
      <c r="I817" s="19">
        <f>IF($N817&lt;&gt;"",IF(INDEX(PCOp,$N817)="مرجوعی خرید","",IF(INDEX(PCAmount,$N817)&lt;=0,"",INDEX(PCAmount,$N817))),IF($O817&lt;&gt;"",IF(INDEX(TxnDepB,$O817)=0,"",INDEX(TxnDepB,$O817)),""))</f>
        <v/>
      </c>
      <c r="J817" s="19">
        <f>IF($N817&lt;&gt;"",IF(INDEX(PCOp,$N817)="مرجوعی خرید",IF(INDEX(PCAmount,$N817)=0,"",-INDEX(PCAmount,$N817)),""),IF($O817&lt;&gt;"",IF(INDEX(TxnWitB,$O817)=0,"",INDEX(TxnWitB,$O817)),""))</f>
        <v/>
      </c>
      <c r="K817" s="21">
        <f>IF($B817="","",IF($K816="",$C$10,$K816)+IF($I817="",0,$I817)-IF($J817="",0,$J817))</f>
        <v/>
      </c>
      <c r="L817" s="22">
        <f>IF($N817&lt;&gt;"",IF(INDEX(PCNotes,$N817)="","—",INDEX(PCNotes,$N817)),IF($O817&lt;&gt;"",IF(INDEX(LdgNoteB,$O817)="","—",INDEX(LdgNoteB,$O817)),""))</f>
        <v/>
      </c>
      <c r="N817">
        <f>IFERROR(MATCH($C$5&amp;"|"&amp;RIGHT("000000"&amp;801,6),LdgRankKeyA,0),"")</f>
        <v/>
      </c>
      <c r="O817">
        <f>IFERROR(MATCH($C$5&amp;"|"&amp;RIGHT("000000"&amp;801,6),LdgRankKeyB,0),"")</f>
        <v/>
      </c>
    </row>
    <row r="818">
      <c r="A818" s="23" t="n">
        <v>802</v>
      </c>
      <c r="B818" s="24">
        <f>IF(AND($N818="",$O818=""),"",IF($N818&lt;&gt;"",INDEX(PCNormDate,$N818),INDEX(LdgDateB,$O818)))</f>
        <v/>
      </c>
      <c r="C818" s="24">
        <f>IF($N818&lt;&gt;"",INDEX(PCOp,$N818),IF($O818&lt;&gt;"",IF(N(INDEX(TxnDepB,$O818))&gt;0,"دریافت بانکی","پرداخت بانکی"),""))</f>
        <v/>
      </c>
      <c r="D818" s="24">
        <f>IF($N818&lt;&gt;"",IF(INDEX(PCDoc,$N818)="","—",INDEX(PCDoc,$N818)),IF($O818&lt;&gt;"",INDEX(LdgBankB,$O818),""))</f>
        <v/>
      </c>
      <c r="E818" s="24">
        <f>IF($N818&lt;&gt;"",IF(INDEX(PCCitrus,$N818)="","—",INDEX(PCCitrus,$N818)),"")</f>
        <v/>
      </c>
      <c r="F818" s="25">
        <f>IF($N818&lt;&gt;"",IF(INDEX(PCScale,$N818)=0,"",INDEX(PCScale,$N818)),"")</f>
        <v/>
      </c>
      <c r="G818" s="25">
        <f>IF($N818&lt;&gt;"",IF(INDEX(PCBaskets,$N818)=0,"",INDEX(PCBaskets,$N818)),"")</f>
        <v/>
      </c>
      <c r="H818" s="26">
        <f>IF($N818&lt;&gt;"",IF(INDEX(PCNet,$N818)=0,"",INDEX(PCNet,$N818)),"")</f>
        <v/>
      </c>
      <c r="I818" s="25">
        <f>IF($N818&lt;&gt;"",IF(INDEX(PCOp,$N818)="مرجوعی خرید","",IF(INDEX(PCAmount,$N818)&lt;=0,"",INDEX(PCAmount,$N818))),IF($O818&lt;&gt;"",IF(INDEX(TxnDepB,$O818)=0,"",INDEX(TxnDepB,$O818)),""))</f>
        <v/>
      </c>
      <c r="J818" s="25">
        <f>IF($N818&lt;&gt;"",IF(INDEX(PCOp,$N818)="مرجوعی خرید",IF(INDEX(PCAmount,$N818)=0,"",-INDEX(PCAmount,$N818)),""),IF($O818&lt;&gt;"",IF(INDEX(TxnWitB,$O818)=0,"",INDEX(TxnWitB,$O818)),""))</f>
        <v/>
      </c>
      <c r="K818" s="27">
        <f>IF($B818="","",IF($K817="",$C$10,$K817)+IF($I818="",0,$I818)-IF($J818="",0,$J818))</f>
        <v/>
      </c>
      <c r="L818" s="28">
        <f>IF($N818&lt;&gt;"",IF(INDEX(PCNotes,$N818)="","—",INDEX(PCNotes,$N818)),IF($O818&lt;&gt;"",IF(INDEX(LdgNoteB,$O818)="","—",INDEX(LdgNoteB,$O818)),""))</f>
        <v/>
      </c>
      <c r="N818">
        <f>IFERROR(MATCH($C$5&amp;"|"&amp;RIGHT("000000"&amp;802,6),LdgRankKeyA,0),"")</f>
        <v/>
      </c>
      <c r="O818">
        <f>IFERROR(MATCH($C$5&amp;"|"&amp;RIGHT("000000"&amp;802,6),LdgRankKeyB,0),"")</f>
        <v/>
      </c>
    </row>
    <row r="819">
      <c r="A819" s="17" t="n">
        <v>803</v>
      </c>
      <c r="B819" s="18">
        <f>IF(AND($N819="",$O819=""),"",IF($N819&lt;&gt;"",INDEX(PCNormDate,$N819),INDEX(LdgDateB,$O819)))</f>
        <v/>
      </c>
      <c r="C819" s="18">
        <f>IF($N819&lt;&gt;"",INDEX(PCOp,$N819),IF($O819&lt;&gt;"",IF(N(INDEX(TxnDepB,$O819))&gt;0,"دریافت بانکی","پرداخت بانکی"),""))</f>
        <v/>
      </c>
      <c r="D819" s="18">
        <f>IF($N819&lt;&gt;"",IF(INDEX(PCDoc,$N819)="","—",INDEX(PCDoc,$N819)),IF($O819&lt;&gt;"",INDEX(LdgBankB,$O819),""))</f>
        <v/>
      </c>
      <c r="E819" s="18">
        <f>IF($N819&lt;&gt;"",IF(INDEX(PCCitrus,$N819)="","—",INDEX(PCCitrus,$N819)),"")</f>
        <v/>
      </c>
      <c r="F819" s="19">
        <f>IF($N819&lt;&gt;"",IF(INDEX(PCScale,$N819)=0,"",INDEX(PCScale,$N819)),"")</f>
        <v/>
      </c>
      <c r="G819" s="19">
        <f>IF($N819&lt;&gt;"",IF(INDEX(PCBaskets,$N819)=0,"",INDEX(PCBaskets,$N819)),"")</f>
        <v/>
      </c>
      <c r="H819" s="20">
        <f>IF($N819&lt;&gt;"",IF(INDEX(PCNet,$N819)=0,"",INDEX(PCNet,$N819)),"")</f>
        <v/>
      </c>
      <c r="I819" s="19">
        <f>IF($N819&lt;&gt;"",IF(INDEX(PCOp,$N819)="مرجوعی خرید","",IF(INDEX(PCAmount,$N819)&lt;=0,"",INDEX(PCAmount,$N819))),IF($O819&lt;&gt;"",IF(INDEX(TxnDepB,$O819)=0,"",INDEX(TxnDepB,$O819)),""))</f>
        <v/>
      </c>
      <c r="J819" s="19">
        <f>IF($N819&lt;&gt;"",IF(INDEX(PCOp,$N819)="مرجوعی خرید",IF(INDEX(PCAmount,$N819)=0,"",-INDEX(PCAmount,$N819)),""),IF($O819&lt;&gt;"",IF(INDEX(TxnWitB,$O819)=0,"",INDEX(TxnWitB,$O819)),""))</f>
        <v/>
      </c>
      <c r="K819" s="21">
        <f>IF($B819="","",IF($K818="",$C$10,$K818)+IF($I819="",0,$I819)-IF($J819="",0,$J819))</f>
        <v/>
      </c>
      <c r="L819" s="22">
        <f>IF($N819&lt;&gt;"",IF(INDEX(PCNotes,$N819)="","—",INDEX(PCNotes,$N819)),IF($O819&lt;&gt;"",IF(INDEX(LdgNoteB,$O819)="","—",INDEX(LdgNoteB,$O819)),""))</f>
        <v/>
      </c>
      <c r="N819">
        <f>IFERROR(MATCH($C$5&amp;"|"&amp;RIGHT("000000"&amp;803,6),LdgRankKeyA,0),"")</f>
        <v/>
      </c>
      <c r="O819">
        <f>IFERROR(MATCH($C$5&amp;"|"&amp;RIGHT("000000"&amp;803,6),LdgRankKeyB,0),"")</f>
        <v/>
      </c>
    </row>
    <row r="820">
      <c r="A820" s="23" t="n">
        <v>804</v>
      </c>
      <c r="B820" s="24">
        <f>IF(AND($N820="",$O820=""),"",IF($N820&lt;&gt;"",INDEX(PCNormDate,$N820),INDEX(LdgDateB,$O820)))</f>
        <v/>
      </c>
      <c r="C820" s="24">
        <f>IF($N820&lt;&gt;"",INDEX(PCOp,$N820),IF($O820&lt;&gt;"",IF(N(INDEX(TxnDepB,$O820))&gt;0,"دریافت بانکی","پرداخت بانکی"),""))</f>
        <v/>
      </c>
      <c r="D820" s="24">
        <f>IF($N820&lt;&gt;"",IF(INDEX(PCDoc,$N820)="","—",INDEX(PCDoc,$N820)),IF($O820&lt;&gt;"",INDEX(LdgBankB,$O820),""))</f>
        <v/>
      </c>
      <c r="E820" s="24">
        <f>IF($N820&lt;&gt;"",IF(INDEX(PCCitrus,$N820)="","—",INDEX(PCCitrus,$N820)),"")</f>
        <v/>
      </c>
      <c r="F820" s="25">
        <f>IF($N820&lt;&gt;"",IF(INDEX(PCScale,$N820)=0,"",INDEX(PCScale,$N820)),"")</f>
        <v/>
      </c>
      <c r="G820" s="25">
        <f>IF($N820&lt;&gt;"",IF(INDEX(PCBaskets,$N820)=0,"",INDEX(PCBaskets,$N820)),"")</f>
        <v/>
      </c>
      <c r="H820" s="26">
        <f>IF($N820&lt;&gt;"",IF(INDEX(PCNet,$N820)=0,"",INDEX(PCNet,$N820)),"")</f>
        <v/>
      </c>
      <c r="I820" s="25">
        <f>IF($N820&lt;&gt;"",IF(INDEX(PCOp,$N820)="مرجوعی خرید","",IF(INDEX(PCAmount,$N820)&lt;=0,"",INDEX(PCAmount,$N820))),IF($O820&lt;&gt;"",IF(INDEX(TxnDepB,$O820)=0,"",INDEX(TxnDepB,$O820)),""))</f>
        <v/>
      </c>
      <c r="J820" s="25">
        <f>IF($N820&lt;&gt;"",IF(INDEX(PCOp,$N820)="مرجوعی خرید",IF(INDEX(PCAmount,$N820)=0,"",-INDEX(PCAmount,$N820)),""),IF($O820&lt;&gt;"",IF(INDEX(TxnWitB,$O820)=0,"",INDEX(TxnWitB,$O820)),""))</f>
        <v/>
      </c>
      <c r="K820" s="27">
        <f>IF($B820="","",IF($K819="",$C$10,$K819)+IF($I820="",0,$I820)-IF($J820="",0,$J820))</f>
        <v/>
      </c>
      <c r="L820" s="28">
        <f>IF($N820&lt;&gt;"",IF(INDEX(PCNotes,$N820)="","—",INDEX(PCNotes,$N820)),IF($O820&lt;&gt;"",IF(INDEX(LdgNoteB,$O820)="","—",INDEX(LdgNoteB,$O820)),""))</f>
        <v/>
      </c>
      <c r="N820">
        <f>IFERROR(MATCH($C$5&amp;"|"&amp;RIGHT("000000"&amp;804,6),LdgRankKeyA,0),"")</f>
        <v/>
      </c>
      <c r="O820">
        <f>IFERROR(MATCH($C$5&amp;"|"&amp;RIGHT("000000"&amp;804,6),LdgRankKeyB,0),"")</f>
        <v/>
      </c>
    </row>
    <row r="821">
      <c r="A821" s="17" t="n">
        <v>805</v>
      </c>
      <c r="B821" s="18">
        <f>IF(AND($N821="",$O821=""),"",IF($N821&lt;&gt;"",INDEX(PCNormDate,$N821),INDEX(LdgDateB,$O821)))</f>
        <v/>
      </c>
      <c r="C821" s="18">
        <f>IF($N821&lt;&gt;"",INDEX(PCOp,$N821),IF($O821&lt;&gt;"",IF(N(INDEX(TxnDepB,$O821))&gt;0,"دریافت بانکی","پرداخت بانکی"),""))</f>
        <v/>
      </c>
      <c r="D821" s="18">
        <f>IF($N821&lt;&gt;"",IF(INDEX(PCDoc,$N821)="","—",INDEX(PCDoc,$N821)),IF($O821&lt;&gt;"",INDEX(LdgBankB,$O821),""))</f>
        <v/>
      </c>
      <c r="E821" s="18">
        <f>IF($N821&lt;&gt;"",IF(INDEX(PCCitrus,$N821)="","—",INDEX(PCCitrus,$N821)),"")</f>
        <v/>
      </c>
      <c r="F821" s="19">
        <f>IF($N821&lt;&gt;"",IF(INDEX(PCScale,$N821)=0,"",INDEX(PCScale,$N821)),"")</f>
        <v/>
      </c>
      <c r="G821" s="19">
        <f>IF($N821&lt;&gt;"",IF(INDEX(PCBaskets,$N821)=0,"",INDEX(PCBaskets,$N821)),"")</f>
        <v/>
      </c>
      <c r="H821" s="20">
        <f>IF($N821&lt;&gt;"",IF(INDEX(PCNet,$N821)=0,"",INDEX(PCNet,$N821)),"")</f>
        <v/>
      </c>
      <c r="I821" s="19">
        <f>IF($N821&lt;&gt;"",IF(INDEX(PCOp,$N821)="مرجوعی خرید","",IF(INDEX(PCAmount,$N821)&lt;=0,"",INDEX(PCAmount,$N821))),IF($O821&lt;&gt;"",IF(INDEX(TxnDepB,$O821)=0,"",INDEX(TxnDepB,$O821)),""))</f>
        <v/>
      </c>
      <c r="J821" s="19">
        <f>IF($N821&lt;&gt;"",IF(INDEX(PCOp,$N821)="مرجوعی خرید",IF(INDEX(PCAmount,$N821)=0,"",-INDEX(PCAmount,$N821)),""),IF($O821&lt;&gt;"",IF(INDEX(TxnWitB,$O821)=0,"",INDEX(TxnWitB,$O821)),""))</f>
        <v/>
      </c>
      <c r="K821" s="21">
        <f>IF($B821="","",IF($K820="",$C$10,$K820)+IF($I821="",0,$I821)-IF($J821="",0,$J821))</f>
        <v/>
      </c>
      <c r="L821" s="22">
        <f>IF($N821&lt;&gt;"",IF(INDEX(PCNotes,$N821)="","—",INDEX(PCNotes,$N821)),IF($O821&lt;&gt;"",IF(INDEX(LdgNoteB,$O821)="","—",INDEX(LdgNoteB,$O821)),""))</f>
        <v/>
      </c>
      <c r="N821">
        <f>IFERROR(MATCH($C$5&amp;"|"&amp;RIGHT("000000"&amp;805,6),LdgRankKeyA,0),"")</f>
        <v/>
      </c>
      <c r="O821">
        <f>IFERROR(MATCH($C$5&amp;"|"&amp;RIGHT("000000"&amp;805,6),LdgRankKeyB,0),"")</f>
        <v/>
      </c>
    </row>
    <row r="822">
      <c r="A822" s="23" t="n">
        <v>806</v>
      </c>
      <c r="B822" s="24">
        <f>IF(AND($N822="",$O822=""),"",IF($N822&lt;&gt;"",INDEX(PCNormDate,$N822),INDEX(LdgDateB,$O822)))</f>
        <v/>
      </c>
      <c r="C822" s="24">
        <f>IF($N822&lt;&gt;"",INDEX(PCOp,$N822),IF($O822&lt;&gt;"",IF(N(INDEX(TxnDepB,$O822))&gt;0,"دریافت بانکی","پرداخت بانکی"),""))</f>
        <v/>
      </c>
      <c r="D822" s="24">
        <f>IF($N822&lt;&gt;"",IF(INDEX(PCDoc,$N822)="","—",INDEX(PCDoc,$N822)),IF($O822&lt;&gt;"",INDEX(LdgBankB,$O822),""))</f>
        <v/>
      </c>
      <c r="E822" s="24">
        <f>IF($N822&lt;&gt;"",IF(INDEX(PCCitrus,$N822)="","—",INDEX(PCCitrus,$N822)),"")</f>
        <v/>
      </c>
      <c r="F822" s="25">
        <f>IF($N822&lt;&gt;"",IF(INDEX(PCScale,$N822)=0,"",INDEX(PCScale,$N822)),"")</f>
        <v/>
      </c>
      <c r="G822" s="25">
        <f>IF($N822&lt;&gt;"",IF(INDEX(PCBaskets,$N822)=0,"",INDEX(PCBaskets,$N822)),"")</f>
        <v/>
      </c>
      <c r="H822" s="26">
        <f>IF($N822&lt;&gt;"",IF(INDEX(PCNet,$N822)=0,"",INDEX(PCNet,$N822)),"")</f>
        <v/>
      </c>
      <c r="I822" s="25">
        <f>IF($N822&lt;&gt;"",IF(INDEX(PCOp,$N822)="مرجوعی خرید","",IF(INDEX(PCAmount,$N822)&lt;=0,"",INDEX(PCAmount,$N822))),IF($O822&lt;&gt;"",IF(INDEX(TxnDepB,$O822)=0,"",INDEX(TxnDepB,$O822)),""))</f>
        <v/>
      </c>
      <c r="J822" s="25">
        <f>IF($N822&lt;&gt;"",IF(INDEX(PCOp,$N822)="مرجوعی خرید",IF(INDEX(PCAmount,$N822)=0,"",-INDEX(PCAmount,$N822)),""),IF($O822&lt;&gt;"",IF(INDEX(TxnWitB,$O822)=0,"",INDEX(TxnWitB,$O822)),""))</f>
        <v/>
      </c>
      <c r="K822" s="27">
        <f>IF($B822="","",IF($K821="",$C$10,$K821)+IF($I822="",0,$I822)-IF($J822="",0,$J822))</f>
        <v/>
      </c>
      <c r="L822" s="28">
        <f>IF($N822&lt;&gt;"",IF(INDEX(PCNotes,$N822)="","—",INDEX(PCNotes,$N822)),IF($O822&lt;&gt;"",IF(INDEX(LdgNoteB,$O822)="","—",INDEX(LdgNoteB,$O822)),""))</f>
        <v/>
      </c>
      <c r="N822">
        <f>IFERROR(MATCH($C$5&amp;"|"&amp;RIGHT("000000"&amp;806,6),LdgRankKeyA,0),"")</f>
        <v/>
      </c>
      <c r="O822">
        <f>IFERROR(MATCH($C$5&amp;"|"&amp;RIGHT("000000"&amp;806,6),LdgRankKeyB,0),"")</f>
        <v/>
      </c>
    </row>
    <row r="823">
      <c r="A823" s="17" t="n">
        <v>807</v>
      </c>
      <c r="B823" s="18">
        <f>IF(AND($N823="",$O823=""),"",IF($N823&lt;&gt;"",INDEX(PCNormDate,$N823),INDEX(LdgDateB,$O823)))</f>
        <v/>
      </c>
      <c r="C823" s="18">
        <f>IF($N823&lt;&gt;"",INDEX(PCOp,$N823),IF($O823&lt;&gt;"",IF(N(INDEX(TxnDepB,$O823))&gt;0,"دریافت بانکی","پرداخت بانکی"),""))</f>
        <v/>
      </c>
      <c r="D823" s="18">
        <f>IF($N823&lt;&gt;"",IF(INDEX(PCDoc,$N823)="","—",INDEX(PCDoc,$N823)),IF($O823&lt;&gt;"",INDEX(LdgBankB,$O823),""))</f>
        <v/>
      </c>
      <c r="E823" s="18">
        <f>IF($N823&lt;&gt;"",IF(INDEX(PCCitrus,$N823)="","—",INDEX(PCCitrus,$N823)),"")</f>
        <v/>
      </c>
      <c r="F823" s="19">
        <f>IF($N823&lt;&gt;"",IF(INDEX(PCScale,$N823)=0,"",INDEX(PCScale,$N823)),"")</f>
        <v/>
      </c>
      <c r="G823" s="19">
        <f>IF($N823&lt;&gt;"",IF(INDEX(PCBaskets,$N823)=0,"",INDEX(PCBaskets,$N823)),"")</f>
        <v/>
      </c>
      <c r="H823" s="20">
        <f>IF($N823&lt;&gt;"",IF(INDEX(PCNet,$N823)=0,"",INDEX(PCNet,$N823)),"")</f>
        <v/>
      </c>
      <c r="I823" s="19">
        <f>IF($N823&lt;&gt;"",IF(INDEX(PCOp,$N823)="مرجوعی خرید","",IF(INDEX(PCAmount,$N823)&lt;=0,"",INDEX(PCAmount,$N823))),IF($O823&lt;&gt;"",IF(INDEX(TxnDepB,$O823)=0,"",INDEX(TxnDepB,$O823)),""))</f>
        <v/>
      </c>
      <c r="J823" s="19">
        <f>IF($N823&lt;&gt;"",IF(INDEX(PCOp,$N823)="مرجوعی خرید",IF(INDEX(PCAmount,$N823)=0,"",-INDEX(PCAmount,$N823)),""),IF($O823&lt;&gt;"",IF(INDEX(TxnWitB,$O823)=0,"",INDEX(TxnWitB,$O823)),""))</f>
        <v/>
      </c>
      <c r="K823" s="21">
        <f>IF($B823="","",IF($K822="",$C$10,$K822)+IF($I823="",0,$I823)-IF($J823="",0,$J823))</f>
        <v/>
      </c>
      <c r="L823" s="22">
        <f>IF($N823&lt;&gt;"",IF(INDEX(PCNotes,$N823)="","—",INDEX(PCNotes,$N823)),IF($O823&lt;&gt;"",IF(INDEX(LdgNoteB,$O823)="","—",INDEX(LdgNoteB,$O823)),""))</f>
        <v/>
      </c>
      <c r="N823">
        <f>IFERROR(MATCH($C$5&amp;"|"&amp;RIGHT("000000"&amp;807,6),LdgRankKeyA,0),"")</f>
        <v/>
      </c>
      <c r="O823">
        <f>IFERROR(MATCH($C$5&amp;"|"&amp;RIGHT("000000"&amp;807,6),LdgRankKeyB,0),"")</f>
        <v/>
      </c>
    </row>
    <row r="824">
      <c r="A824" s="23" t="n">
        <v>808</v>
      </c>
      <c r="B824" s="24">
        <f>IF(AND($N824="",$O824=""),"",IF($N824&lt;&gt;"",INDEX(PCNormDate,$N824),INDEX(LdgDateB,$O824)))</f>
        <v/>
      </c>
      <c r="C824" s="24">
        <f>IF($N824&lt;&gt;"",INDEX(PCOp,$N824),IF($O824&lt;&gt;"",IF(N(INDEX(TxnDepB,$O824))&gt;0,"دریافت بانکی","پرداخت بانکی"),""))</f>
        <v/>
      </c>
      <c r="D824" s="24">
        <f>IF($N824&lt;&gt;"",IF(INDEX(PCDoc,$N824)="","—",INDEX(PCDoc,$N824)),IF($O824&lt;&gt;"",INDEX(LdgBankB,$O824),""))</f>
        <v/>
      </c>
      <c r="E824" s="24">
        <f>IF($N824&lt;&gt;"",IF(INDEX(PCCitrus,$N824)="","—",INDEX(PCCitrus,$N824)),"")</f>
        <v/>
      </c>
      <c r="F824" s="25">
        <f>IF($N824&lt;&gt;"",IF(INDEX(PCScale,$N824)=0,"",INDEX(PCScale,$N824)),"")</f>
        <v/>
      </c>
      <c r="G824" s="25">
        <f>IF($N824&lt;&gt;"",IF(INDEX(PCBaskets,$N824)=0,"",INDEX(PCBaskets,$N824)),"")</f>
        <v/>
      </c>
      <c r="H824" s="26">
        <f>IF($N824&lt;&gt;"",IF(INDEX(PCNet,$N824)=0,"",INDEX(PCNet,$N824)),"")</f>
        <v/>
      </c>
      <c r="I824" s="25">
        <f>IF($N824&lt;&gt;"",IF(INDEX(PCOp,$N824)="مرجوعی خرید","",IF(INDEX(PCAmount,$N824)&lt;=0,"",INDEX(PCAmount,$N824))),IF($O824&lt;&gt;"",IF(INDEX(TxnDepB,$O824)=0,"",INDEX(TxnDepB,$O824)),""))</f>
        <v/>
      </c>
      <c r="J824" s="25">
        <f>IF($N824&lt;&gt;"",IF(INDEX(PCOp,$N824)="مرجوعی خرید",IF(INDEX(PCAmount,$N824)=0,"",-INDEX(PCAmount,$N824)),""),IF($O824&lt;&gt;"",IF(INDEX(TxnWitB,$O824)=0,"",INDEX(TxnWitB,$O824)),""))</f>
        <v/>
      </c>
      <c r="K824" s="27">
        <f>IF($B824="","",IF($K823="",$C$10,$K823)+IF($I824="",0,$I824)-IF($J824="",0,$J824))</f>
        <v/>
      </c>
      <c r="L824" s="28">
        <f>IF($N824&lt;&gt;"",IF(INDEX(PCNotes,$N824)="","—",INDEX(PCNotes,$N824)),IF($O824&lt;&gt;"",IF(INDEX(LdgNoteB,$O824)="","—",INDEX(LdgNoteB,$O824)),""))</f>
        <v/>
      </c>
      <c r="N824">
        <f>IFERROR(MATCH($C$5&amp;"|"&amp;RIGHT("000000"&amp;808,6),LdgRankKeyA,0),"")</f>
        <v/>
      </c>
      <c r="O824">
        <f>IFERROR(MATCH($C$5&amp;"|"&amp;RIGHT("000000"&amp;808,6),LdgRankKeyB,0),"")</f>
        <v/>
      </c>
    </row>
    <row r="825">
      <c r="A825" s="17" t="n">
        <v>809</v>
      </c>
      <c r="B825" s="18">
        <f>IF(AND($N825="",$O825=""),"",IF($N825&lt;&gt;"",INDEX(PCNormDate,$N825),INDEX(LdgDateB,$O825)))</f>
        <v/>
      </c>
      <c r="C825" s="18">
        <f>IF($N825&lt;&gt;"",INDEX(PCOp,$N825),IF($O825&lt;&gt;"",IF(N(INDEX(TxnDepB,$O825))&gt;0,"دریافت بانکی","پرداخت بانکی"),""))</f>
        <v/>
      </c>
      <c r="D825" s="18">
        <f>IF($N825&lt;&gt;"",IF(INDEX(PCDoc,$N825)="","—",INDEX(PCDoc,$N825)),IF($O825&lt;&gt;"",INDEX(LdgBankB,$O825),""))</f>
        <v/>
      </c>
      <c r="E825" s="18">
        <f>IF($N825&lt;&gt;"",IF(INDEX(PCCitrus,$N825)="","—",INDEX(PCCitrus,$N825)),"")</f>
        <v/>
      </c>
      <c r="F825" s="19">
        <f>IF($N825&lt;&gt;"",IF(INDEX(PCScale,$N825)=0,"",INDEX(PCScale,$N825)),"")</f>
        <v/>
      </c>
      <c r="G825" s="19">
        <f>IF($N825&lt;&gt;"",IF(INDEX(PCBaskets,$N825)=0,"",INDEX(PCBaskets,$N825)),"")</f>
        <v/>
      </c>
      <c r="H825" s="20">
        <f>IF($N825&lt;&gt;"",IF(INDEX(PCNet,$N825)=0,"",INDEX(PCNet,$N825)),"")</f>
        <v/>
      </c>
      <c r="I825" s="19">
        <f>IF($N825&lt;&gt;"",IF(INDEX(PCOp,$N825)="مرجوعی خرید","",IF(INDEX(PCAmount,$N825)&lt;=0,"",INDEX(PCAmount,$N825))),IF($O825&lt;&gt;"",IF(INDEX(TxnDepB,$O825)=0,"",INDEX(TxnDepB,$O825)),""))</f>
        <v/>
      </c>
      <c r="J825" s="19">
        <f>IF($N825&lt;&gt;"",IF(INDEX(PCOp,$N825)="مرجوعی خرید",IF(INDEX(PCAmount,$N825)=0,"",-INDEX(PCAmount,$N825)),""),IF($O825&lt;&gt;"",IF(INDEX(TxnWitB,$O825)=0,"",INDEX(TxnWitB,$O825)),""))</f>
        <v/>
      </c>
      <c r="K825" s="21">
        <f>IF($B825="","",IF($K824="",$C$10,$K824)+IF($I825="",0,$I825)-IF($J825="",0,$J825))</f>
        <v/>
      </c>
      <c r="L825" s="22">
        <f>IF($N825&lt;&gt;"",IF(INDEX(PCNotes,$N825)="","—",INDEX(PCNotes,$N825)),IF($O825&lt;&gt;"",IF(INDEX(LdgNoteB,$O825)="","—",INDEX(LdgNoteB,$O825)),""))</f>
        <v/>
      </c>
      <c r="N825">
        <f>IFERROR(MATCH($C$5&amp;"|"&amp;RIGHT("000000"&amp;809,6),LdgRankKeyA,0),"")</f>
        <v/>
      </c>
      <c r="O825">
        <f>IFERROR(MATCH($C$5&amp;"|"&amp;RIGHT("000000"&amp;809,6),LdgRankKeyB,0),"")</f>
        <v/>
      </c>
    </row>
    <row r="826">
      <c r="A826" s="23" t="n">
        <v>810</v>
      </c>
      <c r="B826" s="24">
        <f>IF(AND($N826="",$O826=""),"",IF($N826&lt;&gt;"",INDEX(PCNormDate,$N826),INDEX(LdgDateB,$O826)))</f>
        <v/>
      </c>
      <c r="C826" s="24">
        <f>IF($N826&lt;&gt;"",INDEX(PCOp,$N826),IF($O826&lt;&gt;"",IF(N(INDEX(TxnDepB,$O826))&gt;0,"دریافت بانکی","پرداخت بانکی"),""))</f>
        <v/>
      </c>
      <c r="D826" s="24">
        <f>IF($N826&lt;&gt;"",IF(INDEX(PCDoc,$N826)="","—",INDEX(PCDoc,$N826)),IF($O826&lt;&gt;"",INDEX(LdgBankB,$O826),""))</f>
        <v/>
      </c>
      <c r="E826" s="24">
        <f>IF($N826&lt;&gt;"",IF(INDEX(PCCitrus,$N826)="","—",INDEX(PCCitrus,$N826)),"")</f>
        <v/>
      </c>
      <c r="F826" s="25">
        <f>IF($N826&lt;&gt;"",IF(INDEX(PCScale,$N826)=0,"",INDEX(PCScale,$N826)),"")</f>
        <v/>
      </c>
      <c r="G826" s="25">
        <f>IF($N826&lt;&gt;"",IF(INDEX(PCBaskets,$N826)=0,"",INDEX(PCBaskets,$N826)),"")</f>
        <v/>
      </c>
      <c r="H826" s="26">
        <f>IF($N826&lt;&gt;"",IF(INDEX(PCNet,$N826)=0,"",INDEX(PCNet,$N826)),"")</f>
        <v/>
      </c>
      <c r="I826" s="25">
        <f>IF($N826&lt;&gt;"",IF(INDEX(PCOp,$N826)="مرجوعی خرید","",IF(INDEX(PCAmount,$N826)&lt;=0,"",INDEX(PCAmount,$N826))),IF($O826&lt;&gt;"",IF(INDEX(TxnDepB,$O826)=0,"",INDEX(TxnDepB,$O826)),""))</f>
        <v/>
      </c>
      <c r="J826" s="25">
        <f>IF($N826&lt;&gt;"",IF(INDEX(PCOp,$N826)="مرجوعی خرید",IF(INDEX(PCAmount,$N826)=0,"",-INDEX(PCAmount,$N826)),""),IF($O826&lt;&gt;"",IF(INDEX(TxnWitB,$O826)=0,"",INDEX(TxnWitB,$O826)),""))</f>
        <v/>
      </c>
      <c r="K826" s="27">
        <f>IF($B826="","",IF($K825="",$C$10,$K825)+IF($I826="",0,$I826)-IF($J826="",0,$J826))</f>
        <v/>
      </c>
      <c r="L826" s="28">
        <f>IF($N826&lt;&gt;"",IF(INDEX(PCNotes,$N826)="","—",INDEX(PCNotes,$N826)),IF($O826&lt;&gt;"",IF(INDEX(LdgNoteB,$O826)="","—",INDEX(LdgNoteB,$O826)),""))</f>
        <v/>
      </c>
      <c r="N826">
        <f>IFERROR(MATCH($C$5&amp;"|"&amp;RIGHT("000000"&amp;810,6),LdgRankKeyA,0),"")</f>
        <v/>
      </c>
      <c r="O826">
        <f>IFERROR(MATCH($C$5&amp;"|"&amp;RIGHT("000000"&amp;810,6),LdgRankKeyB,0),"")</f>
        <v/>
      </c>
    </row>
    <row r="827">
      <c r="A827" s="17" t="n">
        <v>811</v>
      </c>
      <c r="B827" s="18">
        <f>IF(AND($N827="",$O827=""),"",IF($N827&lt;&gt;"",INDEX(PCNormDate,$N827),INDEX(LdgDateB,$O827)))</f>
        <v/>
      </c>
      <c r="C827" s="18">
        <f>IF($N827&lt;&gt;"",INDEX(PCOp,$N827),IF($O827&lt;&gt;"",IF(N(INDEX(TxnDepB,$O827))&gt;0,"دریافت بانکی","پرداخت بانکی"),""))</f>
        <v/>
      </c>
      <c r="D827" s="18">
        <f>IF($N827&lt;&gt;"",IF(INDEX(PCDoc,$N827)="","—",INDEX(PCDoc,$N827)),IF($O827&lt;&gt;"",INDEX(LdgBankB,$O827),""))</f>
        <v/>
      </c>
      <c r="E827" s="18">
        <f>IF($N827&lt;&gt;"",IF(INDEX(PCCitrus,$N827)="","—",INDEX(PCCitrus,$N827)),"")</f>
        <v/>
      </c>
      <c r="F827" s="19">
        <f>IF($N827&lt;&gt;"",IF(INDEX(PCScale,$N827)=0,"",INDEX(PCScale,$N827)),"")</f>
        <v/>
      </c>
      <c r="G827" s="19">
        <f>IF($N827&lt;&gt;"",IF(INDEX(PCBaskets,$N827)=0,"",INDEX(PCBaskets,$N827)),"")</f>
        <v/>
      </c>
      <c r="H827" s="20">
        <f>IF($N827&lt;&gt;"",IF(INDEX(PCNet,$N827)=0,"",INDEX(PCNet,$N827)),"")</f>
        <v/>
      </c>
      <c r="I827" s="19">
        <f>IF($N827&lt;&gt;"",IF(INDEX(PCOp,$N827)="مرجوعی خرید","",IF(INDEX(PCAmount,$N827)&lt;=0,"",INDEX(PCAmount,$N827))),IF($O827&lt;&gt;"",IF(INDEX(TxnDepB,$O827)=0,"",INDEX(TxnDepB,$O827)),""))</f>
        <v/>
      </c>
      <c r="J827" s="19">
        <f>IF($N827&lt;&gt;"",IF(INDEX(PCOp,$N827)="مرجوعی خرید",IF(INDEX(PCAmount,$N827)=0,"",-INDEX(PCAmount,$N827)),""),IF($O827&lt;&gt;"",IF(INDEX(TxnWitB,$O827)=0,"",INDEX(TxnWitB,$O827)),""))</f>
        <v/>
      </c>
      <c r="K827" s="21">
        <f>IF($B827="","",IF($K826="",$C$10,$K826)+IF($I827="",0,$I827)-IF($J827="",0,$J827))</f>
        <v/>
      </c>
      <c r="L827" s="22">
        <f>IF($N827&lt;&gt;"",IF(INDEX(PCNotes,$N827)="","—",INDEX(PCNotes,$N827)),IF($O827&lt;&gt;"",IF(INDEX(LdgNoteB,$O827)="","—",INDEX(LdgNoteB,$O827)),""))</f>
        <v/>
      </c>
      <c r="N827">
        <f>IFERROR(MATCH($C$5&amp;"|"&amp;RIGHT("000000"&amp;811,6),LdgRankKeyA,0),"")</f>
        <v/>
      </c>
      <c r="O827">
        <f>IFERROR(MATCH($C$5&amp;"|"&amp;RIGHT("000000"&amp;811,6),LdgRankKeyB,0),"")</f>
        <v/>
      </c>
    </row>
    <row r="828">
      <c r="A828" s="23" t="n">
        <v>812</v>
      </c>
      <c r="B828" s="24">
        <f>IF(AND($N828="",$O828=""),"",IF($N828&lt;&gt;"",INDEX(PCNormDate,$N828),INDEX(LdgDateB,$O828)))</f>
        <v/>
      </c>
      <c r="C828" s="24">
        <f>IF($N828&lt;&gt;"",INDEX(PCOp,$N828),IF($O828&lt;&gt;"",IF(N(INDEX(TxnDepB,$O828))&gt;0,"دریافت بانکی","پرداخت بانکی"),""))</f>
        <v/>
      </c>
      <c r="D828" s="24">
        <f>IF($N828&lt;&gt;"",IF(INDEX(PCDoc,$N828)="","—",INDEX(PCDoc,$N828)),IF($O828&lt;&gt;"",INDEX(LdgBankB,$O828),""))</f>
        <v/>
      </c>
      <c r="E828" s="24">
        <f>IF($N828&lt;&gt;"",IF(INDEX(PCCitrus,$N828)="","—",INDEX(PCCitrus,$N828)),"")</f>
        <v/>
      </c>
      <c r="F828" s="25">
        <f>IF($N828&lt;&gt;"",IF(INDEX(PCScale,$N828)=0,"",INDEX(PCScale,$N828)),"")</f>
        <v/>
      </c>
      <c r="G828" s="25">
        <f>IF($N828&lt;&gt;"",IF(INDEX(PCBaskets,$N828)=0,"",INDEX(PCBaskets,$N828)),"")</f>
        <v/>
      </c>
      <c r="H828" s="26">
        <f>IF($N828&lt;&gt;"",IF(INDEX(PCNet,$N828)=0,"",INDEX(PCNet,$N828)),"")</f>
        <v/>
      </c>
      <c r="I828" s="25">
        <f>IF($N828&lt;&gt;"",IF(INDEX(PCOp,$N828)="مرجوعی خرید","",IF(INDEX(PCAmount,$N828)&lt;=0,"",INDEX(PCAmount,$N828))),IF($O828&lt;&gt;"",IF(INDEX(TxnDepB,$O828)=0,"",INDEX(TxnDepB,$O828)),""))</f>
        <v/>
      </c>
      <c r="J828" s="25">
        <f>IF($N828&lt;&gt;"",IF(INDEX(PCOp,$N828)="مرجوعی خرید",IF(INDEX(PCAmount,$N828)=0,"",-INDEX(PCAmount,$N828)),""),IF($O828&lt;&gt;"",IF(INDEX(TxnWitB,$O828)=0,"",INDEX(TxnWitB,$O828)),""))</f>
        <v/>
      </c>
      <c r="K828" s="27">
        <f>IF($B828="","",IF($K827="",$C$10,$K827)+IF($I828="",0,$I828)-IF($J828="",0,$J828))</f>
        <v/>
      </c>
      <c r="L828" s="28">
        <f>IF($N828&lt;&gt;"",IF(INDEX(PCNotes,$N828)="","—",INDEX(PCNotes,$N828)),IF($O828&lt;&gt;"",IF(INDEX(LdgNoteB,$O828)="","—",INDEX(LdgNoteB,$O828)),""))</f>
        <v/>
      </c>
      <c r="N828">
        <f>IFERROR(MATCH($C$5&amp;"|"&amp;RIGHT("000000"&amp;812,6),LdgRankKeyA,0),"")</f>
        <v/>
      </c>
      <c r="O828">
        <f>IFERROR(MATCH($C$5&amp;"|"&amp;RIGHT("000000"&amp;812,6),LdgRankKeyB,0),"")</f>
        <v/>
      </c>
    </row>
    <row r="829">
      <c r="A829" s="17" t="n">
        <v>813</v>
      </c>
      <c r="B829" s="18">
        <f>IF(AND($N829="",$O829=""),"",IF($N829&lt;&gt;"",INDEX(PCNormDate,$N829),INDEX(LdgDateB,$O829)))</f>
        <v/>
      </c>
      <c r="C829" s="18">
        <f>IF($N829&lt;&gt;"",INDEX(PCOp,$N829),IF($O829&lt;&gt;"",IF(N(INDEX(TxnDepB,$O829))&gt;0,"دریافت بانکی","پرداخت بانکی"),""))</f>
        <v/>
      </c>
      <c r="D829" s="18">
        <f>IF($N829&lt;&gt;"",IF(INDEX(PCDoc,$N829)="","—",INDEX(PCDoc,$N829)),IF($O829&lt;&gt;"",INDEX(LdgBankB,$O829),""))</f>
        <v/>
      </c>
      <c r="E829" s="18">
        <f>IF($N829&lt;&gt;"",IF(INDEX(PCCitrus,$N829)="","—",INDEX(PCCitrus,$N829)),"")</f>
        <v/>
      </c>
      <c r="F829" s="19">
        <f>IF($N829&lt;&gt;"",IF(INDEX(PCScale,$N829)=0,"",INDEX(PCScale,$N829)),"")</f>
        <v/>
      </c>
      <c r="G829" s="19">
        <f>IF($N829&lt;&gt;"",IF(INDEX(PCBaskets,$N829)=0,"",INDEX(PCBaskets,$N829)),"")</f>
        <v/>
      </c>
      <c r="H829" s="20">
        <f>IF($N829&lt;&gt;"",IF(INDEX(PCNet,$N829)=0,"",INDEX(PCNet,$N829)),"")</f>
        <v/>
      </c>
      <c r="I829" s="19">
        <f>IF($N829&lt;&gt;"",IF(INDEX(PCOp,$N829)="مرجوعی خرید","",IF(INDEX(PCAmount,$N829)&lt;=0,"",INDEX(PCAmount,$N829))),IF($O829&lt;&gt;"",IF(INDEX(TxnDepB,$O829)=0,"",INDEX(TxnDepB,$O829)),""))</f>
        <v/>
      </c>
      <c r="J829" s="19">
        <f>IF($N829&lt;&gt;"",IF(INDEX(PCOp,$N829)="مرجوعی خرید",IF(INDEX(PCAmount,$N829)=0,"",-INDEX(PCAmount,$N829)),""),IF($O829&lt;&gt;"",IF(INDEX(TxnWitB,$O829)=0,"",INDEX(TxnWitB,$O829)),""))</f>
        <v/>
      </c>
      <c r="K829" s="21">
        <f>IF($B829="","",IF($K828="",$C$10,$K828)+IF($I829="",0,$I829)-IF($J829="",0,$J829))</f>
        <v/>
      </c>
      <c r="L829" s="22">
        <f>IF($N829&lt;&gt;"",IF(INDEX(PCNotes,$N829)="","—",INDEX(PCNotes,$N829)),IF($O829&lt;&gt;"",IF(INDEX(LdgNoteB,$O829)="","—",INDEX(LdgNoteB,$O829)),""))</f>
        <v/>
      </c>
      <c r="N829">
        <f>IFERROR(MATCH($C$5&amp;"|"&amp;RIGHT("000000"&amp;813,6),LdgRankKeyA,0),"")</f>
        <v/>
      </c>
      <c r="O829">
        <f>IFERROR(MATCH($C$5&amp;"|"&amp;RIGHT("000000"&amp;813,6),LdgRankKeyB,0),"")</f>
        <v/>
      </c>
    </row>
    <row r="830">
      <c r="A830" s="23" t="n">
        <v>814</v>
      </c>
      <c r="B830" s="24">
        <f>IF(AND($N830="",$O830=""),"",IF($N830&lt;&gt;"",INDEX(PCNormDate,$N830),INDEX(LdgDateB,$O830)))</f>
        <v/>
      </c>
      <c r="C830" s="24">
        <f>IF($N830&lt;&gt;"",INDEX(PCOp,$N830),IF($O830&lt;&gt;"",IF(N(INDEX(TxnDepB,$O830))&gt;0,"دریافت بانکی","پرداخت بانکی"),""))</f>
        <v/>
      </c>
      <c r="D830" s="24">
        <f>IF($N830&lt;&gt;"",IF(INDEX(PCDoc,$N830)="","—",INDEX(PCDoc,$N830)),IF($O830&lt;&gt;"",INDEX(LdgBankB,$O830),""))</f>
        <v/>
      </c>
      <c r="E830" s="24">
        <f>IF($N830&lt;&gt;"",IF(INDEX(PCCitrus,$N830)="","—",INDEX(PCCitrus,$N830)),"")</f>
        <v/>
      </c>
      <c r="F830" s="25">
        <f>IF($N830&lt;&gt;"",IF(INDEX(PCScale,$N830)=0,"",INDEX(PCScale,$N830)),"")</f>
        <v/>
      </c>
      <c r="G830" s="25">
        <f>IF($N830&lt;&gt;"",IF(INDEX(PCBaskets,$N830)=0,"",INDEX(PCBaskets,$N830)),"")</f>
        <v/>
      </c>
      <c r="H830" s="26">
        <f>IF($N830&lt;&gt;"",IF(INDEX(PCNet,$N830)=0,"",INDEX(PCNet,$N830)),"")</f>
        <v/>
      </c>
      <c r="I830" s="25">
        <f>IF($N830&lt;&gt;"",IF(INDEX(PCOp,$N830)="مرجوعی خرید","",IF(INDEX(PCAmount,$N830)&lt;=0,"",INDEX(PCAmount,$N830))),IF($O830&lt;&gt;"",IF(INDEX(TxnDepB,$O830)=0,"",INDEX(TxnDepB,$O830)),""))</f>
        <v/>
      </c>
      <c r="J830" s="25">
        <f>IF($N830&lt;&gt;"",IF(INDEX(PCOp,$N830)="مرجوعی خرید",IF(INDEX(PCAmount,$N830)=0,"",-INDEX(PCAmount,$N830)),""),IF($O830&lt;&gt;"",IF(INDEX(TxnWitB,$O830)=0,"",INDEX(TxnWitB,$O830)),""))</f>
        <v/>
      </c>
      <c r="K830" s="27">
        <f>IF($B830="","",IF($K829="",$C$10,$K829)+IF($I830="",0,$I830)-IF($J830="",0,$J830))</f>
        <v/>
      </c>
      <c r="L830" s="28">
        <f>IF($N830&lt;&gt;"",IF(INDEX(PCNotes,$N830)="","—",INDEX(PCNotes,$N830)),IF($O830&lt;&gt;"",IF(INDEX(LdgNoteB,$O830)="","—",INDEX(LdgNoteB,$O830)),""))</f>
        <v/>
      </c>
      <c r="N830">
        <f>IFERROR(MATCH($C$5&amp;"|"&amp;RIGHT("000000"&amp;814,6),LdgRankKeyA,0),"")</f>
        <v/>
      </c>
      <c r="O830">
        <f>IFERROR(MATCH($C$5&amp;"|"&amp;RIGHT("000000"&amp;814,6),LdgRankKeyB,0),"")</f>
        <v/>
      </c>
    </row>
    <row r="831">
      <c r="A831" s="17" t="n">
        <v>815</v>
      </c>
      <c r="B831" s="18">
        <f>IF(AND($N831="",$O831=""),"",IF($N831&lt;&gt;"",INDEX(PCNormDate,$N831),INDEX(LdgDateB,$O831)))</f>
        <v/>
      </c>
      <c r="C831" s="18">
        <f>IF($N831&lt;&gt;"",INDEX(PCOp,$N831),IF($O831&lt;&gt;"",IF(N(INDEX(TxnDepB,$O831))&gt;0,"دریافت بانکی","پرداخت بانکی"),""))</f>
        <v/>
      </c>
      <c r="D831" s="18">
        <f>IF($N831&lt;&gt;"",IF(INDEX(PCDoc,$N831)="","—",INDEX(PCDoc,$N831)),IF($O831&lt;&gt;"",INDEX(LdgBankB,$O831),""))</f>
        <v/>
      </c>
      <c r="E831" s="18">
        <f>IF($N831&lt;&gt;"",IF(INDEX(PCCitrus,$N831)="","—",INDEX(PCCitrus,$N831)),"")</f>
        <v/>
      </c>
      <c r="F831" s="19">
        <f>IF($N831&lt;&gt;"",IF(INDEX(PCScale,$N831)=0,"",INDEX(PCScale,$N831)),"")</f>
        <v/>
      </c>
      <c r="G831" s="19">
        <f>IF($N831&lt;&gt;"",IF(INDEX(PCBaskets,$N831)=0,"",INDEX(PCBaskets,$N831)),"")</f>
        <v/>
      </c>
      <c r="H831" s="20">
        <f>IF($N831&lt;&gt;"",IF(INDEX(PCNet,$N831)=0,"",INDEX(PCNet,$N831)),"")</f>
        <v/>
      </c>
      <c r="I831" s="19">
        <f>IF($N831&lt;&gt;"",IF(INDEX(PCOp,$N831)="مرجوعی خرید","",IF(INDEX(PCAmount,$N831)&lt;=0,"",INDEX(PCAmount,$N831))),IF($O831&lt;&gt;"",IF(INDEX(TxnDepB,$O831)=0,"",INDEX(TxnDepB,$O831)),""))</f>
        <v/>
      </c>
      <c r="J831" s="19">
        <f>IF($N831&lt;&gt;"",IF(INDEX(PCOp,$N831)="مرجوعی خرید",IF(INDEX(PCAmount,$N831)=0,"",-INDEX(PCAmount,$N831)),""),IF($O831&lt;&gt;"",IF(INDEX(TxnWitB,$O831)=0,"",INDEX(TxnWitB,$O831)),""))</f>
        <v/>
      </c>
      <c r="K831" s="21">
        <f>IF($B831="","",IF($K830="",$C$10,$K830)+IF($I831="",0,$I831)-IF($J831="",0,$J831))</f>
        <v/>
      </c>
      <c r="L831" s="22">
        <f>IF($N831&lt;&gt;"",IF(INDEX(PCNotes,$N831)="","—",INDEX(PCNotes,$N831)),IF($O831&lt;&gt;"",IF(INDEX(LdgNoteB,$O831)="","—",INDEX(LdgNoteB,$O831)),""))</f>
        <v/>
      </c>
      <c r="N831">
        <f>IFERROR(MATCH($C$5&amp;"|"&amp;RIGHT("000000"&amp;815,6),LdgRankKeyA,0),"")</f>
        <v/>
      </c>
      <c r="O831">
        <f>IFERROR(MATCH($C$5&amp;"|"&amp;RIGHT("000000"&amp;815,6),LdgRankKeyB,0),"")</f>
        <v/>
      </c>
    </row>
    <row r="832">
      <c r="A832" s="23" t="n">
        <v>816</v>
      </c>
      <c r="B832" s="24">
        <f>IF(AND($N832="",$O832=""),"",IF($N832&lt;&gt;"",INDEX(PCNormDate,$N832),INDEX(LdgDateB,$O832)))</f>
        <v/>
      </c>
      <c r="C832" s="24">
        <f>IF($N832&lt;&gt;"",INDEX(PCOp,$N832),IF($O832&lt;&gt;"",IF(N(INDEX(TxnDepB,$O832))&gt;0,"دریافت بانکی","پرداخت بانکی"),""))</f>
        <v/>
      </c>
      <c r="D832" s="24">
        <f>IF($N832&lt;&gt;"",IF(INDEX(PCDoc,$N832)="","—",INDEX(PCDoc,$N832)),IF($O832&lt;&gt;"",INDEX(LdgBankB,$O832),""))</f>
        <v/>
      </c>
      <c r="E832" s="24">
        <f>IF($N832&lt;&gt;"",IF(INDEX(PCCitrus,$N832)="","—",INDEX(PCCitrus,$N832)),"")</f>
        <v/>
      </c>
      <c r="F832" s="25">
        <f>IF($N832&lt;&gt;"",IF(INDEX(PCScale,$N832)=0,"",INDEX(PCScale,$N832)),"")</f>
        <v/>
      </c>
      <c r="G832" s="25">
        <f>IF($N832&lt;&gt;"",IF(INDEX(PCBaskets,$N832)=0,"",INDEX(PCBaskets,$N832)),"")</f>
        <v/>
      </c>
      <c r="H832" s="26">
        <f>IF($N832&lt;&gt;"",IF(INDEX(PCNet,$N832)=0,"",INDEX(PCNet,$N832)),"")</f>
        <v/>
      </c>
      <c r="I832" s="25">
        <f>IF($N832&lt;&gt;"",IF(INDEX(PCOp,$N832)="مرجوعی خرید","",IF(INDEX(PCAmount,$N832)&lt;=0,"",INDEX(PCAmount,$N832))),IF($O832&lt;&gt;"",IF(INDEX(TxnDepB,$O832)=0,"",INDEX(TxnDepB,$O832)),""))</f>
        <v/>
      </c>
      <c r="J832" s="25">
        <f>IF($N832&lt;&gt;"",IF(INDEX(PCOp,$N832)="مرجوعی خرید",IF(INDEX(PCAmount,$N832)=0,"",-INDEX(PCAmount,$N832)),""),IF($O832&lt;&gt;"",IF(INDEX(TxnWitB,$O832)=0,"",INDEX(TxnWitB,$O832)),""))</f>
        <v/>
      </c>
      <c r="K832" s="27">
        <f>IF($B832="","",IF($K831="",$C$10,$K831)+IF($I832="",0,$I832)-IF($J832="",0,$J832))</f>
        <v/>
      </c>
      <c r="L832" s="28">
        <f>IF($N832&lt;&gt;"",IF(INDEX(PCNotes,$N832)="","—",INDEX(PCNotes,$N832)),IF($O832&lt;&gt;"",IF(INDEX(LdgNoteB,$O832)="","—",INDEX(LdgNoteB,$O832)),""))</f>
        <v/>
      </c>
      <c r="N832">
        <f>IFERROR(MATCH($C$5&amp;"|"&amp;RIGHT("000000"&amp;816,6),LdgRankKeyA,0),"")</f>
        <v/>
      </c>
      <c r="O832">
        <f>IFERROR(MATCH($C$5&amp;"|"&amp;RIGHT("000000"&amp;816,6),LdgRankKeyB,0),"")</f>
        <v/>
      </c>
    </row>
    <row r="833">
      <c r="A833" s="17" t="n">
        <v>817</v>
      </c>
      <c r="B833" s="18">
        <f>IF(AND($N833="",$O833=""),"",IF($N833&lt;&gt;"",INDEX(PCNormDate,$N833),INDEX(LdgDateB,$O833)))</f>
        <v/>
      </c>
      <c r="C833" s="18">
        <f>IF($N833&lt;&gt;"",INDEX(PCOp,$N833),IF($O833&lt;&gt;"",IF(N(INDEX(TxnDepB,$O833))&gt;0,"دریافت بانکی","پرداخت بانکی"),""))</f>
        <v/>
      </c>
      <c r="D833" s="18">
        <f>IF($N833&lt;&gt;"",IF(INDEX(PCDoc,$N833)="","—",INDEX(PCDoc,$N833)),IF($O833&lt;&gt;"",INDEX(LdgBankB,$O833),""))</f>
        <v/>
      </c>
      <c r="E833" s="18">
        <f>IF($N833&lt;&gt;"",IF(INDEX(PCCitrus,$N833)="","—",INDEX(PCCitrus,$N833)),"")</f>
        <v/>
      </c>
      <c r="F833" s="19">
        <f>IF($N833&lt;&gt;"",IF(INDEX(PCScale,$N833)=0,"",INDEX(PCScale,$N833)),"")</f>
        <v/>
      </c>
      <c r="G833" s="19">
        <f>IF($N833&lt;&gt;"",IF(INDEX(PCBaskets,$N833)=0,"",INDEX(PCBaskets,$N833)),"")</f>
        <v/>
      </c>
      <c r="H833" s="20">
        <f>IF($N833&lt;&gt;"",IF(INDEX(PCNet,$N833)=0,"",INDEX(PCNet,$N833)),"")</f>
        <v/>
      </c>
      <c r="I833" s="19">
        <f>IF($N833&lt;&gt;"",IF(INDEX(PCOp,$N833)="مرجوعی خرید","",IF(INDEX(PCAmount,$N833)&lt;=0,"",INDEX(PCAmount,$N833))),IF($O833&lt;&gt;"",IF(INDEX(TxnDepB,$O833)=0,"",INDEX(TxnDepB,$O833)),""))</f>
        <v/>
      </c>
      <c r="J833" s="19">
        <f>IF($N833&lt;&gt;"",IF(INDEX(PCOp,$N833)="مرجوعی خرید",IF(INDEX(PCAmount,$N833)=0,"",-INDEX(PCAmount,$N833)),""),IF($O833&lt;&gt;"",IF(INDEX(TxnWitB,$O833)=0,"",INDEX(TxnWitB,$O833)),""))</f>
        <v/>
      </c>
      <c r="K833" s="21">
        <f>IF($B833="","",IF($K832="",$C$10,$K832)+IF($I833="",0,$I833)-IF($J833="",0,$J833))</f>
        <v/>
      </c>
      <c r="L833" s="22">
        <f>IF($N833&lt;&gt;"",IF(INDEX(PCNotes,$N833)="","—",INDEX(PCNotes,$N833)),IF($O833&lt;&gt;"",IF(INDEX(LdgNoteB,$O833)="","—",INDEX(LdgNoteB,$O833)),""))</f>
        <v/>
      </c>
      <c r="N833">
        <f>IFERROR(MATCH($C$5&amp;"|"&amp;RIGHT("000000"&amp;817,6),LdgRankKeyA,0),"")</f>
        <v/>
      </c>
      <c r="O833">
        <f>IFERROR(MATCH($C$5&amp;"|"&amp;RIGHT("000000"&amp;817,6),LdgRankKeyB,0),"")</f>
        <v/>
      </c>
    </row>
    <row r="834">
      <c r="A834" s="23" t="n">
        <v>818</v>
      </c>
      <c r="B834" s="24">
        <f>IF(AND($N834="",$O834=""),"",IF($N834&lt;&gt;"",INDEX(PCNormDate,$N834),INDEX(LdgDateB,$O834)))</f>
        <v/>
      </c>
      <c r="C834" s="24">
        <f>IF($N834&lt;&gt;"",INDEX(PCOp,$N834),IF($O834&lt;&gt;"",IF(N(INDEX(TxnDepB,$O834))&gt;0,"دریافت بانکی","پرداخت بانکی"),""))</f>
        <v/>
      </c>
      <c r="D834" s="24">
        <f>IF($N834&lt;&gt;"",IF(INDEX(PCDoc,$N834)="","—",INDEX(PCDoc,$N834)),IF($O834&lt;&gt;"",INDEX(LdgBankB,$O834),""))</f>
        <v/>
      </c>
      <c r="E834" s="24">
        <f>IF($N834&lt;&gt;"",IF(INDEX(PCCitrus,$N834)="","—",INDEX(PCCitrus,$N834)),"")</f>
        <v/>
      </c>
      <c r="F834" s="25">
        <f>IF($N834&lt;&gt;"",IF(INDEX(PCScale,$N834)=0,"",INDEX(PCScale,$N834)),"")</f>
        <v/>
      </c>
      <c r="G834" s="25">
        <f>IF($N834&lt;&gt;"",IF(INDEX(PCBaskets,$N834)=0,"",INDEX(PCBaskets,$N834)),"")</f>
        <v/>
      </c>
      <c r="H834" s="26">
        <f>IF($N834&lt;&gt;"",IF(INDEX(PCNet,$N834)=0,"",INDEX(PCNet,$N834)),"")</f>
        <v/>
      </c>
      <c r="I834" s="25">
        <f>IF($N834&lt;&gt;"",IF(INDEX(PCOp,$N834)="مرجوعی خرید","",IF(INDEX(PCAmount,$N834)&lt;=0,"",INDEX(PCAmount,$N834))),IF($O834&lt;&gt;"",IF(INDEX(TxnDepB,$O834)=0,"",INDEX(TxnDepB,$O834)),""))</f>
        <v/>
      </c>
      <c r="J834" s="25">
        <f>IF($N834&lt;&gt;"",IF(INDEX(PCOp,$N834)="مرجوعی خرید",IF(INDEX(PCAmount,$N834)=0,"",-INDEX(PCAmount,$N834)),""),IF($O834&lt;&gt;"",IF(INDEX(TxnWitB,$O834)=0,"",INDEX(TxnWitB,$O834)),""))</f>
        <v/>
      </c>
      <c r="K834" s="27">
        <f>IF($B834="","",IF($K833="",$C$10,$K833)+IF($I834="",0,$I834)-IF($J834="",0,$J834))</f>
        <v/>
      </c>
      <c r="L834" s="28">
        <f>IF($N834&lt;&gt;"",IF(INDEX(PCNotes,$N834)="","—",INDEX(PCNotes,$N834)),IF($O834&lt;&gt;"",IF(INDEX(LdgNoteB,$O834)="","—",INDEX(LdgNoteB,$O834)),""))</f>
        <v/>
      </c>
      <c r="N834">
        <f>IFERROR(MATCH($C$5&amp;"|"&amp;RIGHT("000000"&amp;818,6),LdgRankKeyA,0),"")</f>
        <v/>
      </c>
      <c r="O834">
        <f>IFERROR(MATCH($C$5&amp;"|"&amp;RIGHT("000000"&amp;818,6),LdgRankKeyB,0),"")</f>
        <v/>
      </c>
    </row>
    <row r="835">
      <c r="A835" s="17" t="n">
        <v>819</v>
      </c>
      <c r="B835" s="18">
        <f>IF(AND($N835="",$O835=""),"",IF($N835&lt;&gt;"",INDEX(PCNormDate,$N835),INDEX(LdgDateB,$O835)))</f>
        <v/>
      </c>
      <c r="C835" s="18">
        <f>IF($N835&lt;&gt;"",INDEX(PCOp,$N835),IF($O835&lt;&gt;"",IF(N(INDEX(TxnDepB,$O835))&gt;0,"دریافت بانکی","پرداخت بانکی"),""))</f>
        <v/>
      </c>
      <c r="D835" s="18">
        <f>IF($N835&lt;&gt;"",IF(INDEX(PCDoc,$N835)="","—",INDEX(PCDoc,$N835)),IF($O835&lt;&gt;"",INDEX(LdgBankB,$O835),""))</f>
        <v/>
      </c>
      <c r="E835" s="18">
        <f>IF($N835&lt;&gt;"",IF(INDEX(PCCitrus,$N835)="","—",INDEX(PCCitrus,$N835)),"")</f>
        <v/>
      </c>
      <c r="F835" s="19">
        <f>IF($N835&lt;&gt;"",IF(INDEX(PCScale,$N835)=0,"",INDEX(PCScale,$N835)),"")</f>
        <v/>
      </c>
      <c r="G835" s="19">
        <f>IF($N835&lt;&gt;"",IF(INDEX(PCBaskets,$N835)=0,"",INDEX(PCBaskets,$N835)),"")</f>
        <v/>
      </c>
      <c r="H835" s="20">
        <f>IF($N835&lt;&gt;"",IF(INDEX(PCNet,$N835)=0,"",INDEX(PCNet,$N835)),"")</f>
        <v/>
      </c>
      <c r="I835" s="19">
        <f>IF($N835&lt;&gt;"",IF(INDEX(PCOp,$N835)="مرجوعی خرید","",IF(INDEX(PCAmount,$N835)&lt;=0,"",INDEX(PCAmount,$N835))),IF($O835&lt;&gt;"",IF(INDEX(TxnDepB,$O835)=0,"",INDEX(TxnDepB,$O835)),""))</f>
        <v/>
      </c>
      <c r="J835" s="19">
        <f>IF($N835&lt;&gt;"",IF(INDEX(PCOp,$N835)="مرجوعی خرید",IF(INDEX(PCAmount,$N835)=0,"",-INDEX(PCAmount,$N835)),""),IF($O835&lt;&gt;"",IF(INDEX(TxnWitB,$O835)=0,"",INDEX(TxnWitB,$O835)),""))</f>
        <v/>
      </c>
      <c r="K835" s="21">
        <f>IF($B835="","",IF($K834="",$C$10,$K834)+IF($I835="",0,$I835)-IF($J835="",0,$J835))</f>
        <v/>
      </c>
      <c r="L835" s="22">
        <f>IF($N835&lt;&gt;"",IF(INDEX(PCNotes,$N835)="","—",INDEX(PCNotes,$N835)),IF($O835&lt;&gt;"",IF(INDEX(LdgNoteB,$O835)="","—",INDEX(LdgNoteB,$O835)),""))</f>
        <v/>
      </c>
      <c r="N835">
        <f>IFERROR(MATCH($C$5&amp;"|"&amp;RIGHT("000000"&amp;819,6),LdgRankKeyA,0),"")</f>
        <v/>
      </c>
      <c r="O835">
        <f>IFERROR(MATCH($C$5&amp;"|"&amp;RIGHT("000000"&amp;819,6),LdgRankKeyB,0),"")</f>
        <v/>
      </c>
    </row>
    <row r="836">
      <c r="A836" s="23" t="n">
        <v>820</v>
      </c>
      <c r="B836" s="24">
        <f>IF(AND($N836="",$O836=""),"",IF($N836&lt;&gt;"",INDEX(PCNormDate,$N836),INDEX(LdgDateB,$O836)))</f>
        <v/>
      </c>
      <c r="C836" s="24">
        <f>IF($N836&lt;&gt;"",INDEX(PCOp,$N836),IF($O836&lt;&gt;"",IF(N(INDEX(TxnDepB,$O836))&gt;0,"دریافت بانکی","پرداخت بانکی"),""))</f>
        <v/>
      </c>
      <c r="D836" s="24">
        <f>IF($N836&lt;&gt;"",IF(INDEX(PCDoc,$N836)="","—",INDEX(PCDoc,$N836)),IF($O836&lt;&gt;"",INDEX(LdgBankB,$O836),""))</f>
        <v/>
      </c>
      <c r="E836" s="24">
        <f>IF($N836&lt;&gt;"",IF(INDEX(PCCitrus,$N836)="","—",INDEX(PCCitrus,$N836)),"")</f>
        <v/>
      </c>
      <c r="F836" s="25">
        <f>IF($N836&lt;&gt;"",IF(INDEX(PCScale,$N836)=0,"",INDEX(PCScale,$N836)),"")</f>
        <v/>
      </c>
      <c r="G836" s="25">
        <f>IF($N836&lt;&gt;"",IF(INDEX(PCBaskets,$N836)=0,"",INDEX(PCBaskets,$N836)),"")</f>
        <v/>
      </c>
      <c r="H836" s="26">
        <f>IF($N836&lt;&gt;"",IF(INDEX(PCNet,$N836)=0,"",INDEX(PCNet,$N836)),"")</f>
        <v/>
      </c>
      <c r="I836" s="25">
        <f>IF($N836&lt;&gt;"",IF(INDEX(PCOp,$N836)="مرجوعی خرید","",IF(INDEX(PCAmount,$N836)&lt;=0,"",INDEX(PCAmount,$N836))),IF($O836&lt;&gt;"",IF(INDEX(TxnDepB,$O836)=0,"",INDEX(TxnDepB,$O836)),""))</f>
        <v/>
      </c>
      <c r="J836" s="25">
        <f>IF($N836&lt;&gt;"",IF(INDEX(PCOp,$N836)="مرجوعی خرید",IF(INDEX(PCAmount,$N836)=0,"",-INDEX(PCAmount,$N836)),""),IF($O836&lt;&gt;"",IF(INDEX(TxnWitB,$O836)=0,"",INDEX(TxnWitB,$O836)),""))</f>
        <v/>
      </c>
      <c r="K836" s="27">
        <f>IF($B836="","",IF($K835="",$C$10,$K835)+IF($I836="",0,$I836)-IF($J836="",0,$J836))</f>
        <v/>
      </c>
      <c r="L836" s="28">
        <f>IF($N836&lt;&gt;"",IF(INDEX(PCNotes,$N836)="","—",INDEX(PCNotes,$N836)),IF($O836&lt;&gt;"",IF(INDEX(LdgNoteB,$O836)="","—",INDEX(LdgNoteB,$O836)),""))</f>
        <v/>
      </c>
      <c r="N836">
        <f>IFERROR(MATCH($C$5&amp;"|"&amp;RIGHT("000000"&amp;820,6),LdgRankKeyA,0),"")</f>
        <v/>
      </c>
      <c r="O836">
        <f>IFERROR(MATCH($C$5&amp;"|"&amp;RIGHT("000000"&amp;820,6),LdgRankKeyB,0),"")</f>
        <v/>
      </c>
    </row>
    <row r="837">
      <c r="A837" s="17" t="n">
        <v>821</v>
      </c>
      <c r="B837" s="18">
        <f>IF(AND($N837="",$O837=""),"",IF($N837&lt;&gt;"",INDEX(PCNormDate,$N837),INDEX(LdgDateB,$O837)))</f>
        <v/>
      </c>
      <c r="C837" s="18">
        <f>IF($N837&lt;&gt;"",INDEX(PCOp,$N837),IF($O837&lt;&gt;"",IF(N(INDEX(TxnDepB,$O837))&gt;0,"دریافت بانکی","پرداخت بانکی"),""))</f>
        <v/>
      </c>
      <c r="D837" s="18">
        <f>IF($N837&lt;&gt;"",IF(INDEX(PCDoc,$N837)="","—",INDEX(PCDoc,$N837)),IF($O837&lt;&gt;"",INDEX(LdgBankB,$O837),""))</f>
        <v/>
      </c>
      <c r="E837" s="18">
        <f>IF($N837&lt;&gt;"",IF(INDEX(PCCitrus,$N837)="","—",INDEX(PCCitrus,$N837)),"")</f>
        <v/>
      </c>
      <c r="F837" s="19">
        <f>IF($N837&lt;&gt;"",IF(INDEX(PCScale,$N837)=0,"",INDEX(PCScale,$N837)),"")</f>
        <v/>
      </c>
      <c r="G837" s="19">
        <f>IF($N837&lt;&gt;"",IF(INDEX(PCBaskets,$N837)=0,"",INDEX(PCBaskets,$N837)),"")</f>
        <v/>
      </c>
      <c r="H837" s="20">
        <f>IF($N837&lt;&gt;"",IF(INDEX(PCNet,$N837)=0,"",INDEX(PCNet,$N837)),"")</f>
        <v/>
      </c>
      <c r="I837" s="19">
        <f>IF($N837&lt;&gt;"",IF(INDEX(PCOp,$N837)="مرجوعی خرید","",IF(INDEX(PCAmount,$N837)&lt;=0,"",INDEX(PCAmount,$N837))),IF($O837&lt;&gt;"",IF(INDEX(TxnDepB,$O837)=0,"",INDEX(TxnDepB,$O837)),""))</f>
        <v/>
      </c>
      <c r="J837" s="19">
        <f>IF($N837&lt;&gt;"",IF(INDEX(PCOp,$N837)="مرجوعی خرید",IF(INDEX(PCAmount,$N837)=0,"",-INDEX(PCAmount,$N837)),""),IF($O837&lt;&gt;"",IF(INDEX(TxnWitB,$O837)=0,"",INDEX(TxnWitB,$O837)),""))</f>
        <v/>
      </c>
      <c r="K837" s="21">
        <f>IF($B837="","",IF($K836="",$C$10,$K836)+IF($I837="",0,$I837)-IF($J837="",0,$J837))</f>
        <v/>
      </c>
      <c r="L837" s="22">
        <f>IF($N837&lt;&gt;"",IF(INDEX(PCNotes,$N837)="","—",INDEX(PCNotes,$N837)),IF($O837&lt;&gt;"",IF(INDEX(LdgNoteB,$O837)="","—",INDEX(LdgNoteB,$O837)),""))</f>
        <v/>
      </c>
      <c r="N837">
        <f>IFERROR(MATCH($C$5&amp;"|"&amp;RIGHT("000000"&amp;821,6),LdgRankKeyA,0),"")</f>
        <v/>
      </c>
      <c r="O837">
        <f>IFERROR(MATCH($C$5&amp;"|"&amp;RIGHT("000000"&amp;821,6),LdgRankKeyB,0),"")</f>
        <v/>
      </c>
    </row>
    <row r="838">
      <c r="A838" s="23" t="n">
        <v>822</v>
      </c>
      <c r="B838" s="24">
        <f>IF(AND($N838="",$O838=""),"",IF($N838&lt;&gt;"",INDEX(PCNormDate,$N838),INDEX(LdgDateB,$O838)))</f>
        <v/>
      </c>
      <c r="C838" s="24">
        <f>IF($N838&lt;&gt;"",INDEX(PCOp,$N838),IF($O838&lt;&gt;"",IF(N(INDEX(TxnDepB,$O838))&gt;0,"دریافت بانکی","پرداخت بانکی"),""))</f>
        <v/>
      </c>
      <c r="D838" s="24">
        <f>IF($N838&lt;&gt;"",IF(INDEX(PCDoc,$N838)="","—",INDEX(PCDoc,$N838)),IF($O838&lt;&gt;"",INDEX(LdgBankB,$O838),""))</f>
        <v/>
      </c>
      <c r="E838" s="24">
        <f>IF($N838&lt;&gt;"",IF(INDEX(PCCitrus,$N838)="","—",INDEX(PCCitrus,$N838)),"")</f>
        <v/>
      </c>
      <c r="F838" s="25">
        <f>IF($N838&lt;&gt;"",IF(INDEX(PCScale,$N838)=0,"",INDEX(PCScale,$N838)),"")</f>
        <v/>
      </c>
      <c r="G838" s="25">
        <f>IF($N838&lt;&gt;"",IF(INDEX(PCBaskets,$N838)=0,"",INDEX(PCBaskets,$N838)),"")</f>
        <v/>
      </c>
      <c r="H838" s="26">
        <f>IF($N838&lt;&gt;"",IF(INDEX(PCNet,$N838)=0,"",INDEX(PCNet,$N838)),"")</f>
        <v/>
      </c>
      <c r="I838" s="25">
        <f>IF($N838&lt;&gt;"",IF(INDEX(PCOp,$N838)="مرجوعی خرید","",IF(INDEX(PCAmount,$N838)&lt;=0,"",INDEX(PCAmount,$N838))),IF($O838&lt;&gt;"",IF(INDEX(TxnDepB,$O838)=0,"",INDEX(TxnDepB,$O838)),""))</f>
        <v/>
      </c>
      <c r="J838" s="25">
        <f>IF($N838&lt;&gt;"",IF(INDEX(PCOp,$N838)="مرجوعی خرید",IF(INDEX(PCAmount,$N838)=0,"",-INDEX(PCAmount,$N838)),""),IF($O838&lt;&gt;"",IF(INDEX(TxnWitB,$O838)=0,"",INDEX(TxnWitB,$O838)),""))</f>
        <v/>
      </c>
      <c r="K838" s="27">
        <f>IF($B838="","",IF($K837="",$C$10,$K837)+IF($I838="",0,$I838)-IF($J838="",0,$J838))</f>
        <v/>
      </c>
      <c r="L838" s="28">
        <f>IF($N838&lt;&gt;"",IF(INDEX(PCNotes,$N838)="","—",INDEX(PCNotes,$N838)),IF($O838&lt;&gt;"",IF(INDEX(LdgNoteB,$O838)="","—",INDEX(LdgNoteB,$O838)),""))</f>
        <v/>
      </c>
      <c r="N838">
        <f>IFERROR(MATCH($C$5&amp;"|"&amp;RIGHT("000000"&amp;822,6),LdgRankKeyA,0),"")</f>
        <v/>
      </c>
      <c r="O838">
        <f>IFERROR(MATCH($C$5&amp;"|"&amp;RIGHT("000000"&amp;822,6),LdgRankKeyB,0),"")</f>
        <v/>
      </c>
    </row>
    <row r="839">
      <c r="A839" s="17" t="n">
        <v>823</v>
      </c>
      <c r="B839" s="18">
        <f>IF(AND($N839="",$O839=""),"",IF($N839&lt;&gt;"",INDEX(PCNormDate,$N839),INDEX(LdgDateB,$O839)))</f>
        <v/>
      </c>
      <c r="C839" s="18">
        <f>IF($N839&lt;&gt;"",INDEX(PCOp,$N839),IF($O839&lt;&gt;"",IF(N(INDEX(TxnDepB,$O839))&gt;0,"دریافت بانکی","پرداخت بانکی"),""))</f>
        <v/>
      </c>
      <c r="D839" s="18">
        <f>IF($N839&lt;&gt;"",IF(INDEX(PCDoc,$N839)="","—",INDEX(PCDoc,$N839)),IF($O839&lt;&gt;"",INDEX(LdgBankB,$O839),""))</f>
        <v/>
      </c>
      <c r="E839" s="18">
        <f>IF($N839&lt;&gt;"",IF(INDEX(PCCitrus,$N839)="","—",INDEX(PCCitrus,$N839)),"")</f>
        <v/>
      </c>
      <c r="F839" s="19">
        <f>IF($N839&lt;&gt;"",IF(INDEX(PCScale,$N839)=0,"",INDEX(PCScale,$N839)),"")</f>
        <v/>
      </c>
      <c r="G839" s="19">
        <f>IF($N839&lt;&gt;"",IF(INDEX(PCBaskets,$N839)=0,"",INDEX(PCBaskets,$N839)),"")</f>
        <v/>
      </c>
      <c r="H839" s="20">
        <f>IF($N839&lt;&gt;"",IF(INDEX(PCNet,$N839)=0,"",INDEX(PCNet,$N839)),"")</f>
        <v/>
      </c>
      <c r="I839" s="19">
        <f>IF($N839&lt;&gt;"",IF(INDEX(PCOp,$N839)="مرجوعی خرید","",IF(INDEX(PCAmount,$N839)&lt;=0,"",INDEX(PCAmount,$N839))),IF($O839&lt;&gt;"",IF(INDEX(TxnDepB,$O839)=0,"",INDEX(TxnDepB,$O839)),""))</f>
        <v/>
      </c>
      <c r="J839" s="19">
        <f>IF($N839&lt;&gt;"",IF(INDEX(PCOp,$N839)="مرجوعی خرید",IF(INDEX(PCAmount,$N839)=0,"",-INDEX(PCAmount,$N839)),""),IF($O839&lt;&gt;"",IF(INDEX(TxnWitB,$O839)=0,"",INDEX(TxnWitB,$O839)),""))</f>
        <v/>
      </c>
      <c r="K839" s="21">
        <f>IF($B839="","",IF($K838="",$C$10,$K838)+IF($I839="",0,$I839)-IF($J839="",0,$J839))</f>
        <v/>
      </c>
      <c r="L839" s="22">
        <f>IF($N839&lt;&gt;"",IF(INDEX(PCNotes,$N839)="","—",INDEX(PCNotes,$N839)),IF($O839&lt;&gt;"",IF(INDEX(LdgNoteB,$O839)="","—",INDEX(LdgNoteB,$O839)),""))</f>
        <v/>
      </c>
      <c r="N839">
        <f>IFERROR(MATCH($C$5&amp;"|"&amp;RIGHT("000000"&amp;823,6),LdgRankKeyA,0),"")</f>
        <v/>
      </c>
      <c r="O839">
        <f>IFERROR(MATCH($C$5&amp;"|"&amp;RIGHT("000000"&amp;823,6),LdgRankKeyB,0),"")</f>
        <v/>
      </c>
    </row>
    <row r="840">
      <c r="A840" s="23" t="n">
        <v>824</v>
      </c>
      <c r="B840" s="24">
        <f>IF(AND($N840="",$O840=""),"",IF($N840&lt;&gt;"",INDEX(PCNormDate,$N840),INDEX(LdgDateB,$O840)))</f>
        <v/>
      </c>
      <c r="C840" s="24">
        <f>IF($N840&lt;&gt;"",INDEX(PCOp,$N840),IF($O840&lt;&gt;"",IF(N(INDEX(TxnDepB,$O840))&gt;0,"دریافت بانکی","پرداخت بانکی"),""))</f>
        <v/>
      </c>
      <c r="D840" s="24">
        <f>IF($N840&lt;&gt;"",IF(INDEX(PCDoc,$N840)="","—",INDEX(PCDoc,$N840)),IF($O840&lt;&gt;"",INDEX(LdgBankB,$O840),""))</f>
        <v/>
      </c>
      <c r="E840" s="24">
        <f>IF($N840&lt;&gt;"",IF(INDEX(PCCitrus,$N840)="","—",INDEX(PCCitrus,$N840)),"")</f>
        <v/>
      </c>
      <c r="F840" s="25">
        <f>IF($N840&lt;&gt;"",IF(INDEX(PCScale,$N840)=0,"",INDEX(PCScale,$N840)),"")</f>
        <v/>
      </c>
      <c r="G840" s="25">
        <f>IF($N840&lt;&gt;"",IF(INDEX(PCBaskets,$N840)=0,"",INDEX(PCBaskets,$N840)),"")</f>
        <v/>
      </c>
      <c r="H840" s="26">
        <f>IF($N840&lt;&gt;"",IF(INDEX(PCNet,$N840)=0,"",INDEX(PCNet,$N840)),"")</f>
        <v/>
      </c>
      <c r="I840" s="25">
        <f>IF($N840&lt;&gt;"",IF(INDEX(PCOp,$N840)="مرجوعی خرید","",IF(INDEX(PCAmount,$N840)&lt;=0,"",INDEX(PCAmount,$N840))),IF($O840&lt;&gt;"",IF(INDEX(TxnDepB,$O840)=0,"",INDEX(TxnDepB,$O840)),""))</f>
        <v/>
      </c>
      <c r="J840" s="25">
        <f>IF($N840&lt;&gt;"",IF(INDEX(PCOp,$N840)="مرجوعی خرید",IF(INDEX(PCAmount,$N840)=0,"",-INDEX(PCAmount,$N840)),""),IF($O840&lt;&gt;"",IF(INDEX(TxnWitB,$O840)=0,"",INDEX(TxnWitB,$O840)),""))</f>
        <v/>
      </c>
      <c r="K840" s="27">
        <f>IF($B840="","",IF($K839="",$C$10,$K839)+IF($I840="",0,$I840)-IF($J840="",0,$J840))</f>
        <v/>
      </c>
      <c r="L840" s="28">
        <f>IF($N840&lt;&gt;"",IF(INDEX(PCNotes,$N840)="","—",INDEX(PCNotes,$N840)),IF($O840&lt;&gt;"",IF(INDEX(LdgNoteB,$O840)="","—",INDEX(LdgNoteB,$O840)),""))</f>
        <v/>
      </c>
      <c r="N840">
        <f>IFERROR(MATCH($C$5&amp;"|"&amp;RIGHT("000000"&amp;824,6),LdgRankKeyA,0),"")</f>
        <v/>
      </c>
      <c r="O840">
        <f>IFERROR(MATCH($C$5&amp;"|"&amp;RIGHT("000000"&amp;824,6),LdgRankKeyB,0),"")</f>
        <v/>
      </c>
    </row>
    <row r="841">
      <c r="A841" s="17" t="n">
        <v>825</v>
      </c>
      <c r="B841" s="18">
        <f>IF(AND($N841="",$O841=""),"",IF($N841&lt;&gt;"",INDEX(PCNormDate,$N841),INDEX(LdgDateB,$O841)))</f>
        <v/>
      </c>
      <c r="C841" s="18">
        <f>IF($N841&lt;&gt;"",INDEX(PCOp,$N841),IF($O841&lt;&gt;"",IF(N(INDEX(TxnDepB,$O841))&gt;0,"دریافت بانکی","پرداخت بانکی"),""))</f>
        <v/>
      </c>
      <c r="D841" s="18">
        <f>IF($N841&lt;&gt;"",IF(INDEX(PCDoc,$N841)="","—",INDEX(PCDoc,$N841)),IF($O841&lt;&gt;"",INDEX(LdgBankB,$O841),""))</f>
        <v/>
      </c>
      <c r="E841" s="18">
        <f>IF($N841&lt;&gt;"",IF(INDEX(PCCitrus,$N841)="","—",INDEX(PCCitrus,$N841)),"")</f>
        <v/>
      </c>
      <c r="F841" s="19">
        <f>IF($N841&lt;&gt;"",IF(INDEX(PCScale,$N841)=0,"",INDEX(PCScale,$N841)),"")</f>
        <v/>
      </c>
      <c r="G841" s="19">
        <f>IF($N841&lt;&gt;"",IF(INDEX(PCBaskets,$N841)=0,"",INDEX(PCBaskets,$N841)),"")</f>
        <v/>
      </c>
      <c r="H841" s="20">
        <f>IF($N841&lt;&gt;"",IF(INDEX(PCNet,$N841)=0,"",INDEX(PCNet,$N841)),"")</f>
        <v/>
      </c>
      <c r="I841" s="19">
        <f>IF($N841&lt;&gt;"",IF(INDEX(PCOp,$N841)="مرجوعی خرید","",IF(INDEX(PCAmount,$N841)&lt;=0,"",INDEX(PCAmount,$N841))),IF($O841&lt;&gt;"",IF(INDEX(TxnDepB,$O841)=0,"",INDEX(TxnDepB,$O841)),""))</f>
        <v/>
      </c>
      <c r="J841" s="19">
        <f>IF($N841&lt;&gt;"",IF(INDEX(PCOp,$N841)="مرجوعی خرید",IF(INDEX(PCAmount,$N841)=0,"",-INDEX(PCAmount,$N841)),""),IF($O841&lt;&gt;"",IF(INDEX(TxnWitB,$O841)=0,"",INDEX(TxnWitB,$O841)),""))</f>
        <v/>
      </c>
      <c r="K841" s="21">
        <f>IF($B841="","",IF($K840="",$C$10,$K840)+IF($I841="",0,$I841)-IF($J841="",0,$J841))</f>
        <v/>
      </c>
      <c r="L841" s="22">
        <f>IF($N841&lt;&gt;"",IF(INDEX(PCNotes,$N841)="","—",INDEX(PCNotes,$N841)),IF($O841&lt;&gt;"",IF(INDEX(LdgNoteB,$O841)="","—",INDEX(LdgNoteB,$O841)),""))</f>
        <v/>
      </c>
      <c r="N841">
        <f>IFERROR(MATCH($C$5&amp;"|"&amp;RIGHT("000000"&amp;825,6),LdgRankKeyA,0),"")</f>
        <v/>
      </c>
      <c r="O841">
        <f>IFERROR(MATCH($C$5&amp;"|"&amp;RIGHT("000000"&amp;825,6),LdgRankKeyB,0),"")</f>
        <v/>
      </c>
    </row>
    <row r="842">
      <c r="A842" s="23" t="n">
        <v>826</v>
      </c>
      <c r="B842" s="24">
        <f>IF(AND($N842="",$O842=""),"",IF($N842&lt;&gt;"",INDEX(PCNormDate,$N842),INDEX(LdgDateB,$O842)))</f>
        <v/>
      </c>
      <c r="C842" s="24">
        <f>IF($N842&lt;&gt;"",INDEX(PCOp,$N842),IF($O842&lt;&gt;"",IF(N(INDEX(TxnDepB,$O842))&gt;0,"دریافت بانکی","پرداخت بانکی"),""))</f>
        <v/>
      </c>
      <c r="D842" s="24">
        <f>IF($N842&lt;&gt;"",IF(INDEX(PCDoc,$N842)="","—",INDEX(PCDoc,$N842)),IF($O842&lt;&gt;"",INDEX(LdgBankB,$O842),""))</f>
        <v/>
      </c>
      <c r="E842" s="24">
        <f>IF($N842&lt;&gt;"",IF(INDEX(PCCitrus,$N842)="","—",INDEX(PCCitrus,$N842)),"")</f>
        <v/>
      </c>
      <c r="F842" s="25">
        <f>IF($N842&lt;&gt;"",IF(INDEX(PCScale,$N842)=0,"",INDEX(PCScale,$N842)),"")</f>
        <v/>
      </c>
      <c r="G842" s="25">
        <f>IF($N842&lt;&gt;"",IF(INDEX(PCBaskets,$N842)=0,"",INDEX(PCBaskets,$N842)),"")</f>
        <v/>
      </c>
      <c r="H842" s="26">
        <f>IF($N842&lt;&gt;"",IF(INDEX(PCNet,$N842)=0,"",INDEX(PCNet,$N842)),"")</f>
        <v/>
      </c>
      <c r="I842" s="25">
        <f>IF($N842&lt;&gt;"",IF(INDEX(PCOp,$N842)="مرجوعی خرید","",IF(INDEX(PCAmount,$N842)&lt;=0,"",INDEX(PCAmount,$N842))),IF($O842&lt;&gt;"",IF(INDEX(TxnDepB,$O842)=0,"",INDEX(TxnDepB,$O842)),""))</f>
        <v/>
      </c>
      <c r="J842" s="25">
        <f>IF($N842&lt;&gt;"",IF(INDEX(PCOp,$N842)="مرجوعی خرید",IF(INDEX(PCAmount,$N842)=0,"",-INDEX(PCAmount,$N842)),""),IF($O842&lt;&gt;"",IF(INDEX(TxnWitB,$O842)=0,"",INDEX(TxnWitB,$O842)),""))</f>
        <v/>
      </c>
      <c r="K842" s="27">
        <f>IF($B842="","",IF($K841="",$C$10,$K841)+IF($I842="",0,$I842)-IF($J842="",0,$J842))</f>
        <v/>
      </c>
      <c r="L842" s="28">
        <f>IF($N842&lt;&gt;"",IF(INDEX(PCNotes,$N842)="","—",INDEX(PCNotes,$N842)),IF($O842&lt;&gt;"",IF(INDEX(LdgNoteB,$O842)="","—",INDEX(LdgNoteB,$O842)),""))</f>
        <v/>
      </c>
      <c r="N842">
        <f>IFERROR(MATCH($C$5&amp;"|"&amp;RIGHT("000000"&amp;826,6),LdgRankKeyA,0),"")</f>
        <v/>
      </c>
      <c r="O842">
        <f>IFERROR(MATCH($C$5&amp;"|"&amp;RIGHT("000000"&amp;826,6),LdgRankKeyB,0),"")</f>
        <v/>
      </c>
    </row>
    <row r="843">
      <c r="A843" s="17" t="n">
        <v>827</v>
      </c>
      <c r="B843" s="18">
        <f>IF(AND($N843="",$O843=""),"",IF($N843&lt;&gt;"",INDEX(PCNormDate,$N843),INDEX(LdgDateB,$O843)))</f>
        <v/>
      </c>
      <c r="C843" s="18">
        <f>IF($N843&lt;&gt;"",INDEX(PCOp,$N843),IF($O843&lt;&gt;"",IF(N(INDEX(TxnDepB,$O843))&gt;0,"دریافت بانکی","پرداخت بانکی"),""))</f>
        <v/>
      </c>
      <c r="D843" s="18">
        <f>IF($N843&lt;&gt;"",IF(INDEX(PCDoc,$N843)="","—",INDEX(PCDoc,$N843)),IF($O843&lt;&gt;"",INDEX(LdgBankB,$O843),""))</f>
        <v/>
      </c>
      <c r="E843" s="18">
        <f>IF($N843&lt;&gt;"",IF(INDEX(PCCitrus,$N843)="","—",INDEX(PCCitrus,$N843)),"")</f>
        <v/>
      </c>
      <c r="F843" s="19">
        <f>IF($N843&lt;&gt;"",IF(INDEX(PCScale,$N843)=0,"",INDEX(PCScale,$N843)),"")</f>
        <v/>
      </c>
      <c r="G843" s="19">
        <f>IF($N843&lt;&gt;"",IF(INDEX(PCBaskets,$N843)=0,"",INDEX(PCBaskets,$N843)),"")</f>
        <v/>
      </c>
      <c r="H843" s="20">
        <f>IF($N843&lt;&gt;"",IF(INDEX(PCNet,$N843)=0,"",INDEX(PCNet,$N843)),"")</f>
        <v/>
      </c>
      <c r="I843" s="19">
        <f>IF($N843&lt;&gt;"",IF(INDEX(PCOp,$N843)="مرجوعی خرید","",IF(INDEX(PCAmount,$N843)&lt;=0,"",INDEX(PCAmount,$N843))),IF($O843&lt;&gt;"",IF(INDEX(TxnDepB,$O843)=0,"",INDEX(TxnDepB,$O843)),""))</f>
        <v/>
      </c>
      <c r="J843" s="19">
        <f>IF($N843&lt;&gt;"",IF(INDEX(PCOp,$N843)="مرجوعی خرید",IF(INDEX(PCAmount,$N843)=0,"",-INDEX(PCAmount,$N843)),""),IF($O843&lt;&gt;"",IF(INDEX(TxnWitB,$O843)=0,"",INDEX(TxnWitB,$O843)),""))</f>
        <v/>
      </c>
      <c r="K843" s="21">
        <f>IF($B843="","",IF($K842="",$C$10,$K842)+IF($I843="",0,$I843)-IF($J843="",0,$J843))</f>
        <v/>
      </c>
      <c r="L843" s="22">
        <f>IF($N843&lt;&gt;"",IF(INDEX(PCNotes,$N843)="","—",INDEX(PCNotes,$N843)),IF($O843&lt;&gt;"",IF(INDEX(LdgNoteB,$O843)="","—",INDEX(LdgNoteB,$O843)),""))</f>
        <v/>
      </c>
      <c r="N843">
        <f>IFERROR(MATCH($C$5&amp;"|"&amp;RIGHT("000000"&amp;827,6),LdgRankKeyA,0),"")</f>
        <v/>
      </c>
      <c r="O843">
        <f>IFERROR(MATCH($C$5&amp;"|"&amp;RIGHT("000000"&amp;827,6),LdgRankKeyB,0),"")</f>
        <v/>
      </c>
    </row>
    <row r="844">
      <c r="A844" s="23" t="n">
        <v>828</v>
      </c>
      <c r="B844" s="24">
        <f>IF(AND($N844="",$O844=""),"",IF($N844&lt;&gt;"",INDEX(PCNormDate,$N844),INDEX(LdgDateB,$O844)))</f>
        <v/>
      </c>
      <c r="C844" s="24">
        <f>IF($N844&lt;&gt;"",INDEX(PCOp,$N844),IF($O844&lt;&gt;"",IF(N(INDEX(TxnDepB,$O844))&gt;0,"دریافت بانکی","پرداخت بانکی"),""))</f>
        <v/>
      </c>
      <c r="D844" s="24">
        <f>IF($N844&lt;&gt;"",IF(INDEX(PCDoc,$N844)="","—",INDEX(PCDoc,$N844)),IF($O844&lt;&gt;"",INDEX(LdgBankB,$O844),""))</f>
        <v/>
      </c>
      <c r="E844" s="24">
        <f>IF($N844&lt;&gt;"",IF(INDEX(PCCitrus,$N844)="","—",INDEX(PCCitrus,$N844)),"")</f>
        <v/>
      </c>
      <c r="F844" s="25">
        <f>IF($N844&lt;&gt;"",IF(INDEX(PCScale,$N844)=0,"",INDEX(PCScale,$N844)),"")</f>
        <v/>
      </c>
      <c r="G844" s="25">
        <f>IF($N844&lt;&gt;"",IF(INDEX(PCBaskets,$N844)=0,"",INDEX(PCBaskets,$N844)),"")</f>
        <v/>
      </c>
      <c r="H844" s="26">
        <f>IF($N844&lt;&gt;"",IF(INDEX(PCNet,$N844)=0,"",INDEX(PCNet,$N844)),"")</f>
        <v/>
      </c>
      <c r="I844" s="25">
        <f>IF($N844&lt;&gt;"",IF(INDEX(PCOp,$N844)="مرجوعی خرید","",IF(INDEX(PCAmount,$N844)&lt;=0,"",INDEX(PCAmount,$N844))),IF($O844&lt;&gt;"",IF(INDEX(TxnDepB,$O844)=0,"",INDEX(TxnDepB,$O844)),""))</f>
        <v/>
      </c>
      <c r="J844" s="25">
        <f>IF($N844&lt;&gt;"",IF(INDEX(PCOp,$N844)="مرجوعی خرید",IF(INDEX(PCAmount,$N844)=0,"",-INDEX(PCAmount,$N844)),""),IF($O844&lt;&gt;"",IF(INDEX(TxnWitB,$O844)=0,"",INDEX(TxnWitB,$O844)),""))</f>
        <v/>
      </c>
      <c r="K844" s="27">
        <f>IF($B844="","",IF($K843="",$C$10,$K843)+IF($I844="",0,$I844)-IF($J844="",0,$J844))</f>
        <v/>
      </c>
      <c r="L844" s="28">
        <f>IF($N844&lt;&gt;"",IF(INDEX(PCNotes,$N844)="","—",INDEX(PCNotes,$N844)),IF($O844&lt;&gt;"",IF(INDEX(LdgNoteB,$O844)="","—",INDEX(LdgNoteB,$O844)),""))</f>
        <v/>
      </c>
      <c r="N844">
        <f>IFERROR(MATCH($C$5&amp;"|"&amp;RIGHT("000000"&amp;828,6),LdgRankKeyA,0),"")</f>
        <v/>
      </c>
      <c r="O844">
        <f>IFERROR(MATCH($C$5&amp;"|"&amp;RIGHT("000000"&amp;828,6),LdgRankKeyB,0),"")</f>
        <v/>
      </c>
    </row>
    <row r="845">
      <c r="A845" s="17" t="n">
        <v>829</v>
      </c>
      <c r="B845" s="18">
        <f>IF(AND($N845="",$O845=""),"",IF($N845&lt;&gt;"",INDEX(PCNormDate,$N845),INDEX(LdgDateB,$O845)))</f>
        <v/>
      </c>
      <c r="C845" s="18">
        <f>IF($N845&lt;&gt;"",INDEX(PCOp,$N845),IF($O845&lt;&gt;"",IF(N(INDEX(TxnDepB,$O845))&gt;0,"دریافت بانکی","پرداخت بانکی"),""))</f>
        <v/>
      </c>
      <c r="D845" s="18">
        <f>IF($N845&lt;&gt;"",IF(INDEX(PCDoc,$N845)="","—",INDEX(PCDoc,$N845)),IF($O845&lt;&gt;"",INDEX(LdgBankB,$O845),""))</f>
        <v/>
      </c>
      <c r="E845" s="18">
        <f>IF($N845&lt;&gt;"",IF(INDEX(PCCitrus,$N845)="","—",INDEX(PCCitrus,$N845)),"")</f>
        <v/>
      </c>
      <c r="F845" s="19">
        <f>IF($N845&lt;&gt;"",IF(INDEX(PCScale,$N845)=0,"",INDEX(PCScale,$N845)),"")</f>
        <v/>
      </c>
      <c r="G845" s="19">
        <f>IF($N845&lt;&gt;"",IF(INDEX(PCBaskets,$N845)=0,"",INDEX(PCBaskets,$N845)),"")</f>
        <v/>
      </c>
      <c r="H845" s="20">
        <f>IF($N845&lt;&gt;"",IF(INDEX(PCNet,$N845)=0,"",INDEX(PCNet,$N845)),"")</f>
        <v/>
      </c>
      <c r="I845" s="19">
        <f>IF($N845&lt;&gt;"",IF(INDEX(PCOp,$N845)="مرجوعی خرید","",IF(INDEX(PCAmount,$N845)&lt;=0,"",INDEX(PCAmount,$N845))),IF($O845&lt;&gt;"",IF(INDEX(TxnDepB,$O845)=0,"",INDEX(TxnDepB,$O845)),""))</f>
        <v/>
      </c>
      <c r="J845" s="19">
        <f>IF($N845&lt;&gt;"",IF(INDEX(PCOp,$N845)="مرجوعی خرید",IF(INDEX(PCAmount,$N845)=0,"",-INDEX(PCAmount,$N845)),""),IF($O845&lt;&gt;"",IF(INDEX(TxnWitB,$O845)=0,"",INDEX(TxnWitB,$O845)),""))</f>
        <v/>
      </c>
      <c r="K845" s="21">
        <f>IF($B845="","",IF($K844="",$C$10,$K844)+IF($I845="",0,$I845)-IF($J845="",0,$J845))</f>
        <v/>
      </c>
      <c r="L845" s="22">
        <f>IF($N845&lt;&gt;"",IF(INDEX(PCNotes,$N845)="","—",INDEX(PCNotes,$N845)),IF($O845&lt;&gt;"",IF(INDEX(LdgNoteB,$O845)="","—",INDEX(LdgNoteB,$O845)),""))</f>
        <v/>
      </c>
      <c r="N845">
        <f>IFERROR(MATCH($C$5&amp;"|"&amp;RIGHT("000000"&amp;829,6),LdgRankKeyA,0),"")</f>
        <v/>
      </c>
      <c r="O845">
        <f>IFERROR(MATCH($C$5&amp;"|"&amp;RIGHT("000000"&amp;829,6),LdgRankKeyB,0),"")</f>
        <v/>
      </c>
    </row>
    <row r="846">
      <c r="A846" s="23" t="n">
        <v>830</v>
      </c>
      <c r="B846" s="24">
        <f>IF(AND($N846="",$O846=""),"",IF($N846&lt;&gt;"",INDEX(PCNormDate,$N846),INDEX(LdgDateB,$O846)))</f>
        <v/>
      </c>
      <c r="C846" s="24">
        <f>IF($N846&lt;&gt;"",INDEX(PCOp,$N846),IF($O846&lt;&gt;"",IF(N(INDEX(TxnDepB,$O846))&gt;0,"دریافت بانکی","پرداخت بانکی"),""))</f>
        <v/>
      </c>
      <c r="D846" s="24">
        <f>IF($N846&lt;&gt;"",IF(INDEX(PCDoc,$N846)="","—",INDEX(PCDoc,$N846)),IF($O846&lt;&gt;"",INDEX(LdgBankB,$O846),""))</f>
        <v/>
      </c>
      <c r="E846" s="24">
        <f>IF($N846&lt;&gt;"",IF(INDEX(PCCitrus,$N846)="","—",INDEX(PCCitrus,$N846)),"")</f>
        <v/>
      </c>
      <c r="F846" s="25">
        <f>IF($N846&lt;&gt;"",IF(INDEX(PCScale,$N846)=0,"",INDEX(PCScale,$N846)),"")</f>
        <v/>
      </c>
      <c r="G846" s="25">
        <f>IF($N846&lt;&gt;"",IF(INDEX(PCBaskets,$N846)=0,"",INDEX(PCBaskets,$N846)),"")</f>
        <v/>
      </c>
      <c r="H846" s="26">
        <f>IF($N846&lt;&gt;"",IF(INDEX(PCNet,$N846)=0,"",INDEX(PCNet,$N846)),"")</f>
        <v/>
      </c>
      <c r="I846" s="25">
        <f>IF($N846&lt;&gt;"",IF(INDEX(PCOp,$N846)="مرجوعی خرید","",IF(INDEX(PCAmount,$N846)&lt;=0,"",INDEX(PCAmount,$N846))),IF($O846&lt;&gt;"",IF(INDEX(TxnDepB,$O846)=0,"",INDEX(TxnDepB,$O846)),""))</f>
        <v/>
      </c>
      <c r="J846" s="25">
        <f>IF($N846&lt;&gt;"",IF(INDEX(PCOp,$N846)="مرجوعی خرید",IF(INDEX(PCAmount,$N846)=0,"",-INDEX(PCAmount,$N846)),""),IF($O846&lt;&gt;"",IF(INDEX(TxnWitB,$O846)=0,"",INDEX(TxnWitB,$O846)),""))</f>
        <v/>
      </c>
      <c r="K846" s="27">
        <f>IF($B846="","",IF($K845="",$C$10,$K845)+IF($I846="",0,$I846)-IF($J846="",0,$J846))</f>
        <v/>
      </c>
      <c r="L846" s="28">
        <f>IF($N846&lt;&gt;"",IF(INDEX(PCNotes,$N846)="","—",INDEX(PCNotes,$N846)),IF($O846&lt;&gt;"",IF(INDEX(LdgNoteB,$O846)="","—",INDEX(LdgNoteB,$O846)),""))</f>
        <v/>
      </c>
      <c r="N846">
        <f>IFERROR(MATCH($C$5&amp;"|"&amp;RIGHT("000000"&amp;830,6),LdgRankKeyA,0),"")</f>
        <v/>
      </c>
      <c r="O846">
        <f>IFERROR(MATCH($C$5&amp;"|"&amp;RIGHT("000000"&amp;830,6),LdgRankKeyB,0),"")</f>
        <v/>
      </c>
    </row>
    <row r="847">
      <c r="A847" s="17" t="n">
        <v>831</v>
      </c>
      <c r="B847" s="18">
        <f>IF(AND($N847="",$O847=""),"",IF($N847&lt;&gt;"",INDEX(PCNormDate,$N847),INDEX(LdgDateB,$O847)))</f>
        <v/>
      </c>
      <c r="C847" s="18">
        <f>IF($N847&lt;&gt;"",INDEX(PCOp,$N847),IF($O847&lt;&gt;"",IF(N(INDEX(TxnDepB,$O847))&gt;0,"دریافت بانکی","پرداخت بانکی"),""))</f>
        <v/>
      </c>
      <c r="D847" s="18">
        <f>IF($N847&lt;&gt;"",IF(INDEX(PCDoc,$N847)="","—",INDEX(PCDoc,$N847)),IF($O847&lt;&gt;"",INDEX(LdgBankB,$O847),""))</f>
        <v/>
      </c>
      <c r="E847" s="18">
        <f>IF($N847&lt;&gt;"",IF(INDEX(PCCitrus,$N847)="","—",INDEX(PCCitrus,$N847)),"")</f>
        <v/>
      </c>
      <c r="F847" s="19">
        <f>IF($N847&lt;&gt;"",IF(INDEX(PCScale,$N847)=0,"",INDEX(PCScale,$N847)),"")</f>
        <v/>
      </c>
      <c r="G847" s="19">
        <f>IF($N847&lt;&gt;"",IF(INDEX(PCBaskets,$N847)=0,"",INDEX(PCBaskets,$N847)),"")</f>
        <v/>
      </c>
      <c r="H847" s="20">
        <f>IF($N847&lt;&gt;"",IF(INDEX(PCNet,$N847)=0,"",INDEX(PCNet,$N847)),"")</f>
        <v/>
      </c>
      <c r="I847" s="19">
        <f>IF($N847&lt;&gt;"",IF(INDEX(PCOp,$N847)="مرجوعی خرید","",IF(INDEX(PCAmount,$N847)&lt;=0,"",INDEX(PCAmount,$N847))),IF($O847&lt;&gt;"",IF(INDEX(TxnDepB,$O847)=0,"",INDEX(TxnDepB,$O847)),""))</f>
        <v/>
      </c>
      <c r="J847" s="19">
        <f>IF($N847&lt;&gt;"",IF(INDEX(PCOp,$N847)="مرجوعی خرید",IF(INDEX(PCAmount,$N847)=0,"",-INDEX(PCAmount,$N847)),""),IF($O847&lt;&gt;"",IF(INDEX(TxnWitB,$O847)=0,"",INDEX(TxnWitB,$O847)),""))</f>
        <v/>
      </c>
      <c r="K847" s="21">
        <f>IF($B847="","",IF($K846="",$C$10,$K846)+IF($I847="",0,$I847)-IF($J847="",0,$J847))</f>
        <v/>
      </c>
      <c r="L847" s="22">
        <f>IF($N847&lt;&gt;"",IF(INDEX(PCNotes,$N847)="","—",INDEX(PCNotes,$N847)),IF($O847&lt;&gt;"",IF(INDEX(LdgNoteB,$O847)="","—",INDEX(LdgNoteB,$O847)),""))</f>
        <v/>
      </c>
      <c r="N847">
        <f>IFERROR(MATCH($C$5&amp;"|"&amp;RIGHT("000000"&amp;831,6),LdgRankKeyA,0),"")</f>
        <v/>
      </c>
      <c r="O847">
        <f>IFERROR(MATCH($C$5&amp;"|"&amp;RIGHT("000000"&amp;831,6),LdgRankKeyB,0),"")</f>
        <v/>
      </c>
    </row>
    <row r="848">
      <c r="A848" s="23" t="n">
        <v>832</v>
      </c>
      <c r="B848" s="24">
        <f>IF(AND($N848="",$O848=""),"",IF($N848&lt;&gt;"",INDEX(PCNormDate,$N848),INDEX(LdgDateB,$O848)))</f>
        <v/>
      </c>
      <c r="C848" s="24">
        <f>IF($N848&lt;&gt;"",INDEX(PCOp,$N848),IF($O848&lt;&gt;"",IF(N(INDEX(TxnDepB,$O848))&gt;0,"دریافت بانکی","پرداخت بانکی"),""))</f>
        <v/>
      </c>
      <c r="D848" s="24">
        <f>IF($N848&lt;&gt;"",IF(INDEX(PCDoc,$N848)="","—",INDEX(PCDoc,$N848)),IF($O848&lt;&gt;"",INDEX(LdgBankB,$O848),""))</f>
        <v/>
      </c>
      <c r="E848" s="24">
        <f>IF($N848&lt;&gt;"",IF(INDEX(PCCitrus,$N848)="","—",INDEX(PCCitrus,$N848)),"")</f>
        <v/>
      </c>
      <c r="F848" s="25">
        <f>IF($N848&lt;&gt;"",IF(INDEX(PCScale,$N848)=0,"",INDEX(PCScale,$N848)),"")</f>
        <v/>
      </c>
      <c r="G848" s="25">
        <f>IF($N848&lt;&gt;"",IF(INDEX(PCBaskets,$N848)=0,"",INDEX(PCBaskets,$N848)),"")</f>
        <v/>
      </c>
      <c r="H848" s="26">
        <f>IF($N848&lt;&gt;"",IF(INDEX(PCNet,$N848)=0,"",INDEX(PCNet,$N848)),"")</f>
        <v/>
      </c>
      <c r="I848" s="25">
        <f>IF($N848&lt;&gt;"",IF(INDEX(PCOp,$N848)="مرجوعی خرید","",IF(INDEX(PCAmount,$N848)&lt;=0,"",INDEX(PCAmount,$N848))),IF($O848&lt;&gt;"",IF(INDEX(TxnDepB,$O848)=0,"",INDEX(TxnDepB,$O848)),""))</f>
        <v/>
      </c>
      <c r="J848" s="25">
        <f>IF($N848&lt;&gt;"",IF(INDEX(PCOp,$N848)="مرجوعی خرید",IF(INDEX(PCAmount,$N848)=0,"",-INDEX(PCAmount,$N848)),""),IF($O848&lt;&gt;"",IF(INDEX(TxnWitB,$O848)=0,"",INDEX(TxnWitB,$O848)),""))</f>
        <v/>
      </c>
      <c r="K848" s="27">
        <f>IF($B848="","",IF($K847="",$C$10,$K847)+IF($I848="",0,$I848)-IF($J848="",0,$J848))</f>
        <v/>
      </c>
      <c r="L848" s="28">
        <f>IF($N848&lt;&gt;"",IF(INDEX(PCNotes,$N848)="","—",INDEX(PCNotes,$N848)),IF($O848&lt;&gt;"",IF(INDEX(LdgNoteB,$O848)="","—",INDEX(LdgNoteB,$O848)),""))</f>
        <v/>
      </c>
      <c r="N848">
        <f>IFERROR(MATCH($C$5&amp;"|"&amp;RIGHT("000000"&amp;832,6),LdgRankKeyA,0),"")</f>
        <v/>
      </c>
      <c r="O848">
        <f>IFERROR(MATCH($C$5&amp;"|"&amp;RIGHT("000000"&amp;832,6),LdgRankKeyB,0),"")</f>
        <v/>
      </c>
    </row>
    <row r="849">
      <c r="A849" s="17" t="n">
        <v>833</v>
      </c>
      <c r="B849" s="18">
        <f>IF(AND($N849="",$O849=""),"",IF($N849&lt;&gt;"",INDEX(PCNormDate,$N849),INDEX(LdgDateB,$O849)))</f>
        <v/>
      </c>
      <c r="C849" s="18">
        <f>IF($N849&lt;&gt;"",INDEX(PCOp,$N849),IF($O849&lt;&gt;"",IF(N(INDEX(TxnDepB,$O849))&gt;0,"دریافت بانکی","پرداخت بانکی"),""))</f>
        <v/>
      </c>
      <c r="D849" s="18">
        <f>IF($N849&lt;&gt;"",IF(INDEX(PCDoc,$N849)="","—",INDEX(PCDoc,$N849)),IF($O849&lt;&gt;"",INDEX(LdgBankB,$O849),""))</f>
        <v/>
      </c>
      <c r="E849" s="18">
        <f>IF($N849&lt;&gt;"",IF(INDEX(PCCitrus,$N849)="","—",INDEX(PCCitrus,$N849)),"")</f>
        <v/>
      </c>
      <c r="F849" s="19">
        <f>IF($N849&lt;&gt;"",IF(INDEX(PCScale,$N849)=0,"",INDEX(PCScale,$N849)),"")</f>
        <v/>
      </c>
      <c r="G849" s="19">
        <f>IF($N849&lt;&gt;"",IF(INDEX(PCBaskets,$N849)=0,"",INDEX(PCBaskets,$N849)),"")</f>
        <v/>
      </c>
      <c r="H849" s="20">
        <f>IF($N849&lt;&gt;"",IF(INDEX(PCNet,$N849)=0,"",INDEX(PCNet,$N849)),"")</f>
        <v/>
      </c>
      <c r="I849" s="19">
        <f>IF($N849&lt;&gt;"",IF(INDEX(PCOp,$N849)="مرجوعی خرید","",IF(INDEX(PCAmount,$N849)&lt;=0,"",INDEX(PCAmount,$N849))),IF($O849&lt;&gt;"",IF(INDEX(TxnDepB,$O849)=0,"",INDEX(TxnDepB,$O849)),""))</f>
        <v/>
      </c>
      <c r="J849" s="19">
        <f>IF($N849&lt;&gt;"",IF(INDEX(PCOp,$N849)="مرجوعی خرید",IF(INDEX(PCAmount,$N849)=0,"",-INDEX(PCAmount,$N849)),""),IF($O849&lt;&gt;"",IF(INDEX(TxnWitB,$O849)=0,"",INDEX(TxnWitB,$O849)),""))</f>
        <v/>
      </c>
      <c r="K849" s="21">
        <f>IF($B849="","",IF($K848="",$C$10,$K848)+IF($I849="",0,$I849)-IF($J849="",0,$J849))</f>
        <v/>
      </c>
      <c r="L849" s="22">
        <f>IF($N849&lt;&gt;"",IF(INDEX(PCNotes,$N849)="","—",INDEX(PCNotes,$N849)),IF($O849&lt;&gt;"",IF(INDEX(LdgNoteB,$O849)="","—",INDEX(LdgNoteB,$O849)),""))</f>
        <v/>
      </c>
      <c r="N849">
        <f>IFERROR(MATCH($C$5&amp;"|"&amp;RIGHT("000000"&amp;833,6),LdgRankKeyA,0),"")</f>
        <v/>
      </c>
      <c r="O849">
        <f>IFERROR(MATCH($C$5&amp;"|"&amp;RIGHT("000000"&amp;833,6),LdgRankKeyB,0),"")</f>
        <v/>
      </c>
    </row>
    <row r="850">
      <c r="A850" s="23" t="n">
        <v>834</v>
      </c>
      <c r="B850" s="24">
        <f>IF(AND($N850="",$O850=""),"",IF($N850&lt;&gt;"",INDEX(PCNormDate,$N850),INDEX(LdgDateB,$O850)))</f>
        <v/>
      </c>
      <c r="C850" s="24">
        <f>IF($N850&lt;&gt;"",INDEX(PCOp,$N850),IF($O850&lt;&gt;"",IF(N(INDEX(TxnDepB,$O850))&gt;0,"دریافت بانکی","پرداخت بانکی"),""))</f>
        <v/>
      </c>
      <c r="D850" s="24">
        <f>IF($N850&lt;&gt;"",IF(INDEX(PCDoc,$N850)="","—",INDEX(PCDoc,$N850)),IF($O850&lt;&gt;"",INDEX(LdgBankB,$O850),""))</f>
        <v/>
      </c>
      <c r="E850" s="24">
        <f>IF($N850&lt;&gt;"",IF(INDEX(PCCitrus,$N850)="","—",INDEX(PCCitrus,$N850)),"")</f>
        <v/>
      </c>
      <c r="F850" s="25">
        <f>IF($N850&lt;&gt;"",IF(INDEX(PCScale,$N850)=0,"",INDEX(PCScale,$N850)),"")</f>
        <v/>
      </c>
      <c r="G850" s="25">
        <f>IF($N850&lt;&gt;"",IF(INDEX(PCBaskets,$N850)=0,"",INDEX(PCBaskets,$N850)),"")</f>
        <v/>
      </c>
      <c r="H850" s="26">
        <f>IF($N850&lt;&gt;"",IF(INDEX(PCNet,$N850)=0,"",INDEX(PCNet,$N850)),"")</f>
        <v/>
      </c>
      <c r="I850" s="25">
        <f>IF($N850&lt;&gt;"",IF(INDEX(PCOp,$N850)="مرجوعی خرید","",IF(INDEX(PCAmount,$N850)&lt;=0,"",INDEX(PCAmount,$N850))),IF($O850&lt;&gt;"",IF(INDEX(TxnDepB,$O850)=0,"",INDEX(TxnDepB,$O850)),""))</f>
        <v/>
      </c>
      <c r="J850" s="25">
        <f>IF($N850&lt;&gt;"",IF(INDEX(PCOp,$N850)="مرجوعی خرید",IF(INDEX(PCAmount,$N850)=0,"",-INDEX(PCAmount,$N850)),""),IF($O850&lt;&gt;"",IF(INDEX(TxnWitB,$O850)=0,"",INDEX(TxnWitB,$O850)),""))</f>
        <v/>
      </c>
      <c r="K850" s="27">
        <f>IF($B850="","",IF($K849="",$C$10,$K849)+IF($I850="",0,$I850)-IF($J850="",0,$J850))</f>
        <v/>
      </c>
      <c r="L850" s="28">
        <f>IF($N850&lt;&gt;"",IF(INDEX(PCNotes,$N850)="","—",INDEX(PCNotes,$N850)),IF($O850&lt;&gt;"",IF(INDEX(LdgNoteB,$O850)="","—",INDEX(LdgNoteB,$O850)),""))</f>
        <v/>
      </c>
      <c r="N850">
        <f>IFERROR(MATCH($C$5&amp;"|"&amp;RIGHT("000000"&amp;834,6),LdgRankKeyA,0),"")</f>
        <v/>
      </c>
      <c r="O850">
        <f>IFERROR(MATCH($C$5&amp;"|"&amp;RIGHT("000000"&amp;834,6),LdgRankKeyB,0),"")</f>
        <v/>
      </c>
    </row>
    <row r="851">
      <c r="A851" s="17" t="n">
        <v>835</v>
      </c>
      <c r="B851" s="18">
        <f>IF(AND($N851="",$O851=""),"",IF($N851&lt;&gt;"",INDEX(PCNormDate,$N851),INDEX(LdgDateB,$O851)))</f>
        <v/>
      </c>
      <c r="C851" s="18">
        <f>IF($N851&lt;&gt;"",INDEX(PCOp,$N851),IF($O851&lt;&gt;"",IF(N(INDEX(TxnDepB,$O851))&gt;0,"دریافت بانکی","پرداخت بانکی"),""))</f>
        <v/>
      </c>
      <c r="D851" s="18">
        <f>IF($N851&lt;&gt;"",IF(INDEX(PCDoc,$N851)="","—",INDEX(PCDoc,$N851)),IF($O851&lt;&gt;"",INDEX(LdgBankB,$O851),""))</f>
        <v/>
      </c>
      <c r="E851" s="18">
        <f>IF($N851&lt;&gt;"",IF(INDEX(PCCitrus,$N851)="","—",INDEX(PCCitrus,$N851)),"")</f>
        <v/>
      </c>
      <c r="F851" s="19">
        <f>IF($N851&lt;&gt;"",IF(INDEX(PCScale,$N851)=0,"",INDEX(PCScale,$N851)),"")</f>
        <v/>
      </c>
      <c r="G851" s="19">
        <f>IF($N851&lt;&gt;"",IF(INDEX(PCBaskets,$N851)=0,"",INDEX(PCBaskets,$N851)),"")</f>
        <v/>
      </c>
      <c r="H851" s="20">
        <f>IF($N851&lt;&gt;"",IF(INDEX(PCNet,$N851)=0,"",INDEX(PCNet,$N851)),"")</f>
        <v/>
      </c>
      <c r="I851" s="19">
        <f>IF($N851&lt;&gt;"",IF(INDEX(PCOp,$N851)="مرجوعی خرید","",IF(INDEX(PCAmount,$N851)&lt;=0,"",INDEX(PCAmount,$N851))),IF($O851&lt;&gt;"",IF(INDEX(TxnDepB,$O851)=0,"",INDEX(TxnDepB,$O851)),""))</f>
        <v/>
      </c>
      <c r="J851" s="19">
        <f>IF($N851&lt;&gt;"",IF(INDEX(PCOp,$N851)="مرجوعی خرید",IF(INDEX(PCAmount,$N851)=0,"",-INDEX(PCAmount,$N851)),""),IF($O851&lt;&gt;"",IF(INDEX(TxnWitB,$O851)=0,"",INDEX(TxnWitB,$O851)),""))</f>
        <v/>
      </c>
      <c r="K851" s="21">
        <f>IF($B851="","",IF($K850="",$C$10,$K850)+IF($I851="",0,$I851)-IF($J851="",0,$J851))</f>
        <v/>
      </c>
      <c r="L851" s="22">
        <f>IF($N851&lt;&gt;"",IF(INDEX(PCNotes,$N851)="","—",INDEX(PCNotes,$N851)),IF($O851&lt;&gt;"",IF(INDEX(LdgNoteB,$O851)="","—",INDEX(LdgNoteB,$O851)),""))</f>
        <v/>
      </c>
      <c r="N851">
        <f>IFERROR(MATCH($C$5&amp;"|"&amp;RIGHT("000000"&amp;835,6),LdgRankKeyA,0),"")</f>
        <v/>
      </c>
      <c r="O851">
        <f>IFERROR(MATCH($C$5&amp;"|"&amp;RIGHT("000000"&amp;835,6),LdgRankKeyB,0),"")</f>
        <v/>
      </c>
    </row>
    <row r="852">
      <c r="A852" s="23" t="n">
        <v>836</v>
      </c>
      <c r="B852" s="24">
        <f>IF(AND($N852="",$O852=""),"",IF($N852&lt;&gt;"",INDEX(PCNormDate,$N852),INDEX(LdgDateB,$O852)))</f>
        <v/>
      </c>
      <c r="C852" s="24">
        <f>IF($N852&lt;&gt;"",INDEX(PCOp,$N852),IF($O852&lt;&gt;"",IF(N(INDEX(TxnDepB,$O852))&gt;0,"دریافت بانکی","پرداخت بانکی"),""))</f>
        <v/>
      </c>
      <c r="D852" s="24">
        <f>IF($N852&lt;&gt;"",IF(INDEX(PCDoc,$N852)="","—",INDEX(PCDoc,$N852)),IF($O852&lt;&gt;"",INDEX(LdgBankB,$O852),""))</f>
        <v/>
      </c>
      <c r="E852" s="24">
        <f>IF($N852&lt;&gt;"",IF(INDEX(PCCitrus,$N852)="","—",INDEX(PCCitrus,$N852)),"")</f>
        <v/>
      </c>
      <c r="F852" s="25">
        <f>IF($N852&lt;&gt;"",IF(INDEX(PCScale,$N852)=0,"",INDEX(PCScale,$N852)),"")</f>
        <v/>
      </c>
      <c r="G852" s="25">
        <f>IF($N852&lt;&gt;"",IF(INDEX(PCBaskets,$N852)=0,"",INDEX(PCBaskets,$N852)),"")</f>
        <v/>
      </c>
      <c r="H852" s="26">
        <f>IF($N852&lt;&gt;"",IF(INDEX(PCNet,$N852)=0,"",INDEX(PCNet,$N852)),"")</f>
        <v/>
      </c>
      <c r="I852" s="25">
        <f>IF($N852&lt;&gt;"",IF(INDEX(PCOp,$N852)="مرجوعی خرید","",IF(INDEX(PCAmount,$N852)&lt;=0,"",INDEX(PCAmount,$N852))),IF($O852&lt;&gt;"",IF(INDEX(TxnDepB,$O852)=0,"",INDEX(TxnDepB,$O852)),""))</f>
        <v/>
      </c>
      <c r="J852" s="25">
        <f>IF($N852&lt;&gt;"",IF(INDEX(PCOp,$N852)="مرجوعی خرید",IF(INDEX(PCAmount,$N852)=0,"",-INDEX(PCAmount,$N852)),""),IF($O852&lt;&gt;"",IF(INDEX(TxnWitB,$O852)=0,"",INDEX(TxnWitB,$O852)),""))</f>
        <v/>
      </c>
      <c r="K852" s="27">
        <f>IF($B852="","",IF($K851="",$C$10,$K851)+IF($I852="",0,$I852)-IF($J852="",0,$J852))</f>
        <v/>
      </c>
      <c r="L852" s="28">
        <f>IF($N852&lt;&gt;"",IF(INDEX(PCNotes,$N852)="","—",INDEX(PCNotes,$N852)),IF($O852&lt;&gt;"",IF(INDEX(LdgNoteB,$O852)="","—",INDEX(LdgNoteB,$O852)),""))</f>
        <v/>
      </c>
      <c r="N852">
        <f>IFERROR(MATCH($C$5&amp;"|"&amp;RIGHT("000000"&amp;836,6),LdgRankKeyA,0),"")</f>
        <v/>
      </c>
      <c r="O852">
        <f>IFERROR(MATCH($C$5&amp;"|"&amp;RIGHT("000000"&amp;836,6),LdgRankKeyB,0),"")</f>
        <v/>
      </c>
    </row>
    <row r="853">
      <c r="A853" s="17" t="n">
        <v>837</v>
      </c>
      <c r="B853" s="18">
        <f>IF(AND($N853="",$O853=""),"",IF($N853&lt;&gt;"",INDEX(PCNormDate,$N853),INDEX(LdgDateB,$O853)))</f>
        <v/>
      </c>
      <c r="C853" s="18">
        <f>IF($N853&lt;&gt;"",INDEX(PCOp,$N853),IF($O853&lt;&gt;"",IF(N(INDEX(TxnDepB,$O853))&gt;0,"دریافت بانکی","پرداخت بانکی"),""))</f>
        <v/>
      </c>
      <c r="D853" s="18">
        <f>IF($N853&lt;&gt;"",IF(INDEX(PCDoc,$N853)="","—",INDEX(PCDoc,$N853)),IF($O853&lt;&gt;"",INDEX(LdgBankB,$O853),""))</f>
        <v/>
      </c>
      <c r="E853" s="18">
        <f>IF($N853&lt;&gt;"",IF(INDEX(PCCitrus,$N853)="","—",INDEX(PCCitrus,$N853)),"")</f>
        <v/>
      </c>
      <c r="F853" s="19">
        <f>IF($N853&lt;&gt;"",IF(INDEX(PCScale,$N853)=0,"",INDEX(PCScale,$N853)),"")</f>
        <v/>
      </c>
      <c r="G853" s="19">
        <f>IF($N853&lt;&gt;"",IF(INDEX(PCBaskets,$N853)=0,"",INDEX(PCBaskets,$N853)),"")</f>
        <v/>
      </c>
      <c r="H853" s="20">
        <f>IF($N853&lt;&gt;"",IF(INDEX(PCNet,$N853)=0,"",INDEX(PCNet,$N853)),"")</f>
        <v/>
      </c>
      <c r="I853" s="19">
        <f>IF($N853&lt;&gt;"",IF(INDEX(PCOp,$N853)="مرجوعی خرید","",IF(INDEX(PCAmount,$N853)&lt;=0,"",INDEX(PCAmount,$N853))),IF($O853&lt;&gt;"",IF(INDEX(TxnDepB,$O853)=0,"",INDEX(TxnDepB,$O853)),""))</f>
        <v/>
      </c>
      <c r="J853" s="19">
        <f>IF($N853&lt;&gt;"",IF(INDEX(PCOp,$N853)="مرجوعی خرید",IF(INDEX(PCAmount,$N853)=0,"",-INDEX(PCAmount,$N853)),""),IF($O853&lt;&gt;"",IF(INDEX(TxnWitB,$O853)=0,"",INDEX(TxnWitB,$O853)),""))</f>
        <v/>
      </c>
      <c r="K853" s="21">
        <f>IF($B853="","",IF($K852="",$C$10,$K852)+IF($I853="",0,$I853)-IF($J853="",0,$J853))</f>
        <v/>
      </c>
      <c r="L853" s="22">
        <f>IF($N853&lt;&gt;"",IF(INDEX(PCNotes,$N853)="","—",INDEX(PCNotes,$N853)),IF($O853&lt;&gt;"",IF(INDEX(LdgNoteB,$O853)="","—",INDEX(LdgNoteB,$O853)),""))</f>
        <v/>
      </c>
      <c r="N853">
        <f>IFERROR(MATCH($C$5&amp;"|"&amp;RIGHT("000000"&amp;837,6),LdgRankKeyA,0),"")</f>
        <v/>
      </c>
      <c r="O853">
        <f>IFERROR(MATCH($C$5&amp;"|"&amp;RIGHT("000000"&amp;837,6),LdgRankKeyB,0),"")</f>
        <v/>
      </c>
    </row>
    <row r="854">
      <c r="A854" s="23" t="n">
        <v>838</v>
      </c>
      <c r="B854" s="24">
        <f>IF(AND($N854="",$O854=""),"",IF($N854&lt;&gt;"",INDEX(PCNormDate,$N854),INDEX(LdgDateB,$O854)))</f>
        <v/>
      </c>
      <c r="C854" s="24">
        <f>IF($N854&lt;&gt;"",INDEX(PCOp,$N854),IF($O854&lt;&gt;"",IF(N(INDEX(TxnDepB,$O854))&gt;0,"دریافت بانکی","پرداخت بانکی"),""))</f>
        <v/>
      </c>
      <c r="D854" s="24">
        <f>IF($N854&lt;&gt;"",IF(INDEX(PCDoc,$N854)="","—",INDEX(PCDoc,$N854)),IF($O854&lt;&gt;"",INDEX(LdgBankB,$O854),""))</f>
        <v/>
      </c>
      <c r="E854" s="24">
        <f>IF($N854&lt;&gt;"",IF(INDEX(PCCitrus,$N854)="","—",INDEX(PCCitrus,$N854)),"")</f>
        <v/>
      </c>
      <c r="F854" s="25">
        <f>IF($N854&lt;&gt;"",IF(INDEX(PCScale,$N854)=0,"",INDEX(PCScale,$N854)),"")</f>
        <v/>
      </c>
      <c r="G854" s="25">
        <f>IF($N854&lt;&gt;"",IF(INDEX(PCBaskets,$N854)=0,"",INDEX(PCBaskets,$N854)),"")</f>
        <v/>
      </c>
      <c r="H854" s="26">
        <f>IF($N854&lt;&gt;"",IF(INDEX(PCNet,$N854)=0,"",INDEX(PCNet,$N854)),"")</f>
        <v/>
      </c>
      <c r="I854" s="25">
        <f>IF($N854&lt;&gt;"",IF(INDEX(PCOp,$N854)="مرجوعی خرید","",IF(INDEX(PCAmount,$N854)&lt;=0,"",INDEX(PCAmount,$N854))),IF($O854&lt;&gt;"",IF(INDEX(TxnDepB,$O854)=0,"",INDEX(TxnDepB,$O854)),""))</f>
        <v/>
      </c>
      <c r="J854" s="25">
        <f>IF($N854&lt;&gt;"",IF(INDEX(PCOp,$N854)="مرجوعی خرید",IF(INDEX(PCAmount,$N854)=0,"",-INDEX(PCAmount,$N854)),""),IF($O854&lt;&gt;"",IF(INDEX(TxnWitB,$O854)=0,"",INDEX(TxnWitB,$O854)),""))</f>
        <v/>
      </c>
      <c r="K854" s="27">
        <f>IF($B854="","",IF($K853="",$C$10,$K853)+IF($I854="",0,$I854)-IF($J854="",0,$J854))</f>
        <v/>
      </c>
      <c r="L854" s="28">
        <f>IF($N854&lt;&gt;"",IF(INDEX(PCNotes,$N854)="","—",INDEX(PCNotes,$N854)),IF($O854&lt;&gt;"",IF(INDEX(LdgNoteB,$O854)="","—",INDEX(LdgNoteB,$O854)),""))</f>
        <v/>
      </c>
      <c r="N854">
        <f>IFERROR(MATCH($C$5&amp;"|"&amp;RIGHT("000000"&amp;838,6),LdgRankKeyA,0),"")</f>
        <v/>
      </c>
      <c r="O854">
        <f>IFERROR(MATCH($C$5&amp;"|"&amp;RIGHT("000000"&amp;838,6),LdgRankKeyB,0),"")</f>
        <v/>
      </c>
    </row>
    <row r="855">
      <c r="A855" s="17" t="n">
        <v>839</v>
      </c>
      <c r="B855" s="18">
        <f>IF(AND($N855="",$O855=""),"",IF($N855&lt;&gt;"",INDEX(PCNormDate,$N855),INDEX(LdgDateB,$O855)))</f>
        <v/>
      </c>
      <c r="C855" s="18">
        <f>IF($N855&lt;&gt;"",INDEX(PCOp,$N855),IF($O855&lt;&gt;"",IF(N(INDEX(TxnDepB,$O855))&gt;0,"دریافت بانکی","پرداخت بانکی"),""))</f>
        <v/>
      </c>
      <c r="D855" s="18">
        <f>IF($N855&lt;&gt;"",IF(INDEX(PCDoc,$N855)="","—",INDEX(PCDoc,$N855)),IF($O855&lt;&gt;"",INDEX(LdgBankB,$O855),""))</f>
        <v/>
      </c>
      <c r="E855" s="18">
        <f>IF($N855&lt;&gt;"",IF(INDEX(PCCitrus,$N855)="","—",INDEX(PCCitrus,$N855)),"")</f>
        <v/>
      </c>
      <c r="F855" s="19">
        <f>IF($N855&lt;&gt;"",IF(INDEX(PCScale,$N855)=0,"",INDEX(PCScale,$N855)),"")</f>
        <v/>
      </c>
      <c r="G855" s="19">
        <f>IF($N855&lt;&gt;"",IF(INDEX(PCBaskets,$N855)=0,"",INDEX(PCBaskets,$N855)),"")</f>
        <v/>
      </c>
      <c r="H855" s="20">
        <f>IF($N855&lt;&gt;"",IF(INDEX(PCNet,$N855)=0,"",INDEX(PCNet,$N855)),"")</f>
        <v/>
      </c>
      <c r="I855" s="19">
        <f>IF($N855&lt;&gt;"",IF(INDEX(PCOp,$N855)="مرجوعی خرید","",IF(INDEX(PCAmount,$N855)&lt;=0,"",INDEX(PCAmount,$N855))),IF($O855&lt;&gt;"",IF(INDEX(TxnDepB,$O855)=0,"",INDEX(TxnDepB,$O855)),""))</f>
        <v/>
      </c>
      <c r="J855" s="19">
        <f>IF($N855&lt;&gt;"",IF(INDEX(PCOp,$N855)="مرجوعی خرید",IF(INDEX(PCAmount,$N855)=0,"",-INDEX(PCAmount,$N855)),""),IF($O855&lt;&gt;"",IF(INDEX(TxnWitB,$O855)=0,"",INDEX(TxnWitB,$O855)),""))</f>
        <v/>
      </c>
      <c r="K855" s="21">
        <f>IF($B855="","",IF($K854="",$C$10,$K854)+IF($I855="",0,$I855)-IF($J855="",0,$J855))</f>
        <v/>
      </c>
      <c r="L855" s="22">
        <f>IF($N855&lt;&gt;"",IF(INDEX(PCNotes,$N855)="","—",INDEX(PCNotes,$N855)),IF($O855&lt;&gt;"",IF(INDEX(LdgNoteB,$O855)="","—",INDEX(LdgNoteB,$O855)),""))</f>
        <v/>
      </c>
      <c r="N855">
        <f>IFERROR(MATCH($C$5&amp;"|"&amp;RIGHT("000000"&amp;839,6),LdgRankKeyA,0),"")</f>
        <v/>
      </c>
      <c r="O855">
        <f>IFERROR(MATCH($C$5&amp;"|"&amp;RIGHT("000000"&amp;839,6),LdgRankKeyB,0),"")</f>
        <v/>
      </c>
    </row>
    <row r="856">
      <c r="A856" s="23" t="n">
        <v>840</v>
      </c>
      <c r="B856" s="24">
        <f>IF(AND($N856="",$O856=""),"",IF($N856&lt;&gt;"",INDEX(PCNormDate,$N856),INDEX(LdgDateB,$O856)))</f>
        <v/>
      </c>
      <c r="C856" s="24">
        <f>IF($N856&lt;&gt;"",INDEX(PCOp,$N856),IF($O856&lt;&gt;"",IF(N(INDEX(TxnDepB,$O856))&gt;0,"دریافت بانکی","پرداخت بانکی"),""))</f>
        <v/>
      </c>
      <c r="D856" s="24">
        <f>IF($N856&lt;&gt;"",IF(INDEX(PCDoc,$N856)="","—",INDEX(PCDoc,$N856)),IF($O856&lt;&gt;"",INDEX(LdgBankB,$O856),""))</f>
        <v/>
      </c>
      <c r="E856" s="24">
        <f>IF($N856&lt;&gt;"",IF(INDEX(PCCitrus,$N856)="","—",INDEX(PCCitrus,$N856)),"")</f>
        <v/>
      </c>
      <c r="F856" s="25">
        <f>IF($N856&lt;&gt;"",IF(INDEX(PCScale,$N856)=0,"",INDEX(PCScale,$N856)),"")</f>
        <v/>
      </c>
      <c r="G856" s="25">
        <f>IF($N856&lt;&gt;"",IF(INDEX(PCBaskets,$N856)=0,"",INDEX(PCBaskets,$N856)),"")</f>
        <v/>
      </c>
      <c r="H856" s="26">
        <f>IF($N856&lt;&gt;"",IF(INDEX(PCNet,$N856)=0,"",INDEX(PCNet,$N856)),"")</f>
        <v/>
      </c>
      <c r="I856" s="25">
        <f>IF($N856&lt;&gt;"",IF(INDEX(PCOp,$N856)="مرجوعی خرید","",IF(INDEX(PCAmount,$N856)&lt;=0,"",INDEX(PCAmount,$N856))),IF($O856&lt;&gt;"",IF(INDEX(TxnDepB,$O856)=0,"",INDEX(TxnDepB,$O856)),""))</f>
        <v/>
      </c>
      <c r="J856" s="25">
        <f>IF($N856&lt;&gt;"",IF(INDEX(PCOp,$N856)="مرجوعی خرید",IF(INDEX(PCAmount,$N856)=0,"",-INDEX(PCAmount,$N856)),""),IF($O856&lt;&gt;"",IF(INDEX(TxnWitB,$O856)=0,"",INDEX(TxnWitB,$O856)),""))</f>
        <v/>
      </c>
      <c r="K856" s="27">
        <f>IF($B856="","",IF($K855="",$C$10,$K855)+IF($I856="",0,$I856)-IF($J856="",0,$J856))</f>
        <v/>
      </c>
      <c r="L856" s="28">
        <f>IF($N856&lt;&gt;"",IF(INDEX(PCNotes,$N856)="","—",INDEX(PCNotes,$N856)),IF($O856&lt;&gt;"",IF(INDEX(LdgNoteB,$O856)="","—",INDEX(LdgNoteB,$O856)),""))</f>
        <v/>
      </c>
      <c r="N856">
        <f>IFERROR(MATCH($C$5&amp;"|"&amp;RIGHT("000000"&amp;840,6),LdgRankKeyA,0),"")</f>
        <v/>
      </c>
      <c r="O856">
        <f>IFERROR(MATCH($C$5&amp;"|"&amp;RIGHT("000000"&amp;840,6),LdgRankKeyB,0),"")</f>
        <v/>
      </c>
    </row>
    <row r="857">
      <c r="A857" s="17" t="n">
        <v>841</v>
      </c>
      <c r="B857" s="18">
        <f>IF(AND($N857="",$O857=""),"",IF($N857&lt;&gt;"",INDEX(PCNormDate,$N857),INDEX(LdgDateB,$O857)))</f>
        <v/>
      </c>
      <c r="C857" s="18">
        <f>IF($N857&lt;&gt;"",INDEX(PCOp,$N857),IF($O857&lt;&gt;"",IF(N(INDEX(TxnDepB,$O857))&gt;0,"دریافت بانکی","پرداخت بانکی"),""))</f>
        <v/>
      </c>
      <c r="D857" s="18">
        <f>IF($N857&lt;&gt;"",IF(INDEX(PCDoc,$N857)="","—",INDEX(PCDoc,$N857)),IF($O857&lt;&gt;"",INDEX(LdgBankB,$O857),""))</f>
        <v/>
      </c>
      <c r="E857" s="18">
        <f>IF($N857&lt;&gt;"",IF(INDEX(PCCitrus,$N857)="","—",INDEX(PCCitrus,$N857)),"")</f>
        <v/>
      </c>
      <c r="F857" s="19">
        <f>IF($N857&lt;&gt;"",IF(INDEX(PCScale,$N857)=0,"",INDEX(PCScale,$N857)),"")</f>
        <v/>
      </c>
      <c r="G857" s="19">
        <f>IF($N857&lt;&gt;"",IF(INDEX(PCBaskets,$N857)=0,"",INDEX(PCBaskets,$N857)),"")</f>
        <v/>
      </c>
      <c r="H857" s="20">
        <f>IF($N857&lt;&gt;"",IF(INDEX(PCNet,$N857)=0,"",INDEX(PCNet,$N857)),"")</f>
        <v/>
      </c>
      <c r="I857" s="19">
        <f>IF($N857&lt;&gt;"",IF(INDEX(PCOp,$N857)="مرجوعی خرید","",IF(INDEX(PCAmount,$N857)&lt;=0,"",INDEX(PCAmount,$N857))),IF($O857&lt;&gt;"",IF(INDEX(TxnDepB,$O857)=0,"",INDEX(TxnDepB,$O857)),""))</f>
        <v/>
      </c>
      <c r="J857" s="19">
        <f>IF($N857&lt;&gt;"",IF(INDEX(PCOp,$N857)="مرجوعی خرید",IF(INDEX(PCAmount,$N857)=0,"",-INDEX(PCAmount,$N857)),""),IF($O857&lt;&gt;"",IF(INDEX(TxnWitB,$O857)=0,"",INDEX(TxnWitB,$O857)),""))</f>
        <v/>
      </c>
      <c r="K857" s="21">
        <f>IF($B857="","",IF($K856="",$C$10,$K856)+IF($I857="",0,$I857)-IF($J857="",0,$J857))</f>
        <v/>
      </c>
      <c r="L857" s="22">
        <f>IF($N857&lt;&gt;"",IF(INDEX(PCNotes,$N857)="","—",INDEX(PCNotes,$N857)),IF($O857&lt;&gt;"",IF(INDEX(LdgNoteB,$O857)="","—",INDEX(LdgNoteB,$O857)),""))</f>
        <v/>
      </c>
      <c r="N857">
        <f>IFERROR(MATCH($C$5&amp;"|"&amp;RIGHT("000000"&amp;841,6),LdgRankKeyA,0),"")</f>
        <v/>
      </c>
      <c r="O857">
        <f>IFERROR(MATCH($C$5&amp;"|"&amp;RIGHT("000000"&amp;841,6),LdgRankKeyB,0),"")</f>
        <v/>
      </c>
    </row>
    <row r="858">
      <c r="A858" s="23" t="n">
        <v>842</v>
      </c>
      <c r="B858" s="24">
        <f>IF(AND($N858="",$O858=""),"",IF($N858&lt;&gt;"",INDEX(PCNormDate,$N858),INDEX(LdgDateB,$O858)))</f>
        <v/>
      </c>
      <c r="C858" s="24">
        <f>IF($N858&lt;&gt;"",INDEX(PCOp,$N858),IF($O858&lt;&gt;"",IF(N(INDEX(TxnDepB,$O858))&gt;0,"دریافت بانکی","پرداخت بانکی"),""))</f>
        <v/>
      </c>
      <c r="D858" s="24">
        <f>IF($N858&lt;&gt;"",IF(INDEX(PCDoc,$N858)="","—",INDEX(PCDoc,$N858)),IF($O858&lt;&gt;"",INDEX(LdgBankB,$O858),""))</f>
        <v/>
      </c>
      <c r="E858" s="24">
        <f>IF($N858&lt;&gt;"",IF(INDEX(PCCitrus,$N858)="","—",INDEX(PCCitrus,$N858)),"")</f>
        <v/>
      </c>
      <c r="F858" s="25">
        <f>IF($N858&lt;&gt;"",IF(INDEX(PCScale,$N858)=0,"",INDEX(PCScale,$N858)),"")</f>
        <v/>
      </c>
      <c r="G858" s="25">
        <f>IF($N858&lt;&gt;"",IF(INDEX(PCBaskets,$N858)=0,"",INDEX(PCBaskets,$N858)),"")</f>
        <v/>
      </c>
      <c r="H858" s="26">
        <f>IF($N858&lt;&gt;"",IF(INDEX(PCNet,$N858)=0,"",INDEX(PCNet,$N858)),"")</f>
        <v/>
      </c>
      <c r="I858" s="25">
        <f>IF($N858&lt;&gt;"",IF(INDEX(PCOp,$N858)="مرجوعی خرید","",IF(INDEX(PCAmount,$N858)&lt;=0,"",INDEX(PCAmount,$N858))),IF($O858&lt;&gt;"",IF(INDEX(TxnDepB,$O858)=0,"",INDEX(TxnDepB,$O858)),""))</f>
        <v/>
      </c>
      <c r="J858" s="25">
        <f>IF($N858&lt;&gt;"",IF(INDEX(PCOp,$N858)="مرجوعی خرید",IF(INDEX(PCAmount,$N858)=0,"",-INDEX(PCAmount,$N858)),""),IF($O858&lt;&gt;"",IF(INDEX(TxnWitB,$O858)=0,"",INDEX(TxnWitB,$O858)),""))</f>
        <v/>
      </c>
      <c r="K858" s="27">
        <f>IF($B858="","",IF($K857="",$C$10,$K857)+IF($I858="",0,$I858)-IF($J858="",0,$J858))</f>
        <v/>
      </c>
      <c r="L858" s="28">
        <f>IF($N858&lt;&gt;"",IF(INDEX(PCNotes,$N858)="","—",INDEX(PCNotes,$N858)),IF($O858&lt;&gt;"",IF(INDEX(LdgNoteB,$O858)="","—",INDEX(LdgNoteB,$O858)),""))</f>
        <v/>
      </c>
      <c r="N858">
        <f>IFERROR(MATCH($C$5&amp;"|"&amp;RIGHT("000000"&amp;842,6),LdgRankKeyA,0),"")</f>
        <v/>
      </c>
      <c r="O858">
        <f>IFERROR(MATCH($C$5&amp;"|"&amp;RIGHT("000000"&amp;842,6),LdgRankKeyB,0),"")</f>
        <v/>
      </c>
    </row>
    <row r="859">
      <c r="A859" s="17" t="n">
        <v>843</v>
      </c>
      <c r="B859" s="18">
        <f>IF(AND($N859="",$O859=""),"",IF($N859&lt;&gt;"",INDEX(PCNormDate,$N859),INDEX(LdgDateB,$O859)))</f>
        <v/>
      </c>
      <c r="C859" s="18">
        <f>IF($N859&lt;&gt;"",INDEX(PCOp,$N859),IF($O859&lt;&gt;"",IF(N(INDEX(TxnDepB,$O859))&gt;0,"دریافت بانکی","پرداخت بانکی"),""))</f>
        <v/>
      </c>
      <c r="D859" s="18">
        <f>IF($N859&lt;&gt;"",IF(INDEX(PCDoc,$N859)="","—",INDEX(PCDoc,$N859)),IF($O859&lt;&gt;"",INDEX(LdgBankB,$O859),""))</f>
        <v/>
      </c>
      <c r="E859" s="18">
        <f>IF($N859&lt;&gt;"",IF(INDEX(PCCitrus,$N859)="","—",INDEX(PCCitrus,$N859)),"")</f>
        <v/>
      </c>
      <c r="F859" s="19">
        <f>IF($N859&lt;&gt;"",IF(INDEX(PCScale,$N859)=0,"",INDEX(PCScale,$N859)),"")</f>
        <v/>
      </c>
      <c r="G859" s="19">
        <f>IF($N859&lt;&gt;"",IF(INDEX(PCBaskets,$N859)=0,"",INDEX(PCBaskets,$N859)),"")</f>
        <v/>
      </c>
      <c r="H859" s="20">
        <f>IF($N859&lt;&gt;"",IF(INDEX(PCNet,$N859)=0,"",INDEX(PCNet,$N859)),"")</f>
        <v/>
      </c>
      <c r="I859" s="19">
        <f>IF($N859&lt;&gt;"",IF(INDEX(PCOp,$N859)="مرجوعی خرید","",IF(INDEX(PCAmount,$N859)&lt;=0,"",INDEX(PCAmount,$N859))),IF($O859&lt;&gt;"",IF(INDEX(TxnDepB,$O859)=0,"",INDEX(TxnDepB,$O859)),""))</f>
        <v/>
      </c>
      <c r="J859" s="19">
        <f>IF($N859&lt;&gt;"",IF(INDEX(PCOp,$N859)="مرجوعی خرید",IF(INDEX(PCAmount,$N859)=0,"",-INDEX(PCAmount,$N859)),""),IF($O859&lt;&gt;"",IF(INDEX(TxnWitB,$O859)=0,"",INDEX(TxnWitB,$O859)),""))</f>
        <v/>
      </c>
      <c r="K859" s="21">
        <f>IF($B859="","",IF($K858="",$C$10,$K858)+IF($I859="",0,$I859)-IF($J859="",0,$J859))</f>
        <v/>
      </c>
      <c r="L859" s="22">
        <f>IF($N859&lt;&gt;"",IF(INDEX(PCNotes,$N859)="","—",INDEX(PCNotes,$N859)),IF($O859&lt;&gt;"",IF(INDEX(LdgNoteB,$O859)="","—",INDEX(LdgNoteB,$O859)),""))</f>
        <v/>
      </c>
      <c r="N859">
        <f>IFERROR(MATCH($C$5&amp;"|"&amp;RIGHT("000000"&amp;843,6),LdgRankKeyA,0),"")</f>
        <v/>
      </c>
      <c r="O859">
        <f>IFERROR(MATCH($C$5&amp;"|"&amp;RIGHT("000000"&amp;843,6),LdgRankKeyB,0),"")</f>
        <v/>
      </c>
    </row>
    <row r="860">
      <c r="A860" s="23" t="n">
        <v>844</v>
      </c>
      <c r="B860" s="24">
        <f>IF(AND($N860="",$O860=""),"",IF($N860&lt;&gt;"",INDEX(PCNormDate,$N860),INDEX(LdgDateB,$O860)))</f>
        <v/>
      </c>
      <c r="C860" s="24">
        <f>IF($N860&lt;&gt;"",INDEX(PCOp,$N860),IF($O860&lt;&gt;"",IF(N(INDEX(TxnDepB,$O860))&gt;0,"دریافت بانکی","پرداخت بانکی"),""))</f>
        <v/>
      </c>
      <c r="D860" s="24">
        <f>IF($N860&lt;&gt;"",IF(INDEX(PCDoc,$N860)="","—",INDEX(PCDoc,$N860)),IF($O860&lt;&gt;"",INDEX(LdgBankB,$O860),""))</f>
        <v/>
      </c>
      <c r="E860" s="24">
        <f>IF($N860&lt;&gt;"",IF(INDEX(PCCitrus,$N860)="","—",INDEX(PCCitrus,$N860)),"")</f>
        <v/>
      </c>
      <c r="F860" s="25">
        <f>IF($N860&lt;&gt;"",IF(INDEX(PCScale,$N860)=0,"",INDEX(PCScale,$N860)),"")</f>
        <v/>
      </c>
      <c r="G860" s="25">
        <f>IF($N860&lt;&gt;"",IF(INDEX(PCBaskets,$N860)=0,"",INDEX(PCBaskets,$N860)),"")</f>
        <v/>
      </c>
      <c r="H860" s="26">
        <f>IF($N860&lt;&gt;"",IF(INDEX(PCNet,$N860)=0,"",INDEX(PCNet,$N860)),"")</f>
        <v/>
      </c>
      <c r="I860" s="25">
        <f>IF($N860&lt;&gt;"",IF(INDEX(PCOp,$N860)="مرجوعی خرید","",IF(INDEX(PCAmount,$N860)&lt;=0,"",INDEX(PCAmount,$N860))),IF($O860&lt;&gt;"",IF(INDEX(TxnDepB,$O860)=0,"",INDEX(TxnDepB,$O860)),""))</f>
        <v/>
      </c>
      <c r="J860" s="25">
        <f>IF($N860&lt;&gt;"",IF(INDEX(PCOp,$N860)="مرجوعی خرید",IF(INDEX(PCAmount,$N860)=0,"",-INDEX(PCAmount,$N860)),""),IF($O860&lt;&gt;"",IF(INDEX(TxnWitB,$O860)=0,"",INDEX(TxnWitB,$O860)),""))</f>
        <v/>
      </c>
      <c r="K860" s="27">
        <f>IF($B860="","",IF($K859="",$C$10,$K859)+IF($I860="",0,$I860)-IF($J860="",0,$J860))</f>
        <v/>
      </c>
      <c r="L860" s="28">
        <f>IF($N860&lt;&gt;"",IF(INDEX(PCNotes,$N860)="","—",INDEX(PCNotes,$N860)),IF($O860&lt;&gt;"",IF(INDEX(LdgNoteB,$O860)="","—",INDEX(LdgNoteB,$O860)),""))</f>
        <v/>
      </c>
      <c r="N860">
        <f>IFERROR(MATCH($C$5&amp;"|"&amp;RIGHT("000000"&amp;844,6),LdgRankKeyA,0),"")</f>
        <v/>
      </c>
      <c r="O860">
        <f>IFERROR(MATCH($C$5&amp;"|"&amp;RIGHT("000000"&amp;844,6),LdgRankKeyB,0),"")</f>
        <v/>
      </c>
    </row>
    <row r="861">
      <c r="A861" s="17" t="n">
        <v>845</v>
      </c>
      <c r="B861" s="18">
        <f>IF(AND($N861="",$O861=""),"",IF($N861&lt;&gt;"",INDEX(PCNormDate,$N861),INDEX(LdgDateB,$O861)))</f>
        <v/>
      </c>
      <c r="C861" s="18">
        <f>IF($N861&lt;&gt;"",INDEX(PCOp,$N861),IF($O861&lt;&gt;"",IF(N(INDEX(TxnDepB,$O861))&gt;0,"دریافت بانکی","پرداخت بانکی"),""))</f>
        <v/>
      </c>
      <c r="D861" s="18">
        <f>IF($N861&lt;&gt;"",IF(INDEX(PCDoc,$N861)="","—",INDEX(PCDoc,$N861)),IF($O861&lt;&gt;"",INDEX(LdgBankB,$O861),""))</f>
        <v/>
      </c>
      <c r="E861" s="18">
        <f>IF($N861&lt;&gt;"",IF(INDEX(PCCitrus,$N861)="","—",INDEX(PCCitrus,$N861)),"")</f>
        <v/>
      </c>
      <c r="F861" s="19">
        <f>IF($N861&lt;&gt;"",IF(INDEX(PCScale,$N861)=0,"",INDEX(PCScale,$N861)),"")</f>
        <v/>
      </c>
      <c r="G861" s="19">
        <f>IF($N861&lt;&gt;"",IF(INDEX(PCBaskets,$N861)=0,"",INDEX(PCBaskets,$N861)),"")</f>
        <v/>
      </c>
      <c r="H861" s="20">
        <f>IF($N861&lt;&gt;"",IF(INDEX(PCNet,$N861)=0,"",INDEX(PCNet,$N861)),"")</f>
        <v/>
      </c>
      <c r="I861" s="19">
        <f>IF($N861&lt;&gt;"",IF(INDEX(PCOp,$N861)="مرجوعی خرید","",IF(INDEX(PCAmount,$N861)&lt;=0,"",INDEX(PCAmount,$N861))),IF($O861&lt;&gt;"",IF(INDEX(TxnDepB,$O861)=0,"",INDEX(TxnDepB,$O861)),""))</f>
        <v/>
      </c>
      <c r="J861" s="19">
        <f>IF($N861&lt;&gt;"",IF(INDEX(PCOp,$N861)="مرجوعی خرید",IF(INDEX(PCAmount,$N861)=0,"",-INDEX(PCAmount,$N861)),""),IF($O861&lt;&gt;"",IF(INDEX(TxnWitB,$O861)=0,"",INDEX(TxnWitB,$O861)),""))</f>
        <v/>
      </c>
      <c r="K861" s="21">
        <f>IF($B861="","",IF($K860="",$C$10,$K860)+IF($I861="",0,$I861)-IF($J861="",0,$J861))</f>
        <v/>
      </c>
      <c r="L861" s="22">
        <f>IF($N861&lt;&gt;"",IF(INDEX(PCNotes,$N861)="","—",INDEX(PCNotes,$N861)),IF($O861&lt;&gt;"",IF(INDEX(LdgNoteB,$O861)="","—",INDEX(LdgNoteB,$O861)),""))</f>
        <v/>
      </c>
      <c r="N861">
        <f>IFERROR(MATCH($C$5&amp;"|"&amp;RIGHT("000000"&amp;845,6),LdgRankKeyA,0),"")</f>
        <v/>
      </c>
      <c r="O861">
        <f>IFERROR(MATCH($C$5&amp;"|"&amp;RIGHT("000000"&amp;845,6),LdgRankKeyB,0),"")</f>
        <v/>
      </c>
    </row>
    <row r="862">
      <c r="A862" s="23" t="n">
        <v>846</v>
      </c>
      <c r="B862" s="24">
        <f>IF(AND($N862="",$O862=""),"",IF($N862&lt;&gt;"",INDEX(PCNormDate,$N862),INDEX(LdgDateB,$O862)))</f>
        <v/>
      </c>
      <c r="C862" s="24">
        <f>IF($N862&lt;&gt;"",INDEX(PCOp,$N862),IF($O862&lt;&gt;"",IF(N(INDEX(TxnDepB,$O862))&gt;0,"دریافت بانکی","پرداخت بانکی"),""))</f>
        <v/>
      </c>
      <c r="D862" s="24">
        <f>IF($N862&lt;&gt;"",IF(INDEX(PCDoc,$N862)="","—",INDEX(PCDoc,$N862)),IF($O862&lt;&gt;"",INDEX(LdgBankB,$O862),""))</f>
        <v/>
      </c>
      <c r="E862" s="24">
        <f>IF($N862&lt;&gt;"",IF(INDEX(PCCitrus,$N862)="","—",INDEX(PCCitrus,$N862)),"")</f>
        <v/>
      </c>
      <c r="F862" s="25">
        <f>IF($N862&lt;&gt;"",IF(INDEX(PCScale,$N862)=0,"",INDEX(PCScale,$N862)),"")</f>
        <v/>
      </c>
      <c r="G862" s="25">
        <f>IF($N862&lt;&gt;"",IF(INDEX(PCBaskets,$N862)=0,"",INDEX(PCBaskets,$N862)),"")</f>
        <v/>
      </c>
      <c r="H862" s="26">
        <f>IF($N862&lt;&gt;"",IF(INDEX(PCNet,$N862)=0,"",INDEX(PCNet,$N862)),"")</f>
        <v/>
      </c>
      <c r="I862" s="25">
        <f>IF($N862&lt;&gt;"",IF(INDEX(PCOp,$N862)="مرجوعی خرید","",IF(INDEX(PCAmount,$N862)&lt;=0,"",INDEX(PCAmount,$N862))),IF($O862&lt;&gt;"",IF(INDEX(TxnDepB,$O862)=0,"",INDEX(TxnDepB,$O862)),""))</f>
        <v/>
      </c>
      <c r="J862" s="25">
        <f>IF($N862&lt;&gt;"",IF(INDEX(PCOp,$N862)="مرجوعی خرید",IF(INDEX(PCAmount,$N862)=0,"",-INDEX(PCAmount,$N862)),""),IF($O862&lt;&gt;"",IF(INDEX(TxnWitB,$O862)=0,"",INDEX(TxnWitB,$O862)),""))</f>
        <v/>
      </c>
      <c r="K862" s="27">
        <f>IF($B862="","",IF($K861="",$C$10,$K861)+IF($I862="",0,$I862)-IF($J862="",0,$J862))</f>
        <v/>
      </c>
      <c r="L862" s="28">
        <f>IF($N862&lt;&gt;"",IF(INDEX(PCNotes,$N862)="","—",INDEX(PCNotes,$N862)),IF($O862&lt;&gt;"",IF(INDEX(LdgNoteB,$O862)="","—",INDEX(LdgNoteB,$O862)),""))</f>
        <v/>
      </c>
      <c r="N862">
        <f>IFERROR(MATCH($C$5&amp;"|"&amp;RIGHT("000000"&amp;846,6),LdgRankKeyA,0),"")</f>
        <v/>
      </c>
      <c r="O862">
        <f>IFERROR(MATCH($C$5&amp;"|"&amp;RIGHT("000000"&amp;846,6),LdgRankKeyB,0),"")</f>
        <v/>
      </c>
    </row>
    <row r="863">
      <c r="A863" s="17" t="n">
        <v>847</v>
      </c>
      <c r="B863" s="18">
        <f>IF(AND($N863="",$O863=""),"",IF($N863&lt;&gt;"",INDEX(PCNormDate,$N863),INDEX(LdgDateB,$O863)))</f>
        <v/>
      </c>
      <c r="C863" s="18">
        <f>IF($N863&lt;&gt;"",INDEX(PCOp,$N863),IF($O863&lt;&gt;"",IF(N(INDEX(TxnDepB,$O863))&gt;0,"دریافت بانکی","پرداخت بانکی"),""))</f>
        <v/>
      </c>
      <c r="D863" s="18">
        <f>IF($N863&lt;&gt;"",IF(INDEX(PCDoc,$N863)="","—",INDEX(PCDoc,$N863)),IF($O863&lt;&gt;"",INDEX(LdgBankB,$O863),""))</f>
        <v/>
      </c>
      <c r="E863" s="18">
        <f>IF($N863&lt;&gt;"",IF(INDEX(PCCitrus,$N863)="","—",INDEX(PCCitrus,$N863)),"")</f>
        <v/>
      </c>
      <c r="F863" s="19">
        <f>IF($N863&lt;&gt;"",IF(INDEX(PCScale,$N863)=0,"",INDEX(PCScale,$N863)),"")</f>
        <v/>
      </c>
      <c r="G863" s="19">
        <f>IF($N863&lt;&gt;"",IF(INDEX(PCBaskets,$N863)=0,"",INDEX(PCBaskets,$N863)),"")</f>
        <v/>
      </c>
      <c r="H863" s="20">
        <f>IF($N863&lt;&gt;"",IF(INDEX(PCNet,$N863)=0,"",INDEX(PCNet,$N863)),"")</f>
        <v/>
      </c>
      <c r="I863" s="19">
        <f>IF($N863&lt;&gt;"",IF(INDEX(PCOp,$N863)="مرجوعی خرید","",IF(INDEX(PCAmount,$N863)&lt;=0,"",INDEX(PCAmount,$N863))),IF($O863&lt;&gt;"",IF(INDEX(TxnDepB,$O863)=0,"",INDEX(TxnDepB,$O863)),""))</f>
        <v/>
      </c>
      <c r="J863" s="19">
        <f>IF($N863&lt;&gt;"",IF(INDEX(PCOp,$N863)="مرجوعی خرید",IF(INDEX(PCAmount,$N863)=0,"",-INDEX(PCAmount,$N863)),""),IF($O863&lt;&gt;"",IF(INDEX(TxnWitB,$O863)=0,"",INDEX(TxnWitB,$O863)),""))</f>
        <v/>
      </c>
      <c r="K863" s="21">
        <f>IF($B863="","",IF($K862="",$C$10,$K862)+IF($I863="",0,$I863)-IF($J863="",0,$J863))</f>
        <v/>
      </c>
      <c r="L863" s="22">
        <f>IF($N863&lt;&gt;"",IF(INDEX(PCNotes,$N863)="","—",INDEX(PCNotes,$N863)),IF($O863&lt;&gt;"",IF(INDEX(LdgNoteB,$O863)="","—",INDEX(LdgNoteB,$O863)),""))</f>
        <v/>
      </c>
      <c r="N863">
        <f>IFERROR(MATCH($C$5&amp;"|"&amp;RIGHT("000000"&amp;847,6),LdgRankKeyA,0),"")</f>
        <v/>
      </c>
      <c r="O863">
        <f>IFERROR(MATCH($C$5&amp;"|"&amp;RIGHT("000000"&amp;847,6),LdgRankKeyB,0),"")</f>
        <v/>
      </c>
    </row>
    <row r="864">
      <c r="A864" s="23" t="n">
        <v>848</v>
      </c>
      <c r="B864" s="24">
        <f>IF(AND($N864="",$O864=""),"",IF($N864&lt;&gt;"",INDEX(PCNormDate,$N864),INDEX(LdgDateB,$O864)))</f>
        <v/>
      </c>
      <c r="C864" s="24">
        <f>IF($N864&lt;&gt;"",INDEX(PCOp,$N864),IF($O864&lt;&gt;"",IF(N(INDEX(TxnDepB,$O864))&gt;0,"دریافت بانکی","پرداخت بانکی"),""))</f>
        <v/>
      </c>
      <c r="D864" s="24">
        <f>IF($N864&lt;&gt;"",IF(INDEX(PCDoc,$N864)="","—",INDEX(PCDoc,$N864)),IF($O864&lt;&gt;"",INDEX(LdgBankB,$O864),""))</f>
        <v/>
      </c>
      <c r="E864" s="24">
        <f>IF($N864&lt;&gt;"",IF(INDEX(PCCitrus,$N864)="","—",INDEX(PCCitrus,$N864)),"")</f>
        <v/>
      </c>
      <c r="F864" s="25">
        <f>IF($N864&lt;&gt;"",IF(INDEX(PCScale,$N864)=0,"",INDEX(PCScale,$N864)),"")</f>
        <v/>
      </c>
      <c r="G864" s="25">
        <f>IF($N864&lt;&gt;"",IF(INDEX(PCBaskets,$N864)=0,"",INDEX(PCBaskets,$N864)),"")</f>
        <v/>
      </c>
      <c r="H864" s="26">
        <f>IF($N864&lt;&gt;"",IF(INDEX(PCNet,$N864)=0,"",INDEX(PCNet,$N864)),"")</f>
        <v/>
      </c>
      <c r="I864" s="25">
        <f>IF($N864&lt;&gt;"",IF(INDEX(PCOp,$N864)="مرجوعی خرید","",IF(INDEX(PCAmount,$N864)&lt;=0,"",INDEX(PCAmount,$N864))),IF($O864&lt;&gt;"",IF(INDEX(TxnDepB,$O864)=0,"",INDEX(TxnDepB,$O864)),""))</f>
        <v/>
      </c>
      <c r="J864" s="25">
        <f>IF($N864&lt;&gt;"",IF(INDEX(PCOp,$N864)="مرجوعی خرید",IF(INDEX(PCAmount,$N864)=0,"",-INDEX(PCAmount,$N864)),""),IF($O864&lt;&gt;"",IF(INDEX(TxnWitB,$O864)=0,"",INDEX(TxnWitB,$O864)),""))</f>
        <v/>
      </c>
      <c r="K864" s="27">
        <f>IF($B864="","",IF($K863="",$C$10,$K863)+IF($I864="",0,$I864)-IF($J864="",0,$J864))</f>
        <v/>
      </c>
      <c r="L864" s="28">
        <f>IF($N864&lt;&gt;"",IF(INDEX(PCNotes,$N864)="","—",INDEX(PCNotes,$N864)),IF($O864&lt;&gt;"",IF(INDEX(LdgNoteB,$O864)="","—",INDEX(LdgNoteB,$O864)),""))</f>
        <v/>
      </c>
      <c r="N864">
        <f>IFERROR(MATCH($C$5&amp;"|"&amp;RIGHT("000000"&amp;848,6),LdgRankKeyA,0),"")</f>
        <v/>
      </c>
      <c r="O864">
        <f>IFERROR(MATCH($C$5&amp;"|"&amp;RIGHT("000000"&amp;848,6),LdgRankKeyB,0),"")</f>
        <v/>
      </c>
    </row>
    <row r="865">
      <c r="A865" s="17" t="n">
        <v>849</v>
      </c>
      <c r="B865" s="18">
        <f>IF(AND($N865="",$O865=""),"",IF($N865&lt;&gt;"",INDEX(PCNormDate,$N865),INDEX(LdgDateB,$O865)))</f>
        <v/>
      </c>
      <c r="C865" s="18">
        <f>IF($N865&lt;&gt;"",INDEX(PCOp,$N865),IF($O865&lt;&gt;"",IF(N(INDEX(TxnDepB,$O865))&gt;0,"دریافت بانکی","پرداخت بانکی"),""))</f>
        <v/>
      </c>
      <c r="D865" s="18">
        <f>IF($N865&lt;&gt;"",IF(INDEX(PCDoc,$N865)="","—",INDEX(PCDoc,$N865)),IF($O865&lt;&gt;"",INDEX(LdgBankB,$O865),""))</f>
        <v/>
      </c>
      <c r="E865" s="18">
        <f>IF($N865&lt;&gt;"",IF(INDEX(PCCitrus,$N865)="","—",INDEX(PCCitrus,$N865)),"")</f>
        <v/>
      </c>
      <c r="F865" s="19">
        <f>IF($N865&lt;&gt;"",IF(INDEX(PCScale,$N865)=0,"",INDEX(PCScale,$N865)),"")</f>
        <v/>
      </c>
      <c r="G865" s="19">
        <f>IF($N865&lt;&gt;"",IF(INDEX(PCBaskets,$N865)=0,"",INDEX(PCBaskets,$N865)),"")</f>
        <v/>
      </c>
      <c r="H865" s="20">
        <f>IF($N865&lt;&gt;"",IF(INDEX(PCNet,$N865)=0,"",INDEX(PCNet,$N865)),"")</f>
        <v/>
      </c>
      <c r="I865" s="19">
        <f>IF($N865&lt;&gt;"",IF(INDEX(PCOp,$N865)="مرجوعی خرید","",IF(INDEX(PCAmount,$N865)&lt;=0,"",INDEX(PCAmount,$N865))),IF($O865&lt;&gt;"",IF(INDEX(TxnDepB,$O865)=0,"",INDEX(TxnDepB,$O865)),""))</f>
        <v/>
      </c>
      <c r="J865" s="19">
        <f>IF($N865&lt;&gt;"",IF(INDEX(PCOp,$N865)="مرجوعی خرید",IF(INDEX(PCAmount,$N865)=0,"",-INDEX(PCAmount,$N865)),""),IF($O865&lt;&gt;"",IF(INDEX(TxnWitB,$O865)=0,"",INDEX(TxnWitB,$O865)),""))</f>
        <v/>
      </c>
      <c r="K865" s="21">
        <f>IF($B865="","",IF($K864="",$C$10,$K864)+IF($I865="",0,$I865)-IF($J865="",0,$J865))</f>
        <v/>
      </c>
      <c r="L865" s="22">
        <f>IF($N865&lt;&gt;"",IF(INDEX(PCNotes,$N865)="","—",INDEX(PCNotes,$N865)),IF($O865&lt;&gt;"",IF(INDEX(LdgNoteB,$O865)="","—",INDEX(LdgNoteB,$O865)),""))</f>
        <v/>
      </c>
      <c r="N865">
        <f>IFERROR(MATCH($C$5&amp;"|"&amp;RIGHT("000000"&amp;849,6),LdgRankKeyA,0),"")</f>
        <v/>
      </c>
      <c r="O865">
        <f>IFERROR(MATCH($C$5&amp;"|"&amp;RIGHT("000000"&amp;849,6),LdgRankKeyB,0),"")</f>
        <v/>
      </c>
    </row>
    <row r="866">
      <c r="A866" s="23" t="n">
        <v>850</v>
      </c>
      <c r="B866" s="24">
        <f>IF(AND($N866="",$O866=""),"",IF($N866&lt;&gt;"",INDEX(PCNormDate,$N866),INDEX(LdgDateB,$O866)))</f>
        <v/>
      </c>
      <c r="C866" s="24">
        <f>IF($N866&lt;&gt;"",INDEX(PCOp,$N866),IF($O866&lt;&gt;"",IF(N(INDEX(TxnDepB,$O866))&gt;0,"دریافت بانکی","پرداخت بانکی"),""))</f>
        <v/>
      </c>
      <c r="D866" s="24">
        <f>IF($N866&lt;&gt;"",IF(INDEX(PCDoc,$N866)="","—",INDEX(PCDoc,$N866)),IF($O866&lt;&gt;"",INDEX(LdgBankB,$O866),""))</f>
        <v/>
      </c>
      <c r="E866" s="24">
        <f>IF($N866&lt;&gt;"",IF(INDEX(PCCitrus,$N866)="","—",INDEX(PCCitrus,$N866)),"")</f>
        <v/>
      </c>
      <c r="F866" s="25">
        <f>IF($N866&lt;&gt;"",IF(INDEX(PCScale,$N866)=0,"",INDEX(PCScale,$N866)),"")</f>
        <v/>
      </c>
      <c r="G866" s="25">
        <f>IF($N866&lt;&gt;"",IF(INDEX(PCBaskets,$N866)=0,"",INDEX(PCBaskets,$N866)),"")</f>
        <v/>
      </c>
      <c r="H866" s="26">
        <f>IF($N866&lt;&gt;"",IF(INDEX(PCNet,$N866)=0,"",INDEX(PCNet,$N866)),"")</f>
        <v/>
      </c>
      <c r="I866" s="25">
        <f>IF($N866&lt;&gt;"",IF(INDEX(PCOp,$N866)="مرجوعی خرید","",IF(INDEX(PCAmount,$N866)&lt;=0,"",INDEX(PCAmount,$N866))),IF($O866&lt;&gt;"",IF(INDEX(TxnDepB,$O866)=0,"",INDEX(TxnDepB,$O866)),""))</f>
        <v/>
      </c>
      <c r="J866" s="25">
        <f>IF($N866&lt;&gt;"",IF(INDEX(PCOp,$N866)="مرجوعی خرید",IF(INDEX(PCAmount,$N866)=0,"",-INDEX(PCAmount,$N866)),""),IF($O866&lt;&gt;"",IF(INDEX(TxnWitB,$O866)=0,"",INDEX(TxnWitB,$O866)),""))</f>
        <v/>
      </c>
      <c r="K866" s="27">
        <f>IF($B866="","",IF($K865="",$C$10,$K865)+IF($I866="",0,$I866)-IF($J866="",0,$J866))</f>
        <v/>
      </c>
      <c r="L866" s="28">
        <f>IF($N866&lt;&gt;"",IF(INDEX(PCNotes,$N866)="","—",INDEX(PCNotes,$N866)),IF($O866&lt;&gt;"",IF(INDEX(LdgNoteB,$O866)="","—",INDEX(LdgNoteB,$O866)),""))</f>
        <v/>
      </c>
      <c r="N866">
        <f>IFERROR(MATCH($C$5&amp;"|"&amp;RIGHT("000000"&amp;850,6),LdgRankKeyA,0),"")</f>
        <v/>
      </c>
      <c r="O866">
        <f>IFERROR(MATCH($C$5&amp;"|"&amp;RIGHT("000000"&amp;850,6),LdgRankKeyB,0),"")</f>
        <v/>
      </c>
    </row>
    <row r="867">
      <c r="A867" s="17" t="n">
        <v>851</v>
      </c>
      <c r="B867" s="18">
        <f>IF(AND($N867="",$O867=""),"",IF($N867&lt;&gt;"",INDEX(PCNormDate,$N867),INDEX(LdgDateB,$O867)))</f>
        <v/>
      </c>
      <c r="C867" s="18">
        <f>IF($N867&lt;&gt;"",INDEX(PCOp,$N867),IF($O867&lt;&gt;"",IF(N(INDEX(TxnDepB,$O867))&gt;0,"دریافت بانکی","پرداخت بانکی"),""))</f>
        <v/>
      </c>
      <c r="D867" s="18">
        <f>IF($N867&lt;&gt;"",IF(INDEX(PCDoc,$N867)="","—",INDEX(PCDoc,$N867)),IF($O867&lt;&gt;"",INDEX(LdgBankB,$O867),""))</f>
        <v/>
      </c>
      <c r="E867" s="18">
        <f>IF($N867&lt;&gt;"",IF(INDEX(PCCitrus,$N867)="","—",INDEX(PCCitrus,$N867)),"")</f>
        <v/>
      </c>
      <c r="F867" s="19">
        <f>IF($N867&lt;&gt;"",IF(INDEX(PCScale,$N867)=0,"",INDEX(PCScale,$N867)),"")</f>
        <v/>
      </c>
      <c r="G867" s="19">
        <f>IF($N867&lt;&gt;"",IF(INDEX(PCBaskets,$N867)=0,"",INDEX(PCBaskets,$N867)),"")</f>
        <v/>
      </c>
      <c r="H867" s="20">
        <f>IF($N867&lt;&gt;"",IF(INDEX(PCNet,$N867)=0,"",INDEX(PCNet,$N867)),"")</f>
        <v/>
      </c>
      <c r="I867" s="19">
        <f>IF($N867&lt;&gt;"",IF(INDEX(PCOp,$N867)="مرجوعی خرید","",IF(INDEX(PCAmount,$N867)&lt;=0,"",INDEX(PCAmount,$N867))),IF($O867&lt;&gt;"",IF(INDEX(TxnDepB,$O867)=0,"",INDEX(TxnDepB,$O867)),""))</f>
        <v/>
      </c>
      <c r="J867" s="19">
        <f>IF($N867&lt;&gt;"",IF(INDEX(PCOp,$N867)="مرجوعی خرید",IF(INDEX(PCAmount,$N867)=0,"",-INDEX(PCAmount,$N867)),""),IF($O867&lt;&gt;"",IF(INDEX(TxnWitB,$O867)=0,"",INDEX(TxnWitB,$O867)),""))</f>
        <v/>
      </c>
      <c r="K867" s="21">
        <f>IF($B867="","",IF($K866="",$C$10,$K866)+IF($I867="",0,$I867)-IF($J867="",0,$J867))</f>
        <v/>
      </c>
      <c r="L867" s="22">
        <f>IF($N867&lt;&gt;"",IF(INDEX(PCNotes,$N867)="","—",INDEX(PCNotes,$N867)),IF($O867&lt;&gt;"",IF(INDEX(LdgNoteB,$O867)="","—",INDEX(LdgNoteB,$O867)),""))</f>
        <v/>
      </c>
      <c r="N867">
        <f>IFERROR(MATCH($C$5&amp;"|"&amp;RIGHT("000000"&amp;851,6),LdgRankKeyA,0),"")</f>
        <v/>
      </c>
      <c r="O867">
        <f>IFERROR(MATCH($C$5&amp;"|"&amp;RIGHT("000000"&amp;851,6),LdgRankKeyB,0),"")</f>
        <v/>
      </c>
    </row>
    <row r="868">
      <c r="A868" s="23" t="n">
        <v>852</v>
      </c>
      <c r="B868" s="24">
        <f>IF(AND($N868="",$O868=""),"",IF($N868&lt;&gt;"",INDEX(PCNormDate,$N868),INDEX(LdgDateB,$O868)))</f>
        <v/>
      </c>
      <c r="C868" s="24">
        <f>IF($N868&lt;&gt;"",INDEX(PCOp,$N868),IF($O868&lt;&gt;"",IF(N(INDEX(TxnDepB,$O868))&gt;0,"دریافت بانکی","پرداخت بانکی"),""))</f>
        <v/>
      </c>
      <c r="D868" s="24">
        <f>IF($N868&lt;&gt;"",IF(INDEX(PCDoc,$N868)="","—",INDEX(PCDoc,$N868)),IF($O868&lt;&gt;"",INDEX(LdgBankB,$O868),""))</f>
        <v/>
      </c>
      <c r="E868" s="24">
        <f>IF($N868&lt;&gt;"",IF(INDEX(PCCitrus,$N868)="","—",INDEX(PCCitrus,$N868)),"")</f>
        <v/>
      </c>
      <c r="F868" s="25">
        <f>IF($N868&lt;&gt;"",IF(INDEX(PCScale,$N868)=0,"",INDEX(PCScale,$N868)),"")</f>
        <v/>
      </c>
      <c r="G868" s="25">
        <f>IF($N868&lt;&gt;"",IF(INDEX(PCBaskets,$N868)=0,"",INDEX(PCBaskets,$N868)),"")</f>
        <v/>
      </c>
      <c r="H868" s="26">
        <f>IF($N868&lt;&gt;"",IF(INDEX(PCNet,$N868)=0,"",INDEX(PCNet,$N868)),"")</f>
        <v/>
      </c>
      <c r="I868" s="25">
        <f>IF($N868&lt;&gt;"",IF(INDEX(PCOp,$N868)="مرجوعی خرید","",IF(INDEX(PCAmount,$N868)&lt;=0,"",INDEX(PCAmount,$N868))),IF($O868&lt;&gt;"",IF(INDEX(TxnDepB,$O868)=0,"",INDEX(TxnDepB,$O868)),""))</f>
        <v/>
      </c>
      <c r="J868" s="25">
        <f>IF($N868&lt;&gt;"",IF(INDEX(PCOp,$N868)="مرجوعی خرید",IF(INDEX(PCAmount,$N868)=0,"",-INDEX(PCAmount,$N868)),""),IF($O868&lt;&gt;"",IF(INDEX(TxnWitB,$O868)=0,"",INDEX(TxnWitB,$O868)),""))</f>
        <v/>
      </c>
      <c r="K868" s="27">
        <f>IF($B868="","",IF($K867="",$C$10,$K867)+IF($I868="",0,$I868)-IF($J868="",0,$J868))</f>
        <v/>
      </c>
      <c r="L868" s="28">
        <f>IF($N868&lt;&gt;"",IF(INDEX(PCNotes,$N868)="","—",INDEX(PCNotes,$N868)),IF($O868&lt;&gt;"",IF(INDEX(LdgNoteB,$O868)="","—",INDEX(LdgNoteB,$O868)),""))</f>
        <v/>
      </c>
      <c r="N868">
        <f>IFERROR(MATCH($C$5&amp;"|"&amp;RIGHT("000000"&amp;852,6),LdgRankKeyA,0),"")</f>
        <v/>
      </c>
      <c r="O868">
        <f>IFERROR(MATCH($C$5&amp;"|"&amp;RIGHT("000000"&amp;852,6),LdgRankKeyB,0),"")</f>
        <v/>
      </c>
    </row>
    <row r="869">
      <c r="A869" s="17" t="n">
        <v>853</v>
      </c>
      <c r="B869" s="18">
        <f>IF(AND($N869="",$O869=""),"",IF($N869&lt;&gt;"",INDEX(PCNormDate,$N869),INDEX(LdgDateB,$O869)))</f>
        <v/>
      </c>
      <c r="C869" s="18">
        <f>IF($N869&lt;&gt;"",INDEX(PCOp,$N869),IF($O869&lt;&gt;"",IF(N(INDEX(TxnDepB,$O869))&gt;0,"دریافت بانکی","پرداخت بانکی"),""))</f>
        <v/>
      </c>
      <c r="D869" s="18">
        <f>IF($N869&lt;&gt;"",IF(INDEX(PCDoc,$N869)="","—",INDEX(PCDoc,$N869)),IF($O869&lt;&gt;"",INDEX(LdgBankB,$O869),""))</f>
        <v/>
      </c>
      <c r="E869" s="18">
        <f>IF($N869&lt;&gt;"",IF(INDEX(PCCitrus,$N869)="","—",INDEX(PCCitrus,$N869)),"")</f>
        <v/>
      </c>
      <c r="F869" s="19">
        <f>IF($N869&lt;&gt;"",IF(INDEX(PCScale,$N869)=0,"",INDEX(PCScale,$N869)),"")</f>
        <v/>
      </c>
      <c r="G869" s="19">
        <f>IF($N869&lt;&gt;"",IF(INDEX(PCBaskets,$N869)=0,"",INDEX(PCBaskets,$N869)),"")</f>
        <v/>
      </c>
      <c r="H869" s="20">
        <f>IF($N869&lt;&gt;"",IF(INDEX(PCNet,$N869)=0,"",INDEX(PCNet,$N869)),"")</f>
        <v/>
      </c>
      <c r="I869" s="19">
        <f>IF($N869&lt;&gt;"",IF(INDEX(PCOp,$N869)="مرجوعی خرید","",IF(INDEX(PCAmount,$N869)&lt;=0,"",INDEX(PCAmount,$N869))),IF($O869&lt;&gt;"",IF(INDEX(TxnDepB,$O869)=0,"",INDEX(TxnDepB,$O869)),""))</f>
        <v/>
      </c>
      <c r="J869" s="19">
        <f>IF($N869&lt;&gt;"",IF(INDEX(PCOp,$N869)="مرجوعی خرید",IF(INDEX(PCAmount,$N869)=0,"",-INDEX(PCAmount,$N869)),""),IF($O869&lt;&gt;"",IF(INDEX(TxnWitB,$O869)=0,"",INDEX(TxnWitB,$O869)),""))</f>
        <v/>
      </c>
      <c r="K869" s="21">
        <f>IF($B869="","",IF($K868="",$C$10,$K868)+IF($I869="",0,$I869)-IF($J869="",0,$J869))</f>
        <v/>
      </c>
      <c r="L869" s="22">
        <f>IF($N869&lt;&gt;"",IF(INDEX(PCNotes,$N869)="","—",INDEX(PCNotes,$N869)),IF($O869&lt;&gt;"",IF(INDEX(LdgNoteB,$O869)="","—",INDEX(LdgNoteB,$O869)),""))</f>
        <v/>
      </c>
      <c r="N869">
        <f>IFERROR(MATCH($C$5&amp;"|"&amp;RIGHT("000000"&amp;853,6),LdgRankKeyA,0),"")</f>
        <v/>
      </c>
      <c r="O869">
        <f>IFERROR(MATCH($C$5&amp;"|"&amp;RIGHT("000000"&amp;853,6),LdgRankKeyB,0),"")</f>
        <v/>
      </c>
    </row>
    <row r="870">
      <c r="A870" s="23" t="n">
        <v>854</v>
      </c>
      <c r="B870" s="24">
        <f>IF(AND($N870="",$O870=""),"",IF($N870&lt;&gt;"",INDEX(PCNormDate,$N870),INDEX(LdgDateB,$O870)))</f>
        <v/>
      </c>
      <c r="C870" s="24">
        <f>IF($N870&lt;&gt;"",INDEX(PCOp,$N870),IF($O870&lt;&gt;"",IF(N(INDEX(TxnDepB,$O870))&gt;0,"دریافت بانکی","پرداخت بانکی"),""))</f>
        <v/>
      </c>
      <c r="D870" s="24">
        <f>IF($N870&lt;&gt;"",IF(INDEX(PCDoc,$N870)="","—",INDEX(PCDoc,$N870)),IF($O870&lt;&gt;"",INDEX(LdgBankB,$O870),""))</f>
        <v/>
      </c>
      <c r="E870" s="24">
        <f>IF($N870&lt;&gt;"",IF(INDEX(PCCitrus,$N870)="","—",INDEX(PCCitrus,$N870)),"")</f>
        <v/>
      </c>
      <c r="F870" s="25">
        <f>IF($N870&lt;&gt;"",IF(INDEX(PCScale,$N870)=0,"",INDEX(PCScale,$N870)),"")</f>
        <v/>
      </c>
      <c r="G870" s="25">
        <f>IF($N870&lt;&gt;"",IF(INDEX(PCBaskets,$N870)=0,"",INDEX(PCBaskets,$N870)),"")</f>
        <v/>
      </c>
      <c r="H870" s="26">
        <f>IF($N870&lt;&gt;"",IF(INDEX(PCNet,$N870)=0,"",INDEX(PCNet,$N870)),"")</f>
        <v/>
      </c>
      <c r="I870" s="25">
        <f>IF($N870&lt;&gt;"",IF(INDEX(PCOp,$N870)="مرجوعی خرید","",IF(INDEX(PCAmount,$N870)&lt;=0,"",INDEX(PCAmount,$N870))),IF($O870&lt;&gt;"",IF(INDEX(TxnDepB,$O870)=0,"",INDEX(TxnDepB,$O870)),""))</f>
        <v/>
      </c>
      <c r="J870" s="25">
        <f>IF($N870&lt;&gt;"",IF(INDEX(PCOp,$N870)="مرجوعی خرید",IF(INDEX(PCAmount,$N870)=0,"",-INDEX(PCAmount,$N870)),""),IF($O870&lt;&gt;"",IF(INDEX(TxnWitB,$O870)=0,"",INDEX(TxnWitB,$O870)),""))</f>
        <v/>
      </c>
      <c r="K870" s="27">
        <f>IF($B870="","",IF($K869="",$C$10,$K869)+IF($I870="",0,$I870)-IF($J870="",0,$J870))</f>
        <v/>
      </c>
      <c r="L870" s="28">
        <f>IF($N870&lt;&gt;"",IF(INDEX(PCNotes,$N870)="","—",INDEX(PCNotes,$N870)),IF($O870&lt;&gt;"",IF(INDEX(LdgNoteB,$O870)="","—",INDEX(LdgNoteB,$O870)),""))</f>
        <v/>
      </c>
      <c r="N870">
        <f>IFERROR(MATCH($C$5&amp;"|"&amp;RIGHT("000000"&amp;854,6),LdgRankKeyA,0),"")</f>
        <v/>
      </c>
      <c r="O870">
        <f>IFERROR(MATCH($C$5&amp;"|"&amp;RIGHT("000000"&amp;854,6),LdgRankKeyB,0),"")</f>
        <v/>
      </c>
    </row>
    <row r="871">
      <c r="A871" s="17" t="n">
        <v>855</v>
      </c>
      <c r="B871" s="18">
        <f>IF(AND($N871="",$O871=""),"",IF($N871&lt;&gt;"",INDEX(PCNormDate,$N871),INDEX(LdgDateB,$O871)))</f>
        <v/>
      </c>
      <c r="C871" s="18">
        <f>IF($N871&lt;&gt;"",INDEX(PCOp,$N871),IF($O871&lt;&gt;"",IF(N(INDEX(TxnDepB,$O871))&gt;0,"دریافت بانکی","پرداخت بانکی"),""))</f>
        <v/>
      </c>
      <c r="D871" s="18">
        <f>IF($N871&lt;&gt;"",IF(INDEX(PCDoc,$N871)="","—",INDEX(PCDoc,$N871)),IF($O871&lt;&gt;"",INDEX(LdgBankB,$O871),""))</f>
        <v/>
      </c>
      <c r="E871" s="18">
        <f>IF($N871&lt;&gt;"",IF(INDEX(PCCitrus,$N871)="","—",INDEX(PCCitrus,$N871)),"")</f>
        <v/>
      </c>
      <c r="F871" s="19">
        <f>IF($N871&lt;&gt;"",IF(INDEX(PCScale,$N871)=0,"",INDEX(PCScale,$N871)),"")</f>
        <v/>
      </c>
      <c r="G871" s="19">
        <f>IF($N871&lt;&gt;"",IF(INDEX(PCBaskets,$N871)=0,"",INDEX(PCBaskets,$N871)),"")</f>
        <v/>
      </c>
      <c r="H871" s="20">
        <f>IF($N871&lt;&gt;"",IF(INDEX(PCNet,$N871)=0,"",INDEX(PCNet,$N871)),"")</f>
        <v/>
      </c>
      <c r="I871" s="19">
        <f>IF($N871&lt;&gt;"",IF(INDEX(PCOp,$N871)="مرجوعی خرید","",IF(INDEX(PCAmount,$N871)&lt;=0,"",INDEX(PCAmount,$N871))),IF($O871&lt;&gt;"",IF(INDEX(TxnDepB,$O871)=0,"",INDEX(TxnDepB,$O871)),""))</f>
        <v/>
      </c>
      <c r="J871" s="19">
        <f>IF($N871&lt;&gt;"",IF(INDEX(PCOp,$N871)="مرجوعی خرید",IF(INDEX(PCAmount,$N871)=0,"",-INDEX(PCAmount,$N871)),""),IF($O871&lt;&gt;"",IF(INDEX(TxnWitB,$O871)=0,"",INDEX(TxnWitB,$O871)),""))</f>
        <v/>
      </c>
      <c r="K871" s="21">
        <f>IF($B871="","",IF($K870="",$C$10,$K870)+IF($I871="",0,$I871)-IF($J871="",0,$J871))</f>
        <v/>
      </c>
      <c r="L871" s="22">
        <f>IF($N871&lt;&gt;"",IF(INDEX(PCNotes,$N871)="","—",INDEX(PCNotes,$N871)),IF($O871&lt;&gt;"",IF(INDEX(LdgNoteB,$O871)="","—",INDEX(LdgNoteB,$O871)),""))</f>
        <v/>
      </c>
      <c r="N871">
        <f>IFERROR(MATCH($C$5&amp;"|"&amp;RIGHT("000000"&amp;855,6),LdgRankKeyA,0),"")</f>
        <v/>
      </c>
      <c r="O871">
        <f>IFERROR(MATCH($C$5&amp;"|"&amp;RIGHT("000000"&amp;855,6),LdgRankKeyB,0),"")</f>
        <v/>
      </c>
    </row>
    <row r="872">
      <c r="A872" s="23" t="n">
        <v>856</v>
      </c>
      <c r="B872" s="24">
        <f>IF(AND($N872="",$O872=""),"",IF($N872&lt;&gt;"",INDEX(PCNormDate,$N872),INDEX(LdgDateB,$O872)))</f>
        <v/>
      </c>
      <c r="C872" s="24">
        <f>IF($N872&lt;&gt;"",INDEX(PCOp,$N872),IF($O872&lt;&gt;"",IF(N(INDEX(TxnDepB,$O872))&gt;0,"دریافت بانکی","پرداخت بانکی"),""))</f>
        <v/>
      </c>
      <c r="D872" s="24">
        <f>IF($N872&lt;&gt;"",IF(INDEX(PCDoc,$N872)="","—",INDEX(PCDoc,$N872)),IF($O872&lt;&gt;"",INDEX(LdgBankB,$O872),""))</f>
        <v/>
      </c>
      <c r="E872" s="24">
        <f>IF($N872&lt;&gt;"",IF(INDEX(PCCitrus,$N872)="","—",INDEX(PCCitrus,$N872)),"")</f>
        <v/>
      </c>
      <c r="F872" s="25">
        <f>IF($N872&lt;&gt;"",IF(INDEX(PCScale,$N872)=0,"",INDEX(PCScale,$N872)),"")</f>
        <v/>
      </c>
      <c r="G872" s="25">
        <f>IF($N872&lt;&gt;"",IF(INDEX(PCBaskets,$N872)=0,"",INDEX(PCBaskets,$N872)),"")</f>
        <v/>
      </c>
      <c r="H872" s="26">
        <f>IF($N872&lt;&gt;"",IF(INDEX(PCNet,$N872)=0,"",INDEX(PCNet,$N872)),"")</f>
        <v/>
      </c>
      <c r="I872" s="25">
        <f>IF($N872&lt;&gt;"",IF(INDEX(PCOp,$N872)="مرجوعی خرید","",IF(INDEX(PCAmount,$N872)&lt;=0,"",INDEX(PCAmount,$N872))),IF($O872&lt;&gt;"",IF(INDEX(TxnDepB,$O872)=0,"",INDEX(TxnDepB,$O872)),""))</f>
        <v/>
      </c>
      <c r="J872" s="25">
        <f>IF($N872&lt;&gt;"",IF(INDEX(PCOp,$N872)="مرجوعی خرید",IF(INDEX(PCAmount,$N872)=0,"",-INDEX(PCAmount,$N872)),""),IF($O872&lt;&gt;"",IF(INDEX(TxnWitB,$O872)=0,"",INDEX(TxnWitB,$O872)),""))</f>
        <v/>
      </c>
      <c r="K872" s="27">
        <f>IF($B872="","",IF($K871="",$C$10,$K871)+IF($I872="",0,$I872)-IF($J872="",0,$J872))</f>
        <v/>
      </c>
      <c r="L872" s="28">
        <f>IF($N872&lt;&gt;"",IF(INDEX(PCNotes,$N872)="","—",INDEX(PCNotes,$N872)),IF($O872&lt;&gt;"",IF(INDEX(LdgNoteB,$O872)="","—",INDEX(LdgNoteB,$O872)),""))</f>
        <v/>
      </c>
      <c r="N872">
        <f>IFERROR(MATCH($C$5&amp;"|"&amp;RIGHT("000000"&amp;856,6),LdgRankKeyA,0),"")</f>
        <v/>
      </c>
      <c r="O872">
        <f>IFERROR(MATCH($C$5&amp;"|"&amp;RIGHT("000000"&amp;856,6),LdgRankKeyB,0),"")</f>
        <v/>
      </c>
    </row>
    <row r="873">
      <c r="A873" s="17" t="n">
        <v>857</v>
      </c>
      <c r="B873" s="18">
        <f>IF(AND($N873="",$O873=""),"",IF($N873&lt;&gt;"",INDEX(PCNormDate,$N873),INDEX(LdgDateB,$O873)))</f>
        <v/>
      </c>
      <c r="C873" s="18">
        <f>IF($N873&lt;&gt;"",INDEX(PCOp,$N873),IF($O873&lt;&gt;"",IF(N(INDEX(TxnDepB,$O873))&gt;0,"دریافت بانکی","پرداخت بانکی"),""))</f>
        <v/>
      </c>
      <c r="D873" s="18">
        <f>IF($N873&lt;&gt;"",IF(INDEX(PCDoc,$N873)="","—",INDEX(PCDoc,$N873)),IF($O873&lt;&gt;"",INDEX(LdgBankB,$O873),""))</f>
        <v/>
      </c>
      <c r="E873" s="18">
        <f>IF($N873&lt;&gt;"",IF(INDEX(PCCitrus,$N873)="","—",INDEX(PCCitrus,$N873)),"")</f>
        <v/>
      </c>
      <c r="F873" s="19">
        <f>IF($N873&lt;&gt;"",IF(INDEX(PCScale,$N873)=0,"",INDEX(PCScale,$N873)),"")</f>
        <v/>
      </c>
      <c r="G873" s="19">
        <f>IF($N873&lt;&gt;"",IF(INDEX(PCBaskets,$N873)=0,"",INDEX(PCBaskets,$N873)),"")</f>
        <v/>
      </c>
      <c r="H873" s="20">
        <f>IF($N873&lt;&gt;"",IF(INDEX(PCNet,$N873)=0,"",INDEX(PCNet,$N873)),"")</f>
        <v/>
      </c>
      <c r="I873" s="19">
        <f>IF($N873&lt;&gt;"",IF(INDEX(PCOp,$N873)="مرجوعی خرید","",IF(INDEX(PCAmount,$N873)&lt;=0,"",INDEX(PCAmount,$N873))),IF($O873&lt;&gt;"",IF(INDEX(TxnDepB,$O873)=0,"",INDEX(TxnDepB,$O873)),""))</f>
        <v/>
      </c>
      <c r="J873" s="19">
        <f>IF($N873&lt;&gt;"",IF(INDEX(PCOp,$N873)="مرجوعی خرید",IF(INDEX(PCAmount,$N873)=0,"",-INDEX(PCAmount,$N873)),""),IF($O873&lt;&gt;"",IF(INDEX(TxnWitB,$O873)=0,"",INDEX(TxnWitB,$O873)),""))</f>
        <v/>
      </c>
      <c r="K873" s="21">
        <f>IF($B873="","",IF($K872="",$C$10,$K872)+IF($I873="",0,$I873)-IF($J873="",0,$J873))</f>
        <v/>
      </c>
      <c r="L873" s="22">
        <f>IF($N873&lt;&gt;"",IF(INDEX(PCNotes,$N873)="","—",INDEX(PCNotes,$N873)),IF($O873&lt;&gt;"",IF(INDEX(LdgNoteB,$O873)="","—",INDEX(LdgNoteB,$O873)),""))</f>
        <v/>
      </c>
      <c r="N873">
        <f>IFERROR(MATCH($C$5&amp;"|"&amp;RIGHT("000000"&amp;857,6),LdgRankKeyA,0),"")</f>
        <v/>
      </c>
      <c r="O873">
        <f>IFERROR(MATCH($C$5&amp;"|"&amp;RIGHT("000000"&amp;857,6),LdgRankKeyB,0),"")</f>
        <v/>
      </c>
    </row>
    <row r="874">
      <c r="A874" s="23" t="n">
        <v>858</v>
      </c>
      <c r="B874" s="24">
        <f>IF(AND($N874="",$O874=""),"",IF($N874&lt;&gt;"",INDEX(PCNormDate,$N874),INDEX(LdgDateB,$O874)))</f>
        <v/>
      </c>
      <c r="C874" s="24">
        <f>IF($N874&lt;&gt;"",INDEX(PCOp,$N874),IF($O874&lt;&gt;"",IF(N(INDEX(TxnDepB,$O874))&gt;0,"دریافت بانکی","پرداخت بانکی"),""))</f>
        <v/>
      </c>
      <c r="D874" s="24">
        <f>IF($N874&lt;&gt;"",IF(INDEX(PCDoc,$N874)="","—",INDEX(PCDoc,$N874)),IF($O874&lt;&gt;"",INDEX(LdgBankB,$O874),""))</f>
        <v/>
      </c>
      <c r="E874" s="24">
        <f>IF($N874&lt;&gt;"",IF(INDEX(PCCitrus,$N874)="","—",INDEX(PCCitrus,$N874)),"")</f>
        <v/>
      </c>
      <c r="F874" s="25">
        <f>IF($N874&lt;&gt;"",IF(INDEX(PCScale,$N874)=0,"",INDEX(PCScale,$N874)),"")</f>
        <v/>
      </c>
      <c r="G874" s="25">
        <f>IF($N874&lt;&gt;"",IF(INDEX(PCBaskets,$N874)=0,"",INDEX(PCBaskets,$N874)),"")</f>
        <v/>
      </c>
      <c r="H874" s="26">
        <f>IF($N874&lt;&gt;"",IF(INDEX(PCNet,$N874)=0,"",INDEX(PCNet,$N874)),"")</f>
        <v/>
      </c>
      <c r="I874" s="25">
        <f>IF($N874&lt;&gt;"",IF(INDEX(PCOp,$N874)="مرجوعی خرید","",IF(INDEX(PCAmount,$N874)&lt;=0,"",INDEX(PCAmount,$N874))),IF($O874&lt;&gt;"",IF(INDEX(TxnDepB,$O874)=0,"",INDEX(TxnDepB,$O874)),""))</f>
        <v/>
      </c>
      <c r="J874" s="25">
        <f>IF($N874&lt;&gt;"",IF(INDEX(PCOp,$N874)="مرجوعی خرید",IF(INDEX(PCAmount,$N874)=0,"",-INDEX(PCAmount,$N874)),""),IF($O874&lt;&gt;"",IF(INDEX(TxnWitB,$O874)=0,"",INDEX(TxnWitB,$O874)),""))</f>
        <v/>
      </c>
      <c r="K874" s="27">
        <f>IF($B874="","",IF($K873="",$C$10,$K873)+IF($I874="",0,$I874)-IF($J874="",0,$J874))</f>
        <v/>
      </c>
      <c r="L874" s="28">
        <f>IF($N874&lt;&gt;"",IF(INDEX(PCNotes,$N874)="","—",INDEX(PCNotes,$N874)),IF($O874&lt;&gt;"",IF(INDEX(LdgNoteB,$O874)="","—",INDEX(LdgNoteB,$O874)),""))</f>
        <v/>
      </c>
      <c r="N874">
        <f>IFERROR(MATCH($C$5&amp;"|"&amp;RIGHT("000000"&amp;858,6),LdgRankKeyA,0),"")</f>
        <v/>
      </c>
      <c r="O874">
        <f>IFERROR(MATCH($C$5&amp;"|"&amp;RIGHT("000000"&amp;858,6),LdgRankKeyB,0),"")</f>
        <v/>
      </c>
    </row>
    <row r="875">
      <c r="A875" s="17" t="n">
        <v>859</v>
      </c>
      <c r="B875" s="18">
        <f>IF(AND($N875="",$O875=""),"",IF($N875&lt;&gt;"",INDEX(PCNormDate,$N875),INDEX(LdgDateB,$O875)))</f>
        <v/>
      </c>
      <c r="C875" s="18">
        <f>IF($N875&lt;&gt;"",INDEX(PCOp,$N875),IF($O875&lt;&gt;"",IF(N(INDEX(TxnDepB,$O875))&gt;0,"دریافت بانکی","پرداخت بانکی"),""))</f>
        <v/>
      </c>
      <c r="D875" s="18">
        <f>IF($N875&lt;&gt;"",IF(INDEX(PCDoc,$N875)="","—",INDEX(PCDoc,$N875)),IF($O875&lt;&gt;"",INDEX(LdgBankB,$O875),""))</f>
        <v/>
      </c>
      <c r="E875" s="18">
        <f>IF($N875&lt;&gt;"",IF(INDEX(PCCitrus,$N875)="","—",INDEX(PCCitrus,$N875)),"")</f>
        <v/>
      </c>
      <c r="F875" s="19">
        <f>IF($N875&lt;&gt;"",IF(INDEX(PCScale,$N875)=0,"",INDEX(PCScale,$N875)),"")</f>
        <v/>
      </c>
      <c r="G875" s="19">
        <f>IF($N875&lt;&gt;"",IF(INDEX(PCBaskets,$N875)=0,"",INDEX(PCBaskets,$N875)),"")</f>
        <v/>
      </c>
      <c r="H875" s="20">
        <f>IF($N875&lt;&gt;"",IF(INDEX(PCNet,$N875)=0,"",INDEX(PCNet,$N875)),"")</f>
        <v/>
      </c>
      <c r="I875" s="19">
        <f>IF($N875&lt;&gt;"",IF(INDEX(PCOp,$N875)="مرجوعی خرید","",IF(INDEX(PCAmount,$N875)&lt;=0,"",INDEX(PCAmount,$N875))),IF($O875&lt;&gt;"",IF(INDEX(TxnDepB,$O875)=0,"",INDEX(TxnDepB,$O875)),""))</f>
        <v/>
      </c>
      <c r="J875" s="19">
        <f>IF($N875&lt;&gt;"",IF(INDEX(PCOp,$N875)="مرجوعی خرید",IF(INDEX(PCAmount,$N875)=0,"",-INDEX(PCAmount,$N875)),""),IF($O875&lt;&gt;"",IF(INDEX(TxnWitB,$O875)=0,"",INDEX(TxnWitB,$O875)),""))</f>
        <v/>
      </c>
      <c r="K875" s="21">
        <f>IF($B875="","",IF($K874="",$C$10,$K874)+IF($I875="",0,$I875)-IF($J875="",0,$J875))</f>
        <v/>
      </c>
      <c r="L875" s="22">
        <f>IF($N875&lt;&gt;"",IF(INDEX(PCNotes,$N875)="","—",INDEX(PCNotes,$N875)),IF($O875&lt;&gt;"",IF(INDEX(LdgNoteB,$O875)="","—",INDEX(LdgNoteB,$O875)),""))</f>
        <v/>
      </c>
      <c r="N875">
        <f>IFERROR(MATCH($C$5&amp;"|"&amp;RIGHT("000000"&amp;859,6),LdgRankKeyA,0),"")</f>
        <v/>
      </c>
      <c r="O875">
        <f>IFERROR(MATCH($C$5&amp;"|"&amp;RIGHT("000000"&amp;859,6),LdgRankKeyB,0),"")</f>
        <v/>
      </c>
    </row>
    <row r="876">
      <c r="A876" s="23" t="n">
        <v>860</v>
      </c>
      <c r="B876" s="24">
        <f>IF(AND($N876="",$O876=""),"",IF($N876&lt;&gt;"",INDEX(PCNormDate,$N876),INDEX(LdgDateB,$O876)))</f>
        <v/>
      </c>
      <c r="C876" s="24">
        <f>IF($N876&lt;&gt;"",INDEX(PCOp,$N876),IF($O876&lt;&gt;"",IF(N(INDEX(TxnDepB,$O876))&gt;0,"دریافت بانکی","پرداخت بانکی"),""))</f>
        <v/>
      </c>
      <c r="D876" s="24">
        <f>IF($N876&lt;&gt;"",IF(INDEX(PCDoc,$N876)="","—",INDEX(PCDoc,$N876)),IF($O876&lt;&gt;"",INDEX(LdgBankB,$O876),""))</f>
        <v/>
      </c>
      <c r="E876" s="24">
        <f>IF($N876&lt;&gt;"",IF(INDEX(PCCitrus,$N876)="","—",INDEX(PCCitrus,$N876)),"")</f>
        <v/>
      </c>
      <c r="F876" s="25">
        <f>IF($N876&lt;&gt;"",IF(INDEX(PCScale,$N876)=0,"",INDEX(PCScale,$N876)),"")</f>
        <v/>
      </c>
      <c r="G876" s="25">
        <f>IF($N876&lt;&gt;"",IF(INDEX(PCBaskets,$N876)=0,"",INDEX(PCBaskets,$N876)),"")</f>
        <v/>
      </c>
      <c r="H876" s="26">
        <f>IF($N876&lt;&gt;"",IF(INDEX(PCNet,$N876)=0,"",INDEX(PCNet,$N876)),"")</f>
        <v/>
      </c>
      <c r="I876" s="25">
        <f>IF($N876&lt;&gt;"",IF(INDEX(PCOp,$N876)="مرجوعی خرید","",IF(INDEX(PCAmount,$N876)&lt;=0,"",INDEX(PCAmount,$N876))),IF($O876&lt;&gt;"",IF(INDEX(TxnDepB,$O876)=0,"",INDEX(TxnDepB,$O876)),""))</f>
        <v/>
      </c>
      <c r="J876" s="25">
        <f>IF($N876&lt;&gt;"",IF(INDEX(PCOp,$N876)="مرجوعی خرید",IF(INDEX(PCAmount,$N876)=0,"",-INDEX(PCAmount,$N876)),""),IF($O876&lt;&gt;"",IF(INDEX(TxnWitB,$O876)=0,"",INDEX(TxnWitB,$O876)),""))</f>
        <v/>
      </c>
      <c r="K876" s="27">
        <f>IF($B876="","",IF($K875="",$C$10,$K875)+IF($I876="",0,$I876)-IF($J876="",0,$J876))</f>
        <v/>
      </c>
      <c r="L876" s="28">
        <f>IF($N876&lt;&gt;"",IF(INDEX(PCNotes,$N876)="","—",INDEX(PCNotes,$N876)),IF($O876&lt;&gt;"",IF(INDEX(LdgNoteB,$O876)="","—",INDEX(LdgNoteB,$O876)),""))</f>
        <v/>
      </c>
      <c r="N876">
        <f>IFERROR(MATCH($C$5&amp;"|"&amp;RIGHT("000000"&amp;860,6),LdgRankKeyA,0),"")</f>
        <v/>
      </c>
      <c r="O876">
        <f>IFERROR(MATCH($C$5&amp;"|"&amp;RIGHT("000000"&amp;860,6),LdgRankKeyB,0),"")</f>
        <v/>
      </c>
    </row>
    <row r="877">
      <c r="A877" s="17" t="n">
        <v>861</v>
      </c>
      <c r="B877" s="18">
        <f>IF(AND($N877="",$O877=""),"",IF($N877&lt;&gt;"",INDEX(PCNormDate,$N877),INDEX(LdgDateB,$O877)))</f>
        <v/>
      </c>
      <c r="C877" s="18">
        <f>IF($N877&lt;&gt;"",INDEX(PCOp,$N877),IF($O877&lt;&gt;"",IF(N(INDEX(TxnDepB,$O877))&gt;0,"دریافت بانکی","پرداخت بانکی"),""))</f>
        <v/>
      </c>
      <c r="D877" s="18">
        <f>IF($N877&lt;&gt;"",IF(INDEX(PCDoc,$N877)="","—",INDEX(PCDoc,$N877)),IF($O877&lt;&gt;"",INDEX(LdgBankB,$O877),""))</f>
        <v/>
      </c>
      <c r="E877" s="18">
        <f>IF($N877&lt;&gt;"",IF(INDEX(PCCitrus,$N877)="","—",INDEX(PCCitrus,$N877)),"")</f>
        <v/>
      </c>
      <c r="F877" s="19">
        <f>IF($N877&lt;&gt;"",IF(INDEX(PCScale,$N877)=0,"",INDEX(PCScale,$N877)),"")</f>
        <v/>
      </c>
      <c r="G877" s="19">
        <f>IF($N877&lt;&gt;"",IF(INDEX(PCBaskets,$N877)=0,"",INDEX(PCBaskets,$N877)),"")</f>
        <v/>
      </c>
      <c r="H877" s="20">
        <f>IF($N877&lt;&gt;"",IF(INDEX(PCNet,$N877)=0,"",INDEX(PCNet,$N877)),"")</f>
        <v/>
      </c>
      <c r="I877" s="19">
        <f>IF($N877&lt;&gt;"",IF(INDEX(PCOp,$N877)="مرجوعی خرید","",IF(INDEX(PCAmount,$N877)&lt;=0,"",INDEX(PCAmount,$N877))),IF($O877&lt;&gt;"",IF(INDEX(TxnDepB,$O877)=0,"",INDEX(TxnDepB,$O877)),""))</f>
        <v/>
      </c>
      <c r="J877" s="19">
        <f>IF($N877&lt;&gt;"",IF(INDEX(PCOp,$N877)="مرجوعی خرید",IF(INDEX(PCAmount,$N877)=0,"",-INDEX(PCAmount,$N877)),""),IF($O877&lt;&gt;"",IF(INDEX(TxnWitB,$O877)=0,"",INDEX(TxnWitB,$O877)),""))</f>
        <v/>
      </c>
      <c r="K877" s="21">
        <f>IF($B877="","",IF($K876="",$C$10,$K876)+IF($I877="",0,$I877)-IF($J877="",0,$J877))</f>
        <v/>
      </c>
      <c r="L877" s="22">
        <f>IF($N877&lt;&gt;"",IF(INDEX(PCNotes,$N877)="","—",INDEX(PCNotes,$N877)),IF($O877&lt;&gt;"",IF(INDEX(LdgNoteB,$O877)="","—",INDEX(LdgNoteB,$O877)),""))</f>
        <v/>
      </c>
      <c r="N877">
        <f>IFERROR(MATCH($C$5&amp;"|"&amp;RIGHT("000000"&amp;861,6),LdgRankKeyA,0),"")</f>
        <v/>
      </c>
      <c r="O877">
        <f>IFERROR(MATCH($C$5&amp;"|"&amp;RIGHT("000000"&amp;861,6),LdgRankKeyB,0),"")</f>
        <v/>
      </c>
    </row>
    <row r="878">
      <c r="A878" s="23" t="n">
        <v>862</v>
      </c>
      <c r="B878" s="24">
        <f>IF(AND($N878="",$O878=""),"",IF($N878&lt;&gt;"",INDEX(PCNormDate,$N878),INDEX(LdgDateB,$O878)))</f>
        <v/>
      </c>
      <c r="C878" s="24">
        <f>IF($N878&lt;&gt;"",INDEX(PCOp,$N878),IF($O878&lt;&gt;"",IF(N(INDEX(TxnDepB,$O878))&gt;0,"دریافت بانکی","پرداخت بانکی"),""))</f>
        <v/>
      </c>
      <c r="D878" s="24">
        <f>IF($N878&lt;&gt;"",IF(INDEX(PCDoc,$N878)="","—",INDEX(PCDoc,$N878)),IF($O878&lt;&gt;"",INDEX(LdgBankB,$O878),""))</f>
        <v/>
      </c>
      <c r="E878" s="24">
        <f>IF($N878&lt;&gt;"",IF(INDEX(PCCitrus,$N878)="","—",INDEX(PCCitrus,$N878)),"")</f>
        <v/>
      </c>
      <c r="F878" s="25">
        <f>IF($N878&lt;&gt;"",IF(INDEX(PCScale,$N878)=0,"",INDEX(PCScale,$N878)),"")</f>
        <v/>
      </c>
      <c r="G878" s="25">
        <f>IF($N878&lt;&gt;"",IF(INDEX(PCBaskets,$N878)=0,"",INDEX(PCBaskets,$N878)),"")</f>
        <v/>
      </c>
      <c r="H878" s="26">
        <f>IF($N878&lt;&gt;"",IF(INDEX(PCNet,$N878)=0,"",INDEX(PCNet,$N878)),"")</f>
        <v/>
      </c>
      <c r="I878" s="25">
        <f>IF($N878&lt;&gt;"",IF(INDEX(PCOp,$N878)="مرجوعی خرید","",IF(INDEX(PCAmount,$N878)&lt;=0,"",INDEX(PCAmount,$N878))),IF($O878&lt;&gt;"",IF(INDEX(TxnDepB,$O878)=0,"",INDEX(TxnDepB,$O878)),""))</f>
        <v/>
      </c>
      <c r="J878" s="25">
        <f>IF($N878&lt;&gt;"",IF(INDEX(PCOp,$N878)="مرجوعی خرید",IF(INDEX(PCAmount,$N878)=0,"",-INDEX(PCAmount,$N878)),""),IF($O878&lt;&gt;"",IF(INDEX(TxnWitB,$O878)=0,"",INDEX(TxnWitB,$O878)),""))</f>
        <v/>
      </c>
      <c r="K878" s="27">
        <f>IF($B878="","",IF($K877="",$C$10,$K877)+IF($I878="",0,$I878)-IF($J878="",0,$J878))</f>
        <v/>
      </c>
      <c r="L878" s="28">
        <f>IF($N878&lt;&gt;"",IF(INDEX(PCNotes,$N878)="","—",INDEX(PCNotes,$N878)),IF($O878&lt;&gt;"",IF(INDEX(LdgNoteB,$O878)="","—",INDEX(LdgNoteB,$O878)),""))</f>
        <v/>
      </c>
      <c r="N878">
        <f>IFERROR(MATCH($C$5&amp;"|"&amp;RIGHT("000000"&amp;862,6),LdgRankKeyA,0),"")</f>
        <v/>
      </c>
      <c r="O878">
        <f>IFERROR(MATCH($C$5&amp;"|"&amp;RIGHT("000000"&amp;862,6),LdgRankKeyB,0),"")</f>
        <v/>
      </c>
    </row>
    <row r="879">
      <c r="A879" s="17" t="n">
        <v>863</v>
      </c>
      <c r="B879" s="18">
        <f>IF(AND($N879="",$O879=""),"",IF($N879&lt;&gt;"",INDEX(PCNormDate,$N879),INDEX(LdgDateB,$O879)))</f>
        <v/>
      </c>
      <c r="C879" s="18">
        <f>IF($N879&lt;&gt;"",INDEX(PCOp,$N879),IF($O879&lt;&gt;"",IF(N(INDEX(TxnDepB,$O879))&gt;0,"دریافت بانکی","پرداخت بانکی"),""))</f>
        <v/>
      </c>
      <c r="D879" s="18">
        <f>IF($N879&lt;&gt;"",IF(INDEX(PCDoc,$N879)="","—",INDEX(PCDoc,$N879)),IF($O879&lt;&gt;"",INDEX(LdgBankB,$O879),""))</f>
        <v/>
      </c>
      <c r="E879" s="18">
        <f>IF($N879&lt;&gt;"",IF(INDEX(PCCitrus,$N879)="","—",INDEX(PCCitrus,$N879)),"")</f>
        <v/>
      </c>
      <c r="F879" s="19">
        <f>IF($N879&lt;&gt;"",IF(INDEX(PCScale,$N879)=0,"",INDEX(PCScale,$N879)),"")</f>
        <v/>
      </c>
      <c r="G879" s="19">
        <f>IF($N879&lt;&gt;"",IF(INDEX(PCBaskets,$N879)=0,"",INDEX(PCBaskets,$N879)),"")</f>
        <v/>
      </c>
      <c r="H879" s="20">
        <f>IF($N879&lt;&gt;"",IF(INDEX(PCNet,$N879)=0,"",INDEX(PCNet,$N879)),"")</f>
        <v/>
      </c>
      <c r="I879" s="19">
        <f>IF($N879&lt;&gt;"",IF(INDEX(PCOp,$N879)="مرجوعی خرید","",IF(INDEX(PCAmount,$N879)&lt;=0,"",INDEX(PCAmount,$N879))),IF($O879&lt;&gt;"",IF(INDEX(TxnDepB,$O879)=0,"",INDEX(TxnDepB,$O879)),""))</f>
        <v/>
      </c>
      <c r="J879" s="19">
        <f>IF($N879&lt;&gt;"",IF(INDEX(PCOp,$N879)="مرجوعی خرید",IF(INDEX(PCAmount,$N879)=0,"",-INDEX(PCAmount,$N879)),""),IF($O879&lt;&gt;"",IF(INDEX(TxnWitB,$O879)=0,"",INDEX(TxnWitB,$O879)),""))</f>
        <v/>
      </c>
      <c r="K879" s="21">
        <f>IF($B879="","",IF($K878="",$C$10,$K878)+IF($I879="",0,$I879)-IF($J879="",0,$J879))</f>
        <v/>
      </c>
      <c r="L879" s="22">
        <f>IF($N879&lt;&gt;"",IF(INDEX(PCNotes,$N879)="","—",INDEX(PCNotes,$N879)),IF($O879&lt;&gt;"",IF(INDEX(LdgNoteB,$O879)="","—",INDEX(LdgNoteB,$O879)),""))</f>
        <v/>
      </c>
      <c r="N879">
        <f>IFERROR(MATCH($C$5&amp;"|"&amp;RIGHT("000000"&amp;863,6),LdgRankKeyA,0),"")</f>
        <v/>
      </c>
      <c r="O879">
        <f>IFERROR(MATCH($C$5&amp;"|"&amp;RIGHT("000000"&amp;863,6),LdgRankKeyB,0),"")</f>
        <v/>
      </c>
    </row>
    <row r="880">
      <c r="A880" s="23" t="n">
        <v>864</v>
      </c>
      <c r="B880" s="24">
        <f>IF(AND($N880="",$O880=""),"",IF($N880&lt;&gt;"",INDEX(PCNormDate,$N880),INDEX(LdgDateB,$O880)))</f>
        <v/>
      </c>
      <c r="C880" s="24">
        <f>IF($N880&lt;&gt;"",INDEX(PCOp,$N880),IF($O880&lt;&gt;"",IF(N(INDEX(TxnDepB,$O880))&gt;0,"دریافت بانکی","پرداخت بانکی"),""))</f>
        <v/>
      </c>
      <c r="D880" s="24">
        <f>IF($N880&lt;&gt;"",IF(INDEX(PCDoc,$N880)="","—",INDEX(PCDoc,$N880)),IF($O880&lt;&gt;"",INDEX(LdgBankB,$O880),""))</f>
        <v/>
      </c>
      <c r="E880" s="24">
        <f>IF($N880&lt;&gt;"",IF(INDEX(PCCitrus,$N880)="","—",INDEX(PCCitrus,$N880)),"")</f>
        <v/>
      </c>
      <c r="F880" s="25">
        <f>IF($N880&lt;&gt;"",IF(INDEX(PCScale,$N880)=0,"",INDEX(PCScale,$N880)),"")</f>
        <v/>
      </c>
      <c r="G880" s="25">
        <f>IF($N880&lt;&gt;"",IF(INDEX(PCBaskets,$N880)=0,"",INDEX(PCBaskets,$N880)),"")</f>
        <v/>
      </c>
      <c r="H880" s="26">
        <f>IF($N880&lt;&gt;"",IF(INDEX(PCNet,$N880)=0,"",INDEX(PCNet,$N880)),"")</f>
        <v/>
      </c>
      <c r="I880" s="25">
        <f>IF($N880&lt;&gt;"",IF(INDEX(PCOp,$N880)="مرجوعی خرید","",IF(INDEX(PCAmount,$N880)&lt;=0,"",INDEX(PCAmount,$N880))),IF($O880&lt;&gt;"",IF(INDEX(TxnDepB,$O880)=0,"",INDEX(TxnDepB,$O880)),""))</f>
        <v/>
      </c>
      <c r="J880" s="25">
        <f>IF($N880&lt;&gt;"",IF(INDEX(PCOp,$N880)="مرجوعی خرید",IF(INDEX(PCAmount,$N880)=0,"",-INDEX(PCAmount,$N880)),""),IF($O880&lt;&gt;"",IF(INDEX(TxnWitB,$O880)=0,"",INDEX(TxnWitB,$O880)),""))</f>
        <v/>
      </c>
      <c r="K880" s="27">
        <f>IF($B880="","",IF($K879="",$C$10,$K879)+IF($I880="",0,$I880)-IF($J880="",0,$J880))</f>
        <v/>
      </c>
      <c r="L880" s="28">
        <f>IF($N880&lt;&gt;"",IF(INDEX(PCNotes,$N880)="","—",INDEX(PCNotes,$N880)),IF($O880&lt;&gt;"",IF(INDEX(LdgNoteB,$O880)="","—",INDEX(LdgNoteB,$O880)),""))</f>
        <v/>
      </c>
      <c r="N880">
        <f>IFERROR(MATCH($C$5&amp;"|"&amp;RIGHT("000000"&amp;864,6),LdgRankKeyA,0),"")</f>
        <v/>
      </c>
      <c r="O880">
        <f>IFERROR(MATCH($C$5&amp;"|"&amp;RIGHT("000000"&amp;864,6),LdgRankKeyB,0),"")</f>
        <v/>
      </c>
    </row>
    <row r="881">
      <c r="A881" s="17" t="n">
        <v>865</v>
      </c>
      <c r="B881" s="18">
        <f>IF(AND($N881="",$O881=""),"",IF($N881&lt;&gt;"",INDEX(PCNormDate,$N881),INDEX(LdgDateB,$O881)))</f>
        <v/>
      </c>
      <c r="C881" s="18">
        <f>IF($N881&lt;&gt;"",INDEX(PCOp,$N881),IF($O881&lt;&gt;"",IF(N(INDEX(TxnDepB,$O881))&gt;0,"دریافت بانکی","پرداخت بانکی"),""))</f>
        <v/>
      </c>
      <c r="D881" s="18">
        <f>IF($N881&lt;&gt;"",IF(INDEX(PCDoc,$N881)="","—",INDEX(PCDoc,$N881)),IF($O881&lt;&gt;"",INDEX(LdgBankB,$O881),""))</f>
        <v/>
      </c>
      <c r="E881" s="18">
        <f>IF($N881&lt;&gt;"",IF(INDEX(PCCitrus,$N881)="","—",INDEX(PCCitrus,$N881)),"")</f>
        <v/>
      </c>
      <c r="F881" s="19">
        <f>IF($N881&lt;&gt;"",IF(INDEX(PCScale,$N881)=0,"",INDEX(PCScale,$N881)),"")</f>
        <v/>
      </c>
      <c r="G881" s="19">
        <f>IF($N881&lt;&gt;"",IF(INDEX(PCBaskets,$N881)=0,"",INDEX(PCBaskets,$N881)),"")</f>
        <v/>
      </c>
      <c r="H881" s="20">
        <f>IF($N881&lt;&gt;"",IF(INDEX(PCNet,$N881)=0,"",INDEX(PCNet,$N881)),"")</f>
        <v/>
      </c>
      <c r="I881" s="19">
        <f>IF($N881&lt;&gt;"",IF(INDEX(PCOp,$N881)="مرجوعی خرید","",IF(INDEX(PCAmount,$N881)&lt;=0,"",INDEX(PCAmount,$N881))),IF($O881&lt;&gt;"",IF(INDEX(TxnDepB,$O881)=0,"",INDEX(TxnDepB,$O881)),""))</f>
        <v/>
      </c>
      <c r="J881" s="19">
        <f>IF($N881&lt;&gt;"",IF(INDEX(PCOp,$N881)="مرجوعی خرید",IF(INDEX(PCAmount,$N881)=0,"",-INDEX(PCAmount,$N881)),""),IF($O881&lt;&gt;"",IF(INDEX(TxnWitB,$O881)=0,"",INDEX(TxnWitB,$O881)),""))</f>
        <v/>
      </c>
      <c r="K881" s="21">
        <f>IF($B881="","",IF($K880="",$C$10,$K880)+IF($I881="",0,$I881)-IF($J881="",0,$J881))</f>
        <v/>
      </c>
      <c r="L881" s="22">
        <f>IF($N881&lt;&gt;"",IF(INDEX(PCNotes,$N881)="","—",INDEX(PCNotes,$N881)),IF($O881&lt;&gt;"",IF(INDEX(LdgNoteB,$O881)="","—",INDEX(LdgNoteB,$O881)),""))</f>
        <v/>
      </c>
      <c r="N881">
        <f>IFERROR(MATCH($C$5&amp;"|"&amp;RIGHT("000000"&amp;865,6),LdgRankKeyA,0),"")</f>
        <v/>
      </c>
      <c r="O881">
        <f>IFERROR(MATCH($C$5&amp;"|"&amp;RIGHT("000000"&amp;865,6),LdgRankKeyB,0),"")</f>
        <v/>
      </c>
    </row>
    <row r="882">
      <c r="A882" s="23" t="n">
        <v>866</v>
      </c>
      <c r="B882" s="24">
        <f>IF(AND($N882="",$O882=""),"",IF($N882&lt;&gt;"",INDEX(PCNormDate,$N882),INDEX(LdgDateB,$O882)))</f>
        <v/>
      </c>
      <c r="C882" s="24">
        <f>IF($N882&lt;&gt;"",INDEX(PCOp,$N882),IF($O882&lt;&gt;"",IF(N(INDEX(TxnDepB,$O882))&gt;0,"دریافت بانکی","پرداخت بانکی"),""))</f>
        <v/>
      </c>
      <c r="D882" s="24">
        <f>IF($N882&lt;&gt;"",IF(INDEX(PCDoc,$N882)="","—",INDEX(PCDoc,$N882)),IF($O882&lt;&gt;"",INDEX(LdgBankB,$O882),""))</f>
        <v/>
      </c>
      <c r="E882" s="24">
        <f>IF($N882&lt;&gt;"",IF(INDEX(PCCitrus,$N882)="","—",INDEX(PCCitrus,$N882)),"")</f>
        <v/>
      </c>
      <c r="F882" s="25">
        <f>IF($N882&lt;&gt;"",IF(INDEX(PCScale,$N882)=0,"",INDEX(PCScale,$N882)),"")</f>
        <v/>
      </c>
      <c r="G882" s="25">
        <f>IF($N882&lt;&gt;"",IF(INDEX(PCBaskets,$N882)=0,"",INDEX(PCBaskets,$N882)),"")</f>
        <v/>
      </c>
      <c r="H882" s="26">
        <f>IF($N882&lt;&gt;"",IF(INDEX(PCNet,$N882)=0,"",INDEX(PCNet,$N882)),"")</f>
        <v/>
      </c>
      <c r="I882" s="25">
        <f>IF($N882&lt;&gt;"",IF(INDEX(PCOp,$N882)="مرجوعی خرید","",IF(INDEX(PCAmount,$N882)&lt;=0,"",INDEX(PCAmount,$N882))),IF($O882&lt;&gt;"",IF(INDEX(TxnDepB,$O882)=0,"",INDEX(TxnDepB,$O882)),""))</f>
        <v/>
      </c>
      <c r="J882" s="25">
        <f>IF($N882&lt;&gt;"",IF(INDEX(PCOp,$N882)="مرجوعی خرید",IF(INDEX(PCAmount,$N882)=0,"",-INDEX(PCAmount,$N882)),""),IF($O882&lt;&gt;"",IF(INDEX(TxnWitB,$O882)=0,"",INDEX(TxnWitB,$O882)),""))</f>
        <v/>
      </c>
      <c r="K882" s="27">
        <f>IF($B882="","",IF($K881="",$C$10,$K881)+IF($I882="",0,$I882)-IF($J882="",0,$J882))</f>
        <v/>
      </c>
      <c r="L882" s="28">
        <f>IF($N882&lt;&gt;"",IF(INDEX(PCNotes,$N882)="","—",INDEX(PCNotes,$N882)),IF($O882&lt;&gt;"",IF(INDEX(LdgNoteB,$O882)="","—",INDEX(LdgNoteB,$O882)),""))</f>
        <v/>
      </c>
      <c r="N882">
        <f>IFERROR(MATCH($C$5&amp;"|"&amp;RIGHT("000000"&amp;866,6),LdgRankKeyA,0),"")</f>
        <v/>
      </c>
      <c r="O882">
        <f>IFERROR(MATCH($C$5&amp;"|"&amp;RIGHT("000000"&amp;866,6),LdgRankKeyB,0),"")</f>
        <v/>
      </c>
    </row>
    <row r="883">
      <c r="A883" s="17" t="n">
        <v>867</v>
      </c>
      <c r="B883" s="18">
        <f>IF(AND($N883="",$O883=""),"",IF($N883&lt;&gt;"",INDEX(PCNormDate,$N883),INDEX(LdgDateB,$O883)))</f>
        <v/>
      </c>
      <c r="C883" s="18">
        <f>IF($N883&lt;&gt;"",INDEX(PCOp,$N883),IF($O883&lt;&gt;"",IF(N(INDEX(TxnDepB,$O883))&gt;0,"دریافت بانکی","پرداخت بانکی"),""))</f>
        <v/>
      </c>
      <c r="D883" s="18">
        <f>IF($N883&lt;&gt;"",IF(INDEX(PCDoc,$N883)="","—",INDEX(PCDoc,$N883)),IF($O883&lt;&gt;"",INDEX(LdgBankB,$O883),""))</f>
        <v/>
      </c>
      <c r="E883" s="18">
        <f>IF($N883&lt;&gt;"",IF(INDEX(PCCitrus,$N883)="","—",INDEX(PCCitrus,$N883)),"")</f>
        <v/>
      </c>
      <c r="F883" s="19">
        <f>IF($N883&lt;&gt;"",IF(INDEX(PCScale,$N883)=0,"",INDEX(PCScale,$N883)),"")</f>
        <v/>
      </c>
      <c r="G883" s="19">
        <f>IF($N883&lt;&gt;"",IF(INDEX(PCBaskets,$N883)=0,"",INDEX(PCBaskets,$N883)),"")</f>
        <v/>
      </c>
      <c r="H883" s="20">
        <f>IF($N883&lt;&gt;"",IF(INDEX(PCNet,$N883)=0,"",INDEX(PCNet,$N883)),"")</f>
        <v/>
      </c>
      <c r="I883" s="19">
        <f>IF($N883&lt;&gt;"",IF(INDEX(PCOp,$N883)="مرجوعی خرید","",IF(INDEX(PCAmount,$N883)&lt;=0,"",INDEX(PCAmount,$N883))),IF($O883&lt;&gt;"",IF(INDEX(TxnDepB,$O883)=0,"",INDEX(TxnDepB,$O883)),""))</f>
        <v/>
      </c>
      <c r="J883" s="19">
        <f>IF($N883&lt;&gt;"",IF(INDEX(PCOp,$N883)="مرجوعی خرید",IF(INDEX(PCAmount,$N883)=0,"",-INDEX(PCAmount,$N883)),""),IF($O883&lt;&gt;"",IF(INDEX(TxnWitB,$O883)=0,"",INDEX(TxnWitB,$O883)),""))</f>
        <v/>
      </c>
      <c r="K883" s="21">
        <f>IF($B883="","",IF($K882="",$C$10,$K882)+IF($I883="",0,$I883)-IF($J883="",0,$J883))</f>
        <v/>
      </c>
      <c r="L883" s="22">
        <f>IF($N883&lt;&gt;"",IF(INDEX(PCNotes,$N883)="","—",INDEX(PCNotes,$N883)),IF($O883&lt;&gt;"",IF(INDEX(LdgNoteB,$O883)="","—",INDEX(LdgNoteB,$O883)),""))</f>
        <v/>
      </c>
      <c r="N883">
        <f>IFERROR(MATCH($C$5&amp;"|"&amp;RIGHT("000000"&amp;867,6),LdgRankKeyA,0),"")</f>
        <v/>
      </c>
      <c r="O883">
        <f>IFERROR(MATCH($C$5&amp;"|"&amp;RIGHT("000000"&amp;867,6),LdgRankKeyB,0),"")</f>
        <v/>
      </c>
    </row>
    <row r="884">
      <c r="A884" s="23" t="n">
        <v>868</v>
      </c>
      <c r="B884" s="24">
        <f>IF(AND($N884="",$O884=""),"",IF($N884&lt;&gt;"",INDEX(PCNormDate,$N884),INDEX(LdgDateB,$O884)))</f>
        <v/>
      </c>
      <c r="C884" s="24">
        <f>IF($N884&lt;&gt;"",INDEX(PCOp,$N884),IF($O884&lt;&gt;"",IF(N(INDEX(TxnDepB,$O884))&gt;0,"دریافت بانکی","پرداخت بانکی"),""))</f>
        <v/>
      </c>
      <c r="D884" s="24">
        <f>IF($N884&lt;&gt;"",IF(INDEX(PCDoc,$N884)="","—",INDEX(PCDoc,$N884)),IF($O884&lt;&gt;"",INDEX(LdgBankB,$O884),""))</f>
        <v/>
      </c>
      <c r="E884" s="24">
        <f>IF($N884&lt;&gt;"",IF(INDEX(PCCitrus,$N884)="","—",INDEX(PCCitrus,$N884)),"")</f>
        <v/>
      </c>
      <c r="F884" s="25">
        <f>IF($N884&lt;&gt;"",IF(INDEX(PCScale,$N884)=0,"",INDEX(PCScale,$N884)),"")</f>
        <v/>
      </c>
      <c r="G884" s="25">
        <f>IF($N884&lt;&gt;"",IF(INDEX(PCBaskets,$N884)=0,"",INDEX(PCBaskets,$N884)),"")</f>
        <v/>
      </c>
      <c r="H884" s="26">
        <f>IF($N884&lt;&gt;"",IF(INDEX(PCNet,$N884)=0,"",INDEX(PCNet,$N884)),"")</f>
        <v/>
      </c>
      <c r="I884" s="25">
        <f>IF($N884&lt;&gt;"",IF(INDEX(PCOp,$N884)="مرجوعی خرید","",IF(INDEX(PCAmount,$N884)&lt;=0,"",INDEX(PCAmount,$N884))),IF($O884&lt;&gt;"",IF(INDEX(TxnDepB,$O884)=0,"",INDEX(TxnDepB,$O884)),""))</f>
        <v/>
      </c>
      <c r="J884" s="25">
        <f>IF($N884&lt;&gt;"",IF(INDEX(PCOp,$N884)="مرجوعی خرید",IF(INDEX(PCAmount,$N884)=0,"",-INDEX(PCAmount,$N884)),""),IF($O884&lt;&gt;"",IF(INDEX(TxnWitB,$O884)=0,"",INDEX(TxnWitB,$O884)),""))</f>
        <v/>
      </c>
      <c r="K884" s="27">
        <f>IF($B884="","",IF($K883="",$C$10,$K883)+IF($I884="",0,$I884)-IF($J884="",0,$J884))</f>
        <v/>
      </c>
      <c r="L884" s="28">
        <f>IF($N884&lt;&gt;"",IF(INDEX(PCNotes,$N884)="","—",INDEX(PCNotes,$N884)),IF($O884&lt;&gt;"",IF(INDEX(LdgNoteB,$O884)="","—",INDEX(LdgNoteB,$O884)),""))</f>
        <v/>
      </c>
      <c r="N884">
        <f>IFERROR(MATCH($C$5&amp;"|"&amp;RIGHT("000000"&amp;868,6),LdgRankKeyA,0),"")</f>
        <v/>
      </c>
      <c r="O884">
        <f>IFERROR(MATCH($C$5&amp;"|"&amp;RIGHT("000000"&amp;868,6),LdgRankKeyB,0),"")</f>
        <v/>
      </c>
    </row>
    <row r="885">
      <c r="A885" s="17" t="n">
        <v>869</v>
      </c>
      <c r="B885" s="18">
        <f>IF(AND($N885="",$O885=""),"",IF($N885&lt;&gt;"",INDEX(PCNormDate,$N885),INDEX(LdgDateB,$O885)))</f>
        <v/>
      </c>
      <c r="C885" s="18">
        <f>IF($N885&lt;&gt;"",INDEX(PCOp,$N885),IF($O885&lt;&gt;"",IF(N(INDEX(TxnDepB,$O885))&gt;0,"دریافت بانکی","پرداخت بانکی"),""))</f>
        <v/>
      </c>
      <c r="D885" s="18">
        <f>IF($N885&lt;&gt;"",IF(INDEX(PCDoc,$N885)="","—",INDEX(PCDoc,$N885)),IF($O885&lt;&gt;"",INDEX(LdgBankB,$O885),""))</f>
        <v/>
      </c>
      <c r="E885" s="18">
        <f>IF($N885&lt;&gt;"",IF(INDEX(PCCitrus,$N885)="","—",INDEX(PCCitrus,$N885)),"")</f>
        <v/>
      </c>
      <c r="F885" s="19">
        <f>IF($N885&lt;&gt;"",IF(INDEX(PCScale,$N885)=0,"",INDEX(PCScale,$N885)),"")</f>
        <v/>
      </c>
      <c r="G885" s="19">
        <f>IF($N885&lt;&gt;"",IF(INDEX(PCBaskets,$N885)=0,"",INDEX(PCBaskets,$N885)),"")</f>
        <v/>
      </c>
      <c r="H885" s="20">
        <f>IF($N885&lt;&gt;"",IF(INDEX(PCNet,$N885)=0,"",INDEX(PCNet,$N885)),"")</f>
        <v/>
      </c>
      <c r="I885" s="19">
        <f>IF($N885&lt;&gt;"",IF(INDEX(PCOp,$N885)="مرجوعی خرید","",IF(INDEX(PCAmount,$N885)&lt;=0,"",INDEX(PCAmount,$N885))),IF($O885&lt;&gt;"",IF(INDEX(TxnDepB,$O885)=0,"",INDEX(TxnDepB,$O885)),""))</f>
        <v/>
      </c>
      <c r="J885" s="19">
        <f>IF($N885&lt;&gt;"",IF(INDEX(PCOp,$N885)="مرجوعی خرید",IF(INDEX(PCAmount,$N885)=0,"",-INDEX(PCAmount,$N885)),""),IF($O885&lt;&gt;"",IF(INDEX(TxnWitB,$O885)=0,"",INDEX(TxnWitB,$O885)),""))</f>
        <v/>
      </c>
      <c r="K885" s="21">
        <f>IF($B885="","",IF($K884="",$C$10,$K884)+IF($I885="",0,$I885)-IF($J885="",0,$J885))</f>
        <v/>
      </c>
      <c r="L885" s="22">
        <f>IF($N885&lt;&gt;"",IF(INDEX(PCNotes,$N885)="","—",INDEX(PCNotes,$N885)),IF($O885&lt;&gt;"",IF(INDEX(LdgNoteB,$O885)="","—",INDEX(LdgNoteB,$O885)),""))</f>
        <v/>
      </c>
      <c r="N885">
        <f>IFERROR(MATCH($C$5&amp;"|"&amp;RIGHT("000000"&amp;869,6),LdgRankKeyA,0),"")</f>
        <v/>
      </c>
      <c r="O885">
        <f>IFERROR(MATCH($C$5&amp;"|"&amp;RIGHT("000000"&amp;869,6),LdgRankKeyB,0),"")</f>
        <v/>
      </c>
    </row>
    <row r="886">
      <c r="A886" s="23" t="n">
        <v>870</v>
      </c>
      <c r="B886" s="24">
        <f>IF(AND($N886="",$O886=""),"",IF($N886&lt;&gt;"",INDEX(PCNormDate,$N886),INDEX(LdgDateB,$O886)))</f>
        <v/>
      </c>
      <c r="C886" s="24">
        <f>IF($N886&lt;&gt;"",INDEX(PCOp,$N886),IF($O886&lt;&gt;"",IF(N(INDEX(TxnDepB,$O886))&gt;0,"دریافت بانکی","پرداخت بانکی"),""))</f>
        <v/>
      </c>
      <c r="D886" s="24">
        <f>IF($N886&lt;&gt;"",IF(INDEX(PCDoc,$N886)="","—",INDEX(PCDoc,$N886)),IF($O886&lt;&gt;"",INDEX(LdgBankB,$O886),""))</f>
        <v/>
      </c>
      <c r="E886" s="24">
        <f>IF($N886&lt;&gt;"",IF(INDEX(PCCitrus,$N886)="","—",INDEX(PCCitrus,$N886)),"")</f>
        <v/>
      </c>
      <c r="F886" s="25">
        <f>IF($N886&lt;&gt;"",IF(INDEX(PCScale,$N886)=0,"",INDEX(PCScale,$N886)),"")</f>
        <v/>
      </c>
      <c r="G886" s="25">
        <f>IF($N886&lt;&gt;"",IF(INDEX(PCBaskets,$N886)=0,"",INDEX(PCBaskets,$N886)),"")</f>
        <v/>
      </c>
      <c r="H886" s="26">
        <f>IF($N886&lt;&gt;"",IF(INDEX(PCNet,$N886)=0,"",INDEX(PCNet,$N886)),"")</f>
        <v/>
      </c>
      <c r="I886" s="25">
        <f>IF($N886&lt;&gt;"",IF(INDEX(PCOp,$N886)="مرجوعی خرید","",IF(INDEX(PCAmount,$N886)&lt;=0,"",INDEX(PCAmount,$N886))),IF($O886&lt;&gt;"",IF(INDEX(TxnDepB,$O886)=0,"",INDEX(TxnDepB,$O886)),""))</f>
        <v/>
      </c>
      <c r="J886" s="25">
        <f>IF($N886&lt;&gt;"",IF(INDEX(PCOp,$N886)="مرجوعی خرید",IF(INDEX(PCAmount,$N886)=0,"",-INDEX(PCAmount,$N886)),""),IF($O886&lt;&gt;"",IF(INDEX(TxnWitB,$O886)=0,"",INDEX(TxnWitB,$O886)),""))</f>
        <v/>
      </c>
      <c r="K886" s="27">
        <f>IF($B886="","",IF($K885="",$C$10,$K885)+IF($I886="",0,$I886)-IF($J886="",0,$J886))</f>
        <v/>
      </c>
      <c r="L886" s="28">
        <f>IF($N886&lt;&gt;"",IF(INDEX(PCNotes,$N886)="","—",INDEX(PCNotes,$N886)),IF($O886&lt;&gt;"",IF(INDEX(LdgNoteB,$O886)="","—",INDEX(LdgNoteB,$O886)),""))</f>
        <v/>
      </c>
      <c r="N886">
        <f>IFERROR(MATCH($C$5&amp;"|"&amp;RIGHT("000000"&amp;870,6),LdgRankKeyA,0),"")</f>
        <v/>
      </c>
      <c r="O886">
        <f>IFERROR(MATCH($C$5&amp;"|"&amp;RIGHT("000000"&amp;870,6),LdgRankKeyB,0),"")</f>
        <v/>
      </c>
    </row>
    <row r="887">
      <c r="A887" s="17" t="n">
        <v>871</v>
      </c>
      <c r="B887" s="18">
        <f>IF(AND($N887="",$O887=""),"",IF($N887&lt;&gt;"",INDEX(PCNormDate,$N887),INDEX(LdgDateB,$O887)))</f>
        <v/>
      </c>
      <c r="C887" s="18">
        <f>IF($N887&lt;&gt;"",INDEX(PCOp,$N887),IF($O887&lt;&gt;"",IF(N(INDEX(TxnDepB,$O887))&gt;0,"دریافت بانکی","پرداخت بانکی"),""))</f>
        <v/>
      </c>
      <c r="D887" s="18">
        <f>IF($N887&lt;&gt;"",IF(INDEX(PCDoc,$N887)="","—",INDEX(PCDoc,$N887)),IF($O887&lt;&gt;"",INDEX(LdgBankB,$O887),""))</f>
        <v/>
      </c>
      <c r="E887" s="18">
        <f>IF($N887&lt;&gt;"",IF(INDEX(PCCitrus,$N887)="","—",INDEX(PCCitrus,$N887)),"")</f>
        <v/>
      </c>
      <c r="F887" s="19">
        <f>IF($N887&lt;&gt;"",IF(INDEX(PCScale,$N887)=0,"",INDEX(PCScale,$N887)),"")</f>
        <v/>
      </c>
      <c r="G887" s="19">
        <f>IF($N887&lt;&gt;"",IF(INDEX(PCBaskets,$N887)=0,"",INDEX(PCBaskets,$N887)),"")</f>
        <v/>
      </c>
      <c r="H887" s="20">
        <f>IF($N887&lt;&gt;"",IF(INDEX(PCNet,$N887)=0,"",INDEX(PCNet,$N887)),"")</f>
        <v/>
      </c>
      <c r="I887" s="19">
        <f>IF($N887&lt;&gt;"",IF(INDEX(PCOp,$N887)="مرجوعی خرید","",IF(INDEX(PCAmount,$N887)&lt;=0,"",INDEX(PCAmount,$N887))),IF($O887&lt;&gt;"",IF(INDEX(TxnDepB,$O887)=0,"",INDEX(TxnDepB,$O887)),""))</f>
        <v/>
      </c>
      <c r="J887" s="19">
        <f>IF($N887&lt;&gt;"",IF(INDEX(PCOp,$N887)="مرجوعی خرید",IF(INDEX(PCAmount,$N887)=0,"",-INDEX(PCAmount,$N887)),""),IF($O887&lt;&gt;"",IF(INDEX(TxnWitB,$O887)=0,"",INDEX(TxnWitB,$O887)),""))</f>
        <v/>
      </c>
      <c r="K887" s="21">
        <f>IF($B887="","",IF($K886="",$C$10,$K886)+IF($I887="",0,$I887)-IF($J887="",0,$J887))</f>
        <v/>
      </c>
      <c r="L887" s="22">
        <f>IF($N887&lt;&gt;"",IF(INDEX(PCNotes,$N887)="","—",INDEX(PCNotes,$N887)),IF($O887&lt;&gt;"",IF(INDEX(LdgNoteB,$O887)="","—",INDEX(LdgNoteB,$O887)),""))</f>
        <v/>
      </c>
      <c r="N887">
        <f>IFERROR(MATCH($C$5&amp;"|"&amp;RIGHT("000000"&amp;871,6),LdgRankKeyA,0),"")</f>
        <v/>
      </c>
      <c r="O887">
        <f>IFERROR(MATCH($C$5&amp;"|"&amp;RIGHT("000000"&amp;871,6),LdgRankKeyB,0),"")</f>
        <v/>
      </c>
    </row>
    <row r="888">
      <c r="A888" s="23" t="n">
        <v>872</v>
      </c>
      <c r="B888" s="24">
        <f>IF(AND($N888="",$O888=""),"",IF($N888&lt;&gt;"",INDEX(PCNormDate,$N888),INDEX(LdgDateB,$O888)))</f>
        <v/>
      </c>
      <c r="C888" s="24">
        <f>IF($N888&lt;&gt;"",INDEX(PCOp,$N888),IF($O888&lt;&gt;"",IF(N(INDEX(TxnDepB,$O888))&gt;0,"دریافت بانکی","پرداخت بانکی"),""))</f>
        <v/>
      </c>
      <c r="D888" s="24">
        <f>IF($N888&lt;&gt;"",IF(INDEX(PCDoc,$N888)="","—",INDEX(PCDoc,$N888)),IF($O888&lt;&gt;"",INDEX(LdgBankB,$O888),""))</f>
        <v/>
      </c>
      <c r="E888" s="24">
        <f>IF($N888&lt;&gt;"",IF(INDEX(PCCitrus,$N888)="","—",INDEX(PCCitrus,$N888)),"")</f>
        <v/>
      </c>
      <c r="F888" s="25">
        <f>IF($N888&lt;&gt;"",IF(INDEX(PCScale,$N888)=0,"",INDEX(PCScale,$N888)),"")</f>
        <v/>
      </c>
      <c r="G888" s="25">
        <f>IF($N888&lt;&gt;"",IF(INDEX(PCBaskets,$N888)=0,"",INDEX(PCBaskets,$N888)),"")</f>
        <v/>
      </c>
      <c r="H888" s="26">
        <f>IF($N888&lt;&gt;"",IF(INDEX(PCNet,$N888)=0,"",INDEX(PCNet,$N888)),"")</f>
        <v/>
      </c>
      <c r="I888" s="25">
        <f>IF($N888&lt;&gt;"",IF(INDEX(PCOp,$N888)="مرجوعی خرید","",IF(INDEX(PCAmount,$N888)&lt;=0,"",INDEX(PCAmount,$N888))),IF($O888&lt;&gt;"",IF(INDEX(TxnDepB,$O888)=0,"",INDEX(TxnDepB,$O888)),""))</f>
        <v/>
      </c>
      <c r="J888" s="25">
        <f>IF($N888&lt;&gt;"",IF(INDEX(PCOp,$N888)="مرجوعی خرید",IF(INDEX(PCAmount,$N888)=0,"",-INDEX(PCAmount,$N888)),""),IF($O888&lt;&gt;"",IF(INDEX(TxnWitB,$O888)=0,"",INDEX(TxnWitB,$O888)),""))</f>
        <v/>
      </c>
      <c r="K888" s="27">
        <f>IF($B888="","",IF($K887="",$C$10,$K887)+IF($I888="",0,$I888)-IF($J888="",0,$J888))</f>
        <v/>
      </c>
      <c r="L888" s="28">
        <f>IF($N888&lt;&gt;"",IF(INDEX(PCNotes,$N888)="","—",INDEX(PCNotes,$N888)),IF($O888&lt;&gt;"",IF(INDEX(LdgNoteB,$O888)="","—",INDEX(LdgNoteB,$O888)),""))</f>
        <v/>
      </c>
      <c r="N888">
        <f>IFERROR(MATCH($C$5&amp;"|"&amp;RIGHT("000000"&amp;872,6),LdgRankKeyA,0),"")</f>
        <v/>
      </c>
      <c r="O888">
        <f>IFERROR(MATCH($C$5&amp;"|"&amp;RIGHT("000000"&amp;872,6),LdgRankKeyB,0),"")</f>
        <v/>
      </c>
    </row>
    <row r="889">
      <c r="A889" s="17" t="n">
        <v>873</v>
      </c>
      <c r="B889" s="18">
        <f>IF(AND($N889="",$O889=""),"",IF($N889&lt;&gt;"",INDEX(PCNormDate,$N889),INDEX(LdgDateB,$O889)))</f>
        <v/>
      </c>
      <c r="C889" s="18">
        <f>IF($N889&lt;&gt;"",INDEX(PCOp,$N889),IF($O889&lt;&gt;"",IF(N(INDEX(TxnDepB,$O889))&gt;0,"دریافت بانکی","پرداخت بانکی"),""))</f>
        <v/>
      </c>
      <c r="D889" s="18">
        <f>IF($N889&lt;&gt;"",IF(INDEX(PCDoc,$N889)="","—",INDEX(PCDoc,$N889)),IF($O889&lt;&gt;"",INDEX(LdgBankB,$O889),""))</f>
        <v/>
      </c>
      <c r="E889" s="18">
        <f>IF($N889&lt;&gt;"",IF(INDEX(PCCitrus,$N889)="","—",INDEX(PCCitrus,$N889)),"")</f>
        <v/>
      </c>
      <c r="F889" s="19">
        <f>IF($N889&lt;&gt;"",IF(INDEX(PCScale,$N889)=0,"",INDEX(PCScale,$N889)),"")</f>
        <v/>
      </c>
      <c r="G889" s="19">
        <f>IF($N889&lt;&gt;"",IF(INDEX(PCBaskets,$N889)=0,"",INDEX(PCBaskets,$N889)),"")</f>
        <v/>
      </c>
      <c r="H889" s="20">
        <f>IF($N889&lt;&gt;"",IF(INDEX(PCNet,$N889)=0,"",INDEX(PCNet,$N889)),"")</f>
        <v/>
      </c>
      <c r="I889" s="19">
        <f>IF($N889&lt;&gt;"",IF(INDEX(PCOp,$N889)="مرجوعی خرید","",IF(INDEX(PCAmount,$N889)&lt;=0,"",INDEX(PCAmount,$N889))),IF($O889&lt;&gt;"",IF(INDEX(TxnDepB,$O889)=0,"",INDEX(TxnDepB,$O889)),""))</f>
        <v/>
      </c>
      <c r="J889" s="19">
        <f>IF($N889&lt;&gt;"",IF(INDEX(PCOp,$N889)="مرجوعی خرید",IF(INDEX(PCAmount,$N889)=0,"",-INDEX(PCAmount,$N889)),""),IF($O889&lt;&gt;"",IF(INDEX(TxnWitB,$O889)=0,"",INDEX(TxnWitB,$O889)),""))</f>
        <v/>
      </c>
      <c r="K889" s="21">
        <f>IF($B889="","",IF($K888="",$C$10,$K888)+IF($I889="",0,$I889)-IF($J889="",0,$J889))</f>
        <v/>
      </c>
      <c r="L889" s="22">
        <f>IF($N889&lt;&gt;"",IF(INDEX(PCNotes,$N889)="","—",INDEX(PCNotes,$N889)),IF($O889&lt;&gt;"",IF(INDEX(LdgNoteB,$O889)="","—",INDEX(LdgNoteB,$O889)),""))</f>
        <v/>
      </c>
      <c r="N889">
        <f>IFERROR(MATCH($C$5&amp;"|"&amp;RIGHT("000000"&amp;873,6),LdgRankKeyA,0),"")</f>
        <v/>
      </c>
      <c r="O889">
        <f>IFERROR(MATCH($C$5&amp;"|"&amp;RIGHT("000000"&amp;873,6),LdgRankKeyB,0),"")</f>
        <v/>
      </c>
    </row>
    <row r="890">
      <c r="A890" s="23" t="n">
        <v>874</v>
      </c>
      <c r="B890" s="24">
        <f>IF(AND($N890="",$O890=""),"",IF($N890&lt;&gt;"",INDEX(PCNormDate,$N890),INDEX(LdgDateB,$O890)))</f>
        <v/>
      </c>
      <c r="C890" s="24">
        <f>IF($N890&lt;&gt;"",INDEX(PCOp,$N890),IF($O890&lt;&gt;"",IF(N(INDEX(TxnDepB,$O890))&gt;0,"دریافت بانکی","پرداخت بانکی"),""))</f>
        <v/>
      </c>
      <c r="D890" s="24">
        <f>IF($N890&lt;&gt;"",IF(INDEX(PCDoc,$N890)="","—",INDEX(PCDoc,$N890)),IF($O890&lt;&gt;"",INDEX(LdgBankB,$O890),""))</f>
        <v/>
      </c>
      <c r="E890" s="24">
        <f>IF($N890&lt;&gt;"",IF(INDEX(PCCitrus,$N890)="","—",INDEX(PCCitrus,$N890)),"")</f>
        <v/>
      </c>
      <c r="F890" s="25">
        <f>IF($N890&lt;&gt;"",IF(INDEX(PCScale,$N890)=0,"",INDEX(PCScale,$N890)),"")</f>
        <v/>
      </c>
      <c r="G890" s="25">
        <f>IF($N890&lt;&gt;"",IF(INDEX(PCBaskets,$N890)=0,"",INDEX(PCBaskets,$N890)),"")</f>
        <v/>
      </c>
      <c r="H890" s="26">
        <f>IF($N890&lt;&gt;"",IF(INDEX(PCNet,$N890)=0,"",INDEX(PCNet,$N890)),"")</f>
        <v/>
      </c>
      <c r="I890" s="25">
        <f>IF($N890&lt;&gt;"",IF(INDEX(PCOp,$N890)="مرجوعی خرید","",IF(INDEX(PCAmount,$N890)&lt;=0,"",INDEX(PCAmount,$N890))),IF($O890&lt;&gt;"",IF(INDEX(TxnDepB,$O890)=0,"",INDEX(TxnDepB,$O890)),""))</f>
        <v/>
      </c>
      <c r="J890" s="25">
        <f>IF($N890&lt;&gt;"",IF(INDEX(PCOp,$N890)="مرجوعی خرید",IF(INDEX(PCAmount,$N890)=0,"",-INDEX(PCAmount,$N890)),""),IF($O890&lt;&gt;"",IF(INDEX(TxnWitB,$O890)=0,"",INDEX(TxnWitB,$O890)),""))</f>
        <v/>
      </c>
      <c r="K890" s="27">
        <f>IF($B890="","",IF($K889="",$C$10,$K889)+IF($I890="",0,$I890)-IF($J890="",0,$J890))</f>
        <v/>
      </c>
      <c r="L890" s="28">
        <f>IF($N890&lt;&gt;"",IF(INDEX(PCNotes,$N890)="","—",INDEX(PCNotes,$N890)),IF($O890&lt;&gt;"",IF(INDEX(LdgNoteB,$O890)="","—",INDEX(LdgNoteB,$O890)),""))</f>
        <v/>
      </c>
      <c r="N890">
        <f>IFERROR(MATCH($C$5&amp;"|"&amp;RIGHT("000000"&amp;874,6),LdgRankKeyA,0),"")</f>
        <v/>
      </c>
      <c r="O890">
        <f>IFERROR(MATCH($C$5&amp;"|"&amp;RIGHT("000000"&amp;874,6),LdgRankKeyB,0),"")</f>
        <v/>
      </c>
    </row>
    <row r="891">
      <c r="A891" s="17" t="n">
        <v>875</v>
      </c>
      <c r="B891" s="18">
        <f>IF(AND($N891="",$O891=""),"",IF($N891&lt;&gt;"",INDEX(PCNormDate,$N891),INDEX(LdgDateB,$O891)))</f>
        <v/>
      </c>
      <c r="C891" s="18">
        <f>IF($N891&lt;&gt;"",INDEX(PCOp,$N891),IF($O891&lt;&gt;"",IF(N(INDEX(TxnDepB,$O891))&gt;0,"دریافت بانکی","پرداخت بانکی"),""))</f>
        <v/>
      </c>
      <c r="D891" s="18">
        <f>IF($N891&lt;&gt;"",IF(INDEX(PCDoc,$N891)="","—",INDEX(PCDoc,$N891)),IF($O891&lt;&gt;"",INDEX(LdgBankB,$O891),""))</f>
        <v/>
      </c>
      <c r="E891" s="18">
        <f>IF($N891&lt;&gt;"",IF(INDEX(PCCitrus,$N891)="","—",INDEX(PCCitrus,$N891)),"")</f>
        <v/>
      </c>
      <c r="F891" s="19">
        <f>IF($N891&lt;&gt;"",IF(INDEX(PCScale,$N891)=0,"",INDEX(PCScale,$N891)),"")</f>
        <v/>
      </c>
      <c r="G891" s="19">
        <f>IF($N891&lt;&gt;"",IF(INDEX(PCBaskets,$N891)=0,"",INDEX(PCBaskets,$N891)),"")</f>
        <v/>
      </c>
      <c r="H891" s="20">
        <f>IF($N891&lt;&gt;"",IF(INDEX(PCNet,$N891)=0,"",INDEX(PCNet,$N891)),"")</f>
        <v/>
      </c>
      <c r="I891" s="19">
        <f>IF($N891&lt;&gt;"",IF(INDEX(PCOp,$N891)="مرجوعی خرید","",IF(INDEX(PCAmount,$N891)&lt;=0,"",INDEX(PCAmount,$N891))),IF($O891&lt;&gt;"",IF(INDEX(TxnDepB,$O891)=0,"",INDEX(TxnDepB,$O891)),""))</f>
        <v/>
      </c>
      <c r="J891" s="19">
        <f>IF($N891&lt;&gt;"",IF(INDEX(PCOp,$N891)="مرجوعی خرید",IF(INDEX(PCAmount,$N891)=0,"",-INDEX(PCAmount,$N891)),""),IF($O891&lt;&gt;"",IF(INDEX(TxnWitB,$O891)=0,"",INDEX(TxnWitB,$O891)),""))</f>
        <v/>
      </c>
      <c r="K891" s="21">
        <f>IF($B891="","",IF($K890="",$C$10,$K890)+IF($I891="",0,$I891)-IF($J891="",0,$J891))</f>
        <v/>
      </c>
      <c r="L891" s="22">
        <f>IF($N891&lt;&gt;"",IF(INDEX(PCNotes,$N891)="","—",INDEX(PCNotes,$N891)),IF($O891&lt;&gt;"",IF(INDEX(LdgNoteB,$O891)="","—",INDEX(LdgNoteB,$O891)),""))</f>
        <v/>
      </c>
      <c r="N891">
        <f>IFERROR(MATCH($C$5&amp;"|"&amp;RIGHT("000000"&amp;875,6),LdgRankKeyA,0),"")</f>
        <v/>
      </c>
      <c r="O891">
        <f>IFERROR(MATCH($C$5&amp;"|"&amp;RIGHT("000000"&amp;875,6),LdgRankKeyB,0),"")</f>
        <v/>
      </c>
    </row>
    <row r="892">
      <c r="A892" s="23" t="n">
        <v>876</v>
      </c>
      <c r="B892" s="24">
        <f>IF(AND($N892="",$O892=""),"",IF($N892&lt;&gt;"",INDEX(PCNormDate,$N892),INDEX(LdgDateB,$O892)))</f>
        <v/>
      </c>
      <c r="C892" s="24">
        <f>IF($N892&lt;&gt;"",INDEX(PCOp,$N892),IF($O892&lt;&gt;"",IF(N(INDEX(TxnDepB,$O892))&gt;0,"دریافت بانکی","پرداخت بانکی"),""))</f>
        <v/>
      </c>
      <c r="D892" s="24">
        <f>IF($N892&lt;&gt;"",IF(INDEX(PCDoc,$N892)="","—",INDEX(PCDoc,$N892)),IF($O892&lt;&gt;"",INDEX(LdgBankB,$O892),""))</f>
        <v/>
      </c>
      <c r="E892" s="24">
        <f>IF($N892&lt;&gt;"",IF(INDEX(PCCitrus,$N892)="","—",INDEX(PCCitrus,$N892)),"")</f>
        <v/>
      </c>
      <c r="F892" s="25">
        <f>IF($N892&lt;&gt;"",IF(INDEX(PCScale,$N892)=0,"",INDEX(PCScale,$N892)),"")</f>
        <v/>
      </c>
      <c r="G892" s="25">
        <f>IF($N892&lt;&gt;"",IF(INDEX(PCBaskets,$N892)=0,"",INDEX(PCBaskets,$N892)),"")</f>
        <v/>
      </c>
      <c r="H892" s="26">
        <f>IF($N892&lt;&gt;"",IF(INDEX(PCNet,$N892)=0,"",INDEX(PCNet,$N892)),"")</f>
        <v/>
      </c>
      <c r="I892" s="25">
        <f>IF($N892&lt;&gt;"",IF(INDEX(PCOp,$N892)="مرجوعی خرید","",IF(INDEX(PCAmount,$N892)&lt;=0,"",INDEX(PCAmount,$N892))),IF($O892&lt;&gt;"",IF(INDEX(TxnDepB,$O892)=0,"",INDEX(TxnDepB,$O892)),""))</f>
        <v/>
      </c>
      <c r="J892" s="25">
        <f>IF($N892&lt;&gt;"",IF(INDEX(PCOp,$N892)="مرجوعی خرید",IF(INDEX(PCAmount,$N892)=0,"",-INDEX(PCAmount,$N892)),""),IF($O892&lt;&gt;"",IF(INDEX(TxnWitB,$O892)=0,"",INDEX(TxnWitB,$O892)),""))</f>
        <v/>
      </c>
      <c r="K892" s="27">
        <f>IF($B892="","",IF($K891="",$C$10,$K891)+IF($I892="",0,$I892)-IF($J892="",0,$J892))</f>
        <v/>
      </c>
      <c r="L892" s="28">
        <f>IF($N892&lt;&gt;"",IF(INDEX(PCNotes,$N892)="","—",INDEX(PCNotes,$N892)),IF($O892&lt;&gt;"",IF(INDEX(LdgNoteB,$O892)="","—",INDEX(LdgNoteB,$O892)),""))</f>
        <v/>
      </c>
      <c r="N892">
        <f>IFERROR(MATCH($C$5&amp;"|"&amp;RIGHT("000000"&amp;876,6),LdgRankKeyA,0),"")</f>
        <v/>
      </c>
      <c r="O892">
        <f>IFERROR(MATCH($C$5&amp;"|"&amp;RIGHT("000000"&amp;876,6),LdgRankKeyB,0),"")</f>
        <v/>
      </c>
    </row>
    <row r="893">
      <c r="A893" s="17" t="n">
        <v>877</v>
      </c>
      <c r="B893" s="18">
        <f>IF(AND($N893="",$O893=""),"",IF($N893&lt;&gt;"",INDEX(PCNormDate,$N893),INDEX(LdgDateB,$O893)))</f>
        <v/>
      </c>
      <c r="C893" s="18">
        <f>IF($N893&lt;&gt;"",INDEX(PCOp,$N893),IF($O893&lt;&gt;"",IF(N(INDEX(TxnDepB,$O893))&gt;0,"دریافت بانکی","پرداخت بانکی"),""))</f>
        <v/>
      </c>
      <c r="D893" s="18">
        <f>IF($N893&lt;&gt;"",IF(INDEX(PCDoc,$N893)="","—",INDEX(PCDoc,$N893)),IF($O893&lt;&gt;"",INDEX(LdgBankB,$O893),""))</f>
        <v/>
      </c>
      <c r="E893" s="18">
        <f>IF($N893&lt;&gt;"",IF(INDEX(PCCitrus,$N893)="","—",INDEX(PCCitrus,$N893)),"")</f>
        <v/>
      </c>
      <c r="F893" s="19">
        <f>IF($N893&lt;&gt;"",IF(INDEX(PCScale,$N893)=0,"",INDEX(PCScale,$N893)),"")</f>
        <v/>
      </c>
      <c r="G893" s="19">
        <f>IF($N893&lt;&gt;"",IF(INDEX(PCBaskets,$N893)=0,"",INDEX(PCBaskets,$N893)),"")</f>
        <v/>
      </c>
      <c r="H893" s="20">
        <f>IF($N893&lt;&gt;"",IF(INDEX(PCNet,$N893)=0,"",INDEX(PCNet,$N893)),"")</f>
        <v/>
      </c>
      <c r="I893" s="19">
        <f>IF($N893&lt;&gt;"",IF(INDEX(PCOp,$N893)="مرجوعی خرید","",IF(INDEX(PCAmount,$N893)&lt;=0,"",INDEX(PCAmount,$N893))),IF($O893&lt;&gt;"",IF(INDEX(TxnDepB,$O893)=0,"",INDEX(TxnDepB,$O893)),""))</f>
        <v/>
      </c>
      <c r="J893" s="19">
        <f>IF($N893&lt;&gt;"",IF(INDEX(PCOp,$N893)="مرجوعی خرید",IF(INDEX(PCAmount,$N893)=0,"",-INDEX(PCAmount,$N893)),""),IF($O893&lt;&gt;"",IF(INDEX(TxnWitB,$O893)=0,"",INDEX(TxnWitB,$O893)),""))</f>
        <v/>
      </c>
      <c r="K893" s="21">
        <f>IF($B893="","",IF($K892="",$C$10,$K892)+IF($I893="",0,$I893)-IF($J893="",0,$J893))</f>
        <v/>
      </c>
      <c r="L893" s="22">
        <f>IF($N893&lt;&gt;"",IF(INDEX(PCNotes,$N893)="","—",INDEX(PCNotes,$N893)),IF($O893&lt;&gt;"",IF(INDEX(LdgNoteB,$O893)="","—",INDEX(LdgNoteB,$O893)),""))</f>
        <v/>
      </c>
      <c r="N893">
        <f>IFERROR(MATCH($C$5&amp;"|"&amp;RIGHT("000000"&amp;877,6),LdgRankKeyA,0),"")</f>
        <v/>
      </c>
      <c r="O893">
        <f>IFERROR(MATCH($C$5&amp;"|"&amp;RIGHT("000000"&amp;877,6),LdgRankKeyB,0),"")</f>
        <v/>
      </c>
    </row>
    <row r="894">
      <c r="A894" s="23" t="n">
        <v>878</v>
      </c>
      <c r="B894" s="24">
        <f>IF(AND($N894="",$O894=""),"",IF($N894&lt;&gt;"",INDEX(PCNormDate,$N894),INDEX(LdgDateB,$O894)))</f>
        <v/>
      </c>
      <c r="C894" s="24">
        <f>IF($N894&lt;&gt;"",INDEX(PCOp,$N894),IF($O894&lt;&gt;"",IF(N(INDEX(TxnDepB,$O894))&gt;0,"دریافت بانکی","پرداخت بانکی"),""))</f>
        <v/>
      </c>
      <c r="D894" s="24">
        <f>IF($N894&lt;&gt;"",IF(INDEX(PCDoc,$N894)="","—",INDEX(PCDoc,$N894)),IF($O894&lt;&gt;"",INDEX(LdgBankB,$O894),""))</f>
        <v/>
      </c>
      <c r="E894" s="24">
        <f>IF($N894&lt;&gt;"",IF(INDEX(PCCitrus,$N894)="","—",INDEX(PCCitrus,$N894)),"")</f>
        <v/>
      </c>
      <c r="F894" s="25">
        <f>IF($N894&lt;&gt;"",IF(INDEX(PCScale,$N894)=0,"",INDEX(PCScale,$N894)),"")</f>
        <v/>
      </c>
      <c r="G894" s="25">
        <f>IF($N894&lt;&gt;"",IF(INDEX(PCBaskets,$N894)=0,"",INDEX(PCBaskets,$N894)),"")</f>
        <v/>
      </c>
      <c r="H894" s="26">
        <f>IF($N894&lt;&gt;"",IF(INDEX(PCNet,$N894)=0,"",INDEX(PCNet,$N894)),"")</f>
        <v/>
      </c>
      <c r="I894" s="25">
        <f>IF($N894&lt;&gt;"",IF(INDEX(PCOp,$N894)="مرجوعی خرید","",IF(INDEX(PCAmount,$N894)&lt;=0,"",INDEX(PCAmount,$N894))),IF($O894&lt;&gt;"",IF(INDEX(TxnDepB,$O894)=0,"",INDEX(TxnDepB,$O894)),""))</f>
        <v/>
      </c>
      <c r="J894" s="25">
        <f>IF($N894&lt;&gt;"",IF(INDEX(PCOp,$N894)="مرجوعی خرید",IF(INDEX(PCAmount,$N894)=0,"",-INDEX(PCAmount,$N894)),""),IF($O894&lt;&gt;"",IF(INDEX(TxnWitB,$O894)=0,"",INDEX(TxnWitB,$O894)),""))</f>
        <v/>
      </c>
      <c r="K894" s="27">
        <f>IF($B894="","",IF($K893="",$C$10,$K893)+IF($I894="",0,$I894)-IF($J894="",0,$J894))</f>
        <v/>
      </c>
      <c r="L894" s="28">
        <f>IF($N894&lt;&gt;"",IF(INDEX(PCNotes,$N894)="","—",INDEX(PCNotes,$N894)),IF($O894&lt;&gt;"",IF(INDEX(LdgNoteB,$O894)="","—",INDEX(LdgNoteB,$O894)),""))</f>
        <v/>
      </c>
      <c r="N894">
        <f>IFERROR(MATCH($C$5&amp;"|"&amp;RIGHT("000000"&amp;878,6),LdgRankKeyA,0),"")</f>
        <v/>
      </c>
      <c r="O894">
        <f>IFERROR(MATCH($C$5&amp;"|"&amp;RIGHT("000000"&amp;878,6),LdgRankKeyB,0),"")</f>
        <v/>
      </c>
    </row>
    <row r="895">
      <c r="A895" s="17" t="n">
        <v>879</v>
      </c>
      <c r="B895" s="18">
        <f>IF(AND($N895="",$O895=""),"",IF($N895&lt;&gt;"",INDEX(PCNormDate,$N895),INDEX(LdgDateB,$O895)))</f>
        <v/>
      </c>
      <c r="C895" s="18">
        <f>IF($N895&lt;&gt;"",INDEX(PCOp,$N895),IF($O895&lt;&gt;"",IF(N(INDEX(TxnDepB,$O895))&gt;0,"دریافت بانکی","پرداخت بانکی"),""))</f>
        <v/>
      </c>
      <c r="D895" s="18">
        <f>IF($N895&lt;&gt;"",IF(INDEX(PCDoc,$N895)="","—",INDEX(PCDoc,$N895)),IF($O895&lt;&gt;"",INDEX(LdgBankB,$O895),""))</f>
        <v/>
      </c>
      <c r="E895" s="18">
        <f>IF($N895&lt;&gt;"",IF(INDEX(PCCitrus,$N895)="","—",INDEX(PCCitrus,$N895)),"")</f>
        <v/>
      </c>
      <c r="F895" s="19">
        <f>IF($N895&lt;&gt;"",IF(INDEX(PCScale,$N895)=0,"",INDEX(PCScale,$N895)),"")</f>
        <v/>
      </c>
      <c r="G895" s="19">
        <f>IF($N895&lt;&gt;"",IF(INDEX(PCBaskets,$N895)=0,"",INDEX(PCBaskets,$N895)),"")</f>
        <v/>
      </c>
      <c r="H895" s="20">
        <f>IF($N895&lt;&gt;"",IF(INDEX(PCNet,$N895)=0,"",INDEX(PCNet,$N895)),"")</f>
        <v/>
      </c>
      <c r="I895" s="19">
        <f>IF($N895&lt;&gt;"",IF(INDEX(PCOp,$N895)="مرجوعی خرید","",IF(INDEX(PCAmount,$N895)&lt;=0,"",INDEX(PCAmount,$N895))),IF($O895&lt;&gt;"",IF(INDEX(TxnDepB,$O895)=0,"",INDEX(TxnDepB,$O895)),""))</f>
        <v/>
      </c>
      <c r="J895" s="19">
        <f>IF($N895&lt;&gt;"",IF(INDEX(PCOp,$N895)="مرجوعی خرید",IF(INDEX(PCAmount,$N895)=0,"",-INDEX(PCAmount,$N895)),""),IF($O895&lt;&gt;"",IF(INDEX(TxnWitB,$O895)=0,"",INDEX(TxnWitB,$O895)),""))</f>
        <v/>
      </c>
      <c r="K895" s="21">
        <f>IF($B895="","",IF($K894="",$C$10,$K894)+IF($I895="",0,$I895)-IF($J895="",0,$J895))</f>
        <v/>
      </c>
      <c r="L895" s="22">
        <f>IF($N895&lt;&gt;"",IF(INDEX(PCNotes,$N895)="","—",INDEX(PCNotes,$N895)),IF($O895&lt;&gt;"",IF(INDEX(LdgNoteB,$O895)="","—",INDEX(LdgNoteB,$O895)),""))</f>
        <v/>
      </c>
      <c r="N895">
        <f>IFERROR(MATCH($C$5&amp;"|"&amp;RIGHT("000000"&amp;879,6),LdgRankKeyA,0),"")</f>
        <v/>
      </c>
      <c r="O895">
        <f>IFERROR(MATCH($C$5&amp;"|"&amp;RIGHT("000000"&amp;879,6),LdgRankKeyB,0),"")</f>
        <v/>
      </c>
    </row>
    <row r="896">
      <c r="A896" s="23" t="n">
        <v>880</v>
      </c>
      <c r="B896" s="24">
        <f>IF(AND($N896="",$O896=""),"",IF($N896&lt;&gt;"",INDEX(PCNormDate,$N896),INDEX(LdgDateB,$O896)))</f>
        <v/>
      </c>
      <c r="C896" s="24">
        <f>IF($N896&lt;&gt;"",INDEX(PCOp,$N896),IF($O896&lt;&gt;"",IF(N(INDEX(TxnDepB,$O896))&gt;0,"دریافت بانکی","پرداخت بانکی"),""))</f>
        <v/>
      </c>
      <c r="D896" s="24">
        <f>IF($N896&lt;&gt;"",IF(INDEX(PCDoc,$N896)="","—",INDEX(PCDoc,$N896)),IF($O896&lt;&gt;"",INDEX(LdgBankB,$O896),""))</f>
        <v/>
      </c>
      <c r="E896" s="24">
        <f>IF($N896&lt;&gt;"",IF(INDEX(PCCitrus,$N896)="","—",INDEX(PCCitrus,$N896)),"")</f>
        <v/>
      </c>
      <c r="F896" s="25">
        <f>IF($N896&lt;&gt;"",IF(INDEX(PCScale,$N896)=0,"",INDEX(PCScale,$N896)),"")</f>
        <v/>
      </c>
      <c r="G896" s="25">
        <f>IF($N896&lt;&gt;"",IF(INDEX(PCBaskets,$N896)=0,"",INDEX(PCBaskets,$N896)),"")</f>
        <v/>
      </c>
      <c r="H896" s="26">
        <f>IF($N896&lt;&gt;"",IF(INDEX(PCNet,$N896)=0,"",INDEX(PCNet,$N896)),"")</f>
        <v/>
      </c>
      <c r="I896" s="25">
        <f>IF($N896&lt;&gt;"",IF(INDEX(PCOp,$N896)="مرجوعی خرید","",IF(INDEX(PCAmount,$N896)&lt;=0,"",INDEX(PCAmount,$N896))),IF($O896&lt;&gt;"",IF(INDEX(TxnDepB,$O896)=0,"",INDEX(TxnDepB,$O896)),""))</f>
        <v/>
      </c>
      <c r="J896" s="25">
        <f>IF($N896&lt;&gt;"",IF(INDEX(PCOp,$N896)="مرجوعی خرید",IF(INDEX(PCAmount,$N896)=0,"",-INDEX(PCAmount,$N896)),""),IF($O896&lt;&gt;"",IF(INDEX(TxnWitB,$O896)=0,"",INDEX(TxnWitB,$O896)),""))</f>
        <v/>
      </c>
      <c r="K896" s="27">
        <f>IF($B896="","",IF($K895="",$C$10,$K895)+IF($I896="",0,$I896)-IF($J896="",0,$J896))</f>
        <v/>
      </c>
      <c r="L896" s="28">
        <f>IF($N896&lt;&gt;"",IF(INDEX(PCNotes,$N896)="","—",INDEX(PCNotes,$N896)),IF($O896&lt;&gt;"",IF(INDEX(LdgNoteB,$O896)="","—",INDEX(LdgNoteB,$O896)),""))</f>
        <v/>
      </c>
      <c r="N896">
        <f>IFERROR(MATCH($C$5&amp;"|"&amp;RIGHT("000000"&amp;880,6),LdgRankKeyA,0),"")</f>
        <v/>
      </c>
      <c r="O896">
        <f>IFERROR(MATCH($C$5&amp;"|"&amp;RIGHT("000000"&amp;880,6),LdgRankKeyB,0),"")</f>
        <v/>
      </c>
    </row>
    <row r="897">
      <c r="A897" s="17" t="n">
        <v>881</v>
      </c>
      <c r="B897" s="18">
        <f>IF(AND($N897="",$O897=""),"",IF($N897&lt;&gt;"",INDEX(PCNormDate,$N897),INDEX(LdgDateB,$O897)))</f>
        <v/>
      </c>
      <c r="C897" s="18">
        <f>IF($N897&lt;&gt;"",INDEX(PCOp,$N897),IF($O897&lt;&gt;"",IF(N(INDEX(TxnDepB,$O897))&gt;0,"دریافت بانکی","پرداخت بانکی"),""))</f>
        <v/>
      </c>
      <c r="D897" s="18">
        <f>IF($N897&lt;&gt;"",IF(INDEX(PCDoc,$N897)="","—",INDEX(PCDoc,$N897)),IF($O897&lt;&gt;"",INDEX(LdgBankB,$O897),""))</f>
        <v/>
      </c>
      <c r="E897" s="18">
        <f>IF($N897&lt;&gt;"",IF(INDEX(PCCitrus,$N897)="","—",INDEX(PCCitrus,$N897)),"")</f>
        <v/>
      </c>
      <c r="F897" s="19">
        <f>IF($N897&lt;&gt;"",IF(INDEX(PCScale,$N897)=0,"",INDEX(PCScale,$N897)),"")</f>
        <v/>
      </c>
      <c r="G897" s="19">
        <f>IF($N897&lt;&gt;"",IF(INDEX(PCBaskets,$N897)=0,"",INDEX(PCBaskets,$N897)),"")</f>
        <v/>
      </c>
      <c r="H897" s="20">
        <f>IF($N897&lt;&gt;"",IF(INDEX(PCNet,$N897)=0,"",INDEX(PCNet,$N897)),"")</f>
        <v/>
      </c>
      <c r="I897" s="19">
        <f>IF($N897&lt;&gt;"",IF(INDEX(PCOp,$N897)="مرجوعی خرید","",IF(INDEX(PCAmount,$N897)&lt;=0,"",INDEX(PCAmount,$N897))),IF($O897&lt;&gt;"",IF(INDEX(TxnDepB,$O897)=0,"",INDEX(TxnDepB,$O897)),""))</f>
        <v/>
      </c>
      <c r="J897" s="19">
        <f>IF($N897&lt;&gt;"",IF(INDEX(PCOp,$N897)="مرجوعی خرید",IF(INDEX(PCAmount,$N897)=0,"",-INDEX(PCAmount,$N897)),""),IF($O897&lt;&gt;"",IF(INDEX(TxnWitB,$O897)=0,"",INDEX(TxnWitB,$O897)),""))</f>
        <v/>
      </c>
      <c r="K897" s="21">
        <f>IF($B897="","",IF($K896="",$C$10,$K896)+IF($I897="",0,$I897)-IF($J897="",0,$J897))</f>
        <v/>
      </c>
      <c r="L897" s="22">
        <f>IF($N897&lt;&gt;"",IF(INDEX(PCNotes,$N897)="","—",INDEX(PCNotes,$N897)),IF($O897&lt;&gt;"",IF(INDEX(LdgNoteB,$O897)="","—",INDEX(LdgNoteB,$O897)),""))</f>
        <v/>
      </c>
      <c r="N897">
        <f>IFERROR(MATCH($C$5&amp;"|"&amp;RIGHT("000000"&amp;881,6),LdgRankKeyA,0),"")</f>
        <v/>
      </c>
      <c r="O897">
        <f>IFERROR(MATCH($C$5&amp;"|"&amp;RIGHT("000000"&amp;881,6),LdgRankKeyB,0),"")</f>
        <v/>
      </c>
    </row>
    <row r="898">
      <c r="A898" s="23" t="n">
        <v>882</v>
      </c>
      <c r="B898" s="24">
        <f>IF(AND($N898="",$O898=""),"",IF($N898&lt;&gt;"",INDEX(PCNormDate,$N898),INDEX(LdgDateB,$O898)))</f>
        <v/>
      </c>
      <c r="C898" s="24">
        <f>IF($N898&lt;&gt;"",INDEX(PCOp,$N898),IF($O898&lt;&gt;"",IF(N(INDEX(TxnDepB,$O898))&gt;0,"دریافت بانکی","پرداخت بانکی"),""))</f>
        <v/>
      </c>
      <c r="D898" s="24">
        <f>IF($N898&lt;&gt;"",IF(INDEX(PCDoc,$N898)="","—",INDEX(PCDoc,$N898)),IF($O898&lt;&gt;"",INDEX(LdgBankB,$O898),""))</f>
        <v/>
      </c>
      <c r="E898" s="24">
        <f>IF($N898&lt;&gt;"",IF(INDEX(PCCitrus,$N898)="","—",INDEX(PCCitrus,$N898)),"")</f>
        <v/>
      </c>
      <c r="F898" s="25">
        <f>IF($N898&lt;&gt;"",IF(INDEX(PCScale,$N898)=0,"",INDEX(PCScale,$N898)),"")</f>
        <v/>
      </c>
      <c r="G898" s="25">
        <f>IF($N898&lt;&gt;"",IF(INDEX(PCBaskets,$N898)=0,"",INDEX(PCBaskets,$N898)),"")</f>
        <v/>
      </c>
      <c r="H898" s="26">
        <f>IF($N898&lt;&gt;"",IF(INDEX(PCNet,$N898)=0,"",INDEX(PCNet,$N898)),"")</f>
        <v/>
      </c>
      <c r="I898" s="25">
        <f>IF($N898&lt;&gt;"",IF(INDEX(PCOp,$N898)="مرجوعی خرید","",IF(INDEX(PCAmount,$N898)&lt;=0,"",INDEX(PCAmount,$N898))),IF($O898&lt;&gt;"",IF(INDEX(TxnDepB,$O898)=0,"",INDEX(TxnDepB,$O898)),""))</f>
        <v/>
      </c>
      <c r="J898" s="25">
        <f>IF($N898&lt;&gt;"",IF(INDEX(PCOp,$N898)="مرجوعی خرید",IF(INDEX(PCAmount,$N898)=0,"",-INDEX(PCAmount,$N898)),""),IF($O898&lt;&gt;"",IF(INDEX(TxnWitB,$O898)=0,"",INDEX(TxnWitB,$O898)),""))</f>
        <v/>
      </c>
      <c r="K898" s="27">
        <f>IF($B898="","",IF($K897="",$C$10,$K897)+IF($I898="",0,$I898)-IF($J898="",0,$J898))</f>
        <v/>
      </c>
      <c r="L898" s="28">
        <f>IF($N898&lt;&gt;"",IF(INDEX(PCNotes,$N898)="","—",INDEX(PCNotes,$N898)),IF($O898&lt;&gt;"",IF(INDEX(LdgNoteB,$O898)="","—",INDEX(LdgNoteB,$O898)),""))</f>
        <v/>
      </c>
      <c r="N898">
        <f>IFERROR(MATCH($C$5&amp;"|"&amp;RIGHT("000000"&amp;882,6),LdgRankKeyA,0),"")</f>
        <v/>
      </c>
      <c r="O898">
        <f>IFERROR(MATCH($C$5&amp;"|"&amp;RIGHT("000000"&amp;882,6),LdgRankKeyB,0),"")</f>
        <v/>
      </c>
    </row>
    <row r="899">
      <c r="A899" s="17" t="n">
        <v>883</v>
      </c>
      <c r="B899" s="18">
        <f>IF(AND($N899="",$O899=""),"",IF($N899&lt;&gt;"",INDEX(PCNormDate,$N899),INDEX(LdgDateB,$O899)))</f>
        <v/>
      </c>
      <c r="C899" s="18">
        <f>IF($N899&lt;&gt;"",INDEX(PCOp,$N899),IF($O899&lt;&gt;"",IF(N(INDEX(TxnDepB,$O899))&gt;0,"دریافت بانکی","پرداخت بانکی"),""))</f>
        <v/>
      </c>
      <c r="D899" s="18">
        <f>IF($N899&lt;&gt;"",IF(INDEX(PCDoc,$N899)="","—",INDEX(PCDoc,$N899)),IF($O899&lt;&gt;"",INDEX(LdgBankB,$O899),""))</f>
        <v/>
      </c>
      <c r="E899" s="18">
        <f>IF($N899&lt;&gt;"",IF(INDEX(PCCitrus,$N899)="","—",INDEX(PCCitrus,$N899)),"")</f>
        <v/>
      </c>
      <c r="F899" s="19">
        <f>IF($N899&lt;&gt;"",IF(INDEX(PCScale,$N899)=0,"",INDEX(PCScale,$N899)),"")</f>
        <v/>
      </c>
      <c r="G899" s="19">
        <f>IF($N899&lt;&gt;"",IF(INDEX(PCBaskets,$N899)=0,"",INDEX(PCBaskets,$N899)),"")</f>
        <v/>
      </c>
      <c r="H899" s="20">
        <f>IF($N899&lt;&gt;"",IF(INDEX(PCNet,$N899)=0,"",INDEX(PCNet,$N899)),"")</f>
        <v/>
      </c>
      <c r="I899" s="19">
        <f>IF($N899&lt;&gt;"",IF(INDEX(PCOp,$N899)="مرجوعی خرید","",IF(INDEX(PCAmount,$N899)&lt;=0,"",INDEX(PCAmount,$N899))),IF($O899&lt;&gt;"",IF(INDEX(TxnDepB,$O899)=0,"",INDEX(TxnDepB,$O899)),""))</f>
        <v/>
      </c>
      <c r="J899" s="19">
        <f>IF($N899&lt;&gt;"",IF(INDEX(PCOp,$N899)="مرجوعی خرید",IF(INDEX(PCAmount,$N899)=0,"",-INDEX(PCAmount,$N899)),""),IF($O899&lt;&gt;"",IF(INDEX(TxnWitB,$O899)=0,"",INDEX(TxnWitB,$O899)),""))</f>
        <v/>
      </c>
      <c r="K899" s="21">
        <f>IF($B899="","",IF($K898="",$C$10,$K898)+IF($I899="",0,$I899)-IF($J899="",0,$J899))</f>
        <v/>
      </c>
      <c r="L899" s="22">
        <f>IF($N899&lt;&gt;"",IF(INDEX(PCNotes,$N899)="","—",INDEX(PCNotes,$N899)),IF($O899&lt;&gt;"",IF(INDEX(LdgNoteB,$O899)="","—",INDEX(LdgNoteB,$O899)),""))</f>
        <v/>
      </c>
      <c r="N899">
        <f>IFERROR(MATCH($C$5&amp;"|"&amp;RIGHT("000000"&amp;883,6),LdgRankKeyA,0),"")</f>
        <v/>
      </c>
      <c r="O899">
        <f>IFERROR(MATCH($C$5&amp;"|"&amp;RIGHT("000000"&amp;883,6),LdgRankKeyB,0),"")</f>
        <v/>
      </c>
    </row>
    <row r="900">
      <c r="A900" s="23" t="n">
        <v>884</v>
      </c>
      <c r="B900" s="24">
        <f>IF(AND($N900="",$O900=""),"",IF($N900&lt;&gt;"",INDEX(PCNormDate,$N900),INDEX(LdgDateB,$O900)))</f>
        <v/>
      </c>
      <c r="C900" s="24">
        <f>IF($N900&lt;&gt;"",INDEX(PCOp,$N900),IF($O900&lt;&gt;"",IF(N(INDEX(TxnDepB,$O900))&gt;0,"دریافت بانکی","پرداخت بانکی"),""))</f>
        <v/>
      </c>
      <c r="D900" s="24">
        <f>IF($N900&lt;&gt;"",IF(INDEX(PCDoc,$N900)="","—",INDEX(PCDoc,$N900)),IF($O900&lt;&gt;"",INDEX(LdgBankB,$O900),""))</f>
        <v/>
      </c>
      <c r="E900" s="24">
        <f>IF($N900&lt;&gt;"",IF(INDEX(PCCitrus,$N900)="","—",INDEX(PCCitrus,$N900)),"")</f>
        <v/>
      </c>
      <c r="F900" s="25">
        <f>IF($N900&lt;&gt;"",IF(INDEX(PCScale,$N900)=0,"",INDEX(PCScale,$N900)),"")</f>
        <v/>
      </c>
      <c r="G900" s="25">
        <f>IF($N900&lt;&gt;"",IF(INDEX(PCBaskets,$N900)=0,"",INDEX(PCBaskets,$N900)),"")</f>
        <v/>
      </c>
      <c r="H900" s="26">
        <f>IF($N900&lt;&gt;"",IF(INDEX(PCNet,$N900)=0,"",INDEX(PCNet,$N900)),"")</f>
        <v/>
      </c>
      <c r="I900" s="25">
        <f>IF($N900&lt;&gt;"",IF(INDEX(PCOp,$N900)="مرجوعی خرید","",IF(INDEX(PCAmount,$N900)&lt;=0,"",INDEX(PCAmount,$N900))),IF($O900&lt;&gt;"",IF(INDEX(TxnDepB,$O900)=0,"",INDEX(TxnDepB,$O900)),""))</f>
        <v/>
      </c>
      <c r="J900" s="25">
        <f>IF($N900&lt;&gt;"",IF(INDEX(PCOp,$N900)="مرجوعی خرید",IF(INDEX(PCAmount,$N900)=0,"",-INDEX(PCAmount,$N900)),""),IF($O900&lt;&gt;"",IF(INDEX(TxnWitB,$O900)=0,"",INDEX(TxnWitB,$O900)),""))</f>
        <v/>
      </c>
      <c r="K900" s="27">
        <f>IF($B900="","",IF($K899="",$C$10,$K899)+IF($I900="",0,$I900)-IF($J900="",0,$J900))</f>
        <v/>
      </c>
      <c r="L900" s="28">
        <f>IF($N900&lt;&gt;"",IF(INDEX(PCNotes,$N900)="","—",INDEX(PCNotes,$N900)),IF($O900&lt;&gt;"",IF(INDEX(LdgNoteB,$O900)="","—",INDEX(LdgNoteB,$O900)),""))</f>
        <v/>
      </c>
      <c r="N900">
        <f>IFERROR(MATCH($C$5&amp;"|"&amp;RIGHT("000000"&amp;884,6),LdgRankKeyA,0),"")</f>
        <v/>
      </c>
      <c r="O900">
        <f>IFERROR(MATCH($C$5&amp;"|"&amp;RIGHT("000000"&amp;884,6),LdgRankKeyB,0),"")</f>
        <v/>
      </c>
    </row>
    <row r="901">
      <c r="A901" s="17" t="n">
        <v>885</v>
      </c>
      <c r="B901" s="18">
        <f>IF(AND($N901="",$O901=""),"",IF($N901&lt;&gt;"",INDEX(PCNormDate,$N901),INDEX(LdgDateB,$O901)))</f>
        <v/>
      </c>
      <c r="C901" s="18">
        <f>IF($N901&lt;&gt;"",INDEX(PCOp,$N901),IF($O901&lt;&gt;"",IF(N(INDEX(TxnDepB,$O901))&gt;0,"دریافت بانکی","پرداخت بانکی"),""))</f>
        <v/>
      </c>
      <c r="D901" s="18">
        <f>IF($N901&lt;&gt;"",IF(INDEX(PCDoc,$N901)="","—",INDEX(PCDoc,$N901)),IF($O901&lt;&gt;"",INDEX(LdgBankB,$O901),""))</f>
        <v/>
      </c>
      <c r="E901" s="18">
        <f>IF($N901&lt;&gt;"",IF(INDEX(PCCitrus,$N901)="","—",INDEX(PCCitrus,$N901)),"")</f>
        <v/>
      </c>
      <c r="F901" s="19">
        <f>IF($N901&lt;&gt;"",IF(INDEX(PCScale,$N901)=0,"",INDEX(PCScale,$N901)),"")</f>
        <v/>
      </c>
      <c r="G901" s="19">
        <f>IF($N901&lt;&gt;"",IF(INDEX(PCBaskets,$N901)=0,"",INDEX(PCBaskets,$N901)),"")</f>
        <v/>
      </c>
      <c r="H901" s="20">
        <f>IF($N901&lt;&gt;"",IF(INDEX(PCNet,$N901)=0,"",INDEX(PCNet,$N901)),"")</f>
        <v/>
      </c>
      <c r="I901" s="19">
        <f>IF($N901&lt;&gt;"",IF(INDEX(PCOp,$N901)="مرجوعی خرید","",IF(INDEX(PCAmount,$N901)&lt;=0,"",INDEX(PCAmount,$N901))),IF($O901&lt;&gt;"",IF(INDEX(TxnDepB,$O901)=0,"",INDEX(TxnDepB,$O901)),""))</f>
        <v/>
      </c>
      <c r="J901" s="19">
        <f>IF($N901&lt;&gt;"",IF(INDEX(PCOp,$N901)="مرجوعی خرید",IF(INDEX(PCAmount,$N901)=0,"",-INDEX(PCAmount,$N901)),""),IF($O901&lt;&gt;"",IF(INDEX(TxnWitB,$O901)=0,"",INDEX(TxnWitB,$O901)),""))</f>
        <v/>
      </c>
      <c r="K901" s="21">
        <f>IF($B901="","",IF($K900="",$C$10,$K900)+IF($I901="",0,$I901)-IF($J901="",0,$J901))</f>
        <v/>
      </c>
      <c r="L901" s="22">
        <f>IF($N901&lt;&gt;"",IF(INDEX(PCNotes,$N901)="","—",INDEX(PCNotes,$N901)),IF($O901&lt;&gt;"",IF(INDEX(LdgNoteB,$O901)="","—",INDEX(LdgNoteB,$O901)),""))</f>
        <v/>
      </c>
      <c r="N901">
        <f>IFERROR(MATCH($C$5&amp;"|"&amp;RIGHT("000000"&amp;885,6),LdgRankKeyA,0),"")</f>
        <v/>
      </c>
      <c r="O901">
        <f>IFERROR(MATCH($C$5&amp;"|"&amp;RIGHT("000000"&amp;885,6),LdgRankKeyB,0),"")</f>
        <v/>
      </c>
    </row>
    <row r="902">
      <c r="A902" s="23" t="n">
        <v>886</v>
      </c>
      <c r="B902" s="24">
        <f>IF(AND($N902="",$O902=""),"",IF($N902&lt;&gt;"",INDEX(PCNormDate,$N902),INDEX(LdgDateB,$O902)))</f>
        <v/>
      </c>
      <c r="C902" s="24">
        <f>IF($N902&lt;&gt;"",INDEX(PCOp,$N902),IF($O902&lt;&gt;"",IF(N(INDEX(TxnDepB,$O902))&gt;0,"دریافت بانکی","پرداخت بانکی"),""))</f>
        <v/>
      </c>
      <c r="D902" s="24">
        <f>IF($N902&lt;&gt;"",IF(INDEX(PCDoc,$N902)="","—",INDEX(PCDoc,$N902)),IF($O902&lt;&gt;"",INDEX(LdgBankB,$O902),""))</f>
        <v/>
      </c>
      <c r="E902" s="24">
        <f>IF($N902&lt;&gt;"",IF(INDEX(PCCitrus,$N902)="","—",INDEX(PCCitrus,$N902)),"")</f>
        <v/>
      </c>
      <c r="F902" s="25">
        <f>IF($N902&lt;&gt;"",IF(INDEX(PCScale,$N902)=0,"",INDEX(PCScale,$N902)),"")</f>
        <v/>
      </c>
      <c r="G902" s="25">
        <f>IF($N902&lt;&gt;"",IF(INDEX(PCBaskets,$N902)=0,"",INDEX(PCBaskets,$N902)),"")</f>
        <v/>
      </c>
      <c r="H902" s="26">
        <f>IF($N902&lt;&gt;"",IF(INDEX(PCNet,$N902)=0,"",INDEX(PCNet,$N902)),"")</f>
        <v/>
      </c>
      <c r="I902" s="25">
        <f>IF($N902&lt;&gt;"",IF(INDEX(PCOp,$N902)="مرجوعی خرید","",IF(INDEX(PCAmount,$N902)&lt;=0,"",INDEX(PCAmount,$N902))),IF($O902&lt;&gt;"",IF(INDEX(TxnDepB,$O902)=0,"",INDEX(TxnDepB,$O902)),""))</f>
        <v/>
      </c>
      <c r="J902" s="25">
        <f>IF($N902&lt;&gt;"",IF(INDEX(PCOp,$N902)="مرجوعی خرید",IF(INDEX(PCAmount,$N902)=0,"",-INDEX(PCAmount,$N902)),""),IF($O902&lt;&gt;"",IF(INDEX(TxnWitB,$O902)=0,"",INDEX(TxnWitB,$O902)),""))</f>
        <v/>
      </c>
      <c r="K902" s="27">
        <f>IF($B902="","",IF($K901="",$C$10,$K901)+IF($I902="",0,$I902)-IF($J902="",0,$J902))</f>
        <v/>
      </c>
      <c r="L902" s="28">
        <f>IF($N902&lt;&gt;"",IF(INDEX(PCNotes,$N902)="","—",INDEX(PCNotes,$N902)),IF($O902&lt;&gt;"",IF(INDEX(LdgNoteB,$O902)="","—",INDEX(LdgNoteB,$O902)),""))</f>
        <v/>
      </c>
      <c r="N902">
        <f>IFERROR(MATCH($C$5&amp;"|"&amp;RIGHT("000000"&amp;886,6),LdgRankKeyA,0),"")</f>
        <v/>
      </c>
      <c r="O902">
        <f>IFERROR(MATCH($C$5&amp;"|"&amp;RIGHT("000000"&amp;886,6),LdgRankKeyB,0),"")</f>
        <v/>
      </c>
    </row>
    <row r="903">
      <c r="A903" s="17" t="n">
        <v>887</v>
      </c>
      <c r="B903" s="18">
        <f>IF(AND($N903="",$O903=""),"",IF($N903&lt;&gt;"",INDEX(PCNormDate,$N903),INDEX(LdgDateB,$O903)))</f>
        <v/>
      </c>
      <c r="C903" s="18">
        <f>IF($N903&lt;&gt;"",INDEX(PCOp,$N903),IF($O903&lt;&gt;"",IF(N(INDEX(TxnDepB,$O903))&gt;0,"دریافت بانکی","پرداخت بانکی"),""))</f>
        <v/>
      </c>
      <c r="D903" s="18">
        <f>IF($N903&lt;&gt;"",IF(INDEX(PCDoc,$N903)="","—",INDEX(PCDoc,$N903)),IF($O903&lt;&gt;"",INDEX(LdgBankB,$O903),""))</f>
        <v/>
      </c>
      <c r="E903" s="18">
        <f>IF($N903&lt;&gt;"",IF(INDEX(PCCitrus,$N903)="","—",INDEX(PCCitrus,$N903)),"")</f>
        <v/>
      </c>
      <c r="F903" s="19">
        <f>IF($N903&lt;&gt;"",IF(INDEX(PCScale,$N903)=0,"",INDEX(PCScale,$N903)),"")</f>
        <v/>
      </c>
      <c r="G903" s="19">
        <f>IF($N903&lt;&gt;"",IF(INDEX(PCBaskets,$N903)=0,"",INDEX(PCBaskets,$N903)),"")</f>
        <v/>
      </c>
      <c r="H903" s="20">
        <f>IF($N903&lt;&gt;"",IF(INDEX(PCNet,$N903)=0,"",INDEX(PCNet,$N903)),"")</f>
        <v/>
      </c>
      <c r="I903" s="19">
        <f>IF($N903&lt;&gt;"",IF(INDEX(PCOp,$N903)="مرجوعی خرید","",IF(INDEX(PCAmount,$N903)&lt;=0,"",INDEX(PCAmount,$N903))),IF($O903&lt;&gt;"",IF(INDEX(TxnDepB,$O903)=0,"",INDEX(TxnDepB,$O903)),""))</f>
        <v/>
      </c>
      <c r="J903" s="19">
        <f>IF($N903&lt;&gt;"",IF(INDEX(PCOp,$N903)="مرجوعی خرید",IF(INDEX(PCAmount,$N903)=0,"",-INDEX(PCAmount,$N903)),""),IF($O903&lt;&gt;"",IF(INDEX(TxnWitB,$O903)=0,"",INDEX(TxnWitB,$O903)),""))</f>
        <v/>
      </c>
      <c r="K903" s="21">
        <f>IF($B903="","",IF($K902="",$C$10,$K902)+IF($I903="",0,$I903)-IF($J903="",0,$J903))</f>
        <v/>
      </c>
      <c r="L903" s="22">
        <f>IF($N903&lt;&gt;"",IF(INDEX(PCNotes,$N903)="","—",INDEX(PCNotes,$N903)),IF($O903&lt;&gt;"",IF(INDEX(LdgNoteB,$O903)="","—",INDEX(LdgNoteB,$O903)),""))</f>
        <v/>
      </c>
      <c r="N903">
        <f>IFERROR(MATCH($C$5&amp;"|"&amp;RIGHT("000000"&amp;887,6),LdgRankKeyA,0),"")</f>
        <v/>
      </c>
      <c r="O903">
        <f>IFERROR(MATCH($C$5&amp;"|"&amp;RIGHT("000000"&amp;887,6),LdgRankKeyB,0),"")</f>
        <v/>
      </c>
    </row>
    <row r="904">
      <c r="A904" s="23" t="n">
        <v>888</v>
      </c>
      <c r="B904" s="24">
        <f>IF(AND($N904="",$O904=""),"",IF($N904&lt;&gt;"",INDEX(PCNormDate,$N904),INDEX(LdgDateB,$O904)))</f>
        <v/>
      </c>
      <c r="C904" s="24">
        <f>IF($N904&lt;&gt;"",INDEX(PCOp,$N904),IF($O904&lt;&gt;"",IF(N(INDEX(TxnDepB,$O904))&gt;0,"دریافت بانکی","پرداخت بانکی"),""))</f>
        <v/>
      </c>
      <c r="D904" s="24">
        <f>IF($N904&lt;&gt;"",IF(INDEX(PCDoc,$N904)="","—",INDEX(PCDoc,$N904)),IF($O904&lt;&gt;"",INDEX(LdgBankB,$O904),""))</f>
        <v/>
      </c>
      <c r="E904" s="24">
        <f>IF($N904&lt;&gt;"",IF(INDEX(PCCitrus,$N904)="","—",INDEX(PCCitrus,$N904)),"")</f>
        <v/>
      </c>
      <c r="F904" s="25">
        <f>IF($N904&lt;&gt;"",IF(INDEX(PCScale,$N904)=0,"",INDEX(PCScale,$N904)),"")</f>
        <v/>
      </c>
      <c r="G904" s="25">
        <f>IF($N904&lt;&gt;"",IF(INDEX(PCBaskets,$N904)=0,"",INDEX(PCBaskets,$N904)),"")</f>
        <v/>
      </c>
      <c r="H904" s="26">
        <f>IF($N904&lt;&gt;"",IF(INDEX(PCNet,$N904)=0,"",INDEX(PCNet,$N904)),"")</f>
        <v/>
      </c>
      <c r="I904" s="25">
        <f>IF($N904&lt;&gt;"",IF(INDEX(PCOp,$N904)="مرجوعی خرید","",IF(INDEX(PCAmount,$N904)&lt;=0,"",INDEX(PCAmount,$N904))),IF($O904&lt;&gt;"",IF(INDEX(TxnDepB,$O904)=0,"",INDEX(TxnDepB,$O904)),""))</f>
        <v/>
      </c>
      <c r="J904" s="25">
        <f>IF($N904&lt;&gt;"",IF(INDEX(PCOp,$N904)="مرجوعی خرید",IF(INDEX(PCAmount,$N904)=0,"",-INDEX(PCAmount,$N904)),""),IF($O904&lt;&gt;"",IF(INDEX(TxnWitB,$O904)=0,"",INDEX(TxnWitB,$O904)),""))</f>
        <v/>
      </c>
      <c r="K904" s="27">
        <f>IF($B904="","",IF($K903="",$C$10,$K903)+IF($I904="",0,$I904)-IF($J904="",0,$J904))</f>
        <v/>
      </c>
      <c r="L904" s="28">
        <f>IF($N904&lt;&gt;"",IF(INDEX(PCNotes,$N904)="","—",INDEX(PCNotes,$N904)),IF($O904&lt;&gt;"",IF(INDEX(LdgNoteB,$O904)="","—",INDEX(LdgNoteB,$O904)),""))</f>
        <v/>
      </c>
      <c r="N904">
        <f>IFERROR(MATCH($C$5&amp;"|"&amp;RIGHT("000000"&amp;888,6),LdgRankKeyA,0),"")</f>
        <v/>
      </c>
      <c r="O904">
        <f>IFERROR(MATCH($C$5&amp;"|"&amp;RIGHT("000000"&amp;888,6),LdgRankKeyB,0),"")</f>
        <v/>
      </c>
    </row>
    <row r="905">
      <c r="A905" s="17" t="n">
        <v>889</v>
      </c>
      <c r="B905" s="18">
        <f>IF(AND($N905="",$O905=""),"",IF($N905&lt;&gt;"",INDEX(PCNormDate,$N905),INDEX(LdgDateB,$O905)))</f>
        <v/>
      </c>
      <c r="C905" s="18">
        <f>IF($N905&lt;&gt;"",INDEX(PCOp,$N905),IF($O905&lt;&gt;"",IF(N(INDEX(TxnDepB,$O905))&gt;0,"دریافت بانکی","پرداخت بانکی"),""))</f>
        <v/>
      </c>
      <c r="D905" s="18">
        <f>IF($N905&lt;&gt;"",IF(INDEX(PCDoc,$N905)="","—",INDEX(PCDoc,$N905)),IF($O905&lt;&gt;"",INDEX(LdgBankB,$O905),""))</f>
        <v/>
      </c>
      <c r="E905" s="18">
        <f>IF($N905&lt;&gt;"",IF(INDEX(PCCitrus,$N905)="","—",INDEX(PCCitrus,$N905)),"")</f>
        <v/>
      </c>
      <c r="F905" s="19">
        <f>IF($N905&lt;&gt;"",IF(INDEX(PCScale,$N905)=0,"",INDEX(PCScale,$N905)),"")</f>
        <v/>
      </c>
      <c r="G905" s="19">
        <f>IF($N905&lt;&gt;"",IF(INDEX(PCBaskets,$N905)=0,"",INDEX(PCBaskets,$N905)),"")</f>
        <v/>
      </c>
      <c r="H905" s="20">
        <f>IF($N905&lt;&gt;"",IF(INDEX(PCNet,$N905)=0,"",INDEX(PCNet,$N905)),"")</f>
        <v/>
      </c>
      <c r="I905" s="19">
        <f>IF($N905&lt;&gt;"",IF(INDEX(PCOp,$N905)="مرجوعی خرید","",IF(INDEX(PCAmount,$N905)&lt;=0,"",INDEX(PCAmount,$N905))),IF($O905&lt;&gt;"",IF(INDEX(TxnDepB,$O905)=0,"",INDEX(TxnDepB,$O905)),""))</f>
        <v/>
      </c>
      <c r="J905" s="19">
        <f>IF($N905&lt;&gt;"",IF(INDEX(PCOp,$N905)="مرجوعی خرید",IF(INDEX(PCAmount,$N905)=0,"",-INDEX(PCAmount,$N905)),""),IF($O905&lt;&gt;"",IF(INDEX(TxnWitB,$O905)=0,"",INDEX(TxnWitB,$O905)),""))</f>
        <v/>
      </c>
      <c r="K905" s="21">
        <f>IF($B905="","",IF($K904="",$C$10,$K904)+IF($I905="",0,$I905)-IF($J905="",0,$J905))</f>
        <v/>
      </c>
      <c r="L905" s="22">
        <f>IF($N905&lt;&gt;"",IF(INDEX(PCNotes,$N905)="","—",INDEX(PCNotes,$N905)),IF($O905&lt;&gt;"",IF(INDEX(LdgNoteB,$O905)="","—",INDEX(LdgNoteB,$O905)),""))</f>
        <v/>
      </c>
      <c r="N905">
        <f>IFERROR(MATCH($C$5&amp;"|"&amp;RIGHT("000000"&amp;889,6),LdgRankKeyA,0),"")</f>
        <v/>
      </c>
      <c r="O905">
        <f>IFERROR(MATCH($C$5&amp;"|"&amp;RIGHT("000000"&amp;889,6),LdgRankKeyB,0),"")</f>
        <v/>
      </c>
    </row>
    <row r="906">
      <c r="A906" s="23" t="n">
        <v>890</v>
      </c>
      <c r="B906" s="24">
        <f>IF(AND($N906="",$O906=""),"",IF($N906&lt;&gt;"",INDEX(PCNormDate,$N906),INDEX(LdgDateB,$O906)))</f>
        <v/>
      </c>
      <c r="C906" s="24">
        <f>IF($N906&lt;&gt;"",INDEX(PCOp,$N906),IF($O906&lt;&gt;"",IF(N(INDEX(TxnDepB,$O906))&gt;0,"دریافت بانکی","پرداخت بانکی"),""))</f>
        <v/>
      </c>
      <c r="D906" s="24">
        <f>IF($N906&lt;&gt;"",IF(INDEX(PCDoc,$N906)="","—",INDEX(PCDoc,$N906)),IF($O906&lt;&gt;"",INDEX(LdgBankB,$O906),""))</f>
        <v/>
      </c>
      <c r="E906" s="24">
        <f>IF($N906&lt;&gt;"",IF(INDEX(PCCitrus,$N906)="","—",INDEX(PCCitrus,$N906)),"")</f>
        <v/>
      </c>
      <c r="F906" s="25">
        <f>IF($N906&lt;&gt;"",IF(INDEX(PCScale,$N906)=0,"",INDEX(PCScale,$N906)),"")</f>
        <v/>
      </c>
      <c r="G906" s="25">
        <f>IF($N906&lt;&gt;"",IF(INDEX(PCBaskets,$N906)=0,"",INDEX(PCBaskets,$N906)),"")</f>
        <v/>
      </c>
      <c r="H906" s="26">
        <f>IF($N906&lt;&gt;"",IF(INDEX(PCNet,$N906)=0,"",INDEX(PCNet,$N906)),"")</f>
        <v/>
      </c>
      <c r="I906" s="25">
        <f>IF($N906&lt;&gt;"",IF(INDEX(PCOp,$N906)="مرجوعی خرید","",IF(INDEX(PCAmount,$N906)&lt;=0,"",INDEX(PCAmount,$N906))),IF($O906&lt;&gt;"",IF(INDEX(TxnDepB,$O906)=0,"",INDEX(TxnDepB,$O906)),""))</f>
        <v/>
      </c>
      <c r="J906" s="25">
        <f>IF($N906&lt;&gt;"",IF(INDEX(PCOp,$N906)="مرجوعی خرید",IF(INDEX(PCAmount,$N906)=0,"",-INDEX(PCAmount,$N906)),""),IF($O906&lt;&gt;"",IF(INDEX(TxnWitB,$O906)=0,"",INDEX(TxnWitB,$O906)),""))</f>
        <v/>
      </c>
      <c r="K906" s="27">
        <f>IF($B906="","",IF($K905="",$C$10,$K905)+IF($I906="",0,$I906)-IF($J906="",0,$J906))</f>
        <v/>
      </c>
      <c r="L906" s="28">
        <f>IF($N906&lt;&gt;"",IF(INDEX(PCNotes,$N906)="","—",INDEX(PCNotes,$N906)),IF($O906&lt;&gt;"",IF(INDEX(LdgNoteB,$O906)="","—",INDEX(LdgNoteB,$O906)),""))</f>
        <v/>
      </c>
      <c r="N906">
        <f>IFERROR(MATCH($C$5&amp;"|"&amp;RIGHT("000000"&amp;890,6),LdgRankKeyA,0),"")</f>
        <v/>
      </c>
      <c r="O906">
        <f>IFERROR(MATCH($C$5&amp;"|"&amp;RIGHT("000000"&amp;890,6),LdgRankKeyB,0),"")</f>
        <v/>
      </c>
    </row>
    <row r="907">
      <c r="A907" s="17" t="n">
        <v>891</v>
      </c>
      <c r="B907" s="18">
        <f>IF(AND($N907="",$O907=""),"",IF($N907&lt;&gt;"",INDEX(PCNormDate,$N907),INDEX(LdgDateB,$O907)))</f>
        <v/>
      </c>
      <c r="C907" s="18">
        <f>IF($N907&lt;&gt;"",INDEX(PCOp,$N907),IF($O907&lt;&gt;"",IF(N(INDEX(TxnDepB,$O907))&gt;0,"دریافت بانکی","پرداخت بانکی"),""))</f>
        <v/>
      </c>
      <c r="D907" s="18">
        <f>IF($N907&lt;&gt;"",IF(INDEX(PCDoc,$N907)="","—",INDEX(PCDoc,$N907)),IF($O907&lt;&gt;"",INDEX(LdgBankB,$O907),""))</f>
        <v/>
      </c>
      <c r="E907" s="18">
        <f>IF($N907&lt;&gt;"",IF(INDEX(PCCitrus,$N907)="","—",INDEX(PCCitrus,$N907)),"")</f>
        <v/>
      </c>
      <c r="F907" s="19">
        <f>IF($N907&lt;&gt;"",IF(INDEX(PCScale,$N907)=0,"",INDEX(PCScale,$N907)),"")</f>
        <v/>
      </c>
      <c r="G907" s="19">
        <f>IF($N907&lt;&gt;"",IF(INDEX(PCBaskets,$N907)=0,"",INDEX(PCBaskets,$N907)),"")</f>
        <v/>
      </c>
      <c r="H907" s="20">
        <f>IF($N907&lt;&gt;"",IF(INDEX(PCNet,$N907)=0,"",INDEX(PCNet,$N907)),"")</f>
        <v/>
      </c>
      <c r="I907" s="19">
        <f>IF($N907&lt;&gt;"",IF(INDEX(PCOp,$N907)="مرجوعی خرید","",IF(INDEX(PCAmount,$N907)&lt;=0,"",INDEX(PCAmount,$N907))),IF($O907&lt;&gt;"",IF(INDEX(TxnDepB,$O907)=0,"",INDEX(TxnDepB,$O907)),""))</f>
        <v/>
      </c>
      <c r="J907" s="19">
        <f>IF($N907&lt;&gt;"",IF(INDEX(PCOp,$N907)="مرجوعی خرید",IF(INDEX(PCAmount,$N907)=0,"",-INDEX(PCAmount,$N907)),""),IF($O907&lt;&gt;"",IF(INDEX(TxnWitB,$O907)=0,"",INDEX(TxnWitB,$O907)),""))</f>
        <v/>
      </c>
      <c r="K907" s="21">
        <f>IF($B907="","",IF($K906="",$C$10,$K906)+IF($I907="",0,$I907)-IF($J907="",0,$J907))</f>
        <v/>
      </c>
      <c r="L907" s="22">
        <f>IF($N907&lt;&gt;"",IF(INDEX(PCNotes,$N907)="","—",INDEX(PCNotes,$N907)),IF($O907&lt;&gt;"",IF(INDEX(LdgNoteB,$O907)="","—",INDEX(LdgNoteB,$O907)),""))</f>
        <v/>
      </c>
      <c r="N907">
        <f>IFERROR(MATCH($C$5&amp;"|"&amp;RIGHT("000000"&amp;891,6),LdgRankKeyA,0),"")</f>
        <v/>
      </c>
      <c r="O907">
        <f>IFERROR(MATCH($C$5&amp;"|"&amp;RIGHT("000000"&amp;891,6),LdgRankKeyB,0),"")</f>
        <v/>
      </c>
    </row>
    <row r="908">
      <c r="A908" s="23" t="n">
        <v>892</v>
      </c>
      <c r="B908" s="24">
        <f>IF(AND($N908="",$O908=""),"",IF($N908&lt;&gt;"",INDEX(PCNormDate,$N908),INDEX(LdgDateB,$O908)))</f>
        <v/>
      </c>
      <c r="C908" s="24">
        <f>IF($N908&lt;&gt;"",INDEX(PCOp,$N908),IF($O908&lt;&gt;"",IF(N(INDEX(TxnDepB,$O908))&gt;0,"دریافت بانکی","پرداخت بانکی"),""))</f>
        <v/>
      </c>
      <c r="D908" s="24">
        <f>IF($N908&lt;&gt;"",IF(INDEX(PCDoc,$N908)="","—",INDEX(PCDoc,$N908)),IF($O908&lt;&gt;"",INDEX(LdgBankB,$O908),""))</f>
        <v/>
      </c>
      <c r="E908" s="24">
        <f>IF($N908&lt;&gt;"",IF(INDEX(PCCitrus,$N908)="","—",INDEX(PCCitrus,$N908)),"")</f>
        <v/>
      </c>
      <c r="F908" s="25">
        <f>IF($N908&lt;&gt;"",IF(INDEX(PCScale,$N908)=0,"",INDEX(PCScale,$N908)),"")</f>
        <v/>
      </c>
      <c r="G908" s="25">
        <f>IF($N908&lt;&gt;"",IF(INDEX(PCBaskets,$N908)=0,"",INDEX(PCBaskets,$N908)),"")</f>
        <v/>
      </c>
      <c r="H908" s="26">
        <f>IF($N908&lt;&gt;"",IF(INDEX(PCNet,$N908)=0,"",INDEX(PCNet,$N908)),"")</f>
        <v/>
      </c>
      <c r="I908" s="25">
        <f>IF($N908&lt;&gt;"",IF(INDEX(PCOp,$N908)="مرجوعی خرید","",IF(INDEX(PCAmount,$N908)&lt;=0,"",INDEX(PCAmount,$N908))),IF($O908&lt;&gt;"",IF(INDEX(TxnDepB,$O908)=0,"",INDEX(TxnDepB,$O908)),""))</f>
        <v/>
      </c>
      <c r="J908" s="25">
        <f>IF($N908&lt;&gt;"",IF(INDEX(PCOp,$N908)="مرجوعی خرید",IF(INDEX(PCAmount,$N908)=0,"",-INDEX(PCAmount,$N908)),""),IF($O908&lt;&gt;"",IF(INDEX(TxnWitB,$O908)=0,"",INDEX(TxnWitB,$O908)),""))</f>
        <v/>
      </c>
      <c r="K908" s="27">
        <f>IF($B908="","",IF($K907="",$C$10,$K907)+IF($I908="",0,$I908)-IF($J908="",0,$J908))</f>
        <v/>
      </c>
      <c r="L908" s="28">
        <f>IF($N908&lt;&gt;"",IF(INDEX(PCNotes,$N908)="","—",INDEX(PCNotes,$N908)),IF($O908&lt;&gt;"",IF(INDEX(LdgNoteB,$O908)="","—",INDEX(LdgNoteB,$O908)),""))</f>
        <v/>
      </c>
      <c r="N908">
        <f>IFERROR(MATCH($C$5&amp;"|"&amp;RIGHT("000000"&amp;892,6),LdgRankKeyA,0),"")</f>
        <v/>
      </c>
      <c r="O908">
        <f>IFERROR(MATCH($C$5&amp;"|"&amp;RIGHT("000000"&amp;892,6),LdgRankKeyB,0),"")</f>
        <v/>
      </c>
    </row>
    <row r="909">
      <c r="A909" s="17" t="n">
        <v>893</v>
      </c>
      <c r="B909" s="18">
        <f>IF(AND($N909="",$O909=""),"",IF($N909&lt;&gt;"",INDEX(PCNormDate,$N909),INDEX(LdgDateB,$O909)))</f>
        <v/>
      </c>
      <c r="C909" s="18">
        <f>IF($N909&lt;&gt;"",INDEX(PCOp,$N909),IF($O909&lt;&gt;"",IF(N(INDEX(TxnDepB,$O909))&gt;0,"دریافت بانکی","پرداخت بانکی"),""))</f>
        <v/>
      </c>
      <c r="D909" s="18">
        <f>IF($N909&lt;&gt;"",IF(INDEX(PCDoc,$N909)="","—",INDEX(PCDoc,$N909)),IF($O909&lt;&gt;"",INDEX(LdgBankB,$O909),""))</f>
        <v/>
      </c>
      <c r="E909" s="18">
        <f>IF($N909&lt;&gt;"",IF(INDEX(PCCitrus,$N909)="","—",INDEX(PCCitrus,$N909)),"")</f>
        <v/>
      </c>
      <c r="F909" s="19">
        <f>IF($N909&lt;&gt;"",IF(INDEX(PCScale,$N909)=0,"",INDEX(PCScale,$N909)),"")</f>
        <v/>
      </c>
      <c r="G909" s="19">
        <f>IF($N909&lt;&gt;"",IF(INDEX(PCBaskets,$N909)=0,"",INDEX(PCBaskets,$N909)),"")</f>
        <v/>
      </c>
      <c r="H909" s="20">
        <f>IF($N909&lt;&gt;"",IF(INDEX(PCNet,$N909)=0,"",INDEX(PCNet,$N909)),"")</f>
        <v/>
      </c>
      <c r="I909" s="19">
        <f>IF($N909&lt;&gt;"",IF(INDEX(PCOp,$N909)="مرجوعی خرید","",IF(INDEX(PCAmount,$N909)&lt;=0,"",INDEX(PCAmount,$N909))),IF($O909&lt;&gt;"",IF(INDEX(TxnDepB,$O909)=0,"",INDEX(TxnDepB,$O909)),""))</f>
        <v/>
      </c>
      <c r="J909" s="19">
        <f>IF($N909&lt;&gt;"",IF(INDEX(PCOp,$N909)="مرجوعی خرید",IF(INDEX(PCAmount,$N909)=0,"",-INDEX(PCAmount,$N909)),""),IF($O909&lt;&gt;"",IF(INDEX(TxnWitB,$O909)=0,"",INDEX(TxnWitB,$O909)),""))</f>
        <v/>
      </c>
      <c r="K909" s="21">
        <f>IF($B909="","",IF($K908="",$C$10,$K908)+IF($I909="",0,$I909)-IF($J909="",0,$J909))</f>
        <v/>
      </c>
      <c r="L909" s="22">
        <f>IF($N909&lt;&gt;"",IF(INDEX(PCNotes,$N909)="","—",INDEX(PCNotes,$N909)),IF($O909&lt;&gt;"",IF(INDEX(LdgNoteB,$O909)="","—",INDEX(LdgNoteB,$O909)),""))</f>
        <v/>
      </c>
      <c r="N909">
        <f>IFERROR(MATCH($C$5&amp;"|"&amp;RIGHT("000000"&amp;893,6),LdgRankKeyA,0),"")</f>
        <v/>
      </c>
      <c r="O909">
        <f>IFERROR(MATCH($C$5&amp;"|"&amp;RIGHT("000000"&amp;893,6),LdgRankKeyB,0),"")</f>
        <v/>
      </c>
    </row>
    <row r="910">
      <c r="A910" s="23" t="n">
        <v>894</v>
      </c>
      <c r="B910" s="24">
        <f>IF(AND($N910="",$O910=""),"",IF($N910&lt;&gt;"",INDEX(PCNormDate,$N910),INDEX(LdgDateB,$O910)))</f>
        <v/>
      </c>
      <c r="C910" s="24">
        <f>IF($N910&lt;&gt;"",INDEX(PCOp,$N910),IF($O910&lt;&gt;"",IF(N(INDEX(TxnDepB,$O910))&gt;0,"دریافت بانکی","پرداخت بانکی"),""))</f>
        <v/>
      </c>
      <c r="D910" s="24">
        <f>IF($N910&lt;&gt;"",IF(INDEX(PCDoc,$N910)="","—",INDEX(PCDoc,$N910)),IF($O910&lt;&gt;"",INDEX(LdgBankB,$O910),""))</f>
        <v/>
      </c>
      <c r="E910" s="24">
        <f>IF($N910&lt;&gt;"",IF(INDEX(PCCitrus,$N910)="","—",INDEX(PCCitrus,$N910)),"")</f>
        <v/>
      </c>
      <c r="F910" s="25">
        <f>IF($N910&lt;&gt;"",IF(INDEX(PCScale,$N910)=0,"",INDEX(PCScale,$N910)),"")</f>
        <v/>
      </c>
      <c r="G910" s="25">
        <f>IF($N910&lt;&gt;"",IF(INDEX(PCBaskets,$N910)=0,"",INDEX(PCBaskets,$N910)),"")</f>
        <v/>
      </c>
      <c r="H910" s="26">
        <f>IF($N910&lt;&gt;"",IF(INDEX(PCNet,$N910)=0,"",INDEX(PCNet,$N910)),"")</f>
        <v/>
      </c>
      <c r="I910" s="25">
        <f>IF($N910&lt;&gt;"",IF(INDEX(PCOp,$N910)="مرجوعی خرید","",IF(INDEX(PCAmount,$N910)&lt;=0,"",INDEX(PCAmount,$N910))),IF($O910&lt;&gt;"",IF(INDEX(TxnDepB,$O910)=0,"",INDEX(TxnDepB,$O910)),""))</f>
        <v/>
      </c>
      <c r="J910" s="25">
        <f>IF($N910&lt;&gt;"",IF(INDEX(PCOp,$N910)="مرجوعی خرید",IF(INDEX(PCAmount,$N910)=0,"",-INDEX(PCAmount,$N910)),""),IF($O910&lt;&gt;"",IF(INDEX(TxnWitB,$O910)=0,"",INDEX(TxnWitB,$O910)),""))</f>
        <v/>
      </c>
      <c r="K910" s="27">
        <f>IF($B910="","",IF($K909="",$C$10,$K909)+IF($I910="",0,$I910)-IF($J910="",0,$J910))</f>
        <v/>
      </c>
      <c r="L910" s="28">
        <f>IF($N910&lt;&gt;"",IF(INDEX(PCNotes,$N910)="","—",INDEX(PCNotes,$N910)),IF($O910&lt;&gt;"",IF(INDEX(LdgNoteB,$O910)="","—",INDEX(LdgNoteB,$O910)),""))</f>
        <v/>
      </c>
      <c r="N910">
        <f>IFERROR(MATCH($C$5&amp;"|"&amp;RIGHT("000000"&amp;894,6),LdgRankKeyA,0),"")</f>
        <v/>
      </c>
      <c r="O910">
        <f>IFERROR(MATCH($C$5&amp;"|"&amp;RIGHT("000000"&amp;894,6),LdgRankKeyB,0),"")</f>
        <v/>
      </c>
    </row>
    <row r="911">
      <c r="A911" s="17" t="n">
        <v>895</v>
      </c>
      <c r="B911" s="18">
        <f>IF(AND($N911="",$O911=""),"",IF($N911&lt;&gt;"",INDEX(PCNormDate,$N911),INDEX(LdgDateB,$O911)))</f>
        <v/>
      </c>
      <c r="C911" s="18">
        <f>IF($N911&lt;&gt;"",INDEX(PCOp,$N911),IF($O911&lt;&gt;"",IF(N(INDEX(TxnDepB,$O911))&gt;0,"دریافت بانکی","پرداخت بانکی"),""))</f>
        <v/>
      </c>
      <c r="D911" s="18">
        <f>IF($N911&lt;&gt;"",IF(INDEX(PCDoc,$N911)="","—",INDEX(PCDoc,$N911)),IF($O911&lt;&gt;"",INDEX(LdgBankB,$O911),""))</f>
        <v/>
      </c>
      <c r="E911" s="18">
        <f>IF($N911&lt;&gt;"",IF(INDEX(PCCitrus,$N911)="","—",INDEX(PCCitrus,$N911)),"")</f>
        <v/>
      </c>
      <c r="F911" s="19">
        <f>IF($N911&lt;&gt;"",IF(INDEX(PCScale,$N911)=0,"",INDEX(PCScale,$N911)),"")</f>
        <v/>
      </c>
      <c r="G911" s="19">
        <f>IF($N911&lt;&gt;"",IF(INDEX(PCBaskets,$N911)=0,"",INDEX(PCBaskets,$N911)),"")</f>
        <v/>
      </c>
      <c r="H911" s="20">
        <f>IF($N911&lt;&gt;"",IF(INDEX(PCNet,$N911)=0,"",INDEX(PCNet,$N911)),"")</f>
        <v/>
      </c>
      <c r="I911" s="19">
        <f>IF($N911&lt;&gt;"",IF(INDEX(PCOp,$N911)="مرجوعی خرید","",IF(INDEX(PCAmount,$N911)&lt;=0,"",INDEX(PCAmount,$N911))),IF($O911&lt;&gt;"",IF(INDEX(TxnDepB,$O911)=0,"",INDEX(TxnDepB,$O911)),""))</f>
        <v/>
      </c>
      <c r="J911" s="19">
        <f>IF($N911&lt;&gt;"",IF(INDEX(PCOp,$N911)="مرجوعی خرید",IF(INDEX(PCAmount,$N911)=0,"",-INDEX(PCAmount,$N911)),""),IF($O911&lt;&gt;"",IF(INDEX(TxnWitB,$O911)=0,"",INDEX(TxnWitB,$O911)),""))</f>
        <v/>
      </c>
      <c r="K911" s="21">
        <f>IF($B911="","",IF($K910="",$C$10,$K910)+IF($I911="",0,$I911)-IF($J911="",0,$J911))</f>
        <v/>
      </c>
      <c r="L911" s="22">
        <f>IF($N911&lt;&gt;"",IF(INDEX(PCNotes,$N911)="","—",INDEX(PCNotes,$N911)),IF($O911&lt;&gt;"",IF(INDEX(LdgNoteB,$O911)="","—",INDEX(LdgNoteB,$O911)),""))</f>
        <v/>
      </c>
      <c r="N911">
        <f>IFERROR(MATCH($C$5&amp;"|"&amp;RIGHT("000000"&amp;895,6),LdgRankKeyA,0),"")</f>
        <v/>
      </c>
      <c r="O911">
        <f>IFERROR(MATCH($C$5&amp;"|"&amp;RIGHT("000000"&amp;895,6),LdgRankKeyB,0),"")</f>
        <v/>
      </c>
    </row>
    <row r="912">
      <c r="A912" s="23" t="n">
        <v>896</v>
      </c>
      <c r="B912" s="24">
        <f>IF(AND($N912="",$O912=""),"",IF($N912&lt;&gt;"",INDEX(PCNormDate,$N912),INDEX(LdgDateB,$O912)))</f>
        <v/>
      </c>
      <c r="C912" s="24">
        <f>IF($N912&lt;&gt;"",INDEX(PCOp,$N912),IF($O912&lt;&gt;"",IF(N(INDEX(TxnDepB,$O912))&gt;0,"دریافت بانکی","پرداخت بانکی"),""))</f>
        <v/>
      </c>
      <c r="D912" s="24">
        <f>IF($N912&lt;&gt;"",IF(INDEX(PCDoc,$N912)="","—",INDEX(PCDoc,$N912)),IF($O912&lt;&gt;"",INDEX(LdgBankB,$O912),""))</f>
        <v/>
      </c>
      <c r="E912" s="24">
        <f>IF($N912&lt;&gt;"",IF(INDEX(PCCitrus,$N912)="","—",INDEX(PCCitrus,$N912)),"")</f>
        <v/>
      </c>
      <c r="F912" s="25">
        <f>IF($N912&lt;&gt;"",IF(INDEX(PCScale,$N912)=0,"",INDEX(PCScale,$N912)),"")</f>
        <v/>
      </c>
      <c r="G912" s="25">
        <f>IF($N912&lt;&gt;"",IF(INDEX(PCBaskets,$N912)=0,"",INDEX(PCBaskets,$N912)),"")</f>
        <v/>
      </c>
      <c r="H912" s="26">
        <f>IF($N912&lt;&gt;"",IF(INDEX(PCNet,$N912)=0,"",INDEX(PCNet,$N912)),"")</f>
        <v/>
      </c>
      <c r="I912" s="25">
        <f>IF($N912&lt;&gt;"",IF(INDEX(PCOp,$N912)="مرجوعی خرید","",IF(INDEX(PCAmount,$N912)&lt;=0,"",INDEX(PCAmount,$N912))),IF($O912&lt;&gt;"",IF(INDEX(TxnDepB,$O912)=0,"",INDEX(TxnDepB,$O912)),""))</f>
        <v/>
      </c>
      <c r="J912" s="25">
        <f>IF($N912&lt;&gt;"",IF(INDEX(PCOp,$N912)="مرجوعی خرید",IF(INDEX(PCAmount,$N912)=0,"",-INDEX(PCAmount,$N912)),""),IF($O912&lt;&gt;"",IF(INDEX(TxnWitB,$O912)=0,"",INDEX(TxnWitB,$O912)),""))</f>
        <v/>
      </c>
      <c r="K912" s="27">
        <f>IF($B912="","",IF($K911="",$C$10,$K911)+IF($I912="",0,$I912)-IF($J912="",0,$J912))</f>
        <v/>
      </c>
      <c r="L912" s="28">
        <f>IF($N912&lt;&gt;"",IF(INDEX(PCNotes,$N912)="","—",INDEX(PCNotes,$N912)),IF($O912&lt;&gt;"",IF(INDEX(LdgNoteB,$O912)="","—",INDEX(LdgNoteB,$O912)),""))</f>
        <v/>
      </c>
      <c r="N912">
        <f>IFERROR(MATCH($C$5&amp;"|"&amp;RIGHT("000000"&amp;896,6),LdgRankKeyA,0),"")</f>
        <v/>
      </c>
      <c r="O912">
        <f>IFERROR(MATCH($C$5&amp;"|"&amp;RIGHT("000000"&amp;896,6),LdgRankKeyB,0),"")</f>
        <v/>
      </c>
    </row>
    <row r="913">
      <c r="A913" s="17" t="n">
        <v>897</v>
      </c>
      <c r="B913" s="18">
        <f>IF(AND($N913="",$O913=""),"",IF($N913&lt;&gt;"",INDEX(PCNormDate,$N913),INDEX(LdgDateB,$O913)))</f>
        <v/>
      </c>
      <c r="C913" s="18">
        <f>IF($N913&lt;&gt;"",INDEX(PCOp,$N913),IF($O913&lt;&gt;"",IF(N(INDEX(TxnDepB,$O913))&gt;0,"دریافت بانکی","پرداخت بانکی"),""))</f>
        <v/>
      </c>
      <c r="D913" s="18">
        <f>IF($N913&lt;&gt;"",IF(INDEX(PCDoc,$N913)="","—",INDEX(PCDoc,$N913)),IF($O913&lt;&gt;"",INDEX(LdgBankB,$O913),""))</f>
        <v/>
      </c>
      <c r="E913" s="18">
        <f>IF($N913&lt;&gt;"",IF(INDEX(PCCitrus,$N913)="","—",INDEX(PCCitrus,$N913)),"")</f>
        <v/>
      </c>
      <c r="F913" s="19">
        <f>IF($N913&lt;&gt;"",IF(INDEX(PCScale,$N913)=0,"",INDEX(PCScale,$N913)),"")</f>
        <v/>
      </c>
      <c r="G913" s="19">
        <f>IF($N913&lt;&gt;"",IF(INDEX(PCBaskets,$N913)=0,"",INDEX(PCBaskets,$N913)),"")</f>
        <v/>
      </c>
      <c r="H913" s="20">
        <f>IF($N913&lt;&gt;"",IF(INDEX(PCNet,$N913)=0,"",INDEX(PCNet,$N913)),"")</f>
        <v/>
      </c>
      <c r="I913" s="19">
        <f>IF($N913&lt;&gt;"",IF(INDEX(PCOp,$N913)="مرجوعی خرید","",IF(INDEX(PCAmount,$N913)&lt;=0,"",INDEX(PCAmount,$N913))),IF($O913&lt;&gt;"",IF(INDEX(TxnDepB,$O913)=0,"",INDEX(TxnDepB,$O913)),""))</f>
        <v/>
      </c>
      <c r="J913" s="19">
        <f>IF($N913&lt;&gt;"",IF(INDEX(PCOp,$N913)="مرجوعی خرید",IF(INDEX(PCAmount,$N913)=0,"",-INDEX(PCAmount,$N913)),""),IF($O913&lt;&gt;"",IF(INDEX(TxnWitB,$O913)=0,"",INDEX(TxnWitB,$O913)),""))</f>
        <v/>
      </c>
      <c r="K913" s="21">
        <f>IF($B913="","",IF($K912="",$C$10,$K912)+IF($I913="",0,$I913)-IF($J913="",0,$J913))</f>
        <v/>
      </c>
      <c r="L913" s="22">
        <f>IF($N913&lt;&gt;"",IF(INDEX(PCNotes,$N913)="","—",INDEX(PCNotes,$N913)),IF($O913&lt;&gt;"",IF(INDEX(LdgNoteB,$O913)="","—",INDEX(LdgNoteB,$O913)),""))</f>
        <v/>
      </c>
      <c r="N913">
        <f>IFERROR(MATCH($C$5&amp;"|"&amp;RIGHT("000000"&amp;897,6),LdgRankKeyA,0),"")</f>
        <v/>
      </c>
      <c r="O913">
        <f>IFERROR(MATCH($C$5&amp;"|"&amp;RIGHT("000000"&amp;897,6),LdgRankKeyB,0),"")</f>
        <v/>
      </c>
    </row>
    <row r="914">
      <c r="A914" s="23" t="n">
        <v>898</v>
      </c>
      <c r="B914" s="24">
        <f>IF(AND($N914="",$O914=""),"",IF($N914&lt;&gt;"",INDEX(PCNormDate,$N914),INDEX(LdgDateB,$O914)))</f>
        <v/>
      </c>
      <c r="C914" s="24">
        <f>IF($N914&lt;&gt;"",INDEX(PCOp,$N914),IF($O914&lt;&gt;"",IF(N(INDEX(TxnDepB,$O914))&gt;0,"دریافت بانکی","پرداخت بانکی"),""))</f>
        <v/>
      </c>
      <c r="D914" s="24">
        <f>IF($N914&lt;&gt;"",IF(INDEX(PCDoc,$N914)="","—",INDEX(PCDoc,$N914)),IF($O914&lt;&gt;"",INDEX(LdgBankB,$O914),""))</f>
        <v/>
      </c>
      <c r="E914" s="24">
        <f>IF($N914&lt;&gt;"",IF(INDEX(PCCitrus,$N914)="","—",INDEX(PCCitrus,$N914)),"")</f>
        <v/>
      </c>
      <c r="F914" s="25">
        <f>IF($N914&lt;&gt;"",IF(INDEX(PCScale,$N914)=0,"",INDEX(PCScale,$N914)),"")</f>
        <v/>
      </c>
      <c r="G914" s="25">
        <f>IF($N914&lt;&gt;"",IF(INDEX(PCBaskets,$N914)=0,"",INDEX(PCBaskets,$N914)),"")</f>
        <v/>
      </c>
      <c r="H914" s="26">
        <f>IF($N914&lt;&gt;"",IF(INDEX(PCNet,$N914)=0,"",INDEX(PCNet,$N914)),"")</f>
        <v/>
      </c>
      <c r="I914" s="25">
        <f>IF($N914&lt;&gt;"",IF(INDEX(PCOp,$N914)="مرجوعی خرید","",IF(INDEX(PCAmount,$N914)&lt;=0,"",INDEX(PCAmount,$N914))),IF($O914&lt;&gt;"",IF(INDEX(TxnDepB,$O914)=0,"",INDEX(TxnDepB,$O914)),""))</f>
        <v/>
      </c>
      <c r="J914" s="25">
        <f>IF($N914&lt;&gt;"",IF(INDEX(PCOp,$N914)="مرجوعی خرید",IF(INDEX(PCAmount,$N914)=0,"",-INDEX(PCAmount,$N914)),""),IF($O914&lt;&gt;"",IF(INDEX(TxnWitB,$O914)=0,"",INDEX(TxnWitB,$O914)),""))</f>
        <v/>
      </c>
      <c r="K914" s="27">
        <f>IF($B914="","",IF($K913="",$C$10,$K913)+IF($I914="",0,$I914)-IF($J914="",0,$J914))</f>
        <v/>
      </c>
      <c r="L914" s="28">
        <f>IF($N914&lt;&gt;"",IF(INDEX(PCNotes,$N914)="","—",INDEX(PCNotes,$N914)),IF($O914&lt;&gt;"",IF(INDEX(LdgNoteB,$O914)="","—",INDEX(LdgNoteB,$O914)),""))</f>
        <v/>
      </c>
      <c r="N914">
        <f>IFERROR(MATCH($C$5&amp;"|"&amp;RIGHT("000000"&amp;898,6),LdgRankKeyA,0),"")</f>
        <v/>
      </c>
      <c r="O914">
        <f>IFERROR(MATCH($C$5&amp;"|"&amp;RIGHT("000000"&amp;898,6),LdgRankKeyB,0),"")</f>
        <v/>
      </c>
    </row>
    <row r="915">
      <c r="A915" s="17" t="n">
        <v>899</v>
      </c>
      <c r="B915" s="18">
        <f>IF(AND($N915="",$O915=""),"",IF($N915&lt;&gt;"",INDEX(PCNormDate,$N915),INDEX(LdgDateB,$O915)))</f>
        <v/>
      </c>
      <c r="C915" s="18">
        <f>IF($N915&lt;&gt;"",INDEX(PCOp,$N915),IF($O915&lt;&gt;"",IF(N(INDEX(TxnDepB,$O915))&gt;0,"دریافت بانکی","پرداخت بانکی"),""))</f>
        <v/>
      </c>
      <c r="D915" s="18">
        <f>IF($N915&lt;&gt;"",IF(INDEX(PCDoc,$N915)="","—",INDEX(PCDoc,$N915)),IF($O915&lt;&gt;"",INDEX(LdgBankB,$O915),""))</f>
        <v/>
      </c>
      <c r="E915" s="18">
        <f>IF($N915&lt;&gt;"",IF(INDEX(PCCitrus,$N915)="","—",INDEX(PCCitrus,$N915)),"")</f>
        <v/>
      </c>
      <c r="F915" s="19">
        <f>IF($N915&lt;&gt;"",IF(INDEX(PCScale,$N915)=0,"",INDEX(PCScale,$N915)),"")</f>
        <v/>
      </c>
      <c r="G915" s="19">
        <f>IF($N915&lt;&gt;"",IF(INDEX(PCBaskets,$N915)=0,"",INDEX(PCBaskets,$N915)),"")</f>
        <v/>
      </c>
      <c r="H915" s="20">
        <f>IF($N915&lt;&gt;"",IF(INDEX(PCNet,$N915)=0,"",INDEX(PCNet,$N915)),"")</f>
        <v/>
      </c>
      <c r="I915" s="19">
        <f>IF($N915&lt;&gt;"",IF(INDEX(PCOp,$N915)="مرجوعی خرید","",IF(INDEX(PCAmount,$N915)&lt;=0,"",INDEX(PCAmount,$N915))),IF($O915&lt;&gt;"",IF(INDEX(TxnDepB,$O915)=0,"",INDEX(TxnDepB,$O915)),""))</f>
        <v/>
      </c>
      <c r="J915" s="19">
        <f>IF($N915&lt;&gt;"",IF(INDEX(PCOp,$N915)="مرجوعی خرید",IF(INDEX(PCAmount,$N915)=0,"",-INDEX(PCAmount,$N915)),""),IF($O915&lt;&gt;"",IF(INDEX(TxnWitB,$O915)=0,"",INDEX(TxnWitB,$O915)),""))</f>
        <v/>
      </c>
      <c r="K915" s="21">
        <f>IF($B915="","",IF($K914="",$C$10,$K914)+IF($I915="",0,$I915)-IF($J915="",0,$J915))</f>
        <v/>
      </c>
      <c r="L915" s="22">
        <f>IF($N915&lt;&gt;"",IF(INDEX(PCNotes,$N915)="","—",INDEX(PCNotes,$N915)),IF($O915&lt;&gt;"",IF(INDEX(LdgNoteB,$O915)="","—",INDEX(LdgNoteB,$O915)),""))</f>
        <v/>
      </c>
      <c r="N915">
        <f>IFERROR(MATCH($C$5&amp;"|"&amp;RIGHT("000000"&amp;899,6),LdgRankKeyA,0),"")</f>
        <v/>
      </c>
      <c r="O915">
        <f>IFERROR(MATCH($C$5&amp;"|"&amp;RIGHT("000000"&amp;899,6),LdgRankKeyB,0),"")</f>
        <v/>
      </c>
    </row>
    <row r="916">
      <c r="A916" s="23" t="n">
        <v>900</v>
      </c>
      <c r="B916" s="24">
        <f>IF(AND($N916="",$O916=""),"",IF($N916&lt;&gt;"",INDEX(PCNormDate,$N916),INDEX(LdgDateB,$O916)))</f>
        <v/>
      </c>
      <c r="C916" s="24">
        <f>IF($N916&lt;&gt;"",INDEX(PCOp,$N916),IF($O916&lt;&gt;"",IF(N(INDEX(TxnDepB,$O916))&gt;0,"دریافت بانکی","پرداخت بانکی"),""))</f>
        <v/>
      </c>
      <c r="D916" s="24">
        <f>IF($N916&lt;&gt;"",IF(INDEX(PCDoc,$N916)="","—",INDEX(PCDoc,$N916)),IF($O916&lt;&gt;"",INDEX(LdgBankB,$O916),""))</f>
        <v/>
      </c>
      <c r="E916" s="24">
        <f>IF($N916&lt;&gt;"",IF(INDEX(PCCitrus,$N916)="","—",INDEX(PCCitrus,$N916)),"")</f>
        <v/>
      </c>
      <c r="F916" s="25">
        <f>IF($N916&lt;&gt;"",IF(INDEX(PCScale,$N916)=0,"",INDEX(PCScale,$N916)),"")</f>
        <v/>
      </c>
      <c r="G916" s="25">
        <f>IF($N916&lt;&gt;"",IF(INDEX(PCBaskets,$N916)=0,"",INDEX(PCBaskets,$N916)),"")</f>
        <v/>
      </c>
      <c r="H916" s="26">
        <f>IF($N916&lt;&gt;"",IF(INDEX(PCNet,$N916)=0,"",INDEX(PCNet,$N916)),"")</f>
        <v/>
      </c>
      <c r="I916" s="25">
        <f>IF($N916&lt;&gt;"",IF(INDEX(PCOp,$N916)="مرجوعی خرید","",IF(INDEX(PCAmount,$N916)&lt;=0,"",INDEX(PCAmount,$N916))),IF($O916&lt;&gt;"",IF(INDEX(TxnDepB,$O916)=0,"",INDEX(TxnDepB,$O916)),""))</f>
        <v/>
      </c>
      <c r="J916" s="25">
        <f>IF($N916&lt;&gt;"",IF(INDEX(PCOp,$N916)="مرجوعی خرید",IF(INDEX(PCAmount,$N916)=0,"",-INDEX(PCAmount,$N916)),""),IF($O916&lt;&gt;"",IF(INDEX(TxnWitB,$O916)=0,"",INDEX(TxnWitB,$O916)),""))</f>
        <v/>
      </c>
      <c r="K916" s="27">
        <f>IF($B916="","",IF($K915="",$C$10,$K915)+IF($I916="",0,$I916)-IF($J916="",0,$J916))</f>
        <v/>
      </c>
      <c r="L916" s="28">
        <f>IF($N916&lt;&gt;"",IF(INDEX(PCNotes,$N916)="","—",INDEX(PCNotes,$N916)),IF($O916&lt;&gt;"",IF(INDEX(LdgNoteB,$O916)="","—",INDEX(LdgNoteB,$O916)),""))</f>
        <v/>
      </c>
      <c r="N916">
        <f>IFERROR(MATCH($C$5&amp;"|"&amp;RIGHT("000000"&amp;900,6),LdgRankKeyA,0),"")</f>
        <v/>
      </c>
      <c r="O916">
        <f>IFERROR(MATCH($C$5&amp;"|"&amp;RIGHT("000000"&amp;900,6),LdgRankKeyB,0),"")</f>
        <v/>
      </c>
    </row>
    <row r="917">
      <c r="A917" s="17" t="n">
        <v>901</v>
      </c>
      <c r="B917" s="18">
        <f>IF(AND($N917="",$O917=""),"",IF($N917&lt;&gt;"",INDEX(PCNormDate,$N917),INDEX(LdgDateB,$O917)))</f>
        <v/>
      </c>
      <c r="C917" s="18">
        <f>IF($N917&lt;&gt;"",INDEX(PCOp,$N917),IF($O917&lt;&gt;"",IF(N(INDEX(TxnDepB,$O917))&gt;0,"دریافت بانکی","پرداخت بانکی"),""))</f>
        <v/>
      </c>
      <c r="D917" s="18">
        <f>IF($N917&lt;&gt;"",IF(INDEX(PCDoc,$N917)="","—",INDEX(PCDoc,$N917)),IF($O917&lt;&gt;"",INDEX(LdgBankB,$O917),""))</f>
        <v/>
      </c>
      <c r="E917" s="18">
        <f>IF($N917&lt;&gt;"",IF(INDEX(PCCitrus,$N917)="","—",INDEX(PCCitrus,$N917)),"")</f>
        <v/>
      </c>
      <c r="F917" s="19">
        <f>IF($N917&lt;&gt;"",IF(INDEX(PCScale,$N917)=0,"",INDEX(PCScale,$N917)),"")</f>
        <v/>
      </c>
      <c r="G917" s="19">
        <f>IF($N917&lt;&gt;"",IF(INDEX(PCBaskets,$N917)=0,"",INDEX(PCBaskets,$N917)),"")</f>
        <v/>
      </c>
      <c r="H917" s="20">
        <f>IF($N917&lt;&gt;"",IF(INDEX(PCNet,$N917)=0,"",INDEX(PCNet,$N917)),"")</f>
        <v/>
      </c>
      <c r="I917" s="19">
        <f>IF($N917&lt;&gt;"",IF(INDEX(PCOp,$N917)="مرجوعی خرید","",IF(INDEX(PCAmount,$N917)&lt;=0,"",INDEX(PCAmount,$N917))),IF($O917&lt;&gt;"",IF(INDEX(TxnDepB,$O917)=0,"",INDEX(TxnDepB,$O917)),""))</f>
        <v/>
      </c>
      <c r="J917" s="19">
        <f>IF($N917&lt;&gt;"",IF(INDEX(PCOp,$N917)="مرجوعی خرید",IF(INDEX(PCAmount,$N917)=0,"",-INDEX(PCAmount,$N917)),""),IF($O917&lt;&gt;"",IF(INDEX(TxnWitB,$O917)=0,"",INDEX(TxnWitB,$O917)),""))</f>
        <v/>
      </c>
      <c r="K917" s="21">
        <f>IF($B917="","",IF($K916="",$C$10,$K916)+IF($I917="",0,$I917)-IF($J917="",0,$J917))</f>
        <v/>
      </c>
      <c r="L917" s="22">
        <f>IF($N917&lt;&gt;"",IF(INDEX(PCNotes,$N917)="","—",INDEX(PCNotes,$N917)),IF($O917&lt;&gt;"",IF(INDEX(LdgNoteB,$O917)="","—",INDEX(LdgNoteB,$O917)),""))</f>
        <v/>
      </c>
      <c r="N917">
        <f>IFERROR(MATCH($C$5&amp;"|"&amp;RIGHT("000000"&amp;901,6),LdgRankKeyA,0),"")</f>
        <v/>
      </c>
      <c r="O917">
        <f>IFERROR(MATCH($C$5&amp;"|"&amp;RIGHT("000000"&amp;901,6),LdgRankKeyB,0),"")</f>
        <v/>
      </c>
    </row>
    <row r="918">
      <c r="A918" s="23" t="n">
        <v>902</v>
      </c>
      <c r="B918" s="24">
        <f>IF(AND($N918="",$O918=""),"",IF($N918&lt;&gt;"",INDEX(PCNormDate,$N918),INDEX(LdgDateB,$O918)))</f>
        <v/>
      </c>
      <c r="C918" s="24">
        <f>IF($N918&lt;&gt;"",INDEX(PCOp,$N918),IF($O918&lt;&gt;"",IF(N(INDEX(TxnDepB,$O918))&gt;0,"دریافت بانکی","پرداخت بانکی"),""))</f>
        <v/>
      </c>
      <c r="D918" s="24">
        <f>IF($N918&lt;&gt;"",IF(INDEX(PCDoc,$N918)="","—",INDEX(PCDoc,$N918)),IF($O918&lt;&gt;"",INDEX(LdgBankB,$O918),""))</f>
        <v/>
      </c>
      <c r="E918" s="24">
        <f>IF($N918&lt;&gt;"",IF(INDEX(PCCitrus,$N918)="","—",INDEX(PCCitrus,$N918)),"")</f>
        <v/>
      </c>
      <c r="F918" s="25">
        <f>IF($N918&lt;&gt;"",IF(INDEX(PCScale,$N918)=0,"",INDEX(PCScale,$N918)),"")</f>
        <v/>
      </c>
      <c r="G918" s="25">
        <f>IF($N918&lt;&gt;"",IF(INDEX(PCBaskets,$N918)=0,"",INDEX(PCBaskets,$N918)),"")</f>
        <v/>
      </c>
      <c r="H918" s="26">
        <f>IF($N918&lt;&gt;"",IF(INDEX(PCNet,$N918)=0,"",INDEX(PCNet,$N918)),"")</f>
        <v/>
      </c>
      <c r="I918" s="25">
        <f>IF($N918&lt;&gt;"",IF(INDEX(PCOp,$N918)="مرجوعی خرید","",IF(INDEX(PCAmount,$N918)&lt;=0,"",INDEX(PCAmount,$N918))),IF($O918&lt;&gt;"",IF(INDEX(TxnDepB,$O918)=0,"",INDEX(TxnDepB,$O918)),""))</f>
        <v/>
      </c>
      <c r="J918" s="25">
        <f>IF($N918&lt;&gt;"",IF(INDEX(PCOp,$N918)="مرجوعی خرید",IF(INDEX(PCAmount,$N918)=0,"",-INDEX(PCAmount,$N918)),""),IF($O918&lt;&gt;"",IF(INDEX(TxnWitB,$O918)=0,"",INDEX(TxnWitB,$O918)),""))</f>
        <v/>
      </c>
      <c r="K918" s="27">
        <f>IF($B918="","",IF($K917="",$C$10,$K917)+IF($I918="",0,$I918)-IF($J918="",0,$J918))</f>
        <v/>
      </c>
      <c r="L918" s="28">
        <f>IF($N918&lt;&gt;"",IF(INDEX(PCNotes,$N918)="","—",INDEX(PCNotes,$N918)),IF($O918&lt;&gt;"",IF(INDEX(LdgNoteB,$O918)="","—",INDEX(LdgNoteB,$O918)),""))</f>
        <v/>
      </c>
      <c r="N918">
        <f>IFERROR(MATCH($C$5&amp;"|"&amp;RIGHT("000000"&amp;902,6),LdgRankKeyA,0),"")</f>
        <v/>
      </c>
      <c r="O918">
        <f>IFERROR(MATCH($C$5&amp;"|"&amp;RIGHT("000000"&amp;902,6),LdgRankKeyB,0),"")</f>
        <v/>
      </c>
    </row>
    <row r="919">
      <c r="A919" s="17" t="n">
        <v>903</v>
      </c>
      <c r="B919" s="18">
        <f>IF(AND($N919="",$O919=""),"",IF($N919&lt;&gt;"",INDEX(PCNormDate,$N919),INDEX(LdgDateB,$O919)))</f>
        <v/>
      </c>
      <c r="C919" s="18">
        <f>IF($N919&lt;&gt;"",INDEX(PCOp,$N919),IF($O919&lt;&gt;"",IF(N(INDEX(TxnDepB,$O919))&gt;0,"دریافت بانکی","پرداخت بانکی"),""))</f>
        <v/>
      </c>
      <c r="D919" s="18">
        <f>IF($N919&lt;&gt;"",IF(INDEX(PCDoc,$N919)="","—",INDEX(PCDoc,$N919)),IF($O919&lt;&gt;"",INDEX(LdgBankB,$O919),""))</f>
        <v/>
      </c>
      <c r="E919" s="18">
        <f>IF($N919&lt;&gt;"",IF(INDEX(PCCitrus,$N919)="","—",INDEX(PCCitrus,$N919)),"")</f>
        <v/>
      </c>
      <c r="F919" s="19">
        <f>IF($N919&lt;&gt;"",IF(INDEX(PCScale,$N919)=0,"",INDEX(PCScale,$N919)),"")</f>
        <v/>
      </c>
      <c r="G919" s="19">
        <f>IF($N919&lt;&gt;"",IF(INDEX(PCBaskets,$N919)=0,"",INDEX(PCBaskets,$N919)),"")</f>
        <v/>
      </c>
      <c r="H919" s="20">
        <f>IF($N919&lt;&gt;"",IF(INDEX(PCNet,$N919)=0,"",INDEX(PCNet,$N919)),"")</f>
        <v/>
      </c>
      <c r="I919" s="19">
        <f>IF($N919&lt;&gt;"",IF(INDEX(PCOp,$N919)="مرجوعی خرید","",IF(INDEX(PCAmount,$N919)&lt;=0,"",INDEX(PCAmount,$N919))),IF($O919&lt;&gt;"",IF(INDEX(TxnDepB,$O919)=0,"",INDEX(TxnDepB,$O919)),""))</f>
        <v/>
      </c>
      <c r="J919" s="19">
        <f>IF($N919&lt;&gt;"",IF(INDEX(PCOp,$N919)="مرجوعی خرید",IF(INDEX(PCAmount,$N919)=0,"",-INDEX(PCAmount,$N919)),""),IF($O919&lt;&gt;"",IF(INDEX(TxnWitB,$O919)=0,"",INDEX(TxnWitB,$O919)),""))</f>
        <v/>
      </c>
      <c r="K919" s="21">
        <f>IF($B919="","",IF($K918="",$C$10,$K918)+IF($I919="",0,$I919)-IF($J919="",0,$J919))</f>
        <v/>
      </c>
      <c r="L919" s="22">
        <f>IF($N919&lt;&gt;"",IF(INDEX(PCNotes,$N919)="","—",INDEX(PCNotes,$N919)),IF($O919&lt;&gt;"",IF(INDEX(LdgNoteB,$O919)="","—",INDEX(LdgNoteB,$O919)),""))</f>
        <v/>
      </c>
      <c r="N919">
        <f>IFERROR(MATCH($C$5&amp;"|"&amp;RIGHT("000000"&amp;903,6),LdgRankKeyA,0),"")</f>
        <v/>
      </c>
      <c r="O919">
        <f>IFERROR(MATCH($C$5&amp;"|"&amp;RIGHT("000000"&amp;903,6),LdgRankKeyB,0),"")</f>
        <v/>
      </c>
    </row>
    <row r="920">
      <c r="A920" s="23" t="n">
        <v>904</v>
      </c>
      <c r="B920" s="24">
        <f>IF(AND($N920="",$O920=""),"",IF($N920&lt;&gt;"",INDEX(PCNormDate,$N920),INDEX(LdgDateB,$O920)))</f>
        <v/>
      </c>
      <c r="C920" s="24">
        <f>IF($N920&lt;&gt;"",INDEX(PCOp,$N920),IF($O920&lt;&gt;"",IF(N(INDEX(TxnDepB,$O920))&gt;0,"دریافت بانکی","پرداخت بانکی"),""))</f>
        <v/>
      </c>
      <c r="D920" s="24">
        <f>IF($N920&lt;&gt;"",IF(INDEX(PCDoc,$N920)="","—",INDEX(PCDoc,$N920)),IF($O920&lt;&gt;"",INDEX(LdgBankB,$O920),""))</f>
        <v/>
      </c>
      <c r="E920" s="24">
        <f>IF($N920&lt;&gt;"",IF(INDEX(PCCitrus,$N920)="","—",INDEX(PCCitrus,$N920)),"")</f>
        <v/>
      </c>
      <c r="F920" s="25">
        <f>IF($N920&lt;&gt;"",IF(INDEX(PCScale,$N920)=0,"",INDEX(PCScale,$N920)),"")</f>
        <v/>
      </c>
      <c r="G920" s="25">
        <f>IF($N920&lt;&gt;"",IF(INDEX(PCBaskets,$N920)=0,"",INDEX(PCBaskets,$N920)),"")</f>
        <v/>
      </c>
      <c r="H920" s="26">
        <f>IF($N920&lt;&gt;"",IF(INDEX(PCNet,$N920)=0,"",INDEX(PCNet,$N920)),"")</f>
        <v/>
      </c>
      <c r="I920" s="25">
        <f>IF($N920&lt;&gt;"",IF(INDEX(PCOp,$N920)="مرجوعی خرید","",IF(INDEX(PCAmount,$N920)&lt;=0,"",INDEX(PCAmount,$N920))),IF($O920&lt;&gt;"",IF(INDEX(TxnDepB,$O920)=0,"",INDEX(TxnDepB,$O920)),""))</f>
        <v/>
      </c>
      <c r="J920" s="25">
        <f>IF($N920&lt;&gt;"",IF(INDEX(PCOp,$N920)="مرجوعی خرید",IF(INDEX(PCAmount,$N920)=0,"",-INDEX(PCAmount,$N920)),""),IF($O920&lt;&gt;"",IF(INDEX(TxnWitB,$O920)=0,"",INDEX(TxnWitB,$O920)),""))</f>
        <v/>
      </c>
      <c r="K920" s="27">
        <f>IF($B920="","",IF($K919="",$C$10,$K919)+IF($I920="",0,$I920)-IF($J920="",0,$J920))</f>
        <v/>
      </c>
      <c r="L920" s="28">
        <f>IF($N920&lt;&gt;"",IF(INDEX(PCNotes,$N920)="","—",INDEX(PCNotes,$N920)),IF($O920&lt;&gt;"",IF(INDEX(LdgNoteB,$O920)="","—",INDEX(LdgNoteB,$O920)),""))</f>
        <v/>
      </c>
      <c r="N920">
        <f>IFERROR(MATCH($C$5&amp;"|"&amp;RIGHT("000000"&amp;904,6),LdgRankKeyA,0),"")</f>
        <v/>
      </c>
      <c r="O920">
        <f>IFERROR(MATCH($C$5&amp;"|"&amp;RIGHT("000000"&amp;904,6),LdgRankKeyB,0),"")</f>
        <v/>
      </c>
    </row>
    <row r="921">
      <c r="A921" s="17" t="n">
        <v>905</v>
      </c>
      <c r="B921" s="18">
        <f>IF(AND($N921="",$O921=""),"",IF($N921&lt;&gt;"",INDEX(PCNormDate,$N921),INDEX(LdgDateB,$O921)))</f>
        <v/>
      </c>
      <c r="C921" s="18">
        <f>IF($N921&lt;&gt;"",INDEX(PCOp,$N921),IF($O921&lt;&gt;"",IF(N(INDEX(TxnDepB,$O921))&gt;0,"دریافت بانکی","پرداخت بانکی"),""))</f>
        <v/>
      </c>
      <c r="D921" s="18">
        <f>IF($N921&lt;&gt;"",IF(INDEX(PCDoc,$N921)="","—",INDEX(PCDoc,$N921)),IF($O921&lt;&gt;"",INDEX(LdgBankB,$O921),""))</f>
        <v/>
      </c>
      <c r="E921" s="18">
        <f>IF($N921&lt;&gt;"",IF(INDEX(PCCitrus,$N921)="","—",INDEX(PCCitrus,$N921)),"")</f>
        <v/>
      </c>
      <c r="F921" s="19">
        <f>IF($N921&lt;&gt;"",IF(INDEX(PCScale,$N921)=0,"",INDEX(PCScale,$N921)),"")</f>
        <v/>
      </c>
      <c r="G921" s="19">
        <f>IF($N921&lt;&gt;"",IF(INDEX(PCBaskets,$N921)=0,"",INDEX(PCBaskets,$N921)),"")</f>
        <v/>
      </c>
      <c r="H921" s="20">
        <f>IF($N921&lt;&gt;"",IF(INDEX(PCNet,$N921)=0,"",INDEX(PCNet,$N921)),"")</f>
        <v/>
      </c>
      <c r="I921" s="19">
        <f>IF($N921&lt;&gt;"",IF(INDEX(PCOp,$N921)="مرجوعی خرید","",IF(INDEX(PCAmount,$N921)&lt;=0,"",INDEX(PCAmount,$N921))),IF($O921&lt;&gt;"",IF(INDEX(TxnDepB,$O921)=0,"",INDEX(TxnDepB,$O921)),""))</f>
        <v/>
      </c>
      <c r="J921" s="19">
        <f>IF($N921&lt;&gt;"",IF(INDEX(PCOp,$N921)="مرجوعی خرید",IF(INDEX(PCAmount,$N921)=0,"",-INDEX(PCAmount,$N921)),""),IF($O921&lt;&gt;"",IF(INDEX(TxnWitB,$O921)=0,"",INDEX(TxnWitB,$O921)),""))</f>
        <v/>
      </c>
      <c r="K921" s="21">
        <f>IF($B921="","",IF($K920="",$C$10,$K920)+IF($I921="",0,$I921)-IF($J921="",0,$J921))</f>
        <v/>
      </c>
      <c r="L921" s="22">
        <f>IF($N921&lt;&gt;"",IF(INDEX(PCNotes,$N921)="","—",INDEX(PCNotes,$N921)),IF($O921&lt;&gt;"",IF(INDEX(LdgNoteB,$O921)="","—",INDEX(LdgNoteB,$O921)),""))</f>
        <v/>
      </c>
      <c r="N921">
        <f>IFERROR(MATCH($C$5&amp;"|"&amp;RIGHT("000000"&amp;905,6),LdgRankKeyA,0),"")</f>
        <v/>
      </c>
      <c r="O921">
        <f>IFERROR(MATCH($C$5&amp;"|"&amp;RIGHT("000000"&amp;905,6),LdgRankKeyB,0),"")</f>
        <v/>
      </c>
    </row>
    <row r="922">
      <c r="A922" s="23" t="n">
        <v>906</v>
      </c>
      <c r="B922" s="24">
        <f>IF(AND($N922="",$O922=""),"",IF($N922&lt;&gt;"",INDEX(PCNormDate,$N922),INDEX(LdgDateB,$O922)))</f>
        <v/>
      </c>
      <c r="C922" s="24">
        <f>IF($N922&lt;&gt;"",INDEX(PCOp,$N922),IF($O922&lt;&gt;"",IF(N(INDEX(TxnDepB,$O922))&gt;0,"دریافت بانکی","پرداخت بانکی"),""))</f>
        <v/>
      </c>
      <c r="D922" s="24">
        <f>IF($N922&lt;&gt;"",IF(INDEX(PCDoc,$N922)="","—",INDEX(PCDoc,$N922)),IF($O922&lt;&gt;"",INDEX(LdgBankB,$O922),""))</f>
        <v/>
      </c>
      <c r="E922" s="24">
        <f>IF($N922&lt;&gt;"",IF(INDEX(PCCitrus,$N922)="","—",INDEX(PCCitrus,$N922)),"")</f>
        <v/>
      </c>
      <c r="F922" s="25">
        <f>IF($N922&lt;&gt;"",IF(INDEX(PCScale,$N922)=0,"",INDEX(PCScale,$N922)),"")</f>
        <v/>
      </c>
      <c r="G922" s="25">
        <f>IF($N922&lt;&gt;"",IF(INDEX(PCBaskets,$N922)=0,"",INDEX(PCBaskets,$N922)),"")</f>
        <v/>
      </c>
      <c r="H922" s="26">
        <f>IF($N922&lt;&gt;"",IF(INDEX(PCNet,$N922)=0,"",INDEX(PCNet,$N922)),"")</f>
        <v/>
      </c>
      <c r="I922" s="25">
        <f>IF($N922&lt;&gt;"",IF(INDEX(PCOp,$N922)="مرجوعی خرید","",IF(INDEX(PCAmount,$N922)&lt;=0,"",INDEX(PCAmount,$N922))),IF($O922&lt;&gt;"",IF(INDEX(TxnDepB,$O922)=0,"",INDEX(TxnDepB,$O922)),""))</f>
        <v/>
      </c>
      <c r="J922" s="25">
        <f>IF($N922&lt;&gt;"",IF(INDEX(PCOp,$N922)="مرجوعی خرید",IF(INDEX(PCAmount,$N922)=0,"",-INDEX(PCAmount,$N922)),""),IF($O922&lt;&gt;"",IF(INDEX(TxnWitB,$O922)=0,"",INDEX(TxnWitB,$O922)),""))</f>
        <v/>
      </c>
      <c r="K922" s="27">
        <f>IF($B922="","",IF($K921="",$C$10,$K921)+IF($I922="",0,$I922)-IF($J922="",0,$J922))</f>
        <v/>
      </c>
      <c r="L922" s="28">
        <f>IF($N922&lt;&gt;"",IF(INDEX(PCNotes,$N922)="","—",INDEX(PCNotes,$N922)),IF($O922&lt;&gt;"",IF(INDEX(LdgNoteB,$O922)="","—",INDEX(LdgNoteB,$O922)),""))</f>
        <v/>
      </c>
      <c r="N922">
        <f>IFERROR(MATCH($C$5&amp;"|"&amp;RIGHT("000000"&amp;906,6),LdgRankKeyA,0),"")</f>
        <v/>
      </c>
      <c r="O922">
        <f>IFERROR(MATCH($C$5&amp;"|"&amp;RIGHT("000000"&amp;906,6),LdgRankKeyB,0),"")</f>
        <v/>
      </c>
    </row>
    <row r="923">
      <c r="A923" s="17" t="n">
        <v>907</v>
      </c>
      <c r="B923" s="18">
        <f>IF(AND($N923="",$O923=""),"",IF($N923&lt;&gt;"",INDEX(PCNormDate,$N923),INDEX(LdgDateB,$O923)))</f>
        <v/>
      </c>
      <c r="C923" s="18">
        <f>IF($N923&lt;&gt;"",INDEX(PCOp,$N923),IF($O923&lt;&gt;"",IF(N(INDEX(TxnDepB,$O923))&gt;0,"دریافت بانکی","پرداخت بانکی"),""))</f>
        <v/>
      </c>
      <c r="D923" s="18">
        <f>IF($N923&lt;&gt;"",IF(INDEX(PCDoc,$N923)="","—",INDEX(PCDoc,$N923)),IF($O923&lt;&gt;"",INDEX(LdgBankB,$O923),""))</f>
        <v/>
      </c>
      <c r="E923" s="18">
        <f>IF($N923&lt;&gt;"",IF(INDEX(PCCitrus,$N923)="","—",INDEX(PCCitrus,$N923)),"")</f>
        <v/>
      </c>
      <c r="F923" s="19">
        <f>IF($N923&lt;&gt;"",IF(INDEX(PCScale,$N923)=0,"",INDEX(PCScale,$N923)),"")</f>
        <v/>
      </c>
      <c r="G923" s="19">
        <f>IF($N923&lt;&gt;"",IF(INDEX(PCBaskets,$N923)=0,"",INDEX(PCBaskets,$N923)),"")</f>
        <v/>
      </c>
      <c r="H923" s="20">
        <f>IF($N923&lt;&gt;"",IF(INDEX(PCNet,$N923)=0,"",INDEX(PCNet,$N923)),"")</f>
        <v/>
      </c>
      <c r="I923" s="19">
        <f>IF($N923&lt;&gt;"",IF(INDEX(PCOp,$N923)="مرجوعی خرید","",IF(INDEX(PCAmount,$N923)&lt;=0,"",INDEX(PCAmount,$N923))),IF($O923&lt;&gt;"",IF(INDEX(TxnDepB,$O923)=0,"",INDEX(TxnDepB,$O923)),""))</f>
        <v/>
      </c>
      <c r="J923" s="19">
        <f>IF($N923&lt;&gt;"",IF(INDEX(PCOp,$N923)="مرجوعی خرید",IF(INDEX(PCAmount,$N923)=0,"",-INDEX(PCAmount,$N923)),""),IF($O923&lt;&gt;"",IF(INDEX(TxnWitB,$O923)=0,"",INDEX(TxnWitB,$O923)),""))</f>
        <v/>
      </c>
      <c r="K923" s="21">
        <f>IF($B923="","",IF($K922="",$C$10,$K922)+IF($I923="",0,$I923)-IF($J923="",0,$J923))</f>
        <v/>
      </c>
      <c r="L923" s="22">
        <f>IF($N923&lt;&gt;"",IF(INDEX(PCNotes,$N923)="","—",INDEX(PCNotes,$N923)),IF($O923&lt;&gt;"",IF(INDEX(LdgNoteB,$O923)="","—",INDEX(LdgNoteB,$O923)),""))</f>
        <v/>
      </c>
      <c r="N923">
        <f>IFERROR(MATCH($C$5&amp;"|"&amp;RIGHT("000000"&amp;907,6),LdgRankKeyA,0),"")</f>
        <v/>
      </c>
      <c r="O923">
        <f>IFERROR(MATCH($C$5&amp;"|"&amp;RIGHT("000000"&amp;907,6),LdgRankKeyB,0),"")</f>
        <v/>
      </c>
    </row>
    <row r="924">
      <c r="A924" s="23" t="n">
        <v>908</v>
      </c>
      <c r="B924" s="24">
        <f>IF(AND($N924="",$O924=""),"",IF($N924&lt;&gt;"",INDEX(PCNormDate,$N924),INDEX(LdgDateB,$O924)))</f>
        <v/>
      </c>
      <c r="C924" s="24">
        <f>IF($N924&lt;&gt;"",INDEX(PCOp,$N924),IF($O924&lt;&gt;"",IF(N(INDEX(TxnDepB,$O924))&gt;0,"دریافت بانکی","پرداخت بانکی"),""))</f>
        <v/>
      </c>
      <c r="D924" s="24">
        <f>IF($N924&lt;&gt;"",IF(INDEX(PCDoc,$N924)="","—",INDEX(PCDoc,$N924)),IF($O924&lt;&gt;"",INDEX(LdgBankB,$O924),""))</f>
        <v/>
      </c>
      <c r="E924" s="24">
        <f>IF($N924&lt;&gt;"",IF(INDEX(PCCitrus,$N924)="","—",INDEX(PCCitrus,$N924)),"")</f>
        <v/>
      </c>
      <c r="F924" s="25">
        <f>IF($N924&lt;&gt;"",IF(INDEX(PCScale,$N924)=0,"",INDEX(PCScale,$N924)),"")</f>
        <v/>
      </c>
      <c r="G924" s="25">
        <f>IF($N924&lt;&gt;"",IF(INDEX(PCBaskets,$N924)=0,"",INDEX(PCBaskets,$N924)),"")</f>
        <v/>
      </c>
      <c r="H924" s="26">
        <f>IF($N924&lt;&gt;"",IF(INDEX(PCNet,$N924)=0,"",INDEX(PCNet,$N924)),"")</f>
        <v/>
      </c>
      <c r="I924" s="25">
        <f>IF($N924&lt;&gt;"",IF(INDEX(PCOp,$N924)="مرجوعی خرید","",IF(INDEX(PCAmount,$N924)&lt;=0,"",INDEX(PCAmount,$N924))),IF($O924&lt;&gt;"",IF(INDEX(TxnDepB,$O924)=0,"",INDEX(TxnDepB,$O924)),""))</f>
        <v/>
      </c>
      <c r="J924" s="25">
        <f>IF($N924&lt;&gt;"",IF(INDEX(PCOp,$N924)="مرجوعی خرید",IF(INDEX(PCAmount,$N924)=0,"",-INDEX(PCAmount,$N924)),""),IF($O924&lt;&gt;"",IF(INDEX(TxnWitB,$O924)=0,"",INDEX(TxnWitB,$O924)),""))</f>
        <v/>
      </c>
      <c r="K924" s="27">
        <f>IF($B924="","",IF($K923="",$C$10,$K923)+IF($I924="",0,$I924)-IF($J924="",0,$J924))</f>
        <v/>
      </c>
      <c r="L924" s="28">
        <f>IF($N924&lt;&gt;"",IF(INDEX(PCNotes,$N924)="","—",INDEX(PCNotes,$N924)),IF($O924&lt;&gt;"",IF(INDEX(LdgNoteB,$O924)="","—",INDEX(LdgNoteB,$O924)),""))</f>
        <v/>
      </c>
      <c r="N924">
        <f>IFERROR(MATCH($C$5&amp;"|"&amp;RIGHT("000000"&amp;908,6),LdgRankKeyA,0),"")</f>
        <v/>
      </c>
      <c r="O924">
        <f>IFERROR(MATCH($C$5&amp;"|"&amp;RIGHT("000000"&amp;908,6),LdgRankKeyB,0),"")</f>
        <v/>
      </c>
    </row>
    <row r="925">
      <c r="A925" s="17" t="n">
        <v>909</v>
      </c>
      <c r="B925" s="18">
        <f>IF(AND($N925="",$O925=""),"",IF($N925&lt;&gt;"",INDEX(PCNormDate,$N925),INDEX(LdgDateB,$O925)))</f>
        <v/>
      </c>
      <c r="C925" s="18">
        <f>IF($N925&lt;&gt;"",INDEX(PCOp,$N925),IF($O925&lt;&gt;"",IF(N(INDEX(TxnDepB,$O925))&gt;0,"دریافت بانکی","پرداخت بانکی"),""))</f>
        <v/>
      </c>
      <c r="D925" s="18">
        <f>IF($N925&lt;&gt;"",IF(INDEX(PCDoc,$N925)="","—",INDEX(PCDoc,$N925)),IF($O925&lt;&gt;"",INDEX(LdgBankB,$O925),""))</f>
        <v/>
      </c>
      <c r="E925" s="18">
        <f>IF($N925&lt;&gt;"",IF(INDEX(PCCitrus,$N925)="","—",INDEX(PCCitrus,$N925)),"")</f>
        <v/>
      </c>
      <c r="F925" s="19">
        <f>IF($N925&lt;&gt;"",IF(INDEX(PCScale,$N925)=0,"",INDEX(PCScale,$N925)),"")</f>
        <v/>
      </c>
      <c r="G925" s="19">
        <f>IF($N925&lt;&gt;"",IF(INDEX(PCBaskets,$N925)=0,"",INDEX(PCBaskets,$N925)),"")</f>
        <v/>
      </c>
      <c r="H925" s="20">
        <f>IF($N925&lt;&gt;"",IF(INDEX(PCNet,$N925)=0,"",INDEX(PCNet,$N925)),"")</f>
        <v/>
      </c>
      <c r="I925" s="19">
        <f>IF($N925&lt;&gt;"",IF(INDEX(PCOp,$N925)="مرجوعی خرید","",IF(INDEX(PCAmount,$N925)&lt;=0,"",INDEX(PCAmount,$N925))),IF($O925&lt;&gt;"",IF(INDEX(TxnDepB,$O925)=0,"",INDEX(TxnDepB,$O925)),""))</f>
        <v/>
      </c>
      <c r="J925" s="19">
        <f>IF($N925&lt;&gt;"",IF(INDEX(PCOp,$N925)="مرجوعی خرید",IF(INDEX(PCAmount,$N925)=0,"",-INDEX(PCAmount,$N925)),""),IF($O925&lt;&gt;"",IF(INDEX(TxnWitB,$O925)=0,"",INDEX(TxnWitB,$O925)),""))</f>
        <v/>
      </c>
      <c r="K925" s="21">
        <f>IF($B925="","",IF($K924="",$C$10,$K924)+IF($I925="",0,$I925)-IF($J925="",0,$J925))</f>
        <v/>
      </c>
      <c r="L925" s="22">
        <f>IF($N925&lt;&gt;"",IF(INDEX(PCNotes,$N925)="","—",INDEX(PCNotes,$N925)),IF($O925&lt;&gt;"",IF(INDEX(LdgNoteB,$O925)="","—",INDEX(LdgNoteB,$O925)),""))</f>
        <v/>
      </c>
      <c r="N925">
        <f>IFERROR(MATCH($C$5&amp;"|"&amp;RIGHT("000000"&amp;909,6),LdgRankKeyA,0),"")</f>
        <v/>
      </c>
      <c r="O925">
        <f>IFERROR(MATCH($C$5&amp;"|"&amp;RIGHT("000000"&amp;909,6),LdgRankKeyB,0),"")</f>
        <v/>
      </c>
    </row>
    <row r="926">
      <c r="A926" s="23" t="n">
        <v>910</v>
      </c>
      <c r="B926" s="24">
        <f>IF(AND($N926="",$O926=""),"",IF($N926&lt;&gt;"",INDEX(PCNormDate,$N926),INDEX(LdgDateB,$O926)))</f>
        <v/>
      </c>
      <c r="C926" s="24">
        <f>IF($N926&lt;&gt;"",INDEX(PCOp,$N926),IF($O926&lt;&gt;"",IF(N(INDEX(TxnDepB,$O926))&gt;0,"دریافت بانکی","پرداخت بانکی"),""))</f>
        <v/>
      </c>
      <c r="D926" s="24">
        <f>IF($N926&lt;&gt;"",IF(INDEX(PCDoc,$N926)="","—",INDEX(PCDoc,$N926)),IF($O926&lt;&gt;"",INDEX(LdgBankB,$O926),""))</f>
        <v/>
      </c>
      <c r="E926" s="24">
        <f>IF($N926&lt;&gt;"",IF(INDEX(PCCitrus,$N926)="","—",INDEX(PCCitrus,$N926)),"")</f>
        <v/>
      </c>
      <c r="F926" s="25">
        <f>IF($N926&lt;&gt;"",IF(INDEX(PCScale,$N926)=0,"",INDEX(PCScale,$N926)),"")</f>
        <v/>
      </c>
      <c r="G926" s="25">
        <f>IF($N926&lt;&gt;"",IF(INDEX(PCBaskets,$N926)=0,"",INDEX(PCBaskets,$N926)),"")</f>
        <v/>
      </c>
      <c r="H926" s="26">
        <f>IF($N926&lt;&gt;"",IF(INDEX(PCNet,$N926)=0,"",INDEX(PCNet,$N926)),"")</f>
        <v/>
      </c>
      <c r="I926" s="25">
        <f>IF($N926&lt;&gt;"",IF(INDEX(PCOp,$N926)="مرجوعی خرید","",IF(INDEX(PCAmount,$N926)&lt;=0,"",INDEX(PCAmount,$N926))),IF($O926&lt;&gt;"",IF(INDEX(TxnDepB,$O926)=0,"",INDEX(TxnDepB,$O926)),""))</f>
        <v/>
      </c>
      <c r="J926" s="25">
        <f>IF($N926&lt;&gt;"",IF(INDEX(PCOp,$N926)="مرجوعی خرید",IF(INDEX(PCAmount,$N926)=0,"",-INDEX(PCAmount,$N926)),""),IF($O926&lt;&gt;"",IF(INDEX(TxnWitB,$O926)=0,"",INDEX(TxnWitB,$O926)),""))</f>
        <v/>
      </c>
      <c r="K926" s="27">
        <f>IF($B926="","",IF($K925="",$C$10,$K925)+IF($I926="",0,$I926)-IF($J926="",0,$J926))</f>
        <v/>
      </c>
      <c r="L926" s="28">
        <f>IF($N926&lt;&gt;"",IF(INDEX(PCNotes,$N926)="","—",INDEX(PCNotes,$N926)),IF($O926&lt;&gt;"",IF(INDEX(LdgNoteB,$O926)="","—",INDEX(LdgNoteB,$O926)),""))</f>
        <v/>
      </c>
      <c r="N926">
        <f>IFERROR(MATCH($C$5&amp;"|"&amp;RIGHT("000000"&amp;910,6),LdgRankKeyA,0),"")</f>
        <v/>
      </c>
      <c r="O926">
        <f>IFERROR(MATCH($C$5&amp;"|"&amp;RIGHT("000000"&amp;910,6),LdgRankKeyB,0),"")</f>
        <v/>
      </c>
    </row>
    <row r="927">
      <c r="A927" s="17" t="n">
        <v>911</v>
      </c>
      <c r="B927" s="18">
        <f>IF(AND($N927="",$O927=""),"",IF($N927&lt;&gt;"",INDEX(PCNormDate,$N927),INDEX(LdgDateB,$O927)))</f>
        <v/>
      </c>
      <c r="C927" s="18">
        <f>IF($N927&lt;&gt;"",INDEX(PCOp,$N927),IF($O927&lt;&gt;"",IF(N(INDEX(TxnDepB,$O927))&gt;0,"دریافت بانکی","پرداخت بانکی"),""))</f>
        <v/>
      </c>
      <c r="D927" s="18">
        <f>IF($N927&lt;&gt;"",IF(INDEX(PCDoc,$N927)="","—",INDEX(PCDoc,$N927)),IF($O927&lt;&gt;"",INDEX(LdgBankB,$O927),""))</f>
        <v/>
      </c>
      <c r="E927" s="18">
        <f>IF($N927&lt;&gt;"",IF(INDEX(PCCitrus,$N927)="","—",INDEX(PCCitrus,$N927)),"")</f>
        <v/>
      </c>
      <c r="F927" s="19">
        <f>IF($N927&lt;&gt;"",IF(INDEX(PCScale,$N927)=0,"",INDEX(PCScale,$N927)),"")</f>
        <v/>
      </c>
      <c r="G927" s="19">
        <f>IF($N927&lt;&gt;"",IF(INDEX(PCBaskets,$N927)=0,"",INDEX(PCBaskets,$N927)),"")</f>
        <v/>
      </c>
      <c r="H927" s="20">
        <f>IF($N927&lt;&gt;"",IF(INDEX(PCNet,$N927)=0,"",INDEX(PCNet,$N927)),"")</f>
        <v/>
      </c>
      <c r="I927" s="19">
        <f>IF($N927&lt;&gt;"",IF(INDEX(PCOp,$N927)="مرجوعی خرید","",IF(INDEX(PCAmount,$N927)&lt;=0,"",INDEX(PCAmount,$N927))),IF($O927&lt;&gt;"",IF(INDEX(TxnDepB,$O927)=0,"",INDEX(TxnDepB,$O927)),""))</f>
        <v/>
      </c>
      <c r="J927" s="19">
        <f>IF($N927&lt;&gt;"",IF(INDEX(PCOp,$N927)="مرجوعی خرید",IF(INDEX(PCAmount,$N927)=0,"",-INDEX(PCAmount,$N927)),""),IF($O927&lt;&gt;"",IF(INDEX(TxnWitB,$O927)=0,"",INDEX(TxnWitB,$O927)),""))</f>
        <v/>
      </c>
      <c r="K927" s="21">
        <f>IF($B927="","",IF($K926="",$C$10,$K926)+IF($I927="",0,$I927)-IF($J927="",0,$J927))</f>
        <v/>
      </c>
      <c r="L927" s="22">
        <f>IF($N927&lt;&gt;"",IF(INDEX(PCNotes,$N927)="","—",INDEX(PCNotes,$N927)),IF($O927&lt;&gt;"",IF(INDEX(LdgNoteB,$O927)="","—",INDEX(LdgNoteB,$O927)),""))</f>
        <v/>
      </c>
      <c r="N927">
        <f>IFERROR(MATCH($C$5&amp;"|"&amp;RIGHT("000000"&amp;911,6),LdgRankKeyA,0),"")</f>
        <v/>
      </c>
      <c r="O927">
        <f>IFERROR(MATCH($C$5&amp;"|"&amp;RIGHT("000000"&amp;911,6),LdgRankKeyB,0),"")</f>
        <v/>
      </c>
    </row>
    <row r="928">
      <c r="A928" s="23" t="n">
        <v>912</v>
      </c>
      <c r="B928" s="24">
        <f>IF(AND($N928="",$O928=""),"",IF($N928&lt;&gt;"",INDEX(PCNormDate,$N928),INDEX(LdgDateB,$O928)))</f>
        <v/>
      </c>
      <c r="C928" s="24">
        <f>IF($N928&lt;&gt;"",INDEX(PCOp,$N928),IF($O928&lt;&gt;"",IF(N(INDEX(TxnDepB,$O928))&gt;0,"دریافت بانکی","پرداخت بانکی"),""))</f>
        <v/>
      </c>
      <c r="D928" s="24">
        <f>IF($N928&lt;&gt;"",IF(INDEX(PCDoc,$N928)="","—",INDEX(PCDoc,$N928)),IF($O928&lt;&gt;"",INDEX(LdgBankB,$O928),""))</f>
        <v/>
      </c>
      <c r="E928" s="24">
        <f>IF($N928&lt;&gt;"",IF(INDEX(PCCitrus,$N928)="","—",INDEX(PCCitrus,$N928)),"")</f>
        <v/>
      </c>
      <c r="F928" s="25">
        <f>IF($N928&lt;&gt;"",IF(INDEX(PCScale,$N928)=0,"",INDEX(PCScale,$N928)),"")</f>
        <v/>
      </c>
      <c r="G928" s="25">
        <f>IF($N928&lt;&gt;"",IF(INDEX(PCBaskets,$N928)=0,"",INDEX(PCBaskets,$N928)),"")</f>
        <v/>
      </c>
      <c r="H928" s="26">
        <f>IF($N928&lt;&gt;"",IF(INDEX(PCNet,$N928)=0,"",INDEX(PCNet,$N928)),"")</f>
        <v/>
      </c>
      <c r="I928" s="25">
        <f>IF($N928&lt;&gt;"",IF(INDEX(PCOp,$N928)="مرجوعی خرید","",IF(INDEX(PCAmount,$N928)&lt;=0,"",INDEX(PCAmount,$N928))),IF($O928&lt;&gt;"",IF(INDEX(TxnDepB,$O928)=0,"",INDEX(TxnDepB,$O928)),""))</f>
        <v/>
      </c>
      <c r="J928" s="25">
        <f>IF($N928&lt;&gt;"",IF(INDEX(PCOp,$N928)="مرجوعی خرید",IF(INDEX(PCAmount,$N928)=0,"",-INDEX(PCAmount,$N928)),""),IF($O928&lt;&gt;"",IF(INDEX(TxnWitB,$O928)=0,"",INDEX(TxnWitB,$O928)),""))</f>
        <v/>
      </c>
      <c r="K928" s="27">
        <f>IF($B928="","",IF($K927="",$C$10,$K927)+IF($I928="",0,$I928)-IF($J928="",0,$J928))</f>
        <v/>
      </c>
      <c r="L928" s="28">
        <f>IF($N928&lt;&gt;"",IF(INDEX(PCNotes,$N928)="","—",INDEX(PCNotes,$N928)),IF($O928&lt;&gt;"",IF(INDEX(LdgNoteB,$O928)="","—",INDEX(LdgNoteB,$O928)),""))</f>
        <v/>
      </c>
      <c r="N928">
        <f>IFERROR(MATCH($C$5&amp;"|"&amp;RIGHT("000000"&amp;912,6),LdgRankKeyA,0),"")</f>
        <v/>
      </c>
      <c r="O928">
        <f>IFERROR(MATCH($C$5&amp;"|"&amp;RIGHT("000000"&amp;912,6),LdgRankKeyB,0),"")</f>
        <v/>
      </c>
    </row>
    <row r="929">
      <c r="A929" s="17" t="n">
        <v>913</v>
      </c>
      <c r="B929" s="18">
        <f>IF(AND($N929="",$O929=""),"",IF($N929&lt;&gt;"",INDEX(PCNormDate,$N929),INDEX(LdgDateB,$O929)))</f>
        <v/>
      </c>
      <c r="C929" s="18">
        <f>IF($N929&lt;&gt;"",INDEX(PCOp,$N929),IF($O929&lt;&gt;"",IF(N(INDEX(TxnDepB,$O929))&gt;0,"دریافت بانکی","پرداخت بانکی"),""))</f>
        <v/>
      </c>
      <c r="D929" s="18">
        <f>IF($N929&lt;&gt;"",IF(INDEX(PCDoc,$N929)="","—",INDEX(PCDoc,$N929)),IF($O929&lt;&gt;"",INDEX(LdgBankB,$O929),""))</f>
        <v/>
      </c>
      <c r="E929" s="18">
        <f>IF($N929&lt;&gt;"",IF(INDEX(PCCitrus,$N929)="","—",INDEX(PCCitrus,$N929)),"")</f>
        <v/>
      </c>
      <c r="F929" s="19">
        <f>IF($N929&lt;&gt;"",IF(INDEX(PCScale,$N929)=0,"",INDEX(PCScale,$N929)),"")</f>
        <v/>
      </c>
      <c r="G929" s="19">
        <f>IF($N929&lt;&gt;"",IF(INDEX(PCBaskets,$N929)=0,"",INDEX(PCBaskets,$N929)),"")</f>
        <v/>
      </c>
      <c r="H929" s="20">
        <f>IF($N929&lt;&gt;"",IF(INDEX(PCNet,$N929)=0,"",INDEX(PCNet,$N929)),"")</f>
        <v/>
      </c>
      <c r="I929" s="19">
        <f>IF($N929&lt;&gt;"",IF(INDEX(PCOp,$N929)="مرجوعی خرید","",IF(INDEX(PCAmount,$N929)&lt;=0,"",INDEX(PCAmount,$N929))),IF($O929&lt;&gt;"",IF(INDEX(TxnDepB,$O929)=0,"",INDEX(TxnDepB,$O929)),""))</f>
        <v/>
      </c>
      <c r="J929" s="19">
        <f>IF($N929&lt;&gt;"",IF(INDEX(PCOp,$N929)="مرجوعی خرید",IF(INDEX(PCAmount,$N929)=0,"",-INDEX(PCAmount,$N929)),""),IF($O929&lt;&gt;"",IF(INDEX(TxnWitB,$O929)=0,"",INDEX(TxnWitB,$O929)),""))</f>
        <v/>
      </c>
      <c r="K929" s="21">
        <f>IF($B929="","",IF($K928="",$C$10,$K928)+IF($I929="",0,$I929)-IF($J929="",0,$J929))</f>
        <v/>
      </c>
      <c r="L929" s="22">
        <f>IF($N929&lt;&gt;"",IF(INDEX(PCNotes,$N929)="","—",INDEX(PCNotes,$N929)),IF($O929&lt;&gt;"",IF(INDEX(LdgNoteB,$O929)="","—",INDEX(LdgNoteB,$O929)),""))</f>
        <v/>
      </c>
      <c r="N929">
        <f>IFERROR(MATCH($C$5&amp;"|"&amp;RIGHT("000000"&amp;913,6),LdgRankKeyA,0),"")</f>
        <v/>
      </c>
      <c r="O929">
        <f>IFERROR(MATCH($C$5&amp;"|"&amp;RIGHT("000000"&amp;913,6),LdgRankKeyB,0),"")</f>
        <v/>
      </c>
    </row>
    <row r="930">
      <c r="A930" s="23" t="n">
        <v>914</v>
      </c>
      <c r="B930" s="24">
        <f>IF(AND($N930="",$O930=""),"",IF($N930&lt;&gt;"",INDEX(PCNormDate,$N930),INDEX(LdgDateB,$O930)))</f>
        <v/>
      </c>
      <c r="C930" s="24">
        <f>IF($N930&lt;&gt;"",INDEX(PCOp,$N930),IF($O930&lt;&gt;"",IF(N(INDEX(TxnDepB,$O930))&gt;0,"دریافت بانکی","پرداخت بانکی"),""))</f>
        <v/>
      </c>
      <c r="D930" s="24">
        <f>IF($N930&lt;&gt;"",IF(INDEX(PCDoc,$N930)="","—",INDEX(PCDoc,$N930)),IF($O930&lt;&gt;"",INDEX(LdgBankB,$O930),""))</f>
        <v/>
      </c>
      <c r="E930" s="24">
        <f>IF($N930&lt;&gt;"",IF(INDEX(PCCitrus,$N930)="","—",INDEX(PCCitrus,$N930)),"")</f>
        <v/>
      </c>
      <c r="F930" s="25">
        <f>IF($N930&lt;&gt;"",IF(INDEX(PCScale,$N930)=0,"",INDEX(PCScale,$N930)),"")</f>
        <v/>
      </c>
      <c r="G930" s="25">
        <f>IF($N930&lt;&gt;"",IF(INDEX(PCBaskets,$N930)=0,"",INDEX(PCBaskets,$N930)),"")</f>
        <v/>
      </c>
      <c r="H930" s="26">
        <f>IF($N930&lt;&gt;"",IF(INDEX(PCNet,$N930)=0,"",INDEX(PCNet,$N930)),"")</f>
        <v/>
      </c>
      <c r="I930" s="25">
        <f>IF($N930&lt;&gt;"",IF(INDEX(PCOp,$N930)="مرجوعی خرید","",IF(INDEX(PCAmount,$N930)&lt;=0,"",INDEX(PCAmount,$N930))),IF($O930&lt;&gt;"",IF(INDEX(TxnDepB,$O930)=0,"",INDEX(TxnDepB,$O930)),""))</f>
        <v/>
      </c>
      <c r="J930" s="25">
        <f>IF($N930&lt;&gt;"",IF(INDEX(PCOp,$N930)="مرجوعی خرید",IF(INDEX(PCAmount,$N930)=0,"",-INDEX(PCAmount,$N930)),""),IF($O930&lt;&gt;"",IF(INDEX(TxnWitB,$O930)=0,"",INDEX(TxnWitB,$O930)),""))</f>
        <v/>
      </c>
      <c r="K930" s="27">
        <f>IF($B930="","",IF($K929="",$C$10,$K929)+IF($I930="",0,$I930)-IF($J930="",0,$J930))</f>
        <v/>
      </c>
      <c r="L930" s="28">
        <f>IF($N930&lt;&gt;"",IF(INDEX(PCNotes,$N930)="","—",INDEX(PCNotes,$N930)),IF($O930&lt;&gt;"",IF(INDEX(LdgNoteB,$O930)="","—",INDEX(LdgNoteB,$O930)),""))</f>
        <v/>
      </c>
      <c r="N930">
        <f>IFERROR(MATCH($C$5&amp;"|"&amp;RIGHT("000000"&amp;914,6),LdgRankKeyA,0),"")</f>
        <v/>
      </c>
      <c r="O930">
        <f>IFERROR(MATCH($C$5&amp;"|"&amp;RIGHT("000000"&amp;914,6),LdgRankKeyB,0),"")</f>
        <v/>
      </c>
    </row>
    <row r="931">
      <c r="A931" s="17" t="n">
        <v>915</v>
      </c>
      <c r="B931" s="18">
        <f>IF(AND($N931="",$O931=""),"",IF($N931&lt;&gt;"",INDEX(PCNormDate,$N931),INDEX(LdgDateB,$O931)))</f>
        <v/>
      </c>
      <c r="C931" s="18">
        <f>IF($N931&lt;&gt;"",INDEX(PCOp,$N931),IF($O931&lt;&gt;"",IF(N(INDEX(TxnDepB,$O931))&gt;0,"دریافت بانکی","پرداخت بانکی"),""))</f>
        <v/>
      </c>
      <c r="D931" s="18">
        <f>IF($N931&lt;&gt;"",IF(INDEX(PCDoc,$N931)="","—",INDEX(PCDoc,$N931)),IF($O931&lt;&gt;"",INDEX(LdgBankB,$O931),""))</f>
        <v/>
      </c>
      <c r="E931" s="18">
        <f>IF($N931&lt;&gt;"",IF(INDEX(PCCitrus,$N931)="","—",INDEX(PCCitrus,$N931)),"")</f>
        <v/>
      </c>
      <c r="F931" s="19">
        <f>IF($N931&lt;&gt;"",IF(INDEX(PCScale,$N931)=0,"",INDEX(PCScale,$N931)),"")</f>
        <v/>
      </c>
      <c r="G931" s="19">
        <f>IF($N931&lt;&gt;"",IF(INDEX(PCBaskets,$N931)=0,"",INDEX(PCBaskets,$N931)),"")</f>
        <v/>
      </c>
      <c r="H931" s="20">
        <f>IF($N931&lt;&gt;"",IF(INDEX(PCNet,$N931)=0,"",INDEX(PCNet,$N931)),"")</f>
        <v/>
      </c>
      <c r="I931" s="19">
        <f>IF($N931&lt;&gt;"",IF(INDEX(PCOp,$N931)="مرجوعی خرید","",IF(INDEX(PCAmount,$N931)&lt;=0,"",INDEX(PCAmount,$N931))),IF($O931&lt;&gt;"",IF(INDEX(TxnDepB,$O931)=0,"",INDEX(TxnDepB,$O931)),""))</f>
        <v/>
      </c>
      <c r="J931" s="19">
        <f>IF($N931&lt;&gt;"",IF(INDEX(PCOp,$N931)="مرجوعی خرید",IF(INDEX(PCAmount,$N931)=0,"",-INDEX(PCAmount,$N931)),""),IF($O931&lt;&gt;"",IF(INDEX(TxnWitB,$O931)=0,"",INDEX(TxnWitB,$O931)),""))</f>
        <v/>
      </c>
      <c r="K931" s="21">
        <f>IF($B931="","",IF($K930="",$C$10,$K930)+IF($I931="",0,$I931)-IF($J931="",0,$J931))</f>
        <v/>
      </c>
      <c r="L931" s="22">
        <f>IF($N931&lt;&gt;"",IF(INDEX(PCNotes,$N931)="","—",INDEX(PCNotes,$N931)),IF($O931&lt;&gt;"",IF(INDEX(LdgNoteB,$O931)="","—",INDEX(LdgNoteB,$O931)),""))</f>
        <v/>
      </c>
      <c r="N931">
        <f>IFERROR(MATCH($C$5&amp;"|"&amp;RIGHT("000000"&amp;915,6),LdgRankKeyA,0),"")</f>
        <v/>
      </c>
      <c r="O931">
        <f>IFERROR(MATCH($C$5&amp;"|"&amp;RIGHT("000000"&amp;915,6),LdgRankKeyB,0),"")</f>
        <v/>
      </c>
    </row>
    <row r="932">
      <c r="A932" s="23" t="n">
        <v>916</v>
      </c>
      <c r="B932" s="24">
        <f>IF(AND($N932="",$O932=""),"",IF($N932&lt;&gt;"",INDEX(PCNormDate,$N932),INDEX(LdgDateB,$O932)))</f>
        <v/>
      </c>
      <c r="C932" s="24">
        <f>IF($N932&lt;&gt;"",INDEX(PCOp,$N932),IF($O932&lt;&gt;"",IF(N(INDEX(TxnDepB,$O932))&gt;0,"دریافت بانکی","پرداخت بانکی"),""))</f>
        <v/>
      </c>
      <c r="D932" s="24">
        <f>IF($N932&lt;&gt;"",IF(INDEX(PCDoc,$N932)="","—",INDEX(PCDoc,$N932)),IF($O932&lt;&gt;"",INDEX(LdgBankB,$O932),""))</f>
        <v/>
      </c>
      <c r="E932" s="24">
        <f>IF($N932&lt;&gt;"",IF(INDEX(PCCitrus,$N932)="","—",INDEX(PCCitrus,$N932)),"")</f>
        <v/>
      </c>
      <c r="F932" s="25">
        <f>IF($N932&lt;&gt;"",IF(INDEX(PCScale,$N932)=0,"",INDEX(PCScale,$N932)),"")</f>
        <v/>
      </c>
      <c r="G932" s="25">
        <f>IF($N932&lt;&gt;"",IF(INDEX(PCBaskets,$N932)=0,"",INDEX(PCBaskets,$N932)),"")</f>
        <v/>
      </c>
      <c r="H932" s="26">
        <f>IF($N932&lt;&gt;"",IF(INDEX(PCNet,$N932)=0,"",INDEX(PCNet,$N932)),"")</f>
        <v/>
      </c>
      <c r="I932" s="25">
        <f>IF($N932&lt;&gt;"",IF(INDEX(PCOp,$N932)="مرجوعی خرید","",IF(INDEX(PCAmount,$N932)&lt;=0,"",INDEX(PCAmount,$N932))),IF($O932&lt;&gt;"",IF(INDEX(TxnDepB,$O932)=0,"",INDEX(TxnDepB,$O932)),""))</f>
        <v/>
      </c>
      <c r="J932" s="25">
        <f>IF($N932&lt;&gt;"",IF(INDEX(PCOp,$N932)="مرجوعی خرید",IF(INDEX(PCAmount,$N932)=0,"",-INDEX(PCAmount,$N932)),""),IF($O932&lt;&gt;"",IF(INDEX(TxnWitB,$O932)=0,"",INDEX(TxnWitB,$O932)),""))</f>
        <v/>
      </c>
      <c r="K932" s="27">
        <f>IF($B932="","",IF($K931="",$C$10,$K931)+IF($I932="",0,$I932)-IF($J932="",0,$J932))</f>
        <v/>
      </c>
      <c r="L932" s="28">
        <f>IF($N932&lt;&gt;"",IF(INDEX(PCNotes,$N932)="","—",INDEX(PCNotes,$N932)),IF($O932&lt;&gt;"",IF(INDEX(LdgNoteB,$O932)="","—",INDEX(LdgNoteB,$O932)),""))</f>
        <v/>
      </c>
      <c r="N932">
        <f>IFERROR(MATCH($C$5&amp;"|"&amp;RIGHT("000000"&amp;916,6),LdgRankKeyA,0),"")</f>
        <v/>
      </c>
      <c r="O932">
        <f>IFERROR(MATCH($C$5&amp;"|"&amp;RIGHT("000000"&amp;916,6),LdgRankKeyB,0),"")</f>
        <v/>
      </c>
    </row>
    <row r="933">
      <c r="A933" s="17" t="n">
        <v>917</v>
      </c>
      <c r="B933" s="18">
        <f>IF(AND($N933="",$O933=""),"",IF($N933&lt;&gt;"",INDEX(PCNormDate,$N933),INDEX(LdgDateB,$O933)))</f>
        <v/>
      </c>
      <c r="C933" s="18">
        <f>IF($N933&lt;&gt;"",INDEX(PCOp,$N933),IF($O933&lt;&gt;"",IF(N(INDEX(TxnDepB,$O933))&gt;0,"دریافت بانکی","پرداخت بانکی"),""))</f>
        <v/>
      </c>
      <c r="D933" s="18">
        <f>IF($N933&lt;&gt;"",IF(INDEX(PCDoc,$N933)="","—",INDEX(PCDoc,$N933)),IF($O933&lt;&gt;"",INDEX(LdgBankB,$O933),""))</f>
        <v/>
      </c>
      <c r="E933" s="18">
        <f>IF($N933&lt;&gt;"",IF(INDEX(PCCitrus,$N933)="","—",INDEX(PCCitrus,$N933)),"")</f>
        <v/>
      </c>
      <c r="F933" s="19">
        <f>IF($N933&lt;&gt;"",IF(INDEX(PCScale,$N933)=0,"",INDEX(PCScale,$N933)),"")</f>
        <v/>
      </c>
      <c r="G933" s="19">
        <f>IF($N933&lt;&gt;"",IF(INDEX(PCBaskets,$N933)=0,"",INDEX(PCBaskets,$N933)),"")</f>
        <v/>
      </c>
      <c r="H933" s="20">
        <f>IF($N933&lt;&gt;"",IF(INDEX(PCNet,$N933)=0,"",INDEX(PCNet,$N933)),"")</f>
        <v/>
      </c>
      <c r="I933" s="19">
        <f>IF($N933&lt;&gt;"",IF(INDEX(PCOp,$N933)="مرجوعی خرید","",IF(INDEX(PCAmount,$N933)&lt;=0,"",INDEX(PCAmount,$N933))),IF($O933&lt;&gt;"",IF(INDEX(TxnDepB,$O933)=0,"",INDEX(TxnDepB,$O933)),""))</f>
        <v/>
      </c>
      <c r="J933" s="19">
        <f>IF($N933&lt;&gt;"",IF(INDEX(PCOp,$N933)="مرجوعی خرید",IF(INDEX(PCAmount,$N933)=0,"",-INDEX(PCAmount,$N933)),""),IF($O933&lt;&gt;"",IF(INDEX(TxnWitB,$O933)=0,"",INDEX(TxnWitB,$O933)),""))</f>
        <v/>
      </c>
      <c r="K933" s="21">
        <f>IF($B933="","",IF($K932="",$C$10,$K932)+IF($I933="",0,$I933)-IF($J933="",0,$J933))</f>
        <v/>
      </c>
      <c r="L933" s="22">
        <f>IF($N933&lt;&gt;"",IF(INDEX(PCNotes,$N933)="","—",INDEX(PCNotes,$N933)),IF($O933&lt;&gt;"",IF(INDEX(LdgNoteB,$O933)="","—",INDEX(LdgNoteB,$O933)),""))</f>
        <v/>
      </c>
      <c r="N933">
        <f>IFERROR(MATCH($C$5&amp;"|"&amp;RIGHT("000000"&amp;917,6),LdgRankKeyA,0),"")</f>
        <v/>
      </c>
      <c r="O933">
        <f>IFERROR(MATCH($C$5&amp;"|"&amp;RIGHT("000000"&amp;917,6),LdgRankKeyB,0),"")</f>
        <v/>
      </c>
    </row>
    <row r="934">
      <c r="A934" s="23" t="n">
        <v>918</v>
      </c>
      <c r="B934" s="24">
        <f>IF(AND($N934="",$O934=""),"",IF($N934&lt;&gt;"",INDEX(PCNormDate,$N934),INDEX(LdgDateB,$O934)))</f>
        <v/>
      </c>
      <c r="C934" s="24">
        <f>IF($N934&lt;&gt;"",INDEX(PCOp,$N934),IF($O934&lt;&gt;"",IF(N(INDEX(TxnDepB,$O934))&gt;0,"دریافت بانکی","پرداخت بانکی"),""))</f>
        <v/>
      </c>
      <c r="D934" s="24">
        <f>IF($N934&lt;&gt;"",IF(INDEX(PCDoc,$N934)="","—",INDEX(PCDoc,$N934)),IF($O934&lt;&gt;"",INDEX(LdgBankB,$O934),""))</f>
        <v/>
      </c>
      <c r="E934" s="24">
        <f>IF($N934&lt;&gt;"",IF(INDEX(PCCitrus,$N934)="","—",INDEX(PCCitrus,$N934)),"")</f>
        <v/>
      </c>
      <c r="F934" s="25">
        <f>IF($N934&lt;&gt;"",IF(INDEX(PCScale,$N934)=0,"",INDEX(PCScale,$N934)),"")</f>
        <v/>
      </c>
      <c r="G934" s="25">
        <f>IF($N934&lt;&gt;"",IF(INDEX(PCBaskets,$N934)=0,"",INDEX(PCBaskets,$N934)),"")</f>
        <v/>
      </c>
      <c r="H934" s="26">
        <f>IF($N934&lt;&gt;"",IF(INDEX(PCNet,$N934)=0,"",INDEX(PCNet,$N934)),"")</f>
        <v/>
      </c>
      <c r="I934" s="25">
        <f>IF($N934&lt;&gt;"",IF(INDEX(PCOp,$N934)="مرجوعی خرید","",IF(INDEX(PCAmount,$N934)&lt;=0,"",INDEX(PCAmount,$N934))),IF($O934&lt;&gt;"",IF(INDEX(TxnDepB,$O934)=0,"",INDEX(TxnDepB,$O934)),""))</f>
        <v/>
      </c>
      <c r="J934" s="25">
        <f>IF($N934&lt;&gt;"",IF(INDEX(PCOp,$N934)="مرجوعی خرید",IF(INDEX(PCAmount,$N934)=0,"",-INDEX(PCAmount,$N934)),""),IF($O934&lt;&gt;"",IF(INDEX(TxnWitB,$O934)=0,"",INDEX(TxnWitB,$O934)),""))</f>
        <v/>
      </c>
      <c r="K934" s="27">
        <f>IF($B934="","",IF($K933="",$C$10,$K933)+IF($I934="",0,$I934)-IF($J934="",0,$J934))</f>
        <v/>
      </c>
      <c r="L934" s="28">
        <f>IF($N934&lt;&gt;"",IF(INDEX(PCNotes,$N934)="","—",INDEX(PCNotes,$N934)),IF($O934&lt;&gt;"",IF(INDEX(LdgNoteB,$O934)="","—",INDEX(LdgNoteB,$O934)),""))</f>
        <v/>
      </c>
      <c r="N934">
        <f>IFERROR(MATCH($C$5&amp;"|"&amp;RIGHT("000000"&amp;918,6),LdgRankKeyA,0),"")</f>
        <v/>
      </c>
      <c r="O934">
        <f>IFERROR(MATCH($C$5&amp;"|"&amp;RIGHT("000000"&amp;918,6),LdgRankKeyB,0),"")</f>
        <v/>
      </c>
    </row>
    <row r="935">
      <c r="A935" s="17" t="n">
        <v>919</v>
      </c>
      <c r="B935" s="18">
        <f>IF(AND($N935="",$O935=""),"",IF($N935&lt;&gt;"",INDEX(PCNormDate,$N935),INDEX(LdgDateB,$O935)))</f>
        <v/>
      </c>
      <c r="C935" s="18">
        <f>IF($N935&lt;&gt;"",INDEX(PCOp,$N935),IF($O935&lt;&gt;"",IF(N(INDEX(TxnDepB,$O935))&gt;0,"دریافت بانکی","پرداخت بانکی"),""))</f>
        <v/>
      </c>
      <c r="D935" s="18">
        <f>IF($N935&lt;&gt;"",IF(INDEX(PCDoc,$N935)="","—",INDEX(PCDoc,$N935)),IF($O935&lt;&gt;"",INDEX(LdgBankB,$O935),""))</f>
        <v/>
      </c>
      <c r="E935" s="18">
        <f>IF($N935&lt;&gt;"",IF(INDEX(PCCitrus,$N935)="","—",INDEX(PCCitrus,$N935)),"")</f>
        <v/>
      </c>
      <c r="F935" s="19">
        <f>IF($N935&lt;&gt;"",IF(INDEX(PCScale,$N935)=0,"",INDEX(PCScale,$N935)),"")</f>
        <v/>
      </c>
      <c r="G935" s="19">
        <f>IF($N935&lt;&gt;"",IF(INDEX(PCBaskets,$N935)=0,"",INDEX(PCBaskets,$N935)),"")</f>
        <v/>
      </c>
      <c r="H935" s="20">
        <f>IF($N935&lt;&gt;"",IF(INDEX(PCNet,$N935)=0,"",INDEX(PCNet,$N935)),"")</f>
        <v/>
      </c>
      <c r="I935" s="19">
        <f>IF($N935&lt;&gt;"",IF(INDEX(PCOp,$N935)="مرجوعی خرید","",IF(INDEX(PCAmount,$N935)&lt;=0,"",INDEX(PCAmount,$N935))),IF($O935&lt;&gt;"",IF(INDEX(TxnDepB,$O935)=0,"",INDEX(TxnDepB,$O935)),""))</f>
        <v/>
      </c>
      <c r="J935" s="19">
        <f>IF($N935&lt;&gt;"",IF(INDEX(PCOp,$N935)="مرجوعی خرید",IF(INDEX(PCAmount,$N935)=0,"",-INDEX(PCAmount,$N935)),""),IF($O935&lt;&gt;"",IF(INDEX(TxnWitB,$O935)=0,"",INDEX(TxnWitB,$O935)),""))</f>
        <v/>
      </c>
      <c r="K935" s="21">
        <f>IF($B935="","",IF($K934="",$C$10,$K934)+IF($I935="",0,$I935)-IF($J935="",0,$J935))</f>
        <v/>
      </c>
      <c r="L935" s="22">
        <f>IF($N935&lt;&gt;"",IF(INDEX(PCNotes,$N935)="","—",INDEX(PCNotes,$N935)),IF($O935&lt;&gt;"",IF(INDEX(LdgNoteB,$O935)="","—",INDEX(LdgNoteB,$O935)),""))</f>
        <v/>
      </c>
      <c r="N935">
        <f>IFERROR(MATCH($C$5&amp;"|"&amp;RIGHT("000000"&amp;919,6),LdgRankKeyA,0),"")</f>
        <v/>
      </c>
      <c r="O935">
        <f>IFERROR(MATCH($C$5&amp;"|"&amp;RIGHT("000000"&amp;919,6),LdgRankKeyB,0),"")</f>
        <v/>
      </c>
    </row>
    <row r="936">
      <c r="A936" s="23" t="n">
        <v>920</v>
      </c>
      <c r="B936" s="24">
        <f>IF(AND($N936="",$O936=""),"",IF($N936&lt;&gt;"",INDEX(PCNormDate,$N936),INDEX(LdgDateB,$O936)))</f>
        <v/>
      </c>
      <c r="C936" s="24">
        <f>IF($N936&lt;&gt;"",INDEX(PCOp,$N936),IF($O936&lt;&gt;"",IF(N(INDEX(TxnDepB,$O936))&gt;0,"دریافت بانکی","پرداخت بانکی"),""))</f>
        <v/>
      </c>
      <c r="D936" s="24">
        <f>IF($N936&lt;&gt;"",IF(INDEX(PCDoc,$N936)="","—",INDEX(PCDoc,$N936)),IF($O936&lt;&gt;"",INDEX(LdgBankB,$O936),""))</f>
        <v/>
      </c>
      <c r="E936" s="24">
        <f>IF($N936&lt;&gt;"",IF(INDEX(PCCitrus,$N936)="","—",INDEX(PCCitrus,$N936)),"")</f>
        <v/>
      </c>
      <c r="F936" s="25">
        <f>IF($N936&lt;&gt;"",IF(INDEX(PCScale,$N936)=0,"",INDEX(PCScale,$N936)),"")</f>
        <v/>
      </c>
      <c r="G936" s="25">
        <f>IF($N936&lt;&gt;"",IF(INDEX(PCBaskets,$N936)=0,"",INDEX(PCBaskets,$N936)),"")</f>
        <v/>
      </c>
      <c r="H936" s="26">
        <f>IF($N936&lt;&gt;"",IF(INDEX(PCNet,$N936)=0,"",INDEX(PCNet,$N936)),"")</f>
        <v/>
      </c>
      <c r="I936" s="25">
        <f>IF($N936&lt;&gt;"",IF(INDEX(PCOp,$N936)="مرجوعی خرید","",IF(INDEX(PCAmount,$N936)&lt;=0,"",INDEX(PCAmount,$N936))),IF($O936&lt;&gt;"",IF(INDEX(TxnDepB,$O936)=0,"",INDEX(TxnDepB,$O936)),""))</f>
        <v/>
      </c>
      <c r="J936" s="25">
        <f>IF($N936&lt;&gt;"",IF(INDEX(PCOp,$N936)="مرجوعی خرید",IF(INDEX(PCAmount,$N936)=0,"",-INDEX(PCAmount,$N936)),""),IF($O936&lt;&gt;"",IF(INDEX(TxnWitB,$O936)=0,"",INDEX(TxnWitB,$O936)),""))</f>
        <v/>
      </c>
      <c r="K936" s="27">
        <f>IF($B936="","",IF($K935="",$C$10,$K935)+IF($I936="",0,$I936)-IF($J936="",0,$J936))</f>
        <v/>
      </c>
      <c r="L936" s="28">
        <f>IF($N936&lt;&gt;"",IF(INDEX(PCNotes,$N936)="","—",INDEX(PCNotes,$N936)),IF($O936&lt;&gt;"",IF(INDEX(LdgNoteB,$O936)="","—",INDEX(LdgNoteB,$O936)),""))</f>
        <v/>
      </c>
      <c r="N936">
        <f>IFERROR(MATCH($C$5&amp;"|"&amp;RIGHT("000000"&amp;920,6),LdgRankKeyA,0),"")</f>
        <v/>
      </c>
      <c r="O936">
        <f>IFERROR(MATCH($C$5&amp;"|"&amp;RIGHT("000000"&amp;920,6),LdgRankKeyB,0),"")</f>
        <v/>
      </c>
    </row>
    <row r="937">
      <c r="A937" s="17" t="n">
        <v>921</v>
      </c>
      <c r="B937" s="18">
        <f>IF(AND($N937="",$O937=""),"",IF($N937&lt;&gt;"",INDEX(PCNormDate,$N937),INDEX(LdgDateB,$O937)))</f>
        <v/>
      </c>
      <c r="C937" s="18">
        <f>IF($N937&lt;&gt;"",INDEX(PCOp,$N937),IF($O937&lt;&gt;"",IF(N(INDEX(TxnDepB,$O937))&gt;0,"دریافت بانکی","پرداخت بانکی"),""))</f>
        <v/>
      </c>
      <c r="D937" s="18">
        <f>IF($N937&lt;&gt;"",IF(INDEX(PCDoc,$N937)="","—",INDEX(PCDoc,$N937)),IF($O937&lt;&gt;"",INDEX(LdgBankB,$O937),""))</f>
        <v/>
      </c>
      <c r="E937" s="18">
        <f>IF($N937&lt;&gt;"",IF(INDEX(PCCitrus,$N937)="","—",INDEX(PCCitrus,$N937)),"")</f>
        <v/>
      </c>
      <c r="F937" s="19">
        <f>IF($N937&lt;&gt;"",IF(INDEX(PCScale,$N937)=0,"",INDEX(PCScale,$N937)),"")</f>
        <v/>
      </c>
      <c r="G937" s="19">
        <f>IF($N937&lt;&gt;"",IF(INDEX(PCBaskets,$N937)=0,"",INDEX(PCBaskets,$N937)),"")</f>
        <v/>
      </c>
      <c r="H937" s="20">
        <f>IF($N937&lt;&gt;"",IF(INDEX(PCNet,$N937)=0,"",INDEX(PCNet,$N937)),"")</f>
        <v/>
      </c>
      <c r="I937" s="19">
        <f>IF($N937&lt;&gt;"",IF(INDEX(PCOp,$N937)="مرجوعی خرید","",IF(INDEX(PCAmount,$N937)&lt;=0,"",INDEX(PCAmount,$N937))),IF($O937&lt;&gt;"",IF(INDEX(TxnDepB,$O937)=0,"",INDEX(TxnDepB,$O937)),""))</f>
        <v/>
      </c>
      <c r="J937" s="19">
        <f>IF($N937&lt;&gt;"",IF(INDEX(PCOp,$N937)="مرجوعی خرید",IF(INDEX(PCAmount,$N937)=0,"",-INDEX(PCAmount,$N937)),""),IF($O937&lt;&gt;"",IF(INDEX(TxnWitB,$O937)=0,"",INDEX(TxnWitB,$O937)),""))</f>
        <v/>
      </c>
      <c r="K937" s="21">
        <f>IF($B937="","",IF($K936="",$C$10,$K936)+IF($I937="",0,$I937)-IF($J937="",0,$J937))</f>
        <v/>
      </c>
      <c r="L937" s="22">
        <f>IF($N937&lt;&gt;"",IF(INDEX(PCNotes,$N937)="","—",INDEX(PCNotes,$N937)),IF($O937&lt;&gt;"",IF(INDEX(LdgNoteB,$O937)="","—",INDEX(LdgNoteB,$O937)),""))</f>
        <v/>
      </c>
      <c r="N937">
        <f>IFERROR(MATCH($C$5&amp;"|"&amp;RIGHT("000000"&amp;921,6),LdgRankKeyA,0),"")</f>
        <v/>
      </c>
      <c r="O937">
        <f>IFERROR(MATCH($C$5&amp;"|"&amp;RIGHT("000000"&amp;921,6),LdgRankKeyB,0),"")</f>
        <v/>
      </c>
    </row>
    <row r="938">
      <c r="A938" s="23" t="n">
        <v>922</v>
      </c>
      <c r="B938" s="24">
        <f>IF(AND($N938="",$O938=""),"",IF($N938&lt;&gt;"",INDEX(PCNormDate,$N938),INDEX(LdgDateB,$O938)))</f>
        <v/>
      </c>
      <c r="C938" s="24">
        <f>IF($N938&lt;&gt;"",INDEX(PCOp,$N938),IF($O938&lt;&gt;"",IF(N(INDEX(TxnDepB,$O938))&gt;0,"دریافت بانکی","پرداخت بانکی"),""))</f>
        <v/>
      </c>
      <c r="D938" s="24">
        <f>IF($N938&lt;&gt;"",IF(INDEX(PCDoc,$N938)="","—",INDEX(PCDoc,$N938)),IF($O938&lt;&gt;"",INDEX(LdgBankB,$O938),""))</f>
        <v/>
      </c>
      <c r="E938" s="24">
        <f>IF($N938&lt;&gt;"",IF(INDEX(PCCitrus,$N938)="","—",INDEX(PCCitrus,$N938)),"")</f>
        <v/>
      </c>
      <c r="F938" s="25">
        <f>IF($N938&lt;&gt;"",IF(INDEX(PCScale,$N938)=0,"",INDEX(PCScale,$N938)),"")</f>
        <v/>
      </c>
      <c r="G938" s="25">
        <f>IF($N938&lt;&gt;"",IF(INDEX(PCBaskets,$N938)=0,"",INDEX(PCBaskets,$N938)),"")</f>
        <v/>
      </c>
      <c r="H938" s="26">
        <f>IF($N938&lt;&gt;"",IF(INDEX(PCNet,$N938)=0,"",INDEX(PCNet,$N938)),"")</f>
        <v/>
      </c>
      <c r="I938" s="25">
        <f>IF($N938&lt;&gt;"",IF(INDEX(PCOp,$N938)="مرجوعی خرید","",IF(INDEX(PCAmount,$N938)&lt;=0,"",INDEX(PCAmount,$N938))),IF($O938&lt;&gt;"",IF(INDEX(TxnDepB,$O938)=0,"",INDEX(TxnDepB,$O938)),""))</f>
        <v/>
      </c>
      <c r="J938" s="25">
        <f>IF($N938&lt;&gt;"",IF(INDEX(PCOp,$N938)="مرجوعی خرید",IF(INDEX(PCAmount,$N938)=0,"",-INDEX(PCAmount,$N938)),""),IF($O938&lt;&gt;"",IF(INDEX(TxnWitB,$O938)=0,"",INDEX(TxnWitB,$O938)),""))</f>
        <v/>
      </c>
      <c r="K938" s="27">
        <f>IF($B938="","",IF($K937="",$C$10,$K937)+IF($I938="",0,$I938)-IF($J938="",0,$J938))</f>
        <v/>
      </c>
      <c r="L938" s="28">
        <f>IF($N938&lt;&gt;"",IF(INDEX(PCNotes,$N938)="","—",INDEX(PCNotes,$N938)),IF($O938&lt;&gt;"",IF(INDEX(LdgNoteB,$O938)="","—",INDEX(LdgNoteB,$O938)),""))</f>
        <v/>
      </c>
      <c r="N938">
        <f>IFERROR(MATCH($C$5&amp;"|"&amp;RIGHT("000000"&amp;922,6),LdgRankKeyA,0),"")</f>
        <v/>
      </c>
      <c r="O938">
        <f>IFERROR(MATCH($C$5&amp;"|"&amp;RIGHT("000000"&amp;922,6),LdgRankKeyB,0),"")</f>
        <v/>
      </c>
    </row>
    <row r="939">
      <c r="A939" s="17" t="n">
        <v>923</v>
      </c>
      <c r="B939" s="18">
        <f>IF(AND($N939="",$O939=""),"",IF($N939&lt;&gt;"",INDEX(PCNormDate,$N939),INDEX(LdgDateB,$O939)))</f>
        <v/>
      </c>
      <c r="C939" s="18">
        <f>IF($N939&lt;&gt;"",INDEX(PCOp,$N939),IF($O939&lt;&gt;"",IF(N(INDEX(TxnDepB,$O939))&gt;0,"دریافت بانکی","پرداخت بانکی"),""))</f>
        <v/>
      </c>
      <c r="D939" s="18">
        <f>IF($N939&lt;&gt;"",IF(INDEX(PCDoc,$N939)="","—",INDEX(PCDoc,$N939)),IF($O939&lt;&gt;"",INDEX(LdgBankB,$O939),""))</f>
        <v/>
      </c>
      <c r="E939" s="18">
        <f>IF($N939&lt;&gt;"",IF(INDEX(PCCitrus,$N939)="","—",INDEX(PCCitrus,$N939)),"")</f>
        <v/>
      </c>
      <c r="F939" s="19">
        <f>IF($N939&lt;&gt;"",IF(INDEX(PCScale,$N939)=0,"",INDEX(PCScale,$N939)),"")</f>
        <v/>
      </c>
      <c r="G939" s="19">
        <f>IF($N939&lt;&gt;"",IF(INDEX(PCBaskets,$N939)=0,"",INDEX(PCBaskets,$N939)),"")</f>
        <v/>
      </c>
      <c r="H939" s="20">
        <f>IF($N939&lt;&gt;"",IF(INDEX(PCNet,$N939)=0,"",INDEX(PCNet,$N939)),"")</f>
        <v/>
      </c>
      <c r="I939" s="19">
        <f>IF($N939&lt;&gt;"",IF(INDEX(PCOp,$N939)="مرجوعی خرید","",IF(INDEX(PCAmount,$N939)&lt;=0,"",INDEX(PCAmount,$N939))),IF($O939&lt;&gt;"",IF(INDEX(TxnDepB,$O939)=0,"",INDEX(TxnDepB,$O939)),""))</f>
        <v/>
      </c>
      <c r="J939" s="19">
        <f>IF($N939&lt;&gt;"",IF(INDEX(PCOp,$N939)="مرجوعی خرید",IF(INDEX(PCAmount,$N939)=0,"",-INDEX(PCAmount,$N939)),""),IF($O939&lt;&gt;"",IF(INDEX(TxnWitB,$O939)=0,"",INDEX(TxnWitB,$O939)),""))</f>
        <v/>
      </c>
      <c r="K939" s="21">
        <f>IF($B939="","",IF($K938="",$C$10,$K938)+IF($I939="",0,$I939)-IF($J939="",0,$J939))</f>
        <v/>
      </c>
      <c r="L939" s="22">
        <f>IF($N939&lt;&gt;"",IF(INDEX(PCNotes,$N939)="","—",INDEX(PCNotes,$N939)),IF($O939&lt;&gt;"",IF(INDEX(LdgNoteB,$O939)="","—",INDEX(LdgNoteB,$O939)),""))</f>
        <v/>
      </c>
      <c r="N939">
        <f>IFERROR(MATCH($C$5&amp;"|"&amp;RIGHT("000000"&amp;923,6),LdgRankKeyA,0),"")</f>
        <v/>
      </c>
      <c r="O939">
        <f>IFERROR(MATCH($C$5&amp;"|"&amp;RIGHT("000000"&amp;923,6),LdgRankKeyB,0),"")</f>
        <v/>
      </c>
    </row>
    <row r="940">
      <c r="A940" s="23" t="n">
        <v>924</v>
      </c>
      <c r="B940" s="24">
        <f>IF(AND($N940="",$O940=""),"",IF($N940&lt;&gt;"",INDEX(PCNormDate,$N940),INDEX(LdgDateB,$O940)))</f>
        <v/>
      </c>
      <c r="C940" s="24">
        <f>IF($N940&lt;&gt;"",INDEX(PCOp,$N940),IF($O940&lt;&gt;"",IF(N(INDEX(TxnDepB,$O940))&gt;0,"دریافت بانکی","پرداخت بانکی"),""))</f>
        <v/>
      </c>
      <c r="D940" s="24">
        <f>IF($N940&lt;&gt;"",IF(INDEX(PCDoc,$N940)="","—",INDEX(PCDoc,$N940)),IF($O940&lt;&gt;"",INDEX(LdgBankB,$O940),""))</f>
        <v/>
      </c>
      <c r="E940" s="24">
        <f>IF($N940&lt;&gt;"",IF(INDEX(PCCitrus,$N940)="","—",INDEX(PCCitrus,$N940)),"")</f>
        <v/>
      </c>
      <c r="F940" s="25">
        <f>IF($N940&lt;&gt;"",IF(INDEX(PCScale,$N940)=0,"",INDEX(PCScale,$N940)),"")</f>
        <v/>
      </c>
      <c r="G940" s="25">
        <f>IF($N940&lt;&gt;"",IF(INDEX(PCBaskets,$N940)=0,"",INDEX(PCBaskets,$N940)),"")</f>
        <v/>
      </c>
      <c r="H940" s="26">
        <f>IF($N940&lt;&gt;"",IF(INDEX(PCNet,$N940)=0,"",INDEX(PCNet,$N940)),"")</f>
        <v/>
      </c>
      <c r="I940" s="25">
        <f>IF($N940&lt;&gt;"",IF(INDEX(PCOp,$N940)="مرجوعی خرید","",IF(INDEX(PCAmount,$N940)&lt;=0,"",INDEX(PCAmount,$N940))),IF($O940&lt;&gt;"",IF(INDEX(TxnDepB,$O940)=0,"",INDEX(TxnDepB,$O940)),""))</f>
        <v/>
      </c>
      <c r="J940" s="25">
        <f>IF($N940&lt;&gt;"",IF(INDEX(PCOp,$N940)="مرجوعی خرید",IF(INDEX(PCAmount,$N940)=0,"",-INDEX(PCAmount,$N940)),""),IF($O940&lt;&gt;"",IF(INDEX(TxnWitB,$O940)=0,"",INDEX(TxnWitB,$O940)),""))</f>
        <v/>
      </c>
      <c r="K940" s="27">
        <f>IF($B940="","",IF($K939="",$C$10,$K939)+IF($I940="",0,$I940)-IF($J940="",0,$J940))</f>
        <v/>
      </c>
      <c r="L940" s="28">
        <f>IF($N940&lt;&gt;"",IF(INDEX(PCNotes,$N940)="","—",INDEX(PCNotes,$N940)),IF($O940&lt;&gt;"",IF(INDEX(LdgNoteB,$O940)="","—",INDEX(LdgNoteB,$O940)),""))</f>
        <v/>
      </c>
      <c r="N940">
        <f>IFERROR(MATCH($C$5&amp;"|"&amp;RIGHT("000000"&amp;924,6),LdgRankKeyA,0),"")</f>
        <v/>
      </c>
      <c r="O940">
        <f>IFERROR(MATCH($C$5&amp;"|"&amp;RIGHT("000000"&amp;924,6),LdgRankKeyB,0),"")</f>
        <v/>
      </c>
    </row>
    <row r="941">
      <c r="A941" s="17" t="n">
        <v>925</v>
      </c>
      <c r="B941" s="18">
        <f>IF(AND($N941="",$O941=""),"",IF($N941&lt;&gt;"",INDEX(PCNormDate,$N941),INDEX(LdgDateB,$O941)))</f>
        <v/>
      </c>
      <c r="C941" s="18">
        <f>IF($N941&lt;&gt;"",INDEX(PCOp,$N941),IF($O941&lt;&gt;"",IF(N(INDEX(TxnDepB,$O941))&gt;0,"دریافت بانکی","پرداخت بانکی"),""))</f>
        <v/>
      </c>
      <c r="D941" s="18">
        <f>IF($N941&lt;&gt;"",IF(INDEX(PCDoc,$N941)="","—",INDEX(PCDoc,$N941)),IF($O941&lt;&gt;"",INDEX(LdgBankB,$O941),""))</f>
        <v/>
      </c>
      <c r="E941" s="18">
        <f>IF($N941&lt;&gt;"",IF(INDEX(PCCitrus,$N941)="","—",INDEX(PCCitrus,$N941)),"")</f>
        <v/>
      </c>
      <c r="F941" s="19">
        <f>IF($N941&lt;&gt;"",IF(INDEX(PCScale,$N941)=0,"",INDEX(PCScale,$N941)),"")</f>
        <v/>
      </c>
      <c r="G941" s="19">
        <f>IF($N941&lt;&gt;"",IF(INDEX(PCBaskets,$N941)=0,"",INDEX(PCBaskets,$N941)),"")</f>
        <v/>
      </c>
      <c r="H941" s="20">
        <f>IF($N941&lt;&gt;"",IF(INDEX(PCNet,$N941)=0,"",INDEX(PCNet,$N941)),"")</f>
        <v/>
      </c>
      <c r="I941" s="19">
        <f>IF($N941&lt;&gt;"",IF(INDEX(PCOp,$N941)="مرجوعی خرید","",IF(INDEX(PCAmount,$N941)&lt;=0,"",INDEX(PCAmount,$N941))),IF($O941&lt;&gt;"",IF(INDEX(TxnDepB,$O941)=0,"",INDEX(TxnDepB,$O941)),""))</f>
        <v/>
      </c>
      <c r="J941" s="19">
        <f>IF($N941&lt;&gt;"",IF(INDEX(PCOp,$N941)="مرجوعی خرید",IF(INDEX(PCAmount,$N941)=0,"",-INDEX(PCAmount,$N941)),""),IF($O941&lt;&gt;"",IF(INDEX(TxnWitB,$O941)=0,"",INDEX(TxnWitB,$O941)),""))</f>
        <v/>
      </c>
      <c r="K941" s="21">
        <f>IF($B941="","",IF($K940="",$C$10,$K940)+IF($I941="",0,$I941)-IF($J941="",0,$J941))</f>
        <v/>
      </c>
      <c r="L941" s="22">
        <f>IF($N941&lt;&gt;"",IF(INDEX(PCNotes,$N941)="","—",INDEX(PCNotes,$N941)),IF($O941&lt;&gt;"",IF(INDEX(LdgNoteB,$O941)="","—",INDEX(LdgNoteB,$O941)),""))</f>
        <v/>
      </c>
      <c r="N941">
        <f>IFERROR(MATCH($C$5&amp;"|"&amp;RIGHT("000000"&amp;925,6),LdgRankKeyA,0),"")</f>
        <v/>
      </c>
      <c r="O941">
        <f>IFERROR(MATCH($C$5&amp;"|"&amp;RIGHT("000000"&amp;925,6),LdgRankKeyB,0),"")</f>
        <v/>
      </c>
    </row>
    <row r="942">
      <c r="A942" s="23" t="n">
        <v>926</v>
      </c>
      <c r="B942" s="24">
        <f>IF(AND($N942="",$O942=""),"",IF($N942&lt;&gt;"",INDEX(PCNormDate,$N942),INDEX(LdgDateB,$O942)))</f>
        <v/>
      </c>
      <c r="C942" s="24">
        <f>IF($N942&lt;&gt;"",INDEX(PCOp,$N942),IF($O942&lt;&gt;"",IF(N(INDEX(TxnDepB,$O942))&gt;0,"دریافت بانکی","پرداخت بانکی"),""))</f>
        <v/>
      </c>
      <c r="D942" s="24">
        <f>IF($N942&lt;&gt;"",IF(INDEX(PCDoc,$N942)="","—",INDEX(PCDoc,$N942)),IF($O942&lt;&gt;"",INDEX(LdgBankB,$O942),""))</f>
        <v/>
      </c>
      <c r="E942" s="24">
        <f>IF($N942&lt;&gt;"",IF(INDEX(PCCitrus,$N942)="","—",INDEX(PCCitrus,$N942)),"")</f>
        <v/>
      </c>
      <c r="F942" s="25">
        <f>IF($N942&lt;&gt;"",IF(INDEX(PCScale,$N942)=0,"",INDEX(PCScale,$N942)),"")</f>
        <v/>
      </c>
      <c r="G942" s="25">
        <f>IF($N942&lt;&gt;"",IF(INDEX(PCBaskets,$N942)=0,"",INDEX(PCBaskets,$N942)),"")</f>
        <v/>
      </c>
      <c r="H942" s="26">
        <f>IF($N942&lt;&gt;"",IF(INDEX(PCNet,$N942)=0,"",INDEX(PCNet,$N942)),"")</f>
        <v/>
      </c>
      <c r="I942" s="25">
        <f>IF($N942&lt;&gt;"",IF(INDEX(PCOp,$N942)="مرجوعی خرید","",IF(INDEX(PCAmount,$N942)&lt;=0,"",INDEX(PCAmount,$N942))),IF($O942&lt;&gt;"",IF(INDEX(TxnDepB,$O942)=0,"",INDEX(TxnDepB,$O942)),""))</f>
        <v/>
      </c>
      <c r="J942" s="25">
        <f>IF($N942&lt;&gt;"",IF(INDEX(PCOp,$N942)="مرجوعی خرید",IF(INDEX(PCAmount,$N942)=0,"",-INDEX(PCAmount,$N942)),""),IF($O942&lt;&gt;"",IF(INDEX(TxnWitB,$O942)=0,"",INDEX(TxnWitB,$O942)),""))</f>
        <v/>
      </c>
      <c r="K942" s="27">
        <f>IF($B942="","",IF($K941="",$C$10,$K941)+IF($I942="",0,$I942)-IF($J942="",0,$J942))</f>
        <v/>
      </c>
      <c r="L942" s="28">
        <f>IF($N942&lt;&gt;"",IF(INDEX(PCNotes,$N942)="","—",INDEX(PCNotes,$N942)),IF($O942&lt;&gt;"",IF(INDEX(LdgNoteB,$O942)="","—",INDEX(LdgNoteB,$O942)),""))</f>
        <v/>
      </c>
      <c r="N942">
        <f>IFERROR(MATCH($C$5&amp;"|"&amp;RIGHT("000000"&amp;926,6),LdgRankKeyA,0),"")</f>
        <v/>
      </c>
      <c r="O942">
        <f>IFERROR(MATCH($C$5&amp;"|"&amp;RIGHT("000000"&amp;926,6),LdgRankKeyB,0),"")</f>
        <v/>
      </c>
    </row>
    <row r="943">
      <c r="A943" s="17" t="n">
        <v>927</v>
      </c>
      <c r="B943" s="18">
        <f>IF(AND($N943="",$O943=""),"",IF($N943&lt;&gt;"",INDEX(PCNormDate,$N943),INDEX(LdgDateB,$O943)))</f>
        <v/>
      </c>
      <c r="C943" s="18">
        <f>IF($N943&lt;&gt;"",INDEX(PCOp,$N943),IF($O943&lt;&gt;"",IF(N(INDEX(TxnDepB,$O943))&gt;0,"دریافت بانکی","پرداخت بانکی"),""))</f>
        <v/>
      </c>
      <c r="D943" s="18">
        <f>IF($N943&lt;&gt;"",IF(INDEX(PCDoc,$N943)="","—",INDEX(PCDoc,$N943)),IF($O943&lt;&gt;"",INDEX(LdgBankB,$O943),""))</f>
        <v/>
      </c>
      <c r="E943" s="18">
        <f>IF($N943&lt;&gt;"",IF(INDEX(PCCitrus,$N943)="","—",INDEX(PCCitrus,$N943)),"")</f>
        <v/>
      </c>
      <c r="F943" s="19">
        <f>IF($N943&lt;&gt;"",IF(INDEX(PCScale,$N943)=0,"",INDEX(PCScale,$N943)),"")</f>
        <v/>
      </c>
      <c r="G943" s="19">
        <f>IF($N943&lt;&gt;"",IF(INDEX(PCBaskets,$N943)=0,"",INDEX(PCBaskets,$N943)),"")</f>
        <v/>
      </c>
      <c r="H943" s="20">
        <f>IF($N943&lt;&gt;"",IF(INDEX(PCNet,$N943)=0,"",INDEX(PCNet,$N943)),"")</f>
        <v/>
      </c>
      <c r="I943" s="19">
        <f>IF($N943&lt;&gt;"",IF(INDEX(PCOp,$N943)="مرجوعی خرید","",IF(INDEX(PCAmount,$N943)&lt;=0,"",INDEX(PCAmount,$N943))),IF($O943&lt;&gt;"",IF(INDEX(TxnDepB,$O943)=0,"",INDEX(TxnDepB,$O943)),""))</f>
        <v/>
      </c>
      <c r="J943" s="19">
        <f>IF($N943&lt;&gt;"",IF(INDEX(PCOp,$N943)="مرجوعی خرید",IF(INDEX(PCAmount,$N943)=0,"",-INDEX(PCAmount,$N943)),""),IF($O943&lt;&gt;"",IF(INDEX(TxnWitB,$O943)=0,"",INDEX(TxnWitB,$O943)),""))</f>
        <v/>
      </c>
      <c r="K943" s="21">
        <f>IF($B943="","",IF($K942="",$C$10,$K942)+IF($I943="",0,$I943)-IF($J943="",0,$J943))</f>
        <v/>
      </c>
      <c r="L943" s="22">
        <f>IF($N943&lt;&gt;"",IF(INDEX(PCNotes,$N943)="","—",INDEX(PCNotes,$N943)),IF($O943&lt;&gt;"",IF(INDEX(LdgNoteB,$O943)="","—",INDEX(LdgNoteB,$O943)),""))</f>
        <v/>
      </c>
      <c r="N943">
        <f>IFERROR(MATCH($C$5&amp;"|"&amp;RIGHT("000000"&amp;927,6),LdgRankKeyA,0),"")</f>
        <v/>
      </c>
      <c r="O943">
        <f>IFERROR(MATCH($C$5&amp;"|"&amp;RIGHT("000000"&amp;927,6),LdgRankKeyB,0),"")</f>
        <v/>
      </c>
    </row>
    <row r="944">
      <c r="A944" s="23" t="n">
        <v>928</v>
      </c>
      <c r="B944" s="24">
        <f>IF(AND($N944="",$O944=""),"",IF($N944&lt;&gt;"",INDEX(PCNormDate,$N944),INDEX(LdgDateB,$O944)))</f>
        <v/>
      </c>
      <c r="C944" s="24">
        <f>IF($N944&lt;&gt;"",INDEX(PCOp,$N944),IF($O944&lt;&gt;"",IF(N(INDEX(TxnDepB,$O944))&gt;0,"دریافت بانکی","پرداخت بانکی"),""))</f>
        <v/>
      </c>
      <c r="D944" s="24">
        <f>IF($N944&lt;&gt;"",IF(INDEX(PCDoc,$N944)="","—",INDEX(PCDoc,$N944)),IF($O944&lt;&gt;"",INDEX(LdgBankB,$O944),""))</f>
        <v/>
      </c>
      <c r="E944" s="24">
        <f>IF($N944&lt;&gt;"",IF(INDEX(PCCitrus,$N944)="","—",INDEX(PCCitrus,$N944)),"")</f>
        <v/>
      </c>
      <c r="F944" s="25">
        <f>IF($N944&lt;&gt;"",IF(INDEX(PCScale,$N944)=0,"",INDEX(PCScale,$N944)),"")</f>
        <v/>
      </c>
      <c r="G944" s="25">
        <f>IF($N944&lt;&gt;"",IF(INDEX(PCBaskets,$N944)=0,"",INDEX(PCBaskets,$N944)),"")</f>
        <v/>
      </c>
      <c r="H944" s="26">
        <f>IF($N944&lt;&gt;"",IF(INDEX(PCNet,$N944)=0,"",INDEX(PCNet,$N944)),"")</f>
        <v/>
      </c>
      <c r="I944" s="25">
        <f>IF($N944&lt;&gt;"",IF(INDEX(PCOp,$N944)="مرجوعی خرید","",IF(INDEX(PCAmount,$N944)&lt;=0,"",INDEX(PCAmount,$N944))),IF($O944&lt;&gt;"",IF(INDEX(TxnDepB,$O944)=0,"",INDEX(TxnDepB,$O944)),""))</f>
        <v/>
      </c>
      <c r="J944" s="25">
        <f>IF($N944&lt;&gt;"",IF(INDEX(PCOp,$N944)="مرجوعی خرید",IF(INDEX(PCAmount,$N944)=0,"",-INDEX(PCAmount,$N944)),""),IF($O944&lt;&gt;"",IF(INDEX(TxnWitB,$O944)=0,"",INDEX(TxnWitB,$O944)),""))</f>
        <v/>
      </c>
      <c r="K944" s="27">
        <f>IF($B944="","",IF($K943="",$C$10,$K943)+IF($I944="",0,$I944)-IF($J944="",0,$J944))</f>
        <v/>
      </c>
      <c r="L944" s="28">
        <f>IF($N944&lt;&gt;"",IF(INDEX(PCNotes,$N944)="","—",INDEX(PCNotes,$N944)),IF($O944&lt;&gt;"",IF(INDEX(LdgNoteB,$O944)="","—",INDEX(LdgNoteB,$O944)),""))</f>
        <v/>
      </c>
      <c r="N944">
        <f>IFERROR(MATCH($C$5&amp;"|"&amp;RIGHT("000000"&amp;928,6),LdgRankKeyA,0),"")</f>
        <v/>
      </c>
      <c r="O944">
        <f>IFERROR(MATCH($C$5&amp;"|"&amp;RIGHT("000000"&amp;928,6),LdgRankKeyB,0),"")</f>
        <v/>
      </c>
    </row>
    <row r="945">
      <c r="A945" s="17" t="n">
        <v>929</v>
      </c>
      <c r="B945" s="18">
        <f>IF(AND($N945="",$O945=""),"",IF($N945&lt;&gt;"",INDEX(PCNormDate,$N945),INDEX(LdgDateB,$O945)))</f>
        <v/>
      </c>
      <c r="C945" s="18">
        <f>IF($N945&lt;&gt;"",INDEX(PCOp,$N945),IF($O945&lt;&gt;"",IF(N(INDEX(TxnDepB,$O945))&gt;0,"دریافت بانکی","پرداخت بانکی"),""))</f>
        <v/>
      </c>
      <c r="D945" s="18">
        <f>IF($N945&lt;&gt;"",IF(INDEX(PCDoc,$N945)="","—",INDEX(PCDoc,$N945)),IF($O945&lt;&gt;"",INDEX(LdgBankB,$O945),""))</f>
        <v/>
      </c>
      <c r="E945" s="18">
        <f>IF($N945&lt;&gt;"",IF(INDEX(PCCitrus,$N945)="","—",INDEX(PCCitrus,$N945)),"")</f>
        <v/>
      </c>
      <c r="F945" s="19">
        <f>IF($N945&lt;&gt;"",IF(INDEX(PCScale,$N945)=0,"",INDEX(PCScale,$N945)),"")</f>
        <v/>
      </c>
      <c r="G945" s="19">
        <f>IF($N945&lt;&gt;"",IF(INDEX(PCBaskets,$N945)=0,"",INDEX(PCBaskets,$N945)),"")</f>
        <v/>
      </c>
      <c r="H945" s="20">
        <f>IF($N945&lt;&gt;"",IF(INDEX(PCNet,$N945)=0,"",INDEX(PCNet,$N945)),"")</f>
        <v/>
      </c>
      <c r="I945" s="19">
        <f>IF($N945&lt;&gt;"",IF(INDEX(PCOp,$N945)="مرجوعی خرید","",IF(INDEX(PCAmount,$N945)&lt;=0,"",INDEX(PCAmount,$N945))),IF($O945&lt;&gt;"",IF(INDEX(TxnDepB,$O945)=0,"",INDEX(TxnDepB,$O945)),""))</f>
        <v/>
      </c>
      <c r="J945" s="19">
        <f>IF($N945&lt;&gt;"",IF(INDEX(PCOp,$N945)="مرجوعی خرید",IF(INDEX(PCAmount,$N945)=0,"",-INDEX(PCAmount,$N945)),""),IF($O945&lt;&gt;"",IF(INDEX(TxnWitB,$O945)=0,"",INDEX(TxnWitB,$O945)),""))</f>
        <v/>
      </c>
      <c r="K945" s="21">
        <f>IF($B945="","",IF($K944="",$C$10,$K944)+IF($I945="",0,$I945)-IF($J945="",0,$J945))</f>
        <v/>
      </c>
      <c r="L945" s="22">
        <f>IF($N945&lt;&gt;"",IF(INDEX(PCNotes,$N945)="","—",INDEX(PCNotes,$N945)),IF($O945&lt;&gt;"",IF(INDEX(LdgNoteB,$O945)="","—",INDEX(LdgNoteB,$O945)),""))</f>
        <v/>
      </c>
      <c r="N945">
        <f>IFERROR(MATCH($C$5&amp;"|"&amp;RIGHT("000000"&amp;929,6),LdgRankKeyA,0),"")</f>
        <v/>
      </c>
      <c r="O945">
        <f>IFERROR(MATCH($C$5&amp;"|"&amp;RIGHT("000000"&amp;929,6),LdgRankKeyB,0),"")</f>
        <v/>
      </c>
    </row>
    <row r="946">
      <c r="A946" s="23" t="n">
        <v>930</v>
      </c>
      <c r="B946" s="24">
        <f>IF(AND($N946="",$O946=""),"",IF($N946&lt;&gt;"",INDEX(PCNormDate,$N946),INDEX(LdgDateB,$O946)))</f>
        <v/>
      </c>
      <c r="C946" s="24">
        <f>IF($N946&lt;&gt;"",INDEX(PCOp,$N946),IF($O946&lt;&gt;"",IF(N(INDEX(TxnDepB,$O946))&gt;0,"دریافت بانکی","پرداخت بانکی"),""))</f>
        <v/>
      </c>
      <c r="D946" s="24">
        <f>IF($N946&lt;&gt;"",IF(INDEX(PCDoc,$N946)="","—",INDEX(PCDoc,$N946)),IF($O946&lt;&gt;"",INDEX(LdgBankB,$O946),""))</f>
        <v/>
      </c>
      <c r="E946" s="24">
        <f>IF($N946&lt;&gt;"",IF(INDEX(PCCitrus,$N946)="","—",INDEX(PCCitrus,$N946)),"")</f>
        <v/>
      </c>
      <c r="F946" s="25">
        <f>IF($N946&lt;&gt;"",IF(INDEX(PCScale,$N946)=0,"",INDEX(PCScale,$N946)),"")</f>
        <v/>
      </c>
      <c r="G946" s="25">
        <f>IF($N946&lt;&gt;"",IF(INDEX(PCBaskets,$N946)=0,"",INDEX(PCBaskets,$N946)),"")</f>
        <v/>
      </c>
      <c r="H946" s="26">
        <f>IF($N946&lt;&gt;"",IF(INDEX(PCNet,$N946)=0,"",INDEX(PCNet,$N946)),"")</f>
        <v/>
      </c>
      <c r="I946" s="25">
        <f>IF($N946&lt;&gt;"",IF(INDEX(PCOp,$N946)="مرجوعی خرید","",IF(INDEX(PCAmount,$N946)&lt;=0,"",INDEX(PCAmount,$N946))),IF($O946&lt;&gt;"",IF(INDEX(TxnDepB,$O946)=0,"",INDEX(TxnDepB,$O946)),""))</f>
        <v/>
      </c>
      <c r="J946" s="25">
        <f>IF($N946&lt;&gt;"",IF(INDEX(PCOp,$N946)="مرجوعی خرید",IF(INDEX(PCAmount,$N946)=0,"",-INDEX(PCAmount,$N946)),""),IF($O946&lt;&gt;"",IF(INDEX(TxnWitB,$O946)=0,"",INDEX(TxnWitB,$O946)),""))</f>
        <v/>
      </c>
      <c r="K946" s="27">
        <f>IF($B946="","",IF($K945="",$C$10,$K945)+IF($I946="",0,$I946)-IF($J946="",0,$J946))</f>
        <v/>
      </c>
      <c r="L946" s="28">
        <f>IF($N946&lt;&gt;"",IF(INDEX(PCNotes,$N946)="","—",INDEX(PCNotes,$N946)),IF($O946&lt;&gt;"",IF(INDEX(LdgNoteB,$O946)="","—",INDEX(LdgNoteB,$O946)),""))</f>
        <v/>
      </c>
      <c r="N946">
        <f>IFERROR(MATCH($C$5&amp;"|"&amp;RIGHT("000000"&amp;930,6),LdgRankKeyA,0),"")</f>
        <v/>
      </c>
      <c r="O946">
        <f>IFERROR(MATCH($C$5&amp;"|"&amp;RIGHT("000000"&amp;930,6),LdgRankKeyB,0),"")</f>
        <v/>
      </c>
    </row>
    <row r="947">
      <c r="A947" s="17" t="n">
        <v>931</v>
      </c>
      <c r="B947" s="18">
        <f>IF(AND($N947="",$O947=""),"",IF($N947&lt;&gt;"",INDEX(PCNormDate,$N947),INDEX(LdgDateB,$O947)))</f>
        <v/>
      </c>
      <c r="C947" s="18">
        <f>IF($N947&lt;&gt;"",INDEX(PCOp,$N947),IF($O947&lt;&gt;"",IF(N(INDEX(TxnDepB,$O947))&gt;0,"دریافت بانکی","پرداخت بانکی"),""))</f>
        <v/>
      </c>
      <c r="D947" s="18">
        <f>IF($N947&lt;&gt;"",IF(INDEX(PCDoc,$N947)="","—",INDEX(PCDoc,$N947)),IF($O947&lt;&gt;"",INDEX(LdgBankB,$O947),""))</f>
        <v/>
      </c>
      <c r="E947" s="18">
        <f>IF($N947&lt;&gt;"",IF(INDEX(PCCitrus,$N947)="","—",INDEX(PCCitrus,$N947)),"")</f>
        <v/>
      </c>
      <c r="F947" s="19">
        <f>IF($N947&lt;&gt;"",IF(INDEX(PCScale,$N947)=0,"",INDEX(PCScale,$N947)),"")</f>
        <v/>
      </c>
      <c r="G947" s="19">
        <f>IF($N947&lt;&gt;"",IF(INDEX(PCBaskets,$N947)=0,"",INDEX(PCBaskets,$N947)),"")</f>
        <v/>
      </c>
      <c r="H947" s="20">
        <f>IF($N947&lt;&gt;"",IF(INDEX(PCNet,$N947)=0,"",INDEX(PCNet,$N947)),"")</f>
        <v/>
      </c>
      <c r="I947" s="19">
        <f>IF($N947&lt;&gt;"",IF(INDEX(PCOp,$N947)="مرجوعی خرید","",IF(INDEX(PCAmount,$N947)&lt;=0,"",INDEX(PCAmount,$N947))),IF($O947&lt;&gt;"",IF(INDEX(TxnDepB,$O947)=0,"",INDEX(TxnDepB,$O947)),""))</f>
        <v/>
      </c>
      <c r="J947" s="19">
        <f>IF($N947&lt;&gt;"",IF(INDEX(PCOp,$N947)="مرجوعی خرید",IF(INDEX(PCAmount,$N947)=0,"",-INDEX(PCAmount,$N947)),""),IF($O947&lt;&gt;"",IF(INDEX(TxnWitB,$O947)=0,"",INDEX(TxnWitB,$O947)),""))</f>
        <v/>
      </c>
      <c r="K947" s="21">
        <f>IF($B947="","",IF($K946="",$C$10,$K946)+IF($I947="",0,$I947)-IF($J947="",0,$J947))</f>
        <v/>
      </c>
      <c r="L947" s="22">
        <f>IF($N947&lt;&gt;"",IF(INDEX(PCNotes,$N947)="","—",INDEX(PCNotes,$N947)),IF($O947&lt;&gt;"",IF(INDEX(LdgNoteB,$O947)="","—",INDEX(LdgNoteB,$O947)),""))</f>
        <v/>
      </c>
      <c r="N947">
        <f>IFERROR(MATCH($C$5&amp;"|"&amp;RIGHT("000000"&amp;931,6),LdgRankKeyA,0),"")</f>
        <v/>
      </c>
      <c r="O947">
        <f>IFERROR(MATCH($C$5&amp;"|"&amp;RIGHT("000000"&amp;931,6),LdgRankKeyB,0),"")</f>
        <v/>
      </c>
    </row>
    <row r="948">
      <c r="A948" s="23" t="n">
        <v>932</v>
      </c>
      <c r="B948" s="24">
        <f>IF(AND($N948="",$O948=""),"",IF($N948&lt;&gt;"",INDEX(PCNormDate,$N948),INDEX(LdgDateB,$O948)))</f>
        <v/>
      </c>
      <c r="C948" s="24">
        <f>IF($N948&lt;&gt;"",INDEX(PCOp,$N948),IF($O948&lt;&gt;"",IF(N(INDEX(TxnDepB,$O948))&gt;0,"دریافت بانکی","پرداخت بانکی"),""))</f>
        <v/>
      </c>
      <c r="D948" s="24">
        <f>IF($N948&lt;&gt;"",IF(INDEX(PCDoc,$N948)="","—",INDEX(PCDoc,$N948)),IF($O948&lt;&gt;"",INDEX(LdgBankB,$O948),""))</f>
        <v/>
      </c>
      <c r="E948" s="24">
        <f>IF($N948&lt;&gt;"",IF(INDEX(PCCitrus,$N948)="","—",INDEX(PCCitrus,$N948)),"")</f>
        <v/>
      </c>
      <c r="F948" s="25">
        <f>IF($N948&lt;&gt;"",IF(INDEX(PCScale,$N948)=0,"",INDEX(PCScale,$N948)),"")</f>
        <v/>
      </c>
      <c r="G948" s="25">
        <f>IF($N948&lt;&gt;"",IF(INDEX(PCBaskets,$N948)=0,"",INDEX(PCBaskets,$N948)),"")</f>
        <v/>
      </c>
      <c r="H948" s="26">
        <f>IF($N948&lt;&gt;"",IF(INDEX(PCNet,$N948)=0,"",INDEX(PCNet,$N948)),"")</f>
        <v/>
      </c>
      <c r="I948" s="25">
        <f>IF($N948&lt;&gt;"",IF(INDEX(PCOp,$N948)="مرجوعی خرید","",IF(INDEX(PCAmount,$N948)&lt;=0,"",INDEX(PCAmount,$N948))),IF($O948&lt;&gt;"",IF(INDEX(TxnDepB,$O948)=0,"",INDEX(TxnDepB,$O948)),""))</f>
        <v/>
      </c>
      <c r="J948" s="25">
        <f>IF($N948&lt;&gt;"",IF(INDEX(PCOp,$N948)="مرجوعی خرید",IF(INDEX(PCAmount,$N948)=0,"",-INDEX(PCAmount,$N948)),""),IF($O948&lt;&gt;"",IF(INDEX(TxnWitB,$O948)=0,"",INDEX(TxnWitB,$O948)),""))</f>
        <v/>
      </c>
      <c r="K948" s="27">
        <f>IF($B948="","",IF($K947="",$C$10,$K947)+IF($I948="",0,$I948)-IF($J948="",0,$J948))</f>
        <v/>
      </c>
      <c r="L948" s="28">
        <f>IF($N948&lt;&gt;"",IF(INDEX(PCNotes,$N948)="","—",INDEX(PCNotes,$N948)),IF($O948&lt;&gt;"",IF(INDEX(LdgNoteB,$O948)="","—",INDEX(LdgNoteB,$O948)),""))</f>
        <v/>
      </c>
      <c r="N948">
        <f>IFERROR(MATCH($C$5&amp;"|"&amp;RIGHT("000000"&amp;932,6),LdgRankKeyA,0),"")</f>
        <v/>
      </c>
      <c r="O948">
        <f>IFERROR(MATCH($C$5&amp;"|"&amp;RIGHT("000000"&amp;932,6),LdgRankKeyB,0),"")</f>
        <v/>
      </c>
    </row>
    <row r="949">
      <c r="A949" s="17" t="n">
        <v>933</v>
      </c>
      <c r="B949" s="18">
        <f>IF(AND($N949="",$O949=""),"",IF($N949&lt;&gt;"",INDEX(PCNormDate,$N949),INDEX(LdgDateB,$O949)))</f>
        <v/>
      </c>
      <c r="C949" s="18">
        <f>IF($N949&lt;&gt;"",INDEX(PCOp,$N949),IF($O949&lt;&gt;"",IF(N(INDEX(TxnDepB,$O949))&gt;0,"دریافت بانکی","پرداخت بانکی"),""))</f>
        <v/>
      </c>
      <c r="D949" s="18">
        <f>IF($N949&lt;&gt;"",IF(INDEX(PCDoc,$N949)="","—",INDEX(PCDoc,$N949)),IF($O949&lt;&gt;"",INDEX(LdgBankB,$O949),""))</f>
        <v/>
      </c>
      <c r="E949" s="18">
        <f>IF($N949&lt;&gt;"",IF(INDEX(PCCitrus,$N949)="","—",INDEX(PCCitrus,$N949)),"")</f>
        <v/>
      </c>
      <c r="F949" s="19">
        <f>IF($N949&lt;&gt;"",IF(INDEX(PCScale,$N949)=0,"",INDEX(PCScale,$N949)),"")</f>
        <v/>
      </c>
      <c r="G949" s="19">
        <f>IF($N949&lt;&gt;"",IF(INDEX(PCBaskets,$N949)=0,"",INDEX(PCBaskets,$N949)),"")</f>
        <v/>
      </c>
      <c r="H949" s="20">
        <f>IF($N949&lt;&gt;"",IF(INDEX(PCNet,$N949)=0,"",INDEX(PCNet,$N949)),"")</f>
        <v/>
      </c>
      <c r="I949" s="19">
        <f>IF($N949&lt;&gt;"",IF(INDEX(PCOp,$N949)="مرجوعی خرید","",IF(INDEX(PCAmount,$N949)&lt;=0,"",INDEX(PCAmount,$N949))),IF($O949&lt;&gt;"",IF(INDEX(TxnDepB,$O949)=0,"",INDEX(TxnDepB,$O949)),""))</f>
        <v/>
      </c>
      <c r="J949" s="19">
        <f>IF($N949&lt;&gt;"",IF(INDEX(PCOp,$N949)="مرجوعی خرید",IF(INDEX(PCAmount,$N949)=0,"",-INDEX(PCAmount,$N949)),""),IF($O949&lt;&gt;"",IF(INDEX(TxnWitB,$O949)=0,"",INDEX(TxnWitB,$O949)),""))</f>
        <v/>
      </c>
      <c r="K949" s="21">
        <f>IF($B949="","",IF($K948="",$C$10,$K948)+IF($I949="",0,$I949)-IF($J949="",0,$J949))</f>
        <v/>
      </c>
      <c r="L949" s="22">
        <f>IF($N949&lt;&gt;"",IF(INDEX(PCNotes,$N949)="","—",INDEX(PCNotes,$N949)),IF($O949&lt;&gt;"",IF(INDEX(LdgNoteB,$O949)="","—",INDEX(LdgNoteB,$O949)),""))</f>
        <v/>
      </c>
      <c r="N949">
        <f>IFERROR(MATCH($C$5&amp;"|"&amp;RIGHT("000000"&amp;933,6),LdgRankKeyA,0),"")</f>
        <v/>
      </c>
      <c r="O949">
        <f>IFERROR(MATCH($C$5&amp;"|"&amp;RIGHT("000000"&amp;933,6),LdgRankKeyB,0),"")</f>
        <v/>
      </c>
    </row>
    <row r="950">
      <c r="A950" s="23" t="n">
        <v>934</v>
      </c>
      <c r="B950" s="24">
        <f>IF(AND($N950="",$O950=""),"",IF($N950&lt;&gt;"",INDEX(PCNormDate,$N950),INDEX(LdgDateB,$O950)))</f>
        <v/>
      </c>
      <c r="C950" s="24">
        <f>IF($N950&lt;&gt;"",INDEX(PCOp,$N950),IF($O950&lt;&gt;"",IF(N(INDEX(TxnDepB,$O950))&gt;0,"دریافت بانکی","پرداخت بانکی"),""))</f>
        <v/>
      </c>
      <c r="D950" s="24">
        <f>IF($N950&lt;&gt;"",IF(INDEX(PCDoc,$N950)="","—",INDEX(PCDoc,$N950)),IF($O950&lt;&gt;"",INDEX(LdgBankB,$O950),""))</f>
        <v/>
      </c>
      <c r="E950" s="24">
        <f>IF($N950&lt;&gt;"",IF(INDEX(PCCitrus,$N950)="","—",INDEX(PCCitrus,$N950)),"")</f>
        <v/>
      </c>
      <c r="F950" s="25">
        <f>IF($N950&lt;&gt;"",IF(INDEX(PCScale,$N950)=0,"",INDEX(PCScale,$N950)),"")</f>
        <v/>
      </c>
      <c r="G950" s="25">
        <f>IF($N950&lt;&gt;"",IF(INDEX(PCBaskets,$N950)=0,"",INDEX(PCBaskets,$N950)),"")</f>
        <v/>
      </c>
      <c r="H950" s="26">
        <f>IF($N950&lt;&gt;"",IF(INDEX(PCNet,$N950)=0,"",INDEX(PCNet,$N950)),"")</f>
        <v/>
      </c>
      <c r="I950" s="25">
        <f>IF($N950&lt;&gt;"",IF(INDEX(PCOp,$N950)="مرجوعی خرید","",IF(INDEX(PCAmount,$N950)&lt;=0,"",INDEX(PCAmount,$N950))),IF($O950&lt;&gt;"",IF(INDEX(TxnDepB,$O950)=0,"",INDEX(TxnDepB,$O950)),""))</f>
        <v/>
      </c>
      <c r="J950" s="25">
        <f>IF($N950&lt;&gt;"",IF(INDEX(PCOp,$N950)="مرجوعی خرید",IF(INDEX(PCAmount,$N950)=0,"",-INDEX(PCAmount,$N950)),""),IF($O950&lt;&gt;"",IF(INDEX(TxnWitB,$O950)=0,"",INDEX(TxnWitB,$O950)),""))</f>
        <v/>
      </c>
      <c r="K950" s="27">
        <f>IF($B950="","",IF($K949="",$C$10,$K949)+IF($I950="",0,$I950)-IF($J950="",0,$J950))</f>
        <v/>
      </c>
      <c r="L950" s="28">
        <f>IF($N950&lt;&gt;"",IF(INDEX(PCNotes,$N950)="","—",INDEX(PCNotes,$N950)),IF($O950&lt;&gt;"",IF(INDEX(LdgNoteB,$O950)="","—",INDEX(LdgNoteB,$O950)),""))</f>
        <v/>
      </c>
      <c r="N950">
        <f>IFERROR(MATCH($C$5&amp;"|"&amp;RIGHT("000000"&amp;934,6),LdgRankKeyA,0),"")</f>
        <v/>
      </c>
      <c r="O950">
        <f>IFERROR(MATCH($C$5&amp;"|"&amp;RIGHT("000000"&amp;934,6),LdgRankKeyB,0),"")</f>
        <v/>
      </c>
    </row>
    <row r="951">
      <c r="A951" s="17" t="n">
        <v>935</v>
      </c>
      <c r="B951" s="18">
        <f>IF(AND($N951="",$O951=""),"",IF($N951&lt;&gt;"",INDEX(PCNormDate,$N951),INDEX(LdgDateB,$O951)))</f>
        <v/>
      </c>
      <c r="C951" s="18">
        <f>IF($N951&lt;&gt;"",INDEX(PCOp,$N951),IF($O951&lt;&gt;"",IF(N(INDEX(TxnDepB,$O951))&gt;0,"دریافت بانکی","پرداخت بانکی"),""))</f>
        <v/>
      </c>
      <c r="D951" s="18">
        <f>IF($N951&lt;&gt;"",IF(INDEX(PCDoc,$N951)="","—",INDEX(PCDoc,$N951)),IF($O951&lt;&gt;"",INDEX(LdgBankB,$O951),""))</f>
        <v/>
      </c>
      <c r="E951" s="18">
        <f>IF($N951&lt;&gt;"",IF(INDEX(PCCitrus,$N951)="","—",INDEX(PCCitrus,$N951)),"")</f>
        <v/>
      </c>
      <c r="F951" s="19">
        <f>IF($N951&lt;&gt;"",IF(INDEX(PCScale,$N951)=0,"",INDEX(PCScale,$N951)),"")</f>
        <v/>
      </c>
      <c r="G951" s="19">
        <f>IF($N951&lt;&gt;"",IF(INDEX(PCBaskets,$N951)=0,"",INDEX(PCBaskets,$N951)),"")</f>
        <v/>
      </c>
      <c r="H951" s="20">
        <f>IF($N951&lt;&gt;"",IF(INDEX(PCNet,$N951)=0,"",INDEX(PCNet,$N951)),"")</f>
        <v/>
      </c>
      <c r="I951" s="19">
        <f>IF($N951&lt;&gt;"",IF(INDEX(PCOp,$N951)="مرجوعی خرید","",IF(INDEX(PCAmount,$N951)&lt;=0,"",INDEX(PCAmount,$N951))),IF($O951&lt;&gt;"",IF(INDEX(TxnDepB,$O951)=0,"",INDEX(TxnDepB,$O951)),""))</f>
        <v/>
      </c>
      <c r="J951" s="19">
        <f>IF($N951&lt;&gt;"",IF(INDEX(PCOp,$N951)="مرجوعی خرید",IF(INDEX(PCAmount,$N951)=0,"",-INDEX(PCAmount,$N951)),""),IF($O951&lt;&gt;"",IF(INDEX(TxnWitB,$O951)=0,"",INDEX(TxnWitB,$O951)),""))</f>
        <v/>
      </c>
      <c r="K951" s="21">
        <f>IF($B951="","",IF($K950="",$C$10,$K950)+IF($I951="",0,$I951)-IF($J951="",0,$J951))</f>
        <v/>
      </c>
      <c r="L951" s="22">
        <f>IF($N951&lt;&gt;"",IF(INDEX(PCNotes,$N951)="","—",INDEX(PCNotes,$N951)),IF($O951&lt;&gt;"",IF(INDEX(LdgNoteB,$O951)="","—",INDEX(LdgNoteB,$O951)),""))</f>
        <v/>
      </c>
      <c r="N951">
        <f>IFERROR(MATCH($C$5&amp;"|"&amp;RIGHT("000000"&amp;935,6),LdgRankKeyA,0),"")</f>
        <v/>
      </c>
      <c r="O951">
        <f>IFERROR(MATCH($C$5&amp;"|"&amp;RIGHT("000000"&amp;935,6),LdgRankKeyB,0),"")</f>
        <v/>
      </c>
    </row>
    <row r="952">
      <c r="A952" s="23" t="n">
        <v>936</v>
      </c>
      <c r="B952" s="24">
        <f>IF(AND($N952="",$O952=""),"",IF($N952&lt;&gt;"",INDEX(PCNormDate,$N952),INDEX(LdgDateB,$O952)))</f>
        <v/>
      </c>
      <c r="C952" s="24">
        <f>IF($N952&lt;&gt;"",INDEX(PCOp,$N952),IF($O952&lt;&gt;"",IF(N(INDEX(TxnDepB,$O952))&gt;0,"دریافت بانکی","پرداخت بانکی"),""))</f>
        <v/>
      </c>
      <c r="D952" s="24">
        <f>IF($N952&lt;&gt;"",IF(INDEX(PCDoc,$N952)="","—",INDEX(PCDoc,$N952)),IF($O952&lt;&gt;"",INDEX(LdgBankB,$O952),""))</f>
        <v/>
      </c>
      <c r="E952" s="24">
        <f>IF($N952&lt;&gt;"",IF(INDEX(PCCitrus,$N952)="","—",INDEX(PCCitrus,$N952)),"")</f>
        <v/>
      </c>
      <c r="F952" s="25">
        <f>IF($N952&lt;&gt;"",IF(INDEX(PCScale,$N952)=0,"",INDEX(PCScale,$N952)),"")</f>
        <v/>
      </c>
      <c r="G952" s="25">
        <f>IF($N952&lt;&gt;"",IF(INDEX(PCBaskets,$N952)=0,"",INDEX(PCBaskets,$N952)),"")</f>
        <v/>
      </c>
      <c r="H952" s="26">
        <f>IF($N952&lt;&gt;"",IF(INDEX(PCNet,$N952)=0,"",INDEX(PCNet,$N952)),"")</f>
        <v/>
      </c>
      <c r="I952" s="25">
        <f>IF($N952&lt;&gt;"",IF(INDEX(PCOp,$N952)="مرجوعی خرید","",IF(INDEX(PCAmount,$N952)&lt;=0,"",INDEX(PCAmount,$N952))),IF($O952&lt;&gt;"",IF(INDEX(TxnDepB,$O952)=0,"",INDEX(TxnDepB,$O952)),""))</f>
        <v/>
      </c>
      <c r="J952" s="25">
        <f>IF($N952&lt;&gt;"",IF(INDEX(PCOp,$N952)="مرجوعی خرید",IF(INDEX(PCAmount,$N952)=0,"",-INDEX(PCAmount,$N952)),""),IF($O952&lt;&gt;"",IF(INDEX(TxnWitB,$O952)=0,"",INDEX(TxnWitB,$O952)),""))</f>
        <v/>
      </c>
      <c r="K952" s="27">
        <f>IF($B952="","",IF($K951="",$C$10,$K951)+IF($I952="",0,$I952)-IF($J952="",0,$J952))</f>
        <v/>
      </c>
      <c r="L952" s="28">
        <f>IF($N952&lt;&gt;"",IF(INDEX(PCNotes,$N952)="","—",INDEX(PCNotes,$N952)),IF($O952&lt;&gt;"",IF(INDEX(LdgNoteB,$O952)="","—",INDEX(LdgNoteB,$O952)),""))</f>
        <v/>
      </c>
      <c r="N952">
        <f>IFERROR(MATCH($C$5&amp;"|"&amp;RIGHT("000000"&amp;936,6),LdgRankKeyA,0),"")</f>
        <v/>
      </c>
      <c r="O952">
        <f>IFERROR(MATCH($C$5&amp;"|"&amp;RIGHT("000000"&amp;936,6),LdgRankKeyB,0),"")</f>
        <v/>
      </c>
    </row>
    <row r="953">
      <c r="A953" s="17" t="n">
        <v>937</v>
      </c>
      <c r="B953" s="18">
        <f>IF(AND($N953="",$O953=""),"",IF($N953&lt;&gt;"",INDEX(PCNormDate,$N953),INDEX(LdgDateB,$O953)))</f>
        <v/>
      </c>
      <c r="C953" s="18">
        <f>IF($N953&lt;&gt;"",INDEX(PCOp,$N953),IF($O953&lt;&gt;"",IF(N(INDEX(TxnDepB,$O953))&gt;0,"دریافت بانکی","پرداخت بانکی"),""))</f>
        <v/>
      </c>
      <c r="D953" s="18">
        <f>IF($N953&lt;&gt;"",IF(INDEX(PCDoc,$N953)="","—",INDEX(PCDoc,$N953)),IF($O953&lt;&gt;"",INDEX(LdgBankB,$O953),""))</f>
        <v/>
      </c>
      <c r="E953" s="18">
        <f>IF($N953&lt;&gt;"",IF(INDEX(PCCitrus,$N953)="","—",INDEX(PCCitrus,$N953)),"")</f>
        <v/>
      </c>
      <c r="F953" s="19">
        <f>IF($N953&lt;&gt;"",IF(INDEX(PCScale,$N953)=0,"",INDEX(PCScale,$N953)),"")</f>
        <v/>
      </c>
      <c r="G953" s="19">
        <f>IF($N953&lt;&gt;"",IF(INDEX(PCBaskets,$N953)=0,"",INDEX(PCBaskets,$N953)),"")</f>
        <v/>
      </c>
      <c r="H953" s="20">
        <f>IF($N953&lt;&gt;"",IF(INDEX(PCNet,$N953)=0,"",INDEX(PCNet,$N953)),"")</f>
        <v/>
      </c>
      <c r="I953" s="19">
        <f>IF($N953&lt;&gt;"",IF(INDEX(PCOp,$N953)="مرجوعی خرید","",IF(INDEX(PCAmount,$N953)&lt;=0,"",INDEX(PCAmount,$N953))),IF($O953&lt;&gt;"",IF(INDEX(TxnDepB,$O953)=0,"",INDEX(TxnDepB,$O953)),""))</f>
        <v/>
      </c>
      <c r="J953" s="19">
        <f>IF($N953&lt;&gt;"",IF(INDEX(PCOp,$N953)="مرجوعی خرید",IF(INDEX(PCAmount,$N953)=0,"",-INDEX(PCAmount,$N953)),""),IF($O953&lt;&gt;"",IF(INDEX(TxnWitB,$O953)=0,"",INDEX(TxnWitB,$O953)),""))</f>
        <v/>
      </c>
      <c r="K953" s="21">
        <f>IF($B953="","",IF($K952="",$C$10,$K952)+IF($I953="",0,$I953)-IF($J953="",0,$J953))</f>
        <v/>
      </c>
      <c r="L953" s="22">
        <f>IF($N953&lt;&gt;"",IF(INDEX(PCNotes,$N953)="","—",INDEX(PCNotes,$N953)),IF($O953&lt;&gt;"",IF(INDEX(LdgNoteB,$O953)="","—",INDEX(LdgNoteB,$O953)),""))</f>
        <v/>
      </c>
      <c r="N953">
        <f>IFERROR(MATCH($C$5&amp;"|"&amp;RIGHT("000000"&amp;937,6),LdgRankKeyA,0),"")</f>
        <v/>
      </c>
      <c r="O953">
        <f>IFERROR(MATCH($C$5&amp;"|"&amp;RIGHT("000000"&amp;937,6),LdgRankKeyB,0),"")</f>
        <v/>
      </c>
    </row>
    <row r="954">
      <c r="A954" s="23" t="n">
        <v>938</v>
      </c>
      <c r="B954" s="24">
        <f>IF(AND($N954="",$O954=""),"",IF($N954&lt;&gt;"",INDEX(PCNormDate,$N954),INDEX(LdgDateB,$O954)))</f>
        <v/>
      </c>
      <c r="C954" s="24">
        <f>IF($N954&lt;&gt;"",INDEX(PCOp,$N954),IF($O954&lt;&gt;"",IF(N(INDEX(TxnDepB,$O954))&gt;0,"دریافت بانکی","پرداخت بانکی"),""))</f>
        <v/>
      </c>
      <c r="D954" s="24">
        <f>IF($N954&lt;&gt;"",IF(INDEX(PCDoc,$N954)="","—",INDEX(PCDoc,$N954)),IF($O954&lt;&gt;"",INDEX(LdgBankB,$O954),""))</f>
        <v/>
      </c>
      <c r="E954" s="24">
        <f>IF($N954&lt;&gt;"",IF(INDEX(PCCitrus,$N954)="","—",INDEX(PCCitrus,$N954)),"")</f>
        <v/>
      </c>
      <c r="F954" s="25">
        <f>IF($N954&lt;&gt;"",IF(INDEX(PCScale,$N954)=0,"",INDEX(PCScale,$N954)),"")</f>
        <v/>
      </c>
      <c r="G954" s="25">
        <f>IF($N954&lt;&gt;"",IF(INDEX(PCBaskets,$N954)=0,"",INDEX(PCBaskets,$N954)),"")</f>
        <v/>
      </c>
      <c r="H954" s="26">
        <f>IF($N954&lt;&gt;"",IF(INDEX(PCNet,$N954)=0,"",INDEX(PCNet,$N954)),"")</f>
        <v/>
      </c>
      <c r="I954" s="25">
        <f>IF($N954&lt;&gt;"",IF(INDEX(PCOp,$N954)="مرجوعی خرید","",IF(INDEX(PCAmount,$N954)&lt;=0,"",INDEX(PCAmount,$N954))),IF($O954&lt;&gt;"",IF(INDEX(TxnDepB,$O954)=0,"",INDEX(TxnDepB,$O954)),""))</f>
        <v/>
      </c>
      <c r="J954" s="25">
        <f>IF($N954&lt;&gt;"",IF(INDEX(PCOp,$N954)="مرجوعی خرید",IF(INDEX(PCAmount,$N954)=0,"",-INDEX(PCAmount,$N954)),""),IF($O954&lt;&gt;"",IF(INDEX(TxnWitB,$O954)=0,"",INDEX(TxnWitB,$O954)),""))</f>
        <v/>
      </c>
      <c r="K954" s="27">
        <f>IF($B954="","",IF($K953="",$C$10,$K953)+IF($I954="",0,$I954)-IF($J954="",0,$J954))</f>
        <v/>
      </c>
      <c r="L954" s="28">
        <f>IF($N954&lt;&gt;"",IF(INDEX(PCNotes,$N954)="","—",INDEX(PCNotes,$N954)),IF($O954&lt;&gt;"",IF(INDEX(LdgNoteB,$O954)="","—",INDEX(LdgNoteB,$O954)),""))</f>
        <v/>
      </c>
      <c r="N954">
        <f>IFERROR(MATCH($C$5&amp;"|"&amp;RIGHT("000000"&amp;938,6),LdgRankKeyA,0),"")</f>
        <v/>
      </c>
      <c r="O954">
        <f>IFERROR(MATCH($C$5&amp;"|"&amp;RIGHT("000000"&amp;938,6),LdgRankKeyB,0),"")</f>
        <v/>
      </c>
    </row>
    <row r="955">
      <c r="A955" s="17" t="n">
        <v>939</v>
      </c>
      <c r="B955" s="18">
        <f>IF(AND($N955="",$O955=""),"",IF($N955&lt;&gt;"",INDEX(PCNormDate,$N955),INDEX(LdgDateB,$O955)))</f>
        <v/>
      </c>
      <c r="C955" s="18">
        <f>IF($N955&lt;&gt;"",INDEX(PCOp,$N955),IF($O955&lt;&gt;"",IF(N(INDEX(TxnDepB,$O955))&gt;0,"دریافت بانکی","پرداخت بانکی"),""))</f>
        <v/>
      </c>
      <c r="D955" s="18">
        <f>IF($N955&lt;&gt;"",IF(INDEX(PCDoc,$N955)="","—",INDEX(PCDoc,$N955)),IF($O955&lt;&gt;"",INDEX(LdgBankB,$O955),""))</f>
        <v/>
      </c>
      <c r="E955" s="18">
        <f>IF($N955&lt;&gt;"",IF(INDEX(PCCitrus,$N955)="","—",INDEX(PCCitrus,$N955)),"")</f>
        <v/>
      </c>
      <c r="F955" s="19">
        <f>IF($N955&lt;&gt;"",IF(INDEX(PCScale,$N955)=0,"",INDEX(PCScale,$N955)),"")</f>
        <v/>
      </c>
      <c r="G955" s="19">
        <f>IF($N955&lt;&gt;"",IF(INDEX(PCBaskets,$N955)=0,"",INDEX(PCBaskets,$N955)),"")</f>
        <v/>
      </c>
      <c r="H955" s="20">
        <f>IF($N955&lt;&gt;"",IF(INDEX(PCNet,$N955)=0,"",INDEX(PCNet,$N955)),"")</f>
        <v/>
      </c>
      <c r="I955" s="19">
        <f>IF($N955&lt;&gt;"",IF(INDEX(PCOp,$N955)="مرجوعی خرید","",IF(INDEX(PCAmount,$N955)&lt;=0,"",INDEX(PCAmount,$N955))),IF($O955&lt;&gt;"",IF(INDEX(TxnDepB,$O955)=0,"",INDEX(TxnDepB,$O955)),""))</f>
        <v/>
      </c>
      <c r="J955" s="19">
        <f>IF($N955&lt;&gt;"",IF(INDEX(PCOp,$N955)="مرجوعی خرید",IF(INDEX(PCAmount,$N955)=0,"",-INDEX(PCAmount,$N955)),""),IF($O955&lt;&gt;"",IF(INDEX(TxnWitB,$O955)=0,"",INDEX(TxnWitB,$O955)),""))</f>
        <v/>
      </c>
      <c r="K955" s="21">
        <f>IF($B955="","",IF($K954="",$C$10,$K954)+IF($I955="",0,$I955)-IF($J955="",0,$J955))</f>
        <v/>
      </c>
      <c r="L955" s="22">
        <f>IF($N955&lt;&gt;"",IF(INDEX(PCNotes,$N955)="","—",INDEX(PCNotes,$N955)),IF($O955&lt;&gt;"",IF(INDEX(LdgNoteB,$O955)="","—",INDEX(LdgNoteB,$O955)),""))</f>
        <v/>
      </c>
      <c r="N955">
        <f>IFERROR(MATCH($C$5&amp;"|"&amp;RIGHT("000000"&amp;939,6),LdgRankKeyA,0),"")</f>
        <v/>
      </c>
      <c r="O955">
        <f>IFERROR(MATCH($C$5&amp;"|"&amp;RIGHT("000000"&amp;939,6),LdgRankKeyB,0),"")</f>
        <v/>
      </c>
    </row>
    <row r="956">
      <c r="A956" s="23" t="n">
        <v>940</v>
      </c>
      <c r="B956" s="24">
        <f>IF(AND($N956="",$O956=""),"",IF($N956&lt;&gt;"",INDEX(PCNormDate,$N956),INDEX(LdgDateB,$O956)))</f>
        <v/>
      </c>
      <c r="C956" s="24">
        <f>IF($N956&lt;&gt;"",INDEX(PCOp,$N956),IF($O956&lt;&gt;"",IF(N(INDEX(TxnDepB,$O956))&gt;0,"دریافت بانکی","پرداخت بانکی"),""))</f>
        <v/>
      </c>
      <c r="D956" s="24">
        <f>IF($N956&lt;&gt;"",IF(INDEX(PCDoc,$N956)="","—",INDEX(PCDoc,$N956)),IF($O956&lt;&gt;"",INDEX(LdgBankB,$O956),""))</f>
        <v/>
      </c>
      <c r="E956" s="24">
        <f>IF($N956&lt;&gt;"",IF(INDEX(PCCitrus,$N956)="","—",INDEX(PCCitrus,$N956)),"")</f>
        <v/>
      </c>
      <c r="F956" s="25">
        <f>IF($N956&lt;&gt;"",IF(INDEX(PCScale,$N956)=0,"",INDEX(PCScale,$N956)),"")</f>
        <v/>
      </c>
      <c r="G956" s="25">
        <f>IF($N956&lt;&gt;"",IF(INDEX(PCBaskets,$N956)=0,"",INDEX(PCBaskets,$N956)),"")</f>
        <v/>
      </c>
      <c r="H956" s="26">
        <f>IF($N956&lt;&gt;"",IF(INDEX(PCNet,$N956)=0,"",INDEX(PCNet,$N956)),"")</f>
        <v/>
      </c>
      <c r="I956" s="25">
        <f>IF($N956&lt;&gt;"",IF(INDEX(PCOp,$N956)="مرجوعی خرید","",IF(INDEX(PCAmount,$N956)&lt;=0,"",INDEX(PCAmount,$N956))),IF($O956&lt;&gt;"",IF(INDEX(TxnDepB,$O956)=0,"",INDEX(TxnDepB,$O956)),""))</f>
        <v/>
      </c>
      <c r="J956" s="25">
        <f>IF($N956&lt;&gt;"",IF(INDEX(PCOp,$N956)="مرجوعی خرید",IF(INDEX(PCAmount,$N956)=0,"",-INDEX(PCAmount,$N956)),""),IF($O956&lt;&gt;"",IF(INDEX(TxnWitB,$O956)=0,"",INDEX(TxnWitB,$O956)),""))</f>
        <v/>
      </c>
      <c r="K956" s="27">
        <f>IF($B956="","",IF($K955="",$C$10,$K955)+IF($I956="",0,$I956)-IF($J956="",0,$J956))</f>
        <v/>
      </c>
      <c r="L956" s="28">
        <f>IF($N956&lt;&gt;"",IF(INDEX(PCNotes,$N956)="","—",INDEX(PCNotes,$N956)),IF($O956&lt;&gt;"",IF(INDEX(LdgNoteB,$O956)="","—",INDEX(LdgNoteB,$O956)),""))</f>
        <v/>
      </c>
      <c r="N956">
        <f>IFERROR(MATCH($C$5&amp;"|"&amp;RIGHT("000000"&amp;940,6),LdgRankKeyA,0),"")</f>
        <v/>
      </c>
      <c r="O956">
        <f>IFERROR(MATCH($C$5&amp;"|"&amp;RIGHT("000000"&amp;940,6),LdgRankKeyB,0),"")</f>
        <v/>
      </c>
    </row>
    <row r="957">
      <c r="A957" s="17" t="n">
        <v>941</v>
      </c>
      <c r="B957" s="18">
        <f>IF(AND($N957="",$O957=""),"",IF($N957&lt;&gt;"",INDEX(PCNormDate,$N957),INDEX(LdgDateB,$O957)))</f>
        <v/>
      </c>
      <c r="C957" s="18">
        <f>IF($N957&lt;&gt;"",INDEX(PCOp,$N957),IF($O957&lt;&gt;"",IF(N(INDEX(TxnDepB,$O957))&gt;0,"دریافت بانکی","پرداخت بانکی"),""))</f>
        <v/>
      </c>
      <c r="D957" s="18">
        <f>IF($N957&lt;&gt;"",IF(INDEX(PCDoc,$N957)="","—",INDEX(PCDoc,$N957)),IF($O957&lt;&gt;"",INDEX(LdgBankB,$O957),""))</f>
        <v/>
      </c>
      <c r="E957" s="18">
        <f>IF($N957&lt;&gt;"",IF(INDEX(PCCitrus,$N957)="","—",INDEX(PCCitrus,$N957)),"")</f>
        <v/>
      </c>
      <c r="F957" s="19">
        <f>IF($N957&lt;&gt;"",IF(INDEX(PCScale,$N957)=0,"",INDEX(PCScale,$N957)),"")</f>
        <v/>
      </c>
      <c r="G957" s="19">
        <f>IF($N957&lt;&gt;"",IF(INDEX(PCBaskets,$N957)=0,"",INDEX(PCBaskets,$N957)),"")</f>
        <v/>
      </c>
      <c r="H957" s="20">
        <f>IF($N957&lt;&gt;"",IF(INDEX(PCNet,$N957)=0,"",INDEX(PCNet,$N957)),"")</f>
        <v/>
      </c>
      <c r="I957" s="19">
        <f>IF($N957&lt;&gt;"",IF(INDEX(PCOp,$N957)="مرجوعی خرید","",IF(INDEX(PCAmount,$N957)&lt;=0,"",INDEX(PCAmount,$N957))),IF($O957&lt;&gt;"",IF(INDEX(TxnDepB,$O957)=0,"",INDEX(TxnDepB,$O957)),""))</f>
        <v/>
      </c>
      <c r="J957" s="19">
        <f>IF($N957&lt;&gt;"",IF(INDEX(PCOp,$N957)="مرجوعی خرید",IF(INDEX(PCAmount,$N957)=0,"",-INDEX(PCAmount,$N957)),""),IF($O957&lt;&gt;"",IF(INDEX(TxnWitB,$O957)=0,"",INDEX(TxnWitB,$O957)),""))</f>
        <v/>
      </c>
      <c r="K957" s="21">
        <f>IF($B957="","",IF($K956="",$C$10,$K956)+IF($I957="",0,$I957)-IF($J957="",0,$J957))</f>
        <v/>
      </c>
      <c r="L957" s="22">
        <f>IF($N957&lt;&gt;"",IF(INDEX(PCNotes,$N957)="","—",INDEX(PCNotes,$N957)),IF($O957&lt;&gt;"",IF(INDEX(LdgNoteB,$O957)="","—",INDEX(LdgNoteB,$O957)),""))</f>
        <v/>
      </c>
      <c r="N957">
        <f>IFERROR(MATCH($C$5&amp;"|"&amp;RIGHT("000000"&amp;941,6),LdgRankKeyA,0),"")</f>
        <v/>
      </c>
      <c r="O957">
        <f>IFERROR(MATCH($C$5&amp;"|"&amp;RIGHT("000000"&amp;941,6),LdgRankKeyB,0),"")</f>
        <v/>
      </c>
    </row>
    <row r="958">
      <c r="A958" s="23" t="n">
        <v>942</v>
      </c>
      <c r="B958" s="24">
        <f>IF(AND($N958="",$O958=""),"",IF($N958&lt;&gt;"",INDEX(PCNormDate,$N958),INDEX(LdgDateB,$O958)))</f>
        <v/>
      </c>
      <c r="C958" s="24">
        <f>IF($N958&lt;&gt;"",INDEX(PCOp,$N958),IF($O958&lt;&gt;"",IF(N(INDEX(TxnDepB,$O958))&gt;0,"دریافت بانکی","پرداخت بانکی"),""))</f>
        <v/>
      </c>
      <c r="D958" s="24">
        <f>IF($N958&lt;&gt;"",IF(INDEX(PCDoc,$N958)="","—",INDEX(PCDoc,$N958)),IF($O958&lt;&gt;"",INDEX(LdgBankB,$O958),""))</f>
        <v/>
      </c>
      <c r="E958" s="24">
        <f>IF($N958&lt;&gt;"",IF(INDEX(PCCitrus,$N958)="","—",INDEX(PCCitrus,$N958)),"")</f>
        <v/>
      </c>
      <c r="F958" s="25">
        <f>IF($N958&lt;&gt;"",IF(INDEX(PCScale,$N958)=0,"",INDEX(PCScale,$N958)),"")</f>
        <v/>
      </c>
      <c r="G958" s="25">
        <f>IF($N958&lt;&gt;"",IF(INDEX(PCBaskets,$N958)=0,"",INDEX(PCBaskets,$N958)),"")</f>
        <v/>
      </c>
      <c r="H958" s="26">
        <f>IF($N958&lt;&gt;"",IF(INDEX(PCNet,$N958)=0,"",INDEX(PCNet,$N958)),"")</f>
        <v/>
      </c>
      <c r="I958" s="25">
        <f>IF($N958&lt;&gt;"",IF(INDEX(PCOp,$N958)="مرجوعی خرید","",IF(INDEX(PCAmount,$N958)&lt;=0,"",INDEX(PCAmount,$N958))),IF($O958&lt;&gt;"",IF(INDEX(TxnDepB,$O958)=0,"",INDEX(TxnDepB,$O958)),""))</f>
        <v/>
      </c>
      <c r="J958" s="25">
        <f>IF($N958&lt;&gt;"",IF(INDEX(PCOp,$N958)="مرجوعی خرید",IF(INDEX(PCAmount,$N958)=0,"",-INDEX(PCAmount,$N958)),""),IF($O958&lt;&gt;"",IF(INDEX(TxnWitB,$O958)=0,"",INDEX(TxnWitB,$O958)),""))</f>
        <v/>
      </c>
      <c r="K958" s="27">
        <f>IF($B958="","",IF($K957="",$C$10,$K957)+IF($I958="",0,$I958)-IF($J958="",0,$J958))</f>
        <v/>
      </c>
      <c r="L958" s="28">
        <f>IF($N958&lt;&gt;"",IF(INDEX(PCNotes,$N958)="","—",INDEX(PCNotes,$N958)),IF($O958&lt;&gt;"",IF(INDEX(LdgNoteB,$O958)="","—",INDEX(LdgNoteB,$O958)),""))</f>
        <v/>
      </c>
      <c r="N958">
        <f>IFERROR(MATCH($C$5&amp;"|"&amp;RIGHT("000000"&amp;942,6),LdgRankKeyA,0),"")</f>
        <v/>
      </c>
      <c r="O958">
        <f>IFERROR(MATCH($C$5&amp;"|"&amp;RIGHT("000000"&amp;942,6),LdgRankKeyB,0),"")</f>
        <v/>
      </c>
    </row>
    <row r="959">
      <c r="A959" s="17" t="n">
        <v>943</v>
      </c>
      <c r="B959" s="18">
        <f>IF(AND($N959="",$O959=""),"",IF($N959&lt;&gt;"",INDEX(PCNormDate,$N959),INDEX(LdgDateB,$O959)))</f>
        <v/>
      </c>
      <c r="C959" s="18">
        <f>IF($N959&lt;&gt;"",INDEX(PCOp,$N959),IF($O959&lt;&gt;"",IF(N(INDEX(TxnDepB,$O959))&gt;0,"دریافت بانکی","پرداخت بانکی"),""))</f>
        <v/>
      </c>
      <c r="D959" s="18">
        <f>IF($N959&lt;&gt;"",IF(INDEX(PCDoc,$N959)="","—",INDEX(PCDoc,$N959)),IF($O959&lt;&gt;"",INDEX(LdgBankB,$O959),""))</f>
        <v/>
      </c>
      <c r="E959" s="18">
        <f>IF($N959&lt;&gt;"",IF(INDEX(PCCitrus,$N959)="","—",INDEX(PCCitrus,$N959)),"")</f>
        <v/>
      </c>
      <c r="F959" s="19">
        <f>IF($N959&lt;&gt;"",IF(INDEX(PCScale,$N959)=0,"",INDEX(PCScale,$N959)),"")</f>
        <v/>
      </c>
      <c r="G959" s="19">
        <f>IF($N959&lt;&gt;"",IF(INDEX(PCBaskets,$N959)=0,"",INDEX(PCBaskets,$N959)),"")</f>
        <v/>
      </c>
      <c r="H959" s="20">
        <f>IF($N959&lt;&gt;"",IF(INDEX(PCNet,$N959)=0,"",INDEX(PCNet,$N959)),"")</f>
        <v/>
      </c>
      <c r="I959" s="19">
        <f>IF($N959&lt;&gt;"",IF(INDEX(PCOp,$N959)="مرجوعی خرید","",IF(INDEX(PCAmount,$N959)&lt;=0,"",INDEX(PCAmount,$N959))),IF($O959&lt;&gt;"",IF(INDEX(TxnDepB,$O959)=0,"",INDEX(TxnDepB,$O959)),""))</f>
        <v/>
      </c>
      <c r="J959" s="19">
        <f>IF($N959&lt;&gt;"",IF(INDEX(PCOp,$N959)="مرجوعی خرید",IF(INDEX(PCAmount,$N959)=0,"",-INDEX(PCAmount,$N959)),""),IF($O959&lt;&gt;"",IF(INDEX(TxnWitB,$O959)=0,"",INDEX(TxnWitB,$O959)),""))</f>
        <v/>
      </c>
      <c r="K959" s="21">
        <f>IF($B959="","",IF($K958="",$C$10,$K958)+IF($I959="",0,$I959)-IF($J959="",0,$J959))</f>
        <v/>
      </c>
      <c r="L959" s="22">
        <f>IF($N959&lt;&gt;"",IF(INDEX(PCNotes,$N959)="","—",INDEX(PCNotes,$N959)),IF($O959&lt;&gt;"",IF(INDEX(LdgNoteB,$O959)="","—",INDEX(LdgNoteB,$O959)),""))</f>
        <v/>
      </c>
      <c r="N959">
        <f>IFERROR(MATCH($C$5&amp;"|"&amp;RIGHT("000000"&amp;943,6),LdgRankKeyA,0),"")</f>
        <v/>
      </c>
      <c r="O959">
        <f>IFERROR(MATCH($C$5&amp;"|"&amp;RIGHT("000000"&amp;943,6),LdgRankKeyB,0),"")</f>
        <v/>
      </c>
    </row>
    <row r="960">
      <c r="A960" s="23" t="n">
        <v>944</v>
      </c>
      <c r="B960" s="24">
        <f>IF(AND($N960="",$O960=""),"",IF($N960&lt;&gt;"",INDEX(PCNormDate,$N960),INDEX(LdgDateB,$O960)))</f>
        <v/>
      </c>
      <c r="C960" s="24">
        <f>IF($N960&lt;&gt;"",INDEX(PCOp,$N960),IF($O960&lt;&gt;"",IF(N(INDEX(TxnDepB,$O960))&gt;0,"دریافت بانکی","پرداخت بانکی"),""))</f>
        <v/>
      </c>
      <c r="D960" s="24">
        <f>IF($N960&lt;&gt;"",IF(INDEX(PCDoc,$N960)="","—",INDEX(PCDoc,$N960)),IF($O960&lt;&gt;"",INDEX(LdgBankB,$O960),""))</f>
        <v/>
      </c>
      <c r="E960" s="24">
        <f>IF($N960&lt;&gt;"",IF(INDEX(PCCitrus,$N960)="","—",INDEX(PCCitrus,$N960)),"")</f>
        <v/>
      </c>
      <c r="F960" s="25">
        <f>IF($N960&lt;&gt;"",IF(INDEX(PCScale,$N960)=0,"",INDEX(PCScale,$N960)),"")</f>
        <v/>
      </c>
      <c r="G960" s="25">
        <f>IF($N960&lt;&gt;"",IF(INDEX(PCBaskets,$N960)=0,"",INDEX(PCBaskets,$N960)),"")</f>
        <v/>
      </c>
      <c r="H960" s="26">
        <f>IF($N960&lt;&gt;"",IF(INDEX(PCNet,$N960)=0,"",INDEX(PCNet,$N960)),"")</f>
        <v/>
      </c>
      <c r="I960" s="25">
        <f>IF($N960&lt;&gt;"",IF(INDEX(PCOp,$N960)="مرجوعی خرید","",IF(INDEX(PCAmount,$N960)&lt;=0,"",INDEX(PCAmount,$N960))),IF($O960&lt;&gt;"",IF(INDEX(TxnDepB,$O960)=0,"",INDEX(TxnDepB,$O960)),""))</f>
        <v/>
      </c>
      <c r="J960" s="25">
        <f>IF($N960&lt;&gt;"",IF(INDEX(PCOp,$N960)="مرجوعی خرید",IF(INDEX(PCAmount,$N960)=0,"",-INDEX(PCAmount,$N960)),""),IF($O960&lt;&gt;"",IF(INDEX(TxnWitB,$O960)=0,"",INDEX(TxnWitB,$O960)),""))</f>
        <v/>
      </c>
      <c r="K960" s="27">
        <f>IF($B960="","",IF($K959="",$C$10,$K959)+IF($I960="",0,$I960)-IF($J960="",0,$J960))</f>
        <v/>
      </c>
      <c r="L960" s="28">
        <f>IF($N960&lt;&gt;"",IF(INDEX(PCNotes,$N960)="","—",INDEX(PCNotes,$N960)),IF($O960&lt;&gt;"",IF(INDEX(LdgNoteB,$O960)="","—",INDEX(LdgNoteB,$O960)),""))</f>
        <v/>
      </c>
      <c r="N960">
        <f>IFERROR(MATCH($C$5&amp;"|"&amp;RIGHT("000000"&amp;944,6),LdgRankKeyA,0),"")</f>
        <v/>
      </c>
      <c r="O960">
        <f>IFERROR(MATCH($C$5&amp;"|"&amp;RIGHT("000000"&amp;944,6),LdgRankKeyB,0),"")</f>
        <v/>
      </c>
    </row>
    <row r="961">
      <c r="A961" s="17" t="n">
        <v>945</v>
      </c>
      <c r="B961" s="18">
        <f>IF(AND($N961="",$O961=""),"",IF($N961&lt;&gt;"",INDEX(PCNormDate,$N961),INDEX(LdgDateB,$O961)))</f>
        <v/>
      </c>
      <c r="C961" s="18">
        <f>IF($N961&lt;&gt;"",INDEX(PCOp,$N961),IF($O961&lt;&gt;"",IF(N(INDEX(TxnDepB,$O961))&gt;0,"دریافت بانکی","پرداخت بانکی"),""))</f>
        <v/>
      </c>
      <c r="D961" s="18">
        <f>IF($N961&lt;&gt;"",IF(INDEX(PCDoc,$N961)="","—",INDEX(PCDoc,$N961)),IF($O961&lt;&gt;"",INDEX(LdgBankB,$O961),""))</f>
        <v/>
      </c>
      <c r="E961" s="18">
        <f>IF($N961&lt;&gt;"",IF(INDEX(PCCitrus,$N961)="","—",INDEX(PCCitrus,$N961)),"")</f>
        <v/>
      </c>
      <c r="F961" s="19">
        <f>IF($N961&lt;&gt;"",IF(INDEX(PCScale,$N961)=0,"",INDEX(PCScale,$N961)),"")</f>
        <v/>
      </c>
      <c r="G961" s="19">
        <f>IF($N961&lt;&gt;"",IF(INDEX(PCBaskets,$N961)=0,"",INDEX(PCBaskets,$N961)),"")</f>
        <v/>
      </c>
      <c r="H961" s="20">
        <f>IF($N961&lt;&gt;"",IF(INDEX(PCNet,$N961)=0,"",INDEX(PCNet,$N961)),"")</f>
        <v/>
      </c>
      <c r="I961" s="19">
        <f>IF($N961&lt;&gt;"",IF(INDEX(PCOp,$N961)="مرجوعی خرید","",IF(INDEX(PCAmount,$N961)&lt;=0,"",INDEX(PCAmount,$N961))),IF($O961&lt;&gt;"",IF(INDEX(TxnDepB,$O961)=0,"",INDEX(TxnDepB,$O961)),""))</f>
        <v/>
      </c>
      <c r="J961" s="19">
        <f>IF($N961&lt;&gt;"",IF(INDEX(PCOp,$N961)="مرجوعی خرید",IF(INDEX(PCAmount,$N961)=0,"",-INDEX(PCAmount,$N961)),""),IF($O961&lt;&gt;"",IF(INDEX(TxnWitB,$O961)=0,"",INDEX(TxnWitB,$O961)),""))</f>
        <v/>
      </c>
      <c r="K961" s="21">
        <f>IF($B961="","",IF($K960="",$C$10,$K960)+IF($I961="",0,$I961)-IF($J961="",0,$J961))</f>
        <v/>
      </c>
      <c r="L961" s="22">
        <f>IF($N961&lt;&gt;"",IF(INDEX(PCNotes,$N961)="","—",INDEX(PCNotes,$N961)),IF($O961&lt;&gt;"",IF(INDEX(LdgNoteB,$O961)="","—",INDEX(LdgNoteB,$O961)),""))</f>
        <v/>
      </c>
      <c r="N961">
        <f>IFERROR(MATCH($C$5&amp;"|"&amp;RIGHT("000000"&amp;945,6),LdgRankKeyA,0),"")</f>
        <v/>
      </c>
      <c r="O961">
        <f>IFERROR(MATCH($C$5&amp;"|"&amp;RIGHT("000000"&amp;945,6),LdgRankKeyB,0),"")</f>
        <v/>
      </c>
    </row>
    <row r="962">
      <c r="A962" s="23" t="n">
        <v>946</v>
      </c>
      <c r="B962" s="24">
        <f>IF(AND($N962="",$O962=""),"",IF($N962&lt;&gt;"",INDEX(PCNormDate,$N962),INDEX(LdgDateB,$O962)))</f>
        <v/>
      </c>
      <c r="C962" s="24">
        <f>IF($N962&lt;&gt;"",INDEX(PCOp,$N962),IF($O962&lt;&gt;"",IF(N(INDEX(TxnDepB,$O962))&gt;0,"دریافت بانکی","پرداخت بانکی"),""))</f>
        <v/>
      </c>
      <c r="D962" s="24">
        <f>IF($N962&lt;&gt;"",IF(INDEX(PCDoc,$N962)="","—",INDEX(PCDoc,$N962)),IF($O962&lt;&gt;"",INDEX(LdgBankB,$O962),""))</f>
        <v/>
      </c>
      <c r="E962" s="24">
        <f>IF($N962&lt;&gt;"",IF(INDEX(PCCitrus,$N962)="","—",INDEX(PCCitrus,$N962)),"")</f>
        <v/>
      </c>
      <c r="F962" s="25">
        <f>IF($N962&lt;&gt;"",IF(INDEX(PCScale,$N962)=0,"",INDEX(PCScale,$N962)),"")</f>
        <v/>
      </c>
      <c r="G962" s="25">
        <f>IF($N962&lt;&gt;"",IF(INDEX(PCBaskets,$N962)=0,"",INDEX(PCBaskets,$N962)),"")</f>
        <v/>
      </c>
      <c r="H962" s="26">
        <f>IF($N962&lt;&gt;"",IF(INDEX(PCNet,$N962)=0,"",INDEX(PCNet,$N962)),"")</f>
        <v/>
      </c>
      <c r="I962" s="25">
        <f>IF($N962&lt;&gt;"",IF(INDEX(PCOp,$N962)="مرجوعی خرید","",IF(INDEX(PCAmount,$N962)&lt;=0,"",INDEX(PCAmount,$N962))),IF($O962&lt;&gt;"",IF(INDEX(TxnDepB,$O962)=0,"",INDEX(TxnDepB,$O962)),""))</f>
        <v/>
      </c>
      <c r="J962" s="25">
        <f>IF($N962&lt;&gt;"",IF(INDEX(PCOp,$N962)="مرجوعی خرید",IF(INDEX(PCAmount,$N962)=0,"",-INDEX(PCAmount,$N962)),""),IF($O962&lt;&gt;"",IF(INDEX(TxnWitB,$O962)=0,"",INDEX(TxnWitB,$O962)),""))</f>
        <v/>
      </c>
      <c r="K962" s="27">
        <f>IF($B962="","",IF($K961="",$C$10,$K961)+IF($I962="",0,$I962)-IF($J962="",0,$J962))</f>
        <v/>
      </c>
      <c r="L962" s="28">
        <f>IF($N962&lt;&gt;"",IF(INDEX(PCNotes,$N962)="","—",INDEX(PCNotes,$N962)),IF($O962&lt;&gt;"",IF(INDEX(LdgNoteB,$O962)="","—",INDEX(LdgNoteB,$O962)),""))</f>
        <v/>
      </c>
      <c r="N962">
        <f>IFERROR(MATCH($C$5&amp;"|"&amp;RIGHT("000000"&amp;946,6),LdgRankKeyA,0),"")</f>
        <v/>
      </c>
      <c r="O962">
        <f>IFERROR(MATCH($C$5&amp;"|"&amp;RIGHT("000000"&amp;946,6),LdgRankKeyB,0),"")</f>
        <v/>
      </c>
    </row>
    <row r="963">
      <c r="A963" s="17" t="n">
        <v>947</v>
      </c>
      <c r="B963" s="18">
        <f>IF(AND($N963="",$O963=""),"",IF($N963&lt;&gt;"",INDEX(PCNormDate,$N963),INDEX(LdgDateB,$O963)))</f>
        <v/>
      </c>
      <c r="C963" s="18">
        <f>IF($N963&lt;&gt;"",INDEX(PCOp,$N963),IF($O963&lt;&gt;"",IF(N(INDEX(TxnDepB,$O963))&gt;0,"دریافت بانکی","پرداخت بانکی"),""))</f>
        <v/>
      </c>
      <c r="D963" s="18">
        <f>IF($N963&lt;&gt;"",IF(INDEX(PCDoc,$N963)="","—",INDEX(PCDoc,$N963)),IF($O963&lt;&gt;"",INDEX(LdgBankB,$O963),""))</f>
        <v/>
      </c>
      <c r="E963" s="18">
        <f>IF($N963&lt;&gt;"",IF(INDEX(PCCitrus,$N963)="","—",INDEX(PCCitrus,$N963)),"")</f>
        <v/>
      </c>
      <c r="F963" s="19">
        <f>IF($N963&lt;&gt;"",IF(INDEX(PCScale,$N963)=0,"",INDEX(PCScale,$N963)),"")</f>
        <v/>
      </c>
      <c r="G963" s="19">
        <f>IF($N963&lt;&gt;"",IF(INDEX(PCBaskets,$N963)=0,"",INDEX(PCBaskets,$N963)),"")</f>
        <v/>
      </c>
      <c r="H963" s="20">
        <f>IF($N963&lt;&gt;"",IF(INDEX(PCNet,$N963)=0,"",INDEX(PCNet,$N963)),"")</f>
        <v/>
      </c>
      <c r="I963" s="19">
        <f>IF($N963&lt;&gt;"",IF(INDEX(PCOp,$N963)="مرجوعی خرید","",IF(INDEX(PCAmount,$N963)&lt;=0,"",INDEX(PCAmount,$N963))),IF($O963&lt;&gt;"",IF(INDEX(TxnDepB,$O963)=0,"",INDEX(TxnDepB,$O963)),""))</f>
        <v/>
      </c>
      <c r="J963" s="19">
        <f>IF($N963&lt;&gt;"",IF(INDEX(PCOp,$N963)="مرجوعی خرید",IF(INDEX(PCAmount,$N963)=0,"",-INDEX(PCAmount,$N963)),""),IF($O963&lt;&gt;"",IF(INDEX(TxnWitB,$O963)=0,"",INDEX(TxnWitB,$O963)),""))</f>
        <v/>
      </c>
      <c r="K963" s="21">
        <f>IF($B963="","",IF($K962="",$C$10,$K962)+IF($I963="",0,$I963)-IF($J963="",0,$J963))</f>
        <v/>
      </c>
      <c r="L963" s="22">
        <f>IF($N963&lt;&gt;"",IF(INDEX(PCNotes,$N963)="","—",INDEX(PCNotes,$N963)),IF($O963&lt;&gt;"",IF(INDEX(LdgNoteB,$O963)="","—",INDEX(LdgNoteB,$O963)),""))</f>
        <v/>
      </c>
      <c r="N963">
        <f>IFERROR(MATCH($C$5&amp;"|"&amp;RIGHT("000000"&amp;947,6),LdgRankKeyA,0),"")</f>
        <v/>
      </c>
      <c r="O963">
        <f>IFERROR(MATCH($C$5&amp;"|"&amp;RIGHT("000000"&amp;947,6),LdgRankKeyB,0),"")</f>
        <v/>
      </c>
    </row>
    <row r="964">
      <c r="A964" s="23" t="n">
        <v>948</v>
      </c>
      <c r="B964" s="24">
        <f>IF(AND($N964="",$O964=""),"",IF($N964&lt;&gt;"",INDEX(PCNormDate,$N964),INDEX(LdgDateB,$O964)))</f>
        <v/>
      </c>
      <c r="C964" s="24">
        <f>IF($N964&lt;&gt;"",INDEX(PCOp,$N964),IF($O964&lt;&gt;"",IF(N(INDEX(TxnDepB,$O964))&gt;0,"دریافت بانکی","پرداخت بانکی"),""))</f>
        <v/>
      </c>
      <c r="D964" s="24">
        <f>IF($N964&lt;&gt;"",IF(INDEX(PCDoc,$N964)="","—",INDEX(PCDoc,$N964)),IF($O964&lt;&gt;"",INDEX(LdgBankB,$O964),""))</f>
        <v/>
      </c>
      <c r="E964" s="24">
        <f>IF($N964&lt;&gt;"",IF(INDEX(PCCitrus,$N964)="","—",INDEX(PCCitrus,$N964)),"")</f>
        <v/>
      </c>
      <c r="F964" s="25">
        <f>IF($N964&lt;&gt;"",IF(INDEX(PCScale,$N964)=0,"",INDEX(PCScale,$N964)),"")</f>
        <v/>
      </c>
      <c r="G964" s="25">
        <f>IF($N964&lt;&gt;"",IF(INDEX(PCBaskets,$N964)=0,"",INDEX(PCBaskets,$N964)),"")</f>
        <v/>
      </c>
      <c r="H964" s="26">
        <f>IF($N964&lt;&gt;"",IF(INDEX(PCNet,$N964)=0,"",INDEX(PCNet,$N964)),"")</f>
        <v/>
      </c>
      <c r="I964" s="25">
        <f>IF($N964&lt;&gt;"",IF(INDEX(PCOp,$N964)="مرجوعی خرید","",IF(INDEX(PCAmount,$N964)&lt;=0,"",INDEX(PCAmount,$N964))),IF($O964&lt;&gt;"",IF(INDEX(TxnDepB,$O964)=0,"",INDEX(TxnDepB,$O964)),""))</f>
        <v/>
      </c>
      <c r="J964" s="25">
        <f>IF($N964&lt;&gt;"",IF(INDEX(PCOp,$N964)="مرجوعی خرید",IF(INDEX(PCAmount,$N964)=0,"",-INDEX(PCAmount,$N964)),""),IF($O964&lt;&gt;"",IF(INDEX(TxnWitB,$O964)=0,"",INDEX(TxnWitB,$O964)),""))</f>
        <v/>
      </c>
      <c r="K964" s="27">
        <f>IF($B964="","",IF($K963="",$C$10,$K963)+IF($I964="",0,$I964)-IF($J964="",0,$J964))</f>
        <v/>
      </c>
      <c r="L964" s="28">
        <f>IF($N964&lt;&gt;"",IF(INDEX(PCNotes,$N964)="","—",INDEX(PCNotes,$N964)),IF($O964&lt;&gt;"",IF(INDEX(LdgNoteB,$O964)="","—",INDEX(LdgNoteB,$O964)),""))</f>
        <v/>
      </c>
      <c r="N964">
        <f>IFERROR(MATCH($C$5&amp;"|"&amp;RIGHT("000000"&amp;948,6),LdgRankKeyA,0),"")</f>
        <v/>
      </c>
      <c r="O964">
        <f>IFERROR(MATCH($C$5&amp;"|"&amp;RIGHT("000000"&amp;948,6),LdgRankKeyB,0),"")</f>
        <v/>
      </c>
    </row>
    <row r="965">
      <c r="A965" s="17" t="n">
        <v>949</v>
      </c>
      <c r="B965" s="18">
        <f>IF(AND($N965="",$O965=""),"",IF($N965&lt;&gt;"",INDEX(PCNormDate,$N965),INDEX(LdgDateB,$O965)))</f>
        <v/>
      </c>
      <c r="C965" s="18">
        <f>IF($N965&lt;&gt;"",INDEX(PCOp,$N965),IF($O965&lt;&gt;"",IF(N(INDEX(TxnDepB,$O965))&gt;0,"دریافت بانکی","پرداخت بانکی"),""))</f>
        <v/>
      </c>
      <c r="D965" s="18">
        <f>IF($N965&lt;&gt;"",IF(INDEX(PCDoc,$N965)="","—",INDEX(PCDoc,$N965)),IF($O965&lt;&gt;"",INDEX(LdgBankB,$O965),""))</f>
        <v/>
      </c>
      <c r="E965" s="18">
        <f>IF($N965&lt;&gt;"",IF(INDEX(PCCitrus,$N965)="","—",INDEX(PCCitrus,$N965)),"")</f>
        <v/>
      </c>
      <c r="F965" s="19">
        <f>IF($N965&lt;&gt;"",IF(INDEX(PCScale,$N965)=0,"",INDEX(PCScale,$N965)),"")</f>
        <v/>
      </c>
      <c r="G965" s="19">
        <f>IF($N965&lt;&gt;"",IF(INDEX(PCBaskets,$N965)=0,"",INDEX(PCBaskets,$N965)),"")</f>
        <v/>
      </c>
      <c r="H965" s="20">
        <f>IF($N965&lt;&gt;"",IF(INDEX(PCNet,$N965)=0,"",INDEX(PCNet,$N965)),"")</f>
        <v/>
      </c>
      <c r="I965" s="19">
        <f>IF($N965&lt;&gt;"",IF(INDEX(PCOp,$N965)="مرجوعی خرید","",IF(INDEX(PCAmount,$N965)&lt;=0,"",INDEX(PCAmount,$N965))),IF($O965&lt;&gt;"",IF(INDEX(TxnDepB,$O965)=0,"",INDEX(TxnDepB,$O965)),""))</f>
        <v/>
      </c>
      <c r="J965" s="19">
        <f>IF($N965&lt;&gt;"",IF(INDEX(PCOp,$N965)="مرجوعی خرید",IF(INDEX(PCAmount,$N965)=0,"",-INDEX(PCAmount,$N965)),""),IF($O965&lt;&gt;"",IF(INDEX(TxnWitB,$O965)=0,"",INDEX(TxnWitB,$O965)),""))</f>
        <v/>
      </c>
      <c r="K965" s="21">
        <f>IF($B965="","",IF($K964="",$C$10,$K964)+IF($I965="",0,$I965)-IF($J965="",0,$J965))</f>
        <v/>
      </c>
      <c r="L965" s="22">
        <f>IF($N965&lt;&gt;"",IF(INDEX(PCNotes,$N965)="","—",INDEX(PCNotes,$N965)),IF($O965&lt;&gt;"",IF(INDEX(LdgNoteB,$O965)="","—",INDEX(LdgNoteB,$O965)),""))</f>
        <v/>
      </c>
      <c r="N965">
        <f>IFERROR(MATCH($C$5&amp;"|"&amp;RIGHT("000000"&amp;949,6),LdgRankKeyA,0),"")</f>
        <v/>
      </c>
      <c r="O965">
        <f>IFERROR(MATCH($C$5&amp;"|"&amp;RIGHT("000000"&amp;949,6),LdgRankKeyB,0),"")</f>
        <v/>
      </c>
    </row>
    <row r="966">
      <c r="A966" s="23" t="n">
        <v>950</v>
      </c>
      <c r="B966" s="24">
        <f>IF(AND($N966="",$O966=""),"",IF($N966&lt;&gt;"",INDEX(PCNormDate,$N966),INDEX(LdgDateB,$O966)))</f>
        <v/>
      </c>
      <c r="C966" s="24">
        <f>IF($N966&lt;&gt;"",INDEX(PCOp,$N966),IF($O966&lt;&gt;"",IF(N(INDEX(TxnDepB,$O966))&gt;0,"دریافت بانکی","پرداخت بانکی"),""))</f>
        <v/>
      </c>
      <c r="D966" s="24">
        <f>IF($N966&lt;&gt;"",IF(INDEX(PCDoc,$N966)="","—",INDEX(PCDoc,$N966)),IF($O966&lt;&gt;"",INDEX(LdgBankB,$O966),""))</f>
        <v/>
      </c>
      <c r="E966" s="24">
        <f>IF($N966&lt;&gt;"",IF(INDEX(PCCitrus,$N966)="","—",INDEX(PCCitrus,$N966)),"")</f>
        <v/>
      </c>
      <c r="F966" s="25">
        <f>IF($N966&lt;&gt;"",IF(INDEX(PCScale,$N966)=0,"",INDEX(PCScale,$N966)),"")</f>
        <v/>
      </c>
      <c r="G966" s="25">
        <f>IF($N966&lt;&gt;"",IF(INDEX(PCBaskets,$N966)=0,"",INDEX(PCBaskets,$N966)),"")</f>
        <v/>
      </c>
      <c r="H966" s="26">
        <f>IF($N966&lt;&gt;"",IF(INDEX(PCNet,$N966)=0,"",INDEX(PCNet,$N966)),"")</f>
        <v/>
      </c>
      <c r="I966" s="25">
        <f>IF($N966&lt;&gt;"",IF(INDEX(PCOp,$N966)="مرجوعی خرید","",IF(INDEX(PCAmount,$N966)&lt;=0,"",INDEX(PCAmount,$N966))),IF($O966&lt;&gt;"",IF(INDEX(TxnDepB,$O966)=0,"",INDEX(TxnDepB,$O966)),""))</f>
        <v/>
      </c>
      <c r="J966" s="25">
        <f>IF($N966&lt;&gt;"",IF(INDEX(PCOp,$N966)="مرجوعی خرید",IF(INDEX(PCAmount,$N966)=0,"",-INDEX(PCAmount,$N966)),""),IF($O966&lt;&gt;"",IF(INDEX(TxnWitB,$O966)=0,"",INDEX(TxnWitB,$O966)),""))</f>
        <v/>
      </c>
      <c r="K966" s="27">
        <f>IF($B966="","",IF($K965="",$C$10,$K965)+IF($I966="",0,$I966)-IF($J966="",0,$J966))</f>
        <v/>
      </c>
      <c r="L966" s="28">
        <f>IF($N966&lt;&gt;"",IF(INDEX(PCNotes,$N966)="","—",INDEX(PCNotes,$N966)),IF($O966&lt;&gt;"",IF(INDEX(LdgNoteB,$O966)="","—",INDEX(LdgNoteB,$O966)),""))</f>
        <v/>
      </c>
      <c r="N966">
        <f>IFERROR(MATCH($C$5&amp;"|"&amp;RIGHT("000000"&amp;950,6),LdgRankKeyA,0),"")</f>
        <v/>
      </c>
      <c r="O966">
        <f>IFERROR(MATCH($C$5&amp;"|"&amp;RIGHT("000000"&amp;950,6),LdgRankKeyB,0),"")</f>
        <v/>
      </c>
    </row>
    <row r="967">
      <c r="A967" s="17" t="n">
        <v>951</v>
      </c>
      <c r="B967" s="18">
        <f>IF(AND($N967="",$O967=""),"",IF($N967&lt;&gt;"",INDEX(PCNormDate,$N967),INDEX(LdgDateB,$O967)))</f>
        <v/>
      </c>
      <c r="C967" s="18">
        <f>IF($N967&lt;&gt;"",INDEX(PCOp,$N967),IF($O967&lt;&gt;"",IF(N(INDEX(TxnDepB,$O967))&gt;0,"دریافت بانکی","پرداخت بانکی"),""))</f>
        <v/>
      </c>
      <c r="D967" s="18">
        <f>IF($N967&lt;&gt;"",IF(INDEX(PCDoc,$N967)="","—",INDEX(PCDoc,$N967)),IF($O967&lt;&gt;"",INDEX(LdgBankB,$O967),""))</f>
        <v/>
      </c>
      <c r="E967" s="18">
        <f>IF($N967&lt;&gt;"",IF(INDEX(PCCitrus,$N967)="","—",INDEX(PCCitrus,$N967)),"")</f>
        <v/>
      </c>
      <c r="F967" s="19">
        <f>IF($N967&lt;&gt;"",IF(INDEX(PCScale,$N967)=0,"",INDEX(PCScale,$N967)),"")</f>
        <v/>
      </c>
      <c r="G967" s="19">
        <f>IF($N967&lt;&gt;"",IF(INDEX(PCBaskets,$N967)=0,"",INDEX(PCBaskets,$N967)),"")</f>
        <v/>
      </c>
      <c r="H967" s="20">
        <f>IF($N967&lt;&gt;"",IF(INDEX(PCNet,$N967)=0,"",INDEX(PCNet,$N967)),"")</f>
        <v/>
      </c>
      <c r="I967" s="19">
        <f>IF($N967&lt;&gt;"",IF(INDEX(PCOp,$N967)="مرجوعی خرید","",IF(INDEX(PCAmount,$N967)&lt;=0,"",INDEX(PCAmount,$N967))),IF($O967&lt;&gt;"",IF(INDEX(TxnDepB,$O967)=0,"",INDEX(TxnDepB,$O967)),""))</f>
        <v/>
      </c>
      <c r="J967" s="19">
        <f>IF($N967&lt;&gt;"",IF(INDEX(PCOp,$N967)="مرجوعی خرید",IF(INDEX(PCAmount,$N967)=0,"",-INDEX(PCAmount,$N967)),""),IF($O967&lt;&gt;"",IF(INDEX(TxnWitB,$O967)=0,"",INDEX(TxnWitB,$O967)),""))</f>
        <v/>
      </c>
      <c r="K967" s="21">
        <f>IF($B967="","",IF($K966="",$C$10,$K966)+IF($I967="",0,$I967)-IF($J967="",0,$J967))</f>
        <v/>
      </c>
      <c r="L967" s="22">
        <f>IF($N967&lt;&gt;"",IF(INDEX(PCNotes,$N967)="","—",INDEX(PCNotes,$N967)),IF($O967&lt;&gt;"",IF(INDEX(LdgNoteB,$O967)="","—",INDEX(LdgNoteB,$O967)),""))</f>
        <v/>
      </c>
      <c r="N967">
        <f>IFERROR(MATCH($C$5&amp;"|"&amp;RIGHT("000000"&amp;951,6),LdgRankKeyA,0),"")</f>
        <v/>
      </c>
      <c r="O967">
        <f>IFERROR(MATCH($C$5&amp;"|"&amp;RIGHT("000000"&amp;951,6),LdgRankKeyB,0),"")</f>
        <v/>
      </c>
    </row>
    <row r="968">
      <c r="A968" s="23" t="n">
        <v>952</v>
      </c>
      <c r="B968" s="24">
        <f>IF(AND($N968="",$O968=""),"",IF($N968&lt;&gt;"",INDEX(PCNormDate,$N968),INDEX(LdgDateB,$O968)))</f>
        <v/>
      </c>
      <c r="C968" s="24">
        <f>IF($N968&lt;&gt;"",INDEX(PCOp,$N968),IF($O968&lt;&gt;"",IF(N(INDEX(TxnDepB,$O968))&gt;0,"دریافت بانکی","پرداخت بانکی"),""))</f>
        <v/>
      </c>
      <c r="D968" s="24">
        <f>IF($N968&lt;&gt;"",IF(INDEX(PCDoc,$N968)="","—",INDEX(PCDoc,$N968)),IF($O968&lt;&gt;"",INDEX(LdgBankB,$O968),""))</f>
        <v/>
      </c>
      <c r="E968" s="24">
        <f>IF($N968&lt;&gt;"",IF(INDEX(PCCitrus,$N968)="","—",INDEX(PCCitrus,$N968)),"")</f>
        <v/>
      </c>
      <c r="F968" s="25">
        <f>IF($N968&lt;&gt;"",IF(INDEX(PCScale,$N968)=0,"",INDEX(PCScale,$N968)),"")</f>
        <v/>
      </c>
      <c r="G968" s="25">
        <f>IF($N968&lt;&gt;"",IF(INDEX(PCBaskets,$N968)=0,"",INDEX(PCBaskets,$N968)),"")</f>
        <v/>
      </c>
      <c r="H968" s="26">
        <f>IF($N968&lt;&gt;"",IF(INDEX(PCNet,$N968)=0,"",INDEX(PCNet,$N968)),"")</f>
        <v/>
      </c>
      <c r="I968" s="25">
        <f>IF($N968&lt;&gt;"",IF(INDEX(PCOp,$N968)="مرجوعی خرید","",IF(INDEX(PCAmount,$N968)&lt;=0,"",INDEX(PCAmount,$N968))),IF($O968&lt;&gt;"",IF(INDEX(TxnDepB,$O968)=0,"",INDEX(TxnDepB,$O968)),""))</f>
        <v/>
      </c>
      <c r="J968" s="25">
        <f>IF($N968&lt;&gt;"",IF(INDEX(PCOp,$N968)="مرجوعی خرید",IF(INDEX(PCAmount,$N968)=0,"",-INDEX(PCAmount,$N968)),""),IF($O968&lt;&gt;"",IF(INDEX(TxnWitB,$O968)=0,"",INDEX(TxnWitB,$O968)),""))</f>
        <v/>
      </c>
      <c r="K968" s="27">
        <f>IF($B968="","",IF($K967="",$C$10,$K967)+IF($I968="",0,$I968)-IF($J968="",0,$J968))</f>
        <v/>
      </c>
      <c r="L968" s="28">
        <f>IF($N968&lt;&gt;"",IF(INDEX(PCNotes,$N968)="","—",INDEX(PCNotes,$N968)),IF($O968&lt;&gt;"",IF(INDEX(LdgNoteB,$O968)="","—",INDEX(LdgNoteB,$O968)),""))</f>
        <v/>
      </c>
      <c r="N968">
        <f>IFERROR(MATCH($C$5&amp;"|"&amp;RIGHT("000000"&amp;952,6),LdgRankKeyA,0),"")</f>
        <v/>
      </c>
      <c r="O968">
        <f>IFERROR(MATCH($C$5&amp;"|"&amp;RIGHT("000000"&amp;952,6),LdgRankKeyB,0),"")</f>
        <v/>
      </c>
    </row>
    <row r="969">
      <c r="A969" s="17" t="n">
        <v>953</v>
      </c>
      <c r="B969" s="18">
        <f>IF(AND($N969="",$O969=""),"",IF($N969&lt;&gt;"",INDEX(PCNormDate,$N969),INDEX(LdgDateB,$O969)))</f>
        <v/>
      </c>
      <c r="C969" s="18">
        <f>IF($N969&lt;&gt;"",INDEX(PCOp,$N969),IF($O969&lt;&gt;"",IF(N(INDEX(TxnDepB,$O969))&gt;0,"دریافت بانکی","پرداخت بانکی"),""))</f>
        <v/>
      </c>
      <c r="D969" s="18">
        <f>IF($N969&lt;&gt;"",IF(INDEX(PCDoc,$N969)="","—",INDEX(PCDoc,$N969)),IF($O969&lt;&gt;"",INDEX(LdgBankB,$O969),""))</f>
        <v/>
      </c>
      <c r="E969" s="18">
        <f>IF($N969&lt;&gt;"",IF(INDEX(PCCitrus,$N969)="","—",INDEX(PCCitrus,$N969)),"")</f>
        <v/>
      </c>
      <c r="F969" s="19">
        <f>IF($N969&lt;&gt;"",IF(INDEX(PCScale,$N969)=0,"",INDEX(PCScale,$N969)),"")</f>
        <v/>
      </c>
      <c r="G969" s="19">
        <f>IF($N969&lt;&gt;"",IF(INDEX(PCBaskets,$N969)=0,"",INDEX(PCBaskets,$N969)),"")</f>
        <v/>
      </c>
      <c r="H969" s="20">
        <f>IF($N969&lt;&gt;"",IF(INDEX(PCNet,$N969)=0,"",INDEX(PCNet,$N969)),"")</f>
        <v/>
      </c>
      <c r="I969" s="19">
        <f>IF($N969&lt;&gt;"",IF(INDEX(PCOp,$N969)="مرجوعی خرید","",IF(INDEX(PCAmount,$N969)&lt;=0,"",INDEX(PCAmount,$N969))),IF($O969&lt;&gt;"",IF(INDEX(TxnDepB,$O969)=0,"",INDEX(TxnDepB,$O969)),""))</f>
        <v/>
      </c>
      <c r="J969" s="19">
        <f>IF($N969&lt;&gt;"",IF(INDEX(PCOp,$N969)="مرجوعی خرید",IF(INDEX(PCAmount,$N969)=0,"",-INDEX(PCAmount,$N969)),""),IF($O969&lt;&gt;"",IF(INDEX(TxnWitB,$O969)=0,"",INDEX(TxnWitB,$O969)),""))</f>
        <v/>
      </c>
      <c r="K969" s="21">
        <f>IF($B969="","",IF($K968="",$C$10,$K968)+IF($I969="",0,$I969)-IF($J969="",0,$J969))</f>
        <v/>
      </c>
      <c r="L969" s="22">
        <f>IF($N969&lt;&gt;"",IF(INDEX(PCNotes,$N969)="","—",INDEX(PCNotes,$N969)),IF($O969&lt;&gt;"",IF(INDEX(LdgNoteB,$O969)="","—",INDEX(LdgNoteB,$O969)),""))</f>
        <v/>
      </c>
      <c r="N969">
        <f>IFERROR(MATCH($C$5&amp;"|"&amp;RIGHT("000000"&amp;953,6),LdgRankKeyA,0),"")</f>
        <v/>
      </c>
      <c r="O969">
        <f>IFERROR(MATCH($C$5&amp;"|"&amp;RIGHT("000000"&amp;953,6),LdgRankKeyB,0),"")</f>
        <v/>
      </c>
    </row>
    <row r="970">
      <c r="A970" s="23" t="n">
        <v>954</v>
      </c>
      <c r="B970" s="24">
        <f>IF(AND($N970="",$O970=""),"",IF($N970&lt;&gt;"",INDEX(PCNormDate,$N970),INDEX(LdgDateB,$O970)))</f>
        <v/>
      </c>
      <c r="C970" s="24">
        <f>IF($N970&lt;&gt;"",INDEX(PCOp,$N970),IF($O970&lt;&gt;"",IF(N(INDEX(TxnDepB,$O970))&gt;0,"دریافت بانکی","پرداخت بانکی"),""))</f>
        <v/>
      </c>
      <c r="D970" s="24">
        <f>IF($N970&lt;&gt;"",IF(INDEX(PCDoc,$N970)="","—",INDEX(PCDoc,$N970)),IF($O970&lt;&gt;"",INDEX(LdgBankB,$O970),""))</f>
        <v/>
      </c>
      <c r="E970" s="24">
        <f>IF($N970&lt;&gt;"",IF(INDEX(PCCitrus,$N970)="","—",INDEX(PCCitrus,$N970)),"")</f>
        <v/>
      </c>
      <c r="F970" s="25">
        <f>IF($N970&lt;&gt;"",IF(INDEX(PCScale,$N970)=0,"",INDEX(PCScale,$N970)),"")</f>
        <v/>
      </c>
      <c r="G970" s="25">
        <f>IF($N970&lt;&gt;"",IF(INDEX(PCBaskets,$N970)=0,"",INDEX(PCBaskets,$N970)),"")</f>
        <v/>
      </c>
      <c r="H970" s="26">
        <f>IF($N970&lt;&gt;"",IF(INDEX(PCNet,$N970)=0,"",INDEX(PCNet,$N970)),"")</f>
        <v/>
      </c>
      <c r="I970" s="25">
        <f>IF($N970&lt;&gt;"",IF(INDEX(PCOp,$N970)="مرجوعی خرید","",IF(INDEX(PCAmount,$N970)&lt;=0,"",INDEX(PCAmount,$N970))),IF($O970&lt;&gt;"",IF(INDEX(TxnDepB,$O970)=0,"",INDEX(TxnDepB,$O970)),""))</f>
        <v/>
      </c>
      <c r="J970" s="25">
        <f>IF($N970&lt;&gt;"",IF(INDEX(PCOp,$N970)="مرجوعی خرید",IF(INDEX(PCAmount,$N970)=0,"",-INDEX(PCAmount,$N970)),""),IF($O970&lt;&gt;"",IF(INDEX(TxnWitB,$O970)=0,"",INDEX(TxnWitB,$O970)),""))</f>
        <v/>
      </c>
      <c r="K970" s="27">
        <f>IF($B970="","",IF($K969="",$C$10,$K969)+IF($I970="",0,$I970)-IF($J970="",0,$J970))</f>
        <v/>
      </c>
      <c r="L970" s="28">
        <f>IF($N970&lt;&gt;"",IF(INDEX(PCNotes,$N970)="","—",INDEX(PCNotes,$N970)),IF($O970&lt;&gt;"",IF(INDEX(LdgNoteB,$O970)="","—",INDEX(LdgNoteB,$O970)),""))</f>
        <v/>
      </c>
      <c r="N970">
        <f>IFERROR(MATCH($C$5&amp;"|"&amp;RIGHT("000000"&amp;954,6),LdgRankKeyA,0),"")</f>
        <v/>
      </c>
      <c r="O970">
        <f>IFERROR(MATCH($C$5&amp;"|"&amp;RIGHT("000000"&amp;954,6),LdgRankKeyB,0),"")</f>
        <v/>
      </c>
    </row>
    <row r="971">
      <c r="A971" s="17" t="n">
        <v>955</v>
      </c>
      <c r="B971" s="18">
        <f>IF(AND($N971="",$O971=""),"",IF($N971&lt;&gt;"",INDEX(PCNormDate,$N971),INDEX(LdgDateB,$O971)))</f>
        <v/>
      </c>
      <c r="C971" s="18">
        <f>IF($N971&lt;&gt;"",INDEX(PCOp,$N971),IF($O971&lt;&gt;"",IF(N(INDEX(TxnDepB,$O971))&gt;0,"دریافت بانکی","پرداخت بانکی"),""))</f>
        <v/>
      </c>
      <c r="D971" s="18">
        <f>IF($N971&lt;&gt;"",IF(INDEX(PCDoc,$N971)="","—",INDEX(PCDoc,$N971)),IF($O971&lt;&gt;"",INDEX(LdgBankB,$O971),""))</f>
        <v/>
      </c>
      <c r="E971" s="18">
        <f>IF($N971&lt;&gt;"",IF(INDEX(PCCitrus,$N971)="","—",INDEX(PCCitrus,$N971)),"")</f>
        <v/>
      </c>
      <c r="F971" s="19">
        <f>IF($N971&lt;&gt;"",IF(INDEX(PCScale,$N971)=0,"",INDEX(PCScale,$N971)),"")</f>
        <v/>
      </c>
      <c r="G971" s="19">
        <f>IF($N971&lt;&gt;"",IF(INDEX(PCBaskets,$N971)=0,"",INDEX(PCBaskets,$N971)),"")</f>
        <v/>
      </c>
      <c r="H971" s="20">
        <f>IF($N971&lt;&gt;"",IF(INDEX(PCNet,$N971)=0,"",INDEX(PCNet,$N971)),"")</f>
        <v/>
      </c>
      <c r="I971" s="19">
        <f>IF($N971&lt;&gt;"",IF(INDEX(PCOp,$N971)="مرجوعی خرید","",IF(INDEX(PCAmount,$N971)&lt;=0,"",INDEX(PCAmount,$N971))),IF($O971&lt;&gt;"",IF(INDEX(TxnDepB,$O971)=0,"",INDEX(TxnDepB,$O971)),""))</f>
        <v/>
      </c>
      <c r="J971" s="19">
        <f>IF($N971&lt;&gt;"",IF(INDEX(PCOp,$N971)="مرجوعی خرید",IF(INDEX(PCAmount,$N971)=0,"",-INDEX(PCAmount,$N971)),""),IF($O971&lt;&gt;"",IF(INDEX(TxnWitB,$O971)=0,"",INDEX(TxnWitB,$O971)),""))</f>
        <v/>
      </c>
      <c r="K971" s="21">
        <f>IF($B971="","",IF($K970="",$C$10,$K970)+IF($I971="",0,$I971)-IF($J971="",0,$J971))</f>
        <v/>
      </c>
      <c r="L971" s="22">
        <f>IF($N971&lt;&gt;"",IF(INDEX(PCNotes,$N971)="","—",INDEX(PCNotes,$N971)),IF($O971&lt;&gt;"",IF(INDEX(LdgNoteB,$O971)="","—",INDEX(LdgNoteB,$O971)),""))</f>
        <v/>
      </c>
      <c r="N971">
        <f>IFERROR(MATCH($C$5&amp;"|"&amp;RIGHT("000000"&amp;955,6),LdgRankKeyA,0),"")</f>
        <v/>
      </c>
      <c r="O971">
        <f>IFERROR(MATCH($C$5&amp;"|"&amp;RIGHT("000000"&amp;955,6),LdgRankKeyB,0),"")</f>
        <v/>
      </c>
    </row>
    <row r="972">
      <c r="A972" s="23" t="n">
        <v>956</v>
      </c>
      <c r="B972" s="24">
        <f>IF(AND($N972="",$O972=""),"",IF($N972&lt;&gt;"",INDEX(PCNormDate,$N972),INDEX(LdgDateB,$O972)))</f>
        <v/>
      </c>
      <c r="C972" s="24">
        <f>IF($N972&lt;&gt;"",INDEX(PCOp,$N972),IF($O972&lt;&gt;"",IF(N(INDEX(TxnDepB,$O972))&gt;0,"دریافت بانکی","پرداخت بانکی"),""))</f>
        <v/>
      </c>
      <c r="D972" s="24">
        <f>IF($N972&lt;&gt;"",IF(INDEX(PCDoc,$N972)="","—",INDEX(PCDoc,$N972)),IF($O972&lt;&gt;"",INDEX(LdgBankB,$O972),""))</f>
        <v/>
      </c>
      <c r="E972" s="24">
        <f>IF($N972&lt;&gt;"",IF(INDEX(PCCitrus,$N972)="","—",INDEX(PCCitrus,$N972)),"")</f>
        <v/>
      </c>
      <c r="F972" s="25">
        <f>IF($N972&lt;&gt;"",IF(INDEX(PCScale,$N972)=0,"",INDEX(PCScale,$N972)),"")</f>
        <v/>
      </c>
      <c r="G972" s="25">
        <f>IF($N972&lt;&gt;"",IF(INDEX(PCBaskets,$N972)=0,"",INDEX(PCBaskets,$N972)),"")</f>
        <v/>
      </c>
      <c r="H972" s="26">
        <f>IF($N972&lt;&gt;"",IF(INDEX(PCNet,$N972)=0,"",INDEX(PCNet,$N972)),"")</f>
        <v/>
      </c>
      <c r="I972" s="25">
        <f>IF($N972&lt;&gt;"",IF(INDEX(PCOp,$N972)="مرجوعی خرید","",IF(INDEX(PCAmount,$N972)&lt;=0,"",INDEX(PCAmount,$N972))),IF($O972&lt;&gt;"",IF(INDEX(TxnDepB,$O972)=0,"",INDEX(TxnDepB,$O972)),""))</f>
        <v/>
      </c>
      <c r="J972" s="25">
        <f>IF($N972&lt;&gt;"",IF(INDEX(PCOp,$N972)="مرجوعی خرید",IF(INDEX(PCAmount,$N972)=0,"",-INDEX(PCAmount,$N972)),""),IF($O972&lt;&gt;"",IF(INDEX(TxnWitB,$O972)=0,"",INDEX(TxnWitB,$O972)),""))</f>
        <v/>
      </c>
      <c r="K972" s="27">
        <f>IF($B972="","",IF($K971="",$C$10,$K971)+IF($I972="",0,$I972)-IF($J972="",0,$J972))</f>
        <v/>
      </c>
      <c r="L972" s="28">
        <f>IF($N972&lt;&gt;"",IF(INDEX(PCNotes,$N972)="","—",INDEX(PCNotes,$N972)),IF($O972&lt;&gt;"",IF(INDEX(LdgNoteB,$O972)="","—",INDEX(LdgNoteB,$O972)),""))</f>
        <v/>
      </c>
      <c r="N972">
        <f>IFERROR(MATCH($C$5&amp;"|"&amp;RIGHT("000000"&amp;956,6),LdgRankKeyA,0),"")</f>
        <v/>
      </c>
      <c r="O972">
        <f>IFERROR(MATCH($C$5&amp;"|"&amp;RIGHT("000000"&amp;956,6),LdgRankKeyB,0),"")</f>
        <v/>
      </c>
    </row>
    <row r="973">
      <c r="A973" s="17" t="n">
        <v>957</v>
      </c>
      <c r="B973" s="18">
        <f>IF(AND($N973="",$O973=""),"",IF($N973&lt;&gt;"",INDEX(PCNormDate,$N973),INDEX(LdgDateB,$O973)))</f>
        <v/>
      </c>
      <c r="C973" s="18">
        <f>IF($N973&lt;&gt;"",INDEX(PCOp,$N973),IF($O973&lt;&gt;"",IF(N(INDEX(TxnDepB,$O973))&gt;0,"دریافت بانکی","پرداخت بانکی"),""))</f>
        <v/>
      </c>
      <c r="D973" s="18">
        <f>IF($N973&lt;&gt;"",IF(INDEX(PCDoc,$N973)="","—",INDEX(PCDoc,$N973)),IF($O973&lt;&gt;"",INDEX(LdgBankB,$O973),""))</f>
        <v/>
      </c>
      <c r="E973" s="18">
        <f>IF($N973&lt;&gt;"",IF(INDEX(PCCitrus,$N973)="","—",INDEX(PCCitrus,$N973)),"")</f>
        <v/>
      </c>
      <c r="F973" s="19">
        <f>IF($N973&lt;&gt;"",IF(INDEX(PCScale,$N973)=0,"",INDEX(PCScale,$N973)),"")</f>
        <v/>
      </c>
      <c r="G973" s="19">
        <f>IF($N973&lt;&gt;"",IF(INDEX(PCBaskets,$N973)=0,"",INDEX(PCBaskets,$N973)),"")</f>
        <v/>
      </c>
      <c r="H973" s="20">
        <f>IF($N973&lt;&gt;"",IF(INDEX(PCNet,$N973)=0,"",INDEX(PCNet,$N973)),"")</f>
        <v/>
      </c>
      <c r="I973" s="19">
        <f>IF($N973&lt;&gt;"",IF(INDEX(PCOp,$N973)="مرجوعی خرید","",IF(INDEX(PCAmount,$N973)&lt;=0,"",INDEX(PCAmount,$N973))),IF($O973&lt;&gt;"",IF(INDEX(TxnDepB,$O973)=0,"",INDEX(TxnDepB,$O973)),""))</f>
        <v/>
      </c>
      <c r="J973" s="19">
        <f>IF($N973&lt;&gt;"",IF(INDEX(PCOp,$N973)="مرجوعی خرید",IF(INDEX(PCAmount,$N973)=0,"",-INDEX(PCAmount,$N973)),""),IF($O973&lt;&gt;"",IF(INDEX(TxnWitB,$O973)=0,"",INDEX(TxnWitB,$O973)),""))</f>
        <v/>
      </c>
      <c r="K973" s="21">
        <f>IF($B973="","",IF($K972="",$C$10,$K972)+IF($I973="",0,$I973)-IF($J973="",0,$J973))</f>
        <v/>
      </c>
      <c r="L973" s="22">
        <f>IF($N973&lt;&gt;"",IF(INDEX(PCNotes,$N973)="","—",INDEX(PCNotes,$N973)),IF($O973&lt;&gt;"",IF(INDEX(LdgNoteB,$O973)="","—",INDEX(LdgNoteB,$O973)),""))</f>
        <v/>
      </c>
      <c r="N973">
        <f>IFERROR(MATCH($C$5&amp;"|"&amp;RIGHT("000000"&amp;957,6),LdgRankKeyA,0),"")</f>
        <v/>
      </c>
      <c r="O973">
        <f>IFERROR(MATCH($C$5&amp;"|"&amp;RIGHT("000000"&amp;957,6),LdgRankKeyB,0),"")</f>
        <v/>
      </c>
    </row>
    <row r="974">
      <c r="A974" s="23" t="n">
        <v>958</v>
      </c>
      <c r="B974" s="24">
        <f>IF(AND($N974="",$O974=""),"",IF($N974&lt;&gt;"",INDEX(PCNormDate,$N974),INDEX(LdgDateB,$O974)))</f>
        <v/>
      </c>
      <c r="C974" s="24">
        <f>IF($N974&lt;&gt;"",INDEX(PCOp,$N974),IF($O974&lt;&gt;"",IF(N(INDEX(TxnDepB,$O974))&gt;0,"دریافت بانکی","پرداخت بانکی"),""))</f>
        <v/>
      </c>
      <c r="D974" s="24">
        <f>IF($N974&lt;&gt;"",IF(INDEX(PCDoc,$N974)="","—",INDEX(PCDoc,$N974)),IF($O974&lt;&gt;"",INDEX(LdgBankB,$O974),""))</f>
        <v/>
      </c>
      <c r="E974" s="24">
        <f>IF($N974&lt;&gt;"",IF(INDEX(PCCitrus,$N974)="","—",INDEX(PCCitrus,$N974)),"")</f>
        <v/>
      </c>
      <c r="F974" s="25">
        <f>IF($N974&lt;&gt;"",IF(INDEX(PCScale,$N974)=0,"",INDEX(PCScale,$N974)),"")</f>
        <v/>
      </c>
      <c r="G974" s="25">
        <f>IF($N974&lt;&gt;"",IF(INDEX(PCBaskets,$N974)=0,"",INDEX(PCBaskets,$N974)),"")</f>
        <v/>
      </c>
      <c r="H974" s="26">
        <f>IF($N974&lt;&gt;"",IF(INDEX(PCNet,$N974)=0,"",INDEX(PCNet,$N974)),"")</f>
        <v/>
      </c>
      <c r="I974" s="25">
        <f>IF($N974&lt;&gt;"",IF(INDEX(PCOp,$N974)="مرجوعی خرید","",IF(INDEX(PCAmount,$N974)&lt;=0,"",INDEX(PCAmount,$N974))),IF($O974&lt;&gt;"",IF(INDEX(TxnDepB,$O974)=0,"",INDEX(TxnDepB,$O974)),""))</f>
        <v/>
      </c>
      <c r="J974" s="25">
        <f>IF($N974&lt;&gt;"",IF(INDEX(PCOp,$N974)="مرجوعی خرید",IF(INDEX(PCAmount,$N974)=0,"",-INDEX(PCAmount,$N974)),""),IF($O974&lt;&gt;"",IF(INDEX(TxnWitB,$O974)=0,"",INDEX(TxnWitB,$O974)),""))</f>
        <v/>
      </c>
      <c r="K974" s="27">
        <f>IF($B974="","",IF($K973="",$C$10,$K973)+IF($I974="",0,$I974)-IF($J974="",0,$J974))</f>
        <v/>
      </c>
      <c r="L974" s="28">
        <f>IF($N974&lt;&gt;"",IF(INDEX(PCNotes,$N974)="","—",INDEX(PCNotes,$N974)),IF($O974&lt;&gt;"",IF(INDEX(LdgNoteB,$O974)="","—",INDEX(LdgNoteB,$O974)),""))</f>
        <v/>
      </c>
      <c r="N974">
        <f>IFERROR(MATCH($C$5&amp;"|"&amp;RIGHT("000000"&amp;958,6),LdgRankKeyA,0),"")</f>
        <v/>
      </c>
      <c r="O974">
        <f>IFERROR(MATCH($C$5&amp;"|"&amp;RIGHT("000000"&amp;958,6),LdgRankKeyB,0),"")</f>
        <v/>
      </c>
    </row>
    <row r="975">
      <c r="A975" s="17" t="n">
        <v>959</v>
      </c>
      <c r="B975" s="18">
        <f>IF(AND($N975="",$O975=""),"",IF($N975&lt;&gt;"",INDEX(PCNormDate,$N975),INDEX(LdgDateB,$O975)))</f>
        <v/>
      </c>
      <c r="C975" s="18">
        <f>IF($N975&lt;&gt;"",INDEX(PCOp,$N975),IF($O975&lt;&gt;"",IF(N(INDEX(TxnDepB,$O975))&gt;0,"دریافت بانکی","پرداخت بانکی"),""))</f>
        <v/>
      </c>
      <c r="D975" s="18">
        <f>IF($N975&lt;&gt;"",IF(INDEX(PCDoc,$N975)="","—",INDEX(PCDoc,$N975)),IF($O975&lt;&gt;"",INDEX(LdgBankB,$O975),""))</f>
        <v/>
      </c>
      <c r="E975" s="18">
        <f>IF($N975&lt;&gt;"",IF(INDEX(PCCitrus,$N975)="","—",INDEX(PCCitrus,$N975)),"")</f>
        <v/>
      </c>
      <c r="F975" s="19">
        <f>IF($N975&lt;&gt;"",IF(INDEX(PCScale,$N975)=0,"",INDEX(PCScale,$N975)),"")</f>
        <v/>
      </c>
      <c r="G975" s="19">
        <f>IF($N975&lt;&gt;"",IF(INDEX(PCBaskets,$N975)=0,"",INDEX(PCBaskets,$N975)),"")</f>
        <v/>
      </c>
      <c r="H975" s="20">
        <f>IF($N975&lt;&gt;"",IF(INDEX(PCNet,$N975)=0,"",INDEX(PCNet,$N975)),"")</f>
        <v/>
      </c>
      <c r="I975" s="19">
        <f>IF($N975&lt;&gt;"",IF(INDEX(PCOp,$N975)="مرجوعی خرید","",IF(INDEX(PCAmount,$N975)&lt;=0,"",INDEX(PCAmount,$N975))),IF($O975&lt;&gt;"",IF(INDEX(TxnDepB,$O975)=0,"",INDEX(TxnDepB,$O975)),""))</f>
        <v/>
      </c>
      <c r="J975" s="19">
        <f>IF($N975&lt;&gt;"",IF(INDEX(PCOp,$N975)="مرجوعی خرید",IF(INDEX(PCAmount,$N975)=0,"",-INDEX(PCAmount,$N975)),""),IF($O975&lt;&gt;"",IF(INDEX(TxnWitB,$O975)=0,"",INDEX(TxnWitB,$O975)),""))</f>
        <v/>
      </c>
      <c r="K975" s="21">
        <f>IF($B975="","",IF($K974="",$C$10,$K974)+IF($I975="",0,$I975)-IF($J975="",0,$J975))</f>
        <v/>
      </c>
      <c r="L975" s="22">
        <f>IF($N975&lt;&gt;"",IF(INDEX(PCNotes,$N975)="","—",INDEX(PCNotes,$N975)),IF($O975&lt;&gt;"",IF(INDEX(LdgNoteB,$O975)="","—",INDEX(LdgNoteB,$O975)),""))</f>
        <v/>
      </c>
      <c r="N975">
        <f>IFERROR(MATCH($C$5&amp;"|"&amp;RIGHT("000000"&amp;959,6),LdgRankKeyA,0),"")</f>
        <v/>
      </c>
      <c r="O975">
        <f>IFERROR(MATCH($C$5&amp;"|"&amp;RIGHT("000000"&amp;959,6),LdgRankKeyB,0),"")</f>
        <v/>
      </c>
    </row>
    <row r="976">
      <c r="A976" s="23" t="n">
        <v>960</v>
      </c>
      <c r="B976" s="24">
        <f>IF(AND($N976="",$O976=""),"",IF($N976&lt;&gt;"",INDEX(PCNormDate,$N976),INDEX(LdgDateB,$O976)))</f>
        <v/>
      </c>
      <c r="C976" s="24">
        <f>IF($N976&lt;&gt;"",INDEX(PCOp,$N976),IF($O976&lt;&gt;"",IF(N(INDEX(TxnDepB,$O976))&gt;0,"دریافت بانکی","پرداخت بانکی"),""))</f>
        <v/>
      </c>
      <c r="D976" s="24">
        <f>IF($N976&lt;&gt;"",IF(INDEX(PCDoc,$N976)="","—",INDEX(PCDoc,$N976)),IF($O976&lt;&gt;"",INDEX(LdgBankB,$O976),""))</f>
        <v/>
      </c>
      <c r="E976" s="24">
        <f>IF($N976&lt;&gt;"",IF(INDEX(PCCitrus,$N976)="","—",INDEX(PCCitrus,$N976)),"")</f>
        <v/>
      </c>
      <c r="F976" s="25">
        <f>IF($N976&lt;&gt;"",IF(INDEX(PCScale,$N976)=0,"",INDEX(PCScale,$N976)),"")</f>
        <v/>
      </c>
      <c r="G976" s="25">
        <f>IF($N976&lt;&gt;"",IF(INDEX(PCBaskets,$N976)=0,"",INDEX(PCBaskets,$N976)),"")</f>
        <v/>
      </c>
      <c r="H976" s="26">
        <f>IF($N976&lt;&gt;"",IF(INDEX(PCNet,$N976)=0,"",INDEX(PCNet,$N976)),"")</f>
        <v/>
      </c>
      <c r="I976" s="25">
        <f>IF($N976&lt;&gt;"",IF(INDEX(PCOp,$N976)="مرجوعی خرید","",IF(INDEX(PCAmount,$N976)&lt;=0,"",INDEX(PCAmount,$N976))),IF($O976&lt;&gt;"",IF(INDEX(TxnDepB,$O976)=0,"",INDEX(TxnDepB,$O976)),""))</f>
        <v/>
      </c>
      <c r="J976" s="25">
        <f>IF($N976&lt;&gt;"",IF(INDEX(PCOp,$N976)="مرجوعی خرید",IF(INDEX(PCAmount,$N976)=0,"",-INDEX(PCAmount,$N976)),""),IF($O976&lt;&gt;"",IF(INDEX(TxnWitB,$O976)=0,"",INDEX(TxnWitB,$O976)),""))</f>
        <v/>
      </c>
      <c r="K976" s="27">
        <f>IF($B976="","",IF($K975="",$C$10,$K975)+IF($I976="",0,$I976)-IF($J976="",0,$J976))</f>
        <v/>
      </c>
      <c r="L976" s="28">
        <f>IF($N976&lt;&gt;"",IF(INDEX(PCNotes,$N976)="","—",INDEX(PCNotes,$N976)),IF($O976&lt;&gt;"",IF(INDEX(LdgNoteB,$O976)="","—",INDEX(LdgNoteB,$O976)),""))</f>
        <v/>
      </c>
      <c r="N976">
        <f>IFERROR(MATCH($C$5&amp;"|"&amp;RIGHT("000000"&amp;960,6),LdgRankKeyA,0),"")</f>
        <v/>
      </c>
      <c r="O976">
        <f>IFERROR(MATCH($C$5&amp;"|"&amp;RIGHT("000000"&amp;960,6),LdgRankKeyB,0),"")</f>
        <v/>
      </c>
    </row>
    <row r="977">
      <c r="A977" s="17" t="n">
        <v>961</v>
      </c>
      <c r="B977" s="18">
        <f>IF(AND($N977="",$O977=""),"",IF($N977&lt;&gt;"",INDEX(PCNormDate,$N977),INDEX(LdgDateB,$O977)))</f>
        <v/>
      </c>
      <c r="C977" s="18">
        <f>IF($N977&lt;&gt;"",INDEX(PCOp,$N977),IF($O977&lt;&gt;"",IF(N(INDEX(TxnDepB,$O977))&gt;0,"دریافت بانکی","پرداخت بانکی"),""))</f>
        <v/>
      </c>
      <c r="D977" s="18">
        <f>IF($N977&lt;&gt;"",IF(INDEX(PCDoc,$N977)="","—",INDEX(PCDoc,$N977)),IF($O977&lt;&gt;"",INDEX(LdgBankB,$O977),""))</f>
        <v/>
      </c>
      <c r="E977" s="18">
        <f>IF($N977&lt;&gt;"",IF(INDEX(PCCitrus,$N977)="","—",INDEX(PCCitrus,$N977)),"")</f>
        <v/>
      </c>
      <c r="F977" s="19">
        <f>IF($N977&lt;&gt;"",IF(INDEX(PCScale,$N977)=0,"",INDEX(PCScale,$N977)),"")</f>
        <v/>
      </c>
      <c r="G977" s="19">
        <f>IF($N977&lt;&gt;"",IF(INDEX(PCBaskets,$N977)=0,"",INDEX(PCBaskets,$N977)),"")</f>
        <v/>
      </c>
      <c r="H977" s="20">
        <f>IF($N977&lt;&gt;"",IF(INDEX(PCNet,$N977)=0,"",INDEX(PCNet,$N977)),"")</f>
        <v/>
      </c>
      <c r="I977" s="19">
        <f>IF($N977&lt;&gt;"",IF(INDEX(PCOp,$N977)="مرجوعی خرید","",IF(INDEX(PCAmount,$N977)&lt;=0,"",INDEX(PCAmount,$N977))),IF($O977&lt;&gt;"",IF(INDEX(TxnDepB,$O977)=0,"",INDEX(TxnDepB,$O977)),""))</f>
        <v/>
      </c>
      <c r="J977" s="19">
        <f>IF($N977&lt;&gt;"",IF(INDEX(PCOp,$N977)="مرجوعی خرید",IF(INDEX(PCAmount,$N977)=0,"",-INDEX(PCAmount,$N977)),""),IF($O977&lt;&gt;"",IF(INDEX(TxnWitB,$O977)=0,"",INDEX(TxnWitB,$O977)),""))</f>
        <v/>
      </c>
      <c r="K977" s="21">
        <f>IF($B977="","",IF($K976="",$C$10,$K976)+IF($I977="",0,$I977)-IF($J977="",0,$J977))</f>
        <v/>
      </c>
      <c r="L977" s="22">
        <f>IF($N977&lt;&gt;"",IF(INDEX(PCNotes,$N977)="","—",INDEX(PCNotes,$N977)),IF($O977&lt;&gt;"",IF(INDEX(LdgNoteB,$O977)="","—",INDEX(LdgNoteB,$O977)),""))</f>
        <v/>
      </c>
      <c r="N977">
        <f>IFERROR(MATCH($C$5&amp;"|"&amp;RIGHT("000000"&amp;961,6),LdgRankKeyA,0),"")</f>
        <v/>
      </c>
      <c r="O977">
        <f>IFERROR(MATCH($C$5&amp;"|"&amp;RIGHT("000000"&amp;961,6),LdgRankKeyB,0),"")</f>
        <v/>
      </c>
    </row>
    <row r="978">
      <c r="A978" s="23" t="n">
        <v>962</v>
      </c>
      <c r="B978" s="24">
        <f>IF(AND($N978="",$O978=""),"",IF($N978&lt;&gt;"",INDEX(PCNormDate,$N978),INDEX(LdgDateB,$O978)))</f>
        <v/>
      </c>
      <c r="C978" s="24">
        <f>IF($N978&lt;&gt;"",INDEX(PCOp,$N978),IF($O978&lt;&gt;"",IF(N(INDEX(TxnDepB,$O978))&gt;0,"دریافت بانکی","پرداخت بانکی"),""))</f>
        <v/>
      </c>
      <c r="D978" s="24">
        <f>IF($N978&lt;&gt;"",IF(INDEX(PCDoc,$N978)="","—",INDEX(PCDoc,$N978)),IF($O978&lt;&gt;"",INDEX(LdgBankB,$O978),""))</f>
        <v/>
      </c>
      <c r="E978" s="24">
        <f>IF($N978&lt;&gt;"",IF(INDEX(PCCitrus,$N978)="","—",INDEX(PCCitrus,$N978)),"")</f>
        <v/>
      </c>
      <c r="F978" s="25">
        <f>IF($N978&lt;&gt;"",IF(INDEX(PCScale,$N978)=0,"",INDEX(PCScale,$N978)),"")</f>
        <v/>
      </c>
      <c r="G978" s="25">
        <f>IF($N978&lt;&gt;"",IF(INDEX(PCBaskets,$N978)=0,"",INDEX(PCBaskets,$N978)),"")</f>
        <v/>
      </c>
      <c r="H978" s="26">
        <f>IF($N978&lt;&gt;"",IF(INDEX(PCNet,$N978)=0,"",INDEX(PCNet,$N978)),"")</f>
        <v/>
      </c>
      <c r="I978" s="25">
        <f>IF($N978&lt;&gt;"",IF(INDEX(PCOp,$N978)="مرجوعی خرید","",IF(INDEX(PCAmount,$N978)&lt;=0,"",INDEX(PCAmount,$N978))),IF($O978&lt;&gt;"",IF(INDEX(TxnDepB,$O978)=0,"",INDEX(TxnDepB,$O978)),""))</f>
        <v/>
      </c>
      <c r="J978" s="25">
        <f>IF($N978&lt;&gt;"",IF(INDEX(PCOp,$N978)="مرجوعی خرید",IF(INDEX(PCAmount,$N978)=0,"",-INDEX(PCAmount,$N978)),""),IF($O978&lt;&gt;"",IF(INDEX(TxnWitB,$O978)=0,"",INDEX(TxnWitB,$O978)),""))</f>
        <v/>
      </c>
      <c r="K978" s="27">
        <f>IF($B978="","",IF($K977="",$C$10,$K977)+IF($I978="",0,$I978)-IF($J978="",0,$J978))</f>
        <v/>
      </c>
      <c r="L978" s="28">
        <f>IF($N978&lt;&gt;"",IF(INDEX(PCNotes,$N978)="","—",INDEX(PCNotes,$N978)),IF($O978&lt;&gt;"",IF(INDEX(LdgNoteB,$O978)="","—",INDEX(LdgNoteB,$O978)),""))</f>
        <v/>
      </c>
      <c r="N978">
        <f>IFERROR(MATCH($C$5&amp;"|"&amp;RIGHT("000000"&amp;962,6),LdgRankKeyA,0),"")</f>
        <v/>
      </c>
      <c r="O978">
        <f>IFERROR(MATCH($C$5&amp;"|"&amp;RIGHT("000000"&amp;962,6),LdgRankKeyB,0),"")</f>
        <v/>
      </c>
    </row>
    <row r="979">
      <c r="A979" s="17" t="n">
        <v>963</v>
      </c>
      <c r="B979" s="18">
        <f>IF(AND($N979="",$O979=""),"",IF($N979&lt;&gt;"",INDEX(PCNormDate,$N979),INDEX(LdgDateB,$O979)))</f>
        <v/>
      </c>
      <c r="C979" s="18">
        <f>IF($N979&lt;&gt;"",INDEX(PCOp,$N979),IF($O979&lt;&gt;"",IF(N(INDEX(TxnDepB,$O979))&gt;0,"دریافت بانکی","پرداخت بانکی"),""))</f>
        <v/>
      </c>
      <c r="D979" s="18">
        <f>IF($N979&lt;&gt;"",IF(INDEX(PCDoc,$N979)="","—",INDEX(PCDoc,$N979)),IF($O979&lt;&gt;"",INDEX(LdgBankB,$O979),""))</f>
        <v/>
      </c>
      <c r="E979" s="18">
        <f>IF($N979&lt;&gt;"",IF(INDEX(PCCitrus,$N979)="","—",INDEX(PCCitrus,$N979)),"")</f>
        <v/>
      </c>
      <c r="F979" s="19">
        <f>IF($N979&lt;&gt;"",IF(INDEX(PCScale,$N979)=0,"",INDEX(PCScale,$N979)),"")</f>
        <v/>
      </c>
      <c r="G979" s="19">
        <f>IF($N979&lt;&gt;"",IF(INDEX(PCBaskets,$N979)=0,"",INDEX(PCBaskets,$N979)),"")</f>
        <v/>
      </c>
      <c r="H979" s="20">
        <f>IF($N979&lt;&gt;"",IF(INDEX(PCNet,$N979)=0,"",INDEX(PCNet,$N979)),"")</f>
        <v/>
      </c>
      <c r="I979" s="19">
        <f>IF($N979&lt;&gt;"",IF(INDEX(PCOp,$N979)="مرجوعی خرید","",IF(INDEX(PCAmount,$N979)&lt;=0,"",INDEX(PCAmount,$N979))),IF($O979&lt;&gt;"",IF(INDEX(TxnDepB,$O979)=0,"",INDEX(TxnDepB,$O979)),""))</f>
        <v/>
      </c>
      <c r="J979" s="19">
        <f>IF($N979&lt;&gt;"",IF(INDEX(PCOp,$N979)="مرجوعی خرید",IF(INDEX(PCAmount,$N979)=0,"",-INDEX(PCAmount,$N979)),""),IF($O979&lt;&gt;"",IF(INDEX(TxnWitB,$O979)=0,"",INDEX(TxnWitB,$O979)),""))</f>
        <v/>
      </c>
      <c r="K979" s="21">
        <f>IF($B979="","",IF($K978="",$C$10,$K978)+IF($I979="",0,$I979)-IF($J979="",0,$J979))</f>
        <v/>
      </c>
      <c r="L979" s="22">
        <f>IF($N979&lt;&gt;"",IF(INDEX(PCNotes,$N979)="","—",INDEX(PCNotes,$N979)),IF($O979&lt;&gt;"",IF(INDEX(LdgNoteB,$O979)="","—",INDEX(LdgNoteB,$O979)),""))</f>
        <v/>
      </c>
      <c r="N979">
        <f>IFERROR(MATCH($C$5&amp;"|"&amp;RIGHT("000000"&amp;963,6),LdgRankKeyA,0),"")</f>
        <v/>
      </c>
      <c r="O979">
        <f>IFERROR(MATCH($C$5&amp;"|"&amp;RIGHT("000000"&amp;963,6),LdgRankKeyB,0),"")</f>
        <v/>
      </c>
    </row>
    <row r="980">
      <c r="A980" s="23" t="n">
        <v>964</v>
      </c>
      <c r="B980" s="24">
        <f>IF(AND($N980="",$O980=""),"",IF($N980&lt;&gt;"",INDEX(PCNormDate,$N980),INDEX(LdgDateB,$O980)))</f>
        <v/>
      </c>
      <c r="C980" s="24">
        <f>IF($N980&lt;&gt;"",INDEX(PCOp,$N980),IF($O980&lt;&gt;"",IF(N(INDEX(TxnDepB,$O980))&gt;0,"دریافت بانکی","پرداخت بانکی"),""))</f>
        <v/>
      </c>
      <c r="D980" s="24">
        <f>IF($N980&lt;&gt;"",IF(INDEX(PCDoc,$N980)="","—",INDEX(PCDoc,$N980)),IF($O980&lt;&gt;"",INDEX(LdgBankB,$O980),""))</f>
        <v/>
      </c>
      <c r="E980" s="24">
        <f>IF($N980&lt;&gt;"",IF(INDEX(PCCitrus,$N980)="","—",INDEX(PCCitrus,$N980)),"")</f>
        <v/>
      </c>
      <c r="F980" s="25">
        <f>IF($N980&lt;&gt;"",IF(INDEX(PCScale,$N980)=0,"",INDEX(PCScale,$N980)),"")</f>
        <v/>
      </c>
      <c r="G980" s="25">
        <f>IF($N980&lt;&gt;"",IF(INDEX(PCBaskets,$N980)=0,"",INDEX(PCBaskets,$N980)),"")</f>
        <v/>
      </c>
      <c r="H980" s="26">
        <f>IF($N980&lt;&gt;"",IF(INDEX(PCNet,$N980)=0,"",INDEX(PCNet,$N980)),"")</f>
        <v/>
      </c>
      <c r="I980" s="25">
        <f>IF($N980&lt;&gt;"",IF(INDEX(PCOp,$N980)="مرجوعی خرید","",IF(INDEX(PCAmount,$N980)&lt;=0,"",INDEX(PCAmount,$N980))),IF($O980&lt;&gt;"",IF(INDEX(TxnDepB,$O980)=0,"",INDEX(TxnDepB,$O980)),""))</f>
        <v/>
      </c>
      <c r="J980" s="25">
        <f>IF($N980&lt;&gt;"",IF(INDEX(PCOp,$N980)="مرجوعی خرید",IF(INDEX(PCAmount,$N980)=0,"",-INDEX(PCAmount,$N980)),""),IF($O980&lt;&gt;"",IF(INDEX(TxnWitB,$O980)=0,"",INDEX(TxnWitB,$O980)),""))</f>
        <v/>
      </c>
      <c r="K980" s="27">
        <f>IF($B980="","",IF($K979="",$C$10,$K979)+IF($I980="",0,$I980)-IF($J980="",0,$J980))</f>
        <v/>
      </c>
      <c r="L980" s="28">
        <f>IF($N980&lt;&gt;"",IF(INDEX(PCNotes,$N980)="","—",INDEX(PCNotes,$N980)),IF($O980&lt;&gt;"",IF(INDEX(LdgNoteB,$O980)="","—",INDEX(LdgNoteB,$O980)),""))</f>
        <v/>
      </c>
      <c r="N980">
        <f>IFERROR(MATCH($C$5&amp;"|"&amp;RIGHT("000000"&amp;964,6),LdgRankKeyA,0),"")</f>
        <v/>
      </c>
      <c r="O980">
        <f>IFERROR(MATCH($C$5&amp;"|"&amp;RIGHT("000000"&amp;964,6),LdgRankKeyB,0),"")</f>
        <v/>
      </c>
    </row>
    <row r="981">
      <c r="A981" s="17" t="n">
        <v>965</v>
      </c>
      <c r="B981" s="18">
        <f>IF(AND($N981="",$O981=""),"",IF($N981&lt;&gt;"",INDEX(PCNormDate,$N981),INDEX(LdgDateB,$O981)))</f>
        <v/>
      </c>
      <c r="C981" s="18">
        <f>IF($N981&lt;&gt;"",INDEX(PCOp,$N981),IF($O981&lt;&gt;"",IF(N(INDEX(TxnDepB,$O981))&gt;0,"دریافت بانکی","پرداخت بانکی"),""))</f>
        <v/>
      </c>
      <c r="D981" s="18">
        <f>IF($N981&lt;&gt;"",IF(INDEX(PCDoc,$N981)="","—",INDEX(PCDoc,$N981)),IF($O981&lt;&gt;"",INDEX(LdgBankB,$O981),""))</f>
        <v/>
      </c>
      <c r="E981" s="18">
        <f>IF($N981&lt;&gt;"",IF(INDEX(PCCitrus,$N981)="","—",INDEX(PCCitrus,$N981)),"")</f>
        <v/>
      </c>
      <c r="F981" s="19">
        <f>IF($N981&lt;&gt;"",IF(INDEX(PCScale,$N981)=0,"",INDEX(PCScale,$N981)),"")</f>
        <v/>
      </c>
      <c r="G981" s="19">
        <f>IF($N981&lt;&gt;"",IF(INDEX(PCBaskets,$N981)=0,"",INDEX(PCBaskets,$N981)),"")</f>
        <v/>
      </c>
      <c r="H981" s="20">
        <f>IF($N981&lt;&gt;"",IF(INDEX(PCNet,$N981)=0,"",INDEX(PCNet,$N981)),"")</f>
        <v/>
      </c>
      <c r="I981" s="19">
        <f>IF($N981&lt;&gt;"",IF(INDEX(PCOp,$N981)="مرجوعی خرید","",IF(INDEX(PCAmount,$N981)&lt;=0,"",INDEX(PCAmount,$N981))),IF($O981&lt;&gt;"",IF(INDEX(TxnDepB,$O981)=0,"",INDEX(TxnDepB,$O981)),""))</f>
        <v/>
      </c>
      <c r="J981" s="19">
        <f>IF($N981&lt;&gt;"",IF(INDEX(PCOp,$N981)="مرجوعی خرید",IF(INDEX(PCAmount,$N981)=0,"",-INDEX(PCAmount,$N981)),""),IF($O981&lt;&gt;"",IF(INDEX(TxnWitB,$O981)=0,"",INDEX(TxnWitB,$O981)),""))</f>
        <v/>
      </c>
      <c r="K981" s="21">
        <f>IF($B981="","",IF($K980="",$C$10,$K980)+IF($I981="",0,$I981)-IF($J981="",0,$J981))</f>
        <v/>
      </c>
      <c r="L981" s="22">
        <f>IF($N981&lt;&gt;"",IF(INDEX(PCNotes,$N981)="","—",INDEX(PCNotes,$N981)),IF($O981&lt;&gt;"",IF(INDEX(LdgNoteB,$O981)="","—",INDEX(LdgNoteB,$O981)),""))</f>
        <v/>
      </c>
      <c r="N981">
        <f>IFERROR(MATCH($C$5&amp;"|"&amp;RIGHT("000000"&amp;965,6),LdgRankKeyA,0),"")</f>
        <v/>
      </c>
      <c r="O981">
        <f>IFERROR(MATCH($C$5&amp;"|"&amp;RIGHT("000000"&amp;965,6),LdgRankKeyB,0),"")</f>
        <v/>
      </c>
    </row>
    <row r="982">
      <c r="A982" s="23" t="n">
        <v>966</v>
      </c>
      <c r="B982" s="24">
        <f>IF(AND($N982="",$O982=""),"",IF($N982&lt;&gt;"",INDEX(PCNormDate,$N982),INDEX(LdgDateB,$O982)))</f>
        <v/>
      </c>
      <c r="C982" s="24">
        <f>IF($N982&lt;&gt;"",INDEX(PCOp,$N982),IF($O982&lt;&gt;"",IF(N(INDEX(TxnDepB,$O982))&gt;0,"دریافت بانکی","پرداخت بانکی"),""))</f>
        <v/>
      </c>
      <c r="D982" s="24">
        <f>IF($N982&lt;&gt;"",IF(INDEX(PCDoc,$N982)="","—",INDEX(PCDoc,$N982)),IF($O982&lt;&gt;"",INDEX(LdgBankB,$O982),""))</f>
        <v/>
      </c>
      <c r="E982" s="24">
        <f>IF($N982&lt;&gt;"",IF(INDEX(PCCitrus,$N982)="","—",INDEX(PCCitrus,$N982)),"")</f>
        <v/>
      </c>
      <c r="F982" s="25">
        <f>IF($N982&lt;&gt;"",IF(INDEX(PCScale,$N982)=0,"",INDEX(PCScale,$N982)),"")</f>
        <v/>
      </c>
      <c r="G982" s="25">
        <f>IF($N982&lt;&gt;"",IF(INDEX(PCBaskets,$N982)=0,"",INDEX(PCBaskets,$N982)),"")</f>
        <v/>
      </c>
      <c r="H982" s="26">
        <f>IF($N982&lt;&gt;"",IF(INDEX(PCNet,$N982)=0,"",INDEX(PCNet,$N982)),"")</f>
        <v/>
      </c>
      <c r="I982" s="25">
        <f>IF($N982&lt;&gt;"",IF(INDEX(PCOp,$N982)="مرجوعی خرید","",IF(INDEX(PCAmount,$N982)&lt;=0,"",INDEX(PCAmount,$N982))),IF($O982&lt;&gt;"",IF(INDEX(TxnDepB,$O982)=0,"",INDEX(TxnDepB,$O982)),""))</f>
        <v/>
      </c>
      <c r="J982" s="25">
        <f>IF($N982&lt;&gt;"",IF(INDEX(PCOp,$N982)="مرجوعی خرید",IF(INDEX(PCAmount,$N982)=0,"",-INDEX(PCAmount,$N982)),""),IF($O982&lt;&gt;"",IF(INDEX(TxnWitB,$O982)=0,"",INDEX(TxnWitB,$O982)),""))</f>
        <v/>
      </c>
      <c r="K982" s="27">
        <f>IF($B982="","",IF($K981="",$C$10,$K981)+IF($I982="",0,$I982)-IF($J982="",0,$J982))</f>
        <v/>
      </c>
      <c r="L982" s="28">
        <f>IF($N982&lt;&gt;"",IF(INDEX(PCNotes,$N982)="","—",INDEX(PCNotes,$N982)),IF($O982&lt;&gt;"",IF(INDEX(LdgNoteB,$O982)="","—",INDEX(LdgNoteB,$O982)),""))</f>
        <v/>
      </c>
      <c r="N982">
        <f>IFERROR(MATCH($C$5&amp;"|"&amp;RIGHT("000000"&amp;966,6),LdgRankKeyA,0),"")</f>
        <v/>
      </c>
      <c r="O982">
        <f>IFERROR(MATCH($C$5&amp;"|"&amp;RIGHT("000000"&amp;966,6),LdgRankKeyB,0),"")</f>
        <v/>
      </c>
    </row>
    <row r="983">
      <c r="A983" s="17" t="n">
        <v>967</v>
      </c>
      <c r="B983" s="18">
        <f>IF(AND($N983="",$O983=""),"",IF($N983&lt;&gt;"",INDEX(PCNormDate,$N983),INDEX(LdgDateB,$O983)))</f>
        <v/>
      </c>
      <c r="C983" s="18">
        <f>IF($N983&lt;&gt;"",INDEX(PCOp,$N983),IF($O983&lt;&gt;"",IF(N(INDEX(TxnDepB,$O983))&gt;0,"دریافت بانکی","پرداخت بانکی"),""))</f>
        <v/>
      </c>
      <c r="D983" s="18">
        <f>IF($N983&lt;&gt;"",IF(INDEX(PCDoc,$N983)="","—",INDEX(PCDoc,$N983)),IF($O983&lt;&gt;"",INDEX(LdgBankB,$O983),""))</f>
        <v/>
      </c>
      <c r="E983" s="18">
        <f>IF($N983&lt;&gt;"",IF(INDEX(PCCitrus,$N983)="","—",INDEX(PCCitrus,$N983)),"")</f>
        <v/>
      </c>
      <c r="F983" s="19">
        <f>IF($N983&lt;&gt;"",IF(INDEX(PCScale,$N983)=0,"",INDEX(PCScale,$N983)),"")</f>
        <v/>
      </c>
      <c r="G983" s="19">
        <f>IF($N983&lt;&gt;"",IF(INDEX(PCBaskets,$N983)=0,"",INDEX(PCBaskets,$N983)),"")</f>
        <v/>
      </c>
      <c r="H983" s="20">
        <f>IF($N983&lt;&gt;"",IF(INDEX(PCNet,$N983)=0,"",INDEX(PCNet,$N983)),"")</f>
        <v/>
      </c>
      <c r="I983" s="19">
        <f>IF($N983&lt;&gt;"",IF(INDEX(PCOp,$N983)="مرجوعی خرید","",IF(INDEX(PCAmount,$N983)&lt;=0,"",INDEX(PCAmount,$N983))),IF($O983&lt;&gt;"",IF(INDEX(TxnDepB,$O983)=0,"",INDEX(TxnDepB,$O983)),""))</f>
        <v/>
      </c>
      <c r="J983" s="19">
        <f>IF($N983&lt;&gt;"",IF(INDEX(PCOp,$N983)="مرجوعی خرید",IF(INDEX(PCAmount,$N983)=0,"",-INDEX(PCAmount,$N983)),""),IF($O983&lt;&gt;"",IF(INDEX(TxnWitB,$O983)=0,"",INDEX(TxnWitB,$O983)),""))</f>
        <v/>
      </c>
      <c r="K983" s="21">
        <f>IF($B983="","",IF($K982="",$C$10,$K982)+IF($I983="",0,$I983)-IF($J983="",0,$J983))</f>
        <v/>
      </c>
      <c r="L983" s="22">
        <f>IF($N983&lt;&gt;"",IF(INDEX(PCNotes,$N983)="","—",INDEX(PCNotes,$N983)),IF($O983&lt;&gt;"",IF(INDEX(LdgNoteB,$O983)="","—",INDEX(LdgNoteB,$O983)),""))</f>
        <v/>
      </c>
      <c r="N983">
        <f>IFERROR(MATCH($C$5&amp;"|"&amp;RIGHT("000000"&amp;967,6),LdgRankKeyA,0),"")</f>
        <v/>
      </c>
      <c r="O983">
        <f>IFERROR(MATCH($C$5&amp;"|"&amp;RIGHT("000000"&amp;967,6),LdgRankKeyB,0),"")</f>
        <v/>
      </c>
    </row>
    <row r="984">
      <c r="A984" s="23" t="n">
        <v>968</v>
      </c>
      <c r="B984" s="24">
        <f>IF(AND($N984="",$O984=""),"",IF($N984&lt;&gt;"",INDEX(PCNormDate,$N984),INDEX(LdgDateB,$O984)))</f>
        <v/>
      </c>
      <c r="C984" s="24">
        <f>IF($N984&lt;&gt;"",INDEX(PCOp,$N984),IF($O984&lt;&gt;"",IF(N(INDEX(TxnDepB,$O984))&gt;0,"دریافت بانکی","پرداخت بانکی"),""))</f>
        <v/>
      </c>
      <c r="D984" s="24">
        <f>IF($N984&lt;&gt;"",IF(INDEX(PCDoc,$N984)="","—",INDEX(PCDoc,$N984)),IF($O984&lt;&gt;"",INDEX(LdgBankB,$O984),""))</f>
        <v/>
      </c>
      <c r="E984" s="24">
        <f>IF($N984&lt;&gt;"",IF(INDEX(PCCitrus,$N984)="","—",INDEX(PCCitrus,$N984)),"")</f>
        <v/>
      </c>
      <c r="F984" s="25">
        <f>IF($N984&lt;&gt;"",IF(INDEX(PCScale,$N984)=0,"",INDEX(PCScale,$N984)),"")</f>
        <v/>
      </c>
      <c r="G984" s="25">
        <f>IF($N984&lt;&gt;"",IF(INDEX(PCBaskets,$N984)=0,"",INDEX(PCBaskets,$N984)),"")</f>
        <v/>
      </c>
      <c r="H984" s="26">
        <f>IF($N984&lt;&gt;"",IF(INDEX(PCNet,$N984)=0,"",INDEX(PCNet,$N984)),"")</f>
        <v/>
      </c>
      <c r="I984" s="25">
        <f>IF($N984&lt;&gt;"",IF(INDEX(PCOp,$N984)="مرجوعی خرید","",IF(INDEX(PCAmount,$N984)&lt;=0,"",INDEX(PCAmount,$N984))),IF($O984&lt;&gt;"",IF(INDEX(TxnDepB,$O984)=0,"",INDEX(TxnDepB,$O984)),""))</f>
        <v/>
      </c>
      <c r="J984" s="25">
        <f>IF($N984&lt;&gt;"",IF(INDEX(PCOp,$N984)="مرجوعی خرید",IF(INDEX(PCAmount,$N984)=0,"",-INDEX(PCAmount,$N984)),""),IF($O984&lt;&gt;"",IF(INDEX(TxnWitB,$O984)=0,"",INDEX(TxnWitB,$O984)),""))</f>
        <v/>
      </c>
      <c r="K984" s="27">
        <f>IF($B984="","",IF($K983="",$C$10,$K983)+IF($I984="",0,$I984)-IF($J984="",0,$J984))</f>
        <v/>
      </c>
      <c r="L984" s="28">
        <f>IF($N984&lt;&gt;"",IF(INDEX(PCNotes,$N984)="","—",INDEX(PCNotes,$N984)),IF($O984&lt;&gt;"",IF(INDEX(LdgNoteB,$O984)="","—",INDEX(LdgNoteB,$O984)),""))</f>
        <v/>
      </c>
      <c r="N984">
        <f>IFERROR(MATCH($C$5&amp;"|"&amp;RIGHT("000000"&amp;968,6),LdgRankKeyA,0),"")</f>
        <v/>
      </c>
      <c r="O984">
        <f>IFERROR(MATCH($C$5&amp;"|"&amp;RIGHT("000000"&amp;968,6),LdgRankKeyB,0),"")</f>
        <v/>
      </c>
    </row>
    <row r="985">
      <c r="A985" s="17" t="n">
        <v>969</v>
      </c>
      <c r="B985" s="18">
        <f>IF(AND($N985="",$O985=""),"",IF($N985&lt;&gt;"",INDEX(PCNormDate,$N985),INDEX(LdgDateB,$O985)))</f>
        <v/>
      </c>
      <c r="C985" s="18">
        <f>IF($N985&lt;&gt;"",INDEX(PCOp,$N985),IF($O985&lt;&gt;"",IF(N(INDEX(TxnDepB,$O985))&gt;0,"دریافت بانکی","پرداخت بانکی"),""))</f>
        <v/>
      </c>
      <c r="D985" s="18">
        <f>IF($N985&lt;&gt;"",IF(INDEX(PCDoc,$N985)="","—",INDEX(PCDoc,$N985)),IF($O985&lt;&gt;"",INDEX(LdgBankB,$O985),""))</f>
        <v/>
      </c>
      <c r="E985" s="18">
        <f>IF($N985&lt;&gt;"",IF(INDEX(PCCitrus,$N985)="","—",INDEX(PCCitrus,$N985)),"")</f>
        <v/>
      </c>
      <c r="F985" s="19">
        <f>IF($N985&lt;&gt;"",IF(INDEX(PCScale,$N985)=0,"",INDEX(PCScale,$N985)),"")</f>
        <v/>
      </c>
      <c r="G985" s="19">
        <f>IF($N985&lt;&gt;"",IF(INDEX(PCBaskets,$N985)=0,"",INDEX(PCBaskets,$N985)),"")</f>
        <v/>
      </c>
      <c r="H985" s="20">
        <f>IF($N985&lt;&gt;"",IF(INDEX(PCNet,$N985)=0,"",INDEX(PCNet,$N985)),"")</f>
        <v/>
      </c>
      <c r="I985" s="19">
        <f>IF($N985&lt;&gt;"",IF(INDEX(PCOp,$N985)="مرجوعی خرید","",IF(INDEX(PCAmount,$N985)&lt;=0,"",INDEX(PCAmount,$N985))),IF($O985&lt;&gt;"",IF(INDEX(TxnDepB,$O985)=0,"",INDEX(TxnDepB,$O985)),""))</f>
        <v/>
      </c>
      <c r="J985" s="19">
        <f>IF($N985&lt;&gt;"",IF(INDEX(PCOp,$N985)="مرجوعی خرید",IF(INDEX(PCAmount,$N985)=0,"",-INDEX(PCAmount,$N985)),""),IF($O985&lt;&gt;"",IF(INDEX(TxnWitB,$O985)=0,"",INDEX(TxnWitB,$O985)),""))</f>
        <v/>
      </c>
      <c r="K985" s="21">
        <f>IF($B985="","",IF($K984="",$C$10,$K984)+IF($I985="",0,$I985)-IF($J985="",0,$J985))</f>
        <v/>
      </c>
      <c r="L985" s="22">
        <f>IF($N985&lt;&gt;"",IF(INDEX(PCNotes,$N985)="","—",INDEX(PCNotes,$N985)),IF($O985&lt;&gt;"",IF(INDEX(LdgNoteB,$O985)="","—",INDEX(LdgNoteB,$O985)),""))</f>
        <v/>
      </c>
      <c r="N985">
        <f>IFERROR(MATCH($C$5&amp;"|"&amp;RIGHT("000000"&amp;969,6),LdgRankKeyA,0),"")</f>
        <v/>
      </c>
      <c r="O985">
        <f>IFERROR(MATCH($C$5&amp;"|"&amp;RIGHT("000000"&amp;969,6),LdgRankKeyB,0),"")</f>
        <v/>
      </c>
    </row>
    <row r="986">
      <c r="A986" s="23" t="n">
        <v>970</v>
      </c>
      <c r="B986" s="24">
        <f>IF(AND($N986="",$O986=""),"",IF($N986&lt;&gt;"",INDEX(PCNormDate,$N986),INDEX(LdgDateB,$O986)))</f>
        <v/>
      </c>
      <c r="C986" s="24">
        <f>IF($N986&lt;&gt;"",INDEX(PCOp,$N986),IF($O986&lt;&gt;"",IF(N(INDEX(TxnDepB,$O986))&gt;0,"دریافت بانکی","پرداخت بانکی"),""))</f>
        <v/>
      </c>
      <c r="D986" s="24">
        <f>IF($N986&lt;&gt;"",IF(INDEX(PCDoc,$N986)="","—",INDEX(PCDoc,$N986)),IF($O986&lt;&gt;"",INDEX(LdgBankB,$O986),""))</f>
        <v/>
      </c>
      <c r="E986" s="24">
        <f>IF($N986&lt;&gt;"",IF(INDEX(PCCitrus,$N986)="","—",INDEX(PCCitrus,$N986)),"")</f>
        <v/>
      </c>
      <c r="F986" s="25">
        <f>IF($N986&lt;&gt;"",IF(INDEX(PCScale,$N986)=0,"",INDEX(PCScale,$N986)),"")</f>
        <v/>
      </c>
      <c r="G986" s="25">
        <f>IF($N986&lt;&gt;"",IF(INDEX(PCBaskets,$N986)=0,"",INDEX(PCBaskets,$N986)),"")</f>
        <v/>
      </c>
      <c r="H986" s="26">
        <f>IF($N986&lt;&gt;"",IF(INDEX(PCNet,$N986)=0,"",INDEX(PCNet,$N986)),"")</f>
        <v/>
      </c>
      <c r="I986" s="25">
        <f>IF($N986&lt;&gt;"",IF(INDEX(PCOp,$N986)="مرجوعی خرید","",IF(INDEX(PCAmount,$N986)&lt;=0,"",INDEX(PCAmount,$N986))),IF($O986&lt;&gt;"",IF(INDEX(TxnDepB,$O986)=0,"",INDEX(TxnDepB,$O986)),""))</f>
        <v/>
      </c>
      <c r="J986" s="25">
        <f>IF($N986&lt;&gt;"",IF(INDEX(PCOp,$N986)="مرجوعی خرید",IF(INDEX(PCAmount,$N986)=0,"",-INDEX(PCAmount,$N986)),""),IF($O986&lt;&gt;"",IF(INDEX(TxnWitB,$O986)=0,"",INDEX(TxnWitB,$O986)),""))</f>
        <v/>
      </c>
      <c r="K986" s="27">
        <f>IF($B986="","",IF($K985="",$C$10,$K985)+IF($I986="",0,$I986)-IF($J986="",0,$J986))</f>
        <v/>
      </c>
      <c r="L986" s="28">
        <f>IF($N986&lt;&gt;"",IF(INDEX(PCNotes,$N986)="","—",INDEX(PCNotes,$N986)),IF($O986&lt;&gt;"",IF(INDEX(LdgNoteB,$O986)="","—",INDEX(LdgNoteB,$O986)),""))</f>
        <v/>
      </c>
      <c r="N986">
        <f>IFERROR(MATCH($C$5&amp;"|"&amp;RIGHT("000000"&amp;970,6),LdgRankKeyA,0),"")</f>
        <v/>
      </c>
      <c r="O986">
        <f>IFERROR(MATCH($C$5&amp;"|"&amp;RIGHT("000000"&amp;970,6),LdgRankKeyB,0),"")</f>
        <v/>
      </c>
    </row>
    <row r="987">
      <c r="A987" s="17" t="n">
        <v>971</v>
      </c>
      <c r="B987" s="18">
        <f>IF(AND($N987="",$O987=""),"",IF($N987&lt;&gt;"",INDEX(PCNormDate,$N987),INDEX(LdgDateB,$O987)))</f>
        <v/>
      </c>
      <c r="C987" s="18">
        <f>IF($N987&lt;&gt;"",INDEX(PCOp,$N987),IF($O987&lt;&gt;"",IF(N(INDEX(TxnDepB,$O987))&gt;0,"دریافت بانکی","پرداخت بانکی"),""))</f>
        <v/>
      </c>
      <c r="D987" s="18">
        <f>IF($N987&lt;&gt;"",IF(INDEX(PCDoc,$N987)="","—",INDEX(PCDoc,$N987)),IF($O987&lt;&gt;"",INDEX(LdgBankB,$O987),""))</f>
        <v/>
      </c>
      <c r="E987" s="18">
        <f>IF($N987&lt;&gt;"",IF(INDEX(PCCitrus,$N987)="","—",INDEX(PCCitrus,$N987)),"")</f>
        <v/>
      </c>
      <c r="F987" s="19">
        <f>IF($N987&lt;&gt;"",IF(INDEX(PCScale,$N987)=0,"",INDEX(PCScale,$N987)),"")</f>
        <v/>
      </c>
      <c r="G987" s="19">
        <f>IF($N987&lt;&gt;"",IF(INDEX(PCBaskets,$N987)=0,"",INDEX(PCBaskets,$N987)),"")</f>
        <v/>
      </c>
      <c r="H987" s="20">
        <f>IF($N987&lt;&gt;"",IF(INDEX(PCNet,$N987)=0,"",INDEX(PCNet,$N987)),"")</f>
        <v/>
      </c>
      <c r="I987" s="19">
        <f>IF($N987&lt;&gt;"",IF(INDEX(PCOp,$N987)="مرجوعی خرید","",IF(INDEX(PCAmount,$N987)&lt;=0,"",INDEX(PCAmount,$N987))),IF($O987&lt;&gt;"",IF(INDEX(TxnDepB,$O987)=0,"",INDEX(TxnDepB,$O987)),""))</f>
        <v/>
      </c>
      <c r="J987" s="19">
        <f>IF($N987&lt;&gt;"",IF(INDEX(PCOp,$N987)="مرجوعی خرید",IF(INDEX(PCAmount,$N987)=0,"",-INDEX(PCAmount,$N987)),""),IF($O987&lt;&gt;"",IF(INDEX(TxnWitB,$O987)=0,"",INDEX(TxnWitB,$O987)),""))</f>
        <v/>
      </c>
      <c r="K987" s="21">
        <f>IF($B987="","",IF($K986="",$C$10,$K986)+IF($I987="",0,$I987)-IF($J987="",0,$J987))</f>
        <v/>
      </c>
      <c r="L987" s="22">
        <f>IF($N987&lt;&gt;"",IF(INDEX(PCNotes,$N987)="","—",INDEX(PCNotes,$N987)),IF($O987&lt;&gt;"",IF(INDEX(LdgNoteB,$O987)="","—",INDEX(LdgNoteB,$O987)),""))</f>
        <v/>
      </c>
      <c r="N987">
        <f>IFERROR(MATCH($C$5&amp;"|"&amp;RIGHT("000000"&amp;971,6),LdgRankKeyA,0),"")</f>
        <v/>
      </c>
      <c r="O987">
        <f>IFERROR(MATCH($C$5&amp;"|"&amp;RIGHT("000000"&amp;971,6),LdgRankKeyB,0),"")</f>
        <v/>
      </c>
    </row>
    <row r="988">
      <c r="A988" s="23" t="n">
        <v>972</v>
      </c>
      <c r="B988" s="24">
        <f>IF(AND($N988="",$O988=""),"",IF($N988&lt;&gt;"",INDEX(PCNormDate,$N988),INDEX(LdgDateB,$O988)))</f>
        <v/>
      </c>
      <c r="C988" s="24">
        <f>IF($N988&lt;&gt;"",INDEX(PCOp,$N988),IF($O988&lt;&gt;"",IF(N(INDEX(TxnDepB,$O988))&gt;0,"دریافت بانکی","پرداخت بانکی"),""))</f>
        <v/>
      </c>
      <c r="D988" s="24">
        <f>IF($N988&lt;&gt;"",IF(INDEX(PCDoc,$N988)="","—",INDEX(PCDoc,$N988)),IF($O988&lt;&gt;"",INDEX(LdgBankB,$O988),""))</f>
        <v/>
      </c>
      <c r="E988" s="24">
        <f>IF($N988&lt;&gt;"",IF(INDEX(PCCitrus,$N988)="","—",INDEX(PCCitrus,$N988)),"")</f>
        <v/>
      </c>
      <c r="F988" s="25">
        <f>IF($N988&lt;&gt;"",IF(INDEX(PCScale,$N988)=0,"",INDEX(PCScale,$N988)),"")</f>
        <v/>
      </c>
      <c r="G988" s="25">
        <f>IF($N988&lt;&gt;"",IF(INDEX(PCBaskets,$N988)=0,"",INDEX(PCBaskets,$N988)),"")</f>
        <v/>
      </c>
      <c r="H988" s="26">
        <f>IF($N988&lt;&gt;"",IF(INDEX(PCNet,$N988)=0,"",INDEX(PCNet,$N988)),"")</f>
        <v/>
      </c>
      <c r="I988" s="25">
        <f>IF($N988&lt;&gt;"",IF(INDEX(PCOp,$N988)="مرجوعی خرید","",IF(INDEX(PCAmount,$N988)&lt;=0,"",INDEX(PCAmount,$N988))),IF($O988&lt;&gt;"",IF(INDEX(TxnDepB,$O988)=0,"",INDEX(TxnDepB,$O988)),""))</f>
        <v/>
      </c>
      <c r="J988" s="25">
        <f>IF($N988&lt;&gt;"",IF(INDEX(PCOp,$N988)="مرجوعی خرید",IF(INDEX(PCAmount,$N988)=0,"",-INDEX(PCAmount,$N988)),""),IF($O988&lt;&gt;"",IF(INDEX(TxnWitB,$O988)=0,"",INDEX(TxnWitB,$O988)),""))</f>
        <v/>
      </c>
      <c r="K988" s="27">
        <f>IF($B988="","",IF($K987="",$C$10,$K987)+IF($I988="",0,$I988)-IF($J988="",0,$J988))</f>
        <v/>
      </c>
      <c r="L988" s="28">
        <f>IF($N988&lt;&gt;"",IF(INDEX(PCNotes,$N988)="","—",INDEX(PCNotes,$N988)),IF($O988&lt;&gt;"",IF(INDEX(LdgNoteB,$O988)="","—",INDEX(LdgNoteB,$O988)),""))</f>
        <v/>
      </c>
      <c r="N988">
        <f>IFERROR(MATCH($C$5&amp;"|"&amp;RIGHT("000000"&amp;972,6),LdgRankKeyA,0),"")</f>
        <v/>
      </c>
      <c r="O988">
        <f>IFERROR(MATCH($C$5&amp;"|"&amp;RIGHT("000000"&amp;972,6),LdgRankKeyB,0),"")</f>
        <v/>
      </c>
    </row>
    <row r="989">
      <c r="A989" s="17" t="n">
        <v>973</v>
      </c>
      <c r="B989" s="18">
        <f>IF(AND($N989="",$O989=""),"",IF($N989&lt;&gt;"",INDEX(PCNormDate,$N989),INDEX(LdgDateB,$O989)))</f>
        <v/>
      </c>
      <c r="C989" s="18">
        <f>IF($N989&lt;&gt;"",INDEX(PCOp,$N989),IF($O989&lt;&gt;"",IF(N(INDEX(TxnDepB,$O989))&gt;0,"دریافت بانکی","پرداخت بانکی"),""))</f>
        <v/>
      </c>
      <c r="D989" s="18">
        <f>IF($N989&lt;&gt;"",IF(INDEX(PCDoc,$N989)="","—",INDEX(PCDoc,$N989)),IF($O989&lt;&gt;"",INDEX(LdgBankB,$O989),""))</f>
        <v/>
      </c>
      <c r="E989" s="18">
        <f>IF($N989&lt;&gt;"",IF(INDEX(PCCitrus,$N989)="","—",INDEX(PCCitrus,$N989)),"")</f>
        <v/>
      </c>
      <c r="F989" s="19">
        <f>IF($N989&lt;&gt;"",IF(INDEX(PCScale,$N989)=0,"",INDEX(PCScale,$N989)),"")</f>
        <v/>
      </c>
      <c r="G989" s="19">
        <f>IF($N989&lt;&gt;"",IF(INDEX(PCBaskets,$N989)=0,"",INDEX(PCBaskets,$N989)),"")</f>
        <v/>
      </c>
      <c r="H989" s="20">
        <f>IF($N989&lt;&gt;"",IF(INDEX(PCNet,$N989)=0,"",INDEX(PCNet,$N989)),"")</f>
        <v/>
      </c>
      <c r="I989" s="19">
        <f>IF($N989&lt;&gt;"",IF(INDEX(PCOp,$N989)="مرجوعی خرید","",IF(INDEX(PCAmount,$N989)&lt;=0,"",INDEX(PCAmount,$N989))),IF($O989&lt;&gt;"",IF(INDEX(TxnDepB,$O989)=0,"",INDEX(TxnDepB,$O989)),""))</f>
        <v/>
      </c>
      <c r="J989" s="19">
        <f>IF($N989&lt;&gt;"",IF(INDEX(PCOp,$N989)="مرجوعی خرید",IF(INDEX(PCAmount,$N989)=0,"",-INDEX(PCAmount,$N989)),""),IF($O989&lt;&gt;"",IF(INDEX(TxnWitB,$O989)=0,"",INDEX(TxnWitB,$O989)),""))</f>
        <v/>
      </c>
      <c r="K989" s="21">
        <f>IF($B989="","",IF($K988="",$C$10,$K988)+IF($I989="",0,$I989)-IF($J989="",0,$J989))</f>
        <v/>
      </c>
      <c r="L989" s="22">
        <f>IF($N989&lt;&gt;"",IF(INDEX(PCNotes,$N989)="","—",INDEX(PCNotes,$N989)),IF($O989&lt;&gt;"",IF(INDEX(LdgNoteB,$O989)="","—",INDEX(LdgNoteB,$O989)),""))</f>
        <v/>
      </c>
      <c r="N989">
        <f>IFERROR(MATCH($C$5&amp;"|"&amp;RIGHT("000000"&amp;973,6),LdgRankKeyA,0),"")</f>
        <v/>
      </c>
      <c r="O989">
        <f>IFERROR(MATCH($C$5&amp;"|"&amp;RIGHT("000000"&amp;973,6),LdgRankKeyB,0),"")</f>
        <v/>
      </c>
    </row>
    <row r="990">
      <c r="A990" s="23" t="n">
        <v>974</v>
      </c>
      <c r="B990" s="24">
        <f>IF(AND($N990="",$O990=""),"",IF($N990&lt;&gt;"",INDEX(PCNormDate,$N990),INDEX(LdgDateB,$O990)))</f>
        <v/>
      </c>
      <c r="C990" s="24">
        <f>IF($N990&lt;&gt;"",INDEX(PCOp,$N990),IF($O990&lt;&gt;"",IF(N(INDEX(TxnDepB,$O990))&gt;0,"دریافت بانکی","پرداخت بانکی"),""))</f>
        <v/>
      </c>
      <c r="D990" s="24">
        <f>IF($N990&lt;&gt;"",IF(INDEX(PCDoc,$N990)="","—",INDEX(PCDoc,$N990)),IF($O990&lt;&gt;"",INDEX(LdgBankB,$O990),""))</f>
        <v/>
      </c>
      <c r="E990" s="24">
        <f>IF($N990&lt;&gt;"",IF(INDEX(PCCitrus,$N990)="","—",INDEX(PCCitrus,$N990)),"")</f>
        <v/>
      </c>
      <c r="F990" s="25">
        <f>IF($N990&lt;&gt;"",IF(INDEX(PCScale,$N990)=0,"",INDEX(PCScale,$N990)),"")</f>
        <v/>
      </c>
      <c r="G990" s="25">
        <f>IF($N990&lt;&gt;"",IF(INDEX(PCBaskets,$N990)=0,"",INDEX(PCBaskets,$N990)),"")</f>
        <v/>
      </c>
      <c r="H990" s="26">
        <f>IF($N990&lt;&gt;"",IF(INDEX(PCNet,$N990)=0,"",INDEX(PCNet,$N990)),"")</f>
        <v/>
      </c>
      <c r="I990" s="25">
        <f>IF($N990&lt;&gt;"",IF(INDEX(PCOp,$N990)="مرجوعی خرید","",IF(INDEX(PCAmount,$N990)&lt;=0,"",INDEX(PCAmount,$N990))),IF($O990&lt;&gt;"",IF(INDEX(TxnDepB,$O990)=0,"",INDEX(TxnDepB,$O990)),""))</f>
        <v/>
      </c>
      <c r="J990" s="25">
        <f>IF($N990&lt;&gt;"",IF(INDEX(PCOp,$N990)="مرجوعی خرید",IF(INDEX(PCAmount,$N990)=0,"",-INDEX(PCAmount,$N990)),""),IF($O990&lt;&gt;"",IF(INDEX(TxnWitB,$O990)=0,"",INDEX(TxnWitB,$O990)),""))</f>
        <v/>
      </c>
      <c r="K990" s="27">
        <f>IF($B990="","",IF($K989="",$C$10,$K989)+IF($I990="",0,$I990)-IF($J990="",0,$J990))</f>
        <v/>
      </c>
      <c r="L990" s="28">
        <f>IF($N990&lt;&gt;"",IF(INDEX(PCNotes,$N990)="","—",INDEX(PCNotes,$N990)),IF($O990&lt;&gt;"",IF(INDEX(LdgNoteB,$O990)="","—",INDEX(LdgNoteB,$O990)),""))</f>
        <v/>
      </c>
      <c r="N990">
        <f>IFERROR(MATCH($C$5&amp;"|"&amp;RIGHT("000000"&amp;974,6),LdgRankKeyA,0),"")</f>
        <v/>
      </c>
      <c r="O990">
        <f>IFERROR(MATCH($C$5&amp;"|"&amp;RIGHT("000000"&amp;974,6),LdgRankKeyB,0),"")</f>
        <v/>
      </c>
    </row>
    <row r="991">
      <c r="A991" s="17" t="n">
        <v>975</v>
      </c>
      <c r="B991" s="18">
        <f>IF(AND($N991="",$O991=""),"",IF($N991&lt;&gt;"",INDEX(PCNormDate,$N991),INDEX(LdgDateB,$O991)))</f>
        <v/>
      </c>
      <c r="C991" s="18">
        <f>IF($N991&lt;&gt;"",INDEX(PCOp,$N991),IF($O991&lt;&gt;"",IF(N(INDEX(TxnDepB,$O991))&gt;0,"دریافت بانکی","پرداخت بانکی"),""))</f>
        <v/>
      </c>
      <c r="D991" s="18">
        <f>IF($N991&lt;&gt;"",IF(INDEX(PCDoc,$N991)="","—",INDEX(PCDoc,$N991)),IF($O991&lt;&gt;"",INDEX(LdgBankB,$O991),""))</f>
        <v/>
      </c>
      <c r="E991" s="18">
        <f>IF($N991&lt;&gt;"",IF(INDEX(PCCitrus,$N991)="","—",INDEX(PCCitrus,$N991)),"")</f>
        <v/>
      </c>
      <c r="F991" s="19">
        <f>IF($N991&lt;&gt;"",IF(INDEX(PCScale,$N991)=0,"",INDEX(PCScale,$N991)),"")</f>
        <v/>
      </c>
      <c r="G991" s="19">
        <f>IF($N991&lt;&gt;"",IF(INDEX(PCBaskets,$N991)=0,"",INDEX(PCBaskets,$N991)),"")</f>
        <v/>
      </c>
      <c r="H991" s="20">
        <f>IF($N991&lt;&gt;"",IF(INDEX(PCNet,$N991)=0,"",INDEX(PCNet,$N991)),"")</f>
        <v/>
      </c>
      <c r="I991" s="19">
        <f>IF($N991&lt;&gt;"",IF(INDEX(PCOp,$N991)="مرجوعی خرید","",IF(INDEX(PCAmount,$N991)&lt;=0,"",INDEX(PCAmount,$N991))),IF($O991&lt;&gt;"",IF(INDEX(TxnDepB,$O991)=0,"",INDEX(TxnDepB,$O991)),""))</f>
        <v/>
      </c>
      <c r="J991" s="19">
        <f>IF($N991&lt;&gt;"",IF(INDEX(PCOp,$N991)="مرجوعی خرید",IF(INDEX(PCAmount,$N991)=0,"",-INDEX(PCAmount,$N991)),""),IF($O991&lt;&gt;"",IF(INDEX(TxnWitB,$O991)=0,"",INDEX(TxnWitB,$O991)),""))</f>
        <v/>
      </c>
      <c r="K991" s="21">
        <f>IF($B991="","",IF($K990="",$C$10,$K990)+IF($I991="",0,$I991)-IF($J991="",0,$J991))</f>
        <v/>
      </c>
      <c r="L991" s="22">
        <f>IF($N991&lt;&gt;"",IF(INDEX(PCNotes,$N991)="","—",INDEX(PCNotes,$N991)),IF($O991&lt;&gt;"",IF(INDEX(LdgNoteB,$O991)="","—",INDEX(LdgNoteB,$O991)),""))</f>
        <v/>
      </c>
      <c r="N991">
        <f>IFERROR(MATCH($C$5&amp;"|"&amp;RIGHT("000000"&amp;975,6),LdgRankKeyA,0),"")</f>
        <v/>
      </c>
      <c r="O991">
        <f>IFERROR(MATCH($C$5&amp;"|"&amp;RIGHT("000000"&amp;975,6),LdgRankKeyB,0),"")</f>
        <v/>
      </c>
    </row>
    <row r="992">
      <c r="A992" s="23" t="n">
        <v>976</v>
      </c>
      <c r="B992" s="24">
        <f>IF(AND($N992="",$O992=""),"",IF($N992&lt;&gt;"",INDEX(PCNormDate,$N992),INDEX(LdgDateB,$O992)))</f>
        <v/>
      </c>
      <c r="C992" s="24">
        <f>IF($N992&lt;&gt;"",INDEX(PCOp,$N992),IF($O992&lt;&gt;"",IF(N(INDEX(TxnDepB,$O992))&gt;0,"دریافت بانکی","پرداخت بانکی"),""))</f>
        <v/>
      </c>
      <c r="D992" s="24">
        <f>IF($N992&lt;&gt;"",IF(INDEX(PCDoc,$N992)="","—",INDEX(PCDoc,$N992)),IF($O992&lt;&gt;"",INDEX(LdgBankB,$O992),""))</f>
        <v/>
      </c>
      <c r="E992" s="24">
        <f>IF($N992&lt;&gt;"",IF(INDEX(PCCitrus,$N992)="","—",INDEX(PCCitrus,$N992)),"")</f>
        <v/>
      </c>
      <c r="F992" s="25">
        <f>IF($N992&lt;&gt;"",IF(INDEX(PCScale,$N992)=0,"",INDEX(PCScale,$N992)),"")</f>
        <v/>
      </c>
      <c r="G992" s="25">
        <f>IF($N992&lt;&gt;"",IF(INDEX(PCBaskets,$N992)=0,"",INDEX(PCBaskets,$N992)),"")</f>
        <v/>
      </c>
      <c r="H992" s="26">
        <f>IF($N992&lt;&gt;"",IF(INDEX(PCNet,$N992)=0,"",INDEX(PCNet,$N992)),"")</f>
        <v/>
      </c>
      <c r="I992" s="25">
        <f>IF($N992&lt;&gt;"",IF(INDEX(PCOp,$N992)="مرجوعی خرید","",IF(INDEX(PCAmount,$N992)&lt;=0,"",INDEX(PCAmount,$N992))),IF($O992&lt;&gt;"",IF(INDEX(TxnDepB,$O992)=0,"",INDEX(TxnDepB,$O992)),""))</f>
        <v/>
      </c>
      <c r="J992" s="25">
        <f>IF($N992&lt;&gt;"",IF(INDEX(PCOp,$N992)="مرجوعی خرید",IF(INDEX(PCAmount,$N992)=0,"",-INDEX(PCAmount,$N992)),""),IF($O992&lt;&gt;"",IF(INDEX(TxnWitB,$O992)=0,"",INDEX(TxnWitB,$O992)),""))</f>
        <v/>
      </c>
      <c r="K992" s="27">
        <f>IF($B992="","",IF($K991="",$C$10,$K991)+IF($I992="",0,$I992)-IF($J992="",0,$J992))</f>
        <v/>
      </c>
      <c r="L992" s="28">
        <f>IF($N992&lt;&gt;"",IF(INDEX(PCNotes,$N992)="","—",INDEX(PCNotes,$N992)),IF($O992&lt;&gt;"",IF(INDEX(LdgNoteB,$O992)="","—",INDEX(LdgNoteB,$O992)),""))</f>
        <v/>
      </c>
      <c r="N992">
        <f>IFERROR(MATCH($C$5&amp;"|"&amp;RIGHT("000000"&amp;976,6),LdgRankKeyA,0),"")</f>
        <v/>
      </c>
      <c r="O992">
        <f>IFERROR(MATCH($C$5&amp;"|"&amp;RIGHT("000000"&amp;976,6),LdgRankKeyB,0),"")</f>
        <v/>
      </c>
    </row>
    <row r="993">
      <c r="A993" s="17" t="n">
        <v>977</v>
      </c>
      <c r="B993" s="18">
        <f>IF(AND($N993="",$O993=""),"",IF($N993&lt;&gt;"",INDEX(PCNormDate,$N993),INDEX(LdgDateB,$O993)))</f>
        <v/>
      </c>
      <c r="C993" s="18">
        <f>IF($N993&lt;&gt;"",INDEX(PCOp,$N993),IF($O993&lt;&gt;"",IF(N(INDEX(TxnDepB,$O993))&gt;0,"دریافت بانکی","پرداخت بانکی"),""))</f>
        <v/>
      </c>
      <c r="D993" s="18">
        <f>IF($N993&lt;&gt;"",IF(INDEX(PCDoc,$N993)="","—",INDEX(PCDoc,$N993)),IF($O993&lt;&gt;"",INDEX(LdgBankB,$O993),""))</f>
        <v/>
      </c>
      <c r="E993" s="18">
        <f>IF($N993&lt;&gt;"",IF(INDEX(PCCitrus,$N993)="","—",INDEX(PCCitrus,$N993)),"")</f>
        <v/>
      </c>
      <c r="F993" s="19">
        <f>IF($N993&lt;&gt;"",IF(INDEX(PCScale,$N993)=0,"",INDEX(PCScale,$N993)),"")</f>
        <v/>
      </c>
      <c r="G993" s="19">
        <f>IF($N993&lt;&gt;"",IF(INDEX(PCBaskets,$N993)=0,"",INDEX(PCBaskets,$N993)),"")</f>
        <v/>
      </c>
      <c r="H993" s="20">
        <f>IF($N993&lt;&gt;"",IF(INDEX(PCNet,$N993)=0,"",INDEX(PCNet,$N993)),"")</f>
        <v/>
      </c>
      <c r="I993" s="19">
        <f>IF($N993&lt;&gt;"",IF(INDEX(PCOp,$N993)="مرجوعی خرید","",IF(INDEX(PCAmount,$N993)&lt;=0,"",INDEX(PCAmount,$N993))),IF($O993&lt;&gt;"",IF(INDEX(TxnDepB,$O993)=0,"",INDEX(TxnDepB,$O993)),""))</f>
        <v/>
      </c>
      <c r="J993" s="19">
        <f>IF($N993&lt;&gt;"",IF(INDEX(PCOp,$N993)="مرجوعی خرید",IF(INDEX(PCAmount,$N993)=0,"",-INDEX(PCAmount,$N993)),""),IF($O993&lt;&gt;"",IF(INDEX(TxnWitB,$O993)=0,"",INDEX(TxnWitB,$O993)),""))</f>
        <v/>
      </c>
      <c r="K993" s="21">
        <f>IF($B993="","",IF($K992="",$C$10,$K992)+IF($I993="",0,$I993)-IF($J993="",0,$J993))</f>
        <v/>
      </c>
      <c r="L993" s="22">
        <f>IF($N993&lt;&gt;"",IF(INDEX(PCNotes,$N993)="","—",INDEX(PCNotes,$N993)),IF($O993&lt;&gt;"",IF(INDEX(LdgNoteB,$O993)="","—",INDEX(LdgNoteB,$O993)),""))</f>
        <v/>
      </c>
      <c r="N993">
        <f>IFERROR(MATCH($C$5&amp;"|"&amp;RIGHT("000000"&amp;977,6),LdgRankKeyA,0),"")</f>
        <v/>
      </c>
      <c r="O993">
        <f>IFERROR(MATCH($C$5&amp;"|"&amp;RIGHT("000000"&amp;977,6),LdgRankKeyB,0),"")</f>
        <v/>
      </c>
    </row>
    <row r="994">
      <c r="A994" s="23" t="n">
        <v>978</v>
      </c>
      <c r="B994" s="24">
        <f>IF(AND($N994="",$O994=""),"",IF($N994&lt;&gt;"",INDEX(PCNormDate,$N994),INDEX(LdgDateB,$O994)))</f>
        <v/>
      </c>
      <c r="C994" s="24">
        <f>IF($N994&lt;&gt;"",INDEX(PCOp,$N994),IF($O994&lt;&gt;"",IF(N(INDEX(TxnDepB,$O994))&gt;0,"دریافت بانکی","پرداخت بانکی"),""))</f>
        <v/>
      </c>
      <c r="D994" s="24">
        <f>IF($N994&lt;&gt;"",IF(INDEX(PCDoc,$N994)="","—",INDEX(PCDoc,$N994)),IF($O994&lt;&gt;"",INDEX(LdgBankB,$O994),""))</f>
        <v/>
      </c>
      <c r="E994" s="24">
        <f>IF($N994&lt;&gt;"",IF(INDEX(PCCitrus,$N994)="","—",INDEX(PCCitrus,$N994)),"")</f>
        <v/>
      </c>
      <c r="F994" s="25">
        <f>IF($N994&lt;&gt;"",IF(INDEX(PCScale,$N994)=0,"",INDEX(PCScale,$N994)),"")</f>
        <v/>
      </c>
      <c r="G994" s="25">
        <f>IF($N994&lt;&gt;"",IF(INDEX(PCBaskets,$N994)=0,"",INDEX(PCBaskets,$N994)),"")</f>
        <v/>
      </c>
      <c r="H994" s="26">
        <f>IF($N994&lt;&gt;"",IF(INDEX(PCNet,$N994)=0,"",INDEX(PCNet,$N994)),"")</f>
        <v/>
      </c>
      <c r="I994" s="25">
        <f>IF($N994&lt;&gt;"",IF(INDEX(PCOp,$N994)="مرجوعی خرید","",IF(INDEX(PCAmount,$N994)&lt;=0,"",INDEX(PCAmount,$N994))),IF($O994&lt;&gt;"",IF(INDEX(TxnDepB,$O994)=0,"",INDEX(TxnDepB,$O994)),""))</f>
        <v/>
      </c>
      <c r="J994" s="25">
        <f>IF($N994&lt;&gt;"",IF(INDEX(PCOp,$N994)="مرجوعی خرید",IF(INDEX(PCAmount,$N994)=0,"",-INDEX(PCAmount,$N994)),""),IF($O994&lt;&gt;"",IF(INDEX(TxnWitB,$O994)=0,"",INDEX(TxnWitB,$O994)),""))</f>
        <v/>
      </c>
      <c r="K994" s="27">
        <f>IF($B994="","",IF($K993="",$C$10,$K993)+IF($I994="",0,$I994)-IF($J994="",0,$J994))</f>
        <v/>
      </c>
      <c r="L994" s="28">
        <f>IF($N994&lt;&gt;"",IF(INDEX(PCNotes,$N994)="","—",INDEX(PCNotes,$N994)),IF($O994&lt;&gt;"",IF(INDEX(LdgNoteB,$O994)="","—",INDEX(LdgNoteB,$O994)),""))</f>
        <v/>
      </c>
      <c r="N994">
        <f>IFERROR(MATCH($C$5&amp;"|"&amp;RIGHT("000000"&amp;978,6),LdgRankKeyA,0),"")</f>
        <v/>
      </c>
      <c r="O994">
        <f>IFERROR(MATCH($C$5&amp;"|"&amp;RIGHT("000000"&amp;978,6),LdgRankKeyB,0),"")</f>
        <v/>
      </c>
    </row>
    <row r="995">
      <c r="A995" s="17" t="n">
        <v>979</v>
      </c>
      <c r="B995" s="18">
        <f>IF(AND($N995="",$O995=""),"",IF($N995&lt;&gt;"",INDEX(PCNormDate,$N995),INDEX(LdgDateB,$O995)))</f>
        <v/>
      </c>
      <c r="C995" s="18">
        <f>IF($N995&lt;&gt;"",INDEX(PCOp,$N995),IF($O995&lt;&gt;"",IF(N(INDEX(TxnDepB,$O995))&gt;0,"دریافت بانکی","پرداخت بانکی"),""))</f>
        <v/>
      </c>
      <c r="D995" s="18">
        <f>IF($N995&lt;&gt;"",IF(INDEX(PCDoc,$N995)="","—",INDEX(PCDoc,$N995)),IF($O995&lt;&gt;"",INDEX(LdgBankB,$O995),""))</f>
        <v/>
      </c>
      <c r="E995" s="18">
        <f>IF($N995&lt;&gt;"",IF(INDEX(PCCitrus,$N995)="","—",INDEX(PCCitrus,$N995)),"")</f>
        <v/>
      </c>
      <c r="F995" s="19">
        <f>IF($N995&lt;&gt;"",IF(INDEX(PCScale,$N995)=0,"",INDEX(PCScale,$N995)),"")</f>
        <v/>
      </c>
      <c r="G995" s="19">
        <f>IF($N995&lt;&gt;"",IF(INDEX(PCBaskets,$N995)=0,"",INDEX(PCBaskets,$N995)),"")</f>
        <v/>
      </c>
      <c r="H995" s="20">
        <f>IF($N995&lt;&gt;"",IF(INDEX(PCNet,$N995)=0,"",INDEX(PCNet,$N995)),"")</f>
        <v/>
      </c>
      <c r="I995" s="19">
        <f>IF($N995&lt;&gt;"",IF(INDEX(PCOp,$N995)="مرجوعی خرید","",IF(INDEX(PCAmount,$N995)&lt;=0,"",INDEX(PCAmount,$N995))),IF($O995&lt;&gt;"",IF(INDEX(TxnDepB,$O995)=0,"",INDEX(TxnDepB,$O995)),""))</f>
        <v/>
      </c>
      <c r="J995" s="19">
        <f>IF($N995&lt;&gt;"",IF(INDEX(PCOp,$N995)="مرجوعی خرید",IF(INDEX(PCAmount,$N995)=0,"",-INDEX(PCAmount,$N995)),""),IF($O995&lt;&gt;"",IF(INDEX(TxnWitB,$O995)=0,"",INDEX(TxnWitB,$O995)),""))</f>
        <v/>
      </c>
      <c r="K995" s="21">
        <f>IF($B995="","",IF($K994="",$C$10,$K994)+IF($I995="",0,$I995)-IF($J995="",0,$J995))</f>
        <v/>
      </c>
      <c r="L995" s="22">
        <f>IF($N995&lt;&gt;"",IF(INDEX(PCNotes,$N995)="","—",INDEX(PCNotes,$N995)),IF($O995&lt;&gt;"",IF(INDEX(LdgNoteB,$O995)="","—",INDEX(LdgNoteB,$O995)),""))</f>
        <v/>
      </c>
      <c r="N995">
        <f>IFERROR(MATCH($C$5&amp;"|"&amp;RIGHT("000000"&amp;979,6),LdgRankKeyA,0),"")</f>
        <v/>
      </c>
      <c r="O995">
        <f>IFERROR(MATCH($C$5&amp;"|"&amp;RIGHT("000000"&amp;979,6),LdgRankKeyB,0),"")</f>
        <v/>
      </c>
    </row>
    <row r="996">
      <c r="A996" s="23" t="n">
        <v>980</v>
      </c>
      <c r="B996" s="24">
        <f>IF(AND($N996="",$O996=""),"",IF($N996&lt;&gt;"",INDEX(PCNormDate,$N996),INDEX(LdgDateB,$O996)))</f>
        <v/>
      </c>
      <c r="C996" s="24">
        <f>IF($N996&lt;&gt;"",INDEX(PCOp,$N996),IF($O996&lt;&gt;"",IF(N(INDEX(TxnDepB,$O996))&gt;0,"دریافت بانکی","پرداخت بانکی"),""))</f>
        <v/>
      </c>
      <c r="D996" s="24">
        <f>IF($N996&lt;&gt;"",IF(INDEX(PCDoc,$N996)="","—",INDEX(PCDoc,$N996)),IF($O996&lt;&gt;"",INDEX(LdgBankB,$O996),""))</f>
        <v/>
      </c>
      <c r="E996" s="24">
        <f>IF($N996&lt;&gt;"",IF(INDEX(PCCitrus,$N996)="","—",INDEX(PCCitrus,$N996)),"")</f>
        <v/>
      </c>
      <c r="F996" s="25">
        <f>IF($N996&lt;&gt;"",IF(INDEX(PCScale,$N996)=0,"",INDEX(PCScale,$N996)),"")</f>
        <v/>
      </c>
      <c r="G996" s="25">
        <f>IF($N996&lt;&gt;"",IF(INDEX(PCBaskets,$N996)=0,"",INDEX(PCBaskets,$N996)),"")</f>
        <v/>
      </c>
      <c r="H996" s="26">
        <f>IF($N996&lt;&gt;"",IF(INDEX(PCNet,$N996)=0,"",INDEX(PCNet,$N996)),"")</f>
        <v/>
      </c>
      <c r="I996" s="25">
        <f>IF($N996&lt;&gt;"",IF(INDEX(PCOp,$N996)="مرجوعی خرید","",IF(INDEX(PCAmount,$N996)&lt;=0,"",INDEX(PCAmount,$N996))),IF($O996&lt;&gt;"",IF(INDEX(TxnDepB,$O996)=0,"",INDEX(TxnDepB,$O996)),""))</f>
        <v/>
      </c>
      <c r="J996" s="25">
        <f>IF($N996&lt;&gt;"",IF(INDEX(PCOp,$N996)="مرجوعی خرید",IF(INDEX(PCAmount,$N996)=0,"",-INDEX(PCAmount,$N996)),""),IF($O996&lt;&gt;"",IF(INDEX(TxnWitB,$O996)=0,"",INDEX(TxnWitB,$O996)),""))</f>
        <v/>
      </c>
      <c r="K996" s="27">
        <f>IF($B996="","",IF($K995="",$C$10,$K995)+IF($I996="",0,$I996)-IF($J996="",0,$J996))</f>
        <v/>
      </c>
      <c r="L996" s="28">
        <f>IF($N996&lt;&gt;"",IF(INDEX(PCNotes,$N996)="","—",INDEX(PCNotes,$N996)),IF($O996&lt;&gt;"",IF(INDEX(LdgNoteB,$O996)="","—",INDEX(LdgNoteB,$O996)),""))</f>
        <v/>
      </c>
      <c r="N996">
        <f>IFERROR(MATCH($C$5&amp;"|"&amp;RIGHT("000000"&amp;980,6),LdgRankKeyA,0),"")</f>
        <v/>
      </c>
      <c r="O996">
        <f>IFERROR(MATCH($C$5&amp;"|"&amp;RIGHT("000000"&amp;980,6),LdgRankKeyB,0),"")</f>
        <v/>
      </c>
    </row>
    <row r="997">
      <c r="A997" s="17" t="n">
        <v>981</v>
      </c>
      <c r="B997" s="18">
        <f>IF(AND($N997="",$O997=""),"",IF($N997&lt;&gt;"",INDEX(PCNormDate,$N997),INDEX(LdgDateB,$O997)))</f>
        <v/>
      </c>
      <c r="C997" s="18">
        <f>IF($N997&lt;&gt;"",INDEX(PCOp,$N997),IF($O997&lt;&gt;"",IF(N(INDEX(TxnDepB,$O997))&gt;0,"دریافت بانکی","پرداخت بانکی"),""))</f>
        <v/>
      </c>
      <c r="D997" s="18">
        <f>IF($N997&lt;&gt;"",IF(INDEX(PCDoc,$N997)="","—",INDEX(PCDoc,$N997)),IF($O997&lt;&gt;"",INDEX(LdgBankB,$O997),""))</f>
        <v/>
      </c>
      <c r="E997" s="18">
        <f>IF($N997&lt;&gt;"",IF(INDEX(PCCitrus,$N997)="","—",INDEX(PCCitrus,$N997)),"")</f>
        <v/>
      </c>
      <c r="F997" s="19">
        <f>IF($N997&lt;&gt;"",IF(INDEX(PCScale,$N997)=0,"",INDEX(PCScale,$N997)),"")</f>
        <v/>
      </c>
      <c r="G997" s="19">
        <f>IF($N997&lt;&gt;"",IF(INDEX(PCBaskets,$N997)=0,"",INDEX(PCBaskets,$N997)),"")</f>
        <v/>
      </c>
      <c r="H997" s="20">
        <f>IF($N997&lt;&gt;"",IF(INDEX(PCNet,$N997)=0,"",INDEX(PCNet,$N997)),"")</f>
        <v/>
      </c>
      <c r="I997" s="19">
        <f>IF($N997&lt;&gt;"",IF(INDEX(PCOp,$N997)="مرجوعی خرید","",IF(INDEX(PCAmount,$N997)&lt;=0,"",INDEX(PCAmount,$N997))),IF($O997&lt;&gt;"",IF(INDEX(TxnDepB,$O997)=0,"",INDEX(TxnDepB,$O997)),""))</f>
        <v/>
      </c>
      <c r="J997" s="19">
        <f>IF($N997&lt;&gt;"",IF(INDEX(PCOp,$N997)="مرجوعی خرید",IF(INDEX(PCAmount,$N997)=0,"",-INDEX(PCAmount,$N997)),""),IF($O997&lt;&gt;"",IF(INDEX(TxnWitB,$O997)=0,"",INDEX(TxnWitB,$O997)),""))</f>
        <v/>
      </c>
      <c r="K997" s="21">
        <f>IF($B997="","",IF($K996="",$C$10,$K996)+IF($I997="",0,$I997)-IF($J997="",0,$J997))</f>
        <v/>
      </c>
      <c r="L997" s="22">
        <f>IF($N997&lt;&gt;"",IF(INDEX(PCNotes,$N997)="","—",INDEX(PCNotes,$N997)),IF($O997&lt;&gt;"",IF(INDEX(LdgNoteB,$O997)="","—",INDEX(LdgNoteB,$O997)),""))</f>
        <v/>
      </c>
      <c r="N997">
        <f>IFERROR(MATCH($C$5&amp;"|"&amp;RIGHT("000000"&amp;981,6),LdgRankKeyA,0),"")</f>
        <v/>
      </c>
      <c r="O997">
        <f>IFERROR(MATCH($C$5&amp;"|"&amp;RIGHT("000000"&amp;981,6),LdgRankKeyB,0),"")</f>
        <v/>
      </c>
    </row>
    <row r="998">
      <c r="A998" s="23" t="n">
        <v>982</v>
      </c>
      <c r="B998" s="24">
        <f>IF(AND($N998="",$O998=""),"",IF($N998&lt;&gt;"",INDEX(PCNormDate,$N998),INDEX(LdgDateB,$O998)))</f>
        <v/>
      </c>
      <c r="C998" s="24">
        <f>IF($N998&lt;&gt;"",INDEX(PCOp,$N998),IF($O998&lt;&gt;"",IF(N(INDEX(TxnDepB,$O998))&gt;0,"دریافت بانکی","پرداخت بانکی"),""))</f>
        <v/>
      </c>
      <c r="D998" s="24">
        <f>IF($N998&lt;&gt;"",IF(INDEX(PCDoc,$N998)="","—",INDEX(PCDoc,$N998)),IF($O998&lt;&gt;"",INDEX(LdgBankB,$O998),""))</f>
        <v/>
      </c>
      <c r="E998" s="24">
        <f>IF($N998&lt;&gt;"",IF(INDEX(PCCitrus,$N998)="","—",INDEX(PCCitrus,$N998)),"")</f>
        <v/>
      </c>
      <c r="F998" s="25">
        <f>IF($N998&lt;&gt;"",IF(INDEX(PCScale,$N998)=0,"",INDEX(PCScale,$N998)),"")</f>
        <v/>
      </c>
      <c r="G998" s="25">
        <f>IF($N998&lt;&gt;"",IF(INDEX(PCBaskets,$N998)=0,"",INDEX(PCBaskets,$N998)),"")</f>
        <v/>
      </c>
      <c r="H998" s="26">
        <f>IF($N998&lt;&gt;"",IF(INDEX(PCNet,$N998)=0,"",INDEX(PCNet,$N998)),"")</f>
        <v/>
      </c>
      <c r="I998" s="25">
        <f>IF($N998&lt;&gt;"",IF(INDEX(PCOp,$N998)="مرجوعی خرید","",IF(INDEX(PCAmount,$N998)&lt;=0,"",INDEX(PCAmount,$N998))),IF($O998&lt;&gt;"",IF(INDEX(TxnDepB,$O998)=0,"",INDEX(TxnDepB,$O998)),""))</f>
        <v/>
      </c>
      <c r="J998" s="25">
        <f>IF($N998&lt;&gt;"",IF(INDEX(PCOp,$N998)="مرجوعی خرید",IF(INDEX(PCAmount,$N998)=0,"",-INDEX(PCAmount,$N998)),""),IF($O998&lt;&gt;"",IF(INDEX(TxnWitB,$O998)=0,"",INDEX(TxnWitB,$O998)),""))</f>
        <v/>
      </c>
      <c r="K998" s="27">
        <f>IF($B998="","",IF($K997="",$C$10,$K997)+IF($I998="",0,$I998)-IF($J998="",0,$J998))</f>
        <v/>
      </c>
      <c r="L998" s="28">
        <f>IF($N998&lt;&gt;"",IF(INDEX(PCNotes,$N998)="","—",INDEX(PCNotes,$N998)),IF($O998&lt;&gt;"",IF(INDEX(LdgNoteB,$O998)="","—",INDEX(LdgNoteB,$O998)),""))</f>
        <v/>
      </c>
      <c r="N998">
        <f>IFERROR(MATCH($C$5&amp;"|"&amp;RIGHT("000000"&amp;982,6),LdgRankKeyA,0),"")</f>
        <v/>
      </c>
      <c r="O998">
        <f>IFERROR(MATCH($C$5&amp;"|"&amp;RIGHT("000000"&amp;982,6),LdgRankKeyB,0),"")</f>
        <v/>
      </c>
    </row>
    <row r="999">
      <c r="A999" s="17" t="n">
        <v>983</v>
      </c>
      <c r="B999" s="18">
        <f>IF(AND($N999="",$O999=""),"",IF($N999&lt;&gt;"",INDEX(PCNormDate,$N999),INDEX(LdgDateB,$O999)))</f>
        <v/>
      </c>
      <c r="C999" s="18">
        <f>IF($N999&lt;&gt;"",INDEX(PCOp,$N999),IF($O999&lt;&gt;"",IF(N(INDEX(TxnDepB,$O999))&gt;0,"دریافت بانکی","پرداخت بانکی"),""))</f>
        <v/>
      </c>
      <c r="D999" s="18">
        <f>IF($N999&lt;&gt;"",IF(INDEX(PCDoc,$N999)="","—",INDEX(PCDoc,$N999)),IF($O999&lt;&gt;"",INDEX(LdgBankB,$O999),""))</f>
        <v/>
      </c>
      <c r="E999" s="18">
        <f>IF($N999&lt;&gt;"",IF(INDEX(PCCitrus,$N999)="","—",INDEX(PCCitrus,$N999)),"")</f>
        <v/>
      </c>
      <c r="F999" s="19">
        <f>IF($N999&lt;&gt;"",IF(INDEX(PCScale,$N999)=0,"",INDEX(PCScale,$N999)),"")</f>
        <v/>
      </c>
      <c r="G999" s="19">
        <f>IF($N999&lt;&gt;"",IF(INDEX(PCBaskets,$N999)=0,"",INDEX(PCBaskets,$N999)),"")</f>
        <v/>
      </c>
      <c r="H999" s="20">
        <f>IF($N999&lt;&gt;"",IF(INDEX(PCNet,$N999)=0,"",INDEX(PCNet,$N999)),"")</f>
        <v/>
      </c>
      <c r="I999" s="19">
        <f>IF($N999&lt;&gt;"",IF(INDEX(PCOp,$N999)="مرجوعی خرید","",IF(INDEX(PCAmount,$N999)&lt;=0,"",INDEX(PCAmount,$N999))),IF($O999&lt;&gt;"",IF(INDEX(TxnDepB,$O999)=0,"",INDEX(TxnDepB,$O999)),""))</f>
        <v/>
      </c>
      <c r="J999" s="19">
        <f>IF($N999&lt;&gt;"",IF(INDEX(PCOp,$N999)="مرجوعی خرید",IF(INDEX(PCAmount,$N999)=0,"",-INDEX(PCAmount,$N999)),""),IF($O999&lt;&gt;"",IF(INDEX(TxnWitB,$O999)=0,"",INDEX(TxnWitB,$O999)),""))</f>
        <v/>
      </c>
      <c r="K999" s="21">
        <f>IF($B999="","",IF($K998="",$C$10,$K998)+IF($I999="",0,$I999)-IF($J999="",0,$J999))</f>
        <v/>
      </c>
      <c r="L999" s="22">
        <f>IF($N999&lt;&gt;"",IF(INDEX(PCNotes,$N999)="","—",INDEX(PCNotes,$N999)),IF($O999&lt;&gt;"",IF(INDEX(LdgNoteB,$O999)="","—",INDEX(LdgNoteB,$O999)),""))</f>
        <v/>
      </c>
      <c r="N999">
        <f>IFERROR(MATCH($C$5&amp;"|"&amp;RIGHT("000000"&amp;983,6),LdgRankKeyA,0),"")</f>
        <v/>
      </c>
      <c r="O999">
        <f>IFERROR(MATCH($C$5&amp;"|"&amp;RIGHT("000000"&amp;983,6),LdgRankKeyB,0),"")</f>
        <v/>
      </c>
    </row>
    <row r="1000">
      <c r="A1000" s="23" t="n">
        <v>984</v>
      </c>
      <c r="B1000" s="24">
        <f>IF(AND($N1000="",$O1000=""),"",IF($N1000&lt;&gt;"",INDEX(PCNormDate,$N1000),INDEX(LdgDateB,$O1000)))</f>
        <v/>
      </c>
      <c r="C1000" s="24">
        <f>IF($N1000&lt;&gt;"",INDEX(PCOp,$N1000),IF($O1000&lt;&gt;"",IF(N(INDEX(TxnDepB,$O1000))&gt;0,"دریافت بانکی","پرداخت بانکی"),""))</f>
        <v/>
      </c>
      <c r="D1000" s="24">
        <f>IF($N1000&lt;&gt;"",IF(INDEX(PCDoc,$N1000)="","—",INDEX(PCDoc,$N1000)),IF($O1000&lt;&gt;"",INDEX(LdgBankB,$O1000),""))</f>
        <v/>
      </c>
      <c r="E1000" s="24">
        <f>IF($N1000&lt;&gt;"",IF(INDEX(PCCitrus,$N1000)="","—",INDEX(PCCitrus,$N1000)),"")</f>
        <v/>
      </c>
      <c r="F1000" s="25">
        <f>IF($N1000&lt;&gt;"",IF(INDEX(PCScale,$N1000)=0,"",INDEX(PCScale,$N1000)),"")</f>
        <v/>
      </c>
      <c r="G1000" s="25">
        <f>IF($N1000&lt;&gt;"",IF(INDEX(PCBaskets,$N1000)=0,"",INDEX(PCBaskets,$N1000)),"")</f>
        <v/>
      </c>
      <c r="H1000" s="26">
        <f>IF($N1000&lt;&gt;"",IF(INDEX(PCNet,$N1000)=0,"",INDEX(PCNet,$N1000)),"")</f>
        <v/>
      </c>
      <c r="I1000" s="25">
        <f>IF($N1000&lt;&gt;"",IF(INDEX(PCOp,$N1000)="مرجوعی خرید","",IF(INDEX(PCAmount,$N1000)&lt;=0,"",INDEX(PCAmount,$N1000))),IF($O1000&lt;&gt;"",IF(INDEX(TxnDepB,$O1000)=0,"",INDEX(TxnDepB,$O1000)),""))</f>
        <v/>
      </c>
      <c r="J1000" s="25">
        <f>IF($N1000&lt;&gt;"",IF(INDEX(PCOp,$N1000)="مرجوعی خرید",IF(INDEX(PCAmount,$N1000)=0,"",-INDEX(PCAmount,$N1000)),""),IF($O1000&lt;&gt;"",IF(INDEX(TxnWitB,$O1000)=0,"",INDEX(TxnWitB,$O1000)),""))</f>
        <v/>
      </c>
      <c r="K1000" s="27">
        <f>IF($B1000="","",IF($K999="",$C$10,$K999)+IF($I1000="",0,$I1000)-IF($J1000="",0,$J1000))</f>
        <v/>
      </c>
      <c r="L1000" s="28">
        <f>IF($N1000&lt;&gt;"",IF(INDEX(PCNotes,$N1000)="","—",INDEX(PCNotes,$N1000)),IF($O1000&lt;&gt;"",IF(INDEX(LdgNoteB,$O1000)="","—",INDEX(LdgNoteB,$O1000)),""))</f>
        <v/>
      </c>
      <c r="N1000">
        <f>IFERROR(MATCH($C$5&amp;"|"&amp;RIGHT("000000"&amp;984,6),LdgRankKeyA,0),"")</f>
        <v/>
      </c>
      <c r="O1000">
        <f>IFERROR(MATCH($C$5&amp;"|"&amp;RIGHT("000000"&amp;984,6),LdgRankKeyB,0),"")</f>
        <v/>
      </c>
    </row>
    <row r="1001">
      <c r="A1001" s="17" t="n">
        <v>985</v>
      </c>
      <c r="B1001" s="18">
        <f>IF(AND($N1001="",$O1001=""),"",IF($N1001&lt;&gt;"",INDEX(PCNormDate,$N1001),INDEX(LdgDateB,$O1001)))</f>
        <v/>
      </c>
      <c r="C1001" s="18">
        <f>IF($N1001&lt;&gt;"",INDEX(PCOp,$N1001),IF($O1001&lt;&gt;"",IF(N(INDEX(TxnDepB,$O1001))&gt;0,"دریافت بانکی","پرداخت بانکی"),""))</f>
        <v/>
      </c>
      <c r="D1001" s="18">
        <f>IF($N1001&lt;&gt;"",IF(INDEX(PCDoc,$N1001)="","—",INDEX(PCDoc,$N1001)),IF($O1001&lt;&gt;"",INDEX(LdgBankB,$O1001),""))</f>
        <v/>
      </c>
      <c r="E1001" s="18">
        <f>IF($N1001&lt;&gt;"",IF(INDEX(PCCitrus,$N1001)="","—",INDEX(PCCitrus,$N1001)),"")</f>
        <v/>
      </c>
      <c r="F1001" s="19">
        <f>IF($N1001&lt;&gt;"",IF(INDEX(PCScale,$N1001)=0,"",INDEX(PCScale,$N1001)),"")</f>
        <v/>
      </c>
      <c r="G1001" s="19">
        <f>IF($N1001&lt;&gt;"",IF(INDEX(PCBaskets,$N1001)=0,"",INDEX(PCBaskets,$N1001)),"")</f>
        <v/>
      </c>
      <c r="H1001" s="20">
        <f>IF($N1001&lt;&gt;"",IF(INDEX(PCNet,$N1001)=0,"",INDEX(PCNet,$N1001)),"")</f>
        <v/>
      </c>
      <c r="I1001" s="19">
        <f>IF($N1001&lt;&gt;"",IF(INDEX(PCOp,$N1001)="مرجوعی خرید","",IF(INDEX(PCAmount,$N1001)&lt;=0,"",INDEX(PCAmount,$N1001))),IF($O1001&lt;&gt;"",IF(INDEX(TxnDepB,$O1001)=0,"",INDEX(TxnDepB,$O1001)),""))</f>
        <v/>
      </c>
      <c r="J1001" s="19">
        <f>IF($N1001&lt;&gt;"",IF(INDEX(PCOp,$N1001)="مرجوعی خرید",IF(INDEX(PCAmount,$N1001)=0,"",-INDEX(PCAmount,$N1001)),""),IF($O1001&lt;&gt;"",IF(INDEX(TxnWitB,$O1001)=0,"",INDEX(TxnWitB,$O1001)),""))</f>
        <v/>
      </c>
      <c r="K1001" s="21">
        <f>IF($B1001="","",IF($K1000="",$C$10,$K1000)+IF($I1001="",0,$I1001)-IF($J1001="",0,$J1001))</f>
        <v/>
      </c>
      <c r="L1001" s="22">
        <f>IF($N1001&lt;&gt;"",IF(INDEX(PCNotes,$N1001)="","—",INDEX(PCNotes,$N1001)),IF($O1001&lt;&gt;"",IF(INDEX(LdgNoteB,$O1001)="","—",INDEX(LdgNoteB,$O1001)),""))</f>
        <v/>
      </c>
      <c r="N1001">
        <f>IFERROR(MATCH($C$5&amp;"|"&amp;RIGHT("000000"&amp;985,6),LdgRankKeyA,0),"")</f>
        <v/>
      </c>
      <c r="O1001">
        <f>IFERROR(MATCH($C$5&amp;"|"&amp;RIGHT("000000"&amp;985,6),LdgRankKeyB,0),"")</f>
        <v/>
      </c>
    </row>
    <row r="1002">
      <c r="A1002" s="23" t="n">
        <v>986</v>
      </c>
      <c r="B1002" s="24">
        <f>IF(AND($N1002="",$O1002=""),"",IF($N1002&lt;&gt;"",INDEX(PCNormDate,$N1002),INDEX(LdgDateB,$O1002)))</f>
        <v/>
      </c>
      <c r="C1002" s="24">
        <f>IF($N1002&lt;&gt;"",INDEX(PCOp,$N1002),IF($O1002&lt;&gt;"",IF(N(INDEX(TxnDepB,$O1002))&gt;0,"دریافت بانکی","پرداخت بانکی"),""))</f>
        <v/>
      </c>
      <c r="D1002" s="24">
        <f>IF($N1002&lt;&gt;"",IF(INDEX(PCDoc,$N1002)="","—",INDEX(PCDoc,$N1002)),IF($O1002&lt;&gt;"",INDEX(LdgBankB,$O1002),""))</f>
        <v/>
      </c>
      <c r="E1002" s="24">
        <f>IF($N1002&lt;&gt;"",IF(INDEX(PCCitrus,$N1002)="","—",INDEX(PCCitrus,$N1002)),"")</f>
        <v/>
      </c>
      <c r="F1002" s="25">
        <f>IF($N1002&lt;&gt;"",IF(INDEX(PCScale,$N1002)=0,"",INDEX(PCScale,$N1002)),"")</f>
        <v/>
      </c>
      <c r="G1002" s="25">
        <f>IF($N1002&lt;&gt;"",IF(INDEX(PCBaskets,$N1002)=0,"",INDEX(PCBaskets,$N1002)),"")</f>
        <v/>
      </c>
      <c r="H1002" s="26">
        <f>IF($N1002&lt;&gt;"",IF(INDEX(PCNet,$N1002)=0,"",INDEX(PCNet,$N1002)),"")</f>
        <v/>
      </c>
      <c r="I1002" s="25">
        <f>IF($N1002&lt;&gt;"",IF(INDEX(PCOp,$N1002)="مرجوعی خرید","",IF(INDEX(PCAmount,$N1002)&lt;=0,"",INDEX(PCAmount,$N1002))),IF($O1002&lt;&gt;"",IF(INDEX(TxnDepB,$O1002)=0,"",INDEX(TxnDepB,$O1002)),""))</f>
        <v/>
      </c>
      <c r="J1002" s="25">
        <f>IF($N1002&lt;&gt;"",IF(INDEX(PCOp,$N1002)="مرجوعی خرید",IF(INDEX(PCAmount,$N1002)=0,"",-INDEX(PCAmount,$N1002)),""),IF($O1002&lt;&gt;"",IF(INDEX(TxnWitB,$O1002)=0,"",INDEX(TxnWitB,$O1002)),""))</f>
        <v/>
      </c>
      <c r="K1002" s="27">
        <f>IF($B1002="","",IF($K1001="",$C$10,$K1001)+IF($I1002="",0,$I1002)-IF($J1002="",0,$J1002))</f>
        <v/>
      </c>
      <c r="L1002" s="28">
        <f>IF($N1002&lt;&gt;"",IF(INDEX(PCNotes,$N1002)="","—",INDEX(PCNotes,$N1002)),IF($O1002&lt;&gt;"",IF(INDEX(LdgNoteB,$O1002)="","—",INDEX(LdgNoteB,$O1002)),""))</f>
        <v/>
      </c>
      <c r="N1002">
        <f>IFERROR(MATCH($C$5&amp;"|"&amp;RIGHT("000000"&amp;986,6),LdgRankKeyA,0),"")</f>
        <v/>
      </c>
      <c r="O1002">
        <f>IFERROR(MATCH($C$5&amp;"|"&amp;RIGHT("000000"&amp;986,6),LdgRankKeyB,0),"")</f>
        <v/>
      </c>
    </row>
    <row r="1003">
      <c r="A1003" s="17" t="n">
        <v>987</v>
      </c>
      <c r="B1003" s="18">
        <f>IF(AND($N1003="",$O1003=""),"",IF($N1003&lt;&gt;"",INDEX(PCNormDate,$N1003),INDEX(LdgDateB,$O1003)))</f>
        <v/>
      </c>
      <c r="C1003" s="18">
        <f>IF($N1003&lt;&gt;"",INDEX(PCOp,$N1003),IF($O1003&lt;&gt;"",IF(N(INDEX(TxnDepB,$O1003))&gt;0,"دریافت بانکی","پرداخت بانکی"),""))</f>
        <v/>
      </c>
      <c r="D1003" s="18">
        <f>IF($N1003&lt;&gt;"",IF(INDEX(PCDoc,$N1003)="","—",INDEX(PCDoc,$N1003)),IF($O1003&lt;&gt;"",INDEX(LdgBankB,$O1003),""))</f>
        <v/>
      </c>
      <c r="E1003" s="18">
        <f>IF($N1003&lt;&gt;"",IF(INDEX(PCCitrus,$N1003)="","—",INDEX(PCCitrus,$N1003)),"")</f>
        <v/>
      </c>
      <c r="F1003" s="19">
        <f>IF($N1003&lt;&gt;"",IF(INDEX(PCScale,$N1003)=0,"",INDEX(PCScale,$N1003)),"")</f>
        <v/>
      </c>
      <c r="G1003" s="19">
        <f>IF($N1003&lt;&gt;"",IF(INDEX(PCBaskets,$N1003)=0,"",INDEX(PCBaskets,$N1003)),"")</f>
        <v/>
      </c>
      <c r="H1003" s="20">
        <f>IF($N1003&lt;&gt;"",IF(INDEX(PCNet,$N1003)=0,"",INDEX(PCNet,$N1003)),"")</f>
        <v/>
      </c>
      <c r="I1003" s="19">
        <f>IF($N1003&lt;&gt;"",IF(INDEX(PCOp,$N1003)="مرجوعی خرید","",IF(INDEX(PCAmount,$N1003)&lt;=0,"",INDEX(PCAmount,$N1003))),IF($O1003&lt;&gt;"",IF(INDEX(TxnDepB,$O1003)=0,"",INDEX(TxnDepB,$O1003)),""))</f>
        <v/>
      </c>
      <c r="J1003" s="19">
        <f>IF($N1003&lt;&gt;"",IF(INDEX(PCOp,$N1003)="مرجوعی خرید",IF(INDEX(PCAmount,$N1003)=0,"",-INDEX(PCAmount,$N1003)),""),IF($O1003&lt;&gt;"",IF(INDEX(TxnWitB,$O1003)=0,"",INDEX(TxnWitB,$O1003)),""))</f>
        <v/>
      </c>
      <c r="K1003" s="21">
        <f>IF($B1003="","",IF($K1002="",$C$10,$K1002)+IF($I1003="",0,$I1003)-IF($J1003="",0,$J1003))</f>
        <v/>
      </c>
      <c r="L1003" s="22">
        <f>IF($N1003&lt;&gt;"",IF(INDEX(PCNotes,$N1003)="","—",INDEX(PCNotes,$N1003)),IF($O1003&lt;&gt;"",IF(INDEX(LdgNoteB,$O1003)="","—",INDEX(LdgNoteB,$O1003)),""))</f>
        <v/>
      </c>
      <c r="N1003">
        <f>IFERROR(MATCH($C$5&amp;"|"&amp;RIGHT("000000"&amp;987,6),LdgRankKeyA,0),"")</f>
        <v/>
      </c>
      <c r="O1003">
        <f>IFERROR(MATCH($C$5&amp;"|"&amp;RIGHT("000000"&amp;987,6),LdgRankKeyB,0),"")</f>
        <v/>
      </c>
    </row>
    <row r="1004">
      <c r="A1004" s="23" t="n">
        <v>988</v>
      </c>
      <c r="B1004" s="24">
        <f>IF(AND($N1004="",$O1004=""),"",IF($N1004&lt;&gt;"",INDEX(PCNormDate,$N1004),INDEX(LdgDateB,$O1004)))</f>
        <v/>
      </c>
      <c r="C1004" s="24">
        <f>IF($N1004&lt;&gt;"",INDEX(PCOp,$N1004),IF($O1004&lt;&gt;"",IF(N(INDEX(TxnDepB,$O1004))&gt;0,"دریافت بانکی","پرداخت بانکی"),""))</f>
        <v/>
      </c>
      <c r="D1004" s="24">
        <f>IF($N1004&lt;&gt;"",IF(INDEX(PCDoc,$N1004)="","—",INDEX(PCDoc,$N1004)),IF($O1004&lt;&gt;"",INDEX(LdgBankB,$O1004),""))</f>
        <v/>
      </c>
      <c r="E1004" s="24">
        <f>IF($N1004&lt;&gt;"",IF(INDEX(PCCitrus,$N1004)="","—",INDEX(PCCitrus,$N1004)),"")</f>
        <v/>
      </c>
      <c r="F1004" s="25">
        <f>IF($N1004&lt;&gt;"",IF(INDEX(PCScale,$N1004)=0,"",INDEX(PCScale,$N1004)),"")</f>
        <v/>
      </c>
      <c r="G1004" s="25">
        <f>IF($N1004&lt;&gt;"",IF(INDEX(PCBaskets,$N1004)=0,"",INDEX(PCBaskets,$N1004)),"")</f>
        <v/>
      </c>
      <c r="H1004" s="26">
        <f>IF($N1004&lt;&gt;"",IF(INDEX(PCNet,$N1004)=0,"",INDEX(PCNet,$N1004)),"")</f>
        <v/>
      </c>
      <c r="I1004" s="25">
        <f>IF($N1004&lt;&gt;"",IF(INDEX(PCOp,$N1004)="مرجوعی خرید","",IF(INDEX(PCAmount,$N1004)&lt;=0,"",INDEX(PCAmount,$N1004))),IF($O1004&lt;&gt;"",IF(INDEX(TxnDepB,$O1004)=0,"",INDEX(TxnDepB,$O1004)),""))</f>
        <v/>
      </c>
      <c r="J1004" s="25">
        <f>IF($N1004&lt;&gt;"",IF(INDEX(PCOp,$N1004)="مرجوعی خرید",IF(INDEX(PCAmount,$N1004)=0,"",-INDEX(PCAmount,$N1004)),""),IF($O1004&lt;&gt;"",IF(INDEX(TxnWitB,$O1004)=0,"",INDEX(TxnWitB,$O1004)),""))</f>
        <v/>
      </c>
      <c r="K1004" s="27">
        <f>IF($B1004="","",IF($K1003="",$C$10,$K1003)+IF($I1004="",0,$I1004)-IF($J1004="",0,$J1004))</f>
        <v/>
      </c>
      <c r="L1004" s="28">
        <f>IF($N1004&lt;&gt;"",IF(INDEX(PCNotes,$N1004)="","—",INDEX(PCNotes,$N1004)),IF($O1004&lt;&gt;"",IF(INDEX(LdgNoteB,$O1004)="","—",INDEX(LdgNoteB,$O1004)),""))</f>
        <v/>
      </c>
      <c r="N1004">
        <f>IFERROR(MATCH($C$5&amp;"|"&amp;RIGHT("000000"&amp;988,6),LdgRankKeyA,0),"")</f>
        <v/>
      </c>
      <c r="O1004">
        <f>IFERROR(MATCH($C$5&amp;"|"&amp;RIGHT("000000"&amp;988,6),LdgRankKeyB,0),"")</f>
        <v/>
      </c>
    </row>
    <row r="1005">
      <c r="A1005" s="17" t="n">
        <v>989</v>
      </c>
      <c r="B1005" s="18">
        <f>IF(AND($N1005="",$O1005=""),"",IF($N1005&lt;&gt;"",INDEX(PCNormDate,$N1005),INDEX(LdgDateB,$O1005)))</f>
        <v/>
      </c>
      <c r="C1005" s="18">
        <f>IF($N1005&lt;&gt;"",INDEX(PCOp,$N1005),IF($O1005&lt;&gt;"",IF(N(INDEX(TxnDepB,$O1005))&gt;0,"دریافت بانکی","پرداخت بانکی"),""))</f>
        <v/>
      </c>
      <c r="D1005" s="18">
        <f>IF($N1005&lt;&gt;"",IF(INDEX(PCDoc,$N1005)="","—",INDEX(PCDoc,$N1005)),IF($O1005&lt;&gt;"",INDEX(LdgBankB,$O1005),""))</f>
        <v/>
      </c>
      <c r="E1005" s="18">
        <f>IF($N1005&lt;&gt;"",IF(INDEX(PCCitrus,$N1005)="","—",INDEX(PCCitrus,$N1005)),"")</f>
        <v/>
      </c>
      <c r="F1005" s="19">
        <f>IF($N1005&lt;&gt;"",IF(INDEX(PCScale,$N1005)=0,"",INDEX(PCScale,$N1005)),"")</f>
        <v/>
      </c>
      <c r="G1005" s="19">
        <f>IF($N1005&lt;&gt;"",IF(INDEX(PCBaskets,$N1005)=0,"",INDEX(PCBaskets,$N1005)),"")</f>
        <v/>
      </c>
      <c r="H1005" s="20">
        <f>IF($N1005&lt;&gt;"",IF(INDEX(PCNet,$N1005)=0,"",INDEX(PCNet,$N1005)),"")</f>
        <v/>
      </c>
      <c r="I1005" s="19">
        <f>IF($N1005&lt;&gt;"",IF(INDEX(PCOp,$N1005)="مرجوعی خرید","",IF(INDEX(PCAmount,$N1005)&lt;=0,"",INDEX(PCAmount,$N1005))),IF($O1005&lt;&gt;"",IF(INDEX(TxnDepB,$O1005)=0,"",INDEX(TxnDepB,$O1005)),""))</f>
        <v/>
      </c>
      <c r="J1005" s="19">
        <f>IF($N1005&lt;&gt;"",IF(INDEX(PCOp,$N1005)="مرجوعی خرید",IF(INDEX(PCAmount,$N1005)=0,"",-INDEX(PCAmount,$N1005)),""),IF($O1005&lt;&gt;"",IF(INDEX(TxnWitB,$O1005)=0,"",INDEX(TxnWitB,$O1005)),""))</f>
        <v/>
      </c>
      <c r="K1005" s="21">
        <f>IF($B1005="","",IF($K1004="",$C$10,$K1004)+IF($I1005="",0,$I1005)-IF($J1005="",0,$J1005))</f>
        <v/>
      </c>
      <c r="L1005" s="22">
        <f>IF($N1005&lt;&gt;"",IF(INDEX(PCNotes,$N1005)="","—",INDEX(PCNotes,$N1005)),IF($O1005&lt;&gt;"",IF(INDEX(LdgNoteB,$O1005)="","—",INDEX(LdgNoteB,$O1005)),""))</f>
        <v/>
      </c>
      <c r="N1005">
        <f>IFERROR(MATCH($C$5&amp;"|"&amp;RIGHT("000000"&amp;989,6),LdgRankKeyA,0),"")</f>
        <v/>
      </c>
      <c r="O1005">
        <f>IFERROR(MATCH($C$5&amp;"|"&amp;RIGHT("000000"&amp;989,6),LdgRankKeyB,0),"")</f>
        <v/>
      </c>
    </row>
    <row r="1006">
      <c r="A1006" s="23" t="n">
        <v>990</v>
      </c>
      <c r="B1006" s="24">
        <f>IF(AND($N1006="",$O1006=""),"",IF($N1006&lt;&gt;"",INDEX(PCNormDate,$N1006),INDEX(LdgDateB,$O1006)))</f>
        <v/>
      </c>
      <c r="C1006" s="24">
        <f>IF($N1006&lt;&gt;"",INDEX(PCOp,$N1006),IF($O1006&lt;&gt;"",IF(N(INDEX(TxnDepB,$O1006))&gt;0,"دریافت بانکی","پرداخت بانکی"),""))</f>
        <v/>
      </c>
      <c r="D1006" s="24">
        <f>IF($N1006&lt;&gt;"",IF(INDEX(PCDoc,$N1006)="","—",INDEX(PCDoc,$N1006)),IF($O1006&lt;&gt;"",INDEX(LdgBankB,$O1006),""))</f>
        <v/>
      </c>
      <c r="E1006" s="24">
        <f>IF($N1006&lt;&gt;"",IF(INDEX(PCCitrus,$N1006)="","—",INDEX(PCCitrus,$N1006)),"")</f>
        <v/>
      </c>
      <c r="F1006" s="25">
        <f>IF($N1006&lt;&gt;"",IF(INDEX(PCScale,$N1006)=0,"",INDEX(PCScale,$N1006)),"")</f>
        <v/>
      </c>
      <c r="G1006" s="25">
        <f>IF($N1006&lt;&gt;"",IF(INDEX(PCBaskets,$N1006)=0,"",INDEX(PCBaskets,$N1006)),"")</f>
        <v/>
      </c>
      <c r="H1006" s="26">
        <f>IF($N1006&lt;&gt;"",IF(INDEX(PCNet,$N1006)=0,"",INDEX(PCNet,$N1006)),"")</f>
        <v/>
      </c>
      <c r="I1006" s="25">
        <f>IF($N1006&lt;&gt;"",IF(INDEX(PCOp,$N1006)="مرجوعی خرید","",IF(INDEX(PCAmount,$N1006)&lt;=0,"",INDEX(PCAmount,$N1006))),IF($O1006&lt;&gt;"",IF(INDEX(TxnDepB,$O1006)=0,"",INDEX(TxnDepB,$O1006)),""))</f>
        <v/>
      </c>
      <c r="J1006" s="25">
        <f>IF($N1006&lt;&gt;"",IF(INDEX(PCOp,$N1006)="مرجوعی خرید",IF(INDEX(PCAmount,$N1006)=0,"",-INDEX(PCAmount,$N1006)),""),IF($O1006&lt;&gt;"",IF(INDEX(TxnWitB,$O1006)=0,"",INDEX(TxnWitB,$O1006)),""))</f>
        <v/>
      </c>
      <c r="K1006" s="27">
        <f>IF($B1006="","",IF($K1005="",$C$10,$K1005)+IF($I1006="",0,$I1006)-IF($J1006="",0,$J1006))</f>
        <v/>
      </c>
      <c r="L1006" s="28">
        <f>IF($N1006&lt;&gt;"",IF(INDEX(PCNotes,$N1006)="","—",INDEX(PCNotes,$N1006)),IF($O1006&lt;&gt;"",IF(INDEX(LdgNoteB,$O1006)="","—",INDEX(LdgNoteB,$O1006)),""))</f>
        <v/>
      </c>
      <c r="N1006">
        <f>IFERROR(MATCH($C$5&amp;"|"&amp;RIGHT("000000"&amp;990,6),LdgRankKeyA,0),"")</f>
        <v/>
      </c>
      <c r="O1006">
        <f>IFERROR(MATCH($C$5&amp;"|"&amp;RIGHT("000000"&amp;990,6),LdgRankKeyB,0),"")</f>
        <v/>
      </c>
    </row>
    <row r="1007">
      <c r="A1007" s="17" t="n">
        <v>991</v>
      </c>
      <c r="B1007" s="18">
        <f>IF(AND($N1007="",$O1007=""),"",IF($N1007&lt;&gt;"",INDEX(PCNormDate,$N1007),INDEX(LdgDateB,$O1007)))</f>
        <v/>
      </c>
      <c r="C1007" s="18">
        <f>IF($N1007&lt;&gt;"",INDEX(PCOp,$N1007),IF($O1007&lt;&gt;"",IF(N(INDEX(TxnDepB,$O1007))&gt;0,"دریافت بانکی","پرداخت بانکی"),""))</f>
        <v/>
      </c>
      <c r="D1007" s="18">
        <f>IF($N1007&lt;&gt;"",IF(INDEX(PCDoc,$N1007)="","—",INDEX(PCDoc,$N1007)),IF($O1007&lt;&gt;"",INDEX(LdgBankB,$O1007),""))</f>
        <v/>
      </c>
      <c r="E1007" s="18">
        <f>IF($N1007&lt;&gt;"",IF(INDEX(PCCitrus,$N1007)="","—",INDEX(PCCitrus,$N1007)),"")</f>
        <v/>
      </c>
      <c r="F1007" s="19">
        <f>IF($N1007&lt;&gt;"",IF(INDEX(PCScale,$N1007)=0,"",INDEX(PCScale,$N1007)),"")</f>
        <v/>
      </c>
      <c r="G1007" s="19">
        <f>IF($N1007&lt;&gt;"",IF(INDEX(PCBaskets,$N1007)=0,"",INDEX(PCBaskets,$N1007)),"")</f>
        <v/>
      </c>
      <c r="H1007" s="20">
        <f>IF($N1007&lt;&gt;"",IF(INDEX(PCNet,$N1007)=0,"",INDEX(PCNet,$N1007)),"")</f>
        <v/>
      </c>
      <c r="I1007" s="19">
        <f>IF($N1007&lt;&gt;"",IF(INDEX(PCOp,$N1007)="مرجوعی خرید","",IF(INDEX(PCAmount,$N1007)&lt;=0,"",INDEX(PCAmount,$N1007))),IF($O1007&lt;&gt;"",IF(INDEX(TxnDepB,$O1007)=0,"",INDEX(TxnDepB,$O1007)),""))</f>
        <v/>
      </c>
      <c r="J1007" s="19">
        <f>IF($N1007&lt;&gt;"",IF(INDEX(PCOp,$N1007)="مرجوعی خرید",IF(INDEX(PCAmount,$N1007)=0,"",-INDEX(PCAmount,$N1007)),""),IF($O1007&lt;&gt;"",IF(INDEX(TxnWitB,$O1007)=0,"",INDEX(TxnWitB,$O1007)),""))</f>
        <v/>
      </c>
      <c r="K1007" s="21">
        <f>IF($B1007="","",IF($K1006="",$C$10,$K1006)+IF($I1007="",0,$I1007)-IF($J1007="",0,$J1007))</f>
        <v/>
      </c>
      <c r="L1007" s="22">
        <f>IF($N1007&lt;&gt;"",IF(INDEX(PCNotes,$N1007)="","—",INDEX(PCNotes,$N1007)),IF($O1007&lt;&gt;"",IF(INDEX(LdgNoteB,$O1007)="","—",INDEX(LdgNoteB,$O1007)),""))</f>
        <v/>
      </c>
      <c r="N1007">
        <f>IFERROR(MATCH($C$5&amp;"|"&amp;RIGHT("000000"&amp;991,6),LdgRankKeyA,0),"")</f>
        <v/>
      </c>
      <c r="O1007">
        <f>IFERROR(MATCH($C$5&amp;"|"&amp;RIGHT("000000"&amp;991,6),LdgRankKeyB,0),"")</f>
        <v/>
      </c>
    </row>
    <row r="1008">
      <c r="A1008" s="23" t="n">
        <v>992</v>
      </c>
      <c r="B1008" s="24">
        <f>IF(AND($N1008="",$O1008=""),"",IF($N1008&lt;&gt;"",INDEX(PCNormDate,$N1008),INDEX(LdgDateB,$O1008)))</f>
        <v/>
      </c>
      <c r="C1008" s="24">
        <f>IF($N1008&lt;&gt;"",INDEX(PCOp,$N1008),IF($O1008&lt;&gt;"",IF(N(INDEX(TxnDepB,$O1008))&gt;0,"دریافت بانکی","پرداخت بانکی"),""))</f>
        <v/>
      </c>
      <c r="D1008" s="24">
        <f>IF($N1008&lt;&gt;"",IF(INDEX(PCDoc,$N1008)="","—",INDEX(PCDoc,$N1008)),IF($O1008&lt;&gt;"",INDEX(LdgBankB,$O1008),""))</f>
        <v/>
      </c>
      <c r="E1008" s="24">
        <f>IF($N1008&lt;&gt;"",IF(INDEX(PCCitrus,$N1008)="","—",INDEX(PCCitrus,$N1008)),"")</f>
        <v/>
      </c>
      <c r="F1008" s="25">
        <f>IF($N1008&lt;&gt;"",IF(INDEX(PCScale,$N1008)=0,"",INDEX(PCScale,$N1008)),"")</f>
        <v/>
      </c>
      <c r="G1008" s="25">
        <f>IF($N1008&lt;&gt;"",IF(INDEX(PCBaskets,$N1008)=0,"",INDEX(PCBaskets,$N1008)),"")</f>
        <v/>
      </c>
      <c r="H1008" s="26">
        <f>IF($N1008&lt;&gt;"",IF(INDEX(PCNet,$N1008)=0,"",INDEX(PCNet,$N1008)),"")</f>
        <v/>
      </c>
      <c r="I1008" s="25">
        <f>IF($N1008&lt;&gt;"",IF(INDEX(PCOp,$N1008)="مرجوعی خرید","",IF(INDEX(PCAmount,$N1008)&lt;=0,"",INDEX(PCAmount,$N1008))),IF($O1008&lt;&gt;"",IF(INDEX(TxnDepB,$O1008)=0,"",INDEX(TxnDepB,$O1008)),""))</f>
        <v/>
      </c>
      <c r="J1008" s="25">
        <f>IF($N1008&lt;&gt;"",IF(INDEX(PCOp,$N1008)="مرجوعی خرید",IF(INDEX(PCAmount,$N1008)=0,"",-INDEX(PCAmount,$N1008)),""),IF($O1008&lt;&gt;"",IF(INDEX(TxnWitB,$O1008)=0,"",INDEX(TxnWitB,$O1008)),""))</f>
        <v/>
      </c>
      <c r="K1008" s="27">
        <f>IF($B1008="","",IF($K1007="",$C$10,$K1007)+IF($I1008="",0,$I1008)-IF($J1008="",0,$J1008))</f>
        <v/>
      </c>
      <c r="L1008" s="28">
        <f>IF($N1008&lt;&gt;"",IF(INDEX(PCNotes,$N1008)="","—",INDEX(PCNotes,$N1008)),IF($O1008&lt;&gt;"",IF(INDEX(LdgNoteB,$O1008)="","—",INDEX(LdgNoteB,$O1008)),""))</f>
        <v/>
      </c>
      <c r="N1008">
        <f>IFERROR(MATCH($C$5&amp;"|"&amp;RIGHT("000000"&amp;992,6),LdgRankKeyA,0),"")</f>
        <v/>
      </c>
      <c r="O1008">
        <f>IFERROR(MATCH($C$5&amp;"|"&amp;RIGHT("000000"&amp;992,6),LdgRankKeyB,0),"")</f>
        <v/>
      </c>
    </row>
    <row r="1009">
      <c r="A1009" s="17" t="n">
        <v>993</v>
      </c>
      <c r="B1009" s="18">
        <f>IF(AND($N1009="",$O1009=""),"",IF($N1009&lt;&gt;"",INDEX(PCNormDate,$N1009),INDEX(LdgDateB,$O1009)))</f>
        <v/>
      </c>
      <c r="C1009" s="18">
        <f>IF($N1009&lt;&gt;"",INDEX(PCOp,$N1009),IF($O1009&lt;&gt;"",IF(N(INDEX(TxnDepB,$O1009))&gt;0,"دریافت بانکی","پرداخت بانکی"),""))</f>
        <v/>
      </c>
      <c r="D1009" s="18">
        <f>IF($N1009&lt;&gt;"",IF(INDEX(PCDoc,$N1009)="","—",INDEX(PCDoc,$N1009)),IF($O1009&lt;&gt;"",INDEX(LdgBankB,$O1009),""))</f>
        <v/>
      </c>
      <c r="E1009" s="18">
        <f>IF($N1009&lt;&gt;"",IF(INDEX(PCCitrus,$N1009)="","—",INDEX(PCCitrus,$N1009)),"")</f>
        <v/>
      </c>
      <c r="F1009" s="19">
        <f>IF($N1009&lt;&gt;"",IF(INDEX(PCScale,$N1009)=0,"",INDEX(PCScale,$N1009)),"")</f>
        <v/>
      </c>
      <c r="G1009" s="19">
        <f>IF($N1009&lt;&gt;"",IF(INDEX(PCBaskets,$N1009)=0,"",INDEX(PCBaskets,$N1009)),"")</f>
        <v/>
      </c>
      <c r="H1009" s="20">
        <f>IF($N1009&lt;&gt;"",IF(INDEX(PCNet,$N1009)=0,"",INDEX(PCNet,$N1009)),"")</f>
        <v/>
      </c>
      <c r="I1009" s="19">
        <f>IF($N1009&lt;&gt;"",IF(INDEX(PCOp,$N1009)="مرجوعی خرید","",IF(INDEX(PCAmount,$N1009)&lt;=0,"",INDEX(PCAmount,$N1009))),IF($O1009&lt;&gt;"",IF(INDEX(TxnDepB,$O1009)=0,"",INDEX(TxnDepB,$O1009)),""))</f>
        <v/>
      </c>
      <c r="J1009" s="19">
        <f>IF($N1009&lt;&gt;"",IF(INDEX(PCOp,$N1009)="مرجوعی خرید",IF(INDEX(PCAmount,$N1009)=0,"",-INDEX(PCAmount,$N1009)),""),IF($O1009&lt;&gt;"",IF(INDEX(TxnWitB,$O1009)=0,"",INDEX(TxnWitB,$O1009)),""))</f>
        <v/>
      </c>
      <c r="K1009" s="21">
        <f>IF($B1009="","",IF($K1008="",$C$10,$K1008)+IF($I1009="",0,$I1009)-IF($J1009="",0,$J1009))</f>
        <v/>
      </c>
      <c r="L1009" s="22">
        <f>IF($N1009&lt;&gt;"",IF(INDEX(PCNotes,$N1009)="","—",INDEX(PCNotes,$N1009)),IF($O1009&lt;&gt;"",IF(INDEX(LdgNoteB,$O1009)="","—",INDEX(LdgNoteB,$O1009)),""))</f>
        <v/>
      </c>
      <c r="N1009">
        <f>IFERROR(MATCH($C$5&amp;"|"&amp;RIGHT("000000"&amp;993,6),LdgRankKeyA,0),"")</f>
        <v/>
      </c>
      <c r="O1009">
        <f>IFERROR(MATCH($C$5&amp;"|"&amp;RIGHT("000000"&amp;993,6),LdgRankKeyB,0),"")</f>
        <v/>
      </c>
    </row>
    <row r="1010">
      <c r="A1010" s="23" t="n">
        <v>994</v>
      </c>
      <c r="B1010" s="24">
        <f>IF(AND($N1010="",$O1010=""),"",IF($N1010&lt;&gt;"",INDEX(PCNormDate,$N1010),INDEX(LdgDateB,$O1010)))</f>
        <v/>
      </c>
      <c r="C1010" s="24">
        <f>IF($N1010&lt;&gt;"",INDEX(PCOp,$N1010),IF($O1010&lt;&gt;"",IF(N(INDEX(TxnDepB,$O1010))&gt;0,"دریافت بانکی","پرداخت بانکی"),""))</f>
        <v/>
      </c>
      <c r="D1010" s="24">
        <f>IF($N1010&lt;&gt;"",IF(INDEX(PCDoc,$N1010)="","—",INDEX(PCDoc,$N1010)),IF($O1010&lt;&gt;"",INDEX(LdgBankB,$O1010),""))</f>
        <v/>
      </c>
      <c r="E1010" s="24">
        <f>IF($N1010&lt;&gt;"",IF(INDEX(PCCitrus,$N1010)="","—",INDEX(PCCitrus,$N1010)),"")</f>
        <v/>
      </c>
      <c r="F1010" s="25">
        <f>IF($N1010&lt;&gt;"",IF(INDEX(PCScale,$N1010)=0,"",INDEX(PCScale,$N1010)),"")</f>
        <v/>
      </c>
      <c r="G1010" s="25">
        <f>IF($N1010&lt;&gt;"",IF(INDEX(PCBaskets,$N1010)=0,"",INDEX(PCBaskets,$N1010)),"")</f>
        <v/>
      </c>
      <c r="H1010" s="26">
        <f>IF($N1010&lt;&gt;"",IF(INDEX(PCNet,$N1010)=0,"",INDEX(PCNet,$N1010)),"")</f>
        <v/>
      </c>
      <c r="I1010" s="25">
        <f>IF($N1010&lt;&gt;"",IF(INDEX(PCOp,$N1010)="مرجوعی خرید","",IF(INDEX(PCAmount,$N1010)&lt;=0,"",INDEX(PCAmount,$N1010))),IF($O1010&lt;&gt;"",IF(INDEX(TxnDepB,$O1010)=0,"",INDEX(TxnDepB,$O1010)),""))</f>
        <v/>
      </c>
      <c r="J1010" s="25">
        <f>IF($N1010&lt;&gt;"",IF(INDEX(PCOp,$N1010)="مرجوعی خرید",IF(INDEX(PCAmount,$N1010)=0,"",-INDEX(PCAmount,$N1010)),""),IF($O1010&lt;&gt;"",IF(INDEX(TxnWitB,$O1010)=0,"",INDEX(TxnWitB,$O1010)),""))</f>
        <v/>
      </c>
      <c r="K1010" s="27">
        <f>IF($B1010="","",IF($K1009="",$C$10,$K1009)+IF($I1010="",0,$I1010)-IF($J1010="",0,$J1010))</f>
        <v/>
      </c>
      <c r="L1010" s="28">
        <f>IF($N1010&lt;&gt;"",IF(INDEX(PCNotes,$N1010)="","—",INDEX(PCNotes,$N1010)),IF($O1010&lt;&gt;"",IF(INDEX(LdgNoteB,$O1010)="","—",INDEX(LdgNoteB,$O1010)),""))</f>
        <v/>
      </c>
      <c r="N1010">
        <f>IFERROR(MATCH($C$5&amp;"|"&amp;RIGHT("000000"&amp;994,6),LdgRankKeyA,0),"")</f>
        <v/>
      </c>
      <c r="O1010">
        <f>IFERROR(MATCH($C$5&amp;"|"&amp;RIGHT("000000"&amp;994,6),LdgRankKeyB,0),"")</f>
        <v/>
      </c>
    </row>
    <row r="1011">
      <c r="A1011" s="17" t="n">
        <v>995</v>
      </c>
      <c r="B1011" s="18">
        <f>IF(AND($N1011="",$O1011=""),"",IF($N1011&lt;&gt;"",INDEX(PCNormDate,$N1011),INDEX(LdgDateB,$O1011)))</f>
        <v/>
      </c>
      <c r="C1011" s="18">
        <f>IF($N1011&lt;&gt;"",INDEX(PCOp,$N1011),IF($O1011&lt;&gt;"",IF(N(INDEX(TxnDepB,$O1011))&gt;0,"دریافت بانکی","پرداخت بانکی"),""))</f>
        <v/>
      </c>
      <c r="D1011" s="18">
        <f>IF($N1011&lt;&gt;"",IF(INDEX(PCDoc,$N1011)="","—",INDEX(PCDoc,$N1011)),IF($O1011&lt;&gt;"",INDEX(LdgBankB,$O1011),""))</f>
        <v/>
      </c>
      <c r="E1011" s="18">
        <f>IF($N1011&lt;&gt;"",IF(INDEX(PCCitrus,$N1011)="","—",INDEX(PCCitrus,$N1011)),"")</f>
        <v/>
      </c>
      <c r="F1011" s="19">
        <f>IF($N1011&lt;&gt;"",IF(INDEX(PCScale,$N1011)=0,"",INDEX(PCScale,$N1011)),"")</f>
        <v/>
      </c>
      <c r="G1011" s="19">
        <f>IF($N1011&lt;&gt;"",IF(INDEX(PCBaskets,$N1011)=0,"",INDEX(PCBaskets,$N1011)),"")</f>
        <v/>
      </c>
      <c r="H1011" s="20">
        <f>IF($N1011&lt;&gt;"",IF(INDEX(PCNet,$N1011)=0,"",INDEX(PCNet,$N1011)),"")</f>
        <v/>
      </c>
      <c r="I1011" s="19">
        <f>IF($N1011&lt;&gt;"",IF(INDEX(PCOp,$N1011)="مرجوعی خرید","",IF(INDEX(PCAmount,$N1011)&lt;=0,"",INDEX(PCAmount,$N1011))),IF($O1011&lt;&gt;"",IF(INDEX(TxnDepB,$O1011)=0,"",INDEX(TxnDepB,$O1011)),""))</f>
        <v/>
      </c>
      <c r="J1011" s="19">
        <f>IF($N1011&lt;&gt;"",IF(INDEX(PCOp,$N1011)="مرجوعی خرید",IF(INDEX(PCAmount,$N1011)=0,"",-INDEX(PCAmount,$N1011)),""),IF($O1011&lt;&gt;"",IF(INDEX(TxnWitB,$O1011)=0,"",INDEX(TxnWitB,$O1011)),""))</f>
        <v/>
      </c>
      <c r="K1011" s="21">
        <f>IF($B1011="","",IF($K1010="",$C$10,$K1010)+IF($I1011="",0,$I1011)-IF($J1011="",0,$J1011))</f>
        <v/>
      </c>
      <c r="L1011" s="22">
        <f>IF($N1011&lt;&gt;"",IF(INDEX(PCNotes,$N1011)="","—",INDEX(PCNotes,$N1011)),IF($O1011&lt;&gt;"",IF(INDEX(LdgNoteB,$O1011)="","—",INDEX(LdgNoteB,$O1011)),""))</f>
        <v/>
      </c>
      <c r="N1011">
        <f>IFERROR(MATCH($C$5&amp;"|"&amp;RIGHT("000000"&amp;995,6),LdgRankKeyA,0),"")</f>
        <v/>
      </c>
      <c r="O1011">
        <f>IFERROR(MATCH($C$5&amp;"|"&amp;RIGHT("000000"&amp;995,6),LdgRankKeyB,0),"")</f>
        <v/>
      </c>
    </row>
    <row r="1012">
      <c r="A1012" s="23" t="n">
        <v>996</v>
      </c>
      <c r="B1012" s="24">
        <f>IF(AND($N1012="",$O1012=""),"",IF($N1012&lt;&gt;"",INDEX(PCNormDate,$N1012),INDEX(LdgDateB,$O1012)))</f>
        <v/>
      </c>
      <c r="C1012" s="24">
        <f>IF($N1012&lt;&gt;"",INDEX(PCOp,$N1012),IF($O1012&lt;&gt;"",IF(N(INDEX(TxnDepB,$O1012))&gt;0,"دریافت بانکی","پرداخت بانکی"),""))</f>
        <v/>
      </c>
      <c r="D1012" s="24">
        <f>IF($N1012&lt;&gt;"",IF(INDEX(PCDoc,$N1012)="","—",INDEX(PCDoc,$N1012)),IF($O1012&lt;&gt;"",INDEX(LdgBankB,$O1012),""))</f>
        <v/>
      </c>
      <c r="E1012" s="24">
        <f>IF($N1012&lt;&gt;"",IF(INDEX(PCCitrus,$N1012)="","—",INDEX(PCCitrus,$N1012)),"")</f>
        <v/>
      </c>
      <c r="F1012" s="25">
        <f>IF($N1012&lt;&gt;"",IF(INDEX(PCScale,$N1012)=0,"",INDEX(PCScale,$N1012)),"")</f>
        <v/>
      </c>
      <c r="G1012" s="25">
        <f>IF($N1012&lt;&gt;"",IF(INDEX(PCBaskets,$N1012)=0,"",INDEX(PCBaskets,$N1012)),"")</f>
        <v/>
      </c>
      <c r="H1012" s="26">
        <f>IF($N1012&lt;&gt;"",IF(INDEX(PCNet,$N1012)=0,"",INDEX(PCNet,$N1012)),"")</f>
        <v/>
      </c>
      <c r="I1012" s="25">
        <f>IF($N1012&lt;&gt;"",IF(INDEX(PCOp,$N1012)="مرجوعی خرید","",IF(INDEX(PCAmount,$N1012)&lt;=0,"",INDEX(PCAmount,$N1012))),IF($O1012&lt;&gt;"",IF(INDEX(TxnDepB,$O1012)=0,"",INDEX(TxnDepB,$O1012)),""))</f>
        <v/>
      </c>
      <c r="J1012" s="25">
        <f>IF($N1012&lt;&gt;"",IF(INDEX(PCOp,$N1012)="مرجوعی خرید",IF(INDEX(PCAmount,$N1012)=0,"",-INDEX(PCAmount,$N1012)),""),IF($O1012&lt;&gt;"",IF(INDEX(TxnWitB,$O1012)=0,"",INDEX(TxnWitB,$O1012)),""))</f>
        <v/>
      </c>
      <c r="K1012" s="27">
        <f>IF($B1012="","",IF($K1011="",$C$10,$K1011)+IF($I1012="",0,$I1012)-IF($J1012="",0,$J1012))</f>
        <v/>
      </c>
      <c r="L1012" s="28">
        <f>IF($N1012&lt;&gt;"",IF(INDEX(PCNotes,$N1012)="","—",INDEX(PCNotes,$N1012)),IF($O1012&lt;&gt;"",IF(INDEX(LdgNoteB,$O1012)="","—",INDEX(LdgNoteB,$O1012)),""))</f>
        <v/>
      </c>
      <c r="N1012">
        <f>IFERROR(MATCH($C$5&amp;"|"&amp;RIGHT("000000"&amp;996,6),LdgRankKeyA,0),"")</f>
        <v/>
      </c>
      <c r="O1012">
        <f>IFERROR(MATCH($C$5&amp;"|"&amp;RIGHT("000000"&amp;996,6),LdgRankKeyB,0),"")</f>
        <v/>
      </c>
    </row>
    <row r="1013">
      <c r="A1013" s="17" t="n">
        <v>997</v>
      </c>
      <c r="B1013" s="18">
        <f>IF(AND($N1013="",$O1013=""),"",IF($N1013&lt;&gt;"",INDEX(PCNormDate,$N1013),INDEX(LdgDateB,$O1013)))</f>
        <v/>
      </c>
      <c r="C1013" s="18">
        <f>IF($N1013&lt;&gt;"",INDEX(PCOp,$N1013),IF($O1013&lt;&gt;"",IF(N(INDEX(TxnDepB,$O1013))&gt;0,"دریافت بانکی","پرداخت بانکی"),""))</f>
        <v/>
      </c>
      <c r="D1013" s="18">
        <f>IF($N1013&lt;&gt;"",IF(INDEX(PCDoc,$N1013)="","—",INDEX(PCDoc,$N1013)),IF($O1013&lt;&gt;"",INDEX(LdgBankB,$O1013),""))</f>
        <v/>
      </c>
      <c r="E1013" s="18">
        <f>IF($N1013&lt;&gt;"",IF(INDEX(PCCitrus,$N1013)="","—",INDEX(PCCitrus,$N1013)),"")</f>
        <v/>
      </c>
      <c r="F1013" s="19">
        <f>IF($N1013&lt;&gt;"",IF(INDEX(PCScale,$N1013)=0,"",INDEX(PCScale,$N1013)),"")</f>
        <v/>
      </c>
      <c r="G1013" s="19">
        <f>IF($N1013&lt;&gt;"",IF(INDEX(PCBaskets,$N1013)=0,"",INDEX(PCBaskets,$N1013)),"")</f>
        <v/>
      </c>
      <c r="H1013" s="20">
        <f>IF($N1013&lt;&gt;"",IF(INDEX(PCNet,$N1013)=0,"",INDEX(PCNet,$N1013)),"")</f>
        <v/>
      </c>
      <c r="I1013" s="19">
        <f>IF($N1013&lt;&gt;"",IF(INDEX(PCOp,$N1013)="مرجوعی خرید","",IF(INDEX(PCAmount,$N1013)&lt;=0,"",INDEX(PCAmount,$N1013))),IF($O1013&lt;&gt;"",IF(INDEX(TxnDepB,$O1013)=0,"",INDEX(TxnDepB,$O1013)),""))</f>
        <v/>
      </c>
      <c r="J1013" s="19">
        <f>IF($N1013&lt;&gt;"",IF(INDEX(PCOp,$N1013)="مرجوعی خرید",IF(INDEX(PCAmount,$N1013)=0,"",-INDEX(PCAmount,$N1013)),""),IF($O1013&lt;&gt;"",IF(INDEX(TxnWitB,$O1013)=0,"",INDEX(TxnWitB,$O1013)),""))</f>
        <v/>
      </c>
      <c r="K1013" s="21">
        <f>IF($B1013="","",IF($K1012="",$C$10,$K1012)+IF($I1013="",0,$I1013)-IF($J1013="",0,$J1013))</f>
        <v/>
      </c>
      <c r="L1013" s="22">
        <f>IF($N1013&lt;&gt;"",IF(INDEX(PCNotes,$N1013)="","—",INDEX(PCNotes,$N1013)),IF($O1013&lt;&gt;"",IF(INDEX(LdgNoteB,$O1013)="","—",INDEX(LdgNoteB,$O1013)),""))</f>
        <v/>
      </c>
      <c r="N1013">
        <f>IFERROR(MATCH($C$5&amp;"|"&amp;RIGHT("000000"&amp;997,6),LdgRankKeyA,0),"")</f>
        <v/>
      </c>
      <c r="O1013">
        <f>IFERROR(MATCH($C$5&amp;"|"&amp;RIGHT("000000"&amp;997,6),LdgRankKeyB,0),"")</f>
        <v/>
      </c>
    </row>
    <row r="1014">
      <c r="A1014" s="23" t="n">
        <v>998</v>
      </c>
      <c r="B1014" s="24">
        <f>IF(AND($N1014="",$O1014=""),"",IF($N1014&lt;&gt;"",INDEX(PCNormDate,$N1014),INDEX(LdgDateB,$O1014)))</f>
        <v/>
      </c>
      <c r="C1014" s="24">
        <f>IF($N1014&lt;&gt;"",INDEX(PCOp,$N1014),IF($O1014&lt;&gt;"",IF(N(INDEX(TxnDepB,$O1014))&gt;0,"دریافت بانکی","پرداخت بانکی"),""))</f>
        <v/>
      </c>
      <c r="D1014" s="24">
        <f>IF($N1014&lt;&gt;"",IF(INDEX(PCDoc,$N1014)="","—",INDEX(PCDoc,$N1014)),IF($O1014&lt;&gt;"",INDEX(LdgBankB,$O1014),""))</f>
        <v/>
      </c>
      <c r="E1014" s="24">
        <f>IF($N1014&lt;&gt;"",IF(INDEX(PCCitrus,$N1014)="","—",INDEX(PCCitrus,$N1014)),"")</f>
        <v/>
      </c>
      <c r="F1014" s="25">
        <f>IF($N1014&lt;&gt;"",IF(INDEX(PCScale,$N1014)=0,"",INDEX(PCScale,$N1014)),"")</f>
        <v/>
      </c>
      <c r="G1014" s="25">
        <f>IF($N1014&lt;&gt;"",IF(INDEX(PCBaskets,$N1014)=0,"",INDEX(PCBaskets,$N1014)),"")</f>
        <v/>
      </c>
      <c r="H1014" s="26">
        <f>IF($N1014&lt;&gt;"",IF(INDEX(PCNet,$N1014)=0,"",INDEX(PCNet,$N1014)),"")</f>
        <v/>
      </c>
      <c r="I1014" s="25">
        <f>IF($N1014&lt;&gt;"",IF(INDEX(PCOp,$N1014)="مرجوعی خرید","",IF(INDEX(PCAmount,$N1014)&lt;=0,"",INDEX(PCAmount,$N1014))),IF($O1014&lt;&gt;"",IF(INDEX(TxnDepB,$O1014)=0,"",INDEX(TxnDepB,$O1014)),""))</f>
        <v/>
      </c>
      <c r="J1014" s="25">
        <f>IF($N1014&lt;&gt;"",IF(INDEX(PCOp,$N1014)="مرجوعی خرید",IF(INDEX(PCAmount,$N1014)=0,"",-INDEX(PCAmount,$N1014)),""),IF($O1014&lt;&gt;"",IF(INDEX(TxnWitB,$O1014)=0,"",INDEX(TxnWitB,$O1014)),""))</f>
        <v/>
      </c>
      <c r="K1014" s="27">
        <f>IF($B1014="","",IF($K1013="",$C$10,$K1013)+IF($I1014="",0,$I1014)-IF($J1014="",0,$J1014))</f>
        <v/>
      </c>
      <c r="L1014" s="28">
        <f>IF($N1014&lt;&gt;"",IF(INDEX(PCNotes,$N1014)="","—",INDEX(PCNotes,$N1014)),IF($O1014&lt;&gt;"",IF(INDEX(LdgNoteB,$O1014)="","—",INDEX(LdgNoteB,$O1014)),""))</f>
        <v/>
      </c>
      <c r="N1014">
        <f>IFERROR(MATCH($C$5&amp;"|"&amp;RIGHT("000000"&amp;998,6),LdgRankKeyA,0),"")</f>
        <v/>
      </c>
      <c r="O1014">
        <f>IFERROR(MATCH($C$5&amp;"|"&amp;RIGHT("000000"&amp;998,6),LdgRankKeyB,0),"")</f>
        <v/>
      </c>
    </row>
    <row r="1015">
      <c r="A1015" s="17" t="n">
        <v>999</v>
      </c>
      <c r="B1015" s="18">
        <f>IF(AND($N1015="",$O1015=""),"",IF($N1015&lt;&gt;"",INDEX(PCNormDate,$N1015),INDEX(LdgDateB,$O1015)))</f>
        <v/>
      </c>
      <c r="C1015" s="18">
        <f>IF($N1015&lt;&gt;"",INDEX(PCOp,$N1015),IF($O1015&lt;&gt;"",IF(N(INDEX(TxnDepB,$O1015))&gt;0,"دریافت بانکی","پرداخت بانکی"),""))</f>
        <v/>
      </c>
      <c r="D1015" s="18">
        <f>IF($N1015&lt;&gt;"",IF(INDEX(PCDoc,$N1015)="","—",INDEX(PCDoc,$N1015)),IF($O1015&lt;&gt;"",INDEX(LdgBankB,$O1015),""))</f>
        <v/>
      </c>
      <c r="E1015" s="18">
        <f>IF($N1015&lt;&gt;"",IF(INDEX(PCCitrus,$N1015)="","—",INDEX(PCCitrus,$N1015)),"")</f>
        <v/>
      </c>
      <c r="F1015" s="19">
        <f>IF($N1015&lt;&gt;"",IF(INDEX(PCScale,$N1015)=0,"",INDEX(PCScale,$N1015)),"")</f>
        <v/>
      </c>
      <c r="G1015" s="19">
        <f>IF($N1015&lt;&gt;"",IF(INDEX(PCBaskets,$N1015)=0,"",INDEX(PCBaskets,$N1015)),"")</f>
        <v/>
      </c>
      <c r="H1015" s="20">
        <f>IF($N1015&lt;&gt;"",IF(INDEX(PCNet,$N1015)=0,"",INDEX(PCNet,$N1015)),"")</f>
        <v/>
      </c>
      <c r="I1015" s="19">
        <f>IF($N1015&lt;&gt;"",IF(INDEX(PCOp,$N1015)="مرجوعی خرید","",IF(INDEX(PCAmount,$N1015)&lt;=0,"",INDEX(PCAmount,$N1015))),IF($O1015&lt;&gt;"",IF(INDEX(TxnDepB,$O1015)=0,"",INDEX(TxnDepB,$O1015)),""))</f>
        <v/>
      </c>
      <c r="J1015" s="19">
        <f>IF($N1015&lt;&gt;"",IF(INDEX(PCOp,$N1015)="مرجوعی خرید",IF(INDEX(PCAmount,$N1015)=0,"",-INDEX(PCAmount,$N1015)),""),IF($O1015&lt;&gt;"",IF(INDEX(TxnWitB,$O1015)=0,"",INDEX(TxnWitB,$O1015)),""))</f>
        <v/>
      </c>
      <c r="K1015" s="21">
        <f>IF($B1015="","",IF($K1014="",$C$10,$K1014)+IF($I1015="",0,$I1015)-IF($J1015="",0,$J1015))</f>
        <v/>
      </c>
      <c r="L1015" s="22">
        <f>IF($N1015&lt;&gt;"",IF(INDEX(PCNotes,$N1015)="","—",INDEX(PCNotes,$N1015)),IF($O1015&lt;&gt;"",IF(INDEX(LdgNoteB,$O1015)="","—",INDEX(LdgNoteB,$O1015)),""))</f>
        <v/>
      </c>
      <c r="N1015">
        <f>IFERROR(MATCH($C$5&amp;"|"&amp;RIGHT("000000"&amp;999,6),LdgRankKeyA,0),"")</f>
        <v/>
      </c>
      <c r="O1015">
        <f>IFERROR(MATCH($C$5&amp;"|"&amp;RIGHT("000000"&amp;999,6),LdgRankKeyB,0),"")</f>
        <v/>
      </c>
    </row>
    <row r="1016">
      <c r="A1016" s="23" t="n">
        <v>1000</v>
      </c>
      <c r="B1016" s="24">
        <f>IF(AND($N1016="",$O1016=""),"",IF($N1016&lt;&gt;"",INDEX(PCNormDate,$N1016),INDEX(LdgDateB,$O1016)))</f>
        <v/>
      </c>
      <c r="C1016" s="24">
        <f>IF($N1016&lt;&gt;"",INDEX(PCOp,$N1016),IF($O1016&lt;&gt;"",IF(N(INDEX(TxnDepB,$O1016))&gt;0,"دریافت بانکی","پرداخت بانکی"),""))</f>
        <v/>
      </c>
      <c r="D1016" s="24">
        <f>IF($N1016&lt;&gt;"",IF(INDEX(PCDoc,$N1016)="","—",INDEX(PCDoc,$N1016)),IF($O1016&lt;&gt;"",INDEX(LdgBankB,$O1016),""))</f>
        <v/>
      </c>
      <c r="E1016" s="24">
        <f>IF($N1016&lt;&gt;"",IF(INDEX(PCCitrus,$N1016)="","—",INDEX(PCCitrus,$N1016)),"")</f>
        <v/>
      </c>
      <c r="F1016" s="25">
        <f>IF($N1016&lt;&gt;"",IF(INDEX(PCScale,$N1016)=0,"",INDEX(PCScale,$N1016)),"")</f>
        <v/>
      </c>
      <c r="G1016" s="25">
        <f>IF($N1016&lt;&gt;"",IF(INDEX(PCBaskets,$N1016)=0,"",INDEX(PCBaskets,$N1016)),"")</f>
        <v/>
      </c>
      <c r="H1016" s="26">
        <f>IF($N1016&lt;&gt;"",IF(INDEX(PCNet,$N1016)=0,"",INDEX(PCNet,$N1016)),"")</f>
        <v/>
      </c>
      <c r="I1016" s="25">
        <f>IF($N1016&lt;&gt;"",IF(INDEX(PCOp,$N1016)="مرجوعی خرید","",IF(INDEX(PCAmount,$N1016)&lt;=0,"",INDEX(PCAmount,$N1016))),IF($O1016&lt;&gt;"",IF(INDEX(TxnDepB,$O1016)=0,"",INDEX(TxnDepB,$O1016)),""))</f>
        <v/>
      </c>
      <c r="J1016" s="25">
        <f>IF($N1016&lt;&gt;"",IF(INDEX(PCOp,$N1016)="مرجوعی خرید",IF(INDEX(PCAmount,$N1016)=0,"",-INDEX(PCAmount,$N1016)),""),IF($O1016&lt;&gt;"",IF(INDEX(TxnWitB,$O1016)=0,"",INDEX(TxnWitB,$O1016)),""))</f>
        <v/>
      </c>
      <c r="K1016" s="27">
        <f>IF($B1016="","",IF($K1015="",$C$10,$K1015)+IF($I1016="",0,$I1016)-IF($J1016="",0,$J1016))</f>
        <v/>
      </c>
      <c r="L1016" s="28">
        <f>IF($N1016&lt;&gt;"",IF(INDEX(PCNotes,$N1016)="","—",INDEX(PCNotes,$N1016)),IF($O1016&lt;&gt;"",IF(INDEX(LdgNoteB,$O1016)="","—",INDEX(LdgNoteB,$O1016)),""))</f>
        <v/>
      </c>
      <c r="N1016">
        <f>IFERROR(MATCH($C$5&amp;"|"&amp;RIGHT("000000"&amp;1000,6),LdgRankKeyA,0),"")</f>
        <v/>
      </c>
      <c r="O1016">
        <f>IFERROR(MATCH($C$5&amp;"|"&amp;RIGHT("000000"&amp;1000,6),LdgRankKeyB,0),"")</f>
        <v/>
      </c>
    </row>
    <row r="1017">
      <c r="A1017" s="17" t="n">
        <v>1001</v>
      </c>
      <c r="B1017" s="18">
        <f>IF(AND($N1017="",$O1017=""),"",IF($N1017&lt;&gt;"",INDEX(PCNormDate,$N1017),INDEX(LdgDateB,$O1017)))</f>
        <v/>
      </c>
      <c r="C1017" s="18">
        <f>IF($N1017&lt;&gt;"",INDEX(PCOp,$N1017),IF($O1017&lt;&gt;"",IF(N(INDEX(TxnDepB,$O1017))&gt;0,"دریافت بانکی","پرداخت بانکی"),""))</f>
        <v/>
      </c>
      <c r="D1017" s="18">
        <f>IF($N1017&lt;&gt;"",IF(INDEX(PCDoc,$N1017)="","—",INDEX(PCDoc,$N1017)),IF($O1017&lt;&gt;"",INDEX(LdgBankB,$O1017),""))</f>
        <v/>
      </c>
      <c r="E1017" s="18">
        <f>IF($N1017&lt;&gt;"",IF(INDEX(PCCitrus,$N1017)="","—",INDEX(PCCitrus,$N1017)),"")</f>
        <v/>
      </c>
      <c r="F1017" s="19">
        <f>IF($N1017&lt;&gt;"",IF(INDEX(PCScale,$N1017)=0,"",INDEX(PCScale,$N1017)),"")</f>
        <v/>
      </c>
      <c r="G1017" s="19">
        <f>IF($N1017&lt;&gt;"",IF(INDEX(PCBaskets,$N1017)=0,"",INDEX(PCBaskets,$N1017)),"")</f>
        <v/>
      </c>
      <c r="H1017" s="20">
        <f>IF($N1017&lt;&gt;"",IF(INDEX(PCNet,$N1017)=0,"",INDEX(PCNet,$N1017)),"")</f>
        <v/>
      </c>
      <c r="I1017" s="19">
        <f>IF($N1017&lt;&gt;"",IF(INDEX(PCOp,$N1017)="مرجوعی خرید","",IF(INDEX(PCAmount,$N1017)&lt;=0,"",INDEX(PCAmount,$N1017))),IF($O1017&lt;&gt;"",IF(INDEX(TxnDepB,$O1017)=0,"",INDEX(TxnDepB,$O1017)),""))</f>
        <v/>
      </c>
      <c r="J1017" s="19">
        <f>IF($N1017&lt;&gt;"",IF(INDEX(PCOp,$N1017)="مرجوعی خرید",IF(INDEX(PCAmount,$N1017)=0,"",-INDEX(PCAmount,$N1017)),""),IF($O1017&lt;&gt;"",IF(INDEX(TxnWitB,$O1017)=0,"",INDEX(TxnWitB,$O1017)),""))</f>
        <v/>
      </c>
      <c r="K1017" s="21">
        <f>IF($B1017="","",IF($K1016="",$C$10,$K1016)+IF($I1017="",0,$I1017)-IF($J1017="",0,$J1017))</f>
        <v/>
      </c>
      <c r="L1017" s="22">
        <f>IF($N1017&lt;&gt;"",IF(INDEX(PCNotes,$N1017)="","—",INDEX(PCNotes,$N1017)),IF($O1017&lt;&gt;"",IF(INDEX(LdgNoteB,$O1017)="","—",INDEX(LdgNoteB,$O1017)),""))</f>
        <v/>
      </c>
      <c r="N1017">
        <f>IFERROR(MATCH($C$5&amp;"|"&amp;RIGHT("000000"&amp;1001,6),LdgRankKeyA,0),"")</f>
        <v/>
      </c>
      <c r="O1017">
        <f>IFERROR(MATCH($C$5&amp;"|"&amp;RIGHT("000000"&amp;1001,6),LdgRankKeyB,0),"")</f>
        <v/>
      </c>
    </row>
    <row r="1018">
      <c r="A1018" s="23" t="n">
        <v>1002</v>
      </c>
      <c r="B1018" s="24">
        <f>IF(AND($N1018="",$O1018=""),"",IF($N1018&lt;&gt;"",INDEX(PCNormDate,$N1018),INDEX(LdgDateB,$O1018)))</f>
        <v/>
      </c>
      <c r="C1018" s="24">
        <f>IF($N1018&lt;&gt;"",INDEX(PCOp,$N1018),IF($O1018&lt;&gt;"",IF(N(INDEX(TxnDepB,$O1018))&gt;0,"دریافت بانکی","پرداخت بانکی"),""))</f>
        <v/>
      </c>
      <c r="D1018" s="24">
        <f>IF($N1018&lt;&gt;"",IF(INDEX(PCDoc,$N1018)="","—",INDEX(PCDoc,$N1018)),IF($O1018&lt;&gt;"",INDEX(LdgBankB,$O1018),""))</f>
        <v/>
      </c>
      <c r="E1018" s="24">
        <f>IF($N1018&lt;&gt;"",IF(INDEX(PCCitrus,$N1018)="","—",INDEX(PCCitrus,$N1018)),"")</f>
        <v/>
      </c>
      <c r="F1018" s="25">
        <f>IF($N1018&lt;&gt;"",IF(INDEX(PCScale,$N1018)=0,"",INDEX(PCScale,$N1018)),"")</f>
        <v/>
      </c>
      <c r="G1018" s="25">
        <f>IF($N1018&lt;&gt;"",IF(INDEX(PCBaskets,$N1018)=0,"",INDEX(PCBaskets,$N1018)),"")</f>
        <v/>
      </c>
      <c r="H1018" s="26">
        <f>IF($N1018&lt;&gt;"",IF(INDEX(PCNet,$N1018)=0,"",INDEX(PCNet,$N1018)),"")</f>
        <v/>
      </c>
      <c r="I1018" s="25">
        <f>IF($N1018&lt;&gt;"",IF(INDEX(PCOp,$N1018)="مرجوعی خرید","",IF(INDEX(PCAmount,$N1018)&lt;=0,"",INDEX(PCAmount,$N1018))),IF($O1018&lt;&gt;"",IF(INDEX(TxnDepB,$O1018)=0,"",INDEX(TxnDepB,$O1018)),""))</f>
        <v/>
      </c>
      <c r="J1018" s="25">
        <f>IF($N1018&lt;&gt;"",IF(INDEX(PCOp,$N1018)="مرجوعی خرید",IF(INDEX(PCAmount,$N1018)=0,"",-INDEX(PCAmount,$N1018)),""),IF($O1018&lt;&gt;"",IF(INDEX(TxnWitB,$O1018)=0,"",INDEX(TxnWitB,$O1018)),""))</f>
        <v/>
      </c>
      <c r="K1018" s="27">
        <f>IF($B1018="","",IF($K1017="",$C$10,$K1017)+IF($I1018="",0,$I1018)-IF($J1018="",0,$J1018))</f>
        <v/>
      </c>
      <c r="L1018" s="28">
        <f>IF($N1018&lt;&gt;"",IF(INDEX(PCNotes,$N1018)="","—",INDEX(PCNotes,$N1018)),IF($O1018&lt;&gt;"",IF(INDEX(LdgNoteB,$O1018)="","—",INDEX(LdgNoteB,$O1018)),""))</f>
        <v/>
      </c>
      <c r="N1018">
        <f>IFERROR(MATCH($C$5&amp;"|"&amp;RIGHT("000000"&amp;1002,6),LdgRankKeyA,0),"")</f>
        <v/>
      </c>
      <c r="O1018">
        <f>IFERROR(MATCH($C$5&amp;"|"&amp;RIGHT("000000"&amp;1002,6),LdgRankKeyB,0),"")</f>
        <v/>
      </c>
    </row>
    <row r="1019">
      <c r="A1019" s="17" t="n">
        <v>1003</v>
      </c>
      <c r="B1019" s="18">
        <f>IF(AND($N1019="",$O1019=""),"",IF($N1019&lt;&gt;"",INDEX(PCNormDate,$N1019),INDEX(LdgDateB,$O1019)))</f>
        <v/>
      </c>
      <c r="C1019" s="18">
        <f>IF($N1019&lt;&gt;"",INDEX(PCOp,$N1019),IF($O1019&lt;&gt;"",IF(N(INDEX(TxnDepB,$O1019))&gt;0,"دریافت بانکی","پرداخت بانکی"),""))</f>
        <v/>
      </c>
      <c r="D1019" s="18">
        <f>IF($N1019&lt;&gt;"",IF(INDEX(PCDoc,$N1019)="","—",INDEX(PCDoc,$N1019)),IF($O1019&lt;&gt;"",INDEX(LdgBankB,$O1019),""))</f>
        <v/>
      </c>
      <c r="E1019" s="18">
        <f>IF($N1019&lt;&gt;"",IF(INDEX(PCCitrus,$N1019)="","—",INDEX(PCCitrus,$N1019)),"")</f>
        <v/>
      </c>
      <c r="F1019" s="19">
        <f>IF($N1019&lt;&gt;"",IF(INDEX(PCScale,$N1019)=0,"",INDEX(PCScale,$N1019)),"")</f>
        <v/>
      </c>
      <c r="G1019" s="19">
        <f>IF($N1019&lt;&gt;"",IF(INDEX(PCBaskets,$N1019)=0,"",INDEX(PCBaskets,$N1019)),"")</f>
        <v/>
      </c>
      <c r="H1019" s="20">
        <f>IF($N1019&lt;&gt;"",IF(INDEX(PCNet,$N1019)=0,"",INDEX(PCNet,$N1019)),"")</f>
        <v/>
      </c>
      <c r="I1019" s="19">
        <f>IF($N1019&lt;&gt;"",IF(INDEX(PCOp,$N1019)="مرجوعی خرید","",IF(INDEX(PCAmount,$N1019)&lt;=0,"",INDEX(PCAmount,$N1019))),IF($O1019&lt;&gt;"",IF(INDEX(TxnDepB,$O1019)=0,"",INDEX(TxnDepB,$O1019)),""))</f>
        <v/>
      </c>
      <c r="J1019" s="19">
        <f>IF($N1019&lt;&gt;"",IF(INDEX(PCOp,$N1019)="مرجوعی خرید",IF(INDEX(PCAmount,$N1019)=0,"",-INDEX(PCAmount,$N1019)),""),IF($O1019&lt;&gt;"",IF(INDEX(TxnWitB,$O1019)=0,"",INDEX(TxnWitB,$O1019)),""))</f>
        <v/>
      </c>
      <c r="K1019" s="21">
        <f>IF($B1019="","",IF($K1018="",$C$10,$K1018)+IF($I1019="",0,$I1019)-IF($J1019="",0,$J1019))</f>
        <v/>
      </c>
      <c r="L1019" s="22">
        <f>IF($N1019&lt;&gt;"",IF(INDEX(PCNotes,$N1019)="","—",INDEX(PCNotes,$N1019)),IF($O1019&lt;&gt;"",IF(INDEX(LdgNoteB,$O1019)="","—",INDEX(LdgNoteB,$O1019)),""))</f>
        <v/>
      </c>
      <c r="N1019">
        <f>IFERROR(MATCH($C$5&amp;"|"&amp;RIGHT("000000"&amp;1003,6),LdgRankKeyA,0),"")</f>
        <v/>
      </c>
      <c r="O1019">
        <f>IFERROR(MATCH($C$5&amp;"|"&amp;RIGHT("000000"&amp;1003,6),LdgRankKeyB,0),"")</f>
        <v/>
      </c>
    </row>
    <row r="1020">
      <c r="A1020" s="23" t="n">
        <v>1004</v>
      </c>
      <c r="B1020" s="24">
        <f>IF(AND($N1020="",$O1020=""),"",IF($N1020&lt;&gt;"",INDEX(PCNormDate,$N1020),INDEX(LdgDateB,$O1020)))</f>
        <v/>
      </c>
      <c r="C1020" s="24">
        <f>IF($N1020&lt;&gt;"",INDEX(PCOp,$N1020),IF($O1020&lt;&gt;"",IF(N(INDEX(TxnDepB,$O1020))&gt;0,"دریافت بانکی","پرداخت بانکی"),""))</f>
        <v/>
      </c>
      <c r="D1020" s="24">
        <f>IF($N1020&lt;&gt;"",IF(INDEX(PCDoc,$N1020)="","—",INDEX(PCDoc,$N1020)),IF($O1020&lt;&gt;"",INDEX(LdgBankB,$O1020),""))</f>
        <v/>
      </c>
      <c r="E1020" s="24">
        <f>IF($N1020&lt;&gt;"",IF(INDEX(PCCitrus,$N1020)="","—",INDEX(PCCitrus,$N1020)),"")</f>
        <v/>
      </c>
      <c r="F1020" s="25">
        <f>IF($N1020&lt;&gt;"",IF(INDEX(PCScale,$N1020)=0,"",INDEX(PCScale,$N1020)),"")</f>
        <v/>
      </c>
      <c r="G1020" s="25">
        <f>IF($N1020&lt;&gt;"",IF(INDEX(PCBaskets,$N1020)=0,"",INDEX(PCBaskets,$N1020)),"")</f>
        <v/>
      </c>
      <c r="H1020" s="26">
        <f>IF($N1020&lt;&gt;"",IF(INDEX(PCNet,$N1020)=0,"",INDEX(PCNet,$N1020)),"")</f>
        <v/>
      </c>
      <c r="I1020" s="25">
        <f>IF($N1020&lt;&gt;"",IF(INDEX(PCOp,$N1020)="مرجوعی خرید","",IF(INDEX(PCAmount,$N1020)&lt;=0,"",INDEX(PCAmount,$N1020))),IF($O1020&lt;&gt;"",IF(INDEX(TxnDepB,$O1020)=0,"",INDEX(TxnDepB,$O1020)),""))</f>
        <v/>
      </c>
      <c r="J1020" s="25">
        <f>IF($N1020&lt;&gt;"",IF(INDEX(PCOp,$N1020)="مرجوعی خرید",IF(INDEX(PCAmount,$N1020)=0,"",-INDEX(PCAmount,$N1020)),""),IF($O1020&lt;&gt;"",IF(INDEX(TxnWitB,$O1020)=0,"",INDEX(TxnWitB,$O1020)),""))</f>
        <v/>
      </c>
      <c r="K1020" s="27">
        <f>IF($B1020="","",IF($K1019="",$C$10,$K1019)+IF($I1020="",0,$I1020)-IF($J1020="",0,$J1020))</f>
        <v/>
      </c>
      <c r="L1020" s="28">
        <f>IF($N1020&lt;&gt;"",IF(INDEX(PCNotes,$N1020)="","—",INDEX(PCNotes,$N1020)),IF($O1020&lt;&gt;"",IF(INDEX(LdgNoteB,$O1020)="","—",INDEX(LdgNoteB,$O1020)),""))</f>
        <v/>
      </c>
      <c r="N1020">
        <f>IFERROR(MATCH($C$5&amp;"|"&amp;RIGHT("000000"&amp;1004,6),LdgRankKeyA,0),"")</f>
        <v/>
      </c>
      <c r="O1020">
        <f>IFERROR(MATCH($C$5&amp;"|"&amp;RIGHT("000000"&amp;1004,6),LdgRankKeyB,0),"")</f>
        <v/>
      </c>
    </row>
    <row r="1021">
      <c r="A1021" s="17" t="n">
        <v>1005</v>
      </c>
      <c r="B1021" s="18">
        <f>IF(AND($N1021="",$O1021=""),"",IF($N1021&lt;&gt;"",INDEX(PCNormDate,$N1021),INDEX(LdgDateB,$O1021)))</f>
        <v/>
      </c>
      <c r="C1021" s="18">
        <f>IF($N1021&lt;&gt;"",INDEX(PCOp,$N1021),IF($O1021&lt;&gt;"",IF(N(INDEX(TxnDepB,$O1021))&gt;0,"دریافت بانکی","پرداخت بانکی"),""))</f>
        <v/>
      </c>
      <c r="D1021" s="18">
        <f>IF($N1021&lt;&gt;"",IF(INDEX(PCDoc,$N1021)="","—",INDEX(PCDoc,$N1021)),IF($O1021&lt;&gt;"",INDEX(LdgBankB,$O1021),""))</f>
        <v/>
      </c>
      <c r="E1021" s="18">
        <f>IF($N1021&lt;&gt;"",IF(INDEX(PCCitrus,$N1021)="","—",INDEX(PCCitrus,$N1021)),"")</f>
        <v/>
      </c>
      <c r="F1021" s="19">
        <f>IF($N1021&lt;&gt;"",IF(INDEX(PCScale,$N1021)=0,"",INDEX(PCScale,$N1021)),"")</f>
        <v/>
      </c>
      <c r="G1021" s="19">
        <f>IF($N1021&lt;&gt;"",IF(INDEX(PCBaskets,$N1021)=0,"",INDEX(PCBaskets,$N1021)),"")</f>
        <v/>
      </c>
      <c r="H1021" s="20">
        <f>IF($N1021&lt;&gt;"",IF(INDEX(PCNet,$N1021)=0,"",INDEX(PCNet,$N1021)),"")</f>
        <v/>
      </c>
      <c r="I1021" s="19">
        <f>IF($N1021&lt;&gt;"",IF(INDEX(PCOp,$N1021)="مرجوعی خرید","",IF(INDEX(PCAmount,$N1021)&lt;=0,"",INDEX(PCAmount,$N1021))),IF($O1021&lt;&gt;"",IF(INDEX(TxnDepB,$O1021)=0,"",INDEX(TxnDepB,$O1021)),""))</f>
        <v/>
      </c>
      <c r="J1021" s="19">
        <f>IF($N1021&lt;&gt;"",IF(INDEX(PCOp,$N1021)="مرجوعی خرید",IF(INDEX(PCAmount,$N1021)=0,"",-INDEX(PCAmount,$N1021)),""),IF($O1021&lt;&gt;"",IF(INDEX(TxnWitB,$O1021)=0,"",INDEX(TxnWitB,$O1021)),""))</f>
        <v/>
      </c>
      <c r="K1021" s="21">
        <f>IF($B1021="","",IF($K1020="",$C$10,$K1020)+IF($I1021="",0,$I1021)-IF($J1021="",0,$J1021))</f>
        <v/>
      </c>
      <c r="L1021" s="22">
        <f>IF($N1021&lt;&gt;"",IF(INDEX(PCNotes,$N1021)="","—",INDEX(PCNotes,$N1021)),IF($O1021&lt;&gt;"",IF(INDEX(LdgNoteB,$O1021)="","—",INDEX(LdgNoteB,$O1021)),""))</f>
        <v/>
      </c>
      <c r="N1021">
        <f>IFERROR(MATCH($C$5&amp;"|"&amp;RIGHT("000000"&amp;1005,6),LdgRankKeyA,0),"")</f>
        <v/>
      </c>
      <c r="O1021">
        <f>IFERROR(MATCH($C$5&amp;"|"&amp;RIGHT("000000"&amp;1005,6),LdgRankKeyB,0),"")</f>
        <v/>
      </c>
    </row>
    <row r="1022">
      <c r="A1022" s="23" t="n">
        <v>1006</v>
      </c>
      <c r="B1022" s="24">
        <f>IF(AND($N1022="",$O1022=""),"",IF($N1022&lt;&gt;"",INDEX(PCNormDate,$N1022),INDEX(LdgDateB,$O1022)))</f>
        <v/>
      </c>
      <c r="C1022" s="24">
        <f>IF($N1022&lt;&gt;"",INDEX(PCOp,$N1022),IF($O1022&lt;&gt;"",IF(N(INDEX(TxnDepB,$O1022))&gt;0,"دریافت بانکی","پرداخت بانکی"),""))</f>
        <v/>
      </c>
      <c r="D1022" s="24">
        <f>IF($N1022&lt;&gt;"",IF(INDEX(PCDoc,$N1022)="","—",INDEX(PCDoc,$N1022)),IF($O1022&lt;&gt;"",INDEX(LdgBankB,$O1022),""))</f>
        <v/>
      </c>
      <c r="E1022" s="24">
        <f>IF($N1022&lt;&gt;"",IF(INDEX(PCCitrus,$N1022)="","—",INDEX(PCCitrus,$N1022)),"")</f>
        <v/>
      </c>
      <c r="F1022" s="25">
        <f>IF($N1022&lt;&gt;"",IF(INDEX(PCScale,$N1022)=0,"",INDEX(PCScale,$N1022)),"")</f>
        <v/>
      </c>
      <c r="G1022" s="25">
        <f>IF($N1022&lt;&gt;"",IF(INDEX(PCBaskets,$N1022)=0,"",INDEX(PCBaskets,$N1022)),"")</f>
        <v/>
      </c>
      <c r="H1022" s="26">
        <f>IF($N1022&lt;&gt;"",IF(INDEX(PCNet,$N1022)=0,"",INDEX(PCNet,$N1022)),"")</f>
        <v/>
      </c>
      <c r="I1022" s="25">
        <f>IF($N1022&lt;&gt;"",IF(INDEX(PCOp,$N1022)="مرجوعی خرید","",IF(INDEX(PCAmount,$N1022)&lt;=0,"",INDEX(PCAmount,$N1022))),IF($O1022&lt;&gt;"",IF(INDEX(TxnDepB,$O1022)=0,"",INDEX(TxnDepB,$O1022)),""))</f>
        <v/>
      </c>
      <c r="J1022" s="25">
        <f>IF($N1022&lt;&gt;"",IF(INDEX(PCOp,$N1022)="مرجوعی خرید",IF(INDEX(PCAmount,$N1022)=0,"",-INDEX(PCAmount,$N1022)),""),IF($O1022&lt;&gt;"",IF(INDEX(TxnWitB,$O1022)=0,"",INDEX(TxnWitB,$O1022)),""))</f>
        <v/>
      </c>
      <c r="K1022" s="27">
        <f>IF($B1022="","",IF($K1021="",$C$10,$K1021)+IF($I1022="",0,$I1022)-IF($J1022="",0,$J1022))</f>
        <v/>
      </c>
      <c r="L1022" s="28">
        <f>IF($N1022&lt;&gt;"",IF(INDEX(PCNotes,$N1022)="","—",INDEX(PCNotes,$N1022)),IF($O1022&lt;&gt;"",IF(INDEX(LdgNoteB,$O1022)="","—",INDEX(LdgNoteB,$O1022)),""))</f>
        <v/>
      </c>
      <c r="N1022">
        <f>IFERROR(MATCH($C$5&amp;"|"&amp;RIGHT("000000"&amp;1006,6),LdgRankKeyA,0),"")</f>
        <v/>
      </c>
      <c r="O1022">
        <f>IFERROR(MATCH($C$5&amp;"|"&amp;RIGHT("000000"&amp;1006,6),LdgRankKeyB,0),"")</f>
        <v/>
      </c>
    </row>
    <row r="1023">
      <c r="A1023" s="17" t="n">
        <v>1007</v>
      </c>
      <c r="B1023" s="18">
        <f>IF(AND($N1023="",$O1023=""),"",IF($N1023&lt;&gt;"",INDEX(PCNormDate,$N1023),INDEX(LdgDateB,$O1023)))</f>
        <v/>
      </c>
      <c r="C1023" s="18">
        <f>IF($N1023&lt;&gt;"",INDEX(PCOp,$N1023),IF($O1023&lt;&gt;"",IF(N(INDEX(TxnDepB,$O1023))&gt;0,"دریافت بانکی","پرداخت بانکی"),""))</f>
        <v/>
      </c>
      <c r="D1023" s="18">
        <f>IF($N1023&lt;&gt;"",IF(INDEX(PCDoc,$N1023)="","—",INDEX(PCDoc,$N1023)),IF($O1023&lt;&gt;"",INDEX(LdgBankB,$O1023),""))</f>
        <v/>
      </c>
      <c r="E1023" s="18">
        <f>IF($N1023&lt;&gt;"",IF(INDEX(PCCitrus,$N1023)="","—",INDEX(PCCitrus,$N1023)),"")</f>
        <v/>
      </c>
      <c r="F1023" s="19">
        <f>IF($N1023&lt;&gt;"",IF(INDEX(PCScale,$N1023)=0,"",INDEX(PCScale,$N1023)),"")</f>
        <v/>
      </c>
      <c r="G1023" s="19">
        <f>IF($N1023&lt;&gt;"",IF(INDEX(PCBaskets,$N1023)=0,"",INDEX(PCBaskets,$N1023)),"")</f>
        <v/>
      </c>
      <c r="H1023" s="20">
        <f>IF($N1023&lt;&gt;"",IF(INDEX(PCNet,$N1023)=0,"",INDEX(PCNet,$N1023)),"")</f>
        <v/>
      </c>
      <c r="I1023" s="19">
        <f>IF($N1023&lt;&gt;"",IF(INDEX(PCOp,$N1023)="مرجوعی خرید","",IF(INDEX(PCAmount,$N1023)&lt;=0,"",INDEX(PCAmount,$N1023))),IF($O1023&lt;&gt;"",IF(INDEX(TxnDepB,$O1023)=0,"",INDEX(TxnDepB,$O1023)),""))</f>
        <v/>
      </c>
      <c r="J1023" s="19">
        <f>IF($N1023&lt;&gt;"",IF(INDEX(PCOp,$N1023)="مرجوعی خرید",IF(INDEX(PCAmount,$N1023)=0,"",-INDEX(PCAmount,$N1023)),""),IF($O1023&lt;&gt;"",IF(INDEX(TxnWitB,$O1023)=0,"",INDEX(TxnWitB,$O1023)),""))</f>
        <v/>
      </c>
      <c r="K1023" s="21">
        <f>IF($B1023="","",IF($K1022="",$C$10,$K1022)+IF($I1023="",0,$I1023)-IF($J1023="",0,$J1023))</f>
        <v/>
      </c>
      <c r="L1023" s="22">
        <f>IF($N1023&lt;&gt;"",IF(INDEX(PCNotes,$N1023)="","—",INDEX(PCNotes,$N1023)),IF($O1023&lt;&gt;"",IF(INDEX(LdgNoteB,$O1023)="","—",INDEX(LdgNoteB,$O1023)),""))</f>
        <v/>
      </c>
      <c r="N1023">
        <f>IFERROR(MATCH($C$5&amp;"|"&amp;RIGHT("000000"&amp;1007,6),LdgRankKeyA,0),"")</f>
        <v/>
      </c>
      <c r="O1023">
        <f>IFERROR(MATCH($C$5&amp;"|"&amp;RIGHT("000000"&amp;1007,6),LdgRankKeyB,0),"")</f>
        <v/>
      </c>
    </row>
    <row r="1024">
      <c r="A1024" s="23" t="n">
        <v>1008</v>
      </c>
      <c r="B1024" s="24">
        <f>IF(AND($N1024="",$O1024=""),"",IF($N1024&lt;&gt;"",INDEX(PCNormDate,$N1024),INDEX(LdgDateB,$O1024)))</f>
        <v/>
      </c>
      <c r="C1024" s="24">
        <f>IF($N1024&lt;&gt;"",INDEX(PCOp,$N1024),IF($O1024&lt;&gt;"",IF(N(INDEX(TxnDepB,$O1024))&gt;0,"دریافت بانکی","پرداخت بانکی"),""))</f>
        <v/>
      </c>
      <c r="D1024" s="24">
        <f>IF($N1024&lt;&gt;"",IF(INDEX(PCDoc,$N1024)="","—",INDEX(PCDoc,$N1024)),IF($O1024&lt;&gt;"",INDEX(LdgBankB,$O1024),""))</f>
        <v/>
      </c>
      <c r="E1024" s="24">
        <f>IF($N1024&lt;&gt;"",IF(INDEX(PCCitrus,$N1024)="","—",INDEX(PCCitrus,$N1024)),"")</f>
        <v/>
      </c>
      <c r="F1024" s="25">
        <f>IF($N1024&lt;&gt;"",IF(INDEX(PCScale,$N1024)=0,"",INDEX(PCScale,$N1024)),"")</f>
        <v/>
      </c>
      <c r="G1024" s="25">
        <f>IF($N1024&lt;&gt;"",IF(INDEX(PCBaskets,$N1024)=0,"",INDEX(PCBaskets,$N1024)),"")</f>
        <v/>
      </c>
      <c r="H1024" s="26">
        <f>IF($N1024&lt;&gt;"",IF(INDEX(PCNet,$N1024)=0,"",INDEX(PCNet,$N1024)),"")</f>
        <v/>
      </c>
      <c r="I1024" s="25">
        <f>IF($N1024&lt;&gt;"",IF(INDEX(PCOp,$N1024)="مرجوعی خرید","",IF(INDEX(PCAmount,$N1024)&lt;=0,"",INDEX(PCAmount,$N1024))),IF($O1024&lt;&gt;"",IF(INDEX(TxnDepB,$O1024)=0,"",INDEX(TxnDepB,$O1024)),""))</f>
        <v/>
      </c>
      <c r="J1024" s="25">
        <f>IF($N1024&lt;&gt;"",IF(INDEX(PCOp,$N1024)="مرجوعی خرید",IF(INDEX(PCAmount,$N1024)=0,"",-INDEX(PCAmount,$N1024)),""),IF($O1024&lt;&gt;"",IF(INDEX(TxnWitB,$O1024)=0,"",INDEX(TxnWitB,$O1024)),""))</f>
        <v/>
      </c>
      <c r="K1024" s="27">
        <f>IF($B1024="","",IF($K1023="",$C$10,$K1023)+IF($I1024="",0,$I1024)-IF($J1024="",0,$J1024))</f>
        <v/>
      </c>
      <c r="L1024" s="28">
        <f>IF($N1024&lt;&gt;"",IF(INDEX(PCNotes,$N1024)="","—",INDEX(PCNotes,$N1024)),IF($O1024&lt;&gt;"",IF(INDEX(LdgNoteB,$O1024)="","—",INDEX(LdgNoteB,$O1024)),""))</f>
        <v/>
      </c>
      <c r="N1024">
        <f>IFERROR(MATCH($C$5&amp;"|"&amp;RIGHT("000000"&amp;1008,6),LdgRankKeyA,0),"")</f>
        <v/>
      </c>
      <c r="O1024">
        <f>IFERROR(MATCH($C$5&amp;"|"&amp;RIGHT("000000"&amp;1008,6),LdgRankKeyB,0),"")</f>
        <v/>
      </c>
    </row>
    <row r="1025">
      <c r="A1025" s="17" t="n">
        <v>1009</v>
      </c>
      <c r="B1025" s="18">
        <f>IF(AND($N1025="",$O1025=""),"",IF($N1025&lt;&gt;"",INDEX(PCNormDate,$N1025),INDEX(LdgDateB,$O1025)))</f>
        <v/>
      </c>
      <c r="C1025" s="18">
        <f>IF($N1025&lt;&gt;"",INDEX(PCOp,$N1025),IF($O1025&lt;&gt;"",IF(N(INDEX(TxnDepB,$O1025))&gt;0,"دریافت بانکی","پرداخت بانکی"),""))</f>
        <v/>
      </c>
      <c r="D1025" s="18">
        <f>IF($N1025&lt;&gt;"",IF(INDEX(PCDoc,$N1025)="","—",INDEX(PCDoc,$N1025)),IF($O1025&lt;&gt;"",INDEX(LdgBankB,$O1025),""))</f>
        <v/>
      </c>
      <c r="E1025" s="18">
        <f>IF($N1025&lt;&gt;"",IF(INDEX(PCCitrus,$N1025)="","—",INDEX(PCCitrus,$N1025)),"")</f>
        <v/>
      </c>
      <c r="F1025" s="19">
        <f>IF($N1025&lt;&gt;"",IF(INDEX(PCScale,$N1025)=0,"",INDEX(PCScale,$N1025)),"")</f>
        <v/>
      </c>
      <c r="G1025" s="19">
        <f>IF($N1025&lt;&gt;"",IF(INDEX(PCBaskets,$N1025)=0,"",INDEX(PCBaskets,$N1025)),"")</f>
        <v/>
      </c>
      <c r="H1025" s="20">
        <f>IF($N1025&lt;&gt;"",IF(INDEX(PCNet,$N1025)=0,"",INDEX(PCNet,$N1025)),"")</f>
        <v/>
      </c>
      <c r="I1025" s="19">
        <f>IF($N1025&lt;&gt;"",IF(INDEX(PCOp,$N1025)="مرجوعی خرید","",IF(INDEX(PCAmount,$N1025)&lt;=0,"",INDEX(PCAmount,$N1025))),IF($O1025&lt;&gt;"",IF(INDEX(TxnDepB,$O1025)=0,"",INDEX(TxnDepB,$O1025)),""))</f>
        <v/>
      </c>
      <c r="J1025" s="19">
        <f>IF($N1025&lt;&gt;"",IF(INDEX(PCOp,$N1025)="مرجوعی خرید",IF(INDEX(PCAmount,$N1025)=0,"",-INDEX(PCAmount,$N1025)),""),IF($O1025&lt;&gt;"",IF(INDEX(TxnWitB,$O1025)=0,"",INDEX(TxnWitB,$O1025)),""))</f>
        <v/>
      </c>
      <c r="K1025" s="21">
        <f>IF($B1025="","",IF($K1024="",$C$10,$K1024)+IF($I1025="",0,$I1025)-IF($J1025="",0,$J1025))</f>
        <v/>
      </c>
      <c r="L1025" s="22">
        <f>IF($N1025&lt;&gt;"",IF(INDEX(PCNotes,$N1025)="","—",INDEX(PCNotes,$N1025)),IF($O1025&lt;&gt;"",IF(INDEX(LdgNoteB,$O1025)="","—",INDEX(LdgNoteB,$O1025)),""))</f>
        <v/>
      </c>
      <c r="N1025">
        <f>IFERROR(MATCH($C$5&amp;"|"&amp;RIGHT("000000"&amp;1009,6),LdgRankKeyA,0),"")</f>
        <v/>
      </c>
      <c r="O1025">
        <f>IFERROR(MATCH($C$5&amp;"|"&amp;RIGHT("000000"&amp;1009,6),LdgRankKeyB,0),"")</f>
        <v/>
      </c>
    </row>
    <row r="1026">
      <c r="A1026" s="23" t="n">
        <v>1010</v>
      </c>
      <c r="B1026" s="24">
        <f>IF(AND($N1026="",$O1026=""),"",IF($N1026&lt;&gt;"",INDEX(PCNormDate,$N1026),INDEX(LdgDateB,$O1026)))</f>
        <v/>
      </c>
      <c r="C1026" s="24">
        <f>IF($N1026&lt;&gt;"",INDEX(PCOp,$N1026),IF($O1026&lt;&gt;"",IF(N(INDEX(TxnDepB,$O1026))&gt;0,"دریافت بانکی","پرداخت بانکی"),""))</f>
        <v/>
      </c>
      <c r="D1026" s="24">
        <f>IF($N1026&lt;&gt;"",IF(INDEX(PCDoc,$N1026)="","—",INDEX(PCDoc,$N1026)),IF($O1026&lt;&gt;"",INDEX(LdgBankB,$O1026),""))</f>
        <v/>
      </c>
      <c r="E1026" s="24">
        <f>IF($N1026&lt;&gt;"",IF(INDEX(PCCitrus,$N1026)="","—",INDEX(PCCitrus,$N1026)),"")</f>
        <v/>
      </c>
      <c r="F1026" s="25">
        <f>IF($N1026&lt;&gt;"",IF(INDEX(PCScale,$N1026)=0,"",INDEX(PCScale,$N1026)),"")</f>
        <v/>
      </c>
      <c r="G1026" s="25">
        <f>IF($N1026&lt;&gt;"",IF(INDEX(PCBaskets,$N1026)=0,"",INDEX(PCBaskets,$N1026)),"")</f>
        <v/>
      </c>
      <c r="H1026" s="26">
        <f>IF($N1026&lt;&gt;"",IF(INDEX(PCNet,$N1026)=0,"",INDEX(PCNet,$N1026)),"")</f>
        <v/>
      </c>
      <c r="I1026" s="25">
        <f>IF($N1026&lt;&gt;"",IF(INDEX(PCOp,$N1026)="مرجوعی خرید","",IF(INDEX(PCAmount,$N1026)&lt;=0,"",INDEX(PCAmount,$N1026))),IF($O1026&lt;&gt;"",IF(INDEX(TxnDepB,$O1026)=0,"",INDEX(TxnDepB,$O1026)),""))</f>
        <v/>
      </c>
      <c r="J1026" s="25">
        <f>IF($N1026&lt;&gt;"",IF(INDEX(PCOp,$N1026)="مرجوعی خرید",IF(INDEX(PCAmount,$N1026)=0,"",-INDEX(PCAmount,$N1026)),""),IF($O1026&lt;&gt;"",IF(INDEX(TxnWitB,$O1026)=0,"",INDEX(TxnWitB,$O1026)),""))</f>
        <v/>
      </c>
      <c r="K1026" s="27">
        <f>IF($B1026="","",IF($K1025="",$C$10,$K1025)+IF($I1026="",0,$I1026)-IF($J1026="",0,$J1026))</f>
        <v/>
      </c>
      <c r="L1026" s="28">
        <f>IF($N1026&lt;&gt;"",IF(INDEX(PCNotes,$N1026)="","—",INDEX(PCNotes,$N1026)),IF($O1026&lt;&gt;"",IF(INDEX(LdgNoteB,$O1026)="","—",INDEX(LdgNoteB,$O1026)),""))</f>
        <v/>
      </c>
      <c r="N1026">
        <f>IFERROR(MATCH($C$5&amp;"|"&amp;RIGHT("000000"&amp;1010,6),LdgRankKeyA,0),"")</f>
        <v/>
      </c>
      <c r="O1026">
        <f>IFERROR(MATCH($C$5&amp;"|"&amp;RIGHT("000000"&amp;1010,6),LdgRankKeyB,0),"")</f>
        <v/>
      </c>
    </row>
    <row r="1027">
      <c r="A1027" s="17" t="n">
        <v>1011</v>
      </c>
      <c r="B1027" s="18">
        <f>IF(AND($N1027="",$O1027=""),"",IF($N1027&lt;&gt;"",INDEX(PCNormDate,$N1027),INDEX(LdgDateB,$O1027)))</f>
        <v/>
      </c>
      <c r="C1027" s="18">
        <f>IF($N1027&lt;&gt;"",INDEX(PCOp,$N1027),IF($O1027&lt;&gt;"",IF(N(INDEX(TxnDepB,$O1027))&gt;0,"دریافت بانکی","پرداخت بانکی"),""))</f>
        <v/>
      </c>
      <c r="D1027" s="18">
        <f>IF($N1027&lt;&gt;"",IF(INDEX(PCDoc,$N1027)="","—",INDEX(PCDoc,$N1027)),IF($O1027&lt;&gt;"",INDEX(LdgBankB,$O1027),""))</f>
        <v/>
      </c>
      <c r="E1027" s="18">
        <f>IF($N1027&lt;&gt;"",IF(INDEX(PCCitrus,$N1027)="","—",INDEX(PCCitrus,$N1027)),"")</f>
        <v/>
      </c>
      <c r="F1027" s="19">
        <f>IF($N1027&lt;&gt;"",IF(INDEX(PCScale,$N1027)=0,"",INDEX(PCScale,$N1027)),"")</f>
        <v/>
      </c>
      <c r="G1027" s="19">
        <f>IF($N1027&lt;&gt;"",IF(INDEX(PCBaskets,$N1027)=0,"",INDEX(PCBaskets,$N1027)),"")</f>
        <v/>
      </c>
      <c r="H1027" s="20">
        <f>IF($N1027&lt;&gt;"",IF(INDEX(PCNet,$N1027)=0,"",INDEX(PCNet,$N1027)),"")</f>
        <v/>
      </c>
      <c r="I1027" s="19">
        <f>IF($N1027&lt;&gt;"",IF(INDEX(PCOp,$N1027)="مرجوعی خرید","",IF(INDEX(PCAmount,$N1027)&lt;=0,"",INDEX(PCAmount,$N1027))),IF($O1027&lt;&gt;"",IF(INDEX(TxnDepB,$O1027)=0,"",INDEX(TxnDepB,$O1027)),""))</f>
        <v/>
      </c>
      <c r="J1027" s="19">
        <f>IF($N1027&lt;&gt;"",IF(INDEX(PCOp,$N1027)="مرجوعی خرید",IF(INDEX(PCAmount,$N1027)=0,"",-INDEX(PCAmount,$N1027)),""),IF($O1027&lt;&gt;"",IF(INDEX(TxnWitB,$O1027)=0,"",INDEX(TxnWitB,$O1027)),""))</f>
        <v/>
      </c>
      <c r="K1027" s="21">
        <f>IF($B1027="","",IF($K1026="",$C$10,$K1026)+IF($I1027="",0,$I1027)-IF($J1027="",0,$J1027))</f>
        <v/>
      </c>
      <c r="L1027" s="22">
        <f>IF($N1027&lt;&gt;"",IF(INDEX(PCNotes,$N1027)="","—",INDEX(PCNotes,$N1027)),IF($O1027&lt;&gt;"",IF(INDEX(LdgNoteB,$O1027)="","—",INDEX(LdgNoteB,$O1027)),""))</f>
        <v/>
      </c>
      <c r="N1027">
        <f>IFERROR(MATCH($C$5&amp;"|"&amp;RIGHT("000000"&amp;1011,6),LdgRankKeyA,0),"")</f>
        <v/>
      </c>
      <c r="O1027">
        <f>IFERROR(MATCH($C$5&amp;"|"&amp;RIGHT("000000"&amp;1011,6),LdgRankKeyB,0),"")</f>
        <v/>
      </c>
    </row>
    <row r="1028">
      <c r="A1028" s="23" t="n">
        <v>1012</v>
      </c>
      <c r="B1028" s="24">
        <f>IF(AND($N1028="",$O1028=""),"",IF($N1028&lt;&gt;"",INDEX(PCNormDate,$N1028),INDEX(LdgDateB,$O1028)))</f>
        <v/>
      </c>
      <c r="C1028" s="24">
        <f>IF($N1028&lt;&gt;"",INDEX(PCOp,$N1028),IF($O1028&lt;&gt;"",IF(N(INDEX(TxnDepB,$O1028))&gt;0,"دریافت بانکی","پرداخت بانکی"),""))</f>
        <v/>
      </c>
      <c r="D1028" s="24">
        <f>IF($N1028&lt;&gt;"",IF(INDEX(PCDoc,$N1028)="","—",INDEX(PCDoc,$N1028)),IF($O1028&lt;&gt;"",INDEX(LdgBankB,$O1028),""))</f>
        <v/>
      </c>
      <c r="E1028" s="24">
        <f>IF($N1028&lt;&gt;"",IF(INDEX(PCCitrus,$N1028)="","—",INDEX(PCCitrus,$N1028)),"")</f>
        <v/>
      </c>
      <c r="F1028" s="25">
        <f>IF($N1028&lt;&gt;"",IF(INDEX(PCScale,$N1028)=0,"",INDEX(PCScale,$N1028)),"")</f>
        <v/>
      </c>
      <c r="G1028" s="25">
        <f>IF($N1028&lt;&gt;"",IF(INDEX(PCBaskets,$N1028)=0,"",INDEX(PCBaskets,$N1028)),"")</f>
        <v/>
      </c>
      <c r="H1028" s="26">
        <f>IF($N1028&lt;&gt;"",IF(INDEX(PCNet,$N1028)=0,"",INDEX(PCNet,$N1028)),"")</f>
        <v/>
      </c>
      <c r="I1028" s="25">
        <f>IF($N1028&lt;&gt;"",IF(INDEX(PCOp,$N1028)="مرجوعی خرید","",IF(INDEX(PCAmount,$N1028)&lt;=0,"",INDEX(PCAmount,$N1028))),IF($O1028&lt;&gt;"",IF(INDEX(TxnDepB,$O1028)=0,"",INDEX(TxnDepB,$O1028)),""))</f>
        <v/>
      </c>
      <c r="J1028" s="25">
        <f>IF($N1028&lt;&gt;"",IF(INDEX(PCOp,$N1028)="مرجوعی خرید",IF(INDEX(PCAmount,$N1028)=0,"",-INDEX(PCAmount,$N1028)),""),IF($O1028&lt;&gt;"",IF(INDEX(TxnWitB,$O1028)=0,"",INDEX(TxnWitB,$O1028)),""))</f>
        <v/>
      </c>
      <c r="K1028" s="27">
        <f>IF($B1028="","",IF($K1027="",$C$10,$K1027)+IF($I1028="",0,$I1028)-IF($J1028="",0,$J1028))</f>
        <v/>
      </c>
      <c r="L1028" s="28">
        <f>IF($N1028&lt;&gt;"",IF(INDEX(PCNotes,$N1028)="","—",INDEX(PCNotes,$N1028)),IF($O1028&lt;&gt;"",IF(INDEX(LdgNoteB,$O1028)="","—",INDEX(LdgNoteB,$O1028)),""))</f>
        <v/>
      </c>
      <c r="N1028">
        <f>IFERROR(MATCH($C$5&amp;"|"&amp;RIGHT("000000"&amp;1012,6),LdgRankKeyA,0),"")</f>
        <v/>
      </c>
      <c r="O1028">
        <f>IFERROR(MATCH($C$5&amp;"|"&amp;RIGHT("000000"&amp;1012,6),LdgRankKeyB,0),"")</f>
        <v/>
      </c>
    </row>
    <row r="1029">
      <c r="A1029" s="17" t="n">
        <v>1013</v>
      </c>
      <c r="B1029" s="18">
        <f>IF(AND($N1029="",$O1029=""),"",IF($N1029&lt;&gt;"",INDEX(PCNormDate,$N1029),INDEX(LdgDateB,$O1029)))</f>
        <v/>
      </c>
      <c r="C1029" s="18">
        <f>IF($N1029&lt;&gt;"",INDEX(PCOp,$N1029),IF($O1029&lt;&gt;"",IF(N(INDEX(TxnDepB,$O1029))&gt;0,"دریافت بانکی","پرداخت بانکی"),""))</f>
        <v/>
      </c>
      <c r="D1029" s="18">
        <f>IF($N1029&lt;&gt;"",IF(INDEX(PCDoc,$N1029)="","—",INDEX(PCDoc,$N1029)),IF($O1029&lt;&gt;"",INDEX(LdgBankB,$O1029),""))</f>
        <v/>
      </c>
      <c r="E1029" s="18">
        <f>IF($N1029&lt;&gt;"",IF(INDEX(PCCitrus,$N1029)="","—",INDEX(PCCitrus,$N1029)),"")</f>
        <v/>
      </c>
      <c r="F1029" s="19">
        <f>IF($N1029&lt;&gt;"",IF(INDEX(PCScale,$N1029)=0,"",INDEX(PCScale,$N1029)),"")</f>
        <v/>
      </c>
      <c r="G1029" s="19">
        <f>IF($N1029&lt;&gt;"",IF(INDEX(PCBaskets,$N1029)=0,"",INDEX(PCBaskets,$N1029)),"")</f>
        <v/>
      </c>
      <c r="H1029" s="20">
        <f>IF($N1029&lt;&gt;"",IF(INDEX(PCNet,$N1029)=0,"",INDEX(PCNet,$N1029)),"")</f>
        <v/>
      </c>
      <c r="I1029" s="19">
        <f>IF($N1029&lt;&gt;"",IF(INDEX(PCOp,$N1029)="مرجوعی خرید","",IF(INDEX(PCAmount,$N1029)&lt;=0,"",INDEX(PCAmount,$N1029))),IF($O1029&lt;&gt;"",IF(INDEX(TxnDepB,$O1029)=0,"",INDEX(TxnDepB,$O1029)),""))</f>
        <v/>
      </c>
      <c r="J1029" s="19">
        <f>IF($N1029&lt;&gt;"",IF(INDEX(PCOp,$N1029)="مرجوعی خرید",IF(INDEX(PCAmount,$N1029)=0,"",-INDEX(PCAmount,$N1029)),""),IF($O1029&lt;&gt;"",IF(INDEX(TxnWitB,$O1029)=0,"",INDEX(TxnWitB,$O1029)),""))</f>
        <v/>
      </c>
      <c r="K1029" s="21">
        <f>IF($B1029="","",IF($K1028="",$C$10,$K1028)+IF($I1029="",0,$I1029)-IF($J1029="",0,$J1029))</f>
        <v/>
      </c>
      <c r="L1029" s="22">
        <f>IF($N1029&lt;&gt;"",IF(INDEX(PCNotes,$N1029)="","—",INDEX(PCNotes,$N1029)),IF($O1029&lt;&gt;"",IF(INDEX(LdgNoteB,$O1029)="","—",INDEX(LdgNoteB,$O1029)),""))</f>
        <v/>
      </c>
      <c r="N1029">
        <f>IFERROR(MATCH($C$5&amp;"|"&amp;RIGHT("000000"&amp;1013,6),LdgRankKeyA,0),"")</f>
        <v/>
      </c>
      <c r="O1029">
        <f>IFERROR(MATCH($C$5&amp;"|"&amp;RIGHT("000000"&amp;1013,6),LdgRankKeyB,0),"")</f>
        <v/>
      </c>
    </row>
    <row r="1030">
      <c r="A1030" s="23" t="n">
        <v>1014</v>
      </c>
      <c r="B1030" s="24">
        <f>IF(AND($N1030="",$O1030=""),"",IF($N1030&lt;&gt;"",INDEX(PCNormDate,$N1030),INDEX(LdgDateB,$O1030)))</f>
        <v/>
      </c>
      <c r="C1030" s="24">
        <f>IF($N1030&lt;&gt;"",INDEX(PCOp,$N1030),IF($O1030&lt;&gt;"",IF(N(INDEX(TxnDepB,$O1030))&gt;0,"دریافت بانکی","پرداخت بانکی"),""))</f>
        <v/>
      </c>
      <c r="D1030" s="24">
        <f>IF($N1030&lt;&gt;"",IF(INDEX(PCDoc,$N1030)="","—",INDEX(PCDoc,$N1030)),IF($O1030&lt;&gt;"",INDEX(LdgBankB,$O1030),""))</f>
        <v/>
      </c>
      <c r="E1030" s="24">
        <f>IF($N1030&lt;&gt;"",IF(INDEX(PCCitrus,$N1030)="","—",INDEX(PCCitrus,$N1030)),"")</f>
        <v/>
      </c>
      <c r="F1030" s="25">
        <f>IF($N1030&lt;&gt;"",IF(INDEX(PCScale,$N1030)=0,"",INDEX(PCScale,$N1030)),"")</f>
        <v/>
      </c>
      <c r="G1030" s="25">
        <f>IF($N1030&lt;&gt;"",IF(INDEX(PCBaskets,$N1030)=0,"",INDEX(PCBaskets,$N1030)),"")</f>
        <v/>
      </c>
      <c r="H1030" s="26">
        <f>IF($N1030&lt;&gt;"",IF(INDEX(PCNet,$N1030)=0,"",INDEX(PCNet,$N1030)),"")</f>
        <v/>
      </c>
      <c r="I1030" s="25">
        <f>IF($N1030&lt;&gt;"",IF(INDEX(PCOp,$N1030)="مرجوعی خرید","",IF(INDEX(PCAmount,$N1030)&lt;=0,"",INDEX(PCAmount,$N1030))),IF($O1030&lt;&gt;"",IF(INDEX(TxnDepB,$O1030)=0,"",INDEX(TxnDepB,$O1030)),""))</f>
        <v/>
      </c>
      <c r="J1030" s="25">
        <f>IF($N1030&lt;&gt;"",IF(INDEX(PCOp,$N1030)="مرجوعی خرید",IF(INDEX(PCAmount,$N1030)=0,"",-INDEX(PCAmount,$N1030)),""),IF($O1030&lt;&gt;"",IF(INDEX(TxnWitB,$O1030)=0,"",INDEX(TxnWitB,$O1030)),""))</f>
        <v/>
      </c>
      <c r="K1030" s="27">
        <f>IF($B1030="","",IF($K1029="",$C$10,$K1029)+IF($I1030="",0,$I1030)-IF($J1030="",0,$J1030))</f>
        <v/>
      </c>
      <c r="L1030" s="28">
        <f>IF($N1030&lt;&gt;"",IF(INDEX(PCNotes,$N1030)="","—",INDEX(PCNotes,$N1030)),IF($O1030&lt;&gt;"",IF(INDEX(LdgNoteB,$O1030)="","—",INDEX(LdgNoteB,$O1030)),""))</f>
        <v/>
      </c>
      <c r="N1030">
        <f>IFERROR(MATCH($C$5&amp;"|"&amp;RIGHT("000000"&amp;1014,6),LdgRankKeyA,0),"")</f>
        <v/>
      </c>
      <c r="O1030">
        <f>IFERROR(MATCH($C$5&amp;"|"&amp;RIGHT("000000"&amp;1014,6),LdgRankKeyB,0),"")</f>
        <v/>
      </c>
    </row>
    <row r="1031">
      <c r="A1031" s="17" t="n">
        <v>1015</v>
      </c>
      <c r="B1031" s="18">
        <f>IF(AND($N1031="",$O1031=""),"",IF($N1031&lt;&gt;"",INDEX(PCNormDate,$N1031),INDEX(LdgDateB,$O1031)))</f>
        <v/>
      </c>
      <c r="C1031" s="18">
        <f>IF($N1031&lt;&gt;"",INDEX(PCOp,$N1031),IF($O1031&lt;&gt;"",IF(N(INDEX(TxnDepB,$O1031))&gt;0,"دریافت بانکی","پرداخت بانکی"),""))</f>
        <v/>
      </c>
      <c r="D1031" s="18">
        <f>IF($N1031&lt;&gt;"",IF(INDEX(PCDoc,$N1031)="","—",INDEX(PCDoc,$N1031)),IF($O1031&lt;&gt;"",INDEX(LdgBankB,$O1031),""))</f>
        <v/>
      </c>
      <c r="E1031" s="18">
        <f>IF($N1031&lt;&gt;"",IF(INDEX(PCCitrus,$N1031)="","—",INDEX(PCCitrus,$N1031)),"")</f>
        <v/>
      </c>
      <c r="F1031" s="19">
        <f>IF($N1031&lt;&gt;"",IF(INDEX(PCScale,$N1031)=0,"",INDEX(PCScale,$N1031)),"")</f>
        <v/>
      </c>
      <c r="G1031" s="19">
        <f>IF($N1031&lt;&gt;"",IF(INDEX(PCBaskets,$N1031)=0,"",INDEX(PCBaskets,$N1031)),"")</f>
        <v/>
      </c>
      <c r="H1031" s="20">
        <f>IF($N1031&lt;&gt;"",IF(INDEX(PCNet,$N1031)=0,"",INDEX(PCNet,$N1031)),"")</f>
        <v/>
      </c>
      <c r="I1031" s="19">
        <f>IF($N1031&lt;&gt;"",IF(INDEX(PCOp,$N1031)="مرجوعی خرید","",IF(INDEX(PCAmount,$N1031)&lt;=0,"",INDEX(PCAmount,$N1031))),IF($O1031&lt;&gt;"",IF(INDEX(TxnDepB,$O1031)=0,"",INDEX(TxnDepB,$O1031)),""))</f>
        <v/>
      </c>
      <c r="J1031" s="19">
        <f>IF($N1031&lt;&gt;"",IF(INDEX(PCOp,$N1031)="مرجوعی خرید",IF(INDEX(PCAmount,$N1031)=0,"",-INDEX(PCAmount,$N1031)),""),IF($O1031&lt;&gt;"",IF(INDEX(TxnWitB,$O1031)=0,"",INDEX(TxnWitB,$O1031)),""))</f>
        <v/>
      </c>
      <c r="K1031" s="21">
        <f>IF($B1031="","",IF($K1030="",$C$10,$K1030)+IF($I1031="",0,$I1031)-IF($J1031="",0,$J1031))</f>
        <v/>
      </c>
      <c r="L1031" s="22">
        <f>IF($N1031&lt;&gt;"",IF(INDEX(PCNotes,$N1031)="","—",INDEX(PCNotes,$N1031)),IF($O1031&lt;&gt;"",IF(INDEX(LdgNoteB,$O1031)="","—",INDEX(LdgNoteB,$O1031)),""))</f>
        <v/>
      </c>
      <c r="N1031">
        <f>IFERROR(MATCH($C$5&amp;"|"&amp;RIGHT("000000"&amp;1015,6),LdgRankKeyA,0),"")</f>
        <v/>
      </c>
      <c r="O1031">
        <f>IFERROR(MATCH($C$5&amp;"|"&amp;RIGHT("000000"&amp;1015,6),LdgRankKeyB,0),"")</f>
        <v/>
      </c>
    </row>
    <row r="1032">
      <c r="A1032" s="23" t="n">
        <v>1016</v>
      </c>
      <c r="B1032" s="24">
        <f>IF(AND($N1032="",$O1032=""),"",IF($N1032&lt;&gt;"",INDEX(PCNormDate,$N1032),INDEX(LdgDateB,$O1032)))</f>
        <v/>
      </c>
      <c r="C1032" s="24">
        <f>IF($N1032&lt;&gt;"",INDEX(PCOp,$N1032),IF($O1032&lt;&gt;"",IF(N(INDEX(TxnDepB,$O1032))&gt;0,"دریافت بانکی","پرداخت بانکی"),""))</f>
        <v/>
      </c>
      <c r="D1032" s="24">
        <f>IF($N1032&lt;&gt;"",IF(INDEX(PCDoc,$N1032)="","—",INDEX(PCDoc,$N1032)),IF($O1032&lt;&gt;"",INDEX(LdgBankB,$O1032),""))</f>
        <v/>
      </c>
      <c r="E1032" s="24">
        <f>IF($N1032&lt;&gt;"",IF(INDEX(PCCitrus,$N1032)="","—",INDEX(PCCitrus,$N1032)),"")</f>
        <v/>
      </c>
      <c r="F1032" s="25">
        <f>IF($N1032&lt;&gt;"",IF(INDEX(PCScale,$N1032)=0,"",INDEX(PCScale,$N1032)),"")</f>
        <v/>
      </c>
      <c r="G1032" s="25">
        <f>IF($N1032&lt;&gt;"",IF(INDEX(PCBaskets,$N1032)=0,"",INDEX(PCBaskets,$N1032)),"")</f>
        <v/>
      </c>
      <c r="H1032" s="26">
        <f>IF($N1032&lt;&gt;"",IF(INDEX(PCNet,$N1032)=0,"",INDEX(PCNet,$N1032)),"")</f>
        <v/>
      </c>
      <c r="I1032" s="25">
        <f>IF($N1032&lt;&gt;"",IF(INDEX(PCOp,$N1032)="مرجوعی خرید","",IF(INDEX(PCAmount,$N1032)&lt;=0,"",INDEX(PCAmount,$N1032))),IF($O1032&lt;&gt;"",IF(INDEX(TxnDepB,$O1032)=0,"",INDEX(TxnDepB,$O1032)),""))</f>
        <v/>
      </c>
      <c r="J1032" s="25">
        <f>IF($N1032&lt;&gt;"",IF(INDEX(PCOp,$N1032)="مرجوعی خرید",IF(INDEX(PCAmount,$N1032)=0,"",-INDEX(PCAmount,$N1032)),""),IF($O1032&lt;&gt;"",IF(INDEX(TxnWitB,$O1032)=0,"",INDEX(TxnWitB,$O1032)),""))</f>
        <v/>
      </c>
      <c r="K1032" s="27">
        <f>IF($B1032="","",IF($K1031="",$C$10,$K1031)+IF($I1032="",0,$I1032)-IF($J1032="",0,$J1032))</f>
        <v/>
      </c>
      <c r="L1032" s="28">
        <f>IF($N1032&lt;&gt;"",IF(INDEX(PCNotes,$N1032)="","—",INDEX(PCNotes,$N1032)),IF($O1032&lt;&gt;"",IF(INDEX(LdgNoteB,$O1032)="","—",INDEX(LdgNoteB,$O1032)),""))</f>
        <v/>
      </c>
      <c r="N1032">
        <f>IFERROR(MATCH($C$5&amp;"|"&amp;RIGHT("000000"&amp;1016,6),LdgRankKeyA,0),"")</f>
        <v/>
      </c>
      <c r="O1032">
        <f>IFERROR(MATCH($C$5&amp;"|"&amp;RIGHT("000000"&amp;1016,6),LdgRankKeyB,0),"")</f>
        <v/>
      </c>
    </row>
    <row r="1033">
      <c r="A1033" s="17" t="n">
        <v>1017</v>
      </c>
      <c r="B1033" s="18">
        <f>IF(AND($N1033="",$O1033=""),"",IF($N1033&lt;&gt;"",INDEX(PCNormDate,$N1033),INDEX(LdgDateB,$O1033)))</f>
        <v/>
      </c>
      <c r="C1033" s="18">
        <f>IF($N1033&lt;&gt;"",INDEX(PCOp,$N1033),IF($O1033&lt;&gt;"",IF(N(INDEX(TxnDepB,$O1033))&gt;0,"دریافت بانکی","پرداخت بانکی"),""))</f>
        <v/>
      </c>
      <c r="D1033" s="18">
        <f>IF($N1033&lt;&gt;"",IF(INDEX(PCDoc,$N1033)="","—",INDEX(PCDoc,$N1033)),IF($O1033&lt;&gt;"",INDEX(LdgBankB,$O1033),""))</f>
        <v/>
      </c>
      <c r="E1033" s="18">
        <f>IF($N1033&lt;&gt;"",IF(INDEX(PCCitrus,$N1033)="","—",INDEX(PCCitrus,$N1033)),"")</f>
        <v/>
      </c>
      <c r="F1033" s="19">
        <f>IF($N1033&lt;&gt;"",IF(INDEX(PCScale,$N1033)=0,"",INDEX(PCScale,$N1033)),"")</f>
        <v/>
      </c>
      <c r="G1033" s="19">
        <f>IF($N1033&lt;&gt;"",IF(INDEX(PCBaskets,$N1033)=0,"",INDEX(PCBaskets,$N1033)),"")</f>
        <v/>
      </c>
      <c r="H1033" s="20">
        <f>IF($N1033&lt;&gt;"",IF(INDEX(PCNet,$N1033)=0,"",INDEX(PCNet,$N1033)),"")</f>
        <v/>
      </c>
      <c r="I1033" s="19">
        <f>IF($N1033&lt;&gt;"",IF(INDEX(PCOp,$N1033)="مرجوعی خرید","",IF(INDEX(PCAmount,$N1033)&lt;=0,"",INDEX(PCAmount,$N1033))),IF($O1033&lt;&gt;"",IF(INDEX(TxnDepB,$O1033)=0,"",INDEX(TxnDepB,$O1033)),""))</f>
        <v/>
      </c>
      <c r="J1033" s="19">
        <f>IF($N1033&lt;&gt;"",IF(INDEX(PCOp,$N1033)="مرجوعی خرید",IF(INDEX(PCAmount,$N1033)=0,"",-INDEX(PCAmount,$N1033)),""),IF($O1033&lt;&gt;"",IF(INDEX(TxnWitB,$O1033)=0,"",INDEX(TxnWitB,$O1033)),""))</f>
        <v/>
      </c>
      <c r="K1033" s="21">
        <f>IF($B1033="","",IF($K1032="",$C$10,$K1032)+IF($I1033="",0,$I1033)-IF($J1033="",0,$J1033))</f>
        <v/>
      </c>
      <c r="L1033" s="22">
        <f>IF($N1033&lt;&gt;"",IF(INDEX(PCNotes,$N1033)="","—",INDEX(PCNotes,$N1033)),IF($O1033&lt;&gt;"",IF(INDEX(LdgNoteB,$O1033)="","—",INDEX(LdgNoteB,$O1033)),""))</f>
        <v/>
      </c>
      <c r="N1033">
        <f>IFERROR(MATCH($C$5&amp;"|"&amp;RIGHT("000000"&amp;1017,6),LdgRankKeyA,0),"")</f>
        <v/>
      </c>
      <c r="O1033">
        <f>IFERROR(MATCH($C$5&amp;"|"&amp;RIGHT("000000"&amp;1017,6),LdgRankKeyB,0),"")</f>
        <v/>
      </c>
    </row>
    <row r="1034">
      <c r="A1034" s="23" t="n">
        <v>1018</v>
      </c>
      <c r="B1034" s="24">
        <f>IF(AND($N1034="",$O1034=""),"",IF($N1034&lt;&gt;"",INDEX(PCNormDate,$N1034),INDEX(LdgDateB,$O1034)))</f>
        <v/>
      </c>
      <c r="C1034" s="24">
        <f>IF($N1034&lt;&gt;"",INDEX(PCOp,$N1034),IF($O1034&lt;&gt;"",IF(N(INDEX(TxnDepB,$O1034))&gt;0,"دریافت بانکی","پرداخت بانکی"),""))</f>
        <v/>
      </c>
      <c r="D1034" s="24">
        <f>IF($N1034&lt;&gt;"",IF(INDEX(PCDoc,$N1034)="","—",INDEX(PCDoc,$N1034)),IF($O1034&lt;&gt;"",INDEX(LdgBankB,$O1034),""))</f>
        <v/>
      </c>
      <c r="E1034" s="24">
        <f>IF($N1034&lt;&gt;"",IF(INDEX(PCCitrus,$N1034)="","—",INDEX(PCCitrus,$N1034)),"")</f>
        <v/>
      </c>
      <c r="F1034" s="25">
        <f>IF($N1034&lt;&gt;"",IF(INDEX(PCScale,$N1034)=0,"",INDEX(PCScale,$N1034)),"")</f>
        <v/>
      </c>
      <c r="G1034" s="25">
        <f>IF($N1034&lt;&gt;"",IF(INDEX(PCBaskets,$N1034)=0,"",INDEX(PCBaskets,$N1034)),"")</f>
        <v/>
      </c>
      <c r="H1034" s="26">
        <f>IF($N1034&lt;&gt;"",IF(INDEX(PCNet,$N1034)=0,"",INDEX(PCNet,$N1034)),"")</f>
        <v/>
      </c>
      <c r="I1034" s="25">
        <f>IF($N1034&lt;&gt;"",IF(INDEX(PCOp,$N1034)="مرجوعی خرید","",IF(INDEX(PCAmount,$N1034)&lt;=0,"",INDEX(PCAmount,$N1034))),IF($O1034&lt;&gt;"",IF(INDEX(TxnDepB,$O1034)=0,"",INDEX(TxnDepB,$O1034)),""))</f>
        <v/>
      </c>
      <c r="J1034" s="25">
        <f>IF($N1034&lt;&gt;"",IF(INDEX(PCOp,$N1034)="مرجوعی خرید",IF(INDEX(PCAmount,$N1034)=0,"",-INDEX(PCAmount,$N1034)),""),IF($O1034&lt;&gt;"",IF(INDEX(TxnWitB,$O1034)=0,"",INDEX(TxnWitB,$O1034)),""))</f>
        <v/>
      </c>
      <c r="K1034" s="27">
        <f>IF($B1034="","",IF($K1033="",$C$10,$K1033)+IF($I1034="",0,$I1034)-IF($J1034="",0,$J1034))</f>
        <v/>
      </c>
      <c r="L1034" s="28">
        <f>IF($N1034&lt;&gt;"",IF(INDEX(PCNotes,$N1034)="","—",INDEX(PCNotes,$N1034)),IF($O1034&lt;&gt;"",IF(INDEX(LdgNoteB,$O1034)="","—",INDEX(LdgNoteB,$O1034)),""))</f>
        <v/>
      </c>
      <c r="N1034">
        <f>IFERROR(MATCH($C$5&amp;"|"&amp;RIGHT("000000"&amp;1018,6),LdgRankKeyA,0),"")</f>
        <v/>
      </c>
      <c r="O1034">
        <f>IFERROR(MATCH($C$5&amp;"|"&amp;RIGHT("000000"&amp;1018,6),LdgRankKeyB,0),"")</f>
        <v/>
      </c>
    </row>
    <row r="1035">
      <c r="A1035" s="17" t="n">
        <v>1019</v>
      </c>
      <c r="B1035" s="18">
        <f>IF(AND($N1035="",$O1035=""),"",IF($N1035&lt;&gt;"",INDEX(PCNormDate,$N1035),INDEX(LdgDateB,$O1035)))</f>
        <v/>
      </c>
      <c r="C1035" s="18">
        <f>IF($N1035&lt;&gt;"",INDEX(PCOp,$N1035),IF($O1035&lt;&gt;"",IF(N(INDEX(TxnDepB,$O1035))&gt;0,"دریافت بانکی","پرداخت بانکی"),""))</f>
        <v/>
      </c>
      <c r="D1035" s="18">
        <f>IF($N1035&lt;&gt;"",IF(INDEX(PCDoc,$N1035)="","—",INDEX(PCDoc,$N1035)),IF($O1035&lt;&gt;"",INDEX(LdgBankB,$O1035),""))</f>
        <v/>
      </c>
      <c r="E1035" s="18">
        <f>IF($N1035&lt;&gt;"",IF(INDEX(PCCitrus,$N1035)="","—",INDEX(PCCitrus,$N1035)),"")</f>
        <v/>
      </c>
      <c r="F1035" s="19">
        <f>IF($N1035&lt;&gt;"",IF(INDEX(PCScale,$N1035)=0,"",INDEX(PCScale,$N1035)),"")</f>
        <v/>
      </c>
      <c r="G1035" s="19">
        <f>IF($N1035&lt;&gt;"",IF(INDEX(PCBaskets,$N1035)=0,"",INDEX(PCBaskets,$N1035)),"")</f>
        <v/>
      </c>
      <c r="H1035" s="20">
        <f>IF($N1035&lt;&gt;"",IF(INDEX(PCNet,$N1035)=0,"",INDEX(PCNet,$N1035)),"")</f>
        <v/>
      </c>
      <c r="I1035" s="19">
        <f>IF($N1035&lt;&gt;"",IF(INDEX(PCOp,$N1035)="مرجوعی خرید","",IF(INDEX(PCAmount,$N1035)&lt;=0,"",INDEX(PCAmount,$N1035))),IF($O1035&lt;&gt;"",IF(INDEX(TxnDepB,$O1035)=0,"",INDEX(TxnDepB,$O1035)),""))</f>
        <v/>
      </c>
      <c r="J1035" s="19">
        <f>IF($N1035&lt;&gt;"",IF(INDEX(PCOp,$N1035)="مرجوعی خرید",IF(INDEX(PCAmount,$N1035)=0,"",-INDEX(PCAmount,$N1035)),""),IF($O1035&lt;&gt;"",IF(INDEX(TxnWitB,$O1035)=0,"",INDEX(TxnWitB,$O1035)),""))</f>
        <v/>
      </c>
      <c r="K1035" s="21">
        <f>IF($B1035="","",IF($K1034="",$C$10,$K1034)+IF($I1035="",0,$I1035)-IF($J1035="",0,$J1035))</f>
        <v/>
      </c>
      <c r="L1035" s="22">
        <f>IF($N1035&lt;&gt;"",IF(INDEX(PCNotes,$N1035)="","—",INDEX(PCNotes,$N1035)),IF($O1035&lt;&gt;"",IF(INDEX(LdgNoteB,$O1035)="","—",INDEX(LdgNoteB,$O1035)),""))</f>
        <v/>
      </c>
      <c r="N1035">
        <f>IFERROR(MATCH($C$5&amp;"|"&amp;RIGHT("000000"&amp;1019,6),LdgRankKeyA,0),"")</f>
        <v/>
      </c>
      <c r="O1035">
        <f>IFERROR(MATCH($C$5&amp;"|"&amp;RIGHT("000000"&amp;1019,6),LdgRankKeyB,0),"")</f>
        <v/>
      </c>
    </row>
    <row r="1036">
      <c r="A1036" s="23" t="n">
        <v>1020</v>
      </c>
      <c r="B1036" s="24">
        <f>IF(AND($N1036="",$O1036=""),"",IF($N1036&lt;&gt;"",INDEX(PCNormDate,$N1036),INDEX(LdgDateB,$O1036)))</f>
        <v/>
      </c>
      <c r="C1036" s="24">
        <f>IF($N1036&lt;&gt;"",INDEX(PCOp,$N1036),IF($O1036&lt;&gt;"",IF(N(INDEX(TxnDepB,$O1036))&gt;0,"دریافت بانکی","پرداخت بانکی"),""))</f>
        <v/>
      </c>
      <c r="D1036" s="24">
        <f>IF($N1036&lt;&gt;"",IF(INDEX(PCDoc,$N1036)="","—",INDEX(PCDoc,$N1036)),IF($O1036&lt;&gt;"",INDEX(LdgBankB,$O1036),""))</f>
        <v/>
      </c>
      <c r="E1036" s="24">
        <f>IF($N1036&lt;&gt;"",IF(INDEX(PCCitrus,$N1036)="","—",INDEX(PCCitrus,$N1036)),"")</f>
        <v/>
      </c>
      <c r="F1036" s="25">
        <f>IF($N1036&lt;&gt;"",IF(INDEX(PCScale,$N1036)=0,"",INDEX(PCScale,$N1036)),"")</f>
        <v/>
      </c>
      <c r="G1036" s="25">
        <f>IF($N1036&lt;&gt;"",IF(INDEX(PCBaskets,$N1036)=0,"",INDEX(PCBaskets,$N1036)),"")</f>
        <v/>
      </c>
      <c r="H1036" s="26">
        <f>IF($N1036&lt;&gt;"",IF(INDEX(PCNet,$N1036)=0,"",INDEX(PCNet,$N1036)),"")</f>
        <v/>
      </c>
      <c r="I1036" s="25">
        <f>IF($N1036&lt;&gt;"",IF(INDEX(PCOp,$N1036)="مرجوعی خرید","",IF(INDEX(PCAmount,$N1036)&lt;=0,"",INDEX(PCAmount,$N1036))),IF($O1036&lt;&gt;"",IF(INDEX(TxnDepB,$O1036)=0,"",INDEX(TxnDepB,$O1036)),""))</f>
        <v/>
      </c>
      <c r="J1036" s="25">
        <f>IF($N1036&lt;&gt;"",IF(INDEX(PCOp,$N1036)="مرجوعی خرید",IF(INDEX(PCAmount,$N1036)=0,"",-INDEX(PCAmount,$N1036)),""),IF($O1036&lt;&gt;"",IF(INDEX(TxnWitB,$O1036)=0,"",INDEX(TxnWitB,$O1036)),""))</f>
        <v/>
      </c>
      <c r="K1036" s="27">
        <f>IF($B1036="","",IF($K1035="",$C$10,$K1035)+IF($I1036="",0,$I1036)-IF($J1036="",0,$J1036))</f>
        <v/>
      </c>
      <c r="L1036" s="28">
        <f>IF($N1036&lt;&gt;"",IF(INDEX(PCNotes,$N1036)="","—",INDEX(PCNotes,$N1036)),IF($O1036&lt;&gt;"",IF(INDEX(LdgNoteB,$O1036)="","—",INDEX(LdgNoteB,$O1036)),""))</f>
        <v/>
      </c>
      <c r="N1036">
        <f>IFERROR(MATCH($C$5&amp;"|"&amp;RIGHT("000000"&amp;1020,6),LdgRankKeyA,0),"")</f>
        <v/>
      </c>
      <c r="O1036">
        <f>IFERROR(MATCH($C$5&amp;"|"&amp;RIGHT("000000"&amp;1020,6),LdgRankKeyB,0),"")</f>
        <v/>
      </c>
    </row>
    <row r="1037">
      <c r="A1037" s="17" t="n">
        <v>1021</v>
      </c>
      <c r="B1037" s="18">
        <f>IF(AND($N1037="",$O1037=""),"",IF($N1037&lt;&gt;"",INDEX(PCNormDate,$N1037),INDEX(LdgDateB,$O1037)))</f>
        <v/>
      </c>
      <c r="C1037" s="18">
        <f>IF($N1037&lt;&gt;"",INDEX(PCOp,$N1037),IF($O1037&lt;&gt;"",IF(N(INDEX(TxnDepB,$O1037))&gt;0,"دریافت بانکی","پرداخت بانکی"),""))</f>
        <v/>
      </c>
      <c r="D1037" s="18">
        <f>IF($N1037&lt;&gt;"",IF(INDEX(PCDoc,$N1037)="","—",INDEX(PCDoc,$N1037)),IF($O1037&lt;&gt;"",INDEX(LdgBankB,$O1037),""))</f>
        <v/>
      </c>
      <c r="E1037" s="18">
        <f>IF($N1037&lt;&gt;"",IF(INDEX(PCCitrus,$N1037)="","—",INDEX(PCCitrus,$N1037)),"")</f>
        <v/>
      </c>
      <c r="F1037" s="19">
        <f>IF($N1037&lt;&gt;"",IF(INDEX(PCScale,$N1037)=0,"",INDEX(PCScale,$N1037)),"")</f>
        <v/>
      </c>
      <c r="G1037" s="19">
        <f>IF($N1037&lt;&gt;"",IF(INDEX(PCBaskets,$N1037)=0,"",INDEX(PCBaskets,$N1037)),"")</f>
        <v/>
      </c>
      <c r="H1037" s="20">
        <f>IF($N1037&lt;&gt;"",IF(INDEX(PCNet,$N1037)=0,"",INDEX(PCNet,$N1037)),"")</f>
        <v/>
      </c>
      <c r="I1037" s="19">
        <f>IF($N1037&lt;&gt;"",IF(INDEX(PCOp,$N1037)="مرجوعی خرید","",IF(INDEX(PCAmount,$N1037)&lt;=0,"",INDEX(PCAmount,$N1037))),IF($O1037&lt;&gt;"",IF(INDEX(TxnDepB,$O1037)=0,"",INDEX(TxnDepB,$O1037)),""))</f>
        <v/>
      </c>
      <c r="J1037" s="19">
        <f>IF($N1037&lt;&gt;"",IF(INDEX(PCOp,$N1037)="مرجوعی خرید",IF(INDEX(PCAmount,$N1037)=0,"",-INDEX(PCAmount,$N1037)),""),IF($O1037&lt;&gt;"",IF(INDEX(TxnWitB,$O1037)=0,"",INDEX(TxnWitB,$O1037)),""))</f>
        <v/>
      </c>
      <c r="K1037" s="21">
        <f>IF($B1037="","",IF($K1036="",$C$10,$K1036)+IF($I1037="",0,$I1037)-IF($J1037="",0,$J1037))</f>
        <v/>
      </c>
      <c r="L1037" s="22">
        <f>IF($N1037&lt;&gt;"",IF(INDEX(PCNotes,$N1037)="","—",INDEX(PCNotes,$N1037)),IF($O1037&lt;&gt;"",IF(INDEX(LdgNoteB,$O1037)="","—",INDEX(LdgNoteB,$O1037)),""))</f>
        <v/>
      </c>
      <c r="N1037">
        <f>IFERROR(MATCH($C$5&amp;"|"&amp;RIGHT("000000"&amp;1021,6),LdgRankKeyA,0),"")</f>
        <v/>
      </c>
      <c r="O1037">
        <f>IFERROR(MATCH($C$5&amp;"|"&amp;RIGHT("000000"&amp;1021,6),LdgRankKeyB,0),"")</f>
        <v/>
      </c>
    </row>
    <row r="1038">
      <c r="A1038" s="23" t="n">
        <v>1022</v>
      </c>
      <c r="B1038" s="24">
        <f>IF(AND($N1038="",$O1038=""),"",IF($N1038&lt;&gt;"",INDEX(PCNormDate,$N1038),INDEX(LdgDateB,$O1038)))</f>
        <v/>
      </c>
      <c r="C1038" s="24">
        <f>IF($N1038&lt;&gt;"",INDEX(PCOp,$N1038),IF($O1038&lt;&gt;"",IF(N(INDEX(TxnDepB,$O1038))&gt;0,"دریافت بانکی","پرداخت بانکی"),""))</f>
        <v/>
      </c>
      <c r="D1038" s="24">
        <f>IF($N1038&lt;&gt;"",IF(INDEX(PCDoc,$N1038)="","—",INDEX(PCDoc,$N1038)),IF($O1038&lt;&gt;"",INDEX(LdgBankB,$O1038),""))</f>
        <v/>
      </c>
      <c r="E1038" s="24">
        <f>IF($N1038&lt;&gt;"",IF(INDEX(PCCitrus,$N1038)="","—",INDEX(PCCitrus,$N1038)),"")</f>
        <v/>
      </c>
      <c r="F1038" s="25">
        <f>IF($N1038&lt;&gt;"",IF(INDEX(PCScale,$N1038)=0,"",INDEX(PCScale,$N1038)),"")</f>
        <v/>
      </c>
      <c r="G1038" s="25">
        <f>IF($N1038&lt;&gt;"",IF(INDEX(PCBaskets,$N1038)=0,"",INDEX(PCBaskets,$N1038)),"")</f>
        <v/>
      </c>
      <c r="H1038" s="26">
        <f>IF($N1038&lt;&gt;"",IF(INDEX(PCNet,$N1038)=0,"",INDEX(PCNet,$N1038)),"")</f>
        <v/>
      </c>
      <c r="I1038" s="25">
        <f>IF($N1038&lt;&gt;"",IF(INDEX(PCOp,$N1038)="مرجوعی خرید","",IF(INDEX(PCAmount,$N1038)&lt;=0,"",INDEX(PCAmount,$N1038))),IF($O1038&lt;&gt;"",IF(INDEX(TxnDepB,$O1038)=0,"",INDEX(TxnDepB,$O1038)),""))</f>
        <v/>
      </c>
      <c r="J1038" s="25">
        <f>IF($N1038&lt;&gt;"",IF(INDEX(PCOp,$N1038)="مرجوعی خرید",IF(INDEX(PCAmount,$N1038)=0,"",-INDEX(PCAmount,$N1038)),""),IF($O1038&lt;&gt;"",IF(INDEX(TxnWitB,$O1038)=0,"",INDEX(TxnWitB,$O1038)),""))</f>
        <v/>
      </c>
      <c r="K1038" s="27">
        <f>IF($B1038="","",IF($K1037="",$C$10,$K1037)+IF($I1038="",0,$I1038)-IF($J1038="",0,$J1038))</f>
        <v/>
      </c>
      <c r="L1038" s="28">
        <f>IF($N1038&lt;&gt;"",IF(INDEX(PCNotes,$N1038)="","—",INDEX(PCNotes,$N1038)),IF($O1038&lt;&gt;"",IF(INDEX(LdgNoteB,$O1038)="","—",INDEX(LdgNoteB,$O1038)),""))</f>
        <v/>
      </c>
      <c r="N1038">
        <f>IFERROR(MATCH($C$5&amp;"|"&amp;RIGHT("000000"&amp;1022,6),LdgRankKeyA,0),"")</f>
        <v/>
      </c>
      <c r="O1038">
        <f>IFERROR(MATCH($C$5&amp;"|"&amp;RIGHT("000000"&amp;1022,6),LdgRankKeyB,0),"")</f>
        <v/>
      </c>
    </row>
    <row r="1039">
      <c r="A1039" s="17" t="n">
        <v>1023</v>
      </c>
      <c r="B1039" s="18">
        <f>IF(AND($N1039="",$O1039=""),"",IF($N1039&lt;&gt;"",INDEX(PCNormDate,$N1039),INDEX(LdgDateB,$O1039)))</f>
        <v/>
      </c>
      <c r="C1039" s="18">
        <f>IF($N1039&lt;&gt;"",INDEX(PCOp,$N1039),IF($O1039&lt;&gt;"",IF(N(INDEX(TxnDepB,$O1039))&gt;0,"دریافت بانکی","پرداخت بانکی"),""))</f>
        <v/>
      </c>
      <c r="D1039" s="18">
        <f>IF($N1039&lt;&gt;"",IF(INDEX(PCDoc,$N1039)="","—",INDEX(PCDoc,$N1039)),IF($O1039&lt;&gt;"",INDEX(LdgBankB,$O1039),""))</f>
        <v/>
      </c>
      <c r="E1039" s="18">
        <f>IF($N1039&lt;&gt;"",IF(INDEX(PCCitrus,$N1039)="","—",INDEX(PCCitrus,$N1039)),"")</f>
        <v/>
      </c>
      <c r="F1039" s="19">
        <f>IF($N1039&lt;&gt;"",IF(INDEX(PCScale,$N1039)=0,"",INDEX(PCScale,$N1039)),"")</f>
        <v/>
      </c>
      <c r="G1039" s="19">
        <f>IF($N1039&lt;&gt;"",IF(INDEX(PCBaskets,$N1039)=0,"",INDEX(PCBaskets,$N1039)),"")</f>
        <v/>
      </c>
      <c r="H1039" s="20">
        <f>IF($N1039&lt;&gt;"",IF(INDEX(PCNet,$N1039)=0,"",INDEX(PCNet,$N1039)),"")</f>
        <v/>
      </c>
      <c r="I1039" s="19">
        <f>IF($N1039&lt;&gt;"",IF(INDEX(PCOp,$N1039)="مرجوعی خرید","",IF(INDEX(PCAmount,$N1039)&lt;=0,"",INDEX(PCAmount,$N1039))),IF($O1039&lt;&gt;"",IF(INDEX(TxnDepB,$O1039)=0,"",INDEX(TxnDepB,$O1039)),""))</f>
        <v/>
      </c>
      <c r="J1039" s="19">
        <f>IF($N1039&lt;&gt;"",IF(INDEX(PCOp,$N1039)="مرجوعی خرید",IF(INDEX(PCAmount,$N1039)=0,"",-INDEX(PCAmount,$N1039)),""),IF($O1039&lt;&gt;"",IF(INDEX(TxnWitB,$O1039)=0,"",INDEX(TxnWitB,$O1039)),""))</f>
        <v/>
      </c>
      <c r="K1039" s="21">
        <f>IF($B1039="","",IF($K1038="",$C$10,$K1038)+IF($I1039="",0,$I1039)-IF($J1039="",0,$J1039))</f>
        <v/>
      </c>
      <c r="L1039" s="22">
        <f>IF($N1039&lt;&gt;"",IF(INDEX(PCNotes,$N1039)="","—",INDEX(PCNotes,$N1039)),IF($O1039&lt;&gt;"",IF(INDEX(LdgNoteB,$O1039)="","—",INDEX(LdgNoteB,$O1039)),""))</f>
        <v/>
      </c>
      <c r="N1039">
        <f>IFERROR(MATCH($C$5&amp;"|"&amp;RIGHT("000000"&amp;1023,6),LdgRankKeyA,0),"")</f>
        <v/>
      </c>
      <c r="O1039">
        <f>IFERROR(MATCH($C$5&amp;"|"&amp;RIGHT("000000"&amp;1023,6),LdgRankKeyB,0),"")</f>
        <v/>
      </c>
    </row>
    <row r="1040">
      <c r="A1040" s="23" t="n">
        <v>1024</v>
      </c>
      <c r="B1040" s="24">
        <f>IF(AND($N1040="",$O1040=""),"",IF($N1040&lt;&gt;"",INDEX(PCNormDate,$N1040),INDEX(LdgDateB,$O1040)))</f>
        <v/>
      </c>
      <c r="C1040" s="24">
        <f>IF($N1040&lt;&gt;"",INDEX(PCOp,$N1040),IF($O1040&lt;&gt;"",IF(N(INDEX(TxnDepB,$O1040))&gt;0,"دریافت بانکی","پرداخت بانکی"),""))</f>
        <v/>
      </c>
      <c r="D1040" s="24">
        <f>IF($N1040&lt;&gt;"",IF(INDEX(PCDoc,$N1040)="","—",INDEX(PCDoc,$N1040)),IF($O1040&lt;&gt;"",INDEX(LdgBankB,$O1040),""))</f>
        <v/>
      </c>
      <c r="E1040" s="24">
        <f>IF($N1040&lt;&gt;"",IF(INDEX(PCCitrus,$N1040)="","—",INDEX(PCCitrus,$N1040)),"")</f>
        <v/>
      </c>
      <c r="F1040" s="25">
        <f>IF($N1040&lt;&gt;"",IF(INDEX(PCScale,$N1040)=0,"",INDEX(PCScale,$N1040)),"")</f>
        <v/>
      </c>
      <c r="G1040" s="25">
        <f>IF($N1040&lt;&gt;"",IF(INDEX(PCBaskets,$N1040)=0,"",INDEX(PCBaskets,$N1040)),"")</f>
        <v/>
      </c>
      <c r="H1040" s="26">
        <f>IF($N1040&lt;&gt;"",IF(INDEX(PCNet,$N1040)=0,"",INDEX(PCNet,$N1040)),"")</f>
        <v/>
      </c>
      <c r="I1040" s="25">
        <f>IF($N1040&lt;&gt;"",IF(INDEX(PCOp,$N1040)="مرجوعی خرید","",IF(INDEX(PCAmount,$N1040)&lt;=0,"",INDEX(PCAmount,$N1040))),IF($O1040&lt;&gt;"",IF(INDEX(TxnDepB,$O1040)=0,"",INDEX(TxnDepB,$O1040)),""))</f>
        <v/>
      </c>
      <c r="J1040" s="25">
        <f>IF($N1040&lt;&gt;"",IF(INDEX(PCOp,$N1040)="مرجوعی خرید",IF(INDEX(PCAmount,$N1040)=0,"",-INDEX(PCAmount,$N1040)),""),IF($O1040&lt;&gt;"",IF(INDEX(TxnWitB,$O1040)=0,"",INDEX(TxnWitB,$O1040)),""))</f>
        <v/>
      </c>
      <c r="K1040" s="27">
        <f>IF($B1040="","",IF($K1039="",$C$10,$K1039)+IF($I1040="",0,$I1040)-IF($J1040="",0,$J1040))</f>
        <v/>
      </c>
      <c r="L1040" s="28">
        <f>IF($N1040&lt;&gt;"",IF(INDEX(PCNotes,$N1040)="","—",INDEX(PCNotes,$N1040)),IF($O1040&lt;&gt;"",IF(INDEX(LdgNoteB,$O1040)="","—",INDEX(LdgNoteB,$O1040)),""))</f>
        <v/>
      </c>
      <c r="N1040">
        <f>IFERROR(MATCH($C$5&amp;"|"&amp;RIGHT("000000"&amp;1024,6),LdgRankKeyA,0),"")</f>
        <v/>
      </c>
      <c r="O1040">
        <f>IFERROR(MATCH($C$5&amp;"|"&amp;RIGHT("000000"&amp;1024,6),LdgRankKeyB,0),"")</f>
        <v/>
      </c>
    </row>
    <row r="1041">
      <c r="A1041" s="17" t="n">
        <v>1025</v>
      </c>
      <c r="B1041" s="18">
        <f>IF(AND($N1041="",$O1041=""),"",IF($N1041&lt;&gt;"",INDEX(PCNormDate,$N1041),INDEX(LdgDateB,$O1041)))</f>
        <v/>
      </c>
      <c r="C1041" s="18">
        <f>IF($N1041&lt;&gt;"",INDEX(PCOp,$N1041),IF($O1041&lt;&gt;"",IF(N(INDEX(TxnDepB,$O1041))&gt;0,"دریافت بانکی","پرداخت بانکی"),""))</f>
        <v/>
      </c>
      <c r="D1041" s="18">
        <f>IF($N1041&lt;&gt;"",IF(INDEX(PCDoc,$N1041)="","—",INDEX(PCDoc,$N1041)),IF($O1041&lt;&gt;"",INDEX(LdgBankB,$O1041),""))</f>
        <v/>
      </c>
      <c r="E1041" s="18">
        <f>IF($N1041&lt;&gt;"",IF(INDEX(PCCitrus,$N1041)="","—",INDEX(PCCitrus,$N1041)),"")</f>
        <v/>
      </c>
      <c r="F1041" s="19">
        <f>IF($N1041&lt;&gt;"",IF(INDEX(PCScale,$N1041)=0,"",INDEX(PCScale,$N1041)),"")</f>
        <v/>
      </c>
      <c r="G1041" s="19">
        <f>IF($N1041&lt;&gt;"",IF(INDEX(PCBaskets,$N1041)=0,"",INDEX(PCBaskets,$N1041)),"")</f>
        <v/>
      </c>
      <c r="H1041" s="20">
        <f>IF($N1041&lt;&gt;"",IF(INDEX(PCNet,$N1041)=0,"",INDEX(PCNet,$N1041)),"")</f>
        <v/>
      </c>
      <c r="I1041" s="19">
        <f>IF($N1041&lt;&gt;"",IF(INDEX(PCOp,$N1041)="مرجوعی خرید","",IF(INDEX(PCAmount,$N1041)&lt;=0,"",INDEX(PCAmount,$N1041))),IF($O1041&lt;&gt;"",IF(INDEX(TxnDepB,$O1041)=0,"",INDEX(TxnDepB,$O1041)),""))</f>
        <v/>
      </c>
      <c r="J1041" s="19">
        <f>IF($N1041&lt;&gt;"",IF(INDEX(PCOp,$N1041)="مرجوعی خرید",IF(INDEX(PCAmount,$N1041)=0,"",-INDEX(PCAmount,$N1041)),""),IF($O1041&lt;&gt;"",IF(INDEX(TxnWitB,$O1041)=0,"",INDEX(TxnWitB,$O1041)),""))</f>
        <v/>
      </c>
      <c r="K1041" s="21">
        <f>IF($B1041="","",IF($K1040="",$C$10,$K1040)+IF($I1041="",0,$I1041)-IF($J1041="",0,$J1041))</f>
        <v/>
      </c>
      <c r="L1041" s="22">
        <f>IF($N1041&lt;&gt;"",IF(INDEX(PCNotes,$N1041)="","—",INDEX(PCNotes,$N1041)),IF($O1041&lt;&gt;"",IF(INDEX(LdgNoteB,$O1041)="","—",INDEX(LdgNoteB,$O1041)),""))</f>
        <v/>
      </c>
      <c r="N1041">
        <f>IFERROR(MATCH($C$5&amp;"|"&amp;RIGHT("000000"&amp;1025,6),LdgRankKeyA,0),"")</f>
        <v/>
      </c>
      <c r="O1041">
        <f>IFERROR(MATCH($C$5&amp;"|"&amp;RIGHT("000000"&amp;1025,6),LdgRankKeyB,0),"")</f>
        <v/>
      </c>
    </row>
    <row r="1042">
      <c r="A1042" s="23" t="n">
        <v>1026</v>
      </c>
      <c r="B1042" s="24">
        <f>IF(AND($N1042="",$O1042=""),"",IF($N1042&lt;&gt;"",INDEX(PCNormDate,$N1042),INDEX(LdgDateB,$O1042)))</f>
        <v/>
      </c>
      <c r="C1042" s="24">
        <f>IF($N1042&lt;&gt;"",INDEX(PCOp,$N1042),IF($O1042&lt;&gt;"",IF(N(INDEX(TxnDepB,$O1042))&gt;0,"دریافت بانکی","پرداخت بانکی"),""))</f>
        <v/>
      </c>
      <c r="D1042" s="24">
        <f>IF($N1042&lt;&gt;"",IF(INDEX(PCDoc,$N1042)="","—",INDEX(PCDoc,$N1042)),IF($O1042&lt;&gt;"",INDEX(LdgBankB,$O1042),""))</f>
        <v/>
      </c>
      <c r="E1042" s="24">
        <f>IF($N1042&lt;&gt;"",IF(INDEX(PCCitrus,$N1042)="","—",INDEX(PCCitrus,$N1042)),"")</f>
        <v/>
      </c>
      <c r="F1042" s="25">
        <f>IF($N1042&lt;&gt;"",IF(INDEX(PCScale,$N1042)=0,"",INDEX(PCScale,$N1042)),"")</f>
        <v/>
      </c>
      <c r="G1042" s="25">
        <f>IF($N1042&lt;&gt;"",IF(INDEX(PCBaskets,$N1042)=0,"",INDEX(PCBaskets,$N1042)),"")</f>
        <v/>
      </c>
      <c r="H1042" s="26">
        <f>IF($N1042&lt;&gt;"",IF(INDEX(PCNet,$N1042)=0,"",INDEX(PCNet,$N1042)),"")</f>
        <v/>
      </c>
      <c r="I1042" s="25">
        <f>IF($N1042&lt;&gt;"",IF(INDEX(PCOp,$N1042)="مرجوعی خرید","",IF(INDEX(PCAmount,$N1042)&lt;=0,"",INDEX(PCAmount,$N1042))),IF($O1042&lt;&gt;"",IF(INDEX(TxnDepB,$O1042)=0,"",INDEX(TxnDepB,$O1042)),""))</f>
        <v/>
      </c>
      <c r="J1042" s="25">
        <f>IF($N1042&lt;&gt;"",IF(INDEX(PCOp,$N1042)="مرجوعی خرید",IF(INDEX(PCAmount,$N1042)=0,"",-INDEX(PCAmount,$N1042)),""),IF($O1042&lt;&gt;"",IF(INDEX(TxnWitB,$O1042)=0,"",INDEX(TxnWitB,$O1042)),""))</f>
        <v/>
      </c>
      <c r="K1042" s="27">
        <f>IF($B1042="","",IF($K1041="",$C$10,$K1041)+IF($I1042="",0,$I1042)-IF($J1042="",0,$J1042))</f>
        <v/>
      </c>
      <c r="L1042" s="28">
        <f>IF($N1042&lt;&gt;"",IF(INDEX(PCNotes,$N1042)="","—",INDEX(PCNotes,$N1042)),IF($O1042&lt;&gt;"",IF(INDEX(LdgNoteB,$O1042)="","—",INDEX(LdgNoteB,$O1042)),""))</f>
        <v/>
      </c>
      <c r="N1042">
        <f>IFERROR(MATCH($C$5&amp;"|"&amp;RIGHT("000000"&amp;1026,6),LdgRankKeyA,0),"")</f>
        <v/>
      </c>
      <c r="O1042">
        <f>IFERROR(MATCH($C$5&amp;"|"&amp;RIGHT("000000"&amp;1026,6),LdgRankKeyB,0),"")</f>
        <v/>
      </c>
    </row>
    <row r="1043">
      <c r="A1043" s="17" t="n">
        <v>1027</v>
      </c>
      <c r="B1043" s="18">
        <f>IF(AND($N1043="",$O1043=""),"",IF($N1043&lt;&gt;"",INDEX(PCNormDate,$N1043),INDEX(LdgDateB,$O1043)))</f>
        <v/>
      </c>
      <c r="C1043" s="18">
        <f>IF($N1043&lt;&gt;"",INDEX(PCOp,$N1043),IF($O1043&lt;&gt;"",IF(N(INDEX(TxnDepB,$O1043))&gt;0,"دریافت بانکی","پرداخت بانکی"),""))</f>
        <v/>
      </c>
      <c r="D1043" s="18">
        <f>IF($N1043&lt;&gt;"",IF(INDEX(PCDoc,$N1043)="","—",INDEX(PCDoc,$N1043)),IF($O1043&lt;&gt;"",INDEX(LdgBankB,$O1043),""))</f>
        <v/>
      </c>
      <c r="E1043" s="18">
        <f>IF($N1043&lt;&gt;"",IF(INDEX(PCCitrus,$N1043)="","—",INDEX(PCCitrus,$N1043)),"")</f>
        <v/>
      </c>
      <c r="F1043" s="19">
        <f>IF($N1043&lt;&gt;"",IF(INDEX(PCScale,$N1043)=0,"",INDEX(PCScale,$N1043)),"")</f>
        <v/>
      </c>
      <c r="G1043" s="19">
        <f>IF($N1043&lt;&gt;"",IF(INDEX(PCBaskets,$N1043)=0,"",INDEX(PCBaskets,$N1043)),"")</f>
        <v/>
      </c>
      <c r="H1043" s="20">
        <f>IF($N1043&lt;&gt;"",IF(INDEX(PCNet,$N1043)=0,"",INDEX(PCNet,$N1043)),"")</f>
        <v/>
      </c>
      <c r="I1043" s="19">
        <f>IF($N1043&lt;&gt;"",IF(INDEX(PCOp,$N1043)="مرجوعی خرید","",IF(INDEX(PCAmount,$N1043)&lt;=0,"",INDEX(PCAmount,$N1043))),IF($O1043&lt;&gt;"",IF(INDEX(TxnDepB,$O1043)=0,"",INDEX(TxnDepB,$O1043)),""))</f>
        <v/>
      </c>
      <c r="J1043" s="19">
        <f>IF($N1043&lt;&gt;"",IF(INDEX(PCOp,$N1043)="مرجوعی خرید",IF(INDEX(PCAmount,$N1043)=0,"",-INDEX(PCAmount,$N1043)),""),IF($O1043&lt;&gt;"",IF(INDEX(TxnWitB,$O1043)=0,"",INDEX(TxnWitB,$O1043)),""))</f>
        <v/>
      </c>
      <c r="K1043" s="21">
        <f>IF($B1043="","",IF($K1042="",$C$10,$K1042)+IF($I1043="",0,$I1043)-IF($J1043="",0,$J1043))</f>
        <v/>
      </c>
      <c r="L1043" s="22">
        <f>IF($N1043&lt;&gt;"",IF(INDEX(PCNotes,$N1043)="","—",INDEX(PCNotes,$N1043)),IF($O1043&lt;&gt;"",IF(INDEX(LdgNoteB,$O1043)="","—",INDEX(LdgNoteB,$O1043)),""))</f>
        <v/>
      </c>
      <c r="N1043">
        <f>IFERROR(MATCH($C$5&amp;"|"&amp;RIGHT("000000"&amp;1027,6),LdgRankKeyA,0),"")</f>
        <v/>
      </c>
      <c r="O1043">
        <f>IFERROR(MATCH($C$5&amp;"|"&amp;RIGHT("000000"&amp;1027,6),LdgRankKeyB,0),"")</f>
        <v/>
      </c>
    </row>
    <row r="1044">
      <c r="A1044" s="23" t="n">
        <v>1028</v>
      </c>
      <c r="B1044" s="24">
        <f>IF(AND($N1044="",$O1044=""),"",IF($N1044&lt;&gt;"",INDEX(PCNormDate,$N1044),INDEX(LdgDateB,$O1044)))</f>
        <v/>
      </c>
      <c r="C1044" s="24">
        <f>IF($N1044&lt;&gt;"",INDEX(PCOp,$N1044),IF($O1044&lt;&gt;"",IF(N(INDEX(TxnDepB,$O1044))&gt;0,"دریافت بانکی","پرداخت بانکی"),""))</f>
        <v/>
      </c>
      <c r="D1044" s="24">
        <f>IF($N1044&lt;&gt;"",IF(INDEX(PCDoc,$N1044)="","—",INDEX(PCDoc,$N1044)),IF($O1044&lt;&gt;"",INDEX(LdgBankB,$O1044),""))</f>
        <v/>
      </c>
      <c r="E1044" s="24">
        <f>IF($N1044&lt;&gt;"",IF(INDEX(PCCitrus,$N1044)="","—",INDEX(PCCitrus,$N1044)),"")</f>
        <v/>
      </c>
      <c r="F1044" s="25">
        <f>IF($N1044&lt;&gt;"",IF(INDEX(PCScale,$N1044)=0,"",INDEX(PCScale,$N1044)),"")</f>
        <v/>
      </c>
      <c r="G1044" s="25">
        <f>IF($N1044&lt;&gt;"",IF(INDEX(PCBaskets,$N1044)=0,"",INDEX(PCBaskets,$N1044)),"")</f>
        <v/>
      </c>
      <c r="H1044" s="26">
        <f>IF($N1044&lt;&gt;"",IF(INDEX(PCNet,$N1044)=0,"",INDEX(PCNet,$N1044)),"")</f>
        <v/>
      </c>
      <c r="I1044" s="25">
        <f>IF($N1044&lt;&gt;"",IF(INDEX(PCOp,$N1044)="مرجوعی خرید","",IF(INDEX(PCAmount,$N1044)&lt;=0,"",INDEX(PCAmount,$N1044))),IF($O1044&lt;&gt;"",IF(INDEX(TxnDepB,$O1044)=0,"",INDEX(TxnDepB,$O1044)),""))</f>
        <v/>
      </c>
      <c r="J1044" s="25">
        <f>IF($N1044&lt;&gt;"",IF(INDEX(PCOp,$N1044)="مرجوعی خرید",IF(INDEX(PCAmount,$N1044)=0,"",-INDEX(PCAmount,$N1044)),""),IF($O1044&lt;&gt;"",IF(INDEX(TxnWitB,$O1044)=0,"",INDEX(TxnWitB,$O1044)),""))</f>
        <v/>
      </c>
      <c r="K1044" s="27">
        <f>IF($B1044="","",IF($K1043="",$C$10,$K1043)+IF($I1044="",0,$I1044)-IF($J1044="",0,$J1044))</f>
        <v/>
      </c>
      <c r="L1044" s="28">
        <f>IF($N1044&lt;&gt;"",IF(INDEX(PCNotes,$N1044)="","—",INDEX(PCNotes,$N1044)),IF($O1044&lt;&gt;"",IF(INDEX(LdgNoteB,$O1044)="","—",INDEX(LdgNoteB,$O1044)),""))</f>
        <v/>
      </c>
      <c r="N1044">
        <f>IFERROR(MATCH($C$5&amp;"|"&amp;RIGHT("000000"&amp;1028,6),LdgRankKeyA,0),"")</f>
        <v/>
      </c>
      <c r="O1044">
        <f>IFERROR(MATCH($C$5&amp;"|"&amp;RIGHT("000000"&amp;1028,6),LdgRankKeyB,0),"")</f>
        <v/>
      </c>
    </row>
    <row r="1045">
      <c r="A1045" s="17" t="n">
        <v>1029</v>
      </c>
      <c r="B1045" s="18">
        <f>IF(AND($N1045="",$O1045=""),"",IF($N1045&lt;&gt;"",INDEX(PCNormDate,$N1045),INDEX(LdgDateB,$O1045)))</f>
        <v/>
      </c>
      <c r="C1045" s="18">
        <f>IF($N1045&lt;&gt;"",INDEX(PCOp,$N1045),IF($O1045&lt;&gt;"",IF(N(INDEX(TxnDepB,$O1045))&gt;0,"دریافت بانکی","پرداخت بانکی"),""))</f>
        <v/>
      </c>
      <c r="D1045" s="18">
        <f>IF($N1045&lt;&gt;"",IF(INDEX(PCDoc,$N1045)="","—",INDEX(PCDoc,$N1045)),IF($O1045&lt;&gt;"",INDEX(LdgBankB,$O1045),""))</f>
        <v/>
      </c>
      <c r="E1045" s="18">
        <f>IF($N1045&lt;&gt;"",IF(INDEX(PCCitrus,$N1045)="","—",INDEX(PCCitrus,$N1045)),"")</f>
        <v/>
      </c>
      <c r="F1045" s="19">
        <f>IF($N1045&lt;&gt;"",IF(INDEX(PCScale,$N1045)=0,"",INDEX(PCScale,$N1045)),"")</f>
        <v/>
      </c>
      <c r="G1045" s="19">
        <f>IF($N1045&lt;&gt;"",IF(INDEX(PCBaskets,$N1045)=0,"",INDEX(PCBaskets,$N1045)),"")</f>
        <v/>
      </c>
      <c r="H1045" s="20">
        <f>IF($N1045&lt;&gt;"",IF(INDEX(PCNet,$N1045)=0,"",INDEX(PCNet,$N1045)),"")</f>
        <v/>
      </c>
      <c r="I1045" s="19">
        <f>IF($N1045&lt;&gt;"",IF(INDEX(PCOp,$N1045)="مرجوعی خرید","",IF(INDEX(PCAmount,$N1045)&lt;=0,"",INDEX(PCAmount,$N1045))),IF($O1045&lt;&gt;"",IF(INDEX(TxnDepB,$O1045)=0,"",INDEX(TxnDepB,$O1045)),""))</f>
        <v/>
      </c>
      <c r="J1045" s="19">
        <f>IF($N1045&lt;&gt;"",IF(INDEX(PCOp,$N1045)="مرجوعی خرید",IF(INDEX(PCAmount,$N1045)=0,"",-INDEX(PCAmount,$N1045)),""),IF($O1045&lt;&gt;"",IF(INDEX(TxnWitB,$O1045)=0,"",INDEX(TxnWitB,$O1045)),""))</f>
        <v/>
      </c>
      <c r="K1045" s="21">
        <f>IF($B1045="","",IF($K1044="",$C$10,$K1044)+IF($I1045="",0,$I1045)-IF($J1045="",0,$J1045))</f>
        <v/>
      </c>
      <c r="L1045" s="22">
        <f>IF($N1045&lt;&gt;"",IF(INDEX(PCNotes,$N1045)="","—",INDEX(PCNotes,$N1045)),IF($O1045&lt;&gt;"",IF(INDEX(LdgNoteB,$O1045)="","—",INDEX(LdgNoteB,$O1045)),""))</f>
        <v/>
      </c>
      <c r="N1045">
        <f>IFERROR(MATCH($C$5&amp;"|"&amp;RIGHT("000000"&amp;1029,6),LdgRankKeyA,0),"")</f>
        <v/>
      </c>
      <c r="O1045">
        <f>IFERROR(MATCH($C$5&amp;"|"&amp;RIGHT("000000"&amp;1029,6),LdgRankKeyB,0),"")</f>
        <v/>
      </c>
    </row>
    <row r="1046">
      <c r="A1046" s="23" t="n">
        <v>1030</v>
      </c>
      <c r="B1046" s="24">
        <f>IF(AND($N1046="",$O1046=""),"",IF($N1046&lt;&gt;"",INDEX(PCNormDate,$N1046),INDEX(LdgDateB,$O1046)))</f>
        <v/>
      </c>
      <c r="C1046" s="24">
        <f>IF($N1046&lt;&gt;"",INDEX(PCOp,$N1046),IF($O1046&lt;&gt;"",IF(N(INDEX(TxnDepB,$O1046))&gt;0,"دریافت بانکی","پرداخت بانکی"),""))</f>
        <v/>
      </c>
      <c r="D1046" s="24">
        <f>IF($N1046&lt;&gt;"",IF(INDEX(PCDoc,$N1046)="","—",INDEX(PCDoc,$N1046)),IF($O1046&lt;&gt;"",INDEX(LdgBankB,$O1046),""))</f>
        <v/>
      </c>
      <c r="E1046" s="24">
        <f>IF($N1046&lt;&gt;"",IF(INDEX(PCCitrus,$N1046)="","—",INDEX(PCCitrus,$N1046)),"")</f>
        <v/>
      </c>
      <c r="F1046" s="25">
        <f>IF($N1046&lt;&gt;"",IF(INDEX(PCScale,$N1046)=0,"",INDEX(PCScale,$N1046)),"")</f>
        <v/>
      </c>
      <c r="G1046" s="25">
        <f>IF($N1046&lt;&gt;"",IF(INDEX(PCBaskets,$N1046)=0,"",INDEX(PCBaskets,$N1046)),"")</f>
        <v/>
      </c>
      <c r="H1046" s="26">
        <f>IF($N1046&lt;&gt;"",IF(INDEX(PCNet,$N1046)=0,"",INDEX(PCNet,$N1046)),"")</f>
        <v/>
      </c>
      <c r="I1046" s="25">
        <f>IF($N1046&lt;&gt;"",IF(INDEX(PCOp,$N1046)="مرجوعی خرید","",IF(INDEX(PCAmount,$N1046)&lt;=0,"",INDEX(PCAmount,$N1046))),IF($O1046&lt;&gt;"",IF(INDEX(TxnDepB,$O1046)=0,"",INDEX(TxnDepB,$O1046)),""))</f>
        <v/>
      </c>
      <c r="J1046" s="25">
        <f>IF($N1046&lt;&gt;"",IF(INDEX(PCOp,$N1046)="مرجوعی خرید",IF(INDEX(PCAmount,$N1046)=0,"",-INDEX(PCAmount,$N1046)),""),IF($O1046&lt;&gt;"",IF(INDEX(TxnWitB,$O1046)=0,"",INDEX(TxnWitB,$O1046)),""))</f>
        <v/>
      </c>
      <c r="K1046" s="27">
        <f>IF($B1046="","",IF($K1045="",$C$10,$K1045)+IF($I1046="",0,$I1046)-IF($J1046="",0,$J1046))</f>
        <v/>
      </c>
      <c r="L1046" s="28">
        <f>IF($N1046&lt;&gt;"",IF(INDEX(PCNotes,$N1046)="","—",INDEX(PCNotes,$N1046)),IF($O1046&lt;&gt;"",IF(INDEX(LdgNoteB,$O1046)="","—",INDEX(LdgNoteB,$O1046)),""))</f>
        <v/>
      </c>
      <c r="N1046">
        <f>IFERROR(MATCH($C$5&amp;"|"&amp;RIGHT("000000"&amp;1030,6),LdgRankKeyA,0),"")</f>
        <v/>
      </c>
      <c r="O1046">
        <f>IFERROR(MATCH($C$5&amp;"|"&amp;RIGHT("000000"&amp;1030,6),LdgRankKeyB,0),"")</f>
        <v/>
      </c>
    </row>
    <row r="1047">
      <c r="A1047" s="17" t="n">
        <v>1031</v>
      </c>
      <c r="B1047" s="18">
        <f>IF(AND($N1047="",$O1047=""),"",IF($N1047&lt;&gt;"",INDEX(PCNormDate,$N1047),INDEX(LdgDateB,$O1047)))</f>
        <v/>
      </c>
      <c r="C1047" s="18">
        <f>IF($N1047&lt;&gt;"",INDEX(PCOp,$N1047),IF($O1047&lt;&gt;"",IF(N(INDEX(TxnDepB,$O1047))&gt;0,"دریافت بانکی","پرداخت بانکی"),""))</f>
        <v/>
      </c>
      <c r="D1047" s="18">
        <f>IF($N1047&lt;&gt;"",IF(INDEX(PCDoc,$N1047)="","—",INDEX(PCDoc,$N1047)),IF($O1047&lt;&gt;"",INDEX(LdgBankB,$O1047),""))</f>
        <v/>
      </c>
      <c r="E1047" s="18">
        <f>IF($N1047&lt;&gt;"",IF(INDEX(PCCitrus,$N1047)="","—",INDEX(PCCitrus,$N1047)),"")</f>
        <v/>
      </c>
      <c r="F1047" s="19">
        <f>IF($N1047&lt;&gt;"",IF(INDEX(PCScale,$N1047)=0,"",INDEX(PCScale,$N1047)),"")</f>
        <v/>
      </c>
      <c r="G1047" s="19">
        <f>IF($N1047&lt;&gt;"",IF(INDEX(PCBaskets,$N1047)=0,"",INDEX(PCBaskets,$N1047)),"")</f>
        <v/>
      </c>
      <c r="H1047" s="20">
        <f>IF($N1047&lt;&gt;"",IF(INDEX(PCNet,$N1047)=0,"",INDEX(PCNet,$N1047)),"")</f>
        <v/>
      </c>
      <c r="I1047" s="19">
        <f>IF($N1047&lt;&gt;"",IF(INDEX(PCOp,$N1047)="مرجوعی خرید","",IF(INDEX(PCAmount,$N1047)&lt;=0,"",INDEX(PCAmount,$N1047))),IF($O1047&lt;&gt;"",IF(INDEX(TxnDepB,$O1047)=0,"",INDEX(TxnDepB,$O1047)),""))</f>
        <v/>
      </c>
      <c r="J1047" s="19">
        <f>IF($N1047&lt;&gt;"",IF(INDEX(PCOp,$N1047)="مرجوعی خرید",IF(INDEX(PCAmount,$N1047)=0,"",-INDEX(PCAmount,$N1047)),""),IF($O1047&lt;&gt;"",IF(INDEX(TxnWitB,$O1047)=0,"",INDEX(TxnWitB,$O1047)),""))</f>
        <v/>
      </c>
      <c r="K1047" s="21">
        <f>IF($B1047="","",IF($K1046="",$C$10,$K1046)+IF($I1047="",0,$I1047)-IF($J1047="",0,$J1047))</f>
        <v/>
      </c>
      <c r="L1047" s="22">
        <f>IF($N1047&lt;&gt;"",IF(INDEX(PCNotes,$N1047)="","—",INDEX(PCNotes,$N1047)),IF($O1047&lt;&gt;"",IF(INDEX(LdgNoteB,$O1047)="","—",INDEX(LdgNoteB,$O1047)),""))</f>
        <v/>
      </c>
      <c r="N1047">
        <f>IFERROR(MATCH($C$5&amp;"|"&amp;RIGHT("000000"&amp;1031,6),LdgRankKeyA,0),"")</f>
        <v/>
      </c>
      <c r="O1047">
        <f>IFERROR(MATCH($C$5&amp;"|"&amp;RIGHT("000000"&amp;1031,6),LdgRankKeyB,0),"")</f>
        <v/>
      </c>
    </row>
    <row r="1048">
      <c r="A1048" s="23" t="n">
        <v>1032</v>
      </c>
      <c r="B1048" s="24">
        <f>IF(AND($N1048="",$O1048=""),"",IF($N1048&lt;&gt;"",INDEX(PCNormDate,$N1048),INDEX(LdgDateB,$O1048)))</f>
        <v/>
      </c>
      <c r="C1048" s="24">
        <f>IF($N1048&lt;&gt;"",INDEX(PCOp,$N1048),IF($O1048&lt;&gt;"",IF(N(INDEX(TxnDepB,$O1048))&gt;0,"دریافت بانکی","پرداخت بانکی"),""))</f>
        <v/>
      </c>
      <c r="D1048" s="24">
        <f>IF($N1048&lt;&gt;"",IF(INDEX(PCDoc,$N1048)="","—",INDEX(PCDoc,$N1048)),IF($O1048&lt;&gt;"",INDEX(LdgBankB,$O1048),""))</f>
        <v/>
      </c>
      <c r="E1048" s="24">
        <f>IF($N1048&lt;&gt;"",IF(INDEX(PCCitrus,$N1048)="","—",INDEX(PCCitrus,$N1048)),"")</f>
        <v/>
      </c>
      <c r="F1048" s="25">
        <f>IF($N1048&lt;&gt;"",IF(INDEX(PCScale,$N1048)=0,"",INDEX(PCScale,$N1048)),"")</f>
        <v/>
      </c>
      <c r="G1048" s="25">
        <f>IF($N1048&lt;&gt;"",IF(INDEX(PCBaskets,$N1048)=0,"",INDEX(PCBaskets,$N1048)),"")</f>
        <v/>
      </c>
      <c r="H1048" s="26">
        <f>IF($N1048&lt;&gt;"",IF(INDEX(PCNet,$N1048)=0,"",INDEX(PCNet,$N1048)),"")</f>
        <v/>
      </c>
      <c r="I1048" s="25">
        <f>IF($N1048&lt;&gt;"",IF(INDEX(PCOp,$N1048)="مرجوعی خرید","",IF(INDEX(PCAmount,$N1048)&lt;=0,"",INDEX(PCAmount,$N1048))),IF($O1048&lt;&gt;"",IF(INDEX(TxnDepB,$O1048)=0,"",INDEX(TxnDepB,$O1048)),""))</f>
        <v/>
      </c>
      <c r="J1048" s="25">
        <f>IF($N1048&lt;&gt;"",IF(INDEX(PCOp,$N1048)="مرجوعی خرید",IF(INDEX(PCAmount,$N1048)=0,"",-INDEX(PCAmount,$N1048)),""),IF($O1048&lt;&gt;"",IF(INDEX(TxnWitB,$O1048)=0,"",INDEX(TxnWitB,$O1048)),""))</f>
        <v/>
      </c>
      <c r="K1048" s="27">
        <f>IF($B1048="","",IF($K1047="",$C$10,$K1047)+IF($I1048="",0,$I1048)-IF($J1048="",0,$J1048))</f>
        <v/>
      </c>
      <c r="L1048" s="28">
        <f>IF($N1048&lt;&gt;"",IF(INDEX(PCNotes,$N1048)="","—",INDEX(PCNotes,$N1048)),IF($O1048&lt;&gt;"",IF(INDEX(LdgNoteB,$O1048)="","—",INDEX(LdgNoteB,$O1048)),""))</f>
        <v/>
      </c>
      <c r="N1048">
        <f>IFERROR(MATCH($C$5&amp;"|"&amp;RIGHT("000000"&amp;1032,6),LdgRankKeyA,0),"")</f>
        <v/>
      </c>
      <c r="O1048">
        <f>IFERROR(MATCH($C$5&amp;"|"&amp;RIGHT("000000"&amp;1032,6),LdgRankKeyB,0),"")</f>
        <v/>
      </c>
    </row>
    <row r="1049">
      <c r="A1049" s="17" t="n">
        <v>1033</v>
      </c>
      <c r="B1049" s="18">
        <f>IF(AND($N1049="",$O1049=""),"",IF($N1049&lt;&gt;"",INDEX(PCNormDate,$N1049),INDEX(LdgDateB,$O1049)))</f>
        <v/>
      </c>
      <c r="C1049" s="18">
        <f>IF($N1049&lt;&gt;"",INDEX(PCOp,$N1049),IF($O1049&lt;&gt;"",IF(N(INDEX(TxnDepB,$O1049))&gt;0,"دریافت بانکی","پرداخت بانکی"),""))</f>
        <v/>
      </c>
      <c r="D1049" s="18">
        <f>IF($N1049&lt;&gt;"",IF(INDEX(PCDoc,$N1049)="","—",INDEX(PCDoc,$N1049)),IF($O1049&lt;&gt;"",INDEX(LdgBankB,$O1049),""))</f>
        <v/>
      </c>
      <c r="E1049" s="18">
        <f>IF($N1049&lt;&gt;"",IF(INDEX(PCCitrus,$N1049)="","—",INDEX(PCCitrus,$N1049)),"")</f>
        <v/>
      </c>
      <c r="F1049" s="19">
        <f>IF($N1049&lt;&gt;"",IF(INDEX(PCScale,$N1049)=0,"",INDEX(PCScale,$N1049)),"")</f>
        <v/>
      </c>
      <c r="G1049" s="19">
        <f>IF($N1049&lt;&gt;"",IF(INDEX(PCBaskets,$N1049)=0,"",INDEX(PCBaskets,$N1049)),"")</f>
        <v/>
      </c>
      <c r="H1049" s="20">
        <f>IF($N1049&lt;&gt;"",IF(INDEX(PCNet,$N1049)=0,"",INDEX(PCNet,$N1049)),"")</f>
        <v/>
      </c>
      <c r="I1049" s="19">
        <f>IF($N1049&lt;&gt;"",IF(INDEX(PCOp,$N1049)="مرجوعی خرید","",IF(INDEX(PCAmount,$N1049)&lt;=0,"",INDEX(PCAmount,$N1049))),IF($O1049&lt;&gt;"",IF(INDEX(TxnDepB,$O1049)=0,"",INDEX(TxnDepB,$O1049)),""))</f>
        <v/>
      </c>
      <c r="J1049" s="19">
        <f>IF($N1049&lt;&gt;"",IF(INDEX(PCOp,$N1049)="مرجوعی خرید",IF(INDEX(PCAmount,$N1049)=0,"",-INDEX(PCAmount,$N1049)),""),IF($O1049&lt;&gt;"",IF(INDEX(TxnWitB,$O1049)=0,"",INDEX(TxnWitB,$O1049)),""))</f>
        <v/>
      </c>
      <c r="K1049" s="21">
        <f>IF($B1049="","",IF($K1048="",$C$10,$K1048)+IF($I1049="",0,$I1049)-IF($J1049="",0,$J1049))</f>
        <v/>
      </c>
      <c r="L1049" s="22">
        <f>IF($N1049&lt;&gt;"",IF(INDEX(PCNotes,$N1049)="","—",INDEX(PCNotes,$N1049)),IF($O1049&lt;&gt;"",IF(INDEX(LdgNoteB,$O1049)="","—",INDEX(LdgNoteB,$O1049)),""))</f>
        <v/>
      </c>
      <c r="N1049">
        <f>IFERROR(MATCH($C$5&amp;"|"&amp;RIGHT("000000"&amp;1033,6),LdgRankKeyA,0),"")</f>
        <v/>
      </c>
      <c r="O1049">
        <f>IFERROR(MATCH($C$5&amp;"|"&amp;RIGHT("000000"&amp;1033,6),LdgRankKeyB,0),"")</f>
        <v/>
      </c>
    </row>
    <row r="1050">
      <c r="A1050" s="23" t="n">
        <v>1034</v>
      </c>
      <c r="B1050" s="24">
        <f>IF(AND($N1050="",$O1050=""),"",IF($N1050&lt;&gt;"",INDEX(PCNormDate,$N1050),INDEX(LdgDateB,$O1050)))</f>
        <v/>
      </c>
      <c r="C1050" s="24">
        <f>IF($N1050&lt;&gt;"",INDEX(PCOp,$N1050),IF($O1050&lt;&gt;"",IF(N(INDEX(TxnDepB,$O1050))&gt;0,"دریافت بانکی","پرداخت بانکی"),""))</f>
        <v/>
      </c>
      <c r="D1050" s="24">
        <f>IF($N1050&lt;&gt;"",IF(INDEX(PCDoc,$N1050)="","—",INDEX(PCDoc,$N1050)),IF($O1050&lt;&gt;"",INDEX(LdgBankB,$O1050),""))</f>
        <v/>
      </c>
      <c r="E1050" s="24">
        <f>IF($N1050&lt;&gt;"",IF(INDEX(PCCitrus,$N1050)="","—",INDEX(PCCitrus,$N1050)),"")</f>
        <v/>
      </c>
      <c r="F1050" s="25">
        <f>IF($N1050&lt;&gt;"",IF(INDEX(PCScale,$N1050)=0,"",INDEX(PCScale,$N1050)),"")</f>
        <v/>
      </c>
      <c r="G1050" s="25">
        <f>IF($N1050&lt;&gt;"",IF(INDEX(PCBaskets,$N1050)=0,"",INDEX(PCBaskets,$N1050)),"")</f>
        <v/>
      </c>
      <c r="H1050" s="26">
        <f>IF($N1050&lt;&gt;"",IF(INDEX(PCNet,$N1050)=0,"",INDEX(PCNet,$N1050)),"")</f>
        <v/>
      </c>
      <c r="I1050" s="25">
        <f>IF($N1050&lt;&gt;"",IF(INDEX(PCOp,$N1050)="مرجوعی خرید","",IF(INDEX(PCAmount,$N1050)&lt;=0,"",INDEX(PCAmount,$N1050))),IF($O1050&lt;&gt;"",IF(INDEX(TxnDepB,$O1050)=0,"",INDEX(TxnDepB,$O1050)),""))</f>
        <v/>
      </c>
      <c r="J1050" s="25">
        <f>IF($N1050&lt;&gt;"",IF(INDEX(PCOp,$N1050)="مرجوعی خرید",IF(INDEX(PCAmount,$N1050)=0,"",-INDEX(PCAmount,$N1050)),""),IF($O1050&lt;&gt;"",IF(INDEX(TxnWitB,$O1050)=0,"",INDEX(TxnWitB,$O1050)),""))</f>
        <v/>
      </c>
      <c r="K1050" s="27">
        <f>IF($B1050="","",IF($K1049="",$C$10,$K1049)+IF($I1050="",0,$I1050)-IF($J1050="",0,$J1050))</f>
        <v/>
      </c>
      <c r="L1050" s="28">
        <f>IF($N1050&lt;&gt;"",IF(INDEX(PCNotes,$N1050)="","—",INDEX(PCNotes,$N1050)),IF($O1050&lt;&gt;"",IF(INDEX(LdgNoteB,$O1050)="","—",INDEX(LdgNoteB,$O1050)),""))</f>
        <v/>
      </c>
      <c r="N1050">
        <f>IFERROR(MATCH($C$5&amp;"|"&amp;RIGHT("000000"&amp;1034,6),LdgRankKeyA,0),"")</f>
        <v/>
      </c>
      <c r="O1050">
        <f>IFERROR(MATCH($C$5&amp;"|"&amp;RIGHT("000000"&amp;1034,6),LdgRankKeyB,0),"")</f>
        <v/>
      </c>
    </row>
    <row r="1051">
      <c r="A1051" s="17" t="n">
        <v>1035</v>
      </c>
      <c r="B1051" s="18">
        <f>IF(AND($N1051="",$O1051=""),"",IF($N1051&lt;&gt;"",INDEX(PCNormDate,$N1051),INDEX(LdgDateB,$O1051)))</f>
        <v/>
      </c>
      <c r="C1051" s="18">
        <f>IF($N1051&lt;&gt;"",INDEX(PCOp,$N1051),IF($O1051&lt;&gt;"",IF(N(INDEX(TxnDepB,$O1051))&gt;0,"دریافت بانکی","پرداخت بانکی"),""))</f>
        <v/>
      </c>
      <c r="D1051" s="18">
        <f>IF($N1051&lt;&gt;"",IF(INDEX(PCDoc,$N1051)="","—",INDEX(PCDoc,$N1051)),IF($O1051&lt;&gt;"",INDEX(LdgBankB,$O1051),""))</f>
        <v/>
      </c>
      <c r="E1051" s="18">
        <f>IF($N1051&lt;&gt;"",IF(INDEX(PCCitrus,$N1051)="","—",INDEX(PCCitrus,$N1051)),"")</f>
        <v/>
      </c>
      <c r="F1051" s="19">
        <f>IF($N1051&lt;&gt;"",IF(INDEX(PCScale,$N1051)=0,"",INDEX(PCScale,$N1051)),"")</f>
        <v/>
      </c>
      <c r="G1051" s="19">
        <f>IF($N1051&lt;&gt;"",IF(INDEX(PCBaskets,$N1051)=0,"",INDEX(PCBaskets,$N1051)),"")</f>
        <v/>
      </c>
      <c r="H1051" s="20">
        <f>IF($N1051&lt;&gt;"",IF(INDEX(PCNet,$N1051)=0,"",INDEX(PCNet,$N1051)),"")</f>
        <v/>
      </c>
      <c r="I1051" s="19">
        <f>IF($N1051&lt;&gt;"",IF(INDEX(PCOp,$N1051)="مرجوعی خرید","",IF(INDEX(PCAmount,$N1051)&lt;=0,"",INDEX(PCAmount,$N1051))),IF($O1051&lt;&gt;"",IF(INDEX(TxnDepB,$O1051)=0,"",INDEX(TxnDepB,$O1051)),""))</f>
        <v/>
      </c>
      <c r="J1051" s="19">
        <f>IF($N1051&lt;&gt;"",IF(INDEX(PCOp,$N1051)="مرجوعی خرید",IF(INDEX(PCAmount,$N1051)=0,"",-INDEX(PCAmount,$N1051)),""),IF($O1051&lt;&gt;"",IF(INDEX(TxnWitB,$O1051)=0,"",INDEX(TxnWitB,$O1051)),""))</f>
        <v/>
      </c>
      <c r="K1051" s="21">
        <f>IF($B1051="","",IF($K1050="",$C$10,$K1050)+IF($I1051="",0,$I1051)-IF($J1051="",0,$J1051))</f>
        <v/>
      </c>
      <c r="L1051" s="22">
        <f>IF($N1051&lt;&gt;"",IF(INDEX(PCNotes,$N1051)="","—",INDEX(PCNotes,$N1051)),IF($O1051&lt;&gt;"",IF(INDEX(LdgNoteB,$O1051)="","—",INDEX(LdgNoteB,$O1051)),""))</f>
        <v/>
      </c>
      <c r="N1051">
        <f>IFERROR(MATCH($C$5&amp;"|"&amp;RIGHT("000000"&amp;1035,6),LdgRankKeyA,0),"")</f>
        <v/>
      </c>
      <c r="O1051">
        <f>IFERROR(MATCH($C$5&amp;"|"&amp;RIGHT("000000"&amp;1035,6),LdgRankKeyB,0),"")</f>
        <v/>
      </c>
    </row>
    <row r="1052">
      <c r="A1052" s="23" t="n">
        <v>1036</v>
      </c>
      <c r="B1052" s="24">
        <f>IF(AND($N1052="",$O1052=""),"",IF($N1052&lt;&gt;"",INDEX(PCNormDate,$N1052),INDEX(LdgDateB,$O1052)))</f>
        <v/>
      </c>
      <c r="C1052" s="24">
        <f>IF($N1052&lt;&gt;"",INDEX(PCOp,$N1052),IF($O1052&lt;&gt;"",IF(N(INDEX(TxnDepB,$O1052))&gt;0,"دریافت بانکی","پرداخت بانکی"),""))</f>
        <v/>
      </c>
      <c r="D1052" s="24">
        <f>IF($N1052&lt;&gt;"",IF(INDEX(PCDoc,$N1052)="","—",INDEX(PCDoc,$N1052)),IF($O1052&lt;&gt;"",INDEX(LdgBankB,$O1052),""))</f>
        <v/>
      </c>
      <c r="E1052" s="24">
        <f>IF($N1052&lt;&gt;"",IF(INDEX(PCCitrus,$N1052)="","—",INDEX(PCCitrus,$N1052)),"")</f>
        <v/>
      </c>
      <c r="F1052" s="25">
        <f>IF($N1052&lt;&gt;"",IF(INDEX(PCScale,$N1052)=0,"",INDEX(PCScale,$N1052)),"")</f>
        <v/>
      </c>
      <c r="G1052" s="25">
        <f>IF($N1052&lt;&gt;"",IF(INDEX(PCBaskets,$N1052)=0,"",INDEX(PCBaskets,$N1052)),"")</f>
        <v/>
      </c>
      <c r="H1052" s="26">
        <f>IF($N1052&lt;&gt;"",IF(INDEX(PCNet,$N1052)=0,"",INDEX(PCNet,$N1052)),"")</f>
        <v/>
      </c>
      <c r="I1052" s="25">
        <f>IF($N1052&lt;&gt;"",IF(INDEX(PCOp,$N1052)="مرجوعی خرید","",IF(INDEX(PCAmount,$N1052)&lt;=0,"",INDEX(PCAmount,$N1052))),IF($O1052&lt;&gt;"",IF(INDEX(TxnDepB,$O1052)=0,"",INDEX(TxnDepB,$O1052)),""))</f>
        <v/>
      </c>
      <c r="J1052" s="25">
        <f>IF($N1052&lt;&gt;"",IF(INDEX(PCOp,$N1052)="مرجوعی خرید",IF(INDEX(PCAmount,$N1052)=0,"",-INDEX(PCAmount,$N1052)),""),IF($O1052&lt;&gt;"",IF(INDEX(TxnWitB,$O1052)=0,"",INDEX(TxnWitB,$O1052)),""))</f>
        <v/>
      </c>
      <c r="K1052" s="27">
        <f>IF($B1052="","",IF($K1051="",$C$10,$K1051)+IF($I1052="",0,$I1052)-IF($J1052="",0,$J1052))</f>
        <v/>
      </c>
      <c r="L1052" s="28">
        <f>IF($N1052&lt;&gt;"",IF(INDEX(PCNotes,$N1052)="","—",INDEX(PCNotes,$N1052)),IF($O1052&lt;&gt;"",IF(INDEX(LdgNoteB,$O1052)="","—",INDEX(LdgNoteB,$O1052)),""))</f>
        <v/>
      </c>
      <c r="N1052">
        <f>IFERROR(MATCH($C$5&amp;"|"&amp;RIGHT("000000"&amp;1036,6),LdgRankKeyA,0),"")</f>
        <v/>
      </c>
      <c r="O1052">
        <f>IFERROR(MATCH($C$5&amp;"|"&amp;RIGHT("000000"&amp;1036,6),LdgRankKeyB,0),"")</f>
        <v/>
      </c>
    </row>
    <row r="1053">
      <c r="A1053" s="17" t="n">
        <v>1037</v>
      </c>
      <c r="B1053" s="18">
        <f>IF(AND($N1053="",$O1053=""),"",IF($N1053&lt;&gt;"",INDEX(PCNormDate,$N1053),INDEX(LdgDateB,$O1053)))</f>
        <v/>
      </c>
      <c r="C1053" s="18">
        <f>IF($N1053&lt;&gt;"",INDEX(PCOp,$N1053),IF($O1053&lt;&gt;"",IF(N(INDEX(TxnDepB,$O1053))&gt;0,"دریافت بانکی","پرداخت بانکی"),""))</f>
        <v/>
      </c>
      <c r="D1053" s="18">
        <f>IF($N1053&lt;&gt;"",IF(INDEX(PCDoc,$N1053)="","—",INDEX(PCDoc,$N1053)),IF($O1053&lt;&gt;"",INDEX(LdgBankB,$O1053),""))</f>
        <v/>
      </c>
      <c r="E1053" s="18">
        <f>IF($N1053&lt;&gt;"",IF(INDEX(PCCitrus,$N1053)="","—",INDEX(PCCitrus,$N1053)),"")</f>
        <v/>
      </c>
      <c r="F1053" s="19">
        <f>IF($N1053&lt;&gt;"",IF(INDEX(PCScale,$N1053)=0,"",INDEX(PCScale,$N1053)),"")</f>
        <v/>
      </c>
      <c r="G1053" s="19">
        <f>IF($N1053&lt;&gt;"",IF(INDEX(PCBaskets,$N1053)=0,"",INDEX(PCBaskets,$N1053)),"")</f>
        <v/>
      </c>
      <c r="H1053" s="20">
        <f>IF($N1053&lt;&gt;"",IF(INDEX(PCNet,$N1053)=0,"",INDEX(PCNet,$N1053)),"")</f>
        <v/>
      </c>
      <c r="I1053" s="19">
        <f>IF($N1053&lt;&gt;"",IF(INDEX(PCOp,$N1053)="مرجوعی خرید","",IF(INDEX(PCAmount,$N1053)&lt;=0,"",INDEX(PCAmount,$N1053))),IF($O1053&lt;&gt;"",IF(INDEX(TxnDepB,$O1053)=0,"",INDEX(TxnDepB,$O1053)),""))</f>
        <v/>
      </c>
      <c r="J1053" s="19">
        <f>IF($N1053&lt;&gt;"",IF(INDEX(PCOp,$N1053)="مرجوعی خرید",IF(INDEX(PCAmount,$N1053)=0,"",-INDEX(PCAmount,$N1053)),""),IF($O1053&lt;&gt;"",IF(INDEX(TxnWitB,$O1053)=0,"",INDEX(TxnWitB,$O1053)),""))</f>
        <v/>
      </c>
      <c r="K1053" s="21">
        <f>IF($B1053="","",IF($K1052="",$C$10,$K1052)+IF($I1053="",0,$I1053)-IF($J1053="",0,$J1053))</f>
        <v/>
      </c>
      <c r="L1053" s="22">
        <f>IF($N1053&lt;&gt;"",IF(INDEX(PCNotes,$N1053)="","—",INDEX(PCNotes,$N1053)),IF($O1053&lt;&gt;"",IF(INDEX(LdgNoteB,$O1053)="","—",INDEX(LdgNoteB,$O1053)),""))</f>
        <v/>
      </c>
      <c r="N1053">
        <f>IFERROR(MATCH($C$5&amp;"|"&amp;RIGHT("000000"&amp;1037,6),LdgRankKeyA,0),"")</f>
        <v/>
      </c>
      <c r="O1053">
        <f>IFERROR(MATCH($C$5&amp;"|"&amp;RIGHT("000000"&amp;1037,6),LdgRankKeyB,0),"")</f>
        <v/>
      </c>
    </row>
    <row r="1054">
      <c r="A1054" s="23" t="n">
        <v>1038</v>
      </c>
      <c r="B1054" s="24">
        <f>IF(AND($N1054="",$O1054=""),"",IF($N1054&lt;&gt;"",INDEX(PCNormDate,$N1054),INDEX(LdgDateB,$O1054)))</f>
        <v/>
      </c>
      <c r="C1054" s="24">
        <f>IF($N1054&lt;&gt;"",INDEX(PCOp,$N1054),IF($O1054&lt;&gt;"",IF(N(INDEX(TxnDepB,$O1054))&gt;0,"دریافت بانکی","پرداخت بانکی"),""))</f>
        <v/>
      </c>
      <c r="D1054" s="24">
        <f>IF($N1054&lt;&gt;"",IF(INDEX(PCDoc,$N1054)="","—",INDEX(PCDoc,$N1054)),IF($O1054&lt;&gt;"",INDEX(LdgBankB,$O1054),""))</f>
        <v/>
      </c>
      <c r="E1054" s="24">
        <f>IF($N1054&lt;&gt;"",IF(INDEX(PCCitrus,$N1054)="","—",INDEX(PCCitrus,$N1054)),"")</f>
        <v/>
      </c>
      <c r="F1054" s="25">
        <f>IF($N1054&lt;&gt;"",IF(INDEX(PCScale,$N1054)=0,"",INDEX(PCScale,$N1054)),"")</f>
        <v/>
      </c>
      <c r="G1054" s="25">
        <f>IF($N1054&lt;&gt;"",IF(INDEX(PCBaskets,$N1054)=0,"",INDEX(PCBaskets,$N1054)),"")</f>
        <v/>
      </c>
      <c r="H1054" s="26">
        <f>IF($N1054&lt;&gt;"",IF(INDEX(PCNet,$N1054)=0,"",INDEX(PCNet,$N1054)),"")</f>
        <v/>
      </c>
      <c r="I1054" s="25">
        <f>IF($N1054&lt;&gt;"",IF(INDEX(PCOp,$N1054)="مرجوعی خرید","",IF(INDEX(PCAmount,$N1054)&lt;=0,"",INDEX(PCAmount,$N1054))),IF($O1054&lt;&gt;"",IF(INDEX(TxnDepB,$O1054)=0,"",INDEX(TxnDepB,$O1054)),""))</f>
        <v/>
      </c>
      <c r="J1054" s="25">
        <f>IF($N1054&lt;&gt;"",IF(INDEX(PCOp,$N1054)="مرجوعی خرید",IF(INDEX(PCAmount,$N1054)=0,"",-INDEX(PCAmount,$N1054)),""),IF($O1054&lt;&gt;"",IF(INDEX(TxnWitB,$O1054)=0,"",INDEX(TxnWitB,$O1054)),""))</f>
        <v/>
      </c>
      <c r="K1054" s="27">
        <f>IF($B1054="","",IF($K1053="",$C$10,$K1053)+IF($I1054="",0,$I1054)-IF($J1054="",0,$J1054))</f>
        <v/>
      </c>
      <c r="L1054" s="28">
        <f>IF($N1054&lt;&gt;"",IF(INDEX(PCNotes,$N1054)="","—",INDEX(PCNotes,$N1054)),IF($O1054&lt;&gt;"",IF(INDEX(LdgNoteB,$O1054)="","—",INDEX(LdgNoteB,$O1054)),""))</f>
        <v/>
      </c>
      <c r="N1054">
        <f>IFERROR(MATCH($C$5&amp;"|"&amp;RIGHT("000000"&amp;1038,6),LdgRankKeyA,0),"")</f>
        <v/>
      </c>
      <c r="O1054">
        <f>IFERROR(MATCH($C$5&amp;"|"&amp;RIGHT("000000"&amp;1038,6),LdgRankKeyB,0),"")</f>
        <v/>
      </c>
    </row>
    <row r="1055">
      <c r="A1055" s="17" t="n">
        <v>1039</v>
      </c>
      <c r="B1055" s="18">
        <f>IF(AND($N1055="",$O1055=""),"",IF($N1055&lt;&gt;"",INDEX(PCNormDate,$N1055),INDEX(LdgDateB,$O1055)))</f>
        <v/>
      </c>
      <c r="C1055" s="18">
        <f>IF($N1055&lt;&gt;"",INDEX(PCOp,$N1055),IF($O1055&lt;&gt;"",IF(N(INDEX(TxnDepB,$O1055))&gt;0,"دریافت بانکی","پرداخت بانکی"),""))</f>
        <v/>
      </c>
      <c r="D1055" s="18">
        <f>IF($N1055&lt;&gt;"",IF(INDEX(PCDoc,$N1055)="","—",INDEX(PCDoc,$N1055)),IF($O1055&lt;&gt;"",INDEX(LdgBankB,$O1055),""))</f>
        <v/>
      </c>
      <c r="E1055" s="18">
        <f>IF($N1055&lt;&gt;"",IF(INDEX(PCCitrus,$N1055)="","—",INDEX(PCCitrus,$N1055)),"")</f>
        <v/>
      </c>
      <c r="F1055" s="19">
        <f>IF($N1055&lt;&gt;"",IF(INDEX(PCScale,$N1055)=0,"",INDEX(PCScale,$N1055)),"")</f>
        <v/>
      </c>
      <c r="G1055" s="19">
        <f>IF($N1055&lt;&gt;"",IF(INDEX(PCBaskets,$N1055)=0,"",INDEX(PCBaskets,$N1055)),"")</f>
        <v/>
      </c>
      <c r="H1055" s="20">
        <f>IF($N1055&lt;&gt;"",IF(INDEX(PCNet,$N1055)=0,"",INDEX(PCNet,$N1055)),"")</f>
        <v/>
      </c>
      <c r="I1055" s="19">
        <f>IF($N1055&lt;&gt;"",IF(INDEX(PCOp,$N1055)="مرجوعی خرید","",IF(INDEX(PCAmount,$N1055)&lt;=0,"",INDEX(PCAmount,$N1055))),IF($O1055&lt;&gt;"",IF(INDEX(TxnDepB,$O1055)=0,"",INDEX(TxnDepB,$O1055)),""))</f>
        <v/>
      </c>
      <c r="J1055" s="19">
        <f>IF($N1055&lt;&gt;"",IF(INDEX(PCOp,$N1055)="مرجوعی خرید",IF(INDEX(PCAmount,$N1055)=0,"",-INDEX(PCAmount,$N1055)),""),IF($O1055&lt;&gt;"",IF(INDEX(TxnWitB,$O1055)=0,"",INDEX(TxnWitB,$O1055)),""))</f>
        <v/>
      </c>
      <c r="K1055" s="21">
        <f>IF($B1055="","",IF($K1054="",$C$10,$K1054)+IF($I1055="",0,$I1055)-IF($J1055="",0,$J1055))</f>
        <v/>
      </c>
      <c r="L1055" s="22">
        <f>IF($N1055&lt;&gt;"",IF(INDEX(PCNotes,$N1055)="","—",INDEX(PCNotes,$N1055)),IF($O1055&lt;&gt;"",IF(INDEX(LdgNoteB,$O1055)="","—",INDEX(LdgNoteB,$O1055)),""))</f>
        <v/>
      </c>
      <c r="N1055">
        <f>IFERROR(MATCH($C$5&amp;"|"&amp;RIGHT("000000"&amp;1039,6),LdgRankKeyA,0),"")</f>
        <v/>
      </c>
      <c r="O1055">
        <f>IFERROR(MATCH($C$5&amp;"|"&amp;RIGHT("000000"&amp;1039,6),LdgRankKeyB,0),"")</f>
        <v/>
      </c>
    </row>
    <row r="1056">
      <c r="A1056" s="23" t="n">
        <v>1040</v>
      </c>
      <c r="B1056" s="24">
        <f>IF(AND($N1056="",$O1056=""),"",IF($N1056&lt;&gt;"",INDEX(PCNormDate,$N1056),INDEX(LdgDateB,$O1056)))</f>
        <v/>
      </c>
      <c r="C1056" s="24">
        <f>IF($N1056&lt;&gt;"",INDEX(PCOp,$N1056),IF($O1056&lt;&gt;"",IF(N(INDEX(TxnDepB,$O1056))&gt;0,"دریافت بانکی","پرداخت بانکی"),""))</f>
        <v/>
      </c>
      <c r="D1056" s="24">
        <f>IF($N1056&lt;&gt;"",IF(INDEX(PCDoc,$N1056)="","—",INDEX(PCDoc,$N1056)),IF($O1056&lt;&gt;"",INDEX(LdgBankB,$O1056),""))</f>
        <v/>
      </c>
      <c r="E1056" s="24">
        <f>IF($N1056&lt;&gt;"",IF(INDEX(PCCitrus,$N1056)="","—",INDEX(PCCitrus,$N1056)),"")</f>
        <v/>
      </c>
      <c r="F1056" s="25">
        <f>IF($N1056&lt;&gt;"",IF(INDEX(PCScale,$N1056)=0,"",INDEX(PCScale,$N1056)),"")</f>
        <v/>
      </c>
      <c r="G1056" s="25">
        <f>IF($N1056&lt;&gt;"",IF(INDEX(PCBaskets,$N1056)=0,"",INDEX(PCBaskets,$N1056)),"")</f>
        <v/>
      </c>
      <c r="H1056" s="26">
        <f>IF($N1056&lt;&gt;"",IF(INDEX(PCNet,$N1056)=0,"",INDEX(PCNet,$N1056)),"")</f>
        <v/>
      </c>
      <c r="I1056" s="25">
        <f>IF($N1056&lt;&gt;"",IF(INDEX(PCOp,$N1056)="مرجوعی خرید","",IF(INDEX(PCAmount,$N1056)&lt;=0,"",INDEX(PCAmount,$N1056))),IF($O1056&lt;&gt;"",IF(INDEX(TxnDepB,$O1056)=0,"",INDEX(TxnDepB,$O1056)),""))</f>
        <v/>
      </c>
      <c r="J1056" s="25">
        <f>IF($N1056&lt;&gt;"",IF(INDEX(PCOp,$N1056)="مرجوعی خرید",IF(INDEX(PCAmount,$N1056)=0,"",-INDEX(PCAmount,$N1056)),""),IF($O1056&lt;&gt;"",IF(INDEX(TxnWitB,$O1056)=0,"",INDEX(TxnWitB,$O1056)),""))</f>
        <v/>
      </c>
      <c r="K1056" s="27">
        <f>IF($B1056="","",IF($K1055="",$C$10,$K1055)+IF($I1056="",0,$I1056)-IF($J1056="",0,$J1056))</f>
        <v/>
      </c>
      <c r="L1056" s="28">
        <f>IF($N1056&lt;&gt;"",IF(INDEX(PCNotes,$N1056)="","—",INDEX(PCNotes,$N1056)),IF($O1056&lt;&gt;"",IF(INDEX(LdgNoteB,$O1056)="","—",INDEX(LdgNoteB,$O1056)),""))</f>
        <v/>
      </c>
      <c r="N1056">
        <f>IFERROR(MATCH($C$5&amp;"|"&amp;RIGHT("000000"&amp;1040,6),LdgRankKeyA,0),"")</f>
        <v/>
      </c>
      <c r="O1056">
        <f>IFERROR(MATCH($C$5&amp;"|"&amp;RIGHT("000000"&amp;1040,6),LdgRankKeyB,0),"")</f>
        <v/>
      </c>
    </row>
    <row r="1057">
      <c r="A1057" s="17" t="n">
        <v>1041</v>
      </c>
      <c r="B1057" s="18">
        <f>IF(AND($N1057="",$O1057=""),"",IF($N1057&lt;&gt;"",INDEX(PCNormDate,$N1057),INDEX(LdgDateB,$O1057)))</f>
        <v/>
      </c>
      <c r="C1057" s="18">
        <f>IF($N1057&lt;&gt;"",INDEX(PCOp,$N1057),IF($O1057&lt;&gt;"",IF(N(INDEX(TxnDepB,$O1057))&gt;0,"دریافت بانکی","پرداخت بانکی"),""))</f>
        <v/>
      </c>
      <c r="D1057" s="18">
        <f>IF($N1057&lt;&gt;"",IF(INDEX(PCDoc,$N1057)="","—",INDEX(PCDoc,$N1057)),IF($O1057&lt;&gt;"",INDEX(LdgBankB,$O1057),""))</f>
        <v/>
      </c>
      <c r="E1057" s="18">
        <f>IF($N1057&lt;&gt;"",IF(INDEX(PCCitrus,$N1057)="","—",INDEX(PCCitrus,$N1057)),"")</f>
        <v/>
      </c>
      <c r="F1057" s="19">
        <f>IF($N1057&lt;&gt;"",IF(INDEX(PCScale,$N1057)=0,"",INDEX(PCScale,$N1057)),"")</f>
        <v/>
      </c>
      <c r="G1057" s="19">
        <f>IF($N1057&lt;&gt;"",IF(INDEX(PCBaskets,$N1057)=0,"",INDEX(PCBaskets,$N1057)),"")</f>
        <v/>
      </c>
      <c r="H1057" s="20">
        <f>IF($N1057&lt;&gt;"",IF(INDEX(PCNet,$N1057)=0,"",INDEX(PCNet,$N1057)),"")</f>
        <v/>
      </c>
      <c r="I1057" s="19">
        <f>IF($N1057&lt;&gt;"",IF(INDEX(PCOp,$N1057)="مرجوعی خرید","",IF(INDEX(PCAmount,$N1057)&lt;=0,"",INDEX(PCAmount,$N1057))),IF($O1057&lt;&gt;"",IF(INDEX(TxnDepB,$O1057)=0,"",INDEX(TxnDepB,$O1057)),""))</f>
        <v/>
      </c>
      <c r="J1057" s="19">
        <f>IF($N1057&lt;&gt;"",IF(INDEX(PCOp,$N1057)="مرجوعی خرید",IF(INDEX(PCAmount,$N1057)=0,"",-INDEX(PCAmount,$N1057)),""),IF($O1057&lt;&gt;"",IF(INDEX(TxnWitB,$O1057)=0,"",INDEX(TxnWitB,$O1057)),""))</f>
        <v/>
      </c>
      <c r="K1057" s="21">
        <f>IF($B1057="","",IF($K1056="",$C$10,$K1056)+IF($I1057="",0,$I1057)-IF($J1057="",0,$J1057))</f>
        <v/>
      </c>
      <c r="L1057" s="22">
        <f>IF($N1057&lt;&gt;"",IF(INDEX(PCNotes,$N1057)="","—",INDEX(PCNotes,$N1057)),IF($O1057&lt;&gt;"",IF(INDEX(LdgNoteB,$O1057)="","—",INDEX(LdgNoteB,$O1057)),""))</f>
        <v/>
      </c>
      <c r="N1057">
        <f>IFERROR(MATCH($C$5&amp;"|"&amp;RIGHT("000000"&amp;1041,6),LdgRankKeyA,0),"")</f>
        <v/>
      </c>
      <c r="O1057">
        <f>IFERROR(MATCH($C$5&amp;"|"&amp;RIGHT("000000"&amp;1041,6),LdgRankKeyB,0),"")</f>
        <v/>
      </c>
    </row>
    <row r="1058">
      <c r="A1058" s="23" t="n">
        <v>1042</v>
      </c>
      <c r="B1058" s="24">
        <f>IF(AND($N1058="",$O1058=""),"",IF($N1058&lt;&gt;"",INDEX(PCNormDate,$N1058),INDEX(LdgDateB,$O1058)))</f>
        <v/>
      </c>
      <c r="C1058" s="24">
        <f>IF($N1058&lt;&gt;"",INDEX(PCOp,$N1058),IF($O1058&lt;&gt;"",IF(N(INDEX(TxnDepB,$O1058))&gt;0,"دریافت بانکی","پرداخت بانکی"),""))</f>
        <v/>
      </c>
      <c r="D1058" s="24">
        <f>IF($N1058&lt;&gt;"",IF(INDEX(PCDoc,$N1058)="","—",INDEX(PCDoc,$N1058)),IF($O1058&lt;&gt;"",INDEX(LdgBankB,$O1058),""))</f>
        <v/>
      </c>
      <c r="E1058" s="24">
        <f>IF($N1058&lt;&gt;"",IF(INDEX(PCCitrus,$N1058)="","—",INDEX(PCCitrus,$N1058)),"")</f>
        <v/>
      </c>
      <c r="F1058" s="25">
        <f>IF($N1058&lt;&gt;"",IF(INDEX(PCScale,$N1058)=0,"",INDEX(PCScale,$N1058)),"")</f>
        <v/>
      </c>
      <c r="G1058" s="25">
        <f>IF($N1058&lt;&gt;"",IF(INDEX(PCBaskets,$N1058)=0,"",INDEX(PCBaskets,$N1058)),"")</f>
        <v/>
      </c>
      <c r="H1058" s="26">
        <f>IF($N1058&lt;&gt;"",IF(INDEX(PCNet,$N1058)=0,"",INDEX(PCNet,$N1058)),"")</f>
        <v/>
      </c>
      <c r="I1058" s="25">
        <f>IF($N1058&lt;&gt;"",IF(INDEX(PCOp,$N1058)="مرجوعی خرید","",IF(INDEX(PCAmount,$N1058)&lt;=0,"",INDEX(PCAmount,$N1058))),IF($O1058&lt;&gt;"",IF(INDEX(TxnDepB,$O1058)=0,"",INDEX(TxnDepB,$O1058)),""))</f>
        <v/>
      </c>
      <c r="J1058" s="25">
        <f>IF($N1058&lt;&gt;"",IF(INDEX(PCOp,$N1058)="مرجوعی خرید",IF(INDEX(PCAmount,$N1058)=0,"",-INDEX(PCAmount,$N1058)),""),IF($O1058&lt;&gt;"",IF(INDEX(TxnWitB,$O1058)=0,"",INDEX(TxnWitB,$O1058)),""))</f>
        <v/>
      </c>
      <c r="K1058" s="27">
        <f>IF($B1058="","",IF($K1057="",$C$10,$K1057)+IF($I1058="",0,$I1058)-IF($J1058="",0,$J1058))</f>
        <v/>
      </c>
      <c r="L1058" s="28">
        <f>IF($N1058&lt;&gt;"",IF(INDEX(PCNotes,$N1058)="","—",INDEX(PCNotes,$N1058)),IF($O1058&lt;&gt;"",IF(INDEX(LdgNoteB,$O1058)="","—",INDEX(LdgNoteB,$O1058)),""))</f>
        <v/>
      </c>
      <c r="N1058">
        <f>IFERROR(MATCH($C$5&amp;"|"&amp;RIGHT("000000"&amp;1042,6),LdgRankKeyA,0),"")</f>
        <v/>
      </c>
      <c r="O1058">
        <f>IFERROR(MATCH($C$5&amp;"|"&amp;RIGHT("000000"&amp;1042,6),LdgRankKeyB,0),"")</f>
        <v/>
      </c>
    </row>
    <row r="1059">
      <c r="A1059" s="17" t="n">
        <v>1043</v>
      </c>
      <c r="B1059" s="18">
        <f>IF(AND($N1059="",$O1059=""),"",IF($N1059&lt;&gt;"",INDEX(PCNormDate,$N1059),INDEX(LdgDateB,$O1059)))</f>
        <v/>
      </c>
      <c r="C1059" s="18">
        <f>IF($N1059&lt;&gt;"",INDEX(PCOp,$N1059),IF($O1059&lt;&gt;"",IF(N(INDEX(TxnDepB,$O1059))&gt;0,"دریافت بانکی","پرداخت بانکی"),""))</f>
        <v/>
      </c>
      <c r="D1059" s="18">
        <f>IF($N1059&lt;&gt;"",IF(INDEX(PCDoc,$N1059)="","—",INDEX(PCDoc,$N1059)),IF($O1059&lt;&gt;"",INDEX(LdgBankB,$O1059),""))</f>
        <v/>
      </c>
      <c r="E1059" s="18">
        <f>IF($N1059&lt;&gt;"",IF(INDEX(PCCitrus,$N1059)="","—",INDEX(PCCitrus,$N1059)),"")</f>
        <v/>
      </c>
      <c r="F1059" s="19">
        <f>IF($N1059&lt;&gt;"",IF(INDEX(PCScale,$N1059)=0,"",INDEX(PCScale,$N1059)),"")</f>
        <v/>
      </c>
      <c r="G1059" s="19">
        <f>IF($N1059&lt;&gt;"",IF(INDEX(PCBaskets,$N1059)=0,"",INDEX(PCBaskets,$N1059)),"")</f>
        <v/>
      </c>
      <c r="H1059" s="20">
        <f>IF($N1059&lt;&gt;"",IF(INDEX(PCNet,$N1059)=0,"",INDEX(PCNet,$N1059)),"")</f>
        <v/>
      </c>
      <c r="I1059" s="19">
        <f>IF($N1059&lt;&gt;"",IF(INDEX(PCOp,$N1059)="مرجوعی خرید","",IF(INDEX(PCAmount,$N1059)&lt;=0,"",INDEX(PCAmount,$N1059))),IF($O1059&lt;&gt;"",IF(INDEX(TxnDepB,$O1059)=0,"",INDEX(TxnDepB,$O1059)),""))</f>
        <v/>
      </c>
      <c r="J1059" s="19">
        <f>IF($N1059&lt;&gt;"",IF(INDEX(PCOp,$N1059)="مرجوعی خرید",IF(INDEX(PCAmount,$N1059)=0,"",-INDEX(PCAmount,$N1059)),""),IF($O1059&lt;&gt;"",IF(INDEX(TxnWitB,$O1059)=0,"",INDEX(TxnWitB,$O1059)),""))</f>
        <v/>
      </c>
      <c r="K1059" s="21">
        <f>IF($B1059="","",IF($K1058="",$C$10,$K1058)+IF($I1059="",0,$I1059)-IF($J1059="",0,$J1059))</f>
        <v/>
      </c>
      <c r="L1059" s="22">
        <f>IF($N1059&lt;&gt;"",IF(INDEX(PCNotes,$N1059)="","—",INDEX(PCNotes,$N1059)),IF($O1059&lt;&gt;"",IF(INDEX(LdgNoteB,$O1059)="","—",INDEX(LdgNoteB,$O1059)),""))</f>
        <v/>
      </c>
      <c r="N1059">
        <f>IFERROR(MATCH($C$5&amp;"|"&amp;RIGHT("000000"&amp;1043,6),LdgRankKeyA,0),"")</f>
        <v/>
      </c>
      <c r="O1059">
        <f>IFERROR(MATCH($C$5&amp;"|"&amp;RIGHT("000000"&amp;1043,6),LdgRankKeyB,0),"")</f>
        <v/>
      </c>
    </row>
    <row r="1060">
      <c r="A1060" s="23" t="n">
        <v>1044</v>
      </c>
      <c r="B1060" s="24">
        <f>IF(AND($N1060="",$O1060=""),"",IF($N1060&lt;&gt;"",INDEX(PCNormDate,$N1060),INDEX(LdgDateB,$O1060)))</f>
        <v/>
      </c>
      <c r="C1060" s="24">
        <f>IF($N1060&lt;&gt;"",INDEX(PCOp,$N1060),IF($O1060&lt;&gt;"",IF(N(INDEX(TxnDepB,$O1060))&gt;0,"دریافت بانکی","پرداخت بانکی"),""))</f>
        <v/>
      </c>
      <c r="D1060" s="24">
        <f>IF($N1060&lt;&gt;"",IF(INDEX(PCDoc,$N1060)="","—",INDEX(PCDoc,$N1060)),IF($O1060&lt;&gt;"",INDEX(LdgBankB,$O1060),""))</f>
        <v/>
      </c>
      <c r="E1060" s="24">
        <f>IF($N1060&lt;&gt;"",IF(INDEX(PCCitrus,$N1060)="","—",INDEX(PCCitrus,$N1060)),"")</f>
        <v/>
      </c>
      <c r="F1060" s="25">
        <f>IF($N1060&lt;&gt;"",IF(INDEX(PCScale,$N1060)=0,"",INDEX(PCScale,$N1060)),"")</f>
        <v/>
      </c>
      <c r="G1060" s="25">
        <f>IF($N1060&lt;&gt;"",IF(INDEX(PCBaskets,$N1060)=0,"",INDEX(PCBaskets,$N1060)),"")</f>
        <v/>
      </c>
      <c r="H1060" s="26">
        <f>IF($N1060&lt;&gt;"",IF(INDEX(PCNet,$N1060)=0,"",INDEX(PCNet,$N1060)),"")</f>
        <v/>
      </c>
      <c r="I1060" s="25">
        <f>IF($N1060&lt;&gt;"",IF(INDEX(PCOp,$N1060)="مرجوعی خرید","",IF(INDEX(PCAmount,$N1060)&lt;=0,"",INDEX(PCAmount,$N1060))),IF($O1060&lt;&gt;"",IF(INDEX(TxnDepB,$O1060)=0,"",INDEX(TxnDepB,$O1060)),""))</f>
        <v/>
      </c>
      <c r="J1060" s="25">
        <f>IF($N1060&lt;&gt;"",IF(INDEX(PCOp,$N1060)="مرجوعی خرید",IF(INDEX(PCAmount,$N1060)=0,"",-INDEX(PCAmount,$N1060)),""),IF($O1060&lt;&gt;"",IF(INDEX(TxnWitB,$O1060)=0,"",INDEX(TxnWitB,$O1060)),""))</f>
        <v/>
      </c>
      <c r="K1060" s="27">
        <f>IF($B1060="","",IF($K1059="",$C$10,$K1059)+IF($I1060="",0,$I1060)-IF($J1060="",0,$J1060))</f>
        <v/>
      </c>
      <c r="L1060" s="28">
        <f>IF($N1060&lt;&gt;"",IF(INDEX(PCNotes,$N1060)="","—",INDEX(PCNotes,$N1060)),IF($O1060&lt;&gt;"",IF(INDEX(LdgNoteB,$O1060)="","—",INDEX(LdgNoteB,$O1060)),""))</f>
        <v/>
      </c>
      <c r="N1060">
        <f>IFERROR(MATCH($C$5&amp;"|"&amp;RIGHT("000000"&amp;1044,6),LdgRankKeyA,0),"")</f>
        <v/>
      </c>
      <c r="O1060">
        <f>IFERROR(MATCH($C$5&amp;"|"&amp;RIGHT("000000"&amp;1044,6),LdgRankKeyB,0),"")</f>
        <v/>
      </c>
    </row>
    <row r="1061">
      <c r="A1061" s="17" t="n">
        <v>1045</v>
      </c>
      <c r="B1061" s="18">
        <f>IF(AND($N1061="",$O1061=""),"",IF($N1061&lt;&gt;"",INDEX(PCNormDate,$N1061),INDEX(LdgDateB,$O1061)))</f>
        <v/>
      </c>
      <c r="C1061" s="18">
        <f>IF($N1061&lt;&gt;"",INDEX(PCOp,$N1061),IF($O1061&lt;&gt;"",IF(N(INDEX(TxnDepB,$O1061))&gt;0,"دریافت بانکی","پرداخت بانکی"),""))</f>
        <v/>
      </c>
      <c r="D1061" s="18">
        <f>IF($N1061&lt;&gt;"",IF(INDEX(PCDoc,$N1061)="","—",INDEX(PCDoc,$N1061)),IF($O1061&lt;&gt;"",INDEX(LdgBankB,$O1061),""))</f>
        <v/>
      </c>
      <c r="E1061" s="18">
        <f>IF($N1061&lt;&gt;"",IF(INDEX(PCCitrus,$N1061)="","—",INDEX(PCCitrus,$N1061)),"")</f>
        <v/>
      </c>
      <c r="F1061" s="19">
        <f>IF($N1061&lt;&gt;"",IF(INDEX(PCScale,$N1061)=0,"",INDEX(PCScale,$N1061)),"")</f>
        <v/>
      </c>
      <c r="G1061" s="19">
        <f>IF($N1061&lt;&gt;"",IF(INDEX(PCBaskets,$N1061)=0,"",INDEX(PCBaskets,$N1061)),"")</f>
        <v/>
      </c>
      <c r="H1061" s="20">
        <f>IF($N1061&lt;&gt;"",IF(INDEX(PCNet,$N1061)=0,"",INDEX(PCNet,$N1061)),"")</f>
        <v/>
      </c>
      <c r="I1061" s="19">
        <f>IF($N1061&lt;&gt;"",IF(INDEX(PCOp,$N1061)="مرجوعی خرید","",IF(INDEX(PCAmount,$N1061)&lt;=0,"",INDEX(PCAmount,$N1061))),IF($O1061&lt;&gt;"",IF(INDEX(TxnDepB,$O1061)=0,"",INDEX(TxnDepB,$O1061)),""))</f>
        <v/>
      </c>
      <c r="J1061" s="19">
        <f>IF($N1061&lt;&gt;"",IF(INDEX(PCOp,$N1061)="مرجوعی خرید",IF(INDEX(PCAmount,$N1061)=0,"",-INDEX(PCAmount,$N1061)),""),IF($O1061&lt;&gt;"",IF(INDEX(TxnWitB,$O1061)=0,"",INDEX(TxnWitB,$O1061)),""))</f>
        <v/>
      </c>
      <c r="K1061" s="21">
        <f>IF($B1061="","",IF($K1060="",$C$10,$K1060)+IF($I1061="",0,$I1061)-IF($J1061="",0,$J1061))</f>
        <v/>
      </c>
      <c r="L1061" s="22">
        <f>IF($N1061&lt;&gt;"",IF(INDEX(PCNotes,$N1061)="","—",INDEX(PCNotes,$N1061)),IF($O1061&lt;&gt;"",IF(INDEX(LdgNoteB,$O1061)="","—",INDEX(LdgNoteB,$O1061)),""))</f>
        <v/>
      </c>
      <c r="N1061">
        <f>IFERROR(MATCH($C$5&amp;"|"&amp;RIGHT("000000"&amp;1045,6),LdgRankKeyA,0),"")</f>
        <v/>
      </c>
      <c r="O1061">
        <f>IFERROR(MATCH($C$5&amp;"|"&amp;RIGHT("000000"&amp;1045,6),LdgRankKeyB,0),"")</f>
        <v/>
      </c>
    </row>
    <row r="1062">
      <c r="A1062" s="23" t="n">
        <v>1046</v>
      </c>
      <c r="B1062" s="24">
        <f>IF(AND($N1062="",$O1062=""),"",IF($N1062&lt;&gt;"",INDEX(PCNormDate,$N1062),INDEX(LdgDateB,$O1062)))</f>
        <v/>
      </c>
      <c r="C1062" s="24">
        <f>IF($N1062&lt;&gt;"",INDEX(PCOp,$N1062),IF($O1062&lt;&gt;"",IF(N(INDEX(TxnDepB,$O1062))&gt;0,"دریافت بانکی","پرداخت بانکی"),""))</f>
        <v/>
      </c>
      <c r="D1062" s="24">
        <f>IF($N1062&lt;&gt;"",IF(INDEX(PCDoc,$N1062)="","—",INDEX(PCDoc,$N1062)),IF($O1062&lt;&gt;"",INDEX(LdgBankB,$O1062),""))</f>
        <v/>
      </c>
      <c r="E1062" s="24">
        <f>IF($N1062&lt;&gt;"",IF(INDEX(PCCitrus,$N1062)="","—",INDEX(PCCitrus,$N1062)),"")</f>
        <v/>
      </c>
      <c r="F1062" s="25">
        <f>IF($N1062&lt;&gt;"",IF(INDEX(PCScale,$N1062)=0,"",INDEX(PCScale,$N1062)),"")</f>
        <v/>
      </c>
      <c r="G1062" s="25">
        <f>IF($N1062&lt;&gt;"",IF(INDEX(PCBaskets,$N1062)=0,"",INDEX(PCBaskets,$N1062)),"")</f>
        <v/>
      </c>
      <c r="H1062" s="26">
        <f>IF($N1062&lt;&gt;"",IF(INDEX(PCNet,$N1062)=0,"",INDEX(PCNet,$N1062)),"")</f>
        <v/>
      </c>
      <c r="I1062" s="25">
        <f>IF($N1062&lt;&gt;"",IF(INDEX(PCOp,$N1062)="مرجوعی خرید","",IF(INDEX(PCAmount,$N1062)&lt;=0,"",INDEX(PCAmount,$N1062))),IF($O1062&lt;&gt;"",IF(INDEX(TxnDepB,$O1062)=0,"",INDEX(TxnDepB,$O1062)),""))</f>
        <v/>
      </c>
      <c r="J1062" s="25">
        <f>IF($N1062&lt;&gt;"",IF(INDEX(PCOp,$N1062)="مرجوعی خرید",IF(INDEX(PCAmount,$N1062)=0,"",-INDEX(PCAmount,$N1062)),""),IF($O1062&lt;&gt;"",IF(INDEX(TxnWitB,$O1062)=0,"",INDEX(TxnWitB,$O1062)),""))</f>
        <v/>
      </c>
      <c r="K1062" s="27">
        <f>IF($B1062="","",IF($K1061="",$C$10,$K1061)+IF($I1062="",0,$I1062)-IF($J1062="",0,$J1062))</f>
        <v/>
      </c>
      <c r="L1062" s="28">
        <f>IF($N1062&lt;&gt;"",IF(INDEX(PCNotes,$N1062)="","—",INDEX(PCNotes,$N1062)),IF($O1062&lt;&gt;"",IF(INDEX(LdgNoteB,$O1062)="","—",INDEX(LdgNoteB,$O1062)),""))</f>
        <v/>
      </c>
      <c r="N1062">
        <f>IFERROR(MATCH($C$5&amp;"|"&amp;RIGHT("000000"&amp;1046,6),LdgRankKeyA,0),"")</f>
        <v/>
      </c>
      <c r="O1062">
        <f>IFERROR(MATCH($C$5&amp;"|"&amp;RIGHT("000000"&amp;1046,6),LdgRankKeyB,0),"")</f>
        <v/>
      </c>
    </row>
    <row r="1063">
      <c r="A1063" s="17" t="n">
        <v>1047</v>
      </c>
      <c r="B1063" s="18">
        <f>IF(AND($N1063="",$O1063=""),"",IF($N1063&lt;&gt;"",INDEX(PCNormDate,$N1063),INDEX(LdgDateB,$O1063)))</f>
        <v/>
      </c>
      <c r="C1063" s="18">
        <f>IF($N1063&lt;&gt;"",INDEX(PCOp,$N1063),IF($O1063&lt;&gt;"",IF(N(INDEX(TxnDepB,$O1063))&gt;0,"دریافت بانکی","پرداخت بانکی"),""))</f>
        <v/>
      </c>
      <c r="D1063" s="18">
        <f>IF($N1063&lt;&gt;"",IF(INDEX(PCDoc,$N1063)="","—",INDEX(PCDoc,$N1063)),IF($O1063&lt;&gt;"",INDEX(LdgBankB,$O1063),""))</f>
        <v/>
      </c>
      <c r="E1063" s="18">
        <f>IF($N1063&lt;&gt;"",IF(INDEX(PCCitrus,$N1063)="","—",INDEX(PCCitrus,$N1063)),"")</f>
        <v/>
      </c>
      <c r="F1063" s="19">
        <f>IF($N1063&lt;&gt;"",IF(INDEX(PCScale,$N1063)=0,"",INDEX(PCScale,$N1063)),"")</f>
        <v/>
      </c>
      <c r="G1063" s="19">
        <f>IF($N1063&lt;&gt;"",IF(INDEX(PCBaskets,$N1063)=0,"",INDEX(PCBaskets,$N1063)),"")</f>
        <v/>
      </c>
      <c r="H1063" s="20">
        <f>IF($N1063&lt;&gt;"",IF(INDEX(PCNet,$N1063)=0,"",INDEX(PCNet,$N1063)),"")</f>
        <v/>
      </c>
      <c r="I1063" s="19">
        <f>IF($N1063&lt;&gt;"",IF(INDEX(PCOp,$N1063)="مرجوعی خرید","",IF(INDEX(PCAmount,$N1063)&lt;=0,"",INDEX(PCAmount,$N1063))),IF($O1063&lt;&gt;"",IF(INDEX(TxnDepB,$O1063)=0,"",INDEX(TxnDepB,$O1063)),""))</f>
        <v/>
      </c>
      <c r="J1063" s="19">
        <f>IF($N1063&lt;&gt;"",IF(INDEX(PCOp,$N1063)="مرجوعی خرید",IF(INDEX(PCAmount,$N1063)=0,"",-INDEX(PCAmount,$N1063)),""),IF($O1063&lt;&gt;"",IF(INDEX(TxnWitB,$O1063)=0,"",INDEX(TxnWitB,$O1063)),""))</f>
        <v/>
      </c>
      <c r="K1063" s="21">
        <f>IF($B1063="","",IF($K1062="",$C$10,$K1062)+IF($I1063="",0,$I1063)-IF($J1063="",0,$J1063))</f>
        <v/>
      </c>
      <c r="L1063" s="22">
        <f>IF($N1063&lt;&gt;"",IF(INDEX(PCNotes,$N1063)="","—",INDEX(PCNotes,$N1063)),IF($O1063&lt;&gt;"",IF(INDEX(LdgNoteB,$O1063)="","—",INDEX(LdgNoteB,$O1063)),""))</f>
        <v/>
      </c>
      <c r="N1063">
        <f>IFERROR(MATCH($C$5&amp;"|"&amp;RIGHT("000000"&amp;1047,6),LdgRankKeyA,0),"")</f>
        <v/>
      </c>
      <c r="O1063">
        <f>IFERROR(MATCH($C$5&amp;"|"&amp;RIGHT("000000"&amp;1047,6),LdgRankKeyB,0),"")</f>
        <v/>
      </c>
    </row>
    <row r="1064">
      <c r="A1064" s="23" t="n">
        <v>1048</v>
      </c>
      <c r="B1064" s="24">
        <f>IF(AND($N1064="",$O1064=""),"",IF($N1064&lt;&gt;"",INDEX(PCNormDate,$N1064),INDEX(LdgDateB,$O1064)))</f>
        <v/>
      </c>
      <c r="C1064" s="24">
        <f>IF($N1064&lt;&gt;"",INDEX(PCOp,$N1064),IF($O1064&lt;&gt;"",IF(N(INDEX(TxnDepB,$O1064))&gt;0,"دریافت بانکی","پرداخت بانکی"),""))</f>
        <v/>
      </c>
      <c r="D1064" s="24">
        <f>IF($N1064&lt;&gt;"",IF(INDEX(PCDoc,$N1064)="","—",INDEX(PCDoc,$N1064)),IF($O1064&lt;&gt;"",INDEX(LdgBankB,$O1064),""))</f>
        <v/>
      </c>
      <c r="E1064" s="24">
        <f>IF($N1064&lt;&gt;"",IF(INDEX(PCCitrus,$N1064)="","—",INDEX(PCCitrus,$N1064)),"")</f>
        <v/>
      </c>
      <c r="F1064" s="25">
        <f>IF($N1064&lt;&gt;"",IF(INDEX(PCScale,$N1064)=0,"",INDEX(PCScale,$N1064)),"")</f>
        <v/>
      </c>
      <c r="G1064" s="25">
        <f>IF($N1064&lt;&gt;"",IF(INDEX(PCBaskets,$N1064)=0,"",INDEX(PCBaskets,$N1064)),"")</f>
        <v/>
      </c>
      <c r="H1064" s="26">
        <f>IF($N1064&lt;&gt;"",IF(INDEX(PCNet,$N1064)=0,"",INDEX(PCNet,$N1064)),"")</f>
        <v/>
      </c>
      <c r="I1064" s="25">
        <f>IF($N1064&lt;&gt;"",IF(INDEX(PCOp,$N1064)="مرجوعی خرید","",IF(INDEX(PCAmount,$N1064)&lt;=0,"",INDEX(PCAmount,$N1064))),IF($O1064&lt;&gt;"",IF(INDEX(TxnDepB,$O1064)=0,"",INDEX(TxnDepB,$O1064)),""))</f>
        <v/>
      </c>
      <c r="J1064" s="25">
        <f>IF($N1064&lt;&gt;"",IF(INDEX(PCOp,$N1064)="مرجوعی خرید",IF(INDEX(PCAmount,$N1064)=0,"",-INDEX(PCAmount,$N1064)),""),IF($O1064&lt;&gt;"",IF(INDEX(TxnWitB,$O1064)=0,"",INDEX(TxnWitB,$O1064)),""))</f>
        <v/>
      </c>
      <c r="K1064" s="27">
        <f>IF($B1064="","",IF($K1063="",$C$10,$K1063)+IF($I1064="",0,$I1064)-IF($J1064="",0,$J1064))</f>
        <v/>
      </c>
      <c r="L1064" s="28">
        <f>IF($N1064&lt;&gt;"",IF(INDEX(PCNotes,$N1064)="","—",INDEX(PCNotes,$N1064)),IF($O1064&lt;&gt;"",IF(INDEX(LdgNoteB,$O1064)="","—",INDEX(LdgNoteB,$O1064)),""))</f>
        <v/>
      </c>
      <c r="N1064">
        <f>IFERROR(MATCH($C$5&amp;"|"&amp;RIGHT("000000"&amp;1048,6),LdgRankKeyA,0),"")</f>
        <v/>
      </c>
      <c r="O1064">
        <f>IFERROR(MATCH($C$5&amp;"|"&amp;RIGHT("000000"&amp;1048,6),LdgRankKeyB,0),"")</f>
        <v/>
      </c>
    </row>
    <row r="1065">
      <c r="A1065" s="17" t="n">
        <v>1049</v>
      </c>
      <c r="B1065" s="18">
        <f>IF(AND($N1065="",$O1065=""),"",IF($N1065&lt;&gt;"",INDEX(PCNormDate,$N1065),INDEX(LdgDateB,$O1065)))</f>
        <v/>
      </c>
      <c r="C1065" s="18">
        <f>IF($N1065&lt;&gt;"",INDEX(PCOp,$N1065),IF($O1065&lt;&gt;"",IF(N(INDEX(TxnDepB,$O1065))&gt;0,"دریافت بانکی","پرداخت بانکی"),""))</f>
        <v/>
      </c>
      <c r="D1065" s="18">
        <f>IF($N1065&lt;&gt;"",IF(INDEX(PCDoc,$N1065)="","—",INDEX(PCDoc,$N1065)),IF($O1065&lt;&gt;"",INDEX(LdgBankB,$O1065),""))</f>
        <v/>
      </c>
      <c r="E1065" s="18">
        <f>IF($N1065&lt;&gt;"",IF(INDEX(PCCitrus,$N1065)="","—",INDEX(PCCitrus,$N1065)),"")</f>
        <v/>
      </c>
      <c r="F1065" s="19">
        <f>IF($N1065&lt;&gt;"",IF(INDEX(PCScale,$N1065)=0,"",INDEX(PCScale,$N1065)),"")</f>
        <v/>
      </c>
      <c r="G1065" s="19">
        <f>IF($N1065&lt;&gt;"",IF(INDEX(PCBaskets,$N1065)=0,"",INDEX(PCBaskets,$N1065)),"")</f>
        <v/>
      </c>
      <c r="H1065" s="20">
        <f>IF($N1065&lt;&gt;"",IF(INDEX(PCNet,$N1065)=0,"",INDEX(PCNet,$N1065)),"")</f>
        <v/>
      </c>
      <c r="I1065" s="19">
        <f>IF($N1065&lt;&gt;"",IF(INDEX(PCOp,$N1065)="مرجوعی خرید","",IF(INDEX(PCAmount,$N1065)&lt;=0,"",INDEX(PCAmount,$N1065))),IF($O1065&lt;&gt;"",IF(INDEX(TxnDepB,$O1065)=0,"",INDEX(TxnDepB,$O1065)),""))</f>
        <v/>
      </c>
      <c r="J1065" s="19">
        <f>IF($N1065&lt;&gt;"",IF(INDEX(PCOp,$N1065)="مرجوعی خرید",IF(INDEX(PCAmount,$N1065)=0,"",-INDEX(PCAmount,$N1065)),""),IF($O1065&lt;&gt;"",IF(INDEX(TxnWitB,$O1065)=0,"",INDEX(TxnWitB,$O1065)),""))</f>
        <v/>
      </c>
      <c r="K1065" s="21">
        <f>IF($B1065="","",IF($K1064="",$C$10,$K1064)+IF($I1065="",0,$I1065)-IF($J1065="",0,$J1065))</f>
        <v/>
      </c>
      <c r="L1065" s="22">
        <f>IF($N1065&lt;&gt;"",IF(INDEX(PCNotes,$N1065)="","—",INDEX(PCNotes,$N1065)),IF($O1065&lt;&gt;"",IF(INDEX(LdgNoteB,$O1065)="","—",INDEX(LdgNoteB,$O1065)),""))</f>
        <v/>
      </c>
      <c r="N1065">
        <f>IFERROR(MATCH($C$5&amp;"|"&amp;RIGHT("000000"&amp;1049,6),LdgRankKeyA,0),"")</f>
        <v/>
      </c>
      <c r="O1065">
        <f>IFERROR(MATCH($C$5&amp;"|"&amp;RIGHT("000000"&amp;1049,6),LdgRankKeyB,0),"")</f>
        <v/>
      </c>
    </row>
    <row r="1066">
      <c r="A1066" s="23" t="n">
        <v>1050</v>
      </c>
      <c r="B1066" s="24">
        <f>IF(AND($N1066="",$O1066=""),"",IF($N1066&lt;&gt;"",INDEX(PCNormDate,$N1066),INDEX(LdgDateB,$O1066)))</f>
        <v/>
      </c>
      <c r="C1066" s="24">
        <f>IF($N1066&lt;&gt;"",INDEX(PCOp,$N1066),IF($O1066&lt;&gt;"",IF(N(INDEX(TxnDepB,$O1066))&gt;0,"دریافت بانکی","پرداخت بانکی"),""))</f>
        <v/>
      </c>
      <c r="D1066" s="24">
        <f>IF($N1066&lt;&gt;"",IF(INDEX(PCDoc,$N1066)="","—",INDEX(PCDoc,$N1066)),IF($O1066&lt;&gt;"",INDEX(LdgBankB,$O1066),""))</f>
        <v/>
      </c>
      <c r="E1066" s="24">
        <f>IF($N1066&lt;&gt;"",IF(INDEX(PCCitrus,$N1066)="","—",INDEX(PCCitrus,$N1066)),"")</f>
        <v/>
      </c>
      <c r="F1066" s="25">
        <f>IF($N1066&lt;&gt;"",IF(INDEX(PCScale,$N1066)=0,"",INDEX(PCScale,$N1066)),"")</f>
        <v/>
      </c>
      <c r="G1066" s="25">
        <f>IF($N1066&lt;&gt;"",IF(INDEX(PCBaskets,$N1066)=0,"",INDEX(PCBaskets,$N1066)),"")</f>
        <v/>
      </c>
      <c r="H1066" s="26">
        <f>IF($N1066&lt;&gt;"",IF(INDEX(PCNet,$N1066)=0,"",INDEX(PCNet,$N1066)),"")</f>
        <v/>
      </c>
      <c r="I1066" s="25">
        <f>IF($N1066&lt;&gt;"",IF(INDEX(PCOp,$N1066)="مرجوعی خرید","",IF(INDEX(PCAmount,$N1066)&lt;=0,"",INDEX(PCAmount,$N1066))),IF($O1066&lt;&gt;"",IF(INDEX(TxnDepB,$O1066)=0,"",INDEX(TxnDepB,$O1066)),""))</f>
        <v/>
      </c>
      <c r="J1066" s="25">
        <f>IF($N1066&lt;&gt;"",IF(INDEX(PCOp,$N1066)="مرجوعی خرید",IF(INDEX(PCAmount,$N1066)=0,"",-INDEX(PCAmount,$N1066)),""),IF($O1066&lt;&gt;"",IF(INDEX(TxnWitB,$O1066)=0,"",INDEX(TxnWitB,$O1066)),""))</f>
        <v/>
      </c>
      <c r="K1066" s="27">
        <f>IF($B1066="","",IF($K1065="",$C$10,$K1065)+IF($I1066="",0,$I1066)-IF($J1066="",0,$J1066))</f>
        <v/>
      </c>
      <c r="L1066" s="28">
        <f>IF($N1066&lt;&gt;"",IF(INDEX(PCNotes,$N1066)="","—",INDEX(PCNotes,$N1066)),IF($O1066&lt;&gt;"",IF(INDEX(LdgNoteB,$O1066)="","—",INDEX(LdgNoteB,$O1066)),""))</f>
        <v/>
      </c>
      <c r="N1066">
        <f>IFERROR(MATCH($C$5&amp;"|"&amp;RIGHT("000000"&amp;1050,6),LdgRankKeyA,0),"")</f>
        <v/>
      </c>
      <c r="O1066">
        <f>IFERROR(MATCH($C$5&amp;"|"&amp;RIGHT("000000"&amp;1050,6),LdgRankKeyB,0),"")</f>
        <v/>
      </c>
    </row>
    <row r="1067">
      <c r="A1067" s="17" t="n">
        <v>1051</v>
      </c>
      <c r="B1067" s="18">
        <f>IF(AND($N1067="",$O1067=""),"",IF($N1067&lt;&gt;"",INDEX(PCNormDate,$N1067),INDEX(LdgDateB,$O1067)))</f>
        <v/>
      </c>
      <c r="C1067" s="18">
        <f>IF($N1067&lt;&gt;"",INDEX(PCOp,$N1067),IF($O1067&lt;&gt;"",IF(N(INDEX(TxnDepB,$O1067))&gt;0,"دریافت بانکی","پرداخت بانکی"),""))</f>
        <v/>
      </c>
      <c r="D1067" s="18">
        <f>IF($N1067&lt;&gt;"",IF(INDEX(PCDoc,$N1067)="","—",INDEX(PCDoc,$N1067)),IF($O1067&lt;&gt;"",INDEX(LdgBankB,$O1067),""))</f>
        <v/>
      </c>
      <c r="E1067" s="18">
        <f>IF($N1067&lt;&gt;"",IF(INDEX(PCCitrus,$N1067)="","—",INDEX(PCCitrus,$N1067)),"")</f>
        <v/>
      </c>
      <c r="F1067" s="19">
        <f>IF($N1067&lt;&gt;"",IF(INDEX(PCScale,$N1067)=0,"",INDEX(PCScale,$N1067)),"")</f>
        <v/>
      </c>
      <c r="G1067" s="19">
        <f>IF($N1067&lt;&gt;"",IF(INDEX(PCBaskets,$N1067)=0,"",INDEX(PCBaskets,$N1067)),"")</f>
        <v/>
      </c>
      <c r="H1067" s="20">
        <f>IF($N1067&lt;&gt;"",IF(INDEX(PCNet,$N1067)=0,"",INDEX(PCNet,$N1067)),"")</f>
        <v/>
      </c>
      <c r="I1067" s="19">
        <f>IF($N1067&lt;&gt;"",IF(INDEX(PCOp,$N1067)="مرجوعی خرید","",IF(INDEX(PCAmount,$N1067)&lt;=0,"",INDEX(PCAmount,$N1067))),IF($O1067&lt;&gt;"",IF(INDEX(TxnDepB,$O1067)=0,"",INDEX(TxnDepB,$O1067)),""))</f>
        <v/>
      </c>
      <c r="J1067" s="19">
        <f>IF($N1067&lt;&gt;"",IF(INDEX(PCOp,$N1067)="مرجوعی خرید",IF(INDEX(PCAmount,$N1067)=0,"",-INDEX(PCAmount,$N1067)),""),IF($O1067&lt;&gt;"",IF(INDEX(TxnWitB,$O1067)=0,"",INDEX(TxnWitB,$O1067)),""))</f>
        <v/>
      </c>
      <c r="K1067" s="21">
        <f>IF($B1067="","",IF($K1066="",$C$10,$K1066)+IF($I1067="",0,$I1067)-IF($J1067="",0,$J1067))</f>
        <v/>
      </c>
      <c r="L1067" s="22">
        <f>IF($N1067&lt;&gt;"",IF(INDEX(PCNotes,$N1067)="","—",INDEX(PCNotes,$N1067)),IF($O1067&lt;&gt;"",IF(INDEX(LdgNoteB,$O1067)="","—",INDEX(LdgNoteB,$O1067)),""))</f>
        <v/>
      </c>
      <c r="N1067">
        <f>IFERROR(MATCH($C$5&amp;"|"&amp;RIGHT("000000"&amp;1051,6),LdgRankKeyA,0),"")</f>
        <v/>
      </c>
      <c r="O1067">
        <f>IFERROR(MATCH($C$5&amp;"|"&amp;RIGHT("000000"&amp;1051,6),LdgRankKeyB,0),"")</f>
        <v/>
      </c>
    </row>
    <row r="1068">
      <c r="A1068" s="23" t="n">
        <v>1052</v>
      </c>
      <c r="B1068" s="24">
        <f>IF(AND($N1068="",$O1068=""),"",IF($N1068&lt;&gt;"",INDEX(PCNormDate,$N1068),INDEX(LdgDateB,$O1068)))</f>
        <v/>
      </c>
      <c r="C1068" s="24">
        <f>IF($N1068&lt;&gt;"",INDEX(PCOp,$N1068),IF($O1068&lt;&gt;"",IF(N(INDEX(TxnDepB,$O1068))&gt;0,"دریافت بانکی","پرداخت بانکی"),""))</f>
        <v/>
      </c>
      <c r="D1068" s="24">
        <f>IF($N1068&lt;&gt;"",IF(INDEX(PCDoc,$N1068)="","—",INDEX(PCDoc,$N1068)),IF($O1068&lt;&gt;"",INDEX(LdgBankB,$O1068),""))</f>
        <v/>
      </c>
      <c r="E1068" s="24">
        <f>IF($N1068&lt;&gt;"",IF(INDEX(PCCitrus,$N1068)="","—",INDEX(PCCitrus,$N1068)),"")</f>
        <v/>
      </c>
      <c r="F1068" s="25">
        <f>IF($N1068&lt;&gt;"",IF(INDEX(PCScale,$N1068)=0,"",INDEX(PCScale,$N1068)),"")</f>
        <v/>
      </c>
      <c r="G1068" s="25">
        <f>IF($N1068&lt;&gt;"",IF(INDEX(PCBaskets,$N1068)=0,"",INDEX(PCBaskets,$N1068)),"")</f>
        <v/>
      </c>
      <c r="H1068" s="26">
        <f>IF($N1068&lt;&gt;"",IF(INDEX(PCNet,$N1068)=0,"",INDEX(PCNet,$N1068)),"")</f>
        <v/>
      </c>
      <c r="I1068" s="25">
        <f>IF($N1068&lt;&gt;"",IF(INDEX(PCOp,$N1068)="مرجوعی خرید","",IF(INDEX(PCAmount,$N1068)&lt;=0,"",INDEX(PCAmount,$N1068))),IF($O1068&lt;&gt;"",IF(INDEX(TxnDepB,$O1068)=0,"",INDEX(TxnDepB,$O1068)),""))</f>
        <v/>
      </c>
      <c r="J1068" s="25">
        <f>IF($N1068&lt;&gt;"",IF(INDEX(PCOp,$N1068)="مرجوعی خرید",IF(INDEX(PCAmount,$N1068)=0,"",-INDEX(PCAmount,$N1068)),""),IF($O1068&lt;&gt;"",IF(INDEX(TxnWitB,$O1068)=0,"",INDEX(TxnWitB,$O1068)),""))</f>
        <v/>
      </c>
      <c r="K1068" s="27">
        <f>IF($B1068="","",IF($K1067="",$C$10,$K1067)+IF($I1068="",0,$I1068)-IF($J1068="",0,$J1068))</f>
        <v/>
      </c>
      <c r="L1068" s="28">
        <f>IF($N1068&lt;&gt;"",IF(INDEX(PCNotes,$N1068)="","—",INDEX(PCNotes,$N1068)),IF($O1068&lt;&gt;"",IF(INDEX(LdgNoteB,$O1068)="","—",INDEX(LdgNoteB,$O1068)),""))</f>
        <v/>
      </c>
      <c r="N1068">
        <f>IFERROR(MATCH($C$5&amp;"|"&amp;RIGHT("000000"&amp;1052,6),LdgRankKeyA,0),"")</f>
        <v/>
      </c>
      <c r="O1068">
        <f>IFERROR(MATCH($C$5&amp;"|"&amp;RIGHT("000000"&amp;1052,6),LdgRankKeyB,0),"")</f>
        <v/>
      </c>
    </row>
    <row r="1069">
      <c r="A1069" s="17" t="n">
        <v>1053</v>
      </c>
      <c r="B1069" s="18">
        <f>IF(AND($N1069="",$O1069=""),"",IF($N1069&lt;&gt;"",INDEX(PCNormDate,$N1069),INDEX(LdgDateB,$O1069)))</f>
        <v/>
      </c>
      <c r="C1069" s="18">
        <f>IF($N1069&lt;&gt;"",INDEX(PCOp,$N1069),IF($O1069&lt;&gt;"",IF(N(INDEX(TxnDepB,$O1069))&gt;0,"دریافت بانکی","پرداخت بانکی"),""))</f>
        <v/>
      </c>
      <c r="D1069" s="18">
        <f>IF($N1069&lt;&gt;"",IF(INDEX(PCDoc,$N1069)="","—",INDEX(PCDoc,$N1069)),IF($O1069&lt;&gt;"",INDEX(LdgBankB,$O1069),""))</f>
        <v/>
      </c>
      <c r="E1069" s="18">
        <f>IF($N1069&lt;&gt;"",IF(INDEX(PCCitrus,$N1069)="","—",INDEX(PCCitrus,$N1069)),"")</f>
        <v/>
      </c>
      <c r="F1069" s="19">
        <f>IF($N1069&lt;&gt;"",IF(INDEX(PCScale,$N1069)=0,"",INDEX(PCScale,$N1069)),"")</f>
        <v/>
      </c>
      <c r="G1069" s="19">
        <f>IF($N1069&lt;&gt;"",IF(INDEX(PCBaskets,$N1069)=0,"",INDEX(PCBaskets,$N1069)),"")</f>
        <v/>
      </c>
      <c r="H1069" s="20">
        <f>IF($N1069&lt;&gt;"",IF(INDEX(PCNet,$N1069)=0,"",INDEX(PCNet,$N1069)),"")</f>
        <v/>
      </c>
      <c r="I1069" s="19">
        <f>IF($N1069&lt;&gt;"",IF(INDEX(PCOp,$N1069)="مرجوعی خرید","",IF(INDEX(PCAmount,$N1069)&lt;=0,"",INDEX(PCAmount,$N1069))),IF($O1069&lt;&gt;"",IF(INDEX(TxnDepB,$O1069)=0,"",INDEX(TxnDepB,$O1069)),""))</f>
        <v/>
      </c>
      <c r="J1069" s="19">
        <f>IF($N1069&lt;&gt;"",IF(INDEX(PCOp,$N1069)="مرجوعی خرید",IF(INDEX(PCAmount,$N1069)=0,"",-INDEX(PCAmount,$N1069)),""),IF($O1069&lt;&gt;"",IF(INDEX(TxnWitB,$O1069)=0,"",INDEX(TxnWitB,$O1069)),""))</f>
        <v/>
      </c>
      <c r="K1069" s="21">
        <f>IF($B1069="","",IF($K1068="",$C$10,$K1068)+IF($I1069="",0,$I1069)-IF($J1069="",0,$J1069))</f>
        <v/>
      </c>
      <c r="L1069" s="22">
        <f>IF($N1069&lt;&gt;"",IF(INDEX(PCNotes,$N1069)="","—",INDEX(PCNotes,$N1069)),IF($O1069&lt;&gt;"",IF(INDEX(LdgNoteB,$O1069)="","—",INDEX(LdgNoteB,$O1069)),""))</f>
        <v/>
      </c>
      <c r="N1069">
        <f>IFERROR(MATCH($C$5&amp;"|"&amp;RIGHT("000000"&amp;1053,6),LdgRankKeyA,0),"")</f>
        <v/>
      </c>
      <c r="O1069">
        <f>IFERROR(MATCH($C$5&amp;"|"&amp;RIGHT("000000"&amp;1053,6),LdgRankKeyB,0),"")</f>
        <v/>
      </c>
    </row>
    <row r="1070">
      <c r="A1070" s="23" t="n">
        <v>1054</v>
      </c>
      <c r="B1070" s="24">
        <f>IF(AND($N1070="",$O1070=""),"",IF($N1070&lt;&gt;"",INDEX(PCNormDate,$N1070),INDEX(LdgDateB,$O1070)))</f>
        <v/>
      </c>
      <c r="C1070" s="24">
        <f>IF($N1070&lt;&gt;"",INDEX(PCOp,$N1070),IF($O1070&lt;&gt;"",IF(N(INDEX(TxnDepB,$O1070))&gt;0,"دریافت بانکی","پرداخت بانکی"),""))</f>
        <v/>
      </c>
      <c r="D1070" s="24">
        <f>IF($N1070&lt;&gt;"",IF(INDEX(PCDoc,$N1070)="","—",INDEX(PCDoc,$N1070)),IF($O1070&lt;&gt;"",INDEX(LdgBankB,$O1070),""))</f>
        <v/>
      </c>
      <c r="E1070" s="24">
        <f>IF($N1070&lt;&gt;"",IF(INDEX(PCCitrus,$N1070)="","—",INDEX(PCCitrus,$N1070)),"")</f>
        <v/>
      </c>
      <c r="F1070" s="25">
        <f>IF($N1070&lt;&gt;"",IF(INDEX(PCScale,$N1070)=0,"",INDEX(PCScale,$N1070)),"")</f>
        <v/>
      </c>
      <c r="G1070" s="25">
        <f>IF($N1070&lt;&gt;"",IF(INDEX(PCBaskets,$N1070)=0,"",INDEX(PCBaskets,$N1070)),"")</f>
        <v/>
      </c>
      <c r="H1070" s="26">
        <f>IF($N1070&lt;&gt;"",IF(INDEX(PCNet,$N1070)=0,"",INDEX(PCNet,$N1070)),"")</f>
        <v/>
      </c>
      <c r="I1070" s="25">
        <f>IF($N1070&lt;&gt;"",IF(INDEX(PCOp,$N1070)="مرجوعی خرید","",IF(INDEX(PCAmount,$N1070)&lt;=0,"",INDEX(PCAmount,$N1070))),IF($O1070&lt;&gt;"",IF(INDEX(TxnDepB,$O1070)=0,"",INDEX(TxnDepB,$O1070)),""))</f>
        <v/>
      </c>
      <c r="J1070" s="25">
        <f>IF($N1070&lt;&gt;"",IF(INDEX(PCOp,$N1070)="مرجوعی خرید",IF(INDEX(PCAmount,$N1070)=0,"",-INDEX(PCAmount,$N1070)),""),IF($O1070&lt;&gt;"",IF(INDEX(TxnWitB,$O1070)=0,"",INDEX(TxnWitB,$O1070)),""))</f>
        <v/>
      </c>
      <c r="K1070" s="27">
        <f>IF($B1070="","",IF($K1069="",$C$10,$K1069)+IF($I1070="",0,$I1070)-IF($J1070="",0,$J1070))</f>
        <v/>
      </c>
      <c r="L1070" s="28">
        <f>IF($N1070&lt;&gt;"",IF(INDEX(PCNotes,$N1070)="","—",INDEX(PCNotes,$N1070)),IF($O1070&lt;&gt;"",IF(INDEX(LdgNoteB,$O1070)="","—",INDEX(LdgNoteB,$O1070)),""))</f>
        <v/>
      </c>
      <c r="N1070">
        <f>IFERROR(MATCH($C$5&amp;"|"&amp;RIGHT("000000"&amp;1054,6),LdgRankKeyA,0),"")</f>
        <v/>
      </c>
      <c r="O1070">
        <f>IFERROR(MATCH($C$5&amp;"|"&amp;RIGHT("000000"&amp;1054,6),LdgRankKeyB,0),"")</f>
        <v/>
      </c>
    </row>
    <row r="1071">
      <c r="A1071" s="17" t="n">
        <v>1055</v>
      </c>
      <c r="B1071" s="18">
        <f>IF(AND($N1071="",$O1071=""),"",IF($N1071&lt;&gt;"",INDEX(PCNormDate,$N1071),INDEX(LdgDateB,$O1071)))</f>
        <v/>
      </c>
      <c r="C1071" s="18">
        <f>IF($N1071&lt;&gt;"",INDEX(PCOp,$N1071),IF($O1071&lt;&gt;"",IF(N(INDEX(TxnDepB,$O1071))&gt;0,"دریافت بانکی","پرداخت بانکی"),""))</f>
        <v/>
      </c>
      <c r="D1071" s="18">
        <f>IF($N1071&lt;&gt;"",IF(INDEX(PCDoc,$N1071)="","—",INDEX(PCDoc,$N1071)),IF($O1071&lt;&gt;"",INDEX(LdgBankB,$O1071),""))</f>
        <v/>
      </c>
      <c r="E1071" s="18">
        <f>IF($N1071&lt;&gt;"",IF(INDEX(PCCitrus,$N1071)="","—",INDEX(PCCitrus,$N1071)),"")</f>
        <v/>
      </c>
      <c r="F1071" s="19">
        <f>IF($N1071&lt;&gt;"",IF(INDEX(PCScale,$N1071)=0,"",INDEX(PCScale,$N1071)),"")</f>
        <v/>
      </c>
      <c r="G1071" s="19">
        <f>IF($N1071&lt;&gt;"",IF(INDEX(PCBaskets,$N1071)=0,"",INDEX(PCBaskets,$N1071)),"")</f>
        <v/>
      </c>
      <c r="H1071" s="20">
        <f>IF($N1071&lt;&gt;"",IF(INDEX(PCNet,$N1071)=0,"",INDEX(PCNet,$N1071)),"")</f>
        <v/>
      </c>
      <c r="I1071" s="19">
        <f>IF($N1071&lt;&gt;"",IF(INDEX(PCOp,$N1071)="مرجوعی خرید","",IF(INDEX(PCAmount,$N1071)&lt;=0,"",INDEX(PCAmount,$N1071))),IF($O1071&lt;&gt;"",IF(INDEX(TxnDepB,$O1071)=0,"",INDEX(TxnDepB,$O1071)),""))</f>
        <v/>
      </c>
      <c r="J1071" s="19">
        <f>IF($N1071&lt;&gt;"",IF(INDEX(PCOp,$N1071)="مرجوعی خرید",IF(INDEX(PCAmount,$N1071)=0,"",-INDEX(PCAmount,$N1071)),""),IF($O1071&lt;&gt;"",IF(INDEX(TxnWitB,$O1071)=0,"",INDEX(TxnWitB,$O1071)),""))</f>
        <v/>
      </c>
      <c r="K1071" s="21">
        <f>IF($B1071="","",IF($K1070="",$C$10,$K1070)+IF($I1071="",0,$I1071)-IF($J1071="",0,$J1071))</f>
        <v/>
      </c>
      <c r="L1071" s="22">
        <f>IF($N1071&lt;&gt;"",IF(INDEX(PCNotes,$N1071)="","—",INDEX(PCNotes,$N1071)),IF($O1071&lt;&gt;"",IF(INDEX(LdgNoteB,$O1071)="","—",INDEX(LdgNoteB,$O1071)),""))</f>
        <v/>
      </c>
      <c r="N1071">
        <f>IFERROR(MATCH($C$5&amp;"|"&amp;RIGHT("000000"&amp;1055,6),LdgRankKeyA,0),"")</f>
        <v/>
      </c>
      <c r="O1071">
        <f>IFERROR(MATCH($C$5&amp;"|"&amp;RIGHT("000000"&amp;1055,6),LdgRankKeyB,0),"")</f>
        <v/>
      </c>
    </row>
    <row r="1072">
      <c r="A1072" s="23" t="n">
        <v>1056</v>
      </c>
      <c r="B1072" s="24">
        <f>IF(AND($N1072="",$O1072=""),"",IF($N1072&lt;&gt;"",INDEX(PCNormDate,$N1072),INDEX(LdgDateB,$O1072)))</f>
        <v/>
      </c>
      <c r="C1072" s="24">
        <f>IF($N1072&lt;&gt;"",INDEX(PCOp,$N1072),IF($O1072&lt;&gt;"",IF(N(INDEX(TxnDepB,$O1072))&gt;0,"دریافت بانکی","پرداخت بانکی"),""))</f>
        <v/>
      </c>
      <c r="D1072" s="24">
        <f>IF($N1072&lt;&gt;"",IF(INDEX(PCDoc,$N1072)="","—",INDEX(PCDoc,$N1072)),IF($O1072&lt;&gt;"",INDEX(LdgBankB,$O1072),""))</f>
        <v/>
      </c>
      <c r="E1072" s="24">
        <f>IF($N1072&lt;&gt;"",IF(INDEX(PCCitrus,$N1072)="","—",INDEX(PCCitrus,$N1072)),"")</f>
        <v/>
      </c>
      <c r="F1072" s="25">
        <f>IF($N1072&lt;&gt;"",IF(INDEX(PCScale,$N1072)=0,"",INDEX(PCScale,$N1072)),"")</f>
        <v/>
      </c>
      <c r="G1072" s="25">
        <f>IF($N1072&lt;&gt;"",IF(INDEX(PCBaskets,$N1072)=0,"",INDEX(PCBaskets,$N1072)),"")</f>
        <v/>
      </c>
      <c r="H1072" s="26">
        <f>IF($N1072&lt;&gt;"",IF(INDEX(PCNet,$N1072)=0,"",INDEX(PCNet,$N1072)),"")</f>
        <v/>
      </c>
      <c r="I1072" s="25">
        <f>IF($N1072&lt;&gt;"",IF(INDEX(PCOp,$N1072)="مرجوعی خرید","",IF(INDEX(PCAmount,$N1072)&lt;=0,"",INDEX(PCAmount,$N1072))),IF($O1072&lt;&gt;"",IF(INDEX(TxnDepB,$O1072)=0,"",INDEX(TxnDepB,$O1072)),""))</f>
        <v/>
      </c>
      <c r="J1072" s="25">
        <f>IF($N1072&lt;&gt;"",IF(INDEX(PCOp,$N1072)="مرجوعی خرید",IF(INDEX(PCAmount,$N1072)=0,"",-INDEX(PCAmount,$N1072)),""),IF($O1072&lt;&gt;"",IF(INDEX(TxnWitB,$O1072)=0,"",INDEX(TxnWitB,$O1072)),""))</f>
        <v/>
      </c>
      <c r="K1072" s="27">
        <f>IF($B1072="","",IF($K1071="",$C$10,$K1071)+IF($I1072="",0,$I1072)-IF($J1072="",0,$J1072))</f>
        <v/>
      </c>
      <c r="L1072" s="28">
        <f>IF($N1072&lt;&gt;"",IF(INDEX(PCNotes,$N1072)="","—",INDEX(PCNotes,$N1072)),IF($O1072&lt;&gt;"",IF(INDEX(LdgNoteB,$O1072)="","—",INDEX(LdgNoteB,$O1072)),""))</f>
        <v/>
      </c>
      <c r="N1072">
        <f>IFERROR(MATCH($C$5&amp;"|"&amp;RIGHT("000000"&amp;1056,6),LdgRankKeyA,0),"")</f>
        <v/>
      </c>
      <c r="O1072">
        <f>IFERROR(MATCH($C$5&amp;"|"&amp;RIGHT("000000"&amp;1056,6),LdgRankKeyB,0),"")</f>
        <v/>
      </c>
    </row>
    <row r="1073">
      <c r="A1073" s="17" t="n">
        <v>1057</v>
      </c>
      <c r="B1073" s="18">
        <f>IF(AND($N1073="",$O1073=""),"",IF($N1073&lt;&gt;"",INDEX(PCNormDate,$N1073),INDEX(LdgDateB,$O1073)))</f>
        <v/>
      </c>
      <c r="C1073" s="18">
        <f>IF($N1073&lt;&gt;"",INDEX(PCOp,$N1073),IF($O1073&lt;&gt;"",IF(N(INDEX(TxnDepB,$O1073))&gt;0,"دریافت بانکی","پرداخت بانکی"),""))</f>
        <v/>
      </c>
      <c r="D1073" s="18">
        <f>IF($N1073&lt;&gt;"",IF(INDEX(PCDoc,$N1073)="","—",INDEX(PCDoc,$N1073)),IF($O1073&lt;&gt;"",INDEX(LdgBankB,$O1073),""))</f>
        <v/>
      </c>
      <c r="E1073" s="18">
        <f>IF($N1073&lt;&gt;"",IF(INDEX(PCCitrus,$N1073)="","—",INDEX(PCCitrus,$N1073)),"")</f>
        <v/>
      </c>
      <c r="F1073" s="19">
        <f>IF($N1073&lt;&gt;"",IF(INDEX(PCScale,$N1073)=0,"",INDEX(PCScale,$N1073)),"")</f>
        <v/>
      </c>
      <c r="G1073" s="19">
        <f>IF($N1073&lt;&gt;"",IF(INDEX(PCBaskets,$N1073)=0,"",INDEX(PCBaskets,$N1073)),"")</f>
        <v/>
      </c>
      <c r="H1073" s="20">
        <f>IF($N1073&lt;&gt;"",IF(INDEX(PCNet,$N1073)=0,"",INDEX(PCNet,$N1073)),"")</f>
        <v/>
      </c>
      <c r="I1073" s="19">
        <f>IF($N1073&lt;&gt;"",IF(INDEX(PCOp,$N1073)="مرجوعی خرید","",IF(INDEX(PCAmount,$N1073)&lt;=0,"",INDEX(PCAmount,$N1073))),IF($O1073&lt;&gt;"",IF(INDEX(TxnDepB,$O1073)=0,"",INDEX(TxnDepB,$O1073)),""))</f>
        <v/>
      </c>
      <c r="J1073" s="19">
        <f>IF($N1073&lt;&gt;"",IF(INDEX(PCOp,$N1073)="مرجوعی خرید",IF(INDEX(PCAmount,$N1073)=0,"",-INDEX(PCAmount,$N1073)),""),IF($O1073&lt;&gt;"",IF(INDEX(TxnWitB,$O1073)=0,"",INDEX(TxnWitB,$O1073)),""))</f>
        <v/>
      </c>
      <c r="K1073" s="21">
        <f>IF($B1073="","",IF($K1072="",$C$10,$K1072)+IF($I1073="",0,$I1073)-IF($J1073="",0,$J1073))</f>
        <v/>
      </c>
      <c r="L1073" s="22">
        <f>IF($N1073&lt;&gt;"",IF(INDEX(PCNotes,$N1073)="","—",INDEX(PCNotes,$N1073)),IF($O1073&lt;&gt;"",IF(INDEX(LdgNoteB,$O1073)="","—",INDEX(LdgNoteB,$O1073)),""))</f>
        <v/>
      </c>
      <c r="N1073">
        <f>IFERROR(MATCH($C$5&amp;"|"&amp;RIGHT("000000"&amp;1057,6),LdgRankKeyA,0),"")</f>
        <v/>
      </c>
      <c r="O1073">
        <f>IFERROR(MATCH($C$5&amp;"|"&amp;RIGHT("000000"&amp;1057,6),LdgRankKeyB,0),"")</f>
        <v/>
      </c>
    </row>
    <row r="1074">
      <c r="A1074" s="23" t="n">
        <v>1058</v>
      </c>
      <c r="B1074" s="24">
        <f>IF(AND($N1074="",$O1074=""),"",IF($N1074&lt;&gt;"",INDEX(PCNormDate,$N1074),INDEX(LdgDateB,$O1074)))</f>
        <v/>
      </c>
      <c r="C1074" s="24">
        <f>IF($N1074&lt;&gt;"",INDEX(PCOp,$N1074),IF($O1074&lt;&gt;"",IF(N(INDEX(TxnDepB,$O1074))&gt;0,"دریافت بانکی","پرداخت بانکی"),""))</f>
        <v/>
      </c>
      <c r="D1074" s="24">
        <f>IF($N1074&lt;&gt;"",IF(INDEX(PCDoc,$N1074)="","—",INDEX(PCDoc,$N1074)),IF($O1074&lt;&gt;"",INDEX(LdgBankB,$O1074),""))</f>
        <v/>
      </c>
      <c r="E1074" s="24">
        <f>IF($N1074&lt;&gt;"",IF(INDEX(PCCitrus,$N1074)="","—",INDEX(PCCitrus,$N1074)),"")</f>
        <v/>
      </c>
      <c r="F1074" s="25">
        <f>IF($N1074&lt;&gt;"",IF(INDEX(PCScale,$N1074)=0,"",INDEX(PCScale,$N1074)),"")</f>
        <v/>
      </c>
      <c r="G1074" s="25">
        <f>IF($N1074&lt;&gt;"",IF(INDEX(PCBaskets,$N1074)=0,"",INDEX(PCBaskets,$N1074)),"")</f>
        <v/>
      </c>
      <c r="H1074" s="26">
        <f>IF($N1074&lt;&gt;"",IF(INDEX(PCNet,$N1074)=0,"",INDEX(PCNet,$N1074)),"")</f>
        <v/>
      </c>
      <c r="I1074" s="25">
        <f>IF($N1074&lt;&gt;"",IF(INDEX(PCOp,$N1074)="مرجوعی خرید","",IF(INDEX(PCAmount,$N1074)&lt;=0,"",INDEX(PCAmount,$N1074))),IF($O1074&lt;&gt;"",IF(INDEX(TxnDepB,$O1074)=0,"",INDEX(TxnDepB,$O1074)),""))</f>
        <v/>
      </c>
      <c r="J1074" s="25">
        <f>IF($N1074&lt;&gt;"",IF(INDEX(PCOp,$N1074)="مرجوعی خرید",IF(INDEX(PCAmount,$N1074)=0,"",-INDEX(PCAmount,$N1074)),""),IF($O1074&lt;&gt;"",IF(INDEX(TxnWitB,$O1074)=0,"",INDEX(TxnWitB,$O1074)),""))</f>
        <v/>
      </c>
      <c r="K1074" s="27">
        <f>IF($B1074="","",IF($K1073="",$C$10,$K1073)+IF($I1074="",0,$I1074)-IF($J1074="",0,$J1074))</f>
        <v/>
      </c>
      <c r="L1074" s="28">
        <f>IF($N1074&lt;&gt;"",IF(INDEX(PCNotes,$N1074)="","—",INDEX(PCNotes,$N1074)),IF($O1074&lt;&gt;"",IF(INDEX(LdgNoteB,$O1074)="","—",INDEX(LdgNoteB,$O1074)),""))</f>
        <v/>
      </c>
      <c r="N1074">
        <f>IFERROR(MATCH($C$5&amp;"|"&amp;RIGHT("000000"&amp;1058,6),LdgRankKeyA,0),"")</f>
        <v/>
      </c>
      <c r="O1074">
        <f>IFERROR(MATCH($C$5&amp;"|"&amp;RIGHT("000000"&amp;1058,6),LdgRankKeyB,0),"")</f>
        <v/>
      </c>
    </row>
    <row r="1075">
      <c r="A1075" s="17" t="n">
        <v>1059</v>
      </c>
      <c r="B1075" s="18">
        <f>IF(AND($N1075="",$O1075=""),"",IF($N1075&lt;&gt;"",INDEX(PCNormDate,$N1075),INDEX(LdgDateB,$O1075)))</f>
        <v/>
      </c>
      <c r="C1075" s="18">
        <f>IF($N1075&lt;&gt;"",INDEX(PCOp,$N1075),IF($O1075&lt;&gt;"",IF(N(INDEX(TxnDepB,$O1075))&gt;0,"دریافت بانکی","پرداخت بانکی"),""))</f>
        <v/>
      </c>
      <c r="D1075" s="18">
        <f>IF($N1075&lt;&gt;"",IF(INDEX(PCDoc,$N1075)="","—",INDEX(PCDoc,$N1075)),IF($O1075&lt;&gt;"",INDEX(LdgBankB,$O1075),""))</f>
        <v/>
      </c>
      <c r="E1075" s="18">
        <f>IF($N1075&lt;&gt;"",IF(INDEX(PCCitrus,$N1075)="","—",INDEX(PCCitrus,$N1075)),"")</f>
        <v/>
      </c>
      <c r="F1075" s="19">
        <f>IF($N1075&lt;&gt;"",IF(INDEX(PCScale,$N1075)=0,"",INDEX(PCScale,$N1075)),"")</f>
        <v/>
      </c>
      <c r="G1075" s="19">
        <f>IF($N1075&lt;&gt;"",IF(INDEX(PCBaskets,$N1075)=0,"",INDEX(PCBaskets,$N1075)),"")</f>
        <v/>
      </c>
      <c r="H1075" s="20">
        <f>IF($N1075&lt;&gt;"",IF(INDEX(PCNet,$N1075)=0,"",INDEX(PCNet,$N1075)),"")</f>
        <v/>
      </c>
      <c r="I1075" s="19">
        <f>IF($N1075&lt;&gt;"",IF(INDEX(PCOp,$N1075)="مرجوعی خرید","",IF(INDEX(PCAmount,$N1075)&lt;=0,"",INDEX(PCAmount,$N1075))),IF($O1075&lt;&gt;"",IF(INDEX(TxnDepB,$O1075)=0,"",INDEX(TxnDepB,$O1075)),""))</f>
        <v/>
      </c>
      <c r="J1075" s="19">
        <f>IF($N1075&lt;&gt;"",IF(INDEX(PCOp,$N1075)="مرجوعی خرید",IF(INDEX(PCAmount,$N1075)=0,"",-INDEX(PCAmount,$N1075)),""),IF($O1075&lt;&gt;"",IF(INDEX(TxnWitB,$O1075)=0,"",INDEX(TxnWitB,$O1075)),""))</f>
        <v/>
      </c>
      <c r="K1075" s="21">
        <f>IF($B1075="","",IF($K1074="",$C$10,$K1074)+IF($I1075="",0,$I1075)-IF($J1075="",0,$J1075))</f>
        <v/>
      </c>
      <c r="L1075" s="22">
        <f>IF($N1075&lt;&gt;"",IF(INDEX(PCNotes,$N1075)="","—",INDEX(PCNotes,$N1075)),IF($O1075&lt;&gt;"",IF(INDEX(LdgNoteB,$O1075)="","—",INDEX(LdgNoteB,$O1075)),""))</f>
        <v/>
      </c>
      <c r="N1075">
        <f>IFERROR(MATCH($C$5&amp;"|"&amp;RIGHT("000000"&amp;1059,6),LdgRankKeyA,0),"")</f>
        <v/>
      </c>
      <c r="O1075">
        <f>IFERROR(MATCH($C$5&amp;"|"&amp;RIGHT("000000"&amp;1059,6),LdgRankKeyB,0),"")</f>
        <v/>
      </c>
    </row>
    <row r="1076">
      <c r="A1076" s="23" t="n">
        <v>1060</v>
      </c>
      <c r="B1076" s="24">
        <f>IF(AND($N1076="",$O1076=""),"",IF($N1076&lt;&gt;"",INDEX(PCNormDate,$N1076),INDEX(LdgDateB,$O1076)))</f>
        <v/>
      </c>
      <c r="C1076" s="24">
        <f>IF($N1076&lt;&gt;"",INDEX(PCOp,$N1076),IF($O1076&lt;&gt;"",IF(N(INDEX(TxnDepB,$O1076))&gt;0,"دریافت بانکی","پرداخت بانکی"),""))</f>
        <v/>
      </c>
      <c r="D1076" s="24">
        <f>IF($N1076&lt;&gt;"",IF(INDEX(PCDoc,$N1076)="","—",INDEX(PCDoc,$N1076)),IF($O1076&lt;&gt;"",INDEX(LdgBankB,$O1076),""))</f>
        <v/>
      </c>
      <c r="E1076" s="24">
        <f>IF($N1076&lt;&gt;"",IF(INDEX(PCCitrus,$N1076)="","—",INDEX(PCCitrus,$N1076)),"")</f>
        <v/>
      </c>
      <c r="F1076" s="25">
        <f>IF($N1076&lt;&gt;"",IF(INDEX(PCScale,$N1076)=0,"",INDEX(PCScale,$N1076)),"")</f>
        <v/>
      </c>
      <c r="G1076" s="25">
        <f>IF($N1076&lt;&gt;"",IF(INDEX(PCBaskets,$N1076)=0,"",INDEX(PCBaskets,$N1076)),"")</f>
        <v/>
      </c>
      <c r="H1076" s="26">
        <f>IF($N1076&lt;&gt;"",IF(INDEX(PCNet,$N1076)=0,"",INDEX(PCNet,$N1076)),"")</f>
        <v/>
      </c>
      <c r="I1076" s="25">
        <f>IF($N1076&lt;&gt;"",IF(INDEX(PCOp,$N1076)="مرجوعی خرید","",IF(INDEX(PCAmount,$N1076)&lt;=0,"",INDEX(PCAmount,$N1076))),IF($O1076&lt;&gt;"",IF(INDEX(TxnDepB,$O1076)=0,"",INDEX(TxnDepB,$O1076)),""))</f>
        <v/>
      </c>
      <c r="J1076" s="25">
        <f>IF($N1076&lt;&gt;"",IF(INDEX(PCOp,$N1076)="مرجوعی خرید",IF(INDEX(PCAmount,$N1076)=0,"",-INDEX(PCAmount,$N1076)),""),IF($O1076&lt;&gt;"",IF(INDEX(TxnWitB,$O1076)=0,"",INDEX(TxnWitB,$O1076)),""))</f>
        <v/>
      </c>
      <c r="K1076" s="27">
        <f>IF($B1076="","",IF($K1075="",$C$10,$K1075)+IF($I1076="",0,$I1076)-IF($J1076="",0,$J1076))</f>
        <v/>
      </c>
      <c r="L1076" s="28">
        <f>IF($N1076&lt;&gt;"",IF(INDEX(PCNotes,$N1076)="","—",INDEX(PCNotes,$N1076)),IF($O1076&lt;&gt;"",IF(INDEX(LdgNoteB,$O1076)="","—",INDEX(LdgNoteB,$O1076)),""))</f>
        <v/>
      </c>
      <c r="N1076">
        <f>IFERROR(MATCH($C$5&amp;"|"&amp;RIGHT("000000"&amp;1060,6),LdgRankKeyA,0),"")</f>
        <v/>
      </c>
      <c r="O1076">
        <f>IFERROR(MATCH($C$5&amp;"|"&amp;RIGHT("000000"&amp;1060,6),LdgRankKeyB,0),"")</f>
        <v/>
      </c>
    </row>
    <row r="1077">
      <c r="A1077" s="17" t="n">
        <v>1061</v>
      </c>
      <c r="B1077" s="18">
        <f>IF(AND($N1077="",$O1077=""),"",IF($N1077&lt;&gt;"",INDEX(PCNormDate,$N1077),INDEX(LdgDateB,$O1077)))</f>
        <v/>
      </c>
      <c r="C1077" s="18">
        <f>IF($N1077&lt;&gt;"",INDEX(PCOp,$N1077),IF($O1077&lt;&gt;"",IF(N(INDEX(TxnDepB,$O1077))&gt;0,"دریافت بانکی","پرداخت بانکی"),""))</f>
        <v/>
      </c>
      <c r="D1077" s="18">
        <f>IF($N1077&lt;&gt;"",IF(INDEX(PCDoc,$N1077)="","—",INDEX(PCDoc,$N1077)),IF($O1077&lt;&gt;"",INDEX(LdgBankB,$O1077),""))</f>
        <v/>
      </c>
      <c r="E1077" s="18">
        <f>IF($N1077&lt;&gt;"",IF(INDEX(PCCitrus,$N1077)="","—",INDEX(PCCitrus,$N1077)),"")</f>
        <v/>
      </c>
      <c r="F1077" s="19">
        <f>IF($N1077&lt;&gt;"",IF(INDEX(PCScale,$N1077)=0,"",INDEX(PCScale,$N1077)),"")</f>
        <v/>
      </c>
      <c r="G1077" s="19">
        <f>IF($N1077&lt;&gt;"",IF(INDEX(PCBaskets,$N1077)=0,"",INDEX(PCBaskets,$N1077)),"")</f>
        <v/>
      </c>
      <c r="H1077" s="20">
        <f>IF($N1077&lt;&gt;"",IF(INDEX(PCNet,$N1077)=0,"",INDEX(PCNet,$N1077)),"")</f>
        <v/>
      </c>
      <c r="I1077" s="19">
        <f>IF($N1077&lt;&gt;"",IF(INDEX(PCOp,$N1077)="مرجوعی خرید","",IF(INDEX(PCAmount,$N1077)&lt;=0,"",INDEX(PCAmount,$N1077))),IF($O1077&lt;&gt;"",IF(INDEX(TxnDepB,$O1077)=0,"",INDEX(TxnDepB,$O1077)),""))</f>
        <v/>
      </c>
      <c r="J1077" s="19">
        <f>IF($N1077&lt;&gt;"",IF(INDEX(PCOp,$N1077)="مرجوعی خرید",IF(INDEX(PCAmount,$N1077)=0,"",-INDEX(PCAmount,$N1077)),""),IF($O1077&lt;&gt;"",IF(INDEX(TxnWitB,$O1077)=0,"",INDEX(TxnWitB,$O1077)),""))</f>
        <v/>
      </c>
      <c r="K1077" s="21">
        <f>IF($B1077="","",IF($K1076="",$C$10,$K1076)+IF($I1077="",0,$I1077)-IF($J1077="",0,$J1077))</f>
        <v/>
      </c>
      <c r="L1077" s="22">
        <f>IF($N1077&lt;&gt;"",IF(INDEX(PCNotes,$N1077)="","—",INDEX(PCNotes,$N1077)),IF($O1077&lt;&gt;"",IF(INDEX(LdgNoteB,$O1077)="","—",INDEX(LdgNoteB,$O1077)),""))</f>
        <v/>
      </c>
      <c r="N1077">
        <f>IFERROR(MATCH($C$5&amp;"|"&amp;RIGHT("000000"&amp;1061,6),LdgRankKeyA,0),"")</f>
        <v/>
      </c>
      <c r="O1077">
        <f>IFERROR(MATCH($C$5&amp;"|"&amp;RIGHT("000000"&amp;1061,6),LdgRankKeyB,0),"")</f>
        <v/>
      </c>
    </row>
    <row r="1078">
      <c r="A1078" s="23" t="n">
        <v>1062</v>
      </c>
      <c r="B1078" s="24">
        <f>IF(AND($N1078="",$O1078=""),"",IF($N1078&lt;&gt;"",INDEX(PCNormDate,$N1078),INDEX(LdgDateB,$O1078)))</f>
        <v/>
      </c>
      <c r="C1078" s="24">
        <f>IF($N1078&lt;&gt;"",INDEX(PCOp,$N1078),IF($O1078&lt;&gt;"",IF(N(INDEX(TxnDepB,$O1078))&gt;0,"دریافت بانکی","پرداخت بانکی"),""))</f>
        <v/>
      </c>
      <c r="D1078" s="24">
        <f>IF($N1078&lt;&gt;"",IF(INDEX(PCDoc,$N1078)="","—",INDEX(PCDoc,$N1078)),IF($O1078&lt;&gt;"",INDEX(LdgBankB,$O1078),""))</f>
        <v/>
      </c>
      <c r="E1078" s="24">
        <f>IF($N1078&lt;&gt;"",IF(INDEX(PCCitrus,$N1078)="","—",INDEX(PCCitrus,$N1078)),"")</f>
        <v/>
      </c>
      <c r="F1078" s="25">
        <f>IF($N1078&lt;&gt;"",IF(INDEX(PCScale,$N1078)=0,"",INDEX(PCScale,$N1078)),"")</f>
        <v/>
      </c>
      <c r="G1078" s="25">
        <f>IF($N1078&lt;&gt;"",IF(INDEX(PCBaskets,$N1078)=0,"",INDEX(PCBaskets,$N1078)),"")</f>
        <v/>
      </c>
      <c r="H1078" s="26">
        <f>IF($N1078&lt;&gt;"",IF(INDEX(PCNet,$N1078)=0,"",INDEX(PCNet,$N1078)),"")</f>
        <v/>
      </c>
      <c r="I1078" s="25">
        <f>IF($N1078&lt;&gt;"",IF(INDEX(PCOp,$N1078)="مرجوعی خرید","",IF(INDEX(PCAmount,$N1078)&lt;=0,"",INDEX(PCAmount,$N1078))),IF($O1078&lt;&gt;"",IF(INDEX(TxnDepB,$O1078)=0,"",INDEX(TxnDepB,$O1078)),""))</f>
        <v/>
      </c>
      <c r="J1078" s="25">
        <f>IF($N1078&lt;&gt;"",IF(INDEX(PCOp,$N1078)="مرجوعی خرید",IF(INDEX(PCAmount,$N1078)=0,"",-INDEX(PCAmount,$N1078)),""),IF($O1078&lt;&gt;"",IF(INDEX(TxnWitB,$O1078)=0,"",INDEX(TxnWitB,$O1078)),""))</f>
        <v/>
      </c>
      <c r="K1078" s="27">
        <f>IF($B1078="","",IF($K1077="",$C$10,$K1077)+IF($I1078="",0,$I1078)-IF($J1078="",0,$J1078))</f>
        <v/>
      </c>
      <c r="L1078" s="28">
        <f>IF($N1078&lt;&gt;"",IF(INDEX(PCNotes,$N1078)="","—",INDEX(PCNotes,$N1078)),IF($O1078&lt;&gt;"",IF(INDEX(LdgNoteB,$O1078)="","—",INDEX(LdgNoteB,$O1078)),""))</f>
        <v/>
      </c>
      <c r="N1078">
        <f>IFERROR(MATCH($C$5&amp;"|"&amp;RIGHT("000000"&amp;1062,6),LdgRankKeyA,0),"")</f>
        <v/>
      </c>
      <c r="O1078">
        <f>IFERROR(MATCH($C$5&amp;"|"&amp;RIGHT("000000"&amp;1062,6),LdgRankKeyB,0),"")</f>
        <v/>
      </c>
    </row>
    <row r="1079">
      <c r="A1079" s="17" t="n">
        <v>1063</v>
      </c>
      <c r="B1079" s="18">
        <f>IF(AND($N1079="",$O1079=""),"",IF($N1079&lt;&gt;"",INDEX(PCNormDate,$N1079),INDEX(LdgDateB,$O1079)))</f>
        <v/>
      </c>
      <c r="C1079" s="18">
        <f>IF($N1079&lt;&gt;"",INDEX(PCOp,$N1079),IF($O1079&lt;&gt;"",IF(N(INDEX(TxnDepB,$O1079))&gt;0,"دریافت بانکی","پرداخت بانکی"),""))</f>
        <v/>
      </c>
      <c r="D1079" s="18">
        <f>IF($N1079&lt;&gt;"",IF(INDEX(PCDoc,$N1079)="","—",INDEX(PCDoc,$N1079)),IF($O1079&lt;&gt;"",INDEX(LdgBankB,$O1079),""))</f>
        <v/>
      </c>
      <c r="E1079" s="18">
        <f>IF($N1079&lt;&gt;"",IF(INDEX(PCCitrus,$N1079)="","—",INDEX(PCCitrus,$N1079)),"")</f>
        <v/>
      </c>
      <c r="F1079" s="19">
        <f>IF($N1079&lt;&gt;"",IF(INDEX(PCScale,$N1079)=0,"",INDEX(PCScale,$N1079)),"")</f>
        <v/>
      </c>
      <c r="G1079" s="19">
        <f>IF($N1079&lt;&gt;"",IF(INDEX(PCBaskets,$N1079)=0,"",INDEX(PCBaskets,$N1079)),"")</f>
        <v/>
      </c>
      <c r="H1079" s="20">
        <f>IF($N1079&lt;&gt;"",IF(INDEX(PCNet,$N1079)=0,"",INDEX(PCNet,$N1079)),"")</f>
        <v/>
      </c>
      <c r="I1079" s="19">
        <f>IF($N1079&lt;&gt;"",IF(INDEX(PCOp,$N1079)="مرجوعی خرید","",IF(INDEX(PCAmount,$N1079)&lt;=0,"",INDEX(PCAmount,$N1079))),IF($O1079&lt;&gt;"",IF(INDEX(TxnDepB,$O1079)=0,"",INDEX(TxnDepB,$O1079)),""))</f>
        <v/>
      </c>
      <c r="J1079" s="19">
        <f>IF($N1079&lt;&gt;"",IF(INDEX(PCOp,$N1079)="مرجوعی خرید",IF(INDEX(PCAmount,$N1079)=0,"",-INDEX(PCAmount,$N1079)),""),IF($O1079&lt;&gt;"",IF(INDEX(TxnWitB,$O1079)=0,"",INDEX(TxnWitB,$O1079)),""))</f>
        <v/>
      </c>
      <c r="K1079" s="21">
        <f>IF($B1079="","",IF($K1078="",$C$10,$K1078)+IF($I1079="",0,$I1079)-IF($J1079="",0,$J1079))</f>
        <v/>
      </c>
      <c r="L1079" s="22">
        <f>IF($N1079&lt;&gt;"",IF(INDEX(PCNotes,$N1079)="","—",INDEX(PCNotes,$N1079)),IF($O1079&lt;&gt;"",IF(INDEX(LdgNoteB,$O1079)="","—",INDEX(LdgNoteB,$O1079)),""))</f>
        <v/>
      </c>
      <c r="N1079">
        <f>IFERROR(MATCH($C$5&amp;"|"&amp;RIGHT("000000"&amp;1063,6),LdgRankKeyA,0),"")</f>
        <v/>
      </c>
      <c r="O1079">
        <f>IFERROR(MATCH($C$5&amp;"|"&amp;RIGHT("000000"&amp;1063,6),LdgRankKeyB,0),"")</f>
        <v/>
      </c>
    </row>
    <row r="1080">
      <c r="A1080" s="23" t="n">
        <v>1064</v>
      </c>
      <c r="B1080" s="24">
        <f>IF(AND($N1080="",$O1080=""),"",IF($N1080&lt;&gt;"",INDEX(PCNormDate,$N1080),INDEX(LdgDateB,$O1080)))</f>
        <v/>
      </c>
      <c r="C1080" s="24">
        <f>IF($N1080&lt;&gt;"",INDEX(PCOp,$N1080),IF($O1080&lt;&gt;"",IF(N(INDEX(TxnDepB,$O1080))&gt;0,"دریافت بانکی","پرداخت بانکی"),""))</f>
        <v/>
      </c>
      <c r="D1080" s="24">
        <f>IF($N1080&lt;&gt;"",IF(INDEX(PCDoc,$N1080)="","—",INDEX(PCDoc,$N1080)),IF($O1080&lt;&gt;"",INDEX(LdgBankB,$O1080),""))</f>
        <v/>
      </c>
      <c r="E1080" s="24">
        <f>IF($N1080&lt;&gt;"",IF(INDEX(PCCitrus,$N1080)="","—",INDEX(PCCitrus,$N1080)),"")</f>
        <v/>
      </c>
      <c r="F1080" s="25">
        <f>IF($N1080&lt;&gt;"",IF(INDEX(PCScale,$N1080)=0,"",INDEX(PCScale,$N1080)),"")</f>
        <v/>
      </c>
      <c r="G1080" s="25">
        <f>IF($N1080&lt;&gt;"",IF(INDEX(PCBaskets,$N1080)=0,"",INDEX(PCBaskets,$N1080)),"")</f>
        <v/>
      </c>
      <c r="H1080" s="26">
        <f>IF($N1080&lt;&gt;"",IF(INDEX(PCNet,$N1080)=0,"",INDEX(PCNet,$N1080)),"")</f>
        <v/>
      </c>
      <c r="I1080" s="25">
        <f>IF($N1080&lt;&gt;"",IF(INDEX(PCOp,$N1080)="مرجوعی خرید","",IF(INDEX(PCAmount,$N1080)&lt;=0,"",INDEX(PCAmount,$N1080))),IF($O1080&lt;&gt;"",IF(INDEX(TxnDepB,$O1080)=0,"",INDEX(TxnDepB,$O1080)),""))</f>
        <v/>
      </c>
      <c r="J1080" s="25">
        <f>IF($N1080&lt;&gt;"",IF(INDEX(PCOp,$N1080)="مرجوعی خرید",IF(INDEX(PCAmount,$N1080)=0,"",-INDEX(PCAmount,$N1080)),""),IF($O1080&lt;&gt;"",IF(INDEX(TxnWitB,$O1080)=0,"",INDEX(TxnWitB,$O1080)),""))</f>
        <v/>
      </c>
      <c r="K1080" s="27">
        <f>IF($B1080="","",IF($K1079="",$C$10,$K1079)+IF($I1080="",0,$I1080)-IF($J1080="",0,$J1080))</f>
        <v/>
      </c>
      <c r="L1080" s="28">
        <f>IF($N1080&lt;&gt;"",IF(INDEX(PCNotes,$N1080)="","—",INDEX(PCNotes,$N1080)),IF($O1080&lt;&gt;"",IF(INDEX(LdgNoteB,$O1080)="","—",INDEX(LdgNoteB,$O1080)),""))</f>
        <v/>
      </c>
      <c r="N1080">
        <f>IFERROR(MATCH($C$5&amp;"|"&amp;RIGHT("000000"&amp;1064,6),LdgRankKeyA,0),"")</f>
        <v/>
      </c>
      <c r="O1080">
        <f>IFERROR(MATCH($C$5&amp;"|"&amp;RIGHT("000000"&amp;1064,6),LdgRankKeyB,0),"")</f>
        <v/>
      </c>
    </row>
    <row r="1081">
      <c r="A1081" s="17" t="n">
        <v>1065</v>
      </c>
      <c r="B1081" s="18">
        <f>IF(AND($N1081="",$O1081=""),"",IF($N1081&lt;&gt;"",INDEX(PCNormDate,$N1081),INDEX(LdgDateB,$O1081)))</f>
        <v/>
      </c>
      <c r="C1081" s="18">
        <f>IF($N1081&lt;&gt;"",INDEX(PCOp,$N1081),IF($O1081&lt;&gt;"",IF(N(INDEX(TxnDepB,$O1081))&gt;0,"دریافت بانکی","پرداخت بانکی"),""))</f>
        <v/>
      </c>
      <c r="D1081" s="18">
        <f>IF($N1081&lt;&gt;"",IF(INDEX(PCDoc,$N1081)="","—",INDEX(PCDoc,$N1081)),IF($O1081&lt;&gt;"",INDEX(LdgBankB,$O1081),""))</f>
        <v/>
      </c>
      <c r="E1081" s="18">
        <f>IF($N1081&lt;&gt;"",IF(INDEX(PCCitrus,$N1081)="","—",INDEX(PCCitrus,$N1081)),"")</f>
        <v/>
      </c>
      <c r="F1081" s="19">
        <f>IF($N1081&lt;&gt;"",IF(INDEX(PCScale,$N1081)=0,"",INDEX(PCScale,$N1081)),"")</f>
        <v/>
      </c>
      <c r="G1081" s="19">
        <f>IF($N1081&lt;&gt;"",IF(INDEX(PCBaskets,$N1081)=0,"",INDEX(PCBaskets,$N1081)),"")</f>
        <v/>
      </c>
      <c r="H1081" s="20">
        <f>IF($N1081&lt;&gt;"",IF(INDEX(PCNet,$N1081)=0,"",INDEX(PCNet,$N1081)),"")</f>
        <v/>
      </c>
      <c r="I1081" s="19">
        <f>IF($N1081&lt;&gt;"",IF(INDEX(PCOp,$N1081)="مرجوعی خرید","",IF(INDEX(PCAmount,$N1081)&lt;=0,"",INDEX(PCAmount,$N1081))),IF($O1081&lt;&gt;"",IF(INDEX(TxnDepB,$O1081)=0,"",INDEX(TxnDepB,$O1081)),""))</f>
        <v/>
      </c>
      <c r="J1081" s="19">
        <f>IF($N1081&lt;&gt;"",IF(INDEX(PCOp,$N1081)="مرجوعی خرید",IF(INDEX(PCAmount,$N1081)=0,"",-INDEX(PCAmount,$N1081)),""),IF($O1081&lt;&gt;"",IF(INDEX(TxnWitB,$O1081)=0,"",INDEX(TxnWitB,$O1081)),""))</f>
        <v/>
      </c>
      <c r="K1081" s="21">
        <f>IF($B1081="","",IF($K1080="",$C$10,$K1080)+IF($I1081="",0,$I1081)-IF($J1081="",0,$J1081))</f>
        <v/>
      </c>
      <c r="L1081" s="22">
        <f>IF($N1081&lt;&gt;"",IF(INDEX(PCNotes,$N1081)="","—",INDEX(PCNotes,$N1081)),IF($O1081&lt;&gt;"",IF(INDEX(LdgNoteB,$O1081)="","—",INDEX(LdgNoteB,$O1081)),""))</f>
        <v/>
      </c>
      <c r="N1081">
        <f>IFERROR(MATCH($C$5&amp;"|"&amp;RIGHT("000000"&amp;1065,6),LdgRankKeyA,0),"")</f>
        <v/>
      </c>
      <c r="O1081">
        <f>IFERROR(MATCH($C$5&amp;"|"&amp;RIGHT("000000"&amp;1065,6),LdgRankKeyB,0),"")</f>
        <v/>
      </c>
    </row>
    <row r="1082">
      <c r="A1082" s="23" t="n">
        <v>1066</v>
      </c>
      <c r="B1082" s="24">
        <f>IF(AND($N1082="",$O1082=""),"",IF($N1082&lt;&gt;"",INDEX(PCNormDate,$N1082),INDEX(LdgDateB,$O1082)))</f>
        <v/>
      </c>
      <c r="C1082" s="24">
        <f>IF($N1082&lt;&gt;"",INDEX(PCOp,$N1082),IF($O1082&lt;&gt;"",IF(N(INDEX(TxnDepB,$O1082))&gt;0,"دریافت بانکی","پرداخت بانکی"),""))</f>
        <v/>
      </c>
      <c r="D1082" s="24">
        <f>IF($N1082&lt;&gt;"",IF(INDEX(PCDoc,$N1082)="","—",INDEX(PCDoc,$N1082)),IF($O1082&lt;&gt;"",INDEX(LdgBankB,$O1082),""))</f>
        <v/>
      </c>
      <c r="E1082" s="24">
        <f>IF($N1082&lt;&gt;"",IF(INDEX(PCCitrus,$N1082)="","—",INDEX(PCCitrus,$N1082)),"")</f>
        <v/>
      </c>
      <c r="F1082" s="25">
        <f>IF($N1082&lt;&gt;"",IF(INDEX(PCScale,$N1082)=0,"",INDEX(PCScale,$N1082)),"")</f>
        <v/>
      </c>
      <c r="G1082" s="25">
        <f>IF($N1082&lt;&gt;"",IF(INDEX(PCBaskets,$N1082)=0,"",INDEX(PCBaskets,$N1082)),"")</f>
        <v/>
      </c>
      <c r="H1082" s="26">
        <f>IF($N1082&lt;&gt;"",IF(INDEX(PCNet,$N1082)=0,"",INDEX(PCNet,$N1082)),"")</f>
        <v/>
      </c>
      <c r="I1082" s="25">
        <f>IF($N1082&lt;&gt;"",IF(INDEX(PCOp,$N1082)="مرجوعی خرید","",IF(INDEX(PCAmount,$N1082)&lt;=0,"",INDEX(PCAmount,$N1082))),IF($O1082&lt;&gt;"",IF(INDEX(TxnDepB,$O1082)=0,"",INDEX(TxnDepB,$O1082)),""))</f>
        <v/>
      </c>
      <c r="J1082" s="25">
        <f>IF($N1082&lt;&gt;"",IF(INDEX(PCOp,$N1082)="مرجوعی خرید",IF(INDEX(PCAmount,$N1082)=0,"",-INDEX(PCAmount,$N1082)),""),IF($O1082&lt;&gt;"",IF(INDEX(TxnWitB,$O1082)=0,"",INDEX(TxnWitB,$O1082)),""))</f>
        <v/>
      </c>
      <c r="K1082" s="27">
        <f>IF($B1082="","",IF($K1081="",$C$10,$K1081)+IF($I1082="",0,$I1082)-IF($J1082="",0,$J1082))</f>
        <v/>
      </c>
      <c r="L1082" s="28">
        <f>IF($N1082&lt;&gt;"",IF(INDEX(PCNotes,$N1082)="","—",INDEX(PCNotes,$N1082)),IF($O1082&lt;&gt;"",IF(INDEX(LdgNoteB,$O1082)="","—",INDEX(LdgNoteB,$O1082)),""))</f>
        <v/>
      </c>
      <c r="N1082">
        <f>IFERROR(MATCH($C$5&amp;"|"&amp;RIGHT("000000"&amp;1066,6),LdgRankKeyA,0),"")</f>
        <v/>
      </c>
      <c r="O1082">
        <f>IFERROR(MATCH($C$5&amp;"|"&amp;RIGHT("000000"&amp;1066,6),LdgRankKeyB,0),"")</f>
        <v/>
      </c>
    </row>
    <row r="1083">
      <c r="A1083" s="17" t="n">
        <v>1067</v>
      </c>
      <c r="B1083" s="18">
        <f>IF(AND($N1083="",$O1083=""),"",IF($N1083&lt;&gt;"",INDEX(PCNormDate,$N1083),INDEX(LdgDateB,$O1083)))</f>
        <v/>
      </c>
      <c r="C1083" s="18">
        <f>IF($N1083&lt;&gt;"",INDEX(PCOp,$N1083),IF($O1083&lt;&gt;"",IF(N(INDEX(TxnDepB,$O1083))&gt;0,"دریافت بانکی","پرداخت بانکی"),""))</f>
        <v/>
      </c>
      <c r="D1083" s="18">
        <f>IF($N1083&lt;&gt;"",IF(INDEX(PCDoc,$N1083)="","—",INDEX(PCDoc,$N1083)),IF($O1083&lt;&gt;"",INDEX(LdgBankB,$O1083),""))</f>
        <v/>
      </c>
      <c r="E1083" s="18">
        <f>IF($N1083&lt;&gt;"",IF(INDEX(PCCitrus,$N1083)="","—",INDEX(PCCitrus,$N1083)),"")</f>
        <v/>
      </c>
      <c r="F1083" s="19">
        <f>IF($N1083&lt;&gt;"",IF(INDEX(PCScale,$N1083)=0,"",INDEX(PCScale,$N1083)),"")</f>
        <v/>
      </c>
      <c r="G1083" s="19">
        <f>IF($N1083&lt;&gt;"",IF(INDEX(PCBaskets,$N1083)=0,"",INDEX(PCBaskets,$N1083)),"")</f>
        <v/>
      </c>
      <c r="H1083" s="20">
        <f>IF($N1083&lt;&gt;"",IF(INDEX(PCNet,$N1083)=0,"",INDEX(PCNet,$N1083)),"")</f>
        <v/>
      </c>
      <c r="I1083" s="19">
        <f>IF($N1083&lt;&gt;"",IF(INDEX(PCOp,$N1083)="مرجوعی خرید","",IF(INDEX(PCAmount,$N1083)&lt;=0,"",INDEX(PCAmount,$N1083))),IF($O1083&lt;&gt;"",IF(INDEX(TxnDepB,$O1083)=0,"",INDEX(TxnDepB,$O1083)),""))</f>
        <v/>
      </c>
      <c r="J1083" s="19">
        <f>IF($N1083&lt;&gt;"",IF(INDEX(PCOp,$N1083)="مرجوعی خرید",IF(INDEX(PCAmount,$N1083)=0,"",-INDEX(PCAmount,$N1083)),""),IF($O1083&lt;&gt;"",IF(INDEX(TxnWitB,$O1083)=0,"",INDEX(TxnWitB,$O1083)),""))</f>
        <v/>
      </c>
      <c r="K1083" s="21">
        <f>IF($B1083="","",IF($K1082="",$C$10,$K1082)+IF($I1083="",0,$I1083)-IF($J1083="",0,$J1083))</f>
        <v/>
      </c>
      <c r="L1083" s="22">
        <f>IF($N1083&lt;&gt;"",IF(INDEX(PCNotes,$N1083)="","—",INDEX(PCNotes,$N1083)),IF($O1083&lt;&gt;"",IF(INDEX(LdgNoteB,$O1083)="","—",INDEX(LdgNoteB,$O1083)),""))</f>
        <v/>
      </c>
      <c r="N1083">
        <f>IFERROR(MATCH($C$5&amp;"|"&amp;RIGHT("000000"&amp;1067,6),LdgRankKeyA,0),"")</f>
        <v/>
      </c>
      <c r="O1083">
        <f>IFERROR(MATCH($C$5&amp;"|"&amp;RIGHT("000000"&amp;1067,6),LdgRankKeyB,0),"")</f>
        <v/>
      </c>
    </row>
    <row r="1084">
      <c r="A1084" s="23" t="n">
        <v>1068</v>
      </c>
      <c r="B1084" s="24">
        <f>IF(AND($N1084="",$O1084=""),"",IF($N1084&lt;&gt;"",INDEX(PCNormDate,$N1084),INDEX(LdgDateB,$O1084)))</f>
        <v/>
      </c>
      <c r="C1084" s="24">
        <f>IF($N1084&lt;&gt;"",INDEX(PCOp,$N1084),IF($O1084&lt;&gt;"",IF(N(INDEX(TxnDepB,$O1084))&gt;0,"دریافت بانکی","پرداخت بانکی"),""))</f>
        <v/>
      </c>
      <c r="D1084" s="24">
        <f>IF($N1084&lt;&gt;"",IF(INDEX(PCDoc,$N1084)="","—",INDEX(PCDoc,$N1084)),IF($O1084&lt;&gt;"",INDEX(LdgBankB,$O1084),""))</f>
        <v/>
      </c>
      <c r="E1084" s="24">
        <f>IF($N1084&lt;&gt;"",IF(INDEX(PCCitrus,$N1084)="","—",INDEX(PCCitrus,$N1084)),"")</f>
        <v/>
      </c>
      <c r="F1084" s="25">
        <f>IF($N1084&lt;&gt;"",IF(INDEX(PCScale,$N1084)=0,"",INDEX(PCScale,$N1084)),"")</f>
        <v/>
      </c>
      <c r="G1084" s="25">
        <f>IF($N1084&lt;&gt;"",IF(INDEX(PCBaskets,$N1084)=0,"",INDEX(PCBaskets,$N1084)),"")</f>
        <v/>
      </c>
      <c r="H1084" s="26">
        <f>IF($N1084&lt;&gt;"",IF(INDEX(PCNet,$N1084)=0,"",INDEX(PCNet,$N1084)),"")</f>
        <v/>
      </c>
      <c r="I1084" s="25">
        <f>IF($N1084&lt;&gt;"",IF(INDEX(PCOp,$N1084)="مرجوعی خرید","",IF(INDEX(PCAmount,$N1084)&lt;=0,"",INDEX(PCAmount,$N1084))),IF($O1084&lt;&gt;"",IF(INDEX(TxnDepB,$O1084)=0,"",INDEX(TxnDepB,$O1084)),""))</f>
        <v/>
      </c>
      <c r="J1084" s="25">
        <f>IF($N1084&lt;&gt;"",IF(INDEX(PCOp,$N1084)="مرجوعی خرید",IF(INDEX(PCAmount,$N1084)=0,"",-INDEX(PCAmount,$N1084)),""),IF($O1084&lt;&gt;"",IF(INDEX(TxnWitB,$O1084)=0,"",INDEX(TxnWitB,$O1084)),""))</f>
        <v/>
      </c>
      <c r="K1084" s="27">
        <f>IF($B1084="","",IF($K1083="",$C$10,$K1083)+IF($I1084="",0,$I1084)-IF($J1084="",0,$J1084))</f>
        <v/>
      </c>
      <c r="L1084" s="28">
        <f>IF($N1084&lt;&gt;"",IF(INDEX(PCNotes,$N1084)="","—",INDEX(PCNotes,$N1084)),IF($O1084&lt;&gt;"",IF(INDEX(LdgNoteB,$O1084)="","—",INDEX(LdgNoteB,$O1084)),""))</f>
        <v/>
      </c>
      <c r="N1084">
        <f>IFERROR(MATCH($C$5&amp;"|"&amp;RIGHT("000000"&amp;1068,6),LdgRankKeyA,0),"")</f>
        <v/>
      </c>
      <c r="O1084">
        <f>IFERROR(MATCH($C$5&amp;"|"&amp;RIGHT("000000"&amp;1068,6),LdgRankKeyB,0),"")</f>
        <v/>
      </c>
    </row>
    <row r="1085">
      <c r="A1085" s="17" t="n">
        <v>1069</v>
      </c>
      <c r="B1085" s="18">
        <f>IF(AND($N1085="",$O1085=""),"",IF($N1085&lt;&gt;"",INDEX(PCNormDate,$N1085),INDEX(LdgDateB,$O1085)))</f>
        <v/>
      </c>
      <c r="C1085" s="18">
        <f>IF($N1085&lt;&gt;"",INDEX(PCOp,$N1085),IF($O1085&lt;&gt;"",IF(N(INDEX(TxnDepB,$O1085))&gt;0,"دریافت بانکی","پرداخت بانکی"),""))</f>
        <v/>
      </c>
      <c r="D1085" s="18">
        <f>IF($N1085&lt;&gt;"",IF(INDEX(PCDoc,$N1085)="","—",INDEX(PCDoc,$N1085)),IF($O1085&lt;&gt;"",INDEX(LdgBankB,$O1085),""))</f>
        <v/>
      </c>
      <c r="E1085" s="18">
        <f>IF($N1085&lt;&gt;"",IF(INDEX(PCCitrus,$N1085)="","—",INDEX(PCCitrus,$N1085)),"")</f>
        <v/>
      </c>
      <c r="F1085" s="19">
        <f>IF($N1085&lt;&gt;"",IF(INDEX(PCScale,$N1085)=0,"",INDEX(PCScale,$N1085)),"")</f>
        <v/>
      </c>
      <c r="G1085" s="19">
        <f>IF($N1085&lt;&gt;"",IF(INDEX(PCBaskets,$N1085)=0,"",INDEX(PCBaskets,$N1085)),"")</f>
        <v/>
      </c>
      <c r="H1085" s="20">
        <f>IF($N1085&lt;&gt;"",IF(INDEX(PCNet,$N1085)=0,"",INDEX(PCNet,$N1085)),"")</f>
        <v/>
      </c>
      <c r="I1085" s="19">
        <f>IF($N1085&lt;&gt;"",IF(INDEX(PCOp,$N1085)="مرجوعی خرید","",IF(INDEX(PCAmount,$N1085)&lt;=0,"",INDEX(PCAmount,$N1085))),IF($O1085&lt;&gt;"",IF(INDEX(TxnDepB,$O1085)=0,"",INDEX(TxnDepB,$O1085)),""))</f>
        <v/>
      </c>
      <c r="J1085" s="19">
        <f>IF($N1085&lt;&gt;"",IF(INDEX(PCOp,$N1085)="مرجوعی خرید",IF(INDEX(PCAmount,$N1085)=0,"",-INDEX(PCAmount,$N1085)),""),IF($O1085&lt;&gt;"",IF(INDEX(TxnWitB,$O1085)=0,"",INDEX(TxnWitB,$O1085)),""))</f>
        <v/>
      </c>
      <c r="K1085" s="21">
        <f>IF($B1085="","",IF($K1084="",$C$10,$K1084)+IF($I1085="",0,$I1085)-IF($J1085="",0,$J1085))</f>
        <v/>
      </c>
      <c r="L1085" s="22">
        <f>IF($N1085&lt;&gt;"",IF(INDEX(PCNotes,$N1085)="","—",INDEX(PCNotes,$N1085)),IF($O1085&lt;&gt;"",IF(INDEX(LdgNoteB,$O1085)="","—",INDEX(LdgNoteB,$O1085)),""))</f>
        <v/>
      </c>
      <c r="N1085">
        <f>IFERROR(MATCH($C$5&amp;"|"&amp;RIGHT("000000"&amp;1069,6),LdgRankKeyA,0),"")</f>
        <v/>
      </c>
      <c r="O1085">
        <f>IFERROR(MATCH($C$5&amp;"|"&amp;RIGHT("000000"&amp;1069,6),LdgRankKeyB,0),"")</f>
        <v/>
      </c>
    </row>
    <row r="1086">
      <c r="A1086" s="23" t="n">
        <v>1070</v>
      </c>
      <c r="B1086" s="24">
        <f>IF(AND($N1086="",$O1086=""),"",IF($N1086&lt;&gt;"",INDEX(PCNormDate,$N1086),INDEX(LdgDateB,$O1086)))</f>
        <v/>
      </c>
      <c r="C1086" s="24">
        <f>IF($N1086&lt;&gt;"",INDEX(PCOp,$N1086),IF($O1086&lt;&gt;"",IF(N(INDEX(TxnDepB,$O1086))&gt;0,"دریافت بانکی","پرداخت بانکی"),""))</f>
        <v/>
      </c>
      <c r="D1086" s="24">
        <f>IF($N1086&lt;&gt;"",IF(INDEX(PCDoc,$N1086)="","—",INDEX(PCDoc,$N1086)),IF($O1086&lt;&gt;"",INDEX(LdgBankB,$O1086),""))</f>
        <v/>
      </c>
      <c r="E1086" s="24">
        <f>IF($N1086&lt;&gt;"",IF(INDEX(PCCitrus,$N1086)="","—",INDEX(PCCitrus,$N1086)),"")</f>
        <v/>
      </c>
      <c r="F1086" s="25">
        <f>IF($N1086&lt;&gt;"",IF(INDEX(PCScale,$N1086)=0,"",INDEX(PCScale,$N1086)),"")</f>
        <v/>
      </c>
      <c r="G1086" s="25">
        <f>IF($N1086&lt;&gt;"",IF(INDEX(PCBaskets,$N1086)=0,"",INDEX(PCBaskets,$N1086)),"")</f>
        <v/>
      </c>
      <c r="H1086" s="26">
        <f>IF($N1086&lt;&gt;"",IF(INDEX(PCNet,$N1086)=0,"",INDEX(PCNet,$N1086)),"")</f>
        <v/>
      </c>
      <c r="I1086" s="25">
        <f>IF($N1086&lt;&gt;"",IF(INDEX(PCOp,$N1086)="مرجوعی خرید","",IF(INDEX(PCAmount,$N1086)&lt;=0,"",INDEX(PCAmount,$N1086))),IF($O1086&lt;&gt;"",IF(INDEX(TxnDepB,$O1086)=0,"",INDEX(TxnDepB,$O1086)),""))</f>
        <v/>
      </c>
      <c r="J1086" s="25">
        <f>IF($N1086&lt;&gt;"",IF(INDEX(PCOp,$N1086)="مرجوعی خرید",IF(INDEX(PCAmount,$N1086)=0,"",-INDEX(PCAmount,$N1086)),""),IF($O1086&lt;&gt;"",IF(INDEX(TxnWitB,$O1086)=0,"",INDEX(TxnWitB,$O1086)),""))</f>
        <v/>
      </c>
      <c r="K1086" s="27">
        <f>IF($B1086="","",IF($K1085="",$C$10,$K1085)+IF($I1086="",0,$I1086)-IF($J1086="",0,$J1086))</f>
        <v/>
      </c>
      <c r="L1086" s="28">
        <f>IF($N1086&lt;&gt;"",IF(INDEX(PCNotes,$N1086)="","—",INDEX(PCNotes,$N1086)),IF($O1086&lt;&gt;"",IF(INDEX(LdgNoteB,$O1086)="","—",INDEX(LdgNoteB,$O1086)),""))</f>
        <v/>
      </c>
      <c r="N1086">
        <f>IFERROR(MATCH($C$5&amp;"|"&amp;RIGHT("000000"&amp;1070,6),LdgRankKeyA,0),"")</f>
        <v/>
      </c>
      <c r="O1086">
        <f>IFERROR(MATCH($C$5&amp;"|"&amp;RIGHT("000000"&amp;1070,6),LdgRankKeyB,0),"")</f>
        <v/>
      </c>
    </row>
    <row r="1087">
      <c r="A1087" s="17" t="n">
        <v>1071</v>
      </c>
      <c r="B1087" s="18">
        <f>IF(AND($N1087="",$O1087=""),"",IF($N1087&lt;&gt;"",INDEX(PCNormDate,$N1087),INDEX(LdgDateB,$O1087)))</f>
        <v/>
      </c>
      <c r="C1087" s="18">
        <f>IF($N1087&lt;&gt;"",INDEX(PCOp,$N1087),IF($O1087&lt;&gt;"",IF(N(INDEX(TxnDepB,$O1087))&gt;0,"دریافت بانکی","پرداخت بانکی"),""))</f>
        <v/>
      </c>
      <c r="D1087" s="18">
        <f>IF($N1087&lt;&gt;"",IF(INDEX(PCDoc,$N1087)="","—",INDEX(PCDoc,$N1087)),IF($O1087&lt;&gt;"",INDEX(LdgBankB,$O1087),""))</f>
        <v/>
      </c>
      <c r="E1087" s="18">
        <f>IF($N1087&lt;&gt;"",IF(INDEX(PCCitrus,$N1087)="","—",INDEX(PCCitrus,$N1087)),"")</f>
        <v/>
      </c>
      <c r="F1087" s="19">
        <f>IF($N1087&lt;&gt;"",IF(INDEX(PCScale,$N1087)=0,"",INDEX(PCScale,$N1087)),"")</f>
        <v/>
      </c>
      <c r="G1087" s="19">
        <f>IF($N1087&lt;&gt;"",IF(INDEX(PCBaskets,$N1087)=0,"",INDEX(PCBaskets,$N1087)),"")</f>
        <v/>
      </c>
      <c r="H1087" s="20">
        <f>IF($N1087&lt;&gt;"",IF(INDEX(PCNet,$N1087)=0,"",INDEX(PCNet,$N1087)),"")</f>
        <v/>
      </c>
      <c r="I1087" s="19">
        <f>IF($N1087&lt;&gt;"",IF(INDEX(PCOp,$N1087)="مرجوعی خرید","",IF(INDEX(PCAmount,$N1087)&lt;=0,"",INDEX(PCAmount,$N1087))),IF($O1087&lt;&gt;"",IF(INDEX(TxnDepB,$O1087)=0,"",INDEX(TxnDepB,$O1087)),""))</f>
        <v/>
      </c>
      <c r="J1087" s="19">
        <f>IF($N1087&lt;&gt;"",IF(INDEX(PCOp,$N1087)="مرجوعی خرید",IF(INDEX(PCAmount,$N1087)=0,"",-INDEX(PCAmount,$N1087)),""),IF($O1087&lt;&gt;"",IF(INDEX(TxnWitB,$O1087)=0,"",INDEX(TxnWitB,$O1087)),""))</f>
        <v/>
      </c>
      <c r="K1087" s="21">
        <f>IF($B1087="","",IF($K1086="",$C$10,$K1086)+IF($I1087="",0,$I1087)-IF($J1087="",0,$J1087))</f>
        <v/>
      </c>
      <c r="L1087" s="22">
        <f>IF($N1087&lt;&gt;"",IF(INDEX(PCNotes,$N1087)="","—",INDEX(PCNotes,$N1087)),IF($O1087&lt;&gt;"",IF(INDEX(LdgNoteB,$O1087)="","—",INDEX(LdgNoteB,$O1087)),""))</f>
        <v/>
      </c>
      <c r="N1087">
        <f>IFERROR(MATCH($C$5&amp;"|"&amp;RIGHT("000000"&amp;1071,6),LdgRankKeyA,0),"")</f>
        <v/>
      </c>
      <c r="O1087">
        <f>IFERROR(MATCH($C$5&amp;"|"&amp;RIGHT("000000"&amp;1071,6),LdgRankKeyB,0),"")</f>
        <v/>
      </c>
    </row>
    <row r="1088">
      <c r="A1088" s="23" t="n">
        <v>1072</v>
      </c>
      <c r="B1088" s="24">
        <f>IF(AND($N1088="",$O1088=""),"",IF($N1088&lt;&gt;"",INDEX(PCNormDate,$N1088),INDEX(LdgDateB,$O1088)))</f>
        <v/>
      </c>
      <c r="C1088" s="24">
        <f>IF($N1088&lt;&gt;"",INDEX(PCOp,$N1088),IF($O1088&lt;&gt;"",IF(N(INDEX(TxnDepB,$O1088))&gt;0,"دریافت بانکی","پرداخت بانکی"),""))</f>
        <v/>
      </c>
      <c r="D1088" s="24">
        <f>IF($N1088&lt;&gt;"",IF(INDEX(PCDoc,$N1088)="","—",INDEX(PCDoc,$N1088)),IF($O1088&lt;&gt;"",INDEX(LdgBankB,$O1088),""))</f>
        <v/>
      </c>
      <c r="E1088" s="24">
        <f>IF($N1088&lt;&gt;"",IF(INDEX(PCCitrus,$N1088)="","—",INDEX(PCCitrus,$N1088)),"")</f>
        <v/>
      </c>
      <c r="F1088" s="25">
        <f>IF($N1088&lt;&gt;"",IF(INDEX(PCScale,$N1088)=0,"",INDEX(PCScale,$N1088)),"")</f>
        <v/>
      </c>
      <c r="G1088" s="25">
        <f>IF($N1088&lt;&gt;"",IF(INDEX(PCBaskets,$N1088)=0,"",INDEX(PCBaskets,$N1088)),"")</f>
        <v/>
      </c>
      <c r="H1088" s="26">
        <f>IF($N1088&lt;&gt;"",IF(INDEX(PCNet,$N1088)=0,"",INDEX(PCNet,$N1088)),"")</f>
        <v/>
      </c>
      <c r="I1088" s="25">
        <f>IF($N1088&lt;&gt;"",IF(INDEX(PCOp,$N1088)="مرجوعی خرید","",IF(INDEX(PCAmount,$N1088)&lt;=0,"",INDEX(PCAmount,$N1088))),IF($O1088&lt;&gt;"",IF(INDEX(TxnDepB,$O1088)=0,"",INDEX(TxnDepB,$O1088)),""))</f>
        <v/>
      </c>
      <c r="J1088" s="25">
        <f>IF($N1088&lt;&gt;"",IF(INDEX(PCOp,$N1088)="مرجوعی خرید",IF(INDEX(PCAmount,$N1088)=0,"",-INDEX(PCAmount,$N1088)),""),IF($O1088&lt;&gt;"",IF(INDEX(TxnWitB,$O1088)=0,"",INDEX(TxnWitB,$O1088)),""))</f>
        <v/>
      </c>
      <c r="K1088" s="27">
        <f>IF($B1088="","",IF($K1087="",$C$10,$K1087)+IF($I1088="",0,$I1088)-IF($J1088="",0,$J1088))</f>
        <v/>
      </c>
      <c r="L1088" s="28">
        <f>IF($N1088&lt;&gt;"",IF(INDEX(PCNotes,$N1088)="","—",INDEX(PCNotes,$N1088)),IF($O1088&lt;&gt;"",IF(INDEX(LdgNoteB,$O1088)="","—",INDEX(LdgNoteB,$O1088)),""))</f>
        <v/>
      </c>
      <c r="N1088">
        <f>IFERROR(MATCH($C$5&amp;"|"&amp;RIGHT("000000"&amp;1072,6),LdgRankKeyA,0),"")</f>
        <v/>
      </c>
      <c r="O1088">
        <f>IFERROR(MATCH($C$5&amp;"|"&amp;RIGHT("000000"&amp;1072,6),LdgRankKeyB,0),"")</f>
        <v/>
      </c>
    </row>
    <row r="1089">
      <c r="A1089" s="17" t="n">
        <v>1073</v>
      </c>
      <c r="B1089" s="18">
        <f>IF(AND($N1089="",$O1089=""),"",IF($N1089&lt;&gt;"",INDEX(PCNormDate,$N1089),INDEX(LdgDateB,$O1089)))</f>
        <v/>
      </c>
      <c r="C1089" s="18">
        <f>IF($N1089&lt;&gt;"",INDEX(PCOp,$N1089),IF($O1089&lt;&gt;"",IF(N(INDEX(TxnDepB,$O1089))&gt;0,"دریافت بانکی","پرداخت بانکی"),""))</f>
        <v/>
      </c>
      <c r="D1089" s="18">
        <f>IF($N1089&lt;&gt;"",IF(INDEX(PCDoc,$N1089)="","—",INDEX(PCDoc,$N1089)),IF($O1089&lt;&gt;"",INDEX(LdgBankB,$O1089),""))</f>
        <v/>
      </c>
      <c r="E1089" s="18">
        <f>IF($N1089&lt;&gt;"",IF(INDEX(PCCitrus,$N1089)="","—",INDEX(PCCitrus,$N1089)),"")</f>
        <v/>
      </c>
      <c r="F1089" s="19">
        <f>IF($N1089&lt;&gt;"",IF(INDEX(PCScale,$N1089)=0,"",INDEX(PCScale,$N1089)),"")</f>
        <v/>
      </c>
      <c r="G1089" s="19">
        <f>IF($N1089&lt;&gt;"",IF(INDEX(PCBaskets,$N1089)=0,"",INDEX(PCBaskets,$N1089)),"")</f>
        <v/>
      </c>
      <c r="H1089" s="20">
        <f>IF($N1089&lt;&gt;"",IF(INDEX(PCNet,$N1089)=0,"",INDEX(PCNet,$N1089)),"")</f>
        <v/>
      </c>
      <c r="I1089" s="19">
        <f>IF($N1089&lt;&gt;"",IF(INDEX(PCOp,$N1089)="مرجوعی خرید","",IF(INDEX(PCAmount,$N1089)&lt;=0,"",INDEX(PCAmount,$N1089))),IF($O1089&lt;&gt;"",IF(INDEX(TxnDepB,$O1089)=0,"",INDEX(TxnDepB,$O1089)),""))</f>
        <v/>
      </c>
      <c r="J1089" s="19">
        <f>IF($N1089&lt;&gt;"",IF(INDEX(PCOp,$N1089)="مرجوعی خرید",IF(INDEX(PCAmount,$N1089)=0,"",-INDEX(PCAmount,$N1089)),""),IF($O1089&lt;&gt;"",IF(INDEX(TxnWitB,$O1089)=0,"",INDEX(TxnWitB,$O1089)),""))</f>
        <v/>
      </c>
      <c r="K1089" s="21">
        <f>IF($B1089="","",IF($K1088="",$C$10,$K1088)+IF($I1089="",0,$I1089)-IF($J1089="",0,$J1089))</f>
        <v/>
      </c>
      <c r="L1089" s="22">
        <f>IF($N1089&lt;&gt;"",IF(INDEX(PCNotes,$N1089)="","—",INDEX(PCNotes,$N1089)),IF($O1089&lt;&gt;"",IF(INDEX(LdgNoteB,$O1089)="","—",INDEX(LdgNoteB,$O1089)),""))</f>
        <v/>
      </c>
      <c r="N1089">
        <f>IFERROR(MATCH($C$5&amp;"|"&amp;RIGHT("000000"&amp;1073,6),LdgRankKeyA,0),"")</f>
        <v/>
      </c>
      <c r="O1089">
        <f>IFERROR(MATCH($C$5&amp;"|"&amp;RIGHT("000000"&amp;1073,6),LdgRankKeyB,0),"")</f>
        <v/>
      </c>
    </row>
    <row r="1090">
      <c r="A1090" s="23" t="n">
        <v>1074</v>
      </c>
      <c r="B1090" s="24">
        <f>IF(AND($N1090="",$O1090=""),"",IF($N1090&lt;&gt;"",INDEX(PCNormDate,$N1090),INDEX(LdgDateB,$O1090)))</f>
        <v/>
      </c>
      <c r="C1090" s="24">
        <f>IF($N1090&lt;&gt;"",INDEX(PCOp,$N1090),IF($O1090&lt;&gt;"",IF(N(INDEX(TxnDepB,$O1090))&gt;0,"دریافت بانکی","پرداخت بانکی"),""))</f>
        <v/>
      </c>
      <c r="D1090" s="24">
        <f>IF($N1090&lt;&gt;"",IF(INDEX(PCDoc,$N1090)="","—",INDEX(PCDoc,$N1090)),IF($O1090&lt;&gt;"",INDEX(LdgBankB,$O1090),""))</f>
        <v/>
      </c>
      <c r="E1090" s="24">
        <f>IF($N1090&lt;&gt;"",IF(INDEX(PCCitrus,$N1090)="","—",INDEX(PCCitrus,$N1090)),"")</f>
        <v/>
      </c>
      <c r="F1090" s="25">
        <f>IF($N1090&lt;&gt;"",IF(INDEX(PCScale,$N1090)=0,"",INDEX(PCScale,$N1090)),"")</f>
        <v/>
      </c>
      <c r="G1090" s="25">
        <f>IF($N1090&lt;&gt;"",IF(INDEX(PCBaskets,$N1090)=0,"",INDEX(PCBaskets,$N1090)),"")</f>
        <v/>
      </c>
      <c r="H1090" s="26">
        <f>IF($N1090&lt;&gt;"",IF(INDEX(PCNet,$N1090)=0,"",INDEX(PCNet,$N1090)),"")</f>
        <v/>
      </c>
      <c r="I1090" s="25">
        <f>IF($N1090&lt;&gt;"",IF(INDEX(PCOp,$N1090)="مرجوعی خرید","",IF(INDEX(PCAmount,$N1090)&lt;=0,"",INDEX(PCAmount,$N1090))),IF($O1090&lt;&gt;"",IF(INDEX(TxnDepB,$O1090)=0,"",INDEX(TxnDepB,$O1090)),""))</f>
        <v/>
      </c>
      <c r="J1090" s="25">
        <f>IF($N1090&lt;&gt;"",IF(INDEX(PCOp,$N1090)="مرجوعی خرید",IF(INDEX(PCAmount,$N1090)=0,"",-INDEX(PCAmount,$N1090)),""),IF($O1090&lt;&gt;"",IF(INDEX(TxnWitB,$O1090)=0,"",INDEX(TxnWitB,$O1090)),""))</f>
        <v/>
      </c>
      <c r="K1090" s="27">
        <f>IF($B1090="","",IF($K1089="",$C$10,$K1089)+IF($I1090="",0,$I1090)-IF($J1090="",0,$J1090))</f>
        <v/>
      </c>
      <c r="L1090" s="28">
        <f>IF($N1090&lt;&gt;"",IF(INDEX(PCNotes,$N1090)="","—",INDEX(PCNotes,$N1090)),IF($O1090&lt;&gt;"",IF(INDEX(LdgNoteB,$O1090)="","—",INDEX(LdgNoteB,$O1090)),""))</f>
        <v/>
      </c>
      <c r="N1090">
        <f>IFERROR(MATCH($C$5&amp;"|"&amp;RIGHT("000000"&amp;1074,6),LdgRankKeyA,0),"")</f>
        <v/>
      </c>
      <c r="O1090">
        <f>IFERROR(MATCH($C$5&amp;"|"&amp;RIGHT("000000"&amp;1074,6),LdgRankKeyB,0),"")</f>
        <v/>
      </c>
    </row>
    <row r="1091">
      <c r="A1091" s="17" t="n">
        <v>1075</v>
      </c>
      <c r="B1091" s="18">
        <f>IF(AND($N1091="",$O1091=""),"",IF($N1091&lt;&gt;"",INDEX(PCNormDate,$N1091),INDEX(LdgDateB,$O1091)))</f>
        <v/>
      </c>
      <c r="C1091" s="18">
        <f>IF($N1091&lt;&gt;"",INDEX(PCOp,$N1091),IF($O1091&lt;&gt;"",IF(N(INDEX(TxnDepB,$O1091))&gt;0,"دریافت بانکی","پرداخت بانکی"),""))</f>
        <v/>
      </c>
      <c r="D1091" s="18">
        <f>IF($N1091&lt;&gt;"",IF(INDEX(PCDoc,$N1091)="","—",INDEX(PCDoc,$N1091)),IF($O1091&lt;&gt;"",INDEX(LdgBankB,$O1091),""))</f>
        <v/>
      </c>
      <c r="E1091" s="18">
        <f>IF($N1091&lt;&gt;"",IF(INDEX(PCCitrus,$N1091)="","—",INDEX(PCCitrus,$N1091)),"")</f>
        <v/>
      </c>
      <c r="F1091" s="19">
        <f>IF($N1091&lt;&gt;"",IF(INDEX(PCScale,$N1091)=0,"",INDEX(PCScale,$N1091)),"")</f>
        <v/>
      </c>
      <c r="G1091" s="19">
        <f>IF($N1091&lt;&gt;"",IF(INDEX(PCBaskets,$N1091)=0,"",INDEX(PCBaskets,$N1091)),"")</f>
        <v/>
      </c>
      <c r="H1091" s="20">
        <f>IF($N1091&lt;&gt;"",IF(INDEX(PCNet,$N1091)=0,"",INDEX(PCNet,$N1091)),"")</f>
        <v/>
      </c>
      <c r="I1091" s="19">
        <f>IF($N1091&lt;&gt;"",IF(INDEX(PCOp,$N1091)="مرجوعی خرید","",IF(INDEX(PCAmount,$N1091)&lt;=0,"",INDEX(PCAmount,$N1091))),IF($O1091&lt;&gt;"",IF(INDEX(TxnDepB,$O1091)=0,"",INDEX(TxnDepB,$O1091)),""))</f>
        <v/>
      </c>
      <c r="J1091" s="19">
        <f>IF($N1091&lt;&gt;"",IF(INDEX(PCOp,$N1091)="مرجوعی خرید",IF(INDEX(PCAmount,$N1091)=0,"",-INDEX(PCAmount,$N1091)),""),IF($O1091&lt;&gt;"",IF(INDEX(TxnWitB,$O1091)=0,"",INDEX(TxnWitB,$O1091)),""))</f>
        <v/>
      </c>
      <c r="K1091" s="21">
        <f>IF($B1091="","",IF($K1090="",$C$10,$K1090)+IF($I1091="",0,$I1091)-IF($J1091="",0,$J1091))</f>
        <v/>
      </c>
      <c r="L1091" s="22">
        <f>IF($N1091&lt;&gt;"",IF(INDEX(PCNotes,$N1091)="","—",INDEX(PCNotes,$N1091)),IF($O1091&lt;&gt;"",IF(INDEX(LdgNoteB,$O1091)="","—",INDEX(LdgNoteB,$O1091)),""))</f>
        <v/>
      </c>
      <c r="N1091">
        <f>IFERROR(MATCH($C$5&amp;"|"&amp;RIGHT("000000"&amp;1075,6),LdgRankKeyA,0),"")</f>
        <v/>
      </c>
      <c r="O1091">
        <f>IFERROR(MATCH($C$5&amp;"|"&amp;RIGHT("000000"&amp;1075,6),LdgRankKeyB,0),"")</f>
        <v/>
      </c>
    </row>
    <row r="1092">
      <c r="A1092" s="23" t="n">
        <v>1076</v>
      </c>
      <c r="B1092" s="24">
        <f>IF(AND($N1092="",$O1092=""),"",IF($N1092&lt;&gt;"",INDEX(PCNormDate,$N1092),INDEX(LdgDateB,$O1092)))</f>
        <v/>
      </c>
      <c r="C1092" s="24">
        <f>IF($N1092&lt;&gt;"",INDEX(PCOp,$N1092),IF($O1092&lt;&gt;"",IF(N(INDEX(TxnDepB,$O1092))&gt;0,"دریافت بانکی","پرداخت بانکی"),""))</f>
        <v/>
      </c>
      <c r="D1092" s="24">
        <f>IF($N1092&lt;&gt;"",IF(INDEX(PCDoc,$N1092)="","—",INDEX(PCDoc,$N1092)),IF($O1092&lt;&gt;"",INDEX(LdgBankB,$O1092),""))</f>
        <v/>
      </c>
      <c r="E1092" s="24">
        <f>IF($N1092&lt;&gt;"",IF(INDEX(PCCitrus,$N1092)="","—",INDEX(PCCitrus,$N1092)),"")</f>
        <v/>
      </c>
      <c r="F1092" s="25">
        <f>IF($N1092&lt;&gt;"",IF(INDEX(PCScale,$N1092)=0,"",INDEX(PCScale,$N1092)),"")</f>
        <v/>
      </c>
      <c r="G1092" s="25">
        <f>IF($N1092&lt;&gt;"",IF(INDEX(PCBaskets,$N1092)=0,"",INDEX(PCBaskets,$N1092)),"")</f>
        <v/>
      </c>
      <c r="H1092" s="26">
        <f>IF($N1092&lt;&gt;"",IF(INDEX(PCNet,$N1092)=0,"",INDEX(PCNet,$N1092)),"")</f>
        <v/>
      </c>
      <c r="I1092" s="25">
        <f>IF($N1092&lt;&gt;"",IF(INDEX(PCOp,$N1092)="مرجوعی خرید","",IF(INDEX(PCAmount,$N1092)&lt;=0,"",INDEX(PCAmount,$N1092))),IF($O1092&lt;&gt;"",IF(INDEX(TxnDepB,$O1092)=0,"",INDEX(TxnDepB,$O1092)),""))</f>
        <v/>
      </c>
      <c r="J1092" s="25">
        <f>IF($N1092&lt;&gt;"",IF(INDEX(PCOp,$N1092)="مرجوعی خرید",IF(INDEX(PCAmount,$N1092)=0,"",-INDEX(PCAmount,$N1092)),""),IF($O1092&lt;&gt;"",IF(INDEX(TxnWitB,$O1092)=0,"",INDEX(TxnWitB,$O1092)),""))</f>
        <v/>
      </c>
      <c r="K1092" s="27">
        <f>IF($B1092="","",IF($K1091="",$C$10,$K1091)+IF($I1092="",0,$I1092)-IF($J1092="",0,$J1092))</f>
        <v/>
      </c>
      <c r="L1092" s="28">
        <f>IF($N1092&lt;&gt;"",IF(INDEX(PCNotes,$N1092)="","—",INDEX(PCNotes,$N1092)),IF($O1092&lt;&gt;"",IF(INDEX(LdgNoteB,$O1092)="","—",INDEX(LdgNoteB,$O1092)),""))</f>
        <v/>
      </c>
      <c r="N1092">
        <f>IFERROR(MATCH($C$5&amp;"|"&amp;RIGHT("000000"&amp;1076,6),LdgRankKeyA,0),"")</f>
        <v/>
      </c>
      <c r="O1092">
        <f>IFERROR(MATCH($C$5&amp;"|"&amp;RIGHT("000000"&amp;1076,6),LdgRankKeyB,0),"")</f>
        <v/>
      </c>
    </row>
    <row r="1093">
      <c r="A1093" s="17" t="n">
        <v>1077</v>
      </c>
      <c r="B1093" s="18">
        <f>IF(AND($N1093="",$O1093=""),"",IF($N1093&lt;&gt;"",INDEX(PCNormDate,$N1093),INDEX(LdgDateB,$O1093)))</f>
        <v/>
      </c>
      <c r="C1093" s="18">
        <f>IF($N1093&lt;&gt;"",INDEX(PCOp,$N1093),IF($O1093&lt;&gt;"",IF(N(INDEX(TxnDepB,$O1093))&gt;0,"دریافت بانکی","پرداخت بانکی"),""))</f>
        <v/>
      </c>
      <c r="D1093" s="18">
        <f>IF($N1093&lt;&gt;"",IF(INDEX(PCDoc,$N1093)="","—",INDEX(PCDoc,$N1093)),IF($O1093&lt;&gt;"",INDEX(LdgBankB,$O1093),""))</f>
        <v/>
      </c>
      <c r="E1093" s="18">
        <f>IF($N1093&lt;&gt;"",IF(INDEX(PCCitrus,$N1093)="","—",INDEX(PCCitrus,$N1093)),"")</f>
        <v/>
      </c>
      <c r="F1093" s="19">
        <f>IF($N1093&lt;&gt;"",IF(INDEX(PCScale,$N1093)=0,"",INDEX(PCScale,$N1093)),"")</f>
        <v/>
      </c>
      <c r="G1093" s="19">
        <f>IF($N1093&lt;&gt;"",IF(INDEX(PCBaskets,$N1093)=0,"",INDEX(PCBaskets,$N1093)),"")</f>
        <v/>
      </c>
      <c r="H1093" s="20">
        <f>IF($N1093&lt;&gt;"",IF(INDEX(PCNet,$N1093)=0,"",INDEX(PCNet,$N1093)),"")</f>
        <v/>
      </c>
      <c r="I1093" s="19">
        <f>IF($N1093&lt;&gt;"",IF(INDEX(PCOp,$N1093)="مرجوعی خرید","",IF(INDEX(PCAmount,$N1093)&lt;=0,"",INDEX(PCAmount,$N1093))),IF($O1093&lt;&gt;"",IF(INDEX(TxnDepB,$O1093)=0,"",INDEX(TxnDepB,$O1093)),""))</f>
        <v/>
      </c>
      <c r="J1093" s="19">
        <f>IF($N1093&lt;&gt;"",IF(INDEX(PCOp,$N1093)="مرجوعی خرید",IF(INDEX(PCAmount,$N1093)=0,"",-INDEX(PCAmount,$N1093)),""),IF($O1093&lt;&gt;"",IF(INDEX(TxnWitB,$O1093)=0,"",INDEX(TxnWitB,$O1093)),""))</f>
        <v/>
      </c>
      <c r="K1093" s="21">
        <f>IF($B1093="","",IF($K1092="",$C$10,$K1092)+IF($I1093="",0,$I1093)-IF($J1093="",0,$J1093))</f>
        <v/>
      </c>
      <c r="L1093" s="22">
        <f>IF($N1093&lt;&gt;"",IF(INDEX(PCNotes,$N1093)="","—",INDEX(PCNotes,$N1093)),IF($O1093&lt;&gt;"",IF(INDEX(LdgNoteB,$O1093)="","—",INDEX(LdgNoteB,$O1093)),""))</f>
        <v/>
      </c>
      <c r="N1093">
        <f>IFERROR(MATCH($C$5&amp;"|"&amp;RIGHT("000000"&amp;1077,6),LdgRankKeyA,0),"")</f>
        <v/>
      </c>
      <c r="O1093">
        <f>IFERROR(MATCH($C$5&amp;"|"&amp;RIGHT("000000"&amp;1077,6),LdgRankKeyB,0),"")</f>
        <v/>
      </c>
    </row>
    <row r="1094">
      <c r="A1094" s="23" t="n">
        <v>1078</v>
      </c>
      <c r="B1094" s="24">
        <f>IF(AND($N1094="",$O1094=""),"",IF($N1094&lt;&gt;"",INDEX(PCNormDate,$N1094),INDEX(LdgDateB,$O1094)))</f>
        <v/>
      </c>
      <c r="C1094" s="24">
        <f>IF($N1094&lt;&gt;"",INDEX(PCOp,$N1094),IF($O1094&lt;&gt;"",IF(N(INDEX(TxnDepB,$O1094))&gt;0,"دریافت بانکی","پرداخت بانکی"),""))</f>
        <v/>
      </c>
      <c r="D1094" s="24">
        <f>IF($N1094&lt;&gt;"",IF(INDEX(PCDoc,$N1094)="","—",INDEX(PCDoc,$N1094)),IF($O1094&lt;&gt;"",INDEX(LdgBankB,$O1094),""))</f>
        <v/>
      </c>
      <c r="E1094" s="24">
        <f>IF($N1094&lt;&gt;"",IF(INDEX(PCCitrus,$N1094)="","—",INDEX(PCCitrus,$N1094)),"")</f>
        <v/>
      </c>
      <c r="F1094" s="25">
        <f>IF($N1094&lt;&gt;"",IF(INDEX(PCScale,$N1094)=0,"",INDEX(PCScale,$N1094)),"")</f>
        <v/>
      </c>
      <c r="G1094" s="25">
        <f>IF($N1094&lt;&gt;"",IF(INDEX(PCBaskets,$N1094)=0,"",INDEX(PCBaskets,$N1094)),"")</f>
        <v/>
      </c>
      <c r="H1094" s="26">
        <f>IF($N1094&lt;&gt;"",IF(INDEX(PCNet,$N1094)=0,"",INDEX(PCNet,$N1094)),"")</f>
        <v/>
      </c>
      <c r="I1094" s="25">
        <f>IF($N1094&lt;&gt;"",IF(INDEX(PCOp,$N1094)="مرجوعی خرید","",IF(INDEX(PCAmount,$N1094)&lt;=0,"",INDEX(PCAmount,$N1094))),IF($O1094&lt;&gt;"",IF(INDEX(TxnDepB,$O1094)=0,"",INDEX(TxnDepB,$O1094)),""))</f>
        <v/>
      </c>
      <c r="J1094" s="25">
        <f>IF($N1094&lt;&gt;"",IF(INDEX(PCOp,$N1094)="مرجوعی خرید",IF(INDEX(PCAmount,$N1094)=0,"",-INDEX(PCAmount,$N1094)),""),IF($O1094&lt;&gt;"",IF(INDEX(TxnWitB,$O1094)=0,"",INDEX(TxnWitB,$O1094)),""))</f>
        <v/>
      </c>
      <c r="K1094" s="27">
        <f>IF($B1094="","",IF($K1093="",$C$10,$K1093)+IF($I1094="",0,$I1094)-IF($J1094="",0,$J1094))</f>
        <v/>
      </c>
      <c r="L1094" s="28">
        <f>IF($N1094&lt;&gt;"",IF(INDEX(PCNotes,$N1094)="","—",INDEX(PCNotes,$N1094)),IF($O1094&lt;&gt;"",IF(INDEX(LdgNoteB,$O1094)="","—",INDEX(LdgNoteB,$O1094)),""))</f>
        <v/>
      </c>
      <c r="N1094">
        <f>IFERROR(MATCH($C$5&amp;"|"&amp;RIGHT("000000"&amp;1078,6),LdgRankKeyA,0),"")</f>
        <v/>
      </c>
      <c r="O1094">
        <f>IFERROR(MATCH($C$5&amp;"|"&amp;RIGHT("000000"&amp;1078,6),LdgRankKeyB,0),"")</f>
        <v/>
      </c>
    </row>
    <row r="1095">
      <c r="A1095" s="17" t="n">
        <v>1079</v>
      </c>
      <c r="B1095" s="18">
        <f>IF(AND($N1095="",$O1095=""),"",IF($N1095&lt;&gt;"",INDEX(PCNormDate,$N1095),INDEX(LdgDateB,$O1095)))</f>
        <v/>
      </c>
      <c r="C1095" s="18">
        <f>IF($N1095&lt;&gt;"",INDEX(PCOp,$N1095),IF($O1095&lt;&gt;"",IF(N(INDEX(TxnDepB,$O1095))&gt;0,"دریافت بانکی","پرداخت بانکی"),""))</f>
        <v/>
      </c>
      <c r="D1095" s="18">
        <f>IF($N1095&lt;&gt;"",IF(INDEX(PCDoc,$N1095)="","—",INDEX(PCDoc,$N1095)),IF($O1095&lt;&gt;"",INDEX(LdgBankB,$O1095),""))</f>
        <v/>
      </c>
      <c r="E1095" s="18">
        <f>IF($N1095&lt;&gt;"",IF(INDEX(PCCitrus,$N1095)="","—",INDEX(PCCitrus,$N1095)),"")</f>
        <v/>
      </c>
      <c r="F1095" s="19">
        <f>IF($N1095&lt;&gt;"",IF(INDEX(PCScale,$N1095)=0,"",INDEX(PCScale,$N1095)),"")</f>
        <v/>
      </c>
      <c r="G1095" s="19">
        <f>IF($N1095&lt;&gt;"",IF(INDEX(PCBaskets,$N1095)=0,"",INDEX(PCBaskets,$N1095)),"")</f>
        <v/>
      </c>
      <c r="H1095" s="20">
        <f>IF($N1095&lt;&gt;"",IF(INDEX(PCNet,$N1095)=0,"",INDEX(PCNet,$N1095)),"")</f>
        <v/>
      </c>
      <c r="I1095" s="19">
        <f>IF($N1095&lt;&gt;"",IF(INDEX(PCOp,$N1095)="مرجوعی خرید","",IF(INDEX(PCAmount,$N1095)&lt;=0,"",INDEX(PCAmount,$N1095))),IF($O1095&lt;&gt;"",IF(INDEX(TxnDepB,$O1095)=0,"",INDEX(TxnDepB,$O1095)),""))</f>
        <v/>
      </c>
      <c r="J1095" s="19">
        <f>IF($N1095&lt;&gt;"",IF(INDEX(PCOp,$N1095)="مرجوعی خرید",IF(INDEX(PCAmount,$N1095)=0,"",-INDEX(PCAmount,$N1095)),""),IF($O1095&lt;&gt;"",IF(INDEX(TxnWitB,$O1095)=0,"",INDEX(TxnWitB,$O1095)),""))</f>
        <v/>
      </c>
      <c r="K1095" s="21">
        <f>IF($B1095="","",IF($K1094="",$C$10,$K1094)+IF($I1095="",0,$I1095)-IF($J1095="",0,$J1095))</f>
        <v/>
      </c>
      <c r="L1095" s="22">
        <f>IF($N1095&lt;&gt;"",IF(INDEX(PCNotes,$N1095)="","—",INDEX(PCNotes,$N1095)),IF($O1095&lt;&gt;"",IF(INDEX(LdgNoteB,$O1095)="","—",INDEX(LdgNoteB,$O1095)),""))</f>
        <v/>
      </c>
      <c r="N1095">
        <f>IFERROR(MATCH($C$5&amp;"|"&amp;RIGHT("000000"&amp;1079,6),LdgRankKeyA,0),"")</f>
        <v/>
      </c>
      <c r="O1095">
        <f>IFERROR(MATCH($C$5&amp;"|"&amp;RIGHT("000000"&amp;1079,6),LdgRankKeyB,0),"")</f>
        <v/>
      </c>
    </row>
    <row r="1096">
      <c r="A1096" s="23" t="n">
        <v>1080</v>
      </c>
      <c r="B1096" s="24">
        <f>IF(AND($N1096="",$O1096=""),"",IF($N1096&lt;&gt;"",INDEX(PCNormDate,$N1096),INDEX(LdgDateB,$O1096)))</f>
        <v/>
      </c>
      <c r="C1096" s="24">
        <f>IF($N1096&lt;&gt;"",INDEX(PCOp,$N1096),IF($O1096&lt;&gt;"",IF(N(INDEX(TxnDepB,$O1096))&gt;0,"دریافت بانکی","پرداخت بانکی"),""))</f>
        <v/>
      </c>
      <c r="D1096" s="24">
        <f>IF($N1096&lt;&gt;"",IF(INDEX(PCDoc,$N1096)="","—",INDEX(PCDoc,$N1096)),IF($O1096&lt;&gt;"",INDEX(LdgBankB,$O1096),""))</f>
        <v/>
      </c>
      <c r="E1096" s="24">
        <f>IF($N1096&lt;&gt;"",IF(INDEX(PCCitrus,$N1096)="","—",INDEX(PCCitrus,$N1096)),"")</f>
        <v/>
      </c>
      <c r="F1096" s="25">
        <f>IF($N1096&lt;&gt;"",IF(INDEX(PCScale,$N1096)=0,"",INDEX(PCScale,$N1096)),"")</f>
        <v/>
      </c>
      <c r="G1096" s="25">
        <f>IF($N1096&lt;&gt;"",IF(INDEX(PCBaskets,$N1096)=0,"",INDEX(PCBaskets,$N1096)),"")</f>
        <v/>
      </c>
      <c r="H1096" s="26">
        <f>IF($N1096&lt;&gt;"",IF(INDEX(PCNet,$N1096)=0,"",INDEX(PCNet,$N1096)),"")</f>
        <v/>
      </c>
      <c r="I1096" s="25">
        <f>IF($N1096&lt;&gt;"",IF(INDEX(PCOp,$N1096)="مرجوعی خرید","",IF(INDEX(PCAmount,$N1096)&lt;=0,"",INDEX(PCAmount,$N1096))),IF($O1096&lt;&gt;"",IF(INDEX(TxnDepB,$O1096)=0,"",INDEX(TxnDepB,$O1096)),""))</f>
        <v/>
      </c>
      <c r="J1096" s="25">
        <f>IF($N1096&lt;&gt;"",IF(INDEX(PCOp,$N1096)="مرجوعی خرید",IF(INDEX(PCAmount,$N1096)=0,"",-INDEX(PCAmount,$N1096)),""),IF($O1096&lt;&gt;"",IF(INDEX(TxnWitB,$O1096)=0,"",INDEX(TxnWitB,$O1096)),""))</f>
        <v/>
      </c>
      <c r="K1096" s="27">
        <f>IF($B1096="","",IF($K1095="",$C$10,$K1095)+IF($I1096="",0,$I1096)-IF($J1096="",0,$J1096))</f>
        <v/>
      </c>
      <c r="L1096" s="28">
        <f>IF($N1096&lt;&gt;"",IF(INDEX(PCNotes,$N1096)="","—",INDEX(PCNotes,$N1096)),IF($O1096&lt;&gt;"",IF(INDEX(LdgNoteB,$O1096)="","—",INDEX(LdgNoteB,$O1096)),""))</f>
        <v/>
      </c>
      <c r="N1096">
        <f>IFERROR(MATCH($C$5&amp;"|"&amp;RIGHT("000000"&amp;1080,6),LdgRankKeyA,0),"")</f>
        <v/>
      </c>
      <c r="O1096">
        <f>IFERROR(MATCH($C$5&amp;"|"&amp;RIGHT("000000"&amp;1080,6),LdgRankKeyB,0),"")</f>
        <v/>
      </c>
    </row>
    <row r="1097">
      <c r="A1097" s="17" t="n">
        <v>1081</v>
      </c>
      <c r="B1097" s="18">
        <f>IF(AND($N1097="",$O1097=""),"",IF($N1097&lt;&gt;"",INDEX(PCNormDate,$N1097),INDEX(LdgDateB,$O1097)))</f>
        <v/>
      </c>
      <c r="C1097" s="18">
        <f>IF($N1097&lt;&gt;"",INDEX(PCOp,$N1097),IF($O1097&lt;&gt;"",IF(N(INDEX(TxnDepB,$O1097))&gt;0,"دریافت بانکی","پرداخت بانکی"),""))</f>
        <v/>
      </c>
      <c r="D1097" s="18">
        <f>IF($N1097&lt;&gt;"",IF(INDEX(PCDoc,$N1097)="","—",INDEX(PCDoc,$N1097)),IF($O1097&lt;&gt;"",INDEX(LdgBankB,$O1097),""))</f>
        <v/>
      </c>
      <c r="E1097" s="18">
        <f>IF($N1097&lt;&gt;"",IF(INDEX(PCCitrus,$N1097)="","—",INDEX(PCCitrus,$N1097)),"")</f>
        <v/>
      </c>
      <c r="F1097" s="19">
        <f>IF($N1097&lt;&gt;"",IF(INDEX(PCScale,$N1097)=0,"",INDEX(PCScale,$N1097)),"")</f>
        <v/>
      </c>
      <c r="G1097" s="19">
        <f>IF($N1097&lt;&gt;"",IF(INDEX(PCBaskets,$N1097)=0,"",INDEX(PCBaskets,$N1097)),"")</f>
        <v/>
      </c>
      <c r="H1097" s="20">
        <f>IF($N1097&lt;&gt;"",IF(INDEX(PCNet,$N1097)=0,"",INDEX(PCNet,$N1097)),"")</f>
        <v/>
      </c>
      <c r="I1097" s="19">
        <f>IF($N1097&lt;&gt;"",IF(INDEX(PCOp,$N1097)="مرجوعی خرید","",IF(INDEX(PCAmount,$N1097)&lt;=0,"",INDEX(PCAmount,$N1097))),IF($O1097&lt;&gt;"",IF(INDEX(TxnDepB,$O1097)=0,"",INDEX(TxnDepB,$O1097)),""))</f>
        <v/>
      </c>
      <c r="J1097" s="19">
        <f>IF($N1097&lt;&gt;"",IF(INDEX(PCOp,$N1097)="مرجوعی خرید",IF(INDEX(PCAmount,$N1097)=0,"",-INDEX(PCAmount,$N1097)),""),IF($O1097&lt;&gt;"",IF(INDEX(TxnWitB,$O1097)=0,"",INDEX(TxnWitB,$O1097)),""))</f>
        <v/>
      </c>
      <c r="K1097" s="21">
        <f>IF($B1097="","",IF($K1096="",$C$10,$K1096)+IF($I1097="",0,$I1097)-IF($J1097="",0,$J1097))</f>
        <v/>
      </c>
      <c r="L1097" s="22">
        <f>IF($N1097&lt;&gt;"",IF(INDEX(PCNotes,$N1097)="","—",INDEX(PCNotes,$N1097)),IF($O1097&lt;&gt;"",IF(INDEX(LdgNoteB,$O1097)="","—",INDEX(LdgNoteB,$O1097)),""))</f>
        <v/>
      </c>
      <c r="N1097">
        <f>IFERROR(MATCH($C$5&amp;"|"&amp;RIGHT("000000"&amp;1081,6),LdgRankKeyA,0),"")</f>
        <v/>
      </c>
      <c r="O1097">
        <f>IFERROR(MATCH($C$5&amp;"|"&amp;RIGHT("000000"&amp;1081,6),LdgRankKeyB,0),"")</f>
        <v/>
      </c>
    </row>
    <row r="1098">
      <c r="A1098" s="23" t="n">
        <v>1082</v>
      </c>
      <c r="B1098" s="24">
        <f>IF(AND($N1098="",$O1098=""),"",IF($N1098&lt;&gt;"",INDEX(PCNormDate,$N1098),INDEX(LdgDateB,$O1098)))</f>
        <v/>
      </c>
      <c r="C1098" s="24">
        <f>IF($N1098&lt;&gt;"",INDEX(PCOp,$N1098),IF($O1098&lt;&gt;"",IF(N(INDEX(TxnDepB,$O1098))&gt;0,"دریافت بانکی","پرداخت بانکی"),""))</f>
        <v/>
      </c>
      <c r="D1098" s="24">
        <f>IF($N1098&lt;&gt;"",IF(INDEX(PCDoc,$N1098)="","—",INDEX(PCDoc,$N1098)),IF($O1098&lt;&gt;"",INDEX(LdgBankB,$O1098),""))</f>
        <v/>
      </c>
      <c r="E1098" s="24">
        <f>IF($N1098&lt;&gt;"",IF(INDEX(PCCitrus,$N1098)="","—",INDEX(PCCitrus,$N1098)),"")</f>
        <v/>
      </c>
      <c r="F1098" s="25">
        <f>IF($N1098&lt;&gt;"",IF(INDEX(PCScale,$N1098)=0,"",INDEX(PCScale,$N1098)),"")</f>
        <v/>
      </c>
      <c r="G1098" s="25">
        <f>IF($N1098&lt;&gt;"",IF(INDEX(PCBaskets,$N1098)=0,"",INDEX(PCBaskets,$N1098)),"")</f>
        <v/>
      </c>
      <c r="H1098" s="26">
        <f>IF($N1098&lt;&gt;"",IF(INDEX(PCNet,$N1098)=0,"",INDEX(PCNet,$N1098)),"")</f>
        <v/>
      </c>
      <c r="I1098" s="25">
        <f>IF($N1098&lt;&gt;"",IF(INDEX(PCOp,$N1098)="مرجوعی خرید","",IF(INDEX(PCAmount,$N1098)&lt;=0,"",INDEX(PCAmount,$N1098))),IF($O1098&lt;&gt;"",IF(INDEX(TxnDepB,$O1098)=0,"",INDEX(TxnDepB,$O1098)),""))</f>
        <v/>
      </c>
      <c r="J1098" s="25">
        <f>IF($N1098&lt;&gt;"",IF(INDEX(PCOp,$N1098)="مرجوعی خرید",IF(INDEX(PCAmount,$N1098)=0,"",-INDEX(PCAmount,$N1098)),""),IF($O1098&lt;&gt;"",IF(INDEX(TxnWitB,$O1098)=0,"",INDEX(TxnWitB,$O1098)),""))</f>
        <v/>
      </c>
      <c r="K1098" s="27">
        <f>IF($B1098="","",IF($K1097="",$C$10,$K1097)+IF($I1098="",0,$I1098)-IF($J1098="",0,$J1098))</f>
        <v/>
      </c>
      <c r="L1098" s="28">
        <f>IF($N1098&lt;&gt;"",IF(INDEX(PCNotes,$N1098)="","—",INDEX(PCNotes,$N1098)),IF($O1098&lt;&gt;"",IF(INDEX(LdgNoteB,$O1098)="","—",INDEX(LdgNoteB,$O1098)),""))</f>
        <v/>
      </c>
      <c r="N1098">
        <f>IFERROR(MATCH($C$5&amp;"|"&amp;RIGHT("000000"&amp;1082,6),LdgRankKeyA,0),"")</f>
        <v/>
      </c>
      <c r="O1098">
        <f>IFERROR(MATCH($C$5&amp;"|"&amp;RIGHT("000000"&amp;1082,6),LdgRankKeyB,0),"")</f>
        <v/>
      </c>
    </row>
    <row r="1099">
      <c r="A1099" s="17" t="n">
        <v>1083</v>
      </c>
      <c r="B1099" s="18">
        <f>IF(AND($N1099="",$O1099=""),"",IF($N1099&lt;&gt;"",INDEX(PCNormDate,$N1099),INDEX(LdgDateB,$O1099)))</f>
        <v/>
      </c>
      <c r="C1099" s="18">
        <f>IF($N1099&lt;&gt;"",INDEX(PCOp,$N1099),IF($O1099&lt;&gt;"",IF(N(INDEX(TxnDepB,$O1099))&gt;0,"دریافت بانکی","پرداخت بانکی"),""))</f>
        <v/>
      </c>
      <c r="D1099" s="18">
        <f>IF($N1099&lt;&gt;"",IF(INDEX(PCDoc,$N1099)="","—",INDEX(PCDoc,$N1099)),IF($O1099&lt;&gt;"",INDEX(LdgBankB,$O1099),""))</f>
        <v/>
      </c>
      <c r="E1099" s="18">
        <f>IF($N1099&lt;&gt;"",IF(INDEX(PCCitrus,$N1099)="","—",INDEX(PCCitrus,$N1099)),"")</f>
        <v/>
      </c>
      <c r="F1099" s="19">
        <f>IF($N1099&lt;&gt;"",IF(INDEX(PCScale,$N1099)=0,"",INDEX(PCScale,$N1099)),"")</f>
        <v/>
      </c>
      <c r="G1099" s="19">
        <f>IF($N1099&lt;&gt;"",IF(INDEX(PCBaskets,$N1099)=0,"",INDEX(PCBaskets,$N1099)),"")</f>
        <v/>
      </c>
      <c r="H1099" s="20">
        <f>IF($N1099&lt;&gt;"",IF(INDEX(PCNet,$N1099)=0,"",INDEX(PCNet,$N1099)),"")</f>
        <v/>
      </c>
      <c r="I1099" s="19">
        <f>IF($N1099&lt;&gt;"",IF(INDEX(PCOp,$N1099)="مرجوعی خرید","",IF(INDEX(PCAmount,$N1099)&lt;=0,"",INDEX(PCAmount,$N1099))),IF($O1099&lt;&gt;"",IF(INDEX(TxnDepB,$O1099)=0,"",INDEX(TxnDepB,$O1099)),""))</f>
        <v/>
      </c>
      <c r="J1099" s="19">
        <f>IF($N1099&lt;&gt;"",IF(INDEX(PCOp,$N1099)="مرجوعی خرید",IF(INDEX(PCAmount,$N1099)=0,"",-INDEX(PCAmount,$N1099)),""),IF($O1099&lt;&gt;"",IF(INDEX(TxnWitB,$O1099)=0,"",INDEX(TxnWitB,$O1099)),""))</f>
        <v/>
      </c>
      <c r="K1099" s="21">
        <f>IF($B1099="","",IF($K1098="",$C$10,$K1098)+IF($I1099="",0,$I1099)-IF($J1099="",0,$J1099))</f>
        <v/>
      </c>
      <c r="L1099" s="22">
        <f>IF($N1099&lt;&gt;"",IF(INDEX(PCNotes,$N1099)="","—",INDEX(PCNotes,$N1099)),IF($O1099&lt;&gt;"",IF(INDEX(LdgNoteB,$O1099)="","—",INDEX(LdgNoteB,$O1099)),""))</f>
        <v/>
      </c>
      <c r="N1099">
        <f>IFERROR(MATCH($C$5&amp;"|"&amp;RIGHT("000000"&amp;1083,6),LdgRankKeyA,0),"")</f>
        <v/>
      </c>
      <c r="O1099">
        <f>IFERROR(MATCH($C$5&amp;"|"&amp;RIGHT("000000"&amp;1083,6),LdgRankKeyB,0),"")</f>
        <v/>
      </c>
    </row>
    <row r="1100">
      <c r="A1100" s="23" t="n">
        <v>1084</v>
      </c>
      <c r="B1100" s="24">
        <f>IF(AND($N1100="",$O1100=""),"",IF($N1100&lt;&gt;"",INDEX(PCNormDate,$N1100),INDEX(LdgDateB,$O1100)))</f>
        <v/>
      </c>
      <c r="C1100" s="24">
        <f>IF($N1100&lt;&gt;"",INDEX(PCOp,$N1100),IF($O1100&lt;&gt;"",IF(N(INDEX(TxnDepB,$O1100))&gt;0,"دریافت بانکی","پرداخت بانکی"),""))</f>
        <v/>
      </c>
      <c r="D1100" s="24">
        <f>IF($N1100&lt;&gt;"",IF(INDEX(PCDoc,$N1100)="","—",INDEX(PCDoc,$N1100)),IF($O1100&lt;&gt;"",INDEX(LdgBankB,$O1100),""))</f>
        <v/>
      </c>
      <c r="E1100" s="24">
        <f>IF($N1100&lt;&gt;"",IF(INDEX(PCCitrus,$N1100)="","—",INDEX(PCCitrus,$N1100)),"")</f>
        <v/>
      </c>
      <c r="F1100" s="25">
        <f>IF($N1100&lt;&gt;"",IF(INDEX(PCScale,$N1100)=0,"",INDEX(PCScale,$N1100)),"")</f>
        <v/>
      </c>
      <c r="G1100" s="25">
        <f>IF($N1100&lt;&gt;"",IF(INDEX(PCBaskets,$N1100)=0,"",INDEX(PCBaskets,$N1100)),"")</f>
        <v/>
      </c>
      <c r="H1100" s="26">
        <f>IF($N1100&lt;&gt;"",IF(INDEX(PCNet,$N1100)=0,"",INDEX(PCNet,$N1100)),"")</f>
        <v/>
      </c>
      <c r="I1100" s="25">
        <f>IF($N1100&lt;&gt;"",IF(INDEX(PCOp,$N1100)="مرجوعی خرید","",IF(INDEX(PCAmount,$N1100)&lt;=0,"",INDEX(PCAmount,$N1100))),IF($O1100&lt;&gt;"",IF(INDEX(TxnDepB,$O1100)=0,"",INDEX(TxnDepB,$O1100)),""))</f>
        <v/>
      </c>
      <c r="J1100" s="25">
        <f>IF($N1100&lt;&gt;"",IF(INDEX(PCOp,$N1100)="مرجوعی خرید",IF(INDEX(PCAmount,$N1100)=0,"",-INDEX(PCAmount,$N1100)),""),IF($O1100&lt;&gt;"",IF(INDEX(TxnWitB,$O1100)=0,"",INDEX(TxnWitB,$O1100)),""))</f>
        <v/>
      </c>
      <c r="K1100" s="27">
        <f>IF($B1100="","",IF($K1099="",$C$10,$K1099)+IF($I1100="",0,$I1100)-IF($J1100="",0,$J1100))</f>
        <v/>
      </c>
      <c r="L1100" s="28">
        <f>IF($N1100&lt;&gt;"",IF(INDEX(PCNotes,$N1100)="","—",INDEX(PCNotes,$N1100)),IF($O1100&lt;&gt;"",IF(INDEX(LdgNoteB,$O1100)="","—",INDEX(LdgNoteB,$O1100)),""))</f>
        <v/>
      </c>
      <c r="N1100">
        <f>IFERROR(MATCH($C$5&amp;"|"&amp;RIGHT("000000"&amp;1084,6),LdgRankKeyA,0),"")</f>
        <v/>
      </c>
      <c r="O1100">
        <f>IFERROR(MATCH($C$5&amp;"|"&amp;RIGHT("000000"&amp;1084,6),LdgRankKeyB,0),"")</f>
        <v/>
      </c>
    </row>
    <row r="1101">
      <c r="A1101" s="17" t="n">
        <v>1085</v>
      </c>
      <c r="B1101" s="18">
        <f>IF(AND($N1101="",$O1101=""),"",IF($N1101&lt;&gt;"",INDEX(PCNormDate,$N1101),INDEX(LdgDateB,$O1101)))</f>
        <v/>
      </c>
      <c r="C1101" s="18">
        <f>IF($N1101&lt;&gt;"",INDEX(PCOp,$N1101),IF($O1101&lt;&gt;"",IF(N(INDEX(TxnDepB,$O1101))&gt;0,"دریافت بانکی","پرداخت بانکی"),""))</f>
        <v/>
      </c>
      <c r="D1101" s="18">
        <f>IF($N1101&lt;&gt;"",IF(INDEX(PCDoc,$N1101)="","—",INDEX(PCDoc,$N1101)),IF($O1101&lt;&gt;"",INDEX(LdgBankB,$O1101),""))</f>
        <v/>
      </c>
      <c r="E1101" s="18">
        <f>IF($N1101&lt;&gt;"",IF(INDEX(PCCitrus,$N1101)="","—",INDEX(PCCitrus,$N1101)),"")</f>
        <v/>
      </c>
      <c r="F1101" s="19">
        <f>IF($N1101&lt;&gt;"",IF(INDEX(PCScale,$N1101)=0,"",INDEX(PCScale,$N1101)),"")</f>
        <v/>
      </c>
      <c r="G1101" s="19">
        <f>IF($N1101&lt;&gt;"",IF(INDEX(PCBaskets,$N1101)=0,"",INDEX(PCBaskets,$N1101)),"")</f>
        <v/>
      </c>
      <c r="H1101" s="20">
        <f>IF($N1101&lt;&gt;"",IF(INDEX(PCNet,$N1101)=0,"",INDEX(PCNet,$N1101)),"")</f>
        <v/>
      </c>
      <c r="I1101" s="19">
        <f>IF($N1101&lt;&gt;"",IF(INDEX(PCOp,$N1101)="مرجوعی خرید","",IF(INDEX(PCAmount,$N1101)&lt;=0,"",INDEX(PCAmount,$N1101))),IF($O1101&lt;&gt;"",IF(INDEX(TxnDepB,$O1101)=0,"",INDEX(TxnDepB,$O1101)),""))</f>
        <v/>
      </c>
      <c r="J1101" s="19">
        <f>IF($N1101&lt;&gt;"",IF(INDEX(PCOp,$N1101)="مرجوعی خرید",IF(INDEX(PCAmount,$N1101)=0,"",-INDEX(PCAmount,$N1101)),""),IF($O1101&lt;&gt;"",IF(INDEX(TxnWitB,$O1101)=0,"",INDEX(TxnWitB,$O1101)),""))</f>
        <v/>
      </c>
      <c r="K1101" s="21">
        <f>IF($B1101="","",IF($K1100="",$C$10,$K1100)+IF($I1101="",0,$I1101)-IF($J1101="",0,$J1101))</f>
        <v/>
      </c>
      <c r="L1101" s="22">
        <f>IF($N1101&lt;&gt;"",IF(INDEX(PCNotes,$N1101)="","—",INDEX(PCNotes,$N1101)),IF($O1101&lt;&gt;"",IF(INDEX(LdgNoteB,$O1101)="","—",INDEX(LdgNoteB,$O1101)),""))</f>
        <v/>
      </c>
      <c r="N1101">
        <f>IFERROR(MATCH($C$5&amp;"|"&amp;RIGHT("000000"&amp;1085,6),LdgRankKeyA,0),"")</f>
        <v/>
      </c>
      <c r="O1101">
        <f>IFERROR(MATCH($C$5&amp;"|"&amp;RIGHT("000000"&amp;1085,6),LdgRankKeyB,0),"")</f>
        <v/>
      </c>
    </row>
    <row r="1102">
      <c r="A1102" s="23" t="n">
        <v>1086</v>
      </c>
      <c r="B1102" s="24">
        <f>IF(AND($N1102="",$O1102=""),"",IF($N1102&lt;&gt;"",INDEX(PCNormDate,$N1102),INDEX(LdgDateB,$O1102)))</f>
        <v/>
      </c>
      <c r="C1102" s="24">
        <f>IF($N1102&lt;&gt;"",INDEX(PCOp,$N1102),IF($O1102&lt;&gt;"",IF(N(INDEX(TxnDepB,$O1102))&gt;0,"دریافت بانکی","پرداخت بانکی"),""))</f>
        <v/>
      </c>
      <c r="D1102" s="24">
        <f>IF($N1102&lt;&gt;"",IF(INDEX(PCDoc,$N1102)="","—",INDEX(PCDoc,$N1102)),IF($O1102&lt;&gt;"",INDEX(LdgBankB,$O1102),""))</f>
        <v/>
      </c>
      <c r="E1102" s="24">
        <f>IF($N1102&lt;&gt;"",IF(INDEX(PCCitrus,$N1102)="","—",INDEX(PCCitrus,$N1102)),"")</f>
        <v/>
      </c>
      <c r="F1102" s="25">
        <f>IF($N1102&lt;&gt;"",IF(INDEX(PCScale,$N1102)=0,"",INDEX(PCScale,$N1102)),"")</f>
        <v/>
      </c>
      <c r="G1102" s="25">
        <f>IF($N1102&lt;&gt;"",IF(INDEX(PCBaskets,$N1102)=0,"",INDEX(PCBaskets,$N1102)),"")</f>
        <v/>
      </c>
      <c r="H1102" s="26">
        <f>IF($N1102&lt;&gt;"",IF(INDEX(PCNet,$N1102)=0,"",INDEX(PCNet,$N1102)),"")</f>
        <v/>
      </c>
      <c r="I1102" s="25">
        <f>IF($N1102&lt;&gt;"",IF(INDEX(PCOp,$N1102)="مرجوعی خرید","",IF(INDEX(PCAmount,$N1102)&lt;=0,"",INDEX(PCAmount,$N1102))),IF($O1102&lt;&gt;"",IF(INDEX(TxnDepB,$O1102)=0,"",INDEX(TxnDepB,$O1102)),""))</f>
        <v/>
      </c>
      <c r="J1102" s="25">
        <f>IF($N1102&lt;&gt;"",IF(INDEX(PCOp,$N1102)="مرجوعی خرید",IF(INDEX(PCAmount,$N1102)=0,"",-INDEX(PCAmount,$N1102)),""),IF($O1102&lt;&gt;"",IF(INDEX(TxnWitB,$O1102)=0,"",INDEX(TxnWitB,$O1102)),""))</f>
        <v/>
      </c>
      <c r="K1102" s="27">
        <f>IF($B1102="","",IF($K1101="",$C$10,$K1101)+IF($I1102="",0,$I1102)-IF($J1102="",0,$J1102))</f>
        <v/>
      </c>
      <c r="L1102" s="28">
        <f>IF($N1102&lt;&gt;"",IF(INDEX(PCNotes,$N1102)="","—",INDEX(PCNotes,$N1102)),IF($O1102&lt;&gt;"",IF(INDEX(LdgNoteB,$O1102)="","—",INDEX(LdgNoteB,$O1102)),""))</f>
        <v/>
      </c>
      <c r="N1102">
        <f>IFERROR(MATCH($C$5&amp;"|"&amp;RIGHT("000000"&amp;1086,6),LdgRankKeyA,0),"")</f>
        <v/>
      </c>
      <c r="O1102">
        <f>IFERROR(MATCH($C$5&amp;"|"&amp;RIGHT("000000"&amp;1086,6),LdgRankKeyB,0),"")</f>
        <v/>
      </c>
    </row>
    <row r="1103">
      <c r="A1103" s="17" t="n">
        <v>1087</v>
      </c>
      <c r="B1103" s="18">
        <f>IF(AND($N1103="",$O1103=""),"",IF($N1103&lt;&gt;"",INDEX(PCNormDate,$N1103),INDEX(LdgDateB,$O1103)))</f>
        <v/>
      </c>
      <c r="C1103" s="18">
        <f>IF($N1103&lt;&gt;"",INDEX(PCOp,$N1103),IF($O1103&lt;&gt;"",IF(N(INDEX(TxnDepB,$O1103))&gt;0,"دریافت بانکی","پرداخت بانکی"),""))</f>
        <v/>
      </c>
      <c r="D1103" s="18">
        <f>IF($N1103&lt;&gt;"",IF(INDEX(PCDoc,$N1103)="","—",INDEX(PCDoc,$N1103)),IF($O1103&lt;&gt;"",INDEX(LdgBankB,$O1103),""))</f>
        <v/>
      </c>
      <c r="E1103" s="18">
        <f>IF($N1103&lt;&gt;"",IF(INDEX(PCCitrus,$N1103)="","—",INDEX(PCCitrus,$N1103)),"")</f>
        <v/>
      </c>
      <c r="F1103" s="19">
        <f>IF($N1103&lt;&gt;"",IF(INDEX(PCScale,$N1103)=0,"",INDEX(PCScale,$N1103)),"")</f>
        <v/>
      </c>
      <c r="G1103" s="19">
        <f>IF($N1103&lt;&gt;"",IF(INDEX(PCBaskets,$N1103)=0,"",INDEX(PCBaskets,$N1103)),"")</f>
        <v/>
      </c>
      <c r="H1103" s="20">
        <f>IF($N1103&lt;&gt;"",IF(INDEX(PCNet,$N1103)=0,"",INDEX(PCNet,$N1103)),"")</f>
        <v/>
      </c>
      <c r="I1103" s="19">
        <f>IF($N1103&lt;&gt;"",IF(INDEX(PCOp,$N1103)="مرجوعی خرید","",IF(INDEX(PCAmount,$N1103)&lt;=0,"",INDEX(PCAmount,$N1103))),IF($O1103&lt;&gt;"",IF(INDEX(TxnDepB,$O1103)=0,"",INDEX(TxnDepB,$O1103)),""))</f>
        <v/>
      </c>
      <c r="J1103" s="19">
        <f>IF($N1103&lt;&gt;"",IF(INDEX(PCOp,$N1103)="مرجوعی خرید",IF(INDEX(PCAmount,$N1103)=0,"",-INDEX(PCAmount,$N1103)),""),IF($O1103&lt;&gt;"",IF(INDEX(TxnWitB,$O1103)=0,"",INDEX(TxnWitB,$O1103)),""))</f>
        <v/>
      </c>
      <c r="K1103" s="21">
        <f>IF($B1103="","",IF($K1102="",$C$10,$K1102)+IF($I1103="",0,$I1103)-IF($J1103="",0,$J1103))</f>
        <v/>
      </c>
      <c r="L1103" s="22">
        <f>IF($N1103&lt;&gt;"",IF(INDEX(PCNotes,$N1103)="","—",INDEX(PCNotes,$N1103)),IF($O1103&lt;&gt;"",IF(INDEX(LdgNoteB,$O1103)="","—",INDEX(LdgNoteB,$O1103)),""))</f>
        <v/>
      </c>
      <c r="N1103">
        <f>IFERROR(MATCH($C$5&amp;"|"&amp;RIGHT("000000"&amp;1087,6),LdgRankKeyA,0),"")</f>
        <v/>
      </c>
      <c r="O1103">
        <f>IFERROR(MATCH($C$5&amp;"|"&amp;RIGHT("000000"&amp;1087,6),LdgRankKeyB,0),"")</f>
        <v/>
      </c>
    </row>
    <row r="1104">
      <c r="A1104" s="23" t="n">
        <v>1088</v>
      </c>
      <c r="B1104" s="24">
        <f>IF(AND($N1104="",$O1104=""),"",IF($N1104&lt;&gt;"",INDEX(PCNormDate,$N1104),INDEX(LdgDateB,$O1104)))</f>
        <v/>
      </c>
      <c r="C1104" s="24">
        <f>IF($N1104&lt;&gt;"",INDEX(PCOp,$N1104),IF($O1104&lt;&gt;"",IF(N(INDEX(TxnDepB,$O1104))&gt;0,"دریافت بانکی","پرداخت بانکی"),""))</f>
        <v/>
      </c>
      <c r="D1104" s="24">
        <f>IF($N1104&lt;&gt;"",IF(INDEX(PCDoc,$N1104)="","—",INDEX(PCDoc,$N1104)),IF($O1104&lt;&gt;"",INDEX(LdgBankB,$O1104),""))</f>
        <v/>
      </c>
      <c r="E1104" s="24">
        <f>IF($N1104&lt;&gt;"",IF(INDEX(PCCitrus,$N1104)="","—",INDEX(PCCitrus,$N1104)),"")</f>
        <v/>
      </c>
      <c r="F1104" s="25">
        <f>IF($N1104&lt;&gt;"",IF(INDEX(PCScale,$N1104)=0,"",INDEX(PCScale,$N1104)),"")</f>
        <v/>
      </c>
      <c r="G1104" s="25">
        <f>IF($N1104&lt;&gt;"",IF(INDEX(PCBaskets,$N1104)=0,"",INDEX(PCBaskets,$N1104)),"")</f>
        <v/>
      </c>
      <c r="H1104" s="26">
        <f>IF($N1104&lt;&gt;"",IF(INDEX(PCNet,$N1104)=0,"",INDEX(PCNet,$N1104)),"")</f>
        <v/>
      </c>
      <c r="I1104" s="25">
        <f>IF($N1104&lt;&gt;"",IF(INDEX(PCOp,$N1104)="مرجوعی خرید","",IF(INDEX(PCAmount,$N1104)&lt;=0,"",INDEX(PCAmount,$N1104))),IF($O1104&lt;&gt;"",IF(INDEX(TxnDepB,$O1104)=0,"",INDEX(TxnDepB,$O1104)),""))</f>
        <v/>
      </c>
      <c r="J1104" s="25">
        <f>IF($N1104&lt;&gt;"",IF(INDEX(PCOp,$N1104)="مرجوعی خرید",IF(INDEX(PCAmount,$N1104)=0,"",-INDEX(PCAmount,$N1104)),""),IF($O1104&lt;&gt;"",IF(INDEX(TxnWitB,$O1104)=0,"",INDEX(TxnWitB,$O1104)),""))</f>
        <v/>
      </c>
      <c r="K1104" s="27">
        <f>IF($B1104="","",IF($K1103="",$C$10,$K1103)+IF($I1104="",0,$I1104)-IF($J1104="",0,$J1104))</f>
        <v/>
      </c>
      <c r="L1104" s="28">
        <f>IF($N1104&lt;&gt;"",IF(INDEX(PCNotes,$N1104)="","—",INDEX(PCNotes,$N1104)),IF($O1104&lt;&gt;"",IF(INDEX(LdgNoteB,$O1104)="","—",INDEX(LdgNoteB,$O1104)),""))</f>
        <v/>
      </c>
      <c r="N1104">
        <f>IFERROR(MATCH($C$5&amp;"|"&amp;RIGHT("000000"&amp;1088,6),LdgRankKeyA,0),"")</f>
        <v/>
      </c>
      <c r="O1104">
        <f>IFERROR(MATCH($C$5&amp;"|"&amp;RIGHT("000000"&amp;1088,6),LdgRankKeyB,0),"")</f>
        <v/>
      </c>
    </row>
    <row r="1105">
      <c r="A1105" s="17" t="n">
        <v>1089</v>
      </c>
      <c r="B1105" s="18">
        <f>IF(AND($N1105="",$O1105=""),"",IF($N1105&lt;&gt;"",INDEX(PCNormDate,$N1105),INDEX(LdgDateB,$O1105)))</f>
        <v/>
      </c>
      <c r="C1105" s="18">
        <f>IF($N1105&lt;&gt;"",INDEX(PCOp,$N1105),IF($O1105&lt;&gt;"",IF(N(INDEX(TxnDepB,$O1105))&gt;0,"دریافت بانکی","پرداخت بانکی"),""))</f>
        <v/>
      </c>
      <c r="D1105" s="18">
        <f>IF($N1105&lt;&gt;"",IF(INDEX(PCDoc,$N1105)="","—",INDEX(PCDoc,$N1105)),IF($O1105&lt;&gt;"",INDEX(LdgBankB,$O1105),""))</f>
        <v/>
      </c>
      <c r="E1105" s="18">
        <f>IF($N1105&lt;&gt;"",IF(INDEX(PCCitrus,$N1105)="","—",INDEX(PCCitrus,$N1105)),"")</f>
        <v/>
      </c>
      <c r="F1105" s="19">
        <f>IF($N1105&lt;&gt;"",IF(INDEX(PCScale,$N1105)=0,"",INDEX(PCScale,$N1105)),"")</f>
        <v/>
      </c>
      <c r="G1105" s="19">
        <f>IF($N1105&lt;&gt;"",IF(INDEX(PCBaskets,$N1105)=0,"",INDEX(PCBaskets,$N1105)),"")</f>
        <v/>
      </c>
      <c r="H1105" s="20">
        <f>IF($N1105&lt;&gt;"",IF(INDEX(PCNet,$N1105)=0,"",INDEX(PCNet,$N1105)),"")</f>
        <v/>
      </c>
      <c r="I1105" s="19">
        <f>IF($N1105&lt;&gt;"",IF(INDEX(PCOp,$N1105)="مرجوعی خرید","",IF(INDEX(PCAmount,$N1105)&lt;=0,"",INDEX(PCAmount,$N1105))),IF($O1105&lt;&gt;"",IF(INDEX(TxnDepB,$O1105)=0,"",INDEX(TxnDepB,$O1105)),""))</f>
        <v/>
      </c>
      <c r="J1105" s="19">
        <f>IF($N1105&lt;&gt;"",IF(INDEX(PCOp,$N1105)="مرجوعی خرید",IF(INDEX(PCAmount,$N1105)=0,"",-INDEX(PCAmount,$N1105)),""),IF($O1105&lt;&gt;"",IF(INDEX(TxnWitB,$O1105)=0,"",INDEX(TxnWitB,$O1105)),""))</f>
        <v/>
      </c>
      <c r="K1105" s="21">
        <f>IF($B1105="","",IF($K1104="",$C$10,$K1104)+IF($I1105="",0,$I1105)-IF($J1105="",0,$J1105))</f>
        <v/>
      </c>
      <c r="L1105" s="22">
        <f>IF($N1105&lt;&gt;"",IF(INDEX(PCNotes,$N1105)="","—",INDEX(PCNotes,$N1105)),IF($O1105&lt;&gt;"",IF(INDEX(LdgNoteB,$O1105)="","—",INDEX(LdgNoteB,$O1105)),""))</f>
        <v/>
      </c>
      <c r="N1105">
        <f>IFERROR(MATCH($C$5&amp;"|"&amp;RIGHT("000000"&amp;1089,6),LdgRankKeyA,0),"")</f>
        <v/>
      </c>
      <c r="O1105">
        <f>IFERROR(MATCH($C$5&amp;"|"&amp;RIGHT("000000"&amp;1089,6),LdgRankKeyB,0),"")</f>
        <v/>
      </c>
    </row>
    <row r="1106">
      <c r="A1106" s="23" t="n">
        <v>1090</v>
      </c>
      <c r="B1106" s="24">
        <f>IF(AND($N1106="",$O1106=""),"",IF($N1106&lt;&gt;"",INDEX(PCNormDate,$N1106),INDEX(LdgDateB,$O1106)))</f>
        <v/>
      </c>
      <c r="C1106" s="24">
        <f>IF($N1106&lt;&gt;"",INDEX(PCOp,$N1106),IF($O1106&lt;&gt;"",IF(N(INDEX(TxnDepB,$O1106))&gt;0,"دریافت بانکی","پرداخت بانکی"),""))</f>
        <v/>
      </c>
      <c r="D1106" s="24">
        <f>IF($N1106&lt;&gt;"",IF(INDEX(PCDoc,$N1106)="","—",INDEX(PCDoc,$N1106)),IF($O1106&lt;&gt;"",INDEX(LdgBankB,$O1106),""))</f>
        <v/>
      </c>
      <c r="E1106" s="24">
        <f>IF($N1106&lt;&gt;"",IF(INDEX(PCCitrus,$N1106)="","—",INDEX(PCCitrus,$N1106)),"")</f>
        <v/>
      </c>
      <c r="F1106" s="25">
        <f>IF($N1106&lt;&gt;"",IF(INDEX(PCScale,$N1106)=0,"",INDEX(PCScale,$N1106)),"")</f>
        <v/>
      </c>
      <c r="G1106" s="25">
        <f>IF($N1106&lt;&gt;"",IF(INDEX(PCBaskets,$N1106)=0,"",INDEX(PCBaskets,$N1106)),"")</f>
        <v/>
      </c>
      <c r="H1106" s="26">
        <f>IF($N1106&lt;&gt;"",IF(INDEX(PCNet,$N1106)=0,"",INDEX(PCNet,$N1106)),"")</f>
        <v/>
      </c>
      <c r="I1106" s="25">
        <f>IF($N1106&lt;&gt;"",IF(INDEX(PCOp,$N1106)="مرجوعی خرید","",IF(INDEX(PCAmount,$N1106)&lt;=0,"",INDEX(PCAmount,$N1106))),IF($O1106&lt;&gt;"",IF(INDEX(TxnDepB,$O1106)=0,"",INDEX(TxnDepB,$O1106)),""))</f>
        <v/>
      </c>
      <c r="J1106" s="25">
        <f>IF($N1106&lt;&gt;"",IF(INDEX(PCOp,$N1106)="مرجوعی خرید",IF(INDEX(PCAmount,$N1106)=0,"",-INDEX(PCAmount,$N1106)),""),IF($O1106&lt;&gt;"",IF(INDEX(TxnWitB,$O1106)=0,"",INDEX(TxnWitB,$O1106)),""))</f>
        <v/>
      </c>
      <c r="K1106" s="27">
        <f>IF($B1106="","",IF($K1105="",$C$10,$K1105)+IF($I1106="",0,$I1106)-IF($J1106="",0,$J1106))</f>
        <v/>
      </c>
      <c r="L1106" s="28">
        <f>IF($N1106&lt;&gt;"",IF(INDEX(PCNotes,$N1106)="","—",INDEX(PCNotes,$N1106)),IF($O1106&lt;&gt;"",IF(INDEX(LdgNoteB,$O1106)="","—",INDEX(LdgNoteB,$O1106)),""))</f>
        <v/>
      </c>
      <c r="N1106">
        <f>IFERROR(MATCH($C$5&amp;"|"&amp;RIGHT("000000"&amp;1090,6),LdgRankKeyA,0),"")</f>
        <v/>
      </c>
      <c r="O1106">
        <f>IFERROR(MATCH($C$5&amp;"|"&amp;RIGHT("000000"&amp;1090,6),LdgRankKeyB,0),"")</f>
        <v/>
      </c>
    </row>
    <row r="1107">
      <c r="A1107" s="17" t="n">
        <v>1091</v>
      </c>
      <c r="B1107" s="18">
        <f>IF(AND($N1107="",$O1107=""),"",IF($N1107&lt;&gt;"",INDEX(PCNormDate,$N1107),INDEX(LdgDateB,$O1107)))</f>
        <v/>
      </c>
      <c r="C1107" s="18">
        <f>IF($N1107&lt;&gt;"",INDEX(PCOp,$N1107),IF($O1107&lt;&gt;"",IF(N(INDEX(TxnDepB,$O1107))&gt;0,"دریافت بانکی","پرداخت بانکی"),""))</f>
        <v/>
      </c>
      <c r="D1107" s="18">
        <f>IF($N1107&lt;&gt;"",IF(INDEX(PCDoc,$N1107)="","—",INDEX(PCDoc,$N1107)),IF($O1107&lt;&gt;"",INDEX(LdgBankB,$O1107),""))</f>
        <v/>
      </c>
      <c r="E1107" s="18">
        <f>IF($N1107&lt;&gt;"",IF(INDEX(PCCitrus,$N1107)="","—",INDEX(PCCitrus,$N1107)),"")</f>
        <v/>
      </c>
      <c r="F1107" s="19">
        <f>IF($N1107&lt;&gt;"",IF(INDEX(PCScale,$N1107)=0,"",INDEX(PCScale,$N1107)),"")</f>
        <v/>
      </c>
      <c r="G1107" s="19">
        <f>IF($N1107&lt;&gt;"",IF(INDEX(PCBaskets,$N1107)=0,"",INDEX(PCBaskets,$N1107)),"")</f>
        <v/>
      </c>
      <c r="H1107" s="20">
        <f>IF($N1107&lt;&gt;"",IF(INDEX(PCNet,$N1107)=0,"",INDEX(PCNet,$N1107)),"")</f>
        <v/>
      </c>
      <c r="I1107" s="19">
        <f>IF($N1107&lt;&gt;"",IF(INDEX(PCOp,$N1107)="مرجوعی خرید","",IF(INDEX(PCAmount,$N1107)&lt;=0,"",INDEX(PCAmount,$N1107))),IF($O1107&lt;&gt;"",IF(INDEX(TxnDepB,$O1107)=0,"",INDEX(TxnDepB,$O1107)),""))</f>
        <v/>
      </c>
      <c r="J1107" s="19">
        <f>IF($N1107&lt;&gt;"",IF(INDEX(PCOp,$N1107)="مرجوعی خرید",IF(INDEX(PCAmount,$N1107)=0,"",-INDEX(PCAmount,$N1107)),""),IF($O1107&lt;&gt;"",IF(INDEX(TxnWitB,$O1107)=0,"",INDEX(TxnWitB,$O1107)),""))</f>
        <v/>
      </c>
      <c r="K1107" s="21">
        <f>IF($B1107="","",IF($K1106="",$C$10,$K1106)+IF($I1107="",0,$I1107)-IF($J1107="",0,$J1107))</f>
        <v/>
      </c>
      <c r="L1107" s="22">
        <f>IF($N1107&lt;&gt;"",IF(INDEX(PCNotes,$N1107)="","—",INDEX(PCNotes,$N1107)),IF($O1107&lt;&gt;"",IF(INDEX(LdgNoteB,$O1107)="","—",INDEX(LdgNoteB,$O1107)),""))</f>
        <v/>
      </c>
      <c r="N1107">
        <f>IFERROR(MATCH($C$5&amp;"|"&amp;RIGHT("000000"&amp;1091,6),LdgRankKeyA,0),"")</f>
        <v/>
      </c>
      <c r="O1107">
        <f>IFERROR(MATCH($C$5&amp;"|"&amp;RIGHT("000000"&amp;1091,6),LdgRankKeyB,0),"")</f>
        <v/>
      </c>
    </row>
    <row r="1108">
      <c r="A1108" s="23" t="n">
        <v>1092</v>
      </c>
      <c r="B1108" s="24">
        <f>IF(AND($N1108="",$O1108=""),"",IF($N1108&lt;&gt;"",INDEX(PCNormDate,$N1108),INDEX(LdgDateB,$O1108)))</f>
        <v/>
      </c>
      <c r="C1108" s="24">
        <f>IF($N1108&lt;&gt;"",INDEX(PCOp,$N1108),IF($O1108&lt;&gt;"",IF(N(INDEX(TxnDepB,$O1108))&gt;0,"دریافت بانکی","پرداخت بانکی"),""))</f>
        <v/>
      </c>
      <c r="D1108" s="24">
        <f>IF($N1108&lt;&gt;"",IF(INDEX(PCDoc,$N1108)="","—",INDEX(PCDoc,$N1108)),IF($O1108&lt;&gt;"",INDEX(LdgBankB,$O1108),""))</f>
        <v/>
      </c>
      <c r="E1108" s="24">
        <f>IF($N1108&lt;&gt;"",IF(INDEX(PCCitrus,$N1108)="","—",INDEX(PCCitrus,$N1108)),"")</f>
        <v/>
      </c>
      <c r="F1108" s="25">
        <f>IF($N1108&lt;&gt;"",IF(INDEX(PCScale,$N1108)=0,"",INDEX(PCScale,$N1108)),"")</f>
        <v/>
      </c>
      <c r="G1108" s="25">
        <f>IF($N1108&lt;&gt;"",IF(INDEX(PCBaskets,$N1108)=0,"",INDEX(PCBaskets,$N1108)),"")</f>
        <v/>
      </c>
      <c r="H1108" s="26">
        <f>IF($N1108&lt;&gt;"",IF(INDEX(PCNet,$N1108)=0,"",INDEX(PCNet,$N1108)),"")</f>
        <v/>
      </c>
      <c r="I1108" s="25">
        <f>IF($N1108&lt;&gt;"",IF(INDEX(PCOp,$N1108)="مرجوعی خرید","",IF(INDEX(PCAmount,$N1108)&lt;=0,"",INDEX(PCAmount,$N1108))),IF($O1108&lt;&gt;"",IF(INDEX(TxnDepB,$O1108)=0,"",INDEX(TxnDepB,$O1108)),""))</f>
        <v/>
      </c>
      <c r="J1108" s="25">
        <f>IF($N1108&lt;&gt;"",IF(INDEX(PCOp,$N1108)="مرجوعی خرید",IF(INDEX(PCAmount,$N1108)=0,"",-INDEX(PCAmount,$N1108)),""),IF($O1108&lt;&gt;"",IF(INDEX(TxnWitB,$O1108)=0,"",INDEX(TxnWitB,$O1108)),""))</f>
        <v/>
      </c>
      <c r="K1108" s="27">
        <f>IF($B1108="","",IF($K1107="",$C$10,$K1107)+IF($I1108="",0,$I1108)-IF($J1108="",0,$J1108))</f>
        <v/>
      </c>
      <c r="L1108" s="28">
        <f>IF($N1108&lt;&gt;"",IF(INDEX(PCNotes,$N1108)="","—",INDEX(PCNotes,$N1108)),IF($O1108&lt;&gt;"",IF(INDEX(LdgNoteB,$O1108)="","—",INDEX(LdgNoteB,$O1108)),""))</f>
        <v/>
      </c>
      <c r="N1108">
        <f>IFERROR(MATCH($C$5&amp;"|"&amp;RIGHT("000000"&amp;1092,6),LdgRankKeyA,0),"")</f>
        <v/>
      </c>
      <c r="O1108">
        <f>IFERROR(MATCH($C$5&amp;"|"&amp;RIGHT("000000"&amp;1092,6),LdgRankKeyB,0),"")</f>
        <v/>
      </c>
    </row>
    <row r="1109">
      <c r="A1109" s="17" t="n">
        <v>1093</v>
      </c>
      <c r="B1109" s="18">
        <f>IF(AND($N1109="",$O1109=""),"",IF($N1109&lt;&gt;"",INDEX(PCNormDate,$N1109),INDEX(LdgDateB,$O1109)))</f>
        <v/>
      </c>
      <c r="C1109" s="18">
        <f>IF($N1109&lt;&gt;"",INDEX(PCOp,$N1109),IF($O1109&lt;&gt;"",IF(N(INDEX(TxnDepB,$O1109))&gt;0,"دریافت بانکی","پرداخت بانکی"),""))</f>
        <v/>
      </c>
      <c r="D1109" s="18">
        <f>IF($N1109&lt;&gt;"",IF(INDEX(PCDoc,$N1109)="","—",INDEX(PCDoc,$N1109)),IF($O1109&lt;&gt;"",INDEX(LdgBankB,$O1109),""))</f>
        <v/>
      </c>
      <c r="E1109" s="18">
        <f>IF($N1109&lt;&gt;"",IF(INDEX(PCCitrus,$N1109)="","—",INDEX(PCCitrus,$N1109)),"")</f>
        <v/>
      </c>
      <c r="F1109" s="19">
        <f>IF($N1109&lt;&gt;"",IF(INDEX(PCScale,$N1109)=0,"",INDEX(PCScale,$N1109)),"")</f>
        <v/>
      </c>
      <c r="G1109" s="19">
        <f>IF($N1109&lt;&gt;"",IF(INDEX(PCBaskets,$N1109)=0,"",INDEX(PCBaskets,$N1109)),"")</f>
        <v/>
      </c>
      <c r="H1109" s="20">
        <f>IF($N1109&lt;&gt;"",IF(INDEX(PCNet,$N1109)=0,"",INDEX(PCNet,$N1109)),"")</f>
        <v/>
      </c>
      <c r="I1109" s="19">
        <f>IF($N1109&lt;&gt;"",IF(INDEX(PCOp,$N1109)="مرجوعی خرید","",IF(INDEX(PCAmount,$N1109)&lt;=0,"",INDEX(PCAmount,$N1109))),IF($O1109&lt;&gt;"",IF(INDEX(TxnDepB,$O1109)=0,"",INDEX(TxnDepB,$O1109)),""))</f>
        <v/>
      </c>
      <c r="J1109" s="19">
        <f>IF($N1109&lt;&gt;"",IF(INDEX(PCOp,$N1109)="مرجوعی خرید",IF(INDEX(PCAmount,$N1109)=0,"",-INDEX(PCAmount,$N1109)),""),IF($O1109&lt;&gt;"",IF(INDEX(TxnWitB,$O1109)=0,"",INDEX(TxnWitB,$O1109)),""))</f>
        <v/>
      </c>
      <c r="K1109" s="21">
        <f>IF($B1109="","",IF($K1108="",$C$10,$K1108)+IF($I1109="",0,$I1109)-IF($J1109="",0,$J1109))</f>
        <v/>
      </c>
      <c r="L1109" s="22">
        <f>IF($N1109&lt;&gt;"",IF(INDEX(PCNotes,$N1109)="","—",INDEX(PCNotes,$N1109)),IF($O1109&lt;&gt;"",IF(INDEX(LdgNoteB,$O1109)="","—",INDEX(LdgNoteB,$O1109)),""))</f>
        <v/>
      </c>
      <c r="N1109">
        <f>IFERROR(MATCH($C$5&amp;"|"&amp;RIGHT("000000"&amp;1093,6),LdgRankKeyA,0),"")</f>
        <v/>
      </c>
      <c r="O1109">
        <f>IFERROR(MATCH($C$5&amp;"|"&amp;RIGHT("000000"&amp;1093,6),LdgRankKeyB,0),"")</f>
        <v/>
      </c>
    </row>
    <row r="1110">
      <c r="A1110" s="23" t="n">
        <v>1094</v>
      </c>
      <c r="B1110" s="24">
        <f>IF(AND($N1110="",$O1110=""),"",IF($N1110&lt;&gt;"",INDEX(PCNormDate,$N1110),INDEX(LdgDateB,$O1110)))</f>
        <v/>
      </c>
      <c r="C1110" s="24">
        <f>IF($N1110&lt;&gt;"",INDEX(PCOp,$N1110),IF($O1110&lt;&gt;"",IF(N(INDEX(TxnDepB,$O1110))&gt;0,"دریافت بانکی","پرداخت بانکی"),""))</f>
        <v/>
      </c>
      <c r="D1110" s="24">
        <f>IF($N1110&lt;&gt;"",IF(INDEX(PCDoc,$N1110)="","—",INDEX(PCDoc,$N1110)),IF($O1110&lt;&gt;"",INDEX(LdgBankB,$O1110),""))</f>
        <v/>
      </c>
      <c r="E1110" s="24">
        <f>IF($N1110&lt;&gt;"",IF(INDEX(PCCitrus,$N1110)="","—",INDEX(PCCitrus,$N1110)),"")</f>
        <v/>
      </c>
      <c r="F1110" s="25">
        <f>IF($N1110&lt;&gt;"",IF(INDEX(PCScale,$N1110)=0,"",INDEX(PCScale,$N1110)),"")</f>
        <v/>
      </c>
      <c r="G1110" s="25">
        <f>IF($N1110&lt;&gt;"",IF(INDEX(PCBaskets,$N1110)=0,"",INDEX(PCBaskets,$N1110)),"")</f>
        <v/>
      </c>
      <c r="H1110" s="26">
        <f>IF($N1110&lt;&gt;"",IF(INDEX(PCNet,$N1110)=0,"",INDEX(PCNet,$N1110)),"")</f>
        <v/>
      </c>
      <c r="I1110" s="25">
        <f>IF($N1110&lt;&gt;"",IF(INDEX(PCOp,$N1110)="مرجوعی خرید","",IF(INDEX(PCAmount,$N1110)&lt;=0,"",INDEX(PCAmount,$N1110))),IF($O1110&lt;&gt;"",IF(INDEX(TxnDepB,$O1110)=0,"",INDEX(TxnDepB,$O1110)),""))</f>
        <v/>
      </c>
      <c r="J1110" s="25">
        <f>IF($N1110&lt;&gt;"",IF(INDEX(PCOp,$N1110)="مرجوعی خرید",IF(INDEX(PCAmount,$N1110)=0,"",-INDEX(PCAmount,$N1110)),""),IF($O1110&lt;&gt;"",IF(INDEX(TxnWitB,$O1110)=0,"",INDEX(TxnWitB,$O1110)),""))</f>
        <v/>
      </c>
      <c r="K1110" s="27">
        <f>IF($B1110="","",IF($K1109="",$C$10,$K1109)+IF($I1110="",0,$I1110)-IF($J1110="",0,$J1110))</f>
        <v/>
      </c>
      <c r="L1110" s="28">
        <f>IF($N1110&lt;&gt;"",IF(INDEX(PCNotes,$N1110)="","—",INDEX(PCNotes,$N1110)),IF($O1110&lt;&gt;"",IF(INDEX(LdgNoteB,$O1110)="","—",INDEX(LdgNoteB,$O1110)),""))</f>
        <v/>
      </c>
      <c r="N1110">
        <f>IFERROR(MATCH($C$5&amp;"|"&amp;RIGHT("000000"&amp;1094,6),LdgRankKeyA,0),"")</f>
        <v/>
      </c>
      <c r="O1110">
        <f>IFERROR(MATCH($C$5&amp;"|"&amp;RIGHT("000000"&amp;1094,6),LdgRankKeyB,0),"")</f>
        <v/>
      </c>
    </row>
    <row r="1111">
      <c r="A1111" s="17" t="n">
        <v>1095</v>
      </c>
      <c r="B1111" s="18">
        <f>IF(AND($N1111="",$O1111=""),"",IF($N1111&lt;&gt;"",INDEX(PCNormDate,$N1111),INDEX(LdgDateB,$O1111)))</f>
        <v/>
      </c>
      <c r="C1111" s="18">
        <f>IF($N1111&lt;&gt;"",INDEX(PCOp,$N1111),IF($O1111&lt;&gt;"",IF(N(INDEX(TxnDepB,$O1111))&gt;0,"دریافت بانکی","پرداخت بانکی"),""))</f>
        <v/>
      </c>
      <c r="D1111" s="18">
        <f>IF($N1111&lt;&gt;"",IF(INDEX(PCDoc,$N1111)="","—",INDEX(PCDoc,$N1111)),IF($O1111&lt;&gt;"",INDEX(LdgBankB,$O1111),""))</f>
        <v/>
      </c>
      <c r="E1111" s="18">
        <f>IF($N1111&lt;&gt;"",IF(INDEX(PCCitrus,$N1111)="","—",INDEX(PCCitrus,$N1111)),"")</f>
        <v/>
      </c>
      <c r="F1111" s="19">
        <f>IF($N1111&lt;&gt;"",IF(INDEX(PCScale,$N1111)=0,"",INDEX(PCScale,$N1111)),"")</f>
        <v/>
      </c>
      <c r="G1111" s="19">
        <f>IF($N1111&lt;&gt;"",IF(INDEX(PCBaskets,$N1111)=0,"",INDEX(PCBaskets,$N1111)),"")</f>
        <v/>
      </c>
      <c r="H1111" s="20">
        <f>IF($N1111&lt;&gt;"",IF(INDEX(PCNet,$N1111)=0,"",INDEX(PCNet,$N1111)),"")</f>
        <v/>
      </c>
      <c r="I1111" s="19">
        <f>IF($N1111&lt;&gt;"",IF(INDEX(PCOp,$N1111)="مرجوعی خرید","",IF(INDEX(PCAmount,$N1111)&lt;=0,"",INDEX(PCAmount,$N1111))),IF($O1111&lt;&gt;"",IF(INDEX(TxnDepB,$O1111)=0,"",INDEX(TxnDepB,$O1111)),""))</f>
        <v/>
      </c>
      <c r="J1111" s="19">
        <f>IF($N1111&lt;&gt;"",IF(INDEX(PCOp,$N1111)="مرجوعی خرید",IF(INDEX(PCAmount,$N1111)=0,"",-INDEX(PCAmount,$N1111)),""),IF($O1111&lt;&gt;"",IF(INDEX(TxnWitB,$O1111)=0,"",INDEX(TxnWitB,$O1111)),""))</f>
        <v/>
      </c>
      <c r="K1111" s="21">
        <f>IF($B1111="","",IF($K1110="",$C$10,$K1110)+IF($I1111="",0,$I1111)-IF($J1111="",0,$J1111))</f>
        <v/>
      </c>
      <c r="L1111" s="22">
        <f>IF($N1111&lt;&gt;"",IF(INDEX(PCNotes,$N1111)="","—",INDEX(PCNotes,$N1111)),IF($O1111&lt;&gt;"",IF(INDEX(LdgNoteB,$O1111)="","—",INDEX(LdgNoteB,$O1111)),""))</f>
        <v/>
      </c>
      <c r="N1111">
        <f>IFERROR(MATCH($C$5&amp;"|"&amp;RIGHT("000000"&amp;1095,6),LdgRankKeyA,0),"")</f>
        <v/>
      </c>
      <c r="O1111">
        <f>IFERROR(MATCH($C$5&amp;"|"&amp;RIGHT("000000"&amp;1095,6),LdgRankKeyB,0),"")</f>
        <v/>
      </c>
    </row>
    <row r="1112">
      <c r="A1112" s="23" t="n">
        <v>1096</v>
      </c>
      <c r="B1112" s="24">
        <f>IF(AND($N1112="",$O1112=""),"",IF($N1112&lt;&gt;"",INDEX(PCNormDate,$N1112),INDEX(LdgDateB,$O1112)))</f>
        <v/>
      </c>
      <c r="C1112" s="24">
        <f>IF($N1112&lt;&gt;"",INDEX(PCOp,$N1112),IF($O1112&lt;&gt;"",IF(N(INDEX(TxnDepB,$O1112))&gt;0,"دریافت بانکی","پرداخت بانکی"),""))</f>
        <v/>
      </c>
      <c r="D1112" s="24">
        <f>IF($N1112&lt;&gt;"",IF(INDEX(PCDoc,$N1112)="","—",INDEX(PCDoc,$N1112)),IF($O1112&lt;&gt;"",INDEX(LdgBankB,$O1112),""))</f>
        <v/>
      </c>
      <c r="E1112" s="24">
        <f>IF($N1112&lt;&gt;"",IF(INDEX(PCCitrus,$N1112)="","—",INDEX(PCCitrus,$N1112)),"")</f>
        <v/>
      </c>
      <c r="F1112" s="25">
        <f>IF($N1112&lt;&gt;"",IF(INDEX(PCScale,$N1112)=0,"",INDEX(PCScale,$N1112)),"")</f>
        <v/>
      </c>
      <c r="G1112" s="25">
        <f>IF($N1112&lt;&gt;"",IF(INDEX(PCBaskets,$N1112)=0,"",INDEX(PCBaskets,$N1112)),"")</f>
        <v/>
      </c>
      <c r="H1112" s="26">
        <f>IF($N1112&lt;&gt;"",IF(INDEX(PCNet,$N1112)=0,"",INDEX(PCNet,$N1112)),"")</f>
        <v/>
      </c>
      <c r="I1112" s="25">
        <f>IF($N1112&lt;&gt;"",IF(INDEX(PCOp,$N1112)="مرجوعی خرید","",IF(INDEX(PCAmount,$N1112)&lt;=0,"",INDEX(PCAmount,$N1112))),IF($O1112&lt;&gt;"",IF(INDEX(TxnDepB,$O1112)=0,"",INDEX(TxnDepB,$O1112)),""))</f>
        <v/>
      </c>
      <c r="J1112" s="25">
        <f>IF($N1112&lt;&gt;"",IF(INDEX(PCOp,$N1112)="مرجوعی خرید",IF(INDEX(PCAmount,$N1112)=0,"",-INDEX(PCAmount,$N1112)),""),IF($O1112&lt;&gt;"",IF(INDEX(TxnWitB,$O1112)=0,"",INDEX(TxnWitB,$O1112)),""))</f>
        <v/>
      </c>
      <c r="K1112" s="27">
        <f>IF($B1112="","",IF($K1111="",$C$10,$K1111)+IF($I1112="",0,$I1112)-IF($J1112="",0,$J1112))</f>
        <v/>
      </c>
      <c r="L1112" s="28">
        <f>IF($N1112&lt;&gt;"",IF(INDEX(PCNotes,$N1112)="","—",INDEX(PCNotes,$N1112)),IF($O1112&lt;&gt;"",IF(INDEX(LdgNoteB,$O1112)="","—",INDEX(LdgNoteB,$O1112)),""))</f>
        <v/>
      </c>
      <c r="N1112">
        <f>IFERROR(MATCH($C$5&amp;"|"&amp;RIGHT("000000"&amp;1096,6),LdgRankKeyA,0),"")</f>
        <v/>
      </c>
      <c r="O1112">
        <f>IFERROR(MATCH($C$5&amp;"|"&amp;RIGHT("000000"&amp;1096,6),LdgRankKeyB,0),"")</f>
        <v/>
      </c>
    </row>
    <row r="1113">
      <c r="A1113" s="17" t="n">
        <v>1097</v>
      </c>
      <c r="B1113" s="18">
        <f>IF(AND($N1113="",$O1113=""),"",IF($N1113&lt;&gt;"",INDEX(PCNormDate,$N1113),INDEX(LdgDateB,$O1113)))</f>
        <v/>
      </c>
      <c r="C1113" s="18">
        <f>IF($N1113&lt;&gt;"",INDEX(PCOp,$N1113),IF($O1113&lt;&gt;"",IF(N(INDEX(TxnDepB,$O1113))&gt;0,"دریافت بانکی","پرداخت بانکی"),""))</f>
        <v/>
      </c>
      <c r="D1113" s="18">
        <f>IF($N1113&lt;&gt;"",IF(INDEX(PCDoc,$N1113)="","—",INDEX(PCDoc,$N1113)),IF($O1113&lt;&gt;"",INDEX(LdgBankB,$O1113),""))</f>
        <v/>
      </c>
      <c r="E1113" s="18">
        <f>IF($N1113&lt;&gt;"",IF(INDEX(PCCitrus,$N1113)="","—",INDEX(PCCitrus,$N1113)),"")</f>
        <v/>
      </c>
      <c r="F1113" s="19">
        <f>IF($N1113&lt;&gt;"",IF(INDEX(PCScale,$N1113)=0,"",INDEX(PCScale,$N1113)),"")</f>
        <v/>
      </c>
      <c r="G1113" s="19">
        <f>IF($N1113&lt;&gt;"",IF(INDEX(PCBaskets,$N1113)=0,"",INDEX(PCBaskets,$N1113)),"")</f>
        <v/>
      </c>
      <c r="H1113" s="20">
        <f>IF($N1113&lt;&gt;"",IF(INDEX(PCNet,$N1113)=0,"",INDEX(PCNet,$N1113)),"")</f>
        <v/>
      </c>
      <c r="I1113" s="19">
        <f>IF($N1113&lt;&gt;"",IF(INDEX(PCOp,$N1113)="مرجوعی خرید","",IF(INDEX(PCAmount,$N1113)&lt;=0,"",INDEX(PCAmount,$N1113))),IF($O1113&lt;&gt;"",IF(INDEX(TxnDepB,$O1113)=0,"",INDEX(TxnDepB,$O1113)),""))</f>
        <v/>
      </c>
      <c r="J1113" s="19">
        <f>IF($N1113&lt;&gt;"",IF(INDEX(PCOp,$N1113)="مرجوعی خرید",IF(INDEX(PCAmount,$N1113)=0,"",-INDEX(PCAmount,$N1113)),""),IF($O1113&lt;&gt;"",IF(INDEX(TxnWitB,$O1113)=0,"",INDEX(TxnWitB,$O1113)),""))</f>
        <v/>
      </c>
      <c r="K1113" s="21">
        <f>IF($B1113="","",IF($K1112="",$C$10,$K1112)+IF($I1113="",0,$I1113)-IF($J1113="",0,$J1113))</f>
        <v/>
      </c>
      <c r="L1113" s="22">
        <f>IF($N1113&lt;&gt;"",IF(INDEX(PCNotes,$N1113)="","—",INDEX(PCNotes,$N1113)),IF($O1113&lt;&gt;"",IF(INDEX(LdgNoteB,$O1113)="","—",INDEX(LdgNoteB,$O1113)),""))</f>
        <v/>
      </c>
      <c r="N1113">
        <f>IFERROR(MATCH($C$5&amp;"|"&amp;RIGHT("000000"&amp;1097,6),LdgRankKeyA,0),"")</f>
        <v/>
      </c>
      <c r="O1113">
        <f>IFERROR(MATCH($C$5&amp;"|"&amp;RIGHT("000000"&amp;1097,6),LdgRankKeyB,0),"")</f>
        <v/>
      </c>
    </row>
    <row r="1114">
      <c r="A1114" s="23" t="n">
        <v>1098</v>
      </c>
      <c r="B1114" s="24">
        <f>IF(AND($N1114="",$O1114=""),"",IF($N1114&lt;&gt;"",INDEX(PCNormDate,$N1114),INDEX(LdgDateB,$O1114)))</f>
        <v/>
      </c>
      <c r="C1114" s="24">
        <f>IF($N1114&lt;&gt;"",INDEX(PCOp,$N1114),IF($O1114&lt;&gt;"",IF(N(INDEX(TxnDepB,$O1114))&gt;0,"دریافت بانکی","پرداخت بانکی"),""))</f>
        <v/>
      </c>
      <c r="D1114" s="24">
        <f>IF($N1114&lt;&gt;"",IF(INDEX(PCDoc,$N1114)="","—",INDEX(PCDoc,$N1114)),IF($O1114&lt;&gt;"",INDEX(LdgBankB,$O1114),""))</f>
        <v/>
      </c>
      <c r="E1114" s="24">
        <f>IF($N1114&lt;&gt;"",IF(INDEX(PCCitrus,$N1114)="","—",INDEX(PCCitrus,$N1114)),"")</f>
        <v/>
      </c>
      <c r="F1114" s="25">
        <f>IF($N1114&lt;&gt;"",IF(INDEX(PCScale,$N1114)=0,"",INDEX(PCScale,$N1114)),"")</f>
        <v/>
      </c>
      <c r="G1114" s="25">
        <f>IF($N1114&lt;&gt;"",IF(INDEX(PCBaskets,$N1114)=0,"",INDEX(PCBaskets,$N1114)),"")</f>
        <v/>
      </c>
      <c r="H1114" s="26">
        <f>IF($N1114&lt;&gt;"",IF(INDEX(PCNet,$N1114)=0,"",INDEX(PCNet,$N1114)),"")</f>
        <v/>
      </c>
      <c r="I1114" s="25">
        <f>IF($N1114&lt;&gt;"",IF(INDEX(PCOp,$N1114)="مرجوعی خرید","",IF(INDEX(PCAmount,$N1114)&lt;=0,"",INDEX(PCAmount,$N1114))),IF($O1114&lt;&gt;"",IF(INDEX(TxnDepB,$O1114)=0,"",INDEX(TxnDepB,$O1114)),""))</f>
        <v/>
      </c>
      <c r="J1114" s="25">
        <f>IF($N1114&lt;&gt;"",IF(INDEX(PCOp,$N1114)="مرجوعی خرید",IF(INDEX(PCAmount,$N1114)=0,"",-INDEX(PCAmount,$N1114)),""),IF($O1114&lt;&gt;"",IF(INDEX(TxnWitB,$O1114)=0,"",INDEX(TxnWitB,$O1114)),""))</f>
        <v/>
      </c>
      <c r="K1114" s="27">
        <f>IF($B1114="","",IF($K1113="",$C$10,$K1113)+IF($I1114="",0,$I1114)-IF($J1114="",0,$J1114))</f>
        <v/>
      </c>
      <c r="L1114" s="28">
        <f>IF($N1114&lt;&gt;"",IF(INDEX(PCNotes,$N1114)="","—",INDEX(PCNotes,$N1114)),IF($O1114&lt;&gt;"",IF(INDEX(LdgNoteB,$O1114)="","—",INDEX(LdgNoteB,$O1114)),""))</f>
        <v/>
      </c>
      <c r="N1114">
        <f>IFERROR(MATCH($C$5&amp;"|"&amp;RIGHT("000000"&amp;1098,6),LdgRankKeyA,0),"")</f>
        <v/>
      </c>
      <c r="O1114">
        <f>IFERROR(MATCH($C$5&amp;"|"&amp;RIGHT("000000"&amp;1098,6),LdgRankKeyB,0),"")</f>
        <v/>
      </c>
    </row>
    <row r="1115">
      <c r="A1115" s="17" t="n">
        <v>1099</v>
      </c>
      <c r="B1115" s="18">
        <f>IF(AND($N1115="",$O1115=""),"",IF($N1115&lt;&gt;"",INDEX(PCNormDate,$N1115),INDEX(LdgDateB,$O1115)))</f>
        <v/>
      </c>
      <c r="C1115" s="18">
        <f>IF($N1115&lt;&gt;"",INDEX(PCOp,$N1115),IF($O1115&lt;&gt;"",IF(N(INDEX(TxnDepB,$O1115))&gt;0,"دریافت بانکی","پرداخت بانکی"),""))</f>
        <v/>
      </c>
      <c r="D1115" s="18">
        <f>IF($N1115&lt;&gt;"",IF(INDEX(PCDoc,$N1115)="","—",INDEX(PCDoc,$N1115)),IF($O1115&lt;&gt;"",INDEX(LdgBankB,$O1115),""))</f>
        <v/>
      </c>
      <c r="E1115" s="18">
        <f>IF($N1115&lt;&gt;"",IF(INDEX(PCCitrus,$N1115)="","—",INDEX(PCCitrus,$N1115)),"")</f>
        <v/>
      </c>
      <c r="F1115" s="19">
        <f>IF($N1115&lt;&gt;"",IF(INDEX(PCScale,$N1115)=0,"",INDEX(PCScale,$N1115)),"")</f>
        <v/>
      </c>
      <c r="G1115" s="19">
        <f>IF($N1115&lt;&gt;"",IF(INDEX(PCBaskets,$N1115)=0,"",INDEX(PCBaskets,$N1115)),"")</f>
        <v/>
      </c>
      <c r="H1115" s="20">
        <f>IF($N1115&lt;&gt;"",IF(INDEX(PCNet,$N1115)=0,"",INDEX(PCNet,$N1115)),"")</f>
        <v/>
      </c>
      <c r="I1115" s="19">
        <f>IF($N1115&lt;&gt;"",IF(INDEX(PCOp,$N1115)="مرجوعی خرید","",IF(INDEX(PCAmount,$N1115)&lt;=0,"",INDEX(PCAmount,$N1115))),IF($O1115&lt;&gt;"",IF(INDEX(TxnDepB,$O1115)=0,"",INDEX(TxnDepB,$O1115)),""))</f>
        <v/>
      </c>
      <c r="J1115" s="19">
        <f>IF($N1115&lt;&gt;"",IF(INDEX(PCOp,$N1115)="مرجوعی خرید",IF(INDEX(PCAmount,$N1115)=0,"",-INDEX(PCAmount,$N1115)),""),IF($O1115&lt;&gt;"",IF(INDEX(TxnWitB,$O1115)=0,"",INDEX(TxnWitB,$O1115)),""))</f>
        <v/>
      </c>
      <c r="K1115" s="21">
        <f>IF($B1115="","",IF($K1114="",$C$10,$K1114)+IF($I1115="",0,$I1115)-IF($J1115="",0,$J1115))</f>
        <v/>
      </c>
      <c r="L1115" s="22">
        <f>IF($N1115&lt;&gt;"",IF(INDEX(PCNotes,$N1115)="","—",INDEX(PCNotes,$N1115)),IF($O1115&lt;&gt;"",IF(INDEX(LdgNoteB,$O1115)="","—",INDEX(LdgNoteB,$O1115)),""))</f>
        <v/>
      </c>
      <c r="N1115">
        <f>IFERROR(MATCH($C$5&amp;"|"&amp;RIGHT("000000"&amp;1099,6),LdgRankKeyA,0),"")</f>
        <v/>
      </c>
      <c r="O1115">
        <f>IFERROR(MATCH($C$5&amp;"|"&amp;RIGHT("000000"&amp;1099,6),LdgRankKeyB,0),"")</f>
        <v/>
      </c>
    </row>
    <row r="1116">
      <c r="A1116" s="23" t="n">
        <v>1100</v>
      </c>
      <c r="B1116" s="24">
        <f>IF(AND($N1116="",$O1116=""),"",IF($N1116&lt;&gt;"",INDEX(PCNormDate,$N1116),INDEX(LdgDateB,$O1116)))</f>
        <v/>
      </c>
      <c r="C1116" s="24">
        <f>IF($N1116&lt;&gt;"",INDEX(PCOp,$N1116),IF($O1116&lt;&gt;"",IF(N(INDEX(TxnDepB,$O1116))&gt;0,"دریافت بانکی","پرداخت بانکی"),""))</f>
        <v/>
      </c>
      <c r="D1116" s="24">
        <f>IF($N1116&lt;&gt;"",IF(INDEX(PCDoc,$N1116)="","—",INDEX(PCDoc,$N1116)),IF($O1116&lt;&gt;"",INDEX(LdgBankB,$O1116),""))</f>
        <v/>
      </c>
      <c r="E1116" s="24">
        <f>IF($N1116&lt;&gt;"",IF(INDEX(PCCitrus,$N1116)="","—",INDEX(PCCitrus,$N1116)),"")</f>
        <v/>
      </c>
      <c r="F1116" s="25">
        <f>IF($N1116&lt;&gt;"",IF(INDEX(PCScale,$N1116)=0,"",INDEX(PCScale,$N1116)),"")</f>
        <v/>
      </c>
      <c r="G1116" s="25">
        <f>IF($N1116&lt;&gt;"",IF(INDEX(PCBaskets,$N1116)=0,"",INDEX(PCBaskets,$N1116)),"")</f>
        <v/>
      </c>
      <c r="H1116" s="26">
        <f>IF($N1116&lt;&gt;"",IF(INDEX(PCNet,$N1116)=0,"",INDEX(PCNet,$N1116)),"")</f>
        <v/>
      </c>
      <c r="I1116" s="25">
        <f>IF($N1116&lt;&gt;"",IF(INDEX(PCOp,$N1116)="مرجوعی خرید","",IF(INDEX(PCAmount,$N1116)&lt;=0,"",INDEX(PCAmount,$N1116))),IF($O1116&lt;&gt;"",IF(INDEX(TxnDepB,$O1116)=0,"",INDEX(TxnDepB,$O1116)),""))</f>
        <v/>
      </c>
      <c r="J1116" s="25">
        <f>IF($N1116&lt;&gt;"",IF(INDEX(PCOp,$N1116)="مرجوعی خرید",IF(INDEX(PCAmount,$N1116)=0,"",-INDEX(PCAmount,$N1116)),""),IF($O1116&lt;&gt;"",IF(INDEX(TxnWitB,$O1116)=0,"",INDEX(TxnWitB,$O1116)),""))</f>
        <v/>
      </c>
      <c r="K1116" s="27">
        <f>IF($B1116="","",IF($K1115="",$C$10,$K1115)+IF($I1116="",0,$I1116)-IF($J1116="",0,$J1116))</f>
        <v/>
      </c>
      <c r="L1116" s="28">
        <f>IF($N1116&lt;&gt;"",IF(INDEX(PCNotes,$N1116)="","—",INDEX(PCNotes,$N1116)),IF($O1116&lt;&gt;"",IF(INDEX(LdgNoteB,$O1116)="","—",INDEX(LdgNoteB,$O1116)),""))</f>
        <v/>
      </c>
      <c r="N1116">
        <f>IFERROR(MATCH($C$5&amp;"|"&amp;RIGHT("000000"&amp;1100,6),LdgRankKeyA,0),"")</f>
        <v/>
      </c>
      <c r="O1116">
        <f>IFERROR(MATCH($C$5&amp;"|"&amp;RIGHT("000000"&amp;1100,6),LdgRankKeyB,0),"")</f>
        <v/>
      </c>
    </row>
    <row r="1117">
      <c r="A1117" s="17" t="n">
        <v>1101</v>
      </c>
      <c r="B1117" s="18">
        <f>IF(AND($N1117="",$O1117=""),"",IF($N1117&lt;&gt;"",INDEX(PCNormDate,$N1117),INDEX(LdgDateB,$O1117)))</f>
        <v/>
      </c>
      <c r="C1117" s="18">
        <f>IF($N1117&lt;&gt;"",INDEX(PCOp,$N1117),IF($O1117&lt;&gt;"",IF(N(INDEX(TxnDepB,$O1117))&gt;0,"دریافت بانکی","پرداخت بانکی"),""))</f>
        <v/>
      </c>
      <c r="D1117" s="18">
        <f>IF($N1117&lt;&gt;"",IF(INDEX(PCDoc,$N1117)="","—",INDEX(PCDoc,$N1117)),IF($O1117&lt;&gt;"",INDEX(LdgBankB,$O1117),""))</f>
        <v/>
      </c>
      <c r="E1117" s="18">
        <f>IF($N1117&lt;&gt;"",IF(INDEX(PCCitrus,$N1117)="","—",INDEX(PCCitrus,$N1117)),"")</f>
        <v/>
      </c>
      <c r="F1117" s="19">
        <f>IF($N1117&lt;&gt;"",IF(INDEX(PCScale,$N1117)=0,"",INDEX(PCScale,$N1117)),"")</f>
        <v/>
      </c>
      <c r="G1117" s="19">
        <f>IF($N1117&lt;&gt;"",IF(INDEX(PCBaskets,$N1117)=0,"",INDEX(PCBaskets,$N1117)),"")</f>
        <v/>
      </c>
      <c r="H1117" s="20">
        <f>IF($N1117&lt;&gt;"",IF(INDEX(PCNet,$N1117)=0,"",INDEX(PCNet,$N1117)),"")</f>
        <v/>
      </c>
      <c r="I1117" s="19">
        <f>IF($N1117&lt;&gt;"",IF(INDEX(PCOp,$N1117)="مرجوعی خرید","",IF(INDEX(PCAmount,$N1117)&lt;=0,"",INDEX(PCAmount,$N1117))),IF($O1117&lt;&gt;"",IF(INDEX(TxnDepB,$O1117)=0,"",INDEX(TxnDepB,$O1117)),""))</f>
        <v/>
      </c>
      <c r="J1117" s="19">
        <f>IF($N1117&lt;&gt;"",IF(INDEX(PCOp,$N1117)="مرجوعی خرید",IF(INDEX(PCAmount,$N1117)=0,"",-INDEX(PCAmount,$N1117)),""),IF($O1117&lt;&gt;"",IF(INDEX(TxnWitB,$O1117)=0,"",INDEX(TxnWitB,$O1117)),""))</f>
        <v/>
      </c>
      <c r="K1117" s="21">
        <f>IF($B1117="","",IF($K1116="",$C$10,$K1116)+IF($I1117="",0,$I1117)-IF($J1117="",0,$J1117))</f>
        <v/>
      </c>
      <c r="L1117" s="22">
        <f>IF($N1117&lt;&gt;"",IF(INDEX(PCNotes,$N1117)="","—",INDEX(PCNotes,$N1117)),IF($O1117&lt;&gt;"",IF(INDEX(LdgNoteB,$O1117)="","—",INDEX(LdgNoteB,$O1117)),""))</f>
        <v/>
      </c>
      <c r="N1117">
        <f>IFERROR(MATCH($C$5&amp;"|"&amp;RIGHT("000000"&amp;1101,6),LdgRankKeyA,0),"")</f>
        <v/>
      </c>
      <c r="O1117">
        <f>IFERROR(MATCH($C$5&amp;"|"&amp;RIGHT("000000"&amp;1101,6),LdgRankKeyB,0),"")</f>
        <v/>
      </c>
    </row>
    <row r="1118">
      <c r="A1118" s="23" t="n">
        <v>1102</v>
      </c>
      <c r="B1118" s="24">
        <f>IF(AND($N1118="",$O1118=""),"",IF($N1118&lt;&gt;"",INDEX(PCNormDate,$N1118),INDEX(LdgDateB,$O1118)))</f>
        <v/>
      </c>
      <c r="C1118" s="24">
        <f>IF($N1118&lt;&gt;"",INDEX(PCOp,$N1118),IF($O1118&lt;&gt;"",IF(N(INDEX(TxnDepB,$O1118))&gt;0,"دریافت بانکی","پرداخت بانکی"),""))</f>
        <v/>
      </c>
      <c r="D1118" s="24">
        <f>IF($N1118&lt;&gt;"",IF(INDEX(PCDoc,$N1118)="","—",INDEX(PCDoc,$N1118)),IF($O1118&lt;&gt;"",INDEX(LdgBankB,$O1118),""))</f>
        <v/>
      </c>
      <c r="E1118" s="24">
        <f>IF($N1118&lt;&gt;"",IF(INDEX(PCCitrus,$N1118)="","—",INDEX(PCCitrus,$N1118)),"")</f>
        <v/>
      </c>
      <c r="F1118" s="25">
        <f>IF($N1118&lt;&gt;"",IF(INDEX(PCScale,$N1118)=0,"",INDEX(PCScale,$N1118)),"")</f>
        <v/>
      </c>
      <c r="G1118" s="25">
        <f>IF($N1118&lt;&gt;"",IF(INDEX(PCBaskets,$N1118)=0,"",INDEX(PCBaskets,$N1118)),"")</f>
        <v/>
      </c>
      <c r="H1118" s="26">
        <f>IF($N1118&lt;&gt;"",IF(INDEX(PCNet,$N1118)=0,"",INDEX(PCNet,$N1118)),"")</f>
        <v/>
      </c>
      <c r="I1118" s="25">
        <f>IF($N1118&lt;&gt;"",IF(INDEX(PCOp,$N1118)="مرجوعی خرید","",IF(INDEX(PCAmount,$N1118)&lt;=0,"",INDEX(PCAmount,$N1118))),IF($O1118&lt;&gt;"",IF(INDEX(TxnDepB,$O1118)=0,"",INDEX(TxnDepB,$O1118)),""))</f>
        <v/>
      </c>
      <c r="J1118" s="25">
        <f>IF($N1118&lt;&gt;"",IF(INDEX(PCOp,$N1118)="مرجوعی خرید",IF(INDEX(PCAmount,$N1118)=0,"",-INDEX(PCAmount,$N1118)),""),IF($O1118&lt;&gt;"",IF(INDEX(TxnWitB,$O1118)=0,"",INDEX(TxnWitB,$O1118)),""))</f>
        <v/>
      </c>
      <c r="K1118" s="27">
        <f>IF($B1118="","",IF($K1117="",$C$10,$K1117)+IF($I1118="",0,$I1118)-IF($J1118="",0,$J1118))</f>
        <v/>
      </c>
      <c r="L1118" s="28">
        <f>IF($N1118&lt;&gt;"",IF(INDEX(PCNotes,$N1118)="","—",INDEX(PCNotes,$N1118)),IF($O1118&lt;&gt;"",IF(INDEX(LdgNoteB,$O1118)="","—",INDEX(LdgNoteB,$O1118)),""))</f>
        <v/>
      </c>
      <c r="N1118">
        <f>IFERROR(MATCH($C$5&amp;"|"&amp;RIGHT("000000"&amp;1102,6),LdgRankKeyA,0),"")</f>
        <v/>
      </c>
      <c r="O1118">
        <f>IFERROR(MATCH($C$5&amp;"|"&amp;RIGHT("000000"&amp;1102,6),LdgRankKeyB,0),"")</f>
        <v/>
      </c>
    </row>
    <row r="1119">
      <c r="A1119" s="17" t="n">
        <v>1103</v>
      </c>
      <c r="B1119" s="18">
        <f>IF(AND($N1119="",$O1119=""),"",IF($N1119&lt;&gt;"",INDEX(PCNormDate,$N1119),INDEX(LdgDateB,$O1119)))</f>
        <v/>
      </c>
      <c r="C1119" s="18">
        <f>IF($N1119&lt;&gt;"",INDEX(PCOp,$N1119),IF($O1119&lt;&gt;"",IF(N(INDEX(TxnDepB,$O1119))&gt;0,"دریافت بانکی","پرداخت بانکی"),""))</f>
        <v/>
      </c>
      <c r="D1119" s="18">
        <f>IF($N1119&lt;&gt;"",IF(INDEX(PCDoc,$N1119)="","—",INDEX(PCDoc,$N1119)),IF($O1119&lt;&gt;"",INDEX(LdgBankB,$O1119),""))</f>
        <v/>
      </c>
      <c r="E1119" s="18">
        <f>IF($N1119&lt;&gt;"",IF(INDEX(PCCitrus,$N1119)="","—",INDEX(PCCitrus,$N1119)),"")</f>
        <v/>
      </c>
      <c r="F1119" s="19">
        <f>IF($N1119&lt;&gt;"",IF(INDEX(PCScale,$N1119)=0,"",INDEX(PCScale,$N1119)),"")</f>
        <v/>
      </c>
      <c r="G1119" s="19">
        <f>IF($N1119&lt;&gt;"",IF(INDEX(PCBaskets,$N1119)=0,"",INDEX(PCBaskets,$N1119)),"")</f>
        <v/>
      </c>
      <c r="H1119" s="20">
        <f>IF($N1119&lt;&gt;"",IF(INDEX(PCNet,$N1119)=0,"",INDEX(PCNet,$N1119)),"")</f>
        <v/>
      </c>
      <c r="I1119" s="19">
        <f>IF($N1119&lt;&gt;"",IF(INDEX(PCOp,$N1119)="مرجوعی خرید","",IF(INDEX(PCAmount,$N1119)&lt;=0,"",INDEX(PCAmount,$N1119))),IF($O1119&lt;&gt;"",IF(INDEX(TxnDepB,$O1119)=0,"",INDEX(TxnDepB,$O1119)),""))</f>
        <v/>
      </c>
      <c r="J1119" s="19">
        <f>IF($N1119&lt;&gt;"",IF(INDEX(PCOp,$N1119)="مرجوعی خرید",IF(INDEX(PCAmount,$N1119)=0,"",-INDEX(PCAmount,$N1119)),""),IF($O1119&lt;&gt;"",IF(INDEX(TxnWitB,$O1119)=0,"",INDEX(TxnWitB,$O1119)),""))</f>
        <v/>
      </c>
      <c r="K1119" s="21">
        <f>IF($B1119="","",IF($K1118="",$C$10,$K1118)+IF($I1119="",0,$I1119)-IF($J1119="",0,$J1119))</f>
        <v/>
      </c>
      <c r="L1119" s="22">
        <f>IF($N1119&lt;&gt;"",IF(INDEX(PCNotes,$N1119)="","—",INDEX(PCNotes,$N1119)),IF($O1119&lt;&gt;"",IF(INDEX(LdgNoteB,$O1119)="","—",INDEX(LdgNoteB,$O1119)),""))</f>
        <v/>
      </c>
      <c r="N1119">
        <f>IFERROR(MATCH($C$5&amp;"|"&amp;RIGHT("000000"&amp;1103,6),LdgRankKeyA,0),"")</f>
        <v/>
      </c>
      <c r="O1119">
        <f>IFERROR(MATCH($C$5&amp;"|"&amp;RIGHT("000000"&amp;1103,6),LdgRankKeyB,0),"")</f>
        <v/>
      </c>
    </row>
    <row r="1120">
      <c r="A1120" s="23" t="n">
        <v>1104</v>
      </c>
      <c r="B1120" s="24">
        <f>IF(AND($N1120="",$O1120=""),"",IF($N1120&lt;&gt;"",INDEX(PCNormDate,$N1120),INDEX(LdgDateB,$O1120)))</f>
        <v/>
      </c>
      <c r="C1120" s="24">
        <f>IF($N1120&lt;&gt;"",INDEX(PCOp,$N1120),IF($O1120&lt;&gt;"",IF(N(INDEX(TxnDepB,$O1120))&gt;0,"دریافت بانکی","پرداخت بانکی"),""))</f>
        <v/>
      </c>
      <c r="D1120" s="24">
        <f>IF($N1120&lt;&gt;"",IF(INDEX(PCDoc,$N1120)="","—",INDEX(PCDoc,$N1120)),IF($O1120&lt;&gt;"",INDEX(LdgBankB,$O1120),""))</f>
        <v/>
      </c>
      <c r="E1120" s="24">
        <f>IF($N1120&lt;&gt;"",IF(INDEX(PCCitrus,$N1120)="","—",INDEX(PCCitrus,$N1120)),"")</f>
        <v/>
      </c>
      <c r="F1120" s="25">
        <f>IF($N1120&lt;&gt;"",IF(INDEX(PCScale,$N1120)=0,"",INDEX(PCScale,$N1120)),"")</f>
        <v/>
      </c>
      <c r="G1120" s="25">
        <f>IF($N1120&lt;&gt;"",IF(INDEX(PCBaskets,$N1120)=0,"",INDEX(PCBaskets,$N1120)),"")</f>
        <v/>
      </c>
      <c r="H1120" s="26">
        <f>IF($N1120&lt;&gt;"",IF(INDEX(PCNet,$N1120)=0,"",INDEX(PCNet,$N1120)),"")</f>
        <v/>
      </c>
      <c r="I1120" s="25">
        <f>IF($N1120&lt;&gt;"",IF(INDEX(PCOp,$N1120)="مرجوعی خرید","",IF(INDEX(PCAmount,$N1120)&lt;=0,"",INDEX(PCAmount,$N1120))),IF($O1120&lt;&gt;"",IF(INDEX(TxnDepB,$O1120)=0,"",INDEX(TxnDepB,$O1120)),""))</f>
        <v/>
      </c>
      <c r="J1120" s="25">
        <f>IF($N1120&lt;&gt;"",IF(INDEX(PCOp,$N1120)="مرجوعی خرید",IF(INDEX(PCAmount,$N1120)=0,"",-INDEX(PCAmount,$N1120)),""),IF($O1120&lt;&gt;"",IF(INDEX(TxnWitB,$O1120)=0,"",INDEX(TxnWitB,$O1120)),""))</f>
        <v/>
      </c>
      <c r="K1120" s="27">
        <f>IF($B1120="","",IF($K1119="",$C$10,$K1119)+IF($I1120="",0,$I1120)-IF($J1120="",0,$J1120))</f>
        <v/>
      </c>
      <c r="L1120" s="28">
        <f>IF($N1120&lt;&gt;"",IF(INDEX(PCNotes,$N1120)="","—",INDEX(PCNotes,$N1120)),IF($O1120&lt;&gt;"",IF(INDEX(LdgNoteB,$O1120)="","—",INDEX(LdgNoteB,$O1120)),""))</f>
        <v/>
      </c>
      <c r="N1120">
        <f>IFERROR(MATCH($C$5&amp;"|"&amp;RIGHT("000000"&amp;1104,6),LdgRankKeyA,0),"")</f>
        <v/>
      </c>
      <c r="O1120">
        <f>IFERROR(MATCH($C$5&amp;"|"&amp;RIGHT("000000"&amp;1104,6),LdgRankKeyB,0),"")</f>
        <v/>
      </c>
    </row>
    <row r="1121">
      <c r="A1121" s="17" t="n">
        <v>1105</v>
      </c>
      <c r="B1121" s="18">
        <f>IF(AND($N1121="",$O1121=""),"",IF($N1121&lt;&gt;"",INDEX(PCNormDate,$N1121),INDEX(LdgDateB,$O1121)))</f>
        <v/>
      </c>
      <c r="C1121" s="18">
        <f>IF($N1121&lt;&gt;"",INDEX(PCOp,$N1121),IF($O1121&lt;&gt;"",IF(N(INDEX(TxnDepB,$O1121))&gt;0,"دریافت بانکی","پرداخت بانکی"),""))</f>
        <v/>
      </c>
      <c r="D1121" s="18">
        <f>IF($N1121&lt;&gt;"",IF(INDEX(PCDoc,$N1121)="","—",INDEX(PCDoc,$N1121)),IF($O1121&lt;&gt;"",INDEX(LdgBankB,$O1121),""))</f>
        <v/>
      </c>
      <c r="E1121" s="18">
        <f>IF($N1121&lt;&gt;"",IF(INDEX(PCCitrus,$N1121)="","—",INDEX(PCCitrus,$N1121)),"")</f>
        <v/>
      </c>
      <c r="F1121" s="19">
        <f>IF($N1121&lt;&gt;"",IF(INDEX(PCScale,$N1121)=0,"",INDEX(PCScale,$N1121)),"")</f>
        <v/>
      </c>
      <c r="G1121" s="19">
        <f>IF($N1121&lt;&gt;"",IF(INDEX(PCBaskets,$N1121)=0,"",INDEX(PCBaskets,$N1121)),"")</f>
        <v/>
      </c>
      <c r="H1121" s="20">
        <f>IF($N1121&lt;&gt;"",IF(INDEX(PCNet,$N1121)=0,"",INDEX(PCNet,$N1121)),"")</f>
        <v/>
      </c>
      <c r="I1121" s="19">
        <f>IF($N1121&lt;&gt;"",IF(INDEX(PCOp,$N1121)="مرجوعی خرید","",IF(INDEX(PCAmount,$N1121)&lt;=0,"",INDEX(PCAmount,$N1121))),IF($O1121&lt;&gt;"",IF(INDEX(TxnDepB,$O1121)=0,"",INDEX(TxnDepB,$O1121)),""))</f>
        <v/>
      </c>
      <c r="J1121" s="19">
        <f>IF($N1121&lt;&gt;"",IF(INDEX(PCOp,$N1121)="مرجوعی خرید",IF(INDEX(PCAmount,$N1121)=0,"",-INDEX(PCAmount,$N1121)),""),IF($O1121&lt;&gt;"",IF(INDEX(TxnWitB,$O1121)=0,"",INDEX(TxnWitB,$O1121)),""))</f>
        <v/>
      </c>
      <c r="K1121" s="21">
        <f>IF($B1121="","",IF($K1120="",$C$10,$K1120)+IF($I1121="",0,$I1121)-IF($J1121="",0,$J1121))</f>
        <v/>
      </c>
      <c r="L1121" s="22">
        <f>IF($N1121&lt;&gt;"",IF(INDEX(PCNotes,$N1121)="","—",INDEX(PCNotes,$N1121)),IF($O1121&lt;&gt;"",IF(INDEX(LdgNoteB,$O1121)="","—",INDEX(LdgNoteB,$O1121)),""))</f>
        <v/>
      </c>
      <c r="N1121">
        <f>IFERROR(MATCH($C$5&amp;"|"&amp;RIGHT("000000"&amp;1105,6),LdgRankKeyA,0),"")</f>
        <v/>
      </c>
      <c r="O1121">
        <f>IFERROR(MATCH($C$5&amp;"|"&amp;RIGHT("000000"&amp;1105,6),LdgRankKeyB,0),"")</f>
        <v/>
      </c>
    </row>
    <row r="1122">
      <c r="A1122" s="23" t="n">
        <v>1106</v>
      </c>
      <c r="B1122" s="24">
        <f>IF(AND($N1122="",$O1122=""),"",IF($N1122&lt;&gt;"",INDEX(PCNormDate,$N1122),INDEX(LdgDateB,$O1122)))</f>
        <v/>
      </c>
      <c r="C1122" s="24">
        <f>IF($N1122&lt;&gt;"",INDEX(PCOp,$N1122),IF($O1122&lt;&gt;"",IF(N(INDEX(TxnDepB,$O1122))&gt;0,"دریافت بانکی","پرداخت بانکی"),""))</f>
        <v/>
      </c>
      <c r="D1122" s="24">
        <f>IF($N1122&lt;&gt;"",IF(INDEX(PCDoc,$N1122)="","—",INDEX(PCDoc,$N1122)),IF($O1122&lt;&gt;"",INDEX(LdgBankB,$O1122),""))</f>
        <v/>
      </c>
      <c r="E1122" s="24">
        <f>IF($N1122&lt;&gt;"",IF(INDEX(PCCitrus,$N1122)="","—",INDEX(PCCitrus,$N1122)),"")</f>
        <v/>
      </c>
      <c r="F1122" s="25">
        <f>IF($N1122&lt;&gt;"",IF(INDEX(PCScale,$N1122)=0,"",INDEX(PCScale,$N1122)),"")</f>
        <v/>
      </c>
      <c r="G1122" s="25">
        <f>IF($N1122&lt;&gt;"",IF(INDEX(PCBaskets,$N1122)=0,"",INDEX(PCBaskets,$N1122)),"")</f>
        <v/>
      </c>
      <c r="H1122" s="26">
        <f>IF($N1122&lt;&gt;"",IF(INDEX(PCNet,$N1122)=0,"",INDEX(PCNet,$N1122)),"")</f>
        <v/>
      </c>
      <c r="I1122" s="25">
        <f>IF($N1122&lt;&gt;"",IF(INDEX(PCOp,$N1122)="مرجوعی خرید","",IF(INDEX(PCAmount,$N1122)&lt;=0,"",INDEX(PCAmount,$N1122))),IF($O1122&lt;&gt;"",IF(INDEX(TxnDepB,$O1122)=0,"",INDEX(TxnDepB,$O1122)),""))</f>
        <v/>
      </c>
      <c r="J1122" s="25">
        <f>IF($N1122&lt;&gt;"",IF(INDEX(PCOp,$N1122)="مرجوعی خرید",IF(INDEX(PCAmount,$N1122)=0,"",-INDEX(PCAmount,$N1122)),""),IF($O1122&lt;&gt;"",IF(INDEX(TxnWitB,$O1122)=0,"",INDEX(TxnWitB,$O1122)),""))</f>
        <v/>
      </c>
      <c r="K1122" s="27">
        <f>IF($B1122="","",IF($K1121="",$C$10,$K1121)+IF($I1122="",0,$I1122)-IF($J1122="",0,$J1122))</f>
        <v/>
      </c>
      <c r="L1122" s="28">
        <f>IF($N1122&lt;&gt;"",IF(INDEX(PCNotes,$N1122)="","—",INDEX(PCNotes,$N1122)),IF($O1122&lt;&gt;"",IF(INDEX(LdgNoteB,$O1122)="","—",INDEX(LdgNoteB,$O1122)),""))</f>
        <v/>
      </c>
      <c r="N1122">
        <f>IFERROR(MATCH($C$5&amp;"|"&amp;RIGHT("000000"&amp;1106,6),LdgRankKeyA,0),"")</f>
        <v/>
      </c>
      <c r="O1122">
        <f>IFERROR(MATCH($C$5&amp;"|"&amp;RIGHT("000000"&amp;1106,6),LdgRankKeyB,0),"")</f>
        <v/>
      </c>
    </row>
    <row r="1123">
      <c r="A1123" s="17" t="n">
        <v>1107</v>
      </c>
      <c r="B1123" s="18">
        <f>IF(AND($N1123="",$O1123=""),"",IF($N1123&lt;&gt;"",INDEX(PCNormDate,$N1123),INDEX(LdgDateB,$O1123)))</f>
        <v/>
      </c>
      <c r="C1123" s="18">
        <f>IF($N1123&lt;&gt;"",INDEX(PCOp,$N1123),IF($O1123&lt;&gt;"",IF(N(INDEX(TxnDepB,$O1123))&gt;0,"دریافت بانکی","پرداخت بانکی"),""))</f>
        <v/>
      </c>
      <c r="D1123" s="18">
        <f>IF($N1123&lt;&gt;"",IF(INDEX(PCDoc,$N1123)="","—",INDEX(PCDoc,$N1123)),IF($O1123&lt;&gt;"",INDEX(LdgBankB,$O1123),""))</f>
        <v/>
      </c>
      <c r="E1123" s="18">
        <f>IF($N1123&lt;&gt;"",IF(INDEX(PCCitrus,$N1123)="","—",INDEX(PCCitrus,$N1123)),"")</f>
        <v/>
      </c>
      <c r="F1123" s="19">
        <f>IF($N1123&lt;&gt;"",IF(INDEX(PCScale,$N1123)=0,"",INDEX(PCScale,$N1123)),"")</f>
        <v/>
      </c>
      <c r="G1123" s="19">
        <f>IF($N1123&lt;&gt;"",IF(INDEX(PCBaskets,$N1123)=0,"",INDEX(PCBaskets,$N1123)),"")</f>
        <v/>
      </c>
      <c r="H1123" s="20">
        <f>IF($N1123&lt;&gt;"",IF(INDEX(PCNet,$N1123)=0,"",INDEX(PCNet,$N1123)),"")</f>
        <v/>
      </c>
      <c r="I1123" s="19">
        <f>IF($N1123&lt;&gt;"",IF(INDEX(PCOp,$N1123)="مرجوعی خرید","",IF(INDEX(PCAmount,$N1123)&lt;=0,"",INDEX(PCAmount,$N1123))),IF($O1123&lt;&gt;"",IF(INDEX(TxnDepB,$O1123)=0,"",INDEX(TxnDepB,$O1123)),""))</f>
        <v/>
      </c>
      <c r="J1123" s="19">
        <f>IF($N1123&lt;&gt;"",IF(INDEX(PCOp,$N1123)="مرجوعی خرید",IF(INDEX(PCAmount,$N1123)=0,"",-INDEX(PCAmount,$N1123)),""),IF($O1123&lt;&gt;"",IF(INDEX(TxnWitB,$O1123)=0,"",INDEX(TxnWitB,$O1123)),""))</f>
        <v/>
      </c>
      <c r="K1123" s="21">
        <f>IF($B1123="","",IF($K1122="",$C$10,$K1122)+IF($I1123="",0,$I1123)-IF($J1123="",0,$J1123))</f>
        <v/>
      </c>
      <c r="L1123" s="22">
        <f>IF($N1123&lt;&gt;"",IF(INDEX(PCNotes,$N1123)="","—",INDEX(PCNotes,$N1123)),IF($O1123&lt;&gt;"",IF(INDEX(LdgNoteB,$O1123)="","—",INDEX(LdgNoteB,$O1123)),""))</f>
        <v/>
      </c>
      <c r="N1123">
        <f>IFERROR(MATCH($C$5&amp;"|"&amp;RIGHT("000000"&amp;1107,6),LdgRankKeyA,0),"")</f>
        <v/>
      </c>
      <c r="O1123">
        <f>IFERROR(MATCH($C$5&amp;"|"&amp;RIGHT("000000"&amp;1107,6),LdgRankKeyB,0),"")</f>
        <v/>
      </c>
    </row>
    <row r="1124">
      <c r="A1124" s="23" t="n">
        <v>1108</v>
      </c>
      <c r="B1124" s="24">
        <f>IF(AND($N1124="",$O1124=""),"",IF($N1124&lt;&gt;"",INDEX(PCNormDate,$N1124),INDEX(LdgDateB,$O1124)))</f>
        <v/>
      </c>
      <c r="C1124" s="24">
        <f>IF($N1124&lt;&gt;"",INDEX(PCOp,$N1124),IF($O1124&lt;&gt;"",IF(N(INDEX(TxnDepB,$O1124))&gt;0,"دریافت بانکی","پرداخت بانکی"),""))</f>
        <v/>
      </c>
      <c r="D1124" s="24">
        <f>IF($N1124&lt;&gt;"",IF(INDEX(PCDoc,$N1124)="","—",INDEX(PCDoc,$N1124)),IF($O1124&lt;&gt;"",INDEX(LdgBankB,$O1124),""))</f>
        <v/>
      </c>
      <c r="E1124" s="24">
        <f>IF($N1124&lt;&gt;"",IF(INDEX(PCCitrus,$N1124)="","—",INDEX(PCCitrus,$N1124)),"")</f>
        <v/>
      </c>
      <c r="F1124" s="25">
        <f>IF($N1124&lt;&gt;"",IF(INDEX(PCScale,$N1124)=0,"",INDEX(PCScale,$N1124)),"")</f>
        <v/>
      </c>
      <c r="G1124" s="25">
        <f>IF($N1124&lt;&gt;"",IF(INDEX(PCBaskets,$N1124)=0,"",INDEX(PCBaskets,$N1124)),"")</f>
        <v/>
      </c>
      <c r="H1124" s="26">
        <f>IF($N1124&lt;&gt;"",IF(INDEX(PCNet,$N1124)=0,"",INDEX(PCNet,$N1124)),"")</f>
        <v/>
      </c>
      <c r="I1124" s="25">
        <f>IF($N1124&lt;&gt;"",IF(INDEX(PCOp,$N1124)="مرجوعی خرید","",IF(INDEX(PCAmount,$N1124)&lt;=0,"",INDEX(PCAmount,$N1124))),IF($O1124&lt;&gt;"",IF(INDEX(TxnDepB,$O1124)=0,"",INDEX(TxnDepB,$O1124)),""))</f>
        <v/>
      </c>
      <c r="J1124" s="25">
        <f>IF($N1124&lt;&gt;"",IF(INDEX(PCOp,$N1124)="مرجوعی خرید",IF(INDEX(PCAmount,$N1124)=0,"",-INDEX(PCAmount,$N1124)),""),IF($O1124&lt;&gt;"",IF(INDEX(TxnWitB,$O1124)=0,"",INDEX(TxnWitB,$O1124)),""))</f>
        <v/>
      </c>
      <c r="K1124" s="27">
        <f>IF($B1124="","",IF($K1123="",$C$10,$K1123)+IF($I1124="",0,$I1124)-IF($J1124="",0,$J1124))</f>
        <v/>
      </c>
      <c r="L1124" s="28">
        <f>IF($N1124&lt;&gt;"",IF(INDEX(PCNotes,$N1124)="","—",INDEX(PCNotes,$N1124)),IF($O1124&lt;&gt;"",IF(INDEX(LdgNoteB,$O1124)="","—",INDEX(LdgNoteB,$O1124)),""))</f>
        <v/>
      </c>
      <c r="N1124">
        <f>IFERROR(MATCH($C$5&amp;"|"&amp;RIGHT("000000"&amp;1108,6),LdgRankKeyA,0),"")</f>
        <v/>
      </c>
      <c r="O1124">
        <f>IFERROR(MATCH($C$5&amp;"|"&amp;RIGHT("000000"&amp;1108,6),LdgRankKeyB,0),"")</f>
        <v/>
      </c>
    </row>
    <row r="1125">
      <c r="A1125" s="17" t="n">
        <v>1109</v>
      </c>
      <c r="B1125" s="18">
        <f>IF(AND($N1125="",$O1125=""),"",IF($N1125&lt;&gt;"",INDEX(PCNormDate,$N1125),INDEX(LdgDateB,$O1125)))</f>
        <v/>
      </c>
      <c r="C1125" s="18">
        <f>IF($N1125&lt;&gt;"",INDEX(PCOp,$N1125),IF($O1125&lt;&gt;"",IF(N(INDEX(TxnDepB,$O1125))&gt;0,"دریافت بانکی","پرداخت بانکی"),""))</f>
        <v/>
      </c>
      <c r="D1125" s="18">
        <f>IF($N1125&lt;&gt;"",IF(INDEX(PCDoc,$N1125)="","—",INDEX(PCDoc,$N1125)),IF($O1125&lt;&gt;"",INDEX(LdgBankB,$O1125),""))</f>
        <v/>
      </c>
      <c r="E1125" s="18">
        <f>IF($N1125&lt;&gt;"",IF(INDEX(PCCitrus,$N1125)="","—",INDEX(PCCitrus,$N1125)),"")</f>
        <v/>
      </c>
      <c r="F1125" s="19">
        <f>IF($N1125&lt;&gt;"",IF(INDEX(PCScale,$N1125)=0,"",INDEX(PCScale,$N1125)),"")</f>
        <v/>
      </c>
      <c r="G1125" s="19">
        <f>IF($N1125&lt;&gt;"",IF(INDEX(PCBaskets,$N1125)=0,"",INDEX(PCBaskets,$N1125)),"")</f>
        <v/>
      </c>
      <c r="H1125" s="20">
        <f>IF($N1125&lt;&gt;"",IF(INDEX(PCNet,$N1125)=0,"",INDEX(PCNet,$N1125)),"")</f>
        <v/>
      </c>
      <c r="I1125" s="19">
        <f>IF($N1125&lt;&gt;"",IF(INDEX(PCOp,$N1125)="مرجوعی خرید","",IF(INDEX(PCAmount,$N1125)&lt;=0,"",INDEX(PCAmount,$N1125))),IF($O1125&lt;&gt;"",IF(INDEX(TxnDepB,$O1125)=0,"",INDEX(TxnDepB,$O1125)),""))</f>
        <v/>
      </c>
      <c r="J1125" s="19">
        <f>IF($N1125&lt;&gt;"",IF(INDEX(PCOp,$N1125)="مرجوعی خرید",IF(INDEX(PCAmount,$N1125)=0,"",-INDEX(PCAmount,$N1125)),""),IF($O1125&lt;&gt;"",IF(INDEX(TxnWitB,$O1125)=0,"",INDEX(TxnWitB,$O1125)),""))</f>
        <v/>
      </c>
      <c r="K1125" s="21">
        <f>IF($B1125="","",IF($K1124="",$C$10,$K1124)+IF($I1125="",0,$I1125)-IF($J1125="",0,$J1125))</f>
        <v/>
      </c>
      <c r="L1125" s="22">
        <f>IF($N1125&lt;&gt;"",IF(INDEX(PCNotes,$N1125)="","—",INDEX(PCNotes,$N1125)),IF($O1125&lt;&gt;"",IF(INDEX(LdgNoteB,$O1125)="","—",INDEX(LdgNoteB,$O1125)),""))</f>
        <v/>
      </c>
      <c r="N1125">
        <f>IFERROR(MATCH($C$5&amp;"|"&amp;RIGHT("000000"&amp;1109,6),LdgRankKeyA,0),"")</f>
        <v/>
      </c>
      <c r="O1125">
        <f>IFERROR(MATCH($C$5&amp;"|"&amp;RIGHT("000000"&amp;1109,6),LdgRankKeyB,0),"")</f>
        <v/>
      </c>
    </row>
    <row r="1126">
      <c r="A1126" s="23" t="n">
        <v>1110</v>
      </c>
      <c r="B1126" s="24">
        <f>IF(AND($N1126="",$O1126=""),"",IF($N1126&lt;&gt;"",INDEX(PCNormDate,$N1126),INDEX(LdgDateB,$O1126)))</f>
        <v/>
      </c>
      <c r="C1126" s="24">
        <f>IF($N1126&lt;&gt;"",INDEX(PCOp,$N1126),IF($O1126&lt;&gt;"",IF(N(INDEX(TxnDepB,$O1126))&gt;0,"دریافت بانکی","پرداخت بانکی"),""))</f>
        <v/>
      </c>
      <c r="D1126" s="24">
        <f>IF($N1126&lt;&gt;"",IF(INDEX(PCDoc,$N1126)="","—",INDEX(PCDoc,$N1126)),IF($O1126&lt;&gt;"",INDEX(LdgBankB,$O1126),""))</f>
        <v/>
      </c>
      <c r="E1126" s="24">
        <f>IF($N1126&lt;&gt;"",IF(INDEX(PCCitrus,$N1126)="","—",INDEX(PCCitrus,$N1126)),"")</f>
        <v/>
      </c>
      <c r="F1126" s="25">
        <f>IF($N1126&lt;&gt;"",IF(INDEX(PCScale,$N1126)=0,"",INDEX(PCScale,$N1126)),"")</f>
        <v/>
      </c>
      <c r="G1126" s="25">
        <f>IF($N1126&lt;&gt;"",IF(INDEX(PCBaskets,$N1126)=0,"",INDEX(PCBaskets,$N1126)),"")</f>
        <v/>
      </c>
      <c r="H1126" s="26">
        <f>IF($N1126&lt;&gt;"",IF(INDEX(PCNet,$N1126)=0,"",INDEX(PCNet,$N1126)),"")</f>
        <v/>
      </c>
      <c r="I1126" s="25">
        <f>IF($N1126&lt;&gt;"",IF(INDEX(PCOp,$N1126)="مرجوعی خرید","",IF(INDEX(PCAmount,$N1126)&lt;=0,"",INDEX(PCAmount,$N1126))),IF($O1126&lt;&gt;"",IF(INDEX(TxnDepB,$O1126)=0,"",INDEX(TxnDepB,$O1126)),""))</f>
        <v/>
      </c>
      <c r="J1126" s="25">
        <f>IF($N1126&lt;&gt;"",IF(INDEX(PCOp,$N1126)="مرجوعی خرید",IF(INDEX(PCAmount,$N1126)=0,"",-INDEX(PCAmount,$N1126)),""),IF($O1126&lt;&gt;"",IF(INDEX(TxnWitB,$O1126)=0,"",INDEX(TxnWitB,$O1126)),""))</f>
        <v/>
      </c>
      <c r="K1126" s="27">
        <f>IF($B1126="","",IF($K1125="",$C$10,$K1125)+IF($I1126="",0,$I1126)-IF($J1126="",0,$J1126))</f>
        <v/>
      </c>
      <c r="L1126" s="28">
        <f>IF($N1126&lt;&gt;"",IF(INDEX(PCNotes,$N1126)="","—",INDEX(PCNotes,$N1126)),IF($O1126&lt;&gt;"",IF(INDEX(LdgNoteB,$O1126)="","—",INDEX(LdgNoteB,$O1126)),""))</f>
        <v/>
      </c>
      <c r="N1126">
        <f>IFERROR(MATCH($C$5&amp;"|"&amp;RIGHT("000000"&amp;1110,6),LdgRankKeyA,0),"")</f>
        <v/>
      </c>
      <c r="O1126">
        <f>IFERROR(MATCH($C$5&amp;"|"&amp;RIGHT("000000"&amp;1110,6),LdgRankKeyB,0),"")</f>
        <v/>
      </c>
    </row>
    <row r="1127">
      <c r="A1127" s="17" t="n">
        <v>1111</v>
      </c>
      <c r="B1127" s="18">
        <f>IF(AND($N1127="",$O1127=""),"",IF($N1127&lt;&gt;"",INDEX(PCNormDate,$N1127),INDEX(LdgDateB,$O1127)))</f>
        <v/>
      </c>
      <c r="C1127" s="18">
        <f>IF($N1127&lt;&gt;"",INDEX(PCOp,$N1127),IF($O1127&lt;&gt;"",IF(N(INDEX(TxnDepB,$O1127))&gt;0,"دریافت بانکی","پرداخت بانکی"),""))</f>
        <v/>
      </c>
      <c r="D1127" s="18">
        <f>IF($N1127&lt;&gt;"",IF(INDEX(PCDoc,$N1127)="","—",INDEX(PCDoc,$N1127)),IF($O1127&lt;&gt;"",INDEX(LdgBankB,$O1127),""))</f>
        <v/>
      </c>
      <c r="E1127" s="18">
        <f>IF($N1127&lt;&gt;"",IF(INDEX(PCCitrus,$N1127)="","—",INDEX(PCCitrus,$N1127)),"")</f>
        <v/>
      </c>
      <c r="F1127" s="19">
        <f>IF($N1127&lt;&gt;"",IF(INDEX(PCScale,$N1127)=0,"",INDEX(PCScale,$N1127)),"")</f>
        <v/>
      </c>
      <c r="G1127" s="19">
        <f>IF($N1127&lt;&gt;"",IF(INDEX(PCBaskets,$N1127)=0,"",INDEX(PCBaskets,$N1127)),"")</f>
        <v/>
      </c>
      <c r="H1127" s="20">
        <f>IF($N1127&lt;&gt;"",IF(INDEX(PCNet,$N1127)=0,"",INDEX(PCNet,$N1127)),"")</f>
        <v/>
      </c>
      <c r="I1127" s="19">
        <f>IF($N1127&lt;&gt;"",IF(INDEX(PCOp,$N1127)="مرجوعی خرید","",IF(INDEX(PCAmount,$N1127)&lt;=0,"",INDEX(PCAmount,$N1127))),IF($O1127&lt;&gt;"",IF(INDEX(TxnDepB,$O1127)=0,"",INDEX(TxnDepB,$O1127)),""))</f>
        <v/>
      </c>
      <c r="J1127" s="19">
        <f>IF($N1127&lt;&gt;"",IF(INDEX(PCOp,$N1127)="مرجوعی خرید",IF(INDEX(PCAmount,$N1127)=0,"",-INDEX(PCAmount,$N1127)),""),IF($O1127&lt;&gt;"",IF(INDEX(TxnWitB,$O1127)=0,"",INDEX(TxnWitB,$O1127)),""))</f>
        <v/>
      </c>
      <c r="K1127" s="21">
        <f>IF($B1127="","",IF($K1126="",$C$10,$K1126)+IF($I1127="",0,$I1127)-IF($J1127="",0,$J1127))</f>
        <v/>
      </c>
      <c r="L1127" s="22">
        <f>IF($N1127&lt;&gt;"",IF(INDEX(PCNotes,$N1127)="","—",INDEX(PCNotes,$N1127)),IF($O1127&lt;&gt;"",IF(INDEX(LdgNoteB,$O1127)="","—",INDEX(LdgNoteB,$O1127)),""))</f>
        <v/>
      </c>
      <c r="N1127">
        <f>IFERROR(MATCH($C$5&amp;"|"&amp;RIGHT("000000"&amp;1111,6),LdgRankKeyA,0),"")</f>
        <v/>
      </c>
      <c r="O1127">
        <f>IFERROR(MATCH($C$5&amp;"|"&amp;RIGHT("000000"&amp;1111,6),LdgRankKeyB,0),"")</f>
        <v/>
      </c>
    </row>
    <row r="1128">
      <c r="A1128" s="23" t="n">
        <v>1112</v>
      </c>
      <c r="B1128" s="24">
        <f>IF(AND($N1128="",$O1128=""),"",IF($N1128&lt;&gt;"",INDEX(PCNormDate,$N1128),INDEX(LdgDateB,$O1128)))</f>
        <v/>
      </c>
      <c r="C1128" s="24">
        <f>IF($N1128&lt;&gt;"",INDEX(PCOp,$N1128),IF($O1128&lt;&gt;"",IF(N(INDEX(TxnDepB,$O1128))&gt;0,"دریافت بانکی","پرداخت بانکی"),""))</f>
        <v/>
      </c>
      <c r="D1128" s="24">
        <f>IF($N1128&lt;&gt;"",IF(INDEX(PCDoc,$N1128)="","—",INDEX(PCDoc,$N1128)),IF($O1128&lt;&gt;"",INDEX(LdgBankB,$O1128),""))</f>
        <v/>
      </c>
      <c r="E1128" s="24">
        <f>IF($N1128&lt;&gt;"",IF(INDEX(PCCitrus,$N1128)="","—",INDEX(PCCitrus,$N1128)),"")</f>
        <v/>
      </c>
      <c r="F1128" s="25">
        <f>IF($N1128&lt;&gt;"",IF(INDEX(PCScale,$N1128)=0,"",INDEX(PCScale,$N1128)),"")</f>
        <v/>
      </c>
      <c r="G1128" s="25">
        <f>IF($N1128&lt;&gt;"",IF(INDEX(PCBaskets,$N1128)=0,"",INDEX(PCBaskets,$N1128)),"")</f>
        <v/>
      </c>
      <c r="H1128" s="26">
        <f>IF($N1128&lt;&gt;"",IF(INDEX(PCNet,$N1128)=0,"",INDEX(PCNet,$N1128)),"")</f>
        <v/>
      </c>
      <c r="I1128" s="25">
        <f>IF($N1128&lt;&gt;"",IF(INDEX(PCOp,$N1128)="مرجوعی خرید","",IF(INDEX(PCAmount,$N1128)&lt;=0,"",INDEX(PCAmount,$N1128))),IF($O1128&lt;&gt;"",IF(INDEX(TxnDepB,$O1128)=0,"",INDEX(TxnDepB,$O1128)),""))</f>
        <v/>
      </c>
      <c r="J1128" s="25">
        <f>IF($N1128&lt;&gt;"",IF(INDEX(PCOp,$N1128)="مرجوعی خرید",IF(INDEX(PCAmount,$N1128)=0,"",-INDEX(PCAmount,$N1128)),""),IF($O1128&lt;&gt;"",IF(INDEX(TxnWitB,$O1128)=0,"",INDEX(TxnWitB,$O1128)),""))</f>
        <v/>
      </c>
      <c r="K1128" s="27">
        <f>IF($B1128="","",IF($K1127="",$C$10,$K1127)+IF($I1128="",0,$I1128)-IF($J1128="",0,$J1128))</f>
        <v/>
      </c>
      <c r="L1128" s="28">
        <f>IF($N1128&lt;&gt;"",IF(INDEX(PCNotes,$N1128)="","—",INDEX(PCNotes,$N1128)),IF($O1128&lt;&gt;"",IF(INDEX(LdgNoteB,$O1128)="","—",INDEX(LdgNoteB,$O1128)),""))</f>
        <v/>
      </c>
      <c r="N1128">
        <f>IFERROR(MATCH($C$5&amp;"|"&amp;RIGHT("000000"&amp;1112,6),LdgRankKeyA,0),"")</f>
        <v/>
      </c>
      <c r="O1128">
        <f>IFERROR(MATCH($C$5&amp;"|"&amp;RIGHT("000000"&amp;1112,6),LdgRankKeyB,0),"")</f>
        <v/>
      </c>
    </row>
    <row r="1129">
      <c r="A1129" s="17" t="n">
        <v>1113</v>
      </c>
      <c r="B1129" s="18">
        <f>IF(AND($N1129="",$O1129=""),"",IF($N1129&lt;&gt;"",INDEX(PCNormDate,$N1129),INDEX(LdgDateB,$O1129)))</f>
        <v/>
      </c>
      <c r="C1129" s="18">
        <f>IF($N1129&lt;&gt;"",INDEX(PCOp,$N1129),IF($O1129&lt;&gt;"",IF(N(INDEX(TxnDepB,$O1129))&gt;0,"دریافت بانکی","پرداخت بانکی"),""))</f>
        <v/>
      </c>
      <c r="D1129" s="18">
        <f>IF($N1129&lt;&gt;"",IF(INDEX(PCDoc,$N1129)="","—",INDEX(PCDoc,$N1129)),IF($O1129&lt;&gt;"",INDEX(LdgBankB,$O1129),""))</f>
        <v/>
      </c>
      <c r="E1129" s="18">
        <f>IF($N1129&lt;&gt;"",IF(INDEX(PCCitrus,$N1129)="","—",INDEX(PCCitrus,$N1129)),"")</f>
        <v/>
      </c>
      <c r="F1129" s="19">
        <f>IF($N1129&lt;&gt;"",IF(INDEX(PCScale,$N1129)=0,"",INDEX(PCScale,$N1129)),"")</f>
        <v/>
      </c>
      <c r="G1129" s="19">
        <f>IF($N1129&lt;&gt;"",IF(INDEX(PCBaskets,$N1129)=0,"",INDEX(PCBaskets,$N1129)),"")</f>
        <v/>
      </c>
      <c r="H1129" s="20">
        <f>IF($N1129&lt;&gt;"",IF(INDEX(PCNet,$N1129)=0,"",INDEX(PCNet,$N1129)),"")</f>
        <v/>
      </c>
      <c r="I1129" s="19">
        <f>IF($N1129&lt;&gt;"",IF(INDEX(PCOp,$N1129)="مرجوعی خرید","",IF(INDEX(PCAmount,$N1129)&lt;=0,"",INDEX(PCAmount,$N1129))),IF($O1129&lt;&gt;"",IF(INDEX(TxnDepB,$O1129)=0,"",INDEX(TxnDepB,$O1129)),""))</f>
        <v/>
      </c>
      <c r="J1129" s="19">
        <f>IF($N1129&lt;&gt;"",IF(INDEX(PCOp,$N1129)="مرجوعی خرید",IF(INDEX(PCAmount,$N1129)=0,"",-INDEX(PCAmount,$N1129)),""),IF($O1129&lt;&gt;"",IF(INDEX(TxnWitB,$O1129)=0,"",INDEX(TxnWitB,$O1129)),""))</f>
        <v/>
      </c>
      <c r="K1129" s="21">
        <f>IF($B1129="","",IF($K1128="",$C$10,$K1128)+IF($I1129="",0,$I1129)-IF($J1129="",0,$J1129))</f>
        <v/>
      </c>
      <c r="L1129" s="22">
        <f>IF($N1129&lt;&gt;"",IF(INDEX(PCNotes,$N1129)="","—",INDEX(PCNotes,$N1129)),IF($O1129&lt;&gt;"",IF(INDEX(LdgNoteB,$O1129)="","—",INDEX(LdgNoteB,$O1129)),""))</f>
        <v/>
      </c>
      <c r="N1129">
        <f>IFERROR(MATCH($C$5&amp;"|"&amp;RIGHT("000000"&amp;1113,6),LdgRankKeyA,0),"")</f>
        <v/>
      </c>
      <c r="O1129">
        <f>IFERROR(MATCH($C$5&amp;"|"&amp;RIGHT("000000"&amp;1113,6),LdgRankKeyB,0),"")</f>
        <v/>
      </c>
    </row>
    <row r="1130">
      <c r="A1130" s="23" t="n">
        <v>1114</v>
      </c>
      <c r="B1130" s="24">
        <f>IF(AND($N1130="",$O1130=""),"",IF($N1130&lt;&gt;"",INDEX(PCNormDate,$N1130),INDEX(LdgDateB,$O1130)))</f>
        <v/>
      </c>
      <c r="C1130" s="24">
        <f>IF($N1130&lt;&gt;"",INDEX(PCOp,$N1130),IF($O1130&lt;&gt;"",IF(N(INDEX(TxnDepB,$O1130))&gt;0,"دریافت بانکی","پرداخت بانکی"),""))</f>
        <v/>
      </c>
      <c r="D1130" s="24">
        <f>IF($N1130&lt;&gt;"",IF(INDEX(PCDoc,$N1130)="","—",INDEX(PCDoc,$N1130)),IF($O1130&lt;&gt;"",INDEX(LdgBankB,$O1130),""))</f>
        <v/>
      </c>
      <c r="E1130" s="24">
        <f>IF($N1130&lt;&gt;"",IF(INDEX(PCCitrus,$N1130)="","—",INDEX(PCCitrus,$N1130)),"")</f>
        <v/>
      </c>
      <c r="F1130" s="25">
        <f>IF($N1130&lt;&gt;"",IF(INDEX(PCScale,$N1130)=0,"",INDEX(PCScale,$N1130)),"")</f>
        <v/>
      </c>
      <c r="G1130" s="25">
        <f>IF($N1130&lt;&gt;"",IF(INDEX(PCBaskets,$N1130)=0,"",INDEX(PCBaskets,$N1130)),"")</f>
        <v/>
      </c>
      <c r="H1130" s="26">
        <f>IF($N1130&lt;&gt;"",IF(INDEX(PCNet,$N1130)=0,"",INDEX(PCNet,$N1130)),"")</f>
        <v/>
      </c>
      <c r="I1130" s="25">
        <f>IF($N1130&lt;&gt;"",IF(INDEX(PCOp,$N1130)="مرجوعی خرید","",IF(INDEX(PCAmount,$N1130)&lt;=0,"",INDEX(PCAmount,$N1130))),IF($O1130&lt;&gt;"",IF(INDEX(TxnDepB,$O1130)=0,"",INDEX(TxnDepB,$O1130)),""))</f>
        <v/>
      </c>
      <c r="J1130" s="25">
        <f>IF($N1130&lt;&gt;"",IF(INDEX(PCOp,$N1130)="مرجوعی خرید",IF(INDEX(PCAmount,$N1130)=0,"",-INDEX(PCAmount,$N1130)),""),IF($O1130&lt;&gt;"",IF(INDEX(TxnWitB,$O1130)=0,"",INDEX(TxnWitB,$O1130)),""))</f>
        <v/>
      </c>
      <c r="K1130" s="27">
        <f>IF($B1130="","",IF($K1129="",$C$10,$K1129)+IF($I1130="",0,$I1130)-IF($J1130="",0,$J1130))</f>
        <v/>
      </c>
      <c r="L1130" s="28">
        <f>IF($N1130&lt;&gt;"",IF(INDEX(PCNotes,$N1130)="","—",INDEX(PCNotes,$N1130)),IF($O1130&lt;&gt;"",IF(INDEX(LdgNoteB,$O1130)="","—",INDEX(LdgNoteB,$O1130)),""))</f>
        <v/>
      </c>
      <c r="N1130">
        <f>IFERROR(MATCH($C$5&amp;"|"&amp;RIGHT("000000"&amp;1114,6),LdgRankKeyA,0),"")</f>
        <v/>
      </c>
      <c r="O1130">
        <f>IFERROR(MATCH($C$5&amp;"|"&amp;RIGHT("000000"&amp;1114,6),LdgRankKeyB,0),"")</f>
        <v/>
      </c>
    </row>
    <row r="1131">
      <c r="A1131" s="17" t="n">
        <v>1115</v>
      </c>
      <c r="B1131" s="18">
        <f>IF(AND($N1131="",$O1131=""),"",IF($N1131&lt;&gt;"",INDEX(PCNormDate,$N1131),INDEX(LdgDateB,$O1131)))</f>
        <v/>
      </c>
      <c r="C1131" s="18">
        <f>IF($N1131&lt;&gt;"",INDEX(PCOp,$N1131),IF($O1131&lt;&gt;"",IF(N(INDEX(TxnDepB,$O1131))&gt;0,"دریافت بانکی","پرداخت بانکی"),""))</f>
        <v/>
      </c>
      <c r="D1131" s="18">
        <f>IF($N1131&lt;&gt;"",IF(INDEX(PCDoc,$N1131)="","—",INDEX(PCDoc,$N1131)),IF($O1131&lt;&gt;"",INDEX(LdgBankB,$O1131),""))</f>
        <v/>
      </c>
      <c r="E1131" s="18">
        <f>IF($N1131&lt;&gt;"",IF(INDEX(PCCitrus,$N1131)="","—",INDEX(PCCitrus,$N1131)),"")</f>
        <v/>
      </c>
      <c r="F1131" s="19">
        <f>IF($N1131&lt;&gt;"",IF(INDEX(PCScale,$N1131)=0,"",INDEX(PCScale,$N1131)),"")</f>
        <v/>
      </c>
      <c r="G1131" s="19">
        <f>IF($N1131&lt;&gt;"",IF(INDEX(PCBaskets,$N1131)=0,"",INDEX(PCBaskets,$N1131)),"")</f>
        <v/>
      </c>
      <c r="H1131" s="20">
        <f>IF($N1131&lt;&gt;"",IF(INDEX(PCNet,$N1131)=0,"",INDEX(PCNet,$N1131)),"")</f>
        <v/>
      </c>
      <c r="I1131" s="19">
        <f>IF($N1131&lt;&gt;"",IF(INDEX(PCOp,$N1131)="مرجوعی خرید","",IF(INDEX(PCAmount,$N1131)&lt;=0,"",INDEX(PCAmount,$N1131))),IF($O1131&lt;&gt;"",IF(INDEX(TxnDepB,$O1131)=0,"",INDEX(TxnDepB,$O1131)),""))</f>
        <v/>
      </c>
      <c r="J1131" s="19">
        <f>IF($N1131&lt;&gt;"",IF(INDEX(PCOp,$N1131)="مرجوعی خرید",IF(INDEX(PCAmount,$N1131)=0,"",-INDEX(PCAmount,$N1131)),""),IF($O1131&lt;&gt;"",IF(INDEX(TxnWitB,$O1131)=0,"",INDEX(TxnWitB,$O1131)),""))</f>
        <v/>
      </c>
      <c r="K1131" s="21">
        <f>IF($B1131="","",IF($K1130="",$C$10,$K1130)+IF($I1131="",0,$I1131)-IF($J1131="",0,$J1131))</f>
        <v/>
      </c>
      <c r="L1131" s="22">
        <f>IF($N1131&lt;&gt;"",IF(INDEX(PCNotes,$N1131)="","—",INDEX(PCNotes,$N1131)),IF($O1131&lt;&gt;"",IF(INDEX(LdgNoteB,$O1131)="","—",INDEX(LdgNoteB,$O1131)),""))</f>
        <v/>
      </c>
      <c r="N1131">
        <f>IFERROR(MATCH($C$5&amp;"|"&amp;RIGHT("000000"&amp;1115,6),LdgRankKeyA,0),"")</f>
        <v/>
      </c>
      <c r="O1131">
        <f>IFERROR(MATCH($C$5&amp;"|"&amp;RIGHT("000000"&amp;1115,6),LdgRankKeyB,0),"")</f>
        <v/>
      </c>
    </row>
    <row r="1132">
      <c r="A1132" s="23" t="n">
        <v>1116</v>
      </c>
      <c r="B1132" s="24">
        <f>IF(AND($N1132="",$O1132=""),"",IF($N1132&lt;&gt;"",INDEX(PCNormDate,$N1132),INDEX(LdgDateB,$O1132)))</f>
        <v/>
      </c>
      <c r="C1132" s="24">
        <f>IF($N1132&lt;&gt;"",INDEX(PCOp,$N1132),IF($O1132&lt;&gt;"",IF(N(INDEX(TxnDepB,$O1132))&gt;0,"دریافت بانکی","پرداخت بانکی"),""))</f>
        <v/>
      </c>
      <c r="D1132" s="24">
        <f>IF($N1132&lt;&gt;"",IF(INDEX(PCDoc,$N1132)="","—",INDEX(PCDoc,$N1132)),IF($O1132&lt;&gt;"",INDEX(LdgBankB,$O1132),""))</f>
        <v/>
      </c>
      <c r="E1132" s="24">
        <f>IF($N1132&lt;&gt;"",IF(INDEX(PCCitrus,$N1132)="","—",INDEX(PCCitrus,$N1132)),"")</f>
        <v/>
      </c>
      <c r="F1132" s="25">
        <f>IF($N1132&lt;&gt;"",IF(INDEX(PCScale,$N1132)=0,"",INDEX(PCScale,$N1132)),"")</f>
        <v/>
      </c>
      <c r="G1132" s="25">
        <f>IF($N1132&lt;&gt;"",IF(INDEX(PCBaskets,$N1132)=0,"",INDEX(PCBaskets,$N1132)),"")</f>
        <v/>
      </c>
      <c r="H1132" s="26">
        <f>IF($N1132&lt;&gt;"",IF(INDEX(PCNet,$N1132)=0,"",INDEX(PCNet,$N1132)),"")</f>
        <v/>
      </c>
      <c r="I1132" s="25">
        <f>IF($N1132&lt;&gt;"",IF(INDEX(PCOp,$N1132)="مرجوعی خرید","",IF(INDEX(PCAmount,$N1132)&lt;=0,"",INDEX(PCAmount,$N1132))),IF($O1132&lt;&gt;"",IF(INDEX(TxnDepB,$O1132)=0,"",INDEX(TxnDepB,$O1132)),""))</f>
        <v/>
      </c>
      <c r="J1132" s="25">
        <f>IF($N1132&lt;&gt;"",IF(INDEX(PCOp,$N1132)="مرجوعی خرید",IF(INDEX(PCAmount,$N1132)=0,"",-INDEX(PCAmount,$N1132)),""),IF($O1132&lt;&gt;"",IF(INDEX(TxnWitB,$O1132)=0,"",INDEX(TxnWitB,$O1132)),""))</f>
        <v/>
      </c>
      <c r="K1132" s="27">
        <f>IF($B1132="","",IF($K1131="",$C$10,$K1131)+IF($I1132="",0,$I1132)-IF($J1132="",0,$J1132))</f>
        <v/>
      </c>
      <c r="L1132" s="28">
        <f>IF($N1132&lt;&gt;"",IF(INDEX(PCNotes,$N1132)="","—",INDEX(PCNotes,$N1132)),IF($O1132&lt;&gt;"",IF(INDEX(LdgNoteB,$O1132)="","—",INDEX(LdgNoteB,$O1132)),""))</f>
        <v/>
      </c>
      <c r="N1132">
        <f>IFERROR(MATCH($C$5&amp;"|"&amp;RIGHT("000000"&amp;1116,6),LdgRankKeyA,0),"")</f>
        <v/>
      </c>
      <c r="O1132">
        <f>IFERROR(MATCH($C$5&amp;"|"&amp;RIGHT("000000"&amp;1116,6),LdgRankKeyB,0),"")</f>
        <v/>
      </c>
    </row>
    <row r="1133">
      <c r="A1133" s="17" t="n">
        <v>1117</v>
      </c>
      <c r="B1133" s="18">
        <f>IF(AND($N1133="",$O1133=""),"",IF($N1133&lt;&gt;"",INDEX(PCNormDate,$N1133),INDEX(LdgDateB,$O1133)))</f>
        <v/>
      </c>
      <c r="C1133" s="18">
        <f>IF($N1133&lt;&gt;"",INDEX(PCOp,$N1133),IF($O1133&lt;&gt;"",IF(N(INDEX(TxnDepB,$O1133))&gt;0,"دریافت بانکی","پرداخت بانکی"),""))</f>
        <v/>
      </c>
      <c r="D1133" s="18">
        <f>IF($N1133&lt;&gt;"",IF(INDEX(PCDoc,$N1133)="","—",INDEX(PCDoc,$N1133)),IF($O1133&lt;&gt;"",INDEX(LdgBankB,$O1133),""))</f>
        <v/>
      </c>
      <c r="E1133" s="18">
        <f>IF($N1133&lt;&gt;"",IF(INDEX(PCCitrus,$N1133)="","—",INDEX(PCCitrus,$N1133)),"")</f>
        <v/>
      </c>
      <c r="F1133" s="19">
        <f>IF($N1133&lt;&gt;"",IF(INDEX(PCScale,$N1133)=0,"",INDEX(PCScale,$N1133)),"")</f>
        <v/>
      </c>
      <c r="G1133" s="19">
        <f>IF($N1133&lt;&gt;"",IF(INDEX(PCBaskets,$N1133)=0,"",INDEX(PCBaskets,$N1133)),"")</f>
        <v/>
      </c>
      <c r="H1133" s="20">
        <f>IF($N1133&lt;&gt;"",IF(INDEX(PCNet,$N1133)=0,"",INDEX(PCNet,$N1133)),"")</f>
        <v/>
      </c>
      <c r="I1133" s="19">
        <f>IF($N1133&lt;&gt;"",IF(INDEX(PCOp,$N1133)="مرجوعی خرید","",IF(INDEX(PCAmount,$N1133)&lt;=0,"",INDEX(PCAmount,$N1133))),IF($O1133&lt;&gt;"",IF(INDEX(TxnDepB,$O1133)=0,"",INDEX(TxnDepB,$O1133)),""))</f>
        <v/>
      </c>
      <c r="J1133" s="19">
        <f>IF($N1133&lt;&gt;"",IF(INDEX(PCOp,$N1133)="مرجوعی خرید",IF(INDEX(PCAmount,$N1133)=0,"",-INDEX(PCAmount,$N1133)),""),IF($O1133&lt;&gt;"",IF(INDEX(TxnWitB,$O1133)=0,"",INDEX(TxnWitB,$O1133)),""))</f>
        <v/>
      </c>
      <c r="K1133" s="21">
        <f>IF($B1133="","",IF($K1132="",$C$10,$K1132)+IF($I1133="",0,$I1133)-IF($J1133="",0,$J1133))</f>
        <v/>
      </c>
      <c r="L1133" s="22">
        <f>IF($N1133&lt;&gt;"",IF(INDEX(PCNotes,$N1133)="","—",INDEX(PCNotes,$N1133)),IF($O1133&lt;&gt;"",IF(INDEX(LdgNoteB,$O1133)="","—",INDEX(LdgNoteB,$O1133)),""))</f>
        <v/>
      </c>
      <c r="N1133">
        <f>IFERROR(MATCH($C$5&amp;"|"&amp;RIGHT("000000"&amp;1117,6),LdgRankKeyA,0),"")</f>
        <v/>
      </c>
      <c r="O1133">
        <f>IFERROR(MATCH($C$5&amp;"|"&amp;RIGHT("000000"&amp;1117,6),LdgRankKeyB,0),"")</f>
        <v/>
      </c>
    </row>
    <row r="1134">
      <c r="A1134" s="23" t="n">
        <v>1118</v>
      </c>
      <c r="B1134" s="24">
        <f>IF(AND($N1134="",$O1134=""),"",IF($N1134&lt;&gt;"",INDEX(PCNormDate,$N1134),INDEX(LdgDateB,$O1134)))</f>
        <v/>
      </c>
      <c r="C1134" s="24">
        <f>IF($N1134&lt;&gt;"",INDEX(PCOp,$N1134),IF($O1134&lt;&gt;"",IF(N(INDEX(TxnDepB,$O1134))&gt;0,"دریافت بانکی","پرداخت بانکی"),""))</f>
        <v/>
      </c>
      <c r="D1134" s="24">
        <f>IF($N1134&lt;&gt;"",IF(INDEX(PCDoc,$N1134)="","—",INDEX(PCDoc,$N1134)),IF($O1134&lt;&gt;"",INDEX(LdgBankB,$O1134),""))</f>
        <v/>
      </c>
      <c r="E1134" s="24">
        <f>IF($N1134&lt;&gt;"",IF(INDEX(PCCitrus,$N1134)="","—",INDEX(PCCitrus,$N1134)),"")</f>
        <v/>
      </c>
      <c r="F1134" s="25">
        <f>IF($N1134&lt;&gt;"",IF(INDEX(PCScale,$N1134)=0,"",INDEX(PCScale,$N1134)),"")</f>
        <v/>
      </c>
      <c r="G1134" s="25">
        <f>IF($N1134&lt;&gt;"",IF(INDEX(PCBaskets,$N1134)=0,"",INDEX(PCBaskets,$N1134)),"")</f>
        <v/>
      </c>
      <c r="H1134" s="26">
        <f>IF($N1134&lt;&gt;"",IF(INDEX(PCNet,$N1134)=0,"",INDEX(PCNet,$N1134)),"")</f>
        <v/>
      </c>
      <c r="I1134" s="25">
        <f>IF($N1134&lt;&gt;"",IF(INDEX(PCOp,$N1134)="مرجوعی خرید","",IF(INDEX(PCAmount,$N1134)&lt;=0,"",INDEX(PCAmount,$N1134))),IF($O1134&lt;&gt;"",IF(INDEX(TxnDepB,$O1134)=0,"",INDEX(TxnDepB,$O1134)),""))</f>
        <v/>
      </c>
      <c r="J1134" s="25">
        <f>IF($N1134&lt;&gt;"",IF(INDEX(PCOp,$N1134)="مرجوعی خرید",IF(INDEX(PCAmount,$N1134)=0,"",-INDEX(PCAmount,$N1134)),""),IF($O1134&lt;&gt;"",IF(INDEX(TxnWitB,$O1134)=0,"",INDEX(TxnWitB,$O1134)),""))</f>
        <v/>
      </c>
      <c r="K1134" s="27">
        <f>IF($B1134="","",IF($K1133="",$C$10,$K1133)+IF($I1134="",0,$I1134)-IF($J1134="",0,$J1134))</f>
        <v/>
      </c>
      <c r="L1134" s="28">
        <f>IF($N1134&lt;&gt;"",IF(INDEX(PCNotes,$N1134)="","—",INDEX(PCNotes,$N1134)),IF($O1134&lt;&gt;"",IF(INDEX(LdgNoteB,$O1134)="","—",INDEX(LdgNoteB,$O1134)),""))</f>
        <v/>
      </c>
      <c r="N1134">
        <f>IFERROR(MATCH($C$5&amp;"|"&amp;RIGHT("000000"&amp;1118,6),LdgRankKeyA,0),"")</f>
        <v/>
      </c>
      <c r="O1134">
        <f>IFERROR(MATCH($C$5&amp;"|"&amp;RIGHT("000000"&amp;1118,6),LdgRankKeyB,0),"")</f>
        <v/>
      </c>
    </row>
    <row r="1135">
      <c r="A1135" s="17" t="n">
        <v>1119</v>
      </c>
      <c r="B1135" s="18">
        <f>IF(AND($N1135="",$O1135=""),"",IF($N1135&lt;&gt;"",INDEX(PCNormDate,$N1135),INDEX(LdgDateB,$O1135)))</f>
        <v/>
      </c>
      <c r="C1135" s="18">
        <f>IF($N1135&lt;&gt;"",INDEX(PCOp,$N1135),IF($O1135&lt;&gt;"",IF(N(INDEX(TxnDepB,$O1135))&gt;0,"دریافت بانکی","پرداخت بانکی"),""))</f>
        <v/>
      </c>
      <c r="D1135" s="18">
        <f>IF($N1135&lt;&gt;"",IF(INDEX(PCDoc,$N1135)="","—",INDEX(PCDoc,$N1135)),IF($O1135&lt;&gt;"",INDEX(LdgBankB,$O1135),""))</f>
        <v/>
      </c>
      <c r="E1135" s="18">
        <f>IF($N1135&lt;&gt;"",IF(INDEX(PCCitrus,$N1135)="","—",INDEX(PCCitrus,$N1135)),"")</f>
        <v/>
      </c>
      <c r="F1135" s="19">
        <f>IF($N1135&lt;&gt;"",IF(INDEX(PCScale,$N1135)=0,"",INDEX(PCScale,$N1135)),"")</f>
        <v/>
      </c>
      <c r="G1135" s="19">
        <f>IF($N1135&lt;&gt;"",IF(INDEX(PCBaskets,$N1135)=0,"",INDEX(PCBaskets,$N1135)),"")</f>
        <v/>
      </c>
      <c r="H1135" s="20">
        <f>IF($N1135&lt;&gt;"",IF(INDEX(PCNet,$N1135)=0,"",INDEX(PCNet,$N1135)),"")</f>
        <v/>
      </c>
      <c r="I1135" s="19">
        <f>IF($N1135&lt;&gt;"",IF(INDEX(PCOp,$N1135)="مرجوعی خرید","",IF(INDEX(PCAmount,$N1135)&lt;=0,"",INDEX(PCAmount,$N1135))),IF($O1135&lt;&gt;"",IF(INDEX(TxnDepB,$O1135)=0,"",INDEX(TxnDepB,$O1135)),""))</f>
        <v/>
      </c>
      <c r="J1135" s="19">
        <f>IF($N1135&lt;&gt;"",IF(INDEX(PCOp,$N1135)="مرجوعی خرید",IF(INDEX(PCAmount,$N1135)=0,"",-INDEX(PCAmount,$N1135)),""),IF($O1135&lt;&gt;"",IF(INDEX(TxnWitB,$O1135)=0,"",INDEX(TxnWitB,$O1135)),""))</f>
        <v/>
      </c>
      <c r="K1135" s="21">
        <f>IF($B1135="","",IF($K1134="",$C$10,$K1134)+IF($I1135="",0,$I1135)-IF($J1135="",0,$J1135))</f>
        <v/>
      </c>
      <c r="L1135" s="22">
        <f>IF($N1135&lt;&gt;"",IF(INDEX(PCNotes,$N1135)="","—",INDEX(PCNotes,$N1135)),IF($O1135&lt;&gt;"",IF(INDEX(LdgNoteB,$O1135)="","—",INDEX(LdgNoteB,$O1135)),""))</f>
        <v/>
      </c>
      <c r="N1135">
        <f>IFERROR(MATCH($C$5&amp;"|"&amp;RIGHT("000000"&amp;1119,6),LdgRankKeyA,0),"")</f>
        <v/>
      </c>
      <c r="O1135">
        <f>IFERROR(MATCH($C$5&amp;"|"&amp;RIGHT("000000"&amp;1119,6),LdgRankKeyB,0),"")</f>
        <v/>
      </c>
    </row>
    <row r="1136">
      <c r="A1136" s="23" t="n">
        <v>1120</v>
      </c>
      <c r="B1136" s="24">
        <f>IF(AND($N1136="",$O1136=""),"",IF($N1136&lt;&gt;"",INDEX(PCNormDate,$N1136),INDEX(LdgDateB,$O1136)))</f>
        <v/>
      </c>
      <c r="C1136" s="24">
        <f>IF($N1136&lt;&gt;"",INDEX(PCOp,$N1136),IF($O1136&lt;&gt;"",IF(N(INDEX(TxnDepB,$O1136))&gt;0,"دریافت بانکی","پرداخت بانکی"),""))</f>
        <v/>
      </c>
      <c r="D1136" s="24">
        <f>IF($N1136&lt;&gt;"",IF(INDEX(PCDoc,$N1136)="","—",INDEX(PCDoc,$N1136)),IF($O1136&lt;&gt;"",INDEX(LdgBankB,$O1136),""))</f>
        <v/>
      </c>
      <c r="E1136" s="24">
        <f>IF($N1136&lt;&gt;"",IF(INDEX(PCCitrus,$N1136)="","—",INDEX(PCCitrus,$N1136)),"")</f>
        <v/>
      </c>
      <c r="F1136" s="25">
        <f>IF($N1136&lt;&gt;"",IF(INDEX(PCScale,$N1136)=0,"",INDEX(PCScale,$N1136)),"")</f>
        <v/>
      </c>
      <c r="G1136" s="25">
        <f>IF($N1136&lt;&gt;"",IF(INDEX(PCBaskets,$N1136)=0,"",INDEX(PCBaskets,$N1136)),"")</f>
        <v/>
      </c>
      <c r="H1136" s="26">
        <f>IF($N1136&lt;&gt;"",IF(INDEX(PCNet,$N1136)=0,"",INDEX(PCNet,$N1136)),"")</f>
        <v/>
      </c>
      <c r="I1136" s="25">
        <f>IF($N1136&lt;&gt;"",IF(INDEX(PCOp,$N1136)="مرجوعی خرید","",IF(INDEX(PCAmount,$N1136)&lt;=0,"",INDEX(PCAmount,$N1136))),IF($O1136&lt;&gt;"",IF(INDEX(TxnDepB,$O1136)=0,"",INDEX(TxnDepB,$O1136)),""))</f>
        <v/>
      </c>
      <c r="J1136" s="25">
        <f>IF($N1136&lt;&gt;"",IF(INDEX(PCOp,$N1136)="مرجوعی خرید",IF(INDEX(PCAmount,$N1136)=0,"",-INDEX(PCAmount,$N1136)),""),IF($O1136&lt;&gt;"",IF(INDEX(TxnWitB,$O1136)=0,"",INDEX(TxnWitB,$O1136)),""))</f>
        <v/>
      </c>
      <c r="K1136" s="27">
        <f>IF($B1136="","",IF($K1135="",$C$10,$K1135)+IF($I1136="",0,$I1136)-IF($J1136="",0,$J1136))</f>
        <v/>
      </c>
      <c r="L1136" s="28">
        <f>IF($N1136&lt;&gt;"",IF(INDEX(PCNotes,$N1136)="","—",INDEX(PCNotes,$N1136)),IF($O1136&lt;&gt;"",IF(INDEX(LdgNoteB,$O1136)="","—",INDEX(LdgNoteB,$O1136)),""))</f>
        <v/>
      </c>
      <c r="N1136">
        <f>IFERROR(MATCH($C$5&amp;"|"&amp;RIGHT("000000"&amp;1120,6),LdgRankKeyA,0),"")</f>
        <v/>
      </c>
      <c r="O1136">
        <f>IFERROR(MATCH($C$5&amp;"|"&amp;RIGHT("000000"&amp;1120,6),LdgRankKeyB,0),"")</f>
        <v/>
      </c>
    </row>
    <row r="1137">
      <c r="A1137" s="17" t="n">
        <v>1121</v>
      </c>
      <c r="B1137" s="18">
        <f>IF(AND($N1137="",$O1137=""),"",IF($N1137&lt;&gt;"",INDEX(PCNormDate,$N1137),INDEX(LdgDateB,$O1137)))</f>
        <v/>
      </c>
      <c r="C1137" s="18">
        <f>IF($N1137&lt;&gt;"",INDEX(PCOp,$N1137),IF($O1137&lt;&gt;"",IF(N(INDEX(TxnDepB,$O1137))&gt;0,"دریافت بانکی","پرداخت بانکی"),""))</f>
        <v/>
      </c>
      <c r="D1137" s="18">
        <f>IF($N1137&lt;&gt;"",IF(INDEX(PCDoc,$N1137)="","—",INDEX(PCDoc,$N1137)),IF($O1137&lt;&gt;"",INDEX(LdgBankB,$O1137),""))</f>
        <v/>
      </c>
      <c r="E1137" s="18">
        <f>IF($N1137&lt;&gt;"",IF(INDEX(PCCitrus,$N1137)="","—",INDEX(PCCitrus,$N1137)),"")</f>
        <v/>
      </c>
      <c r="F1137" s="19">
        <f>IF($N1137&lt;&gt;"",IF(INDEX(PCScale,$N1137)=0,"",INDEX(PCScale,$N1137)),"")</f>
        <v/>
      </c>
      <c r="G1137" s="19">
        <f>IF($N1137&lt;&gt;"",IF(INDEX(PCBaskets,$N1137)=0,"",INDEX(PCBaskets,$N1137)),"")</f>
        <v/>
      </c>
      <c r="H1137" s="20">
        <f>IF($N1137&lt;&gt;"",IF(INDEX(PCNet,$N1137)=0,"",INDEX(PCNet,$N1137)),"")</f>
        <v/>
      </c>
      <c r="I1137" s="19">
        <f>IF($N1137&lt;&gt;"",IF(INDEX(PCOp,$N1137)="مرجوعی خرید","",IF(INDEX(PCAmount,$N1137)&lt;=0,"",INDEX(PCAmount,$N1137))),IF($O1137&lt;&gt;"",IF(INDEX(TxnDepB,$O1137)=0,"",INDEX(TxnDepB,$O1137)),""))</f>
        <v/>
      </c>
      <c r="J1137" s="19">
        <f>IF($N1137&lt;&gt;"",IF(INDEX(PCOp,$N1137)="مرجوعی خرید",IF(INDEX(PCAmount,$N1137)=0,"",-INDEX(PCAmount,$N1137)),""),IF($O1137&lt;&gt;"",IF(INDEX(TxnWitB,$O1137)=0,"",INDEX(TxnWitB,$O1137)),""))</f>
        <v/>
      </c>
      <c r="K1137" s="21">
        <f>IF($B1137="","",IF($K1136="",$C$10,$K1136)+IF($I1137="",0,$I1137)-IF($J1137="",0,$J1137))</f>
        <v/>
      </c>
      <c r="L1137" s="22">
        <f>IF($N1137&lt;&gt;"",IF(INDEX(PCNotes,$N1137)="","—",INDEX(PCNotes,$N1137)),IF($O1137&lt;&gt;"",IF(INDEX(LdgNoteB,$O1137)="","—",INDEX(LdgNoteB,$O1137)),""))</f>
        <v/>
      </c>
      <c r="N1137">
        <f>IFERROR(MATCH($C$5&amp;"|"&amp;RIGHT("000000"&amp;1121,6),LdgRankKeyA,0),"")</f>
        <v/>
      </c>
      <c r="O1137">
        <f>IFERROR(MATCH($C$5&amp;"|"&amp;RIGHT("000000"&amp;1121,6),LdgRankKeyB,0),"")</f>
        <v/>
      </c>
    </row>
    <row r="1138">
      <c r="A1138" s="23" t="n">
        <v>1122</v>
      </c>
      <c r="B1138" s="24">
        <f>IF(AND($N1138="",$O1138=""),"",IF($N1138&lt;&gt;"",INDEX(PCNormDate,$N1138),INDEX(LdgDateB,$O1138)))</f>
        <v/>
      </c>
      <c r="C1138" s="24">
        <f>IF($N1138&lt;&gt;"",INDEX(PCOp,$N1138),IF($O1138&lt;&gt;"",IF(N(INDEX(TxnDepB,$O1138))&gt;0,"دریافت بانکی","پرداخت بانکی"),""))</f>
        <v/>
      </c>
      <c r="D1138" s="24">
        <f>IF($N1138&lt;&gt;"",IF(INDEX(PCDoc,$N1138)="","—",INDEX(PCDoc,$N1138)),IF($O1138&lt;&gt;"",INDEX(LdgBankB,$O1138),""))</f>
        <v/>
      </c>
      <c r="E1138" s="24">
        <f>IF($N1138&lt;&gt;"",IF(INDEX(PCCitrus,$N1138)="","—",INDEX(PCCitrus,$N1138)),"")</f>
        <v/>
      </c>
      <c r="F1138" s="25">
        <f>IF($N1138&lt;&gt;"",IF(INDEX(PCScale,$N1138)=0,"",INDEX(PCScale,$N1138)),"")</f>
        <v/>
      </c>
      <c r="G1138" s="25">
        <f>IF($N1138&lt;&gt;"",IF(INDEX(PCBaskets,$N1138)=0,"",INDEX(PCBaskets,$N1138)),"")</f>
        <v/>
      </c>
      <c r="H1138" s="26">
        <f>IF($N1138&lt;&gt;"",IF(INDEX(PCNet,$N1138)=0,"",INDEX(PCNet,$N1138)),"")</f>
        <v/>
      </c>
      <c r="I1138" s="25">
        <f>IF($N1138&lt;&gt;"",IF(INDEX(PCOp,$N1138)="مرجوعی خرید","",IF(INDEX(PCAmount,$N1138)&lt;=0,"",INDEX(PCAmount,$N1138))),IF($O1138&lt;&gt;"",IF(INDEX(TxnDepB,$O1138)=0,"",INDEX(TxnDepB,$O1138)),""))</f>
        <v/>
      </c>
      <c r="J1138" s="25">
        <f>IF($N1138&lt;&gt;"",IF(INDEX(PCOp,$N1138)="مرجوعی خرید",IF(INDEX(PCAmount,$N1138)=0,"",-INDEX(PCAmount,$N1138)),""),IF($O1138&lt;&gt;"",IF(INDEX(TxnWitB,$O1138)=0,"",INDEX(TxnWitB,$O1138)),""))</f>
        <v/>
      </c>
      <c r="K1138" s="27">
        <f>IF($B1138="","",IF($K1137="",$C$10,$K1137)+IF($I1138="",0,$I1138)-IF($J1138="",0,$J1138))</f>
        <v/>
      </c>
      <c r="L1138" s="28">
        <f>IF($N1138&lt;&gt;"",IF(INDEX(PCNotes,$N1138)="","—",INDEX(PCNotes,$N1138)),IF($O1138&lt;&gt;"",IF(INDEX(LdgNoteB,$O1138)="","—",INDEX(LdgNoteB,$O1138)),""))</f>
        <v/>
      </c>
      <c r="N1138">
        <f>IFERROR(MATCH($C$5&amp;"|"&amp;RIGHT("000000"&amp;1122,6),LdgRankKeyA,0),"")</f>
        <v/>
      </c>
      <c r="O1138">
        <f>IFERROR(MATCH($C$5&amp;"|"&amp;RIGHT("000000"&amp;1122,6),LdgRankKeyB,0),"")</f>
        <v/>
      </c>
    </row>
    <row r="1139">
      <c r="A1139" s="17" t="n">
        <v>1123</v>
      </c>
      <c r="B1139" s="18">
        <f>IF(AND($N1139="",$O1139=""),"",IF($N1139&lt;&gt;"",INDEX(PCNormDate,$N1139),INDEX(LdgDateB,$O1139)))</f>
        <v/>
      </c>
      <c r="C1139" s="18">
        <f>IF($N1139&lt;&gt;"",INDEX(PCOp,$N1139),IF($O1139&lt;&gt;"",IF(N(INDEX(TxnDepB,$O1139))&gt;0,"دریافت بانکی","پرداخت بانکی"),""))</f>
        <v/>
      </c>
      <c r="D1139" s="18">
        <f>IF($N1139&lt;&gt;"",IF(INDEX(PCDoc,$N1139)="","—",INDEX(PCDoc,$N1139)),IF($O1139&lt;&gt;"",INDEX(LdgBankB,$O1139),""))</f>
        <v/>
      </c>
      <c r="E1139" s="18">
        <f>IF($N1139&lt;&gt;"",IF(INDEX(PCCitrus,$N1139)="","—",INDEX(PCCitrus,$N1139)),"")</f>
        <v/>
      </c>
      <c r="F1139" s="19">
        <f>IF($N1139&lt;&gt;"",IF(INDEX(PCScale,$N1139)=0,"",INDEX(PCScale,$N1139)),"")</f>
        <v/>
      </c>
      <c r="G1139" s="19">
        <f>IF($N1139&lt;&gt;"",IF(INDEX(PCBaskets,$N1139)=0,"",INDEX(PCBaskets,$N1139)),"")</f>
        <v/>
      </c>
      <c r="H1139" s="20">
        <f>IF($N1139&lt;&gt;"",IF(INDEX(PCNet,$N1139)=0,"",INDEX(PCNet,$N1139)),"")</f>
        <v/>
      </c>
      <c r="I1139" s="19">
        <f>IF($N1139&lt;&gt;"",IF(INDEX(PCOp,$N1139)="مرجوعی خرید","",IF(INDEX(PCAmount,$N1139)&lt;=0,"",INDEX(PCAmount,$N1139))),IF($O1139&lt;&gt;"",IF(INDEX(TxnDepB,$O1139)=0,"",INDEX(TxnDepB,$O1139)),""))</f>
        <v/>
      </c>
      <c r="J1139" s="19">
        <f>IF($N1139&lt;&gt;"",IF(INDEX(PCOp,$N1139)="مرجوعی خرید",IF(INDEX(PCAmount,$N1139)=0,"",-INDEX(PCAmount,$N1139)),""),IF($O1139&lt;&gt;"",IF(INDEX(TxnWitB,$O1139)=0,"",INDEX(TxnWitB,$O1139)),""))</f>
        <v/>
      </c>
      <c r="K1139" s="21">
        <f>IF($B1139="","",IF($K1138="",$C$10,$K1138)+IF($I1139="",0,$I1139)-IF($J1139="",0,$J1139))</f>
        <v/>
      </c>
      <c r="L1139" s="22">
        <f>IF($N1139&lt;&gt;"",IF(INDEX(PCNotes,$N1139)="","—",INDEX(PCNotes,$N1139)),IF($O1139&lt;&gt;"",IF(INDEX(LdgNoteB,$O1139)="","—",INDEX(LdgNoteB,$O1139)),""))</f>
        <v/>
      </c>
      <c r="N1139">
        <f>IFERROR(MATCH($C$5&amp;"|"&amp;RIGHT("000000"&amp;1123,6),LdgRankKeyA,0),"")</f>
        <v/>
      </c>
      <c r="O1139">
        <f>IFERROR(MATCH($C$5&amp;"|"&amp;RIGHT("000000"&amp;1123,6),LdgRankKeyB,0),"")</f>
        <v/>
      </c>
    </row>
    <row r="1140">
      <c r="A1140" s="23" t="n">
        <v>1124</v>
      </c>
      <c r="B1140" s="24">
        <f>IF(AND($N1140="",$O1140=""),"",IF($N1140&lt;&gt;"",INDEX(PCNormDate,$N1140),INDEX(LdgDateB,$O1140)))</f>
        <v/>
      </c>
      <c r="C1140" s="24">
        <f>IF($N1140&lt;&gt;"",INDEX(PCOp,$N1140),IF($O1140&lt;&gt;"",IF(N(INDEX(TxnDepB,$O1140))&gt;0,"دریافت بانکی","پرداخت بانکی"),""))</f>
        <v/>
      </c>
      <c r="D1140" s="24">
        <f>IF($N1140&lt;&gt;"",IF(INDEX(PCDoc,$N1140)="","—",INDEX(PCDoc,$N1140)),IF($O1140&lt;&gt;"",INDEX(LdgBankB,$O1140),""))</f>
        <v/>
      </c>
      <c r="E1140" s="24">
        <f>IF($N1140&lt;&gt;"",IF(INDEX(PCCitrus,$N1140)="","—",INDEX(PCCitrus,$N1140)),"")</f>
        <v/>
      </c>
      <c r="F1140" s="25">
        <f>IF($N1140&lt;&gt;"",IF(INDEX(PCScale,$N1140)=0,"",INDEX(PCScale,$N1140)),"")</f>
        <v/>
      </c>
      <c r="G1140" s="25">
        <f>IF($N1140&lt;&gt;"",IF(INDEX(PCBaskets,$N1140)=0,"",INDEX(PCBaskets,$N1140)),"")</f>
        <v/>
      </c>
      <c r="H1140" s="26">
        <f>IF($N1140&lt;&gt;"",IF(INDEX(PCNet,$N1140)=0,"",INDEX(PCNet,$N1140)),"")</f>
        <v/>
      </c>
      <c r="I1140" s="25">
        <f>IF($N1140&lt;&gt;"",IF(INDEX(PCOp,$N1140)="مرجوعی خرید","",IF(INDEX(PCAmount,$N1140)&lt;=0,"",INDEX(PCAmount,$N1140))),IF($O1140&lt;&gt;"",IF(INDEX(TxnDepB,$O1140)=0,"",INDEX(TxnDepB,$O1140)),""))</f>
        <v/>
      </c>
      <c r="J1140" s="25">
        <f>IF($N1140&lt;&gt;"",IF(INDEX(PCOp,$N1140)="مرجوعی خرید",IF(INDEX(PCAmount,$N1140)=0,"",-INDEX(PCAmount,$N1140)),""),IF($O1140&lt;&gt;"",IF(INDEX(TxnWitB,$O1140)=0,"",INDEX(TxnWitB,$O1140)),""))</f>
        <v/>
      </c>
      <c r="K1140" s="27">
        <f>IF($B1140="","",IF($K1139="",$C$10,$K1139)+IF($I1140="",0,$I1140)-IF($J1140="",0,$J1140))</f>
        <v/>
      </c>
      <c r="L1140" s="28">
        <f>IF($N1140&lt;&gt;"",IF(INDEX(PCNotes,$N1140)="","—",INDEX(PCNotes,$N1140)),IF($O1140&lt;&gt;"",IF(INDEX(LdgNoteB,$O1140)="","—",INDEX(LdgNoteB,$O1140)),""))</f>
        <v/>
      </c>
      <c r="N1140">
        <f>IFERROR(MATCH($C$5&amp;"|"&amp;RIGHT("000000"&amp;1124,6),LdgRankKeyA,0),"")</f>
        <v/>
      </c>
      <c r="O1140">
        <f>IFERROR(MATCH($C$5&amp;"|"&amp;RIGHT("000000"&amp;1124,6),LdgRankKeyB,0),"")</f>
        <v/>
      </c>
    </row>
    <row r="1141">
      <c r="A1141" s="17" t="n">
        <v>1125</v>
      </c>
      <c r="B1141" s="18">
        <f>IF(AND($N1141="",$O1141=""),"",IF($N1141&lt;&gt;"",INDEX(PCNormDate,$N1141),INDEX(LdgDateB,$O1141)))</f>
        <v/>
      </c>
      <c r="C1141" s="18">
        <f>IF($N1141&lt;&gt;"",INDEX(PCOp,$N1141),IF($O1141&lt;&gt;"",IF(N(INDEX(TxnDepB,$O1141))&gt;0,"دریافت بانکی","پرداخت بانکی"),""))</f>
        <v/>
      </c>
      <c r="D1141" s="18">
        <f>IF($N1141&lt;&gt;"",IF(INDEX(PCDoc,$N1141)="","—",INDEX(PCDoc,$N1141)),IF($O1141&lt;&gt;"",INDEX(LdgBankB,$O1141),""))</f>
        <v/>
      </c>
      <c r="E1141" s="18">
        <f>IF($N1141&lt;&gt;"",IF(INDEX(PCCitrus,$N1141)="","—",INDEX(PCCitrus,$N1141)),"")</f>
        <v/>
      </c>
      <c r="F1141" s="19">
        <f>IF($N1141&lt;&gt;"",IF(INDEX(PCScale,$N1141)=0,"",INDEX(PCScale,$N1141)),"")</f>
        <v/>
      </c>
      <c r="G1141" s="19">
        <f>IF($N1141&lt;&gt;"",IF(INDEX(PCBaskets,$N1141)=0,"",INDEX(PCBaskets,$N1141)),"")</f>
        <v/>
      </c>
      <c r="H1141" s="20">
        <f>IF($N1141&lt;&gt;"",IF(INDEX(PCNet,$N1141)=0,"",INDEX(PCNet,$N1141)),"")</f>
        <v/>
      </c>
      <c r="I1141" s="19">
        <f>IF($N1141&lt;&gt;"",IF(INDEX(PCOp,$N1141)="مرجوعی خرید","",IF(INDEX(PCAmount,$N1141)&lt;=0,"",INDEX(PCAmount,$N1141))),IF($O1141&lt;&gt;"",IF(INDEX(TxnDepB,$O1141)=0,"",INDEX(TxnDepB,$O1141)),""))</f>
        <v/>
      </c>
      <c r="J1141" s="19">
        <f>IF($N1141&lt;&gt;"",IF(INDEX(PCOp,$N1141)="مرجوعی خرید",IF(INDEX(PCAmount,$N1141)=0,"",-INDEX(PCAmount,$N1141)),""),IF($O1141&lt;&gt;"",IF(INDEX(TxnWitB,$O1141)=0,"",INDEX(TxnWitB,$O1141)),""))</f>
        <v/>
      </c>
      <c r="K1141" s="21">
        <f>IF($B1141="","",IF($K1140="",$C$10,$K1140)+IF($I1141="",0,$I1141)-IF($J1141="",0,$J1141))</f>
        <v/>
      </c>
      <c r="L1141" s="22">
        <f>IF($N1141&lt;&gt;"",IF(INDEX(PCNotes,$N1141)="","—",INDEX(PCNotes,$N1141)),IF($O1141&lt;&gt;"",IF(INDEX(LdgNoteB,$O1141)="","—",INDEX(LdgNoteB,$O1141)),""))</f>
        <v/>
      </c>
      <c r="N1141">
        <f>IFERROR(MATCH($C$5&amp;"|"&amp;RIGHT("000000"&amp;1125,6),LdgRankKeyA,0),"")</f>
        <v/>
      </c>
      <c r="O1141">
        <f>IFERROR(MATCH($C$5&amp;"|"&amp;RIGHT("000000"&amp;1125,6),LdgRankKeyB,0),"")</f>
        <v/>
      </c>
    </row>
    <row r="1142">
      <c r="A1142" s="23" t="n">
        <v>1126</v>
      </c>
      <c r="B1142" s="24">
        <f>IF(AND($N1142="",$O1142=""),"",IF($N1142&lt;&gt;"",INDEX(PCNormDate,$N1142),INDEX(LdgDateB,$O1142)))</f>
        <v/>
      </c>
      <c r="C1142" s="24">
        <f>IF($N1142&lt;&gt;"",INDEX(PCOp,$N1142),IF($O1142&lt;&gt;"",IF(N(INDEX(TxnDepB,$O1142))&gt;0,"دریافت بانکی","پرداخت بانکی"),""))</f>
        <v/>
      </c>
      <c r="D1142" s="24">
        <f>IF($N1142&lt;&gt;"",IF(INDEX(PCDoc,$N1142)="","—",INDEX(PCDoc,$N1142)),IF($O1142&lt;&gt;"",INDEX(LdgBankB,$O1142),""))</f>
        <v/>
      </c>
      <c r="E1142" s="24">
        <f>IF($N1142&lt;&gt;"",IF(INDEX(PCCitrus,$N1142)="","—",INDEX(PCCitrus,$N1142)),"")</f>
        <v/>
      </c>
      <c r="F1142" s="25">
        <f>IF($N1142&lt;&gt;"",IF(INDEX(PCScale,$N1142)=0,"",INDEX(PCScale,$N1142)),"")</f>
        <v/>
      </c>
      <c r="G1142" s="25">
        <f>IF($N1142&lt;&gt;"",IF(INDEX(PCBaskets,$N1142)=0,"",INDEX(PCBaskets,$N1142)),"")</f>
        <v/>
      </c>
      <c r="H1142" s="26">
        <f>IF($N1142&lt;&gt;"",IF(INDEX(PCNet,$N1142)=0,"",INDEX(PCNet,$N1142)),"")</f>
        <v/>
      </c>
      <c r="I1142" s="25">
        <f>IF($N1142&lt;&gt;"",IF(INDEX(PCOp,$N1142)="مرجوعی خرید","",IF(INDEX(PCAmount,$N1142)&lt;=0,"",INDEX(PCAmount,$N1142))),IF($O1142&lt;&gt;"",IF(INDEX(TxnDepB,$O1142)=0,"",INDEX(TxnDepB,$O1142)),""))</f>
        <v/>
      </c>
      <c r="J1142" s="25">
        <f>IF($N1142&lt;&gt;"",IF(INDEX(PCOp,$N1142)="مرجوعی خرید",IF(INDEX(PCAmount,$N1142)=0,"",-INDEX(PCAmount,$N1142)),""),IF($O1142&lt;&gt;"",IF(INDEX(TxnWitB,$O1142)=0,"",INDEX(TxnWitB,$O1142)),""))</f>
        <v/>
      </c>
      <c r="K1142" s="27">
        <f>IF($B1142="","",IF($K1141="",$C$10,$K1141)+IF($I1142="",0,$I1142)-IF($J1142="",0,$J1142))</f>
        <v/>
      </c>
      <c r="L1142" s="28">
        <f>IF($N1142&lt;&gt;"",IF(INDEX(PCNotes,$N1142)="","—",INDEX(PCNotes,$N1142)),IF($O1142&lt;&gt;"",IF(INDEX(LdgNoteB,$O1142)="","—",INDEX(LdgNoteB,$O1142)),""))</f>
        <v/>
      </c>
      <c r="N1142">
        <f>IFERROR(MATCH($C$5&amp;"|"&amp;RIGHT("000000"&amp;1126,6),LdgRankKeyA,0),"")</f>
        <v/>
      </c>
      <c r="O1142">
        <f>IFERROR(MATCH($C$5&amp;"|"&amp;RIGHT("000000"&amp;1126,6),LdgRankKeyB,0),"")</f>
        <v/>
      </c>
    </row>
    <row r="1143">
      <c r="A1143" s="17" t="n">
        <v>1127</v>
      </c>
      <c r="B1143" s="18">
        <f>IF(AND($N1143="",$O1143=""),"",IF($N1143&lt;&gt;"",INDEX(PCNormDate,$N1143),INDEX(LdgDateB,$O1143)))</f>
        <v/>
      </c>
      <c r="C1143" s="18">
        <f>IF($N1143&lt;&gt;"",INDEX(PCOp,$N1143),IF($O1143&lt;&gt;"",IF(N(INDEX(TxnDepB,$O1143))&gt;0,"دریافت بانکی","پرداخت بانکی"),""))</f>
        <v/>
      </c>
      <c r="D1143" s="18">
        <f>IF($N1143&lt;&gt;"",IF(INDEX(PCDoc,$N1143)="","—",INDEX(PCDoc,$N1143)),IF($O1143&lt;&gt;"",INDEX(LdgBankB,$O1143),""))</f>
        <v/>
      </c>
      <c r="E1143" s="18">
        <f>IF($N1143&lt;&gt;"",IF(INDEX(PCCitrus,$N1143)="","—",INDEX(PCCitrus,$N1143)),"")</f>
        <v/>
      </c>
      <c r="F1143" s="19">
        <f>IF($N1143&lt;&gt;"",IF(INDEX(PCScale,$N1143)=0,"",INDEX(PCScale,$N1143)),"")</f>
        <v/>
      </c>
      <c r="G1143" s="19">
        <f>IF($N1143&lt;&gt;"",IF(INDEX(PCBaskets,$N1143)=0,"",INDEX(PCBaskets,$N1143)),"")</f>
        <v/>
      </c>
      <c r="H1143" s="20">
        <f>IF($N1143&lt;&gt;"",IF(INDEX(PCNet,$N1143)=0,"",INDEX(PCNet,$N1143)),"")</f>
        <v/>
      </c>
      <c r="I1143" s="19">
        <f>IF($N1143&lt;&gt;"",IF(INDEX(PCOp,$N1143)="مرجوعی خرید","",IF(INDEX(PCAmount,$N1143)&lt;=0,"",INDEX(PCAmount,$N1143))),IF($O1143&lt;&gt;"",IF(INDEX(TxnDepB,$O1143)=0,"",INDEX(TxnDepB,$O1143)),""))</f>
        <v/>
      </c>
      <c r="J1143" s="19">
        <f>IF($N1143&lt;&gt;"",IF(INDEX(PCOp,$N1143)="مرجوعی خرید",IF(INDEX(PCAmount,$N1143)=0,"",-INDEX(PCAmount,$N1143)),""),IF($O1143&lt;&gt;"",IF(INDEX(TxnWitB,$O1143)=0,"",INDEX(TxnWitB,$O1143)),""))</f>
        <v/>
      </c>
      <c r="K1143" s="21">
        <f>IF($B1143="","",IF($K1142="",$C$10,$K1142)+IF($I1143="",0,$I1143)-IF($J1143="",0,$J1143))</f>
        <v/>
      </c>
      <c r="L1143" s="22">
        <f>IF($N1143&lt;&gt;"",IF(INDEX(PCNotes,$N1143)="","—",INDEX(PCNotes,$N1143)),IF($O1143&lt;&gt;"",IF(INDEX(LdgNoteB,$O1143)="","—",INDEX(LdgNoteB,$O1143)),""))</f>
        <v/>
      </c>
      <c r="N1143">
        <f>IFERROR(MATCH($C$5&amp;"|"&amp;RIGHT("000000"&amp;1127,6),LdgRankKeyA,0),"")</f>
        <v/>
      </c>
      <c r="O1143">
        <f>IFERROR(MATCH($C$5&amp;"|"&amp;RIGHT("000000"&amp;1127,6),LdgRankKeyB,0),"")</f>
        <v/>
      </c>
    </row>
    <row r="1144">
      <c r="A1144" s="23" t="n">
        <v>1128</v>
      </c>
      <c r="B1144" s="24">
        <f>IF(AND($N1144="",$O1144=""),"",IF($N1144&lt;&gt;"",INDEX(PCNormDate,$N1144),INDEX(LdgDateB,$O1144)))</f>
        <v/>
      </c>
      <c r="C1144" s="24">
        <f>IF($N1144&lt;&gt;"",INDEX(PCOp,$N1144),IF($O1144&lt;&gt;"",IF(N(INDEX(TxnDepB,$O1144))&gt;0,"دریافت بانکی","پرداخت بانکی"),""))</f>
        <v/>
      </c>
      <c r="D1144" s="24">
        <f>IF($N1144&lt;&gt;"",IF(INDEX(PCDoc,$N1144)="","—",INDEX(PCDoc,$N1144)),IF($O1144&lt;&gt;"",INDEX(LdgBankB,$O1144),""))</f>
        <v/>
      </c>
      <c r="E1144" s="24">
        <f>IF($N1144&lt;&gt;"",IF(INDEX(PCCitrus,$N1144)="","—",INDEX(PCCitrus,$N1144)),"")</f>
        <v/>
      </c>
      <c r="F1144" s="25">
        <f>IF($N1144&lt;&gt;"",IF(INDEX(PCScale,$N1144)=0,"",INDEX(PCScale,$N1144)),"")</f>
        <v/>
      </c>
      <c r="G1144" s="25">
        <f>IF($N1144&lt;&gt;"",IF(INDEX(PCBaskets,$N1144)=0,"",INDEX(PCBaskets,$N1144)),"")</f>
        <v/>
      </c>
      <c r="H1144" s="26">
        <f>IF($N1144&lt;&gt;"",IF(INDEX(PCNet,$N1144)=0,"",INDEX(PCNet,$N1144)),"")</f>
        <v/>
      </c>
      <c r="I1144" s="25">
        <f>IF($N1144&lt;&gt;"",IF(INDEX(PCOp,$N1144)="مرجوعی خرید","",IF(INDEX(PCAmount,$N1144)&lt;=0,"",INDEX(PCAmount,$N1144))),IF($O1144&lt;&gt;"",IF(INDEX(TxnDepB,$O1144)=0,"",INDEX(TxnDepB,$O1144)),""))</f>
        <v/>
      </c>
      <c r="J1144" s="25">
        <f>IF($N1144&lt;&gt;"",IF(INDEX(PCOp,$N1144)="مرجوعی خرید",IF(INDEX(PCAmount,$N1144)=0,"",-INDEX(PCAmount,$N1144)),""),IF($O1144&lt;&gt;"",IF(INDEX(TxnWitB,$O1144)=0,"",INDEX(TxnWitB,$O1144)),""))</f>
        <v/>
      </c>
      <c r="K1144" s="27">
        <f>IF($B1144="","",IF($K1143="",$C$10,$K1143)+IF($I1144="",0,$I1144)-IF($J1144="",0,$J1144))</f>
        <v/>
      </c>
      <c r="L1144" s="28">
        <f>IF($N1144&lt;&gt;"",IF(INDEX(PCNotes,$N1144)="","—",INDEX(PCNotes,$N1144)),IF($O1144&lt;&gt;"",IF(INDEX(LdgNoteB,$O1144)="","—",INDEX(LdgNoteB,$O1144)),""))</f>
        <v/>
      </c>
      <c r="N1144">
        <f>IFERROR(MATCH($C$5&amp;"|"&amp;RIGHT("000000"&amp;1128,6),LdgRankKeyA,0),"")</f>
        <v/>
      </c>
      <c r="O1144">
        <f>IFERROR(MATCH($C$5&amp;"|"&amp;RIGHT("000000"&amp;1128,6),LdgRankKeyB,0),"")</f>
        <v/>
      </c>
    </row>
    <row r="1145">
      <c r="A1145" s="17" t="n">
        <v>1129</v>
      </c>
      <c r="B1145" s="18">
        <f>IF(AND($N1145="",$O1145=""),"",IF($N1145&lt;&gt;"",INDEX(PCNormDate,$N1145),INDEX(LdgDateB,$O1145)))</f>
        <v/>
      </c>
      <c r="C1145" s="18">
        <f>IF($N1145&lt;&gt;"",INDEX(PCOp,$N1145),IF($O1145&lt;&gt;"",IF(N(INDEX(TxnDepB,$O1145))&gt;0,"دریافت بانکی","پرداخت بانکی"),""))</f>
        <v/>
      </c>
      <c r="D1145" s="18">
        <f>IF($N1145&lt;&gt;"",IF(INDEX(PCDoc,$N1145)="","—",INDEX(PCDoc,$N1145)),IF($O1145&lt;&gt;"",INDEX(LdgBankB,$O1145),""))</f>
        <v/>
      </c>
      <c r="E1145" s="18">
        <f>IF($N1145&lt;&gt;"",IF(INDEX(PCCitrus,$N1145)="","—",INDEX(PCCitrus,$N1145)),"")</f>
        <v/>
      </c>
      <c r="F1145" s="19">
        <f>IF($N1145&lt;&gt;"",IF(INDEX(PCScale,$N1145)=0,"",INDEX(PCScale,$N1145)),"")</f>
        <v/>
      </c>
      <c r="G1145" s="19">
        <f>IF($N1145&lt;&gt;"",IF(INDEX(PCBaskets,$N1145)=0,"",INDEX(PCBaskets,$N1145)),"")</f>
        <v/>
      </c>
      <c r="H1145" s="20">
        <f>IF($N1145&lt;&gt;"",IF(INDEX(PCNet,$N1145)=0,"",INDEX(PCNet,$N1145)),"")</f>
        <v/>
      </c>
      <c r="I1145" s="19">
        <f>IF($N1145&lt;&gt;"",IF(INDEX(PCOp,$N1145)="مرجوعی خرید","",IF(INDEX(PCAmount,$N1145)&lt;=0,"",INDEX(PCAmount,$N1145))),IF($O1145&lt;&gt;"",IF(INDEX(TxnDepB,$O1145)=0,"",INDEX(TxnDepB,$O1145)),""))</f>
        <v/>
      </c>
      <c r="J1145" s="19">
        <f>IF($N1145&lt;&gt;"",IF(INDEX(PCOp,$N1145)="مرجوعی خرید",IF(INDEX(PCAmount,$N1145)=0,"",-INDEX(PCAmount,$N1145)),""),IF($O1145&lt;&gt;"",IF(INDEX(TxnWitB,$O1145)=0,"",INDEX(TxnWitB,$O1145)),""))</f>
        <v/>
      </c>
      <c r="K1145" s="21">
        <f>IF($B1145="","",IF($K1144="",$C$10,$K1144)+IF($I1145="",0,$I1145)-IF($J1145="",0,$J1145))</f>
        <v/>
      </c>
      <c r="L1145" s="22">
        <f>IF($N1145&lt;&gt;"",IF(INDEX(PCNotes,$N1145)="","—",INDEX(PCNotes,$N1145)),IF($O1145&lt;&gt;"",IF(INDEX(LdgNoteB,$O1145)="","—",INDEX(LdgNoteB,$O1145)),""))</f>
        <v/>
      </c>
      <c r="N1145">
        <f>IFERROR(MATCH($C$5&amp;"|"&amp;RIGHT("000000"&amp;1129,6),LdgRankKeyA,0),"")</f>
        <v/>
      </c>
      <c r="O1145">
        <f>IFERROR(MATCH($C$5&amp;"|"&amp;RIGHT("000000"&amp;1129,6),LdgRankKeyB,0),"")</f>
        <v/>
      </c>
    </row>
    <row r="1146">
      <c r="A1146" s="23" t="n">
        <v>1130</v>
      </c>
      <c r="B1146" s="24">
        <f>IF(AND($N1146="",$O1146=""),"",IF($N1146&lt;&gt;"",INDEX(PCNormDate,$N1146),INDEX(LdgDateB,$O1146)))</f>
        <v/>
      </c>
      <c r="C1146" s="24">
        <f>IF($N1146&lt;&gt;"",INDEX(PCOp,$N1146),IF($O1146&lt;&gt;"",IF(N(INDEX(TxnDepB,$O1146))&gt;0,"دریافت بانکی","پرداخت بانکی"),""))</f>
        <v/>
      </c>
      <c r="D1146" s="24">
        <f>IF($N1146&lt;&gt;"",IF(INDEX(PCDoc,$N1146)="","—",INDEX(PCDoc,$N1146)),IF($O1146&lt;&gt;"",INDEX(LdgBankB,$O1146),""))</f>
        <v/>
      </c>
      <c r="E1146" s="24">
        <f>IF($N1146&lt;&gt;"",IF(INDEX(PCCitrus,$N1146)="","—",INDEX(PCCitrus,$N1146)),"")</f>
        <v/>
      </c>
      <c r="F1146" s="25">
        <f>IF($N1146&lt;&gt;"",IF(INDEX(PCScale,$N1146)=0,"",INDEX(PCScale,$N1146)),"")</f>
        <v/>
      </c>
      <c r="G1146" s="25">
        <f>IF($N1146&lt;&gt;"",IF(INDEX(PCBaskets,$N1146)=0,"",INDEX(PCBaskets,$N1146)),"")</f>
        <v/>
      </c>
      <c r="H1146" s="26">
        <f>IF($N1146&lt;&gt;"",IF(INDEX(PCNet,$N1146)=0,"",INDEX(PCNet,$N1146)),"")</f>
        <v/>
      </c>
      <c r="I1146" s="25">
        <f>IF($N1146&lt;&gt;"",IF(INDEX(PCOp,$N1146)="مرجوعی خرید","",IF(INDEX(PCAmount,$N1146)&lt;=0,"",INDEX(PCAmount,$N1146))),IF($O1146&lt;&gt;"",IF(INDEX(TxnDepB,$O1146)=0,"",INDEX(TxnDepB,$O1146)),""))</f>
        <v/>
      </c>
      <c r="J1146" s="25">
        <f>IF($N1146&lt;&gt;"",IF(INDEX(PCOp,$N1146)="مرجوعی خرید",IF(INDEX(PCAmount,$N1146)=0,"",-INDEX(PCAmount,$N1146)),""),IF($O1146&lt;&gt;"",IF(INDEX(TxnWitB,$O1146)=0,"",INDEX(TxnWitB,$O1146)),""))</f>
        <v/>
      </c>
      <c r="K1146" s="27">
        <f>IF($B1146="","",IF($K1145="",$C$10,$K1145)+IF($I1146="",0,$I1146)-IF($J1146="",0,$J1146))</f>
        <v/>
      </c>
      <c r="L1146" s="28">
        <f>IF($N1146&lt;&gt;"",IF(INDEX(PCNotes,$N1146)="","—",INDEX(PCNotes,$N1146)),IF($O1146&lt;&gt;"",IF(INDEX(LdgNoteB,$O1146)="","—",INDEX(LdgNoteB,$O1146)),""))</f>
        <v/>
      </c>
      <c r="N1146">
        <f>IFERROR(MATCH($C$5&amp;"|"&amp;RIGHT("000000"&amp;1130,6),LdgRankKeyA,0),"")</f>
        <v/>
      </c>
      <c r="O1146">
        <f>IFERROR(MATCH($C$5&amp;"|"&amp;RIGHT("000000"&amp;1130,6),LdgRankKeyB,0),"")</f>
        <v/>
      </c>
    </row>
    <row r="1147">
      <c r="A1147" s="17" t="n">
        <v>1131</v>
      </c>
      <c r="B1147" s="18">
        <f>IF(AND($N1147="",$O1147=""),"",IF($N1147&lt;&gt;"",INDEX(PCNormDate,$N1147),INDEX(LdgDateB,$O1147)))</f>
        <v/>
      </c>
      <c r="C1147" s="18">
        <f>IF($N1147&lt;&gt;"",INDEX(PCOp,$N1147),IF($O1147&lt;&gt;"",IF(N(INDEX(TxnDepB,$O1147))&gt;0,"دریافت بانکی","پرداخت بانکی"),""))</f>
        <v/>
      </c>
      <c r="D1147" s="18">
        <f>IF($N1147&lt;&gt;"",IF(INDEX(PCDoc,$N1147)="","—",INDEX(PCDoc,$N1147)),IF($O1147&lt;&gt;"",INDEX(LdgBankB,$O1147),""))</f>
        <v/>
      </c>
      <c r="E1147" s="18">
        <f>IF($N1147&lt;&gt;"",IF(INDEX(PCCitrus,$N1147)="","—",INDEX(PCCitrus,$N1147)),"")</f>
        <v/>
      </c>
      <c r="F1147" s="19">
        <f>IF($N1147&lt;&gt;"",IF(INDEX(PCScale,$N1147)=0,"",INDEX(PCScale,$N1147)),"")</f>
        <v/>
      </c>
      <c r="G1147" s="19">
        <f>IF($N1147&lt;&gt;"",IF(INDEX(PCBaskets,$N1147)=0,"",INDEX(PCBaskets,$N1147)),"")</f>
        <v/>
      </c>
      <c r="H1147" s="20">
        <f>IF($N1147&lt;&gt;"",IF(INDEX(PCNet,$N1147)=0,"",INDEX(PCNet,$N1147)),"")</f>
        <v/>
      </c>
      <c r="I1147" s="19">
        <f>IF($N1147&lt;&gt;"",IF(INDEX(PCOp,$N1147)="مرجوعی خرید","",IF(INDEX(PCAmount,$N1147)&lt;=0,"",INDEX(PCAmount,$N1147))),IF($O1147&lt;&gt;"",IF(INDEX(TxnDepB,$O1147)=0,"",INDEX(TxnDepB,$O1147)),""))</f>
        <v/>
      </c>
      <c r="J1147" s="19">
        <f>IF($N1147&lt;&gt;"",IF(INDEX(PCOp,$N1147)="مرجوعی خرید",IF(INDEX(PCAmount,$N1147)=0,"",-INDEX(PCAmount,$N1147)),""),IF($O1147&lt;&gt;"",IF(INDEX(TxnWitB,$O1147)=0,"",INDEX(TxnWitB,$O1147)),""))</f>
        <v/>
      </c>
      <c r="K1147" s="21">
        <f>IF($B1147="","",IF($K1146="",$C$10,$K1146)+IF($I1147="",0,$I1147)-IF($J1147="",0,$J1147))</f>
        <v/>
      </c>
      <c r="L1147" s="22">
        <f>IF($N1147&lt;&gt;"",IF(INDEX(PCNotes,$N1147)="","—",INDEX(PCNotes,$N1147)),IF($O1147&lt;&gt;"",IF(INDEX(LdgNoteB,$O1147)="","—",INDEX(LdgNoteB,$O1147)),""))</f>
        <v/>
      </c>
      <c r="N1147">
        <f>IFERROR(MATCH($C$5&amp;"|"&amp;RIGHT("000000"&amp;1131,6),LdgRankKeyA,0),"")</f>
        <v/>
      </c>
      <c r="O1147">
        <f>IFERROR(MATCH($C$5&amp;"|"&amp;RIGHT("000000"&amp;1131,6),LdgRankKeyB,0),"")</f>
        <v/>
      </c>
    </row>
    <row r="1148">
      <c r="A1148" s="23" t="n">
        <v>1132</v>
      </c>
      <c r="B1148" s="24">
        <f>IF(AND($N1148="",$O1148=""),"",IF($N1148&lt;&gt;"",INDEX(PCNormDate,$N1148),INDEX(LdgDateB,$O1148)))</f>
        <v/>
      </c>
      <c r="C1148" s="24">
        <f>IF($N1148&lt;&gt;"",INDEX(PCOp,$N1148),IF($O1148&lt;&gt;"",IF(N(INDEX(TxnDepB,$O1148))&gt;0,"دریافت بانکی","پرداخت بانکی"),""))</f>
        <v/>
      </c>
      <c r="D1148" s="24">
        <f>IF($N1148&lt;&gt;"",IF(INDEX(PCDoc,$N1148)="","—",INDEX(PCDoc,$N1148)),IF($O1148&lt;&gt;"",INDEX(LdgBankB,$O1148),""))</f>
        <v/>
      </c>
      <c r="E1148" s="24">
        <f>IF($N1148&lt;&gt;"",IF(INDEX(PCCitrus,$N1148)="","—",INDEX(PCCitrus,$N1148)),"")</f>
        <v/>
      </c>
      <c r="F1148" s="25">
        <f>IF($N1148&lt;&gt;"",IF(INDEX(PCScale,$N1148)=0,"",INDEX(PCScale,$N1148)),"")</f>
        <v/>
      </c>
      <c r="G1148" s="25">
        <f>IF($N1148&lt;&gt;"",IF(INDEX(PCBaskets,$N1148)=0,"",INDEX(PCBaskets,$N1148)),"")</f>
        <v/>
      </c>
      <c r="H1148" s="26">
        <f>IF($N1148&lt;&gt;"",IF(INDEX(PCNet,$N1148)=0,"",INDEX(PCNet,$N1148)),"")</f>
        <v/>
      </c>
      <c r="I1148" s="25">
        <f>IF($N1148&lt;&gt;"",IF(INDEX(PCOp,$N1148)="مرجوعی خرید","",IF(INDEX(PCAmount,$N1148)&lt;=0,"",INDEX(PCAmount,$N1148))),IF($O1148&lt;&gt;"",IF(INDEX(TxnDepB,$O1148)=0,"",INDEX(TxnDepB,$O1148)),""))</f>
        <v/>
      </c>
      <c r="J1148" s="25">
        <f>IF($N1148&lt;&gt;"",IF(INDEX(PCOp,$N1148)="مرجوعی خرید",IF(INDEX(PCAmount,$N1148)=0,"",-INDEX(PCAmount,$N1148)),""),IF($O1148&lt;&gt;"",IF(INDEX(TxnWitB,$O1148)=0,"",INDEX(TxnWitB,$O1148)),""))</f>
        <v/>
      </c>
      <c r="K1148" s="27">
        <f>IF($B1148="","",IF($K1147="",$C$10,$K1147)+IF($I1148="",0,$I1148)-IF($J1148="",0,$J1148))</f>
        <v/>
      </c>
      <c r="L1148" s="28">
        <f>IF($N1148&lt;&gt;"",IF(INDEX(PCNotes,$N1148)="","—",INDEX(PCNotes,$N1148)),IF($O1148&lt;&gt;"",IF(INDEX(LdgNoteB,$O1148)="","—",INDEX(LdgNoteB,$O1148)),""))</f>
        <v/>
      </c>
      <c r="N1148">
        <f>IFERROR(MATCH($C$5&amp;"|"&amp;RIGHT("000000"&amp;1132,6),LdgRankKeyA,0),"")</f>
        <v/>
      </c>
      <c r="O1148">
        <f>IFERROR(MATCH($C$5&amp;"|"&amp;RIGHT("000000"&amp;1132,6),LdgRankKeyB,0),"")</f>
        <v/>
      </c>
    </row>
    <row r="1149">
      <c r="A1149" s="17" t="n">
        <v>1133</v>
      </c>
      <c r="B1149" s="18">
        <f>IF(AND($N1149="",$O1149=""),"",IF($N1149&lt;&gt;"",INDEX(PCNormDate,$N1149),INDEX(LdgDateB,$O1149)))</f>
        <v/>
      </c>
      <c r="C1149" s="18">
        <f>IF($N1149&lt;&gt;"",INDEX(PCOp,$N1149),IF($O1149&lt;&gt;"",IF(N(INDEX(TxnDepB,$O1149))&gt;0,"دریافت بانکی","پرداخت بانکی"),""))</f>
        <v/>
      </c>
      <c r="D1149" s="18">
        <f>IF($N1149&lt;&gt;"",IF(INDEX(PCDoc,$N1149)="","—",INDEX(PCDoc,$N1149)),IF($O1149&lt;&gt;"",INDEX(LdgBankB,$O1149),""))</f>
        <v/>
      </c>
      <c r="E1149" s="18">
        <f>IF($N1149&lt;&gt;"",IF(INDEX(PCCitrus,$N1149)="","—",INDEX(PCCitrus,$N1149)),"")</f>
        <v/>
      </c>
      <c r="F1149" s="19">
        <f>IF($N1149&lt;&gt;"",IF(INDEX(PCScale,$N1149)=0,"",INDEX(PCScale,$N1149)),"")</f>
        <v/>
      </c>
      <c r="G1149" s="19">
        <f>IF($N1149&lt;&gt;"",IF(INDEX(PCBaskets,$N1149)=0,"",INDEX(PCBaskets,$N1149)),"")</f>
        <v/>
      </c>
      <c r="H1149" s="20">
        <f>IF($N1149&lt;&gt;"",IF(INDEX(PCNet,$N1149)=0,"",INDEX(PCNet,$N1149)),"")</f>
        <v/>
      </c>
      <c r="I1149" s="19">
        <f>IF($N1149&lt;&gt;"",IF(INDEX(PCOp,$N1149)="مرجوعی خرید","",IF(INDEX(PCAmount,$N1149)&lt;=0,"",INDEX(PCAmount,$N1149))),IF($O1149&lt;&gt;"",IF(INDEX(TxnDepB,$O1149)=0,"",INDEX(TxnDepB,$O1149)),""))</f>
        <v/>
      </c>
      <c r="J1149" s="19">
        <f>IF($N1149&lt;&gt;"",IF(INDEX(PCOp,$N1149)="مرجوعی خرید",IF(INDEX(PCAmount,$N1149)=0,"",-INDEX(PCAmount,$N1149)),""),IF($O1149&lt;&gt;"",IF(INDEX(TxnWitB,$O1149)=0,"",INDEX(TxnWitB,$O1149)),""))</f>
        <v/>
      </c>
      <c r="K1149" s="21">
        <f>IF($B1149="","",IF($K1148="",$C$10,$K1148)+IF($I1149="",0,$I1149)-IF($J1149="",0,$J1149))</f>
        <v/>
      </c>
      <c r="L1149" s="22">
        <f>IF($N1149&lt;&gt;"",IF(INDEX(PCNotes,$N1149)="","—",INDEX(PCNotes,$N1149)),IF($O1149&lt;&gt;"",IF(INDEX(LdgNoteB,$O1149)="","—",INDEX(LdgNoteB,$O1149)),""))</f>
        <v/>
      </c>
      <c r="N1149">
        <f>IFERROR(MATCH($C$5&amp;"|"&amp;RIGHT("000000"&amp;1133,6),LdgRankKeyA,0),"")</f>
        <v/>
      </c>
      <c r="O1149">
        <f>IFERROR(MATCH($C$5&amp;"|"&amp;RIGHT("000000"&amp;1133,6),LdgRankKeyB,0),"")</f>
        <v/>
      </c>
    </row>
    <row r="1150">
      <c r="A1150" s="23" t="n">
        <v>1134</v>
      </c>
      <c r="B1150" s="24">
        <f>IF(AND($N1150="",$O1150=""),"",IF($N1150&lt;&gt;"",INDEX(PCNormDate,$N1150),INDEX(LdgDateB,$O1150)))</f>
        <v/>
      </c>
      <c r="C1150" s="24">
        <f>IF($N1150&lt;&gt;"",INDEX(PCOp,$N1150),IF($O1150&lt;&gt;"",IF(N(INDEX(TxnDepB,$O1150))&gt;0,"دریافت بانکی","پرداخت بانکی"),""))</f>
        <v/>
      </c>
      <c r="D1150" s="24">
        <f>IF($N1150&lt;&gt;"",IF(INDEX(PCDoc,$N1150)="","—",INDEX(PCDoc,$N1150)),IF($O1150&lt;&gt;"",INDEX(LdgBankB,$O1150),""))</f>
        <v/>
      </c>
      <c r="E1150" s="24">
        <f>IF($N1150&lt;&gt;"",IF(INDEX(PCCitrus,$N1150)="","—",INDEX(PCCitrus,$N1150)),"")</f>
        <v/>
      </c>
      <c r="F1150" s="25">
        <f>IF($N1150&lt;&gt;"",IF(INDEX(PCScale,$N1150)=0,"",INDEX(PCScale,$N1150)),"")</f>
        <v/>
      </c>
      <c r="G1150" s="25">
        <f>IF($N1150&lt;&gt;"",IF(INDEX(PCBaskets,$N1150)=0,"",INDEX(PCBaskets,$N1150)),"")</f>
        <v/>
      </c>
      <c r="H1150" s="26">
        <f>IF($N1150&lt;&gt;"",IF(INDEX(PCNet,$N1150)=0,"",INDEX(PCNet,$N1150)),"")</f>
        <v/>
      </c>
      <c r="I1150" s="25">
        <f>IF($N1150&lt;&gt;"",IF(INDEX(PCOp,$N1150)="مرجوعی خرید","",IF(INDEX(PCAmount,$N1150)&lt;=0,"",INDEX(PCAmount,$N1150))),IF($O1150&lt;&gt;"",IF(INDEX(TxnDepB,$O1150)=0,"",INDEX(TxnDepB,$O1150)),""))</f>
        <v/>
      </c>
      <c r="J1150" s="25">
        <f>IF($N1150&lt;&gt;"",IF(INDEX(PCOp,$N1150)="مرجوعی خرید",IF(INDEX(PCAmount,$N1150)=0,"",-INDEX(PCAmount,$N1150)),""),IF($O1150&lt;&gt;"",IF(INDEX(TxnWitB,$O1150)=0,"",INDEX(TxnWitB,$O1150)),""))</f>
        <v/>
      </c>
      <c r="K1150" s="27">
        <f>IF($B1150="","",IF($K1149="",$C$10,$K1149)+IF($I1150="",0,$I1150)-IF($J1150="",0,$J1150))</f>
        <v/>
      </c>
      <c r="L1150" s="28">
        <f>IF($N1150&lt;&gt;"",IF(INDEX(PCNotes,$N1150)="","—",INDEX(PCNotes,$N1150)),IF($O1150&lt;&gt;"",IF(INDEX(LdgNoteB,$O1150)="","—",INDEX(LdgNoteB,$O1150)),""))</f>
        <v/>
      </c>
      <c r="N1150">
        <f>IFERROR(MATCH($C$5&amp;"|"&amp;RIGHT("000000"&amp;1134,6),LdgRankKeyA,0),"")</f>
        <v/>
      </c>
      <c r="O1150">
        <f>IFERROR(MATCH($C$5&amp;"|"&amp;RIGHT("000000"&amp;1134,6),LdgRankKeyB,0),"")</f>
        <v/>
      </c>
    </row>
    <row r="1151">
      <c r="A1151" s="17" t="n">
        <v>1135</v>
      </c>
      <c r="B1151" s="18">
        <f>IF(AND($N1151="",$O1151=""),"",IF($N1151&lt;&gt;"",INDEX(PCNormDate,$N1151),INDEX(LdgDateB,$O1151)))</f>
        <v/>
      </c>
      <c r="C1151" s="18">
        <f>IF($N1151&lt;&gt;"",INDEX(PCOp,$N1151),IF($O1151&lt;&gt;"",IF(N(INDEX(TxnDepB,$O1151))&gt;0,"دریافت بانکی","پرداخت بانکی"),""))</f>
        <v/>
      </c>
      <c r="D1151" s="18">
        <f>IF($N1151&lt;&gt;"",IF(INDEX(PCDoc,$N1151)="","—",INDEX(PCDoc,$N1151)),IF($O1151&lt;&gt;"",INDEX(LdgBankB,$O1151),""))</f>
        <v/>
      </c>
      <c r="E1151" s="18">
        <f>IF($N1151&lt;&gt;"",IF(INDEX(PCCitrus,$N1151)="","—",INDEX(PCCitrus,$N1151)),"")</f>
        <v/>
      </c>
      <c r="F1151" s="19">
        <f>IF($N1151&lt;&gt;"",IF(INDEX(PCScale,$N1151)=0,"",INDEX(PCScale,$N1151)),"")</f>
        <v/>
      </c>
      <c r="G1151" s="19">
        <f>IF($N1151&lt;&gt;"",IF(INDEX(PCBaskets,$N1151)=0,"",INDEX(PCBaskets,$N1151)),"")</f>
        <v/>
      </c>
      <c r="H1151" s="20">
        <f>IF($N1151&lt;&gt;"",IF(INDEX(PCNet,$N1151)=0,"",INDEX(PCNet,$N1151)),"")</f>
        <v/>
      </c>
      <c r="I1151" s="19">
        <f>IF($N1151&lt;&gt;"",IF(INDEX(PCOp,$N1151)="مرجوعی خرید","",IF(INDEX(PCAmount,$N1151)&lt;=0,"",INDEX(PCAmount,$N1151))),IF($O1151&lt;&gt;"",IF(INDEX(TxnDepB,$O1151)=0,"",INDEX(TxnDepB,$O1151)),""))</f>
        <v/>
      </c>
      <c r="J1151" s="19">
        <f>IF($N1151&lt;&gt;"",IF(INDEX(PCOp,$N1151)="مرجوعی خرید",IF(INDEX(PCAmount,$N1151)=0,"",-INDEX(PCAmount,$N1151)),""),IF($O1151&lt;&gt;"",IF(INDEX(TxnWitB,$O1151)=0,"",INDEX(TxnWitB,$O1151)),""))</f>
        <v/>
      </c>
      <c r="K1151" s="21">
        <f>IF($B1151="","",IF($K1150="",$C$10,$K1150)+IF($I1151="",0,$I1151)-IF($J1151="",0,$J1151))</f>
        <v/>
      </c>
      <c r="L1151" s="22">
        <f>IF($N1151&lt;&gt;"",IF(INDEX(PCNotes,$N1151)="","—",INDEX(PCNotes,$N1151)),IF($O1151&lt;&gt;"",IF(INDEX(LdgNoteB,$O1151)="","—",INDEX(LdgNoteB,$O1151)),""))</f>
        <v/>
      </c>
      <c r="N1151">
        <f>IFERROR(MATCH($C$5&amp;"|"&amp;RIGHT("000000"&amp;1135,6),LdgRankKeyA,0),"")</f>
        <v/>
      </c>
      <c r="O1151">
        <f>IFERROR(MATCH($C$5&amp;"|"&amp;RIGHT("000000"&amp;1135,6),LdgRankKeyB,0),"")</f>
        <v/>
      </c>
    </row>
    <row r="1152">
      <c r="A1152" s="23" t="n">
        <v>1136</v>
      </c>
      <c r="B1152" s="24">
        <f>IF(AND($N1152="",$O1152=""),"",IF($N1152&lt;&gt;"",INDEX(PCNormDate,$N1152),INDEX(LdgDateB,$O1152)))</f>
        <v/>
      </c>
      <c r="C1152" s="24">
        <f>IF($N1152&lt;&gt;"",INDEX(PCOp,$N1152),IF($O1152&lt;&gt;"",IF(N(INDEX(TxnDepB,$O1152))&gt;0,"دریافت بانکی","پرداخت بانکی"),""))</f>
        <v/>
      </c>
      <c r="D1152" s="24">
        <f>IF($N1152&lt;&gt;"",IF(INDEX(PCDoc,$N1152)="","—",INDEX(PCDoc,$N1152)),IF($O1152&lt;&gt;"",INDEX(LdgBankB,$O1152),""))</f>
        <v/>
      </c>
      <c r="E1152" s="24">
        <f>IF($N1152&lt;&gt;"",IF(INDEX(PCCitrus,$N1152)="","—",INDEX(PCCitrus,$N1152)),"")</f>
        <v/>
      </c>
      <c r="F1152" s="25">
        <f>IF($N1152&lt;&gt;"",IF(INDEX(PCScale,$N1152)=0,"",INDEX(PCScale,$N1152)),"")</f>
        <v/>
      </c>
      <c r="G1152" s="25">
        <f>IF($N1152&lt;&gt;"",IF(INDEX(PCBaskets,$N1152)=0,"",INDEX(PCBaskets,$N1152)),"")</f>
        <v/>
      </c>
      <c r="H1152" s="26">
        <f>IF($N1152&lt;&gt;"",IF(INDEX(PCNet,$N1152)=0,"",INDEX(PCNet,$N1152)),"")</f>
        <v/>
      </c>
      <c r="I1152" s="25">
        <f>IF($N1152&lt;&gt;"",IF(INDEX(PCOp,$N1152)="مرجوعی خرید","",IF(INDEX(PCAmount,$N1152)&lt;=0,"",INDEX(PCAmount,$N1152))),IF($O1152&lt;&gt;"",IF(INDEX(TxnDepB,$O1152)=0,"",INDEX(TxnDepB,$O1152)),""))</f>
        <v/>
      </c>
      <c r="J1152" s="25">
        <f>IF($N1152&lt;&gt;"",IF(INDEX(PCOp,$N1152)="مرجوعی خرید",IF(INDEX(PCAmount,$N1152)=0,"",-INDEX(PCAmount,$N1152)),""),IF($O1152&lt;&gt;"",IF(INDEX(TxnWitB,$O1152)=0,"",INDEX(TxnWitB,$O1152)),""))</f>
        <v/>
      </c>
      <c r="K1152" s="27">
        <f>IF($B1152="","",IF($K1151="",$C$10,$K1151)+IF($I1152="",0,$I1152)-IF($J1152="",0,$J1152))</f>
        <v/>
      </c>
      <c r="L1152" s="28">
        <f>IF($N1152&lt;&gt;"",IF(INDEX(PCNotes,$N1152)="","—",INDEX(PCNotes,$N1152)),IF($O1152&lt;&gt;"",IF(INDEX(LdgNoteB,$O1152)="","—",INDEX(LdgNoteB,$O1152)),""))</f>
        <v/>
      </c>
      <c r="N1152">
        <f>IFERROR(MATCH($C$5&amp;"|"&amp;RIGHT("000000"&amp;1136,6),LdgRankKeyA,0),"")</f>
        <v/>
      </c>
      <c r="O1152">
        <f>IFERROR(MATCH($C$5&amp;"|"&amp;RIGHT("000000"&amp;1136,6),LdgRankKeyB,0),"")</f>
        <v/>
      </c>
    </row>
    <row r="1153">
      <c r="A1153" s="17" t="n">
        <v>1137</v>
      </c>
      <c r="B1153" s="18">
        <f>IF(AND($N1153="",$O1153=""),"",IF($N1153&lt;&gt;"",INDEX(PCNormDate,$N1153),INDEX(LdgDateB,$O1153)))</f>
        <v/>
      </c>
      <c r="C1153" s="18">
        <f>IF($N1153&lt;&gt;"",INDEX(PCOp,$N1153),IF($O1153&lt;&gt;"",IF(N(INDEX(TxnDepB,$O1153))&gt;0,"دریافت بانکی","پرداخت بانکی"),""))</f>
        <v/>
      </c>
      <c r="D1153" s="18">
        <f>IF($N1153&lt;&gt;"",IF(INDEX(PCDoc,$N1153)="","—",INDEX(PCDoc,$N1153)),IF($O1153&lt;&gt;"",INDEX(LdgBankB,$O1153),""))</f>
        <v/>
      </c>
      <c r="E1153" s="18">
        <f>IF($N1153&lt;&gt;"",IF(INDEX(PCCitrus,$N1153)="","—",INDEX(PCCitrus,$N1153)),"")</f>
        <v/>
      </c>
      <c r="F1153" s="19">
        <f>IF($N1153&lt;&gt;"",IF(INDEX(PCScale,$N1153)=0,"",INDEX(PCScale,$N1153)),"")</f>
        <v/>
      </c>
      <c r="G1153" s="19">
        <f>IF($N1153&lt;&gt;"",IF(INDEX(PCBaskets,$N1153)=0,"",INDEX(PCBaskets,$N1153)),"")</f>
        <v/>
      </c>
      <c r="H1153" s="20">
        <f>IF($N1153&lt;&gt;"",IF(INDEX(PCNet,$N1153)=0,"",INDEX(PCNet,$N1153)),"")</f>
        <v/>
      </c>
      <c r="I1153" s="19">
        <f>IF($N1153&lt;&gt;"",IF(INDEX(PCOp,$N1153)="مرجوعی خرید","",IF(INDEX(PCAmount,$N1153)&lt;=0,"",INDEX(PCAmount,$N1153))),IF($O1153&lt;&gt;"",IF(INDEX(TxnDepB,$O1153)=0,"",INDEX(TxnDepB,$O1153)),""))</f>
        <v/>
      </c>
      <c r="J1153" s="19">
        <f>IF($N1153&lt;&gt;"",IF(INDEX(PCOp,$N1153)="مرجوعی خرید",IF(INDEX(PCAmount,$N1153)=0,"",-INDEX(PCAmount,$N1153)),""),IF($O1153&lt;&gt;"",IF(INDEX(TxnWitB,$O1153)=0,"",INDEX(TxnWitB,$O1153)),""))</f>
        <v/>
      </c>
      <c r="K1153" s="21">
        <f>IF($B1153="","",IF($K1152="",$C$10,$K1152)+IF($I1153="",0,$I1153)-IF($J1153="",0,$J1153))</f>
        <v/>
      </c>
      <c r="L1153" s="22">
        <f>IF($N1153&lt;&gt;"",IF(INDEX(PCNotes,$N1153)="","—",INDEX(PCNotes,$N1153)),IF($O1153&lt;&gt;"",IF(INDEX(LdgNoteB,$O1153)="","—",INDEX(LdgNoteB,$O1153)),""))</f>
        <v/>
      </c>
      <c r="N1153">
        <f>IFERROR(MATCH($C$5&amp;"|"&amp;RIGHT("000000"&amp;1137,6),LdgRankKeyA,0),"")</f>
        <v/>
      </c>
      <c r="O1153">
        <f>IFERROR(MATCH($C$5&amp;"|"&amp;RIGHT("000000"&amp;1137,6),LdgRankKeyB,0),"")</f>
        <v/>
      </c>
    </row>
    <row r="1154">
      <c r="A1154" s="23" t="n">
        <v>1138</v>
      </c>
      <c r="B1154" s="24">
        <f>IF(AND($N1154="",$O1154=""),"",IF($N1154&lt;&gt;"",INDEX(PCNormDate,$N1154),INDEX(LdgDateB,$O1154)))</f>
        <v/>
      </c>
      <c r="C1154" s="24">
        <f>IF($N1154&lt;&gt;"",INDEX(PCOp,$N1154),IF($O1154&lt;&gt;"",IF(N(INDEX(TxnDepB,$O1154))&gt;0,"دریافت بانکی","پرداخت بانکی"),""))</f>
        <v/>
      </c>
      <c r="D1154" s="24">
        <f>IF($N1154&lt;&gt;"",IF(INDEX(PCDoc,$N1154)="","—",INDEX(PCDoc,$N1154)),IF($O1154&lt;&gt;"",INDEX(LdgBankB,$O1154),""))</f>
        <v/>
      </c>
      <c r="E1154" s="24">
        <f>IF($N1154&lt;&gt;"",IF(INDEX(PCCitrus,$N1154)="","—",INDEX(PCCitrus,$N1154)),"")</f>
        <v/>
      </c>
      <c r="F1154" s="25">
        <f>IF($N1154&lt;&gt;"",IF(INDEX(PCScale,$N1154)=0,"",INDEX(PCScale,$N1154)),"")</f>
        <v/>
      </c>
      <c r="G1154" s="25">
        <f>IF($N1154&lt;&gt;"",IF(INDEX(PCBaskets,$N1154)=0,"",INDEX(PCBaskets,$N1154)),"")</f>
        <v/>
      </c>
      <c r="H1154" s="26">
        <f>IF($N1154&lt;&gt;"",IF(INDEX(PCNet,$N1154)=0,"",INDEX(PCNet,$N1154)),"")</f>
        <v/>
      </c>
      <c r="I1154" s="25">
        <f>IF($N1154&lt;&gt;"",IF(INDEX(PCOp,$N1154)="مرجوعی خرید","",IF(INDEX(PCAmount,$N1154)&lt;=0,"",INDEX(PCAmount,$N1154))),IF($O1154&lt;&gt;"",IF(INDEX(TxnDepB,$O1154)=0,"",INDEX(TxnDepB,$O1154)),""))</f>
        <v/>
      </c>
      <c r="J1154" s="25">
        <f>IF($N1154&lt;&gt;"",IF(INDEX(PCOp,$N1154)="مرجوعی خرید",IF(INDEX(PCAmount,$N1154)=0,"",-INDEX(PCAmount,$N1154)),""),IF($O1154&lt;&gt;"",IF(INDEX(TxnWitB,$O1154)=0,"",INDEX(TxnWitB,$O1154)),""))</f>
        <v/>
      </c>
      <c r="K1154" s="27">
        <f>IF($B1154="","",IF($K1153="",$C$10,$K1153)+IF($I1154="",0,$I1154)-IF($J1154="",0,$J1154))</f>
        <v/>
      </c>
      <c r="L1154" s="28">
        <f>IF($N1154&lt;&gt;"",IF(INDEX(PCNotes,$N1154)="","—",INDEX(PCNotes,$N1154)),IF($O1154&lt;&gt;"",IF(INDEX(LdgNoteB,$O1154)="","—",INDEX(LdgNoteB,$O1154)),""))</f>
        <v/>
      </c>
      <c r="N1154">
        <f>IFERROR(MATCH($C$5&amp;"|"&amp;RIGHT("000000"&amp;1138,6),LdgRankKeyA,0),"")</f>
        <v/>
      </c>
      <c r="O1154">
        <f>IFERROR(MATCH($C$5&amp;"|"&amp;RIGHT("000000"&amp;1138,6),LdgRankKeyB,0),"")</f>
        <v/>
      </c>
    </row>
    <row r="1155">
      <c r="A1155" s="17" t="n">
        <v>1139</v>
      </c>
      <c r="B1155" s="18">
        <f>IF(AND($N1155="",$O1155=""),"",IF($N1155&lt;&gt;"",INDEX(PCNormDate,$N1155),INDEX(LdgDateB,$O1155)))</f>
        <v/>
      </c>
      <c r="C1155" s="18">
        <f>IF($N1155&lt;&gt;"",INDEX(PCOp,$N1155),IF($O1155&lt;&gt;"",IF(N(INDEX(TxnDepB,$O1155))&gt;0,"دریافت بانکی","پرداخت بانکی"),""))</f>
        <v/>
      </c>
      <c r="D1155" s="18">
        <f>IF($N1155&lt;&gt;"",IF(INDEX(PCDoc,$N1155)="","—",INDEX(PCDoc,$N1155)),IF($O1155&lt;&gt;"",INDEX(LdgBankB,$O1155),""))</f>
        <v/>
      </c>
      <c r="E1155" s="18">
        <f>IF($N1155&lt;&gt;"",IF(INDEX(PCCitrus,$N1155)="","—",INDEX(PCCitrus,$N1155)),"")</f>
        <v/>
      </c>
      <c r="F1155" s="19">
        <f>IF($N1155&lt;&gt;"",IF(INDEX(PCScale,$N1155)=0,"",INDEX(PCScale,$N1155)),"")</f>
        <v/>
      </c>
      <c r="G1155" s="19">
        <f>IF($N1155&lt;&gt;"",IF(INDEX(PCBaskets,$N1155)=0,"",INDEX(PCBaskets,$N1155)),"")</f>
        <v/>
      </c>
      <c r="H1155" s="20">
        <f>IF($N1155&lt;&gt;"",IF(INDEX(PCNet,$N1155)=0,"",INDEX(PCNet,$N1155)),"")</f>
        <v/>
      </c>
      <c r="I1155" s="19">
        <f>IF($N1155&lt;&gt;"",IF(INDEX(PCOp,$N1155)="مرجوعی خرید","",IF(INDEX(PCAmount,$N1155)&lt;=0,"",INDEX(PCAmount,$N1155))),IF($O1155&lt;&gt;"",IF(INDEX(TxnDepB,$O1155)=0,"",INDEX(TxnDepB,$O1155)),""))</f>
        <v/>
      </c>
      <c r="J1155" s="19">
        <f>IF($N1155&lt;&gt;"",IF(INDEX(PCOp,$N1155)="مرجوعی خرید",IF(INDEX(PCAmount,$N1155)=0,"",-INDEX(PCAmount,$N1155)),""),IF($O1155&lt;&gt;"",IF(INDEX(TxnWitB,$O1155)=0,"",INDEX(TxnWitB,$O1155)),""))</f>
        <v/>
      </c>
      <c r="K1155" s="21">
        <f>IF($B1155="","",IF($K1154="",$C$10,$K1154)+IF($I1155="",0,$I1155)-IF($J1155="",0,$J1155))</f>
        <v/>
      </c>
      <c r="L1155" s="22">
        <f>IF($N1155&lt;&gt;"",IF(INDEX(PCNotes,$N1155)="","—",INDEX(PCNotes,$N1155)),IF($O1155&lt;&gt;"",IF(INDEX(LdgNoteB,$O1155)="","—",INDEX(LdgNoteB,$O1155)),""))</f>
        <v/>
      </c>
      <c r="N1155">
        <f>IFERROR(MATCH($C$5&amp;"|"&amp;RIGHT("000000"&amp;1139,6),LdgRankKeyA,0),"")</f>
        <v/>
      </c>
      <c r="O1155">
        <f>IFERROR(MATCH($C$5&amp;"|"&amp;RIGHT("000000"&amp;1139,6),LdgRankKeyB,0),"")</f>
        <v/>
      </c>
    </row>
    <row r="1156">
      <c r="A1156" s="23" t="n">
        <v>1140</v>
      </c>
      <c r="B1156" s="24">
        <f>IF(AND($N1156="",$O1156=""),"",IF($N1156&lt;&gt;"",INDEX(PCNormDate,$N1156),INDEX(LdgDateB,$O1156)))</f>
        <v/>
      </c>
      <c r="C1156" s="24">
        <f>IF($N1156&lt;&gt;"",INDEX(PCOp,$N1156),IF($O1156&lt;&gt;"",IF(N(INDEX(TxnDepB,$O1156))&gt;0,"دریافت بانکی","پرداخت بانکی"),""))</f>
        <v/>
      </c>
      <c r="D1156" s="24">
        <f>IF($N1156&lt;&gt;"",IF(INDEX(PCDoc,$N1156)="","—",INDEX(PCDoc,$N1156)),IF($O1156&lt;&gt;"",INDEX(LdgBankB,$O1156),""))</f>
        <v/>
      </c>
      <c r="E1156" s="24">
        <f>IF($N1156&lt;&gt;"",IF(INDEX(PCCitrus,$N1156)="","—",INDEX(PCCitrus,$N1156)),"")</f>
        <v/>
      </c>
      <c r="F1156" s="25">
        <f>IF($N1156&lt;&gt;"",IF(INDEX(PCScale,$N1156)=0,"",INDEX(PCScale,$N1156)),"")</f>
        <v/>
      </c>
      <c r="G1156" s="25">
        <f>IF($N1156&lt;&gt;"",IF(INDEX(PCBaskets,$N1156)=0,"",INDEX(PCBaskets,$N1156)),"")</f>
        <v/>
      </c>
      <c r="H1156" s="26">
        <f>IF($N1156&lt;&gt;"",IF(INDEX(PCNet,$N1156)=0,"",INDEX(PCNet,$N1156)),"")</f>
        <v/>
      </c>
      <c r="I1156" s="25">
        <f>IF($N1156&lt;&gt;"",IF(INDEX(PCOp,$N1156)="مرجوعی خرید","",IF(INDEX(PCAmount,$N1156)&lt;=0,"",INDEX(PCAmount,$N1156))),IF($O1156&lt;&gt;"",IF(INDEX(TxnDepB,$O1156)=0,"",INDEX(TxnDepB,$O1156)),""))</f>
        <v/>
      </c>
      <c r="J1156" s="25">
        <f>IF($N1156&lt;&gt;"",IF(INDEX(PCOp,$N1156)="مرجوعی خرید",IF(INDEX(PCAmount,$N1156)=0,"",-INDEX(PCAmount,$N1156)),""),IF($O1156&lt;&gt;"",IF(INDEX(TxnWitB,$O1156)=0,"",INDEX(TxnWitB,$O1156)),""))</f>
        <v/>
      </c>
      <c r="K1156" s="27">
        <f>IF($B1156="","",IF($K1155="",$C$10,$K1155)+IF($I1156="",0,$I1156)-IF($J1156="",0,$J1156))</f>
        <v/>
      </c>
      <c r="L1156" s="28">
        <f>IF($N1156&lt;&gt;"",IF(INDEX(PCNotes,$N1156)="","—",INDEX(PCNotes,$N1156)),IF($O1156&lt;&gt;"",IF(INDEX(LdgNoteB,$O1156)="","—",INDEX(LdgNoteB,$O1156)),""))</f>
        <v/>
      </c>
      <c r="N1156">
        <f>IFERROR(MATCH($C$5&amp;"|"&amp;RIGHT("000000"&amp;1140,6),LdgRankKeyA,0),"")</f>
        <v/>
      </c>
      <c r="O1156">
        <f>IFERROR(MATCH($C$5&amp;"|"&amp;RIGHT("000000"&amp;1140,6),LdgRankKeyB,0),"")</f>
        <v/>
      </c>
    </row>
    <row r="1157">
      <c r="A1157" s="17" t="n">
        <v>1141</v>
      </c>
      <c r="B1157" s="18">
        <f>IF(AND($N1157="",$O1157=""),"",IF($N1157&lt;&gt;"",INDEX(PCNormDate,$N1157),INDEX(LdgDateB,$O1157)))</f>
        <v/>
      </c>
      <c r="C1157" s="18">
        <f>IF($N1157&lt;&gt;"",INDEX(PCOp,$N1157),IF($O1157&lt;&gt;"",IF(N(INDEX(TxnDepB,$O1157))&gt;0,"دریافت بانکی","پرداخت بانکی"),""))</f>
        <v/>
      </c>
      <c r="D1157" s="18">
        <f>IF($N1157&lt;&gt;"",IF(INDEX(PCDoc,$N1157)="","—",INDEX(PCDoc,$N1157)),IF($O1157&lt;&gt;"",INDEX(LdgBankB,$O1157),""))</f>
        <v/>
      </c>
      <c r="E1157" s="18">
        <f>IF($N1157&lt;&gt;"",IF(INDEX(PCCitrus,$N1157)="","—",INDEX(PCCitrus,$N1157)),"")</f>
        <v/>
      </c>
      <c r="F1157" s="19">
        <f>IF($N1157&lt;&gt;"",IF(INDEX(PCScale,$N1157)=0,"",INDEX(PCScale,$N1157)),"")</f>
        <v/>
      </c>
      <c r="G1157" s="19">
        <f>IF($N1157&lt;&gt;"",IF(INDEX(PCBaskets,$N1157)=0,"",INDEX(PCBaskets,$N1157)),"")</f>
        <v/>
      </c>
      <c r="H1157" s="20">
        <f>IF($N1157&lt;&gt;"",IF(INDEX(PCNet,$N1157)=0,"",INDEX(PCNet,$N1157)),"")</f>
        <v/>
      </c>
      <c r="I1157" s="19">
        <f>IF($N1157&lt;&gt;"",IF(INDEX(PCOp,$N1157)="مرجوعی خرید","",IF(INDEX(PCAmount,$N1157)&lt;=0,"",INDEX(PCAmount,$N1157))),IF($O1157&lt;&gt;"",IF(INDEX(TxnDepB,$O1157)=0,"",INDEX(TxnDepB,$O1157)),""))</f>
        <v/>
      </c>
      <c r="J1157" s="19">
        <f>IF($N1157&lt;&gt;"",IF(INDEX(PCOp,$N1157)="مرجوعی خرید",IF(INDEX(PCAmount,$N1157)=0,"",-INDEX(PCAmount,$N1157)),""),IF($O1157&lt;&gt;"",IF(INDEX(TxnWitB,$O1157)=0,"",INDEX(TxnWitB,$O1157)),""))</f>
        <v/>
      </c>
      <c r="K1157" s="21">
        <f>IF($B1157="","",IF($K1156="",$C$10,$K1156)+IF($I1157="",0,$I1157)-IF($J1157="",0,$J1157))</f>
        <v/>
      </c>
      <c r="L1157" s="22">
        <f>IF($N1157&lt;&gt;"",IF(INDEX(PCNotes,$N1157)="","—",INDEX(PCNotes,$N1157)),IF($O1157&lt;&gt;"",IF(INDEX(LdgNoteB,$O1157)="","—",INDEX(LdgNoteB,$O1157)),""))</f>
        <v/>
      </c>
      <c r="N1157">
        <f>IFERROR(MATCH($C$5&amp;"|"&amp;RIGHT("000000"&amp;1141,6),LdgRankKeyA,0),"")</f>
        <v/>
      </c>
      <c r="O1157">
        <f>IFERROR(MATCH($C$5&amp;"|"&amp;RIGHT("000000"&amp;1141,6),LdgRankKeyB,0),"")</f>
        <v/>
      </c>
    </row>
    <row r="1158">
      <c r="A1158" s="23" t="n">
        <v>1142</v>
      </c>
      <c r="B1158" s="24">
        <f>IF(AND($N1158="",$O1158=""),"",IF($N1158&lt;&gt;"",INDEX(PCNormDate,$N1158),INDEX(LdgDateB,$O1158)))</f>
        <v/>
      </c>
      <c r="C1158" s="24">
        <f>IF($N1158&lt;&gt;"",INDEX(PCOp,$N1158),IF($O1158&lt;&gt;"",IF(N(INDEX(TxnDepB,$O1158))&gt;0,"دریافت بانکی","پرداخت بانکی"),""))</f>
        <v/>
      </c>
      <c r="D1158" s="24">
        <f>IF($N1158&lt;&gt;"",IF(INDEX(PCDoc,$N1158)="","—",INDEX(PCDoc,$N1158)),IF($O1158&lt;&gt;"",INDEX(LdgBankB,$O1158),""))</f>
        <v/>
      </c>
      <c r="E1158" s="24">
        <f>IF($N1158&lt;&gt;"",IF(INDEX(PCCitrus,$N1158)="","—",INDEX(PCCitrus,$N1158)),"")</f>
        <v/>
      </c>
      <c r="F1158" s="25">
        <f>IF($N1158&lt;&gt;"",IF(INDEX(PCScale,$N1158)=0,"",INDEX(PCScale,$N1158)),"")</f>
        <v/>
      </c>
      <c r="G1158" s="25">
        <f>IF($N1158&lt;&gt;"",IF(INDEX(PCBaskets,$N1158)=0,"",INDEX(PCBaskets,$N1158)),"")</f>
        <v/>
      </c>
      <c r="H1158" s="26">
        <f>IF($N1158&lt;&gt;"",IF(INDEX(PCNet,$N1158)=0,"",INDEX(PCNet,$N1158)),"")</f>
        <v/>
      </c>
      <c r="I1158" s="25">
        <f>IF($N1158&lt;&gt;"",IF(INDEX(PCOp,$N1158)="مرجوعی خرید","",IF(INDEX(PCAmount,$N1158)&lt;=0,"",INDEX(PCAmount,$N1158))),IF($O1158&lt;&gt;"",IF(INDEX(TxnDepB,$O1158)=0,"",INDEX(TxnDepB,$O1158)),""))</f>
        <v/>
      </c>
      <c r="J1158" s="25">
        <f>IF($N1158&lt;&gt;"",IF(INDEX(PCOp,$N1158)="مرجوعی خرید",IF(INDEX(PCAmount,$N1158)=0,"",-INDEX(PCAmount,$N1158)),""),IF($O1158&lt;&gt;"",IF(INDEX(TxnWitB,$O1158)=0,"",INDEX(TxnWitB,$O1158)),""))</f>
        <v/>
      </c>
      <c r="K1158" s="27">
        <f>IF($B1158="","",IF($K1157="",$C$10,$K1157)+IF($I1158="",0,$I1158)-IF($J1158="",0,$J1158))</f>
        <v/>
      </c>
      <c r="L1158" s="28">
        <f>IF($N1158&lt;&gt;"",IF(INDEX(PCNotes,$N1158)="","—",INDEX(PCNotes,$N1158)),IF($O1158&lt;&gt;"",IF(INDEX(LdgNoteB,$O1158)="","—",INDEX(LdgNoteB,$O1158)),""))</f>
        <v/>
      </c>
      <c r="N1158">
        <f>IFERROR(MATCH($C$5&amp;"|"&amp;RIGHT("000000"&amp;1142,6),LdgRankKeyA,0),"")</f>
        <v/>
      </c>
      <c r="O1158">
        <f>IFERROR(MATCH($C$5&amp;"|"&amp;RIGHT("000000"&amp;1142,6),LdgRankKeyB,0),"")</f>
        <v/>
      </c>
    </row>
    <row r="1159">
      <c r="A1159" s="17" t="n">
        <v>1143</v>
      </c>
      <c r="B1159" s="18">
        <f>IF(AND($N1159="",$O1159=""),"",IF($N1159&lt;&gt;"",INDEX(PCNormDate,$N1159),INDEX(LdgDateB,$O1159)))</f>
        <v/>
      </c>
      <c r="C1159" s="18">
        <f>IF($N1159&lt;&gt;"",INDEX(PCOp,$N1159),IF($O1159&lt;&gt;"",IF(N(INDEX(TxnDepB,$O1159))&gt;0,"دریافت بانکی","پرداخت بانکی"),""))</f>
        <v/>
      </c>
      <c r="D1159" s="18">
        <f>IF($N1159&lt;&gt;"",IF(INDEX(PCDoc,$N1159)="","—",INDEX(PCDoc,$N1159)),IF($O1159&lt;&gt;"",INDEX(LdgBankB,$O1159),""))</f>
        <v/>
      </c>
      <c r="E1159" s="18">
        <f>IF($N1159&lt;&gt;"",IF(INDEX(PCCitrus,$N1159)="","—",INDEX(PCCitrus,$N1159)),"")</f>
        <v/>
      </c>
      <c r="F1159" s="19">
        <f>IF($N1159&lt;&gt;"",IF(INDEX(PCScale,$N1159)=0,"",INDEX(PCScale,$N1159)),"")</f>
        <v/>
      </c>
      <c r="G1159" s="19">
        <f>IF($N1159&lt;&gt;"",IF(INDEX(PCBaskets,$N1159)=0,"",INDEX(PCBaskets,$N1159)),"")</f>
        <v/>
      </c>
      <c r="H1159" s="20">
        <f>IF($N1159&lt;&gt;"",IF(INDEX(PCNet,$N1159)=0,"",INDEX(PCNet,$N1159)),"")</f>
        <v/>
      </c>
      <c r="I1159" s="19">
        <f>IF($N1159&lt;&gt;"",IF(INDEX(PCOp,$N1159)="مرجوعی خرید","",IF(INDEX(PCAmount,$N1159)&lt;=0,"",INDEX(PCAmount,$N1159))),IF($O1159&lt;&gt;"",IF(INDEX(TxnDepB,$O1159)=0,"",INDEX(TxnDepB,$O1159)),""))</f>
        <v/>
      </c>
      <c r="J1159" s="19">
        <f>IF($N1159&lt;&gt;"",IF(INDEX(PCOp,$N1159)="مرجوعی خرید",IF(INDEX(PCAmount,$N1159)=0,"",-INDEX(PCAmount,$N1159)),""),IF($O1159&lt;&gt;"",IF(INDEX(TxnWitB,$O1159)=0,"",INDEX(TxnWitB,$O1159)),""))</f>
        <v/>
      </c>
      <c r="K1159" s="21">
        <f>IF($B1159="","",IF($K1158="",$C$10,$K1158)+IF($I1159="",0,$I1159)-IF($J1159="",0,$J1159))</f>
        <v/>
      </c>
      <c r="L1159" s="22">
        <f>IF($N1159&lt;&gt;"",IF(INDEX(PCNotes,$N1159)="","—",INDEX(PCNotes,$N1159)),IF($O1159&lt;&gt;"",IF(INDEX(LdgNoteB,$O1159)="","—",INDEX(LdgNoteB,$O1159)),""))</f>
        <v/>
      </c>
      <c r="N1159">
        <f>IFERROR(MATCH($C$5&amp;"|"&amp;RIGHT("000000"&amp;1143,6),LdgRankKeyA,0),"")</f>
        <v/>
      </c>
      <c r="O1159">
        <f>IFERROR(MATCH($C$5&amp;"|"&amp;RIGHT("000000"&amp;1143,6),LdgRankKeyB,0),"")</f>
        <v/>
      </c>
    </row>
    <row r="1160">
      <c r="A1160" s="23" t="n">
        <v>1144</v>
      </c>
      <c r="B1160" s="24">
        <f>IF(AND($N1160="",$O1160=""),"",IF($N1160&lt;&gt;"",INDEX(PCNormDate,$N1160),INDEX(LdgDateB,$O1160)))</f>
        <v/>
      </c>
      <c r="C1160" s="24">
        <f>IF($N1160&lt;&gt;"",INDEX(PCOp,$N1160),IF($O1160&lt;&gt;"",IF(N(INDEX(TxnDepB,$O1160))&gt;0,"دریافت بانکی","پرداخت بانکی"),""))</f>
        <v/>
      </c>
      <c r="D1160" s="24">
        <f>IF($N1160&lt;&gt;"",IF(INDEX(PCDoc,$N1160)="","—",INDEX(PCDoc,$N1160)),IF($O1160&lt;&gt;"",INDEX(LdgBankB,$O1160),""))</f>
        <v/>
      </c>
      <c r="E1160" s="24">
        <f>IF($N1160&lt;&gt;"",IF(INDEX(PCCitrus,$N1160)="","—",INDEX(PCCitrus,$N1160)),"")</f>
        <v/>
      </c>
      <c r="F1160" s="25">
        <f>IF($N1160&lt;&gt;"",IF(INDEX(PCScale,$N1160)=0,"",INDEX(PCScale,$N1160)),"")</f>
        <v/>
      </c>
      <c r="G1160" s="25">
        <f>IF($N1160&lt;&gt;"",IF(INDEX(PCBaskets,$N1160)=0,"",INDEX(PCBaskets,$N1160)),"")</f>
        <v/>
      </c>
      <c r="H1160" s="26">
        <f>IF($N1160&lt;&gt;"",IF(INDEX(PCNet,$N1160)=0,"",INDEX(PCNet,$N1160)),"")</f>
        <v/>
      </c>
      <c r="I1160" s="25">
        <f>IF($N1160&lt;&gt;"",IF(INDEX(PCOp,$N1160)="مرجوعی خرید","",IF(INDEX(PCAmount,$N1160)&lt;=0,"",INDEX(PCAmount,$N1160))),IF($O1160&lt;&gt;"",IF(INDEX(TxnDepB,$O1160)=0,"",INDEX(TxnDepB,$O1160)),""))</f>
        <v/>
      </c>
      <c r="J1160" s="25">
        <f>IF($N1160&lt;&gt;"",IF(INDEX(PCOp,$N1160)="مرجوعی خرید",IF(INDEX(PCAmount,$N1160)=0,"",-INDEX(PCAmount,$N1160)),""),IF($O1160&lt;&gt;"",IF(INDEX(TxnWitB,$O1160)=0,"",INDEX(TxnWitB,$O1160)),""))</f>
        <v/>
      </c>
      <c r="K1160" s="27">
        <f>IF($B1160="","",IF($K1159="",$C$10,$K1159)+IF($I1160="",0,$I1160)-IF($J1160="",0,$J1160))</f>
        <v/>
      </c>
      <c r="L1160" s="28">
        <f>IF($N1160&lt;&gt;"",IF(INDEX(PCNotes,$N1160)="","—",INDEX(PCNotes,$N1160)),IF($O1160&lt;&gt;"",IF(INDEX(LdgNoteB,$O1160)="","—",INDEX(LdgNoteB,$O1160)),""))</f>
        <v/>
      </c>
      <c r="N1160">
        <f>IFERROR(MATCH($C$5&amp;"|"&amp;RIGHT("000000"&amp;1144,6),LdgRankKeyA,0),"")</f>
        <v/>
      </c>
      <c r="O1160">
        <f>IFERROR(MATCH($C$5&amp;"|"&amp;RIGHT("000000"&amp;1144,6),LdgRankKeyB,0),"")</f>
        <v/>
      </c>
    </row>
    <row r="1161">
      <c r="A1161" s="17" t="n">
        <v>1145</v>
      </c>
      <c r="B1161" s="18">
        <f>IF(AND($N1161="",$O1161=""),"",IF($N1161&lt;&gt;"",INDEX(PCNormDate,$N1161),INDEX(LdgDateB,$O1161)))</f>
        <v/>
      </c>
      <c r="C1161" s="18">
        <f>IF($N1161&lt;&gt;"",INDEX(PCOp,$N1161),IF($O1161&lt;&gt;"",IF(N(INDEX(TxnDepB,$O1161))&gt;0,"دریافت بانکی","پرداخت بانکی"),""))</f>
        <v/>
      </c>
      <c r="D1161" s="18">
        <f>IF($N1161&lt;&gt;"",IF(INDEX(PCDoc,$N1161)="","—",INDEX(PCDoc,$N1161)),IF($O1161&lt;&gt;"",INDEX(LdgBankB,$O1161),""))</f>
        <v/>
      </c>
      <c r="E1161" s="18">
        <f>IF($N1161&lt;&gt;"",IF(INDEX(PCCitrus,$N1161)="","—",INDEX(PCCitrus,$N1161)),"")</f>
        <v/>
      </c>
      <c r="F1161" s="19">
        <f>IF($N1161&lt;&gt;"",IF(INDEX(PCScale,$N1161)=0,"",INDEX(PCScale,$N1161)),"")</f>
        <v/>
      </c>
      <c r="G1161" s="19">
        <f>IF($N1161&lt;&gt;"",IF(INDEX(PCBaskets,$N1161)=0,"",INDEX(PCBaskets,$N1161)),"")</f>
        <v/>
      </c>
      <c r="H1161" s="20">
        <f>IF($N1161&lt;&gt;"",IF(INDEX(PCNet,$N1161)=0,"",INDEX(PCNet,$N1161)),"")</f>
        <v/>
      </c>
      <c r="I1161" s="19">
        <f>IF($N1161&lt;&gt;"",IF(INDEX(PCOp,$N1161)="مرجوعی خرید","",IF(INDEX(PCAmount,$N1161)&lt;=0,"",INDEX(PCAmount,$N1161))),IF($O1161&lt;&gt;"",IF(INDEX(TxnDepB,$O1161)=0,"",INDEX(TxnDepB,$O1161)),""))</f>
        <v/>
      </c>
      <c r="J1161" s="19">
        <f>IF($N1161&lt;&gt;"",IF(INDEX(PCOp,$N1161)="مرجوعی خرید",IF(INDEX(PCAmount,$N1161)=0,"",-INDEX(PCAmount,$N1161)),""),IF($O1161&lt;&gt;"",IF(INDEX(TxnWitB,$O1161)=0,"",INDEX(TxnWitB,$O1161)),""))</f>
        <v/>
      </c>
      <c r="K1161" s="21">
        <f>IF($B1161="","",IF($K1160="",$C$10,$K1160)+IF($I1161="",0,$I1161)-IF($J1161="",0,$J1161))</f>
        <v/>
      </c>
      <c r="L1161" s="22">
        <f>IF($N1161&lt;&gt;"",IF(INDEX(PCNotes,$N1161)="","—",INDEX(PCNotes,$N1161)),IF($O1161&lt;&gt;"",IF(INDEX(LdgNoteB,$O1161)="","—",INDEX(LdgNoteB,$O1161)),""))</f>
        <v/>
      </c>
      <c r="N1161">
        <f>IFERROR(MATCH($C$5&amp;"|"&amp;RIGHT("000000"&amp;1145,6),LdgRankKeyA,0),"")</f>
        <v/>
      </c>
      <c r="O1161">
        <f>IFERROR(MATCH($C$5&amp;"|"&amp;RIGHT("000000"&amp;1145,6),LdgRankKeyB,0),"")</f>
        <v/>
      </c>
    </row>
    <row r="1162">
      <c r="A1162" s="23" t="n">
        <v>1146</v>
      </c>
      <c r="B1162" s="24">
        <f>IF(AND($N1162="",$O1162=""),"",IF($N1162&lt;&gt;"",INDEX(PCNormDate,$N1162),INDEX(LdgDateB,$O1162)))</f>
        <v/>
      </c>
      <c r="C1162" s="24">
        <f>IF($N1162&lt;&gt;"",INDEX(PCOp,$N1162),IF($O1162&lt;&gt;"",IF(N(INDEX(TxnDepB,$O1162))&gt;0,"دریافت بانکی","پرداخت بانکی"),""))</f>
        <v/>
      </c>
      <c r="D1162" s="24">
        <f>IF($N1162&lt;&gt;"",IF(INDEX(PCDoc,$N1162)="","—",INDEX(PCDoc,$N1162)),IF($O1162&lt;&gt;"",INDEX(LdgBankB,$O1162),""))</f>
        <v/>
      </c>
      <c r="E1162" s="24">
        <f>IF($N1162&lt;&gt;"",IF(INDEX(PCCitrus,$N1162)="","—",INDEX(PCCitrus,$N1162)),"")</f>
        <v/>
      </c>
      <c r="F1162" s="25">
        <f>IF($N1162&lt;&gt;"",IF(INDEX(PCScale,$N1162)=0,"",INDEX(PCScale,$N1162)),"")</f>
        <v/>
      </c>
      <c r="G1162" s="25">
        <f>IF($N1162&lt;&gt;"",IF(INDEX(PCBaskets,$N1162)=0,"",INDEX(PCBaskets,$N1162)),"")</f>
        <v/>
      </c>
      <c r="H1162" s="26">
        <f>IF($N1162&lt;&gt;"",IF(INDEX(PCNet,$N1162)=0,"",INDEX(PCNet,$N1162)),"")</f>
        <v/>
      </c>
      <c r="I1162" s="25">
        <f>IF($N1162&lt;&gt;"",IF(INDEX(PCOp,$N1162)="مرجوعی خرید","",IF(INDEX(PCAmount,$N1162)&lt;=0,"",INDEX(PCAmount,$N1162))),IF($O1162&lt;&gt;"",IF(INDEX(TxnDepB,$O1162)=0,"",INDEX(TxnDepB,$O1162)),""))</f>
        <v/>
      </c>
      <c r="J1162" s="25">
        <f>IF($N1162&lt;&gt;"",IF(INDEX(PCOp,$N1162)="مرجوعی خرید",IF(INDEX(PCAmount,$N1162)=0,"",-INDEX(PCAmount,$N1162)),""),IF($O1162&lt;&gt;"",IF(INDEX(TxnWitB,$O1162)=0,"",INDEX(TxnWitB,$O1162)),""))</f>
        <v/>
      </c>
      <c r="K1162" s="27">
        <f>IF($B1162="","",IF($K1161="",$C$10,$K1161)+IF($I1162="",0,$I1162)-IF($J1162="",0,$J1162))</f>
        <v/>
      </c>
      <c r="L1162" s="28">
        <f>IF($N1162&lt;&gt;"",IF(INDEX(PCNotes,$N1162)="","—",INDEX(PCNotes,$N1162)),IF($O1162&lt;&gt;"",IF(INDEX(LdgNoteB,$O1162)="","—",INDEX(LdgNoteB,$O1162)),""))</f>
        <v/>
      </c>
      <c r="N1162">
        <f>IFERROR(MATCH($C$5&amp;"|"&amp;RIGHT("000000"&amp;1146,6),LdgRankKeyA,0),"")</f>
        <v/>
      </c>
      <c r="O1162">
        <f>IFERROR(MATCH($C$5&amp;"|"&amp;RIGHT("000000"&amp;1146,6),LdgRankKeyB,0),"")</f>
        <v/>
      </c>
    </row>
    <row r="1163">
      <c r="A1163" s="17" t="n">
        <v>1147</v>
      </c>
      <c r="B1163" s="18">
        <f>IF(AND($N1163="",$O1163=""),"",IF($N1163&lt;&gt;"",INDEX(PCNormDate,$N1163),INDEX(LdgDateB,$O1163)))</f>
        <v/>
      </c>
      <c r="C1163" s="18">
        <f>IF($N1163&lt;&gt;"",INDEX(PCOp,$N1163),IF($O1163&lt;&gt;"",IF(N(INDEX(TxnDepB,$O1163))&gt;0,"دریافت بانکی","پرداخت بانکی"),""))</f>
        <v/>
      </c>
      <c r="D1163" s="18">
        <f>IF($N1163&lt;&gt;"",IF(INDEX(PCDoc,$N1163)="","—",INDEX(PCDoc,$N1163)),IF($O1163&lt;&gt;"",INDEX(LdgBankB,$O1163),""))</f>
        <v/>
      </c>
      <c r="E1163" s="18">
        <f>IF($N1163&lt;&gt;"",IF(INDEX(PCCitrus,$N1163)="","—",INDEX(PCCitrus,$N1163)),"")</f>
        <v/>
      </c>
      <c r="F1163" s="19">
        <f>IF($N1163&lt;&gt;"",IF(INDEX(PCScale,$N1163)=0,"",INDEX(PCScale,$N1163)),"")</f>
        <v/>
      </c>
      <c r="G1163" s="19">
        <f>IF($N1163&lt;&gt;"",IF(INDEX(PCBaskets,$N1163)=0,"",INDEX(PCBaskets,$N1163)),"")</f>
        <v/>
      </c>
      <c r="H1163" s="20">
        <f>IF($N1163&lt;&gt;"",IF(INDEX(PCNet,$N1163)=0,"",INDEX(PCNet,$N1163)),"")</f>
        <v/>
      </c>
      <c r="I1163" s="19">
        <f>IF($N1163&lt;&gt;"",IF(INDEX(PCOp,$N1163)="مرجوعی خرید","",IF(INDEX(PCAmount,$N1163)&lt;=0,"",INDEX(PCAmount,$N1163))),IF($O1163&lt;&gt;"",IF(INDEX(TxnDepB,$O1163)=0,"",INDEX(TxnDepB,$O1163)),""))</f>
        <v/>
      </c>
      <c r="J1163" s="19">
        <f>IF($N1163&lt;&gt;"",IF(INDEX(PCOp,$N1163)="مرجوعی خرید",IF(INDEX(PCAmount,$N1163)=0,"",-INDEX(PCAmount,$N1163)),""),IF($O1163&lt;&gt;"",IF(INDEX(TxnWitB,$O1163)=0,"",INDEX(TxnWitB,$O1163)),""))</f>
        <v/>
      </c>
      <c r="K1163" s="21">
        <f>IF($B1163="","",IF($K1162="",$C$10,$K1162)+IF($I1163="",0,$I1163)-IF($J1163="",0,$J1163))</f>
        <v/>
      </c>
      <c r="L1163" s="22">
        <f>IF($N1163&lt;&gt;"",IF(INDEX(PCNotes,$N1163)="","—",INDEX(PCNotes,$N1163)),IF($O1163&lt;&gt;"",IF(INDEX(LdgNoteB,$O1163)="","—",INDEX(LdgNoteB,$O1163)),""))</f>
        <v/>
      </c>
      <c r="N1163">
        <f>IFERROR(MATCH($C$5&amp;"|"&amp;RIGHT("000000"&amp;1147,6),LdgRankKeyA,0),"")</f>
        <v/>
      </c>
      <c r="O1163">
        <f>IFERROR(MATCH($C$5&amp;"|"&amp;RIGHT("000000"&amp;1147,6),LdgRankKeyB,0),"")</f>
        <v/>
      </c>
    </row>
    <row r="1164">
      <c r="A1164" s="23" t="n">
        <v>1148</v>
      </c>
      <c r="B1164" s="24">
        <f>IF(AND($N1164="",$O1164=""),"",IF($N1164&lt;&gt;"",INDEX(PCNormDate,$N1164),INDEX(LdgDateB,$O1164)))</f>
        <v/>
      </c>
      <c r="C1164" s="24">
        <f>IF($N1164&lt;&gt;"",INDEX(PCOp,$N1164),IF($O1164&lt;&gt;"",IF(N(INDEX(TxnDepB,$O1164))&gt;0,"دریافت بانکی","پرداخت بانکی"),""))</f>
        <v/>
      </c>
      <c r="D1164" s="24">
        <f>IF($N1164&lt;&gt;"",IF(INDEX(PCDoc,$N1164)="","—",INDEX(PCDoc,$N1164)),IF($O1164&lt;&gt;"",INDEX(LdgBankB,$O1164),""))</f>
        <v/>
      </c>
      <c r="E1164" s="24">
        <f>IF($N1164&lt;&gt;"",IF(INDEX(PCCitrus,$N1164)="","—",INDEX(PCCitrus,$N1164)),"")</f>
        <v/>
      </c>
      <c r="F1164" s="25">
        <f>IF($N1164&lt;&gt;"",IF(INDEX(PCScale,$N1164)=0,"",INDEX(PCScale,$N1164)),"")</f>
        <v/>
      </c>
      <c r="G1164" s="25">
        <f>IF($N1164&lt;&gt;"",IF(INDEX(PCBaskets,$N1164)=0,"",INDEX(PCBaskets,$N1164)),"")</f>
        <v/>
      </c>
      <c r="H1164" s="26">
        <f>IF($N1164&lt;&gt;"",IF(INDEX(PCNet,$N1164)=0,"",INDEX(PCNet,$N1164)),"")</f>
        <v/>
      </c>
      <c r="I1164" s="25">
        <f>IF($N1164&lt;&gt;"",IF(INDEX(PCOp,$N1164)="مرجوعی خرید","",IF(INDEX(PCAmount,$N1164)&lt;=0,"",INDEX(PCAmount,$N1164))),IF($O1164&lt;&gt;"",IF(INDEX(TxnDepB,$O1164)=0,"",INDEX(TxnDepB,$O1164)),""))</f>
        <v/>
      </c>
      <c r="J1164" s="25">
        <f>IF($N1164&lt;&gt;"",IF(INDEX(PCOp,$N1164)="مرجوعی خرید",IF(INDEX(PCAmount,$N1164)=0,"",-INDEX(PCAmount,$N1164)),""),IF($O1164&lt;&gt;"",IF(INDEX(TxnWitB,$O1164)=0,"",INDEX(TxnWitB,$O1164)),""))</f>
        <v/>
      </c>
      <c r="K1164" s="27">
        <f>IF($B1164="","",IF($K1163="",$C$10,$K1163)+IF($I1164="",0,$I1164)-IF($J1164="",0,$J1164))</f>
        <v/>
      </c>
      <c r="L1164" s="28">
        <f>IF($N1164&lt;&gt;"",IF(INDEX(PCNotes,$N1164)="","—",INDEX(PCNotes,$N1164)),IF($O1164&lt;&gt;"",IF(INDEX(LdgNoteB,$O1164)="","—",INDEX(LdgNoteB,$O1164)),""))</f>
        <v/>
      </c>
      <c r="N1164">
        <f>IFERROR(MATCH($C$5&amp;"|"&amp;RIGHT("000000"&amp;1148,6),LdgRankKeyA,0),"")</f>
        <v/>
      </c>
      <c r="O1164">
        <f>IFERROR(MATCH($C$5&amp;"|"&amp;RIGHT("000000"&amp;1148,6),LdgRankKeyB,0),"")</f>
        <v/>
      </c>
    </row>
    <row r="1165">
      <c r="A1165" s="17" t="n">
        <v>1149</v>
      </c>
      <c r="B1165" s="18">
        <f>IF(AND($N1165="",$O1165=""),"",IF($N1165&lt;&gt;"",INDEX(PCNormDate,$N1165),INDEX(LdgDateB,$O1165)))</f>
        <v/>
      </c>
      <c r="C1165" s="18">
        <f>IF($N1165&lt;&gt;"",INDEX(PCOp,$N1165),IF($O1165&lt;&gt;"",IF(N(INDEX(TxnDepB,$O1165))&gt;0,"دریافت بانکی","پرداخت بانکی"),""))</f>
        <v/>
      </c>
      <c r="D1165" s="18">
        <f>IF($N1165&lt;&gt;"",IF(INDEX(PCDoc,$N1165)="","—",INDEX(PCDoc,$N1165)),IF($O1165&lt;&gt;"",INDEX(LdgBankB,$O1165),""))</f>
        <v/>
      </c>
      <c r="E1165" s="18">
        <f>IF($N1165&lt;&gt;"",IF(INDEX(PCCitrus,$N1165)="","—",INDEX(PCCitrus,$N1165)),"")</f>
        <v/>
      </c>
      <c r="F1165" s="19">
        <f>IF($N1165&lt;&gt;"",IF(INDEX(PCScale,$N1165)=0,"",INDEX(PCScale,$N1165)),"")</f>
        <v/>
      </c>
      <c r="G1165" s="19">
        <f>IF($N1165&lt;&gt;"",IF(INDEX(PCBaskets,$N1165)=0,"",INDEX(PCBaskets,$N1165)),"")</f>
        <v/>
      </c>
      <c r="H1165" s="20">
        <f>IF($N1165&lt;&gt;"",IF(INDEX(PCNet,$N1165)=0,"",INDEX(PCNet,$N1165)),"")</f>
        <v/>
      </c>
      <c r="I1165" s="19">
        <f>IF($N1165&lt;&gt;"",IF(INDEX(PCOp,$N1165)="مرجوعی خرید","",IF(INDEX(PCAmount,$N1165)&lt;=0,"",INDEX(PCAmount,$N1165))),IF($O1165&lt;&gt;"",IF(INDEX(TxnDepB,$O1165)=0,"",INDEX(TxnDepB,$O1165)),""))</f>
        <v/>
      </c>
      <c r="J1165" s="19">
        <f>IF($N1165&lt;&gt;"",IF(INDEX(PCOp,$N1165)="مرجوعی خرید",IF(INDEX(PCAmount,$N1165)=0,"",-INDEX(PCAmount,$N1165)),""),IF($O1165&lt;&gt;"",IF(INDEX(TxnWitB,$O1165)=0,"",INDEX(TxnWitB,$O1165)),""))</f>
        <v/>
      </c>
      <c r="K1165" s="21">
        <f>IF($B1165="","",IF($K1164="",$C$10,$K1164)+IF($I1165="",0,$I1165)-IF($J1165="",0,$J1165))</f>
        <v/>
      </c>
      <c r="L1165" s="22">
        <f>IF($N1165&lt;&gt;"",IF(INDEX(PCNotes,$N1165)="","—",INDEX(PCNotes,$N1165)),IF($O1165&lt;&gt;"",IF(INDEX(LdgNoteB,$O1165)="","—",INDEX(LdgNoteB,$O1165)),""))</f>
        <v/>
      </c>
      <c r="N1165">
        <f>IFERROR(MATCH($C$5&amp;"|"&amp;RIGHT("000000"&amp;1149,6),LdgRankKeyA,0),"")</f>
        <v/>
      </c>
      <c r="O1165">
        <f>IFERROR(MATCH($C$5&amp;"|"&amp;RIGHT("000000"&amp;1149,6),LdgRankKeyB,0),"")</f>
        <v/>
      </c>
    </row>
    <row r="1166">
      <c r="A1166" s="23" t="n">
        <v>1150</v>
      </c>
      <c r="B1166" s="24">
        <f>IF(AND($N1166="",$O1166=""),"",IF($N1166&lt;&gt;"",INDEX(PCNormDate,$N1166),INDEX(LdgDateB,$O1166)))</f>
        <v/>
      </c>
      <c r="C1166" s="24">
        <f>IF($N1166&lt;&gt;"",INDEX(PCOp,$N1166),IF($O1166&lt;&gt;"",IF(N(INDEX(TxnDepB,$O1166))&gt;0,"دریافت بانکی","پرداخت بانکی"),""))</f>
        <v/>
      </c>
      <c r="D1166" s="24">
        <f>IF($N1166&lt;&gt;"",IF(INDEX(PCDoc,$N1166)="","—",INDEX(PCDoc,$N1166)),IF($O1166&lt;&gt;"",INDEX(LdgBankB,$O1166),""))</f>
        <v/>
      </c>
      <c r="E1166" s="24">
        <f>IF($N1166&lt;&gt;"",IF(INDEX(PCCitrus,$N1166)="","—",INDEX(PCCitrus,$N1166)),"")</f>
        <v/>
      </c>
      <c r="F1166" s="25">
        <f>IF($N1166&lt;&gt;"",IF(INDEX(PCScale,$N1166)=0,"",INDEX(PCScale,$N1166)),"")</f>
        <v/>
      </c>
      <c r="G1166" s="25">
        <f>IF($N1166&lt;&gt;"",IF(INDEX(PCBaskets,$N1166)=0,"",INDEX(PCBaskets,$N1166)),"")</f>
        <v/>
      </c>
      <c r="H1166" s="26">
        <f>IF($N1166&lt;&gt;"",IF(INDEX(PCNet,$N1166)=0,"",INDEX(PCNet,$N1166)),"")</f>
        <v/>
      </c>
      <c r="I1166" s="25">
        <f>IF($N1166&lt;&gt;"",IF(INDEX(PCOp,$N1166)="مرجوعی خرید","",IF(INDEX(PCAmount,$N1166)&lt;=0,"",INDEX(PCAmount,$N1166))),IF($O1166&lt;&gt;"",IF(INDEX(TxnDepB,$O1166)=0,"",INDEX(TxnDepB,$O1166)),""))</f>
        <v/>
      </c>
      <c r="J1166" s="25">
        <f>IF($N1166&lt;&gt;"",IF(INDEX(PCOp,$N1166)="مرجوعی خرید",IF(INDEX(PCAmount,$N1166)=0,"",-INDEX(PCAmount,$N1166)),""),IF($O1166&lt;&gt;"",IF(INDEX(TxnWitB,$O1166)=0,"",INDEX(TxnWitB,$O1166)),""))</f>
        <v/>
      </c>
      <c r="K1166" s="27">
        <f>IF($B1166="","",IF($K1165="",$C$10,$K1165)+IF($I1166="",0,$I1166)-IF($J1166="",0,$J1166))</f>
        <v/>
      </c>
      <c r="L1166" s="28">
        <f>IF($N1166&lt;&gt;"",IF(INDEX(PCNotes,$N1166)="","—",INDEX(PCNotes,$N1166)),IF($O1166&lt;&gt;"",IF(INDEX(LdgNoteB,$O1166)="","—",INDEX(LdgNoteB,$O1166)),""))</f>
        <v/>
      </c>
      <c r="N1166">
        <f>IFERROR(MATCH($C$5&amp;"|"&amp;RIGHT("000000"&amp;1150,6),LdgRankKeyA,0),"")</f>
        <v/>
      </c>
      <c r="O1166">
        <f>IFERROR(MATCH($C$5&amp;"|"&amp;RIGHT("000000"&amp;1150,6),LdgRankKeyB,0),"")</f>
        <v/>
      </c>
    </row>
    <row r="1167">
      <c r="A1167" s="17" t="n">
        <v>1151</v>
      </c>
      <c r="B1167" s="18">
        <f>IF(AND($N1167="",$O1167=""),"",IF($N1167&lt;&gt;"",INDEX(PCNormDate,$N1167),INDEX(LdgDateB,$O1167)))</f>
        <v/>
      </c>
      <c r="C1167" s="18">
        <f>IF($N1167&lt;&gt;"",INDEX(PCOp,$N1167),IF($O1167&lt;&gt;"",IF(N(INDEX(TxnDepB,$O1167))&gt;0,"دریافت بانکی","پرداخت بانکی"),""))</f>
        <v/>
      </c>
      <c r="D1167" s="18">
        <f>IF($N1167&lt;&gt;"",IF(INDEX(PCDoc,$N1167)="","—",INDEX(PCDoc,$N1167)),IF($O1167&lt;&gt;"",INDEX(LdgBankB,$O1167),""))</f>
        <v/>
      </c>
      <c r="E1167" s="18">
        <f>IF($N1167&lt;&gt;"",IF(INDEX(PCCitrus,$N1167)="","—",INDEX(PCCitrus,$N1167)),"")</f>
        <v/>
      </c>
      <c r="F1167" s="19">
        <f>IF($N1167&lt;&gt;"",IF(INDEX(PCScale,$N1167)=0,"",INDEX(PCScale,$N1167)),"")</f>
        <v/>
      </c>
      <c r="G1167" s="19">
        <f>IF($N1167&lt;&gt;"",IF(INDEX(PCBaskets,$N1167)=0,"",INDEX(PCBaskets,$N1167)),"")</f>
        <v/>
      </c>
      <c r="H1167" s="20">
        <f>IF($N1167&lt;&gt;"",IF(INDEX(PCNet,$N1167)=0,"",INDEX(PCNet,$N1167)),"")</f>
        <v/>
      </c>
      <c r="I1167" s="19">
        <f>IF($N1167&lt;&gt;"",IF(INDEX(PCOp,$N1167)="مرجوعی خرید","",IF(INDEX(PCAmount,$N1167)&lt;=0,"",INDEX(PCAmount,$N1167))),IF($O1167&lt;&gt;"",IF(INDEX(TxnDepB,$O1167)=0,"",INDEX(TxnDepB,$O1167)),""))</f>
        <v/>
      </c>
      <c r="J1167" s="19">
        <f>IF($N1167&lt;&gt;"",IF(INDEX(PCOp,$N1167)="مرجوعی خرید",IF(INDEX(PCAmount,$N1167)=0,"",-INDEX(PCAmount,$N1167)),""),IF($O1167&lt;&gt;"",IF(INDEX(TxnWitB,$O1167)=0,"",INDEX(TxnWitB,$O1167)),""))</f>
        <v/>
      </c>
      <c r="K1167" s="21">
        <f>IF($B1167="","",IF($K1166="",$C$10,$K1166)+IF($I1167="",0,$I1167)-IF($J1167="",0,$J1167))</f>
        <v/>
      </c>
      <c r="L1167" s="22">
        <f>IF($N1167&lt;&gt;"",IF(INDEX(PCNotes,$N1167)="","—",INDEX(PCNotes,$N1167)),IF($O1167&lt;&gt;"",IF(INDEX(LdgNoteB,$O1167)="","—",INDEX(LdgNoteB,$O1167)),""))</f>
        <v/>
      </c>
      <c r="N1167">
        <f>IFERROR(MATCH($C$5&amp;"|"&amp;RIGHT("000000"&amp;1151,6),LdgRankKeyA,0),"")</f>
        <v/>
      </c>
      <c r="O1167">
        <f>IFERROR(MATCH($C$5&amp;"|"&amp;RIGHT("000000"&amp;1151,6),LdgRankKeyB,0),"")</f>
        <v/>
      </c>
    </row>
    <row r="1168">
      <c r="A1168" s="23" t="n">
        <v>1152</v>
      </c>
      <c r="B1168" s="24">
        <f>IF(AND($N1168="",$O1168=""),"",IF($N1168&lt;&gt;"",INDEX(PCNormDate,$N1168),INDEX(LdgDateB,$O1168)))</f>
        <v/>
      </c>
      <c r="C1168" s="24">
        <f>IF($N1168&lt;&gt;"",INDEX(PCOp,$N1168),IF($O1168&lt;&gt;"",IF(N(INDEX(TxnDepB,$O1168))&gt;0,"دریافت بانکی","پرداخت بانکی"),""))</f>
        <v/>
      </c>
      <c r="D1168" s="24">
        <f>IF($N1168&lt;&gt;"",IF(INDEX(PCDoc,$N1168)="","—",INDEX(PCDoc,$N1168)),IF($O1168&lt;&gt;"",INDEX(LdgBankB,$O1168),""))</f>
        <v/>
      </c>
      <c r="E1168" s="24">
        <f>IF($N1168&lt;&gt;"",IF(INDEX(PCCitrus,$N1168)="","—",INDEX(PCCitrus,$N1168)),"")</f>
        <v/>
      </c>
      <c r="F1168" s="25">
        <f>IF($N1168&lt;&gt;"",IF(INDEX(PCScale,$N1168)=0,"",INDEX(PCScale,$N1168)),"")</f>
        <v/>
      </c>
      <c r="G1168" s="25">
        <f>IF($N1168&lt;&gt;"",IF(INDEX(PCBaskets,$N1168)=0,"",INDEX(PCBaskets,$N1168)),"")</f>
        <v/>
      </c>
      <c r="H1168" s="26">
        <f>IF($N1168&lt;&gt;"",IF(INDEX(PCNet,$N1168)=0,"",INDEX(PCNet,$N1168)),"")</f>
        <v/>
      </c>
      <c r="I1168" s="25">
        <f>IF($N1168&lt;&gt;"",IF(INDEX(PCOp,$N1168)="مرجوعی خرید","",IF(INDEX(PCAmount,$N1168)&lt;=0,"",INDEX(PCAmount,$N1168))),IF($O1168&lt;&gt;"",IF(INDEX(TxnDepB,$O1168)=0,"",INDEX(TxnDepB,$O1168)),""))</f>
        <v/>
      </c>
      <c r="J1168" s="25">
        <f>IF($N1168&lt;&gt;"",IF(INDEX(PCOp,$N1168)="مرجوعی خرید",IF(INDEX(PCAmount,$N1168)=0,"",-INDEX(PCAmount,$N1168)),""),IF($O1168&lt;&gt;"",IF(INDEX(TxnWitB,$O1168)=0,"",INDEX(TxnWitB,$O1168)),""))</f>
        <v/>
      </c>
      <c r="K1168" s="27">
        <f>IF($B1168="","",IF($K1167="",$C$10,$K1167)+IF($I1168="",0,$I1168)-IF($J1168="",0,$J1168))</f>
        <v/>
      </c>
      <c r="L1168" s="28">
        <f>IF($N1168&lt;&gt;"",IF(INDEX(PCNotes,$N1168)="","—",INDEX(PCNotes,$N1168)),IF($O1168&lt;&gt;"",IF(INDEX(LdgNoteB,$O1168)="","—",INDEX(LdgNoteB,$O1168)),""))</f>
        <v/>
      </c>
      <c r="N1168">
        <f>IFERROR(MATCH($C$5&amp;"|"&amp;RIGHT("000000"&amp;1152,6),LdgRankKeyA,0),"")</f>
        <v/>
      </c>
      <c r="O1168">
        <f>IFERROR(MATCH($C$5&amp;"|"&amp;RIGHT("000000"&amp;1152,6),LdgRankKeyB,0),"")</f>
        <v/>
      </c>
    </row>
    <row r="1169">
      <c r="A1169" s="17" t="n">
        <v>1153</v>
      </c>
      <c r="B1169" s="18">
        <f>IF(AND($N1169="",$O1169=""),"",IF($N1169&lt;&gt;"",INDEX(PCNormDate,$N1169),INDEX(LdgDateB,$O1169)))</f>
        <v/>
      </c>
      <c r="C1169" s="18">
        <f>IF($N1169&lt;&gt;"",INDEX(PCOp,$N1169),IF($O1169&lt;&gt;"",IF(N(INDEX(TxnDepB,$O1169))&gt;0,"دریافت بانکی","پرداخت بانکی"),""))</f>
        <v/>
      </c>
      <c r="D1169" s="18">
        <f>IF($N1169&lt;&gt;"",IF(INDEX(PCDoc,$N1169)="","—",INDEX(PCDoc,$N1169)),IF($O1169&lt;&gt;"",INDEX(LdgBankB,$O1169),""))</f>
        <v/>
      </c>
      <c r="E1169" s="18">
        <f>IF($N1169&lt;&gt;"",IF(INDEX(PCCitrus,$N1169)="","—",INDEX(PCCitrus,$N1169)),"")</f>
        <v/>
      </c>
      <c r="F1169" s="19">
        <f>IF($N1169&lt;&gt;"",IF(INDEX(PCScale,$N1169)=0,"",INDEX(PCScale,$N1169)),"")</f>
        <v/>
      </c>
      <c r="G1169" s="19">
        <f>IF($N1169&lt;&gt;"",IF(INDEX(PCBaskets,$N1169)=0,"",INDEX(PCBaskets,$N1169)),"")</f>
        <v/>
      </c>
      <c r="H1169" s="20">
        <f>IF($N1169&lt;&gt;"",IF(INDEX(PCNet,$N1169)=0,"",INDEX(PCNet,$N1169)),"")</f>
        <v/>
      </c>
      <c r="I1169" s="19">
        <f>IF($N1169&lt;&gt;"",IF(INDEX(PCOp,$N1169)="مرجوعی خرید","",IF(INDEX(PCAmount,$N1169)&lt;=0,"",INDEX(PCAmount,$N1169))),IF($O1169&lt;&gt;"",IF(INDEX(TxnDepB,$O1169)=0,"",INDEX(TxnDepB,$O1169)),""))</f>
        <v/>
      </c>
      <c r="J1169" s="19">
        <f>IF($N1169&lt;&gt;"",IF(INDEX(PCOp,$N1169)="مرجوعی خرید",IF(INDEX(PCAmount,$N1169)=0,"",-INDEX(PCAmount,$N1169)),""),IF($O1169&lt;&gt;"",IF(INDEX(TxnWitB,$O1169)=0,"",INDEX(TxnWitB,$O1169)),""))</f>
        <v/>
      </c>
      <c r="K1169" s="21">
        <f>IF($B1169="","",IF($K1168="",$C$10,$K1168)+IF($I1169="",0,$I1169)-IF($J1169="",0,$J1169))</f>
        <v/>
      </c>
      <c r="L1169" s="22">
        <f>IF($N1169&lt;&gt;"",IF(INDEX(PCNotes,$N1169)="","—",INDEX(PCNotes,$N1169)),IF($O1169&lt;&gt;"",IF(INDEX(LdgNoteB,$O1169)="","—",INDEX(LdgNoteB,$O1169)),""))</f>
        <v/>
      </c>
      <c r="N1169">
        <f>IFERROR(MATCH($C$5&amp;"|"&amp;RIGHT("000000"&amp;1153,6),LdgRankKeyA,0),"")</f>
        <v/>
      </c>
      <c r="O1169">
        <f>IFERROR(MATCH($C$5&amp;"|"&amp;RIGHT("000000"&amp;1153,6),LdgRankKeyB,0),"")</f>
        <v/>
      </c>
    </row>
    <row r="1170">
      <c r="A1170" s="23" t="n">
        <v>1154</v>
      </c>
      <c r="B1170" s="24">
        <f>IF(AND($N1170="",$O1170=""),"",IF($N1170&lt;&gt;"",INDEX(PCNormDate,$N1170),INDEX(LdgDateB,$O1170)))</f>
        <v/>
      </c>
      <c r="C1170" s="24">
        <f>IF($N1170&lt;&gt;"",INDEX(PCOp,$N1170),IF($O1170&lt;&gt;"",IF(N(INDEX(TxnDepB,$O1170))&gt;0,"دریافت بانکی","پرداخت بانکی"),""))</f>
        <v/>
      </c>
      <c r="D1170" s="24">
        <f>IF($N1170&lt;&gt;"",IF(INDEX(PCDoc,$N1170)="","—",INDEX(PCDoc,$N1170)),IF($O1170&lt;&gt;"",INDEX(LdgBankB,$O1170),""))</f>
        <v/>
      </c>
      <c r="E1170" s="24">
        <f>IF($N1170&lt;&gt;"",IF(INDEX(PCCitrus,$N1170)="","—",INDEX(PCCitrus,$N1170)),"")</f>
        <v/>
      </c>
      <c r="F1170" s="25">
        <f>IF($N1170&lt;&gt;"",IF(INDEX(PCScale,$N1170)=0,"",INDEX(PCScale,$N1170)),"")</f>
        <v/>
      </c>
      <c r="G1170" s="25">
        <f>IF($N1170&lt;&gt;"",IF(INDEX(PCBaskets,$N1170)=0,"",INDEX(PCBaskets,$N1170)),"")</f>
        <v/>
      </c>
      <c r="H1170" s="26">
        <f>IF($N1170&lt;&gt;"",IF(INDEX(PCNet,$N1170)=0,"",INDEX(PCNet,$N1170)),"")</f>
        <v/>
      </c>
      <c r="I1170" s="25">
        <f>IF($N1170&lt;&gt;"",IF(INDEX(PCOp,$N1170)="مرجوعی خرید","",IF(INDEX(PCAmount,$N1170)&lt;=0,"",INDEX(PCAmount,$N1170))),IF($O1170&lt;&gt;"",IF(INDEX(TxnDepB,$O1170)=0,"",INDEX(TxnDepB,$O1170)),""))</f>
        <v/>
      </c>
      <c r="J1170" s="25">
        <f>IF($N1170&lt;&gt;"",IF(INDEX(PCOp,$N1170)="مرجوعی خرید",IF(INDEX(PCAmount,$N1170)=0,"",-INDEX(PCAmount,$N1170)),""),IF($O1170&lt;&gt;"",IF(INDEX(TxnWitB,$O1170)=0,"",INDEX(TxnWitB,$O1170)),""))</f>
        <v/>
      </c>
      <c r="K1170" s="27">
        <f>IF($B1170="","",IF($K1169="",$C$10,$K1169)+IF($I1170="",0,$I1170)-IF($J1170="",0,$J1170))</f>
        <v/>
      </c>
      <c r="L1170" s="28">
        <f>IF($N1170&lt;&gt;"",IF(INDEX(PCNotes,$N1170)="","—",INDEX(PCNotes,$N1170)),IF($O1170&lt;&gt;"",IF(INDEX(LdgNoteB,$O1170)="","—",INDEX(LdgNoteB,$O1170)),""))</f>
        <v/>
      </c>
      <c r="N1170">
        <f>IFERROR(MATCH($C$5&amp;"|"&amp;RIGHT("000000"&amp;1154,6),LdgRankKeyA,0),"")</f>
        <v/>
      </c>
      <c r="O1170">
        <f>IFERROR(MATCH($C$5&amp;"|"&amp;RIGHT("000000"&amp;1154,6),LdgRankKeyB,0),"")</f>
        <v/>
      </c>
    </row>
    <row r="1171">
      <c r="A1171" s="17" t="n">
        <v>1155</v>
      </c>
      <c r="B1171" s="18">
        <f>IF(AND($N1171="",$O1171=""),"",IF($N1171&lt;&gt;"",INDEX(PCNormDate,$N1171),INDEX(LdgDateB,$O1171)))</f>
        <v/>
      </c>
      <c r="C1171" s="18">
        <f>IF($N1171&lt;&gt;"",INDEX(PCOp,$N1171),IF($O1171&lt;&gt;"",IF(N(INDEX(TxnDepB,$O1171))&gt;0,"دریافت بانکی","پرداخت بانکی"),""))</f>
        <v/>
      </c>
      <c r="D1171" s="18">
        <f>IF($N1171&lt;&gt;"",IF(INDEX(PCDoc,$N1171)="","—",INDEX(PCDoc,$N1171)),IF($O1171&lt;&gt;"",INDEX(LdgBankB,$O1171),""))</f>
        <v/>
      </c>
      <c r="E1171" s="18">
        <f>IF($N1171&lt;&gt;"",IF(INDEX(PCCitrus,$N1171)="","—",INDEX(PCCitrus,$N1171)),"")</f>
        <v/>
      </c>
      <c r="F1171" s="19">
        <f>IF($N1171&lt;&gt;"",IF(INDEX(PCScale,$N1171)=0,"",INDEX(PCScale,$N1171)),"")</f>
        <v/>
      </c>
      <c r="G1171" s="19">
        <f>IF($N1171&lt;&gt;"",IF(INDEX(PCBaskets,$N1171)=0,"",INDEX(PCBaskets,$N1171)),"")</f>
        <v/>
      </c>
      <c r="H1171" s="20">
        <f>IF($N1171&lt;&gt;"",IF(INDEX(PCNet,$N1171)=0,"",INDEX(PCNet,$N1171)),"")</f>
        <v/>
      </c>
      <c r="I1171" s="19">
        <f>IF($N1171&lt;&gt;"",IF(INDEX(PCOp,$N1171)="مرجوعی خرید","",IF(INDEX(PCAmount,$N1171)&lt;=0,"",INDEX(PCAmount,$N1171))),IF($O1171&lt;&gt;"",IF(INDEX(TxnDepB,$O1171)=0,"",INDEX(TxnDepB,$O1171)),""))</f>
        <v/>
      </c>
      <c r="J1171" s="19">
        <f>IF($N1171&lt;&gt;"",IF(INDEX(PCOp,$N1171)="مرجوعی خرید",IF(INDEX(PCAmount,$N1171)=0,"",-INDEX(PCAmount,$N1171)),""),IF($O1171&lt;&gt;"",IF(INDEX(TxnWitB,$O1171)=0,"",INDEX(TxnWitB,$O1171)),""))</f>
        <v/>
      </c>
      <c r="K1171" s="21">
        <f>IF($B1171="","",IF($K1170="",$C$10,$K1170)+IF($I1171="",0,$I1171)-IF($J1171="",0,$J1171))</f>
        <v/>
      </c>
      <c r="L1171" s="22">
        <f>IF($N1171&lt;&gt;"",IF(INDEX(PCNotes,$N1171)="","—",INDEX(PCNotes,$N1171)),IF($O1171&lt;&gt;"",IF(INDEX(LdgNoteB,$O1171)="","—",INDEX(LdgNoteB,$O1171)),""))</f>
        <v/>
      </c>
      <c r="N1171">
        <f>IFERROR(MATCH($C$5&amp;"|"&amp;RIGHT("000000"&amp;1155,6),LdgRankKeyA,0),"")</f>
        <v/>
      </c>
      <c r="O1171">
        <f>IFERROR(MATCH($C$5&amp;"|"&amp;RIGHT("000000"&amp;1155,6),LdgRankKeyB,0),"")</f>
        <v/>
      </c>
    </row>
    <row r="1172">
      <c r="A1172" s="23" t="n">
        <v>1156</v>
      </c>
      <c r="B1172" s="24">
        <f>IF(AND($N1172="",$O1172=""),"",IF($N1172&lt;&gt;"",INDEX(PCNormDate,$N1172),INDEX(LdgDateB,$O1172)))</f>
        <v/>
      </c>
      <c r="C1172" s="24">
        <f>IF($N1172&lt;&gt;"",INDEX(PCOp,$N1172),IF($O1172&lt;&gt;"",IF(N(INDEX(TxnDepB,$O1172))&gt;0,"دریافت بانکی","پرداخت بانکی"),""))</f>
        <v/>
      </c>
      <c r="D1172" s="24">
        <f>IF($N1172&lt;&gt;"",IF(INDEX(PCDoc,$N1172)="","—",INDEX(PCDoc,$N1172)),IF($O1172&lt;&gt;"",INDEX(LdgBankB,$O1172),""))</f>
        <v/>
      </c>
      <c r="E1172" s="24">
        <f>IF($N1172&lt;&gt;"",IF(INDEX(PCCitrus,$N1172)="","—",INDEX(PCCitrus,$N1172)),"")</f>
        <v/>
      </c>
      <c r="F1172" s="25">
        <f>IF($N1172&lt;&gt;"",IF(INDEX(PCScale,$N1172)=0,"",INDEX(PCScale,$N1172)),"")</f>
        <v/>
      </c>
      <c r="G1172" s="25">
        <f>IF($N1172&lt;&gt;"",IF(INDEX(PCBaskets,$N1172)=0,"",INDEX(PCBaskets,$N1172)),"")</f>
        <v/>
      </c>
      <c r="H1172" s="26">
        <f>IF($N1172&lt;&gt;"",IF(INDEX(PCNet,$N1172)=0,"",INDEX(PCNet,$N1172)),"")</f>
        <v/>
      </c>
      <c r="I1172" s="25">
        <f>IF($N1172&lt;&gt;"",IF(INDEX(PCOp,$N1172)="مرجوعی خرید","",IF(INDEX(PCAmount,$N1172)&lt;=0,"",INDEX(PCAmount,$N1172))),IF($O1172&lt;&gt;"",IF(INDEX(TxnDepB,$O1172)=0,"",INDEX(TxnDepB,$O1172)),""))</f>
        <v/>
      </c>
      <c r="J1172" s="25">
        <f>IF($N1172&lt;&gt;"",IF(INDEX(PCOp,$N1172)="مرجوعی خرید",IF(INDEX(PCAmount,$N1172)=0,"",-INDEX(PCAmount,$N1172)),""),IF($O1172&lt;&gt;"",IF(INDEX(TxnWitB,$O1172)=0,"",INDEX(TxnWitB,$O1172)),""))</f>
        <v/>
      </c>
      <c r="K1172" s="27">
        <f>IF($B1172="","",IF($K1171="",$C$10,$K1171)+IF($I1172="",0,$I1172)-IF($J1172="",0,$J1172))</f>
        <v/>
      </c>
      <c r="L1172" s="28">
        <f>IF($N1172&lt;&gt;"",IF(INDEX(PCNotes,$N1172)="","—",INDEX(PCNotes,$N1172)),IF($O1172&lt;&gt;"",IF(INDEX(LdgNoteB,$O1172)="","—",INDEX(LdgNoteB,$O1172)),""))</f>
        <v/>
      </c>
      <c r="N1172">
        <f>IFERROR(MATCH($C$5&amp;"|"&amp;RIGHT("000000"&amp;1156,6),LdgRankKeyA,0),"")</f>
        <v/>
      </c>
      <c r="O1172">
        <f>IFERROR(MATCH($C$5&amp;"|"&amp;RIGHT("000000"&amp;1156,6),LdgRankKeyB,0),"")</f>
        <v/>
      </c>
    </row>
    <row r="1173">
      <c r="A1173" s="17" t="n">
        <v>1157</v>
      </c>
      <c r="B1173" s="18">
        <f>IF(AND($N1173="",$O1173=""),"",IF($N1173&lt;&gt;"",INDEX(PCNormDate,$N1173),INDEX(LdgDateB,$O1173)))</f>
        <v/>
      </c>
      <c r="C1173" s="18">
        <f>IF($N1173&lt;&gt;"",INDEX(PCOp,$N1173),IF($O1173&lt;&gt;"",IF(N(INDEX(TxnDepB,$O1173))&gt;0,"دریافت بانکی","پرداخت بانکی"),""))</f>
        <v/>
      </c>
      <c r="D1173" s="18">
        <f>IF($N1173&lt;&gt;"",IF(INDEX(PCDoc,$N1173)="","—",INDEX(PCDoc,$N1173)),IF($O1173&lt;&gt;"",INDEX(LdgBankB,$O1173),""))</f>
        <v/>
      </c>
      <c r="E1173" s="18">
        <f>IF($N1173&lt;&gt;"",IF(INDEX(PCCitrus,$N1173)="","—",INDEX(PCCitrus,$N1173)),"")</f>
        <v/>
      </c>
      <c r="F1173" s="19">
        <f>IF($N1173&lt;&gt;"",IF(INDEX(PCScale,$N1173)=0,"",INDEX(PCScale,$N1173)),"")</f>
        <v/>
      </c>
      <c r="G1173" s="19">
        <f>IF($N1173&lt;&gt;"",IF(INDEX(PCBaskets,$N1173)=0,"",INDEX(PCBaskets,$N1173)),"")</f>
        <v/>
      </c>
      <c r="H1173" s="20">
        <f>IF($N1173&lt;&gt;"",IF(INDEX(PCNet,$N1173)=0,"",INDEX(PCNet,$N1173)),"")</f>
        <v/>
      </c>
      <c r="I1173" s="19">
        <f>IF($N1173&lt;&gt;"",IF(INDEX(PCOp,$N1173)="مرجوعی خرید","",IF(INDEX(PCAmount,$N1173)&lt;=0,"",INDEX(PCAmount,$N1173))),IF($O1173&lt;&gt;"",IF(INDEX(TxnDepB,$O1173)=0,"",INDEX(TxnDepB,$O1173)),""))</f>
        <v/>
      </c>
      <c r="J1173" s="19">
        <f>IF($N1173&lt;&gt;"",IF(INDEX(PCOp,$N1173)="مرجوعی خرید",IF(INDEX(PCAmount,$N1173)=0,"",-INDEX(PCAmount,$N1173)),""),IF($O1173&lt;&gt;"",IF(INDEX(TxnWitB,$O1173)=0,"",INDEX(TxnWitB,$O1173)),""))</f>
        <v/>
      </c>
      <c r="K1173" s="21">
        <f>IF($B1173="","",IF($K1172="",$C$10,$K1172)+IF($I1173="",0,$I1173)-IF($J1173="",0,$J1173))</f>
        <v/>
      </c>
      <c r="L1173" s="22">
        <f>IF($N1173&lt;&gt;"",IF(INDEX(PCNotes,$N1173)="","—",INDEX(PCNotes,$N1173)),IF($O1173&lt;&gt;"",IF(INDEX(LdgNoteB,$O1173)="","—",INDEX(LdgNoteB,$O1173)),""))</f>
        <v/>
      </c>
      <c r="N1173">
        <f>IFERROR(MATCH($C$5&amp;"|"&amp;RIGHT("000000"&amp;1157,6),LdgRankKeyA,0),"")</f>
        <v/>
      </c>
      <c r="O1173">
        <f>IFERROR(MATCH($C$5&amp;"|"&amp;RIGHT("000000"&amp;1157,6),LdgRankKeyB,0),"")</f>
        <v/>
      </c>
    </row>
    <row r="1174">
      <c r="A1174" s="23" t="n">
        <v>1158</v>
      </c>
      <c r="B1174" s="24">
        <f>IF(AND($N1174="",$O1174=""),"",IF($N1174&lt;&gt;"",INDEX(PCNormDate,$N1174),INDEX(LdgDateB,$O1174)))</f>
        <v/>
      </c>
      <c r="C1174" s="24">
        <f>IF($N1174&lt;&gt;"",INDEX(PCOp,$N1174),IF($O1174&lt;&gt;"",IF(N(INDEX(TxnDepB,$O1174))&gt;0,"دریافت بانکی","پرداخت بانکی"),""))</f>
        <v/>
      </c>
      <c r="D1174" s="24">
        <f>IF($N1174&lt;&gt;"",IF(INDEX(PCDoc,$N1174)="","—",INDEX(PCDoc,$N1174)),IF($O1174&lt;&gt;"",INDEX(LdgBankB,$O1174),""))</f>
        <v/>
      </c>
      <c r="E1174" s="24">
        <f>IF($N1174&lt;&gt;"",IF(INDEX(PCCitrus,$N1174)="","—",INDEX(PCCitrus,$N1174)),"")</f>
        <v/>
      </c>
      <c r="F1174" s="25">
        <f>IF($N1174&lt;&gt;"",IF(INDEX(PCScale,$N1174)=0,"",INDEX(PCScale,$N1174)),"")</f>
        <v/>
      </c>
      <c r="G1174" s="25">
        <f>IF($N1174&lt;&gt;"",IF(INDEX(PCBaskets,$N1174)=0,"",INDEX(PCBaskets,$N1174)),"")</f>
        <v/>
      </c>
      <c r="H1174" s="26">
        <f>IF($N1174&lt;&gt;"",IF(INDEX(PCNet,$N1174)=0,"",INDEX(PCNet,$N1174)),"")</f>
        <v/>
      </c>
      <c r="I1174" s="25">
        <f>IF($N1174&lt;&gt;"",IF(INDEX(PCOp,$N1174)="مرجوعی خرید","",IF(INDEX(PCAmount,$N1174)&lt;=0,"",INDEX(PCAmount,$N1174))),IF($O1174&lt;&gt;"",IF(INDEX(TxnDepB,$O1174)=0,"",INDEX(TxnDepB,$O1174)),""))</f>
        <v/>
      </c>
      <c r="J1174" s="25">
        <f>IF($N1174&lt;&gt;"",IF(INDEX(PCOp,$N1174)="مرجوعی خرید",IF(INDEX(PCAmount,$N1174)=0,"",-INDEX(PCAmount,$N1174)),""),IF($O1174&lt;&gt;"",IF(INDEX(TxnWitB,$O1174)=0,"",INDEX(TxnWitB,$O1174)),""))</f>
        <v/>
      </c>
      <c r="K1174" s="27">
        <f>IF($B1174="","",IF($K1173="",$C$10,$K1173)+IF($I1174="",0,$I1174)-IF($J1174="",0,$J1174))</f>
        <v/>
      </c>
      <c r="L1174" s="28">
        <f>IF($N1174&lt;&gt;"",IF(INDEX(PCNotes,$N1174)="","—",INDEX(PCNotes,$N1174)),IF($O1174&lt;&gt;"",IF(INDEX(LdgNoteB,$O1174)="","—",INDEX(LdgNoteB,$O1174)),""))</f>
        <v/>
      </c>
      <c r="N1174">
        <f>IFERROR(MATCH($C$5&amp;"|"&amp;RIGHT("000000"&amp;1158,6),LdgRankKeyA,0),"")</f>
        <v/>
      </c>
      <c r="O1174">
        <f>IFERROR(MATCH($C$5&amp;"|"&amp;RIGHT("000000"&amp;1158,6),LdgRankKeyB,0),"")</f>
        <v/>
      </c>
    </row>
    <row r="1175">
      <c r="A1175" s="17" t="n">
        <v>1159</v>
      </c>
      <c r="B1175" s="18">
        <f>IF(AND($N1175="",$O1175=""),"",IF($N1175&lt;&gt;"",INDEX(PCNormDate,$N1175),INDEX(LdgDateB,$O1175)))</f>
        <v/>
      </c>
      <c r="C1175" s="18">
        <f>IF($N1175&lt;&gt;"",INDEX(PCOp,$N1175),IF($O1175&lt;&gt;"",IF(N(INDEX(TxnDepB,$O1175))&gt;0,"دریافت بانکی","پرداخت بانکی"),""))</f>
        <v/>
      </c>
      <c r="D1175" s="18">
        <f>IF($N1175&lt;&gt;"",IF(INDEX(PCDoc,$N1175)="","—",INDEX(PCDoc,$N1175)),IF($O1175&lt;&gt;"",INDEX(LdgBankB,$O1175),""))</f>
        <v/>
      </c>
      <c r="E1175" s="18">
        <f>IF($N1175&lt;&gt;"",IF(INDEX(PCCitrus,$N1175)="","—",INDEX(PCCitrus,$N1175)),"")</f>
        <v/>
      </c>
      <c r="F1175" s="19">
        <f>IF($N1175&lt;&gt;"",IF(INDEX(PCScale,$N1175)=0,"",INDEX(PCScale,$N1175)),"")</f>
        <v/>
      </c>
      <c r="G1175" s="19">
        <f>IF($N1175&lt;&gt;"",IF(INDEX(PCBaskets,$N1175)=0,"",INDEX(PCBaskets,$N1175)),"")</f>
        <v/>
      </c>
      <c r="H1175" s="20">
        <f>IF($N1175&lt;&gt;"",IF(INDEX(PCNet,$N1175)=0,"",INDEX(PCNet,$N1175)),"")</f>
        <v/>
      </c>
      <c r="I1175" s="19">
        <f>IF($N1175&lt;&gt;"",IF(INDEX(PCOp,$N1175)="مرجوعی خرید","",IF(INDEX(PCAmount,$N1175)&lt;=0,"",INDEX(PCAmount,$N1175))),IF($O1175&lt;&gt;"",IF(INDEX(TxnDepB,$O1175)=0,"",INDEX(TxnDepB,$O1175)),""))</f>
        <v/>
      </c>
      <c r="J1175" s="19">
        <f>IF($N1175&lt;&gt;"",IF(INDEX(PCOp,$N1175)="مرجوعی خرید",IF(INDEX(PCAmount,$N1175)=0,"",-INDEX(PCAmount,$N1175)),""),IF($O1175&lt;&gt;"",IF(INDEX(TxnWitB,$O1175)=0,"",INDEX(TxnWitB,$O1175)),""))</f>
        <v/>
      </c>
      <c r="K1175" s="21">
        <f>IF($B1175="","",IF($K1174="",$C$10,$K1174)+IF($I1175="",0,$I1175)-IF($J1175="",0,$J1175))</f>
        <v/>
      </c>
      <c r="L1175" s="22">
        <f>IF($N1175&lt;&gt;"",IF(INDEX(PCNotes,$N1175)="","—",INDEX(PCNotes,$N1175)),IF($O1175&lt;&gt;"",IF(INDEX(LdgNoteB,$O1175)="","—",INDEX(LdgNoteB,$O1175)),""))</f>
        <v/>
      </c>
      <c r="N1175">
        <f>IFERROR(MATCH($C$5&amp;"|"&amp;RIGHT("000000"&amp;1159,6),LdgRankKeyA,0),"")</f>
        <v/>
      </c>
      <c r="O1175">
        <f>IFERROR(MATCH($C$5&amp;"|"&amp;RIGHT("000000"&amp;1159,6),LdgRankKeyB,0),"")</f>
        <v/>
      </c>
    </row>
    <row r="1176">
      <c r="A1176" s="23" t="n">
        <v>1160</v>
      </c>
      <c r="B1176" s="24">
        <f>IF(AND($N1176="",$O1176=""),"",IF($N1176&lt;&gt;"",INDEX(PCNormDate,$N1176),INDEX(LdgDateB,$O1176)))</f>
        <v/>
      </c>
      <c r="C1176" s="24">
        <f>IF($N1176&lt;&gt;"",INDEX(PCOp,$N1176),IF($O1176&lt;&gt;"",IF(N(INDEX(TxnDepB,$O1176))&gt;0,"دریافت بانکی","پرداخت بانکی"),""))</f>
        <v/>
      </c>
      <c r="D1176" s="24">
        <f>IF($N1176&lt;&gt;"",IF(INDEX(PCDoc,$N1176)="","—",INDEX(PCDoc,$N1176)),IF($O1176&lt;&gt;"",INDEX(LdgBankB,$O1176),""))</f>
        <v/>
      </c>
      <c r="E1176" s="24">
        <f>IF($N1176&lt;&gt;"",IF(INDEX(PCCitrus,$N1176)="","—",INDEX(PCCitrus,$N1176)),"")</f>
        <v/>
      </c>
      <c r="F1176" s="25">
        <f>IF($N1176&lt;&gt;"",IF(INDEX(PCScale,$N1176)=0,"",INDEX(PCScale,$N1176)),"")</f>
        <v/>
      </c>
      <c r="G1176" s="25">
        <f>IF($N1176&lt;&gt;"",IF(INDEX(PCBaskets,$N1176)=0,"",INDEX(PCBaskets,$N1176)),"")</f>
        <v/>
      </c>
      <c r="H1176" s="26">
        <f>IF($N1176&lt;&gt;"",IF(INDEX(PCNet,$N1176)=0,"",INDEX(PCNet,$N1176)),"")</f>
        <v/>
      </c>
      <c r="I1176" s="25">
        <f>IF($N1176&lt;&gt;"",IF(INDEX(PCOp,$N1176)="مرجوعی خرید","",IF(INDEX(PCAmount,$N1176)&lt;=0,"",INDEX(PCAmount,$N1176))),IF($O1176&lt;&gt;"",IF(INDEX(TxnDepB,$O1176)=0,"",INDEX(TxnDepB,$O1176)),""))</f>
        <v/>
      </c>
      <c r="J1176" s="25">
        <f>IF($N1176&lt;&gt;"",IF(INDEX(PCOp,$N1176)="مرجوعی خرید",IF(INDEX(PCAmount,$N1176)=0,"",-INDEX(PCAmount,$N1176)),""),IF($O1176&lt;&gt;"",IF(INDEX(TxnWitB,$O1176)=0,"",INDEX(TxnWitB,$O1176)),""))</f>
        <v/>
      </c>
      <c r="K1176" s="27">
        <f>IF($B1176="","",IF($K1175="",$C$10,$K1175)+IF($I1176="",0,$I1176)-IF($J1176="",0,$J1176))</f>
        <v/>
      </c>
      <c r="L1176" s="28">
        <f>IF($N1176&lt;&gt;"",IF(INDEX(PCNotes,$N1176)="","—",INDEX(PCNotes,$N1176)),IF($O1176&lt;&gt;"",IF(INDEX(LdgNoteB,$O1176)="","—",INDEX(LdgNoteB,$O1176)),""))</f>
        <v/>
      </c>
      <c r="N1176">
        <f>IFERROR(MATCH($C$5&amp;"|"&amp;RIGHT("000000"&amp;1160,6),LdgRankKeyA,0),"")</f>
        <v/>
      </c>
      <c r="O1176">
        <f>IFERROR(MATCH($C$5&amp;"|"&amp;RIGHT("000000"&amp;1160,6),LdgRankKeyB,0),"")</f>
        <v/>
      </c>
    </row>
    <row r="1177">
      <c r="A1177" s="17" t="n">
        <v>1161</v>
      </c>
      <c r="B1177" s="18">
        <f>IF(AND($N1177="",$O1177=""),"",IF($N1177&lt;&gt;"",INDEX(PCNormDate,$N1177),INDEX(LdgDateB,$O1177)))</f>
        <v/>
      </c>
      <c r="C1177" s="18">
        <f>IF($N1177&lt;&gt;"",INDEX(PCOp,$N1177),IF($O1177&lt;&gt;"",IF(N(INDEX(TxnDepB,$O1177))&gt;0,"دریافت بانکی","پرداخت بانکی"),""))</f>
        <v/>
      </c>
      <c r="D1177" s="18">
        <f>IF($N1177&lt;&gt;"",IF(INDEX(PCDoc,$N1177)="","—",INDEX(PCDoc,$N1177)),IF($O1177&lt;&gt;"",INDEX(LdgBankB,$O1177),""))</f>
        <v/>
      </c>
      <c r="E1177" s="18">
        <f>IF($N1177&lt;&gt;"",IF(INDEX(PCCitrus,$N1177)="","—",INDEX(PCCitrus,$N1177)),"")</f>
        <v/>
      </c>
      <c r="F1177" s="19">
        <f>IF($N1177&lt;&gt;"",IF(INDEX(PCScale,$N1177)=0,"",INDEX(PCScale,$N1177)),"")</f>
        <v/>
      </c>
      <c r="G1177" s="19">
        <f>IF($N1177&lt;&gt;"",IF(INDEX(PCBaskets,$N1177)=0,"",INDEX(PCBaskets,$N1177)),"")</f>
        <v/>
      </c>
      <c r="H1177" s="20">
        <f>IF($N1177&lt;&gt;"",IF(INDEX(PCNet,$N1177)=0,"",INDEX(PCNet,$N1177)),"")</f>
        <v/>
      </c>
      <c r="I1177" s="19">
        <f>IF($N1177&lt;&gt;"",IF(INDEX(PCOp,$N1177)="مرجوعی خرید","",IF(INDEX(PCAmount,$N1177)&lt;=0,"",INDEX(PCAmount,$N1177))),IF($O1177&lt;&gt;"",IF(INDEX(TxnDepB,$O1177)=0,"",INDEX(TxnDepB,$O1177)),""))</f>
        <v/>
      </c>
      <c r="J1177" s="19">
        <f>IF($N1177&lt;&gt;"",IF(INDEX(PCOp,$N1177)="مرجوعی خرید",IF(INDEX(PCAmount,$N1177)=0,"",-INDEX(PCAmount,$N1177)),""),IF($O1177&lt;&gt;"",IF(INDEX(TxnWitB,$O1177)=0,"",INDEX(TxnWitB,$O1177)),""))</f>
        <v/>
      </c>
      <c r="K1177" s="21">
        <f>IF($B1177="","",IF($K1176="",$C$10,$K1176)+IF($I1177="",0,$I1177)-IF($J1177="",0,$J1177))</f>
        <v/>
      </c>
      <c r="L1177" s="22">
        <f>IF($N1177&lt;&gt;"",IF(INDEX(PCNotes,$N1177)="","—",INDEX(PCNotes,$N1177)),IF($O1177&lt;&gt;"",IF(INDEX(LdgNoteB,$O1177)="","—",INDEX(LdgNoteB,$O1177)),""))</f>
        <v/>
      </c>
      <c r="N1177">
        <f>IFERROR(MATCH($C$5&amp;"|"&amp;RIGHT("000000"&amp;1161,6),LdgRankKeyA,0),"")</f>
        <v/>
      </c>
      <c r="O1177">
        <f>IFERROR(MATCH($C$5&amp;"|"&amp;RIGHT("000000"&amp;1161,6),LdgRankKeyB,0),"")</f>
        <v/>
      </c>
    </row>
    <row r="1178">
      <c r="A1178" s="23" t="n">
        <v>1162</v>
      </c>
      <c r="B1178" s="24">
        <f>IF(AND($N1178="",$O1178=""),"",IF($N1178&lt;&gt;"",INDEX(PCNormDate,$N1178),INDEX(LdgDateB,$O1178)))</f>
        <v/>
      </c>
      <c r="C1178" s="24">
        <f>IF($N1178&lt;&gt;"",INDEX(PCOp,$N1178),IF($O1178&lt;&gt;"",IF(N(INDEX(TxnDepB,$O1178))&gt;0,"دریافت بانکی","پرداخت بانکی"),""))</f>
        <v/>
      </c>
      <c r="D1178" s="24">
        <f>IF($N1178&lt;&gt;"",IF(INDEX(PCDoc,$N1178)="","—",INDEX(PCDoc,$N1178)),IF($O1178&lt;&gt;"",INDEX(LdgBankB,$O1178),""))</f>
        <v/>
      </c>
      <c r="E1178" s="24">
        <f>IF($N1178&lt;&gt;"",IF(INDEX(PCCitrus,$N1178)="","—",INDEX(PCCitrus,$N1178)),"")</f>
        <v/>
      </c>
      <c r="F1178" s="25">
        <f>IF($N1178&lt;&gt;"",IF(INDEX(PCScale,$N1178)=0,"",INDEX(PCScale,$N1178)),"")</f>
        <v/>
      </c>
      <c r="G1178" s="25">
        <f>IF($N1178&lt;&gt;"",IF(INDEX(PCBaskets,$N1178)=0,"",INDEX(PCBaskets,$N1178)),"")</f>
        <v/>
      </c>
      <c r="H1178" s="26">
        <f>IF($N1178&lt;&gt;"",IF(INDEX(PCNet,$N1178)=0,"",INDEX(PCNet,$N1178)),"")</f>
        <v/>
      </c>
      <c r="I1178" s="25">
        <f>IF($N1178&lt;&gt;"",IF(INDEX(PCOp,$N1178)="مرجوعی خرید","",IF(INDEX(PCAmount,$N1178)&lt;=0,"",INDEX(PCAmount,$N1178))),IF($O1178&lt;&gt;"",IF(INDEX(TxnDepB,$O1178)=0,"",INDEX(TxnDepB,$O1178)),""))</f>
        <v/>
      </c>
      <c r="J1178" s="25">
        <f>IF($N1178&lt;&gt;"",IF(INDEX(PCOp,$N1178)="مرجوعی خرید",IF(INDEX(PCAmount,$N1178)=0,"",-INDEX(PCAmount,$N1178)),""),IF($O1178&lt;&gt;"",IF(INDEX(TxnWitB,$O1178)=0,"",INDEX(TxnWitB,$O1178)),""))</f>
        <v/>
      </c>
      <c r="K1178" s="27">
        <f>IF($B1178="","",IF($K1177="",$C$10,$K1177)+IF($I1178="",0,$I1178)-IF($J1178="",0,$J1178))</f>
        <v/>
      </c>
      <c r="L1178" s="28">
        <f>IF($N1178&lt;&gt;"",IF(INDEX(PCNotes,$N1178)="","—",INDEX(PCNotes,$N1178)),IF($O1178&lt;&gt;"",IF(INDEX(LdgNoteB,$O1178)="","—",INDEX(LdgNoteB,$O1178)),""))</f>
        <v/>
      </c>
      <c r="N1178">
        <f>IFERROR(MATCH($C$5&amp;"|"&amp;RIGHT("000000"&amp;1162,6),LdgRankKeyA,0),"")</f>
        <v/>
      </c>
      <c r="O1178">
        <f>IFERROR(MATCH($C$5&amp;"|"&amp;RIGHT("000000"&amp;1162,6),LdgRankKeyB,0),"")</f>
        <v/>
      </c>
    </row>
    <row r="1179">
      <c r="A1179" s="17" t="n">
        <v>1163</v>
      </c>
      <c r="B1179" s="18">
        <f>IF(AND($N1179="",$O1179=""),"",IF($N1179&lt;&gt;"",INDEX(PCNormDate,$N1179),INDEX(LdgDateB,$O1179)))</f>
        <v/>
      </c>
      <c r="C1179" s="18">
        <f>IF($N1179&lt;&gt;"",INDEX(PCOp,$N1179),IF($O1179&lt;&gt;"",IF(N(INDEX(TxnDepB,$O1179))&gt;0,"دریافت بانکی","پرداخت بانکی"),""))</f>
        <v/>
      </c>
      <c r="D1179" s="18">
        <f>IF($N1179&lt;&gt;"",IF(INDEX(PCDoc,$N1179)="","—",INDEX(PCDoc,$N1179)),IF($O1179&lt;&gt;"",INDEX(LdgBankB,$O1179),""))</f>
        <v/>
      </c>
      <c r="E1179" s="18">
        <f>IF($N1179&lt;&gt;"",IF(INDEX(PCCitrus,$N1179)="","—",INDEX(PCCitrus,$N1179)),"")</f>
        <v/>
      </c>
      <c r="F1179" s="19">
        <f>IF($N1179&lt;&gt;"",IF(INDEX(PCScale,$N1179)=0,"",INDEX(PCScale,$N1179)),"")</f>
        <v/>
      </c>
      <c r="G1179" s="19">
        <f>IF($N1179&lt;&gt;"",IF(INDEX(PCBaskets,$N1179)=0,"",INDEX(PCBaskets,$N1179)),"")</f>
        <v/>
      </c>
      <c r="H1179" s="20">
        <f>IF($N1179&lt;&gt;"",IF(INDEX(PCNet,$N1179)=0,"",INDEX(PCNet,$N1179)),"")</f>
        <v/>
      </c>
      <c r="I1179" s="19">
        <f>IF($N1179&lt;&gt;"",IF(INDEX(PCOp,$N1179)="مرجوعی خرید","",IF(INDEX(PCAmount,$N1179)&lt;=0,"",INDEX(PCAmount,$N1179))),IF($O1179&lt;&gt;"",IF(INDEX(TxnDepB,$O1179)=0,"",INDEX(TxnDepB,$O1179)),""))</f>
        <v/>
      </c>
      <c r="J1179" s="19">
        <f>IF($N1179&lt;&gt;"",IF(INDEX(PCOp,$N1179)="مرجوعی خرید",IF(INDEX(PCAmount,$N1179)=0,"",-INDEX(PCAmount,$N1179)),""),IF($O1179&lt;&gt;"",IF(INDEX(TxnWitB,$O1179)=0,"",INDEX(TxnWitB,$O1179)),""))</f>
        <v/>
      </c>
      <c r="K1179" s="21">
        <f>IF($B1179="","",IF($K1178="",$C$10,$K1178)+IF($I1179="",0,$I1179)-IF($J1179="",0,$J1179))</f>
        <v/>
      </c>
      <c r="L1179" s="22">
        <f>IF($N1179&lt;&gt;"",IF(INDEX(PCNotes,$N1179)="","—",INDEX(PCNotes,$N1179)),IF($O1179&lt;&gt;"",IF(INDEX(LdgNoteB,$O1179)="","—",INDEX(LdgNoteB,$O1179)),""))</f>
        <v/>
      </c>
      <c r="N1179">
        <f>IFERROR(MATCH($C$5&amp;"|"&amp;RIGHT("000000"&amp;1163,6),LdgRankKeyA,0),"")</f>
        <v/>
      </c>
      <c r="O1179">
        <f>IFERROR(MATCH($C$5&amp;"|"&amp;RIGHT("000000"&amp;1163,6),LdgRankKeyB,0),"")</f>
        <v/>
      </c>
    </row>
    <row r="1180">
      <c r="A1180" s="23" t="n">
        <v>1164</v>
      </c>
      <c r="B1180" s="24">
        <f>IF(AND($N1180="",$O1180=""),"",IF($N1180&lt;&gt;"",INDEX(PCNormDate,$N1180),INDEX(LdgDateB,$O1180)))</f>
        <v/>
      </c>
      <c r="C1180" s="24">
        <f>IF($N1180&lt;&gt;"",INDEX(PCOp,$N1180),IF($O1180&lt;&gt;"",IF(N(INDEX(TxnDepB,$O1180))&gt;0,"دریافت بانکی","پرداخت بانکی"),""))</f>
        <v/>
      </c>
      <c r="D1180" s="24">
        <f>IF($N1180&lt;&gt;"",IF(INDEX(PCDoc,$N1180)="","—",INDEX(PCDoc,$N1180)),IF($O1180&lt;&gt;"",INDEX(LdgBankB,$O1180),""))</f>
        <v/>
      </c>
      <c r="E1180" s="24">
        <f>IF($N1180&lt;&gt;"",IF(INDEX(PCCitrus,$N1180)="","—",INDEX(PCCitrus,$N1180)),"")</f>
        <v/>
      </c>
      <c r="F1180" s="25">
        <f>IF($N1180&lt;&gt;"",IF(INDEX(PCScale,$N1180)=0,"",INDEX(PCScale,$N1180)),"")</f>
        <v/>
      </c>
      <c r="G1180" s="25">
        <f>IF($N1180&lt;&gt;"",IF(INDEX(PCBaskets,$N1180)=0,"",INDEX(PCBaskets,$N1180)),"")</f>
        <v/>
      </c>
      <c r="H1180" s="26">
        <f>IF($N1180&lt;&gt;"",IF(INDEX(PCNet,$N1180)=0,"",INDEX(PCNet,$N1180)),"")</f>
        <v/>
      </c>
      <c r="I1180" s="25">
        <f>IF($N1180&lt;&gt;"",IF(INDEX(PCOp,$N1180)="مرجوعی خرید","",IF(INDEX(PCAmount,$N1180)&lt;=0,"",INDEX(PCAmount,$N1180))),IF($O1180&lt;&gt;"",IF(INDEX(TxnDepB,$O1180)=0,"",INDEX(TxnDepB,$O1180)),""))</f>
        <v/>
      </c>
      <c r="J1180" s="25">
        <f>IF($N1180&lt;&gt;"",IF(INDEX(PCOp,$N1180)="مرجوعی خرید",IF(INDEX(PCAmount,$N1180)=0,"",-INDEX(PCAmount,$N1180)),""),IF($O1180&lt;&gt;"",IF(INDEX(TxnWitB,$O1180)=0,"",INDEX(TxnWitB,$O1180)),""))</f>
        <v/>
      </c>
      <c r="K1180" s="27">
        <f>IF($B1180="","",IF($K1179="",$C$10,$K1179)+IF($I1180="",0,$I1180)-IF($J1180="",0,$J1180))</f>
        <v/>
      </c>
      <c r="L1180" s="28">
        <f>IF($N1180&lt;&gt;"",IF(INDEX(PCNotes,$N1180)="","—",INDEX(PCNotes,$N1180)),IF($O1180&lt;&gt;"",IF(INDEX(LdgNoteB,$O1180)="","—",INDEX(LdgNoteB,$O1180)),""))</f>
        <v/>
      </c>
      <c r="N1180">
        <f>IFERROR(MATCH($C$5&amp;"|"&amp;RIGHT("000000"&amp;1164,6),LdgRankKeyA,0),"")</f>
        <v/>
      </c>
      <c r="O1180">
        <f>IFERROR(MATCH($C$5&amp;"|"&amp;RIGHT("000000"&amp;1164,6),LdgRankKeyB,0),"")</f>
        <v/>
      </c>
    </row>
    <row r="1181">
      <c r="A1181" s="17" t="n">
        <v>1165</v>
      </c>
      <c r="B1181" s="18">
        <f>IF(AND($N1181="",$O1181=""),"",IF($N1181&lt;&gt;"",INDEX(PCNormDate,$N1181),INDEX(LdgDateB,$O1181)))</f>
        <v/>
      </c>
      <c r="C1181" s="18">
        <f>IF($N1181&lt;&gt;"",INDEX(PCOp,$N1181),IF($O1181&lt;&gt;"",IF(N(INDEX(TxnDepB,$O1181))&gt;0,"دریافت بانکی","پرداخت بانکی"),""))</f>
        <v/>
      </c>
      <c r="D1181" s="18">
        <f>IF($N1181&lt;&gt;"",IF(INDEX(PCDoc,$N1181)="","—",INDEX(PCDoc,$N1181)),IF($O1181&lt;&gt;"",INDEX(LdgBankB,$O1181),""))</f>
        <v/>
      </c>
      <c r="E1181" s="18">
        <f>IF($N1181&lt;&gt;"",IF(INDEX(PCCitrus,$N1181)="","—",INDEX(PCCitrus,$N1181)),"")</f>
        <v/>
      </c>
      <c r="F1181" s="19">
        <f>IF($N1181&lt;&gt;"",IF(INDEX(PCScale,$N1181)=0,"",INDEX(PCScale,$N1181)),"")</f>
        <v/>
      </c>
      <c r="G1181" s="19">
        <f>IF($N1181&lt;&gt;"",IF(INDEX(PCBaskets,$N1181)=0,"",INDEX(PCBaskets,$N1181)),"")</f>
        <v/>
      </c>
      <c r="H1181" s="20">
        <f>IF($N1181&lt;&gt;"",IF(INDEX(PCNet,$N1181)=0,"",INDEX(PCNet,$N1181)),"")</f>
        <v/>
      </c>
      <c r="I1181" s="19">
        <f>IF($N1181&lt;&gt;"",IF(INDEX(PCOp,$N1181)="مرجوعی خرید","",IF(INDEX(PCAmount,$N1181)&lt;=0,"",INDEX(PCAmount,$N1181))),IF($O1181&lt;&gt;"",IF(INDEX(TxnDepB,$O1181)=0,"",INDEX(TxnDepB,$O1181)),""))</f>
        <v/>
      </c>
      <c r="J1181" s="19">
        <f>IF($N1181&lt;&gt;"",IF(INDEX(PCOp,$N1181)="مرجوعی خرید",IF(INDEX(PCAmount,$N1181)=0,"",-INDEX(PCAmount,$N1181)),""),IF($O1181&lt;&gt;"",IF(INDEX(TxnWitB,$O1181)=0,"",INDEX(TxnWitB,$O1181)),""))</f>
        <v/>
      </c>
      <c r="K1181" s="21">
        <f>IF($B1181="","",IF($K1180="",$C$10,$K1180)+IF($I1181="",0,$I1181)-IF($J1181="",0,$J1181))</f>
        <v/>
      </c>
      <c r="L1181" s="22">
        <f>IF($N1181&lt;&gt;"",IF(INDEX(PCNotes,$N1181)="","—",INDEX(PCNotes,$N1181)),IF($O1181&lt;&gt;"",IF(INDEX(LdgNoteB,$O1181)="","—",INDEX(LdgNoteB,$O1181)),""))</f>
        <v/>
      </c>
      <c r="N1181">
        <f>IFERROR(MATCH($C$5&amp;"|"&amp;RIGHT("000000"&amp;1165,6),LdgRankKeyA,0),"")</f>
        <v/>
      </c>
      <c r="O1181">
        <f>IFERROR(MATCH($C$5&amp;"|"&amp;RIGHT("000000"&amp;1165,6),LdgRankKeyB,0),"")</f>
        <v/>
      </c>
    </row>
    <row r="1182">
      <c r="A1182" s="23" t="n">
        <v>1166</v>
      </c>
      <c r="B1182" s="24">
        <f>IF(AND($N1182="",$O1182=""),"",IF($N1182&lt;&gt;"",INDEX(PCNormDate,$N1182),INDEX(LdgDateB,$O1182)))</f>
        <v/>
      </c>
      <c r="C1182" s="24">
        <f>IF($N1182&lt;&gt;"",INDEX(PCOp,$N1182),IF($O1182&lt;&gt;"",IF(N(INDEX(TxnDepB,$O1182))&gt;0,"دریافت بانکی","پرداخت بانکی"),""))</f>
        <v/>
      </c>
      <c r="D1182" s="24">
        <f>IF($N1182&lt;&gt;"",IF(INDEX(PCDoc,$N1182)="","—",INDEX(PCDoc,$N1182)),IF($O1182&lt;&gt;"",INDEX(LdgBankB,$O1182),""))</f>
        <v/>
      </c>
      <c r="E1182" s="24">
        <f>IF($N1182&lt;&gt;"",IF(INDEX(PCCitrus,$N1182)="","—",INDEX(PCCitrus,$N1182)),"")</f>
        <v/>
      </c>
      <c r="F1182" s="25">
        <f>IF($N1182&lt;&gt;"",IF(INDEX(PCScale,$N1182)=0,"",INDEX(PCScale,$N1182)),"")</f>
        <v/>
      </c>
      <c r="G1182" s="25">
        <f>IF($N1182&lt;&gt;"",IF(INDEX(PCBaskets,$N1182)=0,"",INDEX(PCBaskets,$N1182)),"")</f>
        <v/>
      </c>
      <c r="H1182" s="26">
        <f>IF($N1182&lt;&gt;"",IF(INDEX(PCNet,$N1182)=0,"",INDEX(PCNet,$N1182)),"")</f>
        <v/>
      </c>
      <c r="I1182" s="25">
        <f>IF($N1182&lt;&gt;"",IF(INDEX(PCOp,$N1182)="مرجوعی خرید","",IF(INDEX(PCAmount,$N1182)&lt;=0,"",INDEX(PCAmount,$N1182))),IF($O1182&lt;&gt;"",IF(INDEX(TxnDepB,$O1182)=0,"",INDEX(TxnDepB,$O1182)),""))</f>
        <v/>
      </c>
      <c r="J1182" s="25">
        <f>IF($N1182&lt;&gt;"",IF(INDEX(PCOp,$N1182)="مرجوعی خرید",IF(INDEX(PCAmount,$N1182)=0,"",-INDEX(PCAmount,$N1182)),""),IF($O1182&lt;&gt;"",IF(INDEX(TxnWitB,$O1182)=0,"",INDEX(TxnWitB,$O1182)),""))</f>
        <v/>
      </c>
      <c r="K1182" s="27">
        <f>IF($B1182="","",IF($K1181="",$C$10,$K1181)+IF($I1182="",0,$I1182)-IF($J1182="",0,$J1182))</f>
        <v/>
      </c>
      <c r="L1182" s="28">
        <f>IF($N1182&lt;&gt;"",IF(INDEX(PCNotes,$N1182)="","—",INDEX(PCNotes,$N1182)),IF($O1182&lt;&gt;"",IF(INDEX(LdgNoteB,$O1182)="","—",INDEX(LdgNoteB,$O1182)),""))</f>
        <v/>
      </c>
      <c r="N1182">
        <f>IFERROR(MATCH($C$5&amp;"|"&amp;RIGHT("000000"&amp;1166,6),LdgRankKeyA,0),"")</f>
        <v/>
      </c>
      <c r="O1182">
        <f>IFERROR(MATCH($C$5&amp;"|"&amp;RIGHT("000000"&amp;1166,6),LdgRankKeyB,0),"")</f>
        <v/>
      </c>
    </row>
    <row r="1183">
      <c r="A1183" s="17" t="n">
        <v>1167</v>
      </c>
      <c r="B1183" s="18">
        <f>IF(AND($N1183="",$O1183=""),"",IF($N1183&lt;&gt;"",INDEX(PCNormDate,$N1183),INDEX(LdgDateB,$O1183)))</f>
        <v/>
      </c>
      <c r="C1183" s="18">
        <f>IF($N1183&lt;&gt;"",INDEX(PCOp,$N1183),IF($O1183&lt;&gt;"",IF(N(INDEX(TxnDepB,$O1183))&gt;0,"دریافت بانکی","پرداخت بانکی"),""))</f>
        <v/>
      </c>
      <c r="D1183" s="18">
        <f>IF($N1183&lt;&gt;"",IF(INDEX(PCDoc,$N1183)="","—",INDEX(PCDoc,$N1183)),IF($O1183&lt;&gt;"",INDEX(LdgBankB,$O1183),""))</f>
        <v/>
      </c>
      <c r="E1183" s="18">
        <f>IF($N1183&lt;&gt;"",IF(INDEX(PCCitrus,$N1183)="","—",INDEX(PCCitrus,$N1183)),"")</f>
        <v/>
      </c>
      <c r="F1183" s="19">
        <f>IF($N1183&lt;&gt;"",IF(INDEX(PCScale,$N1183)=0,"",INDEX(PCScale,$N1183)),"")</f>
        <v/>
      </c>
      <c r="G1183" s="19">
        <f>IF($N1183&lt;&gt;"",IF(INDEX(PCBaskets,$N1183)=0,"",INDEX(PCBaskets,$N1183)),"")</f>
        <v/>
      </c>
      <c r="H1183" s="20">
        <f>IF($N1183&lt;&gt;"",IF(INDEX(PCNet,$N1183)=0,"",INDEX(PCNet,$N1183)),"")</f>
        <v/>
      </c>
      <c r="I1183" s="19">
        <f>IF($N1183&lt;&gt;"",IF(INDEX(PCOp,$N1183)="مرجوعی خرید","",IF(INDEX(PCAmount,$N1183)&lt;=0,"",INDEX(PCAmount,$N1183))),IF($O1183&lt;&gt;"",IF(INDEX(TxnDepB,$O1183)=0,"",INDEX(TxnDepB,$O1183)),""))</f>
        <v/>
      </c>
      <c r="J1183" s="19">
        <f>IF($N1183&lt;&gt;"",IF(INDEX(PCOp,$N1183)="مرجوعی خرید",IF(INDEX(PCAmount,$N1183)=0,"",-INDEX(PCAmount,$N1183)),""),IF($O1183&lt;&gt;"",IF(INDEX(TxnWitB,$O1183)=0,"",INDEX(TxnWitB,$O1183)),""))</f>
        <v/>
      </c>
      <c r="K1183" s="21">
        <f>IF($B1183="","",IF($K1182="",$C$10,$K1182)+IF($I1183="",0,$I1183)-IF($J1183="",0,$J1183))</f>
        <v/>
      </c>
      <c r="L1183" s="22">
        <f>IF($N1183&lt;&gt;"",IF(INDEX(PCNotes,$N1183)="","—",INDEX(PCNotes,$N1183)),IF($O1183&lt;&gt;"",IF(INDEX(LdgNoteB,$O1183)="","—",INDEX(LdgNoteB,$O1183)),""))</f>
        <v/>
      </c>
      <c r="N1183">
        <f>IFERROR(MATCH($C$5&amp;"|"&amp;RIGHT("000000"&amp;1167,6),LdgRankKeyA,0),"")</f>
        <v/>
      </c>
      <c r="O1183">
        <f>IFERROR(MATCH($C$5&amp;"|"&amp;RIGHT("000000"&amp;1167,6),LdgRankKeyB,0),"")</f>
        <v/>
      </c>
    </row>
    <row r="1184">
      <c r="A1184" s="23" t="n">
        <v>1168</v>
      </c>
      <c r="B1184" s="24">
        <f>IF(AND($N1184="",$O1184=""),"",IF($N1184&lt;&gt;"",INDEX(PCNormDate,$N1184),INDEX(LdgDateB,$O1184)))</f>
        <v/>
      </c>
      <c r="C1184" s="24">
        <f>IF($N1184&lt;&gt;"",INDEX(PCOp,$N1184),IF($O1184&lt;&gt;"",IF(N(INDEX(TxnDepB,$O1184))&gt;0,"دریافت بانکی","پرداخت بانکی"),""))</f>
        <v/>
      </c>
      <c r="D1184" s="24">
        <f>IF($N1184&lt;&gt;"",IF(INDEX(PCDoc,$N1184)="","—",INDEX(PCDoc,$N1184)),IF($O1184&lt;&gt;"",INDEX(LdgBankB,$O1184),""))</f>
        <v/>
      </c>
      <c r="E1184" s="24">
        <f>IF($N1184&lt;&gt;"",IF(INDEX(PCCitrus,$N1184)="","—",INDEX(PCCitrus,$N1184)),"")</f>
        <v/>
      </c>
      <c r="F1184" s="25">
        <f>IF($N1184&lt;&gt;"",IF(INDEX(PCScale,$N1184)=0,"",INDEX(PCScale,$N1184)),"")</f>
        <v/>
      </c>
      <c r="G1184" s="25">
        <f>IF($N1184&lt;&gt;"",IF(INDEX(PCBaskets,$N1184)=0,"",INDEX(PCBaskets,$N1184)),"")</f>
        <v/>
      </c>
      <c r="H1184" s="26">
        <f>IF($N1184&lt;&gt;"",IF(INDEX(PCNet,$N1184)=0,"",INDEX(PCNet,$N1184)),"")</f>
        <v/>
      </c>
      <c r="I1184" s="25">
        <f>IF($N1184&lt;&gt;"",IF(INDEX(PCOp,$N1184)="مرجوعی خرید","",IF(INDEX(PCAmount,$N1184)&lt;=0,"",INDEX(PCAmount,$N1184))),IF($O1184&lt;&gt;"",IF(INDEX(TxnDepB,$O1184)=0,"",INDEX(TxnDepB,$O1184)),""))</f>
        <v/>
      </c>
      <c r="J1184" s="25">
        <f>IF($N1184&lt;&gt;"",IF(INDEX(PCOp,$N1184)="مرجوعی خرید",IF(INDEX(PCAmount,$N1184)=0,"",-INDEX(PCAmount,$N1184)),""),IF($O1184&lt;&gt;"",IF(INDEX(TxnWitB,$O1184)=0,"",INDEX(TxnWitB,$O1184)),""))</f>
        <v/>
      </c>
      <c r="K1184" s="27">
        <f>IF($B1184="","",IF($K1183="",$C$10,$K1183)+IF($I1184="",0,$I1184)-IF($J1184="",0,$J1184))</f>
        <v/>
      </c>
      <c r="L1184" s="28">
        <f>IF($N1184&lt;&gt;"",IF(INDEX(PCNotes,$N1184)="","—",INDEX(PCNotes,$N1184)),IF($O1184&lt;&gt;"",IF(INDEX(LdgNoteB,$O1184)="","—",INDEX(LdgNoteB,$O1184)),""))</f>
        <v/>
      </c>
      <c r="N1184">
        <f>IFERROR(MATCH($C$5&amp;"|"&amp;RIGHT("000000"&amp;1168,6),LdgRankKeyA,0),"")</f>
        <v/>
      </c>
      <c r="O1184">
        <f>IFERROR(MATCH($C$5&amp;"|"&amp;RIGHT("000000"&amp;1168,6),LdgRankKeyB,0),"")</f>
        <v/>
      </c>
    </row>
    <row r="1185">
      <c r="A1185" s="17" t="n">
        <v>1169</v>
      </c>
      <c r="B1185" s="18">
        <f>IF(AND($N1185="",$O1185=""),"",IF($N1185&lt;&gt;"",INDEX(PCNormDate,$N1185),INDEX(LdgDateB,$O1185)))</f>
        <v/>
      </c>
      <c r="C1185" s="18">
        <f>IF($N1185&lt;&gt;"",INDEX(PCOp,$N1185),IF($O1185&lt;&gt;"",IF(N(INDEX(TxnDepB,$O1185))&gt;0,"دریافت بانکی","پرداخت بانکی"),""))</f>
        <v/>
      </c>
      <c r="D1185" s="18">
        <f>IF($N1185&lt;&gt;"",IF(INDEX(PCDoc,$N1185)="","—",INDEX(PCDoc,$N1185)),IF($O1185&lt;&gt;"",INDEX(LdgBankB,$O1185),""))</f>
        <v/>
      </c>
      <c r="E1185" s="18">
        <f>IF($N1185&lt;&gt;"",IF(INDEX(PCCitrus,$N1185)="","—",INDEX(PCCitrus,$N1185)),"")</f>
        <v/>
      </c>
      <c r="F1185" s="19">
        <f>IF($N1185&lt;&gt;"",IF(INDEX(PCScale,$N1185)=0,"",INDEX(PCScale,$N1185)),"")</f>
        <v/>
      </c>
      <c r="G1185" s="19">
        <f>IF($N1185&lt;&gt;"",IF(INDEX(PCBaskets,$N1185)=0,"",INDEX(PCBaskets,$N1185)),"")</f>
        <v/>
      </c>
      <c r="H1185" s="20">
        <f>IF($N1185&lt;&gt;"",IF(INDEX(PCNet,$N1185)=0,"",INDEX(PCNet,$N1185)),"")</f>
        <v/>
      </c>
      <c r="I1185" s="19">
        <f>IF($N1185&lt;&gt;"",IF(INDEX(PCOp,$N1185)="مرجوعی خرید","",IF(INDEX(PCAmount,$N1185)&lt;=0,"",INDEX(PCAmount,$N1185))),IF($O1185&lt;&gt;"",IF(INDEX(TxnDepB,$O1185)=0,"",INDEX(TxnDepB,$O1185)),""))</f>
        <v/>
      </c>
      <c r="J1185" s="19">
        <f>IF($N1185&lt;&gt;"",IF(INDEX(PCOp,$N1185)="مرجوعی خرید",IF(INDEX(PCAmount,$N1185)=0,"",-INDEX(PCAmount,$N1185)),""),IF($O1185&lt;&gt;"",IF(INDEX(TxnWitB,$O1185)=0,"",INDEX(TxnWitB,$O1185)),""))</f>
        <v/>
      </c>
      <c r="K1185" s="21">
        <f>IF($B1185="","",IF($K1184="",$C$10,$K1184)+IF($I1185="",0,$I1185)-IF($J1185="",0,$J1185))</f>
        <v/>
      </c>
      <c r="L1185" s="22">
        <f>IF($N1185&lt;&gt;"",IF(INDEX(PCNotes,$N1185)="","—",INDEX(PCNotes,$N1185)),IF($O1185&lt;&gt;"",IF(INDEX(LdgNoteB,$O1185)="","—",INDEX(LdgNoteB,$O1185)),""))</f>
        <v/>
      </c>
      <c r="N1185">
        <f>IFERROR(MATCH($C$5&amp;"|"&amp;RIGHT("000000"&amp;1169,6),LdgRankKeyA,0),"")</f>
        <v/>
      </c>
      <c r="O1185">
        <f>IFERROR(MATCH($C$5&amp;"|"&amp;RIGHT("000000"&amp;1169,6),LdgRankKeyB,0),"")</f>
        <v/>
      </c>
    </row>
    <row r="1186">
      <c r="A1186" s="23" t="n">
        <v>1170</v>
      </c>
      <c r="B1186" s="24">
        <f>IF(AND($N1186="",$O1186=""),"",IF($N1186&lt;&gt;"",INDEX(PCNormDate,$N1186),INDEX(LdgDateB,$O1186)))</f>
        <v/>
      </c>
      <c r="C1186" s="24">
        <f>IF($N1186&lt;&gt;"",INDEX(PCOp,$N1186),IF($O1186&lt;&gt;"",IF(N(INDEX(TxnDepB,$O1186))&gt;0,"دریافت بانکی","پرداخت بانکی"),""))</f>
        <v/>
      </c>
      <c r="D1186" s="24">
        <f>IF($N1186&lt;&gt;"",IF(INDEX(PCDoc,$N1186)="","—",INDEX(PCDoc,$N1186)),IF($O1186&lt;&gt;"",INDEX(LdgBankB,$O1186),""))</f>
        <v/>
      </c>
      <c r="E1186" s="24">
        <f>IF($N1186&lt;&gt;"",IF(INDEX(PCCitrus,$N1186)="","—",INDEX(PCCitrus,$N1186)),"")</f>
        <v/>
      </c>
      <c r="F1186" s="25">
        <f>IF($N1186&lt;&gt;"",IF(INDEX(PCScale,$N1186)=0,"",INDEX(PCScale,$N1186)),"")</f>
        <v/>
      </c>
      <c r="G1186" s="25">
        <f>IF($N1186&lt;&gt;"",IF(INDEX(PCBaskets,$N1186)=0,"",INDEX(PCBaskets,$N1186)),"")</f>
        <v/>
      </c>
      <c r="H1186" s="26">
        <f>IF($N1186&lt;&gt;"",IF(INDEX(PCNet,$N1186)=0,"",INDEX(PCNet,$N1186)),"")</f>
        <v/>
      </c>
      <c r="I1186" s="25">
        <f>IF($N1186&lt;&gt;"",IF(INDEX(PCOp,$N1186)="مرجوعی خرید","",IF(INDEX(PCAmount,$N1186)&lt;=0,"",INDEX(PCAmount,$N1186))),IF($O1186&lt;&gt;"",IF(INDEX(TxnDepB,$O1186)=0,"",INDEX(TxnDepB,$O1186)),""))</f>
        <v/>
      </c>
      <c r="J1186" s="25">
        <f>IF($N1186&lt;&gt;"",IF(INDEX(PCOp,$N1186)="مرجوعی خرید",IF(INDEX(PCAmount,$N1186)=0,"",-INDEX(PCAmount,$N1186)),""),IF($O1186&lt;&gt;"",IF(INDEX(TxnWitB,$O1186)=0,"",INDEX(TxnWitB,$O1186)),""))</f>
        <v/>
      </c>
      <c r="K1186" s="27">
        <f>IF($B1186="","",IF($K1185="",$C$10,$K1185)+IF($I1186="",0,$I1186)-IF($J1186="",0,$J1186))</f>
        <v/>
      </c>
      <c r="L1186" s="28">
        <f>IF($N1186&lt;&gt;"",IF(INDEX(PCNotes,$N1186)="","—",INDEX(PCNotes,$N1186)),IF($O1186&lt;&gt;"",IF(INDEX(LdgNoteB,$O1186)="","—",INDEX(LdgNoteB,$O1186)),""))</f>
        <v/>
      </c>
      <c r="N1186">
        <f>IFERROR(MATCH($C$5&amp;"|"&amp;RIGHT("000000"&amp;1170,6),LdgRankKeyA,0),"")</f>
        <v/>
      </c>
      <c r="O1186">
        <f>IFERROR(MATCH($C$5&amp;"|"&amp;RIGHT("000000"&amp;1170,6),LdgRankKeyB,0),"")</f>
        <v/>
      </c>
    </row>
    <row r="1187">
      <c r="A1187" s="17" t="n">
        <v>1171</v>
      </c>
      <c r="B1187" s="18">
        <f>IF(AND($N1187="",$O1187=""),"",IF($N1187&lt;&gt;"",INDEX(PCNormDate,$N1187),INDEX(LdgDateB,$O1187)))</f>
        <v/>
      </c>
      <c r="C1187" s="18">
        <f>IF($N1187&lt;&gt;"",INDEX(PCOp,$N1187),IF($O1187&lt;&gt;"",IF(N(INDEX(TxnDepB,$O1187))&gt;0,"دریافت بانکی","پرداخت بانکی"),""))</f>
        <v/>
      </c>
      <c r="D1187" s="18">
        <f>IF($N1187&lt;&gt;"",IF(INDEX(PCDoc,$N1187)="","—",INDEX(PCDoc,$N1187)),IF($O1187&lt;&gt;"",INDEX(LdgBankB,$O1187),""))</f>
        <v/>
      </c>
      <c r="E1187" s="18">
        <f>IF($N1187&lt;&gt;"",IF(INDEX(PCCitrus,$N1187)="","—",INDEX(PCCitrus,$N1187)),"")</f>
        <v/>
      </c>
      <c r="F1187" s="19">
        <f>IF($N1187&lt;&gt;"",IF(INDEX(PCScale,$N1187)=0,"",INDEX(PCScale,$N1187)),"")</f>
        <v/>
      </c>
      <c r="G1187" s="19">
        <f>IF($N1187&lt;&gt;"",IF(INDEX(PCBaskets,$N1187)=0,"",INDEX(PCBaskets,$N1187)),"")</f>
        <v/>
      </c>
      <c r="H1187" s="20">
        <f>IF($N1187&lt;&gt;"",IF(INDEX(PCNet,$N1187)=0,"",INDEX(PCNet,$N1187)),"")</f>
        <v/>
      </c>
      <c r="I1187" s="19">
        <f>IF($N1187&lt;&gt;"",IF(INDEX(PCOp,$N1187)="مرجوعی خرید","",IF(INDEX(PCAmount,$N1187)&lt;=0,"",INDEX(PCAmount,$N1187))),IF($O1187&lt;&gt;"",IF(INDEX(TxnDepB,$O1187)=0,"",INDEX(TxnDepB,$O1187)),""))</f>
        <v/>
      </c>
      <c r="J1187" s="19">
        <f>IF($N1187&lt;&gt;"",IF(INDEX(PCOp,$N1187)="مرجوعی خرید",IF(INDEX(PCAmount,$N1187)=0,"",-INDEX(PCAmount,$N1187)),""),IF($O1187&lt;&gt;"",IF(INDEX(TxnWitB,$O1187)=0,"",INDEX(TxnWitB,$O1187)),""))</f>
        <v/>
      </c>
      <c r="K1187" s="21">
        <f>IF($B1187="","",IF($K1186="",$C$10,$K1186)+IF($I1187="",0,$I1187)-IF($J1187="",0,$J1187))</f>
        <v/>
      </c>
      <c r="L1187" s="22">
        <f>IF($N1187&lt;&gt;"",IF(INDEX(PCNotes,$N1187)="","—",INDEX(PCNotes,$N1187)),IF($O1187&lt;&gt;"",IF(INDEX(LdgNoteB,$O1187)="","—",INDEX(LdgNoteB,$O1187)),""))</f>
        <v/>
      </c>
      <c r="N1187">
        <f>IFERROR(MATCH($C$5&amp;"|"&amp;RIGHT("000000"&amp;1171,6),LdgRankKeyA,0),"")</f>
        <v/>
      </c>
      <c r="O1187">
        <f>IFERROR(MATCH($C$5&amp;"|"&amp;RIGHT("000000"&amp;1171,6),LdgRankKeyB,0),"")</f>
        <v/>
      </c>
    </row>
    <row r="1188">
      <c r="A1188" s="23" t="n">
        <v>1172</v>
      </c>
      <c r="B1188" s="24">
        <f>IF(AND($N1188="",$O1188=""),"",IF($N1188&lt;&gt;"",INDEX(PCNormDate,$N1188),INDEX(LdgDateB,$O1188)))</f>
        <v/>
      </c>
      <c r="C1188" s="24">
        <f>IF($N1188&lt;&gt;"",INDEX(PCOp,$N1188),IF($O1188&lt;&gt;"",IF(N(INDEX(TxnDepB,$O1188))&gt;0,"دریافت بانکی","پرداخت بانکی"),""))</f>
        <v/>
      </c>
      <c r="D1188" s="24">
        <f>IF($N1188&lt;&gt;"",IF(INDEX(PCDoc,$N1188)="","—",INDEX(PCDoc,$N1188)),IF($O1188&lt;&gt;"",INDEX(LdgBankB,$O1188),""))</f>
        <v/>
      </c>
      <c r="E1188" s="24">
        <f>IF($N1188&lt;&gt;"",IF(INDEX(PCCitrus,$N1188)="","—",INDEX(PCCitrus,$N1188)),"")</f>
        <v/>
      </c>
      <c r="F1188" s="25">
        <f>IF($N1188&lt;&gt;"",IF(INDEX(PCScale,$N1188)=0,"",INDEX(PCScale,$N1188)),"")</f>
        <v/>
      </c>
      <c r="G1188" s="25">
        <f>IF($N1188&lt;&gt;"",IF(INDEX(PCBaskets,$N1188)=0,"",INDEX(PCBaskets,$N1188)),"")</f>
        <v/>
      </c>
      <c r="H1188" s="26">
        <f>IF($N1188&lt;&gt;"",IF(INDEX(PCNet,$N1188)=0,"",INDEX(PCNet,$N1188)),"")</f>
        <v/>
      </c>
      <c r="I1188" s="25">
        <f>IF($N1188&lt;&gt;"",IF(INDEX(PCOp,$N1188)="مرجوعی خرید","",IF(INDEX(PCAmount,$N1188)&lt;=0,"",INDEX(PCAmount,$N1188))),IF($O1188&lt;&gt;"",IF(INDEX(TxnDepB,$O1188)=0,"",INDEX(TxnDepB,$O1188)),""))</f>
        <v/>
      </c>
      <c r="J1188" s="25">
        <f>IF($N1188&lt;&gt;"",IF(INDEX(PCOp,$N1188)="مرجوعی خرید",IF(INDEX(PCAmount,$N1188)=0,"",-INDEX(PCAmount,$N1188)),""),IF($O1188&lt;&gt;"",IF(INDEX(TxnWitB,$O1188)=0,"",INDEX(TxnWitB,$O1188)),""))</f>
        <v/>
      </c>
      <c r="K1188" s="27">
        <f>IF($B1188="","",IF($K1187="",$C$10,$K1187)+IF($I1188="",0,$I1188)-IF($J1188="",0,$J1188))</f>
        <v/>
      </c>
      <c r="L1188" s="28">
        <f>IF($N1188&lt;&gt;"",IF(INDEX(PCNotes,$N1188)="","—",INDEX(PCNotes,$N1188)),IF($O1188&lt;&gt;"",IF(INDEX(LdgNoteB,$O1188)="","—",INDEX(LdgNoteB,$O1188)),""))</f>
        <v/>
      </c>
      <c r="N1188">
        <f>IFERROR(MATCH($C$5&amp;"|"&amp;RIGHT("000000"&amp;1172,6),LdgRankKeyA,0),"")</f>
        <v/>
      </c>
      <c r="O1188">
        <f>IFERROR(MATCH($C$5&amp;"|"&amp;RIGHT("000000"&amp;1172,6),LdgRankKeyB,0),"")</f>
        <v/>
      </c>
    </row>
    <row r="1189">
      <c r="A1189" s="17" t="n">
        <v>1173</v>
      </c>
      <c r="B1189" s="18">
        <f>IF(AND($N1189="",$O1189=""),"",IF($N1189&lt;&gt;"",INDEX(PCNormDate,$N1189),INDEX(LdgDateB,$O1189)))</f>
        <v/>
      </c>
      <c r="C1189" s="18">
        <f>IF($N1189&lt;&gt;"",INDEX(PCOp,$N1189),IF($O1189&lt;&gt;"",IF(N(INDEX(TxnDepB,$O1189))&gt;0,"دریافت بانکی","پرداخت بانکی"),""))</f>
        <v/>
      </c>
      <c r="D1189" s="18">
        <f>IF($N1189&lt;&gt;"",IF(INDEX(PCDoc,$N1189)="","—",INDEX(PCDoc,$N1189)),IF($O1189&lt;&gt;"",INDEX(LdgBankB,$O1189),""))</f>
        <v/>
      </c>
      <c r="E1189" s="18">
        <f>IF($N1189&lt;&gt;"",IF(INDEX(PCCitrus,$N1189)="","—",INDEX(PCCitrus,$N1189)),"")</f>
        <v/>
      </c>
      <c r="F1189" s="19">
        <f>IF($N1189&lt;&gt;"",IF(INDEX(PCScale,$N1189)=0,"",INDEX(PCScale,$N1189)),"")</f>
        <v/>
      </c>
      <c r="G1189" s="19">
        <f>IF($N1189&lt;&gt;"",IF(INDEX(PCBaskets,$N1189)=0,"",INDEX(PCBaskets,$N1189)),"")</f>
        <v/>
      </c>
      <c r="H1189" s="20">
        <f>IF($N1189&lt;&gt;"",IF(INDEX(PCNet,$N1189)=0,"",INDEX(PCNet,$N1189)),"")</f>
        <v/>
      </c>
      <c r="I1189" s="19">
        <f>IF($N1189&lt;&gt;"",IF(INDEX(PCOp,$N1189)="مرجوعی خرید","",IF(INDEX(PCAmount,$N1189)&lt;=0,"",INDEX(PCAmount,$N1189))),IF($O1189&lt;&gt;"",IF(INDEX(TxnDepB,$O1189)=0,"",INDEX(TxnDepB,$O1189)),""))</f>
        <v/>
      </c>
      <c r="J1189" s="19">
        <f>IF($N1189&lt;&gt;"",IF(INDEX(PCOp,$N1189)="مرجوعی خرید",IF(INDEX(PCAmount,$N1189)=0,"",-INDEX(PCAmount,$N1189)),""),IF($O1189&lt;&gt;"",IF(INDEX(TxnWitB,$O1189)=0,"",INDEX(TxnWitB,$O1189)),""))</f>
        <v/>
      </c>
      <c r="K1189" s="21">
        <f>IF($B1189="","",IF($K1188="",$C$10,$K1188)+IF($I1189="",0,$I1189)-IF($J1189="",0,$J1189))</f>
        <v/>
      </c>
      <c r="L1189" s="22">
        <f>IF($N1189&lt;&gt;"",IF(INDEX(PCNotes,$N1189)="","—",INDEX(PCNotes,$N1189)),IF($O1189&lt;&gt;"",IF(INDEX(LdgNoteB,$O1189)="","—",INDEX(LdgNoteB,$O1189)),""))</f>
        <v/>
      </c>
      <c r="N1189">
        <f>IFERROR(MATCH($C$5&amp;"|"&amp;RIGHT("000000"&amp;1173,6),LdgRankKeyA,0),"")</f>
        <v/>
      </c>
      <c r="O1189">
        <f>IFERROR(MATCH($C$5&amp;"|"&amp;RIGHT("000000"&amp;1173,6),LdgRankKeyB,0),"")</f>
        <v/>
      </c>
    </row>
    <row r="1190">
      <c r="A1190" s="23" t="n">
        <v>1174</v>
      </c>
      <c r="B1190" s="24">
        <f>IF(AND($N1190="",$O1190=""),"",IF($N1190&lt;&gt;"",INDEX(PCNormDate,$N1190),INDEX(LdgDateB,$O1190)))</f>
        <v/>
      </c>
      <c r="C1190" s="24">
        <f>IF($N1190&lt;&gt;"",INDEX(PCOp,$N1190),IF($O1190&lt;&gt;"",IF(N(INDEX(TxnDepB,$O1190))&gt;0,"دریافت بانکی","پرداخت بانکی"),""))</f>
        <v/>
      </c>
      <c r="D1190" s="24">
        <f>IF($N1190&lt;&gt;"",IF(INDEX(PCDoc,$N1190)="","—",INDEX(PCDoc,$N1190)),IF($O1190&lt;&gt;"",INDEX(LdgBankB,$O1190),""))</f>
        <v/>
      </c>
      <c r="E1190" s="24">
        <f>IF($N1190&lt;&gt;"",IF(INDEX(PCCitrus,$N1190)="","—",INDEX(PCCitrus,$N1190)),"")</f>
        <v/>
      </c>
      <c r="F1190" s="25">
        <f>IF($N1190&lt;&gt;"",IF(INDEX(PCScale,$N1190)=0,"",INDEX(PCScale,$N1190)),"")</f>
        <v/>
      </c>
      <c r="G1190" s="25">
        <f>IF($N1190&lt;&gt;"",IF(INDEX(PCBaskets,$N1190)=0,"",INDEX(PCBaskets,$N1190)),"")</f>
        <v/>
      </c>
      <c r="H1190" s="26">
        <f>IF($N1190&lt;&gt;"",IF(INDEX(PCNet,$N1190)=0,"",INDEX(PCNet,$N1190)),"")</f>
        <v/>
      </c>
      <c r="I1190" s="25">
        <f>IF($N1190&lt;&gt;"",IF(INDEX(PCOp,$N1190)="مرجوعی خرید","",IF(INDEX(PCAmount,$N1190)&lt;=0,"",INDEX(PCAmount,$N1190))),IF($O1190&lt;&gt;"",IF(INDEX(TxnDepB,$O1190)=0,"",INDEX(TxnDepB,$O1190)),""))</f>
        <v/>
      </c>
      <c r="J1190" s="25">
        <f>IF($N1190&lt;&gt;"",IF(INDEX(PCOp,$N1190)="مرجوعی خرید",IF(INDEX(PCAmount,$N1190)=0,"",-INDEX(PCAmount,$N1190)),""),IF($O1190&lt;&gt;"",IF(INDEX(TxnWitB,$O1190)=0,"",INDEX(TxnWitB,$O1190)),""))</f>
        <v/>
      </c>
      <c r="K1190" s="27">
        <f>IF($B1190="","",IF($K1189="",$C$10,$K1189)+IF($I1190="",0,$I1190)-IF($J1190="",0,$J1190))</f>
        <v/>
      </c>
      <c r="L1190" s="28">
        <f>IF($N1190&lt;&gt;"",IF(INDEX(PCNotes,$N1190)="","—",INDEX(PCNotes,$N1190)),IF($O1190&lt;&gt;"",IF(INDEX(LdgNoteB,$O1190)="","—",INDEX(LdgNoteB,$O1190)),""))</f>
        <v/>
      </c>
      <c r="N1190">
        <f>IFERROR(MATCH($C$5&amp;"|"&amp;RIGHT("000000"&amp;1174,6),LdgRankKeyA,0),"")</f>
        <v/>
      </c>
      <c r="O1190">
        <f>IFERROR(MATCH($C$5&amp;"|"&amp;RIGHT("000000"&amp;1174,6),LdgRankKeyB,0),"")</f>
        <v/>
      </c>
    </row>
    <row r="1191">
      <c r="A1191" s="17" t="n">
        <v>1175</v>
      </c>
      <c r="B1191" s="18">
        <f>IF(AND($N1191="",$O1191=""),"",IF($N1191&lt;&gt;"",INDEX(PCNormDate,$N1191),INDEX(LdgDateB,$O1191)))</f>
        <v/>
      </c>
      <c r="C1191" s="18">
        <f>IF($N1191&lt;&gt;"",INDEX(PCOp,$N1191),IF($O1191&lt;&gt;"",IF(N(INDEX(TxnDepB,$O1191))&gt;0,"دریافت بانکی","پرداخت بانکی"),""))</f>
        <v/>
      </c>
      <c r="D1191" s="18">
        <f>IF($N1191&lt;&gt;"",IF(INDEX(PCDoc,$N1191)="","—",INDEX(PCDoc,$N1191)),IF($O1191&lt;&gt;"",INDEX(LdgBankB,$O1191),""))</f>
        <v/>
      </c>
      <c r="E1191" s="18">
        <f>IF($N1191&lt;&gt;"",IF(INDEX(PCCitrus,$N1191)="","—",INDEX(PCCitrus,$N1191)),"")</f>
        <v/>
      </c>
      <c r="F1191" s="19">
        <f>IF($N1191&lt;&gt;"",IF(INDEX(PCScale,$N1191)=0,"",INDEX(PCScale,$N1191)),"")</f>
        <v/>
      </c>
      <c r="G1191" s="19">
        <f>IF($N1191&lt;&gt;"",IF(INDEX(PCBaskets,$N1191)=0,"",INDEX(PCBaskets,$N1191)),"")</f>
        <v/>
      </c>
      <c r="H1191" s="20">
        <f>IF($N1191&lt;&gt;"",IF(INDEX(PCNet,$N1191)=0,"",INDEX(PCNet,$N1191)),"")</f>
        <v/>
      </c>
      <c r="I1191" s="19">
        <f>IF($N1191&lt;&gt;"",IF(INDEX(PCOp,$N1191)="مرجوعی خرید","",IF(INDEX(PCAmount,$N1191)&lt;=0,"",INDEX(PCAmount,$N1191))),IF($O1191&lt;&gt;"",IF(INDEX(TxnDepB,$O1191)=0,"",INDEX(TxnDepB,$O1191)),""))</f>
        <v/>
      </c>
      <c r="J1191" s="19">
        <f>IF($N1191&lt;&gt;"",IF(INDEX(PCOp,$N1191)="مرجوعی خرید",IF(INDEX(PCAmount,$N1191)=0,"",-INDEX(PCAmount,$N1191)),""),IF($O1191&lt;&gt;"",IF(INDEX(TxnWitB,$O1191)=0,"",INDEX(TxnWitB,$O1191)),""))</f>
        <v/>
      </c>
      <c r="K1191" s="21">
        <f>IF($B1191="","",IF($K1190="",$C$10,$K1190)+IF($I1191="",0,$I1191)-IF($J1191="",0,$J1191))</f>
        <v/>
      </c>
      <c r="L1191" s="22">
        <f>IF($N1191&lt;&gt;"",IF(INDEX(PCNotes,$N1191)="","—",INDEX(PCNotes,$N1191)),IF($O1191&lt;&gt;"",IF(INDEX(LdgNoteB,$O1191)="","—",INDEX(LdgNoteB,$O1191)),""))</f>
        <v/>
      </c>
      <c r="N1191">
        <f>IFERROR(MATCH($C$5&amp;"|"&amp;RIGHT("000000"&amp;1175,6),LdgRankKeyA,0),"")</f>
        <v/>
      </c>
      <c r="O1191">
        <f>IFERROR(MATCH($C$5&amp;"|"&amp;RIGHT("000000"&amp;1175,6),LdgRankKeyB,0),"")</f>
        <v/>
      </c>
    </row>
    <row r="1192">
      <c r="A1192" s="23" t="n">
        <v>1176</v>
      </c>
      <c r="B1192" s="24">
        <f>IF(AND($N1192="",$O1192=""),"",IF($N1192&lt;&gt;"",INDEX(PCNormDate,$N1192),INDEX(LdgDateB,$O1192)))</f>
        <v/>
      </c>
      <c r="C1192" s="24">
        <f>IF($N1192&lt;&gt;"",INDEX(PCOp,$N1192),IF($O1192&lt;&gt;"",IF(N(INDEX(TxnDepB,$O1192))&gt;0,"دریافت بانکی","پرداخت بانکی"),""))</f>
        <v/>
      </c>
      <c r="D1192" s="24">
        <f>IF($N1192&lt;&gt;"",IF(INDEX(PCDoc,$N1192)="","—",INDEX(PCDoc,$N1192)),IF($O1192&lt;&gt;"",INDEX(LdgBankB,$O1192),""))</f>
        <v/>
      </c>
      <c r="E1192" s="24">
        <f>IF($N1192&lt;&gt;"",IF(INDEX(PCCitrus,$N1192)="","—",INDEX(PCCitrus,$N1192)),"")</f>
        <v/>
      </c>
      <c r="F1192" s="25">
        <f>IF($N1192&lt;&gt;"",IF(INDEX(PCScale,$N1192)=0,"",INDEX(PCScale,$N1192)),"")</f>
        <v/>
      </c>
      <c r="G1192" s="25">
        <f>IF($N1192&lt;&gt;"",IF(INDEX(PCBaskets,$N1192)=0,"",INDEX(PCBaskets,$N1192)),"")</f>
        <v/>
      </c>
      <c r="H1192" s="26">
        <f>IF($N1192&lt;&gt;"",IF(INDEX(PCNet,$N1192)=0,"",INDEX(PCNet,$N1192)),"")</f>
        <v/>
      </c>
      <c r="I1192" s="25">
        <f>IF($N1192&lt;&gt;"",IF(INDEX(PCOp,$N1192)="مرجوعی خرید","",IF(INDEX(PCAmount,$N1192)&lt;=0,"",INDEX(PCAmount,$N1192))),IF($O1192&lt;&gt;"",IF(INDEX(TxnDepB,$O1192)=0,"",INDEX(TxnDepB,$O1192)),""))</f>
        <v/>
      </c>
      <c r="J1192" s="25">
        <f>IF($N1192&lt;&gt;"",IF(INDEX(PCOp,$N1192)="مرجوعی خرید",IF(INDEX(PCAmount,$N1192)=0,"",-INDEX(PCAmount,$N1192)),""),IF($O1192&lt;&gt;"",IF(INDEX(TxnWitB,$O1192)=0,"",INDEX(TxnWitB,$O1192)),""))</f>
        <v/>
      </c>
      <c r="K1192" s="27">
        <f>IF($B1192="","",IF($K1191="",$C$10,$K1191)+IF($I1192="",0,$I1192)-IF($J1192="",0,$J1192))</f>
        <v/>
      </c>
      <c r="L1192" s="28">
        <f>IF($N1192&lt;&gt;"",IF(INDEX(PCNotes,$N1192)="","—",INDEX(PCNotes,$N1192)),IF($O1192&lt;&gt;"",IF(INDEX(LdgNoteB,$O1192)="","—",INDEX(LdgNoteB,$O1192)),""))</f>
        <v/>
      </c>
      <c r="N1192">
        <f>IFERROR(MATCH($C$5&amp;"|"&amp;RIGHT("000000"&amp;1176,6),LdgRankKeyA,0),"")</f>
        <v/>
      </c>
      <c r="O1192">
        <f>IFERROR(MATCH($C$5&amp;"|"&amp;RIGHT("000000"&amp;1176,6),LdgRankKeyB,0),"")</f>
        <v/>
      </c>
    </row>
    <row r="1193">
      <c r="A1193" s="17" t="n">
        <v>1177</v>
      </c>
      <c r="B1193" s="18">
        <f>IF(AND($N1193="",$O1193=""),"",IF($N1193&lt;&gt;"",INDEX(PCNormDate,$N1193),INDEX(LdgDateB,$O1193)))</f>
        <v/>
      </c>
      <c r="C1193" s="18">
        <f>IF($N1193&lt;&gt;"",INDEX(PCOp,$N1193),IF($O1193&lt;&gt;"",IF(N(INDEX(TxnDepB,$O1193))&gt;0,"دریافت بانکی","پرداخت بانکی"),""))</f>
        <v/>
      </c>
      <c r="D1193" s="18">
        <f>IF($N1193&lt;&gt;"",IF(INDEX(PCDoc,$N1193)="","—",INDEX(PCDoc,$N1193)),IF($O1193&lt;&gt;"",INDEX(LdgBankB,$O1193),""))</f>
        <v/>
      </c>
      <c r="E1193" s="18">
        <f>IF($N1193&lt;&gt;"",IF(INDEX(PCCitrus,$N1193)="","—",INDEX(PCCitrus,$N1193)),"")</f>
        <v/>
      </c>
      <c r="F1193" s="19">
        <f>IF($N1193&lt;&gt;"",IF(INDEX(PCScale,$N1193)=0,"",INDEX(PCScale,$N1193)),"")</f>
        <v/>
      </c>
      <c r="G1193" s="19">
        <f>IF($N1193&lt;&gt;"",IF(INDEX(PCBaskets,$N1193)=0,"",INDEX(PCBaskets,$N1193)),"")</f>
        <v/>
      </c>
      <c r="H1193" s="20">
        <f>IF($N1193&lt;&gt;"",IF(INDEX(PCNet,$N1193)=0,"",INDEX(PCNet,$N1193)),"")</f>
        <v/>
      </c>
      <c r="I1193" s="19">
        <f>IF($N1193&lt;&gt;"",IF(INDEX(PCOp,$N1193)="مرجوعی خرید","",IF(INDEX(PCAmount,$N1193)&lt;=0,"",INDEX(PCAmount,$N1193))),IF($O1193&lt;&gt;"",IF(INDEX(TxnDepB,$O1193)=0,"",INDEX(TxnDepB,$O1193)),""))</f>
        <v/>
      </c>
      <c r="J1193" s="19">
        <f>IF($N1193&lt;&gt;"",IF(INDEX(PCOp,$N1193)="مرجوعی خرید",IF(INDEX(PCAmount,$N1193)=0,"",-INDEX(PCAmount,$N1193)),""),IF($O1193&lt;&gt;"",IF(INDEX(TxnWitB,$O1193)=0,"",INDEX(TxnWitB,$O1193)),""))</f>
        <v/>
      </c>
      <c r="K1193" s="21">
        <f>IF($B1193="","",IF($K1192="",$C$10,$K1192)+IF($I1193="",0,$I1193)-IF($J1193="",0,$J1193))</f>
        <v/>
      </c>
      <c r="L1193" s="22">
        <f>IF($N1193&lt;&gt;"",IF(INDEX(PCNotes,$N1193)="","—",INDEX(PCNotes,$N1193)),IF($O1193&lt;&gt;"",IF(INDEX(LdgNoteB,$O1193)="","—",INDEX(LdgNoteB,$O1193)),""))</f>
        <v/>
      </c>
      <c r="N1193">
        <f>IFERROR(MATCH($C$5&amp;"|"&amp;RIGHT("000000"&amp;1177,6),LdgRankKeyA,0),"")</f>
        <v/>
      </c>
      <c r="O1193">
        <f>IFERROR(MATCH($C$5&amp;"|"&amp;RIGHT("000000"&amp;1177,6),LdgRankKeyB,0),"")</f>
        <v/>
      </c>
    </row>
    <row r="1194">
      <c r="A1194" s="23" t="n">
        <v>1178</v>
      </c>
      <c r="B1194" s="24">
        <f>IF(AND($N1194="",$O1194=""),"",IF($N1194&lt;&gt;"",INDEX(PCNormDate,$N1194),INDEX(LdgDateB,$O1194)))</f>
        <v/>
      </c>
      <c r="C1194" s="24">
        <f>IF($N1194&lt;&gt;"",INDEX(PCOp,$N1194),IF($O1194&lt;&gt;"",IF(N(INDEX(TxnDepB,$O1194))&gt;0,"دریافت بانکی","پرداخت بانکی"),""))</f>
        <v/>
      </c>
      <c r="D1194" s="24">
        <f>IF($N1194&lt;&gt;"",IF(INDEX(PCDoc,$N1194)="","—",INDEX(PCDoc,$N1194)),IF($O1194&lt;&gt;"",INDEX(LdgBankB,$O1194),""))</f>
        <v/>
      </c>
      <c r="E1194" s="24">
        <f>IF($N1194&lt;&gt;"",IF(INDEX(PCCitrus,$N1194)="","—",INDEX(PCCitrus,$N1194)),"")</f>
        <v/>
      </c>
      <c r="F1194" s="25">
        <f>IF($N1194&lt;&gt;"",IF(INDEX(PCScale,$N1194)=0,"",INDEX(PCScale,$N1194)),"")</f>
        <v/>
      </c>
      <c r="G1194" s="25">
        <f>IF($N1194&lt;&gt;"",IF(INDEX(PCBaskets,$N1194)=0,"",INDEX(PCBaskets,$N1194)),"")</f>
        <v/>
      </c>
      <c r="H1194" s="26">
        <f>IF($N1194&lt;&gt;"",IF(INDEX(PCNet,$N1194)=0,"",INDEX(PCNet,$N1194)),"")</f>
        <v/>
      </c>
      <c r="I1194" s="25">
        <f>IF($N1194&lt;&gt;"",IF(INDEX(PCOp,$N1194)="مرجوعی خرید","",IF(INDEX(PCAmount,$N1194)&lt;=0,"",INDEX(PCAmount,$N1194))),IF($O1194&lt;&gt;"",IF(INDEX(TxnDepB,$O1194)=0,"",INDEX(TxnDepB,$O1194)),""))</f>
        <v/>
      </c>
      <c r="J1194" s="25">
        <f>IF($N1194&lt;&gt;"",IF(INDEX(PCOp,$N1194)="مرجوعی خرید",IF(INDEX(PCAmount,$N1194)=0,"",-INDEX(PCAmount,$N1194)),""),IF($O1194&lt;&gt;"",IF(INDEX(TxnWitB,$O1194)=0,"",INDEX(TxnWitB,$O1194)),""))</f>
        <v/>
      </c>
      <c r="K1194" s="27">
        <f>IF($B1194="","",IF($K1193="",$C$10,$K1193)+IF($I1194="",0,$I1194)-IF($J1194="",0,$J1194))</f>
        <v/>
      </c>
      <c r="L1194" s="28">
        <f>IF($N1194&lt;&gt;"",IF(INDEX(PCNotes,$N1194)="","—",INDEX(PCNotes,$N1194)),IF($O1194&lt;&gt;"",IF(INDEX(LdgNoteB,$O1194)="","—",INDEX(LdgNoteB,$O1194)),""))</f>
        <v/>
      </c>
      <c r="N1194">
        <f>IFERROR(MATCH($C$5&amp;"|"&amp;RIGHT("000000"&amp;1178,6),LdgRankKeyA,0),"")</f>
        <v/>
      </c>
      <c r="O1194">
        <f>IFERROR(MATCH($C$5&amp;"|"&amp;RIGHT("000000"&amp;1178,6),LdgRankKeyB,0),"")</f>
        <v/>
      </c>
    </row>
    <row r="1195">
      <c r="A1195" s="17" t="n">
        <v>1179</v>
      </c>
      <c r="B1195" s="18">
        <f>IF(AND($N1195="",$O1195=""),"",IF($N1195&lt;&gt;"",INDEX(PCNormDate,$N1195),INDEX(LdgDateB,$O1195)))</f>
        <v/>
      </c>
      <c r="C1195" s="18">
        <f>IF($N1195&lt;&gt;"",INDEX(PCOp,$N1195),IF($O1195&lt;&gt;"",IF(N(INDEX(TxnDepB,$O1195))&gt;0,"دریافت بانکی","پرداخت بانکی"),""))</f>
        <v/>
      </c>
      <c r="D1195" s="18">
        <f>IF($N1195&lt;&gt;"",IF(INDEX(PCDoc,$N1195)="","—",INDEX(PCDoc,$N1195)),IF($O1195&lt;&gt;"",INDEX(LdgBankB,$O1195),""))</f>
        <v/>
      </c>
      <c r="E1195" s="18">
        <f>IF($N1195&lt;&gt;"",IF(INDEX(PCCitrus,$N1195)="","—",INDEX(PCCitrus,$N1195)),"")</f>
        <v/>
      </c>
      <c r="F1195" s="19">
        <f>IF($N1195&lt;&gt;"",IF(INDEX(PCScale,$N1195)=0,"",INDEX(PCScale,$N1195)),"")</f>
        <v/>
      </c>
      <c r="G1195" s="19">
        <f>IF($N1195&lt;&gt;"",IF(INDEX(PCBaskets,$N1195)=0,"",INDEX(PCBaskets,$N1195)),"")</f>
        <v/>
      </c>
      <c r="H1195" s="20">
        <f>IF($N1195&lt;&gt;"",IF(INDEX(PCNet,$N1195)=0,"",INDEX(PCNet,$N1195)),"")</f>
        <v/>
      </c>
      <c r="I1195" s="19">
        <f>IF($N1195&lt;&gt;"",IF(INDEX(PCOp,$N1195)="مرجوعی خرید","",IF(INDEX(PCAmount,$N1195)&lt;=0,"",INDEX(PCAmount,$N1195))),IF($O1195&lt;&gt;"",IF(INDEX(TxnDepB,$O1195)=0,"",INDEX(TxnDepB,$O1195)),""))</f>
        <v/>
      </c>
      <c r="J1195" s="19">
        <f>IF($N1195&lt;&gt;"",IF(INDEX(PCOp,$N1195)="مرجوعی خرید",IF(INDEX(PCAmount,$N1195)=0,"",-INDEX(PCAmount,$N1195)),""),IF($O1195&lt;&gt;"",IF(INDEX(TxnWitB,$O1195)=0,"",INDEX(TxnWitB,$O1195)),""))</f>
        <v/>
      </c>
      <c r="K1195" s="21">
        <f>IF($B1195="","",IF($K1194="",$C$10,$K1194)+IF($I1195="",0,$I1195)-IF($J1195="",0,$J1195))</f>
        <v/>
      </c>
      <c r="L1195" s="22">
        <f>IF($N1195&lt;&gt;"",IF(INDEX(PCNotes,$N1195)="","—",INDEX(PCNotes,$N1195)),IF($O1195&lt;&gt;"",IF(INDEX(LdgNoteB,$O1195)="","—",INDEX(LdgNoteB,$O1195)),""))</f>
        <v/>
      </c>
      <c r="N1195">
        <f>IFERROR(MATCH($C$5&amp;"|"&amp;RIGHT("000000"&amp;1179,6),LdgRankKeyA,0),"")</f>
        <v/>
      </c>
      <c r="O1195">
        <f>IFERROR(MATCH($C$5&amp;"|"&amp;RIGHT("000000"&amp;1179,6),LdgRankKeyB,0),"")</f>
        <v/>
      </c>
    </row>
    <row r="1196">
      <c r="A1196" s="23" t="n">
        <v>1180</v>
      </c>
      <c r="B1196" s="24">
        <f>IF(AND($N1196="",$O1196=""),"",IF($N1196&lt;&gt;"",INDEX(PCNormDate,$N1196),INDEX(LdgDateB,$O1196)))</f>
        <v/>
      </c>
      <c r="C1196" s="24">
        <f>IF($N1196&lt;&gt;"",INDEX(PCOp,$N1196),IF($O1196&lt;&gt;"",IF(N(INDEX(TxnDepB,$O1196))&gt;0,"دریافت بانکی","پرداخت بانکی"),""))</f>
        <v/>
      </c>
      <c r="D1196" s="24">
        <f>IF($N1196&lt;&gt;"",IF(INDEX(PCDoc,$N1196)="","—",INDEX(PCDoc,$N1196)),IF($O1196&lt;&gt;"",INDEX(LdgBankB,$O1196),""))</f>
        <v/>
      </c>
      <c r="E1196" s="24">
        <f>IF($N1196&lt;&gt;"",IF(INDEX(PCCitrus,$N1196)="","—",INDEX(PCCitrus,$N1196)),"")</f>
        <v/>
      </c>
      <c r="F1196" s="25">
        <f>IF($N1196&lt;&gt;"",IF(INDEX(PCScale,$N1196)=0,"",INDEX(PCScale,$N1196)),"")</f>
        <v/>
      </c>
      <c r="G1196" s="25">
        <f>IF($N1196&lt;&gt;"",IF(INDEX(PCBaskets,$N1196)=0,"",INDEX(PCBaskets,$N1196)),"")</f>
        <v/>
      </c>
      <c r="H1196" s="26">
        <f>IF($N1196&lt;&gt;"",IF(INDEX(PCNet,$N1196)=0,"",INDEX(PCNet,$N1196)),"")</f>
        <v/>
      </c>
      <c r="I1196" s="25">
        <f>IF($N1196&lt;&gt;"",IF(INDEX(PCOp,$N1196)="مرجوعی خرید","",IF(INDEX(PCAmount,$N1196)&lt;=0,"",INDEX(PCAmount,$N1196))),IF($O1196&lt;&gt;"",IF(INDEX(TxnDepB,$O1196)=0,"",INDEX(TxnDepB,$O1196)),""))</f>
        <v/>
      </c>
      <c r="J1196" s="25">
        <f>IF($N1196&lt;&gt;"",IF(INDEX(PCOp,$N1196)="مرجوعی خرید",IF(INDEX(PCAmount,$N1196)=0,"",-INDEX(PCAmount,$N1196)),""),IF($O1196&lt;&gt;"",IF(INDEX(TxnWitB,$O1196)=0,"",INDEX(TxnWitB,$O1196)),""))</f>
        <v/>
      </c>
      <c r="K1196" s="27">
        <f>IF($B1196="","",IF($K1195="",$C$10,$K1195)+IF($I1196="",0,$I1196)-IF($J1196="",0,$J1196))</f>
        <v/>
      </c>
      <c r="L1196" s="28">
        <f>IF($N1196&lt;&gt;"",IF(INDEX(PCNotes,$N1196)="","—",INDEX(PCNotes,$N1196)),IF($O1196&lt;&gt;"",IF(INDEX(LdgNoteB,$O1196)="","—",INDEX(LdgNoteB,$O1196)),""))</f>
        <v/>
      </c>
      <c r="N1196">
        <f>IFERROR(MATCH($C$5&amp;"|"&amp;RIGHT("000000"&amp;1180,6),LdgRankKeyA,0),"")</f>
        <v/>
      </c>
      <c r="O1196">
        <f>IFERROR(MATCH($C$5&amp;"|"&amp;RIGHT("000000"&amp;1180,6),LdgRankKeyB,0),"")</f>
        <v/>
      </c>
    </row>
    <row r="1197">
      <c r="A1197" s="17" t="n">
        <v>1181</v>
      </c>
      <c r="B1197" s="18">
        <f>IF(AND($N1197="",$O1197=""),"",IF($N1197&lt;&gt;"",INDEX(PCNormDate,$N1197),INDEX(LdgDateB,$O1197)))</f>
        <v/>
      </c>
      <c r="C1197" s="18">
        <f>IF($N1197&lt;&gt;"",INDEX(PCOp,$N1197),IF($O1197&lt;&gt;"",IF(N(INDEX(TxnDepB,$O1197))&gt;0,"دریافت بانکی","پرداخت بانکی"),""))</f>
        <v/>
      </c>
      <c r="D1197" s="18">
        <f>IF($N1197&lt;&gt;"",IF(INDEX(PCDoc,$N1197)="","—",INDEX(PCDoc,$N1197)),IF($O1197&lt;&gt;"",INDEX(LdgBankB,$O1197),""))</f>
        <v/>
      </c>
      <c r="E1197" s="18">
        <f>IF($N1197&lt;&gt;"",IF(INDEX(PCCitrus,$N1197)="","—",INDEX(PCCitrus,$N1197)),"")</f>
        <v/>
      </c>
      <c r="F1197" s="19">
        <f>IF($N1197&lt;&gt;"",IF(INDEX(PCScale,$N1197)=0,"",INDEX(PCScale,$N1197)),"")</f>
        <v/>
      </c>
      <c r="G1197" s="19">
        <f>IF($N1197&lt;&gt;"",IF(INDEX(PCBaskets,$N1197)=0,"",INDEX(PCBaskets,$N1197)),"")</f>
        <v/>
      </c>
      <c r="H1197" s="20">
        <f>IF($N1197&lt;&gt;"",IF(INDEX(PCNet,$N1197)=0,"",INDEX(PCNet,$N1197)),"")</f>
        <v/>
      </c>
      <c r="I1197" s="19">
        <f>IF($N1197&lt;&gt;"",IF(INDEX(PCOp,$N1197)="مرجوعی خرید","",IF(INDEX(PCAmount,$N1197)&lt;=0,"",INDEX(PCAmount,$N1197))),IF($O1197&lt;&gt;"",IF(INDEX(TxnDepB,$O1197)=0,"",INDEX(TxnDepB,$O1197)),""))</f>
        <v/>
      </c>
      <c r="J1197" s="19">
        <f>IF($N1197&lt;&gt;"",IF(INDEX(PCOp,$N1197)="مرجوعی خرید",IF(INDEX(PCAmount,$N1197)=0,"",-INDEX(PCAmount,$N1197)),""),IF($O1197&lt;&gt;"",IF(INDEX(TxnWitB,$O1197)=0,"",INDEX(TxnWitB,$O1197)),""))</f>
        <v/>
      </c>
      <c r="K1197" s="21">
        <f>IF($B1197="","",IF($K1196="",$C$10,$K1196)+IF($I1197="",0,$I1197)-IF($J1197="",0,$J1197))</f>
        <v/>
      </c>
      <c r="L1197" s="22">
        <f>IF($N1197&lt;&gt;"",IF(INDEX(PCNotes,$N1197)="","—",INDEX(PCNotes,$N1197)),IF($O1197&lt;&gt;"",IF(INDEX(LdgNoteB,$O1197)="","—",INDEX(LdgNoteB,$O1197)),""))</f>
        <v/>
      </c>
      <c r="N1197">
        <f>IFERROR(MATCH($C$5&amp;"|"&amp;RIGHT("000000"&amp;1181,6),LdgRankKeyA,0),"")</f>
        <v/>
      </c>
      <c r="O1197">
        <f>IFERROR(MATCH($C$5&amp;"|"&amp;RIGHT("000000"&amp;1181,6),LdgRankKeyB,0),"")</f>
        <v/>
      </c>
    </row>
    <row r="1198">
      <c r="A1198" s="23" t="n">
        <v>1182</v>
      </c>
      <c r="B1198" s="24">
        <f>IF(AND($N1198="",$O1198=""),"",IF($N1198&lt;&gt;"",INDEX(PCNormDate,$N1198),INDEX(LdgDateB,$O1198)))</f>
        <v/>
      </c>
      <c r="C1198" s="24">
        <f>IF($N1198&lt;&gt;"",INDEX(PCOp,$N1198),IF($O1198&lt;&gt;"",IF(N(INDEX(TxnDepB,$O1198))&gt;0,"دریافت بانکی","پرداخت بانکی"),""))</f>
        <v/>
      </c>
      <c r="D1198" s="24">
        <f>IF($N1198&lt;&gt;"",IF(INDEX(PCDoc,$N1198)="","—",INDEX(PCDoc,$N1198)),IF($O1198&lt;&gt;"",INDEX(LdgBankB,$O1198),""))</f>
        <v/>
      </c>
      <c r="E1198" s="24">
        <f>IF($N1198&lt;&gt;"",IF(INDEX(PCCitrus,$N1198)="","—",INDEX(PCCitrus,$N1198)),"")</f>
        <v/>
      </c>
      <c r="F1198" s="25">
        <f>IF($N1198&lt;&gt;"",IF(INDEX(PCScale,$N1198)=0,"",INDEX(PCScale,$N1198)),"")</f>
        <v/>
      </c>
      <c r="G1198" s="25">
        <f>IF($N1198&lt;&gt;"",IF(INDEX(PCBaskets,$N1198)=0,"",INDEX(PCBaskets,$N1198)),"")</f>
        <v/>
      </c>
      <c r="H1198" s="26">
        <f>IF($N1198&lt;&gt;"",IF(INDEX(PCNet,$N1198)=0,"",INDEX(PCNet,$N1198)),"")</f>
        <v/>
      </c>
      <c r="I1198" s="25">
        <f>IF($N1198&lt;&gt;"",IF(INDEX(PCOp,$N1198)="مرجوعی خرید","",IF(INDEX(PCAmount,$N1198)&lt;=0,"",INDEX(PCAmount,$N1198))),IF($O1198&lt;&gt;"",IF(INDEX(TxnDepB,$O1198)=0,"",INDEX(TxnDepB,$O1198)),""))</f>
        <v/>
      </c>
      <c r="J1198" s="25">
        <f>IF($N1198&lt;&gt;"",IF(INDEX(PCOp,$N1198)="مرجوعی خرید",IF(INDEX(PCAmount,$N1198)=0,"",-INDEX(PCAmount,$N1198)),""),IF($O1198&lt;&gt;"",IF(INDEX(TxnWitB,$O1198)=0,"",INDEX(TxnWitB,$O1198)),""))</f>
        <v/>
      </c>
      <c r="K1198" s="27">
        <f>IF($B1198="","",IF($K1197="",$C$10,$K1197)+IF($I1198="",0,$I1198)-IF($J1198="",0,$J1198))</f>
        <v/>
      </c>
      <c r="L1198" s="28">
        <f>IF($N1198&lt;&gt;"",IF(INDEX(PCNotes,$N1198)="","—",INDEX(PCNotes,$N1198)),IF($O1198&lt;&gt;"",IF(INDEX(LdgNoteB,$O1198)="","—",INDEX(LdgNoteB,$O1198)),""))</f>
        <v/>
      </c>
      <c r="N1198">
        <f>IFERROR(MATCH($C$5&amp;"|"&amp;RIGHT("000000"&amp;1182,6),LdgRankKeyA,0),"")</f>
        <v/>
      </c>
      <c r="O1198">
        <f>IFERROR(MATCH($C$5&amp;"|"&amp;RIGHT("000000"&amp;1182,6),LdgRankKeyB,0),"")</f>
        <v/>
      </c>
    </row>
    <row r="1199">
      <c r="A1199" s="17" t="n">
        <v>1183</v>
      </c>
      <c r="B1199" s="18">
        <f>IF(AND($N1199="",$O1199=""),"",IF($N1199&lt;&gt;"",INDEX(PCNormDate,$N1199),INDEX(LdgDateB,$O1199)))</f>
        <v/>
      </c>
      <c r="C1199" s="18">
        <f>IF($N1199&lt;&gt;"",INDEX(PCOp,$N1199),IF($O1199&lt;&gt;"",IF(N(INDEX(TxnDepB,$O1199))&gt;0,"دریافت بانکی","پرداخت بانکی"),""))</f>
        <v/>
      </c>
      <c r="D1199" s="18">
        <f>IF($N1199&lt;&gt;"",IF(INDEX(PCDoc,$N1199)="","—",INDEX(PCDoc,$N1199)),IF($O1199&lt;&gt;"",INDEX(LdgBankB,$O1199),""))</f>
        <v/>
      </c>
      <c r="E1199" s="18">
        <f>IF($N1199&lt;&gt;"",IF(INDEX(PCCitrus,$N1199)="","—",INDEX(PCCitrus,$N1199)),"")</f>
        <v/>
      </c>
      <c r="F1199" s="19">
        <f>IF($N1199&lt;&gt;"",IF(INDEX(PCScale,$N1199)=0,"",INDEX(PCScale,$N1199)),"")</f>
        <v/>
      </c>
      <c r="G1199" s="19">
        <f>IF($N1199&lt;&gt;"",IF(INDEX(PCBaskets,$N1199)=0,"",INDEX(PCBaskets,$N1199)),"")</f>
        <v/>
      </c>
      <c r="H1199" s="20">
        <f>IF($N1199&lt;&gt;"",IF(INDEX(PCNet,$N1199)=0,"",INDEX(PCNet,$N1199)),"")</f>
        <v/>
      </c>
      <c r="I1199" s="19">
        <f>IF($N1199&lt;&gt;"",IF(INDEX(PCOp,$N1199)="مرجوعی خرید","",IF(INDEX(PCAmount,$N1199)&lt;=0,"",INDEX(PCAmount,$N1199))),IF($O1199&lt;&gt;"",IF(INDEX(TxnDepB,$O1199)=0,"",INDEX(TxnDepB,$O1199)),""))</f>
        <v/>
      </c>
      <c r="J1199" s="19">
        <f>IF($N1199&lt;&gt;"",IF(INDEX(PCOp,$N1199)="مرجوعی خرید",IF(INDEX(PCAmount,$N1199)=0,"",-INDEX(PCAmount,$N1199)),""),IF($O1199&lt;&gt;"",IF(INDEX(TxnWitB,$O1199)=0,"",INDEX(TxnWitB,$O1199)),""))</f>
        <v/>
      </c>
      <c r="K1199" s="21">
        <f>IF($B1199="","",IF($K1198="",$C$10,$K1198)+IF($I1199="",0,$I1199)-IF($J1199="",0,$J1199))</f>
        <v/>
      </c>
      <c r="L1199" s="22">
        <f>IF($N1199&lt;&gt;"",IF(INDEX(PCNotes,$N1199)="","—",INDEX(PCNotes,$N1199)),IF($O1199&lt;&gt;"",IF(INDEX(LdgNoteB,$O1199)="","—",INDEX(LdgNoteB,$O1199)),""))</f>
        <v/>
      </c>
      <c r="N1199">
        <f>IFERROR(MATCH($C$5&amp;"|"&amp;RIGHT("000000"&amp;1183,6),LdgRankKeyA,0),"")</f>
        <v/>
      </c>
      <c r="O1199">
        <f>IFERROR(MATCH($C$5&amp;"|"&amp;RIGHT("000000"&amp;1183,6),LdgRankKeyB,0),"")</f>
        <v/>
      </c>
    </row>
    <row r="1200">
      <c r="A1200" s="23" t="n">
        <v>1184</v>
      </c>
      <c r="B1200" s="24">
        <f>IF(AND($N1200="",$O1200=""),"",IF($N1200&lt;&gt;"",INDEX(PCNormDate,$N1200),INDEX(LdgDateB,$O1200)))</f>
        <v/>
      </c>
      <c r="C1200" s="24">
        <f>IF($N1200&lt;&gt;"",INDEX(PCOp,$N1200),IF($O1200&lt;&gt;"",IF(N(INDEX(TxnDepB,$O1200))&gt;0,"دریافت بانکی","پرداخت بانکی"),""))</f>
        <v/>
      </c>
      <c r="D1200" s="24">
        <f>IF($N1200&lt;&gt;"",IF(INDEX(PCDoc,$N1200)="","—",INDEX(PCDoc,$N1200)),IF($O1200&lt;&gt;"",INDEX(LdgBankB,$O1200),""))</f>
        <v/>
      </c>
      <c r="E1200" s="24">
        <f>IF($N1200&lt;&gt;"",IF(INDEX(PCCitrus,$N1200)="","—",INDEX(PCCitrus,$N1200)),"")</f>
        <v/>
      </c>
      <c r="F1200" s="25">
        <f>IF($N1200&lt;&gt;"",IF(INDEX(PCScale,$N1200)=0,"",INDEX(PCScale,$N1200)),"")</f>
        <v/>
      </c>
      <c r="G1200" s="25">
        <f>IF($N1200&lt;&gt;"",IF(INDEX(PCBaskets,$N1200)=0,"",INDEX(PCBaskets,$N1200)),"")</f>
        <v/>
      </c>
      <c r="H1200" s="26">
        <f>IF($N1200&lt;&gt;"",IF(INDEX(PCNet,$N1200)=0,"",INDEX(PCNet,$N1200)),"")</f>
        <v/>
      </c>
      <c r="I1200" s="25">
        <f>IF($N1200&lt;&gt;"",IF(INDEX(PCOp,$N1200)="مرجوعی خرید","",IF(INDEX(PCAmount,$N1200)&lt;=0,"",INDEX(PCAmount,$N1200))),IF($O1200&lt;&gt;"",IF(INDEX(TxnDepB,$O1200)=0,"",INDEX(TxnDepB,$O1200)),""))</f>
        <v/>
      </c>
      <c r="J1200" s="25">
        <f>IF($N1200&lt;&gt;"",IF(INDEX(PCOp,$N1200)="مرجوعی خرید",IF(INDEX(PCAmount,$N1200)=0,"",-INDEX(PCAmount,$N1200)),""),IF($O1200&lt;&gt;"",IF(INDEX(TxnWitB,$O1200)=0,"",INDEX(TxnWitB,$O1200)),""))</f>
        <v/>
      </c>
      <c r="K1200" s="27">
        <f>IF($B1200="","",IF($K1199="",$C$10,$K1199)+IF($I1200="",0,$I1200)-IF($J1200="",0,$J1200))</f>
        <v/>
      </c>
      <c r="L1200" s="28">
        <f>IF($N1200&lt;&gt;"",IF(INDEX(PCNotes,$N1200)="","—",INDEX(PCNotes,$N1200)),IF($O1200&lt;&gt;"",IF(INDEX(LdgNoteB,$O1200)="","—",INDEX(LdgNoteB,$O1200)),""))</f>
        <v/>
      </c>
      <c r="N1200">
        <f>IFERROR(MATCH($C$5&amp;"|"&amp;RIGHT("000000"&amp;1184,6),LdgRankKeyA,0),"")</f>
        <v/>
      </c>
      <c r="O1200">
        <f>IFERROR(MATCH($C$5&amp;"|"&amp;RIGHT("000000"&amp;1184,6),LdgRankKeyB,0),"")</f>
        <v/>
      </c>
    </row>
    <row r="1201">
      <c r="A1201" s="17" t="n">
        <v>1185</v>
      </c>
      <c r="B1201" s="18">
        <f>IF(AND($N1201="",$O1201=""),"",IF($N1201&lt;&gt;"",INDEX(PCNormDate,$N1201),INDEX(LdgDateB,$O1201)))</f>
        <v/>
      </c>
      <c r="C1201" s="18">
        <f>IF($N1201&lt;&gt;"",INDEX(PCOp,$N1201),IF($O1201&lt;&gt;"",IF(N(INDEX(TxnDepB,$O1201))&gt;0,"دریافت بانکی","پرداخت بانکی"),""))</f>
        <v/>
      </c>
      <c r="D1201" s="18">
        <f>IF($N1201&lt;&gt;"",IF(INDEX(PCDoc,$N1201)="","—",INDEX(PCDoc,$N1201)),IF($O1201&lt;&gt;"",INDEX(LdgBankB,$O1201),""))</f>
        <v/>
      </c>
      <c r="E1201" s="18">
        <f>IF($N1201&lt;&gt;"",IF(INDEX(PCCitrus,$N1201)="","—",INDEX(PCCitrus,$N1201)),"")</f>
        <v/>
      </c>
      <c r="F1201" s="19">
        <f>IF($N1201&lt;&gt;"",IF(INDEX(PCScale,$N1201)=0,"",INDEX(PCScale,$N1201)),"")</f>
        <v/>
      </c>
      <c r="G1201" s="19">
        <f>IF($N1201&lt;&gt;"",IF(INDEX(PCBaskets,$N1201)=0,"",INDEX(PCBaskets,$N1201)),"")</f>
        <v/>
      </c>
      <c r="H1201" s="20">
        <f>IF($N1201&lt;&gt;"",IF(INDEX(PCNet,$N1201)=0,"",INDEX(PCNet,$N1201)),"")</f>
        <v/>
      </c>
      <c r="I1201" s="19">
        <f>IF($N1201&lt;&gt;"",IF(INDEX(PCOp,$N1201)="مرجوعی خرید","",IF(INDEX(PCAmount,$N1201)&lt;=0,"",INDEX(PCAmount,$N1201))),IF($O1201&lt;&gt;"",IF(INDEX(TxnDepB,$O1201)=0,"",INDEX(TxnDepB,$O1201)),""))</f>
        <v/>
      </c>
      <c r="J1201" s="19">
        <f>IF($N1201&lt;&gt;"",IF(INDEX(PCOp,$N1201)="مرجوعی خرید",IF(INDEX(PCAmount,$N1201)=0,"",-INDEX(PCAmount,$N1201)),""),IF($O1201&lt;&gt;"",IF(INDEX(TxnWitB,$O1201)=0,"",INDEX(TxnWitB,$O1201)),""))</f>
        <v/>
      </c>
      <c r="K1201" s="21">
        <f>IF($B1201="","",IF($K1200="",$C$10,$K1200)+IF($I1201="",0,$I1201)-IF($J1201="",0,$J1201))</f>
        <v/>
      </c>
      <c r="L1201" s="22">
        <f>IF($N1201&lt;&gt;"",IF(INDEX(PCNotes,$N1201)="","—",INDEX(PCNotes,$N1201)),IF($O1201&lt;&gt;"",IF(INDEX(LdgNoteB,$O1201)="","—",INDEX(LdgNoteB,$O1201)),""))</f>
        <v/>
      </c>
      <c r="N1201">
        <f>IFERROR(MATCH($C$5&amp;"|"&amp;RIGHT("000000"&amp;1185,6),LdgRankKeyA,0),"")</f>
        <v/>
      </c>
      <c r="O1201">
        <f>IFERROR(MATCH($C$5&amp;"|"&amp;RIGHT("000000"&amp;1185,6),LdgRankKeyB,0),"")</f>
        <v/>
      </c>
    </row>
    <row r="1202">
      <c r="A1202" s="23" t="n">
        <v>1186</v>
      </c>
      <c r="B1202" s="24">
        <f>IF(AND($N1202="",$O1202=""),"",IF($N1202&lt;&gt;"",INDEX(PCNormDate,$N1202),INDEX(LdgDateB,$O1202)))</f>
        <v/>
      </c>
      <c r="C1202" s="24">
        <f>IF($N1202&lt;&gt;"",INDEX(PCOp,$N1202),IF($O1202&lt;&gt;"",IF(N(INDEX(TxnDepB,$O1202))&gt;0,"دریافت بانکی","پرداخت بانکی"),""))</f>
        <v/>
      </c>
      <c r="D1202" s="24">
        <f>IF($N1202&lt;&gt;"",IF(INDEX(PCDoc,$N1202)="","—",INDEX(PCDoc,$N1202)),IF($O1202&lt;&gt;"",INDEX(LdgBankB,$O1202),""))</f>
        <v/>
      </c>
      <c r="E1202" s="24">
        <f>IF($N1202&lt;&gt;"",IF(INDEX(PCCitrus,$N1202)="","—",INDEX(PCCitrus,$N1202)),"")</f>
        <v/>
      </c>
      <c r="F1202" s="25">
        <f>IF($N1202&lt;&gt;"",IF(INDEX(PCScale,$N1202)=0,"",INDEX(PCScale,$N1202)),"")</f>
        <v/>
      </c>
      <c r="G1202" s="25">
        <f>IF($N1202&lt;&gt;"",IF(INDEX(PCBaskets,$N1202)=0,"",INDEX(PCBaskets,$N1202)),"")</f>
        <v/>
      </c>
      <c r="H1202" s="26">
        <f>IF($N1202&lt;&gt;"",IF(INDEX(PCNet,$N1202)=0,"",INDEX(PCNet,$N1202)),"")</f>
        <v/>
      </c>
      <c r="I1202" s="25">
        <f>IF($N1202&lt;&gt;"",IF(INDEX(PCOp,$N1202)="مرجوعی خرید","",IF(INDEX(PCAmount,$N1202)&lt;=0,"",INDEX(PCAmount,$N1202))),IF($O1202&lt;&gt;"",IF(INDEX(TxnDepB,$O1202)=0,"",INDEX(TxnDepB,$O1202)),""))</f>
        <v/>
      </c>
      <c r="J1202" s="25">
        <f>IF($N1202&lt;&gt;"",IF(INDEX(PCOp,$N1202)="مرجوعی خرید",IF(INDEX(PCAmount,$N1202)=0,"",-INDEX(PCAmount,$N1202)),""),IF($O1202&lt;&gt;"",IF(INDEX(TxnWitB,$O1202)=0,"",INDEX(TxnWitB,$O1202)),""))</f>
        <v/>
      </c>
      <c r="K1202" s="27">
        <f>IF($B1202="","",IF($K1201="",$C$10,$K1201)+IF($I1202="",0,$I1202)-IF($J1202="",0,$J1202))</f>
        <v/>
      </c>
      <c r="L1202" s="28">
        <f>IF($N1202&lt;&gt;"",IF(INDEX(PCNotes,$N1202)="","—",INDEX(PCNotes,$N1202)),IF($O1202&lt;&gt;"",IF(INDEX(LdgNoteB,$O1202)="","—",INDEX(LdgNoteB,$O1202)),""))</f>
        <v/>
      </c>
      <c r="N1202">
        <f>IFERROR(MATCH($C$5&amp;"|"&amp;RIGHT("000000"&amp;1186,6),LdgRankKeyA,0),"")</f>
        <v/>
      </c>
      <c r="O1202">
        <f>IFERROR(MATCH($C$5&amp;"|"&amp;RIGHT("000000"&amp;1186,6),LdgRankKeyB,0),"")</f>
        <v/>
      </c>
    </row>
    <row r="1203">
      <c r="A1203" s="17" t="n">
        <v>1187</v>
      </c>
      <c r="B1203" s="18">
        <f>IF(AND($N1203="",$O1203=""),"",IF($N1203&lt;&gt;"",INDEX(PCNormDate,$N1203),INDEX(LdgDateB,$O1203)))</f>
        <v/>
      </c>
      <c r="C1203" s="18">
        <f>IF($N1203&lt;&gt;"",INDEX(PCOp,$N1203),IF($O1203&lt;&gt;"",IF(N(INDEX(TxnDepB,$O1203))&gt;0,"دریافت بانکی","پرداخت بانکی"),""))</f>
        <v/>
      </c>
      <c r="D1203" s="18">
        <f>IF($N1203&lt;&gt;"",IF(INDEX(PCDoc,$N1203)="","—",INDEX(PCDoc,$N1203)),IF($O1203&lt;&gt;"",INDEX(LdgBankB,$O1203),""))</f>
        <v/>
      </c>
      <c r="E1203" s="18">
        <f>IF($N1203&lt;&gt;"",IF(INDEX(PCCitrus,$N1203)="","—",INDEX(PCCitrus,$N1203)),"")</f>
        <v/>
      </c>
      <c r="F1203" s="19">
        <f>IF($N1203&lt;&gt;"",IF(INDEX(PCScale,$N1203)=0,"",INDEX(PCScale,$N1203)),"")</f>
        <v/>
      </c>
      <c r="G1203" s="19">
        <f>IF($N1203&lt;&gt;"",IF(INDEX(PCBaskets,$N1203)=0,"",INDEX(PCBaskets,$N1203)),"")</f>
        <v/>
      </c>
      <c r="H1203" s="20">
        <f>IF($N1203&lt;&gt;"",IF(INDEX(PCNet,$N1203)=0,"",INDEX(PCNet,$N1203)),"")</f>
        <v/>
      </c>
      <c r="I1203" s="19">
        <f>IF($N1203&lt;&gt;"",IF(INDEX(PCOp,$N1203)="مرجوعی خرید","",IF(INDEX(PCAmount,$N1203)&lt;=0,"",INDEX(PCAmount,$N1203))),IF($O1203&lt;&gt;"",IF(INDEX(TxnDepB,$O1203)=0,"",INDEX(TxnDepB,$O1203)),""))</f>
        <v/>
      </c>
      <c r="J1203" s="19">
        <f>IF($N1203&lt;&gt;"",IF(INDEX(PCOp,$N1203)="مرجوعی خرید",IF(INDEX(PCAmount,$N1203)=0,"",-INDEX(PCAmount,$N1203)),""),IF($O1203&lt;&gt;"",IF(INDEX(TxnWitB,$O1203)=0,"",INDEX(TxnWitB,$O1203)),""))</f>
        <v/>
      </c>
      <c r="K1203" s="21">
        <f>IF($B1203="","",IF($K1202="",$C$10,$K1202)+IF($I1203="",0,$I1203)-IF($J1203="",0,$J1203))</f>
        <v/>
      </c>
      <c r="L1203" s="22">
        <f>IF($N1203&lt;&gt;"",IF(INDEX(PCNotes,$N1203)="","—",INDEX(PCNotes,$N1203)),IF($O1203&lt;&gt;"",IF(INDEX(LdgNoteB,$O1203)="","—",INDEX(LdgNoteB,$O1203)),""))</f>
        <v/>
      </c>
      <c r="N1203">
        <f>IFERROR(MATCH($C$5&amp;"|"&amp;RIGHT("000000"&amp;1187,6),LdgRankKeyA,0),"")</f>
        <v/>
      </c>
      <c r="O1203">
        <f>IFERROR(MATCH($C$5&amp;"|"&amp;RIGHT("000000"&amp;1187,6),LdgRankKeyB,0),"")</f>
        <v/>
      </c>
    </row>
    <row r="1204">
      <c r="A1204" s="23" t="n">
        <v>1188</v>
      </c>
      <c r="B1204" s="24">
        <f>IF(AND($N1204="",$O1204=""),"",IF($N1204&lt;&gt;"",INDEX(PCNormDate,$N1204),INDEX(LdgDateB,$O1204)))</f>
        <v/>
      </c>
      <c r="C1204" s="24">
        <f>IF($N1204&lt;&gt;"",INDEX(PCOp,$N1204),IF($O1204&lt;&gt;"",IF(N(INDEX(TxnDepB,$O1204))&gt;0,"دریافت بانکی","پرداخت بانکی"),""))</f>
        <v/>
      </c>
      <c r="D1204" s="24">
        <f>IF($N1204&lt;&gt;"",IF(INDEX(PCDoc,$N1204)="","—",INDEX(PCDoc,$N1204)),IF($O1204&lt;&gt;"",INDEX(LdgBankB,$O1204),""))</f>
        <v/>
      </c>
      <c r="E1204" s="24">
        <f>IF($N1204&lt;&gt;"",IF(INDEX(PCCitrus,$N1204)="","—",INDEX(PCCitrus,$N1204)),"")</f>
        <v/>
      </c>
      <c r="F1204" s="25">
        <f>IF($N1204&lt;&gt;"",IF(INDEX(PCScale,$N1204)=0,"",INDEX(PCScale,$N1204)),"")</f>
        <v/>
      </c>
      <c r="G1204" s="25">
        <f>IF($N1204&lt;&gt;"",IF(INDEX(PCBaskets,$N1204)=0,"",INDEX(PCBaskets,$N1204)),"")</f>
        <v/>
      </c>
      <c r="H1204" s="26">
        <f>IF($N1204&lt;&gt;"",IF(INDEX(PCNet,$N1204)=0,"",INDEX(PCNet,$N1204)),"")</f>
        <v/>
      </c>
      <c r="I1204" s="25">
        <f>IF($N1204&lt;&gt;"",IF(INDEX(PCOp,$N1204)="مرجوعی خرید","",IF(INDEX(PCAmount,$N1204)&lt;=0,"",INDEX(PCAmount,$N1204))),IF($O1204&lt;&gt;"",IF(INDEX(TxnDepB,$O1204)=0,"",INDEX(TxnDepB,$O1204)),""))</f>
        <v/>
      </c>
      <c r="J1204" s="25">
        <f>IF($N1204&lt;&gt;"",IF(INDEX(PCOp,$N1204)="مرجوعی خرید",IF(INDEX(PCAmount,$N1204)=0,"",-INDEX(PCAmount,$N1204)),""),IF($O1204&lt;&gt;"",IF(INDEX(TxnWitB,$O1204)=0,"",INDEX(TxnWitB,$O1204)),""))</f>
        <v/>
      </c>
      <c r="K1204" s="27">
        <f>IF($B1204="","",IF($K1203="",$C$10,$K1203)+IF($I1204="",0,$I1204)-IF($J1204="",0,$J1204))</f>
        <v/>
      </c>
      <c r="L1204" s="28">
        <f>IF($N1204&lt;&gt;"",IF(INDEX(PCNotes,$N1204)="","—",INDEX(PCNotes,$N1204)),IF($O1204&lt;&gt;"",IF(INDEX(LdgNoteB,$O1204)="","—",INDEX(LdgNoteB,$O1204)),""))</f>
        <v/>
      </c>
      <c r="N1204">
        <f>IFERROR(MATCH($C$5&amp;"|"&amp;RIGHT("000000"&amp;1188,6),LdgRankKeyA,0),"")</f>
        <v/>
      </c>
      <c r="O1204">
        <f>IFERROR(MATCH($C$5&amp;"|"&amp;RIGHT("000000"&amp;1188,6),LdgRankKeyB,0),"")</f>
        <v/>
      </c>
    </row>
    <row r="1205">
      <c r="A1205" s="17" t="n">
        <v>1189</v>
      </c>
      <c r="B1205" s="18">
        <f>IF(AND($N1205="",$O1205=""),"",IF($N1205&lt;&gt;"",INDEX(PCNormDate,$N1205),INDEX(LdgDateB,$O1205)))</f>
        <v/>
      </c>
      <c r="C1205" s="18">
        <f>IF($N1205&lt;&gt;"",INDEX(PCOp,$N1205),IF($O1205&lt;&gt;"",IF(N(INDEX(TxnDepB,$O1205))&gt;0,"دریافت بانکی","پرداخت بانکی"),""))</f>
        <v/>
      </c>
      <c r="D1205" s="18">
        <f>IF($N1205&lt;&gt;"",IF(INDEX(PCDoc,$N1205)="","—",INDEX(PCDoc,$N1205)),IF($O1205&lt;&gt;"",INDEX(LdgBankB,$O1205),""))</f>
        <v/>
      </c>
      <c r="E1205" s="18">
        <f>IF($N1205&lt;&gt;"",IF(INDEX(PCCitrus,$N1205)="","—",INDEX(PCCitrus,$N1205)),"")</f>
        <v/>
      </c>
      <c r="F1205" s="19">
        <f>IF($N1205&lt;&gt;"",IF(INDEX(PCScale,$N1205)=0,"",INDEX(PCScale,$N1205)),"")</f>
        <v/>
      </c>
      <c r="G1205" s="19">
        <f>IF($N1205&lt;&gt;"",IF(INDEX(PCBaskets,$N1205)=0,"",INDEX(PCBaskets,$N1205)),"")</f>
        <v/>
      </c>
      <c r="H1205" s="20">
        <f>IF($N1205&lt;&gt;"",IF(INDEX(PCNet,$N1205)=0,"",INDEX(PCNet,$N1205)),"")</f>
        <v/>
      </c>
      <c r="I1205" s="19">
        <f>IF($N1205&lt;&gt;"",IF(INDEX(PCOp,$N1205)="مرجوعی خرید","",IF(INDEX(PCAmount,$N1205)&lt;=0,"",INDEX(PCAmount,$N1205))),IF($O1205&lt;&gt;"",IF(INDEX(TxnDepB,$O1205)=0,"",INDEX(TxnDepB,$O1205)),""))</f>
        <v/>
      </c>
      <c r="J1205" s="19">
        <f>IF($N1205&lt;&gt;"",IF(INDEX(PCOp,$N1205)="مرجوعی خرید",IF(INDEX(PCAmount,$N1205)=0,"",-INDEX(PCAmount,$N1205)),""),IF($O1205&lt;&gt;"",IF(INDEX(TxnWitB,$O1205)=0,"",INDEX(TxnWitB,$O1205)),""))</f>
        <v/>
      </c>
      <c r="K1205" s="21">
        <f>IF($B1205="","",IF($K1204="",$C$10,$K1204)+IF($I1205="",0,$I1205)-IF($J1205="",0,$J1205))</f>
        <v/>
      </c>
      <c r="L1205" s="22">
        <f>IF($N1205&lt;&gt;"",IF(INDEX(PCNotes,$N1205)="","—",INDEX(PCNotes,$N1205)),IF($O1205&lt;&gt;"",IF(INDEX(LdgNoteB,$O1205)="","—",INDEX(LdgNoteB,$O1205)),""))</f>
        <v/>
      </c>
      <c r="N1205">
        <f>IFERROR(MATCH($C$5&amp;"|"&amp;RIGHT("000000"&amp;1189,6),LdgRankKeyA,0),"")</f>
        <v/>
      </c>
      <c r="O1205">
        <f>IFERROR(MATCH($C$5&amp;"|"&amp;RIGHT("000000"&amp;1189,6),LdgRankKeyB,0),"")</f>
        <v/>
      </c>
    </row>
    <row r="1206">
      <c r="A1206" s="23" t="n">
        <v>1190</v>
      </c>
      <c r="B1206" s="24">
        <f>IF(AND($N1206="",$O1206=""),"",IF($N1206&lt;&gt;"",INDEX(PCNormDate,$N1206),INDEX(LdgDateB,$O1206)))</f>
        <v/>
      </c>
      <c r="C1206" s="24">
        <f>IF($N1206&lt;&gt;"",INDEX(PCOp,$N1206),IF($O1206&lt;&gt;"",IF(N(INDEX(TxnDepB,$O1206))&gt;0,"دریافت بانکی","پرداخت بانکی"),""))</f>
        <v/>
      </c>
      <c r="D1206" s="24">
        <f>IF($N1206&lt;&gt;"",IF(INDEX(PCDoc,$N1206)="","—",INDEX(PCDoc,$N1206)),IF($O1206&lt;&gt;"",INDEX(LdgBankB,$O1206),""))</f>
        <v/>
      </c>
      <c r="E1206" s="24">
        <f>IF($N1206&lt;&gt;"",IF(INDEX(PCCitrus,$N1206)="","—",INDEX(PCCitrus,$N1206)),"")</f>
        <v/>
      </c>
      <c r="F1206" s="25">
        <f>IF($N1206&lt;&gt;"",IF(INDEX(PCScale,$N1206)=0,"",INDEX(PCScale,$N1206)),"")</f>
        <v/>
      </c>
      <c r="G1206" s="25">
        <f>IF($N1206&lt;&gt;"",IF(INDEX(PCBaskets,$N1206)=0,"",INDEX(PCBaskets,$N1206)),"")</f>
        <v/>
      </c>
      <c r="H1206" s="26">
        <f>IF($N1206&lt;&gt;"",IF(INDEX(PCNet,$N1206)=0,"",INDEX(PCNet,$N1206)),"")</f>
        <v/>
      </c>
      <c r="I1206" s="25">
        <f>IF($N1206&lt;&gt;"",IF(INDEX(PCOp,$N1206)="مرجوعی خرید","",IF(INDEX(PCAmount,$N1206)&lt;=0,"",INDEX(PCAmount,$N1206))),IF($O1206&lt;&gt;"",IF(INDEX(TxnDepB,$O1206)=0,"",INDEX(TxnDepB,$O1206)),""))</f>
        <v/>
      </c>
      <c r="J1206" s="25">
        <f>IF($N1206&lt;&gt;"",IF(INDEX(PCOp,$N1206)="مرجوعی خرید",IF(INDEX(PCAmount,$N1206)=0,"",-INDEX(PCAmount,$N1206)),""),IF($O1206&lt;&gt;"",IF(INDEX(TxnWitB,$O1206)=0,"",INDEX(TxnWitB,$O1206)),""))</f>
        <v/>
      </c>
      <c r="K1206" s="27">
        <f>IF($B1206="","",IF($K1205="",$C$10,$K1205)+IF($I1206="",0,$I1206)-IF($J1206="",0,$J1206))</f>
        <v/>
      </c>
      <c r="L1206" s="28">
        <f>IF($N1206&lt;&gt;"",IF(INDEX(PCNotes,$N1206)="","—",INDEX(PCNotes,$N1206)),IF($O1206&lt;&gt;"",IF(INDEX(LdgNoteB,$O1206)="","—",INDEX(LdgNoteB,$O1206)),""))</f>
        <v/>
      </c>
      <c r="N1206">
        <f>IFERROR(MATCH($C$5&amp;"|"&amp;RIGHT("000000"&amp;1190,6),LdgRankKeyA,0),"")</f>
        <v/>
      </c>
      <c r="O1206">
        <f>IFERROR(MATCH($C$5&amp;"|"&amp;RIGHT("000000"&amp;1190,6),LdgRankKeyB,0),"")</f>
        <v/>
      </c>
    </row>
    <row r="1207">
      <c r="A1207" s="17" t="n">
        <v>1191</v>
      </c>
      <c r="B1207" s="18">
        <f>IF(AND($N1207="",$O1207=""),"",IF($N1207&lt;&gt;"",INDEX(PCNormDate,$N1207),INDEX(LdgDateB,$O1207)))</f>
        <v/>
      </c>
      <c r="C1207" s="18">
        <f>IF($N1207&lt;&gt;"",INDEX(PCOp,$N1207),IF($O1207&lt;&gt;"",IF(N(INDEX(TxnDepB,$O1207))&gt;0,"دریافت بانکی","پرداخت بانکی"),""))</f>
        <v/>
      </c>
      <c r="D1207" s="18">
        <f>IF($N1207&lt;&gt;"",IF(INDEX(PCDoc,$N1207)="","—",INDEX(PCDoc,$N1207)),IF($O1207&lt;&gt;"",INDEX(LdgBankB,$O1207),""))</f>
        <v/>
      </c>
      <c r="E1207" s="18">
        <f>IF($N1207&lt;&gt;"",IF(INDEX(PCCitrus,$N1207)="","—",INDEX(PCCitrus,$N1207)),"")</f>
        <v/>
      </c>
      <c r="F1207" s="19">
        <f>IF($N1207&lt;&gt;"",IF(INDEX(PCScale,$N1207)=0,"",INDEX(PCScale,$N1207)),"")</f>
        <v/>
      </c>
      <c r="G1207" s="19">
        <f>IF($N1207&lt;&gt;"",IF(INDEX(PCBaskets,$N1207)=0,"",INDEX(PCBaskets,$N1207)),"")</f>
        <v/>
      </c>
      <c r="H1207" s="20">
        <f>IF($N1207&lt;&gt;"",IF(INDEX(PCNet,$N1207)=0,"",INDEX(PCNet,$N1207)),"")</f>
        <v/>
      </c>
      <c r="I1207" s="19">
        <f>IF($N1207&lt;&gt;"",IF(INDEX(PCOp,$N1207)="مرجوعی خرید","",IF(INDEX(PCAmount,$N1207)&lt;=0,"",INDEX(PCAmount,$N1207))),IF($O1207&lt;&gt;"",IF(INDEX(TxnDepB,$O1207)=0,"",INDEX(TxnDepB,$O1207)),""))</f>
        <v/>
      </c>
      <c r="J1207" s="19">
        <f>IF($N1207&lt;&gt;"",IF(INDEX(PCOp,$N1207)="مرجوعی خرید",IF(INDEX(PCAmount,$N1207)=0,"",-INDEX(PCAmount,$N1207)),""),IF($O1207&lt;&gt;"",IF(INDEX(TxnWitB,$O1207)=0,"",INDEX(TxnWitB,$O1207)),""))</f>
        <v/>
      </c>
      <c r="K1207" s="21">
        <f>IF($B1207="","",IF($K1206="",$C$10,$K1206)+IF($I1207="",0,$I1207)-IF($J1207="",0,$J1207))</f>
        <v/>
      </c>
      <c r="L1207" s="22">
        <f>IF($N1207&lt;&gt;"",IF(INDEX(PCNotes,$N1207)="","—",INDEX(PCNotes,$N1207)),IF($O1207&lt;&gt;"",IF(INDEX(LdgNoteB,$O1207)="","—",INDEX(LdgNoteB,$O1207)),""))</f>
        <v/>
      </c>
      <c r="N1207">
        <f>IFERROR(MATCH($C$5&amp;"|"&amp;RIGHT("000000"&amp;1191,6),LdgRankKeyA,0),"")</f>
        <v/>
      </c>
      <c r="O1207">
        <f>IFERROR(MATCH($C$5&amp;"|"&amp;RIGHT("000000"&amp;1191,6),LdgRankKeyB,0),"")</f>
        <v/>
      </c>
    </row>
    <row r="1208">
      <c r="A1208" s="23" t="n">
        <v>1192</v>
      </c>
      <c r="B1208" s="24">
        <f>IF(AND($N1208="",$O1208=""),"",IF($N1208&lt;&gt;"",INDEX(PCNormDate,$N1208),INDEX(LdgDateB,$O1208)))</f>
        <v/>
      </c>
      <c r="C1208" s="24">
        <f>IF($N1208&lt;&gt;"",INDEX(PCOp,$N1208),IF($O1208&lt;&gt;"",IF(N(INDEX(TxnDepB,$O1208))&gt;0,"دریافت بانکی","پرداخت بانکی"),""))</f>
        <v/>
      </c>
      <c r="D1208" s="24">
        <f>IF($N1208&lt;&gt;"",IF(INDEX(PCDoc,$N1208)="","—",INDEX(PCDoc,$N1208)),IF($O1208&lt;&gt;"",INDEX(LdgBankB,$O1208),""))</f>
        <v/>
      </c>
      <c r="E1208" s="24">
        <f>IF($N1208&lt;&gt;"",IF(INDEX(PCCitrus,$N1208)="","—",INDEX(PCCitrus,$N1208)),"")</f>
        <v/>
      </c>
      <c r="F1208" s="25">
        <f>IF($N1208&lt;&gt;"",IF(INDEX(PCScale,$N1208)=0,"",INDEX(PCScale,$N1208)),"")</f>
        <v/>
      </c>
      <c r="G1208" s="25">
        <f>IF($N1208&lt;&gt;"",IF(INDEX(PCBaskets,$N1208)=0,"",INDEX(PCBaskets,$N1208)),"")</f>
        <v/>
      </c>
      <c r="H1208" s="26">
        <f>IF($N1208&lt;&gt;"",IF(INDEX(PCNet,$N1208)=0,"",INDEX(PCNet,$N1208)),"")</f>
        <v/>
      </c>
      <c r="I1208" s="25">
        <f>IF($N1208&lt;&gt;"",IF(INDEX(PCOp,$N1208)="مرجوعی خرید","",IF(INDEX(PCAmount,$N1208)&lt;=0,"",INDEX(PCAmount,$N1208))),IF($O1208&lt;&gt;"",IF(INDEX(TxnDepB,$O1208)=0,"",INDEX(TxnDepB,$O1208)),""))</f>
        <v/>
      </c>
      <c r="J1208" s="25">
        <f>IF($N1208&lt;&gt;"",IF(INDEX(PCOp,$N1208)="مرجوعی خرید",IF(INDEX(PCAmount,$N1208)=0,"",-INDEX(PCAmount,$N1208)),""),IF($O1208&lt;&gt;"",IF(INDEX(TxnWitB,$O1208)=0,"",INDEX(TxnWitB,$O1208)),""))</f>
        <v/>
      </c>
      <c r="K1208" s="27">
        <f>IF($B1208="","",IF($K1207="",$C$10,$K1207)+IF($I1208="",0,$I1208)-IF($J1208="",0,$J1208))</f>
        <v/>
      </c>
      <c r="L1208" s="28">
        <f>IF($N1208&lt;&gt;"",IF(INDEX(PCNotes,$N1208)="","—",INDEX(PCNotes,$N1208)),IF($O1208&lt;&gt;"",IF(INDEX(LdgNoteB,$O1208)="","—",INDEX(LdgNoteB,$O1208)),""))</f>
        <v/>
      </c>
      <c r="N1208">
        <f>IFERROR(MATCH($C$5&amp;"|"&amp;RIGHT("000000"&amp;1192,6),LdgRankKeyA,0),"")</f>
        <v/>
      </c>
      <c r="O1208">
        <f>IFERROR(MATCH($C$5&amp;"|"&amp;RIGHT("000000"&amp;1192,6),LdgRankKeyB,0),"")</f>
        <v/>
      </c>
    </row>
    <row r="1209">
      <c r="A1209" s="17" t="n">
        <v>1193</v>
      </c>
      <c r="B1209" s="18">
        <f>IF(AND($N1209="",$O1209=""),"",IF($N1209&lt;&gt;"",INDEX(PCNormDate,$N1209),INDEX(LdgDateB,$O1209)))</f>
        <v/>
      </c>
      <c r="C1209" s="18">
        <f>IF($N1209&lt;&gt;"",INDEX(PCOp,$N1209),IF($O1209&lt;&gt;"",IF(N(INDEX(TxnDepB,$O1209))&gt;0,"دریافت بانکی","پرداخت بانکی"),""))</f>
        <v/>
      </c>
      <c r="D1209" s="18">
        <f>IF($N1209&lt;&gt;"",IF(INDEX(PCDoc,$N1209)="","—",INDEX(PCDoc,$N1209)),IF($O1209&lt;&gt;"",INDEX(LdgBankB,$O1209),""))</f>
        <v/>
      </c>
      <c r="E1209" s="18">
        <f>IF($N1209&lt;&gt;"",IF(INDEX(PCCitrus,$N1209)="","—",INDEX(PCCitrus,$N1209)),"")</f>
        <v/>
      </c>
      <c r="F1209" s="19">
        <f>IF($N1209&lt;&gt;"",IF(INDEX(PCScale,$N1209)=0,"",INDEX(PCScale,$N1209)),"")</f>
        <v/>
      </c>
      <c r="G1209" s="19">
        <f>IF($N1209&lt;&gt;"",IF(INDEX(PCBaskets,$N1209)=0,"",INDEX(PCBaskets,$N1209)),"")</f>
        <v/>
      </c>
      <c r="H1209" s="20">
        <f>IF($N1209&lt;&gt;"",IF(INDEX(PCNet,$N1209)=0,"",INDEX(PCNet,$N1209)),"")</f>
        <v/>
      </c>
      <c r="I1209" s="19">
        <f>IF($N1209&lt;&gt;"",IF(INDEX(PCOp,$N1209)="مرجوعی خرید","",IF(INDEX(PCAmount,$N1209)&lt;=0,"",INDEX(PCAmount,$N1209))),IF($O1209&lt;&gt;"",IF(INDEX(TxnDepB,$O1209)=0,"",INDEX(TxnDepB,$O1209)),""))</f>
        <v/>
      </c>
      <c r="J1209" s="19">
        <f>IF($N1209&lt;&gt;"",IF(INDEX(PCOp,$N1209)="مرجوعی خرید",IF(INDEX(PCAmount,$N1209)=0,"",-INDEX(PCAmount,$N1209)),""),IF($O1209&lt;&gt;"",IF(INDEX(TxnWitB,$O1209)=0,"",INDEX(TxnWitB,$O1209)),""))</f>
        <v/>
      </c>
      <c r="K1209" s="21">
        <f>IF($B1209="","",IF($K1208="",$C$10,$K1208)+IF($I1209="",0,$I1209)-IF($J1209="",0,$J1209))</f>
        <v/>
      </c>
      <c r="L1209" s="22">
        <f>IF($N1209&lt;&gt;"",IF(INDEX(PCNotes,$N1209)="","—",INDEX(PCNotes,$N1209)),IF($O1209&lt;&gt;"",IF(INDEX(LdgNoteB,$O1209)="","—",INDEX(LdgNoteB,$O1209)),""))</f>
        <v/>
      </c>
      <c r="N1209">
        <f>IFERROR(MATCH($C$5&amp;"|"&amp;RIGHT("000000"&amp;1193,6),LdgRankKeyA,0),"")</f>
        <v/>
      </c>
      <c r="O1209">
        <f>IFERROR(MATCH($C$5&amp;"|"&amp;RIGHT("000000"&amp;1193,6),LdgRankKeyB,0),"")</f>
        <v/>
      </c>
    </row>
    <row r="1210">
      <c r="A1210" s="23" t="n">
        <v>1194</v>
      </c>
      <c r="B1210" s="24">
        <f>IF(AND($N1210="",$O1210=""),"",IF($N1210&lt;&gt;"",INDEX(PCNormDate,$N1210),INDEX(LdgDateB,$O1210)))</f>
        <v/>
      </c>
      <c r="C1210" s="24">
        <f>IF($N1210&lt;&gt;"",INDEX(PCOp,$N1210),IF($O1210&lt;&gt;"",IF(N(INDEX(TxnDepB,$O1210))&gt;0,"دریافت بانکی","پرداخت بانکی"),""))</f>
        <v/>
      </c>
      <c r="D1210" s="24">
        <f>IF($N1210&lt;&gt;"",IF(INDEX(PCDoc,$N1210)="","—",INDEX(PCDoc,$N1210)),IF($O1210&lt;&gt;"",INDEX(LdgBankB,$O1210),""))</f>
        <v/>
      </c>
      <c r="E1210" s="24">
        <f>IF($N1210&lt;&gt;"",IF(INDEX(PCCitrus,$N1210)="","—",INDEX(PCCitrus,$N1210)),"")</f>
        <v/>
      </c>
      <c r="F1210" s="25">
        <f>IF($N1210&lt;&gt;"",IF(INDEX(PCScale,$N1210)=0,"",INDEX(PCScale,$N1210)),"")</f>
        <v/>
      </c>
      <c r="G1210" s="25">
        <f>IF($N1210&lt;&gt;"",IF(INDEX(PCBaskets,$N1210)=0,"",INDEX(PCBaskets,$N1210)),"")</f>
        <v/>
      </c>
      <c r="H1210" s="26">
        <f>IF($N1210&lt;&gt;"",IF(INDEX(PCNet,$N1210)=0,"",INDEX(PCNet,$N1210)),"")</f>
        <v/>
      </c>
      <c r="I1210" s="25">
        <f>IF($N1210&lt;&gt;"",IF(INDEX(PCOp,$N1210)="مرجوعی خرید","",IF(INDEX(PCAmount,$N1210)&lt;=0,"",INDEX(PCAmount,$N1210))),IF($O1210&lt;&gt;"",IF(INDEX(TxnDepB,$O1210)=0,"",INDEX(TxnDepB,$O1210)),""))</f>
        <v/>
      </c>
      <c r="J1210" s="25">
        <f>IF($N1210&lt;&gt;"",IF(INDEX(PCOp,$N1210)="مرجوعی خرید",IF(INDEX(PCAmount,$N1210)=0,"",-INDEX(PCAmount,$N1210)),""),IF($O1210&lt;&gt;"",IF(INDEX(TxnWitB,$O1210)=0,"",INDEX(TxnWitB,$O1210)),""))</f>
        <v/>
      </c>
      <c r="K1210" s="27">
        <f>IF($B1210="","",IF($K1209="",$C$10,$K1209)+IF($I1210="",0,$I1210)-IF($J1210="",0,$J1210))</f>
        <v/>
      </c>
      <c r="L1210" s="28">
        <f>IF($N1210&lt;&gt;"",IF(INDEX(PCNotes,$N1210)="","—",INDEX(PCNotes,$N1210)),IF($O1210&lt;&gt;"",IF(INDEX(LdgNoteB,$O1210)="","—",INDEX(LdgNoteB,$O1210)),""))</f>
        <v/>
      </c>
      <c r="N1210">
        <f>IFERROR(MATCH($C$5&amp;"|"&amp;RIGHT("000000"&amp;1194,6),LdgRankKeyA,0),"")</f>
        <v/>
      </c>
      <c r="O1210">
        <f>IFERROR(MATCH($C$5&amp;"|"&amp;RIGHT("000000"&amp;1194,6),LdgRankKeyB,0),"")</f>
        <v/>
      </c>
    </row>
    <row r="1211">
      <c r="A1211" s="17" t="n">
        <v>1195</v>
      </c>
      <c r="B1211" s="18">
        <f>IF(AND($N1211="",$O1211=""),"",IF($N1211&lt;&gt;"",INDEX(PCNormDate,$N1211),INDEX(LdgDateB,$O1211)))</f>
        <v/>
      </c>
      <c r="C1211" s="18">
        <f>IF($N1211&lt;&gt;"",INDEX(PCOp,$N1211),IF($O1211&lt;&gt;"",IF(N(INDEX(TxnDepB,$O1211))&gt;0,"دریافت بانکی","پرداخت بانکی"),""))</f>
        <v/>
      </c>
      <c r="D1211" s="18">
        <f>IF($N1211&lt;&gt;"",IF(INDEX(PCDoc,$N1211)="","—",INDEX(PCDoc,$N1211)),IF($O1211&lt;&gt;"",INDEX(LdgBankB,$O1211),""))</f>
        <v/>
      </c>
      <c r="E1211" s="18">
        <f>IF($N1211&lt;&gt;"",IF(INDEX(PCCitrus,$N1211)="","—",INDEX(PCCitrus,$N1211)),"")</f>
        <v/>
      </c>
      <c r="F1211" s="19">
        <f>IF($N1211&lt;&gt;"",IF(INDEX(PCScale,$N1211)=0,"",INDEX(PCScale,$N1211)),"")</f>
        <v/>
      </c>
      <c r="G1211" s="19">
        <f>IF($N1211&lt;&gt;"",IF(INDEX(PCBaskets,$N1211)=0,"",INDEX(PCBaskets,$N1211)),"")</f>
        <v/>
      </c>
      <c r="H1211" s="20">
        <f>IF($N1211&lt;&gt;"",IF(INDEX(PCNet,$N1211)=0,"",INDEX(PCNet,$N1211)),"")</f>
        <v/>
      </c>
      <c r="I1211" s="19">
        <f>IF($N1211&lt;&gt;"",IF(INDEX(PCOp,$N1211)="مرجوعی خرید","",IF(INDEX(PCAmount,$N1211)&lt;=0,"",INDEX(PCAmount,$N1211))),IF($O1211&lt;&gt;"",IF(INDEX(TxnDepB,$O1211)=0,"",INDEX(TxnDepB,$O1211)),""))</f>
        <v/>
      </c>
      <c r="J1211" s="19">
        <f>IF($N1211&lt;&gt;"",IF(INDEX(PCOp,$N1211)="مرجوعی خرید",IF(INDEX(PCAmount,$N1211)=0,"",-INDEX(PCAmount,$N1211)),""),IF($O1211&lt;&gt;"",IF(INDEX(TxnWitB,$O1211)=0,"",INDEX(TxnWitB,$O1211)),""))</f>
        <v/>
      </c>
      <c r="K1211" s="21">
        <f>IF($B1211="","",IF($K1210="",$C$10,$K1210)+IF($I1211="",0,$I1211)-IF($J1211="",0,$J1211))</f>
        <v/>
      </c>
      <c r="L1211" s="22">
        <f>IF($N1211&lt;&gt;"",IF(INDEX(PCNotes,$N1211)="","—",INDEX(PCNotes,$N1211)),IF($O1211&lt;&gt;"",IF(INDEX(LdgNoteB,$O1211)="","—",INDEX(LdgNoteB,$O1211)),""))</f>
        <v/>
      </c>
      <c r="N1211">
        <f>IFERROR(MATCH($C$5&amp;"|"&amp;RIGHT("000000"&amp;1195,6),LdgRankKeyA,0),"")</f>
        <v/>
      </c>
      <c r="O1211">
        <f>IFERROR(MATCH($C$5&amp;"|"&amp;RIGHT("000000"&amp;1195,6),LdgRankKeyB,0),"")</f>
        <v/>
      </c>
    </row>
    <row r="1212">
      <c r="A1212" s="23" t="n">
        <v>1196</v>
      </c>
      <c r="B1212" s="24">
        <f>IF(AND($N1212="",$O1212=""),"",IF($N1212&lt;&gt;"",INDEX(PCNormDate,$N1212),INDEX(LdgDateB,$O1212)))</f>
        <v/>
      </c>
      <c r="C1212" s="24">
        <f>IF($N1212&lt;&gt;"",INDEX(PCOp,$N1212),IF($O1212&lt;&gt;"",IF(N(INDEX(TxnDepB,$O1212))&gt;0,"دریافت بانکی","پرداخت بانکی"),""))</f>
        <v/>
      </c>
      <c r="D1212" s="24">
        <f>IF($N1212&lt;&gt;"",IF(INDEX(PCDoc,$N1212)="","—",INDEX(PCDoc,$N1212)),IF($O1212&lt;&gt;"",INDEX(LdgBankB,$O1212),""))</f>
        <v/>
      </c>
      <c r="E1212" s="24">
        <f>IF($N1212&lt;&gt;"",IF(INDEX(PCCitrus,$N1212)="","—",INDEX(PCCitrus,$N1212)),"")</f>
        <v/>
      </c>
      <c r="F1212" s="25">
        <f>IF($N1212&lt;&gt;"",IF(INDEX(PCScale,$N1212)=0,"",INDEX(PCScale,$N1212)),"")</f>
        <v/>
      </c>
      <c r="G1212" s="25">
        <f>IF($N1212&lt;&gt;"",IF(INDEX(PCBaskets,$N1212)=0,"",INDEX(PCBaskets,$N1212)),"")</f>
        <v/>
      </c>
      <c r="H1212" s="26">
        <f>IF($N1212&lt;&gt;"",IF(INDEX(PCNet,$N1212)=0,"",INDEX(PCNet,$N1212)),"")</f>
        <v/>
      </c>
      <c r="I1212" s="25">
        <f>IF($N1212&lt;&gt;"",IF(INDEX(PCOp,$N1212)="مرجوعی خرید","",IF(INDEX(PCAmount,$N1212)&lt;=0,"",INDEX(PCAmount,$N1212))),IF($O1212&lt;&gt;"",IF(INDEX(TxnDepB,$O1212)=0,"",INDEX(TxnDepB,$O1212)),""))</f>
        <v/>
      </c>
      <c r="J1212" s="25">
        <f>IF($N1212&lt;&gt;"",IF(INDEX(PCOp,$N1212)="مرجوعی خرید",IF(INDEX(PCAmount,$N1212)=0,"",-INDEX(PCAmount,$N1212)),""),IF($O1212&lt;&gt;"",IF(INDEX(TxnWitB,$O1212)=0,"",INDEX(TxnWitB,$O1212)),""))</f>
        <v/>
      </c>
      <c r="K1212" s="27">
        <f>IF($B1212="","",IF($K1211="",$C$10,$K1211)+IF($I1212="",0,$I1212)-IF($J1212="",0,$J1212))</f>
        <v/>
      </c>
      <c r="L1212" s="28">
        <f>IF($N1212&lt;&gt;"",IF(INDEX(PCNotes,$N1212)="","—",INDEX(PCNotes,$N1212)),IF($O1212&lt;&gt;"",IF(INDEX(LdgNoteB,$O1212)="","—",INDEX(LdgNoteB,$O1212)),""))</f>
        <v/>
      </c>
      <c r="N1212">
        <f>IFERROR(MATCH($C$5&amp;"|"&amp;RIGHT("000000"&amp;1196,6),LdgRankKeyA,0),"")</f>
        <v/>
      </c>
      <c r="O1212">
        <f>IFERROR(MATCH($C$5&amp;"|"&amp;RIGHT("000000"&amp;1196,6),LdgRankKeyB,0),"")</f>
        <v/>
      </c>
    </row>
    <row r="1213">
      <c r="A1213" s="17" t="n">
        <v>1197</v>
      </c>
      <c r="B1213" s="18">
        <f>IF(AND($N1213="",$O1213=""),"",IF($N1213&lt;&gt;"",INDEX(PCNormDate,$N1213),INDEX(LdgDateB,$O1213)))</f>
        <v/>
      </c>
      <c r="C1213" s="18">
        <f>IF($N1213&lt;&gt;"",INDEX(PCOp,$N1213),IF($O1213&lt;&gt;"",IF(N(INDEX(TxnDepB,$O1213))&gt;0,"دریافت بانکی","پرداخت بانکی"),""))</f>
        <v/>
      </c>
      <c r="D1213" s="18">
        <f>IF($N1213&lt;&gt;"",IF(INDEX(PCDoc,$N1213)="","—",INDEX(PCDoc,$N1213)),IF($O1213&lt;&gt;"",INDEX(LdgBankB,$O1213),""))</f>
        <v/>
      </c>
      <c r="E1213" s="18">
        <f>IF($N1213&lt;&gt;"",IF(INDEX(PCCitrus,$N1213)="","—",INDEX(PCCitrus,$N1213)),"")</f>
        <v/>
      </c>
      <c r="F1213" s="19">
        <f>IF($N1213&lt;&gt;"",IF(INDEX(PCScale,$N1213)=0,"",INDEX(PCScale,$N1213)),"")</f>
        <v/>
      </c>
      <c r="G1213" s="19">
        <f>IF($N1213&lt;&gt;"",IF(INDEX(PCBaskets,$N1213)=0,"",INDEX(PCBaskets,$N1213)),"")</f>
        <v/>
      </c>
      <c r="H1213" s="20">
        <f>IF($N1213&lt;&gt;"",IF(INDEX(PCNet,$N1213)=0,"",INDEX(PCNet,$N1213)),"")</f>
        <v/>
      </c>
      <c r="I1213" s="19">
        <f>IF($N1213&lt;&gt;"",IF(INDEX(PCOp,$N1213)="مرجوعی خرید","",IF(INDEX(PCAmount,$N1213)&lt;=0,"",INDEX(PCAmount,$N1213))),IF($O1213&lt;&gt;"",IF(INDEX(TxnDepB,$O1213)=0,"",INDEX(TxnDepB,$O1213)),""))</f>
        <v/>
      </c>
      <c r="J1213" s="19">
        <f>IF($N1213&lt;&gt;"",IF(INDEX(PCOp,$N1213)="مرجوعی خرید",IF(INDEX(PCAmount,$N1213)=0,"",-INDEX(PCAmount,$N1213)),""),IF($O1213&lt;&gt;"",IF(INDEX(TxnWitB,$O1213)=0,"",INDEX(TxnWitB,$O1213)),""))</f>
        <v/>
      </c>
      <c r="K1213" s="21">
        <f>IF($B1213="","",IF($K1212="",$C$10,$K1212)+IF($I1213="",0,$I1213)-IF($J1213="",0,$J1213))</f>
        <v/>
      </c>
      <c r="L1213" s="22">
        <f>IF($N1213&lt;&gt;"",IF(INDEX(PCNotes,$N1213)="","—",INDEX(PCNotes,$N1213)),IF($O1213&lt;&gt;"",IF(INDEX(LdgNoteB,$O1213)="","—",INDEX(LdgNoteB,$O1213)),""))</f>
        <v/>
      </c>
      <c r="N1213">
        <f>IFERROR(MATCH($C$5&amp;"|"&amp;RIGHT("000000"&amp;1197,6),LdgRankKeyA,0),"")</f>
        <v/>
      </c>
      <c r="O1213">
        <f>IFERROR(MATCH($C$5&amp;"|"&amp;RIGHT("000000"&amp;1197,6),LdgRankKeyB,0),"")</f>
        <v/>
      </c>
    </row>
    <row r="1214">
      <c r="A1214" s="23" t="n">
        <v>1198</v>
      </c>
      <c r="B1214" s="24">
        <f>IF(AND($N1214="",$O1214=""),"",IF($N1214&lt;&gt;"",INDEX(PCNormDate,$N1214),INDEX(LdgDateB,$O1214)))</f>
        <v/>
      </c>
      <c r="C1214" s="24">
        <f>IF($N1214&lt;&gt;"",INDEX(PCOp,$N1214),IF($O1214&lt;&gt;"",IF(N(INDEX(TxnDepB,$O1214))&gt;0,"دریافت بانکی","پرداخت بانکی"),""))</f>
        <v/>
      </c>
      <c r="D1214" s="24">
        <f>IF($N1214&lt;&gt;"",IF(INDEX(PCDoc,$N1214)="","—",INDEX(PCDoc,$N1214)),IF($O1214&lt;&gt;"",INDEX(LdgBankB,$O1214),""))</f>
        <v/>
      </c>
      <c r="E1214" s="24">
        <f>IF($N1214&lt;&gt;"",IF(INDEX(PCCitrus,$N1214)="","—",INDEX(PCCitrus,$N1214)),"")</f>
        <v/>
      </c>
      <c r="F1214" s="25">
        <f>IF($N1214&lt;&gt;"",IF(INDEX(PCScale,$N1214)=0,"",INDEX(PCScale,$N1214)),"")</f>
        <v/>
      </c>
      <c r="G1214" s="25">
        <f>IF($N1214&lt;&gt;"",IF(INDEX(PCBaskets,$N1214)=0,"",INDEX(PCBaskets,$N1214)),"")</f>
        <v/>
      </c>
      <c r="H1214" s="26">
        <f>IF($N1214&lt;&gt;"",IF(INDEX(PCNet,$N1214)=0,"",INDEX(PCNet,$N1214)),"")</f>
        <v/>
      </c>
      <c r="I1214" s="25">
        <f>IF($N1214&lt;&gt;"",IF(INDEX(PCOp,$N1214)="مرجوعی خرید","",IF(INDEX(PCAmount,$N1214)&lt;=0,"",INDEX(PCAmount,$N1214))),IF($O1214&lt;&gt;"",IF(INDEX(TxnDepB,$O1214)=0,"",INDEX(TxnDepB,$O1214)),""))</f>
        <v/>
      </c>
      <c r="J1214" s="25">
        <f>IF($N1214&lt;&gt;"",IF(INDEX(PCOp,$N1214)="مرجوعی خرید",IF(INDEX(PCAmount,$N1214)=0,"",-INDEX(PCAmount,$N1214)),""),IF($O1214&lt;&gt;"",IF(INDEX(TxnWitB,$O1214)=0,"",INDEX(TxnWitB,$O1214)),""))</f>
        <v/>
      </c>
      <c r="K1214" s="27">
        <f>IF($B1214="","",IF($K1213="",$C$10,$K1213)+IF($I1214="",0,$I1214)-IF($J1214="",0,$J1214))</f>
        <v/>
      </c>
      <c r="L1214" s="28">
        <f>IF($N1214&lt;&gt;"",IF(INDEX(PCNotes,$N1214)="","—",INDEX(PCNotes,$N1214)),IF($O1214&lt;&gt;"",IF(INDEX(LdgNoteB,$O1214)="","—",INDEX(LdgNoteB,$O1214)),""))</f>
        <v/>
      </c>
      <c r="N1214">
        <f>IFERROR(MATCH($C$5&amp;"|"&amp;RIGHT("000000"&amp;1198,6),LdgRankKeyA,0),"")</f>
        <v/>
      </c>
      <c r="O1214">
        <f>IFERROR(MATCH($C$5&amp;"|"&amp;RIGHT("000000"&amp;1198,6),LdgRankKeyB,0),"")</f>
        <v/>
      </c>
    </row>
    <row r="1215">
      <c r="A1215" s="17" t="n">
        <v>1199</v>
      </c>
      <c r="B1215" s="18">
        <f>IF(AND($N1215="",$O1215=""),"",IF($N1215&lt;&gt;"",INDEX(PCNormDate,$N1215),INDEX(LdgDateB,$O1215)))</f>
        <v/>
      </c>
      <c r="C1215" s="18">
        <f>IF($N1215&lt;&gt;"",INDEX(PCOp,$N1215),IF($O1215&lt;&gt;"",IF(N(INDEX(TxnDepB,$O1215))&gt;0,"دریافت بانکی","پرداخت بانکی"),""))</f>
        <v/>
      </c>
      <c r="D1215" s="18">
        <f>IF($N1215&lt;&gt;"",IF(INDEX(PCDoc,$N1215)="","—",INDEX(PCDoc,$N1215)),IF($O1215&lt;&gt;"",INDEX(LdgBankB,$O1215),""))</f>
        <v/>
      </c>
      <c r="E1215" s="18">
        <f>IF($N1215&lt;&gt;"",IF(INDEX(PCCitrus,$N1215)="","—",INDEX(PCCitrus,$N1215)),"")</f>
        <v/>
      </c>
      <c r="F1215" s="19">
        <f>IF($N1215&lt;&gt;"",IF(INDEX(PCScale,$N1215)=0,"",INDEX(PCScale,$N1215)),"")</f>
        <v/>
      </c>
      <c r="G1215" s="19">
        <f>IF($N1215&lt;&gt;"",IF(INDEX(PCBaskets,$N1215)=0,"",INDEX(PCBaskets,$N1215)),"")</f>
        <v/>
      </c>
      <c r="H1215" s="20">
        <f>IF($N1215&lt;&gt;"",IF(INDEX(PCNet,$N1215)=0,"",INDEX(PCNet,$N1215)),"")</f>
        <v/>
      </c>
      <c r="I1215" s="19">
        <f>IF($N1215&lt;&gt;"",IF(INDEX(PCOp,$N1215)="مرجوعی خرید","",IF(INDEX(PCAmount,$N1215)&lt;=0,"",INDEX(PCAmount,$N1215))),IF($O1215&lt;&gt;"",IF(INDEX(TxnDepB,$O1215)=0,"",INDEX(TxnDepB,$O1215)),""))</f>
        <v/>
      </c>
      <c r="J1215" s="19">
        <f>IF($N1215&lt;&gt;"",IF(INDEX(PCOp,$N1215)="مرجوعی خرید",IF(INDEX(PCAmount,$N1215)=0,"",-INDEX(PCAmount,$N1215)),""),IF($O1215&lt;&gt;"",IF(INDEX(TxnWitB,$O1215)=0,"",INDEX(TxnWitB,$O1215)),""))</f>
        <v/>
      </c>
      <c r="K1215" s="21">
        <f>IF($B1215="","",IF($K1214="",$C$10,$K1214)+IF($I1215="",0,$I1215)-IF($J1215="",0,$J1215))</f>
        <v/>
      </c>
      <c r="L1215" s="22">
        <f>IF($N1215&lt;&gt;"",IF(INDEX(PCNotes,$N1215)="","—",INDEX(PCNotes,$N1215)),IF($O1215&lt;&gt;"",IF(INDEX(LdgNoteB,$O1215)="","—",INDEX(LdgNoteB,$O1215)),""))</f>
        <v/>
      </c>
      <c r="N1215">
        <f>IFERROR(MATCH($C$5&amp;"|"&amp;RIGHT("000000"&amp;1199,6),LdgRankKeyA,0),"")</f>
        <v/>
      </c>
      <c r="O1215">
        <f>IFERROR(MATCH($C$5&amp;"|"&amp;RIGHT("000000"&amp;1199,6),LdgRankKeyB,0),"")</f>
        <v/>
      </c>
    </row>
    <row r="1216">
      <c r="A1216" s="23" t="n">
        <v>1200</v>
      </c>
      <c r="B1216" s="24">
        <f>IF(AND($N1216="",$O1216=""),"",IF($N1216&lt;&gt;"",INDEX(PCNormDate,$N1216),INDEX(LdgDateB,$O1216)))</f>
        <v/>
      </c>
      <c r="C1216" s="24">
        <f>IF($N1216&lt;&gt;"",INDEX(PCOp,$N1216),IF($O1216&lt;&gt;"",IF(N(INDEX(TxnDepB,$O1216))&gt;0,"دریافت بانکی","پرداخت بانکی"),""))</f>
        <v/>
      </c>
      <c r="D1216" s="24">
        <f>IF($N1216&lt;&gt;"",IF(INDEX(PCDoc,$N1216)="","—",INDEX(PCDoc,$N1216)),IF($O1216&lt;&gt;"",INDEX(LdgBankB,$O1216),""))</f>
        <v/>
      </c>
      <c r="E1216" s="24">
        <f>IF($N1216&lt;&gt;"",IF(INDEX(PCCitrus,$N1216)="","—",INDEX(PCCitrus,$N1216)),"")</f>
        <v/>
      </c>
      <c r="F1216" s="25">
        <f>IF($N1216&lt;&gt;"",IF(INDEX(PCScale,$N1216)=0,"",INDEX(PCScale,$N1216)),"")</f>
        <v/>
      </c>
      <c r="G1216" s="25">
        <f>IF($N1216&lt;&gt;"",IF(INDEX(PCBaskets,$N1216)=0,"",INDEX(PCBaskets,$N1216)),"")</f>
        <v/>
      </c>
      <c r="H1216" s="26">
        <f>IF($N1216&lt;&gt;"",IF(INDEX(PCNet,$N1216)=0,"",INDEX(PCNet,$N1216)),"")</f>
        <v/>
      </c>
      <c r="I1216" s="25">
        <f>IF($N1216&lt;&gt;"",IF(INDEX(PCOp,$N1216)="مرجوعی خرید","",IF(INDEX(PCAmount,$N1216)&lt;=0,"",INDEX(PCAmount,$N1216))),IF($O1216&lt;&gt;"",IF(INDEX(TxnDepB,$O1216)=0,"",INDEX(TxnDepB,$O1216)),""))</f>
        <v/>
      </c>
      <c r="J1216" s="25">
        <f>IF($N1216&lt;&gt;"",IF(INDEX(PCOp,$N1216)="مرجوعی خرید",IF(INDEX(PCAmount,$N1216)=0,"",-INDEX(PCAmount,$N1216)),""),IF($O1216&lt;&gt;"",IF(INDEX(TxnWitB,$O1216)=0,"",INDEX(TxnWitB,$O1216)),""))</f>
        <v/>
      </c>
      <c r="K1216" s="27">
        <f>IF($B1216="","",IF($K1215="",$C$10,$K1215)+IF($I1216="",0,$I1216)-IF($J1216="",0,$J1216))</f>
        <v/>
      </c>
      <c r="L1216" s="28">
        <f>IF($N1216&lt;&gt;"",IF(INDEX(PCNotes,$N1216)="","—",INDEX(PCNotes,$N1216)),IF($O1216&lt;&gt;"",IF(INDEX(LdgNoteB,$O1216)="","—",INDEX(LdgNoteB,$O1216)),""))</f>
        <v/>
      </c>
      <c r="N1216">
        <f>IFERROR(MATCH($C$5&amp;"|"&amp;RIGHT("000000"&amp;1200,6),LdgRankKeyA,0),"")</f>
        <v/>
      </c>
      <c r="O1216">
        <f>IFERROR(MATCH($C$5&amp;"|"&amp;RIGHT("000000"&amp;1200,6),LdgRankKeyB,0),"")</f>
        <v/>
      </c>
    </row>
    <row r="1217">
      <c r="A1217" s="17" t="n">
        <v>1201</v>
      </c>
      <c r="B1217" s="18">
        <f>IF(AND($N1217="",$O1217=""),"",IF($N1217&lt;&gt;"",INDEX(PCNormDate,$N1217),INDEX(LdgDateB,$O1217)))</f>
        <v/>
      </c>
      <c r="C1217" s="18">
        <f>IF($N1217&lt;&gt;"",INDEX(PCOp,$N1217),IF($O1217&lt;&gt;"",IF(N(INDEX(TxnDepB,$O1217))&gt;0,"دریافت بانکی","پرداخت بانکی"),""))</f>
        <v/>
      </c>
      <c r="D1217" s="18">
        <f>IF($N1217&lt;&gt;"",IF(INDEX(PCDoc,$N1217)="","—",INDEX(PCDoc,$N1217)),IF($O1217&lt;&gt;"",INDEX(LdgBankB,$O1217),""))</f>
        <v/>
      </c>
      <c r="E1217" s="18">
        <f>IF($N1217&lt;&gt;"",IF(INDEX(PCCitrus,$N1217)="","—",INDEX(PCCitrus,$N1217)),"")</f>
        <v/>
      </c>
      <c r="F1217" s="19">
        <f>IF($N1217&lt;&gt;"",IF(INDEX(PCScale,$N1217)=0,"",INDEX(PCScale,$N1217)),"")</f>
        <v/>
      </c>
      <c r="G1217" s="19">
        <f>IF($N1217&lt;&gt;"",IF(INDEX(PCBaskets,$N1217)=0,"",INDEX(PCBaskets,$N1217)),"")</f>
        <v/>
      </c>
      <c r="H1217" s="20">
        <f>IF($N1217&lt;&gt;"",IF(INDEX(PCNet,$N1217)=0,"",INDEX(PCNet,$N1217)),"")</f>
        <v/>
      </c>
      <c r="I1217" s="19">
        <f>IF($N1217&lt;&gt;"",IF(INDEX(PCOp,$N1217)="مرجوعی خرید","",IF(INDEX(PCAmount,$N1217)&lt;=0,"",INDEX(PCAmount,$N1217))),IF($O1217&lt;&gt;"",IF(INDEX(TxnDepB,$O1217)=0,"",INDEX(TxnDepB,$O1217)),""))</f>
        <v/>
      </c>
      <c r="J1217" s="19">
        <f>IF($N1217&lt;&gt;"",IF(INDEX(PCOp,$N1217)="مرجوعی خرید",IF(INDEX(PCAmount,$N1217)=0,"",-INDEX(PCAmount,$N1217)),""),IF($O1217&lt;&gt;"",IF(INDEX(TxnWitB,$O1217)=0,"",INDEX(TxnWitB,$O1217)),""))</f>
        <v/>
      </c>
      <c r="K1217" s="21">
        <f>IF($B1217="","",IF($K1216="",$C$10,$K1216)+IF($I1217="",0,$I1217)-IF($J1217="",0,$J1217))</f>
        <v/>
      </c>
      <c r="L1217" s="22">
        <f>IF($N1217&lt;&gt;"",IF(INDEX(PCNotes,$N1217)="","—",INDEX(PCNotes,$N1217)),IF($O1217&lt;&gt;"",IF(INDEX(LdgNoteB,$O1217)="","—",INDEX(LdgNoteB,$O1217)),""))</f>
        <v/>
      </c>
      <c r="N1217">
        <f>IFERROR(MATCH($C$5&amp;"|"&amp;RIGHT("000000"&amp;1201,6),LdgRankKeyA,0),"")</f>
        <v/>
      </c>
      <c r="O1217">
        <f>IFERROR(MATCH($C$5&amp;"|"&amp;RIGHT("000000"&amp;1201,6),LdgRankKeyB,0),"")</f>
        <v/>
      </c>
    </row>
    <row r="1218">
      <c r="A1218" s="23" t="n">
        <v>1202</v>
      </c>
      <c r="B1218" s="24">
        <f>IF(AND($N1218="",$O1218=""),"",IF($N1218&lt;&gt;"",INDEX(PCNormDate,$N1218),INDEX(LdgDateB,$O1218)))</f>
        <v/>
      </c>
      <c r="C1218" s="24">
        <f>IF($N1218&lt;&gt;"",INDEX(PCOp,$N1218),IF($O1218&lt;&gt;"",IF(N(INDEX(TxnDepB,$O1218))&gt;0,"دریافت بانکی","پرداخت بانکی"),""))</f>
        <v/>
      </c>
      <c r="D1218" s="24">
        <f>IF($N1218&lt;&gt;"",IF(INDEX(PCDoc,$N1218)="","—",INDEX(PCDoc,$N1218)),IF($O1218&lt;&gt;"",INDEX(LdgBankB,$O1218),""))</f>
        <v/>
      </c>
      <c r="E1218" s="24">
        <f>IF($N1218&lt;&gt;"",IF(INDEX(PCCitrus,$N1218)="","—",INDEX(PCCitrus,$N1218)),"")</f>
        <v/>
      </c>
      <c r="F1218" s="25">
        <f>IF($N1218&lt;&gt;"",IF(INDEX(PCScale,$N1218)=0,"",INDEX(PCScale,$N1218)),"")</f>
        <v/>
      </c>
      <c r="G1218" s="25">
        <f>IF($N1218&lt;&gt;"",IF(INDEX(PCBaskets,$N1218)=0,"",INDEX(PCBaskets,$N1218)),"")</f>
        <v/>
      </c>
      <c r="H1218" s="26">
        <f>IF($N1218&lt;&gt;"",IF(INDEX(PCNet,$N1218)=0,"",INDEX(PCNet,$N1218)),"")</f>
        <v/>
      </c>
      <c r="I1218" s="25">
        <f>IF($N1218&lt;&gt;"",IF(INDEX(PCOp,$N1218)="مرجوعی خرید","",IF(INDEX(PCAmount,$N1218)&lt;=0,"",INDEX(PCAmount,$N1218))),IF($O1218&lt;&gt;"",IF(INDEX(TxnDepB,$O1218)=0,"",INDEX(TxnDepB,$O1218)),""))</f>
        <v/>
      </c>
      <c r="J1218" s="25">
        <f>IF($N1218&lt;&gt;"",IF(INDEX(PCOp,$N1218)="مرجوعی خرید",IF(INDEX(PCAmount,$N1218)=0,"",-INDEX(PCAmount,$N1218)),""),IF($O1218&lt;&gt;"",IF(INDEX(TxnWitB,$O1218)=0,"",INDEX(TxnWitB,$O1218)),""))</f>
        <v/>
      </c>
      <c r="K1218" s="27">
        <f>IF($B1218="","",IF($K1217="",$C$10,$K1217)+IF($I1218="",0,$I1218)-IF($J1218="",0,$J1218))</f>
        <v/>
      </c>
      <c r="L1218" s="28">
        <f>IF($N1218&lt;&gt;"",IF(INDEX(PCNotes,$N1218)="","—",INDEX(PCNotes,$N1218)),IF($O1218&lt;&gt;"",IF(INDEX(LdgNoteB,$O1218)="","—",INDEX(LdgNoteB,$O1218)),""))</f>
        <v/>
      </c>
      <c r="N1218">
        <f>IFERROR(MATCH($C$5&amp;"|"&amp;RIGHT("000000"&amp;1202,6),LdgRankKeyA,0),"")</f>
        <v/>
      </c>
      <c r="O1218">
        <f>IFERROR(MATCH($C$5&amp;"|"&amp;RIGHT("000000"&amp;1202,6),LdgRankKeyB,0),"")</f>
        <v/>
      </c>
    </row>
    <row r="1219">
      <c r="A1219" s="17" t="n">
        <v>1203</v>
      </c>
      <c r="B1219" s="18">
        <f>IF(AND($N1219="",$O1219=""),"",IF($N1219&lt;&gt;"",INDEX(PCNormDate,$N1219),INDEX(LdgDateB,$O1219)))</f>
        <v/>
      </c>
      <c r="C1219" s="18">
        <f>IF($N1219&lt;&gt;"",INDEX(PCOp,$N1219),IF($O1219&lt;&gt;"",IF(N(INDEX(TxnDepB,$O1219))&gt;0,"دریافت بانکی","پرداخت بانکی"),""))</f>
        <v/>
      </c>
      <c r="D1219" s="18">
        <f>IF($N1219&lt;&gt;"",IF(INDEX(PCDoc,$N1219)="","—",INDEX(PCDoc,$N1219)),IF($O1219&lt;&gt;"",INDEX(LdgBankB,$O1219),""))</f>
        <v/>
      </c>
      <c r="E1219" s="18">
        <f>IF($N1219&lt;&gt;"",IF(INDEX(PCCitrus,$N1219)="","—",INDEX(PCCitrus,$N1219)),"")</f>
        <v/>
      </c>
      <c r="F1219" s="19">
        <f>IF($N1219&lt;&gt;"",IF(INDEX(PCScale,$N1219)=0,"",INDEX(PCScale,$N1219)),"")</f>
        <v/>
      </c>
      <c r="G1219" s="19">
        <f>IF($N1219&lt;&gt;"",IF(INDEX(PCBaskets,$N1219)=0,"",INDEX(PCBaskets,$N1219)),"")</f>
        <v/>
      </c>
      <c r="H1219" s="20">
        <f>IF($N1219&lt;&gt;"",IF(INDEX(PCNet,$N1219)=0,"",INDEX(PCNet,$N1219)),"")</f>
        <v/>
      </c>
      <c r="I1219" s="19">
        <f>IF($N1219&lt;&gt;"",IF(INDEX(PCOp,$N1219)="مرجوعی خرید","",IF(INDEX(PCAmount,$N1219)&lt;=0,"",INDEX(PCAmount,$N1219))),IF($O1219&lt;&gt;"",IF(INDEX(TxnDepB,$O1219)=0,"",INDEX(TxnDepB,$O1219)),""))</f>
        <v/>
      </c>
      <c r="J1219" s="19">
        <f>IF($N1219&lt;&gt;"",IF(INDEX(PCOp,$N1219)="مرجوعی خرید",IF(INDEX(PCAmount,$N1219)=0,"",-INDEX(PCAmount,$N1219)),""),IF($O1219&lt;&gt;"",IF(INDEX(TxnWitB,$O1219)=0,"",INDEX(TxnWitB,$O1219)),""))</f>
        <v/>
      </c>
      <c r="K1219" s="21">
        <f>IF($B1219="","",IF($K1218="",$C$10,$K1218)+IF($I1219="",0,$I1219)-IF($J1219="",0,$J1219))</f>
        <v/>
      </c>
      <c r="L1219" s="22">
        <f>IF($N1219&lt;&gt;"",IF(INDEX(PCNotes,$N1219)="","—",INDEX(PCNotes,$N1219)),IF($O1219&lt;&gt;"",IF(INDEX(LdgNoteB,$O1219)="","—",INDEX(LdgNoteB,$O1219)),""))</f>
        <v/>
      </c>
      <c r="N1219">
        <f>IFERROR(MATCH($C$5&amp;"|"&amp;RIGHT("000000"&amp;1203,6),LdgRankKeyA,0),"")</f>
        <v/>
      </c>
      <c r="O1219">
        <f>IFERROR(MATCH($C$5&amp;"|"&amp;RIGHT("000000"&amp;1203,6),LdgRankKeyB,0),"")</f>
        <v/>
      </c>
    </row>
    <row r="1220">
      <c r="A1220" s="23" t="n">
        <v>1204</v>
      </c>
      <c r="B1220" s="24">
        <f>IF(AND($N1220="",$O1220=""),"",IF($N1220&lt;&gt;"",INDEX(PCNormDate,$N1220),INDEX(LdgDateB,$O1220)))</f>
        <v/>
      </c>
      <c r="C1220" s="24">
        <f>IF($N1220&lt;&gt;"",INDEX(PCOp,$N1220),IF($O1220&lt;&gt;"",IF(N(INDEX(TxnDepB,$O1220))&gt;0,"دریافت بانکی","پرداخت بانکی"),""))</f>
        <v/>
      </c>
      <c r="D1220" s="24">
        <f>IF($N1220&lt;&gt;"",IF(INDEX(PCDoc,$N1220)="","—",INDEX(PCDoc,$N1220)),IF($O1220&lt;&gt;"",INDEX(LdgBankB,$O1220),""))</f>
        <v/>
      </c>
      <c r="E1220" s="24">
        <f>IF($N1220&lt;&gt;"",IF(INDEX(PCCitrus,$N1220)="","—",INDEX(PCCitrus,$N1220)),"")</f>
        <v/>
      </c>
      <c r="F1220" s="25">
        <f>IF($N1220&lt;&gt;"",IF(INDEX(PCScale,$N1220)=0,"",INDEX(PCScale,$N1220)),"")</f>
        <v/>
      </c>
      <c r="G1220" s="25">
        <f>IF($N1220&lt;&gt;"",IF(INDEX(PCBaskets,$N1220)=0,"",INDEX(PCBaskets,$N1220)),"")</f>
        <v/>
      </c>
      <c r="H1220" s="26">
        <f>IF($N1220&lt;&gt;"",IF(INDEX(PCNet,$N1220)=0,"",INDEX(PCNet,$N1220)),"")</f>
        <v/>
      </c>
      <c r="I1220" s="25">
        <f>IF($N1220&lt;&gt;"",IF(INDEX(PCOp,$N1220)="مرجوعی خرید","",IF(INDEX(PCAmount,$N1220)&lt;=0,"",INDEX(PCAmount,$N1220))),IF($O1220&lt;&gt;"",IF(INDEX(TxnDepB,$O1220)=0,"",INDEX(TxnDepB,$O1220)),""))</f>
        <v/>
      </c>
      <c r="J1220" s="25">
        <f>IF($N1220&lt;&gt;"",IF(INDEX(PCOp,$N1220)="مرجوعی خرید",IF(INDEX(PCAmount,$N1220)=0,"",-INDEX(PCAmount,$N1220)),""),IF($O1220&lt;&gt;"",IF(INDEX(TxnWitB,$O1220)=0,"",INDEX(TxnWitB,$O1220)),""))</f>
        <v/>
      </c>
      <c r="K1220" s="27">
        <f>IF($B1220="","",IF($K1219="",$C$10,$K1219)+IF($I1220="",0,$I1220)-IF($J1220="",0,$J1220))</f>
        <v/>
      </c>
      <c r="L1220" s="28">
        <f>IF($N1220&lt;&gt;"",IF(INDEX(PCNotes,$N1220)="","—",INDEX(PCNotes,$N1220)),IF($O1220&lt;&gt;"",IF(INDEX(LdgNoteB,$O1220)="","—",INDEX(LdgNoteB,$O1220)),""))</f>
        <v/>
      </c>
      <c r="N1220">
        <f>IFERROR(MATCH($C$5&amp;"|"&amp;RIGHT("000000"&amp;1204,6),LdgRankKeyA,0),"")</f>
        <v/>
      </c>
      <c r="O1220">
        <f>IFERROR(MATCH($C$5&amp;"|"&amp;RIGHT("000000"&amp;1204,6),LdgRankKeyB,0),"")</f>
        <v/>
      </c>
    </row>
    <row r="1221">
      <c r="A1221" s="17" t="n">
        <v>1205</v>
      </c>
      <c r="B1221" s="18">
        <f>IF(AND($N1221="",$O1221=""),"",IF($N1221&lt;&gt;"",INDEX(PCNormDate,$N1221),INDEX(LdgDateB,$O1221)))</f>
        <v/>
      </c>
      <c r="C1221" s="18">
        <f>IF($N1221&lt;&gt;"",INDEX(PCOp,$N1221),IF($O1221&lt;&gt;"",IF(N(INDEX(TxnDepB,$O1221))&gt;0,"دریافت بانکی","پرداخت بانکی"),""))</f>
        <v/>
      </c>
      <c r="D1221" s="18">
        <f>IF($N1221&lt;&gt;"",IF(INDEX(PCDoc,$N1221)="","—",INDEX(PCDoc,$N1221)),IF($O1221&lt;&gt;"",INDEX(LdgBankB,$O1221),""))</f>
        <v/>
      </c>
      <c r="E1221" s="18">
        <f>IF($N1221&lt;&gt;"",IF(INDEX(PCCitrus,$N1221)="","—",INDEX(PCCitrus,$N1221)),"")</f>
        <v/>
      </c>
      <c r="F1221" s="19">
        <f>IF($N1221&lt;&gt;"",IF(INDEX(PCScale,$N1221)=0,"",INDEX(PCScale,$N1221)),"")</f>
        <v/>
      </c>
      <c r="G1221" s="19">
        <f>IF($N1221&lt;&gt;"",IF(INDEX(PCBaskets,$N1221)=0,"",INDEX(PCBaskets,$N1221)),"")</f>
        <v/>
      </c>
      <c r="H1221" s="20">
        <f>IF($N1221&lt;&gt;"",IF(INDEX(PCNet,$N1221)=0,"",INDEX(PCNet,$N1221)),"")</f>
        <v/>
      </c>
      <c r="I1221" s="19">
        <f>IF($N1221&lt;&gt;"",IF(INDEX(PCOp,$N1221)="مرجوعی خرید","",IF(INDEX(PCAmount,$N1221)&lt;=0,"",INDEX(PCAmount,$N1221))),IF($O1221&lt;&gt;"",IF(INDEX(TxnDepB,$O1221)=0,"",INDEX(TxnDepB,$O1221)),""))</f>
        <v/>
      </c>
      <c r="J1221" s="19">
        <f>IF($N1221&lt;&gt;"",IF(INDEX(PCOp,$N1221)="مرجوعی خرید",IF(INDEX(PCAmount,$N1221)=0,"",-INDEX(PCAmount,$N1221)),""),IF($O1221&lt;&gt;"",IF(INDEX(TxnWitB,$O1221)=0,"",INDEX(TxnWitB,$O1221)),""))</f>
        <v/>
      </c>
      <c r="K1221" s="21">
        <f>IF($B1221="","",IF($K1220="",$C$10,$K1220)+IF($I1221="",0,$I1221)-IF($J1221="",0,$J1221))</f>
        <v/>
      </c>
      <c r="L1221" s="22">
        <f>IF($N1221&lt;&gt;"",IF(INDEX(PCNotes,$N1221)="","—",INDEX(PCNotes,$N1221)),IF($O1221&lt;&gt;"",IF(INDEX(LdgNoteB,$O1221)="","—",INDEX(LdgNoteB,$O1221)),""))</f>
        <v/>
      </c>
      <c r="N1221">
        <f>IFERROR(MATCH($C$5&amp;"|"&amp;RIGHT("000000"&amp;1205,6),LdgRankKeyA,0),"")</f>
        <v/>
      </c>
      <c r="O1221">
        <f>IFERROR(MATCH($C$5&amp;"|"&amp;RIGHT("000000"&amp;1205,6),LdgRankKeyB,0),"")</f>
        <v/>
      </c>
    </row>
    <row r="1222">
      <c r="A1222" s="23" t="n">
        <v>1206</v>
      </c>
      <c r="B1222" s="24">
        <f>IF(AND($N1222="",$O1222=""),"",IF($N1222&lt;&gt;"",INDEX(PCNormDate,$N1222),INDEX(LdgDateB,$O1222)))</f>
        <v/>
      </c>
      <c r="C1222" s="24">
        <f>IF($N1222&lt;&gt;"",INDEX(PCOp,$N1222),IF($O1222&lt;&gt;"",IF(N(INDEX(TxnDepB,$O1222))&gt;0,"دریافت بانکی","پرداخت بانکی"),""))</f>
        <v/>
      </c>
      <c r="D1222" s="24">
        <f>IF($N1222&lt;&gt;"",IF(INDEX(PCDoc,$N1222)="","—",INDEX(PCDoc,$N1222)),IF($O1222&lt;&gt;"",INDEX(LdgBankB,$O1222),""))</f>
        <v/>
      </c>
      <c r="E1222" s="24">
        <f>IF($N1222&lt;&gt;"",IF(INDEX(PCCitrus,$N1222)="","—",INDEX(PCCitrus,$N1222)),"")</f>
        <v/>
      </c>
      <c r="F1222" s="25">
        <f>IF($N1222&lt;&gt;"",IF(INDEX(PCScale,$N1222)=0,"",INDEX(PCScale,$N1222)),"")</f>
        <v/>
      </c>
      <c r="G1222" s="25">
        <f>IF($N1222&lt;&gt;"",IF(INDEX(PCBaskets,$N1222)=0,"",INDEX(PCBaskets,$N1222)),"")</f>
        <v/>
      </c>
      <c r="H1222" s="26">
        <f>IF($N1222&lt;&gt;"",IF(INDEX(PCNet,$N1222)=0,"",INDEX(PCNet,$N1222)),"")</f>
        <v/>
      </c>
      <c r="I1222" s="25">
        <f>IF($N1222&lt;&gt;"",IF(INDEX(PCOp,$N1222)="مرجوعی خرید","",IF(INDEX(PCAmount,$N1222)&lt;=0,"",INDEX(PCAmount,$N1222))),IF($O1222&lt;&gt;"",IF(INDEX(TxnDepB,$O1222)=0,"",INDEX(TxnDepB,$O1222)),""))</f>
        <v/>
      </c>
      <c r="J1222" s="25">
        <f>IF($N1222&lt;&gt;"",IF(INDEX(PCOp,$N1222)="مرجوعی خرید",IF(INDEX(PCAmount,$N1222)=0,"",-INDEX(PCAmount,$N1222)),""),IF($O1222&lt;&gt;"",IF(INDEX(TxnWitB,$O1222)=0,"",INDEX(TxnWitB,$O1222)),""))</f>
        <v/>
      </c>
      <c r="K1222" s="27">
        <f>IF($B1222="","",IF($K1221="",$C$10,$K1221)+IF($I1222="",0,$I1222)-IF($J1222="",0,$J1222))</f>
        <v/>
      </c>
      <c r="L1222" s="28">
        <f>IF($N1222&lt;&gt;"",IF(INDEX(PCNotes,$N1222)="","—",INDEX(PCNotes,$N1222)),IF($O1222&lt;&gt;"",IF(INDEX(LdgNoteB,$O1222)="","—",INDEX(LdgNoteB,$O1222)),""))</f>
        <v/>
      </c>
      <c r="N1222">
        <f>IFERROR(MATCH($C$5&amp;"|"&amp;RIGHT("000000"&amp;1206,6),LdgRankKeyA,0),"")</f>
        <v/>
      </c>
      <c r="O1222">
        <f>IFERROR(MATCH($C$5&amp;"|"&amp;RIGHT("000000"&amp;1206,6),LdgRankKeyB,0),"")</f>
        <v/>
      </c>
    </row>
    <row r="1223">
      <c r="A1223" s="17" t="n">
        <v>1207</v>
      </c>
      <c r="B1223" s="18">
        <f>IF(AND($N1223="",$O1223=""),"",IF($N1223&lt;&gt;"",INDEX(PCNormDate,$N1223),INDEX(LdgDateB,$O1223)))</f>
        <v/>
      </c>
      <c r="C1223" s="18">
        <f>IF($N1223&lt;&gt;"",INDEX(PCOp,$N1223),IF($O1223&lt;&gt;"",IF(N(INDEX(TxnDepB,$O1223))&gt;0,"دریافت بانکی","پرداخت بانکی"),""))</f>
        <v/>
      </c>
      <c r="D1223" s="18">
        <f>IF($N1223&lt;&gt;"",IF(INDEX(PCDoc,$N1223)="","—",INDEX(PCDoc,$N1223)),IF($O1223&lt;&gt;"",INDEX(LdgBankB,$O1223),""))</f>
        <v/>
      </c>
      <c r="E1223" s="18">
        <f>IF($N1223&lt;&gt;"",IF(INDEX(PCCitrus,$N1223)="","—",INDEX(PCCitrus,$N1223)),"")</f>
        <v/>
      </c>
      <c r="F1223" s="19">
        <f>IF($N1223&lt;&gt;"",IF(INDEX(PCScale,$N1223)=0,"",INDEX(PCScale,$N1223)),"")</f>
        <v/>
      </c>
      <c r="G1223" s="19">
        <f>IF($N1223&lt;&gt;"",IF(INDEX(PCBaskets,$N1223)=0,"",INDEX(PCBaskets,$N1223)),"")</f>
        <v/>
      </c>
      <c r="H1223" s="20">
        <f>IF($N1223&lt;&gt;"",IF(INDEX(PCNet,$N1223)=0,"",INDEX(PCNet,$N1223)),"")</f>
        <v/>
      </c>
      <c r="I1223" s="19">
        <f>IF($N1223&lt;&gt;"",IF(INDEX(PCOp,$N1223)="مرجوعی خرید","",IF(INDEX(PCAmount,$N1223)&lt;=0,"",INDEX(PCAmount,$N1223))),IF($O1223&lt;&gt;"",IF(INDEX(TxnDepB,$O1223)=0,"",INDEX(TxnDepB,$O1223)),""))</f>
        <v/>
      </c>
      <c r="J1223" s="19">
        <f>IF($N1223&lt;&gt;"",IF(INDEX(PCOp,$N1223)="مرجوعی خرید",IF(INDEX(PCAmount,$N1223)=0,"",-INDEX(PCAmount,$N1223)),""),IF($O1223&lt;&gt;"",IF(INDEX(TxnWitB,$O1223)=0,"",INDEX(TxnWitB,$O1223)),""))</f>
        <v/>
      </c>
      <c r="K1223" s="21">
        <f>IF($B1223="","",IF($K1222="",$C$10,$K1222)+IF($I1223="",0,$I1223)-IF($J1223="",0,$J1223))</f>
        <v/>
      </c>
      <c r="L1223" s="22">
        <f>IF($N1223&lt;&gt;"",IF(INDEX(PCNotes,$N1223)="","—",INDEX(PCNotes,$N1223)),IF($O1223&lt;&gt;"",IF(INDEX(LdgNoteB,$O1223)="","—",INDEX(LdgNoteB,$O1223)),""))</f>
        <v/>
      </c>
      <c r="N1223">
        <f>IFERROR(MATCH($C$5&amp;"|"&amp;RIGHT("000000"&amp;1207,6),LdgRankKeyA,0),"")</f>
        <v/>
      </c>
      <c r="O1223">
        <f>IFERROR(MATCH($C$5&amp;"|"&amp;RIGHT("000000"&amp;1207,6),LdgRankKeyB,0),"")</f>
        <v/>
      </c>
    </row>
    <row r="1224">
      <c r="A1224" s="23" t="n">
        <v>1208</v>
      </c>
      <c r="B1224" s="24">
        <f>IF(AND($N1224="",$O1224=""),"",IF($N1224&lt;&gt;"",INDEX(PCNormDate,$N1224),INDEX(LdgDateB,$O1224)))</f>
        <v/>
      </c>
      <c r="C1224" s="24">
        <f>IF($N1224&lt;&gt;"",INDEX(PCOp,$N1224),IF($O1224&lt;&gt;"",IF(N(INDEX(TxnDepB,$O1224))&gt;0,"دریافت بانکی","پرداخت بانکی"),""))</f>
        <v/>
      </c>
      <c r="D1224" s="24">
        <f>IF($N1224&lt;&gt;"",IF(INDEX(PCDoc,$N1224)="","—",INDEX(PCDoc,$N1224)),IF($O1224&lt;&gt;"",INDEX(LdgBankB,$O1224),""))</f>
        <v/>
      </c>
      <c r="E1224" s="24">
        <f>IF($N1224&lt;&gt;"",IF(INDEX(PCCitrus,$N1224)="","—",INDEX(PCCitrus,$N1224)),"")</f>
        <v/>
      </c>
      <c r="F1224" s="25">
        <f>IF($N1224&lt;&gt;"",IF(INDEX(PCScale,$N1224)=0,"",INDEX(PCScale,$N1224)),"")</f>
        <v/>
      </c>
      <c r="G1224" s="25">
        <f>IF($N1224&lt;&gt;"",IF(INDEX(PCBaskets,$N1224)=0,"",INDEX(PCBaskets,$N1224)),"")</f>
        <v/>
      </c>
      <c r="H1224" s="26">
        <f>IF($N1224&lt;&gt;"",IF(INDEX(PCNet,$N1224)=0,"",INDEX(PCNet,$N1224)),"")</f>
        <v/>
      </c>
      <c r="I1224" s="25">
        <f>IF($N1224&lt;&gt;"",IF(INDEX(PCOp,$N1224)="مرجوعی خرید","",IF(INDEX(PCAmount,$N1224)&lt;=0,"",INDEX(PCAmount,$N1224))),IF($O1224&lt;&gt;"",IF(INDEX(TxnDepB,$O1224)=0,"",INDEX(TxnDepB,$O1224)),""))</f>
        <v/>
      </c>
      <c r="J1224" s="25">
        <f>IF($N1224&lt;&gt;"",IF(INDEX(PCOp,$N1224)="مرجوعی خرید",IF(INDEX(PCAmount,$N1224)=0,"",-INDEX(PCAmount,$N1224)),""),IF($O1224&lt;&gt;"",IF(INDEX(TxnWitB,$O1224)=0,"",INDEX(TxnWitB,$O1224)),""))</f>
        <v/>
      </c>
      <c r="K1224" s="27">
        <f>IF($B1224="","",IF($K1223="",$C$10,$K1223)+IF($I1224="",0,$I1224)-IF($J1224="",0,$J1224))</f>
        <v/>
      </c>
      <c r="L1224" s="28">
        <f>IF($N1224&lt;&gt;"",IF(INDEX(PCNotes,$N1224)="","—",INDEX(PCNotes,$N1224)),IF($O1224&lt;&gt;"",IF(INDEX(LdgNoteB,$O1224)="","—",INDEX(LdgNoteB,$O1224)),""))</f>
        <v/>
      </c>
      <c r="N1224">
        <f>IFERROR(MATCH($C$5&amp;"|"&amp;RIGHT("000000"&amp;1208,6),LdgRankKeyA,0),"")</f>
        <v/>
      </c>
      <c r="O1224">
        <f>IFERROR(MATCH($C$5&amp;"|"&amp;RIGHT("000000"&amp;1208,6),LdgRankKeyB,0),"")</f>
        <v/>
      </c>
    </row>
    <row r="1225">
      <c r="A1225" s="17" t="n">
        <v>1209</v>
      </c>
      <c r="B1225" s="18">
        <f>IF(AND($N1225="",$O1225=""),"",IF($N1225&lt;&gt;"",INDEX(PCNormDate,$N1225),INDEX(LdgDateB,$O1225)))</f>
        <v/>
      </c>
      <c r="C1225" s="18">
        <f>IF($N1225&lt;&gt;"",INDEX(PCOp,$N1225),IF($O1225&lt;&gt;"",IF(N(INDEX(TxnDepB,$O1225))&gt;0,"دریافت بانکی","پرداخت بانکی"),""))</f>
        <v/>
      </c>
      <c r="D1225" s="18">
        <f>IF($N1225&lt;&gt;"",IF(INDEX(PCDoc,$N1225)="","—",INDEX(PCDoc,$N1225)),IF($O1225&lt;&gt;"",INDEX(LdgBankB,$O1225),""))</f>
        <v/>
      </c>
      <c r="E1225" s="18">
        <f>IF($N1225&lt;&gt;"",IF(INDEX(PCCitrus,$N1225)="","—",INDEX(PCCitrus,$N1225)),"")</f>
        <v/>
      </c>
      <c r="F1225" s="19">
        <f>IF($N1225&lt;&gt;"",IF(INDEX(PCScale,$N1225)=0,"",INDEX(PCScale,$N1225)),"")</f>
        <v/>
      </c>
      <c r="G1225" s="19">
        <f>IF($N1225&lt;&gt;"",IF(INDEX(PCBaskets,$N1225)=0,"",INDEX(PCBaskets,$N1225)),"")</f>
        <v/>
      </c>
      <c r="H1225" s="20">
        <f>IF($N1225&lt;&gt;"",IF(INDEX(PCNet,$N1225)=0,"",INDEX(PCNet,$N1225)),"")</f>
        <v/>
      </c>
      <c r="I1225" s="19">
        <f>IF($N1225&lt;&gt;"",IF(INDEX(PCOp,$N1225)="مرجوعی خرید","",IF(INDEX(PCAmount,$N1225)&lt;=0,"",INDEX(PCAmount,$N1225))),IF($O1225&lt;&gt;"",IF(INDEX(TxnDepB,$O1225)=0,"",INDEX(TxnDepB,$O1225)),""))</f>
        <v/>
      </c>
      <c r="J1225" s="19">
        <f>IF($N1225&lt;&gt;"",IF(INDEX(PCOp,$N1225)="مرجوعی خرید",IF(INDEX(PCAmount,$N1225)=0,"",-INDEX(PCAmount,$N1225)),""),IF($O1225&lt;&gt;"",IF(INDEX(TxnWitB,$O1225)=0,"",INDEX(TxnWitB,$O1225)),""))</f>
        <v/>
      </c>
      <c r="K1225" s="21">
        <f>IF($B1225="","",IF($K1224="",$C$10,$K1224)+IF($I1225="",0,$I1225)-IF($J1225="",0,$J1225))</f>
        <v/>
      </c>
      <c r="L1225" s="22">
        <f>IF($N1225&lt;&gt;"",IF(INDEX(PCNotes,$N1225)="","—",INDEX(PCNotes,$N1225)),IF($O1225&lt;&gt;"",IF(INDEX(LdgNoteB,$O1225)="","—",INDEX(LdgNoteB,$O1225)),""))</f>
        <v/>
      </c>
      <c r="N1225">
        <f>IFERROR(MATCH($C$5&amp;"|"&amp;RIGHT("000000"&amp;1209,6),LdgRankKeyA,0),"")</f>
        <v/>
      </c>
      <c r="O1225">
        <f>IFERROR(MATCH($C$5&amp;"|"&amp;RIGHT("000000"&amp;1209,6),LdgRankKeyB,0),"")</f>
        <v/>
      </c>
    </row>
    <row r="1226">
      <c r="A1226" s="23" t="n">
        <v>1210</v>
      </c>
      <c r="B1226" s="24">
        <f>IF(AND($N1226="",$O1226=""),"",IF($N1226&lt;&gt;"",INDEX(PCNormDate,$N1226),INDEX(LdgDateB,$O1226)))</f>
        <v/>
      </c>
      <c r="C1226" s="24">
        <f>IF($N1226&lt;&gt;"",INDEX(PCOp,$N1226),IF($O1226&lt;&gt;"",IF(N(INDEX(TxnDepB,$O1226))&gt;0,"دریافت بانکی","پرداخت بانکی"),""))</f>
        <v/>
      </c>
      <c r="D1226" s="24">
        <f>IF($N1226&lt;&gt;"",IF(INDEX(PCDoc,$N1226)="","—",INDEX(PCDoc,$N1226)),IF($O1226&lt;&gt;"",INDEX(LdgBankB,$O1226),""))</f>
        <v/>
      </c>
      <c r="E1226" s="24">
        <f>IF($N1226&lt;&gt;"",IF(INDEX(PCCitrus,$N1226)="","—",INDEX(PCCitrus,$N1226)),"")</f>
        <v/>
      </c>
      <c r="F1226" s="25">
        <f>IF($N1226&lt;&gt;"",IF(INDEX(PCScale,$N1226)=0,"",INDEX(PCScale,$N1226)),"")</f>
        <v/>
      </c>
      <c r="G1226" s="25">
        <f>IF($N1226&lt;&gt;"",IF(INDEX(PCBaskets,$N1226)=0,"",INDEX(PCBaskets,$N1226)),"")</f>
        <v/>
      </c>
      <c r="H1226" s="26">
        <f>IF($N1226&lt;&gt;"",IF(INDEX(PCNet,$N1226)=0,"",INDEX(PCNet,$N1226)),"")</f>
        <v/>
      </c>
      <c r="I1226" s="25">
        <f>IF($N1226&lt;&gt;"",IF(INDEX(PCOp,$N1226)="مرجوعی خرید","",IF(INDEX(PCAmount,$N1226)&lt;=0,"",INDEX(PCAmount,$N1226))),IF($O1226&lt;&gt;"",IF(INDEX(TxnDepB,$O1226)=0,"",INDEX(TxnDepB,$O1226)),""))</f>
        <v/>
      </c>
      <c r="J1226" s="25">
        <f>IF($N1226&lt;&gt;"",IF(INDEX(PCOp,$N1226)="مرجوعی خرید",IF(INDEX(PCAmount,$N1226)=0,"",-INDEX(PCAmount,$N1226)),""),IF($O1226&lt;&gt;"",IF(INDEX(TxnWitB,$O1226)=0,"",INDEX(TxnWitB,$O1226)),""))</f>
        <v/>
      </c>
      <c r="K1226" s="27">
        <f>IF($B1226="","",IF($K1225="",$C$10,$K1225)+IF($I1226="",0,$I1226)-IF($J1226="",0,$J1226))</f>
        <v/>
      </c>
      <c r="L1226" s="28">
        <f>IF($N1226&lt;&gt;"",IF(INDEX(PCNotes,$N1226)="","—",INDEX(PCNotes,$N1226)),IF($O1226&lt;&gt;"",IF(INDEX(LdgNoteB,$O1226)="","—",INDEX(LdgNoteB,$O1226)),""))</f>
        <v/>
      </c>
      <c r="N1226">
        <f>IFERROR(MATCH($C$5&amp;"|"&amp;RIGHT("000000"&amp;1210,6),LdgRankKeyA,0),"")</f>
        <v/>
      </c>
      <c r="O1226">
        <f>IFERROR(MATCH($C$5&amp;"|"&amp;RIGHT("000000"&amp;1210,6),LdgRankKeyB,0),"")</f>
        <v/>
      </c>
    </row>
    <row r="1227">
      <c r="A1227" s="17" t="n">
        <v>1211</v>
      </c>
      <c r="B1227" s="18">
        <f>IF(AND($N1227="",$O1227=""),"",IF($N1227&lt;&gt;"",INDEX(PCNormDate,$N1227),INDEX(LdgDateB,$O1227)))</f>
        <v/>
      </c>
      <c r="C1227" s="18">
        <f>IF($N1227&lt;&gt;"",INDEX(PCOp,$N1227),IF($O1227&lt;&gt;"",IF(N(INDEX(TxnDepB,$O1227))&gt;0,"دریافت بانکی","پرداخت بانکی"),""))</f>
        <v/>
      </c>
      <c r="D1227" s="18">
        <f>IF($N1227&lt;&gt;"",IF(INDEX(PCDoc,$N1227)="","—",INDEX(PCDoc,$N1227)),IF($O1227&lt;&gt;"",INDEX(LdgBankB,$O1227),""))</f>
        <v/>
      </c>
      <c r="E1227" s="18">
        <f>IF($N1227&lt;&gt;"",IF(INDEX(PCCitrus,$N1227)="","—",INDEX(PCCitrus,$N1227)),"")</f>
        <v/>
      </c>
      <c r="F1227" s="19">
        <f>IF($N1227&lt;&gt;"",IF(INDEX(PCScale,$N1227)=0,"",INDEX(PCScale,$N1227)),"")</f>
        <v/>
      </c>
      <c r="G1227" s="19">
        <f>IF($N1227&lt;&gt;"",IF(INDEX(PCBaskets,$N1227)=0,"",INDEX(PCBaskets,$N1227)),"")</f>
        <v/>
      </c>
      <c r="H1227" s="20">
        <f>IF($N1227&lt;&gt;"",IF(INDEX(PCNet,$N1227)=0,"",INDEX(PCNet,$N1227)),"")</f>
        <v/>
      </c>
      <c r="I1227" s="19">
        <f>IF($N1227&lt;&gt;"",IF(INDEX(PCOp,$N1227)="مرجوعی خرید","",IF(INDEX(PCAmount,$N1227)&lt;=0,"",INDEX(PCAmount,$N1227))),IF($O1227&lt;&gt;"",IF(INDEX(TxnDepB,$O1227)=0,"",INDEX(TxnDepB,$O1227)),""))</f>
        <v/>
      </c>
      <c r="J1227" s="19">
        <f>IF($N1227&lt;&gt;"",IF(INDEX(PCOp,$N1227)="مرجوعی خرید",IF(INDEX(PCAmount,$N1227)=0,"",-INDEX(PCAmount,$N1227)),""),IF($O1227&lt;&gt;"",IF(INDEX(TxnWitB,$O1227)=0,"",INDEX(TxnWitB,$O1227)),""))</f>
        <v/>
      </c>
      <c r="K1227" s="21">
        <f>IF($B1227="","",IF($K1226="",$C$10,$K1226)+IF($I1227="",0,$I1227)-IF($J1227="",0,$J1227))</f>
        <v/>
      </c>
      <c r="L1227" s="22">
        <f>IF($N1227&lt;&gt;"",IF(INDEX(PCNotes,$N1227)="","—",INDEX(PCNotes,$N1227)),IF($O1227&lt;&gt;"",IF(INDEX(LdgNoteB,$O1227)="","—",INDEX(LdgNoteB,$O1227)),""))</f>
        <v/>
      </c>
      <c r="N1227">
        <f>IFERROR(MATCH($C$5&amp;"|"&amp;RIGHT("000000"&amp;1211,6),LdgRankKeyA,0),"")</f>
        <v/>
      </c>
      <c r="O1227">
        <f>IFERROR(MATCH($C$5&amp;"|"&amp;RIGHT("000000"&amp;1211,6),LdgRankKeyB,0),"")</f>
        <v/>
      </c>
    </row>
    <row r="1228">
      <c r="A1228" s="23" t="n">
        <v>1212</v>
      </c>
      <c r="B1228" s="24">
        <f>IF(AND($N1228="",$O1228=""),"",IF($N1228&lt;&gt;"",INDEX(PCNormDate,$N1228),INDEX(LdgDateB,$O1228)))</f>
        <v/>
      </c>
      <c r="C1228" s="24">
        <f>IF($N1228&lt;&gt;"",INDEX(PCOp,$N1228),IF($O1228&lt;&gt;"",IF(N(INDEX(TxnDepB,$O1228))&gt;0,"دریافت بانکی","پرداخت بانکی"),""))</f>
        <v/>
      </c>
      <c r="D1228" s="24">
        <f>IF($N1228&lt;&gt;"",IF(INDEX(PCDoc,$N1228)="","—",INDEX(PCDoc,$N1228)),IF($O1228&lt;&gt;"",INDEX(LdgBankB,$O1228),""))</f>
        <v/>
      </c>
      <c r="E1228" s="24">
        <f>IF($N1228&lt;&gt;"",IF(INDEX(PCCitrus,$N1228)="","—",INDEX(PCCitrus,$N1228)),"")</f>
        <v/>
      </c>
      <c r="F1228" s="25">
        <f>IF($N1228&lt;&gt;"",IF(INDEX(PCScale,$N1228)=0,"",INDEX(PCScale,$N1228)),"")</f>
        <v/>
      </c>
      <c r="G1228" s="25">
        <f>IF($N1228&lt;&gt;"",IF(INDEX(PCBaskets,$N1228)=0,"",INDEX(PCBaskets,$N1228)),"")</f>
        <v/>
      </c>
      <c r="H1228" s="26">
        <f>IF($N1228&lt;&gt;"",IF(INDEX(PCNet,$N1228)=0,"",INDEX(PCNet,$N1228)),"")</f>
        <v/>
      </c>
      <c r="I1228" s="25">
        <f>IF($N1228&lt;&gt;"",IF(INDEX(PCOp,$N1228)="مرجوعی خرید","",IF(INDEX(PCAmount,$N1228)&lt;=0,"",INDEX(PCAmount,$N1228))),IF($O1228&lt;&gt;"",IF(INDEX(TxnDepB,$O1228)=0,"",INDEX(TxnDepB,$O1228)),""))</f>
        <v/>
      </c>
      <c r="J1228" s="25">
        <f>IF($N1228&lt;&gt;"",IF(INDEX(PCOp,$N1228)="مرجوعی خرید",IF(INDEX(PCAmount,$N1228)=0,"",-INDEX(PCAmount,$N1228)),""),IF($O1228&lt;&gt;"",IF(INDEX(TxnWitB,$O1228)=0,"",INDEX(TxnWitB,$O1228)),""))</f>
        <v/>
      </c>
      <c r="K1228" s="27">
        <f>IF($B1228="","",IF($K1227="",$C$10,$K1227)+IF($I1228="",0,$I1228)-IF($J1228="",0,$J1228))</f>
        <v/>
      </c>
      <c r="L1228" s="28">
        <f>IF($N1228&lt;&gt;"",IF(INDEX(PCNotes,$N1228)="","—",INDEX(PCNotes,$N1228)),IF($O1228&lt;&gt;"",IF(INDEX(LdgNoteB,$O1228)="","—",INDEX(LdgNoteB,$O1228)),""))</f>
        <v/>
      </c>
      <c r="N1228">
        <f>IFERROR(MATCH($C$5&amp;"|"&amp;RIGHT("000000"&amp;1212,6),LdgRankKeyA,0),"")</f>
        <v/>
      </c>
      <c r="O1228">
        <f>IFERROR(MATCH($C$5&amp;"|"&amp;RIGHT("000000"&amp;1212,6),LdgRankKeyB,0),"")</f>
        <v/>
      </c>
    </row>
    <row r="1229">
      <c r="A1229" s="17" t="n">
        <v>1213</v>
      </c>
      <c r="B1229" s="18">
        <f>IF(AND($N1229="",$O1229=""),"",IF($N1229&lt;&gt;"",INDEX(PCNormDate,$N1229),INDEX(LdgDateB,$O1229)))</f>
        <v/>
      </c>
      <c r="C1229" s="18">
        <f>IF($N1229&lt;&gt;"",INDEX(PCOp,$N1229),IF($O1229&lt;&gt;"",IF(N(INDEX(TxnDepB,$O1229))&gt;0,"دریافت بانکی","پرداخت بانکی"),""))</f>
        <v/>
      </c>
      <c r="D1229" s="18">
        <f>IF($N1229&lt;&gt;"",IF(INDEX(PCDoc,$N1229)="","—",INDEX(PCDoc,$N1229)),IF($O1229&lt;&gt;"",INDEX(LdgBankB,$O1229),""))</f>
        <v/>
      </c>
      <c r="E1229" s="18">
        <f>IF($N1229&lt;&gt;"",IF(INDEX(PCCitrus,$N1229)="","—",INDEX(PCCitrus,$N1229)),"")</f>
        <v/>
      </c>
      <c r="F1229" s="19">
        <f>IF($N1229&lt;&gt;"",IF(INDEX(PCScale,$N1229)=0,"",INDEX(PCScale,$N1229)),"")</f>
        <v/>
      </c>
      <c r="G1229" s="19">
        <f>IF($N1229&lt;&gt;"",IF(INDEX(PCBaskets,$N1229)=0,"",INDEX(PCBaskets,$N1229)),"")</f>
        <v/>
      </c>
      <c r="H1229" s="20">
        <f>IF($N1229&lt;&gt;"",IF(INDEX(PCNet,$N1229)=0,"",INDEX(PCNet,$N1229)),"")</f>
        <v/>
      </c>
      <c r="I1229" s="19">
        <f>IF($N1229&lt;&gt;"",IF(INDEX(PCOp,$N1229)="مرجوعی خرید","",IF(INDEX(PCAmount,$N1229)&lt;=0,"",INDEX(PCAmount,$N1229))),IF($O1229&lt;&gt;"",IF(INDEX(TxnDepB,$O1229)=0,"",INDEX(TxnDepB,$O1229)),""))</f>
        <v/>
      </c>
      <c r="J1229" s="19">
        <f>IF($N1229&lt;&gt;"",IF(INDEX(PCOp,$N1229)="مرجوعی خرید",IF(INDEX(PCAmount,$N1229)=0,"",-INDEX(PCAmount,$N1229)),""),IF($O1229&lt;&gt;"",IF(INDEX(TxnWitB,$O1229)=0,"",INDEX(TxnWitB,$O1229)),""))</f>
        <v/>
      </c>
      <c r="K1229" s="21">
        <f>IF($B1229="","",IF($K1228="",$C$10,$K1228)+IF($I1229="",0,$I1229)-IF($J1229="",0,$J1229))</f>
        <v/>
      </c>
      <c r="L1229" s="22">
        <f>IF($N1229&lt;&gt;"",IF(INDEX(PCNotes,$N1229)="","—",INDEX(PCNotes,$N1229)),IF($O1229&lt;&gt;"",IF(INDEX(LdgNoteB,$O1229)="","—",INDEX(LdgNoteB,$O1229)),""))</f>
        <v/>
      </c>
      <c r="N1229">
        <f>IFERROR(MATCH($C$5&amp;"|"&amp;RIGHT("000000"&amp;1213,6),LdgRankKeyA,0),"")</f>
        <v/>
      </c>
      <c r="O1229">
        <f>IFERROR(MATCH($C$5&amp;"|"&amp;RIGHT("000000"&amp;1213,6),LdgRankKeyB,0),"")</f>
        <v/>
      </c>
    </row>
    <row r="1230">
      <c r="A1230" s="23" t="n">
        <v>1214</v>
      </c>
      <c r="B1230" s="24">
        <f>IF(AND($N1230="",$O1230=""),"",IF($N1230&lt;&gt;"",INDEX(PCNormDate,$N1230),INDEX(LdgDateB,$O1230)))</f>
        <v/>
      </c>
      <c r="C1230" s="24">
        <f>IF($N1230&lt;&gt;"",INDEX(PCOp,$N1230),IF($O1230&lt;&gt;"",IF(N(INDEX(TxnDepB,$O1230))&gt;0,"دریافت بانکی","پرداخت بانکی"),""))</f>
        <v/>
      </c>
      <c r="D1230" s="24">
        <f>IF($N1230&lt;&gt;"",IF(INDEX(PCDoc,$N1230)="","—",INDEX(PCDoc,$N1230)),IF($O1230&lt;&gt;"",INDEX(LdgBankB,$O1230),""))</f>
        <v/>
      </c>
      <c r="E1230" s="24">
        <f>IF($N1230&lt;&gt;"",IF(INDEX(PCCitrus,$N1230)="","—",INDEX(PCCitrus,$N1230)),"")</f>
        <v/>
      </c>
      <c r="F1230" s="25">
        <f>IF($N1230&lt;&gt;"",IF(INDEX(PCScale,$N1230)=0,"",INDEX(PCScale,$N1230)),"")</f>
        <v/>
      </c>
      <c r="G1230" s="25">
        <f>IF($N1230&lt;&gt;"",IF(INDEX(PCBaskets,$N1230)=0,"",INDEX(PCBaskets,$N1230)),"")</f>
        <v/>
      </c>
      <c r="H1230" s="26">
        <f>IF($N1230&lt;&gt;"",IF(INDEX(PCNet,$N1230)=0,"",INDEX(PCNet,$N1230)),"")</f>
        <v/>
      </c>
      <c r="I1230" s="25">
        <f>IF($N1230&lt;&gt;"",IF(INDEX(PCOp,$N1230)="مرجوعی خرید","",IF(INDEX(PCAmount,$N1230)&lt;=0,"",INDEX(PCAmount,$N1230))),IF($O1230&lt;&gt;"",IF(INDEX(TxnDepB,$O1230)=0,"",INDEX(TxnDepB,$O1230)),""))</f>
        <v/>
      </c>
      <c r="J1230" s="25">
        <f>IF($N1230&lt;&gt;"",IF(INDEX(PCOp,$N1230)="مرجوعی خرید",IF(INDEX(PCAmount,$N1230)=0,"",-INDEX(PCAmount,$N1230)),""),IF($O1230&lt;&gt;"",IF(INDEX(TxnWitB,$O1230)=0,"",INDEX(TxnWitB,$O1230)),""))</f>
        <v/>
      </c>
      <c r="K1230" s="27">
        <f>IF($B1230="","",IF($K1229="",$C$10,$K1229)+IF($I1230="",0,$I1230)-IF($J1230="",0,$J1230))</f>
        <v/>
      </c>
      <c r="L1230" s="28">
        <f>IF($N1230&lt;&gt;"",IF(INDEX(PCNotes,$N1230)="","—",INDEX(PCNotes,$N1230)),IF($O1230&lt;&gt;"",IF(INDEX(LdgNoteB,$O1230)="","—",INDEX(LdgNoteB,$O1230)),""))</f>
        <v/>
      </c>
      <c r="N1230">
        <f>IFERROR(MATCH($C$5&amp;"|"&amp;RIGHT("000000"&amp;1214,6),LdgRankKeyA,0),"")</f>
        <v/>
      </c>
      <c r="O1230">
        <f>IFERROR(MATCH($C$5&amp;"|"&amp;RIGHT("000000"&amp;1214,6),LdgRankKeyB,0),"")</f>
        <v/>
      </c>
    </row>
    <row r="1231">
      <c r="A1231" s="17" t="n">
        <v>1215</v>
      </c>
      <c r="B1231" s="18">
        <f>IF(AND($N1231="",$O1231=""),"",IF($N1231&lt;&gt;"",INDEX(PCNormDate,$N1231),INDEX(LdgDateB,$O1231)))</f>
        <v/>
      </c>
      <c r="C1231" s="18">
        <f>IF($N1231&lt;&gt;"",INDEX(PCOp,$N1231),IF($O1231&lt;&gt;"",IF(N(INDEX(TxnDepB,$O1231))&gt;0,"دریافت بانکی","پرداخت بانکی"),""))</f>
        <v/>
      </c>
      <c r="D1231" s="18">
        <f>IF($N1231&lt;&gt;"",IF(INDEX(PCDoc,$N1231)="","—",INDEX(PCDoc,$N1231)),IF($O1231&lt;&gt;"",INDEX(LdgBankB,$O1231),""))</f>
        <v/>
      </c>
      <c r="E1231" s="18">
        <f>IF($N1231&lt;&gt;"",IF(INDEX(PCCitrus,$N1231)="","—",INDEX(PCCitrus,$N1231)),"")</f>
        <v/>
      </c>
      <c r="F1231" s="19">
        <f>IF($N1231&lt;&gt;"",IF(INDEX(PCScale,$N1231)=0,"",INDEX(PCScale,$N1231)),"")</f>
        <v/>
      </c>
      <c r="G1231" s="19">
        <f>IF($N1231&lt;&gt;"",IF(INDEX(PCBaskets,$N1231)=0,"",INDEX(PCBaskets,$N1231)),"")</f>
        <v/>
      </c>
      <c r="H1231" s="20">
        <f>IF($N1231&lt;&gt;"",IF(INDEX(PCNet,$N1231)=0,"",INDEX(PCNet,$N1231)),"")</f>
        <v/>
      </c>
      <c r="I1231" s="19">
        <f>IF($N1231&lt;&gt;"",IF(INDEX(PCOp,$N1231)="مرجوعی خرید","",IF(INDEX(PCAmount,$N1231)&lt;=0,"",INDEX(PCAmount,$N1231))),IF($O1231&lt;&gt;"",IF(INDEX(TxnDepB,$O1231)=0,"",INDEX(TxnDepB,$O1231)),""))</f>
        <v/>
      </c>
      <c r="J1231" s="19">
        <f>IF($N1231&lt;&gt;"",IF(INDEX(PCOp,$N1231)="مرجوعی خرید",IF(INDEX(PCAmount,$N1231)=0,"",-INDEX(PCAmount,$N1231)),""),IF($O1231&lt;&gt;"",IF(INDEX(TxnWitB,$O1231)=0,"",INDEX(TxnWitB,$O1231)),""))</f>
        <v/>
      </c>
      <c r="K1231" s="21">
        <f>IF($B1231="","",IF($K1230="",$C$10,$K1230)+IF($I1231="",0,$I1231)-IF($J1231="",0,$J1231))</f>
        <v/>
      </c>
      <c r="L1231" s="22">
        <f>IF($N1231&lt;&gt;"",IF(INDEX(PCNotes,$N1231)="","—",INDEX(PCNotes,$N1231)),IF($O1231&lt;&gt;"",IF(INDEX(LdgNoteB,$O1231)="","—",INDEX(LdgNoteB,$O1231)),""))</f>
        <v/>
      </c>
      <c r="N1231">
        <f>IFERROR(MATCH($C$5&amp;"|"&amp;RIGHT("000000"&amp;1215,6),LdgRankKeyA,0),"")</f>
        <v/>
      </c>
      <c r="O1231">
        <f>IFERROR(MATCH($C$5&amp;"|"&amp;RIGHT("000000"&amp;1215,6),LdgRankKeyB,0),"")</f>
        <v/>
      </c>
    </row>
    <row r="1232">
      <c r="A1232" s="23" t="n">
        <v>1216</v>
      </c>
      <c r="B1232" s="24">
        <f>IF(AND($N1232="",$O1232=""),"",IF($N1232&lt;&gt;"",INDEX(PCNormDate,$N1232),INDEX(LdgDateB,$O1232)))</f>
        <v/>
      </c>
      <c r="C1232" s="24">
        <f>IF($N1232&lt;&gt;"",INDEX(PCOp,$N1232),IF($O1232&lt;&gt;"",IF(N(INDEX(TxnDepB,$O1232))&gt;0,"دریافت بانکی","پرداخت بانکی"),""))</f>
        <v/>
      </c>
      <c r="D1232" s="24">
        <f>IF($N1232&lt;&gt;"",IF(INDEX(PCDoc,$N1232)="","—",INDEX(PCDoc,$N1232)),IF($O1232&lt;&gt;"",INDEX(LdgBankB,$O1232),""))</f>
        <v/>
      </c>
      <c r="E1232" s="24">
        <f>IF($N1232&lt;&gt;"",IF(INDEX(PCCitrus,$N1232)="","—",INDEX(PCCitrus,$N1232)),"")</f>
        <v/>
      </c>
      <c r="F1232" s="25">
        <f>IF($N1232&lt;&gt;"",IF(INDEX(PCScale,$N1232)=0,"",INDEX(PCScale,$N1232)),"")</f>
        <v/>
      </c>
      <c r="G1232" s="25">
        <f>IF($N1232&lt;&gt;"",IF(INDEX(PCBaskets,$N1232)=0,"",INDEX(PCBaskets,$N1232)),"")</f>
        <v/>
      </c>
      <c r="H1232" s="26">
        <f>IF($N1232&lt;&gt;"",IF(INDEX(PCNet,$N1232)=0,"",INDEX(PCNet,$N1232)),"")</f>
        <v/>
      </c>
      <c r="I1232" s="25">
        <f>IF($N1232&lt;&gt;"",IF(INDEX(PCOp,$N1232)="مرجوعی خرید","",IF(INDEX(PCAmount,$N1232)&lt;=0,"",INDEX(PCAmount,$N1232))),IF($O1232&lt;&gt;"",IF(INDEX(TxnDepB,$O1232)=0,"",INDEX(TxnDepB,$O1232)),""))</f>
        <v/>
      </c>
      <c r="J1232" s="25">
        <f>IF($N1232&lt;&gt;"",IF(INDEX(PCOp,$N1232)="مرجوعی خرید",IF(INDEX(PCAmount,$N1232)=0,"",-INDEX(PCAmount,$N1232)),""),IF($O1232&lt;&gt;"",IF(INDEX(TxnWitB,$O1232)=0,"",INDEX(TxnWitB,$O1232)),""))</f>
        <v/>
      </c>
      <c r="K1232" s="27">
        <f>IF($B1232="","",IF($K1231="",$C$10,$K1231)+IF($I1232="",0,$I1232)-IF($J1232="",0,$J1232))</f>
        <v/>
      </c>
      <c r="L1232" s="28">
        <f>IF($N1232&lt;&gt;"",IF(INDEX(PCNotes,$N1232)="","—",INDEX(PCNotes,$N1232)),IF($O1232&lt;&gt;"",IF(INDEX(LdgNoteB,$O1232)="","—",INDEX(LdgNoteB,$O1232)),""))</f>
        <v/>
      </c>
      <c r="N1232">
        <f>IFERROR(MATCH($C$5&amp;"|"&amp;RIGHT("000000"&amp;1216,6),LdgRankKeyA,0),"")</f>
        <v/>
      </c>
      <c r="O1232">
        <f>IFERROR(MATCH($C$5&amp;"|"&amp;RIGHT("000000"&amp;1216,6),LdgRankKeyB,0),"")</f>
        <v/>
      </c>
    </row>
    <row r="1233">
      <c r="A1233" s="17" t="n">
        <v>1217</v>
      </c>
      <c r="B1233" s="18">
        <f>IF(AND($N1233="",$O1233=""),"",IF($N1233&lt;&gt;"",INDEX(PCNormDate,$N1233),INDEX(LdgDateB,$O1233)))</f>
        <v/>
      </c>
      <c r="C1233" s="18">
        <f>IF($N1233&lt;&gt;"",INDEX(PCOp,$N1233),IF($O1233&lt;&gt;"",IF(N(INDEX(TxnDepB,$O1233))&gt;0,"دریافت بانکی","پرداخت بانکی"),""))</f>
        <v/>
      </c>
      <c r="D1233" s="18">
        <f>IF($N1233&lt;&gt;"",IF(INDEX(PCDoc,$N1233)="","—",INDEX(PCDoc,$N1233)),IF($O1233&lt;&gt;"",INDEX(LdgBankB,$O1233),""))</f>
        <v/>
      </c>
      <c r="E1233" s="18">
        <f>IF($N1233&lt;&gt;"",IF(INDEX(PCCitrus,$N1233)="","—",INDEX(PCCitrus,$N1233)),"")</f>
        <v/>
      </c>
      <c r="F1233" s="19">
        <f>IF($N1233&lt;&gt;"",IF(INDEX(PCScale,$N1233)=0,"",INDEX(PCScale,$N1233)),"")</f>
        <v/>
      </c>
      <c r="G1233" s="19">
        <f>IF($N1233&lt;&gt;"",IF(INDEX(PCBaskets,$N1233)=0,"",INDEX(PCBaskets,$N1233)),"")</f>
        <v/>
      </c>
      <c r="H1233" s="20">
        <f>IF($N1233&lt;&gt;"",IF(INDEX(PCNet,$N1233)=0,"",INDEX(PCNet,$N1233)),"")</f>
        <v/>
      </c>
      <c r="I1233" s="19">
        <f>IF($N1233&lt;&gt;"",IF(INDEX(PCOp,$N1233)="مرجوعی خرید","",IF(INDEX(PCAmount,$N1233)&lt;=0,"",INDEX(PCAmount,$N1233))),IF($O1233&lt;&gt;"",IF(INDEX(TxnDepB,$O1233)=0,"",INDEX(TxnDepB,$O1233)),""))</f>
        <v/>
      </c>
      <c r="J1233" s="19">
        <f>IF($N1233&lt;&gt;"",IF(INDEX(PCOp,$N1233)="مرجوعی خرید",IF(INDEX(PCAmount,$N1233)=0,"",-INDEX(PCAmount,$N1233)),""),IF($O1233&lt;&gt;"",IF(INDEX(TxnWitB,$O1233)=0,"",INDEX(TxnWitB,$O1233)),""))</f>
        <v/>
      </c>
      <c r="K1233" s="21">
        <f>IF($B1233="","",IF($K1232="",$C$10,$K1232)+IF($I1233="",0,$I1233)-IF($J1233="",0,$J1233))</f>
        <v/>
      </c>
      <c r="L1233" s="22">
        <f>IF($N1233&lt;&gt;"",IF(INDEX(PCNotes,$N1233)="","—",INDEX(PCNotes,$N1233)),IF($O1233&lt;&gt;"",IF(INDEX(LdgNoteB,$O1233)="","—",INDEX(LdgNoteB,$O1233)),""))</f>
        <v/>
      </c>
      <c r="N1233">
        <f>IFERROR(MATCH($C$5&amp;"|"&amp;RIGHT("000000"&amp;1217,6),LdgRankKeyA,0),"")</f>
        <v/>
      </c>
      <c r="O1233">
        <f>IFERROR(MATCH($C$5&amp;"|"&amp;RIGHT("000000"&amp;1217,6),LdgRankKeyB,0),"")</f>
        <v/>
      </c>
    </row>
    <row r="1234">
      <c r="A1234" s="23" t="n">
        <v>1218</v>
      </c>
      <c r="B1234" s="24">
        <f>IF(AND($N1234="",$O1234=""),"",IF($N1234&lt;&gt;"",INDEX(PCNormDate,$N1234),INDEX(LdgDateB,$O1234)))</f>
        <v/>
      </c>
      <c r="C1234" s="24">
        <f>IF($N1234&lt;&gt;"",INDEX(PCOp,$N1234),IF($O1234&lt;&gt;"",IF(N(INDEX(TxnDepB,$O1234))&gt;0,"دریافت بانکی","پرداخت بانکی"),""))</f>
        <v/>
      </c>
      <c r="D1234" s="24">
        <f>IF($N1234&lt;&gt;"",IF(INDEX(PCDoc,$N1234)="","—",INDEX(PCDoc,$N1234)),IF($O1234&lt;&gt;"",INDEX(LdgBankB,$O1234),""))</f>
        <v/>
      </c>
      <c r="E1234" s="24">
        <f>IF($N1234&lt;&gt;"",IF(INDEX(PCCitrus,$N1234)="","—",INDEX(PCCitrus,$N1234)),"")</f>
        <v/>
      </c>
      <c r="F1234" s="25">
        <f>IF($N1234&lt;&gt;"",IF(INDEX(PCScale,$N1234)=0,"",INDEX(PCScale,$N1234)),"")</f>
        <v/>
      </c>
      <c r="G1234" s="25">
        <f>IF($N1234&lt;&gt;"",IF(INDEX(PCBaskets,$N1234)=0,"",INDEX(PCBaskets,$N1234)),"")</f>
        <v/>
      </c>
      <c r="H1234" s="26">
        <f>IF($N1234&lt;&gt;"",IF(INDEX(PCNet,$N1234)=0,"",INDEX(PCNet,$N1234)),"")</f>
        <v/>
      </c>
      <c r="I1234" s="25">
        <f>IF($N1234&lt;&gt;"",IF(INDEX(PCOp,$N1234)="مرجوعی خرید","",IF(INDEX(PCAmount,$N1234)&lt;=0,"",INDEX(PCAmount,$N1234))),IF($O1234&lt;&gt;"",IF(INDEX(TxnDepB,$O1234)=0,"",INDEX(TxnDepB,$O1234)),""))</f>
        <v/>
      </c>
      <c r="J1234" s="25">
        <f>IF($N1234&lt;&gt;"",IF(INDEX(PCOp,$N1234)="مرجوعی خرید",IF(INDEX(PCAmount,$N1234)=0,"",-INDEX(PCAmount,$N1234)),""),IF($O1234&lt;&gt;"",IF(INDEX(TxnWitB,$O1234)=0,"",INDEX(TxnWitB,$O1234)),""))</f>
        <v/>
      </c>
      <c r="K1234" s="27">
        <f>IF($B1234="","",IF($K1233="",$C$10,$K1233)+IF($I1234="",0,$I1234)-IF($J1234="",0,$J1234))</f>
        <v/>
      </c>
      <c r="L1234" s="28">
        <f>IF($N1234&lt;&gt;"",IF(INDEX(PCNotes,$N1234)="","—",INDEX(PCNotes,$N1234)),IF($O1234&lt;&gt;"",IF(INDEX(LdgNoteB,$O1234)="","—",INDEX(LdgNoteB,$O1234)),""))</f>
        <v/>
      </c>
      <c r="N1234">
        <f>IFERROR(MATCH($C$5&amp;"|"&amp;RIGHT("000000"&amp;1218,6),LdgRankKeyA,0),"")</f>
        <v/>
      </c>
      <c r="O1234">
        <f>IFERROR(MATCH($C$5&amp;"|"&amp;RIGHT("000000"&amp;1218,6),LdgRankKeyB,0),"")</f>
        <v/>
      </c>
    </row>
    <row r="1235">
      <c r="A1235" s="17" t="n">
        <v>1219</v>
      </c>
      <c r="B1235" s="18">
        <f>IF(AND($N1235="",$O1235=""),"",IF($N1235&lt;&gt;"",INDEX(PCNormDate,$N1235),INDEX(LdgDateB,$O1235)))</f>
        <v/>
      </c>
      <c r="C1235" s="18">
        <f>IF($N1235&lt;&gt;"",INDEX(PCOp,$N1235),IF($O1235&lt;&gt;"",IF(N(INDEX(TxnDepB,$O1235))&gt;0,"دریافت بانکی","پرداخت بانکی"),""))</f>
        <v/>
      </c>
      <c r="D1235" s="18">
        <f>IF($N1235&lt;&gt;"",IF(INDEX(PCDoc,$N1235)="","—",INDEX(PCDoc,$N1235)),IF($O1235&lt;&gt;"",INDEX(LdgBankB,$O1235),""))</f>
        <v/>
      </c>
      <c r="E1235" s="18">
        <f>IF($N1235&lt;&gt;"",IF(INDEX(PCCitrus,$N1235)="","—",INDEX(PCCitrus,$N1235)),"")</f>
        <v/>
      </c>
      <c r="F1235" s="19">
        <f>IF($N1235&lt;&gt;"",IF(INDEX(PCScale,$N1235)=0,"",INDEX(PCScale,$N1235)),"")</f>
        <v/>
      </c>
      <c r="G1235" s="19">
        <f>IF($N1235&lt;&gt;"",IF(INDEX(PCBaskets,$N1235)=0,"",INDEX(PCBaskets,$N1235)),"")</f>
        <v/>
      </c>
      <c r="H1235" s="20">
        <f>IF($N1235&lt;&gt;"",IF(INDEX(PCNet,$N1235)=0,"",INDEX(PCNet,$N1235)),"")</f>
        <v/>
      </c>
      <c r="I1235" s="19">
        <f>IF($N1235&lt;&gt;"",IF(INDEX(PCOp,$N1235)="مرجوعی خرید","",IF(INDEX(PCAmount,$N1235)&lt;=0,"",INDEX(PCAmount,$N1235))),IF($O1235&lt;&gt;"",IF(INDEX(TxnDepB,$O1235)=0,"",INDEX(TxnDepB,$O1235)),""))</f>
        <v/>
      </c>
      <c r="J1235" s="19">
        <f>IF($N1235&lt;&gt;"",IF(INDEX(PCOp,$N1235)="مرجوعی خرید",IF(INDEX(PCAmount,$N1235)=0,"",-INDEX(PCAmount,$N1235)),""),IF($O1235&lt;&gt;"",IF(INDEX(TxnWitB,$O1235)=0,"",INDEX(TxnWitB,$O1235)),""))</f>
        <v/>
      </c>
      <c r="K1235" s="21">
        <f>IF($B1235="","",IF($K1234="",$C$10,$K1234)+IF($I1235="",0,$I1235)-IF($J1235="",0,$J1235))</f>
        <v/>
      </c>
      <c r="L1235" s="22">
        <f>IF($N1235&lt;&gt;"",IF(INDEX(PCNotes,$N1235)="","—",INDEX(PCNotes,$N1235)),IF($O1235&lt;&gt;"",IF(INDEX(LdgNoteB,$O1235)="","—",INDEX(LdgNoteB,$O1235)),""))</f>
        <v/>
      </c>
      <c r="N1235">
        <f>IFERROR(MATCH($C$5&amp;"|"&amp;RIGHT("000000"&amp;1219,6),LdgRankKeyA,0),"")</f>
        <v/>
      </c>
      <c r="O1235">
        <f>IFERROR(MATCH($C$5&amp;"|"&amp;RIGHT("000000"&amp;1219,6),LdgRankKeyB,0),"")</f>
        <v/>
      </c>
    </row>
    <row r="1236">
      <c r="A1236" s="23" t="n">
        <v>1220</v>
      </c>
      <c r="B1236" s="24">
        <f>IF(AND($N1236="",$O1236=""),"",IF($N1236&lt;&gt;"",INDEX(PCNormDate,$N1236),INDEX(LdgDateB,$O1236)))</f>
        <v/>
      </c>
      <c r="C1236" s="24">
        <f>IF($N1236&lt;&gt;"",INDEX(PCOp,$N1236),IF($O1236&lt;&gt;"",IF(N(INDEX(TxnDepB,$O1236))&gt;0,"دریافت بانکی","پرداخت بانکی"),""))</f>
        <v/>
      </c>
      <c r="D1236" s="24">
        <f>IF($N1236&lt;&gt;"",IF(INDEX(PCDoc,$N1236)="","—",INDEX(PCDoc,$N1236)),IF($O1236&lt;&gt;"",INDEX(LdgBankB,$O1236),""))</f>
        <v/>
      </c>
      <c r="E1236" s="24">
        <f>IF($N1236&lt;&gt;"",IF(INDEX(PCCitrus,$N1236)="","—",INDEX(PCCitrus,$N1236)),"")</f>
        <v/>
      </c>
      <c r="F1236" s="25">
        <f>IF($N1236&lt;&gt;"",IF(INDEX(PCScale,$N1236)=0,"",INDEX(PCScale,$N1236)),"")</f>
        <v/>
      </c>
      <c r="G1236" s="25">
        <f>IF($N1236&lt;&gt;"",IF(INDEX(PCBaskets,$N1236)=0,"",INDEX(PCBaskets,$N1236)),"")</f>
        <v/>
      </c>
      <c r="H1236" s="26">
        <f>IF($N1236&lt;&gt;"",IF(INDEX(PCNet,$N1236)=0,"",INDEX(PCNet,$N1236)),"")</f>
        <v/>
      </c>
      <c r="I1236" s="25">
        <f>IF($N1236&lt;&gt;"",IF(INDEX(PCOp,$N1236)="مرجوعی خرید","",IF(INDEX(PCAmount,$N1236)&lt;=0,"",INDEX(PCAmount,$N1236))),IF($O1236&lt;&gt;"",IF(INDEX(TxnDepB,$O1236)=0,"",INDEX(TxnDepB,$O1236)),""))</f>
        <v/>
      </c>
      <c r="J1236" s="25">
        <f>IF($N1236&lt;&gt;"",IF(INDEX(PCOp,$N1236)="مرجوعی خرید",IF(INDEX(PCAmount,$N1236)=0,"",-INDEX(PCAmount,$N1236)),""),IF($O1236&lt;&gt;"",IF(INDEX(TxnWitB,$O1236)=0,"",INDEX(TxnWitB,$O1236)),""))</f>
        <v/>
      </c>
      <c r="K1236" s="27">
        <f>IF($B1236="","",IF($K1235="",$C$10,$K1235)+IF($I1236="",0,$I1236)-IF($J1236="",0,$J1236))</f>
        <v/>
      </c>
      <c r="L1236" s="28">
        <f>IF($N1236&lt;&gt;"",IF(INDEX(PCNotes,$N1236)="","—",INDEX(PCNotes,$N1236)),IF($O1236&lt;&gt;"",IF(INDEX(LdgNoteB,$O1236)="","—",INDEX(LdgNoteB,$O1236)),""))</f>
        <v/>
      </c>
      <c r="N1236">
        <f>IFERROR(MATCH($C$5&amp;"|"&amp;RIGHT("000000"&amp;1220,6),LdgRankKeyA,0),"")</f>
        <v/>
      </c>
      <c r="O1236">
        <f>IFERROR(MATCH($C$5&amp;"|"&amp;RIGHT("000000"&amp;1220,6),LdgRankKeyB,0),"")</f>
        <v/>
      </c>
    </row>
    <row r="1237">
      <c r="A1237" s="17" t="n">
        <v>1221</v>
      </c>
      <c r="B1237" s="18">
        <f>IF(AND($N1237="",$O1237=""),"",IF($N1237&lt;&gt;"",INDEX(PCNormDate,$N1237),INDEX(LdgDateB,$O1237)))</f>
        <v/>
      </c>
      <c r="C1237" s="18">
        <f>IF($N1237&lt;&gt;"",INDEX(PCOp,$N1237),IF($O1237&lt;&gt;"",IF(N(INDEX(TxnDepB,$O1237))&gt;0,"دریافت بانکی","پرداخت بانکی"),""))</f>
        <v/>
      </c>
      <c r="D1237" s="18">
        <f>IF($N1237&lt;&gt;"",IF(INDEX(PCDoc,$N1237)="","—",INDEX(PCDoc,$N1237)),IF($O1237&lt;&gt;"",INDEX(LdgBankB,$O1237),""))</f>
        <v/>
      </c>
      <c r="E1237" s="18">
        <f>IF($N1237&lt;&gt;"",IF(INDEX(PCCitrus,$N1237)="","—",INDEX(PCCitrus,$N1237)),"")</f>
        <v/>
      </c>
      <c r="F1237" s="19">
        <f>IF($N1237&lt;&gt;"",IF(INDEX(PCScale,$N1237)=0,"",INDEX(PCScale,$N1237)),"")</f>
        <v/>
      </c>
      <c r="G1237" s="19">
        <f>IF($N1237&lt;&gt;"",IF(INDEX(PCBaskets,$N1237)=0,"",INDEX(PCBaskets,$N1237)),"")</f>
        <v/>
      </c>
      <c r="H1237" s="20">
        <f>IF($N1237&lt;&gt;"",IF(INDEX(PCNet,$N1237)=0,"",INDEX(PCNet,$N1237)),"")</f>
        <v/>
      </c>
      <c r="I1237" s="19">
        <f>IF($N1237&lt;&gt;"",IF(INDEX(PCOp,$N1237)="مرجوعی خرید","",IF(INDEX(PCAmount,$N1237)&lt;=0,"",INDEX(PCAmount,$N1237))),IF($O1237&lt;&gt;"",IF(INDEX(TxnDepB,$O1237)=0,"",INDEX(TxnDepB,$O1237)),""))</f>
        <v/>
      </c>
      <c r="J1237" s="19">
        <f>IF($N1237&lt;&gt;"",IF(INDEX(PCOp,$N1237)="مرجوعی خرید",IF(INDEX(PCAmount,$N1237)=0,"",-INDEX(PCAmount,$N1237)),""),IF($O1237&lt;&gt;"",IF(INDEX(TxnWitB,$O1237)=0,"",INDEX(TxnWitB,$O1237)),""))</f>
        <v/>
      </c>
      <c r="K1237" s="21">
        <f>IF($B1237="","",IF($K1236="",$C$10,$K1236)+IF($I1237="",0,$I1237)-IF($J1237="",0,$J1237))</f>
        <v/>
      </c>
      <c r="L1237" s="22">
        <f>IF($N1237&lt;&gt;"",IF(INDEX(PCNotes,$N1237)="","—",INDEX(PCNotes,$N1237)),IF($O1237&lt;&gt;"",IF(INDEX(LdgNoteB,$O1237)="","—",INDEX(LdgNoteB,$O1237)),""))</f>
        <v/>
      </c>
      <c r="N1237">
        <f>IFERROR(MATCH($C$5&amp;"|"&amp;RIGHT("000000"&amp;1221,6),LdgRankKeyA,0),"")</f>
        <v/>
      </c>
      <c r="O1237">
        <f>IFERROR(MATCH($C$5&amp;"|"&amp;RIGHT("000000"&amp;1221,6),LdgRankKeyB,0),"")</f>
        <v/>
      </c>
    </row>
    <row r="1238">
      <c r="A1238" s="23" t="n">
        <v>1222</v>
      </c>
      <c r="B1238" s="24">
        <f>IF(AND($N1238="",$O1238=""),"",IF($N1238&lt;&gt;"",INDEX(PCNormDate,$N1238),INDEX(LdgDateB,$O1238)))</f>
        <v/>
      </c>
      <c r="C1238" s="24">
        <f>IF($N1238&lt;&gt;"",INDEX(PCOp,$N1238),IF($O1238&lt;&gt;"",IF(N(INDEX(TxnDepB,$O1238))&gt;0,"دریافت بانکی","پرداخت بانکی"),""))</f>
        <v/>
      </c>
      <c r="D1238" s="24">
        <f>IF($N1238&lt;&gt;"",IF(INDEX(PCDoc,$N1238)="","—",INDEX(PCDoc,$N1238)),IF($O1238&lt;&gt;"",INDEX(LdgBankB,$O1238),""))</f>
        <v/>
      </c>
      <c r="E1238" s="24">
        <f>IF($N1238&lt;&gt;"",IF(INDEX(PCCitrus,$N1238)="","—",INDEX(PCCitrus,$N1238)),"")</f>
        <v/>
      </c>
      <c r="F1238" s="25">
        <f>IF($N1238&lt;&gt;"",IF(INDEX(PCScale,$N1238)=0,"",INDEX(PCScale,$N1238)),"")</f>
        <v/>
      </c>
      <c r="G1238" s="25">
        <f>IF($N1238&lt;&gt;"",IF(INDEX(PCBaskets,$N1238)=0,"",INDEX(PCBaskets,$N1238)),"")</f>
        <v/>
      </c>
      <c r="H1238" s="26">
        <f>IF($N1238&lt;&gt;"",IF(INDEX(PCNet,$N1238)=0,"",INDEX(PCNet,$N1238)),"")</f>
        <v/>
      </c>
      <c r="I1238" s="25">
        <f>IF($N1238&lt;&gt;"",IF(INDEX(PCOp,$N1238)="مرجوعی خرید","",IF(INDEX(PCAmount,$N1238)&lt;=0,"",INDEX(PCAmount,$N1238))),IF($O1238&lt;&gt;"",IF(INDEX(TxnDepB,$O1238)=0,"",INDEX(TxnDepB,$O1238)),""))</f>
        <v/>
      </c>
      <c r="J1238" s="25">
        <f>IF($N1238&lt;&gt;"",IF(INDEX(PCOp,$N1238)="مرجوعی خرید",IF(INDEX(PCAmount,$N1238)=0,"",-INDEX(PCAmount,$N1238)),""),IF($O1238&lt;&gt;"",IF(INDEX(TxnWitB,$O1238)=0,"",INDEX(TxnWitB,$O1238)),""))</f>
        <v/>
      </c>
      <c r="K1238" s="27">
        <f>IF($B1238="","",IF($K1237="",$C$10,$K1237)+IF($I1238="",0,$I1238)-IF($J1238="",0,$J1238))</f>
        <v/>
      </c>
      <c r="L1238" s="28">
        <f>IF($N1238&lt;&gt;"",IF(INDEX(PCNotes,$N1238)="","—",INDEX(PCNotes,$N1238)),IF($O1238&lt;&gt;"",IF(INDEX(LdgNoteB,$O1238)="","—",INDEX(LdgNoteB,$O1238)),""))</f>
        <v/>
      </c>
      <c r="N1238">
        <f>IFERROR(MATCH($C$5&amp;"|"&amp;RIGHT("000000"&amp;1222,6),LdgRankKeyA,0),"")</f>
        <v/>
      </c>
      <c r="O1238">
        <f>IFERROR(MATCH($C$5&amp;"|"&amp;RIGHT("000000"&amp;1222,6),LdgRankKeyB,0),"")</f>
        <v/>
      </c>
    </row>
    <row r="1239">
      <c r="A1239" s="17" t="n">
        <v>1223</v>
      </c>
      <c r="B1239" s="18">
        <f>IF(AND($N1239="",$O1239=""),"",IF($N1239&lt;&gt;"",INDEX(PCNormDate,$N1239),INDEX(LdgDateB,$O1239)))</f>
        <v/>
      </c>
      <c r="C1239" s="18">
        <f>IF($N1239&lt;&gt;"",INDEX(PCOp,$N1239),IF($O1239&lt;&gt;"",IF(N(INDEX(TxnDepB,$O1239))&gt;0,"دریافت بانکی","پرداخت بانکی"),""))</f>
        <v/>
      </c>
      <c r="D1239" s="18">
        <f>IF($N1239&lt;&gt;"",IF(INDEX(PCDoc,$N1239)="","—",INDEX(PCDoc,$N1239)),IF($O1239&lt;&gt;"",INDEX(LdgBankB,$O1239),""))</f>
        <v/>
      </c>
      <c r="E1239" s="18">
        <f>IF($N1239&lt;&gt;"",IF(INDEX(PCCitrus,$N1239)="","—",INDEX(PCCitrus,$N1239)),"")</f>
        <v/>
      </c>
      <c r="F1239" s="19">
        <f>IF($N1239&lt;&gt;"",IF(INDEX(PCScale,$N1239)=0,"",INDEX(PCScale,$N1239)),"")</f>
        <v/>
      </c>
      <c r="G1239" s="19">
        <f>IF($N1239&lt;&gt;"",IF(INDEX(PCBaskets,$N1239)=0,"",INDEX(PCBaskets,$N1239)),"")</f>
        <v/>
      </c>
      <c r="H1239" s="20">
        <f>IF($N1239&lt;&gt;"",IF(INDEX(PCNet,$N1239)=0,"",INDEX(PCNet,$N1239)),"")</f>
        <v/>
      </c>
      <c r="I1239" s="19">
        <f>IF($N1239&lt;&gt;"",IF(INDEX(PCOp,$N1239)="مرجوعی خرید","",IF(INDEX(PCAmount,$N1239)&lt;=0,"",INDEX(PCAmount,$N1239))),IF($O1239&lt;&gt;"",IF(INDEX(TxnDepB,$O1239)=0,"",INDEX(TxnDepB,$O1239)),""))</f>
        <v/>
      </c>
      <c r="J1239" s="19">
        <f>IF($N1239&lt;&gt;"",IF(INDEX(PCOp,$N1239)="مرجوعی خرید",IF(INDEX(PCAmount,$N1239)=0,"",-INDEX(PCAmount,$N1239)),""),IF($O1239&lt;&gt;"",IF(INDEX(TxnWitB,$O1239)=0,"",INDEX(TxnWitB,$O1239)),""))</f>
        <v/>
      </c>
      <c r="K1239" s="21">
        <f>IF($B1239="","",IF($K1238="",$C$10,$K1238)+IF($I1239="",0,$I1239)-IF($J1239="",0,$J1239))</f>
        <v/>
      </c>
      <c r="L1239" s="22">
        <f>IF($N1239&lt;&gt;"",IF(INDEX(PCNotes,$N1239)="","—",INDEX(PCNotes,$N1239)),IF($O1239&lt;&gt;"",IF(INDEX(LdgNoteB,$O1239)="","—",INDEX(LdgNoteB,$O1239)),""))</f>
        <v/>
      </c>
      <c r="N1239">
        <f>IFERROR(MATCH($C$5&amp;"|"&amp;RIGHT("000000"&amp;1223,6),LdgRankKeyA,0),"")</f>
        <v/>
      </c>
      <c r="O1239">
        <f>IFERROR(MATCH($C$5&amp;"|"&amp;RIGHT("000000"&amp;1223,6),LdgRankKeyB,0),"")</f>
        <v/>
      </c>
    </row>
    <row r="1240">
      <c r="A1240" s="23" t="n">
        <v>1224</v>
      </c>
      <c r="B1240" s="24">
        <f>IF(AND($N1240="",$O1240=""),"",IF($N1240&lt;&gt;"",INDEX(PCNormDate,$N1240),INDEX(LdgDateB,$O1240)))</f>
        <v/>
      </c>
      <c r="C1240" s="24">
        <f>IF($N1240&lt;&gt;"",INDEX(PCOp,$N1240),IF($O1240&lt;&gt;"",IF(N(INDEX(TxnDepB,$O1240))&gt;0,"دریافت بانکی","پرداخت بانکی"),""))</f>
        <v/>
      </c>
      <c r="D1240" s="24">
        <f>IF($N1240&lt;&gt;"",IF(INDEX(PCDoc,$N1240)="","—",INDEX(PCDoc,$N1240)),IF($O1240&lt;&gt;"",INDEX(LdgBankB,$O1240),""))</f>
        <v/>
      </c>
      <c r="E1240" s="24">
        <f>IF($N1240&lt;&gt;"",IF(INDEX(PCCitrus,$N1240)="","—",INDEX(PCCitrus,$N1240)),"")</f>
        <v/>
      </c>
      <c r="F1240" s="25">
        <f>IF($N1240&lt;&gt;"",IF(INDEX(PCScale,$N1240)=0,"",INDEX(PCScale,$N1240)),"")</f>
        <v/>
      </c>
      <c r="G1240" s="25">
        <f>IF($N1240&lt;&gt;"",IF(INDEX(PCBaskets,$N1240)=0,"",INDEX(PCBaskets,$N1240)),"")</f>
        <v/>
      </c>
      <c r="H1240" s="26">
        <f>IF($N1240&lt;&gt;"",IF(INDEX(PCNet,$N1240)=0,"",INDEX(PCNet,$N1240)),"")</f>
        <v/>
      </c>
      <c r="I1240" s="25">
        <f>IF($N1240&lt;&gt;"",IF(INDEX(PCOp,$N1240)="مرجوعی خرید","",IF(INDEX(PCAmount,$N1240)&lt;=0,"",INDEX(PCAmount,$N1240))),IF($O1240&lt;&gt;"",IF(INDEX(TxnDepB,$O1240)=0,"",INDEX(TxnDepB,$O1240)),""))</f>
        <v/>
      </c>
      <c r="J1240" s="25">
        <f>IF($N1240&lt;&gt;"",IF(INDEX(PCOp,$N1240)="مرجوعی خرید",IF(INDEX(PCAmount,$N1240)=0,"",-INDEX(PCAmount,$N1240)),""),IF($O1240&lt;&gt;"",IF(INDEX(TxnWitB,$O1240)=0,"",INDEX(TxnWitB,$O1240)),""))</f>
        <v/>
      </c>
      <c r="K1240" s="27">
        <f>IF($B1240="","",IF($K1239="",$C$10,$K1239)+IF($I1240="",0,$I1240)-IF($J1240="",0,$J1240))</f>
        <v/>
      </c>
      <c r="L1240" s="28">
        <f>IF($N1240&lt;&gt;"",IF(INDEX(PCNotes,$N1240)="","—",INDEX(PCNotes,$N1240)),IF($O1240&lt;&gt;"",IF(INDEX(LdgNoteB,$O1240)="","—",INDEX(LdgNoteB,$O1240)),""))</f>
        <v/>
      </c>
      <c r="N1240">
        <f>IFERROR(MATCH($C$5&amp;"|"&amp;RIGHT("000000"&amp;1224,6),LdgRankKeyA,0),"")</f>
        <v/>
      </c>
      <c r="O1240">
        <f>IFERROR(MATCH($C$5&amp;"|"&amp;RIGHT("000000"&amp;1224,6),LdgRankKeyB,0),"")</f>
        <v/>
      </c>
    </row>
    <row r="1241">
      <c r="A1241" s="17" t="n">
        <v>1225</v>
      </c>
      <c r="B1241" s="18">
        <f>IF(AND($N1241="",$O1241=""),"",IF($N1241&lt;&gt;"",INDEX(PCNormDate,$N1241),INDEX(LdgDateB,$O1241)))</f>
        <v/>
      </c>
      <c r="C1241" s="18">
        <f>IF($N1241&lt;&gt;"",INDEX(PCOp,$N1241),IF($O1241&lt;&gt;"",IF(N(INDEX(TxnDepB,$O1241))&gt;0,"دریافت بانکی","پرداخت بانکی"),""))</f>
        <v/>
      </c>
      <c r="D1241" s="18">
        <f>IF($N1241&lt;&gt;"",IF(INDEX(PCDoc,$N1241)="","—",INDEX(PCDoc,$N1241)),IF($O1241&lt;&gt;"",INDEX(LdgBankB,$O1241),""))</f>
        <v/>
      </c>
      <c r="E1241" s="18">
        <f>IF($N1241&lt;&gt;"",IF(INDEX(PCCitrus,$N1241)="","—",INDEX(PCCitrus,$N1241)),"")</f>
        <v/>
      </c>
      <c r="F1241" s="19">
        <f>IF($N1241&lt;&gt;"",IF(INDEX(PCScale,$N1241)=0,"",INDEX(PCScale,$N1241)),"")</f>
        <v/>
      </c>
      <c r="G1241" s="19">
        <f>IF($N1241&lt;&gt;"",IF(INDEX(PCBaskets,$N1241)=0,"",INDEX(PCBaskets,$N1241)),"")</f>
        <v/>
      </c>
      <c r="H1241" s="20">
        <f>IF($N1241&lt;&gt;"",IF(INDEX(PCNet,$N1241)=0,"",INDEX(PCNet,$N1241)),"")</f>
        <v/>
      </c>
      <c r="I1241" s="19">
        <f>IF($N1241&lt;&gt;"",IF(INDEX(PCOp,$N1241)="مرجوعی خرید","",IF(INDEX(PCAmount,$N1241)&lt;=0,"",INDEX(PCAmount,$N1241))),IF($O1241&lt;&gt;"",IF(INDEX(TxnDepB,$O1241)=0,"",INDEX(TxnDepB,$O1241)),""))</f>
        <v/>
      </c>
      <c r="J1241" s="19">
        <f>IF($N1241&lt;&gt;"",IF(INDEX(PCOp,$N1241)="مرجوعی خرید",IF(INDEX(PCAmount,$N1241)=0,"",-INDEX(PCAmount,$N1241)),""),IF($O1241&lt;&gt;"",IF(INDEX(TxnWitB,$O1241)=0,"",INDEX(TxnWitB,$O1241)),""))</f>
        <v/>
      </c>
      <c r="K1241" s="21">
        <f>IF($B1241="","",IF($K1240="",$C$10,$K1240)+IF($I1241="",0,$I1241)-IF($J1241="",0,$J1241))</f>
        <v/>
      </c>
      <c r="L1241" s="22">
        <f>IF($N1241&lt;&gt;"",IF(INDEX(PCNotes,$N1241)="","—",INDEX(PCNotes,$N1241)),IF($O1241&lt;&gt;"",IF(INDEX(LdgNoteB,$O1241)="","—",INDEX(LdgNoteB,$O1241)),""))</f>
        <v/>
      </c>
      <c r="N1241">
        <f>IFERROR(MATCH($C$5&amp;"|"&amp;RIGHT("000000"&amp;1225,6),LdgRankKeyA,0),"")</f>
        <v/>
      </c>
      <c r="O1241">
        <f>IFERROR(MATCH($C$5&amp;"|"&amp;RIGHT("000000"&amp;1225,6),LdgRankKeyB,0),"")</f>
        <v/>
      </c>
    </row>
    <row r="1242">
      <c r="A1242" s="23" t="n">
        <v>1226</v>
      </c>
      <c r="B1242" s="24">
        <f>IF(AND($N1242="",$O1242=""),"",IF($N1242&lt;&gt;"",INDEX(PCNormDate,$N1242),INDEX(LdgDateB,$O1242)))</f>
        <v/>
      </c>
      <c r="C1242" s="24">
        <f>IF($N1242&lt;&gt;"",INDEX(PCOp,$N1242),IF($O1242&lt;&gt;"",IF(N(INDEX(TxnDepB,$O1242))&gt;0,"دریافت بانکی","پرداخت بانکی"),""))</f>
        <v/>
      </c>
      <c r="D1242" s="24">
        <f>IF($N1242&lt;&gt;"",IF(INDEX(PCDoc,$N1242)="","—",INDEX(PCDoc,$N1242)),IF($O1242&lt;&gt;"",INDEX(LdgBankB,$O1242),""))</f>
        <v/>
      </c>
      <c r="E1242" s="24">
        <f>IF($N1242&lt;&gt;"",IF(INDEX(PCCitrus,$N1242)="","—",INDEX(PCCitrus,$N1242)),"")</f>
        <v/>
      </c>
      <c r="F1242" s="25">
        <f>IF($N1242&lt;&gt;"",IF(INDEX(PCScale,$N1242)=0,"",INDEX(PCScale,$N1242)),"")</f>
        <v/>
      </c>
      <c r="G1242" s="25">
        <f>IF($N1242&lt;&gt;"",IF(INDEX(PCBaskets,$N1242)=0,"",INDEX(PCBaskets,$N1242)),"")</f>
        <v/>
      </c>
      <c r="H1242" s="26">
        <f>IF($N1242&lt;&gt;"",IF(INDEX(PCNet,$N1242)=0,"",INDEX(PCNet,$N1242)),"")</f>
        <v/>
      </c>
      <c r="I1242" s="25">
        <f>IF($N1242&lt;&gt;"",IF(INDEX(PCOp,$N1242)="مرجوعی خرید","",IF(INDEX(PCAmount,$N1242)&lt;=0,"",INDEX(PCAmount,$N1242))),IF($O1242&lt;&gt;"",IF(INDEX(TxnDepB,$O1242)=0,"",INDEX(TxnDepB,$O1242)),""))</f>
        <v/>
      </c>
      <c r="J1242" s="25">
        <f>IF($N1242&lt;&gt;"",IF(INDEX(PCOp,$N1242)="مرجوعی خرید",IF(INDEX(PCAmount,$N1242)=0,"",-INDEX(PCAmount,$N1242)),""),IF($O1242&lt;&gt;"",IF(INDEX(TxnWitB,$O1242)=0,"",INDEX(TxnWitB,$O1242)),""))</f>
        <v/>
      </c>
      <c r="K1242" s="27">
        <f>IF($B1242="","",IF($K1241="",$C$10,$K1241)+IF($I1242="",0,$I1242)-IF($J1242="",0,$J1242))</f>
        <v/>
      </c>
      <c r="L1242" s="28">
        <f>IF($N1242&lt;&gt;"",IF(INDEX(PCNotes,$N1242)="","—",INDEX(PCNotes,$N1242)),IF($O1242&lt;&gt;"",IF(INDEX(LdgNoteB,$O1242)="","—",INDEX(LdgNoteB,$O1242)),""))</f>
        <v/>
      </c>
      <c r="N1242">
        <f>IFERROR(MATCH($C$5&amp;"|"&amp;RIGHT("000000"&amp;1226,6),LdgRankKeyA,0),"")</f>
        <v/>
      </c>
      <c r="O1242">
        <f>IFERROR(MATCH($C$5&amp;"|"&amp;RIGHT("000000"&amp;1226,6),LdgRankKeyB,0),"")</f>
        <v/>
      </c>
    </row>
    <row r="1243">
      <c r="A1243" s="17" t="n">
        <v>1227</v>
      </c>
      <c r="B1243" s="18">
        <f>IF(AND($N1243="",$O1243=""),"",IF($N1243&lt;&gt;"",INDEX(PCNormDate,$N1243),INDEX(LdgDateB,$O1243)))</f>
        <v/>
      </c>
      <c r="C1243" s="18">
        <f>IF($N1243&lt;&gt;"",INDEX(PCOp,$N1243),IF($O1243&lt;&gt;"",IF(N(INDEX(TxnDepB,$O1243))&gt;0,"دریافت بانکی","پرداخت بانکی"),""))</f>
        <v/>
      </c>
      <c r="D1243" s="18">
        <f>IF($N1243&lt;&gt;"",IF(INDEX(PCDoc,$N1243)="","—",INDEX(PCDoc,$N1243)),IF($O1243&lt;&gt;"",INDEX(LdgBankB,$O1243),""))</f>
        <v/>
      </c>
      <c r="E1243" s="18">
        <f>IF($N1243&lt;&gt;"",IF(INDEX(PCCitrus,$N1243)="","—",INDEX(PCCitrus,$N1243)),"")</f>
        <v/>
      </c>
      <c r="F1243" s="19">
        <f>IF($N1243&lt;&gt;"",IF(INDEX(PCScale,$N1243)=0,"",INDEX(PCScale,$N1243)),"")</f>
        <v/>
      </c>
      <c r="G1243" s="19">
        <f>IF($N1243&lt;&gt;"",IF(INDEX(PCBaskets,$N1243)=0,"",INDEX(PCBaskets,$N1243)),"")</f>
        <v/>
      </c>
      <c r="H1243" s="20">
        <f>IF($N1243&lt;&gt;"",IF(INDEX(PCNet,$N1243)=0,"",INDEX(PCNet,$N1243)),"")</f>
        <v/>
      </c>
      <c r="I1243" s="19">
        <f>IF($N1243&lt;&gt;"",IF(INDEX(PCOp,$N1243)="مرجوعی خرید","",IF(INDEX(PCAmount,$N1243)&lt;=0,"",INDEX(PCAmount,$N1243))),IF($O1243&lt;&gt;"",IF(INDEX(TxnDepB,$O1243)=0,"",INDEX(TxnDepB,$O1243)),""))</f>
        <v/>
      </c>
      <c r="J1243" s="19">
        <f>IF($N1243&lt;&gt;"",IF(INDEX(PCOp,$N1243)="مرجوعی خرید",IF(INDEX(PCAmount,$N1243)=0,"",-INDEX(PCAmount,$N1243)),""),IF($O1243&lt;&gt;"",IF(INDEX(TxnWitB,$O1243)=0,"",INDEX(TxnWitB,$O1243)),""))</f>
        <v/>
      </c>
      <c r="K1243" s="21">
        <f>IF($B1243="","",IF($K1242="",$C$10,$K1242)+IF($I1243="",0,$I1243)-IF($J1243="",0,$J1243))</f>
        <v/>
      </c>
      <c r="L1243" s="22">
        <f>IF($N1243&lt;&gt;"",IF(INDEX(PCNotes,$N1243)="","—",INDEX(PCNotes,$N1243)),IF($O1243&lt;&gt;"",IF(INDEX(LdgNoteB,$O1243)="","—",INDEX(LdgNoteB,$O1243)),""))</f>
        <v/>
      </c>
      <c r="N1243">
        <f>IFERROR(MATCH($C$5&amp;"|"&amp;RIGHT("000000"&amp;1227,6),LdgRankKeyA,0),"")</f>
        <v/>
      </c>
      <c r="O1243">
        <f>IFERROR(MATCH($C$5&amp;"|"&amp;RIGHT("000000"&amp;1227,6),LdgRankKeyB,0),"")</f>
        <v/>
      </c>
    </row>
    <row r="1244">
      <c r="A1244" s="23" t="n">
        <v>1228</v>
      </c>
      <c r="B1244" s="24">
        <f>IF(AND($N1244="",$O1244=""),"",IF($N1244&lt;&gt;"",INDEX(PCNormDate,$N1244),INDEX(LdgDateB,$O1244)))</f>
        <v/>
      </c>
      <c r="C1244" s="24">
        <f>IF($N1244&lt;&gt;"",INDEX(PCOp,$N1244),IF($O1244&lt;&gt;"",IF(N(INDEX(TxnDepB,$O1244))&gt;0,"دریافت بانکی","پرداخت بانکی"),""))</f>
        <v/>
      </c>
      <c r="D1244" s="24">
        <f>IF($N1244&lt;&gt;"",IF(INDEX(PCDoc,$N1244)="","—",INDEX(PCDoc,$N1244)),IF($O1244&lt;&gt;"",INDEX(LdgBankB,$O1244),""))</f>
        <v/>
      </c>
      <c r="E1244" s="24">
        <f>IF($N1244&lt;&gt;"",IF(INDEX(PCCitrus,$N1244)="","—",INDEX(PCCitrus,$N1244)),"")</f>
        <v/>
      </c>
      <c r="F1244" s="25">
        <f>IF($N1244&lt;&gt;"",IF(INDEX(PCScale,$N1244)=0,"",INDEX(PCScale,$N1244)),"")</f>
        <v/>
      </c>
      <c r="G1244" s="25">
        <f>IF($N1244&lt;&gt;"",IF(INDEX(PCBaskets,$N1244)=0,"",INDEX(PCBaskets,$N1244)),"")</f>
        <v/>
      </c>
      <c r="H1244" s="26">
        <f>IF($N1244&lt;&gt;"",IF(INDEX(PCNet,$N1244)=0,"",INDEX(PCNet,$N1244)),"")</f>
        <v/>
      </c>
      <c r="I1244" s="25">
        <f>IF($N1244&lt;&gt;"",IF(INDEX(PCOp,$N1244)="مرجوعی خرید","",IF(INDEX(PCAmount,$N1244)&lt;=0,"",INDEX(PCAmount,$N1244))),IF($O1244&lt;&gt;"",IF(INDEX(TxnDepB,$O1244)=0,"",INDEX(TxnDepB,$O1244)),""))</f>
        <v/>
      </c>
      <c r="J1244" s="25">
        <f>IF($N1244&lt;&gt;"",IF(INDEX(PCOp,$N1244)="مرجوعی خرید",IF(INDEX(PCAmount,$N1244)=0,"",-INDEX(PCAmount,$N1244)),""),IF($O1244&lt;&gt;"",IF(INDEX(TxnWitB,$O1244)=0,"",INDEX(TxnWitB,$O1244)),""))</f>
        <v/>
      </c>
      <c r="K1244" s="27">
        <f>IF($B1244="","",IF($K1243="",$C$10,$K1243)+IF($I1244="",0,$I1244)-IF($J1244="",0,$J1244))</f>
        <v/>
      </c>
      <c r="L1244" s="28">
        <f>IF($N1244&lt;&gt;"",IF(INDEX(PCNotes,$N1244)="","—",INDEX(PCNotes,$N1244)),IF($O1244&lt;&gt;"",IF(INDEX(LdgNoteB,$O1244)="","—",INDEX(LdgNoteB,$O1244)),""))</f>
        <v/>
      </c>
      <c r="N1244">
        <f>IFERROR(MATCH($C$5&amp;"|"&amp;RIGHT("000000"&amp;1228,6),LdgRankKeyA,0),"")</f>
        <v/>
      </c>
      <c r="O1244">
        <f>IFERROR(MATCH($C$5&amp;"|"&amp;RIGHT("000000"&amp;1228,6),LdgRankKeyB,0),"")</f>
        <v/>
      </c>
    </row>
    <row r="1245">
      <c r="A1245" s="17" t="n">
        <v>1229</v>
      </c>
      <c r="B1245" s="18">
        <f>IF(AND($N1245="",$O1245=""),"",IF($N1245&lt;&gt;"",INDEX(PCNormDate,$N1245),INDEX(LdgDateB,$O1245)))</f>
        <v/>
      </c>
      <c r="C1245" s="18">
        <f>IF($N1245&lt;&gt;"",INDEX(PCOp,$N1245),IF($O1245&lt;&gt;"",IF(N(INDEX(TxnDepB,$O1245))&gt;0,"دریافت بانکی","پرداخت بانکی"),""))</f>
        <v/>
      </c>
      <c r="D1245" s="18">
        <f>IF($N1245&lt;&gt;"",IF(INDEX(PCDoc,$N1245)="","—",INDEX(PCDoc,$N1245)),IF($O1245&lt;&gt;"",INDEX(LdgBankB,$O1245),""))</f>
        <v/>
      </c>
      <c r="E1245" s="18">
        <f>IF($N1245&lt;&gt;"",IF(INDEX(PCCitrus,$N1245)="","—",INDEX(PCCitrus,$N1245)),"")</f>
        <v/>
      </c>
      <c r="F1245" s="19">
        <f>IF($N1245&lt;&gt;"",IF(INDEX(PCScale,$N1245)=0,"",INDEX(PCScale,$N1245)),"")</f>
        <v/>
      </c>
      <c r="G1245" s="19">
        <f>IF($N1245&lt;&gt;"",IF(INDEX(PCBaskets,$N1245)=0,"",INDEX(PCBaskets,$N1245)),"")</f>
        <v/>
      </c>
      <c r="H1245" s="20">
        <f>IF($N1245&lt;&gt;"",IF(INDEX(PCNet,$N1245)=0,"",INDEX(PCNet,$N1245)),"")</f>
        <v/>
      </c>
      <c r="I1245" s="19">
        <f>IF($N1245&lt;&gt;"",IF(INDEX(PCOp,$N1245)="مرجوعی خرید","",IF(INDEX(PCAmount,$N1245)&lt;=0,"",INDEX(PCAmount,$N1245))),IF($O1245&lt;&gt;"",IF(INDEX(TxnDepB,$O1245)=0,"",INDEX(TxnDepB,$O1245)),""))</f>
        <v/>
      </c>
      <c r="J1245" s="19">
        <f>IF($N1245&lt;&gt;"",IF(INDEX(PCOp,$N1245)="مرجوعی خرید",IF(INDEX(PCAmount,$N1245)=0,"",-INDEX(PCAmount,$N1245)),""),IF($O1245&lt;&gt;"",IF(INDEX(TxnWitB,$O1245)=0,"",INDEX(TxnWitB,$O1245)),""))</f>
        <v/>
      </c>
      <c r="K1245" s="21">
        <f>IF($B1245="","",IF($K1244="",$C$10,$K1244)+IF($I1245="",0,$I1245)-IF($J1245="",0,$J1245))</f>
        <v/>
      </c>
      <c r="L1245" s="22">
        <f>IF($N1245&lt;&gt;"",IF(INDEX(PCNotes,$N1245)="","—",INDEX(PCNotes,$N1245)),IF($O1245&lt;&gt;"",IF(INDEX(LdgNoteB,$O1245)="","—",INDEX(LdgNoteB,$O1245)),""))</f>
        <v/>
      </c>
      <c r="N1245">
        <f>IFERROR(MATCH($C$5&amp;"|"&amp;RIGHT("000000"&amp;1229,6),LdgRankKeyA,0),"")</f>
        <v/>
      </c>
      <c r="O1245">
        <f>IFERROR(MATCH($C$5&amp;"|"&amp;RIGHT("000000"&amp;1229,6),LdgRankKeyB,0),"")</f>
        <v/>
      </c>
    </row>
    <row r="1246">
      <c r="A1246" s="23" t="n">
        <v>1230</v>
      </c>
      <c r="B1246" s="24">
        <f>IF(AND($N1246="",$O1246=""),"",IF($N1246&lt;&gt;"",INDEX(PCNormDate,$N1246),INDEX(LdgDateB,$O1246)))</f>
        <v/>
      </c>
      <c r="C1246" s="24">
        <f>IF($N1246&lt;&gt;"",INDEX(PCOp,$N1246),IF($O1246&lt;&gt;"",IF(N(INDEX(TxnDepB,$O1246))&gt;0,"دریافت بانکی","پرداخت بانکی"),""))</f>
        <v/>
      </c>
      <c r="D1246" s="24">
        <f>IF($N1246&lt;&gt;"",IF(INDEX(PCDoc,$N1246)="","—",INDEX(PCDoc,$N1246)),IF($O1246&lt;&gt;"",INDEX(LdgBankB,$O1246),""))</f>
        <v/>
      </c>
      <c r="E1246" s="24">
        <f>IF($N1246&lt;&gt;"",IF(INDEX(PCCitrus,$N1246)="","—",INDEX(PCCitrus,$N1246)),"")</f>
        <v/>
      </c>
      <c r="F1246" s="25">
        <f>IF($N1246&lt;&gt;"",IF(INDEX(PCScale,$N1246)=0,"",INDEX(PCScale,$N1246)),"")</f>
        <v/>
      </c>
      <c r="G1246" s="25">
        <f>IF($N1246&lt;&gt;"",IF(INDEX(PCBaskets,$N1246)=0,"",INDEX(PCBaskets,$N1246)),"")</f>
        <v/>
      </c>
      <c r="H1246" s="26">
        <f>IF($N1246&lt;&gt;"",IF(INDEX(PCNet,$N1246)=0,"",INDEX(PCNet,$N1246)),"")</f>
        <v/>
      </c>
      <c r="I1246" s="25">
        <f>IF($N1246&lt;&gt;"",IF(INDEX(PCOp,$N1246)="مرجوعی خرید","",IF(INDEX(PCAmount,$N1246)&lt;=0,"",INDEX(PCAmount,$N1246))),IF($O1246&lt;&gt;"",IF(INDEX(TxnDepB,$O1246)=0,"",INDEX(TxnDepB,$O1246)),""))</f>
        <v/>
      </c>
      <c r="J1246" s="25">
        <f>IF($N1246&lt;&gt;"",IF(INDEX(PCOp,$N1246)="مرجوعی خرید",IF(INDEX(PCAmount,$N1246)=0,"",-INDEX(PCAmount,$N1246)),""),IF($O1246&lt;&gt;"",IF(INDEX(TxnWitB,$O1246)=0,"",INDEX(TxnWitB,$O1246)),""))</f>
        <v/>
      </c>
      <c r="K1246" s="27">
        <f>IF($B1246="","",IF($K1245="",$C$10,$K1245)+IF($I1246="",0,$I1246)-IF($J1246="",0,$J1246))</f>
        <v/>
      </c>
      <c r="L1246" s="28">
        <f>IF($N1246&lt;&gt;"",IF(INDEX(PCNotes,$N1246)="","—",INDEX(PCNotes,$N1246)),IF($O1246&lt;&gt;"",IF(INDEX(LdgNoteB,$O1246)="","—",INDEX(LdgNoteB,$O1246)),""))</f>
        <v/>
      </c>
      <c r="N1246">
        <f>IFERROR(MATCH($C$5&amp;"|"&amp;RIGHT("000000"&amp;1230,6),LdgRankKeyA,0),"")</f>
        <v/>
      </c>
      <c r="O1246">
        <f>IFERROR(MATCH($C$5&amp;"|"&amp;RIGHT("000000"&amp;1230,6),LdgRankKeyB,0),"")</f>
        <v/>
      </c>
    </row>
    <row r="1247">
      <c r="A1247" s="17" t="n">
        <v>1231</v>
      </c>
      <c r="B1247" s="18">
        <f>IF(AND($N1247="",$O1247=""),"",IF($N1247&lt;&gt;"",INDEX(PCNormDate,$N1247),INDEX(LdgDateB,$O1247)))</f>
        <v/>
      </c>
      <c r="C1247" s="18">
        <f>IF($N1247&lt;&gt;"",INDEX(PCOp,$N1247),IF($O1247&lt;&gt;"",IF(N(INDEX(TxnDepB,$O1247))&gt;0,"دریافت بانکی","پرداخت بانکی"),""))</f>
        <v/>
      </c>
      <c r="D1247" s="18">
        <f>IF($N1247&lt;&gt;"",IF(INDEX(PCDoc,$N1247)="","—",INDEX(PCDoc,$N1247)),IF($O1247&lt;&gt;"",INDEX(LdgBankB,$O1247),""))</f>
        <v/>
      </c>
      <c r="E1247" s="18">
        <f>IF($N1247&lt;&gt;"",IF(INDEX(PCCitrus,$N1247)="","—",INDEX(PCCitrus,$N1247)),"")</f>
        <v/>
      </c>
      <c r="F1247" s="19">
        <f>IF($N1247&lt;&gt;"",IF(INDEX(PCScale,$N1247)=0,"",INDEX(PCScale,$N1247)),"")</f>
        <v/>
      </c>
      <c r="G1247" s="19">
        <f>IF($N1247&lt;&gt;"",IF(INDEX(PCBaskets,$N1247)=0,"",INDEX(PCBaskets,$N1247)),"")</f>
        <v/>
      </c>
      <c r="H1247" s="20">
        <f>IF($N1247&lt;&gt;"",IF(INDEX(PCNet,$N1247)=0,"",INDEX(PCNet,$N1247)),"")</f>
        <v/>
      </c>
      <c r="I1247" s="19">
        <f>IF($N1247&lt;&gt;"",IF(INDEX(PCOp,$N1247)="مرجوعی خرید","",IF(INDEX(PCAmount,$N1247)&lt;=0,"",INDEX(PCAmount,$N1247))),IF($O1247&lt;&gt;"",IF(INDEX(TxnDepB,$O1247)=0,"",INDEX(TxnDepB,$O1247)),""))</f>
        <v/>
      </c>
      <c r="J1247" s="19">
        <f>IF($N1247&lt;&gt;"",IF(INDEX(PCOp,$N1247)="مرجوعی خرید",IF(INDEX(PCAmount,$N1247)=0,"",-INDEX(PCAmount,$N1247)),""),IF($O1247&lt;&gt;"",IF(INDEX(TxnWitB,$O1247)=0,"",INDEX(TxnWitB,$O1247)),""))</f>
        <v/>
      </c>
      <c r="K1247" s="21">
        <f>IF($B1247="","",IF($K1246="",$C$10,$K1246)+IF($I1247="",0,$I1247)-IF($J1247="",0,$J1247))</f>
        <v/>
      </c>
      <c r="L1247" s="22">
        <f>IF($N1247&lt;&gt;"",IF(INDEX(PCNotes,$N1247)="","—",INDEX(PCNotes,$N1247)),IF($O1247&lt;&gt;"",IF(INDEX(LdgNoteB,$O1247)="","—",INDEX(LdgNoteB,$O1247)),""))</f>
        <v/>
      </c>
      <c r="N1247">
        <f>IFERROR(MATCH($C$5&amp;"|"&amp;RIGHT("000000"&amp;1231,6),LdgRankKeyA,0),"")</f>
        <v/>
      </c>
      <c r="O1247">
        <f>IFERROR(MATCH($C$5&amp;"|"&amp;RIGHT("000000"&amp;1231,6),LdgRankKeyB,0),"")</f>
        <v/>
      </c>
    </row>
    <row r="1248">
      <c r="A1248" s="23" t="n">
        <v>1232</v>
      </c>
      <c r="B1248" s="24">
        <f>IF(AND($N1248="",$O1248=""),"",IF($N1248&lt;&gt;"",INDEX(PCNormDate,$N1248),INDEX(LdgDateB,$O1248)))</f>
        <v/>
      </c>
      <c r="C1248" s="24">
        <f>IF($N1248&lt;&gt;"",INDEX(PCOp,$N1248),IF($O1248&lt;&gt;"",IF(N(INDEX(TxnDepB,$O1248))&gt;0,"دریافت بانکی","پرداخت بانکی"),""))</f>
        <v/>
      </c>
      <c r="D1248" s="24">
        <f>IF($N1248&lt;&gt;"",IF(INDEX(PCDoc,$N1248)="","—",INDEX(PCDoc,$N1248)),IF($O1248&lt;&gt;"",INDEX(LdgBankB,$O1248),""))</f>
        <v/>
      </c>
      <c r="E1248" s="24">
        <f>IF($N1248&lt;&gt;"",IF(INDEX(PCCitrus,$N1248)="","—",INDEX(PCCitrus,$N1248)),"")</f>
        <v/>
      </c>
      <c r="F1248" s="25">
        <f>IF($N1248&lt;&gt;"",IF(INDEX(PCScale,$N1248)=0,"",INDEX(PCScale,$N1248)),"")</f>
        <v/>
      </c>
      <c r="G1248" s="25">
        <f>IF($N1248&lt;&gt;"",IF(INDEX(PCBaskets,$N1248)=0,"",INDEX(PCBaskets,$N1248)),"")</f>
        <v/>
      </c>
      <c r="H1248" s="26">
        <f>IF($N1248&lt;&gt;"",IF(INDEX(PCNet,$N1248)=0,"",INDEX(PCNet,$N1248)),"")</f>
        <v/>
      </c>
      <c r="I1248" s="25">
        <f>IF($N1248&lt;&gt;"",IF(INDEX(PCOp,$N1248)="مرجوعی خرید","",IF(INDEX(PCAmount,$N1248)&lt;=0,"",INDEX(PCAmount,$N1248))),IF($O1248&lt;&gt;"",IF(INDEX(TxnDepB,$O1248)=0,"",INDEX(TxnDepB,$O1248)),""))</f>
        <v/>
      </c>
      <c r="J1248" s="25">
        <f>IF($N1248&lt;&gt;"",IF(INDEX(PCOp,$N1248)="مرجوعی خرید",IF(INDEX(PCAmount,$N1248)=0,"",-INDEX(PCAmount,$N1248)),""),IF($O1248&lt;&gt;"",IF(INDEX(TxnWitB,$O1248)=0,"",INDEX(TxnWitB,$O1248)),""))</f>
        <v/>
      </c>
      <c r="K1248" s="27">
        <f>IF($B1248="","",IF($K1247="",$C$10,$K1247)+IF($I1248="",0,$I1248)-IF($J1248="",0,$J1248))</f>
        <v/>
      </c>
      <c r="L1248" s="28">
        <f>IF($N1248&lt;&gt;"",IF(INDEX(PCNotes,$N1248)="","—",INDEX(PCNotes,$N1248)),IF($O1248&lt;&gt;"",IF(INDEX(LdgNoteB,$O1248)="","—",INDEX(LdgNoteB,$O1248)),""))</f>
        <v/>
      </c>
      <c r="N1248">
        <f>IFERROR(MATCH($C$5&amp;"|"&amp;RIGHT("000000"&amp;1232,6),LdgRankKeyA,0),"")</f>
        <v/>
      </c>
      <c r="O1248">
        <f>IFERROR(MATCH($C$5&amp;"|"&amp;RIGHT("000000"&amp;1232,6),LdgRankKeyB,0),"")</f>
        <v/>
      </c>
    </row>
    <row r="1249">
      <c r="A1249" s="17" t="n">
        <v>1233</v>
      </c>
      <c r="B1249" s="18">
        <f>IF(AND($N1249="",$O1249=""),"",IF($N1249&lt;&gt;"",INDEX(PCNormDate,$N1249),INDEX(LdgDateB,$O1249)))</f>
        <v/>
      </c>
      <c r="C1249" s="18">
        <f>IF($N1249&lt;&gt;"",INDEX(PCOp,$N1249),IF($O1249&lt;&gt;"",IF(N(INDEX(TxnDepB,$O1249))&gt;0,"دریافت بانکی","پرداخت بانکی"),""))</f>
        <v/>
      </c>
      <c r="D1249" s="18">
        <f>IF($N1249&lt;&gt;"",IF(INDEX(PCDoc,$N1249)="","—",INDEX(PCDoc,$N1249)),IF($O1249&lt;&gt;"",INDEX(LdgBankB,$O1249),""))</f>
        <v/>
      </c>
      <c r="E1249" s="18">
        <f>IF($N1249&lt;&gt;"",IF(INDEX(PCCitrus,$N1249)="","—",INDEX(PCCitrus,$N1249)),"")</f>
        <v/>
      </c>
      <c r="F1249" s="19">
        <f>IF($N1249&lt;&gt;"",IF(INDEX(PCScale,$N1249)=0,"",INDEX(PCScale,$N1249)),"")</f>
        <v/>
      </c>
      <c r="G1249" s="19">
        <f>IF($N1249&lt;&gt;"",IF(INDEX(PCBaskets,$N1249)=0,"",INDEX(PCBaskets,$N1249)),"")</f>
        <v/>
      </c>
      <c r="H1249" s="20">
        <f>IF($N1249&lt;&gt;"",IF(INDEX(PCNet,$N1249)=0,"",INDEX(PCNet,$N1249)),"")</f>
        <v/>
      </c>
      <c r="I1249" s="19">
        <f>IF($N1249&lt;&gt;"",IF(INDEX(PCOp,$N1249)="مرجوعی خرید","",IF(INDEX(PCAmount,$N1249)&lt;=0,"",INDEX(PCAmount,$N1249))),IF($O1249&lt;&gt;"",IF(INDEX(TxnDepB,$O1249)=0,"",INDEX(TxnDepB,$O1249)),""))</f>
        <v/>
      </c>
      <c r="J1249" s="19">
        <f>IF($N1249&lt;&gt;"",IF(INDEX(PCOp,$N1249)="مرجوعی خرید",IF(INDEX(PCAmount,$N1249)=0,"",-INDEX(PCAmount,$N1249)),""),IF($O1249&lt;&gt;"",IF(INDEX(TxnWitB,$O1249)=0,"",INDEX(TxnWitB,$O1249)),""))</f>
        <v/>
      </c>
      <c r="K1249" s="21">
        <f>IF($B1249="","",IF($K1248="",$C$10,$K1248)+IF($I1249="",0,$I1249)-IF($J1249="",0,$J1249))</f>
        <v/>
      </c>
      <c r="L1249" s="22">
        <f>IF($N1249&lt;&gt;"",IF(INDEX(PCNotes,$N1249)="","—",INDEX(PCNotes,$N1249)),IF($O1249&lt;&gt;"",IF(INDEX(LdgNoteB,$O1249)="","—",INDEX(LdgNoteB,$O1249)),""))</f>
        <v/>
      </c>
      <c r="N1249">
        <f>IFERROR(MATCH($C$5&amp;"|"&amp;RIGHT("000000"&amp;1233,6),LdgRankKeyA,0),"")</f>
        <v/>
      </c>
      <c r="O1249">
        <f>IFERROR(MATCH($C$5&amp;"|"&amp;RIGHT("000000"&amp;1233,6),LdgRankKeyB,0),"")</f>
        <v/>
      </c>
    </row>
    <row r="1250">
      <c r="A1250" s="23" t="n">
        <v>1234</v>
      </c>
      <c r="B1250" s="24">
        <f>IF(AND($N1250="",$O1250=""),"",IF($N1250&lt;&gt;"",INDEX(PCNormDate,$N1250),INDEX(LdgDateB,$O1250)))</f>
        <v/>
      </c>
      <c r="C1250" s="24">
        <f>IF($N1250&lt;&gt;"",INDEX(PCOp,$N1250),IF($O1250&lt;&gt;"",IF(N(INDEX(TxnDepB,$O1250))&gt;0,"دریافت بانکی","پرداخت بانکی"),""))</f>
        <v/>
      </c>
      <c r="D1250" s="24">
        <f>IF($N1250&lt;&gt;"",IF(INDEX(PCDoc,$N1250)="","—",INDEX(PCDoc,$N1250)),IF($O1250&lt;&gt;"",INDEX(LdgBankB,$O1250),""))</f>
        <v/>
      </c>
      <c r="E1250" s="24">
        <f>IF($N1250&lt;&gt;"",IF(INDEX(PCCitrus,$N1250)="","—",INDEX(PCCitrus,$N1250)),"")</f>
        <v/>
      </c>
      <c r="F1250" s="25">
        <f>IF($N1250&lt;&gt;"",IF(INDEX(PCScale,$N1250)=0,"",INDEX(PCScale,$N1250)),"")</f>
        <v/>
      </c>
      <c r="G1250" s="25">
        <f>IF($N1250&lt;&gt;"",IF(INDEX(PCBaskets,$N1250)=0,"",INDEX(PCBaskets,$N1250)),"")</f>
        <v/>
      </c>
      <c r="H1250" s="26">
        <f>IF($N1250&lt;&gt;"",IF(INDEX(PCNet,$N1250)=0,"",INDEX(PCNet,$N1250)),"")</f>
        <v/>
      </c>
      <c r="I1250" s="25">
        <f>IF($N1250&lt;&gt;"",IF(INDEX(PCOp,$N1250)="مرجوعی خرید","",IF(INDEX(PCAmount,$N1250)&lt;=0,"",INDEX(PCAmount,$N1250))),IF($O1250&lt;&gt;"",IF(INDEX(TxnDepB,$O1250)=0,"",INDEX(TxnDepB,$O1250)),""))</f>
        <v/>
      </c>
      <c r="J1250" s="25">
        <f>IF($N1250&lt;&gt;"",IF(INDEX(PCOp,$N1250)="مرجوعی خرید",IF(INDEX(PCAmount,$N1250)=0,"",-INDEX(PCAmount,$N1250)),""),IF($O1250&lt;&gt;"",IF(INDEX(TxnWitB,$O1250)=0,"",INDEX(TxnWitB,$O1250)),""))</f>
        <v/>
      </c>
      <c r="K1250" s="27">
        <f>IF($B1250="","",IF($K1249="",$C$10,$K1249)+IF($I1250="",0,$I1250)-IF($J1250="",0,$J1250))</f>
        <v/>
      </c>
      <c r="L1250" s="28">
        <f>IF($N1250&lt;&gt;"",IF(INDEX(PCNotes,$N1250)="","—",INDEX(PCNotes,$N1250)),IF($O1250&lt;&gt;"",IF(INDEX(LdgNoteB,$O1250)="","—",INDEX(LdgNoteB,$O1250)),""))</f>
        <v/>
      </c>
      <c r="N1250">
        <f>IFERROR(MATCH($C$5&amp;"|"&amp;RIGHT("000000"&amp;1234,6),LdgRankKeyA,0),"")</f>
        <v/>
      </c>
      <c r="O1250">
        <f>IFERROR(MATCH($C$5&amp;"|"&amp;RIGHT("000000"&amp;1234,6),LdgRankKeyB,0),"")</f>
        <v/>
      </c>
    </row>
    <row r="1251">
      <c r="A1251" s="17" t="n">
        <v>1235</v>
      </c>
      <c r="B1251" s="18">
        <f>IF(AND($N1251="",$O1251=""),"",IF($N1251&lt;&gt;"",INDEX(PCNormDate,$N1251),INDEX(LdgDateB,$O1251)))</f>
        <v/>
      </c>
      <c r="C1251" s="18">
        <f>IF($N1251&lt;&gt;"",INDEX(PCOp,$N1251),IF($O1251&lt;&gt;"",IF(N(INDEX(TxnDepB,$O1251))&gt;0,"دریافت بانکی","پرداخت بانکی"),""))</f>
        <v/>
      </c>
      <c r="D1251" s="18">
        <f>IF($N1251&lt;&gt;"",IF(INDEX(PCDoc,$N1251)="","—",INDEX(PCDoc,$N1251)),IF($O1251&lt;&gt;"",INDEX(LdgBankB,$O1251),""))</f>
        <v/>
      </c>
      <c r="E1251" s="18">
        <f>IF($N1251&lt;&gt;"",IF(INDEX(PCCitrus,$N1251)="","—",INDEX(PCCitrus,$N1251)),"")</f>
        <v/>
      </c>
      <c r="F1251" s="19">
        <f>IF($N1251&lt;&gt;"",IF(INDEX(PCScale,$N1251)=0,"",INDEX(PCScale,$N1251)),"")</f>
        <v/>
      </c>
      <c r="G1251" s="19">
        <f>IF($N1251&lt;&gt;"",IF(INDEX(PCBaskets,$N1251)=0,"",INDEX(PCBaskets,$N1251)),"")</f>
        <v/>
      </c>
      <c r="H1251" s="20">
        <f>IF($N1251&lt;&gt;"",IF(INDEX(PCNet,$N1251)=0,"",INDEX(PCNet,$N1251)),"")</f>
        <v/>
      </c>
      <c r="I1251" s="19">
        <f>IF($N1251&lt;&gt;"",IF(INDEX(PCOp,$N1251)="مرجوعی خرید","",IF(INDEX(PCAmount,$N1251)&lt;=0,"",INDEX(PCAmount,$N1251))),IF($O1251&lt;&gt;"",IF(INDEX(TxnDepB,$O1251)=0,"",INDEX(TxnDepB,$O1251)),""))</f>
        <v/>
      </c>
      <c r="J1251" s="19">
        <f>IF($N1251&lt;&gt;"",IF(INDEX(PCOp,$N1251)="مرجوعی خرید",IF(INDEX(PCAmount,$N1251)=0,"",-INDEX(PCAmount,$N1251)),""),IF($O1251&lt;&gt;"",IF(INDEX(TxnWitB,$O1251)=0,"",INDEX(TxnWitB,$O1251)),""))</f>
        <v/>
      </c>
      <c r="K1251" s="21">
        <f>IF($B1251="","",IF($K1250="",$C$10,$K1250)+IF($I1251="",0,$I1251)-IF($J1251="",0,$J1251))</f>
        <v/>
      </c>
      <c r="L1251" s="22">
        <f>IF($N1251&lt;&gt;"",IF(INDEX(PCNotes,$N1251)="","—",INDEX(PCNotes,$N1251)),IF($O1251&lt;&gt;"",IF(INDEX(LdgNoteB,$O1251)="","—",INDEX(LdgNoteB,$O1251)),""))</f>
        <v/>
      </c>
      <c r="N1251">
        <f>IFERROR(MATCH($C$5&amp;"|"&amp;RIGHT("000000"&amp;1235,6),LdgRankKeyA,0),"")</f>
        <v/>
      </c>
      <c r="O1251">
        <f>IFERROR(MATCH($C$5&amp;"|"&amp;RIGHT("000000"&amp;1235,6),LdgRankKeyB,0),"")</f>
        <v/>
      </c>
    </row>
    <row r="1252">
      <c r="A1252" s="23" t="n">
        <v>1236</v>
      </c>
      <c r="B1252" s="24">
        <f>IF(AND($N1252="",$O1252=""),"",IF($N1252&lt;&gt;"",INDEX(PCNormDate,$N1252),INDEX(LdgDateB,$O1252)))</f>
        <v/>
      </c>
      <c r="C1252" s="24">
        <f>IF($N1252&lt;&gt;"",INDEX(PCOp,$N1252),IF($O1252&lt;&gt;"",IF(N(INDEX(TxnDepB,$O1252))&gt;0,"دریافت بانکی","پرداخت بانکی"),""))</f>
        <v/>
      </c>
      <c r="D1252" s="24">
        <f>IF($N1252&lt;&gt;"",IF(INDEX(PCDoc,$N1252)="","—",INDEX(PCDoc,$N1252)),IF($O1252&lt;&gt;"",INDEX(LdgBankB,$O1252),""))</f>
        <v/>
      </c>
      <c r="E1252" s="24">
        <f>IF($N1252&lt;&gt;"",IF(INDEX(PCCitrus,$N1252)="","—",INDEX(PCCitrus,$N1252)),"")</f>
        <v/>
      </c>
      <c r="F1252" s="25">
        <f>IF($N1252&lt;&gt;"",IF(INDEX(PCScale,$N1252)=0,"",INDEX(PCScale,$N1252)),"")</f>
        <v/>
      </c>
      <c r="G1252" s="25">
        <f>IF($N1252&lt;&gt;"",IF(INDEX(PCBaskets,$N1252)=0,"",INDEX(PCBaskets,$N1252)),"")</f>
        <v/>
      </c>
      <c r="H1252" s="26">
        <f>IF($N1252&lt;&gt;"",IF(INDEX(PCNet,$N1252)=0,"",INDEX(PCNet,$N1252)),"")</f>
        <v/>
      </c>
      <c r="I1252" s="25">
        <f>IF($N1252&lt;&gt;"",IF(INDEX(PCOp,$N1252)="مرجوعی خرید","",IF(INDEX(PCAmount,$N1252)&lt;=0,"",INDEX(PCAmount,$N1252))),IF($O1252&lt;&gt;"",IF(INDEX(TxnDepB,$O1252)=0,"",INDEX(TxnDepB,$O1252)),""))</f>
        <v/>
      </c>
      <c r="J1252" s="25">
        <f>IF($N1252&lt;&gt;"",IF(INDEX(PCOp,$N1252)="مرجوعی خرید",IF(INDEX(PCAmount,$N1252)=0,"",-INDEX(PCAmount,$N1252)),""),IF($O1252&lt;&gt;"",IF(INDEX(TxnWitB,$O1252)=0,"",INDEX(TxnWitB,$O1252)),""))</f>
        <v/>
      </c>
      <c r="K1252" s="27">
        <f>IF($B1252="","",IF($K1251="",$C$10,$K1251)+IF($I1252="",0,$I1252)-IF($J1252="",0,$J1252))</f>
        <v/>
      </c>
      <c r="L1252" s="28">
        <f>IF($N1252&lt;&gt;"",IF(INDEX(PCNotes,$N1252)="","—",INDEX(PCNotes,$N1252)),IF($O1252&lt;&gt;"",IF(INDEX(LdgNoteB,$O1252)="","—",INDEX(LdgNoteB,$O1252)),""))</f>
        <v/>
      </c>
      <c r="N1252">
        <f>IFERROR(MATCH($C$5&amp;"|"&amp;RIGHT("000000"&amp;1236,6),LdgRankKeyA,0),"")</f>
        <v/>
      </c>
      <c r="O1252">
        <f>IFERROR(MATCH($C$5&amp;"|"&amp;RIGHT("000000"&amp;1236,6),LdgRankKeyB,0),"")</f>
        <v/>
      </c>
    </row>
    <row r="1253">
      <c r="A1253" s="17" t="n">
        <v>1237</v>
      </c>
      <c r="B1253" s="18">
        <f>IF(AND($N1253="",$O1253=""),"",IF($N1253&lt;&gt;"",INDEX(PCNormDate,$N1253),INDEX(LdgDateB,$O1253)))</f>
        <v/>
      </c>
      <c r="C1253" s="18">
        <f>IF($N1253&lt;&gt;"",INDEX(PCOp,$N1253),IF($O1253&lt;&gt;"",IF(N(INDEX(TxnDepB,$O1253))&gt;0,"دریافت بانکی","پرداخت بانکی"),""))</f>
        <v/>
      </c>
      <c r="D1253" s="18">
        <f>IF($N1253&lt;&gt;"",IF(INDEX(PCDoc,$N1253)="","—",INDEX(PCDoc,$N1253)),IF($O1253&lt;&gt;"",INDEX(LdgBankB,$O1253),""))</f>
        <v/>
      </c>
      <c r="E1253" s="18">
        <f>IF($N1253&lt;&gt;"",IF(INDEX(PCCitrus,$N1253)="","—",INDEX(PCCitrus,$N1253)),"")</f>
        <v/>
      </c>
      <c r="F1253" s="19">
        <f>IF($N1253&lt;&gt;"",IF(INDEX(PCScale,$N1253)=0,"",INDEX(PCScale,$N1253)),"")</f>
        <v/>
      </c>
      <c r="G1253" s="19">
        <f>IF($N1253&lt;&gt;"",IF(INDEX(PCBaskets,$N1253)=0,"",INDEX(PCBaskets,$N1253)),"")</f>
        <v/>
      </c>
      <c r="H1253" s="20">
        <f>IF($N1253&lt;&gt;"",IF(INDEX(PCNet,$N1253)=0,"",INDEX(PCNet,$N1253)),"")</f>
        <v/>
      </c>
      <c r="I1253" s="19">
        <f>IF($N1253&lt;&gt;"",IF(INDEX(PCOp,$N1253)="مرجوعی خرید","",IF(INDEX(PCAmount,$N1253)&lt;=0,"",INDEX(PCAmount,$N1253))),IF($O1253&lt;&gt;"",IF(INDEX(TxnDepB,$O1253)=0,"",INDEX(TxnDepB,$O1253)),""))</f>
        <v/>
      </c>
      <c r="J1253" s="19">
        <f>IF($N1253&lt;&gt;"",IF(INDEX(PCOp,$N1253)="مرجوعی خرید",IF(INDEX(PCAmount,$N1253)=0,"",-INDEX(PCAmount,$N1253)),""),IF($O1253&lt;&gt;"",IF(INDEX(TxnWitB,$O1253)=0,"",INDEX(TxnWitB,$O1253)),""))</f>
        <v/>
      </c>
      <c r="K1253" s="21">
        <f>IF($B1253="","",IF($K1252="",$C$10,$K1252)+IF($I1253="",0,$I1253)-IF($J1253="",0,$J1253))</f>
        <v/>
      </c>
      <c r="L1253" s="22">
        <f>IF($N1253&lt;&gt;"",IF(INDEX(PCNotes,$N1253)="","—",INDEX(PCNotes,$N1253)),IF($O1253&lt;&gt;"",IF(INDEX(LdgNoteB,$O1253)="","—",INDEX(LdgNoteB,$O1253)),""))</f>
        <v/>
      </c>
      <c r="N1253">
        <f>IFERROR(MATCH($C$5&amp;"|"&amp;RIGHT("000000"&amp;1237,6),LdgRankKeyA,0),"")</f>
        <v/>
      </c>
      <c r="O1253">
        <f>IFERROR(MATCH($C$5&amp;"|"&amp;RIGHT("000000"&amp;1237,6),LdgRankKeyB,0),"")</f>
        <v/>
      </c>
    </row>
    <row r="1254">
      <c r="A1254" s="23" t="n">
        <v>1238</v>
      </c>
      <c r="B1254" s="24">
        <f>IF(AND($N1254="",$O1254=""),"",IF($N1254&lt;&gt;"",INDEX(PCNormDate,$N1254),INDEX(LdgDateB,$O1254)))</f>
        <v/>
      </c>
      <c r="C1254" s="24">
        <f>IF($N1254&lt;&gt;"",INDEX(PCOp,$N1254),IF($O1254&lt;&gt;"",IF(N(INDEX(TxnDepB,$O1254))&gt;0,"دریافت بانکی","پرداخت بانکی"),""))</f>
        <v/>
      </c>
      <c r="D1254" s="24">
        <f>IF($N1254&lt;&gt;"",IF(INDEX(PCDoc,$N1254)="","—",INDEX(PCDoc,$N1254)),IF($O1254&lt;&gt;"",INDEX(LdgBankB,$O1254),""))</f>
        <v/>
      </c>
      <c r="E1254" s="24">
        <f>IF($N1254&lt;&gt;"",IF(INDEX(PCCitrus,$N1254)="","—",INDEX(PCCitrus,$N1254)),"")</f>
        <v/>
      </c>
      <c r="F1254" s="25">
        <f>IF($N1254&lt;&gt;"",IF(INDEX(PCScale,$N1254)=0,"",INDEX(PCScale,$N1254)),"")</f>
        <v/>
      </c>
      <c r="G1254" s="25">
        <f>IF($N1254&lt;&gt;"",IF(INDEX(PCBaskets,$N1254)=0,"",INDEX(PCBaskets,$N1254)),"")</f>
        <v/>
      </c>
      <c r="H1254" s="26">
        <f>IF($N1254&lt;&gt;"",IF(INDEX(PCNet,$N1254)=0,"",INDEX(PCNet,$N1254)),"")</f>
        <v/>
      </c>
      <c r="I1254" s="25">
        <f>IF($N1254&lt;&gt;"",IF(INDEX(PCOp,$N1254)="مرجوعی خرید","",IF(INDEX(PCAmount,$N1254)&lt;=0,"",INDEX(PCAmount,$N1254))),IF($O1254&lt;&gt;"",IF(INDEX(TxnDepB,$O1254)=0,"",INDEX(TxnDepB,$O1254)),""))</f>
        <v/>
      </c>
      <c r="J1254" s="25">
        <f>IF($N1254&lt;&gt;"",IF(INDEX(PCOp,$N1254)="مرجوعی خرید",IF(INDEX(PCAmount,$N1254)=0,"",-INDEX(PCAmount,$N1254)),""),IF($O1254&lt;&gt;"",IF(INDEX(TxnWitB,$O1254)=0,"",INDEX(TxnWitB,$O1254)),""))</f>
        <v/>
      </c>
      <c r="K1254" s="27">
        <f>IF($B1254="","",IF($K1253="",$C$10,$K1253)+IF($I1254="",0,$I1254)-IF($J1254="",0,$J1254))</f>
        <v/>
      </c>
      <c r="L1254" s="28">
        <f>IF($N1254&lt;&gt;"",IF(INDEX(PCNotes,$N1254)="","—",INDEX(PCNotes,$N1254)),IF($O1254&lt;&gt;"",IF(INDEX(LdgNoteB,$O1254)="","—",INDEX(LdgNoteB,$O1254)),""))</f>
        <v/>
      </c>
      <c r="N1254">
        <f>IFERROR(MATCH($C$5&amp;"|"&amp;RIGHT("000000"&amp;1238,6),LdgRankKeyA,0),"")</f>
        <v/>
      </c>
      <c r="O1254">
        <f>IFERROR(MATCH($C$5&amp;"|"&amp;RIGHT("000000"&amp;1238,6),LdgRankKeyB,0),"")</f>
        <v/>
      </c>
    </row>
    <row r="1255">
      <c r="A1255" s="17" t="n">
        <v>1239</v>
      </c>
      <c r="B1255" s="18">
        <f>IF(AND($N1255="",$O1255=""),"",IF($N1255&lt;&gt;"",INDEX(PCNormDate,$N1255),INDEX(LdgDateB,$O1255)))</f>
        <v/>
      </c>
      <c r="C1255" s="18">
        <f>IF($N1255&lt;&gt;"",INDEX(PCOp,$N1255),IF($O1255&lt;&gt;"",IF(N(INDEX(TxnDepB,$O1255))&gt;0,"دریافت بانکی","پرداخت بانکی"),""))</f>
        <v/>
      </c>
      <c r="D1255" s="18">
        <f>IF($N1255&lt;&gt;"",IF(INDEX(PCDoc,$N1255)="","—",INDEX(PCDoc,$N1255)),IF($O1255&lt;&gt;"",INDEX(LdgBankB,$O1255),""))</f>
        <v/>
      </c>
      <c r="E1255" s="18">
        <f>IF($N1255&lt;&gt;"",IF(INDEX(PCCitrus,$N1255)="","—",INDEX(PCCitrus,$N1255)),"")</f>
        <v/>
      </c>
      <c r="F1255" s="19">
        <f>IF($N1255&lt;&gt;"",IF(INDEX(PCScale,$N1255)=0,"",INDEX(PCScale,$N1255)),"")</f>
        <v/>
      </c>
      <c r="G1255" s="19">
        <f>IF($N1255&lt;&gt;"",IF(INDEX(PCBaskets,$N1255)=0,"",INDEX(PCBaskets,$N1255)),"")</f>
        <v/>
      </c>
      <c r="H1255" s="20">
        <f>IF($N1255&lt;&gt;"",IF(INDEX(PCNet,$N1255)=0,"",INDEX(PCNet,$N1255)),"")</f>
        <v/>
      </c>
      <c r="I1255" s="19">
        <f>IF($N1255&lt;&gt;"",IF(INDEX(PCOp,$N1255)="مرجوعی خرید","",IF(INDEX(PCAmount,$N1255)&lt;=0,"",INDEX(PCAmount,$N1255))),IF($O1255&lt;&gt;"",IF(INDEX(TxnDepB,$O1255)=0,"",INDEX(TxnDepB,$O1255)),""))</f>
        <v/>
      </c>
      <c r="J1255" s="19">
        <f>IF($N1255&lt;&gt;"",IF(INDEX(PCOp,$N1255)="مرجوعی خرید",IF(INDEX(PCAmount,$N1255)=0,"",-INDEX(PCAmount,$N1255)),""),IF($O1255&lt;&gt;"",IF(INDEX(TxnWitB,$O1255)=0,"",INDEX(TxnWitB,$O1255)),""))</f>
        <v/>
      </c>
      <c r="K1255" s="21">
        <f>IF($B1255="","",IF($K1254="",$C$10,$K1254)+IF($I1255="",0,$I1255)-IF($J1255="",0,$J1255))</f>
        <v/>
      </c>
      <c r="L1255" s="22">
        <f>IF($N1255&lt;&gt;"",IF(INDEX(PCNotes,$N1255)="","—",INDEX(PCNotes,$N1255)),IF($O1255&lt;&gt;"",IF(INDEX(LdgNoteB,$O1255)="","—",INDEX(LdgNoteB,$O1255)),""))</f>
        <v/>
      </c>
      <c r="N1255">
        <f>IFERROR(MATCH($C$5&amp;"|"&amp;RIGHT("000000"&amp;1239,6),LdgRankKeyA,0),"")</f>
        <v/>
      </c>
      <c r="O1255">
        <f>IFERROR(MATCH($C$5&amp;"|"&amp;RIGHT("000000"&amp;1239,6),LdgRankKeyB,0),"")</f>
        <v/>
      </c>
    </row>
    <row r="1256">
      <c r="A1256" s="23" t="n">
        <v>1240</v>
      </c>
      <c r="B1256" s="24">
        <f>IF(AND($N1256="",$O1256=""),"",IF($N1256&lt;&gt;"",INDEX(PCNormDate,$N1256),INDEX(LdgDateB,$O1256)))</f>
        <v/>
      </c>
      <c r="C1256" s="24">
        <f>IF($N1256&lt;&gt;"",INDEX(PCOp,$N1256),IF($O1256&lt;&gt;"",IF(N(INDEX(TxnDepB,$O1256))&gt;0,"دریافت بانکی","پرداخت بانکی"),""))</f>
        <v/>
      </c>
      <c r="D1256" s="24">
        <f>IF($N1256&lt;&gt;"",IF(INDEX(PCDoc,$N1256)="","—",INDEX(PCDoc,$N1256)),IF($O1256&lt;&gt;"",INDEX(LdgBankB,$O1256),""))</f>
        <v/>
      </c>
      <c r="E1256" s="24">
        <f>IF($N1256&lt;&gt;"",IF(INDEX(PCCitrus,$N1256)="","—",INDEX(PCCitrus,$N1256)),"")</f>
        <v/>
      </c>
      <c r="F1256" s="25">
        <f>IF($N1256&lt;&gt;"",IF(INDEX(PCScale,$N1256)=0,"",INDEX(PCScale,$N1256)),"")</f>
        <v/>
      </c>
      <c r="G1256" s="25">
        <f>IF($N1256&lt;&gt;"",IF(INDEX(PCBaskets,$N1256)=0,"",INDEX(PCBaskets,$N1256)),"")</f>
        <v/>
      </c>
      <c r="H1256" s="26">
        <f>IF($N1256&lt;&gt;"",IF(INDEX(PCNet,$N1256)=0,"",INDEX(PCNet,$N1256)),"")</f>
        <v/>
      </c>
      <c r="I1256" s="25">
        <f>IF($N1256&lt;&gt;"",IF(INDEX(PCOp,$N1256)="مرجوعی خرید","",IF(INDEX(PCAmount,$N1256)&lt;=0,"",INDEX(PCAmount,$N1256))),IF($O1256&lt;&gt;"",IF(INDEX(TxnDepB,$O1256)=0,"",INDEX(TxnDepB,$O1256)),""))</f>
        <v/>
      </c>
      <c r="J1256" s="25">
        <f>IF($N1256&lt;&gt;"",IF(INDEX(PCOp,$N1256)="مرجوعی خرید",IF(INDEX(PCAmount,$N1256)=0,"",-INDEX(PCAmount,$N1256)),""),IF($O1256&lt;&gt;"",IF(INDEX(TxnWitB,$O1256)=0,"",INDEX(TxnWitB,$O1256)),""))</f>
        <v/>
      </c>
      <c r="K1256" s="27">
        <f>IF($B1256="","",IF($K1255="",$C$10,$K1255)+IF($I1256="",0,$I1256)-IF($J1256="",0,$J1256))</f>
        <v/>
      </c>
      <c r="L1256" s="28">
        <f>IF($N1256&lt;&gt;"",IF(INDEX(PCNotes,$N1256)="","—",INDEX(PCNotes,$N1256)),IF($O1256&lt;&gt;"",IF(INDEX(LdgNoteB,$O1256)="","—",INDEX(LdgNoteB,$O1256)),""))</f>
        <v/>
      </c>
      <c r="N1256">
        <f>IFERROR(MATCH($C$5&amp;"|"&amp;RIGHT("000000"&amp;1240,6),LdgRankKeyA,0),"")</f>
        <v/>
      </c>
      <c r="O1256">
        <f>IFERROR(MATCH($C$5&amp;"|"&amp;RIGHT("000000"&amp;1240,6),LdgRankKeyB,0),"")</f>
        <v/>
      </c>
    </row>
    <row r="1257">
      <c r="A1257" s="17" t="n">
        <v>1241</v>
      </c>
      <c r="B1257" s="18">
        <f>IF(AND($N1257="",$O1257=""),"",IF($N1257&lt;&gt;"",INDEX(PCNormDate,$N1257),INDEX(LdgDateB,$O1257)))</f>
        <v/>
      </c>
      <c r="C1257" s="18">
        <f>IF($N1257&lt;&gt;"",INDEX(PCOp,$N1257),IF($O1257&lt;&gt;"",IF(N(INDEX(TxnDepB,$O1257))&gt;0,"دریافت بانکی","پرداخت بانکی"),""))</f>
        <v/>
      </c>
      <c r="D1257" s="18">
        <f>IF($N1257&lt;&gt;"",IF(INDEX(PCDoc,$N1257)="","—",INDEX(PCDoc,$N1257)),IF($O1257&lt;&gt;"",INDEX(LdgBankB,$O1257),""))</f>
        <v/>
      </c>
      <c r="E1257" s="18">
        <f>IF($N1257&lt;&gt;"",IF(INDEX(PCCitrus,$N1257)="","—",INDEX(PCCitrus,$N1257)),"")</f>
        <v/>
      </c>
      <c r="F1257" s="19">
        <f>IF($N1257&lt;&gt;"",IF(INDEX(PCScale,$N1257)=0,"",INDEX(PCScale,$N1257)),"")</f>
        <v/>
      </c>
      <c r="G1257" s="19">
        <f>IF($N1257&lt;&gt;"",IF(INDEX(PCBaskets,$N1257)=0,"",INDEX(PCBaskets,$N1257)),"")</f>
        <v/>
      </c>
      <c r="H1257" s="20">
        <f>IF($N1257&lt;&gt;"",IF(INDEX(PCNet,$N1257)=0,"",INDEX(PCNet,$N1257)),"")</f>
        <v/>
      </c>
      <c r="I1257" s="19">
        <f>IF($N1257&lt;&gt;"",IF(INDEX(PCOp,$N1257)="مرجوعی خرید","",IF(INDEX(PCAmount,$N1257)&lt;=0,"",INDEX(PCAmount,$N1257))),IF($O1257&lt;&gt;"",IF(INDEX(TxnDepB,$O1257)=0,"",INDEX(TxnDepB,$O1257)),""))</f>
        <v/>
      </c>
      <c r="J1257" s="19">
        <f>IF($N1257&lt;&gt;"",IF(INDEX(PCOp,$N1257)="مرجوعی خرید",IF(INDEX(PCAmount,$N1257)=0,"",-INDEX(PCAmount,$N1257)),""),IF($O1257&lt;&gt;"",IF(INDEX(TxnWitB,$O1257)=0,"",INDEX(TxnWitB,$O1257)),""))</f>
        <v/>
      </c>
      <c r="K1257" s="21">
        <f>IF($B1257="","",IF($K1256="",$C$10,$K1256)+IF($I1257="",0,$I1257)-IF($J1257="",0,$J1257))</f>
        <v/>
      </c>
      <c r="L1257" s="22">
        <f>IF($N1257&lt;&gt;"",IF(INDEX(PCNotes,$N1257)="","—",INDEX(PCNotes,$N1257)),IF($O1257&lt;&gt;"",IF(INDEX(LdgNoteB,$O1257)="","—",INDEX(LdgNoteB,$O1257)),""))</f>
        <v/>
      </c>
      <c r="N1257">
        <f>IFERROR(MATCH($C$5&amp;"|"&amp;RIGHT("000000"&amp;1241,6),LdgRankKeyA,0),"")</f>
        <v/>
      </c>
      <c r="O1257">
        <f>IFERROR(MATCH($C$5&amp;"|"&amp;RIGHT("000000"&amp;1241,6),LdgRankKeyB,0),"")</f>
        <v/>
      </c>
    </row>
    <row r="1258">
      <c r="A1258" s="23" t="n">
        <v>1242</v>
      </c>
      <c r="B1258" s="24">
        <f>IF(AND($N1258="",$O1258=""),"",IF($N1258&lt;&gt;"",INDEX(PCNormDate,$N1258),INDEX(LdgDateB,$O1258)))</f>
        <v/>
      </c>
      <c r="C1258" s="24">
        <f>IF($N1258&lt;&gt;"",INDEX(PCOp,$N1258),IF($O1258&lt;&gt;"",IF(N(INDEX(TxnDepB,$O1258))&gt;0,"دریافت بانکی","پرداخت بانکی"),""))</f>
        <v/>
      </c>
      <c r="D1258" s="24">
        <f>IF($N1258&lt;&gt;"",IF(INDEX(PCDoc,$N1258)="","—",INDEX(PCDoc,$N1258)),IF($O1258&lt;&gt;"",INDEX(LdgBankB,$O1258),""))</f>
        <v/>
      </c>
      <c r="E1258" s="24">
        <f>IF($N1258&lt;&gt;"",IF(INDEX(PCCitrus,$N1258)="","—",INDEX(PCCitrus,$N1258)),"")</f>
        <v/>
      </c>
      <c r="F1258" s="25">
        <f>IF($N1258&lt;&gt;"",IF(INDEX(PCScale,$N1258)=0,"",INDEX(PCScale,$N1258)),"")</f>
        <v/>
      </c>
      <c r="G1258" s="25">
        <f>IF($N1258&lt;&gt;"",IF(INDEX(PCBaskets,$N1258)=0,"",INDEX(PCBaskets,$N1258)),"")</f>
        <v/>
      </c>
      <c r="H1258" s="26">
        <f>IF($N1258&lt;&gt;"",IF(INDEX(PCNet,$N1258)=0,"",INDEX(PCNet,$N1258)),"")</f>
        <v/>
      </c>
      <c r="I1258" s="25">
        <f>IF($N1258&lt;&gt;"",IF(INDEX(PCOp,$N1258)="مرجوعی خرید","",IF(INDEX(PCAmount,$N1258)&lt;=0,"",INDEX(PCAmount,$N1258))),IF($O1258&lt;&gt;"",IF(INDEX(TxnDepB,$O1258)=0,"",INDEX(TxnDepB,$O1258)),""))</f>
        <v/>
      </c>
      <c r="J1258" s="25">
        <f>IF($N1258&lt;&gt;"",IF(INDEX(PCOp,$N1258)="مرجوعی خرید",IF(INDEX(PCAmount,$N1258)=0,"",-INDEX(PCAmount,$N1258)),""),IF($O1258&lt;&gt;"",IF(INDEX(TxnWitB,$O1258)=0,"",INDEX(TxnWitB,$O1258)),""))</f>
        <v/>
      </c>
      <c r="K1258" s="27">
        <f>IF($B1258="","",IF($K1257="",$C$10,$K1257)+IF($I1258="",0,$I1258)-IF($J1258="",0,$J1258))</f>
        <v/>
      </c>
      <c r="L1258" s="28">
        <f>IF($N1258&lt;&gt;"",IF(INDEX(PCNotes,$N1258)="","—",INDEX(PCNotes,$N1258)),IF($O1258&lt;&gt;"",IF(INDEX(LdgNoteB,$O1258)="","—",INDEX(LdgNoteB,$O1258)),""))</f>
        <v/>
      </c>
      <c r="N1258">
        <f>IFERROR(MATCH($C$5&amp;"|"&amp;RIGHT("000000"&amp;1242,6),LdgRankKeyA,0),"")</f>
        <v/>
      </c>
      <c r="O1258">
        <f>IFERROR(MATCH($C$5&amp;"|"&amp;RIGHT("000000"&amp;1242,6),LdgRankKeyB,0),"")</f>
        <v/>
      </c>
    </row>
    <row r="1259">
      <c r="A1259" s="17" t="n">
        <v>1243</v>
      </c>
      <c r="B1259" s="18">
        <f>IF(AND($N1259="",$O1259=""),"",IF($N1259&lt;&gt;"",INDEX(PCNormDate,$N1259),INDEX(LdgDateB,$O1259)))</f>
        <v/>
      </c>
      <c r="C1259" s="18">
        <f>IF($N1259&lt;&gt;"",INDEX(PCOp,$N1259),IF($O1259&lt;&gt;"",IF(N(INDEX(TxnDepB,$O1259))&gt;0,"دریافت بانکی","پرداخت بانکی"),""))</f>
        <v/>
      </c>
      <c r="D1259" s="18">
        <f>IF($N1259&lt;&gt;"",IF(INDEX(PCDoc,$N1259)="","—",INDEX(PCDoc,$N1259)),IF($O1259&lt;&gt;"",INDEX(LdgBankB,$O1259),""))</f>
        <v/>
      </c>
      <c r="E1259" s="18">
        <f>IF($N1259&lt;&gt;"",IF(INDEX(PCCitrus,$N1259)="","—",INDEX(PCCitrus,$N1259)),"")</f>
        <v/>
      </c>
      <c r="F1259" s="19">
        <f>IF($N1259&lt;&gt;"",IF(INDEX(PCScale,$N1259)=0,"",INDEX(PCScale,$N1259)),"")</f>
        <v/>
      </c>
      <c r="G1259" s="19">
        <f>IF($N1259&lt;&gt;"",IF(INDEX(PCBaskets,$N1259)=0,"",INDEX(PCBaskets,$N1259)),"")</f>
        <v/>
      </c>
      <c r="H1259" s="20">
        <f>IF($N1259&lt;&gt;"",IF(INDEX(PCNet,$N1259)=0,"",INDEX(PCNet,$N1259)),"")</f>
        <v/>
      </c>
      <c r="I1259" s="19">
        <f>IF($N1259&lt;&gt;"",IF(INDEX(PCOp,$N1259)="مرجوعی خرید","",IF(INDEX(PCAmount,$N1259)&lt;=0,"",INDEX(PCAmount,$N1259))),IF($O1259&lt;&gt;"",IF(INDEX(TxnDepB,$O1259)=0,"",INDEX(TxnDepB,$O1259)),""))</f>
        <v/>
      </c>
      <c r="J1259" s="19">
        <f>IF($N1259&lt;&gt;"",IF(INDEX(PCOp,$N1259)="مرجوعی خرید",IF(INDEX(PCAmount,$N1259)=0,"",-INDEX(PCAmount,$N1259)),""),IF($O1259&lt;&gt;"",IF(INDEX(TxnWitB,$O1259)=0,"",INDEX(TxnWitB,$O1259)),""))</f>
        <v/>
      </c>
      <c r="K1259" s="21">
        <f>IF($B1259="","",IF($K1258="",$C$10,$K1258)+IF($I1259="",0,$I1259)-IF($J1259="",0,$J1259))</f>
        <v/>
      </c>
      <c r="L1259" s="22">
        <f>IF($N1259&lt;&gt;"",IF(INDEX(PCNotes,$N1259)="","—",INDEX(PCNotes,$N1259)),IF($O1259&lt;&gt;"",IF(INDEX(LdgNoteB,$O1259)="","—",INDEX(LdgNoteB,$O1259)),""))</f>
        <v/>
      </c>
      <c r="N1259">
        <f>IFERROR(MATCH($C$5&amp;"|"&amp;RIGHT("000000"&amp;1243,6),LdgRankKeyA,0),"")</f>
        <v/>
      </c>
      <c r="O1259">
        <f>IFERROR(MATCH($C$5&amp;"|"&amp;RIGHT("000000"&amp;1243,6),LdgRankKeyB,0),"")</f>
        <v/>
      </c>
    </row>
    <row r="1260">
      <c r="A1260" s="23" t="n">
        <v>1244</v>
      </c>
      <c r="B1260" s="24">
        <f>IF(AND($N1260="",$O1260=""),"",IF($N1260&lt;&gt;"",INDEX(PCNormDate,$N1260),INDEX(LdgDateB,$O1260)))</f>
        <v/>
      </c>
      <c r="C1260" s="24">
        <f>IF($N1260&lt;&gt;"",INDEX(PCOp,$N1260),IF($O1260&lt;&gt;"",IF(N(INDEX(TxnDepB,$O1260))&gt;0,"دریافت بانکی","پرداخت بانکی"),""))</f>
        <v/>
      </c>
      <c r="D1260" s="24">
        <f>IF($N1260&lt;&gt;"",IF(INDEX(PCDoc,$N1260)="","—",INDEX(PCDoc,$N1260)),IF($O1260&lt;&gt;"",INDEX(LdgBankB,$O1260),""))</f>
        <v/>
      </c>
      <c r="E1260" s="24">
        <f>IF($N1260&lt;&gt;"",IF(INDEX(PCCitrus,$N1260)="","—",INDEX(PCCitrus,$N1260)),"")</f>
        <v/>
      </c>
      <c r="F1260" s="25">
        <f>IF($N1260&lt;&gt;"",IF(INDEX(PCScale,$N1260)=0,"",INDEX(PCScale,$N1260)),"")</f>
        <v/>
      </c>
      <c r="G1260" s="25">
        <f>IF($N1260&lt;&gt;"",IF(INDEX(PCBaskets,$N1260)=0,"",INDEX(PCBaskets,$N1260)),"")</f>
        <v/>
      </c>
      <c r="H1260" s="26">
        <f>IF($N1260&lt;&gt;"",IF(INDEX(PCNet,$N1260)=0,"",INDEX(PCNet,$N1260)),"")</f>
        <v/>
      </c>
      <c r="I1260" s="25">
        <f>IF($N1260&lt;&gt;"",IF(INDEX(PCOp,$N1260)="مرجوعی خرید","",IF(INDEX(PCAmount,$N1260)&lt;=0,"",INDEX(PCAmount,$N1260))),IF($O1260&lt;&gt;"",IF(INDEX(TxnDepB,$O1260)=0,"",INDEX(TxnDepB,$O1260)),""))</f>
        <v/>
      </c>
      <c r="J1260" s="25">
        <f>IF($N1260&lt;&gt;"",IF(INDEX(PCOp,$N1260)="مرجوعی خرید",IF(INDEX(PCAmount,$N1260)=0,"",-INDEX(PCAmount,$N1260)),""),IF($O1260&lt;&gt;"",IF(INDEX(TxnWitB,$O1260)=0,"",INDEX(TxnWitB,$O1260)),""))</f>
        <v/>
      </c>
      <c r="K1260" s="27">
        <f>IF($B1260="","",IF($K1259="",$C$10,$K1259)+IF($I1260="",0,$I1260)-IF($J1260="",0,$J1260))</f>
        <v/>
      </c>
      <c r="L1260" s="28">
        <f>IF($N1260&lt;&gt;"",IF(INDEX(PCNotes,$N1260)="","—",INDEX(PCNotes,$N1260)),IF($O1260&lt;&gt;"",IF(INDEX(LdgNoteB,$O1260)="","—",INDEX(LdgNoteB,$O1260)),""))</f>
        <v/>
      </c>
      <c r="N1260">
        <f>IFERROR(MATCH($C$5&amp;"|"&amp;RIGHT("000000"&amp;1244,6),LdgRankKeyA,0),"")</f>
        <v/>
      </c>
      <c r="O1260">
        <f>IFERROR(MATCH($C$5&amp;"|"&amp;RIGHT("000000"&amp;1244,6),LdgRankKeyB,0),"")</f>
        <v/>
      </c>
    </row>
    <row r="1261">
      <c r="A1261" s="17" t="n">
        <v>1245</v>
      </c>
      <c r="B1261" s="18">
        <f>IF(AND($N1261="",$O1261=""),"",IF($N1261&lt;&gt;"",INDEX(PCNormDate,$N1261),INDEX(LdgDateB,$O1261)))</f>
        <v/>
      </c>
      <c r="C1261" s="18">
        <f>IF($N1261&lt;&gt;"",INDEX(PCOp,$N1261),IF($O1261&lt;&gt;"",IF(N(INDEX(TxnDepB,$O1261))&gt;0,"دریافت بانکی","پرداخت بانکی"),""))</f>
        <v/>
      </c>
      <c r="D1261" s="18">
        <f>IF($N1261&lt;&gt;"",IF(INDEX(PCDoc,$N1261)="","—",INDEX(PCDoc,$N1261)),IF($O1261&lt;&gt;"",INDEX(LdgBankB,$O1261),""))</f>
        <v/>
      </c>
      <c r="E1261" s="18">
        <f>IF($N1261&lt;&gt;"",IF(INDEX(PCCitrus,$N1261)="","—",INDEX(PCCitrus,$N1261)),"")</f>
        <v/>
      </c>
      <c r="F1261" s="19">
        <f>IF($N1261&lt;&gt;"",IF(INDEX(PCScale,$N1261)=0,"",INDEX(PCScale,$N1261)),"")</f>
        <v/>
      </c>
      <c r="G1261" s="19">
        <f>IF($N1261&lt;&gt;"",IF(INDEX(PCBaskets,$N1261)=0,"",INDEX(PCBaskets,$N1261)),"")</f>
        <v/>
      </c>
      <c r="H1261" s="20">
        <f>IF($N1261&lt;&gt;"",IF(INDEX(PCNet,$N1261)=0,"",INDEX(PCNet,$N1261)),"")</f>
        <v/>
      </c>
      <c r="I1261" s="19">
        <f>IF($N1261&lt;&gt;"",IF(INDEX(PCOp,$N1261)="مرجوعی خرید","",IF(INDEX(PCAmount,$N1261)&lt;=0,"",INDEX(PCAmount,$N1261))),IF($O1261&lt;&gt;"",IF(INDEX(TxnDepB,$O1261)=0,"",INDEX(TxnDepB,$O1261)),""))</f>
        <v/>
      </c>
      <c r="J1261" s="19">
        <f>IF($N1261&lt;&gt;"",IF(INDEX(PCOp,$N1261)="مرجوعی خرید",IF(INDEX(PCAmount,$N1261)=0,"",-INDEX(PCAmount,$N1261)),""),IF($O1261&lt;&gt;"",IF(INDEX(TxnWitB,$O1261)=0,"",INDEX(TxnWitB,$O1261)),""))</f>
        <v/>
      </c>
      <c r="K1261" s="21">
        <f>IF($B1261="","",IF($K1260="",$C$10,$K1260)+IF($I1261="",0,$I1261)-IF($J1261="",0,$J1261))</f>
        <v/>
      </c>
      <c r="L1261" s="22">
        <f>IF($N1261&lt;&gt;"",IF(INDEX(PCNotes,$N1261)="","—",INDEX(PCNotes,$N1261)),IF($O1261&lt;&gt;"",IF(INDEX(LdgNoteB,$O1261)="","—",INDEX(LdgNoteB,$O1261)),""))</f>
        <v/>
      </c>
      <c r="N1261">
        <f>IFERROR(MATCH($C$5&amp;"|"&amp;RIGHT("000000"&amp;1245,6),LdgRankKeyA,0),"")</f>
        <v/>
      </c>
      <c r="O1261">
        <f>IFERROR(MATCH($C$5&amp;"|"&amp;RIGHT("000000"&amp;1245,6),LdgRankKeyB,0),"")</f>
        <v/>
      </c>
    </row>
    <row r="1262">
      <c r="A1262" s="23" t="n">
        <v>1246</v>
      </c>
      <c r="B1262" s="24">
        <f>IF(AND($N1262="",$O1262=""),"",IF($N1262&lt;&gt;"",INDEX(PCNormDate,$N1262),INDEX(LdgDateB,$O1262)))</f>
        <v/>
      </c>
      <c r="C1262" s="24">
        <f>IF($N1262&lt;&gt;"",INDEX(PCOp,$N1262),IF($O1262&lt;&gt;"",IF(N(INDEX(TxnDepB,$O1262))&gt;0,"دریافت بانکی","پرداخت بانکی"),""))</f>
        <v/>
      </c>
      <c r="D1262" s="24">
        <f>IF($N1262&lt;&gt;"",IF(INDEX(PCDoc,$N1262)="","—",INDEX(PCDoc,$N1262)),IF($O1262&lt;&gt;"",INDEX(LdgBankB,$O1262),""))</f>
        <v/>
      </c>
      <c r="E1262" s="24">
        <f>IF($N1262&lt;&gt;"",IF(INDEX(PCCitrus,$N1262)="","—",INDEX(PCCitrus,$N1262)),"")</f>
        <v/>
      </c>
      <c r="F1262" s="25">
        <f>IF($N1262&lt;&gt;"",IF(INDEX(PCScale,$N1262)=0,"",INDEX(PCScale,$N1262)),"")</f>
        <v/>
      </c>
      <c r="G1262" s="25">
        <f>IF($N1262&lt;&gt;"",IF(INDEX(PCBaskets,$N1262)=0,"",INDEX(PCBaskets,$N1262)),"")</f>
        <v/>
      </c>
      <c r="H1262" s="26">
        <f>IF($N1262&lt;&gt;"",IF(INDEX(PCNet,$N1262)=0,"",INDEX(PCNet,$N1262)),"")</f>
        <v/>
      </c>
      <c r="I1262" s="25">
        <f>IF($N1262&lt;&gt;"",IF(INDEX(PCOp,$N1262)="مرجوعی خرید","",IF(INDEX(PCAmount,$N1262)&lt;=0,"",INDEX(PCAmount,$N1262))),IF($O1262&lt;&gt;"",IF(INDEX(TxnDepB,$O1262)=0,"",INDEX(TxnDepB,$O1262)),""))</f>
        <v/>
      </c>
      <c r="J1262" s="25">
        <f>IF($N1262&lt;&gt;"",IF(INDEX(PCOp,$N1262)="مرجوعی خرید",IF(INDEX(PCAmount,$N1262)=0,"",-INDEX(PCAmount,$N1262)),""),IF($O1262&lt;&gt;"",IF(INDEX(TxnWitB,$O1262)=0,"",INDEX(TxnWitB,$O1262)),""))</f>
        <v/>
      </c>
      <c r="K1262" s="27">
        <f>IF($B1262="","",IF($K1261="",$C$10,$K1261)+IF($I1262="",0,$I1262)-IF($J1262="",0,$J1262))</f>
        <v/>
      </c>
      <c r="L1262" s="28">
        <f>IF($N1262&lt;&gt;"",IF(INDEX(PCNotes,$N1262)="","—",INDEX(PCNotes,$N1262)),IF($O1262&lt;&gt;"",IF(INDEX(LdgNoteB,$O1262)="","—",INDEX(LdgNoteB,$O1262)),""))</f>
        <v/>
      </c>
      <c r="N1262">
        <f>IFERROR(MATCH($C$5&amp;"|"&amp;RIGHT("000000"&amp;1246,6),LdgRankKeyA,0),"")</f>
        <v/>
      </c>
      <c r="O1262">
        <f>IFERROR(MATCH($C$5&amp;"|"&amp;RIGHT("000000"&amp;1246,6),LdgRankKeyB,0),"")</f>
        <v/>
      </c>
    </row>
    <row r="1263">
      <c r="A1263" s="17" t="n">
        <v>1247</v>
      </c>
      <c r="B1263" s="18">
        <f>IF(AND($N1263="",$O1263=""),"",IF($N1263&lt;&gt;"",INDEX(PCNormDate,$N1263),INDEX(LdgDateB,$O1263)))</f>
        <v/>
      </c>
      <c r="C1263" s="18">
        <f>IF($N1263&lt;&gt;"",INDEX(PCOp,$N1263),IF($O1263&lt;&gt;"",IF(N(INDEX(TxnDepB,$O1263))&gt;0,"دریافت بانکی","پرداخت بانکی"),""))</f>
        <v/>
      </c>
      <c r="D1263" s="18">
        <f>IF($N1263&lt;&gt;"",IF(INDEX(PCDoc,$N1263)="","—",INDEX(PCDoc,$N1263)),IF($O1263&lt;&gt;"",INDEX(LdgBankB,$O1263),""))</f>
        <v/>
      </c>
      <c r="E1263" s="18">
        <f>IF($N1263&lt;&gt;"",IF(INDEX(PCCitrus,$N1263)="","—",INDEX(PCCitrus,$N1263)),"")</f>
        <v/>
      </c>
      <c r="F1263" s="19">
        <f>IF($N1263&lt;&gt;"",IF(INDEX(PCScale,$N1263)=0,"",INDEX(PCScale,$N1263)),"")</f>
        <v/>
      </c>
      <c r="G1263" s="19">
        <f>IF($N1263&lt;&gt;"",IF(INDEX(PCBaskets,$N1263)=0,"",INDEX(PCBaskets,$N1263)),"")</f>
        <v/>
      </c>
      <c r="H1263" s="20">
        <f>IF($N1263&lt;&gt;"",IF(INDEX(PCNet,$N1263)=0,"",INDEX(PCNet,$N1263)),"")</f>
        <v/>
      </c>
      <c r="I1263" s="19">
        <f>IF($N1263&lt;&gt;"",IF(INDEX(PCOp,$N1263)="مرجوعی خرید","",IF(INDEX(PCAmount,$N1263)&lt;=0,"",INDEX(PCAmount,$N1263))),IF($O1263&lt;&gt;"",IF(INDEX(TxnDepB,$O1263)=0,"",INDEX(TxnDepB,$O1263)),""))</f>
        <v/>
      </c>
      <c r="J1263" s="19">
        <f>IF($N1263&lt;&gt;"",IF(INDEX(PCOp,$N1263)="مرجوعی خرید",IF(INDEX(PCAmount,$N1263)=0,"",-INDEX(PCAmount,$N1263)),""),IF($O1263&lt;&gt;"",IF(INDEX(TxnWitB,$O1263)=0,"",INDEX(TxnWitB,$O1263)),""))</f>
        <v/>
      </c>
      <c r="K1263" s="21">
        <f>IF($B1263="","",IF($K1262="",$C$10,$K1262)+IF($I1263="",0,$I1263)-IF($J1263="",0,$J1263))</f>
        <v/>
      </c>
      <c r="L1263" s="22">
        <f>IF($N1263&lt;&gt;"",IF(INDEX(PCNotes,$N1263)="","—",INDEX(PCNotes,$N1263)),IF($O1263&lt;&gt;"",IF(INDEX(LdgNoteB,$O1263)="","—",INDEX(LdgNoteB,$O1263)),""))</f>
        <v/>
      </c>
      <c r="N1263">
        <f>IFERROR(MATCH($C$5&amp;"|"&amp;RIGHT("000000"&amp;1247,6),LdgRankKeyA,0),"")</f>
        <v/>
      </c>
      <c r="O1263">
        <f>IFERROR(MATCH($C$5&amp;"|"&amp;RIGHT("000000"&amp;1247,6),LdgRankKeyB,0),"")</f>
        <v/>
      </c>
    </row>
    <row r="1264">
      <c r="A1264" s="23" t="n">
        <v>1248</v>
      </c>
      <c r="B1264" s="24">
        <f>IF(AND($N1264="",$O1264=""),"",IF($N1264&lt;&gt;"",INDEX(PCNormDate,$N1264),INDEX(LdgDateB,$O1264)))</f>
        <v/>
      </c>
      <c r="C1264" s="24">
        <f>IF($N1264&lt;&gt;"",INDEX(PCOp,$N1264),IF($O1264&lt;&gt;"",IF(N(INDEX(TxnDepB,$O1264))&gt;0,"دریافت بانکی","پرداخت بانکی"),""))</f>
        <v/>
      </c>
      <c r="D1264" s="24">
        <f>IF($N1264&lt;&gt;"",IF(INDEX(PCDoc,$N1264)="","—",INDEX(PCDoc,$N1264)),IF($O1264&lt;&gt;"",INDEX(LdgBankB,$O1264),""))</f>
        <v/>
      </c>
      <c r="E1264" s="24">
        <f>IF($N1264&lt;&gt;"",IF(INDEX(PCCitrus,$N1264)="","—",INDEX(PCCitrus,$N1264)),"")</f>
        <v/>
      </c>
      <c r="F1264" s="25">
        <f>IF($N1264&lt;&gt;"",IF(INDEX(PCScale,$N1264)=0,"",INDEX(PCScale,$N1264)),"")</f>
        <v/>
      </c>
      <c r="G1264" s="25">
        <f>IF($N1264&lt;&gt;"",IF(INDEX(PCBaskets,$N1264)=0,"",INDEX(PCBaskets,$N1264)),"")</f>
        <v/>
      </c>
      <c r="H1264" s="26">
        <f>IF($N1264&lt;&gt;"",IF(INDEX(PCNet,$N1264)=0,"",INDEX(PCNet,$N1264)),"")</f>
        <v/>
      </c>
      <c r="I1264" s="25">
        <f>IF($N1264&lt;&gt;"",IF(INDEX(PCOp,$N1264)="مرجوعی خرید","",IF(INDEX(PCAmount,$N1264)&lt;=0,"",INDEX(PCAmount,$N1264))),IF($O1264&lt;&gt;"",IF(INDEX(TxnDepB,$O1264)=0,"",INDEX(TxnDepB,$O1264)),""))</f>
        <v/>
      </c>
      <c r="J1264" s="25">
        <f>IF($N1264&lt;&gt;"",IF(INDEX(PCOp,$N1264)="مرجوعی خرید",IF(INDEX(PCAmount,$N1264)=0,"",-INDEX(PCAmount,$N1264)),""),IF($O1264&lt;&gt;"",IF(INDEX(TxnWitB,$O1264)=0,"",INDEX(TxnWitB,$O1264)),""))</f>
        <v/>
      </c>
      <c r="K1264" s="27">
        <f>IF($B1264="","",IF($K1263="",$C$10,$K1263)+IF($I1264="",0,$I1264)-IF($J1264="",0,$J1264))</f>
        <v/>
      </c>
      <c r="L1264" s="28">
        <f>IF($N1264&lt;&gt;"",IF(INDEX(PCNotes,$N1264)="","—",INDEX(PCNotes,$N1264)),IF($O1264&lt;&gt;"",IF(INDEX(LdgNoteB,$O1264)="","—",INDEX(LdgNoteB,$O1264)),""))</f>
        <v/>
      </c>
      <c r="N1264">
        <f>IFERROR(MATCH($C$5&amp;"|"&amp;RIGHT("000000"&amp;1248,6),LdgRankKeyA,0),"")</f>
        <v/>
      </c>
      <c r="O1264">
        <f>IFERROR(MATCH($C$5&amp;"|"&amp;RIGHT("000000"&amp;1248,6),LdgRankKeyB,0),"")</f>
        <v/>
      </c>
    </row>
    <row r="1265">
      <c r="A1265" s="17" t="n">
        <v>1249</v>
      </c>
      <c r="B1265" s="18">
        <f>IF(AND($N1265="",$O1265=""),"",IF($N1265&lt;&gt;"",INDEX(PCNormDate,$N1265),INDEX(LdgDateB,$O1265)))</f>
        <v/>
      </c>
      <c r="C1265" s="18">
        <f>IF($N1265&lt;&gt;"",INDEX(PCOp,$N1265),IF($O1265&lt;&gt;"",IF(N(INDEX(TxnDepB,$O1265))&gt;0,"دریافت بانکی","پرداخت بانکی"),""))</f>
        <v/>
      </c>
      <c r="D1265" s="18">
        <f>IF($N1265&lt;&gt;"",IF(INDEX(PCDoc,$N1265)="","—",INDEX(PCDoc,$N1265)),IF($O1265&lt;&gt;"",INDEX(LdgBankB,$O1265),""))</f>
        <v/>
      </c>
      <c r="E1265" s="18">
        <f>IF($N1265&lt;&gt;"",IF(INDEX(PCCitrus,$N1265)="","—",INDEX(PCCitrus,$N1265)),"")</f>
        <v/>
      </c>
      <c r="F1265" s="19">
        <f>IF($N1265&lt;&gt;"",IF(INDEX(PCScale,$N1265)=0,"",INDEX(PCScale,$N1265)),"")</f>
        <v/>
      </c>
      <c r="G1265" s="19">
        <f>IF($N1265&lt;&gt;"",IF(INDEX(PCBaskets,$N1265)=0,"",INDEX(PCBaskets,$N1265)),"")</f>
        <v/>
      </c>
      <c r="H1265" s="20">
        <f>IF($N1265&lt;&gt;"",IF(INDEX(PCNet,$N1265)=0,"",INDEX(PCNet,$N1265)),"")</f>
        <v/>
      </c>
      <c r="I1265" s="19">
        <f>IF($N1265&lt;&gt;"",IF(INDEX(PCOp,$N1265)="مرجوعی خرید","",IF(INDEX(PCAmount,$N1265)&lt;=0,"",INDEX(PCAmount,$N1265))),IF($O1265&lt;&gt;"",IF(INDEX(TxnDepB,$O1265)=0,"",INDEX(TxnDepB,$O1265)),""))</f>
        <v/>
      </c>
      <c r="J1265" s="19">
        <f>IF($N1265&lt;&gt;"",IF(INDEX(PCOp,$N1265)="مرجوعی خرید",IF(INDEX(PCAmount,$N1265)=0,"",-INDEX(PCAmount,$N1265)),""),IF($O1265&lt;&gt;"",IF(INDEX(TxnWitB,$O1265)=0,"",INDEX(TxnWitB,$O1265)),""))</f>
        <v/>
      </c>
      <c r="K1265" s="21">
        <f>IF($B1265="","",IF($K1264="",$C$10,$K1264)+IF($I1265="",0,$I1265)-IF($J1265="",0,$J1265))</f>
        <v/>
      </c>
      <c r="L1265" s="22">
        <f>IF($N1265&lt;&gt;"",IF(INDEX(PCNotes,$N1265)="","—",INDEX(PCNotes,$N1265)),IF($O1265&lt;&gt;"",IF(INDEX(LdgNoteB,$O1265)="","—",INDEX(LdgNoteB,$O1265)),""))</f>
        <v/>
      </c>
      <c r="N1265">
        <f>IFERROR(MATCH($C$5&amp;"|"&amp;RIGHT("000000"&amp;1249,6),LdgRankKeyA,0),"")</f>
        <v/>
      </c>
      <c r="O1265">
        <f>IFERROR(MATCH($C$5&amp;"|"&amp;RIGHT("000000"&amp;1249,6),LdgRankKeyB,0),"")</f>
        <v/>
      </c>
    </row>
    <row r="1266">
      <c r="A1266" s="23" t="n">
        <v>1250</v>
      </c>
      <c r="B1266" s="24">
        <f>IF(AND($N1266="",$O1266=""),"",IF($N1266&lt;&gt;"",INDEX(PCNormDate,$N1266),INDEX(LdgDateB,$O1266)))</f>
        <v/>
      </c>
      <c r="C1266" s="24">
        <f>IF($N1266&lt;&gt;"",INDEX(PCOp,$N1266),IF($O1266&lt;&gt;"",IF(N(INDEX(TxnDepB,$O1266))&gt;0,"دریافت بانکی","پرداخت بانکی"),""))</f>
        <v/>
      </c>
      <c r="D1266" s="24">
        <f>IF($N1266&lt;&gt;"",IF(INDEX(PCDoc,$N1266)="","—",INDEX(PCDoc,$N1266)),IF($O1266&lt;&gt;"",INDEX(LdgBankB,$O1266),""))</f>
        <v/>
      </c>
      <c r="E1266" s="24">
        <f>IF($N1266&lt;&gt;"",IF(INDEX(PCCitrus,$N1266)="","—",INDEX(PCCitrus,$N1266)),"")</f>
        <v/>
      </c>
      <c r="F1266" s="25">
        <f>IF($N1266&lt;&gt;"",IF(INDEX(PCScale,$N1266)=0,"",INDEX(PCScale,$N1266)),"")</f>
        <v/>
      </c>
      <c r="G1266" s="25">
        <f>IF($N1266&lt;&gt;"",IF(INDEX(PCBaskets,$N1266)=0,"",INDEX(PCBaskets,$N1266)),"")</f>
        <v/>
      </c>
      <c r="H1266" s="26">
        <f>IF($N1266&lt;&gt;"",IF(INDEX(PCNet,$N1266)=0,"",INDEX(PCNet,$N1266)),"")</f>
        <v/>
      </c>
      <c r="I1266" s="25">
        <f>IF($N1266&lt;&gt;"",IF(INDEX(PCOp,$N1266)="مرجوعی خرید","",IF(INDEX(PCAmount,$N1266)&lt;=0,"",INDEX(PCAmount,$N1266))),IF($O1266&lt;&gt;"",IF(INDEX(TxnDepB,$O1266)=0,"",INDEX(TxnDepB,$O1266)),""))</f>
        <v/>
      </c>
      <c r="J1266" s="25">
        <f>IF($N1266&lt;&gt;"",IF(INDEX(PCOp,$N1266)="مرجوعی خرید",IF(INDEX(PCAmount,$N1266)=0,"",-INDEX(PCAmount,$N1266)),""),IF($O1266&lt;&gt;"",IF(INDEX(TxnWitB,$O1266)=0,"",INDEX(TxnWitB,$O1266)),""))</f>
        <v/>
      </c>
      <c r="K1266" s="27">
        <f>IF($B1266="","",IF($K1265="",$C$10,$K1265)+IF($I1266="",0,$I1266)-IF($J1266="",0,$J1266))</f>
        <v/>
      </c>
      <c r="L1266" s="28">
        <f>IF($N1266&lt;&gt;"",IF(INDEX(PCNotes,$N1266)="","—",INDEX(PCNotes,$N1266)),IF($O1266&lt;&gt;"",IF(INDEX(LdgNoteB,$O1266)="","—",INDEX(LdgNoteB,$O1266)),""))</f>
        <v/>
      </c>
      <c r="N1266">
        <f>IFERROR(MATCH($C$5&amp;"|"&amp;RIGHT("000000"&amp;1250,6),LdgRankKeyA,0),"")</f>
        <v/>
      </c>
      <c r="O1266">
        <f>IFERROR(MATCH($C$5&amp;"|"&amp;RIGHT("000000"&amp;1250,6),LdgRankKeyB,0),"")</f>
        <v/>
      </c>
    </row>
    <row r="1267">
      <c r="A1267" s="17" t="n">
        <v>1251</v>
      </c>
      <c r="B1267" s="18">
        <f>IF(AND($N1267="",$O1267=""),"",IF($N1267&lt;&gt;"",INDEX(PCNormDate,$N1267),INDEX(LdgDateB,$O1267)))</f>
        <v/>
      </c>
      <c r="C1267" s="18">
        <f>IF($N1267&lt;&gt;"",INDEX(PCOp,$N1267),IF($O1267&lt;&gt;"",IF(N(INDEX(TxnDepB,$O1267))&gt;0,"دریافت بانکی","پرداخت بانکی"),""))</f>
        <v/>
      </c>
      <c r="D1267" s="18">
        <f>IF($N1267&lt;&gt;"",IF(INDEX(PCDoc,$N1267)="","—",INDEX(PCDoc,$N1267)),IF($O1267&lt;&gt;"",INDEX(LdgBankB,$O1267),""))</f>
        <v/>
      </c>
      <c r="E1267" s="18">
        <f>IF($N1267&lt;&gt;"",IF(INDEX(PCCitrus,$N1267)="","—",INDEX(PCCitrus,$N1267)),"")</f>
        <v/>
      </c>
      <c r="F1267" s="19">
        <f>IF($N1267&lt;&gt;"",IF(INDEX(PCScale,$N1267)=0,"",INDEX(PCScale,$N1267)),"")</f>
        <v/>
      </c>
      <c r="G1267" s="19">
        <f>IF($N1267&lt;&gt;"",IF(INDEX(PCBaskets,$N1267)=0,"",INDEX(PCBaskets,$N1267)),"")</f>
        <v/>
      </c>
      <c r="H1267" s="20">
        <f>IF($N1267&lt;&gt;"",IF(INDEX(PCNet,$N1267)=0,"",INDEX(PCNet,$N1267)),"")</f>
        <v/>
      </c>
      <c r="I1267" s="19">
        <f>IF($N1267&lt;&gt;"",IF(INDEX(PCOp,$N1267)="مرجوعی خرید","",IF(INDEX(PCAmount,$N1267)&lt;=0,"",INDEX(PCAmount,$N1267))),IF($O1267&lt;&gt;"",IF(INDEX(TxnDepB,$O1267)=0,"",INDEX(TxnDepB,$O1267)),""))</f>
        <v/>
      </c>
      <c r="J1267" s="19">
        <f>IF($N1267&lt;&gt;"",IF(INDEX(PCOp,$N1267)="مرجوعی خرید",IF(INDEX(PCAmount,$N1267)=0,"",-INDEX(PCAmount,$N1267)),""),IF($O1267&lt;&gt;"",IF(INDEX(TxnWitB,$O1267)=0,"",INDEX(TxnWitB,$O1267)),""))</f>
        <v/>
      </c>
      <c r="K1267" s="21">
        <f>IF($B1267="","",IF($K1266="",$C$10,$K1266)+IF($I1267="",0,$I1267)-IF($J1267="",0,$J1267))</f>
        <v/>
      </c>
      <c r="L1267" s="22">
        <f>IF($N1267&lt;&gt;"",IF(INDEX(PCNotes,$N1267)="","—",INDEX(PCNotes,$N1267)),IF($O1267&lt;&gt;"",IF(INDEX(LdgNoteB,$O1267)="","—",INDEX(LdgNoteB,$O1267)),""))</f>
        <v/>
      </c>
      <c r="N1267">
        <f>IFERROR(MATCH($C$5&amp;"|"&amp;RIGHT("000000"&amp;1251,6),LdgRankKeyA,0),"")</f>
        <v/>
      </c>
      <c r="O1267">
        <f>IFERROR(MATCH($C$5&amp;"|"&amp;RIGHT("000000"&amp;1251,6),LdgRankKeyB,0),"")</f>
        <v/>
      </c>
    </row>
    <row r="1268">
      <c r="A1268" s="23" t="n">
        <v>1252</v>
      </c>
      <c r="B1268" s="24">
        <f>IF(AND($N1268="",$O1268=""),"",IF($N1268&lt;&gt;"",INDEX(PCNormDate,$N1268),INDEX(LdgDateB,$O1268)))</f>
        <v/>
      </c>
      <c r="C1268" s="24">
        <f>IF($N1268&lt;&gt;"",INDEX(PCOp,$N1268),IF($O1268&lt;&gt;"",IF(N(INDEX(TxnDepB,$O1268))&gt;0,"دریافت بانکی","پرداخت بانکی"),""))</f>
        <v/>
      </c>
      <c r="D1268" s="24">
        <f>IF($N1268&lt;&gt;"",IF(INDEX(PCDoc,$N1268)="","—",INDEX(PCDoc,$N1268)),IF($O1268&lt;&gt;"",INDEX(LdgBankB,$O1268),""))</f>
        <v/>
      </c>
      <c r="E1268" s="24">
        <f>IF($N1268&lt;&gt;"",IF(INDEX(PCCitrus,$N1268)="","—",INDEX(PCCitrus,$N1268)),"")</f>
        <v/>
      </c>
      <c r="F1268" s="25">
        <f>IF($N1268&lt;&gt;"",IF(INDEX(PCScale,$N1268)=0,"",INDEX(PCScale,$N1268)),"")</f>
        <v/>
      </c>
      <c r="G1268" s="25">
        <f>IF($N1268&lt;&gt;"",IF(INDEX(PCBaskets,$N1268)=0,"",INDEX(PCBaskets,$N1268)),"")</f>
        <v/>
      </c>
      <c r="H1268" s="26">
        <f>IF($N1268&lt;&gt;"",IF(INDEX(PCNet,$N1268)=0,"",INDEX(PCNet,$N1268)),"")</f>
        <v/>
      </c>
      <c r="I1268" s="25">
        <f>IF($N1268&lt;&gt;"",IF(INDEX(PCOp,$N1268)="مرجوعی خرید","",IF(INDEX(PCAmount,$N1268)&lt;=0,"",INDEX(PCAmount,$N1268))),IF($O1268&lt;&gt;"",IF(INDEX(TxnDepB,$O1268)=0,"",INDEX(TxnDepB,$O1268)),""))</f>
        <v/>
      </c>
      <c r="J1268" s="25">
        <f>IF($N1268&lt;&gt;"",IF(INDEX(PCOp,$N1268)="مرجوعی خرید",IF(INDEX(PCAmount,$N1268)=0,"",-INDEX(PCAmount,$N1268)),""),IF($O1268&lt;&gt;"",IF(INDEX(TxnWitB,$O1268)=0,"",INDEX(TxnWitB,$O1268)),""))</f>
        <v/>
      </c>
      <c r="K1268" s="27">
        <f>IF($B1268="","",IF($K1267="",$C$10,$K1267)+IF($I1268="",0,$I1268)-IF($J1268="",0,$J1268))</f>
        <v/>
      </c>
      <c r="L1268" s="28">
        <f>IF($N1268&lt;&gt;"",IF(INDEX(PCNotes,$N1268)="","—",INDEX(PCNotes,$N1268)),IF($O1268&lt;&gt;"",IF(INDEX(LdgNoteB,$O1268)="","—",INDEX(LdgNoteB,$O1268)),""))</f>
        <v/>
      </c>
      <c r="N1268">
        <f>IFERROR(MATCH($C$5&amp;"|"&amp;RIGHT("000000"&amp;1252,6),LdgRankKeyA,0),"")</f>
        <v/>
      </c>
      <c r="O1268">
        <f>IFERROR(MATCH($C$5&amp;"|"&amp;RIGHT("000000"&amp;1252,6),LdgRankKeyB,0),"")</f>
        <v/>
      </c>
    </row>
    <row r="1269">
      <c r="A1269" s="17" t="n">
        <v>1253</v>
      </c>
      <c r="B1269" s="18">
        <f>IF(AND($N1269="",$O1269=""),"",IF($N1269&lt;&gt;"",INDEX(PCNormDate,$N1269),INDEX(LdgDateB,$O1269)))</f>
        <v/>
      </c>
      <c r="C1269" s="18">
        <f>IF($N1269&lt;&gt;"",INDEX(PCOp,$N1269),IF($O1269&lt;&gt;"",IF(N(INDEX(TxnDepB,$O1269))&gt;0,"دریافت بانکی","پرداخت بانکی"),""))</f>
        <v/>
      </c>
      <c r="D1269" s="18">
        <f>IF($N1269&lt;&gt;"",IF(INDEX(PCDoc,$N1269)="","—",INDEX(PCDoc,$N1269)),IF($O1269&lt;&gt;"",INDEX(LdgBankB,$O1269),""))</f>
        <v/>
      </c>
      <c r="E1269" s="18">
        <f>IF($N1269&lt;&gt;"",IF(INDEX(PCCitrus,$N1269)="","—",INDEX(PCCitrus,$N1269)),"")</f>
        <v/>
      </c>
      <c r="F1269" s="19">
        <f>IF($N1269&lt;&gt;"",IF(INDEX(PCScale,$N1269)=0,"",INDEX(PCScale,$N1269)),"")</f>
        <v/>
      </c>
      <c r="G1269" s="19">
        <f>IF($N1269&lt;&gt;"",IF(INDEX(PCBaskets,$N1269)=0,"",INDEX(PCBaskets,$N1269)),"")</f>
        <v/>
      </c>
      <c r="H1269" s="20">
        <f>IF($N1269&lt;&gt;"",IF(INDEX(PCNet,$N1269)=0,"",INDEX(PCNet,$N1269)),"")</f>
        <v/>
      </c>
      <c r="I1269" s="19">
        <f>IF($N1269&lt;&gt;"",IF(INDEX(PCOp,$N1269)="مرجوعی خرید","",IF(INDEX(PCAmount,$N1269)&lt;=0,"",INDEX(PCAmount,$N1269))),IF($O1269&lt;&gt;"",IF(INDEX(TxnDepB,$O1269)=0,"",INDEX(TxnDepB,$O1269)),""))</f>
        <v/>
      </c>
      <c r="J1269" s="19">
        <f>IF($N1269&lt;&gt;"",IF(INDEX(PCOp,$N1269)="مرجوعی خرید",IF(INDEX(PCAmount,$N1269)=0,"",-INDEX(PCAmount,$N1269)),""),IF($O1269&lt;&gt;"",IF(INDEX(TxnWitB,$O1269)=0,"",INDEX(TxnWitB,$O1269)),""))</f>
        <v/>
      </c>
      <c r="K1269" s="21">
        <f>IF($B1269="","",IF($K1268="",$C$10,$K1268)+IF($I1269="",0,$I1269)-IF($J1269="",0,$J1269))</f>
        <v/>
      </c>
      <c r="L1269" s="22">
        <f>IF($N1269&lt;&gt;"",IF(INDEX(PCNotes,$N1269)="","—",INDEX(PCNotes,$N1269)),IF($O1269&lt;&gt;"",IF(INDEX(LdgNoteB,$O1269)="","—",INDEX(LdgNoteB,$O1269)),""))</f>
        <v/>
      </c>
      <c r="N1269">
        <f>IFERROR(MATCH($C$5&amp;"|"&amp;RIGHT("000000"&amp;1253,6),LdgRankKeyA,0),"")</f>
        <v/>
      </c>
      <c r="O1269">
        <f>IFERROR(MATCH($C$5&amp;"|"&amp;RIGHT("000000"&amp;1253,6),LdgRankKeyB,0),"")</f>
        <v/>
      </c>
    </row>
    <row r="1270">
      <c r="A1270" s="23" t="n">
        <v>1254</v>
      </c>
      <c r="B1270" s="24">
        <f>IF(AND($N1270="",$O1270=""),"",IF($N1270&lt;&gt;"",INDEX(PCNormDate,$N1270),INDEX(LdgDateB,$O1270)))</f>
        <v/>
      </c>
      <c r="C1270" s="24">
        <f>IF($N1270&lt;&gt;"",INDEX(PCOp,$N1270),IF($O1270&lt;&gt;"",IF(N(INDEX(TxnDepB,$O1270))&gt;0,"دریافت بانکی","پرداخت بانکی"),""))</f>
        <v/>
      </c>
      <c r="D1270" s="24">
        <f>IF($N1270&lt;&gt;"",IF(INDEX(PCDoc,$N1270)="","—",INDEX(PCDoc,$N1270)),IF($O1270&lt;&gt;"",INDEX(LdgBankB,$O1270),""))</f>
        <v/>
      </c>
      <c r="E1270" s="24">
        <f>IF($N1270&lt;&gt;"",IF(INDEX(PCCitrus,$N1270)="","—",INDEX(PCCitrus,$N1270)),"")</f>
        <v/>
      </c>
      <c r="F1270" s="25">
        <f>IF($N1270&lt;&gt;"",IF(INDEX(PCScale,$N1270)=0,"",INDEX(PCScale,$N1270)),"")</f>
        <v/>
      </c>
      <c r="G1270" s="25">
        <f>IF($N1270&lt;&gt;"",IF(INDEX(PCBaskets,$N1270)=0,"",INDEX(PCBaskets,$N1270)),"")</f>
        <v/>
      </c>
      <c r="H1270" s="26">
        <f>IF($N1270&lt;&gt;"",IF(INDEX(PCNet,$N1270)=0,"",INDEX(PCNet,$N1270)),"")</f>
        <v/>
      </c>
      <c r="I1270" s="25">
        <f>IF($N1270&lt;&gt;"",IF(INDEX(PCOp,$N1270)="مرجوعی خرید","",IF(INDEX(PCAmount,$N1270)&lt;=0,"",INDEX(PCAmount,$N1270))),IF($O1270&lt;&gt;"",IF(INDEX(TxnDepB,$O1270)=0,"",INDEX(TxnDepB,$O1270)),""))</f>
        <v/>
      </c>
      <c r="J1270" s="25">
        <f>IF($N1270&lt;&gt;"",IF(INDEX(PCOp,$N1270)="مرجوعی خرید",IF(INDEX(PCAmount,$N1270)=0,"",-INDEX(PCAmount,$N1270)),""),IF($O1270&lt;&gt;"",IF(INDEX(TxnWitB,$O1270)=0,"",INDEX(TxnWitB,$O1270)),""))</f>
        <v/>
      </c>
      <c r="K1270" s="27">
        <f>IF($B1270="","",IF($K1269="",$C$10,$K1269)+IF($I1270="",0,$I1270)-IF($J1270="",0,$J1270))</f>
        <v/>
      </c>
      <c r="L1270" s="28">
        <f>IF($N1270&lt;&gt;"",IF(INDEX(PCNotes,$N1270)="","—",INDEX(PCNotes,$N1270)),IF($O1270&lt;&gt;"",IF(INDEX(LdgNoteB,$O1270)="","—",INDEX(LdgNoteB,$O1270)),""))</f>
        <v/>
      </c>
      <c r="N1270">
        <f>IFERROR(MATCH($C$5&amp;"|"&amp;RIGHT("000000"&amp;1254,6),LdgRankKeyA,0),"")</f>
        <v/>
      </c>
      <c r="O1270">
        <f>IFERROR(MATCH($C$5&amp;"|"&amp;RIGHT("000000"&amp;1254,6),LdgRankKeyB,0),"")</f>
        <v/>
      </c>
    </row>
    <row r="1271">
      <c r="A1271" s="17" t="n">
        <v>1255</v>
      </c>
      <c r="B1271" s="18">
        <f>IF(AND($N1271="",$O1271=""),"",IF($N1271&lt;&gt;"",INDEX(PCNormDate,$N1271),INDEX(LdgDateB,$O1271)))</f>
        <v/>
      </c>
      <c r="C1271" s="18">
        <f>IF($N1271&lt;&gt;"",INDEX(PCOp,$N1271),IF($O1271&lt;&gt;"",IF(N(INDEX(TxnDepB,$O1271))&gt;0,"دریافت بانکی","پرداخت بانکی"),""))</f>
        <v/>
      </c>
      <c r="D1271" s="18">
        <f>IF($N1271&lt;&gt;"",IF(INDEX(PCDoc,$N1271)="","—",INDEX(PCDoc,$N1271)),IF($O1271&lt;&gt;"",INDEX(LdgBankB,$O1271),""))</f>
        <v/>
      </c>
      <c r="E1271" s="18">
        <f>IF($N1271&lt;&gt;"",IF(INDEX(PCCitrus,$N1271)="","—",INDEX(PCCitrus,$N1271)),"")</f>
        <v/>
      </c>
      <c r="F1271" s="19">
        <f>IF($N1271&lt;&gt;"",IF(INDEX(PCScale,$N1271)=0,"",INDEX(PCScale,$N1271)),"")</f>
        <v/>
      </c>
      <c r="G1271" s="19">
        <f>IF($N1271&lt;&gt;"",IF(INDEX(PCBaskets,$N1271)=0,"",INDEX(PCBaskets,$N1271)),"")</f>
        <v/>
      </c>
      <c r="H1271" s="20">
        <f>IF($N1271&lt;&gt;"",IF(INDEX(PCNet,$N1271)=0,"",INDEX(PCNet,$N1271)),"")</f>
        <v/>
      </c>
      <c r="I1271" s="19">
        <f>IF($N1271&lt;&gt;"",IF(INDEX(PCOp,$N1271)="مرجوعی خرید","",IF(INDEX(PCAmount,$N1271)&lt;=0,"",INDEX(PCAmount,$N1271))),IF($O1271&lt;&gt;"",IF(INDEX(TxnDepB,$O1271)=0,"",INDEX(TxnDepB,$O1271)),""))</f>
        <v/>
      </c>
      <c r="J1271" s="19">
        <f>IF($N1271&lt;&gt;"",IF(INDEX(PCOp,$N1271)="مرجوعی خرید",IF(INDEX(PCAmount,$N1271)=0,"",-INDEX(PCAmount,$N1271)),""),IF($O1271&lt;&gt;"",IF(INDEX(TxnWitB,$O1271)=0,"",INDEX(TxnWitB,$O1271)),""))</f>
        <v/>
      </c>
      <c r="K1271" s="21">
        <f>IF($B1271="","",IF($K1270="",$C$10,$K1270)+IF($I1271="",0,$I1271)-IF($J1271="",0,$J1271))</f>
        <v/>
      </c>
      <c r="L1271" s="22">
        <f>IF($N1271&lt;&gt;"",IF(INDEX(PCNotes,$N1271)="","—",INDEX(PCNotes,$N1271)),IF($O1271&lt;&gt;"",IF(INDEX(LdgNoteB,$O1271)="","—",INDEX(LdgNoteB,$O1271)),""))</f>
        <v/>
      </c>
      <c r="N1271">
        <f>IFERROR(MATCH($C$5&amp;"|"&amp;RIGHT("000000"&amp;1255,6),LdgRankKeyA,0),"")</f>
        <v/>
      </c>
      <c r="O1271">
        <f>IFERROR(MATCH($C$5&amp;"|"&amp;RIGHT("000000"&amp;1255,6),LdgRankKeyB,0),"")</f>
        <v/>
      </c>
    </row>
    <row r="1272">
      <c r="A1272" s="23" t="n">
        <v>1256</v>
      </c>
      <c r="B1272" s="24">
        <f>IF(AND($N1272="",$O1272=""),"",IF($N1272&lt;&gt;"",INDEX(PCNormDate,$N1272),INDEX(LdgDateB,$O1272)))</f>
        <v/>
      </c>
      <c r="C1272" s="24">
        <f>IF($N1272&lt;&gt;"",INDEX(PCOp,$N1272),IF($O1272&lt;&gt;"",IF(N(INDEX(TxnDepB,$O1272))&gt;0,"دریافت بانکی","پرداخت بانکی"),""))</f>
        <v/>
      </c>
      <c r="D1272" s="24">
        <f>IF($N1272&lt;&gt;"",IF(INDEX(PCDoc,$N1272)="","—",INDEX(PCDoc,$N1272)),IF($O1272&lt;&gt;"",INDEX(LdgBankB,$O1272),""))</f>
        <v/>
      </c>
      <c r="E1272" s="24">
        <f>IF($N1272&lt;&gt;"",IF(INDEX(PCCitrus,$N1272)="","—",INDEX(PCCitrus,$N1272)),"")</f>
        <v/>
      </c>
      <c r="F1272" s="25">
        <f>IF($N1272&lt;&gt;"",IF(INDEX(PCScale,$N1272)=0,"",INDEX(PCScale,$N1272)),"")</f>
        <v/>
      </c>
      <c r="G1272" s="25">
        <f>IF($N1272&lt;&gt;"",IF(INDEX(PCBaskets,$N1272)=0,"",INDEX(PCBaskets,$N1272)),"")</f>
        <v/>
      </c>
      <c r="H1272" s="26">
        <f>IF($N1272&lt;&gt;"",IF(INDEX(PCNet,$N1272)=0,"",INDEX(PCNet,$N1272)),"")</f>
        <v/>
      </c>
      <c r="I1272" s="25">
        <f>IF($N1272&lt;&gt;"",IF(INDEX(PCOp,$N1272)="مرجوعی خرید","",IF(INDEX(PCAmount,$N1272)&lt;=0,"",INDEX(PCAmount,$N1272))),IF($O1272&lt;&gt;"",IF(INDEX(TxnDepB,$O1272)=0,"",INDEX(TxnDepB,$O1272)),""))</f>
        <v/>
      </c>
      <c r="J1272" s="25">
        <f>IF($N1272&lt;&gt;"",IF(INDEX(PCOp,$N1272)="مرجوعی خرید",IF(INDEX(PCAmount,$N1272)=0,"",-INDEX(PCAmount,$N1272)),""),IF($O1272&lt;&gt;"",IF(INDEX(TxnWitB,$O1272)=0,"",INDEX(TxnWitB,$O1272)),""))</f>
        <v/>
      </c>
      <c r="K1272" s="27">
        <f>IF($B1272="","",IF($K1271="",$C$10,$K1271)+IF($I1272="",0,$I1272)-IF($J1272="",0,$J1272))</f>
        <v/>
      </c>
      <c r="L1272" s="28">
        <f>IF($N1272&lt;&gt;"",IF(INDEX(PCNotes,$N1272)="","—",INDEX(PCNotes,$N1272)),IF($O1272&lt;&gt;"",IF(INDEX(LdgNoteB,$O1272)="","—",INDEX(LdgNoteB,$O1272)),""))</f>
        <v/>
      </c>
      <c r="N1272">
        <f>IFERROR(MATCH($C$5&amp;"|"&amp;RIGHT("000000"&amp;1256,6),LdgRankKeyA,0),"")</f>
        <v/>
      </c>
      <c r="O1272">
        <f>IFERROR(MATCH($C$5&amp;"|"&amp;RIGHT("000000"&amp;1256,6),LdgRankKeyB,0),"")</f>
        <v/>
      </c>
    </row>
    <row r="1273">
      <c r="A1273" s="17" t="n">
        <v>1257</v>
      </c>
      <c r="B1273" s="18">
        <f>IF(AND($N1273="",$O1273=""),"",IF($N1273&lt;&gt;"",INDEX(PCNormDate,$N1273),INDEX(LdgDateB,$O1273)))</f>
        <v/>
      </c>
      <c r="C1273" s="18">
        <f>IF($N1273&lt;&gt;"",INDEX(PCOp,$N1273),IF($O1273&lt;&gt;"",IF(N(INDEX(TxnDepB,$O1273))&gt;0,"دریافت بانکی","پرداخت بانکی"),""))</f>
        <v/>
      </c>
      <c r="D1273" s="18">
        <f>IF($N1273&lt;&gt;"",IF(INDEX(PCDoc,$N1273)="","—",INDEX(PCDoc,$N1273)),IF($O1273&lt;&gt;"",INDEX(LdgBankB,$O1273),""))</f>
        <v/>
      </c>
      <c r="E1273" s="18">
        <f>IF($N1273&lt;&gt;"",IF(INDEX(PCCitrus,$N1273)="","—",INDEX(PCCitrus,$N1273)),"")</f>
        <v/>
      </c>
      <c r="F1273" s="19">
        <f>IF($N1273&lt;&gt;"",IF(INDEX(PCScale,$N1273)=0,"",INDEX(PCScale,$N1273)),"")</f>
        <v/>
      </c>
      <c r="G1273" s="19">
        <f>IF($N1273&lt;&gt;"",IF(INDEX(PCBaskets,$N1273)=0,"",INDEX(PCBaskets,$N1273)),"")</f>
        <v/>
      </c>
      <c r="H1273" s="20">
        <f>IF($N1273&lt;&gt;"",IF(INDEX(PCNet,$N1273)=0,"",INDEX(PCNet,$N1273)),"")</f>
        <v/>
      </c>
      <c r="I1273" s="19">
        <f>IF($N1273&lt;&gt;"",IF(INDEX(PCOp,$N1273)="مرجوعی خرید","",IF(INDEX(PCAmount,$N1273)&lt;=0,"",INDEX(PCAmount,$N1273))),IF($O1273&lt;&gt;"",IF(INDEX(TxnDepB,$O1273)=0,"",INDEX(TxnDepB,$O1273)),""))</f>
        <v/>
      </c>
      <c r="J1273" s="19">
        <f>IF($N1273&lt;&gt;"",IF(INDEX(PCOp,$N1273)="مرجوعی خرید",IF(INDEX(PCAmount,$N1273)=0,"",-INDEX(PCAmount,$N1273)),""),IF($O1273&lt;&gt;"",IF(INDEX(TxnWitB,$O1273)=0,"",INDEX(TxnWitB,$O1273)),""))</f>
        <v/>
      </c>
      <c r="K1273" s="21">
        <f>IF($B1273="","",IF($K1272="",$C$10,$K1272)+IF($I1273="",0,$I1273)-IF($J1273="",0,$J1273))</f>
        <v/>
      </c>
      <c r="L1273" s="22">
        <f>IF($N1273&lt;&gt;"",IF(INDEX(PCNotes,$N1273)="","—",INDEX(PCNotes,$N1273)),IF($O1273&lt;&gt;"",IF(INDEX(LdgNoteB,$O1273)="","—",INDEX(LdgNoteB,$O1273)),""))</f>
        <v/>
      </c>
      <c r="N1273">
        <f>IFERROR(MATCH($C$5&amp;"|"&amp;RIGHT("000000"&amp;1257,6),LdgRankKeyA,0),"")</f>
        <v/>
      </c>
      <c r="O1273">
        <f>IFERROR(MATCH($C$5&amp;"|"&amp;RIGHT("000000"&amp;1257,6),LdgRankKeyB,0),"")</f>
        <v/>
      </c>
    </row>
    <row r="1274">
      <c r="A1274" s="23" t="n">
        <v>1258</v>
      </c>
      <c r="B1274" s="24">
        <f>IF(AND($N1274="",$O1274=""),"",IF($N1274&lt;&gt;"",INDEX(PCNormDate,$N1274),INDEX(LdgDateB,$O1274)))</f>
        <v/>
      </c>
      <c r="C1274" s="24">
        <f>IF($N1274&lt;&gt;"",INDEX(PCOp,$N1274),IF($O1274&lt;&gt;"",IF(N(INDEX(TxnDepB,$O1274))&gt;0,"دریافت بانکی","پرداخت بانکی"),""))</f>
        <v/>
      </c>
      <c r="D1274" s="24">
        <f>IF($N1274&lt;&gt;"",IF(INDEX(PCDoc,$N1274)="","—",INDEX(PCDoc,$N1274)),IF($O1274&lt;&gt;"",INDEX(LdgBankB,$O1274),""))</f>
        <v/>
      </c>
      <c r="E1274" s="24">
        <f>IF($N1274&lt;&gt;"",IF(INDEX(PCCitrus,$N1274)="","—",INDEX(PCCitrus,$N1274)),"")</f>
        <v/>
      </c>
      <c r="F1274" s="25">
        <f>IF($N1274&lt;&gt;"",IF(INDEX(PCScale,$N1274)=0,"",INDEX(PCScale,$N1274)),"")</f>
        <v/>
      </c>
      <c r="G1274" s="25">
        <f>IF($N1274&lt;&gt;"",IF(INDEX(PCBaskets,$N1274)=0,"",INDEX(PCBaskets,$N1274)),"")</f>
        <v/>
      </c>
      <c r="H1274" s="26">
        <f>IF($N1274&lt;&gt;"",IF(INDEX(PCNet,$N1274)=0,"",INDEX(PCNet,$N1274)),"")</f>
        <v/>
      </c>
      <c r="I1274" s="25">
        <f>IF($N1274&lt;&gt;"",IF(INDEX(PCOp,$N1274)="مرجوعی خرید","",IF(INDEX(PCAmount,$N1274)&lt;=0,"",INDEX(PCAmount,$N1274))),IF($O1274&lt;&gt;"",IF(INDEX(TxnDepB,$O1274)=0,"",INDEX(TxnDepB,$O1274)),""))</f>
        <v/>
      </c>
      <c r="J1274" s="25">
        <f>IF($N1274&lt;&gt;"",IF(INDEX(PCOp,$N1274)="مرجوعی خرید",IF(INDEX(PCAmount,$N1274)=0,"",-INDEX(PCAmount,$N1274)),""),IF($O1274&lt;&gt;"",IF(INDEX(TxnWitB,$O1274)=0,"",INDEX(TxnWitB,$O1274)),""))</f>
        <v/>
      </c>
      <c r="K1274" s="27">
        <f>IF($B1274="","",IF($K1273="",$C$10,$K1273)+IF($I1274="",0,$I1274)-IF($J1274="",0,$J1274))</f>
        <v/>
      </c>
      <c r="L1274" s="28">
        <f>IF($N1274&lt;&gt;"",IF(INDEX(PCNotes,$N1274)="","—",INDEX(PCNotes,$N1274)),IF($O1274&lt;&gt;"",IF(INDEX(LdgNoteB,$O1274)="","—",INDEX(LdgNoteB,$O1274)),""))</f>
        <v/>
      </c>
      <c r="N1274">
        <f>IFERROR(MATCH($C$5&amp;"|"&amp;RIGHT("000000"&amp;1258,6),LdgRankKeyA,0),"")</f>
        <v/>
      </c>
      <c r="O1274">
        <f>IFERROR(MATCH($C$5&amp;"|"&amp;RIGHT("000000"&amp;1258,6),LdgRankKeyB,0),"")</f>
        <v/>
      </c>
    </row>
    <row r="1275">
      <c r="A1275" s="17" t="n">
        <v>1259</v>
      </c>
      <c r="B1275" s="18">
        <f>IF(AND($N1275="",$O1275=""),"",IF($N1275&lt;&gt;"",INDEX(PCNormDate,$N1275),INDEX(LdgDateB,$O1275)))</f>
        <v/>
      </c>
      <c r="C1275" s="18">
        <f>IF($N1275&lt;&gt;"",INDEX(PCOp,$N1275),IF($O1275&lt;&gt;"",IF(N(INDEX(TxnDepB,$O1275))&gt;0,"دریافت بانکی","پرداخت بانکی"),""))</f>
        <v/>
      </c>
      <c r="D1275" s="18">
        <f>IF($N1275&lt;&gt;"",IF(INDEX(PCDoc,$N1275)="","—",INDEX(PCDoc,$N1275)),IF($O1275&lt;&gt;"",INDEX(LdgBankB,$O1275),""))</f>
        <v/>
      </c>
      <c r="E1275" s="18">
        <f>IF($N1275&lt;&gt;"",IF(INDEX(PCCitrus,$N1275)="","—",INDEX(PCCitrus,$N1275)),"")</f>
        <v/>
      </c>
      <c r="F1275" s="19">
        <f>IF($N1275&lt;&gt;"",IF(INDEX(PCScale,$N1275)=0,"",INDEX(PCScale,$N1275)),"")</f>
        <v/>
      </c>
      <c r="G1275" s="19">
        <f>IF($N1275&lt;&gt;"",IF(INDEX(PCBaskets,$N1275)=0,"",INDEX(PCBaskets,$N1275)),"")</f>
        <v/>
      </c>
      <c r="H1275" s="20">
        <f>IF($N1275&lt;&gt;"",IF(INDEX(PCNet,$N1275)=0,"",INDEX(PCNet,$N1275)),"")</f>
        <v/>
      </c>
      <c r="I1275" s="19">
        <f>IF($N1275&lt;&gt;"",IF(INDEX(PCOp,$N1275)="مرجوعی خرید","",IF(INDEX(PCAmount,$N1275)&lt;=0,"",INDEX(PCAmount,$N1275))),IF($O1275&lt;&gt;"",IF(INDEX(TxnDepB,$O1275)=0,"",INDEX(TxnDepB,$O1275)),""))</f>
        <v/>
      </c>
      <c r="J1275" s="19">
        <f>IF($N1275&lt;&gt;"",IF(INDEX(PCOp,$N1275)="مرجوعی خرید",IF(INDEX(PCAmount,$N1275)=0,"",-INDEX(PCAmount,$N1275)),""),IF($O1275&lt;&gt;"",IF(INDEX(TxnWitB,$O1275)=0,"",INDEX(TxnWitB,$O1275)),""))</f>
        <v/>
      </c>
      <c r="K1275" s="21">
        <f>IF($B1275="","",IF($K1274="",$C$10,$K1274)+IF($I1275="",0,$I1275)-IF($J1275="",0,$J1275))</f>
        <v/>
      </c>
      <c r="L1275" s="22">
        <f>IF($N1275&lt;&gt;"",IF(INDEX(PCNotes,$N1275)="","—",INDEX(PCNotes,$N1275)),IF($O1275&lt;&gt;"",IF(INDEX(LdgNoteB,$O1275)="","—",INDEX(LdgNoteB,$O1275)),""))</f>
        <v/>
      </c>
      <c r="N1275">
        <f>IFERROR(MATCH($C$5&amp;"|"&amp;RIGHT("000000"&amp;1259,6),LdgRankKeyA,0),"")</f>
        <v/>
      </c>
      <c r="O1275">
        <f>IFERROR(MATCH($C$5&amp;"|"&amp;RIGHT("000000"&amp;1259,6),LdgRankKeyB,0),"")</f>
        <v/>
      </c>
    </row>
    <row r="1276">
      <c r="A1276" s="23" t="n">
        <v>1260</v>
      </c>
      <c r="B1276" s="24">
        <f>IF(AND($N1276="",$O1276=""),"",IF($N1276&lt;&gt;"",INDEX(PCNormDate,$N1276),INDEX(LdgDateB,$O1276)))</f>
        <v/>
      </c>
      <c r="C1276" s="24">
        <f>IF($N1276&lt;&gt;"",INDEX(PCOp,$N1276),IF($O1276&lt;&gt;"",IF(N(INDEX(TxnDepB,$O1276))&gt;0,"دریافت بانکی","پرداخت بانکی"),""))</f>
        <v/>
      </c>
      <c r="D1276" s="24">
        <f>IF($N1276&lt;&gt;"",IF(INDEX(PCDoc,$N1276)="","—",INDEX(PCDoc,$N1276)),IF($O1276&lt;&gt;"",INDEX(LdgBankB,$O1276),""))</f>
        <v/>
      </c>
      <c r="E1276" s="24">
        <f>IF($N1276&lt;&gt;"",IF(INDEX(PCCitrus,$N1276)="","—",INDEX(PCCitrus,$N1276)),"")</f>
        <v/>
      </c>
      <c r="F1276" s="25">
        <f>IF($N1276&lt;&gt;"",IF(INDEX(PCScale,$N1276)=0,"",INDEX(PCScale,$N1276)),"")</f>
        <v/>
      </c>
      <c r="G1276" s="25">
        <f>IF($N1276&lt;&gt;"",IF(INDEX(PCBaskets,$N1276)=0,"",INDEX(PCBaskets,$N1276)),"")</f>
        <v/>
      </c>
      <c r="H1276" s="26">
        <f>IF($N1276&lt;&gt;"",IF(INDEX(PCNet,$N1276)=0,"",INDEX(PCNet,$N1276)),"")</f>
        <v/>
      </c>
      <c r="I1276" s="25">
        <f>IF($N1276&lt;&gt;"",IF(INDEX(PCOp,$N1276)="مرجوعی خرید","",IF(INDEX(PCAmount,$N1276)&lt;=0,"",INDEX(PCAmount,$N1276))),IF($O1276&lt;&gt;"",IF(INDEX(TxnDepB,$O1276)=0,"",INDEX(TxnDepB,$O1276)),""))</f>
        <v/>
      </c>
      <c r="J1276" s="25">
        <f>IF($N1276&lt;&gt;"",IF(INDEX(PCOp,$N1276)="مرجوعی خرید",IF(INDEX(PCAmount,$N1276)=0,"",-INDEX(PCAmount,$N1276)),""),IF($O1276&lt;&gt;"",IF(INDEX(TxnWitB,$O1276)=0,"",INDEX(TxnWitB,$O1276)),""))</f>
        <v/>
      </c>
      <c r="K1276" s="27">
        <f>IF($B1276="","",IF($K1275="",$C$10,$K1275)+IF($I1276="",0,$I1276)-IF($J1276="",0,$J1276))</f>
        <v/>
      </c>
      <c r="L1276" s="28">
        <f>IF($N1276&lt;&gt;"",IF(INDEX(PCNotes,$N1276)="","—",INDEX(PCNotes,$N1276)),IF($O1276&lt;&gt;"",IF(INDEX(LdgNoteB,$O1276)="","—",INDEX(LdgNoteB,$O1276)),""))</f>
        <v/>
      </c>
      <c r="N1276">
        <f>IFERROR(MATCH($C$5&amp;"|"&amp;RIGHT("000000"&amp;1260,6),LdgRankKeyA,0),"")</f>
        <v/>
      </c>
      <c r="O1276">
        <f>IFERROR(MATCH($C$5&amp;"|"&amp;RIGHT("000000"&amp;1260,6),LdgRankKeyB,0),"")</f>
        <v/>
      </c>
    </row>
    <row r="1277">
      <c r="A1277" s="17" t="n">
        <v>1261</v>
      </c>
      <c r="B1277" s="18">
        <f>IF(AND($N1277="",$O1277=""),"",IF($N1277&lt;&gt;"",INDEX(PCNormDate,$N1277),INDEX(LdgDateB,$O1277)))</f>
        <v/>
      </c>
      <c r="C1277" s="18">
        <f>IF($N1277&lt;&gt;"",INDEX(PCOp,$N1277),IF($O1277&lt;&gt;"",IF(N(INDEX(TxnDepB,$O1277))&gt;0,"دریافت بانکی","پرداخت بانکی"),""))</f>
        <v/>
      </c>
      <c r="D1277" s="18">
        <f>IF($N1277&lt;&gt;"",IF(INDEX(PCDoc,$N1277)="","—",INDEX(PCDoc,$N1277)),IF($O1277&lt;&gt;"",INDEX(LdgBankB,$O1277),""))</f>
        <v/>
      </c>
      <c r="E1277" s="18">
        <f>IF($N1277&lt;&gt;"",IF(INDEX(PCCitrus,$N1277)="","—",INDEX(PCCitrus,$N1277)),"")</f>
        <v/>
      </c>
      <c r="F1277" s="19">
        <f>IF($N1277&lt;&gt;"",IF(INDEX(PCScale,$N1277)=0,"",INDEX(PCScale,$N1277)),"")</f>
        <v/>
      </c>
      <c r="G1277" s="19">
        <f>IF($N1277&lt;&gt;"",IF(INDEX(PCBaskets,$N1277)=0,"",INDEX(PCBaskets,$N1277)),"")</f>
        <v/>
      </c>
      <c r="H1277" s="20">
        <f>IF($N1277&lt;&gt;"",IF(INDEX(PCNet,$N1277)=0,"",INDEX(PCNet,$N1277)),"")</f>
        <v/>
      </c>
      <c r="I1277" s="19">
        <f>IF($N1277&lt;&gt;"",IF(INDEX(PCOp,$N1277)="مرجوعی خرید","",IF(INDEX(PCAmount,$N1277)&lt;=0,"",INDEX(PCAmount,$N1277))),IF($O1277&lt;&gt;"",IF(INDEX(TxnDepB,$O1277)=0,"",INDEX(TxnDepB,$O1277)),""))</f>
        <v/>
      </c>
      <c r="J1277" s="19">
        <f>IF($N1277&lt;&gt;"",IF(INDEX(PCOp,$N1277)="مرجوعی خرید",IF(INDEX(PCAmount,$N1277)=0,"",-INDEX(PCAmount,$N1277)),""),IF($O1277&lt;&gt;"",IF(INDEX(TxnWitB,$O1277)=0,"",INDEX(TxnWitB,$O1277)),""))</f>
        <v/>
      </c>
      <c r="K1277" s="21">
        <f>IF($B1277="","",IF($K1276="",$C$10,$K1276)+IF($I1277="",0,$I1277)-IF($J1277="",0,$J1277))</f>
        <v/>
      </c>
      <c r="L1277" s="22">
        <f>IF($N1277&lt;&gt;"",IF(INDEX(PCNotes,$N1277)="","—",INDEX(PCNotes,$N1277)),IF($O1277&lt;&gt;"",IF(INDEX(LdgNoteB,$O1277)="","—",INDEX(LdgNoteB,$O1277)),""))</f>
        <v/>
      </c>
      <c r="N1277">
        <f>IFERROR(MATCH($C$5&amp;"|"&amp;RIGHT("000000"&amp;1261,6),LdgRankKeyA,0),"")</f>
        <v/>
      </c>
      <c r="O1277">
        <f>IFERROR(MATCH($C$5&amp;"|"&amp;RIGHT("000000"&amp;1261,6),LdgRankKeyB,0),"")</f>
        <v/>
      </c>
    </row>
    <row r="1278">
      <c r="A1278" s="23" t="n">
        <v>1262</v>
      </c>
      <c r="B1278" s="24">
        <f>IF(AND($N1278="",$O1278=""),"",IF($N1278&lt;&gt;"",INDEX(PCNormDate,$N1278),INDEX(LdgDateB,$O1278)))</f>
        <v/>
      </c>
      <c r="C1278" s="24">
        <f>IF($N1278&lt;&gt;"",INDEX(PCOp,$N1278),IF($O1278&lt;&gt;"",IF(N(INDEX(TxnDepB,$O1278))&gt;0,"دریافت بانکی","پرداخت بانکی"),""))</f>
        <v/>
      </c>
      <c r="D1278" s="24">
        <f>IF($N1278&lt;&gt;"",IF(INDEX(PCDoc,$N1278)="","—",INDEX(PCDoc,$N1278)),IF($O1278&lt;&gt;"",INDEX(LdgBankB,$O1278),""))</f>
        <v/>
      </c>
      <c r="E1278" s="24">
        <f>IF($N1278&lt;&gt;"",IF(INDEX(PCCitrus,$N1278)="","—",INDEX(PCCitrus,$N1278)),"")</f>
        <v/>
      </c>
      <c r="F1278" s="25">
        <f>IF($N1278&lt;&gt;"",IF(INDEX(PCScale,$N1278)=0,"",INDEX(PCScale,$N1278)),"")</f>
        <v/>
      </c>
      <c r="G1278" s="25">
        <f>IF($N1278&lt;&gt;"",IF(INDEX(PCBaskets,$N1278)=0,"",INDEX(PCBaskets,$N1278)),"")</f>
        <v/>
      </c>
      <c r="H1278" s="26">
        <f>IF($N1278&lt;&gt;"",IF(INDEX(PCNet,$N1278)=0,"",INDEX(PCNet,$N1278)),"")</f>
        <v/>
      </c>
      <c r="I1278" s="25">
        <f>IF($N1278&lt;&gt;"",IF(INDEX(PCOp,$N1278)="مرجوعی خرید","",IF(INDEX(PCAmount,$N1278)&lt;=0,"",INDEX(PCAmount,$N1278))),IF($O1278&lt;&gt;"",IF(INDEX(TxnDepB,$O1278)=0,"",INDEX(TxnDepB,$O1278)),""))</f>
        <v/>
      </c>
      <c r="J1278" s="25">
        <f>IF($N1278&lt;&gt;"",IF(INDEX(PCOp,$N1278)="مرجوعی خرید",IF(INDEX(PCAmount,$N1278)=0,"",-INDEX(PCAmount,$N1278)),""),IF($O1278&lt;&gt;"",IF(INDEX(TxnWitB,$O1278)=0,"",INDEX(TxnWitB,$O1278)),""))</f>
        <v/>
      </c>
      <c r="K1278" s="27">
        <f>IF($B1278="","",IF($K1277="",$C$10,$K1277)+IF($I1278="",0,$I1278)-IF($J1278="",0,$J1278))</f>
        <v/>
      </c>
      <c r="L1278" s="28">
        <f>IF($N1278&lt;&gt;"",IF(INDEX(PCNotes,$N1278)="","—",INDEX(PCNotes,$N1278)),IF($O1278&lt;&gt;"",IF(INDEX(LdgNoteB,$O1278)="","—",INDEX(LdgNoteB,$O1278)),""))</f>
        <v/>
      </c>
      <c r="N1278">
        <f>IFERROR(MATCH($C$5&amp;"|"&amp;RIGHT("000000"&amp;1262,6),LdgRankKeyA,0),"")</f>
        <v/>
      </c>
      <c r="O1278">
        <f>IFERROR(MATCH($C$5&amp;"|"&amp;RIGHT("000000"&amp;1262,6),LdgRankKeyB,0),"")</f>
        <v/>
      </c>
    </row>
    <row r="1279">
      <c r="A1279" s="17" t="n">
        <v>1263</v>
      </c>
      <c r="B1279" s="18">
        <f>IF(AND($N1279="",$O1279=""),"",IF($N1279&lt;&gt;"",INDEX(PCNormDate,$N1279),INDEX(LdgDateB,$O1279)))</f>
        <v/>
      </c>
      <c r="C1279" s="18">
        <f>IF($N1279&lt;&gt;"",INDEX(PCOp,$N1279),IF($O1279&lt;&gt;"",IF(N(INDEX(TxnDepB,$O1279))&gt;0,"دریافت بانکی","پرداخت بانکی"),""))</f>
        <v/>
      </c>
      <c r="D1279" s="18">
        <f>IF($N1279&lt;&gt;"",IF(INDEX(PCDoc,$N1279)="","—",INDEX(PCDoc,$N1279)),IF($O1279&lt;&gt;"",INDEX(LdgBankB,$O1279),""))</f>
        <v/>
      </c>
      <c r="E1279" s="18">
        <f>IF($N1279&lt;&gt;"",IF(INDEX(PCCitrus,$N1279)="","—",INDEX(PCCitrus,$N1279)),"")</f>
        <v/>
      </c>
      <c r="F1279" s="19">
        <f>IF($N1279&lt;&gt;"",IF(INDEX(PCScale,$N1279)=0,"",INDEX(PCScale,$N1279)),"")</f>
        <v/>
      </c>
      <c r="G1279" s="19">
        <f>IF($N1279&lt;&gt;"",IF(INDEX(PCBaskets,$N1279)=0,"",INDEX(PCBaskets,$N1279)),"")</f>
        <v/>
      </c>
      <c r="H1279" s="20">
        <f>IF($N1279&lt;&gt;"",IF(INDEX(PCNet,$N1279)=0,"",INDEX(PCNet,$N1279)),"")</f>
        <v/>
      </c>
      <c r="I1279" s="19">
        <f>IF($N1279&lt;&gt;"",IF(INDEX(PCOp,$N1279)="مرجوعی خرید","",IF(INDEX(PCAmount,$N1279)&lt;=0,"",INDEX(PCAmount,$N1279))),IF($O1279&lt;&gt;"",IF(INDEX(TxnDepB,$O1279)=0,"",INDEX(TxnDepB,$O1279)),""))</f>
        <v/>
      </c>
      <c r="J1279" s="19">
        <f>IF($N1279&lt;&gt;"",IF(INDEX(PCOp,$N1279)="مرجوعی خرید",IF(INDEX(PCAmount,$N1279)=0,"",-INDEX(PCAmount,$N1279)),""),IF($O1279&lt;&gt;"",IF(INDEX(TxnWitB,$O1279)=0,"",INDEX(TxnWitB,$O1279)),""))</f>
        <v/>
      </c>
      <c r="K1279" s="21">
        <f>IF($B1279="","",IF($K1278="",$C$10,$K1278)+IF($I1279="",0,$I1279)-IF($J1279="",0,$J1279))</f>
        <v/>
      </c>
      <c r="L1279" s="22">
        <f>IF($N1279&lt;&gt;"",IF(INDEX(PCNotes,$N1279)="","—",INDEX(PCNotes,$N1279)),IF($O1279&lt;&gt;"",IF(INDEX(LdgNoteB,$O1279)="","—",INDEX(LdgNoteB,$O1279)),""))</f>
        <v/>
      </c>
      <c r="N1279">
        <f>IFERROR(MATCH($C$5&amp;"|"&amp;RIGHT("000000"&amp;1263,6),LdgRankKeyA,0),"")</f>
        <v/>
      </c>
      <c r="O1279">
        <f>IFERROR(MATCH($C$5&amp;"|"&amp;RIGHT("000000"&amp;1263,6),LdgRankKeyB,0),"")</f>
        <v/>
      </c>
    </row>
    <row r="1280">
      <c r="A1280" s="23" t="n">
        <v>1264</v>
      </c>
      <c r="B1280" s="24">
        <f>IF(AND($N1280="",$O1280=""),"",IF($N1280&lt;&gt;"",INDEX(PCNormDate,$N1280),INDEX(LdgDateB,$O1280)))</f>
        <v/>
      </c>
      <c r="C1280" s="24">
        <f>IF($N1280&lt;&gt;"",INDEX(PCOp,$N1280),IF($O1280&lt;&gt;"",IF(N(INDEX(TxnDepB,$O1280))&gt;0,"دریافت بانکی","پرداخت بانکی"),""))</f>
        <v/>
      </c>
      <c r="D1280" s="24">
        <f>IF($N1280&lt;&gt;"",IF(INDEX(PCDoc,$N1280)="","—",INDEX(PCDoc,$N1280)),IF($O1280&lt;&gt;"",INDEX(LdgBankB,$O1280),""))</f>
        <v/>
      </c>
      <c r="E1280" s="24">
        <f>IF($N1280&lt;&gt;"",IF(INDEX(PCCitrus,$N1280)="","—",INDEX(PCCitrus,$N1280)),"")</f>
        <v/>
      </c>
      <c r="F1280" s="25">
        <f>IF($N1280&lt;&gt;"",IF(INDEX(PCScale,$N1280)=0,"",INDEX(PCScale,$N1280)),"")</f>
        <v/>
      </c>
      <c r="G1280" s="25">
        <f>IF($N1280&lt;&gt;"",IF(INDEX(PCBaskets,$N1280)=0,"",INDEX(PCBaskets,$N1280)),"")</f>
        <v/>
      </c>
      <c r="H1280" s="26">
        <f>IF($N1280&lt;&gt;"",IF(INDEX(PCNet,$N1280)=0,"",INDEX(PCNet,$N1280)),"")</f>
        <v/>
      </c>
      <c r="I1280" s="25">
        <f>IF($N1280&lt;&gt;"",IF(INDEX(PCOp,$N1280)="مرجوعی خرید","",IF(INDEX(PCAmount,$N1280)&lt;=0,"",INDEX(PCAmount,$N1280))),IF($O1280&lt;&gt;"",IF(INDEX(TxnDepB,$O1280)=0,"",INDEX(TxnDepB,$O1280)),""))</f>
        <v/>
      </c>
      <c r="J1280" s="25">
        <f>IF($N1280&lt;&gt;"",IF(INDEX(PCOp,$N1280)="مرجوعی خرید",IF(INDEX(PCAmount,$N1280)=0,"",-INDEX(PCAmount,$N1280)),""),IF($O1280&lt;&gt;"",IF(INDEX(TxnWitB,$O1280)=0,"",INDEX(TxnWitB,$O1280)),""))</f>
        <v/>
      </c>
      <c r="K1280" s="27">
        <f>IF($B1280="","",IF($K1279="",$C$10,$K1279)+IF($I1280="",0,$I1280)-IF($J1280="",0,$J1280))</f>
        <v/>
      </c>
      <c r="L1280" s="28">
        <f>IF($N1280&lt;&gt;"",IF(INDEX(PCNotes,$N1280)="","—",INDEX(PCNotes,$N1280)),IF($O1280&lt;&gt;"",IF(INDEX(LdgNoteB,$O1280)="","—",INDEX(LdgNoteB,$O1280)),""))</f>
        <v/>
      </c>
      <c r="N1280">
        <f>IFERROR(MATCH($C$5&amp;"|"&amp;RIGHT("000000"&amp;1264,6),LdgRankKeyA,0),"")</f>
        <v/>
      </c>
      <c r="O1280">
        <f>IFERROR(MATCH($C$5&amp;"|"&amp;RIGHT("000000"&amp;1264,6),LdgRankKeyB,0),"")</f>
        <v/>
      </c>
    </row>
    <row r="1281">
      <c r="A1281" s="17" t="n">
        <v>1265</v>
      </c>
      <c r="B1281" s="18">
        <f>IF(AND($N1281="",$O1281=""),"",IF($N1281&lt;&gt;"",INDEX(PCNormDate,$N1281),INDEX(LdgDateB,$O1281)))</f>
        <v/>
      </c>
      <c r="C1281" s="18">
        <f>IF($N1281&lt;&gt;"",INDEX(PCOp,$N1281),IF($O1281&lt;&gt;"",IF(N(INDEX(TxnDepB,$O1281))&gt;0,"دریافت بانکی","پرداخت بانکی"),""))</f>
        <v/>
      </c>
      <c r="D1281" s="18">
        <f>IF($N1281&lt;&gt;"",IF(INDEX(PCDoc,$N1281)="","—",INDEX(PCDoc,$N1281)),IF($O1281&lt;&gt;"",INDEX(LdgBankB,$O1281),""))</f>
        <v/>
      </c>
      <c r="E1281" s="18">
        <f>IF($N1281&lt;&gt;"",IF(INDEX(PCCitrus,$N1281)="","—",INDEX(PCCitrus,$N1281)),"")</f>
        <v/>
      </c>
      <c r="F1281" s="19">
        <f>IF($N1281&lt;&gt;"",IF(INDEX(PCScale,$N1281)=0,"",INDEX(PCScale,$N1281)),"")</f>
        <v/>
      </c>
      <c r="G1281" s="19">
        <f>IF($N1281&lt;&gt;"",IF(INDEX(PCBaskets,$N1281)=0,"",INDEX(PCBaskets,$N1281)),"")</f>
        <v/>
      </c>
      <c r="H1281" s="20">
        <f>IF($N1281&lt;&gt;"",IF(INDEX(PCNet,$N1281)=0,"",INDEX(PCNet,$N1281)),"")</f>
        <v/>
      </c>
      <c r="I1281" s="19">
        <f>IF($N1281&lt;&gt;"",IF(INDEX(PCOp,$N1281)="مرجوعی خرید","",IF(INDEX(PCAmount,$N1281)&lt;=0,"",INDEX(PCAmount,$N1281))),IF($O1281&lt;&gt;"",IF(INDEX(TxnDepB,$O1281)=0,"",INDEX(TxnDepB,$O1281)),""))</f>
        <v/>
      </c>
      <c r="J1281" s="19">
        <f>IF($N1281&lt;&gt;"",IF(INDEX(PCOp,$N1281)="مرجوعی خرید",IF(INDEX(PCAmount,$N1281)=0,"",-INDEX(PCAmount,$N1281)),""),IF($O1281&lt;&gt;"",IF(INDEX(TxnWitB,$O1281)=0,"",INDEX(TxnWitB,$O1281)),""))</f>
        <v/>
      </c>
      <c r="K1281" s="21">
        <f>IF($B1281="","",IF($K1280="",$C$10,$K1280)+IF($I1281="",0,$I1281)-IF($J1281="",0,$J1281))</f>
        <v/>
      </c>
      <c r="L1281" s="22">
        <f>IF($N1281&lt;&gt;"",IF(INDEX(PCNotes,$N1281)="","—",INDEX(PCNotes,$N1281)),IF($O1281&lt;&gt;"",IF(INDEX(LdgNoteB,$O1281)="","—",INDEX(LdgNoteB,$O1281)),""))</f>
        <v/>
      </c>
      <c r="N1281">
        <f>IFERROR(MATCH($C$5&amp;"|"&amp;RIGHT("000000"&amp;1265,6),LdgRankKeyA,0),"")</f>
        <v/>
      </c>
      <c r="O1281">
        <f>IFERROR(MATCH($C$5&amp;"|"&amp;RIGHT("000000"&amp;1265,6),LdgRankKeyB,0),"")</f>
        <v/>
      </c>
    </row>
    <row r="1282">
      <c r="A1282" s="23" t="n">
        <v>1266</v>
      </c>
      <c r="B1282" s="24">
        <f>IF(AND($N1282="",$O1282=""),"",IF($N1282&lt;&gt;"",INDEX(PCNormDate,$N1282),INDEX(LdgDateB,$O1282)))</f>
        <v/>
      </c>
      <c r="C1282" s="24">
        <f>IF($N1282&lt;&gt;"",INDEX(PCOp,$N1282),IF($O1282&lt;&gt;"",IF(N(INDEX(TxnDepB,$O1282))&gt;0,"دریافت بانکی","پرداخت بانکی"),""))</f>
        <v/>
      </c>
      <c r="D1282" s="24">
        <f>IF($N1282&lt;&gt;"",IF(INDEX(PCDoc,$N1282)="","—",INDEX(PCDoc,$N1282)),IF($O1282&lt;&gt;"",INDEX(LdgBankB,$O1282),""))</f>
        <v/>
      </c>
      <c r="E1282" s="24">
        <f>IF($N1282&lt;&gt;"",IF(INDEX(PCCitrus,$N1282)="","—",INDEX(PCCitrus,$N1282)),"")</f>
        <v/>
      </c>
      <c r="F1282" s="25">
        <f>IF($N1282&lt;&gt;"",IF(INDEX(PCScale,$N1282)=0,"",INDEX(PCScale,$N1282)),"")</f>
        <v/>
      </c>
      <c r="G1282" s="25">
        <f>IF($N1282&lt;&gt;"",IF(INDEX(PCBaskets,$N1282)=0,"",INDEX(PCBaskets,$N1282)),"")</f>
        <v/>
      </c>
      <c r="H1282" s="26">
        <f>IF($N1282&lt;&gt;"",IF(INDEX(PCNet,$N1282)=0,"",INDEX(PCNet,$N1282)),"")</f>
        <v/>
      </c>
      <c r="I1282" s="25">
        <f>IF($N1282&lt;&gt;"",IF(INDEX(PCOp,$N1282)="مرجوعی خرید","",IF(INDEX(PCAmount,$N1282)&lt;=0,"",INDEX(PCAmount,$N1282))),IF($O1282&lt;&gt;"",IF(INDEX(TxnDepB,$O1282)=0,"",INDEX(TxnDepB,$O1282)),""))</f>
        <v/>
      </c>
      <c r="J1282" s="25">
        <f>IF($N1282&lt;&gt;"",IF(INDEX(PCOp,$N1282)="مرجوعی خرید",IF(INDEX(PCAmount,$N1282)=0,"",-INDEX(PCAmount,$N1282)),""),IF($O1282&lt;&gt;"",IF(INDEX(TxnWitB,$O1282)=0,"",INDEX(TxnWitB,$O1282)),""))</f>
        <v/>
      </c>
      <c r="K1282" s="27">
        <f>IF($B1282="","",IF($K1281="",$C$10,$K1281)+IF($I1282="",0,$I1282)-IF($J1282="",0,$J1282))</f>
        <v/>
      </c>
      <c r="L1282" s="28">
        <f>IF($N1282&lt;&gt;"",IF(INDEX(PCNotes,$N1282)="","—",INDEX(PCNotes,$N1282)),IF($O1282&lt;&gt;"",IF(INDEX(LdgNoteB,$O1282)="","—",INDEX(LdgNoteB,$O1282)),""))</f>
        <v/>
      </c>
      <c r="N1282">
        <f>IFERROR(MATCH($C$5&amp;"|"&amp;RIGHT("000000"&amp;1266,6),LdgRankKeyA,0),"")</f>
        <v/>
      </c>
      <c r="O1282">
        <f>IFERROR(MATCH($C$5&amp;"|"&amp;RIGHT("000000"&amp;1266,6),LdgRankKeyB,0),"")</f>
        <v/>
      </c>
    </row>
    <row r="1283">
      <c r="A1283" s="17" t="n">
        <v>1267</v>
      </c>
      <c r="B1283" s="18">
        <f>IF(AND($N1283="",$O1283=""),"",IF($N1283&lt;&gt;"",INDEX(PCNormDate,$N1283),INDEX(LdgDateB,$O1283)))</f>
        <v/>
      </c>
      <c r="C1283" s="18">
        <f>IF($N1283&lt;&gt;"",INDEX(PCOp,$N1283),IF($O1283&lt;&gt;"",IF(N(INDEX(TxnDepB,$O1283))&gt;0,"دریافت بانکی","پرداخت بانکی"),""))</f>
        <v/>
      </c>
      <c r="D1283" s="18">
        <f>IF($N1283&lt;&gt;"",IF(INDEX(PCDoc,$N1283)="","—",INDEX(PCDoc,$N1283)),IF($O1283&lt;&gt;"",INDEX(LdgBankB,$O1283),""))</f>
        <v/>
      </c>
      <c r="E1283" s="18">
        <f>IF($N1283&lt;&gt;"",IF(INDEX(PCCitrus,$N1283)="","—",INDEX(PCCitrus,$N1283)),"")</f>
        <v/>
      </c>
      <c r="F1283" s="19">
        <f>IF($N1283&lt;&gt;"",IF(INDEX(PCScale,$N1283)=0,"",INDEX(PCScale,$N1283)),"")</f>
        <v/>
      </c>
      <c r="G1283" s="19">
        <f>IF($N1283&lt;&gt;"",IF(INDEX(PCBaskets,$N1283)=0,"",INDEX(PCBaskets,$N1283)),"")</f>
        <v/>
      </c>
      <c r="H1283" s="20">
        <f>IF($N1283&lt;&gt;"",IF(INDEX(PCNet,$N1283)=0,"",INDEX(PCNet,$N1283)),"")</f>
        <v/>
      </c>
      <c r="I1283" s="19">
        <f>IF($N1283&lt;&gt;"",IF(INDEX(PCOp,$N1283)="مرجوعی خرید","",IF(INDEX(PCAmount,$N1283)&lt;=0,"",INDEX(PCAmount,$N1283))),IF($O1283&lt;&gt;"",IF(INDEX(TxnDepB,$O1283)=0,"",INDEX(TxnDepB,$O1283)),""))</f>
        <v/>
      </c>
      <c r="J1283" s="19">
        <f>IF($N1283&lt;&gt;"",IF(INDEX(PCOp,$N1283)="مرجوعی خرید",IF(INDEX(PCAmount,$N1283)=0,"",-INDEX(PCAmount,$N1283)),""),IF($O1283&lt;&gt;"",IF(INDEX(TxnWitB,$O1283)=0,"",INDEX(TxnWitB,$O1283)),""))</f>
        <v/>
      </c>
      <c r="K1283" s="21">
        <f>IF($B1283="","",IF($K1282="",$C$10,$K1282)+IF($I1283="",0,$I1283)-IF($J1283="",0,$J1283))</f>
        <v/>
      </c>
      <c r="L1283" s="22">
        <f>IF($N1283&lt;&gt;"",IF(INDEX(PCNotes,$N1283)="","—",INDEX(PCNotes,$N1283)),IF($O1283&lt;&gt;"",IF(INDEX(LdgNoteB,$O1283)="","—",INDEX(LdgNoteB,$O1283)),""))</f>
        <v/>
      </c>
      <c r="N1283">
        <f>IFERROR(MATCH($C$5&amp;"|"&amp;RIGHT("000000"&amp;1267,6),LdgRankKeyA,0),"")</f>
        <v/>
      </c>
      <c r="O1283">
        <f>IFERROR(MATCH($C$5&amp;"|"&amp;RIGHT("000000"&amp;1267,6),LdgRankKeyB,0),"")</f>
        <v/>
      </c>
    </row>
    <row r="1284">
      <c r="A1284" s="23" t="n">
        <v>1268</v>
      </c>
      <c r="B1284" s="24">
        <f>IF(AND($N1284="",$O1284=""),"",IF($N1284&lt;&gt;"",INDEX(PCNormDate,$N1284),INDEX(LdgDateB,$O1284)))</f>
        <v/>
      </c>
      <c r="C1284" s="24">
        <f>IF($N1284&lt;&gt;"",INDEX(PCOp,$N1284),IF($O1284&lt;&gt;"",IF(N(INDEX(TxnDepB,$O1284))&gt;0,"دریافت بانکی","پرداخت بانکی"),""))</f>
        <v/>
      </c>
      <c r="D1284" s="24">
        <f>IF($N1284&lt;&gt;"",IF(INDEX(PCDoc,$N1284)="","—",INDEX(PCDoc,$N1284)),IF($O1284&lt;&gt;"",INDEX(LdgBankB,$O1284),""))</f>
        <v/>
      </c>
      <c r="E1284" s="24">
        <f>IF($N1284&lt;&gt;"",IF(INDEX(PCCitrus,$N1284)="","—",INDEX(PCCitrus,$N1284)),"")</f>
        <v/>
      </c>
      <c r="F1284" s="25">
        <f>IF($N1284&lt;&gt;"",IF(INDEX(PCScale,$N1284)=0,"",INDEX(PCScale,$N1284)),"")</f>
        <v/>
      </c>
      <c r="G1284" s="25">
        <f>IF($N1284&lt;&gt;"",IF(INDEX(PCBaskets,$N1284)=0,"",INDEX(PCBaskets,$N1284)),"")</f>
        <v/>
      </c>
      <c r="H1284" s="26">
        <f>IF($N1284&lt;&gt;"",IF(INDEX(PCNet,$N1284)=0,"",INDEX(PCNet,$N1284)),"")</f>
        <v/>
      </c>
      <c r="I1284" s="25">
        <f>IF($N1284&lt;&gt;"",IF(INDEX(PCOp,$N1284)="مرجوعی خرید","",IF(INDEX(PCAmount,$N1284)&lt;=0,"",INDEX(PCAmount,$N1284))),IF($O1284&lt;&gt;"",IF(INDEX(TxnDepB,$O1284)=0,"",INDEX(TxnDepB,$O1284)),""))</f>
        <v/>
      </c>
      <c r="J1284" s="25">
        <f>IF($N1284&lt;&gt;"",IF(INDEX(PCOp,$N1284)="مرجوعی خرید",IF(INDEX(PCAmount,$N1284)=0,"",-INDEX(PCAmount,$N1284)),""),IF($O1284&lt;&gt;"",IF(INDEX(TxnWitB,$O1284)=0,"",INDEX(TxnWitB,$O1284)),""))</f>
        <v/>
      </c>
      <c r="K1284" s="27">
        <f>IF($B1284="","",IF($K1283="",$C$10,$K1283)+IF($I1284="",0,$I1284)-IF($J1284="",0,$J1284))</f>
        <v/>
      </c>
      <c r="L1284" s="28">
        <f>IF($N1284&lt;&gt;"",IF(INDEX(PCNotes,$N1284)="","—",INDEX(PCNotes,$N1284)),IF($O1284&lt;&gt;"",IF(INDEX(LdgNoteB,$O1284)="","—",INDEX(LdgNoteB,$O1284)),""))</f>
        <v/>
      </c>
      <c r="N1284">
        <f>IFERROR(MATCH($C$5&amp;"|"&amp;RIGHT("000000"&amp;1268,6),LdgRankKeyA,0),"")</f>
        <v/>
      </c>
      <c r="O1284">
        <f>IFERROR(MATCH($C$5&amp;"|"&amp;RIGHT("000000"&amp;1268,6),LdgRankKeyB,0),"")</f>
        <v/>
      </c>
    </row>
    <row r="1285">
      <c r="A1285" s="17" t="n">
        <v>1269</v>
      </c>
      <c r="B1285" s="18">
        <f>IF(AND($N1285="",$O1285=""),"",IF($N1285&lt;&gt;"",INDEX(PCNormDate,$N1285),INDEX(LdgDateB,$O1285)))</f>
        <v/>
      </c>
      <c r="C1285" s="18">
        <f>IF($N1285&lt;&gt;"",INDEX(PCOp,$N1285),IF($O1285&lt;&gt;"",IF(N(INDEX(TxnDepB,$O1285))&gt;0,"دریافت بانکی","پرداخت بانکی"),""))</f>
        <v/>
      </c>
      <c r="D1285" s="18">
        <f>IF($N1285&lt;&gt;"",IF(INDEX(PCDoc,$N1285)="","—",INDEX(PCDoc,$N1285)),IF($O1285&lt;&gt;"",INDEX(LdgBankB,$O1285),""))</f>
        <v/>
      </c>
      <c r="E1285" s="18">
        <f>IF($N1285&lt;&gt;"",IF(INDEX(PCCitrus,$N1285)="","—",INDEX(PCCitrus,$N1285)),"")</f>
        <v/>
      </c>
      <c r="F1285" s="19">
        <f>IF($N1285&lt;&gt;"",IF(INDEX(PCScale,$N1285)=0,"",INDEX(PCScale,$N1285)),"")</f>
        <v/>
      </c>
      <c r="G1285" s="19">
        <f>IF($N1285&lt;&gt;"",IF(INDEX(PCBaskets,$N1285)=0,"",INDEX(PCBaskets,$N1285)),"")</f>
        <v/>
      </c>
      <c r="H1285" s="20">
        <f>IF($N1285&lt;&gt;"",IF(INDEX(PCNet,$N1285)=0,"",INDEX(PCNet,$N1285)),"")</f>
        <v/>
      </c>
      <c r="I1285" s="19">
        <f>IF($N1285&lt;&gt;"",IF(INDEX(PCOp,$N1285)="مرجوعی خرید","",IF(INDEX(PCAmount,$N1285)&lt;=0,"",INDEX(PCAmount,$N1285))),IF($O1285&lt;&gt;"",IF(INDEX(TxnDepB,$O1285)=0,"",INDEX(TxnDepB,$O1285)),""))</f>
        <v/>
      </c>
      <c r="J1285" s="19">
        <f>IF($N1285&lt;&gt;"",IF(INDEX(PCOp,$N1285)="مرجوعی خرید",IF(INDEX(PCAmount,$N1285)=0,"",-INDEX(PCAmount,$N1285)),""),IF($O1285&lt;&gt;"",IF(INDEX(TxnWitB,$O1285)=0,"",INDEX(TxnWitB,$O1285)),""))</f>
        <v/>
      </c>
      <c r="K1285" s="21">
        <f>IF($B1285="","",IF($K1284="",$C$10,$K1284)+IF($I1285="",0,$I1285)-IF($J1285="",0,$J1285))</f>
        <v/>
      </c>
      <c r="L1285" s="22">
        <f>IF($N1285&lt;&gt;"",IF(INDEX(PCNotes,$N1285)="","—",INDEX(PCNotes,$N1285)),IF($O1285&lt;&gt;"",IF(INDEX(LdgNoteB,$O1285)="","—",INDEX(LdgNoteB,$O1285)),""))</f>
        <v/>
      </c>
      <c r="N1285">
        <f>IFERROR(MATCH($C$5&amp;"|"&amp;RIGHT("000000"&amp;1269,6),LdgRankKeyA,0),"")</f>
        <v/>
      </c>
      <c r="O1285">
        <f>IFERROR(MATCH($C$5&amp;"|"&amp;RIGHT("000000"&amp;1269,6),LdgRankKeyB,0),"")</f>
        <v/>
      </c>
    </row>
    <row r="1286">
      <c r="A1286" s="23" t="n">
        <v>1270</v>
      </c>
      <c r="B1286" s="24">
        <f>IF(AND($N1286="",$O1286=""),"",IF($N1286&lt;&gt;"",INDEX(PCNormDate,$N1286),INDEX(LdgDateB,$O1286)))</f>
        <v/>
      </c>
      <c r="C1286" s="24">
        <f>IF($N1286&lt;&gt;"",INDEX(PCOp,$N1286),IF($O1286&lt;&gt;"",IF(N(INDEX(TxnDepB,$O1286))&gt;0,"دریافت بانکی","پرداخت بانکی"),""))</f>
        <v/>
      </c>
      <c r="D1286" s="24">
        <f>IF($N1286&lt;&gt;"",IF(INDEX(PCDoc,$N1286)="","—",INDEX(PCDoc,$N1286)),IF($O1286&lt;&gt;"",INDEX(LdgBankB,$O1286),""))</f>
        <v/>
      </c>
      <c r="E1286" s="24">
        <f>IF($N1286&lt;&gt;"",IF(INDEX(PCCitrus,$N1286)="","—",INDEX(PCCitrus,$N1286)),"")</f>
        <v/>
      </c>
      <c r="F1286" s="25">
        <f>IF($N1286&lt;&gt;"",IF(INDEX(PCScale,$N1286)=0,"",INDEX(PCScale,$N1286)),"")</f>
        <v/>
      </c>
      <c r="G1286" s="25">
        <f>IF($N1286&lt;&gt;"",IF(INDEX(PCBaskets,$N1286)=0,"",INDEX(PCBaskets,$N1286)),"")</f>
        <v/>
      </c>
      <c r="H1286" s="26">
        <f>IF($N1286&lt;&gt;"",IF(INDEX(PCNet,$N1286)=0,"",INDEX(PCNet,$N1286)),"")</f>
        <v/>
      </c>
      <c r="I1286" s="25">
        <f>IF($N1286&lt;&gt;"",IF(INDEX(PCOp,$N1286)="مرجوعی خرید","",IF(INDEX(PCAmount,$N1286)&lt;=0,"",INDEX(PCAmount,$N1286))),IF($O1286&lt;&gt;"",IF(INDEX(TxnDepB,$O1286)=0,"",INDEX(TxnDepB,$O1286)),""))</f>
        <v/>
      </c>
      <c r="J1286" s="25">
        <f>IF($N1286&lt;&gt;"",IF(INDEX(PCOp,$N1286)="مرجوعی خرید",IF(INDEX(PCAmount,$N1286)=0,"",-INDEX(PCAmount,$N1286)),""),IF($O1286&lt;&gt;"",IF(INDEX(TxnWitB,$O1286)=0,"",INDEX(TxnWitB,$O1286)),""))</f>
        <v/>
      </c>
      <c r="K1286" s="27">
        <f>IF($B1286="","",IF($K1285="",$C$10,$K1285)+IF($I1286="",0,$I1286)-IF($J1286="",0,$J1286))</f>
        <v/>
      </c>
      <c r="L1286" s="28">
        <f>IF($N1286&lt;&gt;"",IF(INDEX(PCNotes,$N1286)="","—",INDEX(PCNotes,$N1286)),IF($O1286&lt;&gt;"",IF(INDEX(LdgNoteB,$O1286)="","—",INDEX(LdgNoteB,$O1286)),""))</f>
        <v/>
      </c>
      <c r="N1286">
        <f>IFERROR(MATCH($C$5&amp;"|"&amp;RIGHT("000000"&amp;1270,6),LdgRankKeyA,0),"")</f>
        <v/>
      </c>
      <c r="O1286">
        <f>IFERROR(MATCH($C$5&amp;"|"&amp;RIGHT("000000"&amp;1270,6),LdgRankKeyB,0),"")</f>
        <v/>
      </c>
    </row>
    <row r="1287">
      <c r="A1287" s="17" t="n">
        <v>1271</v>
      </c>
      <c r="B1287" s="18">
        <f>IF(AND($N1287="",$O1287=""),"",IF($N1287&lt;&gt;"",INDEX(PCNormDate,$N1287),INDEX(LdgDateB,$O1287)))</f>
        <v/>
      </c>
      <c r="C1287" s="18">
        <f>IF($N1287&lt;&gt;"",INDEX(PCOp,$N1287),IF($O1287&lt;&gt;"",IF(N(INDEX(TxnDepB,$O1287))&gt;0,"دریافت بانکی","پرداخت بانکی"),""))</f>
        <v/>
      </c>
      <c r="D1287" s="18">
        <f>IF($N1287&lt;&gt;"",IF(INDEX(PCDoc,$N1287)="","—",INDEX(PCDoc,$N1287)),IF($O1287&lt;&gt;"",INDEX(LdgBankB,$O1287),""))</f>
        <v/>
      </c>
      <c r="E1287" s="18">
        <f>IF($N1287&lt;&gt;"",IF(INDEX(PCCitrus,$N1287)="","—",INDEX(PCCitrus,$N1287)),"")</f>
        <v/>
      </c>
      <c r="F1287" s="19">
        <f>IF($N1287&lt;&gt;"",IF(INDEX(PCScale,$N1287)=0,"",INDEX(PCScale,$N1287)),"")</f>
        <v/>
      </c>
      <c r="G1287" s="19">
        <f>IF($N1287&lt;&gt;"",IF(INDEX(PCBaskets,$N1287)=0,"",INDEX(PCBaskets,$N1287)),"")</f>
        <v/>
      </c>
      <c r="H1287" s="20">
        <f>IF($N1287&lt;&gt;"",IF(INDEX(PCNet,$N1287)=0,"",INDEX(PCNet,$N1287)),"")</f>
        <v/>
      </c>
      <c r="I1287" s="19">
        <f>IF($N1287&lt;&gt;"",IF(INDEX(PCOp,$N1287)="مرجوعی خرید","",IF(INDEX(PCAmount,$N1287)&lt;=0,"",INDEX(PCAmount,$N1287))),IF($O1287&lt;&gt;"",IF(INDEX(TxnDepB,$O1287)=0,"",INDEX(TxnDepB,$O1287)),""))</f>
        <v/>
      </c>
      <c r="J1287" s="19">
        <f>IF($N1287&lt;&gt;"",IF(INDEX(PCOp,$N1287)="مرجوعی خرید",IF(INDEX(PCAmount,$N1287)=0,"",-INDEX(PCAmount,$N1287)),""),IF($O1287&lt;&gt;"",IF(INDEX(TxnWitB,$O1287)=0,"",INDEX(TxnWitB,$O1287)),""))</f>
        <v/>
      </c>
      <c r="K1287" s="21">
        <f>IF($B1287="","",IF($K1286="",$C$10,$K1286)+IF($I1287="",0,$I1287)-IF($J1287="",0,$J1287))</f>
        <v/>
      </c>
      <c r="L1287" s="22">
        <f>IF($N1287&lt;&gt;"",IF(INDEX(PCNotes,$N1287)="","—",INDEX(PCNotes,$N1287)),IF($O1287&lt;&gt;"",IF(INDEX(LdgNoteB,$O1287)="","—",INDEX(LdgNoteB,$O1287)),""))</f>
        <v/>
      </c>
      <c r="N1287">
        <f>IFERROR(MATCH($C$5&amp;"|"&amp;RIGHT("000000"&amp;1271,6),LdgRankKeyA,0),"")</f>
        <v/>
      </c>
      <c r="O1287">
        <f>IFERROR(MATCH($C$5&amp;"|"&amp;RIGHT("000000"&amp;1271,6),LdgRankKeyB,0),"")</f>
        <v/>
      </c>
    </row>
    <row r="1288">
      <c r="A1288" s="23" t="n">
        <v>1272</v>
      </c>
      <c r="B1288" s="24">
        <f>IF(AND($N1288="",$O1288=""),"",IF($N1288&lt;&gt;"",INDEX(PCNormDate,$N1288),INDEX(LdgDateB,$O1288)))</f>
        <v/>
      </c>
      <c r="C1288" s="24">
        <f>IF($N1288&lt;&gt;"",INDEX(PCOp,$N1288),IF($O1288&lt;&gt;"",IF(N(INDEX(TxnDepB,$O1288))&gt;0,"دریافت بانکی","پرداخت بانکی"),""))</f>
        <v/>
      </c>
      <c r="D1288" s="24">
        <f>IF($N1288&lt;&gt;"",IF(INDEX(PCDoc,$N1288)="","—",INDEX(PCDoc,$N1288)),IF($O1288&lt;&gt;"",INDEX(LdgBankB,$O1288),""))</f>
        <v/>
      </c>
      <c r="E1288" s="24">
        <f>IF($N1288&lt;&gt;"",IF(INDEX(PCCitrus,$N1288)="","—",INDEX(PCCitrus,$N1288)),"")</f>
        <v/>
      </c>
      <c r="F1288" s="25">
        <f>IF($N1288&lt;&gt;"",IF(INDEX(PCScale,$N1288)=0,"",INDEX(PCScale,$N1288)),"")</f>
        <v/>
      </c>
      <c r="G1288" s="25">
        <f>IF($N1288&lt;&gt;"",IF(INDEX(PCBaskets,$N1288)=0,"",INDEX(PCBaskets,$N1288)),"")</f>
        <v/>
      </c>
      <c r="H1288" s="26">
        <f>IF($N1288&lt;&gt;"",IF(INDEX(PCNet,$N1288)=0,"",INDEX(PCNet,$N1288)),"")</f>
        <v/>
      </c>
      <c r="I1288" s="25">
        <f>IF($N1288&lt;&gt;"",IF(INDEX(PCOp,$N1288)="مرجوعی خرید","",IF(INDEX(PCAmount,$N1288)&lt;=0,"",INDEX(PCAmount,$N1288))),IF($O1288&lt;&gt;"",IF(INDEX(TxnDepB,$O1288)=0,"",INDEX(TxnDepB,$O1288)),""))</f>
        <v/>
      </c>
      <c r="J1288" s="25">
        <f>IF($N1288&lt;&gt;"",IF(INDEX(PCOp,$N1288)="مرجوعی خرید",IF(INDEX(PCAmount,$N1288)=0,"",-INDEX(PCAmount,$N1288)),""),IF($O1288&lt;&gt;"",IF(INDEX(TxnWitB,$O1288)=0,"",INDEX(TxnWitB,$O1288)),""))</f>
        <v/>
      </c>
      <c r="K1288" s="27">
        <f>IF($B1288="","",IF($K1287="",$C$10,$K1287)+IF($I1288="",0,$I1288)-IF($J1288="",0,$J1288))</f>
        <v/>
      </c>
      <c r="L1288" s="28">
        <f>IF($N1288&lt;&gt;"",IF(INDEX(PCNotes,$N1288)="","—",INDEX(PCNotes,$N1288)),IF($O1288&lt;&gt;"",IF(INDEX(LdgNoteB,$O1288)="","—",INDEX(LdgNoteB,$O1288)),""))</f>
        <v/>
      </c>
      <c r="N1288">
        <f>IFERROR(MATCH($C$5&amp;"|"&amp;RIGHT("000000"&amp;1272,6),LdgRankKeyA,0),"")</f>
        <v/>
      </c>
      <c r="O1288">
        <f>IFERROR(MATCH($C$5&amp;"|"&amp;RIGHT("000000"&amp;1272,6),LdgRankKeyB,0),"")</f>
        <v/>
      </c>
    </row>
    <row r="1289">
      <c r="A1289" s="17" t="n">
        <v>1273</v>
      </c>
      <c r="B1289" s="18">
        <f>IF(AND($N1289="",$O1289=""),"",IF($N1289&lt;&gt;"",INDEX(PCNormDate,$N1289),INDEX(LdgDateB,$O1289)))</f>
        <v/>
      </c>
      <c r="C1289" s="18">
        <f>IF($N1289&lt;&gt;"",INDEX(PCOp,$N1289),IF($O1289&lt;&gt;"",IF(N(INDEX(TxnDepB,$O1289))&gt;0,"دریافت بانکی","پرداخت بانکی"),""))</f>
        <v/>
      </c>
      <c r="D1289" s="18">
        <f>IF($N1289&lt;&gt;"",IF(INDEX(PCDoc,$N1289)="","—",INDEX(PCDoc,$N1289)),IF($O1289&lt;&gt;"",INDEX(LdgBankB,$O1289),""))</f>
        <v/>
      </c>
      <c r="E1289" s="18">
        <f>IF($N1289&lt;&gt;"",IF(INDEX(PCCitrus,$N1289)="","—",INDEX(PCCitrus,$N1289)),"")</f>
        <v/>
      </c>
      <c r="F1289" s="19">
        <f>IF($N1289&lt;&gt;"",IF(INDEX(PCScale,$N1289)=0,"",INDEX(PCScale,$N1289)),"")</f>
        <v/>
      </c>
      <c r="G1289" s="19">
        <f>IF($N1289&lt;&gt;"",IF(INDEX(PCBaskets,$N1289)=0,"",INDEX(PCBaskets,$N1289)),"")</f>
        <v/>
      </c>
      <c r="H1289" s="20">
        <f>IF($N1289&lt;&gt;"",IF(INDEX(PCNet,$N1289)=0,"",INDEX(PCNet,$N1289)),"")</f>
        <v/>
      </c>
      <c r="I1289" s="19">
        <f>IF($N1289&lt;&gt;"",IF(INDEX(PCOp,$N1289)="مرجوعی خرید","",IF(INDEX(PCAmount,$N1289)&lt;=0,"",INDEX(PCAmount,$N1289))),IF($O1289&lt;&gt;"",IF(INDEX(TxnDepB,$O1289)=0,"",INDEX(TxnDepB,$O1289)),""))</f>
        <v/>
      </c>
      <c r="J1289" s="19">
        <f>IF($N1289&lt;&gt;"",IF(INDEX(PCOp,$N1289)="مرجوعی خرید",IF(INDEX(PCAmount,$N1289)=0,"",-INDEX(PCAmount,$N1289)),""),IF($O1289&lt;&gt;"",IF(INDEX(TxnWitB,$O1289)=0,"",INDEX(TxnWitB,$O1289)),""))</f>
        <v/>
      </c>
      <c r="K1289" s="21">
        <f>IF($B1289="","",IF($K1288="",$C$10,$K1288)+IF($I1289="",0,$I1289)-IF($J1289="",0,$J1289))</f>
        <v/>
      </c>
      <c r="L1289" s="22">
        <f>IF($N1289&lt;&gt;"",IF(INDEX(PCNotes,$N1289)="","—",INDEX(PCNotes,$N1289)),IF($O1289&lt;&gt;"",IF(INDEX(LdgNoteB,$O1289)="","—",INDEX(LdgNoteB,$O1289)),""))</f>
        <v/>
      </c>
      <c r="N1289">
        <f>IFERROR(MATCH($C$5&amp;"|"&amp;RIGHT("000000"&amp;1273,6),LdgRankKeyA,0),"")</f>
        <v/>
      </c>
      <c r="O1289">
        <f>IFERROR(MATCH($C$5&amp;"|"&amp;RIGHT("000000"&amp;1273,6),LdgRankKeyB,0),"")</f>
        <v/>
      </c>
    </row>
    <row r="1290">
      <c r="A1290" s="23" t="n">
        <v>1274</v>
      </c>
      <c r="B1290" s="24">
        <f>IF(AND($N1290="",$O1290=""),"",IF($N1290&lt;&gt;"",INDEX(PCNormDate,$N1290),INDEX(LdgDateB,$O1290)))</f>
        <v/>
      </c>
      <c r="C1290" s="24">
        <f>IF($N1290&lt;&gt;"",INDEX(PCOp,$N1290),IF($O1290&lt;&gt;"",IF(N(INDEX(TxnDepB,$O1290))&gt;0,"دریافت بانکی","پرداخت بانکی"),""))</f>
        <v/>
      </c>
      <c r="D1290" s="24">
        <f>IF($N1290&lt;&gt;"",IF(INDEX(PCDoc,$N1290)="","—",INDEX(PCDoc,$N1290)),IF($O1290&lt;&gt;"",INDEX(LdgBankB,$O1290),""))</f>
        <v/>
      </c>
      <c r="E1290" s="24">
        <f>IF($N1290&lt;&gt;"",IF(INDEX(PCCitrus,$N1290)="","—",INDEX(PCCitrus,$N1290)),"")</f>
        <v/>
      </c>
      <c r="F1290" s="25">
        <f>IF($N1290&lt;&gt;"",IF(INDEX(PCScale,$N1290)=0,"",INDEX(PCScale,$N1290)),"")</f>
        <v/>
      </c>
      <c r="G1290" s="25">
        <f>IF($N1290&lt;&gt;"",IF(INDEX(PCBaskets,$N1290)=0,"",INDEX(PCBaskets,$N1290)),"")</f>
        <v/>
      </c>
      <c r="H1290" s="26">
        <f>IF($N1290&lt;&gt;"",IF(INDEX(PCNet,$N1290)=0,"",INDEX(PCNet,$N1290)),"")</f>
        <v/>
      </c>
      <c r="I1290" s="25">
        <f>IF($N1290&lt;&gt;"",IF(INDEX(PCOp,$N1290)="مرجوعی خرید","",IF(INDEX(PCAmount,$N1290)&lt;=0,"",INDEX(PCAmount,$N1290))),IF($O1290&lt;&gt;"",IF(INDEX(TxnDepB,$O1290)=0,"",INDEX(TxnDepB,$O1290)),""))</f>
        <v/>
      </c>
      <c r="J1290" s="25">
        <f>IF($N1290&lt;&gt;"",IF(INDEX(PCOp,$N1290)="مرجوعی خرید",IF(INDEX(PCAmount,$N1290)=0,"",-INDEX(PCAmount,$N1290)),""),IF($O1290&lt;&gt;"",IF(INDEX(TxnWitB,$O1290)=0,"",INDEX(TxnWitB,$O1290)),""))</f>
        <v/>
      </c>
      <c r="K1290" s="27">
        <f>IF($B1290="","",IF($K1289="",$C$10,$K1289)+IF($I1290="",0,$I1290)-IF($J1290="",0,$J1290))</f>
        <v/>
      </c>
      <c r="L1290" s="28">
        <f>IF($N1290&lt;&gt;"",IF(INDEX(PCNotes,$N1290)="","—",INDEX(PCNotes,$N1290)),IF($O1290&lt;&gt;"",IF(INDEX(LdgNoteB,$O1290)="","—",INDEX(LdgNoteB,$O1290)),""))</f>
        <v/>
      </c>
      <c r="N1290">
        <f>IFERROR(MATCH($C$5&amp;"|"&amp;RIGHT("000000"&amp;1274,6),LdgRankKeyA,0),"")</f>
        <v/>
      </c>
      <c r="O1290">
        <f>IFERROR(MATCH($C$5&amp;"|"&amp;RIGHT("000000"&amp;1274,6),LdgRankKeyB,0),"")</f>
        <v/>
      </c>
    </row>
    <row r="1291">
      <c r="A1291" s="17" t="n">
        <v>1275</v>
      </c>
      <c r="B1291" s="18">
        <f>IF(AND($N1291="",$O1291=""),"",IF($N1291&lt;&gt;"",INDEX(PCNormDate,$N1291),INDEX(LdgDateB,$O1291)))</f>
        <v/>
      </c>
      <c r="C1291" s="18">
        <f>IF($N1291&lt;&gt;"",INDEX(PCOp,$N1291),IF($O1291&lt;&gt;"",IF(N(INDEX(TxnDepB,$O1291))&gt;0,"دریافت بانکی","پرداخت بانکی"),""))</f>
        <v/>
      </c>
      <c r="D1291" s="18">
        <f>IF($N1291&lt;&gt;"",IF(INDEX(PCDoc,$N1291)="","—",INDEX(PCDoc,$N1291)),IF($O1291&lt;&gt;"",INDEX(LdgBankB,$O1291),""))</f>
        <v/>
      </c>
      <c r="E1291" s="18">
        <f>IF($N1291&lt;&gt;"",IF(INDEX(PCCitrus,$N1291)="","—",INDEX(PCCitrus,$N1291)),"")</f>
        <v/>
      </c>
      <c r="F1291" s="19">
        <f>IF($N1291&lt;&gt;"",IF(INDEX(PCScale,$N1291)=0,"",INDEX(PCScale,$N1291)),"")</f>
        <v/>
      </c>
      <c r="G1291" s="19">
        <f>IF($N1291&lt;&gt;"",IF(INDEX(PCBaskets,$N1291)=0,"",INDEX(PCBaskets,$N1291)),"")</f>
        <v/>
      </c>
      <c r="H1291" s="20">
        <f>IF($N1291&lt;&gt;"",IF(INDEX(PCNet,$N1291)=0,"",INDEX(PCNet,$N1291)),"")</f>
        <v/>
      </c>
      <c r="I1291" s="19">
        <f>IF($N1291&lt;&gt;"",IF(INDEX(PCOp,$N1291)="مرجوعی خرید","",IF(INDEX(PCAmount,$N1291)&lt;=0,"",INDEX(PCAmount,$N1291))),IF($O1291&lt;&gt;"",IF(INDEX(TxnDepB,$O1291)=0,"",INDEX(TxnDepB,$O1291)),""))</f>
        <v/>
      </c>
      <c r="J1291" s="19">
        <f>IF($N1291&lt;&gt;"",IF(INDEX(PCOp,$N1291)="مرجوعی خرید",IF(INDEX(PCAmount,$N1291)=0,"",-INDEX(PCAmount,$N1291)),""),IF($O1291&lt;&gt;"",IF(INDEX(TxnWitB,$O1291)=0,"",INDEX(TxnWitB,$O1291)),""))</f>
        <v/>
      </c>
      <c r="K1291" s="21">
        <f>IF($B1291="","",IF($K1290="",$C$10,$K1290)+IF($I1291="",0,$I1291)-IF($J1291="",0,$J1291))</f>
        <v/>
      </c>
      <c r="L1291" s="22">
        <f>IF($N1291&lt;&gt;"",IF(INDEX(PCNotes,$N1291)="","—",INDEX(PCNotes,$N1291)),IF($O1291&lt;&gt;"",IF(INDEX(LdgNoteB,$O1291)="","—",INDEX(LdgNoteB,$O1291)),""))</f>
        <v/>
      </c>
      <c r="N1291">
        <f>IFERROR(MATCH($C$5&amp;"|"&amp;RIGHT("000000"&amp;1275,6),LdgRankKeyA,0),"")</f>
        <v/>
      </c>
      <c r="O1291">
        <f>IFERROR(MATCH($C$5&amp;"|"&amp;RIGHT("000000"&amp;1275,6),LdgRankKeyB,0),"")</f>
        <v/>
      </c>
    </row>
    <row r="1292">
      <c r="A1292" s="23" t="n">
        <v>1276</v>
      </c>
      <c r="B1292" s="24">
        <f>IF(AND($N1292="",$O1292=""),"",IF($N1292&lt;&gt;"",INDEX(PCNormDate,$N1292),INDEX(LdgDateB,$O1292)))</f>
        <v/>
      </c>
      <c r="C1292" s="24">
        <f>IF($N1292&lt;&gt;"",INDEX(PCOp,$N1292),IF($O1292&lt;&gt;"",IF(N(INDEX(TxnDepB,$O1292))&gt;0,"دریافت بانکی","پرداخت بانکی"),""))</f>
        <v/>
      </c>
      <c r="D1292" s="24">
        <f>IF($N1292&lt;&gt;"",IF(INDEX(PCDoc,$N1292)="","—",INDEX(PCDoc,$N1292)),IF($O1292&lt;&gt;"",INDEX(LdgBankB,$O1292),""))</f>
        <v/>
      </c>
      <c r="E1292" s="24">
        <f>IF($N1292&lt;&gt;"",IF(INDEX(PCCitrus,$N1292)="","—",INDEX(PCCitrus,$N1292)),"")</f>
        <v/>
      </c>
      <c r="F1292" s="25">
        <f>IF($N1292&lt;&gt;"",IF(INDEX(PCScale,$N1292)=0,"",INDEX(PCScale,$N1292)),"")</f>
        <v/>
      </c>
      <c r="G1292" s="25">
        <f>IF($N1292&lt;&gt;"",IF(INDEX(PCBaskets,$N1292)=0,"",INDEX(PCBaskets,$N1292)),"")</f>
        <v/>
      </c>
      <c r="H1292" s="26">
        <f>IF($N1292&lt;&gt;"",IF(INDEX(PCNet,$N1292)=0,"",INDEX(PCNet,$N1292)),"")</f>
        <v/>
      </c>
      <c r="I1292" s="25">
        <f>IF($N1292&lt;&gt;"",IF(INDEX(PCOp,$N1292)="مرجوعی خرید","",IF(INDEX(PCAmount,$N1292)&lt;=0,"",INDEX(PCAmount,$N1292))),IF($O1292&lt;&gt;"",IF(INDEX(TxnDepB,$O1292)=0,"",INDEX(TxnDepB,$O1292)),""))</f>
        <v/>
      </c>
      <c r="J1292" s="25">
        <f>IF($N1292&lt;&gt;"",IF(INDEX(PCOp,$N1292)="مرجوعی خرید",IF(INDEX(PCAmount,$N1292)=0,"",-INDEX(PCAmount,$N1292)),""),IF($O1292&lt;&gt;"",IF(INDEX(TxnWitB,$O1292)=0,"",INDEX(TxnWitB,$O1292)),""))</f>
        <v/>
      </c>
      <c r="K1292" s="27">
        <f>IF($B1292="","",IF($K1291="",$C$10,$K1291)+IF($I1292="",0,$I1292)-IF($J1292="",0,$J1292))</f>
        <v/>
      </c>
      <c r="L1292" s="28">
        <f>IF($N1292&lt;&gt;"",IF(INDEX(PCNotes,$N1292)="","—",INDEX(PCNotes,$N1292)),IF($O1292&lt;&gt;"",IF(INDEX(LdgNoteB,$O1292)="","—",INDEX(LdgNoteB,$O1292)),""))</f>
        <v/>
      </c>
      <c r="N1292">
        <f>IFERROR(MATCH($C$5&amp;"|"&amp;RIGHT("000000"&amp;1276,6),LdgRankKeyA,0),"")</f>
        <v/>
      </c>
      <c r="O1292">
        <f>IFERROR(MATCH($C$5&amp;"|"&amp;RIGHT("000000"&amp;1276,6),LdgRankKeyB,0),"")</f>
        <v/>
      </c>
    </row>
    <row r="1293">
      <c r="A1293" s="17" t="n">
        <v>1277</v>
      </c>
      <c r="B1293" s="18">
        <f>IF(AND($N1293="",$O1293=""),"",IF($N1293&lt;&gt;"",INDEX(PCNormDate,$N1293),INDEX(LdgDateB,$O1293)))</f>
        <v/>
      </c>
      <c r="C1293" s="18">
        <f>IF($N1293&lt;&gt;"",INDEX(PCOp,$N1293),IF($O1293&lt;&gt;"",IF(N(INDEX(TxnDepB,$O1293))&gt;0,"دریافت بانکی","پرداخت بانکی"),""))</f>
        <v/>
      </c>
      <c r="D1293" s="18">
        <f>IF($N1293&lt;&gt;"",IF(INDEX(PCDoc,$N1293)="","—",INDEX(PCDoc,$N1293)),IF($O1293&lt;&gt;"",INDEX(LdgBankB,$O1293),""))</f>
        <v/>
      </c>
      <c r="E1293" s="18">
        <f>IF($N1293&lt;&gt;"",IF(INDEX(PCCitrus,$N1293)="","—",INDEX(PCCitrus,$N1293)),"")</f>
        <v/>
      </c>
      <c r="F1293" s="19">
        <f>IF($N1293&lt;&gt;"",IF(INDEX(PCScale,$N1293)=0,"",INDEX(PCScale,$N1293)),"")</f>
        <v/>
      </c>
      <c r="G1293" s="19">
        <f>IF($N1293&lt;&gt;"",IF(INDEX(PCBaskets,$N1293)=0,"",INDEX(PCBaskets,$N1293)),"")</f>
        <v/>
      </c>
      <c r="H1293" s="20">
        <f>IF($N1293&lt;&gt;"",IF(INDEX(PCNet,$N1293)=0,"",INDEX(PCNet,$N1293)),"")</f>
        <v/>
      </c>
      <c r="I1293" s="19">
        <f>IF($N1293&lt;&gt;"",IF(INDEX(PCOp,$N1293)="مرجوعی خرید","",IF(INDEX(PCAmount,$N1293)&lt;=0,"",INDEX(PCAmount,$N1293))),IF($O1293&lt;&gt;"",IF(INDEX(TxnDepB,$O1293)=0,"",INDEX(TxnDepB,$O1293)),""))</f>
        <v/>
      </c>
      <c r="J1293" s="19">
        <f>IF($N1293&lt;&gt;"",IF(INDEX(PCOp,$N1293)="مرجوعی خرید",IF(INDEX(PCAmount,$N1293)=0,"",-INDEX(PCAmount,$N1293)),""),IF($O1293&lt;&gt;"",IF(INDEX(TxnWitB,$O1293)=0,"",INDEX(TxnWitB,$O1293)),""))</f>
        <v/>
      </c>
      <c r="K1293" s="21">
        <f>IF($B1293="","",IF($K1292="",$C$10,$K1292)+IF($I1293="",0,$I1293)-IF($J1293="",0,$J1293))</f>
        <v/>
      </c>
      <c r="L1293" s="22">
        <f>IF($N1293&lt;&gt;"",IF(INDEX(PCNotes,$N1293)="","—",INDEX(PCNotes,$N1293)),IF($O1293&lt;&gt;"",IF(INDEX(LdgNoteB,$O1293)="","—",INDEX(LdgNoteB,$O1293)),""))</f>
        <v/>
      </c>
      <c r="N1293">
        <f>IFERROR(MATCH($C$5&amp;"|"&amp;RIGHT("000000"&amp;1277,6),LdgRankKeyA,0),"")</f>
        <v/>
      </c>
      <c r="O1293">
        <f>IFERROR(MATCH($C$5&amp;"|"&amp;RIGHT("000000"&amp;1277,6),LdgRankKeyB,0),"")</f>
        <v/>
      </c>
    </row>
    <row r="1294">
      <c r="A1294" s="23" t="n">
        <v>1278</v>
      </c>
      <c r="B1294" s="24">
        <f>IF(AND($N1294="",$O1294=""),"",IF($N1294&lt;&gt;"",INDEX(PCNormDate,$N1294),INDEX(LdgDateB,$O1294)))</f>
        <v/>
      </c>
      <c r="C1294" s="24">
        <f>IF($N1294&lt;&gt;"",INDEX(PCOp,$N1294),IF($O1294&lt;&gt;"",IF(N(INDEX(TxnDepB,$O1294))&gt;0,"دریافت بانکی","پرداخت بانکی"),""))</f>
        <v/>
      </c>
      <c r="D1294" s="24">
        <f>IF($N1294&lt;&gt;"",IF(INDEX(PCDoc,$N1294)="","—",INDEX(PCDoc,$N1294)),IF($O1294&lt;&gt;"",INDEX(LdgBankB,$O1294),""))</f>
        <v/>
      </c>
      <c r="E1294" s="24">
        <f>IF($N1294&lt;&gt;"",IF(INDEX(PCCitrus,$N1294)="","—",INDEX(PCCitrus,$N1294)),"")</f>
        <v/>
      </c>
      <c r="F1294" s="25">
        <f>IF($N1294&lt;&gt;"",IF(INDEX(PCScale,$N1294)=0,"",INDEX(PCScale,$N1294)),"")</f>
        <v/>
      </c>
      <c r="G1294" s="25">
        <f>IF($N1294&lt;&gt;"",IF(INDEX(PCBaskets,$N1294)=0,"",INDEX(PCBaskets,$N1294)),"")</f>
        <v/>
      </c>
      <c r="H1294" s="26">
        <f>IF($N1294&lt;&gt;"",IF(INDEX(PCNet,$N1294)=0,"",INDEX(PCNet,$N1294)),"")</f>
        <v/>
      </c>
      <c r="I1294" s="25">
        <f>IF($N1294&lt;&gt;"",IF(INDEX(PCOp,$N1294)="مرجوعی خرید","",IF(INDEX(PCAmount,$N1294)&lt;=0,"",INDEX(PCAmount,$N1294))),IF($O1294&lt;&gt;"",IF(INDEX(TxnDepB,$O1294)=0,"",INDEX(TxnDepB,$O1294)),""))</f>
        <v/>
      </c>
      <c r="J1294" s="25">
        <f>IF($N1294&lt;&gt;"",IF(INDEX(PCOp,$N1294)="مرجوعی خرید",IF(INDEX(PCAmount,$N1294)=0,"",-INDEX(PCAmount,$N1294)),""),IF($O1294&lt;&gt;"",IF(INDEX(TxnWitB,$O1294)=0,"",INDEX(TxnWitB,$O1294)),""))</f>
        <v/>
      </c>
      <c r="K1294" s="27">
        <f>IF($B1294="","",IF($K1293="",$C$10,$K1293)+IF($I1294="",0,$I1294)-IF($J1294="",0,$J1294))</f>
        <v/>
      </c>
      <c r="L1294" s="28">
        <f>IF($N1294&lt;&gt;"",IF(INDEX(PCNotes,$N1294)="","—",INDEX(PCNotes,$N1294)),IF($O1294&lt;&gt;"",IF(INDEX(LdgNoteB,$O1294)="","—",INDEX(LdgNoteB,$O1294)),""))</f>
        <v/>
      </c>
      <c r="N1294">
        <f>IFERROR(MATCH($C$5&amp;"|"&amp;RIGHT("000000"&amp;1278,6),LdgRankKeyA,0),"")</f>
        <v/>
      </c>
      <c r="O1294">
        <f>IFERROR(MATCH($C$5&amp;"|"&amp;RIGHT("000000"&amp;1278,6),LdgRankKeyB,0),"")</f>
        <v/>
      </c>
    </row>
    <row r="1295">
      <c r="A1295" s="17" t="n">
        <v>1279</v>
      </c>
      <c r="B1295" s="18">
        <f>IF(AND($N1295="",$O1295=""),"",IF($N1295&lt;&gt;"",INDEX(PCNormDate,$N1295),INDEX(LdgDateB,$O1295)))</f>
        <v/>
      </c>
      <c r="C1295" s="18">
        <f>IF($N1295&lt;&gt;"",INDEX(PCOp,$N1295),IF($O1295&lt;&gt;"",IF(N(INDEX(TxnDepB,$O1295))&gt;0,"دریافت بانکی","پرداخت بانکی"),""))</f>
        <v/>
      </c>
      <c r="D1295" s="18">
        <f>IF($N1295&lt;&gt;"",IF(INDEX(PCDoc,$N1295)="","—",INDEX(PCDoc,$N1295)),IF($O1295&lt;&gt;"",INDEX(LdgBankB,$O1295),""))</f>
        <v/>
      </c>
      <c r="E1295" s="18">
        <f>IF($N1295&lt;&gt;"",IF(INDEX(PCCitrus,$N1295)="","—",INDEX(PCCitrus,$N1295)),"")</f>
        <v/>
      </c>
      <c r="F1295" s="19">
        <f>IF($N1295&lt;&gt;"",IF(INDEX(PCScale,$N1295)=0,"",INDEX(PCScale,$N1295)),"")</f>
        <v/>
      </c>
      <c r="G1295" s="19">
        <f>IF($N1295&lt;&gt;"",IF(INDEX(PCBaskets,$N1295)=0,"",INDEX(PCBaskets,$N1295)),"")</f>
        <v/>
      </c>
      <c r="H1295" s="20">
        <f>IF($N1295&lt;&gt;"",IF(INDEX(PCNet,$N1295)=0,"",INDEX(PCNet,$N1295)),"")</f>
        <v/>
      </c>
      <c r="I1295" s="19">
        <f>IF($N1295&lt;&gt;"",IF(INDEX(PCOp,$N1295)="مرجوعی خرید","",IF(INDEX(PCAmount,$N1295)&lt;=0,"",INDEX(PCAmount,$N1295))),IF($O1295&lt;&gt;"",IF(INDEX(TxnDepB,$O1295)=0,"",INDEX(TxnDepB,$O1295)),""))</f>
        <v/>
      </c>
      <c r="J1295" s="19">
        <f>IF($N1295&lt;&gt;"",IF(INDEX(PCOp,$N1295)="مرجوعی خرید",IF(INDEX(PCAmount,$N1295)=0,"",-INDEX(PCAmount,$N1295)),""),IF($O1295&lt;&gt;"",IF(INDEX(TxnWitB,$O1295)=0,"",INDEX(TxnWitB,$O1295)),""))</f>
        <v/>
      </c>
      <c r="K1295" s="21">
        <f>IF($B1295="","",IF($K1294="",$C$10,$K1294)+IF($I1295="",0,$I1295)-IF($J1295="",0,$J1295))</f>
        <v/>
      </c>
      <c r="L1295" s="22">
        <f>IF($N1295&lt;&gt;"",IF(INDEX(PCNotes,$N1295)="","—",INDEX(PCNotes,$N1295)),IF($O1295&lt;&gt;"",IF(INDEX(LdgNoteB,$O1295)="","—",INDEX(LdgNoteB,$O1295)),""))</f>
        <v/>
      </c>
      <c r="N1295">
        <f>IFERROR(MATCH($C$5&amp;"|"&amp;RIGHT("000000"&amp;1279,6),LdgRankKeyA,0),"")</f>
        <v/>
      </c>
      <c r="O1295">
        <f>IFERROR(MATCH($C$5&amp;"|"&amp;RIGHT("000000"&amp;1279,6),LdgRankKeyB,0),"")</f>
        <v/>
      </c>
    </row>
    <row r="1296">
      <c r="A1296" s="23" t="n">
        <v>1280</v>
      </c>
      <c r="B1296" s="24">
        <f>IF(AND($N1296="",$O1296=""),"",IF($N1296&lt;&gt;"",INDEX(PCNormDate,$N1296),INDEX(LdgDateB,$O1296)))</f>
        <v/>
      </c>
      <c r="C1296" s="24">
        <f>IF($N1296&lt;&gt;"",INDEX(PCOp,$N1296),IF($O1296&lt;&gt;"",IF(N(INDEX(TxnDepB,$O1296))&gt;0,"دریافت بانکی","پرداخت بانکی"),""))</f>
        <v/>
      </c>
      <c r="D1296" s="24">
        <f>IF($N1296&lt;&gt;"",IF(INDEX(PCDoc,$N1296)="","—",INDEX(PCDoc,$N1296)),IF($O1296&lt;&gt;"",INDEX(LdgBankB,$O1296),""))</f>
        <v/>
      </c>
      <c r="E1296" s="24">
        <f>IF($N1296&lt;&gt;"",IF(INDEX(PCCitrus,$N1296)="","—",INDEX(PCCitrus,$N1296)),"")</f>
        <v/>
      </c>
      <c r="F1296" s="25">
        <f>IF($N1296&lt;&gt;"",IF(INDEX(PCScale,$N1296)=0,"",INDEX(PCScale,$N1296)),"")</f>
        <v/>
      </c>
      <c r="G1296" s="25">
        <f>IF($N1296&lt;&gt;"",IF(INDEX(PCBaskets,$N1296)=0,"",INDEX(PCBaskets,$N1296)),"")</f>
        <v/>
      </c>
      <c r="H1296" s="26">
        <f>IF($N1296&lt;&gt;"",IF(INDEX(PCNet,$N1296)=0,"",INDEX(PCNet,$N1296)),"")</f>
        <v/>
      </c>
      <c r="I1296" s="25">
        <f>IF($N1296&lt;&gt;"",IF(INDEX(PCOp,$N1296)="مرجوعی خرید","",IF(INDEX(PCAmount,$N1296)&lt;=0,"",INDEX(PCAmount,$N1296))),IF($O1296&lt;&gt;"",IF(INDEX(TxnDepB,$O1296)=0,"",INDEX(TxnDepB,$O1296)),""))</f>
        <v/>
      </c>
      <c r="J1296" s="25">
        <f>IF($N1296&lt;&gt;"",IF(INDEX(PCOp,$N1296)="مرجوعی خرید",IF(INDEX(PCAmount,$N1296)=0,"",-INDEX(PCAmount,$N1296)),""),IF($O1296&lt;&gt;"",IF(INDEX(TxnWitB,$O1296)=0,"",INDEX(TxnWitB,$O1296)),""))</f>
        <v/>
      </c>
      <c r="K1296" s="27">
        <f>IF($B1296="","",IF($K1295="",$C$10,$K1295)+IF($I1296="",0,$I1296)-IF($J1296="",0,$J1296))</f>
        <v/>
      </c>
      <c r="L1296" s="28">
        <f>IF($N1296&lt;&gt;"",IF(INDEX(PCNotes,$N1296)="","—",INDEX(PCNotes,$N1296)),IF($O1296&lt;&gt;"",IF(INDEX(LdgNoteB,$O1296)="","—",INDEX(LdgNoteB,$O1296)),""))</f>
        <v/>
      </c>
      <c r="N1296">
        <f>IFERROR(MATCH($C$5&amp;"|"&amp;RIGHT("000000"&amp;1280,6),LdgRankKeyA,0),"")</f>
        <v/>
      </c>
      <c r="O1296">
        <f>IFERROR(MATCH($C$5&amp;"|"&amp;RIGHT("000000"&amp;1280,6),LdgRankKeyB,0),"")</f>
        <v/>
      </c>
    </row>
    <row r="1297">
      <c r="A1297" s="17" t="n">
        <v>1281</v>
      </c>
      <c r="B1297" s="18">
        <f>IF(AND($N1297="",$O1297=""),"",IF($N1297&lt;&gt;"",INDEX(PCNormDate,$N1297),INDEX(LdgDateB,$O1297)))</f>
        <v/>
      </c>
      <c r="C1297" s="18">
        <f>IF($N1297&lt;&gt;"",INDEX(PCOp,$N1297),IF($O1297&lt;&gt;"",IF(N(INDEX(TxnDepB,$O1297))&gt;0,"دریافت بانکی","پرداخت بانکی"),""))</f>
        <v/>
      </c>
      <c r="D1297" s="18">
        <f>IF($N1297&lt;&gt;"",IF(INDEX(PCDoc,$N1297)="","—",INDEX(PCDoc,$N1297)),IF($O1297&lt;&gt;"",INDEX(LdgBankB,$O1297),""))</f>
        <v/>
      </c>
      <c r="E1297" s="18">
        <f>IF($N1297&lt;&gt;"",IF(INDEX(PCCitrus,$N1297)="","—",INDEX(PCCitrus,$N1297)),"")</f>
        <v/>
      </c>
      <c r="F1297" s="19">
        <f>IF($N1297&lt;&gt;"",IF(INDEX(PCScale,$N1297)=0,"",INDEX(PCScale,$N1297)),"")</f>
        <v/>
      </c>
      <c r="G1297" s="19">
        <f>IF($N1297&lt;&gt;"",IF(INDEX(PCBaskets,$N1297)=0,"",INDEX(PCBaskets,$N1297)),"")</f>
        <v/>
      </c>
      <c r="H1297" s="20">
        <f>IF($N1297&lt;&gt;"",IF(INDEX(PCNet,$N1297)=0,"",INDEX(PCNet,$N1297)),"")</f>
        <v/>
      </c>
      <c r="I1297" s="19">
        <f>IF($N1297&lt;&gt;"",IF(INDEX(PCOp,$N1297)="مرجوعی خرید","",IF(INDEX(PCAmount,$N1297)&lt;=0,"",INDEX(PCAmount,$N1297))),IF($O1297&lt;&gt;"",IF(INDEX(TxnDepB,$O1297)=0,"",INDEX(TxnDepB,$O1297)),""))</f>
        <v/>
      </c>
      <c r="J1297" s="19">
        <f>IF($N1297&lt;&gt;"",IF(INDEX(PCOp,$N1297)="مرجوعی خرید",IF(INDEX(PCAmount,$N1297)=0,"",-INDEX(PCAmount,$N1297)),""),IF($O1297&lt;&gt;"",IF(INDEX(TxnWitB,$O1297)=0,"",INDEX(TxnWitB,$O1297)),""))</f>
        <v/>
      </c>
      <c r="K1297" s="21">
        <f>IF($B1297="","",IF($K1296="",$C$10,$K1296)+IF($I1297="",0,$I1297)-IF($J1297="",0,$J1297))</f>
        <v/>
      </c>
      <c r="L1297" s="22">
        <f>IF($N1297&lt;&gt;"",IF(INDEX(PCNotes,$N1297)="","—",INDEX(PCNotes,$N1297)),IF($O1297&lt;&gt;"",IF(INDEX(LdgNoteB,$O1297)="","—",INDEX(LdgNoteB,$O1297)),""))</f>
        <v/>
      </c>
      <c r="N1297">
        <f>IFERROR(MATCH($C$5&amp;"|"&amp;RIGHT("000000"&amp;1281,6),LdgRankKeyA,0),"")</f>
        <v/>
      </c>
      <c r="O1297">
        <f>IFERROR(MATCH($C$5&amp;"|"&amp;RIGHT("000000"&amp;1281,6),LdgRankKeyB,0),"")</f>
        <v/>
      </c>
    </row>
    <row r="1298">
      <c r="A1298" s="23" t="n">
        <v>1282</v>
      </c>
      <c r="B1298" s="24">
        <f>IF(AND($N1298="",$O1298=""),"",IF($N1298&lt;&gt;"",INDEX(PCNormDate,$N1298),INDEX(LdgDateB,$O1298)))</f>
        <v/>
      </c>
      <c r="C1298" s="24">
        <f>IF($N1298&lt;&gt;"",INDEX(PCOp,$N1298),IF($O1298&lt;&gt;"",IF(N(INDEX(TxnDepB,$O1298))&gt;0,"دریافت بانکی","پرداخت بانکی"),""))</f>
        <v/>
      </c>
      <c r="D1298" s="24">
        <f>IF($N1298&lt;&gt;"",IF(INDEX(PCDoc,$N1298)="","—",INDEX(PCDoc,$N1298)),IF($O1298&lt;&gt;"",INDEX(LdgBankB,$O1298),""))</f>
        <v/>
      </c>
      <c r="E1298" s="24">
        <f>IF($N1298&lt;&gt;"",IF(INDEX(PCCitrus,$N1298)="","—",INDEX(PCCitrus,$N1298)),"")</f>
        <v/>
      </c>
      <c r="F1298" s="25">
        <f>IF($N1298&lt;&gt;"",IF(INDEX(PCScale,$N1298)=0,"",INDEX(PCScale,$N1298)),"")</f>
        <v/>
      </c>
      <c r="G1298" s="25">
        <f>IF($N1298&lt;&gt;"",IF(INDEX(PCBaskets,$N1298)=0,"",INDEX(PCBaskets,$N1298)),"")</f>
        <v/>
      </c>
      <c r="H1298" s="26">
        <f>IF($N1298&lt;&gt;"",IF(INDEX(PCNet,$N1298)=0,"",INDEX(PCNet,$N1298)),"")</f>
        <v/>
      </c>
      <c r="I1298" s="25">
        <f>IF($N1298&lt;&gt;"",IF(INDEX(PCOp,$N1298)="مرجوعی خرید","",IF(INDEX(PCAmount,$N1298)&lt;=0,"",INDEX(PCAmount,$N1298))),IF($O1298&lt;&gt;"",IF(INDEX(TxnDepB,$O1298)=0,"",INDEX(TxnDepB,$O1298)),""))</f>
        <v/>
      </c>
      <c r="J1298" s="25">
        <f>IF($N1298&lt;&gt;"",IF(INDEX(PCOp,$N1298)="مرجوعی خرید",IF(INDEX(PCAmount,$N1298)=0,"",-INDEX(PCAmount,$N1298)),""),IF($O1298&lt;&gt;"",IF(INDEX(TxnWitB,$O1298)=0,"",INDEX(TxnWitB,$O1298)),""))</f>
        <v/>
      </c>
      <c r="K1298" s="27">
        <f>IF($B1298="","",IF($K1297="",$C$10,$K1297)+IF($I1298="",0,$I1298)-IF($J1298="",0,$J1298))</f>
        <v/>
      </c>
      <c r="L1298" s="28">
        <f>IF($N1298&lt;&gt;"",IF(INDEX(PCNotes,$N1298)="","—",INDEX(PCNotes,$N1298)),IF($O1298&lt;&gt;"",IF(INDEX(LdgNoteB,$O1298)="","—",INDEX(LdgNoteB,$O1298)),""))</f>
        <v/>
      </c>
      <c r="N1298">
        <f>IFERROR(MATCH($C$5&amp;"|"&amp;RIGHT("000000"&amp;1282,6),LdgRankKeyA,0),"")</f>
        <v/>
      </c>
      <c r="O1298">
        <f>IFERROR(MATCH($C$5&amp;"|"&amp;RIGHT("000000"&amp;1282,6),LdgRankKeyB,0),"")</f>
        <v/>
      </c>
    </row>
    <row r="1299">
      <c r="A1299" s="17" t="n">
        <v>1283</v>
      </c>
      <c r="B1299" s="18">
        <f>IF(AND($N1299="",$O1299=""),"",IF($N1299&lt;&gt;"",INDEX(PCNormDate,$N1299),INDEX(LdgDateB,$O1299)))</f>
        <v/>
      </c>
      <c r="C1299" s="18">
        <f>IF($N1299&lt;&gt;"",INDEX(PCOp,$N1299),IF($O1299&lt;&gt;"",IF(N(INDEX(TxnDepB,$O1299))&gt;0,"دریافت بانکی","پرداخت بانکی"),""))</f>
        <v/>
      </c>
      <c r="D1299" s="18">
        <f>IF($N1299&lt;&gt;"",IF(INDEX(PCDoc,$N1299)="","—",INDEX(PCDoc,$N1299)),IF($O1299&lt;&gt;"",INDEX(LdgBankB,$O1299),""))</f>
        <v/>
      </c>
      <c r="E1299" s="18">
        <f>IF($N1299&lt;&gt;"",IF(INDEX(PCCitrus,$N1299)="","—",INDEX(PCCitrus,$N1299)),"")</f>
        <v/>
      </c>
      <c r="F1299" s="19">
        <f>IF($N1299&lt;&gt;"",IF(INDEX(PCScale,$N1299)=0,"",INDEX(PCScale,$N1299)),"")</f>
        <v/>
      </c>
      <c r="G1299" s="19">
        <f>IF($N1299&lt;&gt;"",IF(INDEX(PCBaskets,$N1299)=0,"",INDEX(PCBaskets,$N1299)),"")</f>
        <v/>
      </c>
      <c r="H1299" s="20">
        <f>IF($N1299&lt;&gt;"",IF(INDEX(PCNet,$N1299)=0,"",INDEX(PCNet,$N1299)),"")</f>
        <v/>
      </c>
      <c r="I1299" s="19">
        <f>IF($N1299&lt;&gt;"",IF(INDEX(PCOp,$N1299)="مرجوعی خرید","",IF(INDEX(PCAmount,$N1299)&lt;=0,"",INDEX(PCAmount,$N1299))),IF($O1299&lt;&gt;"",IF(INDEX(TxnDepB,$O1299)=0,"",INDEX(TxnDepB,$O1299)),""))</f>
        <v/>
      </c>
      <c r="J1299" s="19">
        <f>IF($N1299&lt;&gt;"",IF(INDEX(PCOp,$N1299)="مرجوعی خرید",IF(INDEX(PCAmount,$N1299)=0,"",-INDEX(PCAmount,$N1299)),""),IF($O1299&lt;&gt;"",IF(INDEX(TxnWitB,$O1299)=0,"",INDEX(TxnWitB,$O1299)),""))</f>
        <v/>
      </c>
      <c r="K1299" s="21">
        <f>IF($B1299="","",IF($K1298="",$C$10,$K1298)+IF($I1299="",0,$I1299)-IF($J1299="",0,$J1299))</f>
        <v/>
      </c>
      <c r="L1299" s="22">
        <f>IF($N1299&lt;&gt;"",IF(INDEX(PCNotes,$N1299)="","—",INDEX(PCNotes,$N1299)),IF($O1299&lt;&gt;"",IF(INDEX(LdgNoteB,$O1299)="","—",INDEX(LdgNoteB,$O1299)),""))</f>
        <v/>
      </c>
      <c r="N1299">
        <f>IFERROR(MATCH($C$5&amp;"|"&amp;RIGHT("000000"&amp;1283,6),LdgRankKeyA,0),"")</f>
        <v/>
      </c>
      <c r="O1299">
        <f>IFERROR(MATCH($C$5&amp;"|"&amp;RIGHT("000000"&amp;1283,6),LdgRankKeyB,0),"")</f>
        <v/>
      </c>
    </row>
    <row r="1300">
      <c r="A1300" s="23" t="n">
        <v>1284</v>
      </c>
      <c r="B1300" s="24">
        <f>IF(AND($N1300="",$O1300=""),"",IF($N1300&lt;&gt;"",INDEX(PCNormDate,$N1300),INDEX(LdgDateB,$O1300)))</f>
        <v/>
      </c>
      <c r="C1300" s="24">
        <f>IF($N1300&lt;&gt;"",INDEX(PCOp,$N1300),IF($O1300&lt;&gt;"",IF(N(INDEX(TxnDepB,$O1300))&gt;0,"دریافت بانکی","پرداخت بانکی"),""))</f>
        <v/>
      </c>
      <c r="D1300" s="24">
        <f>IF($N1300&lt;&gt;"",IF(INDEX(PCDoc,$N1300)="","—",INDEX(PCDoc,$N1300)),IF($O1300&lt;&gt;"",INDEX(LdgBankB,$O1300),""))</f>
        <v/>
      </c>
      <c r="E1300" s="24">
        <f>IF($N1300&lt;&gt;"",IF(INDEX(PCCitrus,$N1300)="","—",INDEX(PCCitrus,$N1300)),"")</f>
        <v/>
      </c>
      <c r="F1300" s="25">
        <f>IF($N1300&lt;&gt;"",IF(INDEX(PCScale,$N1300)=0,"",INDEX(PCScale,$N1300)),"")</f>
        <v/>
      </c>
      <c r="G1300" s="25">
        <f>IF($N1300&lt;&gt;"",IF(INDEX(PCBaskets,$N1300)=0,"",INDEX(PCBaskets,$N1300)),"")</f>
        <v/>
      </c>
      <c r="H1300" s="26">
        <f>IF($N1300&lt;&gt;"",IF(INDEX(PCNet,$N1300)=0,"",INDEX(PCNet,$N1300)),"")</f>
        <v/>
      </c>
      <c r="I1300" s="25">
        <f>IF($N1300&lt;&gt;"",IF(INDEX(PCOp,$N1300)="مرجوعی خرید","",IF(INDEX(PCAmount,$N1300)&lt;=0,"",INDEX(PCAmount,$N1300))),IF($O1300&lt;&gt;"",IF(INDEX(TxnDepB,$O1300)=0,"",INDEX(TxnDepB,$O1300)),""))</f>
        <v/>
      </c>
      <c r="J1300" s="25">
        <f>IF($N1300&lt;&gt;"",IF(INDEX(PCOp,$N1300)="مرجوعی خرید",IF(INDEX(PCAmount,$N1300)=0,"",-INDEX(PCAmount,$N1300)),""),IF($O1300&lt;&gt;"",IF(INDEX(TxnWitB,$O1300)=0,"",INDEX(TxnWitB,$O1300)),""))</f>
        <v/>
      </c>
      <c r="K1300" s="27">
        <f>IF($B1300="","",IF($K1299="",$C$10,$K1299)+IF($I1300="",0,$I1300)-IF($J1300="",0,$J1300))</f>
        <v/>
      </c>
      <c r="L1300" s="28">
        <f>IF($N1300&lt;&gt;"",IF(INDEX(PCNotes,$N1300)="","—",INDEX(PCNotes,$N1300)),IF($O1300&lt;&gt;"",IF(INDEX(LdgNoteB,$O1300)="","—",INDEX(LdgNoteB,$O1300)),""))</f>
        <v/>
      </c>
      <c r="N1300">
        <f>IFERROR(MATCH($C$5&amp;"|"&amp;RIGHT("000000"&amp;1284,6),LdgRankKeyA,0),"")</f>
        <v/>
      </c>
      <c r="O1300">
        <f>IFERROR(MATCH($C$5&amp;"|"&amp;RIGHT("000000"&amp;1284,6),LdgRankKeyB,0),"")</f>
        <v/>
      </c>
    </row>
    <row r="1301">
      <c r="A1301" s="17" t="n">
        <v>1285</v>
      </c>
      <c r="B1301" s="18">
        <f>IF(AND($N1301="",$O1301=""),"",IF($N1301&lt;&gt;"",INDEX(PCNormDate,$N1301),INDEX(LdgDateB,$O1301)))</f>
        <v/>
      </c>
      <c r="C1301" s="18">
        <f>IF($N1301&lt;&gt;"",INDEX(PCOp,$N1301),IF($O1301&lt;&gt;"",IF(N(INDEX(TxnDepB,$O1301))&gt;0,"دریافت بانکی","پرداخت بانکی"),""))</f>
        <v/>
      </c>
      <c r="D1301" s="18">
        <f>IF($N1301&lt;&gt;"",IF(INDEX(PCDoc,$N1301)="","—",INDEX(PCDoc,$N1301)),IF($O1301&lt;&gt;"",INDEX(LdgBankB,$O1301),""))</f>
        <v/>
      </c>
      <c r="E1301" s="18">
        <f>IF($N1301&lt;&gt;"",IF(INDEX(PCCitrus,$N1301)="","—",INDEX(PCCitrus,$N1301)),"")</f>
        <v/>
      </c>
      <c r="F1301" s="19">
        <f>IF($N1301&lt;&gt;"",IF(INDEX(PCScale,$N1301)=0,"",INDEX(PCScale,$N1301)),"")</f>
        <v/>
      </c>
      <c r="G1301" s="19">
        <f>IF($N1301&lt;&gt;"",IF(INDEX(PCBaskets,$N1301)=0,"",INDEX(PCBaskets,$N1301)),"")</f>
        <v/>
      </c>
      <c r="H1301" s="20">
        <f>IF($N1301&lt;&gt;"",IF(INDEX(PCNet,$N1301)=0,"",INDEX(PCNet,$N1301)),"")</f>
        <v/>
      </c>
      <c r="I1301" s="19">
        <f>IF($N1301&lt;&gt;"",IF(INDEX(PCOp,$N1301)="مرجوعی خرید","",IF(INDEX(PCAmount,$N1301)&lt;=0,"",INDEX(PCAmount,$N1301))),IF($O1301&lt;&gt;"",IF(INDEX(TxnDepB,$O1301)=0,"",INDEX(TxnDepB,$O1301)),""))</f>
        <v/>
      </c>
      <c r="J1301" s="19">
        <f>IF($N1301&lt;&gt;"",IF(INDEX(PCOp,$N1301)="مرجوعی خرید",IF(INDEX(PCAmount,$N1301)=0,"",-INDEX(PCAmount,$N1301)),""),IF($O1301&lt;&gt;"",IF(INDEX(TxnWitB,$O1301)=0,"",INDEX(TxnWitB,$O1301)),""))</f>
        <v/>
      </c>
      <c r="K1301" s="21">
        <f>IF($B1301="","",IF($K1300="",$C$10,$K1300)+IF($I1301="",0,$I1301)-IF($J1301="",0,$J1301))</f>
        <v/>
      </c>
      <c r="L1301" s="22">
        <f>IF($N1301&lt;&gt;"",IF(INDEX(PCNotes,$N1301)="","—",INDEX(PCNotes,$N1301)),IF($O1301&lt;&gt;"",IF(INDEX(LdgNoteB,$O1301)="","—",INDEX(LdgNoteB,$O1301)),""))</f>
        <v/>
      </c>
      <c r="N1301">
        <f>IFERROR(MATCH($C$5&amp;"|"&amp;RIGHT("000000"&amp;1285,6),LdgRankKeyA,0),"")</f>
        <v/>
      </c>
      <c r="O1301">
        <f>IFERROR(MATCH($C$5&amp;"|"&amp;RIGHT("000000"&amp;1285,6),LdgRankKeyB,0),"")</f>
        <v/>
      </c>
    </row>
    <row r="1302">
      <c r="A1302" s="23" t="n">
        <v>1286</v>
      </c>
      <c r="B1302" s="24">
        <f>IF(AND($N1302="",$O1302=""),"",IF($N1302&lt;&gt;"",INDEX(PCNormDate,$N1302),INDEX(LdgDateB,$O1302)))</f>
        <v/>
      </c>
      <c r="C1302" s="24">
        <f>IF($N1302&lt;&gt;"",INDEX(PCOp,$N1302),IF($O1302&lt;&gt;"",IF(N(INDEX(TxnDepB,$O1302))&gt;0,"دریافت بانکی","پرداخت بانکی"),""))</f>
        <v/>
      </c>
      <c r="D1302" s="24">
        <f>IF($N1302&lt;&gt;"",IF(INDEX(PCDoc,$N1302)="","—",INDEX(PCDoc,$N1302)),IF($O1302&lt;&gt;"",INDEX(LdgBankB,$O1302),""))</f>
        <v/>
      </c>
      <c r="E1302" s="24">
        <f>IF($N1302&lt;&gt;"",IF(INDEX(PCCitrus,$N1302)="","—",INDEX(PCCitrus,$N1302)),"")</f>
        <v/>
      </c>
      <c r="F1302" s="25">
        <f>IF($N1302&lt;&gt;"",IF(INDEX(PCScale,$N1302)=0,"",INDEX(PCScale,$N1302)),"")</f>
        <v/>
      </c>
      <c r="G1302" s="25">
        <f>IF($N1302&lt;&gt;"",IF(INDEX(PCBaskets,$N1302)=0,"",INDEX(PCBaskets,$N1302)),"")</f>
        <v/>
      </c>
      <c r="H1302" s="26">
        <f>IF($N1302&lt;&gt;"",IF(INDEX(PCNet,$N1302)=0,"",INDEX(PCNet,$N1302)),"")</f>
        <v/>
      </c>
      <c r="I1302" s="25">
        <f>IF($N1302&lt;&gt;"",IF(INDEX(PCOp,$N1302)="مرجوعی خرید","",IF(INDEX(PCAmount,$N1302)&lt;=0,"",INDEX(PCAmount,$N1302))),IF($O1302&lt;&gt;"",IF(INDEX(TxnDepB,$O1302)=0,"",INDEX(TxnDepB,$O1302)),""))</f>
        <v/>
      </c>
      <c r="J1302" s="25">
        <f>IF($N1302&lt;&gt;"",IF(INDEX(PCOp,$N1302)="مرجوعی خرید",IF(INDEX(PCAmount,$N1302)=0,"",-INDEX(PCAmount,$N1302)),""),IF($O1302&lt;&gt;"",IF(INDEX(TxnWitB,$O1302)=0,"",INDEX(TxnWitB,$O1302)),""))</f>
        <v/>
      </c>
      <c r="K1302" s="27">
        <f>IF($B1302="","",IF($K1301="",$C$10,$K1301)+IF($I1302="",0,$I1302)-IF($J1302="",0,$J1302))</f>
        <v/>
      </c>
      <c r="L1302" s="28">
        <f>IF($N1302&lt;&gt;"",IF(INDEX(PCNotes,$N1302)="","—",INDEX(PCNotes,$N1302)),IF($O1302&lt;&gt;"",IF(INDEX(LdgNoteB,$O1302)="","—",INDEX(LdgNoteB,$O1302)),""))</f>
        <v/>
      </c>
      <c r="N1302">
        <f>IFERROR(MATCH($C$5&amp;"|"&amp;RIGHT("000000"&amp;1286,6),LdgRankKeyA,0),"")</f>
        <v/>
      </c>
      <c r="O1302">
        <f>IFERROR(MATCH($C$5&amp;"|"&amp;RIGHT("000000"&amp;1286,6),LdgRankKeyB,0),"")</f>
        <v/>
      </c>
    </row>
    <row r="1303">
      <c r="A1303" s="17" t="n">
        <v>1287</v>
      </c>
      <c r="B1303" s="18">
        <f>IF(AND($N1303="",$O1303=""),"",IF($N1303&lt;&gt;"",INDEX(PCNormDate,$N1303),INDEX(LdgDateB,$O1303)))</f>
        <v/>
      </c>
      <c r="C1303" s="18">
        <f>IF($N1303&lt;&gt;"",INDEX(PCOp,$N1303),IF($O1303&lt;&gt;"",IF(N(INDEX(TxnDepB,$O1303))&gt;0,"دریافت بانکی","پرداخت بانکی"),""))</f>
        <v/>
      </c>
      <c r="D1303" s="18">
        <f>IF($N1303&lt;&gt;"",IF(INDEX(PCDoc,$N1303)="","—",INDEX(PCDoc,$N1303)),IF($O1303&lt;&gt;"",INDEX(LdgBankB,$O1303),""))</f>
        <v/>
      </c>
      <c r="E1303" s="18">
        <f>IF($N1303&lt;&gt;"",IF(INDEX(PCCitrus,$N1303)="","—",INDEX(PCCitrus,$N1303)),"")</f>
        <v/>
      </c>
      <c r="F1303" s="19">
        <f>IF($N1303&lt;&gt;"",IF(INDEX(PCScale,$N1303)=0,"",INDEX(PCScale,$N1303)),"")</f>
        <v/>
      </c>
      <c r="G1303" s="19">
        <f>IF($N1303&lt;&gt;"",IF(INDEX(PCBaskets,$N1303)=0,"",INDEX(PCBaskets,$N1303)),"")</f>
        <v/>
      </c>
      <c r="H1303" s="20">
        <f>IF($N1303&lt;&gt;"",IF(INDEX(PCNet,$N1303)=0,"",INDEX(PCNet,$N1303)),"")</f>
        <v/>
      </c>
      <c r="I1303" s="19">
        <f>IF($N1303&lt;&gt;"",IF(INDEX(PCOp,$N1303)="مرجوعی خرید","",IF(INDEX(PCAmount,$N1303)&lt;=0,"",INDEX(PCAmount,$N1303))),IF($O1303&lt;&gt;"",IF(INDEX(TxnDepB,$O1303)=0,"",INDEX(TxnDepB,$O1303)),""))</f>
        <v/>
      </c>
      <c r="J1303" s="19">
        <f>IF($N1303&lt;&gt;"",IF(INDEX(PCOp,$N1303)="مرجوعی خرید",IF(INDEX(PCAmount,$N1303)=0,"",-INDEX(PCAmount,$N1303)),""),IF($O1303&lt;&gt;"",IF(INDEX(TxnWitB,$O1303)=0,"",INDEX(TxnWitB,$O1303)),""))</f>
        <v/>
      </c>
      <c r="K1303" s="21">
        <f>IF($B1303="","",IF($K1302="",$C$10,$K1302)+IF($I1303="",0,$I1303)-IF($J1303="",0,$J1303))</f>
        <v/>
      </c>
      <c r="L1303" s="22">
        <f>IF($N1303&lt;&gt;"",IF(INDEX(PCNotes,$N1303)="","—",INDEX(PCNotes,$N1303)),IF($O1303&lt;&gt;"",IF(INDEX(LdgNoteB,$O1303)="","—",INDEX(LdgNoteB,$O1303)),""))</f>
        <v/>
      </c>
      <c r="N1303">
        <f>IFERROR(MATCH($C$5&amp;"|"&amp;RIGHT("000000"&amp;1287,6),LdgRankKeyA,0),"")</f>
        <v/>
      </c>
      <c r="O1303">
        <f>IFERROR(MATCH($C$5&amp;"|"&amp;RIGHT("000000"&amp;1287,6),LdgRankKeyB,0),"")</f>
        <v/>
      </c>
    </row>
    <row r="1304">
      <c r="A1304" s="23" t="n">
        <v>1288</v>
      </c>
      <c r="B1304" s="24">
        <f>IF(AND($N1304="",$O1304=""),"",IF($N1304&lt;&gt;"",INDEX(PCNormDate,$N1304),INDEX(LdgDateB,$O1304)))</f>
        <v/>
      </c>
      <c r="C1304" s="24">
        <f>IF($N1304&lt;&gt;"",INDEX(PCOp,$N1304),IF($O1304&lt;&gt;"",IF(N(INDEX(TxnDepB,$O1304))&gt;0,"دریافت بانکی","پرداخت بانکی"),""))</f>
        <v/>
      </c>
      <c r="D1304" s="24">
        <f>IF($N1304&lt;&gt;"",IF(INDEX(PCDoc,$N1304)="","—",INDEX(PCDoc,$N1304)),IF($O1304&lt;&gt;"",INDEX(LdgBankB,$O1304),""))</f>
        <v/>
      </c>
      <c r="E1304" s="24">
        <f>IF($N1304&lt;&gt;"",IF(INDEX(PCCitrus,$N1304)="","—",INDEX(PCCitrus,$N1304)),"")</f>
        <v/>
      </c>
      <c r="F1304" s="25">
        <f>IF($N1304&lt;&gt;"",IF(INDEX(PCScale,$N1304)=0,"",INDEX(PCScale,$N1304)),"")</f>
        <v/>
      </c>
      <c r="G1304" s="25">
        <f>IF($N1304&lt;&gt;"",IF(INDEX(PCBaskets,$N1304)=0,"",INDEX(PCBaskets,$N1304)),"")</f>
        <v/>
      </c>
      <c r="H1304" s="26">
        <f>IF($N1304&lt;&gt;"",IF(INDEX(PCNet,$N1304)=0,"",INDEX(PCNet,$N1304)),"")</f>
        <v/>
      </c>
      <c r="I1304" s="25">
        <f>IF($N1304&lt;&gt;"",IF(INDEX(PCOp,$N1304)="مرجوعی خرید","",IF(INDEX(PCAmount,$N1304)&lt;=0,"",INDEX(PCAmount,$N1304))),IF($O1304&lt;&gt;"",IF(INDEX(TxnDepB,$O1304)=0,"",INDEX(TxnDepB,$O1304)),""))</f>
        <v/>
      </c>
      <c r="J1304" s="25">
        <f>IF($N1304&lt;&gt;"",IF(INDEX(PCOp,$N1304)="مرجوعی خرید",IF(INDEX(PCAmount,$N1304)=0,"",-INDEX(PCAmount,$N1304)),""),IF($O1304&lt;&gt;"",IF(INDEX(TxnWitB,$O1304)=0,"",INDEX(TxnWitB,$O1304)),""))</f>
        <v/>
      </c>
      <c r="K1304" s="27">
        <f>IF($B1304="","",IF($K1303="",$C$10,$K1303)+IF($I1304="",0,$I1304)-IF($J1304="",0,$J1304))</f>
        <v/>
      </c>
      <c r="L1304" s="28">
        <f>IF($N1304&lt;&gt;"",IF(INDEX(PCNotes,$N1304)="","—",INDEX(PCNotes,$N1304)),IF($O1304&lt;&gt;"",IF(INDEX(LdgNoteB,$O1304)="","—",INDEX(LdgNoteB,$O1304)),""))</f>
        <v/>
      </c>
      <c r="N1304">
        <f>IFERROR(MATCH($C$5&amp;"|"&amp;RIGHT("000000"&amp;1288,6),LdgRankKeyA,0),"")</f>
        <v/>
      </c>
      <c r="O1304">
        <f>IFERROR(MATCH($C$5&amp;"|"&amp;RIGHT("000000"&amp;1288,6),LdgRankKeyB,0),"")</f>
        <v/>
      </c>
    </row>
    <row r="1305">
      <c r="A1305" s="17" t="n">
        <v>1289</v>
      </c>
      <c r="B1305" s="18">
        <f>IF(AND($N1305="",$O1305=""),"",IF($N1305&lt;&gt;"",INDEX(PCNormDate,$N1305),INDEX(LdgDateB,$O1305)))</f>
        <v/>
      </c>
      <c r="C1305" s="18">
        <f>IF($N1305&lt;&gt;"",INDEX(PCOp,$N1305),IF($O1305&lt;&gt;"",IF(N(INDEX(TxnDepB,$O1305))&gt;0,"دریافت بانکی","پرداخت بانکی"),""))</f>
        <v/>
      </c>
      <c r="D1305" s="18">
        <f>IF($N1305&lt;&gt;"",IF(INDEX(PCDoc,$N1305)="","—",INDEX(PCDoc,$N1305)),IF($O1305&lt;&gt;"",INDEX(LdgBankB,$O1305),""))</f>
        <v/>
      </c>
      <c r="E1305" s="18">
        <f>IF($N1305&lt;&gt;"",IF(INDEX(PCCitrus,$N1305)="","—",INDEX(PCCitrus,$N1305)),"")</f>
        <v/>
      </c>
      <c r="F1305" s="19">
        <f>IF($N1305&lt;&gt;"",IF(INDEX(PCScale,$N1305)=0,"",INDEX(PCScale,$N1305)),"")</f>
        <v/>
      </c>
      <c r="G1305" s="19">
        <f>IF($N1305&lt;&gt;"",IF(INDEX(PCBaskets,$N1305)=0,"",INDEX(PCBaskets,$N1305)),"")</f>
        <v/>
      </c>
      <c r="H1305" s="20">
        <f>IF($N1305&lt;&gt;"",IF(INDEX(PCNet,$N1305)=0,"",INDEX(PCNet,$N1305)),"")</f>
        <v/>
      </c>
      <c r="I1305" s="19">
        <f>IF($N1305&lt;&gt;"",IF(INDEX(PCOp,$N1305)="مرجوعی خرید","",IF(INDEX(PCAmount,$N1305)&lt;=0,"",INDEX(PCAmount,$N1305))),IF($O1305&lt;&gt;"",IF(INDEX(TxnDepB,$O1305)=0,"",INDEX(TxnDepB,$O1305)),""))</f>
        <v/>
      </c>
      <c r="J1305" s="19">
        <f>IF($N1305&lt;&gt;"",IF(INDEX(PCOp,$N1305)="مرجوعی خرید",IF(INDEX(PCAmount,$N1305)=0,"",-INDEX(PCAmount,$N1305)),""),IF($O1305&lt;&gt;"",IF(INDEX(TxnWitB,$O1305)=0,"",INDEX(TxnWitB,$O1305)),""))</f>
        <v/>
      </c>
      <c r="K1305" s="21">
        <f>IF($B1305="","",IF($K1304="",$C$10,$K1304)+IF($I1305="",0,$I1305)-IF($J1305="",0,$J1305))</f>
        <v/>
      </c>
      <c r="L1305" s="22">
        <f>IF($N1305&lt;&gt;"",IF(INDEX(PCNotes,$N1305)="","—",INDEX(PCNotes,$N1305)),IF($O1305&lt;&gt;"",IF(INDEX(LdgNoteB,$O1305)="","—",INDEX(LdgNoteB,$O1305)),""))</f>
        <v/>
      </c>
      <c r="N1305">
        <f>IFERROR(MATCH($C$5&amp;"|"&amp;RIGHT("000000"&amp;1289,6),LdgRankKeyA,0),"")</f>
        <v/>
      </c>
      <c r="O1305">
        <f>IFERROR(MATCH($C$5&amp;"|"&amp;RIGHT("000000"&amp;1289,6),LdgRankKeyB,0),"")</f>
        <v/>
      </c>
    </row>
    <row r="1306">
      <c r="A1306" s="23" t="n">
        <v>1290</v>
      </c>
      <c r="B1306" s="24">
        <f>IF(AND($N1306="",$O1306=""),"",IF($N1306&lt;&gt;"",INDEX(PCNormDate,$N1306),INDEX(LdgDateB,$O1306)))</f>
        <v/>
      </c>
      <c r="C1306" s="24">
        <f>IF($N1306&lt;&gt;"",INDEX(PCOp,$N1306),IF($O1306&lt;&gt;"",IF(N(INDEX(TxnDepB,$O1306))&gt;0,"دریافت بانکی","پرداخت بانکی"),""))</f>
        <v/>
      </c>
      <c r="D1306" s="24">
        <f>IF($N1306&lt;&gt;"",IF(INDEX(PCDoc,$N1306)="","—",INDEX(PCDoc,$N1306)),IF($O1306&lt;&gt;"",INDEX(LdgBankB,$O1306),""))</f>
        <v/>
      </c>
      <c r="E1306" s="24">
        <f>IF($N1306&lt;&gt;"",IF(INDEX(PCCitrus,$N1306)="","—",INDEX(PCCitrus,$N1306)),"")</f>
        <v/>
      </c>
      <c r="F1306" s="25">
        <f>IF($N1306&lt;&gt;"",IF(INDEX(PCScale,$N1306)=0,"",INDEX(PCScale,$N1306)),"")</f>
        <v/>
      </c>
      <c r="G1306" s="25">
        <f>IF($N1306&lt;&gt;"",IF(INDEX(PCBaskets,$N1306)=0,"",INDEX(PCBaskets,$N1306)),"")</f>
        <v/>
      </c>
      <c r="H1306" s="26">
        <f>IF($N1306&lt;&gt;"",IF(INDEX(PCNet,$N1306)=0,"",INDEX(PCNet,$N1306)),"")</f>
        <v/>
      </c>
      <c r="I1306" s="25">
        <f>IF($N1306&lt;&gt;"",IF(INDEX(PCOp,$N1306)="مرجوعی خرید","",IF(INDEX(PCAmount,$N1306)&lt;=0,"",INDEX(PCAmount,$N1306))),IF($O1306&lt;&gt;"",IF(INDEX(TxnDepB,$O1306)=0,"",INDEX(TxnDepB,$O1306)),""))</f>
        <v/>
      </c>
      <c r="J1306" s="25">
        <f>IF($N1306&lt;&gt;"",IF(INDEX(PCOp,$N1306)="مرجوعی خرید",IF(INDEX(PCAmount,$N1306)=0,"",-INDEX(PCAmount,$N1306)),""),IF($O1306&lt;&gt;"",IF(INDEX(TxnWitB,$O1306)=0,"",INDEX(TxnWitB,$O1306)),""))</f>
        <v/>
      </c>
      <c r="K1306" s="27">
        <f>IF($B1306="","",IF($K1305="",$C$10,$K1305)+IF($I1306="",0,$I1306)-IF($J1306="",0,$J1306))</f>
        <v/>
      </c>
      <c r="L1306" s="28">
        <f>IF($N1306&lt;&gt;"",IF(INDEX(PCNotes,$N1306)="","—",INDEX(PCNotes,$N1306)),IF($O1306&lt;&gt;"",IF(INDEX(LdgNoteB,$O1306)="","—",INDEX(LdgNoteB,$O1306)),""))</f>
        <v/>
      </c>
      <c r="N1306">
        <f>IFERROR(MATCH($C$5&amp;"|"&amp;RIGHT("000000"&amp;1290,6),LdgRankKeyA,0),"")</f>
        <v/>
      </c>
      <c r="O1306">
        <f>IFERROR(MATCH($C$5&amp;"|"&amp;RIGHT("000000"&amp;1290,6),LdgRankKeyB,0),"")</f>
        <v/>
      </c>
    </row>
    <row r="1307">
      <c r="A1307" s="17" t="n">
        <v>1291</v>
      </c>
      <c r="B1307" s="18">
        <f>IF(AND($N1307="",$O1307=""),"",IF($N1307&lt;&gt;"",INDEX(PCNormDate,$N1307),INDEX(LdgDateB,$O1307)))</f>
        <v/>
      </c>
      <c r="C1307" s="18">
        <f>IF($N1307&lt;&gt;"",INDEX(PCOp,$N1307),IF($O1307&lt;&gt;"",IF(N(INDEX(TxnDepB,$O1307))&gt;0,"دریافت بانکی","پرداخت بانکی"),""))</f>
        <v/>
      </c>
      <c r="D1307" s="18">
        <f>IF($N1307&lt;&gt;"",IF(INDEX(PCDoc,$N1307)="","—",INDEX(PCDoc,$N1307)),IF($O1307&lt;&gt;"",INDEX(LdgBankB,$O1307),""))</f>
        <v/>
      </c>
      <c r="E1307" s="18">
        <f>IF($N1307&lt;&gt;"",IF(INDEX(PCCitrus,$N1307)="","—",INDEX(PCCitrus,$N1307)),"")</f>
        <v/>
      </c>
      <c r="F1307" s="19">
        <f>IF($N1307&lt;&gt;"",IF(INDEX(PCScale,$N1307)=0,"",INDEX(PCScale,$N1307)),"")</f>
        <v/>
      </c>
      <c r="G1307" s="19">
        <f>IF($N1307&lt;&gt;"",IF(INDEX(PCBaskets,$N1307)=0,"",INDEX(PCBaskets,$N1307)),"")</f>
        <v/>
      </c>
      <c r="H1307" s="20">
        <f>IF($N1307&lt;&gt;"",IF(INDEX(PCNet,$N1307)=0,"",INDEX(PCNet,$N1307)),"")</f>
        <v/>
      </c>
      <c r="I1307" s="19">
        <f>IF($N1307&lt;&gt;"",IF(INDEX(PCOp,$N1307)="مرجوعی خرید","",IF(INDEX(PCAmount,$N1307)&lt;=0,"",INDEX(PCAmount,$N1307))),IF($O1307&lt;&gt;"",IF(INDEX(TxnDepB,$O1307)=0,"",INDEX(TxnDepB,$O1307)),""))</f>
        <v/>
      </c>
      <c r="J1307" s="19">
        <f>IF($N1307&lt;&gt;"",IF(INDEX(PCOp,$N1307)="مرجوعی خرید",IF(INDEX(PCAmount,$N1307)=0,"",-INDEX(PCAmount,$N1307)),""),IF($O1307&lt;&gt;"",IF(INDEX(TxnWitB,$O1307)=0,"",INDEX(TxnWitB,$O1307)),""))</f>
        <v/>
      </c>
      <c r="K1307" s="21">
        <f>IF($B1307="","",IF($K1306="",$C$10,$K1306)+IF($I1307="",0,$I1307)-IF($J1307="",0,$J1307))</f>
        <v/>
      </c>
      <c r="L1307" s="22">
        <f>IF($N1307&lt;&gt;"",IF(INDEX(PCNotes,$N1307)="","—",INDEX(PCNotes,$N1307)),IF($O1307&lt;&gt;"",IF(INDEX(LdgNoteB,$O1307)="","—",INDEX(LdgNoteB,$O1307)),""))</f>
        <v/>
      </c>
      <c r="N1307">
        <f>IFERROR(MATCH($C$5&amp;"|"&amp;RIGHT("000000"&amp;1291,6),LdgRankKeyA,0),"")</f>
        <v/>
      </c>
      <c r="O1307">
        <f>IFERROR(MATCH($C$5&amp;"|"&amp;RIGHT("000000"&amp;1291,6),LdgRankKeyB,0),"")</f>
        <v/>
      </c>
    </row>
    <row r="1308">
      <c r="A1308" s="23" t="n">
        <v>1292</v>
      </c>
      <c r="B1308" s="24">
        <f>IF(AND($N1308="",$O1308=""),"",IF($N1308&lt;&gt;"",INDEX(PCNormDate,$N1308),INDEX(LdgDateB,$O1308)))</f>
        <v/>
      </c>
      <c r="C1308" s="24">
        <f>IF($N1308&lt;&gt;"",INDEX(PCOp,$N1308),IF($O1308&lt;&gt;"",IF(N(INDEX(TxnDepB,$O1308))&gt;0,"دریافت بانکی","پرداخت بانکی"),""))</f>
        <v/>
      </c>
      <c r="D1308" s="24">
        <f>IF($N1308&lt;&gt;"",IF(INDEX(PCDoc,$N1308)="","—",INDEX(PCDoc,$N1308)),IF($O1308&lt;&gt;"",INDEX(LdgBankB,$O1308),""))</f>
        <v/>
      </c>
      <c r="E1308" s="24">
        <f>IF($N1308&lt;&gt;"",IF(INDEX(PCCitrus,$N1308)="","—",INDEX(PCCitrus,$N1308)),"")</f>
        <v/>
      </c>
      <c r="F1308" s="25">
        <f>IF($N1308&lt;&gt;"",IF(INDEX(PCScale,$N1308)=0,"",INDEX(PCScale,$N1308)),"")</f>
        <v/>
      </c>
      <c r="G1308" s="25">
        <f>IF($N1308&lt;&gt;"",IF(INDEX(PCBaskets,$N1308)=0,"",INDEX(PCBaskets,$N1308)),"")</f>
        <v/>
      </c>
      <c r="H1308" s="26">
        <f>IF($N1308&lt;&gt;"",IF(INDEX(PCNet,$N1308)=0,"",INDEX(PCNet,$N1308)),"")</f>
        <v/>
      </c>
      <c r="I1308" s="25">
        <f>IF($N1308&lt;&gt;"",IF(INDEX(PCOp,$N1308)="مرجوعی خرید","",IF(INDEX(PCAmount,$N1308)&lt;=0,"",INDEX(PCAmount,$N1308))),IF($O1308&lt;&gt;"",IF(INDEX(TxnDepB,$O1308)=0,"",INDEX(TxnDepB,$O1308)),""))</f>
        <v/>
      </c>
      <c r="J1308" s="25">
        <f>IF($N1308&lt;&gt;"",IF(INDEX(PCOp,$N1308)="مرجوعی خرید",IF(INDEX(PCAmount,$N1308)=0,"",-INDEX(PCAmount,$N1308)),""),IF($O1308&lt;&gt;"",IF(INDEX(TxnWitB,$O1308)=0,"",INDEX(TxnWitB,$O1308)),""))</f>
        <v/>
      </c>
      <c r="K1308" s="27">
        <f>IF($B1308="","",IF($K1307="",$C$10,$K1307)+IF($I1308="",0,$I1308)-IF($J1308="",0,$J1308))</f>
        <v/>
      </c>
      <c r="L1308" s="28">
        <f>IF($N1308&lt;&gt;"",IF(INDEX(PCNotes,$N1308)="","—",INDEX(PCNotes,$N1308)),IF($O1308&lt;&gt;"",IF(INDEX(LdgNoteB,$O1308)="","—",INDEX(LdgNoteB,$O1308)),""))</f>
        <v/>
      </c>
      <c r="N1308">
        <f>IFERROR(MATCH($C$5&amp;"|"&amp;RIGHT("000000"&amp;1292,6),LdgRankKeyA,0),"")</f>
        <v/>
      </c>
      <c r="O1308">
        <f>IFERROR(MATCH($C$5&amp;"|"&amp;RIGHT("000000"&amp;1292,6),LdgRankKeyB,0),"")</f>
        <v/>
      </c>
    </row>
    <row r="1309">
      <c r="A1309" s="17" t="n">
        <v>1293</v>
      </c>
      <c r="B1309" s="18">
        <f>IF(AND($N1309="",$O1309=""),"",IF($N1309&lt;&gt;"",INDEX(PCNormDate,$N1309),INDEX(LdgDateB,$O1309)))</f>
        <v/>
      </c>
      <c r="C1309" s="18">
        <f>IF($N1309&lt;&gt;"",INDEX(PCOp,$N1309),IF($O1309&lt;&gt;"",IF(N(INDEX(TxnDepB,$O1309))&gt;0,"دریافت بانکی","پرداخت بانکی"),""))</f>
        <v/>
      </c>
      <c r="D1309" s="18">
        <f>IF($N1309&lt;&gt;"",IF(INDEX(PCDoc,$N1309)="","—",INDEX(PCDoc,$N1309)),IF($O1309&lt;&gt;"",INDEX(LdgBankB,$O1309),""))</f>
        <v/>
      </c>
      <c r="E1309" s="18">
        <f>IF($N1309&lt;&gt;"",IF(INDEX(PCCitrus,$N1309)="","—",INDEX(PCCitrus,$N1309)),"")</f>
        <v/>
      </c>
      <c r="F1309" s="19">
        <f>IF($N1309&lt;&gt;"",IF(INDEX(PCScale,$N1309)=0,"",INDEX(PCScale,$N1309)),"")</f>
        <v/>
      </c>
      <c r="G1309" s="19">
        <f>IF($N1309&lt;&gt;"",IF(INDEX(PCBaskets,$N1309)=0,"",INDEX(PCBaskets,$N1309)),"")</f>
        <v/>
      </c>
      <c r="H1309" s="20">
        <f>IF($N1309&lt;&gt;"",IF(INDEX(PCNet,$N1309)=0,"",INDEX(PCNet,$N1309)),"")</f>
        <v/>
      </c>
      <c r="I1309" s="19">
        <f>IF($N1309&lt;&gt;"",IF(INDEX(PCOp,$N1309)="مرجوعی خرید","",IF(INDEX(PCAmount,$N1309)&lt;=0,"",INDEX(PCAmount,$N1309))),IF($O1309&lt;&gt;"",IF(INDEX(TxnDepB,$O1309)=0,"",INDEX(TxnDepB,$O1309)),""))</f>
        <v/>
      </c>
      <c r="J1309" s="19">
        <f>IF($N1309&lt;&gt;"",IF(INDEX(PCOp,$N1309)="مرجوعی خرید",IF(INDEX(PCAmount,$N1309)=0,"",-INDEX(PCAmount,$N1309)),""),IF($O1309&lt;&gt;"",IF(INDEX(TxnWitB,$O1309)=0,"",INDEX(TxnWitB,$O1309)),""))</f>
        <v/>
      </c>
      <c r="K1309" s="21">
        <f>IF($B1309="","",IF($K1308="",$C$10,$K1308)+IF($I1309="",0,$I1309)-IF($J1309="",0,$J1309))</f>
        <v/>
      </c>
      <c r="L1309" s="22">
        <f>IF($N1309&lt;&gt;"",IF(INDEX(PCNotes,$N1309)="","—",INDEX(PCNotes,$N1309)),IF($O1309&lt;&gt;"",IF(INDEX(LdgNoteB,$O1309)="","—",INDEX(LdgNoteB,$O1309)),""))</f>
        <v/>
      </c>
      <c r="N1309">
        <f>IFERROR(MATCH($C$5&amp;"|"&amp;RIGHT("000000"&amp;1293,6),LdgRankKeyA,0),"")</f>
        <v/>
      </c>
      <c r="O1309">
        <f>IFERROR(MATCH($C$5&amp;"|"&amp;RIGHT("000000"&amp;1293,6),LdgRankKeyB,0),"")</f>
        <v/>
      </c>
    </row>
    <row r="1310">
      <c r="A1310" s="23" t="n">
        <v>1294</v>
      </c>
      <c r="B1310" s="24">
        <f>IF(AND($N1310="",$O1310=""),"",IF($N1310&lt;&gt;"",INDEX(PCNormDate,$N1310),INDEX(LdgDateB,$O1310)))</f>
        <v/>
      </c>
      <c r="C1310" s="24">
        <f>IF($N1310&lt;&gt;"",INDEX(PCOp,$N1310),IF($O1310&lt;&gt;"",IF(N(INDEX(TxnDepB,$O1310))&gt;0,"دریافت بانکی","پرداخت بانکی"),""))</f>
        <v/>
      </c>
      <c r="D1310" s="24">
        <f>IF($N1310&lt;&gt;"",IF(INDEX(PCDoc,$N1310)="","—",INDEX(PCDoc,$N1310)),IF($O1310&lt;&gt;"",INDEX(LdgBankB,$O1310),""))</f>
        <v/>
      </c>
      <c r="E1310" s="24">
        <f>IF($N1310&lt;&gt;"",IF(INDEX(PCCitrus,$N1310)="","—",INDEX(PCCitrus,$N1310)),"")</f>
        <v/>
      </c>
      <c r="F1310" s="25">
        <f>IF($N1310&lt;&gt;"",IF(INDEX(PCScale,$N1310)=0,"",INDEX(PCScale,$N1310)),"")</f>
        <v/>
      </c>
      <c r="G1310" s="25">
        <f>IF($N1310&lt;&gt;"",IF(INDEX(PCBaskets,$N1310)=0,"",INDEX(PCBaskets,$N1310)),"")</f>
        <v/>
      </c>
      <c r="H1310" s="26">
        <f>IF($N1310&lt;&gt;"",IF(INDEX(PCNet,$N1310)=0,"",INDEX(PCNet,$N1310)),"")</f>
        <v/>
      </c>
      <c r="I1310" s="25">
        <f>IF($N1310&lt;&gt;"",IF(INDEX(PCOp,$N1310)="مرجوعی خرید","",IF(INDEX(PCAmount,$N1310)&lt;=0,"",INDEX(PCAmount,$N1310))),IF($O1310&lt;&gt;"",IF(INDEX(TxnDepB,$O1310)=0,"",INDEX(TxnDepB,$O1310)),""))</f>
        <v/>
      </c>
      <c r="J1310" s="25">
        <f>IF($N1310&lt;&gt;"",IF(INDEX(PCOp,$N1310)="مرجوعی خرید",IF(INDEX(PCAmount,$N1310)=0,"",-INDEX(PCAmount,$N1310)),""),IF($O1310&lt;&gt;"",IF(INDEX(TxnWitB,$O1310)=0,"",INDEX(TxnWitB,$O1310)),""))</f>
        <v/>
      </c>
      <c r="K1310" s="27">
        <f>IF($B1310="","",IF($K1309="",$C$10,$K1309)+IF($I1310="",0,$I1310)-IF($J1310="",0,$J1310))</f>
        <v/>
      </c>
      <c r="L1310" s="28">
        <f>IF($N1310&lt;&gt;"",IF(INDEX(PCNotes,$N1310)="","—",INDEX(PCNotes,$N1310)),IF($O1310&lt;&gt;"",IF(INDEX(LdgNoteB,$O1310)="","—",INDEX(LdgNoteB,$O1310)),""))</f>
        <v/>
      </c>
      <c r="N1310">
        <f>IFERROR(MATCH($C$5&amp;"|"&amp;RIGHT("000000"&amp;1294,6),LdgRankKeyA,0),"")</f>
        <v/>
      </c>
      <c r="O1310">
        <f>IFERROR(MATCH($C$5&amp;"|"&amp;RIGHT("000000"&amp;1294,6),LdgRankKeyB,0),"")</f>
        <v/>
      </c>
    </row>
    <row r="1311">
      <c r="A1311" s="17" t="n">
        <v>1295</v>
      </c>
      <c r="B1311" s="18">
        <f>IF(AND($N1311="",$O1311=""),"",IF($N1311&lt;&gt;"",INDEX(PCNormDate,$N1311),INDEX(LdgDateB,$O1311)))</f>
        <v/>
      </c>
      <c r="C1311" s="18">
        <f>IF($N1311&lt;&gt;"",INDEX(PCOp,$N1311),IF($O1311&lt;&gt;"",IF(N(INDEX(TxnDepB,$O1311))&gt;0,"دریافت بانکی","پرداخت بانکی"),""))</f>
        <v/>
      </c>
      <c r="D1311" s="18">
        <f>IF($N1311&lt;&gt;"",IF(INDEX(PCDoc,$N1311)="","—",INDEX(PCDoc,$N1311)),IF($O1311&lt;&gt;"",INDEX(LdgBankB,$O1311),""))</f>
        <v/>
      </c>
      <c r="E1311" s="18">
        <f>IF($N1311&lt;&gt;"",IF(INDEX(PCCitrus,$N1311)="","—",INDEX(PCCitrus,$N1311)),"")</f>
        <v/>
      </c>
      <c r="F1311" s="19">
        <f>IF($N1311&lt;&gt;"",IF(INDEX(PCScale,$N1311)=0,"",INDEX(PCScale,$N1311)),"")</f>
        <v/>
      </c>
      <c r="G1311" s="19">
        <f>IF($N1311&lt;&gt;"",IF(INDEX(PCBaskets,$N1311)=0,"",INDEX(PCBaskets,$N1311)),"")</f>
        <v/>
      </c>
      <c r="H1311" s="20">
        <f>IF($N1311&lt;&gt;"",IF(INDEX(PCNet,$N1311)=0,"",INDEX(PCNet,$N1311)),"")</f>
        <v/>
      </c>
      <c r="I1311" s="19">
        <f>IF($N1311&lt;&gt;"",IF(INDEX(PCOp,$N1311)="مرجوعی خرید","",IF(INDEX(PCAmount,$N1311)&lt;=0,"",INDEX(PCAmount,$N1311))),IF($O1311&lt;&gt;"",IF(INDEX(TxnDepB,$O1311)=0,"",INDEX(TxnDepB,$O1311)),""))</f>
        <v/>
      </c>
      <c r="J1311" s="19">
        <f>IF($N1311&lt;&gt;"",IF(INDEX(PCOp,$N1311)="مرجوعی خرید",IF(INDEX(PCAmount,$N1311)=0,"",-INDEX(PCAmount,$N1311)),""),IF($O1311&lt;&gt;"",IF(INDEX(TxnWitB,$O1311)=0,"",INDEX(TxnWitB,$O1311)),""))</f>
        <v/>
      </c>
      <c r="K1311" s="21">
        <f>IF($B1311="","",IF($K1310="",$C$10,$K1310)+IF($I1311="",0,$I1311)-IF($J1311="",0,$J1311))</f>
        <v/>
      </c>
      <c r="L1311" s="22">
        <f>IF($N1311&lt;&gt;"",IF(INDEX(PCNotes,$N1311)="","—",INDEX(PCNotes,$N1311)),IF($O1311&lt;&gt;"",IF(INDEX(LdgNoteB,$O1311)="","—",INDEX(LdgNoteB,$O1311)),""))</f>
        <v/>
      </c>
      <c r="N1311">
        <f>IFERROR(MATCH($C$5&amp;"|"&amp;RIGHT("000000"&amp;1295,6),LdgRankKeyA,0),"")</f>
        <v/>
      </c>
      <c r="O1311">
        <f>IFERROR(MATCH($C$5&amp;"|"&amp;RIGHT("000000"&amp;1295,6),LdgRankKeyB,0),"")</f>
        <v/>
      </c>
    </row>
    <row r="1312">
      <c r="A1312" s="23" t="n">
        <v>1296</v>
      </c>
      <c r="B1312" s="24">
        <f>IF(AND($N1312="",$O1312=""),"",IF($N1312&lt;&gt;"",INDEX(PCNormDate,$N1312),INDEX(LdgDateB,$O1312)))</f>
        <v/>
      </c>
      <c r="C1312" s="24">
        <f>IF($N1312&lt;&gt;"",INDEX(PCOp,$N1312),IF($O1312&lt;&gt;"",IF(N(INDEX(TxnDepB,$O1312))&gt;0,"دریافت بانکی","پرداخت بانکی"),""))</f>
        <v/>
      </c>
      <c r="D1312" s="24">
        <f>IF($N1312&lt;&gt;"",IF(INDEX(PCDoc,$N1312)="","—",INDEX(PCDoc,$N1312)),IF($O1312&lt;&gt;"",INDEX(LdgBankB,$O1312),""))</f>
        <v/>
      </c>
      <c r="E1312" s="24">
        <f>IF($N1312&lt;&gt;"",IF(INDEX(PCCitrus,$N1312)="","—",INDEX(PCCitrus,$N1312)),"")</f>
        <v/>
      </c>
      <c r="F1312" s="25">
        <f>IF($N1312&lt;&gt;"",IF(INDEX(PCScale,$N1312)=0,"",INDEX(PCScale,$N1312)),"")</f>
        <v/>
      </c>
      <c r="G1312" s="25">
        <f>IF($N1312&lt;&gt;"",IF(INDEX(PCBaskets,$N1312)=0,"",INDEX(PCBaskets,$N1312)),"")</f>
        <v/>
      </c>
      <c r="H1312" s="26">
        <f>IF($N1312&lt;&gt;"",IF(INDEX(PCNet,$N1312)=0,"",INDEX(PCNet,$N1312)),"")</f>
        <v/>
      </c>
      <c r="I1312" s="25">
        <f>IF($N1312&lt;&gt;"",IF(INDEX(PCOp,$N1312)="مرجوعی خرید","",IF(INDEX(PCAmount,$N1312)&lt;=0,"",INDEX(PCAmount,$N1312))),IF($O1312&lt;&gt;"",IF(INDEX(TxnDepB,$O1312)=0,"",INDEX(TxnDepB,$O1312)),""))</f>
        <v/>
      </c>
      <c r="J1312" s="25">
        <f>IF($N1312&lt;&gt;"",IF(INDEX(PCOp,$N1312)="مرجوعی خرید",IF(INDEX(PCAmount,$N1312)=0,"",-INDEX(PCAmount,$N1312)),""),IF($O1312&lt;&gt;"",IF(INDEX(TxnWitB,$O1312)=0,"",INDEX(TxnWitB,$O1312)),""))</f>
        <v/>
      </c>
      <c r="K1312" s="27">
        <f>IF($B1312="","",IF($K1311="",$C$10,$K1311)+IF($I1312="",0,$I1312)-IF($J1312="",0,$J1312))</f>
        <v/>
      </c>
      <c r="L1312" s="28">
        <f>IF($N1312&lt;&gt;"",IF(INDEX(PCNotes,$N1312)="","—",INDEX(PCNotes,$N1312)),IF($O1312&lt;&gt;"",IF(INDEX(LdgNoteB,$O1312)="","—",INDEX(LdgNoteB,$O1312)),""))</f>
        <v/>
      </c>
      <c r="N1312">
        <f>IFERROR(MATCH($C$5&amp;"|"&amp;RIGHT("000000"&amp;1296,6),LdgRankKeyA,0),"")</f>
        <v/>
      </c>
      <c r="O1312">
        <f>IFERROR(MATCH($C$5&amp;"|"&amp;RIGHT("000000"&amp;1296,6),LdgRankKeyB,0),"")</f>
        <v/>
      </c>
    </row>
    <row r="1313">
      <c r="A1313" s="17" t="n">
        <v>1297</v>
      </c>
      <c r="B1313" s="18">
        <f>IF(AND($N1313="",$O1313=""),"",IF($N1313&lt;&gt;"",INDEX(PCNormDate,$N1313),INDEX(LdgDateB,$O1313)))</f>
        <v/>
      </c>
      <c r="C1313" s="18">
        <f>IF($N1313&lt;&gt;"",INDEX(PCOp,$N1313),IF($O1313&lt;&gt;"",IF(N(INDEX(TxnDepB,$O1313))&gt;0,"دریافت بانکی","پرداخت بانکی"),""))</f>
        <v/>
      </c>
      <c r="D1313" s="18">
        <f>IF($N1313&lt;&gt;"",IF(INDEX(PCDoc,$N1313)="","—",INDEX(PCDoc,$N1313)),IF($O1313&lt;&gt;"",INDEX(LdgBankB,$O1313),""))</f>
        <v/>
      </c>
      <c r="E1313" s="18">
        <f>IF($N1313&lt;&gt;"",IF(INDEX(PCCitrus,$N1313)="","—",INDEX(PCCitrus,$N1313)),"")</f>
        <v/>
      </c>
      <c r="F1313" s="19">
        <f>IF($N1313&lt;&gt;"",IF(INDEX(PCScale,$N1313)=0,"",INDEX(PCScale,$N1313)),"")</f>
        <v/>
      </c>
      <c r="G1313" s="19">
        <f>IF($N1313&lt;&gt;"",IF(INDEX(PCBaskets,$N1313)=0,"",INDEX(PCBaskets,$N1313)),"")</f>
        <v/>
      </c>
      <c r="H1313" s="20">
        <f>IF($N1313&lt;&gt;"",IF(INDEX(PCNet,$N1313)=0,"",INDEX(PCNet,$N1313)),"")</f>
        <v/>
      </c>
      <c r="I1313" s="19">
        <f>IF($N1313&lt;&gt;"",IF(INDEX(PCOp,$N1313)="مرجوعی خرید","",IF(INDEX(PCAmount,$N1313)&lt;=0,"",INDEX(PCAmount,$N1313))),IF($O1313&lt;&gt;"",IF(INDEX(TxnDepB,$O1313)=0,"",INDEX(TxnDepB,$O1313)),""))</f>
        <v/>
      </c>
      <c r="J1313" s="19">
        <f>IF($N1313&lt;&gt;"",IF(INDEX(PCOp,$N1313)="مرجوعی خرید",IF(INDEX(PCAmount,$N1313)=0,"",-INDEX(PCAmount,$N1313)),""),IF($O1313&lt;&gt;"",IF(INDEX(TxnWitB,$O1313)=0,"",INDEX(TxnWitB,$O1313)),""))</f>
        <v/>
      </c>
      <c r="K1313" s="21">
        <f>IF($B1313="","",IF($K1312="",$C$10,$K1312)+IF($I1313="",0,$I1313)-IF($J1313="",0,$J1313))</f>
        <v/>
      </c>
      <c r="L1313" s="22">
        <f>IF($N1313&lt;&gt;"",IF(INDEX(PCNotes,$N1313)="","—",INDEX(PCNotes,$N1313)),IF($O1313&lt;&gt;"",IF(INDEX(LdgNoteB,$O1313)="","—",INDEX(LdgNoteB,$O1313)),""))</f>
        <v/>
      </c>
      <c r="N1313">
        <f>IFERROR(MATCH($C$5&amp;"|"&amp;RIGHT("000000"&amp;1297,6),LdgRankKeyA,0),"")</f>
        <v/>
      </c>
      <c r="O1313">
        <f>IFERROR(MATCH($C$5&amp;"|"&amp;RIGHT("000000"&amp;1297,6),LdgRankKeyB,0),"")</f>
        <v/>
      </c>
    </row>
    <row r="1314">
      <c r="A1314" s="23" t="n">
        <v>1298</v>
      </c>
      <c r="B1314" s="24">
        <f>IF(AND($N1314="",$O1314=""),"",IF($N1314&lt;&gt;"",INDEX(PCNormDate,$N1314),INDEX(LdgDateB,$O1314)))</f>
        <v/>
      </c>
      <c r="C1314" s="24">
        <f>IF($N1314&lt;&gt;"",INDEX(PCOp,$N1314),IF($O1314&lt;&gt;"",IF(N(INDEX(TxnDepB,$O1314))&gt;0,"دریافت بانکی","پرداخت بانکی"),""))</f>
        <v/>
      </c>
      <c r="D1314" s="24">
        <f>IF($N1314&lt;&gt;"",IF(INDEX(PCDoc,$N1314)="","—",INDEX(PCDoc,$N1314)),IF($O1314&lt;&gt;"",INDEX(LdgBankB,$O1314),""))</f>
        <v/>
      </c>
      <c r="E1314" s="24">
        <f>IF($N1314&lt;&gt;"",IF(INDEX(PCCitrus,$N1314)="","—",INDEX(PCCitrus,$N1314)),"")</f>
        <v/>
      </c>
      <c r="F1314" s="25">
        <f>IF($N1314&lt;&gt;"",IF(INDEX(PCScale,$N1314)=0,"",INDEX(PCScale,$N1314)),"")</f>
        <v/>
      </c>
      <c r="G1314" s="25">
        <f>IF($N1314&lt;&gt;"",IF(INDEX(PCBaskets,$N1314)=0,"",INDEX(PCBaskets,$N1314)),"")</f>
        <v/>
      </c>
      <c r="H1314" s="26">
        <f>IF($N1314&lt;&gt;"",IF(INDEX(PCNet,$N1314)=0,"",INDEX(PCNet,$N1314)),"")</f>
        <v/>
      </c>
      <c r="I1314" s="25">
        <f>IF($N1314&lt;&gt;"",IF(INDEX(PCOp,$N1314)="مرجوعی خرید","",IF(INDEX(PCAmount,$N1314)&lt;=0,"",INDEX(PCAmount,$N1314))),IF($O1314&lt;&gt;"",IF(INDEX(TxnDepB,$O1314)=0,"",INDEX(TxnDepB,$O1314)),""))</f>
        <v/>
      </c>
      <c r="J1314" s="25">
        <f>IF($N1314&lt;&gt;"",IF(INDEX(PCOp,$N1314)="مرجوعی خرید",IF(INDEX(PCAmount,$N1314)=0,"",-INDEX(PCAmount,$N1314)),""),IF($O1314&lt;&gt;"",IF(INDEX(TxnWitB,$O1314)=0,"",INDEX(TxnWitB,$O1314)),""))</f>
        <v/>
      </c>
      <c r="K1314" s="27">
        <f>IF($B1314="","",IF($K1313="",$C$10,$K1313)+IF($I1314="",0,$I1314)-IF($J1314="",0,$J1314))</f>
        <v/>
      </c>
      <c r="L1314" s="28">
        <f>IF($N1314&lt;&gt;"",IF(INDEX(PCNotes,$N1314)="","—",INDEX(PCNotes,$N1314)),IF($O1314&lt;&gt;"",IF(INDEX(LdgNoteB,$O1314)="","—",INDEX(LdgNoteB,$O1314)),""))</f>
        <v/>
      </c>
      <c r="N1314">
        <f>IFERROR(MATCH($C$5&amp;"|"&amp;RIGHT("000000"&amp;1298,6),LdgRankKeyA,0),"")</f>
        <v/>
      </c>
      <c r="O1314">
        <f>IFERROR(MATCH($C$5&amp;"|"&amp;RIGHT("000000"&amp;1298,6),LdgRankKeyB,0),"")</f>
        <v/>
      </c>
    </row>
    <row r="1315">
      <c r="A1315" s="17" t="n">
        <v>1299</v>
      </c>
      <c r="B1315" s="18">
        <f>IF(AND($N1315="",$O1315=""),"",IF($N1315&lt;&gt;"",INDEX(PCNormDate,$N1315),INDEX(LdgDateB,$O1315)))</f>
        <v/>
      </c>
      <c r="C1315" s="18">
        <f>IF($N1315&lt;&gt;"",INDEX(PCOp,$N1315),IF($O1315&lt;&gt;"",IF(N(INDEX(TxnDepB,$O1315))&gt;0,"دریافت بانکی","پرداخت بانکی"),""))</f>
        <v/>
      </c>
      <c r="D1315" s="18">
        <f>IF($N1315&lt;&gt;"",IF(INDEX(PCDoc,$N1315)="","—",INDEX(PCDoc,$N1315)),IF($O1315&lt;&gt;"",INDEX(LdgBankB,$O1315),""))</f>
        <v/>
      </c>
      <c r="E1315" s="18">
        <f>IF($N1315&lt;&gt;"",IF(INDEX(PCCitrus,$N1315)="","—",INDEX(PCCitrus,$N1315)),"")</f>
        <v/>
      </c>
      <c r="F1315" s="19">
        <f>IF($N1315&lt;&gt;"",IF(INDEX(PCScale,$N1315)=0,"",INDEX(PCScale,$N1315)),"")</f>
        <v/>
      </c>
      <c r="G1315" s="19">
        <f>IF($N1315&lt;&gt;"",IF(INDEX(PCBaskets,$N1315)=0,"",INDEX(PCBaskets,$N1315)),"")</f>
        <v/>
      </c>
      <c r="H1315" s="20">
        <f>IF($N1315&lt;&gt;"",IF(INDEX(PCNet,$N1315)=0,"",INDEX(PCNet,$N1315)),"")</f>
        <v/>
      </c>
      <c r="I1315" s="19">
        <f>IF($N1315&lt;&gt;"",IF(INDEX(PCOp,$N1315)="مرجوعی خرید","",IF(INDEX(PCAmount,$N1315)&lt;=0,"",INDEX(PCAmount,$N1315))),IF($O1315&lt;&gt;"",IF(INDEX(TxnDepB,$O1315)=0,"",INDEX(TxnDepB,$O1315)),""))</f>
        <v/>
      </c>
      <c r="J1315" s="19">
        <f>IF($N1315&lt;&gt;"",IF(INDEX(PCOp,$N1315)="مرجوعی خرید",IF(INDEX(PCAmount,$N1315)=0,"",-INDEX(PCAmount,$N1315)),""),IF($O1315&lt;&gt;"",IF(INDEX(TxnWitB,$O1315)=0,"",INDEX(TxnWitB,$O1315)),""))</f>
        <v/>
      </c>
      <c r="K1315" s="21">
        <f>IF($B1315="","",IF($K1314="",$C$10,$K1314)+IF($I1315="",0,$I1315)-IF($J1315="",0,$J1315))</f>
        <v/>
      </c>
      <c r="L1315" s="22">
        <f>IF($N1315&lt;&gt;"",IF(INDEX(PCNotes,$N1315)="","—",INDEX(PCNotes,$N1315)),IF($O1315&lt;&gt;"",IF(INDEX(LdgNoteB,$O1315)="","—",INDEX(LdgNoteB,$O1315)),""))</f>
        <v/>
      </c>
      <c r="N1315">
        <f>IFERROR(MATCH($C$5&amp;"|"&amp;RIGHT("000000"&amp;1299,6),LdgRankKeyA,0),"")</f>
        <v/>
      </c>
      <c r="O1315">
        <f>IFERROR(MATCH($C$5&amp;"|"&amp;RIGHT("000000"&amp;1299,6),LdgRankKeyB,0),"")</f>
        <v/>
      </c>
    </row>
    <row r="1316">
      <c r="A1316" s="23" t="n">
        <v>1300</v>
      </c>
      <c r="B1316" s="24">
        <f>IF(AND($N1316="",$O1316=""),"",IF($N1316&lt;&gt;"",INDEX(PCNormDate,$N1316),INDEX(LdgDateB,$O1316)))</f>
        <v/>
      </c>
      <c r="C1316" s="24">
        <f>IF($N1316&lt;&gt;"",INDEX(PCOp,$N1316),IF($O1316&lt;&gt;"",IF(N(INDEX(TxnDepB,$O1316))&gt;0,"دریافت بانکی","پرداخت بانکی"),""))</f>
        <v/>
      </c>
      <c r="D1316" s="24">
        <f>IF($N1316&lt;&gt;"",IF(INDEX(PCDoc,$N1316)="","—",INDEX(PCDoc,$N1316)),IF($O1316&lt;&gt;"",INDEX(LdgBankB,$O1316),""))</f>
        <v/>
      </c>
      <c r="E1316" s="24">
        <f>IF($N1316&lt;&gt;"",IF(INDEX(PCCitrus,$N1316)="","—",INDEX(PCCitrus,$N1316)),"")</f>
        <v/>
      </c>
      <c r="F1316" s="25">
        <f>IF($N1316&lt;&gt;"",IF(INDEX(PCScale,$N1316)=0,"",INDEX(PCScale,$N1316)),"")</f>
        <v/>
      </c>
      <c r="G1316" s="25">
        <f>IF($N1316&lt;&gt;"",IF(INDEX(PCBaskets,$N1316)=0,"",INDEX(PCBaskets,$N1316)),"")</f>
        <v/>
      </c>
      <c r="H1316" s="26">
        <f>IF($N1316&lt;&gt;"",IF(INDEX(PCNet,$N1316)=0,"",INDEX(PCNet,$N1316)),"")</f>
        <v/>
      </c>
      <c r="I1316" s="25">
        <f>IF($N1316&lt;&gt;"",IF(INDEX(PCOp,$N1316)="مرجوعی خرید","",IF(INDEX(PCAmount,$N1316)&lt;=0,"",INDEX(PCAmount,$N1316))),IF($O1316&lt;&gt;"",IF(INDEX(TxnDepB,$O1316)=0,"",INDEX(TxnDepB,$O1316)),""))</f>
        <v/>
      </c>
      <c r="J1316" s="25">
        <f>IF($N1316&lt;&gt;"",IF(INDEX(PCOp,$N1316)="مرجوعی خرید",IF(INDEX(PCAmount,$N1316)=0,"",-INDEX(PCAmount,$N1316)),""),IF($O1316&lt;&gt;"",IF(INDEX(TxnWitB,$O1316)=0,"",INDEX(TxnWitB,$O1316)),""))</f>
        <v/>
      </c>
      <c r="K1316" s="27">
        <f>IF($B1316="","",IF($K1315="",$C$10,$K1315)+IF($I1316="",0,$I1316)-IF($J1316="",0,$J1316))</f>
        <v/>
      </c>
      <c r="L1316" s="28">
        <f>IF($N1316&lt;&gt;"",IF(INDEX(PCNotes,$N1316)="","—",INDEX(PCNotes,$N1316)),IF($O1316&lt;&gt;"",IF(INDEX(LdgNoteB,$O1316)="","—",INDEX(LdgNoteB,$O1316)),""))</f>
        <v/>
      </c>
      <c r="N1316">
        <f>IFERROR(MATCH($C$5&amp;"|"&amp;RIGHT("000000"&amp;1300,6),LdgRankKeyA,0),"")</f>
        <v/>
      </c>
      <c r="O1316">
        <f>IFERROR(MATCH($C$5&amp;"|"&amp;RIGHT("000000"&amp;1300,6),LdgRankKeyB,0),"")</f>
        <v/>
      </c>
    </row>
    <row r="1317">
      <c r="A1317" s="17" t="n">
        <v>1301</v>
      </c>
      <c r="B1317" s="18">
        <f>IF(AND($N1317="",$O1317=""),"",IF($N1317&lt;&gt;"",INDEX(PCNormDate,$N1317),INDEX(LdgDateB,$O1317)))</f>
        <v/>
      </c>
      <c r="C1317" s="18">
        <f>IF($N1317&lt;&gt;"",INDEX(PCOp,$N1317),IF($O1317&lt;&gt;"",IF(N(INDEX(TxnDepB,$O1317))&gt;0,"دریافت بانکی","پرداخت بانکی"),""))</f>
        <v/>
      </c>
      <c r="D1317" s="18">
        <f>IF($N1317&lt;&gt;"",IF(INDEX(PCDoc,$N1317)="","—",INDEX(PCDoc,$N1317)),IF($O1317&lt;&gt;"",INDEX(LdgBankB,$O1317),""))</f>
        <v/>
      </c>
      <c r="E1317" s="18">
        <f>IF($N1317&lt;&gt;"",IF(INDEX(PCCitrus,$N1317)="","—",INDEX(PCCitrus,$N1317)),"")</f>
        <v/>
      </c>
      <c r="F1317" s="19">
        <f>IF($N1317&lt;&gt;"",IF(INDEX(PCScale,$N1317)=0,"",INDEX(PCScale,$N1317)),"")</f>
        <v/>
      </c>
      <c r="G1317" s="19">
        <f>IF($N1317&lt;&gt;"",IF(INDEX(PCBaskets,$N1317)=0,"",INDEX(PCBaskets,$N1317)),"")</f>
        <v/>
      </c>
      <c r="H1317" s="20">
        <f>IF($N1317&lt;&gt;"",IF(INDEX(PCNet,$N1317)=0,"",INDEX(PCNet,$N1317)),"")</f>
        <v/>
      </c>
      <c r="I1317" s="19">
        <f>IF($N1317&lt;&gt;"",IF(INDEX(PCOp,$N1317)="مرجوعی خرید","",IF(INDEX(PCAmount,$N1317)&lt;=0,"",INDEX(PCAmount,$N1317))),IF($O1317&lt;&gt;"",IF(INDEX(TxnDepB,$O1317)=0,"",INDEX(TxnDepB,$O1317)),""))</f>
        <v/>
      </c>
      <c r="J1317" s="19">
        <f>IF($N1317&lt;&gt;"",IF(INDEX(PCOp,$N1317)="مرجوعی خرید",IF(INDEX(PCAmount,$N1317)=0,"",-INDEX(PCAmount,$N1317)),""),IF($O1317&lt;&gt;"",IF(INDEX(TxnWitB,$O1317)=0,"",INDEX(TxnWitB,$O1317)),""))</f>
        <v/>
      </c>
      <c r="K1317" s="21">
        <f>IF($B1317="","",IF($K1316="",$C$10,$K1316)+IF($I1317="",0,$I1317)-IF($J1317="",0,$J1317))</f>
        <v/>
      </c>
      <c r="L1317" s="22">
        <f>IF($N1317&lt;&gt;"",IF(INDEX(PCNotes,$N1317)="","—",INDEX(PCNotes,$N1317)),IF($O1317&lt;&gt;"",IF(INDEX(LdgNoteB,$O1317)="","—",INDEX(LdgNoteB,$O1317)),""))</f>
        <v/>
      </c>
      <c r="N1317">
        <f>IFERROR(MATCH($C$5&amp;"|"&amp;RIGHT("000000"&amp;1301,6),LdgRankKeyA,0),"")</f>
        <v/>
      </c>
      <c r="O1317">
        <f>IFERROR(MATCH($C$5&amp;"|"&amp;RIGHT("000000"&amp;1301,6),LdgRankKeyB,0),"")</f>
        <v/>
      </c>
    </row>
    <row r="1318">
      <c r="A1318" s="23" t="n">
        <v>1302</v>
      </c>
      <c r="B1318" s="24">
        <f>IF(AND($N1318="",$O1318=""),"",IF($N1318&lt;&gt;"",INDEX(PCNormDate,$N1318),INDEX(LdgDateB,$O1318)))</f>
        <v/>
      </c>
      <c r="C1318" s="24">
        <f>IF($N1318&lt;&gt;"",INDEX(PCOp,$N1318),IF($O1318&lt;&gt;"",IF(N(INDEX(TxnDepB,$O1318))&gt;0,"دریافت بانکی","پرداخت بانکی"),""))</f>
        <v/>
      </c>
      <c r="D1318" s="24">
        <f>IF($N1318&lt;&gt;"",IF(INDEX(PCDoc,$N1318)="","—",INDEX(PCDoc,$N1318)),IF($O1318&lt;&gt;"",INDEX(LdgBankB,$O1318),""))</f>
        <v/>
      </c>
      <c r="E1318" s="24">
        <f>IF($N1318&lt;&gt;"",IF(INDEX(PCCitrus,$N1318)="","—",INDEX(PCCitrus,$N1318)),"")</f>
        <v/>
      </c>
      <c r="F1318" s="25">
        <f>IF($N1318&lt;&gt;"",IF(INDEX(PCScale,$N1318)=0,"",INDEX(PCScale,$N1318)),"")</f>
        <v/>
      </c>
      <c r="G1318" s="25">
        <f>IF($N1318&lt;&gt;"",IF(INDEX(PCBaskets,$N1318)=0,"",INDEX(PCBaskets,$N1318)),"")</f>
        <v/>
      </c>
      <c r="H1318" s="26">
        <f>IF($N1318&lt;&gt;"",IF(INDEX(PCNet,$N1318)=0,"",INDEX(PCNet,$N1318)),"")</f>
        <v/>
      </c>
      <c r="I1318" s="25">
        <f>IF($N1318&lt;&gt;"",IF(INDEX(PCOp,$N1318)="مرجوعی خرید","",IF(INDEX(PCAmount,$N1318)&lt;=0,"",INDEX(PCAmount,$N1318))),IF($O1318&lt;&gt;"",IF(INDEX(TxnDepB,$O1318)=0,"",INDEX(TxnDepB,$O1318)),""))</f>
        <v/>
      </c>
      <c r="J1318" s="25">
        <f>IF($N1318&lt;&gt;"",IF(INDEX(PCOp,$N1318)="مرجوعی خرید",IF(INDEX(PCAmount,$N1318)=0,"",-INDEX(PCAmount,$N1318)),""),IF($O1318&lt;&gt;"",IF(INDEX(TxnWitB,$O1318)=0,"",INDEX(TxnWitB,$O1318)),""))</f>
        <v/>
      </c>
      <c r="K1318" s="27">
        <f>IF($B1318="","",IF($K1317="",$C$10,$K1317)+IF($I1318="",0,$I1318)-IF($J1318="",0,$J1318))</f>
        <v/>
      </c>
      <c r="L1318" s="28">
        <f>IF($N1318&lt;&gt;"",IF(INDEX(PCNotes,$N1318)="","—",INDEX(PCNotes,$N1318)),IF($O1318&lt;&gt;"",IF(INDEX(LdgNoteB,$O1318)="","—",INDEX(LdgNoteB,$O1318)),""))</f>
        <v/>
      </c>
      <c r="N1318">
        <f>IFERROR(MATCH($C$5&amp;"|"&amp;RIGHT("000000"&amp;1302,6),LdgRankKeyA,0),"")</f>
        <v/>
      </c>
      <c r="O1318">
        <f>IFERROR(MATCH($C$5&amp;"|"&amp;RIGHT("000000"&amp;1302,6),LdgRankKeyB,0),"")</f>
        <v/>
      </c>
    </row>
    <row r="1319">
      <c r="A1319" s="17" t="n">
        <v>1303</v>
      </c>
      <c r="B1319" s="18">
        <f>IF(AND($N1319="",$O1319=""),"",IF($N1319&lt;&gt;"",INDEX(PCNormDate,$N1319),INDEX(LdgDateB,$O1319)))</f>
        <v/>
      </c>
      <c r="C1319" s="18">
        <f>IF($N1319&lt;&gt;"",INDEX(PCOp,$N1319),IF($O1319&lt;&gt;"",IF(N(INDEX(TxnDepB,$O1319))&gt;0,"دریافت بانکی","پرداخت بانکی"),""))</f>
        <v/>
      </c>
      <c r="D1319" s="18">
        <f>IF($N1319&lt;&gt;"",IF(INDEX(PCDoc,$N1319)="","—",INDEX(PCDoc,$N1319)),IF($O1319&lt;&gt;"",INDEX(LdgBankB,$O1319),""))</f>
        <v/>
      </c>
      <c r="E1319" s="18">
        <f>IF($N1319&lt;&gt;"",IF(INDEX(PCCitrus,$N1319)="","—",INDEX(PCCitrus,$N1319)),"")</f>
        <v/>
      </c>
      <c r="F1319" s="19">
        <f>IF($N1319&lt;&gt;"",IF(INDEX(PCScale,$N1319)=0,"",INDEX(PCScale,$N1319)),"")</f>
        <v/>
      </c>
      <c r="G1319" s="19">
        <f>IF($N1319&lt;&gt;"",IF(INDEX(PCBaskets,$N1319)=0,"",INDEX(PCBaskets,$N1319)),"")</f>
        <v/>
      </c>
      <c r="H1319" s="20">
        <f>IF($N1319&lt;&gt;"",IF(INDEX(PCNet,$N1319)=0,"",INDEX(PCNet,$N1319)),"")</f>
        <v/>
      </c>
      <c r="I1319" s="19">
        <f>IF($N1319&lt;&gt;"",IF(INDEX(PCOp,$N1319)="مرجوعی خرید","",IF(INDEX(PCAmount,$N1319)&lt;=0,"",INDEX(PCAmount,$N1319))),IF($O1319&lt;&gt;"",IF(INDEX(TxnDepB,$O1319)=0,"",INDEX(TxnDepB,$O1319)),""))</f>
        <v/>
      </c>
      <c r="J1319" s="19">
        <f>IF($N1319&lt;&gt;"",IF(INDEX(PCOp,$N1319)="مرجوعی خرید",IF(INDEX(PCAmount,$N1319)=0,"",-INDEX(PCAmount,$N1319)),""),IF($O1319&lt;&gt;"",IF(INDEX(TxnWitB,$O1319)=0,"",INDEX(TxnWitB,$O1319)),""))</f>
        <v/>
      </c>
      <c r="K1319" s="21">
        <f>IF($B1319="","",IF($K1318="",$C$10,$K1318)+IF($I1319="",0,$I1319)-IF($J1319="",0,$J1319))</f>
        <v/>
      </c>
      <c r="L1319" s="22">
        <f>IF($N1319&lt;&gt;"",IF(INDEX(PCNotes,$N1319)="","—",INDEX(PCNotes,$N1319)),IF($O1319&lt;&gt;"",IF(INDEX(LdgNoteB,$O1319)="","—",INDEX(LdgNoteB,$O1319)),""))</f>
        <v/>
      </c>
      <c r="N1319">
        <f>IFERROR(MATCH($C$5&amp;"|"&amp;RIGHT("000000"&amp;1303,6),LdgRankKeyA,0),"")</f>
        <v/>
      </c>
      <c r="O1319">
        <f>IFERROR(MATCH($C$5&amp;"|"&amp;RIGHT("000000"&amp;1303,6),LdgRankKeyB,0),"")</f>
        <v/>
      </c>
    </row>
    <row r="1320">
      <c r="A1320" s="23" t="n">
        <v>1304</v>
      </c>
      <c r="B1320" s="24">
        <f>IF(AND($N1320="",$O1320=""),"",IF($N1320&lt;&gt;"",INDEX(PCNormDate,$N1320),INDEX(LdgDateB,$O1320)))</f>
        <v/>
      </c>
      <c r="C1320" s="24">
        <f>IF($N1320&lt;&gt;"",INDEX(PCOp,$N1320),IF($O1320&lt;&gt;"",IF(N(INDEX(TxnDepB,$O1320))&gt;0,"دریافت بانکی","پرداخت بانکی"),""))</f>
        <v/>
      </c>
      <c r="D1320" s="24">
        <f>IF($N1320&lt;&gt;"",IF(INDEX(PCDoc,$N1320)="","—",INDEX(PCDoc,$N1320)),IF($O1320&lt;&gt;"",INDEX(LdgBankB,$O1320),""))</f>
        <v/>
      </c>
      <c r="E1320" s="24">
        <f>IF($N1320&lt;&gt;"",IF(INDEX(PCCitrus,$N1320)="","—",INDEX(PCCitrus,$N1320)),"")</f>
        <v/>
      </c>
      <c r="F1320" s="25">
        <f>IF($N1320&lt;&gt;"",IF(INDEX(PCScale,$N1320)=0,"",INDEX(PCScale,$N1320)),"")</f>
        <v/>
      </c>
      <c r="G1320" s="25">
        <f>IF($N1320&lt;&gt;"",IF(INDEX(PCBaskets,$N1320)=0,"",INDEX(PCBaskets,$N1320)),"")</f>
        <v/>
      </c>
      <c r="H1320" s="26">
        <f>IF($N1320&lt;&gt;"",IF(INDEX(PCNet,$N1320)=0,"",INDEX(PCNet,$N1320)),"")</f>
        <v/>
      </c>
      <c r="I1320" s="25">
        <f>IF($N1320&lt;&gt;"",IF(INDEX(PCOp,$N1320)="مرجوعی خرید","",IF(INDEX(PCAmount,$N1320)&lt;=0,"",INDEX(PCAmount,$N1320))),IF($O1320&lt;&gt;"",IF(INDEX(TxnDepB,$O1320)=0,"",INDEX(TxnDepB,$O1320)),""))</f>
        <v/>
      </c>
      <c r="J1320" s="25">
        <f>IF($N1320&lt;&gt;"",IF(INDEX(PCOp,$N1320)="مرجوعی خرید",IF(INDEX(PCAmount,$N1320)=0,"",-INDEX(PCAmount,$N1320)),""),IF($O1320&lt;&gt;"",IF(INDEX(TxnWitB,$O1320)=0,"",INDEX(TxnWitB,$O1320)),""))</f>
        <v/>
      </c>
      <c r="K1320" s="27">
        <f>IF($B1320="","",IF($K1319="",$C$10,$K1319)+IF($I1320="",0,$I1320)-IF($J1320="",0,$J1320))</f>
        <v/>
      </c>
      <c r="L1320" s="28">
        <f>IF($N1320&lt;&gt;"",IF(INDEX(PCNotes,$N1320)="","—",INDEX(PCNotes,$N1320)),IF($O1320&lt;&gt;"",IF(INDEX(LdgNoteB,$O1320)="","—",INDEX(LdgNoteB,$O1320)),""))</f>
        <v/>
      </c>
      <c r="N1320">
        <f>IFERROR(MATCH($C$5&amp;"|"&amp;RIGHT("000000"&amp;1304,6),LdgRankKeyA,0),"")</f>
        <v/>
      </c>
      <c r="O1320">
        <f>IFERROR(MATCH($C$5&amp;"|"&amp;RIGHT("000000"&amp;1304,6),LdgRankKeyB,0),"")</f>
        <v/>
      </c>
    </row>
    <row r="1321">
      <c r="A1321" s="17" t="n">
        <v>1305</v>
      </c>
      <c r="B1321" s="18">
        <f>IF(AND($N1321="",$O1321=""),"",IF($N1321&lt;&gt;"",INDEX(PCNormDate,$N1321),INDEX(LdgDateB,$O1321)))</f>
        <v/>
      </c>
      <c r="C1321" s="18">
        <f>IF($N1321&lt;&gt;"",INDEX(PCOp,$N1321),IF($O1321&lt;&gt;"",IF(N(INDEX(TxnDepB,$O1321))&gt;0,"دریافت بانکی","پرداخت بانکی"),""))</f>
        <v/>
      </c>
      <c r="D1321" s="18">
        <f>IF($N1321&lt;&gt;"",IF(INDEX(PCDoc,$N1321)="","—",INDEX(PCDoc,$N1321)),IF($O1321&lt;&gt;"",INDEX(LdgBankB,$O1321),""))</f>
        <v/>
      </c>
      <c r="E1321" s="18">
        <f>IF($N1321&lt;&gt;"",IF(INDEX(PCCitrus,$N1321)="","—",INDEX(PCCitrus,$N1321)),"")</f>
        <v/>
      </c>
      <c r="F1321" s="19">
        <f>IF($N1321&lt;&gt;"",IF(INDEX(PCScale,$N1321)=0,"",INDEX(PCScale,$N1321)),"")</f>
        <v/>
      </c>
      <c r="G1321" s="19">
        <f>IF($N1321&lt;&gt;"",IF(INDEX(PCBaskets,$N1321)=0,"",INDEX(PCBaskets,$N1321)),"")</f>
        <v/>
      </c>
      <c r="H1321" s="20">
        <f>IF($N1321&lt;&gt;"",IF(INDEX(PCNet,$N1321)=0,"",INDEX(PCNet,$N1321)),"")</f>
        <v/>
      </c>
      <c r="I1321" s="19">
        <f>IF($N1321&lt;&gt;"",IF(INDEX(PCOp,$N1321)="مرجوعی خرید","",IF(INDEX(PCAmount,$N1321)&lt;=0,"",INDEX(PCAmount,$N1321))),IF($O1321&lt;&gt;"",IF(INDEX(TxnDepB,$O1321)=0,"",INDEX(TxnDepB,$O1321)),""))</f>
        <v/>
      </c>
      <c r="J1321" s="19">
        <f>IF($N1321&lt;&gt;"",IF(INDEX(PCOp,$N1321)="مرجوعی خرید",IF(INDEX(PCAmount,$N1321)=0,"",-INDEX(PCAmount,$N1321)),""),IF($O1321&lt;&gt;"",IF(INDEX(TxnWitB,$O1321)=0,"",INDEX(TxnWitB,$O1321)),""))</f>
        <v/>
      </c>
      <c r="K1321" s="21">
        <f>IF($B1321="","",IF($K1320="",$C$10,$K1320)+IF($I1321="",0,$I1321)-IF($J1321="",0,$J1321))</f>
        <v/>
      </c>
      <c r="L1321" s="22">
        <f>IF($N1321&lt;&gt;"",IF(INDEX(PCNotes,$N1321)="","—",INDEX(PCNotes,$N1321)),IF($O1321&lt;&gt;"",IF(INDEX(LdgNoteB,$O1321)="","—",INDEX(LdgNoteB,$O1321)),""))</f>
        <v/>
      </c>
      <c r="N1321">
        <f>IFERROR(MATCH($C$5&amp;"|"&amp;RIGHT("000000"&amp;1305,6),LdgRankKeyA,0),"")</f>
        <v/>
      </c>
      <c r="O1321">
        <f>IFERROR(MATCH($C$5&amp;"|"&amp;RIGHT("000000"&amp;1305,6),LdgRankKeyB,0),"")</f>
        <v/>
      </c>
    </row>
    <row r="1322">
      <c r="A1322" s="23" t="n">
        <v>1306</v>
      </c>
      <c r="B1322" s="24">
        <f>IF(AND($N1322="",$O1322=""),"",IF($N1322&lt;&gt;"",INDEX(PCNormDate,$N1322),INDEX(LdgDateB,$O1322)))</f>
        <v/>
      </c>
      <c r="C1322" s="24">
        <f>IF($N1322&lt;&gt;"",INDEX(PCOp,$N1322),IF($O1322&lt;&gt;"",IF(N(INDEX(TxnDepB,$O1322))&gt;0,"دریافت بانکی","پرداخت بانکی"),""))</f>
        <v/>
      </c>
      <c r="D1322" s="24">
        <f>IF($N1322&lt;&gt;"",IF(INDEX(PCDoc,$N1322)="","—",INDEX(PCDoc,$N1322)),IF($O1322&lt;&gt;"",INDEX(LdgBankB,$O1322),""))</f>
        <v/>
      </c>
      <c r="E1322" s="24">
        <f>IF($N1322&lt;&gt;"",IF(INDEX(PCCitrus,$N1322)="","—",INDEX(PCCitrus,$N1322)),"")</f>
        <v/>
      </c>
      <c r="F1322" s="25">
        <f>IF($N1322&lt;&gt;"",IF(INDEX(PCScale,$N1322)=0,"",INDEX(PCScale,$N1322)),"")</f>
        <v/>
      </c>
      <c r="G1322" s="25">
        <f>IF($N1322&lt;&gt;"",IF(INDEX(PCBaskets,$N1322)=0,"",INDEX(PCBaskets,$N1322)),"")</f>
        <v/>
      </c>
      <c r="H1322" s="26">
        <f>IF($N1322&lt;&gt;"",IF(INDEX(PCNet,$N1322)=0,"",INDEX(PCNet,$N1322)),"")</f>
        <v/>
      </c>
      <c r="I1322" s="25">
        <f>IF($N1322&lt;&gt;"",IF(INDEX(PCOp,$N1322)="مرجوعی خرید","",IF(INDEX(PCAmount,$N1322)&lt;=0,"",INDEX(PCAmount,$N1322))),IF($O1322&lt;&gt;"",IF(INDEX(TxnDepB,$O1322)=0,"",INDEX(TxnDepB,$O1322)),""))</f>
        <v/>
      </c>
      <c r="J1322" s="25">
        <f>IF($N1322&lt;&gt;"",IF(INDEX(PCOp,$N1322)="مرجوعی خرید",IF(INDEX(PCAmount,$N1322)=0,"",-INDEX(PCAmount,$N1322)),""),IF($O1322&lt;&gt;"",IF(INDEX(TxnWitB,$O1322)=0,"",INDEX(TxnWitB,$O1322)),""))</f>
        <v/>
      </c>
      <c r="K1322" s="27">
        <f>IF($B1322="","",IF($K1321="",$C$10,$K1321)+IF($I1322="",0,$I1322)-IF($J1322="",0,$J1322))</f>
        <v/>
      </c>
      <c r="L1322" s="28">
        <f>IF($N1322&lt;&gt;"",IF(INDEX(PCNotes,$N1322)="","—",INDEX(PCNotes,$N1322)),IF($O1322&lt;&gt;"",IF(INDEX(LdgNoteB,$O1322)="","—",INDEX(LdgNoteB,$O1322)),""))</f>
        <v/>
      </c>
      <c r="N1322">
        <f>IFERROR(MATCH($C$5&amp;"|"&amp;RIGHT("000000"&amp;1306,6),LdgRankKeyA,0),"")</f>
        <v/>
      </c>
      <c r="O1322">
        <f>IFERROR(MATCH($C$5&amp;"|"&amp;RIGHT("000000"&amp;1306,6),LdgRankKeyB,0),"")</f>
        <v/>
      </c>
    </row>
    <row r="1323">
      <c r="A1323" s="17" t="n">
        <v>1307</v>
      </c>
      <c r="B1323" s="18">
        <f>IF(AND($N1323="",$O1323=""),"",IF($N1323&lt;&gt;"",INDEX(PCNormDate,$N1323),INDEX(LdgDateB,$O1323)))</f>
        <v/>
      </c>
      <c r="C1323" s="18">
        <f>IF($N1323&lt;&gt;"",INDEX(PCOp,$N1323),IF($O1323&lt;&gt;"",IF(N(INDEX(TxnDepB,$O1323))&gt;0,"دریافت بانکی","پرداخت بانکی"),""))</f>
        <v/>
      </c>
      <c r="D1323" s="18">
        <f>IF($N1323&lt;&gt;"",IF(INDEX(PCDoc,$N1323)="","—",INDEX(PCDoc,$N1323)),IF($O1323&lt;&gt;"",INDEX(LdgBankB,$O1323),""))</f>
        <v/>
      </c>
      <c r="E1323" s="18">
        <f>IF($N1323&lt;&gt;"",IF(INDEX(PCCitrus,$N1323)="","—",INDEX(PCCitrus,$N1323)),"")</f>
        <v/>
      </c>
      <c r="F1323" s="19">
        <f>IF($N1323&lt;&gt;"",IF(INDEX(PCScale,$N1323)=0,"",INDEX(PCScale,$N1323)),"")</f>
        <v/>
      </c>
      <c r="G1323" s="19">
        <f>IF($N1323&lt;&gt;"",IF(INDEX(PCBaskets,$N1323)=0,"",INDEX(PCBaskets,$N1323)),"")</f>
        <v/>
      </c>
      <c r="H1323" s="20">
        <f>IF($N1323&lt;&gt;"",IF(INDEX(PCNet,$N1323)=0,"",INDEX(PCNet,$N1323)),"")</f>
        <v/>
      </c>
      <c r="I1323" s="19">
        <f>IF($N1323&lt;&gt;"",IF(INDEX(PCOp,$N1323)="مرجوعی خرید","",IF(INDEX(PCAmount,$N1323)&lt;=0,"",INDEX(PCAmount,$N1323))),IF($O1323&lt;&gt;"",IF(INDEX(TxnDepB,$O1323)=0,"",INDEX(TxnDepB,$O1323)),""))</f>
        <v/>
      </c>
      <c r="J1323" s="19">
        <f>IF($N1323&lt;&gt;"",IF(INDEX(PCOp,$N1323)="مرجوعی خرید",IF(INDEX(PCAmount,$N1323)=0,"",-INDEX(PCAmount,$N1323)),""),IF($O1323&lt;&gt;"",IF(INDEX(TxnWitB,$O1323)=0,"",INDEX(TxnWitB,$O1323)),""))</f>
        <v/>
      </c>
      <c r="K1323" s="21">
        <f>IF($B1323="","",IF($K1322="",$C$10,$K1322)+IF($I1323="",0,$I1323)-IF($J1323="",0,$J1323))</f>
        <v/>
      </c>
      <c r="L1323" s="22">
        <f>IF($N1323&lt;&gt;"",IF(INDEX(PCNotes,$N1323)="","—",INDEX(PCNotes,$N1323)),IF($O1323&lt;&gt;"",IF(INDEX(LdgNoteB,$O1323)="","—",INDEX(LdgNoteB,$O1323)),""))</f>
        <v/>
      </c>
      <c r="N1323">
        <f>IFERROR(MATCH($C$5&amp;"|"&amp;RIGHT("000000"&amp;1307,6),LdgRankKeyA,0),"")</f>
        <v/>
      </c>
      <c r="O1323">
        <f>IFERROR(MATCH($C$5&amp;"|"&amp;RIGHT("000000"&amp;1307,6),LdgRankKeyB,0),"")</f>
        <v/>
      </c>
    </row>
    <row r="1324">
      <c r="A1324" s="23" t="n">
        <v>1308</v>
      </c>
      <c r="B1324" s="24">
        <f>IF(AND($N1324="",$O1324=""),"",IF($N1324&lt;&gt;"",INDEX(PCNormDate,$N1324),INDEX(LdgDateB,$O1324)))</f>
        <v/>
      </c>
      <c r="C1324" s="24">
        <f>IF($N1324&lt;&gt;"",INDEX(PCOp,$N1324),IF($O1324&lt;&gt;"",IF(N(INDEX(TxnDepB,$O1324))&gt;0,"دریافت بانکی","پرداخت بانکی"),""))</f>
        <v/>
      </c>
      <c r="D1324" s="24">
        <f>IF($N1324&lt;&gt;"",IF(INDEX(PCDoc,$N1324)="","—",INDEX(PCDoc,$N1324)),IF($O1324&lt;&gt;"",INDEX(LdgBankB,$O1324),""))</f>
        <v/>
      </c>
      <c r="E1324" s="24">
        <f>IF($N1324&lt;&gt;"",IF(INDEX(PCCitrus,$N1324)="","—",INDEX(PCCitrus,$N1324)),"")</f>
        <v/>
      </c>
      <c r="F1324" s="25">
        <f>IF($N1324&lt;&gt;"",IF(INDEX(PCScale,$N1324)=0,"",INDEX(PCScale,$N1324)),"")</f>
        <v/>
      </c>
      <c r="G1324" s="25">
        <f>IF($N1324&lt;&gt;"",IF(INDEX(PCBaskets,$N1324)=0,"",INDEX(PCBaskets,$N1324)),"")</f>
        <v/>
      </c>
      <c r="H1324" s="26">
        <f>IF($N1324&lt;&gt;"",IF(INDEX(PCNet,$N1324)=0,"",INDEX(PCNet,$N1324)),"")</f>
        <v/>
      </c>
      <c r="I1324" s="25">
        <f>IF($N1324&lt;&gt;"",IF(INDEX(PCOp,$N1324)="مرجوعی خرید","",IF(INDEX(PCAmount,$N1324)&lt;=0,"",INDEX(PCAmount,$N1324))),IF($O1324&lt;&gt;"",IF(INDEX(TxnDepB,$O1324)=0,"",INDEX(TxnDepB,$O1324)),""))</f>
        <v/>
      </c>
      <c r="J1324" s="25">
        <f>IF($N1324&lt;&gt;"",IF(INDEX(PCOp,$N1324)="مرجوعی خرید",IF(INDEX(PCAmount,$N1324)=0,"",-INDEX(PCAmount,$N1324)),""),IF($O1324&lt;&gt;"",IF(INDEX(TxnWitB,$O1324)=0,"",INDEX(TxnWitB,$O1324)),""))</f>
        <v/>
      </c>
      <c r="K1324" s="27">
        <f>IF($B1324="","",IF($K1323="",$C$10,$K1323)+IF($I1324="",0,$I1324)-IF($J1324="",0,$J1324))</f>
        <v/>
      </c>
      <c r="L1324" s="28">
        <f>IF($N1324&lt;&gt;"",IF(INDEX(PCNotes,$N1324)="","—",INDEX(PCNotes,$N1324)),IF($O1324&lt;&gt;"",IF(INDEX(LdgNoteB,$O1324)="","—",INDEX(LdgNoteB,$O1324)),""))</f>
        <v/>
      </c>
      <c r="N1324">
        <f>IFERROR(MATCH($C$5&amp;"|"&amp;RIGHT("000000"&amp;1308,6),LdgRankKeyA,0),"")</f>
        <v/>
      </c>
      <c r="O1324">
        <f>IFERROR(MATCH($C$5&amp;"|"&amp;RIGHT("000000"&amp;1308,6),LdgRankKeyB,0),"")</f>
        <v/>
      </c>
    </row>
    <row r="1325">
      <c r="A1325" s="17" t="n">
        <v>1309</v>
      </c>
      <c r="B1325" s="18">
        <f>IF(AND($N1325="",$O1325=""),"",IF($N1325&lt;&gt;"",INDEX(PCNormDate,$N1325),INDEX(LdgDateB,$O1325)))</f>
        <v/>
      </c>
      <c r="C1325" s="18">
        <f>IF($N1325&lt;&gt;"",INDEX(PCOp,$N1325),IF($O1325&lt;&gt;"",IF(N(INDEX(TxnDepB,$O1325))&gt;0,"دریافت بانکی","پرداخت بانکی"),""))</f>
        <v/>
      </c>
      <c r="D1325" s="18">
        <f>IF($N1325&lt;&gt;"",IF(INDEX(PCDoc,$N1325)="","—",INDEX(PCDoc,$N1325)),IF($O1325&lt;&gt;"",INDEX(LdgBankB,$O1325),""))</f>
        <v/>
      </c>
      <c r="E1325" s="18">
        <f>IF($N1325&lt;&gt;"",IF(INDEX(PCCitrus,$N1325)="","—",INDEX(PCCitrus,$N1325)),"")</f>
        <v/>
      </c>
      <c r="F1325" s="19">
        <f>IF($N1325&lt;&gt;"",IF(INDEX(PCScale,$N1325)=0,"",INDEX(PCScale,$N1325)),"")</f>
        <v/>
      </c>
      <c r="G1325" s="19">
        <f>IF($N1325&lt;&gt;"",IF(INDEX(PCBaskets,$N1325)=0,"",INDEX(PCBaskets,$N1325)),"")</f>
        <v/>
      </c>
      <c r="H1325" s="20">
        <f>IF($N1325&lt;&gt;"",IF(INDEX(PCNet,$N1325)=0,"",INDEX(PCNet,$N1325)),"")</f>
        <v/>
      </c>
      <c r="I1325" s="19">
        <f>IF($N1325&lt;&gt;"",IF(INDEX(PCOp,$N1325)="مرجوعی خرید","",IF(INDEX(PCAmount,$N1325)&lt;=0,"",INDEX(PCAmount,$N1325))),IF($O1325&lt;&gt;"",IF(INDEX(TxnDepB,$O1325)=0,"",INDEX(TxnDepB,$O1325)),""))</f>
        <v/>
      </c>
      <c r="J1325" s="19">
        <f>IF($N1325&lt;&gt;"",IF(INDEX(PCOp,$N1325)="مرجوعی خرید",IF(INDEX(PCAmount,$N1325)=0,"",-INDEX(PCAmount,$N1325)),""),IF($O1325&lt;&gt;"",IF(INDEX(TxnWitB,$O1325)=0,"",INDEX(TxnWitB,$O1325)),""))</f>
        <v/>
      </c>
      <c r="K1325" s="21">
        <f>IF($B1325="","",IF($K1324="",$C$10,$K1324)+IF($I1325="",0,$I1325)-IF($J1325="",0,$J1325))</f>
        <v/>
      </c>
      <c r="L1325" s="22">
        <f>IF($N1325&lt;&gt;"",IF(INDEX(PCNotes,$N1325)="","—",INDEX(PCNotes,$N1325)),IF($O1325&lt;&gt;"",IF(INDEX(LdgNoteB,$O1325)="","—",INDEX(LdgNoteB,$O1325)),""))</f>
        <v/>
      </c>
      <c r="N1325">
        <f>IFERROR(MATCH($C$5&amp;"|"&amp;RIGHT("000000"&amp;1309,6),LdgRankKeyA,0),"")</f>
        <v/>
      </c>
      <c r="O1325">
        <f>IFERROR(MATCH($C$5&amp;"|"&amp;RIGHT("000000"&amp;1309,6),LdgRankKeyB,0),"")</f>
        <v/>
      </c>
    </row>
    <row r="1326">
      <c r="A1326" s="23" t="n">
        <v>1310</v>
      </c>
      <c r="B1326" s="24">
        <f>IF(AND($N1326="",$O1326=""),"",IF($N1326&lt;&gt;"",INDEX(PCNormDate,$N1326),INDEX(LdgDateB,$O1326)))</f>
        <v/>
      </c>
      <c r="C1326" s="24">
        <f>IF($N1326&lt;&gt;"",INDEX(PCOp,$N1326),IF($O1326&lt;&gt;"",IF(N(INDEX(TxnDepB,$O1326))&gt;0,"دریافت بانکی","پرداخت بانکی"),""))</f>
        <v/>
      </c>
      <c r="D1326" s="24">
        <f>IF($N1326&lt;&gt;"",IF(INDEX(PCDoc,$N1326)="","—",INDEX(PCDoc,$N1326)),IF($O1326&lt;&gt;"",INDEX(LdgBankB,$O1326),""))</f>
        <v/>
      </c>
      <c r="E1326" s="24">
        <f>IF($N1326&lt;&gt;"",IF(INDEX(PCCitrus,$N1326)="","—",INDEX(PCCitrus,$N1326)),"")</f>
        <v/>
      </c>
      <c r="F1326" s="25">
        <f>IF($N1326&lt;&gt;"",IF(INDEX(PCScale,$N1326)=0,"",INDEX(PCScale,$N1326)),"")</f>
        <v/>
      </c>
      <c r="G1326" s="25">
        <f>IF($N1326&lt;&gt;"",IF(INDEX(PCBaskets,$N1326)=0,"",INDEX(PCBaskets,$N1326)),"")</f>
        <v/>
      </c>
      <c r="H1326" s="26">
        <f>IF($N1326&lt;&gt;"",IF(INDEX(PCNet,$N1326)=0,"",INDEX(PCNet,$N1326)),"")</f>
        <v/>
      </c>
      <c r="I1326" s="25">
        <f>IF($N1326&lt;&gt;"",IF(INDEX(PCOp,$N1326)="مرجوعی خرید","",IF(INDEX(PCAmount,$N1326)&lt;=0,"",INDEX(PCAmount,$N1326))),IF($O1326&lt;&gt;"",IF(INDEX(TxnDepB,$O1326)=0,"",INDEX(TxnDepB,$O1326)),""))</f>
        <v/>
      </c>
      <c r="J1326" s="25">
        <f>IF($N1326&lt;&gt;"",IF(INDEX(PCOp,$N1326)="مرجوعی خرید",IF(INDEX(PCAmount,$N1326)=0,"",-INDEX(PCAmount,$N1326)),""),IF($O1326&lt;&gt;"",IF(INDEX(TxnWitB,$O1326)=0,"",INDEX(TxnWitB,$O1326)),""))</f>
        <v/>
      </c>
      <c r="K1326" s="27">
        <f>IF($B1326="","",IF($K1325="",$C$10,$K1325)+IF($I1326="",0,$I1326)-IF($J1326="",0,$J1326))</f>
        <v/>
      </c>
      <c r="L1326" s="28">
        <f>IF($N1326&lt;&gt;"",IF(INDEX(PCNotes,$N1326)="","—",INDEX(PCNotes,$N1326)),IF($O1326&lt;&gt;"",IF(INDEX(LdgNoteB,$O1326)="","—",INDEX(LdgNoteB,$O1326)),""))</f>
        <v/>
      </c>
      <c r="N1326">
        <f>IFERROR(MATCH($C$5&amp;"|"&amp;RIGHT("000000"&amp;1310,6),LdgRankKeyA,0),"")</f>
        <v/>
      </c>
      <c r="O1326">
        <f>IFERROR(MATCH($C$5&amp;"|"&amp;RIGHT("000000"&amp;1310,6),LdgRankKeyB,0),"")</f>
        <v/>
      </c>
    </row>
    <row r="1327">
      <c r="A1327" s="17" t="n">
        <v>1311</v>
      </c>
      <c r="B1327" s="18">
        <f>IF(AND($N1327="",$O1327=""),"",IF($N1327&lt;&gt;"",INDEX(PCNormDate,$N1327),INDEX(LdgDateB,$O1327)))</f>
        <v/>
      </c>
      <c r="C1327" s="18">
        <f>IF($N1327&lt;&gt;"",INDEX(PCOp,$N1327),IF($O1327&lt;&gt;"",IF(N(INDEX(TxnDepB,$O1327))&gt;0,"دریافت بانکی","پرداخت بانکی"),""))</f>
        <v/>
      </c>
      <c r="D1327" s="18">
        <f>IF($N1327&lt;&gt;"",IF(INDEX(PCDoc,$N1327)="","—",INDEX(PCDoc,$N1327)),IF($O1327&lt;&gt;"",INDEX(LdgBankB,$O1327),""))</f>
        <v/>
      </c>
      <c r="E1327" s="18">
        <f>IF($N1327&lt;&gt;"",IF(INDEX(PCCitrus,$N1327)="","—",INDEX(PCCitrus,$N1327)),"")</f>
        <v/>
      </c>
      <c r="F1327" s="19">
        <f>IF($N1327&lt;&gt;"",IF(INDEX(PCScale,$N1327)=0,"",INDEX(PCScale,$N1327)),"")</f>
        <v/>
      </c>
      <c r="G1327" s="19">
        <f>IF($N1327&lt;&gt;"",IF(INDEX(PCBaskets,$N1327)=0,"",INDEX(PCBaskets,$N1327)),"")</f>
        <v/>
      </c>
      <c r="H1327" s="20">
        <f>IF($N1327&lt;&gt;"",IF(INDEX(PCNet,$N1327)=0,"",INDEX(PCNet,$N1327)),"")</f>
        <v/>
      </c>
      <c r="I1327" s="19">
        <f>IF($N1327&lt;&gt;"",IF(INDEX(PCOp,$N1327)="مرجوعی خرید","",IF(INDEX(PCAmount,$N1327)&lt;=0,"",INDEX(PCAmount,$N1327))),IF($O1327&lt;&gt;"",IF(INDEX(TxnDepB,$O1327)=0,"",INDEX(TxnDepB,$O1327)),""))</f>
        <v/>
      </c>
      <c r="J1327" s="19">
        <f>IF($N1327&lt;&gt;"",IF(INDEX(PCOp,$N1327)="مرجوعی خرید",IF(INDEX(PCAmount,$N1327)=0,"",-INDEX(PCAmount,$N1327)),""),IF($O1327&lt;&gt;"",IF(INDEX(TxnWitB,$O1327)=0,"",INDEX(TxnWitB,$O1327)),""))</f>
        <v/>
      </c>
      <c r="K1327" s="21">
        <f>IF($B1327="","",IF($K1326="",$C$10,$K1326)+IF($I1327="",0,$I1327)-IF($J1327="",0,$J1327))</f>
        <v/>
      </c>
      <c r="L1327" s="22">
        <f>IF($N1327&lt;&gt;"",IF(INDEX(PCNotes,$N1327)="","—",INDEX(PCNotes,$N1327)),IF($O1327&lt;&gt;"",IF(INDEX(LdgNoteB,$O1327)="","—",INDEX(LdgNoteB,$O1327)),""))</f>
        <v/>
      </c>
      <c r="N1327">
        <f>IFERROR(MATCH($C$5&amp;"|"&amp;RIGHT("000000"&amp;1311,6),LdgRankKeyA,0),"")</f>
        <v/>
      </c>
      <c r="O1327">
        <f>IFERROR(MATCH($C$5&amp;"|"&amp;RIGHT("000000"&amp;1311,6),LdgRankKeyB,0),"")</f>
        <v/>
      </c>
    </row>
    <row r="1328">
      <c r="A1328" s="23" t="n">
        <v>1312</v>
      </c>
      <c r="B1328" s="24">
        <f>IF(AND($N1328="",$O1328=""),"",IF($N1328&lt;&gt;"",INDEX(PCNormDate,$N1328),INDEX(LdgDateB,$O1328)))</f>
        <v/>
      </c>
      <c r="C1328" s="24">
        <f>IF($N1328&lt;&gt;"",INDEX(PCOp,$N1328),IF($O1328&lt;&gt;"",IF(N(INDEX(TxnDepB,$O1328))&gt;0,"دریافت بانکی","پرداخت بانکی"),""))</f>
        <v/>
      </c>
      <c r="D1328" s="24">
        <f>IF($N1328&lt;&gt;"",IF(INDEX(PCDoc,$N1328)="","—",INDEX(PCDoc,$N1328)),IF($O1328&lt;&gt;"",INDEX(LdgBankB,$O1328),""))</f>
        <v/>
      </c>
      <c r="E1328" s="24">
        <f>IF($N1328&lt;&gt;"",IF(INDEX(PCCitrus,$N1328)="","—",INDEX(PCCitrus,$N1328)),"")</f>
        <v/>
      </c>
      <c r="F1328" s="25">
        <f>IF($N1328&lt;&gt;"",IF(INDEX(PCScale,$N1328)=0,"",INDEX(PCScale,$N1328)),"")</f>
        <v/>
      </c>
      <c r="G1328" s="25">
        <f>IF($N1328&lt;&gt;"",IF(INDEX(PCBaskets,$N1328)=0,"",INDEX(PCBaskets,$N1328)),"")</f>
        <v/>
      </c>
      <c r="H1328" s="26">
        <f>IF($N1328&lt;&gt;"",IF(INDEX(PCNet,$N1328)=0,"",INDEX(PCNet,$N1328)),"")</f>
        <v/>
      </c>
      <c r="I1328" s="25">
        <f>IF($N1328&lt;&gt;"",IF(INDEX(PCOp,$N1328)="مرجوعی خرید","",IF(INDEX(PCAmount,$N1328)&lt;=0,"",INDEX(PCAmount,$N1328))),IF($O1328&lt;&gt;"",IF(INDEX(TxnDepB,$O1328)=0,"",INDEX(TxnDepB,$O1328)),""))</f>
        <v/>
      </c>
      <c r="J1328" s="25">
        <f>IF($N1328&lt;&gt;"",IF(INDEX(PCOp,$N1328)="مرجوعی خرید",IF(INDEX(PCAmount,$N1328)=0,"",-INDEX(PCAmount,$N1328)),""),IF($O1328&lt;&gt;"",IF(INDEX(TxnWitB,$O1328)=0,"",INDEX(TxnWitB,$O1328)),""))</f>
        <v/>
      </c>
      <c r="K1328" s="27">
        <f>IF($B1328="","",IF($K1327="",$C$10,$K1327)+IF($I1328="",0,$I1328)-IF($J1328="",0,$J1328))</f>
        <v/>
      </c>
      <c r="L1328" s="28">
        <f>IF($N1328&lt;&gt;"",IF(INDEX(PCNotes,$N1328)="","—",INDEX(PCNotes,$N1328)),IF($O1328&lt;&gt;"",IF(INDEX(LdgNoteB,$O1328)="","—",INDEX(LdgNoteB,$O1328)),""))</f>
        <v/>
      </c>
      <c r="N1328">
        <f>IFERROR(MATCH($C$5&amp;"|"&amp;RIGHT("000000"&amp;1312,6),LdgRankKeyA,0),"")</f>
        <v/>
      </c>
      <c r="O1328">
        <f>IFERROR(MATCH($C$5&amp;"|"&amp;RIGHT("000000"&amp;1312,6),LdgRankKeyB,0),"")</f>
        <v/>
      </c>
    </row>
    <row r="1329">
      <c r="A1329" s="17" t="n">
        <v>1313</v>
      </c>
      <c r="B1329" s="18">
        <f>IF(AND($N1329="",$O1329=""),"",IF($N1329&lt;&gt;"",INDEX(PCNormDate,$N1329),INDEX(LdgDateB,$O1329)))</f>
        <v/>
      </c>
      <c r="C1329" s="18">
        <f>IF($N1329&lt;&gt;"",INDEX(PCOp,$N1329),IF($O1329&lt;&gt;"",IF(N(INDEX(TxnDepB,$O1329))&gt;0,"دریافت بانکی","پرداخت بانکی"),""))</f>
        <v/>
      </c>
      <c r="D1329" s="18">
        <f>IF($N1329&lt;&gt;"",IF(INDEX(PCDoc,$N1329)="","—",INDEX(PCDoc,$N1329)),IF($O1329&lt;&gt;"",INDEX(LdgBankB,$O1329),""))</f>
        <v/>
      </c>
      <c r="E1329" s="18">
        <f>IF($N1329&lt;&gt;"",IF(INDEX(PCCitrus,$N1329)="","—",INDEX(PCCitrus,$N1329)),"")</f>
        <v/>
      </c>
      <c r="F1329" s="19">
        <f>IF($N1329&lt;&gt;"",IF(INDEX(PCScale,$N1329)=0,"",INDEX(PCScale,$N1329)),"")</f>
        <v/>
      </c>
      <c r="G1329" s="19">
        <f>IF($N1329&lt;&gt;"",IF(INDEX(PCBaskets,$N1329)=0,"",INDEX(PCBaskets,$N1329)),"")</f>
        <v/>
      </c>
      <c r="H1329" s="20">
        <f>IF($N1329&lt;&gt;"",IF(INDEX(PCNet,$N1329)=0,"",INDEX(PCNet,$N1329)),"")</f>
        <v/>
      </c>
      <c r="I1329" s="19">
        <f>IF($N1329&lt;&gt;"",IF(INDEX(PCOp,$N1329)="مرجوعی خرید","",IF(INDEX(PCAmount,$N1329)&lt;=0,"",INDEX(PCAmount,$N1329))),IF($O1329&lt;&gt;"",IF(INDEX(TxnDepB,$O1329)=0,"",INDEX(TxnDepB,$O1329)),""))</f>
        <v/>
      </c>
      <c r="J1329" s="19">
        <f>IF($N1329&lt;&gt;"",IF(INDEX(PCOp,$N1329)="مرجوعی خرید",IF(INDEX(PCAmount,$N1329)=0,"",-INDEX(PCAmount,$N1329)),""),IF($O1329&lt;&gt;"",IF(INDEX(TxnWitB,$O1329)=0,"",INDEX(TxnWitB,$O1329)),""))</f>
        <v/>
      </c>
      <c r="K1329" s="21">
        <f>IF($B1329="","",IF($K1328="",$C$10,$K1328)+IF($I1329="",0,$I1329)-IF($J1329="",0,$J1329))</f>
        <v/>
      </c>
      <c r="L1329" s="22">
        <f>IF($N1329&lt;&gt;"",IF(INDEX(PCNotes,$N1329)="","—",INDEX(PCNotes,$N1329)),IF($O1329&lt;&gt;"",IF(INDEX(LdgNoteB,$O1329)="","—",INDEX(LdgNoteB,$O1329)),""))</f>
        <v/>
      </c>
      <c r="N1329">
        <f>IFERROR(MATCH($C$5&amp;"|"&amp;RIGHT("000000"&amp;1313,6),LdgRankKeyA,0),"")</f>
        <v/>
      </c>
      <c r="O1329">
        <f>IFERROR(MATCH($C$5&amp;"|"&amp;RIGHT("000000"&amp;1313,6),LdgRankKeyB,0),"")</f>
        <v/>
      </c>
    </row>
    <row r="1330">
      <c r="A1330" s="23" t="n">
        <v>1314</v>
      </c>
      <c r="B1330" s="24">
        <f>IF(AND($N1330="",$O1330=""),"",IF($N1330&lt;&gt;"",INDEX(PCNormDate,$N1330),INDEX(LdgDateB,$O1330)))</f>
        <v/>
      </c>
      <c r="C1330" s="24">
        <f>IF($N1330&lt;&gt;"",INDEX(PCOp,$N1330),IF($O1330&lt;&gt;"",IF(N(INDEX(TxnDepB,$O1330))&gt;0,"دریافت بانکی","پرداخت بانکی"),""))</f>
        <v/>
      </c>
      <c r="D1330" s="24">
        <f>IF($N1330&lt;&gt;"",IF(INDEX(PCDoc,$N1330)="","—",INDEX(PCDoc,$N1330)),IF($O1330&lt;&gt;"",INDEX(LdgBankB,$O1330),""))</f>
        <v/>
      </c>
      <c r="E1330" s="24">
        <f>IF($N1330&lt;&gt;"",IF(INDEX(PCCitrus,$N1330)="","—",INDEX(PCCitrus,$N1330)),"")</f>
        <v/>
      </c>
      <c r="F1330" s="25">
        <f>IF($N1330&lt;&gt;"",IF(INDEX(PCScale,$N1330)=0,"",INDEX(PCScale,$N1330)),"")</f>
        <v/>
      </c>
      <c r="G1330" s="25">
        <f>IF($N1330&lt;&gt;"",IF(INDEX(PCBaskets,$N1330)=0,"",INDEX(PCBaskets,$N1330)),"")</f>
        <v/>
      </c>
      <c r="H1330" s="26">
        <f>IF($N1330&lt;&gt;"",IF(INDEX(PCNet,$N1330)=0,"",INDEX(PCNet,$N1330)),"")</f>
        <v/>
      </c>
      <c r="I1330" s="25">
        <f>IF($N1330&lt;&gt;"",IF(INDEX(PCOp,$N1330)="مرجوعی خرید","",IF(INDEX(PCAmount,$N1330)&lt;=0,"",INDEX(PCAmount,$N1330))),IF($O1330&lt;&gt;"",IF(INDEX(TxnDepB,$O1330)=0,"",INDEX(TxnDepB,$O1330)),""))</f>
        <v/>
      </c>
      <c r="J1330" s="25">
        <f>IF($N1330&lt;&gt;"",IF(INDEX(PCOp,$N1330)="مرجوعی خرید",IF(INDEX(PCAmount,$N1330)=0,"",-INDEX(PCAmount,$N1330)),""),IF($O1330&lt;&gt;"",IF(INDEX(TxnWitB,$O1330)=0,"",INDEX(TxnWitB,$O1330)),""))</f>
        <v/>
      </c>
      <c r="K1330" s="27">
        <f>IF($B1330="","",IF($K1329="",$C$10,$K1329)+IF($I1330="",0,$I1330)-IF($J1330="",0,$J1330))</f>
        <v/>
      </c>
      <c r="L1330" s="28">
        <f>IF($N1330&lt;&gt;"",IF(INDEX(PCNotes,$N1330)="","—",INDEX(PCNotes,$N1330)),IF($O1330&lt;&gt;"",IF(INDEX(LdgNoteB,$O1330)="","—",INDEX(LdgNoteB,$O1330)),""))</f>
        <v/>
      </c>
      <c r="N1330">
        <f>IFERROR(MATCH($C$5&amp;"|"&amp;RIGHT("000000"&amp;1314,6),LdgRankKeyA,0),"")</f>
        <v/>
      </c>
      <c r="O1330">
        <f>IFERROR(MATCH($C$5&amp;"|"&amp;RIGHT("000000"&amp;1314,6),LdgRankKeyB,0),"")</f>
        <v/>
      </c>
    </row>
    <row r="1331">
      <c r="A1331" s="17" t="n">
        <v>1315</v>
      </c>
      <c r="B1331" s="18">
        <f>IF(AND($N1331="",$O1331=""),"",IF($N1331&lt;&gt;"",INDEX(PCNormDate,$N1331),INDEX(LdgDateB,$O1331)))</f>
        <v/>
      </c>
      <c r="C1331" s="18">
        <f>IF($N1331&lt;&gt;"",INDEX(PCOp,$N1331),IF($O1331&lt;&gt;"",IF(N(INDEX(TxnDepB,$O1331))&gt;0,"دریافت بانکی","پرداخت بانکی"),""))</f>
        <v/>
      </c>
      <c r="D1331" s="18">
        <f>IF($N1331&lt;&gt;"",IF(INDEX(PCDoc,$N1331)="","—",INDEX(PCDoc,$N1331)),IF($O1331&lt;&gt;"",INDEX(LdgBankB,$O1331),""))</f>
        <v/>
      </c>
      <c r="E1331" s="18">
        <f>IF($N1331&lt;&gt;"",IF(INDEX(PCCitrus,$N1331)="","—",INDEX(PCCitrus,$N1331)),"")</f>
        <v/>
      </c>
      <c r="F1331" s="19">
        <f>IF($N1331&lt;&gt;"",IF(INDEX(PCScale,$N1331)=0,"",INDEX(PCScale,$N1331)),"")</f>
        <v/>
      </c>
      <c r="G1331" s="19">
        <f>IF($N1331&lt;&gt;"",IF(INDEX(PCBaskets,$N1331)=0,"",INDEX(PCBaskets,$N1331)),"")</f>
        <v/>
      </c>
      <c r="H1331" s="20">
        <f>IF($N1331&lt;&gt;"",IF(INDEX(PCNet,$N1331)=0,"",INDEX(PCNet,$N1331)),"")</f>
        <v/>
      </c>
      <c r="I1331" s="19">
        <f>IF($N1331&lt;&gt;"",IF(INDEX(PCOp,$N1331)="مرجوعی خرید","",IF(INDEX(PCAmount,$N1331)&lt;=0,"",INDEX(PCAmount,$N1331))),IF($O1331&lt;&gt;"",IF(INDEX(TxnDepB,$O1331)=0,"",INDEX(TxnDepB,$O1331)),""))</f>
        <v/>
      </c>
      <c r="J1331" s="19">
        <f>IF($N1331&lt;&gt;"",IF(INDEX(PCOp,$N1331)="مرجوعی خرید",IF(INDEX(PCAmount,$N1331)=0,"",-INDEX(PCAmount,$N1331)),""),IF($O1331&lt;&gt;"",IF(INDEX(TxnWitB,$O1331)=0,"",INDEX(TxnWitB,$O1331)),""))</f>
        <v/>
      </c>
      <c r="K1331" s="21">
        <f>IF($B1331="","",IF($K1330="",$C$10,$K1330)+IF($I1331="",0,$I1331)-IF($J1331="",0,$J1331))</f>
        <v/>
      </c>
      <c r="L1331" s="22">
        <f>IF($N1331&lt;&gt;"",IF(INDEX(PCNotes,$N1331)="","—",INDEX(PCNotes,$N1331)),IF($O1331&lt;&gt;"",IF(INDEX(LdgNoteB,$O1331)="","—",INDEX(LdgNoteB,$O1331)),""))</f>
        <v/>
      </c>
      <c r="N1331">
        <f>IFERROR(MATCH($C$5&amp;"|"&amp;RIGHT("000000"&amp;1315,6),LdgRankKeyA,0),"")</f>
        <v/>
      </c>
      <c r="O1331">
        <f>IFERROR(MATCH($C$5&amp;"|"&amp;RIGHT("000000"&amp;1315,6),LdgRankKeyB,0),"")</f>
        <v/>
      </c>
    </row>
    <row r="1332">
      <c r="A1332" s="23" t="n">
        <v>1316</v>
      </c>
      <c r="B1332" s="24">
        <f>IF(AND($N1332="",$O1332=""),"",IF($N1332&lt;&gt;"",INDEX(PCNormDate,$N1332),INDEX(LdgDateB,$O1332)))</f>
        <v/>
      </c>
      <c r="C1332" s="24">
        <f>IF($N1332&lt;&gt;"",INDEX(PCOp,$N1332),IF($O1332&lt;&gt;"",IF(N(INDEX(TxnDepB,$O1332))&gt;0,"دریافت بانکی","پرداخت بانکی"),""))</f>
        <v/>
      </c>
      <c r="D1332" s="24">
        <f>IF($N1332&lt;&gt;"",IF(INDEX(PCDoc,$N1332)="","—",INDEX(PCDoc,$N1332)),IF($O1332&lt;&gt;"",INDEX(LdgBankB,$O1332),""))</f>
        <v/>
      </c>
      <c r="E1332" s="24">
        <f>IF($N1332&lt;&gt;"",IF(INDEX(PCCitrus,$N1332)="","—",INDEX(PCCitrus,$N1332)),"")</f>
        <v/>
      </c>
      <c r="F1332" s="25">
        <f>IF($N1332&lt;&gt;"",IF(INDEX(PCScale,$N1332)=0,"",INDEX(PCScale,$N1332)),"")</f>
        <v/>
      </c>
      <c r="G1332" s="25">
        <f>IF($N1332&lt;&gt;"",IF(INDEX(PCBaskets,$N1332)=0,"",INDEX(PCBaskets,$N1332)),"")</f>
        <v/>
      </c>
      <c r="H1332" s="26">
        <f>IF($N1332&lt;&gt;"",IF(INDEX(PCNet,$N1332)=0,"",INDEX(PCNet,$N1332)),"")</f>
        <v/>
      </c>
      <c r="I1332" s="25">
        <f>IF($N1332&lt;&gt;"",IF(INDEX(PCOp,$N1332)="مرجوعی خرید","",IF(INDEX(PCAmount,$N1332)&lt;=0,"",INDEX(PCAmount,$N1332))),IF($O1332&lt;&gt;"",IF(INDEX(TxnDepB,$O1332)=0,"",INDEX(TxnDepB,$O1332)),""))</f>
        <v/>
      </c>
      <c r="J1332" s="25">
        <f>IF($N1332&lt;&gt;"",IF(INDEX(PCOp,$N1332)="مرجوعی خرید",IF(INDEX(PCAmount,$N1332)=0,"",-INDEX(PCAmount,$N1332)),""),IF($O1332&lt;&gt;"",IF(INDEX(TxnWitB,$O1332)=0,"",INDEX(TxnWitB,$O1332)),""))</f>
        <v/>
      </c>
      <c r="K1332" s="27">
        <f>IF($B1332="","",IF($K1331="",$C$10,$K1331)+IF($I1332="",0,$I1332)-IF($J1332="",0,$J1332))</f>
        <v/>
      </c>
      <c r="L1332" s="28">
        <f>IF($N1332&lt;&gt;"",IF(INDEX(PCNotes,$N1332)="","—",INDEX(PCNotes,$N1332)),IF($O1332&lt;&gt;"",IF(INDEX(LdgNoteB,$O1332)="","—",INDEX(LdgNoteB,$O1332)),""))</f>
        <v/>
      </c>
      <c r="N1332">
        <f>IFERROR(MATCH($C$5&amp;"|"&amp;RIGHT("000000"&amp;1316,6),LdgRankKeyA,0),"")</f>
        <v/>
      </c>
      <c r="O1332">
        <f>IFERROR(MATCH($C$5&amp;"|"&amp;RIGHT("000000"&amp;1316,6),LdgRankKeyB,0),"")</f>
        <v/>
      </c>
    </row>
    <row r="1333">
      <c r="A1333" s="17" t="n">
        <v>1317</v>
      </c>
      <c r="B1333" s="18">
        <f>IF(AND($N1333="",$O1333=""),"",IF($N1333&lt;&gt;"",INDEX(PCNormDate,$N1333),INDEX(LdgDateB,$O1333)))</f>
        <v/>
      </c>
      <c r="C1333" s="18">
        <f>IF($N1333&lt;&gt;"",INDEX(PCOp,$N1333),IF($O1333&lt;&gt;"",IF(N(INDEX(TxnDepB,$O1333))&gt;0,"دریافت بانکی","پرداخت بانکی"),""))</f>
        <v/>
      </c>
      <c r="D1333" s="18">
        <f>IF($N1333&lt;&gt;"",IF(INDEX(PCDoc,$N1333)="","—",INDEX(PCDoc,$N1333)),IF($O1333&lt;&gt;"",INDEX(LdgBankB,$O1333),""))</f>
        <v/>
      </c>
      <c r="E1333" s="18">
        <f>IF($N1333&lt;&gt;"",IF(INDEX(PCCitrus,$N1333)="","—",INDEX(PCCitrus,$N1333)),"")</f>
        <v/>
      </c>
      <c r="F1333" s="19">
        <f>IF($N1333&lt;&gt;"",IF(INDEX(PCScale,$N1333)=0,"",INDEX(PCScale,$N1333)),"")</f>
        <v/>
      </c>
      <c r="G1333" s="19">
        <f>IF($N1333&lt;&gt;"",IF(INDEX(PCBaskets,$N1333)=0,"",INDEX(PCBaskets,$N1333)),"")</f>
        <v/>
      </c>
      <c r="H1333" s="20">
        <f>IF($N1333&lt;&gt;"",IF(INDEX(PCNet,$N1333)=0,"",INDEX(PCNet,$N1333)),"")</f>
        <v/>
      </c>
      <c r="I1333" s="19">
        <f>IF($N1333&lt;&gt;"",IF(INDEX(PCOp,$N1333)="مرجوعی خرید","",IF(INDEX(PCAmount,$N1333)&lt;=0,"",INDEX(PCAmount,$N1333))),IF($O1333&lt;&gt;"",IF(INDEX(TxnDepB,$O1333)=0,"",INDEX(TxnDepB,$O1333)),""))</f>
        <v/>
      </c>
      <c r="J1333" s="19">
        <f>IF($N1333&lt;&gt;"",IF(INDEX(PCOp,$N1333)="مرجوعی خرید",IF(INDEX(PCAmount,$N1333)=0,"",-INDEX(PCAmount,$N1333)),""),IF($O1333&lt;&gt;"",IF(INDEX(TxnWitB,$O1333)=0,"",INDEX(TxnWitB,$O1333)),""))</f>
        <v/>
      </c>
      <c r="K1333" s="21">
        <f>IF($B1333="","",IF($K1332="",$C$10,$K1332)+IF($I1333="",0,$I1333)-IF($J1333="",0,$J1333))</f>
        <v/>
      </c>
      <c r="L1333" s="22">
        <f>IF($N1333&lt;&gt;"",IF(INDEX(PCNotes,$N1333)="","—",INDEX(PCNotes,$N1333)),IF($O1333&lt;&gt;"",IF(INDEX(LdgNoteB,$O1333)="","—",INDEX(LdgNoteB,$O1333)),""))</f>
        <v/>
      </c>
      <c r="N1333">
        <f>IFERROR(MATCH($C$5&amp;"|"&amp;RIGHT("000000"&amp;1317,6),LdgRankKeyA,0),"")</f>
        <v/>
      </c>
      <c r="O1333">
        <f>IFERROR(MATCH($C$5&amp;"|"&amp;RIGHT("000000"&amp;1317,6),LdgRankKeyB,0),"")</f>
        <v/>
      </c>
    </row>
    <row r="1334">
      <c r="A1334" s="23" t="n">
        <v>1318</v>
      </c>
      <c r="B1334" s="24">
        <f>IF(AND($N1334="",$O1334=""),"",IF($N1334&lt;&gt;"",INDEX(PCNormDate,$N1334),INDEX(LdgDateB,$O1334)))</f>
        <v/>
      </c>
      <c r="C1334" s="24">
        <f>IF($N1334&lt;&gt;"",INDEX(PCOp,$N1334),IF($O1334&lt;&gt;"",IF(N(INDEX(TxnDepB,$O1334))&gt;0,"دریافت بانکی","پرداخت بانکی"),""))</f>
        <v/>
      </c>
      <c r="D1334" s="24">
        <f>IF($N1334&lt;&gt;"",IF(INDEX(PCDoc,$N1334)="","—",INDEX(PCDoc,$N1334)),IF($O1334&lt;&gt;"",INDEX(LdgBankB,$O1334),""))</f>
        <v/>
      </c>
      <c r="E1334" s="24">
        <f>IF($N1334&lt;&gt;"",IF(INDEX(PCCitrus,$N1334)="","—",INDEX(PCCitrus,$N1334)),"")</f>
        <v/>
      </c>
      <c r="F1334" s="25">
        <f>IF($N1334&lt;&gt;"",IF(INDEX(PCScale,$N1334)=0,"",INDEX(PCScale,$N1334)),"")</f>
        <v/>
      </c>
      <c r="G1334" s="25">
        <f>IF($N1334&lt;&gt;"",IF(INDEX(PCBaskets,$N1334)=0,"",INDEX(PCBaskets,$N1334)),"")</f>
        <v/>
      </c>
      <c r="H1334" s="26">
        <f>IF($N1334&lt;&gt;"",IF(INDEX(PCNet,$N1334)=0,"",INDEX(PCNet,$N1334)),"")</f>
        <v/>
      </c>
      <c r="I1334" s="25">
        <f>IF($N1334&lt;&gt;"",IF(INDEX(PCOp,$N1334)="مرجوعی خرید","",IF(INDEX(PCAmount,$N1334)&lt;=0,"",INDEX(PCAmount,$N1334))),IF($O1334&lt;&gt;"",IF(INDEX(TxnDepB,$O1334)=0,"",INDEX(TxnDepB,$O1334)),""))</f>
        <v/>
      </c>
      <c r="J1334" s="25">
        <f>IF($N1334&lt;&gt;"",IF(INDEX(PCOp,$N1334)="مرجوعی خرید",IF(INDEX(PCAmount,$N1334)=0,"",-INDEX(PCAmount,$N1334)),""),IF($O1334&lt;&gt;"",IF(INDEX(TxnWitB,$O1334)=0,"",INDEX(TxnWitB,$O1334)),""))</f>
        <v/>
      </c>
      <c r="K1334" s="27">
        <f>IF($B1334="","",IF($K1333="",$C$10,$K1333)+IF($I1334="",0,$I1334)-IF($J1334="",0,$J1334))</f>
        <v/>
      </c>
      <c r="L1334" s="28">
        <f>IF($N1334&lt;&gt;"",IF(INDEX(PCNotes,$N1334)="","—",INDEX(PCNotes,$N1334)),IF($O1334&lt;&gt;"",IF(INDEX(LdgNoteB,$O1334)="","—",INDEX(LdgNoteB,$O1334)),""))</f>
        <v/>
      </c>
      <c r="N1334">
        <f>IFERROR(MATCH($C$5&amp;"|"&amp;RIGHT("000000"&amp;1318,6),LdgRankKeyA,0),"")</f>
        <v/>
      </c>
      <c r="O1334">
        <f>IFERROR(MATCH($C$5&amp;"|"&amp;RIGHT("000000"&amp;1318,6),LdgRankKeyB,0),"")</f>
        <v/>
      </c>
    </row>
    <row r="1335">
      <c r="A1335" s="17" t="n">
        <v>1319</v>
      </c>
      <c r="B1335" s="18">
        <f>IF(AND($N1335="",$O1335=""),"",IF($N1335&lt;&gt;"",INDEX(PCNormDate,$N1335),INDEX(LdgDateB,$O1335)))</f>
        <v/>
      </c>
      <c r="C1335" s="18">
        <f>IF($N1335&lt;&gt;"",INDEX(PCOp,$N1335),IF($O1335&lt;&gt;"",IF(N(INDEX(TxnDepB,$O1335))&gt;0,"دریافت بانکی","پرداخت بانکی"),""))</f>
        <v/>
      </c>
      <c r="D1335" s="18">
        <f>IF($N1335&lt;&gt;"",IF(INDEX(PCDoc,$N1335)="","—",INDEX(PCDoc,$N1335)),IF($O1335&lt;&gt;"",INDEX(LdgBankB,$O1335),""))</f>
        <v/>
      </c>
      <c r="E1335" s="18">
        <f>IF($N1335&lt;&gt;"",IF(INDEX(PCCitrus,$N1335)="","—",INDEX(PCCitrus,$N1335)),"")</f>
        <v/>
      </c>
      <c r="F1335" s="19">
        <f>IF($N1335&lt;&gt;"",IF(INDEX(PCScale,$N1335)=0,"",INDEX(PCScale,$N1335)),"")</f>
        <v/>
      </c>
      <c r="G1335" s="19">
        <f>IF($N1335&lt;&gt;"",IF(INDEX(PCBaskets,$N1335)=0,"",INDEX(PCBaskets,$N1335)),"")</f>
        <v/>
      </c>
      <c r="H1335" s="20">
        <f>IF($N1335&lt;&gt;"",IF(INDEX(PCNet,$N1335)=0,"",INDEX(PCNet,$N1335)),"")</f>
        <v/>
      </c>
      <c r="I1335" s="19">
        <f>IF($N1335&lt;&gt;"",IF(INDEX(PCOp,$N1335)="مرجوعی خرید","",IF(INDEX(PCAmount,$N1335)&lt;=0,"",INDEX(PCAmount,$N1335))),IF($O1335&lt;&gt;"",IF(INDEX(TxnDepB,$O1335)=0,"",INDEX(TxnDepB,$O1335)),""))</f>
        <v/>
      </c>
      <c r="J1335" s="19">
        <f>IF($N1335&lt;&gt;"",IF(INDEX(PCOp,$N1335)="مرجوعی خرید",IF(INDEX(PCAmount,$N1335)=0,"",-INDEX(PCAmount,$N1335)),""),IF($O1335&lt;&gt;"",IF(INDEX(TxnWitB,$O1335)=0,"",INDEX(TxnWitB,$O1335)),""))</f>
        <v/>
      </c>
      <c r="K1335" s="21">
        <f>IF($B1335="","",IF($K1334="",$C$10,$K1334)+IF($I1335="",0,$I1335)-IF($J1335="",0,$J1335))</f>
        <v/>
      </c>
      <c r="L1335" s="22">
        <f>IF($N1335&lt;&gt;"",IF(INDEX(PCNotes,$N1335)="","—",INDEX(PCNotes,$N1335)),IF($O1335&lt;&gt;"",IF(INDEX(LdgNoteB,$O1335)="","—",INDEX(LdgNoteB,$O1335)),""))</f>
        <v/>
      </c>
      <c r="N1335">
        <f>IFERROR(MATCH($C$5&amp;"|"&amp;RIGHT("000000"&amp;1319,6),LdgRankKeyA,0),"")</f>
        <v/>
      </c>
      <c r="O1335">
        <f>IFERROR(MATCH($C$5&amp;"|"&amp;RIGHT("000000"&amp;1319,6),LdgRankKeyB,0),"")</f>
        <v/>
      </c>
    </row>
    <row r="1336">
      <c r="A1336" s="23" t="n">
        <v>1320</v>
      </c>
      <c r="B1336" s="24">
        <f>IF(AND($N1336="",$O1336=""),"",IF($N1336&lt;&gt;"",INDEX(PCNormDate,$N1336),INDEX(LdgDateB,$O1336)))</f>
        <v/>
      </c>
      <c r="C1336" s="24">
        <f>IF($N1336&lt;&gt;"",INDEX(PCOp,$N1336),IF($O1336&lt;&gt;"",IF(N(INDEX(TxnDepB,$O1336))&gt;0,"دریافت بانکی","پرداخت بانکی"),""))</f>
        <v/>
      </c>
      <c r="D1336" s="24">
        <f>IF($N1336&lt;&gt;"",IF(INDEX(PCDoc,$N1336)="","—",INDEX(PCDoc,$N1336)),IF($O1336&lt;&gt;"",INDEX(LdgBankB,$O1336),""))</f>
        <v/>
      </c>
      <c r="E1336" s="24">
        <f>IF($N1336&lt;&gt;"",IF(INDEX(PCCitrus,$N1336)="","—",INDEX(PCCitrus,$N1336)),"")</f>
        <v/>
      </c>
      <c r="F1336" s="25">
        <f>IF($N1336&lt;&gt;"",IF(INDEX(PCScale,$N1336)=0,"",INDEX(PCScale,$N1336)),"")</f>
        <v/>
      </c>
      <c r="G1336" s="25">
        <f>IF($N1336&lt;&gt;"",IF(INDEX(PCBaskets,$N1336)=0,"",INDEX(PCBaskets,$N1336)),"")</f>
        <v/>
      </c>
      <c r="H1336" s="26">
        <f>IF($N1336&lt;&gt;"",IF(INDEX(PCNet,$N1336)=0,"",INDEX(PCNet,$N1336)),"")</f>
        <v/>
      </c>
      <c r="I1336" s="25">
        <f>IF($N1336&lt;&gt;"",IF(INDEX(PCOp,$N1336)="مرجوعی خرید","",IF(INDEX(PCAmount,$N1336)&lt;=0,"",INDEX(PCAmount,$N1336))),IF($O1336&lt;&gt;"",IF(INDEX(TxnDepB,$O1336)=0,"",INDEX(TxnDepB,$O1336)),""))</f>
        <v/>
      </c>
      <c r="J1336" s="25">
        <f>IF($N1336&lt;&gt;"",IF(INDEX(PCOp,$N1336)="مرجوعی خرید",IF(INDEX(PCAmount,$N1336)=0,"",-INDEX(PCAmount,$N1336)),""),IF($O1336&lt;&gt;"",IF(INDEX(TxnWitB,$O1336)=0,"",INDEX(TxnWitB,$O1336)),""))</f>
        <v/>
      </c>
      <c r="K1336" s="27">
        <f>IF($B1336="","",IF($K1335="",$C$10,$K1335)+IF($I1336="",0,$I1336)-IF($J1336="",0,$J1336))</f>
        <v/>
      </c>
      <c r="L1336" s="28">
        <f>IF($N1336&lt;&gt;"",IF(INDEX(PCNotes,$N1336)="","—",INDEX(PCNotes,$N1336)),IF($O1336&lt;&gt;"",IF(INDEX(LdgNoteB,$O1336)="","—",INDEX(LdgNoteB,$O1336)),""))</f>
        <v/>
      </c>
      <c r="N1336">
        <f>IFERROR(MATCH($C$5&amp;"|"&amp;RIGHT("000000"&amp;1320,6),LdgRankKeyA,0),"")</f>
        <v/>
      </c>
      <c r="O1336">
        <f>IFERROR(MATCH($C$5&amp;"|"&amp;RIGHT("000000"&amp;1320,6),LdgRankKeyB,0),"")</f>
        <v/>
      </c>
    </row>
    <row r="1337">
      <c r="A1337" s="17" t="n">
        <v>1321</v>
      </c>
      <c r="B1337" s="18">
        <f>IF(AND($N1337="",$O1337=""),"",IF($N1337&lt;&gt;"",INDEX(PCNormDate,$N1337),INDEX(LdgDateB,$O1337)))</f>
        <v/>
      </c>
      <c r="C1337" s="18">
        <f>IF($N1337&lt;&gt;"",INDEX(PCOp,$N1337),IF($O1337&lt;&gt;"",IF(N(INDEX(TxnDepB,$O1337))&gt;0,"دریافت بانکی","پرداخت بانکی"),""))</f>
        <v/>
      </c>
      <c r="D1337" s="18">
        <f>IF($N1337&lt;&gt;"",IF(INDEX(PCDoc,$N1337)="","—",INDEX(PCDoc,$N1337)),IF($O1337&lt;&gt;"",INDEX(LdgBankB,$O1337),""))</f>
        <v/>
      </c>
      <c r="E1337" s="18">
        <f>IF($N1337&lt;&gt;"",IF(INDEX(PCCitrus,$N1337)="","—",INDEX(PCCitrus,$N1337)),"")</f>
        <v/>
      </c>
      <c r="F1337" s="19">
        <f>IF($N1337&lt;&gt;"",IF(INDEX(PCScale,$N1337)=0,"",INDEX(PCScale,$N1337)),"")</f>
        <v/>
      </c>
      <c r="G1337" s="19">
        <f>IF($N1337&lt;&gt;"",IF(INDEX(PCBaskets,$N1337)=0,"",INDEX(PCBaskets,$N1337)),"")</f>
        <v/>
      </c>
      <c r="H1337" s="20">
        <f>IF($N1337&lt;&gt;"",IF(INDEX(PCNet,$N1337)=0,"",INDEX(PCNet,$N1337)),"")</f>
        <v/>
      </c>
      <c r="I1337" s="19">
        <f>IF($N1337&lt;&gt;"",IF(INDEX(PCOp,$N1337)="مرجوعی خرید","",IF(INDEX(PCAmount,$N1337)&lt;=0,"",INDEX(PCAmount,$N1337))),IF($O1337&lt;&gt;"",IF(INDEX(TxnDepB,$O1337)=0,"",INDEX(TxnDepB,$O1337)),""))</f>
        <v/>
      </c>
      <c r="J1337" s="19">
        <f>IF($N1337&lt;&gt;"",IF(INDEX(PCOp,$N1337)="مرجوعی خرید",IF(INDEX(PCAmount,$N1337)=0,"",-INDEX(PCAmount,$N1337)),""),IF($O1337&lt;&gt;"",IF(INDEX(TxnWitB,$O1337)=0,"",INDEX(TxnWitB,$O1337)),""))</f>
        <v/>
      </c>
      <c r="K1337" s="21">
        <f>IF($B1337="","",IF($K1336="",$C$10,$K1336)+IF($I1337="",0,$I1337)-IF($J1337="",0,$J1337))</f>
        <v/>
      </c>
      <c r="L1337" s="22">
        <f>IF($N1337&lt;&gt;"",IF(INDEX(PCNotes,$N1337)="","—",INDEX(PCNotes,$N1337)),IF($O1337&lt;&gt;"",IF(INDEX(LdgNoteB,$O1337)="","—",INDEX(LdgNoteB,$O1337)),""))</f>
        <v/>
      </c>
      <c r="N1337">
        <f>IFERROR(MATCH($C$5&amp;"|"&amp;RIGHT("000000"&amp;1321,6),LdgRankKeyA,0),"")</f>
        <v/>
      </c>
      <c r="O1337">
        <f>IFERROR(MATCH($C$5&amp;"|"&amp;RIGHT("000000"&amp;1321,6),LdgRankKeyB,0),"")</f>
        <v/>
      </c>
    </row>
    <row r="1338">
      <c r="A1338" s="23" t="n">
        <v>1322</v>
      </c>
      <c r="B1338" s="24">
        <f>IF(AND($N1338="",$O1338=""),"",IF($N1338&lt;&gt;"",INDEX(PCNormDate,$N1338),INDEX(LdgDateB,$O1338)))</f>
        <v/>
      </c>
      <c r="C1338" s="24">
        <f>IF($N1338&lt;&gt;"",INDEX(PCOp,$N1338),IF($O1338&lt;&gt;"",IF(N(INDEX(TxnDepB,$O1338))&gt;0,"دریافت بانکی","پرداخت بانکی"),""))</f>
        <v/>
      </c>
      <c r="D1338" s="24">
        <f>IF($N1338&lt;&gt;"",IF(INDEX(PCDoc,$N1338)="","—",INDEX(PCDoc,$N1338)),IF($O1338&lt;&gt;"",INDEX(LdgBankB,$O1338),""))</f>
        <v/>
      </c>
      <c r="E1338" s="24">
        <f>IF($N1338&lt;&gt;"",IF(INDEX(PCCitrus,$N1338)="","—",INDEX(PCCitrus,$N1338)),"")</f>
        <v/>
      </c>
      <c r="F1338" s="25">
        <f>IF($N1338&lt;&gt;"",IF(INDEX(PCScale,$N1338)=0,"",INDEX(PCScale,$N1338)),"")</f>
        <v/>
      </c>
      <c r="G1338" s="25">
        <f>IF($N1338&lt;&gt;"",IF(INDEX(PCBaskets,$N1338)=0,"",INDEX(PCBaskets,$N1338)),"")</f>
        <v/>
      </c>
      <c r="H1338" s="26">
        <f>IF($N1338&lt;&gt;"",IF(INDEX(PCNet,$N1338)=0,"",INDEX(PCNet,$N1338)),"")</f>
        <v/>
      </c>
      <c r="I1338" s="25">
        <f>IF($N1338&lt;&gt;"",IF(INDEX(PCOp,$N1338)="مرجوعی خرید","",IF(INDEX(PCAmount,$N1338)&lt;=0,"",INDEX(PCAmount,$N1338))),IF($O1338&lt;&gt;"",IF(INDEX(TxnDepB,$O1338)=0,"",INDEX(TxnDepB,$O1338)),""))</f>
        <v/>
      </c>
      <c r="J1338" s="25">
        <f>IF($N1338&lt;&gt;"",IF(INDEX(PCOp,$N1338)="مرجوعی خرید",IF(INDEX(PCAmount,$N1338)=0,"",-INDEX(PCAmount,$N1338)),""),IF($O1338&lt;&gt;"",IF(INDEX(TxnWitB,$O1338)=0,"",INDEX(TxnWitB,$O1338)),""))</f>
        <v/>
      </c>
      <c r="K1338" s="27">
        <f>IF($B1338="","",IF($K1337="",$C$10,$K1337)+IF($I1338="",0,$I1338)-IF($J1338="",0,$J1338))</f>
        <v/>
      </c>
      <c r="L1338" s="28">
        <f>IF($N1338&lt;&gt;"",IF(INDEX(PCNotes,$N1338)="","—",INDEX(PCNotes,$N1338)),IF($O1338&lt;&gt;"",IF(INDEX(LdgNoteB,$O1338)="","—",INDEX(LdgNoteB,$O1338)),""))</f>
        <v/>
      </c>
      <c r="N1338">
        <f>IFERROR(MATCH($C$5&amp;"|"&amp;RIGHT("000000"&amp;1322,6),LdgRankKeyA,0),"")</f>
        <v/>
      </c>
      <c r="O1338">
        <f>IFERROR(MATCH($C$5&amp;"|"&amp;RIGHT("000000"&amp;1322,6),LdgRankKeyB,0),"")</f>
        <v/>
      </c>
    </row>
    <row r="1339">
      <c r="A1339" s="17" t="n">
        <v>1323</v>
      </c>
      <c r="B1339" s="18">
        <f>IF(AND($N1339="",$O1339=""),"",IF($N1339&lt;&gt;"",INDEX(PCNormDate,$N1339),INDEX(LdgDateB,$O1339)))</f>
        <v/>
      </c>
      <c r="C1339" s="18">
        <f>IF($N1339&lt;&gt;"",INDEX(PCOp,$N1339),IF($O1339&lt;&gt;"",IF(N(INDEX(TxnDepB,$O1339))&gt;0,"دریافت بانکی","پرداخت بانکی"),""))</f>
        <v/>
      </c>
      <c r="D1339" s="18">
        <f>IF($N1339&lt;&gt;"",IF(INDEX(PCDoc,$N1339)="","—",INDEX(PCDoc,$N1339)),IF($O1339&lt;&gt;"",INDEX(LdgBankB,$O1339),""))</f>
        <v/>
      </c>
      <c r="E1339" s="18">
        <f>IF($N1339&lt;&gt;"",IF(INDEX(PCCitrus,$N1339)="","—",INDEX(PCCitrus,$N1339)),"")</f>
        <v/>
      </c>
      <c r="F1339" s="19">
        <f>IF($N1339&lt;&gt;"",IF(INDEX(PCScale,$N1339)=0,"",INDEX(PCScale,$N1339)),"")</f>
        <v/>
      </c>
      <c r="G1339" s="19">
        <f>IF($N1339&lt;&gt;"",IF(INDEX(PCBaskets,$N1339)=0,"",INDEX(PCBaskets,$N1339)),"")</f>
        <v/>
      </c>
      <c r="H1339" s="20">
        <f>IF($N1339&lt;&gt;"",IF(INDEX(PCNet,$N1339)=0,"",INDEX(PCNet,$N1339)),"")</f>
        <v/>
      </c>
      <c r="I1339" s="19">
        <f>IF($N1339&lt;&gt;"",IF(INDEX(PCOp,$N1339)="مرجوعی خرید","",IF(INDEX(PCAmount,$N1339)&lt;=0,"",INDEX(PCAmount,$N1339))),IF($O1339&lt;&gt;"",IF(INDEX(TxnDepB,$O1339)=0,"",INDEX(TxnDepB,$O1339)),""))</f>
        <v/>
      </c>
      <c r="J1339" s="19">
        <f>IF($N1339&lt;&gt;"",IF(INDEX(PCOp,$N1339)="مرجوعی خرید",IF(INDEX(PCAmount,$N1339)=0,"",-INDEX(PCAmount,$N1339)),""),IF($O1339&lt;&gt;"",IF(INDEX(TxnWitB,$O1339)=0,"",INDEX(TxnWitB,$O1339)),""))</f>
        <v/>
      </c>
      <c r="K1339" s="21">
        <f>IF($B1339="","",IF($K1338="",$C$10,$K1338)+IF($I1339="",0,$I1339)-IF($J1339="",0,$J1339))</f>
        <v/>
      </c>
      <c r="L1339" s="22">
        <f>IF($N1339&lt;&gt;"",IF(INDEX(PCNotes,$N1339)="","—",INDEX(PCNotes,$N1339)),IF($O1339&lt;&gt;"",IF(INDEX(LdgNoteB,$O1339)="","—",INDEX(LdgNoteB,$O1339)),""))</f>
        <v/>
      </c>
      <c r="N1339">
        <f>IFERROR(MATCH($C$5&amp;"|"&amp;RIGHT("000000"&amp;1323,6),LdgRankKeyA,0),"")</f>
        <v/>
      </c>
      <c r="O1339">
        <f>IFERROR(MATCH($C$5&amp;"|"&amp;RIGHT("000000"&amp;1323,6),LdgRankKeyB,0),"")</f>
        <v/>
      </c>
    </row>
    <row r="1340">
      <c r="A1340" s="23" t="n">
        <v>1324</v>
      </c>
      <c r="B1340" s="24">
        <f>IF(AND($N1340="",$O1340=""),"",IF($N1340&lt;&gt;"",INDEX(PCNormDate,$N1340),INDEX(LdgDateB,$O1340)))</f>
        <v/>
      </c>
      <c r="C1340" s="24">
        <f>IF($N1340&lt;&gt;"",INDEX(PCOp,$N1340),IF($O1340&lt;&gt;"",IF(N(INDEX(TxnDepB,$O1340))&gt;0,"دریافت بانکی","پرداخت بانکی"),""))</f>
        <v/>
      </c>
      <c r="D1340" s="24">
        <f>IF($N1340&lt;&gt;"",IF(INDEX(PCDoc,$N1340)="","—",INDEX(PCDoc,$N1340)),IF($O1340&lt;&gt;"",INDEX(LdgBankB,$O1340),""))</f>
        <v/>
      </c>
      <c r="E1340" s="24">
        <f>IF($N1340&lt;&gt;"",IF(INDEX(PCCitrus,$N1340)="","—",INDEX(PCCitrus,$N1340)),"")</f>
        <v/>
      </c>
      <c r="F1340" s="25">
        <f>IF($N1340&lt;&gt;"",IF(INDEX(PCScale,$N1340)=0,"",INDEX(PCScale,$N1340)),"")</f>
        <v/>
      </c>
      <c r="G1340" s="25">
        <f>IF($N1340&lt;&gt;"",IF(INDEX(PCBaskets,$N1340)=0,"",INDEX(PCBaskets,$N1340)),"")</f>
        <v/>
      </c>
      <c r="H1340" s="26">
        <f>IF($N1340&lt;&gt;"",IF(INDEX(PCNet,$N1340)=0,"",INDEX(PCNet,$N1340)),"")</f>
        <v/>
      </c>
      <c r="I1340" s="25">
        <f>IF($N1340&lt;&gt;"",IF(INDEX(PCOp,$N1340)="مرجوعی خرید","",IF(INDEX(PCAmount,$N1340)&lt;=0,"",INDEX(PCAmount,$N1340))),IF($O1340&lt;&gt;"",IF(INDEX(TxnDepB,$O1340)=0,"",INDEX(TxnDepB,$O1340)),""))</f>
        <v/>
      </c>
      <c r="J1340" s="25">
        <f>IF($N1340&lt;&gt;"",IF(INDEX(PCOp,$N1340)="مرجوعی خرید",IF(INDEX(PCAmount,$N1340)=0,"",-INDEX(PCAmount,$N1340)),""),IF($O1340&lt;&gt;"",IF(INDEX(TxnWitB,$O1340)=0,"",INDEX(TxnWitB,$O1340)),""))</f>
        <v/>
      </c>
      <c r="K1340" s="27">
        <f>IF($B1340="","",IF($K1339="",$C$10,$K1339)+IF($I1340="",0,$I1340)-IF($J1340="",0,$J1340))</f>
        <v/>
      </c>
      <c r="L1340" s="28">
        <f>IF($N1340&lt;&gt;"",IF(INDEX(PCNotes,$N1340)="","—",INDEX(PCNotes,$N1340)),IF($O1340&lt;&gt;"",IF(INDEX(LdgNoteB,$O1340)="","—",INDEX(LdgNoteB,$O1340)),""))</f>
        <v/>
      </c>
      <c r="N1340">
        <f>IFERROR(MATCH($C$5&amp;"|"&amp;RIGHT("000000"&amp;1324,6),LdgRankKeyA,0),"")</f>
        <v/>
      </c>
      <c r="O1340">
        <f>IFERROR(MATCH($C$5&amp;"|"&amp;RIGHT("000000"&amp;1324,6),LdgRankKeyB,0),"")</f>
        <v/>
      </c>
    </row>
    <row r="1341">
      <c r="A1341" s="17" t="n">
        <v>1325</v>
      </c>
      <c r="B1341" s="18">
        <f>IF(AND($N1341="",$O1341=""),"",IF($N1341&lt;&gt;"",INDEX(PCNormDate,$N1341),INDEX(LdgDateB,$O1341)))</f>
        <v/>
      </c>
      <c r="C1341" s="18">
        <f>IF($N1341&lt;&gt;"",INDEX(PCOp,$N1341),IF($O1341&lt;&gt;"",IF(N(INDEX(TxnDepB,$O1341))&gt;0,"دریافت بانکی","پرداخت بانکی"),""))</f>
        <v/>
      </c>
      <c r="D1341" s="18">
        <f>IF($N1341&lt;&gt;"",IF(INDEX(PCDoc,$N1341)="","—",INDEX(PCDoc,$N1341)),IF($O1341&lt;&gt;"",INDEX(LdgBankB,$O1341),""))</f>
        <v/>
      </c>
      <c r="E1341" s="18">
        <f>IF($N1341&lt;&gt;"",IF(INDEX(PCCitrus,$N1341)="","—",INDEX(PCCitrus,$N1341)),"")</f>
        <v/>
      </c>
      <c r="F1341" s="19">
        <f>IF($N1341&lt;&gt;"",IF(INDEX(PCScale,$N1341)=0,"",INDEX(PCScale,$N1341)),"")</f>
        <v/>
      </c>
      <c r="G1341" s="19">
        <f>IF($N1341&lt;&gt;"",IF(INDEX(PCBaskets,$N1341)=0,"",INDEX(PCBaskets,$N1341)),"")</f>
        <v/>
      </c>
      <c r="H1341" s="20">
        <f>IF($N1341&lt;&gt;"",IF(INDEX(PCNet,$N1341)=0,"",INDEX(PCNet,$N1341)),"")</f>
        <v/>
      </c>
      <c r="I1341" s="19">
        <f>IF($N1341&lt;&gt;"",IF(INDEX(PCOp,$N1341)="مرجوعی خرید","",IF(INDEX(PCAmount,$N1341)&lt;=0,"",INDEX(PCAmount,$N1341))),IF($O1341&lt;&gt;"",IF(INDEX(TxnDepB,$O1341)=0,"",INDEX(TxnDepB,$O1341)),""))</f>
        <v/>
      </c>
      <c r="J1341" s="19">
        <f>IF($N1341&lt;&gt;"",IF(INDEX(PCOp,$N1341)="مرجوعی خرید",IF(INDEX(PCAmount,$N1341)=0,"",-INDEX(PCAmount,$N1341)),""),IF($O1341&lt;&gt;"",IF(INDEX(TxnWitB,$O1341)=0,"",INDEX(TxnWitB,$O1341)),""))</f>
        <v/>
      </c>
      <c r="K1341" s="21">
        <f>IF($B1341="","",IF($K1340="",$C$10,$K1340)+IF($I1341="",0,$I1341)-IF($J1341="",0,$J1341))</f>
        <v/>
      </c>
      <c r="L1341" s="22">
        <f>IF($N1341&lt;&gt;"",IF(INDEX(PCNotes,$N1341)="","—",INDEX(PCNotes,$N1341)),IF($O1341&lt;&gt;"",IF(INDEX(LdgNoteB,$O1341)="","—",INDEX(LdgNoteB,$O1341)),""))</f>
        <v/>
      </c>
      <c r="N1341">
        <f>IFERROR(MATCH($C$5&amp;"|"&amp;RIGHT("000000"&amp;1325,6),LdgRankKeyA,0),"")</f>
        <v/>
      </c>
      <c r="O1341">
        <f>IFERROR(MATCH($C$5&amp;"|"&amp;RIGHT("000000"&amp;1325,6),LdgRankKeyB,0),"")</f>
        <v/>
      </c>
    </row>
    <row r="1342">
      <c r="A1342" s="23" t="n">
        <v>1326</v>
      </c>
      <c r="B1342" s="24">
        <f>IF(AND($N1342="",$O1342=""),"",IF($N1342&lt;&gt;"",INDEX(PCNormDate,$N1342),INDEX(LdgDateB,$O1342)))</f>
        <v/>
      </c>
      <c r="C1342" s="24">
        <f>IF($N1342&lt;&gt;"",INDEX(PCOp,$N1342),IF($O1342&lt;&gt;"",IF(N(INDEX(TxnDepB,$O1342))&gt;0,"دریافت بانکی","پرداخت بانکی"),""))</f>
        <v/>
      </c>
      <c r="D1342" s="24">
        <f>IF($N1342&lt;&gt;"",IF(INDEX(PCDoc,$N1342)="","—",INDEX(PCDoc,$N1342)),IF($O1342&lt;&gt;"",INDEX(LdgBankB,$O1342),""))</f>
        <v/>
      </c>
      <c r="E1342" s="24">
        <f>IF($N1342&lt;&gt;"",IF(INDEX(PCCitrus,$N1342)="","—",INDEX(PCCitrus,$N1342)),"")</f>
        <v/>
      </c>
      <c r="F1342" s="25">
        <f>IF($N1342&lt;&gt;"",IF(INDEX(PCScale,$N1342)=0,"",INDEX(PCScale,$N1342)),"")</f>
        <v/>
      </c>
      <c r="G1342" s="25">
        <f>IF($N1342&lt;&gt;"",IF(INDEX(PCBaskets,$N1342)=0,"",INDEX(PCBaskets,$N1342)),"")</f>
        <v/>
      </c>
      <c r="H1342" s="26">
        <f>IF($N1342&lt;&gt;"",IF(INDEX(PCNet,$N1342)=0,"",INDEX(PCNet,$N1342)),"")</f>
        <v/>
      </c>
      <c r="I1342" s="25">
        <f>IF($N1342&lt;&gt;"",IF(INDEX(PCOp,$N1342)="مرجوعی خرید","",IF(INDEX(PCAmount,$N1342)&lt;=0,"",INDEX(PCAmount,$N1342))),IF($O1342&lt;&gt;"",IF(INDEX(TxnDepB,$O1342)=0,"",INDEX(TxnDepB,$O1342)),""))</f>
        <v/>
      </c>
      <c r="J1342" s="25">
        <f>IF($N1342&lt;&gt;"",IF(INDEX(PCOp,$N1342)="مرجوعی خرید",IF(INDEX(PCAmount,$N1342)=0,"",-INDEX(PCAmount,$N1342)),""),IF($O1342&lt;&gt;"",IF(INDEX(TxnWitB,$O1342)=0,"",INDEX(TxnWitB,$O1342)),""))</f>
        <v/>
      </c>
      <c r="K1342" s="27">
        <f>IF($B1342="","",IF($K1341="",$C$10,$K1341)+IF($I1342="",0,$I1342)-IF($J1342="",0,$J1342))</f>
        <v/>
      </c>
      <c r="L1342" s="28">
        <f>IF($N1342&lt;&gt;"",IF(INDEX(PCNotes,$N1342)="","—",INDEX(PCNotes,$N1342)),IF($O1342&lt;&gt;"",IF(INDEX(LdgNoteB,$O1342)="","—",INDEX(LdgNoteB,$O1342)),""))</f>
        <v/>
      </c>
      <c r="N1342">
        <f>IFERROR(MATCH($C$5&amp;"|"&amp;RIGHT("000000"&amp;1326,6),LdgRankKeyA,0),"")</f>
        <v/>
      </c>
      <c r="O1342">
        <f>IFERROR(MATCH($C$5&amp;"|"&amp;RIGHT("000000"&amp;1326,6),LdgRankKeyB,0),"")</f>
        <v/>
      </c>
    </row>
    <row r="1343">
      <c r="A1343" s="17" t="n">
        <v>1327</v>
      </c>
      <c r="B1343" s="18">
        <f>IF(AND($N1343="",$O1343=""),"",IF($N1343&lt;&gt;"",INDEX(PCNormDate,$N1343),INDEX(LdgDateB,$O1343)))</f>
        <v/>
      </c>
      <c r="C1343" s="18">
        <f>IF($N1343&lt;&gt;"",INDEX(PCOp,$N1343),IF($O1343&lt;&gt;"",IF(N(INDEX(TxnDepB,$O1343))&gt;0,"دریافت بانکی","پرداخت بانکی"),""))</f>
        <v/>
      </c>
      <c r="D1343" s="18">
        <f>IF($N1343&lt;&gt;"",IF(INDEX(PCDoc,$N1343)="","—",INDEX(PCDoc,$N1343)),IF($O1343&lt;&gt;"",INDEX(LdgBankB,$O1343),""))</f>
        <v/>
      </c>
      <c r="E1343" s="18">
        <f>IF($N1343&lt;&gt;"",IF(INDEX(PCCitrus,$N1343)="","—",INDEX(PCCitrus,$N1343)),"")</f>
        <v/>
      </c>
      <c r="F1343" s="19">
        <f>IF($N1343&lt;&gt;"",IF(INDEX(PCScale,$N1343)=0,"",INDEX(PCScale,$N1343)),"")</f>
        <v/>
      </c>
      <c r="G1343" s="19">
        <f>IF($N1343&lt;&gt;"",IF(INDEX(PCBaskets,$N1343)=0,"",INDEX(PCBaskets,$N1343)),"")</f>
        <v/>
      </c>
      <c r="H1343" s="20">
        <f>IF($N1343&lt;&gt;"",IF(INDEX(PCNet,$N1343)=0,"",INDEX(PCNet,$N1343)),"")</f>
        <v/>
      </c>
      <c r="I1343" s="19">
        <f>IF($N1343&lt;&gt;"",IF(INDEX(PCOp,$N1343)="مرجوعی خرید","",IF(INDEX(PCAmount,$N1343)&lt;=0,"",INDEX(PCAmount,$N1343))),IF($O1343&lt;&gt;"",IF(INDEX(TxnDepB,$O1343)=0,"",INDEX(TxnDepB,$O1343)),""))</f>
        <v/>
      </c>
      <c r="J1343" s="19">
        <f>IF($N1343&lt;&gt;"",IF(INDEX(PCOp,$N1343)="مرجوعی خرید",IF(INDEX(PCAmount,$N1343)=0,"",-INDEX(PCAmount,$N1343)),""),IF($O1343&lt;&gt;"",IF(INDEX(TxnWitB,$O1343)=0,"",INDEX(TxnWitB,$O1343)),""))</f>
        <v/>
      </c>
      <c r="K1343" s="21">
        <f>IF($B1343="","",IF($K1342="",$C$10,$K1342)+IF($I1343="",0,$I1343)-IF($J1343="",0,$J1343))</f>
        <v/>
      </c>
      <c r="L1343" s="22">
        <f>IF($N1343&lt;&gt;"",IF(INDEX(PCNotes,$N1343)="","—",INDEX(PCNotes,$N1343)),IF($O1343&lt;&gt;"",IF(INDEX(LdgNoteB,$O1343)="","—",INDEX(LdgNoteB,$O1343)),""))</f>
        <v/>
      </c>
      <c r="N1343">
        <f>IFERROR(MATCH($C$5&amp;"|"&amp;RIGHT("000000"&amp;1327,6),LdgRankKeyA,0),"")</f>
        <v/>
      </c>
      <c r="O1343">
        <f>IFERROR(MATCH($C$5&amp;"|"&amp;RIGHT("000000"&amp;1327,6),LdgRankKeyB,0),"")</f>
        <v/>
      </c>
    </row>
    <row r="1344">
      <c r="A1344" s="23" t="n">
        <v>1328</v>
      </c>
      <c r="B1344" s="24">
        <f>IF(AND($N1344="",$O1344=""),"",IF($N1344&lt;&gt;"",INDEX(PCNormDate,$N1344),INDEX(LdgDateB,$O1344)))</f>
        <v/>
      </c>
      <c r="C1344" s="24">
        <f>IF($N1344&lt;&gt;"",INDEX(PCOp,$N1344),IF($O1344&lt;&gt;"",IF(N(INDEX(TxnDepB,$O1344))&gt;0,"دریافت بانکی","پرداخت بانکی"),""))</f>
        <v/>
      </c>
      <c r="D1344" s="24">
        <f>IF($N1344&lt;&gt;"",IF(INDEX(PCDoc,$N1344)="","—",INDEX(PCDoc,$N1344)),IF($O1344&lt;&gt;"",INDEX(LdgBankB,$O1344),""))</f>
        <v/>
      </c>
      <c r="E1344" s="24">
        <f>IF($N1344&lt;&gt;"",IF(INDEX(PCCitrus,$N1344)="","—",INDEX(PCCitrus,$N1344)),"")</f>
        <v/>
      </c>
      <c r="F1344" s="25">
        <f>IF($N1344&lt;&gt;"",IF(INDEX(PCScale,$N1344)=0,"",INDEX(PCScale,$N1344)),"")</f>
        <v/>
      </c>
      <c r="G1344" s="25">
        <f>IF($N1344&lt;&gt;"",IF(INDEX(PCBaskets,$N1344)=0,"",INDEX(PCBaskets,$N1344)),"")</f>
        <v/>
      </c>
      <c r="H1344" s="26">
        <f>IF($N1344&lt;&gt;"",IF(INDEX(PCNet,$N1344)=0,"",INDEX(PCNet,$N1344)),"")</f>
        <v/>
      </c>
      <c r="I1344" s="25">
        <f>IF($N1344&lt;&gt;"",IF(INDEX(PCOp,$N1344)="مرجوعی خرید","",IF(INDEX(PCAmount,$N1344)&lt;=0,"",INDEX(PCAmount,$N1344))),IF($O1344&lt;&gt;"",IF(INDEX(TxnDepB,$O1344)=0,"",INDEX(TxnDepB,$O1344)),""))</f>
        <v/>
      </c>
      <c r="J1344" s="25">
        <f>IF($N1344&lt;&gt;"",IF(INDEX(PCOp,$N1344)="مرجوعی خرید",IF(INDEX(PCAmount,$N1344)=0,"",-INDEX(PCAmount,$N1344)),""),IF($O1344&lt;&gt;"",IF(INDEX(TxnWitB,$O1344)=0,"",INDEX(TxnWitB,$O1344)),""))</f>
        <v/>
      </c>
      <c r="K1344" s="27">
        <f>IF($B1344="","",IF($K1343="",$C$10,$K1343)+IF($I1344="",0,$I1344)-IF($J1344="",0,$J1344))</f>
        <v/>
      </c>
      <c r="L1344" s="28">
        <f>IF($N1344&lt;&gt;"",IF(INDEX(PCNotes,$N1344)="","—",INDEX(PCNotes,$N1344)),IF($O1344&lt;&gt;"",IF(INDEX(LdgNoteB,$O1344)="","—",INDEX(LdgNoteB,$O1344)),""))</f>
        <v/>
      </c>
      <c r="N1344">
        <f>IFERROR(MATCH($C$5&amp;"|"&amp;RIGHT("000000"&amp;1328,6),LdgRankKeyA,0),"")</f>
        <v/>
      </c>
      <c r="O1344">
        <f>IFERROR(MATCH($C$5&amp;"|"&amp;RIGHT("000000"&amp;1328,6),LdgRankKeyB,0),"")</f>
        <v/>
      </c>
    </row>
    <row r="1345">
      <c r="A1345" s="17" t="n">
        <v>1329</v>
      </c>
      <c r="B1345" s="18">
        <f>IF(AND($N1345="",$O1345=""),"",IF($N1345&lt;&gt;"",INDEX(PCNormDate,$N1345),INDEX(LdgDateB,$O1345)))</f>
        <v/>
      </c>
      <c r="C1345" s="18">
        <f>IF($N1345&lt;&gt;"",INDEX(PCOp,$N1345),IF($O1345&lt;&gt;"",IF(N(INDEX(TxnDepB,$O1345))&gt;0,"دریافت بانکی","پرداخت بانکی"),""))</f>
        <v/>
      </c>
      <c r="D1345" s="18">
        <f>IF($N1345&lt;&gt;"",IF(INDEX(PCDoc,$N1345)="","—",INDEX(PCDoc,$N1345)),IF($O1345&lt;&gt;"",INDEX(LdgBankB,$O1345),""))</f>
        <v/>
      </c>
      <c r="E1345" s="18">
        <f>IF($N1345&lt;&gt;"",IF(INDEX(PCCitrus,$N1345)="","—",INDEX(PCCitrus,$N1345)),"")</f>
        <v/>
      </c>
      <c r="F1345" s="19">
        <f>IF($N1345&lt;&gt;"",IF(INDEX(PCScale,$N1345)=0,"",INDEX(PCScale,$N1345)),"")</f>
        <v/>
      </c>
      <c r="G1345" s="19">
        <f>IF($N1345&lt;&gt;"",IF(INDEX(PCBaskets,$N1345)=0,"",INDEX(PCBaskets,$N1345)),"")</f>
        <v/>
      </c>
      <c r="H1345" s="20">
        <f>IF($N1345&lt;&gt;"",IF(INDEX(PCNet,$N1345)=0,"",INDEX(PCNet,$N1345)),"")</f>
        <v/>
      </c>
      <c r="I1345" s="19">
        <f>IF($N1345&lt;&gt;"",IF(INDEX(PCOp,$N1345)="مرجوعی خرید","",IF(INDEX(PCAmount,$N1345)&lt;=0,"",INDEX(PCAmount,$N1345))),IF($O1345&lt;&gt;"",IF(INDEX(TxnDepB,$O1345)=0,"",INDEX(TxnDepB,$O1345)),""))</f>
        <v/>
      </c>
      <c r="J1345" s="19">
        <f>IF($N1345&lt;&gt;"",IF(INDEX(PCOp,$N1345)="مرجوعی خرید",IF(INDEX(PCAmount,$N1345)=0,"",-INDEX(PCAmount,$N1345)),""),IF($O1345&lt;&gt;"",IF(INDEX(TxnWitB,$O1345)=0,"",INDEX(TxnWitB,$O1345)),""))</f>
        <v/>
      </c>
      <c r="K1345" s="21">
        <f>IF($B1345="","",IF($K1344="",$C$10,$K1344)+IF($I1345="",0,$I1345)-IF($J1345="",0,$J1345))</f>
        <v/>
      </c>
      <c r="L1345" s="22">
        <f>IF($N1345&lt;&gt;"",IF(INDEX(PCNotes,$N1345)="","—",INDEX(PCNotes,$N1345)),IF($O1345&lt;&gt;"",IF(INDEX(LdgNoteB,$O1345)="","—",INDEX(LdgNoteB,$O1345)),""))</f>
        <v/>
      </c>
      <c r="N1345">
        <f>IFERROR(MATCH($C$5&amp;"|"&amp;RIGHT("000000"&amp;1329,6),LdgRankKeyA,0),"")</f>
        <v/>
      </c>
      <c r="O1345">
        <f>IFERROR(MATCH($C$5&amp;"|"&amp;RIGHT("000000"&amp;1329,6),LdgRankKeyB,0),"")</f>
        <v/>
      </c>
    </row>
    <row r="1346">
      <c r="A1346" s="23" t="n">
        <v>1330</v>
      </c>
      <c r="B1346" s="24">
        <f>IF(AND($N1346="",$O1346=""),"",IF($N1346&lt;&gt;"",INDEX(PCNormDate,$N1346),INDEX(LdgDateB,$O1346)))</f>
        <v/>
      </c>
      <c r="C1346" s="24">
        <f>IF($N1346&lt;&gt;"",INDEX(PCOp,$N1346),IF($O1346&lt;&gt;"",IF(N(INDEX(TxnDepB,$O1346))&gt;0,"دریافت بانکی","پرداخت بانکی"),""))</f>
        <v/>
      </c>
      <c r="D1346" s="24">
        <f>IF($N1346&lt;&gt;"",IF(INDEX(PCDoc,$N1346)="","—",INDEX(PCDoc,$N1346)),IF($O1346&lt;&gt;"",INDEX(LdgBankB,$O1346),""))</f>
        <v/>
      </c>
      <c r="E1346" s="24">
        <f>IF($N1346&lt;&gt;"",IF(INDEX(PCCitrus,$N1346)="","—",INDEX(PCCitrus,$N1346)),"")</f>
        <v/>
      </c>
      <c r="F1346" s="25">
        <f>IF($N1346&lt;&gt;"",IF(INDEX(PCScale,$N1346)=0,"",INDEX(PCScale,$N1346)),"")</f>
        <v/>
      </c>
      <c r="G1346" s="25">
        <f>IF($N1346&lt;&gt;"",IF(INDEX(PCBaskets,$N1346)=0,"",INDEX(PCBaskets,$N1346)),"")</f>
        <v/>
      </c>
      <c r="H1346" s="26">
        <f>IF($N1346&lt;&gt;"",IF(INDEX(PCNet,$N1346)=0,"",INDEX(PCNet,$N1346)),"")</f>
        <v/>
      </c>
      <c r="I1346" s="25">
        <f>IF($N1346&lt;&gt;"",IF(INDEX(PCOp,$N1346)="مرجوعی خرید","",IF(INDEX(PCAmount,$N1346)&lt;=0,"",INDEX(PCAmount,$N1346))),IF($O1346&lt;&gt;"",IF(INDEX(TxnDepB,$O1346)=0,"",INDEX(TxnDepB,$O1346)),""))</f>
        <v/>
      </c>
      <c r="J1346" s="25">
        <f>IF($N1346&lt;&gt;"",IF(INDEX(PCOp,$N1346)="مرجوعی خرید",IF(INDEX(PCAmount,$N1346)=0,"",-INDEX(PCAmount,$N1346)),""),IF($O1346&lt;&gt;"",IF(INDEX(TxnWitB,$O1346)=0,"",INDEX(TxnWitB,$O1346)),""))</f>
        <v/>
      </c>
      <c r="K1346" s="27">
        <f>IF($B1346="","",IF($K1345="",$C$10,$K1345)+IF($I1346="",0,$I1346)-IF($J1346="",0,$J1346))</f>
        <v/>
      </c>
      <c r="L1346" s="28">
        <f>IF($N1346&lt;&gt;"",IF(INDEX(PCNotes,$N1346)="","—",INDEX(PCNotes,$N1346)),IF($O1346&lt;&gt;"",IF(INDEX(LdgNoteB,$O1346)="","—",INDEX(LdgNoteB,$O1346)),""))</f>
        <v/>
      </c>
      <c r="N1346">
        <f>IFERROR(MATCH($C$5&amp;"|"&amp;RIGHT("000000"&amp;1330,6),LdgRankKeyA,0),"")</f>
        <v/>
      </c>
      <c r="O1346">
        <f>IFERROR(MATCH($C$5&amp;"|"&amp;RIGHT("000000"&amp;1330,6),LdgRankKeyB,0),"")</f>
        <v/>
      </c>
    </row>
    <row r="1347">
      <c r="A1347" s="17" t="n">
        <v>1331</v>
      </c>
      <c r="B1347" s="18">
        <f>IF(AND($N1347="",$O1347=""),"",IF($N1347&lt;&gt;"",INDEX(PCNormDate,$N1347),INDEX(LdgDateB,$O1347)))</f>
        <v/>
      </c>
      <c r="C1347" s="18">
        <f>IF($N1347&lt;&gt;"",INDEX(PCOp,$N1347),IF($O1347&lt;&gt;"",IF(N(INDEX(TxnDepB,$O1347))&gt;0,"دریافت بانکی","پرداخت بانکی"),""))</f>
        <v/>
      </c>
      <c r="D1347" s="18">
        <f>IF($N1347&lt;&gt;"",IF(INDEX(PCDoc,$N1347)="","—",INDEX(PCDoc,$N1347)),IF($O1347&lt;&gt;"",INDEX(LdgBankB,$O1347),""))</f>
        <v/>
      </c>
      <c r="E1347" s="18">
        <f>IF($N1347&lt;&gt;"",IF(INDEX(PCCitrus,$N1347)="","—",INDEX(PCCitrus,$N1347)),"")</f>
        <v/>
      </c>
      <c r="F1347" s="19">
        <f>IF($N1347&lt;&gt;"",IF(INDEX(PCScale,$N1347)=0,"",INDEX(PCScale,$N1347)),"")</f>
        <v/>
      </c>
      <c r="G1347" s="19">
        <f>IF($N1347&lt;&gt;"",IF(INDEX(PCBaskets,$N1347)=0,"",INDEX(PCBaskets,$N1347)),"")</f>
        <v/>
      </c>
      <c r="H1347" s="20">
        <f>IF($N1347&lt;&gt;"",IF(INDEX(PCNet,$N1347)=0,"",INDEX(PCNet,$N1347)),"")</f>
        <v/>
      </c>
      <c r="I1347" s="19">
        <f>IF($N1347&lt;&gt;"",IF(INDEX(PCOp,$N1347)="مرجوعی خرید","",IF(INDEX(PCAmount,$N1347)&lt;=0,"",INDEX(PCAmount,$N1347))),IF($O1347&lt;&gt;"",IF(INDEX(TxnDepB,$O1347)=0,"",INDEX(TxnDepB,$O1347)),""))</f>
        <v/>
      </c>
      <c r="J1347" s="19">
        <f>IF($N1347&lt;&gt;"",IF(INDEX(PCOp,$N1347)="مرجوعی خرید",IF(INDEX(PCAmount,$N1347)=0,"",-INDEX(PCAmount,$N1347)),""),IF($O1347&lt;&gt;"",IF(INDEX(TxnWitB,$O1347)=0,"",INDEX(TxnWitB,$O1347)),""))</f>
        <v/>
      </c>
      <c r="K1347" s="21">
        <f>IF($B1347="","",IF($K1346="",$C$10,$K1346)+IF($I1347="",0,$I1347)-IF($J1347="",0,$J1347))</f>
        <v/>
      </c>
      <c r="L1347" s="22">
        <f>IF($N1347&lt;&gt;"",IF(INDEX(PCNotes,$N1347)="","—",INDEX(PCNotes,$N1347)),IF($O1347&lt;&gt;"",IF(INDEX(LdgNoteB,$O1347)="","—",INDEX(LdgNoteB,$O1347)),""))</f>
        <v/>
      </c>
      <c r="N1347">
        <f>IFERROR(MATCH($C$5&amp;"|"&amp;RIGHT("000000"&amp;1331,6),LdgRankKeyA,0),"")</f>
        <v/>
      </c>
      <c r="O1347">
        <f>IFERROR(MATCH($C$5&amp;"|"&amp;RIGHT("000000"&amp;1331,6),LdgRankKeyB,0),"")</f>
        <v/>
      </c>
    </row>
    <row r="1348">
      <c r="A1348" s="23" t="n">
        <v>1332</v>
      </c>
      <c r="B1348" s="24">
        <f>IF(AND($N1348="",$O1348=""),"",IF($N1348&lt;&gt;"",INDEX(PCNormDate,$N1348),INDEX(LdgDateB,$O1348)))</f>
        <v/>
      </c>
      <c r="C1348" s="24">
        <f>IF($N1348&lt;&gt;"",INDEX(PCOp,$N1348),IF($O1348&lt;&gt;"",IF(N(INDEX(TxnDepB,$O1348))&gt;0,"دریافت بانکی","پرداخت بانکی"),""))</f>
        <v/>
      </c>
      <c r="D1348" s="24">
        <f>IF($N1348&lt;&gt;"",IF(INDEX(PCDoc,$N1348)="","—",INDEX(PCDoc,$N1348)),IF($O1348&lt;&gt;"",INDEX(LdgBankB,$O1348),""))</f>
        <v/>
      </c>
      <c r="E1348" s="24">
        <f>IF($N1348&lt;&gt;"",IF(INDEX(PCCitrus,$N1348)="","—",INDEX(PCCitrus,$N1348)),"")</f>
        <v/>
      </c>
      <c r="F1348" s="25">
        <f>IF($N1348&lt;&gt;"",IF(INDEX(PCScale,$N1348)=0,"",INDEX(PCScale,$N1348)),"")</f>
        <v/>
      </c>
      <c r="G1348" s="25">
        <f>IF($N1348&lt;&gt;"",IF(INDEX(PCBaskets,$N1348)=0,"",INDEX(PCBaskets,$N1348)),"")</f>
        <v/>
      </c>
      <c r="H1348" s="26">
        <f>IF($N1348&lt;&gt;"",IF(INDEX(PCNet,$N1348)=0,"",INDEX(PCNet,$N1348)),"")</f>
        <v/>
      </c>
      <c r="I1348" s="25">
        <f>IF($N1348&lt;&gt;"",IF(INDEX(PCOp,$N1348)="مرجوعی خرید","",IF(INDEX(PCAmount,$N1348)&lt;=0,"",INDEX(PCAmount,$N1348))),IF($O1348&lt;&gt;"",IF(INDEX(TxnDepB,$O1348)=0,"",INDEX(TxnDepB,$O1348)),""))</f>
        <v/>
      </c>
      <c r="J1348" s="25">
        <f>IF($N1348&lt;&gt;"",IF(INDEX(PCOp,$N1348)="مرجوعی خرید",IF(INDEX(PCAmount,$N1348)=0,"",-INDEX(PCAmount,$N1348)),""),IF($O1348&lt;&gt;"",IF(INDEX(TxnWitB,$O1348)=0,"",INDEX(TxnWitB,$O1348)),""))</f>
        <v/>
      </c>
      <c r="K1348" s="27">
        <f>IF($B1348="","",IF($K1347="",$C$10,$K1347)+IF($I1348="",0,$I1348)-IF($J1348="",0,$J1348))</f>
        <v/>
      </c>
      <c r="L1348" s="28">
        <f>IF($N1348&lt;&gt;"",IF(INDEX(PCNotes,$N1348)="","—",INDEX(PCNotes,$N1348)),IF($O1348&lt;&gt;"",IF(INDEX(LdgNoteB,$O1348)="","—",INDEX(LdgNoteB,$O1348)),""))</f>
        <v/>
      </c>
      <c r="N1348">
        <f>IFERROR(MATCH($C$5&amp;"|"&amp;RIGHT("000000"&amp;1332,6),LdgRankKeyA,0),"")</f>
        <v/>
      </c>
      <c r="O1348">
        <f>IFERROR(MATCH($C$5&amp;"|"&amp;RIGHT("000000"&amp;1332,6),LdgRankKeyB,0),"")</f>
        <v/>
      </c>
    </row>
    <row r="1349">
      <c r="A1349" s="17" t="n">
        <v>1333</v>
      </c>
      <c r="B1349" s="18">
        <f>IF(AND($N1349="",$O1349=""),"",IF($N1349&lt;&gt;"",INDEX(PCNormDate,$N1349),INDEX(LdgDateB,$O1349)))</f>
        <v/>
      </c>
      <c r="C1349" s="18">
        <f>IF($N1349&lt;&gt;"",INDEX(PCOp,$N1349),IF($O1349&lt;&gt;"",IF(N(INDEX(TxnDepB,$O1349))&gt;0,"دریافت بانکی","پرداخت بانکی"),""))</f>
        <v/>
      </c>
      <c r="D1349" s="18">
        <f>IF($N1349&lt;&gt;"",IF(INDEX(PCDoc,$N1349)="","—",INDEX(PCDoc,$N1349)),IF($O1349&lt;&gt;"",INDEX(LdgBankB,$O1349),""))</f>
        <v/>
      </c>
      <c r="E1349" s="18">
        <f>IF($N1349&lt;&gt;"",IF(INDEX(PCCitrus,$N1349)="","—",INDEX(PCCitrus,$N1349)),"")</f>
        <v/>
      </c>
      <c r="F1349" s="19">
        <f>IF($N1349&lt;&gt;"",IF(INDEX(PCScale,$N1349)=0,"",INDEX(PCScale,$N1349)),"")</f>
        <v/>
      </c>
      <c r="G1349" s="19">
        <f>IF($N1349&lt;&gt;"",IF(INDEX(PCBaskets,$N1349)=0,"",INDEX(PCBaskets,$N1349)),"")</f>
        <v/>
      </c>
      <c r="H1349" s="20">
        <f>IF($N1349&lt;&gt;"",IF(INDEX(PCNet,$N1349)=0,"",INDEX(PCNet,$N1349)),"")</f>
        <v/>
      </c>
      <c r="I1349" s="19">
        <f>IF($N1349&lt;&gt;"",IF(INDEX(PCOp,$N1349)="مرجوعی خرید","",IF(INDEX(PCAmount,$N1349)&lt;=0,"",INDEX(PCAmount,$N1349))),IF($O1349&lt;&gt;"",IF(INDEX(TxnDepB,$O1349)=0,"",INDEX(TxnDepB,$O1349)),""))</f>
        <v/>
      </c>
      <c r="J1349" s="19">
        <f>IF($N1349&lt;&gt;"",IF(INDEX(PCOp,$N1349)="مرجوعی خرید",IF(INDEX(PCAmount,$N1349)=0,"",-INDEX(PCAmount,$N1349)),""),IF($O1349&lt;&gt;"",IF(INDEX(TxnWitB,$O1349)=0,"",INDEX(TxnWitB,$O1349)),""))</f>
        <v/>
      </c>
      <c r="K1349" s="21">
        <f>IF($B1349="","",IF($K1348="",$C$10,$K1348)+IF($I1349="",0,$I1349)-IF($J1349="",0,$J1349))</f>
        <v/>
      </c>
      <c r="L1349" s="22">
        <f>IF($N1349&lt;&gt;"",IF(INDEX(PCNotes,$N1349)="","—",INDEX(PCNotes,$N1349)),IF($O1349&lt;&gt;"",IF(INDEX(LdgNoteB,$O1349)="","—",INDEX(LdgNoteB,$O1349)),""))</f>
        <v/>
      </c>
      <c r="N1349">
        <f>IFERROR(MATCH($C$5&amp;"|"&amp;RIGHT("000000"&amp;1333,6),LdgRankKeyA,0),"")</f>
        <v/>
      </c>
      <c r="O1349">
        <f>IFERROR(MATCH($C$5&amp;"|"&amp;RIGHT("000000"&amp;1333,6),LdgRankKeyB,0),"")</f>
        <v/>
      </c>
    </row>
    <row r="1350">
      <c r="A1350" s="23" t="n">
        <v>1334</v>
      </c>
      <c r="B1350" s="24">
        <f>IF(AND($N1350="",$O1350=""),"",IF($N1350&lt;&gt;"",INDEX(PCNormDate,$N1350),INDEX(LdgDateB,$O1350)))</f>
        <v/>
      </c>
      <c r="C1350" s="24">
        <f>IF($N1350&lt;&gt;"",INDEX(PCOp,$N1350),IF($O1350&lt;&gt;"",IF(N(INDEX(TxnDepB,$O1350))&gt;0,"دریافت بانکی","پرداخت بانکی"),""))</f>
        <v/>
      </c>
      <c r="D1350" s="24">
        <f>IF($N1350&lt;&gt;"",IF(INDEX(PCDoc,$N1350)="","—",INDEX(PCDoc,$N1350)),IF($O1350&lt;&gt;"",INDEX(LdgBankB,$O1350),""))</f>
        <v/>
      </c>
      <c r="E1350" s="24">
        <f>IF($N1350&lt;&gt;"",IF(INDEX(PCCitrus,$N1350)="","—",INDEX(PCCitrus,$N1350)),"")</f>
        <v/>
      </c>
      <c r="F1350" s="25">
        <f>IF($N1350&lt;&gt;"",IF(INDEX(PCScale,$N1350)=0,"",INDEX(PCScale,$N1350)),"")</f>
        <v/>
      </c>
      <c r="G1350" s="25">
        <f>IF($N1350&lt;&gt;"",IF(INDEX(PCBaskets,$N1350)=0,"",INDEX(PCBaskets,$N1350)),"")</f>
        <v/>
      </c>
      <c r="H1350" s="26">
        <f>IF($N1350&lt;&gt;"",IF(INDEX(PCNet,$N1350)=0,"",INDEX(PCNet,$N1350)),"")</f>
        <v/>
      </c>
      <c r="I1350" s="25">
        <f>IF($N1350&lt;&gt;"",IF(INDEX(PCOp,$N1350)="مرجوعی خرید","",IF(INDEX(PCAmount,$N1350)&lt;=0,"",INDEX(PCAmount,$N1350))),IF($O1350&lt;&gt;"",IF(INDEX(TxnDepB,$O1350)=0,"",INDEX(TxnDepB,$O1350)),""))</f>
        <v/>
      </c>
      <c r="J1350" s="25">
        <f>IF($N1350&lt;&gt;"",IF(INDEX(PCOp,$N1350)="مرجوعی خرید",IF(INDEX(PCAmount,$N1350)=0,"",-INDEX(PCAmount,$N1350)),""),IF($O1350&lt;&gt;"",IF(INDEX(TxnWitB,$O1350)=0,"",INDEX(TxnWitB,$O1350)),""))</f>
        <v/>
      </c>
      <c r="K1350" s="27">
        <f>IF($B1350="","",IF($K1349="",$C$10,$K1349)+IF($I1350="",0,$I1350)-IF($J1350="",0,$J1350))</f>
        <v/>
      </c>
      <c r="L1350" s="28">
        <f>IF($N1350&lt;&gt;"",IF(INDEX(PCNotes,$N1350)="","—",INDEX(PCNotes,$N1350)),IF($O1350&lt;&gt;"",IF(INDEX(LdgNoteB,$O1350)="","—",INDEX(LdgNoteB,$O1350)),""))</f>
        <v/>
      </c>
      <c r="N1350">
        <f>IFERROR(MATCH($C$5&amp;"|"&amp;RIGHT("000000"&amp;1334,6),LdgRankKeyA,0),"")</f>
        <v/>
      </c>
      <c r="O1350">
        <f>IFERROR(MATCH($C$5&amp;"|"&amp;RIGHT("000000"&amp;1334,6),LdgRankKeyB,0),"")</f>
        <v/>
      </c>
    </row>
    <row r="1351">
      <c r="A1351" s="17" t="n">
        <v>1335</v>
      </c>
      <c r="B1351" s="18">
        <f>IF(AND($N1351="",$O1351=""),"",IF($N1351&lt;&gt;"",INDEX(PCNormDate,$N1351),INDEX(LdgDateB,$O1351)))</f>
        <v/>
      </c>
      <c r="C1351" s="18">
        <f>IF($N1351&lt;&gt;"",INDEX(PCOp,$N1351),IF($O1351&lt;&gt;"",IF(N(INDEX(TxnDepB,$O1351))&gt;0,"دریافت بانکی","پرداخت بانکی"),""))</f>
        <v/>
      </c>
      <c r="D1351" s="18">
        <f>IF($N1351&lt;&gt;"",IF(INDEX(PCDoc,$N1351)="","—",INDEX(PCDoc,$N1351)),IF($O1351&lt;&gt;"",INDEX(LdgBankB,$O1351),""))</f>
        <v/>
      </c>
      <c r="E1351" s="18">
        <f>IF($N1351&lt;&gt;"",IF(INDEX(PCCitrus,$N1351)="","—",INDEX(PCCitrus,$N1351)),"")</f>
        <v/>
      </c>
      <c r="F1351" s="19">
        <f>IF($N1351&lt;&gt;"",IF(INDEX(PCScale,$N1351)=0,"",INDEX(PCScale,$N1351)),"")</f>
        <v/>
      </c>
      <c r="G1351" s="19">
        <f>IF($N1351&lt;&gt;"",IF(INDEX(PCBaskets,$N1351)=0,"",INDEX(PCBaskets,$N1351)),"")</f>
        <v/>
      </c>
      <c r="H1351" s="20">
        <f>IF($N1351&lt;&gt;"",IF(INDEX(PCNet,$N1351)=0,"",INDEX(PCNet,$N1351)),"")</f>
        <v/>
      </c>
      <c r="I1351" s="19">
        <f>IF($N1351&lt;&gt;"",IF(INDEX(PCOp,$N1351)="مرجوعی خرید","",IF(INDEX(PCAmount,$N1351)&lt;=0,"",INDEX(PCAmount,$N1351))),IF($O1351&lt;&gt;"",IF(INDEX(TxnDepB,$O1351)=0,"",INDEX(TxnDepB,$O1351)),""))</f>
        <v/>
      </c>
      <c r="J1351" s="19">
        <f>IF($N1351&lt;&gt;"",IF(INDEX(PCOp,$N1351)="مرجوعی خرید",IF(INDEX(PCAmount,$N1351)=0,"",-INDEX(PCAmount,$N1351)),""),IF($O1351&lt;&gt;"",IF(INDEX(TxnWitB,$O1351)=0,"",INDEX(TxnWitB,$O1351)),""))</f>
        <v/>
      </c>
      <c r="K1351" s="21">
        <f>IF($B1351="","",IF($K1350="",$C$10,$K1350)+IF($I1351="",0,$I1351)-IF($J1351="",0,$J1351))</f>
        <v/>
      </c>
      <c r="L1351" s="22">
        <f>IF($N1351&lt;&gt;"",IF(INDEX(PCNotes,$N1351)="","—",INDEX(PCNotes,$N1351)),IF($O1351&lt;&gt;"",IF(INDEX(LdgNoteB,$O1351)="","—",INDEX(LdgNoteB,$O1351)),""))</f>
        <v/>
      </c>
      <c r="N1351">
        <f>IFERROR(MATCH($C$5&amp;"|"&amp;RIGHT("000000"&amp;1335,6),LdgRankKeyA,0),"")</f>
        <v/>
      </c>
      <c r="O1351">
        <f>IFERROR(MATCH($C$5&amp;"|"&amp;RIGHT("000000"&amp;1335,6),LdgRankKeyB,0),"")</f>
        <v/>
      </c>
    </row>
    <row r="1352">
      <c r="A1352" s="23" t="n">
        <v>1336</v>
      </c>
      <c r="B1352" s="24">
        <f>IF(AND($N1352="",$O1352=""),"",IF($N1352&lt;&gt;"",INDEX(PCNormDate,$N1352),INDEX(LdgDateB,$O1352)))</f>
        <v/>
      </c>
      <c r="C1352" s="24">
        <f>IF($N1352&lt;&gt;"",INDEX(PCOp,$N1352),IF($O1352&lt;&gt;"",IF(N(INDEX(TxnDepB,$O1352))&gt;0,"دریافت بانکی","پرداخت بانکی"),""))</f>
        <v/>
      </c>
      <c r="D1352" s="24">
        <f>IF($N1352&lt;&gt;"",IF(INDEX(PCDoc,$N1352)="","—",INDEX(PCDoc,$N1352)),IF($O1352&lt;&gt;"",INDEX(LdgBankB,$O1352),""))</f>
        <v/>
      </c>
      <c r="E1352" s="24">
        <f>IF($N1352&lt;&gt;"",IF(INDEX(PCCitrus,$N1352)="","—",INDEX(PCCitrus,$N1352)),"")</f>
        <v/>
      </c>
      <c r="F1352" s="25">
        <f>IF($N1352&lt;&gt;"",IF(INDEX(PCScale,$N1352)=0,"",INDEX(PCScale,$N1352)),"")</f>
        <v/>
      </c>
      <c r="G1352" s="25">
        <f>IF($N1352&lt;&gt;"",IF(INDEX(PCBaskets,$N1352)=0,"",INDEX(PCBaskets,$N1352)),"")</f>
        <v/>
      </c>
      <c r="H1352" s="26">
        <f>IF($N1352&lt;&gt;"",IF(INDEX(PCNet,$N1352)=0,"",INDEX(PCNet,$N1352)),"")</f>
        <v/>
      </c>
      <c r="I1352" s="25">
        <f>IF($N1352&lt;&gt;"",IF(INDEX(PCOp,$N1352)="مرجوعی خرید","",IF(INDEX(PCAmount,$N1352)&lt;=0,"",INDEX(PCAmount,$N1352))),IF($O1352&lt;&gt;"",IF(INDEX(TxnDepB,$O1352)=0,"",INDEX(TxnDepB,$O1352)),""))</f>
        <v/>
      </c>
      <c r="J1352" s="25">
        <f>IF($N1352&lt;&gt;"",IF(INDEX(PCOp,$N1352)="مرجوعی خرید",IF(INDEX(PCAmount,$N1352)=0,"",-INDEX(PCAmount,$N1352)),""),IF($O1352&lt;&gt;"",IF(INDEX(TxnWitB,$O1352)=0,"",INDEX(TxnWitB,$O1352)),""))</f>
        <v/>
      </c>
      <c r="K1352" s="27">
        <f>IF($B1352="","",IF($K1351="",$C$10,$K1351)+IF($I1352="",0,$I1352)-IF($J1352="",0,$J1352))</f>
        <v/>
      </c>
      <c r="L1352" s="28">
        <f>IF($N1352&lt;&gt;"",IF(INDEX(PCNotes,$N1352)="","—",INDEX(PCNotes,$N1352)),IF($O1352&lt;&gt;"",IF(INDEX(LdgNoteB,$O1352)="","—",INDEX(LdgNoteB,$O1352)),""))</f>
        <v/>
      </c>
      <c r="N1352">
        <f>IFERROR(MATCH($C$5&amp;"|"&amp;RIGHT("000000"&amp;1336,6),LdgRankKeyA,0),"")</f>
        <v/>
      </c>
      <c r="O1352">
        <f>IFERROR(MATCH($C$5&amp;"|"&amp;RIGHT("000000"&amp;1336,6),LdgRankKeyB,0),"")</f>
        <v/>
      </c>
    </row>
    <row r="1353">
      <c r="A1353" s="17" t="n">
        <v>1337</v>
      </c>
      <c r="B1353" s="18">
        <f>IF(AND($N1353="",$O1353=""),"",IF($N1353&lt;&gt;"",INDEX(PCNormDate,$N1353),INDEX(LdgDateB,$O1353)))</f>
        <v/>
      </c>
      <c r="C1353" s="18">
        <f>IF($N1353&lt;&gt;"",INDEX(PCOp,$N1353),IF($O1353&lt;&gt;"",IF(N(INDEX(TxnDepB,$O1353))&gt;0,"دریافت بانکی","پرداخت بانکی"),""))</f>
        <v/>
      </c>
      <c r="D1353" s="18">
        <f>IF($N1353&lt;&gt;"",IF(INDEX(PCDoc,$N1353)="","—",INDEX(PCDoc,$N1353)),IF($O1353&lt;&gt;"",INDEX(LdgBankB,$O1353),""))</f>
        <v/>
      </c>
      <c r="E1353" s="18">
        <f>IF($N1353&lt;&gt;"",IF(INDEX(PCCitrus,$N1353)="","—",INDEX(PCCitrus,$N1353)),"")</f>
        <v/>
      </c>
      <c r="F1353" s="19">
        <f>IF($N1353&lt;&gt;"",IF(INDEX(PCScale,$N1353)=0,"",INDEX(PCScale,$N1353)),"")</f>
        <v/>
      </c>
      <c r="G1353" s="19">
        <f>IF($N1353&lt;&gt;"",IF(INDEX(PCBaskets,$N1353)=0,"",INDEX(PCBaskets,$N1353)),"")</f>
        <v/>
      </c>
      <c r="H1353" s="20">
        <f>IF($N1353&lt;&gt;"",IF(INDEX(PCNet,$N1353)=0,"",INDEX(PCNet,$N1353)),"")</f>
        <v/>
      </c>
      <c r="I1353" s="19">
        <f>IF($N1353&lt;&gt;"",IF(INDEX(PCOp,$N1353)="مرجوعی خرید","",IF(INDEX(PCAmount,$N1353)&lt;=0,"",INDEX(PCAmount,$N1353))),IF($O1353&lt;&gt;"",IF(INDEX(TxnDepB,$O1353)=0,"",INDEX(TxnDepB,$O1353)),""))</f>
        <v/>
      </c>
      <c r="J1353" s="19">
        <f>IF($N1353&lt;&gt;"",IF(INDEX(PCOp,$N1353)="مرجوعی خرید",IF(INDEX(PCAmount,$N1353)=0,"",-INDEX(PCAmount,$N1353)),""),IF($O1353&lt;&gt;"",IF(INDEX(TxnWitB,$O1353)=0,"",INDEX(TxnWitB,$O1353)),""))</f>
        <v/>
      </c>
      <c r="K1353" s="21">
        <f>IF($B1353="","",IF($K1352="",$C$10,$K1352)+IF($I1353="",0,$I1353)-IF($J1353="",0,$J1353))</f>
        <v/>
      </c>
      <c r="L1353" s="22">
        <f>IF($N1353&lt;&gt;"",IF(INDEX(PCNotes,$N1353)="","—",INDEX(PCNotes,$N1353)),IF($O1353&lt;&gt;"",IF(INDEX(LdgNoteB,$O1353)="","—",INDEX(LdgNoteB,$O1353)),""))</f>
        <v/>
      </c>
      <c r="N1353">
        <f>IFERROR(MATCH($C$5&amp;"|"&amp;RIGHT("000000"&amp;1337,6),LdgRankKeyA,0),"")</f>
        <v/>
      </c>
      <c r="O1353">
        <f>IFERROR(MATCH($C$5&amp;"|"&amp;RIGHT("000000"&amp;1337,6),LdgRankKeyB,0),"")</f>
        <v/>
      </c>
    </row>
    <row r="1354">
      <c r="A1354" s="23" t="n">
        <v>1338</v>
      </c>
      <c r="B1354" s="24">
        <f>IF(AND($N1354="",$O1354=""),"",IF($N1354&lt;&gt;"",INDEX(PCNormDate,$N1354),INDEX(LdgDateB,$O1354)))</f>
        <v/>
      </c>
      <c r="C1354" s="24">
        <f>IF($N1354&lt;&gt;"",INDEX(PCOp,$N1354),IF($O1354&lt;&gt;"",IF(N(INDEX(TxnDepB,$O1354))&gt;0,"دریافت بانکی","پرداخت بانکی"),""))</f>
        <v/>
      </c>
      <c r="D1354" s="24">
        <f>IF($N1354&lt;&gt;"",IF(INDEX(PCDoc,$N1354)="","—",INDEX(PCDoc,$N1354)),IF($O1354&lt;&gt;"",INDEX(LdgBankB,$O1354),""))</f>
        <v/>
      </c>
      <c r="E1354" s="24">
        <f>IF($N1354&lt;&gt;"",IF(INDEX(PCCitrus,$N1354)="","—",INDEX(PCCitrus,$N1354)),"")</f>
        <v/>
      </c>
      <c r="F1354" s="25">
        <f>IF($N1354&lt;&gt;"",IF(INDEX(PCScale,$N1354)=0,"",INDEX(PCScale,$N1354)),"")</f>
        <v/>
      </c>
      <c r="G1354" s="25">
        <f>IF($N1354&lt;&gt;"",IF(INDEX(PCBaskets,$N1354)=0,"",INDEX(PCBaskets,$N1354)),"")</f>
        <v/>
      </c>
      <c r="H1354" s="26">
        <f>IF($N1354&lt;&gt;"",IF(INDEX(PCNet,$N1354)=0,"",INDEX(PCNet,$N1354)),"")</f>
        <v/>
      </c>
      <c r="I1354" s="25">
        <f>IF($N1354&lt;&gt;"",IF(INDEX(PCOp,$N1354)="مرجوعی خرید","",IF(INDEX(PCAmount,$N1354)&lt;=0,"",INDEX(PCAmount,$N1354))),IF($O1354&lt;&gt;"",IF(INDEX(TxnDepB,$O1354)=0,"",INDEX(TxnDepB,$O1354)),""))</f>
        <v/>
      </c>
      <c r="J1354" s="25">
        <f>IF($N1354&lt;&gt;"",IF(INDEX(PCOp,$N1354)="مرجوعی خرید",IF(INDEX(PCAmount,$N1354)=0,"",-INDEX(PCAmount,$N1354)),""),IF($O1354&lt;&gt;"",IF(INDEX(TxnWitB,$O1354)=0,"",INDEX(TxnWitB,$O1354)),""))</f>
        <v/>
      </c>
      <c r="K1354" s="27">
        <f>IF($B1354="","",IF($K1353="",$C$10,$K1353)+IF($I1354="",0,$I1354)-IF($J1354="",0,$J1354))</f>
        <v/>
      </c>
      <c r="L1354" s="28">
        <f>IF($N1354&lt;&gt;"",IF(INDEX(PCNotes,$N1354)="","—",INDEX(PCNotes,$N1354)),IF($O1354&lt;&gt;"",IF(INDEX(LdgNoteB,$O1354)="","—",INDEX(LdgNoteB,$O1354)),""))</f>
        <v/>
      </c>
      <c r="N1354">
        <f>IFERROR(MATCH($C$5&amp;"|"&amp;RIGHT("000000"&amp;1338,6),LdgRankKeyA,0),"")</f>
        <v/>
      </c>
      <c r="O1354">
        <f>IFERROR(MATCH($C$5&amp;"|"&amp;RIGHT("000000"&amp;1338,6),LdgRankKeyB,0),"")</f>
        <v/>
      </c>
    </row>
    <row r="1355">
      <c r="A1355" s="17" t="n">
        <v>1339</v>
      </c>
      <c r="B1355" s="18">
        <f>IF(AND($N1355="",$O1355=""),"",IF($N1355&lt;&gt;"",INDEX(PCNormDate,$N1355),INDEX(LdgDateB,$O1355)))</f>
        <v/>
      </c>
      <c r="C1355" s="18">
        <f>IF($N1355&lt;&gt;"",INDEX(PCOp,$N1355),IF($O1355&lt;&gt;"",IF(N(INDEX(TxnDepB,$O1355))&gt;0,"دریافت بانکی","پرداخت بانکی"),""))</f>
        <v/>
      </c>
      <c r="D1355" s="18">
        <f>IF($N1355&lt;&gt;"",IF(INDEX(PCDoc,$N1355)="","—",INDEX(PCDoc,$N1355)),IF($O1355&lt;&gt;"",INDEX(LdgBankB,$O1355),""))</f>
        <v/>
      </c>
      <c r="E1355" s="18">
        <f>IF($N1355&lt;&gt;"",IF(INDEX(PCCitrus,$N1355)="","—",INDEX(PCCitrus,$N1355)),"")</f>
        <v/>
      </c>
      <c r="F1355" s="19">
        <f>IF($N1355&lt;&gt;"",IF(INDEX(PCScale,$N1355)=0,"",INDEX(PCScale,$N1355)),"")</f>
        <v/>
      </c>
      <c r="G1355" s="19">
        <f>IF($N1355&lt;&gt;"",IF(INDEX(PCBaskets,$N1355)=0,"",INDEX(PCBaskets,$N1355)),"")</f>
        <v/>
      </c>
      <c r="H1355" s="20">
        <f>IF($N1355&lt;&gt;"",IF(INDEX(PCNet,$N1355)=0,"",INDEX(PCNet,$N1355)),"")</f>
        <v/>
      </c>
      <c r="I1355" s="19">
        <f>IF($N1355&lt;&gt;"",IF(INDEX(PCOp,$N1355)="مرجوعی خرید","",IF(INDEX(PCAmount,$N1355)&lt;=0,"",INDEX(PCAmount,$N1355))),IF($O1355&lt;&gt;"",IF(INDEX(TxnDepB,$O1355)=0,"",INDEX(TxnDepB,$O1355)),""))</f>
        <v/>
      </c>
      <c r="J1355" s="19">
        <f>IF($N1355&lt;&gt;"",IF(INDEX(PCOp,$N1355)="مرجوعی خرید",IF(INDEX(PCAmount,$N1355)=0,"",-INDEX(PCAmount,$N1355)),""),IF($O1355&lt;&gt;"",IF(INDEX(TxnWitB,$O1355)=0,"",INDEX(TxnWitB,$O1355)),""))</f>
        <v/>
      </c>
      <c r="K1355" s="21">
        <f>IF($B1355="","",IF($K1354="",$C$10,$K1354)+IF($I1355="",0,$I1355)-IF($J1355="",0,$J1355))</f>
        <v/>
      </c>
      <c r="L1355" s="22">
        <f>IF($N1355&lt;&gt;"",IF(INDEX(PCNotes,$N1355)="","—",INDEX(PCNotes,$N1355)),IF($O1355&lt;&gt;"",IF(INDEX(LdgNoteB,$O1355)="","—",INDEX(LdgNoteB,$O1355)),""))</f>
        <v/>
      </c>
      <c r="N1355">
        <f>IFERROR(MATCH($C$5&amp;"|"&amp;RIGHT("000000"&amp;1339,6),LdgRankKeyA,0),"")</f>
        <v/>
      </c>
      <c r="O1355">
        <f>IFERROR(MATCH($C$5&amp;"|"&amp;RIGHT("000000"&amp;1339,6),LdgRankKeyB,0),"")</f>
        <v/>
      </c>
    </row>
    <row r="1356">
      <c r="A1356" s="23" t="n">
        <v>1340</v>
      </c>
      <c r="B1356" s="24">
        <f>IF(AND($N1356="",$O1356=""),"",IF($N1356&lt;&gt;"",INDEX(PCNormDate,$N1356),INDEX(LdgDateB,$O1356)))</f>
        <v/>
      </c>
      <c r="C1356" s="24">
        <f>IF($N1356&lt;&gt;"",INDEX(PCOp,$N1356),IF($O1356&lt;&gt;"",IF(N(INDEX(TxnDepB,$O1356))&gt;0,"دریافت بانکی","پرداخت بانکی"),""))</f>
        <v/>
      </c>
      <c r="D1356" s="24">
        <f>IF($N1356&lt;&gt;"",IF(INDEX(PCDoc,$N1356)="","—",INDEX(PCDoc,$N1356)),IF($O1356&lt;&gt;"",INDEX(LdgBankB,$O1356),""))</f>
        <v/>
      </c>
      <c r="E1356" s="24">
        <f>IF($N1356&lt;&gt;"",IF(INDEX(PCCitrus,$N1356)="","—",INDEX(PCCitrus,$N1356)),"")</f>
        <v/>
      </c>
      <c r="F1356" s="25">
        <f>IF($N1356&lt;&gt;"",IF(INDEX(PCScale,$N1356)=0,"",INDEX(PCScale,$N1356)),"")</f>
        <v/>
      </c>
      <c r="G1356" s="25">
        <f>IF($N1356&lt;&gt;"",IF(INDEX(PCBaskets,$N1356)=0,"",INDEX(PCBaskets,$N1356)),"")</f>
        <v/>
      </c>
      <c r="H1356" s="26">
        <f>IF($N1356&lt;&gt;"",IF(INDEX(PCNet,$N1356)=0,"",INDEX(PCNet,$N1356)),"")</f>
        <v/>
      </c>
      <c r="I1356" s="25">
        <f>IF($N1356&lt;&gt;"",IF(INDEX(PCOp,$N1356)="مرجوعی خرید","",IF(INDEX(PCAmount,$N1356)&lt;=0,"",INDEX(PCAmount,$N1356))),IF($O1356&lt;&gt;"",IF(INDEX(TxnDepB,$O1356)=0,"",INDEX(TxnDepB,$O1356)),""))</f>
        <v/>
      </c>
      <c r="J1356" s="25">
        <f>IF($N1356&lt;&gt;"",IF(INDEX(PCOp,$N1356)="مرجوعی خرید",IF(INDEX(PCAmount,$N1356)=0,"",-INDEX(PCAmount,$N1356)),""),IF($O1356&lt;&gt;"",IF(INDEX(TxnWitB,$O1356)=0,"",INDEX(TxnWitB,$O1356)),""))</f>
        <v/>
      </c>
      <c r="K1356" s="27">
        <f>IF($B1356="","",IF($K1355="",$C$10,$K1355)+IF($I1356="",0,$I1356)-IF($J1356="",0,$J1356))</f>
        <v/>
      </c>
      <c r="L1356" s="28">
        <f>IF($N1356&lt;&gt;"",IF(INDEX(PCNotes,$N1356)="","—",INDEX(PCNotes,$N1356)),IF($O1356&lt;&gt;"",IF(INDEX(LdgNoteB,$O1356)="","—",INDEX(LdgNoteB,$O1356)),""))</f>
        <v/>
      </c>
      <c r="N1356">
        <f>IFERROR(MATCH($C$5&amp;"|"&amp;RIGHT("000000"&amp;1340,6),LdgRankKeyA,0),"")</f>
        <v/>
      </c>
      <c r="O1356">
        <f>IFERROR(MATCH($C$5&amp;"|"&amp;RIGHT("000000"&amp;1340,6),LdgRankKeyB,0),"")</f>
        <v/>
      </c>
    </row>
    <row r="1357">
      <c r="A1357" s="17" t="n">
        <v>1341</v>
      </c>
      <c r="B1357" s="18">
        <f>IF(AND($N1357="",$O1357=""),"",IF($N1357&lt;&gt;"",INDEX(PCNormDate,$N1357),INDEX(LdgDateB,$O1357)))</f>
        <v/>
      </c>
      <c r="C1357" s="18">
        <f>IF($N1357&lt;&gt;"",INDEX(PCOp,$N1357),IF($O1357&lt;&gt;"",IF(N(INDEX(TxnDepB,$O1357))&gt;0,"دریافت بانکی","پرداخت بانکی"),""))</f>
        <v/>
      </c>
      <c r="D1357" s="18">
        <f>IF($N1357&lt;&gt;"",IF(INDEX(PCDoc,$N1357)="","—",INDEX(PCDoc,$N1357)),IF($O1357&lt;&gt;"",INDEX(LdgBankB,$O1357),""))</f>
        <v/>
      </c>
      <c r="E1357" s="18">
        <f>IF($N1357&lt;&gt;"",IF(INDEX(PCCitrus,$N1357)="","—",INDEX(PCCitrus,$N1357)),"")</f>
        <v/>
      </c>
      <c r="F1357" s="19">
        <f>IF($N1357&lt;&gt;"",IF(INDEX(PCScale,$N1357)=0,"",INDEX(PCScale,$N1357)),"")</f>
        <v/>
      </c>
      <c r="G1357" s="19">
        <f>IF($N1357&lt;&gt;"",IF(INDEX(PCBaskets,$N1357)=0,"",INDEX(PCBaskets,$N1357)),"")</f>
        <v/>
      </c>
      <c r="H1357" s="20">
        <f>IF($N1357&lt;&gt;"",IF(INDEX(PCNet,$N1357)=0,"",INDEX(PCNet,$N1357)),"")</f>
        <v/>
      </c>
      <c r="I1357" s="19">
        <f>IF($N1357&lt;&gt;"",IF(INDEX(PCOp,$N1357)="مرجوعی خرید","",IF(INDEX(PCAmount,$N1357)&lt;=0,"",INDEX(PCAmount,$N1357))),IF($O1357&lt;&gt;"",IF(INDEX(TxnDepB,$O1357)=0,"",INDEX(TxnDepB,$O1357)),""))</f>
        <v/>
      </c>
      <c r="J1357" s="19">
        <f>IF($N1357&lt;&gt;"",IF(INDEX(PCOp,$N1357)="مرجوعی خرید",IF(INDEX(PCAmount,$N1357)=0,"",-INDEX(PCAmount,$N1357)),""),IF($O1357&lt;&gt;"",IF(INDEX(TxnWitB,$O1357)=0,"",INDEX(TxnWitB,$O1357)),""))</f>
        <v/>
      </c>
      <c r="K1357" s="21">
        <f>IF($B1357="","",IF($K1356="",$C$10,$K1356)+IF($I1357="",0,$I1357)-IF($J1357="",0,$J1357))</f>
        <v/>
      </c>
      <c r="L1357" s="22">
        <f>IF($N1357&lt;&gt;"",IF(INDEX(PCNotes,$N1357)="","—",INDEX(PCNotes,$N1357)),IF($O1357&lt;&gt;"",IF(INDEX(LdgNoteB,$O1357)="","—",INDEX(LdgNoteB,$O1357)),""))</f>
        <v/>
      </c>
      <c r="N1357">
        <f>IFERROR(MATCH($C$5&amp;"|"&amp;RIGHT("000000"&amp;1341,6),LdgRankKeyA,0),"")</f>
        <v/>
      </c>
      <c r="O1357">
        <f>IFERROR(MATCH($C$5&amp;"|"&amp;RIGHT("000000"&amp;1341,6),LdgRankKeyB,0),"")</f>
        <v/>
      </c>
    </row>
    <row r="1358">
      <c r="A1358" s="23" t="n">
        <v>1342</v>
      </c>
      <c r="B1358" s="24">
        <f>IF(AND($N1358="",$O1358=""),"",IF($N1358&lt;&gt;"",INDEX(PCNormDate,$N1358),INDEX(LdgDateB,$O1358)))</f>
        <v/>
      </c>
      <c r="C1358" s="24">
        <f>IF($N1358&lt;&gt;"",INDEX(PCOp,$N1358),IF($O1358&lt;&gt;"",IF(N(INDEX(TxnDepB,$O1358))&gt;0,"دریافت بانکی","پرداخت بانکی"),""))</f>
        <v/>
      </c>
      <c r="D1358" s="24">
        <f>IF($N1358&lt;&gt;"",IF(INDEX(PCDoc,$N1358)="","—",INDEX(PCDoc,$N1358)),IF($O1358&lt;&gt;"",INDEX(LdgBankB,$O1358),""))</f>
        <v/>
      </c>
      <c r="E1358" s="24">
        <f>IF($N1358&lt;&gt;"",IF(INDEX(PCCitrus,$N1358)="","—",INDEX(PCCitrus,$N1358)),"")</f>
        <v/>
      </c>
      <c r="F1358" s="25">
        <f>IF($N1358&lt;&gt;"",IF(INDEX(PCScale,$N1358)=0,"",INDEX(PCScale,$N1358)),"")</f>
        <v/>
      </c>
      <c r="G1358" s="25">
        <f>IF($N1358&lt;&gt;"",IF(INDEX(PCBaskets,$N1358)=0,"",INDEX(PCBaskets,$N1358)),"")</f>
        <v/>
      </c>
      <c r="H1358" s="26">
        <f>IF($N1358&lt;&gt;"",IF(INDEX(PCNet,$N1358)=0,"",INDEX(PCNet,$N1358)),"")</f>
        <v/>
      </c>
      <c r="I1358" s="25">
        <f>IF($N1358&lt;&gt;"",IF(INDEX(PCOp,$N1358)="مرجوعی خرید","",IF(INDEX(PCAmount,$N1358)&lt;=0,"",INDEX(PCAmount,$N1358))),IF($O1358&lt;&gt;"",IF(INDEX(TxnDepB,$O1358)=0,"",INDEX(TxnDepB,$O1358)),""))</f>
        <v/>
      </c>
      <c r="J1358" s="25">
        <f>IF($N1358&lt;&gt;"",IF(INDEX(PCOp,$N1358)="مرجوعی خرید",IF(INDEX(PCAmount,$N1358)=0,"",-INDEX(PCAmount,$N1358)),""),IF($O1358&lt;&gt;"",IF(INDEX(TxnWitB,$O1358)=0,"",INDEX(TxnWitB,$O1358)),""))</f>
        <v/>
      </c>
      <c r="K1358" s="27">
        <f>IF($B1358="","",IF($K1357="",$C$10,$K1357)+IF($I1358="",0,$I1358)-IF($J1358="",0,$J1358))</f>
        <v/>
      </c>
      <c r="L1358" s="28">
        <f>IF($N1358&lt;&gt;"",IF(INDEX(PCNotes,$N1358)="","—",INDEX(PCNotes,$N1358)),IF($O1358&lt;&gt;"",IF(INDEX(LdgNoteB,$O1358)="","—",INDEX(LdgNoteB,$O1358)),""))</f>
        <v/>
      </c>
      <c r="N1358">
        <f>IFERROR(MATCH($C$5&amp;"|"&amp;RIGHT("000000"&amp;1342,6),LdgRankKeyA,0),"")</f>
        <v/>
      </c>
      <c r="O1358">
        <f>IFERROR(MATCH($C$5&amp;"|"&amp;RIGHT("000000"&amp;1342,6),LdgRankKeyB,0),"")</f>
        <v/>
      </c>
    </row>
    <row r="1359">
      <c r="A1359" s="17" t="n">
        <v>1343</v>
      </c>
      <c r="B1359" s="18">
        <f>IF(AND($N1359="",$O1359=""),"",IF($N1359&lt;&gt;"",INDEX(PCNormDate,$N1359),INDEX(LdgDateB,$O1359)))</f>
        <v/>
      </c>
      <c r="C1359" s="18">
        <f>IF($N1359&lt;&gt;"",INDEX(PCOp,$N1359),IF($O1359&lt;&gt;"",IF(N(INDEX(TxnDepB,$O1359))&gt;0,"دریافت بانکی","پرداخت بانکی"),""))</f>
        <v/>
      </c>
      <c r="D1359" s="18">
        <f>IF($N1359&lt;&gt;"",IF(INDEX(PCDoc,$N1359)="","—",INDEX(PCDoc,$N1359)),IF($O1359&lt;&gt;"",INDEX(LdgBankB,$O1359),""))</f>
        <v/>
      </c>
      <c r="E1359" s="18">
        <f>IF($N1359&lt;&gt;"",IF(INDEX(PCCitrus,$N1359)="","—",INDEX(PCCitrus,$N1359)),"")</f>
        <v/>
      </c>
      <c r="F1359" s="19">
        <f>IF($N1359&lt;&gt;"",IF(INDEX(PCScale,$N1359)=0,"",INDEX(PCScale,$N1359)),"")</f>
        <v/>
      </c>
      <c r="G1359" s="19">
        <f>IF($N1359&lt;&gt;"",IF(INDEX(PCBaskets,$N1359)=0,"",INDEX(PCBaskets,$N1359)),"")</f>
        <v/>
      </c>
      <c r="H1359" s="20">
        <f>IF($N1359&lt;&gt;"",IF(INDEX(PCNet,$N1359)=0,"",INDEX(PCNet,$N1359)),"")</f>
        <v/>
      </c>
      <c r="I1359" s="19">
        <f>IF($N1359&lt;&gt;"",IF(INDEX(PCOp,$N1359)="مرجوعی خرید","",IF(INDEX(PCAmount,$N1359)&lt;=0,"",INDEX(PCAmount,$N1359))),IF($O1359&lt;&gt;"",IF(INDEX(TxnDepB,$O1359)=0,"",INDEX(TxnDepB,$O1359)),""))</f>
        <v/>
      </c>
      <c r="J1359" s="19">
        <f>IF($N1359&lt;&gt;"",IF(INDEX(PCOp,$N1359)="مرجوعی خرید",IF(INDEX(PCAmount,$N1359)=0,"",-INDEX(PCAmount,$N1359)),""),IF($O1359&lt;&gt;"",IF(INDEX(TxnWitB,$O1359)=0,"",INDEX(TxnWitB,$O1359)),""))</f>
        <v/>
      </c>
      <c r="K1359" s="21">
        <f>IF($B1359="","",IF($K1358="",$C$10,$K1358)+IF($I1359="",0,$I1359)-IF($J1359="",0,$J1359))</f>
        <v/>
      </c>
      <c r="L1359" s="22">
        <f>IF($N1359&lt;&gt;"",IF(INDEX(PCNotes,$N1359)="","—",INDEX(PCNotes,$N1359)),IF($O1359&lt;&gt;"",IF(INDEX(LdgNoteB,$O1359)="","—",INDEX(LdgNoteB,$O1359)),""))</f>
        <v/>
      </c>
      <c r="N1359">
        <f>IFERROR(MATCH($C$5&amp;"|"&amp;RIGHT("000000"&amp;1343,6),LdgRankKeyA,0),"")</f>
        <v/>
      </c>
      <c r="O1359">
        <f>IFERROR(MATCH($C$5&amp;"|"&amp;RIGHT("000000"&amp;1343,6),LdgRankKeyB,0),"")</f>
        <v/>
      </c>
    </row>
    <row r="1360">
      <c r="A1360" s="23" t="n">
        <v>1344</v>
      </c>
      <c r="B1360" s="24">
        <f>IF(AND($N1360="",$O1360=""),"",IF($N1360&lt;&gt;"",INDEX(PCNormDate,$N1360),INDEX(LdgDateB,$O1360)))</f>
        <v/>
      </c>
      <c r="C1360" s="24">
        <f>IF($N1360&lt;&gt;"",INDEX(PCOp,$N1360),IF($O1360&lt;&gt;"",IF(N(INDEX(TxnDepB,$O1360))&gt;0,"دریافت بانکی","پرداخت بانکی"),""))</f>
        <v/>
      </c>
      <c r="D1360" s="24">
        <f>IF($N1360&lt;&gt;"",IF(INDEX(PCDoc,$N1360)="","—",INDEX(PCDoc,$N1360)),IF($O1360&lt;&gt;"",INDEX(LdgBankB,$O1360),""))</f>
        <v/>
      </c>
      <c r="E1360" s="24">
        <f>IF($N1360&lt;&gt;"",IF(INDEX(PCCitrus,$N1360)="","—",INDEX(PCCitrus,$N1360)),"")</f>
        <v/>
      </c>
      <c r="F1360" s="25">
        <f>IF($N1360&lt;&gt;"",IF(INDEX(PCScale,$N1360)=0,"",INDEX(PCScale,$N1360)),"")</f>
        <v/>
      </c>
      <c r="G1360" s="25">
        <f>IF($N1360&lt;&gt;"",IF(INDEX(PCBaskets,$N1360)=0,"",INDEX(PCBaskets,$N1360)),"")</f>
        <v/>
      </c>
      <c r="H1360" s="26">
        <f>IF($N1360&lt;&gt;"",IF(INDEX(PCNet,$N1360)=0,"",INDEX(PCNet,$N1360)),"")</f>
        <v/>
      </c>
      <c r="I1360" s="25">
        <f>IF($N1360&lt;&gt;"",IF(INDEX(PCOp,$N1360)="مرجوعی خرید","",IF(INDEX(PCAmount,$N1360)&lt;=0,"",INDEX(PCAmount,$N1360))),IF($O1360&lt;&gt;"",IF(INDEX(TxnDepB,$O1360)=0,"",INDEX(TxnDepB,$O1360)),""))</f>
        <v/>
      </c>
      <c r="J1360" s="25">
        <f>IF($N1360&lt;&gt;"",IF(INDEX(PCOp,$N1360)="مرجوعی خرید",IF(INDEX(PCAmount,$N1360)=0,"",-INDEX(PCAmount,$N1360)),""),IF($O1360&lt;&gt;"",IF(INDEX(TxnWitB,$O1360)=0,"",INDEX(TxnWitB,$O1360)),""))</f>
        <v/>
      </c>
      <c r="K1360" s="27">
        <f>IF($B1360="","",IF($K1359="",$C$10,$K1359)+IF($I1360="",0,$I1360)-IF($J1360="",0,$J1360))</f>
        <v/>
      </c>
      <c r="L1360" s="28">
        <f>IF($N1360&lt;&gt;"",IF(INDEX(PCNotes,$N1360)="","—",INDEX(PCNotes,$N1360)),IF($O1360&lt;&gt;"",IF(INDEX(LdgNoteB,$O1360)="","—",INDEX(LdgNoteB,$O1360)),""))</f>
        <v/>
      </c>
      <c r="N1360">
        <f>IFERROR(MATCH($C$5&amp;"|"&amp;RIGHT("000000"&amp;1344,6),LdgRankKeyA,0),"")</f>
        <v/>
      </c>
      <c r="O1360">
        <f>IFERROR(MATCH($C$5&amp;"|"&amp;RIGHT("000000"&amp;1344,6),LdgRankKeyB,0),"")</f>
        <v/>
      </c>
    </row>
    <row r="1361">
      <c r="A1361" s="17" t="n">
        <v>1345</v>
      </c>
      <c r="B1361" s="18">
        <f>IF(AND($N1361="",$O1361=""),"",IF($N1361&lt;&gt;"",INDEX(PCNormDate,$N1361),INDEX(LdgDateB,$O1361)))</f>
        <v/>
      </c>
      <c r="C1361" s="18">
        <f>IF($N1361&lt;&gt;"",INDEX(PCOp,$N1361),IF($O1361&lt;&gt;"",IF(N(INDEX(TxnDepB,$O1361))&gt;0,"دریافت بانکی","پرداخت بانکی"),""))</f>
        <v/>
      </c>
      <c r="D1361" s="18">
        <f>IF($N1361&lt;&gt;"",IF(INDEX(PCDoc,$N1361)="","—",INDEX(PCDoc,$N1361)),IF($O1361&lt;&gt;"",INDEX(LdgBankB,$O1361),""))</f>
        <v/>
      </c>
      <c r="E1361" s="18">
        <f>IF($N1361&lt;&gt;"",IF(INDEX(PCCitrus,$N1361)="","—",INDEX(PCCitrus,$N1361)),"")</f>
        <v/>
      </c>
      <c r="F1361" s="19">
        <f>IF($N1361&lt;&gt;"",IF(INDEX(PCScale,$N1361)=0,"",INDEX(PCScale,$N1361)),"")</f>
        <v/>
      </c>
      <c r="G1361" s="19">
        <f>IF($N1361&lt;&gt;"",IF(INDEX(PCBaskets,$N1361)=0,"",INDEX(PCBaskets,$N1361)),"")</f>
        <v/>
      </c>
      <c r="H1361" s="20">
        <f>IF($N1361&lt;&gt;"",IF(INDEX(PCNet,$N1361)=0,"",INDEX(PCNet,$N1361)),"")</f>
        <v/>
      </c>
      <c r="I1361" s="19">
        <f>IF($N1361&lt;&gt;"",IF(INDEX(PCOp,$N1361)="مرجوعی خرید","",IF(INDEX(PCAmount,$N1361)&lt;=0,"",INDEX(PCAmount,$N1361))),IF($O1361&lt;&gt;"",IF(INDEX(TxnDepB,$O1361)=0,"",INDEX(TxnDepB,$O1361)),""))</f>
        <v/>
      </c>
      <c r="J1361" s="19">
        <f>IF($N1361&lt;&gt;"",IF(INDEX(PCOp,$N1361)="مرجوعی خرید",IF(INDEX(PCAmount,$N1361)=0,"",-INDEX(PCAmount,$N1361)),""),IF($O1361&lt;&gt;"",IF(INDEX(TxnWitB,$O1361)=0,"",INDEX(TxnWitB,$O1361)),""))</f>
        <v/>
      </c>
      <c r="K1361" s="21">
        <f>IF($B1361="","",IF($K1360="",$C$10,$K1360)+IF($I1361="",0,$I1361)-IF($J1361="",0,$J1361))</f>
        <v/>
      </c>
      <c r="L1361" s="22">
        <f>IF($N1361&lt;&gt;"",IF(INDEX(PCNotes,$N1361)="","—",INDEX(PCNotes,$N1361)),IF($O1361&lt;&gt;"",IF(INDEX(LdgNoteB,$O1361)="","—",INDEX(LdgNoteB,$O1361)),""))</f>
        <v/>
      </c>
      <c r="N1361">
        <f>IFERROR(MATCH($C$5&amp;"|"&amp;RIGHT("000000"&amp;1345,6),LdgRankKeyA,0),"")</f>
        <v/>
      </c>
      <c r="O1361">
        <f>IFERROR(MATCH($C$5&amp;"|"&amp;RIGHT("000000"&amp;1345,6),LdgRankKeyB,0),"")</f>
        <v/>
      </c>
    </row>
    <row r="1362">
      <c r="A1362" s="23" t="n">
        <v>1346</v>
      </c>
      <c r="B1362" s="24">
        <f>IF(AND($N1362="",$O1362=""),"",IF($N1362&lt;&gt;"",INDEX(PCNormDate,$N1362),INDEX(LdgDateB,$O1362)))</f>
        <v/>
      </c>
      <c r="C1362" s="24">
        <f>IF($N1362&lt;&gt;"",INDEX(PCOp,$N1362),IF($O1362&lt;&gt;"",IF(N(INDEX(TxnDepB,$O1362))&gt;0,"دریافت بانکی","پرداخت بانکی"),""))</f>
        <v/>
      </c>
      <c r="D1362" s="24">
        <f>IF($N1362&lt;&gt;"",IF(INDEX(PCDoc,$N1362)="","—",INDEX(PCDoc,$N1362)),IF($O1362&lt;&gt;"",INDEX(LdgBankB,$O1362),""))</f>
        <v/>
      </c>
      <c r="E1362" s="24">
        <f>IF($N1362&lt;&gt;"",IF(INDEX(PCCitrus,$N1362)="","—",INDEX(PCCitrus,$N1362)),"")</f>
        <v/>
      </c>
      <c r="F1362" s="25">
        <f>IF($N1362&lt;&gt;"",IF(INDEX(PCScale,$N1362)=0,"",INDEX(PCScale,$N1362)),"")</f>
        <v/>
      </c>
      <c r="G1362" s="25">
        <f>IF($N1362&lt;&gt;"",IF(INDEX(PCBaskets,$N1362)=0,"",INDEX(PCBaskets,$N1362)),"")</f>
        <v/>
      </c>
      <c r="H1362" s="26">
        <f>IF($N1362&lt;&gt;"",IF(INDEX(PCNet,$N1362)=0,"",INDEX(PCNet,$N1362)),"")</f>
        <v/>
      </c>
      <c r="I1362" s="25">
        <f>IF($N1362&lt;&gt;"",IF(INDEX(PCOp,$N1362)="مرجوعی خرید","",IF(INDEX(PCAmount,$N1362)&lt;=0,"",INDEX(PCAmount,$N1362))),IF($O1362&lt;&gt;"",IF(INDEX(TxnDepB,$O1362)=0,"",INDEX(TxnDepB,$O1362)),""))</f>
        <v/>
      </c>
      <c r="J1362" s="25">
        <f>IF($N1362&lt;&gt;"",IF(INDEX(PCOp,$N1362)="مرجوعی خرید",IF(INDEX(PCAmount,$N1362)=0,"",-INDEX(PCAmount,$N1362)),""),IF($O1362&lt;&gt;"",IF(INDEX(TxnWitB,$O1362)=0,"",INDEX(TxnWitB,$O1362)),""))</f>
        <v/>
      </c>
      <c r="K1362" s="27">
        <f>IF($B1362="","",IF($K1361="",$C$10,$K1361)+IF($I1362="",0,$I1362)-IF($J1362="",0,$J1362))</f>
        <v/>
      </c>
      <c r="L1362" s="28">
        <f>IF($N1362&lt;&gt;"",IF(INDEX(PCNotes,$N1362)="","—",INDEX(PCNotes,$N1362)),IF($O1362&lt;&gt;"",IF(INDEX(LdgNoteB,$O1362)="","—",INDEX(LdgNoteB,$O1362)),""))</f>
        <v/>
      </c>
      <c r="N1362">
        <f>IFERROR(MATCH($C$5&amp;"|"&amp;RIGHT("000000"&amp;1346,6),LdgRankKeyA,0),"")</f>
        <v/>
      </c>
      <c r="O1362">
        <f>IFERROR(MATCH($C$5&amp;"|"&amp;RIGHT("000000"&amp;1346,6),LdgRankKeyB,0),"")</f>
        <v/>
      </c>
    </row>
    <row r="1363">
      <c r="A1363" s="17" t="n">
        <v>1347</v>
      </c>
      <c r="B1363" s="18">
        <f>IF(AND($N1363="",$O1363=""),"",IF($N1363&lt;&gt;"",INDEX(PCNormDate,$N1363),INDEX(LdgDateB,$O1363)))</f>
        <v/>
      </c>
      <c r="C1363" s="18">
        <f>IF($N1363&lt;&gt;"",INDEX(PCOp,$N1363),IF($O1363&lt;&gt;"",IF(N(INDEX(TxnDepB,$O1363))&gt;0,"دریافت بانکی","پرداخت بانکی"),""))</f>
        <v/>
      </c>
      <c r="D1363" s="18">
        <f>IF($N1363&lt;&gt;"",IF(INDEX(PCDoc,$N1363)="","—",INDEX(PCDoc,$N1363)),IF($O1363&lt;&gt;"",INDEX(LdgBankB,$O1363),""))</f>
        <v/>
      </c>
      <c r="E1363" s="18">
        <f>IF($N1363&lt;&gt;"",IF(INDEX(PCCitrus,$N1363)="","—",INDEX(PCCitrus,$N1363)),"")</f>
        <v/>
      </c>
      <c r="F1363" s="19">
        <f>IF($N1363&lt;&gt;"",IF(INDEX(PCScale,$N1363)=0,"",INDEX(PCScale,$N1363)),"")</f>
        <v/>
      </c>
      <c r="G1363" s="19">
        <f>IF($N1363&lt;&gt;"",IF(INDEX(PCBaskets,$N1363)=0,"",INDEX(PCBaskets,$N1363)),"")</f>
        <v/>
      </c>
      <c r="H1363" s="20">
        <f>IF($N1363&lt;&gt;"",IF(INDEX(PCNet,$N1363)=0,"",INDEX(PCNet,$N1363)),"")</f>
        <v/>
      </c>
      <c r="I1363" s="19">
        <f>IF($N1363&lt;&gt;"",IF(INDEX(PCOp,$N1363)="مرجوعی خرید","",IF(INDEX(PCAmount,$N1363)&lt;=0,"",INDEX(PCAmount,$N1363))),IF($O1363&lt;&gt;"",IF(INDEX(TxnDepB,$O1363)=0,"",INDEX(TxnDepB,$O1363)),""))</f>
        <v/>
      </c>
      <c r="J1363" s="19">
        <f>IF($N1363&lt;&gt;"",IF(INDEX(PCOp,$N1363)="مرجوعی خرید",IF(INDEX(PCAmount,$N1363)=0,"",-INDEX(PCAmount,$N1363)),""),IF($O1363&lt;&gt;"",IF(INDEX(TxnWitB,$O1363)=0,"",INDEX(TxnWitB,$O1363)),""))</f>
        <v/>
      </c>
      <c r="K1363" s="21">
        <f>IF($B1363="","",IF($K1362="",$C$10,$K1362)+IF($I1363="",0,$I1363)-IF($J1363="",0,$J1363))</f>
        <v/>
      </c>
      <c r="L1363" s="22">
        <f>IF($N1363&lt;&gt;"",IF(INDEX(PCNotes,$N1363)="","—",INDEX(PCNotes,$N1363)),IF($O1363&lt;&gt;"",IF(INDEX(LdgNoteB,$O1363)="","—",INDEX(LdgNoteB,$O1363)),""))</f>
        <v/>
      </c>
      <c r="N1363">
        <f>IFERROR(MATCH($C$5&amp;"|"&amp;RIGHT("000000"&amp;1347,6),LdgRankKeyA,0),"")</f>
        <v/>
      </c>
      <c r="O1363">
        <f>IFERROR(MATCH($C$5&amp;"|"&amp;RIGHT("000000"&amp;1347,6),LdgRankKeyB,0),"")</f>
        <v/>
      </c>
    </row>
    <row r="1364">
      <c r="A1364" s="23" t="n">
        <v>1348</v>
      </c>
      <c r="B1364" s="24">
        <f>IF(AND($N1364="",$O1364=""),"",IF($N1364&lt;&gt;"",INDEX(PCNormDate,$N1364),INDEX(LdgDateB,$O1364)))</f>
        <v/>
      </c>
      <c r="C1364" s="24">
        <f>IF($N1364&lt;&gt;"",INDEX(PCOp,$N1364),IF($O1364&lt;&gt;"",IF(N(INDEX(TxnDepB,$O1364))&gt;0,"دریافت بانکی","پرداخت بانکی"),""))</f>
        <v/>
      </c>
      <c r="D1364" s="24">
        <f>IF($N1364&lt;&gt;"",IF(INDEX(PCDoc,$N1364)="","—",INDEX(PCDoc,$N1364)),IF($O1364&lt;&gt;"",INDEX(LdgBankB,$O1364),""))</f>
        <v/>
      </c>
      <c r="E1364" s="24">
        <f>IF($N1364&lt;&gt;"",IF(INDEX(PCCitrus,$N1364)="","—",INDEX(PCCitrus,$N1364)),"")</f>
        <v/>
      </c>
      <c r="F1364" s="25">
        <f>IF($N1364&lt;&gt;"",IF(INDEX(PCScale,$N1364)=0,"",INDEX(PCScale,$N1364)),"")</f>
        <v/>
      </c>
      <c r="G1364" s="25">
        <f>IF($N1364&lt;&gt;"",IF(INDEX(PCBaskets,$N1364)=0,"",INDEX(PCBaskets,$N1364)),"")</f>
        <v/>
      </c>
      <c r="H1364" s="26">
        <f>IF($N1364&lt;&gt;"",IF(INDEX(PCNet,$N1364)=0,"",INDEX(PCNet,$N1364)),"")</f>
        <v/>
      </c>
      <c r="I1364" s="25">
        <f>IF($N1364&lt;&gt;"",IF(INDEX(PCOp,$N1364)="مرجوعی خرید","",IF(INDEX(PCAmount,$N1364)&lt;=0,"",INDEX(PCAmount,$N1364))),IF($O1364&lt;&gt;"",IF(INDEX(TxnDepB,$O1364)=0,"",INDEX(TxnDepB,$O1364)),""))</f>
        <v/>
      </c>
      <c r="J1364" s="25">
        <f>IF($N1364&lt;&gt;"",IF(INDEX(PCOp,$N1364)="مرجوعی خرید",IF(INDEX(PCAmount,$N1364)=0,"",-INDEX(PCAmount,$N1364)),""),IF($O1364&lt;&gt;"",IF(INDEX(TxnWitB,$O1364)=0,"",INDEX(TxnWitB,$O1364)),""))</f>
        <v/>
      </c>
      <c r="K1364" s="27">
        <f>IF($B1364="","",IF($K1363="",$C$10,$K1363)+IF($I1364="",0,$I1364)-IF($J1364="",0,$J1364))</f>
        <v/>
      </c>
      <c r="L1364" s="28">
        <f>IF($N1364&lt;&gt;"",IF(INDEX(PCNotes,$N1364)="","—",INDEX(PCNotes,$N1364)),IF($O1364&lt;&gt;"",IF(INDEX(LdgNoteB,$O1364)="","—",INDEX(LdgNoteB,$O1364)),""))</f>
        <v/>
      </c>
      <c r="N1364">
        <f>IFERROR(MATCH($C$5&amp;"|"&amp;RIGHT("000000"&amp;1348,6),LdgRankKeyA,0),"")</f>
        <v/>
      </c>
      <c r="O1364">
        <f>IFERROR(MATCH($C$5&amp;"|"&amp;RIGHT("000000"&amp;1348,6),LdgRankKeyB,0),"")</f>
        <v/>
      </c>
    </row>
    <row r="1365">
      <c r="A1365" s="17" t="n">
        <v>1349</v>
      </c>
      <c r="B1365" s="18">
        <f>IF(AND($N1365="",$O1365=""),"",IF($N1365&lt;&gt;"",INDEX(PCNormDate,$N1365),INDEX(LdgDateB,$O1365)))</f>
        <v/>
      </c>
      <c r="C1365" s="18">
        <f>IF($N1365&lt;&gt;"",INDEX(PCOp,$N1365),IF($O1365&lt;&gt;"",IF(N(INDEX(TxnDepB,$O1365))&gt;0,"دریافت بانکی","پرداخت بانکی"),""))</f>
        <v/>
      </c>
      <c r="D1365" s="18">
        <f>IF($N1365&lt;&gt;"",IF(INDEX(PCDoc,$N1365)="","—",INDEX(PCDoc,$N1365)),IF($O1365&lt;&gt;"",INDEX(LdgBankB,$O1365),""))</f>
        <v/>
      </c>
      <c r="E1365" s="18">
        <f>IF($N1365&lt;&gt;"",IF(INDEX(PCCitrus,$N1365)="","—",INDEX(PCCitrus,$N1365)),"")</f>
        <v/>
      </c>
      <c r="F1365" s="19">
        <f>IF($N1365&lt;&gt;"",IF(INDEX(PCScale,$N1365)=0,"",INDEX(PCScale,$N1365)),"")</f>
        <v/>
      </c>
      <c r="G1365" s="19">
        <f>IF($N1365&lt;&gt;"",IF(INDEX(PCBaskets,$N1365)=0,"",INDEX(PCBaskets,$N1365)),"")</f>
        <v/>
      </c>
      <c r="H1365" s="20">
        <f>IF($N1365&lt;&gt;"",IF(INDEX(PCNet,$N1365)=0,"",INDEX(PCNet,$N1365)),"")</f>
        <v/>
      </c>
      <c r="I1365" s="19">
        <f>IF($N1365&lt;&gt;"",IF(INDEX(PCOp,$N1365)="مرجوعی خرید","",IF(INDEX(PCAmount,$N1365)&lt;=0,"",INDEX(PCAmount,$N1365))),IF($O1365&lt;&gt;"",IF(INDEX(TxnDepB,$O1365)=0,"",INDEX(TxnDepB,$O1365)),""))</f>
        <v/>
      </c>
      <c r="J1365" s="19">
        <f>IF($N1365&lt;&gt;"",IF(INDEX(PCOp,$N1365)="مرجوعی خرید",IF(INDEX(PCAmount,$N1365)=0,"",-INDEX(PCAmount,$N1365)),""),IF($O1365&lt;&gt;"",IF(INDEX(TxnWitB,$O1365)=0,"",INDEX(TxnWitB,$O1365)),""))</f>
        <v/>
      </c>
      <c r="K1365" s="21">
        <f>IF($B1365="","",IF($K1364="",$C$10,$K1364)+IF($I1365="",0,$I1365)-IF($J1365="",0,$J1365))</f>
        <v/>
      </c>
      <c r="L1365" s="22">
        <f>IF($N1365&lt;&gt;"",IF(INDEX(PCNotes,$N1365)="","—",INDEX(PCNotes,$N1365)),IF($O1365&lt;&gt;"",IF(INDEX(LdgNoteB,$O1365)="","—",INDEX(LdgNoteB,$O1365)),""))</f>
        <v/>
      </c>
      <c r="N1365">
        <f>IFERROR(MATCH($C$5&amp;"|"&amp;RIGHT("000000"&amp;1349,6),LdgRankKeyA,0),"")</f>
        <v/>
      </c>
      <c r="O1365">
        <f>IFERROR(MATCH($C$5&amp;"|"&amp;RIGHT("000000"&amp;1349,6),LdgRankKeyB,0),"")</f>
        <v/>
      </c>
    </row>
    <row r="1366">
      <c r="A1366" s="23" t="n">
        <v>1350</v>
      </c>
      <c r="B1366" s="24">
        <f>IF(AND($N1366="",$O1366=""),"",IF($N1366&lt;&gt;"",INDEX(PCNormDate,$N1366),INDEX(LdgDateB,$O1366)))</f>
        <v/>
      </c>
      <c r="C1366" s="24">
        <f>IF($N1366&lt;&gt;"",INDEX(PCOp,$N1366),IF($O1366&lt;&gt;"",IF(N(INDEX(TxnDepB,$O1366))&gt;0,"دریافت بانکی","پرداخت بانکی"),""))</f>
        <v/>
      </c>
      <c r="D1366" s="24">
        <f>IF($N1366&lt;&gt;"",IF(INDEX(PCDoc,$N1366)="","—",INDEX(PCDoc,$N1366)),IF($O1366&lt;&gt;"",INDEX(LdgBankB,$O1366),""))</f>
        <v/>
      </c>
      <c r="E1366" s="24">
        <f>IF($N1366&lt;&gt;"",IF(INDEX(PCCitrus,$N1366)="","—",INDEX(PCCitrus,$N1366)),"")</f>
        <v/>
      </c>
      <c r="F1366" s="25">
        <f>IF($N1366&lt;&gt;"",IF(INDEX(PCScale,$N1366)=0,"",INDEX(PCScale,$N1366)),"")</f>
        <v/>
      </c>
      <c r="G1366" s="25">
        <f>IF($N1366&lt;&gt;"",IF(INDEX(PCBaskets,$N1366)=0,"",INDEX(PCBaskets,$N1366)),"")</f>
        <v/>
      </c>
      <c r="H1366" s="26">
        <f>IF($N1366&lt;&gt;"",IF(INDEX(PCNet,$N1366)=0,"",INDEX(PCNet,$N1366)),"")</f>
        <v/>
      </c>
      <c r="I1366" s="25">
        <f>IF($N1366&lt;&gt;"",IF(INDEX(PCOp,$N1366)="مرجوعی خرید","",IF(INDEX(PCAmount,$N1366)&lt;=0,"",INDEX(PCAmount,$N1366))),IF($O1366&lt;&gt;"",IF(INDEX(TxnDepB,$O1366)=0,"",INDEX(TxnDepB,$O1366)),""))</f>
        <v/>
      </c>
      <c r="J1366" s="25">
        <f>IF($N1366&lt;&gt;"",IF(INDEX(PCOp,$N1366)="مرجوعی خرید",IF(INDEX(PCAmount,$N1366)=0,"",-INDEX(PCAmount,$N1366)),""),IF($O1366&lt;&gt;"",IF(INDEX(TxnWitB,$O1366)=0,"",INDEX(TxnWitB,$O1366)),""))</f>
        <v/>
      </c>
      <c r="K1366" s="27">
        <f>IF($B1366="","",IF($K1365="",$C$10,$K1365)+IF($I1366="",0,$I1366)-IF($J1366="",0,$J1366))</f>
        <v/>
      </c>
      <c r="L1366" s="28">
        <f>IF($N1366&lt;&gt;"",IF(INDEX(PCNotes,$N1366)="","—",INDEX(PCNotes,$N1366)),IF($O1366&lt;&gt;"",IF(INDEX(LdgNoteB,$O1366)="","—",INDEX(LdgNoteB,$O1366)),""))</f>
        <v/>
      </c>
      <c r="N1366">
        <f>IFERROR(MATCH($C$5&amp;"|"&amp;RIGHT("000000"&amp;1350,6),LdgRankKeyA,0),"")</f>
        <v/>
      </c>
      <c r="O1366">
        <f>IFERROR(MATCH($C$5&amp;"|"&amp;RIGHT("000000"&amp;1350,6),LdgRankKeyB,0),"")</f>
        <v/>
      </c>
    </row>
    <row r="1367">
      <c r="A1367" s="17" t="n">
        <v>1351</v>
      </c>
      <c r="B1367" s="18">
        <f>IF(AND($N1367="",$O1367=""),"",IF($N1367&lt;&gt;"",INDEX(PCNormDate,$N1367),INDEX(LdgDateB,$O1367)))</f>
        <v/>
      </c>
      <c r="C1367" s="18">
        <f>IF($N1367&lt;&gt;"",INDEX(PCOp,$N1367),IF($O1367&lt;&gt;"",IF(N(INDEX(TxnDepB,$O1367))&gt;0,"دریافت بانکی","پرداخت بانکی"),""))</f>
        <v/>
      </c>
      <c r="D1367" s="18">
        <f>IF($N1367&lt;&gt;"",IF(INDEX(PCDoc,$N1367)="","—",INDEX(PCDoc,$N1367)),IF($O1367&lt;&gt;"",INDEX(LdgBankB,$O1367),""))</f>
        <v/>
      </c>
      <c r="E1367" s="18">
        <f>IF($N1367&lt;&gt;"",IF(INDEX(PCCitrus,$N1367)="","—",INDEX(PCCitrus,$N1367)),"")</f>
        <v/>
      </c>
      <c r="F1367" s="19">
        <f>IF($N1367&lt;&gt;"",IF(INDEX(PCScale,$N1367)=0,"",INDEX(PCScale,$N1367)),"")</f>
        <v/>
      </c>
      <c r="G1367" s="19">
        <f>IF($N1367&lt;&gt;"",IF(INDEX(PCBaskets,$N1367)=0,"",INDEX(PCBaskets,$N1367)),"")</f>
        <v/>
      </c>
      <c r="H1367" s="20">
        <f>IF($N1367&lt;&gt;"",IF(INDEX(PCNet,$N1367)=0,"",INDEX(PCNet,$N1367)),"")</f>
        <v/>
      </c>
      <c r="I1367" s="19">
        <f>IF($N1367&lt;&gt;"",IF(INDEX(PCOp,$N1367)="مرجوعی خرید","",IF(INDEX(PCAmount,$N1367)&lt;=0,"",INDEX(PCAmount,$N1367))),IF($O1367&lt;&gt;"",IF(INDEX(TxnDepB,$O1367)=0,"",INDEX(TxnDepB,$O1367)),""))</f>
        <v/>
      </c>
      <c r="J1367" s="19">
        <f>IF($N1367&lt;&gt;"",IF(INDEX(PCOp,$N1367)="مرجوعی خرید",IF(INDEX(PCAmount,$N1367)=0,"",-INDEX(PCAmount,$N1367)),""),IF($O1367&lt;&gt;"",IF(INDEX(TxnWitB,$O1367)=0,"",INDEX(TxnWitB,$O1367)),""))</f>
        <v/>
      </c>
      <c r="K1367" s="21">
        <f>IF($B1367="","",IF($K1366="",$C$10,$K1366)+IF($I1367="",0,$I1367)-IF($J1367="",0,$J1367))</f>
        <v/>
      </c>
      <c r="L1367" s="22">
        <f>IF($N1367&lt;&gt;"",IF(INDEX(PCNotes,$N1367)="","—",INDEX(PCNotes,$N1367)),IF($O1367&lt;&gt;"",IF(INDEX(LdgNoteB,$O1367)="","—",INDEX(LdgNoteB,$O1367)),""))</f>
        <v/>
      </c>
      <c r="N1367">
        <f>IFERROR(MATCH($C$5&amp;"|"&amp;RIGHT("000000"&amp;1351,6),LdgRankKeyA,0),"")</f>
        <v/>
      </c>
      <c r="O1367">
        <f>IFERROR(MATCH($C$5&amp;"|"&amp;RIGHT("000000"&amp;1351,6),LdgRankKeyB,0),"")</f>
        <v/>
      </c>
    </row>
    <row r="1368">
      <c r="A1368" s="23" t="n">
        <v>1352</v>
      </c>
      <c r="B1368" s="24">
        <f>IF(AND($N1368="",$O1368=""),"",IF($N1368&lt;&gt;"",INDEX(PCNormDate,$N1368),INDEX(LdgDateB,$O1368)))</f>
        <v/>
      </c>
      <c r="C1368" s="24">
        <f>IF($N1368&lt;&gt;"",INDEX(PCOp,$N1368),IF($O1368&lt;&gt;"",IF(N(INDEX(TxnDepB,$O1368))&gt;0,"دریافت بانکی","پرداخت بانکی"),""))</f>
        <v/>
      </c>
      <c r="D1368" s="24">
        <f>IF($N1368&lt;&gt;"",IF(INDEX(PCDoc,$N1368)="","—",INDEX(PCDoc,$N1368)),IF($O1368&lt;&gt;"",INDEX(LdgBankB,$O1368),""))</f>
        <v/>
      </c>
      <c r="E1368" s="24">
        <f>IF($N1368&lt;&gt;"",IF(INDEX(PCCitrus,$N1368)="","—",INDEX(PCCitrus,$N1368)),"")</f>
        <v/>
      </c>
      <c r="F1368" s="25">
        <f>IF($N1368&lt;&gt;"",IF(INDEX(PCScale,$N1368)=0,"",INDEX(PCScale,$N1368)),"")</f>
        <v/>
      </c>
      <c r="G1368" s="25">
        <f>IF($N1368&lt;&gt;"",IF(INDEX(PCBaskets,$N1368)=0,"",INDEX(PCBaskets,$N1368)),"")</f>
        <v/>
      </c>
      <c r="H1368" s="26">
        <f>IF($N1368&lt;&gt;"",IF(INDEX(PCNet,$N1368)=0,"",INDEX(PCNet,$N1368)),"")</f>
        <v/>
      </c>
      <c r="I1368" s="25">
        <f>IF($N1368&lt;&gt;"",IF(INDEX(PCOp,$N1368)="مرجوعی خرید","",IF(INDEX(PCAmount,$N1368)&lt;=0,"",INDEX(PCAmount,$N1368))),IF($O1368&lt;&gt;"",IF(INDEX(TxnDepB,$O1368)=0,"",INDEX(TxnDepB,$O1368)),""))</f>
        <v/>
      </c>
      <c r="J1368" s="25">
        <f>IF($N1368&lt;&gt;"",IF(INDEX(PCOp,$N1368)="مرجوعی خرید",IF(INDEX(PCAmount,$N1368)=0,"",-INDEX(PCAmount,$N1368)),""),IF($O1368&lt;&gt;"",IF(INDEX(TxnWitB,$O1368)=0,"",INDEX(TxnWitB,$O1368)),""))</f>
        <v/>
      </c>
      <c r="K1368" s="27">
        <f>IF($B1368="","",IF($K1367="",$C$10,$K1367)+IF($I1368="",0,$I1368)-IF($J1368="",0,$J1368))</f>
        <v/>
      </c>
      <c r="L1368" s="28">
        <f>IF($N1368&lt;&gt;"",IF(INDEX(PCNotes,$N1368)="","—",INDEX(PCNotes,$N1368)),IF($O1368&lt;&gt;"",IF(INDEX(LdgNoteB,$O1368)="","—",INDEX(LdgNoteB,$O1368)),""))</f>
        <v/>
      </c>
      <c r="N1368">
        <f>IFERROR(MATCH($C$5&amp;"|"&amp;RIGHT("000000"&amp;1352,6),LdgRankKeyA,0),"")</f>
        <v/>
      </c>
      <c r="O1368">
        <f>IFERROR(MATCH($C$5&amp;"|"&amp;RIGHT("000000"&amp;1352,6),LdgRankKeyB,0),"")</f>
        <v/>
      </c>
    </row>
    <row r="1369">
      <c r="A1369" s="17" t="n">
        <v>1353</v>
      </c>
      <c r="B1369" s="18">
        <f>IF(AND($N1369="",$O1369=""),"",IF($N1369&lt;&gt;"",INDEX(PCNormDate,$N1369),INDEX(LdgDateB,$O1369)))</f>
        <v/>
      </c>
      <c r="C1369" s="18">
        <f>IF($N1369&lt;&gt;"",INDEX(PCOp,$N1369),IF($O1369&lt;&gt;"",IF(N(INDEX(TxnDepB,$O1369))&gt;0,"دریافت بانکی","پرداخت بانکی"),""))</f>
        <v/>
      </c>
      <c r="D1369" s="18">
        <f>IF($N1369&lt;&gt;"",IF(INDEX(PCDoc,$N1369)="","—",INDEX(PCDoc,$N1369)),IF($O1369&lt;&gt;"",INDEX(LdgBankB,$O1369),""))</f>
        <v/>
      </c>
      <c r="E1369" s="18">
        <f>IF($N1369&lt;&gt;"",IF(INDEX(PCCitrus,$N1369)="","—",INDEX(PCCitrus,$N1369)),"")</f>
        <v/>
      </c>
      <c r="F1369" s="19">
        <f>IF($N1369&lt;&gt;"",IF(INDEX(PCScale,$N1369)=0,"",INDEX(PCScale,$N1369)),"")</f>
        <v/>
      </c>
      <c r="G1369" s="19">
        <f>IF($N1369&lt;&gt;"",IF(INDEX(PCBaskets,$N1369)=0,"",INDEX(PCBaskets,$N1369)),"")</f>
        <v/>
      </c>
      <c r="H1369" s="20">
        <f>IF($N1369&lt;&gt;"",IF(INDEX(PCNet,$N1369)=0,"",INDEX(PCNet,$N1369)),"")</f>
        <v/>
      </c>
      <c r="I1369" s="19">
        <f>IF($N1369&lt;&gt;"",IF(INDEX(PCOp,$N1369)="مرجوعی خرید","",IF(INDEX(PCAmount,$N1369)&lt;=0,"",INDEX(PCAmount,$N1369))),IF($O1369&lt;&gt;"",IF(INDEX(TxnDepB,$O1369)=0,"",INDEX(TxnDepB,$O1369)),""))</f>
        <v/>
      </c>
      <c r="J1369" s="19">
        <f>IF($N1369&lt;&gt;"",IF(INDEX(PCOp,$N1369)="مرجوعی خرید",IF(INDEX(PCAmount,$N1369)=0,"",-INDEX(PCAmount,$N1369)),""),IF($O1369&lt;&gt;"",IF(INDEX(TxnWitB,$O1369)=0,"",INDEX(TxnWitB,$O1369)),""))</f>
        <v/>
      </c>
      <c r="K1369" s="21">
        <f>IF($B1369="","",IF($K1368="",$C$10,$K1368)+IF($I1369="",0,$I1369)-IF($J1369="",0,$J1369))</f>
        <v/>
      </c>
      <c r="L1369" s="22">
        <f>IF($N1369&lt;&gt;"",IF(INDEX(PCNotes,$N1369)="","—",INDEX(PCNotes,$N1369)),IF($O1369&lt;&gt;"",IF(INDEX(LdgNoteB,$O1369)="","—",INDEX(LdgNoteB,$O1369)),""))</f>
        <v/>
      </c>
      <c r="N1369">
        <f>IFERROR(MATCH($C$5&amp;"|"&amp;RIGHT("000000"&amp;1353,6),LdgRankKeyA,0),"")</f>
        <v/>
      </c>
      <c r="O1369">
        <f>IFERROR(MATCH($C$5&amp;"|"&amp;RIGHT("000000"&amp;1353,6),LdgRankKeyB,0),"")</f>
        <v/>
      </c>
    </row>
    <row r="1370">
      <c r="A1370" s="23" t="n">
        <v>1354</v>
      </c>
      <c r="B1370" s="24">
        <f>IF(AND($N1370="",$O1370=""),"",IF($N1370&lt;&gt;"",INDEX(PCNormDate,$N1370),INDEX(LdgDateB,$O1370)))</f>
        <v/>
      </c>
      <c r="C1370" s="24">
        <f>IF($N1370&lt;&gt;"",INDEX(PCOp,$N1370),IF($O1370&lt;&gt;"",IF(N(INDEX(TxnDepB,$O1370))&gt;0,"دریافت بانکی","پرداخت بانکی"),""))</f>
        <v/>
      </c>
      <c r="D1370" s="24">
        <f>IF($N1370&lt;&gt;"",IF(INDEX(PCDoc,$N1370)="","—",INDEX(PCDoc,$N1370)),IF($O1370&lt;&gt;"",INDEX(LdgBankB,$O1370),""))</f>
        <v/>
      </c>
      <c r="E1370" s="24">
        <f>IF($N1370&lt;&gt;"",IF(INDEX(PCCitrus,$N1370)="","—",INDEX(PCCitrus,$N1370)),"")</f>
        <v/>
      </c>
      <c r="F1370" s="25">
        <f>IF($N1370&lt;&gt;"",IF(INDEX(PCScale,$N1370)=0,"",INDEX(PCScale,$N1370)),"")</f>
        <v/>
      </c>
      <c r="G1370" s="25">
        <f>IF($N1370&lt;&gt;"",IF(INDEX(PCBaskets,$N1370)=0,"",INDEX(PCBaskets,$N1370)),"")</f>
        <v/>
      </c>
      <c r="H1370" s="26">
        <f>IF($N1370&lt;&gt;"",IF(INDEX(PCNet,$N1370)=0,"",INDEX(PCNet,$N1370)),"")</f>
        <v/>
      </c>
      <c r="I1370" s="25">
        <f>IF($N1370&lt;&gt;"",IF(INDEX(PCOp,$N1370)="مرجوعی خرید","",IF(INDEX(PCAmount,$N1370)&lt;=0,"",INDEX(PCAmount,$N1370))),IF($O1370&lt;&gt;"",IF(INDEX(TxnDepB,$O1370)=0,"",INDEX(TxnDepB,$O1370)),""))</f>
        <v/>
      </c>
      <c r="J1370" s="25">
        <f>IF($N1370&lt;&gt;"",IF(INDEX(PCOp,$N1370)="مرجوعی خرید",IF(INDEX(PCAmount,$N1370)=0,"",-INDEX(PCAmount,$N1370)),""),IF($O1370&lt;&gt;"",IF(INDEX(TxnWitB,$O1370)=0,"",INDEX(TxnWitB,$O1370)),""))</f>
        <v/>
      </c>
      <c r="K1370" s="27">
        <f>IF($B1370="","",IF($K1369="",$C$10,$K1369)+IF($I1370="",0,$I1370)-IF($J1370="",0,$J1370))</f>
        <v/>
      </c>
      <c r="L1370" s="28">
        <f>IF($N1370&lt;&gt;"",IF(INDEX(PCNotes,$N1370)="","—",INDEX(PCNotes,$N1370)),IF($O1370&lt;&gt;"",IF(INDEX(LdgNoteB,$O1370)="","—",INDEX(LdgNoteB,$O1370)),""))</f>
        <v/>
      </c>
      <c r="N1370">
        <f>IFERROR(MATCH($C$5&amp;"|"&amp;RIGHT("000000"&amp;1354,6),LdgRankKeyA,0),"")</f>
        <v/>
      </c>
      <c r="O1370">
        <f>IFERROR(MATCH($C$5&amp;"|"&amp;RIGHT("000000"&amp;1354,6),LdgRankKeyB,0),"")</f>
        <v/>
      </c>
    </row>
    <row r="1371">
      <c r="A1371" s="17" t="n">
        <v>1355</v>
      </c>
      <c r="B1371" s="18">
        <f>IF(AND($N1371="",$O1371=""),"",IF($N1371&lt;&gt;"",INDEX(PCNormDate,$N1371),INDEX(LdgDateB,$O1371)))</f>
        <v/>
      </c>
      <c r="C1371" s="18">
        <f>IF($N1371&lt;&gt;"",INDEX(PCOp,$N1371),IF($O1371&lt;&gt;"",IF(N(INDEX(TxnDepB,$O1371))&gt;0,"دریافت بانکی","پرداخت بانکی"),""))</f>
        <v/>
      </c>
      <c r="D1371" s="18">
        <f>IF($N1371&lt;&gt;"",IF(INDEX(PCDoc,$N1371)="","—",INDEX(PCDoc,$N1371)),IF($O1371&lt;&gt;"",INDEX(LdgBankB,$O1371),""))</f>
        <v/>
      </c>
      <c r="E1371" s="18">
        <f>IF($N1371&lt;&gt;"",IF(INDEX(PCCitrus,$N1371)="","—",INDEX(PCCitrus,$N1371)),"")</f>
        <v/>
      </c>
      <c r="F1371" s="19">
        <f>IF($N1371&lt;&gt;"",IF(INDEX(PCScale,$N1371)=0,"",INDEX(PCScale,$N1371)),"")</f>
        <v/>
      </c>
      <c r="G1371" s="19">
        <f>IF($N1371&lt;&gt;"",IF(INDEX(PCBaskets,$N1371)=0,"",INDEX(PCBaskets,$N1371)),"")</f>
        <v/>
      </c>
      <c r="H1371" s="20">
        <f>IF($N1371&lt;&gt;"",IF(INDEX(PCNet,$N1371)=0,"",INDEX(PCNet,$N1371)),"")</f>
        <v/>
      </c>
      <c r="I1371" s="19">
        <f>IF($N1371&lt;&gt;"",IF(INDEX(PCOp,$N1371)="مرجوعی خرید","",IF(INDEX(PCAmount,$N1371)&lt;=0,"",INDEX(PCAmount,$N1371))),IF($O1371&lt;&gt;"",IF(INDEX(TxnDepB,$O1371)=0,"",INDEX(TxnDepB,$O1371)),""))</f>
        <v/>
      </c>
      <c r="J1371" s="19">
        <f>IF($N1371&lt;&gt;"",IF(INDEX(PCOp,$N1371)="مرجوعی خرید",IF(INDEX(PCAmount,$N1371)=0,"",-INDEX(PCAmount,$N1371)),""),IF($O1371&lt;&gt;"",IF(INDEX(TxnWitB,$O1371)=0,"",INDEX(TxnWitB,$O1371)),""))</f>
        <v/>
      </c>
      <c r="K1371" s="21">
        <f>IF($B1371="","",IF($K1370="",$C$10,$K1370)+IF($I1371="",0,$I1371)-IF($J1371="",0,$J1371))</f>
        <v/>
      </c>
      <c r="L1371" s="22">
        <f>IF($N1371&lt;&gt;"",IF(INDEX(PCNotes,$N1371)="","—",INDEX(PCNotes,$N1371)),IF($O1371&lt;&gt;"",IF(INDEX(LdgNoteB,$O1371)="","—",INDEX(LdgNoteB,$O1371)),""))</f>
        <v/>
      </c>
      <c r="N1371">
        <f>IFERROR(MATCH($C$5&amp;"|"&amp;RIGHT("000000"&amp;1355,6),LdgRankKeyA,0),"")</f>
        <v/>
      </c>
      <c r="O1371">
        <f>IFERROR(MATCH($C$5&amp;"|"&amp;RIGHT("000000"&amp;1355,6),LdgRankKeyB,0),"")</f>
        <v/>
      </c>
    </row>
    <row r="1372">
      <c r="A1372" s="23" t="n">
        <v>1356</v>
      </c>
      <c r="B1372" s="24">
        <f>IF(AND($N1372="",$O1372=""),"",IF($N1372&lt;&gt;"",INDEX(PCNormDate,$N1372),INDEX(LdgDateB,$O1372)))</f>
        <v/>
      </c>
      <c r="C1372" s="24">
        <f>IF($N1372&lt;&gt;"",INDEX(PCOp,$N1372),IF($O1372&lt;&gt;"",IF(N(INDEX(TxnDepB,$O1372))&gt;0,"دریافت بانکی","پرداخت بانکی"),""))</f>
        <v/>
      </c>
      <c r="D1372" s="24">
        <f>IF($N1372&lt;&gt;"",IF(INDEX(PCDoc,$N1372)="","—",INDEX(PCDoc,$N1372)),IF($O1372&lt;&gt;"",INDEX(LdgBankB,$O1372),""))</f>
        <v/>
      </c>
      <c r="E1372" s="24">
        <f>IF($N1372&lt;&gt;"",IF(INDEX(PCCitrus,$N1372)="","—",INDEX(PCCitrus,$N1372)),"")</f>
        <v/>
      </c>
      <c r="F1372" s="25">
        <f>IF($N1372&lt;&gt;"",IF(INDEX(PCScale,$N1372)=0,"",INDEX(PCScale,$N1372)),"")</f>
        <v/>
      </c>
      <c r="G1372" s="25">
        <f>IF($N1372&lt;&gt;"",IF(INDEX(PCBaskets,$N1372)=0,"",INDEX(PCBaskets,$N1372)),"")</f>
        <v/>
      </c>
      <c r="H1372" s="26">
        <f>IF($N1372&lt;&gt;"",IF(INDEX(PCNet,$N1372)=0,"",INDEX(PCNet,$N1372)),"")</f>
        <v/>
      </c>
      <c r="I1372" s="25">
        <f>IF($N1372&lt;&gt;"",IF(INDEX(PCOp,$N1372)="مرجوعی خرید","",IF(INDEX(PCAmount,$N1372)&lt;=0,"",INDEX(PCAmount,$N1372))),IF($O1372&lt;&gt;"",IF(INDEX(TxnDepB,$O1372)=0,"",INDEX(TxnDepB,$O1372)),""))</f>
        <v/>
      </c>
      <c r="J1372" s="25">
        <f>IF($N1372&lt;&gt;"",IF(INDEX(PCOp,$N1372)="مرجوعی خرید",IF(INDEX(PCAmount,$N1372)=0,"",-INDEX(PCAmount,$N1372)),""),IF($O1372&lt;&gt;"",IF(INDEX(TxnWitB,$O1372)=0,"",INDEX(TxnWitB,$O1372)),""))</f>
        <v/>
      </c>
      <c r="K1372" s="27">
        <f>IF($B1372="","",IF($K1371="",$C$10,$K1371)+IF($I1372="",0,$I1372)-IF($J1372="",0,$J1372))</f>
        <v/>
      </c>
      <c r="L1372" s="28">
        <f>IF($N1372&lt;&gt;"",IF(INDEX(PCNotes,$N1372)="","—",INDEX(PCNotes,$N1372)),IF($O1372&lt;&gt;"",IF(INDEX(LdgNoteB,$O1372)="","—",INDEX(LdgNoteB,$O1372)),""))</f>
        <v/>
      </c>
      <c r="N1372">
        <f>IFERROR(MATCH($C$5&amp;"|"&amp;RIGHT("000000"&amp;1356,6),LdgRankKeyA,0),"")</f>
        <v/>
      </c>
      <c r="O1372">
        <f>IFERROR(MATCH($C$5&amp;"|"&amp;RIGHT("000000"&amp;1356,6),LdgRankKeyB,0),"")</f>
        <v/>
      </c>
    </row>
    <row r="1373">
      <c r="A1373" s="17" t="n">
        <v>1357</v>
      </c>
      <c r="B1373" s="18">
        <f>IF(AND($N1373="",$O1373=""),"",IF($N1373&lt;&gt;"",INDEX(PCNormDate,$N1373),INDEX(LdgDateB,$O1373)))</f>
        <v/>
      </c>
      <c r="C1373" s="18">
        <f>IF($N1373&lt;&gt;"",INDEX(PCOp,$N1373),IF($O1373&lt;&gt;"",IF(N(INDEX(TxnDepB,$O1373))&gt;0,"دریافت بانکی","پرداخت بانکی"),""))</f>
        <v/>
      </c>
      <c r="D1373" s="18">
        <f>IF($N1373&lt;&gt;"",IF(INDEX(PCDoc,$N1373)="","—",INDEX(PCDoc,$N1373)),IF($O1373&lt;&gt;"",INDEX(LdgBankB,$O1373),""))</f>
        <v/>
      </c>
      <c r="E1373" s="18">
        <f>IF($N1373&lt;&gt;"",IF(INDEX(PCCitrus,$N1373)="","—",INDEX(PCCitrus,$N1373)),"")</f>
        <v/>
      </c>
      <c r="F1373" s="19">
        <f>IF($N1373&lt;&gt;"",IF(INDEX(PCScale,$N1373)=0,"",INDEX(PCScale,$N1373)),"")</f>
        <v/>
      </c>
      <c r="G1373" s="19">
        <f>IF($N1373&lt;&gt;"",IF(INDEX(PCBaskets,$N1373)=0,"",INDEX(PCBaskets,$N1373)),"")</f>
        <v/>
      </c>
      <c r="H1373" s="20">
        <f>IF($N1373&lt;&gt;"",IF(INDEX(PCNet,$N1373)=0,"",INDEX(PCNet,$N1373)),"")</f>
        <v/>
      </c>
      <c r="I1373" s="19">
        <f>IF($N1373&lt;&gt;"",IF(INDEX(PCOp,$N1373)="مرجوعی خرید","",IF(INDEX(PCAmount,$N1373)&lt;=0,"",INDEX(PCAmount,$N1373))),IF($O1373&lt;&gt;"",IF(INDEX(TxnDepB,$O1373)=0,"",INDEX(TxnDepB,$O1373)),""))</f>
        <v/>
      </c>
      <c r="J1373" s="19">
        <f>IF($N1373&lt;&gt;"",IF(INDEX(PCOp,$N1373)="مرجوعی خرید",IF(INDEX(PCAmount,$N1373)=0,"",-INDEX(PCAmount,$N1373)),""),IF($O1373&lt;&gt;"",IF(INDEX(TxnWitB,$O1373)=0,"",INDEX(TxnWitB,$O1373)),""))</f>
        <v/>
      </c>
      <c r="K1373" s="21">
        <f>IF($B1373="","",IF($K1372="",$C$10,$K1372)+IF($I1373="",0,$I1373)-IF($J1373="",0,$J1373))</f>
        <v/>
      </c>
      <c r="L1373" s="22">
        <f>IF($N1373&lt;&gt;"",IF(INDEX(PCNotes,$N1373)="","—",INDEX(PCNotes,$N1373)),IF($O1373&lt;&gt;"",IF(INDEX(LdgNoteB,$O1373)="","—",INDEX(LdgNoteB,$O1373)),""))</f>
        <v/>
      </c>
      <c r="N1373">
        <f>IFERROR(MATCH($C$5&amp;"|"&amp;RIGHT("000000"&amp;1357,6),LdgRankKeyA,0),"")</f>
        <v/>
      </c>
      <c r="O1373">
        <f>IFERROR(MATCH($C$5&amp;"|"&amp;RIGHT("000000"&amp;1357,6),LdgRankKeyB,0),"")</f>
        <v/>
      </c>
    </row>
    <row r="1374">
      <c r="A1374" s="23" t="n">
        <v>1358</v>
      </c>
      <c r="B1374" s="24">
        <f>IF(AND($N1374="",$O1374=""),"",IF($N1374&lt;&gt;"",INDEX(PCNormDate,$N1374),INDEX(LdgDateB,$O1374)))</f>
        <v/>
      </c>
      <c r="C1374" s="24">
        <f>IF($N1374&lt;&gt;"",INDEX(PCOp,$N1374),IF($O1374&lt;&gt;"",IF(N(INDEX(TxnDepB,$O1374))&gt;0,"دریافت بانکی","پرداخت بانکی"),""))</f>
        <v/>
      </c>
      <c r="D1374" s="24">
        <f>IF($N1374&lt;&gt;"",IF(INDEX(PCDoc,$N1374)="","—",INDEX(PCDoc,$N1374)),IF($O1374&lt;&gt;"",INDEX(LdgBankB,$O1374),""))</f>
        <v/>
      </c>
      <c r="E1374" s="24">
        <f>IF($N1374&lt;&gt;"",IF(INDEX(PCCitrus,$N1374)="","—",INDEX(PCCitrus,$N1374)),"")</f>
        <v/>
      </c>
      <c r="F1374" s="25">
        <f>IF($N1374&lt;&gt;"",IF(INDEX(PCScale,$N1374)=0,"",INDEX(PCScale,$N1374)),"")</f>
        <v/>
      </c>
      <c r="G1374" s="25">
        <f>IF($N1374&lt;&gt;"",IF(INDEX(PCBaskets,$N1374)=0,"",INDEX(PCBaskets,$N1374)),"")</f>
        <v/>
      </c>
      <c r="H1374" s="26">
        <f>IF($N1374&lt;&gt;"",IF(INDEX(PCNet,$N1374)=0,"",INDEX(PCNet,$N1374)),"")</f>
        <v/>
      </c>
      <c r="I1374" s="25">
        <f>IF($N1374&lt;&gt;"",IF(INDEX(PCOp,$N1374)="مرجوعی خرید","",IF(INDEX(PCAmount,$N1374)&lt;=0,"",INDEX(PCAmount,$N1374))),IF($O1374&lt;&gt;"",IF(INDEX(TxnDepB,$O1374)=0,"",INDEX(TxnDepB,$O1374)),""))</f>
        <v/>
      </c>
      <c r="J1374" s="25">
        <f>IF($N1374&lt;&gt;"",IF(INDEX(PCOp,$N1374)="مرجوعی خرید",IF(INDEX(PCAmount,$N1374)=0,"",-INDEX(PCAmount,$N1374)),""),IF($O1374&lt;&gt;"",IF(INDEX(TxnWitB,$O1374)=0,"",INDEX(TxnWitB,$O1374)),""))</f>
        <v/>
      </c>
      <c r="K1374" s="27">
        <f>IF($B1374="","",IF($K1373="",$C$10,$K1373)+IF($I1374="",0,$I1374)-IF($J1374="",0,$J1374))</f>
        <v/>
      </c>
      <c r="L1374" s="28">
        <f>IF($N1374&lt;&gt;"",IF(INDEX(PCNotes,$N1374)="","—",INDEX(PCNotes,$N1374)),IF($O1374&lt;&gt;"",IF(INDEX(LdgNoteB,$O1374)="","—",INDEX(LdgNoteB,$O1374)),""))</f>
        <v/>
      </c>
      <c r="N1374">
        <f>IFERROR(MATCH($C$5&amp;"|"&amp;RIGHT("000000"&amp;1358,6),LdgRankKeyA,0),"")</f>
        <v/>
      </c>
      <c r="O1374">
        <f>IFERROR(MATCH($C$5&amp;"|"&amp;RIGHT("000000"&amp;1358,6),LdgRankKeyB,0),"")</f>
        <v/>
      </c>
    </row>
    <row r="1375">
      <c r="A1375" s="17" t="n">
        <v>1359</v>
      </c>
      <c r="B1375" s="18">
        <f>IF(AND($N1375="",$O1375=""),"",IF($N1375&lt;&gt;"",INDEX(PCNormDate,$N1375),INDEX(LdgDateB,$O1375)))</f>
        <v/>
      </c>
      <c r="C1375" s="18">
        <f>IF($N1375&lt;&gt;"",INDEX(PCOp,$N1375),IF($O1375&lt;&gt;"",IF(N(INDEX(TxnDepB,$O1375))&gt;0,"دریافت بانکی","پرداخت بانکی"),""))</f>
        <v/>
      </c>
      <c r="D1375" s="18">
        <f>IF($N1375&lt;&gt;"",IF(INDEX(PCDoc,$N1375)="","—",INDEX(PCDoc,$N1375)),IF($O1375&lt;&gt;"",INDEX(LdgBankB,$O1375),""))</f>
        <v/>
      </c>
      <c r="E1375" s="18">
        <f>IF($N1375&lt;&gt;"",IF(INDEX(PCCitrus,$N1375)="","—",INDEX(PCCitrus,$N1375)),"")</f>
        <v/>
      </c>
      <c r="F1375" s="19">
        <f>IF($N1375&lt;&gt;"",IF(INDEX(PCScale,$N1375)=0,"",INDEX(PCScale,$N1375)),"")</f>
        <v/>
      </c>
      <c r="G1375" s="19">
        <f>IF($N1375&lt;&gt;"",IF(INDEX(PCBaskets,$N1375)=0,"",INDEX(PCBaskets,$N1375)),"")</f>
        <v/>
      </c>
      <c r="H1375" s="20">
        <f>IF($N1375&lt;&gt;"",IF(INDEX(PCNet,$N1375)=0,"",INDEX(PCNet,$N1375)),"")</f>
        <v/>
      </c>
      <c r="I1375" s="19">
        <f>IF($N1375&lt;&gt;"",IF(INDEX(PCOp,$N1375)="مرجوعی خرید","",IF(INDEX(PCAmount,$N1375)&lt;=0,"",INDEX(PCAmount,$N1375))),IF($O1375&lt;&gt;"",IF(INDEX(TxnDepB,$O1375)=0,"",INDEX(TxnDepB,$O1375)),""))</f>
        <v/>
      </c>
      <c r="J1375" s="19">
        <f>IF($N1375&lt;&gt;"",IF(INDEX(PCOp,$N1375)="مرجوعی خرید",IF(INDEX(PCAmount,$N1375)=0,"",-INDEX(PCAmount,$N1375)),""),IF($O1375&lt;&gt;"",IF(INDEX(TxnWitB,$O1375)=0,"",INDEX(TxnWitB,$O1375)),""))</f>
        <v/>
      </c>
      <c r="K1375" s="21">
        <f>IF($B1375="","",IF($K1374="",$C$10,$K1374)+IF($I1375="",0,$I1375)-IF($J1375="",0,$J1375))</f>
        <v/>
      </c>
      <c r="L1375" s="22">
        <f>IF($N1375&lt;&gt;"",IF(INDEX(PCNotes,$N1375)="","—",INDEX(PCNotes,$N1375)),IF($O1375&lt;&gt;"",IF(INDEX(LdgNoteB,$O1375)="","—",INDEX(LdgNoteB,$O1375)),""))</f>
        <v/>
      </c>
      <c r="N1375">
        <f>IFERROR(MATCH($C$5&amp;"|"&amp;RIGHT("000000"&amp;1359,6),LdgRankKeyA,0),"")</f>
        <v/>
      </c>
      <c r="O1375">
        <f>IFERROR(MATCH($C$5&amp;"|"&amp;RIGHT("000000"&amp;1359,6),LdgRankKeyB,0),"")</f>
        <v/>
      </c>
    </row>
    <row r="1376">
      <c r="A1376" s="23" t="n">
        <v>1360</v>
      </c>
      <c r="B1376" s="24">
        <f>IF(AND($N1376="",$O1376=""),"",IF($N1376&lt;&gt;"",INDEX(PCNormDate,$N1376),INDEX(LdgDateB,$O1376)))</f>
        <v/>
      </c>
      <c r="C1376" s="24">
        <f>IF($N1376&lt;&gt;"",INDEX(PCOp,$N1376),IF($O1376&lt;&gt;"",IF(N(INDEX(TxnDepB,$O1376))&gt;0,"دریافت بانکی","پرداخت بانکی"),""))</f>
        <v/>
      </c>
      <c r="D1376" s="24">
        <f>IF($N1376&lt;&gt;"",IF(INDEX(PCDoc,$N1376)="","—",INDEX(PCDoc,$N1376)),IF($O1376&lt;&gt;"",INDEX(LdgBankB,$O1376),""))</f>
        <v/>
      </c>
      <c r="E1376" s="24">
        <f>IF($N1376&lt;&gt;"",IF(INDEX(PCCitrus,$N1376)="","—",INDEX(PCCitrus,$N1376)),"")</f>
        <v/>
      </c>
      <c r="F1376" s="25">
        <f>IF($N1376&lt;&gt;"",IF(INDEX(PCScale,$N1376)=0,"",INDEX(PCScale,$N1376)),"")</f>
        <v/>
      </c>
      <c r="G1376" s="25">
        <f>IF($N1376&lt;&gt;"",IF(INDEX(PCBaskets,$N1376)=0,"",INDEX(PCBaskets,$N1376)),"")</f>
        <v/>
      </c>
      <c r="H1376" s="26">
        <f>IF($N1376&lt;&gt;"",IF(INDEX(PCNet,$N1376)=0,"",INDEX(PCNet,$N1376)),"")</f>
        <v/>
      </c>
      <c r="I1376" s="25">
        <f>IF($N1376&lt;&gt;"",IF(INDEX(PCOp,$N1376)="مرجوعی خرید","",IF(INDEX(PCAmount,$N1376)&lt;=0,"",INDEX(PCAmount,$N1376))),IF($O1376&lt;&gt;"",IF(INDEX(TxnDepB,$O1376)=0,"",INDEX(TxnDepB,$O1376)),""))</f>
        <v/>
      </c>
      <c r="J1376" s="25">
        <f>IF($N1376&lt;&gt;"",IF(INDEX(PCOp,$N1376)="مرجوعی خرید",IF(INDEX(PCAmount,$N1376)=0,"",-INDEX(PCAmount,$N1376)),""),IF($O1376&lt;&gt;"",IF(INDEX(TxnWitB,$O1376)=0,"",INDEX(TxnWitB,$O1376)),""))</f>
        <v/>
      </c>
      <c r="K1376" s="27">
        <f>IF($B1376="","",IF($K1375="",$C$10,$K1375)+IF($I1376="",0,$I1376)-IF($J1376="",0,$J1376))</f>
        <v/>
      </c>
      <c r="L1376" s="28">
        <f>IF($N1376&lt;&gt;"",IF(INDEX(PCNotes,$N1376)="","—",INDEX(PCNotes,$N1376)),IF($O1376&lt;&gt;"",IF(INDEX(LdgNoteB,$O1376)="","—",INDEX(LdgNoteB,$O1376)),""))</f>
        <v/>
      </c>
      <c r="N1376">
        <f>IFERROR(MATCH($C$5&amp;"|"&amp;RIGHT("000000"&amp;1360,6),LdgRankKeyA,0),"")</f>
        <v/>
      </c>
      <c r="O1376">
        <f>IFERROR(MATCH($C$5&amp;"|"&amp;RIGHT("000000"&amp;1360,6),LdgRankKeyB,0),"")</f>
        <v/>
      </c>
    </row>
    <row r="1377">
      <c r="A1377" s="17" t="n">
        <v>1361</v>
      </c>
      <c r="B1377" s="18">
        <f>IF(AND($N1377="",$O1377=""),"",IF($N1377&lt;&gt;"",INDEX(PCNormDate,$N1377),INDEX(LdgDateB,$O1377)))</f>
        <v/>
      </c>
      <c r="C1377" s="18">
        <f>IF($N1377&lt;&gt;"",INDEX(PCOp,$N1377),IF($O1377&lt;&gt;"",IF(N(INDEX(TxnDepB,$O1377))&gt;0,"دریافت بانکی","پرداخت بانکی"),""))</f>
        <v/>
      </c>
      <c r="D1377" s="18">
        <f>IF($N1377&lt;&gt;"",IF(INDEX(PCDoc,$N1377)="","—",INDEX(PCDoc,$N1377)),IF($O1377&lt;&gt;"",INDEX(LdgBankB,$O1377),""))</f>
        <v/>
      </c>
      <c r="E1377" s="18">
        <f>IF($N1377&lt;&gt;"",IF(INDEX(PCCitrus,$N1377)="","—",INDEX(PCCitrus,$N1377)),"")</f>
        <v/>
      </c>
      <c r="F1377" s="19">
        <f>IF($N1377&lt;&gt;"",IF(INDEX(PCScale,$N1377)=0,"",INDEX(PCScale,$N1377)),"")</f>
        <v/>
      </c>
      <c r="G1377" s="19">
        <f>IF($N1377&lt;&gt;"",IF(INDEX(PCBaskets,$N1377)=0,"",INDEX(PCBaskets,$N1377)),"")</f>
        <v/>
      </c>
      <c r="H1377" s="20">
        <f>IF($N1377&lt;&gt;"",IF(INDEX(PCNet,$N1377)=0,"",INDEX(PCNet,$N1377)),"")</f>
        <v/>
      </c>
      <c r="I1377" s="19">
        <f>IF($N1377&lt;&gt;"",IF(INDEX(PCOp,$N1377)="مرجوعی خرید","",IF(INDEX(PCAmount,$N1377)&lt;=0,"",INDEX(PCAmount,$N1377))),IF($O1377&lt;&gt;"",IF(INDEX(TxnDepB,$O1377)=0,"",INDEX(TxnDepB,$O1377)),""))</f>
        <v/>
      </c>
      <c r="J1377" s="19">
        <f>IF($N1377&lt;&gt;"",IF(INDEX(PCOp,$N1377)="مرجوعی خرید",IF(INDEX(PCAmount,$N1377)=0,"",-INDEX(PCAmount,$N1377)),""),IF($O1377&lt;&gt;"",IF(INDEX(TxnWitB,$O1377)=0,"",INDEX(TxnWitB,$O1377)),""))</f>
        <v/>
      </c>
      <c r="K1377" s="21">
        <f>IF($B1377="","",IF($K1376="",$C$10,$K1376)+IF($I1377="",0,$I1377)-IF($J1377="",0,$J1377))</f>
        <v/>
      </c>
      <c r="L1377" s="22">
        <f>IF($N1377&lt;&gt;"",IF(INDEX(PCNotes,$N1377)="","—",INDEX(PCNotes,$N1377)),IF($O1377&lt;&gt;"",IF(INDEX(LdgNoteB,$O1377)="","—",INDEX(LdgNoteB,$O1377)),""))</f>
        <v/>
      </c>
      <c r="N1377">
        <f>IFERROR(MATCH($C$5&amp;"|"&amp;RIGHT("000000"&amp;1361,6),LdgRankKeyA,0),"")</f>
        <v/>
      </c>
      <c r="O1377">
        <f>IFERROR(MATCH($C$5&amp;"|"&amp;RIGHT("000000"&amp;1361,6),LdgRankKeyB,0),"")</f>
        <v/>
      </c>
    </row>
    <row r="1378">
      <c r="A1378" s="23" t="n">
        <v>1362</v>
      </c>
      <c r="B1378" s="24">
        <f>IF(AND($N1378="",$O1378=""),"",IF($N1378&lt;&gt;"",INDEX(PCNormDate,$N1378),INDEX(LdgDateB,$O1378)))</f>
        <v/>
      </c>
      <c r="C1378" s="24">
        <f>IF($N1378&lt;&gt;"",INDEX(PCOp,$N1378),IF($O1378&lt;&gt;"",IF(N(INDEX(TxnDepB,$O1378))&gt;0,"دریافت بانکی","پرداخت بانکی"),""))</f>
        <v/>
      </c>
      <c r="D1378" s="24">
        <f>IF($N1378&lt;&gt;"",IF(INDEX(PCDoc,$N1378)="","—",INDEX(PCDoc,$N1378)),IF($O1378&lt;&gt;"",INDEX(LdgBankB,$O1378),""))</f>
        <v/>
      </c>
      <c r="E1378" s="24">
        <f>IF($N1378&lt;&gt;"",IF(INDEX(PCCitrus,$N1378)="","—",INDEX(PCCitrus,$N1378)),"")</f>
        <v/>
      </c>
      <c r="F1378" s="25">
        <f>IF($N1378&lt;&gt;"",IF(INDEX(PCScale,$N1378)=0,"",INDEX(PCScale,$N1378)),"")</f>
        <v/>
      </c>
      <c r="G1378" s="25">
        <f>IF($N1378&lt;&gt;"",IF(INDEX(PCBaskets,$N1378)=0,"",INDEX(PCBaskets,$N1378)),"")</f>
        <v/>
      </c>
      <c r="H1378" s="26">
        <f>IF($N1378&lt;&gt;"",IF(INDEX(PCNet,$N1378)=0,"",INDEX(PCNet,$N1378)),"")</f>
        <v/>
      </c>
      <c r="I1378" s="25">
        <f>IF($N1378&lt;&gt;"",IF(INDEX(PCOp,$N1378)="مرجوعی خرید","",IF(INDEX(PCAmount,$N1378)&lt;=0,"",INDEX(PCAmount,$N1378))),IF($O1378&lt;&gt;"",IF(INDEX(TxnDepB,$O1378)=0,"",INDEX(TxnDepB,$O1378)),""))</f>
        <v/>
      </c>
      <c r="J1378" s="25">
        <f>IF($N1378&lt;&gt;"",IF(INDEX(PCOp,$N1378)="مرجوعی خرید",IF(INDEX(PCAmount,$N1378)=0,"",-INDEX(PCAmount,$N1378)),""),IF($O1378&lt;&gt;"",IF(INDEX(TxnWitB,$O1378)=0,"",INDEX(TxnWitB,$O1378)),""))</f>
        <v/>
      </c>
      <c r="K1378" s="27">
        <f>IF($B1378="","",IF($K1377="",$C$10,$K1377)+IF($I1378="",0,$I1378)-IF($J1378="",0,$J1378))</f>
        <v/>
      </c>
      <c r="L1378" s="28">
        <f>IF($N1378&lt;&gt;"",IF(INDEX(PCNotes,$N1378)="","—",INDEX(PCNotes,$N1378)),IF($O1378&lt;&gt;"",IF(INDEX(LdgNoteB,$O1378)="","—",INDEX(LdgNoteB,$O1378)),""))</f>
        <v/>
      </c>
      <c r="N1378">
        <f>IFERROR(MATCH($C$5&amp;"|"&amp;RIGHT("000000"&amp;1362,6),LdgRankKeyA,0),"")</f>
        <v/>
      </c>
      <c r="O1378">
        <f>IFERROR(MATCH($C$5&amp;"|"&amp;RIGHT("000000"&amp;1362,6),LdgRankKeyB,0),"")</f>
        <v/>
      </c>
    </row>
    <row r="1379">
      <c r="A1379" s="17" t="n">
        <v>1363</v>
      </c>
      <c r="B1379" s="18">
        <f>IF(AND($N1379="",$O1379=""),"",IF($N1379&lt;&gt;"",INDEX(PCNormDate,$N1379),INDEX(LdgDateB,$O1379)))</f>
        <v/>
      </c>
      <c r="C1379" s="18">
        <f>IF($N1379&lt;&gt;"",INDEX(PCOp,$N1379),IF($O1379&lt;&gt;"",IF(N(INDEX(TxnDepB,$O1379))&gt;0,"دریافت بانکی","پرداخت بانکی"),""))</f>
        <v/>
      </c>
      <c r="D1379" s="18">
        <f>IF($N1379&lt;&gt;"",IF(INDEX(PCDoc,$N1379)="","—",INDEX(PCDoc,$N1379)),IF($O1379&lt;&gt;"",INDEX(LdgBankB,$O1379),""))</f>
        <v/>
      </c>
      <c r="E1379" s="18">
        <f>IF($N1379&lt;&gt;"",IF(INDEX(PCCitrus,$N1379)="","—",INDEX(PCCitrus,$N1379)),"")</f>
        <v/>
      </c>
      <c r="F1379" s="19">
        <f>IF($N1379&lt;&gt;"",IF(INDEX(PCScale,$N1379)=0,"",INDEX(PCScale,$N1379)),"")</f>
        <v/>
      </c>
      <c r="G1379" s="19">
        <f>IF($N1379&lt;&gt;"",IF(INDEX(PCBaskets,$N1379)=0,"",INDEX(PCBaskets,$N1379)),"")</f>
        <v/>
      </c>
      <c r="H1379" s="20">
        <f>IF($N1379&lt;&gt;"",IF(INDEX(PCNet,$N1379)=0,"",INDEX(PCNet,$N1379)),"")</f>
        <v/>
      </c>
      <c r="I1379" s="19">
        <f>IF($N1379&lt;&gt;"",IF(INDEX(PCOp,$N1379)="مرجوعی خرید","",IF(INDEX(PCAmount,$N1379)&lt;=0,"",INDEX(PCAmount,$N1379))),IF($O1379&lt;&gt;"",IF(INDEX(TxnDepB,$O1379)=0,"",INDEX(TxnDepB,$O1379)),""))</f>
        <v/>
      </c>
      <c r="J1379" s="19">
        <f>IF($N1379&lt;&gt;"",IF(INDEX(PCOp,$N1379)="مرجوعی خرید",IF(INDEX(PCAmount,$N1379)=0,"",-INDEX(PCAmount,$N1379)),""),IF($O1379&lt;&gt;"",IF(INDEX(TxnWitB,$O1379)=0,"",INDEX(TxnWitB,$O1379)),""))</f>
        <v/>
      </c>
      <c r="K1379" s="21">
        <f>IF($B1379="","",IF($K1378="",$C$10,$K1378)+IF($I1379="",0,$I1379)-IF($J1379="",0,$J1379))</f>
        <v/>
      </c>
      <c r="L1379" s="22">
        <f>IF($N1379&lt;&gt;"",IF(INDEX(PCNotes,$N1379)="","—",INDEX(PCNotes,$N1379)),IF($O1379&lt;&gt;"",IF(INDEX(LdgNoteB,$O1379)="","—",INDEX(LdgNoteB,$O1379)),""))</f>
        <v/>
      </c>
      <c r="N1379">
        <f>IFERROR(MATCH($C$5&amp;"|"&amp;RIGHT("000000"&amp;1363,6),LdgRankKeyA,0),"")</f>
        <v/>
      </c>
      <c r="O1379">
        <f>IFERROR(MATCH($C$5&amp;"|"&amp;RIGHT("000000"&amp;1363,6),LdgRankKeyB,0),"")</f>
        <v/>
      </c>
    </row>
    <row r="1380">
      <c r="A1380" s="23" t="n">
        <v>1364</v>
      </c>
      <c r="B1380" s="24">
        <f>IF(AND($N1380="",$O1380=""),"",IF($N1380&lt;&gt;"",INDEX(PCNormDate,$N1380),INDEX(LdgDateB,$O1380)))</f>
        <v/>
      </c>
      <c r="C1380" s="24">
        <f>IF($N1380&lt;&gt;"",INDEX(PCOp,$N1380),IF($O1380&lt;&gt;"",IF(N(INDEX(TxnDepB,$O1380))&gt;0,"دریافت بانکی","پرداخت بانکی"),""))</f>
        <v/>
      </c>
      <c r="D1380" s="24">
        <f>IF($N1380&lt;&gt;"",IF(INDEX(PCDoc,$N1380)="","—",INDEX(PCDoc,$N1380)),IF($O1380&lt;&gt;"",INDEX(LdgBankB,$O1380),""))</f>
        <v/>
      </c>
      <c r="E1380" s="24">
        <f>IF($N1380&lt;&gt;"",IF(INDEX(PCCitrus,$N1380)="","—",INDEX(PCCitrus,$N1380)),"")</f>
        <v/>
      </c>
      <c r="F1380" s="25">
        <f>IF($N1380&lt;&gt;"",IF(INDEX(PCScale,$N1380)=0,"",INDEX(PCScale,$N1380)),"")</f>
        <v/>
      </c>
      <c r="G1380" s="25">
        <f>IF($N1380&lt;&gt;"",IF(INDEX(PCBaskets,$N1380)=0,"",INDEX(PCBaskets,$N1380)),"")</f>
        <v/>
      </c>
      <c r="H1380" s="26">
        <f>IF($N1380&lt;&gt;"",IF(INDEX(PCNet,$N1380)=0,"",INDEX(PCNet,$N1380)),"")</f>
        <v/>
      </c>
      <c r="I1380" s="25">
        <f>IF($N1380&lt;&gt;"",IF(INDEX(PCOp,$N1380)="مرجوعی خرید","",IF(INDEX(PCAmount,$N1380)&lt;=0,"",INDEX(PCAmount,$N1380))),IF($O1380&lt;&gt;"",IF(INDEX(TxnDepB,$O1380)=0,"",INDEX(TxnDepB,$O1380)),""))</f>
        <v/>
      </c>
      <c r="J1380" s="25">
        <f>IF($N1380&lt;&gt;"",IF(INDEX(PCOp,$N1380)="مرجوعی خرید",IF(INDEX(PCAmount,$N1380)=0,"",-INDEX(PCAmount,$N1380)),""),IF($O1380&lt;&gt;"",IF(INDEX(TxnWitB,$O1380)=0,"",INDEX(TxnWitB,$O1380)),""))</f>
        <v/>
      </c>
      <c r="K1380" s="27">
        <f>IF($B1380="","",IF($K1379="",$C$10,$K1379)+IF($I1380="",0,$I1380)-IF($J1380="",0,$J1380))</f>
        <v/>
      </c>
      <c r="L1380" s="28">
        <f>IF($N1380&lt;&gt;"",IF(INDEX(PCNotes,$N1380)="","—",INDEX(PCNotes,$N1380)),IF($O1380&lt;&gt;"",IF(INDEX(LdgNoteB,$O1380)="","—",INDEX(LdgNoteB,$O1380)),""))</f>
        <v/>
      </c>
      <c r="N1380">
        <f>IFERROR(MATCH($C$5&amp;"|"&amp;RIGHT("000000"&amp;1364,6),LdgRankKeyA,0),"")</f>
        <v/>
      </c>
      <c r="O1380">
        <f>IFERROR(MATCH($C$5&amp;"|"&amp;RIGHT("000000"&amp;1364,6),LdgRankKeyB,0),"")</f>
        <v/>
      </c>
    </row>
    <row r="1381">
      <c r="A1381" s="17" t="n">
        <v>1365</v>
      </c>
      <c r="B1381" s="18">
        <f>IF(AND($N1381="",$O1381=""),"",IF($N1381&lt;&gt;"",INDEX(PCNormDate,$N1381),INDEX(LdgDateB,$O1381)))</f>
        <v/>
      </c>
      <c r="C1381" s="18">
        <f>IF($N1381&lt;&gt;"",INDEX(PCOp,$N1381),IF($O1381&lt;&gt;"",IF(N(INDEX(TxnDepB,$O1381))&gt;0,"دریافت بانکی","پرداخت بانکی"),""))</f>
        <v/>
      </c>
      <c r="D1381" s="18">
        <f>IF($N1381&lt;&gt;"",IF(INDEX(PCDoc,$N1381)="","—",INDEX(PCDoc,$N1381)),IF($O1381&lt;&gt;"",INDEX(LdgBankB,$O1381),""))</f>
        <v/>
      </c>
      <c r="E1381" s="18">
        <f>IF($N1381&lt;&gt;"",IF(INDEX(PCCitrus,$N1381)="","—",INDEX(PCCitrus,$N1381)),"")</f>
        <v/>
      </c>
      <c r="F1381" s="19">
        <f>IF($N1381&lt;&gt;"",IF(INDEX(PCScale,$N1381)=0,"",INDEX(PCScale,$N1381)),"")</f>
        <v/>
      </c>
      <c r="G1381" s="19">
        <f>IF($N1381&lt;&gt;"",IF(INDEX(PCBaskets,$N1381)=0,"",INDEX(PCBaskets,$N1381)),"")</f>
        <v/>
      </c>
      <c r="H1381" s="20">
        <f>IF($N1381&lt;&gt;"",IF(INDEX(PCNet,$N1381)=0,"",INDEX(PCNet,$N1381)),"")</f>
        <v/>
      </c>
      <c r="I1381" s="19">
        <f>IF($N1381&lt;&gt;"",IF(INDEX(PCOp,$N1381)="مرجوعی خرید","",IF(INDEX(PCAmount,$N1381)&lt;=0,"",INDEX(PCAmount,$N1381))),IF($O1381&lt;&gt;"",IF(INDEX(TxnDepB,$O1381)=0,"",INDEX(TxnDepB,$O1381)),""))</f>
        <v/>
      </c>
      <c r="J1381" s="19">
        <f>IF($N1381&lt;&gt;"",IF(INDEX(PCOp,$N1381)="مرجوعی خرید",IF(INDEX(PCAmount,$N1381)=0,"",-INDEX(PCAmount,$N1381)),""),IF($O1381&lt;&gt;"",IF(INDEX(TxnWitB,$O1381)=0,"",INDEX(TxnWitB,$O1381)),""))</f>
        <v/>
      </c>
      <c r="K1381" s="21">
        <f>IF($B1381="","",IF($K1380="",$C$10,$K1380)+IF($I1381="",0,$I1381)-IF($J1381="",0,$J1381))</f>
        <v/>
      </c>
      <c r="L1381" s="22">
        <f>IF($N1381&lt;&gt;"",IF(INDEX(PCNotes,$N1381)="","—",INDEX(PCNotes,$N1381)),IF($O1381&lt;&gt;"",IF(INDEX(LdgNoteB,$O1381)="","—",INDEX(LdgNoteB,$O1381)),""))</f>
        <v/>
      </c>
      <c r="N1381">
        <f>IFERROR(MATCH($C$5&amp;"|"&amp;RIGHT("000000"&amp;1365,6),LdgRankKeyA,0),"")</f>
        <v/>
      </c>
      <c r="O1381">
        <f>IFERROR(MATCH($C$5&amp;"|"&amp;RIGHT("000000"&amp;1365,6),LdgRankKeyB,0),"")</f>
        <v/>
      </c>
    </row>
    <row r="1382">
      <c r="A1382" s="23" t="n">
        <v>1366</v>
      </c>
      <c r="B1382" s="24">
        <f>IF(AND($N1382="",$O1382=""),"",IF($N1382&lt;&gt;"",INDEX(PCNormDate,$N1382),INDEX(LdgDateB,$O1382)))</f>
        <v/>
      </c>
      <c r="C1382" s="24">
        <f>IF($N1382&lt;&gt;"",INDEX(PCOp,$N1382),IF($O1382&lt;&gt;"",IF(N(INDEX(TxnDepB,$O1382))&gt;0,"دریافت بانکی","پرداخت بانکی"),""))</f>
        <v/>
      </c>
      <c r="D1382" s="24">
        <f>IF($N1382&lt;&gt;"",IF(INDEX(PCDoc,$N1382)="","—",INDEX(PCDoc,$N1382)),IF($O1382&lt;&gt;"",INDEX(LdgBankB,$O1382),""))</f>
        <v/>
      </c>
      <c r="E1382" s="24">
        <f>IF($N1382&lt;&gt;"",IF(INDEX(PCCitrus,$N1382)="","—",INDEX(PCCitrus,$N1382)),"")</f>
        <v/>
      </c>
      <c r="F1382" s="25">
        <f>IF($N1382&lt;&gt;"",IF(INDEX(PCScale,$N1382)=0,"",INDEX(PCScale,$N1382)),"")</f>
        <v/>
      </c>
      <c r="G1382" s="25">
        <f>IF($N1382&lt;&gt;"",IF(INDEX(PCBaskets,$N1382)=0,"",INDEX(PCBaskets,$N1382)),"")</f>
        <v/>
      </c>
      <c r="H1382" s="26">
        <f>IF($N1382&lt;&gt;"",IF(INDEX(PCNet,$N1382)=0,"",INDEX(PCNet,$N1382)),"")</f>
        <v/>
      </c>
      <c r="I1382" s="25">
        <f>IF($N1382&lt;&gt;"",IF(INDEX(PCOp,$N1382)="مرجوعی خرید","",IF(INDEX(PCAmount,$N1382)&lt;=0,"",INDEX(PCAmount,$N1382))),IF($O1382&lt;&gt;"",IF(INDEX(TxnDepB,$O1382)=0,"",INDEX(TxnDepB,$O1382)),""))</f>
        <v/>
      </c>
      <c r="J1382" s="25">
        <f>IF($N1382&lt;&gt;"",IF(INDEX(PCOp,$N1382)="مرجوعی خرید",IF(INDEX(PCAmount,$N1382)=0,"",-INDEX(PCAmount,$N1382)),""),IF($O1382&lt;&gt;"",IF(INDEX(TxnWitB,$O1382)=0,"",INDEX(TxnWitB,$O1382)),""))</f>
        <v/>
      </c>
      <c r="K1382" s="27">
        <f>IF($B1382="","",IF($K1381="",$C$10,$K1381)+IF($I1382="",0,$I1382)-IF($J1382="",0,$J1382))</f>
        <v/>
      </c>
      <c r="L1382" s="28">
        <f>IF($N1382&lt;&gt;"",IF(INDEX(PCNotes,$N1382)="","—",INDEX(PCNotes,$N1382)),IF($O1382&lt;&gt;"",IF(INDEX(LdgNoteB,$O1382)="","—",INDEX(LdgNoteB,$O1382)),""))</f>
        <v/>
      </c>
      <c r="N1382">
        <f>IFERROR(MATCH($C$5&amp;"|"&amp;RIGHT("000000"&amp;1366,6),LdgRankKeyA,0),"")</f>
        <v/>
      </c>
      <c r="O1382">
        <f>IFERROR(MATCH($C$5&amp;"|"&amp;RIGHT("000000"&amp;1366,6),LdgRankKeyB,0),"")</f>
        <v/>
      </c>
    </row>
    <row r="1383">
      <c r="A1383" s="17" t="n">
        <v>1367</v>
      </c>
      <c r="B1383" s="18">
        <f>IF(AND($N1383="",$O1383=""),"",IF($N1383&lt;&gt;"",INDEX(PCNormDate,$N1383),INDEX(LdgDateB,$O1383)))</f>
        <v/>
      </c>
      <c r="C1383" s="18">
        <f>IF($N1383&lt;&gt;"",INDEX(PCOp,$N1383),IF($O1383&lt;&gt;"",IF(N(INDEX(TxnDepB,$O1383))&gt;0,"دریافت بانکی","پرداخت بانکی"),""))</f>
        <v/>
      </c>
      <c r="D1383" s="18">
        <f>IF($N1383&lt;&gt;"",IF(INDEX(PCDoc,$N1383)="","—",INDEX(PCDoc,$N1383)),IF($O1383&lt;&gt;"",INDEX(LdgBankB,$O1383),""))</f>
        <v/>
      </c>
      <c r="E1383" s="18">
        <f>IF($N1383&lt;&gt;"",IF(INDEX(PCCitrus,$N1383)="","—",INDEX(PCCitrus,$N1383)),"")</f>
        <v/>
      </c>
      <c r="F1383" s="19">
        <f>IF($N1383&lt;&gt;"",IF(INDEX(PCScale,$N1383)=0,"",INDEX(PCScale,$N1383)),"")</f>
        <v/>
      </c>
      <c r="G1383" s="19">
        <f>IF($N1383&lt;&gt;"",IF(INDEX(PCBaskets,$N1383)=0,"",INDEX(PCBaskets,$N1383)),"")</f>
        <v/>
      </c>
      <c r="H1383" s="20">
        <f>IF($N1383&lt;&gt;"",IF(INDEX(PCNet,$N1383)=0,"",INDEX(PCNet,$N1383)),"")</f>
        <v/>
      </c>
      <c r="I1383" s="19">
        <f>IF($N1383&lt;&gt;"",IF(INDEX(PCOp,$N1383)="مرجوعی خرید","",IF(INDEX(PCAmount,$N1383)&lt;=0,"",INDEX(PCAmount,$N1383))),IF($O1383&lt;&gt;"",IF(INDEX(TxnDepB,$O1383)=0,"",INDEX(TxnDepB,$O1383)),""))</f>
        <v/>
      </c>
      <c r="J1383" s="19">
        <f>IF($N1383&lt;&gt;"",IF(INDEX(PCOp,$N1383)="مرجوعی خرید",IF(INDEX(PCAmount,$N1383)=0,"",-INDEX(PCAmount,$N1383)),""),IF($O1383&lt;&gt;"",IF(INDEX(TxnWitB,$O1383)=0,"",INDEX(TxnWitB,$O1383)),""))</f>
        <v/>
      </c>
      <c r="K1383" s="21">
        <f>IF($B1383="","",IF($K1382="",$C$10,$K1382)+IF($I1383="",0,$I1383)-IF($J1383="",0,$J1383))</f>
        <v/>
      </c>
      <c r="L1383" s="22">
        <f>IF($N1383&lt;&gt;"",IF(INDEX(PCNotes,$N1383)="","—",INDEX(PCNotes,$N1383)),IF($O1383&lt;&gt;"",IF(INDEX(LdgNoteB,$O1383)="","—",INDEX(LdgNoteB,$O1383)),""))</f>
        <v/>
      </c>
      <c r="N1383">
        <f>IFERROR(MATCH($C$5&amp;"|"&amp;RIGHT("000000"&amp;1367,6),LdgRankKeyA,0),"")</f>
        <v/>
      </c>
      <c r="O1383">
        <f>IFERROR(MATCH($C$5&amp;"|"&amp;RIGHT("000000"&amp;1367,6),LdgRankKeyB,0),"")</f>
        <v/>
      </c>
    </row>
    <row r="1384">
      <c r="A1384" s="23" t="n">
        <v>1368</v>
      </c>
      <c r="B1384" s="24">
        <f>IF(AND($N1384="",$O1384=""),"",IF($N1384&lt;&gt;"",INDEX(PCNormDate,$N1384),INDEX(LdgDateB,$O1384)))</f>
        <v/>
      </c>
      <c r="C1384" s="24">
        <f>IF($N1384&lt;&gt;"",INDEX(PCOp,$N1384),IF($O1384&lt;&gt;"",IF(N(INDEX(TxnDepB,$O1384))&gt;0,"دریافت بانکی","پرداخت بانکی"),""))</f>
        <v/>
      </c>
      <c r="D1384" s="24">
        <f>IF($N1384&lt;&gt;"",IF(INDEX(PCDoc,$N1384)="","—",INDEX(PCDoc,$N1384)),IF($O1384&lt;&gt;"",INDEX(LdgBankB,$O1384),""))</f>
        <v/>
      </c>
      <c r="E1384" s="24">
        <f>IF($N1384&lt;&gt;"",IF(INDEX(PCCitrus,$N1384)="","—",INDEX(PCCitrus,$N1384)),"")</f>
        <v/>
      </c>
      <c r="F1384" s="25">
        <f>IF($N1384&lt;&gt;"",IF(INDEX(PCScale,$N1384)=0,"",INDEX(PCScale,$N1384)),"")</f>
        <v/>
      </c>
      <c r="G1384" s="25">
        <f>IF($N1384&lt;&gt;"",IF(INDEX(PCBaskets,$N1384)=0,"",INDEX(PCBaskets,$N1384)),"")</f>
        <v/>
      </c>
      <c r="H1384" s="26">
        <f>IF($N1384&lt;&gt;"",IF(INDEX(PCNet,$N1384)=0,"",INDEX(PCNet,$N1384)),"")</f>
        <v/>
      </c>
      <c r="I1384" s="25">
        <f>IF($N1384&lt;&gt;"",IF(INDEX(PCOp,$N1384)="مرجوعی خرید","",IF(INDEX(PCAmount,$N1384)&lt;=0,"",INDEX(PCAmount,$N1384))),IF($O1384&lt;&gt;"",IF(INDEX(TxnDepB,$O1384)=0,"",INDEX(TxnDepB,$O1384)),""))</f>
        <v/>
      </c>
      <c r="J1384" s="25">
        <f>IF($N1384&lt;&gt;"",IF(INDEX(PCOp,$N1384)="مرجوعی خرید",IF(INDEX(PCAmount,$N1384)=0,"",-INDEX(PCAmount,$N1384)),""),IF($O1384&lt;&gt;"",IF(INDEX(TxnWitB,$O1384)=0,"",INDEX(TxnWitB,$O1384)),""))</f>
        <v/>
      </c>
      <c r="K1384" s="27">
        <f>IF($B1384="","",IF($K1383="",$C$10,$K1383)+IF($I1384="",0,$I1384)-IF($J1384="",0,$J1384))</f>
        <v/>
      </c>
      <c r="L1384" s="28">
        <f>IF($N1384&lt;&gt;"",IF(INDEX(PCNotes,$N1384)="","—",INDEX(PCNotes,$N1384)),IF($O1384&lt;&gt;"",IF(INDEX(LdgNoteB,$O1384)="","—",INDEX(LdgNoteB,$O1384)),""))</f>
        <v/>
      </c>
      <c r="N1384">
        <f>IFERROR(MATCH($C$5&amp;"|"&amp;RIGHT("000000"&amp;1368,6),LdgRankKeyA,0),"")</f>
        <v/>
      </c>
      <c r="O1384">
        <f>IFERROR(MATCH($C$5&amp;"|"&amp;RIGHT("000000"&amp;1368,6),LdgRankKeyB,0),"")</f>
        <v/>
      </c>
    </row>
    <row r="1385">
      <c r="A1385" s="17" t="n">
        <v>1369</v>
      </c>
      <c r="B1385" s="18">
        <f>IF(AND($N1385="",$O1385=""),"",IF($N1385&lt;&gt;"",INDEX(PCNormDate,$N1385),INDEX(LdgDateB,$O1385)))</f>
        <v/>
      </c>
      <c r="C1385" s="18">
        <f>IF($N1385&lt;&gt;"",INDEX(PCOp,$N1385),IF($O1385&lt;&gt;"",IF(N(INDEX(TxnDepB,$O1385))&gt;0,"دریافت بانکی","پرداخت بانکی"),""))</f>
        <v/>
      </c>
      <c r="D1385" s="18">
        <f>IF($N1385&lt;&gt;"",IF(INDEX(PCDoc,$N1385)="","—",INDEX(PCDoc,$N1385)),IF($O1385&lt;&gt;"",INDEX(LdgBankB,$O1385),""))</f>
        <v/>
      </c>
      <c r="E1385" s="18">
        <f>IF($N1385&lt;&gt;"",IF(INDEX(PCCitrus,$N1385)="","—",INDEX(PCCitrus,$N1385)),"")</f>
        <v/>
      </c>
      <c r="F1385" s="19">
        <f>IF($N1385&lt;&gt;"",IF(INDEX(PCScale,$N1385)=0,"",INDEX(PCScale,$N1385)),"")</f>
        <v/>
      </c>
      <c r="G1385" s="19">
        <f>IF($N1385&lt;&gt;"",IF(INDEX(PCBaskets,$N1385)=0,"",INDEX(PCBaskets,$N1385)),"")</f>
        <v/>
      </c>
      <c r="H1385" s="20">
        <f>IF($N1385&lt;&gt;"",IF(INDEX(PCNet,$N1385)=0,"",INDEX(PCNet,$N1385)),"")</f>
        <v/>
      </c>
      <c r="I1385" s="19">
        <f>IF($N1385&lt;&gt;"",IF(INDEX(PCOp,$N1385)="مرجوعی خرید","",IF(INDEX(PCAmount,$N1385)&lt;=0,"",INDEX(PCAmount,$N1385))),IF($O1385&lt;&gt;"",IF(INDEX(TxnDepB,$O1385)=0,"",INDEX(TxnDepB,$O1385)),""))</f>
        <v/>
      </c>
      <c r="J1385" s="19">
        <f>IF($N1385&lt;&gt;"",IF(INDEX(PCOp,$N1385)="مرجوعی خرید",IF(INDEX(PCAmount,$N1385)=0,"",-INDEX(PCAmount,$N1385)),""),IF($O1385&lt;&gt;"",IF(INDEX(TxnWitB,$O1385)=0,"",INDEX(TxnWitB,$O1385)),""))</f>
        <v/>
      </c>
      <c r="K1385" s="21">
        <f>IF($B1385="","",IF($K1384="",$C$10,$K1384)+IF($I1385="",0,$I1385)-IF($J1385="",0,$J1385))</f>
        <v/>
      </c>
      <c r="L1385" s="22">
        <f>IF($N1385&lt;&gt;"",IF(INDEX(PCNotes,$N1385)="","—",INDEX(PCNotes,$N1385)),IF($O1385&lt;&gt;"",IF(INDEX(LdgNoteB,$O1385)="","—",INDEX(LdgNoteB,$O1385)),""))</f>
        <v/>
      </c>
      <c r="N1385">
        <f>IFERROR(MATCH($C$5&amp;"|"&amp;RIGHT("000000"&amp;1369,6),LdgRankKeyA,0),"")</f>
        <v/>
      </c>
      <c r="O1385">
        <f>IFERROR(MATCH($C$5&amp;"|"&amp;RIGHT("000000"&amp;1369,6),LdgRankKeyB,0),"")</f>
        <v/>
      </c>
    </row>
    <row r="1386">
      <c r="A1386" s="23" t="n">
        <v>1370</v>
      </c>
      <c r="B1386" s="24">
        <f>IF(AND($N1386="",$O1386=""),"",IF($N1386&lt;&gt;"",INDEX(PCNormDate,$N1386),INDEX(LdgDateB,$O1386)))</f>
        <v/>
      </c>
      <c r="C1386" s="24">
        <f>IF($N1386&lt;&gt;"",INDEX(PCOp,$N1386),IF($O1386&lt;&gt;"",IF(N(INDEX(TxnDepB,$O1386))&gt;0,"دریافت بانکی","پرداخت بانکی"),""))</f>
        <v/>
      </c>
      <c r="D1386" s="24">
        <f>IF($N1386&lt;&gt;"",IF(INDEX(PCDoc,$N1386)="","—",INDEX(PCDoc,$N1386)),IF($O1386&lt;&gt;"",INDEX(LdgBankB,$O1386),""))</f>
        <v/>
      </c>
      <c r="E1386" s="24">
        <f>IF($N1386&lt;&gt;"",IF(INDEX(PCCitrus,$N1386)="","—",INDEX(PCCitrus,$N1386)),"")</f>
        <v/>
      </c>
      <c r="F1386" s="25">
        <f>IF($N1386&lt;&gt;"",IF(INDEX(PCScale,$N1386)=0,"",INDEX(PCScale,$N1386)),"")</f>
        <v/>
      </c>
      <c r="G1386" s="25">
        <f>IF($N1386&lt;&gt;"",IF(INDEX(PCBaskets,$N1386)=0,"",INDEX(PCBaskets,$N1386)),"")</f>
        <v/>
      </c>
      <c r="H1386" s="26">
        <f>IF($N1386&lt;&gt;"",IF(INDEX(PCNet,$N1386)=0,"",INDEX(PCNet,$N1386)),"")</f>
        <v/>
      </c>
      <c r="I1386" s="25">
        <f>IF($N1386&lt;&gt;"",IF(INDEX(PCOp,$N1386)="مرجوعی خرید","",IF(INDEX(PCAmount,$N1386)&lt;=0,"",INDEX(PCAmount,$N1386))),IF($O1386&lt;&gt;"",IF(INDEX(TxnDepB,$O1386)=0,"",INDEX(TxnDepB,$O1386)),""))</f>
        <v/>
      </c>
      <c r="J1386" s="25">
        <f>IF($N1386&lt;&gt;"",IF(INDEX(PCOp,$N1386)="مرجوعی خرید",IF(INDEX(PCAmount,$N1386)=0,"",-INDEX(PCAmount,$N1386)),""),IF($O1386&lt;&gt;"",IF(INDEX(TxnWitB,$O1386)=0,"",INDEX(TxnWitB,$O1386)),""))</f>
        <v/>
      </c>
      <c r="K1386" s="27">
        <f>IF($B1386="","",IF($K1385="",$C$10,$K1385)+IF($I1386="",0,$I1386)-IF($J1386="",0,$J1386))</f>
        <v/>
      </c>
      <c r="L1386" s="28">
        <f>IF($N1386&lt;&gt;"",IF(INDEX(PCNotes,$N1386)="","—",INDEX(PCNotes,$N1386)),IF($O1386&lt;&gt;"",IF(INDEX(LdgNoteB,$O1386)="","—",INDEX(LdgNoteB,$O1386)),""))</f>
        <v/>
      </c>
      <c r="N1386">
        <f>IFERROR(MATCH($C$5&amp;"|"&amp;RIGHT("000000"&amp;1370,6),LdgRankKeyA,0),"")</f>
        <v/>
      </c>
      <c r="O1386">
        <f>IFERROR(MATCH($C$5&amp;"|"&amp;RIGHT("000000"&amp;1370,6),LdgRankKeyB,0),"")</f>
        <v/>
      </c>
    </row>
    <row r="1387">
      <c r="A1387" s="17" t="n">
        <v>1371</v>
      </c>
      <c r="B1387" s="18">
        <f>IF(AND($N1387="",$O1387=""),"",IF($N1387&lt;&gt;"",INDEX(PCNormDate,$N1387),INDEX(LdgDateB,$O1387)))</f>
        <v/>
      </c>
      <c r="C1387" s="18">
        <f>IF($N1387&lt;&gt;"",INDEX(PCOp,$N1387),IF($O1387&lt;&gt;"",IF(N(INDEX(TxnDepB,$O1387))&gt;0,"دریافت بانکی","پرداخت بانکی"),""))</f>
        <v/>
      </c>
      <c r="D1387" s="18">
        <f>IF($N1387&lt;&gt;"",IF(INDEX(PCDoc,$N1387)="","—",INDEX(PCDoc,$N1387)),IF($O1387&lt;&gt;"",INDEX(LdgBankB,$O1387),""))</f>
        <v/>
      </c>
      <c r="E1387" s="18">
        <f>IF($N1387&lt;&gt;"",IF(INDEX(PCCitrus,$N1387)="","—",INDEX(PCCitrus,$N1387)),"")</f>
        <v/>
      </c>
      <c r="F1387" s="19">
        <f>IF($N1387&lt;&gt;"",IF(INDEX(PCScale,$N1387)=0,"",INDEX(PCScale,$N1387)),"")</f>
        <v/>
      </c>
      <c r="G1387" s="19">
        <f>IF($N1387&lt;&gt;"",IF(INDEX(PCBaskets,$N1387)=0,"",INDEX(PCBaskets,$N1387)),"")</f>
        <v/>
      </c>
      <c r="H1387" s="20">
        <f>IF($N1387&lt;&gt;"",IF(INDEX(PCNet,$N1387)=0,"",INDEX(PCNet,$N1387)),"")</f>
        <v/>
      </c>
      <c r="I1387" s="19">
        <f>IF($N1387&lt;&gt;"",IF(INDEX(PCOp,$N1387)="مرجوعی خرید","",IF(INDEX(PCAmount,$N1387)&lt;=0,"",INDEX(PCAmount,$N1387))),IF($O1387&lt;&gt;"",IF(INDEX(TxnDepB,$O1387)=0,"",INDEX(TxnDepB,$O1387)),""))</f>
        <v/>
      </c>
      <c r="J1387" s="19">
        <f>IF($N1387&lt;&gt;"",IF(INDEX(PCOp,$N1387)="مرجوعی خرید",IF(INDEX(PCAmount,$N1387)=0,"",-INDEX(PCAmount,$N1387)),""),IF($O1387&lt;&gt;"",IF(INDEX(TxnWitB,$O1387)=0,"",INDEX(TxnWitB,$O1387)),""))</f>
        <v/>
      </c>
      <c r="K1387" s="21">
        <f>IF($B1387="","",IF($K1386="",$C$10,$K1386)+IF($I1387="",0,$I1387)-IF($J1387="",0,$J1387))</f>
        <v/>
      </c>
      <c r="L1387" s="22">
        <f>IF($N1387&lt;&gt;"",IF(INDEX(PCNotes,$N1387)="","—",INDEX(PCNotes,$N1387)),IF($O1387&lt;&gt;"",IF(INDEX(LdgNoteB,$O1387)="","—",INDEX(LdgNoteB,$O1387)),""))</f>
        <v/>
      </c>
      <c r="N1387">
        <f>IFERROR(MATCH($C$5&amp;"|"&amp;RIGHT("000000"&amp;1371,6),LdgRankKeyA,0),"")</f>
        <v/>
      </c>
      <c r="O1387">
        <f>IFERROR(MATCH($C$5&amp;"|"&amp;RIGHT("000000"&amp;1371,6),LdgRankKeyB,0),"")</f>
        <v/>
      </c>
    </row>
    <row r="1388">
      <c r="A1388" s="23" t="n">
        <v>1372</v>
      </c>
      <c r="B1388" s="24">
        <f>IF(AND($N1388="",$O1388=""),"",IF($N1388&lt;&gt;"",INDEX(PCNormDate,$N1388),INDEX(LdgDateB,$O1388)))</f>
        <v/>
      </c>
      <c r="C1388" s="24">
        <f>IF($N1388&lt;&gt;"",INDEX(PCOp,$N1388),IF($O1388&lt;&gt;"",IF(N(INDEX(TxnDepB,$O1388))&gt;0,"دریافت بانکی","پرداخت بانکی"),""))</f>
        <v/>
      </c>
      <c r="D1388" s="24">
        <f>IF($N1388&lt;&gt;"",IF(INDEX(PCDoc,$N1388)="","—",INDEX(PCDoc,$N1388)),IF($O1388&lt;&gt;"",INDEX(LdgBankB,$O1388),""))</f>
        <v/>
      </c>
      <c r="E1388" s="24">
        <f>IF($N1388&lt;&gt;"",IF(INDEX(PCCitrus,$N1388)="","—",INDEX(PCCitrus,$N1388)),"")</f>
        <v/>
      </c>
      <c r="F1388" s="25">
        <f>IF($N1388&lt;&gt;"",IF(INDEX(PCScale,$N1388)=0,"",INDEX(PCScale,$N1388)),"")</f>
        <v/>
      </c>
      <c r="G1388" s="25">
        <f>IF($N1388&lt;&gt;"",IF(INDEX(PCBaskets,$N1388)=0,"",INDEX(PCBaskets,$N1388)),"")</f>
        <v/>
      </c>
      <c r="H1388" s="26">
        <f>IF($N1388&lt;&gt;"",IF(INDEX(PCNet,$N1388)=0,"",INDEX(PCNet,$N1388)),"")</f>
        <v/>
      </c>
      <c r="I1388" s="25">
        <f>IF($N1388&lt;&gt;"",IF(INDEX(PCOp,$N1388)="مرجوعی خرید","",IF(INDEX(PCAmount,$N1388)&lt;=0,"",INDEX(PCAmount,$N1388))),IF($O1388&lt;&gt;"",IF(INDEX(TxnDepB,$O1388)=0,"",INDEX(TxnDepB,$O1388)),""))</f>
        <v/>
      </c>
      <c r="J1388" s="25">
        <f>IF($N1388&lt;&gt;"",IF(INDEX(PCOp,$N1388)="مرجوعی خرید",IF(INDEX(PCAmount,$N1388)=0,"",-INDEX(PCAmount,$N1388)),""),IF($O1388&lt;&gt;"",IF(INDEX(TxnWitB,$O1388)=0,"",INDEX(TxnWitB,$O1388)),""))</f>
        <v/>
      </c>
      <c r="K1388" s="27">
        <f>IF($B1388="","",IF($K1387="",$C$10,$K1387)+IF($I1388="",0,$I1388)-IF($J1388="",0,$J1388))</f>
        <v/>
      </c>
      <c r="L1388" s="28">
        <f>IF($N1388&lt;&gt;"",IF(INDEX(PCNotes,$N1388)="","—",INDEX(PCNotes,$N1388)),IF($O1388&lt;&gt;"",IF(INDEX(LdgNoteB,$O1388)="","—",INDEX(LdgNoteB,$O1388)),""))</f>
        <v/>
      </c>
      <c r="N1388">
        <f>IFERROR(MATCH($C$5&amp;"|"&amp;RIGHT("000000"&amp;1372,6),LdgRankKeyA,0),"")</f>
        <v/>
      </c>
      <c r="O1388">
        <f>IFERROR(MATCH($C$5&amp;"|"&amp;RIGHT("000000"&amp;1372,6),LdgRankKeyB,0),"")</f>
        <v/>
      </c>
    </row>
    <row r="1389">
      <c r="A1389" s="17" t="n">
        <v>1373</v>
      </c>
      <c r="B1389" s="18">
        <f>IF(AND($N1389="",$O1389=""),"",IF($N1389&lt;&gt;"",INDEX(PCNormDate,$N1389),INDEX(LdgDateB,$O1389)))</f>
        <v/>
      </c>
      <c r="C1389" s="18">
        <f>IF($N1389&lt;&gt;"",INDEX(PCOp,$N1389),IF($O1389&lt;&gt;"",IF(N(INDEX(TxnDepB,$O1389))&gt;0,"دریافت بانکی","پرداخت بانکی"),""))</f>
        <v/>
      </c>
      <c r="D1389" s="18">
        <f>IF($N1389&lt;&gt;"",IF(INDEX(PCDoc,$N1389)="","—",INDEX(PCDoc,$N1389)),IF($O1389&lt;&gt;"",INDEX(LdgBankB,$O1389),""))</f>
        <v/>
      </c>
      <c r="E1389" s="18">
        <f>IF($N1389&lt;&gt;"",IF(INDEX(PCCitrus,$N1389)="","—",INDEX(PCCitrus,$N1389)),"")</f>
        <v/>
      </c>
      <c r="F1389" s="19">
        <f>IF($N1389&lt;&gt;"",IF(INDEX(PCScale,$N1389)=0,"",INDEX(PCScale,$N1389)),"")</f>
        <v/>
      </c>
      <c r="G1389" s="19">
        <f>IF($N1389&lt;&gt;"",IF(INDEX(PCBaskets,$N1389)=0,"",INDEX(PCBaskets,$N1389)),"")</f>
        <v/>
      </c>
      <c r="H1389" s="20">
        <f>IF($N1389&lt;&gt;"",IF(INDEX(PCNet,$N1389)=0,"",INDEX(PCNet,$N1389)),"")</f>
        <v/>
      </c>
      <c r="I1389" s="19">
        <f>IF($N1389&lt;&gt;"",IF(INDEX(PCOp,$N1389)="مرجوعی خرید","",IF(INDEX(PCAmount,$N1389)&lt;=0,"",INDEX(PCAmount,$N1389))),IF($O1389&lt;&gt;"",IF(INDEX(TxnDepB,$O1389)=0,"",INDEX(TxnDepB,$O1389)),""))</f>
        <v/>
      </c>
      <c r="J1389" s="19">
        <f>IF($N1389&lt;&gt;"",IF(INDEX(PCOp,$N1389)="مرجوعی خرید",IF(INDEX(PCAmount,$N1389)=0,"",-INDEX(PCAmount,$N1389)),""),IF($O1389&lt;&gt;"",IF(INDEX(TxnWitB,$O1389)=0,"",INDEX(TxnWitB,$O1389)),""))</f>
        <v/>
      </c>
      <c r="K1389" s="21">
        <f>IF($B1389="","",IF($K1388="",$C$10,$K1388)+IF($I1389="",0,$I1389)-IF($J1389="",0,$J1389))</f>
        <v/>
      </c>
      <c r="L1389" s="22">
        <f>IF($N1389&lt;&gt;"",IF(INDEX(PCNotes,$N1389)="","—",INDEX(PCNotes,$N1389)),IF($O1389&lt;&gt;"",IF(INDEX(LdgNoteB,$O1389)="","—",INDEX(LdgNoteB,$O1389)),""))</f>
        <v/>
      </c>
      <c r="N1389">
        <f>IFERROR(MATCH($C$5&amp;"|"&amp;RIGHT("000000"&amp;1373,6),LdgRankKeyA,0),"")</f>
        <v/>
      </c>
      <c r="O1389">
        <f>IFERROR(MATCH($C$5&amp;"|"&amp;RIGHT("000000"&amp;1373,6),LdgRankKeyB,0),"")</f>
        <v/>
      </c>
    </row>
    <row r="1390">
      <c r="A1390" s="23" t="n">
        <v>1374</v>
      </c>
      <c r="B1390" s="24">
        <f>IF(AND($N1390="",$O1390=""),"",IF($N1390&lt;&gt;"",INDEX(PCNormDate,$N1390),INDEX(LdgDateB,$O1390)))</f>
        <v/>
      </c>
      <c r="C1390" s="24">
        <f>IF($N1390&lt;&gt;"",INDEX(PCOp,$N1390),IF($O1390&lt;&gt;"",IF(N(INDEX(TxnDepB,$O1390))&gt;0,"دریافت بانکی","پرداخت بانکی"),""))</f>
        <v/>
      </c>
      <c r="D1390" s="24">
        <f>IF($N1390&lt;&gt;"",IF(INDEX(PCDoc,$N1390)="","—",INDEX(PCDoc,$N1390)),IF($O1390&lt;&gt;"",INDEX(LdgBankB,$O1390),""))</f>
        <v/>
      </c>
      <c r="E1390" s="24">
        <f>IF($N1390&lt;&gt;"",IF(INDEX(PCCitrus,$N1390)="","—",INDEX(PCCitrus,$N1390)),"")</f>
        <v/>
      </c>
      <c r="F1390" s="25">
        <f>IF($N1390&lt;&gt;"",IF(INDEX(PCScale,$N1390)=0,"",INDEX(PCScale,$N1390)),"")</f>
        <v/>
      </c>
      <c r="G1390" s="25">
        <f>IF($N1390&lt;&gt;"",IF(INDEX(PCBaskets,$N1390)=0,"",INDEX(PCBaskets,$N1390)),"")</f>
        <v/>
      </c>
      <c r="H1390" s="26">
        <f>IF($N1390&lt;&gt;"",IF(INDEX(PCNet,$N1390)=0,"",INDEX(PCNet,$N1390)),"")</f>
        <v/>
      </c>
      <c r="I1390" s="25">
        <f>IF($N1390&lt;&gt;"",IF(INDEX(PCOp,$N1390)="مرجوعی خرید","",IF(INDEX(PCAmount,$N1390)&lt;=0,"",INDEX(PCAmount,$N1390))),IF($O1390&lt;&gt;"",IF(INDEX(TxnDepB,$O1390)=0,"",INDEX(TxnDepB,$O1390)),""))</f>
        <v/>
      </c>
      <c r="J1390" s="25">
        <f>IF($N1390&lt;&gt;"",IF(INDEX(PCOp,$N1390)="مرجوعی خرید",IF(INDEX(PCAmount,$N1390)=0,"",-INDEX(PCAmount,$N1390)),""),IF($O1390&lt;&gt;"",IF(INDEX(TxnWitB,$O1390)=0,"",INDEX(TxnWitB,$O1390)),""))</f>
        <v/>
      </c>
      <c r="K1390" s="27">
        <f>IF($B1390="","",IF($K1389="",$C$10,$K1389)+IF($I1390="",0,$I1390)-IF($J1390="",0,$J1390))</f>
        <v/>
      </c>
      <c r="L1390" s="28">
        <f>IF($N1390&lt;&gt;"",IF(INDEX(PCNotes,$N1390)="","—",INDEX(PCNotes,$N1390)),IF($O1390&lt;&gt;"",IF(INDEX(LdgNoteB,$O1390)="","—",INDEX(LdgNoteB,$O1390)),""))</f>
        <v/>
      </c>
      <c r="N1390">
        <f>IFERROR(MATCH($C$5&amp;"|"&amp;RIGHT("000000"&amp;1374,6),LdgRankKeyA,0),"")</f>
        <v/>
      </c>
      <c r="O1390">
        <f>IFERROR(MATCH($C$5&amp;"|"&amp;RIGHT("000000"&amp;1374,6),LdgRankKeyB,0),"")</f>
        <v/>
      </c>
    </row>
    <row r="1391">
      <c r="A1391" s="17" t="n">
        <v>1375</v>
      </c>
      <c r="B1391" s="18">
        <f>IF(AND($N1391="",$O1391=""),"",IF($N1391&lt;&gt;"",INDEX(PCNormDate,$N1391),INDEX(LdgDateB,$O1391)))</f>
        <v/>
      </c>
      <c r="C1391" s="18">
        <f>IF($N1391&lt;&gt;"",INDEX(PCOp,$N1391),IF($O1391&lt;&gt;"",IF(N(INDEX(TxnDepB,$O1391))&gt;0,"دریافت بانکی","پرداخت بانکی"),""))</f>
        <v/>
      </c>
      <c r="D1391" s="18">
        <f>IF($N1391&lt;&gt;"",IF(INDEX(PCDoc,$N1391)="","—",INDEX(PCDoc,$N1391)),IF($O1391&lt;&gt;"",INDEX(LdgBankB,$O1391),""))</f>
        <v/>
      </c>
      <c r="E1391" s="18">
        <f>IF($N1391&lt;&gt;"",IF(INDEX(PCCitrus,$N1391)="","—",INDEX(PCCitrus,$N1391)),"")</f>
        <v/>
      </c>
      <c r="F1391" s="19">
        <f>IF($N1391&lt;&gt;"",IF(INDEX(PCScale,$N1391)=0,"",INDEX(PCScale,$N1391)),"")</f>
        <v/>
      </c>
      <c r="G1391" s="19">
        <f>IF($N1391&lt;&gt;"",IF(INDEX(PCBaskets,$N1391)=0,"",INDEX(PCBaskets,$N1391)),"")</f>
        <v/>
      </c>
      <c r="H1391" s="20">
        <f>IF($N1391&lt;&gt;"",IF(INDEX(PCNet,$N1391)=0,"",INDEX(PCNet,$N1391)),"")</f>
        <v/>
      </c>
      <c r="I1391" s="19">
        <f>IF($N1391&lt;&gt;"",IF(INDEX(PCOp,$N1391)="مرجوعی خرید","",IF(INDEX(PCAmount,$N1391)&lt;=0,"",INDEX(PCAmount,$N1391))),IF($O1391&lt;&gt;"",IF(INDEX(TxnDepB,$O1391)=0,"",INDEX(TxnDepB,$O1391)),""))</f>
        <v/>
      </c>
      <c r="J1391" s="19">
        <f>IF($N1391&lt;&gt;"",IF(INDEX(PCOp,$N1391)="مرجوعی خرید",IF(INDEX(PCAmount,$N1391)=0,"",-INDEX(PCAmount,$N1391)),""),IF($O1391&lt;&gt;"",IF(INDEX(TxnWitB,$O1391)=0,"",INDEX(TxnWitB,$O1391)),""))</f>
        <v/>
      </c>
      <c r="K1391" s="21">
        <f>IF($B1391="","",IF($K1390="",$C$10,$K1390)+IF($I1391="",0,$I1391)-IF($J1391="",0,$J1391))</f>
        <v/>
      </c>
      <c r="L1391" s="22">
        <f>IF($N1391&lt;&gt;"",IF(INDEX(PCNotes,$N1391)="","—",INDEX(PCNotes,$N1391)),IF($O1391&lt;&gt;"",IF(INDEX(LdgNoteB,$O1391)="","—",INDEX(LdgNoteB,$O1391)),""))</f>
        <v/>
      </c>
      <c r="N1391">
        <f>IFERROR(MATCH($C$5&amp;"|"&amp;RIGHT("000000"&amp;1375,6),LdgRankKeyA,0),"")</f>
        <v/>
      </c>
      <c r="O1391">
        <f>IFERROR(MATCH($C$5&amp;"|"&amp;RIGHT("000000"&amp;1375,6),LdgRankKeyB,0),"")</f>
        <v/>
      </c>
    </row>
    <row r="1392">
      <c r="A1392" s="23" t="n">
        <v>1376</v>
      </c>
      <c r="B1392" s="24">
        <f>IF(AND($N1392="",$O1392=""),"",IF($N1392&lt;&gt;"",INDEX(PCNormDate,$N1392),INDEX(LdgDateB,$O1392)))</f>
        <v/>
      </c>
      <c r="C1392" s="24">
        <f>IF($N1392&lt;&gt;"",INDEX(PCOp,$N1392),IF($O1392&lt;&gt;"",IF(N(INDEX(TxnDepB,$O1392))&gt;0,"دریافت بانکی","پرداخت بانکی"),""))</f>
        <v/>
      </c>
      <c r="D1392" s="24">
        <f>IF($N1392&lt;&gt;"",IF(INDEX(PCDoc,$N1392)="","—",INDEX(PCDoc,$N1392)),IF($O1392&lt;&gt;"",INDEX(LdgBankB,$O1392),""))</f>
        <v/>
      </c>
      <c r="E1392" s="24">
        <f>IF($N1392&lt;&gt;"",IF(INDEX(PCCitrus,$N1392)="","—",INDEX(PCCitrus,$N1392)),"")</f>
        <v/>
      </c>
      <c r="F1392" s="25">
        <f>IF($N1392&lt;&gt;"",IF(INDEX(PCScale,$N1392)=0,"",INDEX(PCScale,$N1392)),"")</f>
        <v/>
      </c>
      <c r="G1392" s="25">
        <f>IF($N1392&lt;&gt;"",IF(INDEX(PCBaskets,$N1392)=0,"",INDEX(PCBaskets,$N1392)),"")</f>
        <v/>
      </c>
      <c r="H1392" s="26">
        <f>IF($N1392&lt;&gt;"",IF(INDEX(PCNet,$N1392)=0,"",INDEX(PCNet,$N1392)),"")</f>
        <v/>
      </c>
      <c r="I1392" s="25">
        <f>IF($N1392&lt;&gt;"",IF(INDEX(PCOp,$N1392)="مرجوعی خرید","",IF(INDEX(PCAmount,$N1392)&lt;=0,"",INDEX(PCAmount,$N1392))),IF($O1392&lt;&gt;"",IF(INDEX(TxnDepB,$O1392)=0,"",INDEX(TxnDepB,$O1392)),""))</f>
        <v/>
      </c>
      <c r="J1392" s="25">
        <f>IF($N1392&lt;&gt;"",IF(INDEX(PCOp,$N1392)="مرجوعی خرید",IF(INDEX(PCAmount,$N1392)=0,"",-INDEX(PCAmount,$N1392)),""),IF($O1392&lt;&gt;"",IF(INDEX(TxnWitB,$O1392)=0,"",INDEX(TxnWitB,$O1392)),""))</f>
        <v/>
      </c>
      <c r="K1392" s="27">
        <f>IF($B1392="","",IF($K1391="",$C$10,$K1391)+IF($I1392="",0,$I1392)-IF($J1392="",0,$J1392))</f>
        <v/>
      </c>
      <c r="L1392" s="28">
        <f>IF($N1392&lt;&gt;"",IF(INDEX(PCNotes,$N1392)="","—",INDEX(PCNotes,$N1392)),IF($O1392&lt;&gt;"",IF(INDEX(LdgNoteB,$O1392)="","—",INDEX(LdgNoteB,$O1392)),""))</f>
        <v/>
      </c>
      <c r="N1392">
        <f>IFERROR(MATCH($C$5&amp;"|"&amp;RIGHT("000000"&amp;1376,6),LdgRankKeyA,0),"")</f>
        <v/>
      </c>
      <c r="O1392">
        <f>IFERROR(MATCH($C$5&amp;"|"&amp;RIGHT("000000"&amp;1376,6),LdgRankKeyB,0),"")</f>
        <v/>
      </c>
    </row>
    <row r="1393">
      <c r="A1393" s="17" t="n">
        <v>1377</v>
      </c>
      <c r="B1393" s="18">
        <f>IF(AND($N1393="",$O1393=""),"",IF($N1393&lt;&gt;"",INDEX(PCNormDate,$N1393),INDEX(LdgDateB,$O1393)))</f>
        <v/>
      </c>
      <c r="C1393" s="18">
        <f>IF($N1393&lt;&gt;"",INDEX(PCOp,$N1393),IF($O1393&lt;&gt;"",IF(N(INDEX(TxnDepB,$O1393))&gt;0,"دریافت بانکی","پرداخت بانکی"),""))</f>
        <v/>
      </c>
      <c r="D1393" s="18">
        <f>IF($N1393&lt;&gt;"",IF(INDEX(PCDoc,$N1393)="","—",INDEX(PCDoc,$N1393)),IF($O1393&lt;&gt;"",INDEX(LdgBankB,$O1393),""))</f>
        <v/>
      </c>
      <c r="E1393" s="18">
        <f>IF($N1393&lt;&gt;"",IF(INDEX(PCCitrus,$N1393)="","—",INDEX(PCCitrus,$N1393)),"")</f>
        <v/>
      </c>
      <c r="F1393" s="19">
        <f>IF($N1393&lt;&gt;"",IF(INDEX(PCScale,$N1393)=0,"",INDEX(PCScale,$N1393)),"")</f>
        <v/>
      </c>
      <c r="G1393" s="19">
        <f>IF($N1393&lt;&gt;"",IF(INDEX(PCBaskets,$N1393)=0,"",INDEX(PCBaskets,$N1393)),"")</f>
        <v/>
      </c>
      <c r="H1393" s="20">
        <f>IF($N1393&lt;&gt;"",IF(INDEX(PCNet,$N1393)=0,"",INDEX(PCNet,$N1393)),"")</f>
        <v/>
      </c>
      <c r="I1393" s="19">
        <f>IF($N1393&lt;&gt;"",IF(INDEX(PCOp,$N1393)="مرجوعی خرید","",IF(INDEX(PCAmount,$N1393)&lt;=0,"",INDEX(PCAmount,$N1393))),IF($O1393&lt;&gt;"",IF(INDEX(TxnDepB,$O1393)=0,"",INDEX(TxnDepB,$O1393)),""))</f>
        <v/>
      </c>
      <c r="J1393" s="19">
        <f>IF($N1393&lt;&gt;"",IF(INDEX(PCOp,$N1393)="مرجوعی خرید",IF(INDEX(PCAmount,$N1393)=0,"",-INDEX(PCAmount,$N1393)),""),IF($O1393&lt;&gt;"",IF(INDEX(TxnWitB,$O1393)=0,"",INDEX(TxnWitB,$O1393)),""))</f>
        <v/>
      </c>
      <c r="K1393" s="21">
        <f>IF($B1393="","",IF($K1392="",$C$10,$K1392)+IF($I1393="",0,$I1393)-IF($J1393="",0,$J1393))</f>
        <v/>
      </c>
      <c r="L1393" s="22">
        <f>IF($N1393&lt;&gt;"",IF(INDEX(PCNotes,$N1393)="","—",INDEX(PCNotes,$N1393)),IF($O1393&lt;&gt;"",IF(INDEX(LdgNoteB,$O1393)="","—",INDEX(LdgNoteB,$O1393)),""))</f>
        <v/>
      </c>
      <c r="N1393">
        <f>IFERROR(MATCH($C$5&amp;"|"&amp;RIGHT("000000"&amp;1377,6),LdgRankKeyA,0),"")</f>
        <v/>
      </c>
      <c r="O1393">
        <f>IFERROR(MATCH($C$5&amp;"|"&amp;RIGHT("000000"&amp;1377,6),LdgRankKeyB,0),"")</f>
        <v/>
      </c>
    </row>
    <row r="1394">
      <c r="A1394" s="23" t="n">
        <v>1378</v>
      </c>
      <c r="B1394" s="24">
        <f>IF(AND($N1394="",$O1394=""),"",IF($N1394&lt;&gt;"",INDEX(PCNormDate,$N1394),INDEX(LdgDateB,$O1394)))</f>
        <v/>
      </c>
      <c r="C1394" s="24">
        <f>IF($N1394&lt;&gt;"",INDEX(PCOp,$N1394),IF($O1394&lt;&gt;"",IF(N(INDEX(TxnDepB,$O1394))&gt;0,"دریافت بانکی","پرداخت بانکی"),""))</f>
        <v/>
      </c>
      <c r="D1394" s="24">
        <f>IF($N1394&lt;&gt;"",IF(INDEX(PCDoc,$N1394)="","—",INDEX(PCDoc,$N1394)),IF($O1394&lt;&gt;"",INDEX(LdgBankB,$O1394),""))</f>
        <v/>
      </c>
      <c r="E1394" s="24">
        <f>IF($N1394&lt;&gt;"",IF(INDEX(PCCitrus,$N1394)="","—",INDEX(PCCitrus,$N1394)),"")</f>
        <v/>
      </c>
      <c r="F1394" s="25">
        <f>IF($N1394&lt;&gt;"",IF(INDEX(PCScale,$N1394)=0,"",INDEX(PCScale,$N1394)),"")</f>
        <v/>
      </c>
      <c r="G1394" s="25">
        <f>IF($N1394&lt;&gt;"",IF(INDEX(PCBaskets,$N1394)=0,"",INDEX(PCBaskets,$N1394)),"")</f>
        <v/>
      </c>
      <c r="H1394" s="26">
        <f>IF($N1394&lt;&gt;"",IF(INDEX(PCNet,$N1394)=0,"",INDEX(PCNet,$N1394)),"")</f>
        <v/>
      </c>
      <c r="I1394" s="25">
        <f>IF($N1394&lt;&gt;"",IF(INDEX(PCOp,$N1394)="مرجوعی خرید","",IF(INDEX(PCAmount,$N1394)&lt;=0,"",INDEX(PCAmount,$N1394))),IF($O1394&lt;&gt;"",IF(INDEX(TxnDepB,$O1394)=0,"",INDEX(TxnDepB,$O1394)),""))</f>
        <v/>
      </c>
      <c r="J1394" s="25">
        <f>IF($N1394&lt;&gt;"",IF(INDEX(PCOp,$N1394)="مرجوعی خرید",IF(INDEX(PCAmount,$N1394)=0,"",-INDEX(PCAmount,$N1394)),""),IF($O1394&lt;&gt;"",IF(INDEX(TxnWitB,$O1394)=0,"",INDEX(TxnWitB,$O1394)),""))</f>
        <v/>
      </c>
      <c r="K1394" s="27">
        <f>IF($B1394="","",IF($K1393="",$C$10,$K1393)+IF($I1394="",0,$I1394)-IF($J1394="",0,$J1394))</f>
        <v/>
      </c>
      <c r="L1394" s="28">
        <f>IF($N1394&lt;&gt;"",IF(INDEX(PCNotes,$N1394)="","—",INDEX(PCNotes,$N1394)),IF($O1394&lt;&gt;"",IF(INDEX(LdgNoteB,$O1394)="","—",INDEX(LdgNoteB,$O1394)),""))</f>
        <v/>
      </c>
      <c r="N1394">
        <f>IFERROR(MATCH($C$5&amp;"|"&amp;RIGHT("000000"&amp;1378,6),LdgRankKeyA,0),"")</f>
        <v/>
      </c>
      <c r="O1394">
        <f>IFERROR(MATCH($C$5&amp;"|"&amp;RIGHT("000000"&amp;1378,6),LdgRankKeyB,0),"")</f>
        <v/>
      </c>
    </row>
    <row r="1395">
      <c r="A1395" s="17" t="n">
        <v>1379</v>
      </c>
      <c r="B1395" s="18">
        <f>IF(AND($N1395="",$O1395=""),"",IF($N1395&lt;&gt;"",INDEX(PCNormDate,$N1395),INDEX(LdgDateB,$O1395)))</f>
        <v/>
      </c>
      <c r="C1395" s="18">
        <f>IF($N1395&lt;&gt;"",INDEX(PCOp,$N1395),IF($O1395&lt;&gt;"",IF(N(INDEX(TxnDepB,$O1395))&gt;0,"دریافت بانکی","پرداخت بانکی"),""))</f>
        <v/>
      </c>
      <c r="D1395" s="18">
        <f>IF($N1395&lt;&gt;"",IF(INDEX(PCDoc,$N1395)="","—",INDEX(PCDoc,$N1395)),IF($O1395&lt;&gt;"",INDEX(LdgBankB,$O1395),""))</f>
        <v/>
      </c>
      <c r="E1395" s="18">
        <f>IF($N1395&lt;&gt;"",IF(INDEX(PCCitrus,$N1395)="","—",INDEX(PCCitrus,$N1395)),"")</f>
        <v/>
      </c>
      <c r="F1395" s="19">
        <f>IF($N1395&lt;&gt;"",IF(INDEX(PCScale,$N1395)=0,"",INDEX(PCScale,$N1395)),"")</f>
        <v/>
      </c>
      <c r="G1395" s="19">
        <f>IF($N1395&lt;&gt;"",IF(INDEX(PCBaskets,$N1395)=0,"",INDEX(PCBaskets,$N1395)),"")</f>
        <v/>
      </c>
      <c r="H1395" s="20">
        <f>IF($N1395&lt;&gt;"",IF(INDEX(PCNet,$N1395)=0,"",INDEX(PCNet,$N1395)),"")</f>
        <v/>
      </c>
      <c r="I1395" s="19">
        <f>IF($N1395&lt;&gt;"",IF(INDEX(PCOp,$N1395)="مرجوعی خرید","",IF(INDEX(PCAmount,$N1395)&lt;=0,"",INDEX(PCAmount,$N1395))),IF($O1395&lt;&gt;"",IF(INDEX(TxnDepB,$O1395)=0,"",INDEX(TxnDepB,$O1395)),""))</f>
        <v/>
      </c>
      <c r="J1395" s="19">
        <f>IF($N1395&lt;&gt;"",IF(INDEX(PCOp,$N1395)="مرجوعی خرید",IF(INDEX(PCAmount,$N1395)=0,"",-INDEX(PCAmount,$N1395)),""),IF($O1395&lt;&gt;"",IF(INDEX(TxnWitB,$O1395)=0,"",INDEX(TxnWitB,$O1395)),""))</f>
        <v/>
      </c>
      <c r="K1395" s="21">
        <f>IF($B1395="","",IF($K1394="",$C$10,$K1394)+IF($I1395="",0,$I1395)-IF($J1395="",0,$J1395))</f>
        <v/>
      </c>
      <c r="L1395" s="22">
        <f>IF($N1395&lt;&gt;"",IF(INDEX(PCNotes,$N1395)="","—",INDEX(PCNotes,$N1395)),IF($O1395&lt;&gt;"",IF(INDEX(LdgNoteB,$O1395)="","—",INDEX(LdgNoteB,$O1395)),""))</f>
        <v/>
      </c>
      <c r="N1395">
        <f>IFERROR(MATCH($C$5&amp;"|"&amp;RIGHT("000000"&amp;1379,6),LdgRankKeyA,0),"")</f>
        <v/>
      </c>
      <c r="O1395">
        <f>IFERROR(MATCH($C$5&amp;"|"&amp;RIGHT("000000"&amp;1379,6),LdgRankKeyB,0),"")</f>
        <v/>
      </c>
    </row>
    <row r="1396">
      <c r="A1396" s="23" t="n">
        <v>1380</v>
      </c>
      <c r="B1396" s="24">
        <f>IF(AND($N1396="",$O1396=""),"",IF($N1396&lt;&gt;"",INDEX(PCNormDate,$N1396),INDEX(LdgDateB,$O1396)))</f>
        <v/>
      </c>
      <c r="C1396" s="24">
        <f>IF($N1396&lt;&gt;"",INDEX(PCOp,$N1396),IF($O1396&lt;&gt;"",IF(N(INDEX(TxnDepB,$O1396))&gt;0,"دریافت بانکی","پرداخت بانکی"),""))</f>
        <v/>
      </c>
      <c r="D1396" s="24">
        <f>IF($N1396&lt;&gt;"",IF(INDEX(PCDoc,$N1396)="","—",INDEX(PCDoc,$N1396)),IF($O1396&lt;&gt;"",INDEX(LdgBankB,$O1396),""))</f>
        <v/>
      </c>
      <c r="E1396" s="24">
        <f>IF($N1396&lt;&gt;"",IF(INDEX(PCCitrus,$N1396)="","—",INDEX(PCCitrus,$N1396)),"")</f>
        <v/>
      </c>
      <c r="F1396" s="25">
        <f>IF($N1396&lt;&gt;"",IF(INDEX(PCScale,$N1396)=0,"",INDEX(PCScale,$N1396)),"")</f>
        <v/>
      </c>
      <c r="G1396" s="25">
        <f>IF($N1396&lt;&gt;"",IF(INDEX(PCBaskets,$N1396)=0,"",INDEX(PCBaskets,$N1396)),"")</f>
        <v/>
      </c>
      <c r="H1396" s="26">
        <f>IF($N1396&lt;&gt;"",IF(INDEX(PCNet,$N1396)=0,"",INDEX(PCNet,$N1396)),"")</f>
        <v/>
      </c>
      <c r="I1396" s="25">
        <f>IF($N1396&lt;&gt;"",IF(INDEX(PCOp,$N1396)="مرجوعی خرید","",IF(INDEX(PCAmount,$N1396)&lt;=0,"",INDEX(PCAmount,$N1396))),IF($O1396&lt;&gt;"",IF(INDEX(TxnDepB,$O1396)=0,"",INDEX(TxnDepB,$O1396)),""))</f>
        <v/>
      </c>
      <c r="J1396" s="25">
        <f>IF($N1396&lt;&gt;"",IF(INDEX(PCOp,$N1396)="مرجوعی خرید",IF(INDEX(PCAmount,$N1396)=0,"",-INDEX(PCAmount,$N1396)),""),IF($O1396&lt;&gt;"",IF(INDEX(TxnWitB,$O1396)=0,"",INDEX(TxnWitB,$O1396)),""))</f>
        <v/>
      </c>
      <c r="K1396" s="27">
        <f>IF($B1396="","",IF($K1395="",$C$10,$K1395)+IF($I1396="",0,$I1396)-IF($J1396="",0,$J1396))</f>
        <v/>
      </c>
      <c r="L1396" s="28">
        <f>IF($N1396&lt;&gt;"",IF(INDEX(PCNotes,$N1396)="","—",INDEX(PCNotes,$N1396)),IF($O1396&lt;&gt;"",IF(INDEX(LdgNoteB,$O1396)="","—",INDEX(LdgNoteB,$O1396)),""))</f>
        <v/>
      </c>
      <c r="N1396">
        <f>IFERROR(MATCH($C$5&amp;"|"&amp;RIGHT("000000"&amp;1380,6),LdgRankKeyA,0),"")</f>
        <v/>
      </c>
      <c r="O1396">
        <f>IFERROR(MATCH($C$5&amp;"|"&amp;RIGHT("000000"&amp;1380,6),LdgRankKeyB,0),"")</f>
        <v/>
      </c>
    </row>
    <row r="1397">
      <c r="A1397" s="17" t="n">
        <v>1381</v>
      </c>
      <c r="B1397" s="18">
        <f>IF(AND($N1397="",$O1397=""),"",IF($N1397&lt;&gt;"",INDEX(PCNormDate,$N1397),INDEX(LdgDateB,$O1397)))</f>
        <v/>
      </c>
      <c r="C1397" s="18">
        <f>IF($N1397&lt;&gt;"",INDEX(PCOp,$N1397),IF($O1397&lt;&gt;"",IF(N(INDEX(TxnDepB,$O1397))&gt;0,"دریافت بانکی","پرداخت بانکی"),""))</f>
        <v/>
      </c>
      <c r="D1397" s="18">
        <f>IF($N1397&lt;&gt;"",IF(INDEX(PCDoc,$N1397)="","—",INDEX(PCDoc,$N1397)),IF($O1397&lt;&gt;"",INDEX(LdgBankB,$O1397),""))</f>
        <v/>
      </c>
      <c r="E1397" s="18">
        <f>IF($N1397&lt;&gt;"",IF(INDEX(PCCitrus,$N1397)="","—",INDEX(PCCitrus,$N1397)),"")</f>
        <v/>
      </c>
      <c r="F1397" s="19">
        <f>IF($N1397&lt;&gt;"",IF(INDEX(PCScale,$N1397)=0,"",INDEX(PCScale,$N1397)),"")</f>
        <v/>
      </c>
      <c r="G1397" s="19">
        <f>IF($N1397&lt;&gt;"",IF(INDEX(PCBaskets,$N1397)=0,"",INDEX(PCBaskets,$N1397)),"")</f>
        <v/>
      </c>
      <c r="H1397" s="20">
        <f>IF($N1397&lt;&gt;"",IF(INDEX(PCNet,$N1397)=0,"",INDEX(PCNet,$N1397)),"")</f>
        <v/>
      </c>
      <c r="I1397" s="19">
        <f>IF($N1397&lt;&gt;"",IF(INDEX(PCOp,$N1397)="مرجوعی خرید","",IF(INDEX(PCAmount,$N1397)&lt;=0,"",INDEX(PCAmount,$N1397))),IF($O1397&lt;&gt;"",IF(INDEX(TxnDepB,$O1397)=0,"",INDEX(TxnDepB,$O1397)),""))</f>
        <v/>
      </c>
      <c r="J1397" s="19">
        <f>IF($N1397&lt;&gt;"",IF(INDEX(PCOp,$N1397)="مرجوعی خرید",IF(INDEX(PCAmount,$N1397)=0,"",-INDEX(PCAmount,$N1397)),""),IF($O1397&lt;&gt;"",IF(INDEX(TxnWitB,$O1397)=0,"",INDEX(TxnWitB,$O1397)),""))</f>
        <v/>
      </c>
      <c r="K1397" s="21">
        <f>IF($B1397="","",IF($K1396="",$C$10,$K1396)+IF($I1397="",0,$I1397)-IF($J1397="",0,$J1397))</f>
        <v/>
      </c>
      <c r="L1397" s="22">
        <f>IF($N1397&lt;&gt;"",IF(INDEX(PCNotes,$N1397)="","—",INDEX(PCNotes,$N1397)),IF($O1397&lt;&gt;"",IF(INDEX(LdgNoteB,$O1397)="","—",INDEX(LdgNoteB,$O1397)),""))</f>
        <v/>
      </c>
      <c r="N1397">
        <f>IFERROR(MATCH($C$5&amp;"|"&amp;RIGHT("000000"&amp;1381,6),LdgRankKeyA,0),"")</f>
        <v/>
      </c>
      <c r="O1397">
        <f>IFERROR(MATCH($C$5&amp;"|"&amp;RIGHT("000000"&amp;1381,6),LdgRankKeyB,0),"")</f>
        <v/>
      </c>
    </row>
    <row r="1398">
      <c r="A1398" s="23" t="n">
        <v>1382</v>
      </c>
      <c r="B1398" s="24">
        <f>IF(AND($N1398="",$O1398=""),"",IF($N1398&lt;&gt;"",INDEX(PCNormDate,$N1398),INDEX(LdgDateB,$O1398)))</f>
        <v/>
      </c>
      <c r="C1398" s="24">
        <f>IF($N1398&lt;&gt;"",INDEX(PCOp,$N1398),IF($O1398&lt;&gt;"",IF(N(INDEX(TxnDepB,$O1398))&gt;0,"دریافت بانکی","پرداخت بانکی"),""))</f>
        <v/>
      </c>
      <c r="D1398" s="24">
        <f>IF($N1398&lt;&gt;"",IF(INDEX(PCDoc,$N1398)="","—",INDEX(PCDoc,$N1398)),IF($O1398&lt;&gt;"",INDEX(LdgBankB,$O1398),""))</f>
        <v/>
      </c>
      <c r="E1398" s="24">
        <f>IF($N1398&lt;&gt;"",IF(INDEX(PCCitrus,$N1398)="","—",INDEX(PCCitrus,$N1398)),"")</f>
        <v/>
      </c>
      <c r="F1398" s="25">
        <f>IF($N1398&lt;&gt;"",IF(INDEX(PCScale,$N1398)=0,"",INDEX(PCScale,$N1398)),"")</f>
        <v/>
      </c>
      <c r="G1398" s="25">
        <f>IF($N1398&lt;&gt;"",IF(INDEX(PCBaskets,$N1398)=0,"",INDEX(PCBaskets,$N1398)),"")</f>
        <v/>
      </c>
      <c r="H1398" s="26">
        <f>IF($N1398&lt;&gt;"",IF(INDEX(PCNet,$N1398)=0,"",INDEX(PCNet,$N1398)),"")</f>
        <v/>
      </c>
      <c r="I1398" s="25">
        <f>IF($N1398&lt;&gt;"",IF(INDEX(PCOp,$N1398)="مرجوعی خرید","",IF(INDEX(PCAmount,$N1398)&lt;=0,"",INDEX(PCAmount,$N1398))),IF($O1398&lt;&gt;"",IF(INDEX(TxnDepB,$O1398)=0,"",INDEX(TxnDepB,$O1398)),""))</f>
        <v/>
      </c>
      <c r="J1398" s="25">
        <f>IF($N1398&lt;&gt;"",IF(INDEX(PCOp,$N1398)="مرجوعی خرید",IF(INDEX(PCAmount,$N1398)=0,"",-INDEX(PCAmount,$N1398)),""),IF($O1398&lt;&gt;"",IF(INDEX(TxnWitB,$O1398)=0,"",INDEX(TxnWitB,$O1398)),""))</f>
        <v/>
      </c>
      <c r="K1398" s="27">
        <f>IF($B1398="","",IF($K1397="",$C$10,$K1397)+IF($I1398="",0,$I1398)-IF($J1398="",0,$J1398))</f>
        <v/>
      </c>
      <c r="L1398" s="28">
        <f>IF($N1398&lt;&gt;"",IF(INDEX(PCNotes,$N1398)="","—",INDEX(PCNotes,$N1398)),IF($O1398&lt;&gt;"",IF(INDEX(LdgNoteB,$O1398)="","—",INDEX(LdgNoteB,$O1398)),""))</f>
        <v/>
      </c>
      <c r="N1398">
        <f>IFERROR(MATCH($C$5&amp;"|"&amp;RIGHT("000000"&amp;1382,6),LdgRankKeyA,0),"")</f>
        <v/>
      </c>
      <c r="O1398">
        <f>IFERROR(MATCH($C$5&amp;"|"&amp;RIGHT("000000"&amp;1382,6),LdgRankKeyB,0),"")</f>
        <v/>
      </c>
    </row>
    <row r="1399">
      <c r="A1399" s="17" t="n">
        <v>1383</v>
      </c>
      <c r="B1399" s="18">
        <f>IF(AND($N1399="",$O1399=""),"",IF($N1399&lt;&gt;"",INDEX(PCNormDate,$N1399),INDEX(LdgDateB,$O1399)))</f>
        <v/>
      </c>
      <c r="C1399" s="18">
        <f>IF($N1399&lt;&gt;"",INDEX(PCOp,$N1399),IF($O1399&lt;&gt;"",IF(N(INDEX(TxnDepB,$O1399))&gt;0,"دریافت بانکی","پرداخت بانکی"),""))</f>
        <v/>
      </c>
      <c r="D1399" s="18">
        <f>IF($N1399&lt;&gt;"",IF(INDEX(PCDoc,$N1399)="","—",INDEX(PCDoc,$N1399)),IF($O1399&lt;&gt;"",INDEX(LdgBankB,$O1399),""))</f>
        <v/>
      </c>
      <c r="E1399" s="18">
        <f>IF($N1399&lt;&gt;"",IF(INDEX(PCCitrus,$N1399)="","—",INDEX(PCCitrus,$N1399)),"")</f>
        <v/>
      </c>
      <c r="F1399" s="19">
        <f>IF($N1399&lt;&gt;"",IF(INDEX(PCScale,$N1399)=0,"",INDEX(PCScale,$N1399)),"")</f>
        <v/>
      </c>
      <c r="G1399" s="19">
        <f>IF($N1399&lt;&gt;"",IF(INDEX(PCBaskets,$N1399)=0,"",INDEX(PCBaskets,$N1399)),"")</f>
        <v/>
      </c>
      <c r="H1399" s="20">
        <f>IF($N1399&lt;&gt;"",IF(INDEX(PCNet,$N1399)=0,"",INDEX(PCNet,$N1399)),"")</f>
        <v/>
      </c>
      <c r="I1399" s="19">
        <f>IF($N1399&lt;&gt;"",IF(INDEX(PCOp,$N1399)="مرجوعی خرید","",IF(INDEX(PCAmount,$N1399)&lt;=0,"",INDEX(PCAmount,$N1399))),IF($O1399&lt;&gt;"",IF(INDEX(TxnDepB,$O1399)=0,"",INDEX(TxnDepB,$O1399)),""))</f>
        <v/>
      </c>
      <c r="J1399" s="19">
        <f>IF($N1399&lt;&gt;"",IF(INDEX(PCOp,$N1399)="مرجوعی خرید",IF(INDEX(PCAmount,$N1399)=0,"",-INDEX(PCAmount,$N1399)),""),IF($O1399&lt;&gt;"",IF(INDEX(TxnWitB,$O1399)=0,"",INDEX(TxnWitB,$O1399)),""))</f>
        <v/>
      </c>
      <c r="K1399" s="21">
        <f>IF($B1399="","",IF($K1398="",$C$10,$K1398)+IF($I1399="",0,$I1399)-IF($J1399="",0,$J1399))</f>
        <v/>
      </c>
      <c r="L1399" s="22">
        <f>IF($N1399&lt;&gt;"",IF(INDEX(PCNotes,$N1399)="","—",INDEX(PCNotes,$N1399)),IF($O1399&lt;&gt;"",IF(INDEX(LdgNoteB,$O1399)="","—",INDEX(LdgNoteB,$O1399)),""))</f>
        <v/>
      </c>
      <c r="N1399">
        <f>IFERROR(MATCH($C$5&amp;"|"&amp;RIGHT("000000"&amp;1383,6),LdgRankKeyA,0),"")</f>
        <v/>
      </c>
      <c r="O1399">
        <f>IFERROR(MATCH($C$5&amp;"|"&amp;RIGHT("000000"&amp;1383,6),LdgRankKeyB,0),"")</f>
        <v/>
      </c>
    </row>
    <row r="1400">
      <c r="A1400" s="23" t="n">
        <v>1384</v>
      </c>
      <c r="B1400" s="24">
        <f>IF(AND($N1400="",$O1400=""),"",IF($N1400&lt;&gt;"",INDEX(PCNormDate,$N1400),INDEX(LdgDateB,$O1400)))</f>
        <v/>
      </c>
      <c r="C1400" s="24">
        <f>IF($N1400&lt;&gt;"",INDEX(PCOp,$N1400),IF($O1400&lt;&gt;"",IF(N(INDEX(TxnDepB,$O1400))&gt;0,"دریافت بانکی","پرداخت بانکی"),""))</f>
        <v/>
      </c>
      <c r="D1400" s="24">
        <f>IF($N1400&lt;&gt;"",IF(INDEX(PCDoc,$N1400)="","—",INDEX(PCDoc,$N1400)),IF($O1400&lt;&gt;"",INDEX(LdgBankB,$O1400),""))</f>
        <v/>
      </c>
      <c r="E1400" s="24">
        <f>IF($N1400&lt;&gt;"",IF(INDEX(PCCitrus,$N1400)="","—",INDEX(PCCitrus,$N1400)),"")</f>
        <v/>
      </c>
      <c r="F1400" s="25">
        <f>IF($N1400&lt;&gt;"",IF(INDEX(PCScale,$N1400)=0,"",INDEX(PCScale,$N1400)),"")</f>
        <v/>
      </c>
      <c r="G1400" s="25">
        <f>IF($N1400&lt;&gt;"",IF(INDEX(PCBaskets,$N1400)=0,"",INDEX(PCBaskets,$N1400)),"")</f>
        <v/>
      </c>
      <c r="H1400" s="26">
        <f>IF($N1400&lt;&gt;"",IF(INDEX(PCNet,$N1400)=0,"",INDEX(PCNet,$N1400)),"")</f>
        <v/>
      </c>
      <c r="I1400" s="25">
        <f>IF($N1400&lt;&gt;"",IF(INDEX(PCOp,$N1400)="مرجوعی خرید","",IF(INDEX(PCAmount,$N1400)&lt;=0,"",INDEX(PCAmount,$N1400))),IF($O1400&lt;&gt;"",IF(INDEX(TxnDepB,$O1400)=0,"",INDEX(TxnDepB,$O1400)),""))</f>
        <v/>
      </c>
      <c r="J1400" s="25">
        <f>IF($N1400&lt;&gt;"",IF(INDEX(PCOp,$N1400)="مرجوعی خرید",IF(INDEX(PCAmount,$N1400)=0,"",-INDEX(PCAmount,$N1400)),""),IF($O1400&lt;&gt;"",IF(INDEX(TxnWitB,$O1400)=0,"",INDEX(TxnWitB,$O1400)),""))</f>
        <v/>
      </c>
      <c r="K1400" s="27">
        <f>IF($B1400="","",IF($K1399="",$C$10,$K1399)+IF($I1400="",0,$I1400)-IF($J1400="",0,$J1400))</f>
        <v/>
      </c>
      <c r="L1400" s="28">
        <f>IF($N1400&lt;&gt;"",IF(INDEX(PCNotes,$N1400)="","—",INDEX(PCNotes,$N1400)),IF($O1400&lt;&gt;"",IF(INDEX(LdgNoteB,$O1400)="","—",INDEX(LdgNoteB,$O1400)),""))</f>
        <v/>
      </c>
      <c r="N1400">
        <f>IFERROR(MATCH($C$5&amp;"|"&amp;RIGHT("000000"&amp;1384,6),LdgRankKeyA,0),"")</f>
        <v/>
      </c>
      <c r="O1400">
        <f>IFERROR(MATCH($C$5&amp;"|"&amp;RIGHT("000000"&amp;1384,6),LdgRankKeyB,0),"")</f>
        <v/>
      </c>
    </row>
    <row r="1401">
      <c r="A1401" s="17" t="n">
        <v>1385</v>
      </c>
      <c r="B1401" s="18">
        <f>IF(AND($N1401="",$O1401=""),"",IF($N1401&lt;&gt;"",INDEX(PCNormDate,$N1401),INDEX(LdgDateB,$O1401)))</f>
        <v/>
      </c>
      <c r="C1401" s="18">
        <f>IF($N1401&lt;&gt;"",INDEX(PCOp,$N1401),IF($O1401&lt;&gt;"",IF(N(INDEX(TxnDepB,$O1401))&gt;0,"دریافت بانکی","پرداخت بانکی"),""))</f>
        <v/>
      </c>
      <c r="D1401" s="18">
        <f>IF($N1401&lt;&gt;"",IF(INDEX(PCDoc,$N1401)="","—",INDEX(PCDoc,$N1401)),IF($O1401&lt;&gt;"",INDEX(LdgBankB,$O1401),""))</f>
        <v/>
      </c>
      <c r="E1401" s="18">
        <f>IF($N1401&lt;&gt;"",IF(INDEX(PCCitrus,$N1401)="","—",INDEX(PCCitrus,$N1401)),"")</f>
        <v/>
      </c>
      <c r="F1401" s="19">
        <f>IF($N1401&lt;&gt;"",IF(INDEX(PCScale,$N1401)=0,"",INDEX(PCScale,$N1401)),"")</f>
        <v/>
      </c>
      <c r="G1401" s="19">
        <f>IF($N1401&lt;&gt;"",IF(INDEX(PCBaskets,$N1401)=0,"",INDEX(PCBaskets,$N1401)),"")</f>
        <v/>
      </c>
      <c r="H1401" s="20">
        <f>IF($N1401&lt;&gt;"",IF(INDEX(PCNet,$N1401)=0,"",INDEX(PCNet,$N1401)),"")</f>
        <v/>
      </c>
      <c r="I1401" s="19">
        <f>IF($N1401&lt;&gt;"",IF(INDEX(PCOp,$N1401)="مرجوعی خرید","",IF(INDEX(PCAmount,$N1401)&lt;=0,"",INDEX(PCAmount,$N1401))),IF($O1401&lt;&gt;"",IF(INDEX(TxnDepB,$O1401)=0,"",INDEX(TxnDepB,$O1401)),""))</f>
        <v/>
      </c>
      <c r="J1401" s="19">
        <f>IF($N1401&lt;&gt;"",IF(INDEX(PCOp,$N1401)="مرجوعی خرید",IF(INDEX(PCAmount,$N1401)=0,"",-INDEX(PCAmount,$N1401)),""),IF($O1401&lt;&gt;"",IF(INDEX(TxnWitB,$O1401)=0,"",INDEX(TxnWitB,$O1401)),""))</f>
        <v/>
      </c>
      <c r="K1401" s="21">
        <f>IF($B1401="","",IF($K1400="",$C$10,$K1400)+IF($I1401="",0,$I1401)-IF($J1401="",0,$J1401))</f>
        <v/>
      </c>
      <c r="L1401" s="22">
        <f>IF($N1401&lt;&gt;"",IF(INDEX(PCNotes,$N1401)="","—",INDEX(PCNotes,$N1401)),IF($O1401&lt;&gt;"",IF(INDEX(LdgNoteB,$O1401)="","—",INDEX(LdgNoteB,$O1401)),""))</f>
        <v/>
      </c>
      <c r="N1401">
        <f>IFERROR(MATCH($C$5&amp;"|"&amp;RIGHT("000000"&amp;1385,6),LdgRankKeyA,0),"")</f>
        <v/>
      </c>
      <c r="O1401">
        <f>IFERROR(MATCH($C$5&amp;"|"&amp;RIGHT("000000"&amp;1385,6),LdgRankKeyB,0),"")</f>
        <v/>
      </c>
    </row>
    <row r="1402">
      <c r="A1402" s="23" t="n">
        <v>1386</v>
      </c>
      <c r="B1402" s="24">
        <f>IF(AND($N1402="",$O1402=""),"",IF($N1402&lt;&gt;"",INDEX(PCNormDate,$N1402),INDEX(LdgDateB,$O1402)))</f>
        <v/>
      </c>
      <c r="C1402" s="24">
        <f>IF($N1402&lt;&gt;"",INDEX(PCOp,$N1402),IF($O1402&lt;&gt;"",IF(N(INDEX(TxnDepB,$O1402))&gt;0,"دریافت بانکی","پرداخت بانکی"),""))</f>
        <v/>
      </c>
      <c r="D1402" s="24">
        <f>IF($N1402&lt;&gt;"",IF(INDEX(PCDoc,$N1402)="","—",INDEX(PCDoc,$N1402)),IF($O1402&lt;&gt;"",INDEX(LdgBankB,$O1402),""))</f>
        <v/>
      </c>
      <c r="E1402" s="24">
        <f>IF($N1402&lt;&gt;"",IF(INDEX(PCCitrus,$N1402)="","—",INDEX(PCCitrus,$N1402)),"")</f>
        <v/>
      </c>
      <c r="F1402" s="25">
        <f>IF($N1402&lt;&gt;"",IF(INDEX(PCScale,$N1402)=0,"",INDEX(PCScale,$N1402)),"")</f>
        <v/>
      </c>
      <c r="G1402" s="25">
        <f>IF($N1402&lt;&gt;"",IF(INDEX(PCBaskets,$N1402)=0,"",INDEX(PCBaskets,$N1402)),"")</f>
        <v/>
      </c>
      <c r="H1402" s="26">
        <f>IF($N1402&lt;&gt;"",IF(INDEX(PCNet,$N1402)=0,"",INDEX(PCNet,$N1402)),"")</f>
        <v/>
      </c>
      <c r="I1402" s="25">
        <f>IF($N1402&lt;&gt;"",IF(INDEX(PCOp,$N1402)="مرجوعی خرید","",IF(INDEX(PCAmount,$N1402)&lt;=0,"",INDEX(PCAmount,$N1402))),IF($O1402&lt;&gt;"",IF(INDEX(TxnDepB,$O1402)=0,"",INDEX(TxnDepB,$O1402)),""))</f>
        <v/>
      </c>
      <c r="J1402" s="25">
        <f>IF($N1402&lt;&gt;"",IF(INDEX(PCOp,$N1402)="مرجوعی خرید",IF(INDEX(PCAmount,$N1402)=0,"",-INDEX(PCAmount,$N1402)),""),IF($O1402&lt;&gt;"",IF(INDEX(TxnWitB,$O1402)=0,"",INDEX(TxnWitB,$O1402)),""))</f>
        <v/>
      </c>
      <c r="K1402" s="27">
        <f>IF($B1402="","",IF($K1401="",$C$10,$K1401)+IF($I1402="",0,$I1402)-IF($J1402="",0,$J1402))</f>
        <v/>
      </c>
      <c r="L1402" s="28">
        <f>IF($N1402&lt;&gt;"",IF(INDEX(PCNotes,$N1402)="","—",INDEX(PCNotes,$N1402)),IF($O1402&lt;&gt;"",IF(INDEX(LdgNoteB,$O1402)="","—",INDEX(LdgNoteB,$O1402)),""))</f>
        <v/>
      </c>
      <c r="N1402">
        <f>IFERROR(MATCH($C$5&amp;"|"&amp;RIGHT("000000"&amp;1386,6),LdgRankKeyA,0),"")</f>
        <v/>
      </c>
      <c r="O1402">
        <f>IFERROR(MATCH($C$5&amp;"|"&amp;RIGHT("000000"&amp;1386,6),LdgRankKeyB,0),"")</f>
        <v/>
      </c>
    </row>
    <row r="1403">
      <c r="A1403" s="17" t="n">
        <v>1387</v>
      </c>
      <c r="B1403" s="18">
        <f>IF(AND($N1403="",$O1403=""),"",IF($N1403&lt;&gt;"",INDEX(PCNormDate,$N1403),INDEX(LdgDateB,$O1403)))</f>
        <v/>
      </c>
      <c r="C1403" s="18">
        <f>IF($N1403&lt;&gt;"",INDEX(PCOp,$N1403),IF($O1403&lt;&gt;"",IF(N(INDEX(TxnDepB,$O1403))&gt;0,"دریافت بانکی","پرداخت بانکی"),""))</f>
        <v/>
      </c>
      <c r="D1403" s="18">
        <f>IF($N1403&lt;&gt;"",IF(INDEX(PCDoc,$N1403)="","—",INDEX(PCDoc,$N1403)),IF($O1403&lt;&gt;"",INDEX(LdgBankB,$O1403),""))</f>
        <v/>
      </c>
      <c r="E1403" s="18">
        <f>IF($N1403&lt;&gt;"",IF(INDEX(PCCitrus,$N1403)="","—",INDEX(PCCitrus,$N1403)),"")</f>
        <v/>
      </c>
      <c r="F1403" s="19">
        <f>IF($N1403&lt;&gt;"",IF(INDEX(PCScale,$N1403)=0,"",INDEX(PCScale,$N1403)),"")</f>
        <v/>
      </c>
      <c r="G1403" s="19">
        <f>IF($N1403&lt;&gt;"",IF(INDEX(PCBaskets,$N1403)=0,"",INDEX(PCBaskets,$N1403)),"")</f>
        <v/>
      </c>
      <c r="H1403" s="20">
        <f>IF($N1403&lt;&gt;"",IF(INDEX(PCNet,$N1403)=0,"",INDEX(PCNet,$N1403)),"")</f>
        <v/>
      </c>
      <c r="I1403" s="19">
        <f>IF($N1403&lt;&gt;"",IF(INDEX(PCOp,$N1403)="مرجوعی خرید","",IF(INDEX(PCAmount,$N1403)&lt;=0,"",INDEX(PCAmount,$N1403))),IF($O1403&lt;&gt;"",IF(INDEX(TxnDepB,$O1403)=0,"",INDEX(TxnDepB,$O1403)),""))</f>
        <v/>
      </c>
      <c r="J1403" s="19">
        <f>IF($N1403&lt;&gt;"",IF(INDEX(PCOp,$N1403)="مرجوعی خرید",IF(INDEX(PCAmount,$N1403)=0,"",-INDEX(PCAmount,$N1403)),""),IF($O1403&lt;&gt;"",IF(INDEX(TxnWitB,$O1403)=0,"",INDEX(TxnWitB,$O1403)),""))</f>
        <v/>
      </c>
      <c r="K1403" s="21">
        <f>IF($B1403="","",IF($K1402="",$C$10,$K1402)+IF($I1403="",0,$I1403)-IF($J1403="",0,$J1403))</f>
        <v/>
      </c>
      <c r="L1403" s="22">
        <f>IF($N1403&lt;&gt;"",IF(INDEX(PCNotes,$N1403)="","—",INDEX(PCNotes,$N1403)),IF($O1403&lt;&gt;"",IF(INDEX(LdgNoteB,$O1403)="","—",INDEX(LdgNoteB,$O1403)),""))</f>
        <v/>
      </c>
      <c r="N1403">
        <f>IFERROR(MATCH($C$5&amp;"|"&amp;RIGHT("000000"&amp;1387,6),LdgRankKeyA,0),"")</f>
        <v/>
      </c>
      <c r="O1403">
        <f>IFERROR(MATCH($C$5&amp;"|"&amp;RIGHT("000000"&amp;1387,6),LdgRankKeyB,0),"")</f>
        <v/>
      </c>
    </row>
    <row r="1404">
      <c r="A1404" s="23" t="n">
        <v>1388</v>
      </c>
      <c r="B1404" s="24">
        <f>IF(AND($N1404="",$O1404=""),"",IF($N1404&lt;&gt;"",INDEX(PCNormDate,$N1404),INDEX(LdgDateB,$O1404)))</f>
        <v/>
      </c>
      <c r="C1404" s="24">
        <f>IF($N1404&lt;&gt;"",INDEX(PCOp,$N1404),IF($O1404&lt;&gt;"",IF(N(INDEX(TxnDepB,$O1404))&gt;0,"دریافت بانکی","پرداخت بانکی"),""))</f>
        <v/>
      </c>
      <c r="D1404" s="24">
        <f>IF($N1404&lt;&gt;"",IF(INDEX(PCDoc,$N1404)="","—",INDEX(PCDoc,$N1404)),IF($O1404&lt;&gt;"",INDEX(LdgBankB,$O1404),""))</f>
        <v/>
      </c>
      <c r="E1404" s="24">
        <f>IF($N1404&lt;&gt;"",IF(INDEX(PCCitrus,$N1404)="","—",INDEX(PCCitrus,$N1404)),"")</f>
        <v/>
      </c>
      <c r="F1404" s="25">
        <f>IF($N1404&lt;&gt;"",IF(INDEX(PCScale,$N1404)=0,"",INDEX(PCScale,$N1404)),"")</f>
        <v/>
      </c>
      <c r="G1404" s="25">
        <f>IF($N1404&lt;&gt;"",IF(INDEX(PCBaskets,$N1404)=0,"",INDEX(PCBaskets,$N1404)),"")</f>
        <v/>
      </c>
      <c r="H1404" s="26">
        <f>IF($N1404&lt;&gt;"",IF(INDEX(PCNet,$N1404)=0,"",INDEX(PCNet,$N1404)),"")</f>
        <v/>
      </c>
      <c r="I1404" s="25">
        <f>IF($N1404&lt;&gt;"",IF(INDEX(PCOp,$N1404)="مرجوعی خرید","",IF(INDEX(PCAmount,$N1404)&lt;=0,"",INDEX(PCAmount,$N1404))),IF($O1404&lt;&gt;"",IF(INDEX(TxnDepB,$O1404)=0,"",INDEX(TxnDepB,$O1404)),""))</f>
        <v/>
      </c>
      <c r="J1404" s="25">
        <f>IF($N1404&lt;&gt;"",IF(INDEX(PCOp,$N1404)="مرجوعی خرید",IF(INDEX(PCAmount,$N1404)=0,"",-INDEX(PCAmount,$N1404)),""),IF($O1404&lt;&gt;"",IF(INDEX(TxnWitB,$O1404)=0,"",INDEX(TxnWitB,$O1404)),""))</f>
        <v/>
      </c>
      <c r="K1404" s="27">
        <f>IF($B1404="","",IF($K1403="",$C$10,$K1403)+IF($I1404="",0,$I1404)-IF($J1404="",0,$J1404))</f>
        <v/>
      </c>
      <c r="L1404" s="28">
        <f>IF($N1404&lt;&gt;"",IF(INDEX(PCNotes,$N1404)="","—",INDEX(PCNotes,$N1404)),IF($O1404&lt;&gt;"",IF(INDEX(LdgNoteB,$O1404)="","—",INDEX(LdgNoteB,$O1404)),""))</f>
        <v/>
      </c>
      <c r="N1404">
        <f>IFERROR(MATCH($C$5&amp;"|"&amp;RIGHT("000000"&amp;1388,6),LdgRankKeyA,0),"")</f>
        <v/>
      </c>
      <c r="O1404">
        <f>IFERROR(MATCH($C$5&amp;"|"&amp;RIGHT("000000"&amp;1388,6),LdgRankKeyB,0),"")</f>
        <v/>
      </c>
    </row>
    <row r="1405">
      <c r="A1405" s="17" t="n">
        <v>1389</v>
      </c>
      <c r="B1405" s="18">
        <f>IF(AND($N1405="",$O1405=""),"",IF($N1405&lt;&gt;"",INDEX(PCNormDate,$N1405),INDEX(LdgDateB,$O1405)))</f>
        <v/>
      </c>
      <c r="C1405" s="18">
        <f>IF($N1405&lt;&gt;"",INDEX(PCOp,$N1405),IF($O1405&lt;&gt;"",IF(N(INDEX(TxnDepB,$O1405))&gt;0,"دریافت بانکی","پرداخت بانکی"),""))</f>
        <v/>
      </c>
      <c r="D1405" s="18">
        <f>IF($N1405&lt;&gt;"",IF(INDEX(PCDoc,$N1405)="","—",INDEX(PCDoc,$N1405)),IF($O1405&lt;&gt;"",INDEX(LdgBankB,$O1405),""))</f>
        <v/>
      </c>
      <c r="E1405" s="18">
        <f>IF($N1405&lt;&gt;"",IF(INDEX(PCCitrus,$N1405)="","—",INDEX(PCCitrus,$N1405)),"")</f>
        <v/>
      </c>
      <c r="F1405" s="19">
        <f>IF($N1405&lt;&gt;"",IF(INDEX(PCScale,$N1405)=0,"",INDEX(PCScale,$N1405)),"")</f>
        <v/>
      </c>
      <c r="G1405" s="19">
        <f>IF($N1405&lt;&gt;"",IF(INDEX(PCBaskets,$N1405)=0,"",INDEX(PCBaskets,$N1405)),"")</f>
        <v/>
      </c>
      <c r="H1405" s="20">
        <f>IF($N1405&lt;&gt;"",IF(INDEX(PCNet,$N1405)=0,"",INDEX(PCNet,$N1405)),"")</f>
        <v/>
      </c>
      <c r="I1405" s="19">
        <f>IF($N1405&lt;&gt;"",IF(INDEX(PCOp,$N1405)="مرجوعی خرید","",IF(INDEX(PCAmount,$N1405)&lt;=0,"",INDEX(PCAmount,$N1405))),IF($O1405&lt;&gt;"",IF(INDEX(TxnDepB,$O1405)=0,"",INDEX(TxnDepB,$O1405)),""))</f>
        <v/>
      </c>
      <c r="J1405" s="19">
        <f>IF($N1405&lt;&gt;"",IF(INDEX(PCOp,$N1405)="مرجوعی خرید",IF(INDEX(PCAmount,$N1405)=0,"",-INDEX(PCAmount,$N1405)),""),IF($O1405&lt;&gt;"",IF(INDEX(TxnWitB,$O1405)=0,"",INDEX(TxnWitB,$O1405)),""))</f>
        <v/>
      </c>
      <c r="K1405" s="21">
        <f>IF($B1405="","",IF($K1404="",$C$10,$K1404)+IF($I1405="",0,$I1405)-IF($J1405="",0,$J1405))</f>
        <v/>
      </c>
      <c r="L1405" s="22">
        <f>IF($N1405&lt;&gt;"",IF(INDEX(PCNotes,$N1405)="","—",INDEX(PCNotes,$N1405)),IF($O1405&lt;&gt;"",IF(INDEX(LdgNoteB,$O1405)="","—",INDEX(LdgNoteB,$O1405)),""))</f>
        <v/>
      </c>
      <c r="N1405">
        <f>IFERROR(MATCH($C$5&amp;"|"&amp;RIGHT("000000"&amp;1389,6),LdgRankKeyA,0),"")</f>
        <v/>
      </c>
      <c r="O1405">
        <f>IFERROR(MATCH($C$5&amp;"|"&amp;RIGHT("000000"&amp;1389,6),LdgRankKeyB,0),"")</f>
        <v/>
      </c>
    </row>
    <row r="1406">
      <c r="A1406" s="23" t="n">
        <v>1390</v>
      </c>
      <c r="B1406" s="24">
        <f>IF(AND($N1406="",$O1406=""),"",IF($N1406&lt;&gt;"",INDEX(PCNormDate,$N1406),INDEX(LdgDateB,$O1406)))</f>
        <v/>
      </c>
      <c r="C1406" s="24">
        <f>IF($N1406&lt;&gt;"",INDEX(PCOp,$N1406),IF($O1406&lt;&gt;"",IF(N(INDEX(TxnDepB,$O1406))&gt;0,"دریافت بانکی","پرداخت بانکی"),""))</f>
        <v/>
      </c>
      <c r="D1406" s="24">
        <f>IF($N1406&lt;&gt;"",IF(INDEX(PCDoc,$N1406)="","—",INDEX(PCDoc,$N1406)),IF($O1406&lt;&gt;"",INDEX(LdgBankB,$O1406),""))</f>
        <v/>
      </c>
      <c r="E1406" s="24">
        <f>IF($N1406&lt;&gt;"",IF(INDEX(PCCitrus,$N1406)="","—",INDEX(PCCitrus,$N1406)),"")</f>
        <v/>
      </c>
      <c r="F1406" s="25">
        <f>IF($N1406&lt;&gt;"",IF(INDEX(PCScale,$N1406)=0,"",INDEX(PCScale,$N1406)),"")</f>
        <v/>
      </c>
      <c r="G1406" s="25">
        <f>IF($N1406&lt;&gt;"",IF(INDEX(PCBaskets,$N1406)=0,"",INDEX(PCBaskets,$N1406)),"")</f>
        <v/>
      </c>
      <c r="H1406" s="26">
        <f>IF($N1406&lt;&gt;"",IF(INDEX(PCNet,$N1406)=0,"",INDEX(PCNet,$N1406)),"")</f>
        <v/>
      </c>
      <c r="I1406" s="25">
        <f>IF($N1406&lt;&gt;"",IF(INDEX(PCOp,$N1406)="مرجوعی خرید","",IF(INDEX(PCAmount,$N1406)&lt;=0,"",INDEX(PCAmount,$N1406))),IF($O1406&lt;&gt;"",IF(INDEX(TxnDepB,$O1406)=0,"",INDEX(TxnDepB,$O1406)),""))</f>
        <v/>
      </c>
      <c r="J1406" s="25">
        <f>IF($N1406&lt;&gt;"",IF(INDEX(PCOp,$N1406)="مرجوعی خرید",IF(INDEX(PCAmount,$N1406)=0,"",-INDEX(PCAmount,$N1406)),""),IF($O1406&lt;&gt;"",IF(INDEX(TxnWitB,$O1406)=0,"",INDEX(TxnWitB,$O1406)),""))</f>
        <v/>
      </c>
      <c r="K1406" s="27">
        <f>IF($B1406="","",IF($K1405="",$C$10,$K1405)+IF($I1406="",0,$I1406)-IF($J1406="",0,$J1406))</f>
        <v/>
      </c>
      <c r="L1406" s="28">
        <f>IF($N1406&lt;&gt;"",IF(INDEX(PCNotes,$N1406)="","—",INDEX(PCNotes,$N1406)),IF($O1406&lt;&gt;"",IF(INDEX(LdgNoteB,$O1406)="","—",INDEX(LdgNoteB,$O1406)),""))</f>
        <v/>
      </c>
      <c r="N1406">
        <f>IFERROR(MATCH($C$5&amp;"|"&amp;RIGHT("000000"&amp;1390,6),LdgRankKeyA,0),"")</f>
        <v/>
      </c>
      <c r="O1406">
        <f>IFERROR(MATCH($C$5&amp;"|"&amp;RIGHT("000000"&amp;1390,6),LdgRankKeyB,0),"")</f>
        <v/>
      </c>
    </row>
    <row r="1407">
      <c r="A1407" s="17" t="n">
        <v>1391</v>
      </c>
      <c r="B1407" s="18">
        <f>IF(AND($N1407="",$O1407=""),"",IF($N1407&lt;&gt;"",INDEX(PCNormDate,$N1407),INDEX(LdgDateB,$O1407)))</f>
        <v/>
      </c>
      <c r="C1407" s="18">
        <f>IF($N1407&lt;&gt;"",INDEX(PCOp,$N1407),IF($O1407&lt;&gt;"",IF(N(INDEX(TxnDepB,$O1407))&gt;0,"دریافت بانکی","پرداخت بانکی"),""))</f>
        <v/>
      </c>
      <c r="D1407" s="18">
        <f>IF($N1407&lt;&gt;"",IF(INDEX(PCDoc,$N1407)="","—",INDEX(PCDoc,$N1407)),IF($O1407&lt;&gt;"",INDEX(LdgBankB,$O1407),""))</f>
        <v/>
      </c>
      <c r="E1407" s="18">
        <f>IF($N1407&lt;&gt;"",IF(INDEX(PCCitrus,$N1407)="","—",INDEX(PCCitrus,$N1407)),"")</f>
        <v/>
      </c>
      <c r="F1407" s="19">
        <f>IF($N1407&lt;&gt;"",IF(INDEX(PCScale,$N1407)=0,"",INDEX(PCScale,$N1407)),"")</f>
        <v/>
      </c>
      <c r="G1407" s="19">
        <f>IF($N1407&lt;&gt;"",IF(INDEX(PCBaskets,$N1407)=0,"",INDEX(PCBaskets,$N1407)),"")</f>
        <v/>
      </c>
      <c r="H1407" s="20">
        <f>IF($N1407&lt;&gt;"",IF(INDEX(PCNet,$N1407)=0,"",INDEX(PCNet,$N1407)),"")</f>
        <v/>
      </c>
      <c r="I1407" s="19">
        <f>IF($N1407&lt;&gt;"",IF(INDEX(PCOp,$N1407)="مرجوعی خرید","",IF(INDEX(PCAmount,$N1407)&lt;=0,"",INDEX(PCAmount,$N1407))),IF($O1407&lt;&gt;"",IF(INDEX(TxnDepB,$O1407)=0,"",INDEX(TxnDepB,$O1407)),""))</f>
        <v/>
      </c>
      <c r="J1407" s="19">
        <f>IF($N1407&lt;&gt;"",IF(INDEX(PCOp,$N1407)="مرجوعی خرید",IF(INDEX(PCAmount,$N1407)=0,"",-INDEX(PCAmount,$N1407)),""),IF($O1407&lt;&gt;"",IF(INDEX(TxnWitB,$O1407)=0,"",INDEX(TxnWitB,$O1407)),""))</f>
        <v/>
      </c>
      <c r="K1407" s="21">
        <f>IF($B1407="","",IF($K1406="",$C$10,$K1406)+IF($I1407="",0,$I1407)-IF($J1407="",0,$J1407))</f>
        <v/>
      </c>
      <c r="L1407" s="22">
        <f>IF($N1407&lt;&gt;"",IF(INDEX(PCNotes,$N1407)="","—",INDEX(PCNotes,$N1407)),IF($O1407&lt;&gt;"",IF(INDEX(LdgNoteB,$O1407)="","—",INDEX(LdgNoteB,$O1407)),""))</f>
        <v/>
      </c>
      <c r="N1407">
        <f>IFERROR(MATCH($C$5&amp;"|"&amp;RIGHT("000000"&amp;1391,6),LdgRankKeyA,0),"")</f>
        <v/>
      </c>
      <c r="O1407">
        <f>IFERROR(MATCH($C$5&amp;"|"&amp;RIGHT("000000"&amp;1391,6),LdgRankKeyB,0),"")</f>
        <v/>
      </c>
    </row>
    <row r="1408">
      <c r="A1408" s="23" t="n">
        <v>1392</v>
      </c>
      <c r="B1408" s="24">
        <f>IF(AND($N1408="",$O1408=""),"",IF($N1408&lt;&gt;"",INDEX(PCNormDate,$N1408),INDEX(LdgDateB,$O1408)))</f>
        <v/>
      </c>
      <c r="C1408" s="24">
        <f>IF($N1408&lt;&gt;"",INDEX(PCOp,$N1408),IF($O1408&lt;&gt;"",IF(N(INDEX(TxnDepB,$O1408))&gt;0,"دریافت بانکی","پرداخت بانکی"),""))</f>
        <v/>
      </c>
      <c r="D1408" s="24">
        <f>IF($N1408&lt;&gt;"",IF(INDEX(PCDoc,$N1408)="","—",INDEX(PCDoc,$N1408)),IF($O1408&lt;&gt;"",INDEX(LdgBankB,$O1408),""))</f>
        <v/>
      </c>
      <c r="E1408" s="24">
        <f>IF($N1408&lt;&gt;"",IF(INDEX(PCCitrus,$N1408)="","—",INDEX(PCCitrus,$N1408)),"")</f>
        <v/>
      </c>
      <c r="F1408" s="25">
        <f>IF($N1408&lt;&gt;"",IF(INDEX(PCScale,$N1408)=0,"",INDEX(PCScale,$N1408)),"")</f>
        <v/>
      </c>
      <c r="G1408" s="25">
        <f>IF($N1408&lt;&gt;"",IF(INDEX(PCBaskets,$N1408)=0,"",INDEX(PCBaskets,$N1408)),"")</f>
        <v/>
      </c>
      <c r="H1408" s="26">
        <f>IF($N1408&lt;&gt;"",IF(INDEX(PCNet,$N1408)=0,"",INDEX(PCNet,$N1408)),"")</f>
        <v/>
      </c>
      <c r="I1408" s="25">
        <f>IF($N1408&lt;&gt;"",IF(INDEX(PCOp,$N1408)="مرجوعی خرید","",IF(INDEX(PCAmount,$N1408)&lt;=0,"",INDEX(PCAmount,$N1408))),IF($O1408&lt;&gt;"",IF(INDEX(TxnDepB,$O1408)=0,"",INDEX(TxnDepB,$O1408)),""))</f>
        <v/>
      </c>
      <c r="J1408" s="25">
        <f>IF($N1408&lt;&gt;"",IF(INDEX(PCOp,$N1408)="مرجوعی خرید",IF(INDEX(PCAmount,$N1408)=0,"",-INDEX(PCAmount,$N1408)),""),IF($O1408&lt;&gt;"",IF(INDEX(TxnWitB,$O1408)=0,"",INDEX(TxnWitB,$O1408)),""))</f>
        <v/>
      </c>
      <c r="K1408" s="27">
        <f>IF($B1408="","",IF($K1407="",$C$10,$K1407)+IF($I1408="",0,$I1408)-IF($J1408="",0,$J1408))</f>
        <v/>
      </c>
      <c r="L1408" s="28">
        <f>IF($N1408&lt;&gt;"",IF(INDEX(PCNotes,$N1408)="","—",INDEX(PCNotes,$N1408)),IF($O1408&lt;&gt;"",IF(INDEX(LdgNoteB,$O1408)="","—",INDEX(LdgNoteB,$O1408)),""))</f>
        <v/>
      </c>
      <c r="N1408">
        <f>IFERROR(MATCH($C$5&amp;"|"&amp;RIGHT("000000"&amp;1392,6),LdgRankKeyA,0),"")</f>
        <v/>
      </c>
      <c r="O1408">
        <f>IFERROR(MATCH($C$5&amp;"|"&amp;RIGHT("000000"&amp;1392,6),LdgRankKeyB,0),"")</f>
        <v/>
      </c>
    </row>
    <row r="1409">
      <c r="A1409" s="17" t="n">
        <v>1393</v>
      </c>
      <c r="B1409" s="18">
        <f>IF(AND($N1409="",$O1409=""),"",IF($N1409&lt;&gt;"",INDEX(PCNormDate,$N1409),INDEX(LdgDateB,$O1409)))</f>
        <v/>
      </c>
      <c r="C1409" s="18">
        <f>IF($N1409&lt;&gt;"",INDEX(PCOp,$N1409),IF($O1409&lt;&gt;"",IF(N(INDEX(TxnDepB,$O1409))&gt;0,"دریافت بانکی","پرداخت بانکی"),""))</f>
        <v/>
      </c>
      <c r="D1409" s="18">
        <f>IF($N1409&lt;&gt;"",IF(INDEX(PCDoc,$N1409)="","—",INDEX(PCDoc,$N1409)),IF($O1409&lt;&gt;"",INDEX(LdgBankB,$O1409),""))</f>
        <v/>
      </c>
      <c r="E1409" s="18">
        <f>IF($N1409&lt;&gt;"",IF(INDEX(PCCitrus,$N1409)="","—",INDEX(PCCitrus,$N1409)),"")</f>
        <v/>
      </c>
      <c r="F1409" s="19">
        <f>IF($N1409&lt;&gt;"",IF(INDEX(PCScale,$N1409)=0,"",INDEX(PCScale,$N1409)),"")</f>
        <v/>
      </c>
      <c r="G1409" s="19">
        <f>IF($N1409&lt;&gt;"",IF(INDEX(PCBaskets,$N1409)=0,"",INDEX(PCBaskets,$N1409)),"")</f>
        <v/>
      </c>
      <c r="H1409" s="20">
        <f>IF($N1409&lt;&gt;"",IF(INDEX(PCNet,$N1409)=0,"",INDEX(PCNet,$N1409)),"")</f>
        <v/>
      </c>
      <c r="I1409" s="19">
        <f>IF($N1409&lt;&gt;"",IF(INDEX(PCOp,$N1409)="مرجوعی خرید","",IF(INDEX(PCAmount,$N1409)&lt;=0,"",INDEX(PCAmount,$N1409))),IF($O1409&lt;&gt;"",IF(INDEX(TxnDepB,$O1409)=0,"",INDEX(TxnDepB,$O1409)),""))</f>
        <v/>
      </c>
      <c r="J1409" s="19">
        <f>IF($N1409&lt;&gt;"",IF(INDEX(PCOp,$N1409)="مرجوعی خرید",IF(INDEX(PCAmount,$N1409)=0,"",-INDEX(PCAmount,$N1409)),""),IF($O1409&lt;&gt;"",IF(INDEX(TxnWitB,$O1409)=0,"",INDEX(TxnWitB,$O1409)),""))</f>
        <v/>
      </c>
      <c r="K1409" s="21">
        <f>IF($B1409="","",IF($K1408="",$C$10,$K1408)+IF($I1409="",0,$I1409)-IF($J1409="",0,$J1409))</f>
        <v/>
      </c>
      <c r="L1409" s="22">
        <f>IF($N1409&lt;&gt;"",IF(INDEX(PCNotes,$N1409)="","—",INDEX(PCNotes,$N1409)),IF($O1409&lt;&gt;"",IF(INDEX(LdgNoteB,$O1409)="","—",INDEX(LdgNoteB,$O1409)),""))</f>
        <v/>
      </c>
      <c r="N1409">
        <f>IFERROR(MATCH($C$5&amp;"|"&amp;RIGHT("000000"&amp;1393,6),LdgRankKeyA,0),"")</f>
        <v/>
      </c>
      <c r="O1409">
        <f>IFERROR(MATCH($C$5&amp;"|"&amp;RIGHT("000000"&amp;1393,6),LdgRankKeyB,0),"")</f>
        <v/>
      </c>
    </row>
    <row r="1410">
      <c r="A1410" s="23" t="n">
        <v>1394</v>
      </c>
      <c r="B1410" s="24">
        <f>IF(AND($N1410="",$O1410=""),"",IF($N1410&lt;&gt;"",INDEX(PCNormDate,$N1410),INDEX(LdgDateB,$O1410)))</f>
        <v/>
      </c>
      <c r="C1410" s="24">
        <f>IF($N1410&lt;&gt;"",INDEX(PCOp,$N1410),IF($O1410&lt;&gt;"",IF(N(INDEX(TxnDepB,$O1410))&gt;0,"دریافت بانکی","پرداخت بانکی"),""))</f>
        <v/>
      </c>
      <c r="D1410" s="24">
        <f>IF($N1410&lt;&gt;"",IF(INDEX(PCDoc,$N1410)="","—",INDEX(PCDoc,$N1410)),IF($O1410&lt;&gt;"",INDEX(LdgBankB,$O1410),""))</f>
        <v/>
      </c>
      <c r="E1410" s="24">
        <f>IF($N1410&lt;&gt;"",IF(INDEX(PCCitrus,$N1410)="","—",INDEX(PCCitrus,$N1410)),"")</f>
        <v/>
      </c>
      <c r="F1410" s="25">
        <f>IF($N1410&lt;&gt;"",IF(INDEX(PCScale,$N1410)=0,"",INDEX(PCScale,$N1410)),"")</f>
        <v/>
      </c>
      <c r="G1410" s="25">
        <f>IF($N1410&lt;&gt;"",IF(INDEX(PCBaskets,$N1410)=0,"",INDEX(PCBaskets,$N1410)),"")</f>
        <v/>
      </c>
      <c r="H1410" s="26">
        <f>IF($N1410&lt;&gt;"",IF(INDEX(PCNet,$N1410)=0,"",INDEX(PCNet,$N1410)),"")</f>
        <v/>
      </c>
      <c r="I1410" s="25">
        <f>IF($N1410&lt;&gt;"",IF(INDEX(PCOp,$N1410)="مرجوعی خرید","",IF(INDEX(PCAmount,$N1410)&lt;=0,"",INDEX(PCAmount,$N1410))),IF($O1410&lt;&gt;"",IF(INDEX(TxnDepB,$O1410)=0,"",INDEX(TxnDepB,$O1410)),""))</f>
        <v/>
      </c>
      <c r="J1410" s="25">
        <f>IF($N1410&lt;&gt;"",IF(INDEX(PCOp,$N1410)="مرجوعی خرید",IF(INDEX(PCAmount,$N1410)=0,"",-INDEX(PCAmount,$N1410)),""),IF($O1410&lt;&gt;"",IF(INDEX(TxnWitB,$O1410)=0,"",INDEX(TxnWitB,$O1410)),""))</f>
        <v/>
      </c>
      <c r="K1410" s="27">
        <f>IF($B1410="","",IF($K1409="",$C$10,$K1409)+IF($I1410="",0,$I1410)-IF($J1410="",0,$J1410))</f>
        <v/>
      </c>
      <c r="L1410" s="28">
        <f>IF($N1410&lt;&gt;"",IF(INDEX(PCNotes,$N1410)="","—",INDEX(PCNotes,$N1410)),IF($O1410&lt;&gt;"",IF(INDEX(LdgNoteB,$O1410)="","—",INDEX(LdgNoteB,$O1410)),""))</f>
        <v/>
      </c>
      <c r="N1410">
        <f>IFERROR(MATCH($C$5&amp;"|"&amp;RIGHT("000000"&amp;1394,6),LdgRankKeyA,0),"")</f>
        <v/>
      </c>
      <c r="O1410">
        <f>IFERROR(MATCH($C$5&amp;"|"&amp;RIGHT("000000"&amp;1394,6),LdgRankKeyB,0),"")</f>
        <v/>
      </c>
    </row>
    <row r="1411">
      <c r="A1411" s="17" t="n">
        <v>1395</v>
      </c>
      <c r="B1411" s="18">
        <f>IF(AND($N1411="",$O1411=""),"",IF($N1411&lt;&gt;"",INDEX(PCNormDate,$N1411),INDEX(LdgDateB,$O1411)))</f>
        <v/>
      </c>
      <c r="C1411" s="18">
        <f>IF($N1411&lt;&gt;"",INDEX(PCOp,$N1411),IF($O1411&lt;&gt;"",IF(N(INDEX(TxnDepB,$O1411))&gt;0,"دریافت بانکی","پرداخت بانکی"),""))</f>
        <v/>
      </c>
      <c r="D1411" s="18">
        <f>IF($N1411&lt;&gt;"",IF(INDEX(PCDoc,$N1411)="","—",INDEX(PCDoc,$N1411)),IF($O1411&lt;&gt;"",INDEX(LdgBankB,$O1411),""))</f>
        <v/>
      </c>
      <c r="E1411" s="18">
        <f>IF($N1411&lt;&gt;"",IF(INDEX(PCCitrus,$N1411)="","—",INDEX(PCCitrus,$N1411)),"")</f>
        <v/>
      </c>
      <c r="F1411" s="19">
        <f>IF($N1411&lt;&gt;"",IF(INDEX(PCScale,$N1411)=0,"",INDEX(PCScale,$N1411)),"")</f>
        <v/>
      </c>
      <c r="G1411" s="19">
        <f>IF($N1411&lt;&gt;"",IF(INDEX(PCBaskets,$N1411)=0,"",INDEX(PCBaskets,$N1411)),"")</f>
        <v/>
      </c>
      <c r="H1411" s="20">
        <f>IF($N1411&lt;&gt;"",IF(INDEX(PCNet,$N1411)=0,"",INDEX(PCNet,$N1411)),"")</f>
        <v/>
      </c>
      <c r="I1411" s="19">
        <f>IF($N1411&lt;&gt;"",IF(INDEX(PCOp,$N1411)="مرجوعی خرید","",IF(INDEX(PCAmount,$N1411)&lt;=0,"",INDEX(PCAmount,$N1411))),IF($O1411&lt;&gt;"",IF(INDEX(TxnDepB,$O1411)=0,"",INDEX(TxnDepB,$O1411)),""))</f>
        <v/>
      </c>
      <c r="J1411" s="19">
        <f>IF($N1411&lt;&gt;"",IF(INDEX(PCOp,$N1411)="مرجوعی خرید",IF(INDEX(PCAmount,$N1411)=0,"",-INDEX(PCAmount,$N1411)),""),IF($O1411&lt;&gt;"",IF(INDEX(TxnWitB,$O1411)=0,"",INDEX(TxnWitB,$O1411)),""))</f>
        <v/>
      </c>
      <c r="K1411" s="21">
        <f>IF($B1411="","",IF($K1410="",$C$10,$K1410)+IF($I1411="",0,$I1411)-IF($J1411="",0,$J1411))</f>
        <v/>
      </c>
      <c r="L1411" s="22">
        <f>IF($N1411&lt;&gt;"",IF(INDEX(PCNotes,$N1411)="","—",INDEX(PCNotes,$N1411)),IF($O1411&lt;&gt;"",IF(INDEX(LdgNoteB,$O1411)="","—",INDEX(LdgNoteB,$O1411)),""))</f>
        <v/>
      </c>
      <c r="N1411">
        <f>IFERROR(MATCH($C$5&amp;"|"&amp;RIGHT("000000"&amp;1395,6),LdgRankKeyA,0),"")</f>
        <v/>
      </c>
      <c r="O1411">
        <f>IFERROR(MATCH($C$5&amp;"|"&amp;RIGHT("000000"&amp;1395,6),LdgRankKeyB,0),"")</f>
        <v/>
      </c>
    </row>
    <row r="1412">
      <c r="A1412" s="23" t="n">
        <v>1396</v>
      </c>
      <c r="B1412" s="24">
        <f>IF(AND($N1412="",$O1412=""),"",IF($N1412&lt;&gt;"",INDEX(PCNormDate,$N1412),INDEX(LdgDateB,$O1412)))</f>
        <v/>
      </c>
      <c r="C1412" s="24">
        <f>IF($N1412&lt;&gt;"",INDEX(PCOp,$N1412),IF($O1412&lt;&gt;"",IF(N(INDEX(TxnDepB,$O1412))&gt;0,"دریافت بانکی","پرداخت بانکی"),""))</f>
        <v/>
      </c>
      <c r="D1412" s="24">
        <f>IF($N1412&lt;&gt;"",IF(INDEX(PCDoc,$N1412)="","—",INDEX(PCDoc,$N1412)),IF($O1412&lt;&gt;"",INDEX(LdgBankB,$O1412),""))</f>
        <v/>
      </c>
      <c r="E1412" s="24">
        <f>IF($N1412&lt;&gt;"",IF(INDEX(PCCitrus,$N1412)="","—",INDEX(PCCitrus,$N1412)),"")</f>
        <v/>
      </c>
      <c r="F1412" s="25">
        <f>IF($N1412&lt;&gt;"",IF(INDEX(PCScale,$N1412)=0,"",INDEX(PCScale,$N1412)),"")</f>
        <v/>
      </c>
      <c r="G1412" s="25">
        <f>IF($N1412&lt;&gt;"",IF(INDEX(PCBaskets,$N1412)=0,"",INDEX(PCBaskets,$N1412)),"")</f>
        <v/>
      </c>
      <c r="H1412" s="26">
        <f>IF($N1412&lt;&gt;"",IF(INDEX(PCNet,$N1412)=0,"",INDEX(PCNet,$N1412)),"")</f>
        <v/>
      </c>
      <c r="I1412" s="25">
        <f>IF($N1412&lt;&gt;"",IF(INDEX(PCOp,$N1412)="مرجوعی خرید","",IF(INDEX(PCAmount,$N1412)&lt;=0,"",INDEX(PCAmount,$N1412))),IF($O1412&lt;&gt;"",IF(INDEX(TxnDepB,$O1412)=0,"",INDEX(TxnDepB,$O1412)),""))</f>
        <v/>
      </c>
      <c r="J1412" s="25">
        <f>IF($N1412&lt;&gt;"",IF(INDEX(PCOp,$N1412)="مرجوعی خرید",IF(INDEX(PCAmount,$N1412)=0,"",-INDEX(PCAmount,$N1412)),""),IF($O1412&lt;&gt;"",IF(INDEX(TxnWitB,$O1412)=0,"",INDEX(TxnWitB,$O1412)),""))</f>
        <v/>
      </c>
      <c r="K1412" s="27">
        <f>IF($B1412="","",IF($K1411="",$C$10,$K1411)+IF($I1412="",0,$I1412)-IF($J1412="",0,$J1412))</f>
        <v/>
      </c>
      <c r="L1412" s="28">
        <f>IF($N1412&lt;&gt;"",IF(INDEX(PCNotes,$N1412)="","—",INDEX(PCNotes,$N1412)),IF($O1412&lt;&gt;"",IF(INDEX(LdgNoteB,$O1412)="","—",INDEX(LdgNoteB,$O1412)),""))</f>
        <v/>
      </c>
      <c r="N1412">
        <f>IFERROR(MATCH($C$5&amp;"|"&amp;RIGHT("000000"&amp;1396,6),LdgRankKeyA,0),"")</f>
        <v/>
      </c>
      <c r="O1412">
        <f>IFERROR(MATCH($C$5&amp;"|"&amp;RIGHT("000000"&amp;1396,6),LdgRankKeyB,0),"")</f>
        <v/>
      </c>
    </row>
    <row r="1413">
      <c r="A1413" s="17" t="n">
        <v>1397</v>
      </c>
      <c r="B1413" s="18">
        <f>IF(AND($N1413="",$O1413=""),"",IF($N1413&lt;&gt;"",INDEX(PCNormDate,$N1413),INDEX(LdgDateB,$O1413)))</f>
        <v/>
      </c>
      <c r="C1413" s="18">
        <f>IF($N1413&lt;&gt;"",INDEX(PCOp,$N1413),IF($O1413&lt;&gt;"",IF(N(INDEX(TxnDepB,$O1413))&gt;0,"دریافت بانکی","پرداخت بانکی"),""))</f>
        <v/>
      </c>
      <c r="D1413" s="18">
        <f>IF($N1413&lt;&gt;"",IF(INDEX(PCDoc,$N1413)="","—",INDEX(PCDoc,$N1413)),IF($O1413&lt;&gt;"",INDEX(LdgBankB,$O1413),""))</f>
        <v/>
      </c>
      <c r="E1413" s="18">
        <f>IF($N1413&lt;&gt;"",IF(INDEX(PCCitrus,$N1413)="","—",INDEX(PCCitrus,$N1413)),"")</f>
        <v/>
      </c>
      <c r="F1413" s="19">
        <f>IF($N1413&lt;&gt;"",IF(INDEX(PCScale,$N1413)=0,"",INDEX(PCScale,$N1413)),"")</f>
        <v/>
      </c>
      <c r="G1413" s="19">
        <f>IF($N1413&lt;&gt;"",IF(INDEX(PCBaskets,$N1413)=0,"",INDEX(PCBaskets,$N1413)),"")</f>
        <v/>
      </c>
      <c r="H1413" s="20">
        <f>IF($N1413&lt;&gt;"",IF(INDEX(PCNet,$N1413)=0,"",INDEX(PCNet,$N1413)),"")</f>
        <v/>
      </c>
      <c r="I1413" s="19">
        <f>IF($N1413&lt;&gt;"",IF(INDEX(PCOp,$N1413)="مرجوعی خرید","",IF(INDEX(PCAmount,$N1413)&lt;=0,"",INDEX(PCAmount,$N1413))),IF($O1413&lt;&gt;"",IF(INDEX(TxnDepB,$O1413)=0,"",INDEX(TxnDepB,$O1413)),""))</f>
        <v/>
      </c>
      <c r="J1413" s="19">
        <f>IF($N1413&lt;&gt;"",IF(INDEX(PCOp,$N1413)="مرجوعی خرید",IF(INDEX(PCAmount,$N1413)=0,"",-INDEX(PCAmount,$N1413)),""),IF($O1413&lt;&gt;"",IF(INDEX(TxnWitB,$O1413)=0,"",INDEX(TxnWitB,$O1413)),""))</f>
        <v/>
      </c>
      <c r="K1413" s="21">
        <f>IF($B1413="","",IF($K1412="",$C$10,$K1412)+IF($I1413="",0,$I1413)-IF($J1413="",0,$J1413))</f>
        <v/>
      </c>
      <c r="L1413" s="22">
        <f>IF($N1413&lt;&gt;"",IF(INDEX(PCNotes,$N1413)="","—",INDEX(PCNotes,$N1413)),IF($O1413&lt;&gt;"",IF(INDEX(LdgNoteB,$O1413)="","—",INDEX(LdgNoteB,$O1413)),""))</f>
        <v/>
      </c>
      <c r="N1413">
        <f>IFERROR(MATCH($C$5&amp;"|"&amp;RIGHT("000000"&amp;1397,6),LdgRankKeyA,0),"")</f>
        <v/>
      </c>
      <c r="O1413">
        <f>IFERROR(MATCH($C$5&amp;"|"&amp;RIGHT("000000"&amp;1397,6),LdgRankKeyB,0),"")</f>
        <v/>
      </c>
    </row>
    <row r="1414">
      <c r="A1414" s="23" t="n">
        <v>1398</v>
      </c>
      <c r="B1414" s="24">
        <f>IF(AND($N1414="",$O1414=""),"",IF($N1414&lt;&gt;"",INDEX(PCNormDate,$N1414),INDEX(LdgDateB,$O1414)))</f>
        <v/>
      </c>
      <c r="C1414" s="24">
        <f>IF($N1414&lt;&gt;"",INDEX(PCOp,$N1414),IF($O1414&lt;&gt;"",IF(N(INDEX(TxnDepB,$O1414))&gt;0,"دریافت بانکی","پرداخت بانکی"),""))</f>
        <v/>
      </c>
      <c r="D1414" s="24">
        <f>IF($N1414&lt;&gt;"",IF(INDEX(PCDoc,$N1414)="","—",INDEX(PCDoc,$N1414)),IF($O1414&lt;&gt;"",INDEX(LdgBankB,$O1414),""))</f>
        <v/>
      </c>
      <c r="E1414" s="24">
        <f>IF($N1414&lt;&gt;"",IF(INDEX(PCCitrus,$N1414)="","—",INDEX(PCCitrus,$N1414)),"")</f>
        <v/>
      </c>
      <c r="F1414" s="25">
        <f>IF($N1414&lt;&gt;"",IF(INDEX(PCScale,$N1414)=0,"",INDEX(PCScale,$N1414)),"")</f>
        <v/>
      </c>
      <c r="G1414" s="25">
        <f>IF($N1414&lt;&gt;"",IF(INDEX(PCBaskets,$N1414)=0,"",INDEX(PCBaskets,$N1414)),"")</f>
        <v/>
      </c>
      <c r="H1414" s="26">
        <f>IF($N1414&lt;&gt;"",IF(INDEX(PCNet,$N1414)=0,"",INDEX(PCNet,$N1414)),"")</f>
        <v/>
      </c>
      <c r="I1414" s="25">
        <f>IF($N1414&lt;&gt;"",IF(INDEX(PCOp,$N1414)="مرجوعی خرید","",IF(INDEX(PCAmount,$N1414)&lt;=0,"",INDEX(PCAmount,$N1414))),IF($O1414&lt;&gt;"",IF(INDEX(TxnDepB,$O1414)=0,"",INDEX(TxnDepB,$O1414)),""))</f>
        <v/>
      </c>
      <c r="J1414" s="25">
        <f>IF($N1414&lt;&gt;"",IF(INDEX(PCOp,$N1414)="مرجوعی خرید",IF(INDEX(PCAmount,$N1414)=0,"",-INDEX(PCAmount,$N1414)),""),IF($O1414&lt;&gt;"",IF(INDEX(TxnWitB,$O1414)=0,"",INDEX(TxnWitB,$O1414)),""))</f>
        <v/>
      </c>
      <c r="K1414" s="27">
        <f>IF($B1414="","",IF($K1413="",$C$10,$K1413)+IF($I1414="",0,$I1414)-IF($J1414="",0,$J1414))</f>
        <v/>
      </c>
      <c r="L1414" s="28">
        <f>IF($N1414&lt;&gt;"",IF(INDEX(PCNotes,$N1414)="","—",INDEX(PCNotes,$N1414)),IF($O1414&lt;&gt;"",IF(INDEX(LdgNoteB,$O1414)="","—",INDEX(LdgNoteB,$O1414)),""))</f>
        <v/>
      </c>
      <c r="N1414">
        <f>IFERROR(MATCH($C$5&amp;"|"&amp;RIGHT("000000"&amp;1398,6),LdgRankKeyA,0),"")</f>
        <v/>
      </c>
      <c r="O1414">
        <f>IFERROR(MATCH($C$5&amp;"|"&amp;RIGHT("000000"&amp;1398,6),LdgRankKeyB,0),"")</f>
        <v/>
      </c>
    </row>
    <row r="1415">
      <c r="A1415" s="17" t="n">
        <v>1399</v>
      </c>
      <c r="B1415" s="18">
        <f>IF(AND($N1415="",$O1415=""),"",IF($N1415&lt;&gt;"",INDEX(PCNormDate,$N1415),INDEX(LdgDateB,$O1415)))</f>
        <v/>
      </c>
      <c r="C1415" s="18">
        <f>IF($N1415&lt;&gt;"",INDEX(PCOp,$N1415),IF($O1415&lt;&gt;"",IF(N(INDEX(TxnDepB,$O1415))&gt;0,"دریافت بانکی","پرداخت بانکی"),""))</f>
        <v/>
      </c>
      <c r="D1415" s="18">
        <f>IF($N1415&lt;&gt;"",IF(INDEX(PCDoc,$N1415)="","—",INDEX(PCDoc,$N1415)),IF($O1415&lt;&gt;"",INDEX(LdgBankB,$O1415),""))</f>
        <v/>
      </c>
      <c r="E1415" s="18">
        <f>IF($N1415&lt;&gt;"",IF(INDEX(PCCitrus,$N1415)="","—",INDEX(PCCitrus,$N1415)),"")</f>
        <v/>
      </c>
      <c r="F1415" s="19">
        <f>IF($N1415&lt;&gt;"",IF(INDEX(PCScale,$N1415)=0,"",INDEX(PCScale,$N1415)),"")</f>
        <v/>
      </c>
      <c r="G1415" s="19">
        <f>IF($N1415&lt;&gt;"",IF(INDEX(PCBaskets,$N1415)=0,"",INDEX(PCBaskets,$N1415)),"")</f>
        <v/>
      </c>
      <c r="H1415" s="20">
        <f>IF($N1415&lt;&gt;"",IF(INDEX(PCNet,$N1415)=0,"",INDEX(PCNet,$N1415)),"")</f>
        <v/>
      </c>
      <c r="I1415" s="19">
        <f>IF($N1415&lt;&gt;"",IF(INDEX(PCOp,$N1415)="مرجوعی خرید","",IF(INDEX(PCAmount,$N1415)&lt;=0,"",INDEX(PCAmount,$N1415))),IF($O1415&lt;&gt;"",IF(INDEX(TxnDepB,$O1415)=0,"",INDEX(TxnDepB,$O1415)),""))</f>
        <v/>
      </c>
      <c r="J1415" s="19">
        <f>IF($N1415&lt;&gt;"",IF(INDEX(PCOp,$N1415)="مرجوعی خرید",IF(INDEX(PCAmount,$N1415)=0,"",-INDEX(PCAmount,$N1415)),""),IF($O1415&lt;&gt;"",IF(INDEX(TxnWitB,$O1415)=0,"",INDEX(TxnWitB,$O1415)),""))</f>
        <v/>
      </c>
      <c r="K1415" s="21">
        <f>IF($B1415="","",IF($K1414="",$C$10,$K1414)+IF($I1415="",0,$I1415)-IF($J1415="",0,$J1415))</f>
        <v/>
      </c>
      <c r="L1415" s="22">
        <f>IF($N1415&lt;&gt;"",IF(INDEX(PCNotes,$N1415)="","—",INDEX(PCNotes,$N1415)),IF($O1415&lt;&gt;"",IF(INDEX(LdgNoteB,$O1415)="","—",INDEX(LdgNoteB,$O1415)),""))</f>
        <v/>
      </c>
      <c r="N1415">
        <f>IFERROR(MATCH($C$5&amp;"|"&amp;RIGHT("000000"&amp;1399,6),LdgRankKeyA,0),"")</f>
        <v/>
      </c>
      <c r="O1415">
        <f>IFERROR(MATCH($C$5&amp;"|"&amp;RIGHT("000000"&amp;1399,6),LdgRankKeyB,0),"")</f>
        <v/>
      </c>
    </row>
    <row r="1416">
      <c r="A1416" s="23" t="n">
        <v>1400</v>
      </c>
      <c r="B1416" s="24">
        <f>IF(AND($N1416="",$O1416=""),"",IF($N1416&lt;&gt;"",INDEX(PCNormDate,$N1416),INDEX(LdgDateB,$O1416)))</f>
        <v/>
      </c>
      <c r="C1416" s="24">
        <f>IF($N1416&lt;&gt;"",INDEX(PCOp,$N1416),IF($O1416&lt;&gt;"",IF(N(INDEX(TxnDepB,$O1416))&gt;0,"دریافت بانکی","پرداخت بانکی"),""))</f>
        <v/>
      </c>
      <c r="D1416" s="24">
        <f>IF($N1416&lt;&gt;"",IF(INDEX(PCDoc,$N1416)="","—",INDEX(PCDoc,$N1416)),IF($O1416&lt;&gt;"",INDEX(LdgBankB,$O1416),""))</f>
        <v/>
      </c>
      <c r="E1416" s="24">
        <f>IF($N1416&lt;&gt;"",IF(INDEX(PCCitrus,$N1416)="","—",INDEX(PCCitrus,$N1416)),"")</f>
        <v/>
      </c>
      <c r="F1416" s="25">
        <f>IF($N1416&lt;&gt;"",IF(INDEX(PCScale,$N1416)=0,"",INDEX(PCScale,$N1416)),"")</f>
        <v/>
      </c>
      <c r="G1416" s="25">
        <f>IF($N1416&lt;&gt;"",IF(INDEX(PCBaskets,$N1416)=0,"",INDEX(PCBaskets,$N1416)),"")</f>
        <v/>
      </c>
      <c r="H1416" s="26">
        <f>IF($N1416&lt;&gt;"",IF(INDEX(PCNet,$N1416)=0,"",INDEX(PCNet,$N1416)),"")</f>
        <v/>
      </c>
      <c r="I1416" s="25">
        <f>IF($N1416&lt;&gt;"",IF(INDEX(PCOp,$N1416)="مرجوعی خرید","",IF(INDEX(PCAmount,$N1416)&lt;=0,"",INDEX(PCAmount,$N1416))),IF($O1416&lt;&gt;"",IF(INDEX(TxnDepB,$O1416)=0,"",INDEX(TxnDepB,$O1416)),""))</f>
        <v/>
      </c>
      <c r="J1416" s="25">
        <f>IF($N1416&lt;&gt;"",IF(INDEX(PCOp,$N1416)="مرجوعی خرید",IF(INDEX(PCAmount,$N1416)=0,"",-INDEX(PCAmount,$N1416)),""),IF($O1416&lt;&gt;"",IF(INDEX(TxnWitB,$O1416)=0,"",INDEX(TxnWitB,$O1416)),""))</f>
        <v/>
      </c>
      <c r="K1416" s="27">
        <f>IF($B1416="","",IF($K1415="",$C$10,$K1415)+IF($I1416="",0,$I1416)-IF($J1416="",0,$J1416))</f>
        <v/>
      </c>
      <c r="L1416" s="28">
        <f>IF($N1416&lt;&gt;"",IF(INDEX(PCNotes,$N1416)="","—",INDEX(PCNotes,$N1416)),IF($O1416&lt;&gt;"",IF(INDEX(LdgNoteB,$O1416)="","—",INDEX(LdgNoteB,$O1416)),""))</f>
        <v/>
      </c>
      <c r="N1416">
        <f>IFERROR(MATCH($C$5&amp;"|"&amp;RIGHT("000000"&amp;1400,6),LdgRankKeyA,0),"")</f>
        <v/>
      </c>
      <c r="O1416">
        <f>IFERROR(MATCH($C$5&amp;"|"&amp;RIGHT("000000"&amp;1400,6),LdgRankKeyB,0),"")</f>
        <v/>
      </c>
    </row>
    <row r="1417">
      <c r="A1417" s="17" t="n">
        <v>1401</v>
      </c>
      <c r="B1417" s="18">
        <f>IF(AND($N1417="",$O1417=""),"",IF($N1417&lt;&gt;"",INDEX(PCNormDate,$N1417),INDEX(LdgDateB,$O1417)))</f>
        <v/>
      </c>
      <c r="C1417" s="18">
        <f>IF($N1417&lt;&gt;"",INDEX(PCOp,$N1417),IF($O1417&lt;&gt;"",IF(N(INDEX(TxnDepB,$O1417))&gt;0,"دریافت بانکی","پرداخت بانکی"),""))</f>
        <v/>
      </c>
      <c r="D1417" s="18">
        <f>IF($N1417&lt;&gt;"",IF(INDEX(PCDoc,$N1417)="","—",INDEX(PCDoc,$N1417)),IF($O1417&lt;&gt;"",INDEX(LdgBankB,$O1417),""))</f>
        <v/>
      </c>
      <c r="E1417" s="18">
        <f>IF($N1417&lt;&gt;"",IF(INDEX(PCCitrus,$N1417)="","—",INDEX(PCCitrus,$N1417)),"")</f>
        <v/>
      </c>
      <c r="F1417" s="19">
        <f>IF($N1417&lt;&gt;"",IF(INDEX(PCScale,$N1417)=0,"",INDEX(PCScale,$N1417)),"")</f>
        <v/>
      </c>
      <c r="G1417" s="19">
        <f>IF($N1417&lt;&gt;"",IF(INDEX(PCBaskets,$N1417)=0,"",INDEX(PCBaskets,$N1417)),"")</f>
        <v/>
      </c>
      <c r="H1417" s="20">
        <f>IF($N1417&lt;&gt;"",IF(INDEX(PCNet,$N1417)=0,"",INDEX(PCNet,$N1417)),"")</f>
        <v/>
      </c>
      <c r="I1417" s="19">
        <f>IF($N1417&lt;&gt;"",IF(INDEX(PCOp,$N1417)="مرجوعی خرید","",IF(INDEX(PCAmount,$N1417)&lt;=0,"",INDEX(PCAmount,$N1417))),IF($O1417&lt;&gt;"",IF(INDEX(TxnDepB,$O1417)=0,"",INDEX(TxnDepB,$O1417)),""))</f>
        <v/>
      </c>
      <c r="J1417" s="19">
        <f>IF($N1417&lt;&gt;"",IF(INDEX(PCOp,$N1417)="مرجوعی خرید",IF(INDEX(PCAmount,$N1417)=0,"",-INDEX(PCAmount,$N1417)),""),IF($O1417&lt;&gt;"",IF(INDEX(TxnWitB,$O1417)=0,"",INDEX(TxnWitB,$O1417)),""))</f>
        <v/>
      </c>
      <c r="K1417" s="21">
        <f>IF($B1417="","",IF($K1416="",$C$10,$K1416)+IF($I1417="",0,$I1417)-IF($J1417="",0,$J1417))</f>
        <v/>
      </c>
      <c r="L1417" s="22">
        <f>IF($N1417&lt;&gt;"",IF(INDEX(PCNotes,$N1417)="","—",INDEX(PCNotes,$N1417)),IF($O1417&lt;&gt;"",IF(INDEX(LdgNoteB,$O1417)="","—",INDEX(LdgNoteB,$O1417)),""))</f>
        <v/>
      </c>
      <c r="N1417">
        <f>IFERROR(MATCH($C$5&amp;"|"&amp;RIGHT("000000"&amp;1401,6),LdgRankKeyA,0),"")</f>
        <v/>
      </c>
      <c r="O1417">
        <f>IFERROR(MATCH($C$5&amp;"|"&amp;RIGHT("000000"&amp;1401,6),LdgRankKeyB,0),"")</f>
        <v/>
      </c>
    </row>
    <row r="1418">
      <c r="A1418" s="23" t="n">
        <v>1402</v>
      </c>
      <c r="B1418" s="24">
        <f>IF(AND($N1418="",$O1418=""),"",IF($N1418&lt;&gt;"",INDEX(PCNormDate,$N1418),INDEX(LdgDateB,$O1418)))</f>
        <v/>
      </c>
      <c r="C1418" s="24">
        <f>IF($N1418&lt;&gt;"",INDEX(PCOp,$N1418),IF($O1418&lt;&gt;"",IF(N(INDEX(TxnDepB,$O1418))&gt;0,"دریافت بانکی","پرداخت بانکی"),""))</f>
        <v/>
      </c>
      <c r="D1418" s="24">
        <f>IF($N1418&lt;&gt;"",IF(INDEX(PCDoc,$N1418)="","—",INDEX(PCDoc,$N1418)),IF($O1418&lt;&gt;"",INDEX(LdgBankB,$O1418),""))</f>
        <v/>
      </c>
      <c r="E1418" s="24">
        <f>IF($N1418&lt;&gt;"",IF(INDEX(PCCitrus,$N1418)="","—",INDEX(PCCitrus,$N1418)),"")</f>
        <v/>
      </c>
      <c r="F1418" s="25">
        <f>IF($N1418&lt;&gt;"",IF(INDEX(PCScale,$N1418)=0,"",INDEX(PCScale,$N1418)),"")</f>
        <v/>
      </c>
      <c r="G1418" s="25">
        <f>IF($N1418&lt;&gt;"",IF(INDEX(PCBaskets,$N1418)=0,"",INDEX(PCBaskets,$N1418)),"")</f>
        <v/>
      </c>
      <c r="H1418" s="26">
        <f>IF($N1418&lt;&gt;"",IF(INDEX(PCNet,$N1418)=0,"",INDEX(PCNet,$N1418)),"")</f>
        <v/>
      </c>
      <c r="I1418" s="25">
        <f>IF($N1418&lt;&gt;"",IF(INDEX(PCOp,$N1418)="مرجوعی خرید","",IF(INDEX(PCAmount,$N1418)&lt;=0,"",INDEX(PCAmount,$N1418))),IF($O1418&lt;&gt;"",IF(INDEX(TxnDepB,$O1418)=0,"",INDEX(TxnDepB,$O1418)),""))</f>
        <v/>
      </c>
      <c r="J1418" s="25">
        <f>IF($N1418&lt;&gt;"",IF(INDEX(PCOp,$N1418)="مرجوعی خرید",IF(INDEX(PCAmount,$N1418)=0,"",-INDEX(PCAmount,$N1418)),""),IF($O1418&lt;&gt;"",IF(INDEX(TxnWitB,$O1418)=0,"",INDEX(TxnWitB,$O1418)),""))</f>
        <v/>
      </c>
      <c r="K1418" s="27">
        <f>IF($B1418="","",IF($K1417="",$C$10,$K1417)+IF($I1418="",0,$I1418)-IF($J1418="",0,$J1418))</f>
        <v/>
      </c>
      <c r="L1418" s="28">
        <f>IF($N1418&lt;&gt;"",IF(INDEX(PCNotes,$N1418)="","—",INDEX(PCNotes,$N1418)),IF($O1418&lt;&gt;"",IF(INDEX(LdgNoteB,$O1418)="","—",INDEX(LdgNoteB,$O1418)),""))</f>
        <v/>
      </c>
      <c r="N1418">
        <f>IFERROR(MATCH($C$5&amp;"|"&amp;RIGHT("000000"&amp;1402,6),LdgRankKeyA,0),"")</f>
        <v/>
      </c>
      <c r="O1418">
        <f>IFERROR(MATCH($C$5&amp;"|"&amp;RIGHT("000000"&amp;1402,6),LdgRankKeyB,0),"")</f>
        <v/>
      </c>
    </row>
    <row r="1419">
      <c r="A1419" s="17" t="n">
        <v>1403</v>
      </c>
      <c r="B1419" s="18">
        <f>IF(AND($N1419="",$O1419=""),"",IF($N1419&lt;&gt;"",INDEX(PCNormDate,$N1419),INDEX(LdgDateB,$O1419)))</f>
        <v/>
      </c>
      <c r="C1419" s="18">
        <f>IF($N1419&lt;&gt;"",INDEX(PCOp,$N1419),IF($O1419&lt;&gt;"",IF(N(INDEX(TxnDepB,$O1419))&gt;0,"دریافت بانکی","پرداخت بانکی"),""))</f>
        <v/>
      </c>
      <c r="D1419" s="18">
        <f>IF($N1419&lt;&gt;"",IF(INDEX(PCDoc,$N1419)="","—",INDEX(PCDoc,$N1419)),IF($O1419&lt;&gt;"",INDEX(LdgBankB,$O1419),""))</f>
        <v/>
      </c>
      <c r="E1419" s="18">
        <f>IF($N1419&lt;&gt;"",IF(INDEX(PCCitrus,$N1419)="","—",INDEX(PCCitrus,$N1419)),"")</f>
        <v/>
      </c>
      <c r="F1419" s="19">
        <f>IF($N1419&lt;&gt;"",IF(INDEX(PCScale,$N1419)=0,"",INDEX(PCScale,$N1419)),"")</f>
        <v/>
      </c>
      <c r="G1419" s="19">
        <f>IF($N1419&lt;&gt;"",IF(INDEX(PCBaskets,$N1419)=0,"",INDEX(PCBaskets,$N1419)),"")</f>
        <v/>
      </c>
      <c r="H1419" s="20">
        <f>IF($N1419&lt;&gt;"",IF(INDEX(PCNet,$N1419)=0,"",INDEX(PCNet,$N1419)),"")</f>
        <v/>
      </c>
      <c r="I1419" s="19">
        <f>IF($N1419&lt;&gt;"",IF(INDEX(PCOp,$N1419)="مرجوعی خرید","",IF(INDEX(PCAmount,$N1419)&lt;=0,"",INDEX(PCAmount,$N1419))),IF($O1419&lt;&gt;"",IF(INDEX(TxnDepB,$O1419)=0,"",INDEX(TxnDepB,$O1419)),""))</f>
        <v/>
      </c>
      <c r="J1419" s="19">
        <f>IF($N1419&lt;&gt;"",IF(INDEX(PCOp,$N1419)="مرجوعی خرید",IF(INDEX(PCAmount,$N1419)=0,"",-INDEX(PCAmount,$N1419)),""),IF($O1419&lt;&gt;"",IF(INDEX(TxnWitB,$O1419)=0,"",INDEX(TxnWitB,$O1419)),""))</f>
        <v/>
      </c>
      <c r="K1419" s="21">
        <f>IF($B1419="","",IF($K1418="",$C$10,$K1418)+IF($I1419="",0,$I1419)-IF($J1419="",0,$J1419))</f>
        <v/>
      </c>
      <c r="L1419" s="22">
        <f>IF($N1419&lt;&gt;"",IF(INDEX(PCNotes,$N1419)="","—",INDEX(PCNotes,$N1419)),IF($O1419&lt;&gt;"",IF(INDEX(LdgNoteB,$O1419)="","—",INDEX(LdgNoteB,$O1419)),""))</f>
        <v/>
      </c>
      <c r="N1419">
        <f>IFERROR(MATCH($C$5&amp;"|"&amp;RIGHT("000000"&amp;1403,6),LdgRankKeyA,0),"")</f>
        <v/>
      </c>
      <c r="O1419">
        <f>IFERROR(MATCH($C$5&amp;"|"&amp;RIGHT("000000"&amp;1403,6),LdgRankKeyB,0),"")</f>
        <v/>
      </c>
    </row>
    <row r="1420">
      <c r="A1420" s="23" t="n">
        <v>1404</v>
      </c>
      <c r="B1420" s="24">
        <f>IF(AND($N1420="",$O1420=""),"",IF($N1420&lt;&gt;"",INDEX(PCNormDate,$N1420),INDEX(LdgDateB,$O1420)))</f>
        <v/>
      </c>
      <c r="C1420" s="24">
        <f>IF($N1420&lt;&gt;"",INDEX(PCOp,$N1420),IF($O1420&lt;&gt;"",IF(N(INDEX(TxnDepB,$O1420))&gt;0,"دریافت بانکی","پرداخت بانکی"),""))</f>
        <v/>
      </c>
      <c r="D1420" s="24">
        <f>IF($N1420&lt;&gt;"",IF(INDEX(PCDoc,$N1420)="","—",INDEX(PCDoc,$N1420)),IF($O1420&lt;&gt;"",INDEX(LdgBankB,$O1420),""))</f>
        <v/>
      </c>
      <c r="E1420" s="24">
        <f>IF($N1420&lt;&gt;"",IF(INDEX(PCCitrus,$N1420)="","—",INDEX(PCCitrus,$N1420)),"")</f>
        <v/>
      </c>
      <c r="F1420" s="25">
        <f>IF($N1420&lt;&gt;"",IF(INDEX(PCScale,$N1420)=0,"",INDEX(PCScale,$N1420)),"")</f>
        <v/>
      </c>
      <c r="G1420" s="25">
        <f>IF($N1420&lt;&gt;"",IF(INDEX(PCBaskets,$N1420)=0,"",INDEX(PCBaskets,$N1420)),"")</f>
        <v/>
      </c>
      <c r="H1420" s="26">
        <f>IF($N1420&lt;&gt;"",IF(INDEX(PCNet,$N1420)=0,"",INDEX(PCNet,$N1420)),"")</f>
        <v/>
      </c>
      <c r="I1420" s="25">
        <f>IF($N1420&lt;&gt;"",IF(INDEX(PCOp,$N1420)="مرجوعی خرید","",IF(INDEX(PCAmount,$N1420)&lt;=0,"",INDEX(PCAmount,$N1420))),IF($O1420&lt;&gt;"",IF(INDEX(TxnDepB,$O1420)=0,"",INDEX(TxnDepB,$O1420)),""))</f>
        <v/>
      </c>
      <c r="J1420" s="25">
        <f>IF($N1420&lt;&gt;"",IF(INDEX(PCOp,$N1420)="مرجوعی خرید",IF(INDEX(PCAmount,$N1420)=0,"",-INDEX(PCAmount,$N1420)),""),IF($O1420&lt;&gt;"",IF(INDEX(TxnWitB,$O1420)=0,"",INDEX(TxnWitB,$O1420)),""))</f>
        <v/>
      </c>
      <c r="K1420" s="27">
        <f>IF($B1420="","",IF($K1419="",$C$10,$K1419)+IF($I1420="",0,$I1420)-IF($J1420="",0,$J1420))</f>
        <v/>
      </c>
      <c r="L1420" s="28">
        <f>IF($N1420&lt;&gt;"",IF(INDEX(PCNotes,$N1420)="","—",INDEX(PCNotes,$N1420)),IF($O1420&lt;&gt;"",IF(INDEX(LdgNoteB,$O1420)="","—",INDEX(LdgNoteB,$O1420)),""))</f>
        <v/>
      </c>
      <c r="N1420">
        <f>IFERROR(MATCH($C$5&amp;"|"&amp;RIGHT("000000"&amp;1404,6),LdgRankKeyA,0),"")</f>
        <v/>
      </c>
      <c r="O1420">
        <f>IFERROR(MATCH($C$5&amp;"|"&amp;RIGHT("000000"&amp;1404,6),LdgRankKeyB,0),"")</f>
        <v/>
      </c>
    </row>
    <row r="1421">
      <c r="A1421" s="17" t="n">
        <v>1405</v>
      </c>
      <c r="B1421" s="18">
        <f>IF(AND($N1421="",$O1421=""),"",IF($N1421&lt;&gt;"",INDEX(PCNormDate,$N1421),INDEX(LdgDateB,$O1421)))</f>
        <v/>
      </c>
      <c r="C1421" s="18">
        <f>IF($N1421&lt;&gt;"",INDEX(PCOp,$N1421),IF($O1421&lt;&gt;"",IF(N(INDEX(TxnDepB,$O1421))&gt;0,"دریافت بانکی","پرداخت بانکی"),""))</f>
        <v/>
      </c>
      <c r="D1421" s="18">
        <f>IF($N1421&lt;&gt;"",IF(INDEX(PCDoc,$N1421)="","—",INDEX(PCDoc,$N1421)),IF($O1421&lt;&gt;"",INDEX(LdgBankB,$O1421),""))</f>
        <v/>
      </c>
      <c r="E1421" s="18">
        <f>IF($N1421&lt;&gt;"",IF(INDEX(PCCitrus,$N1421)="","—",INDEX(PCCitrus,$N1421)),"")</f>
        <v/>
      </c>
      <c r="F1421" s="19">
        <f>IF($N1421&lt;&gt;"",IF(INDEX(PCScale,$N1421)=0,"",INDEX(PCScale,$N1421)),"")</f>
        <v/>
      </c>
      <c r="G1421" s="19">
        <f>IF($N1421&lt;&gt;"",IF(INDEX(PCBaskets,$N1421)=0,"",INDEX(PCBaskets,$N1421)),"")</f>
        <v/>
      </c>
      <c r="H1421" s="20">
        <f>IF($N1421&lt;&gt;"",IF(INDEX(PCNet,$N1421)=0,"",INDEX(PCNet,$N1421)),"")</f>
        <v/>
      </c>
      <c r="I1421" s="19">
        <f>IF($N1421&lt;&gt;"",IF(INDEX(PCOp,$N1421)="مرجوعی خرید","",IF(INDEX(PCAmount,$N1421)&lt;=0,"",INDEX(PCAmount,$N1421))),IF($O1421&lt;&gt;"",IF(INDEX(TxnDepB,$O1421)=0,"",INDEX(TxnDepB,$O1421)),""))</f>
        <v/>
      </c>
      <c r="J1421" s="19">
        <f>IF($N1421&lt;&gt;"",IF(INDEX(PCOp,$N1421)="مرجوعی خرید",IF(INDEX(PCAmount,$N1421)=0,"",-INDEX(PCAmount,$N1421)),""),IF($O1421&lt;&gt;"",IF(INDEX(TxnWitB,$O1421)=0,"",INDEX(TxnWitB,$O1421)),""))</f>
        <v/>
      </c>
      <c r="K1421" s="21">
        <f>IF($B1421="","",IF($K1420="",$C$10,$K1420)+IF($I1421="",0,$I1421)-IF($J1421="",0,$J1421))</f>
        <v/>
      </c>
      <c r="L1421" s="22">
        <f>IF($N1421&lt;&gt;"",IF(INDEX(PCNotes,$N1421)="","—",INDEX(PCNotes,$N1421)),IF($O1421&lt;&gt;"",IF(INDEX(LdgNoteB,$O1421)="","—",INDEX(LdgNoteB,$O1421)),""))</f>
        <v/>
      </c>
      <c r="N1421">
        <f>IFERROR(MATCH($C$5&amp;"|"&amp;RIGHT("000000"&amp;1405,6),LdgRankKeyA,0),"")</f>
        <v/>
      </c>
      <c r="O1421">
        <f>IFERROR(MATCH($C$5&amp;"|"&amp;RIGHT("000000"&amp;1405,6),LdgRankKeyB,0),"")</f>
        <v/>
      </c>
    </row>
    <row r="1422">
      <c r="A1422" s="23" t="n">
        <v>1406</v>
      </c>
      <c r="B1422" s="24">
        <f>IF(AND($N1422="",$O1422=""),"",IF($N1422&lt;&gt;"",INDEX(PCNormDate,$N1422),INDEX(LdgDateB,$O1422)))</f>
        <v/>
      </c>
      <c r="C1422" s="24">
        <f>IF($N1422&lt;&gt;"",INDEX(PCOp,$N1422),IF($O1422&lt;&gt;"",IF(N(INDEX(TxnDepB,$O1422))&gt;0,"دریافت بانکی","پرداخت بانکی"),""))</f>
        <v/>
      </c>
      <c r="D1422" s="24">
        <f>IF($N1422&lt;&gt;"",IF(INDEX(PCDoc,$N1422)="","—",INDEX(PCDoc,$N1422)),IF($O1422&lt;&gt;"",INDEX(LdgBankB,$O1422),""))</f>
        <v/>
      </c>
      <c r="E1422" s="24">
        <f>IF($N1422&lt;&gt;"",IF(INDEX(PCCitrus,$N1422)="","—",INDEX(PCCitrus,$N1422)),"")</f>
        <v/>
      </c>
      <c r="F1422" s="25">
        <f>IF($N1422&lt;&gt;"",IF(INDEX(PCScale,$N1422)=0,"",INDEX(PCScale,$N1422)),"")</f>
        <v/>
      </c>
      <c r="G1422" s="25">
        <f>IF($N1422&lt;&gt;"",IF(INDEX(PCBaskets,$N1422)=0,"",INDEX(PCBaskets,$N1422)),"")</f>
        <v/>
      </c>
      <c r="H1422" s="26">
        <f>IF($N1422&lt;&gt;"",IF(INDEX(PCNet,$N1422)=0,"",INDEX(PCNet,$N1422)),"")</f>
        <v/>
      </c>
      <c r="I1422" s="25">
        <f>IF($N1422&lt;&gt;"",IF(INDEX(PCOp,$N1422)="مرجوعی خرید","",IF(INDEX(PCAmount,$N1422)&lt;=0,"",INDEX(PCAmount,$N1422))),IF($O1422&lt;&gt;"",IF(INDEX(TxnDepB,$O1422)=0,"",INDEX(TxnDepB,$O1422)),""))</f>
        <v/>
      </c>
      <c r="J1422" s="25">
        <f>IF($N1422&lt;&gt;"",IF(INDEX(PCOp,$N1422)="مرجوعی خرید",IF(INDEX(PCAmount,$N1422)=0,"",-INDEX(PCAmount,$N1422)),""),IF($O1422&lt;&gt;"",IF(INDEX(TxnWitB,$O1422)=0,"",INDEX(TxnWitB,$O1422)),""))</f>
        <v/>
      </c>
      <c r="K1422" s="27">
        <f>IF($B1422="","",IF($K1421="",$C$10,$K1421)+IF($I1422="",0,$I1422)-IF($J1422="",0,$J1422))</f>
        <v/>
      </c>
      <c r="L1422" s="28">
        <f>IF($N1422&lt;&gt;"",IF(INDEX(PCNotes,$N1422)="","—",INDEX(PCNotes,$N1422)),IF($O1422&lt;&gt;"",IF(INDEX(LdgNoteB,$O1422)="","—",INDEX(LdgNoteB,$O1422)),""))</f>
        <v/>
      </c>
      <c r="N1422">
        <f>IFERROR(MATCH($C$5&amp;"|"&amp;RIGHT("000000"&amp;1406,6),LdgRankKeyA,0),"")</f>
        <v/>
      </c>
      <c r="O1422">
        <f>IFERROR(MATCH($C$5&amp;"|"&amp;RIGHT("000000"&amp;1406,6),LdgRankKeyB,0),"")</f>
        <v/>
      </c>
    </row>
    <row r="1423">
      <c r="A1423" s="17" t="n">
        <v>1407</v>
      </c>
      <c r="B1423" s="18">
        <f>IF(AND($N1423="",$O1423=""),"",IF($N1423&lt;&gt;"",INDEX(PCNormDate,$N1423),INDEX(LdgDateB,$O1423)))</f>
        <v/>
      </c>
      <c r="C1423" s="18">
        <f>IF($N1423&lt;&gt;"",INDEX(PCOp,$N1423),IF($O1423&lt;&gt;"",IF(N(INDEX(TxnDepB,$O1423))&gt;0,"دریافت بانکی","پرداخت بانکی"),""))</f>
        <v/>
      </c>
      <c r="D1423" s="18">
        <f>IF($N1423&lt;&gt;"",IF(INDEX(PCDoc,$N1423)="","—",INDEX(PCDoc,$N1423)),IF($O1423&lt;&gt;"",INDEX(LdgBankB,$O1423),""))</f>
        <v/>
      </c>
      <c r="E1423" s="18">
        <f>IF($N1423&lt;&gt;"",IF(INDEX(PCCitrus,$N1423)="","—",INDEX(PCCitrus,$N1423)),"")</f>
        <v/>
      </c>
      <c r="F1423" s="19">
        <f>IF($N1423&lt;&gt;"",IF(INDEX(PCScale,$N1423)=0,"",INDEX(PCScale,$N1423)),"")</f>
        <v/>
      </c>
      <c r="G1423" s="19">
        <f>IF($N1423&lt;&gt;"",IF(INDEX(PCBaskets,$N1423)=0,"",INDEX(PCBaskets,$N1423)),"")</f>
        <v/>
      </c>
      <c r="H1423" s="20">
        <f>IF($N1423&lt;&gt;"",IF(INDEX(PCNet,$N1423)=0,"",INDEX(PCNet,$N1423)),"")</f>
        <v/>
      </c>
      <c r="I1423" s="19">
        <f>IF($N1423&lt;&gt;"",IF(INDEX(PCOp,$N1423)="مرجوعی خرید","",IF(INDEX(PCAmount,$N1423)&lt;=0,"",INDEX(PCAmount,$N1423))),IF($O1423&lt;&gt;"",IF(INDEX(TxnDepB,$O1423)=0,"",INDEX(TxnDepB,$O1423)),""))</f>
        <v/>
      </c>
      <c r="J1423" s="19">
        <f>IF($N1423&lt;&gt;"",IF(INDEX(PCOp,$N1423)="مرجوعی خرید",IF(INDEX(PCAmount,$N1423)=0,"",-INDEX(PCAmount,$N1423)),""),IF($O1423&lt;&gt;"",IF(INDEX(TxnWitB,$O1423)=0,"",INDEX(TxnWitB,$O1423)),""))</f>
        <v/>
      </c>
      <c r="K1423" s="21">
        <f>IF($B1423="","",IF($K1422="",$C$10,$K1422)+IF($I1423="",0,$I1423)-IF($J1423="",0,$J1423))</f>
        <v/>
      </c>
      <c r="L1423" s="22">
        <f>IF($N1423&lt;&gt;"",IF(INDEX(PCNotes,$N1423)="","—",INDEX(PCNotes,$N1423)),IF($O1423&lt;&gt;"",IF(INDEX(LdgNoteB,$O1423)="","—",INDEX(LdgNoteB,$O1423)),""))</f>
        <v/>
      </c>
      <c r="N1423">
        <f>IFERROR(MATCH($C$5&amp;"|"&amp;RIGHT("000000"&amp;1407,6),LdgRankKeyA,0),"")</f>
        <v/>
      </c>
      <c r="O1423">
        <f>IFERROR(MATCH($C$5&amp;"|"&amp;RIGHT("000000"&amp;1407,6),LdgRankKeyB,0),"")</f>
        <v/>
      </c>
    </row>
    <row r="1424">
      <c r="A1424" s="23" t="n">
        <v>1408</v>
      </c>
      <c r="B1424" s="24">
        <f>IF(AND($N1424="",$O1424=""),"",IF($N1424&lt;&gt;"",INDEX(PCNormDate,$N1424),INDEX(LdgDateB,$O1424)))</f>
        <v/>
      </c>
      <c r="C1424" s="24">
        <f>IF($N1424&lt;&gt;"",INDEX(PCOp,$N1424),IF($O1424&lt;&gt;"",IF(N(INDEX(TxnDepB,$O1424))&gt;0,"دریافت بانکی","پرداخت بانکی"),""))</f>
        <v/>
      </c>
      <c r="D1424" s="24">
        <f>IF($N1424&lt;&gt;"",IF(INDEX(PCDoc,$N1424)="","—",INDEX(PCDoc,$N1424)),IF($O1424&lt;&gt;"",INDEX(LdgBankB,$O1424),""))</f>
        <v/>
      </c>
      <c r="E1424" s="24">
        <f>IF($N1424&lt;&gt;"",IF(INDEX(PCCitrus,$N1424)="","—",INDEX(PCCitrus,$N1424)),"")</f>
        <v/>
      </c>
      <c r="F1424" s="25">
        <f>IF($N1424&lt;&gt;"",IF(INDEX(PCScale,$N1424)=0,"",INDEX(PCScale,$N1424)),"")</f>
        <v/>
      </c>
      <c r="G1424" s="25">
        <f>IF($N1424&lt;&gt;"",IF(INDEX(PCBaskets,$N1424)=0,"",INDEX(PCBaskets,$N1424)),"")</f>
        <v/>
      </c>
      <c r="H1424" s="26">
        <f>IF($N1424&lt;&gt;"",IF(INDEX(PCNet,$N1424)=0,"",INDEX(PCNet,$N1424)),"")</f>
        <v/>
      </c>
      <c r="I1424" s="25">
        <f>IF($N1424&lt;&gt;"",IF(INDEX(PCOp,$N1424)="مرجوعی خرید","",IF(INDEX(PCAmount,$N1424)&lt;=0,"",INDEX(PCAmount,$N1424))),IF($O1424&lt;&gt;"",IF(INDEX(TxnDepB,$O1424)=0,"",INDEX(TxnDepB,$O1424)),""))</f>
        <v/>
      </c>
      <c r="J1424" s="25">
        <f>IF($N1424&lt;&gt;"",IF(INDEX(PCOp,$N1424)="مرجوعی خرید",IF(INDEX(PCAmount,$N1424)=0,"",-INDEX(PCAmount,$N1424)),""),IF($O1424&lt;&gt;"",IF(INDEX(TxnWitB,$O1424)=0,"",INDEX(TxnWitB,$O1424)),""))</f>
        <v/>
      </c>
      <c r="K1424" s="27">
        <f>IF($B1424="","",IF($K1423="",$C$10,$K1423)+IF($I1424="",0,$I1424)-IF($J1424="",0,$J1424))</f>
        <v/>
      </c>
      <c r="L1424" s="28">
        <f>IF($N1424&lt;&gt;"",IF(INDEX(PCNotes,$N1424)="","—",INDEX(PCNotes,$N1424)),IF($O1424&lt;&gt;"",IF(INDEX(LdgNoteB,$O1424)="","—",INDEX(LdgNoteB,$O1424)),""))</f>
        <v/>
      </c>
      <c r="N1424">
        <f>IFERROR(MATCH($C$5&amp;"|"&amp;RIGHT("000000"&amp;1408,6),LdgRankKeyA,0),"")</f>
        <v/>
      </c>
      <c r="O1424">
        <f>IFERROR(MATCH($C$5&amp;"|"&amp;RIGHT("000000"&amp;1408,6),LdgRankKeyB,0),"")</f>
        <v/>
      </c>
    </row>
    <row r="1425">
      <c r="A1425" s="17" t="n">
        <v>1409</v>
      </c>
      <c r="B1425" s="18">
        <f>IF(AND($N1425="",$O1425=""),"",IF($N1425&lt;&gt;"",INDEX(PCNormDate,$N1425),INDEX(LdgDateB,$O1425)))</f>
        <v/>
      </c>
      <c r="C1425" s="18">
        <f>IF($N1425&lt;&gt;"",INDEX(PCOp,$N1425),IF($O1425&lt;&gt;"",IF(N(INDEX(TxnDepB,$O1425))&gt;0,"دریافت بانکی","پرداخت بانکی"),""))</f>
        <v/>
      </c>
      <c r="D1425" s="18">
        <f>IF($N1425&lt;&gt;"",IF(INDEX(PCDoc,$N1425)="","—",INDEX(PCDoc,$N1425)),IF($O1425&lt;&gt;"",INDEX(LdgBankB,$O1425),""))</f>
        <v/>
      </c>
      <c r="E1425" s="18">
        <f>IF($N1425&lt;&gt;"",IF(INDEX(PCCitrus,$N1425)="","—",INDEX(PCCitrus,$N1425)),"")</f>
        <v/>
      </c>
      <c r="F1425" s="19">
        <f>IF($N1425&lt;&gt;"",IF(INDEX(PCScale,$N1425)=0,"",INDEX(PCScale,$N1425)),"")</f>
        <v/>
      </c>
      <c r="G1425" s="19">
        <f>IF($N1425&lt;&gt;"",IF(INDEX(PCBaskets,$N1425)=0,"",INDEX(PCBaskets,$N1425)),"")</f>
        <v/>
      </c>
      <c r="H1425" s="20">
        <f>IF($N1425&lt;&gt;"",IF(INDEX(PCNet,$N1425)=0,"",INDEX(PCNet,$N1425)),"")</f>
        <v/>
      </c>
      <c r="I1425" s="19">
        <f>IF($N1425&lt;&gt;"",IF(INDEX(PCOp,$N1425)="مرجوعی خرید","",IF(INDEX(PCAmount,$N1425)&lt;=0,"",INDEX(PCAmount,$N1425))),IF($O1425&lt;&gt;"",IF(INDEX(TxnDepB,$O1425)=0,"",INDEX(TxnDepB,$O1425)),""))</f>
        <v/>
      </c>
      <c r="J1425" s="19">
        <f>IF($N1425&lt;&gt;"",IF(INDEX(PCOp,$N1425)="مرجوعی خرید",IF(INDEX(PCAmount,$N1425)=0,"",-INDEX(PCAmount,$N1425)),""),IF($O1425&lt;&gt;"",IF(INDEX(TxnWitB,$O1425)=0,"",INDEX(TxnWitB,$O1425)),""))</f>
        <v/>
      </c>
      <c r="K1425" s="21">
        <f>IF($B1425="","",IF($K1424="",$C$10,$K1424)+IF($I1425="",0,$I1425)-IF($J1425="",0,$J1425))</f>
        <v/>
      </c>
      <c r="L1425" s="22">
        <f>IF($N1425&lt;&gt;"",IF(INDEX(PCNotes,$N1425)="","—",INDEX(PCNotes,$N1425)),IF($O1425&lt;&gt;"",IF(INDEX(LdgNoteB,$O1425)="","—",INDEX(LdgNoteB,$O1425)),""))</f>
        <v/>
      </c>
      <c r="N1425">
        <f>IFERROR(MATCH($C$5&amp;"|"&amp;RIGHT("000000"&amp;1409,6),LdgRankKeyA,0),"")</f>
        <v/>
      </c>
      <c r="O1425">
        <f>IFERROR(MATCH($C$5&amp;"|"&amp;RIGHT("000000"&amp;1409,6),LdgRankKeyB,0),"")</f>
        <v/>
      </c>
    </row>
    <row r="1426">
      <c r="A1426" s="23" t="n">
        <v>1410</v>
      </c>
      <c r="B1426" s="24">
        <f>IF(AND($N1426="",$O1426=""),"",IF($N1426&lt;&gt;"",INDEX(PCNormDate,$N1426),INDEX(LdgDateB,$O1426)))</f>
        <v/>
      </c>
      <c r="C1426" s="24">
        <f>IF($N1426&lt;&gt;"",INDEX(PCOp,$N1426),IF($O1426&lt;&gt;"",IF(N(INDEX(TxnDepB,$O1426))&gt;0,"دریافت بانکی","پرداخت بانکی"),""))</f>
        <v/>
      </c>
      <c r="D1426" s="24">
        <f>IF($N1426&lt;&gt;"",IF(INDEX(PCDoc,$N1426)="","—",INDEX(PCDoc,$N1426)),IF($O1426&lt;&gt;"",INDEX(LdgBankB,$O1426),""))</f>
        <v/>
      </c>
      <c r="E1426" s="24">
        <f>IF($N1426&lt;&gt;"",IF(INDEX(PCCitrus,$N1426)="","—",INDEX(PCCitrus,$N1426)),"")</f>
        <v/>
      </c>
      <c r="F1426" s="25">
        <f>IF($N1426&lt;&gt;"",IF(INDEX(PCScale,$N1426)=0,"",INDEX(PCScale,$N1426)),"")</f>
        <v/>
      </c>
      <c r="G1426" s="25">
        <f>IF($N1426&lt;&gt;"",IF(INDEX(PCBaskets,$N1426)=0,"",INDEX(PCBaskets,$N1426)),"")</f>
        <v/>
      </c>
      <c r="H1426" s="26">
        <f>IF($N1426&lt;&gt;"",IF(INDEX(PCNet,$N1426)=0,"",INDEX(PCNet,$N1426)),"")</f>
        <v/>
      </c>
      <c r="I1426" s="25">
        <f>IF($N1426&lt;&gt;"",IF(INDEX(PCOp,$N1426)="مرجوعی خرید","",IF(INDEX(PCAmount,$N1426)&lt;=0,"",INDEX(PCAmount,$N1426))),IF($O1426&lt;&gt;"",IF(INDEX(TxnDepB,$O1426)=0,"",INDEX(TxnDepB,$O1426)),""))</f>
        <v/>
      </c>
      <c r="J1426" s="25">
        <f>IF($N1426&lt;&gt;"",IF(INDEX(PCOp,$N1426)="مرجوعی خرید",IF(INDEX(PCAmount,$N1426)=0,"",-INDEX(PCAmount,$N1426)),""),IF($O1426&lt;&gt;"",IF(INDEX(TxnWitB,$O1426)=0,"",INDEX(TxnWitB,$O1426)),""))</f>
        <v/>
      </c>
      <c r="K1426" s="27">
        <f>IF($B1426="","",IF($K1425="",$C$10,$K1425)+IF($I1426="",0,$I1426)-IF($J1426="",0,$J1426))</f>
        <v/>
      </c>
      <c r="L1426" s="28">
        <f>IF($N1426&lt;&gt;"",IF(INDEX(PCNotes,$N1426)="","—",INDEX(PCNotes,$N1426)),IF($O1426&lt;&gt;"",IF(INDEX(LdgNoteB,$O1426)="","—",INDEX(LdgNoteB,$O1426)),""))</f>
        <v/>
      </c>
      <c r="N1426">
        <f>IFERROR(MATCH($C$5&amp;"|"&amp;RIGHT("000000"&amp;1410,6),LdgRankKeyA,0),"")</f>
        <v/>
      </c>
      <c r="O1426">
        <f>IFERROR(MATCH($C$5&amp;"|"&amp;RIGHT("000000"&amp;1410,6),LdgRankKeyB,0),"")</f>
        <v/>
      </c>
    </row>
    <row r="1427">
      <c r="A1427" s="17" t="n">
        <v>1411</v>
      </c>
      <c r="B1427" s="18">
        <f>IF(AND($N1427="",$O1427=""),"",IF($N1427&lt;&gt;"",INDEX(PCNormDate,$N1427),INDEX(LdgDateB,$O1427)))</f>
        <v/>
      </c>
      <c r="C1427" s="18">
        <f>IF($N1427&lt;&gt;"",INDEX(PCOp,$N1427),IF($O1427&lt;&gt;"",IF(N(INDEX(TxnDepB,$O1427))&gt;0,"دریافت بانکی","پرداخت بانکی"),""))</f>
        <v/>
      </c>
      <c r="D1427" s="18">
        <f>IF($N1427&lt;&gt;"",IF(INDEX(PCDoc,$N1427)="","—",INDEX(PCDoc,$N1427)),IF($O1427&lt;&gt;"",INDEX(LdgBankB,$O1427),""))</f>
        <v/>
      </c>
      <c r="E1427" s="18">
        <f>IF($N1427&lt;&gt;"",IF(INDEX(PCCitrus,$N1427)="","—",INDEX(PCCitrus,$N1427)),"")</f>
        <v/>
      </c>
      <c r="F1427" s="19">
        <f>IF($N1427&lt;&gt;"",IF(INDEX(PCScale,$N1427)=0,"",INDEX(PCScale,$N1427)),"")</f>
        <v/>
      </c>
      <c r="G1427" s="19">
        <f>IF($N1427&lt;&gt;"",IF(INDEX(PCBaskets,$N1427)=0,"",INDEX(PCBaskets,$N1427)),"")</f>
        <v/>
      </c>
      <c r="H1427" s="20">
        <f>IF($N1427&lt;&gt;"",IF(INDEX(PCNet,$N1427)=0,"",INDEX(PCNet,$N1427)),"")</f>
        <v/>
      </c>
      <c r="I1427" s="19">
        <f>IF($N1427&lt;&gt;"",IF(INDEX(PCOp,$N1427)="مرجوعی خرید","",IF(INDEX(PCAmount,$N1427)&lt;=0,"",INDEX(PCAmount,$N1427))),IF($O1427&lt;&gt;"",IF(INDEX(TxnDepB,$O1427)=0,"",INDEX(TxnDepB,$O1427)),""))</f>
        <v/>
      </c>
      <c r="J1427" s="19">
        <f>IF($N1427&lt;&gt;"",IF(INDEX(PCOp,$N1427)="مرجوعی خرید",IF(INDEX(PCAmount,$N1427)=0,"",-INDEX(PCAmount,$N1427)),""),IF($O1427&lt;&gt;"",IF(INDEX(TxnWitB,$O1427)=0,"",INDEX(TxnWitB,$O1427)),""))</f>
        <v/>
      </c>
      <c r="K1427" s="21">
        <f>IF($B1427="","",IF($K1426="",$C$10,$K1426)+IF($I1427="",0,$I1427)-IF($J1427="",0,$J1427))</f>
        <v/>
      </c>
      <c r="L1427" s="22">
        <f>IF($N1427&lt;&gt;"",IF(INDEX(PCNotes,$N1427)="","—",INDEX(PCNotes,$N1427)),IF($O1427&lt;&gt;"",IF(INDEX(LdgNoteB,$O1427)="","—",INDEX(LdgNoteB,$O1427)),""))</f>
        <v/>
      </c>
      <c r="N1427">
        <f>IFERROR(MATCH($C$5&amp;"|"&amp;RIGHT("000000"&amp;1411,6),LdgRankKeyA,0),"")</f>
        <v/>
      </c>
      <c r="O1427">
        <f>IFERROR(MATCH($C$5&amp;"|"&amp;RIGHT("000000"&amp;1411,6),LdgRankKeyB,0),"")</f>
        <v/>
      </c>
    </row>
    <row r="1428">
      <c r="A1428" s="23" t="n">
        <v>1412</v>
      </c>
      <c r="B1428" s="24">
        <f>IF(AND($N1428="",$O1428=""),"",IF($N1428&lt;&gt;"",INDEX(PCNormDate,$N1428),INDEX(LdgDateB,$O1428)))</f>
        <v/>
      </c>
      <c r="C1428" s="24">
        <f>IF($N1428&lt;&gt;"",INDEX(PCOp,$N1428),IF($O1428&lt;&gt;"",IF(N(INDEX(TxnDepB,$O1428))&gt;0,"دریافت بانکی","پرداخت بانکی"),""))</f>
        <v/>
      </c>
      <c r="D1428" s="24">
        <f>IF($N1428&lt;&gt;"",IF(INDEX(PCDoc,$N1428)="","—",INDEX(PCDoc,$N1428)),IF($O1428&lt;&gt;"",INDEX(LdgBankB,$O1428),""))</f>
        <v/>
      </c>
      <c r="E1428" s="24">
        <f>IF($N1428&lt;&gt;"",IF(INDEX(PCCitrus,$N1428)="","—",INDEX(PCCitrus,$N1428)),"")</f>
        <v/>
      </c>
      <c r="F1428" s="25">
        <f>IF($N1428&lt;&gt;"",IF(INDEX(PCScale,$N1428)=0,"",INDEX(PCScale,$N1428)),"")</f>
        <v/>
      </c>
      <c r="G1428" s="25">
        <f>IF($N1428&lt;&gt;"",IF(INDEX(PCBaskets,$N1428)=0,"",INDEX(PCBaskets,$N1428)),"")</f>
        <v/>
      </c>
      <c r="H1428" s="26">
        <f>IF($N1428&lt;&gt;"",IF(INDEX(PCNet,$N1428)=0,"",INDEX(PCNet,$N1428)),"")</f>
        <v/>
      </c>
      <c r="I1428" s="25">
        <f>IF($N1428&lt;&gt;"",IF(INDEX(PCOp,$N1428)="مرجوعی خرید","",IF(INDEX(PCAmount,$N1428)&lt;=0,"",INDEX(PCAmount,$N1428))),IF($O1428&lt;&gt;"",IF(INDEX(TxnDepB,$O1428)=0,"",INDEX(TxnDepB,$O1428)),""))</f>
        <v/>
      </c>
      <c r="J1428" s="25">
        <f>IF($N1428&lt;&gt;"",IF(INDEX(PCOp,$N1428)="مرجوعی خرید",IF(INDEX(PCAmount,$N1428)=0,"",-INDEX(PCAmount,$N1428)),""),IF($O1428&lt;&gt;"",IF(INDEX(TxnWitB,$O1428)=0,"",INDEX(TxnWitB,$O1428)),""))</f>
        <v/>
      </c>
      <c r="K1428" s="27">
        <f>IF($B1428="","",IF($K1427="",$C$10,$K1427)+IF($I1428="",0,$I1428)-IF($J1428="",0,$J1428))</f>
        <v/>
      </c>
      <c r="L1428" s="28">
        <f>IF($N1428&lt;&gt;"",IF(INDEX(PCNotes,$N1428)="","—",INDEX(PCNotes,$N1428)),IF($O1428&lt;&gt;"",IF(INDEX(LdgNoteB,$O1428)="","—",INDEX(LdgNoteB,$O1428)),""))</f>
        <v/>
      </c>
      <c r="N1428">
        <f>IFERROR(MATCH($C$5&amp;"|"&amp;RIGHT("000000"&amp;1412,6),LdgRankKeyA,0),"")</f>
        <v/>
      </c>
      <c r="O1428">
        <f>IFERROR(MATCH($C$5&amp;"|"&amp;RIGHT("000000"&amp;1412,6),LdgRankKeyB,0),"")</f>
        <v/>
      </c>
    </row>
    <row r="1429">
      <c r="A1429" s="17" t="n">
        <v>1413</v>
      </c>
      <c r="B1429" s="18">
        <f>IF(AND($N1429="",$O1429=""),"",IF($N1429&lt;&gt;"",INDEX(PCNormDate,$N1429),INDEX(LdgDateB,$O1429)))</f>
        <v/>
      </c>
      <c r="C1429" s="18">
        <f>IF($N1429&lt;&gt;"",INDEX(PCOp,$N1429),IF($O1429&lt;&gt;"",IF(N(INDEX(TxnDepB,$O1429))&gt;0,"دریافت بانکی","پرداخت بانکی"),""))</f>
        <v/>
      </c>
      <c r="D1429" s="18">
        <f>IF($N1429&lt;&gt;"",IF(INDEX(PCDoc,$N1429)="","—",INDEX(PCDoc,$N1429)),IF($O1429&lt;&gt;"",INDEX(LdgBankB,$O1429),""))</f>
        <v/>
      </c>
      <c r="E1429" s="18">
        <f>IF($N1429&lt;&gt;"",IF(INDEX(PCCitrus,$N1429)="","—",INDEX(PCCitrus,$N1429)),"")</f>
        <v/>
      </c>
      <c r="F1429" s="19">
        <f>IF($N1429&lt;&gt;"",IF(INDEX(PCScale,$N1429)=0,"",INDEX(PCScale,$N1429)),"")</f>
        <v/>
      </c>
      <c r="G1429" s="19">
        <f>IF($N1429&lt;&gt;"",IF(INDEX(PCBaskets,$N1429)=0,"",INDEX(PCBaskets,$N1429)),"")</f>
        <v/>
      </c>
      <c r="H1429" s="20">
        <f>IF($N1429&lt;&gt;"",IF(INDEX(PCNet,$N1429)=0,"",INDEX(PCNet,$N1429)),"")</f>
        <v/>
      </c>
      <c r="I1429" s="19">
        <f>IF($N1429&lt;&gt;"",IF(INDEX(PCOp,$N1429)="مرجوعی خرید","",IF(INDEX(PCAmount,$N1429)&lt;=0,"",INDEX(PCAmount,$N1429))),IF($O1429&lt;&gt;"",IF(INDEX(TxnDepB,$O1429)=0,"",INDEX(TxnDepB,$O1429)),""))</f>
        <v/>
      </c>
      <c r="J1429" s="19">
        <f>IF($N1429&lt;&gt;"",IF(INDEX(PCOp,$N1429)="مرجوعی خرید",IF(INDEX(PCAmount,$N1429)=0,"",-INDEX(PCAmount,$N1429)),""),IF($O1429&lt;&gt;"",IF(INDEX(TxnWitB,$O1429)=0,"",INDEX(TxnWitB,$O1429)),""))</f>
        <v/>
      </c>
      <c r="K1429" s="21">
        <f>IF($B1429="","",IF($K1428="",$C$10,$K1428)+IF($I1429="",0,$I1429)-IF($J1429="",0,$J1429))</f>
        <v/>
      </c>
      <c r="L1429" s="22">
        <f>IF($N1429&lt;&gt;"",IF(INDEX(PCNotes,$N1429)="","—",INDEX(PCNotes,$N1429)),IF($O1429&lt;&gt;"",IF(INDEX(LdgNoteB,$O1429)="","—",INDEX(LdgNoteB,$O1429)),""))</f>
        <v/>
      </c>
      <c r="N1429">
        <f>IFERROR(MATCH($C$5&amp;"|"&amp;RIGHT("000000"&amp;1413,6),LdgRankKeyA,0),"")</f>
        <v/>
      </c>
      <c r="O1429">
        <f>IFERROR(MATCH($C$5&amp;"|"&amp;RIGHT("000000"&amp;1413,6),LdgRankKeyB,0),"")</f>
        <v/>
      </c>
    </row>
    <row r="1430">
      <c r="A1430" s="23" t="n">
        <v>1414</v>
      </c>
      <c r="B1430" s="24">
        <f>IF(AND($N1430="",$O1430=""),"",IF($N1430&lt;&gt;"",INDEX(PCNormDate,$N1430),INDEX(LdgDateB,$O1430)))</f>
        <v/>
      </c>
      <c r="C1430" s="24">
        <f>IF($N1430&lt;&gt;"",INDEX(PCOp,$N1430),IF($O1430&lt;&gt;"",IF(N(INDEX(TxnDepB,$O1430))&gt;0,"دریافت بانکی","پرداخت بانکی"),""))</f>
        <v/>
      </c>
      <c r="D1430" s="24">
        <f>IF($N1430&lt;&gt;"",IF(INDEX(PCDoc,$N1430)="","—",INDEX(PCDoc,$N1430)),IF($O1430&lt;&gt;"",INDEX(LdgBankB,$O1430),""))</f>
        <v/>
      </c>
      <c r="E1430" s="24">
        <f>IF($N1430&lt;&gt;"",IF(INDEX(PCCitrus,$N1430)="","—",INDEX(PCCitrus,$N1430)),"")</f>
        <v/>
      </c>
      <c r="F1430" s="25">
        <f>IF($N1430&lt;&gt;"",IF(INDEX(PCScale,$N1430)=0,"",INDEX(PCScale,$N1430)),"")</f>
        <v/>
      </c>
      <c r="G1430" s="25">
        <f>IF($N1430&lt;&gt;"",IF(INDEX(PCBaskets,$N1430)=0,"",INDEX(PCBaskets,$N1430)),"")</f>
        <v/>
      </c>
      <c r="H1430" s="26">
        <f>IF($N1430&lt;&gt;"",IF(INDEX(PCNet,$N1430)=0,"",INDEX(PCNet,$N1430)),"")</f>
        <v/>
      </c>
      <c r="I1430" s="25">
        <f>IF($N1430&lt;&gt;"",IF(INDEX(PCOp,$N1430)="مرجوعی خرید","",IF(INDEX(PCAmount,$N1430)&lt;=0,"",INDEX(PCAmount,$N1430))),IF($O1430&lt;&gt;"",IF(INDEX(TxnDepB,$O1430)=0,"",INDEX(TxnDepB,$O1430)),""))</f>
        <v/>
      </c>
      <c r="J1430" s="25">
        <f>IF($N1430&lt;&gt;"",IF(INDEX(PCOp,$N1430)="مرجوعی خرید",IF(INDEX(PCAmount,$N1430)=0,"",-INDEX(PCAmount,$N1430)),""),IF($O1430&lt;&gt;"",IF(INDEX(TxnWitB,$O1430)=0,"",INDEX(TxnWitB,$O1430)),""))</f>
        <v/>
      </c>
      <c r="K1430" s="27">
        <f>IF($B1430="","",IF($K1429="",$C$10,$K1429)+IF($I1430="",0,$I1430)-IF($J1430="",0,$J1430))</f>
        <v/>
      </c>
      <c r="L1430" s="28">
        <f>IF($N1430&lt;&gt;"",IF(INDEX(PCNotes,$N1430)="","—",INDEX(PCNotes,$N1430)),IF($O1430&lt;&gt;"",IF(INDEX(LdgNoteB,$O1430)="","—",INDEX(LdgNoteB,$O1430)),""))</f>
        <v/>
      </c>
      <c r="N1430">
        <f>IFERROR(MATCH($C$5&amp;"|"&amp;RIGHT("000000"&amp;1414,6),LdgRankKeyA,0),"")</f>
        <v/>
      </c>
      <c r="O1430">
        <f>IFERROR(MATCH($C$5&amp;"|"&amp;RIGHT("000000"&amp;1414,6),LdgRankKeyB,0),"")</f>
        <v/>
      </c>
    </row>
    <row r="1431">
      <c r="A1431" s="17" t="n">
        <v>1415</v>
      </c>
      <c r="B1431" s="18">
        <f>IF(AND($N1431="",$O1431=""),"",IF($N1431&lt;&gt;"",INDEX(PCNormDate,$N1431),INDEX(LdgDateB,$O1431)))</f>
        <v/>
      </c>
      <c r="C1431" s="18">
        <f>IF($N1431&lt;&gt;"",INDEX(PCOp,$N1431),IF($O1431&lt;&gt;"",IF(N(INDEX(TxnDepB,$O1431))&gt;0,"دریافت بانکی","پرداخت بانکی"),""))</f>
        <v/>
      </c>
      <c r="D1431" s="18">
        <f>IF($N1431&lt;&gt;"",IF(INDEX(PCDoc,$N1431)="","—",INDEX(PCDoc,$N1431)),IF($O1431&lt;&gt;"",INDEX(LdgBankB,$O1431),""))</f>
        <v/>
      </c>
      <c r="E1431" s="18">
        <f>IF($N1431&lt;&gt;"",IF(INDEX(PCCitrus,$N1431)="","—",INDEX(PCCitrus,$N1431)),"")</f>
        <v/>
      </c>
      <c r="F1431" s="19">
        <f>IF($N1431&lt;&gt;"",IF(INDEX(PCScale,$N1431)=0,"",INDEX(PCScale,$N1431)),"")</f>
        <v/>
      </c>
      <c r="G1431" s="19">
        <f>IF($N1431&lt;&gt;"",IF(INDEX(PCBaskets,$N1431)=0,"",INDEX(PCBaskets,$N1431)),"")</f>
        <v/>
      </c>
      <c r="H1431" s="20">
        <f>IF($N1431&lt;&gt;"",IF(INDEX(PCNet,$N1431)=0,"",INDEX(PCNet,$N1431)),"")</f>
        <v/>
      </c>
      <c r="I1431" s="19">
        <f>IF($N1431&lt;&gt;"",IF(INDEX(PCOp,$N1431)="مرجوعی خرید","",IF(INDEX(PCAmount,$N1431)&lt;=0,"",INDEX(PCAmount,$N1431))),IF($O1431&lt;&gt;"",IF(INDEX(TxnDepB,$O1431)=0,"",INDEX(TxnDepB,$O1431)),""))</f>
        <v/>
      </c>
      <c r="J1431" s="19">
        <f>IF($N1431&lt;&gt;"",IF(INDEX(PCOp,$N1431)="مرجوعی خرید",IF(INDEX(PCAmount,$N1431)=0,"",-INDEX(PCAmount,$N1431)),""),IF($O1431&lt;&gt;"",IF(INDEX(TxnWitB,$O1431)=0,"",INDEX(TxnWitB,$O1431)),""))</f>
        <v/>
      </c>
      <c r="K1431" s="21">
        <f>IF($B1431="","",IF($K1430="",$C$10,$K1430)+IF($I1431="",0,$I1431)-IF($J1431="",0,$J1431))</f>
        <v/>
      </c>
      <c r="L1431" s="22">
        <f>IF($N1431&lt;&gt;"",IF(INDEX(PCNotes,$N1431)="","—",INDEX(PCNotes,$N1431)),IF($O1431&lt;&gt;"",IF(INDEX(LdgNoteB,$O1431)="","—",INDEX(LdgNoteB,$O1431)),""))</f>
        <v/>
      </c>
      <c r="N1431">
        <f>IFERROR(MATCH($C$5&amp;"|"&amp;RIGHT("000000"&amp;1415,6),LdgRankKeyA,0),"")</f>
        <v/>
      </c>
      <c r="O1431">
        <f>IFERROR(MATCH($C$5&amp;"|"&amp;RIGHT("000000"&amp;1415,6),LdgRankKeyB,0),"")</f>
        <v/>
      </c>
    </row>
    <row r="1432">
      <c r="A1432" s="23" t="n">
        <v>1416</v>
      </c>
      <c r="B1432" s="24">
        <f>IF(AND($N1432="",$O1432=""),"",IF($N1432&lt;&gt;"",INDEX(PCNormDate,$N1432),INDEX(LdgDateB,$O1432)))</f>
        <v/>
      </c>
      <c r="C1432" s="24">
        <f>IF($N1432&lt;&gt;"",INDEX(PCOp,$N1432),IF($O1432&lt;&gt;"",IF(N(INDEX(TxnDepB,$O1432))&gt;0,"دریافت بانکی","پرداخت بانکی"),""))</f>
        <v/>
      </c>
      <c r="D1432" s="24">
        <f>IF($N1432&lt;&gt;"",IF(INDEX(PCDoc,$N1432)="","—",INDEX(PCDoc,$N1432)),IF($O1432&lt;&gt;"",INDEX(LdgBankB,$O1432),""))</f>
        <v/>
      </c>
      <c r="E1432" s="24">
        <f>IF($N1432&lt;&gt;"",IF(INDEX(PCCitrus,$N1432)="","—",INDEX(PCCitrus,$N1432)),"")</f>
        <v/>
      </c>
      <c r="F1432" s="25">
        <f>IF($N1432&lt;&gt;"",IF(INDEX(PCScale,$N1432)=0,"",INDEX(PCScale,$N1432)),"")</f>
        <v/>
      </c>
      <c r="G1432" s="25">
        <f>IF($N1432&lt;&gt;"",IF(INDEX(PCBaskets,$N1432)=0,"",INDEX(PCBaskets,$N1432)),"")</f>
        <v/>
      </c>
      <c r="H1432" s="26">
        <f>IF($N1432&lt;&gt;"",IF(INDEX(PCNet,$N1432)=0,"",INDEX(PCNet,$N1432)),"")</f>
        <v/>
      </c>
      <c r="I1432" s="25">
        <f>IF($N1432&lt;&gt;"",IF(INDEX(PCOp,$N1432)="مرجوعی خرید","",IF(INDEX(PCAmount,$N1432)&lt;=0,"",INDEX(PCAmount,$N1432))),IF($O1432&lt;&gt;"",IF(INDEX(TxnDepB,$O1432)=0,"",INDEX(TxnDepB,$O1432)),""))</f>
        <v/>
      </c>
      <c r="J1432" s="25">
        <f>IF($N1432&lt;&gt;"",IF(INDEX(PCOp,$N1432)="مرجوعی خرید",IF(INDEX(PCAmount,$N1432)=0,"",-INDEX(PCAmount,$N1432)),""),IF($O1432&lt;&gt;"",IF(INDEX(TxnWitB,$O1432)=0,"",INDEX(TxnWitB,$O1432)),""))</f>
        <v/>
      </c>
      <c r="K1432" s="27">
        <f>IF($B1432="","",IF($K1431="",$C$10,$K1431)+IF($I1432="",0,$I1432)-IF($J1432="",0,$J1432))</f>
        <v/>
      </c>
      <c r="L1432" s="28">
        <f>IF($N1432&lt;&gt;"",IF(INDEX(PCNotes,$N1432)="","—",INDEX(PCNotes,$N1432)),IF($O1432&lt;&gt;"",IF(INDEX(LdgNoteB,$O1432)="","—",INDEX(LdgNoteB,$O1432)),""))</f>
        <v/>
      </c>
      <c r="N1432">
        <f>IFERROR(MATCH($C$5&amp;"|"&amp;RIGHT("000000"&amp;1416,6),LdgRankKeyA,0),"")</f>
        <v/>
      </c>
      <c r="O1432">
        <f>IFERROR(MATCH($C$5&amp;"|"&amp;RIGHT("000000"&amp;1416,6),LdgRankKeyB,0),"")</f>
        <v/>
      </c>
    </row>
    <row r="1433">
      <c r="A1433" s="17" t="n">
        <v>1417</v>
      </c>
      <c r="B1433" s="18">
        <f>IF(AND($N1433="",$O1433=""),"",IF($N1433&lt;&gt;"",INDEX(PCNormDate,$N1433),INDEX(LdgDateB,$O1433)))</f>
        <v/>
      </c>
      <c r="C1433" s="18">
        <f>IF($N1433&lt;&gt;"",INDEX(PCOp,$N1433),IF($O1433&lt;&gt;"",IF(N(INDEX(TxnDepB,$O1433))&gt;0,"دریافت بانکی","پرداخت بانکی"),""))</f>
        <v/>
      </c>
      <c r="D1433" s="18">
        <f>IF($N1433&lt;&gt;"",IF(INDEX(PCDoc,$N1433)="","—",INDEX(PCDoc,$N1433)),IF($O1433&lt;&gt;"",INDEX(LdgBankB,$O1433),""))</f>
        <v/>
      </c>
      <c r="E1433" s="18">
        <f>IF($N1433&lt;&gt;"",IF(INDEX(PCCitrus,$N1433)="","—",INDEX(PCCitrus,$N1433)),"")</f>
        <v/>
      </c>
      <c r="F1433" s="19">
        <f>IF($N1433&lt;&gt;"",IF(INDEX(PCScale,$N1433)=0,"",INDEX(PCScale,$N1433)),"")</f>
        <v/>
      </c>
      <c r="G1433" s="19">
        <f>IF($N1433&lt;&gt;"",IF(INDEX(PCBaskets,$N1433)=0,"",INDEX(PCBaskets,$N1433)),"")</f>
        <v/>
      </c>
      <c r="H1433" s="20">
        <f>IF($N1433&lt;&gt;"",IF(INDEX(PCNet,$N1433)=0,"",INDEX(PCNet,$N1433)),"")</f>
        <v/>
      </c>
      <c r="I1433" s="19">
        <f>IF($N1433&lt;&gt;"",IF(INDEX(PCOp,$N1433)="مرجوعی خرید","",IF(INDEX(PCAmount,$N1433)&lt;=0,"",INDEX(PCAmount,$N1433))),IF($O1433&lt;&gt;"",IF(INDEX(TxnDepB,$O1433)=0,"",INDEX(TxnDepB,$O1433)),""))</f>
        <v/>
      </c>
      <c r="J1433" s="19">
        <f>IF($N1433&lt;&gt;"",IF(INDEX(PCOp,$N1433)="مرجوعی خرید",IF(INDEX(PCAmount,$N1433)=0,"",-INDEX(PCAmount,$N1433)),""),IF($O1433&lt;&gt;"",IF(INDEX(TxnWitB,$O1433)=0,"",INDEX(TxnWitB,$O1433)),""))</f>
        <v/>
      </c>
      <c r="K1433" s="21">
        <f>IF($B1433="","",IF($K1432="",$C$10,$K1432)+IF($I1433="",0,$I1433)-IF($J1433="",0,$J1433))</f>
        <v/>
      </c>
      <c r="L1433" s="22">
        <f>IF($N1433&lt;&gt;"",IF(INDEX(PCNotes,$N1433)="","—",INDEX(PCNotes,$N1433)),IF($O1433&lt;&gt;"",IF(INDEX(LdgNoteB,$O1433)="","—",INDEX(LdgNoteB,$O1433)),""))</f>
        <v/>
      </c>
      <c r="N1433">
        <f>IFERROR(MATCH($C$5&amp;"|"&amp;RIGHT("000000"&amp;1417,6),LdgRankKeyA,0),"")</f>
        <v/>
      </c>
      <c r="O1433">
        <f>IFERROR(MATCH($C$5&amp;"|"&amp;RIGHT("000000"&amp;1417,6),LdgRankKeyB,0),"")</f>
        <v/>
      </c>
    </row>
    <row r="1434">
      <c r="A1434" s="23" t="n">
        <v>1418</v>
      </c>
      <c r="B1434" s="24">
        <f>IF(AND($N1434="",$O1434=""),"",IF($N1434&lt;&gt;"",INDEX(PCNormDate,$N1434),INDEX(LdgDateB,$O1434)))</f>
        <v/>
      </c>
      <c r="C1434" s="24">
        <f>IF($N1434&lt;&gt;"",INDEX(PCOp,$N1434),IF($O1434&lt;&gt;"",IF(N(INDEX(TxnDepB,$O1434))&gt;0,"دریافت بانکی","پرداخت بانکی"),""))</f>
        <v/>
      </c>
      <c r="D1434" s="24">
        <f>IF($N1434&lt;&gt;"",IF(INDEX(PCDoc,$N1434)="","—",INDEX(PCDoc,$N1434)),IF($O1434&lt;&gt;"",INDEX(LdgBankB,$O1434),""))</f>
        <v/>
      </c>
      <c r="E1434" s="24">
        <f>IF($N1434&lt;&gt;"",IF(INDEX(PCCitrus,$N1434)="","—",INDEX(PCCitrus,$N1434)),"")</f>
        <v/>
      </c>
      <c r="F1434" s="25">
        <f>IF($N1434&lt;&gt;"",IF(INDEX(PCScale,$N1434)=0,"",INDEX(PCScale,$N1434)),"")</f>
        <v/>
      </c>
      <c r="G1434" s="25">
        <f>IF($N1434&lt;&gt;"",IF(INDEX(PCBaskets,$N1434)=0,"",INDEX(PCBaskets,$N1434)),"")</f>
        <v/>
      </c>
      <c r="H1434" s="26">
        <f>IF($N1434&lt;&gt;"",IF(INDEX(PCNet,$N1434)=0,"",INDEX(PCNet,$N1434)),"")</f>
        <v/>
      </c>
      <c r="I1434" s="25">
        <f>IF($N1434&lt;&gt;"",IF(INDEX(PCOp,$N1434)="مرجوعی خرید","",IF(INDEX(PCAmount,$N1434)&lt;=0,"",INDEX(PCAmount,$N1434))),IF($O1434&lt;&gt;"",IF(INDEX(TxnDepB,$O1434)=0,"",INDEX(TxnDepB,$O1434)),""))</f>
        <v/>
      </c>
      <c r="J1434" s="25">
        <f>IF($N1434&lt;&gt;"",IF(INDEX(PCOp,$N1434)="مرجوعی خرید",IF(INDEX(PCAmount,$N1434)=0,"",-INDEX(PCAmount,$N1434)),""),IF($O1434&lt;&gt;"",IF(INDEX(TxnWitB,$O1434)=0,"",INDEX(TxnWitB,$O1434)),""))</f>
        <v/>
      </c>
      <c r="K1434" s="27">
        <f>IF($B1434="","",IF($K1433="",$C$10,$K1433)+IF($I1434="",0,$I1434)-IF($J1434="",0,$J1434))</f>
        <v/>
      </c>
      <c r="L1434" s="28">
        <f>IF($N1434&lt;&gt;"",IF(INDEX(PCNotes,$N1434)="","—",INDEX(PCNotes,$N1434)),IF($O1434&lt;&gt;"",IF(INDEX(LdgNoteB,$O1434)="","—",INDEX(LdgNoteB,$O1434)),""))</f>
        <v/>
      </c>
      <c r="N1434">
        <f>IFERROR(MATCH($C$5&amp;"|"&amp;RIGHT("000000"&amp;1418,6),LdgRankKeyA,0),"")</f>
        <v/>
      </c>
      <c r="O1434">
        <f>IFERROR(MATCH($C$5&amp;"|"&amp;RIGHT("000000"&amp;1418,6),LdgRankKeyB,0),"")</f>
        <v/>
      </c>
    </row>
    <row r="1435">
      <c r="A1435" s="17" t="n">
        <v>1419</v>
      </c>
      <c r="B1435" s="18">
        <f>IF(AND($N1435="",$O1435=""),"",IF($N1435&lt;&gt;"",INDEX(PCNormDate,$N1435),INDEX(LdgDateB,$O1435)))</f>
        <v/>
      </c>
      <c r="C1435" s="18">
        <f>IF($N1435&lt;&gt;"",INDEX(PCOp,$N1435),IF($O1435&lt;&gt;"",IF(N(INDEX(TxnDepB,$O1435))&gt;0,"دریافت بانکی","پرداخت بانکی"),""))</f>
        <v/>
      </c>
      <c r="D1435" s="18">
        <f>IF($N1435&lt;&gt;"",IF(INDEX(PCDoc,$N1435)="","—",INDEX(PCDoc,$N1435)),IF($O1435&lt;&gt;"",INDEX(LdgBankB,$O1435),""))</f>
        <v/>
      </c>
      <c r="E1435" s="18">
        <f>IF($N1435&lt;&gt;"",IF(INDEX(PCCitrus,$N1435)="","—",INDEX(PCCitrus,$N1435)),"")</f>
        <v/>
      </c>
      <c r="F1435" s="19">
        <f>IF($N1435&lt;&gt;"",IF(INDEX(PCScale,$N1435)=0,"",INDEX(PCScale,$N1435)),"")</f>
        <v/>
      </c>
      <c r="G1435" s="19">
        <f>IF($N1435&lt;&gt;"",IF(INDEX(PCBaskets,$N1435)=0,"",INDEX(PCBaskets,$N1435)),"")</f>
        <v/>
      </c>
      <c r="H1435" s="20">
        <f>IF($N1435&lt;&gt;"",IF(INDEX(PCNet,$N1435)=0,"",INDEX(PCNet,$N1435)),"")</f>
        <v/>
      </c>
      <c r="I1435" s="19">
        <f>IF($N1435&lt;&gt;"",IF(INDEX(PCOp,$N1435)="مرجوعی خرید","",IF(INDEX(PCAmount,$N1435)&lt;=0,"",INDEX(PCAmount,$N1435))),IF($O1435&lt;&gt;"",IF(INDEX(TxnDepB,$O1435)=0,"",INDEX(TxnDepB,$O1435)),""))</f>
        <v/>
      </c>
      <c r="J1435" s="19">
        <f>IF($N1435&lt;&gt;"",IF(INDEX(PCOp,$N1435)="مرجوعی خرید",IF(INDEX(PCAmount,$N1435)=0,"",-INDEX(PCAmount,$N1435)),""),IF($O1435&lt;&gt;"",IF(INDEX(TxnWitB,$O1435)=0,"",INDEX(TxnWitB,$O1435)),""))</f>
        <v/>
      </c>
      <c r="K1435" s="21">
        <f>IF($B1435="","",IF($K1434="",$C$10,$K1434)+IF($I1435="",0,$I1435)-IF($J1435="",0,$J1435))</f>
        <v/>
      </c>
      <c r="L1435" s="22">
        <f>IF($N1435&lt;&gt;"",IF(INDEX(PCNotes,$N1435)="","—",INDEX(PCNotes,$N1435)),IF($O1435&lt;&gt;"",IF(INDEX(LdgNoteB,$O1435)="","—",INDEX(LdgNoteB,$O1435)),""))</f>
        <v/>
      </c>
      <c r="N1435">
        <f>IFERROR(MATCH($C$5&amp;"|"&amp;RIGHT("000000"&amp;1419,6),LdgRankKeyA,0),"")</f>
        <v/>
      </c>
      <c r="O1435">
        <f>IFERROR(MATCH($C$5&amp;"|"&amp;RIGHT("000000"&amp;1419,6),LdgRankKeyB,0),"")</f>
        <v/>
      </c>
    </row>
    <row r="1436">
      <c r="A1436" s="23" t="n">
        <v>1420</v>
      </c>
      <c r="B1436" s="24">
        <f>IF(AND($N1436="",$O1436=""),"",IF($N1436&lt;&gt;"",INDEX(PCNormDate,$N1436),INDEX(LdgDateB,$O1436)))</f>
        <v/>
      </c>
      <c r="C1436" s="24">
        <f>IF($N1436&lt;&gt;"",INDEX(PCOp,$N1436),IF($O1436&lt;&gt;"",IF(N(INDEX(TxnDepB,$O1436))&gt;0,"دریافت بانکی","پرداخت بانکی"),""))</f>
        <v/>
      </c>
      <c r="D1436" s="24">
        <f>IF($N1436&lt;&gt;"",IF(INDEX(PCDoc,$N1436)="","—",INDEX(PCDoc,$N1436)),IF($O1436&lt;&gt;"",INDEX(LdgBankB,$O1436),""))</f>
        <v/>
      </c>
      <c r="E1436" s="24">
        <f>IF($N1436&lt;&gt;"",IF(INDEX(PCCitrus,$N1436)="","—",INDEX(PCCitrus,$N1436)),"")</f>
        <v/>
      </c>
      <c r="F1436" s="25">
        <f>IF($N1436&lt;&gt;"",IF(INDEX(PCScale,$N1436)=0,"",INDEX(PCScale,$N1436)),"")</f>
        <v/>
      </c>
      <c r="G1436" s="25">
        <f>IF($N1436&lt;&gt;"",IF(INDEX(PCBaskets,$N1436)=0,"",INDEX(PCBaskets,$N1436)),"")</f>
        <v/>
      </c>
      <c r="H1436" s="26">
        <f>IF($N1436&lt;&gt;"",IF(INDEX(PCNet,$N1436)=0,"",INDEX(PCNet,$N1436)),"")</f>
        <v/>
      </c>
      <c r="I1436" s="25">
        <f>IF($N1436&lt;&gt;"",IF(INDEX(PCOp,$N1436)="مرجوعی خرید","",IF(INDEX(PCAmount,$N1436)&lt;=0,"",INDEX(PCAmount,$N1436))),IF($O1436&lt;&gt;"",IF(INDEX(TxnDepB,$O1436)=0,"",INDEX(TxnDepB,$O1436)),""))</f>
        <v/>
      </c>
      <c r="J1436" s="25">
        <f>IF($N1436&lt;&gt;"",IF(INDEX(PCOp,$N1436)="مرجوعی خرید",IF(INDEX(PCAmount,$N1436)=0,"",-INDEX(PCAmount,$N1436)),""),IF($O1436&lt;&gt;"",IF(INDEX(TxnWitB,$O1436)=0,"",INDEX(TxnWitB,$O1436)),""))</f>
        <v/>
      </c>
      <c r="K1436" s="27">
        <f>IF($B1436="","",IF($K1435="",$C$10,$K1435)+IF($I1436="",0,$I1436)-IF($J1436="",0,$J1436))</f>
        <v/>
      </c>
      <c r="L1436" s="28">
        <f>IF($N1436&lt;&gt;"",IF(INDEX(PCNotes,$N1436)="","—",INDEX(PCNotes,$N1436)),IF($O1436&lt;&gt;"",IF(INDEX(LdgNoteB,$O1436)="","—",INDEX(LdgNoteB,$O1436)),""))</f>
        <v/>
      </c>
      <c r="N1436">
        <f>IFERROR(MATCH($C$5&amp;"|"&amp;RIGHT("000000"&amp;1420,6),LdgRankKeyA,0),"")</f>
        <v/>
      </c>
      <c r="O1436">
        <f>IFERROR(MATCH($C$5&amp;"|"&amp;RIGHT("000000"&amp;1420,6),LdgRankKeyB,0),"")</f>
        <v/>
      </c>
    </row>
    <row r="1437">
      <c r="A1437" s="17" t="n">
        <v>1421</v>
      </c>
      <c r="B1437" s="18">
        <f>IF(AND($N1437="",$O1437=""),"",IF($N1437&lt;&gt;"",INDEX(PCNormDate,$N1437),INDEX(LdgDateB,$O1437)))</f>
        <v/>
      </c>
      <c r="C1437" s="18">
        <f>IF($N1437&lt;&gt;"",INDEX(PCOp,$N1437),IF($O1437&lt;&gt;"",IF(N(INDEX(TxnDepB,$O1437))&gt;0,"دریافت بانکی","پرداخت بانکی"),""))</f>
        <v/>
      </c>
      <c r="D1437" s="18">
        <f>IF($N1437&lt;&gt;"",IF(INDEX(PCDoc,$N1437)="","—",INDEX(PCDoc,$N1437)),IF($O1437&lt;&gt;"",INDEX(LdgBankB,$O1437),""))</f>
        <v/>
      </c>
      <c r="E1437" s="18">
        <f>IF($N1437&lt;&gt;"",IF(INDEX(PCCitrus,$N1437)="","—",INDEX(PCCitrus,$N1437)),"")</f>
        <v/>
      </c>
      <c r="F1437" s="19">
        <f>IF($N1437&lt;&gt;"",IF(INDEX(PCScale,$N1437)=0,"",INDEX(PCScale,$N1437)),"")</f>
        <v/>
      </c>
      <c r="G1437" s="19">
        <f>IF($N1437&lt;&gt;"",IF(INDEX(PCBaskets,$N1437)=0,"",INDEX(PCBaskets,$N1437)),"")</f>
        <v/>
      </c>
      <c r="H1437" s="20">
        <f>IF($N1437&lt;&gt;"",IF(INDEX(PCNet,$N1437)=0,"",INDEX(PCNet,$N1437)),"")</f>
        <v/>
      </c>
      <c r="I1437" s="19">
        <f>IF($N1437&lt;&gt;"",IF(INDEX(PCOp,$N1437)="مرجوعی خرید","",IF(INDEX(PCAmount,$N1437)&lt;=0,"",INDEX(PCAmount,$N1437))),IF($O1437&lt;&gt;"",IF(INDEX(TxnDepB,$O1437)=0,"",INDEX(TxnDepB,$O1437)),""))</f>
        <v/>
      </c>
      <c r="J1437" s="19">
        <f>IF($N1437&lt;&gt;"",IF(INDEX(PCOp,$N1437)="مرجوعی خرید",IF(INDEX(PCAmount,$N1437)=0,"",-INDEX(PCAmount,$N1437)),""),IF($O1437&lt;&gt;"",IF(INDEX(TxnWitB,$O1437)=0,"",INDEX(TxnWitB,$O1437)),""))</f>
        <v/>
      </c>
      <c r="K1437" s="21">
        <f>IF($B1437="","",IF($K1436="",$C$10,$K1436)+IF($I1437="",0,$I1437)-IF($J1437="",0,$J1437))</f>
        <v/>
      </c>
      <c r="L1437" s="22">
        <f>IF($N1437&lt;&gt;"",IF(INDEX(PCNotes,$N1437)="","—",INDEX(PCNotes,$N1437)),IF($O1437&lt;&gt;"",IF(INDEX(LdgNoteB,$O1437)="","—",INDEX(LdgNoteB,$O1437)),""))</f>
        <v/>
      </c>
      <c r="N1437">
        <f>IFERROR(MATCH($C$5&amp;"|"&amp;RIGHT("000000"&amp;1421,6),LdgRankKeyA,0),"")</f>
        <v/>
      </c>
      <c r="O1437">
        <f>IFERROR(MATCH($C$5&amp;"|"&amp;RIGHT("000000"&amp;1421,6),LdgRankKeyB,0),"")</f>
        <v/>
      </c>
    </row>
    <row r="1438">
      <c r="A1438" s="23" t="n">
        <v>1422</v>
      </c>
      <c r="B1438" s="24">
        <f>IF(AND($N1438="",$O1438=""),"",IF($N1438&lt;&gt;"",INDEX(PCNormDate,$N1438),INDEX(LdgDateB,$O1438)))</f>
        <v/>
      </c>
      <c r="C1438" s="24">
        <f>IF($N1438&lt;&gt;"",INDEX(PCOp,$N1438),IF($O1438&lt;&gt;"",IF(N(INDEX(TxnDepB,$O1438))&gt;0,"دریافت بانکی","پرداخت بانکی"),""))</f>
        <v/>
      </c>
      <c r="D1438" s="24">
        <f>IF($N1438&lt;&gt;"",IF(INDEX(PCDoc,$N1438)="","—",INDEX(PCDoc,$N1438)),IF($O1438&lt;&gt;"",INDEX(LdgBankB,$O1438),""))</f>
        <v/>
      </c>
      <c r="E1438" s="24">
        <f>IF($N1438&lt;&gt;"",IF(INDEX(PCCitrus,$N1438)="","—",INDEX(PCCitrus,$N1438)),"")</f>
        <v/>
      </c>
      <c r="F1438" s="25">
        <f>IF($N1438&lt;&gt;"",IF(INDEX(PCScale,$N1438)=0,"",INDEX(PCScale,$N1438)),"")</f>
        <v/>
      </c>
      <c r="G1438" s="25">
        <f>IF($N1438&lt;&gt;"",IF(INDEX(PCBaskets,$N1438)=0,"",INDEX(PCBaskets,$N1438)),"")</f>
        <v/>
      </c>
      <c r="H1438" s="26">
        <f>IF($N1438&lt;&gt;"",IF(INDEX(PCNet,$N1438)=0,"",INDEX(PCNet,$N1438)),"")</f>
        <v/>
      </c>
      <c r="I1438" s="25">
        <f>IF($N1438&lt;&gt;"",IF(INDEX(PCOp,$N1438)="مرجوعی خرید","",IF(INDEX(PCAmount,$N1438)&lt;=0,"",INDEX(PCAmount,$N1438))),IF($O1438&lt;&gt;"",IF(INDEX(TxnDepB,$O1438)=0,"",INDEX(TxnDepB,$O1438)),""))</f>
        <v/>
      </c>
      <c r="J1438" s="25">
        <f>IF($N1438&lt;&gt;"",IF(INDEX(PCOp,$N1438)="مرجوعی خرید",IF(INDEX(PCAmount,$N1438)=0,"",-INDEX(PCAmount,$N1438)),""),IF($O1438&lt;&gt;"",IF(INDEX(TxnWitB,$O1438)=0,"",INDEX(TxnWitB,$O1438)),""))</f>
        <v/>
      </c>
      <c r="K1438" s="27">
        <f>IF($B1438="","",IF($K1437="",$C$10,$K1437)+IF($I1438="",0,$I1438)-IF($J1438="",0,$J1438))</f>
        <v/>
      </c>
      <c r="L1438" s="28">
        <f>IF($N1438&lt;&gt;"",IF(INDEX(PCNotes,$N1438)="","—",INDEX(PCNotes,$N1438)),IF($O1438&lt;&gt;"",IF(INDEX(LdgNoteB,$O1438)="","—",INDEX(LdgNoteB,$O1438)),""))</f>
        <v/>
      </c>
      <c r="N1438">
        <f>IFERROR(MATCH($C$5&amp;"|"&amp;RIGHT("000000"&amp;1422,6),LdgRankKeyA,0),"")</f>
        <v/>
      </c>
      <c r="O1438">
        <f>IFERROR(MATCH($C$5&amp;"|"&amp;RIGHT("000000"&amp;1422,6),LdgRankKeyB,0),"")</f>
        <v/>
      </c>
    </row>
    <row r="1439">
      <c r="A1439" s="17" t="n">
        <v>1423</v>
      </c>
      <c r="B1439" s="18">
        <f>IF(AND($N1439="",$O1439=""),"",IF($N1439&lt;&gt;"",INDEX(PCNormDate,$N1439),INDEX(LdgDateB,$O1439)))</f>
        <v/>
      </c>
      <c r="C1439" s="18">
        <f>IF($N1439&lt;&gt;"",INDEX(PCOp,$N1439),IF($O1439&lt;&gt;"",IF(N(INDEX(TxnDepB,$O1439))&gt;0,"دریافت بانکی","پرداخت بانکی"),""))</f>
        <v/>
      </c>
      <c r="D1439" s="18">
        <f>IF($N1439&lt;&gt;"",IF(INDEX(PCDoc,$N1439)="","—",INDEX(PCDoc,$N1439)),IF($O1439&lt;&gt;"",INDEX(LdgBankB,$O1439),""))</f>
        <v/>
      </c>
      <c r="E1439" s="18">
        <f>IF($N1439&lt;&gt;"",IF(INDEX(PCCitrus,$N1439)="","—",INDEX(PCCitrus,$N1439)),"")</f>
        <v/>
      </c>
      <c r="F1439" s="19">
        <f>IF($N1439&lt;&gt;"",IF(INDEX(PCScale,$N1439)=0,"",INDEX(PCScale,$N1439)),"")</f>
        <v/>
      </c>
      <c r="G1439" s="19">
        <f>IF($N1439&lt;&gt;"",IF(INDEX(PCBaskets,$N1439)=0,"",INDEX(PCBaskets,$N1439)),"")</f>
        <v/>
      </c>
      <c r="H1439" s="20">
        <f>IF($N1439&lt;&gt;"",IF(INDEX(PCNet,$N1439)=0,"",INDEX(PCNet,$N1439)),"")</f>
        <v/>
      </c>
      <c r="I1439" s="19">
        <f>IF($N1439&lt;&gt;"",IF(INDEX(PCOp,$N1439)="مرجوعی خرید","",IF(INDEX(PCAmount,$N1439)&lt;=0,"",INDEX(PCAmount,$N1439))),IF($O1439&lt;&gt;"",IF(INDEX(TxnDepB,$O1439)=0,"",INDEX(TxnDepB,$O1439)),""))</f>
        <v/>
      </c>
      <c r="J1439" s="19">
        <f>IF($N1439&lt;&gt;"",IF(INDEX(PCOp,$N1439)="مرجوعی خرید",IF(INDEX(PCAmount,$N1439)=0,"",-INDEX(PCAmount,$N1439)),""),IF($O1439&lt;&gt;"",IF(INDEX(TxnWitB,$O1439)=0,"",INDEX(TxnWitB,$O1439)),""))</f>
        <v/>
      </c>
      <c r="K1439" s="21">
        <f>IF($B1439="","",IF($K1438="",$C$10,$K1438)+IF($I1439="",0,$I1439)-IF($J1439="",0,$J1439))</f>
        <v/>
      </c>
      <c r="L1439" s="22">
        <f>IF($N1439&lt;&gt;"",IF(INDEX(PCNotes,$N1439)="","—",INDEX(PCNotes,$N1439)),IF($O1439&lt;&gt;"",IF(INDEX(LdgNoteB,$O1439)="","—",INDEX(LdgNoteB,$O1439)),""))</f>
        <v/>
      </c>
      <c r="N1439">
        <f>IFERROR(MATCH($C$5&amp;"|"&amp;RIGHT("000000"&amp;1423,6),LdgRankKeyA,0),"")</f>
        <v/>
      </c>
      <c r="O1439">
        <f>IFERROR(MATCH($C$5&amp;"|"&amp;RIGHT("000000"&amp;1423,6),LdgRankKeyB,0),"")</f>
        <v/>
      </c>
    </row>
    <row r="1440">
      <c r="A1440" s="23" t="n">
        <v>1424</v>
      </c>
      <c r="B1440" s="24">
        <f>IF(AND($N1440="",$O1440=""),"",IF($N1440&lt;&gt;"",INDEX(PCNormDate,$N1440),INDEX(LdgDateB,$O1440)))</f>
        <v/>
      </c>
      <c r="C1440" s="24">
        <f>IF($N1440&lt;&gt;"",INDEX(PCOp,$N1440),IF($O1440&lt;&gt;"",IF(N(INDEX(TxnDepB,$O1440))&gt;0,"دریافت بانکی","پرداخت بانکی"),""))</f>
        <v/>
      </c>
      <c r="D1440" s="24">
        <f>IF($N1440&lt;&gt;"",IF(INDEX(PCDoc,$N1440)="","—",INDEX(PCDoc,$N1440)),IF($O1440&lt;&gt;"",INDEX(LdgBankB,$O1440),""))</f>
        <v/>
      </c>
      <c r="E1440" s="24">
        <f>IF($N1440&lt;&gt;"",IF(INDEX(PCCitrus,$N1440)="","—",INDEX(PCCitrus,$N1440)),"")</f>
        <v/>
      </c>
      <c r="F1440" s="25">
        <f>IF($N1440&lt;&gt;"",IF(INDEX(PCScale,$N1440)=0,"",INDEX(PCScale,$N1440)),"")</f>
        <v/>
      </c>
      <c r="G1440" s="25">
        <f>IF($N1440&lt;&gt;"",IF(INDEX(PCBaskets,$N1440)=0,"",INDEX(PCBaskets,$N1440)),"")</f>
        <v/>
      </c>
      <c r="H1440" s="26">
        <f>IF($N1440&lt;&gt;"",IF(INDEX(PCNet,$N1440)=0,"",INDEX(PCNet,$N1440)),"")</f>
        <v/>
      </c>
      <c r="I1440" s="25">
        <f>IF($N1440&lt;&gt;"",IF(INDEX(PCOp,$N1440)="مرجوعی خرید","",IF(INDEX(PCAmount,$N1440)&lt;=0,"",INDEX(PCAmount,$N1440))),IF($O1440&lt;&gt;"",IF(INDEX(TxnDepB,$O1440)=0,"",INDEX(TxnDepB,$O1440)),""))</f>
        <v/>
      </c>
      <c r="J1440" s="25">
        <f>IF($N1440&lt;&gt;"",IF(INDEX(PCOp,$N1440)="مرجوعی خرید",IF(INDEX(PCAmount,$N1440)=0,"",-INDEX(PCAmount,$N1440)),""),IF($O1440&lt;&gt;"",IF(INDEX(TxnWitB,$O1440)=0,"",INDEX(TxnWitB,$O1440)),""))</f>
        <v/>
      </c>
      <c r="K1440" s="27">
        <f>IF($B1440="","",IF($K1439="",$C$10,$K1439)+IF($I1440="",0,$I1440)-IF($J1440="",0,$J1440))</f>
        <v/>
      </c>
      <c r="L1440" s="28">
        <f>IF($N1440&lt;&gt;"",IF(INDEX(PCNotes,$N1440)="","—",INDEX(PCNotes,$N1440)),IF($O1440&lt;&gt;"",IF(INDEX(LdgNoteB,$O1440)="","—",INDEX(LdgNoteB,$O1440)),""))</f>
        <v/>
      </c>
      <c r="N1440">
        <f>IFERROR(MATCH($C$5&amp;"|"&amp;RIGHT("000000"&amp;1424,6),LdgRankKeyA,0),"")</f>
        <v/>
      </c>
      <c r="O1440">
        <f>IFERROR(MATCH($C$5&amp;"|"&amp;RIGHT("000000"&amp;1424,6),LdgRankKeyB,0),"")</f>
        <v/>
      </c>
    </row>
    <row r="1441">
      <c r="A1441" s="17" t="n">
        <v>1425</v>
      </c>
      <c r="B1441" s="18">
        <f>IF(AND($N1441="",$O1441=""),"",IF($N1441&lt;&gt;"",INDEX(PCNormDate,$N1441),INDEX(LdgDateB,$O1441)))</f>
        <v/>
      </c>
      <c r="C1441" s="18">
        <f>IF($N1441&lt;&gt;"",INDEX(PCOp,$N1441),IF($O1441&lt;&gt;"",IF(N(INDEX(TxnDepB,$O1441))&gt;0,"دریافت بانکی","پرداخت بانکی"),""))</f>
        <v/>
      </c>
      <c r="D1441" s="18">
        <f>IF($N1441&lt;&gt;"",IF(INDEX(PCDoc,$N1441)="","—",INDEX(PCDoc,$N1441)),IF($O1441&lt;&gt;"",INDEX(LdgBankB,$O1441),""))</f>
        <v/>
      </c>
      <c r="E1441" s="18">
        <f>IF($N1441&lt;&gt;"",IF(INDEX(PCCitrus,$N1441)="","—",INDEX(PCCitrus,$N1441)),"")</f>
        <v/>
      </c>
      <c r="F1441" s="19">
        <f>IF($N1441&lt;&gt;"",IF(INDEX(PCScale,$N1441)=0,"",INDEX(PCScale,$N1441)),"")</f>
        <v/>
      </c>
      <c r="G1441" s="19">
        <f>IF($N1441&lt;&gt;"",IF(INDEX(PCBaskets,$N1441)=0,"",INDEX(PCBaskets,$N1441)),"")</f>
        <v/>
      </c>
      <c r="H1441" s="20">
        <f>IF($N1441&lt;&gt;"",IF(INDEX(PCNet,$N1441)=0,"",INDEX(PCNet,$N1441)),"")</f>
        <v/>
      </c>
      <c r="I1441" s="19">
        <f>IF($N1441&lt;&gt;"",IF(INDEX(PCOp,$N1441)="مرجوعی خرید","",IF(INDEX(PCAmount,$N1441)&lt;=0,"",INDEX(PCAmount,$N1441))),IF($O1441&lt;&gt;"",IF(INDEX(TxnDepB,$O1441)=0,"",INDEX(TxnDepB,$O1441)),""))</f>
        <v/>
      </c>
      <c r="J1441" s="19">
        <f>IF($N1441&lt;&gt;"",IF(INDEX(PCOp,$N1441)="مرجوعی خرید",IF(INDEX(PCAmount,$N1441)=0,"",-INDEX(PCAmount,$N1441)),""),IF($O1441&lt;&gt;"",IF(INDEX(TxnWitB,$O1441)=0,"",INDEX(TxnWitB,$O1441)),""))</f>
        <v/>
      </c>
      <c r="K1441" s="21">
        <f>IF($B1441="","",IF($K1440="",$C$10,$K1440)+IF($I1441="",0,$I1441)-IF($J1441="",0,$J1441))</f>
        <v/>
      </c>
      <c r="L1441" s="22">
        <f>IF($N1441&lt;&gt;"",IF(INDEX(PCNotes,$N1441)="","—",INDEX(PCNotes,$N1441)),IF($O1441&lt;&gt;"",IF(INDEX(LdgNoteB,$O1441)="","—",INDEX(LdgNoteB,$O1441)),""))</f>
        <v/>
      </c>
      <c r="N1441">
        <f>IFERROR(MATCH($C$5&amp;"|"&amp;RIGHT("000000"&amp;1425,6),LdgRankKeyA,0),"")</f>
        <v/>
      </c>
      <c r="O1441">
        <f>IFERROR(MATCH($C$5&amp;"|"&amp;RIGHT("000000"&amp;1425,6),LdgRankKeyB,0),"")</f>
        <v/>
      </c>
    </row>
    <row r="1442">
      <c r="A1442" s="23" t="n">
        <v>1426</v>
      </c>
      <c r="B1442" s="24">
        <f>IF(AND($N1442="",$O1442=""),"",IF($N1442&lt;&gt;"",INDEX(PCNormDate,$N1442),INDEX(LdgDateB,$O1442)))</f>
        <v/>
      </c>
      <c r="C1442" s="24">
        <f>IF($N1442&lt;&gt;"",INDEX(PCOp,$N1442),IF($O1442&lt;&gt;"",IF(N(INDEX(TxnDepB,$O1442))&gt;0,"دریافت بانکی","پرداخت بانکی"),""))</f>
        <v/>
      </c>
      <c r="D1442" s="24">
        <f>IF($N1442&lt;&gt;"",IF(INDEX(PCDoc,$N1442)="","—",INDEX(PCDoc,$N1442)),IF($O1442&lt;&gt;"",INDEX(LdgBankB,$O1442),""))</f>
        <v/>
      </c>
      <c r="E1442" s="24">
        <f>IF($N1442&lt;&gt;"",IF(INDEX(PCCitrus,$N1442)="","—",INDEX(PCCitrus,$N1442)),"")</f>
        <v/>
      </c>
      <c r="F1442" s="25">
        <f>IF($N1442&lt;&gt;"",IF(INDEX(PCScale,$N1442)=0,"",INDEX(PCScale,$N1442)),"")</f>
        <v/>
      </c>
      <c r="G1442" s="25">
        <f>IF($N1442&lt;&gt;"",IF(INDEX(PCBaskets,$N1442)=0,"",INDEX(PCBaskets,$N1442)),"")</f>
        <v/>
      </c>
      <c r="H1442" s="26">
        <f>IF($N1442&lt;&gt;"",IF(INDEX(PCNet,$N1442)=0,"",INDEX(PCNet,$N1442)),"")</f>
        <v/>
      </c>
      <c r="I1442" s="25">
        <f>IF($N1442&lt;&gt;"",IF(INDEX(PCOp,$N1442)="مرجوعی خرید","",IF(INDEX(PCAmount,$N1442)&lt;=0,"",INDEX(PCAmount,$N1442))),IF($O1442&lt;&gt;"",IF(INDEX(TxnDepB,$O1442)=0,"",INDEX(TxnDepB,$O1442)),""))</f>
        <v/>
      </c>
      <c r="J1442" s="25">
        <f>IF($N1442&lt;&gt;"",IF(INDEX(PCOp,$N1442)="مرجوعی خرید",IF(INDEX(PCAmount,$N1442)=0,"",-INDEX(PCAmount,$N1442)),""),IF($O1442&lt;&gt;"",IF(INDEX(TxnWitB,$O1442)=0,"",INDEX(TxnWitB,$O1442)),""))</f>
        <v/>
      </c>
      <c r="K1442" s="27">
        <f>IF($B1442="","",IF($K1441="",$C$10,$K1441)+IF($I1442="",0,$I1442)-IF($J1442="",0,$J1442))</f>
        <v/>
      </c>
      <c r="L1442" s="28">
        <f>IF($N1442&lt;&gt;"",IF(INDEX(PCNotes,$N1442)="","—",INDEX(PCNotes,$N1442)),IF($O1442&lt;&gt;"",IF(INDEX(LdgNoteB,$O1442)="","—",INDEX(LdgNoteB,$O1442)),""))</f>
        <v/>
      </c>
      <c r="N1442">
        <f>IFERROR(MATCH($C$5&amp;"|"&amp;RIGHT("000000"&amp;1426,6),LdgRankKeyA,0),"")</f>
        <v/>
      </c>
      <c r="O1442">
        <f>IFERROR(MATCH($C$5&amp;"|"&amp;RIGHT("000000"&amp;1426,6),LdgRankKeyB,0),"")</f>
        <v/>
      </c>
    </row>
    <row r="1443">
      <c r="A1443" s="17" t="n">
        <v>1427</v>
      </c>
      <c r="B1443" s="18">
        <f>IF(AND($N1443="",$O1443=""),"",IF($N1443&lt;&gt;"",INDEX(PCNormDate,$N1443),INDEX(LdgDateB,$O1443)))</f>
        <v/>
      </c>
      <c r="C1443" s="18">
        <f>IF($N1443&lt;&gt;"",INDEX(PCOp,$N1443),IF($O1443&lt;&gt;"",IF(N(INDEX(TxnDepB,$O1443))&gt;0,"دریافت بانکی","پرداخت بانکی"),""))</f>
        <v/>
      </c>
      <c r="D1443" s="18">
        <f>IF($N1443&lt;&gt;"",IF(INDEX(PCDoc,$N1443)="","—",INDEX(PCDoc,$N1443)),IF($O1443&lt;&gt;"",INDEX(LdgBankB,$O1443),""))</f>
        <v/>
      </c>
      <c r="E1443" s="18">
        <f>IF($N1443&lt;&gt;"",IF(INDEX(PCCitrus,$N1443)="","—",INDEX(PCCitrus,$N1443)),"")</f>
        <v/>
      </c>
      <c r="F1443" s="19">
        <f>IF($N1443&lt;&gt;"",IF(INDEX(PCScale,$N1443)=0,"",INDEX(PCScale,$N1443)),"")</f>
        <v/>
      </c>
      <c r="G1443" s="19">
        <f>IF($N1443&lt;&gt;"",IF(INDEX(PCBaskets,$N1443)=0,"",INDEX(PCBaskets,$N1443)),"")</f>
        <v/>
      </c>
      <c r="H1443" s="20">
        <f>IF($N1443&lt;&gt;"",IF(INDEX(PCNet,$N1443)=0,"",INDEX(PCNet,$N1443)),"")</f>
        <v/>
      </c>
      <c r="I1443" s="19">
        <f>IF($N1443&lt;&gt;"",IF(INDEX(PCOp,$N1443)="مرجوعی خرید","",IF(INDEX(PCAmount,$N1443)&lt;=0,"",INDEX(PCAmount,$N1443))),IF($O1443&lt;&gt;"",IF(INDEX(TxnDepB,$O1443)=0,"",INDEX(TxnDepB,$O1443)),""))</f>
        <v/>
      </c>
      <c r="J1443" s="19">
        <f>IF($N1443&lt;&gt;"",IF(INDEX(PCOp,$N1443)="مرجوعی خرید",IF(INDEX(PCAmount,$N1443)=0,"",-INDEX(PCAmount,$N1443)),""),IF($O1443&lt;&gt;"",IF(INDEX(TxnWitB,$O1443)=0,"",INDEX(TxnWitB,$O1443)),""))</f>
        <v/>
      </c>
      <c r="K1443" s="21">
        <f>IF($B1443="","",IF($K1442="",$C$10,$K1442)+IF($I1443="",0,$I1443)-IF($J1443="",0,$J1443))</f>
        <v/>
      </c>
      <c r="L1443" s="22">
        <f>IF($N1443&lt;&gt;"",IF(INDEX(PCNotes,$N1443)="","—",INDEX(PCNotes,$N1443)),IF($O1443&lt;&gt;"",IF(INDEX(LdgNoteB,$O1443)="","—",INDEX(LdgNoteB,$O1443)),""))</f>
        <v/>
      </c>
      <c r="N1443">
        <f>IFERROR(MATCH($C$5&amp;"|"&amp;RIGHT("000000"&amp;1427,6),LdgRankKeyA,0),"")</f>
        <v/>
      </c>
      <c r="O1443">
        <f>IFERROR(MATCH($C$5&amp;"|"&amp;RIGHT("000000"&amp;1427,6),LdgRankKeyB,0),"")</f>
        <v/>
      </c>
    </row>
    <row r="1444">
      <c r="A1444" s="23" t="n">
        <v>1428</v>
      </c>
      <c r="B1444" s="24">
        <f>IF(AND($N1444="",$O1444=""),"",IF($N1444&lt;&gt;"",INDEX(PCNormDate,$N1444),INDEX(LdgDateB,$O1444)))</f>
        <v/>
      </c>
      <c r="C1444" s="24">
        <f>IF($N1444&lt;&gt;"",INDEX(PCOp,$N1444),IF($O1444&lt;&gt;"",IF(N(INDEX(TxnDepB,$O1444))&gt;0,"دریافت بانکی","پرداخت بانکی"),""))</f>
        <v/>
      </c>
      <c r="D1444" s="24">
        <f>IF($N1444&lt;&gt;"",IF(INDEX(PCDoc,$N1444)="","—",INDEX(PCDoc,$N1444)),IF($O1444&lt;&gt;"",INDEX(LdgBankB,$O1444),""))</f>
        <v/>
      </c>
      <c r="E1444" s="24">
        <f>IF($N1444&lt;&gt;"",IF(INDEX(PCCitrus,$N1444)="","—",INDEX(PCCitrus,$N1444)),"")</f>
        <v/>
      </c>
      <c r="F1444" s="25">
        <f>IF($N1444&lt;&gt;"",IF(INDEX(PCScale,$N1444)=0,"",INDEX(PCScale,$N1444)),"")</f>
        <v/>
      </c>
      <c r="G1444" s="25">
        <f>IF($N1444&lt;&gt;"",IF(INDEX(PCBaskets,$N1444)=0,"",INDEX(PCBaskets,$N1444)),"")</f>
        <v/>
      </c>
      <c r="H1444" s="26">
        <f>IF($N1444&lt;&gt;"",IF(INDEX(PCNet,$N1444)=0,"",INDEX(PCNet,$N1444)),"")</f>
        <v/>
      </c>
      <c r="I1444" s="25">
        <f>IF($N1444&lt;&gt;"",IF(INDEX(PCOp,$N1444)="مرجوعی خرید","",IF(INDEX(PCAmount,$N1444)&lt;=0,"",INDEX(PCAmount,$N1444))),IF($O1444&lt;&gt;"",IF(INDEX(TxnDepB,$O1444)=0,"",INDEX(TxnDepB,$O1444)),""))</f>
        <v/>
      </c>
      <c r="J1444" s="25">
        <f>IF($N1444&lt;&gt;"",IF(INDEX(PCOp,$N1444)="مرجوعی خرید",IF(INDEX(PCAmount,$N1444)=0,"",-INDEX(PCAmount,$N1444)),""),IF($O1444&lt;&gt;"",IF(INDEX(TxnWitB,$O1444)=0,"",INDEX(TxnWitB,$O1444)),""))</f>
        <v/>
      </c>
      <c r="K1444" s="27">
        <f>IF($B1444="","",IF($K1443="",$C$10,$K1443)+IF($I1444="",0,$I1444)-IF($J1444="",0,$J1444))</f>
        <v/>
      </c>
      <c r="L1444" s="28">
        <f>IF($N1444&lt;&gt;"",IF(INDEX(PCNotes,$N1444)="","—",INDEX(PCNotes,$N1444)),IF($O1444&lt;&gt;"",IF(INDEX(LdgNoteB,$O1444)="","—",INDEX(LdgNoteB,$O1444)),""))</f>
        <v/>
      </c>
      <c r="N1444">
        <f>IFERROR(MATCH($C$5&amp;"|"&amp;RIGHT("000000"&amp;1428,6),LdgRankKeyA,0),"")</f>
        <v/>
      </c>
      <c r="O1444">
        <f>IFERROR(MATCH($C$5&amp;"|"&amp;RIGHT("000000"&amp;1428,6),LdgRankKeyB,0),"")</f>
        <v/>
      </c>
    </row>
    <row r="1445">
      <c r="A1445" s="17" t="n">
        <v>1429</v>
      </c>
      <c r="B1445" s="18">
        <f>IF(AND($N1445="",$O1445=""),"",IF($N1445&lt;&gt;"",INDEX(PCNormDate,$N1445),INDEX(LdgDateB,$O1445)))</f>
        <v/>
      </c>
      <c r="C1445" s="18">
        <f>IF($N1445&lt;&gt;"",INDEX(PCOp,$N1445),IF($O1445&lt;&gt;"",IF(N(INDEX(TxnDepB,$O1445))&gt;0,"دریافت بانکی","پرداخت بانکی"),""))</f>
        <v/>
      </c>
      <c r="D1445" s="18">
        <f>IF($N1445&lt;&gt;"",IF(INDEX(PCDoc,$N1445)="","—",INDEX(PCDoc,$N1445)),IF($O1445&lt;&gt;"",INDEX(LdgBankB,$O1445),""))</f>
        <v/>
      </c>
      <c r="E1445" s="18">
        <f>IF($N1445&lt;&gt;"",IF(INDEX(PCCitrus,$N1445)="","—",INDEX(PCCitrus,$N1445)),"")</f>
        <v/>
      </c>
      <c r="F1445" s="19">
        <f>IF($N1445&lt;&gt;"",IF(INDEX(PCScale,$N1445)=0,"",INDEX(PCScale,$N1445)),"")</f>
        <v/>
      </c>
      <c r="G1445" s="19">
        <f>IF($N1445&lt;&gt;"",IF(INDEX(PCBaskets,$N1445)=0,"",INDEX(PCBaskets,$N1445)),"")</f>
        <v/>
      </c>
      <c r="H1445" s="20">
        <f>IF($N1445&lt;&gt;"",IF(INDEX(PCNet,$N1445)=0,"",INDEX(PCNet,$N1445)),"")</f>
        <v/>
      </c>
      <c r="I1445" s="19">
        <f>IF($N1445&lt;&gt;"",IF(INDEX(PCOp,$N1445)="مرجوعی خرید","",IF(INDEX(PCAmount,$N1445)&lt;=0,"",INDEX(PCAmount,$N1445))),IF($O1445&lt;&gt;"",IF(INDEX(TxnDepB,$O1445)=0,"",INDEX(TxnDepB,$O1445)),""))</f>
        <v/>
      </c>
      <c r="J1445" s="19">
        <f>IF($N1445&lt;&gt;"",IF(INDEX(PCOp,$N1445)="مرجوعی خرید",IF(INDEX(PCAmount,$N1445)=0,"",-INDEX(PCAmount,$N1445)),""),IF($O1445&lt;&gt;"",IF(INDEX(TxnWitB,$O1445)=0,"",INDEX(TxnWitB,$O1445)),""))</f>
        <v/>
      </c>
      <c r="K1445" s="21">
        <f>IF($B1445="","",IF($K1444="",$C$10,$K1444)+IF($I1445="",0,$I1445)-IF($J1445="",0,$J1445))</f>
        <v/>
      </c>
      <c r="L1445" s="22">
        <f>IF($N1445&lt;&gt;"",IF(INDEX(PCNotes,$N1445)="","—",INDEX(PCNotes,$N1445)),IF($O1445&lt;&gt;"",IF(INDEX(LdgNoteB,$O1445)="","—",INDEX(LdgNoteB,$O1445)),""))</f>
        <v/>
      </c>
      <c r="N1445">
        <f>IFERROR(MATCH($C$5&amp;"|"&amp;RIGHT("000000"&amp;1429,6),LdgRankKeyA,0),"")</f>
        <v/>
      </c>
      <c r="O1445">
        <f>IFERROR(MATCH($C$5&amp;"|"&amp;RIGHT("000000"&amp;1429,6),LdgRankKeyB,0),"")</f>
        <v/>
      </c>
    </row>
    <row r="1446">
      <c r="A1446" s="23" t="n">
        <v>1430</v>
      </c>
      <c r="B1446" s="24">
        <f>IF(AND($N1446="",$O1446=""),"",IF($N1446&lt;&gt;"",INDEX(PCNormDate,$N1446),INDEX(LdgDateB,$O1446)))</f>
        <v/>
      </c>
      <c r="C1446" s="24">
        <f>IF($N1446&lt;&gt;"",INDEX(PCOp,$N1446),IF($O1446&lt;&gt;"",IF(N(INDEX(TxnDepB,$O1446))&gt;0,"دریافت بانکی","پرداخت بانکی"),""))</f>
        <v/>
      </c>
      <c r="D1446" s="24">
        <f>IF($N1446&lt;&gt;"",IF(INDEX(PCDoc,$N1446)="","—",INDEX(PCDoc,$N1446)),IF($O1446&lt;&gt;"",INDEX(LdgBankB,$O1446),""))</f>
        <v/>
      </c>
      <c r="E1446" s="24">
        <f>IF($N1446&lt;&gt;"",IF(INDEX(PCCitrus,$N1446)="","—",INDEX(PCCitrus,$N1446)),"")</f>
        <v/>
      </c>
      <c r="F1446" s="25">
        <f>IF($N1446&lt;&gt;"",IF(INDEX(PCScale,$N1446)=0,"",INDEX(PCScale,$N1446)),"")</f>
        <v/>
      </c>
      <c r="G1446" s="25">
        <f>IF($N1446&lt;&gt;"",IF(INDEX(PCBaskets,$N1446)=0,"",INDEX(PCBaskets,$N1446)),"")</f>
        <v/>
      </c>
      <c r="H1446" s="26">
        <f>IF($N1446&lt;&gt;"",IF(INDEX(PCNet,$N1446)=0,"",INDEX(PCNet,$N1446)),"")</f>
        <v/>
      </c>
      <c r="I1446" s="25">
        <f>IF($N1446&lt;&gt;"",IF(INDEX(PCOp,$N1446)="مرجوعی خرید","",IF(INDEX(PCAmount,$N1446)&lt;=0,"",INDEX(PCAmount,$N1446))),IF($O1446&lt;&gt;"",IF(INDEX(TxnDepB,$O1446)=0,"",INDEX(TxnDepB,$O1446)),""))</f>
        <v/>
      </c>
      <c r="J1446" s="25">
        <f>IF($N1446&lt;&gt;"",IF(INDEX(PCOp,$N1446)="مرجوعی خرید",IF(INDEX(PCAmount,$N1446)=0,"",-INDEX(PCAmount,$N1446)),""),IF($O1446&lt;&gt;"",IF(INDEX(TxnWitB,$O1446)=0,"",INDEX(TxnWitB,$O1446)),""))</f>
        <v/>
      </c>
      <c r="K1446" s="27">
        <f>IF($B1446="","",IF($K1445="",$C$10,$K1445)+IF($I1446="",0,$I1446)-IF($J1446="",0,$J1446))</f>
        <v/>
      </c>
      <c r="L1446" s="28">
        <f>IF($N1446&lt;&gt;"",IF(INDEX(PCNotes,$N1446)="","—",INDEX(PCNotes,$N1446)),IF($O1446&lt;&gt;"",IF(INDEX(LdgNoteB,$O1446)="","—",INDEX(LdgNoteB,$O1446)),""))</f>
        <v/>
      </c>
      <c r="N1446">
        <f>IFERROR(MATCH($C$5&amp;"|"&amp;RIGHT("000000"&amp;1430,6),LdgRankKeyA,0),"")</f>
        <v/>
      </c>
      <c r="O1446">
        <f>IFERROR(MATCH($C$5&amp;"|"&amp;RIGHT("000000"&amp;1430,6),LdgRankKeyB,0),"")</f>
        <v/>
      </c>
    </row>
    <row r="1447">
      <c r="A1447" s="17" t="n">
        <v>1431</v>
      </c>
      <c r="B1447" s="18">
        <f>IF(AND($N1447="",$O1447=""),"",IF($N1447&lt;&gt;"",INDEX(PCNormDate,$N1447),INDEX(LdgDateB,$O1447)))</f>
        <v/>
      </c>
      <c r="C1447" s="18">
        <f>IF($N1447&lt;&gt;"",INDEX(PCOp,$N1447),IF($O1447&lt;&gt;"",IF(N(INDEX(TxnDepB,$O1447))&gt;0,"دریافت بانکی","پرداخت بانکی"),""))</f>
        <v/>
      </c>
      <c r="D1447" s="18">
        <f>IF($N1447&lt;&gt;"",IF(INDEX(PCDoc,$N1447)="","—",INDEX(PCDoc,$N1447)),IF($O1447&lt;&gt;"",INDEX(LdgBankB,$O1447),""))</f>
        <v/>
      </c>
      <c r="E1447" s="18">
        <f>IF($N1447&lt;&gt;"",IF(INDEX(PCCitrus,$N1447)="","—",INDEX(PCCitrus,$N1447)),"")</f>
        <v/>
      </c>
      <c r="F1447" s="19">
        <f>IF($N1447&lt;&gt;"",IF(INDEX(PCScale,$N1447)=0,"",INDEX(PCScale,$N1447)),"")</f>
        <v/>
      </c>
      <c r="G1447" s="19">
        <f>IF($N1447&lt;&gt;"",IF(INDEX(PCBaskets,$N1447)=0,"",INDEX(PCBaskets,$N1447)),"")</f>
        <v/>
      </c>
      <c r="H1447" s="20">
        <f>IF($N1447&lt;&gt;"",IF(INDEX(PCNet,$N1447)=0,"",INDEX(PCNet,$N1447)),"")</f>
        <v/>
      </c>
      <c r="I1447" s="19">
        <f>IF($N1447&lt;&gt;"",IF(INDEX(PCOp,$N1447)="مرجوعی خرید","",IF(INDEX(PCAmount,$N1447)&lt;=0,"",INDEX(PCAmount,$N1447))),IF($O1447&lt;&gt;"",IF(INDEX(TxnDepB,$O1447)=0,"",INDEX(TxnDepB,$O1447)),""))</f>
        <v/>
      </c>
      <c r="J1447" s="19">
        <f>IF($N1447&lt;&gt;"",IF(INDEX(PCOp,$N1447)="مرجوعی خرید",IF(INDEX(PCAmount,$N1447)=0,"",-INDEX(PCAmount,$N1447)),""),IF($O1447&lt;&gt;"",IF(INDEX(TxnWitB,$O1447)=0,"",INDEX(TxnWitB,$O1447)),""))</f>
        <v/>
      </c>
      <c r="K1447" s="21">
        <f>IF($B1447="","",IF($K1446="",$C$10,$K1446)+IF($I1447="",0,$I1447)-IF($J1447="",0,$J1447))</f>
        <v/>
      </c>
      <c r="L1447" s="22">
        <f>IF($N1447&lt;&gt;"",IF(INDEX(PCNotes,$N1447)="","—",INDEX(PCNotes,$N1447)),IF($O1447&lt;&gt;"",IF(INDEX(LdgNoteB,$O1447)="","—",INDEX(LdgNoteB,$O1447)),""))</f>
        <v/>
      </c>
      <c r="N1447">
        <f>IFERROR(MATCH($C$5&amp;"|"&amp;RIGHT("000000"&amp;1431,6),LdgRankKeyA,0),"")</f>
        <v/>
      </c>
      <c r="O1447">
        <f>IFERROR(MATCH($C$5&amp;"|"&amp;RIGHT("000000"&amp;1431,6),LdgRankKeyB,0),"")</f>
        <v/>
      </c>
    </row>
    <row r="1448">
      <c r="A1448" s="23" t="n">
        <v>1432</v>
      </c>
      <c r="B1448" s="24">
        <f>IF(AND($N1448="",$O1448=""),"",IF($N1448&lt;&gt;"",INDEX(PCNormDate,$N1448),INDEX(LdgDateB,$O1448)))</f>
        <v/>
      </c>
      <c r="C1448" s="24">
        <f>IF($N1448&lt;&gt;"",INDEX(PCOp,$N1448),IF($O1448&lt;&gt;"",IF(N(INDEX(TxnDepB,$O1448))&gt;0,"دریافت بانکی","پرداخت بانکی"),""))</f>
        <v/>
      </c>
      <c r="D1448" s="24">
        <f>IF($N1448&lt;&gt;"",IF(INDEX(PCDoc,$N1448)="","—",INDEX(PCDoc,$N1448)),IF($O1448&lt;&gt;"",INDEX(LdgBankB,$O1448),""))</f>
        <v/>
      </c>
      <c r="E1448" s="24">
        <f>IF($N1448&lt;&gt;"",IF(INDEX(PCCitrus,$N1448)="","—",INDEX(PCCitrus,$N1448)),"")</f>
        <v/>
      </c>
      <c r="F1448" s="25">
        <f>IF($N1448&lt;&gt;"",IF(INDEX(PCScale,$N1448)=0,"",INDEX(PCScale,$N1448)),"")</f>
        <v/>
      </c>
      <c r="G1448" s="25">
        <f>IF($N1448&lt;&gt;"",IF(INDEX(PCBaskets,$N1448)=0,"",INDEX(PCBaskets,$N1448)),"")</f>
        <v/>
      </c>
      <c r="H1448" s="26">
        <f>IF($N1448&lt;&gt;"",IF(INDEX(PCNet,$N1448)=0,"",INDEX(PCNet,$N1448)),"")</f>
        <v/>
      </c>
      <c r="I1448" s="25">
        <f>IF($N1448&lt;&gt;"",IF(INDEX(PCOp,$N1448)="مرجوعی خرید","",IF(INDEX(PCAmount,$N1448)&lt;=0,"",INDEX(PCAmount,$N1448))),IF($O1448&lt;&gt;"",IF(INDEX(TxnDepB,$O1448)=0,"",INDEX(TxnDepB,$O1448)),""))</f>
        <v/>
      </c>
      <c r="J1448" s="25">
        <f>IF($N1448&lt;&gt;"",IF(INDEX(PCOp,$N1448)="مرجوعی خرید",IF(INDEX(PCAmount,$N1448)=0,"",-INDEX(PCAmount,$N1448)),""),IF($O1448&lt;&gt;"",IF(INDEX(TxnWitB,$O1448)=0,"",INDEX(TxnWitB,$O1448)),""))</f>
        <v/>
      </c>
      <c r="K1448" s="27">
        <f>IF($B1448="","",IF($K1447="",$C$10,$K1447)+IF($I1448="",0,$I1448)-IF($J1448="",0,$J1448))</f>
        <v/>
      </c>
      <c r="L1448" s="28">
        <f>IF($N1448&lt;&gt;"",IF(INDEX(PCNotes,$N1448)="","—",INDEX(PCNotes,$N1448)),IF($O1448&lt;&gt;"",IF(INDEX(LdgNoteB,$O1448)="","—",INDEX(LdgNoteB,$O1448)),""))</f>
        <v/>
      </c>
      <c r="N1448">
        <f>IFERROR(MATCH($C$5&amp;"|"&amp;RIGHT("000000"&amp;1432,6),LdgRankKeyA,0),"")</f>
        <v/>
      </c>
      <c r="O1448">
        <f>IFERROR(MATCH($C$5&amp;"|"&amp;RIGHT("000000"&amp;1432,6),LdgRankKeyB,0),"")</f>
        <v/>
      </c>
    </row>
    <row r="1449">
      <c r="A1449" s="17" t="n">
        <v>1433</v>
      </c>
      <c r="B1449" s="18">
        <f>IF(AND($N1449="",$O1449=""),"",IF($N1449&lt;&gt;"",INDEX(PCNormDate,$N1449),INDEX(LdgDateB,$O1449)))</f>
        <v/>
      </c>
      <c r="C1449" s="18">
        <f>IF($N1449&lt;&gt;"",INDEX(PCOp,$N1449),IF($O1449&lt;&gt;"",IF(N(INDEX(TxnDepB,$O1449))&gt;0,"دریافت بانکی","پرداخت بانکی"),""))</f>
        <v/>
      </c>
      <c r="D1449" s="18">
        <f>IF($N1449&lt;&gt;"",IF(INDEX(PCDoc,$N1449)="","—",INDEX(PCDoc,$N1449)),IF($O1449&lt;&gt;"",INDEX(LdgBankB,$O1449),""))</f>
        <v/>
      </c>
      <c r="E1449" s="18">
        <f>IF($N1449&lt;&gt;"",IF(INDEX(PCCitrus,$N1449)="","—",INDEX(PCCitrus,$N1449)),"")</f>
        <v/>
      </c>
      <c r="F1449" s="19">
        <f>IF($N1449&lt;&gt;"",IF(INDEX(PCScale,$N1449)=0,"",INDEX(PCScale,$N1449)),"")</f>
        <v/>
      </c>
      <c r="G1449" s="19">
        <f>IF($N1449&lt;&gt;"",IF(INDEX(PCBaskets,$N1449)=0,"",INDEX(PCBaskets,$N1449)),"")</f>
        <v/>
      </c>
      <c r="H1449" s="20">
        <f>IF($N1449&lt;&gt;"",IF(INDEX(PCNet,$N1449)=0,"",INDEX(PCNet,$N1449)),"")</f>
        <v/>
      </c>
      <c r="I1449" s="19">
        <f>IF($N1449&lt;&gt;"",IF(INDEX(PCOp,$N1449)="مرجوعی خرید","",IF(INDEX(PCAmount,$N1449)&lt;=0,"",INDEX(PCAmount,$N1449))),IF($O1449&lt;&gt;"",IF(INDEX(TxnDepB,$O1449)=0,"",INDEX(TxnDepB,$O1449)),""))</f>
        <v/>
      </c>
      <c r="J1449" s="19">
        <f>IF($N1449&lt;&gt;"",IF(INDEX(PCOp,$N1449)="مرجوعی خرید",IF(INDEX(PCAmount,$N1449)=0,"",-INDEX(PCAmount,$N1449)),""),IF($O1449&lt;&gt;"",IF(INDEX(TxnWitB,$O1449)=0,"",INDEX(TxnWitB,$O1449)),""))</f>
        <v/>
      </c>
      <c r="K1449" s="21">
        <f>IF($B1449="","",IF($K1448="",$C$10,$K1448)+IF($I1449="",0,$I1449)-IF($J1449="",0,$J1449))</f>
        <v/>
      </c>
      <c r="L1449" s="22">
        <f>IF($N1449&lt;&gt;"",IF(INDEX(PCNotes,$N1449)="","—",INDEX(PCNotes,$N1449)),IF($O1449&lt;&gt;"",IF(INDEX(LdgNoteB,$O1449)="","—",INDEX(LdgNoteB,$O1449)),""))</f>
        <v/>
      </c>
      <c r="N1449">
        <f>IFERROR(MATCH($C$5&amp;"|"&amp;RIGHT("000000"&amp;1433,6),LdgRankKeyA,0),"")</f>
        <v/>
      </c>
      <c r="O1449">
        <f>IFERROR(MATCH($C$5&amp;"|"&amp;RIGHT("000000"&amp;1433,6),LdgRankKeyB,0),"")</f>
        <v/>
      </c>
    </row>
    <row r="1450">
      <c r="A1450" s="23" t="n">
        <v>1434</v>
      </c>
      <c r="B1450" s="24">
        <f>IF(AND($N1450="",$O1450=""),"",IF($N1450&lt;&gt;"",INDEX(PCNormDate,$N1450),INDEX(LdgDateB,$O1450)))</f>
        <v/>
      </c>
      <c r="C1450" s="24">
        <f>IF($N1450&lt;&gt;"",INDEX(PCOp,$N1450),IF($O1450&lt;&gt;"",IF(N(INDEX(TxnDepB,$O1450))&gt;0,"دریافت بانکی","پرداخت بانکی"),""))</f>
        <v/>
      </c>
      <c r="D1450" s="24">
        <f>IF($N1450&lt;&gt;"",IF(INDEX(PCDoc,$N1450)="","—",INDEX(PCDoc,$N1450)),IF($O1450&lt;&gt;"",INDEX(LdgBankB,$O1450),""))</f>
        <v/>
      </c>
      <c r="E1450" s="24">
        <f>IF($N1450&lt;&gt;"",IF(INDEX(PCCitrus,$N1450)="","—",INDEX(PCCitrus,$N1450)),"")</f>
        <v/>
      </c>
      <c r="F1450" s="25">
        <f>IF($N1450&lt;&gt;"",IF(INDEX(PCScale,$N1450)=0,"",INDEX(PCScale,$N1450)),"")</f>
        <v/>
      </c>
      <c r="G1450" s="25">
        <f>IF($N1450&lt;&gt;"",IF(INDEX(PCBaskets,$N1450)=0,"",INDEX(PCBaskets,$N1450)),"")</f>
        <v/>
      </c>
      <c r="H1450" s="26">
        <f>IF($N1450&lt;&gt;"",IF(INDEX(PCNet,$N1450)=0,"",INDEX(PCNet,$N1450)),"")</f>
        <v/>
      </c>
      <c r="I1450" s="25">
        <f>IF($N1450&lt;&gt;"",IF(INDEX(PCOp,$N1450)="مرجوعی خرید","",IF(INDEX(PCAmount,$N1450)&lt;=0,"",INDEX(PCAmount,$N1450))),IF($O1450&lt;&gt;"",IF(INDEX(TxnDepB,$O1450)=0,"",INDEX(TxnDepB,$O1450)),""))</f>
        <v/>
      </c>
      <c r="J1450" s="25">
        <f>IF($N1450&lt;&gt;"",IF(INDEX(PCOp,$N1450)="مرجوعی خرید",IF(INDEX(PCAmount,$N1450)=0,"",-INDEX(PCAmount,$N1450)),""),IF($O1450&lt;&gt;"",IF(INDEX(TxnWitB,$O1450)=0,"",INDEX(TxnWitB,$O1450)),""))</f>
        <v/>
      </c>
      <c r="K1450" s="27">
        <f>IF($B1450="","",IF($K1449="",$C$10,$K1449)+IF($I1450="",0,$I1450)-IF($J1450="",0,$J1450))</f>
        <v/>
      </c>
      <c r="L1450" s="28">
        <f>IF($N1450&lt;&gt;"",IF(INDEX(PCNotes,$N1450)="","—",INDEX(PCNotes,$N1450)),IF($O1450&lt;&gt;"",IF(INDEX(LdgNoteB,$O1450)="","—",INDEX(LdgNoteB,$O1450)),""))</f>
        <v/>
      </c>
      <c r="N1450">
        <f>IFERROR(MATCH($C$5&amp;"|"&amp;RIGHT("000000"&amp;1434,6),LdgRankKeyA,0),"")</f>
        <v/>
      </c>
      <c r="O1450">
        <f>IFERROR(MATCH($C$5&amp;"|"&amp;RIGHT("000000"&amp;1434,6),LdgRankKeyB,0),"")</f>
        <v/>
      </c>
    </row>
    <row r="1451">
      <c r="A1451" s="17" t="n">
        <v>1435</v>
      </c>
      <c r="B1451" s="18">
        <f>IF(AND($N1451="",$O1451=""),"",IF($N1451&lt;&gt;"",INDEX(PCNormDate,$N1451),INDEX(LdgDateB,$O1451)))</f>
        <v/>
      </c>
      <c r="C1451" s="18">
        <f>IF($N1451&lt;&gt;"",INDEX(PCOp,$N1451),IF($O1451&lt;&gt;"",IF(N(INDEX(TxnDepB,$O1451))&gt;0,"دریافت بانکی","پرداخت بانکی"),""))</f>
        <v/>
      </c>
      <c r="D1451" s="18">
        <f>IF($N1451&lt;&gt;"",IF(INDEX(PCDoc,$N1451)="","—",INDEX(PCDoc,$N1451)),IF($O1451&lt;&gt;"",INDEX(LdgBankB,$O1451),""))</f>
        <v/>
      </c>
      <c r="E1451" s="18">
        <f>IF($N1451&lt;&gt;"",IF(INDEX(PCCitrus,$N1451)="","—",INDEX(PCCitrus,$N1451)),"")</f>
        <v/>
      </c>
      <c r="F1451" s="19">
        <f>IF($N1451&lt;&gt;"",IF(INDEX(PCScale,$N1451)=0,"",INDEX(PCScale,$N1451)),"")</f>
        <v/>
      </c>
      <c r="G1451" s="19">
        <f>IF($N1451&lt;&gt;"",IF(INDEX(PCBaskets,$N1451)=0,"",INDEX(PCBaskets,$N1451)),"")</f>
        <v/>
      </c>
      <c r="H1451" s="20">
        <f>IF($N1451&lt;&gt;"",IF(INDEX(PCNet,$N1451)=0,"",INDEX(PCNet,$N1451)),"")</f>
        <v/>
      </c>
      <c r="I1451" s="19">
        <f>IF($N1451&lt;&gt;"",IF(INDEX(PCOp,$N1451)="مرجوعی خرید","",IF(INDEX(PCAmount,$N1451)&lt;=0,"",INDEX(PCAmount,$N1451))),IF($O1451&lt;&gt;"",IF(INDEX(TxnDepB,$O1451)=0,"",INDEX(TxnDepB,$O1451)),""))</f>
        <v/>
      </c>
      <c r="J1451" s="19">
        <f>IF($N1451&lt;&gt;"",IF(INDEX(PCOp,$N1451)="مرجوعی خرید",IF(INDEX(PCAmount,$N1451)=0,"",-INDEX(PCAmount,$N1451)),""),IF($O1451&lt;&gt;"",IF(INDEX(TxnWitB,$O1451)=0,"",INDEX(TxnWitB,$O1451)),""))</f>
        <v/>
      </c>
      <c r="K1451" s="21">
        <f>IF($B1451="","",IF($K1450="",$C$10,$K1450)+IF($I1451="",0,$I1451)-IF($J1451="",0,$J1451))</f>
        <v/>
      </c>
      <c r="L1451" s="22">
        <f>IF($N1451&lt;&gt;"",IF(INDEX(PCNotes,$N1451)="","—",INDEX(PCNotes,$N1451)),IF($O1451&lt;&gt;"",IF(INDEX(LdgNoteB,$O1451)="","—",INDEX(LdgNoteB,$O1451)),""))</f>
        <v/>
      </c>
      <c r="N1451">
        <f>IFERROR(MATCH($C$5&amp;"|"&amp;RIGHT("000000"&amp;1435,6),LdgRankKeyA,0),"")</f>
        <v/>
      </c>
      <c r="O1451">
        <f>IFERROR(MATCH($C$5&amp;"|"&amp;RIGHT("000000"&amp;1435,6),LdgRankKeyB,0),"")</f>
        <v/>
      </c>
    </row>
    <row r="1452">
      <c r="A1452" s="23" t="n">
        <v>1436</v>
      </c>
      <c r="B1452" s="24">
        <f>IF(AND($N1452="",$O1452=""),"",IF($N1452&lt;&gt;"",INDEX(PCNormDate,$N1452),INDEX(LdgDateB,$O1452)))</f>
        <v/>
      </c>
      <c r="C1452" s="24">
        <f>IF($N1452&lt;&gt;"",INDEX(PCOp,$N1452),IF($O1452&lt;&gt;"",IF(N(INDEX(TxnDepB,$O1452))&gt;0,"دریافت بانکی","پرداخت بانکی"),""))</f>
        <v/>
      </c>
      <c r="D1452" s="24">
        <f>IF($N1452&lt;&gt;"",IF(INDEX(PCDoc,$N1452)="","—",INDEX(PCDoc,$N1452)),IF($O1452&lt;&gt;"",INDEX(LdgBankB,$O1452),""))</f>
        <v/>
      </c>
      <c r="E1452" s="24">
        <f>IF($N1452&lt;&gt;"",IF(INDEX(PCCitrus,$N1452)="","—",INDEX(PCCitrus,$N1452)),"")</f>
        <v/>
      </c>
      <c r="F1452" s="25">
        <f>IF($N1452&lt;&gt;"",IF(INDEX(PCScale,$N1452)=0,"",INDEX(PCScale,$N1452)),"")</f>
        <v/>
      </c>
      <c r="G1452" s="25">
        <f>IF($N1452&lt;&gt;"",IF(INDEX(PCBaskets,$N1452)=0,"",INDEX(PCBaskets,$N1452)),"")</f>
        <v/>
      </c>
      <c r="H1452" s="26">
        <f>IF($N1452&lt;&gt;"",IF(INDEX(PCNet,$N1452)=0,"",INDEX(PCNet,$N1452)),"")</f>
        <v/>
      </c>
      <c r="I1452" s="25">
        <f>IF($N1452&lt;&gt;"",IF(INDEX(PCOp,$N1452)="مرجوعی خرید","",IF(INDEX(PCAmount,$N1452)&lt;=0,"",INDEX(PCAmount,$N1452))),IF($O1452&lt;&gt;"",IF(INDEX(TxnDepB,$O1452)=0,"",INDEX(TxnDepB,$O1452)),""))</f>
        <v/>
      </c>
      <c r="J1452" s="25">
        <f>IF($N1452&lt;&gt;"",IF(INDEX(PCOp,$N1452)="مرجوعی خرید",IF(INDEX(PCAmount,$N1452)=0,"",-INDEX(PCAmount,$N1452)),""),IF($O1452&lt;&gt;"",IF(INDEX(TxnWitB,$O1452)=0,"",INDEX(TxnWitB,$O1452)),""))</f>
        <v/>
      </c>
      <c r="K1452" s="27">
        <f>IF($B1452="","",IF($K1451="",$C$10,$K1451)+IF($I1452="",0,$I1452)-IF($J1452="",0,$J1452))</f>
        <v/>
      </c>
      <c r="L1452" s="28">
        <f>IF($N1452&lt;&gt;"",IF(INDEX(PCNotes,$N1452)="","—",INDEX(PCNotes,$N1452)),IF($O1452&lt;&gt;"",IF(INDEX(LdgNoteB,$O1452)="","—",INDEX(LdgNoteB,$O1452)),""))</f>
        <v/>
      </c>
      <c r="N1452">
        <f>IFERROR(MATCH($C$5&amp;"|"&amp;RIGHT("000000"&amp;1436,6),LdgRankKeyA,0),"")</f>
        <v/>
      </c>
      <c r="O1452">
        <f>IFERROR(MATCH($C$5&amp;"|"&amp;RIGHT("000000"&amp;1436,6),LdgRankKeyB,0),"")</f>
        <v/>
      </c>
    </row>
    <row r="1453">
      <c r="A1453" s="17" t="n">
        <v>1437</v>
      </c>
      <c r="B1453" s="18">
        <f>IF(AND($N1453="",$O1453=""),"",IF($N1453&lt;&gt;"",INDEX(PCNormDate,$N1453),INDEX(LdgDateB,$O1453)))</f>
        <v/>
      </c>
      <c r="C1453" s="18">
        <f>IF($N1453&lt;&gt;"",INDEX(PCOp,$N1453),IF($O1453&lt;&gt;"",IF(N(INDEX(TxnDepB,$O1453))&gt;0,"دریافت بانکی","پرداخت بانکی"),""))</f>
        <v/>
      </c>
      <c r="D1453" s="18">
        <f>IF($N1453&lt;&gt;"",IF(INDEX(PCDoc,$N1453)="","—",INDEX(PCDoc,$N1453)),IF($O1453&lt;&gt;"",INDEX(LdgBankB,$O1453),""))</f>
        <v/>
      </c>
      <c r="E1453" s="18">
        <f>IF($N1453&lt;&gt;"",IF(INDEX(PCCitrus,$N1453)="","—",INDEX(PCCitrus,$N1453)),"")</f>
        <v/>
      </c>
      <c r="F1453" s="19">
        <f>IF($N1453&lt;&gt;"",IF(INDEX(PCScale,$N1453)=0,"",INDEX(PCScale,$N1453)),"")</f>
        <v/>
      </c>
      <c r="G1453" s="19">
        <f>IF($N1453&lt;&gt;"",IF(INDEX(PCBaskets,$N1453)=0,"",INDEX(PCBaskets,$N1453)),"")</f>
        <v/>
      </c>
      <c r="H1453" s="20">
        <f>IF($N1453&lt;&gt;"",IF(INDEX(PCNet,$N1453)=0,"",INDEX(PCNet,$N1453)),"")</f>
        <v/>
      </c>
      <c r="I1453" s="19">
        <f>IF($N1453&lt;&gt;"",IF(INDEX(PCOp,$N1453)="مرجوعی خرید","",IF(INDEX(PCAmount,$N1453)&lt;=0,"",INDEX(PCAmount,$N1453))),IF($O1453&lt;&gt;"",IF(INDEX(TxnDepB,$O1453)=0,"",INDEX(TxnDepB,$O1453)),""))</f>
        <v/>
      </c>
      <c r="J1453" s="19">
        <f>IF($N1453&lt;&gt;"",IF(INDEX(PCOp,$N1453)="مرجوعی خرید",IF(INDEX(PCAmount,$N1453)=0,"",-INDEX(PCAmount,$N1453)),""),IF($O1453&lt;&gt;"",IF(INDEX(TxnWitB,$O1453)=0,"",INDEX(TxnWitB,$O1453)),""))</f>
        <v/>
      </c>
      <c r="K1453" s="21">
        <f>IF($B1453="","",IF($K1452="",$C$10,$K1452)+IF($I1453="",0,$I1453)-IF($J1453="",0,$J1453))</f>
        <v/>
      </c>
      <c r="L1453" s="22">
        <f>IF($N1453&lt;&gt;"",IF(INDEX(PCNotes,$N1453)="","—",INDEX(PCNotes,$N1453)),IF($O1453&lt;&gt;"",IF(INDEX(LdgNoteB,$O1453)="","—",INDEX(LdgNoteB,$O1453)),""))</f>
        <v/>
      </c>
      <c r="N1453">
        <f>IFERROR(MATCH($C$5&amp;"|"&amp;RIGHT("000000"&amp;1437,6),LdgRankKeyA,0),"")</f>
        <v/>
      </c>
      <c r="O1453">
        <f>IFERROR(MATCH($C$5&amp;"|"&amp;RIGHT("000000"&amp;1437,6),LdgRankKeyB,0),"")</f>
        <v/>
      </c>
    </row>
    <row r="1454">
      <c r="A1454" s="23" t="n">
        <v>1438</v>
      </c>
      <c r="B1454" s="24">
        <f>IF(AND($N1454="",$O1454=""),"",IF($N1454&lt;&gt;"",INDEX(PCNormDate,$N1454),INDEX(LdgDateB,$O1454)))</f>
        <v/>
      </c>
      <c r="C1454" s="24">
        <f>IF($N1454&lt;&gt;"",INDEX(PCOp,$N1454),IF($O1454&lt;&gt;"",IF(N(INDEX(TxnDepB,$O1454))&gt;0,"دریافت بانکی","پرداخت بانکی"),""))</f>
        <v/>
      </c>
      <c r="D1454" s="24">
        <f>IF($N1454&lt;&gt;"",IF(INDEX(PCDoc,$N1454)="","—",INDEX(PCDoc,$N1454)),IF($O1454&lt;&gt;"",INDEX(LdgBankB,$O1454),""))</f>
        <v/>
      </c>
      <c r="E1454" s="24">
        <f>IF($N1454&lt;&gt;"",IF(INDEX(PCCitrus,$N1454)="","—",INDEX(PCCitrus,$N1454)),"")</f>
        <v/>
      </c>
      <c r="F1454" s="25">
        <f>IF($N1454&lt;&gt;"",IF(INDEX(PCScale,$N1454)=0,"",INDEX(PCScale,$N1454)),"")</f>
        <v/>
      </c>
      <c r="G1454" s="25">
        <f>IF($N1454&lt;&gt;"",IF(INDEX(PCBaskets,$N1454)=0,"",INDEX(PCBaskets,$N1454)),"")</f>
        <v/>
      </c>
      <c r="H1454" s="26">
        <f>IF($N1454&lt;&gt;"",IF(INDEX(PCNet,$N1454)=0,"",INDEX(PCNet,$N1454)),"")</f>
        <v/>
      </c>
      <c r="I1454" s="25">
        <f>IF($N1454&lt;&gt;"",IF(INDEX(PCOp,$N1454)="مرجوعی خرید","",IF(INDEX(PCAmount,$N1454)&lt;=0,"",INDEX(PCAmount,$N1454))),IF($O1454&lt;&gt;"",IF(INDEX(TxnDepB,$O1454)=0,"",INDEX(TxnDepB,$O1454)),""))</f>
        <v/>
      </c>
      <c r="J1454" s="25">
        <f>IF($N1454&lt;&gt;"",IF(INDEX(PCOp,$N1454)="مرجوعی خرید",IF(INDEX(PCAmount,$N1454)=0,"",-INDEX(PCAmount,$N1454)),""),IF($O1454&lt;&gt;"",IF(INDEX(TxnWitB,$O1454)=0,"",INDEX(TxnWitB,$O1454)),""))</f>
        <v/>
      </c>
      <c r="K1454" s="27">
        <f>IF($B1454="","",IF($K1453="",$C$10,$K1453)+IF($I1454="",0,$I1454)-IF($J1454="",0,$J1454))</f>
        <v/>
      </c>
      <c r="L1454" s="28">
        <f>IF($N1454&lt;&gt;"",IF(INDEX(PCNotes,$N1454)="","—",INDEX(PCNotes,$N1454)),IF($O1454&lt;&gt;"",IF(INDEX(LdgNoteB,$O1454)="","—",INDEX(LdgNoteB,$O1454)),""))</f>
        <v/>
      </c>
      <c r="N1454">
        <f>IFERROR(MATCH($C$5&amp;"|"&amp;RIGHT("000000"&amp;1438,6),LdgRankKeyA,0),"")</f>
        <v/>
      </c>
      <c r="O1454">
        <f>IFERROR(MATCH($C$5&amp;"|"&amp;RIGHT("000000"&amp;1438,6),LdgRankKeyB,0),"")</f>
        <v/>
      </c>
    </row>
    <row r="1455">
      <c r="A1455" s="17" t="n">
        <v>1439</v>
      </c>
      <c r="B1455" s="18">
        <f>IF(AND($N1455="",$O1455=""),"",IF($N1455&lt;&gt;"",INDEX(PCNormDate,$N1455),INDEX(LdgDateB,$O1455)))</f>
        <v/>
      </c>
      <c r="C1455" s="18">
        <f>IF($N1455&lt;&gt;"",INDEX(PCOp,$N1455),IF($O1455&lt;&gt;"",IF(N(INDEX(TxnDepB,$O1455))&gt;0,"دریافت بانکی","پرداخت بانکی"),""))</f>
        <v/>
      </c>
      <c r="D1455" s="18">
        <f>IF($N1455&lt;&gt;"",IF(INDEX(PCDoc,$N1455)="","—",INDEX(PCDoc,$N1455)),IF($O1455&lt;&gt;"",INDEX(LdgBankB,$O1455),""))</f>
        <v/>
      </c>
      <c r="E1455" s="18">
        <f>IF($N1455&lt;&gt;"",IF(INDEX(PCCitrus,$N1455)="","—",INDEX(PCCitrus,$N1455)),"")</f>
        <v/>
      </c>
      <c r="F1455" s="19">
        <f>IF($N1455&lt;&gt;"",IF(INDEX(PCScale,$N1455)=0,"",INDEX(PCScale,$N1455)),"")</f>
        <v/>
      </c>
      <c r="G1455" s="19">
        <f>IF($N1455&lt;&gt;"",IF(INDEX(PCBaskets,$N1455)=0,"",INDEX(PCBaskets,$N1455)),"")</f>
        <v/>
      </c>
      <c r="H1455" s="20">
        <f>IF($N1455&lt;&gt;"",IF(INDEX(PCNet,$N1455)=0,"",INDEX(PCNet,$N1455)),"")</f>
        <v/>
      </c>
      <c r="I1455" s="19">
        <f>IF($N1455&lt;&gt;"",IF(INDEX(PCOp,$N1455)="مرجوعی خرید","",IF(INDEX(PCAmount,$N1455)&lt;=0,"",INDEX(PCAmount,$N1455))),IF($O1455&lt;&gt;"",IF(INDEX(TxnDepB,$O1455)=0,"",INDEX(TxnDepB,$O1455)),""))</f>
        <v/>
      </c>
      <c r="J1455" s="19">
        <f>IF($N1455&lt;&gt;"",IF(INDEX(PCOp,$N1455)="مرجوعی خرید",IF(INDEX(PCAmount,$N1455)=0,"",-INDEX(PCAmount,$N1455)),""),IF($O1455&lt;&gt;"",IF(INDEX(TxnWitB,$O1455)=0,"",INDEX(TxnWitB,$O1455)),""))</f>
        <v/>
      </c>
      <c r="K1455" s="21">
        <f>IF($B1455="","",IF($K1454="",$C$10,$K1454)+IF($I1455="",0,$I1455)-IF($J1455="",0,$J1455))</f>
        <v/>
      </c>
      <c r="L1455" s="22">
        <f>IF($N1455&lt;&gt;"",IF(INDEX(PCNotes,$N1455)="","—",INDEX(PCNotes,$N1455)),IF($O1455&lt;&gt;"",IF(INDEX(LdgNoteB,$O1455)="","—",INDEX(LdgNoteB,$O1455)),""))</f>
        <v/>
      </c>
      <c r="N1455">
        <f>IFERROR(MATCH($C$5&amp;"|"&amp;RIGHT("000000"&amp;1439,6),LdgRankKeyA,0),"")</f>
        <v/>
      </c>
      <c r="O1455">
        <f>IFERROR(MATCH($C$5&amp;"|"&amp;RIGHT("000000"&amp;1439,6),LdgRankKeyB,0),"")</f>
        <v/>
      </c>
    </row>
    <row r="1456">
      <c r="A1456" s="23" t="n">
        <v>1440</v>
      </c>
      <c r="B1456" s="24">
        <f>IF(AND($N1456="",$O1456=""),"",IF($N1456&lt;&gt;"",INDEX(PCNormDate,$N1456),INDEX(LdgDateB,$O1456)))</f>
        <v/>
      </c>
      <c r="C1456" s="24">
        <f>IF($N1456&lt;&gt;"",INDEX(PCOp,$N1456),IF($O1456&lt;&gt;"",IF(N(INDEX(TxnDepB,$O1456))&gt;0,"دریافت بانکی","پرداخت بانکی"),""))</f>
        <v/>
      </c>
      <c r="D1456" s="24">
        <f>IF($N1456&lt;&gt;"",IF(INDEX(PCDoc,$N1456)="","—",INDEX(PCDoc,$N1456)),IF($O1456&lt;&gt;"",INDEX(LdgBankB,$O1456),""))</f>
        <v/>
      </c>
      <c r="E1456" s="24">
        <f>IF($N1456&lt;&gt;"",IF(INDEX(PCCitrus,$N1456)="","—",INDEX(PCCitrus,$N1456)),"")</f>
        <v/>
      </c>
      <c r="F1456" s="25">
        <f>IF($N1456&lt;&gt;"",IF(INDEX(PCScale,$N1456)=0,"",INDEX(PCScale,$N1456)),"")</f>
        <v/>
      </c>
      <c r="G1456" s="25">
        <f>IF($N1456&lt;&gt;"",IF(INDEX(PCBaskets,$N1456)=0,"",INDEX(PCBaskets,$N1456)),"")</f>
        <v/>
      </c>
      <c r="H1456" s="26">
        <f>IF($N1456&lt;&gt;"",IF(INDEX(PCNet,$N1456)=0,"",INDEX(PCNet,$N1456)),"")</f>
        <v/>
      </c>
      <c r="I1456" s="25">
        <f>IF($N1456&lt;&gt;"",IF(INDEX(PCOp,$N1456)="مرجوعی خرید","",IF(INDEX(PCAmount,$N1456)&lt;=0,"",INDEX(PCAmount,$N1456))),IF($O1456&lt;&gt;"",IF(INDEX(TxnDepB,$O1456)=0,"",INDEX(TxnDepB,$O1456)),""))</f>
        <v/>
      </c>
      <c r="J1456" s="25">
        <f>IF($N1456&lt;&gt;"",IF(INDEX(PCOp,$N1456)="مرجوعی خرید",IF(INDEX(PCAmount,$N1456)=0,"",-INDEX(PCAmount,$N1456)),""),IF($O1456&lt;&gt;"",IF(INDEX(TxnWitB,$O1456)=0,"",INDEX(TxnWitB,$O1456)),""))</f>
        <v/>
      </c>
      <c r="K1456" s="27">
        <f>IF($B1456="","",IF($K1455="",$C$10,$K1455)+IF($I1456="",0,$I1456)-IF($J1456="",0,$J1456))</f>
        <v/>
      </c>
      <c r="L1456" s="28">
        <f>IF($N1456&lt;&gt;"",IF(INDEX(PCNotes,$N1456)="","—",INDEX(PCNotes,$N1456)),IF($O1456&lt;&gt;"",IF(INDEX(LdgNoteB,$O1456)="","—",INDEX(LdgNoteB,$O1456)),""))</f>
        <v/>
      </c>
      <c r="N1456">
        <f>IFERROR(MATCH($C$5&amp;"|"&amp;RIGHT("000000"&amp;1440,6),LdgRankKeyA,0),"")</f>
        <v/>
      </c>
      <c r="O1456">
        <f>IFERROR(MATCH($C$5&amp;"|"&amp;RIGHT("000000"&amp;1440,6),LdgRankKeyB,0),"")</f>
        <v/>
      </c>
    </row>
    <row r="1457">
      <c r="A1457" s="17" t="n">
        <v>1441</v>
      </c>
      <c r="B1457" s="18">
        <f>IF(AND($N1457="",$O1457=""),"",IF($N1457&lt;&gt;"",INDEX(PCNormDate,$N1457),INDEX(LdgDateB,$O1457)))</f>
        <v/>
      </c>
      <c r="C1457" s="18">
        <f>IF($N1457&lt;&gt;"",INDEX(PCOp,$N1457),IF($O1457&lt;&gt;"",IF(N(INDEX(TxnDepB,$O1457))&gt;0,"دریافت بانکی","پرداخت بانکی"),""))</f>
        <v/>
      </c>
      <c r="D1457" s="18">
        <f>IF($N1457&lt;&gt;"",IF(INDEX(PCDoc,$N1457)="","—",INDEX(PCDoc,$N1457)),IF($O1457&lt;&gt;"",INDEX(LdgBankB,$O1457),""))</f>
        <v/>
      </c>
      <c r="E1457" s="18">
        <f>IF($N1457&lt;&gt;"",IF(INDEX(PCCitrus,$N1457)="","—",INDEX(PCCitrus,$N1457)),"")</f>
        <v/>
      </c>
      <c r="F1457" s="19">
        <f>IF($N1457&lt;&gt;"",IF(INDEX(PCScale,$N1457)=0,"",INDEX(PCScale,$N1457)),"")</f>
        <v/>
      </c>
      <c r="G1457" s="19">
        <f>IF($N1457&lt;&gt;"",IF(INDEX(PCBaskets,$N1457)=0,"",INDEX(PCBaskets,$N1457)),"")</f>
        <v/>
      </c>
      <c r="H1457" s="20">
        <f>IF($N1457&lt;&gt;"",IF(INDEX(PCNet,$N1457)=0,"",INDEX(PCNet,$N1457)),"")</f>
        <v/>
      </c>
      <c r="I1457" s="19">
        <f>IF($N1457&lt;&gt;"",IF(INDEX(PCOp,$N1457)="مرجوعی خرید","",IF(INDEX(PCAmount,$N1457)&lt;=0,"",INDEX(PCAmount,$N1457))),IF($O1457&lt;&gt;"",IF(INDEX(TxnDepB,$O1457)=0,"",INDEX(TxnDepB,$O1457)),""))</f>
        <v/>
      </c>
      <c r="J1457" s="19">
        <f>IF($N1457&lt;&gt;"",IF(INDEX(PCOp,$N1457)="مرجوعی خرید",IF(INDEX(PCAmount,$N1457)=0,"",-INDEX(PCAmount,$N1457)),""),IF($O1457&lt;&gt;"",IF(INDEX(TxnWitB,$O1457)=0,"",INDEX(TxnWitB,$O1457)),""))</f>
        <v/>
      </c>
      <c r="K1457" s="21">
        <f>IF($B1457="","",IF($K1456="",$C$10,$K1456)+IF($I1457="",0,$I1457)-IF($J1457="",0,$J1457))</f>
        <v/>
      </c>
      <c r="L1457" s="22">
        <f>IF($N1457&lt;&gt;"",IF(INDEX(PCNotes,$N1457)="","—",INDEX(PCNotes,$N1457)),IF($O1457&lt;&gt;"",IF(INDEX(LdgNoteB,$O1457)="","—",INDEX(LdgNoteB,$O1457)),""))</f>
        <v/>
      </c>
      <c r="N1457">
        <f>IFERROR(MATCH($C$5&amp;"|"&amp;RIGHT("000000"&amp;1441,6),LdgRankKeyA,0),"")</f>
        <v/>
      </c>
      <c r="O1457">
        <f>IFERROR(MATCH($C$5&amp;"|"&amp;RIGHT("000000"&amp;1441,6),LdgRankKeyB,0),"")</f>
        <v/>
      </c>
    </row>
    <row r="1458">
      <c r="A1458" s="23" t="n">
        <v>1442</v>
      </c>
      <c r="B1458" s="24">
        <f>IF(AND($N1458="",$O1458=""),"",IF($N1458&lt;&gt;"",INDEX(PCNormDate,$N1458),INDEX(LdgDateB,$O1458)))</f>
        <v/>
      </c>
      <c r="C1458" s="24">
        <f>IF($N1458&lt;&gt;"",INDEX(PCOp,$N1458),IF($O1458&lt;&gt;"",IF(N(INDEX(TxnDepB,$O1458))&gt;0,"دریافت بانکی","پرداخت بانکی"),""))</f>
        <v/>
      </c>
      <c r="D1458" s="24">
        <f>IF($N1458&lt;&gt;"",IF(INDEX(PCDoc,$N1458)="","—",INDEX(PCDoc,$N1458)),IF($O1458&lt;&gt;"",INDEX(LdgBankB,$O1458),""))</f>
        <v/>
      </c>
      <c r="E1458" s="24">
        <f>IF($N1458&lt;&gt;"",IF(INDEX(PCCitrus,$N1458)="","—",INDEX(PCCitrus,$N1458)),"")</f>
        <v/>
      </c>
      <c r="F1458" s="25">
        <f>IF($N1458&lt;&gt;"",IF(INDEX(PCScale,$N1458)=0,"",INDEX(PCScale,$N1458)),"")</f>
        <v/>
      </c>
      <c r="G1458" s="25">
        <f>IF($N1458&lt;&gt;"",IF(INDEX(PCBaskets,$N1458)=0,"",INDEX(PCBaskets,$N1458)),"")</f>
        <v/>
      </c>
      <c r="H1458" s="26">
        <f>IF($N1458&lt;&gt;"",IF(INDEX(PCNet,$N1458)=0,"",INDEX(PCNet,$N1458)),"")</f>
        <v/>
      </c>
      <c r="I1458" s="25">
        <f>IF($N1458&lt;&gt;"",IF(INDEX(PCOp,$N1458)="مرجوعی خرید","",IF(INDEX(PCAmount,$N1458)&lt;=0,"",INDEX(PCAmount,$N1458))),IF($O1458&lt;&gt;"",IF(INDEX(TxnDepB,$O1458)=0,"",INDEX(TxnDepB,$O1458)),""))</f>
        <v/>
      </c>
      <c r="J1458" s="25">
        <f>IF($N1458&lt;&gt;"",IF(INDEX(PCOp,$N1458)="مرجوعی خرید",IF(INDEX(PCAmount,$N1458)=0,"",-INDEX(PCAmount,$N1458)),""),IF($O1458&lt;&gt;"",IF(INDEX(TxnWitB,$O1458)=0,"",INDEX(TxnWitB,$O1458)),""))</f>
        <v/>
      </c>
      <c r="K1458" s="27">
        <f>IF($B1458="","",IF($K1457="",$C$10,$K1457)+IF($I1458="",0,$I1458)-IF($J1458="",0,$J1458))</f>
        <v/>
      </c>
      <c r="L1458" s="28">
        <f>IF($N1458&lt;&gt;"",IF(INDEX(PCNotes,$N1458)="","—",INDEX(PCNotes,$N1458)),IF($O1458&lt;&gt;"",IF(INDEX(LdgNoteB,$O1458)="","—",INDEX(LdgNoteB,$O1458)),""))</f>
        <v/>
      </c>
      <c r="N1458">
        <f>IFERROR(MATCH($C$5&amp;"|"&amp;RIGHT("000000"&amp;1442,6),LdgRankKeyA,0),"")</f>
        <v/>
      </c>
      <c r="O1458">
        <f>IFERROR(MATCH($C$5&amp;"|"&amp;RIGHT("000000"&amp;1442,6),LdgRankKeyB,0),"")</f>
        <v/>
      </c>
    </row>
    <row r="1459">
      <c r="A1459" s="17" t="n">
        <v>1443</v>
      </c>
      <c r="B1459" s="18">
        <f>IF(AND($N1459="",$O1459=""),"",IF($N1459&lt;&gt;"",INDEX(PCNormDate,$N1459),INDEX(LdgDateB,$O1459)))</f>
        <v/>
      </c>
      <c r="C1459" s="18">
        <f>IF($N1459&lt;&gt;"",INDEX(PCOp,$N1459),IF($O1459&lt;&gt;"",IF(N(INDEX(TxnDepB,$O1459))&gt;0,"دریافت بانکی","پرداخت بانکی"),""))</f>
        <v/>
      </c>
      <c r="D1459" s="18">
        <f>IF($N1459&lt;&gt;"",IF(INDEX(PCDoc,$N1459)="","—",INDEX(PCDoc,$N1459)),IF($O1459&lt;&gt;"",INDEX(LdgBankB,$O1459),""))</f>
        <v/>
      </c>
      <c r="E1459" s="18">
        <f>IF($N1459&lt;&gt;"",IF(INDEX(PCCitrus,$N1459)="","—",INDEX(PCCitrus,$N1459)),"")</f>
        <v/>
      </c>
      <c r="F1459" s="19">
        <f>IF($N1459&lt;&gt;"",IF(INDEX(PCScale,$N1459)=0,"",INDEX(PCScale,$N1459)),"")</f>
        <v/>
      </c>
      <c r="G1459" s="19">
        <f>IF($N1459&lt;&gt;"",IF(INDEX(PCBaskets,$N1459)=0,"",INDEX(PCBaskets,$N1459)),"")</f>
        <v/>
      </c>
      <c r="H1459" s="20">
        <f>IF($N1459&lt;&gt;"",IF(INDEX(PCNet,$N1459)=0,"",INDEX(PCNet,$N1459)),"")</f>
        <v/>
      </c>
      <c r="I1459" s="19">
        <f>IF($N1459&lt;&gt;"",IF(INDEX(PCOp,$N1459)="مرجوعی خرید","",IF(INDEX(PCAmount,$N1459)&lt;=0,"",INDEX(PCAmount,$N1459))),IF($O1459&lt;&gt;"",IF(INDEX(TxnDepB,$O1459)=0,"",INDEX(TxnDepB,$O1459)),""))</f>
        <v/>
      </c>
      <c r="J1459" s="19">
        <f>IF($N1459&lt;&gt;"",IF(INDEX(PCOp,$N1459)="مرجوعی خرید",IF(INDEX(PCAmount,$N1459)=0,"",-INDEX(PCAmount,$N1459)),""),IF($O1459&lt;&gt;"",IF(INDEX(TxnWitB,$O1459)=0,"",INDEX(TxnWitB,$O1459)),""))</f>
        <v/>
      </c>
      <c r="K1459" s="21">
        <f>IF($B1459="","",IF($K1458="",$C$10,$K1458)+IF($I1459="",0,$I1459)-IF($J1459="",0,$J1459))</f>
        <v/>
      </c>
      <c r="L1459" s="22">
        <f>IF($N1459&lt;&gt;"",IF(INDEX(PCNotes,$N1459)="","—",INDEX(PCNotes,$N1459)),IF($O1459&lt;&gt;"",IF(INDEX(LdgNoteB,$O1459)="","—",INDEX(LdgNoteB,$O1459)),""))</f>
        <v/>
      </c>
      <c r="N1459">
        <f>IFERROR(MATCH($C$5&amp;"|"&amp;RIGHT("000000"&amp;1443,6),LdgRankKeyA,0),"")</f>
        <v/>
      </c>
      <c r="O1459">
        <f>IFERROR(MATCH($C$5&amp;"|"&amp;RIGHT("000000"&amp;1443,6),LdgRankKeyB,0),"")</f>
        <v/>
      </c>
    </row>
    <row r="1460">
      <c r="A1460" s="23" t="n">
        <v>1444</v>
      </c>
      <c r="B1460" s="24">
        <f>IF(AND($N1460="",$O1460=""),"",IF($N1460&lt;&gt;"",INDEX(PCNormDate,$N1460),INDEX(LdgDateB,$O1460)))</f>
        <v/>
      </c>
      <c r="C1460" s="24">
        <f>IF($N1460&lt;&gt;"",INDEX(PCOp,$N1460),IF($O1460&lt;&gt;"",IF(N(INDEX(TxnDepB,$O1460))&gt;0,"دریافت بانکی","پرداخت بانکی"),""))</f>
        <v/>
      </c>
      <c r="D1460" s="24">
        <f>IF($N1460&lt;&gt;"",IF(INDEX(PCDoc,$N1460)="","—",INDEX(PCDoc,$N1460)),IF($O1460&lt;&gt;"",INDEX(LdgBankB,$O1460),""))</f>
        <v/>
      </c>
      <c r="E1460" s="24">
        <f>IF($N1460&lt;&gt;"",IF(INDEX(PCCitrus,$N1460)="","—",INDEX(PCCitrus,$N1460)),"")</f>
        <v/>
      </c>
      <c r="F1460" s="25">
        <f>IF($N1460&lt;&gt;"",IF(INDEX(PCScale,$N1460)=0,"",INDEX(PCScale,$N1460)),"")</f>
        <v/>
      </c>
      <c r="G1460" s="25">
        <f>IF($N1460&lt;&gt;"",IF(INDEX(PCBaskets,$N1460)=0,"",INDEX(PCBaskets,$N1460)),"")</f>
        <v/>
      </c>
      <c r="H1460" s="26">
        <f>IF($N1460&lt;&gt;"",IF(INDEX(PCNet,$N1460)=0,"",INDEX(PCNet,$N1460)),"")</f>
        <v/>
      </c>
      <c r="I1460" s="25">
        <f>IF($N1460&lt;&gt;"",IF(INDEX(PCOp,$N1460)="مرجوعی خرید","",IF(INDEX(PCAmount,$N1460)&lt;=0,"",INDEX(PCAmount,$N1460))),IF($O1460&lt;&gt;"",IF(INDEX(TxnDepB,$O1460)=0,"",INDEX(TxnDepB,$O1460)),""))</f>
        <v/>
      </c>
      <c r="J1460" s="25">
        <f>IF($N1460&lt;&gt;"",IF(INDEX(PCOp,$N1460)="مرجوعی خرید",IF(INDEX(PCAmount,$N1460)=0,"",-INDEX(PCAmount,$N1460)),""),IF($O1460&lt;&gt;"",IF(INDEX(TxnWitB,$O1460)=0,"",INDEX(TxnWitB,$O1460)),""))</f>
        <v/>
      </c>
      <c r="K1460" s="27">
        <f>IF($B1460="","",IF($K1459="",$C$10,$K1459)+IF($I1460="",0,$I1460)-IF($J1460="",0,$J1460))</f>
        <v/>
      </c>
      <c r="L1460" s="28">
        <f>IF($N1460&lt;&gt;"",IF(INDEX(PCNotes,$N1460)="","—",INDEX(PCNotes,$N1460)),IF($O1460&lt;&gt;"",IF(INDEX(LdgNoteB,$O1460)="","—",INDEX(LdgNoteB,$O1460)),""))</f>
        <v/>
      </c>
      <c r="N1460">
        <f>IFERROR(MATCH($C$5&amp;"|"&amp;RIGHT("000000"&amp;1444,6),LdgRankKeyA,0),"")</f>
        <v/>
      </c>
      <c r="O1460">
        <f>IFERROR(MATCH($C$5&amp;"|"&amp;RIGHT("000000"&amp;1444,6),LdgRankKeyB,0),"")</f>
        <v/>
      </c>
    </row>
    <row r="1461">
      <c r="A1461" s="17" t="n">
        <v>1445</v>
      </c>
      <c r="B1461" s="18">
        <f>IF(AND($N1461="",$O1461=""),"",IF($N1461&lt;&gt;"",INDEX(PCNormDate,$N1461),INDEX(LdgDateB,$O1461)))</f>
        <v/>
      </c>
      <c r="C1461" s="18">
        <f>IF($N1461&lt;&gt;"",INDEX(PCOp,$N1461),IF($O1461&lt;&gt;"",IF(N(INDEX(TxnDepB,$O1461))&gt;0,"دریافت بانکی","پرداخت بانکی"),""))</f>
        <v/>
      </c>
      <c r="D1461" s="18">
        <f>IF($N1461&lt;&gt;"",IF(INDEX(PCDoc,$N1461)="","—",INDEX(PCDoc,$N1461)),IF($O1461&lt;&gt;"",INDEX(LdgBankB,$O1461),""))</f>
        <v/>
      </c>
      <c r="E1461" s="18">
        <f>IF($N1461&lt;&gt;"",IF(INDEX(PCCitrus,$N1461)="","—",INDEX(PCCitrus,$N1461)),"")</f>
        <v/>
      </c>
      <c r="F1461" s="19">
        <f>IF($N1461&lt;&gt;"",IF(INDEX(PCScale,$N1461)=0,"",INDEX(PCScale,$N1461)),"")</f>
        <v/>
      </c>
      <c r="G1461" s="19">
        <f>IF($N1461&lt;&gt;"",IF(INDEX(PCBaskets,$N1461)=0,"",INDEX(PCBaskets,$N1461)),"")</f>
        <v/>
      </c>
      <c r="H1461" s="20">
        <f>IF($N1461&lt;&gt;"",IF(INDEX(PCNet,$N1461)=0,"",INDEX(PCNet,$N1461)),"")</f>
        <v/>
      </c>
      <c r="I1461" s="19">
        <f>IF($N1461&lt;&gt;"",IF(INDEX(PCOp,$N1461)="مرجوعی خرید","",IF(INDEX(PCAmount,$N1461)&lt;=0,"",INDEX(PCAmount,$N1461))),IF($O1461&lt;&gt;"",IF(INDEX(TxnDepB,$O1461)=0,"",INDEX(TxnDepB,$O1461)),""))</f>
        <v/>
      </c>
      <c r="J1461" s="19">
        <f>IF($N1461&lt;&gt;"",IF(INDEX(PCOp,$N1461)="مرجوعی خرید",IF(INDEX(PCAmount,$N1461)=0,"",-INDEX(PCAmount,$N1461)),""),IF($O1461&lt;&gt;"",IF(INDEX(TxnWitB,$O1461)=0,"",INDEX(TxnWitB,$O1461)),""))</f>
        <v/>
      </c>
      <c r="K1461" s="21">
        <f>IF($B1461="","",IF($K1460="",$C$10,$K1460)+IF($I1461="",0,$I1461)-IF($J1461="",0,$J1461))</f>
        <v/>
      </c>
      <c r="L1461" s="22">
        <f>IF($N1461&lt;&gt;"",IF(INDEX(PCNotes,$N1461)="","—",INDEX(PCNotes,$N1461)),IF($O1461&lt;&gt;"",IF(INDEX(LdgNoteB,$O1461)="","—",INDEX(LdgNoteB,$O1461)),""))</f>
        <v/>
      </c>
      <c r="N1461">
        <f>IFERROR(MATCH($C$5&amp;"|"&amp;RIGHT("000000"&amp;1445,6),LdgRankKeyA,0),"")</f>
        <v/>
      </c>
      <c r="O1461">
        <f>IFERROR(MATCH($C$5&amp;"|"&amp;RIGHT("000000"&amp;1445,6),LdgRankKeyB,0),"")</f>
        <v/>
      </c>
    </row>
    <row r="1462">
      <c r="A1462" s="23" t="n">
        <v>1446</v>
      </c>
      <c r="B1462" s="24">
        <f>IF(AND($N1462="",$O1462=""),"",IF($N1462&lt;&gt;"",INDEX(PCNormDate,$N1462),INDEX(LdgDateB,$O1462)))</f>
        <v/>
      </c>
      <c r="C1462" s="24">
        <f>IF($N1462&lt;&gt;"",INDEX(PCOp,$N1462),IF($O1462&lt;&gt;"",IF(N(INDEX(TxnDepB,$O1462))&gt;0,"دریافت بانکی","پرداخت بانکی"),""))</f>
        <v/>
      </c>
      <c r="D1462" s="24">
        <f>IF($N1462&lt;&gt;"",IF(INDEX(PCDoc,$N1462)="","—",INDEX(PCDoc,$N1462)),IF($O1462&lt;&gt;"",INDEX(LdgBankB,$O1462),""))</f>
        <v/>
      </c>
      <c r="E1462" s="24">
        <f>IF($N1462&lt;&gt;"",IF(INDEX(PCCitrus,$N1462)="","—",INDEX(PCCitrus,$N1462)),"")</f>
        <v/>
      </c>
      <c r="F1462" s="25">
        <f>IF($N1462&lt;&gt;"",IF(INDEX(PCScale,$N1462)=0,"",INDEX(PCScale,$N1462)),"")</f>
        <v/>
      </c>
      <c r="G1462" s="25">
        <f>IF($N1462&lt;&gt;"",IF(INDEX(PCBaskets,$N1462)=0,"",INDEX(PCBaskets,$N1462)),"")</f>
        <v/>
      </c>
      <c r="H1462" s="26">
        <f>IF($N1462&lt;&gt;"",IF(INDEX(PCNet,$N1462)=0,"",INDEX(PCNet,$N1462)),"")</f>
        <v/>
      </c>
      <c r="I1462" s="25">
        <f>IF($N1462&lt;&gt;"",IF(INDEX(PCOp,$N1462)="مرجوعی خرید","",IF(INDEX(PCAmount,$N1462)&lt;=0,"",INDEX(PCAmount,$N1462))),IF($O1462&lt;&gt;"",IF(INDEX(TxnDepB,$O1462)=0,"",INDEX(TxnDepB,$O1462)),""))</f>
        <v/>
      </c>
      <c r="J1462" s="25">
        <f>IF($N1462&lt;&gt;"",IF(INDEX(PCOp,$N1462)="مرجوعی خرید",IF(INDEX(PCAmount,$N1462)=0,"",-INDEX(PCAmount,$N1462)),""),IF($O1462&lt;&gt;"",IF(INDEX(TxnWitB,$O1462)=0,"",INDEX(TxnWitB,$O1462)),""))</f>
        <v/>
      </c>
      <c r="K1462" s="27">
        <f>IF($B1462="","",IF($K1461="",$C$10,$K1461)+IF($I1462="",0,$I1462)-IF($J1462="",0,$J1462))</f>
        <v/>
      </c>
      <c r="L1462" s="28">
        <f>IF($N1462&lt;&gt;"",IF(INDEX(PCNotes,$N1462)="","—",INDEX(PCNotes,$N1462)),IF($O1462&lt;&gt;"",IF(INDEX(LdgNoteB,$O1462)="","—",INDEX(LdgNoteB,$O1462)),""))</f>
        <v/>
      </c>
      <c r="N1462">
        <f>IFERROR(MATCH($C$5&amp;"|"&amp;RIGHT("000000"&amp;1446,6),LdgRankKeyA,0),"")</f>
        <v/>
      </c>
      <c r="O1462">
        <f>IFERROR(MATCH($C$5&amp;"|"&amp;RIGHT("000000"&amp;1446,6),LdgRankKeyB,0),"")</f>
        <v/>
      </c>
    </row>
    <row r="1463">
      <c r="A1463" s="17" t="n">
        <v>1447</v>
      </c>
      <c r="B1463" s="18">
        <f>IF(AND($N1463="",$O1463=""),"",IF($N1463&lt;&gt;"",INDEX(PCNormDate,$N1463),INDEX(LdgDateB,$O1463)))</f>
        <v/>
      </c>
      <c r="C1463" s="18">
        <f>IF($N1463&lt;&gt;"",INDEX(PCOp,$N1463),IF($O1463&lt;&gt;"",IF(N(INDEX(TxnDepB,$O1463))&gt;0,"دریافت بانکی","پرداخت بانکی"),""))</f>
        <v/>
      </c>
      <c r="D1463" s="18">
        <f>IF($N1463&lt;&gt;"",IF(INDEX(PCDoc,$N1463)="","—",INDEX(PCDoc,$N1463)),IF($O1463&lt;&gt;"",INDEX(LdgBankB,$O1463),""))</f>
        <v/>
      </c>
      <c r="E1463" s="18">
        <f>IF($N1463&lt;&gt;"",IF(INDEX(PCCitrus,$N1463)="","—",INDEX(PCCitrus,$N1463)),"")</f>
        <v/>
      </c>
      <c r="F1463" s="19">
        <f>IF($N1463&lt;&gt;"",IF(INDEX(PCScale,$N1463)=0,"",INDEX(PCScale,$N1463)),"")</f>
        <v/>
      </c>
      <c r="G1463" s="19">
        <f>IF($N1463&lt;&gt;"",IF(INDEX(PCBaskets,$N1463)=0,"",INDEX(PCBaskets,$N1463)),"")</f>
        <v/>
      </c>
      <c r="H1463" s="20">
        <f>IF($N1463&lt;&gt;"",IF(INDEX(PCNet,$N1463)=0,"",INDEX(PCNet,$N1463)),"")</f>
        <v/>
      </c>
      <c r="I1463" s="19">
        <f>IF($N1463&lt;&gt;"",IF(INDEX(PCOp,$N1463)="مرجوعی خرید","",IF(INDEX(PCAmount,$N1463)&lt;=0,"",INDEX(PCAmount,$N1463))),IF($O1463&lt;&gt;"",IF(INDEX(TxnDepB,$O1463)=0,"",INDEX(TxnDepB,$O1463)),""))</f>
        <v/>
      </c>
      <c r="J1463" s="19">
        <f>IF($N1463&lt;&gt;"",IF(INDEX(PCOp,$N1463)="مرجوعی خرید",IF(INDEX(PCAmount,$N1463)=0,"",-INDEX(PCAmount,$N1463)),""),IF($O1463&lt;&gt;"",IF(INDEX(TxnWitB,$O1463)=0,"",INDEX(TxnWitB,$O1463)),""))</f>
        <v/>
      </c>
      <c r="K1463" s="21">
        <f>IF($B1463="","",IF($K1462="",$C$10,$K1462)+IF($I1463="",0,$I1463)-IF($J1463="",0,$J1463))</f>
        <v/>
      </c>
      <c r="L1463" s="22">
        <f>IF($N1463&lt;&gt;"",IF(INDEX(PCNotes,$N1463)="","—",INDEX(PCNotes,$N1463)),IF($O1463&lt;&gt;"",IF(INDEX(LdgNoteB,$O1463)="","—",INDEX(LdgNoteB,$O1463)),""))</f>
        <v/>
      </c>
      <c r="N1463">
        <f>IFERROR(MATCH($C$5&amp;"|"&amp;RIGHT("000000"&amp;1447,6),LdgRankKeyA,0),"")</f>
        <v/>
      </c>
      <c r="O1463">
        <f>IFERROR(MATCH($C$5&amp;"|"&amp;RIGHT("000000"&amp;1447,6),LdgRankKeyB,0),"")</f>
        <v/>
      </c>
    </row>
    <row r="1464">
      <c r="A1464" s="23" t="n">
        <v>1448</v>
      </c>
      <c r="B1464" s="24">
        <f>IF(AND($N1464="",$O1464=""),"",IF($N1464&lt;&gt;"",INDEX(PCNormDate,$N1464),INDEX(LdgDateB,$O1464)))</f>
        <v/>
      </c>
      <c r="C1464" s="24">
        <f>IF($N1464&lt;&gt;"",INDEX(PCOp,$N1464),IF($O1464&lt;&gt;"",IF(N(INDEX(TxnDepB,$O1464))&gt;0,"دریافت بانکی","پرداخت بانکی"),""))</f>
        <v/>
      </c>
      <c r="D1464" s="24">
        <f>IF($N1464&lt;&gt;"",IF(INDEX(PCDoc,$N1464)="","—",INDEX(PCDoc,$N1464)),IF($O1464&lt;&gt;"",INDEX(LdgBankB,$O1464),""))</f>
        <v/>
      </c>
      <c r="E1464" s="24">
        <f>IF($N1464&lt;&gt;"",IF(INDEX(PCCitrus,$N1464)="","—",INDEX(PCCitrus,$N1464)),"")</f>
        <v/>
      </c>
      <c r="F1464" s="25">
        <f>IF($N1464&lt;&gt;"",IF(INDEX(PCScale,$N1464)=0,"",INDEX(PCScale,$N1464)),"")</f>
        <v/>
      </c>
      <c r="G1464" s="25">
        <f>IF($N1464&lt;&gt;"",IF(INDEX(PCBaskets,$N1464)=0,"",INDEX(PCBaskets,$N1464)),"")</f>
        <v/>
      </c>
      <c r="H1464" s="26">
        <f>IF($N1464&lt;&gt;"",IF(INDEX(PCNet,$N1464)=0,"",INDEX(PCNet,$N1464)),"")</f>
        <v/>
      </c>
      <c r="I1464" s="25">
        <f>IF($N1464&lt;&gt;"",IF(INDEX(PCOp,$N1464)="مرجوعی خرید","",IF(INDEX(PCAmount,$N1464)&lt;=0,"",INDEX(PCAmount,$N1464))),IF($O1464&lt;&gt;"",IF(INDEX(TxnDepB,$O1464)=0,"",INDEX(TxnDepB,$O1464)),""))</f>
        <v/>
      </c>
      <c r="J1464" s="25">
        <f>IF($N1464&lt;&gt;"",IF(INDEX(PCOp,$N1464)="مرجوعی خرید",IF(INDEX(PCAmount,$N1464)=0,"",-INDEX(PCAmount,$N1464)),""),IF($O1464&lt;&gt;"",IF(INDEX(TxnWitB,$O1464)=0,"",INDEX(TxnWitB,$O1464)),""))</f>
        <v/>
      </c>
      <c r="K1464" s="27">
        <f>IF($B1464="","",IF($K1463="",$C$10,$K1463)+IF($I1464="",0,$I1464)-IF($J1464="",0,$J1464))</f>
        <v/>
      </c>
      <c r="L1464" s="28">
        <f>IF($N1464&lt;&gt;"",IF(INDEX(PCNotes,$N1464)="","—",INDEX(PCNotes,$N1464)),IF($O1464&lt;&gt;"",IF(INDEX(LdgNoteB,$O1464)="","—",INDEX(LdgNoteB,$O1464)),""))</f>
        <v/>
      </c>
      <c r="N1464">
        <f>IFERROR(MATCH($C$5&amp;"|"&amp;RIGHT("000000"&amp;1448,6),LdgRankKeyA,0),"")</f>
        <v/>
      </c>
      <c r="O1464">
        <f>IFERROR(MATCH($C$5&amp;"|"&amp;RIGHT("000000"&amp;1448,6),LdgRankKeyB,0),"")</f>
        <v/>
      </c>
    </row>
    <row r="1465">
      <c r="A1465" s="17" t="n">
        <v>1449</v>
      </c>
      <c r="B1465" s="18">
        <f>IF(AND($N1465="",$O1465=""),"",IF($N1465&lt;&gt;"",INDEX(PCNormDate,$N1465),INDEX(LdgDateB,$O1465)))</f>
        <v/>
      </c>
      <c r="C1465" s="18">
        <f>IF($N1465&lt;&gt;"",INDEX(PCOp,$N1465),IF($O1465&lt;&gt;"",IF(N(INDEX(TxnDepB,$O1465))&gt;0,"دریافت بانکی","پرداخت بانکی"),""))</f>
        <v/>
      </c>
      <c r="D1465" s="18">
        <f>IF($N1465&lt;&gt;"",IF(INDEX(PCDoc,$N1465)="","—",INDEX(PCDoc,$N1465)),IF($O1465&lt;&gt;"",INDEX(LdgBankB,$O1465),""))</f>
        <v/>
      </c>
      <c r="E1465" s="18">
        <f>IF($N1465&lt;&gt;"",IF(INDEX(PCCitrus,$N1465)="","—",INDEX(PCCitrus,$N1465)),"")</f>
        <v/>
      </c>
      <c r="F1465" s="19">
        <f>IF($N1465&lt;&gt;"",IF(INDEX(PCScale,$N1465)=0,"",INDEX(PCScale,$N1465)),"")</f>
        <v/>
      </c>
      <c r="G1465" s="19">
        <f>IF($N1465&lt;&gt;"",IF(INDEX(PCBaskets,$N1465)=0,"",INDEX(PCBaskets,$N1465)),"")</f>
        <v/>
      </c>
      <c r="H1465" s="20">
        <f>IF($N1465&lt;&gt;"",IF(INDEX(PCNet,$N1465)=0,"",INDEX(PCNet,$N1465)),"")</f>
        <v/>
      </c>
      <c r="I1465" s="19">
        <f>IF($N1465&lt;&gt;"",IF(INDEX(PCOp,$N1465)="مرجوعی خرید","",IF(INDEX(PCAmount,$N1465)&lt;=0,"",INDEX(PCAmount,$N1465))),IF($O1465&lt;&gt;"",IF(INDEX(TxnDepB,$O1465)=0,"",INDEX(TxnDepB,$O1465)),""))</f>
        <v/>
      </c>
      <c r="J1465" s="19">
        <f>IF($N1465&lt;&gt;"",IF(INDEX(PCOp,$N1465)="مرجوعی خرید",IF(INDEX(PCAmount,$N1465)=0,"",-INDEX(PCAmount,$N1465)),""),IF($O1465&lt;&gt;"",IF(INDEX(TxnWitB,$O1465)=0,"",INDEX(TxnWitB,$O1465)),""))</f>
        <v/>
      </c>
      <c r="K1465" s="21">
        <f>IF($B1465="","",IF($K1464="",$C$10,$K1464)+IF($I1465="",0,$I1465)-IF($J1465="",0,$J1465))</f>
        <v/>
      </c>
      <c r="L1465" s="22">
        <f>IF($N1465&lt;&gt;"",IF(INDEX(PCNotes,$N1465)="","—",INDEX(PCNotes,$N1465)),IF($O1465&lt;&gt;"",IF(INDEX(LdgNoteB,$O1465)="","—",INDEX(LdgNoteB,$O1465)),""))</f>
        <v/>
      </c>
      <c r="N1465">
        <f>IFERROR(MATCH($C$5&amp;"|"&amp;RIGHT("000000"&amp;1449,6),LdgRankKeyA,0),"")</f>
        <v/>
      </c>
      <c r="O1465">
        <f>IFERROR(MATCH($C$5&amp;"|"&amp;RIGHT("000000"&amp;1449,6),LdgRankKeyB,0),"")</f>
        <v/>
      </c>
    </row>
    <row r="1466">
      <c r="A1466" s="23" t="n">
        <v>1450</v>
      </c>
      <c r="B1466" s="24">
        <f>IF(AND($N1466="",$O1466=""),"",IF($N1466&lt;&gt;"",INDEX(PCNormDate,$N1466),INDEX(LdgDateB,$O1466)))</f>
        <v/>
      </c>
      <c r="C1466" s="24">
        <f>IF($N1466&lt;&gt;"",INDEX(PCOp,$N1466),IF($O1466&lt;&gt;"",IF(N(INDEX(TxnDepB,$O1466))&gt;0,"دریافت بانکی","پرداخت بانکی"),""))</f>
        <v/>
      </c>
      <c r="D1466" s="24">
        <f>IF($N1466&lt;&gt;"",IF(INDEX(PCDoc,$N1466)="","—",INDEX(PCDoc,$N1466)),IF($O1466&lt;&gt;"",INDEX(LdgBankB,$O1466),""))</f>
        <v/>
      </c>
      <c r="E1466" s="24">
        <f>IF($N1466&lt;&gt;"",IF(INDEX(PCCitrus,$N1466)="","—",INDEX(PCCitrus,$N1466)),"")</f>
        <v/>
      </c>
      <c r="F1466" s="25">
        <f>IF($N1466&lt;&gt;"",IF(INDEX(PCScale,$N1466)=0,"",INDEX(PCScale,$N1466)),"")</f>
        <v/>
      </c>
      <c r="G1466" s="25">
        <f>IF($N1466&lt;&gt;"",IF(INDEX(PCBaskets,$N1466)=0,"",INDEX(PCBaskets,$N1466)),"")</f>
        <v/>
      </c>
      <c r="H1466" s="26">
        <f>IF($N1466&lt;&gt;"",IF(INDEX(PCNet,$N1466)=0,"",INDEX(PCNet,$N1466)),"")</f>
        <v/>
      </c>
      <c r="I1466" s="25">
        <f>IF($N1466&lt;&gt;"",IF(INDEX(PCOp,$N1466)="مرجوعی خرید","",IF(INDEX(PCAmount,$N1466)&lt;=0,"",INDEX(PCAmount,$N1466))),IF($O1466&lt;&gt;"",IF(INDEX(TxnDepB,$O1466)=0,"",INDEX(TxnDepB,$O1466)),""))</f>
        <v/>
      </c>
      <c r="J1466" s="25">
        <f>IF($N1466&lt;&gt;"",IF(INDEX(PCOp,$N1466)="مرجوعی خرید",IF(INDEX(PCAmount,$N1466)=0,"",-INDEX(PCAmount,$N1466)),""),IF($O1466&lt;&gt;"",IF(INDEX(TxnWitB,$O1466)=0,"",INDEX(TxnWitB,$O1466)),""))</f>
        <v/>
      </c>
      <c r="K1466" s="27">
        <f>IF($B1466="","",IF($K1465="",$C$10,$K1465)+IF($I1466="",0,$I1466)-IF($J1466="",0,$J1466))</f>
        <v/>
      </c>
      <c r="L1466" s="28">
        <f>IF($N1466&lt;&gt;"",IF(INDEX(PCNotes,$N1466)="","—",INDEX(PCNotes,$N1466)),IF($O1466&lt;&gt;"",IF(INDEX(LdgNoteB,$O1466)="","—",INDEX(LdgNoteB,$O1466)),""))</f>
        <v/>
      </c>
      <c r="N1466">
        <f>IFERROR(MATCH($C$5&amp;"|"&amp;RIGHT("000000"&amp;1450,6),LdgRankKeyA,0),"")</f>
        <v/>
      </c>
      <c r="O1466">
        <f>IFERROR(MATCH($C$5&amp;"|"&amp;RIGHT("000000"&amp;1450,6),LdgRankKeyB,0),"")</f>
        <v/>
      </c>
    </row>
    <row r="1467">
      <c r="A1467" s="17" t="n">
        <v>1451</v>
      </c>
      <c r="B1467" s="18">
        <f>IF(AND($N1467="",$O1467=""),"",IF($N1467&lt;&gt;"",INDEX(PCNormDate,$N1467),INDEX(LdgDateB,$O1467)))</f>
        <v/>
      </c>
      <c r="C1467" s="18">
        <f>IF($N1467&lt;&gt;"",INDEX(PCOp,$N1467),IF($O1467&lt;&gt;"",IF(N(INDEX(TxnDepB,$O1467))&gt;0,"دریافت بانکی","پرداخت بانکی"),""))</f>
        <v/>
      </c>
      <c r="D1467" s="18">
        <f>IF($N1467&lt;&gt;"",IF(INDEX(PCDoc,$N1467)="","—",INDEX(PCDoc,$N1467)),IF($O1467&lt;&gt;"",INDEX(LdgBankB,$O1467),""))</f>
        <v/>
      </c>
      <c r="E1467" s="18">
        <f>IF($N1467&lt;&gt;"",IF(INDEX(PCCitrus,$N1467)="","—",INDEX(PCCitrus,$N1467)),"")</f>
        <v/>
      </c>
      <c r="F1467" s="19">
        <f>IF($N1467&lt;&gt;"",IF(INDEX(PCScale,$N1467)=0,"",INDEX(PCScale,$N1467)),"")</f>
        <v/>
      </c>
      <c r="G1467" s="19">
        <f>IF($N1467&lt;&gt;"",IF(INDEX(PCBaskets,$N1467)=0,"",INDEX(PCBaskets,$N1467)),"")</f>
        <v/>
      </c>
      <c r="H1467" s="20">
        <f>IF($N1467&lt;&gt;"",IF(INDEX(PCNet,$N1467)=0,"",INDEX(PCNet,$N1467)),"")</f>
        <v/>
      </c>
      <c r="I1467" s="19">
        <f>IF($N1467&lt;&gt;"",IF(INDEX(PCOp,$N1467)="مرجوعی خرید","",IF(INDEX(PCAmount,$N1467)&lt;=0,"",INDEX(PCAmount,$N1467))),IF($O1467&lt;&gt;"",IF(INDEX(TxnDepB,$O1467)=0,"",INDEX(TxnDepB,$O1467)),""))</f>
        <v/>
      </c>
      <c r="J1467" s="19">
        <f>IF($N1467&lt;&gt;"",IF(INDEX(PCOp,$N1467)="مرجوعی خرید",IF(INDEX(PCAmount,$N1467)=0,"",-INDEX(PCAmount,$N1467)),""),IF($O1467&lt;&gt;"",IF(INDEX(TxnWitB,$O1467)=0,"",INDEX(TxnWitB,$O1467)),""))</f>
        <v/>
      </c>
      <c r="K1467" s="21">
        <f>IF($B1467="","",IF($K1466="",$C$10,$K1466)+IF($I1467="",0,$I1467)-IF($J1467="",0,$J1467))</f>
        <v/>
      </c>
      <c r="L1467" s="22">
        <f>IF($N1467&lt;&gt;"",IF(INDEX(PCNotes,$N1467)="","—",INDEX(PCNotes,$N1467)),IF($O1467&lt;&gt;"",IF(INDEX(LdgNoteB,$O1467)="","—",INDEX(LdgNoteB,$O1467)),""))</f>
        <v/>
      </c>
      <c r="N1467">
        <f>IFERROR(MATCH($C$5&amp;"|"&amp;RIGHT("000000"&amp;1451,6),LdgRankKeyA,0),"")</f>
        <v/>
      </c>
      <c r="O1467">
        <f>IFERROR(MATCH($C$5&amp;"|"&amp;RIGHT("000000"&amp;1451,6),LdgRankKeyB,0),"")</f>
        <v/>
      </c>
    </row>
    <row r="1468">
      <c r="A1468" s="23" t="n">
        <v>1452</v>
      </c>
      <c r="B1468" s="24">
        <f>IF(AND($N1468="",$O1468=""),"",IF($N1468&lt;&gt;"",INDEX(PCNormDate,$N1468),INDEX(LdgDateB,$O1468)))</f>
        <v/>
      </c>
      <c r="C1468" s="24">
        <f>IF($N1468&lt;&gt;"",INDEX(PCOp,$N1468),IF($O1468&lt;&gt;"",IF(N(INDEX(TxnDepB,$O1468))&gt;0,"دریافت بانکی","پرداخت بانکی"),""))</f>
        <v/>
      </c>
      <c r="D1468" s="24">
        <f>IF($N1468&lt;&gt;"",IF(INDEX(PCDoc,$N1468)="","—",INDEX(PCDoc,$N1468)),IF($O1468&lt;&gt;"",INDEX(LdgBankB,$O1468),""))</f>
        <v/>
      </c>
      <c r="E1468" s="24">
        <f>IF($N1468&lt;&gt;"",IF(INDEX(PCCitrus,$N1468)="","—",INDEX(PCCitrus,$N1468)),"")</f>
        <v/>
      </c>
      <c r="F1468" s="25">
        <f>IF($N1468&lt;&gt;"",IF(INDEX(PCScale,$N1468)=0,"",INDEX(PCScale,$N1468)),"")</f>
        <v/>
      </c>
      <c r="G1468" s="25">
        <f>IF($N1468&lt;&gt;"",IF(INDEX(PCBaskets,$N1468)=0,"",INDEX(PCBaskets,$N1468)),"")</f>
        <v/>
      </c>
      <c r="H1468" s="26">
        <f>IF($N1468&lt;&gt;"",IF(INDEX(PCNet,$N1468)=0,"",INDEX(PCNet,$N1468)),"")</f>
        <v/>
      </c>
      <c r="I1468" s="25">
        <f>IF($N1468&lt;&gt;"",IF(INDEX(PCOp,$N1468)="مرجوعی خرید","",IF(INDEX(PCAmount,$N1468)&lt;=0,"",INDEX(PCAmount,$N1468))),IF($O1468&lt;&gt;"",IF(INDEX(TxnDepB,$O1468)=0,"",INDEX(TxnDepB,$O1468)),""))</f>
        <v/>
      </c>
      <c r="J1468" s="25">
        <f>IF($N1468&lt;&gt;"",IF(INDEX(PCOp,$N1468)="مرجوعی خرید",IF(INDEX(PCAmount,$N1468)=0,"",-INDEX(PCAmount,$N1468)),""),IF($O1468&lt;&gt;"",IF(INDEX(TxnWitB,$O1468)=0,"",INDEX(TxnWitB,$O1468)),""))</f>
        <v/>
      </c>
      <c r="K1468" s="27">
        <f>IF($B1468="","",IF($K1467="",$C$10,$K1467)+IF($I1468="",0,$I1468)-IF($J1468="",0,$J1468))</f>
        <v/>
      </c>
      <c r="L1468" s="28">
        <f>IF($N1468&lt;&gt;"",IF(INDEX(PCNotes,$N1468)="","—",INDEX(PCNotes,$N1468)),IF($O1468&lt;&gt;"",IF(INDEX(LdgNoteB,$O1468)="","—",INDEX(LdgNoteB,$O1468)),""))</f>
        <v/>
      </c>
      <c r="N1468">
        <f>IFERROR(MATCH($C$5&amp;"|"&amp;RIGHT("000000"&amp;1452,6),LdgRankKeyA,0),"")</f>
        <v/>
      </c>
      <c r="O1468">
        <f>IFERROR(MATCH($C$5&amp;"|"&amp;RIGHT("000000"&amp;1452,6),LdgRankKeyB,0),"")</f>
        <v/>
      </c>
    </row>
    <row r="1469">
      <c r="A1469" s="17" t="n">
        <v>1453</v>
      </c>
      <c r="B1469" s="18">
        <f>IF(AND($N1469="",$O1469=""),"",IF($N1469&lt;&gt;"",INDEX(PCNormDate,$N1469),INDEX(LdgDateB,$O1469)))</f>
        <v/>
      </c>
      <c r="C1469" s="18">
        <f>IF($N1469&lt;&gt;"",INDEX(PCOp,$N1469),IF($O1469&lt;&gt;"",IF(N(INDEX(TxnDepB,$O1469))&gt;0,"دریافت بانکی","پرداخت بانکی"),""))</f>
        <v/>
      </c>
      <c r="D1469" s="18">
        <f>IF($N1469&lt;&gt;"",IF(INDEX(PCDoc,$N1469)="","—",INDEX(PCDoc,$N1469)),IF($O1469&lt;&gt;"",INDEX(LdgBankB,$O1469),""))</f>
        <v/>
      </c>
      <c r="E1469" s="18">
        <f>IF($N1469&lt;&gt;"",IF(INDEX(PCCitrus,$N1469)="","—",INDEX(PCCitrus,$N1469)),"")</f>
        <v/>
      </c>
      <c r="F1469" s="19">
        <f>IF($N1469&lt;&gt;"",IF(INDEX(PCScale,$N1469)=0,"",INDEX(PCScale,$N1469)),"")</f>
        <v/>
      </c>
      <c r="G1469" s="19">
        <f>IF($N1469&lt;&gt;"",IF(INDEX(PCBaskets,$N1469)=0,"",INDEX(PCBaskets,$N1469)),"")</f>
        <v/>
      </c>
      <c r="H1469" s="20">
        <f>IF($N1469&lt;&gt;"",IF(INDEX(PCNet,$N1469)=0,"",INDEX(PCNet,$N1469)),"")</f>
        <v/>
      </c>
      <c r="I1469" s="19">
        <f>IF($N1469&lt;&gt;"",IF(INDEX(PCOp,$N1469)="مرجوعی خرید","",IF(INDEX(PCAmount,$N1469)&lt;=0,"",INDEX(PCAmount,$N1469))),IF($O1469&lt;&gt;"",IF(INDEX(TxnDepB,$O1469)=0,"",INDEX(TxnDepB,$O1469)),""))</f>
        <v/>
      </c>
      <c r="J1469" s="19">
        <f>IF($N1469&lt;&gt;"",IF(INDEX(PCOp,$N1469)="مرجوعی خرید",IF(INDEX(PCAmount,$N1469)=0,"",-INDEX(PCAmount,$N1469)),""),IF($O1469&lt;&gt;"",IF(INDEX(TxnWitB,$O1469)=0,"",INDEX(TxnWitB,$O1469)),""))</f>
        <v/>
      </c>
      <c r="K1469" s="21">
        <f>IF($B1469="","",IF($K1468="",$C$10,$K1468)+IF($I1469="",0,$I1469)-IF($J1469="",0,$J1469))</f>
        <v/>
      </c>
      <c r="L1469" s="22">
        <f>IF($N1469&lt;&gt;"",IF(INDEX(PCNotes,$N1469)="","—",INDEX(PCNotes,$N1469)),IF($O1469&lt;&gt;"",IF(INDEX(LdgNoteB,$O1469)="","—",INDEX(LdgNoteB,$O1469)),""))</f>
        <v/>
      </c>
      <c r="N1469">
        <f>IFERROR(MATCH($C$5&amp;"|"&amp;RIGHT("000000"&amp;1453,6),LdgRankKeyA,0),"")</f>
        <v/>
      </c>
      <c r="O1469">
        <f>IFERROR(MATCH($C$5&amp;"|"&amp;RIGHT("000000"&amp;1453,6),LdgRankKeyB,0),"")</f>
        <v/>
      </c>
    </row>
    <row r="1470">
      <c r="A1470" s="23" t="n">
        <v>1454</v>
      </c>
      <c r="B1470" s="24">
        <f>IF(AND($N1470="",$O1470=""),"",IF($N1470&lt;&gt;"",INDEX(PCNormDate,$N1470),INDEX(LdgDateB,$O1470)))</f>
        <v/>
      </c>
      <c r="C1470" s="24">
        <f>IF($N1470&lt;&gt;"",INDEX(PCOp,$N1470),IF($O1470&lt;&gt;"",IF(N(INDEX(TxnDepB,$O1470))&gt;0,"دریافت بانکی","پرداخت بانکی"),""))</f>
        <v/>
      </c>
      <c r="D1470" s="24">
        <f>IF($N1470&lt;&gt;"",IF(INDEX(PCDoc,$N1470)="","—",INDEX(PCDoc,$N1470)),IF($O1470&lt;&gt;"",INDEX(LdgBankB,$O1470),""))</f>
        <v/>
      </c>
      <c r="E1470" s="24">
        <f>IF($N1470&lt;&gt;"",IF(INDEX(PCCitrus,$N1470)="","—",INDEX(PCCitrus,$N1470)),"")</f>
        <v/>
      </c>
      <c r="F1470" s="25">
        <f>IF($N1470&lt;&gt;"",IF(INDEX(PCScale,$N1470)=0,"",INDEX(PCScale,$N1470)),"")</f>
        <v/>
      </c>
      <c r="G1470" s="25">
        <f>IF($N1470&lt;&gt;"",IF(INDEX(PCBaskets,$N1470)=0,"",INDEX(PCBaskets,$N1470)),"")</f>
        <v/>
      </c>
      <c r="H1470" s="26">
        <f>IF($N1470&lt;&gt;"",IF(INDEX(PCNet,$N1470)=0,"",INDEX(PCNet,$N1470)),"")</f>
        <v/>
      </c>
      <c r="I1470" s="25">
        <f>IF($N1470&lt;&gt;"",IF(INDEX(PCOp,$N1470)="مرجوعی خرید","",IF(INDEX(PCAmount,$N1470)&lt;=0,"",INDEX(PCAmount,$N1470))),IF($O1470&lt;&gt;"",IF(INDEX(TxnDepB,$O1470)=0,"",INDEX(TxnDepB,$O1470)),""))</f>
        <v/>
      </c>
      <c r="J1470" s="25">
        <f>IF($N1470&lt;&gt;"",IF(INDEX(PCOp,$N1470)="مرجوعی خرید",IF(INDEX(PCAmount,$N1470)=0,"",-INDEX(PCAmount,$N1470)),""),IF($O1470&lt;&gt;"",IF(INDEX(TxnWitB,$O1470)=0,"",INDEX(TxnWitB,$O1470)),""))</f>
        <v/>
      </c>
      <c r="K1470" s="27">
        <f>IF($B1470="","",IF($K1469="",$C$10,$K1469)+IF($I1470="",0,$I1470)-IF($J1470="",0,$J1470))</f>
        <v/>
      </c>
      <c r="L1470" s="28">
        <f>IF($N1470&lt;&gt;"",IF(INDEX(PCNotes,$N1470)="","—",INDEX(PCNotes,$N1470)),IF($O1470&lt;&gt;"",IF(INDEX(LdgNoteB,$O1470)="","—",INDEX(LdgNoteB,$O1470)),""))</f>
        <v/>
      </c>
      <c r="N1470">
        <f>IFERROR(MATCH($C$5&amp;"|"&amp;RIGHT("000000"&amp;1454,6),LdgRankKeyA,0),"")</f>
        <v/>
      </c>
      <c r="O1470">
        <f>IFERROR(MATCH($C$5&amp;"|"&amp;RIGHT("000000"&amp;1454,6),LdgRankKeyB,0),"")</f>
        <v/>
      </c>
    </row>
    <row r="1471">
      <c r="A1471" s="17" t="n">
        <v>1455</v>
      </c>
      <c r="B1471" s="18">
        <f>IF(AND($N1471="",$O1471=""),"",IF($N1471&lt;&gt;"",INDEX(PCNormDate,$N1471),INDEX(LdgDateB,$O1471)))</f>
        <v/>
      </c>
      <c r="C1471" s="18">
        <f>IF($N1471&lt;&gt;"",INDEX(PCOp,$N1471),IF($O1471&lt;&gt;"",IF(N(INDEX(TxnDepB,$O1471))&gt;0,"دریافت بانکی","پرداخت بانکی"),""))</f>
        <v/>
      </c>
      <c r="D1471" s="18">
        <f>IF($N1471&lt;&gt;"",IF(INDEX(PCDoc,$N1471)="","—",INDEX(PCDoc,$N1471)),IF($O1471&lt;&gt;"",INDEX(LdgBankB,$O1471),""))</f>
        <v/>
      </c>
      <c r="E1471" s="18">
        <f>IF($N1471&lt;&gt;"",IF(INDEX(PCCitrus,$N1471)="","—",INDEX(PCCitrus,$N1471)),"")</f>
        <v/>
      </c>
      <c r="F1471" s="19">
        <f>IF($N1471&lt;&gt;"",IF(INDEX(PCScale,$N1471)=0,"",INDEX(PCScale,$N1471)),"")</f>
        <v/>
      </c>
      <c r="G1471" s="19">
        <f>IF($N1471&lt;&gt;"",IF(INDEX(PCBaskets,$N1471)=0,"",INDEX(PCBaskets,$N1471)),"")</f>
        <v/>
      </c>
      <c r="H1471" s="20">
        <f>IF($N1471&lt;&gt;"",IF(INDEX(PCNet,$N1471)=0,"",INDEX(PCNet,$N1471)),"")</f>
        <v/>
      </c>
      <c r="I1471" s="19">
        <f>IF($N1471&lt;&gt;"",IF(INDEX(PCOp,$N1471)="مرجوعی خرید","",IF(INDEX(PCAmount,$N1471)&lt;=0,"",INDEX(PCAmount,$N1471))),IF($O1471&lt;&gt;"",IF(INDEX(TxnDepB,$O1471)=0,"",INDEX(TxnDepB,$O1471)),""))</f>
        <v/>
      </c>
      <c r="J1471" s="19">
        <f>IF($N1471&lt;&gt;"",IF(INDEX(PCOp,$N1471)="مرجوعی خرید",IF(INDEX(PCAmount,$N1471)=0,"",-INDEX(PCAmount,$N1471)),""),IF($O1471&lt;&gt;"",IF(INDEX(TxnWitB,$O1471)=0,"",INDEX(TxnWitB,$O1471)),""))</f>
        <v/>
      </c>
      <c r="K1471" s="21">
        <f>IF($B1471="","",IF($K1470="",$C$10,$K1470)+IF($I1471="",0,$I1471)-IF($J1471="",0,$J1471))</f>
        <v/>
      </c>
      <c r="L1471" s="22">
        <f>IF($N1471&lt;&gt;"",IF(INDEX(PCNotes,$N1471)="","—",INDEX(PCNotes,$N1471)),IF($O1471&lt;&gt;"",IF(INDEX(LdgNoteB,$O1471)="","—",INDEX(LdgNoteB,$O1471)),""))</f>
        <v/>
      </c>
      <c r="N1471">
        <f>IFERROR(MATCH($C$5&amp;"|"&amp;RIGHT("000000"&amp;1455,6),LdgRankKeyA,0),"")</f>
        <v/>
      </c>
      <c r="O1471">
        <f>IFERROR(MATCH($C$5&amp;"|"&amp;RIGHT("000000"&amp;1455,6),LdgRankKeyB,0),"")</f>
        <v/>
      </c>
    </row>
    <row r="1472">
      <c r="A1472" s="23" t="n">
        <v>1456</v>
      </c>
      <c r="B1472" s="24">
        <f>IF(AND($N1472="",$O1472=""),"",IF($N1472&lt;&gt;"",INDEX(PCNormDate,$N1472),INDEX(LdgDateB,$O1472)))</f>
        <v/>
      </c>
      <c r="C1472" s="24">
        <f>IF($N1472&lt;&gt;"",INDEX(PCOp,$N1472),IF($O1472&lt;&gt;"",IF(N(INDEX(TxnDepB,$O1472))&gt;0,"دریافت بانکی","پرداخت بانکی"),""))</f>
        <v/>
      </c>
      <c r="D1472" s="24">
        <f>IF($N1472&lt;&gt;"",IF(INDEX(PCDoc,$N1472)="","—",INDEX(PCDoc,$N1472)),IF($O1472&lt;&gt;"",INDEX(LdgBankB,$O1472),""))</f>
        <v/>
      </c>
      <c r="E1472" s="24">
        <f>IF($N1472&lt;&gt;"",IF(INDEX(PCCitrus,$N1472)="","—",INDEX(PCCitrus,$N1472)),"")</f>
        <v/>
      </c>
      <c r="F1472" s="25">
        <f>IF($N1472&lt;&gt;"",IF(INDEX(PCScale,$N1472)=0,"",INDEX(PCScale,$N1472)),"")</f>
        <v/>
      </c>
      <c r="G1472" s="25">
        <f>IF($N1472&lt;&gt;"",IF(INDEX(PCBaskets,$N1472)=0,"",INDEX(PCBaskets,$N1472)),"")</f>
        <v/>
      </c>
      <c r="H1472" s="26">
        <f>IF($N1472&lt;&gt;"",IF(INDEX(PCNet,$N1472)=0,"",INDEX(PCNet,$N1472)),"")</f>
        <v/>
      </c>
      <c r="I1472" s="25">
        <f>IF($N1472&lt;&gt;"",IF(INDEX(PCOp,$N1472)="مرجوعی خرید","",IF(INDEX(PCAmount,$N1472)&lt;=0,"",INDEX(PCAmount,$N1472))),IF($O1472&lt;&gt;"",IF(INDEX(TxnDepB,$O1472)=0,"",INDEX(TxnDepB,$O1472)),""))</f>
        <v/>
      </c>
      <c r="J1472" s="25">
        <f>IF($N1472&lt;&gt;"",IF(INDEX(PCOp,$N1472)="مرجوعی خرید",IF(INDEX(PCAmount,$N1472)=0,"",-INDEX(PCAmount,$N1472)),""),IF($O1472&lt;&gt;"",IF(INDEX(TxnWitB,$O1472)=0,"",INDEX(TxnWitB,$O1472)),""))</f>
        <v/>
      </c>
      <c r="K1472" s="27">
        <f>IF($B1472="","",IF($K1471="",$C$10,$K1471)+IF($I1472="",0,$I1472)-IF($J1472="",0,$J1472))</f>
        <v/>
      </c>
      <c r="L1472" s="28">
        <f>IF($N1472&lt;&gt;"",IF(INDEX(PCNotes,$N1472)="","—",INDEX(PCNotes,$N1472)),IF($O1472&lt;&gt;"",IF(INDEX(LdgNoteB,$O1472)="","—",INDEX(LdgNoteB,$O1472)),""))</f>
        <v/>
      </c>
      <c r="N1472">
        <f>IFERROR(MATCH($C$5&amp;"|"&amp;RIGHT("000000"&amp;1456,6),LdgRankKeyA,0),"")</f>
        <v/>
      </c>
      <c r="O1472">
        <f>IFERROR(MATCH($C$5&amp;"|"&amp;RIGHT("000000"&amp;1456,6),LdgRankKeyB,0),"")</f>
        <v/>
      </c>
    </row>
    <row r="1473">
      <c r="A1473" s="17" t="n">
        <v>1457</v>
      </c>
      <c r="B1473" s="18">
        <f>IF(AND($N1473="",$O1473=""),"",IF($N1473&lt;&gt;"",INDEX(PCNormDate,$N1473),INDEX(LdgDateB,$O1473)))</f>
        <v/>
      </c>
      <c r="C1473" s="18">
        <f>IF($N1473&lt;&gt;"",INDEX(PCOp,$N1473),IF($O1473&lt;&gt;"",IF(N(INDEX(TxnDepB,$O1473))&gt;0,"دریافت بانکی","پرداخت بانکی"),""))</f>
        <v/>
      </c>
      <c r="D1473" s="18">
        <f>IF($N1473&lt;&gt;"",IF(INDEX(PCDoc,$N1473)="","—",INDEX(PCDoc,$N1473)),IF($O1473&lt;&gt;"",INDEX(LdgBankB,$O1473),""))</f>
        <v/>
      </c>
      <c r="E1473" s="18">
        <f>IF($N1473&lt;&gt;"",IF(INDEX(PCCitrus,$N1473)="","—",INDEX(PCCitrus,$N1473)),"")</f>
        <v/>
      </c>
      <c r="F1473" s="19">
        <f>IF($N1473&lt;&gt;"",IF(INDEX(PCScale,$N1473)=0,"",INDEX(PCScale,$N1473)),"")</f>
        <v/>
      </c>
      <c r="G1473" s="19">
        <f>IF($N1473&lt;&gt;"",IF(INDEX(PCBaskets,$N1473)=0,"",INDEX(PCBaskets,$N1473)),"")</f>
        <v/>
      </c>
      <c r="H1473" s="20">
        <f>IF($N1473&lt;&gt;"",IF(INDEX(PCNet,$N1473)=0,"",INDEX(PCNet,$N1473)),"")</f>
        <v/>
      </c>
      <c r="I1473" s="19">
        <f>IF($N1473&lt;&gt;"",IF(INDEX(PCOp,$N1473)="مرجوعی خرید","",IF(INDEX(PCAmount,$N1473)&lt;=0,"",INDEX(PCAmount,$N1473))),IF($O1473&lt;&gt;"",IF(INDEX(TxnDepB,$O1473)=0,"",INDEX(TxnDepB,$O1473)),""))</f>
        <v/>
      </c>
      <c r="J1473" s="19">
        <f>IF($N1473&lt;&gt;"",IF(INDEX(PCOp,$N1473)="مرجوعی خرید",IF(INDEX(PCAmount,$N1473)=0,"",-INDEX(PCAmount,$N1473)),""),IF($O1473&lt;&gt;"",IF(INDEX(TxnWitB,$O1473)=0,"",INDEX(TxnWitB,$O1473)),""))</f>
        <v/>
      </c>
      <c r="K1473" s="21">
        <f>IF($B1473="","",IF($K1472="",$C$10,$K1472)+IF($I1473="",0,$I1473)-IF($J1473="",0,$J1473))</f>
        <v/>
      </c>
      <c r="L1473" s="22">
        <f>IF($N1473&lt;&gt;"",IF(INDEX(PCNotes,$N1473)="","—",INDEX(PCNotes,$N1473)),IF($O1473&lt;&gt;"",IF(INDEX(LdgNoteB,$O1473)="","—",INDEX(LdgNoteB,$O1473)),""))</f>
        <v/>
      </c>
      <c r="N1473">
        <f>IFERROR(MATCH($C$5&amp;"|"&amp;RIGHT("000000"&amp;1457,6),LdgRankKeyA,0),"")</f>
        <v/>
      </c>
      <c r="O1473">
        <f>IFERROR(MATCH($C$5&amp;"|"&amp;RIGHT("000000"&amp;1457,6),LdgRankKeyB,0),"")</f>
        <v/>
      </c>
    </row>
    <row r="1474">
      <c r="A1474" s="23" t="n">
        <v>1458</v>
      </c>
      <c r="B1474" s="24">
        <f>IF(AND($N1474="",$O1474=""),"",IF($N1474&lt;&gt;"",INDEX(PCNormDate,$N1474),INDEX(LdgDateB,$O1474)))</f>
        <v/>
      </c>
      <c r="C1474" s="24">
        <f>IF($N1474&lt;&gt;"",INDEX(PCOp,$N1474),IF($O1474&lt;&gt;"",IF(N(INDEX(TxnDepB,$O1474))&gt;0,"دریافت بانکی","پرداخت بانکی"),""))</f>
        <v/>
      </c>
      <c r="D1474" s="24">
        <f>IF($N1474&lt;&gt;"",IF(INDEX(PCDoc,$N1474)="","—",INDEX(PCDoc,$N1474)),IF($O1474&lt;&gt;"",INDEX(LdgBankB,$O1474),""))</f>
        <v/>
      </c>
      <c r="E1474" s="24">
        <f>IF($N1474&lt;&gt;"",IF(INDEX(PCCitrus,$N1474)="","—",INDEX(PCCitrus,$N1474)),"")</f>
        <v/>
      </c>
      <c r="F1474" s="25">
        <f>IF($N1474&lt;&gt;"",IF(INDEX(PCScale,$N1474)=0,"",INDEX(PCScale,$N1474)),"")</f>
        <v/>
      </c>
      <c r="G1474" s="25">
        <f>IF($N1474&lt;&gt;"",IF(INDEX(PCBaskets,$N1474)=0,"",INDEX(PCBaskets,$N1474)),"")</f>
        <v/>
      </c>
      <c r="H1474" s="26">
        <f>IF($N1474&lt;&gt;"",IF(INDEX(PCNet,$N1474)=0,"",INDEX(PCNet,$N1474)),"")</f>
        <v/>
      </c>
      <c r="I1474" s="25">
        <f>IF($N1474&lt;&gt;"",IF(INDEX(PCOp,$N1474)="مرجوعی خرید","",IF(INDEX(PCAmount,$N1474)&lt;=0,"",INDEX(PCAmount,$N1474))),IF($O1474&lt;&gt;"",IF(INDEX(TxnDepB,$O1474)=0,"",INDEX(TxnDepB,$O1474)),""))</f>
        <v/>
      </c>
      <c r="J1474" s="25">
        <f>IF($N1474&lt;&gt;"",IF(INDEX(PCOp,$N1474)="مرجوعی خرید",IF(INDEX(PCAmount,$N1474)=0,"",-INDEX(PCAmount,$N1474)),""),IF($O1474&lt;&gt;"",IF(INDEX(TxnWitB,$O1474)=0,"",INDEX(TxnWitB,$O1474)),""))</f>
        <v/>
      </c>
      <c r="K1474" s="27">
        <f>IF($B1474="","",IF($K1473="",$C$10,$K1473)+IF($I1474="",0,$I1474)-IF($J1474="",0,$J1474))</f>
        <v/>
      </c>
      <c r="L1474" s="28">
        <f>IF($N1474&lt;&gt;"",IF(INDEX(PCNotes,$N1474)="","—",INDEX(PCNotes,$N1474)),IF($O1474&lt;&gt;"",IF(INDEX(LdgNoteB,$O1474)="","—",INDEX(LdgNoteB,$O1474)),""))</f>
        <v/>
      </c>
      <c r="N1474">
        <f>IFERROR(MATCH($C$5&amp;"|"&amp;RIGHT("000000"&amp;1458,6),LdgRankKeyA,0),"")</f>
        <v/>
      </c>
      <c r="O1474">
        <f>IFERROR(MATCH($C$5&amp;"|"&amp;RIGHT("000000"&amp;1458,6),LdgRankKeyB,0),"")</f>
        <v/>
      </c>
    </row>
    <row r="1475">
      <c r="A1475" s="17" t="n">
        <v>1459</v>
      </c>
      <c r="B1475" s="18">
        <f>IF(AND($N1475="",$O1475=""),"",IF($N1475&lt;&gt;"",INDEX(PCNormDate,$N1475),INDEX(LdgDateB,$O1475)))</f>
        <v/>
      </c>
      <c r="C1475" s="18">
        <f>IF($N1475&lt;&gt;"",INDEX(PCOp,$N1475),IF($O1475&lt;&gt;"",IF(N(INDEX(TxnDepB,$O1475))&gt;0,"دریافت بانکی","پرداخت بانکی"),""))</f>
        <v/>
      </c>
      <c r="D1475" s="18">
        <f>IF($N1475&lt;&gt;"",IF(INDEX(PCDoc,$N1475)="","—",INDEX(PCDoc,$N1475)),IF($O1475&lt;&gt;"",INDEX(LdgBankB,$O1475),""))</f>
        <v/>
      </c>
      <c r="E1475" s="18">
        <f>IF($N1475&lt;&gt;"",IF(INDEX(PCCitrus,$N1475)="","—",INDEX(PCCitrus,$N1475)),"")</f>
        <v/>
      </c>
      <c r="F1475" s="19">
        <f>IF($N1475&lt;&gt;"",IF(INDEX(PCScale,$N1475)=0,"",INDEX(PCScale,$N1475)),"")</f>
        <v/>
      </c>
      <c r="G1475" s="19">
        <f>IF($N1475&lt;&gt;"",IF(INDEX(PCBaskets,$N1475)=0,"",INDEX(PCBaskets,$N1475)),"")</f>
        <v/>
      </c>
      <c r="H1475" s="20">
        <f>IF($N1475&lt;&gt;"",IF(INDEX(PCNet,$N1475)=0,"",INDEX(PCNet,$N1475)),"")</f>
        <v/>
      </c>
      <c r="I1475" s="19">
        <f>IF($N1475&lt;&gt;"",IF(INDEX(PCOp,$N1475)="مرجوعی خرید","",IF(INDEX(PCAmount,$N1475)&lt;=0,"",INDEX(PCAmount,$N1475))),IF($O1475&lt;&gt;"",IF(INDEX(TxnDepB,$O1475)=0,"",INDEX(TxnDepB,$O1475)),""))</f>
        <v/>
      </c>
      <c r="J1475" s="19">
        <f>IF($N1475&lt;&gt;"",IF(INDEX(PCOp,$N1475)="مرجوعی خرید",IF(INDEX(PCAmount,$N1475)=0,"",-INDEX(PCAmount,$N1475)),""),IF($O1475&lt;&gt;"",IF(INDEX(TxnWitB,$O1475)=0,"",INDEX(TxnWitB,$O1475)),""))</f>
        <v/>
      </c>
      <c r="K1475" s="21">
        <f>IF($B1475="","",IF($K1474="",$C$10,$K1474)+IF($I1475="",0,$I1475)-IF($J1475="",0,$J1475))</f>
        <v/>
      </c>
      <c r="L1475" s="22">
        <f>IF($N1475&lt;&gt;"",IF(INDEX(PCNotes,$N1475)="","—",INDEX(PCNotes,$N1475)),IF($O1475&lt;&gt;"",IF(INDEX(LdgNoteB,$O1475)="","—",INDEX(LdgNoteB,$O1475)),""))</f>
        <v/>
      </c>
      <c r="N1475">
        <f>IFERROR(MATCH($C$5&amp;"|"&amp;RIGHT("000000"&amp;1459,6),LdgRankKeyA,0),"")</f>
        <v/>
      </c>
      <c r="O1475">
        <f>IFERROR(MATCH($C$5&amp;"|"&amp;RIGHT("000000"&amp;1459,6),LdgRankKeyB,0),"")</f>
        <v/>
      </c>
    </row>
    <row r="1476">
      <c r="A1476" s="23" t="n">
        <v>1460</v>
      </c>
      <c r="B1476" s="24">
        <f>IF(AND($N1476="",$O1476=""),"",IF($N1476&lt;&gt;"",INDEX(PCNormDate,$N1476),INDEX(LdgDateB,$O1476)))</f>
        <v/>
      </c>
      <c r="C1476" s="24">
        <f>IF($N1476&lt;&gt;"",INDEX(PCOp,$N1476),IF($O1476&lt;&gt;"",IF(N(INDEX(TxnDepB,$O1476))&gt;0,"دریافت بانکی","پرداخت بانکی"),""))</f>
        <v/>
      </c>
      <c r="D1476" s="24">
        <f>IF($N1476&lt;&gt;"",IF(INDEX(PCDoc,$N1476)="","—",INDEX(PCDoc,$N1476)),IF($O1476&lt;&gt;"",INDEX(LdgBankB,$O1476),""))</f>
        <v/>
      </c>
      <c r="E1476" s="24">
        <f>IF($N1476&lt;&gt;"",IF(INDEX(PCCitrus,$N1476)="","—",INDEX(PCCitrus,$N1476)),"")</f>
        <v/>
      </c>
      <c r="F1476" s="25">
        <f>IF($N1476&lt;&gt;"",IF(INDEX(PCScale,$N1476)=0,"",INDEX(PCScale,$N1476)),"")</f>
        <v/>
      </c>
      <c r="G1476" s="25">
        <f>IF($N1476&lt;&gt;"",IF(INDEX(PCBaskets,$N1476)=0,"",INDEX(PCBaskets,$N1476)),"")</f>
        <v/>
      </c>
      <c r="H1476" s="26">
        <f>IF($N1476&lt;&gt;"",IF(INDEX(PCNet,$N1476)=0,"",INDEX(PCNet,$N1476)),"")</f>
        <v/>
      </c>
      <c r="I1476" s="25">
        <f>IF($N1476&lt;&gt;"",IF(INDEX(PCOp,$N1476)="مرجوعی خرید","",IF(INDEX(PCAmount,$N1476)&lt;=0,"",INDEX(PCAmount,$N1476))),IF($O1476&lt;&gt;"",IF(INDEX(TxnDepB,$O1476)=0,"",INDEX(TxnDepB,$O1476)),""))</f>
        <v/>
      </c>
      <c r="J1476" s="25">
        <f>IF($N1476&lt;&gt;"",IF(INDEX(PCOp,$N1476)="مرجوعی خرید",IF(INDEX(PCAmount,$N1476)=0,"",-INDEX(PCAmount,$N1476)),""),IF($O1476&lt;&gt;"",IF(INDEX(TxnWitB,$O1476)=0,"",INDEX(TxnWitB,$O1476)),""))</f>
        <v/>
      </c>
      <c r="K1476" s="27">
        <f>IF($B1476="","",IF($K1475="",$C$10,$K1475)+IF($I1476="",0,$I1476)-IF($J1476="",0,$J1476))</f>
        <v/>
      </c>
      <c r="L1476" s="28">
        <f>IF($N1476&lt;&gt;"",IF(INDEX(PCNotes,$N1476)="","—",INDEX(PCNotes,$N1476)),IF($O1476&lt;&gt;"",IF(INDEX(LdgNoteB,$O1476)="","—",INDEX(LdgNoteB,$O1476)),""))</f>
        <v/>
      </c>
      <c r="N1476">
        <f>IFERROR(MATCH($C$5&amp;"|"&amp;RIGHT("000000"&amp;1460,6),LdgRankKeyA,0),"")</f>
        <v/>
      </c>
      <c r="O1476">
        <f>IFERROR(MATCH($C$5&amp;"|"&amp;RIGHT("000000"&amp;1460,6),LdgRankKeyB,0),"")</f>
        <v/>
      </c>
    </row>
    <row r="1477">
      <c r="A1477" s="17" t="n">
        <v>1461</v>
      </c>
      <c r="B1477" s="18">
        <f>IF(AND($N1477="",$O1477=""),"",IF($N1477&lt;&gt;"",INDEX(PCNormDate,$N1477),INDEX(LdgDateB,$O1477)))</f>
        <v/>
      </c>
      <c r="C1477" s="18">
        <f>IF($N1477&lt;&gt;"",INDEX(PCOp,$N1477),IF($O1477&lt;&gt;"",IF(N(INDEX(TxnDepB,$O1477))&gt;0,"دریافت بانکی","پرداخت بانکی"),""))</f>
        <v/>
      </c>
      <c r="D1477" s="18">
        <f>IF($N1477&lt;&gt;"",IF(INDEX(PCDoc,$N1477)="","—",INDEX(PCDoc,$N1477)),IF($O1477&lt;&gt;"",INDEX(LdgBankB,$O1477),""))</f>
        <v/>
      </c>
      <c r="E1477" s="18">
        <f>IF($N1477&lt;&gt;"",IF(INDEX(PCCitrus,$N1477)="","—",INDEX(PCCitrus,$N1477)),"")</f>
        <v/>
      </c>
      <c r="F1477" s="19">
        <f>IF($N1477&lt;&gt;"",IF(INDEX(PCScale,$N1477)=0,"",INDEX(PCScale,$N1477)),"")</f>
        <v/>
      </c>
      <c r="G1477" s="19">
        <f>IF($N1477&lt;&gt;"",IF(INDEX(PCBaskets,$N1477)=0,"",INDEX(PCBaskets,$N1477)),"")</f>
        <v/>
      </c>
      <c r="H1477" s="20">
        <f>IF($N1477&lt;&gt;"",IF(INDEX(PCNet,$N1477)=0,"",INDEX(PCNet,$N1477)),"")</f>
        <v/>
      </c>
      <c r="I1477" s="19">
        <f>IF($N1477&lt;&gt;"",IF(INDEX(PCOp,$N1477)="مرجوعی خرید","",IF(INDEX(PCAmount,$N1477)&lt;=0,"",INDEX(PCAmount,$N1477))),IF($O1477&lt;&gt;"",IF(INDEX(TxnDepB,$O1477)=0,"",INDEX(TxnDepB,$O1477)),""))</f>
        <v/>
      </c>
      <c r="J1477" s="19">
        <f>IF($N1477&lt;&gt;"",IF(INDEX(PCOp,$N1477)="مرجوعی خرید",IF(INDEX(PCAmount,$N1477)=0,"",-INDEX(PCAmount,$N1477)),""),IF($O1477&lt;&gt;"",IF(INDEX(TxnWitB,$O1477)=0,"",INDEX(TxnWitB,$O1477)),""))</f>
        <v/>
      </c>
      <c r="K1477" s="21">
        <f>IF($B1477="","",IF($K1476="",$C$10,$K1476)+IF($I1477="",0,$I1477)-IF($J1477="",0,$J1477))</f>
        <v/>
      </c>
      <c r="L1477" s="22">
        <f>IF($N1477&lt;&gt;"",IF(INDEX(PCNotes,$N1477)="","—",INDEX(PCNotes,$N1477)),IF($O1477&lt;&gt;"",IF(INDEX(LdgNoteB,$O1477)="","—",INDEX(LdgNoteB,$O1477)),""))</f>
        <v/>
      </c>
      <c r="N1477">
        <f>IFERROR(MATCH($C$5&amp;"|"&amp;RIGHT("000000"&amp;1461,6),LdgRankKeyA,0),"")</f>
        <v/>
      </c>
      <c r="O1477">
        <f>IFERROR(MATCH($C$5&amp;"|"&amp;RIGHT("000000"&amp;1461,6),LdgRankKeyB,0),"")</f>
        <v/>
      </c>
    </row>
    <row r="1478">
      <c r="A1478" s="23" t="n">
        <v>1462</v>
      </c>
      <c r="B1478" s="24">
        <f>IF(AND($N1478="",$O1478=""),"",IF($N1478&lt;&gt;"",INDEX(PCNormDate,$N1478),INDEX(LdgDateB,$O1478)))</f>
        <v/>
      </c>
      <c r="C1478" s="24">
        <f>IF($N1478&lt;&gt;"",INDEX(PCOp,$N1478),IF($O1478&lt;&gt;"",IF(N(INDEX(TxnDepB,$O1478))&gt;0,"دریافت بانکی","پرداخت بانکی"),""))</f>
        <v/>
      </c>
      <c r="D1478" s="24">
        <f>IF($N1478&lt;&gt;"",IF(INDEX(PCDoc,$N1478)="","—",INDEX(PCDoc,$N1478)),IF($O1478&lt;&gt;"",INDEX(LdgBankB,$O1478),""))</f>
        <v/>
      </c>
      <c r="E1478" s="24">
        <f>IF($N1478&lt;&gt;"",IF(INDEX(PCCitrus,$N1478)="","—",INDEX(PCCitrus,$N1478)),"")</f>
        <v/>
      </c>
      <c r="F1478" s="25">
        <f>IF($N1478&lt;&gt;"",IF(INDEX(PCScale,$N1478)=0,"",INDEX(PCScale,$N1478)),"")</f>
        <v/>
      </c>
      <c r="G1478" s="25">
        <f>IF($N1478&lt;&gt;"",IF(INDEX(PCBaskets,$N1478)=0,"",INDEX(PCBaskets,$N1478)),"")</f>
        <v/>
      </c>
      <c r="H1478" s="26">
        <f>IF($N1478&lt;&gt;"",IF(INDEX(PCNet,$N1478)=0,"",INDEX(PCNet,$N1478)),"")</f>
        <v/>
      </c>
      <c r="I1478" s="25">
        <f>IF($N1478&lt;&gt;"",IF(INDEX(PCOp,$N1478)="مرجوعی خرید","",IF(INDEX(PCAmount,$N1478)&lt;=0,"",INDEX(PCAmount,$N1478))),IF($O1478&lt;&gt;"",IF(INDEX(TxnDepB,$O1478)=0,"",INDEX(TxnDepB,$O1478)),""))</f>
        <v/>
      </c>
      <c r="J1478" s="25">
        <f>IF($N1478&lt;&gt;"",IF(INDEX(PCOp,$N1478)="مرجوعی خرید",IF(INDEX(PCAmount,$N1478)=0,"",-INDEX(PCAmount,$N1478)),""),IF($O1478&lt;&gt;"",IF(INDEX(TxnWitB,$O1478)=0,"",INDEX(TxnWitB,$O1478)),""))</f>
        <v/>
      </c>
      <c r="K1478" s="27">
        <f>IF($B1478="","",IF($K1477="",$C$10,$K1477)+IF($I1478="",0,$I1478)-IF($J1478="",0,$J1478))</f>
        <v/>
      </c>
      <c r="L1478" s="28">
        <f>IF($N1478&lt;&gt;"",IF(INDEX(PCNotes,$N1478)="","—",INDEX(PCNotes,$N1478)),IF($O1478&lt;&gt;"",IF(INDEX(LdgNoteB,$O1478)="","—",INDEX(LdgNoteB,$O1478)),""))</f>
        <v/>
      </c>
      <c r="N1478">
        <f>IFERROR(MATCH($C$5&amp;"|"&amp;RIGHT("000000"&amp;1462,6),LdgRankKeyA,0),"")</f>
        <v/>
      </c>
      <c r="O1478">
        <f>IFERROR(MATCH($C$5&amp;"|"&amp;RIGHT("000000"&amp;1462,6),LdgRankKeyB,0),"")</f>
        <v/>
      </c>
    </row>
    <row r="1479">
      <c r="A1479" s="17" t="n">
        <v>1463</v>
      </c>
      <c r="B1479" s="18">
        <f>IF(AND($N1479="",$O1479=""),"",IF($N1479&lt;&gt;"",INDEX(PCNormDate,$N1479),INDEX(LdgDateB,$O1479)))</f>
        <v/>
      </c>
      <c r="C1479" s="18">
        <f>IF($N1479&lt;&gt;"",INDEX(PCOp,$N1479),IF($O1479&lt;&gt;"",IF(N(INDEX(TxnDepB,$O1479))&gt;0,"دریافت بانکی","پرداخت بانکی"),""))</f>
        <v/>
      </c>
      <c r="D1479" s="18">
        <f>IF($N1479&lt;&gt;"",IF(INDEX(PCDoc,$N1479)="","—",INDEX(PCDoc,$N1479)),IF($O1479&lt;&gt;"",INDEX(LdgBankB,$O1479),""))</f>
        <v/>
      </c>
      <c r="E1479" s="18">
        <f>IF($N1479&lt;&gt;"",IF(INDEX(PCCitrus,$N1479)="","—",INDEX(PCCitrus,$N1479)),"")</f>
        <v/>
      </c>
      <c r="F1479" s="19">
        <f>IF($N1479&lt;&gt;"",IF(INDEX(PCScale,$N1479)=0,"",INDEX(PCScale,$N1479)),"")</f>
        <v/>
      </c>
      <c r="G1479" s="19">
        <f>IF($N1479&lt;&gt;"",IF(INDEX(PCBaskets,$N1479)=0,"",INDEX(PCBaskets,$N1479)),"")</f>
        <v/>
      </c>
      <c r="H1479" s="20">
        <f>IF($N1479&lt;&gt;"",IF(INDEX(PCNet,$N1479)=0,"",INDEX(PCNet,$N1479)),"")</f>
        <v/>
      </c>
      <c r="I1479" s="19">
        <f>IF($N1479&lt;&gt;"",IF(INDEX(PCOp,$N1479)="مرجوعی خرید","",IF(INDEX(PCAmount,$N1479)&lt;=0,"",INDEX(PCAmount,$N1479))),IF($O1479&lt;&gt;"",IF(INDEX(TxnDepB,$O1479)=0,"",INDEX(TxnDepB,$O1479)),""))</f>
        <v/>
      </c>
      <c r="J1479" s="19">
        <f>IF($N1479&lt;&gt;"",IF(INDEX(PCOp,$N1479)="مرجوعی خرید",IF(INDEX(PCAmount,$N1479)=0,"",-INDEX(PCAmount,$N1479)),""),IF($O1479&lt;&gt;"",IF(INDEX(TxnWitB,$O1479)=0,"",INDEX(TxnWitB,$O1479)),""))</f>
        <v/>
      </c>
      <c r="K1479" s="21">
        <f>IF($B1479="","",IF($K1478="",$C$10,$K1478)+IF($I1479="",0,$I1479)-IF($J1479="",0,$J1479))</f>
        <v/>
      </c>
      <c r="L1479" s="22">
        <f>IF($N1479&lt;&gt;"",IF(INDEX(PCNotes,$N1479)="","—",INDEX(PCNotes,$N1479)),IF($O1479&lt;&gt;"",IF(INDEX(LdgNoteB,$O1479)="","—",INDEX(LdgNoteB,$O1479)),""))</f>
        <v/>
      </c>
      <c r="N1479">
        <f>IFERROR(MATCH($C$5&amp;"|"&amp;RIGHT("000000"&amp;1463,6),LdgRankKeyA,0),"")</f>
        <v/>
      </c>
      <c r="O1479">
        <f>IFERROR(MATCH($C$5&amp;"|"&amp;RIGHT("000000"&amp;1463,6),LdgRankKeyB,0),"")</f>
        <v/>
      </c>
    </row>
    <row r="1480">
      <c r="A1480" s="23" t="n">
        <v>1464</v>
      </c>
      <c r="B1480" s="24">
        <f>IF(AND($N1480="",$O1480=""),"",IF($N1480&lt;&gt;"",INDEX(PCNormDate,$N1480),INDEX(LdgDateB,$O1480)))</f>
        <v/>
      </c>
      <c r="C1480" s="24">
        <f>IF($N1480&lt;&gt;"",INDEX(PCOp,$N1480),IF($O1480&lt;&gt;"",IF(N(INDEX(TxnDepB,$O1480))&gt;0,"دریافت بانکی","پرداخت بانکی"),""))</f>
        <v/>
      </c>
      <c r="D1480" s="24">
        <f>IF($N1480&lt;&gt;"",IF(INDEX(PCDoc,$N1480)="","—",INDEX(PCDoc,$N1480)),IF($O1480&lt;&gt;"",INDEX(LdgBankB,$O1480),""))</f>
        <v/>
      </c>
      <c r="E1480" s="24">
        <f>IF($N1480&lt;&gt;"",IF(INDEX(PCCitrus,$N1480)="","—",INDEX(PCCitrus,$N1480)),"")</f>
        <v/>
      </c>
      <c r="F1480" s="25">
        <f>IF($N1480&lt;&gt;"",IF(INDEX(PCScale,$N1480)=0,"",INDEX(PCScale,$N1480)),"")</f>
        <v/>
      </c>
      <c r="G1480" s="25">
        <f>IF($N1480&lt;&gt;"",IF(INDEX(PCBaskets,$N1480)=0,"",INDEX(PCBaskets,$N1480)),"")</f>
        <v/>
      </c>
      <c r="H1480" s="26">
        <f>IF($N1480&lt;&gt;"",IF(INDEX(PCNet,$N1480)=0,"",INDEX(PCNet,$N1480)),"")</f>
        <v/>
      </c>
      <c r="I1480" s="25">
        <f>IF($N1480&lt;&gt;"",IF(INDEX(PCOp,$N1480)="مرجوعی خرید","",IF(INDEX(PCAmount,$N1480)&lt;=0,"",INDEX(PCAmount,$N1480))),IF($O1480&lt;&gt;"",IF(INDEX(TxnDepB,$O1480)=0,"",INDEX(TxnDepB,$O1480)),""))</f>
        <v/>
      </c>
      <c r="J1480" s="25">
        <f>IF($N1480&lt;&gt;"",IF(INDEX(PCOp,$N1480)="مرجوعی خرید",IF(INDEX(PCAmount,$N1480)=0,"",-INDEX(PCAmount,$N1480)),""),IF($O1480&lt;&gt;"",IF(INDEX(TxnWitB,$O1480)=0,"",INDEX(TxnWitB,$O1480)),""))</f>
        <v/>
      </c>
      <c r="K1480" s="27">
        <f>IF($B1480="","",IF($K1479="",$C$10,$K1479)+IF($I1480="",0,$I1480)-IF($J1480="",0,$J1480))</f>
        <v/>
      </c>
      <c r="L1480" s="28">
        <f>IF($N1480&lt;&gt;"",IF(INDEX(PCNotes,$N1480)="","—",INDEX(PCNotes,$N1480)),IF($O1480&lt;&gt;"",IF(INDEX(LdgNoteB,$O1480)="","—",INDEX(LdgNoteB,$O1480)),""))</f>
        <v/>
      </c>
      <c r="N1480">
        <f>IFERROR(MATCH($C$5&amp;"|"&amp;RIGHT("000000"&amp;1464,6),LdgRankKeyA,0),"")</f>
        <v/>
      </c>
      <c r="O1480">
        <f>IFERROR(MATCH($C$5&amp;"|"&amp;RIGHT("000000"&amp;1464,6),LdgRankKeyB,0),"")</f>
        <v/>
      </c>
    </row>
    <row r="1481">
      <c r="A1481" s="17" t="n">
        <v>1465</v>
      </c>
      <c r="B1481" s="18">
        <f>IF(AND($N1481="",$O1481=""),"",IF($N1481&lt;&gt;"",INDEX(PCNormDate,$N1481),INDEX(LdgDateB,$O1481)))</f>
        <v/>
      </c>
      <c r="C1481" s="18">
        <f>IF($N1481&lt;&gt;"",INDEX(PCOp,$N1481),IF($O1481&lt;&gt;"",IF(N(INDEX(TxnDepB,$O1481))&gt;0,"دریافت بانکی","پرداخت بانکی"),""))</f>
        <v/>
      </c>
      <c r="D1481" s="18">
        <f>IF($N1481&lt;&gt;"",IF(INDEX(PCDoc,$N1481)="","—",INDEX(PCDoc,$N1481)),IF($O1481&lt;&gt;"",INDEX(LdgBankB,$O1481),""))</f>
        <v/>
      </c>
      <c r="E1481" s="18">
        <f>IF($N1481&lt;&gt;"",IF(INDEX(PCCitrus,$N1481)="","—",INDEX(PCCitrus,$N1481)),"")</f>
        <v/>
      </c>
      <c r="F1481" s="19">
        <f>IF($N1481&lt;&gt;"",IF(INDEX(PCScale,$N1481)=0,"",INDEX(PCScale,$N1481)),"")</f>
        <v/>
      </c>
      <c r="G1481" s="19">
        <f>IF($N1481&lt;&gt;"",IF(INDEX(PCBaskets,$N1481)=0,"",INDEX(PCBaskets,$N1481)),"")</f>
        <v/>
      </c>
      <c r="H1481" s="20">
        <f>IF($N1481&lt;&gt;"",IF(INDEX(PCNet,$N1481)=0,"",INDEX(PCNet,$N1481)),"")</f>
        <v/>
      </c>
      <c r="I1481" s="19">
        <f>IF($N1481&lt;&gt;"",IF(INDEX(PCOp,$N1481)="مرجوعی خرید","",IF(INDEX(PCAmount,$N1481)&lt;=0,"",INDEX(PCAmount,$N1481))),IF($O1481&lt;&gt;"",IF(INDEX(TxnDepB,$O1481)=0,"",INDEX(TxnDepB,$O1481)),""))</f>
        <v/>
      </c>
      <c r="J1481" s="19">
        <f>IF($N1481&lt;&gt;"",IF(INDEX(PCOp,$N1481)="مرجوعی خرید",IF(INDEX(PCAmount,$N1481)=0,"",-INDEX(PCAmount,$N1481)),""),IF($O1481&lt;&gt;"",IF(INDEX(TxnWitB,$O1481)=0,"",INDEX(TxnWitB,$O1481)),""))</f>
        <v/>
      </c>
      <c r="K1481" s="21">
        <f>IF($B1481="","",IF($K1480="",$C$10,$K1480)+IF($I1481="",0,$I1481)-IF($J1481="",0,$J1481))</f>
        <v/>
      </c>
      <c r="L1481" s="22">
        <f>IF($N1481&lt;&gt;"",IF(INDEX(PCNotes,$N1481)="","—",INDEX(PCNotes,$N1481)),IF($O1481&lt;&gt;"",IF(INDEX(LdgNoteB,$O1481)="","—",INDEX(LdgNoteB,$O1481)),""))</f>
        <v/>
      </c>
      <c r="N1481">
        <f>IFERROR(MATCH($C$5&amp;"|"&amp;RIGHT("000000"&amp;1465,6),LdgRankKeyA,0),"")</f>
        <v/>
      </c>
      <c r="O1481">
        <f>IFERROR(MATCH($C$5&amp;"|"&amp;RIGHT("000000"&amp;1465,6),LdgRankKeyB,0),"")</f>
        <v/>
      </c>
    </row>
    <row r="1482">
      <c r="A1482" s="23" t="n">
        <v>1466</v>
      </c>
      <c r="B1482" s="24">
        <f>IF(AND($N1482="",$O1482=""),"",IF($N1482&lt;&gt;"",INDEX(PCNormDate,$N1482),INDEX(LdgDateB,$O1482)))</f>
        <v/>
      </c>
      <c r="C1482" s="24">
        <f>IF($N1482&lt;&gt;"",INDEX(PCOp,$N1482),IF($O1482&lt;&gt;"",IF(N(INDEX(TxnDepB,$O1482))&gt;0,"دریافت بانکی","پرداخت بانکی"),""))</f>
        <v/>
      </c>
      <c r="D1482" s="24">
        <f>IF($N1482&lt;&gt;"",IF(INDEX(PCDoc,$N1482)="","—",INDEX(PCDoc,$N1482)),IF($O1482&lt;&gt;"",INDEX(LdgBankB,$O1482),""))</f>
        <v/>
      </c>
      <c r="E1482" s="24">
        <f>IF($N1482&lt;&gt;"",IF(INDEX(PCCitrus,$N1482)="","—",INDEX(PCCitrus,$N1482)),"")</f>
        <v/>
      </c>
      <c r="F1482" s="25">
        <f>IF($N1482&lt;&gt;"",IF(INDEX(PCScale,$N1482)=0,"",INDEX(PCScale,$N1482)),"")</f>
        <v/>
      </c>
      <c r="G1482" s="25">
        <f>IF($N1482&lt;&gt;"",IF(INDEX(PCBaskets,$N1482)=0,"",INDEX(PCBaskets,$N1482)),"")</f>
        <v/>
      </c>
      <c r="H1482" s="26">
        <f>IF($N1482&lt;&gt;"",IF(INDEX(PCNet,$N1482)=0,"",INDEX(PCNet,$N1482)),"")</f>
        <v/>
      </c>
      <c r="I1482" s="25">
        <f>IF($N1482&lt;&gt;"",IF(INDEX(PCOp,$N1482)="مرجوعی خرید","",IF(INDEX(PCAmount,$N1482)&lt;=0,"",INDEX(PCAmount,$N1482))),IF($O1482&lt;&gt;"",IF(INDEX(TxnDepB,$O1482)=0,"",INDEX(TxnDepB,$O1482)),""))</f>
        <v/>
      </c>
      <c r="J1482" s="25">
        <f>IF($N1482&lt;&gt;"",IF(INDEX(PCOp,$N1482)="مرجوعی خرید",IF(INDEX(PCAmount,$N1482)=0,"",-INDEX(PCAmount,$N1482)),""),IF($O1482&lt;&gt;"",IF(INDEX(TxnWitB,$O1482)=0,"",INDEX(TxnWitB,$O1482)),""))</f>
        <v/>
      </c>
      <c r="K1482" s="27">
        <f>IF($B1482="","",IF($K1481="",$C$10,$K1481)+IF($I1482="",0,$I1482)-IF($J1482="",0,$J1482))</f>
        <v/>
      </c>
      <c r="L1482" s="28">
        <f>IF($N1482&lt;&gt;"",IF(INDEX(PCNotes,$N1482)="","—",INDEX(PCNotes,$N1482)),IF($O1482&lt;&gt;"",IF(INDEX(LdgNoteB,$O1482)="","—",INDEX(LdgNoteB,$O1482)),""))</f>
        <v/>
      </c>
      <c r="N1482">
        <f>IFERROR(MATCH($C$5&amp;"|"&amp;RIGHT("000000"&amp;1466,6),LdgRankKeyA,0),"")</f>
        <v/>
      </c>
      <c r="O1482">
        <f>IFERROR(MATCH($C$5&amp;"|"&amp;RIGHT("000000"&amp;1466,6),LdgRankKeyB,0),"")</f>
        <v/>
      </c>
    </row>
    <row r="1483">
      <c r="A1483" s="17" t="n">
        <v>1467</v>
      </c>
      <c r="B1483" s="18">
        <f>IF(AND($N1483="",$O1483=""),"",IF($N1483&lt;&gt;"",INDEX(PCNormDate,$N1483),INDEX(LdgDateB,$O1483)))</f>
        <v/>
      </c>
      <c r="C1483" s="18">
        <f>IF($N1483&lt;&gt;"",INDEX(PCOp,$N1483),IF($O1483&lt;&gt;"",IF(N(INDEX(TxnDepB,$O1483))&gt;0,"دریافت بانکی","پرداخت بانکی"),""))</f>
        <v/>
      </c>
      <c r="D1483" s="18">
        <f>IF($N1483&lt;&gt;"",IF(INDEX(PCDoc,$N1483)="","—",INDEX(PCDoc,$N1483)),IF($O1483&lt;&gt;"",INDEX(LdgBankB,$O1483),""))</f>
        <v/>
      </c>
      <c r="E1483" s="18">
        <f>IF($N1483&lt;&gt;"",IF(INDEX(PCCitrus,$N1483)="","—",INDEX(PCCitrus,$N1483)),"")</f>
        <v/>
      </c>
      <c r="F1483" s="19">
        <f>IF($N1483&lt;&gt;"",IF(INDEX(PCScale,$N1483)=0,"",INDEX(PCScale,$N1483)),"")</f>
        <v/>
      </c>
      <c r="G1483" s="19">
        <f>IF($N1483&lt;&gt;"",IF(INDEX(PCBaskets,$N1483)=0,"",INDEX(PCBaskets,$N1483)),"")</f>
        <v/>
      </c>
      <c r="H1483" s="20">
        <f>IF($N1483&lt;&gt;"",IF(INDEX(PCNet,$N1483)=0,"",INDEX(PCNet,$N1483)),"")</f>
        <v/>
      </c>
      <c r="I1483" s="19">
        <f>IF($N1483&lt;&gt;"",IF(INDEX(PCOp,$N1483)="مرجوعی خرید","",IF(INDEX(PCAmount,$N1483)&lt;=0,"",INDEX(PCAmount,$N1483))),IF($O1483&lt;&gt;"",IF(INDEX(TxnDepB,$O1483)=0,"",INDEX(TxnDepB,$O1483)),""))</f>
        <v/>
      </c>
      <c r="J1483" s="19">
        <f>IF($N1483&lt;&gt;"",IF(INDEX(PCOp,$N1483)="مرجوعی خرید",IF(INDEX(PCAmount,$N1483)=0,"",-INDEX(PCAmount,$N1483)),""),IF($O1483&lt;&gt;"",IF(INDEX(TxnWitB,$O1483)=0,"",INDEX(TxnWitB,$O1483)),""))</f>
        <v/>
      </c>
      <c r="K1483" s="21">
        <f>IF($B1483="","",IF($K1482="",$C$10,$K1482)+IF($I1483="",0,$I1483)-IF($J1483="",0,$J1483))</f>
        <v/>
      </c>
      <c r="L1483" s="22">
        <f>IF($N1483&lt;&gt;"",IF(INDEX(PCNotes,$N1483)="","—",INDEX(PCNotes,$N1483)),IF($O1483&lt;&gt;"",IF(INDEX(LdgNoteB,$O1483)="","—",INDEX(LdgNoteB,$O1483)),""))</f>
        <v/>
      </c>
      <c r="N1483">
        <f>IFERROR(MATCH($C$5&amp;"|"&amp;RIGHT("000000"&amp;1467,6),LdgRankKeyA,0),"")</f>
        <v/>
      </c>
      <c r="O1483">
        <f>IFERROR(MATCH($C$5&amp;"|"&amp;RIGHT("000000"&amp;1467,6),LdgRankKeyB,0),"")</f>
        <v/>
      </c>
    </row>
    <row r="1484">
      <c r="A1484" s="23" t="n">
        <v>1468</v>
      </c>
      <c r="B1484" s="24">
        <f>IF(AND($N1484="",$O1484=""),"",IF($N1484&lt;&gt;"",INDEX(PCNormDate,$N1484),INDEX(LdgDateB,$O1484)))</f>
        <v/>
      </c>
      <c r="C1484" s="24">
        <f>IF($N1484&lt;&gt;"",INDEX(PCOp,$N1484),IF($O1484&lt;&gt;"",IF(N(INDEX(TxnDepB,$O1484))&gt;0,"دریافت بانکی","پرداخت بانکی"),""))</f>
        <v/>
      </c>
      <c r="D1484" s="24">
        <f>IF($N1484&lt;&gt;"",IF(INDEX(PCDoc,$N1484)="","—",INDEX(PCDoc,$N1484)),IF($O1484&lt;&gt;"",INDEX(LdgBankB,$O1484),""))</f>
        <v/>
      </c>
      <c r="E1484" s="24">
        <f>IF($N1484&lt;&gt;"",IF(INDEX(PCCitrus,$N1484)="","—",INDEX(PCCitrus,$N1484)),"")</f>
        <v/>
      </c>
      <c r="F1484" s="25">
        <f>IF($N1484&lt;&gt;"",IF(INDEX(PCScale,$N1484)=0,"",INDEX(PCScale,$N1484)),"")</f>
        <v/>
      </c>
      <c r="G1484" s="25">
        <f>IF($N1484&lt;&gt;"",IF(INDEX(PCBaskets,$N1484)=0,"",INDEX(PCBaskets,$N1484)),"")</f>
        <v/>
      </c>
      <c r="H1484" s="26">
        <f>IF($N1484&lt;&gt;"",IF(INDEX(PCNet,$N1484)=0,"",INDEX(PCNet,$N1484)),"")</f>
        <v/>
      </c>
      <c r="I1484" s="25">
        <f>IF($N1484&lt;&gt;"",IF(INDEX(PCOp,$N1484)="مرجوعی خرید","",IF(INDEX(PCAmount,$N1484)&lt;=0,"",INDEX(PCAmount,$N1484))),IF($O1484&lt;&gt;"",IF(INDEX(TxnDepB,$O1484)=0,"",INDEX(TxnDepB,$O1484)),""))</f>
        <v/>
      </c>
      <c r="J1484" s="25">
        <f>IF($N1484&lt;&gt;"",IF(INDEX(PCOp,$N1484)="مرجوعی خرید",IF(INDEX(PCAmount,$N1484)=0,"",-INDEX(PCAmount,$N1484)),""),IF($O1484&lt;&gt;"",IF(INDEX(TxnWitB,$O1484)=0,"",INDEX(TxnWitB,$O1484)),""))</f>
        <v/>
      </c>
      <c r="K1484" s="27">
        <f>IF($B1484="","",IF($K1483="",$C$10,$K1483)+IF($I1484="",0,$I1484)-IF($J1484="",0,$J1484))</f>
        <v/>
      </c>
      <c r="L1484" s="28">
        <f>IF($N1484&lt;&gt;"",IF(INDEX(PCNotes,$N1484)="","—",INDEX(PCNotes,$N1484)),IF($O1484&lt;&gt;"",IF(INDEX(LdgNoteB,$O1484)="","—",INDEX(LdgNoteB,$O1484)),""))</f>
        <v/>
      </c>
      <c r="N1484">
        <f>IFERROR(MATCH($C$5&amp;"|"&amp;RIGHT("000000"&amp;1468,6),LdgRankKeyA,0),"")</f>
        <v/>
      </c>
      <c r="O1484">
        <f>IFERROR(MATCH($C$5&amp;"|"&amp;RIGHT("000000"&amp;1468,6),LdgRankKeyB,0),"")</f>
        <v/>
      </c>
    </row>
    <row r="1485">
      <c r="A1485" s="17" t="n">
        <v>1469</v>
      </c>
      <c r="B1485" s="18">
        <f>IF(AND($N1485="",$O1485=""),"",IF($N1485&lt;&gt;"",INDEX(PCNormDate,$N1485),INDEX(LdgDateB,$O1485)))</f>
        <v/>
      </c>
      <c r="C1485" s="18">
        <f>IF($N1485&lt;&gt;"",INDEX(PCOp,$N1485),IF($O1485&lt;&gt;"",IF(N(INDEX(TxnDepB,$O1485))&gt;0,"دریافت بانکی","پرداخت بانکی"),""))</f>
        <v/>
      </c>
      <c r="D1485" s="18">
        <f>IF($N1485&lt;&gt;"",IF(INDEX(PCDoc,$N1485)="","—",INDEX(PCDoc,$N1485)),IF($O1485&lt;&gt;"",INDEX(LdgBankB,$O1485),""))</f>
        <v/>
      </c>
      <c r="E1485" s="18">
        <f>IF($N1485&lt;&gt;"",IF(INDEX(PCCitrus,$N1485)="","—",INDEX(PCCitrus,$N1485)),"")</f>
        <v/>
      </c>
      <c r="F1485" s="19">
        <f>IF($N1485&lt;&gt;"",IF(INDEX(PCScale,$N1485)=0,"",INDEX(PCScale,$N1485)),"")</f>
        <v/>
      </c>
      <c r="G1485" s="19">
        <f>IF($N1485&lt;&gt;"",IF(INDEX(PCBaskets,$N1485)=0,"",INDEX(PCBaskets,$N1485)),"")</f>
        <v/>
      </c>
      <c r="H1485" s="20">
        <f>IF($N1485&lt;&gt;"",IF(INDEX(PCNet,$N1485)=0,"",INDEX(PCNet,$N1485)),"")</f>
        <v/>
      </c>
      <c r="I1485" s="19">
        <f>IF($N1485&lt;&gt;"",IF(INDEX(PCOp,$N1485)="مرجوعی خرید","",IF(INDEX(PCAmount,$N1485)&lt;=0,"",INDEX(PCAmount,$N1485))),IF($O1485&lt;&gt;"",IF(INDEX(TxnDepB,$O1485)=0,"",INDEX(TxnDepB,$O1485)),""))</f>
        <v/>
      </c>
      <c r="J1485" s="19">
        <f>IF($N1485&lt;&gt;"",IF(INDEX(PCOp,$N1485)="مرجوعی خرید",IF(INDEX(PCAmount,$N1485)=0,"",-INDEX(PCAmount,$N1485)),""),IF($O1485&lt;&gt;"",IF(INDEX(TxnWitB,$O1485)=0,"",INDEX(TxnWitB,$O1485)),""))</f>
        <v/>
      </c>
      <c r="K1485" s="21">
        <f>IF($B1485="","",IF($K1484="",$C$10,$K1484)+IF($I1485="",0,$I1485)-IF($J1485="",0,$J1485))</f>
        <v/>
      </c>
      <c r="L1485" s="22">
        <f>IF($N1485&lt;&gt;"",IF(INDEX(PCNotes,$N1485)="","—",INDEX(PCNotes,$N1485)),IF($O1485&lt;&gt;"",IF(INDEX(LdgNoteB,$O1485)="","—",INDEX(LdgNoteB,$O1485)),""))</f>
        <v/>
      </c>
      <c r="N1485">
        <f>IFERROR(MATCH($C$5&amp;"|"&amp;RIGHT("000000"&amp;1469,6),LdgRankKeyA,0),"")</f>
        <v/>
      </c>
      <c r="O1485">
        <f>IFERROR(MATCH($C$5&amp;"|"&amp;RIGHT("000000"&amp;1469,6),LdgRankKeyB,0),"")</f>
        <v/>
      </c>
    </row>
    <row r="1486">
      <c r="A1486" s="23" t="n">
        <v>1470</v>
      </c>
      <c r="B1486" s="24">
        <f>IF(AND($N1486="",$O1486=""),"",IF($N1486&lt;&gt;"",INDEX(PCNormDate,$N1486),INDEX(LdgDateB,$O1486)))</f>
        <v/>
      </c>
      <c r="C1486" s="24">
        <f>IF($N1486&lt;&gt;"",INDEX(PCOp,$N1486),IF($O1486&lt;&gt;"",IF(N(INDEX(TxnDepB,$O1486))&gt;0,"دریافت بانکی","پرداخت بانکی"),""))</f>
        <v/>
      </c>
      <c r="D1486" s="24">
        <f>IF($N1486&lt;&gt;"",IF(INDEX(PCDoc,$N1486)="","—",INDEX(PCDoc,$N1486)),IF($O1486&lt;&gt;"",INDEX(LdgBankB,$O1486),""))</f>
        <v/>
      </c>
      <c r="E1486" s="24">
        <f>IF($N1486&lt;&gt;"",IF(INDEX(PCCitrus,$N1486)="","—",INDEX(PCCitrus,$N1486)),"")</f>
        <v/>
      </c>
      <c r="F1486" s="25">
        <f>IF($N1486&lt;&gt;"",IF(INDEX(PCScale,$N1486)=0,"",INDEX(PCScale,$N1486)),"")</f>
        <v/>
      </c>
      <c r="G1486" s="25">
        <f>IF($N1486&lt;&gt;"",IF(INDEX(PCBaskets,$N1486)=0,"",INDEX(PCBaskets,$N1486)),"")</f>
        <v/>
      </c>
      <c r="H1486" s="26">
        <f>IF($N1486&lt;&gt;"",IF(INDEX(PCNet,$N1486)=0,"",INDEX(PCNet,$N1486)),"")</f>
        <v/>
      </c>
      <c r="I1486" s="25">
        <f>IF($N1486&lt;&gt;"",IF(INDEX(PCOp,$N1486)="مرجوعی خرید","",IF(INDEX(PCAmount,$N1486)&lt;=0,"",INDEX(PCAmount,$N1486))),IF($O1486&lt;&gt;"",IF(INDEX(TxnDepB,$O1486)=0,"",INDEX(TxnDepB,$O1486)),""))</f>
        <v/>
      </c>
      <c r="J1486" s="25">
        <f>IF($N1486&lt;&gt;"",IF(INDEX(PCOp,$N1486)="مرجوعی خرید",IF(INDEX(PCAmount,$N1486)=0,"",-INDEX(PCAmount,$N1486)),""),IF($O1486&lt;&gt;"",IF(INDEX(TxnWitB,$O1486)=0,"",INDEX(TxnWitB,$O1486)),""))</f>
        <v/>
      </c>
      <c r="K1486" s="27">
        <f>IF($B1486="","",IF($K1485="",$C$10,$K1485)+IF($I1486="",0,$I1486)-IF($J1486="",0,$J1486))</f>
        <v/>
      </c>
      <c r="L1486" s="28">
        <f>IF($N1486&lt;&gt;"",IF(INDEX(PCNotes,$N1486)="","—",INDEX(PCNotes,$N1486)),IF($O1486&lt;&gt;"",IF(INDEX(LdgNoteB,$O1486)="","—",INDEX(LdgNoteB,$O1486)),""))</f>
        <v/>
      </c>
      <c r="N1486">
        <f>IFERROR(MATCH($C$5&amp;"|"&amp;RIGHT("000000"&amp;1470,6),LdgRankKeyA,0),"")</f>
        <v/>
      </c>
      <c r="O1486">
        <f>IFERROR(MATCH($C$5&amp;"|"&amp;RIGHT("000000"&amp;1470,6),LdgRankKeyB,0),"")</f>
        <v/>
      </c>
    </row>
    <row r="1487">
      <c r="A1487" s="17" t="n">
        <v>1471</v>
      </c>
      <c r="B1487" s="18">
        <f>IF(AND($N1487="",$O1487=""),"",IF($N1487&lt;&gt;"",INDEX(PCNormDate,$N1487),INDEX(LdgDateB,$O1487)))</f>
        <v/>
      </c>
      <c r="C1487" s="18">
        <f>IF($N1487&lt;&gt;"",INDEX(PCOp,$N1487),IF($O1487&lt;&gt;"",IF(N(INDEX(TxnDepB,$O1487))&gt;0,"دریافت بانکی","پرداخت بانکی"),""))</f>
        <v/>
      </c>
      <c r="D1487" s="18">
        <f>IF($N1487&lt;&gt;"",IF(INDEX(PCDoc,$N1487)="","—",INDEX(PCDoc,$N1487)),IF($O1487&lt;&gt;"",INDEX(LdgBankB,$O1487),""))</f>
        <v/>
      </c>
      <c r="E1487" s="18">
        <f>IF($N1487&lt;&gt;"",IF(INDEX(PCCitrus,$N1487)="","—",INDEX(PCCitrus,$N1487)),"")</f>
        <v/>
      </c>
      <c r="F1487" s="19">
        <f>IF($N1487&lt;&gt;"",IF(INDEX(PCScale,$N1487)=0,"",INDEX(PCScale,$N1487)),"")</f>
        <v/>
      </c>
      <c r="G1487" s="19">
        <f>IF($N1487&lt;&gt;"",IF(INDEX(PCBaskets,$N1487)=0,"",INDEX(PCBaskets,$N1487)),"")</f>
        <v/>
      </c>
      <c r="H1487" s="20">
        <f>IF($N1487&lt;&gt;"",IF(INDEX(PCNet,$N1487)=0,"",INDEX(PCNet,$N1487)),"")</f>
        <v/>
      </c>
      <c r="I1487" s="19">
        <f>IF($N1487&lt;&gt;"",IF(INDEX(PCOp,$N1487)="مرجوعی خرید","",IF(INDEX(PCAmount,$N1487)&lt;=0,"",INDEX(PCAmount,$N1487))),IF($O1487&lt;&gt;"",IF(INDEX(TxnDepB,$O1487)=0,"",INDEX(TxnDepB,$O1487)),""))</f>
        <v/>
      </c>
      <c r="J1487" s="19">
        <f>IF($N1487&lt;&gt;"",IF(INDEX(PCOp,$N1487)="مرجوعی خرید",IF(INDEX(PCAmount,$N1487)=0,"",-INDEX(PCAmount,$N1487)),""),IF($O1487&lt;&gt;"",IF(INDEX(TxnWitB,$O1487)=0,"",INDEX(TxnWitB,$O1487)),""))</f>
        <v/>
      </c>
      <c r="K1487" s="21">
        <f>IF($B1487="","",IF($K1486="",$C$10,$K1486)+IF($I1487="",0,$I1487)-IF($J1487="",0,$J1487))</f>
        <v/>
      </c>
      <c r="L1487" s="22">
        <f>IF($N1487&lt;&gt;"",IF(INDEX(PCNotes,$N1487)="","—",INDEX(PCNotes,$N1487)),IF($O1487&lt;&gt;"",IF(INDEX(LdgNoteB,$O1487)="","—",INDEX(LdgNoteB,$O1487)),""))</f>
        <v/>
      </c>
      <c r="N1487">
        <f>IFERROR(MATCH($C$5&amp;"|"&amp;RIGHT("000000"&amp;1471,6),LdgRankKeyA,0),"")</f>
        <v/>
      </c>
      <c r="O1487">
        <f>IFERROR(MATCH($C$5&amp;"|"&amp;RIGHT("000000"&amp;1471,6),LdgRankKeyB,0),"")</f>
        <v/>
      </c>
    </row>
    <row r="1488">
      <c r="A1488" s="23" t="n">
        <v>1472</v>
      </c>
      <c r="B1488" s="24">
        <f>IF(AND($N1488="",$O1488=""),"",IF($N1488&lt;&gt;"",INDEX(PCNormDate,$N1488),INDEX(LdgDateB,$O1488)))</f>
        <v/>
      </c>
      <c r="C1488" s="24">
        <f>IF($N1488&lt;&gt;"",INDEX(PCOp,$N1488),IF($O1488&lt;&gt;"",IF(N(INDEX(TxnDepB,$O1488))&gt;0,"دریافت بانکی","پرداخت بانکی"),""))</f>
        <v/>
      </c>
      <c r="D1488" s="24">
        <f>IF($N1488&lt;&gt;"",IF(INDEX(PCDoc,$N1488)="","—",INDEX(PCDoc,$N1488)),IF($O1488&lt;&gt;"",INDEX(LdgBankB,$O1488),""))</f>
        <v/>
      </c>
      <c r="E1488" s="24">
        <f>IF($N1488&lt;&gt;"",IF(INDEX(PCCitrus,$N1488)="","—",INDEX(PCCitrus,$N1488)),"")</f>
        <v/>
      </c>
      <c r="F1488" s="25">
        <f>IF($N1488&lt;&gt;"",IF(INDEX(PCScale,$N1488)=0,"",INDEX(PCScale,$N1488)),"")</f>
        <v/>
      </c>
      <c r="G1488" s="25">
        <f>IF($N1488&lt;&gt;"",IF(INDEX(PCBaskets,$N1488)=0,"",INDEX(PCBaskets,$N1488)),"")</f>
        <v/>
      </c>
      <c r="H1488" s="26">
        <f>IF($N1488&lt;&gt;"",IF(INDEX(PCNet,$N1488)=0,"",INDEX(PCNet,$N1488)),"")</f>
        <v/>
      </c>
      <c r="I1488" s="25">
        <f>IF($N1488&lt;&gt;"",IF(INDEX(PCOp,$N1488)="مرجوعی خرید","",IF(INDEX(PCAmount,$N1488)&lt;=0,"",INDEX(PCAmount,$N1488))),IF($O1488&lt;&gt;"",IF(INDEX(TxnDepB,$O1488)=0,"",INDEX(TxnDepB,$O1488)),""))</f>
        <v/>
      </c>
      <c r="J1488" s="25">
        <f>IF($N1488&lt;&gt;"",IF(INDEX(PCOp,$N1488)="مرجوعی خرید",IF(INDEX(PCAmount,$N1488)=0,"",-INDEX(PCAmount,$N1488)),""),IF($O1488&lt;&gt;"",IF(INDEX(TxnWitB,$O1488)=0,"",INDEX(TxnWitB,$O1488)),""))</f>
        <v/>
      </c>
      <c r="K1488" s="27">
        <f>IF($B1488="","",IF($K1487="",$C$10,$K1487)+IF($I1488="",0,$I1488)-IF($J1488="",0,$J1488))</f>
        <v/>
      </c>
      <c r="L1488" s="28">
        <f>IF($N1488&lt;&gt;"",IF(INDEX(PCNotes,$N1488)="","—",INDEX(PCNotes,$N1488)),IF($O1488&lt;&gt;"",IF(INDEX(LdgNoteB,$O1488)="","—",INDEX(LdgNoteB,$O1488)),""))</f>
        <v/>
      </c>
      <c r="N1488">
        <f>IFERROR(MATCH($C$5&amp;"|"&amp;RIGHT("000000"&amp;1472,6),LdgRankKeyA,0),"")</f>
        <v/>
      </c>
      <c r="O1488">
        <f>IFERROR(MATCH($C$5&amp;"|"&amp;RIGHT("000000"&amp;1472,6),LdgRankKeyB,0),"")</f>
        <v/>
      </c>
    </row>
    <row r="1489">
      <c r="A1489" s="17" t="n">
        <v>1473</v>
      </c>
      <c r="B1489" s="18">
        <f>IF(AND($N1489="",$O1489=""),"",IF($N1489&lt;&gt;"",INDEX(PCNormDate,$N1489),INDEX(LdgDateB,$O1489)))</f>
        <v/>
      </c>
      <c r="C1489" s="18">
        <f>IF($N1489&lt;&gt;"",INDEX(PCOp,$N1489),IF($O1489&lt;&gt;"",IF(N(INDEX(TxnDepB,$O1489))&gt;0,"دریافت بانکی","پرداخت بانکی"),""))</f>
        <v/>
      </c>
      <c r="D1489" s="18">
        <f>IF($N1489&lt;&gt;"",IF(INDEX(PCDoc,$N1489)="","—",INDEX(PCDoc,$N1489)),IF($O1489&lt;&gt;"",INDEX(LdgBankB,$O1489),""))</f>
        <v/>
      </c>
      <c r="E1489" s="18">
        <f>IF($N1489&lt;&gt;"",IF(INDEX(PCCitrus,$N1489)="","—",INDEX(PCCitrus,$N1489)),"")</f>
        <v/>
      </c>
      <c r="F1489" s="19">
        <f>IF($N1489&lt;&gt;"",IF(INDEX(PCScale,$N1489)=0,"",INDEX(PCScale,$N1489)),"")</f>
        <v/>
      </c>
      <c r="G1489" s="19">
        <f>IF($N1489&lt;&gt;"",IF(INDEX(PCBaskets,$N1489)=0,"",INDEX(PCBaskets,$N1489)),"")</f>
        <v/>
      </c>
      <c r="H1489" s="20">
        <f>IF($N1489&lt;&gt;"",IF(INDEX(PCNet,$N1489)=0,"",INDEX(PCNet,$N1489)),"")</f>
        <v/>
      </c>
      <c r="I1489" s="19">
        <f>IF($N1489&lt;&gt;"",IF(INDEX(PCOp,$N1489)="مرجوعی خرید","",IF(INDEX(PCAmount,$N1489)&lt;=0,"",INDEX(PCAmount,$N1489))),IF($O1489&lt;&gt;"",IF(INDEX(TxnDepB,$O1489)=0,"",INDEX(TxnDepB,$O1489)),""))</f>
        <v/>
      </c>
      <c r="J1489" s="19">
        <f>IF($N1489&lt;&gt;"",IF(INDEX(PCOp,$N1489)="مرجوعی خرید",IF(INDEX(PCAmount,$N1489)=0,"",-INDEX(PCAmount,$N1489)),""),IF($O1489&lt;&gt;"",IF(INDEX(TxnWitB,$O1489)=0,"",INDEX(TxnWitB,$O1489)),""))</f>
        <v/>
      </c>
      <c r="K1489" s="21">
        <f>IF($B1489="","",IF($K1488="",$C$10,$K1488)+IF($I1489="",0,$I1489)-IF($J1489="",0,$J1489))</f>
        <v/>
      </c>
      <c r="L1489" s="22">
        <f>IF($N1489&lt;&gt;"",IF(INDEX(PCNotes,$N1489)="","—",INDEX(PCNotes,$N1489)),IF($O1489&lt;&gt;"",IF(INDEX(LdgNoteB,$O1489)="","—",INDEX(LdgNoteB,$O1489)),""))</f>
        <v/>
      </c>
      <c r="N1489">
        <f>IFERROR(MATCH($C$5&amp;"|"&amp;RIGHT("000000"&amp;1473,6),LdgRankKeyA,0),"")</f>
        <v/>
      </c>
      <c r="O1489">
        <f>IFERROR(MATCH($C$5&amp;"|"&amp;RIGHT("000000"&amp;1473,6),LdgRankKeyB,0),"")</f>
        <v/>
      </c>
    </row>
    <row r="1490">
      <c r="A1490" s="23" t="n">
        <v>1474</v>
      </c>
      <c r="B1490" s="24">
        <f>IF(AND($N1490="",$O1490=""),"",IF($N1490&lt;&gt;"",INDEX(PCNormDate,$N1490),INDEX(LdgDateB,$O1490)))</f>
        <v/>
      </c>
      <c r="C1490" s="24">
        <f>IF($N1490&lt;&gt;"",INDEX(PCOp,$N1490),IF($O1490&lt;&gt;"",IF(N(INDEX(TxnDepB,$O1490))&gt;0,"دریافت بانکی","پرداخت بانکی"),""))</f>
        <v/>
      </c>
      <c r="D1490" s="24">
        <f>IF($N1490&lt;&gt;"",IF(INDEX(PCDoc,$N1490)="","—",INDEX(PCDoc,$N1490)),IF($O1490&lt;&gt;"",INDEX(LdgBankB,$O1490),""))</f>
        <v/>
      </c>
      <c r="E1490" s="24">
        <f>IF($N1490&lt;&gt;"",IF(INDEX(PCCitrus,$N1490)="","—",INDEX(PCCitrus,$N1490)),"")</f>
        <v/>
      </c>
      <c r="F1490" s="25">
        <f>IF($N1490&lt;&gt;"",IF(INDEX(PCScale,$N1490)=0,"",INDEX(PCScale,$N1490)),"")</f>
        <v/>
      </c>
      <c r="G1490" s="25">
        <f>IF($N1490&lt;&gt;"",IF(INDEX(PCBaskets,$N1490)=0,"",INDEX(PCBaskets,$N1490)),"")</f>
        <v/>
      </c>
      <c r="H1490" s="26">
        <f>IF($N1490&lt;&gt;"",IF(INDEX(PCNet,$N1490)=0,"",INDEX(PCNet,$N1490)),"")</f>
        <v/>
      </c>
      <c r="I1490" s="25">
        <f>IF($N1490&lt;&gt;"",IF(INDEX(PCOp,$N1490)="مرجوعی خرید","",IF(INDEX(PCAmount,$N1490)&lt;=0,"",INDEX(PCAmount,$N1490))),IF($O1490&lt;&gt;"",IF(INDEX(TxnDepB,$O1490)=0,"",INDEX(TxnDepB,$O1490)),""))</f>
        <v/>
      </c>
      <c r="J1490" s="25">
        <f>IF($N1490&lt;&gt;"",IF(INDEX(PCOp,$N1490)="مرجوعی خرید",IF(INDEX(PCAmount,$N1490)=0,"",-INDEX(PCAmount,$N1490)),""),IF($O1490&lt;&gt;"",IF(INDEX(TxnWitB,$O1490)=0,"",INDEX(TxnWitB,$O1490)),""))</f>
        <v/>
      </c>
      <c r="K1490" s="27">
        <f>IF($B1490="","",IF($K1489="",$C$10,$K1489)+IF($I1490="",0,$I1490)-IF($J1490="",0,$J1490))</f>
        <v/>
      </c>
      <c r="L1490" s="28">
        <f>IF($N1490&lt;&gt;"",IF(INDEX(PCNotes,$N1490)="","—",INDEX(PCNotes,$N1490)),IF($O1490&lt;&gt;"",IF(INDEX(LdgNoteB,$O1490)="","—",INDEX(LdgNoteB,$O1490)),""))</f>
        <v/>
      </c>
      <c r="N1490">
        <f>IFERROR(MATCH($C$5&amp;"|"&amp;RIGHT("000000"&amp;1474,6),LdgRankKeyA,0),"")</f>
        <v/>
      </c>
      <c r="O1490">
        <f>IFERROR(MATCH($C$5&amp;"|"&amp;RIGHT("000000"&amp;1474,6),LdgRankKeyB,0),"")</f>
        <v/>
      </c>
    </row>
    <row r="1491">
      <c r="A1491" s="17" t="n">
        <v>1475</v>
      </c>
      <c r="B1491" s="18">
        <f>IF(AND($N1491="",$O1491=""),"",IF($N1491&lt;&gt;"",INDEX(PCNormDate,$N1491),INDEX(LdgDateB,$O1491)))</f>
        <v/>
      </c>
      <c r="C1491" s="18">
        <f>IF($N1491&lt;&gt;"",INDEX(PCOp,$N1491),IF($O1491&lt;&gt;"",IF(N(INDEX(TxnDepB,$O1491))&gt;0,"دریافت بانکی","پرداخت بانکی"),""))</f>
        <v/>
      </c>
      <c r="D1491" s="18">
        <f>IF($N1491&lt;&gt;"",IF(INDEX(PCDoc,$N1491)="","—",INDEX(PCDoc,$N1491)),IF($O1491&lt;&gt;"",INDEX(LdgBankB,$O1491),""))</f>
        <v/>
      </c>
      <c r="E1491" s="18">
        <f>IF($N1491&lt;&gt;"",IF(INDEX(PCCitrus,$N1491)="","—",INDEX(PCCitrus,$N1491)),"")</f>
        <v/>
      </c>
      <c r="F1491" s="19">
        <f>IF($N1491&lt;&gt;"",IF(INDEX(PCScale,$N1491)=0,"",INDEX(PCScale,$N1491)),"")</f>
        <v/>
      </c>
      <c r="G1491" s="19">
        <f>IF($N1491&lt;&gt;"",IF(INDEX(PCBaskets,$N1491)=0,"",INDEX(PCBaskets,$N1491)),"")</f>
        <v/>
      </c>
      <c r="H1491" s="20">
        <f>IF($N1491&lt;&gt;"",IF(INDEX(PCNet,$N1491)=0,"",INDEX(PCNet,$N1491)),"")</f>
        <v/>
      </c>
      <c r="I1491" s="19">
        <f>IF($N1491&lt;&gt;"",IF(INDEX(PCOp,$N1491)="مرجوعی خرید","",IF(INDEX(PCAmount,$N1491)&lt;=0,"",INDEX(PCAmount,$N1491))),IF($O1491&lt;&gt;"",IF(INDEX(TxnDepB,$O1491)=0,"",INDEX(TxnDepB,$O1491)),""))</f>
        <v/>
      </c>
      <c r="J1491" s="19">
        <f>IF($N1491&lt;&gt;"",IF(INDEX(PCOp,$N1491)="مرجوعی خرید",IF(INDEX(PCAmount,$N1491)=0,"",-INDEX(PCAmount,$N1491)),""),IF($O1491&lt;&gt;"",IF(INDEX(TxnWitB,$O1491)=0,"",INDEX(TxnWitB,$O1491)),""))</f>
        <v/>
      </c>
      <c r="K1491" s="21">
        <f>IF($B1491="","",IF($K1490="",$C$10,$K1490)+IF($I1491="",0,$I1491)-IF($J1491="",0,$J1491))</f>
        <v/>
      </c>
      <c r="L1491" s="22">
        <f>IF($N1491&lt;&gt;"",IF(INDEX(PCNotes,$N1491)="","—",INDEX(PCNotes,$N1491)),IF($O1491&lt;&gt;"",IF(INDEX(LdgNoteB,$O1491)="","—",INDEX(LdgNoteB,$O1491)),""))</f>
        <v/>
      </c>
      <c r="N1491">
        <f>IFERROR(MATCH($C$5&amp;"|"&amp;RIGHT("000000"&amp;1475,6),LdgRankKeyA,0),"")</f>
        <v/>
      </c>
      <c r="O1491">
        <f>IFERROR(MATCH($C$5&amp;"|"&amp;RIGHT("000000"&amp;1475,6),LdgRankKeyB,0),"")</f>
        <v/>
      </c>
    </row>
    <row r="1492">
      <c r="A1492" s="23" t="n">
        <v>1476</v>
      </c>
      <c r="B1492" s="24">
        <f>IF(AND($N1492="",$O1492=""),"",IF($N1492&lt;&gt;"",INDEX(PCNormDate,$N1492),INDEX(LdgDateB,$O1492)))</f>
        <v/>
      </c>
      <c r="C1492" s="24">
        <f>IF($N1492&lt;&gt;"",INDEX(PCOp,$N1492),IF($O1492&lt;&gt;"",IF(N(INDEX(TxnDepB,$O1492))&gt;0,"دریافت بانکی","پرداخت بانکی"),""))</f>
        <v/>
      </c>
      <c r="D1492" s="24">
        <f>IF($N1492&lt;&gt;"",IF(INDEX(PCDoc,$N1492)="","—",INDEX(PCDoc,$N1492)),IF($O1492&lt;&gt;"",INDEX(LdgBankB,$O1492),""))</f>
        <v/>
      </c>
      <c r="E1492" s="24">
        <f>IF($N1492&lt;&gt;"",IF(INDEX(PCCitrus,$N1492)="","—",INDEX(PCCitrus,$N1492)),"")</f>
        <v/>
      </c>
      <c r="F1492" s="25">
        <f>IF($N1492&lt;&gt;"",IF(INDEX(PCScale,$N1492)=0,"",INDEX(PCScale,$N1492)),"")</f>
        <v/>
      </c>
      <c r="G1492" s="25">
        <f>IF($N1492&lt;&gt;"",IF(INDEX(PCBaskets,$N1492)=0,"",INDEX(PCBaskets,$N1492)),"")</f>
        <v/>
      </c>
      <c r="H1492" s="26">
        <f>IF($N1492&lt;&gt;"",IF(INDEX(PCNet,$N1492)=0,"",INDEX(PCNet,$N1492)),"")</f>
        <v/>
      </c>
      <c r="I1492" s="25">
        <f>IF($N1492&lt;&gt;"",IF(INDEX(PCOp,$N1492)="مرجوعی خرید","",IF(INDEX(PCAmount,$N1492)&lt;=0,"",INDEX(PCAmount,$N1492))),IF($O1492&lt;&gt;"",IF(INDEX(TxnDepB,$O1492)=0,"",INDEX(TxnDepB,$O1492)),""))</f>
        <v/>
      </c>
      <c r="J1492" s="25">
        <f>IF($N1492&lt;&gt;"",IF(INDEX(PCOp,$N1492)="مرجوعی خرید",IF(INDEX(PCAmount,$N1492)=0,"",-INDEX(PCAmount,$N1492)),""),IF($O1492&lt;&gt;"",IF(INDEX(TxnWitB,$O1492)=0,"",INDEX(TxnWitB,$O1492)),""))</f>
        <v/>
      </c>
      <c r="K1492" s="27">
        <f>IF($B1492="","",IF($K1491="",$C$10,$K1491)+IF($I1492="",0,$I1492)-IF($J1492="",0,$J1492))</f>
        <v/>
      </c>
      <c r="L1492" s="28">
        <f>IF($N1492&lt;&gt;"",IF(INDEX(PCNotes,$N1492)="","—",INDEX(PCNotes,$N1492)),IF($O1492&lt;&gt;"",IF(INDEX(LdgNoteB,$O1492)="","—",INDEX(LdgNoteB,$O1492)),""))</f>
        <v/>
      </c>
      <c r="N1492">
        <f>IFERROR(MATCH($C$5&amp;"|"&amp;RIGHT("000000"&amp;1476,6),LdgRankKeyA,0),"")</f>
        <v/>
      </c>
      <c r="O1492">
        <f>IFERROR(MATCH($C$5&amp;"|"&amp;RIGHT("000000"&amp;1476,6),LdgRankKeyB,0),"")</f>
        <v/>
      </c>
    </row>
    <row r="1493">
      <c r="A1493" s="17" t="n">
        <v>1477</v>
      </c>
      <c r="B1493" s="18">
        <f>IF(AND($N1493="",$O1493=""),"",IF($N1493&lt;&gt;"",INDEX(PCNormDate,$N1493),INDEX(LdgDateB,$O1493)))</f>
        <v/>
      </c>
      <c r="C1493" s="18">
        <f>IF($N1493&lt;&gt;"",INDEX(PCOp,$N1493),IF($O1493&lt;&gt;"",IF(N(INDEX(TxnDepB,$O1493))&gt;0,"دریافت بانکی","پرداخت بانکی"),""))</f>
        <v/>
      </c>
      <c r="D1493" s="18">
        <f>IF($N1493&lt;&gt;"",IF(INDEX(PCDoc,$N1493)="","—",INDEX(PCDoc,$N1493)),IF($O1493&lt;&gt;"",INDEX(LdgBankB,$O1493),""))</f>
        <v/>
      </c>
      <c r="E1493" s="18">
        <f>IF($N1493&lt;&gt;"",IF(INDEX(PCCitrus,$N1493)="","—",INDEX(PCCitrus,$N1493)),"")</f>
        <v/>
      </c>
      <c r="F1493" s="19">
        <f>IF($N1493&lt;&gt;"",IF(INDEX(PCScale,$N1493)=0,"",INDEX(PCScale,$N1493)),"")</f>
        <v/>
      </c>
      <c r="G1493" s="19">
        <f>IF($N1493&lt;&gt;"",IF(INDEX(PCBaskets,$N1493)=0,"",INDEX(PCBaskets,$N1493)),"")</f>
        <v/>
      </c>
      <c r="H1493" s="20">
        <f>IF($N1493&lt;&gt;"",IF(INDEX(PCNet,$N1493)=0,"",INDEX(PCNet,$N1493)),"")</f>
        <v/>
      </c>
      <c r="I1493" s="19">
        <f>IF($N1493&lt;&gt;"",IF(INDEX(PCOp,$N1493)="مرجوعی خرید","",IF(INDEX(PCAmount,$N1493)&lt;=0,"",INDEX(PCAmount,$N1493))),IF($O1493&lt;&gt;"",IF(INDEX(TxnDepB,$O1493)=0,"",INDEX(TxnDepB,$O1493)),""))</f>
        <v/>
      </c>
      <c r="J1493" s="19">
        <f>IF($N1493&lt;&gt;"",IF(INDEX(PCOp,$N1493)="مرجوعی خرید",IF(INDEX(PCAmount,$N1493)=0,"",-INDEX(PCAmount,$N1493)),""),IF($O1493&lt;&gt;"",IF(INDEX(TxnWitB,$O1493)=0,"",INDEX(TxnWitB,$O1493)),""))</f>
        <v/>
      </c>
      <c r="K1493" s="21">
        <f>IF($B1493="","",IF($K1492="",$C$10,$K1492)+IF($I1493="",0,$I1493)-IF($J1493="",0,$J1493))</f>
        <v/>
      </c>
      <c r="L1493" s="22">
        <f>IF($N1493&lt;&gt;"",IF(INDEX(PCNotes,$N1493)="","—",INDEX(PCNotes,$N1493)),IF($O1493&lt;&gt;"",IF(INDEX(LdgNoteB,$O1493)="","—",INDEX(LdgNoteB,$O1493)),""))</f>
        <v/>
      </c>
      <c r="N1493">
        <f>IFERROR(MATCH($C$5&amp;"|"&amp;RIGHT("000000"&amp;1477,6),LdgRankKeyA,0),"")</f>
        <v/>
      </c>
      <c r="O1493">
        <f>IFERROR(MATCH($C$5&amp;"|"&amp;RIGHT("000000"&amp;1477,6),LdgRankKeyB,0),"")</f>
        <v/>
      </c>
    </row>
    <row r="1494">
      <c r="A1494" s="23" t="n">
        <v>1478</v>
      </c>
      <c r="B1494" s="24">
        <f>IF(AND($N1494="",$O1494=""),"",IF($N1494&lt;&gt;"",INDEX(PCNormDate,$N1494),INDEX(LdgDateB,$O1494)))</f>
        <v/>
      </c>
      <c r="C1494" s="24">
        <f>IF($N1494&lt;&gt;"",INDEX(PCOp,$N1494),IF($O1494&lt;&gt;"",IF(N(INDEX(TxnDepB,$O1494))&gt;0,"دریافت بانکی","پرداخت بانکی"),""))</f>
        <v/>
      </c>
      <c r="D1494" s="24">
        <f>IF($N1494&lt;&gt;"",IF(INDEX(PCDoc,$N1494)="","—",INDEX(PCDoc,$N1494)),IF($O1494&lt;&gt;"",INDEX(LdgBankB,$O1494),""))</f>
        <v/>
      </c>
      <c r="E1494" s="24">
        <f>IF($N1494&lt;&gt;"",IF(INDEX(PCCitrus,$N1494)="","—",INDEX(PCCitrus,$N1494)),"")</f>
        <v/>
      </c>
      <c r="F1494" s="25">
        <f>IF($N1494&lt;&gt;"",IF(INDEX(PCScale,$N1494)=0,"",INDEX(PCScale,$N1494)),"")</f>
        <v/>
      </c>
      <c r="G1494" s="25">
        <f>IF($N1494&lt;&gt;"",IF(INDEX(PCBaskets,$N1494)=0,"",INDEX(PCBaskets,$N1494)),"")</f>
        <v/>
      </c>
      <c r="H1494" s="26">
        <f>IF($N1494&lt;&gt;"",IF(INDEX(PCNet,$N1494)=0,"",INDEX(PCNet,$N1494)),"")</f>
        <v/>
      </c>
      <c r="I1494" s="25">
        <f>IF($N1494&lt;&gt;"",IF(INDEX(PCOp,$N1494)="مرجوعی خرید","",IF(INDEX(PCAmount,$N1494)&lt;=0,"",INDEX(PCAmount,$N1494))),IF($O1494&lt;&gt;"",IF(INDEX(TxnDepB,$O1494)=0,"",INDEX(TxnDepB,$O1494)),""))</f>
        <v/>
      </c>
      <c r="J1494" s="25">
        <f>IF($N1494&lt;&gt;"",IF(INDEX(PCOp,$N1494)="مرجوعی خرید",IF(INDEX(PCAmount,$N1494)=0,"",-INDEX(PCAmount,$N1494)),""),IF($O1494&lt;&gt;"",IF(INDEX(TxnWitB,$O1494)=0,"",INDEX(TxnWitB,$O1494)),""))</f>
        <v/>
      </c>
      <c r="K1494" s="27">
        <f>IF($B1494="","",IF($K1493="",$C$10,$K1493)+IF($I1494="",0,$I1494)-IF($J1494="",0,$J1494))</f>
        <v/>
      </c>
      <c r="L1494" s="28">
        <f>IF($N1494&lt;&gt;"",IF(INDEX(PCNotes,$N1494)="","—",INDEX(PCNotes,$N1494)),IF($O1494&lt;&gt;"",IF(INDEX(LdgNoteB,$O1494)="","—",INDEX(LdgNoteB,$O1494)),""))</f>
        <v/>
      </c>
      <c r="N1494">
        <f>IFERROR(MATCH($C$5&amp;"|"&amp;RIGHT("000000"&amp;1478,6),LdgRankKeyA,0),"")</f>
        <v/>
      </c>
      <c r="O1494">
        <f>IFERROR(MATCH($C$5&amp;"|"&amp;RIGHT("000000"&amp;1478,6),LdgRankKeyB,0),"")</f>
        <v/>
      </c>
    </row>
    <row r="1495">
      <c r="A1495" s="17" t="n">
        <v>1479</v>
      </c>
      <c r="B1495" s="18">
        <f>IF(AND($N1495="",$O1495=""),"",IF($N1495&lt;&gt;"",INDEX(PCNormDate,$N1495),INDEX(LdgDateB,$O1495)))</f>
        <v/>
      </c>
      <c r="C1495" s="18">
        <f>IF($N1495&lt;&gt;"",INDEX(PCOp,$N1495),IF($O1495&lt;&gt;"",IF(N(INDEX(TxnDepB,$O1495))&gt;0,"دریافت بانکی","پرداخت بانکی"),""))</f>
        <v/>
      </c>
      <c r="D1495" s="18">
        <f>IF($N1495&lt;&gt;"",IF(INDEX(PCDoc,$N1495)="","—",INDEX(PCDoc,$N1495)),IF($O1495&lt;&gt;"",INDEX(LdgBankB,$O1495),""))</f>
        <v/>
      </c>
      <c r="E1495" s="18">
        <f>IF($N1495&lt;&gt;"",IF(INDEX(PCCitrus,$N1495)="","—",INDEX(PCCitrus,$N1495)),"")</f>
        <v/>
      </c>
      <c r="F1495" s="19">
        <f>IF($N1495&lt;&gt;"",IF(INDEX(PCScale,$N1495)=0,"",INDEX(PCScale,$N1495)),"")</f>
        <v/>
      </c>
      <c r="G1495" s="19">
        <f>IF($N1495&lt;&gt;"",IF(INDEX(PCBaskets,$N1495)=0,"",INDEX(PCBaskets,$N1495)),"")</f>
        <v/>
      </c>
      <c r="H1495" s="20">
        <f>IF($N1495&lt;&gt;"",IF(INDEX(PCNet,$N1495)=0,"",INDEX(PCNet,$N1495)),"")</f>
        <v/>
      </c>
      <c r="I1495" s="19">
        <f>IF($N1495&lt;&gt;"",IF(INDEX(PCOp,$N1495)="مرجوعی خرید","",IF(INDEX(PCAmount,$N1495)&lt;=0,"",INDEX(PCAmount,$N1495))),IF($O1495&lt;&gt;"",IF(INDEX(TxnDepB,$O1495)=0,"",INDEX(TxnDepB,$O1495)),""))</f>
        <v/>
      </c>
      <c r="J1495" s="19">
        <f>IF($N1495&lt;&gt;"",IF(INDEX(PCOp,$N1495)="مرجوعی خرید",IF(INDEX(PCAmount,$N1495)=0,"",-INDEX(PCAmount,$N1495)),""),IF($O1495&lt;&gt;"",IF(INDEX(TxnWitB,$O1495)=0,"",INDEX(TxnWitB,$O1495)),""))</f>
        <v/>
      </c>
      <c r="K1495" s="21">
        <f>IF($B1495="","",IF($K1494="",$C$10,$K1494)+IF($I1495="",0,$I1495)-IF($J1495="",0,$J1495))</f>
        <v/>
      </c>
      <c r="L1495" s="22">
        <f>IF($N1495&lt;&gt;"",IF(INDEX(PCNotes,$N1495)="","—",INDEX(PCNotes,$N1495)),IF($O1495&lt;&gt;"",IF(INDEX(LdgNoteB,$O1495)="","—",INDEX(LdgNoteB,$O1495)),""))</f>
        <v/>
      </c>
      <c r="N1495">
        <f>IFERROR(MATCH($C$5&amp;"|"&amp;RIGHT("000000"&amp;1479,6),LdgRankKeyA,0),"")</f>
        <v/>
      </c>
      <c r="O1495">
        <f>IFERROR(MATCH($C$5&amp;"|"&amp;RIGHT("000000"&amp;1479,6),LdgRankKeyB,0),"")</f>
        <v/>
      </c>
    </row>
    <row r="1496">
      <c r="A1496" s="23" t="n">
        <v>1480</v>
      </c>
      <c r="B1496" s="24">
        <f>IF(AND($N1496="",$O1496=""),"",IF($N1496&lt;&gt;"",INDEX(PCNormDate,$N1496),INDEX(LdgDateB,$O1496)))</f>
        <v/>
      </c>
      <c r="C1496" s="24">
        <f>IF($N1496&lt;&gt;"",INDEX(PCOp,$N1496),IF($O1496&lt;&gt;"",IF(N(INDEX(TxnDepB,$O1496))&gt;0,"دریافت بانکی","پرداخت بانکی"),""))</f>
        <v/>
      </c>
      <c r="D1496" s="24">
        <f>IF($N1496&lt;&gt;"",IF(INDEX(PCDoc,$N1496)="","—",INDEX(PCDoc,$N1496)),IF($O1496&lt;&gt;"",INDEX(LdgBankB,$O1496),""))</f>
        <v/>
      </c>
      <c r="E1496" s="24">
        <f>IF($N1496&lt;&gt;"",IF(INDEX(PCCitrus,$N1496)="","—",INDEX(PCCitrus,$N1496)),"")</f>
        <v/>
      </c>
      <c r="F1496" s="25">
        <f>IF($N1496&lt;&gt;"",IF(INDEX(PCScale,$N1496)=0,"",INDEX(PCScale,$N1496)),"")</f>
        <v/>
      </c>
      <c r="G1496" s="25">
        <f>IF($N1496&lt;&gt;"",IF(INDEX(PCBaskets,$N1496)=0,"",INDEX(PCBaskets,$N1496)),"")</f>
        <v/>
      </c>
      <c r="H1496" s="26">
        <f>IF($N1496&lt;&gt;"",IF(INDEX(PCNet,$N1496)=0,"",INDEX(PCNet,$N1496)),"")</f>
        <v/>
      </c>
      <c r="I1496" s="25">
        <f>IF($N1496&lt;&gt;"",IF(INDEX(PCOp,$N1496)="مرجوعی خرید","",IF(INDEX(PCAmount,$N1496)&lt;=0,"",INDEX(PCAmount,$N1496))),IF($O1496&lt;&gt;"",IF(INDEX(TxnDepB,$O1496)=0,"",INDEX(TxnDepB,$O1496)),""))</f>
        <v/>
      </c>
      <c r="J1496" s="25">
        <f>IF($N1496&lt;&gt;"",IF(INDEX(PCOp,$N1496)="مرجوعی خرید",IF(INDEX(PCAmount,$N1496)=0,"",-INDEX(PCAmount,$N1496)),""),IF($O1496&lt;&gt;"",IF(INDEX(TxnWitB,$O1496)=0,"",INDEX(TxnWitB,$O1496)),""))</f>
        <v/>
      </c>
      <c r="K1496" s="27">
        <f>IF($B1496="","",IF($K1495="",$C$10,$K1495)+IF($I1496="",0,$I1496)-IF($J1496="",0,$J1496))</f>
        <v/>
      </c>
      <c r="L1496" s="28">
        <f>IF($N1496&lt;&gt;"",IF(INDEX(PCNotes,$N1496)="","—",INDEX(PCNotes,$N1496)),IF($O1496&lt;&gt;"",IF(INDEX(LdgNoteB,$O1496)="","—",INDEX(LdgNoteB,$O1496)),""))</f>
        <v/>
      </c>
      <c r="N1496">
        <f>IFERROR(MATCH($C$5&amp;"|"&amp;RIGHT("000000"&amp;1480,6),LdgRankKeyA,0),"")</f>
        <v/>
      </c>
      <c r="O1496">
        <f>IFERROR(MATCH($C$5&amp;"|"&amp;RIGHT("000000"&amp;1480,6),LdgRankKeyB,0),"")</f>
        <v/>
      </c>
    </row>
    <row r="1497">
      <c r="A1497" s="17" t="n">
        <v>1481</v>
      </c>
      <c r="B1497" s="18">
        <f>IF(AND($N1497="",$O1497=""),"",IF($N1497&lt;&gt;"",INDEX(PCNormDate,$N1497),INDEX(LdgDateB,$O1497)))</f>
        <v/>
      </c>
      <c r="C1497" s="18">
        <f>IF($N1497&lt;&gt;"",INDEX(PCOp,$N1497),IF($O1497&lt;&gt;"",IF(N(INDEX(TxnDepB,$O1497))&gt;0,"دریافت بانکی","پرداخت بانکی"),""))</f>
        <v/>
      </c>
      <c r="D1497" s="18">
        <f>IF($N1497&lt;&gt;"",IF(INDEX(PCDoc,$N1497)="","—",INDEX(PCDoc,$N1497)),IF($O1497&lt;&gt;"",INDEX(LdgBankB,$O1497),""))</f>
        <v/>
      </c>
      <c r="E1497" s="18">
        <f>IF($N1497&lt;&gt;"",IF(INDEX(PCCitrus,$N1497)="","—",INDEX(PCCitrus,$N1497)),"")</f>
        <v/>
      </c>
      <c r="F1497" s="19">
        <f>IF($N1497&lt;&gt;"",IF(INDEX(PCScale,$N1497)=0,"",INDEX(PCScale,$N1497)),"")</f>
        <v/>
      </c>
      <c r="G1497" s="19">
        <f>IF($N1497&lt;&gt;"",IF(INDEX(PCBaskets,$N1497)=0,"",INDEX(PCBaskets,$N1497)),"")</f>
        <v/>
      </c>
      <c r="H1497" s="20">
        <f>IF($N1497&lt;&gt;"",IF(INDEX(PCNet,$N1497)=0,"",INDEX(PCNet,$N1497)),"")</f>
        <v/>
      </c>
      <c r="I1497" s="19">
        <f>IF($N1497&lt;&gt;"",IF(INDEX(PCOp,$N1497)="مرجوعی خرید","",IF(INDEX(PCAmount,$N1497)&lt;=0,"",INDEX(PCAmount,$N1497))),IF($O1497&lt;&gt;"",IF(INDEX(TxnDepB,$O1497)=0,"",INDEX(TxnDepB,$O1497)),""))</f>
        <v/>
      </c>
      <c r="J1497" s="19">
        <f>IF($N1497&lt;&gt;"",IF(INDEX(PCOp,$N1497)="مرجوعی خرید",IF(INDEX(PCAmount,$N1497)=0,"",-INDEX(PCAmount,$N1497)),""),IF($O1497&lt;&gt;"",IF(INDEX(TxnWitB,$O1497)=0,"",INDEX(TxnWitB,$O1497)),""))</f>
        <v/>
      </c>
      <c r="K1497" s="21">
        <f>IF($B1497="","",IF($K1496="",$C$10,$K1496)+IF($I1497="",0,$I1497)-IF($J1497="",0,$J1497))</f>
        <v/>
      </c>
      <c r="L1497" s="22">
        <f>IF($N1497&lt;&gt;"",IF(INDEX(PCNotes,$N1497)="","—",INDEX(PCNotes,$N1497)),IF($O1497&lt;&gt;"",IF(INDEX(LdgNoteB,$O1497)="","—",INDEX(LdgNoteB,$O1497)),""))</f>
        <v/>
      </c>
      <c r="N1497">
        <f>IFERROR(MATCH($C$5&amp;"|"&amp;RIGHT("000000"&amp;1481,6),LdgRankKeyA,0),"")</f>
        <v/>
      </c>
      <c r="O1497">
        <f>IFERROR(MATCH($C$5&amp;"|"&amp;RIGHT("000000"&amp;1481,6),LdgRankKeyB,0),"")</f>
        <v/>
      </c>
    </row>
    <row r="1498">
      <c r="A1498" s="23" t="n">
        <v>1482</v>
      </c>
      <c r="B1498" s="24">
        <f>IF(AND($N1498="",$O1498=""),"",IF($N1498&lt;&gt;"",INDEX(PCNormDate,$N1498),INDEX(LdgDateB,$O1498)))</f>
        <v/>
      </c>
      <c r="C1498" s="24">
        <f>IF($N1498&lt;&gt;"",INDEX(PCOp,$N1498),IF($O1498&lt;&gt;"",IF(N(INDEX(TxnDepB,$O1498))&gt;0,"دریافت بانکی","پرداخت بانکی"),""))</f>
        <v/>
      </c>
      <c r="D1498" s="24">
        <f>IF($N1498&lt;&gt;"",IF(INDEX(PCDoc,$N1498)="","—",INDEX(PCDoc,$N1498)),IF($O1498&lt;&gt;"",INDEX(LdgBankB,$O1498),""))</f>
        <v/>
      </c>
      <c r="E1498" s="24">
        <f>IF($N1498&lt;&gt;"",IF(INDEX(PCCitrus,$N1498)="","—",INDEX(PCCitrus,$N1498)),"")</f>
        <v/>
      </c>
      <c r="F1498" s="25">
        <f>IF($N1498&lt;&gt;"",IF(INDEX(PCScale,$N1498)=0,"",INDEX(PCScale,$N1498)),"")</f>
        <v/>
      </c>
      <c r="G1498" s="25">
        <f>IF($N1498&lt;&gt;"",IF(INDEX(PCBaskets,$N1498)=0,"",INDEX(PCBaskets,$N1498)),"")</f>
        <v/>
      </c>
      <c r="H1498" s="26">
        <f>IF($N1498&lt;&gt;"",IF(INDEX(PCNet,$N1498)=0,"",INDEX(PCNet,$N1498)),"")</f>
        <v/>
      </c>
      <c r="I1498" s="25">
        <f>IF($N1498&lt;&gt;"",IF(INDEX(PCOp,$N1498)="مرجوعی خرید","",IF(INDEX(PCAmount,$N1498)&lt;=0,"",INDEX(PCAmount,$N1498))),IF($O1498&lt;&gt;"",IF(INDEX(TxnDepB,$O1498)=0,"",INDEX(TxnDepB,$O1498)),""))</f>
        <v/>
      </c>
      <c r="J1498" s="25">
        <f>IF($N1498&lt;&gt;"",IF(INDEX(PCOp,$N1498)="مرجوعی خرید",IF(INDEX(PCAmount,$N1498)=0,"",-INDEX(PCAmount,$N1498)),""),IF($O1498&lt;&gt;"",IF(INDEX(TxnWitB,$O1498)=0,"",INDEX(TxnWitB,$O1498)),""))</f>
        <v/>
      </c>
      <c r="K1498" s="27">
        <f>IF($B1498="","",IF($K1497="",$C$10,$K1497)+IF($I1498="",0,$I1498)-IF($J1498="",0,$J1498))</f>
        <v/>
      </c>
      <c r="L1498" s="28">
        <f>IF($N1498&lt;&gt;"",IF(INDEX(PCNotes,$N1498)="","—",INDEX(PCNotes,$N1498)),IF($O1498&lt;&gt;"",IF(INDEX(LdgNoteB,$O1498)="","—",INDEX(LdgNoteB,$O1498)),""))</f>
        <v/>
      </c>
      <c r="N1498">
        <f>IFERROR(MATCH($C$5&amp;"|"&amp;RIGHT("000000"&amp;1482,6),LdgRankKeyA,0),"")</f>
        <v/>
      </c>
      <c r="O1498">
        <f>IFERROR(MATCH($C$5&amp;"|"&amp;RIGHT("000000"&amp;1482,6),LdgRankKeyB,0),"")</f>
        <v/>
      </c>
    </row>
    <row r="1499">
      <c r="A1499" s="17" t="n">
        <v>1483</v>
      </c>
      <c r="B1499" s="18">
        <f>IF(AND($N1499="",$O1499=""),"",IF($N1499&lt;&gt;"",INDEX(PCNormDate,$N1499),INDEX(LdgDateB,$O1499)))</f>
        <v/>
      </c>
      <c r="C1499" s="18">
        <f>IF($N1499&lt;&gt;"",INDEX(PCOp,$N1499),IF($O1499&lt;&gt;"",IF(N(INDEX(TxnDepB,$O1499))&gt;0,"دریافت بانکی","پرداخت بانکی"),""))</f>
        <v/>
      </c>
      <c r="D1499" s="18">
        <f>IF($N1499&lt;&gt;"",IF(INDEX(PCDoc,$N1499)="","—",INDEX(PCDoc,$N1499)),IF($O1499&lt;&gt;"",INDEX(LdgBankB,$O1499),""))</f>
        <v/>
      </c>
      <c r="E1499" s="18">
        <f>IF($N1499&lt;&gt;"",IF(INDEX(PCCitrus,$N1499)="","—",INDEX(PCCitrus,$N1499)),"")</f>
        <v/>
      </c>
      <c r="F1499" s="19">
        <f>IF($N1499&lt;&gt;"",IF(INDEX(PCScale,$N1499)=0,"",INDEX(PCScale,$N1499)),"")</f>
        <v/>
      </c>
      <c r="G1499" s="19">
        <f>IF($N1499&lt;&gt;"",IF(INDEX(PCBaskets,$N1499)=0,"",INDEX(PCBaskets,$N1499)),"")</f>
        <v/>
      </c>
      <c r="H1499" s="20">
        <f>IF($N1499&lt;&gt;"",IF(INDEX(PCNet,$N1499)=0,"",INDEX(PCNet,$N1499)),"")</f>
        <v/>
      </c>
      <c r="I1499" s="19">
        <f>IF($N1499&lt;&gt;"",IF(INDEX(PCOp,$N1499)="مرجوعی خرید","",IF(INDEX(PCAmount,$N1499)&lt;=0,"",INDEX(PCAmount,$N1499))),IF($O1499&lt;&gt;"",IF(INDEX(TxnDepB,$O1499)=0,"",INDEX(TxnDepB,$O1499)),""))</f>
        <v/>
      </c>
      <c r="J1499" s="19">
        <f>IF($N1499&lt;&gt;"",IF(INDEX(PCOp,$N1499)="مرجوعی خرید",IF(INDEX(PCAmount,$N1499)=0,"",-INDEX(PCAmount,$N1499)),""),IF($O1499&lt;&gt;"",IF(INDEX(TxnWitB,$O1499)=0,"",INDEX(TxnWitB,$O1499)),""))</f>
        <v/>
      </c>
      <c r="K1499" s="21">
        <f>IF($B1499="","",IF($K1498="",$C$10,$K1498)+IF($I1499="",0,$I1499)-IF($J1499="",0,$J1499))</f>
        <v/>
      </c>
      <c r="L1499" s="22">
        <f>IF($N1499&lt;&gt;"",IF(INDEX(PCNotes,$N1499)="","—",INDEX(PCNotes,$N1499)),IF($O1499&lt;&gt;"",IF(INDEX(LdgNoteB,$O1499)="","—",INDEX(LdgNoteB,$O1499)),""))</f>
        <v/>
      </c>
      <c r="N1499">
        <f>IFERROR(MATCH($C$5&amp;"|"&amp;RIGHT("000000"&amp;1483,6),LdgRankKeyA,0),"")</f>
        <v/>
      </c>
      <c r="O1499">
        <f>IFERROR(MATCH($C$5&amp;"|"&amp;RIGHT("000000"&amp;1483,6),LdgRankKeyB,0),"")</f>
        <v/>
      </c>
    </row>
    <row r="1500">
      <c r="A1500" s="23" t="n">
        <v>1484</v>
      </c>
      <c r="B1500" s="24">
        <f>IF(AND($N1500="",$O1500=""),"",IF($N1500&lt;&gt;"",INDEX(PCNormDate,$N1500),INDEX(LdgDateB,$O1500)))</f>
        <v/>
      </c>
      <c r="C1500" s="24">
        <f>IF($N1500&lt;&gt;"",INDEX(PCOp,$N1500),IF($O1500&lt;&gt;"",IF(N(INDEX(TxnDepB,$O1500))&gt;0,"دریافت بانکی","پرداخت بانکی"),""))</f>
        <v/>
      </c>
      <c r="D1500" s="24">
        <f>IF($N1500&lt;&gt;"",IF(INDEX(PCDoc,$N1500)="","—",INDEX(PCDoc,$N1500)),IF($O1500&lt;&gt;"",INDEX(LdgBankB,$O1500),""))</f>
        <v/>
      </c>
      <c r="E1500" s="24">
        <f>IF($N1500&lt;&gt;"",IF(INDEX(PCCitrus,$N1500)="","—",INDEX(PCCitrus,$N1500)),"")</f>
        <v/>
      </c>
      <c r="F1500" s="25">
        <f>IF($N1500&lt;&gt;"",IF(INDEX(PCScale,$N1500)=0,"",INDEX(PCScale,$N1500)),"")</f>
        <v/>
      </c>
      <c r="G1500" s="25">
        <f>IF($N1500&lt;&gt;"",IF(INDEX(PCBaskets,$N1500)=0,"",INDEX(PCBaskets,$N1500)),"")</f>
        <v/>
      </c>
      <c r="H1500" s="26">
        <f>IF($N1500&lt;&gt;"",IF(INDEX(PCNet,$N1500)=0,"",INDEX(PCNet,$N1500)),"")</f>
        <v/>
      </c>
      <c r="I1500" s="25">
        <f>IF($N1500&lt;&gt;"",IF(INDEX(PCOp,$N1500)="مرجوعی خرید","",IF(INDEX(PCAmount,$N1500)&lt;=0,"",INDEX(PCAmount,$N1500))),IF($O1500&lt;&gt;"",IF(INDEX(TxnDepB,$O1500)=0,"",INDEX(TxnDepB,$O1500)),""))</f>
        <v/>
      </c>
      <c r="J1500" s="25">
        <f>IF($N1500&lt;&gt;"",IF(INDEX(PCOp,$N1500)="مرجوعی خرید",IF(INDEX(PCAmount,$N1500)=0,"",-INDEX(PCAmount,$N1500)),""),IF($O1500&lt;&gt;"",IF(INDEX(TxnWitB,$O1500)=0,"",INDEX(TxnWitB,$O1500)),""))</f>
        <v/>
      </c>
      <c r="K1500" s="27">
        <f>IF($B1500="","",IF($K1499="",$C$10,$K1499)+IF($I1500="",0,$I1500)-IF($J1500="",0,$J1500))</f>
        <v/>
      </c>
      <c r="L1500" s="28">
        <f>IF($N1500&lt;&gt;"",IF(INDEX(PCNotes,$N1500)="","—",INDEX(PCNotes,$N1500)),IF($O1500&lt;&gt;"",IF(INDEX(LdgNoteB,$O1500)="","—",INDEX(LdgNoteB,$O1500)),""))</f>
        <v/>
      </c>
      <c r="N1500">
        <f>IFERROR(MATCH($C$5&amp;"|"&amp;RIGHT("000000"&amp;1484,6),LdgRankKeyA,0),"")</f>
        <v/>
      </c>
      <c r="O1500">
        <f>IFERROR(MATCH($C$5&amp;"|"&amp;RIGHT("000000"&amp;1484,6),LdgRankKeyB,0),"")</f>
        <v/>
      </c>
    </row>
    <row r="1501">
      <c r="A1501" s="17" t="n">
        <v>1485</v>
      </c>
      <c r="B1501" s="18">
        <f>IF(AND($N1501="",$O1501=""),"",IF($N1501&lt;&gt;"",INDEX(PCNormDate,$N1501),INDEX(LdgDateB,$O1501)))</f>
        <v/>
      </c>
      <c r="C1501" s="18">
        <f>IF($N1501&lt;&gt;"",INDEX(PCOp,$N1501),IF($O1501&lt;&gt;"",IF(N(INDEX(TxnDepB,$O1501))&gt;0,"دریافت بانکی","پرداخت بانکی"),""))</f>
        <v/>
      </c>
      <c r="D1501" s="18">
        <f>IF($N1501&lt;&gt;"",IF(INDEX(PCDoc,$N1501)="","—",INDEX(PCDoc,$N1501)),IF($O1501&lt;&gt;"",INDEX(LdgBankB,$O1501),""))</f>
        <v/>
      </c>
      <c r="E1501" s="18">
        <f>IF($N1501&lt;&gt;"",IF(INDEX(PCCitrus,$N1501)="","—",INDEX(PCCitrus,$N1501)),"")</f>
        <v/>
      </c>
      <c r="F1501" s="19">
        <f>IF($N1501&lt;&gt;"",IF(INDEX(PCScale,$N1501)=0,"",INDEX(PCScale,$N1501)),"")</f>
        <v/>
      </c>
      <c r="G1501" s="19">
        <f>IF($N1501&lt;&gt;"",IF(INDEX(PCBaskets,$N1501)=0,"",INDEX(PCBaskets,$N1501)),"")</f>
        <v/>
      </c>
      <c r="H1501" s="20">
        <f>IF($N1501&lt;&gt;"",IF(INDEX(PCNet,$N1501)=0,"",INDEX(PCNet,$N1501)),"")</f>
        <v/>
      </c>
      <c r="I1501" s="19">
        <f>IF($N1501&lt;&gt;"",IF(INDEX(PCOp,$N1501)="مرجوعی خرید","",IF(INDEX(PCAmount,$N1501)&lt;=0,"",INDEX(PCAmount,$N1501))),IF($O1501&lt;&gt;"",IF(INDEX(TxnDepB,$O1501)=0,"",INDEX(TxnDepB,$O1501)),""))</f>
        <v/>
      </c>
      <c r="J1501" s="19">
        <f>IF($N1501&lt;&gt;"",IF(INDEX(PCOp,$N1501)="مرجوعی خرید",IF(INDEX(PCAmount,$N1501)=0,"",-INDEX(PCAmount,$N1501)),""),IF($O1501&lt;&gt;"",IF(INDEX(TxnWitB,$O1501)=0,"",INDEX(TxnWitB,$O1501)),""))</f>
        <v/>
      </c>
      <c r="K1501" s="21">
        <f>IF($B1501="","",IF($K1500="",$C$10,$K1500)+IF($I1501="",0,$I1501)-IF($J1501="",0,$J1501))</f>
        <v/>
      </c>
      <c r="L1501" s="22">
        <f>IF($N1501&lt;&gt;"",IF(INDEX(PCNotes,$N1501)="","—",INDEX(PCNotes,$N1501)),IF($O1501&lt;&gt;"",IF(INDEX(LdgNoteB,$O1501)="","—",INDEX(LdgNoteB,$O1501)),""))</f>
        <v/>
      </c>
      <c r="N1501">
        <f>IFERROR(MATCH($C$5&amp;"|"&amp;RIGHT("000000"&amp;1485,6),LdgRankKeyA,0),"")</f>
        <v/>
      </c>
      <c r="O1501">
        <f>IFERROR(MATCH($C$5&amp;"|"&amp;RIGHT("000000"&amp;1485,6),LdgRankKeyB,0),"")</f>
        <v/>
      </c>
    </row>
    <row r="1502">
      <c r="A1502" s="23" t="n">
        <v>1486</v>
      </c>
      <c r="B1502" s="24">
        <f>IF(AND($N1502="",$O1502=""),"",IF($N1502&lt;&gt;"",INDEX(PCNormDate,$N1502),INDEX(LdgDateB,$O1502)))</f>
        <v/>
      </c>
      <c r="C1502" s="24">
        <f>IF($N1502&lt;&gt;"",INDEX(PCOp,$N1502),IF($O1502&lt;&gt;"",IF(N(INDEX(TxnDepB,$O1502))&gt;0,"دریافت بانکی","پرداخت بانکی"),""))</f>
        <v/>
      </c>
      <c r="D1502" s="24">
        <f>IF($N1502&lt;&gt;"",IF(INDEX(PCDoc,$N1502)="","—",INDEX(PCDoc,$N1502)),IF($O1502&lt;&gt;"",INDEX(LdgBankB,$O1502),""))</f>
        <v/>
      </c>
      <c r="E1502" s="24">
        <f>IF($N1502&lt;&gt;"",IF(INDEX(PCCitrus,$N1502)="","—",INDEX(PCCitrus,$N1502)),"")</f>
        <v/>
      </c>
      <c r="F1502" s="25">
        <f>IF($N1502&lt;&gt;"",IF(INDEX(PCScale,$N1502)=0,"",INDEX(PCScale,$N1502)),"")</f>
        <v/>
      </c>
      <c r="G1502" s="25">
        <f>IF($N1502&lt;&gt;"",IF(INDEX(PCBaskets,$N1502)=0,"",INDEX(PCBaskets,$N1502)),"")</f>
        <v/>
      </c>
      <c r="H1502" s="26">
        <f>IF($N1502&lt;&gt;"",IF(INDEX(PCNet,$N1502)=0,"",INDEX(PCNet,$N1502)),"")</f>
        <v/>
      </c>
      <c r="I1502" s="25">
        <f>IF($N1502&lt;&gt;"",IF(INDEX(PCOp,$N1502)="مرجوعی خرید","",IF(INDEX(PCAmount,$N1502)&lt;=0,"",INDEX(PCAmount,$N1502))),IF($O1502&lt;&gt;"",IF(INDEX(TxnDepB,$O1502)=0,"",INDEX(TxnDepB,$O1502)),""))</f>
        <v/>
      </c>
      <c r="J1502" s="25">
        <f>IF($N1502&lt;&gt;"",IF(INDEX(PCOp,$N1502)="مرجوعی خرید",IF(INDEX(PCAmount,$N1502)=0,"",-INDEX(PCAmount,$N1502)),""),IF($O1502&lt;&gt;"",IF(INDEX(TxnWitB,$O1502)=0,"",INDEX(TxnWitB,$O1502)),""))</f>
        <v/>
      </c>
      <c r="K1502" s="27">
        <f>IF($B1502="","",IF($K1501="",$C$10,$K1501)+IF($I1502="",0,$I1502)-IF($J1502="",0,$J1502))</f>
        <v/>
      </c>
      <c r="L1502" s="28">
        <f>IF($N1502&lt;&gt;"",IF(INDEX(PCNotes,$N1502)="","—",INDEX(PCNotes,$N1502)),IF($O1502&lt;&gt;"",IF(INDEX(LdgNoteB,$O1502)="","—",INDEX(LdgNoteB,$O1502)),""))</f>
        <v/>
      </c>
      <c r="N1502">
        <f>IFERROR(MATCH($C$5&amp;"|"&amp;RIGHT("000000"&amp;1486,6),LdgRankKeyA,0),"")</f>
        <v/>
      </c>
      <c r="O1502">
        <f>IFERROR(MATCH($C$5&amp;"|"&amp;RIGHT("000000"&amp;1486,6),LdgRankKeyB,0),"")</f>
        <v/>
      </c>
    </row>
    <row r="1503">
      <c r="A1503" s="17" t="n">
        <v>1487</v>
      </c>
      <c r="B1503" s="18">
        <f>IF(AND($N1503="",$O1503=""),"",IF($N1503&lt;&gt;"",INDEX(PCNormDate,$N1503),INDEX(LdgDateB,$O1503)))</f>
        <v/>
      </c>
      <c r="C1503" s="18">
        <f>IF($N1503&lt;&gt;"",INDEX(PCOp,$N1503),IF($O1503&lt;&gt;"",IF(N(INDEX(TxnDepB,$O1503))&gt;0,"دریافت بانکی","پرداخت بانکی"),""))</f>
        <v/>
      </c>
      <c r="D1503" s="18">
        <f>IF($N1503&lt;&gt;"",IF(INDEX(PCDoc,$N1503)="","—",INDEX(PCDoc,$N1503)),IF($O1503&lt;&gt;"",INDEX(LdgBankB,$O1503),""))</f>
        <v/>
      </c>
      <c r="E1503" s="18">
        <f>IF($N1503&lt;&gt;"",IF(INDEX(PCCitrus,$N1503)="","—",INDEX(PCCitrus,$N1503)),"")</f>
        <v/>
      </c>
      <c r="F1503" s="19">
        <f>IF($N1503&lt;&gt;"",IF(INDEX(PCScale,$N1503)=0,"",INDEX(PCScale,$N1503)),"")</f>
        <v/>
      </c>
      <c r="G1503" s="19">
        <f>IF($N1503&lt;&gt;"",IF(INDEX(PCBaskets,$N1503)=0,"",INDEX(PCBaskets,$N1503)),"")</f>
        <v/>
      </c>
      <c r="H1503" s="20">
        <f>IF($N1503&lt;&gt;"",IF(INDEX(PCNet,$N1503)=0,"",INDEX(PCNet,$N1503)),"")</f>
        <v/>
      </c>
      <c r="I1503" s="19">
        <f>IF($N1503&lt;&gt;"",IF(INDEX(PCOp,$N1503)="مرجوعی خرید","",IF(INDEX(PCAmount,$N1503)&lt;=0,"",INDEX(PCAmount,$N1503))),IF($O1503&lt;&gt;"",IF(INDEX(TxnDepB,$O1503)=0,"",INDEX(TxnDepB,$O1503)),""))</f>
        <v/>
      </c>
      <c r="J1503" s="19">
        <f>IF($N1503&lt;&gt;"",IF(INDEX(PCOp,$N1503)="مرجوعی خرید",IF(INDEX(PCAmount,$N1503)=0,"",-INDEX(PCAmount,$N1503)),""),IF($O1503&lt;&gt;"",IF(INDEX(TxnWitB,$O1503)=0,"",INDEX(TxnWitB,$O1503)),""))</f>
        <v/>
      </c>
      <c r="K1503" s="21">
        <f>IF($B1503="","",IF($K1502="",$C$10,$K1502)+IF($I1503="",0,$I1503)-IF($J1503="",0,$J1503))</f>
        <v/>
      </c>
      <c r="L1503" s="22">
        <f>IF($N1503&lt;&gt;"",IF(INDEX(PCNotes,$N1503)="","—",INDEX(PCNotes,$N1503)),IF($O1503&lt;&gt;"",IF(INDEX(LdgNoteB,$O1503)="","—",INDEX(LdgNoteB,$O1503)),""))</f>
        <v/>
      </c>
      <c r="N1503">
        <f>IFERROR(MATCH($C$5&amp;"|"&amp;RIGHT("000000"&amp;1487,6),LdgRankKeyA,0),"")</f>
        <v/>
      </c>
      <c r="O1503">
        <f>IFERROR(MATCH($C$5&amp;"|"&amp;RIGHT("000000"&amp;1487,6),LdgRankKeyB,0),"")</f>
        <v/>
      </c>
    </row>
    <row r="1504">
      <c r="A1504" s="23" t="n">
        <v>1488</v>
      </c>
      <c r="B1504" s="24">
        <f>IF(AND($N1504="",$O1504=""),"",IF($N1504&lt;&gt;"",INDEX(PCNormDate,$N1504),INDEX(LdgDateB,$O1504)))</f>
        <v/>
      </c>
      <c r="C1504" s="24">
        <f>IF($N1504&lt;&gt;"",INDEX(PCOp,$N1504),IF($O1504&lt;&gt;"",IF(N(INDEX(TxnDepB,$O1504))&gt;0,"دریافت بانکی","پرداخت بانکی"),""))</f>
        <v/>
      </c>
      <c r="D1504" s="24">
        <f>IF($N1504&lt;&gt;"",IF(INDEX(PCDoc,$N1504)="","—",INDEX(PCDoc,$N1504)),IF($O1504&lt;&gt;"",INDEX(LdgBankB,$O1504),""))</f>
        <v/>
      </c>
      <c r="E1504" s="24">
        <f>IF($N1504&lt;&gt;"",IF(INDEX(PCCitrus,$N1504)="","—",INDEX(PCCitrus,$N1504)),"")</f>
        <v/>
      </c>
      <c r="F1504" s="25">
        <f>IF($N1504&lt;&gt;"",IF(INDEX(PCScale,$N1504)=0,"",INDEX(PCScale,$N1504)),"")</f>
        <v/>
      </c>
      <c r="G1504" s="25">
        <f>IF($N1504&lt;&gt;"",IF(INDEX(PCBaskets,$N1504)=0,"",INDEX(PCBaskets,$N1504)),"")</f>
        <v/>
      </c>
      <c r="H1504" s="26">
        <f>IF($N1504&lt;&gt;"",IF(INDEX(PCNet,$N1504)=0,"",INDEX(PCNet,$N1504)),"")</f>
        <v/>
      </c>
      <c r="I1504" s="25">
        <f>IF($N1504&lt;&gt;"",IF(INDEX(PCOp,$N1504)="مرجوعی خرید","",IF(INDEX(PCAmount,$N1504)&lt;=0,"",INDEX(PCAmount,$N1504))),IF($O1504&lt;&gt;"",IF(INDEX(TxnDepB,$O1504)=0,"",INDEX(TxnDepB,$O1504)),""))</f>
        <v/>
      </c>
      <c r="J1504" s="25">
        <f>IF($N1504&lt;&gt;"",IF(INDEX(PCOp,$N1504)="مرجوعی خرید",IF(INDEX(PCAmount,$N1504)=0,"",-INDEX(PCAmount,$N1504)),""),IF($O1504&lt;&gt;"",IF(INDEX(TxnWitB,$O1504)=0,"",INDEX(TxnWitB,$O1504)),""))</f>
        <v/>
      </c>
      <c r="K1504" s="27">
        <f>IF($B1504="","",IF($K1503="",$C$10,$K1503)+IF($I1504="",0,$I1504)-IF($J1504="",0,$J1504))</f>
        <v/>
      </c>
      <c r="L1504" s="28">
        <f>IF($N1504&lt;&gt;"",IF(INDEX(PCNotes,$N1504)="","—",INDEX(PCNotes,$N1504)),IF($O1504&lt;&gt;"",IF(INDEX(LdgNoteB,$O1504)="","—",INDEX(LdgNoteB,$O1504)),""))</f>
        <v/>
      </c>
      <c r="N1504">
        <f>IFERROR(MATCH($C$5&amp;"|"&amp;RIGHT("000000"&amp;1488,6),LdgRankKeyA,0),"")</f>
        <v/>
      </c>
      <c r="O1504">
        <f>IFERROR(MATCH($C$5&amp;"|"&amp;RIGHT("000000"&amp;1488,6),LdgRankKeyB,0),"")</f>
        <v/>
      </c>
    </row>
    <row r="1505">
      <c r="A1505" s="17" t="n">
        <v>1489</v>
      </c>
      <c r="B1505" s="18">
        <f>IF(AND($N1505="",$O1505=""),"",IF($N1505&lt;&gt;"",INDEX(PCNormDate,$N1505),INDEX(LdgDateB,$O1505)))</f>
        <v/>
      </c>
      <c r="C1505" s="18">
        <f>IF($N1505&lt;&gt;"",INDEX(PCOp,$N1505),IF($O1505&lt;&gt;"",IF(N(INDEX(TxnDepB,$O1505))&gt;0,"دریافت بانکی","پرداخت بانکی"),""))</f>
        <v/>
      </c>
      <c r="D1505" s="18">
        <f>IF($N1505&lt;&gt;"",IF(INDEX(PCDoc,$N1505)="","—",INDEX(PCDoc,$N1505)),IF($O1505&lt;&gt;"",INDEX(LdgBankB,$O1505),""))</f>
        <v/>
      </c>
      <c r="E1505" s="18">
        <f>IF($N1505&lt;&gt;"",IF(INDEX(PCCitrus,$N1505)="","—",INDEX(PCCitrus,$N1505)),"")</f>
        <v/>
      </c>
      <c r="F1505" s="19">
        <f>IF($N1505&lt;&gt;"",IF(INDEX(PCScale,$N1505)=0,"",INDEX(PCScale,$N1505)),"")</f>
        <v/>
      </c>
      <c r="G1505" s="19">
        <f>IF($N1505&lt;&gt;"",IF(INDEX(PCBaskets,$N1505)=0,"",INDEX(PCBaskets,$N1505)),"")</f>
        <v/>
      </c>
      <c r="H1505" s="20">
        <f>IF($N1505&lt;&gt;"",IF(INDEX(PCNet,$N1505)=0,"",INDEX(PCNet,$N1505)),"")</f>
        <v/>
      </c>
      <c r="I1505" s="19">
        <f>IF($N1505&lt;&gt;"",IF(INDEX(PCOp,$N1505)="مرجوعی خرید","",IF(INDEX(PCAmount,$N1505)&lt;=0,"",INDEX(PCAmount,$N1505))),IF($O1505&lt;&gt;"",IF(INDEX(TxnDepB,$O1505)=0,"",INDEX(TxnDepB,$O1505)),""))</f>
        <v/>
      </c>
      <c r="J1505" s="19">
        <f>IF($N1505&lt;&gt;"",IF(INDEX(PCOp,$N1505)="مرجوعی خرید",IF(INDEX(PCAmount,$N1505)=0,"",-INDEX(PCAmount,$N1505)),""),IF($O1505&lt;&gt;"",IF(INDEX(TxnWitB,$O1505)=0,"",INDEX(TxnWitB,$O1505)),""))</f>
        <v/>
      </c>
      <c r="K1505" s="21">
        <f>IF($B1505="","",IF($K1504="",$C$10,$K1504)+IF($I1505="",0,$I1505)-IF($J1505="",0,$J1505))</f>
        <v/>
      </c>
      <c r="L1505" s="22">
        <f>IF($N1505&lt;&gt;"",IF(INDEX(PCNotes,$N1505)="","—",INDEX(PCNotes,$N1505)),IF($O1505&lt;&gt;"",IF(INDEX(LdgNoteB,$O1505)="","—",INDEX(LdgNoteB,$O1505)),""))</f>
        <v/>
      </c>
      <c r="N1505">
        <f>IFERROR(MATCH($C$5&amp;"|"&amp;RIGHT("000000"&amp;1489,6),LdgRankKeyA,0),"")</f>
        <v/>
      </c>
      <c r="O1505">
        <f>IFERROR(MATCH($C$5&amp;"|"&amp;RIGHT("000000"&amp;1489,6),LdgRankKeyB,0),"")</f>
        <v/>
      </c>
    </row>
    <row r="1506">
      <c r="A1506" s="23" t="n">
        <v>1490</v>
      </c>
      <c r="B1506" s="24">
        <f>IF(AND($N1506="",$O1506=""),"",IF($N1506&lt;&gt;"",INDEX(PCNormDate,$N1506),INDEX(LdgDateB,$O1506)))</f>
        <v/>
      </c>
      <c r="C1506" s="24">
        <f>IF($N1506&lt;&gt;"",INDEX(PCOp,$N1506),IF($O1506&lt;&gt;"",IF(N(INDEX(TxnDepB,$O1506))&gt;0,"دریافت بانکی","پرداخت بانکی"),""))</f>
        <v/>
      </c>
      <c r="D1506" s="24">
        <f>IF($N1506&lt;&gt;"",IF(INDEX(PCDoc,$N1506)="","—",INDEX(PCDoc,$N1506)),IF($O1506&lt;&gt;"",INDEX(LdgBankB,$O1506),""))</f>
        <v/>
      </c>
      <c r="E1506" s="24">
        <f>IF($N1506&lt;&gt;"",IF(INDEX(PCCitrus,$N1506)="","—",INDEX(PCCitrus,$N1506)),"")</f>
        <v/>
      </c>
      <c r="F1506" s="25">
        <f>IF($N1506&lt;&gt;"",IF(INDEX(PCScale,$N1506)=0,"",INDEX(PCScale,$N1506)),"")</f>
        <v/>
      </c>
      <c r="G1506" s="25">
        <f>IF($N1506&lt;&gt;"",IF(INDEX(PCBaskets,$N1506)=0,"",INDEX(PCBaskets,$N1506)),"")</f>
        <v/>
      </c>
      <c r="H1506" s="26">
        <f>IF($N1506&lt;&gt;"",IF(INDEX(PCNet,$N1506)=0,"",INDEX(PCNet,$N1506)),"")</f>
        <v/>
      </c>
      <c r="I1506" s="25">
        <f>IF($N1506&lt;&gt;"",IF(INDEX(PCOp,$N1506)="مرجوعی خرید","",IF(INDEX(PCAmount,$N1506)&lt;=0,"",INDEX(PCAmount,$N1506))),IF($O1506&lt;&gt;"",IF(INDEX(TxnDepB,$O1506)=0,"",INDEX(TxnDepB,$O1506)),""))</f>
        <v/>
      </c>
      <c r="J1506" s="25">
        <f>IF($N1506&lt;&gt;"",IF(INDEX(PCOp,$N1506)="مرجوعی خرید",IF(INDEX(PCAmount,$N1506)=0,"",-INDEX(PCAmount,$N1506)),""),IF($O1506&lt;&gt;"",IF(INDEX(TxnWitB,$O1506)=0,"",INDEX(TxnWitB,$O1506)),""))</f>
        <v/>
      </c>
      <c r="K1506" s="27">
        <f>IF($B1506="","",IF($K1505="",$C$10,$K1505)+IF($I1506="",0,$I1506)-IF($J1506="",0,$J1506))</f>
        <v/>
      </c>
      <c r="L1506" s="28">
        <f>IF($N1506&lt;&gt;"",IF(INDEX(PCNotes,$N1506)="","—",INDEX(PCNotes,$N1506)),IF($O1506&lt;&gt;"",IF(INDEX(LdgNoteB,$O1506)="","—",INDEX(LdgNoteB,$O1506)),""))</f>
        <v/>
      </c>
      <c r="N1506">
        <f>IFERROR(MATCH($C$5&amp;"|"&amp;RIGHT("000000"&amp;1490,6),LdgRankKeyA,0),"")</f>
        <v/>
      </c>
      <c r="O1506">
        <f>IFERROR(MATCH($C$5&amp;"|"&amp;RIGHT("000000"&amp;1490,6),LdgRankKeyB,0),"")</f>
        <v/>
      </c>
    </row>
    <row r="1507">
      <c r="A1507" s="17" t="n">
        <v>1491</v>
      </c>
      <c r="B1507" s="18">
        <f>IF(AND($N1507="",$O1507=""),"",IF($N1507&lt;&gt;"",INDEX(PCNormDate,$N1507),INDEX(LdgDateB,$O1507)))</f>
        <v/>
      </c>
      <c r="C1507" s="18">
        <f>IF($N1507&lt;&gt;"",INDEX(PCOp,$N1507),IF($O1507&lt;&gt;"",IF(N(INDEX(TxnDepB,$O1507))&gt;0,"دریافت بانکی","پرداخت بانکی"),""))</f>
        <v/>
      </c>
      <c r="D1507" s="18">
        <f>IF($N1507&lt;&gt;"",IF(INDEX(PCDoc,$N1507)="","—",INDEX(PCDoc,$N1507)),IF($O1507&lt;&gt;"",INDEX(LdgBankB,$O1507),""))</f>
        <v/>
      </c>
      <c r="E1507" s="18">
        <f>IF($N1507&lt;&gt;"",IF(INDEX(PCCitrus,$N1507)="","—",INDEX(PCCitrus,$N1507)),"")</f>
        <v/>
      </c>
      <c r="F1507" s="19">
        <f>IF($N1507&lt;&gt;"",IF(INDEX(PCScale,$N1507)=0,"",INDEX(PCScale,$N1507)),"")</f>
        <v/>
      </c>
      <c r="G1507" s="19">
        <f>IF($N1507&lt;&gt;"",IF(INDEX(PCBaskets,$N1507)=0,"",INDEX(PCBaskets,$N1507)),"")</f>
        <v/>
      </c>
      <c r="H1507" s="20">
        <f>IF($N1507&lt;&gt;"",IF(INDEX(PCNet,$N1507)=0,"",INDEX(PCNet,$N1507)),"")</f>
        <v/>
      </c>
      <c r="I1507" s="19">
        <f>IF($N1507&lt;&gt;"",IF(INDEX(PCOp,$N1507)="مرجوعی خرید","",IF(INDEX(PCAmount,$N1507)&lt;=0,"",INDEX(PCAmount,$N1507))),IF($O1507&lt;&gt;"",IF(INDEX(TxnDepB,$O1507)=0,"",INDEX(TxnDepB,$O1507)),""))</f>
        <v/>
      </c>
      <c r="J1507" s="19">
        <f>IF($N1507&lt;&gt;"",IF(INDEX(PCOp,$N1507)="مرجوعی خرید",IF(INDEX(PCAmount,$N1507)=0,"",-INDEX(PCAmount,$N1507)),""),IF($O1507&lt;&gt;"",IF(INDEX(TxnWitB,$O1507)=0,"",INDEX(TxnWitB,$O1507)),""))</f>
        <v/>
      </c>
      <c r="K1507" s="21">
        <f>IF($B1507="","",IF($K1506="",$C$10,$K1506)+IF($I1507="",0,$I1507)-IF($J1507="",0,$J1507))</f>
        <v/>
      </c>
      <c r="L1507" s="22">
        <f>IF($N1507&lt;&gt;"",IF(INDEX(PCNotes,$N1507)="","—",INDEX(PCNotes,$N1507)),IF($O1507&lt;&gt;"",IF(INDEX(LdgNoteB,$O1507)="","—",INDEX(LdgNoteB,$O1507)),""))</f>
        <v/>
      </c>
      <c r="N1507">
        <f>IFERROR(MATCH($C$5&amp;"|"&amp;RIGHT("000000"&amp;1491,6),LdgRankKeyA,0),"")</f>
        <v/>
      </c>
      <c r="O1507">
        <f>IFERROR(MATCH($C$5&amp;"|"&amp;RIGHT("000000"&amp;1491,6),LdgRankKeyB,0),"")</f>
        <v/>
      </c>
    </row>
    <row r="1508">
      <c r="A1508" s="23" t="n">
        <v>1492</v>
      </c>
      <c r="B1508" s="24">
        <f>IF(AND($N1508="",$O1508=""),"",IF($N1508&lt;&gt;"",INDEX(PCNormDate,$N1508),INDEX(LdgDateB,$O1508)))</f>
        <v/>
      </c>
      <c r="C1508" s="24">
        <f>IF($N1508&lt;&gt;"",INDEX(PCOp,$N1508),IF($O1508&lt;&gt;"",IF(N(INDEX(TxnDepB,$O1508))&gt;0,"دریافت بانکی","پرداخت بانکی"),""))</f>
        <v/>
      </c>
      <c r="D1508" s="24">
        <f>IF($N1508&lt;&gt;"",IF(INDEX(PCDoc,$N1508)="","—",INDEX(PCDoc,$N1508)),IF($O1508&lt;&gt;"",INDEX(LdgBankB,$O1508),""))</f>
        <v/>
      </c>
      <c r="E1508" s="24">
        <f>IF($N1508&lt;&gt;"",IF(INDEX(PCCitrus,$N1508)="","—",INDEX(PCCitrus,$N1508)),"")</f>
        <v/>
      </c>
      <c r="F1508" s="25">
        <f>IF($N1508&lt;&gt;"",IF(INDEX(PCScale,$N1508)=0,"",INDEX(PCScale,$N1508)),"")</f>
        <v/>
      </c>
      <c r="G1508" s="25">
        <f>IF($N1508&lt;&gt;"",IF(INDEX(PCBaskets,$N1508)=0,"",INDEX(PCBaskets,$N1508)),"")</f>
        <v/>
      </c>
      <c r="H1508" s="26">
        <f>IF($N1508&lt;&gt;"",IF(INDEX(PCNet,$N1508)=0,"",INDEX(PCNet,$N1508)),"")</f>
        <v/>
      </c>
      <c r="I1508" s="25">
        <f>IF($N1508&lt;&gt;"",IF(INDEX(PCOp,$N1508)="مرجوعی خرید","",IF(INDEX(PCAmount,$N1508)&lt;=0,"",INDEX(PCAmount,$N1508))),IF($O1508&lt;&gt;"",IF(INDEX(TxnDepB,$O1508)=0,"",INDEX(TxnDepB,$O1508)),""))</f>
        <v/>
      </c>
      <c r="J1508" s="25">
        <f>IF($N1508&lt;&gt;"",IF(INDEX(PCOp,$N1508)="مرجوعی خرید",IF(INDEX(PCAmount,$N1508)=0,"",-INDEX(PCAmount,$N1508)),""),IF($O1508&lt;&gt;"",IF(INDEX(TxnWitB,$O1508)=0,"",INDEX(TxnWitB,$O1508)),""))</f>
        <v/>
      </c>
      <c r="K1508" s="27">
        <f>IF($B1508="","",IF($K1507="",$C$10,$K1507)+IF($I1508="",0,$I1508)-IF($J1508="",0,$J1508))</f>
        <v/>
      </c>
      <c r="L1508" s="28">
        <f>IF($N1508&lt;&gt;"",IF(INDEX(PCNotes,$N1508)="","—",INDEX(PCNotes,$N1508)),IF($O1508&lt;&gt;"",IF(INDEX(LdgNoteB,$O1508)="","—",INDEX(LdgNoteB,$O1508)),""))</f>
        <v/>
      </c>
      <c r="N1508">
        <f>IFERROR(MATCH($C$5&amp;"|"&amp;RIGHT("000000"&amp;1492,6),LdgRankKeyA,0),"")</f>
        <v/>
      </c>
      <c r="O1508">
        <f>IFERROR(MATCH($C$5&amp;"|"&amp;RIGHT("000000"&amp;1492,6),LdgRankKeyB,0),"")</f>
        <v/>
      </c>
    </row>
    <row r="1509">
      <c r="A1509" s="17" t="n">
        <v>1493</v>
      </c>
      <c r="B1509" s="18">
        <f>IF(AND($N1509="",$O1509=""),"",IF($N1509&lt;&gt;"",INDEX(PCNormDate,$N1509),INDEX(LdgDateB,$O1509)))</f>
        <v/>
      </c>
      <c r="C1509" s="18">
        <f>IF($N1509&lt;&gt;"",INDEX(PCOp,$N1509),IF($O1509&lt;&gt;"",IF(N(INDEX(TxnDepB,$O1509))&gt;0,"دریافت بانکی","پرداخت بانکی"),""))</f>
        <v/>
      </c>
      <c r="D1509" s="18">
        <f>IF($N1509&lt;&gt;"",IF(INDEX(PCDoc,$N1509)="","—",INDEX(PCDoc,$N1509)),IF($O1509&lt;&gt;"",INDEX(LdgBankB,$O1509),""))</f>
        <v/>
      </c>
      <c r="E1509" s="18">
        <f>IF($N1509&lt;&gt;"",IF(INDEX(PCCitrus,$N1509)="","—",INDEX(PCCitrus,$N1509)),"")</f>
        <v/>
      </c>
      <c r="F1509" s="19">
        <f>IF($N1509&lt;&gt;"",IF(INDEX(PCScale,$N1509)=0,"",INDEX(PCScale,$N1509)),"")</f>
        <v/>
      </c>
      <c r="G1509" s="19">
        <f>IF($N1509&lt;&gt;"",IF(INDEX(PCBaskets,$N1509)=0,"",INDEX(PCBaskets,$N1509)),"")</f>
        <v/>
      </c>
      <c r="H1509" s="20">
        <f>IF($N1509&lt;&gt;"",IF(INDEX(PCNet,$N1509)=0,"",INDEX(PCNet,$N1509)),"")</f>
        <v/>
      </c>
      <c r="I1509" s="19">
        <f>IF($N1509&lt;&gt;"",IF(INDEX(PCOp,$N1509)="مرجوعی خرید","",IF(INDEX(PCAmount,$N1509)&lt;=0,"",INDEX(PCAmount,$N1509))),IF($O1509&lt;&gt;"",IF(INDEX(TxnDepB,$O1509)=0,"",INDEX(TxnDepB,$O1509)),""))</f>
        <v/>
      </c>
      <c r="J1509" s="19">
        <f>IF($N1509&lt;&gt;"",IF(INDEX(PCOp,$N1509)="مرجوعی خرید",IF(INDEX(PCAmount,$N1509)=0,"",-INDEX(PCAmount,$N1509)),""),IF($O1509&lt;&gt;"",IF(INDEX(TxnWitB,$O1509)=0,"",INDEX(TxnWitB,$O1509)),""))</f>
        <v/>
      </c>
      <c r="K1509" s="21">
        <f>IF($B1509="","",IF($K1508="",$C$10,$K1508)+IF($I1509="",0,$I1509)-IF($J1509="",0,$J1509))</f>
        <v/>
      </c>
      <c r="L1509" s="22">
        <f>IF($N1509&lt;&gt;"",IF(INDEX(PCNotes,$N1509)="","—",INDEX(PCNotes,$N1509)),IF($O1509&lt;&gt;"",IF(INDEX(LdgNoteB,$O1509)="","—",INDEX(LdgNoteB,$O1509)),""))</f>
        <v/>
      </c>
      <c r="N1509">
        <f>IFERROR(MATCH($C$5&amp;"|"&amp;RIGHT("000000"&amp;1493,6),LdgRankKeyA,0),"")</f>
        <v/>
      </c>
      <c r="O1509">
        <f>IFERROR(MATCH($C$5&amp;"|"&amp;RIGHT("000000"&amp;1493,6),LdgRankKeyB,0),"")</f>
        <v/>
      </c>
    </row>
    <row r="1510">
      <c r="A1510" s="23" t="n">
        <v>1494</v>
      </c>
      <c r="B1510" s="24">
        <f>IF(AND($N1510="",$O1510=""),"",IF($N1510&lt;&gt;"",INDEX(PCNormDate,$N1510),INDEX(LdgDateB,$O1510)))</f>
        <v/>
      </c>
      <c r="C1510" s="24">
        <f>IF($N1510&lt;&gt;"",INDEX(PCOp,$N1510),IF($O1510&lt;&gt;"",IF(N(INDEX(TxnDepB,$O1510))&gt;0,"دریافت بانکی","پرداخت بانکی"),""))</f>
        <v/>
      </c>
      <c r="D1510" s="24">
        <f>IF($N1510&lt;&gt;"",IF(INDEX(PCDoc,$N1510)="","—",INDEX(PCDoc,$N1510)),IF($O1510&lt;&gt;"",INDEX(LdgBankB,$O1510),""))</f>
        <v/>
      </c>
      <c r="E1510" s="24">
        <f>IF($N1510&lt;&gt;"",IF(INDEX(PCCitrus,$N1510)="","—",INDEX(PCCitrus,$N1510)),"")</f>
        <v/>
      </c>
      <c r="F1510" s="25">
        <f>IF($N1510&lt;&gt;"",IF(INDEX(PCScale,$N1510)=0,"",INDEX(PCScale,$N1510)),"")</f>
        <v/>
      </c>
      <c r="G1510" s="25">
        <f>IF($N1510&lt;&gt;"",IF(INDEX(PCBaskets,$N1510)=0,"",INDEX(PCBaskets,$N1510)),"")</f>
        <v/>
      </c>
      <c r="H1510" s="26">
        <f>IF($N1510&lt;&gt;"",IF(INDEX(PCNet,$N1510)=0,"",INDEX(PCNet,$N1510)),"")</f>
        <v/>
      </c>
      <c r="I1510" s="25">
        <f>IF($N1510&lt;&gt;"",IF(INDEX(PCOp,$N1510)="مرجوعی خرید","",IF(INDEX(PCAmount,$N1510)&lt;=0,"",INDEX(PCAmount,$N1510))),IF($O1510&lt;&gt;"",IF(INDEX(TxnDepB,$O1510)=0,"",INDEX(TxnDepB,$O1510)),""))</f>
        <v/>
      </c>
      <c r="J1510" s="25">
        <f>IF($N1510&lt;&gt;"",IF(INDEX(PCOp,$N1510)="مرجوعی خرید",IF(INDEX(PCAmount,$N1510)=0,"",-INDEX(PCAmount,$N1510)),""),IF($O1510&lt;&gt;"",IF(INDEX(TxnWitB,$O1510)=0,"",INDEX(TxnWitB,$O1510)),""))</f>
        <v/>
      </c>
      <c r="K1510" s="27">
        <f>IF($B1510="","",IF($K1509="",$C$10,$K1509)+IF($I1510="",0,$I1510)-IF($J1510="",0,$J1510))</f>
        <v/>
      </c>
      <c r="L1510" s="28">
        <f>IF($N1510&lt;&gt;"",IF(INDEX(PCNotes,$N1510)="","—",INDEX(PCNotes,$N1510)),IF($O1510&lt;&gt;"",IF(INDEX(LdgNoteB,$O1510)="","—",INDEX(LdgNoteB,$O1510)),""))</f>
        <v/>
      </c>
      <c r="N1510">
        <f>IFERROR(MATCH($C$5&amp;"|"&amp;RIGHT("000000"&amp;1494,6),LdgRankKeyA,0),"")</f>
        <v/>
      </c>
      <c r="O1510">
        <f>IFERROR(MATCH($C$5&amp;"|"&amp;RIGHT("000000"&amp;1494,6),LdgRankKeyB,0),"")</f>
        <v/>
      </c>
    </row>
    <row r="1511">
      <c r="A1511" s="17" t="n">
        <v>1495</v>
      </c>
      <c r="B1511" s="18">
        <f>IF(AND($N1511="",$O1511=""),"",IF($N1511&lt;&gt;"",INDEX(PCNormDate,$N1511),INDEX(LdgDateB,$O1511)))</f>
        <v/>
      </c>
      <c r="C1511" s="18">
        <f>IF($N1511&lt;&gt;"",INDEX(PCOp,$N1511),IF($O1511&lt;&gt;"",IF(N(INDEX(TxnDepB,$O1511))&gt;0,"دریافت بانکی","پرداخت بانکی"),""))</f>
        <v/>
      </c>
      <c r="D1511" s="18">
        <f>IF($N1511&lt;&gt;"",IF(INDEX(PCDoc,$N1511)="","—",INDEX(PCDoc,$N1511)),IF($O1511&lt;&gt;"",INDEX(LdgBankB,$O1511),""))</f>
        <v/>
      </c>
      <c r="E1511" s="18">
        <f>IF($N1511&lt;&gt;"",IF(INDEX(PCCitrus,$N1511)="","—",INDEX(PCCitrus,$N1511)),"")</f>
        <v/>
      </c>
      <c r="F1511" s="19">
        <f>IF($N1511&lt;&gt;"",IF(INDEX(PCScale,$N1511)=0,"",INDEX(PCScale,$N1511)),"")</f>
        <v/>
      </c>
      <c r="G1511" s="19">
        <f>IF($N1511&lt;&gt;"",IF(INDEX(PCBaskets,$N1511)=0,"",INDEX(PCBaskets,$N1511)),"")</f>
        <v/>
      </c>
      <c r="H1511" s="20">
        <f>IF($N1511&lt;&gt;"",IF(INDEX(PCNet,$N1511)=0,"",INDEX(PCNet,$N1511)),"")</f>
        <v/>
      </c>
      <c r="I1511" s="19">
        <f>IF($N1511&lt;&gt;"",IF(INDEX(PCOp,$N1511)="مرجوعی خرید","",IF(INDEX(PCAmount,$N1511)&lt;=0,"",INDEX(PCAmount,$N1511))),IF($O1511&lt;&gt;"",IF(INDEX(TxnDepB,$O1511)=0,"",INDEX(TxnDepB,$O1511)),""))</f>
        <v/>
      </c>
      <c r="J1511" s="19">
        <f>IF($N1511&lt;&gt;"",IF(INDEX(PCOp,$N1511)="مرجوعی خرید",IF(INDEX(PCAmount,$N1511)=0,"",-INDEX(PCAmount,$N1511)),""),IF($O1511&lt;&gt;"",IF(INDEX(TxnWitB,$O1511)=0,"",INDEX(TxnWitB,$O1511)),""))</f>
        <v/>
      </c>
      <c r="K1511" s="21">
        <f>IF($B1511="","",IF($K1510="",$C$10,$K1510)+IF($I1511="",0,$I1511)-IF($J1511="",0,$J1511))</f>
        <v/>
      </c>
      <c r="L1511" s="22">
        <f>IF($N1511&lt;&gt;"",IF(INDEX(PCNotes,$N1511)="","—",INDEX(PCNotes,$N1511)),IF($O1511&lt;&gt;"",IF(INDEX(LdgNoteB,$O1511)="","—",INDEX(LdgNoteB,$O1511)),""))</f>
        <v/>
      </c>
      <c r="N1511">
        <f>IFERROR(MATCH($C$5&amp;"|"&amp;RIGHT("000000"&amp;1495,6),LdgRankKeyA,0),"")</f>
        <v/>
      </c>
      <c r="O1511">
        <f>IFERROR(MATCH($C$5&amp;"|"&amp;RIGHT("000000"&amp;1495,6),LdgRankKeyB,0),"")</f>
        <v/>
      </c>
    </row>
    <row r="1512">
      <c r="A1512" s="23" t="n">
        <v>1496</v>
      </c>
      <c r="B1512" s="24">
        <f>IF(AND($N1512="",$O1512=""),"",IF($N1512&lt;&gt;"",INDEX(PCNormDate,$N1512),INDEX(LdgDateB,$O1512)))</f>
        <v/>
      </c>
      <c r="C1512" s="24">
        <f>IF($N1512&lt;&gt;"",INDEX(PCOp,$N1512),IF($O1512&lt;&gt;"",IF(N(INDEX(TxnDepB,$O1512))&gt;0,"دریافت بانکی","پرداخت بانکی"),""))</f>
        <v/>
      </c>
      <c r="D1512" s="24">
        <f>IF($N1512&lt;&gt;"",IF(INDEX(PCDoc,$N1512)="","—",INDEX(PCDoc,$N1512)),IF($O1512&lt;&gt;"",INDEX(LdgBankB,$O1512),""))</f>
        <v/>
      </c>
      <c r="E1512" s="24">
        <f>IF($N1512&lt;&gt;"",IF(INDEX(PCCitrus,$N1512)="","—",INDEX(PCCitrus,$N1512)),"")</f>
        <v/>
      </c>
      <c r="F1512" s="25">
        <f>IF($N1512&lt;&gt;"",IF(INDEX(PCScale,$N1512)=0,"",INDEX(PCScale,$N1512)),"")</f>
        <v/>
      </c>
      <c r="G1512" s="25">
        <f>IF($N1512&lt;&gt;"",IF(INDEX(PCBaskets,$N1512)=0,"",INDEX(PCBaskets,$N1512)),"")</f>
        <v/>
      </c>
      <c r="H1512" s="26">
        <f>IF($N1512&lt;&gt;"",IF(INDEX(PCNet,$N1512)=0,"",INDEX(PCNet,$N1512)),"")</f>
        <v/>
      </c>
      <c r="I1512" s="25">
        <f>IF($N1512&lt;&gt;"",IF(INDEX(PCOp,$N1512)="مرجوعی خرید","",IF(INDEX(PCAmount,$N1512)&lt;=0,"",INDEX(PCAmount,$N1512))),IF($O1512&lt;&gt;"",IF(INDEX(TxnDepB,$O1512)=0,"",INDEX(TxnDepB,$O1512)),""))</f>
        <v/>
      </c>
      <c r="J1512" s="25">
        <f>IF($N1512&lt;&gt;"",IF(INDEX(PCOp,$N1512)="مرجوعی خرید",IF(INDEX(PCAmount,$N1512)=0,"",-INDEX(PCAmount,$N1512)),""),IF($O1512&lt;&gt;"",IF(INDEX(TxnWitB,$O1512)=0,"",INDEX(TxnWitB,$O1512)),""))</f>
        <v/>
      </c>
      <c r="K1512" s="27">
        <f>IF($B1512="","",IF($K1511="",$C$10,$K1511)+IF($I1512="",0,$I1512)-IF($J1512="",0,$J1512))</f>
        <v/>
      </c>
      <c r="L1512" s="28">
        <f>IF($N1512&lt;&gt;"",IF(INDEX(PCNotes,$N1512)="","—",INDEX(PCNotes,$N1512)),IF($O1512&lt;&gt;"",IF(INDEX(LdgNoteB,$O1512)="","—",INDEX(LdgNoteB,$O1512)),""))</f>
        <v/>
      </c>
      <c r="N1512">
        <f>IFERROR(MATCH($C$5&amp;"|"&amp;RIGHT("000000"&amp;1496,6),LdgRankKeyA,0),"")</f>
        <v/>
      </c>
      <c r="O1512">
        <f>IFERROR(MATCH($C$5&amp;"|"&amp;RIGHT("000000"&amp;1496,6),LdgRankKeyB,0),"")</f>
        <v/>
      </c>
    </row>
    <row r="1513">
      <c r="A1513" s="17" t="n">
        <v>1497</v>
      </c>
      <c r="B1513" s="18">
        <f>IF(AND($N1513="",$O1513=""),"",IF($N1513&lt;&gt;"",INDEX(PCNormDate,$N1513),INDEX(LdgDateB,$O1513)))</f>
        <v/>
      </c>
      <c r="C1513" s="18">
        <f>IF($N1513&lt;&gt;"",INDEX(PCOp,$N1513),IF($O1513&lt;&gt;"",IF(N(INDEX(TxnDepB,$O1513))&gt;0,"دریافت بانکی","پرداخت بانکی"),""))</f>
        <v/>
      </c>
      <c r="D1513" s="18">
        <f>IF($N1513&lt;&gt;"",IF(INDEX(PCDoc,$N1513)="","—",INDEX(PCDoc,$N1513)),IF($O1513&lt;&gt;"",INDEX(LdgBankB,$O1513),""))</f>
        <v/>
      </c>
      <c r="E1513" s="18">
        <f>IF($N1513&lt;&gt;"",IF(INDEX(PCCitrus,$N1513)="","—",INDEX(PCCitrus,$N1513)),"")</f>
        <v/>
      </c>
      <c r="F1513" s="19">
        <f>IF($N1513&lt;&gt;"",IF(INDEX(PCScale,$N1513)=0,"",INDEX(PCScale,$N1513)),"")</f>
        <v/>
      </c>
      <c r="G1513" s="19">
        <f>IF($N1513&lt;&gt;"",IF(INDEX(PCBaskets,$N1513)=0,"",INDEX(PCBaskets,$N1513)),"")</f>
        <v/>
      </c>
      <c r="H1513" s="20">
        <f>IF($N1513&lt;&gt;"",IF(INDEX(PCNet,$N1513)=0,"",INDEX(PCNet,$N1513)),"")</f>
        <v/>
      </c>
      <c r="I1513" s="19">
        <f>IF($N1513&lt;&gt;"",IF(INDEX(PCOp,$N1513)="مرجوعی خرید","",IF(INDEX(PCAmount,$N1513)&lt;=0,"",INDEX(PCAmount,$N1513))),IF($O1513&lt;&gt;"",IF(INDEX(TxnDepB,$O1513)=0,"",INDEX(TxnDepB,$O1513)),""))</f>
        <v/>
      </c>
      <c r="J1513" s="19">
        <f>IF($N1513&lt;&gt;"",IF(INDEX(PCOp,$N1513)="مرجوعی خرید",IF(INDEX(PCAmount,$N1513)=0,"",-INDEX(PCAmount,$N1513)),""),IF($O1513&lt;&gt;"",IF(INDEX(TxnWitB,$O1513)=0,"",INDEX(TxnWitB,$O1513)),""))</f>
        <v/>
      </c>
      <c r="K1513" s="21">
        <f>IF($B1513="","",IF($K1512="",$C$10,$K1512)+IF($I1513="",0,$I1513)-IF($J1513="",0,$J1513))</f>
        <v/>
      </c>
      <c r="L1513" s="22">
        <f>IF($N1513&lt;&gt;"",IF(INDEX(PCNotes,$N1513)="","—",INDEX(PCNotes,$N1513)),IF($O1513&lt;&gt;"",IF(INDEX(LdgNoteB,$O1513)="","—",INDEX(LdgNoteB,$O1513)),""))</f>
        <v/>
      </c>
      <c r="N1513">
        <f>IFERROR(MATCH($C$5&amp;"|"&amp;RIGHT("000000"&amp;1497,6),LdgRankKeyA,0),"")</f>
        <v/>
      </c>
      <c r="O1513">
        <f>IFERROR(MATCH($C$5&amp;"|"&amp;RIGHT("000000"&amp;1497,6),LdgRankKeyB,0),"")</f>
        <v/>
      </c>
    </row>
    <row r="1514">
      <c r="A1514" s="23" t="n">
        <v>1498</v>
      </c>
      <c r="B1514" s="24">
        <f>IF(AND($N1514="",$O1514=""),"",IF($N1514&lt;&gt;"",INDEX(PCNormDate,$N1514),INDEX(LdgDateB,$O1514)))</f>
        <v/>
      </c>
      <c r="C1514" s="24">
        <f>IF($N1514&lt;&gt;"",INDEX(PCOp,$N1514),IF($O1514&lt;&gt;"",IF(N(INDEX(TxnDepB,$O1514))&gt;0,"دریافت بانکی","پرداخت بانکی"),""))</f>
        <v/>
      </c>
      <c r="D1514" s="24">
        <f>IF($N1514&lt;&gt;"",IF(INDEX(PCDoc,$N1514)="","—",INDEX(PCDoc,$N1514)),IF($O1514&lt;&gt;"",INDEX(LdgBankB,$O1514),""))</f>
        <v/>
      </c>
      <c r="E1514" s="24">
        <f>IF($N1514&lt;&gt;"",IF(INDEX(PCCitrus,$N1514)="","—",INDEX(PCCitrus,$N1514)),"")</f>
        <v/>
      </c>
      <c r="F1514" s="25">
        <f>IF($N1514&lt;&gt;"",IF(INDEX(PCScale,$N1514)=0,"",INDEX(PCScale,$N1514)),"")</f>
        <v/>
      </c>
      <c r="G1514" s="25">
        <f>IF($N1514&lt;&gt;"",IF(INDEX(PCBaskets,$N1514)=0,"",INDEX(PCBaskets,$N1514)),"")</f>
        <v/>
      </c>
      <c r="H1514" s="26">
        <f>IF($N1514&lt;&gt;"",IF(INDEX(PCNet,$N1514)=0,"",INDEX(PCNet,$N1514)),"")</f>
        <v/>
      </c>
      <c r="I1514" s="25">
        <f>IF($N1514&lt;&gt;"",IF(INDEX(PCOp,$N1514)="مرجوعی خرید","",IF(INDEX(PCAmount,$N1514)&lt;=0,"",INDEX(PCAmount,$N1514))),IF($O1514&lt;&gt;"",IF(INDEX(TxnDepB,$O1514)=0,"",INDEX(TxnDepB,$O1514)),""))</f>
        <v/>
      </c>
      <c r="J1514" s="25">
        <f>IF($N1514&lt;&gt;"",IF(INDEX(PCOp,$N1514)="مرجوعی خرید",IF(INDEX(PCAmount,$N1514)=0,"",-INDEX(PCAmount,$N1514)),""),IF($O1514&lt;&gt;"",IF(INDEX(TxnWitB,$O1514)=0,"",INDEX(TxnWitB,$O1514)),""))</f>
        <v/>
      </c>
      <c r="K1514" s="27">
        <f>IF($B1514="","",IF($K1513="",$C$10,$K1513)+IF($I1514="",0,$I1514)-IF($J1514="",0,$J1514))</f>
        <v/>
      </c>
      <c r="L1514" s="28">
        <f>IF($N1514&lt;&gt;"",IF(INDEX(PCNotes,$N1514)="","—",INDEX(PCNotes,$N1514)),IF($O1514&lt;&gt;"",IF(INDEX(LdgNoteB,$O1514)="","—",INDEX(LdgNoteB,$O1514)),""))</f>
        <v/>
      </c>
      <c r="N1514">
        <f>IFERROR(MATCH($C$5&amp;"|"&amp;RIGHT("000000"&amp;1498,6),LdgRankKeyA,0),"")</f>
        <v/>
      </c>
      <c r="O1514">
        <f>IFERROR(MATCH($C$5&amp;"|"&amp;RIGHT("000000"&amp;1498,6),LdgRankKeyB,0),"")</f>
        <v/>
      </c>
    </row>
    <row r="1515">
      <c r="A1515" s="17" t="n">
        <v>1499</v>
      </c>
      <c r="B1515" s="18">
        <f>IF(AND($N1515="",$O1515=""),"",IF($N1515&lt;&gt;"",INDEX(PCNormDate,$N1515),INDEX(LdgDateB,$O1515)))</f>
        <v/>
      </c>
      <c r="C1515" s="18">
        <f>IF($N1515&lt;&gt;"",INDEX(PCOp,$N1515),IF($O1515&lt;&gt;"",IF(N(INDEX(TxnDepB,$O1515))&gt;0,"دریافت بانکی","پرداخت بانکی"),""))</f>
        <v/>
      </c>
      <c r="D1515" s="18">
        <f>IF($N1515&lt;&gt;"",IF(INDEX(PCDoc,$N1515)="","—",INDEX(PCDoc,$N1515)),IF($O1515&lt;&gt;"",INDEX(LdgBankB,$O1515),""))</f>
        <v/>
      </c>
      <c r="E1515" s="18">
        <f>IF($N1515&lt;&gt;"",IF(INDEX(PCCitrus,$N1515)="","—",INDEX(PCCitrus,$N1515)),"")</f>
        <v/>
      </c>
      <c r="F1515" s="19">
        <f>IF($N1515&lt;&gt;"",IF(INDEX(PCScale,$N1515)=0,"",INDEX(PCScale,$N1515)),"")</f>
        <v/>
      </c>
      <c r="G1515" s="19">
        <f>IF($N1515&lt;&gt;"",IF(INDEX(PCBaskets,$N1515)=0,"",INDEX(PCBaskets,$N1515)),"")</f>
        <v/>
      </c>
      <c r="H1515" s="20">
        <f>IF($N1515&lt;&gt;"",IF(INDEX(PCNet,$N1515)=0,"",INDEX(PCNet,$N1515)),"")</f>
        <v/>
      </c>
      <c r="I1515" s="19">
        <f>IF($N1515&lt;&gt;"",IF(INDEX(PCOp,$N1515)="مرجوعی خرید","",IF(INDEX(PCAmount,$N1515)&lt;=0,"",INDEX(PCAmount,$N1515))),IF($O1515&lt;&gt;"",IF(INDEX(TxnDepB,$O1515)=0,"",INDEX(TxnDepB,$O1515)),""))</f>
        <v/>
      </c>
      <c r="J1515" s="19">
        <f>IF($N1515&lt;&gt;"",IF(INDEX(PCOp,$N1515)="مرجوعی خرید",IF(INDEX(PCAmount,$N1515)=0,"",-INDEX(PCAmount,$N1515)),""),IF($O1515&lt;&gt;"",IF(INDEX(TxnWitB,$O1515)=0,"",INDEX(TxnWitB,$O1515)),""))</f>
        <v/>
      </c>
      <c r="K1515" s="21">
        <f>IF($B1515="","",IF($K1514="",$C$10,$K1514)+IF($I1515="",0,$I1515)-IF($J1515="",0,$J1515))</f>
        <v/>
      </c>
      <c r="L1515" s="22">
        <f>IF($N1515&lt;&gt;"",IF(INDEX(PCNotes,$N1515)="","—",INDEX(PCNotes,$N1515)),IF($O1515&lt;&gt;"",IF(INDEX(LdgNoteB,$O1515)="","—",INDEX(LdgNoteB,$O1515)),""))</f>
        <v/>
      </c>
      <c r="N1515">
        <f>IFERROR(MATCH($C$5&amp;"|"&amp;RIGHT("000000"&amp;1499,6),LdgRankKeyA,0),"")</f>
        <v/>
      </c>
      <c r="O1515">
        <f>IFERROR(MATCH($C$5&amp;"|"&amp;RIGHT("000000"&amp;1499,6),LdgRankKeyB,0),"")</f>
        <v/>
      </c>
    </row>
    <row r="1516">
      <c r="A1516" s="23" t="n">
        <v>1500</v>
      </c>
      <c r="B1516" s="24">
        <f>IF(AND($N1516="",$O1516=""),"",IF($N1516&lt;&gt;"",INDEX(PCNormDate,$N1516),INDEX(LdgDateB,$O1516)))</f>
        <v/>
      </c>
      <c r="C1516" s="24">
        <f>IF($N1516&lt;&gt;"",INDEX(PCOp,$N1516),IF($O1516&lt;&gt;"",IF(N(INDEX(TxnDepB,$O1516))&gt;0,"دریافت بانکی","پرداخت بانکی"),""))</f>
        <v/>
      </c>
      <c r="D1516" s="24">
        <f>IF($N1516&lt;&gt;"",IF(INDEX(PCDoc,$N1516)="","—",INDEX(PCDoc,$N1516)),IF($O1516&lt;&gt;"",INDEX(LdgBankB,$O1516),""))</f>
        <v/>
      </c>
      <c r="E1516" s="24">
        <f>IF($N1516&lt;&gt;"",IF(INDEX(PCCitrus,$N1516)="","—",INDEX(PCCitrus,$N1516)),"")</f>
        <v/>
      </c>
      <c r="F1516" s="25">
        <f>IF($N1516&lt;&gt;"",IF(INDEX(PCScale,$N1516)=0,"",INDEX(PCScale,$N1516)),"")</f>
        <v/>
      </c>
      <c r="G1516" s="25">
        <f>IF($N1516&lt;&gt;"",IF(INDEX(PCBaskets,$N1516)=0,"",INDEX(PCBaskets,$N1516)),"")</f>
        <v/>
      </c>
      <c r="H1516" s="26">
        <f>IF($N1516&lt;&gt;"",IF(INDEX(PCNet,$N1516)=0,"",INDEX(PCNet,$N1516)),"")</f>
        <v/>
      </c>
      <c r="I1516" s="25">
        <f>IF($N1516&lt;&gt;"",IF(INDEX(PCOp,$N1516)="مرجوعی خرید","",IF(INDEX(PCAmount,$N1516)&lt;=0,"",INDEX(PCAmount,$N1516))),IF($O1516&lt;&gt;"",IF(INDEX(TxnDepB,$O1516)=0,"",INDEX(TxnDepB,$O1516)),""))</f>
        <v/>
      </c>
      <c r="J1516" s="25">
        <f>IF($N1516&lt;&gt;"",IF(INDEX(PCOp,$N1516)="مرجوعی خرید",IF(INDEX(PCAmount,$N1516)=0,"",-INDEX(PCAmount,$N1516)),""),IF($O1516&lt;&gt;"",IF(INDEX(TxnWitB,$O1516)=0,"",INDEX(TxnWitB,$O1516)),""))</f>
        <v/>
      </c>
      <c r="K1516" s="27">
        <f>IF($B1516="","",IF($K1515="",$C$10,$K1515)+IF($I1516="",0,$I1516)-IF($J1516="",0,$J1516))</f>
        <v/>
      </c>
      <c r="L1516" s="28">
        <f>IF($N1516&lt;&gt;"",IF(INDEX(PCNotes,$N1516)="","—",INDEX(PCNotes,$N1516)),IF($O1516&lt;&gt;"",IF(INDEX(LdgNoteB,$O1516)="","—",INDEX(LdgNoteB,$O1516)),""))</f>
        <v/>
      </c>
      <c r="N1516">
        <f>IFERROR(MATCH($C$5&amp;"|"&amp;RIGHT("000000"&amp;1500,6),LdgRankKeyA,0),"")</f>
        <v/>
      </c>
      <c r="O1516">
        <f>IFERROR(MATCH($C$5&amp;"|"&amp;RIGHT("000000"&amp;1500,6),LdgRankKeyB,0),"")</f>
        <v/>
      </c>
    </row>
    <row r="1517">
      <c r="A1517" s="17" t="n">
        <v>1501</v>
      </c>
      <c r="B1517" s="18">
        <f>IF(AND($N1517="",$O1517=""),"",IF($N1517&lt;&gt;"",INDEX(PCNormDate,$N1517),INDEX(LdgDateB,$O1517)))</f>
        <v/>
      </c>
      <c r="C1517" s="18">
        <f>IF($N1517&lt;&gt;"",INDEX(PCOp,$N1517),IF($O1517&lt;&gt;"",IF(N(INDEX(TxnDepB,$O1517))&gt;0,"دریافت بانکی","پرداخت بانکی"),""))</f>
        <v/>
      </c>
      <c r="D1517" s="18">
        <f>IF($N1517&lt;&gt;"",IF(INDEX(PCDoc,$N1517)="","—",INDEX(PCDoc,$N1517)),IF($O1517&lt;&gt;"",INDEX(LdgBankB,$O1517),""))</f>
        <v/>
      </c>
      <c r="E1517" s="18">
        <f>IF($N1517&lt;&gt;"",IF(INDEX(PCCitrus,$N1517)="","—",INDEX(PCCitrus,$N1517)),"")</f>
        <v/>
      </c>
      <c r="F1517" s="19">
        <f>IF($N1517&lt;&gt;"",IF(INDEX(PCScale,$N1517)=0,"",INDEX(PCScale,$N1517)),"")</f>
        <v/>
      </c>
      <c r="G1517" s="19">
        <f>IF($N1517&lt;&gt;"",IF(INDEX(PCBaskets,$N1517)=0,"",INDEX(PCBaskets,$N1517)),"")</f>
        <v/>
      </c>
      <c r="H1517" s="20">
        <f>IF($N1517&lt;&gt;"",IF(INDEX(PCNet,$N1517)=0,"",INDEX(PCNet,$N1517)),"")</f>
        <v/>
      </c>
      <c r="I1517" s="19">
        <f>IF($N1517&lt;&gt;"",IF(INDEX(PCOp,$N1517)="مرجوعی خرید","",IF(INDEX(PCAmount,$N1517)&lt;=0,"",INDEX(PCAmount,$N1517))),IF($O1517&lt;&gt;"",IF(INDEX(TxnDepB,$O1517)=0,"",INDEX(TxnDepB,$O1517)),""))</f>
        <v/>
      </c>
      <c r="J1517" s="19">
        <f>IF($N1517&lt;&gt;"",IF(INDEX(PCOp,$N1517)="مرجوعی خرید",IF(INDEX(PCAmount,$N1517)=0,"",-INDEX(PCAmount,$N1517)),""),IF($O1517&lt;&gt;"",IF(INDEX(TxnWitB,$O1517)=0,"",INDEX(TxnWitB,$O1517)),""))</f>
        <v/>
      </c>
      <c r="K1517" s="21">
        <f>IF($B1517="","",IF($K1516="",$C$10,$K1516)+IF($I1517="",0,$I1517)-IF($J1517="",0,$J1517))</f>
        <v/>
      </c>
      <c r="L1517" s="22">
        <f>IF($N1517&lt;&gt;"",IF(INDEX(PCNotes,$N1517)="","—",INDEX(PCNotes,$N1517)),IF($O1517&lt;&gt;"",IF(INDEX(LdgNoteB,$O1517)="","—",INDEX(LdgNoteB,$O1517)),""))</f>
        <v/>
      </c>
      <c r="N1517">
        <f>IFERROR(MATCH($C$5&amp;"|"&amp;RIGHT("000000"&amp;1501,6),LdgRankKeyA,0),"")</f>
        <v/>
      </c>
      <c r="O1517">
        <f>IFERROR(MATCH($C$5&amp;"|"&amp;RIGHT("000000"&amp;1501,6),LdgRankKeyB,0),"")</f>
        <v/>
      </c>
    </row>
    <row r="1518">
      <c r="A1518" s="23" t="n">
        <v>1502</v>
      </c>
      <c r="B1518" s="24">
        <f>IF(AND($N1518="",$O1518=""),"",IF($N1518&lt;&gt;"",INDEX(PCNormDate,$N1518),INDEX(LdgDateB,$O1518)))</f>
        <v/>
      </c>
      <c r="C1518" s="24">
        <f>IF($N1518&lt;&gt;"",INDEX(PCOp,$N1518),IF($O1518&lt;&gt;"",IF(N(INDEX(TxnDepB,$O1518))&gt;0,"دریافت بانکی","پرداخت بانکی"),""))</f>
        <v/>
      </c>
      <c r="D1518" s="24">
        <f>IF($N1518&lt;&gt;"",IF(INDEX(PCDoc,$N1518)="","—",INDEX(PCDoc,$N1518)),IF($O1518&lt;&gt;"",INDEX(LdgBankB,$O1518),""))</f>
        <v/>
      </c>
      <c r="E1518" s="24">
        <f>IF($N1518&lt;&gt;"",IF(INDEX(PCCitrus,$N1518)="","—",INDEX(PCCitrus,$N1518)),"")</f>
        <v/>
      </c>
      <c r="F1518" s="25">
        <f>IF($N1518&lt;&gt;"",IF(INDEX(PCScale,$N1518)=0,"",INDEX(PCScale,$N1518)),"")</f>
        <v/>
      </c>
      <c r="G1518" s="25">
        <f>IF($N1518&lt;&gt;"",IF(INDEX(PCBaskets,$N1518)=0,"",INDEX(PCBaskets,$N1518)),"")</f>
        <v/>
      </c>
      <c r="H1518" s="26">
        <f>IF($N1518&lt;&gt;"",IF(INDEX(PCNet,$N1518)=0,"",INDEX(PCNet,$N1518)),"")</f>
        <v/>
      </c>
      <c r="I1518" s="25">
        <f>IF($N1518&lt;&gt;"",IF(INDEX(PCOp,$N1518)="مرجوعی خرید","",IF(INDEX(PCAmount,$N1518)&lt;=0,"",INDEX(PCAmount,$N1518))),IF($O1518&lt;&gt;"",IF(INDEX(TxnDepB,$O1518)=0,"",INDEX(TxnDepB,$O1518)),""))</f>
        <v/>
      </c>
      <c r="J1518" s="25">
        <f>IF($N1518&lt;&gt;"",IF(INDEX(PCOp,$N1518)="مرجوعی خرید",IF(INDEX(PCAmount,$N1518)=0,"",-INDEX(PCAmount,$N1518)),""),IF($O1518&lt;&gt;"",IF(INDEX(TxnWitB,$O1518)=0,"",INDEX(TxnWitB,$O1518)),""))</f>
        <v/>
      </c>
      <c r="K1518" s="27">
        <f>IF($B1518="","",IF($K1517="",$C$10,$K1517)+IF($I1518="",0,$I1518)-IF($J1518="",0,$J1518))</f>
        <v/>
      </c>
      <c r="L1518" s="28">
        <f>IF($N1518&lt;&gt;"",IF(INDEX(PCNotes,$N1518)="","—",INDEX(PCNotes,$N1518)),IF($O1518&lt;&gt;"",IF(INDEX(LdgNoteB,$O1518)="","—",INDEX(LdgNoteB,$O1518)),""))</f>
        <v/>
      </c>
      <c r="N1518">
        <f>IFERROR(MATCH($C$5&amp;"|"&amp;RIGHT("000000"&amp;1502,6),LdgRankKeyA,0),"")</f>
        <v/>
      </c>
      <c r="O1518">
        <f>IFERROR(MATCH($C$5&amp;"|"&amp;RIGHT("000000"&amp;1502,6),LdgRankKeyB,0),"")</f>
        <v/>
      </c>
    </row>
    <row r="1519">
      <c r="A1519" s="17" t="n">
        <v>1503</v>
      </c>
      <c r="B1519" s="18">
        <f>IF(AND($N1519="",$O1519=""),"",IF($N1519&lt;&gt;"",INDEX(PCNormDate,$N1519),INDEX(LdgDateB,$O1519)))</f>
        <v/>
      </c>
      <c r="C1519" s="18">
        <f>IF($N1519&lt;&gt;"",INDEX(PCOp,$N1519),IF($O1519&lt;&gt;"",IF(N(INDEX(TxnDepB,$O1519))&gt;0,"دریافت بانکی","پرداخت بانکی"),""))</f>
        <v/>
      </c>
      <c r="D1519" s="18">
        <f>IF($N1519&lt;&gt;"",IF(INDEX(PCDoc,$N1519)="","—",INDEX(PCDoc,$N1519)),IF($O1519&lt;&gt;"",INDEX(LdgBankB,$O1519),""))</f>
        <v/>
      </c>
      <c r="E1519" s="18">
        <f>IF($N1519&lt;&gt;"",IF(INDEX(PCCitrus,$N1519)="","—",INDEX(PCCitrus,$N1519)),"")</f>
        <v/>
      </c>
      <c r="F1519" s="19">
        <f>IF($N1519&lt;&gt;"",IF(INDEX(PCScale,$N1519)=0,"",INDEX(PCScale,$N1519)),"")</f>
        <v/>
      </c>
      <c r="G1519" s="19">
        <f>IF($N1519&lt;&gt;"",IF(INDEX(PCBaskets,$N1519)=0,"",INDEX(PCBaskets,$N1519)),"")</f>
        <v/>
      </c>
      <c r="H1519" s="20">
        <f>IF($N1519&lt;&gt;"",IF(INDEX(PCNet,$N1519)=0,"",INDEX(PCNet,$N1519)),"")</f>
        <v/>
      </c>
      <c r="I1519" s="19">
        <f>IF($N1519&lt;&gt;"",IF(INDEX(PCOp,$N1519)="مرجوعی خرید","",IF(INDEX(PCAmount,$N1519)&lt;=0,"",INDEX(PCAmount,$N1519))),IF($O1519&lt;&gt;"",IF(INDEX(TxnDepB,$O1519)=0,"",INDEX(TxnDepB,$O1519)),""))</f>
        <v/>
      </c>
      <c r="J1519" s="19">
        <f>IF($N1519&lt;&gt;"",IF(INDEX(PCOp,$N1519)="مرجوعی خرید",IF(INDEX(PCAmount,$N1519)=0,"",-INDEX(PCAmount,$N1519)),""),IF($O1519&lt;&gt;"",IF(INDEX(TxnWitB,$O1519)=0,"",INDEX(TxnWitB,$O1519)),""))</f>
        <v/>
      </c>
      <c r="K1519" s="21">
        <f>IF($B1519="","",IF($K1518="",$C$10,$K1518)+IF($I1519="",0,$I1519)-IF($J1519="",0,$J1519))</f>
        <v/>
      </c>
      <c r="L1519" s="22">
        <f>IF($N1519&lt;&gt;"",IF(INDEX(PCNotes,$N1519)="","—",INDEX(PCNotes,$N1519)),IF($O1519&lt;&gt;"",IF(INDEX(LdgNoteB,$O1519)="","—",INDEX(LdgNoteB,$O1519)),""))</f>
        <v/>
      </c>
      <c r="N1519">
        <f>IFERROR(MATCH($C$5&amp;"|"&amp;RIGHT("000000"&amp;1503,6),LdgRankKeyA,0),"")</f>
        <v/>
      </c>
      <c r="O1519">
        <f>IFERROR(MATCH($C$5&amp;"|"&amp;RIGHT("000000"&amp;1503,6),LdgRankKeyB,0),"")</f>
        <v/>
      </c>
    </row>
    <row r="1520">
      <c r="A1520" s="23" t="n">
        <v>1504</v>
      </c>
      <c r="B1520" s="24">
        <f>IF(AND($N1520="",$O1520=""),"",IF($N1520&lt;&gt;"",INDEX(PCNormDate,$N1520),INDEX(LdgDateB,$O1520)))</f>
        <v/>
      </c>
      <c r="C1520" s="24">
        <f>IF($N1520&lt;&gt;"",INDEX(PCOp,$N1520),IF($O1520&lt;&gt;"",IF(N(INDEX(TxnDepB,$O1520))&gt;0,"دریافت بانکی","پرداخت بانکی"),""))</f>
        <v/>
      </c>
      <c r="D1520" s="24">
        <f>IF($N1520&lt;&gt;"",IF(INDEX(PCDoc,$N1520)="","—",INDEX(PCDoc,$N1520)),IF($O1520&lt;&gt;"",INDEX(LdgBankB,$O1520),""))</f>
        <v/>
      </c>
      <c r="E1520" s="24">
        <f>IF($N1520&lt;&gt;"",IF(INDEX(PCCitrus,$N1520)="","—",INDEX(PCCitrus,$N1520)),"")</f>
        <v/>
      </c>
      <c r="F1520" s="25">
        <f>IF($N1520&lt;&gt;"",IF(INDEX(PCScale,$N1520)=0,"",INDEX(PCScale,$N1520)),"")</f>
        <v/>
      </c>
      <c r="G1520" s="25">
        <f>IF($N1520&lt;&gt;"",IF(INDEX(PCBaskets,$N1520)=0,"",INDEX(PCBaskets,$N1520)),"")</f>
        <v/>
      </c>
      <c r="H1520" s="26">
        <f>IF($N1520&lt;&gt;"",IF(INDEX(PCNet,$N1520)=0,"",INDEX(PCNet,$N1520)),"")</f>
        <v/>
      </c>
      <c r="I1520" s="25">
        <f>IF($N1520&lt;&gt;"",IF(INDEX(PCOp,$N1520)="مرجوعی خرید","",IF(INDEX(PCAmount,$N1520)&lt;=0,"",INDEX(PCAmount,$N1520))),IF($O1520&lt;&gt;"",IF(INDEX(TxnDepB,$O1520)=0,"",INDEX(TxnDepB,$O1520)),""))</f>
        <v/>
      </c>
      <c r="J1520" s="25">
        <f>IF($N1520&lt;&gt;"",IF(INDEX(PCOp,$N1520)="مرجوعی خرید",IF(INDEX(PCAmount,$N1520)=0,"",-INDEX(PCAmount,$N1520)),""),IF($O1520&lt;&gt;"",IF(INDEX(TxnWitB,$O1520)=0,"",INDEX(TxnWitB,$O1520)),""))</f>
        <v/>
      </c>
      <c r="K1520" s="27">
        <f>IF($B1520="","",IF($K1519="",$C$10,$K1519)+IF($I1520="",0,$I1520)-IF($J1520="",0,$J1520))</f>
        <v/>
      </c>
      <c r="L1520" s="28">
        <f>IF($N1520&lt;&gt;"",IF(INDEX(PCNotes,$N1520)="","—",INDEX(PCNotes,$N1520)),IF($O1520&lt;&gt;"",IF(INDEX(LdgNoteB,$O1520)="","—",INDEX(LdgNoteB,$O1520)),""))</f>
        <v/>
      </c>
      <c r="N1520">
        <f>IFERROR(MATCH($C$5&amp;"|"&amp;RIGHT("000000"&amp;1504,6),LdgRankKeyA,0),"")</f>
        <v/>
      </c>
      <c r="O1520">
        <f>IFERROR(MATCH($C$5&amp;"|"&amp;RIGHT("000000"&amp;1504,6),LdgRankKeyB,0),"")</f>
        <v/>
      </c>
    </row>
    <row r="1521">
      <c r="A1521" s="17" t="n">
        <v>1505</v>
      </c>
      <c r="B1521" s="18">
        <f>IF(AND($N1521="",$O1521=""),"",IF($N1521&lt;&gt;"",INDEX(PCNormDate,$N1521),INDEX(LdgDateB,$O1521)))</f>
        <v/>
      </c>
      <c r="C1521" s="18">
        <f>IF($N1521&lt;&gt;"",INDEX(PCOp,$N1521),IF($O1521&lt;&gt;"",IF(N(INDEX(TxnDepB,$O1521))&gt;0,"دریافت بانکی","پرداخت بانکی"),""))</f>
        <v/>
      </c>
      <c r="D1521" s="18">
        <f>IF($N1521&lt;&gt;"",IF(INDEX(PCDoc,$N1521)="","—",INDEX(PCDoc,$N1521)),IF($O1521&lt;&gt;"",INDEX(LdgBankB,$O1521),""))</f>
        <v/>
      </c>
      <c r="E1521" s="18">
        <f>IF($N1521&lt;&gt;"",IF(INDEX(PCCitrus,$N1521)="","—",INDEX(PCCitrus,$N1521)),"")</f>
        <v/>
      </c>
      <c r="F1521" s="19">
        <f>IF($N1521&lt;&gt;"",IF(INDEX(PCScale,$N1521)=0,"",INDEX(PCScale,$N1521)),"")</f>
        <v/>
      </c>
      <c r="G1521" s="19">
        <f>IF($N1521&lt;&gt;"",IF(INDEX(PCBaskets,$N1521)=0,"",INDEX(PCBaskets,$N1521)),"")</f>
        <v/>
      </c>
      <c r="H1521" s="20">
        <f>IF($N1521&lt;&gt;"",IF(INDEX(PCNet,$N1521)=0,"",INDEX(PCNet,$N1521)),"")</f>
        <v/>
      </c>
      <c r="I1521" s="19">
        <f>IF($N1521&lt;&gt;"",IF(INDEX(PCOp,$N1521)="مرجوعی خرید","",IF(INDEX(PCAmount,$N1521)&lt;=0,"",INDEX(PCAmount,$N1521))),IF($O1521&lt;&gt;"",IF(INDEX(TxnDepB,$O1521)=0,"",INDEX(TxnDepB,$O1521)),""))</f>
        <v/>
      </c>
      <c r="J1521" s="19">
        <f>IF($N1521&lt;&gt;"",IF(INDEX(PCOp,$N1521)="مرجوعی خرید",IF(INDEX(PCAmount,$N1521)=0,"",-INDEX(PCAmount,$N1521)),""),IF($O1521&lt;&gt;"",IF(INDEX(TxnWitB,$O1521)=0,"",INDEX(TxnWitB,$O1521)),""))</f>
        <v/>
      </c>
      <c r="K1521" s="21">
        <f>IF($B1521="","",IF($K1520="",$C$10,$K1520)+IF($I1521="",0,$I1521)-IF($J1521="",0,$J1521))</f>
        <v/>
      </c>
      <c r="L1521" s="22">
        <f>IF($N1521&lt;&gt;"",IF(INDEX(PCNotes,$N1521)="","—",INDEX(PCNotes,$N1521)),IF($O1521&lt;&gt;"",IF(INDEX(LdgNoteB,$O1521)="","—",INDEX(LdgNoteB,$O1521)),""))</f>
        <v/>
      </c>
      <c r="N1521">
        <f>IFERROR(MATCH($C$5&amp;"|"&amp;RIGHT("000000"&amp;1505,6),LdgRankKeyA,0),"")</f>
        <v/>
      </c>
      <c r="O1521">
        <f>IFERROR(MATCH($C$5&amp;"|"&amp;RIGHT("000000"&amp;1505,6),LdgRankKeyB,0),"")</f>
        <v/>
      </c>
    </row>
    <row r="1522">
      <c r="A1522" s="23" t="n">
        <v>1506</v>
      </c>
      <c r="B1522" s="24">
        <f>IF(AND($N1522="",$O1522=""),"",IF($N1522&lt;&gt;"",INDEX(PCNormDate,$N1522),INDEX(LdgDateB,$O1522)))</f>
        <v/>
      </c>
      <c r="C1522" s="24">
        <f>IF($N1522&lt;&gt;"",INDEX(PCOp,$N1522),IF($O1522&lt;&gt;"",IF(N(INDEX(TxnDepB,$O1522))&gt;0,"دریافت بانکی","پرداخت بانکی"),""))</f>
        <v/>
      </c>
      <c r="D1522" s="24">
        <f>IF($N1522&lt;&gt;"",IF(INDEX(PCDoc,$N1522)="","—",INDEX(PCDoc,$N1522)),IF($O1522&lt;&gt;"",INDEX(LdgBankB,$O1522),""))</f>
        <v/>
      </c>
      <c r="E1522" s="24">
        <f>IF($N1522&lt;&gt;"",IF(INDEX(PCCitrus,$N1522)="","—",INDEX(PCCitrus,$N1522)),"")</f>
        <v/>
      </c>
      <c r="F1522" s="25">
        <f>IF($N1522&lt;&gt;"",IF(INDEX(PCScale,$N1522)=0,"",INDEX(PCScale,$N1522)),"")</f>
        <v/>
      </c>
      <c r="G1522" s="25">
        <f>IF($N1522&lt;&gt;"",IF(INDEX(PCBaskets,$N1522)=0,"",INDEX(PCBaskets,$N1522)),"")</f>
        <v/>
      </c>
      <c r="H1522" s="26">
        <f>IF($N1522&lt;&gt;"",IF(INDEX(PCNet,$N1522)=0,"",INDEX(PCNet,$N1522)),"")</f>
        <v/>
      </c>
      <c r="I1522" s="25">
        <f>IF($N1522&lt;&gt;"",IF(INDEX(PCOp,$N1522)="مرجوعی خرید","",IF(INDEX(PCAmount,$N1522)&lt;=0,"",INDEX(PCAmount,$N1522))),IF($O1522&lt;&gt;"",IF(INDEX(TxnDepB,$O1522)=0,"",INDEX(TxnDepB,$O1522)),""))</f>
        <v/>
      </c>
      <c r="J1522" s="25">
        <f>IF($N1522&lt;&gt;"",IF(INDEX(PCOp,$N1522)="مرجوعی خرید",IF(INDEX(PCAmount,$N1522)=0,"",-INDEX(PCAmount,$N1522)),""),IF($O1522&lt;&gt;"",IF(INDEX(TxnWitB,$O1522)=0,"",INDEX(TxnWitB,$O1522)),""))</f>
        <v/>
      </c>
      <c r="K1522" s="27">
        <f>IF($B1522="","",IF($K1521="",$C$10,$K1521)+IF($I1522="",0,$I1522)-IF($J1522="",0,$J1522))</f>
        <v/>
      </c>
      <c r="L1522" s="28">
        <f>IF($N1522&lt;&gt;"",IF(INDEX(PCNotes,$N1522)="","—",INDEX(PCNotes,$N1522)),IF($O1522&lt;&gt;"",IF(INDEX(LdgNoteB,$O1522)="","—",INDEX(LdgNoteB,$O1522)),""))</f>
        <v/>
      </c>
      <c r="N1522">
        <f>IFERROR(MATCH($C$5&amp;"|"&amp;RIGHT("000000"&amp;1506,6),LdgRankKeyA,0),"")</f>
        <v/>
      </c>
      <c r="O1522">
        <f>IFERROR(MATCH($C$5&amp;"|"&amp;RIGHT("000000"&amp;1506,6),LdgRankKeyB,0),"")</f>
        <v/>
      </c>
    </row>
    <row r="1523">
      <c r="A1523" s="17" t="n">
        <v>1507</v>
      </c>
      <c r="B1523" s="18">
        <f>IF(AND($N1523="",$O1523=""),"",IF($N1523&lt;&gt;"",INDEX(PCNormDate,$N1523),INDEX(LdgDateB,$O1523)))</f>
        <v/>
      </c>
      <c r="C1523" s="18">
        <f>IF($N1523&lt;&gt;"",INDEX(PCOp,$N1523),IF($O1523&lt;&gt;"",IF(N(INDEX(TxnDepB,$O1523))&gt;0,"دریافت بانکی","پرداخت بانکی"),""))</f>
        <v/>
      </c>
      <c r="D1523" s="18">
        <f>IF($N1523&lt;&gt;"",IF(INDEX(PCDoc,$N1523)="","—",INDEX(PCDoc,$N1523)),IF($O1523&lt;&gt;"",INDEX(LdgBankB,$O1523),""))</f>
        <v/>
      </c>
      <c r="E1523" s="18">
        <f>IF($N1523&lt;&gt;"",IF(INDEX(PCCitrus,$N1523)="","—",INDEX(PCCitrus,$N1523)),"")</f>
        <v/>
      </c>
      <c r="F1523" s="19">
        <f>IF($N1523&lt;&gt;"",IF(INDEX(PCScale,$N1523)=0,"",INDEX(PCScale,$N1523)),"")</f>
        <v/>
      </c>
      <c r="G1523" s="19">
        <f>IF($N1523&lt;&gt;"",IF(INDEX(PCBaskets,$N1523)=0,"",INDEX(PCBaskets,$N1523)),"")</f>
        <v/>
      </c>
      <c r="H1523" s="20">
        <f>IF($N1523&lt;&gt;"",IF(INDEX(PCNet,$N1523)=0,"",INDEX(PCNet,$N1523)),"")</f>
        <v/>
      </c>
      <c r="I1523" s="19">
        <f>IF($N1523&lt;&gt;"",IF(INDEX(PCOp,$N1523)="مرجوعی خرید","",IF(INDEX(PCAmount,$N1523)&lt;=0,"",INDEX(PCAmount,$N1523))),IF($O1523&lt;&gt;"",IF(INDEX(TxnDepB,$O1523)=0,"",INDEX(TxnDepB,$O1523)),""))</f>
        <v/>
      </c>
      <c r="J1523" s="19">
        <f>IF($N1523&lt;&gt;"",IF(INDEX(PCOp,$N1523)="مرجوعی خرید",IF(INDEX(PCAmount,$N1523)=0,"",-INDEX(PCAmount,$N1523)),""),IF($O1523&lt;&gt;"",IF(INDEX(TxnWitB,$O1523)=0,"",INDEX(TxnWitB,$O1523)),""))</f>
        <v/>
      </c>
      <c r="K1523" s="21">
        <f>IF($B1523="","",IF($K1522="",$C$10,$K1522)+IF($I1523="",0,$I1523)-IF($J1523="",0,$J1523))</f>
        <v/>
      </c>
      <c r="L1523" s="22">
        <f>IF($N1523&lt;&gt;"",IF(INDEX(PCNotes,$N1523)="","—",INDEX(PCNotes,$N1523)),IF($O1523&lt;&gt;"",IF(INDEX(LdgNoteB,$O1523)="","—",INDEX(LdgNoteB,$O1523)),""))</f>
        <v/>
      </c>
      <c r="N1523">
        <f>IFERROR(MATCH($C$5&amp;"|"&amp;RIGHT("000000"&amp;1507,6),LdgRankKeyA,0),"")</f>
        <v/>
      </c>
      <c r="O1523">
        <f>IFERROR(MATCH($C$5&amp;"|"&amp;RIGHT("000000"&amp;1507,6),LdgRankKeyB,0),"")</f>
        <v/>
      </c>
    </row>
    <row r="1524">
      <c r="A1524" s="23" t="n">
        <v>1508</v>
      </c>
      <c r="B1524" s="24">
        <f>IF(AND($N1524="",$O1524=""),"",IF($N1524&lt;&gt;"",INDEX(PCNormDate,$N1524),INDEX(LdgDateB,$O1524)))</f>
        <v/>
      </c>
      <c r="C1524" s="24">
        <f>IF($N1524&lt;&gt;"",INDEX(PCOp,$N1524),IF($O1524&lt;&gt;"",IF(N(INDEX(TxnDepB,$O1524))&gt;0,"دریافت بانکی","پرداخت بانکی"),""))</f>
        <v/>
      </c>
      <c r="D1524" s="24">
        <f>IF($N1524&lt;&gt;"",IF(INDEX(PCDoc,$N1524)="","—",INDEX(PCDoc,$N1524)),IF($O1524&lt;&gt;"",INDEX(LdgBankB,$O1524),""))</f>
        <v/>
      </c>
      <c r="E1524" s="24">
        <f>IF($N1524&lt;&gt;"",IF(INDEX(PCCitrus,$N1524)="","—",INDEX(PCCitrus,$N1524)),"")</f>
        <v/>
      </c>
      <c r="F1524" s="25">
        <f>IF($N1524&lt;&gt;"",IF(INDEX(PCScale,$N1524)=0,"",INDEX(PCScale,$N1524)),"")</f>
        <v/>
      </c>
      <c r="G1524" s="25">
        <f>IF($N1524&lt;&gt;"",IF(INDEX(PCBaskets,$N1524)=0,"",INDEX(PCBaskets,$N1524)),"")</f>
        <v/>
      </c>
      <c r="H1524" s="26">
        <f>IF($N1524&lt;&gt;"",IF(INDEX(PCNet,$N1524)=0,"",INDEX(PCNet,$N1524)),"")</f>
        <v/>
      </c>
      <c r="I1524" s="25">
        <f>IF($N1524&lt;&gt;"",IF(INDEX(PCOp,$N1524)="مرجوعی خرید","",IF(INDEX(PCAmount,$N1524)&lt;=0,"",INDEX(PCAmount,$N1524))),IF($O1524&lt;&gt;"",IF(INDEX(TxnDepB,$O1524)=0,"",INDEX(TxnDepB,$O1524)),""))</f>
        <v/>
      </c>
      <c r="J1524" s="25">
        <f>IF($N1524&lt;&gt;"",IF(INDEX(PCOp,$N1524)="مرجوعی خرید",IF(INDEX(PCAmount,$N1524)=0,"",-INDEX(PCAmount,$N1524)),""),IF($O1524&lt;&gt;"",IF(INDEX(TxnWitB,$O1524)=0,"",INDEX(TxnWitB,$O1524)),""))</f>
        <v/>
      </c>
      <c r="K1524" s="27">
        <f>IF($B1524="","",IF($K1523="",$C$10,$K1523)+IF($I1524="",0,$I1524)-IF($J1524="",0,$J1524))</f>
        <v/>
      </c>
      <c r="L1524" s="28">
        <f>IF($N1524&lt;&gt;"",IF(INDEX(PCNotes,$N1524)="","—",INDEX(PCNotes,$N1524)),IF($O1524&lt;&gt;"",IF(INDEX(LdgNoteB,$O1524)="","—",INDEX(LdgNoteB,$O1524)),""))</f>
        <v/>
      </c>
      <c r="N1524">
        <f>IFERROR(MATCH($C$5&amp;"|"&amp;RIGHT("000000"&amp;1508,6),LdgRankKeyA,0),"")</f>
        <v/>
      </c>
      <c r="O1524">
        <f>IFERROR(MATCH($C$5&amp;"|"&amp;RIGHT("000000"&amp;1508,6),LdgRankKeyB,0),"")</f>
        <v/>
      </c>
    </row>
    <row r="1525">
      <c r="A1525" s="17" t="n">
        <v>1509</v>
      </c>
      <c r="B1525" s="18">
        <f>IF(AND($N1525="",$O1525=""),"",IF($N1525&lt;&gt;"",INDEX(PCNormDate,$N1525),INDEX(LdgDateB,$O1525)))</f>
        <v/>
      </c>
      <c r="C1525" s="18">
        <f>IF($N1525&lt;&gt;"",INDEX(PCOp,$N1525),IF($O1525&lt;&gt;"",IF(N(INDEX(TxnDepB,$O1525))&gt;0,"دریافت بانکی","پرداخت بانکی"),""))</f>
        <v/>
      </c>
      <c r="D1525" s="18">
        <f>IF($N1525&lt;&gt;"",IF(INDEX(PCDoc,$N1525)="","—",INDEX(PCDoc,$N1525)),IF($O1525&lt;&gt;"",INDEX(LdgBankB,$O1525),""))</f>
        <v/>
      </c>
      <c r="E1525" s="18">
        <f>IF($N1525&lt;&gt;"",IF(INDEX(PCCitrus,$N1525)="","—",INDEX(PCCitrus,$N1525)),"")</f>
        <v/>
      </c>
      <c r="F1525" s="19">
        <f>IF($N1525&lt;&gt;"",IF(INDEX(PCScale,$N1525)=0,"",INDEX(PCScale,$N1525)),"")</f>
        <v/>
      </c>
      <c r="G1525" s="19">
        <f>IF($N1525&lt;&gt;"",IF(INDEX(PCBaskets,$N1525)=0,"",INDEX(PCBaskets,$N1525)),"")</f>
        <v/>
      </c>
      <c r="H1525" s="20">
        <f>IF($N1525&lt;&gt;"",IF(INDEX(PCNet,$N1525)=0,"",INDEX(PCNet,$N1525)),"")</f>
        <v/>
      </c>
      <c r="I1525" s="19">
        <f>IF($N1525&lt;&gt;"",IF(INDEX(PCOp,$N1525)="مرجوعی خرید","",IF(INDEX(PCAmount,$N1525)&lt;=0,"",INDEX(PCAmount,$N1525))),IF($O1525&lt;&gt;"",IF(INDEX(TxnDepB,$O1525)=0,"",INDEX(TxnDepB,$O1525)),""))</f>
        <v/>
      </c>
      <c r="J1525" s="19">
        <f>IF($N1525&lt;&gt;"",IF(INDEX(PCOp,$N1525)="مرجوعی خرید",IF(INDEX(PCAmount,$N1525)=0,"",-INDEX(PCAmount,$N1525)),""),IF($O1525&lt;&gt;"",IF(INDEX(TxnWitB,$O1525)=0,"",INDEX(TxnWitB,$O1525)),""))</f>
        <v/>
      </c>
      <c r="K1525" s="21">
        <f>IF($B1525="","",IF($K1524="",$C$10,$K1524)+IF($I1525="",0,$I1525)-IF($J1525="",0,$J1525))</f>
        <v/>
      </c>
      <c r="L1525" s="22">
        <f>IF($N1525&lt;&gt;"",IF(INDEX(PCNotes,$N1525)="","—",INDEX(PCNotes,$N1525)),IF($O1525&lt;&gt;"",IF(INDEX(LdgNoteB,$O1525)="","—",INDEX(LdgNoteB,$O1525)),""))</f>
        <v/>
      </c>
      <c r="N1525">
        <f>IFERROR(MATCH($C$5&amp;"|"&amp;RIGHT("000000"&amp;1509,6),LdgRankKeyA,0),"")</f>
        <v/>
      </c>
      <c r="O1525">
        <f>IFERROR(MATCH($C$5&amp;"|"&amp;RIGHT("000000"&amp;1509,6),LdgRankKeyB,0),"")</f>
        <v/>
      </c>
    </row>
    <row r="1526">
      <c r="A1526" s="23" t="n">
        <v>1510</v>
      </c>
      <c r="B1526" s="24">
        <f>IF(AND($N1526="",$O1526=""),"",IF($N1526&lt;&gt;"",INDEX(PCNormDate,$N1526),INDEX(LdgDateB,$O1526)))</f>
        <v/>
      </c>
      <c r="C1526" s="24">
        <f>IF($N1526&lt;&gt;"",INDEX(PCOp,$N1526),IF($O1526&lt;&gt;"",IF(N(INDEX(TxnDepB,$O1526))&gt;0,"دریافت بانکی","پرداخت بانکی"),""))</f>
        <v/>
      </c>
      <c r="D1526" s="24">
        <f>IF($N1526&lt;&gt;"",IF(INDEX(PCDoc,$N1526)="","—",INDEX(PCDoc,$N1526)),IF($O1526&lt;&gt;"",INDEX(LdgBankB,$O1526),""))</f>
        <v/>
      </c>
      <c r="E1526" s="24">
        <f>IF($N1526&lt;&gt;"",IF(INDEX(PCCitrus,$N1526)="","—",INDEX(PCCitrus,$N1526)),"")</f>
        <v/>
      </c>
      <c r="F1526" s="25">
        <f>IF($N1526&lt;&gt;"",IF(INDEX(PCScale,$N1526)=0,"",INDEX(PCScale,$N1526)),"")</f>
        <v/>
      </c>
      <c r="G1526" s="25">
        <f>IF($N1526&lt;&gt;"",IF(INDEX(PCBaskets,$N1526)=0,"",INDEX(PCBaskets,$N1526)),"")</f>
        <v/>
      </c>
      <c r="H1526" s="26">
        <f>IF($N1526&lt;&gt;"",IF(INDEX(PCNet,$N1526)=0,"",INDEX(PCNet,$N1526)),"")</f>
        <v/>
      </c>
      <c r="I1526" s="25">
        <f>IF($N1526&lt;&gt;"",IF(INDEX(PCOp,$N1526)="مرجوعی خرید","",IF(INDEX(PCAmount,$N1526)&lt;=0,"",INDEX(PCAmount,$N1526))),IF($O1526&lt;&gt;"",IF(INDEX(TxnDepB,$O1526)=0,"",INDEX(TxnDepB,$O1526)),""))</f>
        <v/>
      </c>
      <c r="J1526" s="25">
        <f>IF($N1526&lt;&gt;"",IF(INDEX(PCOp,$N1526)="مرجوعی خرید",IF(INDEX(PCAmount,$N1526)=0,"",-INDEX(PCAmount,$N1526)),""),IF($O1526&lt;&gt;"",IF(INDEX(TxnWitB,$O1526)=0,"",INDEX(TxnWitB,$O1526)),""))</f>
        <v/>
      </c>
      <c r="K1526" s="27">
        <f>IF($B1526="","",IF($K1525="",$C$10,$K1525)+IF($I1526="",0,$I1526)-IF($J1526="",0,$J1526))</f>
        <v/>
      </c>
      <c r="L1526" s="28">
        <f>IF($N1526&lt;&gt;"",IF(INDEX(PCNotes,$N1526)="","—",INDEX(PCNotes,$N1526)),IF($O1526&lt;&gt;"",IF(INDEX(LdgNoteB,$O1526)="","—",INDEX(LdgNoteB,$O1526)),""))</f>
        <v/>
      </c>
      <c r="N1526">
        <f>IFERROR(MATCH($C$5&amp;"|"&amp;RIGHT("000000"&amp;1510,6),LdgRankKeyA,0),"")</f>
        <v/>
      </c>
      <c r="O1526">
        <f>IFERROR(MATCH($C$5&amp;"|"&amp;RIGHT("000000"&amp;1510,6),LdgRankKeyB,0),"")</f>
        <v/>
      </c>
    </row>
    <row r="1527">
      <c r="A1527" s="17" t="n">
        <v>1511</v>
      </c>
      <c r="B1527" s="18">
        <f>IF(AND($N1527="",$O1527=""),"",IF($N1527&lt;&gt;"",INDEX(PCNormDate,$N1527),INDEX(LdgDateB,$O1527)))</f>
        <v/>
      </c>
      <c r="C1527" s="18">
        <f>IF($N1527&lt;&gt;"",INDEX(PCOp,$N1527),IF($O1527&lt;&gt;"",IF(N(INDEX(TxnDepB,$O1527))&gt;0,"دریافت بانکی","پرداخت بانکی"),""))</f>
        <v/>
      </c>
      <c r="D1527" s="18">
        <f>IF($N1527&lt;&gt;"",IF(INDEX(PCDoc,$N1527)="","—",INDEX(PCDoc,$N1527)),IF($O1527&lt;&gt;"",INDEX(LdgBankB,$O1527),""))</f>
        <v/>
      </c>
      <c r="E1527" s="18">
        <f>IF($N1527&lt;&gt;"",IF(INDEX(PCCitrus,$N1527)="","—",INDEX(PCCitrus,$N1527)),"")</f>
        <v/>
      </c>
      <c r="F1527" s="19">
        <f>IF($N1527&lt;&gt;"",IF(INDEX(PCScale,$N1527)=0,"",INDEX(PCScale,$N1527)),"")</f>
        <v/>
      </c>
      <c r="G1527" s="19">
        <f>IF($N1527&lt;&gt;"",IF(INDEX(PCBaskets,$N1527)=0,"",INDEX(PCBaskets,$N1527)),"")</f>
        <v/>
      </c>
      <c r="H1527" s="20">
        <f>IF($N1527&lt;&gt;"",IF(INDEX(PCNet,$N1527)=0,"",INDEX(PCNet,$N1527)),"")</f>
        <v/>
      </c>
      <c r="I1527" s="19">
        <f>IF($N1527&lt;&gt;"",IF(INDEX(PCOp,$N1527)="مرجوعی خرید","",IF(INDEX(PCAmount,$N1527)&lt;=0,"",INDEX(PCAmount,$N1527))),IF($O1527&lt;&gt;"",IF(INDEX(TxnDepB,$O1527)=0,"",INDEX(TxnDepB,$O1527)),""))</f>
        <v/>
      </c>
      <c r="J1527" s="19">
        <f>IF($N1527&lt;&gt;"",IF(INDEX(PCOp,$N1527)="مرجوعی خرید",IF(INDEX(PCAmount,$N1527)=0,"",-INDEX(PCAmount,$N1527)),""),IF($O1527&lt;&gt;"",IF(INDEX(TxnWitB,$O1527)=0,"",INDEX(TxnWitB,$O1527)),""))</f>
        <v/>
      </c>
      <c r="K1527" s="21">
        <f>IF($B1527="","",IF($K1526="",$C$10,$K1526)+IF($I1527="",0,$I1527)-IF($J1527="",0,$J1527))</f>
        <v/>
      </c>
      <c r="L1527" s="22">
        <f>IF($N1527&lt;&gt;"",IF(INDEX(PCNotes,$N1527)="","—",INDEX(PCNotes,$N1527)),IF($O1527&lt;&gt;"",IF(INDEX(LdgNoteB,$O1527)="","—",INDEX(LdgNoteB,$O1527)),""))</f>
        <v/>
      </c>
      <c r="N1527">
        <f>IFERROR(MATCH($C$5&amp;"|"&amp;RIGHT("000000"&amp;1511,6),LdgRankKeyA,0),"")</f>
        <v/>
      </c>
      <c r="O1527">
        <f>IFERROR(MATCH($C$5&amp;"|"&amp;RIGHT("000000"&amp;1511,6),LdgRankKeyB,0),"")</f>
        <v/>
      </c>
    </row>
    <row r="1528">
      <c r="A1528" s="23" t="n">
        <v>1512</v>
      </c>
      <c r="B1528" s="24">
        <f>IF(AND($N1528="",$O1528=""),"",IF($N1528&lt;&gt;"",INDEX(PCNormDate,$N1528),INDEX(LdgDateB,$O1528)))</f>
        <v/>
      </c>
      <c r="C1528" s="24">
        <f>IF($N1528&lt;&gt;"",INDEX(PCOp,$N1528),IF($O1528&lt;&gt;"",IF(N(INDEX(TxnDepB,$O1528))&gt;0,"دریافت بانکی","پرداخت بانکی"),""))</f>
        <v/>
      </c>
      <c r="D1528" s="24">
        <f>IF($N1528&lt;&gt;"",IF(INDEX(PCDoc,$N1528)="","—",INDEX(PCDoc,$N1528)),IF($O1528&lt;&gt;"",INDEX(LdgBankB,$O1528),""))</f>
        <v/>
      </c>
      <c r="E1528" s="24">
        <f>IF($N1528&lt;&gt;"",IF(INDEX(PCCitrus,$N1528)="","—",INDEX(PCCitrus,$N1528)),"")</f>
        <v/>
      </c>
      <c r="F1528" s="25">
        <f>IF($N1528&lt;&gt;"",IF(INDEX(PCScale,$N1528)=0,"",INDEX(PCScale,$N1528)),"")</f>
        <v/>
      </c>
      <c r="G1528" s="25">
        <f>IF($N1528&lt;&gt;"",IF(INDEX(PCBaskets,$N1528)=0,"",INDEX(PCBaskets,$N1528)),"")</f>
        <v/>
      </c>
      <c r="H1528" s="26">
        <f>IF($N1528&lt;&gt;"",IF(INDEX(PCNet,$N1528)=0,"",INDEX(PCNet,$N1528)),"")</f>
        <v/>
      </c>
      <c r="I1528" s="25">
        <f>IF($N1528&lt;&gt;"",IF(INDEX(PCOp,$N1528)="مرجوعی خرید","",IF(INDEX(PCAmount,$N1528)&lt;=0,"",INDEX(PCAmount,$N1528))),IF($O1528&lt;&gt;"",IF(INDEX(TxnDepB,$O1528)=0,"",INDEX(TxnDepB,$O1528)),""))</f>
        <v/>
      </c>
      <c r="J1528" s="25">
        <f>IF($N1528&lt;&gt;"",IF(INDEX(PCOp,$N1528)="مرجوعی خرید",IF(INDEX(PCAmount,$N1528)=0,"",-INDEX(PCAmount,$N1528)),""),IF($O1528&lt;&gt;"",IF(INDEX(TxnWitB,$O1528)=0,"",INDEX(TxnWitB,$O1528)),""))</f>
        <v/>
      </c>
      <c r="K1528" s="27">
        <f>IF($B1528="","",IF($K1527="",$C$10,$K1527)+IF($I1528="",0,$I1528)-IF($J1528="",0,$J1528))</f>
        <v/>
      </c>
      <c r="L1528" s="28">
        <f>IF($N1528&lt;&gt;"",IF(INDEX(PCNotes,$N1528)="","—",INDEX(PCNotes,$N1528)),IF($O1528&lt;&gt;"",IF(INDEX(LdgNoteB,$O1528)="","—",INDEX(LdgNoteB,$O1528)),""))</f>
        <v/>
      </c>
      <c r="N1528">
        <f>IFERROR(MATCH($C$5&amp;"|"&amp;RIGHT("000000"&amp;1512,6),LdgRankKeyA,0),"")</f>
        <v/>
      </c>
      <c r="O1528">
        <f>IFERROR(MATCH($C$5&amp;"|"&amp;RIGHT("000000"&amp;1512,6),LdgRankKeyB,0),"")</f>
        <v/>
      </c>
    </row>
    <row r="1529">
      <c r="A1529" s="17" t="n">
        <v>1513</v>
      </c>
      <c r="B1529" s="18">
        <f>IF(AND($N1529="",$O1529=""),"",IF($N1529&lt;&gt;"",INDEX(PCNormDate,$N1529),INDEX(LdgDateB,$O1529)))</f>
        <v/>
      </c>
      <c r="C1529" s="18">
        <f>IF($N1529&lt;&gt;"",INDEX(PCOp,$N1529),IF($O1529&lt;&gt;"",IF(N(INDEX(TxnDepB,$O1529))&gt;0,"دریافت بانکی","پرداخت بانکی"),""))</f>
        <v/>
      </c>
      <c r="D1529" s="18">
        <f>IF($N1529&lt;&gt;"",IF(INDEX(PCDoc,$N1529)="","—",INDEX(PCDoc,$N1529)),IF($O1529&lt;&gt;"",INDEX(LdgBankB,$O1529),""))</f>
        <v/>
      </c>
      <c r="E1529" s="18">
        <f>IF($N1529&lt;&gt;"",IF(INDEX(PCCitrus,$N1529)="","—",INDEX(PCCitrus,$N1529)),"")</f>
        <v/>
      </c>
      <c r="F1529" s="19">
        <f>IF($N1529&lt;&gt;"",IF(INDEX(PCScale,$N1529)=0,"",INDEX(PCScale,$N1529)),"")</f>
        <v/>
      </c>
      <c r="G1529" s="19">
        <f>IF($N1529&lt;&gt;"",IF(INDEX(PCBaskets,$N1529)=0,"",INDEX(PCBaskets,$N1529)),"")</f>
        <v/>
      </c>
      <c r="H1529" s="20">
        <f>IF($N1529&lt;&gt;"",IF(INDEX(PCNet,$N1529)=0,"",INDEX(PCNet,$N1529)),"")</f>
        <v/>
      </c>
      <c r="I1529" s="19">
        <f>IF($N1529&lt;&gt;"",IF(INDEX(PCOp,$N1529)="مرجوعی خرید","",IF(INDEX(PCAmount,$N1529)&lt;=0,"",INDEX(PCAmount,$N1529))),IF($O1529&lt;&gt;"",IF(INDEX(TxnDepB,$O1529)=0,"",INDEX(TxnDepB,$O1529)),""))</f>
        <v/>
      </c>
      <c r="J1529" s="19">
        <f>IF($N1529&lt;&gt;"",IF(INDEX(PCOp,$N1529)="مرجوعی خرید",IF(INDEX(PCAmount,$N1529)=0,"",-INDEX(PCAmount,$N1529)),""),IF($O1529&lt;&gt;"",IF(INDEX(TxnWitB,$O1529)=0,"",INDEX(TxnWitB,$O1529)),""))</f>
        <v/>
      </c>
      <c r="K1529" s="21">
        <f>IF($B1529="","",IF($K1528="",$C$10,$K1528)+IF($I1529="",0,$I1529)-IF($J1529="",0,$J1529))</f>
        <v/>
      </c>
      <c r="L1529" s="22">
        <f>IF($N1529&lt;&gt;"",IF(INDEX(PCNotes,$N1529)="","—",INDEX(PCNotes,$N1529)),IF($O1529&lt;&gt;"",IF(INDEX(LdgNoteB,$O1529)="","—",INDEX(LdgNoteB,$O1529)),""))</f>
        <v/>
      </c>
      <c r="N1529">
        <f>IFERROR(MATCH($C$5&amp;"|"&amp;RIGHT("000000"&amp;1513,6),LdgRankKeyA,0),"")</f>
        <v/>
      </c>
      <c r="O1529">
        <f>IFERROR(MATCH($C$5&amp;"|"&amp;RIGHT("000000"&amp;1513,6),LdgRankKeyB,0),"")</f>
        <v/>
      </c>
    </row>
    <row r="1530">
      <c r="A1530" s="23" t="n">
        <v>1514</v>
      </c>
      <c r="B1530" s="24">
        <f>IF(AND($N1530="",$O1530=""),"",IF($N1530&lt;&gt;"",INDEX(PCNormDate,$N1530),INDEX(LdgDateB,$O1530)))</f>
        <v/>
      </c>
      <c r="C1530" s="24">
        <f>IF($N1530&lt;&gt;"",INDEX(PCOp,$N1530),IF($O1530&lt;&gt;"",IF(N(INDEX(TxnDepB,$O1530))&gt;0,"دریافت بانکی","پرداخت بانکی"),""))</f>
        <v/>
      </c>
      <c r="D1530" s="24">
        <f>IF($N1530&lt;&gt;"",IF(INDEX(PCDoc,$N1530)="","—",INDEX(PCDoc,$N1530)),IF($O1530&lt;&gt;"",INDEX(LdgBankB,$O1530),""))</f>
        <v/>
      </c>
      <c r="E1530" s="24">
        <f>IF($N1530&lt;&gt;"",IF(INDEX(PCCitrus,$N1530)="","—",INDEX(PCCitrus,$N1530)),"")</f>
        <v/>
      </c>
      <c r="F1530" s="25">
        <f>IF($N1530&lt;&gt;"",IF(INDEX(PCScale,$N1530)=0,"",INDEX(PCScale,$N1530)),"")</f>
        <v/>
      </c>
      <c r="G1530" s="25">
        <f>IF($N1530&lt;&gt;"",IF(INDEX(PCBaskets,$N1530)=0,"",INDEX(PCBaskets,$N1530)),"")</f>
        <v/>
      </c>
      <c r="H1530" s="26">
        <f>IF($N1530&lt;&gt;"",IF(INDEX(PCNet,$N1530)=0,"",INDEX(PCNet,$N1530)),"")</f>
        <v/>
      </c>
      <c r="I1530" s="25">
        <f>IF($N1530&lt;&gt;"",IF(INDEX(PCOp,$N1530)="مرجوعی خرید","",IF(INDEX(PCAmount,$N1530)&lt;=0,"",INDEX(PCAmount,$N1530))),IF($O1530&lt;&gt;"",IF(INDEX(TxnDepB,$O1530)=0,"",INDEX(TxnDepB,$O1530)),""))</f>
        <v/>
      </c>
      <c r="J1530" s="25">
        <f>IF($N1530&lt;&gt;"",IF(INDEX(PCOp,$N1530)="مرجوعی خرید",IF(INDEX(PCAmount,$N1530)=0,"",-INDEX(PCAmount,$N1530)),""),IF($O1530&lt;&gt;"",IF(INDEX(TxnWitB,$O1530)=0,"",INDEX(TxnWitB,$O1530)),""))</f>
        <v/>
      </c>
      <c r="K1530" s="27">
        <f>IF($B1530="","",IF($K1529="",$C$10,$K1529)+IF($I1530="",0,$I1530)-IF($J1530="",0,$J1530))</f>
        <v/>
      </c>
      <c r="L1530" s="28">
        <f>IF($N1530&lt;&gt;"",IF(INDEX(PCNotes,$N1530)="","—",INDEX(PCNotes,$N1530)),IF($O1530&lt;&gt;"",IF(INDEX(LdgNoteB,$O1530)="","—",INDEX(LdgNoteB,$O1530)),""))</f>
        <v/>
      </c>
      <c r="N1530">
        <f>IFERROR(MATCH($C$5&amp;"|"&amp;RIGHT("000000"&amp;1514,6),LdgRankKeyA,0),"")</f>
        <v/>
      </c>
      <c r="O1530">
        <f>IFERROR(MATCH($C$5&amp;"|"&amp;RIGHT("000000"&amp;1514,6),LdgRankKeyB,0),"")</f>
        <v/>
      </c>
    </row>
    <row r="1531">
      <c r="A1531" s="17" t="n">
        <v>1515</v>
      </c>
      <c r="B1531" s="18">
        <f>IF(AND($N1531="",$O1531=""),"",IF($N1531&lt;&gt;"",INDEX(PCNormDate,$N1531),INDEX(LdgDateB,$O1531)))</f>
        <v/>
      </c>
      <c r="C1531" s="18">
        <f>IF($N1531&lt;&gt;"",INDEX(PCOp,$N1531),IF($O1531&lt;&gt;"",IF(N(INDEX(TxnDepB,$O1531))&gt;0,"دریافت بانکی","پرداخت بانکی"),""))</f>
        <v/>
      </c>
      <c r="D1531" s="18">
        <f>IF($N1531&lt;&gt;"",IF(INDEX(PCDoc,$N1531)="","—",INDEX(PCDoc,$N1531)),IF($O1531&lt;&gt;"",INDEX(LdgBankB,$O1531),""))</f>
        <v/>
      </c>
      <c r="E1531" s="18">
        <f>IF($N1531&lt;&gt;"",IF(INDEX(PCCitrus,$N1531)="","—",INDEX(PCCitrus,$N1531)),"")</f>
        <v/>
      </c>
      <c r="F1531" s="19">
        <f>IF($N1531&lt;&gt;"",IF(INDEX(PCScale,$N1531)=0,"",INDEX(PCScale,$N1531)),"")</f>
        <v/>
      </c>
      <c r="G1531" s="19">
        <f>IF($N1531&lt;&gt;"",IF(INDEX(PCBaskets,$N1531)=0,"",INDEX(PCBaskets,$N1531)),"")</f>
        <v/>
      </c>
      <c r="H1531" s="20">
        <f>IF($N1531&lt;&gt;"",IF(INDEX(PCNet,$N1531)=0,"",INDEX(PCNet,$N1531)),"")</f>
        <v/>
      </c>
      <c r="I1531" s="19">
        <f>IF($N1531&lt;&gt;"",IF(INDEX(PCOp,$N1531)="مرجوعی خرید","",IF(INDEX(PCAmount,$N1531)&lt;=0,"",INDEX(PCAmount,$N1531))),IF($O1531&lt;&gt;"",IF(INDEX(TxnDepB,$O1531)=0,"",INDEX(TxnDepB,$O1531)),""))</f>
        <v/>
      </c>
      <c r="J1531" s="19">
        <f>IF($N1531&lt;&gt;"",IF(INDEX(PCOp,$N1531)="مرجوعی خرید",IF(INDEX(PCAmount,$N1531)=0,"",-INDEX(PCAmount,$N1531)),""),IF($O1531&lt;&gt;"",IF(INDEX(TxnWitB,$O1531)=0,"",INDEX(TxnWitB,$O1531)),""))</f>
        <v/>
      </c>
      <c r="K1531" s="21">
        <f>IF($B1531="","",IF($K1530="",$C$10,$K1530)+IF($I1531="",0,$I1531)-IF($J1531="",0,$J1531))</f>
        <v/>
      </c>
      <c r="L1531" s="22">
        <f>IF($N1531&lt;&gt;"",IF(INDEX(PCNotes,$N1531)="","—",INDEX(PCNotes,$N1531)),IF($O1531&lt;&gt;"",IF(INDEX(LdgNoteB,$O1531)="","—",INDEX(LdgNoteB,$O1531)),""))</f>
        <v/>
      </c>
      <c r="N1531">
        <f>IFERROR(MATCH($C$5&amp;"|"&amp;RIGHT("000000"&amp;1515,6),LdgRankKeyA,0),"")</f>
        <v/>
      </c>
      <c r="O1531">
        <f>IFERROR(MATCH($C$5&amp;"|"&amp;RIGHT("000000"&amp;1515,6),LdgRankKeyB,0),"")</f>
        <v/>
      </c>
    </row>
    <row r="1532">
      <c r="A1532" s="23" t="n">
        <v>1516</v>
      </c>
      <c r="B1532" s="24">
        <f>IF(AND($N1532="",$O1532=""),"",IF($N1532&lt;&gt;"",INDEX(PCNormDate,$N1532),INDEX(LdgDateB,$O1532)))</f>
        <v/>
      </c>
      <c r="C1532" s="24">
        <f>IF($N1532&lt;&gt;"",INDEX(PCOp,$N1532),IF($O1532&lt;&gt;"",IF(N(INDEX(TxnDepB,$O1532))&gt;0,"دریافت بانکی","پرداخت بانکی"),""))</f>
        <v/>
      </c>
      <c r="D1532" s="24">
        <f>IF($N1532&lt;&gt;"",IF(INDEX(PCDoc,$N1532)="","—",INDEX(PCDoc,$N1532)),IF($O1532&lt;&gt;"",INDEX(LdgBankB,$O1532),""))</f>
        <v/>
      </c>
      <c r="E1532" s="24">
        <f>IF($N1532&lt;&gt;"",IF(INDEX(PCCitrus,$N1532)="","—",INDEX(PCCitrus,$N1532)),"")</f>
        <v/>
      </c>
      <c r="F1532" s="25">
        <f>IF($N1532&lt;&gt;"",IF(INDEX(PCScale,$N1532)=0,"",INDEX(PCScale,$N1532)),"")</f>
        <v/>
      </c>
      <c r="G1532" s="25">
        <f>IF($N1532&lt;&gt;"",IF(INDEX(PCBaskets,$N1532)=0,"",INDEX(PCBaskets,$N1532)),"")</f>
        <v/>
      </c>
      <c r="H1532" s="26">
        <f>IF($N1532&lt;&gt;"",IF(INDEX(PCNet,$N1532)=0,"",INDEX(PCNet,$N1532)),"")</f>
        <v/>
      </c>
      <c r="I1532" s="25">
        <f>IF($N1532&lt;&gt;"",IF(INDEX(PCOp,$N1532)="مرجوعی خرید","",IF(INDEX(PCAmount,$N1532)&lt;=0,"",INDEX(PCAmount,$N1532))),IF($O1532&lt;&gt;"",IF(INDEX(TxnDepB,$O1532)=0,"",INDEX(TxnDepB,$O1532)),""))</f>
        <v/>
      </c>
      <c r="J1532" s="25">
        <f>IF($N1532&lt;&gt;"",IF(INDEX(PCOp,$N1532)="مرجوعی خرید",IF(INDEX(PCAmount,$N1532)=0,"",-INDEX(PCAmount,$N1532)),""),IF($O1532&lt;&gt;"",IF(INDEX(TxnWitB,$O1532)=0,"",INDEX(TxnWitB,$O1532)),""))</f>
        <v/>
      </c>
      <c r="K1532" s="27">
        <f>IF($B1532="","",IF($K1531="",$C$10,$K1531)+IF($I1532="",0,$I1532)-IF($J1532="",0,$J1532))</f>
        <v/>
      </c>
      <c r="L1532" s="28">
        <f>IF($N1532&lt;&gt;"",IF(INDEX(PCNotes,$N1532)="","—",INDEX(PCNotes,$N1532)),IF($O1532&lt;&gt;"",IF(INDEX(LdgNoteB,$O1532)="","—",INDEX(LdgNoteB,$O1532)),""))</f>
        <v/>
      </c>
      <c r="N1532">
        <f>IFERROR(MATCH($C$5&amp;"|"&amp;RIGHT("000000"&amp;1516,6),LdgRankKeyA,0),"")</f>
        <v/>
      </c>
      <c r="O1532">
        <f>IFERROR(MATCH($C$5&amp;"|"&amp;RIGHT("000000"&amp;1516,6),LdgRankKeyB,0),"")</f>
        <v/>
      </c>
    </row>
    <row r="1533">
      <c r="A1533" s="17" t="n">
        <v>1517</v>
      </c>
      <c r="B1533" s="18">
        <f>IF(AND($N1533="",$O1533=""),"",IF($N1533&lt;&gt;"",INDEX(PCNormDate,$N1533),INDEX(LdgDateB,$O1533)))</f>
        <v/>
      </c>
      <c r="C1533" s="18">
        <f>IF($N1533&lt;&gt;"",INDEX(PCOp,$N1533),IF($O1533&lt;&gt;"",IF(N(INDEX(TxnDepB,$O1533))&gt;0,"دریافت بانکی","پرداخت بانکی"),""))</f>
        <v/>
      </c>
      <c r="D1533" s="18">
        <f>IF($N1533&lt;&gt;"",IF(INDEX(PCDoc,$N1533)="","—",INDEX(PCDoc,$N1533)),IF($O1533&lt;&gt;"",INDEX(LdgBankB,$O1533),""))</f>
        <v/>
      </c>
      <c r="E1533" s="18">
        <f>IF($N1533&lt;&gt;"",IF(INDEX(PCCitrus,$N1533)="","—",INDEX(PCCitrus,$N1533)),"")</f>
        <v/>
      </c>
      <c r="F1533" s="19">
        <f>IF($N1533&lt;&gt;"",IF(INDEX(PCScale,$N1533)=0,"",INDEX(PCScale,$N1533)),"")</f>
        <v/>
      </c>
      <c r="G1533" s="19">
        <f>IF($N1533&lt;&gt;"",IF(INDEX(PCBaskets,$N1533)=0,"",INDEX(PCBaskets,$N1533)),"")</f>
        <v/>
      </c>
      <c r="H1533" s="20">
        <f>IF($N1533&lt;&gt;"",IF(INDEX(PCNet,$N1533)=0,"",INDEX(PCNet,$N1533)),"")</f>
        <v/>
      </c>
      <c r="I1533" s="19">
        <f>IF($N1533&lt;&gt;"",IF(INDEX(PCOp,$N1533)="مرجوعی خرید","",IF(INDEX(PCAmount,$N1533)&lt;=0,"",INDEX(PCAmount,$N1533))),IF($O1533&lt;&gt;"",IF(INDEX(TxnDepB,$O1533)=0,"",INDEX(TxnDepB,$O1533)),""))</f>
        <v/>
      </c>
      <c r="J1533" s="19">
        <f>IF($N1533&lt;&gt;"",IF(INDEX(PCOp,$N1533)="مرجوعی خرید",IF(INDEX(PCAmount,$N1533)=0,"",-INDEX(PCAmount,$N1533)),""),IF($O1533&lt;&gt;"",IF(INDEX(TxnWitB,$O1533)=0,"",INDEX(TxnWitB,$O1533)),""))</f>
        <v/>
      </c>
      <c r="K1533" s="21">
        <f>IF($B1533="","",IF($K1532="",$C$10,$K1532)+IF($I1533="",0,$I1533)-IF($J1533="",0,$J1533))</f>
        <v/>
      </c>
      <c r="L1533" s="22">
        <f>IF($N1533&lt;&gt;"",IF(INDEX(PCNotes,$N1533)="","—",INDEX(PCNotes,$N1533)),IF($O1533&lt;&gt;"",IF(INDEX(LdgNoteB,$O1533)="","—",INDEX(LdgNoteB,$O1533)),""))</f>
        <v/>
      </c>
      <c r="N1533">
        <f>IFERROR(MATCH($C$5&amp;"|"&amp;RIGHT("000000"&amp;1517,6),LdgRankKeyA,0),"")</f>
        <v/>
      </c>
      <c r="O1533">
        <f>IFERROR(MATCH($C$5&amp;"|"&amp;RIGHT("000000"&amp;1517,6),LdgRankKeyB,0),"")</f>
        <v/>
      </c>
    </row>
    <row r="1534">
      <c r="A1534" s="23" t="n">
        <v>1518</v>
      </c>
      <c r="B1534" s="24">
        <f>IF(AND($N1534="",$O1534=""),"",IF($N1534&lt;&gt;"",INDEX(PCNormDate,$N1534),INDEX(LdgDateB,$O1534)))</f>
        <v/>
      </c>
      <c r="C1534" s="24">
        <f>IF($N1534&lt;&gt;"",INDEX(PCOp,$N1534),IF($O1534&lt;&gt;"",IF(N(INDEX(TxnDepB,$O1534))&gt;0,"دریافت بانکی","پرداخت بانکی"),""))</f>
        <v/>
      </c>
      <c r="D1534" s="24">
        <f>IF($N1534&lt;&gt;"",IF(INDEX(PCDoc,$N1534)="","—",INDEX(PCDoc,$N1534)),IF($O1534&lt;&gt;"",INDEX(LdgBankB,$O1534),""))</f>
        <v/>
      </c>
      <c r="E1534" s="24">
        <f>IF($N1534&lt;&gt;"",IF(INDEX(PCCitrus,$N1534)="","—",INDEX(PCCitrus,$N1534)),"")</f>
        <v/>
      </c>
      <c r="F1534" s="25">
        <f>IF($N1534&lt;&gt;"",IF(INDEX(PCScale,$N1534)=0,"",INDEX(PCScale,$N1534)),"")</f>
        <v/>
      </c>
      <c r="G1534" s="25">
        <f>IF($N1534&lt;&gt;"",IF(INDEX(PCBaskets,$N1534)=0,"",INDEX(PCBaskets,$N1534)),"")</f>
        <v/>
      </c>
      <c r="H1534" s="26">
        <f>IF($N1534&lt;&gt;"",IF(INDEX(PCNet,$N1534)=0,"",INDEX(PCNet,$N1534)),"")</f>
        <v/>
      </c>
      <c r="I1534" s="25">
        <f>IF($N1534&lt;&gt;"",IF(INDEX(PCOp,$N1534)="مرجوعی خرید","",IF(INDEX(PCAmount,$N1534)&lt;=0,"",INDEX(PCAmount,$N1534))),IF($O1534&lt;&gt;"",IF(INDEX(TxnDepB,$O1534)=0,"",INDEX(TxnDepB,$O1534)),""))</f>
        <v/>
      </c>
      <c r="J1534" s="25">
        <f>IF($N1534&lt;&gt;"",IF(INDEX(PCOp,$N1534)="مرجوعی خرید",IF(INDEX(PCAmount,$N1534)=0,"",-INDEX(PCAmount,$N1534)),""),IF($O1534&lt;&gt;"",IF(INDEX(TxnWitB,$O1534)=0,"",INDEX(TxnWitB,$O1534)),""))</f>
        <v/>
      </c>
      <c r="K1534" s="27">
        <f>IF($B1534="","",IF($K1533="",$C$10,$K1533)+IF($I1534="",0,$I1534)-IF($J1534="",0,$J1534))</f>
        <v/>
      </c>
      <c r="L1534" s="28">
        <f>IF($N1534&lt;&gt;"",IF(INDEX(PCNotes,$N1534)="","—",INDEX(PCNotes,$N1534)),IF($O1534&lt;&gt;"",IF(INDEX(LdgNoteB,$O1534)="","—",INDEX(LdgNoteB,$O1534)),""))</f>
        <v/>
      </c>
      <c r="N1534">
        <f>IFERROR(MATCH($C$5&amp;"|"&amp;RIGHT("000000"&amp;1518,6),LdgRankKeyA,0),"")</f>
        <v/>
      </c>
      <c r="O1534">
        <f>IFERROR(MATCH($C$5&amp;"|"&amp;RIGHT("000000"&amp;1518,6),LdgRankKeyB,0),"")</f>
        <v/>
      </c>
    </row>
    <row r="1535">
      <c r="A1535" s="17" t="n">
        <v>1519</v>
      </c>
      <c r="B1535" s="18">
        <f>IF(AND($N1535="",$O1535=""),"",IF($N1535&lt;&gt;"",INDEX(PCNormDate,$N1535),INDEX(LdgDateB,$O1535)))</f>
        <v/>
      </c>
      <c r="C1535" s="18">
        <f>IF($N1535&lt;&gt;"",INDEX(PCOp,$N1535),IF($O1535&lt;&gt;"",IF(N(INDEX(TxnDepB,$O1535))&gt;0,"دریافت بانکی","پرداخت بانکی"),""))</f>
        <v/>
      </c>
      <c r="D1535" s="18">
        <f>IF($N1535&lt;&gt;"",IF(INDEX(PCDoc,$N1535)="","—",INDEX(PCDoc,$N1535)),IF($O1535&lt;&gt;"",INDEX(LdgBankB,$O1535),""))</f>
        <v/>
      </c>
      <c r="E1535" s="18">
        <f>IF($N1535&lt;&gt;"",IF(INDEX(PCCitrus,$N1535)="","—",INDEX(PCCitrus,$N1535)),"")</f>
        <v/>
      </c>
      <c r="F1535" s="19">
        <f>IF($N1535&lt;&gt;"",IF(INDEX(PCScale,$N1535)=0,"",INDEX(PCScale,$N1535)),"")</f>
        <v/>
      </c>
      <c r="G1535" s="19">
        <f>IF($N1535&lt;&gt;"",IF(INDEX(PCBaskets,$N1535)=0,"",INDEX(PCBaskets,$N1535)),"")</f>
        <v/>
      </c>
      <c r="H1535" s="20">
        <f>IF($N1535&lt;&gt;"",IF(INDEX(PCNet,$N1535)=0,"",INDEX(PCNet,$N1535)),"")</f>
        <v/>
      </c>
      <c r="I1535" s="19">
        <f>IF($N1535&lt;&gt;"",IF(INDEX(PCOp,$N1535)="مرجوعی خرید","",IF(INDEX(PCAmount,$N1535)&lt;=0,"",INDEX(PCAmount,$N1535))),IF($O1535&lt;&gt;"",IF(INDEX(TxnDepB,$O1535)=0,"",INDEX(TxnDepB,$O1535)),""))</f>
        <v/>
      </c>
      <c r="J1535" s="19">
        <f>IF($N1535&lt;&gt;"",IF(INDEX(PCOp,$N1535)="مرجوعی خرید",IF(INDEX(PCAmount,$N1535)=0,"",-INDEX(PCAmount,$N1535)),""),IF($O1535&lt;&gt;"",IF(INDEX(TxnWitB,$O1535)=0,"",INDEX(TxnWitB,$O1535)),""))</f>
        <v/>
      </c>
      <c r="K1535" s="21">
        <f>IF($B1535="","",IF($K1534="",$C$10,$K1534)+IF($I1535="",0,$I1535)-IF($J1535="",0,$J1535))</f>
        <v/>
      </c>
      <c r="L1535" s="22">
        <f>IF($N1535&lt;&gt;"",IF(INDEX(PCNotes,$N1535)="","—",INDEX(PCNotes,$N1535)),IF($O1535&lt;&gt;"",IF(INDEX(LdgNoteB,$O1535)="","—",INDEX(LdgNoteB,$O1535)),""))</f>
        <v/>
      </c>
      <c r="N1535">
        <f>IFERROR(MATCH($C$5&amp;"|"&amp;RIGHT("000000"&amp;1519,6),LdgRankKeyA,0),"")</f>
        <v/>
      </c>
      <c r="O1535">
        <f>IFERROR(MATCH($C$5&amp;"|"&amp;RIGHT("000000"&amp;1519,6),LdgRankKeyB,0),"")</f>
        <v/>
      </c>
    </row>
    <row r="1536">
      <c r="A1536" s="23" t="n">
        <v>1520</v>
      </c>
      <c r="B1536" s="24">
        <f>IF(AND($N1536="",$O1536=""),"",IF($N1536&lt;&gt;"",INDEX(PCNormDate,$N1536),INDEX(LdgDateB,$O1536)))</f>
        <v/>
      </c>
      <c r="C1536" s="24">
        <f>IF($N1536&lt;&gt;"",INDEX(PCOp,$N1536),IF($O1536&lt;&gt;"",IF(N(INDEX(TxnDepB,$O1536))&gt;0,"دریافت بانکی","پرداخت بانکی"),""))</f>
        <v/>
      </c>
      <c r="D1536" s="24">
        <f>IF($N1536&lt;&gt;"",IF(INDEX(PCDoc,$N1536)="","—",INDEX(PCDoc,$N1536)),IF($O1536&lt;&gt;"",INDEX(LdgBankB,$O1536),""))</f>
        <v/>
      </c>
      <c r="E1536" s="24">
        <f>IF($N1536&lt;&gt;"",IF(INDEX(PCCitrus,$N1536)="","—",INDEX(PCCitrus,$N1536)),"")</f>
        <v/>
      </c>
      <c r="F1536" s="25">
        <f>IF($N1536&lt;&gt;"",IF(INDEX(PCScale,$N1536)=0,"",INDEX(PCScale,$N1536)),"")</f>
        <v/>
      </c>
      <c r="G1536" s="25">
        <f>IF($N1536&lt;&gt;"",IF(INDEX(PCBaskets,$N1536)=0,"",INDEX(PCBaskets,$N1536)),"")</f>
        <v/>
      </c>
      <c r="H1536" s="26">
        <f>IF($N1536&lt;&gt;"",IF(INDEX(PCNet,$N1536)=0,"",INDEX(PCNet,$N1536)),"")</f>
        <v/>
      </c>
      <c r="I1536" s="25">
        <f>IF($N1536&lt;&gt;"",IF(INDEX(PCOp,$N1536)="مرجوعی خرید","",IF(INDEX(PCAmount,$N1536)&lt;=0,"",INDEX(PCAmount,$N1536))),IF($O1536&lt;&gt;"",IF(INDEX(TxnDepB,$O1536)=0,"",INDEX(TxnDepB,$O1536)),""))</f>
        <v/>
      </c>
      <c r="J1536" s="25">
        <f>IF($N1536&lt;&gt;"",IF(INDEX(PCOp,$N1536)="مرجوعی خرید",IF(INDEX(PCAmount,$N1536)=0,"",-INDEX(PCAmount,$N1536)),""),IF($O1536&lt;&gt;"",IF(INDEX(TxnWitB,$O1536)=0,"",INDEX(TxnWitB,$O1536)),""))</f>
        <v/>
      </c>
      <c r="K1536" s="27">
        <f>IF($B1536="","",IF($K1535="",$C$10,$K1535)+IF($I1536="",0,$I1536)-IF($J1536="",0,$J1536))</f>
        <v/>
      </c>
      <c r="L1536" s="28">
        <f>IF($N1536&lt;&gt;"",IF(INDEX(PCNotes,$N1536)="","—",INDEX(PCNotes,$N1536)),IF($O1536&lt;&gt;"",IF(INDEX(LdgNoteB,$O1536)="","—",INDEX(LdgNoteB,$O1536)),""))</f>
        <v/>
      </c>
      <c r="N1536">
        <f>IFERROR(MATCH($C$5&amp;"|"&amp;RIGHT("000000"&amp;1520,6),LdgRankKeyA,0),"")</f>
        <v/>
      </c>
      <c r="O1536">
        <f>IFERROR(MATCH($C$5&amp;"|"&amp;RIGHT("000000"&amp;1520,6),LdgRankKeyB,0),"")</f>
        <v/>
      </c>
    </row>
    <row r="1537">
      <c r="A1537" s="17" t="n">
        <v>1521</v>
      </c>
      <c r="B1537" s="18">
        <f>IF(AND($N1537="",$O1537=""),"",IF($N1537&lt;&gt;"",INDEX(PCNormDate,$N1537),INDEX(LdgDateB,$O1537)))</f>
        <v/>
      </c>
      <c r="C1537" s="18">
        <f>IF($N1537&lt;&gt;"",INDEX(PCOp,$N1537),IF($O1537&lt;&gt;"",IF(N(INDEX(TxnDepB,$O1537))&gt;0,"دریافت بانکی","پرداخت بانکی"),""))</f>
        <v/>
      </c>
      <c r="D1537" s="18">
        <f>IF($N1537&lt;&gt;"",IF(INDEX(PCDoc,$N1537)="","—",INDEX(PCDoc,$N1537)),IF($O1537&lt;&gt;"",INDEX(LdgBankB,$O1537),""))</f>
        <v/>
      </c>
      <c r="E1537" s="18">
        <f>IF($N1537&lt;&gt;"",IF(INDEX(PCCitrus,$N1537)="","—",INDEX(PCCitrus,$N1537)),"")</f>
        <v/>
      </c>
      <c r="F1537" s="19">
        <f>IF($N1537&lt;&gt;"",IF(INDEX(PCScale,$N1537)=0,"",INDEX(PCScale,$N1537)),"")</f>
        <v/>
      </c>
      <c r="G1537" s="19">
        <f>IF($N1537&lt;&gt;"",IF(INDEX(PCBaskets,$N1537)=0,"",INDEX(PCBaskets,$N1537)),"")</f>
        <v/>
      </c>
      <c r="H1537" s="20">
        <f>IF($N1537&lt;&gt;"",IF(INDEX(PCNet,$N1537)=0,"",INDEX(PCNet,$N1537)),"")</f>
        <v/>
      </c>
      <c r="I1537" s="19">
        <f>IF($N1537&lt;&gt;"",IF(INDEX(PCOp,$N1537)="مرجوعی خرید","",IF(INDEX(PCAmount,$N1537)&lt;=0,"",INDEX(PCAmount,$N1537))),IF($O1537&lt;&gt;"",IF(INDEX(TxnDepB,$O1537)=0,"",INDEX(TxnDepB,$O1537)),""))</f>
        <v/>
      </c>
      <c r="J1537" s="19">
        <f>IF($N1537&lt;&gt;"",IF(INDEX(PCOp,$N1537)="مرجوعی خرید",IF(INDEX(PCAmount,$N1537)=0,"",-INDEX(PCAmount,$N1537)),""),IF($O1537&lt;&gt;"",IF(INDEX(TxnWitB,$O1537)=0,"",INDEX(TxnWitB,$O1537)),""))</f>
        <v/>
      </c>
      <c r="K1537" s="21">
        <f>IF($B1537="","",IF($K1536="",$C$10,$K1536)+IF($I1537="",0,$I1537)-IF($J1537="",0,$J1537))</f>
        <v/>
      </c>
      <c r="L1537" s="22">
        <f>IF($N1537&lt;&gt;"",IF(INDEX(PCNotes,$N1537)="","—",INDEX(PCNotes,$N1537)),IF($O1537&lt;&gt;"",IF(INDEX(LdgNoteB,$O1537)="","—",INDEX(LdgNoteB,$O1537)),""))</f>
        <v/>
      </c>
      <c r="N1537">
        <f>IFERROR(MATCH($C$5&amp;"|"&amp;RIGHT("000000"&amp;1521,6),LdgRankKeyA,0),"")</f>
        <v/>
      </c>
      <c r="O1537">
        <f>IFERROR(MATCH($C$5&amp;"|"&amp;RIGHT("000000"&amp;1521,6),LdgRankKeyB,0),"")</f>
        <v/>
      </c>
    </row>
    <row r="1538">
      <c r="A1538" s="23" t="n">
        <v>1522</v>
      </c>
      <c r="B1538" s="24">
        <f>IF(AND($N1538="",$O1538=""),"",IF($N1538&lt;&gt;"",INDEX(PCNormDate,$N1538),INDEX(LdgDateB,$O1538)))</f>
        <v/>
      </c>
      <c r="C1538" s="24">
        <f>IF($N1538&lt;&gt;"",INDEX(PCOp,$N1538),IF($O1538&lt;&gt;"",IF(N(INDEX(TxnDepB,$O1538))&gt;0,"دریافت بانکی","پرداخت بانکی"),""))</f>
        <v/>
      </c>
      <c r="D1538" s="24">
        <f>IF($N1538&lt;&gt;"",IF(INDEX(PCDoc,$N1538)="","—",INDEX(PCDoc,$N1538)),IF($O1538&lt;&gt;"",INDEX(LdgBankB,$O1538),""))</f>
        <v/>
      </c>
      <c r="E1538" s="24">
        <f>IF($N1538&lt;&gt;"",IF(INDEX(PCCitrus,$N1538)="","—",INDEX(PCCitrus,$N1538)),"")</f>
        <v/>
      </c>
      <c r="F1538" s="25">
        <f>IF($N1538&lt;&gt;"",IF(INDEX(PCScale,$N1538)=0,"",INDEX(PCScale,$N1538)),"")</f>
        <v/>
      </c>
      <c r="G1538" s="25">
        <f>IF($N1538&lt;&gt;"",IF(INDEX(PCBaskets,$N1538)=0,"",INDEX(PCBaskets,$N1538)),"")</f>
        <v/>
      </c>
      <c r="H1538" s="26">
        <f>IF($N1538&lt;&gt;"",IF(INDEX(PCNet,$N1538)=0,"",INDEX(PCNet,$N1538)),"")</f>
        <v/>
      </c>
      <c r="I1538" s="25">
        <f>IF($N1538&lt;&gt;"",IF(INDEX(PCOp,$N1538)="مرجوعی خرید","",IF(INDEX(PCAmount,$N1538)&lt;=0,"",INDEX(PCAmount,$N1538))),IF($O1538&lt;&gt;"",IF(INDEX(TxnDepB,$O1538)=0,"",INDEX(TxnDepB,$O1538)),""))</f>
        <v/>
      </c>
      <c r="J1538" s="25">
        <f>IF($N1538&lt;&gt;"",IF(INDEX(PCOp,$N1538)="مرجوعی خرید",IF(INDEX(PCAmount,$N1538)=0,"",-INDEX(PCAmount,$N1538)),""),IF($O1538&lt;&gt;"",IF(INDEX(TxnWitB,$O1538)=0,"",INDEX(TxnWitB,$O1538)),""))</f>
        <v/>
      </c>
      <c r="K1538" s="27">
        <f>IF($B1538="","",IF($K1537="",$C$10,$K1537)+IF($I1538="",0,$I1538)-IF($J1538="",0,$J1538))</f>
        <v/>
      </c>
      <c r="L1538" s="28">
        <f>IF($N1538&lt;&gt;"",IF(INDEX(PCNotes,$N1538)="","—",INDEX(PCNotes,$N1538)),IF($O1538&lt;&gt;"",IF(INDEX(LdgNoteB,$O1538)="","—",INDEX(LdgNoteB,$O1538)),""))</f>
        <v/>
      </c>
      <c r="N1538">
        <f>IFERROR(MATCH($C$5&amp;"|"&amp;RIGHT("000000"&amp;1522,6),LdgRankKeyA,0),"")</f>
        <v/>
      </c>
      <c r="O1538">
        <f>IFERROR(MATCH($C$5&amp;"|"&amp;RIGHT("000000"&amp;1522,6),LdgRankKeyB,0),"")</f>
        <v/>
      </c>
    </row>
    <row r="1539">
      <c r="A1539" s="17" t="n">
        <v>1523</v>
      </c>
      <c r="B1539" s="18">
        <f>IF(AND($N1539="",$O1539=""),"",IF($N1539&lt;&gt;"",INDEX(PCNormDate,$N1539),INDEX(LdgDateB,$O1539)))</f>
        <v/>
      </c>
      <c r="C1539" s="18">
        <f>IF($N1539&lt;&gt;"",INDEX(PCOp,$N1539),IF($O1539&lt;&gt;"",IF(N(INDEX(TxnDepB,$O1539))&gt;0,"دریافت بانکی","پرداخت بانکی"),""))</f>
        <v/>
      </c>
      <c r="D1539" s="18">
        <f>IF($N1539&lt;&gt;"",IF(INDEX(PCDoc,$N1539)="","—",INDEX(PCDoc,$N1539)),IF($O1539&lt;&gt;"",INDEX(LdgBankB,$O1539),""))</f>
        <v/>
      </c>
      <c r="E1539" s="18">
        <f>IF($N1539&lt;&gt;"",IF(INDEX(PCCitrus,$N1539)="","—",INDEX(PCCitrus,$N1539)),"")</f>
        <v/>
      </c>
      <c r="F1539" s="19">
        <f>IF($N1539&lt;&gt;"",IF(INDEX(PCScale,$N1539)=0,"",INDEX(PCScale,$N1539)),"")</f>
        <v/>
      </c>
      <c r="G1539" s="19">
        <f>IF($N1539&lt;&gt;"",IF(INDEX(PCBaskets,$N1539)=0,"",INDEX(PCBaskets,$N1539)),"")</f>
        <v/>
      </c>
      <c r="H1539" s="20">
        <f>IF($N1539&lt;&gt;"",IF(INDEX(PCNet,$N1539)=0,"",INDEX(PCNet,$N1539)),"")</f>
        <v/>
      </c>
      <c r="I1539" s="19">
        <f>IF($N1539&lt;&gt;"",IF(INDEX(PCOp,$N1539)="مرجوعی خرید","",IF(INDEX(PCAmount,$N1539)&lt;=0,"",INDEX(PCAmount,$N1539))),IF($O1539&lt;&gt;"",IF(INDEX(TxnDepB,$O1539)=0,"",INDEX(TxnDepB,$O1539)),""))</f>
        <v/>
      </c>
      <c r="J1539" s="19">
        <f>IF($N1539&lt;&gt;"",IF(INDEX(PCOp,$N1539)="مرجوعی خرید",IF(INDEX(PCAmount,$N1539)=0,"",-INDEX(PCAmount,$N1539)),""),IF($O1539&lt;&gt;"",IF(INDEX(TxnWitB,$O1539)=0,"",INDEX(TxnWitB,$O1539)),""))</f>
        <v/>
      </c>
      <c r="K1539" s="21">
        <f>IF($B1539="","",IF($K1538="",$C$10,$K1538)+IF($I1539="",0,$I1539)-IF($J1539="",0,$J1539))</f>
        <v/>
      </c>
      <c r="L1539" s="22">
        <f>IF($N1539&lt;&gt;"",IF(INDEX(PCNotes,$N1539)="","—",INDEX(PCNotes,$N1539)),IF($O1539&lt;&gt;"",IF(INDEX(LdgNoteB,$O1539)="","—",INDEX(LdgNoteB,$O1539)),""))</f>
        <v/>
      </c>
      <c r="N1539">
        <f>IFERROR(MATCH($C$5&amp;"|"&amp;RIGHT("000000"&amp;1523,6),LdgRankKeyA,0),"")</f>
        <v/>
      </c>
      <c r="O1539">
        <f>IFERROR(MATCH($C$5&amp;"|"&amp;RIGHT("000000"&amp;1523,6),LdgRankKeyB,0),"")</f>
        <v/>
      </c>
    </row>
    <row r="1540">
      <c r="A1540" s="23" t="n">
        <v>1524</v>
      </c>
      <c r="B1540" s="24">
        <f>IF(AND($N1540="",$O1540=""),"",IF($N1540&lt;&gt;"",INDEX(PCNormDate,$N1540),INDEX(LdgDateB,$O1540)))</f>
        <v/>
      </c>
      <c r="C1540" s="24">
        <f>IF($N1540&lt;&gt;"",INDEX(PCOp,$N1540),IF($O1540&lt;&gt;"",IF(N(INDEX(TxnDepB,$O1540))&gt;0,"دریافت بانکی","پرداخت بانکی"),""))</f>
        <v/>
      </c>
      <c r="D1540" s="24">
        <f>IF($N1540&lt;&gt;"",IF(INDEX(PCDoc,$N1540)="","—",INDEX(PCDoc,$N1540)),IF($O1540&lt;&gt;"",INDEX(LdgBankB,$O1540),""))</f>
        <v/>
      </c>
      <c r="E1540" s="24">
        <f>IF($N1540&lt;&gt;"",IF(INDEX(PCCitrus,$N1540)="","—",INDEX(PCCitrus,$N1540)),"")</f>
        <v/>
      </c>
      <c r="F1540" s="25">
        <f>IF($N1540&lt;&gt;"",IF(INDEX(PCScale,$N1540)=0,"",INDEX(PCScale,$N1540)),"")</f>
        <v/>
      </c>
      <c r="G1540" s="25">
        <f>IF($N1540&lt;&gt;"",IF(INDEX(PCBaskets,$N1540)=0,"",INDEX(PCBaskets,$N1540)),"")</f>
        <v/>
      </c>
      <c r="H1540" s="26">
        <f>IF($N1540&lt;&gt;"",IF(INDEX(PCNet,$N1540)=0,"",INDEX(PCNet,$N1540)),"")</f>
        <v/>
      </c>
      <c r="I1540" s="25">
        <f>IF($N1540&lt;&gt;"",IF(INDEX(PCOp,$N1540)="مرجوعی خرید","",IF(INDEX(PCAmount,$N1540)&lt;=0,"",INDEX(PCAmount,$N1540))),IF($O1540&lt;&gt;"",IF(INDEX(TxnDepB,$O1540)=0,"",INDEX(TxnDepB,$O1540)),""))</f>
        <v/>
      </c>
      <c r="J1540" s="25">
        <f>IF($N1540&lt;&gt;"",IF(INDEX(PCOp,$N1540)="مرجوعی خرید",IF(INDEX(PCAmount,$N1540)=0,"",-INDEX(PCAmount,$N1540)),""),IF($O1540&lt;&gt;"",IF(INDEX(TxnWitB,$O1540)=0,"",INDEX(TxnWitB,$O1540)),""))</f>
        <v/>
      </c>
      <c r="K1540" s="27">
        <f>IF($B1540="","",IF($K1539="",$C$10,$K1539)+IF($I1540="",0,$I1540)-IF($J1540="",0,$J1540))</f>
        <v/>
      </c>
      <c r="L1540" s="28">
        <f>IF($N1540&lt;&gt;"",IF(INDEX(PCNotes,$N1540)="","—",INDEX(PCNotes,$N1540)),IF($O1540&lt;&gt;"",IF(INDEX(LdgNoteB,$O1540)="","—",INDEX(LdgNoteB,$O1540)),""))</f>
        <v/>
      </c>
      <c r="N1540">
        <f>IFERROR(MATCH($C$5&amp;"|"&amp;RIGHT("000000"&amp;1524,6),LdgRankKeyA,0),"")</f>
        <v/>
      </c>
      <c r="O1540">
        <f>IFERROR(MATCH($C$5&amp;"|"&amp;RIGHT("000000"&amp;1524,6),LdgRankKeyB,0),"")</f>
        <v/>
      </c>
    </row>
    <row r="1541">
      <c r="A1541" s="17" t="n">
        <v>1525</v>
      </c>
      <c r="B1541" s="18">
        <f>IF(AND($N1541="",$O1541=""),"",IF($N1541&lt;&gt;"",INDEX(PCNormDate,$N1541),INDEX(LdgDateB,$O1541)))</f>
        <v/>
      </c>
      <c r="C1541" s="18">
        <f>IF($N1541&lt;&gt;"",INDEX(PCOp,$N1541),IF($O1541&lt;&gt;"",IF(N(INDEX(TxnDepB,$O1541))&gt;0,"دریافت بانکی","پرداخت بانکی"),""))</f>
        <v/>
      </c>
      <c r="D1541" s="18">
        <f>IF($N1541&lt;&gt;"",IF(INDEX(PCDoc,$N1541)="","—",INDEX(PCDoc,$N1541)),IF($O1541&lt;&gt;"",INDEX(LdgBankB,$O1541),""))</f>
        <v/>
      </c>
      <c r="E1541" s="18">
        <f>IF($N1541&lt;&gt;"",IF(INDEX(PCCitrus,$N1541)="","—",INDEX(PCCitrus,$N1541)),"")</f>
        <v/>
      </c>
      <c r="F1541" s="19">
        <f>IF($N1541&lt;&gt;"",IF(INDEX(PCScale,$N1541)=0,"",INDEX(PCScale,$N1541)),"")</f>
        <v/>
      </c>
      <c r="G1541" s="19">
        <f>IF($N1541&lt;&gt;"",IF(INDEX(PCBaskets,$N1541)=0,"",INDEX(PCBaskets,$N1541)),"")</f>
        <v/>
      </c>
      <c r="H1541" s="20">
        <f>IF($N1541&lt;&gt;"",IF(INDEX(PCNet,$N1541)=0,"",INDEX(PCNet,$N1541)),"")</f>
        <v/>
      </c>
      <c r="I1541" s="19">
        <f>IF($N1541&lt;&gt;"",IF(INDEX(PCOp,$N1541)="مرجوعی خرید","",IF(INDEX(PCAmount,$N1541)&lt;=0,"",INDEX(PCAmount,$N1541))),IF($O1541&lt;&gt;"",IF(INDEX(TxnDepB,$O1541)=0,"",INDEX(TxnDepB,$O1541)),""))</f>
        <v/>
      </c>
      <c r="J1541" s="19">
        <f>IF($N1541&lt;&gt;"",IF(INDEX(PCOp,$N1541)="مرجوعی خرید",IF(INDEX(PCAmount,$N1541)=0,"",-INDEX(PCAmount,$N1541)),""),IF($O1541&lt;&gt;"",IF(INDEX(TxnWitB,$O1541)=0,"",INDEX(TxnWitB,$O1541)),""))</f>
        <v/>
      </c>
      <c r="K1541" s="21">
        <f>IF($B1541="","",IF($K1540="",$C$10,$K1540)+IF($I1541="",0,$I1541)-IF($J1541="",0,$J1541))</f>
        <v/>
      </c>
      <c r="L1541" s="22">
        <f>IF($N1541&lt;&gt;"",IF(INDEX(PCNotes,$N1541)="","—",INDEX(PCNotes,$N1541)),IF($O1541&lt;&gt;"",IF(INDEX(LdgNoteB,$O1541)="","—",INDEX(LdgNoteB,$O1541)),""))</f>
        <v/>
      </c>
      <c r="N1541">
        <f>IFERROR(MATCH($C$5&amp;"|"&amp;RIGHT("000000"&amp;1525,6),LdgRankKeyA,0),"")</f>
        <v/>
      </c>
      <c r="O1541">
        <f>IFERROR(MATCH($C$5&amp;"|"&amp;RIGHT("000000"&amp;1525,6),LdgRankKeyB,0),"")</f>
        <v/>
      </c>
    </row>
    <row r="1542">
      <c r="A1542" s="23" t="n">
        <v>1526</v>
      </c>
      <c r="B1542" s="24">
        <f>IF(AND($N1542="",$O1542=""),"",IF($N1542&lt;&gt;"",INDEX(PCNormDate,$N1542),INDEX(LdgDateB,$O1542)))</f>
        <v/>
      </c>
      <c r="C1542" s="24">
        <f>IF($N1542&lt;&gt;"",INDEX(PCOp,$N1542),IF($O1542&lt;&gt;"",IF(N(INDEX(TxnDepB,$O1542))&gt;0,"دریافت بانکی","پرداخت بانکی"),""))</f>
        <v/>
      </c>
      <c r="D1542" s="24">
        <f>IF($N1542&lt;&gt;"",IF(INDEX(PCDoc,$N1542)="","—",INDEX(PCDoc,$N1542)),IF($O1542&lt;&gt;"",INDEX(LdgBankB,$O1542),""))</f>
        <v/>
      </c>
      <c r="E1542" s="24">
        <f>IF($N1542&lt;&gt;"",IF(INDEX(PCCitrus,$N1542)="","—",INDEX(PCCitrus,$N1542)),"")</f>
        <v/>
      </c>
      <c r="F1542" s="25">
        <f>IF($N1542&lt;&gt;"",IF(INDEX(PCScale,$N1542)=0,"",INDEX(PCScale,$N1542)),"")</f>
        <v/>
      </c>
      <c r="G1542" s="25">
        <f>IF($N1542&lt;&gt;"",IF(INDEX(PCBaskets,$N1542)=0,"",INDEX(PCBaskets,$N1542)),"")</f>
        <v/>
      </c>
      <c r="H1542" s="26">
        <f>IF($N1542&lt;&gt;"",IF(INDEX(PCNet,$N1542)=0,"",INDEX(PCNet,$N1542)),"")</f>
        <v/>
      </c>
      <c r="I1542" s="25">
        <f>IF($N1542&lt;&gt;"",IF(INDEX(PCOp,$N1542)="مرجوعی خرید","",IF(INDEX(PCAmount,$N1542)&lt;=0,"",INDEX(PCAmount,$N1542))),IF($O1542&lt;&gt;"",IF(INDEX(TxnDepB,$O1542)=0,"",INDEX(TxnDepB,$O1542)),""))</f>
        <v/>
      </c>
      <c r="J1542" s="25">
        <f>IF($N1542&lt;&gt;"",IF(INDEX(PCOp,$N1542)="مرجوعی خرید",IF(INDEX(PCAmount,$N1542)=0,"",-INDEX(PCAmount,$N1542)),""),IF($O1542&lt;&gt;"",IF(INDEX(TxnWitB,$O1542)=0,"",INDEX(TxnWitB,$O1542)),""))</f>
        <v/>
      </c>
      <c r="K1542" s="27">
        <f>IF($B1542="","",IF($K1541="",$C$10,$K1541)+IF($I1542="",0,$I1542)-IF($J1542="",0,$J1542))</f>
        <v/>
      </c>
      <c r="L1542" s="28">
        <f>IF($N1542&lt;&gt;"",IF(INDEX(PCNotes,$N1542)="","—",INDEX(PCNotes,$N1542)),IF($O1542&lt;&gt;"",IF(INDEX(LdgNoteB,$O1542)="","—",INDEX(LdgNoteB,$O1542)),""))</f>
        <v/>
      </c>
      <c r="N1542">
        <f>IFERROR(MATCH($C$5&amp;"|"&amp;RIGHT("000000"&amp;1526,6),LdgRankKeyA,0),"")</f>
        <v/>
      </c>
      <c r="O1542">
        <f>IFERROR(MATCH($C$5&amp;"|"&amp;RIGHT("000000"&amp;1526,6),LdgRankKeyB,0),"")</f>
        <v/>
      </c>
    </row>
    <row r="1543">
      <c r="A1543" s="17" t="n">
        <v>1527</v>
      </c>
      <c r="B1543" s="18">
        <f>IF(AND($N1543="",$O1543=""),"",IF($N1543&lt;&gt;"",INDEX(PCNormDate,$N1543),INDEX(LdgDateB,$O1543)))</f>
        <v/>
      </c>
      <c r="C1543" s="18">
        <f>IF($N1543&lt;&gt;"",INDEX(PCOp,$N1543),IF($O1543&lt;&gt;"",IF(N(INDEX(TxnDepB,$O1543))&gt;0,"دریافت بانکی","پرداخت بانکی"),""))</f>
        <v/>
      </c>
      <c r="D1543" s="18">
        <f>IF($N1543&lt;&gt;"",IF(INDEX(PCDoc,$N1543)="","—",INDEX(PCDoc,$N1543)),IF($O1543&lt;&gt;"",INDEX(LdgBankB,$O1543),""))</f>
        <v/>
      </c>
      <c r="E1543" s="18">
        <f>IF($N1543&lt;&gt;"",IF(INDEX(PCCitrus,$N1543)="","—",INDEX(PCCitrus,$N1543)),"")</f>
        <v/>
      </c>
      <c r="F1543" s="19">
        <f>IF($N1543&lt;&gt;"",IF(INDEX(PCScale,$N1543)=0,"",INDEX(PCScale,$N1543)),"")</f>
        <v/>
      </c>
      <c r="G1543" s="19">
        <f>IF($N1543&lt;&gt;"",IF(INDEX(PCBaskets,$N1543)=0,"",INDEX(PCBaskets,$N1543)),"")</f>
        <v/>
      </c>
      <c r="H1543" s="20">
        <f>IF($N1543&lt;&gt;"",IF(INDEX(PCNet,$N1543)=0,"",INDEX(PCNet,$N1543)),"")</f>
        <v/>
      </c>
      <c r="I1543" s="19">
        <f>IF($N1543&lt;&gt;"",IF(INDEX(PCOp,$N1543)="مرجوعی خرید","",IF(INDEX(PCAmount,$N1543)&lt;=0,"",INDEX(PCAmount,$N1543))),IF($O1543&lt;&gt;"",IF(INDEX(TxnDepB,$O1543)=0,"",INDEX(TxnDepB,$O1543)),""))</f>
        <v/>
      </c>
      <c r="J1543" s="19">
        <f>IF($N1543&lt;&gt;"",IF(INDEX(PCOp,$N1543)="مرجوعی خرید",IF(INDEX(PCAmount,$N1543)=0,"",-INDEX(PCAmount,$N1543)),""),IF($O1543&lt;&gt;"",IF(INDEX(TxnWitB,$O1543)=0,"",INDEX(TxnWitB,$O1543)),""))</f>
        <v/>
      </c>
      <c r="K1543" s="21">
        <f>IF($B1543="","",IF($K1542="",$C$10,$K1542)+IF($I1543="",0,$I1543)-IF($J1543="",0,$J1543))</f>
        <v/>
      </c>
      <c r="L1543" s="22">
        <f>IF($N1543&lt;&gt;"",IF(INDEX(PCNotes,$N1543)="","—",INDEX(PCNotes,$N1543)),IF($O1543&lt;&gt;"",IF(INDEX(LdgNoteB,$O1543)="","—",INDEX(LdgNoteB,$O1543)),""))</f>
        <v/>
      </c>
      <c r="N1543">
        <f>IFERROR(MATCH($C$5&amp;"|"&amp;RIGHT("000000"&amp;1527,6),LdgRankKeyA,0),"")</f>
        <v/>
      </c>
      <c r="O1543">
        <f>IFERROR(MATCH($C$5&amp;"|"&amp;RIGHT("000000"&amp;1527,6),LdgRankKeyB,0),"")</f>
        <v/>
      </c>
    </row>
    <row r="1544">
      <c r="A1544" s="23" t="n">
        <v>1528</v>
      </c>
      <c r="B1544" s="24">
        <f>IF(AND($N1544="",$O1544=""),"",IF($N1544&lt;&gt;"",INDEX(PCNormDate,$N1544),INDEX(LdgDateB,$O1544)))</f>
        <v/>
      </c>
      <c r="C1544" s="24">
        <f>IF($N1544&lt;&gt;"",INDEX(PCOp,$N1544),IF($O1544&lt;&gt;"",IF(N(INDEX(TxnDepB,$O1544))&gt;0,"دریافت بانکی","پرداخت بانکی"),""))</f>
        <v/>
      </c>
      <c r="D1544" s="24">
        <f>IF($N1544&lt;&gt;"",IF(INDEX(PCDoc,$N1544)="","—",INDEX(PCDoc,$N1544)),IF($O1544&lt;&gt;"",INDEX(LdgBankB,$O1544),""))</f>
        <v/>
      </c>
      <c r="E1544" s="24">
        <f>IF($N1544&lt;&gt;"",IF(INDEX(PCCitrus,$N1544)="","—",INDEX(PCCitrus,$N1544)),"")</f>
        <v/>
      </c>
      <c r="F1544" s="25">
        <f>IF($N1544&lt;&gt;"",IF(INDEX(PCScale,$N1544)=0,"",INDEX(PCScale,$N1544)),"")</f>
        <v/>
      </c>
      <c r="G1544" s="25">
        <f>IF($N1544&lt;&gt;"",IF(INDEX(PCBaskets,$N1544)=0,"",INDEX(PCBaskets,$N1544)),"")</f>
        <v/>
      </c>
      <c r="H1544" s="26">
        <f>IF($N1544&lt;&gt;"",IF(INDEX(PCNet,$N1544)=0,"",INDEX(PCNet,$N1544)),"")</f>
        <v/>
      </c>
      <c r="I1544" s="25">
        <f>IF($N1544&lt;&gt;"",IF(INDEX(PCOp,$N1544)="مرجوعی خرید","",IF(INDEX(PCAmount,$N1544)&lt;=0,"",INDEX(PCAmount,$N1544))),IF($O1544&lt;&gt;"",IF(INDEX(TxnDepB,$O1544)=0,"",INDEX(TxnDepB,$O1544)),""))</f>
        <v/>
      </c>
      <c r="J1544" s="25">
        <f>IF($N1544&lt;&gt;"",IF(INDEX(PCOp,$N1544)="مرجوعی خرید",IF(INDEX(PCAmount,$N1544)=0,"",-INDEX(PCAmount,$N1544)),""),IF($O1544&lt;&gt;"",IF(INDEX(TxnWitB,$O1544)=0,"",INDEX(TxnWitB,$O1544)),""))</f>
        <v/>
      </c>
      <c r="K1544" s="27">
        <f>IF($B1544="","",IF($K1543="",$C$10,$K1543)+IF($I1544="",0,$I1544)-IF($J1544="",0,$J1544))</f>
        <v/>
      </c>
      <c r="L1544" s="28">
        <f>IF($N1544&lt;&gt;"",IF(INDEX(PCNotes,$N1544)="","—",INDEX(PCNotes,$N1544)),IF($O1544&lt;&gt;"",IF(INDEX(LdgNoteB,$O1544)="","—",INDEX(LdgNoteB,$O1544)),""))</f>
        <v/>
      </c>
      <c r="N1544">
        <f>IFERROR(MATCH($C$5&amp;"|"&amp;RIGHT("000000"&amp;1528,6),LdgRankKeyA,0),"")</f>
        <v/>
      </c>
      <c r="O1544">
        <f>IFERROR(MATCH($C$5&amp;"|"&amp;RIGHT("000000"&amp;1528,6),LdgRankKeyB,0),"")</f>
        <v/>
      </c>
    </row>
    <row r="1545">
      <c r="A1545" s="17" t="n">
        <v>1529</v>
      </c>
      <c r="B1545" s="18">
        <f>IF(AND($N1545="",$O1545=""),"",IF($N1545&lt;&gt;"",INDEX(PCNormDate,$N1545),INDEX(LdgDateB,$O1545)))</f>
        <v/>
      </c>
      <c r="C1545" s="18">
        <f>IF($N1545&lt;&gt;"",INDEX(PCOp,$N1545),IF($O1545&lt;&gt;"",IF(N(INDEX(TxnDepB,$O1545))&gt;0,"دریافت بانکی","پرداخت بانکی"),""))</f>
        <v/>
      </c>
      <c r="D1545" s="18">
        <f>IF($N1545&lt;&gt;"",IF(INDEX(PCDoc,$N1545)="","—",INDEX(PCDoc,$N1545)),IF($O1545&lt;&gt;"",INDEX(LdgBankB,$O1545),""))</f>
        <v/>
      </c>
      <c r="E1545" s="18">
        <f>IF($N1545&lt;&gt;"",IF(INDEX(PCCitrus,$N1545)="","—",INDEX(PCCitrus,$N1545)),"")</f>
        <v/>
      </c>
      <c r="F1545" s="19">
        <f>IF($N1545&lt;&gt;"",IF(INDEX(PCScale,$N1545)=0,"",INDEX(PCScale,$N1545)),"")</f>
        <v/>
      </c>
      <c r="G1545" s="19">
        <f>IF($N1545&lt;&gt;"",IF(INDEX(PCBaskets,$N1545)=0,"",INDEX(PCBaskets,$N1545)),"")</f>
        <v/>
      </c>
      <c r="H1545" s="20">
        <f>IF($N1545&lt;&gt;"",IF(INDEX(PCNet,$N1545)=0,"",INDEX(PCNet,$N1545)),"")</f>
        <v/>
      </c>
      <c r="I1545" s="19">
        <f>IF($N1545&lt;&gt;"",IF(INDEX(PCOp,$N1545)="مرجوعی خرید","",IF(INDEX(PCAmount,$N1545)&lt;=0,"",INDEX(PCAmount,$N1545))),IF($O1545&lt;&gt;"",IF(INDEX(TxnDepB,$O1545)=0,"",INDEX(TxnDepB,$O1545)),""))</f>
        <v/>
      </c>
      <c r="J1545" s="19">
        <f>IF($N1545&lt;&gt;"",IF(INDEX(PCOp,$N1545)="مرجوعی خرید",IF(INDEX(PCAmount,$N1545)=0,"",-INDEX(PCAmount,$N1545)),""),IF($O1545&lt;&gt;"",IF(INDEX(TxnWitB,$O1545)=0,"",INDEX(TxnWitB,$O1545)),""))</f>
        <v/>
      </c>
      <c r="K1545" s="21">
        <f>IF($B1545="","",IF($K1544="",$C$10,$K1544)+IF($I1545="",0,$I1545)-IF($J1545="",0,$J1545))</f>
        <v/>
      </c>
      <c r="L1545" s="22">
        <f>IF($N1545&lt;&gt;"",IF(INDEX(PCNotes,$N1545)="","—",INDEX(PCNotes,$N1545)),IF($O1545&lt;&gt;"",IF(INDEX(LdgNoteB,$O1545)="","—",INDEX(LdgNoteB,$O1545)),""))</f>
        <v/>
      </c>
      <c r="N1545">
        <f>IFERROR(MATCH($C$5&amp;"|"&amp;RIGHT("000000"&amp;1529,6),LdgRankKeyA,0),"")</f>
        <v/>
      </c>
      <c r="O1545">
        <f>IFERROR(MATCH($C$5&amp;"|"&amp;RIGHT("000000"&amp;1529,6),LdgRankKeyB,0),"")</f>
        <v/>
      </c>
    </row>
    <row r="1546">
      <c r="A1546" s="23" t="n">
        <v>1530</v>
      </c>
      <c r="B1546" s="24">
        <f>IF(AND($N1546="",$O1546=""),"",IF($N1546&lt;&gt;"",INDEX(PCNormDate,$N1546),INDEX(LdgDateB,$O1546)))</f>
        <v/>
      </c>
      <c r="C1546" s="24">
        <f>IF($N1546&lt;&gt;"",INDEX(PCOp,$N1546),IF($O1546&lt;&gt;"",IF(N(INDEX(TxnDepB,$O1546))&gt;0,"دریافت بانکی","پرداخت بانکی"),""))</f>
        <v/>
      </c>
      <c r="D1546" s="24">
        <f>IF($N1546&lt;&gt;"",IF(INDEX(PCDoc,$N1546)="","—",INDEX(PCDoc,$N1546)),IF($O1546&lt;&gt;"",INDEX(LdgBankB,$O1546),""))</f>
        <v/>
      </c>
      <c r="E1546" s="24">
        <f>IF($N1546&lt;&gt;"",IF(INDEX(PCCitrus,$N1546)="","—",INDEX(PCCitrus,$N1546)),"")</f>
        <v/>
      </c>
      <c r="F1546" s="25">
        <f>IF($N1546&lt;&gt;"",IF(INDEX(PCScale,$N1546)=0,"",INDEX(PCScale,$N1546)),"")</f>
        <v/>
      </c>
      <c r="G1546" s="25">
        <f>IF($N1546&lt;&gt;"",IF(INDEX(PCBaskets,$N1546)=0,"",INDEX(PCBaskets,$N1546)),"")</f>
        <v/>
      </c>
      <c r="H1546" s="26">
        <f>IF($N1546&lt;&gt;"",IF(INDEX(PCNet,$N1546)=0,"",INDEX(PCNet,$N1546)),"")</f>
        <v/>
      </c>
      <c r="I1546" s="25">
        <f>IF($N1546&lt;&gt;"",IF(INDEX(PCOp,$N1546)="مرجوعی خرید","",IF(INDEX(PCAmount,$N1546)&lt;=0,"",INDEX(PCAmount,$N1546))),IF($O1546&lt;&gt;"",IF(INDEX(TxnDepB,$O1546)=0,"",INDEX(TxnDepB,$O1546)),""))</f>
        <v/>
      </c>
      <c r="J1546" s="25">
        <f>IF($N1546&lt;&gt;"",IF(INDEX(PCOp,$N1546)="مرجوعی خرید",IF(INDEX(PCAmount,$N1546)=0,"",-INDEX(PCAmount,$N1546)),""),IF($O1546&lt;&gt;"",IF(INDEX(TxnWitB,$O1546)=0,"",INDEX(TxnWitB,$O1546)),""))</f>
        <v/>
      </c>
      <c r="K1546" s="27">
        <f>IF($B1546="","",IF($K1545="",$C$10,$K1545)+IF($I1546="",0,$I1546)-IF($J1546="",0,$J1546))</f>
        <v/>
      </c>
      <c r="L1546" s="28">
        <f>IF($N1546&lt;&gt;"",IF(INDEX(PCNotes,$N1546)="","—",INDEX(PCNotes,$N1546)),IF($O1546&lt;&gt;"",IF(INDEX(LdgNoteB,$O1546)="","—",INDEX(LdgNoteB,$O1546)),""))</f>
        <v/>
      </c>
      <c r="N1546">
        <f>IFERROR(MATCH($C$5&amp;"|"&amp;RIGHT("000000"&amp;1530,6),LdgRankKeyA,0),"")</f>
        <v/>
      </c>
      <c r="O1546">
        <f>IFERROR(MATCH($C$5&amp;"|"&amp;RIGHT("000000"&amp;1530,6),LdgRankKeyB,0),"")</f>
        <v/>
      </c>
    </row>
    <row r="1547">
      <c r="A1547" s="17" t="n">
        <v>1531</v>
      </c>
      <c r="B1547" s="18">
        <f>IF(AND($N1547="",$O1547=""),"",IF($N1547&lt;&gt;"",INDEX(PCNormDate,$N1547),INDEX(LdgDateB,$O1547)))</f>
        <v/>
      </c>
      <c r="C1547" s="18">
        <f>IF($N1547&lt;&gt;"",INDEX(PCOp,$N1547),IF($O1547&lt;&gt;"",IF(N(INDEX(TxnDepB,$O1547))&gt;0,"دریافت بانکی","پرداخت بانکی"),""))</f>
        <v/>
      </c>
      <c r="D1547" s="18">
        <f>IF($N1547&lt;&gt;"",IF(INDEX(PCDoc,$N1547)="","—",INDEX(PCDoc,$N1547)),IF($O1547&lt;&gt;"",INDEX(LdgBankB,$O1547),""))</f>
        <v/>
      </c>
      <c r="E1547" s="18">
        <f>IF($N1547&lt;&gt;"",IF(INDEX(PCCitrus,$N1547)="","—",INDEX(PCCitrus,$N1547)),"")</f>
        <v/>
      </c>
      <c r="F1547" s="19">
        <f>IF($N1547&lt;&gt;"",IF(INDEX(PCScale,$N1547)=0,"",INDEX(PCScale,$N1547)),"")</f>
        <v/>
      </c>
      <c r="G1547" s="19">
        <f>IF($N1547&lt;&gt;"",IF(INDEX(PCBaskets,$N1547)=0,"",INDEX(PCBaskets,$N1547)),"")</f>
        <v/>
      </c>
      <c r="H1547" s="20">
        <f>IF($N1547&lt;&gt;"",IF(INDEX(PCNet,$N1547)=0,"",INDEX(PCNet,$N1547)),"")</f>
        <v/>
      </c>
      <c r="I1547" s="19">
        <f>IF($N1547&lt;&gt;"",IF(INDEX(PCOp,$N1547)="مرجوعی خرید","",IF(INDEX(PCAmount,$N1547)&lt;=0,"",INDEX(PCAmount,$N1547))),IF($O1547&lt;&gt;"",IF(INDEX(TxnDepB,$O1547)=0,"",INDEX(TxnDepB,$O1547)),""))</f>
        <v/>
      </c>
      <c r="J1547" s="19">
        <f>IF($N1547&lt;&gt;"",IF(INDEX(PCOp,$N1547)="مرجوعی خرید",IF(INDEX(PCAmount,$N1547)=0,"",-INDEX(PCAmount,$N1547)),""),IF($O1547&lt;&gt;"",IF(INDEX(TxnWitB,$O1547)=0,"",INDEX(TxnWitB,$O1547)),""))</f>
        <v/>
      </c>
      <c r="K1547" s="21">
        <f>IF($B1547="","",IF($K1546="",$C$10,$K1546)+IF($I1547="",0,$I1547)-IF($J1547="",0,$J1547))</f>
        <v/>
      </c>
      <c r="L1547" s="22">
        <f>IF($N1547&lt;&gt;"",IF(INDEX(PCNotes,$N1547)="","—",INDEX(PCNotes,$N1547)),IF($O1547&lt;&gt;"",IF(INDEX(LdgNoteB,$O1547)="","—",INDEX(LdgNoteB,$O1547)),""))</f>
        <v/>
      </c>
      <c r="N1547">
        <f>IFERROR(MATCH($C$5&amp;"|"&amp;RIGHT("000000"&amp;1531,6),LdgRankKeyA,0),"")</f>
        <v/>
      </c>
      <c r="O1547">
        <f>IFERROR(MATCH($C$5&amp;"|"&amp;RIGHT("000000"&amp;1531,6),LdgRankKeyB,0),"")</f>
        <v/>
      </c>
    </row>
    <row r="1548">
      <c r="A1548" s="23" t="n">
        <v>1532</v>
      </c>
      <c r="B1548" s="24">
        <f>IF(AND($N1548="",$O1548=""),"",IF($N1548&lt;&gt;"",INDEX(PCNormDate,$N1548),INDEX(LdgDateB,$O1548)))</f>
        <v/>
      </c>
      <c r="C1548" s="24">
        <f>IF($N1548&lt;&gt;"",INDEX(PCOp,$N1548),IF($O1548&lt;&gt;"",IF(N(INDEX(TxnDepB,$O1548))&gt;0,"دریافت بانکی","پرداخت بانکی"),""))</f>
        <v/>
      </c>
      <c r="D1548" s="24">
        <f>IF($N1548&lt;&gt;"",IF(INDEX(PCDoc,$N1548)="","—",INDEX(PCDoc,$N1548)),IF($O1548&lt;&gt;"",INDEX(LdgBankB,$O1548),""))</f>
        <v/>
      </c>
      <c r="E1548" s="24">
        <f>IF($N1548&lt;&gt;"",IF(INDEX(PCCitrus,$N1548)="","—",INDEX(PCCitrus,$N1548)),"")</f>
        <v/>
      </c>
      <c r="F1548" s="25">
        <f>IF($N1548&lt;&gt;"",IF(INDEX(PCScale,$N1548)=0,"",INDEX(PCScale,$N1548)),"")</f>
        <v/>
      </c>
      <c r="G1548" s="25">
        <f>IF($N1548&lt;&gt;"",IF(INDEX(PCBaskets,$N1548)=0,"",INDEX(PCBaskets,$N1548)),"")</f>
        <v/>
      </c>
      <c r="H1548" s="26">
        <f>IF($N1548&lt;&gt;"",IF(INDEX(PCNet,$N1548)=0,"",INDEX(PCNet,$N1548)),"")</f>
        <v/>
      </c>
      <c r="I1548" s="25">
        <f>IF($N1548&lt;&gt;"",IF(INDEX(PCOp,$N1548)="مرجوعی خرید","",IF(INDEX(PCAmount,$N1548)&lt;=0,"",INDEX(PCAmount,$N1548))),IF($O1548&lt;&gt;"",IF(INDEX(TxnDepB,$O1548)=0,"",INDEX(TxnDepB,$O1548)),""))</f>
        <v/>
      </c>
      <c r="J1548" s="25">
        <f>IF($N1548&lt;&gt;"",IF(INDEX(PCOp,$N1548)="مرجوعی خرید",IF(INDEX(PCAmount,$N1548)=0,"",-INDEX(PCAmount,$N1548)),""),IF($O1548&lt;&gt;"",IF(INDEX(TxnWitB,$O1548)=0,"",INDEX(TxnWitB,$O1548)),""))</f>
        <v/>
      </c>
      <c r="K1548" s="27">
        <f>IF($B1548="","",IF($K1547="",$C$10,$K1547)+IF($I1548="",0,$I1548)-IF($J1548="",0,$J1548))</f>
        <v/>
      </c>
      <c r="L1548" s="28">
        <f>IF($N1548&lt;&gt;"",IF(INDEX(PCNotes,$N1548)="","—",INDEX(PCNotes,$N1548)),IF($O1548&lt;&gt;"",IF(INDEX(LdgNoteB,$O1548)="","—",INDEX(LdgNoteB,$O1548)),""))</f>
        <v/>
      </c>
      <c r="N1548">
        <f>IFERROR(MATCH($C$5&amp;"|"&amp;RIGHT("000000"&amp;1532,6),LdgRankKeyA,0),"")</f>
        <v/>
      </c>
      <c r="O1548">
        <f>IFERROR(MATCH($C$5&amp;"|"&amp;RIGHT("000000"&amp;1532,6),LdgRankKeyB,0),"")</f>
        <v/>
      </c>
    </row>
    <row r="1549">
      <c r="A1549" s="17" t="n">
        <v>1533</v>
      </c>
      <c r="B1549" s="18">
        <f>IF(AND($N1549="",$O1549=""),"",IF($N1549&lt;&gt;"",INDEX(PCNormDate,$N1549),INDEX(LdgDateB,$O1549)))</f>
        <v/>
      </c>
      <c r="C1549" s="18">
        <f>IF($N1549&lt;&gt;"",INDEX(PCOp,$N1549),IF($O1549&lt;&gt;"",IF(N(INDEX(TxnDepB,$O1549))&gt;0,"دریافت بانکی","پرداخت بانکی"),""))</f>
        <v/>
      </c>
      <c r="D1549" s="18">
        <f>IF($N1549&lt;&gt;"",IF(INDEX(PCDoc,$N1549)="","—",INDEX(PCDoc,$N1549)),IF($O1549&lt;&gt;"",INDEX(LdgBankB,$O1549),""))</f>
        <v/>
      </c>
      <c r="E1549" s="18">
        <f>IF($N1549&lt;&gt;"",IF(INDEX(PCCitrus,$N1549)="","—",INDEX(PCCitrus,$N1549)),"")</f>
        <v/>
      </c>
      <c r="F1549" s="19">
        <f>IF($N1549&lt;&gt;"",IF(INDEX(PCScale,$N1549)=0,"",INDEX(PCScale,$N1549)),"")</f>
        <v/>
      </c>
      <c r="G1549" s="19">
        <f>IF($N1549&lt;&gt;"",IF(INDEX(PCBaskets,$N1549)=0,"",INDEX(PCBaskets,$N1549)),"")</f>
        <v/>
      </c>
      <c r="H1549" s="20">
        <f>IF($N1549&lt;&gt;"",IF(INDEX(PCNet,$N1549)=0,"",INDEX(PCNet,$N1549)),"")</f>
        <v/>
      </c>
      <c r="I1549" s="19">
        <f>IF($N1549&lt;&gt;"",IF(INDEX(PCOp,$N1549)="مرجوعی خرید","",IF(INDEX(PCAmount,$N1549)&lt;=0,"",INDEX(PCAmount,$N1549))),IF($O1549&lt;&gt;"",IF(INDEX(TxnDepB,$O1549)=0,"",INDEX(TxnDepB,$O1549)),""))</f>
        <v/>
      </c>
      <c r="J1549" s="19">
        <f>IF($N1549&lt;&gt;"",IF(INDEX(PCOp,$N1549)="مرجوعی خرید",IF(INDEX(PCAmount,$N1549)=0,"",-INDEX(PCAmount,$N1549)),""),IF($O1549&lt;&gt;"",IF(INDEX(TxnWitB,$O1549)=0,"",INDEX(TxnWitB,$O1549)),""))</f>
        <v/>
      </c>
      <c r="K1549" s="21">
        <f>IF($B1549="","",IF($K1548="",$C$10,$K1548)+IF($I1549="",0,$I1549)-IF($J1549="",0,$J1549))</f>
        <v/>
      </c>
      <c r="L1549" s="22">
        <f>IF($N1549&lt;&gt;"",IF(INDEX(PCNotes,$N1549)="","—",INDEX(PCNotes,$N1549)),IF($O1549&lt;&gt;"",IF(INDEX(LdgNoteB,$O1549)="","—",INDEX(LdgNoteB,$O1549)),""))</f>
        <v/>
      </c>
      <c r="N1549">
        <f>IFERROR(MATCH($C$5&amp;"|"&amp;RIGHT("000000"&amp;1533,6),LdgRankKeyA,0),"")</f>
        <v/>
      </c>
      <c r="O1549">
        <f>IFERROR(MATCH($C$5&amp;"|"&amp;RIGHT("000000"&amp;1533,6),LdgRankKeyB,0),"")</f>
        <v/>
      </c>
    </row>
    <row r="1550">
      <c r="A1550" s="23" t="n">
        <v>1534</v>
      </c>
      <c r="B1550" s="24">
        <f>IF(AND($N1550="",$O1550=""),"",IF($N1550&lt;&gt;"",INDEX(PCNormDate,$N1550),INDEX(LdgDateB,$O1550)))</f>
        <v/>
      </c>
      <c r="C1550" s="24">
        <f>IF($N1550&lt;&gt;"",INDEX(PCOp,$N1550),IF($O1550&lt;&gt;"",IF(N(INDEX(TxnDepB,$O1550))&gt;0,"دریافت بانکی","پرداخت بانکی"),""))</f>
        <v/>
      </c>
      <c r="D1550" s="24">
        <f>IF($N1550&lt;&gt;"",IF(INDEX(PCDoc,$N1550)="","—",INDEX(PCDoc,$N1550)),IF($O1550&lt;&gt;"",INDEX(LdgBankB,$O1550),""))</f>
        <v/>
      </c>
      <c r="E1550" s="24">
        <f>IF($N1550&lt;&gt;"",IF(INDEX(PCCitrus,$N1550)="","—",INDEX(PCCitrus,$N1550)),"")</f>
        <v/>
      </c>
      <c r="F1550" s="25">
        <f>IF($N1550&lt;&gt;"",IF(INDEX(PCScale,$N1550)=0,"",INDEX(PCScale,$N1550)),"")</f>
        <v/>
      </c>
      <c r="G1550" s="25">
        <f>IF($N1550&lt;&gt;"",IF(INDEX(PCBaskets,$N1550)=0,"",INDEX(PCBaskets,$N1550)),"")</f>
        <v/>
      </c>
      <c r="H1550" s="26">
        <f>IF($N1550&lt;&gt;"",IF(INDEX(PCNet,$N1550)=0,"",INDEX(PCNet,$N1550)),"")</f>
        <v/>
      </c>
      <c r="I1550" s="25">
        <f>IF($N1550&lt;&gt;"",IF(INDEX(PCOp,$N1550)="مرجوعی خرید","",IF(INDEX(PCAmount,$N1550)&lt;=0,"",INDEX(PCAmount,$N1550))),IF($O1550&lt;&gt;"",IF(INDEX(TxnDepB,$O1550)=0,"",INDEX(TxnDepB,$O1550)),""))</f>
        <v/>
      </c>
      <c r="J1550" s="25">
        <f>IF($N1550&lt;&gt;"",IF(INDEX(PCOp,$N1550)="مرجوعی خرید",IF(INDEX(PCAmount,$N1550)=0,"",-INDEX(PCAmount,$N1550)),""),IF($O1550&lt;&gt;"",IF(INDEX(TxnWitB,$O1550)=0,"",INDEX(TxnWitB,$O1550)),""))</f>
        <v/>
      </c>
      <c r="K1550" s="27">
        <f>IF($B1550="","",IF($K1549="",$C$10,$K1549)+IF($I1550="",0,$I1550)-IF($J1550="",0,$J1550))</f>
        <v/>
      </c>
      <c r="L1550" s="28">
        <f>IF($N1550&lt;&gt;"",IF(INDEX(PCNotes,$N1550)="","—",INDEX(PCNotes,$N1550)),IF($O1550&lt;&gt;"",IF(INDEX(LdgNoteB,$O1550)="","—",INDEX(LdgNoteB,$O1550)),""))</f>
        <v/>
      </c>
      <c r="N1550">
        <f>IFERROR(MATCH($C$5&amp;"|"&amp;RIGHT("000000"&amp;1534,6),LdgRankKeyA,0),"")</f>
        <v/>
      </c>
      <c r="O1550">
        <f>IFERROR(MATCH($C$5&amp;"|"&amp;RIGHT("000000"&amp;1534,6),LdgRankKeyB,0),"")</f>
        <v/>
      </c>
    </row>
    <row r="1551">
      <c r="A1551" s="17" t="n">
        <v>1535</v>
      </c>
      <c r="B1551" s="18">
        <f>IF(AND($N1551="",$O1551=""),"",IF($N1551&lt;&gt;"",INDEX(PCNormDate,$N1551),INDEX(LdgDateB,$O1551)))</f>
        <v/>
      </c>
      <c r="C1551" s="18">
        <f>IF($N1551&lt;&gt;"",INDEX(PCOp,$N1551),IF($O1551&lt;&gt;"",IF(N(INDEX(TxnDepB,$O1551))&gt;0,"دریافت بانکی","پرداخت بانکی"),""))</f>
        <v/>
      </c>
      <c r="D1551" s="18">
        <f>IF($N1551&lt;&gt;"",IF(INDEX(PCDoc,$N1551)="","—",INDEX(PCDoc,$N1551)),IF($O1551&lt;&gt;"",INDEX(LdgBankB,$O1551),""))</f>
        <v/>
      </c>
      <c r="E1551" s="18">
        <f>IF($N1551&lt;&gt;"",IF(INDEX(PCCitrus,$N1551)="","—",INDEX(PCCitrus,$N1551)),"")</f>
        <v/>
      </c>
      <c r="F1551" s="19">
        <f>IF($N1551&lt;&gt;"",IF(INDEX(PCScale,$N1551)=0,"",INDEX(PCScale,$N1551)),"")</f>
        <v/>
      </c>
      <c r="G1551" s="19">
        <f>IF($N1551&lt;&gt;"",IF(INDEX(PCBaskets,$N1551)=0,"",INDEX(PCBaskets,$N1551)),"")</f>
        <v/>
      </c>
      <c r="H1551" s="20">
        <f>IF($N1551&lt;&gt;"",IF(INDEX(PCNet,$N1551)=0,"",INDEX(PCNet,$N1551)),"")</f>
        <v/>
      </c>
      <c r="I1551" s="19">
        <f>IF($N1551&lt;&gt;"",IF(INDEX(PCOp,$N1551)="مرجوعی خرید","",IF(INDEX(PCAmount,$N1551)&lt;=0,"",INDEX(PCAmount,$N1551))),IF($O1551&lt;&gt;"",IF(INDEX(TxnDepB,$O1551)=0,"",INDEX(TxnDepB,$O1551)),""))</f>
        <v/>
      </c>
      <c r="J1551" s="19">
        <f>IF($N1551&lt;&gt;"",IF(INDEX(PCOp,$N1551)="مرجوعی خرید",IF(INDEX(PCAmount,$N1551)=0,"",-INDEX(PCAmount,$N1551)),""),IF($O1551&lt;&gt;"",IF(INDEX(TxnWitB,$O1551)=0,"",INDEX(TxnWitB,$O1551)),""))</f>
        <v/>
      </c>
      <c r="K1551" s="21">
        <f>IF($B1551="","",IF($K1550="",$C$10,$K1550)+IF($I1551="",0,$I1551)-IF($J1551="",0,$J1551))</f>
        <v/>
      </c>
      <c r="L1551" s="22">
        <f>IF($N1551&lt;&gt;"",IF(INDEX(PCNotes,$N1551)="","—",INDEX(PCNotes,$N1551)),IF($O1551&lt;&gt;"",IF(INDEX(LdgNoteB,$O1551)="","—",INDEX(LdgNoteB,$O1551)),""))</f>
        <v/>
      </c>
      <c r="N1551">
        <f>IFERROR(MATCH($C$5&amp;"|"&amp;RIGHT("000000"&amp;1535,6),LdgRankKeyA,0),"")</f>
        <v/>
      </c>
      <c r="O1551">
        <f>IFERROR(MATCH($C$5&amp;"|"&amp;RIGHT("000000"&amp;1535,6),LdgRankKeyB,0),"")</f>
        <v/>
      </c>
    </row>
    <row r="1552">
      <c r="A1552" s="23" t="n">
        <v>1536</v>
      </c>
      <c r="B1552" s="24">
        <f>IF(AND($N1552="",$O1552=""),"",IF($N1552&lt;&gt;"",INDEX(PCNormDate,$N1552),INDEX(LdgDateB,$O1552)))</f>
        <v/>
      </c>
      <c r="C1552" s="24">
        <f>IF($N1552&lt;&gt;"",INDEX(PCOp,$N1552),IF($O1552&lt;&gt;"",IF(N(INDEX(TxnDepB,$O1552))&gt;0,"دریافت بانکی","پرداخت بانکی"),""))</f>
        <v/>
      </c>
      <c r="D1552" s="24">
        <f>IF($N1552&lt;&gt;"",IF(INDEX(PCDoc,$N1552)="","—",INDEX(PCDoc,$N1552)),IF($O1552&lt;&gt;"",INDEX(LdgBankB,$O1552),""))</f>
        <v/>
      </c>
      <c r="E1552" s="24">
        <f>IF($N1552&lt;&gt;"",IF(INDEX(PCCitrus,$N1552)="","—",INDEX(PCCitrus,$N1552)),"")</f>
        <v/>
      </c>
      <c r="F1552" s="25">
        <f>IF($N1552&lt;&gt;"",IF(INDEX(PCScale,$N1552)=0,"",INDEX(PCScale,$N1552)),"")</f>
        <v/>
      </c>
      <c r="G1552" s="25">
        <f>IF($N1552&lt;&gt;"",IF(INDEX(PCBaskets,$N1552)=0,"",INDEX(PCBaskets,$N1552)),"")</f>
        <v/>
      </c>
      <c r="H1552" s="26">
        <f>IF($N1552&lt;&gt;"",IF(INDEX(PCNet,$N1552)=0,"",INDEX(PCNet,$N1552)),"")</f>
        <v/>
      </c>
      <c r="I1552" s="25">
        <f>IF($N1552&lt;&gt;"",IF(INDEX(PCOp,$N1552)="مرجوعی خرید","",IF(INDEX(PCAmount,$N1552)&lt;=0,"",INDEX(PCAmount,$N1552))),IF($O1552&lt;&gt;"",IF(INDEX(TxnDepB,$O1552)=0,"",INDEX(TxnDepB,$O1552)),""))</f>
        <v/>
      </c>
      <c r="J1552" s="25">
        <f>IF($N1552&lt;&gt;"",IF(INDEX(PCOp,$N1552)="مرجوعی خرید",IF(INDEX(PCAmount,$N1552)=0,"",-INDEX(PCAmount,$N1552)),""),IF($O1552&lt;&gt;"",IF(INDEX(TxnWitB,$O1552)=0,"",INDEX(TxnWitB,$O1552)),""))</f>
        <v/>
      </c>
      <c r="K1552" s="27">
        <f>IF($B1552="","",IF($K1551="",$C$10,$K1551)+IF($I1552="",0,$I1552)-IF($J1552="",0,$J1552))</f>
        <v/>
      </c>
      <c r="L1552" s="28">
        <f>IF($N1552&lt;&gt;"",IF(INDEX(PCNotes,$N1552)="","—",INDEX(PCNotes,$N1552)),IF($O1552&lt;&gt;"",IF(INDEX(LdgNoteB,$O1552)="","—",INDEX(LdgNoteB,$O1552)),""))</f>
        <v/>
      </c>
      <c r="N1552">
        <f>IFERROR(MATCH($C$5&amp;"|"&amp;RIGHT("000000"&amp;1536,6),LdgRankKeyA,0),"")</f>
        <v/>
      </c>
      <c r="O1552">
        <f>IFERROR(MATCH($C$5&amp;"|"&amp;RIGHT("000000"&amp;1536,6),LdgRankKeyB,0),"")</f>
        <v/>
      </c>
    </row>
    <row r="1553">
      <c r="A1553" s="17" t="n">
        <v>1537</v>
      </c>
      <c r="B1553" s="18">
        <f>IF(AND($N1553="",$O1553=""),"",IF($N1553&lt;&gt;"",INDEX(PCNormDate,$N1553),INDEX(LdgDateB,$O1553)))</f>
        <v/>
      </c>
      <c r="C1553" s="18">
        <f>IF($N1553&lt;&gt;"",INDEX(PCOp,$N1553),IF($O1553&lt;&gt;"",IF(N(INDEX(TxnDepB,$O1553))&gt;0,"دریافت بانکی","پرداخت بانکی"),""))</f>
        <v/>
      </c>
      <c r="D1553" s="18">
        <f>IF($N1553&lt;&gt;"",IF(INDEX(PCDoc,$N1553)="","—",INDEX(PCDoc,$N1553)),IF($O1553&lt;&gt;"",INDEX(LdgBankB,$O1553),""))</f>
        <v/>
      </c>
      <c r="E1553" s="18">
        <f>IF($N1553&lt;&gt;"",IF(INDEX(PCCitrus,$N1553)="","—",INDEX(PCCitrus,$N1553)),"")</f>
        <v/>
      </c>
      <c r="F1553" s="19">
        <f>IF($N1553&lt;&gt;"",IF(INDEX(PCScale,$N1553)=0,"",INDEX(PCScale,$N1553)),"")</f>
        <v/>
      </c>
      <c r="G1553" s="19">
        <f>IF($N1553&lt;&gt;"",IF(INDEX(PCBaskets,$N1553)=0,"",INDEX(PCBaskets,$N1553)),"")</f>
        <v/>
      </c>
      <c r="H1553" s="20">
        <f>IF($N1553&lt;&gt;"",IF(INDEX(PCNet,$N1553)=0,"",INDEX(PCNet,$N1553)),"")</f>
        <v/>
      </c>
      <c r="I1553" s="19">
        <f>IF($N1553&lt;&gt;"",IF(INDEX(PCOp,$N1553)="مرجوعی خرید","",IF(INDEX(PCAmount,$N1553)&lt;=0,"",INDEX(PCAmount,$N1553))),IF($O1553&lt;&gt;"",IF(INDEX(TxnDepB,$O1553)=0,"",INDEX(TxnDepB,$O1553)),""))</f>
        <v/>
      </c>
      <c r="J1553" s="19">
        <f>IF($N1553&lt;&gt;"",IF(INDEX(PCOp,$N1553)="مرجوعی خرید",IF(INDEX(PCAmount,$N1553)=0,"",-INDEX(PCAmount,$N1553)),""),IF($O1553&lt;&gt;"",IF(INDEX(TxnWitB,$O1553)=0,"",INDEX(TxnWitB,$O1553)),""))</f>
        <v/>
      </c>
      <c r="K1553" s="21">
        <f>IF($B1553="","",IF($K1552="",$C$10,$K1552)+IF($I1553="",0,$I1553)-IF($J1553="",0,$J1553))</f>
        <v/>
      </c>
      <c r="L1553" s="22">
        <f>IF($N1553&lt;&gt;"",IF(INDEX(PCNotes,$N1553)="","—",INDEX(PCNotes,$N1553)),IF($O1553&lt;&gt;"",IF(INDEX(LdgNoteB,$O1553)="","—",INDEX(LdgNoteB,$O1553)),""))</f>
        <v/>
      </c>
      <c r="N1553">
        <f>IFERROR(MATCH($C$5&amp;"|"&amp;RIGHT("000000"&amp;1537,6),LdgRankKeyA,0),"")</f>
        <v/>
      </c>
      <c r="O1553">
        <f>IFERROR(MATCH($C$5&amp;"|"&amp;RIGHT("000000"&amp;1537,6),LdgRankKeyB,0),"")</f>
        <v/>
      </c>
    </row>
    <row r="1554">
      <c r="A1554" s="23" t="n">
        <v>1538</v>
      </c>
      <c r="B1554" s="24">
        <f>IF(AND($N1554="",$O1554=""),"",IF($N1554&lt;&gt;"",INDEX(PCNormDate,$N1554),INDEX(LdgDateB,$O1554)))</f>
        <v/>
      </c>
      <c r="C1554" s="24">
        <f>IF($N1554&lt;&gt;"",INDEX(PCOp,$N1554),IF($O1554&lt;&gt;"",IF(N(INDEX(TxnDepB,$O1554))&gt;0,"دریافت بانکی","پرداخت بانکی"),""))</f>
        <v/>
      </c>
      <c r="D1554" s="24">
        <f>IF($N1554&lt;&gt;"",IF(INDEX(PCDoc,$N1554)="","—",INDEX(PCDoc,$N1554)),IF($O1554&lt;&gt;"",INDEX(LdgBankB,$O1554),""))</f>
        <v/>
      </c>
      <c r="E1554" s="24">
        <f>IF($N1554&lt;&gt;"",IF(INDEX(PCCitrus,$N1554)="","—",INDEX(PCCitrus,$N1554)),"")</f>
        <v/>
      </c>
      <c r="F1554" s="25">
        <f>IF($N1554&lt;&gt;"",IF(INDEX(PCScale,$N1554)=0,"",INDEX(PCScale,$N1554)),"")</f>
        <v/>
      </c>
      <c r="G1554" s="25">
        <f>IF($N1554&lt;&gt;"",IF(INDEX(PCBaskets,$N1554)=0,"",INDEX(PCBaskets,$N1554)),"")</f>
        <v/>
      </c>
      <c r="H1554" s="26">
        <f>IF($N1554&lt;&gt;"",IF(INDEX(PCNet,$N1554)=0,"",INDEX(PCNet,$N1554)),"")</f>
        <v/>
      </c>
      <c r="I1554" s="25">
        <f>IF($N1554&lt;&gt;"",IF(INDEX(PCOp,$N1554)="مرجوعی خرید","",IF(INDEX(PCAmount,$N1554)&lt;=0,"",INDEX(PCAmount,$N1554))),IF($O1554&lt;&gt;"",IF(INDEX(TxnDepB,$O1554)=0,"",INDEX(TxnDepB,$O1554)),""))</f>
        <v/>
      </c>
      <c r="J1554" s="25">
        <f>IF($N1554&lt;&gt;"",IF(INDEX(PCOp,$N1554)="مرجوعی خرید",IF(INDEX(PCAmount,$N1554)=0,"",-INDEX(PCAmount,$N1554)),""),IF($O1554&lt;&gt;"",IF(INDEX(TxnWitB,$O1554)=0,"",INDEX(TxnWitB,$O1554)),""))</f>
        <v/>
      </c>
      <c r="K1554" s="27">
        <f>IF($B1554="","",IF($K1553="",$C$10,$K1553)+IF($I1554="",0,$I1554)-IF($J1554="",0,$J1554))</f>
        <v/>
      </c>
      <c r="L1554" s="28">
        <f>IF($N1554&lt;&gt;"",IF(INDEX(PCNotes,$N1554)="","—",INDEX(PCNotes,$N1554)),IF($O1554&lt;&gt;"",IF(INDEX(LdgNoteB,$O1554)="","—",INDEX(LdgNoteB,$O1554)),""))</f>
        <v/>
      </c>
      <c r="N1554">
        <f>IFERROR(MATCH($C$5&amp;"|"&amp;RIGHT("000000"&amp;1538,6),LdgRankKeyA,0),"")</f>
        <v/>
      </c>
      <c r="O1554">
        <f>IFERROR(MATCH($C$5&amp;"|"&amp;RIGHT("000000"&amp;1538,6),LdgRankKeyB,0),"")</f>
        <v/>
      </c>
    </row>
    <row r="1555">
      <c r="A1555" s="17" t="n">
        <v>1539</v>
      </c>
      <c r="B1555" s="18">
        <f>IF(AND($N1555="",$O1555=""),"",IF($N1555&lt;&gt;"",INDEX(PCNormDate,$N1555),INDEX(LdgDateB,$O1555)))</f>
        <v/>
      </c>
      <c r="C1555" s="18">
        <f>IF($N1555&lt;&gt;"",INDEX(PCOp,$N1555),IF($O1555&lt;&gt;"",IF(N(INDEX(TxnDepB,$O1555))&gt;0,"دریافت بانکی","پرداخت بانکی"),""))</f>
        <v/>
      </c>
      <c r="D1555" s="18">
        <f>IF($N1555&lt;&gt;"",IF(INDEX(PCDoc,$N1555)="","—",INDEX(PCDoc,$N1555)),IF($O1555&lt;&gt;"",INDEX(LdgBankB,$O1555),""))</f>
        <v/>
      </c>
      <c r="E1555" s="18">
        <f>IF($N1555&lt;&gt;"",IF(INDEX(PCCitrus,$N1555)="","—",INDEX(PCCitrus,$N1555)),"")</f>
        <v/>
      </c>
      <c r="F1555" s="19">
        <f>IF($N1555&lt;&gt;"",IF(INDEX(PCScale,$N1555)=0,"",INDEX(PCScale,$N1555)),"")</f>
        <v/>
      </c>
      <c r="G1555" s="19">
        <f>IF($N1555&lt;&gt;"",IF(INDEX(PCBaskets,$N1555)=0,"",INDEX(PCBaskets,$N1555)),"")</f>
        <v/>
      </c>
      <c r="H1555" s="20">
        <f>IF($N1555&lt;&gt;"",IF(INDEX(PCNet,$N1555)=0,"",INDEX(PCNet,$N1555)),"")</f>
        <v/>
      </c>
      <c r="I1555" s="19">
        <f>IF($N1555&lt;&gt;"",IF(INDEX(PCOp,$N1555)="مرجوعی خرید","",IF(INDEX(PCAmount,$N1555)&lt;=0,"",INDEX(PCAmount,$N1555))),IF($O1555&lt;&gt;"",IF(INDEX(TxnDepB,$O1555)=0,"",INDEX(TxnDepB,$O1555)),""))</f>
        <v/>
      </c>
      <c r="J1555" s="19">
        <f>IF($N1555&lt;&gt;"",IF(INDEX(PCOp,$N1555)="مرجوعی خرید",IF(INDEX(PCAmount,$N1555)=0,"",-INDEX(PCAmount,$N1555)),""),IF($O1555&lt;&gt;"",IF(INDEX(TxnWitB,$O1555)=0,"",INDEX(TxnWitB,$O1555)),""))</f>
        <v/>
      </c>
      <c r="K1555" s="21">
        <f>IF($B1555="","",IF($K1554="",$C$10,$K1554)+IF($I1555="",0,$I1555)-IF($J1555="",0,$J1555))</f>
        <v/>
      </c>
      <c r="L1555" s="22">
        <f>IF($N1555&lt;&gt;"",IF(INDEX(PCNotes,$N1555)="","—",INDEX(PCNotes,$N1555)),IF($O1555&lt;&gt;"",IF(INDEX(LdgNoteB,$O1555)="","—",INDEX(LdgNoteB,$O1555)),""))</f>
        <v/>
      </c>
      <c r="N1555">
        <f>IFERROR(MATCH($C$5&amp;"|"&amp;RIGHT("000000"&amp;1539,6),LdgRankKeyA,0),"")</f>
        <v/>
      </c>
      <c r="O1555">
        <f>IFERROR(MATCH($C$5&amp;"|"&amp;RIGHT("000000"&amp;1539,6),LdgRankKeyB,0),"")</f>
        <v/>
      </c>
    </row>
    <row r="1556">
      <c r="A1556" s="23" t="n">
        <v>1540</v>
      </c>
      <c r="B1556" s="24">
        <f>IF(AND($N1556="",$O1556=""),"",IF($N1556&lt;&gt;"",INDEX(PCNormDate,$N1556),INDEX(LdgDateB,$O1556)))</f>
        <v/>
      </c>
      <c r="C1556" s="24">
        <f>IF($N1556&lt;&gt;"",INDEX(PCOp,$N1556),IF($O1556&lt;&gt;"",IF(N(INDEX(TxnDepB,$O1556))&gt;0,"دریافت بانکی","پرداخت بانکی"),""))</f>
        <v/>
      </c>
      <c r="D1556" s="24">
        <f>IF($N1556&lt;&gt;"",IF(INDEX(PCDoc,$N1556)="","—",INDEX(PCDoc,$N1556)),IF($O1556&lt;&gt;"",INDEX(LdgBankB,$O1556),""))</f>
        <v/>
      </c>
      <c r="E1556" s="24">
        <f>IF($N1556&lt;&gt;"",IF(INDEX(PCCitrus,$N1556)="","—",INDEX(PCCitrus,$N1556)),"")</f>
        <v/>
      </c>
      <c r="F1556" s="25">
        <f>IF($N1556&lt;&gt;"",IF(INDEX(PCScale,$N1556)=0,"",INDEX(PCScale,$N1556)),"")</f>
        <v/>
      </c>
      <c r="G1556" s="25">
        <f>IF($N1556&lt;&gt;"",IF(INDEX(PCBaskets,$N1556)=0,"",INDEX(PCBaskets,$N1556)),"")</f>
        <v/>
      </c>
      <c r="H1556" s="26">
        <f>IF($N1556&lt;&gt;"",IF(INDEX(PCNet,$N1556)=0,"",INDEX(PCNet,$N1556)),"")</f>
        <v/>
      </c>
      <c r="I1556" s="25">
        <f>IF($N1556&lt;&gt;"",IF(INDEX(PCOp,$N1556)="مرجوعی خرید","",IF(INDEX(PCAmount,$N1556)&lt;=0,"",INDEX(PCAmount,$N1556))),IF($O1556&lt;&gt;"",IF(INDEX(TxnDepB,$O1556)=0,"",INDEX(TxnDepB,$O1556)),""))</f>
        <v/>
      </c>
      <c r="J1556" s="25">
        <f>IF($N1556&lt;&gt;"",IF(INDEX(PCOp,$N1556)="مرجوعی خرید",IF(INDEX(PCAmount,$N1556)=0,"",-INDEX(PCAmount,$N1556)),""),IF($O1556&lt;&gt;"",IF(INDEX(TxnWitB,$O1556)=0,"",INDEX(TxnWitB,$O1556)),""))</f>
        <v/>
      </c>
      <c r="K1556" s="27">
        <f>IF($B1556="","",IF($K1555="",$C$10,$K1555)+IF($I1556="",0,$I1556)-IF($J1556="",0,$J1556))</f>
        <v/>
      </c>
      <c r="L1556" s="28">
        <f>IF($N1556&lt;&gt;"",IF(INDEX(PCNotes,$N1556)="","—",INDEX(PCNotes,$N1556)),IF($O1556&lt;&gt;"",IF(INDEX(LdgNoteB,$O1556)="","—",INDEX(LdgNoteB,$O1556)),""))</f>
        <v/>
      </c>
      <c r="N1556">
        <f>IFERROR(MATCH($C$5&amp;"|"&amp;RIGHT("000000"&amp;1540,6),LdgRankKeyA,0),"")</f>
        <v/>
      </c>
      <c r="O1556">
        <f>IFERROR(MATCH($C$5&amp;"|"&amp;RIGHT("000000"&amp;1540,6),LdgRankKeyB,0),"")</f>
        <v/>
      </c>
    </row>
    <row r="1557">
      <c r="A1557" s="17" t="n">
        <v>1541</v>
      </c>
      <c r="B1557" s="18">
        <f>IF(AND($N1557="",$O1557=""),"",IF($N1557&lt;&gt;"",INDEX(PCNormDate,$N1557),INDEX(LdgDateB,$O1557)))</f>
        <v/>
      </c>
      <c r="C1557" s="18">
        <f>IF($N1557&lt;&gt;"",INDEX(PCOp,$N1557),IF($O1557&lt;&gt;"",IF(N(INDEX(TxnDepB,$O1557))&gt;0,"دریافت بانکی","پرداخت بانکی"),""))</f>
        <v/>
      </c>
      <c r="D1557" s="18">
        <f>IF($N1557&lt;&gt;"",IF(INDEX(PCDoc,$N1557)="","—",INDEX(PCDoc,$N1557)),IF($O1557&lt;&gt;"",INDEX(LdgBankB,$O1557),""))</f>
        <v/>
      </c>
      <c r="E1557" s="18">
        <f>IF($N1557&lt;&gt;"",IF(INDEX(PCCitrus,$N1557)="","—",INDEX(PCCitrus,$N1557)),"")</f>
        <v/>
      </c>
      <c r="F1557" s="19">
        <f>IF($N1557&lt;&gt;"",IF(INDEX(PCScale,$N1557)=0,"",INDEX(PCScale,$N1557)),"")</f>
        <v/>
      </c>
      <c r="G1557" s="19">
        <f>IF($N1557&lt;&gt;"",IF(INDEX(PCBaskets,$N1557)=0,"",INDEX(PCBaskets,$N1557)),"")</f>
        <v/>
      </c>
      <c r="H1557" s="20">
        <f>IF($N1557&lt;&gt;"",IF(INDEX(PCNet,$N1557)=0,"",INDEX(PCNet,$N1557)),"")</f>
        <v/>
      </c>
      <c r="I1557" s="19">
        <f>IF($N1557&lt;&gt;"",IF(INDEX(PCOp,$N1557)="مرجوعی خرید","",IF(INDEX(PCAmount,$N1557)&lt;=0,"",INDEX(PCAmount,$N1557))),IF($O1557&lt;&gt;"",IF(INDEX(TxnDepB,$O1557)=0,"",INDEX(TxnDepB,$O1557)),""))</f>
        <v/>
      </c>
      <c r="J1557" s="19">
        <f>IF($N1557&lt;&gt;"",IF(INDEX(PCOp,$N1557)="مرجوعی خرید",IF(INDEX(PCAmount,$N1557)=0,"",-INDEX(PCAmount,$N1557)),""),IF($O1557&lt;&gt;"",IF(INDEX(TxnWitB,$O1557)=0,"",INDEX(TxnWitB,$O1557)),""))</f>
        <v/>
      </c>
      <c r="K1557" s="21">
        <f>IF($B1557="","",IF($K1556="",$C$10,$K1556)+IF($I1557="",0,$I1557)-IF($J1557="",0,$J1557))</f>
        <v/>
      </c>
      <c r="L1557" s="22">
        <f>IF($N1557&lt;&gt;"",IF(INDEX(PCNotes,$N1557)="","—",INDEX(PCNotes,$N1557)),IF($O1557&lt;&gt;"",IF(INDEX(LdgNoteB,$O1557)="","—",INDEX(LdgNoteB,$O1557)),""))</f>
        <v/>
      </c>
      <c r="N1557">
        <f>IFERROR(MATCH($C$5&amp;"|"&amp;RIGHT("000000"&amp;1541,6),LdgRankKeyA,0),"")</f>
        <v/>
      </c>
      <c r="O1557">
        <f>IFERROR(MATCH($C$5&amp;"|"&amp;RIGHT("000000"&amp;1541,6),LdgRankKeyB,0),"")</f>
        <v/>
      </c>
    </row>
    <row r="1558">
      <c r="A1558" s="23" t="n">
        <v>1542</v>
      </c>
      <c r="B1558" s="24">
        <f>IF(AND($N1558="",$O1558=""),"",IF($N1558&lt;&gt;"",INDEX(PCNormDate,$N1558),INDEX(LdgDateB,$O1558)))</f>
        <v/>
      </c>
      <c r="C1558" s="24">
        <f>IF($N1558&lt;&gt;"",INDEX(PCOp,$N1558),IF($O1558&lt;&gt;"",IF(N(INDEX(TxnDepB,$O1558))&gt;0,"دریافت بانکی","پرداخت بانکی"),""))</f>
        <v/>
      </c>
      <c r="D1558" s="24">
        <f>IF($N1558&lt;&gt;"",IF(INDEX(PCDoc,$N1558)="","—",INDEX(PCDoc,$N1558)),IF($O1558&lt;&gt;"",INDEX(LdgBankB,$O1558),""))</f>
        <v/>
      </c>
      <c r="E1558" s="24">
        <f>IF($N1558&lt;&gt;"",IF(INDEX(PCCitrus,$N1558)="","—",INDEX(PCCitrus,$N1558)),"")</f>
        <v/>
      </c>
      <c r="F1558" s="25">
        <f>IF($N1558&lt;&gt;"",IF(INDEX(PCScale,$N1558)=0,"",INDEX(PCScale,$N1558)),"")</f>
        <v/>
      </c>
      <c r="G1558" s="25">
        <f>IF($N1558&lt;&gt;"",IF(INDEX(PCBaskets,$N1558)=0,"",INDEX(PCBaskets,$N1558)),"")</f>
        <v/>
      </c>
      <c r="H1558" s="26">
        <f>IF($N1558&lt;&gt;"",IF(INDEX(PCNet,$N1558)=0,"",INDEX(PCNet,$N1558)),"")</f>
        <v/>
      </c>
      <c r="I1558" s="25">
        <f>IF($N1558&lt;&gt;"",IF(INDEX(PCOp,$N1558)="مرجوعی خرید","",IF(INDEX(PCAmount,$N1558)&lt;=0,"",INDEX(PCAmount,$N1558))),IF($O1558&lt;&gt;"",IF(INDEX(TxnDepB,$O1558)=0,"",INDEX(TxnDepB,$O1558)),""))</f>
        <v/>
      </c>
      <c r="J1558" s="25">
        <f>IF($N1558&lt;&gt;"",IF(INDEX(PCOp,$N1558)="مرجوعی خرید",IF(INDEX(PCAmount,$N1558)=0,"",-INDEX(PCAmount,$N1558)),""),IF($O1558&lt;&gt;"",IF(INDEX(TxnWitB,$O1558)=0,"",INDEX(TxnWitB,$O1558)),""))</f>
        <v/>
      </c>
      <c r="K1558" s="27">
        <f>IF($B1558="","",IF($K1557="",$C$10,$K1557)+IF($I1558="",0,$I1558)-IF($J1558="",0,$J1558))</f>
        <v/>
      </c>
      <c r="L1558" s="28">
        <f>IF($N1558&lt;&gt;"",IF(INDEX(PCNotes,$N1558)="","—",INDEX(PCNotes,$N1558)),IF($O1558&lt;&gt;"",IF(INDEX(LdgNoteB,$O1558)="","—",INDEX(LdgNoteB,$O1558)),""))</f>
        <v/>
      </c>
      <c r="N1558">
        <f>IFERROR(MATCH($C$5&amp;"|"&amp;RIGHT("000000"&amp;1542,6),LdgRankKeyA,0),"")</f>
        <v/>
      </c>
      <c r="O1558">
        <f>IFERROR(MATCH($C$5&amp;"|"&amp;RIGHT("000000"&amp;1542,6),LdgRankKeyB,0),"")</f>
        <v/>
      </c>
    </row>
    <row r="1559">
      <c r="A1559" s="17" t="n">
        <v>1543</v>
      </c>
      <c r="B1559" s="18">
        <f>IF(AND($N1559="",$O1559=""),"",IF($N1559&lt;&gt;"",INDEX(PCNormDate,$N1559),INDEX(LdgDateB,$O1559)))</f>
        <v/>
      </c>
      <c r="C1559" s="18">
        <f>IF($N1559&lt;&gt;"",INDEX(PCOp,$N1559),IF($O1559&lt;&gt;"",IF(N(INDEX(TxnDepB,$O1559))&gt;0,"دریافت بانکی","پرداخت بانکی"),""))</f>
        <v/>
      </c>
      <c r="D1559" s="18">
        <f>IF($N1559&lt;&gt;"",IF(INDEX(PCDoc,$N1559)="","—",INDEX(PCDoc,$N1559)),IF($O1559&lt;&gt;"",INDEX(LdgBankB,$O1559),""))</f>
        <v/>
      </c>
      <c r="E1559" s="18">
        <f>IF($N1559&lt;&gt;"",IF(INDEX(PCCitrus,$N1559)="","—",INDEX(PCCitrus,$N1559)),"")</f>
        <v/>
      </c>
      <c r="F1559" s="19">
        <f>IF($N1559&lt;&gt;"",IF(INDEX(PCScale,$N1559)=0,"",INDEX(PCScale,$N1559)),"")</f>
        <v/>
      </c>
      <c r="G1559" s="19">
        <f>IF($N1559&lt;&gt;"",IF(INDEX(PCBaskets,$N1559)=0,"",INDEX(PCBaskets,$N1559)),"")</f>
        <v/>
      </c>
      <c r="H1559" s="20">
        <f>IF($N1559&lt;&gt;"",IF(INDEX(PCNet,$N1559)=0,"",INDEX(PCNet,$N1559)),"")</f>
        <v/>
      </c>
      <c r="I1559" s="19">
        <f>IF($N1559&lt;&gt;"",IF(INDEX(PCOp,$N1559)="مرجوعی خرید","",IF(INDEX(PCAmount,$N1559)&lt;=0,"",INDEX(PCAmount,$N1559))),IF($O1559&lt;&gt;"",IF(INDEX(TxnDepB,$O1559)=0,"",INDEX(TxnDepB,$O1559)),""))</f>
        <v/>
      </c>
      <c r="J1559" s="19">
        <f>IF($N1559&lt;&gt;"",IF(INDEX(PCOp,$N1559)="مرجوعی خرید",IF(INDEX(PCAmount,$N1559)=0,"",-INDEX(PCAmount,$N1559)),""),IF($O1559&lt;&gt;"",IF(INDEX(TxnWitB,$O1559)=0,"",INDEX(TxnWitB,$O1559)),""))</f>
        <v/>
      </c>
      <c r="K1559" s="21">
        <f>IF($B1559="","",IF($K1558="",$C$10,$K1558)+IF($I1559="",0,$I1559)-IF($J1559="",0,$J1559))</f>
        <v/>
      </c>
      <c r="L1559" s="22">
        <f>IF($N1559&lt;&gt;"",IF(INDEX(PCNotes,$N1559)="","—",INDEX(PCNotes,$N1559)),IF($O1559&lt;&gt;"",IF(INDEX(LdgNoteB,$O1559)="","—",INDEX(LdgNoteB,$O1559)),""))</f>
        <v/>
      </c>
      <c r="N1559">
        <f>IFERROR(MATCH($C$5&amp;"|"&amp;RIGHT("000000"&amp;1543,6),LdgRankKeyA,0),"")</f>
        <v/>
      </c>
      <c r="O1559">
        <f>IFERROR(MATCH($C$5&amp;"|"&amp;RIGHT("000000"&amp;1543,6),LdgRankKeyB,0),"")</f>
        <v/>
      </c>
    </row>
    <row r="1560">
      <c r="A1560" s="23" t="n">
        <v>1544</v>
      </c>
      <c r="B1560" s="24">
        <f>IF(AND($N1560="",$O1560=""),"",IF($N1560&lt;&gt;"",INDEX(PCNormDate,$N1560),INDEX(LdgDateB,$O1560)))</f>
        <v/>
      </c>
      <c r="C1560" s="24">
        <f>IF($N1560&lt;&gt;"",INDEX(PCOp,$N1560),IF($O1560&lt;&gt;"",IF(N(INDEX(TxnDepB,$O1560))&gt;0,"دریافت بانکی","پرداخت بانکی"),""))</f>
        <v/>
      </c>
      <c r="D1560" s="24">
        <f>IF($N1560&lt;&gt;"",IF(INDEX(PCDoc,$N1560)="","—",INDEX(PCDoc,$N1560)),IF($O1560&lt;&gt;"",INDEX(LdgBankB,$O1560),""))</f>
        <v/>
      </c>
      <c r="E1560" s="24">
        <f>IF($N1560&lt;&gt;"",IF(INDEX(PCCitrus,$N1560)="","—",INDEX(PCCitrus,$N1560)),"")</f>
        <v/>
      </c>
      <c r="F1560" s="25">
        <f>IF($N1560&lt;&gt;"",IF(INDEX(PCScale,$N1560)=0,"",INDEX(PCScale,$N1560)),"")</f>
        <v/>
      </c>
      <c r="G1560" s="25">
        <f>IF($N1560&lt;&gt;"",IF(INDEX(PCBaskets,$N1560)=0,"",INDEX(PCBaskets,$N1560)),"")</f>
        <v/>
      </c>
      <c r="H1560" s="26">
        <f>IF($N1560&lt;&gt;"",IF(INDEX(PCNet,$N1560)=0,"",INDEX(PCNet,$N1560)),"")</f>
        <v/>
      </c>
      <c r="I1560" s="25">
        <f>IF($N1560&lt;&gt;"",IF(INDEX(PCOp,$N1560)="مرجوعی خرید","",IF(INDEX(PCAmount,$N1560)&lt;=0,"",INDEX(PCAmount,$N1560))),IF($O1560&lt;&gt;"",IF(INDEX(TxnDepB,$O1560)=0,"",INDEX(TxnDepB,$O1560)),""))</f>
        <v/>
      </c>
      <c r="J1560" s="25">
        <f>IF($N1560&lt;&gt;"",IF(INDEX(PCOp,$N1560)="مرجوعی خرید",IF(INDEX(PCAmount,$N1560)=0,"",-INDEX(PCAmount,$N1560)),""),IF($O1560&lt;&gt;"",IF(INDEX(TxnWitB,$O1560)=0,"",INDEX(TxnWitB,$O1560)),""))</f>
        <v/>
      </c>
      <c r="K1560" s="27">
        <f>IF($B1560="","",IF($K1559="",$C$10,$K1559)+IF($I1560="",0,$I1560)-IF($J1560="",0,$J1560))</f>
        <v/>
      </c>
      <c r="L1560" s="28">
        <f>IF($N1560&lt;&gt;"",IF(INDEX(PCNotes,$N1560)="","—",INDEX(PCNotes,$N1560)),IF($O1560&lt;&gt;"",IF(INDEX(LdgNoteB,$O1560)="","—",INDEX(LdgNoteB,$O1560)),""))</f>
        <v/>
      </c>
      <c r="N1560">
        <f>IFERROR(MATCH($C$5&amp;"|"&amp;RIGHT("000000"&amp;1544,6),LdgRankKeyA,0),"")</f>
        <v/>
      </c>
      <c r="O1560">
        <f>IFERROR(MATCH($C$5&amp;"|"&amp;RIGHT("000000"&amp;1544,6),LdgRankKeyB,0),"")</f>
        <v/>
      </c>
    </row>
    <row r="1561">
      <c r="A1561" s="17" t="n">
        <v>1545</v>
      </c>
      <c r="B1561" s="18">
        <f>IF(AND($N1561="",$O1561=""),"",IF($N1561&lt;&gt;"",INDEX(PCNormDate,$N1561),INDEX(LdgDateB,$O1561)))</f>
        <v/>
      </c>
      <c r="C1561" s="18">
        <f>IF($N1561&lt;&gt;"",INDEX(PCOp,$N1561),IF($O1561&lt;&gt;"",IF(N(INDEX(TxnDepB,$O1561))&gt;0,"دریافت بانکی","پرداخت بانکی"),""))</f>
        <v/>
      </c>
      <c r="D1561" s="18">
        <f>IF($N1561&lt;&gt;"",IF(INDEX(PCDoc,$N1561)="","—",INDEX(PCDoc,$N1561)),IF($O1561&lt;&gt;"",INDEX(LdgBankB,$O1561),""))</f>
        <v/>
      </c>
      <c r="E1561" s="18">
        <f>IF($N1561&lt;&gt;"",IF(INDEX(PCCitrus,$N1561)="","—",INDEX(PCCitrus,$N1561)),"")</f>
        <v/>
      </c>
      <c r="F1561" s="19">
        <f>IF($N1561&lt;&gt;"",IF(INDEX(PCScale,$N1561)=0,"",INDEX(PCScale,$N1561)),"")</f>
        <v/>
      </c>
      <c r="G1561" s="19">
        <f>IF($N1561&lt;&gt;"",IF(INDEX(PCBaskets,$N1561)=0,"",INDEX(PCBaskets,$N1561)),"")</f>
        <v/>
      </c>
      <c r="H1561" s="20">
        <f>IF($N1561&lt;&gt;"",IF(INDEX(PCNet,$N1561)=0,"",INDEX(PCNet,$N1561)),"")</f>
        <v/>
      </c>
      <c r="I1561" s="19">
        <f>IF($N1561&lt;&gt;"",IF(INDEX(PCOp,$N1561)="مرجوعی خرید","",IF(INDEX(PCAmount,$N1561)&lt;=0,"",INDEX(PCAmount,$N1561))),IF($O1561&lt;&gt;"",IF(INDEX(TxnDepB,$O1561)=0,"",INDEX(TxnDepB,$O1561)),""))</f>
        <v/>
      </c>
      <c r="J1561" s="19">
        <f>IF($N1561&lt;&gt;"",IF(INDEX(PCOp,$N1561)="مرجوعی خرید",IF(INDEX(PCAmount,$N1561)=0,"",-INDEX(PCAmount,$N1561)),""),IF($O1561&lt;&gt;"",IF(INDEX(TxnWitB,$O1561)=0,"",INDEX(TxnWitB,$O1561)),""))</f>
        <v/>
      </c>
      <c r="K1561" s="21">
        <f>IF($B1561="","",IF($K1560="",$C$10,$K1560)+IF($I1561="",0,$I1561)-IF($J1561="",0,$J1561))</f>
        <v/>
      </c>
      <c r="L1561" s="22">
        <f>IF($N1561&lt;&gt;"",IF(INDEX(PCNotes,$N1561)="","—",INDEX(PCNotes,$N1561)),IF($O1561&lt;&gt;"",IF(INDEX(LdgNoteB,$O1561)="","—",INDEX(LdgNoteB,$O1561)),""))</f>
        <v/>
      </c>
      <c r="N1561">
        <f>IFERROR(MATCH($C$5&amp;"|"&amp;RIGHT("000000"&amp;1545,6),LdgRankKeyA,0),"")</f>
        <v/>
      </c>
      <c r="O1561">
        <f>IFERROR(MATCH($C$5&amp;"|"&amp;RIGHT("000000"&amp;1545,6),LdgRankKeyB,0),"")</f>
        <v/>
      </c>
    </row>
    <row r="1562">
      <c r="A1562" s="23" t="n">
        <v>1546</v>
      </c>
      <c r="B1562" s="24">
        <f>IF(AND($N1562="",$O1562=""),"",IF($N1562&lt;&gt;"",INDEX(PCNormDate,$N1562),INDEX(LdgDateB,$O1562)))</f>
        <v/>
      </c>
      <c r="C1562" s="24">
        <f>IF($N1562&lt;&gt;"",INDEX(PCOp,$N1562),IF($O1562&lt;&gt;"",IF(N(INDEX(TxnDepB,$O1562))&gt;0,"دریافت بانکی","پرداخت بانکی"),""))</f>
        <v/>
      </c>
      <c r="D1562" s="24">
        <f>IF($N1562&lt;&gt;"",IF(INDEX(PCDoc,$N1562)="","—",INDEX(PCDoc,$N1562)),IF($O1562&lt;&gt;"",INDEX(LdgBankB,$O1562),""))</f>
        <v/>
      </c>
      <c r="E1562" s="24">
        <f>IF($N1562&lt;&gt;"",IF(INDEX(PCCitrus,$N1562)="","—",INDEX(PCCitrus,$N1562)),"")</f>
        <v/>
      </c>
      <c r="F1562" s="25">
        <f>IF($N1562&lt;&gt;"",IF(INDEX(PCScale,$N1562)=0,"",INDEX(PCScale,$N1562)),"")</f>
        <v/>
      </c>
      <c r="G1562" s="25">
        <f>IF($N1562&lt;&gt;"",IF(INDEX(PCBaskets,$N1562)=0,"",INDEX(PCBaskets,$N1562)),"")</f>
        <v/>
      </c>
      <c r="H1562" s="26">
        <f>IF($N1562&lt;&gt;"",IF(INDEX(PCNet,$N1562)=0,"",INDEX(PCNet,$N1562)),"")</f>
        <v/>
      </c>
      <c r="I1562" s="25">
        <f>IF($N1562&lt;&gt;"",IF(INDEX(PCOp,$N1562)="مرجوعی خرید","",IF(INDEX(PCAmount,$N1562)&lt;=0,"",INDEX(PCAmount,$N1562))),IF($O1562&lt;&gt;"",IF(INDEX(TxnDepB,$O1562)=0,"",INDEX(TxnDepB,$O1562)),""))</f>
        <v/>
      </c>
      <c r="J1562" s="25">
        <f>IF($N1562&lt;&gt;"",IF(INDEX(PCOp,$N1562)="مرجوعی خرید",IF(INDEX(PCAmount,$N1562)=0,"",-INDEX(PCAmount,$N1562)),""),IF($O1562&lt;&gt;"",IF(INDEX(TxnWitB,$O1562)=0,"",INDEX(TxnWitB,$O1562)),""))</f>
        <v/>
      </c>
      <c r="K1562" s="27">
        <f>IF($B1562="","",IF($K1561="",$C$10,$K1561)+IF($I1562="",0,$I1562)-IF($J1562="",0,$J1562))</f>
        <v/>
      </c>
      <c r="L1562" s="28">
        <f>IF($N1562&lt;&gt;"",IF(INDEX(PCNotes,$N1562)="","—",INDEX(PCNotes,$N1562)),IF($O1562&lt;&gt;"",IF(INDEX(LdgNoteB,$O1562)="","—",INDEX(LdgNoteB,$O1562)),""))</f>
        <v/>
      </c>
      <c r="N1562">
        <f>IFERROR(MATCH($C$5&amp;"|"&amp;RIGHT("000000"&amp;1546,6),LdgRankKeyA,0),"")</f>
        <v/>
      </c>
      <c r="O1562">
        <f>IFERROR(MATCH($C$5&amp;"|"&amp;RIGHT("000000"&amp;1546,6),LdgRankKeyB,0),"")</f>
        <v/>
      </c>
    </row>
    <row r="1563">
      <c r="A1563" s="17" t="n">
        <v>1547</v>
      </c>
      <c r="B1563" s="18">
        <f>IF(AND($N1563="",$O1563=""),"",IF($N1563&lt;&gt;"",INDEX(PCNormDate,$N1563),INDEX(LdgDateB,$O1563)))</f>
        <v/>
      </c>
      <c r="C1563" s="18">
        <f>IF($N1563&lt;&gt;"",INDEX(PCOp,$N1563),IF($O1563&lt;&gt;"",IF(N(INDEX(TxnDepB,$O1563))&gt;0,"دریافت بانکی","پرداخت بانکی"),""))</f>
        <v/>
      </c>
      <c r="D1563" s="18">
        <f>IF($N1563&lt;&gt;"",IF(INDEX(PCDoc,$N1563)="","—",INDEX(PCDoc,$N1563)),IF($O1563&lt;&gt;"",INDEX(LdgBankB,$O1563),""))</f>
        <v/>
      </c>
      <c r="E1563" s="18">
        <f>IF($N1563&lt;&gt;"",IF(INDEX(PCCitrus,$N1563)="","—",INDEX(PCCitrus,$N1563)),"")</f>
        <v/>
      </c>
      <c r="F1563" s="19">
        <f>IF($N1563&lt;&gt;"",IF(INDEX(PCScale,$N1563)=0,"",INDEX(PCScale,$N1563)),"")</f>
        <v/>
      </c>
      <c r="G1563" s="19">
        <f>IF($N1563&lt;&gt;"",IF(INDEX(PCBaskets,$N1563)=0,"",INDEX(PCBaskets,$N1563)),"")</f>
        <v/>
      </c>
      <c r="H1563" s="20">
        <f>IF($N1563&lt;&gt;"",IF(INDEX(PCNet,$N1563)=0,"",INDEX(PCNet,$N1563)),"")</f>
        <v/>
      </c>
      <c r="I1563" s="19">
        <f>IF($N1563&lt;&gt;"",IF(INDEX(PCOp,$N1563)="مرجوعی خرید","",IF(INDEX(PCAmount,$N1563)&lt;=0,"",INDEX(PCAmount,$N1563))),IF($O1563&lt;&gt;"",IF(INDEX(TxnDepB,$O1563)=0,"",INDEX(TxnDepB,$O1563)),""))</f>
        <v/>
      </c>
      <c r="J1563" s="19">
        <f>IF($N1563&lt;&gt;"",IF(INDEX(PCOp,$N1563)="مرجوعی خرید",IF(INDEX(PCAmount,$N1563)=0,"",-INDEX(PCAmount,$N1563)),""),IF($O1563&lt;&gt;"",IF(INDEX(TxnWitB,$O1563)=0,"",INDEX(TxnWitB,$O1563)),""))</f>
        <v/>
      </c>
      <c r="K1563" s="21">
        <f>IF($B1563="","",IF($K1562="",$C$10,$K1562)+IF($I1563="",0,$I1563)-IF($J1563="",0,$J1563))</f>
        <v/>
      </c>
      <c r="L1563" s="22">
        <f>IF($N1563&lt;&gt;"",IF(INDEX(PCNotes,$N1563)="","—",INDEX(PCNotes,$N1563)),IF($O1563&lt;&gt;"",IF(INDEX(LdgNoteB,$O1563)="","—",INDEX(LdgNoteB,$O1563)),""))</f>
        <v/>
      </c>
      <c r="N1563">
        <f>IFERROR(MATCH($C$5&amp;"|"&amp;RIGHT("000000"&amp;1547,6),LdgRankKeyA,0),"")</f>
        <v/>
      </c>
      <c r="O1563">
        <f>IFERROR(MATCH($C$5&amp;"|"&amp;RIGHT("000000"&amp;1547,6),LdgRankKeyB,0),"")</f>
        <v/>
      </c>
    </row>
    <row r="1564">
      <c r="A1564" s="23" t="n">
        <v>1548</v>
      </c>
      <c r="B1564" s="24">
        <f>IF(AND($N1564="",$O1564=""),"",IF($N1564&lt;&gt;"",INDEX(PCNormDate,$N1564),INDEX(LdgDateB,$O1564)))</f>
        <v/>
      </c>
      <c r="C1564" s="24">
        <f>IF($N1564&lt;&gt;"",INDEX(PCOp,$N1564),IF($O1564&lt;&gt;"",IF(N(INDEX(TxnDepB,$O1564))&gt;0,"دریافت بانکی","پرداخت بانکی"),""))</f>
        <v/>
      </c>
      <c r="D1564" s="24">
        <f>IF($N1564&lt;&gt;"",IF(INDEX(PCDoc,$N1564)="","—",INDEX(PCDoc,$N1564)),IF($O1564&lt;&gt;"",INDEX(LdgBankB,$O1564),""))</f>
        <v/>
      </c>
      <c r="E1564" s="24">
        <f>IF($N1564&lt;&gt;"",IF(INDEX(PCCitrus,$N1564)="","—",INDEX(PCCitrus,$N1564)),"")</f>
        <v/>
      </c>
      <c r="F1564" s="25">
        <f>IF($N1564&lt;&gt;"",IF(INDEX(PCScale,$N1564)=0,"",INDEX(PCScale,$N1564)),"")</f>
        <v/>
      </c>
      <c r="G1564" s="25">
        <f>IF($N1564&lt;&gt;"",IF(INDEX(PCBaskets,$N1564)=0,"",INDEX(PCBaskets,$N1564)),"")</f>
        <v/>
      </c>
      <c r="H1564" s="26">
        <f>IF($N1564&lt;&gt;"",IF(INDEX(PCNet,$N1564)=0,"",INDEX(PCNet,$N1564)),"")</f>
        <v/>
      </c>
      <c r="I1564" s="25">
        <f>IF($N1564&lt;&gt;"",IF(INDEX(PCOp,$N1564)="مرجوعی خرید","",IF(INDEX(PCAmount,$N1564)&lt;=0,"",INDEX(PCAmount,$N1564))),IF($O1564&lt;&gt;"",IF(INDEX(TxnDepB,$O1564)=0,"",INDEX(TxnDepB,$O1564)),""))</f>
        <v/>
      </c>
      <c r="J1564" s="25">
        <f>IF($N1564&lt;&gt;"",IF(INDEX(PCOp,$N1564)="مرجوعی خرید",IF(INDEX(PCAmount,$N1564)=0,"",-INDEX(PCAmount,$N1564)),""),IF($O1564&lt;&gt;"",IF(INDEX(TxnWitB,$O1564)=0,"",INDEX(TxnWitB,$O1564)),""))</f>
        <v/>
      </c>
      <c r="K1564" s="27">
        <f>IF($B1564="","",IF($K1563="",$C$10,$K1563)+IF($I1564="",0,$I1564)-IF($J1564="",0,$J1564))</f>
        <v/>
      </c>
      <c r="L1564" s="28">
        <f>IF($N1564&lt;&gt;"",IF(INDEX(PCNotes,$N1564)="","—",INDEX(PCNotes,$N1564)),IF($O1564&lt;&gt;"",IF(INDEX(LdgNoteB,$O1564)="","—",INDEX(LdgNoteB,$O1564)),""))</f>
        <v/>
      </c>
      <c r="N1564">
        <f>IFERROR(MATCH($C$5&amp;"|"&amp;RIGHT("000000"&amp;1548,6),LdgRankKeyA,0),"")</f>
        <v/>
      </c>
      <c r="O1564">
        <f>IFERROR(MATCH($C$5&amp;"|"&amp;RIGHT("000000"&amp;1548,6),LdgRankKeyB,0),"")</f>
        <v/>
      </c>
    </row>
    <row r="1565">
      <c r="A1565" s="17" t="n">
        <v>1549</v>
      </c>
      <c r="B1565" s="18">
        <f>IF(AND($N1565="",$O1565=""),"",IF($N1565&lt;&gt;"",INDEX(PCNormDate,$N1565),INDEX(LdgDateB,$O1565)))</f>
        <v/>
      </c>
      <c r="C1565" s="18">
        <f>IF($N1565&lt;&gt;"",INDEX(PCOp,$N1565),IF($O1565&lt;&gt;"",IF(N(INDEX(TxnDepB,$O1565))&gt;0,"دریافت بانکی","پرداخت بانکی"),""))</f>
        <v/>
      </c>
      <c r="D1565" s="18">
        <f>IF($N1565&lt;&gt;"",IF(INDEX(PCDoc,$N1565)="","—",INDEX(PCDoc,$N1565)),IF($O1565&lt;&gt;"",INDEX(LdgBankB,$O1565),""))</f>
        <v/>
      </c>
      <c r="E1565" s="18">
        <f>IF($N1565&lt;&gt;"",IF(INDEX(PCCitrus,$N1565)="","—",INDEX(PCCitrus,$N1565)),"")</f>
        <v/>
      </c>
      <c r="F1565" s="19">
        <f>IF($N1565&lt;&gt;"",IF(INDEX(PCScale,$N1565)=0,"",INDEX(PCScale,$N1565)),"")</f>
        <v/>
      </c>
      <c r="G1565" s="19">
        <f>IF($N1565&lt;&gt;"",IF(INDEX(PCBaskets,$N1565)=0,"",INDEX(PCBaskets,$N1565)),"")</f>
        <v/>
      </c>
      <c r="H1565" s="20">
        <f>IF($N1565&lt;&gt;"",IF(INDEX(PCNet,$N1565)=0,"",INDEX(PCNet,$N1565)),"")</f>
        <v/>
      </c>
      <c r="I1565" s="19">
        <f>IF($N1565&lt;&gt;"",IF(INDEX(PCOp,$N1565)="مرجوعی خرید","",IF(INDEX(PCAmount,$N1565)&lt;=0,"",INDEX(PCAmount,$N1565))),IF($O1565&lt;&gt;"",IF(INDEX(TxnDepB,$O1565)=0,"",INDEX(TxnDepB,$O1565)),""))</f>
        <v/>
      </c>
      <c r="J1565" s="19">
        <f>IF($N1565&lt;&gt;"",IF(INDEX(PCOp,$N1565)="مرجوعی خرید",IF(INDEX(PCAmount,$N1565)=0,"",-INDEX(PCAmount,$N1565)),""),IF($O1565&lt;&gt;"",IF(INDEX(TxnWitB,$O1565)=0,"",INDEX(TxnWitB,$O1565)),""))</f>
        <v/>
      </c>
      <c r="K1565" s="21">
        <f>IF($B1565="","",IF($K1564="",$C$10,$K1564)+IF($I1565="",0,$I1565)-IF($J1565="",0,$J1565))</f>
        <v/>
      </c>
      <c r="L1565" s="22">
        <f>IF($N1565&lt;&gt;"",IF(INDEX(PCNotes,$N1565)="","—",INDEX(PCNotes,$N1565)),IF($O1565&lt;&gt;"",IF(INDEX(LdgNoteB,$O1565)="","—",INDEX(LdgNoteB,$O1565)),""))</f>
        <v/>
      </c>
      <c r="N1565">
        <f>IFERROR(MATCH($C$5&amp;"|"&amp;RIGHT("000000"&amp;1549,6),LdgRankKeyA,0),"")</f>
        <v/>
      </c>
      <c r="O1565">
        <f>IFERROR(MATCH($C$5&amp;"|"&amp;RIGHT("000000"&amp;1549,6),LdgRankKeyB,0),"")</f>
        <v/>
      </c>
    </row>
    <row r="1566">
      <c r="A1566" s="23" t="n">
        <v>1550</v>
      </c>
      <c r="B1566" s="24">
        <f>IF(AND($N1566="",$O1566=""),"",IF($N1566&lt;&gt;"",INDEX(PCNormDate,$N1566),INDEX(LdgDateB,$O1566)))</f>
        <v/>
      </c>
      <c r="C1566" s="24">
        <f>IF($N1566&lt;&gt;"",INDEX(PCOp,$N1566),IF($O1566&lt;&gt;"",IF(N(INDEX(TxnDepB,$O1566))&gt;0,"دریافت بانکی","پرداخت بانکی"),""))</f>
        <v/>
      </c>
      <c r="D1566" s="24">
        <f>IF($N1566&lt;&gt;"",IF(INDEX(PCDoc,$N1566)="","—",INDEX(PCDoc,$N1566)),IF($O1566&lt;&gt;"",INDEX(LdgBankB,$O1566),""))</f>
        <v/>
      </c>
      <c r="E1566" s="24">
        <f>IF($N1566&lt;&gt;"",IF(INDEX(PCCitrus,$N1566)="","—",INDEX(PCCitrus,$N1566)),"")</f>
        <v/>
      </c>
      <c r="F1566" s="25">
        <f>IF($N1566&lt;&gt;"",IF(INDEX(PCScale,$N1566)=0,"",INDEX(PCScale,$N1566)),"")</f>
        <v/>
      </c>
      <c r="G1566" s="25">
        <f>IF($N1566&lt;&gt;"",IF(INDEX(PCBaskets,$N1566)=0,"",INDEX(PCBaskets,$N1566)),"")</f>
        <v/>
      </c>
      <c r="H1566" s="26">
        <f>IF($N1566&lt;&gt;"",IF(INDEX(PCNet,$N1566)=0,"",INDEX(PCNet,$N1566)),"")</f>
        <v/>
      </c>
      <c r="I1566" s="25">
        <f>IF($N1566&lt;&gt;"",IF(INDEX(PCOp,$N1566)="مرجوعی خرید","",IF(INDEX(PCAmount,$N1566)&lt;=0,"",INDEX(PCAmount,$N1566))),IF($O1566&lt;&gt;"",IF(INDEX(TxnDepB,$O1566)=0,"",INDEX(TxnDepB,$O1566)),""))</f>
        <v/>
      </c>
      <c r="J1566" s="25">
        <f>IF($N1566&lt;&gt;"",IF(INDEX(PCOp,$N1566)="مرجوعی خرید",IF(INDEX(PCAmount,$N1566)=0,"",-INDEX(PCAmount,$N1566)),""),IF($O1566&lt;&gt;"",IF(INDEX(TxnWitB,$O1566)=0,"",INDEX(TxnWitB,$O1566)),""))</f>
        <v/>
      </c>
      <c r="K1566" s="27">
        <f>IF($B1566="","",IF($K1565="",$C$10,$K1565)+IF($I1566="",0,$I1566)-IF($J1566="",0,$J1566))</f>
        <v/>
      </c>
      <c r="L1566" s="28">
        <f>IF($N1566&lt;&gt;"",IF(INDEX(PCNotes,$N1566)="","—",INDEX(PCNotes,$N1566)),IF($O1566&lt;&gt;"",IF(INDEX(LdgNoteB,$O1566)="","—",INDEX(LdgNoteB,$O1566)),""))</f>
        <v/>
      </c>
      <c r="N1566">
        <f>IFERROR(MATCH($C$5&amp;"|"&amp;RIGHT("000000"&amp;1550,6),LdgRankKeyA,0),"")</f>
        <v/>
      </c>
      <c r="O1566">
        <f>IFERROR(MATCH($C$5&amp;"|"&amp;RIGHT("000000"&amp;1550,6),LdgRankKeyB,0),"")</f>
        <v/>
      </c>
    </row>
    <row r="1567">
      <c r="A1567" s="17" t="n">
        <v>1551</v>
      </c>
      <c r="B1567" s="18">
        <f>IF(AND($N1567="",$O1567=""),"",IF($N1567&lt;&gt;"",INDEX(PCNormDate,$N1567),INDEX(LdgDateB,$O1567)))</f>
        <v/>
      </c>
      <c r="C1567" s="18">
        <f>IF($N1567&lt;&gt;"",INDEX(PCOp,$N1567),IF($O1567&lt;&gt;"",IF(N(INDEX(TxnDepB,$O1567))&gt;0,"دریافت بانکی","پرداخت بانکی"),""))</f>
        <v/>
      </c>
      <c r="D1567" s="18">
        <f>IF($N1567&lt;&gt;"",IF(INDEX(PCDoc,$N1567)="","—",INDEX(PCDoc,$N1567)),IF($O1567&lt;&gt;"",INDEX(LdgBankB,$O1567),""))</f>
        <v/>
      </c>
      <c r="E1567" s="18">
        <f>IF($N1567&lt;&gt;"",IF(INDEX(PCCitrus,$N1567)="","—",INDEX(PCCitrus,$N1567)),"")</f>
        <v/>
      </c>
      <c r="F1567" s="19">
        <f>IF($N1567&lt;&gt;"",IF(INDEX(PCScale,$N1567)=0,"",INDEX(PCScale,$N1567)),"")</f>
        <v/>
      </c>
      <c r="G1567" s="19">
        <f>IF($N1567&lt;&gt;"",IF(INDEX(PCBaskets,$N1567)=0,"",INDEX(PCBaskets,$N1567)),"")</f>
        <v/>
      </c>
      <c r="H1567" s="20">
        <f>IF($N1567&lt;&gt;"",IF(INDEX(PCNet,$N1567)=0,"",INDEX(PCNet,$N1567)),"")</f>
        <v/>
      </c>
      <c r="I1567" s="19">
        <f>IF($N1567&lt;&gt;"",IF(INDEX(PCOp,$N1567)="مرجوعی خرید","",IF(INDEX(PCAmount,$N1567)&lt;=0,"",INDEX(PCAmount,$N1567))),IF($O1567&lt;&gt;"",IF(INDEX(TxnDepB,$O1567)=0,"",INDEX(TxnDepB,$O1567)),""))</f>
        <v/>
      </c>
      <c r="J1567" s="19">
        <f>IF($N1567&lt;&gt;"",IF(INDEX(PCOp,$N1567)="مرجوعی خرید",IF(INDEX(PCAmount,$N1567)=0,"",-INDEX(PCAmount,$N1567)),""),IF($O1567&lt;&gt;"",IF(INDEX(TxnWitB,$O1567)=0,"",INDEX(TxnWitB,$O1567)),""))</f>
        <v/>
      </c>
      <c r="K1567" s="21">
        <f>IF($B1567="","",IF($K1566="",$C$10,$K1566)+IF($I1567="",0,$I1567)-IF($J1567="",0,$J1567))</f>
        <v/>
      </c>
      <c r="L1567" s="22">
        <f>IF($N1567&lt;&gt;"",IF(INDEX(PCNotes,$N1567)="","—",INDEX(PCNotes,$N1567)),IF($O1567&lt;&gt;"",IF(INDEX(LdgNoteB,$O1567)="","—",INDEX(LdgNoteB,$O1567)),""))</f>
        <v/>
      </c>
      <c r="N1567">
        <f>IFERROR(MATCH($C$5&amp;"|"&amp;RIGHT("000000"&amp;1551,6),LdgRankKeyA,0),"")</f>
        <v/>
      </c>
      <c r="O1567">
        <f>IFERROR(MATCH($C$5&amp;"|"&amp;RIGHT("000000"&amp;1551,6),LdgRankKeyB,0),"")</f>
        <v/>
      </c>
    </row>
    <row r="1568">
      <c r="A1568" s="23" t="n">
        <v>1552</v>
      </c>
      <c r="B1568" s="24">
        <f>IF(AND($N1568="",$O1568=""),"",IF($N1568&lt;&gt;"",INDEX(PCNormDate,$N1568),INDEX(LdgDateB,$O1568)))</f>
        <v/>
      </c>
      <c r="C1568" s="24">
        <f>IF($N1568&lt;&gt;"",INDEX(PCOp,$N1568),IF($O1568&lt;&gt;"",IF(N(INDEX(TxnDepB,$O1568))&gt;0,"دریافت بانکی","پرداخت بانکی"),""))</f>
        <v/>
      </c>
      <c r="D1568" s="24">
        <f>IF($N1568&lt;&gt;"",IF(INDEX(PCDoc,$N1568)="","—",INDEX(PCDoc,$N1568)),IF($O1568&lt;&gt;"",INDEX(LdgBankB,$O1568),""))</f>
        <v/>
      </c>
      <c r="E1568" s="24">
        <f>IF($N1568&lt;&gt;"",IF(INDEX(PCCitrus,$N1568)="","—",INDEX(PCCitrus,$N1568)),"")</f>
        <v/>
      </c>
      <c r="F1568" s="25">
        <f>IF($N1568&lt;&gt;"",IF(INDEX(PCScale,$N1568)=0,"",INDEX(PCScale,$N1568)),"")</f>
        <v/>
      </c>
      <c r="G1568" s="25">
        <f>IF($N1568&lt;&gt;"",IF(INDEX(PCBaskets,$N1568)=0,"",INDEX(PCBaskets,$N1568)),"")</f>
        <v/>
      </c>
      <c r="H1568" s="26">
        <f>IF($N1568&lt;&gt;"",IF(INDEX(PCNet,$N1568)=0,"",INDEX(PCNet,$N1568)),"")</f>
        <v/>
      </c>
      <c r="I1568" s="25">
        <f>IF($N1568&lt;&gt;"",IF(INDEX(PCOp,$N1568)="مرجوعی خرید","",IF(INDEX(PCAmount,$N1568)&lt;=0,"",INDEX(PCAmount,$N1568))),IF($O1568&lt;&gt;"",IF(INDEX(TxnDepB,$O1568)=0,"",INDEX(TxnDepB,$O1568)),""))</f>
        <v/>
      </c>
      <c r="J1568" s="25">
        <f>IF($N1568&lt;&gt;"",IF(INDEX(PCOp,$N1568)="مرجوعی خرید",IF(INDEX(PCAmount,$N1568)=0,"",-INDEX(PCAmount,$N1568)),""),IF($O1568&lt;&gt;"",IF(INDEX(TxnWitB,$O1568)=0,"",INDEX(TxnWitB,$O1568)),""))</f>
        <v/>
      </c>
      <c r="K1568" s="27">
        <f>IF($B1568="","",IF($K1567="",$C$10,$K1567)+IF($I1568="",0,$I1568)-IF($J1568="",0,$J1568))</f>
        <v/>
      </c>
      <c r="L1568" s="28">
        <f>IF($N1568&lt;&gt;"",IF(INDEX(PCNotes,$N1568)="","—",INDEX(PCNotes,$N1568)),IF($O1568&lt;&gt;"",IF(INDEX(LdgNoteB,$O1568)="","—",INDEX(LdgNoteB,$O1568)),""))</f>
        <v/>
      </c>
      <c r="N1568">
        <f>IFERROR(MATCH($C$5&amp;"|"&amp;RIGHT("000000"&amp;1552,6),LdgRankKeyA,0),"")</f>
        <v/>
      </c>
      <c r="O1568">
        <f>IFERROR(MATCH($C$5&amp;"|"&amp;RIGHT("000000"&amp;1552,6),LdgRankKeyB,0),"")</f>
        <v/>
      </c>
    </row>
    <row r="1569">
      <c r="A1569" s="17" t="n">
        <v>1553</v>
      </c>
      <c r="B1569" s="18">
        <f>IF(AND($N1569="",$O1569=""),"",IF($N1569&lt;&gt;"",INDEX(PCNormDate,$N1569),INDEX(LdgDateB,$O1569)))</f>
        <v/>
      </c>
      <c r="C1569" s="18">
        <f>IF($N1569&lt;&gt;"",INDEX(PCOp,$N1569),IF($O1569&lt;&gt;"",IF(N(INDEX(TxnDepB,$O1569))&gt;0,"دریافت بانکی","پرداخت بانکی"),""))</f>
        <v/>
      </c>
      <c r="D1569" s="18">
        <f>IF($N1569&lt;&gt;"",IF(INDEX(PCDoc,$N1569)="","—",INDEX(PCDoc,$N1569)),IF($O1569&lt;&gt;"",INDEX(LdgBankB,$O1569),""))</f>
        <v/>
      </c>
      <c r="E1569" s="18">
        <f>IF($N1569&lt;&gt;"",IF(INDEX(PCCitrus,$N1569)="","—",INDEX(PCCitrus,$N1569)),"")</f>
        <v/>
      </c>
      <c r="F1569" s="19">
        <f>IF($N1569&lt;&gt;"",IF(INDEX(PCScale,$N1569)=0,"",INDEX(PCScale,$N1569)),"")</f>
        <v/>
      </c>
      <c r="G1569" s="19">
        <f>IF($N1569&lt;&gt;"",IF(INDEX(PCBaskets,$N1569)=0,"",INDEX(PCBaskets,$N1569)),"")</f>
        <v/>
      </c>
      <c r="H1569" s="20">
        <f>IF($N1569&lt;&gt;"",IF(INDEX(PCNet,$N1569)=0,"",INDEX(PCNet,$N1569)),"")</f>
        <v/>
      </c>
      <c r="I1569" s="19">
        <f>IF($N1569&lt;&gt;"",IF(INDEX(PCOp,$N1569)="مرجوعی خرید","",IF(INDEX(PCAmount,$N1569)&lt;=0,"",INDEX(PCAmount,$N1569))),IF($O1569&lt;&gt;"",IF(INDEX(TxnDepB,$O1569)=0,"",INDEX(TxnDepB,$O1569)),""))</f>
        <v/>
      </c>
      <c r="J1569" s="19">
        <f>IF($N1569&lt;&gt;"",IF(INDEX(PCOp,$N1569)="مرجوعی خرید",IF(INDEX(PCAmount,$N1569)=0,"",-INDEX(PCAmount,$N1569)),""),IF($O1569&lt;&gt;"",IF(INDEX(TxnWitB,$O1569)=0,"",INDEX(TxnWitB,$O1569)),""))</f>
        <v/>
      </c>
      <c r="K1569" s="21">
        <f>IF($B1569="","",IF($K1568="",$C$10,$K1568)+IF($I1569="",0,$I1569)-IF($J1569="",0,$J1569))</f>
        <v/>
      </c>
      <c r="L1569" s="22">
        <f>IF($N1569&lt;&gt;"",IF(INDEX(PCNotes,$N1569)="","—",INDEX(PCNotes,$N1569)),IF($O1569&lt;&gt;"",IF(INDEX(LdgNoteB,$O1569)="","—",INDEX(LdgNoteB,$O1569)),""))</f>
        <v/>
      </c>
      <c r="N1569">
        <f>IFERROR(MATCH($C$5&amp;"|"&amp;RIGHT("000000"&amp;1553,6),LdgRankKeyA,0),"")</f>
        <v/>
      </c>
      <c r="O1569">
        <f>IFERROR(MATCH($C$5&amp;"|"&amp;RIGHT("000000"&amp;1553,6),LdgRankKeyB,0),"")</f>
        <v/>
      </c>
    </row>
    <row r="1570">
      <c r="A1570" s="23" t="n">
        <v>1554</v>
      </c>
      <c r="B1570" s="24">
        <f>IF(AND($N1570="",$O1570=""),"",IF($N1570&lt;&gt;"",INDEX(PCNormDate,$N1570),INDEX(LdgDateB,$O1570)))</f>
        <v/>
      </c>
      <c r="C1570" s="24">
        <f>IF($N1570&lt;&gt;"",INDEX(PCOp,$N1570),IF($O1570&lt;&gt;"",IF(N(INDEX(TxnDepB,$O1570))&gt;0,"دریافت بانکی","پرداخت بانکی"),""))</f>
        <v/>
      </c>
      <c r="D1570" s="24">
        <f>IF($N1570&lt;&gt;"",IF(INDEX(PCDoc,$N1570)="","—",INDEX(PCDoc,$N1570)),IF($O1570&lt;&gt;"",INDEX(LdgBankB,$O1570),""))</f>
        <v/>
      </c>
      <c r="E1570" s="24">
        <f>IF($N1570&lt;&gt;"",IF(INDEX(PCCitrus,$N1570)="","—",INDEX(PCCitrus,$N1570)),"")</f>
        <v/>
      </c>
      <c r="F1570" s="25">
        <f>IF($N1570&lt;&gt;"",IF(INDEX(PCScale,$N1570)=0,"",INDEX(PCScale,$N1570)),"")</f>
        <v/>
      </c>
      <c r="G1570" s="25">
        <f>IF($N1570&lt;&gt;"",IF(INDEX(PCBaskets,$N1570)=0,"",INDEX(PCBaskets,$N1570)),"")</f>
        <v/>
      </c>
      <c r="H1570" s="26">
        <f>IF($N1570&lt;&gt;"",IF(INDEX(PCNet,$N1570)=0,"",INDEX(PCNet,$N1570)),"")</f>
        <v/>
      </c>
      <c r="I1570" s="25">
        <f>IF($N1570&lt;&gt;"",IF(INDEX(PCOp,$N1570)="مرجوعی خرید","",IF(INDEX(PCAmount,$N1570)&lt;=0,"",INDEX(PCAmount,$N1570))),IF($O1570&lt;&gt;"",IF(INDEX(TxnDepB,$O1570)=0,"",INDEX(TxnDepB,$O1570)),""))</f>
        <v/>
      </c>
      <c r="J1570" s="25">
        <f>IF($N1570&lt;&gt;"",IF(INDEX(PCOp,$N1570)="مرجوعی خرید",IF(INDEX(PCAmount,$N1570)=0,"",-INDEX(PCAmount,$N1570)),""),IF($O1570&lt;&gt;"",IF(INDEX(TxnWitB,$O1570)=0,"",INDEX(TxnWitB,$O1570)),""))</f>
        <v/>
      </c>
      <c r="K1570" s="27">
        <f>IF($B1570="","",IF($K1569="",$C$10,$K1569)+IF($I1570="",0,$I1570)-IF($J1570="",0,$J1570))</f>
        <v/>
      </c>
      <c r="L1570" s="28">
        <f>IF($N1570&lt;&gt;"",IF(INDEX(PCNotes,$N1570)="","—",INDEX(PCNotes,$N1570)),IF($O1570&lt;&gt;"",IF(INDEX(LdgNoteB,$O1570)="","—",INDEX(LdgNoteB,$O1570)),""))</f>
        <v/>
      </c>
      <c r="N1570">
        <f>IFERROR(MATCH($C$5&amp;"|"&amp;RIGHT("000000"&amp;1554,6),LdgRankKeyA,0),"")</f>
        <v/>
      </c>
      <c r="O1570">
        <f>IFERROR(MATCH($C$5&amp;"|"&amp;RIGHT("000000"&amp;1554,6),LdgRankKeyB,0),"")</f>
        <v/>
      </c>
    </row>
    <row r="1571">
      <c r="A1571" s="17" t="n">
        <v>1555</v>
      </c>
      <c r="B1571" s="18">
        <f>IF(AND($N1571="",$O1571=""),"",IF($N1571&lt;&gt;"",INDEX(PCNormDate,$N1571),INDEX(LdgDateB,$O1571)))</f>
        <v/>
      </c>
      <c r="C1571" s="18">
        <f>IF($N1571&lt;&gt;"",INDEX(PCOp,$N1571),IF($O1571&lt;&gt;"",IF(N(INDEX(TxnDepB,$O1571))&gt;0,"دریافت بانکی","پرداخت بانکی"),""))</f>
        <v/>
      </c>
      <c r="D1571" s="18">
        <f>IF($N1571&lt;&gt;"",IF(INDEX(PCDoc,$N1571)="","—",INDEX(PCDoc,$N1571)),IF($O1571&lt;&gt;"",INDEX(LdgBankB,$O1571),""))</f>
        <v/>
      </c>
      <c r="E1571" s="18">
        <f>IF($N1571&lt;&gt;"",IF(INDEX(PCCitrus,$N1571)="","—",INDEX(PCCitrus,$N1571)),"")</f>
        <v/>
      </c>
      <c r="F1571" s="19">
        <f>IF($N1571&lt;&gt;"",IF(INDEX(PCScale,$N1571)=0,"",INDEX(PCScale,$N1571)),"")</f>
        <v/>
      </c>
      <c r="G1571" s="19">
        <f>IF($N1571&lt;&gt;"",IF(INDEX(PCBaskets,$N1571)=0,"",INDEX(PCBaskets,$N1571)),"")</f>
        <v/>
      </c>
      <c r="H1571" s="20">
        <f>IF($N1571&lt;&gt;"",IF(INDEX(PCNet,$N1571)=0,"",INDEX(PCNet,$N1571)),"")</f>
        <v/>
      </c>
      <c r="I1571" s="19">
        <f>IF($N1571&lt;&gt;"",IF(INDEX(PCOp,$N1571)="مرجوعی خرید","",IF(INDEX(PCAmount,$N1571)&lt;=0,"",INDEX(PCAmount,$N1571))),IF($O1571&lt;&gt;"",IF(INDEX(TxnDepB,$O1571)=0,"",INDEX(TxnDepB,$O1571)),""))</f>
        <v/>
      </c>
      <c r="J1571" s="19">
        <f>IF($N1571&lt;&gt;"",IF(INDEX(PCOp,$N1571)="مرجوعی خرید",IF(INDEX(PCAmount,$N1571)=0,"",-INDEX(PCAmount,$N1571)),""),IF($O1571&lt;&gt;"",IF(INDEX(TxnWitB,$O1571)=0,"",INDEX(TxnWitB,$O1571)),""))</f>
        <v/>
      </c>
      <c r="K1571" s="21">
        <f>IF($B1571="","",IF($K1570="",$C$10,$K1570)+IF($I1571="",0,$I1571)-IF($J1571="",0,$J1571))</f>
        <v/>
      </c>
      <c r="L1571" s="22">
        <f>IF($N1571&lt;&gt;"",IF(INDEX(PCNotes,$N1571)="","—",INDEX(PCNotes,$N1571)),IF($O1571&lt;&gt;"",IF(INDEX(LdgNoteB,$O1571)="","—",INDEX(LdgNoteB,$O1571)),""))</f>
        <v/>
      </c>
      <c r="N1571">
        <f>IFERROR(MATCH($C$5&amp;"|"&amp;RIGHT("000000"&amp;1555,6),LdgRankKeyA,0),"")</f>
        <v/>
      </c>
      <c r="O1571">
        <f>IFERROR(MATCH($C$5&amp;"|"&amp;RIGHT("000000"&amp;1555,6),LdgRankKeyB,0),"")</f>
        <v/>
      </c>
    </row>
    <row r="1572">
      <c r="A1572" s="23" t="n">
        <v>1556</v>
      </c>
      <c r="B1572" s="24">
        <f>IF(AND($N1572="",$O1572=""),"",IF($N1572&lt;&gt;"",INDEX(PCNormDate,$N1572),INDEX(LdgDateB,$O1572)))</f>
        <v/>
      </c>
      <c r="C1572" s="24">
        <f>IF($N1572&lt;&gt;"",INDEX(PCOp,$N1572),IF($O1572&lt;&gt;"",IF(N(INDEX(TxnDepB,$O1572))&gt;0,"دریافت بانکی","پرداخت بانکی"),""))</f>
        <v/>
      </c>
      <c r="D1572" s="24">
        <f>IF($N1572&lt;&gt;"",IF(INDEX(PCDoc,$N1572)="","—",INDEX(PCDoc,$N1572)),IF($O1572&lt;&gt;"",INDEX(LdgBankB,$O1572),""))</f>
        <v/>
      </c>
      <c r="E1572" s="24">
        <f>IF($N1572&lt;&gt;"",IF(INDEX(PCCitrus,$N1572)="","—",INDEX(PCCitrus,$N1572)),"")</f>
        <v/>
      </c>
      <c r="F1572" s="25">
        <f>IF($N1572&lt;&gt;"",IF(INDEX(PCScale,$N1572)=0,"",INDEX(PCScale,$N1572)),"")</f>
        <v/>
      </c>
      <c r="G1572" s="25">
        <f>IF($N1572&lt;&gt;"",IF(INDEX(PCBaskets,$N1572)=0,"",INDEX(PCBaskets,$N1572)),"")</f>
        <v/>
      </c>
      <c r="H1572" s="26">
        <f>IF($N1572&lt;&gt;"",IF(INDEX(PCNet,$N1572)=0,"",INDEX(PCNet,$N1572)),"")</f>
        <v/>
      </c>
      <c r="I1572" s="25">
        <f>IF($N1572&lt;&gt;"",IF(INDEX(PCOp,$N1572)="مرجوعی خرید","",IF(INDEX(PCAmount,$N1572)&lt;=0,"",INDEX(PCAmount,$N1572))),IF($O1572&lt;&gt;"",IF(INDEX(TxnDepB,$O1572)=0,"",INDEX(TxnDepB,$O1572)),""))</f>
        <v/>
      </c>
      <c r="J1572" s="25">
        <f>IF($N1572&lt;&gt;"",IF(INDEX(PCOp,$N1572)="مرجوعی خرید",IF(INDEX(PCAmount,$N1572)=0,"",-INDEX(PCAmount,$N1572)),""),IF($O1572&lt;&gt;"",IF(INDEX(TxnWitB,$O1572)=0,"",INDEX(TxnWitB,$O1572)),""))</f>
        <v/>
      </c>
      <c r="K1572" s="27">
        <f>IF($B1572="","",IF($K1571="",$C$10,$K1571)+IF($I1572="",0,$I1572)-IF($J1572="",0,$J1572))</f>
        <v/>
      </c>
      <c r="L1572" s="28">
        <f>IF($N1572&lt;&gt;"",IF(INDEX(PCNotes,$N1572)="","—",INDEX(PCNotes,$N1572)),IF($O1572&lt;&gt;"",IF(INDEX(LdgNoteB,$O1572)="","—",INDEX(LdgNoteB,$O1572)),""))</f>
        <v/>
      </c>
      <c r="N1572">
        <f>IFERROR(MATCH($C$5&amp;"|"&amp;RIGHT("000000"&amp;1556,6),LdgRankKeyA,0),"")</f>
        <v/>
      </c>
      <c r="O1572">
        <f>IFERROR(MATCH($C$5&amp;"|"&amp;RIGHT("000000"&amp;1556,6),LdgRankKeyB,0),"")</f>
        <v/>
      </c>
    </row>
    <row r="1573">
      <c r="A1573" s="17" t="n">
        <v>1557</v>
      </c>
      <c r="B1573" s="18">
        <f>IF(AND($N1573="",$O1573=""),"",IF($N1573&lt;&gt;"",INDEX(PCNormDate,$N1573),INDEX(LdgDateB,$O1573)))</f>
        <v/>
      </c>
      <c r="C1573" s="18">
        <f>IF($N1573&lt;&gt;"",INDEX(PCOp,$N1573),IF($O1573&lt;&gt;"",IF(N(INDEX(TxnDepB,$O1573))&gt;0,"دریافت بانکی","پرداخت بانکی"),""))</f>
        <v/>
      </c>
      <c r="D1573" s="18">
        <f>IF($N1573&lt;&gt;"",IF(INDEX(PCDoc,$N1573)="","—",INDEX(PCDoc,$N1573)),IF($O1573&lt;&gt;"",INDEX(LdgBankB,$O1573),""))</f>
        <v/>
      </c>
      <c r="E1573" s="18">
        <f>IF($N1573&lt;&gt;"",IF(INDEX(PCCitrus,$N1573)="","—",INDEX(PCCitrus,$N1573)),"")</f>
        <v/>
      </c>
      <c r="F1573" s="19">
        <f>IF($N1573&lt;&gt;"",IF(INDEX(PCScale,$N1573)=0,"",INDEX(PCScale,$N1573)),"")</f>
        <v/>
      </c>
      <c r="G1573" s="19">
        <f>IF($N1573&lt;&gt;"",IF(INDEX(PCBaskets,$N1573)=0,"",INDEX(PCBaskets,$N1573)),"")</f>
        <v/>
      </c>
      <c r="H1573" s="20">
        <f>IF($N1573&lt;&gt;"",IF(INDEX(PCNet,$N1573)=0,"",INDEX(PCNet,$N1573)),"")</f>
        <v/>
      </c>
      <c r="I1573" s="19">
        <f>IF($N1573&lt;&gt;"",IF(INDEX(PCOp,$N1573)="مرجوعی خرید","",IF(INDEX(PCAmount,$N1573)&lt;=0,"",INDEX(PCAmount,$N1573))),IF($O1573&lt;&gt;"",IF(INDEX(TxnDepB,$O1573)=0,"",INDEX(TxnDepB,$O1573)),""))</f>
        <v/>
      </c>
      <c r="J1573" s="19">
        <f>IF($N1573&lt;&gt;"",IF(INDEX(PCOp,$N1573)="مرجوعی خرید",IF(INDEX(PCAmount,$N1573)=0,"",-INDEX(PCAmount,$N1573)),""),IF($O1573&lt;&gt;"",IF(INDEX(TxnWitB,$O1573)=0,"",INDEX(TxnWitB,$O1573)),""))</f>
        <v/>
      </c>
      <c r="K1573" s="21">
        <f>IF($B1573="","",IF($K1572="",$C$10,$K1572)+IF($I1573="",0,$I1573)-IF($J1573="",0,$J1573))</f>
        <v/>
      </c>
      <c r="L1573" s="22">
        <f>IF($N1573&lt;&gt;"",IF(INDEX(PCNotes,$N1573)="","—",INDEX(PCNotes,$N1573)),IF($O1573&lt;&gt;"",IF(INDEX(LdgNoteB,$O1573)="","—",INDEX(LdgNoteB,$O1573)),""))</f>
        <v/>
      </c>
      <c r="N1573">
        <f>IFERROR(MATCH($C$5&amp;"|"&amp;RIGHT("000000"&amp;1557,6),LdgRankKeyA,0),"")</f>
        <v/>
      </c>
      <c r="O1573">
        <f>IFERROR(MATCH($C$5&amp;"|"&amp;RIGHT("000000"&amp;1557,6),LdgRankKeyB,0),"")</f>
        <v/>
      </c>
    </row>
    <row r="1574">
      <c r="A1574" s="23" t="n">
        <v>1558</v>
      </c>
      <c r="B1574" s="24">
        <f>IF(AND($N1574="",$O1574=""),"",IF($N1574&lt;&gt;"",INDEX(PCNormDate,$N1574),INDEX(LdgDateB,$O1574)))</f>
        <v/>
      </c>
      <c r="C1574" s="24">
        <f>IF($N1574&lt;&gt;"",INDEX(PCOp,$N1574),IF($O1574&lt;&gt;"",IF(N(INDEX(TxnDepB,$O1574))&gt;0,"دریافت بانکی","پرداخت بانکی"),""))</f>
        <v/>
      </c>
      <c r="D1574" s="24">
        <f>IF($N1574&lt;&gt;"",IF(INDEX(PCDoc,$N1574)="","—",INDEX(PCDoc,$N1574)),IF($O1574&lt;&gt;"",INDEX(LdgBankB,$O1574),""))</f>
        <v/>
      </c>
      <c r="E1574" s="24">
        <f>IF($N1574&lt;&gt;"",IF(INDEX(PCCitrus,$N1574)="","—",INDEX(PCCitrus,$N1574)),"")</f>
        <v/>
      </c>
      <c r="F1574" s="25">
        <f>IF($N1574&lt;&gt;"",IF(INDEX(PCScale,$N1574)=0,"",INDEX(PCScale,$N1574)),"")</f>
        <v/>
      </c>
      <c r="G1574" s="25">
        <f>IF($N1574&lt;&gt;"",IF(INDEX(PCBaskets,$N1574)=0,"",INDEX(PCBaskets,$N1574)),"")</f>
        <v/>
      </c>
      <c r="H1574" s="26">
        <f>IF($N1574&lt;&gt;"",IF(INDEX(PCNet,$N1574)=0,"",INDEX(PCNet,$N1574)),"")</f>
        <v/>
      </c>
      <c r="I1574" s="25">
        <f>IF($N1574&lt;&gt;"",IF(INDEX(PCOp,$N1574)="مرجوعی خرید","",IF(INDEX(PCAmount,$N1574)&lt;=0,"",INDEX(PCAmount,$N1574))),IF($O1574&lt;&gt;"",IF(INDEX(TxnDepB,$O1574)=0,"",INDEX(TxnDepB,$O1574)),""))</f>
        <v/>
      </c>
      <c r="J1574" s="25">
        <f>IF($N1574&lt;&gt;"",IF(INDEX(PCOp,$N1574)="مرجوعی خرید",IF(INDEX(PCAmount,$N1574)=0,"",-INDEX(PCAmount,$N1574)),""),IF($O1574&lt;&gt;"",IF(INDEX(TxnWitB,$O1574)=0,"",INDEX(TxnWitB,$O1574)),""))</f>
        <v/>
      </c>
      <c r="K1574" s="27">
        <f>IF($B1574="","",IF($K1573="",$C$10,$K1573)+IF($I1574="",0,$I1574)-IF($J1574="",0,$J1574))</f>
        <v/>
      </c>
      <c r="L1574" s="28">
        <f>IF($N1574&lt;&gt;"",IF(INDEX(PCNotes,$N1574)="","—",INDEX(PCNotes,$N1574)),IF($O1574&lt;&gt;"",IF(INDEX(LdgNoteB,$O1574)="","—",INDEX(LdgNoteB,$O1574)),""))</f>
        <v/>
      </c>
      <c r="N1574">
        <f>IFERROR(MATCH($C$5&amp;"|"&amp;RIGHT("000000"&amp;1558,6),LdgRankKeyA,0),"")</f>
        <v/>
      </c>
      <c r="O1574">
        <f>IFERROR(MATCH($C$5&amp;"|"&amp;RIGHT("000000"&amp;1558,6),LdgRankKeyB,0),"")</f>
        <v/>
      </c>
    </row>
    <row r="1575">
      <c r="A1575" s="17" t="n">
        <v>1559</v>
      </c>
      <c r="B1575" s="18">
        <f>IF(AND($N1575="",$O1575=""),"",IF($N1575&lt;&gt;"",INDEX(PCNormDate,$N1575),INDEX(LdgDateB,$O1575)))</f>
        <v/>
      </c>
      <c r="C1575" s="18">
        <f>IF($N1575&lt;&gt;"",INDEX(PCOp,$N1575),IF($O1575&lt;&gt;"",IF(N(INDEX(TxnDepB,$O1575))&gt;0,"دریافت بانکی","پرداخت بانکی"),""))</f>
        <v/>
      </c>
      <c r="D1575" s="18">
        <f>IF($N1575&lt;&gt;"",IF(INDEX(PCDoc,$N1575)="","—",INDEX(PCDoc,$N1575)),IF($O1575&lt;&gt;"",INDEX(LdgBankB,$O1575),""))</f>
        <v/>
      </c>
      <c r="E1575" s="18">
        <f>IF($N1575&lt;&gt;"",IF(INDEX(PCCitrus,$N1575)="","—",INDEX(PCCitrus,$N1575)),"")</f>
        <v/>
      </c>
      <c r="F1575" s="19">
        <f>IF($N1575&lt;&gt;"",IF(INDEX(PCScale,$N1575)=0,"",INDEX(PCScale,$N1575)),"")</f>
        <v/>
      </c>
      <c r="G1575" s="19">
        <f>IF($N1575&lt;&gt;"",IF(INDEX(PCBaskets,$N1575)=0,"",INDEX(PCBaskets,$N1575)),"")</f>
        <v/>
      </c>
      <c r="H1575" s="20">
        <f>IF($N1575&lt;&gt;"",IF(INDEX(PCNet,$N1575)=0,"",INDEX(PCNet,$N1575)),"")</f>
        <v/>
      </c>
      <c r="I1575" s="19">
        <f>IF($N1575&lt;&gt;"",IF(INDEX(PCOp,$N1575)="مرجوعی خرید","",IF(INDEX(PCAmount,$N1575)&lt;=0,"",INDEX(PCAmount,$N1575))),IF($O1575&lt;&gt;"",IF(INDEX(TxnDepB,$O1575)=0,"",INDEX(TxnDepB,$O1575)),""))</f>
        <v/>
      </c>
      <c r="J1575" s="19">
        <f>IF($N1575&lt;&gt;"",IF(INDEX(PCOp,$N1575)="مرجوعی خرید",IF(INDEX(PCAmount,$N1575)=0,"",-INDEX(PCAmount,$N1575)),""),IF($O1575&lt;&gt;"",IF(INDEX(TxnWitB,$O1575)=0,"",INDEX(TxnWitB,$O1575)),""))</f>
        <v/>
      </c>
      <c r="K1575" s="21">
        <f>IF($B1575="","",IF($K1574="",$C$10,$K1574)+IF($I1575="",0,$I1575)-IF($J1575="",0,$J1575))</f>
        <v/>
      </c>
      <c r="L1575" s="22">
        <f>IF($N1575&lt;&gt;"",IF(INDEX(PCNotes,$N1575)="","—",INDEX(PCNotes,$N1575)),IF($O1575&lt;&gt;"",IF(INDEX(LdgNoteB,$O1575)="","—",INDEX(LdgNoteB,$O1575)),""))</f>
        <v/>
      </c>
      <c r="N1575">
        <f>IFERROR(MATCH($C$5&amp;"|"&amp;RIGHT("000000"&amp;1559,6),LdgRankKeyA,0),"")</f>
        <v/>
      </c>
      <c r="O1575">
        <f>IFERROR(MATCH($C$5&amp;"|"&amp;RIGHT("000000"&amp;1559,6),LdgRankKeyB,0),"")</f>
        <v/>
      </c>
    </row>
    <row r="1576">
      <c r="A1576" s="23" t="n">
        <v>1560</v>
      </c>
      <c r="B1576" s="24">
        <f>IF(AND($N1576="",$O1576=""),"",IF($N1576&lt;&gt;"",INDEX(PCNormDate,$N1576),INDEX(LdgDateB,$O1576)))</f>
        <v/>
      </c>
      <c r="C1576" s="24">
        <f>IF($N1576&lt;&gt;"",INDEX(PCOp,$N1576),IF($O1576&lt;&gt;"",IF(N(INDEX(TxnDepB,$O1576))&gt;0,"دریافت بانکی","پرداخت بانکی"),""))</f>
        <v/>
      </c>
      <c r="D1576" s="24">
        <f>IF($N1576&lt;&gt;"",IF(INDEX(PCDoc,$N1576)="","—",INDEX(PCDoc,$N1576)),IF($O1576&lt;&gt;"",INDEX(LdgBankB,$O1576),""))</f>
        <v/>
      </c>
      <c r="E1576" s="24">
        <f>IF($N1576&lt;&gt;"",IF(INDEX(PCCitrus,$N1576)="","—",INDEX(PCCitrus,$N1576)),"")</f>
        <v/>
      </c>
      <c r="F1576" s="25">
        <f>IF($N1576&lt;&gt;"",IF(INDEX(PCScale,$N1576)=0,"",INDEX(PCScale,$N1576)),"")</f>
        <v/>
      </c>
      <c r="G1576" s="25">
        <f>IF($N1576&lt;&gt;"",IF(INDEX(PCBaskets,$N1576)=0,"",INDEX(PCBaskets,$N1576)),"")</f>
        <v/>
      </c>
      <c r="H1576" s="26">
        <f>IF($N1576&lt;&gt;"",IF(INDEX(PCNet,$N1576)=0,"",INDEX(PCNet,$N1576)),"")</f>
        <v/>
      </c>
      <c r="I1576" s="25">
        <f>IF($N1576&lt;&gt;"",IF(INDEX(PCOp,$N1576)="مرجوعی خرید","",IF(INDEX(PCAmount,$N1576)&lt;=0,"",INDEX(PCAmount,$N1576))),IF($O1576&lt;&gt;"",IF(INDEX(TxnDepB,$O1576)=0,"",INDEX(TxnDepB,$O1576)),""))</f>
        <v/>
      </c>
      <c r="J1576" s="25">
        <f>IF($N1576&lt;&gt;"",IF(INDEX(PCOp,$N1576)="مرجوعی خرید",IF(INDEX(PCAmount,$N1576)=0,"",-INDEX(PCAmount,$N1576)),""),IF($O1576&lt;&gt;"",IF(INDEX(TxnWitB,$O1576)=0,"",INDEX(TxnWitB,$O1576)),""))</f>
        <v/>
      </c>
      <c r="K1576" s="27">
        <f>IF($B1576="","",IF($K1575="",$C$10,$K1575)+IF($I1576="",0,$I1576)-IF($J1576="",0,$J1576))</f>
        <v/>
      </c>
      <c r="L1576" s="28">
        <f>IF($N1576&lt;&gt;"",IF(INDEX(PCNotes,$N1576)="","—",INDEX(PCNotes,$N1576)),IF($O1576&lt;&gt;"",IF(INDEX(LdgNoteB,$O1576)="","—",INDEX(LdgNoteB,$O1576)),""))</f>
        <v/>
      </c>
      <c r="N1576">
        <f>IFERROR(MATCH($C$5&amp;"|"&amp;RIGHT("000000"&amp;1560,6),LdgRankKeyA,0),"")</f>
        <v/>
      </c>
      <c r="O1576">
        <f>IFERROR(MATCH($C$5&amp;"|"&amp;RIGHT("000000"&amp;1560,6),LdgRankKeyB,0),"")</f>
        <v/>
      </c>
    </row>
    <row r="1577">
      <c r="A1577" s="17" t="n">
        <v>1561</v>
      </c>
      <c r="B1577" s="18">
        <f>IF(AND($N1577="",$O1577=""),"",IF($N1577&lt;&gt;"",INDEX(PCNormDate,$N1577),INDEX(LdgDateB,$O1577)))</f>
        <v/>
      </c>
      <c r="C1577" s="18">
        <f>IF($N1577&lt;&gt;"",INDEX(PCOp,$N1577),IF($O1577&lt;&gt;"",IF(N(INDEX(TxnDepB,$O1577))&gt;0,"دریافت بانکی","پرداخت بانکی"),""))</f>
        <v/>
      </c>
      <c r="D1577" s="18">
        <f>IF($N1577&lt;&gt;"",IF(INDEX(PCDoc,$N1577)="","—",INDEX(PCDoc,$N1577)),IF($O1577&lt;&gt;"",INDEX(LdgBankB,$O1577),""))</f>
        <v/>
      </c>
      <c r="E1577" s="18">
        <f>IF($N1577&lt;&gt;"",IF(INDEX(PCCitrus,$N1577)="","—",INDEX(PCCitrus,$N1577)),"")</f>
        <v/>
      </c>
      <c r="F1577" s="19">
        <f>IF($N1577&lt;&gt;"",IF(INDEX(PCScale,$N1577)=0,"",INDEX(PCScale,$N1577)),"")</f>
        <v/>
      </c>
      <c r="G1577" s="19">
        <f>IF($N1577&lt;&gt;"",IF(INDEX(PCBaskets,$N1577)=0,"",INDEX(PCBaskets,$N1577)),"")</f>
        <v/>
      </c>
      <c r="H1577" s="20">
        <f>IF($N1577&lt;&gt;"",IF(INDEX(PCNet,$N1577)=0,"",INDEX(PCNet,$N1577)),"")</f>
        <v/>
      </c>
      <c r="I1577" s="19">
        <f>IF($N1577&lt;&gt;"",IF(INDEX(PCOp,$N1577)="مرجوعی خرید","",IF(INDEX(PCAmount,$N1577)&lt;=0,"",INDEX(PCAmount,$N1577))),IF($O1577&lt;&gt;"",IF(INDEX(TxnDepB,$O1577)=0,"",INDEX(TxnDepB,$O1577)),""))</f>
        <v/>
      </c>
      <c r="J1577" s="19">
        <f>IF($N1577&lt;&gt;"",IF(INDEX(PCOp,$N1577)="مرجوعی خرید",IF(INDEX(PCAmount,$N1577)=0,"",-INDEX(PCAmount,$N1577)),""),IF($O1577&lt;&gt;"",IF(INDEX(TxnWitB,$O1577)=0,"",INDEX(TxnWitB,$O1577)),""))</f>
        <v/>
      </c>
      <c r="K1577" s="21">
        <f>IF($B1577="","",IF($K1576="",$C$10,$K1576)+IF($I1577="",0,$I1577)-IF($J1577="",0,$J1577))</f>
        <v/>
      </c>
      <c r="L1577" s="22">
        <f>IF($N1577&lt;&gt;"",IF(INDEX(PCNotes,$N1577)="","—",INDEX(PCNotes,$N1577)),IF($O1577&lt;&gt;"",IF(INDEX(LdgNoteB,$O1577)="","—",INDEX(LdgNoteB,$O1577)),""))</f>
        <v/>
      </c>
      <c r="N1577">
        <f>IFERROR(MATCH($C$5&amp;"|"&amp;RIGHT("000000"&amp;1561,6),LdgRankKeyA,0),"")</f>
        <v/>
      </c>
      <c r="O1577">
        <f>IFERROR(MATCH($C$5&amp;"|"&amp;RIGHT("000000"&amp;1561,6),LdgRankKeyB,0),"")</f>
        <v/>
      </c>
    </row>
    <row r="1578">
      <c r="A1578" s="23" t="n">
        <v>1562</v>
      </c>
      <c r="B1578" s="24">
        <f>IF(AND($N1578="",$O1578=""),"",IF($N1578&lt;&gt;"",INDEX(PCNormDate,$N1578),INDEX(LdgDateB,$O1578)))</f>
        <v/>
      </c>
      <c r="C1578" s="24">
        <f>IF($N1578&lt;&gt;"",INDEX(PCOp,$N1578),IF($O1578&lt;&gt;"",IF(N(INDEX(TxnDepB,$O1578))&gt;0,"دریافت بانکی","پرداخت بانکی"),""))</f>
        <v/>
      </c>
      <c r="D1578" s="24">
        <f>IF($N1578&lt;&gt;"",IF(INDEX(PCDoc,$N1578)="","—",INDEX(PCDoc,$N1578)),IF($O1578&lt;&gt;"",INDEX(LdgBankB,$O1578),""))</f>
        <v/>
      </c>
      <c r="E1578" s="24">
        <f>IF($N1578&lt;&gt;"",IF(INDEX(PCCitrus,$N1578)="","—",INDEX(PCCitrus,$N1578)),"")</f>
        <v/>
      </c>
      <c r="F1578" s="25">
        <f>IF($N1578&lt;&gt;"",IF(INDEX(PCScale,$N1578)=0,"",INDEX(PCScale,$N1578)),"")</f>
        <v/>
      </c>
      <c r="G1578" s="25">
        <f>IF($N1578&lt;&gt;"",IF(INDEX(PCBaskets,$N1578)=0,"",INDEX(PCBaskets,$N1578)),"")</f>
        <v/>
      </c>
      <c r="H1578" s="26">
        <f>IF($N1578&lt;&gt;"",IF(INDEX(PCNet,$N1578)=0,"",INDEX(PCNet,$N1578)),"")</f>
        <v/>
      </c>
      <c r="I1578" s="25">
        <f>IF($N1578&lt;&gt;"",IF(INDEX(PCOp,$N1578)="مرجوعی خرید","",IF(INDEX(PCAmount,$N1578)&lt;=0,"",INDEX(PCAmount,$N1578))),IF($O1578&lt;&gt;"",IF(INDEX(TxnDepB,$O1578)=0,"",INDEX(TxnDepB,$O1578)),""))</f>
        <v/>
      </c>
      <c r="J1578" s="25">
        <f>IF($N1578&lt;&gt;"",IF(INDEX(PCOp,$N1578)="مرجوعی خرید",IF(INDEX(PCAmount,$N1578)=0,"",-INDEX(PCAmount,$N1578)),""),IF($O1578&lt;&gt;"",IF(INDEX(TxnWitB,$O1578)=0,"",INDEX(TxnWitB,$O1578)),""))</f>
        <v/>
      </c>
      <c r="K1578" s="27">
        <f>IF($B1578="","",IF($K1577="",$C$10,$K1577)+IF($I1578="",0,$I1578)-IF($J1578="",0,$J1578))</f>
        <v/>
      </c>
      <c r="L1578" s="28">
        <f>IF($N1578&lt;&gt;"",IF(INDEX(PCNotes,$N1578)="","—",INDEX(PCNotes,$N1578)),IF($O1578&lt;&gt;"",IF(INDEX(LdgNoteB,$O1578)="","—",INDEX(LdgNoteB,$O1578)),""))</f>
        <v/>
      </c>
      <c r="N1578">
        <f>IFERROR(MATCH($C$5&amp;"|"&amp;RIGHT("000000"&amp;1562,6),LdgRankKeyA,0),"")</f>
        <v/>
      </c>
      <c r="O1578">
        <f>IFERROR(MATCH($C$5&amp;"|"&amp;RIGHT("000000"&amp;1562,6),LdgRankKeyB,0),"")</f>
        <v/>
      </c>
    </row>
    <row r="1579">
      <c r="A1579" s="17" t="n">
        <v>1563</v>
      </c>
      <c r="B1579" s="18">
        <f>IF(AND($N1579="",$O1579=""),"",IF($N1579&lt;&gt;"",INDEX(PCNormDate,$N1579),INDEX(LdgDateB,$O1579)))</f>
        <v/>
      </c>
      <c r="C1579" s="18">
        <f>IF($N1579&lt;&gt;"",INDEX(PCOp,$N1579),IF($O1579&lt;&gt;"",IF(N(INDEX(TxnDepB,$O1579))&gt;0,"دریافت بانکی","پرداخت بانکی"),""))</f>
        <v/>
      </c>
      <c r="D1579" s="18">
        <f>IF($N1579&lt;&gt;"",IF(INDEX(PCDoc,$N1579)="","—",INDEX(PCDoc,$N1579)),IF($O1579&lt;&gt;"",INDEX(LdgBankB,$O1579),""))</f>
        <v/>
      </c>
      <c r="E1579" s="18">
        <f>IF($N1579&lt;&gt;"",IF(INDEX(PCCitrus,$N1579)="","—",INDEX(PCCitrus,$N1579)),"")</f>
        <v/>
      </c>
      <c r="F1579" s="19">
        <f>IF($N1579&lt;&gt;"",IF(INDEX(PCScale,$N1579)=0,"",INDEX(PCScale,$N1579)),"")</f>
        <v/>
      </c>
      <c r="G1579" s="19">
        <f>IF($N1579&lt;&gt;"",IF(INDEX(PCBaskets,$N1579)=0,"",INDEX(PCBaskets,$N1579)),"")</f>
        <v/>
      </c>
      <c r="H1579" s="20">
        <f>IF($N1579&lt;&gt;"",IF(INDEX(PCNet,$N1579)=0,"",INDEX(PCNet,$N1579)),"")</f>
        <v/>
      </c>
      <c r="I1579" s="19">
        <f>IF($N1579&lt;&gt;"",IF(INDEX(PCOp,$N1579)="مرجوعی خرید","",IF(INDEX(PCAmount,$N1579)&lt;=0,"",INDEX(PCAmount,$N1579))),IF($O1579&lt;&gt;"",IF(INDEX(TxnDepB,$O1579)=0,"",INDEX(TxnDepB,$O1579)),""))</f>
        <v/>
      </c>
      <c r="J1579" s="19">
        <f>IF($N1579&lt;&gt;"",IF(INDEX(PCOp,$N1579)="مرجوعی خرید",IF(INDEX(PCAmount,$N1579)=0,"",-INDEX(PCAmount,$N1579)),""),IF($O1579&lt;&gt;"",IF(INDEX(TxnWitB,$O1579)=0,"",INDEX(TxnWitB,$O1579)),""))</f>
        <v/>
      </c>
      <c r="K1579" s="21">
        <f>IF($B1579="","",IF($K1578="",$C$10,$K1578)+IF($I1579="",0,$I1579)-IF($J1579="",0,$J1579))</f>
        <v/>
      </c>
      <c r="L1579" s="22">
        <f>IF($N1579&lt;&gt;"",IF(INDEX(PCNotes,$N1579)="","—",INDEX(PCNotes,$N1579)),IF($O1579&lt;&gt;"",IF(INDEX(LdgNoteB,$O1579)="","—",INDEX(LdgNoteB,$O1579)),""))</f>
        <v/>
      </c>
      <c r="N1579">
        <f>IFERROR(MATCH($C$5&amp;"|"&amp;RIGHT("000000"&amp;1563,6),LdgRankKeyA,0),"")</f>
        <v/>
      </c>
      <c r="O1579">
        <f>IFERROR(MATCH($C$5&amp;"|"&amp;RIGHT("000000"&amp;1563,6),LdgRankKeyB,0),"")</f>
        <v/>
      </c>
    </row>
    <row r="1580">
      <c r="A1580" s="23" t="n">
        <v>1564</v>
      </c>
      <c r="B1580" s="24">
        <f>IF(AND($N1580="",$O1580=""),"",IF($N1580&lt;&gt;"",INDEX(PCNormDate,$N1580),INDEX(LdgDateB,$O1580)))</f>
        <v/>
      </c>
      <c r="C1580" s="24">
        <f>IF($N1580&lt;&gt;"",INDEX(PCOp,$N1580),IF($O1580&lt;&gt;"",IF(N(INDEX(TxnDepB,$O1580))&gt;0,"دریافت بانکی","پرداخت بانکی"),""))</f>
        <v/>
      </c>
      <c r="D1580" s="24">
        <f>IF($N1580&lt;&gt;"",IF(INDEX(PCDoc,$N1580)="","—",INDEX(PCDoc,$N1580)),IF($O1580&lt;&gt;"",INDEX(LdgBankB,$O1580),""))</f>
        <v/>
      </c>
      <c r="E1580" s="24">
        <f>IF($N1580&lt;&gt;"",IF(INDEX(PCCitrus,$N1580)="","—",INDEX(PCCitrus,$N1580)),"")</f>
        <v/>
      </c>
      <c r="F1580" s="25">
        <f>IF($N1580&lt;&gt;"",IF(INDEX(PCScale,$N1580)=0,"",INDEX(PCScale,$N1580)),"")</f>
        <v/>
      </c>
      <c r="G1580" s="25">
        <f>IF($N1580&lt;&gt;"",IF(INDEX(PCBaskets,$N1580)=0,"",INDEX(PCBaskets,$N1580)),"")</f>
        <v/>
      </c>
      <c r="H1580" s="26">
        <f>IF($N1580&lt;&gt;"",IF(INDEX(PCNet,$N1580)=0,"",INDEX(PCNet,$N1580)),"")</f>
        <v/>
      </c>
      <c r="I1580" s="25">
        <f>IF($N1580&lt;&gt;"",IF(INDEX(PCOp,$N1580)="مرجوعی خرید","",IF(INDEX(PCAmount,$N1580)&lt;=0,"",INDEX(PCAmount,$N1580))),IF($O1580&lt;&gt;"",IF(INDEX(TxnDepB,$O1580)=0,"",INDEX(TxnDepB,$O1580)),""))</f>
        <v/>
      </c>
      <c r="J1580" s="25">
        <f>IF($N1580&lt;&gt;"",IF(INDEX(PCOp,$N1580)="مرجوعی خرید",IF(INDEX(PCAmount,$N1580)=0,"",-INDEX(PCAmount,$N1580)),""),IF($O1580&lt;&gt;"",IF(INDEX(TxnWitB,$O1580)=0,"",INDEX(TxnWitB,$O1580)),""))</f>
        <v/>
      </c>
      <c r="K1580" s="27">
        <f>IF($B1580="","",IF($K1579="",$C$10,$K1579)+IF($I1580="",0,$I1580)-IF($J1580="",0,$J1580))</f>
        <v/>
      </c>
      <c r="L1580" s="28">
        <f>IF($N1580&lt;&gt;"",IF(INDEX(PCNotes,$N1580)="","—",INDEX(PCNotes,$N1580)),IF($O1580&lt;&gt;"",IF(INDEX(LdgNoteB,$O1580)="","—",INDEX(LdgNoteB,$O1580)),""))</f>
        <v/>
      </c>
      <c r="N1580">
        <f>IFERROR(MATCH($C$5&amp;"|"&amp;RIGHT("000000"&amp;1564,6),LdgRankKeyA,0),"")</f>
        <v/>
      </c>
      <c r="O1580">
        <f>IFERROR(MATCH($C$5&amp;"|"&amp;RIGHT("000000"&amp;1564,6),LdgRankKeyB,0),"")</f>
        <v/>
      </c>
    </row>
    <row r="1581">
      <c r="A1581" s="17" t="n">
        <v>1565</v>
      </c>
      <c r="B1581" s="18">
        <f>IF(AND($N1581="",$O1581=""),"",IF($N1581&lt;&gt;"",INDEX(PCNormDate,$N1581),INDEX(LdgDateB,$O1581)))</f>
        <v/>
      </c>
      <c r="C1581" s="18">
        <f>IF($N1581&lt;&gt;"",INDEX(PCOp,$N1581),IF($O1581&lt;&gt;"",IF(N(INDEX(TxnDepB,$O1581))&gt;0,"دریافت بانکی","پرداخت بانکی"),""))</f>
        <v/>
      </c>
      <c r="D1581" s="18">
        <f>IF($N1581&lt;&gt;"",IF(INDEX(PCDoc,$N1581)="","—",INDEX(PCDoc,$N1581)),IF($O1581&lt;&gt;"",INDEX(LdgBankB,$O1581),""))</f>
        <v/>
      </c>
      <c r="E1581" s="18">
        <f>IF($N1581&lt;&gt;"",IF(INDEX(PCCitrus,$N1581)="","—",INDEX(PCCitrus,$N1581)),"")</f>
        <v/>
      </c>
      <c r="F1581" s="19">
        <f>IF($N1581&lt;&gt;"",IF(INDEX(PCScale,$N1581)=0,"",INDEX(PCScale,$N1581)),"")</f>
        <v/>
      </c>
      <c r="G1581" s="19">
        <f>IF($N1581&lt;&gt;"",IF(INDEX(PCBaskets,$N1581)=0,"",INDEX(PCBaskets,$N1581)),"")</f>
        <v/>
      </c>
      <c r="H1581" s="20">
        <f>IF($N1581&lt;&gt;"",IF(INDEX(PCNet,$N1581)=0,"",INDEX(PCNet,$N1581)),"")</f>
        <v/>
      </c>
      <c r="I1581" s="19">
        <f>IF($N1581&lt;&gt;"",IF(INDEX(PCOp,$N1581)="مرجوعی خرید","",IF(INDEX(PCAmount,$N1581)&lt;=0,"",INDEX(PCAmount,$N1581))),IF($O1581&lt;&gt;"",IF(INDEX(TxnDepB,$O1581)=0,"",INDEX(TxnDepB,$O1581)),""))</f>
        <v/>
      </c>
      <c r="J1581" s="19">
        <f>IF($N1581&lt;&gt;"",IF(INDEX(PCOp,$N1581)="مرجوعی خرید",IF(INDEX(PCAmount,$N1581)=0,"",-INDEX(PCAmount,$N1581)),""),IF($O1581&lt;&gt;"",IF(INDEX(TxnWitB,$O1581)=0,"",INDEX(TxnWitB,$O1581)),""))</f>
        <v/>
      </c>
      <c r="K1581" s="21">
        <f>IF($B1581="","",IF($K1580="",$C$10,$K1580)+IF($I1581="",0,$I1581)-IF($J1581="",0,$J1581))</f>
        <v/>
      </c>
      <c r="L1581" s="22">
        <f>IF($N1581&lt;&gt;"",IF(INDEX(PCNotes,$N1581)="","—",INDEX(PCNotes,$N1581)),IF($O1581&lt;&gt;"",IF(INDEX(LdgNoteB,$O1581)="","—",INDEX(LdgNoteB,$O1581)),""))</f>
        <v/>
      </c>
      <c r="N1581">
        <f>IFERROR(MATCH($C$5&amp;"|"&amp;RIGHT("000000"&amp;1565,6),LdgRankKeyA,0),"")</f>
        <v/>
      </c>
      <c r="O1581">
        <f>IFERROR(MATCH($C$5&amp;"|"&amp;RIGHT("000000"&amp;1565,6),LdgRankKeyB,0),"")</f>
        <v/>
      </c>
    </row>
    <row r="1582">
      <c r="A1582" s="23" t="n">
        <v>1566</v>
      </c>
      <c r="B1582" s="24">
        <f>IF(AND($N1582="",$O1582=""),"",IF($N1582&lt;&gt;"",INDEX(PCNormDate,$N1582),INDEX(LdgDateB,$O1582)))</f>
        <v/>
      </c>
      <c r="C1582" s="24">
        <f>IF($N1582&lt;&gt;"",INDEX(PCOp,$N1582),IF($O1582&lt;&gt;"",IF(N(INDEX(TxnDepB,$O1582))&gt;0,"دریافت بانکی","پرداخت بانکی"),""))</f>
        <v/>
      </c>
      <c r="D1582" s="24">
        <f>IF($N1582&lt;&gt;"",IF(INDEX(PCDoc,$N1582)="","—",INDEX(PCDoc,$N1582)),IF($O1582&lt;&gt;"",INDEX(LdgBankB,$O1582),""))</f>
        <v/>
      </c>
      <c r="E1582" s="24">
        <f>IF($N1582&lt;&gt;"",IF(INDEX(PCCitrus,$N1582)="","—",INDEX(PCCitrus,$N1582)),"")</f>
        <v/>
      </c>
      <c r="F1582" s="25">
        <f>IF($N1582&lt;&gt;"",IF(INDEX(PCScale,$N1582)=0,"",INDEX(PCScale,$N1582)),"")</f>
        <v/>
      </c>
      <c r="G1582" s="25">
        <f>IF($N1582&lt;&gt;"",IF(INDEX(PCBaskets,$N1582)=0,"",INDEX(PCBaskets,$N1582)),"")</f>
        <v/>
      </c>
      <c r="H1582" s="26">
        <f>IF($N1582&lt;&gt;"",IF(INDEX(PCNet,$N1582)=0,"",INDEX(PCNet,$N1582)),"")</f>
        <v/>
      </c>
      <c r="I1582" s="25">
        <f>IF($N1582&lt;&gt;"",IF(INDEX(PCOp,$N1582)="مرجوعی خرید","",IF(INDEX(PCAmount,$N1582)&lt;=0,"",INDEX(PCAmount,$N1582))),IF($O1582&lt;&gt;"",IF(INDEX(TxnDepB,$O1582)=0,"",INDEX(TxnDepB,$O1582)),""))</f>
        <v/>
      </c>
      <c r="J1582" s="25">
        <f>IF($N1582&lt;&gt;"",IF(INDEX(PCOp,$N1582)="مرجوعی خرید",IF(INDEX(PCAmount,$N1582)=0,"",-INDEX(PCAmount,$N1582)),""),IF($O1582&lt;&gt;"",IF(INDEX(TxnWitB,$O1582)=0,"",INDEX(TxnWitB,$O1582)),""))</f>
        <v/>
      </c>
      <c r="K1582" s="27">
        <f>IF($B1582="","",IF($K1581="",$C$10,$K1581)+IF($I1582="",0,$I1582)-IF($J1582="",0,$J1582))</f>
        <v/>
      </c>
      <c r="L1582" s="28">
        <f>IF($N1582&lt;&gt;"",IF(INDEX(PCNotes,$N1582)="","—",INDEX(PCNotes,$N1582)),IF($O1582&lt;&gt;"",IF(INDEX(LdgNoteB,$O1582)="","—",INDEX(LdgNoteB,$O1582)),""))</f>
        <v/>
      </c>
      <c r="N1582">
        <f>IFERROR(MATCH($C$5&amp;"|"&amp;RIGHT("000000"&amp;1566,6),LdgRankKeyA,0),"")</f>
        <v/>
      </c>
      <c r="O1582">
        <f>IFERROR(MATCH($C$5&amp;"|"&amp;RIGHT("000000"&amp;1566,6),LdgRankKeyB,0),"")</f>
        <v/>
      </c>
    </row>
    <row r="1583">
      <c r="A1583" s="17" t="n">
        <v>1567</v>
      </c>
      <c r="B1583" s="18">
        <f>IF(AND($N1583="",$O1583=""),"",IF($N1583&lt;&gt;"",INDEX(PCNormDate,$N1583),INDEX(LdgDateB,$O1583)))</f>
        <v/>
      </c>
      <c r="C1583" s="18">
        <f>IF($N1583&lt;&gt;"",INDEX(PCOp,$N1583),IF($O1583&lt;&gt;"",IF(N(INDEX(TxnDepB,$O1583))&gt;0,"دریافت بانکی","پرداخت بانکی"),""))</f>
        <v/>
      </c>
      <c r="D1583" s="18">
        <f>IF($N1583&lt;&gt;"",IF(INDEX(PCDoc,$N1583)="","—",INDEX(PCDoc,$N1583)),IF($O1583&lt;&gt;"",INDEX(LdgBankB,$O1583),""))</f>
        <v/>
      </c>
      <c r="E1583" s="18">
        <f>IF($N1583&lt;&gt;"",IF(INDEX(PCCitrus,$N1583)="","—",INDEX(PCCitrus,$N1583)),"")</f>
        <v/>
      </c>
      <c r="F1583" s="19">
        <f>IF($N1583&lt;&gt;"",IF(INDEX(PCScale,$N1583)=0,"",INDEX(PCScale,$N1583)),"")</f>
        <v/>
      </c>
      <c r="G1583" s="19">
        <f>IF($N1583&lt;&gt;"",IF(INDEX(PCBaskets,$N1583)=0,"",INDEX(PCBaskets,$N1583)),"")</f>
        <v/>
      </c>
      <c r="H1583" s="20">
        <f>IF($N1583&lt;&gt;"",IF(INDEX(PCNet,$N1583)=0,"",INDEX(PCNet,$N1583)),"")</f>
        <v/>
      </c>
      <c r="I1583" s="19">
        <f>IF($N1583&lt;&gt;"",IF(INDEX(PCOp,$N1583)="مرجوعی خرید","",IF(INDEX(PCAmount,$N1583)&lt;=0,"",INDEX(PCAmount,$N1583))),IF($O1583&lt;&gt;"",IF(INDEX(TxnDepB,$O1583)=0,"",INDEX(TxnDepB,$O1583)),""))</f>
        <v/>
      </c>
      <c r="J1583" s="19">
        <f>IF($N1583&lt;&gt;"",IF(INDEX(PCOp,$N1583)="مرجوعی خرید",IF(INDEX(PCAmount,$N1583)=0,"",-INDEX(PCAmount,$N1583)),""),IF($O1583&lt;&gt;"",IF(INDEX(TxnWitB,$O1583)=0,"",INDEX(TxnWitB,$O1583)),""))</f>
        <v/>
      </c>
      <c r="K1583" s="21">
        <f>IF($B1583="","",IF($K1582="",$C$10,$K1582)+IF($I1583="",0,$I1583)-IF($J1583="",0,$J1583))</f>
        <v/>
      </c>
      <c r="L1583" s="22">
        <f>IF($N1583&lt;&gt;"",IF(INDEX(PCNotes,$N1583)="","—",INDEX(PCNotes,$N1583)),IF($O1583&lt;&gt;"",IF(INDEX(LdgNoteB,$O1583)="","—",INDEX(LdgNoteB,$O1583)),""))</f>
        <v/>
      </c>
      <c r="N1583">
        <f>IFERROR(MATCH($C$5&amp;"|"&amp;RIGHT("000000"&amp;1567,6),LdgRankKeyA,0),"")</f>
        <v/>
      </c>
      <c r="O1583">
        <f>IFERROR(MATCH($C$5&amp;"|"&amp;RIGHT("000000"&amp;1567,6),LdgRankKeyB,0),"")</f>
        <v/>
      </c>
    </row>
    <row r="1584">
      <c r="A1584" s="23" t="n">
        <v>1568</v>
      </c>
      <c r="B1584" s="24">
        <f>IF(AND($N1584="",$O1584=""),"",IF($N1584&lt;&gt;"",INDEX(PCNormDate,$N1584),INDEX(LdgDateB,$O1584)))</f>
        <v/>
      </c>
      <c r="C1584" s="24">
        <f>IF($N1584&lt;&gt;"",INDEX(PCOp,$N1584),IF($O1584&lt;&gt;"",IF(N(INDEX(TxnDepB,$O1584))&gt;0,"دریافت بانکی","پرداخت بانکی"),""))</f>
        <v/>
      </c>
      <c r="D1584" s="24">
        <f>IF($N1584&lt;&gt;"",IF(INDEX(PCDoc,$N1584)="","—",INDEX(PCDoc,$N1584)),IF($O1584&lt;&gt;"",INDEX(LdgBankB,$O1584),""))</f>
        <v/>
      </c>
      <c r="E1584" s="24">
        <f>IF($N1584&lt;&gt;"",IF(INDEX(PCCitrus,$N1584)="","—",INDEX(PCCitrus,$N1584)),"")</f>
        <v/>
      </c>
      <c r="F1584" s="25">
        <f>IF($N1584&lt;&gt;"",IF(INDEX(PCScale,$N1584)=0,"",INDEX(PCScale,$N1584)),"")</f>
        <v/>
      </c>
      <c r="G1584" s="25">
        <f>IF($N1584&lt;&gt;"",IF(INDEX(PCBaskets,$N1584)=0,"",INDEX(PCBaskets,$N1584)),"")</f>
        <v/>
      </c>
      <c r="H1584" s="26">
        <f>IF($N1584&lt;&gt;"",IF(INDEX(PCNet,$N1584)=0,"",INDEX(PCNet,$N1584)),"")</f>
        <v/>
      </c>
      <c r="I1584" s="25">
        <f>IF($N1584&lt;&gt;"",IF(INDEX(PCOp,$N1584)="مرجوعی خرید","",IF(INDEX(PCAmount,$N1584)&lt;=0,"",INDEX(PCAmount,$N1584))),IF($O1584&lt;&gt;"",IF(INDEX(TxnDepB,$O1584)=0,"",INDEX(TxnDepB,$O1584)),""))</f>
        <v/>
      </c>
      <c r="J1584" s="25">
        <f>IF($N1584&lt;&gt;"",IF(INDEX(PCOp,$N1584)="مرجوعی خرید",IF(INDEX(PCAmount,$N1584)=0,"",-INDEX(PCAmount,$N1584)),""),IF($O1584&lt;&gt;"",IF(INDEX(TxnWitB,$O1584)=0,"",INDEX(TxnWitB,$O1584)),""))</f>
        <v/>
      </c>
      <c r="K1584" s="27">
        <f>IF($B1584="","",IF($K1583="",$C$10,$K1583)+IF($I1584="",0,$I1584)-IF($J1584="",0,$J1584))</f>
        <v/>
      </c>
      <c r="L1584" s="28">
        <f>IF($N1584&lt;&gt;"",IF(INDEX(PCNotes,$N1584)="","—",INDEX(PCNotes,$N1584)),IF($O1584&lt;&gt;"",IF(INDEX(LdgNoteB,$O1584)="","—",INDEX(LdgNoteB,$O1584)),""))</f>
        <v/>
      </c>
      <c r="N1584">
        <f>IFERROR(MATCH($C$5&amp;"|"&amp;RIGHT("000000"&amp;1568,6),LdgRankKeyA,0),"")</f>
        <v/>
      </c>
      <c r="O1584">
        <f>IFERROR(MATCH($C$5&amp;"|"&amp;RIGHT("000000"&amp;1568,6),LdgRankKeyB,0),"")</f>
        <v/>
      </c>
    </row>
    <row r="1585">
      <c r="A1585" s="17" t="n">
        <v>1569</v>
      </c>
      <c r="B1585" s="18">
        <f>IF(AND($N1585="",$O1585=""),"",IF($N1585&lt;&gt;"",INDEX(PCNormDate,$N1585),INDEX(LdgDateB,$O1585)))</f>
        <v/>
      </c>
      <c r="C1585" s="18">
        <f>IF($N1585&lt;&gt;"",INDEX(PCOp,$N1585),IF($O1585&lt;&gt;"",IF(N(INDEX(TxnDepB,$O1585))&gt;0,"دریافت بانکی","پرداخت بانکی"),""))</f>
        <v/>
      </c>
      <c r="D1585" s="18">
        <f>IF($N1585&lt;&gt;"",IF(INDEX(PCDoc,$N1585)="","—",INDEX(PCDoc,$N1585)),IF($O1585&lt;&gt;"",INDEX(LdgBankB,$O1585),""))</f>
        <v/>
      </c>
      <c r="E1585" s="18">
        <f>IF($N1585&lt;&gt;"",IF(INDEX(PCCitrus,$N1585)="","—",INDEX(PCCitrus,$N1585)),"")</f>
        <v/>
      </c>
      <c r="F1585" s="19">
        <f>IF($N1585&lt;&gt;"",IF(INDEX(PCScale,$N1585)=0,"",INDEX(PCScale,$N1585)),"")</f>
        <v/>
      </c>
      <c r="G1585" s="19">
        <f>IF($N1585&lt;&gt;"",IF(INDEX(PCBaskets,$N1585)=0,"",INDEX(PCBaskets,$N1585)),"")</f>
        <v/>
      </c>
      <c r="H1585" s="20">
        <f>IF($N1585&lt;&gt;"",IF(INDEX(PCNet,$N1585)=0,"",INDEX(PCNet,$N1585)),"")</f>
        <v/>
      </c>
      <c r="I1585" s="19">
        <f>IF($N1585&lt;&gt;"",IF(INDEX(PCOp,$N1585)="مرجوعی خرید","",IF(INDEX(PCAmount,$N1585)&lt;=0,"",INDEX(PCAmount,$N1585))),IF($O1585&lt;&gt;"",IF(INDEX(TxnDepB,$O1585)=0,"",INDEX(TxnDepB,$O1585)),""))</f>
        <v/>
      </c>
      <c r="J1585" s="19">
        <f>IF($N1585&lt;&gt;"",IF(INDEX(PCOp,$N1585)="مرجوعی خرید",IF(INDEX(PCAmount,$N1585)=0,"",-INDEX(PCAmount,$N1585)),""),IF($O1585&lt;&gt;"",IF(INDEX(TxnWitB,$O1585)=0,"",INDEX(TxnWitB,$O1585)),""))</f>
        <v/>
      </c>
      <c r="K1585" s="21">
        <f>IF($B1585="","",IF($K1584="",$C$10,$K1584)+IF($I1585="",0,$I1585)-IF($J1585="",0,$J1585))</f>
        <v/>
      </c>
      <c r="L1585" s="22">
        <f>IF($N1585&lt;&gt;"",IF(INDEX(PCNotes,$N1585)="","—",INDEX(PCNotes,$N1585)),IF($O1585&lt;&gt;"",IF(INDEX(LdgNoteB,$O1585)="","—",INDEX(LdgNoteB,$O1585)),""))</f>
        <v/>
      </c>
      <c r="N1585">
        <f>IFERROR(MATCH($C$5&amp;"|"&amp;RIGHT("000000"&amp;1569,6),LdgRankKeyA,0),"")</f>
        <v/>
      </c>
      <c r="O1585">
        <f>IFERROR(MATCH($C$5&amp;"|"&amp;RIGHT("000000"&amp;1569,6),LdgRankKeyB,0),"")</f>
        <v/>
      </c>
    </row>
    <row r="1586">
      <c r="A1586" s="23" t="n">
        <v>1570</v>
      </c>
      <c r="B1586" s="24">
        <f>IF(AND($N1586="",$O1586=""),"",IF($N1586&lt;&gt;"",INDEX(PCNormDate,$N1586),INDEX(LdgDateB,$O1586)))</f>
        <v/>
      </c>
      <c r="C1586" s="24">
        <f>IF($N1586&lt;&gt;"",INDEX(PCOp,$N1586),IF($O1586&lt;&gt;"",IF(N(INDEX(TxnDepB,$O1586))&gt;0,"دریافت بانکی","پرداخت بانکی"),""))</f>
        <v/>
      </c>
      <c r="D1586" s="24">
        <f>IF($N1586&lt;&gt;"",IF(INDEX(PCDoc,$N1586)="","—",INDEX(PCDoc,$N1586)),IF($O1586&lt;&gt;"",INDEX(LdgBankB,$O1586),""))</f>
        <v/>
      </c>
      <c r="E1586" s="24">
        <f>IF($N1586&lt;&gt;"",IF(INDEX(PCCitrus,$N1586)="","—",INDEX(PCCitrus,$N1586)),"")</f>
        <v/>
      </c>
      <c r="F1586" s="25">
        <f>IF($N1586&lt;&gt;"",IF(INDEX(PCScale,$N1586)=0,"",INDEX(PCScale,$N1586)),"")</f>
        <v/>
      </c>
      <c r="G1586" s="25">
        <f>IF($N1586&lt;&gt;"",IF(INDEX(PCBaskets,$N1586)=0,"",INDEX(PCBaskets,$N1586)),"")</f>
        <v/>
      </c>
      <c r="H1586" s="26">
        <f>IF($N1586&lt;&gt;"",IF(INDEX(PCNet,$N1586)=0,"",INDEX(PCNet,$N1586)),"")</f>
        <v/>
      </c>
      <c r="I1586" s="25">
        <f>IF($N1586&lt;&gt;"",IF(INDEX(PCOp,$N1586)="مرجوعی خرید","",IF(INDEX(PCAmount,$N1586)&lt;=0,"",INDEX(PCAmount,$N1586))),IF($O1586&lt;&gt;"",IF(INDEX(TxnDepB,$O1586)=0,"",INDEX(TxnDepB,$O1586)),""))</f>
        <v/>
      </c>
      <c r="J1586" s="25">
        <f>IF($N1586&lt;&gt;"",IF(INDEX(PCOp,$N1586)="مرجوعی خرید",IF(INDEX(PCAmount,$N1586)=0,"",-INDEX(PCAmount,$N1586)),""),IF($O1586&lt;&gt;"",IF(INDEX(TxnWitB,$O1586)=0,"",INDEX(TxnWitB,$O1586)),""))</f>
        <v/>
      </c>
      <c r="K1586" s="27">
        <f>IF($B1586="","",IF($K1585="",$C$10,$K1585)+IF($I1586="",0,$I1586)-IF($J1586="",0,$J1586))</f>
        <v/>
      </c>
      <c r="L1586" s="28">
        <f>IF($N1586&lt;&gt;"",IF(INDEX(PCNotes,$N1586)="","—",INDEX(PCNotes,$N1586)),IF($O1586&lt;&gt;"",IF(INDEX(LdgNoteB,$O1586)="","—",INDEX(LdgNoteB,$O1586)),""))</f>
        <v/>
      </c>
      <c r="N1586">
        <f>IFERROR(MATCH($C$5&amp;"|"&amp;RIGHT("000000"&amp;1570,6),LdgRankKeyA,0),"")</f>
        <v/>
      </c>
      <c r="O1586">
        <f>IFERROR(MATCH($C$5&amp;"|"&amp;RIGHT("000000"&amp;1570,6),LdgRankKeyB,0),"")</f>
        <v/>
      </c>
    </row>
    <row r="1587">
      <c r="A1587" s="17" t="n">
        <v>1571</v>
      </c>
      <c r="B1587" s="18">
        <f>IF(AND($N1587="",$O1587=""),"",IF($N1587&lt;&gt;"",INDEX(PCNormDate,$N1587),INDEX(LdgDateB,$O1587)))</f>
        <v/>
      </c>
      <c r="C1587" s="18">
        <f>IF($N1587&lt;&gt;"",INDEX(PCOp,$N1587),IF($O1587&lt;&gt;"",IF(N(INDEX(TxnDepB,$O1587))&gt;0,"دریافت بانکی","پرداخت بانکی"),""))</f>
        <v/>
      </c>
      <c r="D1587" s="18">
        <f>IF($N1587&lt;&gt;"",IF(INDEX(PCDoc,$N1587)="","—",INDEX(PCDoc,$N1587)),IF($O1587&lt;&gt;"",INDEX(LdgBankB,$O1587),""))</f>
        <v/>
      </c>
      <c r="E1587" s="18">
        <f>IF($N1587&lt;&gt;"",IF(INDEX(PCCitrus,$N1587)="","—",INDEX(PCCitrus,$N1587)),"")</f>
        <v/>
      </c>
      <c r="F1587" s="19">
        <f>IF($N1587&lt;&gt;"",IF(INDEX(PCScale,$N1587)=0,"",INDEX(PCScale,$N1587)),"")</f>
        <v/>
      </c>
      <c r="G1587" s="19">
        <f>IF($N1587&lt;&gt;"",IF(INDEX(PCBaskets,$N1587)=0,"",INDEX(PCBaskets,$N1587)),"")</f>
        <v/>
      </c>
      <c r="H1587" s="20">
        <f>IF($N1587&lt;&gt;"",IF(INDEX(PCNet,$N1587)=0,"",INDEX(PCNet,$N1587)),"")</f>
        <v/>
      </c>
      <c r="I1587" s="19">
        <f>IF($N1587&lt;&gt;"",IF(INDEX(PCOp,$N1587)="مرجوعی خرید","",IF(INDEX(PCAmount,$N1587)&lt;=0,"",INDEX(PCAmount,$N1587))),IF($O1587&lt;&gt;"",IF(INDEX(TxnDepB,$O1587)=0,"",INDEX(TxnDepB,$O1587)),""))</f>
        <v/>
      </c>
      <c r="J1587" s="19">
        <f>IF($N1587&lt;&gt;"",IF(INDEX(PCOp,$N1587)="مرجوعی خرید",IF(INDEX(PCAmount,$N1587)=0,"",-INDEX(PCAmount,$N1587)),""),IF($O1587&lt;&gt;"",IF(INDEX(TxnWitB,$O1587)=0,"",INDEX(TxnWitB,$O1587)),""))</f>
        <v/>
      </c>
      <c r="K1587" s="21">
        <f>IF($B1587="","",IF($K1586="",$C$10,$K1586)+IF($I1587="",0,$I1587)-IF($J1587="",0,$J1587))</f>
        <v/>
      </c>
      <c r="L1587" s="22">
        <f>IF($N1587&lt;&gt;"",IF(INDEX(PCNotes,$N1587)="","—",INDEX(PCNotes,$N1587)),IF($O1587&lt;&gt;"",IF(INDEX(LdgNoteB,$O1587)="","—",INDEX(LdgNoteB,$O1587)),""))</f>
        <v/>
      </c>
      <c r="N1587">
        <f>IFERROR(MATCH($C$5&amp;"|"&amp;RIGHT("000000"&amp;1571,6),LdgRankKeyA,0),"")</f>
        <v/>
      </c>
      <c r="O1587">
        <f>IFERROR(MATCH($C$5&amp;"|"&amp;RIGHT("000000"&amp;1571,6),LdgRankKeyB,0),"")</f>
        <v/>
      </c>
    </row>
    <row r="1588">
      <c r="A1588" s="23" t="n">
        <v>1572</v>
      </c>
      <c r="B1588" s="24">
        <f>IF(AND($N1588="",$O1588=""),"",IF($N1588&lt;&gt;"",INDEX(PCNormDate,$N1588),INDEX(LdgDateB,$O1588)))</f>
        <v/>
      </c>
      <c r="C1588" s="24">
        <f>IF($N1588&lt;&gt;"",INDEX(PCOp,$N1588),IF($O1588&lt;&gt;"",IF(N(INDEX(TxnDepB,$O1588))&gt;0,"دریافت بانکی","پرداخت بانکی"),""))</f>
        <v/>
      </c>
      <c r="D1588" s="24">
        <f>IF($N1588&lt;&gt;"",IF(INDEX(PCDoc,$N1588)="","—",INDEX(PCDoc,$N1588)),IF($O1588&lt;&gt;"",INDEX(LdgBankB,$O1588),""))</f>
        <v/>
      </c>
      <c r="E1588" s="24">
        <f>IF($N1588&lt;&gt;"",IF(INDEX(PCCitrus,$N1588)="","—",INDEX(PCCitrus,$N1588)),"")</f>
        <v/>
      </c>
      <c r="F1588" s="25">
        <f>IF($N1588&lt;&gt;"",IF(INDEX(PCScale,$N1588)=0,"",INDEX(PCScale,$N1588)),"")</f>
        <v/>
      </c>
      <c r="G1588" s="25">
        <f>IF($N1588&lt;&gt;"",IF(INDEX(PCBaskets,$N1588)=0,"",INDEX(PCBaskets,$N1588)),"")</f>
        <v/>
      </c>
      <c r="H1588" s="26">
        <f>IF($N1588&lt;&gt;"",IF(INDEX(PCNet,$N1588)=0,"",INDEX(PCNet,$N1588)),"")</f>
        <v/>
      </c>
      <c r="I1588" s="25">
        <f>IF($N1588&lt;&gt;"",IF(INDEX(PCOp,$N1588)="مرجوعی خرید","",IF(INDEX(PCAmount,$N1588)&lt;=0,"",INDEX(PCAmount,$N1588))),IF($O1588&lt;&gt;"",IF(INDEX(TxnDepB,$O1588)=0,"",INDEX(TxnDepB,$O1588)),""))</f>
        <v/>
      </c>
      <c r="J1588" s="25">
        <f>IF($N1588&lt;&gt;"",IF(INDEX(PCOp,$N1588)="مرجوعی خرید",IF(INDEX(PCAmount,$N1588)=0,"",-INDEX(PCAmount,$N1588)),""),IF($O1588&lt;&gt;"",IF(INDEX(TxnWitB,$O1588)=0,"",INDEX(TxnWitB,$O1588)),""))</f>
        <v/>
      </c>
      <c r="K1588" s="27">
        <f>IF($B1588="","",IF($K1587="",$C$10,$K1587)+IF($I1588="",0,$I1588)-IF($J1588="",0,$J1588))</f>
        <v/>
      </c>
      <c r="L1588" s="28">
        <f>IF($N1588&lt;&gt;"",IF(INDEX(PCNotes,$N1588)="","—",INDEX(PCNotes,$N1588)),IF($O1588&lt;&gt;"",IF(INDEX(LdgNoteB,$O1588)="","—",INDEX(LdgNoteB,$O1588)),""))</f>
        <v/>
      </c>
      <c r="N1588">
        <f>IFERROR(MATCH($C$5&amp;"|"&amp;RIGHT("000000"&amp;1572,6),LdgRankKeyA,0),"")</f>
        <v/>
      </c>
      <c r="O1588">
        <f>IFERROR(MATCH($C$5&amp;"|"&amp;RIGHT("000000"&amp;1572,6),LdgRankKeyB,0),"")</f>
        <v/>
      </c>
    </row>
    <row r="1589">
      <c r="A1589" s="17" t="n">
        <v>1573</v>
      </c>
      <c r="B1589" s="18">
        <f>IF(AND($N1589="",$O1589=""),"",IF($N1589&lt;&gt;"",INDEX(PCNormDate,$N1589),INDEX(LdgDateB,$O1589)))</f>
        <v/>
      </c>
      <c r="C1589" s="18">
        <f>IF($N1589&lt;&gt;"",INDEX(PCOp,$N1589),IF($O1589&lt;&gt;"",IF(N(INDEX(TxnDepB,$O1589))&gt;0,"دریافت بانکی","پرداخت بانکی"),""))</f>
        <v/>
      </c>
      <c r="D1589" s="18">
        <f>IF($N1589&lt;&gt;"",IF(INDEX(PCDoc,$N1589)="","—",INDEX(PCDoc,$N1589)),IF($O1589&lt;&gt;"",INDEX(LdgBankB,$O1589),""))</f>
        <v/>
      </c>
      <c r="E1589" s="18">
        <f>IF($N1589&lt;&gt;"",IF(INDEX(PCCitrus,$N1589)="","—",INDEX(PCCitrus,$N1589)),"")</f>
        <v/>
      </c>
      <c r="F1589" s="19">
        <f>IF($N1589&lt;&gt;"",IF(INDEX(PCScale,$N1589)=0,"",INDEX(PCScale,$N1589)),"")</f>
        <v/>
      </c>
      <c r="G1589" s="19">
        <f>IF($N1589&lt;&gt;"",IF(INDEX(PCBaskets,$N1589)=0,"",INDEX(PCBaskets,$N1589)),"")</f>
        <v/>
      </c>
      <c r="H1589" s="20">
        <f>IF($N1589&lt;&gt;"",IF(INDEX(PCNet,$N1589)=0,"",INDEX(PCNet,$N1589)),"")</f>
        <v/>
      </c>
      <c r="I1589" s="19">
        <f>IF($N1589&lt;&gt;"",IF(INDEX(PCOp,$N1589)="مرجوعی خرید","",IF(INDEX(PCAmount,$N1589)&lt;=0,"",INDEX(PCAmount,$N1589))),IF($O1589&lt;&gt;"",IF(INDEX(TxnDepB,$O1589)=0,"",INDEX(TxnDepB,$O1589)),""))</f>
        <v/>
      </c>
      <c r="J1589" s="19">
        <f>IF($N1589&lt;&gt;"",IF(INDEX(PCOp,$N1589)="مرجوعی خرید",IF(INDEX(PCAmount,$N1589)=0,"",-INDEX(PCAmount,$N1589)),""),IF($O1589&lt;&gt;"",IF(INDEX(TxnWitB,$O1589)=0,"",INDEX(TxnWitB,$O1589)),""))</f>
        <v/>
      </c>
      <c r="K1589" s="21">
        <f>IF($B1589="","",IF($K1588="",$C$10,$K1588)+IF($I1589="",0,$I1589)-IF($J1589="",0,$J1589))</f>
        <v/>
      </c>
      <c r="L1589" s="22">
        <f>IF($N1589&lt;&gt;"",IF(INDEX(PCNotes,$N1589)="","—",INDEX(PCNotes,$N1589)),IF($O1589&lt;&gt;"",IF(INDEX(LdgNoteB,$O1589)="","—",INDEX(LdgNoteB,$O1589)),""))</f>
        <v/>
      </c>
      <c r="N1589">
        <f>IFERROR(MATCH($C$5&amp;"|"&amp;RIGHT("000000"&amp;1573,6),LdgRankKeyA,0),"")</f>
        <v/>
      </c>
      <c r="O1589">
        <f>IFERROR(MATCH($C$5&amp;"|"&amp;RIGHT("000000"&amp;1573,6),LdgRankKeyB,0),"")</f>
        <v/>
      </c>
    </row>
    <row r="1590">
      <c r="A1590" s="23" t="n">
        <v>1574</v>
      </c>
      <c r="B1590" s="24">
        <f>IF(AND($N1590="",$O1590=""),"",IF($N1590&lt;&gt;"",INDEX(PCNormDate,$N1590),INDEX(LdgDateB,$O1590)))</f>
        <v/>
      </c>
      <c r="C1590" s="24">
        <f>IF($N1590&lt;&gt;"",INDEX(PCOp,$N1590),IF($O1590&lt;&gt;"",IF(N(INDEX(TxnDepB,$O1590))&gt;0,"دریافت بانکی","پرداخت بانکی"),""))</f>
        <v/>
      </c>
      <c r="D1590" s="24">
        <f>IF($N1590&lt;&gt;"",IF(INDEX(PCDoc,$N1590)="","—",INDEX(PCDoc,$N1590)),IF($O1590&lt;&gt;"",INDEX(LdgBankB,$O1590),""))</f>
        <v/>
      </c>
      <c r="E1590" s="24">
        <f>IF($N1590&lt;&gt;"",IF(INDEX(PCCitrus,$N1590)="","—",INDEX(PCCitrus,$N1590)),"")</f>
        <v/>
      </c>
      <c r="F1590" s="25">
        <f>IF($N1590&lt;&gt;"",IF(INDEX(PCScale,$N1590)=0,"",INDEX(PCScale,$N1590)),"")</f>
        <v/>
      </c>
      <c r="G1590" s="25">
        <f>IF($N1590&lt;&gt;"",IF(INDEX(PCBaskets,$N1590)=0,"",INDEX(PCBaskets,$N1590)),"")</f>
        <v/>
      </c>
      <c r="H1590" s="26">
        <f>IF($N1590&lt;&gt;"",IF(INDEX(PCNet,$N1590)=0,"",INDEX(PCNet,$N1590)),"")</f>
        <v/>
      </c>
      <c r="I1590" s="25">
        <f>IF($N1590&lt;&gt;"",IF(INDEX(PCOp,$N1590)="مرجوعی خرید","",IF(INDEX(PCAmount,$N1590)&lt;=0,"",INDEX(PCAmount,$N1590))),IF($O1590&lt;&gt;"",IF(INDEX(TxnDepB,$O1590)=0,"",INDEX(TxnDepB,$O1590)),""))</f>
        <v/>
      </c>
      <c r="J1590" s="25">
        <f>IF($N1590&lt;&gt;"",IF(INDEX(PCOp,$N1590)="مرجوعی خرید",IF(INDEX(PCAmount,$N1590)=0,"",-INDEX(PCAmount,$N1590)),""),IF($O1590&lt;&gt;"",IF(INDEX(TxnWitB,$O1590)=0,"",INDEX(TxnWitB,$O1590)),""))</f>
        <v/>
      </c>
      <c r="K1590" s="27">
        <f>IF($B1590="","",IF($K1589="",$C$10,$K1589)+IF($I1590="",0,$I1590)-IF($J1590="",0,$J1590))</f>
        <v/>
      </c>
      <c r="L1590" s="28">
        <f>IF($N1590&lt;&gt;"",IF(INDEX(PCNotes,$N1590)="","—",INDEX(PCNotes,$N1590)),IF($O1590&lt;&gt;"",IF(INDEX(LdgNoteB,$O1590)="","—",INDEX(LdgNoteB,$O1590)),""))</f>
        <v/>
      </c>
      <c r="N1590">
        <f>IFERROR(MATCH($C$5&amp;"|"&amp;RIGHT("000000"&amp;1574,6),LdgRankKeyA,0),"")</f>
        <v/>
      </c>
      <c r="O1590">
        <f>IFERROR(MATCH($C$5&amp;"|"&amp;RIGHT("000000"&amp;1574,6),LdgRankKeyB,0),"")</f>
        <v/>
      </c>
    </row>
    <row r="1591">
      <c r="A1591" s="17" t="n">
        <v>1575</v>
      </c>
      <c r="B1591" s="18">
        <f>IF(AND($N1591="",$O1591=""),"",IF($N1591&lt;&gt;"",INDEX(PCNormDate,$N1591),INDEX(LdgDateB,$O1591)))</f>
        <v/>
      </c>
      <c r="C1591" s="18">
        <f>IF($N1591&lt;&gt;"",INDEX(PCOp,$N1591),IF($O1591&lt;&gt;"",IF(N(INDEX(TxnDepB,$O1591))&gt;0,"دریافت بانکی","پرداخت بانکی"),""))</f>
        <v/>
      </c>
      <c r="D1591" s="18">
        <f>IF($N1591&lt;&gt;"",IF(INDEX(PCDoc,$N1591)="","—",INDEX(PCDoc,$N1591)),IF($O1591&lt;&gt;"",INDEX(LdgBankB,$O1591),""))</f>
        <v/>
      </c>
      <c r="E1591" s="18">
        <f>IF($N1591&lt;&gt;"",IF(INDEX(PCCitrus,$N1591)="","—",INDEX(PCCitrus,$N1591)),"")</f>
        <v/>
      </c>
      <c r="F1591" s="19">
        <f>IF($N1591&lt;&gt;"",IF(INDEX(PCScale,$N1591)=0,"",INDEX(PCScale,$N1591)),"")</f>
        <v/>
      </c>
      <c r="G1591" s="19">
        <f>IF($N1591&lt;&gt;"",IF(INDEX(PCBaskets,$N1591)=0,"",INDEX(PCBaskets,$N1591)),"")</f>
        <v/>
      </c>
      <c r="H1591" s="20">
        <f>IF($N1591&lt;&gt;"",IF(INDEX(PCNet,$N1591)=0,"",INDEX(PCNet,$N1591)),"")</f>
        <v/>
      </c>
      <c r="I1591" s="19">
        <f>IF($N1591&lt;&gt;"",IF(INDEX(PCOp,$N1591)="مرجوعی خرید","",IF(INDEX(PCAmount,$N1591)&lt;=0,"",INDEX(PCAmount,$N1591))),IF($O1591&lt;&gt;"",IF(INDEX(TxnDepB,$O1591)=0,"",INDEX(TxnDepB,$O1591)),""))</f>
        <v/>
      </c>
      <c r="J1591" s="19">
        <f>IF($N1591&lt;&gt;"",IF(INDEX(PCOp,$N1591)="مرجوعی خرید",IF(INDEX(PCAmount,$N1591)=0,"",-INDEX(PCAmount,$N1591)),""),IF($O1591&lt;&gt;"",IF(INDEX(TxnWitB,$O1591)=0,"",INDEX(TxnWitB,$O1591)),""))</f>
        <v/>
      </c>
      <c r="K1591" s="21">
        <f>IF($B1591="","",IF($K1590="",$C$10,$K1590)+IF($I1591="",0,$I1591)-IF($J1591="",0,$J1591))</f>
        <v/>
      </c>
      <c r="L1591" s="22">
        <f>IF($N1591&lt;&gt;"",IF(INDEX(PCNotes,$N1591)="","—",INDEX(PCNotes,$N1591)),IF($O1591&lt;&gt;"",IF(INDEX(LdgNoteB,$O1591)="","—",INDEX(LdgNoteB,$O1591)),""))</f>
        <v/>
      </c>
      <c r="N1591">
        <f>IFERROR(MATCH($C$5&amp;"|"&amp;RIGHT("000000"&amp;1575,6),LdgRankKeyA,0),"")</f>
        <v/>
      </c>
      <c r="O1591">
        <f>IFERROR(MATCH($C$5&amp;"|"&amp;RIGHT("000000"&amp;1575,6),LdgRankKeyB,0),"")</f>
        <v/>
      </c>
    </row>
    <row r="1592">
      <c r="A1592" s="23" t="n">
        <v>1576</v>
      </c>
      <c r="B1592" s="24">
        <f>IF(AND($N1592="",$O1592=""),"",IF($N1592&lt;&gt;"",INDEX(PCNormDate,$N1592),INDEX(LdgDateB,$O1592)))</f>
        <v/>
      </c>
      <c r="C1592" s="24">
        <f>IF($N1592&lt;&gt;"",INDEX(PCOp,$N1592),IF($O1592&lt;&gt;"",IF(N(INDEX(TxnDepB,$O1592))&gt;0,"دریافت بانکی","پرداخت بانکی"),""))</f>
        <v/>
      </c>
      <c r="D1592" s="24">
        <f>IF($N1592&lt;&gt;"",IF(INDEX(PCDoc,$N1592)="","—",INDEX(PCDoc,$N1592)),IF($O1592&lt;&gt;"",INDEX(LdgBankB,$O1592),""))</f>
        <v/>
      </c>
      <c r="E1592" s="24">
        <f>IF($N1592&lt;&gt;"",IF(INDEX(PCCitrus,$N1592)="","—",INDEX(PCCitrus,$N1592)),"")</f>
        <v/>
      </c>
      <c r="F1592" s="25">
        <f>IF($N1592&lt;&gt;"",IF(INDEX(PCScale,$N1592)=0,"",INDEX(PCScale,$N1592)),"")</f>
        <v/>
      </c>
      <c r="G1592" s="25">
        <f>IF($N1592&lt;&gt;"",IF(INDEX(PCBaskets,$N1592)=0,"",INDEX(PCBaskets,$N1592)),"")</f>
        <v/>
      </c>
      <c r="H1592" s="26">
        <f>IF($N1592&lt;&gt;"",IF(INDEX(PCNet,$N1592)=0,"",INDEX(PCNet,$N1592)),"")</f>
        <v/>
      </c>
      <c r="I1592" s="25">
        <f>IF($N1592&lt;&gt;"",IF(INDEX(PCOp,$N1592)="مرجوعی خرید","",IF(INDEX(PCAmount,$N1592)&lt;=0,"",INDEX(PCAmount,$N1592))),IF($O1592&lt;&gt;"",IF(INDEX(TxnDepB,$O1592)=0,"",INDEX(TxnDepB,$O1592)),""))</f>
        <v/>
      </c>
      <c r="J1592" s="25">
        <f>IF($N1592&lt;&gt;"",IF(INDEX(PCOp,$N1592)="مرجوعی خرید",IF(INDEX(PCAmount,$N1592)=0,"",-INDEX(PCAmount,$N1592)),""),IF($O1592&lt;&gt;"",IF(INDEX(TxnWitB,$O1592)=0,"",INDEX(TxnWitB,$O1592)),""))</f>
        <v/>
      </c>
      <c r="K1592" s="27">
        <f>IF($B1592="","",IF($K1591="",$C$10,$K1591)+IF($I1592="",0,$I1592)-IF($J1592="",0,$J1592))</f>
        <v/>
      </c>
      <c r="L1592" s="28">
        <f>IF($N1592&lt;&gt;"",IF(INDEX(PCNotes,$N1592)="","—",INDEX(PCNotes,$N1592)),IF($O1592&lt;&gt;"",IF(INDEX(LdgNoteB,$O1592)="","—",INDEX(LdgNoteB,$O1592)),""))</f>
        <v/>
      </c>
      <c r="N1592">
        <f>IFERROR(MATCH($C$5&amp;"|"&amp;RIGHT("000000"&amp;1576,6),LdgRankKeyA,0),"")</f>
        <v/>
      </c>
      <c r="O1592">
        <f>IFERROR(MATCH($C$5&amp;"|"&amp;RIGHT("000000"&amp;1576,6),LdgRankKeyB,0),"")</f>
        <v/>
      </c>
    </row>
    <row r="1593">
      <c r="A1593" s="17" t="n">
        <v>1577</v>
      </c>
      <c r="B1593" s="18">
        <f>IF(AND($N1593="",$O1593=""),"",IF($N1593&lt;&gt;"",INDEX(PCNormDate,$N1593),INDEX(LdgDateB,$O1593)))</f>
        <v/>
      </c>
      <c r="C1593" s="18">
        <f>IF($N1593&lt;&gt;"",INDEX(PCOp,$N1593),IF($O1593&lt;&gt;"",IF(N(INDEX(TxnDepB,$O1593))&gt;0,"دریافت بانکی","پرداخت بانکی"),""))</f>
        <v/>
      </c>
      <c r="D1593" s="18">
        <f>IF($N1593&lt;&gt;"",IF(INDEX(PCDoc,$N1593)="","—",INDEX(PCDoc,$N1593)),IF($O1593&lt;&gt;"",INDEX(LdgBankB,$O1593),""))</f>
        <v/>
      </c>
      <c r="E1593" s="18">
        <f>IF($N1593&lt;&gt;"",IF(INDEX(PCCitrus,$N1593)="","—",INDEX(PCCitrus,$N1593)),"")</f>
        <v/>
      </c>
      <c r="F1593" s="19">
        <f>IF($N1593&lt;&gt;"",IF(INDEX(PCScale,$N1593)=0,"",INDEX(PCScale,$N1593)),"")</f>
        <v/>
      </c>
      <c r="G1593" s="19">
        <f>IF($N1593&lt;&gt;"",IF(INDEX(PCBaskets,$N1593)=0,"",INDEX(PCBaskets,$N1593)),"")</f>
        <v/>
      </c>
      <c r="H1593" s="20">
        <f>IF($N1593&lt;&gt;"",IF(INDEX(PCNet,$N1593)=0,"",INDEX(PCNet,$N1593)),"")</f>
        <v/>
      </c>
      <c r="I1593" s="19">
        <f>IF($N1593&lt;&gt;"",IF(INDEX(PCOp,$N1593)="مرجوعی خرید","",IF(INDEX(PCAmount,$N1593)&lt;=0,"",INDEX(PCAmount,$N1593))),IF($O1593&lt;&gt;"",IF(INDEX(TxnDepB,$O1593)=0,"",INDEX(TxnDepB,$O1593)),""))</f>
        <v/>
      </c>
      <c r="J1593" s="19">
        <f>IF($N1593&lt;&gt;"",IF(INDEX(PCOp,$N1593)="مرجوعی خرید",IF(INDEX(PCAmount,$N1593)=0,"",-INDEX(PCAmount,$N1593)),""),IF($O1593&lt;&gt;"",IF(INDEX(TxnWitB,$O1593)=0,"",INDEX(TxnWitB,$O1593)),""))</f>
        <v/>
      </c>
      <c r="K1593" s="21">
        <f>IF($B1593="","",IF($K1592="",$C$10,$K1592)+IF($I1593="",0,$I1593)-IF($J1593="",0,$J1593))</f>
        <v/>
      </c>
      <c r="L1593" s="22">
        <f>IF($N1593&lt;&gt;"",IF(INDEX(PCNotes,$N1593)="","—",INDEX(PCNotes,$N1593)),IF($O1593&lt;&gt;"",IF(INDEX(LdgNoteB,$O1593)="","—",INDEX(LdgNoteB,$O1593)),""))</f>
        <v/>
      </c>
      <c r="N1593">
        <f>IFERROR(MATCH($C$5&amp;"|"&amp;RIGHT("000000"&amp;1577,6),LdgRankKeyA,0),"")</f>
        <v/>
      </c>
      <c r="O1593">
        <f>IFERROR(MATCH($C$5&amp;"|"&amp;RIGHT("000000"&amp;1577,6),LdgRankKeyB,0),"")</f>
        <v/>
      </c>
    </row>
    <row r="1594">
      <c r="A1594" s="23" t="n">
        <v>1578</v>
      </c>
      <c r="B1594" s="24">
        <f>IF(AND($N1594="",$O1594=""),"",IF($N1594&lt;&gt;"",INDEX(PCNormDate,$N1594),INDEX(LdgDateB,$O1594)))</f>
        <v/>
      </c>
      <c r="C1594" s="24">
        <f>IF($N1594&lt;&gt;"",INDEX(PCOp,$N1594),IF($O1594&lt;&gt;"",IF(N(INDEX(TxnDepB,$O1594))&gt;0,"دریافت بانکی","پرداخت بانکی"),""))</f>
        <v/>
      </c>
      <c r="D1594" s="24">
        <f>IF($N1594&lt;&gt;"",IF(INDEX(PCDoc,$N1594)="","—",INDEX(PCDoc,$N1594)),IF($O1594&lt;&gt;"",INDEX(LdgBankB,$O1594),""))</f>
        <v/>
      </c>
      <c r="E1594" s="24">
        <f>IF($N1594&lt;&gt;"",IF(INDEX(PCCitrus,$N1594)="","—",INDEX(PCCitrus,$N1594)),"")</f>
        <v/>
      </c>
      <c r="F1594" s="25">
        <f>IF($N1594&lt;&gt;"",IF(INDEX(PCScale,$N1594)=0,"",INDEX(PCScale,$N1594)),"")</f>
        <v/>
      </c>
      <c r="G1594" s="25">
        <f>IF($N1594&lt;&gt;"",IF(INDEX(PCBaskets,$N1594)=0,"",INDEX(PCBaskets,$N1594)),"")</f>
        <v/>
      </c>
      <c r="H1594" s="26">
        <f>IF($N1594&lt;&gt;"",IF(INDEX(PCNet,$N1594)=0,"",INDEX(PCNet,$N1594)),"")</f>
        <v/>
      </c>
      <c r="I1594" s="25">
        <f>IF($N1594&lt;&gt;"",IF(INDEX(PCOp,$N1594)="مرجوعی خرید","",IF(INDEX(PCAmount,$N1594)&lt;=0,"",INDEX(PCAmount,$N1594))),IF($O1594&lt;&gt;"",IF(INDEX(TxnDepB,$O1594)=0,"",INDEX(TxnDepB,$O1594)),""))</f>
        <v/>
      </c>
      <c r="J1594" s="25">
        <f>IF($N1594&lt;&gt;"",IF(INDEX(PCOp,$N1594)="مرجوعی خرید",IF(INDEX(PCAmount,$N1594)=0,"",-INDEX(PCAmount,$N1594)),""),IF($O1594&lt;&gt;"",IF(INDEX(TxnWitB,$O1594)=0,"",INDEX(TxnWitB,$O1594)),""))</f>
        <v/>
      </c>
      <c r="K1594" s="27">
        <f>IF($B1594="","",IF($K1593="",$C$10,$K1593)+IF($I1594="",0,$I1594)-IF($J1594="",0,$J1594))</f>
        <v/>
      </c>
      <c r="L1594" s="28">
        <f>IF($N1594&lt;&gt;"",IF(INDEX(PCNotes,$N1594)="","—",INDEX(PCNotes,$N1594)),IF($O1594&lt;&gt;"",IF(INDEX(LdgNoteB,$O1594)="","—",INDEX(LdgNoteB,$O1594)),""))</f>
        <v/>
      </c>
      <c r="N1594">
        <f>IFERROR(MATCH($C$5&amp;"|"&amp;RIGHT("000000"&amp;1578,6),LdgRankKeyA,0),"")</f>
        <v/>
      </c>
      <c r="O1594">
        <f>IFERROR(MATCH($C$5&amp;"|"&amp;RIGHT("000000"&amp;1578,6),LdgRankKeyB,0),"")</f>
        <v/>
      </c>
    </row>
    <row r="1595">
      <c r="A1595" s="17" t="n">
        <v>1579</v>
      </c>
      <c r="B1595" s="18">
        <f>IF(AND($N1595="",$O1595=""),"",IF($N1595&lt;&gt;"",INDEX(PCNormDate,$N1595),INDEX(LdgDateB,$O1595)))</f>
        <v/>
      </c>
      <c r="C1595" s="18">
        <f>IF($N1595&lt;&gt;"",INDEX(PCOp,$N1595),IF($O1595&lt;&gt;"",IF(N(INDEX(TxnDepB,$O1595))&gt;0,"دریافت بانکی","پرداخت بانکی"),""))</f>
        <v/>
      </c>
      <c r="D1595" s="18">
        <f>IF($N1595&lt;&gt;"",IF(INDEX(PCDoc,$N1595)="","—",INDEX(PCDoc,$N1595)),IF($O1595&lt;&gt;"",INDEX(LdgBankB,$O1595),""))</f>
        <v/>
      </c>
      <c r="E1595" s="18">
        <f>IF($N1595&lt;&gt;"",IF(INDEX(PCCitrus,$N1595)="","—",INDEX(PCCitrus,$N1595)),"")</f>
        <v/>
      </c>
      <c r="F1595" s="19">
        <f>IF($N1595&lt;&gt;"",IF(INDEX(PCScale,$N1595)=0,"",INDEX(PCScale,$N1595)),"")</f>
        <v/>
      </c>
      <c r="G1595" s="19">
        <f>IF($N1595&lt;&gt;"",IF(INDEX(PCBaskets,$N1595)=0,"",INDEX(PCBaskets,$N1595)),"")</f>
        <v/>
      </c>
      <c r="H1595" s="20">
        <f>IF($N1595&lt;&gt;"",IF(INDEX(PCNet,$N1595)=0,"",INDEX(PCNet,$N1595)),"")</f>
        <v/>
      </c>
      <c r="I1595" s="19">
        <f>IF($N1595&lt;&gt;"",IF(INDEX(PCOp,$N1595)="مرجوعی خرید","",IF(INDEX(PCAmount,$N1595)&lt;=0,"",INDEX(PCAmount,$N1595))),IF($O1595&lt;&gt;"",IF(INDEX(TxnDepB,$O1595)=0,"",INDEX(TxnDepB,$O1595)),""))</f>
        <v/>
      </c>
      <c r="J1595" s="19">
        <f>IF($N1595&lt;&gt;"",IF(INDEX(PCOp,$N1595)="مرجوعی خرید",IF(INDEX(PCAmount,$N1595)=0,"",-INDEX(PCAmount,$N1595)),""),IF($O1595&lt;&gt;"",IF(INDEX(TxnWitB,$O1595)=0,"",INDEX(TxnWitB,$O1595)),""))</f>
        <v/>
      </c>
      <c r="K1595" s="21">
        <f>IF($B1595="","",IF($K1594="",$C$10,$K1594)+IF($I1595="",0,$I1595)-IF($J1595="",0,$J1595))</f>
        <v/>
      </c>
      <c r="L1595" s="22">
        <f>IF($N1595&lt;&gt;"",IF(INDEX(PCNotes,$N1595)="","—",INDEX(PCNotes,$N1595)),IF($O1595&lt;&gt;"",IF(INDEX(LdgNoteB,$O1595)="","—",INDEX(LdgNoteB,$O1595)),""))</f>
        <v/>
      </c>
      <c r="N1595">
        <f>IFERROR(MATCH($C$5&amp;"|"&amp;RIGHT("000000"&amp;1579,6),LdgRankKeyA,0),"")</f>
        <v/>
      </c>
      <c r="O1595">
        <f>IFERROR(MATCH($C$5&amp;"|"&amp;RIGHT("000000"&amp;1579,6),LdgRankKeyB,0),"")</f>
        <v/>
      </c>
    </row>
    <row r="1596">
      <c r="A1596" s="23" t="n">
        <v>1580</v>
      </c>
      <c r="B1596" s="24">
        <f>IF(AND($N1596="",$O1596=""),"",IF($N1596&lt;&gt;"",INDEX(PCNormDate,$N1596),INDEX(LdgDateB,$O1596)))</f>
        <v/>
      </c>
      <c r="C1596" s="24">
        <f>IF($N1596&lt;&gt;"",INDEX(PCOp,$N1596),IF($O1596&lt;&gt;"",IF(N(INDEX(TxnDepB,$O1596))&gt;0,"دریافت بانکی","پرداخت بانکی"),""))</f>
        <v/>
      </c>
      <c r="D1596" s="24">
        <f>IF($N1596&lt;&gt;"",IF(INDEX(PCDoc,$N1596)="","—",INDEX(PCDoc,$N1596)),IF($O1596&lt;&gt;"",INDEX(LdgBankB,$O1596),""))</f>
        <v/>
      </c>
      <c r="E1596" s="24">
        <f>IF($N1596&lt;&gt;"",IF(INDEX(PCCitrus,$N1596)="","—",INDEX(PCCitrus,$N1596)),"")</f>
        <v/>
      </c>
      <c r="F1596" s="25">
        <f>IF($N1596&lt;&gt;"",IF(INDEX(PCScale,$N1596)=0,"",INDEX(PCScale,$N1596)),"")</f>
        <v/>
      </c>
      <c r="G1596" s="25">
        <f>IF($N1596&lt;&gt;"",IF(INDEX(PCBaskets,$N1596)=0,"",INDEX(PCBaskets,$N1596)),"")</f>
        <v/>
      </c>
      <c r="H1596" s="26">
        <f>IF($N1596&lt;&gt;"",IF(INDEX(PCNet,$N1596)=0,"",INDEX(PCNet,$N1596)),"")</f>
        <v/>
      </c>
      <c r="I1596" s="25">
        <f>IF($N1596&lt;&gt;"",IF(INDEX(PCOp,$N1596)="مرجوعی خرید","",IF(INDEX(PCAmount,$N1596)&lt;=0,"",INDEX(PCAmount,$N1596))),IF($O1596&lt;&gt;"",IF(INDEX(TxnDepB,$O1596)=0,"",INDEX(TxnDepB,$O1596)),""))</f>
        <v/>
      </c>
      <c r="J1596" s="25">
        <f>IF($N1596&lt;&gt;"",IF(INDEX(PCOp,$N1596)="مرجوعی خرید",IF(INDEX(PCAmount,$N1596)=0,"",-INDEX(PCAmount,$N1596)),""),IF($O1596&lt;&gt;"",IF(INDEX(TxnWitB,$O1596)=0,"",INDEX(TxnWitB,$O1596)),""))</f>
        <v/>
      </c>
      <c r="K1596" s="27">
        <f>IF($B1596="","",IF($K1595="",$C$10,$K1595)+IF($I1596="",0,$I1596)-IF($J1596="",0,$J1596))</f>
        <v/>
      </c>
      <c r="L1596" s="28">
        <f>IF($N1596&lt;&gt;"",IF(INDEX(PCNotes,$N1596)="","—",INDEX(PCNotes,$N1596)),IF($O1596&lt;&gt;"",IF(INDEX(LdgNoteB,$O1596)="","—",INDEX(LdgNoteB,$O1596)),""))</f>
        <v/>
      </c>
      <c r="N1596">
        <f>IFERROR(MATCH($C$5&amp;"|"&amp;RIGHT("000000"&amp;1580,6),LdgRankKeyA,0),"")</f>
        <v/>
      </c>
      <c r="O1596">
        <f>IFERROR(MATCH($C$5&amp;"|"&amp;RIGHT("000000"&amp;1580,6),LdgRankKeyB,0),"")</f>
        <v/>
      </c>
    </row>
    <row r="1597">
      <c r="A1597" s="17" t="n">
        <v>1581</v>
      </c>
      <c r="B1597" s="18">
        <f>IF(AND($N1597="",$O1597=""),"",IF($N1597&lt;&gt;"",INDEX(PCNormDate,$N1597),INDEX(LdgDateB,$O1597)))</f>
        <v/>
      </c>
      <c r="C1597" s="18">
        <f>IF($N1597&lt;&gt;"",INDEX(PCOp,$N1597),IF($O1597&lt;&gt;"",IF(N(INDEX(TxnDepB,$O1597))&gt;0,"دریافت بانکی","پرداخت بانکی"),""))</f>
        <v/>
      </c>
      <c r="D1597" s="18">
        <f>IF($N1597&lt;&gt;"",IF(INDEX(PCDoc,$N1597)="","—",INDEX(PCDoc,$N1597)),IF($O1597&lt;&gt;"",INDEX(LdgBankB,$O1597),""))</f>
        <v/>
      </c>
      <c r="E1597" s="18">
        <f>IF($N1597&lt;&gt;"",IF(INDEX(PCCitrus,$N1597)="","—",INDEX(PCCitrus,$N1597)),"")</f>
        <v/>
      </c>
      <c r="F1597" s="19">
        <f>IF($N1597&lt;&gt;"",IF(INDEX(PCScale,$N1597)=0,"",INDEX(PCScale,$N1597)),"")</f>
        <v/>
      </c>
      <c r="G1597" s="19">
        <f>IF($N1597&lt;&gt;"",IF(INDEX(PCBaskets,$N1597)=0,"",INDEX(PCBaskets,$N1597)),"")</f>
        <v/>
      </c>
      <c r="H1597" s="20">
        <f>IF($N1597&lt;&gt;"",IF(INDEX(PCNet,$N1597)=0,"",INDEX(PCNet,$N1597)),"")</f>
        <v/>
      </c>
      <c r="I1597" s="19">
        <f>IF($N1597&lt;&gt;"",IF(INDEX(PCOp,$N1597)="مرجوعی خرید","",IF(INDEX(PCAmount,$N1597)&lt;=0,"",INDEX(PCAmount,$N1597))),IF($O1597&lt;&gt;"",IF(INDEX(TxnDepB,$O1597)=0,"",INDEX(TxnDepB,$O1597)),""))</f>
        <v/>
      </c>
      <c r="J1597" s="19">
        <f>IF($N1597&lt;&gt;"",IF(INDEX(PCOp,$N1597)="مرجوعی خرید",IF(INDEX(PCAmount,$N1597)=0,"",-INDEX(PCAmount,$N1597)),""),IF($O1597&lt;&gt;"",IF(INDEX(TxnWitB,$O1597)=0,"",INDEX(TxnWitB,$O1597)),""))</f>
        <v/>
      </c>
      <c r="K1597" s="21">
        <f>IF($B1597="","",IF($K1596="",$C$10,$K1596)+IF($I1597="",0,$I1597)-IF($J1597="",0,$J1597))</f>
        <v/>
      </c>
      <c r="L1597" s="22">
        <f>IF($N1597&lt;&gt;"",IF(INDEX(PCNotes,$N1597)="","—",INDEX(PCNotes,$N1597)),IF($O1597&lt;&gt;"",IF(INDEX(LdgNoteB,$O1597)="","—",INDEX(LdgNoteB,$O1597)),""))</f>
        <v/>
      </c>
      <c r="N1597">
        <f>IFERROR(MATCH($C$5&amp;"|"&amp;RIGHT("000000"&amp;1581,6),LdgRankKeyA,0),"")</f>
        <v/>
      </c>
      <c r="O1597">
        <f>IFERROR(MATCH($C$5&amp;"|"&amp;RIGHT("000000"&amp;1581,6),LdgRankKeyB,0),"")</f>
        <v/>
      </c>
    </row>
    <row r="1598">
      <c r="A1598" s="23" t="n">
        <v>1582</v>
      </c>
      <c r="B1598" s="24">
        <f>IF(AND($N1598="",$O1598=""),"",IF($N1598&lt;&gt;"",INDEX(PCNormDate,$N1598),INDEX(LdgDateB,$O1598)))</f>
        <v/>
      </c>
      <c r="C1598" s="24">
        <f>IF($N1598&lt;&gt;"",INDEX(PCOp,$N1598),IF($O1598&lt;&gt;"",IF(N(INDEX(TxnDepB,$O1598))&gt;0,"دریافت بانکی","پرداخت بانکی"),""))</f>
        <v/>
      </c>
      <c r="D1598" s="24">
        <f>IF($N1598&lt;&gt;"",IF(INDEX(PCDoc,$N1598)="","—",INDEX(PCDoc,$N1598)),IF($O1598&lt;&gt;"",INDEX(LdgBankB,$O1598),""))</f>
        <v/>
      </c>
      <c r="E1598" s="24">
        <f>IF($N1598&lt;&gt;"",IF(INDEX(PCCitrus,$N1598)="","—",INDEX(PCCitrus,$N1598)),"")</f>
        <v/>
      </c>
      <c r="F1598" s="25">
        <f>IF($N1598&lt;&gt;"",IF(INDEX(PCScale,$N1598)=0,"",INDEX(PCScale,$N1598)),"")</f>
        <v/>
      </c>
      <c r="G1598" s="25">
        <f>IF($N1598&lt;&gt;"",IF(INDEX(PCBaskets,$N1598)=0,"",INDEX(PCBaskets,$N1598)),"")</f>
        <v/>
      </c>
      <c r="H1598" s="26">
        <f>IF($N1598&lt;&gt;"",IF(INDEX(PCNet,$N1598)=0,"",INDEX(PCNet,$N1598)),"")</f>
        <v/>
      </c>
      <c r="I1598" s="25">
        <f>IF($N1598&lt;&gt;"",IF(INDEX(PCOp,$N1598)="مرجوعی خرید","",IF(INDEX(PCAmount,$N1598)&lt;=0,"",INDEX(PCAmount,$N1598))),IF($O1598&lt;&gt;"",IF(INDEX(TxnDepB,$O1598)=0,"",INDEX(TxnDepB,$O1598)),""))</f>
        <v/>
      </c>
      <c r="J1598" s="25">
        <f>IF($N1598&lt;&gt;"",IF(INDEX(PCOp,$N1598)="مرجوعی خرید",IF(INDEX(PCAmount,$N1598)=0,"",-INDEX(PCAmount,$N1598)),""),IF($O1598&lt;&gt;"",IF(INDEX(TxnWitB,$O1598)=0,"",INDEX(TxnWitB,$O1598)),""))</f>
        <v/>
      </c>
      <c r="K1598" s="27">
        <f>IF($B1598="","",IF($K1597="",$C$10,$K1597)+IF($I1598="",0,$I1598)-IF($J1598="",0,$J1598))</f>
        <v/>
      </c>
      <c r="L1598" s="28">
        <f>IF($N1598&lt;&gt;"",IF(INDEX(PCNotes,$N1598)="","—",INDEX(PCNotes,$N1598)),IF($O1598&lt;&gt;"",IF(INDEX(LdgNoteB,$O1598)="","—",INDEX(LdgNoteB,$O1598)),""))</f>
        <v/>
      </c>
      <c r="N1598">
        <f>IFERROR(MATCH($C$5&amp;"|"&amp;RIGHT("000000"&amp;1582,6),LdgRankKeyA,0),"")</f>
        <v/>
      </c>
      <c r="O1598">
        <f>IFERROR(MATCH($C$5&amp;"|"&amp;RIGHT("000000"&amp;1582,6),LdgRankKeyB,0),"")</f>
        <v/>
      </c>
    </row>
    <row r="1599">
      <c r="A1599" s="17" t="n">
        <v>1583</v>
      </c>
      <c r="B1599" s="18">
        <f>IF(AND($N1599="",$O1599=""),"",IF($N1599&lt;&gt;"",INDEX(PCNormDate,$N1599),INDEX(LdgDateB,$O1599)))</f>
        <v/>
      </c>
      <c r="C1599" s="18">
        <f>IF($N1599&lt;&gt;"",INDEX(PCOp,$N1599),IF($O1599&lt;&gt;"",IF(N(INDEX(TxnDepB,$O1599))&gt;0,"دریافت بانکی","پرداخت بانکی"),""))</f>
        <v/>
      </c>
      <c r="D1599" s="18">
        <f>IF($N1599&lt;&gt;"",IF(INDEX(PCDoc,$N1599)="","—",INDEX(PCDoc,$N1599)),IF($O1599&lt;&gt;"",INDEX(LdgBankB,$O1599),""))</f>
        <v/>
      </c>
      <c r="E1599" s="18">
        <f>IF($N1599&lt;&gt;"",IF(INDEX(PCCitrus,$N1599)="","—",INDEX(PCCitrus,$N1599)),"")</f>
        <v/>
      </c>
      <c r="F1599" s="19">
        <f>IF($N1599&lt;&gt;"",IF(INDEX(PCScale,$N1599)=0,"",INDEX(PCScale,$N1599)),"")</f>
        <v/>
      </c>
      <c r="G1599" s="19">
        <f>IF($N1599&lt;&gt;"",IF(INDEX(PCBaskets,$N1599)=0,"",INDEX(PCBaskets,$N1599)),"")</f>
        <v/>
      </c>
      <c r="H1599" s="20">
        <f>IF($N1599&lt;&gt;"",IF(INDEX(PCNet,$N1599)=0,"",INDEX(PCNet,$N1599)),"")</f>
        <v/>
      </c>
      <c r="I1599" s="19">
        <f>IF($N1599&lt;&gt;"",IF(INDEX(PCOp,$N1599)="مرجوعی خرید","",IF(INDEX(PCAmount,$N1599)&lt;=0,"",INDEX(PCAmount,$N1599))),IF($O1599&lt;&gt;"",IF(INDEX(TxnDepB,$O1599)=0,"",INDEX(TxnDepB,$O1599)),""))</f>
        <v/>
      </c>
      <c r="J1599" s="19">
        <f>IF($N1599&lt;&gt;"",IF(INDEX(PCOp,$N1599)="مرجوعی خرید",IF(INDEX(PCAmount,$N1599)=0,"",-INDEX(PCAmount,$N1599)),""),IF($O1599&lt;&gt;"",IF(INDEX(TxnWitB,$O1599)=0,"",INDEX(TxnWitB,$O1599)),""))</f>
        <v/>
      </c>
      <c r="K1599" s="21">
        <f>IF($B1599="","",IF($K1598="",$C$10,$K1598)+IF($I1599="",0,$I1599)-IF($J1599="",0,$J1599))</f>
        <v/>
      </c>
      <c r="L1599" s="22">
        <f>IF($N1599&lt;&gt;"",IF(INDEX(PCNotes,$N1599)="","—",INDEX(PCNotes,$N1599)),IF($O1599&lt;&gt;"",IF(INDEX(LdgNoteB,$O1599)="","—",INDEX(LdgNoteB,$O1599)),""))</f>
        <v/>
      </c>
      <c r="N1599">
        <f>IFERROR(MATCH($C$5&amp;"|"&amp;RIGHT("000000"&amp;1583,6),LdgRankKeyA,0),"")</f>
        <v/>
      </c>
      <c r="O1599">
        <f>IFERROR(MATCH($C$5&amp;"|"&amp;RIGHT("000000"&amp;1583,6),LdgRankKeyB,0),"")</f>
        <v/>
      </c>
    </row>
    <row r="1600">
      <c r="A1600" s="23" t="n">
        <v>1584</v>
      </c>
      <c r="B1600" s="24">
        <f>IF(AND($N1600="",$O1600=""),"",IF($N1600&lt;&gt;"",INDEX(PCNormDate,$N1600),INDEX(LdgDateB,$O1600)))</f>
        <v/>
      </c>
      <c r="C1600" s="24">
        <f>IF($N1600&lt;&gt;"",INDEX(PCOp,$N1600),IF($O1600&lt;&gt;"",IF(N(INDEX(TxnDepB,$O1600))&gt;0,"دریافت بانکی","پرداخت بانکی"),""))</f>
        <v/>
      </c>
      <c r="D1600" s="24">
        <f>IF($N1600&lt;&gt;"",IF(INDEX(PCDoc,$N1600)="","—",INDEX(PCDoc,$N1600)),IF($O1600&lt;&gt;"",INDEX(LdgBankB,$O1600),""))</f>
        <v/>
      </c>
      <c r="E1600" s="24">
        <f>IF($N1600&lt;&gt;"",IF(INDEX(PCCitrus,$N1600)="","—",INDEX(PCCitrus,$N1600)),"")</f>
        <v/>
      </c>
      <c r="F1600" s="25">
        <f>IF($N1600&lt;&gt;"",IF(INDEX(PCScale,$N1600)=0,"",INDEX(PCScale,$N1600)),"")</f>
        <v/>
      </c>
      <c r="G1600" s="25">
        <f>IF($N1600&lt;&gt;"",IF(INDEX(PCBaskets,$N1600)=0,"",INDEX(PCBaskets,$N1600)),"")</f>
        <v/>
      </c>
      <c r="H1600" s="26">
        <f>IF($N1600&lt;&gt;"",IF(INDEX(PCNet,$N1600)=0,"",INDEX(PCNet,$N1600)),"")</f>
        <v/>
      </c>
      <c r="I1600" s="25">
        <f>IF($N1600&lt;&gt;"",IF(INDEX(PCOp,$N1600)="مرجوعی خرید","",IF(INDEX(PCAmount,$N1600)&lt;=0,"",INDEX(PCAmount,$N1600))),IF($O1600&lt;&gt;"",IF(INDEX(TxnDepB,$O1600)=0,"",INDEX(TxnDepB,$O1600)),""))</f>
        <v/>
      </c>
      <c r="J1600" s="25">
        <f>IF($N1600&lt;&gt;"",IF(INDEX(PCOp,$N1600)="مرجوعی خرید",IF(INDEX(PCAmount,$N1600)=0,"",-INDEX(PCAmount,$N1600)),""),IF($O1600&lt;&gt;"",IF(INDEX(TxnWitB,$O1600)=0,"",INDEX(TxnWitB,$O1600)),""))</f>
        <v/>
      </c>
      <c r="K1600" s="27">
        <f>IF($B1600="","",IF($K1599="",$C$10,$K1599)+IF($I1600="",0,$I1600)-IF($J1600="",0,$J1600))</f>
        <v/>
      </c>
      <c r="L1600" s="28">
        <f>IF($N1600&lt;&gt;"",IF(INDEX(PCNotes,$N1600)="","—",INDEX(PCNotes,$N1600)),IF($O1600&lt;&gt;"",IF(INDEX(LdgNoteB,$O1600)="","—",INDEX(LdgNoteB,$O1600)),""))</f>
        <v/>
      </c>
      <c r="N1600">
        <f>IFERROR(MATCH($C$5&amp;"|"&amp;RIGHT("000000"&amp;1584,6),LdgRankKeyA,0),"")</f>
        <v/>
      </c>
      <c r="O1600">
        <f>IFERROR(MATCH($C$5&amp;"|"&amp;RIGHT("000000"&amp;1584,6),LdgRankKeyB,0),"")</f>
        <v/>
      </c>
    </row>
    <row r="1601">
      <c r="A1601" s="17" t="n">
        <v>1585</v>
      </c>
      <c r="B1601" s="18">
        <f>IF(AND($N1601="",$O1601=""),"",IF($N1601&lt;&gt;"",INDEX(PCNormDate,$N1601),INDEX(LdgDateB,$O1601)))</f>
        <v/>
      </c>
      <c r="C1601" s="18">
        <f>IF($N1601&lt;&gt;"",INDEX(PCOp,$N1601),IF($O1601&lt;&gt;"",IF(N(INDEX(TxnDepB,$O1601))&gt;0,"دریافت بانکی","پرداخت بانکی"),""))</f>
        <v/>
      </c>
      <c r="D1601" s="18">
        <f>IF($N1601&lt;&gt;"",IF(INDEX(PCDoc,$N1601)="","—",INDEX(PCDoc,$N1601)),IF($O1601&lt;&gt;"",INDEX(LdgBankB,$O1601),""))</f>
        <v/>
      </c>
      <c r="E1601" s="18">
        <f>IF($N1601&lt;&gt;"",IF(INDEX(PCCitrus,$N1601)="","—",INDEX(PCCitrus,$N1601)),"")</f>
        <v/>
      </c>
      <c r="F1601" s="19">
        <f>IF($N1601&lt;&gt;"",IF(INDEX(PCScale,$N1601)=0,"",INDEX(PCScale,$N1601)),"")</f>
        <v/>
      </c>
      <c r="G1601" s="19">
        <f>IF($N1601&lt;&gt;"",IF(INDEX(PCBaskets,$N1601)=0,"",INDEX(PCBaskets,$N1601)),"")</f>
        <v/>
      </c>
      <c r="H1601" s="20">
        <f>IF($N1601&lt;&gt;"",IF(INDEX(PCNet,$N1601)=0,"",INDEX(PCNet,$N1601)),"")</f>
        <v/>
      </c>
      <c r="I1601" s="19">
        <f>IF($N1601&lt;&gt;"",IF(INDEX(PCOp,$N1601)="مرجوعی خرید","",IF(INDEX(PCAmount,$N1601)&lt;=0,"",INDEX(PCAmount,$N1601))),IF($O1601&lt;&gt;"",IF(INDEX(TxnDepB,$O1601)=0,"",INDEX(TxnDepB,$O1601)),""))</f>
        <v/>
      </c>
      <c r="J1601" s="19">
        <f>IF($N1601&lt;&gt;"",IF(INDEX(PCOp,$N1601)="مرجوعی خرید",IF(INDEX(PCAmount,$N1601)=0,"",-INDEX(PCAmount,$N1601)),""),IF($O1601&lt;&gt;"",IF(INDEX(TxnWitB,$O1601)=0,"",INDEX(TxnWitB,$O1601)),""))</f>
        <v/>
      </c>
      <c r="K1601" s="21">
        <f>IF($B1601="","",IF($K1600="",$C$10,$K1600)+IF($I1601="",0,$I1601)-IF($J1601="",0,$J1601))</f>
        <v/>
      </c>
      <c r="L1601" s="22">
        <f>IF($N1601&lt;&gt;"",IF(INDEX(PCNotes,$N1601)="","—",INDEX(PCNotes,$N1601)),IF($O1601&lt;&gt;"",IF(INDEX(LdgNoteB,$O1601)="","—",INDEX(LdgNoteB,$O1601)),""))</f>
        <v/>
      </c>
      <c r="N1601">
        <f>IFERROR(MATCH($C$5&amp;"|"&amp;RIGHT("000000"&amp;1585,6),LdgRankKeyA,0),"")</f>
        <v/>
      </c>
      <c r="O1601">
        <f>IFERROR(MATCH($C$5&amp;"|"&amp;RIGHT("000000"&amp;1585,6),LdgRankKeyB,0),"")</f>
        <v/>
      </c>
    </row>
    <row r="1602">
      <c r="A1602" s="23" t="n">
        <v>1586</v>
      </c>
      <c r="B1602" s="24">
        <f>IF(AND($N1602="",$O1602=""),"",IF($N1602&lt;&gt;"",INDEX(PCNormDate,$N1602),INDEX(LdgDateB,$O1602)))</f>
        <v/>
      </c>
      <c r="C1602" s="24">
        <f>IF($N1602&lt;&gt;"",INDEX(PCOp,$N1602),IF($O1602&lt;&gt;"",IF(N(INDEX(TxnDepB,$O1602))&gt;0,"دریافت بانکی","پرداخت بانکی"),""))</f>
        <v/>
      </c>
      <c r="D1602" s="24">
        <f>IF($N1602&lt;&gt;"",IF(INDEX(PCDoc,$N1602)="","—",INDEX(PCDoc,$N1602)),IF($O1602&lt;&gt;"",INDEX(LdgBankB,$O1602),""))</f>
        <v/>
      </c>
      <c r="E1602" s="24">
        <f>IF($N1602&lt;&gt;"",IF(INDEX(PCCitrus,$N1602)="","—",INDEX(PCCitrus,$N1602)),"")</f>
        <v/>
      </c>
      <c r="F1602" s="25">
        <f>IF($N1602&lt;&gt;"",IF(INDEX(PCScale,$N1602)=0,"",INDEX(PCScale,$N1602)),"")</f>
        <v/>
      </c>
      <c r="G1602" s="25">
        <f>IF($N1602&lt;&gt;"",IF(INDEX(PCBaskets,$N1602)=0,"",INDEX(PCBaskets,$N1602)),"")</f>
        <v/>
      </c>
      <c r="H1602" s="26">
        <f>IF($N1602&lt;&gt;"",IF(INDEX(PCNet,$N1602)=0,"",INDEX(PCNet,$N1602)),"")</f>
        <v/>
      </c>
      <c r="I1602" s="25">
        <f>IF($N1602&lt;&gt;"",IF(INDEX(PCOp,$N1602)="مرجوعی خرید","",IF(INDEX(PCAmount,$N1602)&lt;=0,"",INDEX(PCAmount,$N1602))),IF($O1602&lt;&gt;"",IF(INDEX(TxnDepB,$O1602)=0,"",INDEX(TxnDepB,$O1602)),""))</f>
        <v/>
      </c>
      <c r="J1602" s="25">
        <f>IF($N1602&lt;&gt;"",IF(INDEX(PCOp,$N1602)="مرجوعی خرید",IF(INDEX(PCAmount,$N1602)=0,"",-INDEX(PCAmount,$N1602)),""),IF($O1602&lt;&gt;"",IF(INDEX(TxnWitB,$O1602)=0,"",INDEX(TxnWitB,$O1602)),""))</f>
        <v/>
      </c>
      <c r="K1602" s="27">
        <f>IF($B1602="","",IF($K1601="",$C$10,$K1601)+IF($I1602="",0,$I1602)-IF($J1602="",0,$J1602))</f>
        <v/>
      </c>
      <c r="L1602" s="28">
        <f>IF($N1602&lt;&gt;"",IF(INDEX(PCNotes,$N1602)="","—",INDEX(PCNotes,$N1602)),IF($O1602&lt;&gt;"",IF(INDEX(LdgNoteB,$O1602)="","—",INDEX(LdgNoteB,$O1602)),""))</f>
        <v/>
      </c>
      <c r="N1602">
        <f>IFERROR(MATCH($C$5&amp;"|"&amp;RIGHT("000000"&amp;1586,6),LdgRankKeyA,0),"")</f>
        <v/>
      </c>
      <c r="O1602">
        <f>IFERROR(MATCH($C$5&amp;"|"&amp;RIGHT("000000"&amp;1586,6),LdgRankKeyB,0),"")</f>
        <v/>
      </c>
    </row>
    <row r="1603">
      <c r="A1603" s="17" t="n">
        <v>1587</v>
      </c>
      <c r="B1603" s="18">
        <f>IF(AND($N1603="",$O1603=""),"",IF($N1603&lt;&gt;"",INDEX(PCNormDate,$N1603),INDEX(LdgDateB,$O1603)))</f>
        <v/>
      </c>
      <c r="C1603" s="18">
        <f>IF($N1603&lt;&gt;"",INDEX(PCOp,$N1603),IF($O1603&lt;&gt;"",IF(N(INDEX(TxnDepB,$O1603))&gt;0,"دریافت بانکی","پرداخت بانکی"),""))</f>
        <v/>
      </c>
      <c r="D1603" s="18">
        <f>IF($N1603&lt;&gt;"",IF(INDEX(PCDoc,$N1603)="","—",INDEX(PCDoc,$N1603)),IF($O1603&lt;&gt;"",INDEX(LdgBankB,$O1603),""))</f>
        <v/>
      </c>
      <c r="E1603" s="18">
        <f>IF($N1603&lt;&gt;"",IF(INDEX(PCCitrus,$N1603)="","—",INDEX(PCCitrus,$N1603)),"")</f>
        <v/>
      </c>
      <c r="F1603" s="19">
        <f>IF($N1603&lt;&gt;"",IF(INDEX(PCScale,$N1603)=0,"",INDEX(PCScale,$N1603)),"")</f>
        <v/>
      </c>
      <c r="G1603" s="19">
        <f>IF($N1603&lt;&gt;"",IF(INDEX(PCBaskets,$N1603)=0,"",INDEX(PCBaskets,$N1603)),"")</f>
        <v/>
      </c>
      <c r="H1603" s="20">
        <f>IF($N1603&lt;&gt;"",IF(INDEX(PCNet,$N1603)=0,"",INDEX(PCNet,$N1603)),"")</f>
        <v/>
      </c>
      <c r="I1603" s="19">
        <f>IF($N1603&lt;&gt;"",IF(INDEX(PCOp,$N1603)="مرجوعی خرید","",IF(INDEX(PCAmount,$N1603)&lt;=0,"",INDEX(PCAmount,$N1603))),IF($O1603&lt;&gt;"",IF(INDEX(TxnDepB,$O1603)=0,"",INDEX(TxnDepB,$O1603)),""))</f>
        <v/>
      </c>
      <c r="J1603" s="19">
        <f>IF($N1603&lt;&gt;"",IF(INDEX(PCOp,$N1603)="مرجوعی خرید",IF(INDEX(PCAmount,$N1603)=0,"",-INDEX(PCAmount,$N1603)),""),IF($O1603&lt;&gt;"",IF(INDEX(TxnWitB,$O1603)=0,"",INDEX(TxnWitB,$O1603)),""))</f>
        <v/>
      </c>
      <c r="K1603" s="21">
        <f>IF($B1603="","",IF($K1602="",$C$10,$K1602)+IF($I1603="",0,$I1603)-IF($J1603="",0,$J1603))</f>
        <v/>
      </c>
      <c r="L1603" s="22">
        <f>IF($N1603&lt;&gt;"",IF(INDEX(PCNotes,$N1603)="","—",INDEX(PCNotes,$N1603)),IF($O1603&lt;&gt;"",IF(INDEX(LdgNoteB,$O1603)="","—",INDEX(LdgNoteB,$O1603)),""))</f>
        <v/>
      </c>
      <c r="N1603">
        <f>IFERROR(MATCH($C$5&amp;"|"&amp;RIGHT("000000"&amp;1587,6),LdgRankKeyA,0),"")</f>
        <v/>
      </c>
      <c r="O1603">
        <f>IFERROR(MATCH($C$5&amp;"|"&amp;RIGHT("000000"&amp;1587,6),LdgRankKeyB,0),"")</f>
        <v/>
      </c>
    </row>
    <row r="1604">
      <c r="A1604" s="23" t="n">
        <v>1588</v>
      </c>
      <c r="B1604" s="24">
        <f>IF(AND($N1604="",$O1604=""),"",IF($N1604&lt;&gt;"",INDEX(PCNormDate,$N1604),INDEX(LdgDateB,$O1604)))</f>
        <v/>
      </c>
      <c r="C1604" s="24">
        <f>IF($N1604&lt;&gt;"",INDEX(PCOp,$N1604),IF($O1604&lt;&gt;"",IF(N(INDEX(TxnDepB,$O1604))&gt;0,"دریافت بانکی","پرداخت بانکی"),""))</f>
        <v/>
      </c>
      <c r="D1604" s="24">
        <f>IF($N1604&lt;&gt;"",IF(INDEX(PCDoc,$N1604)="","—",INDEX(PCDoc,$N1604)),IF($O1604&lt;&gt;"",INDEX(LdgBankB,$O1604),""))</f>
        <v/>
      </c>
      <c r="E1604" s="24">
        <f>IF($N1604&lt;&gt;"",IF(INDEX(PCCitrus,$N1604)="","—",INDEX(PCCitrus,$N1604)),"")</f>
        <v/>
      </c>
      <c r="F1604" s="25">
        <f>IF($N1604&lt;&gt;"",IF(INDEX(PCScale,$N1604)=0,"",INDEX(PCScale,$N1604)),"")</f>
        <v/>
      </c>
      <c r="G1604" s="25">
        <f>IF($N1604&lt;&gt;"",IF(INDEX(PCBaskets,$N1604)=0,"",INDEX(PCBaskets,$N1604)),"")</f>
        <v/>
      </c>
      <c r="H1604" s="26">
        <f>IF($N1604&lt;&gt;"",IF(INDEX(PCNet,$N1604)=0,"",INDEX(PCNet,$N1604)),"")</f>
        <v/>
      </c>
      <c r="I1604" s="25">
        <f>IF($N1604&lt;&gt;"",IF(INDEX(PCOp,$N1604)="مرجوعی خرید","",IF(INDEX(PCAmount,$N1604)&lt;=0,"",INDEX(PCAmount,$N1604))),IF($O1604&lt;&gt;"",IF(INDEX(TxnDepB,$O1604)=0,"",INDEX(TxnDepB,$O1604)),""))</f>
        <v/>
      </c>
      <c r="J1604" s="25">
        <f>IF($N1604&lt;&gt;"",IF(INDEX(PCOp,$N1604)="مرجوعی خرید",IF(INDEX(PCAmount,$N1604)=0,"",-INDEX(PCAmount,$N1604)),""),IF($O1604&lt;&gt;"",IF(INDEX(TxnWitB,$O1604)=0,"",INDEX(TxnWitB,$O1604)),""))</f>
        <v/>
      </c>
      <c r="K1604" s="27">
        <f>IF($B1604="","",IF($K1603="",$C$10,$K1603)+IF($I1604="",0,$I1604)-IF($J1604="",0,$J1604))</f>
        <v/>
      </c>
      <c r="L1604" s="28">
        <f>IF($N1604&lt;&gt;"",IF(INDEX(PCNotes,$N1604)="","—",INDEX(PCNotes,$N1604)),IF($O1604&lt;&gt;"",IF(INDEX(LdgNoteB,$O1604)="","—",INDEX(LdgNoteB,$O1604)),""))</f>
        <v/>
      </c>
      <c r="N1604">
        <f>IFERROR(MATCH($C$5&amp;"|"&amp;RIGHT("000000"&amp;1588,6),LdgRankKeyA,0),"")</f>
        <v/>
      </c>
      <c r="O1604">
        <f>IFERROR(MATCH($C$5&amp;"|"&amp;RIGHT("000000"&amp;1588,6),LdgRankKeyB,0),"")</f>
        <v/>
      </c>
    </row>
    <row r="1605">
      <c r="A1605" s="17" t="n">
        <v>1589</v>
      </c>
      <c r="B1605" s="18">
        <f>IF(AND($N1605="",$O1605=""),"",IF($N1605&lt;&gt;"",INDEX(PCNormDate,$N1605),INDEX(LdgDateB,$O1605)))</f>
        <v/>
      </c>
      <c r="C1605" s="18">
        <f>IF($N1605&lt;&gt;"",INDEX(PCOp,$N1605),IF($O1605&lt;&gt;"",IF(N(INDEX(TxnDepB,$O1605))&gt;0,"دریافت بانکی","پرداخت بانکی"),""))</f>
        <v/>
      </c>
      <c r="D1605" s="18">
        <f>IF($N1605&lt;&gt;"",IF(INDEX(PCDoc,$N1605)="","—",INDEX(PCDoc,$N1605)),IF($O1605&lt;&gt;"",INDEX(LdgBankB,$O1605),""))</f>
        <v/>
      </c>
      <c r="E1605" s="18">
        <f>IF($N1605&lt;&gt;"",IF(INDEX(PCCitrus,$N1605)="","—",INDEX(PCCitrus,$N1605)),"")</f>
        <v/>
      </c>
      <c r="F1605" s="19">
        <f>IF($N1605&lt;&gt;"",IF(INDEX(PCScale,$N1605)=0,"",INDEX(PCScale,$N1605)),"")</f>
        <v/>
      </c>
      <c r="G1605" s="19">
        <f>IF($N1605&lt;&gt;"",IF(INDEX(PCBaskets,$N1605)=0,"",INDEX(PCBaskets,$N1605)),"")</f>
        <v/>
      </c>
      <c r="H1605" s="20">
        <f>IF($N1605&lt;&gt;"",IF(INDEX(PCNet,$N1605)=0,"",INDEX(PCNet,$N1605)),"")</f>
        <v/>
      </c>
      <c r="I1605" s="19">
        <f>IF($N1605&lt;&gt;"",IF(INDEX(PCOp,$N1605)="مرجوعی خرید","",IF(INDEX(PCAmount,$N1605)&lt;=0,"",INDEX(PCAmount,$N1605))),IF($O1605&lt;&gt;"",IF(INDEX(TxnDepB,$O1605)=0,"",INDEX(TxnDepB,$O1605)),""))</f>
        <v/>
      </c>
      <c r="J1605" s="19">
        <f>IF($N1605&lt;&gt;"",IF(INDEX(PCOp,$N1605)="مرجوعی خرید",IF(INDEX(PCAmount,$N1605)=0,"",-INDEX(PCAmount,$N1605)),""),IF($O1605&lt;&gt;"",IF(INDEX(TxnWitB,$O1605)=0,"",INDEX(TxnWitB,$O1605)),""))</f>
        <v/>
      </c>
      <c r="K1605" s="21">
        <f>IF($B1605="","",IF($K1604="",$C$10,$K1604)+IF($I1605="",0,$I1605)-IF($J1605="",0,$J1605))</f>
        <v/>
      </c>
      <c r="L1605" s="22">
        <f>IF($N1605&lt;&gt;"",IF(INDEX(PCNotes,$N1605)="","—",INDEX(PCNotes,$N1605)),IF($O1605&lt;&gt;"",IF(INDEX(LdgNoteB,$O1605)="","—",INDEX(LdgNoteB,$O1605)),""))</f>
        <v/>
      </c>
      <c r="N1605">
        <f>IFERROR(MATCH($C$5&amp;"|"&amp;RIGHT("000000"&amp;1589,6),LdgRankKeyA,0),"")</f>
        <v/>
      </c>
      <c r="O1605">
        <f>IFERROR(MATCH($C$5&amp;"|"&amp;RIGHT("000000"&amp;1589,6),LdgRankKeyB,0),"")</f>
        <v/>
      </c>
    </row>
    <row r="1606">
      <c r="A1606" s="23" t="n">
        <v>1590</v>
      </c>
      <c r="B1606" s="24">
        <f>IF(AND($N1606="",$O1606=""),"",IF($N1606&lt;&gt;"",INDEX(PCNormDate,$N1606),INDEX(LdgDateB,$O1606)))</f>
        <v/>
      </c>
      <c r="C1606" s="24">
        <f>IF($N1606&lt;&gt;"",INDEX(PCOp,$N1606),IF($O1606&lt;&gt;"",IF(N(INDEX(TxnDepB,$O1606))&gt;0,"دریافت بانکی","پرداخت بانکی"),""))</f>
        <v/>
      </c>
      <c r="D1606" s="24">
        <f>IF($N1606&lt;&gt;"",IF(INDEX(PCDoc,$N1606)="","—",INDEX(PCDoc,$N1606)),IF($O1606&lt;&gt;"",INDEX(LdgBankB,$O1606),""))</f>
        <v/>
      </c>
      <c r="E1606" s="24">
        <f>IF($N1606&lt;&gt;"",IF(INDEX(PCCitrus,$N1606)="","—",INDEX(PCCitrus,$N1606)),"")</f>
        <v/>
      </c>
      <c r="F1606" s="25">
        <f>IF($N1606&lt;&gt;"",IF(INDEX(PCScale,$N1606)=0,"",INDEX(PCScale,$N1606)),"")</f>
        <v/>
      </c>
      <c r="G1606" s="25">
        <f>IF($N1606&lt;&gt;"",IF(INDEX(PCBaskets,$N1606)=0,"",INDEX(PCBaskets,$N1606)),"")</f>
        <v/>
      </c>
      <c r="H1606" s="26">
        <f>IF($N1606&lt;&gt;"",IF(INDEX(PCNet,$N1606)=0,"",INDEX(PCNet,$N1606)),"")</f>
        <v/>
      </c>
      <c r="I1606" s="25">
        <f>IF($N1606&lt;&gt;"",IF(INDEX(PCOp,$N1606)="مرجوعی خرید","",IF(INDEX(PCAmount,$N1606)&lt;=0,"",INDEX(PCAmount,$N1606))),IF($O1606&lt;&gt;"",IF(INDEX(TxnDepB,$O1606)=0,"",INDEX(TxnDepB,$O1606)),""))</f>
        <v/>
      </c>
      <c r="J1606" s="25">
        <f>IF($N1606&lt;&gt;"",IF(INDEX(PCOp,$N1606)="مرجوعی خرید",IF(INDEX(PCAmount,$N1606)=0,"",-INDEX(PCAmount,$N1606)),""),IF($O1606&lt;&gt;"",IF(INDEX(TxnWitB,$O1606)=0,"",INDEX(TxnWitB,$O1606)),""))</f>
        <v/>
      </c>
      <c r="K1606" s="27">
        <f>IF($B1606="","",IF($K1605="",$C$10,$K1605)+IF($I1606="",0,$I1606)-IF($J1606="",0,$J1606))</f>
        <v/>
      </c>
      <c r="L1606" s="28">
        <f>IF($N1606&lt;&gt;"",IF(INDEX(PCNotes,$N1606)="","—",INDEX(PCNotes,$N1606)),IF($O1606&lt;&gt;"",IF(INDEX(LdgNoteB,$O1606)="","—",INDEX(LdgNoteB,$O1606)),""))</f>
        <v/>
      </c>
      <c r="N1606">
        <f>IFERROR(MATCH($C$5&amp;"|"&amp;RIGHT("000000"&amp;1590,6),LdgRankKeyA,0),"")</f>
        <v/>
      </c>
      <c r="O1606">
        <f>IFERROR(MATCH($C$5&amp;"|"&amp;RIGHT("000000"&amp;1590,6),LdgRankKeyB,0),"")</f>
        <v/>
      </c>
    </row>
    <row r="1607">
      <c r="A1607" s="17" t="n">
        <v>1591</v>
      </c>
      <c r="B1607" s="18">
        <f>IF(AND($N1607="",$O1607=""),"",IF($N1607&lt;&gt;"",INDEX(PCNormDate,$N1607),INDEX(LdgDateB,$O1607)))</f>
        <v/>
      </c>
      <c r="C1607" s="18">
        <f>IF($N1607&lt;&gt;"",INDEX(PCOp,$N1607),IF($O1607&lt;&gt;"",IF(N(INDEX(TxnDepB,$O1607))&gt;0,"دریافت بانکی","پرداخت بانکی"),""))</f>
        <v/>
      </c>
      <c r="D1607" s="18">
        <f>IF($N1607&lt;&gt;"",IF(INDEX(PCDoc,$N1607)="","—",INDEX(PCDoc,$N1607)),IF($O1607&lt;&gt;"",INDEX(LdgBankB,$O1607),""))</f>
        <v/>
      </c>
      <c r="E1607" s="18">
        <f>IF($N1607&lt;&gt;"",IF(INDEX(PCCitrus,$N1607)="","—",INDEX(PCCitrus,$N1607)),"")</f>
        <v/>
      </c>
      <c r="F1607" s="19">
        <f>IF($N1607&lt;&gt;"",IF(INDEX(PCScale,$N1607)=0,"",INDEX(PCScale,$N1607)),"")</f>
        <v/>
      </c>
      <c r="G1607" s="19">
        <f>IF($N1607&lt;&gt;"",IF(INDEX(PCBaskets,$N1607)=0,"",INDEX(PCBaskets,$N1607)),"")</f>
        <v/>
      </c>
      <c r="H1607" s="20">
        <f>IF($N1607&lt;&gt;"",IF(INDEX(PCNet,$N1607)=0,"",INDEX(PCNet,$N1607)),"")</f>
        <v/>
      </c>
      <c r="I1607" s="19">
        <f>IF($N1607&lt;&gt;"",IF(INDEX(PCOp,$N1607)="مرجوعی خرید","",IF(INDEX(PCAmount,$N1607)&lt;=0,"",INDEX(PCAmount,$N1607))),IF($O1607&lt;&gt;"",IF(INDEX(TxnDepB,$O1607)=0,"",INDEX(TxnDepB,$O1607)),""))</f>
        <v/>
      </c>
      <c r="J1607" s="19">
        <f>IF($N1607&lt;&gt;"",IF(INDEX(PCOp,$N1607)="مرجوعی خرید",IF(INDEX(PCAmount,$N1607)=0,"",-INDEX(PCAmount,$N1607)),""),IF($O1607&lt;&gt;"",IF(INDEX(TxnWitB,$O1607)=0,"",INDEX(TxnWitB,$O1607)),""))</f>
        <v/>
      </c>
      <c r="K1607" s="21">
        <f>IF($B1607="","",IF($K1606="",$C$10,$K1606)+IF($I1607="",0,$I1607)-IF($J1607="",0,$J1607))</f>
        <v/>
      </c>
      <c r="L1607" s="22">
        <f>IF($N1607&lt;&gt;"",IF(INDEX(PCNotes,$N1607)="","—",INDEX(PCNotes,$N1607)),IF($O1607&lt;&gt;"",IF(INDEX(LdgNoteB,$O1607)="","—",INDEX(LdgNoteB,$O1607)),""))</f>
        <v/>
      </c>
      <c r="N1607">
        <f>IFERROR(MATCH($C$5&amp;"|"&amp;RIGHT("000000"&amp;1591,6),LdgRankKeyA,0),"")</f>
        <v/>
      </c>
      <c r="O1607">
        <f>IFERROR(MATCH($C$5&amp;"|"&amp;RIGHT("000000"&amp;1591,6),LdgRankKeyB,0),"")</f>
        <v/>
      </c>
    </row>
    <row r="1608">
      <c r="A1608" s="23" t="n">
        <v>1592</v>
      </c>
      <c r="B1608" s="24">
        <f>IF(AND($N1608="",$O1608=""),"",IF($N1608&lt;&gt;"",INDEX(PCNormDate,$N1608),INDEX(LdgDateB,$O1608)))</f>
        <v/>
      </c>
      <c r="C1608" s="24">
        <f>IF($N1608&lt;&gt;"",INDEX(PCOp,$N1608),IF($O1608&lt;&gt;"",IF(N(INDEX(TxnDepB,$O1608))&gt;0,"دریافت بانکی","پرداخت بانکی"),""))</f>
        <v/>
      </c>
      <c r="D1608" s="24">
        <f>IF($N1608&lt;&gt;"",IF(INDEX(PCDoc,$N1608)="","—",INDEX(PCDoc,$N1608)),IF($O1608&lt;&gt;"",INDEX(LdgBankB,$O1608),""))</f>
        <v/>
      </c>
      <c r="E1608" s="24">
        <f>IF($N1608&lt;&gt;"",IF(INDEX(PCCitrus,$N1608)="","—",INDEX(PCCitrus,$N1608)),"")</f>
        <v/>
      </c>
      <c r="F1608" s="25">
        <f>IF($N1608&lt;&gt;"",IF(INDEX(PCScale,$N1608)=0,"",INDEX(PCScale,$N1608)),"")</f>
        <v/>
      </c>
      <c r="G1608" s="25">
        <f>IF($N1608&lt;&gt;"",IF(INDEX(PCBaskets,$N1608)=0,"",INDEX(PCBaskets,$N1608)),"")</f>
        <v/>
      </c>
      <c r="H1608" s="26">
        <f>IF($N1608&lt;&gt;"",IF(INDEX(PCNet,$N1608)=0,"",INDEX(PCNet,$N1608)),"")</f>
        <v/>
      </c>
      <c r="I1608" s="25">
        <f>IF($N1608&lt;&gt;"",IF(INDEX(PCOp,$N1608)="مرجوعی خرید","",IF(INDEX(PCAmount,$N1608)&lt;=0,"",INDEX(PCAmount,$N1608))),IF($O1608&lt;&gt;"",IF(INDEX(TxnDepB,$O1608)=0,"",INDEX(TxnDepB,$O1608)),""))</f>
        <v/>
      </c>
      <c r="J1608" s="25">
        <f>IF($N1608&lt;&gt;"",IF(INDEX(PCOp,$N1608)="مرجوعی خرید",IF(INDEX(PCAmount,$N1608)=0,"",-INDEX(PCAmount,$N1608)),""),IF($O1608&lt;&gt;"",IF(INDEX(TxnWitB,$O1608)=0,"",INDEX(TxnWitB,$O1608)),""))</f>
        <v/>
      </c>
      <c r="K1608" s="27">
        <f>IF($B1608="","",IF($K1607="",$C$10,$K1607)+IF($I1608="",0,$I1608)-IF($J1608="",0,$J1608))</f>
        <v/>
      </c>
      <c r="L1608" s="28">
        <f>IF($N1608&lt;&gt;"",IF(INDEX(PCNotes,$N1608)="","—",INDEX(PCNotes,$N1608)),IF($O1608&lt;&gt;"",IF(INDEX(LdgNoteB,$O1608)="","—",INDEX(LdgNoteB,$O1608)),""))</f>
        <v/>
      </c>
      <c r="N1608">
        <f>IFERROR(MATCH($C$5&amp;"|"&amp;RIGHT("000000"&amp;1592,6),LdgRankKeyA,0),"")</f>
        <v/>
      </c>
      <c r="O1608">
        <f>IFERROR(MATCH($C$5&amp;"|"&amp;RIGHT("000000"&amp;1592,6),LdgRankKeyB,0),"")</f>
        <v/>
      </c>
    </row>
    <row r="1609">
      <c r="A1609" s="17" t="n">
        <v>1593</v>
      </c>
      <c r="B1609" s="18">
        <f>IF(AND($N1609="",$O1609=""),"",IF($N1609&lt;&gt;"",INDEX(PCNormDate,$N1609),INDEX(LdgDateB,$O1609)))</f>
        <v/>
      </c>
      <c r="C1609" s="18">
        <f>IF($N1609&lt;&gt;"",INDEX(PCOp,$N1609),IF($O1609&lt;&gt;"",IF(N(INDEX(TxnDepB,$O1609))&gt;0,"دریافت بانکی","پرداخت بانکی"),""))</f>
        <v/>
      </c>
      <c r="D1609" s="18">
        <f>IF($N1609&lt;&gt;"",IF(INDEX(PCDoc,$N1609)="","—",INDEX(PCDoc,$N1609)),IF($O1609&lt;&gt;"",INDEX(LdgBankB,$O1609),""))</f>
        <v/>
      </c>
      <c r="E1609" s="18">
        <f>IF($N1609&lt;&gt;"",IF(INDEX(PCCitrus,$N1609)="","—",INDEX(PCCitrus,$N1609)),"")</f>
        <v/>
      </c>
      <c r="F1609" s="19">
        <f>IF($N1609&lt;&gt;"",IF(INDEX(PCScale,$N1609)=0,"",INDEX(PCScale,$N1609)),"")</f>
        <v/>
      </c>
      <c r="G1609" s="19">
        <f>IF($N1609&lt;&gt;"",IF(INDEX(PCBaskets,$N1609)=0,"",INDEX(PCBaskets,$N1609)),"")</f>
        <v/>
      </c>
      <c r="H1609" s="20">
        <f>IF($N1609&lt;&gt;"",IF(INDEX(PCNet,$N1609)=0,"",INDEX(PCNet,$N1609)),"")</f>
        <v/>
      </c>
      <c r="I1609" s="19">
        <f>IF($N1609&lt;&gt;"",IF(INDEX(PCOp,$N1609)="مرجوعی خرید","",IF(INDEX(PCAmount,$N1609)&lt;=0,"",INDEX(PCAmount,$N1609))),IF($O1609&lt;&gt;"",IF(INDEX(TxnDepB,$O1609)=0,"",INDEX(TxnDepB,$O1609)),""))</f>
        <v/>
      </c>
      <c r="J1609" s="19">
        <f>IF($N1609&lt;&gt;"",IF(INDEX(PCOp,$N1609)="مرجوعی خرید",IF(INDEX(PCAmount,$N1609)=0,"",-INDEX(PCAmount,$N1609)),""),IF($O1609&lt;&gt;"",IF(INDEX(TxnWitB,$O1609)=0,"",INDEX(TxnWitB,$O1609)),""))</f>
        <v/>
      </c>
      <c r="K1609" s="21">
        <f>IF($B1609="","",IF($K1608="",$C$10,$K1608)+IF($I1609="",0,$I1609)-IF($J1609="",0,$J1609))</f>
        <v/>
      </c>
      <c r="L1609" s="22">
        <f>IF($N1609&lt;&gt;"",IF(INDEX(PCNotes,$N1609)="","—",INDEX(PCNotes,$N1609)),IF($O1609&lt;&gt;"",IF(INDEX(LdgNoteB,$O1609)="","—",INDEX(LdgNoteB,$O1609)),""))</f>
        <v/>
      </c>
      <c r="N1609">
        <f>IFERROR(MATCH($C$5&amp;"|"&amp;RIGHT("000000"&amp;1593,6),LdgRankKeyA,0),"")</f>
        <v/>
      </c>
      <c r="O1609">
        <f>IFERROR(MATCH($C$5&amp;"|"&amp;RIGHT("000000"&amp;1593,6),LdgRankKeyB,0),"")</f>
        <v/>
      </c>
    </row>
    <row r="1610">
      <c r="A1610" s="23" t="n">
        <v>1594</v>
      </c>
      <c r="B1610" s="24">
        <f>IF(AND($N1610="",$O1610=""),"",IF($N1610&lt;&gt;"",INDEX(PCNormDate,$N1610),INDEX(LdgDateB,$O1610)))</f>
        <v/>
      </c>
      <c r="C1610" s="24">
        <f>IF($N1610&lt;&gt;"",INDEX(PCOp,$N1610),IF($O1610&lt;&gt;"",IF(N(INDEX(TxnDepB,$O1610))&gt;0,"دریافت بانکی","پرداخت بانکی"),""))</f>
        <v/>
      </c>
      <c r="D1610" s="24">
        <f>IF($N1610&lt;&gt;"",IF(INDEX(PCDoc,$N1610)="","—",INDEX(PCDoc,$N1610)),IF($O1610&lt;&gt;"",INDEX(LdgBankB,$O1610),""))</f>
        <v/>
      </c>
      <c r="E1610" s="24">
        <f>IF($N1610&lt;&gt;"",IF(INDEX(PCCitrus,$N1610)="","—",INDEX(PCCitrus,$N1610)),"")</f>
        <v/>
      </c>
      <c r="F1610" s="25">
        <f>IF($N1610&lt;&gt;"",IF(INDEX(PCScale,$N1610)=0,"",INDEX(PCScale,$N1610)),"")</f>
        <v/>
      </c>
      <c r="G1610" s="25">
        <f>IF($N1610&lt;&gt;"",IF(INDEX(PCBaskets,$N1610)=0,"",INDEX(PCBaskets,$N1610)),"")</f>
        <v/>
      </c>
      <c r="H1610" s="26">
        <f>IF($N1610&lt;&gt;"",IF(INDEX(PCNet,$N1610)=0,"",INDEX(PCNet,$N1610)),"")</f>
        <v/>
      </c>
      <c r="I1610" s="25">
        <f>IF($N1610&lt;&gt;"",IF(INDEX(PCOp,$N1610)="مرجوعی خرید","",IF(INDEX(PCAmount,$N1610)&lt;=0,"",INDEX(PCAmount,$N1610))),IF($O1610&lt;&gt;"",IF(INDEX(TxnDepB,$O1610)=0,"",INDEX(TxnDepB,$O1610)),""))</f>
        <v/>
      </c>
      <c r="J1610" s="25">
        <f>IF($N1610&lt;&gt;"",IF(INDEX(PCOp,$N1610)="مرجوعی خرید",IF(INDEX(PCAmount,$N1610)=0,"",-INDEX(PCAmount,$N1610)),""),IF($O1610&lt;&gt;"",IF(INDEX(TxnWitB,$O1610)=0,"",INDEX(TxnWitB,$O1610)),""))</f>
        <v/>
      </c>
      <c r="K1610" s="27">
        <f>IF($B1610="","",IF($K1609="",$C$10,$K1609)+IF($I1610="",0,$I1610)-IF($J1610="",0,$J1610))</f>
        <v/>
      </c>
      <c r="L1610" s="28">
        <f>IF($N1610&lt;&gt;"",IF(INDEX(PCNotes,$N1610)="","—",INDEX(PCNotes,$N1610)),IF($O1610&lt;&gt;"",IF(INDEX(LdgNoteB,$O1610)="","—",INDEX(LdgNoteB,$O1610)),""))</f>
        <v/>
      </c>
      <c r="N1610">
        <f>IFERROR(MATCH($C$5&amp;"|"&amp;RIGHT("000000"&amp;1594,6),LdgRankKeyA,0),"")</f>
        <v/>
      </c>
      <c r="O1610">
        <f>IFERROR(MATCH($C$5&amp;"|"&amp;RIGHT("000000"&amp;1594,6),LdgRankKeyB,0),"")</f>
        <v/>
      </c>
    </row>
    <row r="1611">
      <c r="A1611" s="17" t="n">
        <v>1595</v>
      </c>
      <c r="B1611" s="18">
        <f>IF(AND($N1611="",$O1611=""),"",IF($N1611&lt;&gt;"",INDEX(PCNormDate,$N1611),INDEX(LdgDateB,$O1611)))</f>
        <v/>
      </c>
      <c r="C1611" s="18">
        <f>IF($N1611&lt;&gt;"",INDEX(PCOp,$N1611),IF($O1611&lt;&gt;"",IF(N(INDEX(TxnDepB,$O1611))&gt;0,"دریافت بانکی","پرداخت بانکی"),""))</f>
        <v/>
      </c>
      <c r="D1611" s="18">
        <f>IF($N1611&lt;&gt;"",IF(INDEX(PCDoc,$N1611)="","—",INDEX(PCDoc,$N1611)),IF($O1611&lt;&gt;"",INDEX(LdgBankB,$O1611),""))</f>
        <v/>
      </c>
      <c r="E1611" s="18">
        <f>IF($N1611&lt;&gt;"",IF(INDEX(PCCitrus,$N1611)="","—",INDEX(PCCitrus,$N1611)),"")</f>
        <v/>
      </c>
      <c r="F1611" s="19">
        <f>IF($N1611&lt;&gt;"",IF(INDEX(PCScale,$N1611)=0,"",INDEX(PCScale,$N1611)),"")</f>
        <v/>
      </c>
      <c r="G1611" s="19">
        <f>IF($N1611&lt;&gt;"",IF(INDEX(PCBaskets,$N1611)=0,"",INDEX(PCBaskets,$N1611)),"")</f>
        <v/>
      </c>
      <c r="H1611" s="20">
        <f>IF($N1611&lt;&gt;"",IF(INDEX(PCNet,$N1611)=0,"",INDEX(PCNet,$N1611)),"")</f>
        <v/>
      </c>
      <c r="I1611" s="19">
        <f>IF($N1611&lt;&gt;"",IF(INDEX(PCOp,$N1611)="مرجوعی خرید","",IF(INDEX(PCAmount,$N1611)&lt;=0,"",INDEX(PCAmount,$N1611))),IF($O1611&lt;&gt;"",IF(INDEX(TxnDepB,$O1611)=0,"",INDEX(TxnDepB,$O1611)),""))</f>
        <v/>
      </c>
      <c r="J1611" s="19">
        <f>IF($N1611&lt;&gt;"",IF(INDEX(PCOp,$N1611)="مرجوعی خرید",IF(INDEX(PCAmount,$N1611)=0,"",-INDEX(PCAmount,$N1611)),""),IF($O1611&lt;&gt;"",IF(INDEX(TxnWitB,$O1611)=0,"",INDEX(TxnWitB,$O1611)),""))</f>
        <v/>
      </c>
      <c r="K1611" s="21">
        <f>IF($B1611="","",IF($K1610="",$C$10,$K1610)+IF($I1611="",0,$I1611)-IF($J1611="",0,$J1611))</f>
        <v/>
      </c>
      <c r="L1611" s="22">
        <f>IF($N1611&lt;&gt;"",IF(INDEX(PCNotes,$N1611)="","—",INDEX(PCNotes,$N1611)),IF($O1611&lt;&gt;"",IF(INDEX(LdgNoteB,$O1611)="","—",INDEX(LdgNoteB,$O1611)),""))</f>
        <v/>
      </c>
      <c r="N1611">
        <f>IFERROR(MATCH($C$5&amp;"|"&amp;RIGHT("000000"&amp;1595,6),LdgRankKeyA,0),"")</f>
        <v/>
      </c>
      <c r="O1611">
        <f>IFERROR(MATCH($C$5&amp;"|"&amp;RIGHT("000000"&amp;1595,6),LdgRankKeyB,0),"")</f>
        <v/>
      </c>
    </row>
    <row r="1612">
      <c r="A1612" s="23" t="n">
        <v>1596</v>
      </c>
      <c r="B1612" s="24">
        <f>IF(AND($N1612="",$O1612=""),"",IF($N1612&lt;&gt;"",INDEX(PCNormDate,$N1612),INDEX(LdgDateB,$O1612)))</f>
        <v/>
      </c>
      <c r="C1612" s="24">
        <f>IF($N1612&lt;&gt;"",INDEX(PCOp,$N1612),IF($O1612&lt;&gt;"",IF(N(INDEX(TxnDepB,$O1612))&gt;0,"دریافت بانکی","پرداخت بانکی"),""))</f>
        <v/>
      </c>
      <c r="D1612" s="24">
        <f>IF($N1612&lt;&gt;"",IF(INDEX(PCDoc,$N1612)="","—",INDEX(PCDoc,$N1612)),IF($O1612&lt;&gt;"",INDEX(LdgBankB,$O1612),""))</f>
        <v/>
      </c>
      <c r="E1612" s="24">
        <f>IF($N1612&lt;&gt;"",IF(INDEX(PCCitrus,$N1612)="","—",INDEX(PCCitrus,$N1612)),"")</f>
        <v/>
      </c>
      <c r="F1612" s="25">
        <f>IF($N1612&lt;&gt;"",IF(INDEX(PCScale,$N1612)=0,"",INDEX(PCScale,$N1612)),"")</f>
        <v/>
      </c>
      <c r="G1612" s="25">
        <f>IF($N1612&lt;&gt;"",IF(INDEX(PCBaskets,$N1612)=0,"",INDEX(PCBaskets,$N1612)),"")</f>
        <v/>
      </c>
      <c r="H1612" s="26">
        <f>IF($N1612&lt;&gt;"",IF(INDEX(PCNet,$N1612)=0,"",INDEX(PCNet,$N1612)),"")</f>
        <v/>
      </c>
      <c r="I1612" s="25">
        <f>IF($N1612&lt;&gt;"",IF(INDEX(PCOp,$N1612)="مرجوعی خرید","",IF(INDEX(PCAmount,$N1612)&lt;=0,"",INDEX(PCAmount,$N1612))),IF($O1612&lt;&gt;"",IF(INDEX(TxnDepB,$O1612)=0,"",INDEX(TxnDepB,$O1612)),""))</f>
        <v/>
      </c>
      <c r="J1612" s="25">
        <f>IF($N1612&lt;&gt;"",IF(INDEX(PCOp,$N1612)="مرجوعی خرید",IF(INDEX(PCAmount,$N1612)=0,"",-INDEX(PCAmount,$N1612)),""),IF($O1612&lt;&gt;"",IF(INDEX(TxnWitB,$O1612)=0,"",INDEX(TxnWitB,$O1612)),""))</f>
        <v/>
      </c>
      <c r="K1612" s="27">
        <f>IF($B1612="","",IF($K1611="",$C$10,$K1611)+IF($I1612="",0,$I1612)-IF($J1612="",0,$J1612))</f>
        <v/>
      </c>
      <c r="L1612" s="28">
        <f>IF($N1612&lt;&gt;"",IF(INDEX(PCNotes,$N1612)="","—",INDEX(PCNotes,$N1612)),IF($O1612&lt;&gt;"",IF(INDEX(LdgNoteB,$O1612)="","—",INDEX(LdgNoteB,$O1612)),""))</f>
        <v/>
      </c>
      <c r="N1612">
        <f>IFERROR(MATCH($C$5&amp;"|"&amp;RIGHT("000000"&amp;1596,6),LdgRankKeyA,0),"")</f>
        <v/>
      </c>
      <c r="O1612">
        <f>IFERROR(MATCH($C$5&amp;"|"&amp;RIGHT("000000"&amp;1596,6),LdgRankKeyB,0),"")</f>
        <v/>
      </c>
    </row>
    <row r="1613">
      <c r="A1613" s="17" t="n">
        <v>1597</v>
      </c>
      <c r="B1613" s="18">
        <f>IF(AND($N1613="",$O1613=""),"",IF($N1613&lt;&gt;"",INDEX(PCNormDate,$N1613),INDEX(LdgDateB,$O1613)))</f>
        <v/>
      </c>
      <c r="C1613" s="18">
        <f>IF($N1613&lt;&gt;"",INDEX(PCOp,$N1613),IF($O1613&lt;&gt;"",IF(N(INDEX(TxnDepB,$O1613))&gt;0,"دریافت بانکی","پرداخت بانکی"),""))</f>
        <v/>
      </c>
      <c r="D1613" s="18">
        <f>IF($N1613&lt;&gt;"",IF(INDEX(PCDoc,$N1613)="","—",INDEX(PCDoc,$N1613)),IF($O1613&lt;&gt;"",INDEX(LdgBankB,$O1613),""))</f>
        <v/>
      </c>
      <c r="E1613" s="18">
        <f>IF($N1613&lt;&gt;"",IF(INDEX(PCCitrus,$N1613)="","—",INDEX(PCCitrus,$N1613)),"")</f>
        <v/>
      </c>
      <c r="F1613" s="19">
        <f>IF($N1613&lt;&gt;"",IF(INDEX(PCScale,$N1613)=0,"",INDEX(PCScale,$N1613)),"")</f>
        <v/>
      </c>
      <c r="G1613" s="19">
        <f>IF($N1613&lt;&gt;"",IF(INDEX(PCBaskets,$N1613)=0,"",INDEX(PCBaskets,$N1613)),"")</f>
        <v/>
      </c>
      <c r="H1613" s="20">
        <f>IF($N1613&lt;&gt;"",IF(INDEX(PCNet,$N1613)=0,"",INDEX(PCNet,$N1613)),"")</f>
        <v/>
      </c>
      <c r="I1613" s="19">
        <f>IF($N1613&lt;&gt;"",IF(INDEX(PCOp,$N1613)="مرجوعی خرید","",IF(INDEX(PCAmount,$N1613)&lt;=0,"",INDEX(PCAmount,$N1613))),IF($O1613&lt;&gt;"",IF(INDEX(TxnDepB,$O1613)=0,"",INDEX(TxnDepB,$O1613)),""))</f>
        <v/>
      </c>
      <c r="J1613" s="19">
        <f>IF($N1613&lt;&gt;"",IF(INDEX(PCOp,$N1613)="مرجوعی خرید",IF(INDEX(PCAmount,$N1613)=0,"",-INDEX(PCAmount,$N1613)),""),IF($O1613&lt;&gt;"",IF(INDEX(TxnWitB,$O1613)=0,"",INDEX(TxnWitB,$O1613)),""))</f>
        <v/>
      </c>
      <c r="K1613" s="21">
        <f>IF($B1613="","",IF($K1612="",$C$10,$K1612)+IF($I1613="",0,$I1613)-IF($J1613="",0,$J1613))</f>
        <v/>
      </c>
      <c r="L1613" s="22">
        <f>IF($N1613&lt;&gt;"",IF(INDEX(PCNotes,$N1613)="","—",INDEX(PCNotes,$N1613)),IF($O1613&lt;&gt;"",IF(INDEX(LdgNoteB,$O1613)="","—",INDEX(LdgNoteB,$O1613)),""))</f>
        <v/>
      </c>
      <c r="N1613">
        <f>IFERROR(MATCH($C$5&amp;"|"&amp;RIGHT("000000"&amp;1597,6),LdgRankKeyA,0),"")</f>
        <v/>
      </c>
      <c r="O1613">
        <f>IFERROR(MATCH($C$5&amp;"|"&amp;RIGHT("000000"&amp;1597,6),LdgRankKeyB,0),"")</f>
        <v/>
      </c>
    </row>
    <row r="1614">
      <c r="A1614" s="23" t="n">
        <v>1598</v>
      </c>
      <c r="B1614" s="24">
        <f>IF(AND($N1614="",$O1614=""),"",IF($N1614&lt;&gt;"",INDEX(PCNormDate,$N1614),INDEX(LdgDateB,$O1614)))</f>
        <v/>
      </c>
      <c r="C1614" s="24">
        <f>IF($N1614&lt;&gt;"",INDEX(PCOp,$N1614),IF($O1614&lt;&gt;"",IF(N(INDEX(TxnDepB,$O1614))&gt;0,"دریافت بانکی","پرداخت بانکی"),""))</f>
        <v/>
      </c>
      <c r="D1614" s="24">
        <f>IF($N1614&lt;&gt;"",IF(INDEX(PCDoc,$N1614)="","—",INDEX(PCDoc,$N1614)),IF($O1614&lt;&gt;"",INDEX(LdgBankB,$O1614),""))</f>
        <v/>
      </c>
      <c r="E1614" s="24">
        <f>IF($N1614&lt;&gt;"",IF(INDEX(PCCitrus,$N1614)="","—",INDEX(PCCitrus,$N1614)),"")</f>
        <v/>
      </c>
      <c r="F1614" s="25">
        <f>IF($N1614&lt;&gt;"",IF(INDEX(PCScale,$N1614)=0,"",INDEX(PCScale,$N1614)),"")</f>
        <v/>
      </c>
      <c r="G1614" s="25">
        <f>IF($N1614&lt;&gt;"",IF(INDEX(PCBaskets,$N1614)=0,"",INDEX(PCBaskets,$N1614)),"")</f>
        <v/>
      </c>
      <c r="H1614" s="26">
        <f>IF($N1614&lt;&gt;"",IF(INDEX(PCNet,$N1614)=0,"",INDEX(PCNet,$N1614)),"")</f>
        <v/>
      </c>
      <c r="I1614" s="25">
        <f>IF($N1614&lt;&gt;"",IF(INDEX(PCOp,$N1614)="مرجوعی خرید","",IF(INDEX(PCAmount,$N1614)&lt;=0,"",INDEX(PCAmount,$N1614))),IF($O1614&lt;&gt;"",IF(INDEX(TxnDepB,$O1614)=0,"",INDEX(TxnDepB,$O1614)),""))</f>
        <v/>
      </c>
      <c r="J1614" s="25">
        <f>IF($N1614&lt;&gt;"",IF(INDEX(PCOp,$N1614)="مرجوعی خرید",IF(INDEX(PCAmount,$N1614)=0,"",-INDEX(PCAmount,$N1614)),""),IF($O1614&lt;&gt;"",IF(INDEX(TxnWitB,$O1614)=0,"",INDEX(TxnWitB,$O1614)),""))</f>
        <v/>
      </c>
      <c r="K1614" s="27">
        <f>IF($B1614="","",IF($K1613="",$C$10,$K1613)+IF($I1614="",0,$I1614)-IF($J1614="",0,$J1614))</f>
        <v/>
      </c>
      <c r="L1614" s="28">
        <f>IF($N1614&lt;&gt;"",IF(INDEX(PCNotes,$N1614)="","—",INDEX(PCNotes,$N1614)),IF($O1614&lt;&gt;"",IF(INDEX(LdgNoteB,$O1614)="","—",INDEX(LdgNoteB,$O1614)),""))</f>
        <v/>
      </c>
      <c r="N1614">
        <f>IFERROR(MATCH($C$5&amp;"|"&amp;RIGHT("000000"&amp;1598,6),LdgRankKeyA,0),"")</f>
        <v/>
      </c>
      <c r="O1614">
        <f>IFERROR(MATCH($C$5&amp;"|"&amp;RIGHT("000000"&amp;1598,6),LdgRankKeyB,0),"")</f>
        <v/>
      </c>
    </row>
    <row r="1615">
      <c r="A1615" s="17" t="n">
        <v>1599</v>
      </c>
      <c r="B1615" s="18">
        <f>IF(AND($N1615="",$O1615=""),"",IF($N1615&lt;&gt;"",INDEX(PCNormDate,$N1615),INDEX(LdgDateB,$O1615)))</f>
        <v/>
      </c>
      <c r="C1615" s="18">
        <f>IF($N1615&lt;&gt;"",INDEX(PCOp,$N1615),IF($O1615&lt;&gt;"",IF(N(INDEX(TxnDepB,$O1615))&gt;0,"دریافت بانکی","پرداخت بانکی"),""))</f>
        <v/>
      </c>
      <c r="D1615" s="18">
        <f>IF($N1615&lt;&gt;"",IF(INDEX(PCDoc,$N1615)="","—",INDEX(PCDoc,$N1615)),IF($O1615&lt;&gt;"",INDEX(LdgBankB,$O1615),""))</f>
        <v/>
      </c>
      <c r="E1615" s="18">
        <f>IF($N1615&lt;&gt;"",IF(INDEX(PCCitrus,$N1615)="","—",INDEX(PCCitrus,$N1615)),"")</f>
        <v/>
      </c>
      <c r="F1615" s="19">
        <f>IF($N1615&lt;&gt;"",IF(INDEX(PCScale,$N1615)=0,"",INDEX(PCScale,$N1615)),"")</f>
        <v/>
      </c>
      <c r="G1615" s="19">
        <f>IF($N1615&lt;&gt;"",IF(INDEX(PCBaskets,$N1615)=0,"",INDEX(PCBaskets,$N1615)),"")</f>
        <v/>
      </c>
      <c r="H1615" s="20">
        <f>IF($N1615&lt;&gt;"",IF(INDEX(PCNet,$N1615)=0,"",INDEX(PCNet,$N1615)),"")</f>
        <v/>
      </c>
      <c r="I1615" s="19">
        <f>IF($N1615&lt;&gt;"",IF(INDEX(PCOp,$N1615)="مرجوعی خرید","",IF(INDEX(PCAmount,$N1615)&lt;=0,"",INDEX(PCAmount,$N1615))),IF($O1615&lt;&gt;"",IF(INDEX(TxnDepB,$O1615)=0,"",INDEX(TxnDepB,$O1615)),""))</f>
        <v/>
      </c>
      <c r="J1615" s="19">
        <f>IF($N1615&lt;&gt;"",IF(INDEX(PCOp,$N1615)="مرجوعی خرید",IF(INDEX(PCAmount,$N1615)=0,"",-INDEX(PCAmount,$N1615)),""),IF($O1615&lt;&gt;"",IF(INDEX(TxnWitB,$O1615)=0,"",INDEX(TxnWitB,$O1615)),""))</f>
        <v/>
      </c>
      <c r="K1615" s="21">
        <f>IF($B1615="","",IF($K1614="",$C$10,$K1614)+IF($I1615="",0,$I1615)-IF($J1615="",0,$J1615))</f>
        <v/>
      </c>
      <c r="L1615" s="22">
        <f>IF($N1615&lt;&gt;"",IF(INDEX(PCNotes,$N1615)="","—",INDEX(PCNotes,$N1615)),IF($O1615&lt;&gt;"",IF(INDEX(LdgNoteB,$O1615)="","—",INDEX(LdgNoteB,$O1615)),""))</f>
        <v/>
      </c>
      <c r="N1615">
        <f>IFERROR(MATCH($C$5&amp;"|"&amp;RIGHT("000000"&amp;1599,6),LdgRankKeyA,0),"")</f>
        <v/>
      </c>
      <c r="O1615">
        <f>IFERROR(MATCH($C$5&amp;"|"&amp;RIGHT("000000"&amp;1599,6),LdgRankKeyB,0),"")</f>
        <v/>
      </c>
    </row>
    <row r="1616">
      <c r="A1616" s="23" t="n">
        <v>1600</v>
      </c>
      <c r="B1616" s="24">
        <f>IF(AND($N1616="",$O1616=""),"",IF($N1616&lt;&gt;"",INDEX(PCNormDate,$N1616),INDEX(LdgDateB,$O1616)))</f>
        <v/>
      </c>
      <c r="C1616" s="24">
        <f>IF($N1616&lt;&gt;"",INDEX(PCOp,$N1616),IF($O1616&lt;&gt;"",IF(N(INDEX(TxnDepB,$O1616))&gt;0,"دریافت بانکی","پرداخت بانکی"),""))</f>
        <v/>
      </c>
      <c r="D1616" s="24">
        <f>IF($N1616&lt;&gt;"",IF(INDEX(PCDoc,$N1616)="","—",INDEX(PCDoc,$N1616)),IF($O1616&lt;&gt;"",INDEX(LdgBankB,$O1616),""))</f>
        <v/>
      </c>
      <c r="E1616" s="24">
        <f>IF($N1616&lt;&gt;"",IF(INDEX(PCCitrus,$N1616)="","—",INDEX(PCCitrus,$N1616)),"")</f>
        <v/>
      </c>
      <c r="F1616" s="25">
        <f>IF($N1616&lt;&gt;"",IF(INDEX(PCScale,$N1616)=0,"",INDEX(PCScale,$N1616)),"")</f>
        <v/>
      </c>
      <c r="G1616" s="25">
        <f>IF($N1616&lt;&gt;"",IF(INDEX(PCBaskets,$N1616)=0,"",INDEX(PCBaskets,$N1616)),"")</f>
        <v/>
      </c>
      <c r="H1616" s="26">
        <f>IF($N1616&lt;&gt;"",IF(INDEX(PCNet,$N1616)=0,"",INDEX(PCNet,$N1616)),"")</f>
        <v/>
      </c>
      <c r="I1616" s="25">
        <f>IF($N1616&lt;&gt;"",IF(INDEX(PCOp,$N1616)="مرجوعی خرید","",IF(INDEX(PCAmount,$N1616)&lt;=0,"",INDEX(PCAmount,$N1616))),IF($O1616&lt;&gt;"",IF(INDEX(TxnDepB,$O1616)=0,"",INDEX(TxnDepB,$O1616)),""))</f>
        <v/>
      </c>
      <c r="J1616" s="25">
        <f>IF($N1616&lt;&gt;"",IF(INDEX(PCOp,$N1616)="مرجوعی خرید",IF(INDEX(PCAmount,$N1616)=0,"",-INDEX(PCAmount,$N1616)),""),IF($O1616&lt;&gt;"",IF(INDEX(TxnWitB,$O1616)=0,"",INDEX(TxnWitB,$O1616)),""))</f>
        <v/>
      </c>
      <c r="K1616" s="27">
        <f>IF($B1616="","",IF($K1615="",$C$10,$K1615)+IF($I1616="",0,$I1616)-IF($J1616="",0,$J1616))</f>
        <v/>
      </c>
      <c r="L1616" s="28">
        <f>IF($N1616&lt;&gt;"",IF(INDEX(PCNotes,$N1616)="","—",INDEX(PCNotes,$N1616)),IF($O1616&lt;&gt;"",IF(INDEX(LdgNoteB,$O1616)="","—",INDEX(LdgNoteB,$O1616)),""))</f>
        <v/>
      </c>
      <c r="N1616">
        <f>IFERROR(MATCH($C$5&amp;"|"&amp;RIGHT("000000"&amp;1600,6),LdgRankKeyA,0),"")</f>
        <v/>
      </c>
      <c r="O1616">
        <f>IFERROR(MATCH($C$5&amp;"|"&amp;RIGHT("000000"&amp;1600,6),LdgRankKeyB,0),"")</f>
        <v/>
      </c>
    </row>
    <row r="1617">
      <c r="A1617" s="17" t="n">
        <v>1601</v>
      </c>
      <c r="B1617" s="18">
        <f>IF(AND($N1617="",$O1617=""),"",IF($N1617&lt;&gt;"",INDEX(PCNormDate,$N1617),INDEX(LdgDateB,$O1617)))</f>
        <v/>
      </c>
      <c r="C1617" s="18">
        <f>IF($N1617&lt;&gt;"",INDEX(PCOp,$N1617),IF($O1617&lt;&gt;"",IF(N(INDEX(TxnDepB,$O1617))&gt;0,"دریافت بانکی","پرداخت بانکی"),""))</f>
        <v/>
      </c>
      <c r="D1617" s="18">
        <f>IF($N1617&lt;&gt;"",IF(INDEX(PCDoc,$N1617)="","—",INDEX(PCDoc,$N1617)),IF($O1617&lt;&gt;"",INDEX(LdgBankB,$O1617),""))</f>
        <v/>
      </c>
      <c r="E1617" s="18">
        <f>IF($N1617&lt;&gt;"",IF(INDEX(PCCitrus,$N1617)="","—",INDEX(PCCitrus,$N1617)),"")</f>
        <v/>
      </c>
      <c r="F1617" s="19">
        <f>IF($N1617&lt;&gt;"",IF(INDEX(PCScale,$N1617)=0,"",INDEX(PCScale,$N1617)),"")</f>
        <v/>
      </c>
      <c r="G1617" s="19">
        <f>IF($N1617&lt;&gt;"",IF(INDEX(PCBaskets,$N1617)=0,"",INDEX(PCBaskets,$N1617)),"")</f>
        <v/>
      </c>
      <c r="H1617" s="20">
        <f>IF($N1617&lt;&gt;"",IF(INDEX(PCNet,$N1617)=0,"",INDEX(PCNet,$N1617)),"")</f>
        <v/>
      </c>
      <c r="I1617" s="19">
        <f>IF($N1617&lt;&gt;"",IF(INDEX(PCOp,$N1617)="مرجوعی خرید","",IF(INDEX(PCAmount,$N1617)&lt;=0,"",INDEX(PCAmount,$N1617))),IF($O1617&lt;&gt;"",IF(INDEX(TxnDepB,$O1617)=0,"",INDEX(TxnDepB,$O1617)),""))</f>
        <v/>
      </c>
      <c r="J1617" s="19">
        <f>IF($N1617&lt;&gt;"",IF(INDEX(PCOp,$N1617)="مرجوعی خرید",IF(INDEX(PCAmount,$N1617)=0,"",-INDEX(PCAmount,$N1617)),""),IF($O1617&lt;&gt;"",IF(INDEX(TxnWitB,$O1617)=0,"",INDEX(TxnWitB,$O1617)),""))</f>
        <v/>
      </c>
      <c r="K1617" s="21">
        <f>IF($B1617="","",IF($K1616="",$C$10,$K1616)+IF($I1617="",0,$I1617)-IF($J1617="",0,$J1617))</f>
        <v/>
      </c>
      <c r="L1617" s="22">
        <f>IF($N1617&lt;&gt;"",IF(INDEX(PCNotes,$N1617)="","—",INDEX(PCNotes,$N1617)),IF($O1617&lt;&gt;"",IF(INDEX(LdgNoteB,$O1617)="","—",INDEX(LdgNoteB,$O1617)),""))</f>
        <v/>
      </c>
      <c r="N1617">
        <f>IFERROR(MATCH($C$5&amp;"|"&amp;RIGHT("000000"&amp;1601,6),LdgRankKeyA,0),"")</f>
        <v/>
      </c>
      <c r="O1617">
        <f>IFERROR(MATCH($C$5&amp;"|"&amp;RIGHT("000000"&amp;1601,6),LdgRankKeyB,0),"")</f>
        <v/>
      </c>
    </row>
    <row r="1618">
      <c r="A1618" s="23" t="n">
        <v>1602</v>
      </c>
      <c r="B1618" s="24">
        <f>IF(AND($N1618="",$O1618=""),"",IF($N1618&lt;&gt;"",INDEX(PCNormDate,$N1618),INDEX(LdgDateB,$O1618)))</f>
        <v/>
      </c>
      <c r="C1618" s="24">
        <f>IF($N1618&lt;&gt;"",INDEX(PCOp,$N1618),IF($O1618&lt;&gt;"",IF(N(INDEX(TxnDepB,$O1618))&gt;0,"دریافت بانکی","پرداخت بانکی"),""))</f>
        <v/>
      </c>
      <c r="D1618" s="24">
        <f>IF($N1618&lt;&gt;"",IF(INDEX(PCDoc,$N1618)="","—",INDEX(PCDoc,$N1618)),IF($O1618&lt;&gt;"",INDEX(LdgBankB,$O1618),""))</f>
        <v/>
      </c>
      <c r="E1618" s="24">
        <f>IF($N1618&lt;&gt;"",IF(INDEX(PCCitrus,$N1618)="","—",INDEX(PCCitrus,$N1618)),"")</f>
        <v/>
      </c>
      <c r="F1618" s="25">
        <f>IF($N1618&lt;&gt;"",IF(INDEX(PCScale,$N1618)=0,"",INDEX(PCScale,$N1618)),"")</f>
        <v/>
      </c>
      <c r="G1618" s="25">
        <f>IF($N1618&lt;&gt;"",IF(INDEX(PCBaskets,$N1618)=0,"",INDEX(PCBaskets,$N1618)),"")</f>
        <v/>
      </c>
      <c r="H1618" s="26">
        <f>IF($N1618&lt;&gt;"",IF(INDEX(PCNet,$N1618)=0,"",INDEX(PCNet,$N1618)),"")</f>
        <v/>
      </c>
      <c r="I1618" s="25">
        <f>IF($N1618&lt;&gt;"",IF(INDEX(PCOp,$N1618)="مرجوعی خرید","",IF(INDEX(PCAmount,$N1618)&lt;=0,"",INDEX(PCAmount,$N1618))),IF($O1618&lt;&gt;"",IF(INDEX(TxnDepB,$O1618)=0,"",INDEX(TxnDepB,$O1618)),""))</f>
        <v/>
      </c>
      <c r="J1618" s="25">
        <f>IF($N1618&lt;&gt;"",IF(INDEX(PCOp,$N1618)="مرجوعی خرید",IF(INDEX(PCAmount,$N1618)=0,"",-INDEX(PCAmount,$N1618)),""),IF($O1618&lt;&gt;"",IF(INDEX(TxnWitB,$O1618)=0,"",INDEX(TxnWitB,$O1618)),""))</f>
        <v/>
      </c>
      <c r="K1618" s="27">
        <f>IF($B1618="","",IF($K1617="",$C$10,$K1617)+IF($I1618="",0,$I1618)-IF($J1618="",0,$J1618))</f>
        <v/>
      </c>
      <c r="L1618" s="28">
        <f>IF($N1618&lt;&gt;"",IF(INDEX(PCNotes,$N1618)="","—",INDEX(PCNotes,$N1618)),IF($O1618&lt;&gt;"",IF(INDEX(LdgNoteB,$O1618)="","—",INDEX(LdgNoteB,$O1618)),""))</f>
        <v/>
      </c>
      <c r="N1618">
        <f>IFERROR(MATCH($C$5&amp;"|"&amp;RIGHT("000000"&amp;1602,6),LdgRankKeyA,0),"")</f>
        <v/>
      </c>
      <c r="O1618">
        <f>IFERROR(MATCH($C$5&amp;"|"&amp;RIGHT("000000"&amp;1602,6),LdgRankKeyB,0),"")</f>
        <v/>
      </c>
    </row>
    <row r="1619">
      <c r="A1619" s="17" t="n">
        <v>1603</v>
      </c>
      <c r="B1619" s="18">
        <f>IF(AND($N1619="",$O1619=""),"",IF($N1619&lt;&gt;"",INDEX(PCNormDate,$N1619),INDEX(LdgDateB,$O1619)))</f>
        <v/>
      </c>
      <c r="C1619" s="18">
        <f>IF($N1619&lt;&gt;"",INDEX(PCOp,$N1619),IF($O1619&lt;&gt;"",IF(N(INDEX(TxnDepB,$O1619))&gt;0,"دریافت بانکی","پرداخت بانکی"),""))</f>
        <v/>
      </c>
      <c r="D1619" s="18">
        <f>IF($N1619&lt;&gt;"",IF(INDEX(PCDoc,$N1619)="","—",INDEX(PCDoc,$N1619)),IF($O1619&lt;&gt;"",INDEX(LdgBankB,$O1619),""))</f>
        <v/>
      </c>
      <c r="E1619" s="18">
        <f>IF($N1619&lt;&gt;"",IF(INDEX(PCCitrus,$N1619)="","—",INDEX(PCCitrus,$N1619)),"")</f>
        <v/>
      </c>
      <c r="F1619" s="19">
        <f>IF($N1619&lt;&gt;"",IF(INDEX(PCScale,$N1619)=0,"",INDEX(PCScale,$N1619)),"")</f>
        <v/>
      </c>
      <c r="G1619" s="19">
        <f>IF($N1619&lt;&gt;"",IF(INDEX(PCBaskets,$N1619)=0,"",INDEX(PCBaskets,$N1619)),"")</f>
        <v/>
      </c>
      <c r="H1619" s="20">
        <f>IF($N1619&lt;&gt;"",IF(INDEX(PCNet,$N1619)=0,"",INDEX(PCNet,$N1619)),"")</f>
        <v/>
      </c>
      <c r="I1619" s="19">
        <f>IF($N1619&lt;&gt;"",IF(INDEX(PCOp,$N1619)="مرجوعی خرید","",IF(INDEX(PCAmount,$N1619)&lt;=0,"",INDEX(PCAmount,$N1619))),IF($O1619&lt;&gt;"",IF(INDEX(TxnDepB,$O1619)=0,"",INDEX(TxnDepB,$O1619)),""))</f>
        <v/>
      </c>
      <c r="J1619" s="19">
        <f>IF($N1619&lt;&gt;"",IF(INDEX(PCOp,$N1619)="مرجوعی خرید",IF(INDEX(PCAmount,$N1619)=0,"",-INDEX(PCAmount,$N1619)),""),IF($O1619&lt;&gt;"",IF(INDEX(TxnWitB,$O1619)=0,"",INDEX(TxnWitB,$O1619)),""))</f>
        <v/>
      </c>
      <c r="K1619" s="21">
        <f>IF($B1619="","",IF($K1618="",$C$10,$K1618)+IF($I1619="",0,$I1619)-IF($J1619="",0,$J1619))</f>
        <v/>
      </c>
      <c r="L1619" s="22">
        <f>IF($N1619&lt;&gt;"",IF(INDEX(PCNotes,$N1619)="","—",INDEX(PCNotes,$N1619)),IF($O1619&lt;&gt;"",IF(INDEX(LdgNoteB,$O1619)="","—",INDEX(LdgNoteB,$O1619)),""))</f>
        <v/>
      </c>
      <c r="N1619">
        <f>IFERROR(MATCH($C$5&amp;"|"&amp;RIGHT("000000"&amp;1603,6),LdgRankKeyA,0),"")</f>
        <v/>
      </c>
      <c r="O1619">
        <f>IFERROR(MATCH($C$5&amp;"|"&amp;RIGHT("000000"&amp;1603,6),LdgRankKeyB,0),"")</f>
        <v/>
      </c>
    </row>
    <row r="1620">
      <c r="A1620" s="23" t="n">
        <v>1604</v>
      </c>
      <c r="B1620" s="24">
        <f>IF(AND($N1620="",$O1620=""),"",IF($N1620&lt;&gt;"",INDEX(PCNormDate,$N1620),INDEX(LdgDateB,$O1620)))</f>
        <v/>
      </c>
      <c r="C1620" s="24">
        <f>IF($N1620&lt;&gt;"",INDEX(PCOp,$N1620),IF($O1620&lt;&gt;"",IF(N(INDEX(TxnDepB,$O1620))&gt;0,"دریافت بانکی","پرداخت بانکی"),""))</f>
        <v/>
      </c>
      <c r="D1620" s="24">
        <f>IF($N1620&lt;&gt;"",IF(INDEX(PCDoc,$N1620)="","—",INDEX(PCDoc,$N1620)),IF($O1620&lt;&gt;"",INDEX(LdgBankB,$O1620),""))</f>
        <v/>
      </c>
      <c r="E1620" s="24">
        <f>IF($N1620&lt;&gt;"",IF(INDEX(PCCitrus,$N1620)="","—",INDEX(PCCitrus,$N1620)),"")</f>
        <v/>
      </c>
      <c r="F1620" s="25">
        <f>IF($N1620&lt;&gt;"",IF(INDEX(PCScale,$N1620)=0,"",INDEX(PCScale,$N1620)),"")</f>
        <v/>
      </c>
      <c r="G1620" s="25">
        <f>IF($N1620&lt;&gt;"",IF(INDEX(PCBaskets,$N1620)=0,"",INDEX(PCBaskets,$N1620)),"")</f>
        <v/>
      </c>
      <c r="H1620" s="26">
        <f>IF($N1620&lt;&gt;"",IF(INDEX(PCNet,$N1620)=0,"",INDEX(PCNet,$N1620)),"")</f>
        <v/>
      </c>
      <c r="I1620" s="25">
        <f>IF($N1620&lt;&gt;"",IF(INDEX(PCOp,$N1620)="مرجوعی خرید","",IF(INDEX(PCAmount,$N1620)&lt;=0,"",INDEX(PCAmount,$N1620))),IF($O1620&lt;&gt;"",IF(INDEX(TxnDepB,$O1620)=0,"",INDEX(TxnDepB,$O1620)),""))</f>
        <v/>
      </c>
      <c r="J1620" s="25">
        <f>IF($N1620&lt;&gt;"",IF(INDEX(PCOp,$N1620)="مرجوعی خرید",IF(INDEX(PCAmount,$N1620)=0,"",-INDEX(PCAmount,$N1620)),""),IF($O1620&lt;&gt;"",IF(INDEX(TxnWitB,$O1620)=0,"",INDEX(TxnWitB,$O1620)),""))</f>
        <v/>
      </c>
      <c r="K1620" s="27">
        <f>IF($B1620="","",IF($K1619="",$C$10,$K1619)+IF($I1620="",0,$I1620)-IF($J1620="",0,$J1620))</f>
        <v/>
      </c>
      <c r="L1620" s="28">
        <f>IF($N1620&lt;&gt;"",IF(INDEX(PCNotes,$N1620)="","—",INDEX(PCNotes,$N1620)),IF($O1620&lt;&gt;"",IF(INDEX(LdgNoteB,$O1620)="","—",INDEX(LdgNoteB,$O1620)),""))</f>
        <v/>
      </c>
      <c r="N1620">
        <f>IFERROR(MATCH($C$5&amp;"|"&amp;RIGHT("000000"&amp;1604,6),LdgRankKeyA,0),"")</f>
        <v/>
      </c>
      <c r="O1620">
        <f>IFERROR(MATCH($C$5&amp;"|"&amp;RIGHT("000000"&amp;1604,6),LdgRankKeyB,0),"")</f>
        <v/>
      </c>
    </row>
    <row r="1621">
      <c r="A1621" s="17" t="n">
        <v>1605</v>
      </c>
      <c r="B1621" s="18">
        <f>IF(AND($N1621="",$O1621=""),"",IF($N1621&lt;&gt;"",INDEX(PCNormDate,$N1621),INDEX(LdgDateB,$O1621)))</f>
        <v/>
      </c>
      <c r="C1621" s="18">
        <f>IF($N1621&lt;&gt;"",INDEX(PCOp,$N1621),IF($O1621&lt;&gt;"",IF(N(INDEX(TxnDepB,$O1621))&gt;0,"دریافت بانکی","پرداخت بانکی"),""))</f>
        <v/>
      </c>
      <c r="D1621" s="18">
        <f>IF($N1621&lt;&gt;"",IF(INDEX(PCDoc,$N1621)="","—",INDEX(PCDoc,$N1621)),IF($O1621&lt;&gt;"",INDEX(LdgBankB,$O1621),""))</f>
        <v/>
      </c>
      <c r="E1621" s="18">
        <f>IF($N1621&lt;&gt;"",IF(INDEX(PCCitrus,$N1621)="","—",INDEX(PCCitrus,$N1621)),"")</f>
        <v/>
      </c>
      <c r="F1621" s="19">
        <f>IF($N1621&lt;&gt;"",IF(INDEX(PCScale,$N1621)=0,"",INDEX(PCScale,$N1621)),"")</f>
        <v/>
      </c>
      <c r="G1621" s="19">
        <f>IF($N1621&lt;&gt;"",IF(INDEX(PCBaskets,$N1621)=0,"",INDEX(PCBaskets,$N1621)),"")</f>
        <v/>
      </c>
      <c r="H1621" s="20">
        <f>IF($N1621&lt;&gt;"",IF(INDEX(PCNet,$N1621)=0,"",INDEX(PCNet,$N1621)),"")</f>
        <v/>
      </c>
      <c r="I1621" s="19">
        <f>IF($N1621&lt;&gt;"",IF(INDEX(PCOp,$N1621)="مرجوعی خرید","",IF(INDEX(PCAmount,$N1621)&lt;=0,"",INDEX(PCAmount,$N1621))),IF($O1621&lt;&gt;"",IF(INDEX(TxnDepB,$O1621)=0,"",INDEX(TxnDepB,$O1621)),""))</f>
        <v/>
      </c>
      <c r="J1621" s="19">
        <f>IF($N1621&lt;&gt;"",IF(INDEX(PCOp,$N1621)="مرجوعی خرید",IF(INDEX(PCAmount,$N1621)=0,"",-INDEX(PCAmount,$N1621)),""),IF($O1621&lt;&gt;"",IF(INDEX(TxnWitB,$O1621)=0,"",INDEX(TxnWitB,$O1621)),""))</f>
        <v/>
      </c>
      <c r="K1621" s="21">
        <f>IF($B1621="","",IF($K1620="",$C$10,$K1620)+IF($I1621="",0,$I1621)-IF($J1621="",0,$J1621))</f>
        <v/>
      </c>
      <c r="L1621" s="22">
        <f>IF($N1621&lt;&gt;"",IF(INDEX(PCNotes,$N1621)="","—",INDEX(PCNotes,$N1621)),IF($O1621&lt;&gt;"",IF(INDEX(LdgNoteB,$O1621)="","—",INDEX(LdgNoteB,$O1621)),""))</f>
        <v/>
      </c>
      <c r="N1621">
        <f>IFERROR(MATCH($C$5&amp;"|"&amp;RIGHT("000000"&amp;1605,6),LdgRankKeyA,0),"")</f>
        <v/>
      </c>
      <c r="O1621">
        <f>IFERROR(MATCH($C$5&amp;"|"&amp;RIGHT("000000"&amp;1605,6),LdgRankKeyB,0),"")</f>
        <v/>
      </c>
    </row>
    <row r="1622">
      <c r="A1622" s="23" t="n">
        <v>1606</v>
      </c>
      <c r="B1622" s="24">
        <f>IF(AND($N1622="",$O1622=""),"",IF($N1622&lt;&gt;"",INDEX(PCNormDate,$N1622),INDEX(LdgDateB,$O1622)))</f>
        <v/>
      </c>
      <c r="C1622" s="24">
        <f>IF($N1622&lt;&gt;"",INDEX(PCOp,$N1622),IF($O1622&lt;&gt;"",IF(N(INDEX(TxnDepB,$O1622))&gt;0,"دریافت بانکی","پرداخت بانکی"),""))</f>
        <v/>
      </c>
      <c r="D1622" s="24">
        <f>IF($N1622&lt;&gt;"",IF(INDEX(PCDoc,$N1622)="","—",INDEX(PCDoc,$N1622)),IF($O1622&lt;&gt;"",INDEX(LdgBankB,$O1622),""))</f>
        <v/>
      </c>
      <c r="E1622" s="24">
        <f>IF($N1622&lt;&gt;"",IF(INDEX(PCCitrus,$N1622)="","—",INDEX(PCCitrus,$N1622)),"")</f>
        <v/>
      </c>
      <c r="F1622" s="25">
        <f>IF($N1622&lt;&gt;"",IF(INDEX(PCScale,$N1622)=0,"",INDEX(PCScale,$N1622)),"")</f>
        <v/>
      </c>
      <c r="G1622" s="25">
        <f>IF($N1622&lt;&gt;"",IF(INDEX(PCBaskets,$N1622)=0,"",INDEX(PCBaskets,$N1622)),"")</f>
        <v/>
      </c>
      <c r="H1622" s="26">
        <f>IF($N1622&lt;&gt;"",IF(INDEX(PCNet,$N1622)=0,"",INDEX(PCNet,$N1622)),"")</f>
        <v/>
      </c>
      <c r="I1622" s="25">
        <f>IF($N1622&lt;&gt;"",IF(INDEX(PCOp,$N1622)="مرجوعی خرید","",IF(INDEX(PCAmount,$N1622)&lt;=0,"",INDEX(PCAmount,$N1622))),IF($O1622&lt;&gt;"",IF(INDEX(TxnDepB,$O1622)=0,"",INDEX(TxnDepB,$O1622)),""))</f>
        <v/>
      </c>
      <c r="J1622" s="25">
        <f>IF($N1622&lt;&gt;"",IF(INDEX(PCOp,$N1622)="مرجوعی خرید",IF(INDEX(PCAmount,$N1622)=0,"",-INDEX(PCAmount,$N1622)),""),IF($O1622&lt;&gt;"",IF(INDEX(TxnWitB,$O1622)=0,"",INDEX(TxnWitB,$O1622)),""))</f>
        <v/>
      </c>
      <c r="K1622" s="27">
        <f>IF($B1622="","",IF($K1621="",$C$10,$K1621)+IF($I1622="",0,$I1622)-IF($J1622="",0,$J1622))</f>
        <v/>
      </c>
      <c r="L1622" s="28">
        <f>IF($N1622&lt;&gt;"",IF(INDEX(PCNotes,$N1622)="","—",INDEX(PCNotes,$N1622)),IF($O1622&lt;&gt;"",IF(INDEX(LdgNoteB,$O1622)="","—",INDEX(LdgNoteB,$O1622)),""))</f>
        <v/>
      </c>
      <c r="N1622">
        <f>IFERROR(MATCH($C$5&amp;"|"&amp;RIGHT("000000"&amp;1606,6),LdgRankKeyA,0),"")</f>
        <v/>
      </c>
      <c r="O1622">
        <f>IFERROR(MATCH($C$5&amp;"|"&amp;RIGHT("000000"&amp;1606,6),LdgRankKeyB,0),"")</f>
        <v/>
      </c>
    </row>
    <row r="1623">
      <c r="A1623" s="17" t="n">
        <v>1607</v>
      </c>
      <c r="B1623" s="18">
        <f>IF(AND($N1623="",$O1623=""),"",IF($N1623&lt;&gt;"",INDEX(PCNormDate,$N1623),INDEX(LdgDateB,$O1623)))</f>
        <v/>
      </c>
      <c r="C1623" s="18">
        <f>IF($N1623&lt;&gt;"",INDEX(PCOp,$N1623),IF($O1623&lt;&gt;"",IF(N(INDEX(TxnDepB,$O1623))&gt;0,"دریافت بانکی","پرداخت بانکی"),""))</f>
        <v/>
      </c>
      <c r="D1623" s="18">
        <f>IF($N1623&lt;&gt;"",IF(INDEX(PCDoc,$N1623)="","—",INDEX(PCDoc,$N1623)),IF($O1623&lt;&gt;"",INDEX(LdgBankB,$O1623),""))</f>
        <v/>
      </c>
      <c r="E1623" s="18">
        <f>IF($N1623&lt;&gt;"",IF(INDEX(PCCitrus,$N1623)="","—",INDEX(PCCitrus,$N1623)),"")</f>
        <v/>
      </c>
      <c r="F1623" s="19">
        <f>IF($N1623&lt;&gt;"",IF(INDEX(PCScale,$N1623)=0,"",INDEX(PCScale,$N1623)),"")</f>
        <v/>
      </c>
      <c r="G1623" s="19">
        <f>IF($N1623&lt;&gt;"",IF(INDEX(PCBaskets,$N1623)=0,"",INDEX(PCBaskets,$N1623)),"")</f>
        <v/>
      </c>
      <c r="H1623" s="20">
        <f>IF($N1623&lt;&gt;"",IF(INDEX(PCNet,$N1623)=0,"",INDEX(PCNet,$N1623)),"")</f>
        <v/>
      </c>
      <c r="I1623" s="19">
        <f>IF($N1623&lt;&gt;"",IF(INDEX(PCOp,$N1623)="مرجوعی خرید","",IF(INDEX(PCAmount,$N1623)&lt;=0,"",INDEX(PCAmount,$N1623))),IF($O1623&lt;&gt;"",IF(INDEX(TxnDepB,$O1623)=0,"",INDEX(TxnDepB,$O1623)),""))</f>
        <v/>
      </c>
      <c r="J1623" s="19">
        <f>IF($N1623&lt;&gt;"",IF(INDEX(PCOp,$N1623)="مرجوعی خرید",IF(INDEX(PCAmount,$N1623)=0,"",-INDEX(PCAmount,$N1623)),""),IF($O1623&lt;&gt;"",IF(INDEX(TxnWitB,$O1623)=0,"",INDEX(TxnWitB,$O1623)),""))</f>
        <v/>
      </c>
      <c r="K1623" s="21">
        <f>IF($B1623="","",IF($K1622="",$C$10,$K1622)+IF($I1623="",0,$I1623)-IF($J1623="",0,$J1623))</f>
        <v/>
      </c>
      <c r="L1623" s="22">
        <f>IF($N1623&lt;&gt;"",IF(INDEX(PCNotes,$N1623)="","—",INDEX(PCNotes,$N1623)),IF($O1623&lt;&gt;"",IF(INDEX(LdgNoteB,$O1623)="","—",INDEX(LdgNoteB,$O1623)),""))</f>
        <v/>
      </c>
      <c r="N1623">
        <f>IFERROR(MATCH($C$5&amp;"|"&amp;RIGHT("000000"&amp;1607,6),LdgRankKeyA,0),"")</f>
        <v/>
      </c>
      <c r="O1623">
        <f>IFERROR(MATCH($C$5&amp;"|"&amp;RIGHT("000000"&amp;1607,6),LdgRankKeyB,0),"")</f>
        <v/>
      </c>
    </row>
    <row r="1624">
      <c r="A1624" s="23" t="n">
        <v>1608</v>
      </c>
      <c r="B1624" s="24">
        <f>IF(AND($N1624="",$O1624=""),"",IF($N1624&lt;&gt;"",INDEX(PCNormDate,$N1624),INDEX(LdgDateB,$O1624)))</f>
        <v/>
      </c>
      <c r="C1624" s="24">
        <f>IF($N1624&lt;&gt;"",INDEX(PCOp,$N1624),IF($O1624&lt;&gt;"",IF(N(INDEX(TxnDepB,$O1624))&gt;0,"دریافت بانکی","پرداخت بانکی"),""))</f>
        <v/>
      </c>
      <c r="D1624" s="24">
        <f>IF($N1624&lt;&gt;"",IF(INDEX(PCDoc,$N1624)="","—",INDEX(PCDoc,$N1624)),IF($O1624&lt;&gt;"",INDEX(LdgBankB,$O1624),""))</f>
        <v/>
      </c>
      <c r="E1624" s="24">
        <f>IF($N1624&lt;&gt;"",IF(INDEX(PCCitrus,$N1624)="","—",INDEX(PCCitrus,$N1624)),"")</f>
        <v/>
      </c>
      <c r="F1624" s="25">
        <f>IF($N1624&lt;&gt;"",IF(INDEX(PCScale,$N1624)=0,"",INDEX(PCScale,$N1624)),"")</f>
        <v/>
      </c>
      <c r="G1624" s="25">
        <f>IF($N1624&lt;&gt;"",IF(INDEX(PCBaskets,$N1624)=0,"",INDEX(PCBaskets,$N1624)),"")</f>
        <v/>
      </c>
      <c r="H1624" s="26">
        <f>IF($N1624&lt;&gt;"",IF(INDEX(PCNet,$N1624)=0,"",INDEX(PCNet,$N1624)),"")</f>
        <v/>
      </c>
      <c r="I1624" s="25">
        <f>IF($N1624&lt;&gt;"",IF(INDEX(PCOp,$N1624)="مرجوعی خرید","",IF(INDEX(PCAmount,$N1624)&lt;=0,"",INDEX(PCAmount,$N1624))),IF($O1624&lt;&gt;"",IF(INDEX(TxnDepB,$O1624)=0,"",INDEX(TxnDepB,$O1624)),""))</f>
        <v/>
      </c>
      <c r="J1624" s="25">
        <f>IF($N1624&lt;&gt;"",IF(INDEX(PCOp,$N1624)="مرجوعی خرید",IF(INDEX(PCAmount,$N1624)=0,"",-INDEX(PCAmount,$N1624)),""),IF($O1624&lt;&gt;"",IF(INDEX(TxnWitB,$O1624)=0,"",INDEX(TxnWitB,$O1624)),""))</f>
        <v/>
      </c>
      <c r="K1624" s="27">
        <f>IF($B1624="","",IF($K1623="",$C$10,$K1623)+IF($I1624="",0,$I1624)-IF($J1624="",0,$J1624))</f>
        <v/>
      </c>
      <c r="L1624" s="28">
        <f>IF($N1624&lt;&gt;"",IF(INDEX(PCNotes,$N1624)="","—",INDEX(PCNotes,$N1624)),IF($O1624&lt;&gt;"",IF(INDEX(LdgNoteB,$O1624)="","—",INDEX(LdgNoteB,$O1624)),""))</f>
        <v/>
      </c>
      <c r="N1624">
        <f>IFERROR(MATCH($C$5&amp;"|"&amp;RIGHT("000000"&amp;1608,6),LdgRankKeyA,0),"")</f>
        <v/>
      </c>
      <c r="O1624">
        <f>IFERROR(MATCH($C$5&amp;"|"&amp;RIGHT("000000"&amp;1608,6),LdgRankKeyB,0),"")</f>
        <v/>
      </c>
    </row>
    <row r="1625">
      <c r="A1625" s="17" t="n">
        <v>1609</v>
      </c>
      <c r="B1625" s="18">
        <f>IF(AND($N1625="",$O1625=""),"",IF($N1625&lt;&gt;"",INDEX(PCNormDate,$N1625),INDEX(LdgDateB,$O1625)))</f>
        <v/>
      </c>
      <c r="C1625" s="18">
        <f>IF($N1625&lt;&gt;"",INDEX(PCOp,$N1625),IF($O1625&lt;&gt;"",IF(N(INDEX(TxnDepB,$O1625))&gt;0,"دریافت بانکی","پرداخت بانکی"),""))</f>
        <v/>
      </c>
      <c r="D1625" s="18">
        <f>IF($N1625&lt;&gt;"",IF(INDEX(PCDoc,$N1625)="","—",INDEX(PCDoc,$N1625)),IF($O1625&lt;&gt;"",INDEX(LdgBankB,$O1625),""))</f>
        <v/>
      </c>
      <c r="E1625" s="18">
        <f>IF($N1625&lt;&gt;"",IF(INDEX(PCCitrus,$N1625)="","—",INDEX(PCCitrus,$N1625)),"")</f>
        <v/>
      </c>
      <c r="F1625" s="19">
        <f>IF($N1625&lt;&gt;"",IF(INDEX(PCScale,$N1625)=0,"",INDEX(PCScale,$N1625)),"")</f>
        <v/>
      </c>
      <c r="G1625" s="19">
        <f>IF($N1625&lt;&gt;"",IF(INDEX(PCBaskets,$N1625)=0,"",INDEX(PCBaskets,$N1625)),"")</f>
        <v/>
      </c>
      <c r="H1625" s="20">
        <f>IF($N1625&lt;&gt;"",IF(INDEX(PCNet,$N1625)=0,"",INDEX(PCNet,$N1625)),"")</f>
        <v/>
      </c>
      <c r="I1625" s="19">
        <f>IF($N1625&lt;&gt;"",IF(INDEX(PCOp,$N1625)="مرجوعی خرید","",IF(INDEX(PCAmount,$N1625)&lt;=0,"",INDEX(PCAmount,$N1625))),IF($O1625&lt;&gt;"",IF(INDEX(TxnDepB,$O1625)=0,"",INDEX(TxnDepB,$O1625)),""))</f>
        <v/>
      </c>
      <c r="J1625" s="19">
        <f>IF($N1625&lt;&gt;"",IF(INDEX(PCOp,$N1625)="مرجوعی خرید",IF(INDEX(PCAmount,$N1625)=0,"",-INDEX(PCAmount,$N1625)),""),IF($O1625&lt;&gt;"",IF(INDEX(TxnWitB,$O1625)=0,"",INDEX(TxnWitB,$O1625)),""))</f>
        <v/>
      </c>
      <c r="K1625" s="21">
        <f>IF($B1625="","",IF($K1624="",$C$10,$K1624)+IF($I1625="",0,$I1625)-IF($J1625="",0,$J1625))</f>
        <v/>
      </c>
      <c r="L1625" s="22">
        <f>IF($N1625&lt;&gt;"",IF(INDEX(PCNotes,$N1625)="","—",INDEX(PCNotes,$N1625)),IF($O1625&lt;&gt;"",IF(INDEX(LdgNoteB,$O1625)="","—",INDEX(LdgNoteB,$O1625)),""))</f>
        <v/>
      </c>
      <c r="N1625">
        <f>IFERROR(MATCH($C$5&amp;"|"&amp;RIGHT("000000"&amp;1609,6),LdgRankKeyA,0),"")</f>
        <v/>
      </c>
      <c r="O1625">
        <f>IFERROR(MATCH($C$5&amp;"|"&amp;RIGHT("000000"&amp;1609,6),LdgRankKeyB,0),"")</f>
        <v/>
      </c>
    </row>
    <row r="1626">
      <c r="A1626" s="23" t="n">
        <v>1610</v>
      </c>
      <c r="B1626" s="24">
        <f>IF(AND($N1626="",$O1626=""),"",IF($N1626&lt;&gt;"",INDEX(PCNormDate,$N1626),INDEX(LdgDateB,$O1626)))</f>
        <v/>
      </c>
      <c r="C1626" s="24">
        <f>IF($N1626&lt;&gt;"",INDEX(PCOp,$N1626),IF($O1626&lt;&gt;"",IF(N(INDEX(TxnDepB,$O1626))&gt;0,"دریافت بانکی","پرداخت بانکی"),""))</f>
        <v/>
      </c>
      <c r="D1626" s="24">
        <f>IF($N1626&lt;&gt;"",IF(INDEX(PCDoc,$N1626)="","—",INDEX(PCDoc,$N1626)),IF($O1626&lt;&gt;"",INDEX(LdgBankB,$O1626),""))</f>
        <v/>
      </c>
      <c r="E1626" s="24">
        <f>IF($N1626&lt;&gt;"",IF(INDEX(PCCitrus,$N1626)="","—",INDEX(PCCitrus,$N1626)),"")</f>
        <v/>
      </c>
      <c r="F1626" s="25">
        <f>IF($N1626&lt;&gt;"",IF(INDEX(PCScale,$N1626)=0,"",INDEX(PCScale,$N1626)),"")</f>
        <v/>
      </c>
      <c r="G1626" s="25">
        <f>IF($N1626&lt;&gt;"",IF(INDEX(PCBaskets,$N1626)=0,"",INDEX(PCBaskets,$N1626)),"")</f>
        <v/>
      </c>
      <c r="H1626" s="26">
        <f>IF($N1626&lt;&gt;"",IF(INDEX(PCNet,$N1626)=0,"",INDEX(PCNet,$N1626)),"")</f>
        <v/>
      </c>
      <c r="I1626" s="25">
        <f>IF($N1626&lt;&gt;"",IF(INDEX(PCOp,$N1626)="مرجوعی خرید","",IF(INDEX(PCAmount,$N1626)&lt;=0,"",INDEX(PCAmount,$N1626))),IF($O1626&lt;&gt;"",IF(INDEX(TxnDepB,$O1626)=0,"",INDEX(TxnDepB,$O1626)),""))</f>
        <v/>
      </c>
      <c r="J1626" s="25">
        <f>IF($N1626&lt;&gt;"",IF(INDEX(PCOp,$N1626)="مرجوعی خرید",IF(INDEX(PCAmount,$N1626)=0,"",-INDEX(PCAmount,$N1626)),""),IF($O1626&lt;&gt;"",IF(INDEX(TxnWitB,$O1626)=0,"",INDEX(TxnWitB,$O1626)),""))</f>
        <v/>
      </c>
      <c r="K1626" s="27">
        <f>IF($B1626="","",IF($K1625="",$C$10,$K1625)+IF($I1626="",0,$I1626)-IF($J1626="",0,$J1626))</f>
        <v/>
      </c>
      <c r="L1626" s="28">
        <f>IF($N1626&lt;&gt;"",IF(INDEX(PCNotes,$N1626)="","—",INDEX(PCNotes,$N1626)),IF($O1626&lt;&gt;"",IF(INDEX(LdgNoteB,$O1626)="","—",INDEX(LdgNoteB,$O1626)),""))</f>
        <v/>
      </c>
      <c r="N1626">
        <f>IFERROR(MATCH($C$5&amp;"|"&amp;RIGHT("000000"&amp;1610,6),LdgRankKeyA,0),"")</f>
        <v/>
      </c>
      <c r="O1626">
        <f>IFERROR(MATCH($C$5&amp;"|"&amp;RIGHT("000000"&amp;1610,6),LdgRankKeyB,0),"")</f>
        <v/>
      </c>
    </row>
    <row r="1627">
      <c r="A1627" s="17" t="n">
        <v>1611</v>
      </c>
      <c r="B1627" s="18">
        <f>IF(AND($N1627="",$O1627=""),"",IF($N1627&lt;&gt;"",INDEX(PCNormDate,$N1627),INDEX(LdgDateB,$O1627)))</f>
        <v/>
      </c>
      <c r="C1627" s="18">
        <f>IF($N1627&lt;&gt;"",INDEX(PCOp,$N1627),IF($O1627&lt;&gt;"",IF(N(INDEX(TxnDepB,$O1627))&gt;0,"دریافت بانکی","پرداخت بانکی"),""))</f>
        <v/>
      </c>
      <c r="D1627" s="18">
        <f>IF($N1627&lt;&gt;"",IF(INDEX(PCDoc,$N1627)="","—",INDEX(PCDoc,$N1627)),IF($O1627&lt;&gt;"",INDEX(LdgBankB,$O1627),""))</f>
        <v/>
      </c>
      <c r="E1627" s="18">
        <f>IF($N1627&lt;&gt;"",IF(INDEX(PCCitrus,$N1627)="","—",INDEX(PCCitrus,$N1627)),"")</f>
        <v/>
      </c>
      <c r="F1627" s="19">
        <f>IF($N1627&lt;&gt;"",IF(INDEX(PCScale,$N1627)=0,"",INDEX(PCScale,$N1627)),"")</f>
        <v/>
      </c>
      <c r="G1627" s="19">
        <f>IF($N1627&lt;&gt;"",IF(INDEX(PCBaskets,$N1627)=0,"",INDEX(PCBaskets,$N1627)),"")</f>
        <v/>
      </c>
      <c r="H1627" s="20">
        <f>IF($N1627&lt;&gt;"",IF(INDEX(PCNet,$N1627)=0,"",INDEX(PCNet,$N1627)),"")</f>
        <v/>
      </c>
      <c r="I1627" s="19">
        <f>IF($N1627&lt;&gt;"",IF(INDEX(PCOp,$N1627)="مرجوعی خرید","",IF(INDEX(PCAmount,$N1627)&lt;=0,"",INDEX(PCAmount,$N1627))),IF($O1627&lt;&gt;"",IF(INDEX(TxnDepB,$O1627)=0,"",INDEX(TxnDepB,$O1627)),""))</f>
        <v/>
      </c>
      <c r="J1627" s="19">
        <f>IF($N1627&lt;&gt;"",IF(INDEX(PCOp,$N1627)="مرجوعی خرید",IF(INDEX(PCAmount,$N1627)=0,"",-INDEX(PCAmount,$N1627)),""),IF($O1627&lt;&gt;"",IF(INDEX(TxnWitB,$O1627)=0,"",INDEX(TxnWitB,$O1627)),""))</f>
        <v/>
      </c>
      <c r="K1627" s="21">
        <f>IF($B1627="","",IF($K1626="",$C$10,$K1626)+IF($I1627="",0,$I1627)-IF($J1627="",0,$J1627))</f>
        <v/>
      </c>
      <c r="L1627" s="22">
        <f>IF($N1627&lt;&gt;"",IF(INDEX(PCNotes,$N1627)="","—",INDEX(PCNotes,$N1627)),IF($O1627&lt;&gt;"",IF(INDEX(LdgNoteB,$O1627)="","—",INDEX(LdgNoteB,$O1627)),""))</f>
        <v/>
      </c>
      <c r="N1627">
        <f>IFERROR(MATCH($C$5&amp;"|"&amp;RIGHT("000000"&amp;1611,6),LdgRankKeyA,0),"")</f>
        <v/>
      </c>
      <c r="O1627">
        <f>IFERROR(MATCH($C$5&amp;"|"&amp;RIGHT("000000"&amp;1611,6),LdgRankKeyB,0),"")</f>
        <v/>
      </c>
    </row>
    <row r="1628">
      <c r="A1628" s="23" t="n">
        <v>1612</v>
      </c>
      <c r="B1628" s="24">
        <f>IF(AND($N1628="",$O1628=""),"",IF($N1628&lt;&gt;"",INDEX(PCNormDate,$N1628),INDEX(LdgDateB,$O1628)))</f>
        <v/>
      </c>
      <c r="C1628" s="24">
        <f>IF($N1628&lt;&gt;"",INDEX(PCOp,$N1628),IF($O1628&lt;&gt;"",IF(N(INDEX(TxnDepB,$O1628))&gt;0,"دریافت بانکی","پرداخت بانکی"),""))</f>
        <v/>
      </c>
      <c r="D1628" s="24">
        <f>IF($N1628&lt;&gt;"",IF(INDEX(PCDoc,$N1628)="","—",INDEX(PCDoc,$N1628)),IF($O1628&lt;&gt;"",INDEX(LdgBankB,$O1628),""))</f>
        <v/>
      </c>
      <c r="E1628" s="24">
        <f>IF($N1628&lt;&gt;"",IF(INDEX(PCCitrus,$N1628)="","—",INDEX(PCCitrus,$N1628)),"")</f>
        <v/>
      </c>
      <c r="F1628" s="25">
        <f>IF($N1628&lt;&gt;"",IF(INDEX(PCScale,$N1628)=0,"",INDEX(PCScale,$N1628)),"")</f>
        <v/>
      </c>
      <c r="G1628" s="25">
        <f>IF($N1628&lt;&gt;"",IF(INDEX(PCBaskets,$N1628)=0,"",INDEX(PCBaskets,$N1628)),"")</f>
        <v/>
      </c>
      <c r="H1628" s="26">
        <f>IF($N1628&lt;&gt;"",IF(INDEX(PCNet,$N1628)=0,"",INDEX(PCNet,$N1628)),"")</f>
        <v/>
      </c>
      <c r="I1628" s="25">
        <f>IF($N1628&lt;&gt;"",IF(INDEX(PCOp,$N1628)="مرجوعی خرید","",IF(INDEX(PCAmount,$N1628)&lt;=0,"",INDEX(PCAmount,$N1628))),IF($O1628&lt;&gt;"",IF(INDEX(TxnDepB,$O1628)=0,"",INDEX(TxnDepB,$O1628)),""))</f>
        <v/>
      </c>
      <c r="J1628" s="25">
        <f>IF($N1628&lt;&gt;"",IF(INDEX(PCOp,$N1628)="مرجوعی خرید",IF(INDEX(PCAmount,$N1628)=0,"",-INDEX(PCAmount,$N1628)),""),IF($O1628&lt;&gt;"",IF(INDEX(TxnWitB,$O1628)=0,"",INDEX(TxnWitB,$O1628)),""))</f>
        <v/>
      </c>
      <c r="K1628" s="27">
        <f>IF($B1628="","",IF($K1627="",$C$10,$K1627)+IF($I1628="",0,$I1628)-IF($J1628="",0,$J1628))</f>
        <v/>
      </c>
      <c r="L1628" s="28">
        <f>IF($N1628&lt;&gt;"",IF(INDEX(PCNotes,$N1628)="","—",INDEX(PCNotes,$N1628)),IF($O1628&lt;&gt;"",IF(INDEX(LdgNoteB,$O1628)="","—",INDEX(LdgNoteB,$O1628)),""))</f>
        <v/>
      </c>
      <c r="N1628">
        <f>IFERROR(MATCH($C$5&amp;"|"&amp;RIGHT("000000"&amp;1612,6),LdgRankKeyA,0),"")</f>
        <v/>
      </c>
      <c r="O1628">
        <f>IFERROR(MATCH($C$5&amp;"|"&amp;RIGHT("000000"&amp;1612,6),LdgRankKeyB,0),"")</f>
        <v/>
      </c>
    </row>
    <row r="1629">
      <c r="A1629" s="17" t="n">
        <v>1613</v>
      </c>
      <c r="B1629" s="18">
        <f>IF(AND($N1629="",$O1629=""),"",IF($N1629&lt;&gt;"",INDEX(PCNormDate,$N1629),INDEX(LdgDateB,$O1629)))</f>
        <v/>
      </c>
      <c r="C1629" s="18">
        <f>IF($N1629&lt;&gt;"",INDEX(PCOp,$N1629),IF($O1629&lt;&gt;"",IF(N(INDEX(TxnDepB,$O1629))&gt;0,"دریافت بانکی","پرداخت بانکی"),""))</f>
        <v/>
      </c>
      <c r="D1629" s="18">
        <f>IF($N1629&lt;&gt;"",IF(INDEX(PCDoc,$N1629)="","—",INDEX(PCDoc,$N1629)),IF($O1629&lt;&gt;"",INDEX(LdgBankB,$O1629),""))</f>
        <v/>
      </c>
      <c r="E1629" s="18">
        <f>IF($N1629&lt;&gt;"",IF(INDEX(PCCitrus,$N1629)="","—",INDEX(PCCitrus,$N1629)),"")</f>
        <v/>
      </c>
      <c r="F1629" s="19">
        <f>IF($N1629&lt;&gt;"",IF(INDEX(PCScale,$N1629)=0,"",INDEX(PCScale,$N1629)),"")</f>
        <v/>
      </c>
      <c r="G1629" s="19">
        <f>IF($N1629&lt;&gt;"",IF(INDEX(PCBaskets,$N1629)=0,"",INDEX(PCBaskets,$N1629)),"")</f>
        <v/>
      </c>
      <c r="H1629" s="20">
        <f>IF($N1629&lt;&gt;"",IF(INDEX(PCNet,$N1629)=0,"",INDEX(PCNet,$N1629)),"")</f>
        <v/>
      </c>
      <c r="I1629" s="19">
        <f>IF($N1629&lt;&gt;"",IF(INDEX(PCOp,$N1629)="مرجوعی خرید","",IF(INDEX(PCAmount,$N1629)&lt;=0,"",INDEX(PCAmount,$N1629))),IF($O1629&lt;&gt;"",IF(INDEX(TxnDepB,$O1629)=0,"",INDEX(TxnDepB,$O1629)),""))</f>
        <v/>
      </c>
      <c r="J1629" s="19">
        <f>IF($N1629&lt;&gt;"",IF(INDEX(PCOp,$N1629)="مرجوعی خرید",IF(INDEX(PCAmount,$N1629)=0,"",-INDEX(PCAmount,$N1629)),""),IF($O1629&lt;&gt;"",IF(INDEX(TxnWitB,$O1629)=0,"",INDEX(TxnWitB,$O1629)),""))</f>
        <v/>
      </c>
      <c r="K1629" s="21">
        <f>IF($B1629="","",IF($K1628="",$C$10,$K1628)+IF($I1629="",0,$I1629)-IF($J1629="",0,$J1629))</f>
        <v/>
      </c>
      <c r="L1629" s="22">
        <f>IF($N1629&lt;&gt;"",IF(INDEX(PCNotes,$N1629)="","—",INDEX(PCNotes,$N1629)),IF($O1629&lt;&gt;"",IF(INDEX(LdgNoteB,$O1629)="","—",INDEX(LdgNoteB,$O1629)),""))</f>
        <v/>
      </c>
      <c r="N1629">
        <f>IFERROR(MATCH($C$5&amp;"|"&amp;RIGHT("000000"&amp;1613,6),LdgRankKeyA,0),"")</f>
        <v/>
      </c>
      <c r="O1629">
        <f>IFERROR(MATCH($C$5&amp;"|"&amp;RIGHT("000000"&amp;1613,6),LdgRankKeyB,0),"")</f>
        <v/>
      </c>
    </row>
    <row r="1630">
      <c r="A1630" s="23" t="n">
        <v>1614</v>
      </c>
      <c r="B1630" s="24">
        <f>IF(AND($N1630="",$O1630=""),"",IF($N1630&lt;&gt;"",INDEX(PCNormDate,$N1630),INDEX(LdgDateB,$O1630)))</f>
        <v/>
      </c>
      <c r="C1630" s="24">
        <f>IF($N1630&lt;&gt;"",INDEX(PCOp,$N1630),IF($O1630&lt;&gt;"",IF(N(INDEX(TxnDepB,$O1630))&gt;0,"دریافت بانکی","پرداخت بانکی"),""))</f>
        <v/>
      </c>
      <c r="D1630" s="24">
        <f>IF($N1630&lt;&gt;"",IF(INDEX(PCDoc,$N1630)="","—",INDEX(PCDoc,$N1630)),IF($O1630&lt;&gt;"",INDEX(LdgBankB,$O1630),""))</f>
        <v/>
      </c>
      <c r="E1630" s="24">
        <f>IF($N1630&lt;&gt;"",IF(INDEX(PCCitrus,$N1630)="","—",INDEX(PCCitrus,$N1630)),"")</f>
        <v/>
      </c>
      <c r="F1630" s="25">
        <f>IF($N1630&lt;&gt;"",IF(INDEX(PCScale,$N1630)=0,"",INDEX(PCScale,$N1630)),"")</f>
        <v/>
      </c>
      <c r="G1630" s="25">
        <f>IF($N1630&lt;&gt;"",IF(INDEX(PCBaskets,$N1630)=0,"",INDEX(PCBaskets,$N1630)),"")</f>
        <v/>
      </c>
      <c r="H1630" s="26">
        <f>IF($N1630&lt;&gt;"",IF(INDEX(PCNet,$N1630)=0,"",INDEX(PCNet,$N1630)),"")</f>
        <v/>
      </c>
      <c r="I1630" s="25">
        <f>IF($N1630&lt;&gt;"",IF(INDEX(PCOp,$N1630)="مرجوعی خرید","",IF(INDEX(PCAmount,$N1630)&lt;=0,"",INDEX(PCAmount,$N1630))),IF($O1630&lt;&gt;"",IF(INDEX(TxnDepB,$O1630)=0,"",INDEX(TxnDepB,$O1630)),""))</f>
        <v/>
      </c>
      <c r="J1630" s="25">
        <f>IF($N1630&lt;&gt;"",IF(INDEX(PCOp,$N1630)="مرجوعی خرید",IF(INDEX(PCAmount,$N1630)=0,"",-INDEX(PCAmount,$N1630)),""),IF($O1630&lt;&gt;"",IF(INDEX(TxnWitB,$O1630)=0,"",INDEX(TxnWitB,$O1630)),""))</f>
        <v/>
      </c>
      <c r="K1630" s="27">
        <f>IF($B1630="","",IF($K1629="",$C$10,$K1629)+IF($I1630="",0,$I1630)-IF($J1630="",0,$J1630))</f>
        <v/>
      </c>
      <c r="L1630" s="28">
        <f>IF($N1630&lt;&gt;"",IF(INDEX(PCNotes,$N1630)="","—",INDEX(PCNotes,$N1630)),IF($O1630&lt;&gt;"",IF(INDEX(LdgNoteB,$O1630)="","—",INDEX(LdgNoteB,$O1630)),""))</f>
        <v/>
      </c>
      <c r="N1630">
        <f>IFERROR(MATCH($C$5&amp;"|"&amp;RIGHT("000000"&amp;1614,6),LdgRankKeyA,0),"")</f>
        <v/>
      </c>
      <c r="O1630">
        <f>IFERROR(MATCH($C$5&amp;"|"&amp;RIGHT("000000"&amp;1614,6),LdgRankKeyB,0),"")</f>
        <v/>
      </c>
    </row>
    <row r="1631">
      <c r="A1631" s="17" t="n">
        <v>1615</v>
      </c>
      <c r="B1631" s="18">
        <f>IF(AND($N1631="",$O1631=""),"",IF($N1631&lt;&gt;"",INDEX(PCNormDate,$N1631),INDEX(LdgDateB,$O1631)))</f>
        <v/>
      </c>
      <c r="C1631" s="18">
        <f>IF($N1631&lt;&gt;"",INDEX(PCOp,$N1631),IF($O1631&lt;&gt;"",IF(N(INDEX(TxnDepB,$O1631))&gt;0,"دریافت بانکی","پرداخت بانکی"),""))</f>
        <v/>
      </c>
      <c r="D1631" s="18">
        <f>IF($N1631&lt;&gt;"",IF(INDEX(PCDoc,$N1631)="","—",INDEX(PCDoc,$N1631)),IF($O1631&lt;&gt;"",INDEX(LdgBankB,$O1631),""))</f>
        <v/>
      </c>
      <c r="E1631" s="18">
        <f>IF($N1631&lt;&gt;"",IF(INDEX(PCCitrus,$N1631)="","—",INDEX(PCCitrus,$N1631)),"")</f>
        <v/>
      </c>
      <c r="F1631" s="19">
        <f>IF($N1631&lt;&gt;"",IF(INDEX(PCScale,$N1631)=0,"",INDEX(PCScale,$N1631)),"")</f>
        <v/>
      </c>
      <c r="G1631" s="19">
        <f>IF($N1631&lt;&gt;"",IF(INDEX(PCBaskets,$N1631)=0,"",INDEX(PCBaskets,$N1631)),"")</f>
        <v/>
      </c>
      <c r="H1631" s="20">
        <f>IF($N1631&lt;&gt;"",IF(INDEX(PCNet,$N1631)=0,"",INDEX(PCNet,$N1631)),"")</f>
        <v/>
      </c>
      <c r="I1631" s="19">
        <f>IF($N1631&lt;&gt;"",IF(INDEX(PCOp,$N1631)="مرجوعی خرید","",IF(INDEX(PCAmount,$N1631)&lt;=0,"",INDEX(PCAmount,$N1631))),IF($O1631&lt;&gt;"",IF(INDEX(TxnDepB,$O1631)=0,"",INDEX(TxnDepB,$O1631)),""))</f>
        <v/>
      </c>
      <c r="J1631" s="19">
        <f>IF($N1631&lt;&gt;"",IF(INDEX(PCOp,$N1631)="مرجوعی خرید",IF(INDEX(PCAmount,$N1631)=0,"",-INDEX(PCAmount,$N1631)),""),IF($O1631&lt;&gt;"",IF(INDEX(TxnWitB,$O1631)=0,"",INDEX(TxnWitB,$O1631)),""))</f>
        <v/>
      </c>
      <c r="K1631" s="21">
        <f>IF($B1631="","",IF($K1630="",$C$10,$K1630)+IF($I1631="",0,$I1631)-IF($J1631="",0,$J1631))</f>
        <v/>
      </c>
      <c r="L1631" s="22">
        <f>IF($N1631&lt;&gt;"",IF(INDEX(PCNotes,$N1631)="","—",INDEX(PCNotes,$N1631)),IF($O1631&lt;&gt;"",IF(INDEX(LdgNoteB,$O1631)="","—",INDEX(LdgNoteB,$O1631)),""))</f>
        <v/>
      </c>
      <c r="N1631">
        <f>IFERROR(MATCH($C$5&amp;"|"&amp;RIGHT("000000"&amp;1615,6),LdgRankKeyA,0),"")</f>
        <v/>
      </c>
      <c r="O1631">
        <f>IFERROR(MATCH($C$5&amp;"|"&amp;RIGHT("000000"&amp;1615,6),LdgRankKeyB,0),"")</f>
        <v/>
      </c>
    </row>
    <row r="1632">
      <c r="A1632" s="23" t="n">
        <v>1616</v>
      </c>
      <c r="B1632" s="24">
        <f>IF(AND($N1632="",$O1632=""),"",IF($N1632&lt;&gt;"",INDEX(PCNormDate,$N1632),INDEX(LdgDateB,$O1632)))</f>
        <v/>
      </c>
      <c r="C1632" s="24">
        <f>IF($N1632&lt;&gt;"",INDEX(PCOp,$N1632),IF($O1632&lt;&gt;"",IF(N(INDEX(TxnDepB,$O1632))&gt;0,"دریافت بانکی","پرداخت بانکی"),""))</f>
        <v/>
      </c>
      <c r="D1632" s="24">
        <f>IF($N1632&lt;&gt;"",IF(INDEX(PCDoc,$N1632)="","—",INDEX(PCDoc,$N1632)),IF($O1632&lt;&gt;"",INDEX(LdgBankB,$O1632),""))</f>
        <v/>
      </c>
      <c r="E1632" s="24">
        <f>IF($N1632&lt;&gt;"",IF(INDEX(PCCitrus,$N1632)="","—",INDEX(PCCitrus,$N1632)),"")</f>
        <v/>
      </c>
      <c r="F1632" s="25">
        <f>IF($N1632&lt;&gt;"",IF(INDEX(PCScale,$N1632)=0,"",INDEX(PCScale,$N1632)),"")</f>
        <v/>
      </c>
      <c r="G1632" s="25">
        <f>IF($N1632&lt;&gt;"",IF(INDEX(PCBaskets,$N1632)=0,"",INDEX(PCBaskets,$N1632)),"")</f>
        <v/>
      </c>
      <c r="H1632" s="26">
        <f>IF($N1632&lt;&gt;"",IF(INDEX(PCNet,$N1632)=0,"",INDEX(PCNet,$N1632)),"")</f>
        <v/>
      </c>
      <c r="I1632" s="25">
        <f>IF($N1632&lt;&gt;"",IF(INDEX(PCOp,$N1632)="مرجوعی خرید","",IF(INDEX(PCAmount,$N1632)&lt;=0,"",INDEX(PCAmount,$N1632))),IF($O1632&lt;&gt;"",IF(INDEX(TxnDepB,$O1632)=0,"",INDEX(TxnDepB,$O1632)),""))</f>
        <v/>
      </c>
      <c r="J1632" s="25">
        <f>IF($N1632&lt;&gt;"",IF(INDEX(PCOp,$N1632)="مرجوعی خرید",IF(INDEX(PCAmount,$N1632)=0,"",-INDEX(PCAmount,$N1632)),""),IF($O1632&lt;&gt;"",IF(INDEX(TxnWitB,$O1632)=0,"",INDEX(TxnWitB,$O1632)),""))</f>
        <v/>
      </c>
      <c r="K1632" s="27">
        <f>IF($B1632="","",IF($K1631="",$C$10,$K1631)+IF($I1632="",0,$I1632)-IF($J1632="",0,$J1632))</f>
        <v/>
      </c>
      <c r="L1632" s="28">
        <f>IF($N1632&lt;&gt;"",IF(INDEX(PCNotes,$N1632)="","—",INDEX(PCNotes,$N1632)),IF($O1632&lt;&gt;"",IF(INDEX(LdgNoteB,$O1632)="","—",INDEX(LdgNoteB,$O1632)),""))</f>
        <v/>
      </c>
      <c r="N1632">
        <f>IFERROR(MATCH($C$5&amp;"|"&amp;RIGHT("000000"&amp;1616,6),LdgRankKeyA,0),"")</f>
        <v/>
      </c>
      <c r="O1632">
        <f>IFERROR(MATCH($C$5&amp;"|"&amp;RIGHT("000000"&amp;1616,6),LdgRankKeyB,0),"")</f>
        <v/>
      </c>
    </row>
    <row r="1633">
      <c r="A1633" s="17" t="n">
        <v>1617</v>
      </c>
      <c r="B1633" s="18">
        <f>IF(AND($N1633="",$O1633=""),"",IF($N1633&lt;&gt;"",INDEX(PCNormDate,$N1633),INDEX(LdgDateB,$O1633)))</f>
        <v/>
      </c>
      <c r="C1633" s="18">
        <f>IF($N1633&lt;&gt;"",INDEX(PCOp,$N1633),IF($O1633&lt;&gt;"",IF(N(INDEX(TxnDepB,$O1633))&gt;0,"دریافت بانکی","پرداخت بانکی"),""))</f>
        <v/>
      </c>
      <c r="D1633" s="18">
        <f>IF($N1633&lt;&gt;"",IF(INDEX(PCDoc,$N1633)="","—",INDEX(PCDoc,$N1633)),IF($O1633&lt;&gt;"",INDEX(LdgBankB,$O1633),""))</f>
        <v/>
      </c>
      <c r="E1633" s="18">
        <f>IF($N1633&lt;&gt;"",IF(INDEX(PCCitrus,$N1633)="","—",INDEX(PCCitrus,$N1633)),"")</f>
        <v/>
      </c>
      <c r="F1633" s="19">
        <f>IF($N1633&lt;&gt;"",IF(INDEX(PCScale,$N1633)=0,"",INDEX(PCScale,$N1633)),"")</f>
        <v/>
      </c>
      <c r="G1633" s="19">
        <f>IF($N1633&lt;&gt;"",IF(INDEX(PCBaskets,$N1633)=0,"",INDEX(PCBaskets,$N1633)),"")</f>
        <v/>
      </c>
      <c r="H1633" s="20">
        <f>IF($N1633&lt;&gt;"",IF(INDEX(PCNet,$N1633)=0,"",INDEX(PCNet,$N1633)),"")</f>
        <v/>
      </c>
      <c r="I1633" s="19">
        <f>IF($N1633&lt;&gt;"",IF(INDEX(PCOp,$N1633)="مرجوعی خرید","",IF(INDEX(PCAmount,$N1633)&lt;=0,"",INDEX(PCAmount,$N1633))),IF($O1633&lt;&gt;"",IF(INDEX(TxnDepB,$O1633)=0,"",INDEX(TxnDepB,$O1633)),""))</f>
        <v/>
      </c>
      <c r="J1633" s="19">
        <f>IF($N1633&lt;&gt;"",IF(INDEX(PCOp,$N1633)="مرجوعی خرید",IF(INDEX(PCAmount,$N1633)=0,"",-INDEX(PCAmount,$N1633)),""),IF($O1633&lt;&gt;"",IF(INDEX(TxnWitB,$O1633)=0,"",INDEX(TxnWitB,$O1633)),""))</f>
        <v/>
      </c>
      <c r="K1633" s="21">
        <f>IF($B1633="","",IF($K1632="",$C$10,$K1632)+IF($I1633="",0,$I1633)-IF($J1633="",0,$J1633))</f>
        <v/>
      </c>
      <c r="L1633" s="22">
        <f>IF($N1633&lt;&gt;"",IF(INDEX(PCNotes,$N1633)="","—",INDEX(PCNotes,$N1633)),IF($O1633&lt;&gt;"",IF(INDEX(LdgNoteB,$O1633)="","—",INDEX(LdgNoteB,$O1633)),""))</f>
        <v/>
      </c>
      <c r="N1633">
        <f>IFERROR(MATCH($C$5&amp;"|"&amp;RIGHT("000000"&amp;1617,6),LdgRankKeyA,0),"")</f>
        <v/>
      </c>
      <c r="O1633">
        <f>IFERROR(MATCH($C$5&amp;"|"&amp;RIGHT("000000"&amp;1617,6),LdgRankKeyB,0),"")</f>
        <v/>
      </c>
    </row>
    <row r="1634">
      <c r="A1634" s="23" t="n">
        <v>1618</v>
      </c>
      <c r="B1634" s="24">
        <f>IF(AND($N1634="",$O1634=""),"",IF($N1634&lt;&gt;"",INDEX(PCNormDate,$N1634),INDEX(LdgDateB,$O1634)))</f>
        <v/>
      </c>
      <c r="C1634" s="24">
        <f>IF($N1634&lt;&gt;"",INDEX(PCOp,$N1634),IF($O1634&lt;&gt;"",IF(N(INDEX(TxnDepB,$O1634))&gt;0,"دریافت بانکی","پرداخت بانکی"),""))</f>
        <v/>
      </c>
      <c r="D1634" s="24">
        <f>IF($N1634&lt;&gt;"",IF(INDEX(PCDoc,$N1634)="","—",INDEX(PCDoc,$N1634)),IF($O1634&lt;&gt;"",INDEX(LdgBankB,$O1634),""))</f>
        <v/>
      </c>
      <c r="E1634" s="24">
        <f>IF($N1634&lt;&gt;"",IF(INDEX(PCCitrus,$N1634)="","—",INDEX(PCCitrus,$N1634)),"")</f>
        <v/>
      </c>
      <c r="F1634" s="25">
        <f>IF($N1634&lt;&gt;"",IF(INDEX(PCScale,$N1634)=0,"",INDEX(PCScale,$N1634)),"")</f>
        <v/>
      </c>
      <c r="G1634" s="25">
        <f>IF($N1634&lt;&gt;"",IF(INDEX(PCBaskets,$N1634)=0,"",INDEX(PCBaskets,$N1634)),"")</f>
        <v/>
      </c>
      <c r="H1634" s="26">
        <f>IF($N1634&lt;&gt;"",IF(INDEX(PCNet,$N1634)=0,"",INDEX(PCNet,$N1634)),"")</f>
        <v/>
      </c>
      <c r="I1634" s="25">
        <f>IF($N1634&lt;&gt;"",IF(INDEX(PCOp,$N1634)="مرجوعی خرید","",IF(INDEX(PCAmount,$N1634)&lt;=0,"",INDEX(PCAmount,$N1634))),IF($O1634&lt;&gt;"",IF(INDEX(TxnDepB,$O1634)=0,"",INDEX(TxnDepB,$O1634)),""))</f>
        <v/>
      </c>
      <c r="J1634" s="25">
        <f>IF($N1634&lt;&gt;"",IF(INDEX(PCOp,$N1634)="مرجوعی خرید",IF(INDEX(PCAmount,$N1634)=0,"",-INDEX(PCAmount,$N1634)),""),IF($O1634&lt;&gt;"",IF(INDEX(TxnWitB,$O1634)=0,"",INDEX(TxnWitB,$O1634)),""))</f>
        <v/>
      </c>
      <c r="K1634" s="27">
        <f>IF($B1634="","",IF($K1633="",$C$10,$K1633)+IF($I1634="",0,$I1634)-IF($J1634="",0,$J1634))</f>
        <v/>
      </c>
      <c r="L1634" s="28">
        <f>IF($N1634&lt;&gt;"",IF(INDEX(PCNotes,$N1634)="","—",INDEX(PCNotes,$N1634)),IF($O1634&lt;&gt;"",IF(INDEX(LdgNoteB,$O1634)="","—",INDEX(LdgNoteB,$O1634)),""))</f>
        <v/>
      </c>
      <c r="N1634">
        <f>IFERROR(MATCH($C$5&amp;"|"&amp;RIGHT("000000"&amp;1618,6),LdgRankKeyA,0),"")</f>
        <v/>
      </c>
      <c r="O1634">
        <f>IFERROR(MATCH($C$5&amp;"|"&amp;RIGHT("000000"&amp;1618,6),LdgRankKeyB,0),"")</f>
        <v/>
      </c>
    </row>
    <row r="1635">
      <c r="A1635" s="17" t="n">
        <v>1619</v>
      </c>
      <c r="B1635" s="18">
        <f>IF(AND($N1635="",$O1635=""),"",IF($N1635&lt;&gt;"",INDEX(PCNormDate,$N1635),INDEX(LdgDateB,$O1635)))</f>
        <v/>
      </c>
      <c r="C1635" s="18">
        <f>IF($N1635&lt;&gt;"",INDEX(PCOp,$N1635),IF($O1635&lt;&gt;"",IF(N(INDEX(TxnDepB,$O1635))&gt;0,"دریافت بانکی","پرداخت بانکی"),""))</f>
        <v/>
      </c>
      <c r="D1635" s="18">
        <f>IF($N1635&lt;&gt;"",IF(INDEX(PCDoc,$N1635)="","—",INDEX(PCDoc,$N1635)),IF($O1635&lt;&gt;"",INDEX(LdgBankB,$O1635),""))</f>
        <v/>
      </c>
      <c r="E1635" s="18">
        <f>IF($N1635&lt;&gt;"",IF(INDEX(PCCitrus,$N1635)="","—",INDEX(PCCitrus,$N1635)),"")</f>
        <v/>
      </c>
      <c r="F1635" s="19">
        <f>IF($N1635&lt;&gt;"",IF(INDEX(PCScale,$N1635)=0,"",INDEX(PCScale,$N1635)),"")</f>
        <v/>
      </c>
      <c r="G1635" s="19">
        <f>IF($N1635&lt;&gt;"",IF(INDEX(PCBaskets,$N1635)=0,"",INDEX(PCBaskets,$N1635)),"")</f>
        <v/>
      </c>
      <c r="H1635" s="20">
        <f>IF($N1635&lt;&gt;"",IF(INDEX(PCNet,$N1635)=0,"",INDEX(PCNet,$N1635)),"")</f>
        <v/>
      </c>
      <c r="I1635" s="19">
        <f>IF($N1635&lt;&gt;"",IF(INDEX(PCOp,$N1635)="مرجوعی خرید","",IF(INDEX(PCAmount,$N1635)&lt;=0,"",INDEX(PCAmount,$N1635))),IF($O1635&lt;&gt;"",IF(INDEX(TxnDepB,$O1635)=0,"",INDEX(TxnDepB,$O1635)),""))</f>
        <v/>
      </c>
      <c r="J1635" s="19">
        <f>IF($N1635&lt;&gt;"",IF(INDEX(PCOp,$N1635)="مرجوعی خرید",IF(INDEX(PCAmount,$N1635)=0,"",-INDEX(PCAmount,$N1635)),""),IF($O1635&lt;&gt;"",IF(INDEX(TxnWitB,$O1635)=0,"",INDEX(TxnWitB,$O1635)),""))</f>
        <v/>
      </c>
      <c r="K1635" s="21">
        <f>IF($B1635="","",IF($K1634="",$C$10,$K1634)+IF($I1635="",0,$I1635)-IF($J1635="",0,$J1635))</f>
        <v/>
      </c>
      <c r="L1635" s="22">
        <f>IF($N1635&lt;&gt;"",IF(INDEX(PCNotes,$N1635)="","—",INDEX(PCNotes,$N1635)),IF($O1635&lt;&gt;"",IF(INDEX(LdgNoteB,$O1635)="","—",INDEX(LdgNoteB,$O1635)),""))</f>
        <v/>
      </c>
      <c r="N1635">
        <f>IFERROR(MATCH($C$5&amp;"|"&amp;RIGHT("000000"&amp;1619,6),LdgRankKeyA,0),"")</f>
        <v/>
      </c>
      <c r="O1635">
        <f>IFERROR(MATCH($C$5&amp;"|"&amp;RIGHT("000000"&amp;1619,6),LdgRankKeyB,0),"")</f>
        <v/>
      </c>
    </row>
    <row r="1636">
      <c r="A1636" s="23" t="n">
        <v>1620</v>
      </c>
      <c r="B1636" s="24">
        <f>IF(AND($N1636="",$O1636=""),"",IF($N1636&lt;&gt;"",INDEX(PCNormDate,$N1636),INDEX(LdgDateB,$O1636)))</f>
        <v/>
      </c>
      <c r="C1636" s="24">
        <f>IF($N1636&lt;&gt;"",INDEX(PCOp,$N1636),IF($O1636&lt;&gt;"",IF(N(INDEX(TxnDepB,$O1636))&gt;0,"دریافت بانکی","پرداخت بانکی"),""))</f>
        <v/>
      </c>
      <c r="D1636" s="24">
        <f>IF($N1636&lt;&gt;"",IF(INDEX(PCDoc,$N1636)="","—",INDEX(PCDoc,$N1636)),IF($O1636&lt;&gt;"",INDEX(LdgBankB,$O1636),""))</f>
        <v/>
      </c>
      <c r="E1636" s="24">
        <f>IF($N1636&lt;&gt;"",IF(INDEX(PCCitrus,$N1636)="","—",INDEX(PCCitrus,$N1636)),"")</f>
        <v/>
      </c>
      <c r="F1636" s="25">
        <f>IF($N1636&lt;&gt;"",IF(INDEX(PCScale,$N1636)=0,"",INDEX(PCScale,$N1636)),"")</f>
        <v/>
      </c>
      <c r="G1636" s="25">
        <f>IF($N1636&lt;&gt;"",IF(INDEX(PCBaskets,$N1636)=0,"",INDEX(PCBaskets,$N1636)),"")</f>
        <v/>
      </c>
      <c r="H1636" s="26">
        <f>IF($N1636&lt;&gt;"",IF(INDEX(PCNet,$N1636)=0,"",INDEX(PCNet,$N1636)),"")</f>
        <v/>
      </c>
      <c r="I1636" s="25">
        <f>IF($N1636&lt;&gt;"",IF(INDEX(PCOp,$N1636)="مرجوعی خرید","",IF(INDEX(PCAmount,$N1636)&lt;=0,"",INDEX(PCAmount,$N1636))),IF($O1636&lt;&gt;"",IF(INDEX(TxnDepB,$O1636)=0,"",INDEX(TxnDepB,$O1636)),""))</f>
        <v/>
      </c>
      <c r="J1636" s="25">
        <f>IF($N1636&lt;&gt;"",IF(INDEX(PCOp,$N1636)="مرجوعی خرید",IF(INDEX(PCAmount,$N1636)=0,"",-INDEX(PCAmount,$N1636)),""),IF($O1636&lt;&gt;"",IF(INDEX(TxnWitB,$O1636)=0,"",INDEX(TxnWitB,$O1636)),""))</f>
        <v/>
      </c>
      <c r="K1636" s="27">
        <f>IF($B1636="","",IF($K1635="",$C$10,$K1635)+IF($I1636="",0,$I1636)-IF($J1636="",0,$J1636))</f>
        <v/>
      </c>
      <c r="L1636" s="28">
        <f>IF($N1636&lt;&gt;"",IF(INDEX(PCNotes,$N1636)="","—",INDEX(PCNotes,$N1636)),IF($O1636&lt;&gt;"",IF(INDEX(LdgNoteB,$O1636)="","—",INDEX(LdgNoteB,$O1636)),""))</f>
        <v/>
      </c>
      <c r="N1636">
        <f>IFERROR(MATCH($C$5&amp;"|"&amp;RIGHT("000000"&amp;1620,6),LdgRankKeyA,0),"")</f>
        <v/>
      </c>
      <c r="O1636">
        <f>IFERROR(MATCH($C$5&amp;"|"&amp;RIGHT("000000"&amp;1620,6),LdgRankKeyB,0),"")</f>
        <v/>
      </c>
    </row>
    <row r="1637">
      <c r="A1637" s="17" t="n">
        <v>1621</v>
      </c>
      <c r="B1637" s="18">
        <f>IF(AND($N1637="",$O1637=""),"",IF($N1637&lt;&gt;"",INDEX(PCNormDate,$N1637),INDEX(LdgDateB,$O1637)))</f>
        <v/>
      </c>
      <c r="C1637" s="18">
        <f>IF($N1637&lt;&gt;"",INDEX(PCOp,$N1637),IF($O1637&lt;&gt;"",IF(N(INDEX(TxnDepB,$O1637))&gt;0,"دریافت بانکی","پرداخت بانکی"),""))</f>
        <v/>
      </c>
      <c r="D1637" s="18">
        <f>IF($N1637&lt;&gt;"",IF(INDEX(PCDoc,$N1637)="","—",INDEX(PCDoc,$N1637)),IF($O1637&lt;&gt;"",INDEX(LdgBankB,$O1637),""))</f>
        <v/>
      </c>
      <c r="E1637" s="18">
        <f>IF($N1637&lt;&gt;"",IF(INDEX(PCCitrus,$N1637)="","—",INDEX(PCCitrus,$N1637)),"")</f>
        <v/>
      </c>
      <c r="F1637" s="19">
        <f>IF($N1637&lt;&gt;"",IF(INDEX(PCScale,$N1637)=0,"",INDEX(PCScale,$N1637)),"")</f>
        <v/>
      </c>
      <c r="G1637" s="19">
        <f>IF($N1637&lt;&gt;"",IF(INDEX(PCBaskets,$N1637)=0,"",INDEX(PCBaskets,$N1637)),"")</f>
        <v/>
      </c>
      <c r="H1637" s="20">
        <f>IF($N1637&lt;&gt;"",IF(INDEX(PCNet,$N1637)=0,"",INDEX(PCNet,$N1637)),"")</f>
        <v/>
      </c>
      <c r="I1637" s="19">
        <f>IF($N1637&lt;&gt;"",IF(INDEX(PCOp,$N1637)="مرجوعی خرید","",IF(INDEX(PCAmount,$N1637)&lt;=0,"",INDEX(PCAmount,$N1637))),IF($O1637&lt;&gt;"",IF(INDEX(TxnDepB,$O1637)=0,"",INDEX(TxnDepB,$O1637)),""))</f>
        <v/>
      </c>
      <c r="J1637" s="19">
        <f>IF($N1637&lt;&gt;"",IF(INDEX(PCOp,$N1637)="مرجوعی خرید",IF(INDEX(PCAmount,$N1637)=0,"",-INDEX(PCAmount,$N1637)),""),IF($O1637&lt;&gt;"",IF(INDEX(TxnWitB,$O1637)=0,"",INDEX(TxnWitB,$O1637)),""))</f>
        <v/>
      </c>
      <c r="K1637" s="21">
        <f>IF($B1637="","",IF($K1636="",$C$10,$K1636)+IF($I1637="",0,$I1637)-IF($J1637="",0,$J1637))</f>
        <v/>
      </c>
      <c r="L1637" s="22">
        <f>IF($N1637&lt;&gt;"",IF(INDEX(PCNotes,$N1637)="","—",INDEX(PCNotes,$N1637)),IF($O1637&lt;&gt;"",IF(INDEX(LdgNoteB,$O1637)="","—",INDEX(LdgNoteB,$O1637)),""))</f>
        <v/>
      </c>
      <c r="N1637">
        <f>IFERROR(MATCH($C$5&amp;"|"&amp;RIGHT("000000"&amp;1621,6),LdgRankKeyA,0),"")</f>
        <v/>
      </c>
      <c r="O1637">
        <f>IFERROR(MATCH($C$5&amp;"|"&amp;RIGHT("000000"&amp;1621,6),LdgRankKeyB,0),"")</f>
        <v/>
      </c>
    </row>
    <row r="1638">
      <c r="A1638" s="23" t="n">
        <v>1622</v>
      </c>
      <c r="B1638" s="24">
        <f>IF(AND($N1638="",$O1638=""),"",IF($N1638&lt;&gt;"",INDEX(PCNormDate,$N1638),INDEX(LdgDateB,$O1638)))</f>
        <v/>
      </c>
      <c r="C1638" s="24">
        <f>IF($N1638&lt;&gt;"",INDEX(PCOp,$N1638),IF($O1638&lt;&gt;"",IF(N(INDEX(TxnDepB,$O1638))&gt;0,"دریافت بانکی","پرداخت بانکی"),""))</f>
        <v/>
      </c>
      <c r="D1638" s="24">
        <f>IF($N1638&lt;&gt;"",IF(INDEX(PCDoc,$N1638)="","—",INDEX(PCDoc,$N1638)),IF($O1638&lt;&gt;"",INDEX(LdgBankB,$O1638),""))</f>
        <v/>
      </c>
      <c r="E1638" s="24">
        <f>IF($N1638&lt;&gt;"",IF(INDEX(PCCitrus,$N1638)="","—",INDEX(PCCitrus,$N1638)),"")</f>
        <v/>
      </c>
      <c r="F1638" s="25">
        <f>IF($N1638&lt;&gt;"",IF(INDEX(PCScale,$N1638)=0,"",INDEX(PCScale,$N1638)),"")</f>
        <v/>
      </c>
      <c r="G1638" s="25">
        <f>IF($N1638&lt;&gt;"",IF(INDEX(PCBaskets,$N1638)=0,"",INDEX(PCBaskets,$N1638)),"")</f>
        <v/>
      </c>
      <c r="H1638" s="26">
        <f>IF($N1638&lt;&gt;"",IF(INDEX(PCNet,$N1638)=0,"",INDEX(PCNet,$N1638)),"")</f>
        <v/>
      </c>
      <c r="I1638" s="25">
        <f>IF($N1638&lt;&gt;"",IF(INDEX(PCOp,$N1638)="مرجوعی خرید","",IF(INDEX(PCAmount,$N1638)&lt;=0,"",INDEX(PCAmount,$N1638))),IF($O1638&lt;&gt;"",IF(INDEX(TxnDepB,$O1638)=0,"",INDEX(TxnDepB,$O1638)),""))</f>
        <v/>
      </c>
      <c r="J1638" s="25">
        <f>IF($N1638&lt;&gt;"",IF(INDEX(PCOp,$N1638)="مرجوعی خرید",IF(INDEX(PCAmount,$N1638)=0,"",-INDEX(PCAmount,$N1638)),""),IF($O1638&lt;&gt;"",IF(INDEX(TxnWitB,$O1638)=0,"",INDEX(TxnWitB,$O1638)),""))</f>
        <v/>
      </c>
      <c r="K1638" s="27">
        <f>IF($B1638="","",IF($K1637="",$C$10,$K1637)+IF($I1638="",0,$I1638)-IF($J1638="",0,$J1638))</f>
        <v/>
      </c>
      <c r="L1638" s="28">
        <f>IF($N1638&lt;&gt;"",IF(INDEX(PCNotes,$N1638)="","—",INDEX(PCNotes,$N1638)),IF($O1638&lt;&gt;"",IF(INDEX(LdgNoteB,$O1638)="","—",INDEX(LdgNoteB,$O1638)),""))</f>
        <v/>
      </c>
      <c r="N1638">
        <f>IFERROR(MATCH($C$5&amp;"|"&amp;RIGHT("000000"&amp;1622,6),LdgRankKeyA,0),"")</f>
        <v/>
      </c>
      <c r="O1638">
        <f>IFERROR(MATCH($C$5&amp;"|"&amp;RIGHT("000000"&amp;1622,6),LdgRankKeyB,0),"")</f>
        <v/>
      </c>
    </row>
    <row r="1639">
      <c r="A1639" s="17" t="n">
        <v>1623</v>
      </c>
      <c r="B1639" s="18">
        <f>IF(AND($N1639="",$O1639=""),"",IF($N1639&lt;&gt;"",INDEX(PCNormDate,$N1639),INDEX(LdgDateB,$O1639)))</f>
        <v/>
      </c>
      <c r="C1639" s="18">
        <f>IF($N1639&lt;&gt;"",INDEX(PCOp,$N1639),IF($O1639&lt;&gt;"",IF(N(INDEX(TxnDepB,$O1639))&gt;0,"دریافت بانکی","پرداخت بانکی"),""))</f>
        <v/>
      </c>
      <c r="D1639" s="18">
        <f>IF($N1639&lt;&gt;"",IF(INDEX(PCDoc,$N1639)="","—",INDEX(PCDoc,$N1639)),IF($O1639&lt;&gt;"",INDEX(LdgBankB,$O1639),""))</f>
        <v/>
      </c>
      <c r="E1639" s="18">
        <f>IF($N1639&lt;&gt;"",IF(INDEX(PCCitrus,$N1639)="","—",INDEX(PCCitrus,$N1639)),"")</f>
        <v/>
      </c>
      <c r="F1639" s="19">
        <f>IF($N1639&lt;&gt;"",IF(INDEX(PCScale,$N1639)=0,"",INDEX(PCScale,$N1639)),"")</f>
        <v/>
      </c>
      <c r="G1639" s="19">
        <f>IF($N1639&lt;&gt;"",IF(INDEX(PCBaskets,$N1639)=0,"",INDEX(PCBaskets,$N1639)),"")</f>
        <v/>
      </c>
      <c r="H1639" s="20">
        <f>IF($N1639&lt;&gt;"",IF(INDEX(PCNet,$N1639)=0,"",INDEX(PCNet,$N1639)),"")</f>
        <v/>
      </c>
      <c r="I1639" s="19">
        <f>IF($N1639&lt;&gt;"",IF(INDEX(PCOp,$N1639)="مرجوعی خرید","",IF(INDEX(PCAmount,$N1639)&lt;=0,"",INDEX(PCAmount,$N1639))),IF($O1639&lt;&gt;"",IF(INDEX(TxnDepB,$O1639)=0,"",INDEX(TxnDepB,$O1639)),""))</f>
        <v/>
      </c>
      <c r="J1639" s="19">
        <f>IF($N1639&lt;&gt;"",IF(INDEX(PCOp,$N1639)="مرجوعی خرید",IF(INDEX(PCAmount,$N1639)=0,"",-INDEX(PCAmount,$N1639)),""),IF($O1639&lt;&gt;"",IF(INDEX(TxnWitB,$O1639)=0,"",INDEX(TxnWitB,$O1639)),""))</f>
        <v/>
      </c>
      <c r="K1639" s="21">
        <f>IF($B1639="","",IF($K1638="",$C$10,$K1638)+IF($I1639="",0,$I1639)-IF($J1639="",0,$J1639))</f>
        <v/>
      </c>
      <c r="L1639" s="22">
        <f>IF($N1639&lt;&gt;"",IF(INDEX(PCNotes,$N1639)="","—",INDEX(PCNotes,$N1639)),IF($O1639&lt;&gt;"",IF(INDEX(LdgNoteB,$O1639)="","—",INDEX(LdgNoteB,$O1639)),""))</f>
        <v/>
      </c>
      <c r="N1639">
        <f>IFERROR(MATCH($C$5&amp;"|"&amp;RIGHT("000000"&amp;1623,6),LdgRankKeyA,0),"")</f>
        <v/>
      </c>
      <c r="O1639">
        <f>IFERROR(MATCH($C$5&amp;"|"&amp;RIGHT("000000"&amp;1623,6),LdgRankKeyB,0),"")</f>
        <v/>
      </c>
    </row>
    <row r="1640">
      <c r="A1640" s="23" t="n">
        <v>1624</v>
      </c>
      <c r="B1640" s="24">
        <f>IF(AND($N1640="",$O1640=""),"",IF($N1640&lt;&gt;"",INDEX(PCNormDate,$N1640),INDEX(LdgDateB,$O1640)))</f>
        <v/>
      </c>
      <c r="C1640" s="24">
        <f>IF($N1640&lt;&gt;"",INDEX(PCOp,$N1640),IF($O1640&lt;&gt;"",IF(N(INDEX(TxnDepB,$O1640))&gt;0,"دریافت بانکی","پرداخت بانکی"),""))</f>
        <v/>
      </c>
      <c r="D1640" s="24">
        <f>IF($N1640&lt;&gt;"",IF(INDEX(PCDoc,$N1640)="","—",INDEX(PCDoc,$N1640)),IF($O1640&lt;&gt;"",INDEX(LdgBankB,$O1640),""))</f>
        <v/>
      </c>
      <c r="E1640" s="24">
        <f>IF($N1640&lt;&gt;"",IF(INDEX(PCCitrus,$N1640)="","—",INDEX(PCCitrus,$N1640)),"")</f>
        <v/>
      </c>
      <c r="F1640" s="25">
        <f>IF($N1640&lt;&gt;"",IF(INDEX(PCScale,$N1640)=0,"",INDEX(PCScale,$N1640)),"")</f>
        <v/>
      </c>
      <c r="G1640" s="25">
        <f>IF($N1640&lt;&gt;"",IF(INDEX(PCBaskets,$N1640)=0,"",INDEX(PCBaskets,$N1640)),"")</f>
        <v/>
      </c>
      <c r="H1640" s="26">
        <f>IF($N1640&lt;&gt;"",IF(INDEX(PCNet,$N1640)=0,"",INDEX(PCNet,$N1640)),"")</f>
        <v/>
      </c>
      <c r="I1640" s="25">
        <f>IF($N1640&lt;&gt;"",IF(INDEX(PCOp,$N1640)="مرجوعی خرید","",IF(INDEX(PCAmount,$N1640)&lt;=0,"",INDEX(PCAmount,$N1640))),IF($O1640&lt;&gt;"",IF(INDEX(TxnDepB,$O1640)=0,"",INDEX(TxnDepB,$O1640)),""))</f>
        <v/>
      </c>
      <c r="J1640" s="25">
        <f>IF($N1640&lt;&gt;"",IF(INDEX(PCOp,$N1640)="مرجوعی خرید",IF(INDEX(PCAmount,$N1640)=0,"",-INDEX(PCAmount,$N1640)),""),IF($O1640&lt;&gt;"",IF(INDEX(TxnWitB,$O1640)=0,"",INDEX(TxnWitB,$O1640)),""))</f>
        <v/>
      </c>
      <c r="K1640" s="27">
        <f>IF($B1640="","",IF($K1639="",$C$10,$K1639)+IF($I1640="",0,$I1640)-IF($J1640="",0,$J1640))</f>
        <v/>
      </c>
      <c r="L1640" s="28">
        <f>IF($N1640&lt;&gt;"",IF(INDEX(PCNotes,$N1640)="","—",INDEX(PCNotes,$N1640)),IF($O1640&lt;&gt;"",IF(INDEX(LdgNoteB,$O1640)="","—",INDEX(LdgNoteB,$O1640)),""))</f>
        <v/>
      </c>
      <c r="N1640">
        <f>IFERROR(MATCH($C$5&amp;"|"&amp;RIGHT("000000"&amp;1624,6),LdgRankKeyA,0),"")</f>
        <v/>
      </c>
      <c r="O1640">
        <f>IFERROR(MATCH($C$5&amp;"|"&amp;RIGHT("000000"&amp;1624,6),LdgRankKeyB,0),"")</f>
        <v/>
      </c>
    </row>
    <row r="1641">
      <c r="A1641" s="17" t="n">
        <v>1625</v>
      </c>
      <c r="B1641" s="18">
        <f>IF(AND($N1641="",$O1641=""),"",IF($N1641&lt;&gt;"",INDEX(PCNormDate,$N1641),INDEX(LdgDateB,$O1641)))</f>
        <v/>
      </c>
      <c r="C1641" s="18">
        <f>IF($N1641&lt;&gt;"",INDEX(PCOp,$N1641),IF($O1641&lt;&gt;"",IF(N(INDEX(TxnDepB,$O1641))&gt;0,"دریافت بانکی","پرداخت بانکی"),""))</f>
        <v/>
      </c>
      <c r="D1641" s="18">
        <f>IF($N1641&lt;&gt;"",IF(INDEX(PCDoc,$N1641)="","—",INDEX(PCDoc,$N1641)),IF($O1641&lt;&gt;"",INDEX(LdgBankB,$O1641),""))</f>
        <v/>
      </c>
      <c r="E1641" s="18">
        <f>IF($N1641&lt;&gt;"",IF(INDEX(PCCitrus,$N1641)="","—",INDEX(PCCitrus,$N1641)),"")</f>
        <v/>
      </c>
      <c r="F1641" s="19">
        <f>IF($N1641&lt;&gt;"",IF(INDEX(PCScale,$N1641)=0,"",INDEX(PCScale,$N1641)),"")</f>
        <v/>
      </c>
      <c r="G1641" s="19">
        <f>IF($N1641&lt;&gt;"",IF(INDEX(PCBaskets,$N1641)=0,"",INDEX(PCBaskets,$N1641)),"")</f>
        <v/>
      </c>
      <c r="H1641" s="20">
        <f>IF($N1641&lt;&gt;"",IF(INDEX(PCNet,$N1641)=0,"",INDEX(PCNet,$N1641)),"")</f>
        <v/>
      </c>
      <c r="I1641" s="19">
        <f>IF($N1641&lt;&gt;"",IF(INDEX(PCOp,$N1641)="مرجوعی خرید","",IF(INDEX(PCAmount,$N1641)&lt;=0,"",INDEX(PCAmount,$N1641))),IF($O1641&lt;&gt;"",IF(INDEX(TxnDepB,$O1641)=0,"",INDEX(TxnDepB,$O1641)),""))</f>
        <v/>
      </c>
      <c r="J1641" s="19">
        <f>IF($N1641&lt;&gt;"",IF(INDEX(PCOp,$N1641)="مرجوعی خرید",IF(INDEX(PCAmount,$N1641)=0,"",-INDEX(PCAmount,$N1641)),""),IF($O1641&lt;&gt;"",IF(INDEX(TxnWitB,$O1641)=0,"",INDEX(TxnWitB,$O1641)),""))</f>
        <v/>
      </c>
      <c r="K1641" s="21">
        <f>IF($B1641="","",IF($K1640="",$C$10,$K1640)+IF($I1641="",0,$I1641)-IF($J1641="",0,$J1641))</f>
        <v/>
      </c>
      <c r="L1641" s="22">
        <f>IF($N1641&lt;&gt;"",IF(INDEX(PCNotes,$N1641)="","—",INDEX(PCNotes,$N1641)),IF($O1641&lt;&gt;"",IF(INDEX(LdgNoteB,$O1641)="","—",INDEX(LdgNoteB,$O1641)),""))</f>
        <v/>
      </c>
      <c r="N1641">
        <f>IFERROR(MATCH($C$5&amp;"|"&amp;RIGHT("000000"&amp;1625,6),LdgRankKeyA,0),"")</f>
        <v/>
      </c>
      <c r="O1641">
        <f>IFERROR(MATCH($C$5&amp;"|"&amp;RIGHT("000000"&amp;1625,6),LdgRankKeyB,0),"")</f>
        <v/>
      </c>
    </row>
    <row r="1642">
      <c r="A1642" s="23" t="n">
        <v>1626</v>
      </c>
      <c r="B1642" s="24">
        <f>IF(AND($N1642="",$O1642=""),"",IF($N1642&lt;&gt;"",INDEX(PCNormDate,$N1642),INDEX(LdgDateB,$O1642)))</f>
        <v/>
      </c>
      <c r="C1642" s="24">
        <f>IF($N1642&lt;&gt;"",INDEX(PCOp,$N1642),IF($O1642&lt;&gt;"",IF(N(INDEX(TxnDepB,$O1642))&gt;0,"دریافت بانکی","پرداخت بانکی"),""))</f>
        <v/>
      </c>
      <c r="D1642" s="24">
        <f>IF($N1642&lt;&gt;"",IF(INDEX(PCDoc,$N1642)="","—",INDEX(PCDoc,$N1642)),IF($O1642&lt;&gt;"",INDEX(LdgBankB,$O1642),""))</f>
        <v/>
      </c>
      <c r="E1642" s="24">
        <f>IF($N1642&lt;&gt;"",IF(INDEX(PCCitrus,$N1642)="","—",INDEX(PCCitrus,$N1642)),"")</f>
        <v/>
      </c>
      <c r="F1642" s="25">
        <f>IF($N1642&lt;&gt;"",IF(INDEX(PCScale,$N1642)=0,"",INDEX(PCScale,$N1642)),"")</f>
        <v/>
      </c>
      <c r="G1642" s="25">
        <f>IF($N1642&lt;&gt;"",IF(INDEX(PCBaskets,$N1642)=0,"",INDEX(PCBaskets,$N1642)),"")</f>
        <v/>
      </c>
      <c r="H1642" s="26">
        <f>IF($N1642&lt;&gt;"",IF(INDEX(PCNet,$N1642)=0,"",INDEX(PCNet,$N1642)),"")</f>
        <v/>
      </c>
      <c r="I1642" s="25">
        <f>IF($N1642&lt;&gt;"",IF(INDEX(PCOp,$N1642)="مرجوعی خرید","",IF(INDEX(PCAmount,$N1642)&lt;=0,"",INDEX(PCAmount,$N1642))),IF($O1642&lt;&gt;"",IF(INDEX(TxnDepB,$O1642)=0,"",INDEX(TxnDepB,$O1642)),""))</f>
        <v/>
      </c>
      <c r="J1642" s="25">
        <f>IF($N1642&lt;&gt;"",IF(INDEX(PCOp,$N1642)="مرجوعی خرید",IF(INDEX(PCAmount,$N1642)=0,"",-INDEX(PCAmount,$N1642)),""),IF($O1642&lt;&gt;"",IF(INDEX(TxnWitB,$O1642)=0,"",INDEX(TxnWitB,$O1642)),""))</f>
        <v/>
      </c>
      <c r="K1642" s="27">
        <f>IF($B1642="","",IF($K1641="",$C$10,$K1641)+IF($I1642="",0,$I1642)-IF($J1642="",0,$J1642))</f>
        <v/>
      </c>
      <c r="L1642" s="28">
        <f>IF($N1642&lt;&gt;"",IF(INDEX(PCNotes,$N1642)="","—",INDEX(PCNotes,$N1642)),IF($O1642&lt;&gt;"",IF(INDEX(LdgNoteB,$O1642)="","—",INDEX(LdgNoteB,$O1642)),""))</f>
        <v/>
      </c>
      <c r="N1642">
        <f>IFERROR(MATCH($C$5&amp;"|"&amp;RIGHT("000000"&amp;1626,6),LdgRankKeyA,0),"")</f>
        <v/>
      </c>
      <c r="O1642">
        <f>IFERROR(MATCH($C$5&amp;"|"&amp;RIGHT("000000"&amp;1626,6),LdgRankKeyB,0),"")</f>
        <v/>
      </c>
    </row>
    <row r="1643">
      <c r="A1643" s="17" t="n">
        <v>1627</v>
      </c>
      <c r="B1643" s="18">
        <f>IF(AND($N1643="",$O1643=""),"",IF($N1643&lt;&gt;"",INDEX(PCNormDate,$N1643),INDEX(LdgDateB,$O1643)))</f>
        <v/>
      </c>
      <c r="C1643" s="18">
        <f>IF($N1643&lt;&gt;"",INDEX(PCOp,$N1643),IF($O1643&lt;&gt;"",IF(N(INDEX(TxnDepB,$O1643))&gt;0,"دریافت بانکی","پرداخت بانکی"),""))</f>
        <v/>
      </c>
      <c r="D1643" s="18">
        <f>IF($N1643&lt;&gt;"",IF(INDEX(PCDoc,$N1643)="","—",INDEX(PCDoc,$N1643)),IF($O1643&lt;&gt;"",INDEX(LdgBankB,$O1643),""))</f>
        <v/>
      </c>
      <c r="E1643" s="18">
        <f>IF($N1643&lt;&gt;"",IF(INDEX(PCCitrus,$N1643)="","—",INDEX(PCCitrus,$N1643)),"")</f>
        <v/>
      </c>
      <c r="F1643" s="19">
        <f>IF($N1643&lt;&gt;"",IF(INDEX(PCScale,$N1643)=0,"",INDEX(PCScale,$N1643)),"")</f>
        <v/>
      </c>
      <c r="G1643" s="19">
        <f>IF($N1643&lt;&gt;"",IF(INDEX(PCBaskets,$N1643)=0,"",INDEX(PCBaskets,$N1643)),"")</f>
        <v/>
      </c>
      <c r="H1643" s="20">
        <f>IF($N1643&lt;&gt;"",IF(INDEX(PCNet,$N1643)=0,"",INDEX(PCNet,$N1643)),"")</f>
        <v/>
      </c>
      <c r="I1643" s="19">
        <f>IF($N1643&lt;&gt;"",IF(INDEX(PCOp,$N1643)="مرجوعی خرید","",IF(INDEX(PCAmount,$N1643)&lt;=0,"",INDEX(PCAmount,$N1643))),IF($O1643&lt;&gt;"",IF(INDEX(TxnDepB,$O1643)=0,"",INDEX(TxnDepB,$O1643)),""))</f>
        <v/>
      </c>
      <c r="J1643" s="19">
        <f>IF($N1643&lt;&gt;"",IF(INDEX(PCOp,$N1643)="مرجوعی خرید",IF(INDEX(PCAmount,$N1643)=0,"",-INDEX(PCAmount,$N1643)),""),IF($O1643&lt;&gt;"",IF(INDEX(TxnWitB,$O1643)=0,"",INDEX(TxnWitB,$O1643)),""))</f>
        <v/>
      </c>
      <c r="K1643" s="21">
        <f>IF($B1643="","",IF($K1642="",$C$10,$K1642)+IF($I1643="",0,$I1643)-IF($J1643="",0,$J1643))</f>
        <v/>
      </c>
      <c r="L1643" s="22">
        <f>IF($N1643&lt;&gt;"",IF(INDEX(PCNotes,$N1643)="","—",INDEX(PCNotes,$N1643)),IF($O1643&lt;&gt;"",IF(INDEX(LdgNoteB,$O1643)="","—",INDEX(LdgNoteB,$O1643)),""))</f>
        <v/>
      </c>
      <c r="N1643">
        <f>IFERROR(MATCH($C$5&amp;"|"&amp;RIGHT("000000"&amp;1627,6),LdgRankKeyA,0),"")</f>
        <v/>
      </c>
      <c r="O1643">
        <f>IFERROR(MATCH($C$5&amp;"|"&amp;RIGHT("000000"&amp;1627,6),LdgRankKeyB,0),"")</f>
        <v/>
      </c>
    </row>
    <row r="1644">
      <c r="A1644" s="23" t="n">
        <v>1628</v>
      </c>
      <c r="B1644" s="24">
        <f>IF(AND($N1644="",$O1644=""),"",IF($N1644&lt;&gt;"",INDEX(PCNormDate,$N1644),INDEX(LdgDateB,$O1644)))</f>
        <v/>
      </c>
      <c r="C1644" s="24">
        <f>IF($N1644&lt;&gt;"",INDEX(PCOp,$N1644),IF($O1644&lt;&gt;"",IF(N(INDEX(TxnDepB,$O1644))&gt;0,"دریافت بانکی","پرداخت بانکی"),""))</f>
        <v/>
      </c>
      <c r="D1644" s="24">
        <f>IF($N1644&lt;&gt;"",IF(INDEX(PCDoc,$N1644)="","—",INDEX(PCDoc,$N1644)),IF($O1644&lt;&gt;"",INDEX(LdgBankB,$O1644),""))</f>
        <v/>
      </c>
      <c r="E1644" s="24">
        <f>IF($N1644&lt;&gt;"",IF(INDEX(PCCitrus,$N1644)="","—",INDEX(PCCitrus,$N1644)),"")</f>
        <v/>
      </c>
      <c r="F1644" s="25">
        <f>IF($N1644&lt;&gt;"",IF(INDEX(PCScale,$N1644)=0,"",INDEX(PCScale,$N1644)),"")</f>
        <v/>
      </c>
      <c r="G1644" s="25">
        <f>IF($N1644&lt;&gt;"",IF(INDEX(PCBaskets,$N1644)=0,"",INDEX(PCBaskets,$N1644)),"")</f>
        <v/>
      </c>
      <c r="H1644" s="26">
        <f>IF($N1644&lt;&gt;"",IF(INDEX(PCNet,$N1644)=0,"",INDEX(PCNet,$N1644)),"")</f>
        <v/>
      </c>
      <c r="I1644" s="25">
        <f>IF($N1644&lt;&gt;"",IF(INDEX(PCOp,$N1644)="مرجوعی خرید","",IF(INDEX(PCAmount,$N1644)&lt;=0,"",INDEX(PCAmount,$N1644))),IF($O1644&lt;&gt;"",IF(INDEX(TxnDepB,$O1644)=0,"",INDEX(TxnDepB,$O1644)),""))</f>
        <v/>
      </c>
      <c r="J1644" s="25">
        <f>IF($N1644&lt;&gt;"",IF(INDEX(PCOp,$N1644)="مرجوعی خرید",IF(INDEX(PCAmount,$N1644)=0,"",-INDEX(PCAmount,$N1644)),""),IF($O1644&lt;&gt;"",IF(INDEX(TxnWitB,$O1644)=0,"",INDEX(TxnWitB,$O1644)),""))</f>
        <v/>
      </c>
      <c r="K1644" s="27">
        <f>IF($B1644="","",IF($K1643="",$C$10,$K1643)+IF($I1644="",0,$I1644)-IF($J1644="",0,$J1644))</f>
        <v/>
      </c>
      <c r="L1644" s="28">
        <f>IF($N1644&lt;&gt;"",IF(INDEX(PCNotes,$N1644)="","—",INDEX(PCNotes,$N1644)),IF($O1644&lt;&gt;"",IF(INDEX(LdgNoteB,$O1644)="","—",INDEX(LdgNoteB,$O1644)),""))</f>
        <v/>
      </c>
      <c r="N1644">
        <f>IFERROR(MATCH($C$5&amp;"|"&amp;RIGHT("000000"&amp;1628,6),LdgRankKeyA,0),"")</f>
        <v/>
      </c>
      <c r="O1644">
        <f>IFERROR(MATCH($C$5&amp;"|"&amp;RIGHT("000000"&amp;1628,6),LdgRankKeyB,0),"")</f>
        <v/>
      </c>
    </row>
    <row r="1645">
      <c r="A1645" s="17" t="n">
        <v>1629</v>
      </c>
      <c r="B1645" s="18">
        <f>IF(AND($N1645="",$O1645=""),"",IF($N1645&lt;&gt;"",INDEX(PCNormDate,$N1645),INDEX(LdgDateB,$O1645)))</f>
        <v/>
      </c>
      <c r="C1645" s="18">
        <f>IF($N1645&lt;&gt;"",INDEX(PCOp,$N1645),IF($O1645&lt;&gt;"",IF(N(INDEX(TxnDepB,$O1645))&gt;0,"دریافت بانکی","پرداخت بانکی"),""))</f>
        <v/>
      </c>
      <c r="D1645" s="18">
        <f>IF($N1645&lt;&gt;"",IF(INDEX(PCDoc,$N1645)="","—",INDEX(PCDoc,$N1645)),IF($O1645&lt;&gt;"",INDEX(LdgBankB,$O1645),""))</f>
        <v/>
      </c>
      <c r="E1645" s="18">
        <f>IF($N1645&lt;&gt;"",IF(INDEX(PCCitrus,$N1645)="","—",INDEX(PCCitrus,$N1645)),"")</f>
        <v/>
      </c>
      <c r="F1645" s="19">
        <f>IF($N1645&lt;&gt;"",IF(INDEX(PCScale,$N1645)=0,"",INDEX(PCScale,$N1645)),"")</f>
        <v/>
      </c>
      <c r="G1645" s="19">
        <f>IF($N1645&lt;&gt;"",IF(INDEX(PCBaskets,$N1645)=0,"",INDEX(PCBaskets,$N1645)),"")</f>
        <v/>
      </c>
      <c r="H1645" s="20">
        <f>IF($N1645&lt;&gt;"",IF(INDEX(PCNet,$N1645)=0,"",INDEX(PCNet,$N1645)),"")</f>
        <v/>
      </c>
      <c r="I1645" s="19">
        <f>IF($N1645&lt;&gt;"",IF(INDEX(PCOp,$N1645)="مرجوعی خرید","",IF(INDEX(PCAmount,$N1645)&lt;=0,"",INDEX(PCAmount,$N1645))),IF($O1645&lt;&gt;"",IF(INDEX(TxnDepB,$O1645)=0,"",INDEX(TxnDepB,$O1645)),""))</f>
        <v/>
      </c>
      <c r="J1645" s="19">
        <f>IF($N1645&lt;&gt;"",IF(INDEX(PCOp,$N1645)="مرجوعی خرید",IF(INDEX(PCAmount,$N1645)=0,"",-INDEX(PCAmount,$N1645)),""),IF($O1645&lt;&gt;"",IF(INDEX(TxnWitB,$O1645)=0,"",INDEX(TxnWitB,$O1645)),""))</f>
        <v/>
      </c>
      <c r="K1645" s="21">
        <f>IF($B1645="","",IF($K1644="",$C$10,$K1644)+IF($I1645="",0,$I1645)-IF($J1645="",0,$J1645))</f>
        <v/>
      </c>
      <c r="L1645" s="22">
        <f>IF($N1645&lt;&gt;"",IF(INDEX(PCNotes,$N1645)="","—",INDEX(PCNotes,$N1645)),IF($O1645&lt;&gt;"",IF(INDEX(LdgNoteB,$O1645)="","—",INDEX(LdgNoteB,$O1645)),""))</f>
        <v/>
      </c>
      <c r="N1645">
        <f>IFERROR(MATCH($C$5&amp;"|"&amp;RIGHT("000000"&amp;1629,6),LdgRankKeyA,0),"")</f>
        <v/>
      </c>
      <c r="O1645">
        <f>IFERROR(MATCH($C$5&amp;"|"&amp;RIGHT("000000"&amp;1629,6),LdgRankKeyB,0),"")</f>
        <v/>
      </c>
    </row>
    <row r="1646">
      <c r="A1646" s="23" t="n">
        <v>1630</v>
      </c>
      <c r="B1646" s="24">
        <f>IF(AND($N1646="",$O1646=""),"",IF($N1646&lt;&gt;"",INDEX(PCNormDate,$N1646),INDEX(LdgDateB,$O1646)))</f>
        <v/>
      </c>
      <c r="C1646" s="24">
        <f>IF($N1646&lt;&gt;"",INDEX(PCOp,$N1646),IF($O1646&lt;&gt;"",IF(N(INDEX(TxnDepB,$O1646))&gt;0,"دریافت بانکی","پرداخت بانکی"),""))</f>
        <v/>
      </c>
      <c r="D1646" s="24">
        <f>IF($N1646&lt;&gt;"",IF(INDEX(PCDoc,$N1646)="","—",INDEX(PCDoc,$N1646)),IF($O1646&lt;&gt;"",INDEX(LdgBankB,$O1646),""))</f>
        <v/>
      </c>
      <c r="E1646" s="24">
        <f>IF($N1646&lt;&gt;"",IF(INDEX(PCCitrus,$N1646)="","—",INDEX(PCCitrus,$N1646)),"")</f>
        <v/>
      </c>
      <c r="F1646" s="25">
        <f>IF($N1646&lt;&gt;"",IF(INDEX(PCScale,$N1646)=0,"",INDEX(PCScale,$N1646)),"")</f>
        <v/>
      </c>
      <c r="G1646" s="25">
        <f>IF($N1646&lt;&gt;"",IF(INDEX(PCBaskets,$N1646)=0,"",INDEX(PCBaskets,$N1646)),"")</f>
        <v/>
      </c>
      <c r="H1646" s="26">
        <f>IF($N1646&lt;&gt;"",IF(INDEX(PCNet,$N1646)=0,"",INDEX(PCNet,$N1646)),"")</f>
        <v/>
      </c>
      <c r="I1646" s="25">
        <f>IF($N1646&lt;&gt;"",IF(INDEX(PCOp,$N1646)="مرجوعی خرید","",IF(INDEX(PCAmount,$N1646)&lt;=0,"",INDEX(PCAmount,$N1646))),IF($O1646&lt;&gt;"",IF(INDEX(TxnDepB,$O1646)=0,"",INDEX(TxnDepB,$O1646)),""))</f>
        <v/>
      </c>
      <c r="J1646" s="25">
        <f>IF($N1646&lt;&gt;"",IF(INDEX(PCOp,$N1646)="مرجوعی خرید",IF(INDEX(PCAmount,$N1646)=0,"",-INDEX(PCAmount,$N1646)),""),IF($O1646&lt;&gt;"",IF(INDEX(TxnWitB,$O1646)=0,"",INDEX(TxnWitB,$O1646)),""))</f>
        <v/>
      </c>
      <c r="K1646" s="27">
        <f>IF($B1646="","",IF($K1645="",$C$10,$K1645)+IF($I1646="",0,$I1646)-IF($J1646="",0,$J1646))</f>
        <v/>
      </c>
      <c r="L1646" s="28">
        <f>IF($N1646&lt;&gt;"",IF(INDEX(PCNotes,$N1646)="","—",INDEX(PCNotes,$N1646)),IF($O1646&lt;&gt;"",IF(INDEX(LdgNoteB,$O1646)="","—",INDEX(LdgNoteB,$O1646)),""))</f>
        <v/>
      </c>
      <c r="N1646">
        <f>IFERROR(MATCH($C$5&amp;"|"&amp;RIGHT("000000"&amp;1630,6),LdgRankKeyA,0),"")</f>
        <v/>
      </c>
      <c r="O1646">
        <f>IFERROR(MATCH($C$5&amp;"|"&amp;RIGHT("000000"&amp;1630,6),LdgRankKeyB,0),"")</f>
        <v/>
      </c>
    </row>
    <row r="1647">
      <c r="A1647" s="17" t="n">
        <v>1631</v>
      </c>
      <c r="B1647" s="18">
        <f>IF(AND($N1647="",$O1647=""),"",IF($N1647&lt;&gt;"",INDEX(PCNormDate,$N1647),INDEX(LdgDateB,$O1647)))</f>
        <v/>
      </c>
      <c r="C1647" s="18">
        <f>IF($N1647&lt;&gt;"",INDEX(PCOp,$N1647),IF($O1647&lt;&gt;"",IF(N(INDEX(TxnDepB,$O1647))&gt;0,"دریافت بانکی","پرداخت بانکی"),""))</f>
        <v/>
      </c>
      <c r="D1647" s="18">
        <f>IF($N1647&lt;&gt;"",IF(INDEX(PCDoc,$N1647)="","—",INDEX(PCDoc,$N1647)),IF($O1647&lt;&gt;"",INDEX(LdgBankB,$O1647),""))</f>
        <v/>
      </c>
      <c r="E1647" s="18">
        <f>IF($N1647&lt;&gt;"",IF(INDEX(PCCitrus,$N1647)="","—",INDEX(PCCitrus,$N1647)),"")</f>
        <v/>
      </c>
      <c r="F1647" s="19">
        <f>IF($N1647&lt;&gt;"",IF(INDEX(PCScale,$N1647)=0,"",INDEX(PCScale,$N1647)),"")</f>
        <v/>
      </c>
      <c r="G1647" s="19">
        <f>IF($N1647&lt;&gt;"",IF(INDEX(PCBaskets,$N1647)=0,"",INDEX(PCBaskets,$N1647)),"")</f>
        <v/>
      </c>
      <c r="H1647" s="20">
        <f>IF($N1647&lt;&gt;"",IF(INDEX(PCNet,$N1647)=0,"",INDEX(PCNet,$N1647)),"")</f>
        <v/>
      </c>
      <c r="I1647" s="19">
        <f>IF($N1647&lt;&gt;"",IF(INDEX(PCOp,$N1647)="مرجوعی خرید","",IF(INDEX(PCAmount,$N1647)&lt;=0,"",INDEX(PCAmount,$N1647))),IF($O1647&lt;&gt;"",IF(INDEX(TxnDepB,$O1647)=0,"",INDEX(TxnDepB,$O1647)),""))</f>
        <v/>
      </c>
      <c r="J1647" s="19">
        <f>IF($N1647&lt;&gt;"",IF(INDEX(PCOp,$N1647)="مرجوعی خرید",IF(INDEX(PCAmount,$N1647)=0,"",-INDEX(PCAmount,$N1647)),""),IF($O1647&lt;&gt;"",IF(INDEX(TxnWitB,$O1647)=0,"",INDEX(TxnWitB,$O1647)),""))</f>
        <v/>
      </c>
      <c r="K1647" s="21">
        <f>IF($B1647="","",IF($K1646="",$C$10,$K1646)+IF($I1647="",0,$I1647)-IF($J1647="",0,$J1647))</f>
        <v/>
      </c>
      <c r="L1647" s="22">
        <f>IF($N1647&lt;&gt;"",IF(INDEX(PCNotes,$N1647)="","—",INDEX(PCNotes,$N1647)),IF($O1647&lt;&gt;"",IF(INDEX(LdgNoteB,$O1647)="","—",INDEX(LdgNoteB,$O1647)),""))</f>
        <v/>
      </c>
      <c r="N1647">
        <f>IFERROR(MATCH($C$5&amp;"|"&amp;RIGHT("000000"&amp;1631,6),LdgRankKeyA,0),"")</f>
        <v/>
      </c>
      <c r="O1647">
        <f>IFERROR(MATCH($C$5&amp;"|"&amp;RIGHT("000000"&amp;1631,6),LdgRankKeyB,0),"")</f>
        <v/>
      </c>
    </row>
    <row r="1648">
      <c r="A1648" s="23" t="n">
        <v>1632</v>
      </c>
      <c r="B1648" s="24">
        <f>IF(AND($N1648="",$O1648=""),"",IF($N1648&lt;&gt;"",INDEX(PCNormDate,$N1648),INDEX(LdgDateB,$O1648)))</f>
        <v/>
      </c>
      <c r="C1648" s="24">
        <f>IF($N1648&lt;&gt;"",INDEX(PCOp,$N1648),IF($O1648&lt;&gt;"",IF(N(INDEX(TxnDepB,$O1648))&gt;0,"دریافت بانکی","پرداخت بانکی"),""))</f>
        <v/>
      </c>
      <c r="D1648" s="24">
        <f>IF($N1648&lt;&gt;"",IF(INDEX(PCDoc,$N1648)="","—",INDEX(PCDoc,$N1648)),IF($O1648&lt;&gt;"",INDEX(LdgBankB,$O1648),""))</f>
        <v/>
      </c>
      <c r="E1648" s="24">
        <f>IF($N1648&lt;&gt;"",IF(INDEX(PCCitrus,$N1648)="","—",INDEX(PCCitrus,$N1648)),"")</f>
        <v/>
      </c>
      <c r="F1648" s="25">
        <f>IF($N1648&lt;&gt;"",IF(INDEX(PCScale,$N1648)=0,"",INDEX(PCScale,$N1648)),"")</f>
        <v/>
      </c>
      <c r="G1648" s="25">
        <f>IF($N1648&lt;&gt;"",IF(INDEX(PCBaskets,$N1648)=0,"",INDEX(PCBaskets,$N1648)),"")</f>
        <v/>
      </c>
      <c r="H1648" s="26">
        <f>IF($N1648&lt;&gt;"",IF(INDEX(PCNet,$N1648)=0,"",INDEX(PCNet,$N1648)),"")</f>
        <v/>
      </c>
      <c r="I1648" s="25">
        <f>IF($N1648&lt;&gt;"",IF(INDEX(PCOp,$N1648)="مرجوعی خرید","",IF(INDEX(PCAmount,$N1648)&lt;=0,"",INDEX(PCAmount,$N1648))),IF($O1648&lt;&gt;"",IF(INDEX(TxnDepB,$O1648)=0,"",INDEX(TxnDepB,$O1648)),""))</f>
        <v/>
      </c>
      <c r="J1648" s="25">
        <f>IF($N1648&lt;&gt;"",IF(INDEX(PCOp,$N1648)="مرجوعی خرید",IF(INDEX(PCAmount,$N1648)=0,"",-INDEX(PCAmount,$N1648)),""),IF($O1648&lt;&gt;"",IF(INDEX(TxnWitB,$O1648)=0,"",INDEX(TxnWitB,$O1648)),""))</f>
        <v/>
      </c>
      <c r="K1648" s="27">
        <f>IF($B1648="","",IF($K1647="",$C$10,$K1647)+IF($I1648="",0,$I1648)-IF($J1648="",0,$J1648))</f>
        <v/>
      </c>
      <c r="L1648" s="28">
        <f>IF($N1648&lt;&gt;"",IF(INDEX(PCNotes,$N1648)="","—",INDEX(PCNotes,$N1648)),IF($O1648&lt;&gt;"",IF(INDEX(LdgNoteB,$O1648)="","—",INDEX(LdgNoteB,$O1648)),""))</f>
        <v/>
      </c>
      <c r="N1648">
        <f>IFERROR(MATCH($C$5&amp;"|"&amp;RIGHT("000000"&amp;1632,6),LdgRankKeyA,0),"")</f>
        <v/>
      </c>
      <c r="O1648">
        <f>IFERROR(MATCH($C$5&amp;"|"&amp;RIGHT("000000"&amp;1632,6),LdgRankKeyB,0),"")</f>
        <v/>
      </c>
    </row>
    <row r="1649">
      <c r="A1649" s="17" t="n">
        <v>1633</v>
      </c>
      <c r="B1649" s="18">
        <f>IF(AND($N1649="",$O1649=""),"",IF($N1649&lt;&gt;"",INDEX(PCNormDate,$N1649),INDEX(LdgDateB,$O1649)))</f>
        <v/>
      </c>
      <c r="C1649" s="18">
        <f>IF($N1649&lt;&gt;"",INDEX(PCOp,$N1649),IF($O1649&lt;&gt;"",IF(N(INDEX(TxnDepB,$O1649))&gt;0,"دریافت بانکی","پرداخت بانکی"),""))</f>
        <v/>
      </c>
      <c r="D1649" s="18">
        <f>IF($N1649&lt;&gt;"",IF(INDEX(PCDoc,$N1649)="","—",INDEX(PCDoc,$N1649)),IF($O1649&lt;&gt;"",INDEX(LdgBankB,$O1649),""))</f>
        <v/>
      </c>
      <c r="E1649" s="18">
        <f>IF($N1649&lt;&gt;"",IF(INDEX(PCCitrus,$N1649)="","—",INDEX(PCCitrus,$N1649)),"")</f>
        <v/>
      </c>
      <c r="F1649" s="19">
        <f>IF($N1649&lt;&gt;"",IF(INDEX(PCScale,$N1649)=0,"",INDEX(PCScale,$N1649)),"")</f>
        <v/>
      </c>
      <c r="G1649" s="19">
        <f>IF($N1649&lt;&gt;"",IF(INDEX(PCBaskets,$N1649)=0,"",INDEX(PCBaskets,$N1649)),"")</f>
        <v/>
      </c>
      <c r="H1649" s="20">
        <f>IF($N1649&lt;&gt;"",IF(INDEX(PCNet,$N1649)=0,"",INDEX(PCNet,$N1649)),"")</f>
        <v/>
      </c>
      <c r="I1649" s="19">
        <f>IF($N1649&lt;&gt;"",IF(INDEX(PCOp,$N1649)="مرجوعی خرید","",IF(INDEX(PCAmount,$N1649)&lt;=0,"",INDEX(PCAmount,$N1649))),IF($O1649&lt;&gt;"",IF(INDEX(TxnDepB,$O1649)=0,"",INDEX(TxnDepB,$O1649)),""))</f>
        <v/>
      </c>
      <c r="J1649" s="19">
        <f>IF($N1649&lt;&gt;"",IF(INDEX(PCOp,$N1649)="مرجوعی خرید",IF(INDEX(PCAmount,$N1649)=0,"",-INDEX(PCAmount,$N1649)),""),IF($O1649&lt;&gt;"",IF(INDEX(TxnWitB,$O1649)=0,"",INDEX(TxnWitB,$O1649)),""))</f>
        <v/>
      </c>
      <c r="K1649" s="21">
        <f>IF($B1649="","",IF($K1648="",$C$10,$K1648)+IF($I1649="",0,$I1649)-IF($J1649="",0,$J1649))</f>
        <v/>
      </c>
      <c r="L1649" s="22">
        <f>IF($N1649&lt;&gt;"",IF(INDEX(PCNotes,$N1649)="","—",INDEX(PCNotes,$N1649)),IF($O1649&lt;&gt;"",IF(INDEX(LdgNoteB,$O1649)="","—",INDEX(LdgNoteB,$O1649)),""))</f>
        <v/>
      </c>
      <c r="N1649">
        <f>IFERROR(MATCH($C$5&amp;"|"&amp;RIGHT("000000"&amp;1633,6),LdgRankKeyA,0),"")</f>
        <v/>
      </c>
      <c r="O1649">
        <f>IFERROR(MATCH($C$5&amp;"|"&amp;RIGHT("000000"&amp;1633,6),LdgRankKeyB,0),"")</f>
        <v/>
      </c>
    </row>
    <row r="1650">
      <c r="A1650" s="23" t="n">
        <v>1634</v>
      </c>
      <c r="B1650" s="24">
        <f>IF(AND($N1650="",$O1650=""),"",IF($N1650&lt;&gt;"",INDEX(PCNormDate,$N1650),INDEX(LdgDateB,$O1650)))</f>
        <v/>
      </c>
      <c r="C1650" s="24">
        <f>IF($N1650&lt;&gt;"",INDEX(PCOp,$N1650),IF($O1650&lt;&gt;"",IF(N(INDEX(TxnDepB,$O1650))&gt;0,"دریافت بانکی","پرداخت بانکی"),""))</f>
        <v/>
      </c>
      <c r="D1650" s="24">
        <f>IF($N1650&lt;&gt;"",IF(INDEX(PCDoc,$N1650)="","—",INDEX(PCDoc,$N1650)),IF($O1650&lt;&gt;"",INDEX(LdgBankB,$O1650),""))</f>
        <v/>
      </c>
      <c r="E1650" s="24">
        <f>IF($N1650&lt;&gt;"",IF(INDEX(PCCitrus,$N1650)="","—",INDEX(PCCitrus,$N1650)),"")</f>
        <v/>
      </c>
      <c r="F1650" s="25">
        <f>IF($N1650&lt;&gt;"",IF(INDEX(PCScale,$N1650)=0,"",INDEX(PCScale,$N1650)),"")</f>
        <v/>
      </c>
      <c r="G1650" s="25">
        <f>IF($N1650&lt;&gt;"",IF(INDEX(PCBaskets,$N1650)=0,"",INDEX(PCBaskets,$N1650)),"")</f>
        <v/>
      </c>
      <c r="H1650" s="26">
        <f>IF($N1650&lt;&gt;"",IF(INDEX(PCNet,$N1650)=0,"",INDEX(PCNet,$N1650)),"")</f>
        <v/>
      </c>
      <c r="I1650" s="25">
        <f>IF($N1650&lt;&gt;"",IF(INDEX(PCOp,$N1650)="مرجوعی خرید","",IF(INDEX(PCAmount,$N1650)&lt;=0,"",INDEX(PCAmount,$N1650))),IF($O1650&lt;&gt;"",IF(INDEX(TxnDepB,$O1650)=0,"",INDEX(TxnDepB,$O1650)),""))</f>
        <v/>
      </c>
      <c r="J1650" s="25">
        <f>IF($N1650&lt;&gt;"",IF(INDEX(PCOp,$N1650)="مرجوعی خرید",IF(INDEX(PCAmount,$N1650)=0,"",-INDEX(PCAmount,$N1650)),""),IF($O1650&lt;&gt;"",IF(INDEX(TxnWitB,$O1650)=0,"",INDEX(TxnWitB,$O1650)),""))</f>
        <v/>
      </c>
      <c r="K1650" s="27">
        <f>IF($B1650="","",IF($K1649="",$C$10,$K1649)+IF($I1650="",0,$I1650)-IF($J1650="",0,$J1650))</f>
        <v/>
      </c>
      <c r="L1650" s="28">
        <f>IF($N1650&lt;&gt;"",IF(INDEX(PCNotes,$N1650)="","—",INDEX(PCNotes,$N1650)),IF($O1650&lt;&gt;"",IF(INDEX(LdgNoteB,$O1650)="","—",INDEX(LdgNoteB,$O1650)),""))</f>
        <v/>
      </c>
      <c r="N1650">
        <f>IFERROR(MATCH($C$5&amp;"|"&amp;RIGHT("000000"&amp;1634,6),LdgRankKeyA,0),"")</f>
        <v/>
      </c>
      <c r="O1650">
        <f>IFERROR(MATCH($C$5&amp;"|"&amp;RIGHT("000000"&amp;1634,6),LdgRankKeyB,0),"")</f>
        <v/>
      </c>
    </row>
    <row r="1651">
      <c r="A1651" s="17" t="n">
        <v>1635</v>
      </c>
      <c r="B1651" s="18">
        <f>IF(AND($N1651="",$O1651=""),"",IF($N1651&lt;&gt;"",INDEX(PCNormDate,$N1651),INDEX(LdgDateB,$O1651)))</f>
        <v/>
      </c>
      <c r="C1651" s="18">
        <f>IF($N1651&lt;&gt;"",INDEX(PCOp,$N1651),IF($O1651&lt;&gt;"",IF(N(INDEX(TxnDepB,$O1651))&gt;0,"دریافت بانکی","پرداخت بانکی"),""))</f>
        <v/>
      </c>
      <c r="D1651" s="18">
        <f>IF($N1651&lt;&gt;"",IF(INDEX(PCDoc,$N1651)="","—",INDEX(PCDoc,$N1651)),IF($O1651&lt;&gt;"",INDEX(LdgBankB,$O1651),""))</f>
        <v/>
      </c>
      <c r="E1651" s="18">
        <f>IF($N1651&lt;&gt;"",IF(INDEX(PCCitrus,$N1651)="","—",INDEX(PCCitrus,$N1651)),"")</f>
        <v/>
      </c>
      <c r="F1651" s="19">
        <f>IF($N1651&lt;&gt;"",IF(INDEX(PCScale,$N1651)=0,"",INDEX(PCScale,$N1651)),"")</f>
        <v/>
      </c>
      <c r="G1651" s="19">
        <f>IF($N1651&lt;&gt;"",IF(INDEX(PCBaskets,$N1651)=0,"",INDEX(PCBaskets,$N1651)),"")</f>
        <v/>
      </c>
      <c r="H1651" s="20">
        <f>IF($N1651&lt;&gt;"",IF(INDEX(PCNet,$N1651)=0,"",INDEX(PCNet,$N1651)),"")</f>
        <v/>
      </c>
      <c r="I1651" s="19">
        <f>IF($N1651&lt;&gt;"",IF(INDEX(PCOp,$N1651)="مرجوعی خرید","",IF(INDEX(PCAmount,$N1651)&lt;=0,"",INDEX(PCAmount,$N1651))),IF($O1651&lt;&gt;"",IF(INDEX(TxnDepB,$O1651)=0,"",INDEX(TxnDepB,$O1651)),""))</f>
        <v/>
      </c>
      <c r="J1651" s="19">
        <f>IF($N1651&lt;&gt;"",IF(INDEX(PCOp,$N1651)="مرجوعی خرید",IF(INDEX(PCAmount,$N1651)=0,"",-INDEX(PCAmount,$N1651)),""),IF($O1651&lt;&gt;"",IF(INDEX(TxnWitB,$O1651)=0,"",INDEX(TxnWitB,$O1651)),""))</f>
        <v/>
      </c>
      <c r="K1651" s="21">
        <f>IF($B1651="","",IF($K1650="",$C$10,$K1650)+IF($I1651="",0,$I1651)-IF($J1651="",0,$J1651))</f>
        <v/>
      </c>
      <c r="L1651" s="22">
        <f>IF($N1651&lt;&gt;"",IF(INDEX(PCNotes,$N1651)="","—",INDEX(PCNotes,$N1651)),IF($O1651&lt;&gt;"",IF(INDEX(LdgNoteB,$O1651)="","—",INDEX(LdgNoteB,$O1651)),""))</f>
        <v/>
      </c>
      <c r="N1651">
        <f>IFERROR(MATCH($C$5&amp;"|"&amp;RIGHT("000000"&amp;1635,6),LdgRankKeyA,0),"")</f>
        <v/>
      </c>
      <c r="O1651">
        <f>IFERROR(MATCH($C$5&amp;"|"&amp;RIGHT("000000"&amp;1635,6),LdgRankKeyB,0),"")</f>
        <v/>
      </c>
    </row>
    <row r="1652">
      <c r="A1652" s="23" t="n">
        <v>1636</v>
      </c>
      <c r="B1652" s="24">
        <f>IF(AND($N1652="",$O1652=""),"",IF($N1652&lt;&gt;"",INDEX(PCNormDate,$N1652),INDEX(LdgDateB,$O1652)))</f>
        <v/>
      </c>
      <c r="C1652" s="24">
        <f>IF($N1652&lt;&gt;"",INDEX(PCOp,$N1652),IF($O1652&lt;&gt;"",IF(N(INDEX(TxnDepB,$O1652))&gt;0,"دریافت بانکی","پرداخت بانکی"),""))</f>
        <v/>
      </c>
      <c r="D1652" s="24">
        <f>IF($N1652&lt;&gt;"",IF(INDEX(PCDoc,$N1652)="","—",INDEX(PCDoc,$N1652)),IF($O1652&lt;&gt;"",INDEX(LdgBankB,$O1652),""))</f>
        <v/>
      </c>
      <c r="E1652" s="24">
        <f>IF($N1652&lt;&gt;"",IF(INDEX(PCCitrus,$N1652)="","—",INDEX(PCCitrus,$N1652)),"")</f>
        <v/>
      </c>
      <c r="F1652" s="25">
        <f>IF($N1652&lt;&gt;"",IF(INDEX(PCScale,$N1652)=0,"",INDEX(PCScale,$N1652)),"")</f>
        <v/>
      </c>
      <c r="G1652" s="25">
        <f>IF($N1652&lt;&gt;"",IF(INDEX(PCBaskets,$N1652)=0,"",INDEX(PCBaskets,$N1652)),"")</f>
        <v/>
      </c>
      <c r="H1652" s="26">
        <f>IF($N1652&lt;&gt;"",IF(INDEX(PCNet,$N1652)=0,"",INDEX(PCNet,$N1652)),"")</f>
        <v/>
      </c>
      <c r="I1652" s="25">
        <f>IF($N1652&lt;&gt;"",IF(INDEX(PCOp,$N1652)="مرجوعی خرید","",IF(INDEX(PCAmount,$N1652)&lt;=0,"",INDEX(PCAmount,$N1652))),IF($O1652&lt;&gt;"",IF(INDEX(TxnDepB,$O1652)=0,"",INDEX(TxnDepB,$O1652)),""))</f>
        <v/>
      </c>
      <c r="J1652" s="25">
        <f>IF($N1652&lt;&gt;"",IF(INDEX(PCOp,$N1652)="مرجوعی خرید",IF(INDEX(PCAmount,$N1652)=0,"",-INDEX(PCAmount,$N1652)),""),IF($O1652&lt;&gt;"",IF(INDEX(TxnWitB,$O1652)=0,"",INDEX(TxnWitB,$O1652)),""))</f>
        <v/>
      </c>
      <c r="K1652" s="27">
        <f>IF($B1652="","",IF($K1651="",$C$10,$K1651)+IF($I1652="",0,$I1652)-IF($J1652="",0,$J1652))</f>
        <v/>
      </c>
      <c r="L1652" s="28">
        <f>IF($N1652&lt;&gt;"",IF(INDEX(PCNotes,$N1652)="","—",INDEX(PCNotes,$N1652)),IF($O1652&lt;&gt;"",IF(INDEX(LdgNoteB,$O1652)="","—",INDEX(LdgNoteB,$O1652)),""))</f>
        <v/>
      </c>
      <c r="N1652">
        <f>IFERROR(MATCH($C$5&amp;"|"&amp;RIGHT("000000"&amp;1636,6),LdgRankKeyA,0),"")</f>
        <v/>
      </c>
      <c r="O1652">
        <f>IFERROR(MATCH($C$5&amp;"|"&amp;RIGHT("000000"&amp;1636,6),LdgRankKeyB,0),"")</f>
        <v/>
      </c>
    </row>
    <row r="1653">
      <c r="A1653" s="17" t="n">
        <v>1637</v>
      </c>
      <c r="B1653" s="18">
        <f>IF(AND($N1653="",$O1653=""),"",IF($N1653&lt;&gt;"",INDEX(PCNormDate,$N1653),INDEX(LdgDateB,$O1653)))</f>
        <v/>
      </c>
      <c r="C1653" s="18">
        <f>IF($N1653&lt;&gt;"",INDEX(PCOp,$N1653),IF($O1653&lt;&gt;"",IF(N(INDEX(TxnDepB,$O1653))&gt;0,"دریافت بانکی","پرداخت بانکی"),""))</f>
        <v/>
      </c>
      <c r="D1653" s="18">
        <f>IF($N1653&lt;&gt;"",IF(INDEX(PCDoc,$N1653)="","—",INDEX(PCDoc,$N1653)),IF($O1653&lt;&gt;"",INDEX(LdgBankB,$O1653),""))</f>
        <v/>
      </c>
      <c r="E1653" s="18">
        <f>IF($N1653&lt;&gt;"",IF(INDEX(PCCitrus,$N1653)="","—",INDEX(PCCitrus,$N1653)),"")</f>
        <v/>
      </c>
      <c r="F1653" s="19">
        <f>IF($N1653&lt;&gt;"",IF(INDEX(PCScale,$N1653)=0,"",INDEX(PCScale,$N1653)),"")</f>
        <v/>
      </c>
      <c r="G1653" s="19">
        <f>IF($N1653&lt;&gt;"",IF(INDEX(PCBaskets,$N1653)=0,"",INDEX(PCBaskets,$N1653)),"")</f>
        <v/>
      </c>
      <c r="H1653" s="20">
        <f>IF($N1653&lt;&gt;"",IF(INDEX(PCNet,$N1653)=0,"",INDEX(PCNet,$N1653)),"")</f>
        <v/>
      </c>
      <c r="I1653" s="19">
        <f>IF($N1653&lt;&gt;"",IF(INDEX(PCOp,$N1653)="مرجوعی خرید","",IF(INDEX(PCAmount,$N1653)&lt;=0,"",INDEX(PCAmount,$N1653))),IF($O1653&lt;&gt;"",IF(INDEX(TxnDepB,$O1653)=0,"",INDEX(TxnDepB,$O1653)),""))</f>
        <v/>
      </c>
      <c r="J1653" s="19">
        <f>IF($N1653&lt;&gt;"",IF(INDEX(PCOp,$N1653)="مرجوعی خرید",IF(INDEX(PCAmount,$N1653)=0,"",-INDEX(PCAmount,$N1653)),""),IF($O1653&lt;&gt;"",IF(INDEX(TxnWitB,$O1653)=0,"",INDEX(TxnWitB,$O1653)),""))</f>
        <v/>
      </c>
      <c r="K1653" s="21">
        <f>IF($B1653="","",IF($K1652="",$C$10,$K1652)+IF($I1653="",0,$I1653)-IF($J1653="",0,$J1653))</f>
        <v/>
      </c>
      <c r="L1653" s="22">
        <f>IF($N1653&lt;&gt;"",IF(INDEX(PCNotes,$N1653)="","—",INDEX(PCNotes,$N1653)),IF($O1653&lt;&gt;"",IF(INDEX(LdgNoteB,$O1653)="","—",INDEX(LdgNoteB,$O1653)),""))</f>
        <v/>
      </c>
      <c r="N1653">
        <f>IFERROR(MATCH($C$5&amp;"|"&amp;RIGHT("000000"&amp;1637,6),LdgRankKeyA,0),"")</f>
        <v/>
      </c>
      <c r="O1653">
        <f>IFERROR(MATCH($C$5&amp;"|"&amp;RIGHT("000000"&amp;1637,6),LdgRankKeyB,0),"")</f>
        <v/>
      </c>
    </row>
    <row r="1654">
      <c r="A1654" s="23" t="n">
        <v>1638</v>
      </c>
      <c r="B1654" s="24">
        <f>IF(AND($N1654="",$O1654=""),"",IF($N1654&lt;&gt;"",INDEX(PCNormDate,$N1654),INDEX(LdgDateB,$O1654)))</f>
        <v/>
      </c>
      <c r="C1654" s="24">
        <f>IF($N1654&lt;&gt;"",INDEX(PCOp,$N1654),IF($O1654&lt;&gt;"",IF(N(INDEX(TxnDepB,$O1654))&gt;0,"دریافت بانکی","پرداخت بانکی"),""))</f>
        <v/>
      </c>
      <c r="D1654" s="24">
        <f>IF($N1654&lt;&gt;"",IF(INDEX(PCDoc,$N1654)="","—",INDEX(PCDoc,$N1654)),IF($O1654&lt;&gt;"",INDEX(LdgBankB,$O1654),""))</f>
        <v/>
      </c>
      <c r="E1654" s="24">
        <f>IF($N1654&lt;&gt;"",IF(INDEX(PCCitrus,$N1654)="","—",INDEX(PCCitrus,$N1654)),"")</f>
        <v/>
      </c>
      <c r="F1654" s="25">
        <f>IF($N1654&lt;&gt;"",IF(INDEX(PCScale,$N1654)=0,"",INDEX(PCScale,$N1654)),"")</f>
        <v/>
      </c>
      <c r="G1654" s="25">
        <f>IF($N1654&lt;&gt;"",IF(INDEX(PCBaskets,$N1654)=0,"",INDEX(PCBaskets,$N1654)),"")</f>
        <v/>
      </c>
      <c r="H1654" s="26">
        <f>IF($N1654&lt;&gt;"",IF(INDEX(PCNet,$N1654)=0,"",INDEX(PCNet,$N1654)),"")</f>
        <v/>
      </c>
      <c r="I1654" s="25">
        <f>IF($N1654&lt;&gt;"",IF(INDEX(PCOp,$N1654)="مرجوعی خرید","",IF(INDEX(PCAmount,$N1654)&lt;=0,"",INDEX(PCAmount,$N1654))),IF($O1654&lt;&gt;"",IF(INDEX(TxnDepB,$O1654)=0,"",INDEX(TxnDepB,$O1654)),""))</f>
        <v/>
      </c>
      <c r="J1654" s="25">
        <f>IF($N1654&lt;&gt;"",IF(INDEX(PCOp,$N1654)="مرجوعی خرید",IF(INDEX(PCAmount,$N1654)=0,"",-INDEX(PCAmount,$N1654)),""),IF($O1654&lt;&gt;"",IF(INDEX(TxnWitB,$O1654)=0,"",INDEX(TxnWitB,$O1654)),""))</f>
        <v/>
      </c>
      <c r="K1654" s="27">
        <f>IF($B1654="","",IF($K1653="",$C$10,$K1653)+IF($I1654="",0,$I1654)-IF($J1654="",0,$J1654))</f>
        <v/>
      </c>
      <c r="L1654" s="28">
        <f>IF($N1654&lt;&gt;"",IF(INDEX(PCNotes,$N1654)="","—",INDEX(PCNotes,$N1654)),IF($O1654&lt;&gt;"",IF(INDEX(LdgNoteB,$O1654)="","—",INDEX(LdgNoteB,$O1654)),""))</f>
        <v/>
      </c>
      <c r="N1654">
        <f>IFERROR(MATCH($C$5&amp;"|"&amp;RIGHT("000000"&amp;1638,6),LdgRankKeyA,0),"")</f>
        <v/>
      </c>
      <c r="O1654">
        <f>IFERROR(MATCH($C$5&amp;"|"&amp;RIGHT("000000"&amp;1638,6),LdgRankKeyB,0),"")</f>
        <v/>
      </c>
    </row>
    <row r="1655">
      <c r="A1655" s="17" t="n">
        <v>1639</v>
      </c>
      <c r="B1655" s="18">
        <f>IF(AND($N1655="",$O1655=""),"",IF($N1655&lt;&gt;"",INDEX(PCNormDate,$N1655),INDEX(LdgDateB,$O1655)))</f>
        <v/>
      </c>
      <c r="C1655" s="18">
        <f>IF($N1655&lt;&gt;"",INDEX(PCOp,$N1655),IF($O1655&lt;&gt;"",IF(N(INDEX(TxnDepB,$O1655))&gt;0,"دریافت بانکی","پرداخت بانکی"),""))</f>
        <v/>
      </c>
      <c r="D1655" s="18">
        <f>IF($N1655&lt;&gt;"",IF(INDEX(PCDoc,$N1655)="","—",INDEX(PCDoc,$N1655)),IF($O1655&lt;&gt;"",INDEX(LdgBankB,$O1655),""))</f>
        <v/>
      </c>
      <c r="E1655" s="18">
        <f>IF($N1655&lt;&gt;"",IF(INDEX(PCCitrus,$N1655)="","—",INDEX(PCCitrus,$N1655)),"")</f>
        <v/>
      </c>
      <c r="F1655" s="19">
        <f>IF($N1655&lt;&gt;"",IF(INDEX(PCScale,$N1655)=0,"",INDEX(PCScale,$N1655)),"")</f>
        <v/>
      </c>
      <c r="G1655" s="19">
        <f>IF($N1655&lt;&gt;"",IF(INDEX(PCBaskets,$N1655)=0,"",INDEX(PCBaskets,$N1655)),"")</f>
        <v/>
      </c>
      <c r="H1655" s="20">
        <f>IF($N1655&lt;&gt;"",IF(INDEX(PCNet,$N1655)=0,"",INDEX(PCNet,$N1655)),"")</f>
        <v/>
      </c>
      <c r="I1655" s="19">
        <f>IF($N1655&lt;&gt;"",IF(INDEX(PCOp,$N1655)="مرجوعی خرید","",IF(INDEX(PCAmount,$N1655)&lt;=0,"",INDEX(PCAmount,$N1655))),IF($O1655&lt;&gt;"",IF(INDEX(TxnDepB,$O1655)=0,"",INDEX(TxnDepB,$O1655)),""))</f>
        <v/>
      </c>
      <c r="J1655" s="19">
        <f>IF($N1655&lt;&gt;"",IF(INDEX(PCOp,$N1655)="مرجوعی خرید",IF(INDEX(PCAmount,$N1655)=0,"",-INDEX(PCAmount,$N1655)),""),IF($O1655&lt;&gt;"",IF(INDEX(TxnWitB,$O1655)=0,"",INDEX(TxnWitB,$O1655)),""))</f>
        <v/>
      </c>
      <c r="K1655" s="21">
        <f>IF($B1655="","",IF($K1654="",$C$10,$K1654)+IF($I1655="",0,$I1655)-IF($J1655="",0,$J1655))</f>
        <v/>
      </c>
      <c r="L1655" s="22">
        <f>IF($N1655&lt;&gt;"",IF(INDEX(PCNotes,$N1655)="","—",INDEX(PCNotes,$N1655)),IF($O1655&lt;&gt;"",IF(INDEX(LdgNoteB,$O1655)="","—",INDEX(LdgNoteB,$O1655)),""))</f>
        <v/>
      </c>
      <c r="N1655">
        <f>IFERROR(MATCH($C$5&amp;"|"&amp;RIGHT("000000"&amp;1639,6),LdgRankKeyA,0),"")</f>
        <v/>
      </c>
      <c r="O1655">
        <f>IFERROR(MATCH($C$5&amp;"|"&amp;RIGHT("000000"&amp;1639,6),LdgRankKeyB,0),"")</f>
        <v/>
      </c>
    </row>
    <row r="1656">
      <c r="A1656" s="23" t="n">
        <v>1640</v>
      </c>
      <c r="B1656" s="24">
        <f>IF(AND($N1656="",$O1656=""),"",IF($N1656&lt;&gt;"",INDEX(PCNormDate,$N1656),INDEX(LdgDateB,$O1656)))</f>
        <v/>
      </c>
      <c r="C1656" s="24">
        <f>IF($N1656&lt;&gt;"",INDEX(PCOp,$N1656),IF($O1656&lt;&gt;"",IF(N(INDEX(TxnDepB,$O1656))&gt;0,"دریافت بانکی","پرداخت بانکی"),""))</f>
        <v/>
      </c>
      <c r="D1656" s="24">
        <f>IF($N1656&lt;&gt;"",IF(INDEX(PCDoc,$N1656)="","—",INDEX(PCDoc,$N1656)),IF($O1656&lt;&gt;"",INDEX(LdgBankB,$O1656),""))</f>
        <v/>
      </c>
      <c r="E1656" s="24">
        <f>IF($N1656&lt;&gt;"",IF(INDEX(PCCitrus,$N1656)="","—",INDEX(PCCitrus,$N1656)),"")</f>
        <v/>
      </c>
      <c r="F1656" s="25">
        <f>IF($N1656&lt;&gt;"",IF(INDEX(PCScale,$N1656)=0,"",INDEX(PCScale,$N1656)),"")</f>
        <v/>
      </c>
      <c r="G1656" s="25">
        <f>IF($N1656&lt;&gt;"",IF(INDEX(PCBaskets,$N1656)=0,"",INDEX(PCBaskets,$N1656)),"")</f>
        <v/>
      </c>
      <c r="H1656" s="26">
        <f>IF($N1656&lt;&gt;"",IF(INDEX(PCNet,$N1656)=0,"",INDEX(PCNet,$N1656)),"")</f>
        <v/>
      </c>
      <c r="I1656" s="25">
        <f>IF($N1656&lt;&gt;"",IF(INDEX(PCOp,$N1656)="مرجوعی خرید","",IF(INDEX(PCAmount,$N1656)&lt;=0,"",INDEX(PCAmount,$N1656))),IF($O1656&lt;&gt;"",IF(INDEX(TxnDepB,$O1656)=0,"",INDEX(TxnDepB,$O1656)),""))</f>
        <v/>
      </c>
      <c r="J1656" s="25">
        <f>IF($N1656&lt;&gt;"",IF(INDEX(PCOp,$N1656)="مرجوعی خرید",IF(INDEX(PCAmount,$N1656)=0,"",-INDEX(PCAmount,$N1656)),""),IF($O1656&lt;&gt;"",IF(INDEX(TxnWitB,$O1656)=0,"",INDEX(TxnWitB,$O1656)),""))</f>
        <v/>
      </c>
      <c r="K1656" s="27">
        <f>IF($B1656="","",IF($K1655="",$C$10,$K1655)+IF($I1656="",0,$I1656)-IF($J1656="",0,$J1656))</f>
        <v/>
      </c>
      <c r="L1656" s="28">
        <f>IF($N1656&lt;&gt;"",IF(INDEX(PCNotes,$N1656)="","—",INDEX(PCNotes,$N1656)),IF($O1656&lt;&gt;"",IF(INDEX(LdgNoteB,$O1656)="","—",INDEX(LdgNoteB,$O1656)),""))</f>
        <v/>
      </c>
      <c r="N1656">
        <f>IFERROR(MATCH($C$5&amp;"|"&amp;RIGHT("000000"&amp;1640,6),LdgRankKeyA,0),"")</f>
        <v/>
      </c>
      <c r="O1656">
        <f>IFERROR(MATCH($C$5&amp;"|"&amp;RIGHT("000000"&amp;1640,6),LdgRankKeyB,0),"")</f>
        <v/>
      </c>
    </row>
    <row r="1657">
      <c r="A1657" s="17" t="n">
        <v>1641</v>
      </c>
      <c r="B1657" s="18">
        <f>IF(AND($N1657="",$O1657=""),"",IF($N1657&lt;&gt;"",INDEX(PCNormDate,$N1657),INDEX(LdgDateB,$O1657)))</f>
        <v/>
      </c>
      <c r="C1657" s="18">
        <f>IF($N1657&lt;&gt;"",INDEX(PCOp,$N1657),IF($O1657&lt;&gt;"",IF(N(INDEX(TxnDepB,$O1657))&gt;0,"دریافت بانکی","پرداخت بانکی"),""))</f>
        <v/>
      </c>
      <c r="D1657" s="18">
        <f>IF($N1657&lt;&gt;"",IF(INDEX(PCDoc,$N1657)="","—",INDEX(PCDoc,$N1657)),IF($O1657&lt;&gt;"",INDEX(LdgBankB,$O1657),""))</f>
        <v/>
      </c>
      <c r="E1657" s="18">
        <f>IF($N1657&lt;&gt;"",IF(INDEX(PCCitrus,$N1657)="","—",INDEX(PCCitrus,$N1657)),"")</f>
        <v/>
      </c>
      <c r="F1657" s="19">
        <f>IF($N1657&lt;&gt;"",IF(INDEX(PCScale,$N1657)=0,"",INDEX(PCScale,$N1657)),"")</f>
        <v/>
      </c>
      <c r="G1657" s="19">
        <f>IF($N1657&lt;&gt;"",IF(INDEX(PCBaskets,$N1657)=0,"",INDEX(PCBaskets,$N1657)),"")</f>
        <v/>
      </c>
      <c r="H1657" s="20">
        <f>IF($N1657&lt;&gt;"",IF(INDEX(PCNet,$N1657)=0,"",INDEX(PCNet,$N1657)),"")</f>
        <v/>
      </c>
      <c r="I1657" s="19">
        <f>IF($N1657&lt;&gt;"",IF(INDEX(PCOp,$N1657)="مرجوعی خرید","",IF(INDEX(PCAmount,$N1657)&lt;=0,"",INDEX(PCAmount,$N1657))),IF($O1657&lt;&gt;"",IF(INDEX(TxnDepB,$O1657)=0,"",INDEX(TxnDepB,$O1657)),""))</f>
        <v/>
      </c>
      <c r="J1657" s="19">
        <f>IF($N1657&lt;&gt;"",IF(INDEX(PCOp,$N1657)="مرجوعی خرید",IF(INDEX(PCAmount,$N1657)=0,"",-INDEX(PCAmount,$N1657)),""),IF($O1657&lt;&gt;"",IF(INDEX(TxnWitB,$O1657)=0,"",INDEX(TxnWitB,$O1657)),""))</f>
        <v/>
      </c>
      <c r="K1657" s="21">
        <f>IF($B1657="","",IF($K1656="",$C$10,$K1656)+IF($I1657="",0,$I1657)-IF($J1657="",0,$J1657))</f>
        <v/>
      </c>
      <c r="L1657" s="22">
        <f>IF($N1657&lt;&gt;"",IF(INDEX(PCNotes,$N1657)="","—",INDEX(PCNotes,$N1657)),IF($O1657&lt;&gt;"",IF(INDEX(LdgNoteB,$O1657)="","—",INDEX(LdgNoteB,$O1657)),""))</f>
        <v/>
      </c>
      <c r="N1657">
        <f>IFERROR(MATCH($C$5&amp;"|"&amp;RIGHT("000000"&amp;1641,6),LdgRankKeyA,0),"")</f>
        <v/>
      </c>
      <c r="O1657">
        <f>IFERROR(MATCH($C$5&amp;"|"&amp;RIGHT("000000"&amp;1641,6),LdgRankKeyB,0),"")</f>
        <v/>
      </c>
    </row>
    <row r="1658">
      <c r="A1658" s="23" t="n">
        <v>1642</v>
      </c>
      <c r="B1658" s="24">
        <f>IF(AND($N1658="",$O1658=""),"",IF($N1658&lt;&gt;"",INDEX(PCNormDate,$N1658),INDEX(LdgDateB,$O1658)))</f>
        <v/>
      </c>
      <c r="C1658" s="24">
        <f>IF($N1658&lt;&gt;"",INDEX(PCOp,$N1658),IF($O1658&lt;&gt;"",IF(N(INDEX(TxnDepB,$O1658))&gt;0,"دریافت بانکی","پرداخت بانکی"),""))</f>
        <v/>
      </c>
      <c r="D1658" s="24">
        <f>IF($N1658&lt;&gt;"",IF(INDEX(PCDoc,$N1658)="","—",INDEX(PCDoc,$N1658)),IF($O1658&lt;&gt;"",INDEX(LdgBankB,$O1658),""))</f>
        <v/>
      </c>
      <c r="E1658" s="24">
        <f>IF($N1658&lt;&gt;"",IF(INDEX(PCCitrus,$N1658)="","—",INDEX(PCCitrus,$N1658)),"")</f>
        <v/>
      </c>
      <c r="F1658" s="25">
        <f>IF($N1658&lt;&gt;"",IF(INDEX(PCScale,$N1658)=0,"",INDEX(PCScale,$N1658)),"")</f>
        <v/>
      </c>
      <c r="G1658" s="25">
        <f>IF($N1658&lt;&gt;"",IF(INDEX(PCBaskets,$N1658)=0,"",INDEX(PCBaskets,$N1658)),"")</f>
        <v/>
      </c>
      <c r="H1658" s="26">
        <f>IF($N1658&lt;&gt;"",IF(INDEX(PCNet,$N1658)=0,"",INDEX(PCNet,$N1658)),"")</f>
        <v/>
      </c>
      <c r="I1658" s="25">
        <f>IF($N1658&lt;&gt;"",IF(INDEX(PCOp,$N1658)="مرجوعی خرید","",IF(INDEX(PCAmount,$N1658)&lt;=0,"",INDEX(PCAmount,$N1658))),IF($O1658&lt;&gt;"",IF(INDEX(TxnDepB,$O1658)=0,"",INDEX(TxnDepB,$O1658)),""))</f>
        <v/>
      </c>
      <c r="J1658" s="25">
        <f>IF($N1658&lt;&gt;"",IF(INDEX(PCOp,$N1658)="مرجوعی خرید",IF(INDEX(PCAmount,$N1658)=0,"",-INDEX(PCAmount,$N1658)),""),IF($O1658&lt;&gt;"",IF(INDEX(TxnWitB,$O1658)=0,"",INDEX(TxnWitB,$O1658)),""))</f>
        <v/>
      </c>
      <c r="K1658" s="27">
        <f>IF($B1658="","",IF($K1657="",$C$10,$K1657)+IF($I1658="",0,$I1658)-IF($J1658="",0,$J1658))</f>
        <v/>
      </c>
      <c r="L1658" s="28">
        <f>IF($N1658&lt;&gt;"",IF(INDEX(PCNotes,$N1658)="","—",INDEX(PCNotes,$N1658)),IF($O1658&lt;&gt;"",IF(INDEX(LdgNoteB,$O1658)="","—",INDEX(LdgNoteB,$O1658)),""))</f>
        <v/>
      </c>
      <c r="N1658">
        <f>IFERROR(MATCH($C$5&amp;"|"&amp;RIGHT("000000"&amp;1642,6),LdgRankKeyA,0),"")</f>
        <v/>
      </c>
      <c r="O1658">
        <f>IFERROR(MATCH($C$5&amp;"|"&amp;RIGHT("000000"&amp;1642,6),LdgRankKeyB,0),"")</f>
        <v/>
      </c>
    </row>
    <row r="1659">
      <c r="A1659" s="17" t="n">
        <v>1643</v>
      </c>
      <c r="B1659" s="18">
        <f>IF(AND($N1659="",$O1659=""),"",IF($N1659&lt;&gt;"",INDEX(PCNormDate,$N1659),INDEX(LdgDateB,$O1659)))</f>
        <v/>
      </c>
      <c r="C1659" s="18">
        <f>IF($N1659&lt;&gt;"",INDEX(PCOp,$N1659),IF($O1659&lt;&gt;"",IF(N(INDEX(TxnDepB,$O1659))&gt;0,"دریافت بانکی","پرداخت بانکی"),""))</f>
        <v/>
      </c>
      <c r="D1659" s="18">
        <f>IF($N1659&lt;&gt;"",IF(INDEX(PCDoc,$N1659)="","—",INDEX(PCDoc,$N1659)),IF($O1659&lt;&gt;"",INDEX(LdgBankB,$O1659),""))</f>
        <v/>
      </c>
      <c r="E1659" s="18">
        <f>IF($N1659&lt;&gt;"",IF(INDEX(PCCitrus,$N1659)="","—",INDEX(PCCitrus,$N1659)),"")</f>
        <v/>
      </c>
      <c r="F1659" s="19">
        <f>IF($N1659&lt;&gt;"",IF(INDEX(PCScale,$N1659)=0,"",INDEX(PCScale,$N1659)),"")</f>
        <v/>
      </c>
      <c r="G1659" s="19">
        <f>IF($N1659&lt;&gt;"",IF(INDEX(PCBaskets,$N1659)=0,"",INDEX(PCBaskets,$N1659)),"")</f>
        <v/>
      </c>
      <c r="H1659" s="20">
        <f>IF($N1659&lt;&gt;"",IF(INDEX(PCNet,$N1659)=0,"",INDEX(PCNet,$N1659)),"")</f>
        <v/>
      </c>
      <c r="I1659" s="19">
        <f>IF($N1659&lt;&gt;"",IF(INDEX(PCOp,$N1659)="مرجوعی خرید","",IF(INDEX(PCAmount,$N1659)&lt;=0,"",INDEX(PCAmount,$N1659))),IF($O1659&lt;&gt;"",IF(INDEX(TxnDepB,$O1659)=0,"",INDEX(TxnDepB,$O1659)),""))</f>
        <v/>
      </c>
      <c r="J1659" s="19">
        <f>IF($N1659&lt;&gt;"",IF(INDEX(PCOp,$N1659)="مرجوعی خرید",IF(INDEX(PCAmount,$N1659)=0,"",-INDEX(PCAmount,$N1659)),""),IF($O1659&lt;&gt;"",IF(INDEX(TxnWitB,$O1659)=0,"",INDEX(TxnWitB,$O1659)),""))</f>
        <v/>
      </c>
      <c r="K1659" s="21">
        <f>IF($B1659="","",IF($K1658="",$C$10,$K1658)+IF($I1659="",0,$I1659)-IF($J1659="",0,$J1659))</f>
        <v/>
      </c>
      <c r="L1659" s="22">
        <f>IF($N1659&lt;&gt;"",IF(INDEX(PCNotes,$N1659)="","—",INDEX(PCNotes,$N1659)),IF($O1659&lt;&gt;"",IF(INDEX(LdgNoteB,$O1659)="","—",INDEX(LdgNoteB,$O1659)),""))</f>
        <v/>
      </c>
      <c r="N1659">
        <f>IFERROR(MATCH($C$5&amp;"|"&amp;RIGHT("000000"&amp;1643,6),LdgRankKeyA,0),"")</f>
        <v/>
      </c>
      <c r="O1659">
        <f>IFERROR(MATCH($C$5&amp;"|"&amp;RIGHT("000000"&amp;1643,6),LdgRankKeyB,0),"")</f>
        <v/>
      </c>
    </row>
    <row r="1660">
      <c r="A1660" s="23" t="n">
        <v>1644</v>
      </c>
      <c r="B1660" s="24">
        <f>IF(AND($N1660="",$O1660=""),"",IF($N1660&lt;&gt;"",INDEX(PCNormDate,$N1660),INDEX(LdgDateB,$O1660)))</f>
        <v/>
      </c>
      <c r="C1660" s="24">
        <f>IF($N1660&lt;&gt;"",INDEX(PCOp,$N1660),IF($O1660&lt;&gt;"",IF(N(INDEX(TxnDepB,$O1660))&gt;0,"دریافت بانکی","پرداخت بانکی"),""))</f>
        <v/>
      </c>
      <c r="D1660" s="24">
        <f>IF($N1660&lt;&gt;"",IF(INDEX(PCDoc,$N1660)="","—",INDEX(PCDoc,$N1660)),IF($O1660&lt;&gt;"",INDEX(LdgBankB,$O1660),""))</f>
        <v/>
      </c>
      <c r="E1660" s="24">
        <f>IF($N1660&lt;&gt;"",IF(INDEX(PCCitrus,$N1660)="","—",INDEX(PCCitrus,$N1660)),"")</f>
        <v/>
      </c>
      <c r="F1660" s="25">
        <f>IF($N1660&lt;&gt;"",IF(INDEX(PCScale,$N1660)=0,"",INDEX(PCScale,$N1660)),"")</f>
        <v/>
      </c>
      <c r="G1660" s="25">
        <f>IF($N1660&lt;&gt;"",IF(INDEX(PCBaskets,$N1660)=0,"",INDEX(PCBaskets,$N1660)),"")</f>
        <v/>
      </c>
      <c r="H1660" s="26">
        <f>IF($N1660&lt;&gt;"",IF(INDEX(PCNet,$N1660)=0,"",INDEX(PCNet,$N1660)),"")</f>
        <v/>
      </c>
      <c r="I1660" s="25">
        <f>IF($N1660&lt;&gt;"",IF(INDEX(PCOp,$N1660)="مرجوعی خرید","",IF(INDEX(PCAmount,$N1660)&lt;=0,"",INDEX(PCAmount,$N1660))),IF($O1660&lt;&gt;"",IF(INDEX(TxnDepB,$O1660)=0,"",INDEX(TxnDepB,$O1660)),""))</f>
        <v/>
      </c>
      <c r="J1660" s="25">
        <f>IF($N1660&lt;&gt;"",IF(INDEX(PCOp,$N1660)="مرجوعی خرید",IF(INDEX(PCAmount,$N1660)=0,"",-INDEX(PCAmount,$N1660)),""),IF($O1660&lt;&gt;"",IF(INDEX(TxnWitB,$O1660)=0,"",INDEX(TxnWitB,$O1660)),""))</f>
        <v/>
      </c>
      <c r="K1660" s="27">
        <f>IF($B1660="","",IF($K1659="",$C$10,$K1659)+IF($I1660="",0,$I1660)-IF($J1660="",0,$J1660))</f>
        <v/>
      </c>
      <c r="L1660" s="28">
        <f>IF($N1660&lt;&gt;"",IF(INDEX(PCNotes,$N1660)="","—",INDEX(PCNotes,$N1660)),IF($O1660&lt;&gt;"",IF(INDEX(LdgNoteB,$O1660)="","—",INDEX(LdgNoteB,$O1660)),""))</f>
        <v/>
      </c>
      <c r="N1660">
        <f>IFERROR(MATCH($C$5&amp;"|"&amp;RIGHT("000000"&amp;1644,6),LdgRankKeyA,0),"")</f>
        <v/>
      </c>
      <c r="O1660">
        <f>IFERROR(MATCH($C$5&amp;"|"&amp;RIGHT("000000"&amp;1644,6),LdgRankKeyB,0),"")</f>
        <v/>
      </c>
    </row>
    <row r="1661">
      <c r="A1661" s="17" t="n">
        <v>1645</v>
      </c>
      <c r="B1661" s="18">
        <f>IF(AND($N1661="",$O1661=""),"",IF($N1661&lt;&gt;"",INDEX(PCNormDate,$N1661),INDEX(LdgDateB,$O1661)))</f>
        <v/>
      </c>
      <c r="C1661" s="18">
        <f>IF($N1661&lt;&gt;"",INDEX(PCOp,$N1661),IF($O1661&lt;&gt;"",IF(N(INDEX(TxnDepB,$O1661))&gt;0,"دریافت بانکی","پرداخت بانکی"),""))</f>
        <v/>
      </c>
      <c r="D1661" s="18">
        <f>IF($N1661&lt;&gt;"",IF(INDEX(PCDoc,$N1661)="","—",INDEX(PCDoc,$N1661)),IF($O1661&lt;&gt;"",INDEX(LdgBankB,$O1661),""))</f>
        <v/>
      </c>
      <c r="E1661" s="18">
        <f>IF($N1661&lt;&gt;"",IF(INDEX(PCCitrus,$N1661)="","—",INDEX(PCCitrus,$N1661)),"")</f>
        <v/>
      </c>
      <c r="F1661" s="19">
        <f>IF($N1661&lt;&gt;"",IF(INDEX(PCScale,$N1661)=0,"",INDEX(PCScale,$N1661)),"")</f>
        <v/>
      </c>
      <c r="G1661" s="19">
        <f>IF($N1661&lt;&gt;"",IF(INDEX(PCBaskets,$N1661)=0,"",INDEX(PCBaskets,$N1661)),"")</f>
        <v/>
      </c>
      <c r="H1661" s="20">
        <f>IF($N1661&lt;&gt;"",IF(INDEX(PCNet,$N1661)=0,"",INDEX(PCNet,$N1661)),"")</f>
        <v/>
      </c>
      <c r="I1661" s="19">
        <f>IF($N1661&lt;&gt;"",IF(INDEX(PCOp,$N1661)="مرجوعی خرید","",IF(INDEX(PCAmount,$N1661)&lt;=0,"",INDEX(PCAmount,$N1661))),IF($O1661&lt;&gt;"",IF(INDEX(TxnDepB,$O1661)=0,"",INDEX(TxnDepB,$O1661)),""))</f>
        <v/>
      </c>
      <c r="J1661" s="19">
        <f>IF($N1661&lt;&gt;"",IF(INDEX(PCOp,$N1661)="مرجوعی خرید",IF(INDEX(PCAmount,$N1661)=0,"",-INDEX(PCAmount,$N1661)),""),IF($O1661&lt;&gt;"",IF(INDEX(TxnWitB,$O1661)=0,"",INDEX(TxnWitB,$O1661)),""))</f>
        <v/>
      </c>
      <c r="K1661" s="21">
        <f>IF($B1661="","",IF($K1660="",$C$10,$K1660)+IF($I1661="",0,$I1661)-IF($J1661="",0,$J1661))</f>
        <v/>
      </c>
      <c r="L1661" s="22">
        <f>IF($N1661&lt;&gt;"",IF(INDEX(PCNotes,$N1661)="","—",INDEX(PCNotes,$N1661)),IF($O1661&lt;&gt;"",IF(INDEX(LdgNoteB,$O1661)="","—",INDEX(LdgNoteB,$O1661)),""))</f>
        <v/>
      </c>
      <c r="N1661">
        <f>IFERROR(MATCH($C$5&amp;"|"&amp;RIGHT("000000"&amp;1645,6),LdgRankKeyA,0),"")</f>
        <v/>
      </c>
      <c r="O1661">
        <f>IFERROR(MATCH($C$5&amp;"|"&amp;RIGHT("000000"&amp;1645,6),LdgRankKeyB,0),"")</f>
        <v/>
      </c>
    </row>
    <row r="1662">
      <c r="A1662" s="23" t="n">
        <v>1646</v>
      </c>
      <c r="B1662" s="24">
        <f>IF(AND($N1662="",$O1662=""),"",IF($N1662&lt;&gt;"",INDEX(PCNormDate,$N1662),INDEX(LdgDateB,$O1662)))</f>
        <v/>
      </c>
      <c r="C1662" s="24">
        <f>IF($N1662&lt;&gt;"",INDEX(PCOp,$N1662),IF($O1662&lt;&gt;"",IF(N(INDEX(TxnDepB,$O1662))&gt;0,"دریافت بانکی","پرداخت بانکی"),""))</f>
        <v/>
      </c>
      <c r="D1662" s="24">
        <f>IF($N1662&lt;&gt;"",IF(INDEX(PCDoc,$N1662)="","—",INDEX(PCDoc,$N1662)),IF($O1662&lt;&gt;"",INDEX(LdgBankB,$O1662),""))</f>
        <v/>
      </c>
      <c r="E1662" s="24">
        <f>IF($N1662&lt;&gt;"",IF(INDEX(PCCitrus,$N1662)="","—",INDEX(PCCitrus,$N1662)),"")</f>
        <v/>
      </c>
      <c r="F1662" s="25">
        <f>IF($N1662&lt;&gt;"",IF(INDEX(PCScale,$N1662)=0,"",INDEX(PCScale,$N1662)),"")</f>
        <v/>
      </c>
      <c r="G1662" s="25">
        <f>IF($N1662&lt;&gt;"",IF(INDEX(PCBaskets,$N1662)=0,"",INDEX(PCBaskets,$N1662)),"")</f>
        <v/>
      </c>
      <c r="H1662" s="26">
        <f>IF($N1662&lt;&gt;"",IF(INDEX(PCNet,$N1662)=0,"",INDEX(PCNet,$N1662)),"")</f>
        <v/>
      </c>
      <c r="I1662" s="25">
        <f>IF($N1662&lt;&gt;"",IF(INDEX(PCOp,$N1662)="مرجوعی خرید","",IF(INDEX(PCAmount,$N1662)&lt;=0,"",INDEX(PCAmount,$N1662))),IF($O1662&lt;&gt;"",IF(INDEX(TxnDepB,$O1662)=0,"",INDEX(TxnDepB,$O1662)),""))</f>
        <v/>
      </c>
      <c r="J1662" s="25">
        <f>IF($N1662&lt;&gt;"",IF(INDEX(PCOp,$N1662)="مرجوعی خرید",IF(INDEX(PCAmount,$N1662)=0,"",-INDEX(PCAmount,$N1662)),""),IF($O1662&lt;&gt;"",IF(INDEX(TxnWitB,$O1662)=0,"",INDEX(TxnWitB,$O1662)),""))</f>
        <v/>
      </c>
      <c r="K1662" s="27">
        <f>IF($B1662="","",IF($K1661="",$C$10,$K1661)+IF($I1662="",0,$I1662)-IF($J1662="",0,$J1662))</f>
        <v/>
      </c>
      <c r="L1662" s="28">
        <f>IF($N1662&lt;&gt;"",IF(INDEX(PCNotes,$N1662)="","—",INDEX(PCNotes,$N1662)),IF($O1662&lt;&gt;"",IF(INDEX(LdgNoteB,$O1662)="","—",INDEX(LdgNoteB,$O1662)),""))</f>
        <v/>
      </c>
      <c r="N1662">
        <f>IFERROR(MATCH($C$5&amp;"|"&amp;RIGHT("000000"&amp;1646,6),LdgRankKeyA,0),"")</f>
        <v/>
      </c>
      <c r="O1662">
        <f>IFERROR(MATCH($C$5&amp;"|"&amp;RIGHT("000000"&amp;1646,6),LdgRankKeyB,0),"")</f>
        <v/>
      </c>
    </row>
    <row r="1663">
      <c r="A1663" s="17" t="n">
        <v>1647</v>
      </c>
      <c r="B1663" s="18">
        <f>IF(AND($N1663="",$O1663=""),"",IF($N1663&lt;&gt;"",INDEX(PCNormDate,$N1663),INDEX(LdgDateB,$O1663)))</f>
        <v/>
      </c>
      <c r="C1663" s="18">
        <f>IF($N1663&lt;&gt;"",INDEX(PCOp,$N1663),IF($O1663&lt;&gt;"",IF(N(INDEX(TxnDepB,$O1663))&gt;0,"دریافت بانکی","پرداخت بانکی"),""))</f>
        <v/>
      </c>
      <c r="D1663" s="18">
        <f>IF($N1663&lt;&gt;"",IF(INDEX(PCDoc,$N1663)="","—",INDEX(PCDoc,$N1663)),IF($O1663&lt;&gt;"",INDEX(LdgBankB,$O1663),""))</f>
        <v/>
      </c>
      <c r="E1663" s="18">
        <f>IF($N1663&lt;&gt;"",IF(INDEX(PCCitrus,$N1663)="","—",INDEX(PCCitrus,$N1663)),"")</f>
        <v/>
      </c>
      <c r="F1663" s="19">
        <f>IF($N1663&lt;&gt;"",IF(INDEX(PCScale,$N1663)=0,"",INDEX(PCScale,$N1663)),"")</f>
        <v/>
      </c>
      <c r="G1663" s="19">
        <f>IF($N1663&lt;&gt;"",IF(INDEX(PCBaskets,$N1663)=0,"",INDEX(PCBaskets,$N1663)),"")</f>
        <v/>
      </c>
      <c r="H1663" s="20">
        <f>IF($N1663&lt;&gt;"",IF(INDEX(PCNet,$N1663)=0,"",INDEX(PCNet,$N1663)),"")</f>
        <v/>
      </c>
      <c r="I1663" s="19">
        <f>IF($N1663&lt;&gt;"",IF(INDEX(PCOp,$N1663)="مرجوعی خرید","",IF(INDEX(PCAmount,$N1663)&lt;=0,"",INDEX(PCAmount,$N1663))),IF($O1663&lt;&gt;"",IF(INDEX(TxnDepB,$O1663)=0,"",INDEX(TxnDepB,$O1663)),""))</f>
        <v/>
      </c>
      <c r="J1663" s="19">
        <f>IF($N1663&lt;&gt;"",IF(INDEX(PCOp,$N1663)="مرجوعی خرید",IF(INDEX(PCAmount,$N1663)=0,"",-INDEX(PCAmount,$N1663)),""),IF($O1663&lt;&gt;"",IF(INDEX(TxnWitB,$O1663)=0,"",INDEX(TxnWitB,$O1663)),""))</f>
        <v/>
      </c>
      <c r="K1663" s="21">
        <f>IF($B1663="","",IF($K1662="",$C$10,$K1662)+IF($I1663="",0,$I1663)-IF($J1663="",0,$J1663))</f>
        <v/>
      </c>
      <c r="L1663" s="22">
        <f>IF($N1663&lt;&gt;"",IF(INDEX(PCNotes,$N1663)="","—",INDEX(PCNotes,$N1663)),IF($O1663&lt;&gt;"",IF(INDEX(LdgNoteB,$O1663)="","—",INDEX(LdgNoteB,$O1663)),""))</f>
        <v/>
      </c>
      <c r="N1663">
        <f>IFERROR(MATCH($C$5&amp;"|"&amp;RIGHT("000000"&amp;1647,6),LdgRankKeyA,0),"")</f>
        <v/>
      </c>
      <c r="O1663">
        <f>IFERROR(MATCH($C$5&amp;"|"&amp;RIGHT("000000"&amp;1647,6),LdgRankKeyB,0),"")</f>
        <v/>
      </c>
    </row>
    <row r="1664">
      <c r="A1664" s="23" t="n">
        <v>1648</v>
      </c>
      <c r="B1664" s="24">
        <f>IF(AND($N1664="",$O1664=""),"",IF($N1664&lt;&gt;"",INDEX(PCNormDate,$N1664),INDEX(LdgDateB,$O1664)))</f>
        <v/>
      </c>
      <c r="C1664" s="24">
        <f>IF($N1664&lt;&gt;"",INDEX(PCOp,$N1664),IF($O1664&lt;&gt;"",IF(N(INDEX(TxnDepB,$O1664))&gt;0,"دریافت بانکی","پرداخت بانکی"),""))</f>
        <v/>
      </c>
      <c r="D1664" s="24">
        <f>IF($N1664&lt;&gt;"",IF(INDEX(PCDoc,$N1664)="","—",INDEX(PCDoc,$N1664)),IF($O1664&lt;&gt;"",INDEX(LdgBankB,$O1664),""))</f>
        <v/>
      </c>
      <c r="E1664" s="24">
        <f>IF($N1664&lt;&gt;"",IF(INDEX(PCCitrus,$N1664)="","—",INDEX(PCCitrus,$N1664)),"")</f>
        <v/>
      </c>
      <c r="F1664" s="25">
        <f>IF($N1664&lt;&gt;"",IF(INDEX(PCScale,$N1664)=0,"",INDEX(PCScale,$N1664)),"")</f>
        <v/>
      </c>
      <c r="G1664" s="25">
        <f>IF($N1664&lt;&gt;"",IF(INDEX(PCBaskets,$N1664)=0,"",INDEX(PCBaskets,$N1664)),"")</f>
        <v/>
      </c>
      <c r="H1664" s="26">
        <f>IF($N1664&lt;&gt;"",IF(INDEX(PCNet,$N1664)=0,"",INDEX(PCNet,$N1664)),"")</f>
        <v/>
      </c>
      <c r="I1664" s="25">
        <f>IF($N1664&lt;&gt;"",IF(INDEX(PCOp,$N1664)="مرجوعی خرید","",IF(INDEX(PCAmount,$N1664)&lt;=0,"",INDEX(PCAmount,$N1664))),IF($O1664&lt;&gt;"",IF(INDEX(TxnDepB,$O1664)=0,"",INDEX(TxnDepB,$O1664)),""))</f>
        <v/>
      </c>
      <c r="J1664" s="25">
        <f>IF($N1664&lt;&gt;"",IF(INDEX(PCOp,$N1664)="مرجوعی خرید",IF(INDEX(PCAmount,$N1664)=0,"",-INDEX(PCAmount,$N1664)),""),IF($O1664&lt;&gt;"",IF(INDEX(TxnWitB,$O1664)=0,"",INDEX(TxnWitB,$O1664)),""))</f>
        <v/>
      </c>
      <c r="K1664" s="27">
        <f>IF($B1664="","",IF($K1663="",$C$10,$K1663)+IF($I1664="",0,$I1664)-IF($J1664="",0,$J1664))</f>
        <v/>
      </c>
      <c r="L1664" s="28">
        <f>IF($N1664&lt;&gt;"",IF(INDEX(PCNotes,$N1664)="","—",INDEX(PCNotes,$N1664)),IF($O1664&lt;&gt;"",IF(INDEX(LdgNoteB,$O1664)="","—",INDEX(LdgNoteB,$O1664)),""))</f>
        <v/>
      </c>
      <c r="N1664">
        <f>IFERROR(MATCH($C$5&amp;"|"&amp;RIGHT("000000"&amp;1648,6),LdgRankKeyA,0),"")</f>
        <v/>
      </c>
      <c r="O1664">
        <f>IFERROR(MATCH($C$5&amp;"|"&amp;RIGHT("000000"&amp;1648,6),LdgRankKeyB,0),"")</f>
        <v/>
      </c>
    </row>
    <row r="1665">
      <c r="A1665" s="17" t="n">
        <v>1649</v>
      </c>
      <c r="B1665" s="18">
        <f>IF(AND($N1665="",$O1665=""),"",IF($N1665&lt;&gt;"",INDEX(PCNormDate,$N1665),INDEX(LdgDateB,$O1665)))</f>
        <v/>
      </c>
      <c r="C1665" s="18">
        <f>IF($N1665&lt;&gt;"",INDEX(PCOp,$N1665),IF($O1665&lt;&gt;"",IF(N(INDEX(TxnDepB,$O1665))&gt;0,"دریافت بانکی","پرداخت بانکی"),""))</f>
        <v/>
      </c>
      <c r="D1665" s="18">
        <f>IF($N1665&lt;&gt;"",IF(INDEX(PCDoc,$N1665)="","—",INDEX(PCDoc,$N1665)),IF($O1665&lt;&gt;"",INDEX(LdgBankB,$O1665),""))</f>
        <v/>
      </c>
      <c r="E1665" s="18">
        <f>IF($N1665&lt;&gt;"",IF(INDEX(PCCitrus,$N1665)="","—",INDEX(PCCitrus,$N1665)),"")</f>
        <v/>
      </c>
      <c r="F1665" s="19">
        <f>IF($N1665&lt;&gt;"",IF(INDEX(PCScale,$N1665)=0,"",INDEX(PCScale,$N1665)),"")</f>
        <v/>
      </c>
      <c r="G1665" s="19">
        <f>IF($N1665&lt;&gt;"",IF(INDEX(PCBaskets,$N1665)=0,"",INDEX(PCBaskets,$N1665)),"")</f>
        <v/>
      </c>
      <c r="H1665" s="20">
        <f>IF($N1665&lt;&gt;"",IF(INDEX(PCNet,$N1665)=0,"",INDEX(PCNet,$N1665)),"")</f>
        <v/>
      </c>
      <c r="I1665" s="19">
        <f>IF($N1665&lt;&gt;"",IF(INDEX(PCOp,$N1665)="مرجوعی خرید","",IF(INDEX(PCAmount,$N1665)&lt;=0,"",INDEX(PCAmount,$N1665))),IF($O1665&lt;&gt;"",IF(INDEX(TxnDepB,$O1665)=0,"",INDEX(TxnDepB,$O1665)),""))</f>
        <v/>
      </c>
      <c r="J1665" s="19">
        <f>IF($N1665&lt;&gt;"",IF(INDEX(PCOp,$N1665)="مرجوعی خرید",IF(INDEX(PCAmount,$N1665)=0,"",-INDEX(PCAmount,$N1665)),""),IF($O1665&lt;&gt;"",IF(INDEX(TxnWitB,$O1665)=0,"",INDEX(TxnWitB,$O1665)),""))</f>
        <v/>
      </c>
      <c r="K1665" s="21">
        <f>IF($B1665="","",IF($K1664="",$C$10,$K1664)+IF($I1665="",0,$I1665)-IF($J1665="",0,$J1665))</f>
        <v/>
      </c>
      <c r="L1665" s="22">
        <f>IF($N1665&lt;&gt;"",IF(INDEX(PCNotes,$N1665)="","—",INDEX(PCNotes,$N1665)),IF($O1665&lt;&gt;"",IF(INDEX(LdgNoteB,$O1665)="","—",INDEX(LdgNoteB,$O1665)),""))</f>
        <v/>
      </c>
      <c r="N1665">
        <f>IFERROR(MATCH($C$5&amp;"|"&amp;RIGHT("000000"&amp;1649,6),LdgRankKeyA,0),"")</f>
        <v/>
      </c>
      <c r="O1665">
        <f>IFERROR(MATCH($C$5&amp;"|"&amp;RIGHT("000000"&amp;1649,6),LdgRankKeyB,0),"")</f>
        <v/>
      </c>
    </row>
    <row r="1666">
      <c r="A1666" s="23" t="n">
        <v>1650</v>
      </c>
      <c r="B1666" s="24">
        <f>IF(AND($N1666="",$O1666=""),"",IF($N1666&lt;&gt;"",INDEX(PCNormDate,$N1666),INDEX(LdgDateB,$O1666)))</f>
        <v/>
      </c>
      <c r="C1666" s="24">
        <f>IF($N1666&lt;&gt;"",INDEX(PCOp,$N1666),IF($O1666&lt;&gt;"",IF(N(INDEX(TxnDepB,$O1666))&gt;0,"دریافت بانکی","پرداخت بانکی"),""))</f>
        <v/>
      </c>
      <c r="D1666" s="24">
        <f>IF($N1666&lt;&gt;"",IF(INDEX(PCDoc,$N1666)="","—",INDEX(PCDoc,$N1666)),IF($O1666&lt;&gt;"",INDEX(LdgBankB,$O1666),""))</f>
        <v/>
      </c>
      <c r="E1666" s="24">
        <f>IF($N1666&lt;&gt;"",IF(INDEX(PCCitrus,$N1666)="","—",INDEX(PCCitrus,$N1666)),"")</f>
        <v/>
      </c>
      <c r="F1666" s="25">
        <f>IF($N1666&lt;&gt;"",IF(INDEX(PCScale,$N1666)=0,"",INDEX(PCScale,$N1666)),"")</f>
        <v/>
      </c>
      <c r="G1666" s="25">
        <f>IF($N1666&lt;&gt;"",IF(INDEX(PCBaskets,$N1666)=0,"",INDEX(PCBaskets,$N1666)),"")</f>
        <v/>
      </c>
      <c r="H1666" s="26">
        <f>IF($N1666&lt;&gt;"",IF(INDEX(PCNet,$N1666)=0,"",INDEX(PCNet,$N1666)),"")</f>
        <v/>
      </c>
      <c r="I1666" s="25">
        <f>IF($N1666&lt;&gt;"",IF(INDEX(PCOp,$N1666)="مرجوعی خرید","",IF(INDEX(PCAmount,$N1666)&lt;=0,"",INDEX(PCAmount,$N1666))),IF($O1666&lt;&gt;"",IF(INDEX(TxnDepB,$O1666)=0,"",INDEX(TxnDepB,$O1666)),""))</f>
        <v/>
      </c>
      <c r="J1666" s="25">
        <f>IF($N1666&lt;&gt;"",IF(INDEX(PCOp,$N1666)="مرجوعی خرید",IF(INDEX(PCAmount,$N1666)=0,"",-INDEX(PCAmount,$N1666)),""),IF($O1666&lt;&gt;"",IF(INDEX(TxnWitB,$O1666)=0,"",INDEX(TxnWitB,$O1666)),""))</f>
        <v/>
      </c>
      <c r="K1666" s="27">
        <f>IF($B1666="","",IF($K1665="",$C$10,$K1665)+IF($I1666="",0,$I1666)-IF($J1666="",0,$J1666))</f>
        <v/>
      </c>
      <c r="L1666" s="28">
        <f>IF($N1666&lt;&gt;"",IF(INDEX(PCNotes,$N1666)="","—",INDEX(PCNotes,$N1666)),IF($O1666&lt;&gt;"",IF(INDEX(LdgNoteB,$O1666)="","—",INDEX(LdgNoteB,$O1666)),""))</f>
        <v/>
      </c>
      <c r="N1666">
        <f>IFERROR(MATCH($C$5&amp;"|"&amp;RIGHT("000000"&amp;1650,6),LdgRankKeyA,0),"")</f>
        <v/>
      </c>
      <c r="O1666">
        <f>IFERROR(MATCH($C$5&amp;"|"&amp;RIGHT("000000"&amp;1650,6),LdgRankKeyB,0),"")</f>
        <v/>
      </c>
    </row>
    <row r="1667">
      <c r="A1667" s="17" t="n">
        <v>1651</v>
      </c>
      <c r="B1667" s="18">
        <f>IF(AND($N1667="",$O1667=""),"",IF($N1667&lt;&gt;"",INDEX(PCNormDate,$N1667),INDEX(LdgDateB,$O1667)))</f>
        <v/>
      </c>
      <c r="C1667" s="18">
        <f>IF($N1667&lt;&gt;"",INDEX(PCOp,$N1667),IF($O1667&lt;&gt;"",IF(N(INDEX(TxnDepB,$O1667))&gt;0,"دریافت بانکی","پرداخت بانکی"),""))</f>
        <v/>
      </c>
      <c r="D1667" s="18">
        <f>IF($N1667&lt;&gt;"",IF(INDEX(PCDoc,$N1667)="","—",INDEX(PCDoc,$N1667)),IF($O1667&lt;&gt;"",INDEX(LdgBankB,$O1667),""))</f>
        <v/>
      </c>
      <c r="E1667" s="18">
        <f>IF($N1667&lt;&gt;"",IF(INDEX(PCCitrus,$N1667)="","—",INDEX(PCCitrus,$N1667)),"")</f>
        <v/>
      </c>
      <c r="F1667" s="19">
        <f>IF($N1667&lt;&gt;"",IF(INDEX(PCScale,$N1667)=0,"",INDEX(PCScale,$N1667)),"")</f>
        <v/>
      </c>
      <c r="G1667" s="19">
        <f>IF($N1667&lt;&gt;"",IF(INDEX(PCBaskets,$N1667)=0,"",INDEX(PCBaskets,$N1667)),"")</f>
        <v/>
      </c>
      <c r="H1667" s="20">
        <f>IF($N1667&lt;&gt;"",IF(INDEX(PCNet,$N1667)=0,"",INDEX(PCNet,$N1667)),"")</f>
        <v/>
      </c>
      <c r="I1667" s="19">
        <f>IF($N1667&lt;&gt;"",IF(INDEX(PCOp,$N1667)="مرجوعی خرید","",IF(INDEX(PCAmount,$N1667)&lt;=0,"",INDEX(PCAmount,$N1667))),IF($O1667&lt;&gt;"",IF(INDEX(TxnDepB,$O1667)=0,"",INDEX(TxnDepB,$O1667)),""))</f>
        <v/>
      </c>
      <c r="J1667" s="19">
        <f>IF($N1667&lt;&gt;"",IF(INDEX(PCOp,$N1667)="مرجوعی خرید",IF(INDEX(PCAmount,$N1667)=0,"",-INDEX(PCAmount,$N1667)),""),IF($O1667&lt;&gt;"",IF(INDEX(TxnWitB,$O1667)=0,"",INDEX(TxnWitB,$O1667)),""))</f>
        <v/>
      </c>
      <c r="K1667" s="21">
        <f>IF($B1667="","",IF($K1666="",$C$10,$K1666)+IF($I1667="",0,$I1667)-IF($J1667="",0,$J1667))</f>
        <v/>
      </c>
      <c r="L1667" s="22">
        <f>IF($N1667&lt;&gt;"",IF(INDEX(PCNotes,$N1667)="","—",INDEX(PCNotes,$N1667)),IF($O1667&lt;&gt;"",IF(INDEX(LdgNoteB,$O1667)="","—",INDEX(LdgNoteB,$O1667)),""))</f>
        <v/>
      </c>
      <c r="N1667">
        <f>IFERROR(MATCH($C$5&amp;"|"&amp;RIGHT("000000"&amp;1651,6),LdgRankKeyA,0),"")</f>
        <v/>
      </c>
      <c r="O1667">
        <f>IFERROR(MATCH($C$5&amp;"|"&amp;RIGHT("000000"&amp;1651,6),LdgRankKeyB,0),"")</f>
        <v/>
      </c>
    </row>
    <row r="1668">
      <c r="A1668" s="23" t="n">
        <v>1652</v>
      </c>
      <c r="B1668" s="24">
        <f>IF(AND($N1668="",$O1668=""),"",IF($N1668&lt;&gt;"",INDEX(PCNormDate,$N1668),INDEX(LdgDateB,$O1668)))</f>
        <v/>
      </c>
      <c r="C1668" s="24">
        <f>IF($N1668&lt;&gt;"",INDEX(PCOp,$N1668),IF($O1668&lt;&gt;"",IF(N(INDEX(TxnDepB,$O1668))&gt;0,"دریافت بانکی","پرداخت بانکی"),""))</f>
        <v/>
      </c>
      <c r="D1668" s="24">
        <f>IF($N1668&lt;&gt;"",IF(INDEX(PCDoc,$N1668)="","—",INDEX(PCDoc,$N1668)),IF($O1668&lt;&gt;"",INDEX(LdgBankB,$O1668),""))</f>
        <v/>
      </c>
      <c r="E1668" s="24">
        <f>IF($N1668&lt;&gt;"",IF(INDEX(PCCitrus,$N1668)="","—",INDEX(PCCitrus,$N1668)),"")</f>
        <v/>
      </c>
      <c r="F1668" s="25">
        <f>IF($N1668&lt;&gt;"",IF(INDEX(PCScale,$N1668)=0,"",INDEX(PCScale,$N1668)),"")</f>
        <v/>
      </c>
      <c r="G1668" s="25">
        <f>IF($N1668&lt;&gt;"",IF(INDEX(PCBaskets,$N1668)=0,"",INDEX(PCBaskets,$N1668)),"")</f>
        <v/>
      </c>
      <c r="H1668" s="26">
        <f>IF($N1668&lt;&gt;"",IF(INDEX(PCNet,$N1668)=0,"",INDEX(PCNet,$N1668)),"")</f>
        <v/>
      </c>
      <c r="I1668" s="25">
        <f>IF($N1668&lt;&gt;"",IF(INDEX(PCOp,$N1668)="مرجوعی خرید","",IF(INDEX(PCAmount,$N1668)&lt;=0,"",INDEX(PCAmount,$N1668))),IF($O1668&lt;&gt;"",IF(INDEX(TxnDepB,$O1668)=0,"",INDEX(TxnDepB,$O1668)),""))</f>
        <v/>
      </c>
      <c r="J1668" s="25">
        <f>IF($N1668&lt;&gt;"",IF(INDEX(PCOp,$N1668)="مرجوعی خرید",IF(INDEX(PCAmount,$N1668)=0,"",-INDEX(PCAmount,$N1668)),""),IF($O1668&lt;&gt;"",IF(INDEX(TxnWitB,$O1668)=0,"",INDEX(TxnWitB,$O1668)),""))</f>
        <v/>
      </c>
      <c r="K1668" s="27">
        <f>IF($B1668="","",IF($K1667="",$C$10,$K1667)+IF($I1668="",0,$I1668)-IF($J1668="",0,$J1668))</f>
        <v/>
      </c>
      <c r="L1668" s="28">
        <f>IF($N1668&lt;&gt;"",IF(INDEX(PCNotes,$N1668)="","—",INDEX(PCNotes,$N1668)),IF($O1668&lt;&gt;"",IF(INDEX(LdgNoteB,$O1668)="","—",INDEX(LdgNoteB,$O1668)),""))</f>
        <v/>
      </c>
      <c r="N1668">
        <f>IFERROR(MATCH($C$5&amp;"|"&amp;RIGHT("000000"&amp;1652,6),LdgRankKeyA,0),"")</f>
        <v/>
      </c>
      <c r="O1668">
        <f>IFERROR(MATCH($C$5&amp;"|"&amp;RIGHT("000000"&amp;1652,6),LdgRankKeyB,0),"")</f>
        <v/>
      </c>
    </row>
    <row r="1669">
      <c r="A1669" s="17" t="n">
        <v>1653</v>
      </c>
      <c r="B1669" s="18">
        <f>IF(AND($N1669="",$O1669=""),"",IF($N1669&lt;&gt;"",INDEX(PCNormDate,$N1669),INDEX(LdgDateB,$O1669)))</f>
        <v/>
      </c>
      <c r="C1669" s="18">
        <f>IF($N1669&lt;&gt;"",INDEX(PCOp,$N1669),IF($O1669&lt;&gt;"",IF(N(INDEX(TxnDepB,$O1669))&gt;0,"دریافت بانکی","پرداخت بانکی"),""))</f>
        <v/>
      </c>
      <c r="D1669" s="18">
        <f>IF($N1669&lt;&gt;"",IF(INDEX(PCDoc,$N1669)="","—",INDEX(PCDoc,$N1669)),IF($O1669&lt;&gt;"",INDEX(LdgBankB,$O1669),""))</f>
        <v/>
      </c>
      <c r="E1669" s="18">
        <f>IF($N1669&lt;&gt;"",IF(INDEX(PCCitrus,$N1669)="","—",INDEX(PCCitrus,$N1669)),"")</f>
        <v/>
      </c>
      <c r="F1669" s="19">
        <f>IF($N1669&lt;&gt;"",IF(INDEX(PCScale,$N1669)=0,"",INDEX(PCScale,$N1669)),"")</f>
        <v/>
      </c>
      <c r="G1669" s="19">
        <f>IF($N1669&lt;&gt;"",IF(INDEX(PCBaskets,$N1669)=0,"",INDEX(PCBaskets,$N1669)),"")</f>
        <v/>
      </c>
      <c r="H1669" s="20">
        <f>IF($N1669&lt;&gt;"",IF(INDEX(PCNet,$N1669)=0,"",INDEX(PCNet,$N1669)),"")</f>
        <v/>
      </c>
      <c r="I1669" s="19">
        <f>IF($N1669&lt;&gt;"",IF(INDEX(PCOp,$N1669)="مرجوعی خرید","",IF(INDEX(PCAmount,$N1669)&lt;=0,"",INDEX(PCAmount,$N1669))),IF($O1669&lt;&gt;"",IF(INDEX(TxnDepB,$O1669)=0,"",INDEX(TxnDepB,$O1669)),""))</f>
        <v/>
      </c>
      <c r="J1669" s="19">
        <f>IF($N1669&lt;&gt;"",IF(INDEX(PCOp,$N1669)="مرجوعی خرید",IF(INDEX(PCAmount,$N1669)=0,"",-INDEX(PCAmount,$N1669)),""),IF($O1669&lt;&gt;"",IF(INDEX(TxnWitB,$O1669)=0,"",INDEX(TxnWitB,$O1669)),""))</f>
        <v/>
      </c>
      <c r="K1669" s="21">
        <f>IF($B1669="","",IF($K1668="",$C$10,$K1668)+IF($I1669="",0,$I1669)-IF($J1669="",0,$J1669))</f>
        <v/>
      </c>
      <c r="L1669" s="22">
        <f>IF($N1669&lt;&gt;"",IF(INDEX(PCNotes,$N1669)="","—",INDEX(PCNotes,$N1669)),IF($O1669&lt;&gt;"",IF(INDEX(LdgNoteB,$O1669)="","—",INDEX(LdgNoteB,$O1669)),""))</f>
        <v/>
      </c>
      <c r="N1669">
        <f>IFERROR(MATCH($C$5&amp;"|"&amp;RIGHT("000000"&amp;1653,6),LdgRankKeyA,0),"")</f>
        <v/>
      </c>
      <c r="O1669">
        <f>IFERROR(MATCH($C$5&amp;"|"&amp;RIGHT("000000"&amp;1653,6),LdgRankKeyB,0),"")</f>
        <v/>
      </c>
    </row>
    <row r="1670">
      <c r="A1670" s="23" t="n">
        <v>1654</v>
      </c>
      <c r="B1670" s="24">
        <f>IF(AND($N1670="",$O1670=""),"",IF($N1670&lt;&gt;"",INDEX(PCNormDate,$N1670),INDEX(LdgDateB,$O1670)))</f>
        <v/>
      </c>
      <c r="C1670" s="24">
        <f>IF($N1670&lt;&gt;"",INDEX(PCOp,$N1670),IF($O1670&lt;&gt;"",IF(N(INDEX(TxnDepB,$O1670))&gt;0,"دریافت بانکی","پرداخت بانکی"),""))</f>
        <v/>
      </c>
      <c r="D1670" s="24">
        <f>IF($N1670&lt;&gt;"",IF(INDEX(PCDoc,$N1670)="","—",INDEX(PCDoc,$N1670)),IF($O1670&lt;&gt;"",INDEX(LdgBankB,$O1670),""))</f>
        <v/>
      </c>
      <c r="E1670" s="24">
        <f>IF($N1670&lt;&gt;"",IF(INDEX(PCCitrus,$N1670)="","—",INDEX(PCCitrus,$N1670)),"")</f>
        <v/>
      </c>
      <c r="F1670" s="25">
        <f>IF($N1670&lt;&gt;"",IF(INDEX(PCScale,$N1670)=0,"",INDEX(PCScale,$N1670)),"")</f>
        <v/>
      </c>
      <c r="G1670" s="25">
        <f>IF($N1670&lt;&gt;"",IF(INDEX(PCBaskets,$N1670)=0,"",INDEX(PCBaskets,$N1670)),"")</f>
        <v/>
      </c>
      <c r="H1670" s="26">
        <f>IF($N1670&lt;&gt;"",IF(INDEX(PCNet,$N1670)=0,"",INDEX(PCNet,$N1670)),"")</f>
        <v/>
      </c>
      <c r="I1670" s="25">
        <f>IF($N1670&lt;&gt;"",IF(INDEX(PCOp,$N1670)="مرجوعی خرید","",IF(INDEX(PCAmount,$N1670)&lt;=0,"",INDEX(PCAmount,$N1670))),IF($O1670&lt;&gt;"",IF(INDEX(TxnDepB,$O1670)=0,"",INDEX(TxnDepB,$O1670)),""))</f>
        <v/>
      </c>
      <c r="J1670" s="25">
        <f>IF($N1670&lt;&gt;"",IF(INDEX(PCOp,$N1670)="مرجوعی خرید",IF(INDEX(PCAmount,$N1670)=0,"",-INDEX(PCAmount,$N1670)),""),IF($O1670&lt;&gt;"",IF(INDEX(TxnWitB,$O1670)=0,"",INDEX(TxnWitB,$O1670)),""))</f>
        <v/>
      </c>
      <c r="K1670" s="27">
        <f>IF($B1670="","",IF($K1669="",$C$10,$K1669)+IF($I1670="",0,$I1670)-IF($J1670="",0,$J1670))</f>
        <v/>
      </c>
      <c r="L1670" s="28">
        <f>IF($N1670&lt;&gt;"",IF(INDEX(PCNotes,$N1670)="","—",INDEX(PCNotes,$N1670)),IF($O1670&lt;&gt;"",IF(INDEX(LdgNoteB,$O1670)="","—",INDEX(LdgNoteB,$O1670)),""))</f>
        <v/>
      </c>
      <c r="N1670">
        <f>IFERROR(MATCH($C$5&amp;"|"&amp;RIGHT("000000"&amp;1654,6),LdgRankKeyA,0),"")</f>
        <v/>
      </c>
      <c r="O1670">
        <f>IFERROR(MATCH($C$5&amp;"|"&amp;RIGHT("000000"&amp;1654,6),LdgRankKeyB,0),"")</f>
        <v/>
      </c>
    </row>
    <row r="1671">
      <c r="A1671" s="17" t="n">
        <v>1655</v>
      </c>
      <c r="B1671" s="18">
        <f>IF(AND($N1671="",$O1671=""),"",IF($N1671&lt;&gt;"",INDEX(PCNormDate,$N1671),INDEX(LdgDateB,$O1671)))</f>
        <v/>
      </c>
      <c r="C1671" s="18">
        <f>IF($N1671&lt;&gt;"",INDEX(PCOp,$N1671),IF($O1671&lt;&gt;"",IF(N(INDEX(TxnDepB,$O1671))&gt;0,"دریافت بانکی","پرداخت بانکی"),""))</f>
        <v/>
      </c>
      <c r="D1671" s="18">
        <f>IF($N1671&lt;&gt;"",IF(INDEX(PCDoc,$N1671)="","—",INDEX(PCDoc,$N1671)),IF($O1671&lt;&gt;"",INDEX(LdgBankB,$O1671),""))</f>
        <v/>
      </c>
      <c r="E1671" s="18">
        <f>IF($N1671&lt;&gt;"",IF(INDEX(PCCitrus,$N1671)="","—",INDEX(PCCitrus,$N1671)),"")</f>
        <v/>
      </c>
      <c r="F1671" s="19">
        <f>IF($N1671&lt;&gt;"",IF(INDEX(PCScale,$N1671)=0,"",INDEX(PCScale,$N1671)),"")</f>
        <v/>
      </c>
      <c r="G1671" s="19">
        <f>IF($N1671&lt;&gt;"",IF(INDEX(PCBaskets,$N1671)=0,"",INDEX(PCBaskets,$N1671)),"")</f>
        <v/>
      </c>
      <c r="H1671" s="20">
        <f>IF($N1671&lt;&gt;"",IF(INDEX(PCNet,$N1671)=0,"",INDEX(PCNet,$N1671)),"")</f>
        <v/>
      </c>
      <c r="I1671" s="19">
        <f>IF($N1671&lt;&gt;"",IF(INDEX(PCOp,$N1671)="مرجوعی خرید","",IF(INDEX(PCAmount,$N1671)&lt;=0,"",INDEX(PCAmount,$N1671))),IF($O1671&lt;&gt;"",IF(INDEX(TxnDepB,$O1671)=0,"",INDEX(TxnDepB,$O1671)),""))</f>
        <v/>
      </c>
      <c r="J1671" s="19">
        <f>IF($N1671&lt;&gt;"",IF(INDEX(PCOp,$N1671)="مرجوعی خرید",IF(INDEX(PCAmount,$N1671)=0,"",-INDEX(PCAmount,$N1671)),""),IF($O1671&lt;&gt;"",IF(INDEX(TxnWitB,$O1671)=0,"",INDEX(TxnWitB,$O1671)),""))</f>
        <v/>
      </c>
      <c r="K1671" s="21">
        <f>IF($B1671="","",IF($K1670="",$C$10,$K1670)+IF($I1671="",0,$I1671)-IF($J1671="",0,$J1671))</f>
        <v/>
      </c>
      <c r="L1671" s="22">
        <f>IF($N1671&lt;&gt;"",IF(INDEX(PCNotes,$N1671)="","—",INDEX(PCNotes,$N1671)),IF($O1671&lt;&gt;"",IF(INDEX(LdgNoteB,$O1671)="","—",INDEX(LdgNoteB,$O1671)),""))</f>
        <v/>
      </c>
      <c r="N1671">
        <f>IFERROR(MATCH($C$5&amp;"|"&amp;RIGHT("000000"&amp;1655,6),LdgRankKeyA,0),"")</f>
        <v/>
      </c>
      <c r="O1671">
        <f>IFERROR(MATCH($C$5&amp;"|"&amp;RIGHT("000000"&amp;1655,6),LdgRankKeyB,0),"")</f>
        <v/>
      </c>
    </row>
    <row r="1672">
      <c r="A1672" s="23" t="n">
        <v>1656</v>
      </c>
      <c r="B1672" s="24">
        <f>IF(AND($N1672="",$O1672=""),"",IF($N1672&lt;&gt;"",INDEX(PCNormDate,$N1672),INDEX(LdgDateB,$O1672)))</f>
        <v/>
      </c>
      <c r="C1672" s="24">
        <f>IF($N1672&lt;&gt;"",INDEX(PCOp,$N1672),IF($O1672&lt;&gt;"",IF(N(INDEX(TxnDepB,$O1672))&gt;0,"دریافت بانکی","پرداخت بانکی"),""))</f>
        <v/>
      </c>
      <c r="D1672" s="24">
        <f>IF($N1672&lt;&gt;"",IF(INDEX(PCDoc,$N1672)="","—",INDEX(PCDoc,$N1672)),IF($O1672&lt;&gt;"",INDEX(LdgBankB,$O1672),""))</f>
        <v/>
      </c>
      <c r="E1672" s="24">
        <f>IF($N1672&lt;&gt;"",IF(INDEX(PCCitrus,$N1672)="","—",INDEX(PCCitrus,$N1672)),"")</f>
        <v/>
      </c>
      <c r="F1672" s="25">
        <f>IF($N1672&lt;&gt;"",IF(INDEX(PCScale,$N1672)=0,"",INDEX(PCScale,$N1672)),"")</f>
        <v/>
      </c>
      <c r="G1672" s="25">
        <f>IF($N1672&lt;&gt;"",IF(INDEX(PCBaskets,$N1672)=0,"",INDEX(PCBaskets,$N1672)),"")</f>
        <v/>
      </c>
      <c r="H1672" s="26">
        <f>IF($N1672&lt;&gt;"",IF(INDEX(PCNet,$N1672)=0,"",INDEX(PCNet,$N1672)),"")</f>
        <v/>
      </c>
      <c r="I1672" s="25">
        <f>IF($N1672&lt;&gt;"",IF(INDEX(PCOp,$N1672)="مرجوعی خرید","",IF(INDEX(PCAmount,$N1672)&lt;=0,"",INDEX(PCAmount,$N1672))),IF($O1672&lt;&gt;"",IF(INDEX(TxnDepB,$O1672)=0,"",INDEX(TxnDepB,$O1672)),""))</f>
        <v/>
      </c>
      <c r="J1672" s="25">
        <f>IF($N1672&lt;&gt;"",IF(INDEX(PCOp,$N1672)="مرجوعی خرید",IF(INDEX(PCAmount,$N1672)=0,"",-INDEX(PCAmount,$N1672)),""),IF($O1672&lt;&gt;"",IF(INDEX(TxnWitB,$O1672)=0,"",INDEX(TxnWitB,$O1672)),""))</f>
        <v/>
      </c>
      <c r="K1672" s="27">
        <f>IF($B1672="","",IF($K1671="",$C$10,$K1671)+IF($I1672="",0,$I1672)-IF($J1672="",0,$J1672))</f>
        <v/>
      </c>
      <c r="L1672" s="28">
        <f>IF($N1672&lt;&gt;"",IF(INDEX(PCNotes,$N1672)="","—",INDEX(PCNotes,$N1672)),IF($O1672&lt;&gt;"",IF(INDEX(LdgNoteB,$O1672)="","—",INDEX(LdgNoteB,$O1672)),""))</f>
        <v/>
      </c>
      <c r="N1672">
        <f>IFERROR(MATCH($C$5&amp;"|"&amp;RIGHT("000000"&amp;1656,6),LdgRankKeyA,0),"")</f>
        <v/>
      </c>
      <c r="O1672">
        <f>IFERROR(MATCH($C$5&amp;"|"&amp;RIGHT("000000"&amp;1656,6),LdgRankKeyB,0),"")</f>
        <v/>
      </c>
    </row>
    <row r="1673">
      <c r="A1673" s="17" t="n">
        <v>1657</v>
      </c>
      <c r="B1673" s="18">
        <f>IF(AND($N1673="",$O1673=""),"",IF($N1673&lt;&gt;"",INDEX(PCNormDate,$N1673),INDEX(LdgDateB,$O1673)))</f>
        <v/>
      </c>
      <c r="C1673" s="18">
        <f>IF($N1673&lt;&gt;"",INDEX(PCOp,$N1673),IF($O1673&lt;&gt;"",IF(N(INDEX(TxnDepB,$O1673))&gt;0,"دریافت بانکی","پرداخت بانکی"),""))</f>
        <v/>
      </c>
      <c r="D1673" s="18">
        <f>IF($N1673&lt;&gt;"",IF(INDEX(PCDoc,$N1673)="","—",INDEX(PCDoc,$N1673)),IF($O1673&lt;&gt;"",INDEX(LdgBankB,$O1673),""))</f>
        <v/>
      </c>
      <c r="E1673" s="18">
        <f>IF($N1673&lt;&gt;"",IF(INDEX(PCCitrus,$N1673)="","—",INDEX(PCCitrus,$N1673)),"")</f>
        <v/>
      </c>
      <c r="F1673" s="19">
        <f>IF($N1673&lt;&gt;"",IF(INDEX(PCScale,$N1673)=0,"",INDEX(PCScale,$N1673)),"")</f>
        <v/>
      </c>
      <c r="G1673" s="19">
        <f>IF($N1673&lt;&gt;"",IF(INDEX(PCBaskets,$N1673)=0,"",INDEX(PCBaskets,$N1673)),"")</f>
        <v/>
      </c>
      <c r="H1673" s="20">
        <f>IF($N1673&lt;&gt;"",IF(INDEX(PCNet,$N1673)=0,"",INDEX(PCNet,$N1673)),"")</f>
        <v/>
      </c>
      <c r="I1673" s="19">
        <f>IF($N1673&lt;&gt;"",IF(INDEX(PCOp,$N1673)="مرجوعی خرید","",IF(INDEX(PCAmount,$N1673)&lt;=0,"",INDEX(PCAmount,$N1673))),IF($O1673&lt;&gt;"",IF(INDEX(TxnDepB,$O1673)=0,"",INDEX(TxnDepB,$O1673)),""))</f>
        <v/>
      </c>
      <c r="J1673" s="19">
        <f>IF($N1673&lt;&gt;"",IF(INDEX(PCOp,$N1673)="مرجوعی خرید",IF(INDEX(PCAmount,$N1673)=0,"",-INDEX(PCAmount,$N1673)),""),IF($O1673&lt;&gt;"",IF(INDEX(TxnWitB,$O1673)=0,"",INDEX(TxnWitB,$O1673)),""))</f>
        <v/>
      </c>
      <c r="K1673" s="21">
        <f>IF($B1673="","",IF($K1672="",$C$10,$K1672)+IF($I1673="",0,$I1673)-IF($J1673="",0,$J1673))</f>
        <v/>
      </c>
      <c r="L1673" s="22">
        <f>IF($N1673&lt;&gt;"",IF(INDEX(PCNotes,$N1673)="","—",INDEX(PCNotes,$N1673)),IF($O1673&lt;&gt;"",IF(INDEX(LdgNoteB,$O1673)="","—",INDEX(LdgNoteB,$O1673)),""))</f>
        <v/>
      </c>
      <c r="N1673">
        <f>IFERROR(MATCH($C$5&amp;"|"&amp;RIGHT("000000"&amp;1657,6),LdgRankKeyA,0),"")</f>
        <v/>
      </c>
      <c r="O1673">
        <f>IFERROR(MATCH($C$5&amp;"|"&amp;RIGHT("000000"&amp;1657,6),LdgRankKeyB,0),"")</f>
        <v/>
      </c>
    </row>
    <row r="1674">
      <c r="A1674" s="23" t="n">
        <v>1658</v>
      </c>
      <c r="B1674" s="24">
        <f>IF(AND($N1674="",$O1674=""),"",IF($N1674&lt;&gt;"",INDEX(PCNormDate,$N1674),INDEX(LdgDateB,$O1674)))</f>
        <v/>
      </c>
      <c r="C1674" s="24">
        <f>IF($N1674&lt;&gt;"",INDEX(PCOp,$N1674),IF($O1674&lt;&gt;"",IF(N(INDEX(TxnDepB,$O1674))&gt;0,"دریافت بانکی","پرداخت بانکی"),""))</f>
        <v/>
      </c>
      <c r="D1674" s="24">
        <f>IF($N1674&lt;&gt;"",IF(INDEX(PCDoc,$N1674)="","—",INDEX(PCDoc,$N1674)),IF($O1674&lt;&gt;"",INDEX(LdgBankB,$O1674),""))</f>
        <v/>
      </c>
      <c r="E1674" s="24">
        <f>IF($N1674&lt;&gt;"",IF(INDEX(PCCitrus,$N1674)="","—",INDEX(PCCitrus,$N1674)),"")</f>
        <v/>
      </c>
      <c r="F1674" s="25">
        <f>IF($N1674&lt;&gt;"",IF(INDEX(PCScale,$N1674)=0,"",INDEX(PCScale,$N1674)),"")</f>
        <v/>
      </c>
      <c r="G1674" s="25">
        <f>IF($N1674&lt;&gt;"",IF(INDEX(PCBaskets,$N1674)=0,"",INDEX(PCBaskets,$N1674)),"")</f>
        <v/>
      </c>
      <c r="H1674" s="26">
        <f>IF($N1674&lt;&gt;"",IF(INDEX(PCNet,$N1674)=0,"",INDEX(PCNet,$N1674)),"")</f>
        <v/>
      </c>
      <c r="I1674" s="25">
        <f>IF($N1674&lt;&gt;"",IF(INDEX(PCOp,$N1674)="مرجوعی خرید","",IF(INDEX(PCAmount,$N1674)&lt;=0,"",INDEX(PCAmount,$N1674))),IF($O1674&lt;&gt;"",IF(INDEX(TxnDepB,$O1674)=0,"",INDEX(TxnDepB,$O1674)),""))</f>
        <v/>
      </c>
      <c r="J1674" s="25">
        <f>IF($N1674&lt;&gt;"",IF(INDEX(PCOp,$N1674)="مرجوعی خرید",IF(INDEX(PCAmount,$N1674)=0,"",-INDEX(PCAmount,$N1674)),""),IF($O1674&lt;&gt;"",IF(INDEX(TxnWitB,$O1674)=0,"",INDEX(TxnWitB,$O1674)),""))</f>
        <v/>
      </c>
      <c r="K1674" s="27">
        <f>IF($B1674="","",IF($K1673="",$C$10,$K1673)+IF($I1674="",0,$I1674)-IF($J1674="",0,$J1674))</f>
        <v/>
      </c>
      <c r="L1674" s="28">
        <f>IF($N1674&lt;&gt;"",IF(INDEX(PCNotes,$N1674)="","—",INDEX(PCNotes,$N1674)),IF($O1674&lt;&gt;"",IF(INDEX(LdgNoteB,$O1674)="","—",INDEX(LdgNoteB,$O1674)),""))</f>
        <v/>
      </c>
      <c r="N1674">
        <f>IFERROR(MATCH($C$5&amp;"|"&amp;RIGHT("000000"&amp;1658,6),LdgRankKeyA,0),"")</f>
        <v/>
      </c>
      <c r="O1674">
        <f>IFERROR(MATCH($C$5&amp;"|"&amp;RIGHT("000000"&amp;1658,6),LdgRankKeyB,0),"")</f>
        <v/>
      </c>
    </row>
    <row r="1675">
      <c r="A1675" s="17" t="n">
        <v>1659</v>
      </c>
      <c r="B1675" s="18">
        <f>IF(AND($N1675="",$O1675=""),"",IF($N1675&lt;&gt;"",INDEX(PCNormDate,$N1675),INDEX(LdgDateB,$O1675)))</f>
        <v/>
      </c>
      <c r="C1675" s="18">
        <f>IF($N1675&lt;&gt;"",INDEX(PCOp,$N1675),IF($O1675&lt;&gt;"",IF(N(INDEX(TxnDepB,$O1675))&gt;0,"دریافت بانکی","پرداخت بانکی"),""))</f>
        <v/>
      </c>
      <c r="D1675" s="18">
        <f>IF($N1675&lt;&gt;"",IF(INDEX(PCDoc,$N1675)="","—",INDEX(PCDoc,$N1675)),IF($O1675&lt;&gt;"",INDEX(LdgBankB,$O1675),""))</f>
        <v/>
      </c>
      <c r="E1675" s="18">
        <f>IF($N1675&lt;&gt;"",IF(INDEX(PCCitrus,$N1675)="","—",INDEX(PCCitrus,$N1675)),"")</f>
        <v/>
      </c>
      <c r="F1675" s="19">
        <f>IF($N1675&lt;&gt;"",IF(INDEX(PCScale,$N1675)=0,"",INDEX(PCScale,$N1675)),"")</f>
        <v/>
      </c>
      <c r="G1675" s="19">
        <f>IF($N1675&lt;&gt;"",IF(INDEX(PCBaskets,$N1675)=0,"",INDEX(PCBaskets,$N1675)),"")</f>
        <v/>
      </c>
      <c r="H1675" s="20">
        <f>IF($N1675&lt;&gt;"",IF(INDEX(PCNet,$N1675)=0,"",INDEX(PCNet,$N1675)),"")</f>
        <v/>
      </c>
      <c r="I1675" s="19">
        <f>IF($N1675&lt;&gt;"",IF(INDEX(PCOp,$N1675)="مرجوعی خرید","",IF(INDEX(PCAmount,$N1675)&lt;=0,"",INDEX(PCAmount,$N1675))),IF($O1675&lt;&gt;"",IF(INDEX(TxnDepB,$O1675)=0,"",INDEX(TxnDepB,$O1675)),""))</f>
        <v/>
      </c>
      <c r="J1675" s="19">
        <f>IF($N1675&lt;&gt;"",IF(INDEX(PCOp,$N1675)="مرجوعی خرید",IF(INDEX(PCAmount,$N1675)=0,"",-INDEX(PCAmount,$N1675)),""),IF($O1675&lt;&gt;"",IF(INDEX(TxnWitB,$O1675)=0,"",INDEX(TxnWitB,$O1675)),""))</f>
        <v/>
      </c>
      <c r="K1675" s="21">
        <f>IF($B1675="","",IF($K1674="",$C$10,$K1674)+IF($I1675="",0,$I1675)-IF($J1675="",0,$J1675))</f>
        <v/>
      </c>
      <c r="L1675" s="22">
        <f>IF($N1675&lt;&gt;"",IF(INDEX(PCNotes,$N1675)="","—",INDEX(PCNotes,$N1675)),IF($O1675&lt;&gt;"",IF(INDEX(LdgNoteB,$O1675)="","—",INDEX(LdgNoteB,$O1675)),""))</f>
        <v/>
      </c>
      <c r="N1675">
        <f>IFERROR(MATCH($C$5&amp;"|"&amp;RIGHT("000000"&amp;1659,6),LdgRankKeyA,0),"")</f>
        <v/>
      </c>
      <c r="O1675">
        <f>IFERROR(MATCH($C$5&amp;"|"&amp;RIGHT("000000"&amp;1659,6),LdgRankKeyB,0),"")</f>
        <v/>
      </c>
    </row>
    <row r="1676">
      <c r="A1676" s="23" t="n">
        <v>1660</v>
      </c>
      <c r="B1676" s="24">
        <f>IF(AND($N1676="",$O1676=""),"",IF($N1676&lt;&gt;"",INDEX(PCNormDate,$N1676),INDEX(LdgDateB,$O1676)))</f>
        <v/>
      </c>
      <c r="C1676" s="24">
        <f>IF($N1676&lt;&gt;"",INDEX(PCOp,$N1676),IF($O1676&lt;&gt;"",IF(N(INDEX(TxnDepB,$O1676))&gt;0,"دریافت بانکی","پرداخت بانکی"),""))</f>
        <v/>
      </c>
      <c r="D1676" s="24">
        <f>IF($N1676&lt;&gt;"",IF(INDEX(PCDoc,$N1676)="","—",INDEX(PCDoc,$N1676)),IF($O1676&lt;&gt;"",INDEX(LdgBankB,$O1676),""))</f>
        <v/>
      </c>
      <c r="E1676" s="24">
        <f>IF($N1676&lt;&gt;"",IF(INDEX(PCCitrus,$N1676)="","—",INDEX(PCCitrus,$N1676)),"")</f>
        <v/>
      </c>
      <c r="F1676" s="25">
        <f>IF($N1676&lt;&gt;"",IF(INDEX(PCScale,$N1676)=0,"",INDEX(PCScale,$N1676)),"")</f>
        <v/>
      </c>
      <c r="G1676" s="25">
        <f>IF($N1676&lt;&gt;"",IF(INDEX(PCBaskets,$N1676)=0,"",INDEX(PCBaskets,$N1676)),"")</f>
        <v/>
      </c>
      <c r="H1676" s="26">
        <f>IF($N1676&lt;&gt;"",IF(INDEX(PCNet,$N1676)=0,"",INDEX(PCNet,$N1676)),"")</f>
        <v/>
      </c>
      <c r="I1676" s="25">
        <f>IF($N1676&lt;&gt;"",IF(INDEX(PCOp,$N1676)="مرجوعی خرید","",IF(INDEX(PCAmount,$N1676)&lt;=0,"",INDEX(PCAmount,$N1676))),IF($O1676&lt;&gt;"",IF(INDEX(TxnDepB,$O1676)=0,"",INDEX(TxnDepB,$O1676)),""))</f>
        <v/>
      </c>
      <c r="J1676" s="25">
        <f>IF($N1676&lt;&gt;"",IF(INDEX(PCOp,$N1676)="مرجوعی خرید",IF(INDEX(PCAmount,$N1676)=0,"",-INDEX(PCAmount,$N1676)),""),IF($O1676&lt;&gt;"",IF(INDEX(TxnWitB,$O1676)=0,"",INDEX(TxnWitB,$O1676)),""))</f>
        <v/>
      </c>
      <c r="K1676" s="27">
        <f>IF($B1676="","",IF($K1675="",$C$10,$K1675)+IF($I1676="",0,$I1676)-IF($J1676="",0,$J1676))</f>
        <v/>
      </c>
      <c r="L1676" s="28">
        <f>IF($N1676&lt;&gt;"",IF(INDEX(PCNotes,$N1676)="","—",INDEX(PCNotes,$N1676)),IF($O1676&lt;&gt;"",IF(INDEX(LdgNoteB,$O1676)="","—",INDEX(LdgNoteB,$O1676)),""))</f>
        <v/>
      </c>
      <c r="N1676">
        <f>IFERROR(MATCH($C$5&amp;"|"&amp;RIGHT("000000"&amp;1660,6),LdgRankKeyA,0),"")</f>
        <v/>
      </c>
      <c r="O1676">
        <f>IFERROR(MATCH($C$5&amp;"|"&amp;RIGHT("000000"&amp;1660,6),LdgRankKeyB,0),"")</f>
        <v/>
      </c>
    </row>
    <row r="1677">
      <c r="A1677" s="17" t="n">
        <v>1661</v>
      </c>
      <c r="B1677" s="18">
        <f>IF(AND($N1677="",$O1677=""),"",IF($N1677&lt;&gt;"",INDEX(PCNormDate,$N1677),INDEX(LdgDateB,$O1677)))</f>
        <v/>
      </c>
      <c r="C1677" s="18">
        <f>IF($N1677&lt;&gt;"",INDEX(PCOp,$N1677),IF($O1677&lt;&gt;"",IF(N(INDEX(TxnDepB,$O1677))&gt;0,"دریافت بانکی","پرداخت بانکی"),""))</f>
        <v/>
      </c>
      <c r="D1677" s="18">
        <f>IF($N1677&lt;&gt;"",IF(INDEX(PCDoc,$N1677)="","—",INDEX(PCDoc,$N1677)),IF($O1677&lt;&gt;"",INDEX(LdgBankB,$O1677),""))</f>
        <v/>
      </c>
      <c r="E1677" s="18">
        <f>IF($N1677&lt;&gt;"",IF(INDEX(PCCitrus,$N1677)="","—",INDEX(PCCitrus,$N1677)),"")</f>
        <v/>
      </c>
      <c r="F1677" s="19">
        <f>IF($N1677&lt;&gt;"",IF(INDEX(PCScale,$N1677)=0,"",INDEX(PCScale,$N1677)),"")</f>
        <v/>
      </c>
      <c r="G1677" s="19">
        <f>IF($N1677&lt;&gt;"",IF(INDEX(PCBaskets,$N1677)=0,"",INDEX(PCBaskets,$N1677)),"")</f>
        <v/>
      </c>
      <c r="H1677" s="20">
        <f>IF($N1677&lt;&gt;"",IF(INDEX(PCNet,$N1677)=0,"",INDEX(PCNet,$N1677)),"")</f>
        <v/>
      </c>
      <c r="I1677" s="19">
        <f>IF($N1677&lt;&gt;"",IF(INDEX(PCOp,$N1677)="مرجوعی خرید","",IF(INDEX(PCAmount,$N1677)&lt;=0,"",INDEX(PCAmount,$N1677))),IF($O1677&lt;&gt;"",IF(INDEX(TxnDepB,$O1677)=0,"",INDEX(TxnDepB,$O1677)),""))</f>
        <v/>
      </c>
      <c r="J1677" s="19">
        <f>IF($N1677&lt;&gt;"",IF(INDEX(PCOp,$N1677)="مرجوعی خرید",IF(INDEX(PCAmount,$N1677)=0,"",-INDEX(PCAmount,$N1677)),""),IF($O1677&lt;&gt;"",IF(INDEX(TxnWitB,$O1677)=0,"",INDEX(TxnWitB,$O1677)),""))</f>
        <v/>
      </c>
      <c r="K1677" s="21">
        <f>IF($B1677="","",IF($K1676="",$C$10,$K1676)+IF($I1677="",0,$I1677)-IF($J1677="",0,$J1677))</f>
        <v/>
      </c>
      <c r="L1677" s="22">
        <f>IF($N1677&lt;&gt;"",IF(INDEX(PCNotes,$N1677)="","—",INDEX(PCNotes,$N1677)),IF($O1677&lt;&gt;"",IF(INDEX(LdgNoteB,$O1677)="","—",INDEX(LdgNoteB,$O1677)),""))</f>
        <v/>
      </c>
      <c r="N1677">
        <f>IFERROR(MATCH($C$5&amp;"|"&amp;RIGHT("000000"&amp;1661,6),LdgRankKeyA,0),"")</f>
        <v/>
      </c>
      <c r="O1677">
        <f>IFERROR(MATCH($C$5&amp;"|"&amp;RIGHT("000000"&amp;1661,6),LdgRankKeyB,0),"")</f>
        <v/>
      </c>
    </row>
    <row r="1678">
      <c r="A1678" s="23" t="n">
        <v>1662</v>
      </c>
      <c r="B1678" s="24">
        <f>IF(AND($N1678="",$O1678=""),"",IF($N1678&lt;&gt;"",INDEX(PCNormDate,$N1678),INDEX(LdgDateB,$O1678)))</f>
        <v/>
      </c>
      <c r="C1678" s="24">
        <f>IF($N1678&lt;&gt;"",INDEX(PCOp,$N1678),IF($O1678&lt;&gt;"",IF(N(INDEX(TxnDepB,$O1678))&gt;0,"دریافت بانکی","پرداخت بانکی"),""))</f>
        <v/>
      </c>
      <c r="D1678" s="24">
        <f>IF($N1678&lt;&gt;"",IF(INDEX(PCDoc,$N1678)="","—",INDEX(PCDoc,$N1678)),IF($O1678&lt;&gt;"",INDEX(LdgBankB,$O1678),""))</f>
        <v/>
      </c>
      <c r="E1678" s="24">
        <f>IF($N1678&lt;&gt;"",IF(INDEX(PCCitrus,$N1678)="","—",INDEX(PCCitrus,$N1678)),"")</f>
        <v/>
      </c>
      <c r="F1678" s="25">
        <f>IF($N1678&lt;&gt;"",IF(INDEX(PCScale,$N1678)=0,"",INDEX(PCScale,$N1678)),"")</f>
        <v/>
      </c>
      <c r="G1678" s="25">
        <f>IF($N1678&lt;&gt;"",IF(INDEX(PCBaskets,$N1678)=0,"",INDEX(PCBaskets,$N1678)),"")</f>
        <v/>
      </c>
      <c r="H1678" s="26">
        <f>IF($N1678&lt;&gt;"",IF(INDEX(PCNet,$N1678)=0,"",INDEX(PCNet,$N1678)),"")</f>
        <v/>
      </c>
      <c r="I1678" s="25">
        <f>IF($N1678&lt;&gt;"",IF(INDEX(PCOp,$N1678)="مرجوعی خرید","",IF(INDEX(PCAmount,$N1678)&lt;=0,"",INDEX(PCAmount,$N1678))),IF($O1678&lt;&gt;"",IF(INDEX(TxnDepB,$O1678)=0,"",INDEX(TxnDepB,$O1678)),""))</f>
        <v/>
      </c>
      <c r="J1678" s="25">
        <f>IF($N1678&lt;&gt;"",IF(INDEX(PCOp,$N1678)="مرجوعی خرید",IF(INDEX(PCAmount,$N1678)=0,"",-INDEX(PCAmount,$N1678)),""),IF($O1678&lt;&gt;"",IF(INDEX(TxnWitB,$O1678)=0,"",INDEX(TxnWitB,$O1678)),""))</f>
        <v/>
      </c>
      <c r="K1678" s="27">
        <f>IF($B1678="","",IF($K1677="",$C$10,$K1677)+IF($I1678="",0,$I1678)-IF($J1678="",0,$J1678))</f>
        <v/>
      </c>
      <c r="L1678" s="28">
        <f>IF($N1678&lt;&gt;"",IF(INDEX(PCNotes,$N1678)="","—",INDEX(PCNotes,$N1678)),IF($O1678&lt;&gt;"",IF(INDEX(LdgNoteB,$O1678)="","—",INDEX(LdgNoteB,$O1678)),""))</f>
        <v/>
      </c>
      <c r="N1678">
        <f>IFERROR(MATCH($C$5&amp;"|"&amp;RIGHT("000000"&amp;1662,6),LdgRankKeyA,0),"")</f>
        <v/>
      </c>
      <c r="O1678">
        <f>IFERROR(MATCH($C$5&amp;"|"&amp;RIGHT("000000"&amp;1662,6),LdgRankKeyB,0),"")</f>
        <v/>
      </c>
    </row>
    <row r="1679">
      <c r="A1679" s="17" t="n">
        <v>1663</v>
      </c>
      <c r="B1679" s="18">
        <f>IF(AND($N1679="",$O1679=""),"",IF($N1679&lt;&gt;"",INDEX(PCNormDate,$N1679),INDEX(LdgDateB,$O1679)))</f>
        <v/>
      </c>
      <c r="C1679" s="18">
        <f>IF($N1679&lt;&gt;"",INDEX(PCOp,$N1679),IF($O1679&lt;&gt;"",IF(N(INDEX(TxnDepB,$O1679))&gt;0,"دریافت بانکی","پرداخت بانکی"),""))</f>
        <v/>
      </c>
      <c r="D1679" s="18">
        <f>IF($N1679&lt;&gt;"",IF(INDEX(PCDoc,$N1679)="","—",INDEX(PCDoc,$N1679)),IF($O1679&lt;&gt;"",INDEX(LdgBankB,$O1679),""))</f>
        <v/>
      </c>
      <c r="E1679" s="18">
        <f>IF($N1679&lt;&gt;"",IF(INDEX(PCCitrus,$N1679)="","—",INDEX(PCCitrus,$N1679)),"")</f>
        <v/>
      </c>
      <c r="F1679" s="19">
        <f>IF($N1679&lt;&gt;"",IF(INDEX(PCScale,$N1679)=0,"",INDEX(PCScale,$N1679)),"")</f>
        <v/>
      </c>
      <c r="G1679" s="19">
        <f>IF($N1679&lt;&gt;"",IF(INDEX(PCBaskets,$N1679)=0,"",INDEX(PCBaskets,$N1679)),"")</f>
        <v/>
      </c>
      <c r="H1679" s="20">
        <f>IF($N1679&lt;&gt;"",IF(INDEX(PCNet,$N1679)=0,"",INDEX(PCNet,$N1679)),"")</f>
        <v/>
      </c>
      <c r="I1679" s="19">
        <f>IF($N1679&lt;&gt;"",IF(INDEX(PCOp,$N1679)="مرجوعی خرید","",IF(INDEX(PCAmount,$N1679)&lt;=0,"",INDEX(PCAmount,$N1679))),IF($O1679&lt;&gt;"",IF(INDEX(TxnDepB,$O1679)=0,"",INDEX(TxnDepB,$O1679)),""))</f>
        <v/>
      </c>
      <c r="J1679" s="19">
        <f>IF($N1679&lt;&gt;"",IF(INDEX(PCOp,$N1679)="مرجوعی خرید",IF(INDEX(PCAmount,$N1679)=0,"",-INDEX(PCAmount,$N1679)),""),IF($O1679&lt;&gt;"",IF(INDEX(TxnWitB,$O1679)=0,"",INDEX(TxnWitB,$O1679)),""))</f>
        <v/>
      </c>
      <c r="K1679" s="21">
        <f>IF($B1679="","",IF($K1678="",$C$10,$K1678)+IF($I1679="",0,$I1679)-IF($J1679="",0,$J1679))</f>
        <v/>
      </c>
      <c r="L1679" s="22">
        <f>IF($N1679&lt;&gt;"",IF(INDEX(PCNotes,$N1679)="","—",INDEX(PCNotes,$N1679)),IF($O1679&lt;&gt;"",IF(INDEX(LdgNoteB,$O1679)="","—",INDEX(LdgNoteB,$O1679)),""))</f>
        <v/>
      </c>
      <c r="N1679">
        <f>IFERROR(MATCH($C$5&amp;"|"&amp;RIGHT("000000"&amp;1663,6),LdgRankKeyA,0),"")</f>
        <v/>
      </c>
      <c r="O1679">
        <f>IFERROR(MATCH($C$5&amp;"|"&amp;RIGHT("000000"&amp;1663,6),LdgRankKeyB,0),"")</f>
        <v/>
      </c>
    </row>
    <row r="1680">
      <c r="A1680" s="23" t="n">
        <v>1664</v>
      </c>
      <c r="B1680" s="24">
        <f>IF(AND($N1680="",$O1680=""),"",IF($N1680&lt;&gt;"",INDEX(PCNormDate,$N1680),INDEX(LdgDateB,$O1680)))</f>
        <v/>
      </c>
      <c r="C1680" s="24">
        <f>IF($N1680&lt;&gt;"",INDEX(PCOp,$N1680),IF($O1680&lt;&gt;"",IF(N(INDEX(TxnDepB,$O1680))&gt;0,"دریافت بانکی","پرداخت بانکی"),""))</f>
        <v/>
      </c>
      <c r="D1680" s="24">
        <f>IF($N1680&lt;&gt;"",IF(INDEX(PCDoc,$N1680)="","—",INDEX(PCDoc,$N1680)),IF($O1680&lt;&gt;"",INDEX(LdgBankB,$O1680),""))</f>
        <v/>
      </c>
      <c r="E1680" s="24">
        <f>IF($N1680&lt;&gt;"",IF(INDEX(PCCitrus,$N1680)="","—",INDEX(PCCitrus,$N1680)),"")</f>
        <v/>
      </c>
      <c r="F1680" s="25">
        <f>IF($N1680&lt;&gt;"",IF(INDEX(PCScale,$N1680)=0,"",INDEX(PCScale,$N1680)),"")</f>
        <v/>
      </c>
      <c r="G1680" s="25">
        <f>IF($N1680&lt;&gt;"",IF(INDEX(PCBaskets,$N1680)=0,"",INDEX(PCBaskets,$N1680)),"")</f>
        <v/>
      </c>
      <c r="H1680" s="26">
        <f>IF($N1680&lt;&gt;"",IF(INDEX(PCNet,$N1680)=0,"",INDEX(PCNet,$N1680)),"")</f>
        <v/>
      </c>
      <c r="I1680" s="25">
        <f>IF($N1680&lt;&gt;"",IF(INDEX(PCOp,$N1680)="مرجوعی خرید","",IF(INDEX(PCAmount,$N1680)&lt;=0,"",INDEX(PCAmount,$N1680))),IF($O1680&lt;&gt;"",IF(INDEX(TxnDepB,$O1680)=0,"",INDEX(TxnDepB,$O1680)),""))</f>
        <v/>
      </c>
      <c r="J1680" s="25">
        <f>IF($N1680&lt;&gt;"",IF(INDEX(PCOp,$N1680)="مرجوعی خرید",IF(INDEX(PCAmount,$N1680)=0,"",-INDEX(PCAmount,$N1680)),""),IF($O1680&lt;&gt;"",IF(INDEX(TxnWitB,$O1680)=0,"",INDEX(TxnWitB,$O1680)),""))</f>
        <v/>
      </c>
      <c r="K1680" s="27">
        <f>IF($B1680="","",IF($K1679="",$C$10,$K1679)+IF($I1680="",0,$I1680)-IF($J1680="",0,$J1680))</f>
        <v/>
      </c>
      <c r="L1680" s="28">
        <f>IF($N1680&lt;&gt;"",IF(INDEX(PCNotes,$N1680)="","—",INDEX(PCNotes,$N1680)),IF($O1680&lt;&gt;"",IF(INDEX(LdgNoteB,$O1680)="","—",INDEX(LdgNoteB,$O1680)),""))</f>
        <v/>
      </c>
      <c r="N1680">
        <f>IFERROR(MATCH($C$5&amp;"|"&amp;RIGHT("000000"&amp;1664,6),LdgRankKeyA,0),"")</f>
        <v/>
      </c>
      <c r="O1680">
        <f>IFERROR(MATCH($C$5&amp;"|"&amp;RIGHT("000000"&amp;1664,6),LdgRankKeyB,0),"")</f>
        <v/>
      </c>
    </row>
    <row r="1681">
      <c r="A1681" s="17" t="n">
        <v>1665</v>
      </c>
      <c r="B1681" s="18">
        <f>IF(AND($N1681="",$O1681=""),"",IF($N1681&lt;&gt;"",INDEX(PCNormDate,$N1681),INDEX(LdgDateB,$O1681)))</f>
        <v/>
      </c>
      <c r="C1681" s="18">
        <f>IF($N1681&lt;&gt;"",INDEX(PCOp,$N1681),IF($O1681&lt;&gt;"",IF(N(INDEX(TxnDepB,$O1681))&gt;0,"دریافت بانکی","پرداخت بانکی"),""))</f>
        <v/>
      </c>
      <c r="D1681" s="18">
        <f>IF($N1681&lt;&gt;"",IF(INDEX(PCDoc,$N1681)="","—",INDEX(PCDoc,$N1681)),IF($O1681&lt;&gt;"",INDEX(LdgBankB,$O1681),""))</f>
        <v/>
      </c>
      <c r="E1681" s="18">
        <f>IF($N1681&lt;&gt;"",IF(INDEX(PCCitrus,$N1681)="","—",INDEX(PCCitrus,$N1681)),"")</f>
        <v/>
      </c>
      <c r="F1681" s="19">
        <f>IF($N1681&lt;&gt;"",IF(INDEX(PCScale,$N1681)=0,"",INDEX(PCScale,$N1681)),"")</f>
        <v/>
      </c>
      <c r="G1681" s="19">
        <f>IF($N1681&lt;&gt;"",IF(INDEX(PCBaskets,$N1681)=0,"",INDEX(PCBaskets,$N1681)),"")</f>
        <v/>
      </c>
      <c r="H1681" s="20">
        <f>IF($N1681&lt;&gt;"",IF(INDEX(PCNet,$N1681)=0,"",INDEX(PCNet,$N1681)),"")</f>
        <v/>
      </c>
      <c r="I1681" s="19">
        <f>IF($N1681&lt;&gt;"",IF(INDEX(PCOp,$N1681)="مرجوعی خرید","",IF(INDEX(PCAmount,$N1681)&lt;=0,"",INDEX(PCAmount,$N1681))),IF($O1681&lt;&gt;"",IF(INDEX(TxnDepB,$O1681)=0,"",INDEX(TxnDepB,$O1681)),""))</f>
        <v/>
      </c>
      <c r="J1681" s="19">
        <f>IF($N1681&lt;&gt;"",IF(INDEX(PCOp,$N1681)="مرجوعی خرید",IF(INDEX(PCAmount,$N1681)=0,"",-INDEX(PCAmount,$N1681)),""),IF($O1681&lt;&gt;"",IF(INDEX(TxnWitB,$O1681)=0,"",INDEX(TxnWitB,$O1681)),""))</f>
        <v/>
      </c>
      <c r="K1681" s="21">
        <f>IF($B1681="","",IF($K1680="",$C$10,$K1680)+IF($I1681="",0,$I1681)-IF($J1681="",0,$J1681))</f>
        <v/>
      </c>
      <c r="L1681" s="22">
        <f>IF($N1681&lt;&gt;"",IF(INDEX(PCNotes,$N1681)="","—",INDEX(PCNotes,$N1681)),IF($O1681&lt;&gt;"",IF(INDEX(LdgNoteB,$O1681)="","—",INDEX(LdgNoteB,$O1681)),""))</f>
        <v/>
      </c>
      <c r="N1681">
        <f>IFERROR(MATCH($C$5&amp;"|"&amp;RIGHT("000000"&amp;1665,6),LdgRankKeyA,0),"")</f>
        <v/>
      </c>
      <c r="O1681">
        <f>IFERROR(MATCH($C$5&amp;"|"&amp;RIGHT("000000"&amp;1665,6),LdgRankKeyB,0),"")</f>
        <v/>
      </c>
    </row>
    <row r="1682">
      <c r="A1682" s="23" t="n">
        <v>1666</v>
      </c>
      <c r="B1682" s="24">
        <f>IF(AND($N1682="",$O1682=""),"",IF($N1682&lt;&gt;"",INDEX(PCNormDate,$N1682),INDEX(LdgDateB,$O1682)))</f>
        <v/>
      </c>
      <c r="C1682" s="24">
        <f>IF($N1682&lt;&gt;"",INDEX(PCOp,$N1682),IF($O1682&lt;&gt;"",IF(N(INDEX(TxnDepB,$O1682))&gt;0,"دریافت بانکی","پرداخت بانکی"),""))</f>
        <v/>
      </c>
      <c r="D1682" s="24">
        <f>IF($N1682&lt;&gt;"",IF(INDEX(PCDoc,$N1682)="","—",INDEX(PCDoc,$N1682)),IF($O1682&lt;&gt;"",INDEX(LdgBankB,$O1682),""))</f>
        <v/>
      </c>
      <c r="E1682" s="24">
        <f>IF($N1682&lt;&gt;"",IF(INDEX(PCCitrus,$N1682)="","—",INDEX(PCCitrus,$N1682)),"")</f>
        <v/>
      </c>
      <c r="F1682" s="25">
        <f>IF($N1682&lt;&gt;"",IF(INDEX(PCScale,$N1682)=0,"",INDEX(PCScale,$N1682)),"")</f>
        <v/>
      </c>
      <c r="G1682" s="25">
        <f>IF($N1682&lt;&gt;"",IF(INDEX(PCBaskets,$N1682)=0,"",INDEX(PCBaskets,$N1682)),"")</f>
        <v/>
      </c>
      <c r="H1682" s="26">
        <f>IF($N1682&lt;&gt;"",IF(INDEX(PCNet,$N1682)=0,"",INDEX(PCNet,$N1682)),"")</f>
        <v/>
      </c>
      <c r="I1682" s="25">
        <f>IF($N1682&lt;&gt;"",IF(INDEX(PCOp,$N1682)="مرجوعی خرید","",IF(INDEX(PCAmount,$N1682)&lt;=0,"",INDEX(PCAmount,$N1682))),IF($O1682&lt;&gt;"",IF(INDEX(TxnDepB,$O1682)=0,"",INDEX(TxnDepB,$O1682)),""))</f>
        <v/>
      </c>
      <c r="J1682" s="25">
        <f>IF($N1682&lt;&gt;"",IF(INDEX(PCOp,$N1682)="مرجوعی خرید",IF(INDEX(PCAmount,$N1682)=0,"",-INDEX(PCAmount,$N1682)),""),IF($O1682&lt;&gt;"",IF(INDEX(TxnWitB,$O1682)=0,"",INDEX(TxnWitB,$O1682)),""))</f>
        <v/>
      </c>
      <c r="K1682" s="27">
        <f>IF($B1682="","",IF($K1681="",$C$10,$K1681)+IF($I1682="",0,$I1682)-IF($J1682="",0,$J1682))</f>
        <v/>
      </c>
      <c r="L1682" s="28">
        <f>IF($N1682&lt;&gt;"",IF(INDEX(PCNotes,$N1682)="","—",INDEX(PCNotes,$N1682)),IF($O1682&lt;&gt;"",IF(INDEX(LdgNoteB,$O1682)="","—",INDEX(LdgNoteB,$O1682)),""))</f>
        <v/>
      </c>
      <c r="N1682">
        <f>IFERROR(MATCH($C$5&amp;"|"&amp;RIGHT("000000"&amp;1666,6),LdgRankKeyA,0),"")</f>
        <v/>
      </c>
      <c r="O1682">
        <f>IFERROR(MATCH($C$5&amp;"|"&amp;RIGHT("000000"&amp;1666,6),LdgRankKeyB,0),"")</f>
        <v/>
      </c>
    </row>
    <row r="1683">
      <c r="A1683" s="17" t="n">
        <v>1667</v>
      </c>
      <c r="B1683" s="18">
        <f>IF(AND($N1683="",$O1683=""),"",IF($N1683&lt;&gt;"",INDEX(PCNormDate,$N1683),INDEX(LdgDateB,$O1683)))</f>
        <v/>
      </c>
      <c r="C1683" s="18">
        <f>IF($N1683&lt;&gt;"",INDEX(PCOp,$N1683),IF($O1683&lt;&gt;"",IF(N(INDEX(TxnDepB,$O1683))&gt;0,"دریافت بانکی","پرداخت بانکی"),""))</f>
        <v/>
      </c>
      <c r="D1683" s="18">
        <f>IF($N1683&lt;&gt;"",IF(INDEX(PCDoc,$N1683)="","—",INDEX(PCDoc,$N1683)),IF($O1683&lt;&gt;"",INDEX(LdgBankB,$O1683),""))</f>
        <v/>
      </c>
      <c r="E1683" s="18">
        <f>IF($N1683&lt;&gt;"",IF(INDEX(PCCitrus,$N1683)="","—",INDEX(PCCitrus,$N1683)),"")</f>
        <v/>
      </c>
      <c r="F1683" s="19">
        <f>IF($N1683&lt;&gt;"",IF(INDEX(PCScale,$N1683)=0,"",INDEX(PCScale,$N1683)),"")</f>
        <v/>
      </c>
      <c r="G1683" s="19">
        <f>IF($N1683&lt;&gt;"",IF(INDEX(PCBaskets,$N1683)=0,"",INDEX(PCBaskets,$N1683)),"")</f>
        <v/>
      </c>
      <c r="H1683" s="20">
        <f>IF($N1683&lt;&gt;"",IF(INDEX(PCNet,$N1683)=0,"",INDEX(PCNet,$N1683)),"")</f>
        <v/>
      </c>
      <c r="I1683" s="19">
        <f>IF($N1683&lt;&gt;"",IF(INDEX(PCOp,$N1683)="مرجوعی خرید","",IF(INDEX(PCAmount,$N1683)&lt;=0,"",INDEX(PCAmount,$N1683))),IF($O1683&lt;&gt;"",IF(INDEX(TxnDepB,$O1683)=0,"",INDEX(TxnDepB,$O1683)),""))</f>
        <v/>
      </c>
      <c r="J1683" s="19">
        <f>IF($N1683&lt;&gt;"",IF(INDEX(PCOp,$N1683)="مرجوعی خرید",IF(INDEX(PCAmount,$N1683)=0,"",-INDEX(PCAmount,$N1683)),""),IF($O1683&lt;&gt;"",IF(INDEX(TxnWitB,$O1683)=0,"",INDEX(TxnWitB,$O1683)),""))</f>
        <v/>
      </c>
      <c r="K1683" s="21">
        <f>IF($B1683="","",IF($K1682="",$C$10,$K1682)+IF($I1683="",0,$I1683)-IF($J1683="",0,$J1683))</f>
        <v/>
      </c>
      <c r="L1683" s="22">
        <f>IF($N1683&lt;&gt;"",IF(INDEX(PCNotes,$N1683)="","—",INDEX(PCNotes,$N1683)),IF($O1683&lt;&gt;"",IF(INDEX(LdgNoteB,$O1683)="","—",INDEX(LdgNoteB,$O1683)),""))</f>
        <v/>
      </c>
      <c r="N1683">
        <f>IFERROR(MATCH($C$5&amp;"|"&amp;RIGHT("000000"&amp;1667,6),LdgRankKeyA,0),"")</f>
        <v/>
      </c>
      <c r="O1683">
        <f>IFERROR(MATCH($C$5&amp;"|"&amp;RIGHT("000000"&amp;1667,6),LdgRankKeyB,0),"")</f>
        <v/>
      </c>
    </row>
    <row r="1684">
      <c r="A1684" s="23" t="n">
        <v>1668</v>
      </c>
      <c r="B1684" s="24">
        <f>IF(AND($N1684="",$O1684=""),"",IF($N1684&lt;&gt;"",INDEX(PCNormDate,$N1684),INDEX(LdgDateB,$O1684)))</f>
        <v/>
      </c>
      <c r="C1684" s="24">
        <f>IF($N1684&lt;&gt;"",INDEX(PCOp,$N1684),IF($O1684&lt;&gt;"",IF(N(INDEX(TxnDepB,$O1684))&gt;0,"دریافت بانکی","پرداخت بانکی"),""))</f>
        <v/>
      </c>
      <c r="D1684" s="24">
        <f>IF($N1684&lt;&gt;"",IF(INDEX(PCDoc,$N1684)="","—",INDEX(PCDoc,$N1684)),IF($O1684&lt;&gt;"",INDEX(LdgBankB,$O1684),""))</f>
        <v/>
      </c>
      <c r="E1684" s="24">
        <f>IF($N1684&lt;&gt;"",IF(INDEX(PCCitrus,$N1684)="","—",INDEX(PCCitrus,$N1684)),"")</f>
        <v/>
      </c>
      <c r="F1684" s="25">
        <f>IF($N1684&lt;&gt;"",IF(INDEX(PCScale,$N1684)=0,"",INDEX(PCScale,$N1684)),"")</f>
        <v/>
      </c>
      <c r="G1684" s="25">
        <f>IF($N1684&lt;&gt;"",IF(INDEX(PCBaskets,$N1684)=0,"",INDEX(PCBaskets,$N1684)),"")</f>
        <v/>
      </c>
      <c r="H1684" s="26">
        <f>IF($N1684&lt;&gt;"",IF(INDEX(PCNet,$N1684)=0,"",INDEX(PCNet,$N1684)),"")</f>
        <v/>
      </c>
      <c r="I1684" s="25">
        <f>IF($N1684&lt;&gt;"",IF(INDEX(PCOp,$N1684)="مرجوعی خرید","",IF(INDEX(PCAmount,$N1684)&lt;=0,"",INDEX(PCAmount,$N1684))),IF($O1684&lt;&gt;"",IF(INDEX(TxnDepB,$O1684)=0,"",INDEX(TxnDepB,$O1684)),""))</f>
        <v/>
      </c>
      <c r="J1684" s="25">
        <f>IF($N1684&lt;&gt;"",IF(INDEX(PCOp,$N1684)="مرجوعی خرید",IF(INDEX(PCAmount,$N1684)=0,"",-INDEX(PCAmount,$N1684)),""),IF($O1684&lt;&gt;"",IF(INDEX(TxnWitB,$O1684)=0,"",INDEX(TxnWitB,$O1684)),""))</f>
        <v/>
      </c>
      <c r="K1684" s="27">
        <f>IF($B1684="","",IF($K1683="",$C$10,$K1683)+IF($I1684="",0,$I1684)-IF($J1684="",0,$J1684))</f>
        <v/>
      </c>
      <c r="L1684" s="28">
        <f>IF($N1684&lt;&gt;"",IF(INDEX(PCNotes,$N1684)="","—",INDEX(PCNotes,$N1684)),IF($O1684&lt;&gt;"",IF(INDEX(LdgNoteB,$O1684)="","—",INDEX(LdgNoteB,$O1684)),""))</f>
        <v/>
      </c>
      <c r="N1684">
        <f>IFERROR(MATCH($C$5&amp;"|"&amp;RIGHT("000000"&amp;1668,6),LdgRankKeyA,0),"")</f>
        <v/>
      </c>
      <c r="O1684">
        <f>IFERROR(MATCH($C$5&amp;"|"&amp;RIGHT("000000"&amp;1668,6),LdgRankKeyB,0),"")</f>
        <v/>
      </c>
    </row>
    <row r="1685">
      <c r="A1685" s="17" t="n">
        <v>1669</v>
      </c>
      <c r="B1685" s="18">
        <f>IF(AND($N1685="",$O1685=""),"",IF($N1685&lt;&gt;"",INDEX(PCNormDate,$N1685),INDEX(LdgDateB,$O1685)))</f>
        <v/>
      </c>
      <c r="C1685" s="18">
        <f>IF($N1685&lt;&gt;"",INDEX(PCOp,$N1685),IF($O1685&lt;&gt;"",IF(N(INDEX(TxnDepB,$O1685))&gt;0,"دریافت بانکی","پرداخت بانکی"),""))</f>
        <v/>
      </c>
      <c r="D1685" s="18">
        <f>IF($N1685&lt;&gt;"",IF(INDEX(PCDoc,$N1685)="","—",INDEX(PCDoc,$N1685)),IF($O1685&lt;&gt;"",INDEX(LdgBankB,$O1685),""))</f>
        <v/>
      </c>
      <c r="E1685" s="18">
        <f>IF($N1685&lt;&gt;"",IF(INDEX(PCCitrus,$N1685)="","—",INDEX(PCCitrus,$N1685)),"")</f>
        <v/>
      </c>
      <c r="F1685" s="19">
        <f>IF($N1685&lt;&gt;"",IF(INDEX(PCScale,$N1685)=0,"",INDEX(PCScale,$N1685)),"")</f>
        <v/>
      </c>
      <c r="G1685" s="19">
        <f>IF($N1685&lt;&gt;"",IF(INDEX(PCBaskets,$N1685)=0,"",INDEX(PCBaskets,$N1685)),"")</f>
        <v/>
      </c>
      <c r="H1685" s="20">
        <f>IF($N1685&lt;&gt;"",IF(INDEX(PCNet,$N1685)=0,"",INDEX(PCNet,$N1685)),"")</f>
        <v/>
      </c>
      <c r="I1685" s="19">
        <f>IF($N1685&lt;&gt;"",IF(INDEX(PCOp,$N1685)="مرجوعی خرید","",IF(INDEX(PCAmount,$N1685)&lt;=0,"",INDEX(PCAmount,$N1685))),IF($O1685&lt;&gt;"",IF(INDEX(TxnDepB,$O1685)=0,"",INDEX(TxnDepB,$O1685)),""))</f>
        <v/>
      </c>
      <c r="J1685" s="19">
        <f>IF($N1685&lt;&gt;"",IF(INDEX(PCOp,$N1685)="مرجوعی خرید",IF(INDEX(PCAmount,$N1685)=0,"",-INDEX(PCAmount,$N1685)),""),IF($O1685&lt;&gt;"",IF(INDEX(TxnWitB,$O1685)=0,"",INDEX(TxnWitB,$O1685)),""))</f>
        <v/>
      </c>
      <c r="K1685" s="21">
        <f>IF($B1685="","",IF($K1684="",$C$10,$K1684)+IF($I1685="",0,$I1685)-IF($J1685="",0,$J1685))</f>
        <v/>
      </c>
      <c r="L1685" s="22">
        <f>IF($N1685&lt;&gt;"",IF(INDEX(PCNotes,$N1685)="","—",INDEX(PCNotes,$N1685)),IF($O1685&lt;&gt;"",IF(INDEX(LdgNoteB,$O1685)="","—",INDEX(LdgNoteB,$O1685)),""))</f>
        <v/>
      </c>
      <c r="N1685">
        <f>IFERROR(MATCH($C$5&amp;"|"&amp;RIGHT("000000"&amp;1669,6),LdgRankKeyA,0),"")</f>
        <v/>
      </c>
      <c r="O1685">
        <f>IFERROR(MATCH($C$5&amp;"|"&amp;RIGHT("000000"&amp;1669,6),LdgRankKeyB,0),"")</f>
        <v/>
      </c>
    </row>
    <row r="1686">
      <c r="A1686" s="23" t="n">
        <v>1670</v>
      </c>
      <c r="B1686" s="24">
        <f>IF(AND($N1686="",$O1686=""),"",IF($N1686&lt;&gt;"",INDEX(PCNormDate,$N1686),INDEX(LdgDateB,$O1686)))</f>
        <v/>
      </c>
      <c r="C1686" s="24">
        <f>IF($N1686&lt;&gt;"",INDEX(PCOp,$N1686),IF($O1686&lt;&gt;"",IF(N(INDEX(TxnDepB,$O1686))&gt;0,"دریافت بانکی","پرداخت بانکی"),""))</f>
        <v/>
      </c>
      <c r="D1686" s="24">
        <f>IF($N1686&lt;&gt;"",IF(INDEX(PCDoc,$N1686)="","—",INDEX(PCDoc,$N1686)),IF($O1686&lt;&gt;"",INDEX(LdgBankB,$O1686),""))</f>
        <v/>
      </c>
      <c r="E1686" s="24">
        <f>IF($N1686&lt;&gt;"",IF(INDEX(PCCitrus,$N1686)="","—",INDEX(PCCitrus,$N1686)),"")</f>
        <v/>
      </c>
      <c r="F1686" s="25">
        <f>IF($N1686&lt;&gt;"",IF(INDEX(PCScale,$N1686)=0,"",INDEX(PCScale,$N1686)),"")</f>
        <v/>
      </c>
      <c r="G1686" s="25">
        <f>IF($N1686&lt;&gt;"",IF(INDEX(PCBaskets,$N1686)=0,"",INDEX(PCBaskets,$N1686)),"")</f>
        <v/>
      </c>
      <c r="H1686" s="26">
        <f>IF($N1686&lt;&gt;"",IF(INDEX(PCNet,$N1686)=0,"",INDEX(PCNet,$N1686)),"")</f>
        <v/>
      </c>
      <c r="I1686" s="25">
        <f>IF($N1686&lt;&gt;"",IF(INDEX(PCOp,$N1686)="مرجوعی خرید","",IF(INDEX(PCAmount,$N1686)&lt;=0,"",INDEX(PCAmount,$N1686))),IF($O1686&lt;&gt;"",IF(INDEX(TxnDepB,$O1686)=0,"",INDEX(TxnDepB,$O1686)),""))</f>
        <v/>
      </c>
      <c r="J1686" s="25">
        <f>IF($N1686&lt;&gt;"",IF(INDEX(PCOp,$N1686)="مرجوعی خرید",IF(INDEX(PCAmount,$N1686)=0,"",-INDEX(PCAmount,$N1686)),""),IF($O1686&lt;&gt;"",IF(INDEX(TxnWitB,$O1686)=0,"",INDEX(TxnWitB,$O1686)),""))</f>
        <v/>
      </c>
      <c r="K1686" s="27">
        <f>IF($B1686="","",IF($K1685="",$C$10,$K1685)+IF($I1686="",0,$I1686)-IF($J1686="",0,$J1686))</f>
        <v/>
      </c>
      <c r="L1686" s="28">
        <f>IF($N1686&lt;&gt;"",IF(INDEX(PCNotes,$N1686)="","—",INDEX(PCNotes,$N1686)),IF($O1686&lt;&gt;"",IF(INDEX(LdgNoteB,$O1686)="","—",INDEX(LdgNoteB,$O1686)),""))</f>
        <v/>
      </c>
      <c r="N1686">
        <f>IFERROR(MATCH($C$5&amp;"|"&amp;RIGHT("000000"&amp;1670,6),LdgRankKeyA,0),"")</f>
        <v/>
      </c>
      <c r="O1686">
        <f>IFERROR(MATCH($C$5&amp;"|"&amp;RIGHT("000000"&amp;1670,6),LdgRankKeyB,0),"")</f>
        <v/>
      </c>
    </row>
    <row r="1687">
      <c r="A1687" s="17" t="n">
        <v>1671</v>
      </c>
      <c r="B1687" s="18">
        <f>IF(AND($N1687="",$O1687=""),"",IF($N1687&lt;&gt;"",INDEX(PCNormDate,$N1687),INDEX(LdgDateB,$O1687)))</f>
        <v/>
      </c>
      <c r="C1687" s="18">
        <f>IF($N1687&lt;&gt;"",INDEX(PCOp,$N1687),IF($O1687&lt;&gt;"",IF(N(INDEX(TxnDepB,$O1687))&gt;0,"دریافت بانکی","پرداخت بانکی"),""))</f>
        <v/>
      </c>
      <c r="D1687" s="18">
        <f>IF($N1687&lt;&gt;"",IF(INDEX(PCDoc,$N1687)="","—",INDEX(PCDoc,$N1687)),IF($O1687&lt;&gt;"",INDEX(LdgBankB,$O1687),""))</f>
        <v/>
      </c>
      <c r="E1687" s="18">
        <f>IF($N1687&lt;&gt;"",IF(INDEX(PCCitrus,$N1687)="","—",INDEX(PCCitrus,$N1687)),"")</f>
        <v/>
      </c>
      <c r="F1687" s="19">
        <f>IF($N1687&lt;&gt;"",IF(INDEX(PCScale,$N1687)=0,"",INDEX(PCScale,$N1687)),"")</f>
        <v/>
      </c>
      <c r="G1687" s="19">
        <f>IF($N1687&lt;&gt;"",IF(INDEX(PCBaskets,$N1687)=0,"",INDEX(PCBaskets,$N1687)),"")</f>
        <v/>
      </c>
      <c r="H1687" s="20">
        <f>IF($N1687&lt;&gt;"",IF(INDEX(PCNet,$N1687)=0,"",INDEX(PCNet,$N1687)),"")</f>
        <v/>
      </c>
      <c r="I1687" s="19">
        <f>IF($N1687&lt;&gt;"",IF(INDEX(PCOp,$N1687)="مرجوعی خرید","",IF(INDEX(PCAmount,$N1687)&lt;=0,"",INDEX(PCAmount,$N1687))),IF($O1687&lt;&gt;"",IF(INDEX(TxnDepB,$O1687)=0,"",INDEX(TxnDepB,$O1687)),""))</f>
        <v/>
      </c>
      <c r="J1687" s="19">
        <f>IF($N1687&lt;&gt;"",IF(INDEX(PCOp,$N1687)="مرجوعی خرید",IF(INDEX(PCAmount,$N1687)=0,"",-INDEX(PCAmount,$N1687)),""),IF($O1687&lt;&gt;"",IF(INDEX(TxnWitB,$O1687)=0,"",INDEX(TxnWitB,$O1687)),""))</f>
        <v/>
      </c>
      <c r="K1687" s="21">
        <f>IF($B1687="","",IF($K1686="",$C$10,$K1686)+IF($I1687="",0,$I1687)-IF($J1687="",0,$J1687))</f>
        <v/>
      </c>
      <c r="L1687" s="22">
        <f>IF($N1687&lt;&gt;"",IF(INDEX(PCNotes,$N1687)="","—",INDEX(PCNotes,$N1687)),IF($O1687&lt;&gt;"",IF(INDEX(LdgNoteB,$O1687)="","—",INDEX(LdgNoteB,$O1687)),""))</f>
        <v/>
      </c>
      <c r="N1687">
        <f>IFERROR(MATCH($C$5&amp;"|"&amp;RIGHT("000000"&amp;1671,6),LdgRankKeyA,0),"")</f>
        <v/>
      </c>
      <c r="O1687">
        <f>IFERROR(MATCH($C$5&amp;"|"&amp;RIGHT("000000"&amp;1671,6),LdgRankKeyB,0),"")</f>
        <v/>
      </c>
    </row>
    <row r="1688">
      <c r="A1688" s="23" t="n">
        <v>1672</v>
      </c>
      <c r="B1688" s="24">
        <f>IF(AND($N1688="",$O1688=""),"",IF($N1688&lt;&gt;"",INDEX(PCNormDate,$N1688),INDEX(LdgDateB,$O1688)))</f>
        <v/>
      </c>
      <c r="C1688" s="24">
        <f>IF($N1688&lt;&gt;"",INDEX(PCOp,$N1688),IF($O1688&lt;&gt;"",IF(N(INDEX(TxnDepB,$O1688))&gt;0,"دریافت بانکی","پرداخت بانکی"),""))</f>
        <v/>
      </c>
      <c r="D1688" s="24">
        <f>IF($N1688&lt;&gt;"",IF(INDEX(PCDoc,$N1688)="","—",INDEX(PCDoc,$N1688)),IF($O1688&lt;&gt;"",INDEX(LdgBankB,$O1688),""))</f>
        <v/>
      </c>
      <c r="E1688" s="24">
        <f>IF($N1688&lt;&gt;"",IF(INDEX(PCCitrus,$N1688)="","—",INDEX(PCCitrus,$N1688)),"")</f>
        <v/>
      </c>
      <c r="F1688" s="25">
        <f>IF($N1688&lt;&gt;"",IF(INDEX(PCScale,$N1688)=0,"",INDEX(PCScale,$N1688)),"")</f>
        <v/>
      </c>
      <c r="G1688" s="25">
        <f>IF($N1688&lt;&gt;"",IF(INDEX(PCBaskets,$N1688)=0,"",INDEX(PCBaskets,$N1688)),"")</f>
        <v/>
      </c>
      <c r="H1688" s="26">
        <f>IF($N1688&lt;&gt;"",IF(INDEX(PCNet,$N1688)=0,"",INDEX(PCNet,$N1688)),"")</f>
        <v/>
      </c>
      <c r="I1688" s="25">
        <f>IF($N1688&lt;&gt;"",IF(INDEX(PCOp,$N1688)="مرجوعی خرید","",IF(INDEX(PCAmount,$N1688)&lt;=0,"",INDEX(PCAmount,$N1688))),IF($O1688&lt;&gt;"",IF(INDEX(TxnDepB,$O1688)=0,"",INDEX(TxnDepB,$O1688)),""))</f>
        <v/>
      </c>
      <c r="J1688" s="25">
        <f>IF($N1688&lt;&gt;"",IF(INDEX(PCOp,$N1688)="مرجوعی خرید",IF(INDEX(PCAmount,$N1688)=0,"",-INDEX(PCAmount,$N1688)),""),IF($O1688&lt;&gt;"",IF(INDEX(TxnWitB,$O1688)=0,"",INDEX(TxnWitB,$O1688)),""))</f>
        <v/>
      </c>
      <c r="K1688" s="27">
        <f>IF($B1688="","",IF($K1687="",$C$10,$K1687)+IF($I1688="",0,$I1688)-IF($J1688="",0,$J1688))</f>
        <v/>
      </c>
      <c r="L1688" s="28">
        <f>IF($N1688&lt;&gt;"",IF(INDEX(PCNotes,$N1688)="","—",INDEX(PCNotes,$N1688)),IF($O1688&lt;&gt;"",IF(INDEX(LdgNoteB,$O1688)="","—",INDEX(LdgNoteB,$O1688)),""))</f>
        <v/>
      </c>
      <c r="N1688">
        <f>IFERROR(MATCH($C$5&amp;"|"&amp;RIGHT("000000"&amp;1672,6),LdgRankKeyA,0),"")</f>
        <v/>
      </c>
      <c r="O1688">
        <f>IFERROR(MATCH($C$5&amp;"|"&amp;RIGHT("000000"&amp;1672,6),LdgRankKeyB,0),"")</f>
        <v/>
      </c>
    </row>
    <row r="1689">
      <c r="A1689" s="17" t="n">
        <v>1673</v>
      </c>
      <c r="B1689" s="18">
        <f>IF(AND($N1689="",$O1689=""),"",IF($N1689&lt;&gt;"",INDEX(PCNormDate,$N1689),INDEX(LdgDateB,$O1689)))</f>
        <v/>
      </c>
      <c r="C1689" s="18">
        <f>IF($N1689&lt;&gt;"",INDEX(PCOp,$N1689),IF($O1689&lt;&gt;"",IF(N(INDEX(TxnDepB,$O1689))&gt;0,"دریافت بانکی","پرداخت بانکی"),""))</f>
        <v/>
      </c>
      <c r="D1689" s="18">
        <f>IF($N1689&lt;&gt;"",IF(INDEX(PCDoc,$N1689)="","—",INDEX(PCDoc,$N1689)),IF($O1689&lt;&gt;"",INDEX(LdgBankB,$O1689),""))</f>
        <v/>
      </c>
      <c r="E1689" s="18">
        <f>IF($N1689&lt;&gt;"",IF(INDEX(PCCitrus,$N1689)="","—",INDEX(PCCitrus,$N1689)),"")</f>
        <v/>
      </c>
      <c r="F1689" s="19">
        <f>IF($N1689&lt;&gt;"",IF(INDEX(PCScale,$N1689)=0,"",INDEX(PCScale,$N1689)),"")</f>
        <v/>
      </c>
      <c r="G1689" s="19">
        <f>IF($N1689&lt;&gt;"",IF(INDEX(PCBaskets,$N1689)=0,"",INDEX(PCBaskets,$N1689)),"")</f>
        <v/>
      </c>
      <c r="H1689" s="20">
        <f>IF($N1689&lt;&gt;"",IF(INDEX(PCNet,$N1689)=0,"",INDEX(PCNet,$N1689)),"")</f>
        <v/>
      </c>
      <c r="I1689" s="19">
        <f>IF($N1689&lt;&gt;"",IF(INDEX(PCOp,$N1689)="مرجوعی خرید","",IF(INDEX(PCAmount,$N1689)&lt;=0,"",INDEX(PCAmount,$N1689))),IF($O1689&lt;&gt;"",IF(INDEX(TxnDepB,$O1689)=0,"",INDEX(TxnDepB,$O1689)),""))</f>
        <v/>
      </c>
      <c r="J1689" s="19">
        <f>IF($N1689&lt;&gt;"",IF(INDEX(PCOp,$N1689)="مرجوعی خرید",IF(INDEX(PCAmount,$N1689)=0,"",-INDEX(PCAmount,$N1689)),""),IF($O1689&lt;&gt;"",IF(INDEX(TxnWitB,$O1689)=0,"",INDEX(TxnWitB,$O1689)),""))</f>
        <v/>
      </c>
      <c r="K1689" s="21">
        <f>IF($B1689="","",IF($K1688="",$C$10,$K1688)+IF($I1689="",0,$I1689)-IF($J1689="",0,$J1689))</f>
        <v/>
      </c>
      <c r="L1689" s="22">
        <f>IF($N1689&lt;&gt;"",IF(INDEX(PCNotes,$N1689)="","—",INDEX(PCNotes,$N1689)),IF($O1689&lt;&gt;"",IF(INDEX(LdgNoteB,$O1689)="","—",INDEX(LdgNoteB,$O1689)),""))</f>
        <v/>
      </c>
      <c r="N1689">
        <f>IFERROR(MATCH($C$5&amp;"|"&amp;RIGHT("000000"&amp;1673,6),LdgRankKeyA,0),"")</f>
        <v/>
      </c>
      <c r="O1689">
        <f>IFERROR(MATCH($C$5&amp;"|"&amp;RIGHT("000000"&amp;1673,6),LdgRankKeyB,0),"")</f>
        <v/>
      </c>
    </row>
    <row r="1690">
      <c r="A1690" s="23" t="n">
        <v>1674</v>
      </c>
      <c r="B1690" s="24">
        <f>IF(AND($N1690="",$O1690=""),"",IF($N1690&lt;&gt;"",INDEX(PCNormDate,$N1690),INDEX(LdgDateB,$O1690)))</f>
        <v/>
      </c>
      <c r="C1690" s="24">
        <f>IF($N1690&lt;&gt;"",INDEX(PCOp,$N1690),IF($O1690&lt;&gt;"",IF(N(INDEX(TxnDepB,$O1690))&gt;0,"دریافت بانکی","پرداخت بانکی"),""))</f>
        <v/>
      </c>
      <c r="D1690" s="24">
        <f>IF($N1690&lt;&gt;"",IF(INDEX(PCDoc,$N1690)="","—",INDEX(PCDoc,$N1690)),IF($O1690&lt;&gt;"",INDEX(LdgBankB,$O1690),""))</f>
        <v/>
      </c>
      <c r="E1690" s="24">
        <f>IF($N1690&lt;&gt;"",IF(INDEX(PCCitrus,$N1690)="","—",INDEX(PCCitrus,$N1690)),"")</f>
        <v/>
      </c>
      <c r="F1690" s="25">
        <f>IF($N1690&lt;&gt;"",IF(INDEX(PCScale,$N1690)=0,"",INDEX(PCScale,$N1690)),"")</f>
        <v/>
      </c>
      <c r="G1690" s="25">
        <f>IF($N1690&lt;&gt;"",IF(INDEX(PCBaskets,$N1690)=0,"",INDEX(PCBaskets,$N1690)),"")</f>
        <v/>
      </c>
      <c r="H1690" s="26">
        <f>IF($N1690&lt;&gt;"",IF(INDEX(PCNet,$N1690)=0,"",INDEX(PCNet,$N1690)),"")</f>
        <v/>
      </c>
      <c r="I1690" s="25">
        <f>IF($N1690&lt;&gt;"",IF(INDEX(PCOp,$N1690)="مرجوعی خرید","",IF(INDEX(PCAmount,$N1690)&lt;=0,"",INDEX(PCAmount,$N1690))),IF($O1690&lt;&gt;"",IF(INDEX(TxnDepB,$O1690)=0,"",INDEX(TxnDepB,$O1690)),""))</f>
        <v/>
      </c>
      <c r="J1690" s="25">
        <f>IF($N1690&lt;&gt;"",IF(INDEX(PCOp,$N1690)="مرجوعی خرید",IF(INDEX(PCAmount,$N1690)=0,"",-INDEX(PCAmount,$N1690)),""),IF($O1690&lt;&gt;"",IF(INDEX(TxnWitB,$O1690)=0,"",INDEX(TxnWitB,$O1690)),""))</f>
        <v/>
      </c>
      <c r="K1690" s="27">
        <f>IF($B1690="","",IF($K1689="",$C$10,$K1689)+IF($I1690="",0,$I1690)-IF($J1690="",0,$J1690))</f>
        <v/>
      </c>
      <c r="L1690" s="28">
        <f>IF($N1690&lt;&gt;"",IF(INDEX(PCNotes,$N1690)="","—",INDEX(PCNotes,$N1690)),IF($O1690&lt;&gt;"",IF(INDEX(LdgNoteB,$O1690)="","—",INDEX(LdgNoteB,$O1690)),""))</f>
        <v/>
      </c>
      <c r="N1690">
        <f>IFERROR(MATCH($C$5&amp;"|"&amp;RIGHT("000000"&amp;1674,6),LdgRankKeyA,0),"")</f>
        <v/>
      </c>
      <c r="O1690">
        <f>IFERROR(MATCH($C$5&amp;"|"&amp;RIGHT("000000"&amp;1674,6),LdgRankKeyB,0),"")</f>
        <v/>
      </c>
    </row>
    <row r="1691">
      <c r="A1691" s="17" t="n">
        <v>1675</v>
      </c>
      <c r="B1691" s="18">
        <f>IF(AND($N1691="",$O1691=""),"",IF($N1691&lt;&gt;"",INDEX(PCNormDate,$N1691),INDEX(LdgDateB,$O1691)))</f>
        <v/>
      </c>
      <c r="C1691" s="18">
        <f>IF($N1691&lt;&gt;"",INDEX(PCOp,$N1691),IF($O1691&lt;&gt;"",IF(N(INDEX(TxnDepB,$O1691))&gt;0,"دریافت بانکی","پرداخت بانکی"),""))</f>
        <v/>
      </c>
      <c r="D1691" s="18">
        <f>IF($N1691&lt;&gt;"",IF(INDEX(PCDoc,$N1691)="","—",INDEX(PCDoc,$N1691)),IF($O1691&lt;&gt;"",INDEX(LdgBankB,$O1691),""))</f>
        <v/>
      </c>
      <c r="E1691" s="18">
        <f>IF($N1691&lt;&gt;"",IF(INDEX(PCCitrus,$N1691)="","—",INDEX(PCCitrus,$N1691)),"")</f>
        <v/>
      </c>
      <c r="F1691" s="19">
        <f>IF($N1691&lt;&gt;"",IF(INDEX(PCScale,$N1691)=0,"",INDEX(PCScale,$N1691)),"")</f>
        <v/>
      </c>
      <c r="G1691" s="19">
        <f>IF($N1691&lt;&gt;"",IF(INDEX(PCBaskets,$N1691)=0,"",INDEX(PCBaskets,$N1691)),"")</f>
        <v/>
      </c>
      <c r="H1691" s="20">
        <f>IF($N1691&lt;&gt;"",IF(INDEX(PCNet,$N1691)=0,"",INDEX(PCNet,$N1691)),"")</f>
        <v/>
      </c>
      <c r="I1691" s="19">
        <f>IF($N1691&lt;&gt;"",IF(INDEX(PCOp,$N1691)="مرجوعی خرید","",IF(INDEX(PCAmount,$N1691)&lt;=0,"",INDEX(PCAmount,$N1691))),IF($O1691&lt;&gt;"",IF(INDEX(TxnDepB,$O1691)=0,"",INDEX(TxnDepB,$O1691)),""))</f>
        <v/>
      </c>
      <c r="J1691" s="19">
        <f>IF($N1691&lt;&gt;"",IF(INDEX(PCOp,$N1691)="مرجوعی خرید",IF(INDEX(PCAmount,$N1691)=0,"",-INDEX(PCAmount,$N1691)),""),IF($O1691&lt;&gt;"",IF(INDEX(TxnWitB,$O1691)=0,"",INDEX(TxnWitB,$O1691)),""))</f>
        <v/>
      </c>
      <c r="K1691" s="21">
        <f>IF($B1691="","",IF($K1690="",$C$10,$K1690)+IF($I1691="",0,$I1691)-IF($J1691="",0,$J1691))</f>
        <v/>
      </c>
      <c r="L1691" s="22">
        <f>IF($N1691&lt;&gt;"",IF(INDEX(PCNotes,$N1691)="","—",INDEX(PCNotes,$N1691)),IF($O1691&lt;&gt;"",IF(INDEX(LdgNoteB,$O1691)="","—",INDEX(LdgNoteB,$O1691)),""))</f>
        <v/>
      </c>
      <c r="N1691">
        <f>IFERROR(MATCH($C$5&amp;"|"&amp;RIGHT("000000"&amp;1675,6),LdgRankKeyA,0),"")</f>
        <v/>
      </c>
      <c r="O1691">
        <f>IFERROR(MATCH($C$5&amp;"|"&amp;RIGHT("000000"&amp;1675,6),LdgRankKeyB,0),"")</f>
        <v/>
      </c>
    </row>
    <row r="1692">
      <c r="A1692" s="23" t="n">
        <v>1676</v>
      </c>
      <c r="B1692" s="24">
        <f>IF(AND($N1692="",$O1692=""),"",IF($N1692&lt;&gt;"",INDEX(PCNormDate,$N1692),INDEX(LdgDateB,$O1692)))</f>
        <v/>
      </c>
      <c r="C1692" s="24">
        <f>IF($N1692&lt;&gt;"",INDEX(PCOp,$N1692),IF($O1692&lt;&gt;"",IF(N(INDEX(TxnDepB,$O1692))&gt;0,"دریافت بانکی","پرداخت بانکی"),""))</f>
        <v/>
      </c>
      <c r="D1692" s="24">
        <f>IF($N1692&lt;&gt;"",IF(INDEX(PCDoc,$N1692)="","—",INDEX(PCDoc,$N1692)),IF($O1692&lt;&gt;"",INDEX(LdgBankB,$O1692),""))</f>
        <v/>
      </c>
      <c r="E1692" s="24">
        <f>IF($N1692&lt;&gt;"",IF(INDEX(PCCitrus,$N1692)="","—",INDEX(PCCitrus,$N1692)),"")</f>
        <v/>
      </c>
      <c r="F1692" s="25">
        <f>IF($N1692&lt;&gt;"",IF(INDEX(PCScale,$N1692)=0,"",INDEX(PCScale,$N1692)),"")</f>
        <v/>
      </c>
      <c r="G1692" s="25">
        <f>IF($N1692&lt;&gt;"",IF(INDEX(PCBaskets,$N1692)=0,"",INDEX(PCBaskets,$N1692)),"")</f>
        <v/>
      </c>
      <c r="H1692" s="26">
        <f>IF($N1692&lt;&gt;"",IF(INDEX(PCNet,$N1692)=0,"",INDEX(PCNet,$N1692)),"")</f>
        <v/>
      </c>
      <c r="I1692" s="25">
        <f>IF($N1692&lt;&gt;"",IF(INDEX(PCOp,$N1692)="مرجوعی خرید","",IF(INDEX(PCAmount,$N1692)&lt;=0,"",INDEX(PCAmount,$N1692))),IF($O1692&lt;&gt;"",IF(INDEX(TxnDepB,$O1692)=0,"",INDEX(TxnDepB,$O1692)),""))</f>
        <v/>
      </c>
      <c r="J1692" s="25">
        <f>IF($N1692&lt;&gt;"",IF(INDEX(PCOp,$N1692)="مرجوعی خرید",IF(INDEX(PCAmount,$N1692)=0,"",-INDEX(PCAmount,$N1692)),""),IF($O1692&lt;&gt;"",IF(INDEX(TxnWitB,$O1692)=0,"",INDEX(TxnWitB,$O1692)),""))</f>
        <v/>
      </c>
      <c r="K1692" s="27">
        <f>IF($B1692="","",IF($K1691="",$C$10,$K1691)+IF($I1692="",0,$I1692)-IF($J1692="",0,$J1692))</f>
        <v/>
      </c>
      <c r="L1692" s="28">
        <f>IF($N1692&lt;&gt;"",IF(INDEX(PCNotes,$N1692)="","—",INDEX(PCNotes,$N1692)),IF($O1692&lt;&gt;"",IF(INDEX(LdgNoteB,$O1692)="","—",INDEX(LdgNoteB,$O1692)),""))</f>
        <v/>
      </c>
      <c r="N1692">
        <f>IFERROR(MATCH($C$5&amp;"|"&amp;RIGHT("000000"&amp;1676,6),LdgRankKeyA,0),"")</f>
        <v/>
      </c>
      <c r="O1692">
        <f>IFERROR(MATCH($C$5&amp;"|"&amp;RIGHT("000000"&amp;1676,6),LdgRankKeyB,0),"")</f>
        <v/>
      </c>
    </row>
    <row r="1693">
      <c r="A1693" s="17" t="n">
        <v>1677</v>
      </c>
      <c r="B1693" s="18">
        <f>IF(AND($N1693="",$O1693=""),"",IF($N1693&lt;&gt;"",INDEX(PCNormDate,$N1693),INDEX(LdgDateB,$O1693)))</f>
        <v/>
      </c>
      <c r="C1693" s="18">
        <f>IF($N1693&lt;&gt;"",INDEX(PCOp,$N1693),IF($O1693&lt;&gt;"",IF(N(INDEX(TxnDepB,$O1693))&gt;0,"دریافت بانکی","پرداخت بانکی"),""))</f>
        <v/>
      </c>
      <c r="D1693" s="18">
        <f>IF($N1693&lt;&gt;"",IF(INDEX(PCDoc,$N1693)="","—",INDEX(PCDoc,$N1693)),IF($O1693&lt;&gt;"",INDEX(LdgBankB,$O1693),""))</f>
        <v/>
      </c>
      <c r="E1693" s="18">
        <f>IF($N1693&lt;&gt;"",IF(INDEX(PCCitrus,$N1693)="","—",INDEX(PCCitrus,$N1693)),"")</f>
        <v/>
      </c>
      <c r="F1693" s="19">
        <f>IF($N1693&lt;&gt;"",IF(INDEX(PCScale,$N1693)=0,"",INDEX(PCScale,$N1693)),"")</f>
        <v/>
      </c>
      <c r="G1693" s="19">
        <f>IF($N1693&lt;&gt;"",IF(INDEX(PCBaskets,$N1693)=0,"",INDEX(PCBaskets,$N1693)),"")</f>
        <v/>
      </c>
      <c r="H1693" s="20">
        <f>IF($N1693&lt;&gt;"",IF(INDEX(PCNet,$N1693)=0,"",INDEX(PCNet,$N1693)),"")</f>
        <v/>
      </c>
      <c r="I1693" s="19">
        <f>IF($N1693&lt;&gt;"",IF(INDEX(PCOp,$N1693)="مرجوعی خرید","",IF(INDEX(PCAmount,$N1693)&lt;=0,"",INDEX(PCAmount,$N1693))),IF($O1693&lt;&gt;"",IF(INDEX(TxnDepB,$O1693)=0,"",INDEX(TxnDepB,$O1693)),""))</f>
        <v/>
      </c>
      <c r="J1693" s="19">
        <f>IF($N1693&lt;&gt;"",IF(INDEX(PCOp,$N1693)="مرجوعی خرید",IF(INDEX(PCAmount,$N1693)=0,"",-INDEX(PCAmount,$N1693)),""),IF($O1693&lt;&gt;"",IF(INDEX(TxnWitB,$O1693)=0,"",INDEX(TxnWitB,$O1693)),""))</f>
        <v/>
      </c>
      <c r="K1693" s="21">
        <f>IF($B1693="","",IF($K1692="",$C$10,$K1692)+IF($I1693="",0,$I1693)-IF($J1693="",0,$J1693))</f>
        <v/>
      </c>
      <c r="L1693" s="22">
        <f>IF($N1693&lt;&gt;"",IF(INDEX(PCNotes,$N1693)="","—",INDEX(PCNotes,$N1693)),IF($O1693&lt;&gt;"",IF(INDEX(LdgNoteB,$O1693)="","—",INDEX(LdgNoteB,$O1693)),""))</f>
        <v/>
      </c>
      <c r="N1693">
        <f>IFERROR(MATCH($C$5&amp;"|"&amp;RIGHT("000000"&amp;1677,6),LdgRankKeyA,0),"")</f>
        <v/>
      </c>
      <c r="O1693">
        <f>IFERROR(MATCH($C$5&amp;"|"&amp;RIGHT("000000"&amp;1677,6),LdgRankKeyB,0),"")</f>
        <v/>
      </c>
    </row>
    <row r="1694">
      <c r="A1694" s="23" t="n">
        <v>1678</v>
      </c>
      <c r="B1694" s="24">
        <f>IF(AND($N1694="",$O1694=""),"",IF($N1694&lt;&gt;"",INDEX(PCNormDate,$N1694),INDEX(LdgDateB,$O1694)))</f>
        <v/>
      </c>
      <c r="C1694" s="24">
        <f>IF($N1694&lt;&gt;"",INDEX(PCOp,$N1694),IF($O1694&lt;&gt;"",IF(N(INDEX(TxnDepB,$O1694))&gt;0,"دریافت بانکی","پرداخت بانکی"),""))</f>
        <v/>
      </c>
      <c r="D1694" s="24">
        <f>IF($N1694&lt;&gt;"",IF(INDEX(PCDoc,$N1694)="","—",INDEX(PCDoc,$N1694)),IF($O1694&lt;&gt;"",INDEX(LdgBankB,$O1694),""))</f>
        <v/>
      </c>
      <c r="E1694" s="24">
        <f>IF($N1694&lt;&gt;"",IF(INDEX(PCCitrus,$N1694)="","—",INDEX(PCCitrus,$N1694)),"")</f>
        <v/>
      </c>
      <c r="F1694" s="25">
        <f>IF($N1694&lt;&gt;"",IF(INDEX(PCScale,$N1694)=0,"",INDEX(PCScale,$N1694)),"")</f>
        <v/>
      </c>
      <c r="G1694" s="25">
        <f>IF($N1694&lt;&gt;"",IF(INDEX(PCBaskets,$N1694)=0,"",INDEX(PCBaskets,$N1694)),"")</f>
        <v/>
      </c>
      <c r="H1694" s="26">
        <f>IF($N1694&lt;&gt;"",IF(INDEX(PCNet,$N1694)=0,"",INDEX(PCNet,$N1694)),"")</f>
        <v/>
      </c>
      <c r="I1694" s="25">
        <f>IF($N1694&lt;&gt;"",IF(INDEX(PCOp,$N1694)="مرجوعی خرید","",IF(INDEX(PCAmount,$N1694)&lt;=0,"",INDEX(PCAmount,$N1694))),IF($O1694&lt;&gt;"",IF(INDEX(TxnDepB,$O1694)=0,"",INDEX(TxnDepB,$O1694)),""))</f>
        <v/>
      </c>
      <c r="J1694" s="25">
        <f>IF($N1694&lt;&gt;"",IF(INDEX(PCOp,$N1694)="مرجوعی خرید",IF(INDEX(PCAmount,$N1694)=0,"",-INDEX(PCAmount,$N1694)),""),IF($O1694&lt;&gt;"",IF(INDEX(TxnWitB,$O1694)=0,"",INDEX(TxnWitB,$O1694)),""))</f>
        <v/>
      </c>
      <c r="K1694" s="27">
        <f>IF($B1694="","",IF($K1693="",$C$10,$K1693)+IF($I1694="",0,$I1694)-IF($J1694="",0,$J1694))</f>
        <v/>
      </c>
      <c r="L1694" s="28">
        <f>IF($N1694&lt;&gt;"",IF(INDEX(PCNotes,$N1694)="","—",INDEX(PCNotes,$N1694)),IF($O1694&lt;&gt;"",IF(INDEX(LdgNoteB,$O1694)="","—",INDEX(LdgNoteB,$O1694)),""))</f>
        <v/>
      </c>
      <c r="N1694">
        <f>IFERROR(MATCH($C$5&amp;"|"&amp;RIGHT("000000"&amp;1678,6),LdgRankKeyA,0),"")</f>
        <v/>
      </c>
      <c r="O1694">
        <f>IFERROR(MATCH($C$5&amp;"|"&amp;RIGHT("000000"&amp;1678,6),LdgRankKeyB,0),"")</f>
        <v/>
      </c>
    </row>
    <row r="1695">
      <c r="A1695" s="17" t="n">
        <v>1679</v>
      </c>
      <c r="B1695" s="18">
        <f>IF(AND($N1695="",$O1695=""),"",IF($N1695&lt;&gt;"",INDEX(PCNormDate,$N1695),INDEX(LdgDateB,$O1695)))</f>
        <v/>
      </c>
      <c r="C1695" s="18">
        <f>IF($N1695&lt;&gt;"",INDEX(PCOp,$N1695),IF($O1695&lt;&gt;"",IF(N(INDEX(TxnDepB,$O1695))&gt;0,"دریافت بانکی","پرداخت بانکی"),""))</f>
        <v/>
      </c>
      <c r="D1695" s="18">
        <f>IF($N1695&lt;&gt;"",IF(INDEX(PCDoc,$N1695)="","—",INDEX(PCDoc,$N1695)),IF($O1695&lt;&gt;"",INDEX(LdgBankB,$O1695),""))</f>
        <v/>
      </c>
      <c r="E1695" s="18">
        <f>IF($N1695&lt;&gt;"",IF(INDEX(PCCitrus,$N1695)="","—",INDEX(PCCitrus,$N1695)),"")</f>
        <v/>
      </c>
      <c r="F1695" s="19">
        <f>IF($N1695&lt;&gt;"",IF(INDEX(PCScale,$N1695)=0,"",INDEX(PCScale,$N1695)),"")</f>
        <v/>
      </c>
      <c r="G1695" s="19">
        <f>IF($N1695&lt;&gt;"",IF(INDEX(PCBaskets,$N1695)=0,"",INDEX(PCBaskets,$N1695)),"")</f>
        <v/>
      </c>
      <c r="H1695" s="20">
        <f>IF($N1695&lt;&gt;"",IF(INDEX(PCNet,$N1695)=0,"",INDEX(PCNet,$N1695)),"")</f>
        <v/>
      </c>
      <c r="I1695" s="19">
        <f>IF($N1695&lt;&gt;"",IF(INDEX(PCOp,$N1695)="مرجوعی خرید","",IF(INDEX(PCAmount,$N1695)&lt;=0,"",INDEX(PCAmount,$N1695))),IF($O1695&lt;&gt;"",IF(INDEX(TxnDepB,$O1695)=0,"",INDEX(TxnDepB,$O1695)),""))</f>
        <v/>
      </c>
      <c r="J1695" s="19">
        <f>IF($N1695&lt;&gt;"",IF(INDEX(PCOp,$N1695)="مرجوعی خرید",IF(INDEX(PCAmount,$N1695)=0,"",-INDEX(PCAmount,$N1695)),""),IF($O1695&lt;&gt;"",IF(INDEX(TxnWitB,$O1695)=0,"",INDEX(TxnWitB,$O1695)),""))</f>
        <v/>
      </c>
      <c r="K1695" s="21">
        <f>IF($B1695="","",IF($K1694="",$C$10,$K1694)+IF($I1695="",0,$I1695)-IF($J1695="",0,$J1695))</f>
        <v/>
      </c>
      <c r="L1695" s="22">
        <f>IF($N1695&lt;&gt;"",IF(INDEX(PCNotes,$N1695)="","—",INDEX(PCNotes,$N1695)),IF($O1695&lt;&gt;"",IF(INDEX(LdgNoteB,$O1695)="","—",INDEX(LdgNoteB,$O1695)),""))</f>
        <v/>
      </c>
      <c r="N1695">
        <f>IFERROR(MATCH($C$5&amp;"|"&amp;RIGHT("000000"&amp;1679,6),LdgRankKeyA,0),"")</f>
        <v/>
      </c>
      <c r="O1695">
        <f>IFERROR(MATCH($C$5&amp;"|"&amp;RIGHT("000000"&amp;1679,6),LdgRankKeyB,0),"")</f>
        <v/>
      </c>
    </row>
    <row r="1696">
      <c r="A1696" s="23" t="n">
        <v>1680</v>
      </c>
      <c r="B1696" s="24">
        <f>IF(AND($N1696="",$O1696=""),"",IF($N1696&lt;&gt;"",INDEX(PCNormDate,$N1696),INDEX(LdgDateB,$O1696)))</f>
        <v/>
      </c>
      <c r="C1696" s="24">
        <f>IF($N1696&lt;&gt;"",INDEX(PCOp,$N1696),IF($O1696&lt;&gt;"",IF(N(INDEX(TxnDepB,$O1696))&gt;0,"دریافت بانکی","پرداخت بانکی"),""))</f>
        <v/>
      </c>
      <c r="D1696" s="24">
        <f>IF($N1696&lt;&gt;"",IF(INDEX(PCDoc,$N1696)="","—",INDEX(PCDoc,$N1696)),IF($O1696&lt;&gt;"",INDEX(LdgBankB,$O1696),""))</f>
        <v/>
      </c>
      <c r="E1696" s="24">
        <f>IF($N1696&lt;&gt;"",IF(INDEX(PCCitrus,$N1696)="","—",INDEX(PCCitrus,$N1696)),"")</f>
        <v/>
      </c>
      <c r="F1696" s="25">
        <f>IF($N1696&lt;&gt;"",IF(INDEX(PCScale,$N1696)=0,"",INDEX(PCScale,$N1696)),"")</f>
        <v/>
      </c>
      <c r="G1696" s="25">
        <f>IF($N1696&lt;&gt;"",IF(INDEX(PCBaskets,$N1696)=0,"",INDEX(PCBaskets,$N1696)),"")</f>
        <v/>
      </c>
      <c r="H1696" s="26">
        <f>IF($N1696&lt;&gt;"",IF(INDEX(PCNet,$N1696)=0,"",INDEX(PCNet,$N1696)),"")</f>
        <v/>
      </c>
      <c r="I1696" s="25">
        <f>IF($N1696&lt;&gt;"",IF(INDEX(PCOp,$N1696)="مرجوعی خرید","",IF(INDEX(PCAmount,$N1696)&lt;=0,"",INDEX(PCAmount,$N1696))),IF($O1696&lt;&gt;"",IF(INDEX(TxnDepB,$O1696)=0,"",INDEX(TxnDepB,$O1696)),""))</f>
        <v/>
      </c>
      <c r="J1696" s="25">
        <f>IF($N1696&lt;&gt;"",IF(INDEX(PCOp,$N1696)="مرجوعی خرید",IF(INDEX(PCAmount,$N1696)=0,"",-INDEX(PCAmount,$N1696)),""),IF($O1696&lt;&gt;"",IF(INDEX(TxnWitB,$O1696)=0,"",INDEX(TxnWitB,$O1696)),""))</f>
        <v/>
      </c>
      <c r="K1696" s="27">
        <f>IF($B1696="","",IF($K1695="",$C$10,$K1695)+IF($I1696="",0,$I1696)-IF($J1696="",0,$J1696))</f>
        <v/>
      </c>
      <c r="L1696" s="28">
        <f>IF($N1696&lt;&gt;"",IF(INDEX(PCNotes,$N1696)="","—",INDEX(PCNotes,$N1696)),IF($O1696&lt;&gt;"",IF(INDEX(LdgNoteB,$O1696)="","—",INDEX(LdgNoteB,$O1696)),""))</f>
        <v/>
      </c>
      <c r="N1696">
        <f>IFERROR(MATCH($C$5&amp;"|"&amp;RIGHT("000000"&amp;1680,6),LdgRankKeyA,0),"")</f>
        <v/>
      </c>
      <c r="O1696">
        <f>IFERROR(MATCH($C$5&amp;"|"&amp;RIGHT("000000"&amp;1680,6),LdgRankKeyB,0),"")</f>
        <v/>
      </c>
    </row>
    <row r="1697">
      <c r="A1697" s="17" t="n">
        <v>1681</v>
      </c>
      <c r="B1697" s="18">
        <f>IF(AND($N1697="",$O1697=""),"",IF($N1697&lt;&gt;"",INDEX(PCNormDate,$N1697),INDEX(LdgDateB,$O1697)))</f>
        <v/>
      </c>
      <c r="C1697" s="18">
        <f>IF($N1697&lt;&gt;"",INDEX(PCOp,$N1697),IF($O1697&lt;&gt;"",IF(N(INDEX(TxnDepB,$O1697))&gt;0,"دریافت بانکی","پرداخت بانکی"),""))</f>
        <v/>
      </c>
      <c r="D1697" s="18">
        <f>IF($N1697&lt;&gt;"",IF(INDEX(PCDoc,$N1697)="","—",INDEX(PCDoc,$N1697)),IF($O1697&lt;&gt;"",INDEX(LdgBankB,$O1697),""))</f>
        <v/>
      </c>
      <c r="E1697" s="18">
        <f>IF($N1697&lt;&gt;"",IF(INDEX(PCCitrus,$N1697)="","—",INDEX(PCCitrus,$N1697)),"")</f>
        <v/>
      </c>
      <c r="F1697" s="19">
        <f>IF($N1697&lt;&gt;"",IF(INDEX(PCScale,$N1697)=0,"",INDEX(PCScale,$N1697)),"")</f>
        <v/>
      </c>
      <c r="G1697" s="19">
        <f>IF($N1697&lt;&gt;"",IF(INDEX(PCBaskets,$N1697)=0,"",INDEX(PCBaskets,$N1697)),"")</f>
        <v/>
      </c>
      <c r="H1697" s="20">
        <f>IF($N1697&lt;&gt;"",IF(INDEX(PCNet,$N1697)=0,"",INDEX(PCNet,$N1697)),"")</f>
        <v/>
      </c>
      <c r="I1697" s="19">
        <f>IF($N1697&lt;&gt;"",IF(INDEX(PCOp,$N1697)="مرجوعی خرید","",IF(INDEX(PCAmount,$N1697)&lt;=0,"",INDEX(PCAmount,$N1697))),IF($O1697&lt;&gt;"",IF(INDEX(TxnDepB,$O1697)=0,"",INDEX(TxnDepB,$O1697)),""))</f>
        <v/>
      </c>
      <c r="J1697" s="19">
        <f>IF($N1697&lt;&gt;"",IF(INDEX(PCOp,$N1697)="مرجوعی خرید",IF(INDEX(PCAmount,$N1697)=0,"",-INDEX(PCAmount,$N1697)),""),IF($O1697&lt;&gt;"",IF(INDEX(TxnWitB,$O1697)=0,"",INDEX(TxnWitB,$O1697)),""))</f>
        <v/>
      </c>
      <c r="K1697" s="21">
        <f>IF($B1697="","",IF($K1696="",$C$10,$K1696)+IF($I1697="",0,$I1697)-IF($J1697="",0,$J1697))</f>
        <v/>
      </c>
      <c r="L1697" s="22">
        <f>IF($N1697&lt;&gt;"",IF(INDEX(PCNotes,$N1697)="","—",INDEX(PCNotes,$N1697)),IF($O1697&lt;&gt;"",IF(INDEX(LdgNoteB,$O1697)="","—",INDEX(LdgNoteB,$O1697)),""))</f>
        <v/>
      </c>
      <c r="N1697">
        <f>IFERROR(MATCH($C$5&amp;"|"&amp;RIGHT("000000"&amp;1681,6),LdgRankKeyA,0),"")</f>
        <v/>
      </c>
      <c r="O1697">
        <f>IFERROR(MATCH($C$5&amp;"|"&amp;RIGHT("000000"&amp;1681,6),LdgRankKeyB,0),"")</f>
        <v/>
      </c>
    </row>
    <row r="1698">
      <c r="A1698" s="23" t="n">
        <v>1682</v>
      </c>
      <c r="B1698" s="24">
        <f>IF(AND($N1698="",$O1698=""),"",IF($N1698&lt;&gt;"",INDEX(PCNormDate,$N1698),INDEX(LdgDateB,$O1698)))</f>
        <v/>
      </c>
      <c r="C1698" s="24">
        <f>IF($N1698&lt;&gt;"",INDEX(PCOp,$N1698),IF($O1698&lt;&gt;"",IF(N(INDEX(TxnDepB,$O1698))&gt;0,"دریافت بانکی","پرداخت بانکی"),""))</f>
        <v/>
      </c>
      <c r="D1698" s="24">
        <f>IF($N1698&lt;&gt;"",IF(INDEX(PCDoc,$N1698)="","—",INDEX(PCDoc,$N1698)),IF($O1698&lt;&gt;"",INDEX(LdgBankB,$O1698),""))</f>
        <v/>
      </c>
      <c r="E1698" s="24">
        <f>IF($N1698&lt;&gt;"",IF(INDEX(PCCitrus,$N1698)="","—",INDEX(PCCitrus,$N1698)),"")</f>
        <v/>
      </c>
      <c r="F1698" s="25">
        <f>IF($N1698&lt;&gt;"",IF(INDEX(PCScale,$N1698)=0,"",INDEX(PCScale,$N1698)),"")</f>
        <v/>
      </c>
      <c r="G1698" s="25">
        <f>IF($N1698&lt;&gt;"",IF(INDEX(PCBaskets,$N1698)=0,"",INDEX(PCBaskets,$N1698)),"")</f>
        <v/>
      </c>
      <c r="H1698" s="26">
        <f>IF($N1698&lt;&gt;"",IF(INDEX(PCNet,$N1698)=0,"",INDEX(PCNet,$N1698)),"")</f>
        <v/>
      </c>
      <c r="I1698" s="25">
        <f>IF($N1698&lt;&gt;"",IF(INDEX(PCOp,$N1698)="مرجوعی خرید","",IF(INDEX(PCAmount,$N1698)&lt;=0,"",INDEX(PCAmount,$N1698))),IF($O1698&lt;&gt;"",IF(INDEX(TxnDepB,$O1698)=0,"",INDEX(TxnDepB,$O1698)),""))</f>
        <v/>
      </c>
      <c r="J1698" s="25">
        <f>IF($N1698&lt;&gt;"",IF(INDEX(PCOp,$N1698)="مرجوعی خرید",IF(INDEX(PCAmount,$N1698)=0,"",-INDEX(PCAmount,$N1698)),""),IF($O1698&lt;&gt;"",IF(INDEX(TxnWitB,$O1698)=0,"",INDEX(TxnWitB,$O1698)),""))</f>
        <v/>
      </c>
      <c r="K1698" s="27">
        <f>IF($B1698="","",IF($K1697="",$C$10,$K1697)+IF($I1698="",0,$I1698)-IF($J1698="",0,$J1698))</f>
        <v/>
      </c>
      <c r="L1698" s="28">
        <f>IF($N1698&lt;&gt;"",IF(INDEX(PCNotes,$N1698)="","—",INDEX(PCNotes,$N1698)),IF($O1698&lt;&gt;"",IF(INDEX(LdgNoteB,$O1698)="","—",INDEX(LdgNoteB,$O1698)),""))</f>
        <v/>
      </c>
      <c r="N1698">
        <f>IFERROR(MATCH($C$5&amp;"|"&amp;RIGHT("000000"&amp;1682,6),LdgRankKeyA,0),"")</f>
        <v/>
      </c>
      <c r="O1698">
        <f>IFERROR(MATCH($C$5&amp;"|"&amp;RIGHT("000000"&amp;1682,6),LdgRankKeyB,0),"")</f>
        <v/>
      </c>
    </row>
    <row r="1699">
      <c r="A1699" s="17" t="n">
        <v>1683</v>
      </c>
      <c r="B1699" s="18">
        <f>IF(AND($N1699="",$O1699=""),"",IF($N1699&lt;&gt;"",INDEX(PCNormDate,$N1699),INDEX(LdgDateB,$O1699)))</f>
        <v/>
      </c>
      <c r="C1699" s="18">
        <f>IF($N1699&lt;&gt;"",INDEX(PCOp,$N1699),IF($O1699&lt;&gt;"",IF(N(INDEX(TxnDepB,$O1699))&gt;0,"دریافت بانکی","پرداخت بانکی"),""))</f>
        <v/>
      </c>
      <c r="D1699" s="18">
        <f>IF($N1699&lt;&gt;"",IF(INDEX(PCDoc,$N1699)="","—",INDEX(PCDoc,$N1699)),IF($O1699&lt;&gt;"",INDEX(LdgBankB,$O1699),""))</f>
        <v/>
      </c>
      <c r="E1699" s="18">
        <f>IF($N1699&lt;&gt;"",IF(INDEX(PCCitrus,$N1699)="","—",INDEX(PCCitrus,$N1699)),"")</f>
        <v/>
      </c>
      <c r="F1699" s="19">
        <f>IF($N1699&lt;&gt;"",IF(INDEX(PCScale,$N1699)=0,"",INDEX(PCScale,$N1699)),"")</f>
        <v/>
      </c>
      <c r="G1699" s="19">
        <f>IF($N1699&lt;&gt;"",IF(INDEX(PCBaskets,$N1699)=0,"",INDEX(PCBaskets,$N1699)),"")</f>
        <v/>
      </c>
      <c r="H1699" s="20">
        <f>IF($N1699&lt;&gt;"",IF(INDEX(PCNet,$N1699)=0,"",INDEX(PCNet,$N1699)),"")</f>
        <v/>
      </c>
      <c r="I1699" s="19">
        <f>IF($N1699&lt;&gt;"",IF(INDEX(PCOp,$N1699)="مرجوعی خرید","",IF(INDEX(PCAmount,$N1699)&lt;=0,"",INDEX(PCAmount,$N1699))),IF($O1699&lt;&gt;"",IF(INDEX(TxnDepB,$O1699)=0,"",INDEX(TxnDepB,$O1699)),""))</f>
        <v/>
      </c>
      <c r="J1699" s="19">
        <f>IF($N1699&lt;&gt;"",IF(INDEX(PCOp,$N1699)="مرجوعی خرید",IF(INDEX(PCAmount,$N1699)=0,"",-INDEX(PCAmount,$N1699)),""),IF($O1699&lt;&gt;"",IF(INDEX(TxnWitB,$O1699)=0,"",INDEX(TxnWitB,$O1699)),""))</f>
        <v/>
      </c>
      <c r="K1699" s="21">
        <f>IF($B1699="","",IF($K1698="",$C$10,$K1698)+IF($I1699="",0,$I1699)-IF($J1699="",0,$J1699))</f>
        <v/>
      </c>
      <c r="L1699" s="22">
        <f>IF($N1699&lt;&gt;"",IF(INDEX(PCNotes,$N1699)="","—",INDEX(PCNotes,$N1699)),IF($O1699&lt;&gt;"",IF(INDEX(LdgNoteB,$O1699)="","—",INDEX(LdgNoteB,$O1699)),""))</f>
        <v/>
      </c>
      <c r="N1699">
        <f>IFERROR(MATCH($C$5&amp;"|"&amp;RIGHT("000000"&amp;1683,6),LdgRankKeyA,0),"")</f>
        <v/>
      </c>
      <c r="O1699">
        <f>IFERROR(MATCH($C$5&amp;"|"&amp;RIGHT("000000"&amp;1683,6),LdgRankKeyB,0),"")</f>
        <v/>
      </c>
    </row>
    <row r="1700">
      <c r="A1700" s="23" t="n">
        <v>1684</v>
      </c>
      <c r="B1700" s="24">
        <f>IF(AND($N1700="",$O1700=""),"",IF($N1700&lt;&gt;"",INDEX(PCNormDate,$N1700),INDEX(LdgDateB,$O1700)))</f>
        <v/>
      </c>
      <c r="C1700" s="24">
        <f>IF($N1700&lt;&gt;"",INDEX(PCOp,$N1700),IF($O1700&lt;&gt;"",IF(N(INDEX(TxnDepB,$O1700))&gt;0,"دریافت بانکی","پرداخت بانکی"),""))</f>
        <v/>
      </c>
      <c r="D1700" s="24">
        <f>IF($N1700&lt;&gt;"",IF(INDEX(PCDoc,$N1700)="","—",INDEX(PCDoc,$N1700)),IF($O1700&lt;&gt;"",INDEX(LdgBankB,$O1700),""))</f>
        <v/>
      </c>
      <c r="E1700" s="24">
        <f>IF($N1700&lt;&gt;"",IF(INDEX(PCCitrus,$N1700)="","—",INDEX(PCCitrus,$N1700)),"")</f>
        <v/>
      </c>
      <c r="F1700" s="25">
        <f>IF($N1700&lt;&gt;"",IF(INDEX(PCScale,$N1700)=0,"",INDEX(PCScale,$N1700)),"")</f>
        <v/>
      </c>
      <c r="G1700" s="25">
        <f>IF($N1700&lt;&gt;"",IF(INDEX(PCBaskets,$N1700)=0,"",INDEX(PCBaskets,$N1700)),"")</f>
        <v/>
      </c>
      <c r="H1700" s="26">
        <f>IF($N1700&lt;&gt;"",IF(INDEX(PCNet,$N1700)=0,"",INDEX(PCNet,$N1700)),"")</f>
        <v/>
      </c>
      <c r="I1700" s="25">
        <f>IF($N1700&lt;&gt;"",IF(INDEX(PCOp,$N1700)="مرجوعی خرید","",IF(INDEX(PCAmount,$N1700)&lt;=0,"",INDEX(PCAmount,$N1700))),IF($O1700&lt;&gt;"",IF(INDEX(TxnDepB,$O1700)=0,"",INDEX(TxnDepB,$O1700)),""))</f>
        <v/>
      </c>
      <c r="J1700" s="25">
        <f>IF($N1700&lt;&gt;"",IF(INDEX(PCOp,$N1700)="مرجوعی خرید",IF(INDEX(PCAmount,$N1700)=0,"",-INDEX(PCAmount,$N1700)),""),IF($O1700&lt;&gt;"",IF(INDEX(TxnWitB,$O1700)=0,"",INDEX(TxnWitB,$O1700)),""))</f>
        <v/>
      </c>
      <c r="K1700" s="27">
        <f>IF($B1700="","",IF($K1699="",$C$10,$K1699)+IF($I1700="",0,$I1700)-IF($J1700="",0,$J1700))</f>
        <v/>
      </c>
      <c r="L1700" s="28">
        <f>IF($N1700&lt;&gt;"",IF(INDEX(PCNotes,$N1700)="","—",INDEX(PCNotes,$N1700)),IF($O1700&lt;&gt;"",IF(INDEX(LdgNoteB,$O1700)="","—",INDEX(LdgNoteB,$O1700)),""))</f>
        <v/>
      </c>
      <c r="N1700">
        <f>IFERROR(MATCH($C$5&amp;"|"&amp;RIGHT("000000"&amp;1684,6),LdgRankKeyA,0),"")</f>
        <v/>
      </c>
      <c r="O1700">
        <f>IFERROR(MATCH($C$5&amp;"|"&amp;RIGHT("000000"&amp;1684,6),LdgRankKeyB,0),"")</f>
        <v/>
      </c>
    </row>
    <row r="1701">
      <c r="A1701" s="17" t="n">
        <v>1685</v>
      </c>
      <c r="B1701" s="18">
        <f>IF(AND($N1701="",$O1701=""),"",IF($N1701&lt;&gt;"",INDEX(PCNormDate,$N1701),INDEX(LdgDateB,$O1701)))</f>
        <v/>
      </c>
      <c r="C1701" s="18">
        <f>IF($N1701&lt;&gt;"",INDEX(PCOp,$N1701),IF($O1701&lt;&gt;"",IF(N(INDEX(TxnDepB,$O1701))&gt;0,"دریافت بانکی","پرداخت بانکی"),""))</f>
        <v/>
      </c>
      <c r="D1701" s="18">
        <f>IF($N1701&lt;&gt;"",IF(INDEX(PCDoc,$N1701)="","—",INDEX(PCDoc,$N1701)),IF($O1701&lt;&gt;"",INDEX(LdgBankB,$O1701),""))</f>
        <v/>
      </c>
      <c r="E1701" s="18">
        <f>IF($N1701&lt;&gt;"",IF(INDEX(PCCitrus,$N1701)="","—",INDEX(PCCitrus,$N1701)),"")</f>
        <v/>
      </c>
      <c r="F1701" s="19">
        <f>IF($N1701&lt;&gt;"",IF(INDEX(PCScale,$N1701)=0,"",INDEX(PCScale,$N1701)),"")</f>
        <v/>
      </c>
      <c r="G1701" s="19">
        <f>IF($N1701&lt;&gt;"",IF(INDEX(PCBaskets,$N1701)=0,"",INDEX(PCBaskets,$N1701)),"")</f>
        <v/>
      </c>
      <c r="H1701" s="20">
        <f>IF($N1701&lt;&gt;"",IF(INDEX(PCNet,$N1701)=0,"",INDEX(PCNet,$N1701)),"")</f>
        <v/>
      </c>
      <c r="I1701" s="19">
        <f>IF($N1701&lt;&gt;"",IF(INDEX(PCOp,$N1701)="مرجوعی خرید","",IF(INDEX(PCAmount,$N1701)&lt;=0,"",INDEX(PCAmount,$N1701))),IF($O1701&lt;&gt;"",IF(INDEX(TxnDepB,$O1701)=0,"",INDEX(TxnDepB,$O1701)),""))</f>
        <v/>
      </c>
      <c r="J1701" s="19">
        <f>IF($N1701&lt;&gt;"",IF(INDEX(PCOp,$N1701)="مرجوعی خرید",IF(INDEX(PCAmount,$N1701)=0,"",-INDEX(PCAmount,$N1701)),""),IF($O1701&lt;&gt;"",IF(INDEX(TxnWitB,$O1701)=0,"",INDEX(TxnWitB,$O1701)),""))</f>
        <v/>
      </c>
      <c r="K1701" s="21">
        <f>IF($B1701="","",IF($K1700="",$C$10,$K1700)+IF($I1701="",0,$I1701)-IF($J1701="",0,$J1701))</f>
        <v/>
      </c>
      <c r="L1701" s="22">
        <f>IF($N1701&lt;&gt;"",IF(INDEX(PCNotes,$N1701)="","—",INDEX(PCNotes,$N1701)),IF($O1701&lt;&gt;"",IF(INDEX(LdgNoteB,$O1701)="","—",INDEX(LdgNoteB,$O1701)),""))</f>
        <v/>
      </c>
      <c r="N1701">
        <f>IFERROR(MATCH($C$5&amp;"|"&amp;RIGHT("000000"&amp;1685,6),LdgRankKeyA,0),"")</f>
        <v/>
      </c>
      <c r="O1701">
        <f>IFERROR(MATCH($C$5&amp;"|"&amp;RIGHT("000000"&amp;1685,6),LdgRankKeyB,0),"")</f>
        <v/>
      </c>
    </row>
    <row r="1702">
      <c r="A1702" s="23" t="n">
        <v>1686</v>
      </c>
      <c r="B1702" s="24">
        <f>IF(AND($N1702="",$O1702=""),"",IF($N1702&lt;&gt;"",INDEX(PCNormDate,$N1702),INDEX(LdgDateB,$O1702)))</f>
        <v/>
      </c>
      <c r="C1702" s="24">
        <f>IF($N1702&lt;&gt;"",INDEX(PCOp,$N1702),IF($O1702&lt;&gt;"",IF(N(INDEX(TxnDepB,$O1702))&gt;0,"دریافت بانکی","پرداخت بانکی"),""))</f>
        <v/>
      </c>
      <c r="D1702" s="24">
        <f>IF($N1702&lt;&gt;"",IF(INDEX(PCDoc,$N1702)="","—",INDEX(PCDoc,$N1702)),IF($O1702&lt;&gt;"",INDEX(LdgBankB,$O1702),""))</f>
        <v/>
      </c>
      <c r="E1702" s="24">
        <f>IF($N1702&lt;&gt;"",IF(INDEX(PCCitrus,$N1702)="","—",INDEX(PCCitrus,$N1702)),"")</f>
        <v/>
      </c>
      <c r="F1702" s="25">
        <f>IF($N1702&lt;&gt;"",IF(INDEX(PCScale,$N1702)=0,"",INDEX(PCScale,$N1702)),"")</f>
        <v/>
      </c>
      <c r="G1702" s="25">
        <f>IF($N1702&lt;&gt;"",IF(INDEX(PCBaskets,$N1702)=0,"",INDEX(PCBaskets,$N1702)),"")</f>
        <v/>
      </c>
      <c r="H1702" s="26">
        <f>IF($N1702&lt;&gt;"",IF(INDEX(PCNet,$N1702)=0,"",INDEX(PCNet,$N1702)),"")</f>
        <v/>
      </c>
      <c r="I1702" s="25">
        <f>IF($N1702&lt;&gt;"",IF(INDEX(PCOp,$N1702)="مرجوعی خرید","",IF(INDEX(PCAmount,$N1702)&lt;=0,"",INDEX(PCAmount,$N1702))),IF($O1702&lt;&gt;"",IF(INDEX(TxnDepB,$O1702)=0,"",INDEX(TxnDepB,$O1702)),""))</f>
        <v/>
      </c>
      <c r="J1702" s="25">
        <f>IF($N1702&lt;&gt;"",IF(INDEX(PCOp,$N1702)="مرجوعی خرید",IF(INDEX(PCAmount,$N1702)=0,"",-INDEX(PCAmount,$N1702)),""),IF($O1702&lt;&gt;"",IF(INDEX(TxnWitB,$O1702)=0,"",INDEX(TxnWitB,$O1702)),""))</f>
        <v/>
      </c>
      <c r="K1702" s="27">
        <f>IF($B1702="","",IF($K1701="",$C$10,$K1701)+IF($I1702="",0,$I1702)-IF($J1702="",0,$J1702))</f>
        <v/>
      </c>
      <c r="L1702" s="28">
        <f>IF($N1702&lt;&gt;"",IF(INDEX(PCNotes,$N1702)="","—",INDEX(PCNotes,$N1702)),IF($O1702&lt;&gt;"",IF(INDEX(LdgNoteB,$O1702)="","—",INDEX(LdgNoteB,$O1702)),""))</f>
        <v/>
      </c>
      <c r="N1702">
        <f>IFERROR(MATCH($C$5&amp;"|"&amp;RIGHT("000000"&amp;1686,6),LdgRankKeyA,0),"")</f>
        <v/>
      </c>
      <c r="O1702">
        <f>IFERROR(MATCH($C$5&amp;"|"&amp;RIGHT("000000"&amp;1686,6),LdgRankKeyB,0),"")</f>
        <v/>
      </c>
    </row>
    <row r="1703">
      <c r="A1703" s="17" t="n">
        <v>1687</v>
      </c>
      <c r="B1703" s="18">
        <f>IF(AND($N1703="",$O1703=""),"",IF($N1703&lt;&gt;"",INDEX(PCNormDate,$N1703),INDEX(LdgDateB,$O1703)))</f>
        <v/>
      </c>
      <c r="C1703" s="18">
        <f>IF($N1703&lt;&gt;"",INDEX(PCOp,$N1703),IF($O1703&lt;&gt;"",IF(N(INDEX(TxnDepB,$O1703))&gt;0,"دریافت بانکی","پرداخت بانکی"),""))</f>
        <v/>
      </c>
      <c r="D1703" s="18">
        <f>IF($N1703&lt;&gt;"",IF(INDEX(PCDoc,$N1703)="","—",INDEX(PCDoc,$N1703)),IF($O1703&lt;&gt;"",INDEX(LdgBankB,$O1703),""))</f>
        <v/>
      </c>
      <c r="E1703" s="18">
        <f>IF($N1703&lt;&gt;"",IF(INDEX(PCCitrus,$N1703)="","—",INDEX(PCCitrus,$N1703)),"")</f>
        <v/>
      </c>
      <c r="F1703" s="19">
        <f>IF($N1703&lt;&gt;"",IF(INDEX(PCScale,$N1703)=0,"",INDEX(PCScale,$N1703)),"")</f>
        <v/>
      </c>
      <c r="G1703" s="19">
        <f>IF($N1703&lt;&gt;"",IF(INDEX(PCBaskets,$N1703)=0,"",INDEX(PCBaskets,$N1703)),"")</f>
        <v/>
      </c>
      <c r="H1703" s="20">
        <f>IF($N1703&lt;&gt;"",IF(INDEX(PCNet,$N1703)=0,"",INDEX(PCNet,$N1703)),"")</f>
        <v/>
      </c>
      <c r="I1703" s="19">
        <f>IF($N1703&lt;&gt;"",IF(INDEX(PCOp,$N1703)="مرجوعی خرید","",IF(INDEX(PCAmount,$N1703)&lt;=0,"",INDEX(PCAmount,$N1703))),IF($O1703&lt;&gt;"",IF(INDEX(TxnDepB,$O1703)=0,"",INDEX(TxnDepB,$O1703)),""))</f>
        <v/>
      </c>
      <c r="J1703" s="19">
        <f>IF($N1703&lt;&gt;"",IF(INDEX(PCOp,$N1703)="مرجوعی خرید",IF(INDEX(PCAmount,$N1703)=0,"",-INDEX(PCAmount,$N1703)),""),IF($O1703&lt;&gt;"",IF(INDEX(TxnWitB,$O1703)=0,"",INDEX(TxnWitB,$O1703)),""))</f>
        <v/>
      </c>
      <c r="K1703" s="21">
        <f>IF($B1703="","",IF($K1702="",$C$10,$K1702)+IF($I1703="",0,$I1703)-IF($J1703="",0,$J1703))</f>
        <v/>
      </c>
      <c r="L1703" s="22">
        <f>IF($N1703&lt;&gt;"",IF(INDEX(PCNotes,$N1703)="","—",INDEX(PCNotes,$N1703)),IF($O1703&lt;&gt;"",IF(INDEX(LdgNoteB,$O1703)="","—",INDEX(LdgNoteB,$O1703)),""))</f>
        <v/>
      </c>
      <c r="N1703">
        <f>IFERROR(MATCH($C$5&amp;"|"&amp;RIGHT("000000"&amp;1687,6),LdgRankKeyA,0),"")</f>
        <v/>
      </c>
      <c r="O1703">
        <f>IFERROR(MATCH($C$5&amp;"|"&amp;RIGHT("000000"&amp;1687,6),LdgRankKeyB,0),"")</f>
        <v/>
      </c>
    </row>
    <row r="1704">
      <c r="A1704" s="23" t="n">
        <v>1688</v>
      </c>
      <c r="B1704" s="24">
        <f>IF(AND($N1704="",$O1704=""),"",IF($N1704&lt;&gt;"",INDEX(PCNormDate,$N1704),INDEX(LdgDateB,$O1704)))</f>
        <v/>
      </c>
      <c r="C1704" s="24">
        <f>IF($N1704&lt;&gt;"",INDEX(PCOp,$N1704),IF($O1704&lt;&gt;"",IF(N(INDEX(TxnDepB,$O1704))&gt;0,"دریافت بانکی","پرداخت بانکی"),""))</f>
        <v/>
      </c>
      <c r="D1704" s="24">
        <f>IF($N1704&lt;&gt;"",IF(INDEX(PCDoc,$N1704)="","—",INDEX(PCDoc,$N1704)),IF($O1704&lt;&gt;"",INDEX(LdgBankB,$O1704),""))</f>
        <v/>
      </c>
      <c r="E1704" s="24">
        <f>IF($N1704&lt;&gt;"",IF(INDEX(PCCitrus,$N1704)="","—",INDEX(PCCitrus,$N1704)),"")</f>
        <v/>
      </c>
      <c r="F1704" s="25">
        <f>IF($N1704&lt;&gt;"",IF(INDEX(PCScale,$N1704)=0,"",INDEX(PCScale,$N1704)),"")</f>
        <v/>
      </c>
      <c r="G1704" s="25">
        <f>IF($N1704&lt;&gt;"",IF(INDEX(PCBaskets,$N1704)=0,"",INDEX(PCBaskets,$N1704)),"")</f>
        <v/>
      </c>
      <c r="H1704" s="26">
        <f>IF($N1704&lt;&gt;"",IF(INDEX(PCNet,$N1704)=0,"",INDEX(PCNet,$N1704)),"")</f>
        <v/>
      </c>
      <c r="I1704" s="25">
        <f>IF($N1704&lt;&gt;"",IF(INDEX(PCOp,$N1704)="مرجوعی خرید","",IF(INDEX(PCAmount,$N1704)&lt;=0,"",INDEX(PCAmount,$N1704))),IF($O1704&lt;&gt;"",IF(INDEX(TxnDepB,$O1704)=0,"",INDEX(TxnDepB,$O1704)),""))</f>
        <v/>
      </c>
      <c r="J1704" s="25">
        <f>IF($N1704&lt;&gt;"",IF(INDEX(PCOp,$N1704)="مرجوعی خرید",IF(INDEX(PCAmount,$N1704)=0,"",-INDEX(PCAmount,$N1704)),""),IF($O1704&lt;&gt;"",IF(INDEX(TxnWitB,$O1704)=0,"",INDEX(TxnWitB,$O1704)),""))</f>
        <v/>
      </c>
      <c r="K1704" s="27">
        <f>IF($B1704="","",IF($K1703="",$C$10,$K1703)+IF($I1704="",0,$I1704)-IF($J1704="",0,$J1704))</f>
        <v/>
      </c>
      <c r="L1704" s="28">
        <f>IF($N1704&lt;&gt;"",IF(INDEX(PCNotes,$N1704)="","—",INDEX(PCNotes,$N1704)),IF($O1704&lt;&gt;"",IF(INDEX(LdgNoteB,$O1704)="","—",INDEX(LdgNoteB,$O1704)),""))</f>
        <v/>
      </c>
      <c r="N1704">
        <f>IFERROR(MATCH($C$5&amp;"|"&amp;RIGHT("000000"&amp;1688,6),LdgRankKeyA,0),"")</f>
        <v/>
      </c>
      <c r="O1704">
        <f>IFERROR(MATCH($C$5&amp;"|"&amp;RIGHT("000000"&amp;1688,6),LdgRankKeyB,0),"")</f>
        <v/>
      </c>
    </row>
    <row r="1705">
      <c r="A1705" s="17" t="n">
        <v>1689</v>
      </c>
      <c r="B1705" s="18">
        <f>IF(AND($N1705="",$O1705=""),"",IF($N1705&lt;&gt;"",INDEX(PCNormDate,$N1705),INDEX(LdgDateB,$O1705)))</f>
        <v/>
      </c>
      <c r="C1705" s="18">
        <f>IF($N1705&lt;&gt;"",INDEX(PCOp,$N1705),IF($O1705&lt;&gt;"",IF(N(INDEX(TxnDepB,$O1705))&gt;0,"دریافت بانکی","پرداخت بانکی"),""))</f>
        <v/>
      </c>
      <c r="D1705" s="18">
        <f>IF($N1705&lt;&gt;"",IF(INDEX(PCDoc,$N1705)="","—",INDEX(PCDoc,$N1705)),IF($O1705&lt;&gt;"",INDEX(LdgBankB,$O1705),""))</f>
        <v/>
      </c>
      <c r="E1705" s="18">
        <f>IF($N1705&lt;&gt;"",IF(INDEX(PCCitrus,$N1705)="","—",INDEX(PCCitrus,$N1705)),"")</f>
        <v/>
      </c>
      <c r="F1705" s="19">
        <f>IF($N1705&lt;&gt;"",IF(INDEX(PCScale,$N1705)=0,"",INDEX(PCScale,$N1705)),"")</f>
        <v/>
      </c>
      <c r="G1705" s="19">
        <f>IF($N1705&lt;&gt;"",IF(INDEX(PCBaskets,$N1705)=0,"",INDEX(PCBaskets,$N1705)),"")</f>
        <v/>
      </c>
      <c r="H1705" s="20">
        <f>IF($N1705&lt;&gt;"",IF(INDEX(PCNet,$N1705)=0,"",INDEX(PCNet,$N1705)),"")</f>
        <v/>
      </c>
      <c r="I1705" s="19">
        <f>IF($N1705&lt;&gt;"",IF(INDEX(PCOp,$N1705)="مرجوعی خرید","",IF(INDEX(PCAmount,$N1705)&lt;=0,"",INDEX(PCAmount,$N1705))),IF($O1705&lt;&gt;"",IF(INDEX(TxnDepB,$O1705)=0,"",INDEX(TxnDepB,$O1705)),""))</f>
        <v/>
      </c>
      <c r="J1705" s="19">
        <f>IF($N1705&lt;&gt;"",IF(INDEX(PCOp,$N1705)="مرجوعی خرید",IF(INDEX(PCAmount,$N1705)=0,"",-INDEX(PCAmount,$N1705)),""),IF($O1705&lt;&gt;"",IF(INDEX(TxnWitB,$O1705)=0,"",INDEX(TxnWitB,$O1705)),""))</f>
        <v/>
      </c>
      <c r="K1705" s="21">
        <f>IF($B1705="","",IF($K1704="",$C$10,$K1704)+IF($I1705="",0,$I1705)-IF($J1705="",0,$J1705))</f>
        <v/>
      </c>
      <c r="L1705" s="22">
        <f>IF($N1705&lt;&gt;"",IF(INDEX(PCNotes,$N1705)="","—",INDEX(PCNotes,$N1705)),IF($O1705&lt;&gt;"",IF(INDEX(LdgNoteB,$O1705)="","—",INDEX(LdgNoteB,$O1705)),""))</f>
        <v/>
      </c>
      <c r="N1705">
        <f>IFERROR(MATCH($C$5&amp;"|"&amp;RIGHT("000000"&amp;1689,6),LdgRankKeyA,0),"")</f>
        <v/>
      </c>
      <c r="O1705">
        <f>IFERROR(MATCH($C$5&amp;"|"&amp;RIGHT("000000"&amp;1689,6),LdgRankKeyB,0),"")</f>
        <v/>
      </c>
    </row>
    <row r="1706">
      <c r="A1706" s="23" t="n">
        <v>1690</v>
      </c>
      <c r="B1706" s="24">
        <f>IF(AND($N1706="",$O1706=""),"",IF($N1706&lt;&gt;"",INDEX(PCNormDate,$N1706),INDEX(LdgDateB,$O1706)))</f>
        <v/>
      </c>
      <c r="C1706" s="24">
        <f>IF($N1706&lt;&gt;"",INDEX(PCOp,$N1706),IF($O1706&lt;&gt;"",IF(N(INDEX(TxnDepB,$O1706))&gt;0,"دریافت بانکی","پرداخت بانکی"),""))</f>
        <v/>
      </c>
      <c r="D1706" s="24">
        <f>IF($N1706&lt;&gt;"",IF(INDEX(PCDoc,$N1706)="","—",INDEX(PCDoc,$N1706)),IF($O1706&lt;&gt;"",INDEX(LdgBankB,$O1706),""))</f>
        <v/>
      </c>
      <c r="E1706" s="24">
        <f>IF($N1706&lt;&gt;"",IF(INDEX(PCCitrus,$N1706)="","—",INDEX(PCCitrus,$N1706)),"")</f>
        <v/>
      </c>
      <c r="F1706" s="25">
        <f>IF($N1706&lt;&gt;"",IF(INDEX(PCScale,$N1706)=0,"",INDEX(PCScale,$N1706)),"")</f>
        <v/>
      </c>
      <c r="G1706" s="25">
        <f>IF($N1706&lt;&gt;"",IF(INDEX(PCBaskets,$N1706)=0,"",INDEX(PCBaskets,$N1706)),"")</f>
        <v/>
      </c>
      <c r="H1706" s="26">
        <f>IF($N1706&lt;&gt;"",IF(INDEX(PCNet,$N1706)=0,"",INDEX(PCNet,$N1706)),"")</f>
        <v/>
      </c>
      <c r="I1706" s="25">
        <f>IF($N1706&lt;&gt;"",IF(INDEX(PCOp,$N1706)="مرجوعی خرید","",IF(INDEX(PCAmount,$N1706)&lt;=0,"",INDEX(PCAmount,$N1706))),IF($O1706&lt;&gt;"",IF(INDEX(TxnDepB,$O1706)=0,"",INDEX(TxnDepB,$O1706)),""))</f>
        <v/>
      </c>
      <c r="J1706" s="25">
        <f>IF($N1706&lt;&gt;"",IF(INDEX(PCOp,$N1706)="مرجوعی خرید",IF(INDEX(PCAmount,$N1706)=0,"",-INDEX(PCAmount,$N1706)),""),IF($O1706&lt;&gt;"",IF(INDEX(TxnWitB,$O1706)=0,"",INDEX(TxnWitB,$O1706)),""))</f>
        <v/>
      </c>
      <c r="K1706" s="27">
        <f>IF($B1706="","",IF($K1705="",$C$10,$K1705)+IF($I1706="",0,$I1706)-IF($J1706="",0,$J1706))</f>
        <v/>
      </c>
      <c r="L1706" s="28">
        <f>IF($N1706&lt;&gt;"",IF(INDEX(PCNotes,$N1706)="","—",INDEX(PCNotes,$N1706)),IF($O1706&lt;&gt;"",IF(INDEX(LdgNoteB,$O1706)="","—",INDEX(LdgNoteB,$O1706)),""))</f>
        <v/>
      </c>
      <c r="N1706">
        <f>IFERROR(MATCH($C$5&amp;"|"&amp;RIGHT("000000"&amp;1690,6),LdgRankKeyA,0),"")</f>
        <v/>
      </c>
      <c r="O1706">
        <f>IFERROR(MATCH($C$5&amp;"|"&amp;RIGHT("000000"&amp;1690,6),LdgRankKeyB,0),"")</f>
        <v/>
      </c>
    </row>
    <row r="1707">
      <c r="A1707" s="17" t="n">
        <v>1691</v>
      </c>
      <c r="B1707" s="18">
        <f>IF(AND($N1707="",$O1707=""),"",IF($N1707&lt;&gt;"",INDEX(PCNormDate,$N1707),INDEX(LdgDateB,$O1707)))</f>
        <v/>
      </c>
      <c r="C1707" s="18">
        <f>IF($N1707&lt;&gt;"",INDEX(PCOp,$N1707),IF($O1707&lt;&gt;"",IF(N(INDEX(TxnDepB,$O1707))&gt;0,"دریافت بانکی","پرداخت بانکی"),""))</f>
        <v/>
      </c>
      <c r="D1707" s="18">
        <f>IF($N1707&lt;&gt;"",IF(INDEX(PCDoc,$N1707)="","—",INDEX(PCDoc,$N1707)),IF($O1707&lt;&gt;"",INDEX(LdgBankB,$O1707),""))</f>
        <v/>
      </c>
      <c r="E1707" s="18">
        <f>IF($N1707&lt;&gt;"",IF(INDEX(PCCitrus,$N1707)="","—",INDEX(PCCitrus,$N1707)),"")</f>
        <v/>
      </c>
      <c r="F1707" s="19">
        <f>IF($N1707&lt;&gt;"",IF(INDEX(PCScale,$N1707)=0,"",INDEX(PCScale,$N1707)),"")</f>
        <v/>
      </c>
      <c r="G1707" s="19">
        <f>IF($N1707&lt;&gt;"",IF(INDEX(PCBaskets,$N1707)=0,"",INDEX(PCBaskets,$N1707)),"")</f>
        <v/>
      </c>
      <c r="H1707" s="20">
        <f>IF($N1707&lt;&gt;"",IF(INDEX(PCNet,$N1707)=0,"",INDEX(PCNet,$N1707)),"")</f>
        <v/>
      </c>
      <c r="I1707" s="19">
        <f>IF($N1707&lt;&gt;"",IF(INDEX(PCOp,$N1707)="مرجوعی خرید","",IF(INDEX(PCAmount,$N1707)&lt;=0,"",INDEX(PCAmount,$N1707))),IF($O1707&lt;&gt;"",IF(INDEX(TxnDepB,$O1707)=0,"",INDEX(TxnDepB,$O1707)),""))</f>
        <v/>
      </c>
      <c r="J1707" s="19">
        <f>IF($N1707&lt;&gt;"",IF(INDEX(PCOp,$N1707)="مرجوعی خرید",IF(INDEX(PCAmount,$N1707)=0,"",-INDEX(PCAmount,$N1707)),""),IF($O1707&lt;&gt;"",IF(INDEX(TxnWitB,$O1707)=0,"",INDEX(TxnWitB,$O1707)),""))</f>
        <v/>
      </c>
      <c r="K1707" s="21">
        <f>IF($B1707="","",IF($K1706="",$C$10,$K1706)+IF($I1707="",0,$I1707)-IF($J1707="",0,$J1707))</f>
        <v/>
      </c>
      <c r="L1707" s="22">
        <f>IF($N1707&lt;&gt;"",IF(INDEX(PCNotes,$N1707)="","—",INDEX(PCNotes,$N1707)),IF($O1707&lt;&gt;"",IF(INDEX(LdgNoteB,$O1707)="","—",INDEX(LdgNoteB,$O1707)),""))</f>
        <v/>
      </c>
      <c r="N1707">
        <f>IFERROR(MATCH($C$5&amp;"|"&amp;RIGHT("000000"&amp;1691,6),LdgRankKeyA,0),"")</f>
        <v/>
      </c>
      <c r="O1707">
        <f>IFERROR(MATCH($C$5&amp;"|"&amp;RIGHT("000000"&amp;1691,6),LdgRankKeyB,0),"")</f>
        <v/>
      </c>
    </row>
    <row r="1708">
      <c r="A1708" s="23" t="n">
        <v>1692</v>
      </c>
      <c r="B1708" s="24">
        <f>IF(AND($N1708="",$O1708=""),"",IF($N1708&lt;&gt;"",INDEX(PCNormDate,$N1708),INDEX(LdgDateB,$O1708)))</f>
        <v/>
      </c>
      <c r="C1708" s="24">
        <f>IF($N1708&lt;&gt;"",INDEX(PCOp,$N1708),IF($O1708&lt;&gt;"",IF(N(INDEX(TxnDepB,$O1708))&gt;0,"دریافت بانکی","پرداخت بانکی"),""))</f>
        <v/>
      </c>
      <c r="D1708" s="24">
        <f>IF($N1708&lt;&gt;"",IF(INDEX(PCDoc,$N1708)="","—",INDEX(PCDoc,$N1708)),IF($O1708&lt;&gt;"",INDEX(LdgBankB,$O1708),""))</f>
        <v/>
      </c>
      <c r="E1708" s="24">
        <f>IF($N1708&lt;&gt;"",IF(INDEX(PCCitrus,$N1708)="","—",INDEX(PCCitrus,$N1708)),"")</f>
        <v/>
      </c>
      <c r="F1708" s="25">
        <f>IF($N1708&lt;&gt;"",IF(INDEX(PCScale,$N1708)=0,"",INDEX(PCScale,$N1708)),"")</f>
        <v/>
      </c>
      <c r="G1708" s="25">
        <f>IF($N1708&lt;&gt;"",IF(INDEX(PCBaskets,$N1708)=0,"",INDEX(PCBaskets,$N1708)),"")</f>
        <v/>
      </c>
      <c r="H1708" s="26">
        <f>IF($N1708&lt;&gt;"",IF(INDEX(PCNet,$N1708)=0,"",INDEX(PCNet,$N1708)),"")</f>
        <v/>
      </c>
      <c r="I1708" s="25">
        <f>IF($N1708&lt;&gt;"",IF(INDEX(PCOp,$N1708)="مرجوعی خرید","",IF(INDEX(PCAmount,$N1708)&lt;=0,"",INDEX(PCAmount,$N1708))),IF($O1708&lt;&gt;"",IF(INDEX(TxnDepB,$O1708)=0,"",INDEX(TxnDepB,$O1708)),""))</f>
        <v/>
      </c>
      <c r="J1708" s="25">
        <f>IF($N1708&lt;&gt;"",IF(INDEX(PCOp,$N1708)="مرجوعی خرید",IF(INDEX(PCAmount,$N1708)=0,"",-INDEX(PCAmount,$N1708)),""),IF($O1708&lt;&gt;"",IF(INDEX(TxnWitB,$O1708)=0,"",INDEX(TxnWitB,$O1708)),""))</f>
        <v/>
      </c>
      <c r="K1708" s="27">
        <f>IF($B1708="","",IF($K1707="",$C$10,$K1707)+IF($I1708="",0,$I1708)-IF($J1708="",0,$J1708))</f>
        <v/>
      </c>
      <c r="L1708" s="28">
        <f>IF($N1708&lt;&gt;"",IF(INDEX(PCNotes,$N1708)="","—",INDEX(PCNotes,$N1708)),IF($O1708&lt;&gt;"",IF(INDEX(LdgNoteB,$O1708)="","—",INDEX(LdgNoteB,$O1708)),""))</f>
        <v/>
      </c>
      <c r="N1708">
        <f>IFERROR(MATCH($C$5&amp;"|"&amp;RIGHT("000000"&amp;1692,6),LdgRankKeyA,0),"")</f>
        <v/>
      </c>
      <c r="O1708">
        <f>IFERROR(MATCH($C$5&amp;"|"&amp;RIGHT("000000"&amp;1692,6),LdgRankKeyB,0),"")</f>
        <v/>
      </c>
    </row>
    <row r="1709">
      <c r="A1709" s="17" t="n">
        <v>1693</v>
      </c>
      <c r="B1709" s="18">
        <f>IF(AND($N1709="",$O1709=""),"",IF($N1709&lt;&gt;"",INDEX(PCNormDate,$N1709),INDEX(LdgDateB,$O1709)))</f>
        <v/>
      </c>
      <c r="C1709" s="18">
        <f>IF($N1709&lt;&gt;"",INDEX(PCOp,$N1709),IF($O1709&lt;&gt;"",IF(N(INDEX(TxnDepB,$O1709))&gt;0,"دریافت بانکی","پرداخت بانکی"),""))</f>
        <v/>
      </c>
      <c r="D1709" s="18">
        <f>IF($N1709&lt;&gt;"",IF(INDEX(PCDoc,$N1709)="","—",INDEX(PCDoc,$N1709)),IF($O1709&lt;&gt;"",INDEX(LdgBankB,$O1709),""))</f>
        <v/>
      </c>
      <c r="E1709" s="18">
        <f>IF($N1709&lt;&gt;"",IF(INDEX(PCCitrus,$N1709)="","—",INDEX(PCCitrus,$N1709)),"")</f>
        <v/>
      </c>
      <c r="F1709" s="19">
        <f>IF($N1709&lt;&gt;"",IF(INDEX(PCScale,$N1709)=0,"",INDEX(PCScale,$N1709)),"")</f>
        <v/>
      </c>
      <c r="G1709" s="19">
        <f>IF($N1709&lt;&gt;"",IF(INDEX(PCBaskets,$N1709)=0,"",INDEX(PCBaskets,$N1709)),"")</f>
        <v/>
      </c>
      <c r="H1709" s="20">
        <f>IF($N1709&lt;&gt;"",IF(INDEX(PCNet,$N1709)=0,"",INDEX(PCNet,$N1709)),"")</f>
        <v/>
      </c>
      <c r="I1709" s="19">
        <f>IF($N1709&lt;&gt;"",IF(INDEX(PCOp,$N1709)="مرجوعی خرید","",IF(INDEX(PCAmount,$N1709)&lt;=0,"",INDEX(PCAmount,$N1709))),IF($O1709&lt;&gt;"",IF(INDEX(TxnDepB,$O1709)=0,"",INDEX(TxnDepB,$O1709)),""))</f>
        <v/>
      </c>
      <c r="J1709" s="19">
        <f>IF($N1709&lt;&gt;"",IF(INDEX(PCOp,$N1709)="مرجوعی خرید",IF(INDEX(PCAmount,$N1709)=0,"",-INDEX(PCAmount,$N1709)),""),IF($O1709&lt;&gt;"",IF(INDEX(TxnWitB,$O1709)=0,"",INDEX(TxnWitB,$O1709)),""))</f>
        <v/>
      </c>
      <c r="K1709" s="21">
        <f>IF($B1709="","",IF($K1708="",$C$10,$K1708)+IF($I1709="",0,$I1709)-IF($J1709="",0,$J1709))</f>
        <v/>
      </c>
      <c r="L1709" s="22">
        <f>IF($N1709&lt;&gt;"",IF(INDEX(PCNotes,$N1709)="","—",INDEX(PCNotes,$N1709)),IF($O1709&lt;&gt;"",IF(INDEX(LdgNoteB,$O1709)="","—",INDEX(LdgNoteB,$O1709)),""))</f>
        <v/>
      </c>
      <c r="N1709">
        <f>IFERROR(MATCH($C$5&amp;"|"&amp;RIGHT("000000"&amp;1693,6),LdgRankKeyA,0),"")</f>
        <v/>
      </c>
      <c r="O1709">
        <f>IFERROR(MATCH($C$5&amp;"|"&amp;RIGHT("000000"&amp;1693,6),LdgRankKeyB,0),"")</f>
        <v/>
      </c>
    </row>
    <row r="1710">
      <c r="A1710" s="23" t="n">
        <v>1694</v>
      </c>
      <c r="B1710" s="24">
        <f>IF(AND($N1710="",$O1710=""),"",IF($N1710&lt;&gt;"",INDEX(PCNormDate,$N1710),INDEX(LdgDateB,$O1710)))</f>
        <v/>
      </c>
      <c r="C1710" s="24">
        <f>IF($N1710&lt;&gt;"",INDEX(PCOp,$N1710),IF($O1710&lt;&gt;"",IF(N(INDEX(TxnDepB,$O1710))&gt;0,"دریافت بانکی","پرداخت بانکی"),""))</f>
        <v/>
      </c>
      <c r="D1710" s="24">
        <f>IF($N1710&lt;&gt;"",IF(INDEX(PCDoc,$N1710)="","—",INDEX(PCDoc,$N1710)),IF($O1710&lt;&gt;"",INDEX(LdgBankB,$O1710),""))</f>
        <v/>
      </c>
      <c r="E1710" s="24">
        <f>IF($N1710&lt;&gt;"",IF(INDEX(PCCitrus,$N1710)="","—",INDEX(PCCitrus,$N1710)),"")</f>
        <v/>
      </c>
      <c r="F1710" s="25">
        <f>IF($N1710&lt;&gt;"",IF(INDEX(PCScale,$N1710)=0,"",INDEX(PCScale,$N1710)),"")</f>
        <v/>
      </c>
      <c r="G1710" s="25">
        <f>IF($N1710&lt;&gt;"",IF(INDEX(PCBaskets,$N1710)=0,"",INDEX(PCBaskets,$N1710)),"")</f>
        <v/>
      </c>
      <c r="H1710" s="26">
        <f>IF($N1710&lt;&gt;"",IF(INDEX(PCNet,$N1710)=0,"",INDEX(PCNet,$N1710)),"")</f>
        <v/>
      </c>
      <c r="I1710" s="25">
        <f>IF($N1710&lt;&gt;"",IF(INDEX(PCOp,$N1710)="مرجوعی خرید","",IF(INDEX(PCAmount,$N1710)&lt;=0,"",INDEX(PCAmount,$N1710))),IF($O1710&lt;&gt;"",IF(INDEX(TxnDepB,$O1710)=0,"",INDEX(TxnDepB,$O1710)),""))</f>
        <v/>
      </c>
      <c r="J1710" s="25">
        <f>IF($N1710&lt;&gt;"",IF(INDEX(PCOp,$N1710)="مرجوعی خرید",IF(INDEX(PCAmount,$N1710)=0,"",-INDEX(PCAmount,$N1710)),""),IF($O1710&lt;&gt;"",IF(INDEX(TxnWitB,$O1710)=0,"",INDEX(TxnWitB,$O1710)),""))</f>
        <v/>
      </c>
      <c r="K1710" s="27">
        <f>IF($B1710="","",IF($K1709="",$C$10,$K1709)+IF($I1710="",0,$I1710)-IF($J1710="",0,$J1710))</f>
        <v/>
      </c>
      <c r="L1710" s="28">
        <f>IF($N1710&lt;&gt;"",IF(INDEX(PCNotes,$N1710)="","—",INDEX(PCNotes,$N1710)),IF($O1710&lt;&gt;"",IF(INDEX(LdgNoteB,$O1710)="","—",INDEX(LdgNoteB,$O1710)),""))</f>
        <v/>
      </c>
      <c r="N1710">
        <f>IFERROR(MATCH($C$5&amp;"|"&amp;RIGHT("000000"&amp;1694,6),LdgRankKeyA,0),"")</f>
        <v/>
      </c>
      <c r="O1710">
        <f>IFERROR(MATCH($C$5&amp;"|"&amp;RIGHT("000000"&amp;1694,6),LdgRankKeyB,0),"")</f>
        <v/>
      </c>
    </row>
    <row r="1711">
      <c r="A1711" s="17" t="n">
        <v>1695</v>
      </c>
      <c r="B1711" s="18">
        <f>IF(AND($N1711="",$O1711=""),"",IF($N1711&lt;&gt;"",INDEX(PCNormDate,$N1711),INDEX(LdgDateB,$O1711)))</f>
        <v/>
      </c>
      <c r="C1711" s="18">
        <f>IF($N1711&lt;&gt;"",INDEX(PCOp,$N1711),IF($O1711&lt;&gt;"",IF(N(INDEX(TxnDepB,$O1711))&gt;0,"دریافت بانکی","پرداخت بانکی"),""))</f>
        <v/>
      </c>
      <c r="D1711" s="18">
        <f>IF($N1711&lt;&gt;"",IF(INDEX(PCDoc,$N1711)="","—",INDEX(PCDoc,$N1711)),IF($O1711&lt;&gt;"",INDEX(LdgBankB,$O1711),""))</f>
        <v/>
      </c>
      <c r="E1711" s="18">
        <f>IF($N1711&lt;&gt;"",IF(INDEX(PCCitrus,$N1711)="","—",INDEX(PCCitrus,$N1711)),"")</f>
        <v/>
      </c>
      <c r="F1711" s="19">
        <f>IF($N1711&lt;&gt;"",IF(INDEX(PCScale,$N1711)=0,"",INDEX(PCScale,$N1711)),"")</f>
        <v/>
      </c>
      <c r="G1711" s="19">
        <f>IF($N1711&lt;&gt;"",IF(INDEX(PCBaskets,$N1711)=0,"",INDEX(PCBaskets,$N1711)),"")</f>
        <v/>
      </c>
      <c r="H1711" s="20">
        <f>IF($N1711&lt;&gt;"",IF(INDEX(PCNet,$N1711)=0,"",INDEX(PCNet,$N1711)),"")</f>
        <v/>
      </c>
      <c r="I1711" s="19">
        <f>IF($N1711&lt;&gt;"",IF(INDEX(PCOp,$N1711)="مرجوعی خرید","",IF(INDEX(PCAmount,$N1711)&lt;=0,"",INDEX(PCAmount,$N1711))),IF($O1711&lt;&gt;"",IF(INDEX(TxnDepB,$O1711)=0,"",INDEX(TxnDepB,$O1711)),""))</f>
        <v/>
      </c>
      <c r="J1711" s="19">
        <f>IF($N1711&lt;&gt;"",IF(INDEX(PCOp,$N1711)="مرجوعی خرید",IF(INDEX(PCAmount,$N1711)=0,"",-INDEX(PCAmount,$N1711)),""),IF($O1711&lt;&gt;"",IF(INDEX(TxnWitB,$O1711)=0,"",INDEX(TxnWitB,$O1711)),""))</f>
        <v/>
      </c>
      <c r="K1711" s="21">
        <f>IF($B1711="","",IF($K1710="",$C$10,$K1710)+IF($I1711="",0,$I1711)-IF($J1711="",0,$J1711))</f>
        <v/>
      </c>
      <c r="L1711" s="22">
        <f>IF($N1711&lt;&gt;"",IF(INDEX(PCNotes,$N1711)="","—",INDEX(PCNotes,$N1711)),IF($O1711&lt;&gt;"",IF(INDEX(LdgNoteB,$O1711)="","—",INDEX(LdgNoteB,$O1711)),""))</f>
        <v/>
      </c>
      <c r="N1711">
        <f>IFERROR(MATCH($C$5&amp;"|"&amp;RIGHT("000000"&amp;1695,6),LdgRankKeyA,0),"")</f>
        <v/>
      </c>
      <c r="O1711">
        <f>IFERROR(MATCH($C$5&amp;"|"&amp;RIGHT("000000"&amp;1695,6),LdgRankKeyB,0),"")</f>
        <v/>
      </c>
    </row>
    <row r="1712">
      <c r="A1712" s="23" t="n">
        <v>1696</v>
      </c>
      <c r="B1712" s="24">
        <f>IF(AND($N1712="",$O1712=""),"",IF($N1712&lt;&gt;"",INDEX(PCNormDate,$N1712),INDEX(LdgDateB,$O1712)))</f>
        <v/>
      </c>
      <c r="C1712" s="24">
        <f>IF($N1712&lt;&gt;"",INDEX(PCOp,$N1712),IF($O1712&lt;&gt;"",IF(N(INDEX(TxnDepB,$O1712))&gt;0,"دریافت بانکی","پرداخت بانکی"),""))</f>
        <v/>
      </c>
      <c r="D1712" s="24">
        <f>IF($N1712&lt;&gt;"",IF(INDEX(PCDoc,$N1712)="","—",INDEX(PCDoc,$N1712)),IF($O1712&lt;&gt;"",INDEX(LdgBankB,$O1712),""))</f>
        <v/>
      </c>
      <c r="E1712" s="24">
        <f>IF($N1712&lt;&gt;"",IF(INDEX(PCCitrus,$N1712)="","—",INDEX(PCCitrus,$N1712)),"")</f>
        <v/>
      </c>
      <c r="F1712" s="25">
        <f>IF($N1712&lt;&gt;"",IF(INDEX(PCScale,$N1712)=0,"",INDEX(PCScale,$N1712)),"")</f>
        <v/>
      </c>
      <c r="G1712" s="25">
        <f>IF($N1712&lt;&gt;"",IF(INDEX(PCBaskets,$N1712)=0,"",INDEX(PCBaskets,$N1712)),"")</f>
        <v/>
      </c>
      <c r="H1712" s="26">
        <f>IF($N1712&lt;&gt;"",IF(INDEX(PCNet,$N1712)=0,"",INDEX(PCNet,$N1712)),"")</f>
        <v/>
      </c>
      <c r="I1712" s="25">
        <f>IF($N1712&lt;&gt;"",IF(INDEX(PCOp,$N1712)="مرجوعی خرید","",IF(INDEX(PCAmount,$N1712)&lt;=0,"",INDEX(PCAmount,$N1712))),IF($O1712&lt;&gt;"",IF(INDEX(TxnDepB,$O1712)=0,"",INDEX(TxnDepB,$O1712)),""))</f>
        <v/>
      </c>
      <c r="J1712" s="25">
        <f>IF($N1712&lt;&gt;"",IF(INDEX(PCOp,$N1712)="مرجوعی خرید",IF(INDEX(PCAmount,$N1712)=0,"",-INDEX(PCAmount,$N1712)),""),IF($O1712&lt;&gt;"",IF(INDEX(TxnWitB,$O1712)=0,"",INDEX(TxnWitB,$O1712)),""))</f>
        <v/>
      </c>
      <c r="K1712" s="27">
        <f>IF($B1712="","",IF($K1711="",$C$10,$K1711)+IF($I1712="",0,$I1712)-IF($J1712="",0,$J1712))</f>
        <v/>
      </c>
      <c r="L1712" s="28">
        <f>IF($N1712&lt;&gt;"",IF(INDEX(PCNotes,$N1712)="","—",INDEX(PCNotes,$N1712)),IF($O1712&lt;&gt;"",IF(INDEX(LdgNoteB,$O1712)="","—",INDEX(LdgNoteB,$O1712)),""))</f>
        <v/>
      </c>
      <c r="N1712">
        <f>IFERROR(MATCH($C$5&amp;"|"&amp;RIGHT("000000"&amp;1696,6),LdgRankKeyA,0),"")</f>
        <v/>
      </c>
      <c r="O1712">
        <f>IFERROR(MATCH($C$5&amp;"|"&amp;RIGHT("000000"&amp;1696,6),LdgRankKeyB,0),"")</f>
        <v/>
      </c>
    </row>
    <row r="1713">
      <c r="A1713" s="17" t="n">
        <v>1697</v>
      </c>
      <c r="B1713" s="18">
        <f>IF(AND($N1713="",$O1713=""),"",IF($N1713&lt;&gt;"",INDEX(PCNormDate,$N1713),INDEX(LdgDateB,$O1713)))</f>
        <v/>
      </c>
      <c r="C1713" s="18">
        <f>IF($N1713&lt;&gt;"",INDEX(PCOp,$N1713),IF($O1713&lt;&gt;"",IF(N(INDEX(TxnDepB,$O1713))&gt;0,"دریافت بانکی","پرداخت بانکی"),""))</f>
        <v/>
      </c>
      <c r="D1713" s="18">
        <f>IF($N1713&lt;&gt;"",IF(INDEX(PCDoc,$N1713)="","—",INDEX(PCDoc,$N1713)),IF($O1713&lt;&gt;"",INDEX(LdgBankB,$O1713),""))</f>
        <v/>
      </c>
      <c r="E1713" s="18">
        <f>IF($N1713&lt;&gt;"",IF(INDEX(PCCitrus,$N1713)="","—",INDEX(PCCitrus,$N1713)),"")</f>
        <v/>
      </c>
      <c r="F1713" s="19">
        <f>IF($N1713&lt;&gt;"",IF(INDEX(PCScale,$N1713)=0,"",INDEX(PCScale,$N1713)),"")</f>
        <v/>
      </c>
      <c r="G1713" s="19">
        <f>IF($N1713&lt;&gt;"",IF(INDEX(PCBaskets,$N1713)=0,"",INDEX(PCBaskets,$N1713)),"")</f>
        <v/>
      </c>
      <c r="H1713" s="20">
        <f>IF($N1713&lt;&gt;"",IF(INDEX(PCNet,$N1713)=0,"",INDEX(PCNet,$N1713)),"")</f>
        <v/>
      </c>
      <c r="I1713" s="19">
        <f>IF($N1713&lt;&gt;"",IF(INDEX(PCOp,$N1713)="مرجوعی خرید","",IF(INDEX(PCAmount,$N1713)&lt;=0,"",INDEX(PCAmount,$N1713))),IF($O1713&lt;&gt;"",IF(INDEX(TxnDepB,$O1713)=0,"",INDEX(TxnDepB,$O1713)),""))</f>
        <v/>
      </c>
      <c r="J1713" s="19">
        <f>IF($N1713&lt;&gt;"",IF(INDEX(PCOp,$N1713)="مرجوعی خرید",IF(INDEX(PCAmount,$N1713)=0,"",-INDEX(PCAmount,$N1713)),""),IF($O1713&lt;&gt;"",IF(INDEX(TxnWitB,$O1713)=0,"",INDEX(TxnWitB,$O1713)),""))</f>
        <v/>
      </c>
      <c r="K1713" s="21">
        <f>IF($B1713="","",IF($K1712="",$C$10,$K1712)+IF($I1713="",0,$I1713)-IF($J1713="",0,$J1713))</f>
        <v/>
      </c>
      <c r="L1713" s="22">
        <f>IF($N1713&lt;&gt;"",IF(INDEX(PCNotes,$N1713)="","—",INDEX(PCNotes,$N1713)),IF($O1713&lt;&gt;"",IF(INDEX(LdgNoteB,$O1713)="","—",INDEX(LdgNoteB,$O1713)),""))</f>
        <v/>
      </c>
      <c r="N1713">
        <f>IFERROR(MATCH($C$5&amp;"|"&amp;RIGHT("000000"&amp;1697,6),LdgRankKeyA,0),"")</f>
        <v/>
      </c>
      <c r="O1713">
        <f>IFERROR(MATCH($C$5&amp;"|"&amp;RIGHT("000000"&amp;1697,6),LdgRankKeyB,0),"")</f>
        <v/>
      </c>
    </row>
    <row r="1714">
      <c r="A1714" s="23" t="n">
        <v>1698</v>
      </c>
      <c r="B1714" s="24">
        <f>IF(AND($N1714="",$O1714=""),"",IF($N1714&lt;&gt;"",INDEX(PCNormDate,$N1714),INDEX(LdgDateB,$O1714)))</f>
        <v/>
      </c>
      <c r="C1714" s="24">
        <f>IF($N1714&lt;&gt;"",INDEX(PCOp,$N1714),IF($O1714&lt;&gt;"",IF(N(INDEX(TxnDepB,$O1714))&gt;0,"دریافت بانکی","پرداخت بانکی"),""))</f>
        <v/>
      </c>
      <c r="D1714" s="24">
        <f>IF($N1714&lt;&gt;"",IF(INDEX(PCDoc,$N1714)="","—",INDEX(PCDoc,$N1714)),IF($O1714&lt;&gt;"",INDEX(LdgBankB,$O1714),""))</f>
        <v/>
      </c>
      <c r="E1714" s="24">
        <f>IF($N1714&lt;&gt;"",IF(INDEX(PCCitrus,$N1714)="","—",INDEX(PCCitrus,$N1714)),"")</f>
        <v/>
      </c>
      <c r="F1714" s="25">
        <f>IF($N1714&lt;&gt;"",IF(INDEX(PCScale,$N1714)=0,"",INDEX(PCScale,$N1714)),"")</f>
        <v/>
      </c>
      <c r="G1714" s="25">
        <f>IF($N1714&lt;&gt;"",IF(INDEX(PCBaskets,$N1714)=0,"",INDEX(PCBaskets,$N1714)),"")</f>
        <v/>
      </c>
      <c r="H1714" s="26">
        <f>IF($N1714&lt;&gt;"",IF(INDEX(PCNet,$N1714)=0,"",INDEX(PCNet,$N1714)),"")</f>
        <v/>
      </c>
      <c r="I1714" s="25">
        <f>IF($N1714&lt;&gt;"",IF(INDEX(PCOp,$N1714)="مرجوعی خرید","",IF(INDEX(PCAmount,$N1714)&lt;=0,"",INDEX(PCAmount,$N1714))),IF($O1714&lt;&gt;"",IF(INDEX(TxnDepB,$O1714)=0,"",INDEX(TxnDepB,$O1714)),""))</f>
        <v/>
      </c>
      <c r="J1714" s="25">
        <f>IF($N1714&lt;&gt;"",IF(INDEX(PCOp,$N1714)="مرجوعی خرید",IF(INDEX(PCAmount,$N1714)=0,"",-INDEX(PCAmount,$N1714)),""),IF($O1714&lt;&gt;"",IF(INDEX(TxnWitB,$O1714)=0,"",INDEX(TxnWitB,$O1714)),""))</f>
        <v/>
      </c>
      <c r="K1714" s="27">
        <f>IF($B1714="","",IF($K1713="",$C$10,$K1713)+IF($I1714="",0,$I1714)-IF($J1714="",0,$J1714))</f>
        <v/>
      </c>
      <c r="L1714" s="28">
        <f>IF($N1714&lt;&gt;"",IF(INDEX(PCNotes,$N1714)="","—",INDEX(PCNotes,$N1714)),IF($O1714&lt;&gt;"",IF(INDEX(LdgNoteB,$O1714)="","—",INDEX(LdgNoteB,$O1714)),""))</f>
        <v/>
      </c>
      <c r="N1714">
        <f>IFERROR(MATCH($C$5&amp;"|"&amp;RIGHT("000000"&amp;1698,6),LdgRankKeyA,0),"")</f>
        <v/>
      </c>
      <c r="O1714">
        <f>IFERROR(MATCH($C$5&amp;"|"&amp;RIGHT("000000"&amp;1698,6),LdgRankKeyB,0),"")</f>
        <v/>
      </c>
    </row>
    <row r="1715">
      <c r="A1715" s="17" t="n">
        <v>1699</v>
      </c>
      <c r="B1715" s="18">
        <f>IF(AND($N1715="",$O1715=""),"",IF($N1715&lt;&gt;"",INDEX(PCNormDate,$N1715),INDEX(LdgDateB,$O1715)))</f>
        <v/>
      </c>
      <c r="C1715" s="18">
        <f>IF($N1715&lt;&gt;"",INDEX(PCOp,$N1715),IF($O1715&lt;&gt;"",IF(N(INDEX(TxnDepB,$O1715))&gt;0,"دریافت بانکی","پرداخت بانکی"),""))</f>
        <v/>
      </c>
      <c r="D1715" s="18">
        <f>IF($N1715&lt;&gt;"",IF(INDEX(PCDoc,$N1715)="","—",INDEX(PCDoc,$N1715)),IF($O1715&lt;&gt;"",INDEX(LdgBankB,$O1715),""))</f>
        <v/>
      </c>
      <c r="E1715" s="18">
        <f>IF($N1715&lt;&gt;"",IF(INDEX(PCCitrus,$N1715)="","—",INDEX(PCCitrus,$N1715)),"")</f>
        <v/>
      </c>
      <c r="F1715" s="19">
        <f>IF($N1715&lt;&gt;"",IF(INDEX(PCScale,$N1715)=0,"",INDEX(PCScale,$N1715)),"")</f>
        <v/>
      </c>
      <c r="G1715" s="19">
        <f>IF($N1715&lt;&gt;"",IF(INDEX(PCBaskets,$N1715)=0,"",INDEX(PCBaskets,$N1715)),"")</f>
        <v/>
      </c>
      <c r="H1715" s="20">
        <f>IF($N1715&lt;&gt;"",IF(INDEX(PCNet,$N1715)=0,"",INDEX(PCNet,$N1715)),"")</f>
        <v/>
      </c>
      <c r="I1715" s="19">
        <f>IF($N1715&lt;&gt;"",IF(INDEX(PCOp,$N1715)="مرجوعی خرید","",IF(INDEX(PCAmount,$N1715)&lt;=0,"",INDEX(PCAmount,$N1715))),IF($O1715&lt;&gt;"",IF(INDEX(TxnDepB,$O1715)=0,"",INDEX(TxnDepB,$O1715)),""))</f>
        <v/>
      </c>
      <c r="J1715" s="19">
        <f>IF($N1715&lt;&gt;"",IF(INDEX(PCOp,$N1715)="مرجوعی خرید",IF(INDEX(PCAmount,$N1715)=0,"",-INDEX(PCAmount,$N1715)),""),IF($O1715&lt;&gt;"",IF(INDEX(TxnWitB,$O1715)=0,"",INDEX(TxnWitB,$O1715)),""))</f>
        <v/>
      </c>
      <c r="K1715" s="21">
        <f>IF($B1715="","",IF($K1714="",$C$10,$K1714)+IF($I1715="",0,$I1715)-IF($J1715="",0,$J1715))</f>
        <v/>
      </c>
      <c r="L1715" s="22">
        <f>IF($N1715&lt;&gt;"",IF(INDEX(PCNotes,$N1715)="","—",INDEX(PCNotes,$N1715)),IF($O1715&lt;&gt;"",IF(INDEX(LdgNoteB,$O1715)="","—",INDEX(LdgNoteB,$O1715)),""))</f>
        <v/>
      </c>
      <c r="N1715">
        <f>IFERROR(MATCH($C$5&amp;"|"&amp;RIGHT("000000"&amp;1699,6),LdgRankKeyA,0),"")</f>
        <v/>
      </c>
      <c r="O1715">
        <f>IFERROR(MATCH($C$5&amp;"|"&amp;RIGHT("000000"&amp;1699,6),LdgRankKeyB,0),"")</f>
        <v/>
      </c>
    </row>
    <row r="1716">
      <c r="A1716" s="23" t="n">
        <v>1700</v>
      </c>
      <c r="B1716" s="24">
        <f>IF(AND($N1716="",$O1716=""),"",IF($N1716&lt;&gt;"",INDEX(PCNormDate,$N1716),INDEX(LdgDateB,$O1716)))</f>
        <v/>
      </c>
      <c r="C1716" s="24">
        <f>IF($N1716&lt;&gt;"",INDEX(PCOp,$N1716),IF($O1716&lt;&gt;"",IF(N(INDEX(TxnDepB,$O1716))&gt;0,"دریافت بانکی","پرداخت بانکی"),""))</f>
        <v/>
      </c>
      <c r="D1716" s="24">
        <f>IF($N1716&lt;&gt;"",IF(INDEX(PCDoc,$N1716)="","—",INDEX(PCDoc,$N1716)),IF($O1716&lt;&gt;"",INDEX(LdgBankB,$O1716),""))</f>
        <v/>
      </c>
      <c r="E1716" s="24">
        <f>IF($N1716&lt;&gt;"",IF(INDEX(PCCitrus,$N1716)="","—",INDEX(PCCitrus,$N1716)),"")</f>
        <v/>
      </c>
      <c r="F1716" s="25">
        <f>IF($N1716&lt;&gt;"",IF(INDEX(PCScale,$N1716)=0,"",INDEX(PCScale,$N1716)),"")</f>
        <v/>
      </c>
      <c r="G1716" s="25">
        <f>IF($N1716&lt;&gt;"",IF(INDEX(PCBaskets,$N1716)=0,"",INDEX(PCBaskets,$N1716)),"")</f>
        <v/>
      </c>
      <c r="H1716" s="26">
        <f>IF($N1716&lt;&gt;"",IF(INDEX(PCNet,$N1716)=0,"",INDEX(PCNet,$N1716)),"")</f>
        <v/>
      </c>
      <c r="I1716" s="25">
        <f>IF($N1716&lt;&gt;"",IF(INDEX(PCOp,$N1716)="مرجوعی خرید","",IF(INDEX(PCAmount,$N1716)&lt;=0,"",INDEX(PCAmount,$N1716))),IF($O1716&lt;&gt;"",IF(INDEX(TxnDepB,$O1716)=0,"",INDEX(TxnDepB,$O1716)),""))</f>
        <v/>
      </c>
      <c r="J1716" s="25">
        <f>IF($N1716&lt;&gt;"",IF(INDEX(PCOp,$N1716)="مرجوعی خرید",IF(INDEX(PCAmount,$N1716)=0,"",-INDEX(PCAmount,$N1716)),""),IF($O1716&lt;&gt;"",IF(INDEX(TxnWitB,$O1716)=0,"",INDEX(TxnWitB,$O1716)),""))</f>
        <v/>
      </c>
      <c r="K1716" s="27">
        <f>IF($B1716="","",IF($K1715="",$C$10,$K1715)+IF($I1716="",0,$I1716)-IF($J1716="",0,$J1716))</f>
        <v/>
      </c>
      <c r="L1716" s="28">
        <f>IF($N1716&lt;&gt;"",IF(INDEX(PCNotes,$N1716)="","—",INDEX(PCNotes,$N1716)),IF($O1716&lt;&gt;"",IF(INDEX(LdgNoteB,$O1716)="","—",INDEX(LdgNoteB,$O1716)),""))</f>
        <v/>
      </c>
      <c r="N1716">
        <f>IFERROR(MATCH($C$5&amp;"|"&amp;RIGHT("000000"&amp;1700,6),LdgRankKeyA,0),"")</f>
        <v/>
      </c>
      <c r="O1716">
        <f>IFERROR(MATCH($C$5&amp;"|"&amp;RIGHT("000000"&amp;1700,6),LdgRankKeyB,0),"")</f>
        <v/>
      </c>
    </row>
    <row r="1717">
      <c r="A1717" s="17" t="n">
        <v>1701</v>
      </c>
      <c r="B1717" s="18">
        <f>IF(AND($N1717="",$O1717=""),"",IF($N1717&lt;&gt;"",INDEX(PCNormDate,$N1717),INDEX(LdgDateB,$O1717)))</f>
        <v/>
      </c>
      <c r="C1717" s="18">
        <f>IF($N1717&lt;&gt;"",INDEX(PCOp,$N1717),IF($O1717&lt;&gt;"",IF(N(INDEX(TxnDepB,$O1717))&gt;0,"دریافت بانکی","پرداخت بانکی"),""))</f>
        <v/>
      </c>
      <c r="D1717" s="18">
        <f>IF($N1717&lt;&gt;"",IF(INDEX(PCDoc,$N1717)="","—",INDEX(PCDoc,$N1717)),IF($O1717&lt;&gt;"",INDEX(LdgBankB,$O1717),""))</f>
        <v/>
      </c>
      <c r="E1717" s="18">
        <f>IF($N1717&lt;&gt;"",IF(INDEX(PCCitrus,$N1717)="","—",INDEX(PCCitrus,$N1717)),"")</f>
        <v/>
      </c>
      <c r="F1717" s="19">
        <f>IF($N1717&lt;&gt;"",IF(INDEX(PCScale,$N1717)=0,"",INDEX(PCScale,$N1717)),"")</f>
        <v/>
      </c>
      <c r="G1717" s="19">
        <f>IF($N1717&lt;&gt;"",IF(INDEX(PCBaskets,$N1717)=0,"",INDEX(PCBaskets,$N1717)),"")</f>
        <v/>
      </c>
      <c r="H1717" s="20">
        <f>IF($N1717&lt;&gt;"",IF(INDEX(PCNet,$N1717)=0,"",INDEX(PCNet,$N1717)),"")</f>
        <v/>
      </c>
      <c r="I1717" s="19">
        <f>IF($N1717&lt;&gt;"",IF(INDEX(PCOp,$N1717)="مرجوعی خرید","",IF(INDEX(PCAmount,$N1717)&lt;=0,"",INDEX(PCAmount,$N1717))),IF($O1717&lt;&gt;"",IF(INDEX(TxnDepB,$O1717)=0,"",INDEX(TxnDepB,$O1717)),""))</f>
        <v/>
      </c>
      <c r="J1717" s="19">
        <f>IF($N1717&lt;&gt;"",IF(INDEX(PCOp,$N1717)="مرجوعی خرید",IF(INDEX(PCAmount,$N1717)=0,"",-INDEX(PCAmount,$N1717)),""),IF($O1717&lt;&gt;"",IF(INDEX(TxnWitB,$O1717)=0,"",INDEX(TxnWitB,$O1717)),""))</f>
        <v/>
      </c>
      <c r="K1717" s="21">
        <f>IF($B1717="","",IF($K1716="",$C$10,$K1716)+IF($I1717="",0,$I1717)-IF($J1717="",0,$J1717))</f>
        <v/>
      </c>
      <c r="L1717" s="22">
        <f>IF($N1717&lt;&gt;"",IF(INDEX(PCNotes,$N1717)="","—",INDEX(PCNotes,$N1717)),IF($O1717&lt;&gt;"",IF(INDEX(LdgNoteB,$O1717)="","—",INDEX(LdgNoteB,$O1717)),""))</f>
        <v/>
      </c>
      <c r="N1717">
        <f>IFERROR(MATCH($C$5&amp;"|"&amp;RIGHT("000000"&amp;1701,6),LdgRankKeyA,0),"")</f>
        <v/>
      </c>
      <c r="O1717">
        <f>IFERROR(MATCH($C$5&amp;"|"&amp;RIGHT("000000"&amp;1701,6),LdgRankKeyB,0),"")</f>
        <v/>
      </c>
    </row>
    <row r="1718">
      <c r="A1718" s="23" t="n">
        <v>1702</v>
      </c>
      <c r="B1718" s="24">
        <f>IF(AND($N1718="",$O1718=""),"",IF($N1718&lt;&gt;"",INDEX(PCNormDate,$N1718),INDEX(LdgDateB,$O1718)))</f>
        <v/>
      </c>
      <c r="C1718" s="24">
        <f>IF($N1718&lt;&gt;"",INDEX(PCOp,$N1718),IF($O1718&lt;&gt;"",IF(N(INDEX(TxnDepB,$O1718))&gt;0,"دریافت بانکی","پرداخت بانکی"),""))</f>
        <v/>
      </c>
      <c r="D1718" s="24">
        <f>IF($N1718&lt;&gt;"",IF(INDEX(PCDoc,$N1718)="","—",INDEX(PCDoc,$N1718)),IF($O1718&lt;&gt;"",INDEX(LdgBankB,$O1718),""))</f>
        <v/>
      </c>
      <c r="E1718" s="24">
        <f>IF($N1718&lt;&gt;"",IF(INDEX(PCCitrus,$N1718)="","—",INDEX(PCCitrus,$N1718)),"")</f>
        <v/>
      </c>
      <c r="F1718" s="25">
        <f>IF($N1718&lt;&gt;"",IF(INDEX(PCScale,$N1718)=0,"",INDEX(PCScale,$N1718)),"")</f>
        <v/>
      </c>
      <c r="G1718" s="25">
        <f>IF($N1718&lt;&gt;"",IF(INDEX(PCBaskets,$N1718)=0,"",INDEX(PCBaskets,$N1718)),"")</f>
        <v/>
      </c>
      <c r="H1718" s="26">
        <f>IF($N1718&lt;&gt;"",IF(INDEX(PCNet,$N1718)=0,"",INDEX(PCNet,$N1718)),"")</f>
        <v/>
      </c>
      <c r="I1718" s="25">
        <f>IF($N1718&lt;&gt;"",IF(INDEX(PCOp,$N1718)="مرجوعی خرید","",IF(INDEX(PCAmount,$N1718)&lt;=0,"",INDEX(PCAmount,$N1718))),IF($O1718&lt;&gt;"",IF(INDEX(TxnDepB,$O1718)=0,"",INDEX(TxnDepB,$O1718)),""))</f>
        <v/>
      </c>
      <c r="J1718" s="25">
        <f>IF($N1718&lt;&gt;"",IF(INDEX(PCOp,$N1718)="مرجوعی خرید",IF(INDEX(PCAmount,$N1718)=0,"",-INDEX(PCAmount,$N1718)),""),IF($O1718&lt;&gt;"",IF(INDEX(TxnWitB,$O1718)=0,"",INDEX(TxnWitB,$O1718)),""))</f>
        <v/>
      </c>
      <c r="K1718" s="27">
        <f>IF($B1718="","",IF($K1717="",$C$10,$K1717)+IF($I1718="",0,$I1718)-IF($J1718="",0,$J1718))</f>
        <v/>
      </c>
      <c r="L1718" s="28">
        <f>IF($N1718&lt;&gt;"",IF(INDEX(PCNotes,$N1718)="","—",INDEX(PCNotes,$N1718)),IF($O1718&lt;&gt;"",IF(INDEX(LdgNoteB,$O1718)="","—",INDEX(LdgNoteB,$O1718)),""))</f>
        <v/>
      </c>
      <c r="N1718">
        <f>IFERROR(MATCH($C$5&amp;"|"&amp;RIGHT("000000"&amp;1702,6),LdgRankKeyA,0),"")</f>
        <v/>
      </c>
      <c r="O1718">
        <f>IFERROR(MATCH($C$5&amp;"|"&amp;RIGHT("000000"&amp;1702,6),LdgRankKeyB,0),"")</f>
        <v/>
      </c>
    </row>
    <row r="1719">
      <c r="A1719" s="17" t="n">
        <v>1703</v>
      </c>
      <c r="B1719" s="18">
        <f>IF(AND($N1719="",$O1719=""),"",IF($N1719&lt;&gt;"",INDEX(PCNormDate,$N1719),INDEX(LdgDateB,$O1719)))</f>
        <v/>
      </c>
      <c r="C1719" s="18">
        <f>IF($N1719&lt;&gt;"",INDEX(PCOp,$N1719),IF($O1719&lt;&gt;"",IF(N(INDEX(TxnDepB,$O1719))&gt;0,"دریافت بانکی","پرداخت بانکی"),""))</f>
        <v/>
      </c>
      <c r="D1719" s="18">
        <f>IF($N1719&lt;&gt;"",IF(INDEX(PCDoc,$N1719)="","—",INDEX(PCDoc,$N1719)),IF($O1719&lt;&gt;"",INDEX(LdgBankB,$O1719),""))</f>
        <v/>
      </c>
      <c r="E1719" s="18">
        <f>IF($N1719&lt;&gt;"",IF(INDEX(PCCitrus,$N1719)="","—",INDEX(PCCitrus,$N1719)),"")</f>
        <v/>
      </c>
      <c r="F1719" s="19">
        <f>IF($N1719&lt;&gt;"",IF(INDEX(PCScale,$N1719)=0,"",INDEX(PCScale,$N1719)),"")</f>
        <v/>
      </c>
      <c r="G1719" s="19">
        <f>IF($N1719&lt;&gt;"",IF(INDEX(PCBaskets,$N1719)=0,"",INDEX(PCBaskets,$N1719)),"")</f>
        <v/>
      </c>
      <c r="H1719" s="20">
        <f>IF($N1719&lt;&gt;"",IF(INDEX(PCNet,$N1719)=0,"",INDEX(PCNet,$N1719)),"")</f>
        <v/>
      </c>
      <c r="I1719" s="19">
        <f>IF($N1719&lt;&gt;"",IF(INDEX(PCOp,$N1719)="مرجوعی خرید","",IF(INDEX(PCAmount,$N1719)&lt;=0,"",INDEX(PCAmount,$N1719))),IF($O1719&lt;&gt;"",IF(INDEX(TxnDepB,$O1719)=0,"",INDEX(TxnDepB,$O1719)),""))</f>
        <v/>
      </c>
      <c r="J1719" s="19">
        <f>IF($N1719&lt;&gt;"",IF(INDEX(PCOp,$N1719)="مرجوعی خرید",IF(INDEX(PCAmount,$N1719)=0,"",-INDEX(PCAmount,$N1719)),""),IF($O1719&lt;&gt;"",IF(INDEX(TxnWitB,$O1719)=0,"",INDEX(TxnWitB,$O1719)),""))</f>
        <v/>
      </c>
      <c r="K1719" s="21">
        <f>IF($B1719="","",IF($K1718="",$C$10,$K1718)+IF($I1719="",0,$I1719)-IF($J1719="",0,$J1719))</f>
        <v/>
      </c>
      <c r="L1719" s="22">
        <f>IF($N1719&lt;&gt;"",IF(INDEX(PCNotes,$N1719)="","—",INDEX(PCNotes,$N1719)),IF($O1719&lt;&gt;"",IF(INDEX(LdgNoteB,$O1719)="","—",INDEX(LdgNoteB,$O1719)),""))</f>
        <v/>
      </c>
      <c r="N1719">
        <f>IFERROR(MATCH($C$5&amp;"|"&amp;RIGHT("000000"&amp;1703,6),LdgRankKeyA,0),"")</f>
        <v/>
      </c>
      <c r="O1719">
        <f>IFERROR(MATCH($C$5&amp;"|"&amp;RIGHT("000000"&amp;1703,6),LdgRankKeyB,0),"")</f>
        <v/>
      </c>
    </row>
    <row r="1720">
      <c r="A1720" s="23" t="n">
        <v>1704</v>
      </c>
      <c r="B1720" s="24">
        <f>IF(AND($N1720="",$O1720=""),"",IF($N1720&lt;&gt;"",INDEX(PCNormDate,$N1720),INDEX(LdgDateB,$O1720)))</f>
        <v/>
      </c>
      <c r="C1720" s="24">
        <f>IF($N1720&lt;&gt;"",INDEX(PCOp,$N1720),IF($O1720&lt;&gt;"",IF(N(INDEX(TxnDepB,$O1720))&gt;0,"دریافت بانکی","پرداخت بانکی"),""))</f>
        <v/>
      </c>
      <c r="D1720" s="24">
        <f>IF($N1720&lt;&gt;"",IF(INDEX(PCDoc,$N1720)="","—",INDEX(PCDoc,$N1720)),IF($O1720&lt;&gt;"",INDEX(LdgBankB,$O1720),""))</f>
        <v/>
      </c>
      <c r="E1720" s="24">
        <f>IF($N1720&lt;&gt;"",IF(INDEX(PCCitrus,$N1720)="","—",INDEX(PCCitrus,$N1720)),"")</f>
        <v/>
      </c>
      <c r="F1720" s="25">
        <f>IF($N1720&lt;&gt;"",IF(INDEX(PCScale,$N1720)=0,"",INDEX(PCScale,$N1720)),"")</f>
        <v/>
      </c>
      <c r="G1720" s="25">
        <f>IF($N1720&lt;&gt;"",IF(INDEX(PCBaskets,$N1720)=0,"",INDEX(PCBaskets,$N1720)),"")</f>
        <v/>
      </c>
      <c r="H1720" s="26">
        <f>IF($N1720&lt;&gt;"",IF(INDEX(PCNet,$N1720)=0,"",INDEX(PCNet,$N1720)),"")</f>
        <v/>
      </c>
      <c r="I1720" s="25">
        <f>IF($N1720&lt;&gt;"",IF(INDEX(PCOp,$N1720)="مرجوعی خرید","",IF(INDEX(PCAmount,$N1720)&lt;=0,"",INDEX(PCAmount,$N1720))),IF($O1720&lt;&gt;"",IF(INDEX(TxnDepB,$O1720)=0,"",INDEX(TxnDepB,$O1720)),""))</f>
        <v/>
      </c>
      <c r="J1720" s="25">
        <f>IF($N1720&lt;&gt;"",IF(INDEX(PCOp,$N1720)="مرجوعی خرید",IF(INDEX(PCAmount,$N1720)=0,"",-INDEX(PCAmount,$N1720)),""),IF($O1720&lt;&gt;"",IF(INDEX(TxnWitB,$O1720)=0,"",INDEX(TxnWitB,$O1720)),""))</f>
        <v/>
      </c>
      <c r="K1720" s="27">
        <f>IF($B1720="","",IF($K1719="",$C$10,$K1719)+IF($I1720="",0,$I1720)-IF($J1720="",0,$J1720))</f>
        <v/>
      </c>
      <c r="L1720" s="28">
        <f>IF($N1720&lt;&gt;"",IF(INDEX(PCNotes,$N1720)="","—",INDEX(PCNotes,$N1720)),IF($O1720&lt;&gt;"",IF(INDEX(LdgNoteB,$O1720)="","—",INDEX(LdgNoteB,$O1720)),""))</f>
        <v/>
      </c>
      <c r="N1720">
        <f>IFERROR(MATCH($C$5&amp;"|"&amp;RIGHT("000000"&amp;1704,6),LdgRankKeyA,0),"")</f>
        <v/>
      </c>
      <c r="O1720">
        <f>IFERROR(MATCH($C$5&amp;"|"&amp;RIGHT("000000"&amp;1704,6),LdgRankKeyB,0),"")</f>
        <v/>
      </c>
    </row>
    <row r="1721">
      <c r="A1721" s="17" t="n">
        <v>1705</v>
      </c>
      <c r="B1721" s="18">
        <f>IF(AND($N1721="",$O1721=""),"",IF($N1721&lt;&gt;"",INDEX(PCNormDate,$N1721),INDEX(LdgDateB,$O1721)))</f>
        <v/>
      </c>
      <c r="C1721" s="18">
        <f>IF($N1721&lt;&gt;"",INDEX(PCOp,$N1721),IF($O1721&lt;&gt;"",IF(N(INDEX(TxnDepB,$O1721))&gt;0,"دریافت بانکی","پرداخت بانکی"),""))</f>
        <v/>
      </c>
      <c r="D1721" s="18">
        <f>IF($N1721&lt;&gt;"",IF(INDEX(PCDoc,$N1721)="","—",INDEX(PCDoc,$N1721)),IF($O1721&lt;&gt;"",INDEX(LdgBankB,$O1721),""))</f>
        <v/>
      </c>
      <c r="E1721" s="18">
        <f>IF($N1721&lt;&gt;"",IF(INDEX(PCCitrus,$N1721)="","—",INDEX(PCCitrus,$N1721)),"")</f>
        <v/>
      </c>
      <c r="F1721" s="19">
        <f>IF($N1721&lt;&gt;"",IF(INDEX(PCScale,$N1721)=0,"",INDEX(PCScale,$N1721)),"")</f>
        <v/>
      </c>
      <c r="G1721" s="19">
        <f>IF($N1721&lt;&gt;"",IF(INDEX(PCBaskets,$N1721)=0,"",INDEX(PCBaskets,$N1721)),"")</f>
        <v/>
      </c>
      <c r="H1721" s="20">
        <f>IF($N1721&lt;&gt;"",IF(INDEX(PCNet,$N1721)=0,"",INDEX(PCNet,$N1721)),"")</f>
        <v/>
      </c>
      <c r="I1721" s="19">
        <f>IF($N1721&lt;&gt;"",IF(INDEX(PCOp,$N1721)="مرجوعی خرید","",IF(INDEX(PCAmount,$N1721)&lt;=0,"",INDEX(PCAmount,$N1721))),IF($O1721&lt;&gt;"",IF(INDEX(TxnDepB,$O1721)=0,"",INDEX(TxnDepB,$O1721)),""))</f>
        <v/>
      </c>
      <c r="J1721" s="19">
        <f>IF($N1721&lt;&gt;"",IF(INDEX(PCOp,$N1721)="مرجوعی خرید",IF(INDEX(PCAmount,$N1721)=0,"",-INDEX(PCAmount,$N1721)),""),IF($O1721&lt;&gt;"",IF(INDEX(TxnWitB,$O1721)=0,"",INDEX(TxnWitB,$O1721)),""))</f>
        <v/>
      </c>
      <c r="K1721" s="21">
        <f>IF($B1721="","",IF($K1720="",$C$10,$K1720)+IF($I1721="",0,$I1721)-IF($J1721="",0,$J1721))</f>
        <v/>
      </c>
      <c r="L1721" s="22">
        <f>IF($N1721&lt;&gt;"",IF(INDEX(PCNotes,$N1721)="","—",INDEX(PCNotes,$N1721)),IF($O1721&lt;&gt;"",IF(INDEX(LdgNoteB,$O1721)="","—",INDEX(LdgNoteB,$O1721)),""))</f>
        <v/>
      </c>
      <c r="N1721">
        <f>IFERROR(MATCH($C$5&amp;"|"&amp;RIGHT("000000"&amp;1705,6),LdgRankKeyA,0),"")</f>
        <v/>
      </c>
      <c r="O1721">
        <f>IFERROR(MATCH($C$5&amp;"|"&amp;RIGHT("000000"&amp;1705,6),LdgRankKeyB,0),"")</f>
        <v/>
      </c>
    </row>
    <row r="1722">
      <c r="A1722" s="23" t="n">
        <v>1706</v>
      </c>
      <c r="B1722" s="24">
        <f>IF(AND($N1722="",$O1722=""),"",IF($N1722&lt;&gt;"",INDEX(PCNormDate,$N1722),INDEX(LdgDateB,$O1722)))</f>
        <v/>
      </c>
      <c r="C1722" s="24">
        <f>IF($N1722&lt;&gt;"",INDEX(PCOp,$N1722),IF($O1722&lt;&gt;"",IF(N(INDEX(TxnDepB,$O1722))&gt;0,"دریافت بانکی","پرداخت بانکی"),""))</f>
        <v/>
      </c>
      <c r="D1722" s="24">
        <f>IF($N1722&lt;&gt;"",IF(INDEX(PCDoc,$N1722)="","—",INDEX(PCDoc,$N1722)),IF($O1722&lt;&gt;"",INDEX(LdgBankB,$O1722),""))</f>
        <v/>
      </c>
      <c r="E1722" s="24">
        <f>IF($N1722&lt;&gt;"",IF(INDEX(PCCitrus,$N1722)="","—",INDEX(PCCitrus,$N1722)),"")</f>
        <v/>
      </c>
      <c r="F1722" s="25">
        <f>IF($N1722&lt;&gt;"",IF(INDEX(PCScale,$N1722)=0,"",INDEX(PCScale,$N1722)),"")</f>
        <v/>
      </c>
      <c r="G1722" s="25">
        <f>IF($N1722&lt;&gt;"",IF(INDEX(PCBaskets,$N1722)=0,"",INDEX(PCBaskets,$N1722)),"")</f>
        <v/>
      </c>
      <c r="H1722" s="26">
        <f>IF($N1722&lt;&gt;"",IF(INDEX(PCNet,$N1722)=0,"",INDEX(PCNet,$N1722)),"")</f>
        <v/>
      </c>
      <c r="I1722" s="25">
        <f>IF($N1722&lt;&gt;"",IF(INDEX(PCOp,$N1722)="مرجوعی خرید","",IF(INDEX(PCAmount,$N1722)&lt;=0,"",INDEX(PCAmount,$N1722))),IF($O1722&lt;&gt;"",IF(INDEX(TxnDepB,$O1722)=0,"",INDEX(TxnDepB,$O1722)),""))</f>
        <v/>
      </c>
      <c r="J1722" s="25">
        <f>IF($N1722&lt;&gt;"",IF(INDEX(PCOp,$N1722)="مرجوعی خرید",IF(INDEX(PCAmount,$N1722)=0,"",-INDEX(PCAmount,$N1722)),""),IF($O1722&lt;&gt;"",IF(INDEX(TxnWitB,$O1722)=0,"",INDEX(TxnWitB,$O1722)),""))</f>
        <v/>
      </c>
      <c r="K1722" s="27">
        <f>IF($B1722="","",IF($K1721="",$C$10,$K1721)+IF($I1722="",0,$I1722)-IF($J1722="",0,$J1722))</f>
        <v/>
      </c>
      <c r="L1722" s="28">
        <f>IF($N1722&lt;&gt;"",IF(INDEX(PCNotes,$N1722)="","—",INDEX(PCNotes,$N1722)),IF($O1722&lt;&gt;"",IF(INDEX(LdgNoteB,$O1722)="","—",INDEX(LdgNoteB,$O1722)),""))</f>
        <v/>
      </c>
      <c r="N1722">
        <f>IFERROR(MATCH($C$5&amp;"|"&amp;RIGHT("000000"&amp;1706,6),LdgRankKeyA,0),"")</f>
        <v/>
      </c>
      <c r="O1722">
        <f>IFERROR(MATCH($C$5&amp;"|"&amp;RIGHT("000000"&amp;1706,6),LdgRankKeyB,0),"")</f>
        <v/>
      </c>
    </row>
    <row r="1723">
      <c r="A1723" s="17" t="n">
        <v>1707</v>
      </c>
      <c r="B1723" s="18">
        <f>IF(AND($N1723="",$O1723=""),"",IF($N1723&lt;&gt;"",INDEX(PCNormDate,$N1723),INDEX(LdgDateB,$O1723)))</f>
        <v/>
      </c>
      <c r="C1723" s="18">
        <f>IF($N1723&lt;&gt;"",INDEX(PCOp,$N1723),IF($O1723&lt;&gt;"",IF(N(INDEX(TxnDepB,$O1723))&gt;0,"دریافت بانکی","پرداخت بانکی"),""))</f>
        <v/>
      </c>
      <c r="D1723" s="18">
        <f>IF($N1723&lt;&gt;"",IF(INDEX(PCDoc,$N1723)="","—",INDEX(PCDoc,$N1723)),IF($O1723&lt;&gt;"",INDEX(LdgBankB,$O1723),""))</f>
        <v/>
      </c>
      <c r="E1723" s="18">
        <f>IF($N1723&lt;&gt;"",IF(INDEX(PCCitrus,$N1723)="","—",INDEX(PCCitrus,$N1723)),"")</f>
        <v/>
      </c>
      <c r="F1723" s="19">
        <f>IF($N1723&lt;&gt;"",IF(INDEX(PCScale,$N1723)=0,"",INDEX(PCScale,$N1723)),"")</f>
        <v/>
      </c>
      <c r="G1723" s="19">
        <f>IF($N1723&lt;&gt;"",IF(INDEX(PCBaskets,$N1723)=0,"",INDEX(PCBaskets,$N1723)),"")</f>
        <v/>
      </c>
      <c r="H1723" s="20">
        <f>IF($N1723&lt;&gt;"",IF(INDEX(PCNet,$N1723)=0,"",INDEX(PCNet,$N1723)),"")</f>
        <v/>
      </c>
      <c r="I1723" s="19">
        <f>IF($N1723&lt;&gt;"",IF(INDEX(PCOp,$N1723)="مرجوعی خرید","",IF(INDEX(PCAmount,$N1723)&lt;=0,"",INDEX(PCAmount,$N1723))),IF($O1723&lt;&gt;"",IF(INDEX(TxnDepB,$O1723)=0,"",INDEX(TxnDepB,$O1723)),""))</f>
        <v/>
      </c>
      <c r="J1723" s="19">
        <f>IF($N1723&lt;&gt;"",IF(INDEX(PCOp,$N1723)="مرجوعی خرید",IF(INDEX(PCAmount,$N1723)=0,"",-INDEX(PCAmount,$N1723)),""),IF($O1723&lt;&gt;"",IF(INDEX(TxnWitB,$O1723)=0,"",INDEX(TxnWitB,$O1723)),""))</f>
        <v/>
      </c>
      <c r="K1723" s="21">
        <f>IF($B1723="","",IF($K1722="",$C$10,$K1722)+IF($I1723="",0,$I1723)-IF($J1723="",0,$J1723))</f>
        <v/>
      </c>
      <c r="L1723" s="22">
        <f>IF($N1723&lt;&gt;"",IF(INDEX(PCNotes,$N1723)="","—",INDEX(PCNotes,$N1723)),IF($O1723&lt;&gt;"",IF(INDEX(LdgNoteB,$O1723)="","—",INDEX(LdgNoteB,$O1723)),""))</f>
        <v/>
      </c>
      <c r="N1723">
        <f>IFERROR(MATCH($C$5&amp;"|"&amp;RIGHT("000000"&amp;1707,6),LdgRankKeyA,0),"")</f>
        <v/>
      </c>
      <c r="O1723">
        <f>IFERROR(MATCH($C$5&amp;"|"&amp;RIGHT("000000"&amp;1707,6),LdgRankKeyB,0),"")</f>
        <v/>
      </c>
    </row>
    <row r="1724">
      <c r="A1724" s="23" t="n">
        <v>1708</v>
      </c>
      <c r="B1724" s="24">
        <f>IF(AND($N1724="",$O1724=""),"",IF($N1724&lt;&gt;"",INDEX(PCNormDate,$N1724),INDEX(LdgDateB,$O1724)))</f>
        <v/>
      </c>
      <c r="C1724" s="24">
        <f>IF($N1724&lt;&gt;"",INDEX(PCOp,$N1724),IF($O1724&lt;&gt;"",IF(N(INDEX(TxnDepB,$O1724))&gt;0,"دریافت بانکی","پرداخت بانکی"),""))</f>
        <v/>
      </c>
      <c r="D1724" s="24">
        <f>IF($N1724&lt;&gt;"",IF(INDEX(PCDoc,$N1724)="","—",INDEX(PCDoc,$N1724)),IF($O1724&lt;&gt;"",INDEX(LdgBankB,$O1724),""))</f>
        <v/>
      </c>
      <c r="E1724" s="24">
        <f>IF($N1724&lt;&gt;"",IF(INDEX(PCCitrus,$N1724)="","—",INDEX(PCCitrus,$N1724)),"")</f>
        <v/>
      </c>
      <c r="F1724" s="25">
        <f>IF($N1724&lt;&gt;"",IF(INDEX(PCScale,$N1724)=0,"",INDEX(PCScale,$N1724)),"")</f>
        <v/>
      </c>
      <c r="G1724" s="25">
        <f>IF($N1724&lt;&gt;"",IF(INDEX(PCBaskets,$N1724)=0,"",INDEX(PCBaskets,$N1724)),"")</f>
        <v/>
      </c>
      <c r="H1724" s="26">
        <f>IF($N1724&lt;&gt;"",IF(INDEX(PCNet,$N1724)=0,"",INDEX(PCNet,$N1724)),"")</f>
        <v/>
      </c>
      <c r="I1724" s="25">
        <f>IF($N1724&lt;&gt;"",IF(INDEX(PCOp,$N1724)="مرجوعی خرید","",IF(INDEX(PCAmount,$N1724)&lt;=0,"",INDEX(PCAmount,$N1724))),IF($O1724&lt;&gt;"",IF(INDEX(TxnDepB,$O1724)=0,"",INDEX(TxnDepB,$O1724)),""))</f>
        <v/>
      </c>
      <c r="J1724" s="25">
        <f>IF($N1724&lt;&gt;"",IF(INDEX(PCOp,$N1724)="مرجوعی خرید",IF(INDEX(PCAmount,$N1724)=0,"",-INDEX(PCAmount,$N1724)),""),IF($O1724&lt;&gt;"",IF(INDEX(TxnWitB,$O1724)=0,"",INDEX(TxnWitB,$O1724)),""))</f>
        <v/>
      </c>
      <c r="K1724" s="27">
        <f>IF($B1724="","",IF($K1723="",$C$10,$K1723)+IF($I1724="",0,$I1724)-IF($J1724="",0,$J1724))</f>
        <v/>
      </c>
      <c r="L1724" s="28">
        <f>IF($N1724&lt;&gt;"",IF(INDEX(PCNotes,$N1724)="","—",INDEX(PCNotes,$N1724)),IF($O1724&lt;&gt;"",IF(INDEX(LdgNoteB,$O1724)="","—",INDEX(LdgNoteB,$O1724)),""))</f>
        <v/>
      </c>
      <c r="N1724">
        <f>IFERROR(MATCH($C$5&amp;"|"&amp;RIGHT("000000"&amp;1708,6),LdgRankKeyA,0),"")</f>
        <v/>
      </c>
      <c r="O1724">
        <f>IFERROR(MATCH($C$5&amp;"|"&amp;RIGHT("000000"&amp;1708,6),LdgRankKeyB,0),"")</f>
        <v/>
      </c>
    </row>
    <row r="1725">
      <c r="A1725" s="17" t="n">
        <v>1709</v>
      </c>
      <c r="B1725" s="18">
        <f>IF(AND($N1725="",$O1725=""),"",IF($N1725&lt;&gt;"",INDEX(PCNormDate,$N1725),INDEX(LdgDateB,$O1725)))</f>
        <v/>
      </c>
      <c r="C1725" s="18">
        <f>IF($N1725&lt;&gt;"",INDEX(PCOp,$N1725),IF($O1725&lt;&gt;"",IF(N(INDEX(TxnDepB,$O1725))&gt;0,"دریافت بانکی","پرداخت بانکی"),""))</f>
        <v/>
      </c>
      <c r="D1725" s="18">
        <f>IF($N1725&lt;&gt;"",IF(INDEX(PCDoc,$N1725)="","—",INDEX(PCDoc,$N1725)),IF($O1725&lt;&gt;"",INDEX(LdgBankB,$O1725),""))</f>
        <v/>
      </c>
      <c r="E1725" s="18">
        <f>IF($N1725&lt;&gt;"",IF(INDEX(PCCitrus,$N1725)="","—",INDEX(PCCitrus,$N1725)),"")</f>
        <v/>
      </c>
      <c r="F1725" s="19">
        <f>IF($N1725&lt;&gt;"",IF(INDEX(PCScale,$N1725)=0,"",INDEX(PCScale,$N1725)),"")</f>
        <v/>
      </c>
      <c r="G1725" s="19">
        <f>IF($N1725&lt;&gt;"",IF(INDEX(PCBaskets,$N1725)=0,"",INDEX(PCBaskets,$N1725)),"")</f>
        <v/>
      </c>
      <c r="H1725" s="20">
        <f>IF($N1725&lt;&gt;"",IF(INDEX(PCNet,$N1725)=0,"",INDEX(PCNet,$N1725)),"")</f>
        <v/>
      </c>
      <c r="I1725" s="19">
        <f>IF($N1725&lt;&gt;"",IF(INDEX(PCOp,$N1725)="مرجوعی خرید","",IF(INDEX(PCAmount,$N1725)&lt;=0,"",INDEX(PCAmount,$N1725))),IF($O1725&lt;&gt;"",IF(INDEX(TxnDepB,$O1725)=0,"",INDEX(TxnDepB,$O1725)),""))</f>
        <v/>
      </c>
      <c r="J1725" s="19">
        <f>IF($N1725&lt;&gt;"",IF(INDEX(PCOp,$N1725)="مرجوعی خرید",IF(INDEX(PCAmount,$N1725)=0,"",-INDEX(PCAmount,$N1725)),""),IF($O1725&lt;&gt;"",IF(INDEX(TxnWitB,$O1725)=0,"",INDEX(TxnWitB,$O1725)),""))</f>
        <v/>
      </c>
      <c r="K1725" s="21">
        <f>IF($B1725="","",IF($K1724="",$C$10,$K1724)+IF($I1725="",0,$I1725)-IF($J1725="",0,$J1725))</f>
        <v/>
      </c>
      <c r="L1725" s="22">
        <f>IF($N1725&lt;&gt;"",IF(INDEX(PCNotes,$N1725)="","—",INDEX(PCNotes,$N1725)),IF($O1725&lt;&gt;"",IF(INDEX(LdgNoteB,$O1725)="","—",INDEX(LdgNoteB,$O1725)),""))</f>
        <v/>
      </c>
      <c r="N1725">
        <f>IFERROR(MATCH($C$5&amp;"|"&amp;RIGHT("000000"&amp;1709,6),LdgRankKeyA,0),"")</f>
        <v/>
      </c>
      <c r="O1725">
        <f>IFERROR(MATCH($C$5&amp;"|"&amp;RIGHT("000000"&amp;1709,6),LdgRankKeyB,0),"")</f>
        <v/>
      </c>
    </row>
    <row r="1726">
      <c r="A1726" s="23" t="n">
        <v>1710</v>
      </c>
      <c r="B1726" s="24">
        <f>IF(AND($N1726="",$O1726=""),"",IF($N1726&lt;&gt;"",INDEX(PCNormDate,$N1726),INDEX(LdgDateB,$O1726)))</f>
        <v/>
      </c>
      <c r="C1726" s="24">
        <f>IF($N1726&lt;&gt;"",INDEX(PCOp,$N1726),IF($O1726&lt;&gt;"",IF(N(INDEX(TxnDepB,$O1726))&gt;0,"دریافت بانکی","پرداخت بانکی"),""))</f>
        <v/>
      </c>
      <c r="D1726" s="24">
        <f>IF($N1726&lt;&gt;"",IF(INDEX(PCDoc,$N1726)="","—",INDEX(PCDoc,$N1726)),IF($O1726&lt;&gt;"",INDEX(LdgBankB,$O1726),""))</f>
        <v/>
      </c>
      <c r="E1726" s="24">
        <f>IF($N1726&lt;&gt;"",IF(INDEX(PCCitrus,$N1726)="","—",INDEX(PCCitrus,$N1726)),"")</f>
        <v/>
      </c>
      <c r="F1726" s="25">
        <f>IF($N1726&lt;&gt;"",IF(INDEX(PCScale,$N1726)=0,"",INDEX(PCScale,$N1726)),"")</f>
        <v/>
      </c>
      <c r="G1726" s="25">
        <f>IF($N1726&lt;&gt;"",IF(INDEX(PCBaskets,$N1726)=0,"",INDEX(PCBaskets,$N1726)),"")</f>
        <v/>
      </c>
      <c r="H1726" s="26">
        <f>IF($N1726&lt;&gt;"",IF(INDEX(PCNet,$N1726)=0,"",INDEX(PCNet,$N1726)),"")</f>
        <v/>
      </c>
      <c r="I1726" s="25">
        <f>IF($N1726&lt;&gt;"",IF(INDEX(PCOp,$N1726)="مرجوعی خرید","",IF(INDEX(PCAmount,$N1726)&lt;=0,"",INDEX(PCAmount,$N1726))),IF($O1726&lt;&gt;"",IF(INDEX(TxnDepB,$O1726)=0,"",INDEX(TxnDepB,$O1726)),""))</f>
        <v/>
      </c>
      <c r="J1726" s="25">
        <f>IF($N1726&lt;&gt;"",IF(INDEX(PCOp,$N1726)="مرجوعی خرید",IF(INDEX(PCAmount,$N1726)=0,"",-INDEX(PCAmount,$N1726)),""),IF($O1726&lt;&gt;"",IF(INDEX(TxnWitB,$O1726)=0,"",INDEX(TxnWitB,$O1726)),""))</f>
        <v/>
      </c>
      <c r="K1726" s="27">
        <f>IF($B1726="","",IF($K1725="",$C$10,$K1725)+IF($I1726="",0,$I1726)-IF($J1726="",0,$J1726))</f>
        <v/>
      </c>
      <c r="L1726" s="28">
        <f>IF($N1726&lt;&gt;"",IF(INDEX(PCNotes,$N1726)="","—",INDEX(PCNotes,$N1726)),IF($O1726&lt;&gt;"",IF(INDEX(LdgNoteB,$O1726)="","—",INDEX(LdgNoteB,$O1726)),""))</f>
        <v/>
      </c>
      <c r="N1726">
        <f>IFERROR(MATCH($C$5&amp;"|"&amp;RIGHT("000000"&amp;1710,6),LdgRankKeyA,0),"")</f>
        <v/>
      </c>
      <c r="O1726">
        <f>IFERROR(MATCH($C$5&amp;"|"&amp;RIGHT("000000"&amp;1710,6),LdgRankKeyB,0),"")</f>
        <v/>
      </c>
    </row>
    <row r="1727">
      <c r="A1727" s="17" t="n">
        <v>1711</v>
      </c>
      <c r="B1727" s="18">
        <f>IF(AND($N1727="",$O1727=""),"",IF($N1727&lt;&gt;"",INDEX(PCNormDate,$N1727),INDEX(LdgDateB,$O1727)))</f>
        <v/>
      </c>
      <c r="C1727" s="18">
        <f>IF($N1727&lt;&gt;"",INDEX(PCOp,$N1727),IF($O1727&lt;&gt;"",IF(N(INDEX(TxnDepB,$O1727))&gt;0,"دریافت بانکی","پرداخت بانکی"),""))</f>
        <v/>
      </c>
      <c r="D1727" s="18">
        <f>IF($N1727&lt;&gt;"",IF(INDEX(PCDoc,$N1727)="","—",INDEX(PCDoc,$N1727)),IF($O1727&lt;&gt;"",INDEX(LdgBankB,$O1727),""))</f>
        <v/>
      </c>
      <c r="E1727" s="18">
        <f>IF($N1727&lt;&gt;"",IF(INDEX(PCCitrus,$N1727)="","—",INDEX(PCCitrus,$N1727)),"")</f>
        <v/>
      </c>
      <c r="F1727" s="19">
        <f>IF($N1727&lt;&gt;"",IF(INDEX(PCScale,$N1727)=0,"",INDEX(PCScale,$N1727)),"")</f>
        <v/>
      </c>
      <c r="G1727" s="19">
        <f>IF($N1727&lt;&gt;"",IF(INDEX(PCBaskets,$N1727)=0,"",INDEX(PCBaskets,$N1727)),"")</f>
        <v/>
      </c>
      <c r="H1727" s="20">
        <f>IF($N1727&lt;&gt;"",IF(INDEX(PCNet,$N1727)=0,"",INDEX(PCNet,$N1727)),"")</f>
        <v/>
      </c>
      <c r="I1727" s="19">
        <f>IF($N1727&lt;&gt;"",IF(INDEX(PCOp,$N1727)="مرجوعی خرید","",IF(INDEX(PCAmount,$N1727)&lt;=0,"",INDEX(PCAmount,$N1727))),IF($O1727&lt;&gt;"",IF(INDEX(TxnDepB,$O1727)=0,"",INDEX(TxnDepB,$O1727)),""))</f>
        <v/>
      </c>
      <c r="J1727" s="19">
        <f>IF($N1727&lt;&gt;"",IF(INDEX(PCOp,$N1727)="مرجوعی خرید",IF(INDEX(PCAmount,$N1727)=0,"",-INDEX(PCAmount,$N1727)),""),IF($O1727&lt;&gt;"",IF(INDEX(TxnWitB,$O1727)=0,"",INDEX(TxnWitB,$O1727)),""))</f>
        <v/>
      </c>
      <c r="K1727" s="21">
        <f>IF($B1727="","",IF($K1726="",$C$10,$K1726)+IF($I1727="",0,$I1727)-IF($J1727="",0,$J1727))</f>
        <v/>
      </c>
      <c r="L1727" s="22">
        <f>IF($N1727&lt;&gt;"",IF(INDEX(PCNotes,$N1727)="","—",INDEX(PCNotes,$N1727)),IF($O1727&lt;&gt;"",IF(INDEX(LdgNoteB,$O1727)="","—",INDEX(LdgNoteB,$O1727)),""))</f>
        <v/>
      </c>
      <c r="N1727">
        <f>IFERROR(MATCH($C$5&amp;"|"&amp;RIGHT("000000"&amp;1711,6),LdgRankKeyA,0),"")</f>
        <v/>
      </c>
      <c r="O1727">
        <f>IFERROR(MATCH($C$5&amp;"|"&amp;RIGHT("000000"&amp;1711,6),LdgRankKeyB,0),"")</f>
        <v/>
      </c>
    </row>
    <row r="1728">
      <c r="A1728" s="23" t="n">
        <v>1712</v>
      </c>
      <c r="B1728" s="24">
        <f>IF(AND($N1728="",$O1728=""),"",IF($N1728&lt;&gt;"",INDEX(PCNormDate,$N1728),INDEX(LdgDateB,$O1728)))</f>
        <v/>
      </c>
      <c r="C1728" s="24">
        <f>IF($N1728&lt;&gt;"",INDEX(PCOp,$N1728),IF($O1728&lt;&gt;"",IF(N(INDEX(TxnDepB,$O1728))&gt;0,"دریافت بانکی","پرداخت بانکی"),""))</f>
        <v/>
      </c>
      <c r="D1728" s="24">
        <f>IF($N1728&lt;&gt;"",IF(INDEX(PCDoc,$N1728)="","—",INDEX(PCDoc,$N1728)),IF($O1728&lt;&gt;"",INDEX(LdgBankB,$O1728),""))</f>
        <v/>
      </c>
      <c r="E1728" s="24">
        <f>IF($N1728&lt;&gt;"",IF(INDEX(PCCitrus,$N1728)="","—",INDEX(PCCitrus,$N1728)),"")</f>
        <v/>
      </c>
      <c r="F1728" s="25">
        <f>IF($N1728&lt;&gt;"",IF(INDEX(PCScale,$N1728)=0,"",INDEX(PCScale,$N1728)),"")</f>
        <v/>
      </c>
      <c r="G1728" s="25">
        <f>IF($N1728&lt;&gt;"",IF(INDEX(PCBaskets,$N1728)=0,"",INDEX(PCBaskets,$N1728)),"")</f>
        <v/>
      </c>
      <c r="H1728" s="26">
        <f>IF($N1728&lt;&gt;"",IF(INDEX(PCNet,$N1728)=0,"",INDEX(PCNet,$N1728)),"")</f>
        <v/>
      </c>
      <c r="I1728" s="25">
        <f>IF($N1728&lt;&gt;"",IF(INDEX(PCOp,$N1728)="مرجوعی خرید","",IF(INDEX(PCAmount,$N1728)&lt;=0,"",INDEX(PCAmount,$N1728))),IF($O1728&lt;&gt;"",IF(INDEX(TxnDepB,$O1728)=0,"",INDEX(TxnDepB,$O1728)),""))</f>
        <v/>
      </c>
      <c r="J1728" s="25">
        <f>IF($N1728&lt;&gt;"",IF(INDEX(PCOp,$N1728)="مرجوعی خرید",IF(INDEX(PCAmount,$N1728)=0,"",-INDEX(PCAmount,$N1728)),""),IF($O1728&lt;&gt;"",IF(INDEX(TxnWitB,$O1728)=0,"",INDEX(TxnWitB,$O1728)),""))</f>
        <v/>
      </c>
      <c r="K1728" s="27">
        <f>IF($B1728="","",IF($K1727="",$C$10,$K1727)+IF($I1728="",0,$I1728)-IF($J1728="",0,$J1728))</f>
        <v/>
      </c>
      <c r="L1728" s="28">
        <f>IF($N1728&lt;&gt;"",IF(INDEX(PCNotes,$N1728)="","—",INDEX(PCNotes,$N1728)),IF($O1728&lt;&gt;"",IF(INDEX(LdgNoteB,$O1728)="","—",INDEX(LdgNoteB,$O1728)),""))</f>
        <v/>
      </c>
      <c r="N1728">
        <f>IFERROR(MATCH($C$5&amp;"|"&amp;RIGHT("000000"&amp;1712,6),LdgRankKeyA,0),"")</f>
        <v/>
      </c>
      <c r="O1728">
        <f>IFERROR(MATCH($C$5&amp;"|"&amp;RIGHT("000000"&amp;1712,6),LdgRankKeyB,0),"")</f>
        <v/>
      </c>
    </row>
    <row r="1729">
      <c r="A1729" s="17" t="n">
        <v>1713</v>
      </c>
      <c r="B1729" s="18">
        <f>IF(AND($N1729="",$O1729=""),"",IF($N1729&lt;&gt;"",INDEX(PCNormDate,$N1729),INDEX(LdgDateB,$O1729)))</f>
        <v/>
      </c>
      <c r="C1729" s="18">
        <f>IF($N1729&lt;&gt;"",INDEX(PCOp,$N1729),IF($O1729&lt;&gt;"",IF(N(INDEX(TxnDepB,$O1729))&gt;0,"دریافت بانکی","پرداخت بانکی"),""))</f>
        <v/>
      </c>
      <c r="D1729" s="18">
        <f>IF($N1729&lt;&gt;"",IF(INDEX(PCDoc,$N1729)="","—",INDEX(PCDoc,$N1729)),IF($O1729&lt;&gt;"",INDEX(LdgBankB,$O1729),""))</f>
        <v/>
      </c>
      <c r="E1729" s="18">
        <f>IF($N1729&lt;&gt;"",IF(INDEX(PCCitrus,$N1729)="","—",INDEX(PCCitrus,$N1729)),"")</f>
        <v/>
      </c>
      <c r="F1729" s="19">
        <f>IF($N1729&lt;&gt;"",IF(INDEX(PCScale,$N1729)=0,"",INDEX(PCScale,$N1729)),"")</f>
        <v/>
      </c>
      <c r="G1729" s="19">
        <f>IF($N1729&lt;&gt;"",IF(INDEX(PCBaskets,$N1729)=0,"",INDEX(PCBaskets,$N1729)),"")</f>
        <v/>
      </c>
      <c r="H1729" s="20">
        <f>IF($N1729&lt;&gt;"",IF(INDEX(PCNet,$N1729)=0,"",INDEX(PCNet,$N1729)),"")</f>
        <v/>
      </c>
      <c r="I1729" s="19">
        <f>IF($N1729&lt;&gt;"",IF(INDEX(PCOp,$N1729)="مرجوعی خرید","",IF(INDEX(PCAmount,$N1729)&lt;=0,"",INDEX(PCAmount,$N1729))),IF($O1729&lt;&gt;"",IF(INDEX(TxnDepB,$O1729)=0,"",INDEX(TxnDepB,$O1729)),""))</f>
        <v/>
      </c>
      <c r="J1729" s="19">
        <f>IF($N1729&lt;&gt;"",IF(INDEX(PCOp,$N1729)="مرجوعی خرید",IF(INDEX(PCAmount,$N1729)=0,"",-INDEX(PCAmount,$N1729)),""),IF($O1729&lt;&gt;"",IF(INDEX(TxnWitB,$O1729)=0,"",INDEX(TxnWitB,$O1729)),""))</f>
        <v/>
      </c>
      <c r="K1729" s="21">
        <f>IF($B1729="","",IF($K1728="",$C$10,$K1728)+IF($I1729="",0,$I1729)-IF($J1729="",0,$J1729))</f>
        <v/>
      </c>
      <c r="L1729" s="22">
        <f>IF($N1729&lt;&gt;"",IF(INDEX(PCNotes,$N1729)="","—",INDEX(PCNotes,$N1729)),IF($O1729&lt;&gt;"",IF(INDEX(LdgNoteB,$O1729)="","—",INDEX(LdgNoteB,$O1729)),""))</f>
        <v/>
      </c>
      <c r="N1729">
        <f>IFERROR(MATCH($C$5&amp;"|"&amp;RIGHT("000000"&amp;1713,6),LdgRankKeyA,0),"")</f>
        <v/>
      </c>
      <c r="O1729">
        <f>IFERROR(MATCH($C$5&amp;"|"&amp;RIGHT("000000"&amp;1713,6),LdgRankKeyB,0),"")</f>
        <v/>
      </c>
    </row>
    <row r="1730">
      <c r="A1730" s="23" t="n">
        <v>1714</v>
      </c>
      <c r="B1730" s="24">
        <f>IF(AND($N1730="",$O1730=""),"",IF($N1730&lt;&gt;"",INDEX(PCNormDate,$N1730),INDEX(LdgDateB,$O1730)))</f>
        <v/>
      </c>
      <c r="C1730" s="24">
        <f>IF($N1730&lt;&gt;"",INDEX(PCOp,$N1730),IF($O1730&lt;&gt;"",IF(N(INDEX(TxnDepB,$O1730))&gt;0,"دریافت بانکی","پرداخت بانکی"),""))</f>
        <v/>
      </c>
      <c r="D1730" s="24">
        <f>IF($N1730&lt;&gt;"",IF(INDEX(PCDoc,$N1730)="","—",INDEX(PCDoc,$N1730)),IF($O1730&lt;&gt;"",INDEX(LdgBankB,$O1730),""))</f>
        <v/>
      </c>
      <c r="E1730" s="24">
        <f>IF($N1730&lt;&gt;"",IF(INDEX(PCCitrus,$N1730)="","—",INDEX(PCCitrus,$N1730)),"")</f>
        <v/>
      </c>
      <c r="F1730" s="25">
        <f>IF($N1730&lt;&gt;"",IF(INDEX(PCScale,$N1730)=0,"",INDEX(PCScale,$N1730)),"")</f>
        <v/>
      </c>
      <c r="G1730" s="25">
        <f>IF($N1730&lt;&gt;"",IF(INDEX(PCBaskets,$N1730)=0,"",INDEX(PCBaskets,$N1730)),"")</f>
        <v/>
      </c>
      <c r="H1730" s="26">
        <f>IF($N1730&lt;&gt;"",IF(INDEX(PCNet,$N1730)=0,"",INDEX(PCNet,$N1730)),"")</f>
        <v/>
      </c>
      <c r="I1730" s="25">
        <f>IF($N1730&lt;&gt;"",IF(INDEX(PCOp,$N1730)="مرجوعی خرید","",IF(INDEX(PCAmount,$N1730)&lt;=0,"",INDEX(PCAmount,$N1730))),IF($O1730&lt;&gt;"",IF(INDEX(TxnDepB,$O1730)=0,"",INDEX(TxnDepB,$O1730)),""))</f>
        <v/>
      </c>
      <c r="J1730" s="25">
        <f>IF($N1730&lt;&gt;"",IF(INDEX(PCOp,$N1730)="مرجوعی خرید",IF(INDEX(PCAmount,$N1730)=0,"",-INDEX(PCAmount,$N1730)),""),IF($O1730&lt;&gt;"",IF(INDEX(TxnWitB,$O1730)=0,"",INDEX(TxnWitB,$O1730)),""))</f>
        <v/>
      </c>
      <c r="K1730" s="27">
        <f>IF($B1730="","",IF($K1729="",$C$10,$K1729)+IF($I1730="",0,$I1730)-IF($J1730="",0,$J1730))</f>
        <v/>
      </c>
      <c r="L1730" s="28">
        <f>IF($N1730&lt;&gt;"",IF(INDEX(PCNotes,$N1730)="","—",INDEX(PCNotes,$N1730)),IF($O1730&lt;&gt;"",IF(INDEX(LdgNoteB,$O1730)="","—",INDEX(LdgNoteB,$O1730)),""))</f>
        <v/>
      </c>
      <c r="N1730">
        <f>IFERROR(MATCH($C$5&amp;"|"&amp;RIGHT("000000"&amp;1714,6),LdgRankKeyA,0),"")</f>
        <v/>
      </c>
      <c r="O1730">
        <f>IFERROR(MATCH($C$5&amp;"|"&amp;RIGHT("000000"&amp;1714,6),LdgRankKeyB,0),"")</f>
        <v/>
      </c>
    </row>
    <row r="1731">
      <c r="A1731" s="17" t="n">
        <v>1715</v>
      </c>
      <c r="B1731" s="18">
        <f>IF(AND($N1731="",$O1731=""),"",IF($N1731&lt;&gt;"",INDEX(PCNormDate,$N1731),INDEX(LdgDateB,$O1731)))</f>
        <v/>
      </c>
      <c r="C1731" s="18">
        <f>IF($N1731&lt;&gt;"",INDEX(PCOp,$N1731),IF($O1731&lt;&gt;"",IF(N(INDEX(TxnDepB,$O1731))&gt;0,"دریافت بانکی","پرداخت بانکی"),""))</f>
        <v/>
      </c>
      <c r="D1731" s="18">
        <f>IF($N1731&lt;&gt;"",IF(INDEX(PCDoc,$N1731)="","—",INDEX(PCDoc,$N1731)),IF($O1731&lt;&gt;"",INDEX(LdgBankB,$O1731),""))</f>
        <v/>
      </c>
      <c r="E1731" s="18">
        <f>IF($N1731&lt;&gt;"",IF(INDEX(PCCitrus,$N1731)="","—",INDEX(PCCitrus,$N1731)),"")</f>
        <v/>
      </c>
      <c r="F1731" s="19">
        <f>IF($N1731&lt;&gt;"",IF(INDEX(PCScale,$N1731)=0,"",INDEX(PCScale,$N1731)),"")</f>
        <v/>
      </c>
      <c r="G1731" s="19">
        <f>IF($N1731&lt;&gt;"",IF(INDEX(PCBaskets,$N1731)=0,"",INDEX(PCBaskets,$N1731)),"")</f>
        <v/>
      </c>
      <c r="H1731" s="20">
        <f>IF($N1731&lt;&gt;"",IF(INDEX(PCNet,$N1731)=0,"",INDEX(PCNet,$N1731)),"")</f>
        <v/>
      </c>
      <c r="I1731" s="19">
        <f>IF($N1731&lt;&gt;"",IF(INDEX(PCOp,$N1731)="مرجوعی خرید","",IF(INDEX(PCAmount,$N1731)&lt;=0,"",INDEX(PCAmount,$N1731))),IF($O1731&lt;&gt;"",IF(INDEX(TxnDepB,$O1731)=0,"",INDEX(TxnDepB,$O1731)),""))</f>
        <v/>
      </c>
      <c r="J1731" s="19">
        <f>IF($N1731&lt;&gt;"",IF(INDEX(PCOp,$N1731)="مرجوعی خرید",IF(INDEX(PCAmount,$N1731)=0,"",-INDEX(PCAmount,$N1731)),""),IF($O1731&lt;&gt;"",IF(INDEX(TxnWitB,$O1731)=0,"",INDEX(TxnWitB,$O1731)),""))</f>
        <v/>
      </c>
      <c r="K1731" s="21">
        <f>IF($B1731="","",IF($K1730="",$C$10,$K1730)+IF($I1731="",0,$I1731)-IF($J1731="",0,$J1731))</f>
        <v/>
      </c>
      <c r="L1731" s="22">
        <f>IF($N1731&lt;&gt;"",IF(INDEX(PCNotes,$N1731)="","—",INDEX(PCNotes,$N1731)),IF($O1731&lt;&gt;"",IF(INDEX(LdgNoteB,$O1731)="","—",INDEX(LdgNoteB,$O1731)),""))</f>
        <v/>
      </c>
      <c r="N1731">
        <f>IFERROR(MATCH($C$5&amp;"|"&amp;RIGHT("000000"&amp;1715,6),LdgRankKeyA,0),"")</f>
        <v/>
      </c>
      <c r="O1731">
        <f>IFERROR(MATCH($C$5&amp;"|"&amp;RIGHT("000000"&amp;1715,6),LdgRankKeyB,0),"")</f>
        <v/>
      </c>
    </row>
    <row r="1732">
      <c r="A1732" s="23" t="n">
        <v>1716</v>
      </c>
      <c r="B1732" s="24">
        <f>IF(AND($N1732="",$O1732=""),"",IF($N1732&lt;&gt;"",INDEX(PCNormDate,$N1732),INDEX(LdgDateB,$O1732)))</f>
        <v/>
      </c>
      <c r="C1732" s="24">
        <f>IF($N1732&lt;&gt;"",INDEX(PCOp,$N1732),IF($O1732&lt;&gt;"",IF(N(INDEX(TxnDepB,$O1732))&gt;0,"دریافت بانکی","پرداخت بانکی"),""))</f>
        <v/>
      </c>
      <c r="D1732" s="24">
        <f>IF($N1732&lt;&gt;"",IF(INDEX(PCDoc,$N1732)="","—",INDEX(PCDoc,$N1732)),IF($O1732&lt;&gt;"",INDEX(LdgBankB,$O1732),""))</f>
        <v/>
      </c>
      <c r="E1732" s="24">
        <f>IF($N1732&lt;&gt;"",IF(INDEX(PCCitrus,$N1732)="","—",INDEX(PCCitrus,$N1732)),"")</f>
        <v/>
      </c>
      <c r="F1732" s="25">
        <f>IF($N1732&lt;&gt;"",IF(INDEX(PCScale,$N1732)=0,"",INDEX(PCScale,$N1732)),"")</f>
        <v/>
      </c>
      <c r="G1732" s="25">
        <f>IF($N1732&lt;&gt;"",IF(INDEX(PCBaskets,$N1732)=0,"",INDEX(PCBaskets,$N1732)),"")</f>
        <v/>
      </c>
      <c r="H1732" s="26">
        <f>IF($N1732&lt;&gt;"",IF(INDEX(PCNet,$N1732)=0,"",INDEX(PCNet,$N1732)),"")</f>
        <v/>
      </c>
      <c r="I1732" s="25">
        <f>IF($N1732&lt;&gt;"",IF(INDEX(PCOp,$N1732)="مرجوعی خرید","",IF(INDEX(PCAmount,$N1732)&lt;=0,"",INDEX(PCAmount,$N1732))),IF($O1732&lt;&gt;"",IF(INDEX(TxnDepB,$O1732)=0,"",INDEX(TxnDepB,$O1732)),""))</f>
        <v/>
      </c>
      <c r="J1732" s="25">
        <f>IF($N1732&lt;&gt;"",IF(INDEX(PCOp,$N1732)="مرجوعی خرید",IF(INDEX(PCAmount,$N1732)=0,"",-INDEX(PCAmount,$N1732)),""),IF($O1732&lt;&gt;"",IF(INDEX(TxnWitB,$O1732)=0,"",INDEX(TxnWitB,$O1732)),""))</f>
        <v/>
      </c>
      <c r="K1732" s="27">
        <f>IF($B1732="","",IF($K1731="",$C$10,$K1731)+IF($I1732="",0,$I1732)-IF($J1732="",0,$J1732))</f>
        <v/>
      </c>
      <c r="L1732" s="28">
        <f>IF($N1732&lt;&gt;"",IF(INDEX(PCNotes,$N1732)="","—",INDEX(PCNotes,$N1732)),IF($O1732&lt;&gt;"",IF(INDEX(LdgNoteB,$O1732)="","—",INDEX(LdgNoteB,$O1732)),""))</f>
        <v/>
      </c>
      <c r="N1732">
        <f>IFERROR(MATCH($C$5&amp;"|"&amp;RIGHT("000000"&amp;1716,6),LdgRankKeyA,0),"")</f>
        <v/>
      </c>
      <c r="O1732">
        <f>IFERROR(MATCH($C$5&amp;"|"&amp;RIGHT("000000"&amp;1716,6),LdgRankKeyB,0),"")</f>
        <v/>
      </c>
    </row>
    <row r="1733">
      <c r="A1733" s="17" t="n">
        <v>1717</v>
      </c>
      <c r="B1733" s="18">
        <f>IF(AND($N1733="",$O1733=""),"",IF($N1733&lt;&gt;"",INDEX(PCNormDate,$N1733),INDEX(LdgDateB,$O1733)))</f>
        <v/>
      </c>
      <c r="C1733" s="18">
        <f>IF($N1733&lt;&gt;"",INDEX(PCOp,$N1733),IF($O1733&lt;&gt;"",IF(N(INDEX(TxnDepB,$O1733))&gt;0,"دریافت بانکی","پرداخت بانکی"),""))</f>
        <v/>
      </c>
      <c r="D1733" s="18">
        <f>IF($N1733&lt;&gt;"",IF(INDEX(PCDoc,$N1733)="","—",INDEX(PCDoc,$N1733)),IF($O1733&lt;&gt;"",INDEX(LdgBankB,$O1733),""))</f>
        <v/>
      </c>
      <c r="E1733" s="18">
        <f>IF($N1733&lt;&gt;"",IF(INDEX(PCCitrus,$N1733)="","—",INDEX(PCCitrus,$N1733)),"")</f>
        <v/>
      </c>
      <c r="F1733" s="19">
        <f>IF($N1733&lt;&gt;"",IF(INDEX(PCScale,$N1733)=0,"",INDEX(PCScale,$N1733)),"")</f>
        <v/>
      </c>
      <c r="G1733" s="19">
        <f>IF($N1733&lt;&gt;"",IF(INDEX(PCBaskets,$N1733)=0,"",INDEX(PCBaskets,$N1733)),"")</f>
        <v/>
      </c>
      <c r="H1733" s="20">
        <f>IF($N1733&lt;&gt;"",IF(INDEX(PCNet,$N1733)=0,"",INDEX(PCNet,$N1733)),"")</f>
        <v/>
      </c>
      <c r="I1733" s="19">
        <f>IF($N1733&lt;&gt;"",IF(INDEX(PCOp,$N1733)="مرجوعی خرید","",IF(INDEX(PCAmount,$N1733)&lt;=0,"",INDEX(PCAmount,$N1733))),IF($O1733&lt;&gt;"",IF(INDEX(TxnDepB,$O1733)=0,"",INDEX(TxnDepB,$O1733)),""))</f>
        <v/>
      </c>
      <c r="J1733" s="19">
        <f>IF($N1733&lt;&gt;"",IF(INDEX(PCOp,$N1733)="مرجوعی خرید",IF(INDEX(PCAmount,$N1733)=0,"",-INDEX(PCAmount,$N1733)),""),IF($O1733&lt;&gt;"",IF(INDEX(TxnWitB,$O1733)=0,"",INDEX(TxnWitB,$O1733)),""))</f>
        <v/>
      </c>
      <c r="K1733" s="21">
        <f>IF($B1733="","",IF($K1732="",$C$10,$K1732)+IF($I1733="",0,$I1733)-IF($J1733="",0,$J1733))</f>
        <v/>
      </c>
      <c r="L1733" s="22">
        <f>IF($N1733&lt;&gt;"",IF(INDEX(PCNotes,$N1733)="","—",INDEX(PCNotes,$N1733)),IF($O1733&lt;&gt;"",IF(INDEX(LdgNoteB,$O1733)="","—",INDEX(LdgNoteB,$O1733)),""))</f>
        <v/>
      </c>
      <c r="N1733">
        <f>IFERROR(MATCH($C$5&amp;"|"&amp;RIGHT("000000"&amp;1717,6),LdgRankKeyA,0),"")</f>
        <v/>
      </c>
      <c r="O1733">
        <f>IFERROR(MATCH($C$5&amp;"|"&amp;RIGHT("000000"&amp;1717,6),LdgRankKeyB,0),"")</f>
        <v/>
      </c>
    </row>
    <row r="1734">
      <c r="A1734" s="23" t="n">
        <v>1718</v>
      </c>
      <c r="B1734" s="24">
        <f>IF(AND($N1734="",$O1734=""),"",IF($N1734&lt;&gt;"",INDEX(PCNormDate,$N1734),INDEX(LdgDateB,$O1734)))</f>
        <v/>
      </c>
      <c r="C1734" s="24">
        <f>IF($N1734&lt;&gt;"",INDEX(PCOp,$N1734),IF($O1734&lt;&gt;"",IF(N(INDEX(TxnDepB,$O1734))&gt;0,"دریافت بانکی","پرداخت بانکی"),""))</f>
        <v/>
      </c>
      <c r="D1734" s="24">
        <f>IF($N1734&lt;&gt;"",IF(INDEX(PCDoc,$N1734)="","—",INDEX(PCDoc,$N1734)),IF($O1734&lt;&gt;"",INDEX(LdgBankB,$O1734),""))</f>
        <v/>
      </c>
      <c r="E1734" s="24">
        <f>IF($N1734&lt;&gt;"",IF(INDEX(PCCitrus,$N1734)="","—",INDEX(PCCitrus,$N1734)),"")</f>
        <v/>
      </c>
      <c r="F1734" s="25">
        <f>IF($N1734&lt;&gt;"",IF(INDEX(PCScale,$N1734)=0,"",INDEX(PCScale,$N1734)),"")</f>
        <v/>
      </c>
      <c r="G1734" s="25">
        <f>IF($N1734&lt;&gt;"",IF(INDEX(PCBaskets,$N1734)=0,"",INDEX(PCBaskets,$N1734)),"")</f>
        <v/>
      </c>
      <c r="H1734" s="26">
        <f>IF($N1734&lt;&gt;"",IF(INDEX(PCNet,$N1734)=0,"",INDEX(PCNet,$N1734)),"")</f>
        <v/>
      </c>
      <c r="I1734" s="25">
        <f>IF($N1734&lt;&gt;"",IF(INDEX(PCOp,$N1734)="مرجوعی خرید","",IF(INDEX(PCAmount,$N1734)&lt;=0,"",INDEX(PCAmount,$N1734))),IF($O1734&lt;&gt;"",IF(INDEX(TxnDepB,$O1734)=0,"",INDEX(TxnDepB,$O1734)),""))</f>
        <v/>
      </c>
      <c r="J1734" s="25">
        <f>IF($N1734&lt;&gt;"",IF(INDEX(PCOp,$N1734)="مرجوعی خرید",IF(INDEX(PCAmount,$N1734)=0,"",-INDEX(PCAmount,$N1734)),""),IF($O1734&lt;&gt;"",IF(INDEX(TxnWitB,$O1734)=0,"",INDEX(TxnWitB,$O1734)),""))</f>
        <v/>
      </c>
      <c r="K1734" s="27">
        <f>IF($B1734="","",IF($K1733="",$C$10,$K1733)+IF($I1734="",0,$I1734)-IF($J1734="",0,$J1734))</f>
        <v/>
      </c>
      <c r="L1734" s="28">
        <f>IF($N1734&lt;&gt;"",IF(INDEX(PCNotes,$N1734)="","—",INDEX(PCNotes,$N1734)),IF($O1734&lt;&gt;"",IF(INDEX(LdgNoteB,$O1734)="","—",INDEX(LdgNoteB,$O1734)),""))</f>
        <v/>
      </c>
      <c r="N1734">
        <f>IFERROR(MATCH($C$5&amp;"|"&amp;RIGHT("000000"&amp;1718,6),LdgRankKeyA,0),"")</f>
        <v/>
      </c>
      <c r="O1734">
        <f>IFERROR(MATCH($C$5&amp;"|"&amp;RIGHT("000000"&amp;1718,6),LdgRankKeyB,0),"")</f>
        <v/>
      </c>
    </row>
    <row r="1735">
      <c r="A1735" s="17" t="n">
        <v>1719</v>
      </c>
      <c r="B1735" s="18">
        <f>IF(AND($N1735="",$O1735=""),"",IF($N1735&lt;&gt;"",INDEX(PCNormDate,$N1735),INDEX(LdgDateB,$O1735)))</f>
        <v/>
      </c>
      <c r="C1735" s="18">
        <f>IF($N1735&lt;&gt;"",INDEX(PCOp,$N1735),IF($O1735&lt;&gt;"",IF(N(INDEX(TxnDepB,$O1735))&gt;0,"دریافت بانکی","پرداخت بانکی"),""))</f>
        <v/>
      </c>
      <c r="D1735" s="18">
        <f>IF($N1735&lt;&gt;"",IF(INDEX(PCDoc,$N1735)="","—",INDEX(PCDoc,$N1735)),IF($O1735&lt;&gt;"",INDEX(LdgBankB,$O1735),""))</f>
        <v/>
      </c>
      <c r="E1735" s="18">
        <f>IF($N1735&lt;&gt;"",IF(INDEX(PCCitrus,$N1735)="","—",INDEX(PCCitrus,$N1735)),"")</f>
        <v/>
      </c>
      <c r="F1735" s="19">
        <f>IF($N1735&lt;&gt;"",IF(INDEX(PCScale,$N1735)=0,"",INDEX(PCScale,$N1735)),"")</f>
        <v/>
      </c>
      <c r="G1735" s="19">
        <f>IF($N1735&lt;&gt;"",IF(INDEX(PCBaskets,$N1735)=0,"",INDEX(PCBaskets,$N1735)),"")</f>
        <v/>
      </c>
      <c r="H1735" s="20">
        <f>IF($N1735&lt;&gt;"",IF(INDEX(PCNet,$N1735)=0,"",INDEX(PCNet,$N1735)),"")</f>
        <v/>
      </c>
      <c r="I1735" s="19">
        <f>IF($N1735&lt;&gt;"",IF(INDEX(PCOp,$N1735)="مرجوعی خرید","",IF(INDEX(PCAmount,$N1735)&lt;=0,"",INDEX(PCAmount,$N1735))),IF($O1735&lt;&gt;"",IF(INDEX(TxnDepB,$O1735)=0,"",INDEX(TxnDepB,$O1735)),""))</f>
        <v/>
      </c>
      <c r="J1735" s="19">
        <f>IF($N1735&lt;&gt;"",IF(INDEX(PCOp,$N1735)="مرجوعی خرید",IF(INDEX(PCAmount,$N1735)=0,"",-INDEX(PCAmount,$N1735)),""),IF($O1735&lt;&gt;"",IF(INDEX(TxnWitB,$O1735)=0,"",INDEX(TxnWitB,$O1735)),""))</f>
        <v/>
      </c>
      <c r="K1735" s="21">
        <f>IF($B1735="","",IF($K1734="",$C$10,$K1734)+IF($I1735="",0,$I1735)-IF($J1735="",0,$J1735))</f>
        <v/>
      </c>
      <c r="L1735" s="22">
        <f>IF($N1735&lt;&gt;"",IF(INDEX(PCNotes,$N1735)="","—",INDEX(PCNotes,$N1735)),IF($O1735&lt;&gt;"",IF(INDEX(LdgNoteB,$O1735)="","—",INDEX(LdgNoteB,$O1735)),""))</f>
        <v/>
      </c>
      <c r="N1735">
        <f>IFERROR(MATCH($C$5&amp;"|"&amp;RIGHT("000000"&amp;1719,6),LdgRankKeyA,0),"")</f>
        <v/>
      </c>
      <c r="O1735">
        <f>IFERROR(MATCH($C$5&amp;"|"&amp;RIGHT("000000"&amp;1719,6),LdgRankKeyB,0),"")</f>
        <v/>
      </c>
    </row>
    <row r="1736">
      <c r="A1736" s="23" t="n">
        <v>1720</v>
      </c>
      <c r="B1736" s="24">
        <f>IF(AND($N1736="",$O1736=""),"",IF($N1736&lt;&gt;"",INDEX(PCNormDate,$N1736),INDEX(LdgDateB,$O1736)))</f>
        <v/>
      </c>
      <c r="C1736" s="24">
        <f>IF($N1736&lt;&gt;"",INDEX(PCOp,$N1736),IF($O1736&lt;&gt;"",IF(N(INDEX(TxnDepB,$O1736))&gt;0,"دریافت بانکی","پرداخت بانکی"),""))</f>
        <v/>
      </c>
      <c r="D1736" s="24">
        <f>IF($N1736&lt;&gt;"",IF(INDEX(PCDoc,$N1736)="","—",INDEX(PCDoc,$N1736)),IF($O1736&lt;&gt;"",INDEX(LdgBankB,$O1736),""))</f>
        <v/>
      </c>
      <c r="E1736" s="24">
        <f>IF($N1736&lt;&gt;"",IF(INDEX(PCCitrus,$N1736)="","—",INDEX(PCCitrus,$N1736)),"")</f>
        <v/>
      </c>
      <c r="F1736" s="25">
        <f>IF($N1736&lt;&gt;"",IF(INDEX(PCScale,$N1736)=0,"",INDEX(PCScale,$N1736)),"")</f>
        <v/>
      </c>
      <c r="G1736" s="25">
        <f>IF($N1736&lt;&gt;"",IF(INDEX(PCBaskets,$N1736)=0,"",INDEX(PCBaskets,$N1736)),"")</f>
        <v/>
      </c>
      <c r="H1736" s="26">
        <f>IF($N1736&lt;&gt;"",IF(INDEX(PCNet,$N1736)=0,"",INDEX(PCNet,$N1736)),"")</f>
        <v/>
      </c>
      <c r="I1736" s="25">
        <f>IF($N1736&lt;&gt;"",IF(INDEX(PCOp,$N1736)="مرجوعی خرید","",IF(INDEX(PCAmount,$N1736)&lt;=0,"",INDEX(PCAmount,$N1736))),IF($O1736&lt;&gt;"",IF(INDEX(TxnDepB,$O1736)=0,"",INDEX(TxnDepB,$O1736)),""))</f>
        <v/>
      </c>
      <c r="J1736" s="25">
        <f>IF($N1736&lt;&gt;"",IF(INDEX(PCOp,$N1736)="مرجوعی خرید",IF(INDEX(PCAmount,$N1736)=0,"",-INDEX(PCAmount,$N1736)),""),IF($O1736&lt;&gt;"",IF(INDEX(TxnWitB,$O1736)=0,"",INDEX(TxnWitB,$O1736)),""))</f>
        <v/>
      </c>
      <c r="K1736" s="27">
        <f>IF($B1736="","",IF($K1735="",$C$10,$K1735)+IF($I1736="",0,$I1736)-IF($J1736="",0,$J1736))</f>
        <v/>
      </c>
      <c r="L1736" s="28">
        <f>IF($N1736&lt;&gt;"",IF(INDEX(PCNotes,$N1736)="","—",INDEX(PCNotes,$N1736)),IF($O1736&lt;&gt;"",IF(INDEX(LdgNoteB,$O1736)="","—",INDEX(LdgNoteB,$O1736)),""))</f>
        <v/>
      </c>
      <c r="N1736">
        <f>IFERROR(MATCH($C$5&amp;"|"&amp;RIGHT("000000"&amp;1720,6),LdgRankKeyA,0),"")</f>
        <v/>
      </c>
      <c r="O1736">
        <f>IFERROR(MATCH($C$5&amp;"|"&amp;RIGHT("000000"&amp;1720,6),LdgRankKeyB,0),"")</f>
        <v/>
      </c>
    </row>
    <row r="1737">
      <c r="A1737" s="17" t="n">
        <v>1721</v>
      </c>
      <c r="B1737" s="18">
        <f>IF(AND($N1737="",$O1737=""),"",IF($N1737&lt;&gt;"",INDEX(PCNormDate,$N1737),INDEX(LdgDateB,$O1737)))</f>
        <v/>
      </c>
      <c r="C1737" s="18">
        <f>IF($N1737&lt;&gt;"",INDEX(PCOp,$N1737),IF($O1737&lt;&gt;"",IF(N(INDEX(TxnDepB,$O1737))&gt;0,"دریافت بانکی","پرداخت بانکی"),""))</f>
        <v/>
      </c>
      <c r="D1737" s="18">
        <f>IF($N1737&lt;&gt;"",IF(INDEX(PCDoc,$N1737)="","—",INDEX(PCDoc,$N1737)),IF($O1737&lt;&gt;"",INDEX(LdgBankB,$O1737),""))</f>
        <v/>
      </c>
      <c r="E1737" s="18">
        <f>IF($N1737&lt;&gt;"",IF(INDEX(PCCitrus,$N1737)="","—",INDEX(PCCitrus,$N1737)),"")</f>
        <v/>
      </c>
      <c r="F1737" s="19">
        <f>IF($N1737&lt;&gt;"",IF(INDEX(PCScale,$N1737)=0,"",INDEX(PCScale,$N1737)),"")</f>
        <v/>
      </c>
      <c r="G1737" s="19">
        <f>IF($N1737&lt;&gt;"",IF(INDEX(PCBaskets,$N1737)=0,"",INDEX(PCBaskets,$N1737)),"")</f>
        <v/>
      </c>
      <c r="H1737" s="20">
        <f>IF($N1737&lt;&gt;"",IF(INDEX(PCNet,$N1737)=0,"",INDEX(PCNet,$N1737)),"")</f>
        <v/>
      </c>
      <c r="I1737" s="19">
        <f>IF($N1737&lt;&gt;"",IF(INDEX(PCOp,$N1737)="مرجوعی خرید","",IF(INDEX(PCAmount,$N1737)&lt;=0,"",INDEX(PCAmount,$N1737))),IF($O1737&lt;&gt;"",IF(INDEX(TxnDepB,$O1737)=0,"",INDEX(TxnDepB,$O1737)),""))</f>
        <v/>
      </c>
      <c r="J1737" s="19">
        <f>IF($N1737&lt;&gt;"",IF(INDEX(PCOp,$N1737)="مرجوعی خرید",IF(INDEX(PCAmount,$N1737)=0,"",-INDEX(PCAmount,$N1737)),""),IF($O1737&lt;&gt;"",IF(INDEX(TxnWitB,$O1737)=0,"",INDEX(TxnWitB,$O1737)),""))</f>
        <v/>
      </c>
      <c r="K1737" s="21">
        <f>IF($B1737="","",IF($K1736="",$C$10,$K1736)+IF($I1737="",0,$I1737)-IF($J1737="",0,$J1737))</f>
        <v/>
      </c>
      <c r="L1737" s="22">
        <f>IF($N1737&lt;&gt;"",IF(INDEX(PCNotes,$N1737)="","—",INDEX(PCNotes,$N1737)),IF($O1737&lt;&gt;"",IF(INDEX(LdgNoteB,$O1737)="","—",INDEX(LdgNoteB,$O1737)),""))</f>
        <v/>
      </c>
      <c r="N1737">
        <f>IFERROR(MATCH($C$5&amp;"|"&amp;RIGHT("000000"&amp;1721,6),LdgRankKeyA,0),"")</f>
        <v/>
      </c>
      <c r="O1737">
        <f>IFERROR(MATCH($C$5&amp;"|"&amp;RIGHT("000000"&amp;1721,6),LdgRankKeyB,0),"")</f>
        <v/>
      </c>
    </row>
    <row r="1738">
      <c r="A1738" s="23" t="n">
        <v>1722</v>
      </c>
      <c r="B1738" s="24">
        <f>IF(AND($N1738="",$O1738=""),"",IF($N1738&lt;&gt;"",INDEX(PCNormDate,$N1738),INDEX(LdgDateB,$O1738)))</f>
        <v/>
      </c>
      <c r="C1738" s="24">
        <f>IF($N1738&lt;&gt;"",INDEX(PCOp,$N1738),IF($O1738&lt;&gt;"",IF(N(INDEX(TxnDepB,$O1738))&gt;0,"دریافت بانکی","پرداخت بانکی"),""))</f>
        <v/>
      </c>
      <c r="D1738" s="24">
        <f>IF($N1738&lt;&gt;"",IF(INDEX(PCDoc,$N1738)="","—",INDEX(PCDoc,$N1738)),IF($O1738&lt;&gt;"",INDEX(LdgBankB,$O1738),""))</f>
        <v/>
      </c>
      <c r="E1738" s="24">
        <f>IF($N1738&lt;&gt;"",IF(INDEX(PCCitrus,$N1738)="","—",INDEX(PCCitrus,$N1738)),"")</f>
        <v/>
      </c>
      <c r="F1738" s="25">
        <f>IF($N1738&lt;&gt;"",IF(INDEX(PCScale,$N1738)=0,"",INDEX(PCScale,$N1738)),"")</f>
        <v/>
      </c>
      <c r="G1738" s="25">
        <f>IF($N1738&lt;&gt;"",IF(INDEX(PCBaskets,$N1738)=0,"",INDEX(PCBaskets,$N1738)),"")</f>
        <v/>
      </c>
      <c r="H1738" s="26">
        <f>IF($N1738&lt;&gt;"",IF(INDEX(PCNet,$N1738)=0,"",INDEX(PCNet,$N1738)),"")</f>
        <v/>
      </c>
      <c r="I1738" s="25">
        <f>IF($N1738&lt;&gt;"",IF(INDEX(PCOp,$N1738)="مرجوعی خرید","",IF(INDEX(PCAmount,$N1738)&lt;=0,"",INDEX(PCAmount,$N1738))),IF($O1738&lt;&gt;"",IF(INDEX(TxnDepB,$O1738)=0,"",INDEX(TxnDepB,$O1738)),""))</f>
        <v/>
      </c>
      <c r="J1738" s="25">
        <f>IF($N1738&lt;&gt;"",IF(INDEX(PCOp,$N1738)="مرجوعی خرید",IF(INDEX(PCAmount,$N1738)=0,"",-INDEX(PCAmount,$N1738)),""),IF($O1738&lt;&gt;"",IF(INDEX(TxnWitB,$O1738)=0,"",INDEX(TxnWitB,$O1738)),""))</f>
        <v/>
      </c>
      <c r="K1738" s="27">
        <f>IF($B1738="","",IF($K1737="",$C$10,$K1737)+IF($I1738="",0,$I1738)-IF($J1738="",0,$J1738))</f>
        <v/>
      </c>
      <c r="L1738" s="28">
        <f>IF($N1738&lt;&gt;"",IF(INDEX(PCNotes,$N1738)="","—",INDEX(PCNotes,$N1738)),IF($O1738&lt;&gt;"",IF(INDEX(LdgNoteB,$O1738)="","—",INDEX(LdgNoteB,$O1738)),""))</f>
        <v/>
      </c>
      <c r="N1738">
        <f>IFERROR(MATCH($C$5&amp;"|"&amp;RIGHT("000000"&amp;1722,6),LdgRankKeyA,0),"")</f>
        <v/>
      </c>
      <c r="O1738">
        <f>IFERROR(MATCH($C$5&amp;"|"&amp;RIGHT("000000"&amp;1722,6),LdgRankKeyB,0),"")</f>
        <v/>
      </c>
    </row>
    <row r="1739">
      <c r="A1739" s="17" t="n">
        <v>1723</v>
      </c>
      <c r="B1739" s="18">
        <f>IF(AND($N1739="",$O1739=""),"",IF($N1739&lt;&gt;"",INDEX(PCNormDate,$N1739),INDEX(LdgDateB,$O1739)))</f>
        <v/>
      </c>
      <c r="C1739" s="18">
        <f>IF($N1739&lt;&gt;"",INDEX(PCOp,$N1739),IF($O1739&lt;&gt;"",IF(N(INDEX(TxnDepB,$O1739))&gt;0,"دریافت بانکی","پرداخت بانکی"),""))</f>
        <v/>
      </c>
      <c r="D1739" s="18">
        <f>IF($N1739&lt;&gt;"",IF(INDEX(PCDoc,$N1739)="","—",INDEX(PCDoc,$N1739)),IF($O1739&lt;&gt;"",INDEX(LdgBankB,$O1739),""))</f>
        <v/>
      </c>
      <c r="E1739" s="18">
        <f>IF($N1739&lt;&gt;"",IF(INDEX(PCCitrus,$N1739)="","—",INDEX(PCCitrus,$N1739)),"")</f>
        <v/>
      </c>
      <c r="F1739" s="19">
        <f>IF($N1739&lt;&gt;"",IF(INDEX(PCScale,$N1739)=0,"",INDEX(PCScale,$N1739)),"")</f>
        <v/>
      </c>
      <c r="G1739" s="19">
        <f>IF($N1739&lt;&gt;"",IF(INDEX(PCBaskets,$N1739)=0,"",INDEX(PCBaskets,$N1739)),"")</f>
        <v/>
      </c>
      <c r="H1739" s="20">
        <f>IF($N1739&lt;&gt;"",IF(INDEX(PCNet,$N1739)=0,"",INDEX(PCNet,$N1739)),"")</f>
        <v/>
      </c>
      <c r="I1739" s="19">
        <f>IF($N1739&lt;&gt;"",IF(INDEX(PCOp,$N1739)="مرجوعی خرید","",IF(INDEX(PCAmount,$N1739)&lt;=0,"",INDEX(PCAmount,$N1739))),IF($O1739&lt;&gt;"",IF(INDEX(TxnDepB,$O1739)=0,"",INDEX(TxnDepB,$O1739)),""))</f>
        <v/>
      </c>
      <c r="J1739" s="19">
        <f>IF($N1739&lt;&gt;"",IF(INDEX(PCOp,$N1739)="مرجوعی خرید",IF(INDEX(PCAmount,$N1739)=0,"",-INDEX(PCAmount,$N1739)),""),IF($O1739&lt;&gt;"",IF(INDEX(TxnWitB,$O1739)=0,"",INDEX(TxnWitB,$O1739)),""))</f>
        <v/>
      </c>
      <c r="K1739" s="21">
        <f>IF($B1739="","",IF($K1738="",$C$10,$K1738)+IF($I1739="",0,$I1739)-IF($J1739="",0,$J1739))</f>
        <v/>
      </c>
      <c r="L1739" s="22">
        <f>IF($N1739&lt;&gt;"",IF(INDEX(PCNotes,$N1739)="","—",INDEX(PCNotes,$N1739)),IF($O1739&lt;&gt;"",IF(INDEX(LdgNoteB,$O1739)="","—",INDEX(LdgNoteB,$O1739)),""))</f>
        <v/>
      </c>
      <c r="N1739">
        <f>IFERROR(MATCH($C$5&amp;"|"&amp;RIGHT("000000"&amp;1723,6),LdgRankKeyA,0),"")</f>
        <v/>
      </c>
      <c r="O1739">
        <f>IFERROR(MATCH($C$5&amp;"|"&amp;RIGHT("000000"&amp;1723,6),LdgRankKeyB,0),"")</f>
        <v/>
      </c>
    </row>
    <row r="1740">
      <c r="A1740" s="23" t="n">
        <v>1724</v>
      </c>
      <c r="B1740" s="24">
        <f>IF(AND($N1740="",$O1740=""),"",IF($N1740&lt;&gt;"",INDEX(PCNormDate,$N1740),INDEX(LdgDateB,$O1740)))</f>
        <v/>
      </c>
      <c r="C1740" s="24">
        <f>IF($N1740&lt;&gt;"",INDEX(PCOp,$N1740),IF($O1740&lt;&gt;"",IF(N(INDEX(TxnDepB,$O1740))&gt;0,"دریافت بانکی","پرداخت بانکی"),""))</f>
        <v/>
      </c>
      <c r="D1740" s="24">
        <f>IF($N1740&lt;&gt;"",IF(INDEX(PCDoc,$N1740)="","—",INDEX(PCDoc,$N1740)),IF($O1740&lt;&gt;"",INDEX(LdgBankB,$O1740),""))</f>
        <v/>
      </c>
      <c r="E1740" s="24">
        <f>IF($N1740&lt;&gt;"",IF(INDEX(PCCitrus,$N1740)="","—",INDEX(PCCitrus,$N1740)),"")</f>
        <v/>
      </c>
      <c r="F1740" s="25">
        <f>IF($N1740&lt;&gt;"",IF(INDEX(PCScale,$N1740)=0,"",INDEX(PCScale,$N1740)),"")</f>
        <v/>
      </c>
      <c r="G1740" s="25">
        <f>IF($N1740&lt;&gt;"",IF(INDEX(PCBaskets,$N1740)=0,"",INDEX(PCBaskets,$N1740)),"")</f>
        <v/>
      </c>
      <c r="H1740" s="26">
        <f>IF($N1740&lt;&gt;"",IF(INDEX(PCNet,$N1740)=0,"",INDEX(PCNet,$N1740)),"")</f>
        <v/>
      </c>
      <c r="I1740" s="25">
        <f>IF($N1740&lt;&gt;"",IF(INDEX(PCOp,$N1740)="مرجوعی خرید","",IF(INDEX(PCAmount,$N1740)&lt;=0,"",INDEX(PCAmount,$N1740))),IF($O1740&lt;&gt;"",IF(INDEX(TxnDepB,$O1740)=0,"",INDEX(TxnDepB,$O1740)),""))</f>
        <v/>
      </c>
      <c r="J1740" s="25">
        <f>IF($N1740&lt;&gt;"",IF(INDEX(PCOp,$N1740)="مرجوعی خرید",IF(INDEX(PCAmount,$N1740)=0,"",-INDEX(PCAmount,$N1740)),""),IF($O1740&lt;&gt;"",IF(INDEX(TxnWitB,$O1740)=0,"",INDEX(TxnWitB,$O1740)),""))</f>
        <v/>
      </c>
      <c r="K1740" s="27">
        <f>IF($B1740="","",IF($K1739="",$C$10,$K1739)+IF($I1740="",0,$I1740)-IF($J1740="",0,$J1740))</f>
        <v/>
      </c>
      <c r="L1740" s="28">
        <f>IF($N1740&lt;&gt;"",IF(INDEX(PCNotes,$N1740)="","—",INDEX(PCNotes,$N1740)),IF($O1740&lt;&gt;"",IF(INDEX(LdgNoteB,$O1740)="","—",INDEX(LdgNoteB,$O1740)),""))</f>
        <v/>
      </c>
      <c r="N1740">
        <f>IFERROR(MATCH($C$5&amp;"|"&amp;RIGHT("000000"&amp;1724,6),LdgRankKeyA,0),"")</f>
        <v/>
      </c>
      <c r="O1740">
        <f>IFERROR(MATCH($C$5&amp;"|"&amp;RIGHT("000000"&amp;1724,6),LdgRankKeyB,0),"")</f>
        <v/>
      </c>
    </row>
    <row r="1741">
      <c r="A1741" s="17" t="n">
        <v>1725</v>
      </c>
      <c r="B1741" s="18">
        <f>IF(AND($N1741="",$O1741=""),"",IF($N1741&lt;&gt;"",INDEX(PCNormDate,$N1741),INDEX(LdgDateB,$O1741)))</f>
        <v/>
      </c>
      <c r="C1741" s="18">
        <f>IF($N1741&lt;&gt;"",INDEX(PCOp,$N1741),IF($O1741&lt;&gt;"",IF(N(INDEX(TxnDepB,$O1741))&gt;0,"دریافت بانکی","پرداخت بانکی"),""))</f>
        <v/>
      </c>
      <c r="D1741" s="18">
        <f>IF($N1741&lt;&gt;"",IF(INDEX(PCDoc,$N1741)="","—",INDEX(PCDoc,$N1741)),IF($O1741&lt;&gt;"",INDEX(LdgBankB,$O1741),""))</f>
        <v/>
      </c>
      <c r="E1741" s="18">
        <f>IF($N1741&lt;&gt;"",IF(INDEX(PCCitrus,$N1741)="","—",INDEX(PCCitrus,$N1741)),"")</f>
        <v/>
      </c>
      <c r="F1741" s="19">
        <f>IF($N1741&lt;&gt;"",IF(INDEX(PCScale,$N1741)=0,"",INDEX(PCScale,$N1741)),"")</f>
        <v/>
      </c>
      <c r="G1741" s="19">
        <f>IF($N1741&lt;&gt;"",IF(INDEX(PCBaskets,$N1741)=0,"",INDEX(PCBaskets,$N1741)),"")</f>
        <v/>
      </c>
      <c r="H1741" s="20">
        <f>IF($N1741&lt;&gt;"",IF(INDEX(PCNet,$N1741)=0,"",INDEX(PCNet,$N1741)),"")</f>
        <v/>
      </c>
      <c r="I1741" s="19">
        <f>IF($N1741&lt;&gt;"",IF(INDEX(PCOp,$N1741)="مرجوعی خرید","",IF(INDEX(PCAmount,$N1741)&lt;=0,"",INDEX(PCAmount,$N1741))),IF($O1741&lt;&gt;"",IF(INDEX(TxnDepB,$O1741)=0,"",INDEX(TxnDepB,$O1741)),""))</f>
        <v/>
      </c>
      <c r="J1741" s="19">
        <f>IF($N1741&lt;&gt;"",IF(INDEX(PCOp,$N1741)="مرجوعی خرید",IF(INDEX(PCAmount,$N1741)=0,"",-INDEX(PCAmount,$N1741)),""),IF($O1741&lt;&gt;"",IF(INDEX(TxnWitB,$O1741)=0,"",INDEX(TxnWitB,$O1741)),""))</f>
        <v/>
      </c>
      <c r="K1741" s="21">
        <f>IF($B1741="","",IF($K1740="",$C$10,$K1740)+IF($I1741="",0,$I1741)-IF($J1741="",0,$J1741))</f>
        <v/>
      </c>
      <c r="L1741" s="22">
        <f>IF($N1741&lt;&gt;"",IF(INDEX(PCNotes,$N1741)="","—",INDEX(PCNotes,$N1741)),IF($O1741&lt;&gt;"",IF(INDEX(LdgNoteB,$O1741)="","—",INDEX(LdgNoteB,$O1741)),""))</f>
        <v/>
      </c>
      <c r="N1741">
        <f>IFERROR(MATCH($C$5&amp;"|"&amp;RIGHT("000000"&amp;1725,6),LdgRankKeyA,0),"")</f>
        <v/>
      </c>
      <c r="O1741">
        <f>IFERROR(MATCH($C$5&amp;"|"&amp;RIGHT("000000"&amp;1725,6),LdgRankKeyB,0),"")</f>
        <v/>
      </c>
    </row>
    <row r="1742">
      <c r="A1742" s="23" t="n">
        <v>1726</v>
      </c>
      <c r="B1742" s="24">
        <f>IF(AND($N1742="",$O1742=""),"",IF($N1742&lt;&gt;"",INDEX(PCNormDate,$N1742),INDEX(LdgDateB,$O1742)))</f>
        <v/>
      </c>
      <c r="C1742" s="24">
        <f>IF($N1742&lt;&gt;"",INDEX(PCOp,$N1742),IF($O1742&lt;&gt;"",IF(N(INDEX(TxnDepB,$O1742))&gt;0,"دریافت بانکی","پرداخت بانکی"),""))</f>
        <v/>
      </c>
      <c r="D1742" s="24">
        <f>IF($N1742&lt;&gt;"",IF(INDEX(PCDoc,$N1742)="","—",INDEX(PCDoc,$N1742)),IF($O1742&lt;&gt;"",INDEX(LdgBankB,$O1742),""))</f>
        <v/>
      </c>
      <c r="E1742" s="24">
        <f>IF($N1742&lt;&gt;"",IF(INDEX(PCCitrus,$N1742)="","—",INDEX(PCCitrus,$N1742)),"")</f>
        <v/>
      </c>
      <c r="F1742" s="25">
        <f>IF($N1742&lt;&gt;"",IF(INDEX(PCScale,$N1742)=0,"",INDEX(PCScale,$N1742)),"")</f>
        <v/>
      </c>
      <c r="G1742" s="25">
        <f>IF($N1742&lt;&gt;"",IF(INDEX(PCBaskets,$N1742)=0,"",INDEX(PCBaskets,$N1742)),"")</f>
        <v/>
      </c>
      <c r="H1742" s="26">
        <f>IF($N1742&lt;&gt;"",IF(INDEX(PCNet,$N1742)=0,"",INDEX(PCNet,$N1742)),"")</f>
        <v/>
      </c>
      <c r="I1742" s="25">
        <f>IF($N1742&lt;&gt;"",IF(INDEX(PCOp,$N1742)="مرجوعی خرید","",IF(INDEX(PCAmount,$N1742)&lt;=0,"",INDEX(PCAmount,$N1742))),IF($O1742&lt;&gt;"",IF(INDEX(TxnDepB,$O1742)=0,"",INDEX(TxnDepB,$O1742)),""))</f>
        <v/>
      </c>
      <c r="J1742" s="25">
        <f>IF($N1742&lt;&gt;"",IF(INDEX(PCOp,$N1742)="مرجوعی خرید",IF(INDEX(PCAmount,$N1742)=0,"",-INDEX(PCAmount,$N1742)),""),IF($O1742&lt;&gt;"",IF(INDEX(TxnWitB,$O1742)=0,"",INDEX(TxnWitB,$O1742)),""))</f>
        <v/>
      </c>
      <c r="K1742" s="27">
        <f>IF($B1742="","",IF($K1741="",$C$10,$K1741)+IF($I1742="",0,$I1742)-IF($J1742="",0,$J1742))</f>
        <v/>
      </c>
      <c r="L1742" s="28">
        <f>IF($N1742&lt;&gt;"",IF(INDEX(PCNotes,$N1742)="","—",INDEX(PCNotes,$N1742)),IF($O1742&lt;&gt;"",IF(INDEX(LdgNoteB,$O1742)="","—",INDEX(LdgNoteB,$O1742)),""))</f>
        <v/>
      </c>
      <c r="N1742">
        <f>IFERROR(MATCH($C$5&amp;"|"&amp;RIGHT("000000"&amp;1726,6),LdgRankKeyA,0),"")</f>
        <v/>
      </c>
      <c r="O1742">
        <f>IFERROR(MATCH($C$5&amp;"|"&amp;RIGHT("000000"&amp;1726,6),LdgRankKeyB,0),"")</f>
        <v/>
      </c>
    </row>
    <row r="1743">
      <c r="A1743" s="17" t="n">
        <v>1727</v>
      </c>
      <c r="B1743" s="18">
        <f>IF(AND($N1743="",$O1743=""),"",IF($N1743&lt;&gt;"",INDEX(PCNormDate,$N1743),INDEX(LdgDateB,$O1743)))</f>
        <v/>
      </c>
      <c r="C1743" s="18">
        <f>IF($N1743&lt;&gt;"",INDEX(PCOp,$N1743),IF($O1743&lt;&gt;"",IF(N(INDEX(TxnDepB,$O1743))&gt;0,"دریافت بانکی","پرداخت بانکی"),""))</f>
        <v/>
      </c>
      <c r="D1743" s="18">
        <f>IF($N1743&lt;&gt;"",IF(INDEX(PCDoc,$N1743)="","—",INDEX(PCDoc,$N1743)),IF($O1743&lt;&gt;"",INDEX(LdgBankB,$O1743),""))</f>
        <v/>
      </c>
      <c r="E1743" s="18">
        <f>IF($N1743&lt;&gt;"",IF(INDEX(PCCitrus,$N1743)="","—",INDEX(PCCitrus,$N1743)),"")</f>
        <v/>
      </c>
      <c r="F1743" s="19">
        <f>IF($N1743&lt;&gt;"",IF(INDEX(PCScale,$N1743)=0,"",INDEX(PCScale,$N1743)),"")</f>
        <v/>
      </c>
      <c r="G1743" s="19">
        <f>IF($N1743&lt;&gt;"",IF(INDEX(PCBaskets,$N1743)=0,"",INDEX(PCBaskets,$N1743)),"")</f>
        <v/>
      </c>
      <c r="H1743" s="20">
        <f>IF($N1743&lt;&gt;"",IF(INDEX(PCNet,$N1743)=0,"",INDEX(PCNet,$N1743)),"")</f>
        <v/>
      </c>
      <c r="I1743" s="19">
        <f>IF($N1743&lt;&gt;"",IF(INDEX(PCOp,$N1743)="مرجوعی خرید","",IF(INDEX(PCAmount,$N1743)&lt;=0,"",INDEX(PCAmount,$N1743))),IF($O1743&lt;&gt;"",IF(INDEX(TxnDepB,$O1743)=0,"",INDEX(TxnDepB,$O1743)),""))</f>
        <v/>
      </c>
      <c r="J1743" s="19">
        <f>IF($N1743&lt;&gt;"",IF(INDEX(PCOp,$N1743)="مرجوعی خرید",IF(INDEX(PCAmount,$N1743)=0,"",-INDEX(PCAmount,$N1743)),""),IF($O1743&lt;&gt;"",IF(INDEX(TxnWitB,$O1743)=0,"",INDEX(TxnWitB,$O1743)),""))</f>
        <v/>
      </c>
      <c r="K1743" s="21">
        <f>IF($B1743="","",IF($K1742="",$C$10,$K1742)+IF($I1743="",0,$I1743)-IF($J1743="",0,$J1743))</f>
        <v/>
      </c>
      <c r="L1743" s="22">
        <f>IF($N1743&lt;&gt;"",IF(INDEX(PCNotes,$N1743)="","—",INDEX(PCNotes,$N1743)),IF($O1743&lt;&gt;"",IF(INDEX(LdgNoteB,$O1743)="","—",INDEX(LdgNoteB,$O1743)),""))</f>
        <v/>
      </c>
      <c r="N1743">
        <f>IFERROR(MATCH($C$5&amp;"|"&amp;RIGHT("000000"&amp;1727,6),LdgRankKeyA,0),"")</f>
        <v/>
      </c>
      <c r="O1743">
        <f>IFERROR(MATCH($C$5&amp;"|"&amp;RIGHT("000000"&amp;1727,6),LdgRankKeyB,0),"")</f>
        <v/>
      </c>
    </row>
    <row r="1744">
      <c r="A1744" s="23" t="n">
        <v>1728</v>
      </c>
      <c r="B1744" s="24">
        <f>IF(AND($N1744="",$O1744=""),"",IF($N1744&lt;&gt;"",INDEX(PCNormDate,$N1744),INDEX(LdgDateB,$O1744)))</f>
        <v/>
      </c>
      <c r="C1744" s="24">
        <f>IF($N1744&lt;&gt;"",INDEX(PCOp,$N1744),IF($O1744&lt;&gt;"",IF(N(INDEX(TxnDepB,$O1744))&gt;0,"دریافت بانکی","پرداخت بانکی"),""))</f>
        <v/>
      </c>
      <c r="D1744" s="24">
        <f>IF($N1744&lt;&gt;"",IF(INDEX(PCDoc,$N1744)="","—",INDEX(PCDoc,$N1744)),IF($O1744&lt;&gt;"",INDEX(LdgBankB,$O1744),""))</f>
        <v/>
      </c>
      <c r="E1744" s="24">
        <f>IF($N1744&lt;&gt;"",IF(INDEX(PCCitrus,$N1744)="","—",INDEX(PCCitrus,$N1744)),"")</f>
        <v/>
      </c>
      <c r="F1744" s="25">
        <f>IF($N1744&lt;&gt;"",IF(INDEX(PCScale,$N1744)=0,"",INDEX(PCScale,$N1744)),"")</f>
        <v/>
      </c>
      <c r="G1744" s="25">
        <f>IF($N1744&lt;&gt;"",IF(INDEX(PCBaskets,$N1744)=0,"",INDEX(PCBaskets,$N1744)),"")</f>
        <v/>
      </c>
      <c r="H1744" s="26">
        <f>IF($N1744&lt;&gt;"",IF(INDEX(PCNet,$N1744)=0,"",INDEX(PCNet,$N1744)),"")</f>
        <v/>
      </c>
      <c r="I1744" s="25">
        <f>IF($N1744&lt;&gt;"",IF(INDEX(PCOp,$N1744)="مرجوعی خرید","",IF(INDEX(PCAmount,$N1744)&lt;=0,"",INDEX(PCAmount,$N1744))),IF($O1744&lt;&gt;"",IF(INDEX(TxnDepB,$O1744)=0,"",INDEX(TxnDepB,$O1744)),""))</f>
        <v/>
      </c>
      <c r="J1744" s="25">
        <f>IF($N1744&lt;&gt;"",IF(INDEX(PCOp,$N1744)="مرجوعی خرید",IF(INDEX(PCAmount,$N1744)=0,"",-INDEX(PCAmount,$N1744)),""),IF($O1744&lt;&gt;"",IF(INDEX(TxnWitB,$O1744)=0,"",INDEX(TxnWitB,$O1744)),""))</f>
        <v/>
      </c>
      <c r="K1744" s="27">
        <f>IF($B1744="","",IF($K1743="",$C$10,$K1743)+IF($I1744="",0,$I1744)-IF($J1744="",0,$J1744))</f>
        <v/>
      </c>
      <c r="L1744" s="28">
        <f>IF($N1744&lt;&gt;"",IF(INDEX(PCNotes,$N1744)="","—",INDEX(PCNotes,$N1744)),IF($O1744&lt;&gt;"",IF(INDEX(LdgNoteB,$O1744)="","—",INDEX(LdgNoteB,$O1744)),""))</f>
        <v/>
      </c>
      <c r="N1744">
        <f>IFERROR(MATCH($C$5&amp;"|"&amp;RIGHT("000000"&amp;1728,6),LdgRankKeyA,0),"")</f>
        <v/>
      </c>
      <c r="O1744">
        <f>IFERROR(MATCH($C$5&amp;"|"&amp;RIGHT("000000"&amp;1728,6),LdgRankKeyB,0),"")</f>
        <v/>
      </c>
    </row>
    <row r="1745">
      <c r="A1745" s="17" t="n">
        <v>1729</v>
      </c>
      <c r="B1745" s="18">
        <f>IF(AND($N1745="",$O1745=""),"",IF($N1745&lt;&gt;"",INDEX(PCNormDate,$N1745),INDEX(LdgDateB,$O1745)))</f>
        <v/>
      </c>
      <c r="C1745" s="18">
        <f>IF($N1745&lt;&gt;"",INDEX(PCOp,$N1745),IF($O1745&lt;&gt;"",IF(N(INDEX(TxnDepB,$O1745))&gt;0,"دریافت بانکی","پرداخت بانکی"),""))</f>
        <v/>
      </c>
      <c r="D1745" s="18">
        <f>IF($N1745&lt;&gt;"",IF(INDEX(PCDoc,$N1745)="","—",INDEX(PCDoc,$N1745)),IF($O1745&lt;&gt;"",INDEX(LdgBankB,$O1745),""))</f>
        <v/>
      </c>
      <c r="E1745" s="18">
        <f>IF($N1745&lt;&gt;"",IF(INDEX(PCCitrus,$N1745)="","—",INDEX(PCCitrus,$N1745)),"")</f>
        <v/>
      </c>
      <c r="F1745" s="19">
        <f>IF($N1745&lt;&gt;"",IF(INDEX(PCScale,$N1745)=0,"",INDEX(PCScale,$N1745)),"")</f>
        <v/>
      </c>
      <c r="G1745" s="19">
        <f>IF($N1745&lt;&gt;"",IF(INDEX(PCBaskets,$N1745)=0,"",INDEX(PCBaskets,$N1745)),"")</f>
        <v/>
      </c>
      <c r="H1745" s="20">
        <f>IF($N1745&lt;&gt;"",IF(INDEX(PCNet,$N1745)=0,"",INDEX(PCNet,$N1745)),"")</f>
        <v/>
      </c>
      <c r="I1745" s="19">
        <f>IF($N1745&lt;&gt;"",IF(INDEX(PCOp,$N1745)="مرجوعی خرید","",IF(INDEX(PCAmount,$N1745)&lt;=0,"",INDEX(PCAmount,$N1745))),IF($O1745&lt;&gt;"",IF(INDEX(TxnDepB,$O1745)=0,"",INDEX(TxnDepB,$O1745)),""))</f>
        <v/>
      </c>
      <c r="J1745" s="19">
        <f>IF($N1745&lt;&gt;"",IF(INDEX(PCOp,$N1745)="مرجوعی خرید",IF(INDEX(PCAmount,$N1745)=0,"",-INDEX(PCAmount,$N1745)),""),IF($O1745&lt;&gt;"",IF(INDEX(TxnWitB,$O1745)=0,"",INDEX(TxnWitB,$O1745)),""))</f>
        <v/>
      </c>
      <c r="K1745" s="21">
        <f>IF($B1745="","",IF($K1744="",$C$10,$K1744)+IF($I1745="",0,$I1745)-IF($J1745="",0,$J1745))</f>
        <v/>
      </c>
      <c r="L1745" s="22">
        <f>IF($N1745&lt;&gt;"",IF(INDEX(PCNotes,$N1745)="","—",INDEX(PCNotes,$N1745)),IF($O1745&lt;&gt;"",IF(INDEX(LdgNoteB,$O1745)="","—",INDEX(LdgNoteB,$O1745)),""))</f>
        <v/>
      </c>
      <c r="N1745">
        <f>IFERROR(MATCH($C$5&amp;"|"&amp;RIGHT("000000"&amp;1729,6),LdgRankKeyA,0),"")</f>
        <v/>
      </c>
      <c r="O1745">
        <f>IFERROR(MATCH($C$5&amp;"|"&amp;RIGHT("000000"&amp;1729,6),LdgRankKeyB,0),"")</f>
        <v/>
      </c>
    </row>
    <row r="1746">
      <c r="A1746" s="23" t="n">
        <v>1730</v>
      </c>
      <c r="B1746" s="24">
        <f>IF(AND($N1746="",$O1746=""),"",IF($N1746&lt;&gt;"",INDEX(PCNormDate,$N1746),INDEX(LdgDateB,$O1746)))</f>
        <v/>
      </c>
      <c r="C1746" s="24">
        <f>IF($N1746&lt;&gt;"",INDEX(PCOp,$N1746),IF($O1746&lt;&gt;"",IF(N(INDEX(TxnDepB,$O1746))&gt;0,"دریافت بانکی","پرداخت بانکی"),""))</f>
        <v/>
      </c>
      <c r="D1746" s="24">
        <f>IF($N1746&lt;&gt;"",IF(INDEX(PCDoc,$N1746)="","—",INDEX(PCDoc,$N1746)),IF($O1746&lt;&gt;"",INDEX(LdgBankB,$O1746),""))</f>
        <v/>
      </c>
      <c r="E1746" s="24">
        <f>IF($N1746&lt;&gt;"",IF(INDEX(PCCitrus,$N1746)="","—",INDEX(PCCitrus,$N1746)),"")</f>
        <v/>
      </c>
      <c r="F1746" s="25">
        <f>IF($N1746&lt;&gt;"",IF(INDEX(PCScale,$N1746)=0,"",INDEX(PCScale,$N1746)),"")</f>
        <v/>
      </c>
      <c r="G1746" s="25">
        <f>IF($N1746&lt;&gt;"",IF(INDEX(PCBaskets,$N1746)=0,"",INDEX(PCBaskets,$N1746)),"")</f>
        <v/>
      </c>
      <c r="H1746" s="26">
        <f>IF($N1746&lt;&gt;"",IF(INDEX(PCNet,$N1746)=0,"",INDEX(PCNet,$N1746)),"")</f>
        <v/>
      </c>
      <c r="I1746" s="25">
        <f>IF($N1746&lt;&gt;"",IF(INDEX(PCOp,$N1746)="مرجوعی خرید","",IF(INDEX(PCAmount,$N1746)&lt;=0,"",INDEX(PCAmount,$N1746))),IF($O1746&lt;&gt;"",IF(INDEX(TxnDepB,$O1746)=0,"",INDEX(TxnDepB,$O1746)),""))</f>
        <v/>
      </c>
      <c r="J1746" s="25">
        <f>IF($N1746&lt;&gt;"",IF(INDEX(PCOp,$N1746)="مرجوعی خرید",IF(INDEX(PCAmount,$N1746)=0,"",-INDEX(PCAmount,$N1746)),""),IF($O1746&lt;&gt;"",IF(INDEX(TxnWitB,$O1746)=0,"",INDEX(TxnWitB,$O1746)),""))</f>
        <v/>
      </c>
      <c r="K1746" s="27">
        <f>IF($B1746="","",IF($K1745="",$C$10,$K1745)+IF($I1746="",0,$I1746)-IF($J1746="",0,$J1746))</f>
        <v/>
      </c>
      <c r="L1746" s="28">
        <f>IF($N1746&lt;&gt;"",IF(INDEX(PCNotes,$N1746)="","—",INDEX(PCNotes,$N1746)),IF($O1746&lt;&gt;"",IF(INDEX(LdgNoteB,$O1746)="","—",INDEX(LdgNoteB,$O1746)),""))</f>
        <v/>
      </c>
      <c r="N1746">
        <f>IFERROR(MATCH($C$5&amp;"|"&amp;RIGHT("000000"&amp;1730,6),LdgRankKeyA,0),"")</f>
        <v/>
      </c>
      <c r="O1746">
        <f>IFERROR(MATCH($C$5&amp;"|"&amp;RIGHT("000000"&amp;1730,6),LdgRankKeyB,0),"")</f>
        <v/>
      </c>
    </row>
    <row r="1747">
      <c r="A1747" s="17" t="n">
        <v>1731</v>
      </c>
      <c r="B1747" s="18">
        <f>IF(AND($N1747="",$O1747=""),"",IF($N1747&lt;&gt;"",INDEX(PCNormDate,$N1747),INDEX(LdgDateB,$O1747)))</f>
        <v/>
      </c>
      <c r="C1747" s="18">
        <f>IF($N1747&lt;&gt;"",INDEX(PCOp,$N1747),IF($O1747&lt;&gt;"",IF(N(INDEX(TxnDepB,$O1747))&gt;0,"دریافت بانکی","پرداخت بانکی"),""))</f>
        <v/>
      </c>
      <c r="D1747" s="18">
        <f>IF($N1747&lt;&gt;"",IF(INDEX(PCDoc,$N1747)="","—",INDEX(PCDoc,$N1747)),IF($O1747&lt;&gt;"",INDEX(LdgBankB,$O1747),""))</f>
        <v/>
      </c>
      <c r="E1747" s="18">
        <f>IF($N1747&lt;&gt;"",IF(INDEX(PCCitrus,$N1747)="","—",INDEX(PCCitrus,$N1747)),"")</f>
        <v/>
      </c>
      <c r="F1747" s="19">
        <f>IF($N1747&lt;&gt;"",IF(INDEX(PCScale,$N1747)=0,"",INDEX(PCScale,$N1747)),"")</f>
        <v/>
      </c>
      <c r="G1747" s="19">
        <f>IF($N1747&lt;&gt;"",IF(INDEX(PCBaskets,$N1747)=0,"",INDEX(PCBaskets,$N1747)),"")</f>
        <v/>
      </c>
      <c r="H1747" s="20">
        <f>IF($N1747&lt;&gt;"",IF(INDEX(PCNet,$N1747)=0,"",INDEX(PCNet,$N1747)),"")</f>
        <v/>
      </c>
      <c r="I1747" s="19">
        <f>IF($N1747&lt;&gt;"",IF(INDEX(PCOp,$N1747)="مرجوعی خرید","",IF(INDEX(PCAmount,$N1747)&lt;=0,"",INDEX(PCAmount,$N1747))),IF($O1747&lt;&gt;"",IF(INDEX(TxnDepB,$O1747)=0,"",INDEX(TxnDepB,$O1747)),""))</f>
        <v/>
      </c>
      <c r="J1747" s="19">
        <f>IF($N1747&lt;&gt;"",IF(INDEX(PCOp,$N1747)="مرجوعی خرید",IF(INDEX(PCAmount,$N1747)=0,"",-INDEX(PCAmount,$N1747)),""),IF($O1747&lt;&gt;"",IF(INDEX(TxnWitB,$O1747)=0,"",INDEX(TxnWitB,$O1747)),""))</f>
        <v/>
      </c>
      <c r="K1747" s="21">
        <f>IF($B1747="","",IF($K1746="",$C$10,$K1746)+IF($I1747="",0,$I1747)-IF($J1747="",0,$J1747))</f>
        <v/>
      </c>
      <c r="L1747" s="22">
        <f>IF($N1747&lt;&gt;"",IF(INDEX(PCNotes,$N1747)="","—",INDEX(PCNotes,$N1747)),IF($O1747&lt;&gt;"",IF(INDEX(LdgNoteB,$O1747)="","—",INDEX(LdgNoteB,$O1747)),""))</f>
        <v/>
      </c>
      <c r="N1747">
        <f>IFERROR(MATCH($C$5&amp;"|"&amp;RIGHT("000000"&amp;1731,6),LdgRankKeyA,0),"")</f>
        <v/>
      </c>
      <c r="O1747">
        <f>IFERROR(MATCH($C$5&amp;"|"&amp;RIGHT("000000"&amp;1731,6),LdgRankKeyB,0),"")</f>
        <v/>
      </c>
    </row>
    <row r="1748">
      <c r="A1748" s="23" t="n">
        <v>1732</v>
      </c>
      <c r="B1748" s="24">
        <f>IF(AND($N1748="",$O1748=""),"",IF($N1748&lt;&gt;"",INDEX(PCNormDate,$N1748),INDEX(LdgDateB,$O1748)))</f>
        <v/>
      </c>
      <c r="C1748" s="24">
        <f>IF($N1748&lt;&gt;"",INDEX(PCOp,$N1748),IF($O1748&lt;&gt;"",IF(N(INDEX(TxnDepB,$O1748))&gt;0,"دریافت بانکی","پرداخت بانکی"),""))</f>
        <v/>
      </c>
      <c r="D1748" s="24">
        <f>IF($N1748&lt;&gt;"",IF(INDEX(PCDoc,$N1748)="","—",INDEX(PCDoc,$N1748)),IF($O1748&lt;&gt;"",INDEX(LdgBankB,$O1748),""))</f>
        <v/>
      </c>
      <c r="E1748" s="24">
        <f>IF($N1748&lt;&gt;"",IF(INDEX(PCCitrus,$N1748)="","—",INDEX(PCCitrus,$N1748)),"")</f>
        <v/>
      </c>
      <c r="F1748" s="25">
        <f>IF($N1748&lt;&gt;"",IF(INDEX(PCScale,$N1748)=0,"",INDEX(PCScale,$N1748)),"")</f>
        <v/>
      </c>
      <c r="G1748" s="25">
        <f>IF($N1748&lt;&gt;"",IF(INDEX(PCBaskets,$N1748)=0,"",INDEX(PCBaskets,$N1748)),"")</f>
        <v/>
      </c>
      <c r="H1748" s="26">
        <f>IF($N1748&lt;&gt;"",IF(INDEX(PCNet,$N1748)=0,"",INDEX(PCNet,$N1748)),"")</f>
        <v/>
      </c>
      <c r="I1748" s="25">
        <f>IF($N1748&lt;&gt;"",IF(INDEX(PCOp,$N1748)="مرجوعی خرید","",IF(INDEX(PCAmount,$N1748)&lt;=0,"",INDEX(PCAmount,$N1748))),IF($O1748&lt;&gt;"",IF(INDEX(TxnDepB,$O1748)=0,"",INDEX(TxnDepB,$O1748)),""))</f>
        <v/>
      </c>
      <c r="J1748" s="25">
        <f>IF($N1748&lt;&gt;"",IF(INDEX(PCOp,$N1748)="مرجوعی خرید",IF(INDEX(PCAmount,$N1748)=0,"",-INDEX(PCAmount,$N1748)),""),IF($O1748&lt;&gt;"",IF(INDEX(TxnWitB,$O1748)=0,"",INDEX(TxnWitB,$O1748)),""))</f>
        <v/>
      </c>
      <c r="K1748" s="27">
        <f>IF($B1748="","",IF($K1747="",$C$10,$K1747)+IF($I1748="",0,$I1748)-IF($J1748="",0,$J1748))</f>
        <v/>
      </c>
      <c r="L1748" s="28">
        <f>IF($N1748&lt;&gt;"",IF(INDEX(PCNotes,$N1748)="","—",INDEX(PCNotes,$N1748)),IF($O1748&lt;&gt;"",IF(INDEX(LdgNoteB,$O1748)="","—",INDEX(LdgNoteB,$O1748)),""))</f>
        <v/>
      </c>
      <c r="N1748">
        <f>IFERROR(MATCH($C$5&amp;"|"&amp;RIGHT("000000"&amp;1732,6),LdgRankKeyA,0),"")</f>
        <v/>
      </c>
      <c r="O1748">
        <f>IFERROR(MATCH($C$5&amp;"|"&amp;RIGHT("000000"&amp;1732,6),LdgRankKeyB,0),"")</f>
        <v/>
      </c>
    </row>
    <row r="1749">
      <c r="A1749" s="17" t="n">
        <v>1733</v>
      </c>
      <c r="B1749" s="18">
        <f>IF(AND($N1749="",$O1749=""),"",IF($N1749&lt;&gt;"",INDEX(PCNormDate,$N1749),INDEX(LdgDateB,$O1749)))</f>
        <v/>
      </c>
      <c r="C1749" s="18">
        <f>IF($N1749&lt;&gt;"",INDEX(PCOp,$N1749),IF($O1749&lt;&gt;"",IF(N(INDEX(TxnDepB,$O1749))&gt;0,"دریافت بانکی","پرداخت بانکی"),""))</f>
        <v/>
      </c>
      <c r="D1749" s="18">
        <f>IF($N1749&lt;&gt;"",IF(INDEX(PCDoc,$N1749)="","—",INDEX(PCDoc,$N1749)),IF($O1749&lt;&gt;"",INDEX(LdgBankB,$O1749),""))</f>
        <v/>
      </c>
      <c r="E1749" s="18">
        <f>IF($N1749&lt;&gt;"",IF(INDEX(PCCitrus,$N1749)="","—",INDEX(PCCitrus,$N1749)),"")</f>
        <v/>
      </c>
      <c r="F1749" s="19">
        <f>IF($N1749&lt;&gt;"",IF(INDEX(PCScale,$N1749)=0,"",INDEX(PCScale,$N1749)),"")</f>
        <v/>
      </c>
      <c r="G1749" s="19">
        <f>IF($N1749&lt;&gt;"",IF(INDEX(PCBaskets,$N1749)=0,"",INDEX(PCBaskets,$N1749)),"")</f>
        <v/>
      </c>
      <c r="H1749" s="20">
        <f>IF($N1749&lt;&gt;"",IF(INDEX(PCNet,$N1749)=0,"",INDEX(PCNet,$N1749)),"")</f>
        <v/>
      </c>
      <c r="I1749" s="19">
        <f>IF($N1749&lt;&gt;"",IF(INDEX(PCOp,$N1749)="مرجوعی خرید","",IF(INDEX(PCAmount,$N1749)&lt;=0,"",INDEX(PCAmount,$N1749))),IF($O1749&lt;&gt;"",IF(INDEX(TxnDepB,$O1749)=0,"",INDEX(TxnDepB,$O1749)),""))</f>
        <v/>
      </c>
      <c r="J1749" s="19">
        <f>IF($N1749&lt;&gt;"",IF(INDEX(PCOp,$N1749)="مرجوعی خرید",IF(INDEX(PCAmount,$N1749)=0,"",-INDEX(PCAmount,$N1749)),""),IF($O1749&lt;&gt;"",IF(INDEX(TxnWitB,$O1749)=0,"",INDEX(TxnWitB,$O1749)),""))</f>
        <v/>
      </c>
      <c r="K1749" s="21">
        <f>IF($B1749="","",IF($K1748="",$C$10,$K1748)+IF($I1749="",0,$I1749)-IF($J1749="",0,$J1749))</f>
        <v/>
      </c>
      <c r="L1749" s="22">
        <f>IF($N1749&lt;&gt;"",IF(INDEX(PCNotes,$N1749)="","—",INDEX(PCNotes,$N1749)),IF($O1749&lt;&gt;"",IF(INDEX(LdgNoteB,$O1749)="","—",INDEX(LdgNoteB,$O1749)),""))</f>
        <v/>
      </c>
      <c r="N1749">
        <f>IFERROR(MATCH($C$5&amp;"|"&amp;RIGHT("000000"&amp;1733,6),LdgRankKeyA,0),"")</f>
        <v/>
      </c>
      <c r="O1749">
        <f>IFERROR(MATCH($C$5&amp;"|"&amp;RIGHT("000000"&amp;1733,6),LdgRankKeyB,0),"")</f>
        <v/>
      </c>
    </row>
    <row r="1750">
      <c r="A1750" s="23" t="n">
        <v>1734</v>
      </c>
      <c r="B1750" s="24">
        <f>IF(AND($N1750="",$O1750=""),"",IF($N1750&lt;&gt;"",INDEX(PCNormDate,$N1750),INDEX(LdgDateB,$O1750)))</f>
        <v/>
      </c>
      <c r="C1750" s="24">
        <f>IF($N1750&lt;&gt;"",INDEX(PCOp,$N1750),IF($O1750&lt;&gt;"",IF(N(INDEX(TxnDepB,$O1750))&gt;0,"دریافت بانکی","پرداخت بانکی"),""))</f>
        <v/>
      </c>
      <c r="D1750" s="24">
        <f>IF($N1750&lt;&gt;"",IF(INDEX(PCDoc,$N1750)="","—",INDEX(PCDoc,$N1750)),IF($O1750&lt;&gt;"",INDEX(LdgBankB,$O1750),""))</f>
        <v/>
      </c>
      <c r="E1750" s="24">
        <f>IF($N1750&lt;&gt;"",IF(INDEX(PCCitrus,$N1750)="","—",INDEX(PCCitrus,$N1750)),"")</f>
        <v/>
      </c>
      <c r="F1750" s="25">
        <f>IF($N1750&lt;&gt;"",IF(INDEX(PCScale,$N1750)=0,"",INDEX(PCScale,$N1750)),"")</f>
        <v/>
      </c>
      <c r="G1750" s="25">
        <f>IF($N1750&lt;&gt;"",IF(INDEX(PCBaskets,$N1750)=0,"",INDEX(PCBaskets,$N1750)),"")</f>
        <v/>
      </c>
      <c r="H1750" s="26">
        <f>IF($N1750&lt;&gt;"",IF(INDEX(PCNet,$N1750)=0,"",INDEX(PCNet,$N1750)),"")</f>
        <v/>
      </c>
      <c r="I1750" s="25">
        <f>IF($N1750&lt;&gt;"",IF(INDEX(PCOp,$N1750)="مرجوعی خرید","",IF(INDEX(PCAmount,$N1750)&lt;=0,"",INDEX(PCAmount,$N1750))),IF($O1750&lt;&gt;"",IF(INDEX(TxnDepB,$O1750)=0,"",INDEX(TxnDepB,$O1750)),""))</f>
        <v/>
      </c>
      <c r="J1750" s="25">
        <f>IF($N1750&lt;&gt;"",IF(INDEX(PCOp,$N1750)="مرجوعی خرید",IF(INDEX(PCAmount,$N1750)=0,"",-INDEX(PCAmount,$N1750)),""),IF($O1750&lt;&gt;"",IF(INDEX(TxnWitB,$O1750)=0,"",INDEX(TxnWitB,$O1750)),""))</f>
        <v/>
      </c>
      <c r="K1750" s="27">
        <f>IF($B1750="","",IF($K1749="",$C$10,$K1749)+IF($I1750="",0,$I1750)-IF($J1750="",0,$J1750))</f>
        <v/>
      </c>
      <c r="L1750" s="28">
        <f>IF($N1750&lt;&gt;"",IF(INDEX(PCNotes,$N1750)="","—",INDEX(PCNotes,$N1750)),IF($O1750&lt;&gt;"",IF(INDEX(LdgNoteB,$O1750)="","—",INDEX(LdgNoteB,$O1750)),""))</f>
        <v/>
      </c>
      <c r="N1750">
        <f>IFERROR(MATCH($C$5&amp;"|"&amp;RIGHT("000000"&amp;1734,6),LdgRankKeyA,0),"")</f>
        <v/>
      </c>
      <c r="O1750">
        <f>IFERROR(MATCH($C$5&amp;"|"&amp;RIGHT("000000"&amp;1734,6),LdgRankKeyB,0),"")</f>
        <v/>
      </c>
    </row>
    <row r="1751">
      <c r="A1751" s="17" t="n">
        <v>1735</v>
      </c>
      <c r="B1751" s="18">
        <f>IF(AND($N1751="",$O1751=""),"",IF($N1751&lt;&gt;"",INDEX(PCNormDate,$N1751),INDEX(LdgDateB,$O1751)))</f>
        <v/>
      </c>
      <c r="C1751" s="18">
        <f>IF($N1751&lt;&gt;"",INDEX(PCOp,$N1751),IF($O1751&lt;&gt;"",IF(N(INDEX(TxnDepB,$O1751))&gt;0,"دریافت بانکی","پرداخت بانکی"),""))</f>
        <v/>
      </c>
      <c r="D1751" s="18">
        <f>IF($N1751&lt;&gt;"",IF(INDEX(PCDoc,$N1751)="","—",INDEX(PCDoc,$N1751)),IF($O1751&lt;&gt;"",INDEX(LdgBankB,$O1751),""))</f>
        <v/>
      </c>
      <c r="E1751" s="18">
        <f>IF($N1751&lt;&gt;"",IF(INDEX(PCCitrus,$N1751)="","—",INDEX(PCCitrus,$N1751)),"")</f>
        <v/>
      </c>
      <c r="F1751" s="19">
        <f>IF($N1751&lt;&gt;"",IF(INDEX(PCScale,$N1751)=0,"",INDEX(PCScale,$N1751)),"")</f>
        <v/>
      </c>
      <c r="G1751" s="19">
        <f>IF($N1751&lt;&gt;"",IF(INDEX(PCBaskets,$N1751)=0,"",INDEX(PCBaskets,$N1751)),"")</f>
        <v/>
      </c>
      <c r="H1751" s="20">
        <f>IF($N1751&lt;&gt;"",IF(INDEX(PCNet,$N1751)=0,"",INDEX(PCNet,$N1751)),"")</f>
        <v/>
      </c>
      <c r="I1751" s="19">
        <f>IF($N1751&lt;&gt;"",IF(INDEX(PCOp,$N1751)="مرجوعی خرید","",IF(INDEX(PCAmount,$N1751)&lt;=0,"",INDEX(PCAmount,$N1751))),IF($O1751&lt;&gt;"",IF(INDEX(TxnDepB,$O1751)=0,"",INDEX(TxnDepB,$O1751)),""))</f>
        <v/>
      </c>
      <c r="J1751" s="19">
        <f>IF($N1751&lt;&gt;"",IF(INDEX(PCOp,$N1751)="مرجوعی خرید",IF(INDEX(PCAmount,$N1751)=0,"",-INDEX(PCAmount,$N1751)),""),IF($O1751&lt;&gt;"",IF(INDEX(TxnWitB,$O1751)=0,"",INDEX(TxnWitB,$O1751)),""))</f>
        <v/>
      </c>
      <c r="K1751" s="21">
        <f>IF($B1751="","",IF($K1750="",$C$10,$K1750)+IF($I1751="",0,$I1751)-IF($J1751="",0,$J1751))</f>
        <v/>
      </c>
      <c r="L1751" s="22">
        <f>IF($N1751&lt;&gt;"",IF(INDEX(PCNotes,$N1751)="","—",INDEX(PCNotes,$N1751)),IF($O1751&lt;&gt;"",IF(INDEX(LdgNoteB,$O1751)="","—",INDEX(LdgNoteB,$O1751)),""))</f>
        <v/>
      </c>
      <c r="N1751">
        <f>IFERROR(MATCH($C$5&amp;"|"&amp;RIGHT("000000"&amp;1735,6),LdgRankKeyA,0),"")</f>
        <v/>
      </c>
      <c r="O1751">
        <f>IFERROR(MATCH($C$5&amp;"|"&amp;RIGHT("000000"&amp;1735,6),LdgRankKeyB,0),"")</f>
        <v/>
      </c>
    </row>
    <row r="1752">
      <c r="A1752" s="23" t="n">
        <v>1736</v>
      </c>
      <c r="B1752" s="24">
        <f>IF(AND($N1752="",$O1752=""),"",IF($N1752&lt;&gt;"",INDEX(PCNormDate,$N1752),INDEX(LdgDateB,$O1752)))</f>
        <v/>
      </c>
      <c r="C1752" s="24">
        <f>IF($N1752&lt;&gt;"",INDEX(PCOp,$N1752),IF($O1752&lt;&gt;"",IF(N(INDEX(TxnDepB,$O1752))&gt;0,"دریافت بانکی","پرداخت بانکی"),""))</f>
        <v/>
      </c>
      <c r="D1752" s="24">
        <f>IF($N1752&lt;&gt;"",IF(INDEX(PCDoc,$N1752)="","—",INDEX(PCDoc,$N1752)),IF($O1752&lt;&gt;"",INDEX(LdgBankB,$O1752),""))</f>
        <v/>
      </c>
      <c r="E1752" s="24">
        <f>IF($N1752&lt;&gt;"",IF(INDEX(PCCitrus,$N1752)="","—",INDEX(PCCitrus,$N1752)),"")</f>
        <v/>
      </c>
      <c r="F1752" s="25">
        <f>IF($N1752&lt;&gt;"",IF(INDEX(PCScale,$N1752)=0,"",INDEX(PCScale,$N1752)),"")</f>
        <v/>
      </c>
      <c r="G1752" s="25">
        <f>IF($N1752&lt;&gt;"",IF(INDEX(PCBaskets,$N1752)=0,"",INDEX(PCBaskets,$N1752)),"")</f>
        <v/>
      </c>
      <c r="H1752" s="26">
        <f>IF($N1752&lt;&gt;"",IF(INDEX(PCNet,$N1752)=0,"",INDEX(PCNet,$N1752)),"")</f>
        <v/>
      </c>
      <c r="I1752" s="25">
        <f>IF($N1752&lt;&gt;"",IF(INDEX(PCOp,$N1752)="مرجوعی خرید","",IF(INDEX(PCAmount,$N1752)&lt;=0,"",INDEX(PCAmount,$N1752))),IF($O1752&lt;&gt;"",IF(INDEX(TxnDepB,$O1752)=0,"",INDEX(TxnDepB,$O1752)),""))</f>
        <v/>
      </c>
      <c r="J1752" s="25">
        <f>IF($N1752&lt;&gt;"",IF(INDEX(PCOp,$N1752)="مرجوعی خرید",IF(INDEX(PCAmount,$N1752)=0,"",-INDEX(PCAmount,$N1752)),""),IF($O1752&lt;&gt;"",IF(INDEX(TxnWitB,$O1752)=0,"",INDEX(TxnWitB,$O1752)),""))</f>
        <v/>
      </c>
      <c r="K1752" s="27">
        <f>IF($B1752="","",IF($K1751="",$C$10,$K1751)+IF($I1752="",0,$I1752)-IF($J1752="",0,$J1752))</f>
        <v/>
      </c>
      <c r="L1752" s="28">
        <f>IF($N1752&lt;&gt;"",IF(INDEX(PCNotes,$N1752)="","—",INDEX(PCNotes,$N1752)),IF($O1752&lt;&gt;"",IF(INDEX(LdgNoteB,$O1752)="","—",INDEX(LdgNoteB,$O1752)),""))</f>
        <v/>
      </c>
      <c r="N1752">
        <f>IFERROR(MATCH($C$5&amp;"|"&amp;RIGHT("000000"&amp;1736,6),LdgRankKeyA,0),"")</f>
        <v/>
      </c>
      <c r="O1752">
        <f>IFERROR(MATCH($C$5&amp;"|"&amp;RIGHT("000000"&amp;1736,6),LdgRankKeyB,0),"")</f>
        <v/>
      </c>
    </row>
    <row r="1753">
      <c r="A1753" s="17" t="n">
        <v>1737</v>
      </c>
      <c r="B1753" s="18">
        <f>IF(AND($N1753="",$O1753=""),"",IF($N1753&lt;&gt;"",INDEX(PCNormDate,$N1753),INDEX(LdgDateB,$O1753)))</f>
        <v/>
      </c>
      <c r="C1753" s="18">
        <f>IF($N1753&lt;&gt;"",INDEX(PCOp,$N1753),IF($O1753&lt;&gt;"",IF(N(INDEX(TxnDepB,$O1753))&gt;0,"دریافت بانکی","پرداخت بانکی"),""))</f>
        <v/>
      </c>
      <c r="D1753" s="18">
        <f>IF($N1753&lt;&gt;"",IF(INDEX(PCDoc,$N1753)="","—",INDEX(PCDoc,$N1753)),IF($O1753&lt;&gt;"",INDEX(LdgBankB,$O1753),""))</f>
        <v/>
      </c>
      <c r="E1753" s="18">
        <f>IF($N1753&lt;&gt;"",IF(INDEX(PCCitrus,$N1753)="","—",INDEX(PCCitrus,$N1753)),"")</f>
        <v/>
      </c>
      <c r="F1753" s="19">
        <f>IF($N1753&lt;&gt;"",IF(INDEX(PCScale,$N1753)=0,"",INDEX(PCScale,$N1753)),"")</f>
        <v/>
      </c>
      <c r="G1753" s="19">
        <f>IF($N1753&lt;&gt;"",IF(INDEX(PCBaskets,$N1753)=0,"",INDEX(PCBaskets,$N1753)),"")</f>
        <v/>
      </c>
      <c r="H1753" s="20">
        <f>IF($N1753&lt;&gt;"",IF(INDEX(PCNet,$N1753)=0,"",INDEX(PCNet,$N1753)),"")</f>
        <v/>
      </c>
      <c r="I1753" s="19">
        <f>IF($N1753&lt;&gt;"",IF(INDEX(PCOp,$N1753)="مرجوعی خرید","",IF(INDEX(PCAmount,$N1753)&lt;=0,"",INDEX(PCAmount,$N1753))),IF($O1753&lt;&gt;"",IF(INDEX(TxnDepB,$O1753)=0,"",INDEX(TxnDepB,$O1753)),""))</f>
        <v/>
      </c>
      <c r="J1753" s="19">
        <f>IF($N1753&lt;&gt;"",IF(INDEX(PCOp,$N1753)="مرجوعی خرید",IF(INDEX(PCAmount,$N1753)=0,"",-INDEX(PCAmount,$N1753)),""),IF($O1753&lt;&gt;"",IF(INDEX(TxnWitB,$O1753)=0,"",INDEX(TxnWitB,$O1753)),""))</f>
        <v/>
      </c>
      <c r="K1753" s="21">
        <f>IF($B1753="","",IF($K1752="",$C$10,$K1752)+IF($I1753="",0,$I1753)-IF($J1753="",0,$J1753))</f>
        <v/>
      </c>
      <c r="L1753" s="22">
        <f>IF($N1753&lt;&gt;"",IF(INDEX(PCNotes,$N1753)="","—",INDEX(PCNotes,$N1753)),IF($O1753&lt;&gt;"",IF(INDEX(LdgNoteB,$O1753)="","—",INDEX(LdgNoteB,$O1753)),""))</f>
        <v/>
      </c>
      <c r="N1753">
        <f>IFERROR(MATCH($C$5&amp;"|"&amp;RIGHT("000000"&amp;1737,6),LdgRankKeyA,0),"")</f>
        <v/>
      </c>
      <c r="O1753">
        <f>IFERROR(MATCH($C$5&amp;"|"&amp;RIGHT("000000"&amp;1737,6),LdgRankKeyB,0),"")</f>
        <v/>
      </c>
    </row>
    <row r="1754">
      <c r="A1754" s="23" t="n">
        <v>1738</v>
      </c>
      <c r="B1754" s="24">
        <f>IF(AND($N1754="",$O1754=""),"",IF($N1754&lt;&gt;"",INDEX(PCNormDate,$N1754),INDEX(LdgDateB,$O1754)))</f>
        <v/>
      </c>
      <c r="C1754" s="24">
        <f>IF($N1754&lt;&gt;"",INDEX(PCOp,$N1754),IF($O1754&lt;&gt;"",IF(N(INDEX(TxnDepB,$O1754))&gt;0,"دریافت بانکی","پرداخت بانکی"),""))</f>
        <v/>
      </c>
      <c r="D1754" s="24">
        <f>IF($N1754&lt;&gt;"",IF(INDEX(PCDoc,$N1754)="","—",INDEX(PCDoc,$N1754)),IF($O1754&lt;&gt;"",INDEX(LdgBankB,$O1754),""))</f>
        <v/>
      </c>
      <c r="E1754" s="24">
        <f>IF($N1754&lt;&gt;"",IF(INDEX(PCCitrus,$N1754)="","—",INDEX(PCCitrus,$N1754)),"")</f>
        <v/>
      </c>
      <c r="F1754" s="25">
        <f>IF($N1754&lt;&gt;"",IF(INDEX(PCScale,$N1754)=0,"",INDEX(PCScale,$N1754)),"")</f>
        <v/>
      </c>
      <c r="G1754" s="25">
        <f>IF($N1754&lt;&gt;"",IF(INDEX(PCBaskets,$N1754)=0,"",INDEX(PCBaskets,$N1754)),"")</f>
        <v/>
      </c>
      <c r="H1754" s="26">
        <f>IF($N1754&lt;&gt;"",IF(INDEX(PCNet,$N1754)=0,"",INDEX(PCNet,$N1754)),"")</f>
        <v/>
      </c>
      <c r="I1754" s="25">
        <f>IF($N1754&lt;&gt;"",IF(INDEX(PCOp,$N1754)="مرجوعی خرید","",IF(INDEX(PCAmount,$N1754)&lt;=0,"",INDEX(PCAmount,$N1754))),IF($O1754&lt;&gt;"",IF(INDEX(TxnDepB,$O1754)=0,"",INDEX(TxnDepB,$O1754)),""))</f>
        <v/>
      </c>
      <c r="J1754" s="25">
        <f>IF($N1754&lt;&gt;"",IF(INDEX(PCOp,$N1754)="مرجوعی خرید",IF(INDEX(PCAmount,$N1754)=0,"",-INDEX(PCAmount,$N1754)),""),IF($O1754&lt;&gt;"",IF(INDEX(TxnWitB,$O1754)=0,"",INDEX(TxnWitB,$O1754)),""))</f>
        <v/>
      </c>
      <c r="K1754" s="27">
        <f>IF($B1754="","",IF($K1753="",$C$10,$K1753)+IF($I1754="",0,$I1754)-IF($J1754="",0,$J1754))</f>
        <v/>
      </c>
      <c r="L1754" s="28">
        <f>IF($N1754&lt;&gt;"",IF(INDEX(PCNotes,$N1754)="","—",INDEX(PCNotes,$N1754)),IF($O1754&lt;&gt;"",IF(INDEX(LdgNoteB,$O1754)="","—",INDEX(LdgNoteB,$O1754)),""))</f>
        <v/>
      </c>
      <c r="N1754">
        <f>IFERROR(MATCH($C$5&amp;"|"&amp;RIGHT("000000"&amp;1738,6),LdgRankKeyA,0),"")</f>
        <v/>
      </c>
      <c r="O1754">
        <f>IFERROR(MATCH($C$5&amp;"|"&amp;RIGHT("000000"&amp;1738,6),LdgRankKeyB,0),"")</f>
        <v/>
      </c>
    </row>
    <row r="1755">
      <c r="A1755" s="17" t="n">
        <v>1739</v>
      </c>
      <c r="B1755" s="18">
        <f>IF(AND($N1755="",$O1755=""),"",IF($N1755&lt;&gt;"",INDEX(PCNormDate,$N1755),INDEX(LdgDateB,$O1755)))</f>
        <v/>
      </c>
      <c r="C1755" s="18">
        <f>IF($N1755&lt;&gt;"",INDEX(PCOp,$N1755),IF($O1755&lt;&gt;"",IF(N(INDEX(TxnDepB,$O1755))&gt;0,"دریافت بانکی","پرداخت بانکی"),""))</f>
        <v/>
      </c>
      <c r="D1755" s="18">
        <f>IF($N1755&lt;&gt;"",IF(INDEX(PCDoc,$N1755)="","—",INDEX(PCDoc,$N1755)),IF($O1755&lt;&gt;"",INDEX(LdgBankB,$O1755),""))</f>
        <v/>
      </c>
      <c r="E1755" s="18">
        <f>IF($N1755&lt;&gt;"",IF(INDEX(PCCitrus,$N1755)="","—",INDEX(PCCitrus,$N1755)),"")</f>
        <v/>
      </c>
      <c r="F1755" s="19">
        <f>IF($N1755&lt;&gt;"",IF(INDEX(PCScale,$N1755)=0,"",INDEX(PCScale,$N1755)),"")</f>
        <v/>
      </c>
      <c r="G1755" s="19">
        <f>IF($N1755&lt;&gt;"",IF(INDEX(PCBaskets,$N1755)=0,"",INDEX(PCBaskets,$N1755)),"")</f>
        <v/>
      </c>
      <c r="H1755" s="20">
        <f>IF($N1755&lt;&gt;"",IF(INDEX(PCNet,$N1755)=0,"",INDEX(PCNet,$N1755)),"")</f>
        <v/>
      </c>
      <c r="I1755" s="19">
        <f>IF($N1755&lt;&gt;"",IF(INDEX(PCOp,$N1755)="مرجوعی خرید","",IF(INDEX(PCAmount,$N1755)&lt;=0,"",INDEX(PCAmount,$N1755))),IF($O1755&lt;&gt;"",IF(INDEX(TxnDepB,$O1755)=0,"",INDEX(TxnDepB,$O1755)),""))</f>
        <v/>
      </c>
      <c r="J1755" s="19">
        <f>IF($N1755&lt;&gt;"",IF(INDEX(PCOp,$N1755)="مرجوعی خرید",IF(INDEX(PCAmount,$N1755)=0,"",-INDEX(PCAmount,$N1755)),""),IF($O1755&lt;&gt;"",IF(INDEX(TxnWitB,$O1755)=0,"",INDEX(TxnWitB,$O1755)),""))</f>
        <v/>
      </c>
      <c r="K1755" s="21">
        <f>IF($B1755="","",IF($K1754="",$C$10,$K1754)+IF($I1755="",0,$I1755)-IF($J1755="",0,$J1755))</f>
        <v/>
      </c>
      <c r="L1755" s="22">
        <f>IF($N1755&lt;&gt;"",IF(INDEX(PCNotes,$N1755)="","—",INDEX(PCNotes,$N1755)),IF($O1755&lt;&gt;"",IF(INDEX(LdgNoteB,$O1755)="","—",INDEX(LdgNoteB,$O1755)),""))</f>
        <v/>
      </c>
      <c r="N1755">
        <f>IFERROR(MATCH($C$5&amp;"|"&amp;RIGHT("000000"&amp;1739,6),LdgRankKeyA,0),"")</f>
        <v/>
      </c>
      <c r="O1755">
        <f>IFERROR(MATCH($C$5&amp;"|"&amp;RIGHT("000000"&amp;1739,6),LdgRankKeyB,0),"")</f>
        <v/>
      </c>
    </row>
    <row r="1756">
      <c r="A1756" s="23" t="n">
        <v>1740</v>
      </c>
      <c r="B1756" s="24">
        <f>IF(AND($N1756="",$O1756=""),"",IF($N1756&lt;&gt;"",INDEX(PCNormDate,$N1756),INDEX(LdgDateB,$O1756)))</f>
        <v/>
      </c>
      <c r="C1756" s="24">
        <f>IF($N1756&lt;&gt;"",INDEX(PCOp,$N1756),IF($O1756&lt;&gt;"",IF(N(INDEX(TxnDepB,$O1756))&gt;0,"دریافت بانکی","پرداخت بانکی"),""))</f>
        <v/>
      </c>
      <c r="D1756" s="24">
        <f>IF($N1756&lt;&gt;"",IF(INDEX(PCDoc,$N1756)="","—",INDEX(PCDoc,$N1756)),IF($O1756&lt;&gt;"",INDEX(LdgBankB,$O1756),""))</f>
        <v/>
      </c>
      <c r="E1756" s="24">
        <f>IF($N1756&lt;&gt;"",IF(INDEX(PCCitrus,$N1756)="","—",INDEX(PCCitrus,$N1756)),"")</f>
        <v/>
      </c>
      <c r="F1756" s="25">
        <f>IF($N1756&lt;&gt;"",IF(INDEX(PCScale,$N1756)=0,"",INDEX(PCScale,$N1756)),"")</f>
        <v/>
      </c>
      <c r="G1756" s="25">
        <f>IF($N1756&lt;&gt;"",IF(INDEX(PCBaskets,$N1756)=0,"",INDEX(PCBaskets,$N1756)),"")</f>
        <v/>
      </c>
      <c r="H1756" s="26">
        <f>IF($N1756&lt;&gt;"",IF(INDEX(PCNet,$N1756)=0,"",INDEX(PCNet,$N1756)),"")</f>
        <v/>
      </c>
      <c r="I1756" s="25">
        <f>IF($N1756&lt;&gt;"",IF(INDEX(PCOp,$N1756)="مرجوعی خرید","",IF(INDEX(PCAmount,$N1756)&lt;=0,"",INDEX(PCAmount,$N1756))),IF($O1756&lt;&gt;"",IF(INDEX(TxnDepB,$O1756)=0,"",INDEX(TxnDepB,$O1756)),""))</f>
        <v/>
      </c>
      <c r="J1756" s="25">
        <f>IF($N1756&lt;&gt;"",IF(INDEX(PCOp,$N1756)="مرجوعی خرید",IF(INDEX(PCAmount,$N1756)=0,"",-INDEX(PCAmount,$N1756)),""),IF($O1756&lt;&gt;"",IF(INDEX(TxnWitB,$O1756)=0,"",INDEX(TxnWitB,$O1756)),""))</f>
        <v/>
      </c>
      <c r="K1756" s="27">
        <f>IF($B1756="","",IF($K1755="",$C$10,$K1755)+IF($I1756="",0,$I1756)-IF($J1756="",0,$J1756))</f>
        <v/>
      </c>
      <c r="L1756" s="28">
        <f>IF($N1756&lt;&gt;"",IF(INDEX(PCNotes,$N1756)="","—",INDEX(PCNotes,$N1756)),IF($O1756&lt;&gt;"",IF(INDEX(LdgNoteB,$O1756)="","—",INDEX(LdgNoteB,$O1756)),""))</f>
        <v/>
      </c>
      <c r="N1756">
        <f>IFERROR(MATCH($C$5&amp;"|"&amp;RIGHT("000000"&amp;1740,6),LdgRankKeyA,0),"")</f>
        <v/>
      </c>
      <c r="O1756">
        <f>IFERROR(MATCH($C$5&amp;"|"&amp;RIGHT("000000"&amp;1740,6),LdgRankKeyB,0),"")</f>
        <v/>
      </c>
    </row>
    <row r="1757">
      <c r="A1757" s="17" t="n">
        <v>1741</v>
      </c>
      <c r="B1757" s="18">
        <f>IF(AND($N1757="",$O1757=""),"",IF($N1757&lt;&gt;"",INDEX(PCNormDate,$N1757),INDEX(LdgDateB,$O1757)))</f>
        <v/>
      </c>
      <c r="C1757" s="18">
        <f>IF($N1757&lt;&gt;"",INDEX(PCOp,$N1757),IF($O1757&lt;&gt;"",IF(N(INDEX(TxnDepB,$O1757))&gt;0,"دریافت بانکی","پرداخت بانکی"),""))</f>
        <v/>
      </c>
      <c r="D1757" s="18">
        <f>IF($N1757&lt;&gt;"",IF(INDEX(PCDoc,$N1757)="","—",INDEX(PCDoc,$N1757)),IF($O1757&lt;&gt;"",INDEX(LdgBankB,$O1757),""))</f>
        <v/>
      </c>
      <c r="E1757" s="18">
        <f>IF($N1757&lt;&gt;"",IF(INDEX(PCCitrus,$N1757)="","—",INDEX(PCCitrus,$N1757)),"")</f>
        <v/>
      </c>
      <c r="F1757" s="19">
        <f>IF($N1757&lt;&gt;"",IF(INDEX(PCScale,$N1757)=0,"",INDEX(PCScale,$N1757)),"")</f>
        <v/>
      </c>
      <c r="G1757" s="19">
        <f>IF($N1757&lt;&gt;"",IF(INDEX(PCBaskets,$N1757)=0,"",INDEX(PCBaskets,$N1757)),"")</f>
        <v/>
      </c>
      <c r="H1757" s="20">
        <f>IF($N1757&lt;&gt;"",IF(INDEX(PCNet,$N1757)=0,"",INDEX(PCNet,$N1757)),"")</f>
        <v/>
      </c>
      <c r="I1757" s="19">
        <f>IF($N1757&lt;&gt;"",IF(INDEX(PCOp,$N1757)="مرجوعی خرید","",IF(INDEX(PCAmount,$N1757)&lt;=0,"",INDEX(PCAmount,$N1757))),IF($O1757&lt;&gt;"",IF(INDEX(TxnDepB,$O1757)=0,"",INDEX(TxnDepB,$O1757)),""))</f>
        <v/>
      </c>
      <c r="J1757" s="19">
        <f>IF($N1757&lt;&gt;"",IF(INDEX(PCOp,$N1757)="مرجوعی خرید",IF(INDEX(PCAmount,$N1757)=0,"",-INDEX(PCAmount,$N1757)),""),IF($O1757&lt;&gt;"",IF(INDEX(TxnWitB,$O1757)=0,"",INDEX(TxnWitB,$O1757)),""))</f>
        <v/>
      </c>
      <c r="K1757" s="21">
        <f>IF($B1757="","",IF($K1756="",$C$10,$K1756)+IF($I1757="",0,$I1757)-IF($J1757="",0,$J1757))</f>
        <v/>
      </c>
      <c r="L1757" s="22">
        <f>IF($N1757&lt;&gt;"",IF(INDEX(PCNotes,$N1757)="","—",INDEX(PCNotes,$N1757)),IF($O1757&lt;&gt;"",IF(INDEX(LdgNoteB,$O1757)="","—",INDEX(LdgNoteB,$O1757)),""))</f>
        <v/>
      </c>
      <c r="N1757">
        <f>IFERROR(MATCH($C$5&amp;"|"&amp;RIGHT("000000"&amp;1741,6),LdgRankKeyA,0),"")</f>
        <v/>
      </c>
      <c r="O1757">
        <f>IFERROR(MATCH($C$5&amp;"|"&amp;RIGHT("000000"&amp;1741,6),LdgRankKeyB,0),"")</f>
        <v/>
      </c>
    </row>
    <row r="1758">
      <c r="A1758" s="23" t="n">
        <v>1742</v>
      </c>
      <c r="B1758" s="24">
        <f>IF(AND($N1758="",$O1758=""),"",IF($N1758&lt;&gt;"",INDEX(PCNormDate,$N1758),INDEX(LdgDateB,$O1758)))</f>
        <v/>
      </c>
      <c r="C1758" s="24">
        <f>IF($N1758&lt;&gt;"",INDEX(PCOp,$N1758),IF($O1758&lt;&gt;"",IF(N(INDEX(TxnDepB,$O1758))&gt;0,"دریافت بانکی","پرداخت بانکی"),""))</f>
        <v/>
      </c>
      <c r="D1758" s="24">
        <f>IF($N1758&lt;&gt;"",IF(INDEX(PCDoc,$N1758)="","—",INDEX(PCDoc,$N1758)),IF($O1758&lt;&gt;"",INDEX(LdgBankB,$O1758),""))</f>
        <v/>
      </c>
      <c r="E1758" s="24">
        <f>IF($N1758&lt;&gt;"",IF(INDEX(PCCitrus,$N1758)="","—",INDEX(PCCitrus,$N1758)),"")</f>
        <v/>
      </c>
      <c r="F1758" s="25">
        <f>IF($N1758&lt;&gt;"",IF(INDEX(PCScale,$N1758)=0,"",INDEX(PCScale,$N1758)),"")</f>
        <v/>
      </c>
      <c r="G1758" s="25">
        <f>IF($N1758&lt;&gt;"",IF(INDEX(PCBaskets,$N1758)=0,"",INDEX(PCBaskets,$N1758)),"")</f>
        <v/>
      </c>
      <c r="H1758" s="26">
        <f>IF($N1758&lt;&gt;"",IF(INDEX(PCNet,$N1758)=0,"",INDEX(PCNet,$N1758)),"")</f>
        <v/>
      </c>
      <c r="I1758" s="25">
        <f>IF($N1758&lt;&gt;"",IF(INDEX(PCOp,$N1758)="مرجوعی خرید","",IF(INDEX(PCAmount,$N1758)&lt;=0,"",INDEX(PCAmount,$N1758))),IF($O1758&lt;&gt;"",IF(INDEX(TxnDepB,$O1758)=0,"",INDEX(TxnDepB,$O1758)),""))</f>
        <v/>
      </c>
      <c r="J1758" s="25">
        <f>IF($N1758&lt;&gt;"",IF(INDEX(PCOp,$N1758)="مرجوعی خرید",IF(INDEX(PCAmount,$N1758)=0,"",-INDEX(PCAmount,$N1758)),""),IF($O1758&lt;&gt;"",IF(INDEX(TxnWitB,$O1758)=0,"",INDEX(TxnWitB,$O1758)),""))</f>
        <v/>
      </c>
      <c r="K1758" s="27">
        <f>IF($B1758="","",IF($K1757="",$C$10,$K1757)+IF($I1758="",0,$I1758)-IF($J1758="",0,$J1758))</f>
        <v/>
      </c>
      <c r="L1758" s="28">
        <f>IF($N1758&lt;&gt;"",IF(INDEX(PCNotes,$N1758)="","—",INDEX(PCNotes,$N1758)),IF($O1758&lt;&gt;"",IF(INDEX(LdgNoteB,$O1758)="","—",INDEX(LdgNoteB,$O1758)),""))</f>
        <v/>
      </c>
      <c r="N1758">
        <f>IFERROR(MATCH($C$5&amp;"|"&amp;RIGHT("000000"&amp;1742,6),LdgRankKeyA,0),"")</f>
        <v/>
      </c>
      <c r="O1758">
        <f>IFERROR(MATCH($C$5&amp;"|"&amp;RIGHT("000000"&amp;1742,6),LdgRankKeyB,0),"")</f>
        <v/>
      </c>
    </row>
    <row r="1759">
      <c r="A1759" s="17" t="n">
        <v>1743</v>
      </c>
      <c r="B1759" s="18">
        <f>IF(AND($N1759="",$O1759=""),"",IF($N1759&lt;&gt;"",INDEX(PCNormDate,$N1759),INDEX(LdgDateB,$O1759)))</f>
        <v/>
      </c>
      <c r="C1759" s="18">
        <f>IF($N1759&lt;&gt;"",INDEX(PCOp,$N1759),IF($O1759&lt;&gt;"",IF(N(INDEX(TxnDepB,$O1759))&gt;0,"دریافت بانکی","پرداخت بانکی"),""))</f>
        <v/>
      </c>
      <c r="D1759" s="18">
        <f>IF($N1759&lt;&gt;"",IF(INDEX(PCDoc,$N1759)="","—",INDEX(PCDoc,$N1759)),IF($O1759&lt;&gt;"",INDEX(LdgBankB,$O1759),""))</f>
        <v/>
      </c>
      <c r="E1759" s="18">
        <f>IF($N1759&lt;&gt;"",IF(INDEX(PCCitrus,$N1759)="","—",INDEX(PCCitrus,$N1759)),"")</f>
        <v/>
      </c>
      <c r="F1759" s="19">
        <f>IF($N1759&lt;&gt;"",IF(INDEX(PCScale,$N1759)=0,"",INDEX(PCScale,$N1759)),"")</f>
        <v/>
      </c>
      <c r="G1759" s="19">
        <f>IF($N1759&lt;&gt;"",IF(INDEX(PCBaskets,$N1759)=0,"",INDEX(PCBaskets,$N1759)),"")</f>
        <v/>
      </c>
      <c r="H1759" s="20">
        <f>IF($N1759&lt;&gt;"",IF(INDEX(PCNet,$N1759)=0,"",INDEX(PCNet,$N1759)),"")</f>
        <v/>
      </c>
      <c r="I1759" s="19">
        <f>IF($N1759&lt;&gt;"",IF(INDEX(PCOp,$N1759)="مرجوعی خرید","",IF(INDEX(PCAmount,$N1759)&lt;=0,"",INDEX(PCAmount,$N1759))),IF($O1759&lt;&gt;"",IF(INDEX(TxnDepB,$O1759)=0,"",INDEX(TxnDepB,$O1759)),""))</f>
        <v/>
      </c>
      <c r="J1759" s="19">
        <f>IF($N1759&lt;&gt;"",IF(INDEX(PCOp,$N1759)="مرجوعی خرید",IF(INDEX(PCAmount,$N1759)=0,"",-INDEX(PCAmount,$N1759)),""),IF($O1759&lt;&gt;"",IF(INDEX(TxnWitB,$O1759)=0,"",INDEX(TxnWitB,$O1759)),""))</f>
        <v/>
      </c>
      <c r="K1759" s="21">
        <f>IF($B1759="","",IF($K1758="",$C$10,$K1758)+IF($I1759="",0,$I1759)-IF($J1759="",0,$J1759))</f>
        <v/>
      </c>
      <c r="L1759" s="22">
        <f>IF($N1759&lt;&gt;"",IF(INDEX(PCNotes,$N1759)="","—",INDEX(PCNotes,$N1759)),IF($O1759&lt;&gt;"",IF(INDEX(LdgNoteB,$O1759)="","—",INDEX(LdgNoteB,$O1759)),""))</f>
        <v/>
      </c>
      <c r="N1759">
        <f>IFERROR(MATCH($C$5&amp;"|"&amp;RIGHT("000000"&amp;1743,6),LdgRankKeyA,0),"")</f>
        <v/>
      </c>
      <c r="O1759">
        <f>IFERROR(MATCH($C$5&amp;"|"&amp;RIGHT("000000"&amp;1743,6),LdgRankKeyB,0),"")</f>
        <v/>
      </c>
    </row>
    <row r="1760">
      <c r="A1760" s="23" t="n">
        <v>1744</v>
      </c>
      <c r="B1760" s="24">
        <f>IF(AND($N1760="",$O1760=""),"",IF($N1760&lt;&gt;"",INDEX(PCNormDate,$N1760),INDEX(LdgDateB,$O1760)))</f>
        <v/>
      </c>
      <c r="C1760" s="24">
        <f>IF($N1760&lt;&gt;"",INDEX(PCOp,$N1760),IF($O1760&lt;&gt;"",IF(N(INDEX(TxnDepB,$O1760))&gt;0,"دریافت بانکی","پرداخت بانکی"),""))</f>
        <v/>
      </c>
      <c r="D1760" s="24">
        <f>IF($N1760&lt;&gt;"",IF(INDEX(PCDoc,$N1760)="","—",INDEX(PCDoc,$N1760)),IF($O1760&lt;&gt;"",INDEX(LdgBankB,$O1760),""))</f>
        <v/>
      </c>
      <c r="E1760" s="24">
        <f>IF($N1760&lt;&gt;"",IF(INDEX(PCCitrus,$N1760)="","—",INDEX(PCCitrus,$N1760)),"")</f>
        <v/>
      </c>
      <c r="F1760" s="25">
        <f>IF($N1760&lt;&gt;"",IF(INDEX(PCScale,$N1760)=0,"",INDEX(PCScale,$N1760)),"")</f>
        <v/>
      </c>
      <c r="G1760" s="25">
        <f>IF($N1760&lt;&gt;"",IF(INDEX(PCBaskets,$N1760)=0,"",INDEX(PCBaskets,$N1760)),"")</f>
        <v/>
      </c>
      <c r="H1760" s="26">
        <f>IF($N1760&lt;&gt;"",IF(INDEX(PCNet,$N1760)=0,"",INDEX(PCNet,$N1760)),"")</f>
        <v/>
      </c>
      <c r="I1760" s="25">
        <f>IF($N1760&lt;&gt;"",IF(INDEX(PCOp,$N1760)="مرجوعی خرید","",IF(INDEX(PCAmount,$N1760)&lt;=0,"",INDEX(PCAmount,$N1760))),IF($O1760&lt;&gt;"",IF(INDEX(TxnDepB,$O1760)=0,"",INDEX(TxnDepB,$O1760)),""))</f>
        <v/>
      </c>
      <c r="J1760" s="25">
        <f>IF($N1760&lt;&gt;"",IF(INDEX(PCOp,$N1760)="مرجوعی خرید",IF(INDEX(PCAmount,$N1760)=0,"",-INDEX(PCAmount,$N1760)),""),IF($O1760&lt;&gt;"",IF(INDEX(TxnWitB,$O1760)=0,"",INDEX(TxnWitB,$O1760)),""))</f>
        <v/>
      </c>
      <c r="K1760" s="27">
        <f>IF($B1760="","",IF($K1759="",$C$10,$K1759)+IF($I1760="",0,$I1760)-IF($J1760="",0,$J1760))</f>
        <v/>
      </c>
      <c r="L1760" s="28">
        <f>IF($N1760&lt;&gt;"",IF(INDEX(PCNotes,$N1760)="","—",INDEX(PCNotes,$N1760)),IF($O1760&lt;&gt;"",IF(INDEX(LdgNoteB,$O1760)="","—",INDEX(LdgNoteB,$O1760)),""))</f>
        <v/>
      </c>
      <c r="N1760">
        <f>IFERROR(MATCH($C$5&amp;"|"&amp;RIGHT("000000"&amp;1744,6),LdgRankKeyA,0),"")</f>
        <v/>
      </c>
      <c r="O1760">
        <f>IFERROR(MATCH($C$5&amp;"|"&amp;RIGHT("000000"&amp;1744,6),LdgRankKeyB,0),"")</f>
        <v/>
      </c>
    </row>
    <row r="1761">
      <c r="A1761" s="17" t="n">
        <v>1745</v>
      </c>
      <c r="B1761" s="18">
        <f>IF(AND($N1761="",$O1761=""),"",IF($N1761&lt;&gt;"",INDEX(PCNormDate,$N1761),INDEX(LdgDateB,$O1761)))</f>
        <v/>
      </c>
      <c r="C1761" s="18">
        <f>IF($N1761&lt;&gt;"",INDEX(PCOp,$N1761),IF($O1761&lt;&gt;"",IF(N(INDEX(TxnDepB,$O1761))&gt;0,"دریافت بانکی","پرداخت بانکی"),""))</f>
        <v/>
      </c>
      <c r="D1761" s="18">
        <f>IF($N1761&lt;&gt;"",IF(INDEX(PCDoc,$N1761)="","—",INDEX(PCDoc,$N1761)),IF($O1761&lt;&gt;"",INDEX(LdgBankB,$O1761),""))</f>
        <v/>
      </c>
      <c r="E1761" s="18">
        <f>IF($N1761&lt;&gt;"",IF(INDEX(PCCitrus,$N1761)="","—",INDEX(PCCitrus,$N1761)),"")</f>
        <v/>
      </c>
      <c r="F1761" s="19">
        <f>IF($N1761&lt;&gt;"",IF(INDEX(PCScale,$N1761)=0,"",INDEX(PCScale,$N1761)),"")</f>
        <v/>
      </c>
      <c r="G1761" s="19">
        <f>IF($N1761&lt;&gt;"",IF(INDEX(PCBaskets,$N1761)=0,"",INDEX(PCBaskets,$N1761)),"")</f>
        <v/>
      </c>
      <c r="H1761" s="20">
        <f>IF($N1761&lt;&gt;"",IF(INDEX(PCNet,$N1761)=0,"",INDEX(PCNet,$N1761)),"")</f>
        <v/>
      </c>
      <c r="I1761" s="19">
        <f>IF($N1761&lt;&gt;"",IF(INDEX(PCOp,$N1761)="مرجوعی خرید","",IF(INDEX(PCAmount,$N1761)&lt;=0,"",INDEX(PCAmount,$N1761))),IF($O1761&lt;&gt;"",IF(INDEX(TxnDepB,$O1761)=0,"",INDEX(TxnDepB,$O1761)),""))</f>
        <v/>
      </c>
      <c r="J1761" s="19">
        <f>IF($N1761&lt;&gt;"",IF(INDEX(PCOp,$N1761)="مرجوعی خرید",IF(INDEX(PCAmount,$N1761)=0,"",-INDEX(PCAmount,$N1761)),""),IF($O1761&lt;&gt;"",IF(INDEX(TxnWitB,$O1761)=0,"",INDEX(TxnWitB,$O1761)),""))</f>
        <v/>
      </c>
      <c r="K1761" s="21">
        <f>IF($B1761="","",IF($K1760="",$C$10,$K1760)+IF($I1761="",0,$I1761)-IF($J1761="",0,$J1761))</f>
        <v/>
      </c>
      <c r="L1761" s="22">
        <f>IF($N1761&lt;&gt;"",IF(INDEX(PCNotes,$N1761)="","—",INDEX(PCNotes,$N1761)),IF($O1761&lt;&gt;"",IF(INDEX(LdgNoteB,$O1761)="","—",INDEX(LdgNoteB,$O1761)),""))</f>
        <v/>
      </c>
      <c r="N1761">
        <f>IFERROR(MATCH($C$5&amp;"|"&amp;RIGHT("000000"&amp;1745,6),LdgRankKeyA,0),"")</f>
        <v/>
      </c>
      <c r="O1761">
        <f>IFERROR(MATCH($C$5&amp;"|"&amp;RIGHT("000000"&amp;1745,6),LdgRankKeyB,0),"")</f>
        <v/>
      </c>
    </row>
    <row r="1762">
      <c r="A1762" s="23" t="n">
        <v>1746</v>
      </c>
      <c r="B1762" s="24">
        <f>IF(AND($N1762="",$O1762=""),"",IF($N1762&lt;&gt;"",INDEX(PCNormDate,$N1762),INDEX(LdgDateB,$O1762)))</f>
        <v/>
      </c>
      <c r="C1762" s="24">
        <f>IF($N1762&lt;&gt;"",INDEX(PCOp,$N1762),IF($O1762&lt;&gt;"",IF(N(INDEX(TxnDepB,$O1762))&gt;0,"دریافت بانکی","پرداخت بانکی"),""))</f>
        <v/>
      </c>
      <c r="D1762" s="24">
        <f>IF($N1762&lt;&gt;"",IF(INDEX(PCDoc,$N1762)="","—",INDEX(PCDoc,$N1762)),IF($O1762&lt;&gt;"",INDEX(LdgBankB,$O1762),""))</f>
        <v/>
      </c>
      <c r="E1762" s="24">
        <f>IF($N1762&lt;&gt;"",IF(INDEX(PCCitrus,$N1762)="","—",INDEX(PCCitrus,$N1762)),"")</f>
        <v/>
      </c>
      <c r="F1762" s="25">
        <f>IF($N1762&lt;&gt;"",IF(INDEX(PCScale,$N1762)=0,"",INDEX(PCScale,$N1762)),"")</f>
        <v/>
      </c>
      <c r="G1762" s="25">
        <f>IF($N1762&lt;&gt;"",IF(INDEX(PCBaskets,$N1762)=0,"",INDEX(PCBaskets,$N1762)),"")</f>
        <v/>
      </c>
      <c r="H1762" s="26">
        <f>IF($N1762&lt;&gt;"",IF(INDEX(PCNet,$N1762)=0,"",INDEX(PCNet,$N1762)),"")</f>
        <v/>
      </c>
      <c r="I1762" s="25">
        <f>IF($N1762&lt;&gt;"",IF(INDEX(PCOp,$N1762)="مرجوعی خرید","",IF(INDEX(PCAmount,$N1762)&lt;=0,"",INDEX(PCAmount,$N1762))),IF($O1762&lt;&gt;"",IF(INDEX(TxnDepB,$O1762)=0,"",INDEX(TxnDepB,$O1762)),""))</f>
        <v/>
      </c>
      <c r="J1762" s="25">
        <f>IF($N1762&lt;&gt;"",IF(INDEX(PCOp,$N1762)="مرجوعی خرید",IF(INDEX(PCAmount,$N1762)=0,"",-INDEX(PCAmount,$N1762)),""),IF($O1762&lt;&gt;"",IF(INDEX(TxnWitB,$O1762)=0,"",INDEX(TxnWitB,$O1762)),""))</f>
        <v/>
      </c>
      <c r="K1762" s="27">
        <f>IF($B1762="","",IF($K1761="",$C$10,$K1761)+IF($I1762="",0,$I1762)-IF($J1762="",0,$J1762))</f>
        <v/>
      </c>
      <c r="L1762" s="28">
        <f>IF($N1762&lt;&gt;"",IF(INDEX(PCNotes,$N1762)="","—",INDEX(PCNotes,$N1762)),IF($O1762&lt;&gt;"",IF(INDEX(LdgNoteB,$O1762)="","—",INDEX(LdgNoteB,$O1762)),""))</f>
        <v/>
      </c>
      <c r="N1762">
        <f>IFERROR(MATCH($C$5&amp;"|"&amp;RIGHT("000000"&amp;1746,6),LdgRankKeyA,0),"")</f>
        <v/>
      </c>
      <c r="O1762">
        <f>IFERROR(MATCH($C$5&amp;"|"&amp;RIGHT("000000"&amp;1746,6),LdgRankKeyB,0),"")</f>
        <v/>
      </c>
    </row>
    <row r="1763">
      <c r="A1763" s="17" t="n">
        <v>1747</v>
      </c>
      <c r="B1763" s="18">
        <f>IF(AND($N1763="",$O1763=""),"",IF($N1763&lt;&gt;"",INDEX(PCNormDate,$N1763),INDEX(LdgDateB,$O1763)))</f>
        <v/>
      </c>
      <c r="C1763" s="18">
        <f>IF($N1763&lt;&gt;"",INDEX(PCOp,$N1763),IF($O1763&lt;&gt;"",IF(N(INDEX(TxnDepB,$O1763))&gt;0,"دریافت بانکی","پرداخت بانکی"),""))</f>
        <v/>
      </c>
      <c r="D1763" s="18">
        <f>IF($N1763&lt;&gt;"",IF(INDEX(PCDoc,$N1763)="","—",INDEX(PCDoc,$N1763)),IF($O1763&lt;&gt;"",INDEX(LdgBankB,$O1763),""))</f>
        <v/>
      </c>
      <c r="E1763" s="18">
        <f>IF($N1763&lt;&gt;"",IF(INDEX(PCCitrus,$N1763)="","—",INDEX(PCCitrus,$N1763)),"")</f>
        <v/>
      </c>
      <c r="F1763" s="19">
        <f>IF($N1763&lt;&gt;"",IF(INDEX(PCScale,$N1763)=0,"",INDEX(PCScale,$N1763)),"")</f>
        <v/>
      </c>
      <c r="G1763" s="19">
        <f>IF($N1763&lt;&gt;"",IF(INDEX(PCBaskets,$N1763)=0,"",INDEX(PCBaskets,$N1763)),"")</f>
        <v/>
      </c>
      <c r="H1763" s="20">
        <f>IF($N1763&lt;&gt;"",IF(INDEX(PCNet,$N1763)=0,"",INDEX(PCNet,$N1763)),"")</f>
        <v/>
      </c>
      <c r="I1763" s="19">
        <f>IF($N1763&lt;&gt;"",IF(INDEX(PCOp,$N1763)="مرجوعی خرید","",IF(INDEX(PCAmount,$N1763)&lt;=0,"",INDEX(PCAmount,$N1763))),IF($O1763&lt;&gt;"",IF(INDEX(TxnDepB,$O1763)=0,"",INDEX(TxnDepB,$O1763)),""))</f>
        <v/>
      </c>
      <c r="J1763" s="19">
        <f>IF($N1763&lt;&gt;"",IF(INDEX(PCOp,$N1763)="مرجوعی خرید",IF(INDEX(PCAmount,$N1763)=0,"",-INDEX(PCAmount,$N1763)),""),IF($O1763&lt;&gt;"",IF(INDEX(TxnWitB,$O1763)=0,"",INDEX(TxnWitB,$O1763)),""))</f>
        <v/>
      </c>
      <c r="K1763" s="21">
        <f>IF($B1763="","",IF($K1762="",$C$10,$K1762)+IF($I1763="",0,$I1763)-IF($J1763="",0,$J1763))</f>
        <v/>
      </c>
      <c r="L1763" s="22">
        <f>IF($N1763&lt;&gt;"",IF(INDEX(PCNotes,$N1763)="","—",INDEX(PCNotes,$N1763)),IF($O1763&lt;&gt;"",IF(INDEX(LdgNoteB,$O1763)="","—",INDEX(LdgNoteB,$O1763)),""))</f>
        <v/>
      </c>
      <c r="N1763">
        <f>IFERROR(MATCH($C$5&amp;"|"&amp;RIGHT("000000"&amp;1747,6),LdgRankKeyA,0),"")</f>
        <v/>
      </c>
      <c r="O1763">
        <f>IFERROR(MATCH($C$5&amp;"|"&amp;RIGHT("000000"&amp;1747,6),LdgRankKeyB,0),"")</f>
        <v/>
      </c>
    </row>
    <row r="1764">
      <c r="A1764" s="23" t="n">
        <v>1748</v>
      </c>
      <c r="B1764" s="24">
        <f>IF(AND($N1764="",$O1764=""),"",IF($N1764&lt;&gt;"",INDEX(PCNormDate,$N1764),INDEX(LdgDateB,$O1764)))</f>
        <v/>
      </c>
      <c r="C1764" s="24">
        <f>IF($N1764&lt;&gt;"",INDEX(PCOp,$N1764),IF($O1764&lt;&gt;"",IF(N(INDEX(TxnDepB,$O1764))&gt;0,"دریافت بانکی","پرداخت بانکی"),""))</f>
        <v/>
      </c>
      <c r="D1764" s="24">
        <f>IF($N1764&lt;&gt;"",IF(INDEX(PCDoc,$N1764)="","—",INDEX(PCDoc,$N1764)),IF($O1764&lt;&gt;"",INDEX(LdgBankB,$O1764),""))</f>
        <v/>
      </c>
      <c r="E1764" s="24">
        <f>IF($N1764&lt;&gt;"",IF(INDEX(PCCitrus,$N1764)="","—",INDEX(PCCitrus,$N1764)),"")</f>
        <v/>
      </c>
      <c r="F1764" s="25">
        <f>IF($N1764&lt;&gt;"",IF(INDEX(PCScale,$N1764)=0,"",INDEX(PCScale,$N1764)),"")</f>
        <v/>
      </c>
      <c r="G1764" s="25">
        <f>IF($N1764&lt;&gt;"",IF(INDEX(PCBaskets,$N1764)=0,"",INDEX(PCBaskets,$N1764)),"")</f>
        <v/>
      </c>
      <c r="H1764" s="26">
        <f>IF($N1764&lt;&gt;"",IF(INDEX(PCNet,$N1764)=0,"",INDEX(PCNet,$N1764)),"")</f>
        <v/>
      </c>
      <c r="I1764" s="25">
        <f>IF($N1764&lt;&gt;"",IF(INDEX(PCOp,$N1764)="مرجوعی خرید","",IF(INDEX(PCAmount,$N1764)&lt;=0,"",INDEX(PCAmount,$N1764))),IF($O1764&lt;&gt;"",IF(INDEX(TxnDepB,$O1764)=0,"",INDEX(TxnDepB,$O1764)),""))</f>
        <v/>
      </c>
      <c r="J1764" s="25">
        <f>IF($N1764&lt;&gt;"",IF(INDEX(PCOp,$N1764)="مرجوعی خرید",IF(INDEX(PCAmount,$N1764)=0,"",-INDEX(PCAmount,$N1764)),""),IF($O1764&lt;&gt;"",IF(INDEX(TxnWitB,$O1764)=0,"",INDEX(TxnWitB,$O1764)),""))</f>
        <v/>
      </c>
      <c r="K1764" s="27">
        <f>IF($B1764="","",IF($K1763="",$C$10,$K1763)+IF($I1764="",0,$I1764)-IF($J1764="",0,$J1764))</f>
        <v/>
      </c>
      <c r="L1764" s="28">
        <f>IF($N1764&lt;&gt;"",IF(INDEX(PCNotes,$N1764)="","—",INDEX(PCNotes,$N1764)),IF($O1764&lt;&gt;"",IF(INDEX(LdgNoteB,$O1764)="","—",INDEX(LdgNoteB,$O1764)),""))</f>
        <v/>
      </c>
      <c r="N1764">
        <f>IFERROR(MATCH($C$5&amp;"|"&amp;RIGHT("000000"&amp;1748,6),LdgRankKeyA,0),"")</f>
        <v/>
      </c>
      <c r="O1764">
        <f>IFERROR(MATCH($C$5&amp;"|"&amp;RIGHT("000000"&amp;1748,6),LdgRankKeyB,0),"")</f>
        <v/>
      </c>
    </row>
    <row r="1765">
      <c r="A1765" s="17" t="n">
        <v>1749</v>
      </c>
      <c r="B1765" s="18">
        <f>IF(AND($N1765="",$O1765=""),"",IF($N1765&lt;&gt;"",INDEX(PCNormDate,$N1765),INDEX(LdgDateB,$O1765)))</f>
        <v/>
      </c>
      <c r="C1765" s="18">
        <f>IF($N1765&lt;&gt;"",INDEX(PCOp,$N1765),IF($O1765&lt;&gt;"",IF(N(INDEX(TxnDepB,$O1765))&gt;0,"دریافت بانکی","پرداخت بانکی"),""))</f>
        <v/>
      </c>
      <c r="D1765" s="18">
        <f>IF($N1765&lt;&gt;"",IF(INDEX(PCDoc,$N1765)="","—",INDEX(PCDoc,$N1765)),IF($O1765&lt;&gt;"",INDEX(LdgBankB,$O1765),""))</f>
        <v/>
      </c>
      <c r="E1765" s="18">
        <f>IF($N1765&lt;&gt;"",IF(INDEX(PCCitrus,$N1765)="","—",INDEX(PCCitrus,$N1765)),"")</f>
        <v/>
      </c>
      <c r="F1765" s="19">
        <f>IF($N1765&lt;&gt;"",IF(INDEX(PCScale,$N1765)=0,"",INDEX(PCScale,$N1765)),"")</f>
        <v/>
      </c>
      <c r="G1765" s="19">
        <f>IF($N1765&lt;&gt;"",IF(INDEX(PCBaskets,$N1765)=0,"",INDEX(PCBaskets,$N1765)),"")</f>
        <v/>
      </c>
      <c r="H1765" s="20">
        <f>IF($N1765&lt;&gt;"",IF(INDEX(PCNet,$N1765)=0,"",INDEX(PCNet,$N1765)),"")</f>
        <v/>
      </c>
      <c r="I1765" s="19">
        <f>IF($N1765&lt;&gt;"",IF(INDEX(PCOp,$N1765)="مرجوعی خرید","",IF(INDEX(PCAmount,$N1765)&lt;=0,"",INDEX(PCAmount,$N1765))),IF($O1765&lt;&gt;"",IF(INDEX(TxnDepB,$O1765)=0,"",INDEX(TxnDepB,$O1765)),""))</f>
        <v/>
      </c>
      <c r="J1765" s="19">
        <f>IF($N1765&lt;&gt;"",IF(INDEX(PCOp,$N1765)="مرجوعی خرید",IF(INDEX(PCAmount,$N1765)=0,"",-INDEX(PCAmount,$N1765)),""),IF($O1765&lt;&gt;"",IF(INDEX(TxnWitB,$O1765)=0,"",INDEX(TxnWitB,$O1765)),""))</f>
        <v/>
      </c>
      <c r="K1765" s="21">
        <f>IF($B1765="","",IF($K1764="",$C$10,$K1764)+IF($I1765="",0,$I1765)-IF($J1765="",0,$J1765))</f>
        <v/>
      </c>
      <c r="L1765" s="22">
        <f>IF($N1765&lt;&gt;"",IF(INDEX(PCNotes,$N1765)="","—",INDEX(PCNotes,$N1765)),IF($O1765&lt;&gt;"",IF(INDEX(LdgNoteB,$O1765)="","—",INDEX(LdgNoteB,$O1765)),""))</f>
        <v/>
      </c>
      <c r="N1765">
        <f>IFERROR(MATCH($C$5&amp;"|"&amp;RIGHT("000000"&amp;1749,6),LdgRankKeyA,0),"")</f>
        <v/>
      </c>
      <c r="O1765">
        <f>IFERROR(MATCH($C$5&amp;"|"&amp;RIGHT("000000"&amp;1749,6),LdgRankKeyB,0),"")</f>
        <v/>
      </c>
    </row>
    <row r="1766">
      <c r="A1766" s="23" t="n">
        <v>1750</v>
      </c>
      <c r="B1766" s="24">
        <f>IF(AND($N1766="",$O1766=""),"",IF($N1766&lt;&gt;"",INDEX(PCNormDate,$N1766),INDEX(LdgDateB,$O1766)))</f>
        <v/>
      </c>
      <c r="C1766" s="24">
        <f>IF($N1766&lt;&gt;"",INDEX(PCOp,$N1766),IF($O1766&lt;&gt;"",IF(N(INDEX(TxnDepB,$O1766))&gt;0,"دریافت بانکی","پرداخت بانکی"),""))</f>
        <v/>
      </c>
      <c r="D1766" s="24">
        <f>IF($N1766&lt;&gt;"",IF(INDEX(PCDoc,$N1766)="","—",INDEX(PCDoc,$N1766)),IF($O1766&lt;&gt;"",INDEX(LdgBankB,$O1766),""))</f>
        <v/>
      </c>
      <c r="E1766" s="24">
        <f>IF($N1766&lt;&gt;"",IF(INDEX(PCCitrus,$N1766)="","—",INDEX(PCCitrus,$N1766)),"")</f>
        <v/>
      </c>
      <c r="F1766" s="25">
        <f>IF($N1766&lt;&gt;"",IF(INDEX(PCScale,$N1766)=0,"",INDEX(PCScale,$N1766)),"")</f>
        <v/>
      </c>
      <c r="G1766" s="25">
        <f>IF($N1766&lt;&gt;"",IF(INDEX(PCBaskets,$N1766)=0,"",INDEX(PCBaskets,$N1766)),"")</f>
        <v/>
      </c>
      <c r="H1766" s="26">
        <f>IF($N1766&lt;&gt;"",IF(INDEX(PCNet,$N1766)=0,"",INDEX(PCNet,$N1766)),"")</f>
        <v/>
      </c>
      <c r="I1766" s="25">
        <f>IF($N1766&lt;&gt;"",IF(INDEX(PCOp,$N1766)="مرجوعی خرید","",IF(INDEX(PCAmount,$N1766)&lt;=0,"",INDEX(PCAmount,$N1766))),IF($O1766&lt;&gt;"",IF(INDEX(TxnDepB,$O1766)=0,"",INDEX(TxnDepB,$O1766)),""))</f>
        <v/>
      </c>
      <c r="J1766" s="25">
        <f>IF($N1766&lt;&gt;"",IF(INDEX(PCOp,$N1766)="مرجوعی خرید",IF(INDEX(PCAmount,$N1766)=0,"",-INDEX(PCAmount,$N1766)),""),IF($O1766&lt;&gt;"",IF(INDEX(TxnWitB,$O1766)=0,"",INDEX(TxnWitB,$O1766)),""))</f>
        <v/>
      </c>
      <c r="K1766" s="27">
        <f>IF($B1766="","",IF($K1765="",$C$10,$K1765)+IF($I1766="",0,$I1766)-IF($J1766="",0,$J1766))</f>
        <v/>
      </c>
      <c r="L1766" s="28">
        <f>IF($N1766&lt;&gt;"",IF(INDEX(PCNotes,$N1766)="","—",INDEX(PCNotes,$N1766)),IF($O1766&lt;&gt;"",IF(INDEX(LdgNoteB,$O1766)="","—",INDEX(LdgNoteB,$O1766)),""))</f>
        <v/>
      </c>
      <c r="N1766">
        <f>IFERROR(MATCH($C$5&amp;"|"&amp;RIGHT("000000"&amp;1750,6),LdgRankKeyA,0),"")</f>
        <v/>
      </c>
      <c r="O1766">
        <f>IFERROR(MATCH($C$5&amp;"|"&amp;RIGHT("000000"&amp;1750,6),LdgRankKeyB,0),"")</f>
        <v/>
      </c>
    </row>
    <row r="1767">
      <c r="A1767" s="17" t="n">
        <v>1751</v>
      </c>
      <c r="B1767" s="18">
        <f>IF(AND($N1767="",$O1767=""),"",IF($N1767&lt;&gt;"",INDEX(PCNormDate,$N1767),INDEX(LdgDateB,$O1767)))</f>
        <v/>
      </c>
      <c r="C1767" s="18">
        <f>IF($N1767&lt;&gt;"",INDEX(PCOp,$N1767),IF($O1767&lt;&gt;"",IF(N(INDEX(TxnDepB,$O1767))&gt;0,"دریافت بانکی","پرداخت بانکی"),""))</f>
        <v/>
      </c>
      <c r="D1767" s="18">
        <f>IF($N1767&lt;&gt;"",IF(INDEX(PCDoc,$N1767)="","—",INDEX(PCDoc,$N1767)),IF($O1767&lt;&gt;"",INDEX(LdgBankB,$O1767),""))</f>
        <v/>
      </c>
      <c r="E1767" s="18">
        <f>IF($N1767&lt;&gt;"",IF(INDEX(PCCitrus,$N1767)="","—",INDEX(PCCitrus,$N1767)),"")</f>
        <v/>
      </c>
      <c r="F1767" s="19">
        <f>IF($N1767&lt;&gt;"",IF(INDEX(PCScale,$N1767)=0,"",INDEX(PCScale,$N1767)),"")</f>
        <v/>
      </c>
      <c r="G1767" s="19">
        <f>IF($N1767&lt;&gt;"",IF(INDEX(PCBaskets,$N1767)=0,"",INDEX(PCBaskets,$N1767)),"")</f>
        <v/>
      </c>
      <c r="H1767" s="20">
        <f>IF($N1767&lt;&gt;"",IF(INDEX(PCNet,$N1767)=0,"",INDEX(PCNet,$N1767)),"")</f>
        <v/>
      </c>
      <c r="I1767" s="19">
        <f>IF($N1767&lt;&gt;"",IF(INDEX(PCOp,$N1767)="مرجوعی خرید","",IF(INDEX(PCAmount,$N1767)&lt;=0,"",INDEX(PCAmount,$N1767))),IF($O1767&lt;&gt;"",IF(INDEX(TxnDepB,$O1767)=0,"",INDEX(TxnDepB,$O1767)),""))</f>
        <v/>
      </c>
      <c r="J1767" s="19">
        <f>IF($N1767&lt;&gt;"",IF(INDEX(PCOp,$N1767)="مرجوعی خرید",IF(INDEX(PCAmount,$N1767)=0,"",-INDEX(PCAmount,$N1767)),""),IF($O1767&lt;&gt;"",IF(INDEX(TxnWitB,$O1767)=0,"",INDEX(TxnWitB,$O1767)),""))</f>
        <v/>
      </c>
      <c r="K1767" s="21">
        <f>IF($B1767="","",IF($K1766="",$C$10,$K1766)+IF($I1767="",0,$I1767)-IF($J1767="",0,$J1767))</f>
        <v/>
      </c>
      <c r="L1767" s="22">
        <f>IF($N1767&lt;&gt;"",IF(INDEX(PCNotes,$N1767)="","—",INDEX(PCNotes,$N1767)),IF($O1767&lt;&gt;"",IF(INDEX(LdgNoteB,$O1767)="","—",INDEX(LdgNoteB,$O1767)),""))</f>
        <v/>
      </c>
      <c r="N1767">
        <f>IFERROR(MATCH($C$5&amp;"|"&amp;RIGHT("000000"&amp;1751,6),LdgRankKeyA,0),"")</f>
        <v/>
      </c>
      <c r="O1767">
        <f>IFERROR(MATCH($C$5&amp;"|"&amp;RIGHT("000000"&amp;1751,6),LdgRankKeyB,0),"")</f>
        <v/>
      </c>
    </row>
    <row r="1768">
      <c r="A1768" s="23" t="n">
        <v>1752</v>
      </c>
      <c r="B1768" s="24">
        <f>IF(AND($N1768="",$O1768=""),"",IF($N1768&lt;&gt;"",INDEX(PCNormDate,$N1768),INDEX(LdgDateB,$O1768)))</f>
        <v/>
      </c>
      <c r="C1768" s="24">
        <f>IF($N1768&lt;&gt;"",INDEX(PCOp,$N1768),IF($O1768&lt;&gt;"",IF(N(INDEX(TxnDepB,$O1768))&gt;0,"دریافت بانکی","پرداخت بانکی"),""))</f>
        <v/>
      </c>
      <c r="D1768" s="24">
        <f>IF($N1768&lt;&gt;"",IF(INDEX(PCDoc,$N1768)="","—",INDEX(PCDoc,$N1768)),IF($O1768&lt;&gt;"",INDEX(LdgBankB,$O1768),""))</f>
        <v/>
      </c>
      <c r="E1768" s="24">
        <f>IF($N1768&lt;&gt;"",IF(INDEX(PCCitrus,$N1768)="","—",INDEX(PCCitrus,$N1768)),"")</f>
        <v/>
      </c>
      <c r="F1768" s="25">
        <f>IF($N1768&lt;&gt;"",IF(INDEX(PCScale,$N1768)=0,"",INDEX(PCScale,$N1768)),"")</f>
        <v/>
      </c>
      <c r="G1768" s="25">
        <f>IF($N1768&lt;&gt;"",IF(INDEX(PCBaskets,$N1768)=0,"",INDEX(PCBaskets,$N1768)),"")</f>
        <v/>
      </c>
      <c r="H1768" s="26">
        <f>IF($N1768&lt;&gt;"",IF(INDEX(PCNet,$N1768)=0,"",INDEX(PCNet,$N1768)),"")</f>
        <v/>
      </c>
      <c r="I1768" s="25">
        <f>IF($N1768&lt;&gt;"",IF(INDEX(PCOp,$N1768)="مرجوعی خرید","",IF(INDEX(PCAmount,$N1768)&lt;=0,"",INDEX(PCAmount,$N1768))),IF($O1768&lt;&gt;"",IF(INDEX(TxnDepB,$O1768)=0,"",INDEX(TxnDepB,$O1768)),""))</f>
        <v/>
      </c>
      <c r="J1768" s="25">
        <f>IF($N1768&lt;&gt;"",IF(INDEX(PCOp,$N1768)="مرجوعی خرید",IF(INDEX(PCAmount,$N1768)=0,"",-INDEX(PCAmount,$N1768)),""),IF($O1768&lt;&gt;"",IF(INDEX(TxnWitB,$O1768)=0,"",INDEX(TxnWitB,$O1768)),""))</f>
        <v/>
      </c>
      <c r="K1768" s="27">
        <f>IF($B1768="","",IF($K1767="",$C$10,$K1767)+IF($I1768="",0,$I1768)-IF($J1768="",0,$J1768))</f>
        <v/>
      </c>
      <c r="L1768" s="28">
        <f>IF($N1768&lt;&gt;"",IF(INDEX(PCNotes,$N1768)="","—",INDEX(PCNotes,$N1768)),IF($O1768&lt;&gt;"",IF(INDEX(LdgNoteB,$O1768)="","—",INDEX(LdgNoteB,$O1768)),""))</f>
        <v/>
      </c>
      <c r="N1768">
        <f>IFERROR(MATCH($C$5&amp;"|"&amp;RIGHT("000000"&amp;1752,6),LdgRankKeyA,0),"")</f>
        <v/>
      </c>
      <c r="O1768">
        <f>IFERROR(MATCH($C$5&amp;"|"&amp;RIGHT("000000"&amp;1752,6),LdgRankKeyB,0),"")</f>
        <v/>
      </c>
    </row>
    <row r="1769">
      <c r="A1769" s="17" t="n">
        <v>1753</v>
      </c>
      <c r="B1769" s="18">
        <f>IF(AND($N1769="",$O1769=""),"",IF($N1769&lt;&gt;"",INDEX(PCNormDate,$N1769),INDEX(LdgDateB,$O1769)))</f>
        <v/>
      </c>
      <c r="C1769" s="18">
        <f>IF($N1769&lt;&gt;"",INDEX(PCOp,$N1769),IF($O1769&lt;&gt;"",IF(N(INDEX(TxnDepB,$O1769))&gt;0,"دریافت بانکی","پرداخت بانکی"),""))</f>
        <v/>
      </c>
      <c r="D1769" s="18">
        <f>IF($N1769&lt;&gt;"",IF(INDEX(PCDoc,$N1769)="","—",INDEX(PCDoc,$N1769)),IF($O1769&lt;&gt;"",INDEX(LdgBankB,$O1769),""))</f>
        <v/>
      </c>
      <c r="E1769" s="18">
        <f>IF($N1769&lt;&gt;"",IF(INDEX(PCCitrus,$N1769)="","—",INDEX(PCCitrus,$N1769)),"")</f>
        <v/>
      </c>
      <c r="F1769" s="19">
        <f>IF($N1769&lt;&gt;"",IF(INDEX(PCScale,$N1769)=0,"",INDEX(PCScale,$N1769)),"")</f>
        <v/>
      </c>
      <c r="G1769" s="19">
        <f>IF($N1769&lt;&gt;"",IF(INDEX(PCBaskets,$N1769)=0,"",INDEX(PCBaskets,$N1769)),"")</f>
        <v/>
      </c>
      <c r="H1769" s="20">
        <f>IF($N1769&lt;&gt;"",IF(INDEX(PCNet,$N1769)=0,"",INDEX(PCNet,$N1769)),"")</f>
        <v/>
      </c>
      <c r="I1769" s="19">
        <f>IF($N1769&lt;&gt;"",IF(INDEX(PCOp,$N1769)="مرجوعی خرید","",IF(INDEX(PCAmount,$N1769)&lt;=0,"",INDEX(PCAmount,$N1769))),IF($O1769&lt;&gt;"",IF(INDEX(TxnDepB,$O1769)=0,"",INDEX(TxnDepB,$O1769)),""))</f>
        <v/>
      </c>
      <c r="J1769" s="19">
        <f>IF($N1769&lt;&gt;"",IF(INDEX(PCOp,$N1769)="مرجوعی خرید",IF(INDEX(PCAmount,$N1769)=0,"",-INDEX(PCAmount,$N1769)),""),IF($O1769&lt;&gt;"",IF(INDEX(TxnWitB,$O1769)=0,"",INDEX(TxnWitB,$O1769)),""))</f>
        <v/>
      </c>
      <c r="K1769" s="21">
        <f>IF($B1769="","",IF($K1768="",$C$10,$K1768)+IF($I1769="",0,$I1769)-IF($J1769="",0,$J1769))</f>
        <v/>
      </c>
      <c r="L1769" s="22">
        <f>IF($N1769&lt;&gt;"",IF(INDEX(PCNotes,$N1769)="","—",INDEX(PCNotes,$N1769)),IF($O1769&lt;&gt;"",IF(INDEX(LdgNoteB,$O1769)="","—",INDEX(LdgNoteB,$O1769)),""))</f>
        <v/>
      </c>
      <c r="N1769">
        <f>IFERROR(MATCH($C$5&amp;"|"&amp;RIGHT("000000"&amp;1753,6),LdgRankKeyA,0),"")</f>
        <v/>
      </c>
      <c r="O1769">
        <f>IFERROR(MATCH($C$5&amp;"|"&amp;RIGHT("000000"&amp;1753,6),LdgRankKeyB,0),"")</f>
        <v/>
      </c>
    </row>
    <row r="1770">
      <c r="A1770" s="23" t="n">
        <v>1754</v>
      </c>
      <c r="B1770" s="24">
        <f>IF(AND($N1770="",$O1770=""),"",IF($N1770&lt;&gt;"",INDEX(PCNormDate,$N1770),INDEX(LdgDateB,$O1770)))</f>
        <v/>
      </c>
      <c r="C1770" s="24">
        <f>IF($N1770&lt;&gt;"",INDEX(PCOp,$N1770),IF($O1770&lt;&gt;"",IF(N(INDEX(TxnDepB,$O1770))&gt;0,"دریافت بانکی","پرداخت بانکی"),""))</f>
        <v/>
      </c>
      <c r="D1770" s="24">
        <f>IF($N1770&lt;&gt;"",IF(INDEX(PCDoc,$N1770)="","—",INDEX(PCDoc,$N1770)),IF($O1770&lt;&gt;"",INDEX(LdgBankB,$O1770),""))</f>
        <v/>
      </c>
      <c r="E1770" s="24">
        <f>IF($N1770&lt;&gt;"",IF(INDEX(PCCitrus,$N1770)="","—",INDEX(PCCitrus,$N1770)),"")</f>
        <v/>
      </c>
      <c r="F1770" s="25">
        <f>IF($N1770&lt;&gt;"",IF(INDEX(PCScale,$N1770)=0,"",INDEX(PCScale,$N1770)),"")</f>
        <v/>
      </c>
      <c r="G1770" s="25">
        <f>IF($N1770&lt;&gt;"",IF(INDEX(PCBaskets,$N1770)=0,"",INDEX(PCBaskets,$N1770)),"")</f>
        <v/>
      </c>
      <c r="H1770" s="26">
        <f>IF($N1770&lt;&gt;"",IF(INDEX(PCNet,$N1770)=0,"",INDEX(PCNet,$N1770)),"")</f>
        <v/>
      </c>
      <c r="I1770" s="25">
        <f>IF($N1770&lt;&gt;"",IF(INDEX(PCOp,$N1770)="مرجوعی خرید","",IF(INDEX(PCAmount,$N1770)&lt;=0,"",INDEX(PCAmount,$N1770))),IF($O1770&lt;&gt;"",IF(INDEX(TxnDepB,$O1770)=0,"",INDEX(TxnDepB,$O1770)),""))</f>
        <v/>
      </c>
      <c r="J1770" s="25">
        <f>IF($N1770&lt;&gt;"",IF(INDEX(PCOp,$N1770)="مرجوعی خرید",IF(INDEX(PCAmount,$N1770)=0,"",-INDEX(PCAmount,$N1770)),""),IF($O1770&lt;&gt;"",IF(INDEX(TxnWitB,$O1770)=0,"",INDEX(TxnWitB,$O1770)),""))</f>
        <v/>
      </c>
      <c r="K1770" s="27">
        <f>IF($B1770="","",IF($K1769="",$C$10,$K1769)+IF($I1770="",0,$I1770)-IF($J1770="",0,$J1770))</f>
        <v/>
      </c>
      <c r="L1770" s="28">
        <f>IF($N1770&lt;&gt;"",IF(INDEX(PCNotes,$N1770)="","—",INDEX(PCNotes,$N1770)),IF($O1770&lt;&gt;"",IF(INDEX(LdgNoteB,$O1770)="","—",INDEX(LdgNoteB,$O1770)),""))</f>
        <v/>
      </c>
      <c r="N1770">
        <f>IFERROR(MATCH($C$5&amp;"|"&amp;RIGHT("000000"&amp;1754,6),LdgRankKeyA,0),"")</f>
        <v/>
      </c>
      <c r="O1770">
        <f>IFERROR(MATCH($C$5&amp;"|"&amp;RIGHT("000000"&amp;1754,6),LdgRankKeyB,0),"")</f>
        <v/>
      </c>
    </row>
    <row r="1771">
      <c r="A1771" s="17" t="n">
        <v>1755</v>
      </c>
      <c r="B1771" s="18">
        <f>IF(AND($N1771="",$O1771=""),"",IF($N1771&lt;&gt;"",INDEX(PCNormDate,$N1771),INDEX(LdgDateB,$O1771)))</f>
        <v/>
      </c>
      <c r="C1771" s="18">
        <f>IF($N1771&lt;&gt;"",INDEX(PCOp,$N1771),IF($O1771&lt;&gt;"",IF(N(INDEX(TxnDepB,$O1771))&gt;0,"دریافت بانکی","پرداخت بانکی"),""))</f>
        <v/>
      </c>
      <c r="D1771" s="18">
        <f>IF($N1771&lt;&gt;"",IF(INDEX(PCDoc,$N1771)="","—",INDEX(PCDoc,$N1771)),IF($O1771&lt;&gt;"",INDEX(LdgBankB,$O1771),""))</f>
        <v/>
      </c>
      <c r="E1771" s="18">
        <f>IF($N1771&lt;&gt;"",IF(INDEX(PCCitrus,$N1771)="","—",INDEX(PCCitrus,$N1771)),"")</f>
        <v/>
      </c>
      <c r="F1771" s="19">
        <f>IF($N1771&lt;&gt;"",IF(INDEX(PCScale,$N1771)=0,"",INDEX(PCScale,$N1771)),"")</f>
        <v/>
      </c>
      <c r="G1771" s="19">
        <f>IF($N1771&lt;&gt;"",IF(INDEX(PCBaskets,$N1771)=0,"",INDEX(PCBaskets,$N1771)),"")</f>
        <v/>
      </c>
      <c r="H1771" s="20">
        <f>IF($N1771&lt;&gt;"",IF(INDEX(PCNet,$N1771)=0,"",INDEX(PCNet,$N1771)),"")</f>
        <v/>
      </c>
      <c r="I1771" s="19">
        <f>IF($N1771&lt;&gt;"",IF(INDEX(PCOp,$N1771)="مرجوعی خرید","",IF(INDEX(PCAmount,$N1771)&lt;=0,"",INDEX(PCAmount,$N1771))),IF($O1771&lt;&gt;"",IF(INDEX(TxnDepB,$O1771)=0,"",INDEX(TxnDepB,$O1771)),""))</f>
        <v/>
      </c>
      <c r="J1771" s="19">
        <f>IF($N1771&lt;&gt;"",IF(INDEX(PCOp,$N1771)="مرجوعی خرید",IF(INDEX(PCAmount,$N1771)=0,"",-INDEX(PCAmount,$N1771)),""),IF($O1771&lt;&gt;"",IF(INDEX(TxnWitB,$O1771)=0,"",INDEX(TxnWitB,$O1771)),""))</f>
        <v/>
      </c>
      <c r="K1771" s="21">
        <f>IF($B1771="","",IF($K1770="",$C$10,$K1770)+IF($I1771="",0,$I1771)-IF($J1771="",0,$J1771))</f>
        <v/>
      </c>
      <c r="L1771" s="22">
        <f>IF($N1771&lt;&gt;"",IF(INDEX(PCNotes,$N1771)="","—",INDEX(PCNotes,$N1771)),IF($O1771&lt;&gt;"",IF(INDEX(LdgNoteB,$O1771)="","—",INDEX(LdgNoteB,$O1771)),""))</f>
        <v/>
      </c>
      <c r="N1771">
        <f>IFERROR(MATCH($C$5&amp;"|"&amp;RIGHT("000000"&amp;1755,6),LdgRankKeyA,0),"")</f>
        <v/>
      </c>
      <c r="O1771">
        <f>IFERROR(MATCH($C$5&amp;"|"&amp;RIGHT("000000"&amp;1755,6),LdgRankKeyB,0),"")</f>
        <v/>
      </c>
    </row>
    <row r="1772">
      <c r="A1772" s="23" t="n">
        <v>1756</v>
      </c>
      <c r="B1772" s="24">
        <f>IF(AND($N1772="",$O1772=""),"",IF($N1772&lt;&gt;"",INDEX(PCNormDate,$N1772),INDEX(LdgDateB,$O1772)))</f>
        <v/>
      </c>
      <c r="C1772" s="24">
        <f>IF($N1772&lt;&gt;"",INDEX(PCOp,$N1772),IF($O1772&lt;&gt;"",IF(N(INDEX(TxnDepB,$O1772))&gt;0,"دریافت بانکی","پرداخت بانکی"),""))</f>
        <v/>
      </c>
      <c r="D1772" s="24">
        <f>IF($N1772&lt;&gt;"",IF(INDEX(PCDoc,$N1772)="","—",INDEX(PCDoc,$N1772)),IF($O1772&lt;&gt;"",INDEX(LdgBankB,$O1772),""))</f>
        <v/>
      </c>
      <c r="E1772" s="24">
        <f>IF($N1772&lt;&gt;"",IF(INDEX(PCCitrus,$N1772)="","—",INDEX(PCCitrus,$N1772)),"")</f>
        <v/>
      </c>
      <c r="F1772" s="25">
        <f>IF($N1772&lt;&gt;"",IF(INDEX(PCScale,$N1772)=0,"",INDEX(PCScale,$N1772)),"")</f>
        <v/>
      </c>
      <c r="G1772" s="25">
        <f>IF($N1772&lt;&gt;"",IF(INDEX(PCBaskets,$N1772)=0,"",INDEX(PCBaskets,$N1772)),"")</f>
        <v/>
      </c>
      <c r="H1772" s="26">
        <f>IF($N1772&lt;&gt;"",IF(INDEX(PCNet,$N1772)=0,"",INDEX(PCNet,$N1772)),"")</f>
        <v/>
      </c>
      <c r="I1772" s="25">
        <f>IF($N1772&lt;&gt;"",IF(INDEX(PCOp,$N1772)="مرجوعی خرید","",IF(INDEX(PCAmount,$N1772)&lt;=0,"",INDEX(PCAmount,$N1772))),IF($O1772&lt;&gt;"",IF(INDEX(TxnDepB,$O1772)=0,"",INDEX(TxnDepB,$O1772)),""))</f>
        <v/>
      </c>
      <c r="J1772" s="25">
        <f>IF($N1772&lt;&gt;"",IF(INDEX(PCOp,$N1772)="مرجوعی خرید",IF(INDEX(PCAmount,$N1772)=0,"",-INDEX(PCAmount,$N1772)),""),IF($O1772&lt;&gt;"",IF(INDEX(TxnWitB,$O1772)=0,"",INDEX(TxnWitB,$O1772)),""))</f>
        <v/>
      </c>
      <c r="K1772" s="27">
        <f>IF($B1772="","",IF($K1771="",$C$10,$K1771)+IF($I1772="",0,$I1772)-IF($J1772="",0,$J1772))</f>
        <v/>
      </c>
      <c r="L1772" s="28">
        <f>IF($N1772&lt;&gt;"",IF(INDEX(PCNotes,$N1772)="","—",INDEX(PCNotes,$N1772)),IF($O1772&lt;&gt;"",IF(INDEX(LdgNoteB,$O1772)="","—",INDEX(LdgNoteB,$O1772)),""))</f>
        <v/>
      </c>
      <c r="N1772">
        <f>IFERROR(MATCH($C$5&amp;"|"&amp;RIGHT("000000"&amp;1756,6),LdgRankKeyA,0),"")</f>
        <v/>
      </c>
      <c r="O1772">
        <f>IFERROR(MATCH($C$5&amp;"|"&amp;RIGHT("000000"&amp;1756,6),LdgRankKeyB,0),"")</f>
        <v/>
      </c>
    </row>
    <row r="1773">
      <c r="A1773" s="17" t="n">
        <v>1757</v>
      </c>
      <c r="B1773" s="18">
        <f>IF(AND($N1773="",$O1773=""),"",IF($N1773&lt;&gt;"",INDEX(PCNormDate,$N1773),INDEX(LdgDateB,$O1773)))</f>
        <v/>
      </c>
      <c r="C1773" s="18">
        <f>IF($N1773&lt;&gt;"",INDEX(PCOp,$N1773),IF($O1773&lt;&gt;"",IF(N(INDEX(TxnDepB,$O1773))&gt;0,"دریافت بانکی","پرداخت بانکی"),""))</f>
        <v/>
      </c>
      <c r="D1773" s="18">
        <f>IF($N1773&lt;&gt;"",IF(INDEX(PCDoc,$N1773)="","—",INDEX(PCDoc,$N1773)),IF($O1773&lt;&gt;"",INDEX(LdgBankB,$O1773),""))</f>
        <v/>
      </c>
      <c r="E1773" s="18">
        <f>IF($N1773&lt;&gt;"",IF(INDEX(PCCitrus,$N1773)="","—",INDEX(PCCitrus,$N1773)),"")</f>
        <v/>
      </c>
      <c r="F1773" s="19">
        <f>IF($N1773&lt;&gt;"",IF(INDEX(PCScale,$N1773)=0,"",INDEX(PCScale,$N1773)),"")</f>
        <v/>
      </c>
      <c r="G1773" s="19">
        <f>IF($N1773&lt;&gt;"",IF(INDEX(PCBaskets,$N1773)=0,"",INDEX(PCBaskets,$N1773)),"")</f>
        <v/>
      </c>
      <c r="H1773" s="20">
        <f>IF($N1773&lt;&gt;"",IF(INDEX(PCNet,$N1773)=0,"",INDEX(PCNet,$N1773)),"")</f>
        <v/>
      </c>
      <c r="I1773" s="19">
        <f>IF($N1773&lt;&gt;"",IF(INDEX(PCOp,$N1773)="مرجوعی خرید","",IF(INDEX(PCAmount,$N1773)&lt;=0,"",INDEX(PCAmount,$N1773))),IF($O1773&lt;&gt;"",IF(INDEX(TxnDepB,$O1773)=0,"",INDEX(TxnDepB,$O1773)),""))</f>
        <v/>
      </c>
      <c r="J1773" s="19">
        <f>IF($N1773&lt;&gt;"",IF(INDEX(PCOp,$N1773)="مرجوعی خرید",IF(INDEX(PCAmount,$N1773)=0,"",-INDEX(PCAmount,$N1773)),""),IF($O1773&lt;&gt;"",IF(INDEX(TxnWitB,$O1773)=0,"",INDEX(TxnWitB,$O1773)),""))</f>
        <v/>
      </c>
      <c r="K1773" s="21">
        <f>IF($B1773="","",IF($K1772="",$C$10,$K1772)+IF($I1773="",0,$I1773)-IF($J1773="",0,$J1773))</f>
        <v/>
      </c>
      <c r="L1773" s="22">
        <f>IF($N1773&lt;&gt;"",IF(INDEX(PCNotes,$N1773)="","—",INDEX(PCNotes,$N1773)),IF($O1773&lt;&gt;"",IF(INDEX(LdgNoteB,$O1773)="","—",INDEX(LdgNoteB,$O1773)),""))</f>
        <v/>
      </c>
      <c r="N1773">
        <f>IFERROR(MATCH($C$5&amp;"|"&amp;RIGHT("000000"&amp;1757,6),LdgRankKeyA,0),"")</f>
        <v/>
      </c>
      <c r="O1773">
        <f>IFERROR(MATCH($C$5&amp;"|"&amp;RIGHT("000000"&amp;1757,6),LdgRankKeyB,0),"")</f>
        <v/>
      </c>
    </row>
    <row r="1774">
      <c r="A1774" s="23" t="n">
        <v>1758</v>
      </c>
      <c r="B1774" s="24">
        <f>IF(AND($N1774="",$O1774=""),"",IF($N1774&lt;&gt;"",INDEX(PCNormDate,$N1774),INDEX(LdgDateB,$O1774)))</f>
        <v/>
      </c>
      <c r="C1774" s="24">
        <f>IF($N1774&lt;&gt;"",INDEX(PCOp,$N1774),IF($O1774&lt;&gt;"",IF(N(INDEX(TxnDepB,$O1774))&gt;0,"دریافت بانکی","پرداخت بانکی"),""))</f>
        <v/>
      </c>
      <c r="D1774" s="24">
        <f>IF($N1774&lt;&gt;"",IF(INDEX(PCDoc,$N1774)="","—",INDEX(PCDoc,$N1774)),IF($O1774&lt;&gt;"",INDEX(LdgBankB,$O1774),""))</f>
        <v/>
      </c>
      <c r="E1774" s="24">
        <f>IF($N1774&lt;&gt;"",IF(INDEX(PCCitrus,$N1774)="","—",INDEX(PCCitrus,$N1774)),"")</f>
        <v/>
      </c>
      <c r="F1774" s="25">
        <f>IF($N1774&lt;&gt;"",IF(INDEX(PCScale,$N1774)=0,"",INDEX(PCScale,$N1774)),"")</f>
        <v/>
      </c>
      <c r="G1774" s="25">
        <f>IF($N1774&lt;&gt;"",IF(INDEX(PCBaskets,$N1774)=0,"",INDEX(PCBaskets,$N1774)),"")</f>
        <v/>
      </c>
      <c r="H1774" s="26">
        <f>IF($N1774&lt;&gt;"",IF(INDEX(PCNet,$N1774)=0,"",INDEX(PCNet,$N1774)),"")</f>
        <v/>
      </c>
      <c r="I1774" s="25">
        <f>IF($N1774&lt;&gt;"",IF(INDEX(PCOp,$N1774)="مرجوعی خرید","",IF(INDEX(PCAmount,$N1774)&lt;=0,"",INDEX(PCAmount,$N1774))),IF($O1774&lt;&gt;"",IF(INDEX(TxnDepB,$O1774)=0,"",INDEX(TxnDepB,$O1774)),""))</f>
        <v/>
      </c>
      <c r="J1774" s="25">
        <f>IF($N1774&lt;&gt;"",IF(INDEX(PCOp,$N1774)="مرجوعی خرید",IF(INDEX(PCAmount,$N1774)=0,"",-INDEX(PCAmount,$N1774)),""),IF($O1774&lt;&gt;"",IF(INDEX(TxnWitB,$O1774)=0,"",INDEX(TxnWitB,$O1774)),""))</f>
        <v/>
      </c>
      <c r="K1774" s="27">
        <f>IF($B1774="","",IF($K1773="",$C$10,$K1773)+IF($I1774="",0,$I1774)-IF($J1774="",0,$J1774))</f>
        <v/>
      </c>
      <c r="L1774" s="28">
        <f>IF($N1774&lt;&gt;"",IF(INDEX(PCNotes,$N1774)="","—",INDEX(PCNotes,$N1774)),IF($O1774&lt;&gt;"",IF(INDEX(LdgNoteB,$O1774)="","—",INDEX(LdgNoteB,$O1774)),""))</f>
        <v/>
      </c>
      <c r="N1774">
        <f>IFERROR(MATCH($C$5&amp;"|"&amp;RIGHT("000000"&amp;1758,6),LdgRankKeyA,0),"")</f>
        <v/>
      </c>
      <c r="O1774">
        <f>IFERROR(MATCH($C$5&amp;"|"&amp;RIGHT("000000"&amp;1758,6),LdgRankKeyB,0),"")</f>
        <v/>
      </c>
    </row>
    <row r="1775">
      <c r="A1775" s="17" t="n">
        <v>1759</v>
      </c>
      <c r="B1775" s="18">
        <f>IF(AND($N1775="",$O1775=""),"",IF($N1775&lt;&gt;"",INDEX(PCNormDate,$N1775),INDEX(LdgDateB,$O1775)))</f>
        <v/>
      </c>
      <c r="C1775" s="18">
        <f>IF($N1775&lt;&gt;"",INDEX(PCOp,$N1775),IF($O1775&lt;&gt;"",IF(N(INDEX(TxnDepB,$O1775))&gt;0,"دریافت بانکی","پرداخت بانکی"),""))</f>
        <v/>
      </c>
      <c r="D1775" s="18">
        <f>IF($N1775&lt;&gt;"",IF(INDEX(PCDoc,$N1775)="","—",INDEX(PCDoc,$N1775)),IF($O1775&lt;&gt;"",INDEX(LdgBankB,$O1775),""))</f>
        <v/>
      </c>
      <c r="E1775" s="18">
        <f>IF($N1775&lt;&gt;"",IF(INDEX(PCCitrus,$N1775)="","—",INDEX(PCCitrus,$N1775)),"")</f>
        <v/>
      </c>
      <c r="F1775" s="19">
        <f>IF($N1775&lt;&gt;"",IF(INDEX(PCScale,$N1775)=0,"",INDEX(PCScale,$N1775)),"")</f>
        <v/>
      </c>
      <c r="G1775" s="19">
        <f>IF($N1775&lt;&gt;"",IF(INDEX(PCBaskets,$N1775)=0,"",INDEX(PCBaskets,$N1775)),"")</f>
        <v/>
      </c>
      <c r="H1775" s="20">
        <f>IF($N1775&lt;&gt;"",IF(INDEX(PCNet,$N1775)=0,"",INDEX(PCNet,$N1775)),"")</f>
        <v/>
      </c>
      <c r="I1775" s="19">
        <f>IF($N1775&lt;&gt;"",IF(INDEX(PCOp,$N1775)="مرجوعی خرید","",IF(INDEX(PCAmount,$N1775)&lt;=0,"",INDEX(PCAmount,$N1775))),IF($O1775&lt;&gt;"",IF(INDEX(TxnDepB,$O1775)=0,"",INDEX(TxnDepB,$O1775)),""))</f>
        <v/>
      </c>
      <c r="J1775" s="19">
        <f>IF($N1775&lt;&gt;"",IF(INDEX(PCOp,$N1775)="مرجوعی خرید",IF(INDEX(PCAmount,$N1775)=0,"",-INDEX(PCAmount,$N1775)),""),IF($O1775&lt;&gt;"",IF(INDEX(TxnWitB,$O1775)=0,"",INDEX(TxnWitB,$O1775)),""))</f>
        <v/>
      </c>
      <c r="K1775" s="21">
        <f>IF($B1775="","",IF($K1774="",$C$10,$K1774)+IF($I1775="",0,$I1775)-IF($J1775="",0,$J1775))</f>
        <v/>
      </c>
      <c r="L1775" s="22">
        <f>IF($N1775&lt;&gt;"",IF(INDEX(PCNotes,$N1775)="","—",INDEX(PCNotes,$N1775)),IF($O1775&lt;&gt;"",IF(INDEX(LdgNoteB,$O1775)="","—",INDEX(LdgNoteB,$O1775)),""))</f>
        <v/>
      </c>
      <c r="N1775">
        <f>IFERROR(MATCH($C$5&amp;"|"&amp;RIGHT("000000"&amp;1759,6),LdgRankKeyA,0),"")</f>
        <v/>
      </c>
      <c r="O1775">
        <f>IFERROR(MATCH($C$5&amp;"|"&amp;RIGHT("000000"&amp;1759,6),LdgRankKeyB,0),"")</f>
        <v/>
      </c>
    </row>
    <row r="1776">
      <c r="A1776" s="23" t="n">
        <v>1760</v>
      </c>
      <c r="B1776" s="24">
        <f>IF(AND($N1776="",$O1776=""),"",IF($N1776&lt;&gt;"",INDEX(PCNormDate,$N1776),INDEX(LdgDateB,$O1776)))</f>
        <v/>
      </c>
      <c r="C1776" s="24">
        <f>IF($N1776&lt;&gt;"",INDEX(PCOp,$N1776),IF($O1776&lt;&gt;"",IF(N(INDEX(TxnDepB,$O1776))&gt;0,"دریافت بانکی","پرداخت بانکی"),""))</f>
        <v/>
      </c>
      <c r="D1776" s="24">
        <f>IF($N1776&lt;&gt;"",IF(INDEX(PCDoc,$N1776)="","—",INDEX(PCDoc,$N1776)),IF($O1776&lt;&gt;"",INDEX(LdgBankB,$O1776),""))</f>
        <v/>
      </c>
      <c r="E1776" s="24">
        <f>IF($N1776&lt;&gt;"",IF(INDEX(PCCitrus,$N1776)="","—",INDEX(PCCitrus,$N1776)),"")</f>
        <v/>
      </c>
      <c r="F1776" s="25">
        <f>IF($N1776&lt;&gt;"",IF(INDEX(PCScale,$N1776)=0,"",INDEX(PCScale,$N1776)),"")</f>
        <v/>
      </c>
      <c r="G1776" s="25">
        <f>IF($N1776&lt;&gt;"",IF(INDEX(PCBaskets,$N1776)=0,"",INDEX(PCBaskets,$N1776)),"")</f>
        <v/>
      </c>
      <c r="H1776" s="26">
        <f>IF($N1776&lt;&gt;"",IF(INDEX(PCNet,$N1776)=0,"",INDEX(PCNet,$N1776)),"")</f>
        <v/>
      </c>
      <c r="I1776" s="25">
        <f>IF($N1776&lt;&gt;"",IF(INDEX(PCOp,$N1776)="مرجوعی خرید","",IF(INDEX(PCAmount,$N1776)&lt;=0,"",INDEX(PCAmount,$N1776))),IF($O1776&lt;&gt;"",IF(INDEX(TxnDepB,$O1776)=0,"",INDEX(TxnDepB,$O1776)),""))</f>
        <v/>
      </c>
      <c r="J1776" s="25">
        <f>IF($N1776&lt;&gt;"",IF(INDEX(PCOp,$N1776)="مرجوعی خرید",IF(INDEX(PCAmount,$N1776)=0,"",-INDEX(PCAmount,$N1776)),""),IF($O1776&lt;&gt;"",IF(INDEX(TxnWitB,$O1776)=0,"",INDEX(TxnWitB,$O1776)),""))</f>
        <v/>
      </c>
      <c r="K1776" s="27">
        <f>IF($B1776="","",IF($K1775="",$C$10,$K1775)+IF($I1776="",0,$I1776)-IF($J1776="",0,$J1776))</f>
        <v/>
      </c>
      <c r="L1776" s="28">
        <f>IF($N1776&lt;&gt;"",IF(INDEX(PCNotes,$N1776)="","—",INDEX(PCNotes,$N1776)),IF($O1776&lt;&gt;"",IF(INDEX(LdgNoteB,$O1776)="","—",INDEX(LdgNoteB,$O1776)),""))</f>
        <v/>
      </c>
      <c r="N1776">
        <f>IFERROR(MATCH($C$5&amp;"|"&amp;RIGHT("000000"&amp;1760,6),LdgRankKeyA,0),"")</f>
        <v/>
      </c>
      <c r="O1776">
        <f>IFERROR(MATCH($C$5&amp;"|"&amp;RIGHT("000000"&amp;1760,6),LdgRankKeyB,0),"")</f>
        <v/>
      </c>
    </row>
    <row r="1777">
      <c r="A1777" s="17" t="n">
        <v>1761</v>
      </c>
      <c r="B1777" s="18">
        <f>IF(AND($N1777="",$O1777=""),"",IF($N1777&lt;&gt;"",INDEX(PCNormDate,$N1777),INDEX(LdgDateB,$O1777)))</f>
        <v/>
      </c>
      <c r="C1777" s="18">
        <f>IF($N1777&lt;&gt;"",INDEX(PCOp,$N1777),IF($O1777&lt;&gt;"",IF(N(INDEX(TxnDepB,$O1777))&gt;0,"دریافت بانکی","پرداخت بانکی"),""))</f>
        <v/>
      </c>
      <c r="D1777" s="18">
        <f>IF($N1777&lt;&gt;"",IF(INDEX(PCDoc,$N1777)="","—",INDEX(PCDoc,$N1777)),IF($O1777&lt;&gt;"",INDEX(LdgBankB,$O1777),""))</f>
        <v/>
      </c>
      <c r="E1777" s="18">
        <f>IF($N1777&lt;&gt;"",IF(INDEX(PCCitrus,$N1777)="","—",INDEX(PCCitrus,$N1777)),"")</f>
        <v/>
      </c>
      <c r="F1777" s="19">
        <f>IF($N1777&lt;&gt;"",IF(INDEX(PCScale,$N1777)=0,"",INDEX(PCScale,$N1777)),"")</f>
        <v/>
      </c>
      <c r="G1777" s="19">
        <f>IF($N1777&lt;&gt;"",IF(INDEX(PCBaskets,$N1777)=0,"",INDEX(PCBaskets,$N1777)),"")</f>
        <v/>
      </c>
      <c r="H1777" s="20">
        <f>IF($N1777&lt;&gt;"",IF(INDEX(PCNet,$N1777)=0,"",INDEX(PCNet,$N1777)),"")</f>
        <v/>
      </c>
      <c r="I1777" s="19">
        <f>IF($N1777&lt;&gt;"",IF(INDEX(PCOp,$N1777)="مرجوعی خرید","",IF(INDEX(PCAmount,$N1777)&lt;=0,"",INDEX(PCAmount,$N1777))),IF($O1777&lt;&gt;"",IF(INDEX(TxnDepB,$O1777)=0,"",INDEX(TxnDepB,$O1777)),""))</f>
        <v/>
      </c>
      <c r="J1777" s="19">
        <f>IF($N1777&lt;&gt;"",IF(INDEX(PCOp,$N1777)="مرجوعی خرید",IF(INDEX(PCAmount,$N1777)=0,"",-INDEX(PCAmount,$N1777)),""),IF($O1777&lt;&gt;"",IF(INDEX(TxnWitB,$O1777)=0,"",INDEX(TxnWitB,$O1777)),""))</f>
        <v/>
      </c>
      <c r="K1777" s="21">
        <f>IF($B1777="","",IF($K1776="",$C$10,$K1776)+IF($I1777="",0,$I1777)-IF($J1777="",0,$J1777))</f>
        <v/>
      </c>
      <c r="L1777" s="22">
        <f>IF($N1777&lt;&gt;"",IF(INDEX(PCNotes,$N1777)="","—",INDEX(PCNotes,$N1777)),IF($O1777&lt;&gt;"",IF(INDEX(LdgNoteB,$O1777)="","—",INDEX(LdgNoteB,$O1777)),""))</f>
        <v/>
      </c>
      <c r="N1777">
        <f>IFERROR(MATCH($C$5&amp;"|"&amp;RIGHT("000000"&amp;1761,6),LdgRankKeyA,0),"")</f>
        <v/>
      </c>
      <c r="O1777">
        <f>IFERROR(MATCH($C$5&amp;"|"&amp;RIGHT("000000"&amp;1761,6),LdgRankKeyB,0),"")</f>
        <v/>
      </c>
    </row>
    <row r="1778">
      <c r="A1778" s="23" t="n">
        <v>1762</v>
      </c>
      <c r="B1778" s="24">
        <f>IF(AND($N1778="",$O1778=""),"",IF($N1778&lt;&gt;"",INDEX(PCNormDate,$N1778),INDEX(LdgDateB,$O1778)))</f>
        <v/>
      </c>
      <c r="C1778" s="24">
        <f>IF($N1778&lt;&gt;"",INDEX(PCOp,$N1778),IF($O1778&lt;&gt;"",IF(N(INDEX(TxnDepB,$O1778))&gt;0,"دریافت بانکی","پرداخت بانکی"),""))</f>
        <v/>
      </c>
      <c r="D1778" s="24">
        <f>IF($N1778&lt;&gt;"",IF(INDEX(PCDoc,$N1778)="","—",INDEX(PCDoc,$N1778)),IF($O1778&lt;&gt;"",INDEX(LdgBankB,$O1778),""))</f>
        <v/>
      </c>
      <c r="E1778" s="24">
        <f>IF($N1778&lt;&gt;"",IF(INDEX(PCCitrus,$N1778)="","—",INDEX(PCCitrus,$N1778)),"")</f>
        <v/>
      </c>
      <c r="F1778" s="25">
        <f>IF($N1778&lt;&gt;"",IF(INDEX(PCScale,$N1778)=0,"",INDEX(PCScale,$N1778)),"")</f>
        <v/>
      </c>
      <c r="G1778" s="25">
        <f>IF($N1778&lt;&gt;"",IF(INDEX(PCBaskets,$N1778)=0,"",INDEX(PCBaskets,$N1778)),"")</f>
        <v/>
      </c>
      <c r="H1778" s="26">
        <f>IF($N1778&lt;&gt;"",IF(INDEX(PCNet,$N1778)=0,"",INDEX(PCNet,$N1778)),"")</f>
        <v/>
      </c>
      <c r="I1778" s="25">
        <f>IF($N1778&lt;&gt;"",IF(INDEX(PCOp,$N1778)="مرجوعی خرید","",IF(INDEX(PCAmount,$N1778)&lt;=0,"",INDEX(PCAmount,$N1778))),IF($O1778&lt;&gt;"",IF(INDEX(TxnDepB,$O1778)=0,"",INDEX(TxnDepB,$O1778)),""))</f>
        <v/>
      </c>
      <c r="J1778" s="25">
        <f>IF($N1778&lt;&gt;"",IF(INDEX(PCOp,$N1778)="مرجوعی خرید",IF(INDEX(PCAmount,$N1778)=0,"",-INDEX(PCAmount,$N1778)),""),IF($O1778&lt;&gt;"",IF(INDEX(TxnWitB,$O1778)=0,"",INDEX(TxnWitB,$O1778)),""))</f>
        <v/>
      </c>
      <c r="K1778" s="27">
        <f>IF($B1778="","",IF($K1777="",$C$10,$K1777)+IF($I1778="",0,$I1778)-IF($J1778="",0,$J1778))</f>
        <v/>
      </c>
      <c r="L1778" s="28">
        <f>IF($N1778&lt;&gt;"",IF(INDEX(PCNotes,$N1778)="","—",INDEX(PCNotes,$N1778)),IF($O1778&lt;&gt;"",IF(INDEX(LdgNoteB,$O1778)="","—",INDEX(LdgNoteB,$O1778)),""))</f>
        <v/>
      </c>
      <c r="N1778">
        <f>IFERROR(MATCH($C$5&amp;"|"&amp;RIGHT("000000"&amp;1762,6),LdgRankKeyA,0),"")</f>
        <v/>
      </c>
      <c r="O1778">
        <f>IFERROR(MATCH($C$5&amp;"|"&amp;RIGHT("000000"&amp;1762,6),LdgRankKeyB,0),"")</f>
        <v/>
      </c>
    </row>
    <row r="1779">
      <c r="A1779" s="17" t="n">
        <v>1763</v>
      </c>
      <c r="B1779" s="18">
        <f>IF(AND($N1779="",$O1779=""),"",IF($N1779&lt;&gt;"",INDEX(PCNormDate,$N1779),INDEX(LdgDateB,$O1779)))</f>
        <v/>
      </c>
      <c r="C1779" s="18">
        <f>IF($N1779&lt;&gt;"",INDEX(PCOp,$N1779),IF($O1779&lt;&gt;"",IF(N(INDEX(TxnDepB,$O1779))&gt;0,"دریافت بانکی","پرداخت بانکی"),""))</f>
        <v/>
      </c>
      <c r="D1779" s="18">
        <f>IF($N1779&lt;&gt;"",IF(INDEX(PCDoc,$N1779)="","—",INDEX(PCDoc,$N1779)),IF($O1779&lt;&gt;"",INDEX(LdgBankB,$O1779),""))</f>
        <v/>
      </c>
      <c r="E1779" s="18">
        <f>IF($N1779&lt;&gt;"",IF(INDEX(PCCitrus,$N1779)="","—",INDEX(PCCitrus,$N1779)),"")</f>
        <v/>
      </c>
      <c r="F1779" s="19">
        <f>IF($N1779&lt;&gt;"",IF(INDEX(PCScale,$N1779)=0,"",INDEX(PCScale,$N1779)),"")</f>
        <v/>
      </c>
      <c r="G1779" s="19">
        <f>IF($N1779&lt;&gt;"",IF(INDEX(PCBaskets,$N1779)=0,"",INDEX(PCBaskets,$N1779)),"")</f>
        <v/>
      </c>
      <c r="H1779" s="20">
        <f>IF($N1779&lt;&gt;"",IF(INDEX(PCNet,$N1779)=0,"",INDEX(PCNet,$N1779)),"")</f>
        <v/>
      </c>
      <c r="I1779" s="19">
        <f>IF($N1779&lt;&gt;"",IF(INDEX(PCOp,$N1779)="مرجوعی خرید","",IF(INDEX(PCAmount,$N1779)&lt;=0,"",INDEX(PCAmount,$N1779))),IF($O1779&lt;&gt;"",IF(INDEX(TxnDepB,$O1779)=0,"",INDEX(TxnDepB,$O1779)),""))</f>
        <v/>
      </c>
      <c r="J1779" s="19">
        <f>IF($N1779&lt;&gt;"",IF(INDEX(PCOp,$N1779)="مرجوعی خرید",IF(INDEX(PCAmount,$N1779)=0,"",-INDEX(PCAmount,$N1779)),""),IF($O1779&lt;&gt;"",IF(INDEX(TxnWitB,$O1779)=0,"",INDEX(TxnWitB,$O1779)),""))</f>
        <v/>
      </c>
      <c r="K1779" s="21">
        <f>IF($B1779="","",IF($K1778="",$C$10,$K1778)+IF($I1779="",0,$I1779)-IF($J1779="",0,$J1779))</f>
        <v/>
      </c>
      <c r="L1779" s="22">
        <f>IF($N1779&lt;&gt;"",IF(INDEX(PCNotes,$N1779)="","—",INDEX(PCNotes,$N1779)),IF($O1779&lt;&gt;"",IF(INDEX(LdgNoteB,$O1779)="","—",INDEX(LdgNoteB,$O1779)),""))</f>
        <v/>
      </c>
      <c r="N1779">
        <f>IFERROR(MATCH($C$5&amp;"|"&amp;RIGHT("000000"&amp;1763,6),LdgRankKeyA,0),"")</f>
        <v/>
      </c>
      <c r="O1779">
        <f>IFERROR(MATCH($C$5&amp;"|"&amp;RIGHT("000000"&amp;1763,6),LdgRankKeyB,0),"")</f>
        <v/>
      </c>
    </row>
    <row r="1780">
      <c r="A1780" s="23" t="n">
        <v>1764</v>
      </c>
      <c r="B1780" s="24">
        <f>IF(AND($N1780="",$O1780=""),"",IF($N1780&lt;&gt;"",INDEX(PCNormDate,$N1780),INDEX(LdgDateB,$O1780)))</f>
        <v/>
      </c>
      <c r="C1780" s="24">
        <f>IF($N1780&lt;&gt;"",INDEX(PCOp,$N1780),IF($O1780&lt;&gt;"",IF(N(INDEX(TxnDepB,$O1780))&gt;0,"دریافت بانکی","پرداخت بانکی"),""))</f>
        <v/>
      </c>
      <c r="D1780" s="24">
        <f>IF($N1780&lt;&gt;"",IF(INDEX(PCDoc,$N1780)="","—",INDEX(PCDoc,$N1780)),IF($O1780&lt;&gt;"",INDEX(LdgBankB,$O1780),""))</f>
        <v/>
      </c>
      <c r="E1780" s="24">
        <f>IF($N1780&lt;&gt;"",IF(INDEX(PCCitrus,$N1780)="","—",INDEX(PCCitrus,$N1780)),"")</f>
        <v/>
      </c>
      <c r="F1780" s="25">
        <f>IF($N1780&lt;&gt;"",IF(INDEX(PCScale,$N1780)=0,"",INDEX(PCScale,$N1780)),"")</f>
        <v/>
      </c>
      <c r="G1780" s="25">
        <f>IF($N1780&lt;&gt;"",IF(INDEX(PCBaskets,$N1780)=0,"",INDEX(PCBaskets,$N1780)),"")</f>
        <v/>
      </c>
      <c r="H1780" s="26">
        <f>IF($N1780&lt;&gt;"",IF(INDEX(PCNet,$N1780)=0,"",INDEX(PCNet,$N1780)),"")</f>
        <v/>
      </c>
      <c r="I1780" s="25">
        <f>IF($N1780&lt;&gt;"",IF(INDEX(PCOp,$N1780)="مرجوعی خرید","",IF(INDEX(PCAmount,$N1780)&lt;=0,"",INDEX(PCAmount,$N1780))),IF($O1780&lt;&gt;"",IF(INDEX(TxnDepB,$O1780)=0,"",INDEX(TxnDepB,$O1780)),""))</f>
        <v/>
      </c>
      <c r="J1780" s="25">
        <f>IF($N1780&lt;&gt;"",IF(INDEX(PCOp,$N1780)="مرجوعی خرید",IF(INDEX(PCAmount,$N1780)=0,"",-INDEX(PCAmount,$N1780)),""),IF($O1780&lt;&gt;"",IF(INDEX(TxnWitB,$O1780)=0,"",INDEX(TxnWitB,$O1780)),""))</f>
        <v/>
      </c>
      <c r="K1780" s="27">
        <f>IF($B1780="","",IF($K1779="",$C$10,$K1779)+IF($I1780="",0,$I1780)-IF($J1780="",0,$J1780))</f>
        <v/>
      </c>
      <c r="L1780" s="28">
        <f>IF($N1780&lt;&gt;"",IF(INDEX(PCNotes,$N1780)="","—",INDEX(PCNotes,$N1780)),IF($O1780&lt;&gt;"",IF(INDEX(LdgNoteB,$O1780)="","—",INDEX(LdgNoteB,$O1780)),""))</f>
        <v/>
      </c>
      <c r="N1780">
        <f>IFERROR(MATCH($C$5&amp;"|"&amp;RIGHT("000000"&amp;1764,6),LdgRankKeyA,0),"")</f>
        <v/>
      </c>
      <c r="O1780">
        <f>IFERROR(MATCH($C$5&amp;"|"&amp;RIGHT("000000"&amp;1764,6),LdgRankKeyB,0),"")</f>
        <v/>
      </c>
    </row>
    <row r="1781">
      <c r="A1781" s="17" t="n">
        <v>1765</v>
      </c>
      <c r="B1781" s="18">
        <f>IF(AND($N1781="",$O1781=""),"",IF($N1781&lt;&gt;"",INDEX(PCNormDate,$N1781),INDEX(LdgDateB,$O1781)))</f>
        <v/>
      </c>
      <c r="C1781" s="18">
        <f>IF($N1781&lt;&gt;"",INDEX(PCOp,$N1781),IF($O1781&lt;&gt;"",IF(N(INDEX(TxnDepB,$O1781))&gt;0,"دریافت بانکی","پرداخت بانکی"),""))</f>
        <v/>
      </c>
      <c r="D1781" s="18">
        <f>IF($N1781&lt;&gt;"",IF(INDEX(PCDoc,$N1781)="","—",INDEX(PCDoc,$N1781)),IF($O1781&lt;&gt;"",INDEX(LdgBankB,$O1781),""))</f>
        <v/>
      </c>
      <c r="E1781" s="18">
        <f>IF($N1781&lt;&gt;"",IF(INDEX(PCCitrus,$N1781)="","—",INDEX(PCCitrus,$N1781)),"")</f>
        <v/>
      </c>
      <c r="F1781" s="19">
        <f>IF($N1781&lt;&gt;"",IF(INDEX(PCScale,$N1781)=0,"",INDEX(PCScale,$N1781)),"")</f>
        <v/>
      </c>
      <c r="G1781" s="19">
        <f>IF($N1781&lt;&gt;"",IF(INDEX(PCBaskets,$N1781)=0,"",INDEX(PCBaskets,$N1781)),"")</f>
        <v/>
      </c>
      <c r="H1781" s="20">
        <f>IF($N1781&lt;&gt;"",IF(INDEX(PCNet,$N1781)=0,"",INDEX(PCNet,$N1781)),"")</f>
        <v/>
      </c>
      <c r="I1781" s="19">
        <f>IF($N1781&lt;&gt;"",IF(INDEX(PCOp,$N1781)="مرجوعی خرید","",IF(INDEX(PCAmount,$N1781)&lt;=0,"",INDEX(PCAmount,$N1781))),IF($O1781&lt;&gt;"",IF(INDEX(TxnDepB,$O1781)=0,"",INDEX(TxnDepB,$O1781)),""))</f>
        <v/>
      </c>
      <c r="J1781" s="19">
        <f>IF($N1781&lt;&gt;"",IF(INDEX(PCOp,$N1781)="مرجوعی خرید",IF(INDEX(PCAmount,$N1781)=0,"",-INDEX(PCAmount,$N1781)),""),IF($O1781&lt;&gt;"",IF(INDEX(TxnWitB,$O1781)=0,"",INDEX(TxnWitB,$O1781)),""))</f>
        <v/>
      </c>
      <c r="K1781" s="21">
        <f>IF($B1781="","",IF($K1780="",$C$10,$K1780)+IF($I1781="",0,$I1781)-IF($J1781="",0,$J1781))</f>
        <v/>
      </c>
      <c r="L1781" s="22">
        <f>IF($N1781&lt;&gt;"",IF(INDEX(PCNotes,$N1781)="","—",INDEX(PCNotes,$N1781)),IF($O1781&lt;&gt;"",IF(INDEX(LdgNoteB,$O1781)="","—",INDEX(LdgNoteB,$O1781)),""))</f>
        <v/>
      </c>
      <c r="N1781">
        <f>IFERROR(MATCH($C$5&amp;"|"&amp;RIGHT("000000"&amp;1765,6),LdgRankKeyA,0),"")</f>
        <v/>
      </c>
      <c r="O1781">
        <f>IFERROR(MATCH($C$5&amp;"|"&amp;RIGHT("000000"&amp;1765,6),LdgRankKeyB,0),"")</f>
        <v/>
      </c>
    </row>
    <row r="1782">
      <c r="A1782" s="23" t="n">
        <v>1766</v>
      </c>
      <c r="B1782" s="24">
        <f>IF(AND($N1782="",$O1782=""),"",IF($N1782&lt;&gt;"",INDEX(PCNormDate,$N1782),INDEX(LdgDateB,$O1782)))</f>
        <v/>
      </c>
      <c r="C1782" s="24">
        <f>IF($N1782&lt;&gt;"",INDEX(PCOp,$N1782),IF($O1782&lt;&gt;"",IF(N(INDEX(TxnDepB,$O1782))&gt;0,"دریافت بانکی","پرداخت بانکی"),""))</f>
        <v/>
      </c>
      <c r="D1782" s="24">
        <f>IF($N1782&lt;&gt;"",IF(INDEX(PCDoc,$N1782)="","—",INDEX(PCDoc,$N1782)),IF($O1782&lt;&gt;"",INDEX(LdgBankB,$O1782),""))</f>
        <v/>
      </c>
      <c r="E1782" s="24">
        <f>IF($N1782&lt;&gt;"",IF(INDEX(PCCitrus,$N1782)="","—",INDEX(PCCitrus,$N1782)),"")</f>
        <v/>
      </c>
      <c r="F1782" s="25">
        <f>IF($N1782&lt;&gt;"",IF(INDEX(PCScale,$N1782)=0,"",INDEX(PCScale,$N1782)),"")</f>
        <v/>
      </c>
      <c r="G1782" s="25">
        <f>IF($N1782&lt;&gt;"",IF(INDEX(PCBaskets,$N1782)=0,"",INDEX(PCBaskets,$N1782)),"")</f>
        <v/>
      </c>
      <c r="H1782" s="26">
        <f>IF($N1782&lt;&gt;"",IF(INDEX(PCNet,$N1782)=0,"",INDEX(PCNet,$N1782)),"")</f>
        <v/>
      </c>
      <c r="I1782" s="25">
        <f>IF($N1782&lt;&gt;"",IF(INDEX(PCOp,$N1782)="مرجوعی خرید","",IF(INDEX(PCAmount,$N1782)&lt;=0,"",INDEX(PCAmount,$N1782))),IF($O1782&lt;&gt;"",IF(INDEX(TxnDepB,$O1782)=0,"",INDEX(TxnDepB,$O1782)),""))</f>
        <v/>
      </c>
      <c r="J1782" s="25">
        <f>IF($N1782&lt;&gt;"",IF(INDEX(PCOp,$N1782)="مرجوعی خرید",IF(INDEX(PCAmount,$N1782)=0,"",-INDEX(PCAmount,$N1782)),""),IF($O1782&lt;&gt;"",IF(INDEX(TxnWitB,$O1782)=0,"",INDEX(TxnWitB,$O1782)),""))</f>
        <v/>
      </c>
      <c r="K1782" s="27">
        <f>IF($B1782="","",IF($K1781="",$C$10,$K1781)+IF($I1782="",0,$I1782)-IF($J1782="",0,$J1782))</f>
        <v/>
      </c>
      <c r="L1782" s="28">
        <f>IF($N1782&lt;&gt;"",IF(INDEX(PCNotes,$N1782)="","—",INDEX(PCNotes,$N1782)),IF($O1782&lt;&gt;"",IF(INDEX(LdgNoteB,$O1782)="","—",INDEX(LdgNoteB,$O1782)),""))</f>
        <v/>
      </c>
      <c r="N1782">
        <f>IFERROR(MATCH($C$5&amp;"|"&amp;RIGHT("000000"&amp;1766,6),LdgRankKeyA,0),"")</f>
        <v/>
      </c>
      <c r="O1782">
        <f>IFERROR(MATCH($C$5&amp;"|"&amp;RIGHT("000000"&amp;1766,6),LdgRankKeyB,0),"")</f>
        <v/>
      </c>
    </row>
    <row r="1783">
      <c r="A1783" s="17" t="n">
        <v>1767</v>
      </c>
      <c r="B1783" s="18">
        <f>IF(AND($N1783="",$O1783=""),"",IF($N1783&lt;&gt;"",INDEX(PCNormDate,$N1783),INDEX(LdgDateB,$O1783)))</f>
        <v/>
      </c>
      <c r="C1783" s="18">
        <f>IF($N1783&lt;&gt;"",INDEX(PCOp,$N1783),IF($O1783&lt;&gt;"",IF(N(INDEX(TxnDepB,$O1783))&gt;0,"دریافت بانکی","پرداخت بانکی"),""))</f>
        <v/>
      </c>
      <c r="D1783" s="18">
        <f>IF($N1783&lt;&gt;"",IF(INDEX(PCDoc,$N1783)="","—",INDEX(PCDoc,$N1783)),IF($O1783&lt;&gt;"",INDEX(LdgBankB,$O1783),""))</f>
        <v/>
      </c>
      <c r="E1783" s="18">
        <f>IF($N1783&lt;&gt;"",IF(INDEX(PCCitrus,$N1783)="","—",INDEX(PCCitrus,$N1783)),"")</f>
        <v/>
      </c>
      <c r="F1783" s="19">
        <f>IF($N1783&lt;&gt;"",IF(INDEX(PCScale,$N1783)=0,"",INDEX(PCScale,$N1783)),"")</f>
        <v/>
      </c>
      <c r="G1783" s="19">
        <f>IF($N1783&lt;&gt;"",IF(INDEX(PCBaskets,$N1783)=0,"",INDEX(PCBaskets,$N1783)),"")</f>
        <v/>
      </c>
      <c r="H1783" s="20">
        <f>IF($N1783&lt;&gt;"",IF(INDEX(PCNet,$N1783)=0,"",INDEX(PCNet,$N1783)),"")</f>
        <v/>
      </c>
      <c r="I1783" s="19">
        <f>IF($N1783&lt;&gt;"",IF(INDEX(PCOp,$N1783)="مرجوعی خرید","",IF(INDEX(PCAmount,$N1783)&lt;=0,"",INDEX(PCAmount,$N1783))),IF($O1783&lt;&gt;"",IF(INDEX(TxnDepB,$O1783)=0,"",INDEX(TxnDepB,$O1783)),""))</f>
        <v/>
      </c>
      <c r="J1783" s="19">
        <f>IF($N1783&lt;&gt;"",IF(INDEX(PCOp,$N1783)="مرجوعی خرید",IF(INDEX(PCAmount,$N1783)=0,"",-INDEX(PCAmount,$N1783)),""),IF($O1783&lt;&gt;"",IF(INDEX(TxnWitB,$O1783)=0,"",INDEX(TxnWitB,$O1783)),""))</f>
        <v/>
      </c>
      <c r="K1783" s="21">
        <f>IF($B1783="","",IF($K1782="",$C$10,$K1782)+IF($I1783="",0,$I1783)-IF($J1783="",0,$J1783))</f>
        <v/>
      </c>
      <c r="L1783" s="22">
        <f>IF($N1783&lt;&gt;"",IF(INDEX(PCNotes,$N1783)="","—",INDEX(PCNotes,$N1783)),IF($O1783&lt;&gt;"",IF(INDEX(LdgNoteB,$O1783)="","—",INDEX(LdgNoteB,$O1783)),""))</f>
        <v/>
      </c>
      <c r="N1783">
        <f>IFERROR(MATCH($C$5&amp;"|"&amp;RIGHT("000000"&amp;1767,6),LdgRankKeyA,0),"")</f>
        <v/>
      </c>
      <c r="O1783">
        <f>IFERROR(MATCH($C$5&amp;"|"&amp;RIGHT("000000"&amp;1767,6),LdgRankKeyB,0),"")</f>
        <v/>
      </c>
    </row>
    <row r="1784">
      <c r="A1784" s="23" t="n">
        <v>1768</v>
      </c>
      <c r="B1784" s="24">
        <f>IF(AND($N1784="",$O1784=""),"",IF($N1784&lt;&gt;"",INDEX(PCNormDate,$N1784),INDEX(LdgDateB,$O1784)))</f>
        <v/>
      </c>
      <c r="C1784" s="24">
        <f>IF($N1784&lt;&gt;"",INDEX(PCOp,$N1784),IF($O1784&lt;&gt;"",IF(N(INDEX(TxnDepB,$O1784))&gt;0,"دریافت بانکی","پرداخت بانکی"),""))</f>
        <v/>
      </c>
      <c r="D1784" s="24">
        <f>IF($N1784&lt;&gt;"",IF(INDEX(PCDoc,$N1784)="","—",INDEX(PCDoc,$N1784)),IF($O1784&lt;&gt;"",INDEX(LdgBankB,$O1784),""))</f>
        <v/>
      </c>
      <c r="E1784" s="24">
        <f>IF($N1784&lt;&gt;"",IF(INDEX(PCCitrus,$N1784)="","—",INDEX(PCCitrus,$N1784)),"")</f>
        <v/>
      </c>
      <c r="F1784" s="25">
        <f>IF($N1784&lt;&gt;"",IF(INDEX(PCScale,$N1784)=0,"",INDEX(PCScale,$N1784)),"")</f>
        <v/>
      </c>
      <c r="G1784" s="25">
        <f>IF($N1784&lt;&gt;"",IF(INDEX(PCBaskets,$N1784)=0,"",INDEX(PCBaskets,$N1784)),"")</f>
        <v/>
      </c>
      <c r="H1784" s="26">
        <f>IF($N1784&lt;&gt;"",IF(INDEX(PCNet,$N1784)=0,"",INDEX(PCNet,$N1784)),"")</f>
        <v/>
      </c>
      <c r="I1784" s="25">
        <f>IF($N1784&lt;&gt;"",IF(INDEX(PCOp,$N1784)="مرجوعی خرید","",IF(INDEX(PCAmount,$N1784)&lt;=0,"",INDEX(PCAmount,$N1784))),IF($O1784&lt;&gt;"",IF(INDEX(TxnDepB,$O1784)=0,"",INDEX(TxnDepB,$O1784)),""))</f>
        <v/>
      </c>
      <c r="J1784" s="25">
        <f>IF($N1784&lt;&gt;"",IF(INDEX(PCOp,$N1784)="مرجوعی خرید",IF(INDEX(PCAmount,$N1784)=0,"",-INDEX(PCAmount,$N1784)),""),IF($O1784&lt;&gt;"",IF(INDEX(TxnWitB,$O1784)=0,"",INDEX(TxnWitB,$O1784)),""))</f>
        <v/>
      </c>
      <c r="K1784" s="27">
        <f>IF($B1784="","",IF($K1783="",$C$10,$K1783)+IF($I1784="",0,$I1784)-IF($J1784="",0,$J1784))</f>
        <v/>
      </c>
      <c r="L1784" s="28">
        <f>IF($N1784&lt;&gt;"",IF(INDEX(PCNotes,$N1784)="","—",INDEX(PCNotes,$N1784)),IF($O1784&lt;&gt;"",IF(INDEX(LdgNoteB,$O1784)="","—",INDEX(LdgNoteB,$O1784)),""))</f>
        <v/>
      </c>
      <c r="N1784">
        <f>IFERROR(MATCH($C$5&amp;"|"&amp;RIGHT("000000"&amp;1768,6),LdgRankKeyA,0),"")</f>
        <v/>
      </c>
      <c r="O1784">
        <f>IFERROR(MATCH($C$5&amp;"|"&amp;RIGHT("000000"&amp;1768,6),LdgRankKeyB,0),"")</f>
        <v/>
      </c>
    </row>
    <row r="1785">
      <c r="A1785" s="17" t="n">
        <v>1769</v>
      </c>
      <c r="B1785" s="18">
        <f>IF(AND($N1785="",$O1785=""),"",IF($N1785&lt;&gt;"",INDEX(PCNormDate,$N1785),INDEX(LdgDateB,$O1785)))</f>
        <v/>
      </c>
      <c r="C1785" s="18">
        <f>IF($N1785&lt;&gt;"",INDEX(PCOp,$N1785),IF($O1785&lt;&gt;"",IF(N(INDEX(TxnDepB,$O1785))&gt;0,"دریافت بانکی","پرداخت بانکی"),""))</f>
        <v/>
      </c>
      <c r="D1785" s="18">
        <f>IF($N1785&lt;&gt;"",IF(INDEX(PCDoc,$N1785)="","—",INDEX(PCDoc,$N1785)),IF($O1785&lt;&gt;"",INDEX(LdgBankB,$O1785),""))</f>
        <v/>
      </c>
      <c r="E1785" s="18">
        <f>IF($N1785&lt;&gt;"",IF(INDEX(PCCitrus,$N1785)="","—",INDEX(PCCitrus,$N1785)),"")</f>
        <v/>
      </c>
      <c r="F1785" s="19">
        <f>IF($N1785&lt;&gt;"",IF(INDEX(PCScale,$N1785)=0,"",INDEX(PCScale,$N1785)),"")</f>
        <v/>
      </c>
      <c r="G1785" s="19">
        <f>IF($N1785&lt;&gt;"",IF(INDEX(PCBaskets,$N1785)=0,"",INDEX(PCBaskets,$N1785)),"")</f>
        <v/>
      </c>
      <c r="H1785" s="20">
        <f>IF($N1785&lt;&gt;"",IF(INDEX(PCNet,$N1785)=0,"",INDEX(PCNet,$N1785)),"")</f>
        <v/>
      </c>
      <c r="I1785" s="19">
        <f>IF($N1785&lt;&gt;"",IF(INDEX(PCOp,$N1785)="مرجوعی خرید","",IF(INDEX(PCAmount,$N1785)&lt;=0,"",INDEX(PCAmount,$N1785))),IF($O1785&lt;&gt;"",IF(INDEX(TxnDepB,$O1785)=0,"",INDEX(TxnDepB,$O1785)),""))</f>
        <v/>
      </c>
      <c r="J1785" s="19">
        <f>IF($N1785&lt;&gt;"",IF(INDEX(PCOp,$N1785)="مرجوعی خرید",IF(INDEX(PCAmount,$N1785)=0,"",-INDEX(PCAmount,$N1785)),""),IF($O1785&lt;&gt;"",IF(INDEX(TxnWitB,$O1785)=0,"",INDEX(TxnWitB,$O1785)),""))</f>
        <v/>
      </c>
      <c r="K1785" s="21">
        <f>IF($B1785="","",IF($K1784="",$C$10,$K1784)+IF($I1785="",0,$I1785)-IF($J1785="",0,$J1785))</f>
        <v/>
      </c>
      <c r="L1785" s="22">
        <f>IF($N1785&lt;&gt;"",IF(INDEX(PCNotes,$N1785)="","—",INDEX(PCNotes,$N1785)),IF($O1785&lt;&gt;"",IF(INDEX(LdgNoteB,$O1785)="","—",INDEX(LdgNoteB,$O1785)),""))</f>
        <v/>
      </c>
      <c r="N1785">
        <f>IFERROR(MATCH($C$5&amp;"|"&amp;RIGHT("000000"&amp;1769,6),LdgRankKeyA,0),"")</f>
        <v/>
      </c>
      <c r="O1785">
        <f>IFERROR(MATCH($C$5&amp;"|"&amp;RIGHT("000000"&amp;1769,6),LdgRankKeyB,0),"")</f>
        <v/>
      </c>
    </row>
    <row r="1786">
      <c r="A1786" s="23" t="n">
        <v>1770</v>
      </c>
      <c r="B1786" s="24">
        <f>IF(AND($N1786="",$O1786=""),"",IF($N1786&lt;&gt;"",INDEX(PCNormDate,$N1786),INDEX(LdgDateB,$O1786)))</f>
        <v/>
      </c>
      <c r="C1786" s="24">
        <f>IF($N1786&lt;&gt;"",INDEX(PCOp,$N1786),IF($O1786&lt;&gt;"",IF(N(INDEX(TxnDepB,$O1786))&gt;0,"دریافت بانکی","پرداخت بانکی"),""))</f>
        <v/>
      </c>
      <c r="D1786" s="24">
        <f>IF($N1786&lt;&gt;"",IF(INDEX(PCDoc,$N1786)="","—",INDEX(PCDoc,$N1786)),IF($O1786&lt;&gt;"",INDEX(LdgBankB,$O1786),""))</f>
        <v/>
      </c>
      <c r="E1786" s="24">
        <f>IF($N1786&lt;&gt;"",IF(INDEX(PCCitrus,$N1786)="","—",INDEX(PCCitrus,$N1786)),"")</f>
        <v/>
      </c>
      <c r="F1786" s="25">
        <f>IF($N1786&lt;&gt;"",IF(INDEX(PCScale,$N1786)=0,"",INDEX(PCScale,$N1786)),"")</f>
        <v/>
      </c>
      <c r="G1786" s="25">
        <f>IF($N1786&lt;&gt;"",IF(INDEX(PCBaskets,$N1786)=0,"",INDEX(PCBaskets,$N1786)),"")</f>
        <v/>
      </c>
      <c r="H1786" s="26">
        <f>IF($N1786&lt;&gt;"",IF(INDEX(PCNet,$N1786)=0,"",INDEX(PCNet,$N1786)),"")</f>
        <v/>
      </c>
      <c r="I1786" s="25">
        <f>IF($N1786&lt;&gt;"",IF(INDEX(PCOp,$N1786)="مرجوعی خرید","",IF(INDEX(PCAmount,$N1786)&lt;=0,"",INDEX(PCAmount,$N1786))),IF($O1786&lt;&gt;"",IF(INDEX(TxnDepB,$O1786)=0,"",INDEX(TxnDepB,$O1786)),""))</f>
        <v/>
      </c>
      <c r="J1786" s="25">
        <f>IF($N1786&lt;&gt;"",IF(INDEX(PCOp,$N1786)="مرجوعی خرید",IF(INDEX(PCAmount,$N1786)=0,"",-INDEX(PCAmount,$N1786)),""),IF($O1786&lt;&gt;"",IF(INDEX(TxnWitB,$O1786)=0,"",INDEX(TxnWitB,$O1786)),""))</f>
        <v/>
      </c>
      <c r="K1786" s="27">
        <f>IF($B1786="","",IF($K1785="",$C$10,$K1785)+IF($I1786="",0,$I1786)-IF($J1786="",0,$J1786))</f>
        <v/>
      </c>
      <c r="L1786" s="28">
        <f>IF($N1786&lt;&gt;"",IF(INDEX(PCNotes,$N1786)="","—",INDEX(PCNotes,$N1786)),IF($O1786&lt;&gt;"",IF(INDEX(LdgNoteB,$O1786)="","—",INDEX(LdgNoteB,$O1786)),""))</f>
        <v/>
      </c>
      <c r="N1786">
        <f>IFERROR(MATCH($C$5&amp;"|"&amp;RIGHT("000000"&amp;1770,6),LdgRankKeyA,0),"")</f>
        <v/>
      </c>
      <c r="O1786">
        <f>IFERROR(MATCH($C$5&amp;"|"&amp;RIGHT("000000"&amp;1770,6),LdgRankKeyB,0),"")</f>
        <v/>
      </c>
    </row>
    <row r="1787">
      <c r="A1787" s="17" t="n">
        <v>1771</v>
      </c>
      <c r="B1787" s="18">
        <f>IF(AND($N1787="",$O1787=""),"",IF($N1787&lt;&gt;"",INDEX(PCNormDate,$N1787),INDEX(LdgDateB,$O1787)))</f>
        <v/>
      </c>
      <c r="C1787" s="18">
        <f>IF($N1787&lt;&gt;"",INDEX(PCOp,$N1787),IF($O1787&lt;&gt;"",IF(N(INDEX(TxnDepB,$O1787))&gt;0,"دریافت بانکی","پرداخت بانکی"),""))</f>
        <v/>
      </c>
      <c r="D1787" s="18">
        <f>IF($N1787&lt;&gt;"",IF(INDEX(PCDoc,$N1787)="","—",INDEX(PCDoc,$N1787)),IF($O1787&lt;&gt;"",INDEX(LdgBankB,$O1787),""))</f>
        <v/>
      </c>
      <c r="E1787" s="18">
        <f>IF($N1787&lt;&gt;"",IF(INDEX(PCCitrus,$N1787)="","—",INDEX(PCCitrus,$N1787)),"")</f>
        <v/>
      </c>
      <c r="F1787" s="19">
        <f>IF($N1787&lt;&gt;"",IF(INDEX(PCScale,$N1787)=0,"",INDEX(PCScale,$N1787)),"")</f>
        <v/>
      </c>
      <c r="G1787" s="19">
        <f>IF($N1787&lt;&gt;"",IF(INDEX(PCBaskets,$N1787)=0,"",INDEX(PCBaskets,$N1787)),"")</f>
        <v/>
      </c>
      <c r="H1787" s="20">
        <f>IF($N1787&lt;&gt;"",IF(INDEX(PCNet,$N1787)=0,"",INDEX(PCNet,$N1787)),"")</f>
        <v/>
      </c>
      <c r="I1787" s="19">
        <f>IF($N1787&lt;&gt;"",IF(INDEX(PCOp,$N1787)="مرجوعی خرید","",IF(INDEX(PCAmount,$N1787)&lt;=0,"",INDEX(PCAmount,$N1787))),IF($O1787&lt;&gt;"",IF(INDEX(TxnDepB,$O1787)=0,"",INDEX(TxnDepB,$O1787)),""))</f>
        <v/>
      </c>
      <c r="J1787" s="19">
        <f>IF($N1787&lt;&gt;"",IF(INDEX(PCOp,$N1787)="مرجوعی خرید",IF(INDEX(PCAmount,$N1787)=0,"",-INDEX(PCAmount,$N1787)),""),IF($O1787&lt;&gt;"",IF(INDEX(TxnWitB,$O1787)=0,"",INDEX(TxnWitB,$O1787)),""))</f>
        <v/>
      </c>
      <c r="K1787" s="21">
        <f>IF($B1787="","",IF($K1786="",$C$10,$K1786)+IF($I1787="",0,$I1787)-IF($J1787="",0,$J1787))</f>
        <v/>
      </c>
      <c r="L1787" s="22">
        <f>IF($N1787&lt;&gt;"",IF(INDEX(PCNotes,$N1787)="","—",INDEX(PCNotes,$N1787)),IF($O1787&lt;&gt;"",IF(INDEX(LdgNoteB,$O1787)="","—",INDEX(LdgNoteB,$O1787)),""))</f>
        <v/>
      </c>
      <c r="N1787">
        <f>IFERROR(MATCH($C$5&amp;"|"&amp;RIGHT("000000"&amp;1771,6),LdgRankKeyA,0),"")</f>
        <v/>
      </c>
      <c r="O1787">
        <f>IFERROR(MATCH($C$5&amp;"|"&amp;RIGHT("000000"&amp;1771,6),LdgRankKeyB,0),"")</f>
        <v/>
      </c>
    </row>
    <row r="1788">
      <c r="A1788" s="23" t="n">
        <v>1772</v>
      </c>
      <c r="B1788" s="24">
        <f>IF(AND($N1788="",$O1788=""),"",IF($N1788&lt;&gt;"",INDEX(PCNormDate,$N1788),INDEX(LdgDateB,$O1788)))</f>
        <v/>
      </c>
      <c r="C1788" s="24">
        <f>IF($N1788&lt;&gt;"",INDEX(PCOp,$N1788),IF($O1788&lt;&gt;"",IF(N(INDEX(TxnDepB,$O1788))&gt;0,"دریافت بانکی","پرداخت بانکی"),""))</f>
        <v/>
      </c>
      <c r="D1788" s="24">
        <f>IF($N1788&lt;&gt;"",IF(INDEX(PCDoc,$N1788)="","—",INDEX(PCDoc,$N1788)),IF($O1788&lt;&gt;"",INDEX(LdgBankB,$O1788),""))</f>
        <v/>
      </c>
      <c r="E1788" s="24">
        <f>IF($N1788&lt;&gt;"",IF(INDEX(PCCitrus,$N1788)="","—",INDEX(PCCitrus,$N1788)),"")</f>
        <v/>
      </c>
      <c r="F1788" s="25">
        <f>IF($N1788&lt;&gt;"",IF(INDEX(PCScale,$N1788)=0,"",INDEX(PCScale,$N1788)),"")</f>
        <v/>
      </c>
      <c r="G1788" s="25">
        <f>IF($N1788&lt;&gt;"",IF(INDEX(PCBaskets,$N1788)=0,"",INDEX(PCBaskets,$N1788)),"")</f>
        <v/>
      </c>
      <c r="H1788" s="26">
        <f>IF($N1788&lt;&gt;"",IF(INDEX(PCNet,$N1788)=0,"",INDEX(PCNet,$N1788)),"")</f>
        <v/>
      </c>
      <c r="I1788" s="25">
        <f>IF($N1788&lt;&gt;"",IF(INDEX(PCOp,$N1788)="مرجوعی خرید","",IF(INDEX(PCAmount,$N1788)&lt;=0,"",INDEX(PCAmount,$N1788))),IF($O1788&lt;&gt;"",IF(INDEX(TxnDepB,$O1788)=0,"",INDEX(TxnDepB,$O1788)),""))</f>
        <v/>
      </c>
      <c r="J1788" s="25">
        <f>IF($N1788&lt;&gt;"",IF(INDEX(PCOp,$N1788)="مرجوعی خرید",IF(INDEX(PCAmount,$N1788)=0,"",-INDEX(PCAmount,$N1788)),""),IF($O1788&lt;&gt;"",IF(INDEX(TxnWitB,$O1788)=0,"",INDEX(TxnWitB,$O1788)),""))</f>
        <v/>
      </c>
      <c r="K1788" s="27">
        <f>IF($B1788="","",IF($K1787="",$C$10,$K1787)+IF($I1788="",0,$I1788)-IF($J1788="",0,$J1788))</f>
        <v/>
      </c>
      <c r="L1788" s="28">
        <f>IF($N1788&lt;&gt;"",IF(INDEX(PCNotes,$N1788)="","—",INDEX(PCNotes,$N1788)),IF($O1788&lt;&gt;"",IF(INDEX(LdgNoteB,$O1788)="","—",INDEX(LdgNoteB,$O1788)),""))</f>
        <v/>
      </c>
      <c r="N1788">
        <f>IFERROR(MATCH($C$5&amp;"|"&amp;RIGHT("000000"&amp;1772,6),LdgRankKeyA,0),"")</f>
        <v/>
      </c>
      <c r="O1788">
        <f>IFERROR(MATCH($C$5&amp;"|"&amp;RIGHT("000000"&amp;1772,6),LdgRankKeyB,0),"")</f>
        <v/>
      </c>
    </row>
    <row r="1789">
      <c r="A1789" s="17" t="n">
        <v>1773</v>
      </c>
      <c r="B1789" s="18">
        <f>IF(AND($N1789="",$O1789=""),"",IF($N1789&lt;&gt;"",INDEX(PCNormDate,$N1789),INDEX(LdgDateB,$O1789)))</f>
        <v/>
      </c>
      <c r="C1789" s="18">
        <f>IF($N1789&lt;&gt;"",INDEX(PCOp,$N1789),IF($O1789&lt;&gt;"",IF(N(INDEX(TxnDepB,$O1789))&gt;0,"دریافت بانکی","پرداخت بانکی"),""))</f>
        <v/>
      </c>
      <c r="D1789" s="18">
        <f>IF($N1789&lt;&gt;"",IF(INDEX(PCDoc,$N1789)="","—",INDEX(PCDoc,$N1789)),IF($O1789&lt;&gt;"",INDEX(LdgBankB,$O1789),""))</f>
        <v/>
      </c>
      <c r="E1789" s="18">
        <f>IF($N1789&lt;&gt;"",IF(INDEX(PCCitrus,$N1789)="","—",INDEX(PCCitrus,$N1789)),"")</f>
        <v/>
      </c>
      <c r="F1789" s="19">
        <f>IF($N1789&lt;&gt;"",IF(INDEX(PCScale,$N1789)=0,"",INDEX(PCScale,$N1789)),"")</f>
        <v/>
      </c>
      <c r="G1789" s="19">
        <f>IF($N1789&lt;&gt;"",IF(INDEX(PCBaskets,$N1789)=0,"",INDEX(PCBaskets,$N1789)),"")</f>
        <v/>
      </c>
      <c r="H1789" s="20">
        <f>IF($N1789&lt;&gt;"",IF(INDEX(PCNet,$N1789)=0,"",INDEX(PCNet,$N1789)),"")</f>
        <v/>
      </c>
      <c r="I1789" s="19">
        <f>IF($N1789&lt;&gt;"",IF(INDEX(PCOp,$N1789)="مرجوعی خرید","",IF(INDEX(PCAmount,$N1789)&lt;=0,"",INDEX(PCAmount,$N1789))),IF($O1789&lt;&gt;"",IF(INDEX(TxnDepB,$O1789)=0,"",INDEX(TxnDepB,$O1789)),""))</f>
        <v/>
      </c>
      <c r="J1789" s="19">
        <f>IF($N1789&lt;&gt;"",IF(INDEX(PCOp,$N1789)="مرجوعی خرید",IF(INDEX(PCAmount,$N1789)=0,"",-INDEX(PCAmount,$N1789)),""),IF($O1789&lt;&gt;"",IF(INDEX(TxnWitB,$O1789)=0,"",INDEX(TxnWitB,$O1789)),""))</f>
        <v/>
      </c>
      <c r="K1789" s="21">
        <f>IF($B1789="","",IF($K1788="",$C$10,$K1788)+IF($I1789="",0,$I1789)-IF($J1789="",0,$J1789))</f>
        <v/>
      </c>
      <c r="L1789" s="22">
        <f>IF($N1789&lt;&gt;"",IF(INDEX(PCNotes,$N1789)="","—",INDEX(PCNotes,$N1789)),IF($O1789&lt;&gt;"",IF(INDEX(LdgNoteB,$O1789)="","—",INDEX(LdgNoteB,$O1789)),""))</f>
        <v/>
      </c>
      <c r="N1789">
        <f>IFERROR(MATCH($C$5&amp;"|"&amp;RIGHT("000000"&amp;1773,6),LdgRankKeyA,0),"")</f>
        <v/>
      </c>
      <c r="O1789">
        <f>IFERROR(MATCH($C$5&amp;"|"&amp;RIGHT("000000"&amp;1773,6),LdgRankKeyB,0),"")</f>
        <v/>
      </c>
    </row>
    <row r="1790">
      <c r="A1790" s="23" t="n">
        <v>1774</v>
      </c>
      <c r="B1790" s="24">
        <f>IF(AND($N1790="",$O1790=""),"",IF($N1790&lt;&gt;"",INDEX(PCNormDate,$N1790),INDEX(LdgDateB,$O1790)))</f>
        <v/>
      </c>
      <c r="C1790" s="24">
        <f>IF($N1790&lt;&gt;"",INDEX(PCOp,$N1790),IF($O1790&lt;&gt;"",IF(N(INDEX(TxnDepB,$O1790))&gt;0,"دریافت بانکی","پرداخت بانکی"),""))</f>
        <v/>
      </c>
      <c r="D1790" s="24">
        <f>IF($N1790&lt;&gt;"",IF(INDEX(PCDoc,$N1790)="","—",INDEX(PCDoc,$N1790)),IF($O1790&lt;&gt;"",INDEX(LdgBankB,$O1790),""))</f>
        <v/>
      </c>
      <c r="E1790" s="24">
        <f>IF($N1790&lt;&gt;"",IF(INDEX(PCCitrus,$N1790)="","—",INDEX(PCCitrus,$N1790)),"")</f>
        <v/>
      </c>
      <c r="F1790" s="25">
        <f>IF($N1790&lt;&gt;"",IF(INDEX(PCScale,$N1790)=0,"",INDEX(PCScale,$N1790)),"")</f>
        <v/>
      </c>
      <c r="G1790" s="25">
        <f>IF($N1790&lt;&gt;"",IF(INDEX(PCBaskets,$N1790)=0,"",INDEX(PCBaskets,$N1790)),"")</f>
        <v/>
      </c>
      <c r="H1790" s="26">
        <f>IF($N1790&lt;&gt;"",IF(INDEX(PCNet,$N1790)=0,"",INDEX(PCNet,$N1790)),"")</f>
        <v/>
      </c>
      <c r="I1790" s="25">
        <f>IF($N1790&lt;&gt;"",IF(INDEX(PCOp,$N1790)="مرجوعی خرید","",IF(INDEX(PCAmount,$N1790)&lt;=0,"",INDEX(PCAmount,$N1790))),IF($O1790&lt;&gt;"",IF(INDEX(TxnDepB,$O1790)=0,"",INDEX(TxnDepB,$O1790)),""))</f>
        <v/>
      </c>
      <c r="J1790" s="25">
        <f>IF($N1790&lt;&gt;"",IF(INDEX(PCOp,$N1790)="مرجوعی خرید",IF(INDEX(PCAmount,$N1790)=0,"",-INDEX(PCAmount,$N1790)),""),IF($O1790&lt;&gt;"",IF(INDEX(TxnWitB,$O1790)=0,"",INDEX(TxnWitB,$O1790)),""))</f>
        <v/>
      </c>
      <c r="K1790" s="27">
        <f>IF($B1790="","",IF($K1789="",$C$10,$K1789)+IF($I1790="",0,$I1790)-IF($J1790="",0,$J1790))</f>
        <v/>
      </c>
      <c r="L1790" s="28">
        <f>IF($N1790&lt;&gt;"",IF(INDEX(PCNotes,$N1790)="","—",INDEX(PCNotes,$N1790)),IF($O1790&lt;&gt;"",IF(INDEX(LdgNoteB,$O1790)="","—",INDEX(LdgNoteB,$O1790)),""))</f>
        <v/>
      </c>
      <c r="N1790">
        <f>IFERROR(MATCH($C$5&amp;"|"&amp;RIGHT("000000"&amp;1774,6),LdgRankKeyA,0),"")</f>
        <v/>
      </c>
      <c r="O1790">
        <f>IFERROR(MATCH($C$5&amp;"|"&amp;RIGHT("000000"&amp;1774,6),LdgRankKeyB,0),"")</f>
        <v/>
      </c>
    </row>
    <row r="1791">
      <c r="A1791" s="17" t="n">
        <v>1775</v>
      </c>
      <c r="B1791" s="18">
        <f>IF(AND($N1791="",$O1791=""),"",IF($N1791&lt;&gt;"",INDEX(PCNormDate,$N1791),INDEX(LdgDateB,$O1791)))</f>
        <v/>
      </c>
      <c r="C1791" s="18">
        <f>IF($N1791&lt;&gt;"",INDEX(PCOp,$N1791),IF($O1791&lt;&gt;"",IF(N(INDEX(TxnDepB,$O1791))&gt;0,"دریافت بانکی","پرداخت بانکی"),""))</f>
        <v/>
      </c>
      <c r="D1791" s="18">
        <f>IF($N1791&lt;&gt;"",IF(INDEX(PCDoc,$N1791)="","—",INDEX(PCDoc,$N1791)),IF($O1791&lt;&gt;"",INDEX(LdgBankB,$O1791),""))</f>
        <v/>
      </c>
      <c r="E1791" s="18">
        <f>IF($N1791&lt;&gt;"",IF(INDEX(PCCitrus,$N1791)="","—",INDEX(PCCitrus,$N1791)),"")</f>
        <v/>
      </c>
      <c r="F1791" s="19">
        <f>IF($N1791&lt;&gt;"",IF(INDEX(PCScale,$N1791)=0,"",INDEX(PCScale,$N1791)),"")</f>
        <v/>
      </c>
      <c r="G1791" s="19">
        <f>IF($N1791&lt;&gt;"",IF(INDEX(PCBaskets,$N1791)=0,"",INDEX(PCBaskets,$N1791)),"")</f>
        <v/>
      </c>
      <c r="H1791" s="20">
        <f>IF($N1791&lt;&gt;"",IF(INDEX(PCNet,$N1791)=0,"",INDEX(PCNet,$N1791)),"")</f>
        <v/>
      </c>
      <c r="I1791" s="19">
        <f>IF($N1791&lt;&gt;"",IF(INDEX(PCOp,$N1791)="مرجوعی خرید","",IF(INDEX(PCAmount,$N1791)&lt;=0,"",INDEX(PCAmount,$N1791))),IF($O1791&lt;&gt;"",IF(INDEX(TxnDepB,$O1791)=0,"",INDEX(TxnDepB,$O1791)),""))</f>
        <v/>
      </c>
      <c r="J1791" s="19">
        <f>IF($N1791&lt;&gt;"",IF(INDEX(PCOp,$N1791)="مرجوعی خرید",IF(INDEX(PCAmount,$N1791)=0,"",-INDEX(PCAmount,$N1791)),""),IF($O1791&lt;&gt;"",IF(INDEX(TxnWitB,$O1791)=0,"",INDEX(TxnWitB,$O1791)),""))</f>
        <v/>
      </c>
      <c r="K1791" s="21">
        <f>IF($B1791="","",IF($K1790="",$C$10,$K1790)+IF($I1791="",0,$I1791)-IF($J1791="",0,$J1791))</f>
        <v/>
      </c>
      <c r="L1791" s="22">
        <f>IF($N1791&lt;&gt;"",IF(INDEX(PCNotes,$N1791)="","—",INDEX(PCNotes,$N1791)),IF($O1791&lt;&gt;"",IF(INDEX(LdgNoteB,$O1791)="","—",INDEX(LdgNoteB,$O1791)),""))</f>
        <v/>
      </c>
      <c r="N1791">
        <f>IFERROR(MATCH($C$5&amp;"|"&amp;RIGHT("000000"&amp;1775,6),LdgRankKeyA,0),"")</f>
        <v/>
      </c>
      <c r="O1791">
        <f>IFERROR(MATCH($C$5&amp;"|"&amp;RIGHT("000000"&amp;1775,6),LdgRankKeyB,0),"")</f>
        <v/>
      </c>
    </row>
    <row r="1792">
      <c r="A1792" s="23" t="n">
        <v>1776</v>
      </c>
      <c r="B1792" s="24">
        <f>IF(AND($N1792="",$O1792=""),"",IF($N1792&lt;&gt;"",INDEX(PCNormDate,$N1792),INDEX(LdgDateB,$O1792)))</f>
        <v/>
      </c>
      <c r="C1792" s="24">
        <f>IF($N1792&lt;&gt;"",INDEX(PCOp,$N1792),IF($O1792&lt;&gt;"",IF(N(INDEX(TxnDepB,$O1792))&gt;0,"دریافت بانکی","پرداخت بانکی"),""))</f>
        <v/>
      </c>
      <c r="D1792" s="24">
        <f>IF($N1792&lt;&gt;"",IF(INDEX(PCDoc,$N1792)="","—",INDEX(PCDoc,$N1792)),IF($O1792&lt;&gt;"",INDEX(LdgBankB,$O1792),""))</f>
        <v/>
      </c>
      <c r="E1792" s="24">
        <f>IF($N1792&lt;&gt;"",IF(INDEX(PCCitrus,$N1792)="","—",INDEX(PCCitrus,$N1792)),"")</f>
        <v/>
      </c>
      <c r="F1792" s="25">
        <f>IF($N1792&lt;&gt;"",IF(INDEX(PCScale,$N1792)=0,"",INDEX(PCScale,$N1792)),"")</f>
        <v/>
      </c>
      <c r="G1792" s="25">
        <f>IF($N1792&lt;&gt;"",IF(INDEX(PCBaskets,$N1792)=0,"",INDEX(PCBaskets,$N1792)),"")</f>
        <v/>
      </c>
      <c r="H1792" s="26">
        <f>IF($N1792&lt;&gt;"",IF(INDEX(PCNet,$N1792)=0,"",INDEX(PCNet,$N1792)),"")</f>
        <v/>
      </c>
      <c r="I1792" s="25">
        <f>IF($N1792&lt;&gt;"",IF(INDEX(PCOp,$N1792)="مرجوعی خرید","",IF(INDEX(PCAmount,$N1792)&lt;=0,"",INDEX(PCAmount,$N1792))),IF($O1792&lt;&gt;"",IF(INDEX(TxnDepB,$O1792)=0,"",INDEX(TxnDepB,$O1792)),""))</f>
        <v/>
      </c>
      <c r="J1792" s="25">
        <f>IF($N1792&lt;&gt;"",IF(INDEX(PCOp,$N1792)="مرجوعی خرید",IF(INDEX(PCAmount,$N1792)=0,"",-INDEX(PCAmount,$N1792)),""),IF($O1792&lt;&gt;"",IF(INDEX(TxnWitB,$O1792)=0,"",INDEX(TxnWitB,$O1792)),""))</f>
        <v/>
      </c>
      <c r="K1792" s="27">
        <f>IF($B1792="","",IF($K1791="",$C$10,$K1791)+IF($I1792="",0,$I1792)-IF($J1792="",0,$J1792))</f>
        <v/>
      </c>
      <c r="L1792" s="28">
        <f>IF($N1792&lt;&gt;"",IF(INDEX(PCNotes,$N1792)="","—",INDEX(PCNotes,$N1792)),IF($O1792&lt;&gt;"",IF(INDEX(LdgNoteB,$O1792)="","—",INDEX(LdgNoteB,$O1792)),""))</f>
        <v/>
      </c>
      <c r="N1792">
        <f>IFERROR(MATCH($C$5&amp;"|"&amp;RIGHT("000000"&amp;1776,6),LdgRankKeyA,0),"")</f>
        <v/>
      </c>
      <c r="O1792">
        <f>IFERROR(MATCH($C$5&amp;"|"&amp;RIGHT("000000"&amp;1776,6),LdgRankKeyB,0),"")</f>
        <v/>
      </c>
    </row>
    <row r="1793">
      <c r="A1793" s="17" t="n">
        <v>1777</v>
      </c>
      <c r="B1793" s="18">
        <f>IF(AND($N1793="",$O1793=""),"",IF($N1793&lt;&gt;"",INDEX(PCNormDate,$N1793),INDEX(LdgDateB,$O1793)))</f>
        <v/>
      </c>
      <c r="C1793" s="18">
        <f>IF($N1793&lt;&gt;"",INDEX(PCOp,$N1793),IF($O1793&lt;&gt;"",IF(N(INDEX(TxnDepB,$O1793))&gt;0,"دریافت بانکی","پرداخت بانکی"),""))</f>
        <v/>
      </c>
      <c r="D1793" s="18">
        <f>IF($N1793&lt;&gt;"",IF(INDEX(PCDoc,$N1793)="","—",INDEX(PCDoc,$N1793)),IF($O1793&lt;&gt;"",INDEX(LdgBankB,$O1793),""))</f>
        <v/>
      </c>
      <c r="E1793" s="18">
        <f>IF($N1793&lt;&gt;"",IF(INDEX(PCCitrus,$N1793)="","—",INDEX(PCCitrus,$N1793)),"")</f>
        <v/>
      </c>
      <c r="F1793" s="19">
        <f>IF($N1793&lt;&gt;"",IF(INDEX(PCScale,$N1793)=0,"",INDEX(PCScale,$N1793)),"")</f>
        <v/>
      </c>
      <c r="G1793" s="19">
        <f>IF($N1793&lt;&gt;"",IF(INDEX(PCBaskets,$N1793)=0,"",INDEX(PCBaskets,$N1793)),"")</f>
        <v/>
      </c>
      <c r="H1793" s="20">
        <f>IF($N1793&lt;&gt;"",IF(INDEX(PCNet,$N1793)=0,"",INDEX(PCNet,$N1793)),"")</f>
        <v/>
      </c>
      <c r="I1793" s="19">
        <f>IF($N1793&lt;&gt;"",IF(INDEX(PCOp,$N1793)="مرجوعی خرید","",IF(INDEX(PCAmount,$N1793)&lt;=0,"",INDEX(PCAmount,$N1793))),IF($O1793&lt;&gt;"",IF(INDEX(TxnDepB,$O1793)=0,"",INDEX(TxnDepB,$O1793)),""))</f>
        <v/>
      </c>
      <c r="J1793" s="19">
        <f>IF($N1793&lt;&gt;"",IF(INDEX(PCOp,$N1793)="مرجوعی خرید",IF(INDEX(PCAmount,$N1793)=0,"",-INDEX(PCAmount,$N1793)),""),IF($O1793&lt;&gt;"",IF(INDEX(TxnWitB,$O1793)=0,"",INDEX(TxnWitB,$O1793)),""))</f>
        <v/>
      </c>
      <c r="K1793" s="21">
        <f>IF($B1793="","",IF($K1792="",$C$10,$K1792)+IF($I1793="",0,$I1793)-IF($J1793="",0,$J1793))</f>
        <v/>
      </c>
      <c r="L1793" s="22">
        <f>IF($N1793&lt;&gt;"",IF(INDEX(PCNotes,$N1793)="","—",INDEX(PCNotes,$N1793)),IF($O1793&lt;&gt;"",IF(INDEX(LdgNoteB,$O1793)="","—",INDEX(LdgNoteB,$O1793)),""))</f>
        <v/>
      </c>
      <c r="N1793">
        <f>IFERROR(MATCH($C$5&amp;"|"&amp;RIGHT("000000"&amp;1777,6),LdgRankKeyA,0),"")</f>
        <v/>
      </c>
      <c r="O1793">
        <f>IFERROR(MATCH($C$5&amp;"|"&amp;RIGHT("000000"&amp;1777,6),LdgRankKeyB,0),"")</f>
        <v/>
      </c>
    </row>
    <row r="1794">
      <c r="A1794" s="23" t="n">
        <v>1778</v>
      </c>
      <c r="B1794" s="24">
        <f>IF(AND($N1794="",$O1794=""),"",IF($N1794&lt;&gt;"",INDEX(PCNormDate,$N1794),INDEX(LdgDateB,$O1794)))</f>
        <v/>
      </c>
      <c r="C1794" s="24">
        <f>IF($N1794&lt;&gt;"",INDEX(PCOp,$N1794),IF($O1794&lt;&gt;"",IF(N(INDEX(TxnDepB,$O1794))&gt;0,"دریافت بانکی","پرداخت بانکی"),""))</f>
        <v/>
      </c>
      <c r="D1794" s="24">
        <f>IF($N1794&lt;&gt;"",IF(INDEX(PCDoc,$N1794)="","—",INDEX(PCDoc,$N1794)),IF($O1794&lt;&gt;"",INDEX(LdgBankB,$O1794),""))</f>
        <v/>
      </c>
      <c r="E1794" s="24">
        <f>IF($N1794&lt;&gt;"",IF(INDEX(PCCitrus,$N1794)="","—",INDEX(PCCitrus,$N1794)),"")</f>
        <v/>
      </c>
      <c r="F1794" s="25">
        <f>IF($N1794&lt;&gt;"",IF(INDEX(PCScale,$N1794)=0,"",INDEX(PCScale,$N1794)),"")</f>
        <v/>
      </c>
      <c r="G1794" s="25">
        <f>IF($N1794&lt;&gt;"",IF(INDEX(PCBaskets,$N1794)=0,"",INDEX(PCBaskets,$N1794)),"")</f>
        <v/>
      </c>
      <c r="H1794" s="26">
        <f>IF($N1794&lt;&gt;"",IF(INDEX(PCNet,$N1794)=0,"",INDEX(PCNet,$N1794)),"")</f>
        <v/>
      </c>
      <c r="I1794" s="25">
        <f>IF($N1794&lt;&gt;"",IF(INDEX(PCOp,$N1794)="مرجوعی خرید","",IF(INDEX(PCAmount,$N1794)&lt;=0,"",INDEX(PCAmount,$N1794))),IF($O1794&lt;&gt;"",IF(INDEX(TxnDepB,$O1794)=0,"",INDEX(TxnDepB,$O1794)),""))</f>
        <v/>
      </c>
      <c r="J1794" s="25">
        <f>IF($N1794&lt;&gt;"",IF(INDEX(PCOp,$N1794)="مرجوعی خرید",IF(INDEX(PCAmount,$N1794)=0,"",-INDEX(PCAmount,$N1794)),""),IF($O1794&lt;&gt;"",IF(INDEX(TxnWitB,$O1794)=0,"",INDEX(TxnWitB,$O1794)),""))</f>
        <v/>
      </c>
      <c r="K1794" s="27">
        <f>IF($B1794="","",IF($K1793="",$C$10,$K1793)+IF($I1794="",0,$I1794)-IF($J1794="",0,$J1794))</f>
        <v/>
      </c>
      <c r="L1794" s="28">
        <f>IF($N1794&lt;&gt;"",IF(INDEX(PCNotes,$N1794)="","—",INDEX(PCNotes,$N1794)),IF($O1794&lt;&gt;"",IF(INDEX(LdgNoteB,$O1794)="","—",INDEX(LdgNoteB,$O1794)),""))</f>
        <v/>
      </c>
      <c r="N1794">
        <f>IFERROR(MATCH($C$5&amp;"|"&amp;RIGHT("000000"&amp;1778,6),LdgRankKeyA,0),"")</f>
        <v/>
      </c>
      <c r="O1794">
        <f>IFERROR(MATCH($C$5&amp;"|"&amp;RIGHT("000000"&amp;1778,6),LdgRankKeyB,0),"")</f>
        <v/>
      </c>
    </row>
    <row r="1795">
      <c r="A1795" s="17" t="n">
        <v>1779</v>
      </c>
      <c r="B1795" s="18">
        <f>IF(AND($N1795="",$O1795=""),"",IF($N1795&lt;&gt;"",INDEX(PCNormDate,$N1795),INDEX(LdgDateB,$O1795)))</f>
        <v/>
      </c>
      <c r="C1795" s="18">
        <f>IF($N1795&lt;&gt;"",INDEX(PCOp,$N1795),IF($O1795&lt;&gt;"",IF(N(INDEX(TxnDepB,$O1795))&gt;0,"دریافت بانکی","پرداخت بانکی"),""))</f>
        <v/>
      </c>
      <c r="D1795" s="18">
        <f>IF($N1795&lt;&gt;"",IF(INDEX(PCDoc,$N1795)="","—",INDEX(PCDoc,$N1795)),IF($O1795&lt;&gt;"",INDEX(LdgBankB,$O1795),""))</f>
        <v/>
      </c>
      <c r="E1795" s="18">
        <f>IF($N1795&lt;&gt;"",IF(INDEX(PCCitrus,$N1795)="","—",INDEX(PCCitrus,$N1795)),"")</f>
        <v/>
      </c>
      <c r="F1795" s="19">
        <f>IF($N1795&lt;&gt;"",IF(INDEX(PCScale,$N1795)=0,"",INDEX(PCScale,$N1795)),"")</f>
        <v/>
      </c>
      <c r="G1795" s="19">
        <f>IF($N1795&lt;&gt;"",IF(INDEX(PCBaskets,$N1795)=0,"",INDEX(PCBaskets,$N1795)),"")</f>
        <v/>
      </c>
      <c r="H1795" s="20">
        <f>IF($N1795&lt;&gt;"",IF(INDEX(PCNet,$N1795)=0,"",INDEX(PCNet,$N1795)),"")</f>
        <v/>
      </c>
      <c r="I1795" s="19">
        <f>IF($N1795&lt;&gt;"",IF(INDEX(PCOp,$N1795)="مرجوعی خرید","",IF(INDEX(PCAmount,$N1795)&lt;=0,"",INDEX(PCAmount,$N1795))),IF($O1795&lt;&gt;"",IF(INDEX(TxnDepB,$O1795)=0,"",INDEX(TxnDepB,$O1795)),""))</f>
        <v/>
      </c>
      <c r="J1795" s="19">
        <f>IF($N1795&lt;&gt;"",IF(INDEX(PCOp,$N1795)="مرجوعی خرید",IF(INDEX(PCAmount,$N1795)=0,"",-INDEX(PCAmount,$N1795)),""),IF($O1795&lt;&gt;"",IF(INDEX(TxnWitB,$O1795)=0,"",INDEX(TxnWitB,$O1795)),""))</f>
        <v/>
      </c>
      <c r="K1795" s="21">
        <f>IF($B1795="","",IF($K1794="",$C$10,$K1794)+IF($I1795="",0,$I1795)-IF($J1795="",0,$J1795))</f>
        <v/>
      </c>
      <c r="L1795" s="22">
        <f>IF($N1795&lt;&gt;"",IF(INDEX(PCNotes,$N1795)="","—",INDEX(PCNotes,$N1795)),IF($O1795&lt;&gt;"",IF(INDEX(LdgNoteB,$O1795)="","—",INDEX(LdgNoteB,$O1795)),""))</f>
        <v/>
      </c>
      <c r="N1795">
        <f>IFERROR(MATCH($C$5&amp;"|"&amp;RIGHT("000000"&amp;1779,6),LdgRankKeyA,0),"")</f>
        <v/>
      </c>
      <c r="O1795">
        <f>IFERROR(MATCH($C$5&amp;"|"&amp;RIGHT("000000"&amp;1779,6),LdgRankKeyB,0),"")</f>
        <v/>
      </c>
    </row>
    <row r="1796">
      <c r="A1796" s="23" t="n">
        <v>1780</v>
      </c>
      <c r="B1796" s="24">
        <f>IF(AND($N1796="",$O1796=""),"",IF($N1796&lt;&gt;"",INDEX(PCNormDate,$N1796),INDEX(LdgDateB,$O1796)))</f>
        <v/>
      </c>
      <c r="C1796" s="24">
        <f>IF($N1796&lt;&gt;"",INDEX(PCOp,$N1796),IF($O1796&lt;&gt;"",IF(N(INDEX(TxnDepB,$O1796))&gt;0,"دریافت بانکی","پرداخت بانکی"),""))</f>
        <v/>
      </c>
      <c r="D1796" s="24">
        <f>IF($N1796&lt;&gt;"",IF(INDEX(PCDoc,$N1796)="","—",INDEX(PCDoc,$N1796)),IF($O1796&lt;&gt;"",INDEX(LdgBankB,$O1796),""))</f>
        <v/>
      </c>
      <c r="E1796" s="24">
        <f>IF($N1796&lt;&gt;"",IF(INDEX(PCCitrus,$N1796)="","—",INDEX(PCCitrus,$N1796)),"")</f>
        <v/>
      </c>
      <c r="F1796" s="25">
        <f>IF($N1796&lt;&gt;"",IF(INDEX(PCScale,$N1796)=0,"",INDEX(PCScale,$N1796)),"")</f>
        <v/>
      </c>
      <c r="G1796" s="25">
        <f>IF($N1796&lt;&gt;"",IF(INDEX(PCBaskets,$N1796)=0,"",INDEX(PCBaskets,$N1796)),"")</f>
        <v/>
      </c>
      <c r="H1796" s="26">
        <f>IF($N1796&lt;&gt;"",IF(INDEX(PCNet,$N1796)=0,"",INDEX(PCNet,$N1796)),"")</f>
        <v/>
      </c>
      <c r="I1796" s="25">
        <f>IF($N1796&lt;&gt;"",IF(INDEX(PCOp,$N1796)="مرجوعی خرید","",IF(INDEX(PCAmount,$N1796)&lt;=0,"",INDEX(PCAmount,$N1796))),IF($O1796&lt;&gt;"",IF(INDEX(TxnDepB,$O1796)=0,"",INDEX(TxnDepB,$O1796)),""))</f>
        <v/>
      </c>
      <c r="J1796" s="25">
        <f>IF($N1796&lt;&gt;"",IF(INDEX(PCOp,$N1796)="مرجوعی خرید",IF(INDEX(PCAmount,$N1796)=0,"",-INDEX(PCAmount,$N1796)),""),IF($O1796&lt;&gt;"",IF(INDEX(TxnWitB,$O1796)=0,"",INDEX(TxnWitB,$O1796)),""))</f>
        <v/>
      </c>
      <c r="K1796" s="27">
        <f>IF($B1796="","",IF($K1795="",$C$10,$K1795)+IF($I1796="",0,$I1796)-IF($J1796="",0,$J1796))</f>
        <v/>
      </c>
      <c r="L1796" s="28">
        <f>IF($N1796&lt;&gt;"",IF(INDEX(PCNotes,$N1796)="","—",INDEX(PCNotes,$N1796)),IF($O1796&lt;&gt;"",IF(INDEX(LdgNoteB,$O1796)="","—",INDEX(LdgNoteB,$O1796)),""))</f>
        <v/>
      </c>
      <c r="N1796">
        <f>IFERROR(MATCH($C$5&amp;"|"&amp;RIGHT("000000"&amp;1780,6),LdgRankKeyA,0),"")</f>
        <v/>
      </c>
      <c r="O1796">
        <f>IFERROR(MATCH($C$5&amp;"|"&amp;RIGHT("000000"&amp;1780,6),LdgRankKeyB,0),"")</f>
        <v/>
      </c>
    </row>
    <row r="1797">
      <c r="A1797" s="17" t="n">
        <v>1781</v>
      </c>
      <c r="B1797" s="18">
        <f>IF(AND($N1797="",$O1797=""),"",IF($N1797&lt;&gt;"",INDEX(PCNormDate,$N1797),INDEX(LdgDateB,$O1797)))</f>
        <v/>
      </c>
      <c r="C1797" s="18">
        <f>IF($N1797&lt;&gt;"",INDEX(PCOp,$N1797),IF($O1797&lt;&gt;"",IF(N(INDEX(TxnDepB,$O1797))&gt;0,"دریافت بانکی","پرداخت بانکی"),""))</f>
        <v/>
      </c>
      <c r="D1797" s="18">
        <f>IF($N1797&lt;&gt;"",IF(INDEX(PCDoc,$N1797)="","—",INDEX(PCDoc,$N1797)),IF($O1797&lt;&gt;"",INDEX(LdgBankB,$O1797),""))</f>
        <v/>
      </c>
      <c r="E1797" s="18">
        <f>IF($N1797&lt;&gt;"",IF(INDEX(PCCitrus,$N1797)="","—",INDEX(PCCitrus,$N1797)),"")</f>
        <v/>
      </c>
      <c r="F1797" s="19">
        <f>IF($N1797&lt;&gt;"",IF(INDEX(PCScale,$N1797)=0,"",INDEX(PCScale,$N1797)),"")</f>
        <v/>
      </c>
      <c r="G1797" s="19">
        <f>IF($N1797&lt;&gt;"",IF(INDEX(PCBaskets,$N1797)=0,"",INDEX(PCBaskets,$N1797)),"")</f>
        <v/>
      </c>
      <c r="H1797" s="20">
        <f>IF($N1797&lt;&gt;"",IF(INDEX(PCNet,$N1797)=0,"",INDEX(PCNet,$N1797)),"")</f>
        <v/>
      </c>
      <c r="I1797" s="19">
        <f>IF($N1797&lt;&gt;"",IF(INDEX(PCOp,$N1797)="مرجوعی خرید","",IF(INDEX(PCAmount,$N1797)&lt;=0,"",INDEX(PCAmount,$N1797))),IF($O1797&lt;&gt;"",IF(INDEX(TxnDepB,$O1797)=0,"",INDEX(TxnDepB,$O1797)),""))</f>
        <v/>
      </c>
      <c r="J1797" s="19">
        <f>IF($N1797&lt;&gt;"",IF(INDEX(PCOp,$N1797)="مرجوعی خرید",IF(INDEX(PCAmount,$N1797)=0,"",-INDEX(PCAmount,$N1797)),""),IF($O1797&lt;&gt;"",IF(INDEX(TxnWitB,$O1797)=0,"",INDEX(TxnWitB,$O1797)),""))</f>
        <v/>
      </c>
      <c r="K1797" s="21">
        <f>IF($B1797="","",IF($K1796="",$C$10,$K1796)+IF($I1797="",0,$I1797)-IF($J1797="",0,$J1797))</f>
        <v/>
      </c>
      <c r="L1797" s="22">
        <f>IF($N1797&lt;&gt;"",IF(INDEX(PCNotes,$N1797)="","—",INDEX(PCNotes,$N1797)),IF($O1797&lt;&gt;"",IF(INDEX(LdgNoteB,$O1797)="","—",INDEX(LdgNoteB,$O1797)),""))</f>
        <v/>
      </c>
      <c r="N1797">
        <f>IFERROR(MATCH($C$5&amp;"|"&amp;RIGHT("000000"&amp;1781,6),LdgRankKeyA,0),"")</f>
        <v/>
      </c>
      <c r="O1797">
        <f>IFERROR(MATCH($C$5&amp;"|"&amp;RIGHT("000000"&amp;1781,6),LdgRankKeyB,0),"")</f>
        <v/>
      </c>
    </row>
    <row r="1798">
      <c r="A1798" s="23" t="n">
        <v>1782</v>
      </c>
      <c r="B1798" s="24">
        <f>IF(AND($N1798="",$O1798=""),"",IF($N1798&lt;&gt;"",INDEX(PCNormDate,$N1798),INDEX(LdgDateB,$O1798)))</f>
        <v/>
      </c>
      <c r="C1798" s="24">
        <f>IF($N1798&lt;&gt;"",INDEX(PCOp,$N1798),IF($O1798&lt;&gt;"",IF(N(INDEX(TxnDepB,$O1798))&gt;0,"دریافت بانکی","پرداخت بانکی"),""))</f>
        <v/>
      </c>
      <c r="D1798" s="24">
        <f>IF($N1798&lt;&gt;"",IF(INDEX(PCDoc,$N1798)="","—",INDEX(PCDoc,$N1798)),IF($O1798&lt;&gt;"",INDEX(LdgBankB,$O1798),""))</f>
        <v/>
      </c>
      <c r="E1798" s="24">
        <f>IF($N1798&lt;&gt;"",IF(INDEX(PCCitrus,$N1798)="","—",INDEX(PCCitrus,$N1798)),"")</f>
        <v/>
      </c>
      <c r="F1798" s="25">
        <f>IF($N1798&lt;&gt;"",IF(INDEX(PCScale,$N1798)=0,"",INDEX(PCScale,$N1798)),"")</f>
        <v/>
      </c>
      <c r="G1798" s="25">
        <f>IF($N1798&lt;&gt;"",IF(INDEX(PCBaskets,$N1798)=0,"",INDEX(PCBaskets,$N1798)),"")</f>
        <v/>
      </c>
      <c r="H1798" s="26">
        <f>IF($N1798&lt;&gt;"",IF(INDEX(PCNet,$N1798)=0,"",INDEX(PCNet,$N1798)),"")</f>
        <v/>
      </c>
      <c r="I1798" s="25">
        <f>IF($N1798&lt;&gt;"",IF(INDEX(PCOp,$N1798)="مرجوعی خرید","",IF(INDEX(PCAmount,$N1798)&lt;=0,"",INDEX(PCAmount,$N1798))),IF($O1798&lt;&gt;"",IF(INDEX(TxnDepB,$O1798)=0,"",INDEX(TxnDepB,$O1798)),""))</f>
        <v/>
      </c>
      <c r="J1798" s="25">
        <f>IF($N1798&lt;&gt;"",IF(INDEX(PCOp,$N1798)="مرجوعی خرید",IF(INDEX(PCAmount,$N1798)=0,"",-INDEX(PCAmount,$N1798)),""),IF($O1798&lt;&gt;"",IF(INDEX(TxnWitB,$O1798)=0,"",INDEX(TxnWitB,$O1798)),""))</f>
        <v/>
      </c>
      <c r="K1798" s="27">
        <f>IF($B1798="","",IF($K1797="",$C$10,$K1797)+IF($I1798="",0,$I1798)-IF($J1798="",0,$J1798))</f>
        <v/>
      </c>
      <c r="L1798" s="28">
        <f>IF($N1798&lt;&gt;"",IF(INDEX(PCNotes,$N1798)="","—",INDEX(PCNotes,$N1798)),IF($O1798&lt;&gt;"",IF(INDEX(LdgNoteB,$O1798)="","—",INDEX(LdgNoteB,$O1798)),""))</f>
        <v/>
      </c>
      <c r="N1798">
        <f>IFERROR(MATCH($C$5&amp;"|"&amp;RIGHT("000000"&amp;1782,6),LdgRankKeyA,0),"")</f>
        <v/>
      </c>
      <c r="O1798">
        <f>IFERROR(MATCH($C$5&amp;"|"&amp;RIGHT("000000"&amp;1782,6),LdgRankKeyB,0),"")</f>
        <v/>
      </c>
    </row>
    <row r="1799">
      <c r="A1799" s="17" t="n">
        <v>1783</v>
      </c>
      <c r="B1799" s="18">
        <f>IF(AND($N1799="",$O1799=""),"",IF($N1799&lt;&gt;"",INDEX(PCNormDate,$N1799),INDEX(LdgDateB,$O1799)))</f>
        <v/>
      </c>
      <c r="C1799" s="18">
        <f>IF($N1799&lt;&gt;"",INDEX(PCOp,$N1799),IF($O1799&lt;&gt;"",IF(N(INDEX(TxnDepB,$O1799))&gt;0,"دریافت بانکی","پرداخت بانکی"),""))</f>
        <v/>
      </c>
      <c r="D1799" s="18">
        <f>IF($N1799&lt;&gt;"",IF(INDEX(PCDoc,$N1799)="","—",INDEX(PCDoc,$N1799)),IF($O1799&lt;&gt;"",INDEX(LdgBankB,$O1799),""))</f>
        <v/>
      </c>
      <c r="E1799" s="18">
        <f>IF($N1799&lt;&gt;"",IF(INDEX(PCCitrus,$N1799)="","—",INDEX(PCCitrus,$N1799)),"")</f>
        <v/>
      </c>
      <c r="F1799" s="19">
        <f>IF($N1799&lt;&gt;"",IF(INDEX(PCScale,$N1799)=0,"",INDEX(PCScale,$N1799)),"")</f>
        <v/>
      </c>
      <c r="G1799" s="19">
        <f>IF($N1799&lt;&gt;"",IF(INDEX(PCBaskets,$N1799)=0,"",INDEX(PCBaskets,$N1799)),"")</f>
        <v/>
      </c>
      <c r="H1799" s="20">
        <f>IF($N1799&lt;&gt;"",IF(INDEX(PCNet,$N1799)=0,"",INDEX(PCNet,$N1799)),"")</f>
        <v/>
      </c>
      <c r="I1799" s="19">
        <f>IF($N1799&lt;&gt;"",IF(INDEX(PCOp,$N1799)="مرجوعی خرید","",IF(INDEX(PCAmount,$N1799)&lt;=0,"",INDEX(PCAmount,$N1799))),IF($O1799&lt;&gt;"",IF(INDEX(TxnDepB,$O1799)=0,"",INDEX(TxnDepB,$O1799)),""))</f>
        <v/>
      </c>
      <c r="J1799" s="19">
        <f>IF($N1799&lt;&gt;"",IF(INDEX(PCOp,$N1799)="مرجوعی خرید",IF(INDEX(PCAmount,$N1799)=0,"",-INDEX(PCAmount,$N1799)),""),IF($O1799&lt;&gt;"",IF(INDEX(TxnWitB,$O1799)=0,"",INDEX(TxnWitB,$O1799)),""))</f>
        <v/>
      </c>
      <c r="K1799" s="21">
        <f>IF($B1799="","",IF($K1798="",$C$10,$K1798)+IF($I1799="",0,$I1799)-IF($J1799="",0,$J1799))</f>
        <v/>
      </c>
      <c r="L1799" s="22">
        <f>IF($N1799&lt;&gt;"",IF(INDEX(PCNotes,$N1799)="","—",INDEX(PCNotes,$N1799)),IF($O1799&lt;&gt;"",IF(INDEX(LdgNoteB,$O1799)="","—",INDEX(LdgNoteB,$O1799)),""))</f>
        <v/>
      </c>
      <c r="N1799">
        <f>IFERROR(MATCH($C$5&amp;"|"&amp;RIGHT("000000"&amp;1783,6),LdgRankKeyA,0),"")</f>
        <v/>
      </c>
      <c r="O1799">
        <f>IFERROR(MATCH($C$5&amp;"|"&amp;RIGHT("000000"&amp;1783,6),LdgRankKeyB,0),"")</f>
        <v/>
      </c>
    </row>
    <row r="1800">
      <c r="A1800" s="23" t="n">
        <v>1784</v>
      </c>
      <c r="B1800" s="24">
        <f>IF(AND($N1800="",$O1800=""),"",IF($N1800&lt;&gt;"",INDEX(PCNormDate,$N1800),INDEX(LdgDateB,$O1800)))</f>
        <v/>
      </c>
      <c r="C1800" s="24">
        <f>IF($N1800&lt;&gt;"",INDEX(PCOp,$N1800),IF($O1800&lt;&gt;"",IF(N(INDEX(TxnDepB,$O1800))&gt;0,"دریافت بانکی","پرداخت بانکی"),""))</f>
        <v/>
      </c>
      <c r="D1800" s="24">
        <f>IF($N1800&lt;&gt;"",IF(INDEX(PCDoc,$N1800)="","—",INDEX(PCDoc,$N1800)),IF($O1800&lt;&gt;"",INDEX(LdgBankB,$O1800),""))</f>
        <v/>
      </c>
      <c r="E1800" s="24">
        <f>IF($N1800&lt;&gt;"",IF(INDEX(PCCitrus,$N1800)="","—",INDEX(PCCitrus,$N1800)),"")</f>
        <v/>
      </c>
      <c r="F1800" s="25">
        <f>IF($N1800&lt;&gt;"",IF(INDEX(PCScale,$N1800)=0,"",INDEX(PCScale,$N1800)),"")</f>
        <v/>
      </c>
      <c r="G1800" s="25">
        <f>IF($N1800&lt;&gt;"",IF(INDEX(PCBaskets,$N1800)=0,"",INDEX(PCBaskets,$N1800)),"")</f>
        <v/>
      </c>
      <c r="H1800" s="26">
        <f>IF($N1800&lt;&gt;"",IF(INDEX(PCNet,$N1800)=0,"",INDEX(PCNet,$N1800)),"")</f>
        <v/>
      </c>
      <c r="I1800" s="25">
        <f>IF($N1800&lt;&gt;"",IF(INDEX(PCOp,$N1800)="مرجوعی خرید","",IF(INDEX(PCAmount,$N1800)&lt;=0,"",INDEX(PCAmount,$N1800))),IF($O1800&lt;&gt;"",IF(INDEX(TxnDepB,$O1800)=0,"",INDEX(TxnDepB,$O1800)),""))</f>
        <v/>
      </c>
      <c r="J1800" s="25">
        <f>IF($N1800&lt;&gt;"",IF(INDEX(PCOp,$N1800)="مرجوعی خرید",IF(INDEX(PCAmount,$N1800)=0,"",-INDEX(PCAmount,$N1800)),""),IF($O1800&lt;&gt;"",IF(INDEX(TxnWitB,$O1800)=0,"",INDEX(TxnWitB,$O1800)),""))</f>
        <v/>
      </c>
      <c r="K1800" s="27">
        <f>IF($B1800="","",IF($K1799="",$C$10,$K1799)+IF($I1800="",0,$I1800)-IF($J1800="",0,$J1800))</f>
        <v/>
      </c>
      <c r="L1800" s="28">
        <f>IF($N1800&lt;&gt;"",IF(INDEX(PCNotes,$N1800)="","—",INDEX(PCNotes,$N1800)),IF($O1800&lt;&gt;"",IF(INDEX(LdgNoteB,$O1800)="","—",INDEX(LdgNoteB,$O1800)),""))</f>
        <v/>
      </c>
      <c r="N1800">
        <f>IFERROR(MATCH($C$5&amp;"|"&amp;RIGHT("000000"&amp;1784,6),LdgRankKeyA,0),"")</f>
        <v/>
      </c>
      <c r="O1800">
        <f>IFERROR(MATCH($C$5&amp;"|"&amp;RIGHT("000000"&amp;1784,6),LdgRankKeyB,0),"")</f>
        <v/>
      </c>
    </row>
    <row r="1801">
      <c r="A1801" s="17" t="n">
        <v>1785</v>
      </c>
      <c r="B1801" s="18">
        <f>IF(AND($N1801="",$O1801=""),"",IF($N1801&lt;&gt;"",INDEX(PCNormDate,$N1801),INDEX(LdgDateB,$O1801)))</f>
        <v/>
      </c>
      <c r="C1801" s="18">
        <f>IF($N1801&lt;&gt;"",INDEX(PCOp,$N1801),IF($O1801&lt;&gt;"",IF(N(INDEX(TxnDepB,$O1801))&gt;0,"دریافت بانکی","پرداخت بانکی"),""))</f>
        <v/>
      </c>
      <c r="D1801" s="18">
        <f>IF($N1801&lt;&gt;"",IF(INDEX(PCDoc,$N1801)="","—",INDEX(PCDoc,$N1801)),IF($O1801&lt;&gt;"",INDEX(LdgBankB,$O1801),""))</f>
        <v/>
      </c>
      <c r="E1801" s="18">
        <f>IF($N1801&lt;&gt;"",IF(INDEX(PCCitrus,$N1801)="","—",INDEX(PCCitrus,$N1801)),"")</f>
        <v/>
      </c>
      <c r="F1801" s="19">
        <f>IF($N1801&lt;&gt;"",IF(INDEX(PCScale,$N1801)=0,"",INDEX(PCScale,$N1801)),"")</f>
        <v/>
      </c>
      <c r="G1801" s="19">
        <f>IF($N1801&lt;&gt;"",IF(INDEX(PCBaskets,$N1801)=0,"",INDEX(PCBaskets,$N1801)),"")</f>
        <v/>
      </c>
      <c r="H1801" s="20">
        <f>IF($N1801&lt;&gt;"",IF(INDEX(PCNet,$N1801)=0,"",INDEX(PCNet,$N1801)),"")</f>
        <v/>
      </c>
      <c r="I1801" s="19">
        <f>IF($N1801&lt;&gt;"",IF(INDEX(PCOp,$N1801)="مرجوعی خرید","",IF(INDEX(PCAmount,$N1801)&lt;=0,"",INDEX(PCAmount,$N1801))),IF($O1801&lt;&gt;"",IF(INDEX(TxnDepB,$O1801)=0,"",INDEX(TxnDepB,$O1801)),""))</f>
        <v/>
      </c>
      <c r="J1801" s="19">
        <f>IF($N1801&lt;&gt;"",IF(INDEX(PCOp,$N1801)="مرجوعی خرید",IF(INDEX(PCAmount,$N1801)=0,"",-INDEX(PCAmount,$N1801)),""),IF($O1801&lt;&gt;"",IF(INDEX(TxnWitB,$O1801)=0,"",INDEX(TxnWitB,$O1801)),""))</f>
        <v/>
      </c>
      <c r="K1801" s="21">
        <f>IF($B1801="","",IF($K1800="",$C$10,$K1800)+IF($I1801="",0,$I1801)-IF($J1801="",0,$J1801))</f>
        <v/>
      </c>
      <c r="L1801" s="22">
        <f>IF($N1801&lt;&gt;"",IF(INDEX(PCNotes,$N1801)="","—",INDEX(PCNotes,$N1801)),IF($O1801&lt;&gt;"",IF(INDEX(LdgNoteB,$O1801)="","—",INDEX(LdgNoteB,$O1801)),""))</f>
        <v/>
      </c>
      <c r="N1801">
        <f>IFERROR(MATCH($C$5&amp;"|"&amp;RIGHT("000000"&amp;1785,6),LdgRankKeyA,0),"")</f>
        <v/>
      </c>
      <c r="O1801">
        <f>IFERROR(MATCH($C$5&amp;"|"&amp;RIGHT("000000"&amp;1785,6),LdgRankKeyB,0),"")</f>
        <v/>
      </c>
    </row>
    <row r="1802">
      <c r="A1802" s="23" t="n">
        <v>1786</v>
      </c>
      <c r="B1802" s="24">
        <f>IF(AND($N1802="",$O1802=""),"",IF($N1802&lt;&gt;"",INDEX(PCNormDate,$N1802),INDEX(LdgDateB,$O1802)))</f>
        <v/>
      </c>
      <c r="C1802" s="24">
        <f>IF($N1802&lt;&gt;"",INDEX(PCOp,$N1802),IF($O1802&lt;&gt;"",IF(N(INDEX(TxnDepB,$O1802))&gt;0,"دریافت بانکی","پرداخت بانکی"),""))</f>
        <v/>
      </c>
      <c r="D1802" s="24">
        <f>IF($N1802&lt;&gt;"",IF(INDEX(PCDoc,$N1802)="","—",INDEX(PCDoc,$N1802)),IF($O1802&lt;&gt;"",INDEX(LdgBankB,$O1802),""))</f>
        <v/>
      </c>
      <c r="E1802" s="24">
        <f>IF($N1802&lt;&gt;"",IF(INDEX(PCCitrus,$N1802)="","—",INDEX(PCCitrus,$N1802)),"")</f>
        <v/>
      </c>
      <c r="F1802" s="25">
        <f>IF($N1802&lt;&gt;"",IF(INDEX(PCScale,$N1802)=0,"",INDEX(PCScale,$N1802)),"")</f>
        <v/>
      </c>
      <c r="G1802" s="25">
        <f>IF($N1802&lt;&gt;"",IF(INDEX(PCBaskets,$N1802)=0,"",INDEX(PCBaskets,$N1802)),"")</f>
        <v/>
      </c>
      <c r="H1802" s="26">
        <f>IF($N1802&lt;&gt;"",IF(INDEX(PCNet,$N1802)=0,"",INDEX(PCNet,$N1802)),"")</f>
        <v/>
      </c>
      <c r="I1802" s="25">
        <f>IF($N1802&lt;&gt;"",IF(INDEX(PCOp,$N1802)="مرجوعی خرید","",IF(INDEX(PCAmount,$N1802)&lt;=0,"",INDEX(PCAmount,$N1802))),IF($O1802&lt;&gt;"",IF(INDEX(TxnDepB,$O1802)=0,"",INDEX(TxnDepB,$O1802)),""))</f>
        <v/>
      </c>
      <c r="J1802" s="25">
        <f>IF($N1802&lt;&gt;"",IF(INDEX(PCOp,$N1802)="مرجوعی خرید",IF(INDEX(PCAmount,$N1802)=0,"",-INDEX(PCAmount,$N1802)),""),IF($O1802&lt;&gt;"",IF(INDEX(TxnWitB,$O1802)=0,"",INDEX(TxnWitB,$O1802)),""))</f>
        <v/>
      </c>
      <c r="K1802" s="27">
        <f>IF($B1802="","",IF($K1801="",$C$10,$K1801)+IF($I1802="",0,$I1802)-IF($J1802="",0,$J1802))</f>
        <v/>
      </c>
      <c r="L1802" s="28">
        <f>IF($N1802&lt;&gt;"",IF(INDEX(PCNotes,$N1802)="","—",INDEX(PCNotes,$N1802)),IF($O1802&lt;&gt;"",IF(INDEX(LdgNoteB,$O1802)="","—",INDEX(LdgNoteB,$O1802)),""))</f>
        <v/>
      </c>
      <c r="N1802">
        <f>IFERROR(MATCH($C$5&amp;"|"&amp;RIGHT("000000"&amp;1786,6),LdgRankKeyA,0),"")</f>
        <v/>
      </c>
      <c r="O1802">
        <f>IFERROR(MATCH($C$5&amp;"|"&amp;RIGHT("000000"&amp;1786,6),LdgRankKeyB,0),"")</f>
        <v/>
      </c>
    </row>
    <row r="1803">
      <c r="A1803" s="17" t="n">
        <v>1787</v>
      </c>
      <c r="B1803" s="18">
        <f>IF(AND($N1803="",$O1803=""),"",IF($N1803&lt;&gt;"",INDEX(PCNormDate,$N1803),INDEX(LdgDateB,$O1803)))</f>
        <v/>
      </c>
      <c r="C1803" s="18">
        <f>IF($N1803&lt;&gt;"",INDEX(PCOp,$N1803),IF($O1803&lt;&gt;"",IF(N(INDEX(TxnDepB,$O1803))&gt;0,"دریافت بانکی","پرداخت بانکی"),""))</f>
        <v/>
      </c>
      <c r="D1803" s="18">
        <f>IF($N1803&lt;&gt;"",IF(INDEX(PCDoc,$N1803)="","—",INDEX(PCDoc,$N1803)),IF($O1803&lt;&gt;"",INDEX(LdgBankB,$O1803),""))</f>
        <v/>
      </c>
      <c r="E1803" s="18">
        <f>IF($N1803&lt;&gt;"",IF(INDEX(PCCitrus,$N1803)="","—",INDEX(PCCitrus,$N1803)),"")</f>
        <v/>
      </c>
      <c r="F1803" s="19">
        <f>IF($N1803&lt;&gt;"",IF(INDEX(PCScale,$N1803)=0,"",INDEX(PCScale,$N1803)),"")</f>
        <v/>
      </c>
      <c r="G1803" s="19">
        <f>IF($N1803&lt;&gt;"",IF(INDEX(PCBaskets,$N1803)=0,"",INDEX(PCBaskets,$N1803)),"")</f>
        <v/>
      </c>
      <c r="H1803" s="20">
        <f>IF($N1803&lt;&gt;"",IF(INDEX(PCNet,$N1803)=0,"",INDEX(PCNet,$N1803)),"")</f>
        <v/>
      </c>
      <c r="I1803" s="19">
        <f>IF($N1803&lt;&gt;"",IF(INDEX(PCOp,$N1803)="مرجوعی خرید","",IF(INDEX(PCAmount,$N1803)&lt;=0,"",INDEX(PCAmount,$N1803))),IF($O1803&lt;&gt;"",IF(INDEX(TxnDepB,$O1803)=0,"",INDEX(TxnDepB,$O1803)),""))</f>
        <v/>
      </c>
      <c r="J1803" s="19">
        <f>IF($N1803&lt;&gt;"",IF(INDEX(PCOp,$N1803)="مرجوعی خرید",IF(INDEX(PCAmount,$N1803)=0,"",-INDEX(PCAmount,$N1803)),""),IF($O1803&lt;&gt;"",IF(INDEX(TxnWitB,$O1803)=0,"",INDEX(TxnWitB,$O1803)),""))</f>
        <v/>
      </c>
      <c r="K1803" s="21">
        <f>IF($B1803="","",IF($K1802="",$C$10,$K1802)+IF($I1803="",0,$I1803)-IF($J1803="",0,$J1803))</f>
        <v/>
      </c>
      <c r="L1803" s="22">
        <f>IF($N1803&lt;&gt;"",IF(INDEX(PCNotes,$N1803)="","—",INDEX(PCNotes,$N1803)),IF($O1803&lt;&gt;"",IF(INDEX(LdgNoteB,$O1803)="","—",INDEX(LdgNoteB,$O1803)),""))</f>
        <v/>
      </c>
      <c r="N1803">
        <f>IFERROR(MATCH($C$5&amp;"|"&amp;RIGHT("000000"&amp;1787,6),LdgRankKeyA,0),"")</f>
        <v/>
      </c>
      <c r="O1803">
        <f>IFERROR(MATCH($C$5&amp;"|"&amp;RIGHT("000000"&amp;1787,6),LdgRankKeyB,0),"")</f>
        <v/>
      </c>
    </row>
    <row r="1804">
      <c r="A1804" s="23" t="n">
        <v>1788</v>
      </c>
      <c r="B1804" s="24">
        <f>IF(AND($N1804="",$O1804=""),"",IF($N1804&lt;&gt;"",INDEX(PCNormDate,$N1804),INDEX(LdgDateB,$O1804)))</f>
        <v/>
      </c>
      <c r="C1804" s="24">
        <f>IF($N1804&lt;&gt;"",INDEX(PCOp,$N1804),IF($O1804&lt;&gt;"",IF(N(INDEX(TxnDepB,$O1804))&gt;0,"دریافت بانکی","پرداخت بانکی"),""))</f>
        <v/>
      </c>
      <c r="D1804" s="24">
        <f>IF($N1804&lt;&gt;"",IF(INDEX(PCDoc,$N1804)="","—",INDEX(PCDoc,$N1804)),IF($O1804&lt;&gt;"",INDEX(LdgBankB,$O1804),""))</f>
        <v/>
      </c>
      <c r="E1804" s="24">
        <f>IF($N1804&lt;&gt;"",IF(INDEX(PCCitrus,$N1804)="","—",INDEX(PCCitrus,$N1804)),"")</f>
        <v/>
      </c>
      <c r="F1804" s="25">
        <f>IF($N1804&lt;&gt;"",IF(INDEX(PCScale,$N1804)=0,"",INDEX(PCScale,$N1804)),"")</f>
        <v/>
      </c>
      <c r="G1804" s="25">
        <f>IF($N1804&lt;&gt;"",IF(INDEX(PCBaskets,$N1804)=0,"",INDEX(PCBaskets,$N1804)),"")</f>
        <v/>
      </c>
      <c r="H1804" s="26">
        <f>IF($N1804&lt;&gt;"",IF(INDEX(PCNet,$N1804)=0,"",INDEX(PCNet,$N1804)),"")</f>
        <v/>
      </c>
      <c r="I1804" s="25">
        <f>IF($N1804&lt;&gt;"",IF(INDEX(PCOp,$N1804)="مرجوعی خرید","",IF(INDEX(PCAmount,$N1804)&lt;=0,"",INDEX(PCAmount,$N1804))),IF($O1804&lt;&gt;"",IF(INDEX(TxnDepB,$O1804)=0,"",INDEX(TxnDepB,$O1804)),""))</f>
        <v/>
      </c>
      <c r="J1804" s="25">
        <f>IF($N1804&lt;&gt;"",IF(INDEX(PCOp,$N1804)="مرجوعی خرید",IF(INDEX(PCAmount,$N1804)=0,"",-INDEX(PCAmount,$N1804)),""),IF($O1804&lt;&gt;"",IF(INDEX(TxnWitB,$O1804)=0,"",INDEX(TxnWitB,$O1804)),""))</f>
        <v/>
      </c>
      <c r="K1804" s="27">
        <f>IF($B1804="","",IF($K1803="",$C$10,$K1803)+IF($I1804="",0,$I1804)-IF($J1804="",0,$J1804))</f>
        <v/>
      </c>
      <c r="L1804" s="28">
        <f>IF($N1804&lt;&gt;"",IF(INDEX(PCNotes,$N1804)="","—",INDEX(PCNotes,$N1804)),IF($O1804&lt;&gt;"",IF(INDEX(LdgNoteB,$O1804)="","—",INDEX(LdgNoteB,$O1804)),""))</f>
        <v/>
      </c>
      <c r="N1804">
        <f>IFERROR(MATCH($C$5&amp;"|"&amp;RIGHT("000000"&amp;1788,6),LdgRankKeyA,0),"")</f>
        <v/>
      </c>
      <c r="O1804">
        <f>IFERROR(MATCH($C$5&amp;"|"&amp;RIGHT("000000"&amp;1788,6),LdgRankKeyB,0),"")</f>
        <v/>
      </c>
    </row>
    <row r="1805">
      <c r="A1805" s="17" t="n">
        <v>1789</v>
      </c>
      <c r="B1805" s="18">
        <f>IF(AND($N1805="",$O1805=""),"",IF($N1805&lt;&gt;"",INDEX(PCNormDate,$N1805),INDEX(LdgDateB,$O1805)))</f>
        <v/>
      </c>
      <c r="C1805" s="18">
        <f>IF($N1805&lt;&gt;"",INDEX(PCOp,$N1805),IF($O1805&lt;&gt;"",IF(N(INDEX(TxnDepB,$O1805))&gt;0,"دریافت بانکی","پرداخت بانکی"),""))</f>
        <v/>
      </c>
      <c r="D1805" s="18">
        <f>IF($N1805&lt;&gt;"",IF(INDEX(PCDoc,$N1805)="","—",INDEX(PCDoc,$N1805)),IF($O1805&lt;&gt;"",INDEX(LdgBankB,$O1805),""))</f>
        <v/>
      </c>
      <c r="E1805" s="18">
        <f>IF($N1805&lt;&gt;"",IF(INDEX(PCCitrus,$N1805)="","—",INDEX(PCCitrus,$N1805)),"")</f>
        <v/>
      </c>
      <c r="F1805" s="19">
        <f>IF($N1805&lt;&gt;"",IF(INDEX(PCScale,$N1805)=0,"",INDEX(PCScale,$N1805)),"")</f>
        <v/>
      </c>
      <c r="G1805" s="19">
        <f>IF($N1805&lt;&gt;"",IF(INDEX(PCBaskets,$N1805)=0,"",INDEX(PCBaskets,$N1805)),"")</f>
        <v/>
      </c>
      <c r="H1805" s="20">
        <f>IF($N1805&lt;&gt;"",IF(INDEX(PCNet,$N1805)=0,"",INDEX(PCNet,$N1805)),"")</f>
        <v/>
      </c>
      <c r="I1805" s="19">
        <f>IF($N1805&lt;&gt;"",IF(INDEX(PCOp,$N1805)="مرجوعی خرید","",IF(INDEX(PCAmount,$N1805)&lt;=0,"",INDEX(PCAmount,$N1805))),IF($O1805&lt;&gt;"",IF(INDEX(TxnDepB,$O1805)=0,"",INDEX(TxnDepB,$O1805)),""))</f>
        <v/>
      </c>
      <c r="J1805" s="19">
        <f>IF($N1805&lt;&gt;"",IF(INDEX(PCOp,$N1805)="مرجوعی خرید",IF(INDEX(PCAmount,$N1805)=0,"",-INDEX(PCAmount,$N1805)),""),IF($O1805&lt;&gt;"",IF(INDEX(TxnWitB,$O1805)=0,"",INDEX(TxnWitB,$O1805)),""))</f>
        <v/>
      </c>
      <c r="K1805" s="21">
        <f>IF($B1805="","",IF($K1804="",$C$10,$K1804)+IF($I1805="",0,$I1805)-IF($J1805="",0,$J1805))</f>
        <v/>
      </c>
      <c r="L1805" s="22">
        <f>IF($N1805&lt;&gt;"",IF(INDEX(PCNotes,$N1805)="","—",INDEX(PCNotes,$N1805)),IF($O1805&lt;&gt;"",IF(INDEX(LdgNoteB,$O1805)="","—",INDEX(LdgNoteB,$O1805)),""))</f>
        <v/>
      </c>
      <c r="N1805">
        <f>IFERROR(MATCH($C$5&amp;"|"&amp;RIGHT("000000"&amp;1789,6),LdgRankKeyA,0),"")</f>
        <v/>
      </c>
      <c r="O1805">
        <f>IFERROR(MATCH($C$5&amp;"|"&amp;RIGHT("000000"&amp;1789,6),LdgRankKeyB,0),"")</f>
        <v/>
      </c>
    </row>
    <row r="1806">
      <c r="A1806" s="23" t="n">
        <v>1790</v>
      </c>
      <c r="B1806" s="24">
        <f>IF(AND($N1806="",$O1806=""),"",IF($N1806&lt;&gt;"",INDEX(PCNormDate,$N1806),INDEX(LdgDateB,$O1806)))</f>
        <v/>
      </c>
      <c r="C1806" s="24">
        <f>IF($N1806&lt;&gt;"",INDEX(PCOp,$N1806),IF($O1806&lt;&gt;"",IF(N(INDEX(TxnDepB,$O1806))&gt;0,"دریافت بانکی","پرداخت بانکی"),""))</f>
        <v/>
      </c>
      <c r="D1806" s="24">
        <f>IF($N1806&lt;&gt;"",IF(INDEX(PCDoc,$N1806)="","—",INDEX(PCDoc,$N1806)),IF($O1806&lt;&gt;"",INDEX(LdgBankB,$O1806),""))</f>
        <v/>
      </c>
      <c r="E1806" s="24">
        <f>IF($N1806&lt;&gt;"",IF(INDEX(PCCitrus,$N1806)="","—",INDEX(PCCitrus,$N1806)),"")</f>
        <v/>
      </c>
      <c r="F1806" s="25">
        <f>IF($N1806&lt;&gt;"",IF(INDEX(PCScale,$N1806)=0,"",INDEX(PCScale,$N1806)),"")</f>
        <v/>
      </c>
      <c r="G1806" s="25">
        <f>IF($N1806&lt;&gt;"",IF(INDEX(PCBaskets,$N1806)=0,"",INDEX(PCBaskets,$N1806)),"")</f>
        <v/>
      </c>
      <c r="H1806" s="26">
        <f>IF($N1806&lt;&gt;"",IF(INDEX(PCNet,$N1806)=0,"",INDEX(PCNet,$N1806)),"")</f>
        <v/>
      </c>
      <c r="I1806" s="25">
        <f>IF($N1806&lt;&gt;"",IF(INDEX(PCOp,$N1806)="مرجوعی خرید","",IF(INDEX(PCAmount,$N1806)&lt;=0,"",INDEX(PCAmount,$N1806))),IF($O1806&lt;&gt;"",IF(INDEX(TxnDepB,$O1806)=0,"",INDEX(TxnDepB,$O1806)),""))</f>
        <v/>
      </c>
      <c r="J1806" s="25">
        <f>IF($N1806&lt;&gt;"",IF(INDEX(PCOp,$N1806)="مرجوعی خرید",IF(INDEX(PCAmount,$N1806)=0,"",-INDEX(PCAmount,$N1806)),""),IF($O1806&lt;&gt;"",IF(INDEX(TxnWitB,$O1806)=0,"",INDEX(TxnWitB,$O1806)),""))</f>
        <v/>
      </c>
      <c r="K1806" s="27">
        <f>IF($B1806="","",IF($K1805="",$C$10,$K1805)+IF($I1806="",0,$I1806)-IF($J1806="",0,$J1806))</f>
        <v/>
      </c>
      <c r="L1806" s="28">
        <f>IF($N1806&lt;&gt;"",IF(INDEX(PCNotes,$N1806)="","—",INDEX(PCNotes,$N1806)),IF($O1806&lt;&gt;"",IF(INDEX(LdgNoteB,$O1806)="","—",INDEX(LdgNoteB,$O1806)),""))</f>
        <v/>
      </c>
      <c r="N1806">
        <f>IFERROR(MATCH($C$5&amp;"|"&amp;RIGHT("000000"&amp;1790,6),LdgRankKeyA,0),"")</f>
        <v/>
      </c>
      <c r="O1806">
        <f>IFERROR(MATCH($C$5&amp;"|"&amp;RIGHT("000000"&amp;1790,6),LdgRankKeyB,0),"")</f>
        <v/>
      </c>
    </row>
    <row r="1807">
      <c r="A1807" s="17" t="n">
        <v>1791</v>
      </c>
      <c r="B1807" s="18">
        <f>IF(AND($N1807="",$O1807=""),"",IF($N1807&lt;&gt;"",INDEX(PCNormDate,$N1807),INDEX(LdgDateB,$O1807)))</f>
        <v/>
      </c>
      <c r="C1807" s="18">
        <f>IF($N1807&lt;&gt;"",INDEX(PCOp,$N1807),IF($O1807&lt;&gt;"",IF(N(INDEX(TxnDepB,$O1807))&gt;0,"دریافت بانکی","پرداخت بانکی"),""))</f>
        <v/>
      </c>
      <c r="D1807" s="18">
        <f>IF($N1807&lt;&gt;"",IF(INDEX(PCDoc,$N1807)="","—",INDEX(PCDoc,$N1807)),IF($O1807&lt;&gt;"",INDEX(LdgBankB,$O1807),""))</f>
        <v/>
      </c>
      <c r="E1807" s="18">
        <f>IF($N1807&lt;&gt;"",IF(INDEX(PCCitrus,$N1807)="","—",INDEX(PCCitrus,$N1807)),"")</f>
        <v/>
      </c>
      <c r="F1807" s="19">
        <f>IF($N1807&lt;&gt;"",IF(INDEX(PCScale,$N1807)=0,"",INDEX(PCScale,$N1807)),"")</f>
        <v/>
      </c>
      <c r="G1807" s="19">
        <f>IF($N1807&lt;&gt;"",IF(INDEX(PCBaskets,$N1807)=0,"",INDEX(PCBaskets,$N1807)),"")</f>
        <v/>
      </c>
      <c r="H1807" s="20">
        <f>IF($N1807&lt;&gt;"",IF(INDEX(PCNet,$N1807)=0,"",INDEX(PCNet,$N1807)),"")</f>
        <v/>
      </c>
      <c r="I1807" s="19">
        <f>IF($N1807&lt;&gt;"",IF(INDEX(PCOp,$N1807)="مرجوعی خرید","",IF(INDEX(PCAmount,$N1807)&lt;=0,"",INDEX(PCAmount,$N1807))),IF($O1807&lt;&gt;"",IF(INDEX(TxnDepB,$O1807)=0,"",INDEX(TxnDepB,$O1807)),""))</f>
        <v/>
      </c>
      <c r="J1807" s="19">
        <f>IF($N1807&lt;&gt;"",IF(INDEX(PCOp,$N1807)="مرجوعی خرید",IF(INDEX(PCAmount,$N1807)=0,"",-INDEX(PCAmount,$N1807)),""),IF($O1807&lt;&gt;"",IF(INDEX(TxnWitB,$O1807)=0,"",INDEX(TxnWitB,$O1807)),""))</f>
        <v/>
      </c>
      <c r="K1807" s="21">
        <f>IF($B1807="","",IF($K1806="",$C$10,$K1806)+IF($I1807="",0,$I1807)-IF($J1807="",0,$J1807))</f>
        <v/>
      </c>
      <c r="L1807" s="22">
        <f>IF($N1807&lt;&gt;"",IF(INDEX(PCNotes,$N1807)="","—",INDEX(PCNotes,$N1807)),IF($O1807&lt;&gt;"",IF(INDEX(LdgNoteB,$O1807)="","—",INDEX(LdgNoteB,$O1807)),""))</f>
        <v/>
      </c>
      <c r="N1807">
        <f>IFERROR(MATCH($C$5&amp;"|"&amp;RIGHT("000000"&amp;1791,6),LdgRankKeyA,0),"")</f>
        <v/>
      </c>
      <c r="O1807">
        <f>IFERROR(MATCH($C$5&amp;"|"&amp;RIGHT("000000"&amp;1791,6),LdgRankKeyB,0),"")</f>
        <v/>
      </c>
    </row>
    <row r="1808">
      <c r="A1808" s="23" t="n">
        <v>1792</v>
      </c>
      <c r="B1808" s="24">
        <f>IF(AND($N1808="",$O1808=""),"",IF($N1808&lt;&gt;"",INDEX(PCNormDate,$N1808),INDEX(LdgDateB,$O1808)))</f>
        <v/>
      </c>
      <c r="C1808" s="24">
        <f>IF($N1808&lt;&gt;"",INDEX(PCOp,$N1808),IF($O1808&lt;&gt;"",IF(N(INDEX(TxnDepB,$O1808))&gt;0,"دریافت بانکی","پرداخت بانکی"),""))</f>
        <v/>
      </c>
      <c r="D1808" s="24">
        <f>IF($N1808&lt;&gt;"",IF(INDEX(PCDoc,$N1808)="","—",INDEX(PCDoc,$N1808)),IF($O1808&lt;&gt;"",INDEX(LdgBankB,$O1808),""))</f>
        <v/>
      </c>
      <c r="E1808" s="24">
        <f>IF($N1808&lt;&gt;"",IF(INDEX(PCCitrus,$N1808)="","—",INDEX(PCCitrus,$N1808)),"")</f>
        <v/>
      </c>
      <c r="F1808" s="25">
        <f>IF($N1808&lt;&gt;"",IF(INDEX(PCScale,$N1808)=0,"",INDEX(PCScale,$N1808)),"")</f>
        <v/>
      </c>
      <c r="G1808" s="25">
        <f>IF($N1808&lt;&gt;"",IF(INDEX(PCBaskets,$N1808)=0,"",INDEX(PCBaskets,$N1808)),"")</f>
        <v/>
      </c>
      <c r="H1808" s="26">
        <f>IF($N1808&lt;&gt;"",IF(INDEX(PCNet,$N1808)=0,"",INDEX(PCNet,$N1808)),"")</f>
        <v/>
      </c>
      <c r="I1808" s="25">
        <f>IF($N1808&lt;&gt;"",IF(INDEX(PCOp,$N1808)="مرجوعی خرید","",IF(INDEX(PCAmount,$N1808)&lt;=0,"",INDEX(PCAmount,$N1808))),IF($O1808&lt;&gt;"",IF(INDEX(TxnDepB,$O1808)=0,"",INDEX(TxnDepB,$O1808)),""))</f>
        <v/>
      </c>
      <c r="J1808" s="25">
        <f>IF($N1808&lt;&gt;"",IF(INDEX(PCOp,$N1808)="مرجوعی خرید",IF(INDEX(PCAmount,$N1808)=0,"",-INDEX(PCAmount,$N1808)),""),IF($O1808&lt;&gt;"",IF(INDEX(TxnWitB,$O1808)=0,"",INDEX(TxnWitB,$O1808)),""))</f>
        <v/>
      </c>
      <c r="K1808" s="27">
        <f>IF($B1808="","",IF($K1807="",$C$10,$K1807)+IF($I1808="",0,$I1808)-IF($J1808="",0,$J1808))</f>
        <v/>
      </c>
      <c r="L1808" s="28">
        <f>IF($N1808&lt;&gt;"",IF(INDEX(PCNotes,$N1808)="","—",INDEX(PCNotes,$N1808)),IF($O1808&lt;&gt;"",IF(INDEX(LdgNoteB,$O1808)="","—",INDEX(LdgNoteB,$O1808)),""))</f>
        <v/>
      </c>
      <c r="N1808">
        <f>IFERROR(MATCH($C$5&amp;"|"&amp;RIGHT("000000"&amp;1792,6),LdgRankKeyA,0),"")</f>
        <v/>
      </c>
      <c r="O1808">
        <f>IFERROR(MATCH($C$5&amp;"|"&amp;RIGHT("000000"&amp;1792,6),LdgRankKeyB,0),"")</f>
        <v/>
      </c>
    </row>
    <row r="1809">
      <c r="A1809" s="17" t="n">
        <v>1793</v>
      </c>
      <c r="B1809" s="18">
        <f>IF(AND($N1809="",$O1809=""),"",IF($N1809&lt;&gt;"",INDEX(PCNormDate,$N1809),INDEX(LdgDateB,$O1809)))</f>
        <v/>
      </c>
      <c r="C1809" s="18">
        <f>IF($N1809&lt;&gt;"",INDEX(PCOp,$N1809),IF($O1809&lt;&gt;"",IF(N(INDEX(TxnDepB,$O1809))&gt;0,"دریافت بانکی","پرداخت بانکی"),""))</f>
        <v/>
      </c>
      <c r="D1809" s="18">
        <f>IF($N1809&lt;&gt;"",IF(INDEX(PCDoc,$N1809)="","—",INDEX(PCDoc,$N1809)),IF($O1809&lt;&gt;"",INDEX(LdgBankB,$O1809),""))</f>
        <v/>
      </c>
      <c r="E1809" s="18">
        <f>IF($N1809&lt;&gt;"",IF(INDEX(PCCitrus,$N1809)="","—",INDEX(PCCitrus,$N1809)),"")</f>
        <v/>
      </c>
      <c r="F1809" s="19">
        <f>IF($N1809&lt;&gt;"",IF(INDEX(PCScale,$N1809)=0,"",INDEX(PCScale,$N1809)),"")</f>
        <v/>
      </c>
      <c r="G1809" s="19">
        <f>IF($N1809&lt;&gt;"",IF(INDEX(PCBaskets,$N1809)=0,"",INDEX(PCBaskets,$N1809)),"")</f>
        <v/>
      </c>
      <c r="H1809" s="20">
        <f>IF($N1809&lt;&gt;"",IF(INDEX(PCNet,$N1809)=0,"",INDEX(PCNet,$N1809)),"")</f>
        <v/>
      </c>
      <c r="I1809" s="19">
        <f>IF($N1809&lt;&gt;"",IF(INDEX(PCOp,$N1809)="مرجوعی خرید","",IF(INDEX(PCAmount,$N1809)&lt;=0,"",INDEX(PCAmount,$N1809))),IF($O1809&lt;&gt;"",IF(INDEX(TxnDepB,$O1809)=0,"",INDEX(TxnDepB,$O1809)),""))</f>
        <v/>
      </c>
      <c r="J1809" s="19">
        <f>IF($N1809&lt;&gt;"",IF(INDEX(PCOp,$N1809)="مرجوعی خرید",IF(INDEX(PCAmount,$N1809)=0,"",-INDEX(PCAmount,$N1809)),""),IF($O1809&lt;&gt;"",IF(INDEX(TxnWitB,$O1809)=0,"",INDEX(TxnWitB,$O1809)),""))</f>
        <v/>
      </c>
      <c r="K1809" s="21">
        <f>IF($B1809="","",IF($K1808="",$C$10,$K1808)+IF($I1809="",0,$I1809)-IF($J1809="",0,$J1809))</f>
        <v/>
      </c>
      <c r="L1809" s="22">
        <f>IF($N1809&lt;&gt;"",IF(INDEX(PCNotes,$N1809)="","—",INDEX(PCNotes,$N1809)),IF($O1809&lt;&gt;"",IF(INDEX(LdgNoteB,$O1809)="","—",INDEX(LdgNoteB,$O1809)),""))</f>
        <v/>
      </c>
      <c r="N1809">
        <f>IFERROR(MATCH($C$5&amp;"|"&amp;RIGHT("000000"&amp;1793,6),LdgRankKeyA,0),"")</f>
        <v/>
      </c>
      <c r="O1809">
        <f>IFERROR(MATCH($C$5&amp;"|"&amp;RIGHT("000000"&amp;1793,6),LdgRankKeyB,0),"")</f>
        <v/>
      </c>
    </row>
    <row r="1810">
      <c r="A1810" s="23" t="n">
        <v>1794</v>
      </c>
      <c r="B1810" s="24">
        <f>IF(AND($N1810="",$O1810=""),"",IF($N1810&lt;&gt;"",INDEX(PCNormDate,$N1810),INDEX(LdgDateB,$O1810)))</f>
        <v/>
      </c>
      <c r="C1810" s="24">
        <f>IF($N1810&lt;&gt;"",INDEX(PCOp,$N1810),IF($O1810&lt;&gt;"",IF(N(INDEX(TxnDepB,$O1810))&gt;0,"دریافت بانکی","پرداخت بانکی"),""))</f>
        <v/>
      </c>
      <c r="D1810" s="24">
        <f>IF($N1810&lt;&gt;"",IF(INDEX(PCDoc,$N1810)="","—",INDEX(PCDoc,$N1810)),IF($O1810&lt;&gt;"",INDEX(LdgBankB,$O1810),""))</f>
        <v/>
      </c>
      <c r="E1810" s="24">
        <f>IF($N1810&lt;&gt;"",IF(INDEX(PCCitrus,$N1810)="","—",INDEX(PCCitrus,$N1810)),"")</f>
        <v/>
      </c>
      <c r="F1810" s="25">
        <f>IF($N1810&lt;&gt;"",IF(INDEX(PCScale,$N1810)=0,"",INDEX(PCScale,$N1810)),"")</f>
        <v/>
      </c>
      <c r="G1810" s="25">
        <f>IF($N1810&lt;&gt;"",IF(INDEX(PCBaskets,$N1810)=0,"",INDEX(PCBaskets,$N1810)),"")</f>
        <v/>
      </c>
      <c r="H1810" s="26">
        <f>IF($N1810&lt;&gt;"",IF(INDEX(PCNet,$N1810)=0,"",INDEX(PCNet,$N1810)),"")</f>
        <v/>
      </c>
      <c r="I1810" s="25">
        <f>IF($N1810&lt;&gt;"",IF(INDEX(PCOp,$N1810)="مرجوعی خرید","",IF(INDEX(PCAmount,$N1810)&lt;=0,"",INDEX(PCAmount,$N1810))),IF($O1810&lt;&gt;"",IF(INDEX(TxnDepB,$O1810)=0,"",INDEX(TxnDepB,$O1810)),""))</f>
        <v/>
      </c>
      <c r="J1810" s="25">
        <f>IF($N1810&lt;&gt;"",IF(INDEX(PCOp,$N1810)="مرجوعی خرید",IF(INDEX(PCAmount,$N1810)=0,"",-INDEX(PCAmount,$N1810)),""),IF($O1810&lt;&gt;"",IF(INDEX(TxnWitB,$O1810)=0,"",INDEX(TxnWitB,$O1810)),""))</f>
        <v/>
      </c>
      <c r="K1810" s="27">
        <f>IF($B1810="","",IF($K1809="",$C$10,$K1809)+IF($I1810="",0,$I1810)-IF($J1810="",0,$J1810))</f>
        <v/>
      </c>
      <c r="L1810" s="28">
        <f>IF($N1810&lt;&gt;"",IF(INDEX(PCNotes,$N1810)="","—",INDEX(PCNotes,$N1810)),IF($O1810&lt;&gt;"",IF(INDEX(LdgNoteB,$O1810)="","—",INDEX(LdgNoteB,$O1810)),""))</f>
        <v/>
      </c>
      <c r="N1810">
        <f>IFERROR(MATCH($C$5&amp;"|"&amp;RIGHT("000000"&amp;1794,6),LdgRankKeyA,0),"")</f>
        <v/>
      </c>
      <c r="O1810">
        <f>IFERROR(MATCH($C$5&amp;"|"&amp;RIGHT("000000"&amp;1794,6),LdgRankKeyB,0),"")</f>
        <v/>
      </c>
    </row>
    <row r="1811">
      <c r="A1811" s="17" t="n">
        <v>1795</v>
      </c>
      <c r="B1811" s="18">
        <f>IF(AND($N1811="",$O1811=""),"",IF($N1811&lt;&gt;"",INDEX(PCNormDate,$N1811),INDEX(LdgDateB,$O1811)))</f>
        <v/>
      </c>
      <c r="C1811" s="18">
        <f>IF($N1811&lt;&gt;"",INDEX(PCOp,$N1811),IF($O1811&lt;&gt;"",IF(N(INDEX(TxnDepB,$O1811))&gt;0,"دریافت بانکی","پرداخت بانکی"),""))</f>
        <v/>
      </c>
      <c r="D1811" s="18">
        <f>IF($N1811&lt;&gt;"",IF(INDEX(PCDoc,$N1811)="","—",INDEX(PCDoc,$N1811)),IF($O1811&lt;&gt;"",INDEX(LdgBankB,$O1811),""))</f>
        <v/>
      </c>
      <c r="E1811" s="18">
        <f>IF($N1811&lt;&gt;"",IF(INDEX(PCCitrus,$N1811)="","—",INDEX(PCCitrus,$N1811)),"")</f>
        <v/>
      </c>
      <c r="F1811" s="19">
        <f>IF($N1811&lt;&gt;"",IF(INDEX(PCScale,$N1811)=0,"",INDEX(PCScale,$N1811)),"")</f>
        <v/>
      </c>
      <c r="G1811" s="19">
        <f>IF($N1811&lt;&gt;"",IF(INDEX(PCBaskets,$N1811)=0,"",INDEX(PCBaskets,$N1811)),"")</f>
        <v/>
      </c>
      <c r="H1811" s="20">
        <f>IF($N1811&lt;&gt;"",IF(INDEX(PCNet,$N1811)=0,"",INDEX(PCNet,$N1811)),"")</f>
        <v/>
      </c>
      <c r="I1811" s="19">
        <f>IF($N1811&lt;&gt;"",IF(INDEX(PCOp,$N1811)="مرجوعی خرید","",IF(INDEX(PCAmount,$N1811)&lt;=0,"",INDEX(PCAmount,$N1811))),IF($O1811&lt;&gt;"",IF(INDEX(TxnDepB,$O1811)=0,"",INDEX(TxnDepB,$O1811)),""))</f>
        <v/>
      </c>
      <c r="J1811" s="19">
        <f>IF($N1811&lt;&gt;"",IF(INDEX(PCOp,$N1811)="مرجوعی خرید",IF(INDEX(PCAmount,$N1811)=0,"",-INDEX(PCAmount,$N1811)),""),IF($O1811&lt;&gt;"",IF(INDEX(TxnWitB,$O1811)=0,"",INDEX(TxnWitB,$O1811)),""))</f>
        <v/>
      </c>
      <c r="K1811" s="21">
        <f>IF($B1811="","",IF($K1810="",$C$10,$K1810)+IF($I1811="",0,$I1811)-IF($J1811="",0,$J1811))</f>
        <v/>
      </c>
      <c r="L1811" s="22">
        <f>IF($N1811&lt;&gt;"",IF(INDEX(PCNotes,$N1811)="","—",INDEX(PCNotes,$N1811)),IF($O1811&lt;&gt;"",IF(INDEX(LdgNoteB,$O1811)="","—",INDEX(LdgNoteB,$O1811)),""))</f>
        <v/>
      </c>
      <c r="N1811">
        <f>IFERROR(MATCH($C$5&amp;"|"&amp;RIGHT("000000"&amp;1795,6),LdgRankKeyA,0),"")</f>
        <v/>
      </c>
      <c r="O1811">
        <f>IFERROR(MATCH($C$5&amp;"|"&amp;RIGHT("000000"&amp;1795,6),LdgRankKeyB,0),"")</f>
        <v/>
      </c>
    </row>
    <row r="1812">
      <c r="A1812" s="23" t="n">
        <v>1796</v>
      </c>
      <c r="B1812" s="24">
        <f>IF(AND($N1812="",$O1812=""),"",IF($N1812&lt;&gt;"",INDEX(PCNormDate,$N1812),INDEX(LdgDateB,$O1812)))</f>
        <v/>
      </c>
      <c r="C1812" s="24">
        <f>IF($N1812&lt;&gt;"",INDEX(PCOp,$N1812),IF($O1812&lt;&gt;"",IF(N(INDEX(TxnDepB,$O1812))&gt;0,"دریافت بانکی","پرداخت بانکی"),""))</f>
        <v/>
      </c>
      <c r="D1812" s="24">
        <f>IF($N1812&lt;&gt;"",IF(INDEX(PCDoc,$N1812)="","—",INDEX(PCDoc,$N1812)),IF($O1812&lt;&gt;"",INDEX(LdgBankB,$O1812),""))</f>
        <v/>
      </c>
      <c r="E1812" s="24">
        <f>IF($N1812&lt;&gt;"",IF(INDEX(PCCitrus,$N1812)="","—",INDEX(PCCitrus,$N1812)),"")</f>
        <v/>
      </c>
      <c r="F1812" s="25">
        <f>IF($N1812&lt;&gt;"",IF(INDEX(PCScale,$N1812)=0,"",INDEX(PCScale,$N1812)),"")</f>
        <v/>
      </c>
      <c r="G1812" s="25">
        <f>IF($N1812&lt;&gt;"",IF(INDEX(PCBaskets,$N1812)=0,"",INDEX(PCBaskets,$N1812)),"")</f>
        <v/>
      </c>
      <c r="H1812" s="26">
        <f>IF($N1812&lt;&gt;"",IF(INDEX(PCNet,$N1812)=0,"",INDEX(PCNet,$N1812)),"")</f>
        <v/>
      </c>
      <c r="I1812" s="25">
        <f>IF($N1812&lt;&gt;"",IF(INDEX(PCOp,$N1812)="مرجوعی خرید","",IF(INDEX(PCAmount,$N1812)&lt;=0,"",INDEX(PCAmount,$N1812))),IF($O1812&lt;&gt;"",IF(INDEX(TxnDepB,$O1812)=0,"",INDEX(TxnDepB,$O1812)),""))</f>
        <v/>
      </c>
      <c r="J1812" s="25">
        <f>IF($N1812&lt;&gt;"",IF(INDEX(PCOp,$N1812)="مرجوعی خرید",IF(INDEX(PCAmount,$N1812)=0,"",-INDEX(PCAmount,$N1812)),""),IF($O1812&lt;&gt;"",IF(INDEX(TxnWitB,$O1812)=0,"",INDEX(TxnWitB,$O1812)),""))</f>
        <v/>
      </c>
      <c r="K1812" s="27">
        <f>IF($B1812="","",IF($K1811="",$C$10,$K1811)+IF($I1812="",0,$I1812)-IF($J1812="",0,$J1812))</f>
        <v/>
      </c>
      <c r="L1812" s="28">
        <f>IF($N1812&lt;&gt;"",IF(INDEX(PCNotes,$N1812)="","—",INDEX(PCNotes,$N1812)),IF($O1812&lt;&gt;"",IF(INDEX(LdgNoteB,$O1812)="","—",INDEX(LdgNoteB,$O1812)),""))</f>
        <v/>
      </c>
      <c r="N1812">
        <f>IFERROR(MATCH($C$5&amp;"|"&amp;RIGHT("000000"&amp;1796,6),LdgRankKeyA,0),"")</f>
        <v/>
      </c>
      <c r="O1812">
        <f>IFERROR(MATCH($C$5&amp;"|"&amp;RIGHT("000000"&amp;1796,6),LdgRankKeyB,0),"")</f>
        <v/>
      </c>
    </row>
    <row r="1813">
      <c r="A1813" s="17" t="n">
        <v>1797</v>
      </c>
      <c r="B1813" s="18">
        <f>IF(AND($N1813="",$O1813=""),"",IF($N1813&lt;&gt;"",INDEX(PCNormDate,$N1813),INDEX(LdgDateB,$O1813)))</f>
        <v/>
      </c>
      <c r="C1813" s="18">
        <f>IF($N1813&lt;&gt;"",INDEX(PCOp,$N1813),IF($O1813&lt;&gt;"",IF(N(INDEX(TxnDepB,$O1813))&gt;0,"دریافت بانکی","پرداخت بانکی"),""))</f>
        <v/>
      </c>
      <c r="D1813" s="18">
        <f>IF($N1813&lt;&gt;"",IF(INDEX(PCDoc,$N1813)="","—",INDEX(PCDoc,$N1813)),IF($O1813&lt;&gt;"",INDEX(LdgBankB,$O1813),""))</f>
        <v/>
      </c>
      <c r="E1813" s="18">
        <f>IF($N1813&lt;&gt;"",IF(INDEX(PCCitrus,$N1813)="","—",INDEX(PCCitrus,$N1813)),"")</f>
        <v/>
      </c>
      <c r="F1813" s="19">
        <f>IF($N1813&lt;&gt;"",IF(INDEX(PCScale,$N1813)=0,"",INDEX(PCScale,$N1813)),"")</f>
        <v/>
      </c>
      <c r="G1813" s="19">
        <f>IF($N1813&lt;&gt;"",IF(INDEX(PCBaskets,$N1813)=0,"",INDEX(PCBaskets,$N1813)),"")</f>
        <v/>
      </c>
      <c r="H1813" s="20">
        <f>IF($N1813&lt;&gt;"",IF(INDEX(PCNet,$N1813)=0,"",INDEX(PCNet,$N1813)),"")</f>
        <v/>
      </c>
      <c r="I1813" s="19">
        <f>IF($N1813&lt;&gt;"",IF(INDEX(PCOp,$N1813)="مرجوعی خرید","",IF(INDEX(PCAmount,$N1813)&lt;=0,"",INDEX(PCAmount,$N1813))),IF($O1813&lt;&gt;"",IF(INDEX(TxnDepB,$O1813)=0,"",INDEX(TxnDepB,$O1813)),""))</f>
        <v/>
      </c>
      <c r="J1813" s="19">
        <f>IF($N1813&lt;&gt;"",IF(INDEX(PCOp,$N1813)="مرجوعی خرید",IF(INDEX(PCAmount,$N1813)=0,"",-INDEX(PCAmount,$N1813)),""),IF($O1813&lt;&gt;"",IF(INDEX(TxnWitB,$O1813)=0,"",INDEX(TxnWitB,$O1813)),""))</f>
        <v/>
      </c>
      <c r="K1813" s="21">
        <f>IF($B1813="","",IF($K1812="",$C$10,$K1812)+IF($I1813="",0,$I1813)-IF($J1813="",0,$J1813))</f>
        <v/>
      </c>
      <c r="L1813" s="22">
        <f>IF($N1813&lt;&gt;"",IF(INDEX(PCNotes,$N1813)="","—",INDEX(PCNotes,$N1813)),IF($O1813&lt;&gt;"",IF(INDEX(LdgNoteB,$O1813)="","—",INDEX(LdgNoteB,$O1813)),""))</f>
        <v/>
      </c>
      <c r="N1813">
        <f>IFERROR(MATCH($C$5&amp;"|"&amp;RIGHT("000000"&amp;1797,6),LdgRankKeyA,0),"")</f>
        <v/>
      </c>
      <c r="O1813">
        <f>IFERROR(MATCH($C$5&amp;"|"&amp;RIGHT("000000"&amp;1797,6),LdgRankKeyB,0),"")</f>
        <v/>
      </c>
    </row>
    <row r="1814">
      <c r="A1814" s="23" t="n">
        <v>1798</v>
      </c>
      <c r="B1814" s="24">
        <f>IF(AND($N1814="",$O1814=""),"",IF($N1814&lt;&gt;"",INDEX(PCNormDate,$N1814),INDEX(LdgDateB,$O1814)))</f>
        <v/>
      </c>
      <c r="C1814" s="24">
        <f>IF($N1814&lt;&gt;"",INDEX(PCOp,$N1814),IF($O1814&lt;&gt;"",IF(N(INDEX(TxnDepB,$O1814))&gt;0,"دریافت بانکی","پرداخت بانکی"),""))</f>
        <v/>
      </c>
      <c r="D1814" s="24">
        <f>IF($N1814&lt;&gt;"",IF(INDEX(PCDoc,$N1814)="","—",INDEX(PCDoc,$N1814)),IF($O1814&lt;&gt;"",INDEX(LdgBankB,$O1814),""))</f>
        <v/>
      </c>
      <c r="E1814" s="24">
        <f>IF($N1814&lt;&gt;"",IF(INDEX(PCCitrus,$N1814)="","—",INDEX(PCCitrus,$N1814)),"")</f>
        <v/>
      </c>
      <c r="F1814" s="25">
        <f>IF($N1814&lt;&gt;"",IF(INDEX(PCScale,$N1814)=0,"",INDEX(PCScale,$N1814)),"")</f>
        <v/>
      </c>
      <c r="G1814" s="25">
        <f>IF($N1814&lt;&gt;"",IF(INDEX(PCBaskets,$N1814)=0,"",INDEX(PCBaskets,$N1814)),"")</f>
        <v/>
      </c>
      <c r="H1814" s="26">
        <f>IF($N1814&lt;&gt;"",IF(INDEX(PCNet,$N1814)=0,"",INDEX(PCNet,$N1814)),"")</f>
        <v/>
      </c>
      <c r="I1814" s="25">
        <f>IF($N1814&lt;&gt;"",IF(INDEX(PCOp,$N1814)="مرجوعی خرید","",IF(INDEX(PCAmount,$N1814)&lt;=0,"",INDEX(PCAmount,$N1814))),IF($O1814&lt;&gt;"",IF(INDEX(TxnDepB,$O1814)=0,"",INDEX(TxnDepB,$O1814)),""))</f>
        <v/>
      </c>
      <c r="J1814" s="25">
        <f>IF($N1814&lt;&gt;"",IF(INDEX(PCOp,$N1814)="مرجوعی خرید",IF(INDEX(PCAmount,$N1814)=0,"",-INDEX(PCAmount,$N1814)),""),IF($O1814&lt;&gt;"",IF(INDEX(TxnWitB,$O1814)=0,"",INDEX(TxnWitB,$O1814)),""))</f>
        <v/>
      </c>
      <c r="K1814" s="27">
        <f>IF($B1814="","",IF($K1813="",$C$10,$K1813)+IF($I1814="",0,$I1814)-IF($J1814="",0,$J1814))</f>
        <v/>
      </c>
      <c r="L1814" s="28">
        <f>IF($N1814&lt;&gt;"",IF(INDEX(PCNotes,$N1814)="","—",INDEX(PCNotes,$N1814)),IF($O1814&lt;&gt;"",IF(INDEX(LdgNoteB,$O1814)="","—",INDEX(LdgNoteB,$O1814)),""))</f>
        <v/>
      </c>
      <c r="N1814">
        <f>IFERROR(MATCH($C$5&amp;"|"&amp;RIGHT("000000"&amp;1798,6),LdgRankKeyA,0),"")</f>
        <v/>
      </c>
      <c r="O1814">
        <f>IFERROR(MATCH($C$5&amp;"|"&amp;RIGHT("000000"&amp;1798,6),LdgRankKeyB,0),"")</f>
        <v/>
      </c>
    </row>
    <row r="1815">
      <c r="A1815" s="17" t="n">
        <v>1799</v>
      </c>
      <c r="B1815" s="18">
        <f>IF(AND($N1815="",$O1815=""),"",IF($N1815&lt;&gt;"",INDEX(PCNormDate,$N1815),INDEX(LdgDateB,$O1815)))</f>
        <v/>
      </c>
      <c r="C1815" s="18">
        <f>IF($N1815&lt;&gt;"",INDEX(PCOp,$N1815),IF($O1815&lt;&gt;"",IF(N(INDEX(TxnDepB,$O1815))&gt;0,"دریافت بانکی","پرداخت بانکی"),""))</f>
        <v/>
      </c>
      <c r="D1815" s="18">
        <f>IF($N1815&lt;&gt;"",IF(INDEX(PCDoc,$N1815)="","—",INDEX(PCDoc,$N1815)),IF($O1815&lt;&gt;"",INDEX(LdgBankB,$O1815),""))</f>
        <v/>
      </c>
      <c r="E1815" s="18">
        <f>IF($N1815&lt;&gt;"",IF(INDEX(PCCitrus,$N1815)="","—",INDEX(PCCitrus,$N1815)),"")</f>
        <v/>
      </c>
      <c r="F1815" s="19">
        <f>IF($N1815&lt;&gt;"",IF(INDEX(PCScale,$N1815)=0,"",INDEX(PCScale,$N1815)),"")</f>
        <v/>
      </c>
      <c r="G1815" s="19">
        <f>IF($N1815&lt;&gt;"",IF(INDEX(PCBaskets,$N1815)=0,"",INDEX(PCBaskets,$N1815)),"")</f>
        <v/>
      </c>
      <c r="H1815" s="20">
        <f>IF($N1815&lt;&gt;"",IF(INDEX(PCNet,$N1815)=0,"",INDEX(PCNet,$N1815)),"")</f>
        <v/>
      </c>
      <c r="I1815" s="19">
        <f>IF($N1815&lt;&gt;"",IF(INDEX(PCOp,$N1815)="مرجوعی خرید","",IF(INDEX(PCAmount,$N1815)&lt;=0,"",INDEX(PCAmount,$N1815))),IF($O1815&lt;&gt;"",IF(INDEX(TxnDepB,$O1815)=0,"",INDEX(TxnDepB,$O1815)),""))</f>
        <v/>
      </c>
      <c r="J1815" s="19">
        <f>IF($N1815&lt;&gt;"",IF(INDEX(PCOp,$N1815)="مرجوعی خرید",IF(INDEX(PCAmount,$N1815)=0,"",-INDEX(PCAmount,$N1815)),""),IF($O1815&lt;&gt;"",IF(INDEX(TxnWitB,$O1815)=0,"",INDEX(TxnWitB,$O1815)),""))</f>
        <v/>
      </c>
      <c r="K1815" s="21">
        <f>IF($B1815="","",IF($K1814="",$C$10,$K1814)+IF($I1815="",0,$I1815)-IF($J1815="",0,$J1815))</f>
        <v/>
      </c>
      <c r="L1815" s="22">
        <f>IF($N1815&lt;&gt;"",IF(INDEX(PCNotes,$N1815)="","—",INDEX(PCNotes,$N1815)),IF($O1815&lt;&gt;"",IF(INDEX(LdgNoteB,$O1815)="","—",INDEX(LdgNoteB,$O1815)),""))</f>
        <v/>
      </c>
      <c r="N1815">
        <f>IFERROR(MATCH($C$5&amp;"|"&amp;RIGHT("000000"&amp;1799,6),LdgRankKeyA,0),"")</f>
        <v/>
      </c>
      <c r="O1815">
        <f>IFERROR(MATCH($C$5&amp;"|"&amp;RIGHT("000000"&amp;1799,6),LdgRankKeyB,0),"")</f>
        <v/>
      </c>
    </row>
    <row r="1816">
      <c r="A1816" s="23" t="n">
        <v>1800</v>
      </c>
      <c r="B1816" s="24">
        <f>IF(AND($N1816="",$O1816=""),"",IF($N1816&lt;&gt;"",INDEX(PCNormDate,$N1816),INDEX(LdgDateB,$O1816)))</f>
        <v/>
      </c>
      <c r="C1816" s="24">
        <f>IF($N1816&lt;&gt;"",INDEX(PCOp,$N1816),IF($O1816&lt;&gt;"",IF(N(INDEX(TxnDepB,$O1816))&gt;0,"دریافت بانکی","پرداخت بانکی"),""))</f>
        <v/>
      </c>
      <c r="D1816" s="24">
        <f>IF($N1816&lt;&gt;"",IF(INDEX(PCDoc,$N1816)="","—",INDEX(PCDoc,$N1816)),IF($O1816&lt;&gt;"",INDEX(LdgBankB,$O1816),""))</f>
        <v/>
      </c>
      <c r="E1816" s="24">
        <f>IF($N1816&lt;&gt;"",IF(INDEX(PCCitrus,$N1816)="","—",INDEX(PCCitrus,$N1816)),"")</f>
        <v/>
      </c>
      <c r="F1816" s="25">
        <f>IF($N1816&lt;&gt;"",IF(INDEX(PCScale,$N1816)=0,"",INDEX(PCScale,$N1816)),"")</f>
        <v/>
      </c>
      <c r="G1816" s="25">
        <f>IF($N1816&lt;&gt;"",IF(INDEX(PCBaskets,$N1816)=0,"",INDEX(PCBaskets,$N1816)),"")</f>
        <v/>
      </c>
      <c r="H1816" s="26">
        <f>IF($N1816&lt;&gt;"",IF(INDEX(PCNet,$N1816)=0,"",INDEX(PCNet,$N1816)),"")</f>
        <v/>
      </c>
      <c r="I1816" s="25">
        <f>IF($N1816&lt;&gt;"",IF(INDEX(PCOp,$N1816)="مرجوعی خرید","",IF(INDEX(PCAmount,$N1816)&lt;=0,"",INDEX(PCAmount,$N1816))),IF($O1816&lt;&gt;"",IF(INDEX(TxnDepB,$O1816)=0,"",INDEX(TxnDepB,$O1816)),""))</f>
        <v/>
      </c>
      <c r="J1816" s="25">
        <f>IF($N1816&lt;&gt;"",IF(INDEX(PCOp,$N1816)="مرجوعی خرید",IF(INDEX(PCAmount,$N1816)=0,"",-INDEX(PCAmount,$N1816)),""),IF($O1816&lt;&gt;"",IF(INDEX(TxnWitB,$O1816)=0,"",INDEX(TxnWitB,$O1816)),""))</f>
        <v/>
      </c>
      <c r="K1816" s="27">
        <f>IF($B1816="","",IF($K1815="",$C$10,$K1815)+IF($I1816="",0,$I1816)-IF($J1816="",0,$J1816))</f>
        <v/>
      </c>
      <c r="L1816" s="28">
        <f>IF($N1816&lt;&gt;"",IF(INDEX(PCNotes,$N1816)="","—",INDEX(PCNotes,$N1816)),IF($O1816&lt;&gt;"",IF(INDEX(LdgNoteB,$O1816)="","—",INDEX(LdgNoteB,$O1816)),""))</f>
        <v/>
      </c>
      <c r="N1816">
        <f>IFERROR(MATCH($C$5&amp;"|"&amp;RIGHT("000000"&amp;1800,6),LdgRankKeyA,0),"")</f>
        <v/>
      </c>
      <c r="O1816">
        <f>IFERROR(MATCH($C$5&amp;"|"&amp;RIGHT("000000"&amp;1800,6),LdgRankKeyB,0),"")</f>
        <v/>
      </c>
    </row>
    <row r="1817">
      <c r="A1817" s="17" t="n">
        <v>1801</v>
      </c>
      <c r="B1817" s="18">
        <f>IF(AND($N1817="",$O1817=""),"",IF($N1817&lt;&gt;"",INDEX(PCNormDate,$N1817),INDEX(LdgDateB,$O1817)))</f>
        <v/>
      </c>
      <c r="C1817" s="18">
        <f>IF($N1817&lt;&gt;"",INDEX(PCOp,$N1817),IF($O1817&lt;&gt;"",IF(N(INDEX(TxnDepB,$O1817))&gt;0,"دریافت بانکی","پرداخت بانکی"),""))</f>
        <v/>
      </c>
      <c r="D1817" s="18">
        <f>IF($N1817&lt;&gt;"",IF(INDEX(PCDoc,$N1817)="","—",INDEX(PCDoc,$N1817)),IF($O1817&lt;&gt;"",INDEX(LdgBankB,$O1817),""))</f>
        <v/>
      </c>
      <c r="E1817" s="18">
        <f>IF($N1817&lt;&gt;"",IF(INDEX(PCCitrus,$N1817)="","—",INDEX(PCCitrus,$N1817)),"")</f>
        <v/>
      </c>
      <c r="F1817" s="19">
        <f>IF($N1817&lt;&gt;"",IF(INDEX(PCScale,$N1817)=0,"",INDEX(PCScale,$N1817)),"")</f>
        <v/>
      </c>
      <c r="G1817" s="19">
        <f>IF($N1817&lt;&gt;"",IF(INDEX(PCBaskets,$N1817)=0,"",INDEX(PCBaskets,$N1817)),"")</f>
        <v/>
      </c>
      <c r="H1817" s="20">
        <f>IF($N1817&lt;&gt;"",IF(INDEX(PCNet,$N1817)=0,"",INDEX(PCNet,$N1817)),"")</f>
        <v/>
      </c>
      <c r="I1817" s="19">
        <f>IF($N1817&lt;&gt;"",IF(INDEX(PCOp,$N1817)="مرجوعی خرید","",IF(INDEX(PCAmount,$N1817)&lt;=0,"",INDEX(PCAmount,$N1817))),IF($O1817&lt;&gt;"",IF(INDEX(TxnDepB,$O1817)=0,"",INDEX(TxnDepB,$O1817)),""))</f>
        <v/>
      </c>
      <c r="J1817" s="19">
        <f>IF($N1817&lt;&gt;"",IF(INDEX(PCOp,$N1817)="مرجوعی خرید",IF(INDEX(PCAmount,$N1817)=0,"",-INDEX(PCAmount,$N1817)),""),IF($O1817&lt;&gt;"",IF(INDEX(TxnWitB,$O1817)=0,"",INDEX(TxnWitB,$O1817)),""))</f>
        <v/>
      </c>
      <c r="K1817" s="21">
        <f>IF($B1817="","",IF($K1816="",$C$10,$K1816)+IF($I1817="",0,$I1817)-IF($J1817="",0,$J1817))</f>
        <v/>
      </c>
      <c r="L1817" s="22">
        <f>IF($N1817&lt;&gt;"",IF(INDEX(PCNotes,$N1817)="","—",INDEX(PCNotes,$N1817)),IF($O1817&lt;&gt;"",IF(INDEX(LdgNoteB,$O1817)="","—",INDEX(LdgNoteB,$O1817)),""))</f>
        <v/>
      </c>
      <c r="N1817">
        <f>IFERROR(MATCH($C$5&amp;"|"&amp;RIGHT("000000"&amp;1801,6),LdgRankKeyA,0),"")</f>
        <v/>
      </c>
      <c r="O1817">
        <f>IFERROR(MATCH($C$5&amp;"|"&amp;RIGHT("000000"&amp;1801,6),LdgRankKeyB,0),"")</f>
        <v/>
      </c>
    </row>
    <row r="1818">
      <c r="A1818" s="23" t="n">
        <v>1802</v>
      </c>
      <c r="B1818" s="24">
        <f>IF(AND($N1818="",$O1818=""),"",IF($N1818&lt;&gt;"",INDEX(PCNormDate,$N1818),INDEX(LdgDateB,$O1818)))</f>
        <v/>
      </c>
      <c r="C1818" s="24">
        <f>IF($N1818&lt;&gt;"",INDEX(PCOp,$N1818),IF($O1818&lt;&gt;"",IF(N(INDEX(TxnDepB,$O1818))&gt;0,"دریافت بانکی","پرداخت بانکی"),""))</f>
        <v/>
      </c>
      <c r="D1818" s="24">
        <f>IF($N1818&lt;&gt;"",IF(INDEX(PCDoc,$N1818)="","—",INDEX(PCDoc,$N1818)),IF($O1818&lt;&gt;"",INDEX(LdgBankB,$O1818),""))</f>
        <v/>
      </c>
      <c r="E1818" s="24">
        <f>IF($N1818&lt;&gt;"",IF(INDEX(PCCitrus,$N1818)="","—",INDEX(PCCitrus,$N1818)),"")</f>
        <v/>
      </c>
      <c r="F1818" s="25">
        <f>IF($N1818&lt;&gt;"",IF(INDEX(PCScale,$N1818)=0,"",INDEX(PCScale,$N1818)),"")</f>
        <v/>
      </c>
      <c r="G1818" s="25">
        <f>IF($N1818&lt;&gt;"",IF(INDEX(PCBaskets,$N1818)=0,"",INDEX(PCBaskets,$N1818)),"")</f>
        <v/>
      </c>
      <c r="H1818" s="26">
        <f>IF($N1818&lt;&gt;"",IF(INDEX(PCNet,$N1818)=0,"",INDEX(PCNet,$N1818)),"")</f>
        <v/>
      </c>
      <c r="I1818" s="25">
        <f>IF($N1818&lt;&gt;"",IF(INDEX(PCOp,$N1818)="مرجوعی خرید","",IF(INDEX(PCAmount,$N1818)&lt;=0,"",INDEX(PCAmount,$N1818))),IF($O1818&lt;&gt;"",IF(INDEX(TxnDepB,$O1818)=0,"",INDEX(TxnDepB,$O1818)),""))</f>
        <v/>
      </c>
      <c r="J1818" s="25">
        <f>IF($N1818&lt;&gt;"",IF(INDEX(PCOp,$N1818)="مرجوعی خرید",IF(INDEX(PCAmount,$N1818)=0,"",-INDEX(PCAmount,$N1818)),""),IF($O1818&lt;&gt;"",IF(INDEX(TxnWitB,$O1818)=0,"",INDEX(TxnWitB,$O1818)),""))</f>
        <v/>
      </c>
      <c r="K1818" s="27">
        <f>IF($B1818="","",IF($K1817="",$C$10,$K1817)+IF($I1818="",0,$I1818)-IF($J1818="",0,$J1818))</f>
        <v/>
      </c>
      <c r="L1818" s="28">
        <f>IF($N1818&lt;&gt;"",IF(INDEX(PCNotes,$N1818)="","—",INDEX(PCNotes,$N1818)),IF($O1818&lt;&gt;"",IF(INDEX(LdgNoteB,$O1818)="","—",INDEX(LdgNoteB,$O1818)),""))</f>
        <v/>
      </c>
      <c r="N1818">
        <f>IFERROR(MATCH($C$5&amp;"|"&amp;RIGHT("000000"&amp;1802,6),LdgRankKeyA,0),"")</f>
        <v/>
      </c>
      <c r="O1818">
        <f>IFERROR(MATCH($C$5&amp;"|"&amp;RIGHT("000000"&amp;1802,6),LdgRankKeyB,0),"")</f>
        <v/>
      </c>
    </row>
    <row r="1819">
      <c r="A1819" s="17" t="n">
        <v>1803</v>
      </c>
      <c r="B1819" s="18">
        <f>IF(AND($N1819="",$O1819=""),"",IF($N1819&lt;&gt;"",INDEX(PCNormDate,$N1819),INDEX(LdgDateB,$O1819)))</f>
        <v/>
      </c>
      <c r="C1819" s="18">
        <f>IF($N1819&lt;&gt;"",INDEX(PCOp,$N1819),IF($O1819&lt;&gt;"",IF(N(INDEX(TxnDepB,$O1819))&gt;0,"دریافت بانکی","پرداخت بانکی"),""))</f>
        <v/>
      </c>
      <c r="D1819" s="18">
        <f>IF($N1819&lt;&gt;"",IF(INDEX(PCDoc,$N1819)="","—",INDEX(PCDoc,$N1819)),IF($O1819&lt;&gt;"",INDEX(LdgBankB,$O1819),""))</f>
        <v/>
      </c>
      <c r="E1819" s="18">
        <f>IF($N1819&lt;&gt;"",IF(INDEX(PCCitrus,$N1819)="","—",INDEX(PCCitrus,$N1819)),"")</f>
        <v/>
      </c>
      <c r="F1819" s="19">
        <f>IF($N1819&lt;&gt;"",IF(INDEX(PCScale,$N1819)=0,"",INDEX(PCScale,$N1819)),"")</f>
        <v/>
      </c>
      <c r="G1819" s="19">
        <f>IF($N1819&lt;&gt;"",IF(INDEX(PCBaskets,$N1819)=0,"",INDEX(PCBaskets,$N1819)),"")</f>
        <v/>
      </c>
      <c r="H1819" s="20">
        <f>IF($N1819&lt;&gt;"",IF(INDEX(PCNet,$N1819)=0,"",INDEX(PCNet,$N1819)),"")</f>
        <v/>
      </c>
      <c r="I1819" s="19">
        <f>IF($N1819&lt;&gt;"",IF(INDEX(PCOp,$N1819)="مرجوعی خرید","",IF(INDEX(PCAmount,$N1819)&lt;=0,"",INDEX(PCAmount,$N1819))),IF($O1819&lt;&gt;"",IF(INDEX(TxnDepB,$O1819)=0,"",INDEX(TxnDepB,$O1819)),""))</f>
        <v/>
      </c>
      <c r="J1819" s="19">
        <f>IF($N1819&lt;&gt;"",IF(INDEX(PCOp,$N1819)="مرجوعی خرید",IF(INDEX(PCAmount,$N1819)=0,"",-INDEX(PCAmount,$N1819)),""),IF($O1819&lt;&gt;"",IF(INDEX(TxnWitB,$O1819)=0,"",INDEX(TxnWitB,$O1819)),""))</f>
        <v/>
      </c>
      <c r="K1819" s="21">
        <f>IF($B1819="","",IF($K1818="",$C$10,$K1818)+IF($I1819="",0,$I1819)-IF($J1819="",0,$J1819))</f>
        <v/>
      </c>
      <c r="L1819" s="22">
        <f>IF($N1819&lt;&gt;"",IF(INDEX(PCNotes,$N1819)="","—",INDEX(PCNotes,$N1819)),IF($O1819&lt;&gt;"",IF(INDEX(LdgNoteB,$O1819)="","—",INDEX(LdgNoteB,$O1819)),""))</f>
        <v/>
      </c>
      <c r="N1819">
        <f>IFERROR(MATCH($C$5&amp;"|"&amp;RIGHT("000000"&amp;1803,6),LdgRankKeyA,0),"")</f>
        <v/>
      </c>
      <c r="O1819">
        <f>IFERROR(MATCH($C$5&amp;"|"&amp;RIGHT("000000"&amp;1803,6),LdgRankKeyB,0),"")</f>
        <v/>
      </c>
    </row>
    <row r="1820">
      <c r="A1820" s="23" t="n">
        <v>1804</v>
      </c>
      <c r="B1820" s="24">
        <f>IF(AND($N1820="",$O1820=""),"",IF($N1820&lt;&gt;"",INDEX(PCNormDate,$N1820),INDEX(LdgDateB,$O1820)))</f>
        <v/>
      </c>
      <c r="C1820" s="24">
        <f>IF($N1820&lt;&gt;"",INDEX(PCOp,$N1820),IF($O1820&lt;&gt;"",IF(N(INDEX(TxnDepB,$O1820))&gt;0,"دریافت بانکی","پرداخت بانکی"),""))</f>
        <v/>
      </c>
      <c r="D1820" s="24">
        <f>IF($N1820&lt;&gt;"",IF(INDEX(PCDoc,$N1820)="","—",INDEX(PCDoc,$N1820)),IF($O1820&lt;&gt;"",INDEX(LdgBankB,$O1820),""))</f>
        <v/>
      </c>
      <c r="E1820" s="24">
        <f>IF($N1820&lt;&gt;"",IF(INDEX(PCCitrus,$N1820)="","—",INDEX(PCCitrus,$N1820)),"")</f>
        <v/>
      </c>
      <c r="F1820" s="25">
        <f>IF($N1820&lt;&gt;"",IF(INDEX(PCScale,$N1820)=0,"",INDEX(PCScale,$N1820)),"")</f>
        <v/>
      </c>
      <c r="G1820" s="25">
        <f>IF($N1820&lt;&gt;"",IF(INDEX(PCBaskets,$N1820)=0,"",INDEX(PCBaskets,$N1820)),"")</f>
        <v/>
      </c>
      <c r="H1820" s="26">
        <f>IF($N1820&lt;&gt;"",IF(INDEX(PCNet,$N1820)=0,"",INDEX(PCNet,$N1820)),"")</f>
        <v/>
      </c>
      <c r="I1820" s="25">
        <f>IF($N1820&lt;&gt;"",IF(INDEX(PCOp,$N1820)="مرجوعی خرید","",IF(INDEX(PCAmount,$N1820)&lt;=0,"",INDEX(PCAmount,$N1820))),IF($O1820&lt;&gt;"",IF(INDEX(TxnDepB,$O1820)=0,"",INDEX(TxnDepB,$O1820)),""))</f>
        <v/>
      </c>
      <c r="J1820" s="25">
        <f>IF($N1820&lt;&gt;"",IF(INDEX(PCOp,$N1820)="مرجوعی خرید",IF(INDEX(PCAmount,$N1820)=0,"",-INDEX(PCAmount,$N1820)),""),IF($O1820&lt;&gt;"",IF(INDEX(TxnWitB,$O1820)=0,"",INDEX(TxnWitB,$O1820)),""))</f>
        <v/>
      </c>
      <c r="K1820" s="27">
        <f>IF($B1820="","",IF($K1819="",$C$10,$K1819)+IF($I1820="",0,$I1820)-IF($J1820="",0,$J1820))</f>
        <v/>
      </c>
      <c r="L1820" s="28">
        <f>IF($N1820&lt;&gt;"",IF(INDEX(PCNotes,$N1820)="","—",INDEX(PCNotes,$N1820)),IF($O1820&lt;&gt;"",IF(INDEX(LdgNoteB,$O1820)="","—",INDEX(LdgNoteB,$O1820)),""))</f>
        <v/>
      </c>
      <c r="N1820">
        <f>IFERROR(MATCH($C$5&amp;"|"&amp;RIGHT("000000"&amp;1804,6),LdgRankKeyA,0),"")</f>
        <v/>
      </c>
      <c r="O1820">
        <f>IFERROR(MATCH($C$5&amp;"|"&amp;RIGHT("000000"&amp;1804,6),LdgRankKeyB,0),"")</f>
        <v/>
      </c>
    </row>
    <row r="1821">
      <c r="A1821" s="17" t="n">
        <v>1805</v>
      </c>
      <c r="B1821" s="18">
        <f>IF(AND($N1821="",$O1821=""),"",IF($N1821&lt;&gt;"",INDEX(PCNormDate,$N1821),INDEX(LdgDateB,$O1821)))</f>
        <v/>
      </c>
      <c r="C1821" s="18">
        <f>IF($N1821&lt;&gt;"",INDEX(PCOp,$N1821),IF($O1821&lt;&gt;"",IF(N(INDEX(TxnDepB,$O1821))&gt;0,"دریافت بانکی","پرداخت بانکی"),""))</f>
        <v/>
      </c>
      <c r="D1821" s="18">
        <f>IF($N1821&lt;&gt;"",IF(INDEX(PCDoc,$N1821)="","—",INDEX(PCDoc,$N1821)),IF($O1821&lt;&gt;"",INDEX(LdgBankB,$O1821),""))</f>
        <v/>
      </c>
      <c r="E1821" s="18">
        <f>IF($N1821&lt;&gt;"",IF(INDEX(PCCitrus,$N1821)="","—",INDEX(PCCitrus,$N1821)),"")</f>
        <v/>
      </c>
      <c r="F1821" s="19">
        <f>IF($N1821&lt;&gt;"",IF(INDEX(PCScale,$N1821)=0,"",INDEX(PCScale,$N1821)),"")</f>
        <v/>
      </c>
      <c r="G1821" s="19">
        <f>IF($N1821&lt;&gt;"",IF(INDEX(PCBaskets,$N1821)=0,"",INDEX(PCBaskets,$N1821)),"")</f>
        <v/>
      </c>
      <c r="H1821" s="20">
        <f>IF($N1821&lt;&gt;"",IF(INDEX(PCNet,$N1821)=0,"",INDEX(PCNet,$N1821)),"")</f>
        <v/>
      </c>
      <c r="I1821" s="19">
        <f>IF($N1821&lt;&gt;"",IF(INDEX(PCOp,$N1821)="مرجوعی خرید","",IF(INDEX(PCAmount,$N1821)&lt;=0,"",INDEX(PCAmount,$N1821))),IF($O1821&lt;&gt;"",IF(INDEX(TxnDepB,$O1821)=0,"",INDEX(TxnDepB,$O1821)),""))</f>
        <v/>
      </c>
      <c r="J1821" s="19">
        <f>IF($N1821&lt;&gt;"",IF(INDEX(PCOp,$N1821)="مرجوعی خرید",IF(INDEX(PCAmount,$N1821)=0,"",-INDEX(PCAmount,$N1821)),""),IF($O1821&lt;&gt;"",IF(INDEX(TxnWitB,$O1821)=0,"",INDEX(TxnWitB,$O1821)),""))</f>
        <v/>
      </c>
      <c r="K1821" s="21">
        <f>IF($B1821="","",IF($K1820="",$C$10,$K1820)+IF($I1821="",0,$I1821)-IF($J1821="",0,$J1821))</f>
        <v/>
      </c>
      <c r="L1821" s="22">
        <f>IF($N1821&lt;&gt;"",IF(INDEX(PCNotes,$N1821)="","—",INDEX(PCNotes,$N1821)),IF($O1821&lt;&gt;"",IF(INDEX(LdgNoteB,$O1821)="","—",INDEX(LdgNoteB,$O1821)),""))</f>
        <v/>
      </c>
      <c r="N1821">
        <f>IFERROR(MATCH($C$5&amp;"|"&amp;RIGHT("000000"&amp;1805,6),LdgRankKeyA,0),"")</f>
        <v/>
      </c>
      <c r="O1821">
        <f>IFERROR(MATCH($C$5&amp;"|"&amp;RIGHT("000000"&amp;1805,6),LdgRankKeyB,0),"")</f>
        <v/>
      </c>
    </row>
    <row r="1822">
      <c r="A1822" s="23" t="n">
        <v>1806</v>
      </c>
      <c r="B1822" s="24">
        <f>IF(AND($N1822="",$O1822=""),"",IF($N1822&lt;&gt;"",INDEX(PCNormDate,$N1822),INDEX(LdgDateB,$O1822)))</f>
        <v/>
      </c>
      <c r="C1822" s="24">
        <f>IF($N1822&lt;&gt;"",INDEX(PCOp,$N1822),IF($O1822&lt;&gt;"",IF(N(INDEX(TxnDepB,$O1822))&gt;0,"دریافت بانکی","پرداخت بانکی"),""))</f>
        <v/>
      </c>
      <c r="D1822" s="24">
        <f>IF($N1822&lt;&gt;"",IF(INDEX(PCDoc,$N1822)="","—",INDEX(PCDoc,$N1822)),IF($O1822&lt;&gt;"",INDEX(LdgBankB,$O1822),""))</f>
        <v/>
      </c>
      <c r="E1822" s="24">
        <f>IF($N1822&lt;&gt;"",IF(INDEX(PCCitrus,$N1822)="","—",INDEX(PCCitrus,$N1822)),"")</f>
        <v/>
      </c>
      <c r="F1822" s="25">
        <f>IF($N1822&lt;&gt;"",IF(INDEX(PCScale,$N1822)=0,"",INDEX(PCScale,$N1822)),"")</f>
        <v/>
      </c>
      <c r="G1822" s="25">
        <f>IF($N1822&lt;&gt;"",IF(INDEX(PCBaskets,$N1822)=0,"",INDEX(PCBaskets,$N1822)),"")</f>
        <v/>
      </c>
      <c r="H1822" s="26">
        <f>IF($N1822&lt;&gt;"",IF(INDEX(PCNet,$N1822)=0,"",INDEX(PCNet,$N1822)),"")</f>
        <v/>
      </c>
      <c r="I1822" s="25">
        <f>IF($N1822&lt;&gt;"",IF(INDEX(PCOp,$N1822)="مرجوعی خرید","",IF(INDEX(PCAmount,$N1822)&lt;=0,"",INDEX(PCAmount,$N1822))),IF($O1822&lt;&gt;"",IF(INDEX(TxnDepB,$O1822)=0,"",INDEX(TxnDepB,$O1822)),""))</f>
        <v/>
      </c>
      <c r="J1822" s="25">
        <f>IF($N1822&lt;&gt;"",IF(INDEX(PCOp,$N1822)="مرجوعی خرید",IF(INDEX(PCAmount,$N1822)=0,"",-INDEX(PCAmount,$N1822)),""),IF($O1822&lt;&gt;"",IF(INDEX(TxnWitB,$O1822)=0,"",INDEX(TxnWitB,$O1822)),""))</f>
        <v/>
      </c>
      <c r="K1822" s="27">
        <f>IF($B1822="","",IF($K1821="",$C$10,$K1821)+IF($I1822="",0,$I1822)-IF($J1822="",0,$J1822))</f>
        <v/>
      </c>
      <c r="L1822" s="28">
        <f>IF($N1822&lt;&gt;"",IF(INDEX(PCNotes,$N1822)="","—",INDEX(PCNotes,$N1822)),IF($O1822&lt;&gt;"",IF(INDEX(LdgNoteB,$O1822)="","—",INDEX(LdgNoteB,$O1822)),""))</f>
        <v/>
      </c>
      <c r="N1822">
        <f>IFERROR(MATCH($C$5&amp;"|"&amp;RIGHT("000000"&amp;1806,6),LdgRankKeyA,0),"")</f>
        <v/>
      </c>
      <c r="O1822">
        <f>IFERROR(MATCH($C$5&amp;"|"&amp;RIGHT("000000"&amp;1806,6),LdgRankKeyB,0),"")</f>
        <v/>
      </c>
    </row>
    <row r="1823">
      <c r="A1823" s="17" t="n">
        <v>1807</v>
      </c>
      <c r="B1823" s="18">
        <f>IF(AND($N1823="",$O1823=""),"",IF($N1823&lt;&gt;"",INDEX(PCNormDate,$N1823),INDEX(LdgDateB,$O1823)))</f>
        <v/>
      </c>
      <c r="C1823" s="18">
        <f>IF($N1823&lt;&gt;"",INDEX(PCOp,$N1823),IF($O1823&lt;&gt;"",IF(N(INDEX(TxnDepB,$O1823))&gt;0,"دریافت بانکی","پرداخت بانکی"),""))</f>
        <v/>
      </c>
      <c r="D1823" s="18">
        <f>IF($N1823&lt;&gt;"",IF(INDEX(PCDoc,$N1823)="","—",INDEX(PCDoc,$N1823)),IF($O1823&lt;&gt;"",INDEX(LdgBankB,$O1823),""))</f>
        <v/>
      </c>
      <c r="E1823" s="18">
        <f>IF($N1823&lt;&gt;"",IF(INDEX(PCCitrus,$N1823)="","—",INDEX(PCCitrus,$N1823)),"")</f>
        <v/>
      </c>
      <c r="F1823" s="19">
        <f>IF($N1823&lt;&gt;"",IF(INDEX(PCScale,$N1823)=0,"",INDEX(PCScale,$N1823)),"")</f>
        <v/>
      </c>
      <c r="G1823" s="19">
        <f>IF($N1823&lt;&gt;"",IF(INDEX(PCBaskets,$N1823)=0,"",INDEX(PCBaskets,$N1823)),"")</f>
        <v/>
      </c>
      <c r="H1823" s="20">
        <f>IF($N1823&lt;&gt;"",IF(INDEX(PCNet,$N1823)=0,"",INDEX(PCNet,$N1823)),"")</f>
        <v/>
      </c>
      <c r="I1823" s="19">
        <f>IF($N1823&lt;&gt;"",IF(INDEX(PCOp,$N1823)="مرجوعی خرید","",IF(INDEX(PCAmount,$N1823)&lt;=0,"",INDEX(PCAmount,$N1823))),IF($O1823&lt;&gt;"",IF(INDEX(TxnDepB,$O1823)=0,"",INDEX(TxnDepB,$O1823)),""))</f>
        <v/>
      </c>
      <c r="J1823" s="19">
        <f>IF($N1823&lt;&gt;"",IF(INDEX(PCOp,$N1823)="مرجوعی خرید",IF(INDEX(PCAmount,$N1823)=0,"",-INDEX(PCAmount,$N1823)),""),IF($O1823&lt;&gt;"",IF(INDEX(TxnWitB,$O1823)=0,"",INDEX(TxnWitB,$O1823)),""))</f>
        <v/>
      </c>
      <c r="K1823" s="21">
        <f>IF($B1823="","",IF($K1822="",$C$10,$K1822)+IF($I1823="",0,$I1823)-IF($J1823="",0,$J1823))</f>
        <v/>
      </c>
      <c r="L1823" s="22">
        <f>IF($N1823&lt;&gt;"",IF(INDEX(PCNotes,$N1823)="","—",INDEX(PCNotes,$N1823)),IF($O1823&lt;&gt;"",IF(INDEX(LdgNoteB,$O1823)="","—",INDEX(LdgNoteB,$O1823)),""))</f>
        <v/>
      </c>
      <c r="N1823">
        <f>IFERROR(MATCH($C$5&amp;"|"&amp;RIGHT("000000"&amp;1807,6),LdgRankKeyA,0),"")</f>
        <v/>
      </c>
      <c r="O1823">
        <f>IFERROR(MATCH($C$5&amp;"|"&amp;RIGHT("000000"&amp;1807,6),LdgRankKeyB,0),"")</f>
        <v/>
      </c>
    </row>
    <row r="1824">
      <c r="A1824" s="23" t="n">
        <v>1808</v>
      </c>
      <c r="B1824" s="24">
        <f>IF(AND($N1824="",$O1824=""),"",IF($N1824&lt;&gt;"",INDEX(PCNormDate,$N1824),INDEX(LdgDateB,$O1824)))</f>
        <v/>
      </c>
      <c r="C1824" s="24">
        <f>IF($N1824&lt;&gt;"",INDEX(PCOp,$N1824),IF($O1824&lt;&gt;"",IF(N(INDEX(TxnDepB,$O1824))&gt;0,"دریافت بانکی","پرداخت بانکی"),""))</f>
        <v/>
      </c>
      <c r="D1824" s="24">
        <f>IF($N1824&lt;&gt;"",IF(INDEX(PCDoc,$N1824)="","—",INDEX(PCDoc,$N1824)),IF($O1824&lt;&gt;"",INDEX(LdgBankB,$O1824),""))</f>
        <v/>
      </c>
      <c r="E1824" s="24">
        <f>IF($N1824&lt;&gt;"",IF(INDEX(PCCitrus,$N1824)="","—",INDEX(PCCitrus,$N1824)),"")</f>
        <v/>
      </c>
      <c r="F1824" s="25">
        <f>IF($N1824&lt;&gt;"",IF(INDEX(PCScale,$N1824)=0,"",INDEX(PCScale,$N1824)),"")</f>
        <v/>
      </c>
      <c r="G1824" s="25">
        <f>IF($N1824&lt;&gt;"",IF(INDEX(PCBaskets,$N1824)=0,"",INDEX(PCBaskets,$N1824)),"")</f>
        <v/>
      </c>
      <c r="H1824" s="26">
        <f>IF($N1824&lt;&gt;"",IF(INDEX(PCNet,$N1824)=0,"",INDEX(PCNet,$N1824)),"")</f>
        <v/>
      </c>
      <c r="I1824" s="25">
        <f>IF($N1824&lt;&gt;"",IF(INDEX(PCOp,$N1824)="مرجوعی خرید","",IF(INDEX(PCAmount,$N1824)&lt;=0,"",INDEX(PCAmount,$N1824))),IF($O1824&lt;&gt;"",IF(INDEX(TxnDepB,$O1824)=0,"",INDEX(TxnDepB,$O1824)),""))</f>
        <v/>
      </c>
      <c r="J1824" s="25">
        <f>IF($N1824&lt;&gt;"",IF(INDEX(PCOp,$N1824)="مرجوعی خرید",IF(INDEX(PCAmount,$N1824)=0,"",-INDEX(PCAmount,$N1824)),""),IF($O1824&lt;&gt;"",IF(INDEX(TxnWitB,$O1824)=0,"",INDEX(TxnWitB,$O1824)),""))</f>
        <v/>
      </c>
      <c r="K1824" s="27">
        <f>IF($B1824="","",IF($K1823="",$C$10,$K1823)+IF($I1824="",0,$I1824)-IF($J1824="",0,$J1824))</f>
        <v/>
      </c>
      <c r="L1824" s="28">
        <f>IF($N1824&lt;&gt;"",IF(INDEX(PCNotes,$N1824)="","—",INDEX(PCNotes,$N1824)),IF($O1824&lt;&gt;"",IF(INDEX(LdgNoteB,$O1824)="","—",INDEX(LdgNoteB,$O1824)),""))</f>
        <v/>
      </c>
      <c r="N1824">
        <f>IFERROR(MATCH($C$5&amp;"|"&amp;RIGHT("000000"&amp;1808,6),LdgRankKeyA,0),"")</f>
        <v/>
      </c>
      <c r="O1824">
        <f>IFERROR(MATCH($C$5&amp;"|"&amp;RIGHT("000000"&amp;1808,6),LdgRankKeyB,0),"")</f>
        <v/>
      </c>
    </row>
    <row r="1825">
      <c r="A1825" s="17" t="n">
        <v>1809</v>
      </c>
      <c r="B1825" s="18">
        <f>IF(AND($N1825="",$O1825=""),"",IF($N1825&lt;&gt;"",INDEX(PCNormDate,$N1825),INDEX(LdgDateB,$O1825)))</f>
        <v/>
      </c>
      <c r="C1825" s="18">
        <f>IF($N1825&lt;&gt;"",INDEX(PCOp,$N1825),IF($O1825&lt;&gt;"",IF(N(INDEX(TxnDepB,$O1825))&gt;0,"دریافت بانکی","پرداخت بانکی"),""))</f>
        <v/>
      </c>
      <c r="D1825" s="18">
        <f>IF($N1825&lt;&gt;"",IF(INDEX(PCDoc,$N1825)="","—",INDEX(PCDoc,$N1825)),IF($O1825&lt;&gt;"",INDEX(LdgBankB,$O1825),""))</f>
        <v/>
      </c>
      <c r="E1825" s="18">
        <f>IF($N1825&lt;&gt;"",IF(INDEX(PCCitrus,$N1825)="","—",INDEX(PCCitrus,$N1825)),"")</f>
        <v/>
      </c>
      <c r="F1825" s="19">
        <f>IF($N1825&lt;&gt;"",IF(INDEX(PCScale,$N1825)=0,"",INDEX(PCScale,$N1825)),"")</f>
        <v/>
      </c>
      <c r="G1825" s="19">
        <f>IF($N1825&lt;&gt;"",IF(INDEX(PCBaskets,$N1825)=0,"",INDEX(PCBaskets,$N1825)),"")</f>
        <v/>
      </c>
      <c r="H1825" s="20">
        <f>IF($N1825&lt;&gt;"",IF(INDEX(PCNet,$N1825)=0,"",INDEX(PCNet,$N1825)),"")</f>
        <v/>
      </c>
      <c r="I1825" s="19">
        <f>IF($N1825&lt;&gt;"",IF(INDEX(PCOp,$N1825)="مرجوعی خرید","",IF(INDEX(PCAmount,$N1825)&lt;=0,"",INDEX(PCAmount,$N1825))),IF($O1825&lt;&gt;"",IF(INDEX(TxnDepB,$O1825)=0,"",INDEX(TxnDepB,$O1825)),""))</f>
        <v/>
      </c>
      <c r="J1825" s="19">
        <f>IF($N1825&lt;&gt;"",IF(INDEX(PCOp,$N1825)="مرجوعی خرید",IF(INDEX(PCAmount,$N1825)=0,"",-INDEX(PCAmount,$N1825)),""),IF($O1825&lt;&gt;"",IF(INDEX(TxnWitB,$O1825)=0,"",INDEX(TxnWitB,$O1825)),""))</f>
        <v/>
      </c>
      <c r="K1825" s="21">
        <f>IF($B1825="","",IF($K1824="",$C$10,$K1824)+IF($I1825="",0,$I1825)-IF($J1825="",0,$J1825))</f>
        <v/>
      </c>
      <c r="L1825" s="22">
        <f>IF($N1825&lt;&gt;"",IF(INDEX(PCNotes,$N1825)="","—",INDEX(PCNotes,$N1825)),IF($O1825&lt;&gt;"",IF(INDEX(LdgNoteB,$O1825)="","—",INDEX(LdgNoteB,$O1825)),""))</f>
        <v/>
      </c>
      <c r="N1825">
        <f>IFERROR(MATCH($C$5&amp;"|"&amp;RIGHT("000000"&amp;1809,6),LdgRankKeyA,0),"")</f>
        <v/>
      </c>
      <c r="O1825">
        <f>IFERROR(MATCH($C$5&amp;"|"&amp;RIGHT("000000"&amp;1809,6),LdgRankKeyB,0),"")</f>
        <v/>
      </c>
    </row>
    <row r="1826">
      <c r="A1826" s="23" t="n">
        <v>1810</v>
      </c>
      <c r="B1826" s="24">
        <f>IF(AND($N1826="",$O1826=""),"",IF($N1826&lt;&gt;"",INDEX(PCNormDate,$N1826),INDEX(LdgDateB,$O1826)))</f>
        <v/>
      </c>
      <c r="C1826" s="24">
        <f>IF($N1826&lt;&gt;"",INDEX(PCOp,$N1826),IF($O1826&lt;&gt;"",IF(N(INDEX(TxnDepB,$O1826))&gt;0,"دریافت بانکی","پرداخت بانکی"),""))</f>
        <v/>
      </c>
      <c r="D1826" s="24">
        <f>IF($N1826&lt;&gt;"",IF(INDEX(PCDoc,$N1826)="","—",INDEX(PCDoc,$N1826)),IF($O1826&lt;&gt;"",INDEX(LdgBankB,$O1826),""))</f>
        <v/>
      </c>
      <c r="E1826" s="24">
        <f>IF($N1826&lt;&gt;"",IF(INDEX(PCCitrus,$N1826)="","—",INDEX(PCCitrus,$N1826)),"")</f>
        <v/>
      </c>
      <c r="F1826" s="25">
        <f>IF($N1826&lt;&gt;"",IF(INDEX(PCScale,$N1826)=0,"",INDEX(PCScale,$N1826)),"")</f>
        <v/>
      </c>
      <c r="G1826" s="25">
        <f>IF($N1826&lt;&gt;"",IF(INDEX(PCBaskets,$N1826)=0,"",INDEX(PCBaskets,$N1826)),"")</f>
        <v/>
      </c>
      <c r="H1826" s="26">
        <f>IF($N1826&lt;&gt;"",IF(INDEX(PCNet,$N1826)=0,"",INDEX(PCNet,$N1826)),"")</f>
        <v/>
      </c>
      <c r="I1826" s="25">
        <f>IF($N1826&lt;&gt;"",IF(INDEX(PCOp,$N1826)="مرجوعی خرید","",IF(INDEX(PCAmount,$N1826)&lt;=0,"",INDEX(PCAmount,$N1826))),IF($O1826&lt;&gt;"",IF(INDEX(TxnDepB,$O1826)=0,"",INDEX(TxnDepB,$O1826)),""))</f>
        <v/>
      </c>
      <c r="J1826" s="25">
        <f>IF($N1826&lt;&gt;"",IF(INDEX(PCOp,$N1826)="مرجوعی خرید",IF(INDEX(PCAmount,$N1826)=0,"",-INDEX(PCAmount,$N1826)),""),IF($O1826&lt;&gt;"",IF(INDEX(TxnWitB,$O1826)=0,"",INDEX(TxnWitB,$O1826)),""))</f>
        <v/>
      </c>
      <c r="K1826" s="27">
        <f>IF($B1826="","",IF($K1825="",$C$10,$K1825)+IF($I1826="",0,$I1826)-IF($J1826="",0,$J1826))</f>
        <v/>
      </c>
      <c r="L1826" s="28">
        <f>IF($N1826&lt;&gt;"",IF(INDEX(PCNotes,$N1826)="","—",INDEX(PCNotes,$N1826)),IF($O1826&lt;&gt;"",IF(INDEX(LdgNoteB,$O1826)="","—",INDEX(LdgNoteB,$O1826)),""))</f>
        <v/>
      </c>
      <c r="N1826">
        <f>IFERROR(MATCH($C$5&amp;"|"&amp;RIGHT("000000"&amp;1810,6),LdgRankKeyA,0),"")</f>
        <v/>
      </c>
      <c r="O1826">
        <f>IFERROR(MATCH($C$5&amp;"|"&amp;RIGHT("000000"&amp;1810,6),LdgRankKeyB,0),"")</f>
        <v/>
      </c>
    </row>
    <row r="1827">
      <c r="A1827" s="17" t="n">
        <v>1811</v>
      </c>
      <c r="B1827" s="18">
        <f>IF(AND($N1827="",$O1827=""),"",IF($N1827&lt;&gt;"",INDEX(PCNormDate,$N1827),INDEX(LdgDateB,$O1827)))</f>
        <v/>
      </c>
      <c r="C1827" s="18">
        <f>IF($N1827&lt;&gt;"",INDEX(PCOp,$N1827),IF($O1827&lt;&gt;"",IF(N(INDEX(TxnDepB,$O1827))&gt;0,"دریافت بانکی","پرداخت بانکی"),""))</f>
        <v/>
      </c>
      <c r="D1827" s="18">
        <f>IF($N1827&lt;&gt;"",IF(INDEX(PCDoc,$N1827)="","—",INDEX(PCDoc,$N1827)),IF($O1827&lt;&gt;"",INDEX(LdgBankB,$O1827),""))</f>
        <v/>
      </c>
      <c r="E1827" s="18">
        <f>IF($N1827&lt;&gt;"",IF(INDEX(PCCitrus,$N1827)="","—",INDEX(PCCitrus,$N1827)),"")</f>
        <v/>
      </c>
      <c r="F1827" s="19">
        <f>IF($N1827&lt;&gt;"",IF(INDEX(PCScale,$N1827)=0,"",INDEX(PCScale,$N1827)),"")</f>
        <v/>
      </c>
      <c r="G1827" s="19">
        <f>IF($N1827&lt;&gt;"",IF(INDEX(PCBaskets,$N1827)=0,"",INDEX(PCBaskets,$N1827)),"")</f>
        <v/>
      </c>
      <c r="H1827" s="20">
        <f>IF($N1827&lt;&gt;"",IF(INDEX(PCNet,$N1827)=0,"",INDEX(PCNet,$N1827)),"")</f>
        <v/>
      </c>
      <c r="I1827" s="19">
        <f>IF($N1827&lt;&gt;"",IF(INDEX(PCOp,$N1827)="مرجوعی خرید","",IF(INDEX(PCAmount,$N1827)&lt;=0,"",INDEX(PCAmount,$N1827))),IF($O1827&lt;&gt;"",IF(INDEX(TxnDepB,$O1827)=0,"",INDEX(TxnDepB,$O1827)),""))</f>
        <v/>
      </c>
      <c r="J1827" s="19">
        <f>IF($N1827&lt;&gt;"",IF(INDEX(PCOp,$N1827)="مرجوعی خرید",IF(INDEX(PCAmount,$N1827)=0,"",-INDEX(PCAmount,$N1827)),""),IF($O1827&lt;&gt;"",IF(INDEX(TxnWitB,$O1827)=0,"",INDEX(TxnWitB,$O1827)),""))</f>
        <v/>
      </c>
      <c r="K1827" s="21">
        <f>IF($B1827="","",IF($K1826="",$C$10,$K1826)+IF($I1827="",0,$I1827)-IF($J1827="",0,$J1827))</f>
        <v/>
      </c>
      <c r="L1827" s="22">
        <f>IF($N1827&lt;&gt;"",IF(INDEX(PCNotes,$N1827)="","—",INDEX(PCNotes,$N1827)),IF($O1827&lt;&gt;"",IF(INDEX(LdgNoteB,$O1827)="","—",INDEX(LdgNoteB,$O1827)),""))</f>
        <v/>
      </c>
      <c r="N1827">
        <f>IFERROR(MATCH($C$5&amp;"|"&amp;RIGHT("000000"&amp;1811,6),LdgRankKeyA,0),"")</f>
        <v/>
      </c>
      <c r="O1827">
        <f>IFERROR(MATCH($C$5&amp;"|"&amp;RIGHT("000000"&amp;1811,6),LdgRankKeyB,0),"")</f>
        <v/>
      </c>
    </row>
    <row r="1828">
      <c r="A1828" s="23" t="n">
        <v>1812</v>
      </c>
      <c r="B1828" s="24">
        <f>IF(AND($N1828="",$O1828=""),"",IF($N1828&lt;&gt;"",INDEX(PCNormDate,$N1828),INDEX(LdgDateB,$O1828)))</f>
        <v/>
      </c>
      <c r="C1828" s="24">
        <f>IF($N1828&lt;&gt;"",INDEX(PCOp,$N1828),IF($O1828&lt;&gt;"",IF(N(INDEX(TxnDepB,$O1828))&gt;0,"دریافت بانکی","پرداخت بانکی"),""))</f>
        <v/>
      </c>
      <c r="D1828" s="24">
        <f>IF($N1828&lt;&gt;"",IF(INDEX(PCDoc,$N1828)="","—",INDEX(PCDoc,$N1828)),IF($O1828&lt;&gt;"",INDEX(LdgBankB,$O1828),""))</f>
        <v/>
      </c>
      <c r="E1828" s="24">
        <f>IF($N1828&lt;&gt;"",IF(INDEX(PCCitrus,$N1828)="","—",INDEX(PCCitrus,$N1828)),"")</f>
        <v/>
      </c>
      <c r="F1828" s="25">
        <f>IF($N1828&lt;&gt;"",IF(INDEX(PCScale,$N1828)=0,"",INDEX(PCScale,$N1828)),"")</f>
        <v/>
      </c>
      <c r="G1828" s="25">
        <f>IF($N1828&lt;&gt;"",IF(INDEX(PCBaskets,$N1828)=0,"",INDEX(PCBaskets,$N1828)),"")</f>
        <v/>
      </c>
      <c r="H1828" s="26">
        <f>IF($N1828&lt;&gt;"",IF(INDEX(PCNet,$N1828)=0,"",INDEX(PCNet,$N1828)),"")</f>
        <v/>
      </c>
      <c r="I1828" s="25">
        <f>IF($N1828&lt;&gt;"",IF(INDEX(PCOp,$N1828)="مرجوعی خرید","",IF(INDEX(PCAmount,$N1828)&lt;=0,"",INDEX(PCAmount,$N1828))),IF($O1828&lt;&gt;"",IF(INDEX(TxnDepB,$O1828)=0,"",INDEX(TxnDepB,$O1828)),""))</f>
        <v/>
      </c>
      <c r="J1828" s="25">
        <f>IF($N1828&lt;&gt;"",IF(INDEX(PCOp,$N1828)="مرجوعی خرید",IF(INDEX(PCAmount,$N1828)=0,"",-INDEX(PCAmount,$N1828)),""),IF($O1828&lt;&gt;"",IF(INDEX(TxnWitB,$O1828)=0,"",INDEX(TxnWitB,$O1828)),""))</f>
        <v/>
      </c>
      <c r="K1828" s="27">
        <f>IF($B1828="","",IF($K1827="",$C$10,$K1827)+IF($I1828="",0,$I1828)-IF($J1828="",0,$J1828))</f>
        <v/>
      </c>
      <c r="L1828" s="28">
        <f>IF($N1828&lt;&gt;"",IF(INDEX(PCNotes,$N1828)="","—",INDEX(PCNotes,$N1828)),IF($O1828&lt;&gt;"",IF(INDEX(LdgNoteB,$O1828)="","—",INDEX(LdgNoteB,$O1828)),""))</f>
        <v/>
      </c>
      <c r="N1828">
        <f>IFERROR(MATCH($C$5&amp;"|"&amp;RIGHT("000000"&amp;1812,6),LdgRankKeyA,0),"")</f>
        <v/>
      </c>
      <c r="O1828">
        <f>IFERROR(MATCH($C$5&amp;"|"&amp;RIGHT("000000"&amp;1812,6),LdgRankKeyB,0),"")</f>
        <v/>
      </c>
    </row>
    <row r="1829">
      <c r="A1829" s="17" t="n">
        <v>1813</v>
      </c>
      <c r="B1829" s="18">
        <f>IF(AND($N1829="",$O1829=""),"",IF($N1829&lt;&gt;"",INDEX(PCNormDate,$N1829),INDEX(LdgDateB,$O1829)))</f>
        <v/>
      </c>
      <c r="C1829" s="18">
        <f>IF($N1829&lt;&gt;"",INDEX(PCOp,$N1829),IF($O1829&lt;&gt;"",IF(N(INDEX(TxnDepB,$O1829))&gt;0,"دریافت بانکی","پرداخت بانکی"),""))</f>
        <v/>
      </c>
      <c r="D1829" s="18">
        <f>IF($N1829&lt;&gt;"",IF(INDEX(PCDoc,$N1829)="","—",INDEX(PCDoc,$N1829)),IF($O1829&lt;&gt;"",INDEX(LdgBankB,$O1829),""))</f>
        <v/>
      </c>
      <c r="E1829" s="18">
        <f>IF($N1829&lt;&gt;"",IF(INDEX(PCCitrus,$N1829)="","—",INDEX(PCCitrus,$N1829)),"")</f>
        <v/>
      </c>
      <c r="F1829" s="19">
        <f>IF($N1829&lt;&gt;"",IF(INDEX(PCScale,$N1829)=0,"",INDEX(PCScale,$N1829)),"")</f>
        <v/>
      </c>
      <c r="G1829" s="19">
        <f>IF($N1829&lt;&gt;"",IF(INDEX(PCBaskets,$N1829)=0,"",INDEX(PCBaskets,$N1829)),"")</f>
        <v/>
      </c>
      <c r="H1829" s="20">
        <f>IF($N1829&lt;&gt;"",IF(INDEX(PCNet,$N1829)=0,"",INDEX(PCNet,$N1829)),"")</f>
        <v/>
      </c>
      <c r="I1829" s="19">
        <f>IF($N1829&lt;&gt;"",IF(INDEX(PCOp,$N1829)="مرجوعی خرید","",IF(INDEX(PCAmount,$N1829)&lt;=0,"",INDEX(PCAmount,$N1829))),IF($O1829&lt;&gt;"",IF(INDEX(TxnDepB,$O1829)=0,"",INDEX(TxnDepB,$O1829)),""))</f>
        <v/>
      </c>
      <c r="J1829" s="19">
        <f>IF($N1829&lt;&gt;"",IF(INDEX(PCOp,$N1829)="مرجوعی خرید",IF(INDEX(PCAmount,$N1829)=0,"",-INDEX(PCAmount,$N1829)),""),IF($O1829&lt;&gt;"",IF(INDEX(TxnWitB,$O1829)=0,"",INDEX(TxnWitB,$O1829)),""))</f>
        <v/>
      </c>
      <c r="K1829" s="21">
        <f>IF($B1829="","",IF($K1828="",$C$10,$K1828)+IF($I1829="",0,$I1829)-IF($J1829="",0,$J1829))</f>
        <v/>
      </c>
      <c r="L1829" s="22">
        <f>IF($N1829&lt;&gt;"",IF(INDEX(PCNotes,$N1829)="","—",INDEX(PCNotes,$N1829)),IF($O1829&lt;&gt;"",IF(INDEX(LdgNoteB,$O1829)="","—",INDEX(LdgNoteB,$O1829)),""))</f>
        <v/>
      </c>
      <c r="N1829">
        <f>IFERROR(MATCH($C$5&amp;"|"&amp;RIGHT("000000"&amp;1813,6),LdgRankKeyA,0),"")</f>
        <v/>
      </c>
      <c r="O1829">
        <f>IFERROR(MATCH($C$5&amp;"|"&amp;RIGHT("000000"&amp;1813,6),LdgRankKeyB,0),"")</f>
        <v/>
      </c>
    </row>
    <row r="1830">
      <c r="A1830" s="23" t="n">
        <v>1814</v>
      </c>
      <c r="B1830" s="24">
        <f>IF(AND($N1830="",$O1830=""),"",IF($N1830&lt;&gt;"",INDEX(PCNormDate,$N1830),INDEX(LdgDateB,$O1830)))</f>
        <v/>
      </c>
      <c r="C1830" s="24">
        <f>IF($N1830&lt;&gt;"",INDEX(PCOp,$N1830),IF($O1830&lt;&gt;"",IF(N(INDEX(TxnDepB,$O1830))&gt;0,"دریافت بانکی","پرداخت بانکی"),""))</f>
        <v/>
      </c>
      <c r="D1830" s="24">
        <f>IF($N1830&lt;&gt;"",IF(INDEX(PCDoc,$N1830)="","—",INDEX(PCDoc,$N1830)),IF($O1830&lt;&gt;"",INDEX(LdgBankB,$O1830),""))</f>
        <v/>
      </c>
      <c r="E1830" s="24">
        <f>IF($N1830&lt;&gt;"",IF(INDEX(PCCitrus,$N1830)="","—",INDEX(PCCitrus,$N1830)),"")</f>
        <v/>
      </c>
      <c r="F1830" s="25">
        <f>IF($N1830&lt;&gt;"",IF(INDEX(PCScale,$N1830)=0,"",INDEX(PCScale,$N1830)),"")</f>
        <v/>
      </c>
      <c r="G1830" s="25">
        <f>IF($N1830&lt;&gt;"",IF(INDEX(PCBaskets,$N1830)=0,"",INDEX(PCBaskets,$N1830)),"")</f>
        <v/>
      </c>
      <c r="H1830" s="26">
        <f>IF($N1830&lt;&gt;"",IF(INDEX(PCNet,$N1830)=0,"",INDEX(PCNet,$N1830)),"")</f>
        <v/>
      </c>
      <c r="I1830" s="25">
        <f>IF($N1830&lt;&gt;"",IF(INDEX(PCOp,$N1830)="مرجوعی خرید","",IF(INDEX(PCAmount,$N1830)&lt;=0,"",INDEX(PCAmount,$N1830))),IF($O1830&lt;&gt;"",IF(INDEX(TxnDepB,$O1830)=0,"",INDEX(TxnDepB,$O1830)),""))</f>
        <v/>
      </c>
      <c r="J1830" s="25">
        <f>IF($N1830&lt;&gt;"",IF(INDEX(PCOp,$N1830)="مرجوعی خرید",IF(INDEX(PCAmount,$N1830)=0,"",-INDEX(PCAmount,$N1830)),""),IF($O1830&lt;&gt;"",IF(INDEX(TxnWitB,$O1830)=0,"",INDEX(TxnWitB,$O1830)),""))</f>
        <v/>
      </c>
      <c r="K1830" s="27">
        <f>IF($B1830="","",IF($K1829="",$C$10,$K1829)+IF($I1830="",0,$I1830)-IF($J1830="",0,$J1830))</f>
        <v/>
      </c>
      <c r="L1830" s="28">
        <f>IF($N1830&lt;&gt;"",IF(INDEX(PCNotes,$N1830)="","—",INDEX(PCNotes,$N1830)),IF($O1830&lt;&gt;"",IF(INDEX(LdgNoteB,$O1830)="","—",INDEX(LdgNoteB,$O1830)),""))</f>
        <v/>
      </c>
      <c r="N1830">
        <f>IFERROR(MATCH($C$5&amp;"|"&amp;RIGHT("000000"&amp;1814,6),LdgRankKeyA,0),"")</f>
        <v/>
      </c>
      <c r="O1830">
        <f>IFERROR(MATCH($C$5&amp;"|"&amp;RIGHT("000000"&amp;1814,6),LdgRankKeyB,0),"")</f>
        <v/>
      </c>
    </row>
    <row r="1831">
      <c r="A1831" s="17" t="n">
        <v>1815</v>
      </c>
      <c r="B1831" s="18">
        <f>IF(AND($N1831="",$O1831=""),"",IF($N1831&lt;&gt;"",INDEX(PCNormDate,$N1831),INDEX(LdgDateB,$O1831)))</f>
        <v/>
      </c>
      <c r="C1831" s="18">
        <f>IF($N1831&lt;&gt;"",INDEX(PCOp,$N1831),IF($O1831&lt;&gt;"",IF(N(INDEX(TxnDepB,$O1831))&gt;0,"دریافت بانکی","پرداخت بانکی"),""))</f>
        <v/>
      </c>
      <c r="D1831" s="18">
        <f>IF($N1831&lt;&gt;"",IF(INDEX(PCDoc,$N1831)="","—",INDEX(PCDoc,$N1831)),IF($O1831&lt;&gt;"",INDEX(LdgBankB,$O1831),""))</f>
        <v/>
      </c>
      <c r="E1831" s="18">
        <f>IF($N1831&lt;&gt;"",IF(INDEX(PCCitrus,$N1831)="","—",INDEX(PCCitrus,$N1831)),"")</f>
        <v/>
      </c>
      <c r="F1831" s="19">
        <f>IF($N1831&lt;&gt;"",IF(INDEX(PCScale,$N1831)=0,"",INDEX(PCScale,$N1831)),"")</f>
        <v/>
      </c>
      <c r="G1831" s="19">
        <f>IF($N1831&lt;&gt;"",IF(INDEX(PCBaskets,$N1831)=0,"",INDEX(PCBaskets,$N1831)),"")</f>
        <v/>
      </c>
      <c r="H1831" s="20">
        <f>IF($N1831&lt;&gt;"",IF(INDEX(PCNet,$N1831)=0,"",INDEX(PCNet,$N1831)),"")</f>
        <v/>
      </c>
      <c r="I1831" s="19">
        <f>IF($N1831&lt;&gt;"",IF(INDEX(PCOp,$N1831)="مرجوعی خرید","",IF(INDEX(PCAmount,$N1831)&lt;=0,"",INDEX(PCAmount,$N1831))),IF($O1831&lt;&gt;"",IF(INDEX(TxnDepB,$O1831)=0,"",INDEX(TxnDepB,$O1831)),""))</f>
        <v/>
      </c>
      <c r="J1831" s="19">
        <f>IF($N1831&lt;&gt;"",IF(INDEX(PCOp,$N1831)="مرجوعی خرید",IF(INDEX(PCAmount,$N1831)=0,"",-INDEX(PCAmount,$N1831)),""),IF($O1831&lt;&gt;"",IF(INDEX(TxnWitB,$O1831)=0,"",INDEX(TxnWitB,$O1831)),""))</f>
        <v/>
      </c>
      <c r="K1831" s="21">
        <f>IF($B1831="","",IF($K1830="",$C$10,$K1830)+IF($I1831="",0,$I1831)-IF($J1831="",0,$J1831))</f>
        <v/>
      </c>
      <c r="L1831" s="22">
        <f>IF($N1831&lt;&gt;"",IF(INDEX(PCNotes,$N1831)="","—",INDEX(PCNotes,$N1831)),IF($O1831&lt;&gt;"",IF(INDEX(LdgNoteB,$O1831)="","—",INDEX(LdgNoteB,$O1831)),""))</f>
        <v/>
      </c>
      <c r="N1831">
        <f>IFERROR(MATCH($C$5&amp;"|"&amp;RIGHT("000000"&amp;1815,6),LdgRankKeyA,0),"")</f>
        <v/>
      </c>
      <c r="O1831">
        <f>IFERROR(MATCH($C$5&amp;"|"&amp;RIGHT("000000"&amp;1815,6),LdgRankKeyB,0),"")</f>
        <v/>
      </c>
    </row>
    <row r="1832">
      <c r="A1832" s="23" t="n">
        <v>1816</v>
      </c>
      <c r="B1832" s="24">
        <f>IF(AND($N1832="",$O1832=""),"",IF($N1832&lt;&gt;"",INDEX(PCNormDate,$N1832),INDEX(LdgDateB,$O1832)))</f>
        <v/>
      </c>
      <c r="C1832" s="24">
        <f>IF($N1832&lt;&gt;"",INDEX(PCOp,$N1832),IF($O1832&lt;&gt;"",IF(N(INDEX(TxnDepB,$O1832))&gt;0,"دریافت بانکی","پرداخت بانکی"),""))</f>
        <v/>
      </c>
      <c r="D1832" s="24">
        <f>IF($N1832&lt;&gt;"",IF(INDEX(PCDoc,$N1832)="","—",INDEX(PCDoc,$N1832)),IF($O1832&lt;&gt;"",INDEX(LdgBankB,$O1832),""))</f>
        <v/>
      </c>
      <c r="E1832" s="24">
        <f>IF($N1832&lt;&gt;"",IF(INDEX(PCCitrus,$N1832)="","—",INDEX(PCCitrus,$N1832)),"")</f>
        <v/>
      </c>
      <c r="F1832" s="25">
        <f>IF($N1832&lt;&gt;"",IF(INDEX(PCScale,$N1832)=0,"",INDEX(PCScale,$N1832)),"")</f>
        <v/>
      </c>
      <c r="G1832" s="25">
        <f>IF($N1832&lt;&gt;"",IF(INDEX(PCBaskets,$N1832)=0,"",INDEX(PCBaskets,$N1832)),"")</f>
        <v/>
      </c>
      <c r="H1832" s="26">
        <f>IF($N1832&lt;&gt;"",IF(INDEX(PCNet,$N1832)=0,"",INDEX(PCNet,$N1832)),"")</f>
        <v/>
      </c>
      <c r="I1832" s="25">
        <f>IF($N1832&lt;&gt;"",IF(INDEX(PCOp,$N1832)="مرجوعی خرید","",IF(INDEX(PCAmount,$N1832)&lt;=0,"",INDEX(PCAmount,$N1832))),IF($O1832&lt;&gt;"",IF(INDEX(TxnDepB,$O1832)=0,"",INDEX(TxnDepB,$O1832)),""))</f>
        <v/>
      </c>
      <c r="J1832" s="25">
        <f>IF($N1832&lt;&gt;"",IF(INDEX(PCOp,$N1832)="مرجوعی خرید",IF(INDEX(PCAmount,$N1832)=0,"",-INDEX(PCAmount,$N1832)),""),IF($O1832&lt;&gt;"",IF(INDEX(TxnWitB,$O1832)=0,"",INDEX(TxnWitB,$O1832)),""))</f>
        <v/>
      </c>
      <c r="K1832" s="27">
        <f>IF($B1832="","",IF($K1831="",$C$10,$K1831)+IF($I1832="",0,$I1832)-IF($J1832="",0,$J1832))</f>
        <v/>
      </c>
      <c r="L1832" s="28">
        <f>IF($N1832&lt;&gt;"",IF(INDEX(PCNotes,$N1832)="","—",INDEX(PCNotes,$N1832)),IF($O1832&lt;&gt;"",IF(INDEX(LdgNoteB,$O1832)="","—",INDEX(LdgNoteB,$O1832)),""))</f>
        <v/>
      </c>
      <c r="N1832">
        <f>IFERROR(MATCH($C$5&amp;"|"&amp;RIGHT("000000"&amp;1816,6),LdgRankKeyA,0),"")</f>
        <v/>
      </c>
      <c r="O1832">
        <f>IFERROR(MATCH($C$5&amp;"|"&amp;RIGHT("000000"&amp;1816,6),LdgRankKeyB,0),"")</f>
        <v/>
      </c>
    </row>
    <row r="1833">
      <c r="A1833" s="17" t="n">
        <v>1817</v>
      </c>
      <c r="B1833" s="18">
        <f>IF(AND($N1833="",$O1833=""),"",IF($N1833&lt;&gt;"",INDEX(PCNormDate,$N1833),INDEX(LdgDateB,$O1833)))</f>
        <v/>
      </c>
      <c r="C1833" s="18">
        <f>IF($N1833&lt;&gt;"",INDEX(PCOp,$N1833),IF($O1833&lt;&gt;"",IF(N(INDEX(TxnDepB,$O1833))&gt;0,"دریافت بانکی","پرداخت بانکی"),""))</f>
        <v/>
      </c>
      <c r="D1833" s="18">
        <f>IF($N1833&lt;&gt;"",IF(INDEX(PCDoc,$N1833)="","—",INDEX(PCDoc,$N1833)),IF($O1833&lt;&gt;"",INDEX(LdgBankB,$O1833),""))</f>
        <v/>
      </c>
      <c r="E1833" s="18">
        <f>IF($N1833&lt;&gt;"",IF(INDEX(PCCitrus,$N1833)="","—",INDEX(PCCitrus,$N1833)),"")</f>
        <v/>
      </c>
      <c r="F1833" s="19">
        <f>IF($N1833&lt;&gt;"",IF(INDEX(PCScale,$N1833)=0,"",INDEX(PCScale,$N1833)),"")</f>
        <v/>
      </c>
      <c r="G1833" s="19">
        <f>IF($N1833&lt;&gt;"",IF(INDEX(PCBaskets,$N1833)=0,"",INDEX(PCBaskets,$N1833)),"")</f>
        <v/>
      </c>
      <c r="H1833" s="20">
        <f>IF($N1833&lt;&gt;"",IF(INDEX(PCNet,$N1833)=0,"",INDEX(PCNet,$N1833)),"")</f>
        <v/>
      </c>
      <c r="I1833" s="19">
        <f>IF($N1833&lt;&gt;"",IF(INDEX(PCOp,$N1833)="مرجوعی خرید","",IF(INDEX(PCAmount,$N1833)&lt;=0,"",INDEX(PCAmount,$N1833))),IF($O1833&lt;&gt;"",IF(INDEX(TxnDepB,$O1833)=0,"",INDEX(TxnDepB,$O1833)),""))</f>
        <v/>
      </c>
      <c r="J1833" s="19">
        <f>IF($N1833&lt;&gt;"",IF(INDEX(PCOp,$N1833)="مرجوعی خرید",IF(INDEX(PCAmount,$N1833)=0,"",-INDEX(PCAmount,$N1833)),""),IF($O1833&lt;&gt;"",IF(INDEX(TxnWitB,$O1833)=0,"",INDEX(TxnWitB,$O1833)),""))</f>
        <v/>
      </c>
      <c r="K1833" s="21">
        <f>IF($B1833="","",IF($K1832="",$C$10,$K1832)+IF($I1833="",0,$I1833)-IF($J1833="",0,$J1833))</f>
        <v/>
      </c>
      <c r="L1833" s="22">
        <f>IF($N1833&lt;&gt;"",IF(INDEX(PCNotes,$N1833)="","—",INDEX(PCNotes,$N1833)),IF($O1833&lt;&gt;"",IF(INDEX(LdgNoteB,$O1833)="","—",INDEX(LdgNoteB,$O1833)),""))</f>
        <v/>
      </c>
      <c r="N1833">
        <f>IFERROR(MATCH($C$5&amp;"|"&amp;RIGHT("000000"&amp;1817,6),LdgRankKeyA,0),"")</f>
        <v/>
      </c>
      <c r="O1833">
        <f>IFERROR(MATCH($C$5&amp;"|"&amp;RIGHT("000000"&amp;1817,6),LdgRankKeyB,0),"")</f>
        <v/>
      </c>
    </row>
    <row r="1834">
      <c r="A1834" s="23" t="n">
        <v>1818</v>
      </c>
      <c r="B1834" s="24">
        <f>IF(AND($N1834="",$O1834=""),"",IF($N1834&lt;&gt;"",INDEX(PCNormDate,$N1834),INDEX(LdgDateB,$O1834)))</f>
        <v/>
      </c>
      <c r="C1834" s="24">
        <f>IF($N1834&lt;&gt;"",INDEX(PCOp,$N1834),IF($O1834&lt;&gt;"",IF(N(INDEX(TxnDepB,$O1834))&gt;0,"دریافت بانکی","پرداخت بانکی"),""))</f>
        <v/>
      </c>
      <c r="D1834" s="24">
        <f>IF($N1834&lt;&gt;"",IF(INDEX(PCDoc,$N1834)="","—",INDEX(PCDoc,$N1834)),IF($O1834&lt;&gt;"",INDEX(LdgBankB,$O1834),""))</f>
        <v/>
      </c>
      <c r="E1834" s="24">
        <f>IF($N1834&lt;&gt;"",IF(INDEX(PCCitrus,$N1834)="","—",INDEX(PCCitrus,$N1834)),"")</f>
        <v/>
      </c>
      <c r="F1834" s="25">
        <f>IF($N1834&lt;&gt;"",IF(INDEX(PCScale,$N1834)=0,"",INDEX(PCScale,$N1834)),"")</f>
        <v/>
      </c>
      <c r="G1834" s="25">
        <f>IF($N1834&lt;&gt;"",IF(INDEX(PCBaskets,$N1834)=0,"",INDEX(PCBaskets,$N1834)),"")</f>
        <v/>
      </c>
      <c r="H1834" s="26">
        <f>IF($N1834&lt;&gt;"",IF(INDEX(PCNet,$N1834)=0,"",INDEX(PCNet,$N1834)),"")</f>
        <v/>
      </c>
      <c r="I1834" s="25">
        <f>IF($N1834&lt;&gt;"",IF(INDEX(PCOp,$N1834)="مرجوعی خرید","",IF(INDEX(PCAmount,$N1834)&lt;=0,"",INDEX(PCAmount,$N1834))),IF($O1834&lt;&gt;"",IF(INDEX(TxnDepB,$O1834)=0,"",INDEX(TxnDepB,$O1834)),""))</f>
        <v/>
      </c>
      <c r="J1834" s="25">
        <f>IF($N1834&lt;&gt;"",IF(INDEX(PCOp,$N1834)="مرجوعی خرید",IF(INDEX(PCAmount,$N1834)=0,"",-INDEX(PCAmount,$N1834)),""),IF($O1834&lt;&gt;"",IF(INDEX(TxnWitB,$O1834)=0,"",INDEX(TxnWitB,$O1834)),""))</f>
        <v/>
      </c>
      <c r="K1834" s="27">
        <f>IF($B1834="","",IF($K1833="",$C$10,$K1833)+IF($I1834="",0,$I1834)-IF($J1834="",0,$J1834))</f>
        <v/>
      </c>
      <c r="L1834" s="28">
        <f>IF($N1834&lt;&gt;"",IF(INDEX(PCNotes,$N1834)="","—",INDEX(PCNotes,$N1834)),IF($O1834&lt;&gt;"",IF(INDEX(LdgNoteB,$O1834)="","—",INDEX(LdgNoteB,$O1834)),""))</f>
        <v/>
      </c>
      <c r="N1834">
        <f>IFERROR(MATCH($C$5&amp;"|"&amp;RIGHT("000000"&amp;1818,6),LdgRankKeyA,0),"")</f>
        <v/>
      </c>
      <c r="O1834">
        <f>IFERROR(MATCH($C$5&amp;"|"&amp;RIGHT("000000"&amp;1818,6),LdgRankKeyB,0),"")</f>
        <v/>
      </c>
    </row>
    <row r="1835">
      <c r="A1835" s="17" t="n">
        <v>1819</v>
      </c>
      <c r="B1835" s="18">
        <f>IF(AND($N1835="",$O1835=""),"",IF($N1835&lt;&gt;"",INDEX(PCNormDate,$N1835),INDEX(LdgDateB,$O1835)))</f>
        <v/>
      </c>
      <c r="C1835" s="18">
        <f>IF($N1835&lt;&gt;"",INDEX(PCOp,$N1835),IF($O1835&lt;&gt;"",IF(N(INDEX(TxnDepB,$O1835))&gt;0,"دریافت بانکی","پرداخت بانکی"),""))</f>
        <v/>
      </c>
      <c r="D1835" s="18">
        <f>IF($N1835&lt;&gt;"",IF(INDEX(PCDoc,$N1835)="","—",INDEX(PCDoc,$N1835)),IF($O1835&lt;&gt;"",INDEX(LdgBankB,$O1835),""))</f>
        <v/>
      </c>
      <c r="E1835" s="18">
        <f>IF($N1835&lt;&gt;"",IF(INDEX(PCCitrus,$N1835)="","—",INDEX(PCCitrus,$N1835)),"")</f>
        <v/>
      </c>
      <c r="F1835" s="19">
        <f>IF($N1835&lt;&gt;"",IF(INDEX(PCScale,$N1835)=0,"",INDEX(PCScale,$N1835)),"")</f>
        <v/>
      </c>
      <c r="G1835" s="19">
        <f>IF($N1835&lt;&gt;"",IF(INDEX(PCBaskets,$N1835)=0,"",INDEX(PCBaskets,$N1835)),"")</f>
        <v/>
      </c>
      <c r="H1835" s="20">
        <f>IF($N1835&lt;&gt;"",IF(INDEX(PCNet,$N1835)=0,"",INDEX(PCNet,$N1835)),"")</f>
        <v/>
      </c>
      <c r="I1835" s="19">
        <f>IF($N1835&lt;&gt;"",IF(INDEX(PCOp,$N1835)="مرجوعی خرید","",IF(INDEX(PCAmount,$N1835)&lt;=0,"",INDEX(PCAmount,$N1835))),IF($O1835&lt;&gt;"",IF(INDEX(TxnDepB,$O1835)=0,"",INDEX(TxnDepB,$O1835)),""))</f>
        <v/>
      </c>
      <c r="J1835" s="19">
        <f>IF($N1835&lt;&gt;"",IF(INDEX(PCOp,$N1835)="مرجوعی خرید",IF(INDEX(PCAmount,$N1835)=0,"",-INDEX(PCAmount,$N1835)),""),IF($O1835&lt;&gt;"",IF(INDEX(TxnWitB,$O1835)=0,"",INDEX(TxnWitB,$O1835)),""))</f>
        <v/>
      </c>
      <c r="K1835" s="21">
        <f>IF($B1835="","",IF($K1834="",$C$10,$K1834)+IF($I1835="",0,$I1835)-IF($J1835="",0,$J1835))</f>
        <v/>
      </c>
      <c r="L1835" s="22">
        <f>IF($N1835&lt;&gt;"",IF(INDEX(PCNotes,$N1835)="","—",INDEX(PCNotes,$N1835)),IF($O1835&lt;&gt;"",IF(INDEX(LdgNoteB,$O1835)="","—",INDEX(LdgNoteB,$O1835)),""))</f>
        <v/>
      </c>
      <c r="N1835">
        <f>IFERROR(MATCH($C$5&amp;"|"&amp;RIGHT("000000"&amp;1819,6),LdgRankKeyA,0),"")</f>
        <v/>
      </c>
      <c r="O1835">
        <f>IFERROR(MATCH($C$5&amp;"|"&amp;RIGHT("000000"&amp;1819,6),LdgRankKeyB,0),"")</f>
        <v/>
      </c>
    </row>
    <row r="1836">
      <c r="A1836" s="23" t="n">
        <v>1820</v>
      </c>
      <c r="B1836" s="24">
        <f>IF(AND($N1836="",$O1836=""),"",IF($N1836&lt;&gt;"",INDEX(PCNormDate,$N1836),INDEX(LdgDateB,$O1836)))</f>
        <v/>
      </c>
      <c r="C1836" s="24">
        <f>IF($N1836&lt;&gt;"",INDEX(PCOp,$N1836),IF($O1836&lt;&gt;"",IF(N(INDEX(TxnDepB,$O1836))&gt;0,"دریافت بانکی","پرداخت بانکی"),""))</f>
        <v/>
      </c>
      <c r="D1836" s="24">
        <f>IF($N1836&lt;&gt;"",IF(INDEX(PCDoc,$N1836)="","—",INDEX(PCDoc,$N1836)),IF($O1836&lt;&gt;"",INDEX(LdgBankB,$O1836),""))</f>
        <v/>
      </c>
      <c r="E1836" s="24">
        <f>IF($N1836&lt;&gt;"",IF(INDEX(PCCitrus,$N1836)="","—",INDEX(PCCitrus,$N1836)),"")</f>
        <v/>
      </c>
      <c r="F1836" s="25">
        <f>IF($N1836&lt;&gt;"",IF(INDEX(PCScale,$N1836)=0,"",INDEX(PCScale,$N1836)),"")</f>
        <v/>
      </c>
      <c r="G1836" s="25">
        <f>IF($N1836&lt;&gt;"",IF(INDEX(PCBaskets,$N1836)=0,"",INDEX(PCBaskets,$N1836)),"")</f>
        <v/>
      </c>
      <c r="H1836" s="26">
        <f>IF($N1836&lt;&gt;"",IF(INDEX(PCNet,$N1836)=0,"",INDEX(PCNet,$N1836)),"")</f>
        <v/>
      </c>
      <c r="I1836" s="25">
        <f>IF($N1836&lt;&gt;"",IF(INDEX(PCOp,$N1836)="مرجوعی خرید","",IF(INDEX(PCAmount,$N1836)&lt;=0,"",INDEX(PCAmount,$N1836))),IF($O1836&lt;&gt;"",IF(INDEX(TxnDepB,$O1836)=0,"",INDEX(TxnDepB,$O1836)),""))</f>
        <v/>
      </c>
      <c r="J1836" s="25">
        <f>IF($N1836&lt;&gt;"",IF(INDEX(PCOp,$N1836)="مرجوعی خرید",IF(INDEX(PCAmount,$N1836)=0,"",-INDEX(PCAmount,$N1836)),""),IF($O1836&lt;&gt;"",IF(INDEX(TxnWitB,$O1836)=0,"",INDEX(TxnWitB,$O1836)),""))</f>
        <v/>
      </c>
      <c r="K1836" s="27">
        <f>IF($B1836="","",IF($K1835="",$C$10,$K1835)+IF($I1836="",0,$I1836)-IF($J1836="",0,$J1836))</f>
        <v/>
      </c>
      <c r="L1836" s="28">
        <f>IF($N1836&lt;&gt;"",IF(INDEX(PCNotes,$N1836)="","—",INDEX(PCNotes,$N1836)),IF($O1836&lt;&gt;"",IF(INDEX(LdgNoteB,$O1836)="","—",INDEX(LdgNoteB,$O1836)),""))</f>
        <v/>
      </c>
      <c r="N1836">
        <f>IFERROR(MATCH($C$5&amp;"|"&amp;RIGHT("000000"&amp;1820,6),LdgRankKeyA,0),"")</f>
        <v/>
      </c>
      <c r="O1836">
        <f>IFERROR(MATCH($C$5&amp;"|"&amp;RIGHT("000000"&amp;1820,6),LdgRankKeyB,0),"")</f>
        <v/>
      </c>
    </row>
    <row r="1837">
      <c r="A1837" s="17" t="n">
        <v>1821</v>
      </c>
      <c r="B1837" s="18">
        <f>IF(AND($N1837="",$O1837=""),"",IF($N1837&lt;&gt;"",INDEX(PCNormDate,$N1837),INDEX(LdgDateB,$O1837)))</f>
        <v/>
      </c>
      <c r="C1837" s="18">
        <f>IF($N1837&lt;&gt;"",INDEX(PCOp,$N1837),IF($O1837&lt;&gt;"",IF(N(INDEX(TxnDepB,$O1837))&gt;0,"دریافت بانکی","پرداخت بانکی"),""))</f>
        <v/>
      </c>
      <c r="D1837" s="18">
        <f>IF($N1837&lt;&gt;"",IF(INDEX(PCDoc,$N1837)="","—",INDEX(PCDoc,$N1837)),IF($O1837&lt;&gt;"",INDEX(LdgBankB,$O1837),""))</f>
        <v/>
      </c>
      <c r="E1837" s="18">
        <f>IF($N1837&lt;&gt;"",IF(INDEX(PCCitrus,$N1837)="","—",INDEX(PCCitrus,$N1837)),"")</f>
        <v/>
      </c>
      <c r="F1837" s="19">
        <f>IF($N1837&lt;&gt;"",IF(INDEX(PCScale,$N1837)=0,"",INDEX(PCScale,$N1837)),"")</f>
        <v/>
      </c>
      <c r="G1837" s="19">
        <f>IF($N1837&lt;&gt;"",IF(INDEX(PCBaskets,$N1837)=0,"",INDEX(PCBaskets,$N1837)),"")</f>
        <v/>
      </c>
      <c r="H1837" s="20">
        <f>IF($N1837&lt;&gt;"",IF(INDEX(PCNet,$N1837)=0,"",INDEX(PCNet,$N1837)),"")</f>
        <v/>
      </c>
      <c r="I1837" s="19">
        <f>IF($N1837&lt;&gt;"",IF(INDEX(PCOp,$N1837)="مرجوعی خرید","",IF(INDEX(PCAmount,$N1837)&lt;=0,"",INDEX(PCAmount,$N1837))),IF($O1837&lt;&gt;"",IF(INDEX(TxnDepB,$O1837)=0,"",INDEX(TxnDepB,$O1837)),""))</f>
        <v/>
      </c>
      <c r="J1837" s="19">
        <f>IF($N1837&lt;&gt;"",IF(INDEX(PCOp,$N1837)="مرجوعی خرید",IF(INDEX(PCAmount,$N1837)=0,"",-INDEX(PCAmount,$N1837)),""),IF($O1837&lt;&gt;"",IF(INDEX(TxnWitB,$O1837)=0,"",INDEX(TxnWitB,$O1837)),""))</f>
        <v/>
      </c>
      <c r="K1837" s="21">
        <f>IF($B1837="","",IF($K1836="",$C$10,$K1836)+IF($I1837="",0,$I1837)-IF($J1837="",0,$J1837))</f>
        <v/>
      </c>
      <c r="L1837" s="22">
        <f>IF($N1837&lt;&gt;"",IF(INDEX(PCNotes,$N1837)="","—",INDEX(PCNotes,$N1837)),IF($O1837&lt;&gt;"",IF(INDEX(LdgNoteB,$O1837)="","—",INDEX(LdgNoteB,$O1837)),""))</f>
        <v/>
      </c>
      <c r="N1837">
        <f>IFERROR(MATCH($C$5&amp;"|"&amp;RIGHT("000000"&amp;1821,6),LdgRankKeyA,0),"")</f>
        <v/>
      </c>
      <c r="O1837">
        <f>IFERROR(MATCH($C$5&amp;"|"&amp;RIGHT("000000"&amp;1821,6),LdgRankKeyB,0),"")</f>
        <v/>
      </c>
    </row>
    <row r="1838">
      <c r="A1838" s="23" t="n">
        <v>1822</v>
      </c>
      <c r="B1838" s="24">
        <f>IF(AND($N1838="",$O1838=""),"",IF($N1838&lt;&gt;"",INDEX(PCNormDate,$N1838),INDEX(LdgDateB,$O1838)))</f>
        <v/>
      </c>
      <c r="C1838" s="24">
        <f>IF($N1838&lt;&gt;"",INDEX(PCOp,$N1838),IF($O1838&lt;&gt;"",IF(N(INDEX(TxnDepB,$O1838))&gt;0,"دریافت بانکی","پرداخت بانکی"),""))</f>
        <v/>
      </c>
      <c r="D1838" s="24">
        <f>IF($N1838&lt;&gt;"",IF(INDEX(PCDoc,$N1838)="","—",INDEX(PCDoc,$N1838)),IF($O1838&lt;&gt;"",INDEX(LdgBankB,$O1838),""))</f>
        <v/>
      </c>
      <c r="E1838" s="24">
        <f>IF($N1838&lt;&gt;"",IF(INDEX(PCCitrus,$N1838)="","—",INDEX(PCCitrus,$N1838)),"")</f>
        <v/>
      </c>
      <c r="F1838" s="25">
        <f>IF($N1838&lt;&gt;"",IF(INDEX(PCScale,$N1838)=0,"",INDEX(PCScale,$N1838)),"")</f>
        <v/>
      </c>
      <c r="G1838" s="25">
        <f>IF($N1838&lt;&gt;"",IF(INDEX(PCBaskets,$N1838)=0,"",INDEX(PCBaskets,$N1838)),"")</f>
        <v/>
      </c>
      <c r="H1838" s="26">
        <f>IF($N1838&lt;&gt;"",IF(INDEX(PCNet,$N1838)=0,"",INDEX(PCNet,$N1838)),"")</f>
        <v/>
      </c>
      <c r="I1838" s="25">
        <f>IF($N1838&lt;&gt;"",IF(INDEX(PCOp,$N1838)="مرجوعی خرید","",IF(INDEX(PCAmount,$N1838)&lt;=0,"",INDEX(PCAmount,$N1838))),IF($O1838&lt;&gt;"",IF(INDEX(TxnDepB,$O1838)=0,"",INDEX(TxnDepB,$O1838)),""))</f>
        <v/>
      </c>
      <c r="J1838" s="25">
        <f>IF($N1838&lt;&gt;"",IF(INDEX(PCOp,$N1838)="مرجوعی خرید",IF(INDEX(PCAmount,$N1838)=0,"",-INDEX(PCAmount,$N1838)),""),IF($O1838&lt;&gt;"",IF(INDEX(TxnWitB,$O1838)=0,"",INDEX(TxnWitB,$O1838)),""))</f>
        <v/>
      </c>
      <c r="K1838" s="27">
        <f>IF($B1838="","",IF($K1837="",$C$10,$K1837)+IF($I1838="",0,$I1838)-IF($J1838="",0,$J1838))</f>
        <v/>
      </c>
      <c r="L1838" s="28">
        <f>IF($N1838&lt;&gt;"",IF(INDEX(PCNotes,$N1838)="","—",INDEX(PCNotes,$N1838)),IF($O1838&lt;&gt;"",IF(INDEX(LdgNoteB,$O1838)="","—",INDEX(LdgNoteB,$O1838)),""))</f>
        <v/>
      </c>
      <c r="N1838">
        <f>IFERROR(MATCH($C$5&amp;"|"&amp;RIGHT("000000"&amp;1822,6),LdgRankKeyA,0),"")</f>
        <v/>
      </c>
      <c r="O1838">
        <f>IFERROR(MATCH($C$5&amp;"|"&amp;RIGHT("000000"&amp;1822,6),LdgRankKeyB,0),"")</f>
        <v/>
      </c>
    </row>
    <row r="1839">
      <c r="A1839" s="17" t="n">
        <v>1823</v>
      </c>
      <c r="B1839" s="18">
        <f>IF(AND($N1839="",$O1839=""),"",IF($N1839&lt;&gt;"",INDEX(PCNormDate,$N1839),INDEX(LdgDateB,$O1839)))</f>
        <v/>
      </c>
      <c r="C1839" s="18">
        <f>IF($N1839&lt;&gt;"",INDEX(PCOp,$N1839),IF($O1839&lt;&gt;"",IF(N(INDEX(TxnDepB,$O1839))&gt;0,"دریافت بانکی","پرداخت بانکی"),""))</f>
        <v/>
      </c>
      <c r="D1839" s="18">
        <f>IF($N1839&lt;&gt;"",IF(INDEX(PCDoc,$N1839)="","—",INDEX(PCDoc,$N1839)),IF($O1839&lt;&gt;"",INDEX(LdgBankB,$O1839),""))</f>
        <v/>
      </c>
      <c r="E1839" s="18">
        <f>IF($N1839&lt;&gt;"",IF(INDEX(PCCitrus,$N1839)="","—",INDEX(PCCitrus,$N1839)),"")</f>
        <v/>
      </c>
      <c r="F1839" s="19">
        <f>IF($N1839&lt;&gt;"",IF(INDEX(PCScale,$N1839)=0,"",INDEX(PCScale,$N1839)),"")</f>
        <v/>
      </c>
      <c r="G1839" s="19">
        <f>IF($N1839&lt;&gt;"",IF(INDEX(PCBaskets,$N1839)=0,"",INDEX(PCBaskets,$N1839)),"")</f>
        <v/>
      </c>
      <c r="H1839" s="20">
        <f>IF($N1839&lt;&gt;"",IF(INDEX(PCNet,$N1839)=0,"",INDEX(PCNet,$N1839)),"")</f>
        <v/>
      </c>
      <c r="I1839" s="19">
        <f>IF($N1839&lt;&gt;"",IF(INDEX(PCOp,$N1839)="مرجوعی خرید","",IF(INDEX(PCAmount,$N1839)&lt;=0,"",INDEX(PCAmount,$N1839))),IF($O1839&lt;&gt;"",IF(INDEX(TxnDepB,$O1839)=0,"",INDEX(TxnDepB,$O1839)),""))</f>
        <v/>
      </c>
      <c r="J1839" s="19">
        <f>IF($N1839&lt;&gt;"",IF(INDEX(PCOp,$N1839)="مرجوعی خرید",IF(INDEX(PCAmount,$N1839)=0,"",-INDEX(PCAmount,$N1839)),""),IF($O1839&lt;&gt;"",IF(INDEX(TxnWitB,$O1839)=0,"",INDEX(TxnWitB,$O1839)),""))</f>
        <v/>
      </c>
      <c r="K1839" s="21">
        <f>IF($B1839="","",IF($K1838="",$C$10,$K1838)+IF($I1839="",0,$I1839)-IF($J1839="",0,$J1839))</f>
        <v/>
      </c>
      <c r="L1839" s="22">
        <f>IF($N1839&lt;&gt;"",IF(INDEX(PCNotes,$N1839)="","—",INDEX(PCNotes,$N1839)),IF($O1839&lt;&gt;"",IF(INDEX(LdgNoteB,$O1839)="","—",INDEX(LdgNoteB,$O1839)),""))</f>
        <v/>
      </c>
      <c r="N1839">
        <f>IFERROR(MATCH($C$5&amp;"|"&amp;RIGHT("000000"&amp;1823,6),LdgRankKeyA,0),"")</f>
        <v/>
      </c>
      <c r="O1839">
        <f>IFERROR(MATCH($C$5&amp;"|"&amp;RIGHT("000000"&amp;1823,6),LdgRankKeyB,0),"")</f>
        <v/>
      </c>
    </row>
    <row r="1840">
      <c r="A1840" s="23" t="n">
        <v>1824</v>
      </c>
      <c r="B1840" s="24">
        <f>IF(AND($N1840="",$O1840=""),"",IF($N1840&lt;&gt;"",INDEX(PCNormDate,$N1840),INDEX(LdgDateB,$O1840)))</f>
        <v/>
      </c>
      <c r="C1840" s="24">
        <f>IF($N1840&lt;&gt;"",INDEX(PCOp,$N1840),IF($O1840&lt;&gt;"",IF(N(INDEX(TxnDepB,$O1840))&gt;0,"دریافت بانکی","پرداخت بانکی"),""))</f>
        <v/>
      </c>
      <c r="D1840" s="24">
        <f>IF($N1840&lt;&gt;"",IF(INDEX(PCDoc,$N1840)="","—",INDEX(PCDoc,$N1840)),IF($O1840&lt;&gt;"",INDEX(LdgBankB,$O1840),""))</f>
        <v/>
      </c>
      <c r="E1840" s="24">
        <f>IF($N1840&lt;&gt;"",IF(INDEX(PCCitrus,$N1840)="","—",INDEX(PCCitrus,$N1840)),"")</f>
        <v/>
      </c>
      <c r="F1840" s="25">
        <f>IF($N1840&lt;&gt;"",IF(INDEX(PCScale,$N1840)=0,"",INDEX(PCScale,$N1840)),"")</f>
        <v/>
      </c>
      <c r="G1840" s="25">
        <f>IF($N1840&lt;&gt;"",IF(INDEX(PCBaskets,$N1840)=0,"",INDEX(PCBaskets,$N1840)),"")</f>
        <v/>
      </c>
      <c r="H1840" s="26">
        <f>IF($N1840&lt;&gt;"",IF(INDEX(PCNet,$N1840)=0,"",INDEX(PCNet,$N1840)),"")</f>
        <v/>
      </c>
      <c r="I1840" s="25">
        <f>IF($N1840&lt;&gt;"",IF(INDEX(PCOp,$N1840)="مرجوعی خرید","",IF(INDEX(PCAmount,$N1840)&lt;=0,"",INDEX(PCAmount,$N1840))),IF($O1840&lt;&gt;"",IF(INDEX(TxnDepB,$O1840)=0,"",INDEX(TxnDepB,$O1840)),""))</f>
        <v/>
      </c>
      <c r="J1840" s="25">
        <f>IF($N1840&lt;&gt;"",IF(INDEX(PCOp,$N1840)="مرجوعی خرید",IF(INDEX(PCAmount,$N1840)=0,"",-INDEX(PCAmount,$N1840)),""),IF($O1840&lt;&gt;"",IF(INDEX(TxnWitB,$O1840)=0,"",INDEX(TxnWitB,$O1840)),""))</f>
        <v/>
      </c>
      <c r="K1840" s="27">
        <f>IF($B1840="","",IF($K1839="",$C$10,$K1839)+IF($I1840="",0,$I1840)-IF($J1840="",0,$J1840))</f>
        <v/>
      </c>
      <c r="L1840" s="28">
        <f>IF($N1840&lt;&gt;"",IF(INDEX(PCNotes,$N1840)="","—",INDEX(PCNotes,$N1840)),IF($O1840&lt;&gt;"",IF(INDEX(LdgNoteB,$O1840)="","—",INDEX(LdgNoteB,$O1840)),""))</f>
        <v/>
      </c>
      <c r="N1840">
        <f>IFERROR(MATCH($C$5&amp;"|"&amp;RIGHT("000000"&amp;1824,6),LdgRankKeyA,0),"")</f>
        <v/>
      </c>
      <c r="O1840">
        <f>IFERROR(MATCH($C$5&amp;"|"&amp;RIGHT("000000"&amp;1824,6),LdgRankKeyB,0),"")</f>
        <v/>
      </c>
    </row>
    <row r="1841">
      <c r="A1841" s="17" t="n">
        <v>1825</v>
      </c>
      <c r="B1841" s="18">
        <f>IF(AND($N1841="",$O1841=""),"",IF($N1841&lt;&gt;"",INDEX(PCNormDate,$N1841),INDEX(LdgDateB,$O1841)))</f>
        <v/>
      </c>
      <c r="C1841" s="18">
        <f>IF($N1841&lt;&gt;"",INDEX(PCOp,$N1841),IF($O1841&lt;&gt;"",IF(N(INDEX(TxnDepB,$O1841))&gt;0,"دریافت بانکی","پرداخت بانکی"),""))</f>
        <v/>
      </c>
      <c r="D1841" s="18">
        <f>IF($N1841&lt;&gt;"",IF(INDEX(PCDoc,$N1841)="","—",INDEX(PCDoc,$N1841)),IF($O1841&lt;&gt;"",INDEX(LdgBankB,$O1841),""))</f>
        <v/>
      </c>
      <c r="E1841" s="18">
        <f>IF($N1841&lt;&gt;"",IF(INDEX(PCCitrus,$N1841)="","—",INDEX(PCCitrus,$N1841)),"")</f>
        <v/>
      </c>
      <c r="F1841" s="19">
        <f>IF($N1841&lt;&gt;"",IF(INDEX(PCScale,$N1841)=0,"",INDEX(PCScale,$N1841)),"")</f>
        <v/>
      </c>
      <c r="G1841" s="19">
        <f>IF($N1841&lt;&gt;"",IF(INDEX(PCBaskets,$N1841)=0,"",INDEX(PCBaskets,$N1841)),"")</f>
        <v/>
      </c>
      <c r="H1841" s="20">
        <f>IF($N1841&lt;&gt;"",IF(INDEX(PCNet,$N1841)=0,"",INDEX(PCNet,$N1841)),"")</f>
        <v/>
      </c>
      <c r="I1841" s="19">
        <f>IF($N1841&lt;&gt;"",IF(INDEX(PCOp,$N1841)="مرجوعی خرید","",IF(INDEX(PCAmount,$N1841)&lt;=0,"",INDEX(PCAmount,$N1841))),IF($O1841&lt;&gt;"",IF(INDEX(TxnDepB,$O1841)=0,"",INDEX(TxnDepB,$O1841)),""))</f>
        <v/>
      </c>
      <c r="J1841" s="19">
        <f>IF($N1841&lt;&gt;"",IF(INDEX(PCOp,$N1841)="مرجوعی خرید",IF(INDEX(PCAmount,$N1841)=0,"",-INDEX(PCAmount,$N1841)),""),IF($O1841&lt;&gt;"",IF(INDEX(TxnWitB,$O1841)=0,"",INDEX(TxnWitB,$O1841)),""))</f>
        <v/>
      </c>
      <c r="K1841" s="21">
        <f>IF($B1841="","",IF($K1840="",$C$10,$K1840)+IF($I1841="",0,$I1841)-IF($J1841="",0,$J1841))</f>
        <v/>
      </c>
      <c r="L1841" s="22">
        <f>IF($N1841&lt;&gt;"",IF(INDEX(PCNotes,$N1841)="","—",INDEX(PCNotes,$N1841)),IF($O1841&lt;&gt;"",IF(INDEX(LdgNoteB,$O1841)="","—",INDEX(LdgNoteB,$O1841)),""))</f>
        <v/>
      </c>
      <c r="N1841">
        <f>IFERROR(MATCH($C$5&amp;"|"&amp;RIGHT("000000"&amp;1825,6),LdgRankKeyA,0),"")</f>
        <v/>
      </c>
      <c r="O1841">
        <f>IFERROR(MATCH($C$5&amp;"|"&amp;RIGHT("000000"&amp;1825,6),LdgRankKeyB,0),"")</f>
        <v/>
      </c>
    </row>
    <row r="1842">
      <c r="A1842" s="23" t="n">
        <v>1826</v>
      </c>
      <c r="B1842" s="24">
        <f>IF(AND($N1842="",$O1842=""),"",IF($N1842&lt;&gt;"",INDEX(PCNormDate,$N1842),INDEX(LdgDateB,$O1842)))</f>
        <v/>
      </c>
      <c r="C1842" s="24">
        <f>IF($N1842&lt;&gt;"",INDEX(PCOp,$N1842),IF($O1842&lt;&gt;"",IF(N(INDEX(TxnDepB,$O1842))&gt;0,"دریافت بانکی","پرداخت بانکی"),""))</f>
        <v/>
      </c>
      <c r="D1842" s="24">
        <f>IF($N1842&lt;&gt;"",IF(INDEX(PCDoc,$N1842)="","—",INDEX(PCDoc,$N1842)),IF($O1842&lt;&gt;"",INDEX(LdgBankB,$O1842),""))</f>
        <v/>
      </c>
      <c r="E1842" s="24">
        <f>IF($N1842&lt;&gt;"",IF(INDEX(PCCitrus,$N1842)="","—",INDEX(PCCitrus,$N1842)),"")</f>
        <v/>
      </c>
      <c r="F1842" s="25">
        <f>IF($N1842&lt;&gt;"",IF(INDEX(PCScale,$N1842)=0,"",INDEX(PCScale,$N1842)),"")</f>
        <v/>
      </c>
      <c r="G1842" s="25">
        <f>IF($N1842&lt;&gt;"",IF(INDEX(PCBaskets,$N1842)=0,"",INDEX(PCBaskets,$N1842)),"")</f>
        <v/>
      </c>
      <c r="H1842" s="26">
        <f>IF($N1842&lt;&gt;"",IF(INDEX(PCNet,$N1842)=0,"",INDEX(PCNet,$N1842)),"")</f>
        <v/>
      </c>
      <c r="I1842" s="25">
        <f>IF($N1842&lt;&gt;"",IF(INDEX(PCOp,$N1842)="مرجوعی خرید","",IF(INDEX(PCAmount,$N1842)&lt;=0,"",INDEX(PCAmount,$N1842))),IF($O1842&lt;&gt;"",IF(INDEX(TxnDepB,$O1842)=0,"",INDEX(TxnDepB,$O1842)),""))</f>
        <v/>
      </c>
      <c r="J1842" s="25">
        <f>IF($N1842&lt;&gt;"",IF(INDEX(PCOp,$N1842)="مرجوعی خرید",IF(INDEX(PCAmount,$N1842)=0,"",-INDEX(PCAmount,$N1842)),""),IF($O1842&lt;&gt;"",IF(INDEX(TxnWitB,$O1842)=0,"",INDEX(TxnWitB,$O1842)),""))</f>
        <v/>
      </c>
      <c r="K1842" s="27">
        <f>IF($B1842="","",IF($K1841="",$C$10,$K1841)+IF($I1842="",0,$I1842)-IF($J1842="",0,$J1842))</f>
        <v/>
      </c>
      <c r="L1842" s="28">
        <f>IF($N1842&lt;&gt;"",IF(INDEX(PCNotes,$N1842)="","—",INDEX(PCNotes,$N1842)),IF($O1842&lt;&gt;"",IF(INDEX(LdgNoteB,$O1842)="","—",INDEX(LdgNoteB,$O1842)),""))</f>
        <v/>
      </c>
      <c r="N1842">
        <f>IFERROR(MATCH($C$5&amp;"|"&amp;RIGHT("000000"&amp;1826,6),LdgRankKeyA,0),"")</f>
        <v/>
      </c>
      <c r="O1842">
        <f>IFERROR(MATCH($C$5&amp;"|"&amp;RIGHT("000000"&amp;1826,6),LdgRankKeyB,0),"")</f>
        <v/>
      </c>
    </row>
    <row r="1843">
      <c r="A1843" s="17" t="n">
        <v>1827</v>
      </c>
      <c r="B1843" s="18">
        <f>IF(AND($N1843="",$O1843=""),"",IF($N1843&lt;&gt;"",INDEX(PCNormDate,$N1843),INDEX(LdgDateB,$O1843)))</f>
        <v/>
      </c>
      <c r="C1843" s="18">
        <f>IF($N1843&lt;&gt;"",INDEX(PCOp,$N1843),IF($O1843&lt;&gt;"",IF(N(INDEX(TxnDepB,$O1843))&gt;0,"دریافت بانکی","پرداخت بانکی"),""))</f>
        <v/>
      </c>
      <c r="D1843" s="18">
        <f>IF($N1843&lt;&gt;"",IF(INDEX(PCDoc,$N1843)="","—",INDEX(PCDoc,$N1843)),IF($O1843&lt;&gt;"",INDEX(LdgBankB,$O1843),""))</f>
        <v/>
      </c>
      <c r="E1843" s="18">
        <f>IF($N1843&lt;&gt;"",IF(INDEX(PCCitrus,$N1843)="","—",INDEX(PCCitrus,$N1843)),"")</f>
        <v/>
      </c>
      <c r="F1843" s="19">
        <f>IF($N1843&lt;&gt;"",IF(INDEX(PCScale,$N1843)=0,"",INDEX(PCScale,$N1843)),"")</f>
        <v/>
      </c>
      <c r="G1843" s="19">
        <f>IF($N1843&lt;&gt;"",IF(INDEX(PCBaskets,$N1843)=0,"",INDEX(PCBaskets,$N1843)),"")</f>
        <v/>
      </c>
      <c r="H1843" s="20">
        <f>IF($N1843&lt;&gt;"",IF(INDEX(PCNet,$N1843)=0,"",INDEX(PCNet,$N1843)),"")</f>
        <v/>
      </c>
      <c r="I1843" s="19">
        <f>IF($N1843&lt;&gt;"",IF(INDEX(PCOp,$N1843)="مرجوعی خرید","",IF(INDEX(PCAmount,$N1843)&lt;=0,"",INDEX(PCAmount,$N1843))),IF($O1843&lt;&gt;"",IF(INDEX(TxnDepB,$O1843)=0,"",INDEX(TxnDepB,$O1843)),""))</f>
        <v/>
      </c>
      <c r="J1843" s="19">
        <f>IF($N1843&lt;&gt;"",IF(INDEX(PCOp,$N1843)="مرجوعی خرید",IF(INDEX(PCAmount,$N1843)=0,"",-INDEX(PCAmount,$N1843)),""),IF($O1843&lt;&gt;"",IF(INDEX(TxnWitB,$O1843)=0,"",INDEX(TxnWitB,$O1843)),""))</f>
        <v/>
      </c>
      <c r="K1843" s="21">
        <f>IF($B1843="","",IF($K1842="",$C$10,$K1842)+IF($I1843="",0,$I1843)-IF($J1843="",0,$J1843))</f>
        <v/>
      </c>
      <c r="L1843" s="22">
        <f>IF($N1843&lt;&gt;"",IF(INDEX(PCNotes,$N1843)="","—",INDEX(PCNotes,$N1843)),IF($O1843&lt;&gt;"",IF(INDEX(LdgNoteB,$O1843)="","—",INDEX(LdgNoteB,$O1843)),""))</f>
        <v/>
      </c>
      <c r="N1843">
        <f>IFERROR(MATCH($C$5&amp;"|"&amp;RIGHT("000000"&amp;1827,6),LdgRankKeyA,0),"")</f>
        <v/>
      </c>
      <c r="O1843">
        <f>IFERROR(MATCH($C$5&amp;"|"&amp;RIGHT("000000"&amp;1827,6),LdgRankKeyB,0),"")</f>
        <v/>
      </c>
    </row>
    <row r="1844">
      <c r="A1844" s="23" t="n">
        <v>1828</v>
      </c>
      <c r="B1844" s="24">
        <f>IF(AND($N1844="",$O1844=""),"",IF($N1844&lt;&gt;"",INDEX(PCNormDate,$N1844),INDEX(LdgDateB,$O1844)))</f>
        <v/>
      </c>
      <c r="C1844" s="24">
        <f>IF($N1844&lt;&gt;"",INDEX(PCOp,$N1844),IF($O1844&lt;&gt;"",IF(N(INDEX(TxnDepB,$O1844))&gt;0,"دریافت بانکی","پرداخت بانکی"),""))</f>
        <v/>
      </c>
      <c r="D1844" s="24">
        <f>IF($N1844&lt;&gt;"",IF(INDEX(PCDoc,$N1844)="","—",INDEX(PCDoc,$N1844)),IF($O1844&lt;&gt;"",INDEX(LdgBankB,$O1844),""))</f>
        <v/>
      </c>
      <c r="E1844" s="24">
        <f>IF($N1844&lt;&gt;"",IF(INDEX(PCCitrus,$N1844)="","—",INDEX(PCCitrus,$N1844)),"")</f>
        <v/>
      </c>
      <c r="F1844" s="25">
        <f>IF($N1844&lt;&gt;"",IF(INDEX(PCScale,$N1844)=0,"",INDEX(PCScale,$N1844)),"")</f>
        <v/>
      </c>
      <c r="G1844" s="25">
        <f>IF($N1844&lt;&gt;"",IF(INDEX(PCBaskets,$N1844)=0,"",INDEX(PCBaskets,$N1844)),"")</f>
        <v/>
      </c>
      <c r="H1844" s="26">
        <f>IF($N1844&lt;&gt;"",IF(INDEX(PCNet,$N1844)=0,"",INDEX(PCNet,$N1844)),"")</f>
        <v/>
      </c>
      <c r="I1844" s="25">
        <f>IF($N1844&lt;&gt;"",IF(INDEX(PCOp,$N1844)="مرجوعی خرید","",IF(INDEX(PCAmount,$N1844)&lt;=0,"",INDEX(PCAmount,$N1844))),IF($O1844&lt;&gt;"",IF(INDEX(TxnDepB,$O1844)=0,"",INDEX(TxnDepB,$O1844)),""))</f>
        <v/>
      </c>
      <c r="J1844" s="25">
        <f>IF($N1844&lt;&gt;"",IF(INDEX(PCOp,$N1844)="مرجوعی خرید",IF(INDEX(PCAmount,$N1844)=0,"",-INDEX(PCAmount,$N1844)),""),IF($O1844&lt;&gt;"",IF(INDEX(TxnWitB,$O1844)=0,"",INDEX(TxnWitB,$O1844)),""))</f>
        <v/>
      </c>
      <c r="K1844" s="27">
        <f>IF($B1844="","",IF($K1843="",$C$10,$K1843)+IF($I1844="",0,$I1844)-IF($J1844="",0,$J1844))</f>
        <v/>
      </c>
      <c r="L1844" s="28">
        <f>IF($N1844&lt;&gt;"",IF(INDEX(PCNotes,$N1844)="","—",INDEX(PCNotes,$N1844)),IF($O1844&lt;&gt;"",IF(INDEX(LdgNoteB,$O1844)="","—",INDEX(LdgNoteB,$O1844)),""))</f>
        <v/>
      </c>
      <c r="N1844">
        <f>IFERROR(MATCH($C$5&amp;"|"&amp;RIGHT("000000"&amp;1828,6),LdgRankKeyA,0),"")</f>
        <v/>
      </c>
      <c r="O1844">
        <f>IFERROR(MATCH($C$5&amp;"|"&amp;RIGHT("000000"&amp;1828,6),LdgRankKeyB,0),"")</f>
        <v/>
      </c>
    </row>
    <row r="1845">
      <c r="A1845" s="17" t="n">
        <v>1829</v>
      </c>
      <c r="B1845" s="18">
        <f>IF(AND($N1845="",$O1845=""),"",IF($N1845&lt;&gt;"",INDEX(PCNormDate,$N1845),INDEX(LdgDateB,$O1845)))</f>
        <v/>
      </c>
      <c r="C1845" s="18">
        <f>IF($N1845&lt;&gt;"",INDEX(PCOp,$N1845),IF($O1845&lt;&gt;"",IF(N(INDEX(TxnDepB,$O1845))&gt;0,"دریافت بانکی","پرداخت بانکی"),""))</f>
        <v/>
      </c>
      <c r="D1845" s="18">
        <f>IF($N1845&lt;&gt;"",IF(INDEX(PCDoc,$N1845)="","—",INDEX(PCDoc,$N1845)),IF($O1845&lt;&gt;"",INDEX(LdgBankB,$O1845),""))</f>
        <v/>
      </c>
      <c r="E1845" s="18">
        <f>IF($N1845&lt;&gt;"",IF(INDEX(PCCitrus,$N1845)="","—",INDEX(PCCitrus,$N1845)),"")</f>
        <v/>
      </c>
      <c r="F1845" s="19">
        <f>IF($N1845&lt;&gt;"",IF(INDEX(PCScale,$N1845)=0,"",INDEX(PCScale,$N1845)),"")</f>
        <v/>
      </c>
      <c r="G1845" s="19">
        <f>IF($N1845&lt;&gt;"",IF(INDEX(PCBaskets,$N1845)=0,"",INDEX(PCBaskets,$N1845)),"")</f>
        <v/>
      </c>
      <c r="H1845" s="20">
        <f>IF($N1845&lt;&gt;"",IF(INDEX(PCNet,$N1845)=0,"",INDEX(PCNet,$N1845)),"")</f>
        <v/>
      </c>
      <c r="I1845" s="19">
        <f>IF($N1845&lt;&gt;"",IF(INDEX(PCOp,$N1845)="مرجوعی خرید","",IF(INDEX(PCAmount,$N1845)&lt;=0,"",INDEX(PCAmount,$N1845))),IF($O1845&lt;&gt;"",IF(INDEX(TxnDepB,$O1845)=0,"",INDEX(TxnDepB,$O1845)),""))</f>
        <v/>
      </c>
      <c r="J1845" s="19">
        <f>IF($N1845&lt;&gt;"",IF(INDEX(PCOp,$N1845)="مرجوعی خرید",IF(INDEX(PCAmount,$N1845)=0,"",-INDEX(PCAmount,$N1845)),""),IF($O1845&lt;&gt;"",IF(INDEX(TxnWitB,$O1845)=0,"",INDEX(TxnWitB,$O1845)),""))</f>
        <v/>
      </c>
      <c r="K1845" s="21">
        <f>IF($B1845="","",IF($K1844="",$C$10,$K1844)+IF($I1845="",0,$I1845)-IF($J1845="",0,$J1845))</f>
        <v/>
      </c>
      <c r="L1845" s="22">
        <f>IF($N1845&lt;&gt;"",IF(INDEX(PCNotes,$N1845)="","—",INDEX(PCNotes,$N1845)),IF($O1845&lt;&gt;"",IF(INDEX(LdgNoteB,$O1845)="","—",INDEX(LdgNoteB,$O1845)),""))</f>
        <v/>
      </c>
      <c r="N1845">
        <f>IFERROR(MATCH($C$5&amp;"|"&amp;RIGHT("000000"&amp;1829,6),LdgRankKeyA,0),"")</f>
        <v/>
      </c>
      <c r="O1845">
        <f>IFERROR(MATCH($C$5&amp;"|"&amp;RIGHT("000000"&amp;1829,6),LdgRankKeyB,0),"")</f>
        <v/>
      </c>
    </row>
    <row r="1846">
      <c r="A1846" s="23" t="n">
        <v>1830</v>
      </c>
      <c r="B1846" s="24">
        <f>IF(AND($N1846="",$O1846=""),"",IF($N1846&lt;&gt;"",INDEX(PCNormDate,$N1846),INDEX(LdgDateB,$O1846)))</f>
        <v/>
      </c>
      <c r="C1846" s="24">
        <f>IF($N1846&lt;&gt;"",INDEX(PCOp,$N1846),IF($O1846&lt;&gt;"",IF(N(INDEX(TxnDepB,$O1846))&gt;0,"دریافت بانکی","پرداخت بانکی"),""))</f>
        <v/>
      </c>
      <c r="D1846" s="24">
        <f>IF($N1846&lt;&gt;"",IF(INDEX(PCDoc,$N1846)="","—",INDEX(PCDoc,$N1846)),IF($O1846&lt;&gt;"",INDEX(LdgBankB,$O1846),""))</f>
        <v/>
      </c>
      <c r="E1846" s="24">
        <f>IF($N1846&lt;&gt;"",IF(INDEX(PCCitrus,$N1846)="","—",INDEX(PCCitrus,$N1846)),"")</f>
        <v/>
      </c>
      <c r="F1846" s="25">
        <f>IF($N1846&lt;&gt;"",IF(INDEX(PCScale,$N1846)=0,"",INDEX(PCScale,$N1846)),"")</f>
        <v/>
      </c>
      <c r="G1846" s="25">
        <f>IF($N1846&lt;&gt;"",IF(INDEX(PCBaskets,$N1846)=0,"",INDEX(PCBaskets,$N1846)),"")</f>
        <v/>
      </c>
      <c r="H1846" s="26">
        <f>IF($N1846&lt;&gt;"",IF(INDEX(PCNet,$N1846)=0,"",INDEX(PCNet,$N1846)),"")</f>
        <v/>
      </c>
      <c r="I1846" s="25">
        <f>IF($N1846&lt;&gt;"",IF(INDEX(PCOp,$N1846)="مرجوعی خرید","",IF(INDEX(PCAmount,$N1846)&lt;=0,"",INDEX(PCAmount,$N1846))),IF($O1846&lt;&gt;"",IF(INDEX(TxnDepB,$O1846)=0,"",INDEX(TxnDepB,$O1846)),""))</f>
        <v/>
      </c>
      <c r="J1846" s="25">
        <f>IF($N1846&lt;&gt;"",IF(INDEX(PCOp,$N1846)="مرجوعی خرید",IF(INDEX(PCAmount,$N1846)=0,"",-INDEX(PCAmount,$N1846)),""),IF($O1846&lt;&gt;"",IF(INDEX(TxnWitB,$O1846)=0,"",INDEX(TxnWitB,$O1846)),""))</f>
        <v/>
      </c>
      <c r="K1846" s="27">
        <f>IF($B1846="","",IF($K1845="",$C$10,$K1845)+IF($I1846="",0,$I1846)-IF($J1846="",0,$J1846))</f>
        <v/>
      </c>
      <c r="L1846" s="28">
        <f>IF($N1846&lt;&gt;"",IF(INDEX(PCNotes,$N1846)="","—",INDEX(PCNotes,$N1846)),IF($O1846&lt;&gt;"",IF(INDEX(LdgNoteB,$O1846)="","—",INDEX(LdgNoteB,$O1846)),""))</f>
        <v/>
      </c>
      <c r="N1846">
        <f>IFERROR(MATCH($C$5&amp;"|"&amp;RIGHT("000000"&amp;1830,6),LdgRankKeyA,0),"")</f>
        <v/>
      </c>
      <c r="O1846">
        <f>IFERROR(MATCH($C$5&amp;"|"&amp;RIGHT("000000"&amp;1830,6),LdgRankKeyB,0),"")</f>
        <v/>
      </c>
    </row>
    <row r="1847">
      <c r="A1847" s="17" t="n">
        <v>1831</v>
      </c>
      <c r="B1847" s="18">
        <f>IF(AND($N1847="",$O1847=""),"",IF($N1847&lt;&gt;"",INDEX(PCNormDate,$N1847),INDEX(LdgDateB,$O1847)))</f>
        <v/>
      </c>
      <c r="C1847" s="18">
        <f>IF($N1847&lt;&gt;"",INDEX(PCOp,$N1847),IF($O1847&lt;&gt;"",IF(N(INDEX(TxnDepB,$O1847))&gt;0,"دریافت بانکی","پرداخت بانکی"),""))</f>
        <v/>
      </c>
      <c r="D1847" s="18">
        <f>IF($N1847&lt;&gt;"",IF(INDEX(PCDoc,$N1847)="","—",INDEX(PCDoc,$N1847)),IF($O1847&lt;&gt;"",INDEX(LdgBankB,$O1847),""))</f>
        <v/>
      </c>
      <c r="E1847" s="18">
        <f>IF($N1847&lt;&gt;"",IF(INDEX(PCCitrus,$N1847)="","—",INDEX(PCCitrus,$N1847)),"")</f>
        <v/>
      </c>
      <c r="F1847" s="19">
        <f>IF($N1847&lt;&gt;"",IF(INDEX(PCScale,$N1847)=0,"",INDEX(PCScale,$N1847)),"")</f>
        <v/>
      </c>
      <c r="G1847" s="19">
        <f>IF($N1847&lt;&gt;"",IF(INDEX(PCBaskets,$N1847)=0,"",INDEX(PCBaskets,$N1847)),"")</f>
        <v/>
      </c>
      <c r="H1847" s="20">
        <f>IF($N1847&lt;&gt;"",IF(INDEX(PCNet,$N1847)=0,"",INDEX(PCNet,$N1847)),"")</f>
        <v/>
      </c>
      <c r="I1847" s="19">
        <f>IF($N1847&lt;&gt;"",IF(INDEX(PCOp,$N1847)="مرجوعی خرید","",IF(INDEX(PCAmount,$N1847)&lt;=0,"",INDEX(PCAmount,$N1847))),IF($O1847&lt;&gt;"",IF(INDEX(TxnDepB,$O1847)=0,"",INDEX(TxnDepB,$O1847)),""))</f>
        <v/>
      </c>
      <c r="J1847" s="19">
        <f>IF($N1847&lt;&gt;"",IF(INDEX(PCOp,$N1847)="مرجوعی خرید",IF(INDEX(PCAmount,$N1847)=0,"",-INDEX(PCAmount,$N1847)),""),IF($O1847&lt;&gt;"",IF(INDEX(TxnWitB,$O1847)=0,"",INDEX(TxnWitB,$O1847)),""))</f>
        <v/>
      </c>
      <c r="K1847" s="21">
        <f>IF($B1847="","",IF($K1846="",$C$10,$K1846)+IF($I1847="",0,$I1847)-IF($J1847="",0,$J1847))</f>
        <v/>
      </c>
      <c r="L1847" s="22">
        <f>IF($N1847&lt;&gt;"",IF(INDEX(PCNotes,$N1847)="","—",INDEX(PCNotes,$N1847)),IF($O1847&lt;&gt;"",IF(INDEX(LdgNoteB,$O1847)="","—",INDEX(LdgNoteB,$O1847)),""))</f>
        <v/>
      </c>
      <c r="N1847">
        <f>IFERROR(MATCH($C$5&amp;"|"&amp;RIGHT("000000"&amp;1831,6),LdgRankKeyA,0),"")</f>
        <v/>
      </c>
      <c r="O1847">
        <f>IFERROR(MATCH($C$5&amp;"|"&amp;RIGHT("000000"&amp;1831,6),LdgRankKeyB,0),"")</f>
        <v/>
      </c>
    </row>
    <row r="1848">
      <c r="A1848" s="23" t="n">
        <v>1832</v>
      </c>
      <c r="B1848" s="24">
        <f>IF(AND($N1848="",$O1848=""),"",IF($N1848&lt;&gt;"",INDEX(PCNormDate,$N1848),INDEX(LdgDateB,$O1848)))</f>
        <v/>
      </c>
      <c r="C1848" s="24">
        <f>IF($N1848&lt;&gt;"",INDEX(PCOp,$N1848),IF($O1848&lt;&gt;"",IF(N(INDEX(TxnDepB,$O1848))&gt;0,"دریافت بانکی","پرداخت بانکی"),""))</f>
        <v/>
      </c>
      <c r="D1848" s="24">
        <f>IF($N1848&lt;&gt;"",IF(INDEX(PCDoc,$N1848)="","—",INDEX(PCDoc,$N1848)),IF($O1848&lt;&gt;"",INDEX(LdgBankB,$O1848),""))</f>
        <v/>
      </c>
      <c r="E1848" s="24">
        <f>IF($N1848&lt;&gt;"",IF(INDEX(PCCitrus,$N1848)="","—",INDEX(PCCitrus,$N1848)),"")</f>
        <v/>
      </c>
      <c r="F1848" s="25">
        <f>IF($N1848&lt;&gt;"",IF(INDEX(PCScale,$N1848)=0,"",INDEX(PCScale,$N1848)),"")</f>
        <v/>
      </c>
      <c r="G1848" s="25">
        <f>IF($N1848&lt;&gt;"",IF(INDEX(PCBaskets,$N1848)=0,"",INDEX(PCBaskets,$N1848)),"")</f>
        <v/>
      </c>
      <c r="H1848" s="26">
        <f>IF($N1848&lt;&gt;"",IF(INDEX(PCNet,$N1848)=0,"",INDEX(PCNet,$N1848)),"")</f>
        <v/>
      </c>
      <c r="I1848" s="25">
        <f>IF($N1848&lt;&gt;"",IF(INDEX(PCOp,$N1848)="مرجوعی خرید","",IF(INDEX(PCAmount,$N1848)&lt;=0,"",INDEX(PCAmount,$N1848))),IF($O1848&lt;&gt;"",IF(INDEX(TxnDepB,$O1848)=0,"",INDEX(TxnDepB,$O1848)),""))</f>
        <v/>
      </c>
      <c r="J1848" s="25">
        <f>IF($N1848&lt;&gt;"",IF(INDEX(PCOp,$N1848)="مرجوعی خرید",IF(INDEX(PCAmount,$N1848)=0,"",-INDEX(PCAmount,$N1848)),""),IF($O1848&lt;&gt;"",IF(INDEX(TxnWitB,$O1848)=0,"",INDEX(TxnWitB,$O1848)),""))</f>
        <v/>
      </c>
      <c r="K1848" s="27">
        <f>IF($B1848="","",IF($K1847="",$C$10,$K1847)+IF($I1848="",0,$I1848)-IF($J1848="",0,$J1848))</f>
        <v/>
      </c>
      <c r="L1848" s="28">
        <f>IF($N1848&lt;&gt;"",IF(INDEX(PCNotes,$N1848)="","—",INDEX(PCNotes,$N1848)),IF($O1848&lt;&gt;"",IF(INDEX(LdgNoteB,$O1848)="","—",INDEX(LdgNoteB,$O1848)),""))</f>
        <v/>
      </c>
      <c r="N1848">
        <f>IFERROR(MATCH($C$5&amp;"|"&amp;RIGHT("000000"&amp;1832,6),LdgRankKeyA,0),"")</f>
        <v/>
      </c>
      <c r="O1848">
        <f>IFERROR(MATCH($C$5&amp;"|"&amp;RIGHT("000000"&amp;1832,6),LdgRankKeyB,0),"")</f>
        <v/>
      </c>
    </row>
    <row r="1849">
      <c r="A1849" s="17" t="n">
        <v>1833</v>
      </c>
      <c r="B1849" s="18">
        <f>IF(AND($N1849="",$O1849=""),"",IF($N1849&lt;&gt;"",INDEX(PCNormDate,$N1849),INDEX(LdgDateB,$O1849)))</f>
        <v/>
      </c>
      <c r="C1849" s="18">
        <f>IF($N1849&lt;&gt;"",INDEX(PCOp,$N1849),IF($O1849&lt;&gt;"",IF(N(INDEX(TxnDepB,$O1849))&gt;0,"دریافت بانکی","پرداخت بانکی"),""))</f>
        <v/>
      </c>
      <c r="D1849" s="18">
        <f>IF($N1849&lt;&gt;"",IF(INDEX(PCDoc,$N1849)="","—",INDEX(PCDoc,$N1849)),IF($O1849&lt;&gt;"",INDEX(LdgBankB,$O1849),""))</f>
        <v/>
      </c>
      <c r="E1849" s="18">
        <f>IF($N1849&lt;&gt;"",IF(INDEX(PCCitrus,$N1849)="","—",INDEX(PCCitrus,$N1849)),"")</f>
        <v/>
      </c>
      <c r="F1849" s="19">
        <f>IF($N1849&lt;&gt;"",IF(INDEX(PCScale,$N1849)=0,"",INDEX(PCScale,$N1849)),"")</f>
        <v/>
      </c>
      <c r="G1849" s="19">
        <f>IF($N1849&lt;&gt;"",IF(INDEX(PCBaskets,$N1849)=0,"",INDEX(PCBaskets,$N1849)),"")</f>
        <v/>
      </c>
      <c r="H1849" s="20">
        <f>IF($N1849&lt;&gt;"",IF(INDEX(PCNet,$N1849)=0,"",INDEX(PCNet,$N1849)),"")</f>
        <v/>
      </c>
      <c r="I1849" s="19">
        <f>IF($N1849&lt;&gt;"",IF(INDEX(PCOp,$N1849)="مرجوعی خرید","",IF(INDEX(PCAmount,$N1849)&lt;=0,"",INDEX(PCAmount,$N1849))),IF($O1849&lt;&gt;"",IF(INDEX(TxnDepB,$O1849)=0,"",INDEX(TxnDepB,$O1849)),""))</f>
        <v/>
      </c>
      <c r="J1849" s="19">
        <f>IF($N1849&lt;&gt;"",IF(INDEX(PCOp,$N1849)="مرجوعی خرید",IF(INDEX(PCAmount,$N1849)=0,"",-INDEX(PCAmount,$N1849)),""),IF($O1849&lt;&gt;"",IF(INDEX(TxnWitB,$O1849)=0,"",INDEX(TxnWitB,$O1849)),""))</f>
        <v/>
      </c>
      <c r="K1849" s="21">
        <f>IF($B1849="","",IF($K1848="",$C$10,$K1848)+IF($I1849="",0,$I1849)-IF($J1849="",0,$J1849))</f>
        <v/>
      </c>
      <c r="L1849" s="22">
        <f>IF($N1849&lt;&gt;"",IF(INDEX(PCNotes,$N1849)="","—",INDEX(PCNotes,$N1849)),IF($O1849&lt;&gt;"",IF(INDEX(LdgNoteB,$O1849)="","—",INDEX(LdgNoteB,$O1849)),""))</f>
        <v/>
      </c>
      <c r="N1849">
        <f>IFERROR(MATCH($C$5&amp;"|"&amp;RIGHT("000000"&amp;1833,6),LdgRankKeyA,0),"")</f>
        <v/>
      </c>
      <c r="O1849">
        <f>IFERROR(MATCH($C$5&amp;"|"&amp;RIGHT("000000"&amp;1833,6),LdgRankKeyB,0),"")</f>
        <v/>
      </c>
    </row>
    <row r="1850">
      <c r="A1850" s="23" t="n">
        <v>1834</v>
      </c>
      <c r="B1850" s="24">
        <f>IF(AND($N1850="",$O1850=""),"",IF($N1850&lt;&gt;"",INDEX(PCNormDate,$N1850),INDEX(LdgDateB,$O1850)))</f>
        <v/>
      </c>
      <c r="C1850" s="24">
        <f>IF($N1850&lt;&gt;"",INDEX(PCOp,$N1850),IF($O1850&lt;&gt;"",IF(N(INDEX(TxnDepB,$O1850))&gt;0,"دریافت بانکی","پرداخت بانکی"),""))</f>
        <v/>
      </c>
      <c r="D1850" s="24">
        <f>IF($N1850&lt;&gt;"",IF(INDEX(PCDoc,$N1850)="","—",INDEX(PCDoc,$N1850)),IF($O1850&lt;&gt;"",INDEX(LdgBankB,$O1850),""))</f>
        <v/>
      </c>
      <c r="E1850" s="24">
        <f>IF($N1850&lt;&gt;"",IF(INDEX(PCCitrus,$N1850)="","—",INDEX(PCCitrus,$N1850)),"")</f>
        <v/>
      </c>
      <c r="F1850" s="25">
        <f>IF($N1850&lt;&gt;"",IF(INDEX(PCScale,$N1850)=0,"",INDEX(PCScale,$N1850)),"")</f>
        <v/>
      </c>
      <c r="G1850" s="25">
        <f>IF($N1850&lt;&gt;"",IF(INDEX(PCBaskets,$N1850)=0,"",INDEX(PCBaskets,$N1850)),"")</f>
        <v/>
      </c>
      <c r="H1850" s="26">
        <f>IF($N1850&lt;&gt;"",IF(INDEX(PCNet,$N1850)=0,"",INDEX(PCNet,$N1850)),"")</f>
        <v/>
      </c>
      <c r="I1850" s="25">
        <f>IF($N1850&lt;&gt;"",IF(INDEX(PCOp,$N1850)="مرجوعی خرید","",IF(INDEX(PCAmount,$N1850)&lt;=0,"",INDEX(PCAmount,$N1850))),IF($O1850&lt;&gt;"",IF(INDEX(TxnDepB,$O1850)=0,"",INDEX(TxnDepB,$O1850)),""))</f>
        <v/>
      </c>
      <c r="J1850" s="25">
        <f>IF($N1850&lt;&gt;"",IF(INDEX(PCOp,$N1850)="مرجوعی خرید",IF(INDEX(PCAmount,$N1850)=0,"",-INDEX(PCAmount,$N1850)),""),IF($O1850&lt;&gt;"",IF(INDEX(TxnWitB,$O1850)=0,"",INDEX(TxnWitB,$O1850)),""))</f>
        <v/>
      </c>
      <c r="K1850" s="27">
        <f>IF($B1850="","",IF($K1849="",$C$10,$K1849)+IF($I1850="",0,$I1850)-IF($J1850="",0,$J1850))</f>
        <v/>
      </c>
      <c r="L1850" s="28">
        <f>IF($N1850&lt;&gt;"",IF(INDEX(PCNotes,$N1850)="","—",INDEX(PCNotes,$N1850)),IF($O1850&lt;&gt;"",IF(INDEX(LdgNoteB,$O1850)="","—",INDEX(LdgNoteB,$O1850)),""))</f>
        <v/>
      </c>
      <c r="N1850">
        <f>IFERROR(MATCH($C$5&amp;"|"&amp;RIGHT("000000"&amp;1834,6),LdgRankKeyA,0),"")</f>
        <v/>
      </c>
      <c r="O1850">
        <f>IFERROR(MATCH($C$5&amp;"|"&amp;RIGHT("000000"&amp;1834,6),LdgRankKeyB,0),"")</f>
        <v/>
      </c>
    </row>
    <row r="1851">
      <c r="A1851" s="17" t="n">
        <v>1835</v>
      </c>
      <c r="B1851" s="18">
        <f>IF(AND($N1851="",$O1851=""),"",IF($N1851&lt;&gt;"",INDEX(PCNormDate,$N1851),INDEX(LdgDateB,$O1851)))</f>
        <v/>
      </c>
      <c r="C1851" s="18">
        <f>IF($N1851&lt;&gt;"",INDEX(PCOp,$N1851),IF($O1851&lt;&gt;"",IF(N(INDEX(TxnDepB,$O1851))&gt;0,"دریافت بانکی","پرداخت بانکی"),""))</f>
        <v/>
      </c>
      <c r="D1851" s="18">
        <f>IF($N1851&lt;&gt;"",IF(INDEX(PCDoc,$N1851)="","—",INDEX(PCDoc,$N1851)),IF($O1851&lt;&gt;"",INDEX(LdgBankB,$O1851),""))</f>
        <v/>
      </c>
      <c r="E1851" s="18">
        <f>IF($N1851&lt;&gt;"",IF(INDEX(PCCitrus,$N1851)="","—",INDEX(PCCitrus,$N1851)),"")</f>
        <v/>
      </c>
      <c r="F1851" s="19">
        <f>IF($N1851&lt;&gt;"",IF(INDEX(PCScale,$N1851)=0,"",INDEX(PCScale,$N1851)),"")</f>
        <v/>
      </c>
      <c r="G1851" s="19">
        <f>IF($N1851&lt;&gt;"",IF(INDEX(PCBaskets,$N1851)=0,"",INDEX(PCBaskets,$N1851)),"")</f>
        <v/>
      </c>
      <c r="H1851" s="20">
        <f>IF($N1851&lt;&gt;"",IF(INDEX(PCNet,$N1851)=0,"",INDEX(PCNet,$N1851)),"")</f>
        <v/>
      </c>
      <c r="I1851" s="19">
        <f>IF($N1851&lt;&gt;"",IF(INDEX(PCOp,$N1851)="مرجوعی خرید","",IF(INDEX(PCAmount,$N1851)&lt;=0,"",INDEX(PCAmount,$N1851))),IF($O1851&lt;&gt;"",IF(INDEX(TxnDepB,$O1851)=0,"",INDEX(TxnDepB,$O1851)),""))</f>
        <v/>
      </c>
      <c r="J1851" s="19">
        <f>IF($N1851&lt;&gt;"",IF(INDEX(PCOp,$N1851)="مرجوعی خرید",IF(INDEX(PCAmount,$N1851)=0,"",-INDEX(PCAmount,$N1851)),""),IF($O1851&lt;&gt;"",IF(INDEX(TxnWitB,$O1851)=0,"",INDEX(TxnWitB,$O1851)),""))</f>
        <v/>
      </c>
      <c r="K1851" s="21">
        <f>IF($B1851="","",IF($K1850="",$C$10,$K1850)+IF($I1851="",0,$I1851)-IF($J1851="",0,$J1851))</f>
        <v/>
      </c>
      <c r="L1851" s="22">
        <f>IF($N1851&lt;&gt;"",IF(INDEX(PCNotes,$N1851)="","—",INDEX(PCNotes,$N1851)),IF($O1851&lt;&gt;"",IF(INDEX(LdgNoteB,$O1851)="","—",INDEX(LdgNoteB,$O1851)),""))</f>
        <v/>
      </c>
      <c r="N1851">
        <f>IFERROR(MATCH($C$5&amp;"|"&amp;RIGHT("000000"&amp;1835,6),LdgRankKeyA,0),"")</f>
        <v/>
      </c>
      <c r="O1851">
        <f>IFERROR(MATCH($C$5&amp;"|"&amp;RIGHT("000000"&amp;1835,6),LdgRankKeyB,0),"")</f>
        <v/>
      </c>
    </row>
    <row r="1852">
      <c r="A1852" s="23" t="n">
        <v>1836</v>
      </c>
      <c r="B1852" s="24">
        <f>IF(AND($N1852="",$O1852=""),"",IF($N1852&lt;&gt;"",INDEX(PCNormDate,$N1852),INDEX(LdgDateB,$O1852)))</f>
        <v/>
      </c>
      <c r="C1852" s="24">
        <f>IF($N1852&lt;&gt;"",INDEX(PCOp,$N1852),IF($O1852&lt;&gt;"",IF(N(INDEX(TxnDepB,$O1852))&gt;0,"دریافت بانکی","پرداخت بانکی"),""))</f>
        <v/>
      </c>
      <c r="D1852" s="24">
        <f>IF($N1852&lt;&gt;"",IF(INDEX(PCDoc,$N1852)="","—",INDEX(PCDoc,$N1852)),IF($O1852&lt;&gt;"",INDEX(LdgBankB,$O1852),""))</f>
        <v/>
      </c>
      <c r="E1852" s="24">
        <f>IF($N1852&lt;&gt;"",IF(INDEX(PCCitrus,$N1852)="","—",INDEX(PCCitrus,$N1852)),"")</f>
        <v/>
      </c>
      <c r="F1852" s="25">
        <f>IF($N1852&lt;&gt;"",IF(INDEX(PCScale,$N1852)=0,"",INDEX(PCScale,$N1852)),"")</f>
        <v/>
      </c>
      <c r="G1852" s="25">
        <f>IF($N1852&lt;&gt;"",IF(INDEX(PCBaskets,$N1852)=0,"",INDEX(PCBaskets,$N1852)),"")</f>
        <v/>
      </c>
      <c r="H1852" s="26">
        <f>IF($N1852&lt;&gt;"",IF(INDEX(PCNet,$N1852)=0,"",INDEX(PCNet,$N1852)),"")</f>
        <v/>
      </c>
      <c r="I1852" s="25">
        <f>IF($N1852&lt;&gt;"",IF(INDEX(PCOp,$N1852)="مرجوعی خرید","",IF(INDEX(PCAmount,$N1852)&lt;=0,"",INDEX(PCAmount,$N1852))),IF($O1852&lt;&gt;"",IF(INDEX(TxnDepB,$O1852)=0,"",INDEX(TxnDepB,$O1852)),""))</f>
        <v/>
      </c>
      <c r="J1852" s="25">
        <f>IF($N1852&lt;&gt;"",IF(INDEX(PCOp,$N1852)="مرجوعی خرید",IF(INDEX(PCAmount,$N1852)=0,"",-INDEX(PCAmount,$N1852)),""),IF($O1852&lt;&gt;"",IF(INDEX(TxnWitB,$O1852)=0,"",INDEX(TxnWitB,$O1852)),""))</f>
        <v/>
      </c>
      <c r="K1852" s="27">
        <f>IF($B1852="","",IF($K1851="",$C$10,$K1851)+IF($I1852="",0,$I1852)-IF($J1852="",0,$J1852))</f>
        <v/>
      </c>
      <c r="L1852" s="28">
        <f>IF($N1852&lt;&gt;"",IF(INDEX(PCNotes,$N1852)="","—",INDEX(PCNotes,$N1852)),IF($O1852&lt;&gt;"",IF(INDEX(LdgNoteB,$O1852)="","—",INDEX(LdgNoteB,$O1852)),""))</f>
        <v/>
      </c>
      <c r="N1852">
        <f>IFERROR(MATCH($C$5&amp;"|"&amp;RIGHT("000000"&amp;1836,6),LdgRankKeyA,0),"")</f>
        <v/>
      </c>
      <c r="O1852">
        <f>IFERROR(MATCH($C$5&amp;"|"&amp;RIGHT("000000"&amp;1836,6),LdgRankKeyB,0),"")</f>
        <v/>
      </c>
    </row>
    <row r="1853">
      <c r="A1853" s="17" t="n">
        <v>1837</v>
      </c>
      <c r="B1853" s="18">
        <f>IF(AND($N1853="",$O1853=""),"",IF($N1853&lt;&gt;"",INDEX(PCNormDate,$N1853),INDEX(LdgDateB,$O1853)))</f>
        <v/>
      </c>
      <c r="C1853" s="18">
        <f>IF($N1853&lt;&gt;"",INDEX(PCOp,$N1853),IF($O1853&lt;&gt;"",IF(N(INDEX(TxnDepB,$O1853))&gt;0,"دریافت بانکی","پرداخت بانکی"),""))</f>
        <v/>
      </c>
      <c r="D1853" s="18">
        <f>IF($N1853&lt;&gt;"",IF(INDEX(PCDoc,$N1853)="","—",INDEX(PCDoc,$N1853)),IF($O1853&lt;&gt;"",INDEX(LdgBankB,$O1853),""))</f>
        <v/>
      </c>
      <c r="E1853" s="18">
        <f>IF($N1853&lt;&gt;"",IF(INDEX(PCCitrus,$N1853)="","—",INDEX(PCCitrus,$N1853)),"")</f>
        <v/>
      </c>
      <c r="F1853" s="19">
        <f>IF($N1853&lt;&gt;"",IF(INDEX(PCScale,$N1853)=0,"",INDEX(PCScale,$N1853)),"")</f>
        <v/>
      </c>
      <c r="G1853" s="19">
        <f>IF($N1853&lt;&gt;"",IF(INDEX(PCBaskets,$N1853)=0,"",INDEX(PCBaskets,$N1853)),"")</f>
        <v/>
      </c>
      <c r="H1853" s="20">
        <f>IF($N1853&lt;&gt;"",IF(INDEX(PCNet,$N1853)=0,"",INDEX(PCNet,$N1853)),"")</f>
        <v/>
      </c>
      <c r="I1853" s="19">
        <f>IF($N1853&lt;&gt;"",IF(INDEX(PCOp,$N1853)="مرجوعی خرید","",IF(INDEX(PCAmount,$N1853)&lt;=0,"",INDEX(PCAmount,$N1853))),IF($O1853&lt;&gt;"",IF(INDEX(TxnDepB,$O1853)=0,"",INDEX(TxnDepB,$O1853)),""))</f>
        <v/>
      </c>
      <c r="J1853" s="19">
        <f>IF($N1853&lt;&gt;"",IF(INDEX(PCOp,$N1853)="مرجوعی خرید",IF(INDEX(PCAmount,$N1853)=0,"",-INDEX(PCAmount,$N1853)),""),IF($O1853&lt;&gt;"",IF(INDEX(TxnWitB,$O1853)=0,"",INDEX(TxnWitB,$O1853)),""))</f>
        <v/>
      </c>
      <c r="K1853" s="21">
        <f>IF($B1853="","",IF($K1852="",$C$10,$K1852)+IF($I1853="",0,$I1853)-IF($J1853="",0,$J1853))</f>
        <v/>
      </c>
      <c r="L1853" s="22">
        <f>IF($N1853&lt;&gt;"",IF(INDEX(PCNotes,$N1853)="","—",INDEX(PCNotes,$N1853)),IF($O1853&lt;&gt;"",IF(INDEX(LdgNoteB,$O1853)="","—",INDEX(LdgNoteB,$O1853)),""))</f>
        <v/>
      </c>
      <c r="N1853">
        <f>IFERROR(MATCH($C$5&amp;"|"&amp;RIGHT("000000"&amp;1837,6),LdgRankKeyA,0),"")</f>
        <v/>
      </c>
      <c r="O1853">
        <f>IFERROR(MATCH($C$5&amp;"|"&amp;RIGHT("000000"&amp;1837,6),LdgRankKeyB,0),"")</f>
        <v/>
      </c>
    </row>
    <row r="1854">
      <c r="A1854" s="23" t="n">
        <v>1838</v>
      </c>
      <c r="B1854" s="24">
        <f>IF(AND($N1854="",$O1854=""),"",IF($N1854&lt;&gt;"",INDEX(PCNormDate,$N1854),INDEX(LdgDateB,$O1854)))</f>
        <v/>
      </c>
      <c r="C1854" s="24">
        <f>IF($N1854&lt;&gt;"",INDEX(PCOp,$N1854),IF($O1854&lt;&gt;"",IF(N(INDEX(TxnDepB,$O1854))&gt;0,"دریافت بانکی","پرداخت بانکی"),""))</f>
        <v/>
      </c>
      <c r="D1854" s="24">
        <f>IF($N1854&lt;&gt;"",IF(INDEX(PCDoc,$N1854)="","—",INDEX(PCDoc,$N1854)),IF($O1854&lt;&gt;"",INDEX(LdgBankB,$O1854),""))</f>
        <v/>
      </c>
      <c r="E1854" s="24">
        <f>IF($N1854&lt;&gt;"",IF(INDEX(PCCitrus,$N1854)="","—",INDEX(PCCitrus,$N1854)),"")</f>
        <v/>
      </c>
      <c r="F1854" s="25">
        <f>IF($N1854&lt;&gt;"",IF(INDEX(PCScale,$N1854)=0,"",INDEX(PCScale,$N1854)),"")</f>
        <v/>
      </c>
      <c r="G1854" s="25">
        <f>IF($N1854&lt;&gt;"",IF(INDEX(PCBaskets,$N1854)=0,"",INDEX(PCBaskets,$N1854)),"")</f>
        <v/>
      </c>
      <c r="H1854" s="26">
        <f>IF($N1854&lt;&gt;"",IF(INDEX(PCNet,$N1854)=0,"",INDEX(PCNet,$N1854)),"")</f>
        <v/>
      </c>
      <c r="I1854" s="25">
        <f>IF($N1854&lt;&gt;"",IF(INDEX(PCOp,$N1854)="مرجوعی خرید","",IF(INDEX(PCAmount,$N1854)&lt;=0,"",INDEX(PCAmount,$N1854))),IF($O1854&lt;&gt;"",IF(INDEX(TxnDepB,$O1854)=0,"",INDEX(TxnDepB,$O1854)),""))</f>
        <v/>
      </c>
      <c r="J1854" s="25">
        <f>IF($N1854&lt;&gt;"",IF(INDEX(PCOp,$N1854)="مرجوعی خرید",IF(INDEX(PCAmount,$N1854)=0,"",-INDEX(PCAmount,$N1854)),""),IF($O1854&lt;&gt;"",IF(INDEX(TxnWitB,$O1854)=0,"",INDEX(TxnWitB,$O1854)),""))</f>
        <v/>
      </c>
      <c r="K1854" s="27">
        <f>IF($B1854="","",IF($K1853="",$C$10,$K1853)+IF($I1854="",0,$I1854)-IF($J1854="",0,$J1854))</f>
        <v/>
      </c>
      <c r="L1854" s="28">
        <f>IF($N1854&lt;&gt;"",IF(INDEX(PCNotes,$N1854)="","—",INDEX(PCNotes,$N1854)),IF($O1854&lt;&gt;"",IF(INDEX(LdgNoteB,$O1854)="","—",INDEX(LdgNoteB,$O1854)),""))</f>
        <v/>
      </c>
      <c r="N1854">
        <f>IFERROR(MATCH($C$5&amp;"|"&amp;RIGHT("000000"&amp;1838,6),LdgRankKeyA,0),"")</f>
        <v/>
      </c>
      <c r="O1854">
        <f>IFERROR(MATCH($C$5&amp;"|"&amp;RIGHT("000000"&amp;1838,6),LdgRankKeyB,0),"")</f>
        <v/>
      </c>
    </row>
    <row r="1855">
      <c r="A1855" s="17" t="n">
        <v>1839</v>
      </c>
      <c r="B1855" s="18">
        <f>IF(AND($N1855="",$O1855=""),"",IF($N1855&lt;&gt;"",INDEX(PCNormDate,$N1855),INDEX(LdgDateB,$O1855)))</f>
        <v/>
      </c>
      <c r="C1855" s="18">
        <f>IF($N1855&lt;&gt;"",INDEX(PCOp,$N1855),IF($O1855&lt;&gt;"",IF(N(INDEX(TxnDepB,$O1855))&gt;0,"دریافت بانکی","پرداخت بانکی"),""))</f>
        <v/>
      </c>
      <c r="D1855" s="18">
        <f>IF($N1855&lt;&gt;"",IF(INDEX(PCDoc,$N1855)="","—",INDEX(PCDoc,$N1855)),IF($O1855&lt;&gt;"",INDEX(LdgBankB,$O1855),""))</f>
        <v/>
      </c>
      <c r="E1855" s="18">
        <f>IF($N1855&lt;&gt;"",IF(INDEX(PCCitrus,$N1855)="","—",INDEX(PCCitrus,$N1855)),"")</f>
        <v/>
      </c>
      <c r="F1855" s="19">
        <f>IF($N1855&lt;&gt;"",IF(INDEX(PCScale,$N1855)=0,"",INDEX(PCScale,$N1855)),"")</f>
        <v/>
      </c>
      <c r="G1855" s="19">
        <f>IF($N1855&lt;&gt;"",IF(INDEX(PCBaskets,$N1855)=0,"",INDEX(PCBaskets,$N1855)),"")</f>
        <v/>
      </c>
      <c r="H1855" s="20">
        <f>IF($N1855&lt;&gt;"",IF(INDEX(PCNet,$N1855)=0,"",INDEX(PCNet,$N1855)),"")</f>
        <v/>
      </c>
      <c r="I1855" s="19">
        <f>IF($N1855&lt;&gt;"",IF(INDEX(PCOp,$N1855)="مرجوعی خرید","",IF(INDEX(PCAmount,$N1855)&lt;=0,"",INDEX(PCAmount,$N1855))),IF($O1855&lt;&gt;"",IF(INDEX(TxnDepB,$O1855)=0,"",INDEX(TxnDepB,$O1855)),""))</f>
        <v/>
      </c>
      <c r="J1855" s="19">
        <f>IF($N1855&lt;&gt;"",IF(INDEX(PCOp,$N1855)="مرجوعی خرید",IF(INDEX(PCAmount,$N1855)=0,"",-INDEX(PCAmount,$N1855)),""),IF($O1855&lt;&gt;"",IF(INDEX(TxnWitB,$O1855)=0,"",INDEX(TxnWitB,$O1855)),""))</f>
        <v/>
      </c>
      <c r="K1855" s="21">
        <f>IF($B1855="","",IF($K1854="",$C$10,$K1854)+IF($I1855="",0,$I1855)-IF($J1855="",0,$J1855))</f>
        <v/>
      </c>
      <c r="L1855" s="22">
        <f>IF($N1855&lt;&gt;"",IF(INDEX(PCNotes,$N1855)="","—",INDEX(PCNotes,$N1855)),IF($O1855&lt;&gt;"",IF(INDEX(LdgNoteB,$O1855)="","—",INDEX(LdgNoteB,$O1855)),""))</f>
        <v/>
      </c>
      <c r="N1855">
        <f>IFERROR(MATCH($C$5&amp;"|"&amp;RIGHT("000000"&amp;1839,6),LdgRankKeyA,0),"")</f>
        <v/>
      </c>
      <c r="O1855">
        <f>IFERROR(MATCH($C$5&amp;"|"&amp;RIGHT("000000"&amp;1839,6),LdgRankKeyB,0),"")</f>
        <v/>
      </c>
    </row>
    <row r="1856">
      <c r="A1856" s="23" t="n">
        <v>1840</v>
      </c>
      <c r="B1856" s="24">
        <f>IF(AND($N1856="",$O1856=""),"",IF($N1856&lt;&gt;"",INDEX(PCNormDate,$N1856),INDEX(LdgDateB,$O1856)))</f>
        <v/>
      </c>
      <c r="C1856" s="24">
        <f>IF($N1856&lt;&gt;"",INDEX(PCOp,$N1856),IF($O1856&lt;&gt;"",IF(N(INDEX(TxnDepB,$O1856))&gt;0,"دریافت بانکی","پرداخت بانکی"),""))</f>
        <v/>
      </c>
      <c r="D1856" s="24">
        <f>IF($N1856&lt;&gt;"",IF(INDEX(PCDoc,$N1856)="","—",INDEX(PCDoc,$N1856)),IF($O1856&lt;&gt;"",INDEX(LdgBankB,$O1856),""))</f>
        <v/>
      </c>
      <c r="E1856" s="24">
        <f>IF($N1856&lt;&gt;"",IF(INDEX(PCCitrus,$N1856)="","—",INDEX(PCCitrus,$N1856)),"")</f>
        <v/>
      </c>
      <c r="F1856" s="25">
        <f>IF($N1856&lt;&gt;"",IF(INDEX(PCScale,$N1856)=0,"",INDEX(PCScale,$N1856)),"")</f>
        <v/>
      </c>
      <c r="G1856" s="25">
        <f>IF($N1856&lt;&gt;"",IF(INDEX(PCBaskets,$N1856)=0,"",INDEX(PCBaskets,$N1856)),"")</f>
        <v/>
      </c>
      <c r="H1856" s="26">
        <f>IF($N1856&lt;&gt;"",IF(INDEX(PCNet,$N1856)=0,"",INDEX(PCNet,$N1856)),"")</f>
        <v/>
      </c>
      <c r="I1856" s="25">
        <f>IF($N1856&lt;&gt;"",IF(INDEX(PCOp,$N1856)="مرجوعی خرید","",IF(INDEX(PCAmount,$N1856)&lt;=0,"",INDEX(PCAmount,$N1856))),IF($O1856&lt;&gt;"",IF(INDEX(TxnDepB,$O1856)=0,"",INDEX(TxnDepB,$O1856)),""))</f>
        <v/>
      </c>
      <c r="J1856" s="25">
        <f>IF($N1856&lt;&gt;"",IF(INDEX(PCOp,$N1856)="مرجوعی خرید",IF(INDEX(PCAmount,$N1856)=0,"",-INDEX(PCAmount,$N1856)),""),IF($O1856&lt;&gt;"",IF(INDEX(TxnWitB,$O1856)=0,"",INDEX(TxnWitB,$O1856)),""))</f>
        <v/>
      </c>
      <c r="K1856" s="27">
        <f>IF($B1856="","",IF($K1855="",$C$10,$K1855)+IF($I1856="",0,$I1856)-IF($J1856="",0,$J1856))</f>
        <v/>
      </c>
      <c r="L1856" s="28">
        <f>IF($N1856&lt;&gt;"",IF(INDEX(PCNotes,$N1856)="","—",INDEX(PCNotes,$N1856)),IF($O1856&lt;&gt;"",IF(INDEX(LdgNoteB,$O1856)="","—",INDEX(LdgNoteB,$O1856)),""))</f>
        <v/>
      </c>
      <c r="N1856">
        <f>IFERROR(MATCH($C$5&amp;"|"&amp;RIGHT("000000"&amp;1840,6),LdgRankKeyA,0),"")</f>
        <v/>
      </c>
      <c r="O1856">
        <f>IFERROR(MATCH($C$5&amp;"|"&amp;RIGHT("000000"&amp;1840,6),LdgRankKeyB,0),"")</f>
        <v/>
      </c>
    </row>
    <row r="1857">
      <c r="A1857" s="17" t="n">
        <v>1841</v>
      </c>
      <c r="B1857" s="18">
        <f>IF(AND($N1857="",$O1857=""),"",IF($N1857&lt;&gt;"",INDEX(PCNormDate,$N1857),INDEX(LdgDateB,$O1857)))</f>
        <v/>
      </c>
      <c r="C1857" s="18">
        <f>IF($N1857&lt;&gt;"",INDEX(PCOp,$N1857),IF($O1857&lt;&gt;"",IF(N(INDEX(TxnDepB,$O1857))&gt;0,"دریافت بانکی","پرداخت بانکی"),""))</f>
        <v/>
      </c>
      <c r="D1857" s="18">
        <f>IF($N1857&lt;&gt;"",IF(INDEX(PCDoc,$N1857)="","—",INDEX(PCDoc,$N1857)),IF($O1857&lt;&gt;"",INDEX(LdgBankB,$O1857),""))</f>
        <v/>
      </c>
      <c r="E1857" s="18">
        <f>IF($N1857&lt;&gt;"",IF(INDEX(PCCitrus,$N1857)="","—",INDEX(PCCitrus,$N1857)),"")</f>
        <v/>
      </c>
      <c r="F1857" s="19">
        <f>IF($N1857&lt;&gt;"",IF(INDEX(PCScale,$N1857)=0,"",INDEX(PCScale,$N1857)),"")</f>
        <v/>
      </c>
      <c r="G1857" s="19">
        <f>IF($N1857&lt;&gt;"",IF(INDEX(PCBaskets,$N1857)=0,"",INDEX(PCBaskets,$N1857)),"")</f>
        <v/>
      </c>
      <c r="H1857" s="20">
        <f>IF($N1857&lt;&gt;"",IF(INDEX(PCNet,$N1857)=0,"",INDEX(PCNet,$N1857)),"")</f>
        <v/>
      </c>
      <c r="I1857" s="19">
        <f>IF($N1857&lt;&gt;"",IF(INDEX(PCOp,$N1857)="مرجوعی خرید","",IF(INDEX(PCAmount,$N1857)&lt;=0,"",INDEX(PCAmount,$N1857))),IF($O1857&lt;&gt;"",IF(INDEX(TxnDepB,$O1857)=0,"",INDEX(TxnDepB,$O1857)),""))</f>
        <v/>
      </c>
      <c r="J1857" s="19">
        <f>IF($N1857&lt;&gt;"",IF(INDEX(PCOp,$N1857)="مرجوعی خرید",IF(INDEX(PCAmount,$N1857)=0,"",-INDEX(PCAmount,$N1857)),""),IF($O1857&lt;&gt;"",IF(INDEX(TxnWitB,$O1857)=0,"",INDEX(TxnWitB,$O1857)),""))</f>
        <v/>
      </c>
      <c r="K1857" s="21">
        <f>IF($B1857="","",IF($K1856="",$C$10,$K1856)+IF($I1857="",0,$I1857)-IF($J1857="",0,$J1857))</f>
        <v/>
      </c>
      <c r="L1857" s="22">
        <f>IF($N1857&lt;&gt;"",IF(INDEX(PCNotes,$N1857)="","—",INDEX(PCNotes,$N1857)),IF($O1857&lt;&gt;"",IF(INDEX(LdgNoteB,$O1857)="","—",INDEX(LdgNoteB,$O1857)),""))</f>
        <v/>
      </c>
      <c r="N1857">
        <f>IFERROR(MATCH($C$5&amp;"|"&amp;RIGHT("000000"&amp;1841,6),LdgRankKeyA,0),"")</f>
        <v/>
      </c>
      <c r="O1857">
        <f>IFERROR(MATCH($C$5&amp;"|"&amp;RIGHT("000000"&amp;1841,6),LdgRankKeyB,0),"")</f>
        <v/>
      </c>
    </row>
    <row r="1858">
      <c r="A1858" s="23" t="n">
        <v>1842</v>
      </c>
      <c r="B1858" s="24">
        <f>IF(AND($N1858="",$O1858=""),"",IF($N1858&lt;&gt;"",INDEX(PCNormDate,$N1858),INDEX(LdgDateB,$O1858)))</f>
        <v/>
      </c>
      <c r="C1858" s="24">
        <f>IF($N1858&lt;&gt;"",INDEX(PCOp,$N1858),IF($O1858&lt;&gt;"",IF(N(INDEX(TxnDepB,$O1858))&gt;0,"دریافت بانکی","پرداخت بانکی"),""))</f>
        <v/>
      </c>
      <c r="D1858" s="24">
        <f>IF($N1858&lt;&gt;"",IF(INDEX(PCDoc,$N1858)="","—",INDEX(PCDoc,$N1858)),IF($O1858&lt;&gt;"",INDEX(LdgBankB,$O1858),""))</f>
        <v/>
      </c>
      <c r="E1858" s="24">
        <f>IF($N1858&lt;&gt;"",IF(INDEX(PCCitrus,$N1858)="","—",INDEX(PCCitrus,$N1858)),"")</f>
        <v/>
      </c>
      <c r="F1858" s="25">
        <f>IF($N1858&lt;&gt;"",IF(INDEX(PCScale,$N1858)=0,"",INDEX(PCScale,$N1858)),"")</f>
        <v/>
      </c>
      <c r="G1858" s="25">
        <f>IF($N1858&lt;&gt;"",IF(INDEX(PCBaskets,$N1858)=0,"",INDEX(PCBaskets,$N1858)),"")</f>
        <v/>
      </c>
      <c r="H1858" s="26">
        <f>IF($N1858&lt;&gt;"",IF(INDEX(PCNet,$N1858)=0,"",INDEX(PCNet,$N1858)),"")</f>
        <v/>
      </c>
      <c r="I1858" s="25">
        <f>IF($N1858&lt;&gt;"",IF(INDEX(PCOp,$N1858)="مرجوعی خرید","",IF(INDEX(PCAmount,$N1858)&lt;=0,"",INDEX(PCAmount,$N1858))),IF($O1858&lt;&gt;"",IF(INDEX(TxnDepB,$O1858)=0,"",INDEX(TxnDepB,$O1858)),""))</f>
        <v/>
      </c>
      <c r="J1858" s="25">
        <f>IF($N1858&lt;&gt;"",IF(INDEX(PCOp,$N1858)="مرجوعی خرید",IF(INDEX(PCAmount,$N1858)=0,"",-INDEX(PCAmount,$N1858)),""),IF($O1858&lt;&gt;"",IF(INDEX(TxnWitB,$O1858)=0,"",INDEX(TxnWitB,$O1858)),""))</f>
        <v/>
      </c>
      <c r="K1858" s="27">
        <f>IF($B1858="","",IF($K1857="",$C$10,$K1857)+IF($I1858="",0,$I1858)-IF($J1858="",0,$J1858))</f>
        <v/>
      </c>
      <c r="L1858" s="28">
        <f>IF($N1858&lt;&gt;"",IF(INDEX(PCNotes,$N1858)="","—",INDEX(PCNotes,$N1858)),IF($O1858&lt;&gt;"",IF(INDEX(LdgNoteB,$O1858)="","—",INDEX(LdgNoteB,$O1858)),""))</f>
        <v/>
      </c>
      <c r="N1858">
        <f>IFERROR(MATCH($C$5&amp;"|"&amp;RIGHT("000000"&amp;1842,6),LdgRankKeyA,0),"")</f>
        <v/>
      </c>
      <c r="O1858">
        <f>IFERROR(MATCH($C$5&amp;"|"&amp;RIGHT("000000"&amp;1842,6),LdgRankKeyB,0),"")</f>
        <v/>
      </c>
    </row>
    <row r="1859">
      <c r="A1859" s="17" t="n">
        <v>1843</v>
      </c>
      <c r="B1859" s="18">
        <f>IF(AND($N1859="",$O1859=""),"",IF($N1859&lt;&gt;"",INDEX(PCNormDate,$N1859),INDEX(LdgDateB,$O1859)))</f>
        <v/>
      </c>
      <c r="C1859" s="18">
        <f>IF($N1859&lt;&gt;"",INDEX(PCOp,$N1859),IF($O1859&lt;&gt;"",IF(N(INDEX(TxnDepB,$O1859))&gt;0,"دریافت بانکی","پرداخت بانکی"),""))</f>
        <v/>
      </c>
      <c r="D1859" s="18">
        <f>IF($N1859&lt;&gt;"",IF(INDEX(PCDoc,$N1859)="","—",INDEX(PCDoc,$N1859)),IF($O1859&lt;&gt;"",INDEX(LdgBankB,$O1859),""))</f>
        <v/>
      </c>
      <c r="E1859" s="18">
        <f>IF($N1859&lt;&gt;"",IF(INDEX(PCCitrus,$N1859)="","—",INDEX(PCCitrus,$N1859)),"")</f>
        <v/>
      </c>
      <c r="F1859" s="19">
        <f>IF($N1859&lt;&gt;"",IF(INDEX(PCScale,$N1859)=0,"",INDEX(PCScale,$N1859)),"")</f>
        <v/>
      </c>
      <c r="G1859" s="19">
        <f>IF($N1859&lt;&gt;"",IF(INDEX(PCBaskets,$N1859)=0,"",INDEX(PCBaskets,$N1859)),"")</f>
        <v/>
      </c>
      <c r="H1859" s="20">
        <f>IF($N1859&lt;&gt;"",IF(INDEX(PCNet,$N1859)=0,"",INDEX(PCNet,$N1859)),"")</f>
        <v/>
      </c>
      <c r="I1859" s="19">
        <f>IF($N1859&lt;&gt;"",IF(INDEX(PCOp,$N1859)="مرجوعی خرید","",IF(INDEX(PCAmount,$N1859)&lt;=0,"",INDEX(PCAmount,$N1859))),IF($O1859&lt;&gt;"",IF(INDEX(TxnDepB,$O1859)=0,"",INDEX(TxnDepB,$O1859)),""))</f>
        <v/>
      </c>
      <c r="J1859" s="19">
        <f>IF($N1859&lt;&gt;"",IF(INDEX(PCOp,$N1859)="مرجوعی خرید",IF(INDEX(PCAmount,$N1859)=0,"",-INDEX(PCAmount,$N1859)),""),IF($O1859&lt;&gt;"",IF(INDEX(TxnWitB,$O1859)=0,"",INDEX(TxnWitB,$O1859)),""))</f>
        <v/>
      </c>
      <c r="K1859" s="21">
        <f>IF($B1859="","",IF($K1858="",$C$10,$K1858)+IF($I1859="",0,$I1859)-IF($J1859="",0,$J1859))</f>
        <v/>
      </c>
      <c r="L1859" s="22">
        <f>IF($N1859&lt;&gt;"",IF(INDEX(PCNotes,$N1859)="","—",INDEX(PCNotes,$N1859)),IF($O1859&lt;&gt;"",IF(INDEX(LdgNoteB,$O1859)="","—",INDEX(LdgNoteB,$O1859)),""))</f>
        <v/>
      </c>
      <c r="N1859">
        <f>IFERROR(MATCH($C$5&amp;"|"&amp;RIGHT("000000"&amp;1843,6),LdgRankKeyA,0),"")</f>
        <v/>
      </c>
      <c r="O1859">
        <f>IFERROR(MATCH($C$5&amp;"|"&amp;RIGHT("000000"&amp;1843,6),LdgRankKeyB,0),"")</f>
        <v/>
      </c>
    </row>
    <row r="1860">
      <c r="A1860" s="23" t="n">
        <v>1844</v>
      </c>
      <c r="B1860" s="24">
        <f>IF(AND($N1860="",$O1860=""),"",IF($N1860&lt;&gt;"",INDEX(PCNormDate,$N1860),INDEX(LdgDateB,$O1860)))</f>
        <v/>
      </c>
      <c r="C1860" s="24">
        <f>IF($N1860&lt;&gt;"",INDEX(PCOp,$N1860),IF($O1860&lt;&gt;"",IF(N(INDEX(TxnDepB,$O1860))&gt;0,"دریافت بانکی","پرداخت بانکی"),""))</f>
        <v/>
      </c>
      <c r="D1860" s="24">
        <f>IF($N1860&lt;&gt;"",IF(INDEX(PCDoc,$N1860)="","—",INDEX(PCDoc,$N1860)),IF($O1860&lt;&gt;"",INDEX(LdgBankB,$O1860),""))</f>
        <v/>
      </c>
      <c r="E1860" s="24">
        <f>IF($N1860&lt;&gt;"",IF(INDEX(PCCitrus,$N1860)="","—",INDEX(PCCitrus,$N1860)),"")</f>
        <v/>
      </c>
      <c r="F1860" s="25">
        <f>IF($N1860&lt;&gt;"",IF(INDEX(PCScale,$N1860)=0,"",INDEX(PCScale,$N1860)),"")</f>
        <v/>
      </c>
      <c r="G1860" s="25">
        <f>IF($N1860&lt;&gt;"",IF(INDEX(PCBaskets,$N1860)=0,"",INDEX(PCBaskets,$N1860)),"")</f>
        <v/>
      </c>
      <c r="H1860" s="26">
        <f>IF($N1860&lt;&gt;"",IF(INDEX(PCNet,$N1860)=0,"",INDEX(PCNet,$N1860)),"")</f>
        <v/>
      </c>
      <c r="I1860" s="25">
        <f>IF($N1860&lt;&gt;"",IF(INDEX(PCOp,$N1860)="مرجوعی خرید","",IF(INDEX(PCAmount,$N1860)&lt;=0,"",INDEX(PCAmount,$N1860))),IF($O1860&lt;&gt;"",IF(INDEX(TxnDepB,$O1860)=0,"",INDEX(TxnDepB,$O1860)),""))</f>
        <v/>
      </c>
      <c r="J1860" s="25">
        <f>IF($N1860&lt;&gt;"",IF(INDEX(PCOp,$N1860)="مرجوعی خرید",IF(INDEX(PCAmount,$N1860)=0,"",-INDEX(PCAmount,$N1860)),""),IF($O1860&lt;&gt;"",IF(INDEX(TxnWitB,$O1860)=0,"",INDEX(TxnWitB,$O1860)),""))</f>
        <v/>
      </c>
      <c r="K1860" s="27">
        <f>IF($B1860="","",IF($K1859="",$C$10,$K1859)+IF($I1860="",0,$I1860)-IF($J1860="",0,$J1860))</f>
        <v/>
      </c>
      <c r="L1860" s="28">
        <f>IF($N1860&lt;&gt;"",IF(INDEX(PCNotes,$N1860)="","—",INDEX(PCNotes,$N1860)),IF($O1860&lt;&gt;"",IF(INDEX(LdgNoteB,$O1860)="","—",INDEX(LdgNoteB,$O1860)),""))</f>
        <v/>
      </c>
      <c r="N1860">
        <f>IFERROR(MATCH($C$5&amp;"|"&amp;RIGHT("000000"&amp;1844,6),LdgRankKeyA,0),"")</f>
        <v/>
      </c>
      <c r="O1860">
        <f>IFERROR(MATCH($C$5&amp;"|"&amp;RIGHT("000000"&amp;1844,6),LdgRankKeyB,0),"")</f>
        <v/>
      </c>
    </row>
    <row r="1861">
      <c r="A1861" s="17" t="n">
        <v>1845</v>
      </c>
      <c r="B1861" s="18">
        <f>IF(AND($N1861="",$O1861=""),"",IF($N1861&lt;&gt;"",INDEX(PCNormDate,$N1861),INDEX(LdgDateB,$O1861)))</f>
        <v/>
      </c>
      <c r="C1861" s="18">
        <f>IF($N1861&lt;&gt;"",INDEX(PCOp,$N1861),IF($O1861&lt;&gt;"",IF(N(INDEX(TxnDepB,$O1861))&gt;0,"دریافت بانکی","پرداخت بانکی"),""))</f>
        <v/>
      </c>
      <c r="D1861" s="18">
        <f>IF($N1861&lt;&gt;"",IF(INDEX(PCDoc,$N1861)="","—",INDEX(PCDoc,$N1861)),IF($O1861&lt;&gt;"",INDEX(LdgBankB,$O1861),""))</f>
        <v/>
      </c>
      <c r="E1861" s="18">
        <f>IF($N1861&lt;&gt;"",IF(INDEX(PCCitrus,$N1861)="","—",INDEX(PCCitrus,$N1861)),"")</f>
        <v/>
      </c>
      <c r="F1861" s="19">
        <f>IF($N1861&lt;&gt;"",IF(INDEX(PCScale,$N1861)=0,"",INDEX(PCScale,$N1861)),"")</f>
        <v/>
      </c>
      <c r="G1861" s="19">
        <f>IF($N1861&lt;&gt;"",IF(INDEX(PCBaskets,$N1861)=0,"",INDEX(PCBaskets,$N1861)),"")</f>
        <v/>
      </c>
      <c r="H1861" s="20">
        <f>IF($N1861&lt;&gt;"",IF(INDEX(PCNet,$N1861)=0,"",INDEX(PCNet,$N1861)),"")</f>
        <v/>
      </c>
      <c r="I1861" s="19">
        <f>IF($N1861&lt;&gt;"",IF(INDEX(PCOp,$N1861)="مرجوعی خرید","",IF(INDEX(PCAmount,$N1861)&lt;=0,"",INDEX(PCAmount,$N1861))),IF($O1861&lt;&gt;"",IF(INDEX(TxnDepB,$O1861)=0,"",INDEX(TxnDepB,$O1861)),""))</f>
        <v/>
      </c>
      <c r="J1861" s="19">
        <f>IF($N1861&lt;&gt;"",IF(INDEX(PCOp,$N1861)="مرجوعی خرید",IF(INDEX(PCAmount,$N1861)=0,"",-INDEX(PCAmount,$N1861)),""),IF($O1861&lt;&gt;"",IF(INDEX(TxnWitB,$O1861)=0,"",INDEX(TxnWitB,$O1861)),""))</f>
        <v/>
      </c>
      <c r="K1861" s="21">
        <f>IF($B1861="","",IF($K1860="",$C$10,$K1860)+IF($I1861="",0,$I1861)-IF($J1861="",0,$J1861))</f>
        <v/>
      </c>
      <c r="L1861" s="22">
        <f>IF($N1861&lt;&gt;"",IF(INDEX(PCNotes,$N1861)="","—",INDEX(PCNotes,$N1861)),IF($O1861&lt;&gt;"",IF(INDEX(LdgNoteB,$O1861)="","—",INDEX(LdgNoteB,$O1861)),""))</f>
        <v/>
      </c>
      <c r="N1861">
        <f>IFERROR(MATCH($C$5&amp;"|"&amp;RIGHT("000000"&amp;1845,6),LdgRankKeyA,0),"")</f>
        <v/>
      </c>
      <c r="O1861">
        <f>IFERROR(MATCH($C$5&amp;"|"&amp;RIGHT("000000"&amp;1845,6),LdgRankKeyB,0),"")</f>
        <v/>
      </c>
    </row>
    <row r="1862">
      <c r="A1862" s="23" t="n">
        <v>1846</v>
      </c>
      <c r="B1862" s="24">
        <f>IF(AND($N1862="",$O1862=""),"",IF($N1862&lt;&gt;"",INDEX(PCNormDate,$N1862),INDEX(LdgDateB,$O1862)))</f>
        <v/>
      </c>
      <c r="C1862" s="24">
        <f>IF($N1862&lt;&gt;"",INDEX(PCOp,$N1862),IF($O1862&lt;&gt;"",IF(N(INDEX(TxnDepB,$O1862))&gt;0,"دریافت بانکی","پرداخت بانکی"),""))</f>
        <v/>
      </c>
      <c r="D1862" s="24">
        <f>IF($N1862&lt;&gt;"",IF(INDEX(PCDoc,$N1862)="","—",INDEX(PCDoc,$N1862)),IF($O1862&lt;&gt;"",INDEX(LdgBankB,$O1862),""))</f>
        <v/>
      </c>
      <c r="E1862" s="24">
        <f>IF($N1862&lt;&gt;"",IF(INDEX(PCCitrus,$N1862)="","—",INDEX(PCCitrus,$N1862)),"")</f>
        <v/>
      </c>
      <c r="F1862" s="25">
        <f>IF($N1862&lt;&gt;"",IF(INDEX(PCScale,$N1862)=0,"",INDEX(PCScale,$N1862)),"")</f>
        <v/>
      </c>
      <c r="G1862" s="25">
        <f>IF($N1862&lt;&gt;"",IF(INDEX(PCBaskets,$N1862)=0,"",INDEX(PCBaskets,$N1862)),"")</f>
        <v/>
      </c>
      <c r="H1862" s="26">
        <f>IF($N1862&lt;&gt;"",IF(INDEX(PCNet,$N1862)=0,"",INDEX(PCNet,$N1862)),"")</f>
        <v/>
      </c>
      <c r="I1862" s="25">
        <f>IF($N1862&lt;&gt;"",IF(INDEX(PCOp,$N1862)="مرجوعی خرید","",IF(INDEX(PCAmount,$N1862)&lt;=0,"",INDEX(PCAmount,$N1862))),IF($O1862&lt;&gt;"",IF(INDEX(TxnDepB,$O1862)=0,"",INDEX(TxnDepB,$O1862)),""))</f>
        <v/>
      </c>
      <c r="J1862" s="25">
        <f>IF($N1862&lt;&gt;"",IF(INDEX(PCOp,$N1862)="مرجوعی خرید",IF(INDEX(PCAmount,$N1862)=0,"",-INDEX(PCAmount,$N1862)),""),IF($O1862&lt;&gt;"",IF(INDEX(TxnWitB,$O1862)=0,"",INDEX(TxnWitB,$O1862)),""))</f>
        <v/>
      </c>
      <c r="K1862" s="27">
        <f>IF($B1862="","",IF($K1861="",$C$10,$K1861)+IF($I1862="",0,$I1862)-IF($J1862="",0,$J1862))</f>
        <v/>
      </c>
      <c r="L1862" s="28">
        <f>IF($N1862&lt;&gt;"",IF(INDEX(PCNotes,$N1862)="","—",INDEX(PCNotes,$N1862)),IF($O1862&lt;&gt;"",IF(INDEX(LdgNoteB,$O1862)="","—",INDEX(LdgNoteB,$O1862)),""))</f>
        <v/>
      </c>
      <c r="N1862">
        <f>IFERROR(MATCH($C$5&amp;"|"&amp;RIGHT("000000"&amp;1846,6),LdgRankKeyA,0),"")</f>
        <v/>
      </c>
      <c r="O1862">
        <f>IFERROR(MATCH($C$5&amp;"|"&amp;RIGHT("000000"&amp;1846,6),LdgRankKeyB,0),"")</f>
        <v/>
      </c>
    </row>
    <row r="1863">
      <c r="A1863" s="17" t="n">
        <v>1847</v>
      </c>
      <c r="B1863" s="18">
        <f>IF(AND($N1863="",$O1863=""),"",IF($N1863&lt;&gt;"",INDEX(PCNormDate,$N1863),INDEX(LdgDateB,$O1863)))</f>
        <v/>
      </c>
      <c r="C1863" s="18">
        <f>IF($N1863&lt;&gt;"",INDEX(PCOp,$N1863),IF($O1863&lt;&gt;"",IF(N(INDEX(TxnDepB,$O1863))&gt;0,"دریافت بانکی","پرداخت بانکی"),""))</f>
        <v/>
      </c>
      <c r="D1863" s="18">
        <f>IF($N1863&lt;&gt;"",IF(INDEX(PCDoc,$N1863)="","—",INDEX(PCDoc,$N1863)),IF($O1863&lt;&gt;"",INDEX(LdgBankB,$O1863),""))</f>
        <v/>
      </c>
      <c r="E1863" s="18">
        <f>IF($N1863&lt;&gt;"",IF(INDEX(PCCitrus,$N1863)="","—",INDEX(PCCitrus,$N1863)),"")</f>
        <v/>
      </c>
      <c r="F1863" s="19">
        <f>IF($N1863&lt;&gt;"",IF(INDEX(PCScale,$N1863)=0,"",INDEX(PCScale,$N1863)),"")</f>
        <v/>
      </c>
      <c r="G1863" s="19">
        <f>IF($N1863&lt;&gt;"",IF(INDEX(PCBaskets,$N1863)=0,"",INDEX(PCBaskets,$N1863)),"")</f>
        <v/>
      </c>
      <c r="H1863" s="20">
        <f>IF($N1863&lt;&gt;"",IF(INDEX(PCNet,$N1863)=0,"",INDEX(PCNet,$N1863)),"")</f>
        <v/>
      </c>
      <c r="I1863" s="19">
        <f>IF($N1863&lt;&gt;"",IF(INDEX(PCOp,$N1863)="مرجوعی خرید","",IF(INDEX(PCAmount,$N1863)&lt;=0,"",INDEX(PCAmount,$N1863))),IF($O1863&lt;&gt;"",IF(INDEX(TxnDepB,$O1863)=0,"",INDEX(TxnDepB,$O1863)),""))</f>
        <v/>
      </c>
      <c r="J1863" s="19">
        <f>IF($N1863&lt;&gt;"",IF(INDEX(PCOp,$N1863)="مرجوعی خرید",IF(INDEX(PCAmount,$N1863)=0,"",-INDEX(PCAmount,$N1863)),""),IF($O1863&lt;&gt;"",IF(INDEX(TxnWitB,$O1863)=0,"",INDEX(TxnWitB,$O1863)),""))</f>
        <v/>
      </c>
      <c r="K1863" s="21">
        <f>IF($B1863="","",IF($K1862="",$C$10,$K1862)+IF($I1863="",0,$I1863)-IF($J1863="",0,$J1863))</f>
        <v/>
      </c>
      <c r="L1863" s="22">
        <f>IF($N1863&lt;&gt;"",IF(INDEX(PCNotes,$N1863)="","—",INDEX(PCNotes,$N1863)),IF($O1863&lt;&gt;"",IF(INDEX(LdgNoteB,$O1863)="","—",INDEX(LdgNoteB,$O1863)),""))</f>
        <v/>
      </c>
      <c r="N1863">
        <f>IFERROR(MATCH($C$5&amp;"|"&amp;RIGHT("000000"&amp;1847,6),LdgRankKeyA,0),"")</f>
        <v/>
      </c>
      <c r="O1863">
        <f>IFERROR(MATCH($C$5&amp;"|"&amp;RIGHT("000000"&amp;1847,6),LdgRankKeyB,0),"")</f>
        <v/>
      </c>
    </row>
    <row r="1864">
      <c r="A1864" s="23" t="n">
        <v>1848</v>
      </c>
      <c r="B1864" s="24">
        <f>IF(AND($N1864="",$O1864=""),"",IF($N1864&lt;&gt;"",INDEX(PCNormDate,$N1864),INDEX(LdgDateB,$O1864)))</f>
        <v/>
      </c>
      <c r="C1864" s="24">
        <f>IF($N1864&lt;&gt;"",INDEX(PCOp,$N1864),IF($O1864&lt;&gt;"",IF(N(INDEX(TxnDepB,$O1864))&gt;0,"دریافت بانکی","پرداخت بانکی"),""))</f>
        <v/>
      </c>
      <c r="D1864" s="24">
        <f>IF($N1864&lt;&gt;"",IF(INDEX(PCDoc,$N1864)="","—",INDEX(PCDoc,$N1864)),IF($O1864&lt;&gt;"",INDEX(LdgBankB,$O1864),""))</f>
        <v/>
      </c>
      <c r="E1864" s="24">
        <f>IF($N1864&lt;&gt;"",IF(INDEX(PCCitrus,$N1864)="","—",INDEX(PCCitrus,$N1864)),"")</f>
        <v/>
      </c>
      <c r="F1864" s="25">
        <f>IF($N1864&lt;&gt;"",IF(INDEX(PCScale,$N1864)=0,"",INDEX(PCScale,$N1864)),"")</f>
        <v/>
      </c>
      <c r="G1864" s="25">
        <f>IF($N1864&lt;&gt;"",IF(INDEX(PCBaskets,$N1864)=0,"",INDEX(PCBaskets,$N1864)),"")</f>
        <v/>
      </c>
      <c r="H1864" s="26">
        <f>IF($N1864&lt;&gt;"",IF(INDEX(PCNet,$N1864)=0,"",INDEX(PCNet,$N1864)),"")</f>
        <v/>
      </c>
      <c r="I1864" s="25">
        <f>IF($N1864&lt;&gt;"",IF(INDEX(PCOp,$N1864)="مرجوعی خرید","",IF(INDEX(PCAmount,$N1864)&lt;=0,"",INDEX(PCAmount,$N1864))),IF($O1864&lt;&gt;"",IF(INDEX(TxnDepB,$O1864)=0,"",INDEX(TxnDepB,$O1864)),""))</f>
        <v/>
      </c>
      <c r="J1864" s="25">
        <f>IF($N1864&lt;&gt;"",IF(INDEX(PCOp,$N1864)="مرجوعی خرید",IF(INDEX(PCAmount,$N1864)=0,"",-INDEX(PCAmount,$N1864)),""),IF($O1864&lt;&gt;"",IF(INDEX(TxnWitB,$O1864)=0,"",INDEX(TxnWitB,$O1864)),""))</f>
        <v/>
      </c>
      <c r="K1864" s="27">
        <f>IF($B1864="","",IF($K1863="",$C$10,$K1863)+IF($I1864="",0,$I1864)-IF($J1864="",0,$J1864))</f>
        <v/>
      </c>
      <c r="L1864" s="28">
        <f>IF($N1864&lt;&gt;"",IF(INDEX(PCNotes,$N1864)="","—",INDEX(PCNotes,$N1864)),IF($O1864&lt;&gt;"",IF(INDEX(LdgNoteB,$O1864)="","—",INDEX(LdgNoteB,$O1864)),""))</f>
        <v/>
      </c>
      <c r="N1864">
        <f>IFERROR(MATCH($C$5&amp;"|"&amp;RIGHT("000000"&amp;1848,6),LdgRankKeyA,0),"")</f>
        <v/>
      </c>
      <c r="O1864">
        <f>IFERROR(MATCH($C$5&amp;"|"&amp;RIGHT("000000"&amp;1848,6),LdgRankKeyB,0),"")</f>
        <v/>
      </c>
    </row>
    <row r="1865">
      <c r="A1865" s="17" t="n">
        <v>1849</v>
      </c>
      <c r="B1865" s="18">
        <f>IF(AND($N1865="",$O1865=""),"",IF($N1865&lt;&gt;"",INDEX(PCNormDate,$N1865),INDEX(LdgDateB,$O1865)))</f>
        <v/>
      </c>
      <c r="C1865" s="18">
        <f>IF($N1865&lt;&gt;"",INDEX(PCOp,$N1865),IF($O1865&lt;&gt;"",IF(N(INDEX(TxnDepB,$O1865))&gt;0,"دریافت بانکی","پرداخت بانکی"),""))</f>
        <v/>
      </c>
      <c r="D1865" s="18">
        <f>IF($N1865&lt;&gt;"",IF(INDEX(PCDoc,$N1865)="","—",INDEX(PCDoc,$N1865)),IF($O1865&lt;&gt;"",INDEX(LdgBankB,$O1865),""))</f>
        <v/>
      </c>
      <c r="E1865" s="18">
        <f>IF($N1865&lt;&gt;"",IF(INDEX(PCCitrus,$N1865)="","—",INDEX(PCCitrus,$N1865)),"")</f>
        <v/>
      </c>
      <c r="F1865" s="19">
        <f>IF($N1865&lt;&gt;"",IF(INDEX(PCScale,$N1865)=0,"",INDEX(PCScale,$N1865)),"")</f>
        <v/>
      </c>
      <c r="G1865" s="19">
        <f>IF($N1865&lt;&gt;"",IF(INDEX(PCBaskets,$N1865)=0,"",INDEX(PCBaskets,$N1865)),"")</f>
        <v/>
      </c>
      <c r="H1865" s="20">
        <f>IF($N1865&lt;&gt;"",IF(INDEX(PCNet,$N1865)=0,"",INDEX(PCNet,$N1865)),"")</f>
        <v/>
      </c>
      <c r="I1865" s="19">
        <f>IF($N1865&lt;&gt;"",IF(INDEX(PCOp,$N1865)="مرجوعی خرید","",IF(INDEX(PCAmount,$N1865)&lt;=0,"",INDEX(PCAmount,$N1865))),IF($O1865&lt;&gt;"",IF(INDEX(TxnDepB,$O1865)=0,"",INDEX(TxnDepB,$O1865)),""))</f>
        <v/>
      </c>
      <c r="J1865" s="19">
        <f>IF($N1865&lt;&gt;"",IF(INDEX(PCOp,$N1865)="مرجوعی خرید",IF(INDEX(PCAmount,$N1865)=0,"",-INDEX(PCAmount,$N1865)),""),IF($O1865&lt;&gt;"",IF(INDEX(TxnWitB,$O1865)=0,"",INDEX(TxnWitB,$O1865)),""))</f>
        <v/>
      </c>
      <c r="K1865" s="21">
        <f>IF($B1865="","",IF($K1864="",$C$10,$K1864)+IF($I1865="",0,$I1865)-IF($J1865="",0,$J1865))</f>
        <v/>
      </c>
      <c r="L1865" s="22">
        <f>IF($N1865&lt;&gt;"",IF(INDEX(PCNotes,$N1865)="","—",INDEX(PCNotes,$N1865)),IF($O1865&lt;&gt;"",IF(INDEX(LdgNoteB,$O1865)="","—",INDEX(LdgNoteB,$O1865)),""))</f>
        <v/>
      </c>
      <c r="N1865">
        <f>IFERROR(MATCH($C$5&amp;"|"&amp;RIGHT("000000"&amp;1849,6),LdgRankKeyA,0),"")</f>
        <v/>
      </c>
      <c r="O1865">
        <f>IFERROR(MATCH($C$5&amp;"|"&amp;RIGHT("000000"&amp;1849,6),LdgRankKeyB,0),"")</f>
        <v/>
      </c>
    </row>
    <row r="1866">
      <c r="A1866" s="23" t="n">
        <v>1850</v>
      </c>
      <c r="B1866" s="24">
        <f>IF(AND($N1866="",$O1866=""),"",IF($N1866&lt;&gt;"",INDEX(PCNormDate,$N1866),INDEX(LdgDateB,$O1866)))</f>
        <v/>
      </c>
      <c r="C1866" s="24">
        <f>IF($N1866&lt;&gt;"",INDEX(PCOp,$N1866),IF($O1866&lt;&gt;"",IF(N(INDEX(TxnDepB,$O1866))&gt;0,"دریافت بانکی","پرداخت بانکی"),""))</f>
        <v/>
      </c>
      <c r="D1866" s="24">
        <f>IF($N1866&lt;&gt;"",IF(INDEX(PCDoc,$N1866)="","—",INDEX(PCDoc,$N1866)),IF($O1866&lt;&gt;"",INDEX(LdgBankB,$O1866),""))</f>
        <v/>
      </c>
      <c r="E1866" s="24">
        <f>IF($N1866&lt;&gt;"",IF(INDEX(PCCitrus,$N1866)="","—",INDEX(PCCitrus,$N1866)),"")</f>
        <v/>
      </c>
      <c r="F1866" s="25">
        <f>IF($N1866&lt;&gt;"",IF(INDEX(PCScale,$N1866)=0,"",INDEX(PCScale,$N1866)),"")</f>
        <v/>
      </c>
      <c r="G1866" s="25">
        <f>IF($N1866&lt;&gt;"",IF(INDEX(PCBaskets,$N1866)=0,"",INDEX(PCBaskets,$N1866)),"")</f>
        <v/>
      </c>
      <c r="H1866" s="26">
        <f>IF($N1866&lt;&gt;"",IF(INDEX(PCNet,$N1866)=0,"",INDEX(PCNet,$N1866)),"")</f>
        <v/>
      </c>
      <c r="I1866" s="25">
        <f>IF($N1866&lt;&gt;"",IF(INDEX(PCOp,$N1866)="مرجوعی خرید","",IF(INDEX(PCAmount,$N1866)&lt;=0,"",INDEX(PCAmount,$N1866))),IF($O1866&lt;&gt;"",IF(INDEX(TxnDepB,$O1866)=0,"",INDEX(TxnDepB,$O1866)),""))</f>
        <v/>
      </c>
      <c r="J1866" s="25">
        <f>IF($N1866&lt;&gt;"",IF(INDEX(PCOp,$N1866)="مرجوعی خرید",IF(INDEX(PCAmount,$N1866)=0,"",-INDEX(PCAmount,$N1866)),""),IF($O1866&lt;&gt;"",IF(INDEX(TxnWitB,$O1866)=0,"",INDEX(TxnWitB,$O1866)),""))</f>
        <v/>
      </c>
      <c r="K1866" s="27">
        <f>IF($B1866="","",IF($K1865="",$C$10,$K1865)+IF($I1866="",0,$I1866)-IF($J1866="",0,$J1866))</f>
        <v/>
      </c>
      <c r="L1866" s="28">
        <f>IF($N1866&lt;&gt;"",IF(INDEX(PCNotes,$N1866)="","—",INDEX(PCNotes,$N1866)),IF($O1866&lt;&gt;"",IF(INDEX(LdgNoteB,$O1866)="","—",INDEX(LdgNoteB,$O1866)),""))</f>
        <v/>
      </c>
      <c r="N1866">
        <f>IFERROR(MATCH($C$5&amp;"|"&amp;RIGHT("000000"&amp;1850,6),LdgRankKeyA,0),"")</f>
        <v/>
      </c>
      <c r="O1866">
        <f>IFERROR(MATCH($C$5&amp;"|"&amp;RIGHT("000000"&amp;1850,6),LdgRankKeyB,0),"")</f>
        <v/>
      </c>
    </row>
    <row r="1867">
      <c r="A1867" s="17" t="n">
        <v>1851</v>
      </c>
      <c r="B1867" s="18">
        <f>IF(AND($N1867="",$O1867=""),"",IF($N1867&lt;&gt;"",INDEX(PCNormDate,$N1867),INDEX(LdgDateB,$O1867)))</f>
        <v/>
      </c>
      <c r="C1867" s="18">
        <f>IF($N1867&lt;&gt;"",INDEX(PCOp,$N1867),IF($O1867&lt;&gt;"",IF(N(INDEX(TxnDepB,$O1867))&gt;0,"دریافت بانکی","پرداخت بانکی"),""))</f>
        <v/>
      </c>
      <c r="D1867" s="18">
        <f>IF($N1867&lt;&gt;"",IF(INDEX(PCDoc,$N1867)="","—",INDEX(PCDoc,$N1867)),IF($O1867&lt;&gt;"",INDEX(LdgBankB,$O1867),""))</f>
        <v/>
      </c>
      <c r="E1867" s="18">
        <f>IF($N1867&lt;&gt;"",IF(INDEX(PCCitrus,$N1867)="","—",INDEX(PCCitrus,$N1867)),"")</f>
        <v/>
      </c>
      <c r="F1867" s="19">
        <f>IF($N1867&lt;&gt;"",IF(INDEX(PCScale,$N1867)=0,"",INDEX(PCScale,$N1867)),"")</f>
        <v/>
      </c>
      <c r="G1867" s="19">
        <f>IF($N1867&lt;&gt;"",IF(INDEX(PCBaskets,$N1867)=0,"",INDEX(PCBaskets,$N1867)),"")</f>
        <v/>
      </c>
      <c r="H1867" s="20">
        <f>IF($N1867&lt;&gt;"",IF(INDEX(PCNet,$N1867)=0,"",INDEX(PCNet,$N1867)),"")</f>
        <v/>
      </c>
      <c r="I1867" s="19">
        <f>IF($N1867&lt;&gt;"",IF(INDEX(PCOp,$N1867)="مرجوعی خرید","",IF(INDEX(PCAmount,$N1867)&lt;=0,"",INDEX(PCAmount,$N1867))),IF($O1867&lt;&gt;"",IF(INDEX(TxnDepB,$O1867)=0,"",INDEX(TxnDepB,$O1867)),""))</f>
        <v/>
      </c>
      <c r="J1867" s="19">
        <f>IF($N1867&lt;&gt;"",IF(INDEX(PCOp,$N1867)="مرجوعی خرید",IF(INDEX(PCAmount,$N1867)=0,"",-INDEX(PCAmount,$N1867)),""),IF($O1867&lt;&gt;"",IF(INDEX(TxnWitB,$O1867)=0,"",INDEX(TxnWitB,$O1867)),""))</f>
        <v/>
      </c>
      <c r="K1867" s="21">
        <f>IF($B1867="","",IF($K1866="",$C$10,$K1866)+IF($I1867="",0,$I1867)-IF($J1867="",0,$J1867))</f>
        <v/>
      </c>
      <c r="L1867" s="22">
        <f>IF($N1867&lt;&gt;"",IF(INDEX(PCNotes,$N1867)="","—",INDEX(PCNotes,$N1867)),IF($O1867&lt;&gt;"",IF(INDEX(LdgNoteB,$O1867)="","—",INDEX(LdgNoteB,$O1867)),""))</f>
        <v/>
      </c>
      <c r="N1867">
        <f>IFERROR(MATCH($C$5&amp;"|"&amp;RIGHT("000000"&amp;1851,6),LdgRankKeyA,0),"")</f>
        <v/>
      </c>
      <c r="O1867">
        <f>IFERROR(MATCH($C$5&amp;"|"&amp;RIGHT("000000"&amp;1851,6),LdgRankKeyB,0),"")</f>
        <v/>
      </c>
    </row>
    <row r="1868">
      <c r="A1868" s="23" t="n">
        <v>1852</v>
      </c>
      <c r="B1868" s="24">
        <f>IF(AND($N1868="",$O1868=""),"",IF($N1868&lt;&gt;"",INDEX(PCNormDate,$N1868),INDEX(LdgDateB,$O1868)))</f>
        <v/>
      </c>
      <c r="C1868" s="24">
        <f>IF($N1868&lt;&gt;"",INDEX(PCOp,$N1868),IF($O1868&lt;&gt;"",IF(N(INDEX(TxnDepB,$O1868))&gt;0,"دریافت بانکی","پرداخت بانکی"),""))</f>
        <v/>
      </c>
      <c r="D1868" s="24">
        <f>IF($N1868&lt;&gt;"",IF(INDEX(PCDoc,$N1868)="","—",INDEX(PCDoc,$N1868)),IF($O1868&lt;&gt;"",INDEX(LdgBankB,$O1868),""))</f>
        <v/>
      </c>
      <c r="E1868" s="24">
        <f>IF($N1868&lt;&gt;"",IF(INDEX(PCCitrus,$N1868)="","—",INDEX(PCCitrus,$N1868)),"")</f>
        <v/>
      </c>
      <c r="F1868" s="25">
        <f>IF($N1868&lt;&gt;"",IF(INDEX(PCScale,$N1868)=0,"",INDEX(PCScale,$N1868)),"")</f>
        <v/>
      </c>
      <c r="G1868" s="25">
        <f>IF($N1868&lt;&gt;"",IF(INDEX(PCBaskets,$N1868)=0,"",INDEX(PCBaskets,$N1868)),"")</f>
        <v/>
      </c>
      <c r="H1868" s="26">
        <f>IF($N1868&lt;&gt;"",IF(INDEX(PCNet,$N1868)=0,"",INDEX(PCNet,$N1868)),"")</f>
        <v/>
      </c>
      <c r="I1868" s="25">
        <f>IF($N1868&lt;&gt;"",IF(INDEX(PCOp,$N1868)="مرجوعی خرید","",IF(INDEX(PCAmount,$N1868)&lt;=0,"",INDEX(PCAmount,$N1868))),IF($O1868&lt;&gt;"",IF(INDEX(TxnDepB,$O1868)=0,"",INDEX(TxnDepB,$O1868)),""))</f>
        <v/>
      </c>
      <c r="J1868" s="25">
        <f>IF($N1868&lt;&gt;"",IF(INDEX(PCOp,$N1868)="مرجوعی خرید",IF(INDEX(PCAmount,$N1868)=0,"",-INDEX(PCAmount,$N1868)),""),IF($O1868&lt;&gt;"",IF(INDEX(TxnWitB,$O1868)=0,"",INDEX(TxnWitB,$O1868)),""))</f>
        <v/>
      </c>
      <c r="K1868" s="27">
        <f>IF($B1868="","",IF($K1867="",$C$10,$K1867)+IF($I1868="",0,$I1868)-IF($J1868="",0,$J1868))</f>
        <v/>
      </c>
      <c r="L1868" s="28">
        <f>IF($N1868&lt;&gt;"",IF(INDEX(PCNotes,$N1868)="","—",INDEX(PCNotes,$N1868)),IF($O1868&lt;&gt;"",IF(INDEX(LdgNoteB,$O1868)="","—",INDEX(LdgNoteB,$O1868)),""))</f>
        <v/>
      </c>
      <c r="N1868">
        <f>IFERROR(MATCH($C$5&amp;"|"&amp;RIGHT("000000"&amp;1852,6),LdgRankKeyA,0),"")</f>
        <v/>
      </c>
      <c r="O1868">
        <f>IFERROR(MATCH($C$5&amp;"|"&amp;RIGHT("000000"&amp;1852,6),LdgRankKeyB,0),"")</f>
        <v/>
      </c>
    </row>
    <row r="1869">
      <c r="A1869" s="17" t="n">
        <v>1853</v>
      </c>
      <c r="B1869" s="18">
        <f>IF(AND($N1869="",$O1869=""),"",IF($N1869&lt;&gt;"",INDEX(PCNormDate,$N1869),INDEX(LdgDateB,$O1869)))</f>
        <v/>
      </c>
      <c r="C1869" s="18">
        <f>IF($N1869&lt;&gt;"",INDEX(PCOp,$N1869),IF($O1869&lt;&gt;"",IF(N(INDEX(TxnDepB,$O1869))&gt;0,"دریافت بانکی","پرداخت بانکی"),""))</f>
        <v/>
      </c>
      <c r="D1869" s="18">
        <f>IF($N1869&lt;&gt;"",IF(INDEX(PCDoc,$N1869)="","—",INDEX(PCDoc,$N1869)),IF($O1869&lt;&gt;"",INDEX(LdgBankB,$O1869),""))</f>
        <v/>
      </c>
      <c r="E1869" s="18">
        <f>IF($N1869&lt;&gt;"",IF(INDEX(PCCitrus,$N1869)="","—",INDEX(PCCitrus,$N1869)),"")</f>
        <v/>
      </c>
      <c r="F1869" s="19">
        <f>IF($N1869&lt;&gt;"",IF(INDEX(PCScale,$N1869)=0,"",INDEX(PCScale,$N1869)),"")</f>
        <v/>
      </c>
      <c r="G1869" s="19">
        <f>IF($N1869&lt;&gt;"",IF(INDEX(PCBaskets,$N1869)=0,"",INDEX(PCBaskets,$N1869)),"")</f>
        <v/>
      </c>
      <c r="H1869" s="20">
        <f>IF($N1869&lt;&gt;"",IF(INDEX(PCNet,$N1869)=0,"",INDEX(PCNet,$N1869)),"")</f>
        <v/>
      </c>
      <c r="I1869" s="19">
        <f>IF($N1869&lt;&gt;"",IF(INDEX(PCOp,$N1869)="مرجوعی خرید","",IF(INDEX(PCAmount,$N1869)&lt;=0,"",INDEX(PCAmount,$N1869))),IF($O1869&lt;&gt;"",IF(INDEX(TxnDepB,$O1869)=0,"",INDEX(TxnDepB,$O1869)),""))</f>
        <v/>
      </c>
      <c r="J1869" s="19">
        <f>IF($N1869&lt;&gt;"",IF(INDEX(PCOp,$N1869)="مرجوعی خرید",IF(INDEX(PCAmount,$N1869)=0,"",-INDEX(PCAmount,$N1869)),""),IF($O1869&lt;&gt;"",IF(INDEX(TxnWitB,$O1869)=0,"",INDEX(TxnWitB,$O1869)),""))</f>
        <v/>
      </c>
      <c r="K1869" s="21">
        <f>IF($B1869="","",IF($K1868="",$C$10,$K1868)+IF($I1869="",0,$I1869)-IF($J1869="",0,$J1869))</f>
        <v/>
      </c>
      <c r="L1869" s="22">
        <f>IF($N1869&lt;&gt;"",IF(INDEX(PCNotes,$N1869)="","—",INDEX(PCNotes,$N1869)),IF($O1869&lt;&gt;"",IF(INDEX(LdgNoteB,$O1869)="","—",INDEX(LdgNoteB,$O1869)),""))</f>
        <v/>
      </c>
      <c r="N1869">
        <f>IFERROR(MATCH($C$5&amp;"|"&amp;RIGHT("000000"&amp;1853,6),LdgRankKeyA,0),"")</f>
        <v/>
      </c>
      <c r="O1869">
        <f>IFERROR(MATCH($C$5&amp;"|"&amp;RIGHT("000000"&amp;1853,6),LdgRankKeyB,0),"")</f>
        <v/>
      </c>
    </row>
    <row r="1870">
      <c r="A1870" s="23" t="n">
        <v>1854</v>
      </c>
      <c r="B1870" s="24">
        <f>IF(AND($N1870="",$O1870=""),"",IF($N1870&lt;&gt;"",INDEX(PCNormDate,$N1870),INDEX(LdgDateB,$O1870)))</f>
        <v/>
      </c>
      <c r="C1870" s="24">
        <f>IF($N1870&lt;&gt;"",INDEX(PCOp,$N1870),IF($O1870&lt;&gt;"",IF(N(INDEX(TxnDepB,$O1870))&gt;0,"دریافت بانکی","پرداخت بانکی"),""))</f>
        <v/>
      </c>
      <c r="D1870" s="24">
        <f>IF($N1870&lt;&gt;"",IF(INDEX(PCDoc,$N1870)="","—",INDEX(PCDoc,$N1870)),IF($O1870&lt;&gt;"",INDEX(LdgBankB,$O1870),""))</f>
        <v/>
      </c>
      <c r="E1870" s="24">
        <f>IF($N1870&lt;&gt;"",IF(INDEX(PCCitrus,$N1870)="","—",INDEX(PCCitrus,$N1870)),"")</f>
        <v/>
      </c>
      <c r="F1870" s="25">
        <f>IF($N1870&lt;&gt;"",IF(INDEX(PCScale,$N1870)=0,"",INDEX(PCScale,$N1870)),"")</f>
        <v/>
      </c>
      <c r="G1870" s="25">
        <f>IF($N1870&lt;&gt;"",IF(INDEX(PCBaskets,$N1870)=0,"",INDEX(PCBaskets,$N1870)),"")</f>
        <v/>
      </c>
      <c r="H1870" s="26">
        <f>IF($N1870&lt;&gt;"",IF(INDEX(PCNet,$N1870)=0,"",INDEX(PCNet,$N1870)),"")</f>
        <v/>
      </c>
      <c r="I1870" s="25">
        <f>IF($N1870&lt;&gt;"",IF(INDEX(PCOp,$N1870)="مرجوعی خرید","",IF(INDEX(PCAmount,$N1870)&lt;=0,"",INDEX(PCAmount,$N1870))),IF($O1870&lt;&gt;"",IF(INDEX(TxnDepB,$O1870)=0,"",INDEX(TxnDepB,$O1870)),""))</f>
        <v/>
      </c>
      <c r="J1870" s="25">
        <f>IF($N1870&lt;&gt;"",IF(INDEX(PCOp,$N1870)="مرجوعی خرید",IF(INDEX(PCAmount,$N1870)=0,"",-INDEX(PCAmount,$N1870)),""),IF($O1870&lt;&gt;"",IF(INDEX(TxnWitB,$O1870)=0,"",INDEX(TxnWitB,$O1870)),""))</f>
        <v/>
      </c>
      <c r="K1870" s="27">
        <f>IF($B1870="","",IF($K1869="",$C$10,$K1869)+IF($I1870="",0,$I1870)-IF($J1870="",0,$J1870))</f>
        <v/>
      </c>
      <c r="L1870" s="28">
        <f>IF($N1870&lt;&gt;"",IF(INDEX(PCNotes,$N1870)="","—",INDEX(PCNotes,$N1870)),IF($O1870&lt;&gt;"",IF(INDEX(LdgNoteB,$O1870)="","—",INDEX(LdgNoteB,$O1870)),""))</f>
        <v/>
      </c>
      <c r="N1870">
        <f>IFERROR(MATCH($C$5&amp;"|"&amp;RIGHT("000000"&amp;1854,6),LdgRankKeyA,0),"")</f>
        <v/>
      </c>
      <c r="O1870">
        <f>IFERROR(MATCH($C$5&amp;"|"&amp;RIGHT("000000"&amp;1854,6),LdgRankKeyB,0),"")</f>
        <v/>
      </c>
    </row>
    <row r="1871">
      <c r="A1871" s="17" t="n">
        <v>1855</v>
      </c>
      <c r="B1871" s="18">
        <f>IF(AND($N1871="",$O1871=""),"",IF($N1871&lt;&gt;"",INDEX(PCNormDate,$N1871),INDEX(LdgDateB,$O1871)))</f>
        <v/>
      </c>
      <c r="C1871" s="18">
        <f>IF($N1871&lt;&gt;"",INDEX(PCOp,$N1871),IF($O1871&lt;&gt;"",IF(N(INDEX(TxnDepB,$O1871))&gt;0,"دریافت بانکی","پرداخت بانکی"),""))</f>
        <v/>
      </c>
      <c r="D1871" s="18">
        <f>IF($N1871&lt;&gt;"",IF(INDEX(PCDoc,$N1871)="","—",INDEX(PCDoc,$N1871)),IF($O1871&lt;&gt;"",INDEX(LdgBankB,$O1871),""))</f>
        <v/>
      </c>
      <c r="E1871" s="18">
        <f>IF($N1871&lt;&gt;"",IF(INDEX(PCCitrus,$N1871)="","—",INDEX(PCCitrus,$N1871)),"")</f>
        <v/>
      </c>
      <c r="F1871" s="19">
        <f>IF($N1871&lt;&gt;"",IF(INDEX(PCScale,$N1871)=0,"",INDEX(PCScale,$N1871)),"")</f>
        <v/>
      </c>
      <c r="G1871" s="19">
        <f>IF($N1871&lt;&gt;"",IF(INDEX(PCBaskets,$N1871)=0,"",INDEX(PCBaskets,$N1871)),"")</f>
        <v/>
      </c>
      <c r="H1871" s="20">
        <f>IF($N1871&lt;&gt;"",IF(INDEX(PCNet,$N1871)=0,"",INDEX(PCNet,$N1871)),"")</f>
        <v/>
      </c>
      <c r="I1871" s="19">
        <f>IF($N1871&lt;&gt;"",IF(INDEX(PCOp,$N1871)="مرجوعی خرید","",IF(INDEX(PCAmount,$N1871)&lt;=0,"",INDEX(PCAmount,$N1871))),IF($O1871&lt;&gt;"",IF(INDEX(TxnDepB,$O1871)=0,"",INDEX(TxnDepB,$O1871)),""))</f>
        <v/>
      </c>
      <c r="J1871" s="19">
        <f>IF($N1871&lt;&gt;"",IF(INDEX(PCOp,$N1871)="مرجوعی خرید",IF(INDEX(PCAmount,$N1871)=0,"",-INDEX(PCAmount,$N1871)),""),IF($O1871&lt;&gt;"",IF(INDEX(TxnWitB,$O1871)=0,"",INDEX(TxnWitB,$O1871)),""))</f>
        <v/>
      </c>
      <c r="K1871" s="21">
        <f>IF($B1871="","",IF($K1870="",$C$10,$K1870)+IF($I1871="",0,$I1871)-IF($J1871="",0,$J1871))</f>
        <v/>
      </c>
      <c r="L1871" s="22">
        <f>IF($N1871&lt;&gt;"",IF(INDEX(PCNotes,$N1871)="","—",INDEX(PCNotes,$N1871)),IF($O1871&lt;&gt;"",IF(INDEX(LdgNoteB,$O1871)="","—",INDEX(LdgNoteB,$O1871)),""))</f>
        <v/>
      </c>
      <c r="N1871">
        <f>IFERROR(MATCH($C$5&amp;"|"&amp;RIGHT("000000"&amp;1855,6),LdgRankKeyA,0),"")</f>
        <v/>
      </c>
      <c r="O1871">
        <f>IFERROR(MATCH($C$5&amp;"|"&amp;RIGHT("000000"&amp;1855,6),LdgRankKeyB,0),"")</f>
        <v/>
      </c>
    </row>
    <row r="1872">
      <c r="A1872" s="23" t="n">
        <v>1856</v>
      </c>
      <c r="B1872" s="24">
        <f>IF(AND($N1872="",$O1872=""),"",IF($N1872&lt;&gt;"",INDEX(PCNormDate,$N1872),INDEX(LdgDateB,$O1872)))</f>
        <v/>
      </c>
      <c r="C1872" s="24">
        <f>IF($N1872&lt;&gt;"",INDEX(PCOp,$N1872),IF($O1872&lt;&gt;"",IF(N(INDEX(TxnDepB,$O1872))&gt;0,"دریافت بانکی","پرداخت بانکی"),""))</f>
        <v/>
      </c>
      <c r="D1872" s="24">
        <f>IF($N1872&lt;&gt;"",IF(INDEX(PCDoc,$N1872)="","—",INDEX(PCDoc,$N1872)),IF($O1872&lt;&gt;"",INDEX(LdgBankB,$O1872),""))</f>
        <v/>
      </c>
      <c r="E1872" s="24">
        <f>IF($N1872&lt;&gt;"",IF(INDEX(PCCitrus,$N1872)="","—",INDEX(PCCitrus,$N1872)),"")</f>
        <v/>
      </c>
      <c r="F1872" s="25">
        <f>IF($N1872&lt;&gt;"",IF(INDEX(PCScale,$N1872)=0,"",INDEX(PCScale,$N1872)),"")</f>
        <v/>
      </c>
      <c r="G1872" s="25">
        <f>IF($N1872&lt;&gt;"",IF(INDEX(PCBaskets,$N1872)=0,"",INDEX(PCBaskets,$N1872)),"")</f>
        <v/>
      </c>
      <c r="H1872" s="26">
        <f>IF($N1872&lt;&gt;"",IF(INDEX(PCNet,$N1872)=0,"",INDEX(PCNet,$N1872)),"")</f>
        <v/>
      </c>
      <c r="I1872" s="25">
        <f>IF($N1872&lt;&gt;"",IF(INDEX(PCOp,$N1872)="مرجوعی خرید","",IF(INDEX(PCAmount,$N1872)&lt;=0,"",INDEX(PCAmount,$N1872))),IF($O1872&lt;&gt;"",IF(INDEX(TxnDepB,$O1872)=0,"",INDEX(TxnDepB,$O1872)),""))</f>
        <v/>
      </c>
      <c r="J1872" s="25">
        <f>IF($N1872&lt;&gt;"",IF(INDEX(PCOp,$N1872)="مرجوعی خرید",IF(INDEX(PCAmount,$N1872)=0,"",-INDEX(PCAmount,$N1872)),""),IF($O1872&lt;&gt;"",IF(INDEX(TxnWitB,$O1872)=0,"",INDEX(TxnWitB,$O1872)),""))</f>
        <v/>
      </c>
      <c r="K1872" s="27">
        <f>IF($B1872="","",IF($K1871="",$C$10,$K1871)+IF($I1872="",0,$I1872)-IF($J1872="",0,$J1872))</f>
        <v/>
      </c>
      <c r="L1872" s="28">
        <f>IF($N1872&lt;&gt;"",IF(INDEX(PCNotes,$N1872)="","—",INDEX(PCNotes,$N1872)),IF($O1872&lt;&gt;"",IF(INDEX(LdgNoteB,$O1872)="","—",INDEX(LdgNoteB,$O1872)),""))</f>
        <v/>
      </c>
      <c r="N1872">
        <f>IFERROR(MATCH($C$5&amp;"|"&amp;RIGHT("000000"&amp;1856,6),LdgRankKeyA,0),"")</f>
        <v/>
      </c>
      <c r="O1872">
        <f>IFERROR(MATCH($C$5&amp;"|"&amp;RIGHT("000000"&amp;1856,6),LdgRankKeyB,0),"")</f>
        <v/>
      </c>
    </row>
    <row r="1873">
      <c r="A1873" s="17" t="n">
        <v>1857</v>
      </c>
      <c r="B1873" s="18">
        <f>IF(AND($N1873="",$O1873=""),"",IF($N1873&lt;&gt;"",INDEX(PCNormDate,$N1873),INDEX(LdgDateB,$O1873)))</f>
        <v/>
      </c>
      <c r="C1873" s="18">
        <f>IF($N1873&lt;&gt;"",INDEX(PCOp,$N1873),IF($O1873&lt;&gt;"",IF(N(INDEX(TxnDepB,$O1873))&gt;0,"دریافت بانکی","پرداخت بانکی"),""))</f>
        <v/>
      </c>
      <c r="D1873" s="18">
        <f>IF($N1873&lt;&gt;"",IF(INDEX(PCDoc,$N1873)="","—",INDEX(PCDoc,$N1873)),IF($O1873&lt;&gt;"",INDEX(LdgBankB,$O1873),""))</f>
        <v/>
      </c>
      <c r="E1873" s="18">
        <f>IF($N1873&lt;&gt;"",IF(INDEX(PCCitrus,$N1873)="","—",INDEX(PCCitrus,$N1873)),"")</f>
        <v/>
      </c>
      <c r="F1873" s="19">
        <f>IF($N1873&lt;&gt;"",IF(INDEX(PCScale,$N1873)=0,"",INDEX(PCScale,$N1873)),"")</f>
        <v/>
      </c>
      <c r="G1873" s="19">
        <f>IF($N1873&lt;&gt;"",IF(INDEX(PCBaskets,$N1873)=0,"",INDEX(PCBaskets,$N1873)),"")</f>
        <v/>
      </c>
      <c r="H1873" s="20">
        <f>IF($N1873&lt;&gt;"",IF(INDEX(PCNet,$N1873)=0,"",INDEX(PCNet,$N1873)),"")</f>
        <v/>
      </c>
      <c r="I1873" s="19">
        <f>IF($N1873&lt;&gt;"",IF(INDEX(PCOp,$N1873)="مرجوعی خرید","",IF(INDEX(PCAmount,$N1873)&lt;=0,"",INDEX(PCAmount,$N1873))),IF($O1873&lt;&gt;"",IF(INDEX(TxnDepB,$O1873)=0,"",INDEX(TxnDepB,$O1873)),""))</f>
        <v/>
      </c>
      <c r="J1873" s="19">
        <f>IF($N1873&lt;&gt;"",IF(INDEX(PCOp,$N1873)="مرجوعی خرید",IF(INDEX(PCAmount,$N1873)=0,"",-INDEX(PCAmount,$N1873)),""),IF($O1873&lt;&gt;"",IF(INDEX(TxnWitB,$O1873)=0,"",INDEX(TxnWitB,$O1873)),""))</f>
        <v/>
      </c>
      <c r="K1873" s="21">
        <f>IF($B1873="","",IF($K1872="",$C$10,$K1872)+IF($I1873="",0,$I1873)-IF($J1873="",0,$J1873))</f>
        <v/>
      </c>
      <c r="L1873" s="22">
        <f>IF($N1873&lt;&gt;"",IF(INDEX(PCNotes,$N1873)="","—",INDEX(PCNotes,$N1873)),IF($O1873&lt;&gt;"",IF(INDEX(LdgNoteB,$O1873)="","—",INDEX(LdgNoteB,$O1873)),""))</f>
        <v/>
      </c>
      <c r="N1873">
        <f>IFERROR(MATCH($C$5&amp;"|"&amp;RIGHT("000000"&amp;1857,6),LdgRankKeyA,0),"")</f>
        <v/>
      </c>
      <c r="O1873">
        <f>IFERROR(MATCH($C$5&amp;"|"&amp;RIGHT("000000"&amp;1857,6),LdgRankKeyB,0),"")</f>
        <v/>
      </c>
    </row>
    <row r="1874">
      <c r="A1874" s="23" t="n">
        <v>1858</v>
      </c>
      <c r="B1874" s="24">
        <f>IF(AND($N1874="",$O1874=""),"",IF($N1874&lt;&gt;"",INDEX(PCNormDate,$N1874),INDEX(LdgDateB,$O1874)))</f>
        <v/>
      </c>
      <c r="C1874" s="24">
        <f>IF($N1874&lt;&gt;"",INDEX(PCOp,$N1874),IF($O1874&lt;&gt;"",IF(N(INDEX(TxnDepB,$O1874))&gt;0,"دریافت بانکی","پرداخت بانکی"),""))</f>
        <v/>
      </c>
      <c r="D1874" s="24">
        <f>IF($N1874&lt;&gt;"",IF(INDEX(PCDoc,$N1874)="","—",INDEX(PCDoc,$N1874)),IF($O1874&lt;&gt;"",INDEX(LdgBankB,$O1874),""))</f>
        <v/>
      </c>
      <c r="E1874" s="24">
        <f>IF($N1874&lt;&gt;"",IF(INDEX(PCCitrus,$N1874)="","—",INDEX(PCCitrus,$N1874)),"")</f>
        <v/>
      </c>
      <c r="F1874" s="25">
        <f>IF($N1874&lt;&gt;"",IF(INDEX(PCScale,$N1874)=0,"",INDEX(PCScale,$N1874)),"")</f>
        <v/>
      </c>
      <c r="G1874" s="25">
        <f>IF($N1874&lt;&gt;"",IF(INDEX(PCBaskets,$N1874)=0,"",INDEX(PCBaskets,$N1874)),"")</f>
        <v/>
      </c>
      <c r="H1874" s="26">
        <f>IF($N1874&lt;&gt;"",IF(INDEX(PCNet,$N1874)=0,"",INDEX(PCNet,$N1874)),"")</f>
        <v/>
      </c>
      <c r="I1874" s="25">
        <f>IF($N1874&lt;&gt;"",IF(INDEX(PCOp,$N1874)="مرجوعی خرید","",IF(INDEX(PCAmount,$N1874)&lt;=0,"",INDEX(PCAmount,$N1874))),IF($O1874&lt;&gt;"",IF(INDEX(TxnDepB,$O1874)=0,"",INDEX(TxnDepB,$O1874)),""))</f>
        <v/>
      </c>
      <c r="J1874" s="25">
        <f>IF($N1874&lt;&gt;"",IF(INDEX(PCOp,$N1874)="مرجوعی خرید",IF(INDEX(PCAmount,$N1874)=0,"",-INDEX(PCAmount,$N1874)),""),IF($O1874&lt;&gt;"",IF(INDEX(TxnWitB,$O1874)=0,"",INDEX(TxnWitB,$O1874)),""))</f>
        <v/>
      </c>
      <c r="K1874" s="27">
        <f>IF($B1874="","",IF($K1873="",$C$10,$K1873)+IF($I1874="",0,$I1874)-IF($J1874="",0,$J1874))</f>
        <v/>
      </c>
      <c r="L1874" s="28">
        <f>IF($N1874&lt;&gt;"",IF(INDEX(PCNotes,$N1874)="","—",INDEX(PCNotes,$N1874)),IF($O1874&lt;&gt;"",IF(INDEX(LdgNoteB,$O1874)="","—",INDEX(LdgNoteB,$O1874)),""))</f>
        <v/>
      </c>
      <c r="N1874">
        <f>IFERROR(MATCH($C$5&amp;"|"&amp;RIGHT("000000"&amp;1858,6),LdgRankKeyA,0),"")</f>
        <v/>
      </c>
      <c r="O1874">
        <f>IFERROR(MATCH($C$5&amp;"|"&amp;RIGHT("000000"&amp;1858,6),LdgRankKeyB,0),"")</f>
        <v/>
      </c>
    </row>
    <row r="1875">
      <c r="A1875" s="17" t="n">
        <v>1859</v>
      </c>
      <c r="B1875" s="18">
        <f>IF(AND($N1875="",$O1875=""),"",IF($N1875&lt;&gt;"",INDEX(PCNormDate,$N1875),INDEX(LdgDateB,$O1875)))</f>
        <v/>
      </c>
      <c r="C1875" s="18">
        <f>IF($N1875&lt;&gt;"",INDEX(PCOp,$N1875),IF($O1875&lt;&gt;"",IF(N(INDEX(TxnDepB,$O1875))&gt;0,"دریافت بانکی","پرداخت بانکی"),""))</f>
        <v/>
      </c>
      <c r="D1875" s="18">
        <f>IF($N1875&lt;&gt;"",IF(INDEX(PCDoc,$N1875)="","—",INDEX(PCDoc,$N1875)),IF($O1875&lt;&gt;"",INDEX(LdgBankB,$O1875),""))</f>
        <v/>
      </c>
      <c r="E1875" s="18">
        <f>IF($N1875&lt;&gt;"",IF(INDEX(PCCitrus,$N1875)="","—",INDEX(PCCitrus,$N1875)),"")</f>
        <v/>
      </c>
      <c r="F1875" s="19">
        <f>IF($N1875&lt;&gt;"",IF(INDEX(PCScale,$N1875)=0,"",INDEX(PCScale,$N1875)),"")</f>
        <v/>
      </c>
      <c r="G1875" s="19">
        <f>IF($N1875&lt;&gt;"",IF(INDEX(PCBaskets,$N1875)=0,"",INDEX(PCBaskets,$N1875)),"")</f>
        <v/>
      </c>
      <c r="H1875" s="20">
        <f>IF($N1875&lt;&gt;"",IF(INDEX(PCNet,$N1875)=0,"",INDEX(PCNet,$N1875)),"")</f>
        <v/>
      </c>
      <c r="I1875" s="19">
        <f>IF($N1875&lt;&gt;"",IF(INDEX(PCOp,$N1875)="مرجوعی خرید","",IF(INDEX(PCAmount,$N1875)&lt;=0,"",INDEX(PCAmount,$N1875))),IF($O1875&lt;&gt;"",IF(INDEX(TxnDepB,$O1875)=0,"",INDEX(TxnDepB,$O1875)),""))</f>
        <v/>
      </c>
      <c r="J1875" s="19">
        <f>IF($N1875&lt;&gt;"",IF(INDEX(PCOp,$N1875)="مرجوعی خرید",IF(INDEX(PCAmount,$N1875)=0,"",-INDEX(PCAmount,$N1875)),""),IF($O1875&lt;&gt;"",IF(INDEX(TxnWitB,$O1875)=0,"",INDEX(TxnWitB,$O1875)),""))</f>
        <v/>
      </c>
      <c r="K1875" s="21">
        <f>IF($B1875="","",IF($K1874="",$C$10,$K1874)+IF($I1875="",0,$I1875)-IF($J1875="",0,$J1875))</f>
        <v/>
      </c>
      <c r="L1875" s="22">
        <f>IF($N1875&lt;&gt;"",IF(INDEX(PCNotes,$N1875)="","—",INDEX(PCNotes,$N1875)),IF($O1875&lt;&gt;"",IF(INDEX(LdgNoteB,$O1875)="","—",INDEX(LdgNoteB,$O1875)),""))</f>
        <v/>
      </c>
      <c r="N1875">
        <f>IFERROR(MATCH($C$5&amp;"|"&amp;RIGHT("000000"&amp;1859,6),LdgRankKeyA,0),"")</f>
        <v/>
      </c>
      <c r="O1875">
        <f>IFERROR(MATCH($C$5&amp;"|"&amp;RIGHT("000000"&amp;1859,6),LdgRankKeyB,0),"")</f>
        <v/>
      </c>
    </row>
    <row r="1876">
      <c r="A1876" s="23" t="n">
        <v>1860</v>
      </c>
      <c r="B1876" s="24">
        <f>IF(AND($N1876="",$O1876=""),"",IF($N1876&lt;&gt;"",INDEX(PCNormDate,$N1876),INDEX(LdgDateB,$O1876)))</f>
        <v/>
      </c>
      <c r="C1876" s="24">
        <f>IF($N1876&lt;&gt;"",INDEX(PCOp,$N1876),IF($O1876&lt;&gt;"",IF(N(INDEX(TxnDepB,$O1876))&gt;0,"دریافت بانکی","پرداخت بانکی"),""))</f>
        <v/>
      </c>
      <c r="D1876" s="24">
        <f>IF($N1876&lt;&gt;"",IF(INDEX(PCDoc,$N1876)="","—",INDEX(PCDoc,$N1876)),IF($O1876&lt;&gt;"",INDEX(LdgBankB,$O1876),""))</f>
        <v/>
      </c>
      <c r="E1876" s="24">
        <f>IF($N1876&lt;&gt;"",IF(INDEX(PCCitrus,$N1876)="","—",INDEX(PCCitrus,$N1876)),"")</f>
        <v/>
      </c>
      <c r="F1876" s="25">
        <f>IF($N1876&lt;&gt;"",IF(INDEX(PCScale,$N1876)=0,"",INDEX(PCScale,$N1876)),"")</f>
        <v/>
      </c>
      <c r="G1876" s="25">
        <f>IF($N1876&lt;&gt;"",IF(INDEX(PCBaskets,$N1876)=0,"",INDEX(PCBaskets,$N1876)),"")</f>
        <v/>
      </c>
      <c r="H1876" s="26">
        <f>IF($N1876&lt;&gt;"",IF(INDEX(PCNet,$N1876)=0,"",INDEX(PCNet,$N1876)),"")</f>
        <v/>
      </c>
      <c r="I1876" s="25">
        <f>IF($N1876&lt;&gt;"",IF(INDEX(PCOp,$N1876)="مرجوعی خرید","",IF(INDEX(PCAmount,$N1876)&lt;=0,"",INDEX(PCAmount,$N1876))),IF($O1876&lt;&gt;"",IF(INDEX(TxnDepB,$O1876)=0,"",INDEX(TxnDepB,$O1876)),""))</f>
        <v/>
      </c>
      <c r="J1876" s="25">
        <f>IF($N1876&lt;&gt;"",IF(INDEX(PCOp,$N1876)="مرجوعی خرید",IF(INDEX(PCAmount,$N1876)=0,"",-INDEX(PCAmount,$N1876)),""),IF($O1876&lt;&gt;"",IF(INDEX(TxnWitB,$O1876)=0,"",INDEX(TxnWitB,$O1876)),""))</f>
        <v/>
      </c>
      <c r="K1876" s="27">
        <f>IF($B1876="","",IF($K1875="",$C$10,$K1875)+IF($I1876="",0,$I1876)-IF($J1876="",0,$J1876))</f>
        <v/>
      </c>
      <c r="L1876" s="28">
        <f>IF($N1876&lt;&gt;"",IF(INDEX(PCNotes,$N1876)="","—",INDEX(PCNotes,$N1876)),IF($O1876&lt;&gt;"",IF(INDEX(LdgNoteB,$O1876)="","—",INDEX(LdgNoteB,$O1876)),""))</f>
        <v/>
      </c>
      <c r="N1876">
        <f>IFERROR(MATCH($C$5&amp;"|"&amp;RIGHT("000000"&amp;1860,6),LdgRankKeyA,0),"")</f>
        <v/>
      </c>
      <c r="O1876">
        <f>IFERROR(MATCH($C$5&amp;"|"&amp;RIGHT("000000"&amp;1860,6),LdgRankKeyB,0),"")</f>
        <v/>
      </c>
    </row>
    <row r="1877">
      <c r="A1877" s="17" t="n">
        <v>1861</v>
      </c>
      <c r="B1877" s="18">
        <f>IF(AND($N1877="",$O1877=""),"",IF($N1877&lt;&gt;"",INDEX(PCNormDate,$N1877),INDEX(LdgDateB,$O1877)))</f>
        <v/>
      </c>
      <c r="C1877" s="18">
        <f>IF($N1877&lt;&gt;"",INDEX(PCOp,$N1877),IF($O1877&lt;&gt;"",IF(N(INDEX(TxnDepB,$O1877))&gt;0,"دریافت بانکی","پرداخت بانکی"),""))</f>
        <v/>
      </c>
      <c r="D1877" s="18">
        <f>IF($N1877&lt;&gt;"",IF(INDEX(PCDoc,$N1877)="","—",INDEX(PCDoc,$N1877)),IF($O1877&lt;&gt;"",INDEX(LdgBankB,$O1877),""))</f>
        <v/>
      </c>
      <c r="E1877" s="18">
        <f>IF($N1877&lt;&gt;"",IF(INDEX(PCCitrus,$N1877)="","—",INDEX(PCCitrus,$N1877)),"")</f>
        <v/>
      </c>
      <c r="F1877" s="19">
        <f>IF($N1877&lt;&gt;"",IF(INDEX(PCScale,$N1877)=0,"",INDEX(PCScale,$N1877)),"")</f>
        <v/>
      </c>
      <c r="G1877" s="19">
        <f>IF($N1877&lt;&gt;"",IF(INDEX(PCBaskets,$N1877)=0,"",INDEX(PCBaskets,$N1877)),"")</f>
        <v/>
      </c>
      <c r="H1877" s="20">
        <f>IF($N1877&lt;&gt;"",IF(INDEX(PCNet,$N1877)=0,"",INDEX(PCNet,$N1877)),"")</f>
        <v/>
      </c>
      <c r="I1877" s="19">
        <f>IF($N1877&lt;&gt;"",IF(INDEX(PCOp,$N1877)="مرجوعی خرید","",IF(INDEX(PCAmount,$N1877)&lt;=0,"",INDEX(PCAmount,$N1877))),IF($O1877&lt;&gt;"",IF(INDEX(TxnDepB,$O1877)=0,"",INDEX(TxnDepB,$O1877)),""))</f>
        <v/>
      </c>
      <c r="J1877" s="19">
        <f>IF($N1877&lt;&gt;"",IF(INDEX(PCOp,$N1877)="مرجوعی خرید",IF(INDEX(PCAmount,$N1877)=0,"",-INDEX(PCAmount,$N1877)),""),IF($O1877&lt;&gt;"",IF(INDEX(TxnWitB,$O1877)=0,"",INDEX(TxnWitB,$O1877)),""))</f>
        <v/>
      </c>
      <c r="K1877" s="21">
        <f>IF($B1877="","",IF($K1876="",$C$10,$K1876)+IF($I1877="",0,$I1877)-IF($J1877="",0,$J1877))</f>
        <v/>
      </c>
      <c r="L1877" s="22">
        <f>IF($N1877&lt;&gt;"",IF(INDEX(PCNotes,$N1877)="","—",INDEX(PCNotes,$N1877)),IF($O1877&lt;&gt;"",IF(INDEX(LdgNoteB,$O1877)="","—",INDEX(LdgNoteB,$O1877)),""))</f>
        <v/>
      </c>
      <c r="N1877">
        <f>IFERROR(MATCH($C$5&amp;"|"&amp;RIGHT("000000"&amp;1861,6),LdgRankKeyA,0),"")</f>
        <v/>
      </c>
      <c r="O1877">
        <f>IFERROR(MATCH($C$5&amp;"|"&amp;RIGHT("000000"&amp;1861,6),LdgRankKeyB,0),"")</f>
        <v/>
      </c>
    </row>
    <row r="1878">
      <c r="A1878" s="23" t="n">
        <v>1862</v>
      </c>
      <c r="B1878" s="24">
        <f>IF(AND($N1878="",$O1878=""),"",IF($N1878&lt;&gt;"",INDEX(PCNormDate,$N1878),INDEX(LdgDateB,$O1878)))</f>
        <v/>
      </c>
      <c r="C1878" s="24">
        <f>IF($N1878&lt;&gt;"",INDEX(PCOp,$N1878),IF($O1878&lt;&gt;"",IF(N(INDEX(TxnDepB,$O1878))&gt;0,"دریافت بانکی","پرداخت بانکی"),""))</f>
        <v/>
      </c>
      <c r="D1878" s="24">
        <f>IF($N1878&lt;&gt;"",IF(INDEX(PCDoc,$N1878)="","—",INDEX(PCDoc,$N1878)),IF($O1878&lt;&gt;"",INDEX(LdgBankB,$O1878),""))</f>
        <v/>
      </c>
      <c r="E1878" s="24">
        <f>IF($N1878&lt;&gt;"",IF(INDEX(PCCitrus,$N1878)="","—",INDEX(PCCitrus,$N1878)),"")</f>
        <v/>
      </c>
      <c r="F1878" s="25">
        <f>IF($N1878&lt;&gt;"",IF(INDEX(PCScale,$N1878)=0,"",INDEX(PCScale,$N1878)),"")</f>
        <v/>
      </c>
      <c r="G1878" s="25">
        <f>IF($N1878&lt;&gt;"",IF(INDEX(PCBaskets,$N1878)=0,"",INDEX(PCBaskets,$N1878)),"")</f>
        <v/>
      </c>
      <c r="H1878" s="26">
        <f>IF($N1878&lt;&gt;"",IF(INDEX(PCNet,$N1878)=0,"",INDEX(PCNet,$N1878)),"")</f>
        <v/>
      </c>
      <c r="I1878" s="25">
        <f>IF($N1878&lt;&gt;"",IF(INDEX(PCOp,$N1878)="مرجوعی خرید","",IF(INDEX(PCAmount,$N1878)&lt;=0,"",INDEX(PCAmount,$N1878))),IF($O1878&lt;&gt;"",IF(INDEX(TxnDepB,$O1878)=0,"",INDEX(TxnDepB,$O1878)),""))</f>
        <v/>
      </c>
      <c r="J1878" s="25">
        <f>IF($N1878&lt;&gt;"",IF(INDEX(PCOp,$N1878)="مرجوعی خرید",IF(INDEX(PCAmount,$N1878)=0,"",-INDEX(PCAmount,$N1878)),""),IF($O1878&lt;&gt;"",IF(INDEX(TxnWitB,$O1878)=0,"",INDEX(TxnWitB,$O1878)),""))</f>
        <v/>
      </c>
      <c r="K1878" s="27">
        <f>IF($B1878="","",IF($K1877="",$C$10,$K1877)+IF($I1878="",0,$I1878)-IF($J1878="",0,$J1878))</f>
        <v/>
      </c>
      <c r="L1878" s="28">
        <f>IF($N1878&lt;&gt;"",IF(INDEX(PCNotes,$N1878)="","—",INDEX(PCNotes,$N1878)),IF($O1878&lt;&gt;"",IF(INDEX(LdgNoteB,$O1878)="","—",INDEX(LdgNoteB,$O1878)),""))</f>
        <v/>
      </c>
      <c r="N1878">
        <f>IFERROR(MATCH($C$5&amp;"|"&amp;RIGHT("000000"&amp;1862,6),LdgRankKeyA,0),"")</f>
        <v/>
      </c>
      <c r="O1878">
        <f>IFERROR(MATCH($C$5&amp;"|"&amp;RIGHT("000000"&amp;1862,6),LdgRankKeyB,0),"")</f>
        <v/>
      </c>
    </row>
    <row r="1879">
      <c r="A1879" s="17" t="n">
        <v>1863</v>
      </c>
      <c r="B1879" s="18">
        <f>IF(AND($N1879="",$O1879=""),"",IF($N1879&lt;&gt;"",INDEX(PCNormDate,$N1879),INDEX(LdgDateB,$O1879)))</f>
        <v/>
      </c>
      <c r="C1879" s="18">
        <f>IF($N1879&lt;&gt;"",INDEX(PCOp,$N1879),IF($O1879&lt;&gt;"",IF(N(INDEX(TxnDepB,$O1879))&gt;0,"دریافت بانکی","پرداخت بانکی"),""))</f>
        <v/>
      </c>
      <c r="D1879" s="18">
        <f>IF($N1879&lt;&gt;"",IF(INDEX(PCDoc,$N1879)="","—",INDEX(PCDoc,$N1879)),IF($O1879&lt;&gt;"",INDEX(LdgBankB,$O1879),""))</f>
        <v/>
      </c>
      <c r="E1879" s="18">
        <f>IF($N1879&lt;&gt;"",IF(INDEX(PCCitrus,$N1879)="","—",INDEX(PCCitrus,$N1879)),"")</f>
        <v/>
      </c>
      <c r="F1879" s="19">
        <f>IF($N1879&lt;&gt;"",IF(INDEX(PCScale,$N1879)=0,"",INDEX(PCScale,$N1879)),"")</f>
        <v/>
      </c>
      <c r="G1879" s="19">
        <f>IF($N1879&lt;&gt;"",IF(INDEX(PCBaskets,$N1879)=0,"",INDEX(PCBaskets,$N1879)),"")</f>
        <v/>
      </c>
      <c r="H1879" s="20">
        <f>IF($N1879&lt;&gt;"",IF(INDEX(PCNet,$N1879)=0,"",INDEX(PCNet,$N1879)),"")</f>
        <v/>
      </c>
      <c r="I1879" s="19">
        <f>IF($N1879&lt;&gt;"",IF(INDEX(PCOp,$N1879)="مرجوعی خرید","",IF(INDEX(PCAmount,$N1879)&lt;=0,"",INDEX(PCAmount,$N1879))),IF($O1879&lt;&gt;"",IF(INDEX(TxnDepB,$O1879)=0,"",INDEX(TxnDepB,$O1879)),""))</f>
        <v/>
      </c>
      <c r="J1879" s="19">
        <f>IF($N1879&lt;&gt;"",IF(INDEX(PCOp,$N1879)="مرجوعی خرید",IF(INDEX(PCAmount,$N1879)=0,"",-INDEX(PCAmount,$N1879)),""),IF($O1879&lt;&gt;"",IF(INDEX(TxnWitB,$O1879)=0,"",INDEX(TxnWitB,$O1879)),""))</f>
        <v/>
      </c>
      <c r="K1879" s="21">
        <f>IF($B1879="","",IF($K1878="",$C$10,$K1878)+IF($I1879="",0,$I1879)-IF($J1879="",0,$J1879))</f>
        <v/>
      </c>
      <c r="L1879" s="22">
        <f>IF($N1879&lt;&gt;"",IF(INDEX(PCNotes,$N1879)="","—",INDEX(PCNotes,$N1879)),IF($O1879&lt;&gt;"",IF(INDEX(LdgNoteB,$O1879)="","—",INDEX(LdgNoteB,$O1879)),""))</f>
        <v/>
      </c>
      <c r="N1879">
        <f>IFERROR(MATCH($C$5&amp;"|"&amp;RIGHT("000000"&amp;1863,6),LdgRankKeyA,0),"")</f>
        <v/>
      </c>
      <c r="O1879">
        <f>IFERROR(MATCH($C$5&amp;"|"&amp;RIGHT("000000"&amp;1863,6),LdgRankKeyB,0),"")</f>
        <v/>
      </c>
    </row>
    <row r="1880">
      <c r="A1880" s="23" t="n">
        <v>1864</v>
      </c>
      <c r="B1880" s="24">
        <f>IF(AND($N1880="",$O1880=""),"",IF($N1880&lt;&gt;"",INDEX(PCNormDate,$N1880),INDEX(LdgDateB,$O1880)))</f>
        <v/>
      </c>
      <c r="C1880" s="24">
        <f>IF($N1880&lt;&gt;"",INDEX(PCOp,$N1880),IF($O1880&lt;&gt;"",IF(N(INDEX(TxnDepB,$O1880))&gt;0,"دریافت بانکی","پرداخت بانکی"),""))</f>
        <v/>
      </c>
      <c r="D1880" s="24">
        <f>IF($N1880&lt;&gt;"",IF(INDEX(PCDoc,$N1880)="","—",INDEX(PCDoc,$N1880)),IF($O1880&lt;&gt;"",INDEX(LdgBankB,$O1880),""))</f>
        <v/>
      </c>
      <c r="E1880" s="24">
        <f>IF($N1880&lt;&gt;"",IF(INDEX(PCCitrus,$N1880)="","—",INDEX(PCCitrus,$N1880)),"")</f>
        <v/>
      </c>
      <c r="F1880" s="25">
        <f>IF($N1880&lt;&gt;"",IF(INDEX(PCScale,$N1880)=0,"",INDEX(PCScale,$N1880)),"")</f>
        <v/>
      </c>
      <c r="G1880" s="25">
        <f>IF($N1880&lt;&gt;"",IF(INDEX(PCBaskets,$N1880)=0,"",INDEX(PCBaskets,$N1880)),"")</f>
        <v/>
      </c>
      <c r="H1880" s="26">
        <f>IF($N1880&lt;&gt;"",IF(INDEX(PCNet,$N1880)=0,"",INDEX(PCNet,$N1880)),"")</f>
        <v/>
      </c>
      <c r="I1880" s="25">
        <f>IF($N1880&lt;&gt;"",IF(INDEX(PCOp,$N1880)="مرجوعی خرید","",IF(INDEX(PCAmount,$N1880)&lt;=0,"",INDEX(PCAmount,$N1880))),IF($O1880&lt;&gt;"",IF(INDEX(TxnDepB,$O1880)=0,"",INDEX(TxnDepB,$O1880)),""))</f>
        <v/>
      </c>
      <c r="J1880" s="25">
        <f>IF($N1880&lt;&gt;"",IF(INDEX(PCOp,$N1880)="مرجوعی خرید",IF(INDEX(PCAmount,$N1880)=0,"",-INDEX(PCAmount,$N1880)),""),IF($O1880&lt;&gt;"",IF(INDEX(TxnWitB,$O1880)=0,"",INDEX(TxnWitB,$O1880)),""))</f>
        <v/>
      </c>
      <c r="K1880" s="27">
        <f>IF($B1880="","",IF($K1879="",$C$10,$K1879)+IF($I1880="",0,$I1880)-IF($J1880="",0,$J1880))</f>
        <v/>
      </c>
      <c r="L1880" s="28">
        <f>IF($N1880&lt;&gt;"",IF(INDEX(PCNotes,$N1880)="","—",INDEX(PCNotes,$N1880)),IF($O1880&lt;&gt;"",IF(INDEX(LdgNoteB,$O1880)="","—",INDEX(LdgNoteB,$O1880)),""))</f>
        <v/>
      </c>
      <c r="N1880">
        <f>IFERROR(MATCH($C$5&amp;"|"&amp;RIGHT("000000"&amp;1864,6),LdgRankKeyA,0),"")</f>
        <v/>
      </c>
      <c r="O1880">
        <f>IFERROR(MATCH($C$5&amp;"|"&amp;RIGHT("000000"&amp;1864,6),LdgRankKeyB,0),"")</f>
        <v/>
      </c>
    </row>
    <row r="1881">
      <c r="A1881" s="17" t="n">
        <v>1865</v>
      </c>
      <c r="B1881" s="18">
        <f>IF(AND($N1881="",$O1881=""),"",IF($N1881&lt;&gt;"",INDEX(PCNormDate,$N1881),INDEX(LdgDateB,$O1881)))</f>
        <v/>
      </c>
      <c r="C1881" s="18">
        <f>IF($N1881&lt;&gt;"",INDEX(PCOp,$N1881),IF($O1881&lt;&gt;"",IF(N(INDEX(TxnDepB,$O1881))&gt;0,"دریافت بانکی","پرداخت بانکی"),""))</f>
        <v/>
      </c>
      <c r="D1881" s="18">
        <f>IF($N1881&lt;&gt;"",IF(INDEX(PCDoc,$N1881)="","—",INDEX(PCDoc,$N1881)),IF($O1881&lt;&gt;"",INDEX(LdgBankB,$O1881),""))</f>
        <v/>
      </c>
      <c r="E1881" s="18">
        <f>IF($N1881&lt;&gt;"",IF(INDEX(PCCitrus,$N1881)="","—",INDEX(PCCitrus,$N1881)),"")</f>
        <v/>
      </c>
      <c r="F1881" s="19">
        <f>IF($N1881&lt;&gt;"",IF(INDEX(PCScale,$N1881)=0,"",INDEX(PCScale,$N1881)),"")</f>
        <v/>
      </c>
      <c r="G1881" s="19">
        <f>IF($N1881&lt;&gt;"",IF(INDEX(PCBaskets,$N1881)=0,"",INDEX(PCBaskets,$N1881)),"")</f>
        <v/>
      </c>
      <c r="H1881" s="20">
        <f>IF($N1881&lt;&gt;"",IF(INDEX(PCNet,$N1881)=0,"",INDEX(PCNet,$N1881)),"")</f>
        <v/>
      </c>
      <c r="I1881" s="19">
        <f>IF($N1881&lt;&gt;"",IF(INDEX(PCOp,$N1881)="مرجوعی خرید","",IF(INDEX(PCAmount,$N1881)&lt;=0,"",INDEX(PCAmount,$N1881))),IF($O1881&lt;&gt;"",IF(INDEX(TxnDepB,$O1881)=0,"",INDEX(TxnDepB,$O1881)),""))</f>
        <v/>
      </c>
      <c r="J1881" s="19">
        <f>IF($N1881&lt;&gt;"",IF(INDEX(PCOp,$N1881)="مرجوعی خرید",IF(INDEX(PCAmount,$N1881)=0,"",-INDEX(PCAmount,$N1881)),""),IF($O1881&lt;&gt;"",IF(INDEX(TxnWitB,$O1881)=0,"",INDEX(TxnWitB,$O1881)),""))</f>
        <v/>
      </c>
      <c r="K1881" s="21">
        <f>IF($B1881="","",IF($K1880="",$C$10,$K1880)+IF($I1881="",0,$I1881)-IF($J1881="",0,$J1881))</f>
        <v/>
      </c>
      <c r="L1881" s="22">
        <f>IF($N1881&lt;&gt;"",IF(INDEX(PCNotes,$N1881)="","—",INDEX(PCNotes,$N1881)),IF($O1881&lt;&gt;"",IF(INDEX(LdgNoteB,$O1881)="","—",INDEX(LdgNoteB,$O1881)),""))</f>
        <v/>
      </c>
      <c r="N1881">
        <f>IFERROR(MATCH($C$5&amp;"|"&amp;RIGHT("000000"&amp;1865,6),LdgRankKeyA,0),"")</f>
        <v/>
      </c>
      <c r="O1881">
        <f>IFERROR(MATCH($C$5&amp;"|"&amp;RIGHT("000000"&amp;1865,6),LdgRankKeyB,0),"")</f>
        <v/>
      </c>
    </row>
    <row r="1882">
      <c r="A1882" s="23" t="n">
        <v>1866</v>
      </c>
      <c r="B1882" s="24">
        <f>IF(AND($N1882="",$O1882=""),"",IF($N1882&lt;&gt;"",INDEX(PCNormDate,$N1882),INDEX(LdgDateB,$O1882)))</f>
        <v/>
      </c>
      <c r="C1882" s="24">
        <f>IF($N1882&lt;&gt;"",INDEX(PCOp,$N1882),IF($O1882&lt;&gt;"",IF(N(INDEX(TxnDepB,$O1882))&gt;0,"دریافت بانکی","پرداخت بانکی"),""))</f>
        <v/>
      </c>
      <c r="D1882" s="24">
        <f>IF($N1882&lt;&gt;"",IF(INDEX(PCDoc,$N1882)="","—",INDEX(PCDoc,$N1882)),IF($O1882&lt;&gt;"",INDEX(LdgBankB,$O1882),""))</f>
        <v/>
      </c>
      <c r="E1882" s="24">
        <f>IF($N1882&lt;&gt;"",IF(INDEX(PCCitrus,$N1882)="","—",INDEX(PCCitrus,$N1882)),"")</f>
        <v/>
      </c>
      <c r="F1882" s="25">
        <f>IF($N1882&lt;&gt;"",IF(INDEX(PCScale,$N1882)=0,"",INDEX(PCScale,$N1882)),"")</f>
        <v/>
      </c>
      <c r="G1882" s="25">
        <f>IF($N1882&lt;&gt;"",IF(INDEX(PCBaskets,$N1882)=0,"",INDEX(PCBaskets,$N1882)),"")</f>
        <v/>
      </c>
      <c r="H1882" s="26">
        <f>IF($N1882&lt;&gt;"",IF(INDEX(PCNet,$N1882)=0,"",INDEX(PCNet,$N1882)),"")</f>
        <v/>
      </c>
      <c r="I1882" s="25">
        <f>IF($N1882&lt;&gt;"",IF(INDEX(PCOp,$N1882)="مرجوعی خرید","",IF(INDEX(PCAmount,$N1882)&lt;=0,"",INDEX(PCAmount,$N1882))),IF($O1882&lt;&gt;"",IF(INDEX(TxnDepB,$O1882)=0,"",INDEX(TxnDepB,$O1882)),""))</f>
        <v/>
      </c>
      <c r="J1882" s="25">
        <f>IF($N1882&lt;&gt;"",IF(INDEX(PCOp,$N1882)="مرجوعی خرید",IF(INDEX(PCAmount,$N1882)=0,"",-INDEX(PCAmount,$N1882)),""),IF($O1882&lt;&gt;"",IF(INDEX(TxnWitB,$O1882)=0,"",INDEX(TxnWitB,$O1882)),""))</f>
        <v/>
      </c>
      <c r="K1882" s="27">
        <f>IF($B1882="","",IF($K1881="",$C$10,$K1881)+IF($I1882="",0,$I1882)-IF($J1882="",0,$J1882))</f>
        <v/>
      </c>
      <c r="L1882" s="28">
        <f>IF($N1882&lt;&gt;"",IF(INDEX(PCNotes,$N1882)="","—",INDEX(PCNotes,$N1882)),IF($O1882&lt;&gt;"",IF(INDEX(LdgNoteB,$O1882)="","—",INDEX(LdgNoteB,$O1882)),""))</f>
        <v/>
      </c>
      <c r="N1882">
        <f>IFERROR(MATCH($C$5&amp;"|"&amp;RIGHT("000000"&amp;1866,6),LdgRankKeyA,0),"")</f>
        <v/>
      </c>
      <c r="O1882">
        <f>IFERROR(MATCH($C$5&amp;"|"&amp;RIGHT("000000"&amp;1866,6),LdgRankKeyB,0),"")</f>
        <v/>
      </c>
    </row>
    <row r="1883">
      <c r="A1883" s="17" t="n">
        <v>1867</v>
      </c>
      <c r="B1883" s="18">
        <f>IF(AND($N1883="",$O1883=""),"",IF($N1883&lt;&gt;"",INDEX(PCNormDate,$N1883),INDEX(LdgDateB,$O1883)))</f>
        <v/>
      </c>
      <c r="C1883" s="18">
        <f>IF($N1883&lt;&gt;"",INDEX(PCOp,$N1883),IF($O1883&lt;&gt;"",IF(N(INDEX(TxnDepB,$O1883))&gt;0,"دریافت بانکی","پرداخت بانکی"),""))</f>
        <v/>
      </c>
      <c r="D1883" s="18">
        <f>IF($N1883&lt;&gt;"",IF(INDEX(PCDoc,$N1883)="","—",INDEX(PCDoc,$N1883)),IF($O1883&lt;&gt;"",INDEX(LdgBankB,$O1883),""))</f>
        <v/>
      </c>
      <c r="E1883" s="18">
        <f>IF($N1883&lt;&gt;"",IF(INDEX(PCCitrus,$N1883)="","—",INDEX(PCCitrus,$N1883)),"")</f>
        <v/>
      </c>
      <c r="F1883" s="19">
        <f>IF($N1883&lt;&gt;"",IF(INDEX(PCScale,$N1883)=0,"",INDEX(PCScale,$N1883)),"")</f>
        <v/>
      </c>
      <c r="G1883" s="19">
        <f>IF($N1883&lt;&gt;"",IF(INDEX(PCBaskets,$N1883)=0,"",INDEX(PCBaskets,$N1883)),"")</f>
        <v/>
      </c>
      <c r="H1883" s="20">
        <f>IF($N1883&lt;&gt;"",IF(INDEX(PCNet,$N1883)=0,"",INDEX(PCNet,$N1883)),"")</f>
        <v/>
      </c>
      <c r="I1883" s="19">
        <f>IF($N1883&lt;&gt;"",IF(INDEX(PCOp,$N1883)="مرجوعی خرید","",IF(INDEX(PCAmount,$N1883)&lt;=0,"",INDEX(PCAmount,$N1883))),IF($O1883&lt;&gt;"",IF(INDEX(TxnDepB,$O1883)=0,"",INDEX(TxnDepB,$O1883)),""))</f>
        <v/>
      </c>
      <c r="J1883" s="19">
        <f>IF($N1883&lt;&gt;"",IF(INDEX(PCOp,$N1883)="مرجوعی خرید",IF(INDEX(PCAmount,$N1883)=0,"",-INDEX(PCAmount,$N1883)),""),IF($O1883&lt;&gt;"",IF(INDEX(TxnWitB,$O1883)=0,"",INDEX(TxnWitB,$O1883)),""))</f>
        <v/>
      </c>
      <c r="K1883" s="21">
        <f>IF($B1883="","",IF($K1882="",$C$10,$K1882)+IF($I1883="",0,$I1883)-IF($J1883="",0,$J1883))</f>
        <v/>
      </c>
      <c r="L1883" s="22">
        <f>IF($N1883&lt;&gt;"",IF(INDEX(PCNotes,$N1883)="","—",INDEX(PCNotes,$N1883)),IF($O1883&lt;&gt;"",IF(INDEX(LdgNoteB,$O1883)="","—",INDEX(LdgNoteB,$O1883)),""))</f>
        <v/>
      </c>
      <c r="N1883">
        <f>IFERROR(MATCH($C$5&amp;"|"&amp;RIGHT("000000"&amp;1867,6),LdgRankKeyA,0),"")</f>
        <v/>
      </c>
      <c r="O1883">
        <f>IFERROR(MATCH($C$5&amp;"|"&amp;RIGHT("000000"&amp;1867,6),LdgRankKeyB,0),"")</f>
        <v/>
      </c>
    </row>
    <row r="1884">
      <c r="A1884" s="23" t="n">
        <v>1868</v>
      </c>
      <c r="B1884" s="24">
        <f>IF(AND($N1884="",$O1884=""),"",IF($N1884&lt;&gt;"",INDEX(PCNormDate,$N1884),INDEX(LdgDateB,$O1884)))</f>
        <v/>
      </c>
      <c r="C1884" s="24">
        <f>IF($N1884&lt;&gt;"",INDEX(PCOp,$N1884),IF($O1884&lt;&gt;"",IF(N(INDEX(TxnDepB,$O1884))&gt;0,"دریافت بانکی","پرداخت بانکی"),""))</f>
        <v/>
      </c>
      <c r="D1884" s="24">
        <f>IF($N1884&lt;&gt;"",IF(INDEX(PCDoc,$N1884)="","—",INDEX(PCDoc,$N1884)),IF($O1884&lt;&gt;"",INDEX(LdgBankB,$O1884),""))</f>
        <v/>
      </c>
      <c r="E1884" s="24">
        <f>IF($N1884&lt;&gt;"",IF(INDEX(PCCitrus,$N1884)="","—",INDEX(PCCitrus,$N1884)),"")</f>
        <v/>
      </c>
      <c r="F1884" s="25">
        <f>IF($N1884&lt;&gt;"",IF(INDEX(PCScale,$N1884)=0,"",INDEX(PCScale,$N1884)),"")</f>
        <v/>
      </c>
      <c r="G1884" s="25">
        <f>IF($N1884&lt;&gt;"",IF(INDEX(PCBaskets,$N1884)=0,"",INDEX(PCBaskets,$N1884)),"")</f>
        <v/>
      </c>
      <c r="H1884" s="26">
        <f>IF($N1884&lt;&gt;"",IF(INDEX(PCNet,$N1884)=0,"",INDEX(PCNet,$N1884)),"")</f>
        <v/>
      </c>
      <c r="I1884" s="25">
        <f>IF($N1884&lt;&gt;"",IF(INDEX(PCOp,$N1884)="مرجوعی خرید","",IF(INDEX(PCAmount,$N1884)&lt;=0,"",INDEX(PCAmount,$N1884))),IF($O1884&lt;&gt;"",IF(INDEX(TxnDepB,$O1884)=0,"",INDEX(TxnDepB,$O1884)),""))</f>
        <v/>
      </c>
      <c r="J1884" s="25">
        <f>IF($N1884&lt;&gt;"",IF(INDEX(PCOp,$N1884)="مرجوعی خرید",IF(INDEX(PCAmount,$N1884)=0,"",-INDEX(PCAmount,$N1884)),""),IF($O1884&lt;&gt;"",IF(INDEX(TxnWitB,$O1884)=0,"",INDEX(TxnWitB,$O1884)),""))</f>
        <v/>
      </c>
      <c r="K1884" s="27">
        <f>IF($B1884="","",IF($K1883="",$C$10,$K1883)+IF($I1884="",0,$I1884)-IF($J1884="",0,$J1884))</f>
        <v/>
      </c>
      <c r="L1884" s="28">
        <f>IF($N1884&lt;&gt;"",IF(INDEX(PCNotes,$N1884)="","—",INDEX(PCNotes,$N1884)),IF($O1884&lt;&gt;"",IF(INDEX(LdgNoteB,$O1884)="","—",INDEX(LdgNoteB,$O1884)),""))</f>
        <v/>
      </c>
      <c r="N1884">
        <f>IFERROR(MATCH($C$5&amp;"|"&amp;RIGHT("000000"&amp;1868,6),LdgRankKeyA,0),"")</f>
        <v/>
      </c>
      <c r="O1884">
        <f>IFERROR(MATCH($C$5&amp;"|"&amp;RIGHT("000000"&amp;1868,6),LdgRankKeyB,0),"")</f>
        <v/>
      </c>
    </row>
    <row r="1885">
      <c r="A1885" s="17" t="n">
        <v>1869</v>
      </c>
      <c r="B1885" s="18">
        <f>IF(AND($N1885="",$O1885=""),"",IF($N1885&lt;&gt;"",INDEX(PCNormDate,$N1885),INDEX(LdgDateB,$O1885)))</f>
        <v/>
      </c>
      <c r="C1885" s="18">
        <f>IF($N1885&lt;&gt;"",INDEX(PCOp,$N1885),IF($O1885&lt;&gt;"",IF(N(INDEX(TxnDepB,$O1885))&gt;0,"دریافت بانکی","پرداخت بانکی"),""))</f>
        <v/>
      </c>
      <c r="D1885" s="18">
        <f>IF($N1885&lt;&gt;"",IF(INDEX(PCDoc,$N1885)="","—",INDEX(PCDoc,$N1885)),IF($O1885&lt;&gt;"",INDEX(LdgBankB,$O1885),""))</f>
        <v/>
      </c>
      <c r="E1885" s="18">
        <f>IF($N1885&lt;&gt;"",IF(INDEX(PCCitrus,$N1885)="","—",INDEX(PCCitrus,$N1885)),"")</f>
        <v/>
      </c>
      <c r="F1885" s="19">
        <f>IF($N1885&lt;&gt;"",IF(INDEX(PCScale,$N1885)=0,"",INDEX(PCScale,$N1885)),"")</f>
        <v/>
      </c>
      <c r="G1885" s="19">
        <f>IF($N1885&lt;&gt;"",IF(INDEX(PCBaskets,$N1885)=0,"",INDEX(PCBaskets,$N1885)),"")</f>
        <v/>
      </c>
      <c r="H1885" s="20">
        <f>IF($N1885&lt;&gt;"",IF(INDEX(PCNet,$N1885)=0,"",INDEX(PCNet,$N1885)),"")</f>
        <v/>
      </c>
      <c r="I1885" s="19">
        <f>IF($N1885&lt;&gt;"",IF(INDEX(PCOp,$N1885)="مرجوعی خرید","",IF(INDEX(PCAmount,$N1885)&lt;=0,"",INDEX(PCAmount,$N1885))),IF($O1885&lt;&gt;"",IF(INDEX(TxnDepB,$O1885)=0,"",INDEX(TxnDepB,$O1885)),""))</f>
        <v/>
      </c>
      <c r="J1885" s="19">
        <f>IF($N1885&lt;&gt;"",IF(INDEX(PCOp,$N1885)="مرجوعی خرید",IF(INDEX(PCAmount,$N1885)=0,"",-INDEX(PCAmount,$N1885)),""),IF($O1885&lt;&gt;"",IF(INDEX(TxnWitB,$O1885)=0,"",INDEX(TxnWitB,$O1885)),""))</f>
        <v/>
      </c>
      <c r="K1885" s="21">
        <f>IF($B1885="","",IF($K1884="",$C$10,$K1884)+IF($I1885="",0,$I1885)-IF($J1885="",0,$J1885))</f>
        <v/>
      </c>
      <c r="L1885" s="22">
        <f>IF($N1885&lt;&gt;"",IF(INDEX(PCNotes,$N1885)="","—",INDEX(PCNotes,$N1885)),IF($O1885&lt;&gt;"",IF(INDEX(LdgNoteB,$O1885)="","—",INDEX(LdgNoteB,$O1885)),""))</f>
        <v/>
      </c>
      <c r="N1885">
        <f>IFERROR(MATCH($C$5&amp;"|"&amp;RIGHT("000000"&amp;1869,6),LdgRankKeyA,0),"")</f>
        <v/>
      </c>
      <c r="O1885">
        <f>IFERROR(MATCH($C$5&amp;"|"&amp;RIGHT("000000"&amp;1869,6),LdgRankKeyB,0),"")</f>
        <v/>
      </c>
    </row>
    <row r="1886">
      <c r="A1886" s="23" t="n">
        <v>1870</v>
      </c>
      <c r="B1886" s="24">
        <f>IF(AND($N1886="",$O1886=""),"",IF($N1886&lt;&gt;"",INDEX(PCNormDate,$N1886),INDEX(LdgDateB,$O1886)))</f>
        <v/>
      </c>
      <c r="C1886" s="24">
        <f>IF($N1886&lt;&gt;"",INDEX(PCOp,$N1886),IF($O1886&lt;&gt;"",IF(N(INDEX(TxnDepB,$O1886))&gt;0,"دریافت بانکی","پرداخت بانکی"),""))</f>
        <v/>
      </c>
      <c r="D1886" s="24">
        <f>IF($N1886&lt;&gt;"",IF(INDEX(PCDoc,$N1886)="","—",INDEX(PCDoc,$N1886)),IF($O1886&lt;&gt;"",INDEX(LdgBankB,$O1886),""))</f>
        <v/>
      </c>
      <c r="E1886" s="24">
        <f>IF($N1886&lt;&gt;"",IF(INDEX(PCCitrus,$N1886)="","—",INDEX(PCCitrus,$N1886)),"")</f>
        <v/>
      </c>
      <c r="F1886" s="25">
        <f>IF($N1886&lt;&gt;"",IF(INDEX(PCScale,$N1886)=0,"",INDEX(PCScale,$N1886)),"")</f>
        <v/>
      </c>
      <c r="G1886" s="25">
        <f>IF($N1886&lt;&gt;"",IF(INDEX(PCBaskets,$N1886)=0,"",INDEX(PCBaskets,$N1886)),"")</f>
        <v/>
      </c>
      <c r="H1886" s="26">
        <f>IF($N1886&lt;&gt;"",IF(INDEX(PCNet,$N1886)=0,"",INDEX(PCNet,$N1886)),"")</f>
        <v/>
      </c>
      <c r="I1886" s="25">
        <f>IF($N1886&lt;&gt;"",IF(INDEX(PCOp,$N1886)="مرجوعی خرید","",IF(INDEX(PCAmount,$N1886)&lt;=0,"",INDEX(PCAmount,$N1886))),IF($O1886&lt;&gt;"",IF(INDEX(TxnDepB,$O1886)=0,"",INDEX(TxnDepB,$O1886)),""))</f>
        <v/>
      </c>
      <c r="J1886" s="25">
        <f>IF($N1886&lt;&gt;"",IF(INDEX(PCOp,$N1886)="مرجوعی خرید",IF(INDEX(PCAmount,$N1886)=0,"",-INDEX(PCAmount,$N1886)),""),IF($O1886&lt;&gt;"",IF(INDEX(TxnWitB,$O1886)=0,"",INDEX(TxnWitB,$O1886)),""))</f>
        <v/>
      </c>
      <c r="K1886" s="27">
        <f>IF($B1886="","",IF($K1885="",$C$10,$K1885)+IF($I1886="",0,$I1886)-IF($J1886="",0,$J1886))</f>
        <v/>
      </c>
      <c r="L1886" s="28">
        <f>IF($N1886&lt;&gt;"",IF(INDEX(PCNotes,$N1886)="","—",INDEX(PCNotes,$N1886)),IF($O1886&lt;&gt;"",IF(INDEX(LdgNoteB,$O1886)="","—",INDEX(LdgNoteB,$O1886)),""))</f>
        <v/>
      </c>
      <c r="N1886">
        <f>IFERROR(MATCH($C$5&amp;"|"&amp;RIGHT("000000"&amp;1870,6),LdgRankKeyA,0),"")</f>
        <v/>
      </c>
      <c r="O1886">
        <f>IFERROR(MATCH($C$5&amp;"|"&amp;RIGHT("000000"&amp;1870,6),LdgRankKeyB,0),"")</f>
        <v/>
      </c>
    </row>
    <row r="1887">
      <c r="A1887" s="17" t="n">
        <v>1871</v>
      </c>
      <c r="B1887" s="18">
        <f>IF(AND($N1887="",$O1887=""),"",IF($N1887&lt;&gt;"",INDEX(PCNormDate,$N1887),INDEX(LdgDateB,$O1887)))</f>
        <v/>
      </c>
      <c r="C1887" s="18">
        <f>IF($N1887&lt;&gt;"",INDEX(PCOp,$N1887),IF($O1887&lt;&gt;"",IF(N(INDEX(TxnDepB,$O1887))&gt;0,"دریافت بانکی","پرداخت بانکی"),""))</f>
        <v/>
      </c>
      <c r="D1887" s="18">
        <f>IF($N1887&lt;&gt;"",IF(INDEX(PCDoc,$N1887)="","—",INDEX(PCDoc,$N1887)),IF($O1887&lt;&gt;"",INDEX(LdgBankB,$O1887),""))</f>
        <v/>
      </c>
      <c r="E1887" s="18">
        <f>IF($N1887&lt;&gt;"",IF(INDEX(PCCitrus,$N1887)="","—",INDEX(PCCitrus,$N1887)),"")</f>
        <v/>
      </c>
      <c r="F1887" s="19">
        <f>IF($N1887&lt;&gt;"",IF(INDEX(PCScale,$N1887)=0,"",INDEX(PCScale,$N1887)),"")</f>
        <v/>
      </c>
      <c r="G1887" s="19">
        <f>IF($N1887&lt;&gt;"",IF(INDEX(PCBaskets,$N1887)=0,"",INDEX(PCBaskets,$N1887)),"")</f>
        <v/>
      </c>
      <c r="H1887" s="20">
        <f>IF($N1887&lt;&gt;"",IF(INDEX(PCNet,$N1887)=0,"",INDEX(PCNet,$N1887)),"")</f>
        <v/>
      </c>
      <c r="I1887" s="19">
        <f>IF($N1887&lt;&gt;"",IF(INDEX(PCOp,$N1887)="مرجوعی خرید","",IF(INDEX(PCAmount,$N1887)&lt;=0,"",INDEX(PCAmount,$N1887))),IF($O1887&lt;&gt;"",IF(INDEX(TxnDepB,$O1887)=0,"",INDEX(TxnDepB,$O1887)),""))</f>
        <v/>
      </c>
      <c r="J1887" s="19">
        <f>IF($N1887&lt;&gt;"",IF(INDEX(PCOp,$N1887)="مرجوعی خرید",IF(INDEX(PCAmount,$N1887)=0,"",-INDEX(PCAmount,$N1887)),""),IF($O1887&lt;&gt;"",IF(INDEX(TxnWitB,$O1887)=0,"",INDEX(TxnWitB,$O1887)),""))</f>
        <v/>
      </c>
      <c r="K1887" s="21">
        <f>IF($B1887="","",IF($K1886="",$C$10,$K1886)+IF($I1887="",0,$I1887)-IF($J1887="",0,$J1887))</f>
        <v/>
      </c>
      <c r="L1887" s="22">
        <f>IF($N1887&lt;&gt;"",IF(INDEX(PCNotes,$N1887)="","—",INDEX(PCNotes,$N1887)),IF($O1887&lt;&gt;"",IF(INDEX(LdgNoteB,$O1887)="","—",INDEX(LdgNoteB,$O1887)),""))</f>
        <v/>
      </c>
      <c r="N1887">
        <f>IFERROR(MATCH($C$5&amp;"|"&amp;RIGHT("000000"&amp;1871,6),LdgRankKeyA,0),"")</f>
        <v/>
      </c>
      <c r="O1887">
        <f>IFERROR(MATCH($C$5&amp;"|"&amp;RIGHT("000000"&amp;1871,6),LdgRankKeyB,0),"")</f>
        <v/>
      </c>
    </row>
    <row r="1888">
      <c r="A1888" s="23" t="n">
        <v>1872</v>
      </c>
      <c r="B1888" s="24">
        <f>IF(AND($N1888="",$O1888=""),"",IF($N1888&lt;&gt;"",INDEX(PCNormDate,$N1888),INDEX(LdgDateB,$O1888)))</f>
        <v/>
      </c>
      <c r="C1888" s="24">
        <f>IF($N1888&lt;&gt;"",INDEX(PCOp,$N1888),IF($O1888&lt;&gt;"",IF(N(INDEX(TxnDepB,$O1888))&gt;0,"دریافت بانکی","پرداخت بانکی"),""))</f>
        <v/>
      </c>
      <c r="D1888" s="24">
        <f>IF($N1888&lt;&gt;"",IF(INDEX(PCDoc,$N1888)="","—",INDEX(PCDoc,$N1888)),IF($O1888&lt;&gt;"",INDEX(LdgBankB,$O1888),""))</f>
        <v/>
      </c>
      <c r="E1888" s="24">
        <f>IF($N1888&lt;&gt;"",IF(INDEX(PCCitrus,$N1888)="","—",INDEX(PCCitrus,$N1888)),"")</f>
        <v/>
      </c>
      <c r="F1888" s="25">
        <f>IF($N1888&lt;&gt;"",IF(INDEX(PCScale,$N1888)=0,"",INDEX(PCScale,$N1888)),"")</f>
        <v/>
      </c>
      <c r="G1888" s="25">
        <f>IF($N1888&lt;&gt;"",IF(INDEX(PCBaskets,$N1888)=0,"",INDEX(PCBaskets,$N1888)),"")</f>
        <v/>
      </c>
      <c r="H1888" s="26">
        <f>IF($N1888&lt;&gt;"",IF(INDEX(PCNet,$N1888)=0,"",INDEX(PCNet,$N1888)),"")</f>
        <v/>
      </c>
      <c r="I1888" s="25">
        <f>IF($N1888&lt;&gt;"",IF(INDEX(PCOp,$N1888)="مرجوعی خرید","",IF(INDEX(PCAmount,$N1888)&lt;=0,"",INDEX(PCAmount,$N1888))),IF($O1888&lt;&gt;"",IF(INDEX(TxnDepB,$O1888)=0,"",INDEX(TxnDepB,$O1888)),""))</f>
        <v/>
      </c>
      <c r="J1888" s="25">
        <f>IF($N1888&lt;&gt;"",IF(INDEX(PCOp,$N1888)="مرجوعی خرید",IF(INDEX(PCAmount,$N1888)=0,"",-INDEX(PCAmount,$N1888)),""),IF($O1888&lt;&gt;"",IF(INDEX(TxnWitB,$O1888)=0,"",INDEX(TxnWitB,$O1888)),""))</f>
        <v/>
      </c>
      <c r="K1888" s="27">
        <f>IF($B1888="","",IF($K1887="",$C$10,$K1887)+IF($I1888="",0,$I1888)-IF($J1888="",0,$J1888))</f>
        <v/>
      </c>
      <c r="L1888" s="28">
        <f>IF($N1888&lt;&gt;"",IF(INDEX(PCNotes,$N1888)="","—",INDEX(PCNotes,$N1888)),IF($O1888&lt;&gt;"",IF(INDEX(LdgNoteB,$O1888)="","—",INDEX(LdgNoteB,$O1888)),""))</f>
        <v/>
      </c>
      <c r="N1888">
        <f>IFERROR(MATCH($C$5&amp;"|"&amp;RIGHT("000000"&amp;1872,6),LdgRankKeyA,0),"")</f>
        <v/>
      </c>
      <c r="O1888">
        <f>IFERROR(MATCH($C$5&amp;"|"&amp;RIGHT("000000"&amp;1872,6),LdgRankKeyB,0),"")</f>
        <v/>
      </c>
    </row>
    <row r="1889">
      <c r="A1889" s="17" t="n">
        <v>1873</v>
      </c>
      <c r="B1889" s="18">
        <f>IF(AND($N1889="",$O1889=""),"",IF($N1889&lt;&gt;"",INDEX(PCNormDate,$N1889),INDEX(LdgDateB,$O1889)))</f>
        <v/>
      </c>
      <c r="C1889" s="18">
        <f>IF($N1889&lt;&gt;"",INDEX(PCOp,$N1889),IF($O1889&lt;&gt;"",IF(N(INDEX(TxnDepB,$O1889))&gt;0,"دریافت بانکی","پرداخت بانکی"),""))</f>
        <v/>
      </c>
      <c r="D1889" s="18">
        <f>IF($N1889&lt;&gt;"",IF(INDEX(PCDoc,$N1889)="","—",INDEX(PCDoc,$N1889)),IF($O1889&lt;&gt;"",INDEX(LdgBankB,$O1889),""))</f>
        <v/>
      </c>
      <c r="E1889" s="18">
        <f>IF($N1889&lt;&gt;"",IF(INDEX(PCCitrus,$N1889)="","—",INDEX(PCCitrus,$N1889)),"")</f>
        <v/>
      </c>
      <c r="F1889" s="19">
        <f>IF($N1889&lt;&gt;"",IF(INDEX(PCScale,$N1889)=0,"",INDEX(PCScale,$N1889)),"")</f>
        <v/>
      </c>
      <c r="G1889" s="19">
        <f>IF($N1889&lt;&gt;"",IF(INDEX(PCBaskets,$N1889)=0,"",INDEX(PCBaskets,$N1889)),"")</f>
        <v/>
      </c>
      <c r="H1889" s="20">
        <f>IF($N1889&lt;&gt;"",IF(INDEX(PCNet,$N1889)=0,"",INDEX(PCNet,$N1889)),"")</f>
        <v/>
      </c>
      <c r="I1889" s="19">
        <f>IF($N1889&lt;&gt;"",IF(INDEX(PCOp,$N1889)="مرجوعی خرید","",IF(INDEX(PCAmount,$N1889)&lt;=0,"",INDEX(PCAmount,$N1889))),IF($O1889&lt;&gt;"",IF(INDEX(TxnDepB,$O1889)=0,"",INDEX(TxnDepB,$O1889)),""))</f>
        <v/>
      </c>
      <c r="J1889" s="19">
        <f>IF($N1889&lt;&gt;"",IF(INDEX(PCOp,$N1889)="مرجوعی خرید",IF(INDEX(PCAmount,$N1889)=0,"",-INDEX(PCAmount,$N1889)),""),IF($O1889&lt;&gt;"",IF(INDEX(TxnWitB,$O1889)=0,"",INDEX(TxnWitB,$O1889)),""))</f>
        <v/>
      </c>
      <c r="K1889" s="21">
        <f>IF($B1889="","",IF($K1888="",$C$10,$K1888)+IF($I1889="",0,$I1889)-IF($J1889="",0,$J1889))</f>
        <v/>
      </c>
      <c r="L1889" s="22">
        <f>IF($N1889&lt;&gt;"",IF(INDEX(PCNotes,$N1889)="","—",INDEX(PCNotes,$N1889)),IF($O1889&lt;&gt;"",IF(INDEX(LdgNoteB,$O1889)="","—",INDEX(LdgNoteB,$O1889)),""))</f>
        <v/>
      </c>
      <c r="N1889">
        <f>IFERROR(MATCH($C$5&amp;"|"&amp;RIGHT("000000"&amp;1873,6),LdgRankKeyA,0),"")</f>
        <v/>
      </c>
      <c r="O1889">
        <f>IFERROR(MATCH($C$5&amp;"|"&amp;RIGHT("000000"&amp;1873,6),LdgRankKeyB,0),"")</f>
        <v/>
      </c>
    </row>
    <row r="1890">
      <c r="A1890" s="23" t="n">
        <v>1874</v>
      </c>
      <c r="B1890" s="24">
        <f>IF(AND($N1890="",$O1890=""),"",IF($N1890&lt;&gt;"",INDEX(PCNormDate,$N1890),INDEX(LdgDateB,$O1890)))</f>
        <v/>
      </c>
      <c r="C1890" s="24">
        <f>IF($N1890&lt;&gt;"",INDEX(PCOp,$N1890),IF($O1890&lt;&gt;"",IF(N(INDEX(TxnDepB,$O1890))&gt;0,"دریافت بانکی","پرداخت بانکی"),""))</f>
        <v/>
      </c>
      <c r="D1890" s="24">
        <f>IF($N1890&lt;&gt;"",IF(INDEX(PCDoc,$N1890)="","—",INDEX(PCDoc,$N1890)),IF($O1890&lt;&gt;"",INDEX(LdgBankB,$O1890),""))</f>
        <v/>
      </c>
      <c r="E1890" s="24">
        <f>IF($N1890&lt;&gt;"",IF(INDEX(PCCitrus,$N1890)="","—",INDEX(PCCitrus,$N1890)),"")</f>
        <v/>
      </c>
      <c r="F1890" s="25">
        <f>IF($N1890&lt;&gt;"",IF(INDEX(PCScale,$N1890)=0,"",INDEX(PCScale,$N1890)),"")</f>
        <v/>
      </c>
      <c r="G1890" s="25">
        <f>IF($N1890&lt;&gt;"",IF(INDEX(PCBaskets,$N1890)=0,"",INDEX(PCBaskets,$N1890)),"")</f>
        <v/>
      </c>
      <c r="H1890" s="26">
        <f>IF($N1890&lt;&gt;"",IF(INDEX(PCNet,$N1890)=0,"",INDEX(PCNet,$N1890)),"")</f>
        <v/>
      </c>
      <c r="I1890" s="25">
        <f>IF($N1890&lt;&gt;"",IF(INDEX(PCOp,$N1890)="مرجوعی خرید","",IF(INDEX(PCAmount,$N1890)&lt;=0,"",INDEX(PCAmount,$N1890))),IF($O1890&lt;&gt;"",IF(INDEX(TxnDepB,$O1890)=0,"",INDEX(TxnDepB,$O1890)),""))</f>
        <v/>
      </c>
      <c r="J1890" s="25">
        <f>IF($N1890&lt;&gt;"",IF(INDEX(PCOp,$N1890)="مرجوعی خرید",IF(INDEX(PCAmount,$N1890)=0,"",-INDEX(PCAmount,$N1890)),""),IF($O1890&lt;&gt;"",IF(INDEX(TxnWitB,$O1890)=0,"",INDEX(TxnWitB,$O1890)),""))</f>
        <v/>
      </c>
      <c r="K1890" s="27">
        <f>IF($B1890="","",IF($K1889="",$C$10,$K1889)+IF($I1890="",0,$I1890)-IF($J1890="",0,$J1890))</f>
        <v/>
      </c>
      <c r="L1890" s="28">
        <f>IF($N1890&lt;&gt;"",IF(INDEX(PCNotes,$N1890)="","—",INDEX(PCNotes,$N1890)),IF($O1890&lt;&gt;"",IF(INDEX(LdgNoteB,$O1890)="","—",INDEX(LdgNoteB,$O1890)),""))</f>
        <v/>
      </c>
      <c r="N1890">
        <f>IFERROR(MATCH($C$5&amp;"|"&amp;RIGHT("000000"&amp;1874,6),LdgRankKeyA,0),"")</f>
        <v/>
      </c>
      <c r="O1890">
        <f>IFERROR(MATCH($C$5&amp;"|"&amp;RIGHT("000000"&amp;1874,6),LdgRankKeyB,0),"")</f>
        <v/>
      </c>
    </row>
    <row r="1891">
      <c r="A1891" s="17" t="n">
        <v>1875</v>
      </c>
      <c r="B1891" s="18">
        <f>IF(AND($N1891="",$O1891=""),"",IF($N1891&lt;&gt;"",INDEX(PCNormDate,$N1891),INDEX(LdgDateB,$O1891)))</f>
        <v/>
      </c>
      <c r="C1891" s="18">
        <f>IF($N1891&lt;&gt;"",INDEX(PCOp,$N1891),IF($O1891&lt;&gt;"",IF(N(INDEX(TxnDepB,$O1891))&gt;0,"دریافت بانکی","پرداخت بانکی"),""))</f>
        <v/>
      </c>
      <c r="D1891" s="18">
        <f>IF($N1891&lt;&gt;"",IF(INDEX(PCDoc,$N1891)="","—",INDEX(PCDoc,$N1891)),IF($O1891&lt;&gt;"",INDEX(LdgBankB,$O1891),""))</f>
        <v/>
      </c>
      <c r="E1891" s="18">
        <f>IF($N1891&lt;&gt;"",IF(INDEX(PCCitrus,$N1891)="","—",INDEX(PCCitrus,$N1891)),"")</f>
        <v/>
      </c>
      <c r="F1891" s="19">
        <f>IF($N1891&lt;&gt;"",IF(INDEX(PCScale,$N1891)=0,"",INDEX(PCScale,$N1891)),"")</f>
        <v/>
      </c>
      <c r="G1891" s="19">
        <f>IF($N1891&lt;&gt;"",IF(INDEX(PCBaskets,$N1891)=0,"",INDEX(PCBaskets,$N1891)),"")</f>
        <v/>
      </c>
      <c r="H1891" s="20">
        <f>IF($N1891&lt;&gt;"",IF(INDEX(PCNet,$N1891)=0,"",INDEX(PCNet,$N1891)),"")</f>
        <v/>
      </c>
      <c r="I1891" s="19">
        <f>IF($N1891&lt;&gt;"",IF(INDEX(PCOp,$N1891)="مرجوعی خرید","",IF(INDEX(PCAmount,$N1891)&lt;=0,"",INDEX(PCAmount,$N1891))),IF($O1891&lt;&gt;"",IF(INDEX(TxnDepB,$O1891)=0,"",INDEX(TxnDepB,$O1891)),""))</f>
        <v/>
      </c>
      <c r="J1891" s="19">
        <f>IF($N1891&lt;&gt;"",IF(INDEX(PCOp,$N1891)="مرجوعی خرید",IF(INDEX(PCAmount,$N1891)=0,"",-INDEX(PCAmount,$N1891)),""),IF($O1891&lt;&gt;"",IF(INDEX(TxnWitB,$O1891)=0,"",INDEX(TxnWitB,$O1891)),""))</f>
        <v/>
      </c>
      <c r="K1891" s="21">
        <f>IF($B1891="","",IF($K1890="",$C$10,$K1890)+IF($I1891="",0,$I1891)-IF($J1891="",0,$J1891))</f>
        <v/>
      </c>
      <c r="L1891" s="22">
        <f>IF($N1891&lt;&gt;"",IF(INDEX(PCNotes,$N1891)="","—",INDEX(PCNotes,$N1891)),IF($O1891&lt;&gt;"",IF(INDEX(LdgNoteB,$O1891)="","—",INDEX(LdgNoteB,$O1891)),""))</f>
        <v/>
      </c>
      <c r="N1891">
        <f>IFERROR(MATCH($C$5&amp;"|"&amp;RIGHT("000000"&amp;1875,6),LdgRankKeyA,0),"")</f>
        <v/>
      </c>
      <c r="O1891">
        <f>IFERROR(MATCH($C$5&amp;"|"&amp;RIGHT("000000"&amp;1875,6),LdgRankKeyB,0),"")</f>
        <v/>
      </c>
    </row>
    <row r="1892">
      <c r="A1892" s="23" t="n">
        <v>1876</v>
      </c>
      <c r="B1892" s="24">
        <f>IF(AND($N1892="",$O1892=""),"",IF($N1892&lt;&gt;"",INDEX(PCNormDate,$N1892),INDEX(LdgDateB,$O1892)))</f>
        <v/>
      </c>
      <c r="C1892" s="24">
        <f>IF($N1892&lt;&gt;"",INDEX(PCOp,$N1892),IF($O1892&lt;&gt;"",IF(N(INDEX(TxnDepB,$O1892))&gt;0,"دریافت بانکی","پرداخت بانکی"),""))</f>
        <v/>
      </c>
      <c r="D1892" s="24">
        <f>IF($N1892&lt;&gt;"",IF(INDEX(PCDoc,$N1892)="","—",INDEX(PCDoc,$N1892)),IF($O1892&lt;&gt;"",INDEX(LdgBankB,$O1892),""))</f>
        <v/>
      </c>
      <c r="E1892" s="24">
        <f>IF($N1892&lt;&gt;"",IF(INDEX(PCCitrus,$N1892)="","—",INDEX(PCCitrus,$N1892)),"")</f>
        <v/>
      </c>
      <c r="F1892" s="25">
        <f>IF($N1892&lt;&gt;"",IF(INDEX(PCScale,$N1892)=0,"",INDEX(PCScale,$N1892)),"")</f>
        <v/>
      </c>
      <c r="G1892" s="25">
        <f>IF($N1892&lt;&gt;"",IF(INDEX(PCBaskets,$N1892)=0,"",INDEX(PCBaskets,$N1892)),"")</f>
        <v/>
      </c>
      <c r="H1892" s="26">
        <f>IF($N1892&lt;&gt;"",IF(INDEX(PCNet,$N1892)=0,"",INDEX(PCNet,$N1892)),"")</f>
        <v/>
      </c>
      <c r="I1892" s="25">
        <f>IF($N1892&lt;&gt;"",IF(INDEX(PCOp,$N1892)="مرجوعی خرید","",IF(INDEX(PCAmount,$N1892)&lt;=0,"",INDEX(PCAmount,$N1892))),IF($O1892&lt;&gt;"",IF(INDEX(TxnDepB,$O1892)=0,"",INDEX(TxnDepB,$O1892)),""))</f>
        <v/>
      </c>
      <c r="J1892" s="25">
        <f>IF($N1892&lt;&gt;"",IF(INDEX(PCOp,$N1892)="مرجوعی خرید",IF(INDEX(PCAmount,$N1892)=0,"",-INDEX(PCAmount,$N1892)),""),IF($O1892&lt;&gt;"",IF(INDEX(TxnWitB,$O1892)=0,"",INDEX(TxnWitB,$O1892)),""))</f>
        <v/>
      </c>
      <c r="K1892" s="27">
        <f>IF($B1892="","",IF($K1891="",$C$10,$K1891)+IF($I1892="",0,$I1892)-IF($J1892="",0,$J1892))</f>
        <v/>
      </c>
      <c r="L1892" s="28">
        <f>IF($N1892&lt;&gt;"",IF(INDEX(PCNotes,$N1892)="","—",INDEX(PCNotes,$N1892)),IF($O1892&lt;&gt;"",IF(INDEX(LdgNoteB,$O1892)="","—",INDEX(LdgNoteB,$O1892)),""))</f>
        <v/>
      </c>
      <c r="N1892">
        <f>IFERROR(MATCH($C$5&amp;"|"&amp;RIGHT("000000"&amp;1876,6),LdgRankKeyA,0),"")</f>
        <v/>
      </c>
      <c r="O1892">
        <f>IFERROR(MATCH($C$5&amp;"|"&amp;RIGHT("000000"&amp;1876,6),LdgRankKeyB,0),"")</f>
        <v/>
      </c>
    </row>
    <row r="1893">
      <c r="A1893" s="17" t="n">
        <v>1877</v>
      </c>
      <c r="B1893" s="18">
        <f>IF(AND($N1893="",$O1893=""),"",IF($N1893&lt;&gt;"",INDEX(PCNormDate,$N1893),INDEX(LdgDateB,$O1893)))</f>
        <v/>
      </c>
      <c r="C1893" s="18">
        <f>IF($N1893&lt;&gt;"",INDEX(PCOp,$N1893),IF($O1893&lt;&gt;"",IF(N(INDEX(TxnDepB,$O1893))&gt;0,"دریافت بانکی","پرداخت بانکی"),""))</f>
        <v/>
      </c>
      <c r="D1893" s="18">
        <f>IF($N1893&lt;&gt;"",IF(INDEX(PCDoc,$N1893)="","—",INDEX(PCDoc,$N1893)),IF($O1893&lt;&gt;"",INDEX(LdgBankB,$O1893),""))</f>
        <v/>
      </c>
      <c r="E1893" s="18">
        <f>IF($N1893&lt;&gt;"",IF(INDEX(PCCitrus,$N1893)="","—",INDEX(PCCitrus,$N1893)),"")</f>
        <v/>
      </c>
      <c r="F1893" s="19">
        <f>IF($N1893&lt;&gt;"",IF(INDEX(PCScale,$N1893)=0,"",INDEX(PCScale,$N1893)),"")</f>
        <v/>
      </c>
      <c r="G1893" s="19">
        <f>IF($N1893&lt;&gt;"",IF(INDEX(PCBaskets,$N1893)=0,"",INDEX(PCBaskets,$N1893)),"")</f>
        <v/>
      </c>
      <c r="H1893" s="20">
        <f>IF($N1893&lt;&gt;"",IF(INDEX(PCNet,$N1893)=0,"",INDEX(PCNet,$N1893)),"")</f>
        <v/>
      </c>
      <c r="I1893" s="19">
        <f>IF($N1893&lt;&gt;"",IF(INDEX(PCOp,$N1893)="مرجوعی خرید","",IF(INDEX(PCAmount,$N1893)&lt;=0,"",INDEX(PCAmount,$N1893))),IF($O1893&lt;&gt;"",IF(INDEX(TxnDepB,$O1893)=0,"",INDEX(TxnDepB,$O1893)),""))</f>
        <v/>
      </c>
      <c r="J1893" s="19">
        <f>IF($N1893&lt;&gt;"",IF(INDEX(PCOp,$N1893)="مرجوعی خرید",IF(INDEX(PCAmount,$N1893)=0,"",-INDEX(PCAmount,$N1893)),""),IF($O1893&lt;&gt;"",IF(INDEX(TxnWitB,$O1893)=0,"",INDEX(TxnWitB,$O1893)),""))</f>
        <v/>
      </c>
      <c r="K1893" s="21">
        <f>IF($B1893="","",IF($K1892="",$C$10,$K1892)+IF($I1893="",0,$I1893)-IF($J1893="",0,$J1893))</f>
        <v/>
      </c>
      <c r="L1893" s="22">
        <f>IF($N1893&lt;&gt;"",IF(INDEX(PCNotes,$N1893)="","—",INDEX(PCNotes,$N1893)),IF($O1893&lt;&gt;"",IF(INDEX(LdgNoteB,$O1893)="","—",INDEX(LdgNoteB,$O1893)),""))</f>
        <v/>
      </c>
      <c r="N1893">
        <f>IFERROR(MATCH($C$5&amp;"|"&amp;RIGHT("000000"&amp;1877,6),LdgRankKeyA,0),"")</f>
        <v/>
      </c>
      <c r="O1893">
        <f>IFERROR(MATCH($C$5&amp;"|"&amp;RIGHT("000000"&amp;1877,6),LdgRankKeyB,0),"")</f>
        <v/>
      </c>
    </row>
    <row r="1894">
      <c r="A1894" s="23" t="n">
        <v>1878</v>
      </c>
      <c r="B1894" s="24">
        <f>IF(AND($N1894="",$O1894=""),"",IF($N1894&lt;&gt;"",INDEX(PCNormDate,$N1894),INDEX(LdgDateB,$O1894)))</f>
        <v/>
      </c>
      <c r="C1894" s="24">
        <f>IF($N1894&lt;&gt;"",INDEX(PCOp,$N1894),IF($O1894&lt;&gt;"",IF(N(INDEX(TxnDepB,$O1894))&gt;0,"دریافت بانکی","پرداخت بانکی"),""))</f>
        <v/>
      </c>
      <c r="D1894" s="24">
        <f>IF($N1894&lt;&gt;"",IF(INDEX(PCDoc,$N1894)="","—",INDEX(PCDoc,$N1894)),IF($O1894&lt;&gt;"",INDEX(LdgBankB,$O1894),""))</f>
        <v/>
      </c>
      <c r="E1894" s="24">
        <f>IF($N1894&lt;&gt;"",IF(INDEX(PCCitrus,$N1894)="","—",INDEX(PCCitrus,$N1894)),"")</f>
        <v/>
      </c>
      <c r="F1894" s="25">
        <f>IF($N1894&lt;&gt;"",IF(INDEX(PCScale,$N1894)=0,"",INDEX(PCScale,$N1894)),"")</f>
        <v/>
      </c>
      <c r="G1894" s="25">
        <f>IF($N1894&lt;&gt;"",IF(INDEX(PCBaskets,$N1894)=0,"",INDEX(PCBaskets,$N1894)),"")</f>
        <v/>
      </c>
      <c r="H1894" s="26">
        <f>IF($N1894&lt;&gt;"",IF(INDEX(PCNet,$N1894)=0,"",INDEX(PCNet,$N1894)),"")</f>
        <v/>
      </c>
      <c r="I1894" s="25">
        <f>IF($N1894&lt;&gt;"",IF(INDEX(PCOp,$N1894)="مرجوعی خرید","",IF(INDEX(PCAmount,$N1894)&lt;=0,"",INDEX(PCAmount,$N1894))),IF($O1894&lt;&gt;"",IF(INDEX(TxnDepB,$O1894)=0,"",INDEX(TxnDepB,$O1894)),""))</f>
        <v/>
      </c>
      <c r="J1894" s="25">
        <f>IF($N1894&lt;&gt;"",IF(INDEX(PCOp,$N1894)="مرجوعی خرید",IF(INDEX(PCAmount,$N1894)=0,"",-INDEX(PCAmount,$N1894)),""),IF($O1894&lt;&gt;"",IF(INDEX(TxnWitB,$O1894)=0,"",INDEX(TxnWitB,$O1894)),""))</f>
        <v/>
      </c>
      <c r="K1894" s="27">
        <f>IF($B1894="","",IF($K1893="",$C$10,$K1893)+IF($I1894="",0,$I1894)-IF($J1894="",0,$J1894))</f>
        <v/>
      </c>
      <c r="L1894" s="28">
        <f>IF($N1894&lt;&gt;"",IF(INDEX(PCNotes,$N1894)="","—",INDEX(PCNotes,$N1894)),IF($O1894&lt;&gt;"",IF(INDEX(LdgNoteB,$O1894)="","—",INDEX(LdgNoteB,$O1894)),""))</f>
        <v/>
      </c>
      <c r="N1894">
        <f>IFERROR(MATCH($C$5&amp;"|"&amp;RIGHT("000000"&amp;1878,6),LdgRankKeyA,0),"")</f>
        <v/>
      </c>
      <c r="O1894">
        <f>IFERROR(MATCH($C$5&amp;"|"&amp;RIGHT("000000"&amp;1878,6),LdgRankKeyB,0),"")</f>
        <v/>
      </c>
    </row>
    <row r="1895">
      <c r="A1895" s="17" t="n">
        <v>1879</v>
      </c>
      <c r="B1895" s="18">
        <f>IF(AND($N1895="",$O1895=""),"",IF($N1895&lt;&gt;"",INDEX(PCNormDate,$N1895),INDEX(LdgDateB,$O1895)))</f>
        <v/>
      </c>
      <c r="C1895" s="18">
        <f>IF($N1895&lt;&gt;"",INDEX(PCOp,$N1895),IF($O1895&lt;&gt;"",IF(N(INDEX(TxnDepB,$O1895))&gt;0,"دریافت بانکی","پرداخت بانکی"),""))</f>
        <v/>
      </c>
      <c r="D1895" s="18">
        <f>IF($N1895&lt;&gt;"",IF(INDEX(PCDoc,$N1895)="","—",INDEX(PCDoc,$N1895)),IF($O1895&lt;&gt;"",INDEX(LdgBankB,$O1895),""))</f>
        <v/>
      </c>
      <c r="E1895" s="18">
        <f>IF($N1895&lt;&gt;"",IF(INDEX(PCCitrus,$N1895)="","—",INDEX(PCCitrus,$N1895)),"")</f>
        <v/>
      </c>
      <c r="F1895" s="19">
        <f>IF($N1895&lt;&gt;"",IF(INDEX(PCScale,$N1895)=0,"",INDEX(PCScale,$N1895)),"")</f>
        <v/>
      </c>
      <c r="G1895" s="19">
        <f>IF($N1895&lt;&gt;"",IF(INDEX(PCBaskets,$N1895)=0,"",INDEX(PCBaskets,$N1895)),"")</f>
        <v/>
      </c>
      <c r="H1895" s="20">
        <f>IF($N1895&lt;&gt;"",IF(INDEX(PCNet,$N1895)=0,"",INDEX(PCNet,$N1895)),"")</f>
        <v/>
      </c>
      <c r="I1895" s="19">
        <f>IF($N1895&lt;&gt;"",IF(INDEX(PCOp,$N1895)="مرجوعی خرید","",IF(INDEX(PCAmount,$N1895)&lt;=0,"",INDEX(PCAmount,$N1895))),IF($O1895&lt;&gt;"",IF(INDEX(TxnDepB,$O1895)=0,"",INDEX(TxnDepB,$O1895)),""))</f>
        <v/>
      </c>
      <c r="J1895" s="19">
        <f>IF($N1895&lt;&gt;"",IF(INDEX(PCOp,$N1895)="مرجوعی خرید",IF(INDEX(PCAmount,$N1895)=0,"",-INDEX(PCAmount,$N1895)),""),IF($O1895&lt;&gt;"",IF(INDEX(TxnWitB,$O1895)=0,"",INDEX(TxnWitB,$O1895)),""))</f>
        <v/>
      </c>
      <c r="K1895" s="21">
        <f>IF($B1895="","",IF($K1894="",$C$10,$K1894)+IF($I1895="",0,$I1895)-IF($J1895="",0,$J1895))</f>
        <v/>
      </c>
      <c r="L1895" s="22">
        <f>IF($N1895&lt;&gt;"",IF(INDEX(PCNotes,$N1895)="","—",INDEX(PCNotes,$N1895)),IF($O1895&lt;&gt;"",IF(INDEX(LdgNoteB,$O1895)="","—",INDEX(LdgNoteB,$O1895)),""))</f>
        <v/>
      </c>
      <c r="N1895">
        <f>IFERROR(MATCH($C$5&amp;"|"&amp;RIGHT("000000"&amp;1879,6),LdgRankKeyA,0),"")</f>
        <v/>
      </c>
      <c r="O1895">
        <f>IFERROR(MATCH($C$5&amp;"|"&amp;RIGHT("000000"&amp;1879,6),LdgRankKeyB,0),"")</f>
        <v/>
      </c>
    </row>
    <row r="1896">
      <c r="A1896" s="23" t="n">
        <v>1880</v>
      </c>
      <c r="B1896" s="24">
        <f>IF(AND($N1896="",$O1896=""),"",IF($N1896&lt;&gt;"",INDEX(PCNormDate,$N1896),INDEX(LdgDateB,$O1896)))</f>
        <v/>
      </c>
      <c r="C1896" s="24">
        <f>IF($N1896&lt;&gt;"",INDEX(PCOp,$N1896),IF($O1896&lt;&gt;"",IF(N(INDEX(TxnDepB,$O1896))&gt;0,"دریافت بانکی","پرداخت بانکی"),""))</f>
        <v/>
      </c>
      <c r="D1896" s="24">
        <f>IF($N1896&lt;&gt;"",IF(INDEX(PCDoc,$N1896)="","—",INDEX(PCDoc,$N1896)),IF($O1896&lt;&gt;"",INDEX(LdgBankB,$O1896),""))</f>
        <v/>
      </c>
      <c r="E1896" s="24">
        <f>IF($N1896&lt;&gt;"",IF(INDEX(PCCitrus,$N1896)="","—",INDEX(PCCitrus,$N1896)),"")</f>
        <v/>
      </c>
      <c r="F1896" s="25">
        <f>IF($N1896&lt;&gt;"",IF(INDEX(PCScale,$N1896)=0,"",INDEX(PCScale,$N1896)),"")</f>
        <v/>
      </c>
      <c r="G1896" s="25">
        <f>IF($N1896&lt;&gt;"",IF(INDEX(PCBaskets,$N1896)=0,"",INDEX(PCBaskets,$N1896)),"")</f>
        <v/>
      </c>
      <c r="H1896" s="26">
        <f>IF($N1896&lt;&gt;"",IF(INDEX(PCNet,$N1896)=0,"",INDEX(PCNet,$N1896)),"")</f>
        <v/>
      </c>
      <c r="I1896" s="25">
        <f>IF($N1896&lt;&gt;"",IF(INDEX(PCOp,$N1896)="مرجوعی خرید","",IF(INDEX(PCAmount,$N1896)&lt;=0,"",INDEX(PCAmount,$N1896))),IF($O1896&lt;&gt;"",IF(INDEX(TxnDepB,$O1896)=0,"",INDEX(TxnDepB,$O1896)),""))</f>
        <v/>
      </c>
      <c r="J1896" s="25">
        <f>IF($N1896&lt;&gt;"",IF(INDEX(PCOp,$N1896)="مرجوعی خرید",IF(INDEX(PCAmount,$N1896)=0,"",-INDEX(PCAmount,$N1896)),""),IF($O1896&lt;&gt;"",IF(INDEX(TxnWitB,$O1896)=0,"",INDEX(TxnWitB,$O1896)),""))</f>
        <v/>
      </c>
      <c r="K1896" s="27">
        <f>IF($B1896="","",IF($K1895="",$C$10,$K1895)+IF($I1896="",0,$I1896)-IF($J1896="",0,$J1896))</f>
        <v/>
      </c>
      <c r="L1896" s="28">
        <f>IF($N1896&lt;&gt;"",IF(INDEX(PCNotes,$N1896)="","—",INDEX(PCNotes,$N1896)),IF($O1896&lt;&gt;"",IF(INDEX(LdgNoteB,$O1896)="","—",INDEX(LdgNoteB,$O1896)),""))</f>
        <v/>
      </c>
      <c r="N1896">
        <f>IFERROR(MATCH($C$5&amp;"|"&amp;RIGHT("000000"&amp;1880,6),LdgRankKeyA,0),"")</f>
        <v/>
      </c>
      <c r="O1896">
        <f>IFERROR(MATCH($C$5&amp;"|"&amp;RIGHT("000000"&amp;1880,6),LdgRankKeyB,0),"")</f>
        <v/>
      </c>
    </row>
    <row r="1897">
      <c r="A1897" s="17" t="n">
        <v>1881</v>
      </c>
      <c r="B1897" s="18">
        <f>IF(AND($N1897="",$O1897=""),"",IF($N1897&lt;&gt;"",INDEX(PCNormDate,$N1897),INDEX(LdgDateB,$O1897)))</f>
        <v/>
      </c>
      <c r="C1897" s="18">
        <f>IF($N1897&lt;&gt;"",INDEX(PCOp,$N1897),IF($O1897&lt;&gt;"",IF(N(INDEX(TxnDepB,$O1897))&gt;0,"دریافت بانکی","پرداخت بانکی"),""))</f>
        <v/>
      </c>
      <c r="D1897" s="18">
        <f>IF($N1897&lt;&gt;"",IF(INDEX(PCDoc,$N1897)="","—",INDEX(PCDoc,$N1897)),IF($O1897&lt;&gt;"",INDEX(LdgBankB,$O1897),""))</f>
        <v/>
      </c>
      <c r="E1897" s="18">
        <f>IF($N1897&lt;&gt;"",IF(INDEX(PCCitrus,$N1897)="","—",INDEX(PCCitrus,$N1897)),"")</f>
        <v/>
      </c>
      <c r="F1897" s="19">
        <f>IF($N1897&lt;&gt;"",IF(INDEX(PCScale,$N1897)=0,"",INDEX(PCScale,$N1897)),"")</f>
        <v/>
      </c>
      <c r="G1897" s="19">
        <f>IF($N1897&lt;&gt;"",IF(INDEX(PCBaskets,$N1897)=0,"",INDEX(PCBaskets,$N1897)),"")</f>
        <v/>
      </c>
      <c r="H1897" s="20">
        <f>IF($N1897&lt;&gt;"",IF(INDEX(PCNet,$N1897)=0,"",INDEX(PCNet,$N1897)),"")</f>
        <v/>
      </c>
      <c r="I1897" s="19">
        <f>IF($N1897&lt;&gt;"",IF(INDEX(PCOp,$N1897)="مرجوعی خرید","",IF(INDEX(PCAmount,$N1897)&lt;=0,"",INDEX(PCAmount,$N1897))),IF($O1897&lt;&gt;"",IF(INDEX(TxnDepB,$O1897)=0,"",INDEX(TxnDepB,$O1897)),""))</f>
        <v/>
      </c>
      <c r="J1897" s="19">
        <f>IF($N1897&lt;&gt;"",IF(INDEX(PCOp,$N1897)="مرجوعی خرید",IF(INDEX(PCAmount,$N1897)=0,"",-INDEX(PCAmount,$N1897)),""),IF($O1897&lt;&gt;"",IF(INDEX(TxnWitB,$O1897)=0,"",INDEX(TxnWitB,$O1897)),""))</f>
        <v/>
      </c>
      <c r="K1897" s="21">
        <f>IF($B1897="","",IF($K1896="",$C$10,$K1896)+IF($I1897="",0,$I1897)-IF($J1897="",0,$J1897))</f>
        <v/>
      </c>
      <c r="L1897" s="22">
        <f>IF($N1897&lt;&gt;"",IF(INDEX(PCNotes,$N1897)="","—",INDEX(PCNotes,$N1897)),IF($O1897&lt;&gt;"",IF(INDEX(LdgNoteB,$O1897)="","—",INDEX(LdgNoteB,$O1897)),""))</f>
        <v/>
      </c>
      <c r="N1897">
        <f>IFERROR(MATCH($C$5&amp;"|"&amp;RIGHT("000000"&amp;1881,6),LdgRankKeyA,0),"")</f>
        <v/>
      </c>
      <c r="O1897">
        <f>IFERROR(MATCH($C$5&amp;"|"&amp;RIGHT("000000"&amp;1881,6),LdgRankKeyB,0),"")</f>
        <v/>
      </c>
    </row>
    <row r="1898">
      <c r="A1898" s="23" t="n">
        <v>1882</v>
      </c>
      <c r="B1898" s="24">
        <f>IF(AND($N1898="",$O1898=""),"",IF($N1898&lt;&gt;"",INDEX(PCNormDate,$N1898),INDEX(LdgDateB,$O1898)))</f>
        <v/>
      </c>
      <c r="C1898" s="24">
        <f>IF($N1898&lt;&gt;"",INDEX(PCOp,$N1898),IF($O1898&lt;&gt;"",IF(N(INDEX(TxnDepB,$O1898))&gt;0,"دریافت بانکی","پرداخت بانکی"),""))</f>
        <v/>
      </c>
      <c r="D1898" s="24">
        <f>IF($N1898&lt;&gt;"",IF(INDEX(PCDoc,$N1898)="","—",INDEX(PCDoc,$N1898)),IF($O1898&lt;&gt;"",INDEX(LdgBankB,$O1898),""))</f>
        <v/>
      </c>
      <c r="E1898" s="24">
        <f>IF($N1898&lt;&gt;"",IF(INDEX(PCCitrus,$N1898)="","—",INDEX(PCCitrus,$N1898)),"")</f>
        <v/>
      </c>
      <c r="F1898" s="25">
        <f>IF($N1898&lt;&gt;"",IF(INDEX(PCScale,$N1898)=0,"",INDEX(PCScale,$N1898)),"")</f>
        <v/>
      </c>
      <c r="G1898" s="25">
        <f>IF($N1898&lt;&gt;"",IF(INDEX(PCBaskets,$N1898)=0,"",INDEX(PCBaskets,$N1898)),"")</f>
        <v/>
      </c>
      <c r="H1898" s="26">
        <f>IF($N1898&lt;&gt;"",IF(INDEX(PCNet,$N1898)=0,"",INDEX(PCNet,$N1898)),"")</f>
        <v/>
      </c>
      <c r="I1898" s="25">
        <f>IF($N1898&lt;&gt;"",IF(INDEX(PCOp,$N1898)="مرجوعی خرید","",IF(INDEX(PCAmount,$N1898)&lt;=0,"",INDEX(PCAmount,$N1898))),IF($O1898&lt;&gt;"",IF(INDEX(TxnDepB,$O1898)=0,"",INDEX(TxnDepB,$O1898)),""))</f>
        <v/>
      </c>
      <c r="J1898" s="25">
        <f>IF($N1898&lt;&gt;"",IF(INDEX(PCOp,$N1898)="مرجوعی خرید",IF(INDEX(PCAmount,$N1898)=0,"",-INDEX(PCAmount,$N1898)),""),IF($O1898&lt;&gt;"",IF(INDEX(TxnWitB,$O1898)=0,"",INDEX(TxnWitB,$O1898)),""))</f>
        <v/>
      </c>
      <c r="K1898" s="27">
        <f>IF($B1898="","",IF($K1897="",$C$10,$K1897)+IF($I1898="",0,$I1898)-IF($J1898="",0,$J1898))</f>
        <v/>
      </c>
      <c r="L1898" s="28">
        <f>IF($N1898&lt;&gt;"",IF(INDEX(PCNotes,$N1898)="","—",INDEX(PCNotes,$N1898)),IF($O1898&lt;&gt;"",IF(INDEX(LdgNoteB,$O1898)="","—",INDEX(LdgNoteB,$O1898)),""))</f>
        <v/>
      </c>
      <c r="N1898">
        <f>IFERROR(MATCH($C$5&amp;"|"&amp;RIGHT("000000"&amp;1882,6),LdgRankKeyA,0),"")</f>
        <v/>
      </c>
      <c r="O1898">
        <f>IFERROR(MATCH($C$5&amp;"|"&amp;RIGHT("000000"&amp;1882,6),LdgRankKeyB,0),"")</f>
        <v/>
      </c>
    </row>
    <row r="1899">
      <c r="A1899" s="17" t="n">
        <v>1883</v>
      </c>
      <c r="B1899" s="18">
        <f>IF(AND($N1899="",$O1899=""),"",IF($N1899&lt;&gt;"",INDEX(PCNormDate,$N1899),INDEX(LdgDateB,$O1899)))</f>
        <v/>
      </c>
      <c r="C1899" s="18">
        <f>IF($N1899&lt;&gt;"",INDEX(PCOp,$N1899),IF($O1899&lt;&gt;"",IF(N(INDEX(TxnDepB,$O1899))&gt;0,"دریافت بانکی","پرداخت بانکی"),""))</f>
        <v/>
      </c>
      <c r="D1899" s="18">
        <f>IF($N1899&lt;&gt;"",IF(INDEX(PCDoc,$N1899)="","—",INDEX(PCDoc,$N1899)),IF($O1899&lt;&gt;"",INDEX(LdgBankB,$O1899),""))</f>
        <v/>
      </c>
      <c r="E1899" s="18">
        <f>IF($N1899&lt;&gt;"",IF(INDEX(PCCitrus,$N1899)="","—",INDEX(PCCitrus,$N1899)),"")</f>
        <v/>
      </c>
      <c r="F1899" s="19">
        <f>IF($N1899&lt;&gt;"",IF(INDEX(PCScale,$N1899)=0,"",INDEX(PCScale,$N1899)),"")</f>
        <v/>
      </c>
      <c r="G1899" s="19">
        <f>IF($N1899&lt;&gt;"",IF(INDEX(PCBaskets,$N1899)=0,"",INDEX(PCBaskets,$N1899)),"")</f>
        <v/>
      </c>
      <c r="H1899" s="20">
        <f>IF($N1899&lt;&gt;"",IF(INDEX(PCNet,$N1899)=0,"",INDEX(PCNet,$N1899)),"")</f>
        <v/>
      </c>
      <c r="I1899" s="19">
        <f>IF($N1899&lt;&gt;"",IF(INDEX(PCOp,$N1899)="مرجوعی خرید","",IF(INDEX(PCAmount,$N1899)&lt;=0,"",INDEX(PCAmount,$N1899))),IF($O1899&lt;&gt;"",IF(INDEX(TxnDepB,$O1899)=0,"",INDEX(TxnDepB,$O1899)),""))</f>
        <v/>
      </c>
      <c r="J1899" s="19">
        <f>IF($N1899&lt;&gt;"",IF(INDEX(PCOp,$N1899)="مرجوعی خرید",IF(INDEX(PCAmount,$N1899)=0,"",-INDEX(PCAmount,$N1899)),""),IF($O1899&lt;&gt;"",IF(INDEX(TxnWitB,$O1899)=0,"",INDEX(TxnWitB,$O1899)),""))</f>
        <v/>
      </c>
      <c r="K1899" s="21">
        <f>IF($B1899="","",IF($K1898="",$C$10,$K1898)+IF($I1899="",0,$I1899)-IF($J1899="",0,$J1899))</f>
        <v/>
      </c>
      <c r="L1899" s="22">
        <f>IF($N1899&lt;&gt;"",IF(INDEX(PCNotes,$N1899)="","—",INDEX(PCNotes,$N1899)),IF($O1899&lt;&gt;"",IF(INDEX(LdgNoteB,$O1899)="","—",INDEX(LdgNoteB,$O1899)),""))</f>
        <v/>
      </c>
      <c r="N1899">
        <f>IFERROR(MATCH($C$5&amp;"|"&amp;RIGHT("000000"&amp;1883,6),LdgRankKeyA,0),"")</f>
        <v/>
      </c>
      <c r="O1899">
        <f>IFERROR(MATCH($C$5&amp;"|"&amp;RIGHT("000000"&amp;1883,6),LdgRankKeyB,0),"")</f>
        <v/>
      </c>
    </row>
    <row r="1900">
      <c r="A1900" s="23" t="n">
        <v>1884</v>
      </c>
      <c r="B1900" s="24">
        <f>IF(AND($N1900="",$O1900=""),"",IF($N1900&lt;&gt;"",INDEX(PCNormDate,$N1900),INDEX(LdgDateB,$O1900)))</f>
        <v/>
      </c>
      <c r="C1900" s="24">
        <f>IF($N1900&lt;&gt;"",INDEX(PCOp,$N1900),IF($O1900&lt;&gt;"",IF(N(INDEX(TxnDepB,$O1900))&gt;0,"دریافت بانکی","پرداخت بانکی"),""))</f>
        <v/>
      </c>
      <c r="D1900" s="24">
        <f>IF($N1900&lt;&gt;"",IF(INDEX(PCDoc,$N1900)="","—",INDEX(PCDoc,$N1900)),IF($O1900&lt;&gt;"",INDEX(LdgBankB,$O1900),""))</f>
        <v/>
      </c>
      <c r="E1900" s="24">
        <f>IF($N1900&lt;&gt;"",IF(INDEX(PCCitrus,$N1900)="","—",INDEX(PCCitrus,$N1900)),"")</f>
        <v/>
      </c>
      <c r="F1900" s="25">
        <f>IF($N1900&lt;&gt;"",IF(INDEX(PCScale,$N1900)=0,"",INDEX(PCScale,$N1900)),"")</f>
        <v/>
      </c>
      <c r="G1900" s="25">
        <f>IF($N1900&lt;&gt;"",IF(INDEX(PCBaskets,$N1900)=0,"",INDEX(PCBaskets,$N1900)),"")</f>
        <v/>
      </c>
      <c r="H1900" s="26">
        <f>IF($N1900&lt;&gt;"",IF(INDEX(PCNet,$N1900)=0,"",INDEX(PCNet,$N1900)),"")</f>
        <v/>
      </c>
      <c r="I1900" s="25">
        <f>IF($N1900&lt;&gt;"",IF(INDEX(PCOp,$N1900)="مرجوعی خرید","",IF(INDEX(PCAmount,$N1900)&lt;=0,"",INDEX(PCAmount,$N1900))),IF($O1900&lt;&gt;"",IF(INDEX(TxnDepB,$O1900)=0,"",INDEX(TxnDepB,$O1900)),""))</f>
        <v/>
      </c>
      <c r="J1900" s="25">
        <f>IF($N1900&lt;&gt;"",IF(INDEX(PCOp,$N1900)="مرجوعی خرید",IF(INDEX(PCAmount,$N1900)=0,"",-INDEX(PCAmount,$N1900)),""),IF($O1900&lt;&gt;"",IF(INDEX(TxnWitB,$O1900)=0,"",INDEX(TxnWitB,$O1900)),""))</f>
        <v/>
      </c>
      <c r="K1900" s="27">
        <f>IF($B1900="","",IF($K1899="",$C$10,$K1899)+IF($I1900="",0,$I1900)-IF($J1900="",0,$J1900))</f>
        <v/>
      </c>
      <c r="L1900" s="28">
        <f>IF($N1900&lt;&gt;"",IF(INDEX(PCNotes,$N1900)="","—",INDEX(PCNotes,$N1900)),IF($O1900&lt;&gt;"",IF(INDEX(LdgNoteB,$O1900)="","—",INDEX(LdgNoteB,$O1900)),""))</f>
        <v/>
      </c>
      <c r="N1900">
        <f>IFERROR(MATCH($C$5&amp;"|"&amp;RIGHT("000000"&amp;1884,6),LdgRankKeyA,0),"")</f>
        <v/>
      </c>
      <c r="O1900">
        <f>IFERROR(MATCH($C$5&amp;"|"&amp;RIGHT("000000"&amp;1884,6),LdgRankKeyB,0),"")</f>
        <v/>
      </c>
    </row>
    <row r="1901">
      <c r="A1901" s="17" t="n">
        <v>1885</v>
      </c>
      <c r="B1901" s="18">
        <f>IF(AND($N1901="",$O1901=""),"",IF($N1901&lt;&gt;"",INDEX(PCNormDate,$N1901),INDEX(LdgDateB,$O1901)))</f>
        <v/>
      </c>
      <c r="C1901" s="18">
        <f>IF($N1901&lt;&gt;"",INDEX(PCOp,$N1901),IF($O1901&lt;&gt;"",IF(N(INDEX(TxnDepB,$O1901))&gt;0,"دریافت بانکی","پرداخت بانکی"),""))</f>
        <v/>
      </c>
      <c r="D1901" s="18">
        <f>IF($N1901&lt;&gt;"",IF(INDEX(PCDoc,$N1901)="","—",INDEX(PCDoc,$N1901)),IF($O1901&lt;&gt;"",INDEX(LdgBankB,$O1901),""))</f>
        <v/>
      </c>
      <c r="E1901" s="18">
        <f>IF($N1901&lt;&gt;"",IF(INDEX(PCCitrus,$N1901)="","—",INDEX(PCCitrus,$N1901)),"")</f>
        <v/>
      </c>
      <c r="F1901" s="19">
        <f>IF($N1901&lt;&gt;"",IF(INDEX(PCScale,$N1901)=0,"",INDEX(PCScale,$N1901)),"")</f>
        <v/>
      </c>
      <c r="G1901" s="19">
        <f>IF($N1901&lt;&gt;"",IF(INDEX(PCBaskets,$N1901)=0,"",INDEX(PCBaskets,$N1901)),"")</f>
        <v/>
      </c>
      <c r="H1901" s="20">
        <f>IF($N1901&lt;&gt;"",IF(INDEX(PCNet,$N1901)=0,"",INDEX(PCNet,$N1901)),"")</f>
        <v/>
      </c>
      <c r="I1901" s="19">
        <f>IF($N1901&lt;&gt;"",IF(INDEX(PCOp,$N1901)="مرجوعی خرید","",IF(INDEX(PCAmount,$N1901)&lt;=0,"",INDEX(PCAmount,$N1901))),IF($O1901&lt;&gt;"",IF(INDEX(TxnDepB,$O1901)=0,"",INDEX(TxnDepB,$O1901)),""))</f>
        <v/>
      </c>
      <c r="J1901" s="19">
        <f>IF($N1901&lt;&gt;"",IF(INDEX(PCOp,$N1901)="مرجوعی خرید",IF(INDEX(PCAmount,$N1901)=0,"",-INDEX(PCAmount,$N1901)),""),IF($O1901&lt;&gt;"",IF(INDEX(TxnWitB,$O1901)=0,"",INDEX(TxnWitB,$O1901)),""))</f>
        <v/>
      </c>
      <c r="K1901" s="21">
        <f>IF($B1901="","",IF($K1900="",$C$10,$K1900)+IF($I1901="",0,$I1901)-IF($J1901="",0,$J1901))</f>
        <v/>
      </c>
      <c r="L1901" s="22">
        <f>IF($N1901&lt;&gt;"",IF(INDEX(PCNotes,$N1901)="","—",INDEX(PCNotes,$N1901)),IF($O1901&lt;&gt;"",IF(INDEX(LdgNoteB,$O1901)="","—",INDEX(LdgNoteB,$O1901)),""))</f>
        <v/>
      </c>
      <c r="N1901">
        <f>IFERROR(MATCH($C$5&amp;"|"&amp;RIGHT("000000"&amp;1885,6),LdgRankKeyA,0),"")</f>
        <v/>
      </c>
      <c r="O1901">
        <f>IFERROR(MATCH($C$5&amp;"|"&amp;RIGHT("000000"&amp;1885,6),LdgRankKeyB,0),"")</f>
        <v/>
      </c>
    </row>
    <row r="1902">
      <c r="A1902" s="23" t="n">
        <v>1886</v>
      </c>
      <c r="B1902" s="24">
        <f>IF(AND($N1902="",$O1902=""),"",IF($N1902&lt;&gt;"",INDEX(PCNormDate,$N1902),INDEX(LdgDateB,$O1902)))</f>
        <v/>
      </c>
      <c r="C1902" s="24">
        <f>IF($N1902&lt;&gt;"",INDEX(PCOp,$N1902),IF($O1902&lt;&gt;"",IF(N(INDEX(TxnDepB,$O1902))&gt;0,"دریافت بانکی","پرداخت بانکی"),""))</f>
        <v/>
      </c>
      <c r="D1902" s="24">
        <f>IF($N1902&lt;&gt;"",IF(INDEX(PCDoc,$N1902)="","—",INDEX(PCDoc,$N1902)),IF($O1902&lt;&gt;"",INDEX(LdgBankB,$O1902),""))</f>
        <v/>
      </c>
      <c r="E1902" s="24">
        <f>IF($N1902&lt;&gt;"",IF(INDEX(PCCitrus,$N1902)="","—",INDEX(PCCitrus,$N1902)),"")</f>
        <v/>
      </c>
      <c r="F1902" s="25">
        <f>IF($N1902&lt;&gt;"",IF(INDEX(PCScale,$N1902)=0,"",INDEX(PCScale,$N1902)),"")</f>
        <v/>
      </c>
      <c r="G1902" s="25">
        <f>IF($N1902&lt;&gt;"",IF(INDEX(PCBaskets,$N1902)=0,"",INDEX(PCBaskets,$N1902)),"")</f>
        <v/>
      </c>
      <c r="H1902" s="26">
        <f>IF($N1902&lt;&gt;"",IF(INDEX(PCNet,$N1902)=0,"",INDEX(PCNet,$N1902)),"")</f>
        <v/>
      </c>
      <c r="I1902" s="25">
        <f>IF($N1902&lt;&gt;"",IF(INDEX(PCOp,$N1902)="مرجوعی خرید","",IF(INDEX(PCAmount,$N1902)&lt;=0,"",INDEX(PCAmount,$N1902))),IF($O1902&lt;&gt;"",IF(INDEX(TxnDepB,$O1902)=0,"",INDEX(TxnDepB,$O1902)),""))</f>
        <v/>
      </c>
      <c r="J1902" s="25">
        <f>IF($N1902&lt;&gt;"",IF(INDEX(PCOp,$N1902)="مرجوعی خرید",IF(INDEX(PCAmount,$N1902)=0,"",-INDEX(PCAmount,$N1902)),""),IF($O1902&lt;&gt;"",IF(INDEX(TxnWitB,$O1902)=0,"",INDEX(TxnWitB,$O1902)),""))</f>
        <v/>
      </c>
      <c r="K1902" s="27">
        <f>IF($B1902="","",IF($K1901="",$C$10,$K1901)+IF($I1902="",0,$I1902)-IF($J1902="",0,$J1902))</f>
        <v/>
      </c>
      <c r="L1902" s="28">
        <f>IF($N1902&lt;&gt;"",IF(INDEX(PCNotes,$N1902)="","—",INDEX(PCNotes,$N1902)),IF($O1902&lt;&gt;"",IF(INDEX(LdgNoteB,$O1902)="","—",INDEX(LdgNoteB,$O1902)),""))</f>
        <v/>
      </c>
      <c r="N1902">
        <f>IFERROR(MATCH($C$5&amp;"|"&amp;RIGHT("000000"&amp;1886,6),LdgRankKeyA,0),"")</f>
        <v/>
      </c>
      <c r="O1902">
        <f>IFERROR(MATCH($C$5&amp;"|"&amp;RIGHT("000000"&amp;1886,6),LdgRankKeyB,0),"")</f>
        <v/>
      </c>
    </row>
    <row r="1903">
      <c r="A1903" s="17" t="n">
        <v>1887</v>
      </c>
      <c r="B1903" s="18">
        <f>IF(AND($N1903="",$O1903=""),"",IF($N1903&lt;&gt;"",INDEX(PCNormDate,$N1903),INDEX(LdgDateB,$O1903)))</f>
        <v/>
      </c>
      <c r="C1903" s="18">
        <f>IF($N1903&lt;&gt;"",INDEX(PCOp,$N1903),IF($O1903&lt;&gt;"",IF(N(INDEX(TxnDepB,$O1903))&gt;0,"دریافت بانکی","پرداخت بانکی"),""))</f>
        <v/>
      </c>
      <c r="D1903" s="18">
        <f>IF($N1903&lt;&gt;"",IF(INDEX(PCDoc,$N1903)="","—",INDEX(PCDoc,$N1903)),IF($O1903&lt;&gt;"",INDEX(LdgBankB,$O1903),""))</f>
        <v/>
      </c>
      <c r="E1903" s="18">
        <f>IF($N1903&lt;&gt;"",IF(INDEX(PCCitrus,$N1903)="","—",INDEX(PCCitrus,$N1903)),"")</f>
        <v/>
      </c>
      <c r="F1903" s="19">
        <f>IF($N1903&lt;&gt;"",IF(INDEX(PCScale,$N1903)=0,"",INDEX(PCScale,$N1903)),"")</f>
        <v/>
      </c>
      <c r="G1903" s="19">
        <f>IF($N1903&lt;&gt;"",IF(INDEX(PCBaskets,$N1903)=0,"",INDEX(PCBaskets,$N1903)),"")</f>
        <v/>
      </c>
      <c r="H1903" s="20">
        <f>IF($N1903&lt;&gt;"",IF(INDEX(PCNet,$N1903)=0,"",INDEX(PCNet,$N1903)),"")</f>
        <v/>
      </c>
      <c r="I1903" s="19">
        <f>IF($N1903&lt;&gt;"",IF(INDEX(PCOp,$N1903)="مرجوعی خرید","",IF(INDEX(PCAmount,$N1903)&lt;=0,"",INDEX(PCAmount,$N1903))),IF($O1903&lt;&gt;"",IF(INDEX(TxnDepB,$O1903)=0,"",INDEX(TxnDepB,$O1903)),""))</f>
        <v/>
      </c>
      <c r="J1903" s="19">
        <f>IF($N1903&lt;&gt;"",IF(INDEX(PCOp,$N1903)="مرجوعی خرید",IF(INDEX(PCAmount,$N1903)=0,"",-INDEX(PCAmount,$N1903)),""),IF($O1903&lt;&gt;"",IF(INDEX(TxnWitB,$O1903)=0,"",INDEX(TxnWitB,$O1903)),""))</f>
        <v/>
      </c>
      <c r="K1903" s="21">
        <f>IF($B1903="","",IF($K1902="",$C$10,$K1902)+IF($I1903="",0,$I1903)-IF($J1903="",0,$J1903))</f>
        <v/>
      </c>
      <c r="L1903" s="22">
        <f>IF($N1903&lt;&gt;"",IF(INDEX(PCNotes,$N1903)="","—",INDEX(PCNotes,$N1903)),IF($O1903&lt;&gt;"",IF(INDEX(LdgNoteB,$O1903)="","—",INDEX(LdgNoteB,$O1903)),""))</f>
        <v/>
      </c>
      <c r="N1903">
        <f>IFERROR(MATCH($C$5&amp;"|"&amp;RIGHT("000000"&amp;1887,6),LdgRankKeyA,0),"")</f>
        <v/>
      </c>
      <c r="O1903">
        <f>IFERROR(MATCH($C$5&amp;"|"&amp;RIGHT("000000"&amp;1887,6),LdgRankKeyB,0),"")</f>
        <v/>
      </c>
    </row>
    <row r="1904">
      <c r="A1904" s="23" t="n">
        <v>1888</v>
      </c>
      <c r="B1904" s="24">
        <f>IF(AND($N1904="",$O1904=""),"",IF($N1904&lt;&gt;"",INDEX(PCNormDate,$N1904),INDEX(LdgDateB,$O1904)))</f>
        <v/>
      </c>
      <c r="C1904" s="24">
        <f>IF($N1904&lt;&gt;"",INDEX(PCOp,$N1904),IF($O1904&lt;&gt;"",IF(N(INDEX(TxnDepB,$O1904))&gt;0,"دریافت بانکی","پرداخت بانکی"),""))</f>
        <v/>
      </c>
      <c r="D1904" s="24">
        <f>IF($N1904&lt;&gt;"",IF(INDEX(PCDoc,$N1904)="","—",INDEX(PCDoc,$N1904)),IF($O1904&lt;&gt;"",INDEX(LdgBankB,$O1904),""))</f>
        <v/>
      </c>
      <c r="E1904" s="24">
        <f>IF($N1904&lt;&gt;"",IF(INDEX(PCCitrus,$N1904)="","—",INDEX(PCCitrus,$N1904)),"")</f>
        <v/>
      </c>
      <c r="F1904" s="25">
        <f>IF($N1904&lt;&gt;"",IF(INDEX(PCScale,$N1904)=0,"",INDEX(PCScale,$N1904)),"")</f>
        <v/>
      </c>
      <c r="G1904" s="25">
        <f>IF($N1904&lt;&gt;"",IF(INDEX(PCBaskets,$N1904)=0,"",INDEX(PCBaskets,$N1904)),"")</f>
        <v/>
      </c>
      <c r="H1904" s="26">
        <f>IF($N1904&lt;&gt;"",IF(INDEX(PCNet,$N1904)=0,"",INDEX(PCNet,$N1904)),"")</f>
        <v/>
      </c>
      <c r="I1904" s="25">
        <f>IF($N1904&lt;&gt;"",IF(INDEX(PCOp,$N1904)="مرجوعی خرید","",IF(INDEX(PCAmount,$N1904)&lt;=0,"",INDEX(PCAmount,$N1904))),IF($O1904&lt;&gt;"",IF(INDEX(TxnDepB,$O1904)=0,"",INDEX(TxnDepB,$O1904)),""))</f>
        <v/>
      </c>
      <c r="J1904" s="25">
        <f>IF($N1904&lt;&gt;"",IF(INDEX(PCOp,$N1904)="مرجوعی خرید",IF(INDEX(PCAmount,$N1904)=0,"",-INDEX(PCAmount,$N1904)),""),IF($O1904&lt;&gt;"",IF(INDEX(TxnWitB,$O1904)=0,"",INDEX(TxnWitB,$O1904)),""))</f>
        <v/>
      </c>
      <c r="K1904" s="27">
        <f>IF($B1904="","",IF($K1903="",$C$10,$K1903)+IF($I1904="",0,$I1904)-IF($J1904="",0,$J1904))</f>
        <v/>
      </c>
      <c r="L1904" s="28">
        <f>IF($N1904&lt;&gt;"",IF(INDEX(PCNotes,$N1904)="","—",INDEX(PCNotes,$N1904)),IF($O1904&lt;&gt;"",IF(INDEX(LdgNoteB,$O1904)="","—",INDEX(LdgNoteB,$O1904)),""))</f>
        <v/>
      </c>
      <c r="N1904">
        <f>IFERROR(MATCH($C$5&amp;"|"&amp;RIGHT("000000"&amp;1888,6),LdgRankKeyA,0),"")</f>
        <v/>
      </c>
      <c r="O1904">
        <f>IFERROR(MATCH($C$5&amp;"|"&amp;RIGHT("000000"&amp;1888,6),LdgRankKeyB,0),"")</f>
        <v/>
      </c>
    </row>
    <row r="1905">
      <c r="A1905" s="17" t="n">
        <v>1889</v>
      </c>
      <c r="B1905" s="18">
        <f>IF(AND($N1905="",$O1905=""),"",IF($N1905&lt;&gt;"",INDEX(PCNormDate,$N1905),INDEX(LdgDateB,$O1905)))</f>
        <v/>
      </c>
      <c r="C1905" s="18">
        <f>IF($N1905&lt;&gt;"",INDEX(PCOp,$N1905),IF($O1905&lt;&gt;"",IF(N(INDEX(TxnDepB,$O1905))&gt;0,"دریافت بانکی","پرداخت بانکی"),""))</f>
        <v/>
      </c>
      <c r="D1905" s="18">
        <f>IF($N1905&lt;&gt;"",IF(INDEX(PCDoc,$N1905)="","—",INDEX(PCDoc,$N1905)),IF($O1905&lt;&gt;"",INDEX(LdgBankB,$O1905),""))</f>
        <v/>
      </c>
      <c r="E1905" s="18">
        <f>IF($N1905&lt;&gt;"",IF(INDEX(PCCitrus,$N1905)="","—",INDEX(PCCitrus,$N1905)),"")</f>
        <v/>
      </c>
      <c r="F1905" s="19">
        <f>IF($N1905&lt;&gt;"",IF(INDEX(PCScale,$N1905)=0,"",INDEX(PCScale,$N1905)),"")</f>
        <v/>
      </c>
      <c r="G1905" s="19">
        <f>IF($N1905&lt;&gt;"",IF(INDEX(PCBaskets,$N1905)=0,"",INDEX(PCBaskets,$N1905)),"")</f>
        <v/>
      </c>
      <c r="H1905" s="20">
        <f>IF($N1905&lt;&gt;"",IF(INDEX(PCNet,$N1905)=0,"",INDEX(PCNet,$N1905)),"")</f>
        <v/>
      </c>
      <c r="I1905" s="19">
        <f>IF($N1905&lt;&gt;"",IF(INDEX(PCOp,$N1905)="مرجوعی خرید","",IF(INDEX(PCAmount,$N1905)&lt;=0,"",INDEX(PCAmount,$N1905))),IF($O1905&lt;&gt;"",IF(INDEX(TxnDepB,$O1905)=0,"",INDEX(TxnDepB,$O1905)),""))</f>
        <v/>
      </c>
      <c r="J1905" s="19">
        <f>IF($N1905&lt;&gt;"",IF(INDEX(PCOp,$N1905)="مرجوعی خرید",IF(INDEX(PCAmount,$N1905)=0,"",-INDEX(PCAmount,$N1905)),""),IF($O1905&lt;&gt;"",IF(INDEX(TxnWitB,$O1905)=0,"",INDEX(TxnWitB,$O1905)),""))</f>
        <v/>
      </c>
      <c r="K1905" s="21">
        <f>IF($B1905="","",IF($K1904="",$C$10,$K1904)+IF($I1905="",0,$I1905)-IF($J1905="",0,$J1905))</f>
        <v/>
      </c>
      <c r="L1905" s="22">
        <f>IF($N1905&lt;&gt;"",IF(INDEX(PCNotes,$N1905)="","—",INDEX(PCNotes,$N1905)),IF($O1905&lt;&gt;"",IF(INDEX(LdgNoteB,$O1905)="","—",INDEX(LdgNoteB,$O1905)),""))</f>
        <v/>
      </c>
      <c r="N1905">
        <f>IFERROR(MATCH($C$5&amp;"|"&amp;RIGHT("000000"&amp;1889,6),LdgRankKeyA,0),"")</f>
        <v/>
      </c>
      <c r="O1905">
        <f>IFERROR(MATCH($C$5&amp;"|"&amp;RIGHT("000000"&amp;1889,6),LdgRankKeyB,0),"")</f>
        <v/>
      </c>
    </row>
    <row r="1906">
      <c r="A1906" s="23" t="n">
        <v>1890</v>
      </c>
      <c r="B1906" s="24">
        <f>IF(AND($N1906="",$O1906=""),"",IF($N1906&lt;&gt;"",INDEX(PCNormDate,$N1906),INDEX(LdgDateB,$O1906)))</f>
        <v/>
      </c>
      <c r="C1906" s="24">
        <f>IF($N1906&lt;&gt;"",INDEX(PCOp,$N1906),IF($O1906&lt;&gt;"",IF(N(INDEX(TxnDepB,$O1906))&gt;0,"دریافت بانکی","پرداخت بانکی"),""))</f>
        <v/>
      </c>
      <c r="D1906" s="24">
        <f>IF($N1906&lt;&gt;"",IF(INDEX(PCDoc,$N1906)="","—",INDEX(PCDoc,$N1906)),IF($O1906&lt;&gt;"",INDEX(LdgBankB,$O1906),""))</f>
        <v/>
      </c>
      <c r="E1906" s="24">
        <f>IF($N1906&lt;&gt;"",IF(INDEX(PCCitrus,$N1906)="","—",INDEX(PCCitrus,$N1906)),"")</f>
        <v/>
      </c>
      <c r="F1906" s="25">
        <f>IF($N1906&lt;&gt;"",IF(INDEX(PCScale,$N1906)=0,"",INDEX(PCScale,$N1906)),"")</f>
        <v/>
      </c>
      <c r="G1906" s="25">
        <f>IF($N1906&lt;&gt;"",IF(INDEX(PCBaskets,$N1906)=0,"",INDEX(PCBaskets,$N1906)),"")</f>
        <v/>
      </c>
      <c r="H1906" s="26">
        <f>IF($N1906&lt;&gt;"",IF(INDEX(PCNet,$N1906)=0,"",INDEX(PCNet,$N1906)),"")</f>
        <v/>
      </c>
      <c r="I1906" s="25">
        <f>IF($N1906&lt;&gt;"",IF(INDEX(PCOp,$N1906)="مرجوعی خرید","",IF(INDEX(PCAmount,$N1906)&lt;=0,"",INDEX(PCAmount,$N1906))),IF($O1906&lt;&gt;"",IF(INDEX(TxnDepB,$O1906)=0,"",INDEX(TxnDepB,$O1906)),""))</f>
        <v/>
      </c>
      <c r="J1906" s="25">
        <f>IF($N1906&lt;&gt;"",IF(INDEX(PCOp,$N1906)="مرجوعی خرید",IF(INDEX(PCAmount,$N1906)=0,"",-INDEX(PCAmount,$N1906)),""),IF($O1906&lt;&gt;"",IF(INDEX(TxnWitB,$O1906)=0,"",INDEX(TxnWitB,$O1906)),""))</f>
        <v/>
      </c>
      <c r="K1906" s="27">
        <f>IF($B1906="","",IF($K1905="",$C$10,$K1905)+IF($I1906="",0,$I1906)-IF($J1906="",0,$J1906))</f>
        <v/>
      </c>
      <c r="L1906" s="28">
        <f>IF($N1906&lt;&gt;"",IF(INDEX(PCNotes,$N1906)="","—",INDEX(PCNotes,$N1906)),IF($O1906&lt;&gt;"",IF(INDEX(LdgNoteB,$O1906)="","—",INDEX(LdgNoteB,$O1906)),""))</f>
        <v/>
      </c>
      <c r="N1906">
        <f>IFERROR(MATCH($C$5&amp;"|"&amp;RIGHT("000000"&amp;1890,6),LdgRankKeyA,0),"")</f>
        <v/>
      </c>
      <c r="O1906">
        <f>IFERROR(MATCH($C$5&amp;"|"&amp;RIGHT("000000"&amp;1890,6),LdgRankKeyB,0),"")</f>
        <v/>
      </c>
    </row>
    <row r="1907">
      <c r="A1907" s="17" t="n">
        <v>1891</v>
      </c>
      <c r="B1907" s="18">
        <f>IF(AND($N1907="",$O1907=""),"",IF($N1907&lt;&gt;"",INDEX(PCNormDate,$N1907),INDEX(LdgDateB,$O1907)))</f>
        <v/>
      </c>
      <c r="C1907" s="18">
        <f>IF($N1907&lt;&gt;"",INDEX(PCOp,$N1907),IF($O1907&lt;&gt;"",IF(N(INDEX(TxnDepB,$O1907))&gt;0,"دریافت بانکی","پرداخت بانکی"),""))</f>
        <v/>
      </c>
      <c r="D1907" s="18">
        <f>IF($N1907&lt;&gt;"",IF(INDEX(PCDoc,$N1907)="","—",INDEX(PCDoc,$N1907)),IF($O1907&lt;&gt;"",INDEX(LdgBankB,$O1907),""))</f>
        <v/>
      </c>
      <c r="E1907" s="18">
        <f>IF($N1907&lt;&gt;"",IF(INDEX(PCCitrus,$N1907)="","—",INDEX(PCCitrus,$N1907)),"")</f>
        <v/>
      </c>
      <c r="F1907" s="19">
        <f>IF($N1907&lt;&gt;"",IF(INDEX(PCScale,$N1907)=0,"",INDEX(PCScale,$N1907)),"")</f>
        <v/>
      </c>
      <c r="G1907" s="19">
        <f>IF($N1907&lt;&gt;"",IF(INDEX(PCBaskets,$N1907)=0,"",INDEX(PCBaskets,$N1907)),"")</f>
        <v/>
      </c>
      <c r="H1907" s="20">
        <f>IF($N1907&lt;&gt;"",IF(INDEX(PCNet,$N1907)=0,"",INDEX(PCNet,$N1907)),"")</f>
        <v/>
      </c>
      <c r="I1907" s="19">
        <f>IF($N1907&lt;&gt;"",IF(INDEX(PCOp,$N1907)="مرجوعی خرید","",IF(INDEX(PCAmount,$N1907)&lt;=0,"",INDEX(PCAmount,$N1907))),IF($O1907&lt;&gt;"",IF(INDEX(TxnDepB,$O1907)=0,"",INDEX(TxnDepB,$O1907)),""))</f>
        <v/>
      </c>
      <c r="J1907" s="19">
        <f>IF($N1907&lt;&gt;"",IF(INDEX(PCOp,$N1907)="مرجوعی خرید",IF(INDEX(PCAmount,$N1907)=0,"",-INDEX(PCAmount,$N1907)),""),IF($O1907&lt;&gt;"",IF(INDEX(TxnWitB,$O1907)=0,"",INDEX(TxnWitB,$O1907)),""))</f>
        <v/>
      </c>
      <c r="K1907" s="21">
        <f>IF($B1907="","",IF($K1906="",$C$10,$K1906)+IF($I1907="",0,$I1907)-IF($J1907="",0,$J1907))</f>
        <v/>
      </c>
      <c r="L1907" s="22">
        <f>IF($N1907&lt;&gt;"",IF(INDEX(PCNotes,$N1907)="","—",INDEX(PCNotes,$N1907)),IF($O1907&lt;&gt;"",IF(INDEX(LdgNoteB,$O1907)="","—",INDEX(LdgNoteB,$O1907)),""))</f>
        <v/>
      </c>
      <c r="N1907">
        <f>IFERROR(MATCH($C$5&amp;"|"&amp;RIGHT("000000"&amp;1891,6),LdgRankKeyA,0),"")</f>
        <v/>
      </c>
      <c r="O1907">
        <f>IFERROR(MATCH($C$5&amp;"|"&amp;RIGHT("000000"&amp;1891,6),LdgRankKeyB,0),"")</f>
        <v/>
      </c>
    </row>
    <row r="1908">
      <c r="A1908" s="23" t="n">
        <v>1892</v>
      </c>
      <c r="B1908" s="24">
        <f>IF(AND($N1908="",$O1908=""),"",IF($N1908&lt;&gt;"",INDEX(PCNormDate,$N1908),INDEX(LdgDateB,$O1908)))</f>
        <v/>
      </c>
      <c r="C1908" s="24">
        <f>IF($N1908&lt;&gt;"",INDEX(PCOp,$N1908),IF($O1908&lt;&gt;"",IF(N(INDEX(TxnDepB,$O1908))&gt;0,"دریافت بانکی","پرداخت بانکی"),""))</f>
        <v/>
      </c>
      <c r="D1908" s="24">
        <f>IF($N1908&lt;&gt;"",IF(INDEX(PCDoc,$N1908)="","—",INDEX(PCDoc,$N1908)),IF($O1908&lt;&gt;"",INDEX(LdgBankB,$O1908),""))</f>
        <v/>
      </c>
      <c r="E1908" s="24">
        <f>IF($N1908&lt;&gt;"",IF(INDEX(PCCitrus,$N1908)="","—",INDEX(PCCitrus,$N1908)),"")</f>
        <v/>
      </c>
      <c r="F1908" s="25">
        <f>IF($N1908&lt;&gt;"",IF(INDEX(PCScale,$N1908)=0,"",INDEX(PCScale,$N1908)),"")</f>
        <v/>
      </c>
      <c r="G1908" s="25">
        <f>IF($N1908&lt;&gt;"",IF(INDEX(PCBaskets,$N1908)=0,"",INDEX(PCBaskets,$N1908)),"")</f>
        <v/>
      </c>
      <c r="H1908" s="26">
        <f>IF($N1908&lt;&gt;"",IF(INDEX(PCNet,$N1908)=0,"",INDEX(PCNet,$N1908)),"")</f>
        <v/>
      </c>
      <c r="I1908" s="25">
        <f>IF($N1908&lt;&gt;"",IF(INDEX(PCOp,$N1908)="مرجوعی خرید","",IF(INDEX(PCAmount,$N1908)&lt;=0,"",INDEX(PCAmount,$N1908))),IF($O1908&lt;&gt;"",IF(INDEX(TxnDepB,$O1908)=0,"",INDEX(TxnDepB,$O1908)),""))</f>
        <v/>
      </c>
      <c r="J1908" s="25">
        <f>IF($N1908&lt;&gt;"",IF(INDEX(PCOp,$N1908)="مرجوعی خرید",IF(INDEX(PCAmount,$N1908)=0,"",-INDEX(PCAmount,$N1908)),""),IF($O1908&lt;&gt;"",IF(INDEX(TxnWitB,$O1908)=0,"",INDEX(TxnWitB,$O1908)),""))</f>
        <v/>
      </c>
      <c r="K1908" s="27">
        <f>IF($B1908="","",IF($K1907="",$C$10,$K1907)+IF($I1908="",0,$I1908)-IF($J1908="",0,$J1908))</f>
        <v/>
      </c>
      <c r="L1908" s="28">
        <f>IF($N1908&lt;&gt;"",IF(INDEX(PCNotes,$N1908)="","—",INDEX(PCNotes,$N1908)),IF($O1908&lt;&gt;"",IF(INDEX(LdgNoteB,$O1908)="","—",INDEX(LdgNoteB,$O1908)),""))</f>
        <v/>
      </c>
      <c r="N1908">
        <f>IFERROR(MATCH($C$5&amp;"|"&amp;RIGHT("000000"&amp;1892,6),LdgRankKeyA,0),"")</f>
        <v/>
      </c>
      <c r="O1908">
        <f>IFERROR(MATCH($C$5&amp;"|"&amp;RIGHT("000000"&amp;1892,6),LdgRankKeyB,0),"")</f>
        <v/>
      </c>
    </row>
    <row r="1909">
      <c r="A1909" s="17" t="n">
        <v>1893</v>
      </c>
      <c r="B1909" s="18">
        <f>IF(AND($N1909="",$O1909=""),"",IF($N1909&lt;&gt;"",INDEX(PCNormDate,$N1909),INDEX(LdgDateB,$O1909)))</f>
        <v/>
      </c>
      <c r="C1909" s="18">
        <f>IF($N1909&lt;&gt;"",INDEX(PCOp,$N1909),IF($O1909&lt;&gt;"",IF(N(INDEX(TxnDepB,$O1909))&gt;0,"دریافت بانکی","پرداخت بانکی"),""))</f>
        <v/>
      </c>
      <c r="D1909" s="18">
        <f>IF($N1909&lt;&gt;"",IF(INDEX(PCDoc,$N1909)="","—",INDEX(PCDoc,$N1909)),IF($O1909&lt;&gt;"",INDEX(LdgBankB,$O1909),""))</f>
        <v/>
      </c>
      <c r="E1909" s="18">
        <f>IF($N1909&lt;&gt;"",IF(INDEX(PCCitrus,$N1909)="","—",INDEX(PCCitrus,$N1909)),"")</f>
        <v/>
      </c>
      <c r="F1909" s="19">
        <f>IF($N1909&lt;&gt;"",IF(INDEX(PCScale,$N1909)=0,"",INDEX(PCScale,$N1909)),"")</f>
        <v/>
      </c>
      <c r="G1909" s="19">
        <f>IF($N1909&lt;&gt;"",IF(INDEX(PCBaskets,$N1909)=0,"",INDEX(PCBaskets,$N1909)),"")</f>
        <v/>
      </c>
      <c r="H1909" s="20">
        <f>IF($N1909&lt;&gt;"",IF(INDEX(PCNet,$N1909)=0,"",INDEX(PCNet,$N1909)),"")</f>
        <v/>
      </c>
      <c r="I1909" s="19">
        <f>IF($N1909&lt;&gt;"",IF(INDEX(PCOp,$N1909)="مرجوعی خرید","",IF(INDEX(PCAmount,$N1909)&lt;=0,"",INDEX(PCAmount,$N1909))),IF($O1909&lt;&gt;"",IF(INDEX(TxnDepB,$O1909)=0,"",INDEX(TxnDepB,$O1909)),""))</f>
        <v/>
      </c>
      <c r="J1909" s="19">
        <f>IF($N1909&lt;&gt;"",IF(INDEX(PCOp,$N1909)="مرجوعی خرید",IF(INDEX(PCAmount,$N1909)=0,"",-INDEX(PCAmount,$N1909)),""),IF($O1909&lt;&gt;"",IF(INDEX(TxnWitB,$O1909)=0,"",INDEX(TxnWitB,$O1909)),""))</f>
        <v/>
      </c>
      <c r="K1909" s="21">
        <f>IF($B1909="","",IF($K1908="",$C$10,$K1908)+IF($I1909="",0,$I1909)-IF($J1909="",0,$J1909))</f>
        <v/>
      </c>
      <c r="L1909" s="22">
        <f>IF($N1909&lt;&gt;"",IF(INDEX(PCNotes,$N1909)="","—",INDEX(PCNotes,$N1909)),IF($O1909&lt;&gt;"",IF(INDEX(LdgNoteB,$O1909)="","—",INDEX(LdgNoteB,$O1909)),""))</f>
        <v/>
      </c>
      <c r="N1909">
        <f>IFERROR(MATCH($C$5&amp;"|"&amp;RIGHT("000000"&amp;1893,6),LdgRankKeyA,0),"")</f>
        <v/>
      </c>
      <c r="O1909">
        <f>IFERROR(MATCH($C$5&amp;"|"&amp;RIGHT("000000"&amp;1893,6),LdgRankKeyB,0),"")</f>
        <v/>
      </c>
    </row>
    <row r="1910">
      <c r="A1910" s="23" t="n">
        <v>1894</v>
      </c>
      <c r="B1910" s="24">
        <f>IF(AND($N1910="",$O1910=""),"",IF($N1910&lt;&gt;"",INDEX(PCNormDate,$N1910),INDEX(LdgDateB,$O1910)))</f>
        <v/>
      </c>
      <c r="C1910" s="24">
        <f>IF($N1910&lt;&gt;"",INDEX(PCOp,$N1910),IF($O1910&lt;&gt;"",IF(N(INDEX(TxnDepB,$O1910))&gt;0,"دریافت بانکی","پرداخت بانکی"),""))</f>
        <v/>
      </c>
      <c r="D1910" s="24">
        <f>IF($N1910&lt;&gt;"",IF(INDEX(PCDoc,$N1910)="","—",INDEX(PCDoc,$N1910)),IF($O1910&lt;&gt;"",INDEX(LdgBankB,$O1910),""))</f>
        <v/>
      </c>
      <c r="E1910" s="24">
        <f>IF($N1910&lt;&gt;"",IF(INDEX(PCCitrus,$N1910)="","—",INDEX(PCCitrus,$N1910)),"")</f>
        <v/>
      </c>
      <c r="F1910" s="25">
        <f>IF($N1910&lt;&gt;"",IF(INDEX(PCScale,$N1910)=0,"",INDEX(PCScale,$N1910)),"")</f>
        <v/>
      </c>
      <c r="G1910" s="25">
        <f>IF($N1910&lt;&gt;"",IF(INDEX(PCBaskets,$N1910)=0,"",INDEX(PCBaskets,$N1910)),"")</f>
        <v/>
      </c>
      <c r="H1910" s="26">
        <f>IF($N1910&lt;&gt;"",IF(INDEX(PCNet,$N1910)=0,"",INDEX(PCNet,$N1910)),"")</f>
        <v/>
      </c>
      <c r="I1910" s="25">
        <f>IF($N1910&lt;&gt;"",IF(INDEX(PCOp,$N1910)="مرجوعی خرید","",IF(INDEX(PCAmount,$N1910)&lt;=0,"",INDEX(PCAmount,$N1910))),IF($O1910&lt;&gt;"",IF(INDEX(TxnDepB,$O1910)=0,"",INDEX(TxnDepB,$O1910)),""))</f>
        <v/>
      </c>
      <c r="J1910" s="25">
        <f>IF($N1910&lt;&gt;"",IF(INDEX(PCOp,$N1910)="مرجوعی خرید",IF(INDEX(PCAmount,$N1910)=0,"",-INDEX(PCAmount,$N1910)),""),IF($O1910&lt;&gt;"",IF(INDEX(TxnWitB,$O1910)=0,"",INDEX(TxnWitB,$O1910)),""))</f>
        <v/>
      </c>
      <c r="K1910" s="27">
        <f>IF($B1910="","",IF($K1909="",$C$10,$K1909)+IF($I1910="",0,$I1910)-IF($J1910="",0,$J1910))</f>
        <v/>
      </c>
      <c r="L1910" s="28">
        <f>IF($N1910&lt;&gt;"",IF(INDEX(PCNotes,$N1910)="","—",INDEX(PCNotes,$N1910)),IF($O1910&lt;&gt;"",IF(INDEX(LdgNoteB,$O1910)="","—",INDEX(LdgNoteB,$O1910)),""))</f>
        <v/>
      </c>
      <c r="N1910">
        <f>IFERROR(MATCH($C$5&amp;"|"&amp;RIGHT("000000"&amp;1894,6),LdgRankKeyA,0),"")</f>
        <v/>
      </c>
      <c r="O1910">
        <f>IFERROR(MATCH($C$5&amp;"|"&amp;RIGHT("000000"&amp;1894,6),LdgRankKeyB,0),"")</f>
        <v/>
      </c>
    </row>
    <row r="1911">
      <c r="A1911" s="17" t="n">
        <v>1895</v>
      </c>
      <c r="B1911" s="18">
        <f>IF(AND($N1911="",$O1911=""),"",IF($N1911&lt;&gt;"",INDEX(PCNormDate,$N1911),INDEX(LdgDateB,$O1911)))</f>
        <v/>
      </c>
      <c r="C1911" s="18">
        <f>IF($N1911&lt;&gt;"",INDEX(PCOp,$N1911),IF($O1911&lt;&gt;"",IF(N(INDEX(TxnDepB,$O1911))&gt;0,"دریافت بانکی","پرداخت بانکی"),""))</f>
        <v/>
      </c>
      <c r="D1911" s="18">
        <f>IF($N1911&lt;&gt;"",IF(INDEX(PCDoc,$N1911)="","—",INDEX(PCDoc,$N1911)),IF($O1911&lt;&gt;"",INDEX(LdgBankB,$O1911),""))</f>
        <v/>
      </c>
      <c r="E1911" s="18">
        <f>IF($N1911&lt;&gt;"",IF(INDEX(PCCitrus,$N1911)="","—",INDEX(PCCitrus,$N1911)),"")</f>
        <v/>
      </c>
      <c r="F1911" s="19">
        <f>IF($N1911&lt;&gt;"",IF(INDEX(PCScale,$N1911)=0,"",INDEX(PCScale,$N1911)),"")</f>
        <v/>
      </c>
      <c r="G1911" s="19">
        <f>IF($N1911&lt;&gt;"",IF(INDEX(PCBaskets,$N1911)=0,"",INDEX(PCBaskets,$N1911)),"")</f>
        <v/>
      </c>
      <c r="H1911" s="20">
        <f>IF($N1911&lt;&gt;"",IF(INDEX(PCNet,$N1911)=0,"",INDEX(PCNet,$N1911)),"")</f>
        <v/>
      </c>
      <c r="I1911" s="19">
        <f>IF($N1911&lt;&gt;"",IF(INDEX(PCOp,$N1911)="مرجوعی خرید","",IF(INDEX(PCAmount,$N1911)&lt;=0,"",INDEX(PCAmount,$N1911))),IF($O1911&lt;&gt;"",IF(INDEX(TxnDepB,$O1911)=0,"",INDEX(TxnDepB,$O1911)),""))</f>
        <v/>
      </c>
      <c r="J1911" s="19">
        <f>IF($N1911&lt;&gt;"",IF(INDEX(PCOp,$N1911)="مرجوعی خرید",IF(INDEX(PCAmount,$N1911)=0,"",-INDEX(PCAmount,$N1911)),""),IF($O1911&lt;&gt;"",IF(INDEX(TxnWitB,$O1911)=0,"",INDEX(TxnWitB,$O1911)),""))</f>
        <v/>
      </c>
      <c r="K1911" s="21">
        <f>IF($B1911="","",IF($K1910="",$C$10,$K1910)+IF($I1911="",0,$I1911)-IF($J1911="",0,$J1911))</f>
        <v/>
      </c>
      <c r="L1911" s="22">
        <f>IF($N1911&lt;&gt;"",IF(INDEX(PCNotes,$N1911)="","—",INDEX(PCNotes,$N1911)),IF($O1911&lt;&gt;"",IF(INDEX(LdgNoteB,$O1911)="","—",INDEX(LdgNoteB,$O1911)),""))</f>
        <v/>
      </c>
      <c r="N1911">
        <f>IFERROR(MATCH($C$5&amp;"|"&amp;RIGHT("000000"&amp;1895,6),LdgRankKeyA,0),"")</f>
        <v/>
      </c>
      <c r="O1911">
        <f>IFERROR(MATCH($C$5&amp;"|"&amp;RIGHT("000000"&amp;1895,6),LdgRankKeyB,0),"")</f>
        <v/>
      </c>
    </row>
    <row r="1912">
      <c r="A1912" s="23" t="n">
        <v>1896</v>
      </c>
      <c r="B1912" s="24">
        <f>IF(AND($N1912="",$O1912=""),"",IF($N1912&lt;&gt;"",INDEX(PCNormDate,$N1912),INDEX(LdgDateB,$O1912)))</f>
        <v/>
      </c>
      <c r="C1912" s="24">
        <f>IF($N1912&lt;&gt;"",INDEX(PCOp,$N1912),IF($O1912&lt;&gt;"",IF(N(INDEX(TxnDepB,$O1912))&gt;0,"دریافت بانکی","پرداخت بانکی"),""))</f>
        <v/>
      </c>
      <c r="D1912" s="24">
        <f>IF($N1912&lt;&gt;"",IF(INDEX(PCDoc,$N1912)="","—",INDEX(PCDoc,$N1912)),IF($O1912&lt;&gt;"",INDEX(LdgBankB,$O1912),""))</f>
        <v/>
      </c>
      <c r="E1912" s="24">
        <f>IF($N1912&lt;&gt;"",IF(INDEX(PCCitrus,$N1912)="","—",INDEX(PCCitrus,$N1912)),"")</f>
        <v/>
      </c>
      <c r="F1912" s="25">
        <f>IF($N1912&lt;&gt;"",IF(INDEX(PCScale,$N1912)=0,"",INDEX(PCScale,$N1912)),"")</f>
        <v/>
      </c>
      <c r="G1912" s="25">
        <f>IF($N1912&lt;&gt;"",IF(INDEX(PCBaskets,$N1912)=0,"",INDEX(PCBaskets,$N1912)),"")</f>
        <v/>
      </c>
      <c r="H1912" s="26">
        <f>IF($N1912&lt;&gt;"",IF(INDEX(PCNet,$N1912)=0,"",INDEX(PCNet,$N1912)),"")</f>
        <v/>
      </c>
      <c r="I1912" s="25">
        <f>IF($N1912&lt;&gt;"",IF(INDEX(PCOp,$N1912)="مرجوعی خرید","",IF(INDEX(PCAmount,$N1912)&lt;=0,"",INDEX(PCAmount,$N1912))),IF($O1912&lt;&gt;"",IF(INDEX(TxnDepB,$O1912)=0,"",INDEX(TxnDepB,$O1912)),""))</f>
        <v/>
      </c>
      <c r="J1912" s="25">
        <f>IF($N1912&lt;&gt;"",IF(INDEX(PCOp,$N1912)="مرجوعی خرید",IF(INDEX(PCAmount,$N1912)=0,"",-INDEX(PCAmount,$N1912)),""),IF($O1912&lt;&gt;"",IF(INDEX(TxnWitB,$O1912)=0,"",INDEX(TxnWitB,$O1912)),""))</f>
        <v/>
      </c>
      <c r="K1912" s="27">
        <f>IF($B1912="","",IF($K1911="",$C$10,$K1911)+IF($I1912="",0,$I1912)-IF($J1912="",0,$J1912))</f>
        <v/>
      </c>
      <c r="L1912" s="28">
        <f>IF($N1912&lt;&gt;"",IF(INDEX(PCNotes,$N1912)="","—",INDEX(PCNotes,$N1912)),IF($O1912&lt;&gt;"",IF(INDEX(LdgNoteB,$O1912)="","—",INDEX(LdgNoteB,$O1912)),""))</f>
        <v/>
      </c>
      <c r="N1912">
        <f>IFERROR(MATCH($C$5&amp;"|"&amp;RIGHT("000000"&amp;1896,6),LdgRankKeyA,0),"")</f>
        <v/>
      </c>
      <c r="O1912">
        <f>IFERROR(MATCH($C$5&amp;"|"&amp;RIGHT("000000"&amp;1896,6),LdgRankKeyB,0),"")</f>
        <v/>
      </c>
    </row>
    <row r="1913">
      <c r="A1913" s="17" t="n">
        <v>1897</v>
      </c>
      <c r="B1913" s="18">
        <f>IF(AND($N1913="",$O1913=""),"",IF($N1913&lt;&gt;"",INDEX(PCNormDate,$N1913),INDEX(LdgDateB,$O1913)))</f>
        <v/>
      </c>
      <c r="C1913" s="18">
        <f>IF($N1913&lt;&gt;"",INDEX(PCOp,$N1913),IF($O1913&lt;&gt;"",IF(N(INDEX(TxnDepB,$O1913))&gt;0,"دریافت بانکی","پرداخت بانکی"),""))</f>
        <v/>
      </c>
      <c r="D1913" s="18">
        <f>IF($N1913&lt;&gt;"",IF(INDEX(PCDoc,$N1913)="","—",INDEX(PCDoc,$N1913)),IF($O1913&lt;&gt;"",INDEX(LdgBankB,$O1913),""))</f>
        <v/>
      </c>
      <c r="E1913" s="18">
        <f>IF($N1913&lt;&gt;"",IF(INDEX(PCCitrus,$N1913)="","—",INDEX(PCCitrus,$N1913)),"")</f>
        <v/>
      </c>
      <c r="F1913" s="19">
        <f>IF($N1913&lt;&gt;"",IF(INDEX(PCScale,$N1913)=0,"",INDEX(PCScale,$N1913)),"")</f>
        <v/>
      </c>
      <c r="G1913" s="19">
        <f>IF($N1913&lt;&gt;"",IF(INDEX(PCBaskets,$N1913)=0,"",INDEX(PCBaskets,$N1913)),"")</f>
        <v/>
      </c>
      <c r="H1913" s="20">
        <f>IF($N1913&lt;&gt;"",IF(INDEX(PCNet,$N1913)=0,"",INDEX(PCNet,$N1913)),"")</f>
        <v/>
      </c>
      <c r="I1913" s="19">
        <f>IF($N1913&lt;&gt;"",IF(INDEX(PCOp,$N1913)="مرجوعی خرید","",IF(INDEX(PCAmount,$N1913)&lt;=0,"",INDEX(PCAmount,$N1913))),IF($O1913&lt;&gt;"",IF(INDEX(TxnDepB,$O1913)=0,"",INDEX(TxnDepB,$O1913)),""))</f>
        <v/>
      </c>
      <c r="J1913" s="19">
        <f>IF($N1913&lt;&gt;"",IF(INDEX(PCOp,$N1913)="مرجوعی خرید",IF(INDEX(PCAmount,$N1913)=0,"",-INDEX(PCAmount,$N1913)),""),IF($O1913&lt;&gt;"",IF(INDEX(TxnWitB,$O1913)=0,"",INDEX(TxnWitB,$O1913)),""))</f>
        <v/>
      </c>
      <c r="K1913" s="21">
        <f>IF($B1913="","",IF($K1912="",$C$10,$K1912)+IF($I1913="",0,$I1913)-IF($J1913="",0,$J1913))</f>
        <v/>
      </c>
      <c r="L1913" s="22">
        <f>IF($N1913&lt;&gt;"",IF(INDEX(PCNotes,$N1913)="","—",INDEX(PCNotes,$N1913)),IF($O1913&lt;&gt;"",IF(INDEX(LdgNoteB,$O1913)="","—",INDEX(LdgNoteB,$O1913)),""))</f>
        <v/>
      </c>
      <c r="N1913">
        <f>IFERROR(MATCH($C$5&amp;"|"&amp;RIGHT("000000"&amp;1897,6),LdgRankKeyA,0),"")</f>
        <v/>
      </c>
      <c r="O1913">
        <f>IFERROR(MATCH($C$5&amp;"|"&amp;RIGHT("000000"&amp;1897,6),LdgRankKeyB,0),"")</f>
        <v/>
      </c>
    </row>
    <row r="1914">
      <c r="A1914" s="23" t="n">
        <v>1898</v>
      </c>
      <c r="B1914" s="24">
        <f>IF(AND($N1914="",$O1914=""),"",IF($N1914&lt;&gt;"",INDEX(PCNormDate,$N1914),INDEX(LdgDateB,$O1914)))</f>
        <v/>
      </c>
      <c r="C1914" s="24">
        <f>IF($N1914&lt;&gt;"",INDEX(PCOp,$N1914),IF($O1914&lt;&gt;"",IF(N(INDEX(TxnDepB,$O1914))&gt;0,"دریافت بانکی","پرداخت بانکی"),""))</f>
        <v/>
      </c>
      <c r="D1914" s="24">
        <f>IF($N1914&lt;&gt;"",IF(INDEX(PCDoc,$N1914)="","—",INDEX(PCDoc,$N1914)),IF($O1914&lt;&gt;"",INDEX(LdgBankB,$O1914),""))</f>
        <v/>
      </c>
      <c r="E1914" s="24">
        <f>IF($N1914&lt;&gt;"",IF(INDEX(PCCitrus,$N1914)="","—",INDEX(PCCitrus,$N1914)),"")</f>
        <v/>
      </c>
      <c r="F1914" s="25">
        <f>IF($N1914&lt;&gt;"",IF(INDEX(PCScale,$N1914)=0,"",INDEX(PCScale,$N1914)),"")</f>
        <v/>
      </c>
      <c r="G1914" s="25">
        <f>IF($N1914&lt;&gt;"",IF(INDEX(PCBaskets,$N1914)=0,"",INDEX(PCBaskets,$N1914)),"")</f>
        <v/>
      </c>
      <c r="H1914" s="26">
        <f>IF($N1914&lt;&gt;"",IF(INDEX(PCNet,$N1914)=0,"",INDEX(PCNet,$N1914)),"")</f>
        <v/>
      </c>
      <c r="I1914" s="25">
        <f>IF($N1914&lt;&gt;"",IF(INDEX(PCOp,$N1914)="مرجوعی خرید","",IF(INDEX(PCAmount,$N1914)&lt;=0,"",INDEX(PCAmount,$N1914))),IF($O1914&lt;&gt;"",IF(INDEX(TxnDepB,$O1914)=0,"",INDEX(TxnDepB,$O1914)),""))</f>
        <v/>
      </c>
      <c r="J1914" s="25">
        <f>IF($N1914&lt;&gt;"",IF(INDEX(PCOp,$N1914)="مرجوعی خرید",IF(INDEX(PCAmount,$N1914)=0,"",-INDEX(PCAmount,$N1914)),""),IF($O1914&lt;&gt;"",IF(INDEX(TxnWitB,$O1914)=0,"",INDEX(TxnWitB,$O1914)),""))</f>
        <v/>
      </c>
      <c r="K1914" s="27">
        <f>IF($B1914="","",IF($K1913="",$C$10,$K1913)+IF($I1914="",0,$I1914)-IF($J1914="",0,$J1914))</f>
        <v/>
      </c>
      <c r="L1914" s="28">
        <f>IF($N1914&lt;&gt;"",IF(INDEX(PCNotes,$N1914)="","—",INDEX(PCNotes,$N1914)),IF($O1914&lt;&gt;"",IF(INDEX(LdgNoteB,$O1914)="","—",INDEX(LdgNoteB,$O1914)),""))</f>
        <v/>
      </c>
      <c r="N1914">
        <f>IFERROR(MATCH($C$5&amp;"|"&amp;RIGHT("000000"&amp;1898,6),LdgRankKeyA,0),"")</f>
        <v/>
      </c>
      <c r="O1914">
        <f>IFERROR(MATCH($C$5&amp;"|"&amp;RIGHT("000000"&amp;1898,6),LdgRankKeyB,0),"")</f>
        <v/>
      </c>
    </row>
    <row r="1915">
      <c r="A1915" s="17" t="n">
        <v>1899</v>
      </c>
      <c r="B1915" s="18">
        <f>IF(AND($N1915="",$O1915=""),"",IF($N1915&lt;&gt;"",INDEX(PCNormDate,$N1915),INDEX(LdgDateB,$O1915)))</f>
        <v/>
      </c>
      <c r="C1915" s="18">
        <f>IF($N1915&lt;&gt;"",INDEX(PCOp,$N1915),IF($O1915&lt;&gt;"",IF(N(INDEX(TxnDepB,$O1915))&gt;0,"دریافت بانکی","پرداخت بانکی"),""))</f>
        <v/>
      </c>
      <c r="D1915" s="18">
        <f>IF($N1915&lt;&gt;"",IF(INDEX(PCDoc,$N1915)="","—",INDEX(PCDoc,$N1915)),IF($O1915&lt;&gt;"",INDEX(LdgBankB,$O1915),""))</f>
        <v/>
      </c>
      <c r="E1915" s="18">
        <f>IF($N1915&lt;&gt;"",IF(INDEX(PCCitrus,$N1915)="","—",INDEX(PCCitrus,$N1915)),"")</f>
        <v/>
      </c>
      <c r="F1915" s="19">
        <f>IF($N1915&lt;&gt;"",IF(INDEX(PCScale,$N1915)=0,"",INDEX(PCScale,$N1915)),"")</f>
        <v/>
      </c>
      <c r="G1915" s="19">
        <f>IF($N1915&lt;&gt;"",IF(INDEX(PCBaskets,$N1915)=0,"",INDEX(PCBaskets,$N1915)),"")</f>
        <v/>
      </c>
      <c r="H1915" s="20">
        <f>IF($N1915&lt;&gt;"",IF(INDEX(PCNet,$N1915)=0,"",INDEX(PCNet,$N1915)),"")</f>
        <v/>
      </c>
      <c r="I1915" s="19">
        <f>IF($N1915&lt;&gt;"",IF(INDEX(PCOp,$N1915)="مرجوعی خرید","",IF(INDEX(PCAmount,$N1915)&lt;=0,"",INDEX(PCAmount,$N1915))),IF($O1915&lt;&gt;"",IF(INDEX(TxnDepB,$O1915)=0,"",INDEX(TxnDepB,$O1915)),""))</f>
        <v/>
      </c>
      <c r="J1915" s="19">
        <f>IF($N1915&lt;&gt;"",IF(INDEX(PCOp,$N1915)="مرجوعی خرید",IF(INDEX(PCAmount,$N1915)=0,"",-INDEX(PCAmount,$N1915)),""),IF($O1915&lt;&gt;"",IF(INDEX(TxnWitB,$O1915)=0,"",INDEX(TxnWitB,$O1915)),""))</f>
        <v/>
      </c>
      <c r="K1915" s="21">
        <f>IF($B1915="","",IF($K1914="",$C$10,$K1914)+IF($I1915="",0,$I1915)-IF($J1915="",0,$J1915))</f>
        <v/>
      </c>
      <c r="L1915" s="22">
        <f>IF($N1915&lt;&gt;"",IF(INDEX(PCNotes,$N1915)="","—",INDEX(PCNotes,$N1915)),IF($O1915&lt;&gt;"",IF(INDEX(LdgNoteB,$O1915)="","—",INDEX(LdgNoteB,$O1915)),""))</f>
        <v/>
      </c>
      <c r="N1915">
        <f>IFERROR(MATCH($C$5&amp;"|"&amp;RIGHT("000000"&amp;1899,6),LdgRankKeyA,0),"")</f>
        <v/>
      </c>
      <c r="O1915">
        <f>IFERROR(MATCH($C$5&amp;"|"&amp;RIGHT("000000"&amp;1899,6),LdgRankKeyB,0),"")</f>
        <v/>
      </c>
    </row>
    <row r="1916">
      <c r="A1916" s="23" t="n">
        <v>1900</v>
      </c>
      <c r="B1916" s="24">
        <f>IF(AND($N1916="",$O1916=""),"",IF($N1916&lt;&gt;"",INDEX(PCNormDate,$N1916),INDEX(LdgDateB,$O1916)))</f>
        <v/>
      </c>
      <c r="C1916" s="24">
        <f>IF($N1916&lt;&gt;"",INDEX(PCOp,$N1916),IF($O1916&lt;&gt;"",IF(N(INDEX(TxnDepB,$O1916))&gt;0,"دریافت بانکی","پرداخت بانکی"),""))</f>
        <v/>
      </c>
      <c r="D1916" s="24">
        <f>IF($N1916&lt;&gt;"",IF(INDEX(PCDoc,$N1916)="","—",INDEX(PCDoc,$N1916)),IF($O1916&lt;&gt;"",INDEX(LdgBankB,$O1916),""))</f>
        <v/>
      </c>
      <c r="E1916" s="24">
        <f>IF($N1916&lt;&gt;"",IF(INDEX(PCCitrus,$N1916)="","—",INDEX(PCCitrus,$N1916)),"")</f>
        <v/>
      </c>
      <c r="F1916" s="25">
        <f>IF($N1916&lt;&gt;"",IF(INDEX(PCScale,$N1916)=0,"",INDEX(PCScale,$N1916)),"")</f>
        <v/>
      </c>
      <c r="G1916" s="25">
        <f>IF($N1916&lt;&gt;"",IF(INDEX(PCBaskets,$N1916)=0,"",INDEX(PCBaskets,$N1916)),"")</f>
        <v/>
      </c>
      <c r="H1916" s="26">
        <f>IF($N1916&lt;&gt;"",IF(INDEX(PCNet,$N1916)=0,"",INDEX(PCNet,$N1916)),"")</f>
        <v/>
      </c>
      <c r="I1916" s="25">
        <f>IF($N1916&lt;&gt;"",IF(INDEX(PCOp,$N1916)="مرجوعی خرید","",IF(INDEX(PCAmount,$N1916)&lt;=0,"",INDEX(PCAmount,$N1916))),IF($O1916&lt;&gt;"",IF(INDEX(TxnDepB,$O1916)=0,"",INDEX(TxnDepB,$O1916)),""))</f>
        <v/>
      </c>
      <c r="J1916" s="25">
        <f>IF($N1916&lt;&gt;"",IF(INDEX(PCOp,$N1916)="مرجوعی خرید",IF(INDEX(PCAmount,$N1916)=0,"",-INDEX(PCAmount,$N1916)),""),IF($O1916&lt;&gt;"",IF(INDEX(TxnWitB,$O1916)=0,"",INDEX(TxnWitB,$O1916)),""))</f>
        <v/>
      </c>
      <c r="K1916" s="27">
        <f>IF($B1916="","",IF($K1915="",$C$10,$K1915)+IF($I1916="",0,$I1916)-IF($J1916="",0,$J1916))</f>
        <v/>
      </c>
      <c r="L1916" s="28">
        <f>IF($N1916&lt;&gt;"",IF(INDEX(PCNotes,$N1916)="","—",INDEX(PCNotes,$N1916)),IF($O1916&lt;&gt;"",IF(INDEX(LdgNoteB,$O1916)="","—",INDEX(LdgNoteB,$O1916)),""))</f>
        <v/>
      </c>
      <c r="N1916">
        <f>IFERROR(MATCH($C$5&amp;"|"&amp;RIGHT("000000"&amp;1900,6),LdgRankKeyA,0),"")</f>
        <v/>
      </c>
      <c r="O1916">
        <f>IFERROR(MATCH($C$5&amp;"|"&amp;RIGHT("000000"&amp;1900,6),LdgRankKeyB,0),"")</f>
        <v/>
      </c>
    </row>
    <row r="1917">
      <c r="A1917" s="17" t="n">
        <v>1901</v>
      </c>
      <c r="B1917" s="18">
        <f>IF(AND($N1917="",$O1917=""),"",IF($N1917&lt;&gt;"",INDEX(PCNormDate,$N1917),INDEX(LdgDateB,$O1917)))</f>
        <v/>
      </c>
      <c r="C1917" s="18">
        <f>IF($N1917&lt;&gt;"",INDEX(PCOp,$N1917),IF($O1917&lt;&gt;"",IF(N(INDEX(TxnDepB,$O1917))&gt;0,"دریافت بانکی","پرداخت بانکی"),""))</f>
        <v/>
      </c>
      <c r="D1917" s="18">
        <f>IF($N1917&lt;&gt;"",IF(INDEX(PCDoc,$N1917)="","—",INDEX(PCDoc,$N1917)),IF($O1917&lt;&gt;"",INDEX(LdgBankB,$O1917),""))</f>
        <v/>
      </c>
      <c r="E1917" s="18">
        <f>IF($N1917&lt;&gt;"",IF(INDEX(PCCitrus,$N1917)="","—",INDEX(PCCitrus,$N1917)),"")</f>
        <v/>
      </c>
      <c r="F1917" s="19">
        <f>IF($N1917&lt;&gt;"",IF(INDEX(PCScale,$N1917)=0,"",INDEX(PCScale,$N1917)),"")</f>
        <v/>
      </c>
      <c r="G1917" s="19">
        <f>IF($N1917&lt;&gt;"",IF(INDEX(PCBaskets,$N1917)=0,"",INDEX(PCBaskets,$N1917)),"")</f>
        <v/>
      </c>
      <c r="H1917" s="20">
        <f>IF($N1917&lt;&gt;"",IF(INDEX(PCNet,$N1917)=0,"",INDEX(PCNet,$N1917)),"")</f>
        <v/>
      </c>
      <c r="I1917" s="19">
        <f>IF($N1917&lt;&gt;"",IF(INDEX(PCOp,$N1917)="مرجوعی خرید","",IF(INDEX(PCAmount,$N1917)&lt;=0,"",INDEX(PCAmount,$N1917))),IF($O1917&lt;&gt;"",IF(INDEX(TxnDepB,$O1917)=0,"",INDEX(TxnDepB,$O1917)),""))</f>
        <v/>
      </c>
      <c r="J1917" s="19">
        <f>IF($N1917&lt;&gt;"",IF(INDEX(PCOp,$N1917)="مرجوعی خرید",IF(INDEX(PCAmount,$N1917)=0,"",-INDEX(PCAmount,$N1917)),""),IF($O1917&lt;&gt;"",IF(INDEX(TxnWitB,$O1917)=0,"",INDEX(TxnWitB,$O1917)),""))</f>
        <v/>
      </c>
      <c r="K1917" s="21">
        <f>IF($B1917="","",IF($K1916="",$C$10,$K1916)+IF($I1917="",0,$I1917)-IF($J1917="",0,$J1917))</f>
        <v/>
      </c>
      <c r="L1917" s="22">
        <f>IF($N1917&lt;&gt;"",IF(INDEX(PCNotes,$N1917)="","—",INDEX(PCNotes,$N1917)),IF($O1917&lt;&gt;"",IF(INDEX(LdgNoteB,$O1917)="","—",INDEX(LdgNoteB,$O1917)),""))</f>
        <v/>
      </c>
      <c r="N1917">
        <f>IFERROR(MATCH($C$5&amp;"|"&amp;RIGHT("000000"&amp;1901,6),LdgRankKeyA,0),"")</f>
        <v/>
      </c>
      <c r="O1917">
        <f>IFERROR(MATCH($C$5&amp;"|"&amp;RIGHT("000000"&amp;1901,6),LdgRankKeyB,0),"")</f>
        <v/>
      </c>
    </row>
    <row r="1918">
      <c r="A1918" s="23" t="n">
        <v>1902</v>
      </c>
      <c r="B1918" s="24">
        <f>IF(AND($N1918="",$O1918=""),"",IF($N1918&lt;&gt;"",INDEX(PCNormDate,$N1918),INDEX(LdgDateB,$O1918)))</f>
        <v/>
      </c>
      <c r="C1918" s="24">
        <f>IF($N1918&lt;&gt;"",INDEX(PCOp,$N1918),IF($O1918&lt;&gt;"",IF(N(INDEX(TxnDepB,$O1918))&gt;0,"دریافت بانکی","پرداخت بانکی"),""))</f>
        <v/>
      </c>
      <c r="D1918" s="24">
        <f>IF($N1918&lt;&gt;"",IF(INDEX(PCDoc,$N1918)="","—",INDEX(PCDoc,$N1918)),IF($O1918&lt;&gt;"",INDEX(LdgBankB,$O1918),""))</f>
        <v/>
      </c>
      <c r="E1918" s="24">
        <f>IF($N1918&lt;&gt;"",IF(INDEX(PCCitrus,$N1918)="","—",INDEX(PCCitrus,$N1918)),"")</f>
        <v/>
      </c>
      <c r="F1918" s="25">
        <f>IF($N1918&lt;&gt;"",IF(INDEX(PCScale,$N1918)=0,"",INDEX(PCScale,$N1918)),"")</f>
        <v/>
      </c>
      <c r="G1918" s="25">
        <f>IF($N1918&lt;&gt;"",IF(INDEX(PCBaskets,$N1918)=0,"",INDEX(PCBaskets,$N1918)),"")</f>
        <v/>
      </c>
      <c r="H1918" s="26">
        <f>IF($N1918&lt;&gt;"",IF(INDEX(PCNet,$N1918)=0,"",INDEX(PCNet,$N1918)),"")</f>
        <v/>
      </c>
      <c r="I1918" s="25">
        <f>IF($N1918&lt;&gt;"",IF(INDEX(PCOp,$N1918)="مرجوعی خرید","",IF(INDEX(PCAmount,$N1918)&lt;=0,"",INDEX(PCAmount,$N1918))),IF($O1918&lt;&gt;"",IF(INDEX(TxnDepB,$O1918)=0,"",INDEX(TxnDepB,$O1918)),""))</f>
        <v/>
      </c>
      <c r="J1918" s="25">
        <f>IF($N1918&lt;&gt;"",IF(INDEX(PCOp,$N1918)="مرجوعی خرید",IF(INDEX(PCAmount,$N1918)=0,"",-INDEX(PCAmount,$N1918)),""),IF($O1918&lt;&gt;"",IF(INDEX(TxnWitB,$O1918)=0,"",INDEX(TxnWitB,$O1918)),""))</f>
        <v/>
      </c>
      <c r="K1918" s="27">
        <f>IF($B1918="","",IF($K1917="",$C$10,$K1917)+IF($I1918="",0,$I1918)-IF($J1918="",0,$J1918))</f>
        <v/>
      </c>
      <c r="L1918" s="28">
        <f>IF($N1918&lt;&gt;"",IF(INDEX(PCNotes,$N1918)="","—",INDEX(PCNotes,$N1918)),IF($O1918&lt;&gt;"",IF(INDEX(LdgNoteB,$O1918)="","—",INDEX(LdgNoteB,$O1918)),""))</f>
        <v/>
      </c>
      <c r="N1918">
        <f>IFERROR(MATCH($C$5&amp;"|"&amp;RIGHT("000000"&amp;1902,6),LdgRankKeyA,0),"")</f>
        <v/>
      </c>
      <c r="O1918">
        <f>IFERROR(MATCH($C$5&amp;"|"&amp;RIGHT("000000"&amp;1902,6),LdgRankKeyB,0),"")</f>
        <v/>
      </c>
    </row>
    <row r="1919">
      <c r="A1919" s="17" t="n">
        <v>1903</v>
      </c>
      <c r="B1919" s="18">
        <f>IF(AND($N1919="",$O1919=""),"",IF($N1919&lt;&gt;"",INDEX(PCNormDate,$N1919),INDEX(LdgDateB,$O1919)))</f>
        <v/>
      </c>
      <c r="C1919" s="18">
        <f>IF($N1919&lt;&gt;"",INDEX(PCOp,$N1919),IF($O1919&lt;&gt;"",IF(N(INDEX(TxnDepB,$O1919))&gt;0,"دریافت بانکی","پرداخت بانکی"),""))</f>
        <v/>
      </c>
      <c r="D1919" s="18">
        <f>IF($N1919&lt;&gt;"",IF(INDEX(PCDoc,$N1919)="","—",INDEX(PCDoc,$N1919)),IF($O1919&lt;&gt;"",INDEX(LdgBankB,$O1919),""))</f>
        <v/>
      </c>
      <c r="E1919" s="18">
        <f>IF($N1919&lt;&gt;"",IF(INDEX(PCCitrus,$N1919)="","—",INDEX(PCCitrus,$N1919)),"")</f>
        <v/>
      </c>
      <c r="F1919" s="19">
        <f>IF($N1919&lt;&gt;"",IF(INDEX(PCScale,$N1919)=0,"",INDEX(PCScale,$N1919)),"")</f>
        <v/>
      </c>
      <c r="G1919" s="19">
        <f>IF($N1919&lt;&gt;"",IF(INDEX(PCBaskets,$N1919)=0,"",INDEX(PCBaskets,$N1919)),"")</f>
        <v/>
      </c>
      <c r="H1919" s="20">
        <f>IF($N1919&lt;&gt;"",IF(INDEX(PCNet,$N1919)=0,"",INDEX(PCNet,$N1919)),"")</f>
        <v/>
      </c>
      <c r="I1919" s="19">
        <f>IF($N1919&lt;&gt;"",IF(INDEX(PCOp,$N1919)="مرجوعی خرید","",IF(INDEX(PCAmount,$N1919)&lt;=0,"",INDEX(PCAmount,$N1919))),IF($O1919&lt;&gt;"",IF(INDEX(TxnDepB,$O1919)=0,"",INDEX(TxnDepB,$O1919)),""))</f>
        <v/>
      </c>
      <c r="J1919" s="19">
        <f>IF($N1919&lt;&gt;"",IF(INDEX(PCOp,$N1919)="مرجوعی خرید",IF(INDEX(PCAmount,$N1919)=0,"",-INDEX(PCAmount,$N1919)),""),IF($O1919&lt;&gt;"",IF(INDEX(TxnWitB,$O1919)=0,"",INDEX(TxnWitB,$O1919)),""))</f>
        <v/>
      </c>
      <c r="K1919" s="21">
        <f>IF($B1919="","",IF($K1918="",$C$10,$K1918)+IF($I1919="",0,$I1919)-IF($J1919="",0,$J1919))</f>
        <v/>
      </c>
      <c r="L1919" s="22">
        <f>IF($N1919&lt;&gt;"",IF(INDEX(PCNotes,$N1919)="","—",INDEX(PCNotes,$N1919)),IF($O1919&lt;&gt;"",IF(INDEX(LdgNoteB,$O1919)="","—",INDEX(LdgNoteB,$O1919)),""))</f>
        <v/>
      </c>
      <c r="N1919">
        <f>IFERROR(MATCH($C$5&amp;"|"&amp;RIGHT("000000"&amp;1903,6),LdgRankKeyA,0),"")</f>
        <v/>
      </c>
      <c r="O1919">
        <f>IFERROR(MATCH($C$5&amp;"|"&amp;RIGHT("000000"&amp;1903,6),LdgRankKeyB,0),"")</f>
        <v/>
      </c>
    </row>
    <row r="1920">
      <c r="A1920" s="23" t="n">
        <v>1904</v>
      </c>
      <c r="B1920" s="24">
        <f>IF(AND($N1920="",$O1920=""),"",IF($N1920&lt;&gt;"",INDEX(PCNormDate,$N1920),INDEX(LdgDateB,$O1920)))</f>
        <v/>
      </c>
      <c r="C1920" s="24">
        <f>IF($N1920&lt;&gt;"",INDEX(PCOp,$N1920),IF($O1920&lt;&gt;"",IF(N(INDEX(TxnDepB,$O1920))&gt;0,"دریافت بانکی","پرداخت بانکی"),""))</f>
        <v/>
      </c>
      <c r="D1920" s="24">
        <f>IF($N1920&lt;&gt;"",IF(INDEX(PCDoc,$N1920)="","—",INDEX(PCDoc,$N1920)),IF($O1920&lt;&gt;"",INDEX(LdgBankB,$O1920),""))</f>
        <v/>
      </c>
      <c r="E1920" s="24">
        <f>IF($N1920&lt;&gt;"",IF(INDEX(PCCitrus,$N1920)="","—",INDEX(PCCitrus,$N1920)),"")</f>
        <v/>
      </c>
      <c r="F1920" s="25">
        <f>IF($N1920&lt;&gt;"",IF(INDEX(PCScale,$N1920)=0,"",INDEX(PCScale,$N1920)),"")</f>
        <v/>
      </c>
      <c r="G1920" s="25">
        <f>IF($N1920&lt;&gt;"",IF(INDEX(PCBaskets,$N1920)=0,"",INDEX(PCBaskets,$N1920)),"")</f>
        <v/>
      </c>
      <c r="H1920" s="26">
        <f>IF($N1920&lt;&gt;"",IF(INDEX(PCNet,$N1920)=0,"",INDEX(PCNet,$N1920)),"")</f>
        <v/>
      </c>
      <c r="I1920" s="25">
        <f>IF($N1920&lt;&gt;"",IF(INDEX(PCOp,$N1920)="مرجوعی خرید","",IF(INDEX(PCAmount,$N1920)&lt;=0,"",INDEX(PCAmount,$N1920))),IF($O1920&lt;&gt;"",IF(INDEX(TxnDepB,$O1920)=0,"",INDEX(TxnDepB,$O1920)),""))</f>
        <v/>
      </c>
      <c r="J1920" s="25">
        <f>IF($N1920&lt;&gt;"",IF(INDEX(PCOp,$N1920)="مرجوعی خرید",IF(INDEX(PCAmount,$N1920)=0,"",-INDEX(PCAmount,$N1920)),""),IF($O1920&lt;&gt;"",IF(INDEX(TxnWitB,$O1920)=0,"",INDEX(TxnWitB,$O1920)),""))</f>
        <v/>
      </c>
      <c r="K1920" s="27">
        <f>IF($B1920="","",IF($K1919="",$C$10,$K1919)+IF($I1920="",0,$I1920)-IF($J1920="",0,$J1920))</f>
        <v/>
      </c>
      <c r="L1920" s="28">
        <f>IF($N1920&lt;&gt;"",IF(INDEX(PCNotes,$N1920)="","—",INDEX(PCNotes,$N1920)),IF($O1920&lt;&gt;"",IF(INDEX(LdgNoteB,$O1920)="","—",INDEX(LdgNoteB,$O1920)),""))</f>
        <v/>
      </c>
      <c r="N1920">
        <f>IFERROR(MATCH($C$5&amp;"|"&amp;RIGHT("000000"&amp;1904,6),LdgRankKeyA,0),"")</f>
        <v/>
      </c>
      <c r="O1920">
        <f>IFERROR(MATCH($C$5&amp;"|"&amp;RIGHT("000000"&amp;1904,6),LdgRankKeyB,0),"")</f>
        <v/>
      </c>
    </row>
    <row r="1921">
      <c r="A1921" s="17" t="n">
        <v>1905</v>
      </c>
      <c r="B1921" s="18">
        <f>IF(AND($N1921="",$O1921=""),"",IF($N1921&lt;&gt;"",INDEX(PCNormDate,$N1921),INDEX(LdgDateB,$O1921)))</f>
        <v/>
      </c>
      <c r="C1921" s="18">
        <f>IF($N1921&lt;&gt;"",INDEX(PCOp,$N1921),IF($O1921&lt;&gt;"",IF(N(INDEX(TxnDepB,$O1921))&gt;0,"دریافت بانکی","پرداخت بانکی"),""))</f>
        <v/>
      </c>
      <c r="D1921" s="18">
        <f>IF($N1921&lt;&gt;"",IF(INDEX(PCDoc,$N1921)="","—",INDEX(PCDoc,$N1921)),IF($O1921&lt;&gt;"",INDEX(LdgBankB,$O1921),""))</f>
        <v/>
      </c>
      <c r="E1921" s="18">
        <f>IF($N1921&lt;&gt;"",IF(INDEX(PCCitrus,$N1921)="","—",INDEX(PCCitrus,$N1921)),"")</f>
        <v/>
      </c>
      <c r="F1921" s="19">
        <f>IF($N1921&lt;&gt;"",IF(INDEX(PCScale,$N1921)=0,"",INDEX(PCScale,$N1921)),"")</f>
        <v/>
      </c>
      <c r="G1921" s="19">
        <f>IF($N1921&lt;&gt;"",IF(INDEX(PCBaskets,$N1921)=0,"",INDEX(PCBaskets,$N1921)),"")</f>
        <v/>
      </c>
      <c r="H1921" s="20">
        <f>IF($N1921&lt;&gt;"",IF(INDEX(PCNet,$N1921)=0,"",INDEX(PCNet,$N1921)),"")</f>
        <v/>
      </c>
      <c r="I1921" s="19">
        <f>IF($N1921&lt;&gt;"",IF(INDEX(PCOp,$N1921)="مرجوعی خرید","",IF(INDEX(PCAmount,$N1921)&lt;=0,"",INDEX(PCAmount,$N1921))),IF($O1921&lt;&gt;"",IF(INDEX(TxnDepB,$O1921)=0,"",INDEX(TxnDepB,$O1921)),""))</f>
        <v/>
      </c>
      <c r="J1921" s="19">
        <f>IF($N1921&lt;&gt;"",IF(INDEX(PCOp,$N1921)="مرجوعی خرید",IF(INDEX(PCAmount,$N1921)=0,"",-INDEX(PCAmount,$N1921)),""),IF($O1921&lt;&gt;"",IF(INDEX(TxnWitB,$O1921)=0,"",INDEX(TxnWitB,$O1921)),""))</f>
        <v/>
      </c>
      <c r="K1921" s="21">
        <f>IF($B1921="","",IF($K1920="",$C$10,$K1920)+IF($I1921="",0,$I1921)-IF($J1921="",0,$J1921))</f>
        <v/>
      </c>
      <c r="L1921" s="22">
        <f>IF($N1921&lt;&gt;"",IF(INDEX(PCNotes,$N1921)="","—",INDEX(PCNotes,$N1921)),IF($O1921&lt;&gt;"",IF(INDEX(LdgNoteB,$O1921)="","—",INDEX(LdgNoteB,$O1921)),""))</f>
        <v/>
      </c>
      <c r="N1921">
        <f>IFERROR(MATCH($C$5&amp;"|"&amp;RIGHT("000000"&amp;1905,6),LdgRankKeyA,0),"")</f>
        <v/>
      </c>
      <c r="O1921">
        <f>IFERROR(MATCH($C$5&amp;"|"&amp;RIGHT("000000"&amp;1905,6),LdgRankKeyB,0),"")</f>
        <v/>
      </c>
    </row>
    <row r="1922">
      <c r="A1922" s="23" t="n">
        <v>1906</v>
      </c>
      <c r="B1922" s="24">
        <f>IF(AND($N1922="",$O1922=""),"",IF($N1922&lt;&gt;"",INDEX(PCNormDate,$N1922),INDEX(LdgDateB,$O1922)))</f>
        <v/>
      </c>
      <c r="C1922" s="24">
        <f>IF($N1922&lt;&gt;"",INDEX(PCOp,$N1922),IF($O1922&lt;&gt;"",IF(N(INDEX(TxnDepB,$O1922))&gt;0,"دریافت بانکی","پرداخت بانکی"),""))</f>
        <v/>
      </c>
      <c r="D1922" s="24">
        <f>IF($N1922&lt;&gt;"",IF(INDEX(PCDoc,$N1922)="","—",INDEX(PCDoc,$N1922)),IF($O1922&lt;&gt;"",INDEX(LdgBankB,$O1922),""))</f>
        <v/>
      </c>
      <c r="E1922" s="24">
        <f>IF($N1922&lt;&gt;"",IF(INDEX(PCCitrus,$N1922)="","—",INDEX(PCCitrus,$N1922)),"")</f>
        <v/>
      </c>
      <c r="F1922" s="25">
        <f>IF($N1922&lt;&gt;"",IF(INDEX(PCScale,$N1922)=0,"",INDEX(PCScale,$N1922)),"")</f>
        <v/>
      </c>
      <c r="G1922" s="25">
        <f>IF($N1922&lt;&gt;"",IF(INDEX(PCBaskets,$N1922)=0,"",INDEX(PCBaskets,$N1922)),"")</f>
        <v/>
      </c>
      <c r="H1922" s="26">
        <f>IF($N1922&lt;&gt;"",IF(INDEX(PCNet,$N1922)=0,"",INDEX(PCNet,$N1922)),"")</f>
        <v/>
      </c>
      <c r="I1922" s="25">
        <f>IF($N1922&lt;&gt;"",IF(INDEX(PCOp,$N1922)="مرجوعی خرید","",IF(INDEX(PCAmount,$N1922)&lt;=0,"",INDEX(PCAmount,$N1922))),IF($O1922&lt;&gt;"",IF(INDEX(TxnDepB,$O1922)=0,"",INDEX(TxnDepB,$O1922)),""))</f>
        <v/>
      </c>
      <c r="J1922" s="25">
        <f>IF($N1922&lt;&gt;"",IF(INDEX(PCOp,$N1922)="مرجوعی خرید",IF(INDEX(PCAmount,$N1922)=0,"",-INDEX(PCAmount,$N1922)),""),IF($O1922&lt;&gt;"",IF(INDEX(TxnWitB,$O1922)=0,"",INDEX(TxnWitB,$O1922)),""))</f>
        <v/>
      </c>
      <c r="K1922" s="27">
        <f>IF($B1922="","",IF($K1921="",$C$10,$K1921)+IF($I1922="",0,$I1922)-IF($J1922="",0,$J1922))</f>
        <v/>
      </c>
      <c r="L1922" s="28">
        <f>IF($N1922&lt;&gt;"",IF(INDEX(PCNotes,$N1922)="","—",INDEX(PCNotes,$N1922)),IF($O1922&lt;&gt;"",IF(INDEX(LdgNoteB,$O1922)="","—",INDEX(LdgNoteB,$O1922)),""))</f>
        <v/>
      </c>
      <c r="N1922">
        <f>IFERROR(MATCH($C$5&amp;"|"&amp;RIGHT("000000"&amp;1906,6),LdgRankKeyA,0),"")</f>
        <v/>
      </c>
      <c r="O1922">
        <f>IFERROR(MATCH($C$5&amp;"|"&amp;RIGHT("000000"&amp;1906,6),LdgRankKeyB,0),"")</f>
        <v/>
      </c>
    </row>
    <row r="1923">
      <c r="A1923" s="17" t="n">
        <v>1907</v>
      </c>
      <c r="B1923" s="18">
        <f>IF(AND($N1923="",$O1923=""),"",IF($N1923&lt;&gt;"",INDEX(PCNormDate,$N1923),INDEX(LdgDateB,$O1923)))</f>
        <v/>
      </c>
      <c r="C1923" s="18">
        <f>IF($N1923&lt;&gt;"",INDEX(PCOp,$N1923),IF($O1923&lt;&gt;"",IF(N(INDEX(TxnDepB,$O1923))&gt;0,"دریافت بانکی","پرداخت بانکی"),""))</f>
        <v/>
      </c>
      <c r="D1923" s="18">
        <f>IF($N1923&lt;&gt;"",IF(INDEX(PCDoc,$N1923)="","—",INDEX(PCDoc,$N1923)),IF($O1923&lt;&gt;"",INDEX(LdgBankB,$O1923),""))</f>
        <v/>
      </c>
      <c r="E1923" s="18">
        <f>IF($N1923&lt;&gt;"",IF(INDEX(PCCitrus,$N1923)="","—",INDEX(PCCitrus,$N1923)),"")</f>
        <v/>
      </c>
      <c r="F1923" s="19">
        <f>IF($N1923&lt;&gt;"",IF(INDEX(PCScale,$N1923)=0,"",INDEX(PCScale,$N1923)),"")</f>
        <v/>
      </c>
      <c r="G1923" s="19">
        <f>IF($N1923&lt;&gt;"",IF(INDEX(PCBaskets,$N1923)=0,"",INDEX(PCBaskets,$N1923)),"")</f>
        <v/>
      </c>
      <c r="H1923" s="20">
        <f>IF($N1923&lt;&gt;"",IF(INDEX(PCNet,$N1923)=0,"",INDEX(PCNet,$N1923)),"")</f>
        <v/>
      </c>
      <c r="I1923" s="19">
        <f>IF($N1923&lt;&gt;"",IF(INDEX(PCOp,$N1923)="مرجوعی خرید","",IF(INDEX(PCAmount,$N1923)&lt;=0,"",INDEX(PCAmount,$N1923))),IF($O1923&lt;&gt;"",IF(INDEX(TxnDepB,$O1923)=0,"",INDEX(TxnDepB,$O1923)),""))</f>
        <v/>
      </c>
      <c r="J1923" s="19">
        <f>IF($N1923&lt;&gt;"",IF(INDEX(PCOp,$N1923)="مرجوعی خرید",IF(INDEX(PCAmount,$N1923)=0,"",-INDEX(PCAmount,$N1923)),""),IF($O1923&lt;&gt;"",IF(INDEX(TxnWitB,$O1923)=0,"",INDEX(TxnWitB,$O1923)),""))</f>
        <v/>
      </c>
      <c r="K1923" s="21">
        <f>IF($B1923="","",IF($K1922="",$C$10,$K1922)+IF($I1923="",0,$I1923)-IF($J1923="",0,$J1923))</f>
        <v/>
      </c>
      <c r="L1923" s="22">
        <f>IF($N1923&lt;&gt;"",IF(INDEX(PCNotes,$N1923)="","—",INDEX(PCNotes,$N1923)),IF($O1923&lt;&gt;"",IF(INDEX(LdgNoteB,$O1923)="","—",INDEX(LdgNoteB,$O1923)),""))</f>
        <v/>
      </c>
      <c r="N1923">
        <f>IFERROR(MATCH($C$5&amp;"|"&amp;RIGHT("000000"&amp;1907,6),LdgRankKeyA,0),"")</f>
        <v/>
      </c>
      <c r="O1923">
        <f>IFERROR(MATCH($C$5&amp;"|"&amp;RIGHT("000000"&amp;1907,6),LdgRankKeyB,0),"")</f>
        <v/>
      </c>
    </row>
    <row r="1924">
      <c r="A1924" s="23" t="n">
        <v>1908</v>
      </c>
      <c r="B1924" s="24">
        <f>IF(AND($N1924="",$O1924=""),"",IF($N1924&lt;&gt;"",INDEX(PCNormDate,$N1924),INDEX(LdgDateB,$O1924)))</f>
        <v/>
      </c>
      <c r="C1924" s="24">
        <f>IF($N1924&lt;&gt;"",INDEX(PCOp,$N1924),IF($O1924&lt;&gt;"",IF(N(INDEX(TxnDepB,$O1924))&gt;0,"دریافت بانکی","پرداخت بانکی"),""))</f>
        <v/>
      </c>
      <c r="D1924" s="24">
        <f>IF($N1924&lt;&gt;"",IF(INDEX(PCDoc,$N1924)="","—",INDEX(PCDoc,$N1924)),IF($O1924&lt;&gt;"",INDEX(LdgBankB,$O1924),""))</f>
        <v/>
      </c>
      <c r="E1924" s="24">
        <f>IF($N1924&lt;&gt;"",IF(INDEX(PCCitrus,$N1924)="","—",INDEX(PCCitrus,$N1924)),"")</f>
        <v/>
      </c>
      <c r="F1924" s="25">
        <f>IF($N1924&lt;&gt;"",IF(INDEX(PCScale,$N1924)=0,"",INDEX(PCScale,$N1924)),"")</f>
        <v/>
      </c>
      <c r="G1924" s="25">
        <f>IF($N1924&lt;&gt;"",IF(INDEX(PCBaskets,$N1924)=0,"",INDEX(PCBaskets,$N1924)),"")</f>
        <v/>
      </c>
      <c r="H1924" s="26">
        <f>IF($N1924&lt;&gt;"",IF(INDEX(PCNet,$N1924)=0,"",INDEX(PCNet,$N1924)),"")</f>
        <v/>
      </c>
      <c r="I1924" s="25">
        <f>IF($N1924&lt;&gt;"",IF(INDEX(PCOp,$N1924)="مرجوعی خرید","",IF(INDEX(PCAmount,$N1924)&lt;=0,"",INDEX(PCAmount,$N1924))),IF($O1924&lt;&gt;"",IF(INDEX(TxnDepB,$O1924)=0,"",INDEX(TxnDepB,$O1924)),""))</f>
        <v/>
      </c>
      <c r="J1924" s="25">
        <f>IF($N1924&lt;&gt;"",IF(INDEX(PCOp,$N1924)="مرجوعی خرید",IF(INDEX(PCAmount,$N1924)=0,"",-INDEX(PCAmount,$N1924)),""),IF($O1924&lt;&gt;"",IF(INDEX(TxnWitB,$O1924)=0,"",INDEX(TxnWitB,$O1924)),""))</f>
        <v/>
      </c>
      <c r="K1924" s="27">
        <f>IF($B1924="","",IF($K1923="",$C$10,$K1923)+IF($I1924="",0,$I1924)-IF($J1924="",0,$J1924))</f>
        <v/>
      </c>
      <c r="L1924" s="28">
        <f>IF($N1924&lt;&gt;"",IF(INDEX(PCNotes,$N1924)="","—",INDEX(PCNotes,$N1924)),IF($O1924&lt;&gt;"",IF(INDEX(LdgNoteB,$O1924)="","—",INDEX(LdgNoteB,$O1924)),""))</f>
        <v/>
      </c>
      <c r="N1924">
        <f>IFERROR(MATCH($C$5&amp;"|"&amp;RIGHT("000000"&amp;1908,6),LdgRankKeyA,0),"")</f>
        <v/>
      </c>
      <c r="O1924">
        <f>IFERROR(MATCH($C$5&amp;"|"&amp;RIGHT("000000"&amp;1908,6),LdgRankKeyB,0),"")</f>
        <v/>
      </c>
    </row>
    <row r="1925">
      <c r="A1925" s="17" t="n">
        <v>1909</v>
      </c>
      <c r="B1925" s="18">
        <f>IF(AND($N1925="",$O1925=""),"",IF($N1925&lt;&gt;"",INDEX(PCNormDate,$N1925),INDEX(LdgDateB,$O1925)))</f>
        <v/>
      </c>
      <c r="C1925" s="18">
        <f>IF($N1925&lt;&gt;"",INDEX(PCOp,$N1925),IF($O1925&lt;&gt;"",IF(N(INDEX(TxnDepB,$O1925))&gt;0,"دریافت بانکی","پرداخت بانکی"),""))</f>
        <v/>
      </c>
      <c r="D1925" s="18">
        <f>IF($N1925&lt;&gt;"",IF(INDEX(PCDoc,$N1925)="","—",INDEX(PCDoc,$N1925)),IF($O1925&lt;&gt;"",INDEX(LdgBankB,$O1925),""))</f>
        <v/>
      </c>
      <c r="E1925" s="18">
        <f>IF($N1925&lt;&gt;"",IF(INDEX(PCCitrus,$N1925)="","—",INDEX(PCCitrus,$N1925)),"")</f>
        <v/>
      </c>
      <c r="F1925" s="19">
        <f>IF($N1925&lt;&gt;"",IF(INDEX(PCScale,$N1925)=0,"",INDEX(PCScale,$N1925)),"")</f>
        <v/>
      </c>
      <c r="G1925" s="19">
        <f>IF($N1925&lt;&gt;"",IF(INDEX(PCBaskets,$N1925)=0,"",INDEX(PCBaskets,$N1925)),"")</f>
        <v/>
      </c>
      <c r="H1925" s="20">
        <f>IF($N1925&lt;&gt;"",IF(INDEX(PCNet,$N1925)=0,"",INDEX(PCNet,$N1925)),"")</f>
        <v/>
      </c>
      <c r="I1925" s="19">
        <f>IF($N1925&lt;&gt;"",IF(INDEX(PCOp,$N1925)="مرجوعی خرید","",IF(INDEX(PCAmount,$N1925)&lt;=0,"",INDEX(PCAmount,$N1925))),IF($O1925&lt;&gt;"",IF(INDEX(TxnDepB,$O1925)=0,"",INDEX(TxnDepB,$O1925)),""))</f>
        <v/>
      </c>
      <c r="J1925" s="19">
        <f>IF($N1925&lt;&gt;"",IF(INDEX(PCOp,$N1925)="مرجوعی خرید",IF(INDEX(PCAmount,$N1925)=0,"",-INDEX(PCAmount,$N1925)),""),IF($O1925&lt;&gt;"",IF(INDEX(TxnWitB,$O1925)=0,"",INDEX(TxnWitB,$O1925)),""))</f>
        <v/>
      </c>
      <c r="K1925" s="21">
        <f>IF($B1925="","",IF($K1924="",$C$10,$K1924)+IF($I1925="",0,$I1925)-IF($J1925="",0,$J1925))</f>
        <v/>
      </c>
      <c r="L1925" s="22">
        <f>IF($N1925&lt;&gt;"",IF(INDEX(PCNotes,$N1925)="","—",INDEX(PCNotes,$N1925)),IF($O1925&lt;&gt;"",IF(INDEX(LdgNoteB,$O1925)="","—",INDEX(LdgNoteB,$O1925)),""))</f>
        <v/>
      </c>
      <c r="N1925">
        <f>IFERROR(MATCH($C$5&amp;"|"&amp;RIGHT("000000"&amp;1909,6),LdgRankKeyA,0),"")</f>
        <v/>
      </c>
      <c r="O1925">
        <f>IFERROR(MATCH($C$5&amp;"|"&amp;RIGHT("000000"&amp;1909,6),LdgRankKeyB,0),"")</f>
        <v/>
      </c>
    </row>
    <row r="1926">
      <c r="A1926" s="23" t="n">
        <v>1910</v>
      </c>
      <c r="B1926" s="24">
        <f>IF(AND($N1926="",$O1926=""),"",IF($N1926&lt;&gt;"",INDEX(PCNormDate,$N1926),INDEX(LdgDateB,$O1926)))</f>
        <v/>
      </c>
      <c r="C1926" s="24">
        <f>IF($N1926&lt;&gt;"",INDEX(PCOp,$N1926),IF($O1926&lt;&gt;"",IF(N(INDEX(TxnDepB,$O1926))&gt;0,"دریافت بانکی","پرداخت بانکی"),""))</f>
        <v/>
      </c>
      <c r="D1926" s="24">
        <f>IF($N1926&lt;&gt;"",IF(INDEX(PCDoc,$N1926)="","—",INDEX(PCDoc,$N1926)),IF($O1926&lt;&gt;"",INDEX(LdgBankB,$O1926),""))</f>
        <v/>
      </c>
      <c r="E1926" s="24">
        <f>IF($N1926&lt;&gt;"",IF(INDEX(PCCitrus,$N1926)="","—",INDEX(PCCitrus,$N1926)),"")</f>
        <v/>
      </c>
      <c r="F1926" s="25">
        <f>IF($N1926&lt;&gt;"",IF(INDEX(PCScale,$N1926)=0,"",INDEX(PCScale,$N1926)),"")</f>
        <v/>
      </c>
      <c r="G1926" s="25">
        <f>IF($N1926&lt;&gt;"",IF(INDEX(PCBaskets,$N1926)=0,"",INDEX(PCBaskets,$N1926)),"")</f>
        <v/>
      </c>
      <c r="H1926" s="26">
        <f>IF($N1926&lt;&gt;"",IF(INDEX(PCNet,$N1926)=0,"",INDEX(PCNet,$N1926)),"")</f>
        <v/>
      </c>
      <c r="I1926" s="25">
        <f>IF($N1926&lt;&gt;"",IF(INDEX(PCOp,$N1926)="مرجوعی خرید","",IF(INDEX(PCAmount,$N1926)&lt;=0,"",INDEX(PCAmount,$N1926))),IF($O1926&lt;&gt;"",IF(INDEX(TxnDepB,$O1926)=0,"",INDEX(TxnDepB,$O1926)),""))</f>
        <v/>
      </c>
      <c r="J1926" s="25">
        <f>IF($N1926&lt;&gt;"",IF(INDEX(PCOp,$N1926)="مرجوعی خرید",IF(INDEX(PCAmount,$N1926)=0,"",-INDEX(PCAmount,$N1926)),""),IF($O1926&lt;&gt;"",IF(INDEX(TxnWitB,$O1926)=0,"",INDEX(TxnWitB,$O1926)),""))</f>
        <v/>
      </c>
      <c r="K1926" s="27">
        <f>IF($B1926="","",IF($K1925="",$C$10,$K1925)+IF($I1926="",0,$I1926)-IF($J1926="",0,$J1926))</f>
        <v/>
      </c>
      <c r="L1926" s="28">
        <f>IF($N1926&lt;&gt;"",IF(INDEX(PCNotes,$N1926)="","—",INDEX(PCNotes,$N1926)),IF($O1926&lt;&gt;"",IF(INDEX(LdgNoteB,$O1926)="","—",INDEX(LdgNoteB,$O1926)),""))</f>
        <v/>
      </c>
      <c r="N1926">
        <f>IFERROR(MATCH($C$5&amp;"|"&amp;RIGHT("000000"&amp;1910,6),LdgRankKeyA,0),"")</f>
        <v/>
      </c>
      <c r="O1926">
        <f>IFERROR(MATCH($C$5&amp;"|"&amp;RIGHT("000000"&amp;1910,6),LdgRankKeyB,0),"")</f>
        <v/>
      </c>
    </row>
    <row r="1927">
      <c r="A1927" s="17" t="n">
        <v>1911</v>
      </c>
      <c r="B1927" s="18">
        <f>IF(AND($N1927="",$O1927=""),"",IF($N1927&lt;&gt;"",INDEX(PCNormDate,$N1927),INDEX(LdgDateB,$O1927)))</f>
        <v/>
      </c>
      <c r="C1927" s="18">
        <f>IF($N1927&lt;&gt;"",INDEX(PCOp,$N1927),IF($O1927&lt;&gt;"",IF(N(INDEX(TxnDepB,$O1927))&gt;0,"دریافت بانکی","پرداخت بانکی"),""))</f>
        <v/>
      </c>
      <c r="D1927" s="18">
        <f>IF($N1927&lt;&gt;"",IF(INDEX(PCDoc,$N1927)="","—",INDEX(PCDoc,$N1927)),IF($O1927&lt;&gt;"",INDEX(LdgBankB,$O1927),""))</f>
        <v/>
      </c>
      <c r="E1927" s="18">
        <f>IF($N1927&lt;&gt;"",IF(INDEX(PCCitrus,$N1927)="","—",INDEX(PCCitrus,$N1927)),"")</f>
        <v/>
      </c>
      <c r="F1927" s="19">
        <f>IF($N1927&lt;&gt;"",IF(INDEX(PCScale,$N1927)=0,"",INDEX(PCScale,$N1927)),"")</f>
        <v/>
      </c>
      <c r="G1927" s="19">
        <f>IF($N1927&lt;&gt;"",IF(INDEX(PCBaskets,$N1927)=0,"",INDEX(PCBaskets,$N1927)),"")</f>
        <v/>
      </c>
      <c r="H1927" s="20">
        <f>IF($N1927&lt;&gt;"",IF(INDEX(PCNet,$N1927)=0,"",INDEX(PCNet,$N1927)),"")</f>
        <v/>
      </c>
      <c r="I1927" s="19">
        <f>IF($N1927&lt;&gt;"",IF(INDEX(PCOp,$N1927)="مرجوعی خرید","",IF(INDEX(PCAmount,$N1927)&lt;=0,"",INDEX(PCAmount,$N1927))),IF($O1927&lt;&gt;"",IF(INDEX(TxnDepB,$O1927)=0,"",INDEX(TxnDepB,$O1927)),""))</f>
        <v/>
      </c>
      <c r="J1927" s="19">
        <f>IF($N1927&lt;&gt;"",IF(INDEX(PCOp,$N1927)="مرجوعی خرید",IF(INDEX(PCAmount,$N1927)=0,"",-INDEX(PCAmount,$N1927)),""),IF($O1927&lt;&gt;"",IF(INDEX(TxnWitB,$O1927)=0,"",INDEX(TxnWitB,$O1927)),""))</f>
        <v/>
      </c>
      <c r="K1927" s="21">
        <f>IF($B1927="","",IF($K1926="",$C$10,$K1926)+IF($I1927="",0,$I1927)-IF($J1927="",0,$J1927))</f>
        <v/>
      </c>
      <c r="L1927" s="22">
        <f>IF($N1927&lt;&gt;"",IF(INDEX(PCNotes,$N1927)="","—",INDEX(PCNotes,$N1927)),IF($O1927&lt;&gt;"",IF(INDEX(LdgNoteB,$O1927)="","—",INDEX(LdgNoteB,$O1927)),""))</f>
        <v/>
      </c>
      <c r="N1927">
        <f>IFERROR(MATCH($C$5&amp;"|"&amp;RIGHT("000000"&amp;1911,6),LdgRankKeyA,0),"")</f>
        <v/>
      </c>
      <c r="O1927">
        <f>IFERROR(MATCH($C$5&amp;"|"&amp;RIGHT("000000"&amp;1911,6),LdgRankKeyB,0),"")</f>
        <v/>
      </c>
    </row>
    <row r="1928">
      <c r="A1928" s="23" t="n">
        <v>1912</v>
      </c>
      <c r="B1928" s="24">
        <f>IF(AND($N1928="",$O1928=""),"",IF($N1928&lt;&gt;"",INDEX(PCNormDate,$N1928),INDEX(LdgDateB,$O1928)))</f>
        <v/>
      </c>
      <c r="C1928" s="24">
        <f>IF($N1928&lt;&gt;"",INDEX(PCOp,$N1928),IF($O1928&lt;&gt;"",IF(N(INDEX(TxnDepB,$O1928))&gt;0,"دریافت بانکی","پرداخت بانکی"),""))</f>
        <v/>
      </c>
      <c r="D1928" s="24">
        <f>IF($N1928&lt;&gt;"",IF(INDEX(PCDoc,$N1928)="","—",INDEX(PCDoc,$N1928)),IF($O1928&lt;&gt;"",INDEX(LdgBankB,$O1928),""))</f>
        <v/>
      </c>
      <c r="E1928" s="24">
        <f>IF($N1928&lt;&gt;"",IF(INDEX(PCCitrus,$N1928)="","—",INDEX(PCCitrus,$N1928)),"")</f>
        <v/>
      </c>
      <c r="F1928" s="25">
        <f>IF($N1928&lt;&gt;"",IF(INDEX(PCScale,$N1928)=0,"",INDEX(PCScale,$N1928)),"")</f>
        <v/>
      </c>
      <c r="G1928" s="25">
        <f>IF($N1928&lt;&gt;"",IF(INDEX(PCBaskets,$N1928)=0,"",INDEX(PCBaskets,$N1928)),"")</f>
        <v/>
      </c>
      <c r="H1928" s="26">
        <f>IF($N1928&lt;&gt;"",IF(INDEX(PCNet,$N1928)=0,"",INDEX(PCNet,$N1928)),"")</f>
        <v/>
      </c>
      <c r="I1928" s="25">
        <f>IF($N1928&lt;&gt;"",IF(INDEX(PCOp,$N1928)="مرجوعی خرید","",IF(INDEX(PCAmount,$N1928)&lt;=0,"",INDEX(PCAmount,$N1928))),IF($O1928&lt;&gt;"",IF(INDEX(TxnDepB,$O1928)=0,"",INDEX(TxnDepB,$O1928)),""))</f>
        <v/>
      </c>
      <c r="J1928" s="25">
        <f>IF($N1928&lt;&gt;"",IF(INDEX(PCOp,$N1928)="مرجوعی خرید",IF(INDEX(PCAmount,$N1928)=0,"",-INDEX(PCAmount,$N1928)),""),IF($O1928&lt;&gt;"",IF(INDEX(TxnWitB,$O1928)=0,"",INDEX(TxnWitB,$O1928)),""))</f>
        <v/>
      </c>
      <c r="K1928" s="27">
        <f>IF($B1928="","",IF($K1927="",$C$10,$K1927)+IF($I1928="",0,$I1928)-IF($J1928="",0,$J1928))</f>
        <v/>
      </c>
      <c r="L1928" s="28">
        <f>IF($N1928&lt;&gt;"",IF(INDEX(PCNotes,$N1928)="","—",INDEX(PCNotes,$N1928)),IF($O1928&lt;&gt;"",IF(INDEX(LdgNoteB,$O1928)="","—",INDEX(LdgNoteB,$O1928)),""))</f>
        <v/>
      </c>
      <c r="N1928">
        <f>IFERROR(MATCH($C$5&amp;"|"&amp;RIGHT("000000"&amp;1912,6),LdgRankKeyA,0),"")</f>
        <v/>
      </c>
      <c r="O1928">
        <f>IFERROR(MATCH($C$5&amp;"|"&amp;RIGHT("000000"&amp;1912,6),LdgRankKeyB,0),"")</f>
        <v/>
      </c>
    </row>
    <row r="1929">
      <c r="A1929" s="17" t="n">
        <v>1913</v>
      </c>
      <c r="B1929" s="18">
        <f>IF(AND($N1929="",$O1929=""),"",IF($N1929&lt;&gt;"",INDEX(PCNormDate,$N1929),INDEX(LdgDateB,$O1929)))</f>
        <v/>
      </c>
      <c r="C1929" s="18">
        <f>IF($N1929&lt;&gt;"",INDEX(PCOp,$N1929),IF($O1929&lt;&gt;"",IF(N(INDEX(TxnDepB,$O1929))&gt;0,"دریافت بانکی","پرداخت بانکی"),""))</f>
        <v/>
      </c>
      <c r="D1929" s="18">
        <f>IF($N1929&lt;&gt;"",IF(INDEX(PCDoc,$N1929)="","—",INDEX(PCDoc,$N1929)),IF($O1929&lt;&gt;"",INDEX(LdgBankB,$O1929),""))</f>
        <v/>
      </c>
      <c r="E1929" s="18">
        <f>IF($N1929&lt;&gt;"",IF(INDEX(PCCitrus,$N1929)="","—",INDEX(PCCitrus,$N1929)),"")</f>
        <v/>
      </c>
      <c r="F1929" s="19">
        <f>IF($N1929&lt;&gt;"",IF(INDEX(PCScale,$N1929)=0,"",INDEX(PCScale,$N1929)),"")</f>
        <v/>
      </c>
      <c r="G1929" s="19">
        <f>IF($N1929&lt;&gt;"",IF(INDEX(PCBaskets,$N1929)=0,"",INDEX(PCBaskets,$N1929)),"")</f>
        <v/>
      </c>
      <c r="H1929" s="20">
        <f>IF($N1929&lt;&gt;"",IF(INDEX(PCNet,$N1929)=0,"",INDEX(PCNet,$N1929)),"")</f>
        <v/>
      </c>
      <c r="I1929" s="19">
        <f>IF($N1929&lt;&gt;"",IF(INDEX(PCOp,$N1929)="مرجوعی خرید","",IF(INDEX(PCAmount,$N1929)&lt;=0,"",INDEX(PCAmount,$N1929))),IF($O1929&lt;&gt;"",IF(INDEX(TxnDepB,$O1929)=0,"",INDEX(TxnDepB,$O1929)),""))</f>
        <v/>
      </c>
      <c r="J1929" s="19">
        <f>IF($N1929&lt;&gt;"",IF(INDEX(PCOp,$N1929)="مرجوعی خرید",IF(INDEX(PCAmount,$N1929)=0,"",-INDEX(PCAmount,$N1929)),""),IF($O1929&lt;&gt;"",IF(INDEX(TxnWitB,$O1929)=0,"",INDEX(TxnWitB,$O1929)),""))</f>
        <v/>
      </c>
      <c r="K1929" s="21">
        <f>IF($B1929="","",IF($K1928="",$C$10,$K1928)+IF($I1929="",0,$I1929)-IF($J1929="",0,$J1929))</f>
        <v/>
      </c>
      <c r="L1929" s="22">
        <f>IF($N1929&lt;&gt;"",IF(INDEX(PCNotes,$N1929)="","—",INDEX(PCNotes,$N1929)),IF($O1929&lt;&gt;"",IF(INDEX(LdgNoteB,$O1929)="","—",INDEX(LdgNoteB,$O1929)),""))</f>
        <v/>
      </c>
      <c r="N1929">
        <f>IFERROR(MATCH($C$5&amp;"|"&amp;RIGHT("000000"&amp;1913,6),LdgRankKeyA,0),"")</f>
        <v/>
      </c>
      <c r="O1929">
        <f>IFERROR(MATCH($C$5&amp;"|"&amp;RIGHT("000000"&amp;1913,6),LdgRankKeyB,0),"")</f>
        <v/>
      </c>
    </row>
    <row r="1930">
      <c r="A1930" s="23" t="n">
        <v>1914</v>
      </c>
      <c r="B1930" s="24">
        <f>IF(AND($N1930="",$O1930=""),"",IF($N1930&lt;&gt;"",INDEX(PCNormDate,$N1930),INDEX(LdgDateB,$O1930)))</f>
        <v/>
      </c>
      <c r="C1930" s="24">
        <f>IF($N1930&lt;&gt;"",INDEX(PCOp,$N1930),IF($O1930&lt;&gt;"",IF(N(INDEX(TxnDepB,$O1930))&gt;0,"دریافت بانکی","پرداخت بانکی"),""))</f>
        <v/>
      </c>
      <c r="D1930" s="24">
        <f>IF($N1930&lt;&gt;"",IF(INDEX(PCDoc,$N1930)="","—",INDEX(PCDoc,$N1930)),IF($O1930&lt;&gt;"",INDEX(LdgBankB,$O1930),""))</f>
        <v/>
      </c>
      <c r="E1930" s="24">
        <f>IF($N1930&lt;&gt;"",IF(INDEX(PCCitrus,$N1930)="","—",INDEX(PCCitrus,$N1930)),"")</f>
        <v/>
      </c>
      <c r="F1930" s="25">
        <f>IF($N1930&lt;&gt;"",IF(INDEX(PCScale,$N1930)=0,"",INDEX(PCScale,$N1930)),"")</f>
        <v/>
      </c>
      <c r="G1930" s="25">
        <f>IF($N1930&lt;&gt;"",IF(INDEX(PCBaskets,$N1930)=0,"",INDEX(PCBaskets,$N1930)),"")</f>
        <v/>
      </c>
      <c r="H1930" s="26">
        <f>IF($N1930&lt;&gt;"",IF(INDEX(PCNet,$N1930)=0,"",INDEX(PCNet,$N1930)),"")</f>
        <v/>
      </c>
      <c r="I1930" s="25">
        <f>IF($N1930&lt;&gt;"",IF(INDEX(PCOp,$N1930)="مرجوعی خرید","",IF(INDEX(PCAmount,$N1930)&lt;=0,"",INDEX(PCAmount,$N1930))),IF($O1930&lt;&gt;"",IF(INDEX(TxnDepB,$O1930)=0,"",INDEX(TxnDepB,$O1930)),""))</f>
        <v/>
      </c>
      <c r="J1930" s="25">
        <f>IF($N1930&lt;&gt;"",IF(INDEX(PCOp,$N1930)="مرجوعی خرید",IF(INDEX(PCAmount,$N1930)=0,"",-INDEX(PCAmount,$N1930)),""),IF($O1930&lt;&gt;"",IF(INDEX(TxnWitB,$O1930)=0,"",INDEX(TxnWitB,$O1930)),""))</f>
        <v/>
      </c>
      <c r="K1930" s="27">
        <f>IF($B1930="","",IF($K1929="",$C$10,$K1929)+IF($I1930="",0,$I1930)-IF($J1930="",0,$J1930))</f>
        <v/>
      </c>
      <c r="L1930" s="28">
        <f>IF($N1930&lt;&gt;"",IF(INDEX(PCNotes,$N1930)="","—",INDEX(PCNotes,$N1930)),IF($O1930&lt;&gt;"",IF(INDEX(LdgNoteB,$O1930)="","—",INDEX(LdgNoteB,$O1930)),""))</f>
        <v/>
      </c>
      <c r="N1930">
        <f>IFERROR(MATCH($C$5&amp;"|"&amp;RIGHT("000000"&amp;1914,6),LdgRankKeyA,0),"")</f>
        <v/>
      </c>
      <c r="O1930">
        <f>IFERROR(MATCH($C$5&amp;"|"&amp;RIGHT("000000"&amp;1914,6),LdgRankKeyB,0),"")</f>
        <v/>
      </c>
    </row>
    <row r="1931">
      <c r="A1931" s="17" t="n">
        <v>1915</v>
      </c>
      <c r="B1931" s="18">
        <f>IF(AND($N1931="",$O1931=""),"",IF($N1931&lt;&gt;"",INDEX(PCNormDate,$N1931),INDEX(LdgDateB,$O1931)))</f>
        <v/>
      </c>
      <c r="C1931" s="18">
        <f>IF($N1931&lt;&gt;"",INDEX(PCOp,$N1931),IF($O1931&lt;&gt;"",IF(N(INDEX(TxnDepB,$O1931))&gt;0,"دریافت بانکی","پرداخت بانکی"),""))</f>
        <v/>
      </c>
      <c r="D1931" s="18">
        <f>IF($N1931&lt;&gt;"",IF(INDEX(PCDoc,$N1931)="","—",INDEX(PCDoc,$N1931)),IF($O1931&lt;&gt;"",INDEX(LdgBankB,$O1931),""))</f>
        <v/>
      </c>
      <c r="E1931" s="18">
        <f>IF($N1931&lt;&gt;"",IF(INDEX(PCCitrus,$N1931)="","—",INDEX(PCCitrus,$N1931)),"")</f>
        <v/>
      </c>
      <c r="F1931" s="19">
        <f>IF($N1931&lt;&gt;"",IF(INDEX(PCScale,$N1931)=0,"",INDEX(PCScale,$N1931)),"")</f>
        <v/>
      </c>
      <c r="G1931" s="19">
        <f>IF($N1931&lt;&gt;"",IF(INDEX(PCBaskets,$N1931)=0,"",INDEX(PCBaskets,$N1931)),"")</f>
        <v/>
      </c>
      <c r="H1931" s="20">
        <f>IF($N1931&lt;&gt;"",IF(INDEX(PCNet,$N1931)=0,"",INDEX(PCNet,$N1931)),"")</f>
        <v/>
      </c>
      <c r="I1931" s="19">
        <f>IF($N1931&lt;&gt;"",IF(INDEX(PCOp,$N1931)="مرجوعی خرید","",IF(INDEX(PCAmount,$N1931)&lt;=0,"",INDEX(PCAmount,$N1931))),IF($O1931&lt;&gt;"",IF(INDEX(TxnDepB,$O1931)=0,"",INDEX(TxnDepB,$O1931)),""))</f>
        <v/>
      </c>
      <c r="J1931" s="19">
        <f>IF($N1931&lt;&gt;"",IF(INDEX(PCOp,$N1931)="مرجوعی خرید",IF(INDEX(PCAmount,$N1931)=0,"",-INDEX(PCAmount,$N1931)),""),IF($O1931&lt;&gt;"",IF(INDEX(TxnWitB,$O1931)=0,"",INDEX(TxnWitB,$O1931)),""))</f>
        <v/>
      </c>
      <c r="K1931" s="21">
        <f>IF($B1931="","",IF($K1930="",$C$10,$K1930)+IF($I1931="",0,$I1931)-IF($J1931="",0,$J1931))</f>
        <v/>
      </c>
      <c r="L1931" s="22">
        <f>IF($N1931&lt;&gt;"",IF(INDEX(PCNotes,$N1931)="","—",INDEX(PCNotes,$N1931)),IF($O1931&lt;&gt;"",IF(INDEX(LdgNoteB,$O1931)="","—",INDEX(LdgNoteB,$O1931)),""))</f>
        <v/>
      </c>
      <c r="N1931">
        <f>IFERROR(MATCH($C$5&amp;"|"&amp;RIGHT("000000"&amp;1915,6),LdgRankKeyA,0),"")</f>
        <v/>
      </c>
      <c r="O1931">
        <f>IFERROR(MATCH($C$5&amp;"|"&amp;RIGHT("000000"&amp;1915,6),LdgRankKeyB,0),"")</f>
        <v/>
      </c>
    </row>
    <row r="1932">
      <c r="A1932" s="23" t="n">
        <v>1916</v>
      </c>
      <c r="B1932" s="24">
        <f>IF(AND($N1932="",$O1932=""),"",IF($N1932&lt;&gt;"",INDEX(PCNormDate,$N1932),INDEX(LdgDateB,$O1932)))</f>
        <v/>
      </c>
      <c r="C1932" s="24">
        <f>IF($N1932&lt;&gt;"",INDEX(PCOp,$N1932),IF($O1932&lt;&gt;"",IF(N(INDEX(TxnDepB,$O1932))&gt;0,"دریافت بانکی","پرداخت بانکی"),""))</f>
        <v/>
      </c>
      <c r="D1932" s="24">
        <f>IF($N1932&lt;&gt;"",IF(INDEX(PCDoc,$N1932)="","—",INDEX(PCDoc,$N1932)),IF($O1932&lt;&gt;"",INDEX(LdgBankB,$O1932),""))</f>
        <v/>
      </c>
      <c r="E1932" s="24">
        <f>IF($N1932&lt;&gt;"",IF(INDEX(PCCitrus,$N1932)="","—",INDEX(PCCitrus,$N1932)),"")</f>
        <v/>
      </c>
      <c r="F1932" s="25">
        <f>IF($N1932&lt;&gt;"",IF(INDEX(PCScale,$N1932)=0,"",INDEX(PCScale,$N1932)),"")</f>
        <v/>
      </c>
      <c r="G1932" s="25">
        <f>IF($N1932&lt;&gt;"",IF(INDEX(PCBaskets,$N1932)=0,"",INDEX(PCBaskets,$N1932)),"")</f>
        <v/>
      </c>
      <c r="H1932" s="26">
        <f>IF($N1932&lt;&gt;"",IF(INDEX(PCNet,$N1932)=0,"",INDEX(PCNet,$N1932)),"")</f>
        <v/>
      </c>
      <c r="I1932" s="25">
        <f>IF($N1932&lt;&gt;"",IF(INDEX(PCOp,$N1932)="مرجوعی خرید","",IF(INDEX(PCAmount,$N1932)&lt;=0,"",INDEX(PCAmount,$N1932))),IF($O1932&lt;&gt;"",IF(INDEX(TxnDepB,$O1932)=0,"",INDEX(TxnDepB,$O1932)),""))</f>
        <v/>
      </c>
      <c r="J1932" s="25">
        <f>IF($N1932&lt;&gt;"",IF(INDEX(PCOp,$N1932)="مرجوعی خرید",IF(INDEX(PCAmount,$N1932)=0,"",-INDEX(PCAmount,$N1932)),""),IF($O1932&lt;&gt;"",IF(INDEX(TxnWitB,$O1932)=0,"",INDEX(TxnWitB,$O1932)),""))</f>
        <v/>
      </c>
      <c r="K1932" s="27">
        <f>IF($B1932="","",IF($K1931="",$C$10,$K1931)+IF($I1932="",0,$I1932)-IF($J1932="",0,$J1932))</f>
        <v/>
      </c>
      <c r="L1932" s="28">
        <f>IF($N1932&lt;&gt;"",IF(INDEX(PCNotes,$N1932)="","—",INDEX(PCNotes,$N1932)),IF($O1932&lt;&gt;"",IF(INDEX(LdgNoteB,$O1932)="","—",INDEX(LdgNoteB,$O1932)),""))</f>
        <v/>
      </c>
      <c r="N1932">
        <f>IFERROR(MATCH($C$5&amp;"|"&amp;RIGHT("000000"&amp;1916,6),LdgRankKeyA,0),"")</f>
        <v/>
      </c>
      <c r="O1932">
        <f>IFERROR(MATCH($C$5&amp;"|"&amp;RIGHT("000000"&amp;1916,6),LdgRankKeyB,0),"")</f>
        <v/>
      </c>
    </row>
    <row r="1933">
      <c r="A1933" s="17" t="n">
        <v>1917</v>
      </c>
      <c r="B1933" s="18">
        <f>IF(AND($N1933="",$O1933=""),"",IF($N1933&lt;&gt;"",INDEX(PCNormDate,$N1933),INDEX(LdgDateB,$O1933)))</f>
        <v/>
      </c>
      <c r="C1933" s="18">
        <f>IF($N1933&lt;&gt;"",INDEX(PCOp,$N1933),IF($O1933&lt;&gt;"",IF(N(INDEX(TxnDepB,$O1933))&gt;0,"دریافت بانکی","پرداخت بانکی"),""))</f>
        <v/>
      </c>
      <c r="D1933" s="18">
        <f>IF($N1933&lt;&gt;"",IF(INDEX(PCDoc,$N1933)="","—",INDEX(PCDoc,$N1933)),IF($O1933&lt;&gt;"",INDEX(LdgBankB,$O1933),""))</f>
        <v/>
      </c>
      <c r="E1933" s="18">
        <f>IF($N1933&lt;&gt;"",IF(INDEX(PCCitrus,$N1933)="","—",INDEX(PCCitrus,$N1933)),"")</f>
        <v/>
      </c>
      <c r="F1933" s="19">
        <f>IF($N1933&lt;&gt;"",IF(INDEX(PCScale,$N1933)=0,"",INDEX(PCScale,$N1933)),"")</f>
        <v/>
      </c>
      <c r="G1933" s="19">
        <f>IF($N1933&lt;&gt;"",IF(INDEX(PCBaskets,$N1933)=0,"",INDEX(PCBaskets,$N1933)),"")</f>
        <v/>
      </c>
      <c r="H1933" s="20">
        <f>IF($N1933&lt;&gt;"",IF(INDEX(PCNet,$N1933)=0,"",INDEX(PCNet,$N1933)),"")</f>
        <v/>
      </c>
      <c r="I1933" s="19">
        <f>IF($N1933&lt;&gt;"",IF(INDEX(PCOp,$N1933)="مرجوعی خرید","",IF(INDEX(PCAmount,$N1933)&lt;=0,"",INDEX(PCAmount,$N1933))),IF($O1933&lt;&gt;"",IF(INDEX(TxnDepB,$O1933)=0,"",INDEX(TxnDepB,$O1933)),""))</f>
        <v/>
      </c>
      <c r="J1933" s="19">
        <f>IF($N1933&lt;&gt;"",IF(INDEX(PCOp,$N1933)="مرجوعی خرید",IF(INDEX(PCAmount,$N1933)=0,"",-INDEX(PCAmount,$N1933)),""),IF($O1933&lt;&gt;"",IF(INDEX(TxnWitB,$O1933)=0,"",INDEX(TxnWitB,$O1933)),""))</f>
        <v/>
      </c>
      <c r="K1933" s="21">
        <f>IF($B1933="","",IF($K1932="",$C$10,$K1932)+IF($I1933="",0,$I1933)-IF($J1933="",0,$J1933))</f>
        <v/>
      </c>
      <c r="L1933" s="22">
        <f>IF($N1933&lt;&gt;"",IF(INDEX(PCNotes,$N1933)="","—",INDEX(PCNotes,$N1933)),IF($O1933&lt;&gt;"",IF(INDEX(LdgNoteB,$O1933)="","—",INDEX(LdgNoteB,$O1933)),""))</f>
        <v/>
      </c>
      <c r="N1933">
        <f>IFERROR(MATCH($C$5&amp;"|"&amp;RIGHT("000000"&amp;1917,6),LdgRankKeyA,0),"")</f>
        <v/>
      </c>
      <c r="O1933">
        <f>IFERROR(MATCH($C$5&amp;"|"&amp;RIGHT("000000"&amp;1917,6),LdgRankKeyB,0),"")</f>
        <v/>
      </c>
    </row>
    <row r="1934">
      <c r="A1934" s="23" t="n">
        <v>1918</v>
      </c>
      <c r="B1934" s="24">
        <f>IF(AND($N1934="",$O1934=""),"",IF($N1934&lt;&gt;"",INDEX(PCNormDate,$N1934),INDEX(LdgDateB,$O1934)))</f>
        <v/>
      </c>
      <c r="C1934" s="24">
        <f>IF($N1934&lt;&gt;"",INDEX(PCOp,$N1934),IF($O1934&lt;&gt;"",IF(N(INDEX(TxnDepB,$O1934))&gt;0,"دریافت بانکی","پرداخت بانکی"),""))</f>
        <v/>
      </c>
      <c r="D1934" s="24">
        <f>IF($N1934&lt;&gt;"",IF(INDEX(PCDoc,$N1934)="","—",INDEX(PCDoc,$N1934)),IF($O1934&lt;&gt;"",INDEX(LdgBankB,$O1934),""))</f>
        <v/>
      </c>
      <c r="E1934" s="24">
        <f>IF($N1934&lt;&gt;"",IF(INDEX(PCCitrus,$N1934)="","—",INDEX(PCCitrus,$N1934)),"")</f>
        <v/>
      </c>
      <c r="F1934" s="25">
        <f>IF($N1934&lt;&gt;"",IF(INDEX(PCScale,$N1934)=0,"",INDEX(PCScale,$N1934)),"")</f>
        <v/>
      </c>
      <c r="G1934" s="25">
        <f>IF($N1934&lt;&gt;"",IF(INDEX(PCBaskets,$N1934)=0,"",INDEX(PCBaskets,$N1934)),"")</f>
        <v/>
      </c>
      <c r="H1934" s="26">
        <f>IF($N1934&lt;&gt;"",IF(INDEX(PCNet,$N1934)=0,"",INDEX(PCNet,$N1934)),"")</f>
        <v/>
      </c>
      <c r="I1934" s="25">
        <f>IF($N1934&lt;&gt;"",IF(INDEX(PCOp,$N1934)="مرجوعی خرید","",IF(INDEX(PCAmount,$N1934)&lt;=0,"",INDEX(PCAmount,$N1934))),IF($O1934&lt;&gt;"",IF(INDEX(TxnDepB,$O1934)=0,"",INDEX(TxnDepB,$O1934)),""))</f>
        <v/>
      </c>
      <c r="J1934" s="25">
        <f>IF($N1934&lt;&gt;"",IF(INDEX(PCOp,$N1934)="مرجوعی خرید",IF(INDEX(PCAmount,$N1934)=0,"",-INDEX(PCAmount,$N1934)),""),IF($O1934&lt;&gt;"",IF(INDEX(TxnWitB,$O1934)=0,"",INDEX(TxnWitB,$O1934)),""))</f>
        <v/>
      </c>
      <c r="K1934" s="27">
        <f>IF($B1934="","",IF($K1933="",$C$10,$K1933)+IF($I1934="",0,$I1934)-IF($J1934="",0,$J1934))</f>
        <v/>
      </c>
      <c r="L1934" s="28">
        <f>IF($N1934&lt;&gt;"",IF(INDEX(PCNotes,$N1934)="","—",INDEX(PCNotes,$N1934)),IF($O1934&lt;&gt;"",IF(INDEX(LdgNoteB,$O1934)="","—",INDEX(LdgNoteB,$O1934)),""))</f>
        <v/>
      </c>
      <c r="N1934">
        <f>IFERROR(MATCH($C$5&amp;"|"&amp;RIGHT("000000"&amp;1918,6),LdgRankKeyA,0),"")</f>
        <v/>
      </c>
      <c r="O1934">
        <f>IFERROR(MATCH($C$5&amp;"|"&amp;RIGHT("000000"&amp;1918,6),LdgRankKeyB,0),"")</f>
        <v/>
      </c>
    </row>
    <row r="1935">
      <c r="A1935" s="17" t="n">
        <v>1919</v>
      </c>
      <c r="B1935" s="18">
        <f>IF(AND($N1935="",$O1935=""),"",IF($N1935&lt;&gt;"",INDEX(PCNormDate,$N1935),INDEX(LdgDateB,$O1935)))</f>
        <v/>
      </c>
      <c r="C1935" s="18">
        <f>IF($N1935&lt;&gt;"",INDEX(PCOp,$N1935),IF($O1935&lt;&gt;"",IF(N(INDEX(TxnDepB,$O1935))&gt;0,"دریافت بانکی","پرداخت بانکی"),""))</f>
        <v/>
      </c>
      <c r="D1935" s="18">
        <f>IF($N1935&lt;&gt;"",IF(INDEX(PCDoc,$N1935)="","—",INDEX(PCDoc,$N1935)),IF($O1935&lt;&gt;"",INDEX(LdgBankB,$O1935),""))</f>
        <v/>
      </c>
      <c r="E1935" s="18">
        <f>IF($N1935&lt;&gt;"",IF(INDEX(PCCitrus,$N1935)="","—",INDEX(PCCitrus,$N1935)),"")</f>
        <v/>
      </c>
      <c r="F1935" s="19">
        <f>IF($N1935&lt;&gt;"",IF(INDEX(PCScale,$N1935)=0,"",INDEX(PCScale,$N1935)),"")</f>
        <v/>
      </c>
      <c r="G1935" s="19">
        <f>IF($N1935&lt;&gt;"",IF(INDEX(PCBaskets,$N1935)=0,"",INDEX(PCBaskets,$N1935)),"")</f>
        <v/>
      </c>
      <c r="H1935" s="20">
        <f>IF($N1935&lt;&gt;"",IF(INDEX(PCNet,$N1935)=0,"",INDEX(PCNet,$N1935)),"")</f>
        <v/>
      </c>
      <c r="I1935" s="19">
        <f>IF($N1935&lt;&gt;"",IF(INDEX(PCOp,$N1935)="مرجوعی خرید","",IF(INDEX(PCAmount,$N1935)&lt;=0,"",INDEX(PCAmount,$N1935))),IF($O1935&lt;&gt;"",IF(INDEX(TxnDepB,$O1935)=0,"",INDEX(TxnDepB,$O1935)),""))</f>
        <v/>
      </c>
      <c r="J1935" s="19">
        <f>IF($N1935&lt;&gt;"",IF(INDEX(PCOp,$N1935)="مرجوعی خرید",IF(INDEX(PCAmount,$N1935)=0,"",-INDEX(PCAmount,$N1935)),""),IF($O1935&lt;&gt;"",IF(INDEX(TxnWitB,$O1935)=0,"",INDEX(TxnWitB,$O1935)),""))</f>
        <v/>
      </c>
      <c r="K1935" s="21">
        <f>IF($B1935="","",IF($K1934="",$C$10,$K1934)+IF($I1935="",0,$I1935)-IF($J1935="",0,$J1935))</f>
        <v/>
      </c>
      <c r="L1935" s="22">
        <f>IF($N1935&lt;&gt;"",IF(INDEX(PCNotes,$N1935)="","—",INDEX(PCNotes,$N1935)),IF($O1935&lt;&gt;"",IF(INDEX(LdgNoteB,$O1935)="","—",INDEX(LdgNoteB,$O1935)),""))</f>
        <v/>
      </c>
      <c r="N1935">
        <f>IFERROR(MATCH($C$5&amp;"|"&amp;RIGHT("000000"&amp;1919,6),LdgRankKeyA,0),"")</f>
        <v/>
      </c>
      <c r="O1935">
        <f>IFERROR(MATCH($C$5&amp;"|"&amp;RIGHT("000000"&amp;1919,6),LdgRankKeyB,0),"")</f>
        <v/>
      </c>
    </row>
    <row r="1936">
      <c r="A1936" s="23" t="n">
        <v>1920</v>
      </c>
      <c r="B1936" s="24">
        <f>IF(AND($N1936="",$O1936=""),"",IF($N1936&lt;&gt;"",INDEX(PCNormDate,$N1936),INDEX(LdgDateB,$O1936)))</f>
        <v/>
      </c>
      <c r="C1936" s="24">
        <f>IF($N1936&lt;&gt;"",INDEX(PCOp,$N1936),IF($O1936&lt;&gt;"",IF(N(INDEX(TxnDepB,$O1936))&gt;0,"دریافت بانکی","پرداخت بانکی"),""))</f>
        <v/>
      </c>
      <c r="D1936" s="24">
        <f>IF($N1936&lt;&gt;"",IF(INDEX(PCDoc,$N1936)="","—",INDEX(PCDoc,$N1936)),IF($O1936&lt;&gt;"",INDEX(LdgBankB,$O1936),""))</f>
        <v/>
      </c>
      <c r="E1936" s="24">
        <f>IF($N1936&lt;&gt;"",IF(INDEX(PCCitrus,$N1936)="","—",INDEX(PCCitrus,$N1936)),"")</f>
        <v/>
      </c>
      <c r="F1936" s="25">
        <f>IF($N1936&lt;&gt;"",IF(INDEX(PCScale,$N1936)=0,"",INDEX(PCScale,$N1936)),"")</f>
        <v/>
      </c>
      <c r="G1936" s="25">
        <f>IF($N1936&lt;&gt;"",IF(INDEX(PCBaskets,$N1936)=0,"",INDEX(PCBaskets,$N1936)),"")</f>
        <v/>
      </c>
      <c r="H1936" s="26">
        <f>IF($N1936&lt;&gt;"",IF(INDEX(PCNet,$N1936)=0,"",INDEX(PCNet,$N1936)),"")</f>
        <v/>
      </c>
      <c r="I1936" s="25">
        <f>IF($N1936&lt;&gt;"",IF(INDEX(PCOp,$N1936)="مرجوعی خرید","",IF(INDEX(PCAmount,$N1936)&lt;=0,"",INDEX(PCAmount,$N1936))),IF($O1936&lt;&gt;"",IF(INDEX(TxnDepB,$O1936)=0,"",INDEX(TxnDepB,$O1936)),""))</f>
        <v/>
      </c>
      <c r="J1936" s="25">
        <f>IF($N1936&lt;&gt;"",IF(INDEX(PCOp,$N1936)="مرجوعی خرید",IF(INDEX(PCAmount,$N1936)=0,"",-INDEX(PCAmount,$N1936)),""),IF($O1936&lt;&gt;"",IF(INDEX(TxnWitB,$O1936)=0,"",INDEX(TxnWitB,$O1936)),""))</f>
        <v/>
      </c>
      <c r="K1936" s="27">
        <f>IF($B1936="","",IF($K1935="",$C$10,$K1935)+IF($I1936="",0,$I1936)-IF($J1936="",0,$J1936))</f>
        <v/>
      </c>
      <c r="L1936" s="28">
        <f>IF($N1936&lt;&gt;"",IF(INDEX(PCNotes,$N1936)="","—",INDEX(PCNotes,$N1936)),IF($O1936&lt;&gt;"",IF(INDEX(LdgNoteB,$O1936)="","—",INDEX(LdgNoteB,$O1936)),""))</f>
        <v/>
      </c>
      <c r="N1936">
        <f>IFERROR(MATCH($C$5&amp;"|"&amp;RIGHT("000000"&amp;1920,6),LdgRankKeyA,0),"")</f>
        <v/>
      </c>
      <c r="O1936">
        <f>IFERROR(MATCH($C$5&amp;"|"&amp;RIGHT("000000"&amp;1920,6),LdgRankKeyB,0),"")</f>
        <v/>
      </c>
    </row>
    <row r="1937">
      <c r="A1937" s="17" t="n">
        <v>1921</v>
      </c>
      <c r="B1937" s="18">
        <f>IF(AND($N1937="",$O1937=""),"",IF($N1937&lt;&gt;"",INDEX(PCNormDate,$N1937),INDEX(LdgDateB,$O1937)))</f>
        <v/>
      </c>
      <c r="C1937" s="18">
        <f>IF($N1937&lt;&gt;"",INDEX(PCOp,$N1937),IF($O1937&lt;&gt;"",IF(N(INDEX(TxnDepB,$O1937))&gt;0,"دریافت بانکی","پرداخت بانکی"),""))</f>
        <v/>
      </c>
      <c r="D1937" s="18">
        <f>IF($N1937&lt;&gt;"",IF(INDEX(PCDoc,$N1937)="","—",INDEX(PCDoc,$N1937)),IF($O1937&lt;&gt;"",INDEX(LdgBankB,$O1937),""))</f>
        <v/>
      </c>
      <c r="E1937" s="18">
        <f>IF($N1937&lt;&gt;"",IF(INDEX(PCCitrus,$N1937)="","—",INDEX(PCCitrus,$N1937)),"")</f>
        <v/>
      </c>
      <c r="F1937" s="19">
        <f>IF($N1937&lt;&gt;"",IF(INDEX(PCScale,$N1937)=0,"",INDEX(PCScale,$N1937)),"")</f>
        <v/>
      </c>
      <c r="G1937" s="19">
        <f>IF($N1937&lt;&gt;"",IF(INDEX(PCBaskets,$N1937)=0,"",INDEX(PCBaskets,$N1937)),"")</f>
        <v/>
      </c>
      <c r="H1937" s="20">
        <f>IF($N1937&lt;&gt;"",IF(INDEX(PCNet,$N1937)=0,"",INDEX(PCNet,$N1937)),"")</f>
        <v/>
      </c>
      <c r="I1937" s="19">
        <f>IF($N1937&lt;&gt;"",IF(INDEX(PCOp,$N1937)="مرجوعی خرید","",IF(INDEX(PCAmount,$N1937)&lt;=0,"",INDEX(PCAmount,$N1937))),IF($O1937&lt;&gt;"",IF(INDEX(TxnDepB,$O1937)=0,"",INDEX(TxnDepB,$O1937)),""))</f>
        <v/>
      </c>
      <c r="J1937" s="19">
        <f>IF($N1937&lt;&gt;"",IF(INDEX(PCOp,$N1937)="مرجوعی خرید",IF(INDEX(PCAmount,$N1937)=0,"",-INDEX(PCAmount,$N1937)),""),IF($O1937&lt;&gt;"",IF(INDEX(TxnWitB,$O1937)=0,"",INDEX(TxnWitB,$O1937)),""))</f>
        <v/>
      </c>
      <c r="K1937" s="21">
        <f>IF($B1937="","",IF($K1936="",$C$10,$K1936)+IF($I1937="",0,$I1937)-IF($J1937="",0,$J1937))</f>
        <v/>
      </c>
      <c r="L1937" s="22">
        <f>IF($N1937&lt;&gt;"",IF(INDEX(PCNotes,$N1937)="","—",INDEX(PCNotes,$N1937)),IF($O1937&lt;&gt;"",IF(INDEX(LdgNoteB,$O1937)="","—",INDEX(LdgNoteB,$O1937)),""))</f>
        <v/>
      </c>
      <c r="N1937">
        <f>IFERROR(MATCH($C$5&amp;"|"&amp;RIGHT("000000"&amp;1921,6),LdgRankKeyA,0),"")</f>
        <v/>
      </c>
      <c r="O1937">
        <f>IFERROR(MATCH($C$5&amp;"|"&amp;RIGHT("000000"&amp;1921,6),LdgRankKeyB,0),"")</f>
        <v/>
      </c>
    </row>
    <row r="1938">
      <c r="A1938" s="23" t="n">
        <v>1922</v>
      </c>
      <c r="B1938" s="24">
        <f>IF(AND($N1938="",$O1938=""),"",IF($N1938&lt;&gt;"",INDEX(PCNormDate,$N1938),INDEX(LdgDateB,$O1938)))</f>
        <v/>
      </c>
      <c r="C1938" s="24">
        <f>IF($N1938&lt;&gt;"",INDEX(PCOp,$N1938),IF($O1938&lt;&gt;"",IF(N(INDEX(TxnDepB,$O1938))&gt;0,"دریافت بانکی","پرداخت بانکی"),""))</f>
        <v/>
      </c>
      <c r="D1938" s="24">
        <f>IF($N1938&lt;&gt;"",IF(INDEX(PCDoc,$N1938)="","—",INDEX(PCDoc,$N1938)),IF($O1938&lt;&gt;"",INDEX(LdgBankB,$O1938),""))</f>
        <v/>
      </c>
      <c r="E1938" s="24">
        <f>IF($N1938&lt;&gt;"",IF(INDEX(PCCitrus,$N1938)="","—",INDEX(PCCitrus,$N1938)),"")</f>
        <v/>
      </c>
      <c r="F1938" s="25">
        <f>IF($N1938&lt;&gt;"",IF(INDEX(PCScale,$N1938)=0,"",INDEX(PCScale,$N1938)),"")</f>
        <v/>
      </c>
      <c r="G1938" s="25">
        <f>IF($N1938&lt;&gt;"",IF(INDEX(PCBaskets,$N1938)=0,"",INDEX(PCBaskets,$N1938)),"")</f>
        <v/>
      </c>
      <c r="H1938" s="26">
        <f>IF($N1938&lt;&gt;"",IF(INDEX(PCNet,$N1938)=0,"",INDEX(PCNet,$N1938)),"")</f>
        <v/>
      </c>
      <c r="I1938" s="25">
        <f>IF($N1938&lt;&gt;"",IF(INDEX(PCOp,$N1938)="مرجوعی خرید","",IF(INDEX(PCAmount,$N1938)&lt;=0,"",INDEX(PCAmount,$N1938))),IF($O1938&lt;&gt;"",IF(INDEX(TxnDepB,$O1938)=0,"",INDEX(TxnDepB,$O1938)),""))</f>
        <v/>
      </c>
      <c r="J1938" s="25">
        <f>IF($N1938&lt;&gt;"",IF(INDEX(PCOp,$N1938)="مرجوعی خرید",IF(INDEX(PCAmount,$N1938)=0,"",-INDEX(PCAmount,$N1938)),""),IF($O1938&lt;&gt;"",IF(INDEX(TxnWitB,$O1938)=0,"",INDEX(TxnWitB,$O1938)),""))</f>
        <v/>
      </c>
      <c r="K1938" s="27">
        <f>IF($B1938="","",IF($K1937="",$C$10,$K1937)+IF($I1938="",0,$I1938)-IF($J1938="",0,$J1938))</f>
        <v/>
      </c>
      <c r="L1938" s="28">
        <f>IF($N1938&lt;&gt;"",IF(INDEX(PCNotes,$N1938)="","—",INDEX(PCNotes,$N1938)),IF($O1938&lt;&gt;"",IF(INDEX(LdgNoteB,$O1938)="","—",INDEX(LdgNoteB,$O1938)),""))</f>
        <v/>
      </c>
      <c r="N1938">
        <f>IFERROR(MATCH($C$5&amp;"|"&amp;RIGHT("000000"&amp;1922,6),LdgRankKeyA,0),"")</f>
        <v/>
      </c>
      <c r="O1938">
        <f>IFERROR(MATCH($C$5&amp;"|"&amp;RIGHT("000000"&amp;1922,6),LdgRankKeyB,0),"")</f>
        <v/>
      </c>
    </row>
    <row r="1939">
      <c r="A1939" s="17" t="n">
        <v>1923</v>
      </c>
      <c r="B1939" s="18">
        <f>IF(AND($N1939="",$O1939=""),"",IF($N1939&lt;&gt;"",INDEX(PCNormDate,$N1939),INDEX(LdgDateB,$O1939)))</f>
        <v/>
      </c>
      <c r="C1939" s="18">
        <f>IF($N1939&lt;&gt;"",INDEX(PCOp,$N1939),IF($O1939&lt;&gt;"",IF(N(INDEX(TxnDepB,$O1939))&gt;0,"دریافت بانکی","پرداخت بانکی"),""))</f>
        <v/>
      </c>
      <c r="D1939" s="18">
        <f>IF($N1939&lt;&gt;"",IF(INDEX(PCDoc,$N1939)="","—",INDEX(PCDoc,$N1939)),IF($O1939&lt;&gt;"",INDEX(LdgBankB,$O1939),""))</f>
        <v/>
      </c>
      <c r="E1939" s="18">
        <f>IF($N1939&lt;&gt;"",IF(INDEX(PCCitrus,$N1939)="","—",INDEX(PCCitrus,$N1939)),"")</f>
        <v/>
      </c>
      <c r="F1939" s="19">
        <f>IF($N1939&lt;&gt;"",IF(INDEX(PCScale,$N1939)=0,"",INDEX(PCScale,$N1939)),"")</f>
        <v/>
      </c>
      <c r="G1939" s="19">
        <f>IF($N1939&lt;&gt;"",IF(INDEX(PCBaskets,$N1939)=0,"",INDEX(PCBaskets,$N1939)),"")</f>
        <v/>
      </c>
      <c r="H1939" s="20">
        <f>IF($N1939&lt;&gt;"",IF(INDEX(PCNet,$N1939)=0,"",INDEX(PCNet,$N1939)),"")</f>
        <v/>
      </c>
      <c r="I1939" s="19">
        <f>IF($N1939&lt;&gt;"",IF(INDEX(PCOp,$N1939)="مرجوعی خرید","",IF(INDEX(PCAmount,$N1939)&lt;=0,"",INDEX(PCAmount,$N1939))),IF($O1939&lt;&gt;"",IF(INDEX(TxnDepB,$O1939)=0,"",INDEX(TxnDepB,$O1939)),""))</f>
        <v/>
      </c>
      <c r="J1939" s="19">
        <f>IF($N1939&lt;&gt;"",IF(INDEX(PCOp,$N1939)="مرجوعی خرید",IF(INDEX(PCAmount,$N1939)=0,"",-INDEX(PCAmount,$N1939)),""),IF($O1939&lt;&gt;"",IF(INDEX(TxnWitB,$O1939)=0,"",INDEX(TxnWitB,$O1939)),""))</f>
        <v/>
      </c>
      <c r="K1939" s="21">
        <f>IF($B1939="","",IF($K1938="",$C$10,$K1938)+IF($I1939="",0,$I1939)-IF($J1939="",0,$J1939))</f>
        <v/>
      </c>
      <c r="L1939" s="22">
        <f>IF($N1939&lt;&gt;"",IF(INDEX(PCNotes,$N1939)="","—",INDEX(PCNotes,$N1939)),IF($O1939&lt;&gt;"",IF(INDEX(LdgNoteB,$O1939)="","—",INDEX(LdgNoteB,$O1939)),""))</f>
        <v/>
      </c>
      <c r="N1939">
        <f>IFERROR(MATCH($C$5&amp;"|"&amp;RIGHT("000000"&amp;1923,6),LdgRankKeyA,0),"")</f>
        <v/>
      </c>
      <c r="O1939">
        <f>IFERROR(MATCH($C$5&amp;"|"&amp;RIGHT("000000"&amp;1923,6),LdgRankKeyB,0),"")</f>
        <v/>
      </c>
    </row>
    <row r="1940">
      <c r="A1940" s="23" t="n">
        <v>1924</v>
      </c>
      <c r="B1940" s="24">
        <f>IF(AND($N1940="",$O1940=""),"",IF($N1940&lt;&gt;"",INDEX(PCNormDate,$N1940),INDEX(LdgDateB,$O1940)))</f>
        <v/>
      </c>
      <c r="C1940" s="24">
        <f>IF($N1940&lt;&gt;"",INDEX(PCOp,$N1940),IF($O1940&lt;&gt;"",IF(N(INDEX(TxnDepB,$O1940))&gt;0,"دریافت بانکی","پرداخت بانکی"),""))</f>
        <v/>
      </c>
      <c r="D1940" s="24">
        <f>IF($N1940&lt;&gt;"",IF(INDEX(PCDoc,$N1940)="","—",INDEX(PCDoc,$N1940)),IF($O1940&lt;&gt;"",INDEX(LdgBankB,$O1940),""))</f>
        <v/>
      </c>
      <c r="E1940" s="24">
        <f>IF($N1940&lt;&gt;"",IF(INDEX(PCCitrus,$N1940)="","—",INDEX(PCCitrus,$N1940)),"")</f>
        <v/>
      </c>
      <c r="F1940" s="25">
        <f>IF($N1940&lt;&gt;"",IF(INDEX(PCScale,$N1940)=0,"",INDEX(PCScale,$N1940)),"")</f>
        <v/>
      </c>
      <c r="G1940" s="25">
        <f>IF($N1940&lt;&gt;"",IF(INDEX(PCBaskets,$N1940)=0,"",INDEX(PCBaskets,$N1940)),"")</f>
        <v/>
      </c>
      <c r="H1940" s="26">
        <f>IF($N1940&lt;&gt;"",IF(INDEX(PCNet,$N1940)=0,"",INDEX(PCNet,$N1940)),"")</f>
        <v/>
      </c>
      <c r="I1940" s="25">
        <f>IF($N1940&lt;&gt;"",IF(INDEX(PCOp,$N1940)="مرجوعی خرید","",IF(INDEX(PCAmount,$N1940)&lt;=0,"",INDEX(PCAmount,$N1940))),IF($O1940&lt;&gt;"",IF(INDEX(TxnDepB,$O1940)=0,"",INDEX(TxnDepB,$O1940)),""))</f>
        <v/>
      </c>
      <c r="J1940" s="25">
        <f>IF($N1940&lt;&gt;"",IF(INDEX(PCOp,$N1940)="مرجوعی خرید",IF(INDEX(PCAmount,$N1940)=0,"",-INDEX(PCAmount,$N1940)),""),IF($O1940&lt;&gt;"",IF(INDEX(TxnWitB,$O1940)=0,"",INDEX(TxnWitB,$O1940)),""))</f>
        <v/>
      </c>
      <c r="K1940" s="27">
        <f>IF($B1940="","",IF($K1939="",$C$10,$K1939)+IF($I1940="",0,$I1940)-IF($J1940="",0,$J1940))</f>
        <v/>
      </c>
      <c r="L1940" s="28">
        <f>IF($N1940&lt;&gt;"",IF(INDEX(PCNotes,$N1940)="","—",INDEX(PCNotes,$N1940)),IF($O1940&lt;&gt;"",IF(INDEX(LdgNoteB,$O1940)="","—",INDEX(LdgNoteB,$O1940)),""))</f>
        <v/>
      </c>
      <c r="N1940">
        <f>IFERROR(MATCH($C$5&amp;"|"&amp;RIGHT("000000"&amp;1924,6),LdgRankKeyA,0),"")</f>
        <v/>
      </c>
      <c r="O1940">
        <f>IFERROR(MATCH($C$5&amp;"|"&amp;RIGHT("000000"&amp;1924,6),LdgRankKeyB,0),"")</f>
        <v/>
      </c>
    </row>
    <row r="1941">
      <c r="A1941" s="17" t="n">
        <v>1925</v>
      </c>
      <c r="B1941" s="18">
        <f>IF(AND($N1941="",$O1941=""),"",IF($N1941&lt;&gt;"",INDEX(PCNormDate,$N1941),INDEX(LdgDateB,$O1941)))</f>
        <v/>
      </c>
      <c r="C1941" s="18">
        <f>IF($N1941&lt;&gt;"",INDEX(PCOp,$N1941),IF($O1941&lt;&gt;"",IF(N(INDEX(TxnDepB,$O1941))&gt;0,"دریافت بانکی","پرداخت بانکی"),""))</f>
        <v/>
      </c>
      <c r="D1941" s="18">
        <f>IF($N1941&lt;&gt;"",IF(INDEX(PCDoc,$N1941)="","—",INDEX(PCDoc,$N1941)),IF($O1941&lt;&gt;"",INDEX(LdgBankB,$O1941),""))</f>
        <v/>
      </c>
      <c r="E1941" s="18">
        <f>IF($N1941&lt;&gt;"",IF(INDEX(PCCitrus,$N1941)="","—",INDEX(PCCitrus,$N1941)),"")</f>
        <v/>
      </c>
      <c r="F1941" s="19">
        <f>IF($N1941&lt;&gt;"",IF(INDEX(PCScale,$N1941)=0,"",INDEX(PCScale,$N1941)),"")</f>
        <v/>
      </c>
      <c r="G1941" s="19">
        <f>IF($N1941&lt;&gt;"",IF(INDEX(PCBaskets,$N1941)=0,"",INDEX(PCBaskets,$N1941)),"")</f>
        <v/>
      </c>
      <c r="H1941" s="20">
        <f>IF($N1941&lt;&gt;"",IF(INDEX(PCNet,$N1941)=0,"",INDEX(PCNet,$N1941)),"")</f>
        <v/>
      </c>
      <c r="I1941" s="19">
        <f>IF($N1941&lt;&gt;"",IF(INDEX(PCOp,$N1941)="مرجوعی خرید","",IF(INDEX(PCAmount,$N1941)&lt;=0,"",INDEX(PCAmount,$N1941))),IF($O1941&lt;&gt;"",IF(INDEX(TxnDepB,$O1941)=0,"",INDEX(TxnDepB,$O1941)),""))</f>
        <v/>
      </c>
      <c r="J1941" s="19">
        <f>IF($N1941&lt;&gt;"",IF(INDEX(PCOp,$N1941)="مرجوعی خرید",IF(INDEX(PCAmount,$N1941)=0,"",-INDEX(PCAmount,$N1941)),""),IF($O1941&lt;&gt;"",IF(INDEX(TxnWitB,$O1941)=0,"",INDEX(TxnWitB,$O1941)),""))</f>
        <v/>
      </c>
      <c r="K1941" s="21">
        <f>IF($B1941="","",IF($K1940="",$C$10,$K1940)+IF($I1941="",0,$I1941)-IF($J1941="",0,$J1941))</f>
        <v/>
      </c>
      <c r="L1941" s="22">
        <f>IF($N1941&lt;&gt;"",IF(INDEX(PCNotes,$N1941)="","—",INDEX(PCNotes,$N1941)),IF($O1941&lt;&gt;"",IF(INDEX(LdgNoteB,$O1941)="","—",INDEX(LdgNoteB,$O1941)),""))</f>
        <v/>
      </c>
      <c r="N1941">
        <f>IFERROR(MATCH($C$5&amp;"|"&amp;RIGHT("000000"&amp;1925,6),LdgRankKeyA,0),"")</f>
        <v/>
      </c>
      <c r="O1941">
        <f>IFERROR(MATCH($C$5&amp;"|"&amp;RIGHT("000000"&amp;1925,6),LdgRankKeyB,0),"")</f>
        <v/>
      </c>
    </row>
    <row r="1942">
      <c r="A1942" s="23" t="n">
        <v>1926</v>
      </c>
      <c r="B1942" s="24">
        <f>IF(AND($N1942="",$O1942=""),"",IF($N1942&lt;&gt;"",INDEX(PCNormDate,$N1942),INDEX(LdgDateB,$O1942)))</f>
        <v/>
      </c>
      <c r="C1942" s="24">
        <f>IF($N1942&lt;&gt;"",INDEX(PCOp,$N1942),IF($O1942&lt;&gt;"",IF(N(INDEX(TxnDepB,$O1942))&gt;0,"دریافت بانکی","پرداخت بانکی"),""))</f>
        <v/>
      </c>
      <c r="D1942" s="24">
        <f>IF($N1942&lt;&gt;"",IF(INDEX(PCDoc,$N1942)="","—",INDEX(PCDoc,$N1942)),IF($O1942&lt;&gt;"",INDEX(LdgBankB,$O1942),""))</f>
        <v/>
      </c>
      <c r="E1942" s="24">
        <f>IF($N1942&lt;&gt;"",IF(INDEX(PCCitrus,$N1942)="","—",INDEX(PCCitrus,$N1942)),"")</f>
        <v/>
      </c>
      <c r="F1942" s="25">
        <f>IF($N1942&lt;&gt;"",IF(INDEX(PCScale,$N1942)=0,"",INDEX(PCScale,$N1942)),"")</f>
        <v/>
      </c>
      <c r="G1942" s="25">
        <f>IF($N1942&lt;&gt;"",IF(INDEX(PCBaskets,$N1942)=0,"",INDEX(PCBaskets,$N1942)),"")</f>
        <v/>
      </c>
      <c r="H1942" s="26">
        <f>IF($N1942&lt;&gt;"",IF(INDEX(PCNet,$N1942)=0,"",INDEX(PCNet,$N1942)),"")</f>
        <v/>
      </c>
      <c r="I1942" s="25">
        <f>IF($N1942&lt;&gt;"",IF(INDEX(PCOp,$N1942)="مرجوعی خرید","",IF(INDEX(PCAmount,$N1942)&lt;=0,"",INDEX(PCAmount,$N1942))),IF($O1942&lt;&gt;"",IF(INDEX(TxnDepB,$O1942)=0,"",INDEX(TxnDepB,$O1942)),""))</f>
        <v/>
      </c>
      <c r="J1942" s="25">
        <f>IF($N1942&lt;&gt;"",IF(INDEX(PCOp,$N1942)="مرجوعی خرید",IF(INDEX(PCAmount,$N1942)=0,"",-INDEX(PCAmount,$N1942)),""),IF($O1942&lt;&gt;"",IF(INDEX(TxnWitB,$O1942)=0,"",INDEX(TxnWitB,$O1942)),""))</f>
        <v/>
      </c>
      <c r="K1942" s="27">
        <f>IF($B1942="","",IF($K1941="",$C$10,$K1941)+IF($I1942="",0,$I1942)-IF($J1942="",0,$J1942))</f>
        <v/>
      </c>
      <c r="L1942" s="28">
        <f>IF($N1942&lt;&gt;"",IF(INDEX(PCNotes,$N1942)="","—",INDEX(PCNotes,$N1942)),IF($O1942&lt;&gt;"",IF(INDEX(LdgNoteB,$O1942)="","—",INDEX(LdgNoteB,$O1942)),""))</f>
        <v/>
      </c>
      <c r="N1942">
        <f>IFERROR(MATCH($C$5&amp;"|"&amp;RIGHT("000000"&amp;1926,6),LdgRankKeyA,0),"")</f>
        <v/>
      </c>
      <c r="O1942">
        <f>IFERROR(MATCH($C$5&amp;"|"&amp;RIGHT("000000"&amp;1926,6),LdgRankKeyB,0),"")</f>
        <v/>
      </c>
    </row>
    <row r="1943">
      <c r="A1943" s="17" t="n">
        <v>1927</v>
      </c>
      <c r="B1943" s="18">
        <f>IF(AND($N1943="",$O1943=""),"",IF($N1943&lt;&gt;"",INDEX(PCNormDate,$N1943),INDEX(LdgDateB,$O1943)))</f>
        <v/>
      </c>
      <c r="C1943" s="18">
        <f>IF($N1943&lt;&gt;"",INDEX(PCOp,$N1943),IF($O1943&lt;&gt;"",IF(N(INDEX(TxnDepB,$O1943))&gt;0,"دریافت بانکی","پرداخت بانکی"),""))</f>
        <v/>
      </c>
      <c r="D1943" s="18">
        <f>IF($N1943&lt;&gt;"",IF(INDEX(PCDoc,$N1943)="","—",INDEX(PCDoc,$N1943)),IF($O1943&lt;&gt;"",INDEX(LdgBankB,$O1943),""))</f>
        <v/>
      </c>
      <c r="E1943" s="18">
        <f>IF($N1943&lt;&gt;"",IF(INDEX(PCCitrus,$N1943)="","—",INDEX(PCCitrus,$N1943)),"")</f>
        <v/>
      </c>
      <c r="F1943" s="19">
        <f>IF($N1943&lt;&gt;"",IF(INDEX(PCScale,$N1943)=0,"",INDEX(PCScale,$N1943)),"")</f>
        <v/>
      </c>
      <c r="G1943" s="19">
        <f>IF($N1943&lt;&gt;"",IF(INDEX(PCBaskets,$N1943)=0,"",INDEX(PCBaskets,$N1943)),"")</f>
        <v/>
      </c>
      <c r="H1943" s="20">
        <f>IF($N1943&lt;&gt;"",IF(INDEX(PCNet,$N1943)=0,"",INDEX(PCNet,$N1943)),"")</f>
        <v/>
      </c>
      <c r="I1943" s="19">
        <f>IF($N1943&lt;&gt;"",IF(INDEX(PCOp,$N1943)="مرجوعی خرید","",IF(INDEX(PCAmount,$N1943)&lt;=0,"",INDEX(PCAmount,$N1943))),IF($O1943&lt;&gt;"",IF(INDEX(TxnDepB,$O1943)=0,"",INDEX(TxnDepB,$O1943)),""))</f>
        <v/>
      </c>
      <c r="J1943" s="19">
        <f>IF($N1943&lt;&gt;"",IF(INDEX(PCOp,$N1943)="مرجوعی خرید",IF(INDEX(PCAmount,$N1943)=0,"",-INDEX(PCAmount,$N1943)),""),IF($O1943&lt;&gt;"",IF(INDEX(TxnWitB,$O1943)=0,"",INDEX(TxnWitB,$O1943)),""))</f>
        <v/>
      </c>
      <c r="K1943" s="21">
        <f>IF($B1943="","",IF($K1942="",$C$10,$K1942)+IF($I1943="",0,$I1943)-IF($J1943="",0,$J1943))</f>
        <v/>
      </c>
      <c r="L1943" s="22">
        <f>IF($N1943&lt;&gt;"",IF(INDEX(PCNotes,$N1943)="","—",INDEX(PCNotes,$N1943)),IF($O1943&lt;&gt;"",IF(INDEX(LdgNoteB,$O1943)="","—",INDEX(LdgNoteB,$O1943)),""))</f>
        <v/>
      </c>
      <c r="N1943">
        <f>IFERROR(MATCH($C$5&amp;"|"&amp;RIGHT("000000"&amp;1927,6),LdgRankKeyA,0),"")</f>
        <v/>
      </c>
      <c r="O1943">
        <f>IFERROR(MATCH($C$5&amp;"|"&amp;RIGHT("000000"&amp;1927,6),LdgRankKeyB,0),"")</f>
        <v/>
      </c>
    </row>
    <row r="1944">
      <c r="A1944" s="23" t="n">
        <v>1928</v>
      </c>
      <c r="B1944" s="24">
        <f>IF(AND($N1944="",$O1944=""),"",IF($N1944&lt;&gt;"",INDEX(PCNormDate,$N1944),INDEX(LdgDateB,$O1944)))</f>
        <v/>
      </c>
      <c r="C1944" s="24">
        <f>IF($N1944&lt;&gt;"",INDEX(PCOp,$N1944),IF($O1944&lt;&gt;"",IF(N(INDEX(TxnDepB,$O1944))&gt;0,"دریافت بانکی","پرداخت بانکی"),""))</f>
        <v/>
      </c>
      <c r="D1944" s="24">
        <f>IF($N1944&lt;&gt;"",IF(INDEX(PCDoc,$N1944)="","—",INDEX(PCDoc,$N1944)),IF($O1944&lt;&gt;"",INDEX(LdgBankB,$O1944),""))</f>
        <v/>
      </c>
      <c r="E1944" s="24">
        <f>IF($N1944&lt;&gt;"",IF(INDEX(PCCitrus,$N1944)="","—",INDEX(PCCitrus,$N1944)),"")</f>
        <v/>
      </c>
      <c r="F1944" s="25">
        <f>IF($N1944&lt;&gt;"",IF(INDEX(PCScale,$N1944)=0,"",INDEX(PCScale,$N1944)),"")</f>
        <v/>
      </c>
      <c r="G1944" s="25">
        <f>IF($N1944&lt;&gt;"",IF(INDEX(PCBaskets,$N1944)=0,"",INDEX(PCBaskets,$N1944)),"")</f>
        <v/>
      </c>
      <c r="H1944" s="26">
        <f>IF($N1944&lt;&gt;"",IF(INDEX(PCNet,$N1944)=0,"",INDEX(PCNet,$N1944)),"")</f>
        <v/>
      </c>
      <c r="I1944" s="25">
        <f>IF($N1944&lt;&gt;"",IF(INDEX(PCOp,$N1944)="مرجوعی خرید","",IF(INDEX(PCAmount,$N1944)&lt;=0,"",INDEX(PCAmount,$N1944))),IF($O1944&lt;&gt;"",IF(INDEX(TxnDepB,$O1944)=0,"",INDEX(TxnDepB,$O1944)),""))</f>
        <v/>
      </c>
      <c r="J1944" s="25">
        <f>IF($N1944&lt;&gt;"",IF(INDEX(PCOp,$N1944)="مرجوعی خرید",IF(INDEX(PCAmount,$N1944)=0,"",-INDEX(PCAmount,$N1944)),""),IF($O1944&lt;&gt;"",IF(INDEX(TxnWitB,$O1944)=0,"",INDEX(TxnWitB,$O1944)),""))</f>
        <v/>
      </c>
      <c r="K1944" s="27">
        <f>IF($B1944="","",IF($K1943="",$C$10,$K1943)+IF($I1944="",0,$I1944)-IF($J1944="",0,$J1944))</f>
        <v/>
      </c>
      <c r="L1944" s="28">
        <f>IF($N1944&lt;&gt;"",IF(INDEX(PCNotes,$N1944)="","—",INDEX(PCNotes,$N1944)),IF($O1944&lt;&gt;"",IF(INDEX(LdgNoteB,$O1944)="","—",INDEX(LdgNoteB,$O1944)),""))</f>
        <v/>
      </c>
      <c r="N1944">
        <f>IFERROR(MATCH($C$5&amp;"|"&amp;RIGHT("000000"&amp;1928,6),LdgRankKeyA,0),"")</f>
        <v/>
      </c>
      <c r="O1944">
        <f>IFERROR(MATCH($C$5&amp;"|"&amp;RIGHT("000000"&amp;1928,6),LdgRankKeyB,0),"")</f>
        <v/>
      </c>
    </row>
    <row r="1945">
      <c r="A1945" s="17" t="n">
        <v>1929</v>
      </c>
      <c r="B1945" s="18">
        <f>IF(AND($N1945="",$O1945=""),"",IF($N1945&lt;&gt;"",INDEX(PCNormDate,$N1945),INDEX(LdgDateB,$O1945)))</f>
        <v/>
      </c>
      <c r="C1945" s="18">
        <f>IF($N1945&lt;&gt;"",INDEX(PCOp,$N1945),IF($O1945&lt;&gt;"",IF(N(INDEX(TxnDepB,$O1945))&gt;0,"دریافت بانکی","پرداخت بانکی"),""))</f>
        <v/>
      </c>
      <c r="D1945" s="18">
        <f>IF($N1945&lt;&gt;"",IF(INDEX(PCDoc,$N1945)="","—",INDEX(PCDoc,$N1945)),IF($O1945&lt;&gt;"",INDEX(LdgBankB,$O1945),""))</f>
        <v/>
      </c>
      <c r="E1945" s="18">
        <f>IF($N1945&lt;&gt;"",IF(INDEX(PCCitrus,$N1945)="","—",INDEX(PCCitrus,$N1945)),"")</f>
        <v/>
      </c>
      <c r="F1945" s="19">
        <f>IF($N1945&lt;&gt;"",IF(INDEX(PCScale,$N1945)=0,"",INDEX(PCScale,$N1945)),"")</f>
        <v/>
      </c>
      <c r="G1945" s="19">
        <f>IF($N1945&lt;&gt;"",IF(INDEX(PCBaskets,$N1945)=0,"",INDEX(PCBaskets,$N1945)),"")</f>
        <v/>
      </c>
      <c r="H1945" s="20">
        <f>IF($N1945&lt;&gt;"",IF(INDEX(PCNet,$N1945)=0,"",INDEX(PCNet,$N1945)),"")</f>
        <v/>
      </c>
      <c r="I1945" s="19">
        <f>IF($N1945&lt;&gt;"",IF(INDEX(PCOp,$N1945)="مرجوعی خرید","",IF(INDEX(PCAmount,$N1945)&lt;=0,"",INDEX(PCAmount,$N1945))),IF($O1945&lt;&gt;"",IF(INDEX(TxnDepB,$O1945)=0,"",INDEX(TxnDepB,$O1945)),""))</f>
        <v/>
      </c>
      <c r="J1945" s="19">
        <f>IF($N1945&lt;&gt;"",IF(INDEX(PCOp,$N1945)="مرجوعی خرید",IF(INDEX(PCAmount,$N1945)=0,"",-INDEX(PCAmount,$N1945)),""),IF($O1945&lt;&gt;"",IF(INDEX(TxnWitB,$O1945)=0,"",INDEX(TxnWitB,$O1945)),""))</f>
        <v/>
      </c>
      <c r="K1945" s="21">
        <f>IF($B1945="","",IF($K1944="",$C$10,$K1944)+IF($I1945="",0,$I1945)-IF($J1945="",0,$J1945))</f>
        <v/>
      </c>
      <c r="L1945" s="22">
        <f>IF($N1945&lt;&gt;"",IF(INDEX(PCNotes,$N1945)="","—",INDEX(PCNotes,$N1945)),IF($O1945&lt;&gt;"",IF(INDEX(LdgNoteB,$O1945)="","—",INDEX(LdgNoteB,$O1945)),""))</f>
        <v/>
      </c>
      <c r="N1945">
        <f>IFERROR(MATCH($C$5&amp;"|"&amp;RIGHT("000000"&amp;1929,6),LdgRankKeyA,0),"")</f>
        <v/>
      </c>
      <c r="O1945">
        <f>IFERROR(MATCH($C$5&amp;"|"&amp;RIGHT("000000"&amp;1929,6),LdgRankKeyB,0),"")</f>
        <v/>
      </c>
    </row>
    <row r="1946">
      <c r="A1946" s="23" t="n">
        <v>1930</v>
      </c>
      <c r="B1946" s="24">
        <f>IF(AND($N1946="",$O1946=""),"",IF($N1946&lt;&gt;"",INDEX(PCNormDate,$N1946),INDEX(LdgDateB,$O1946)))</f>
        <v/>
      </c>
      <c r="C1946" s="24">
        <f>IF($N1946&lt;&gt;"",INDEX(PCOp,$N1946),IF($O1946&lt;&gt;"",IF(N(INDEX(TxnDepB,$O1946))&gt;0,"دریافت بانکی","پرداخت بانکی"),""))</f>
        <v/>
      </c>
      <c r="D1946" s="24">
        <f>IF($N1946&lt;&gt;"",IF(INDEX(PCDoc,$N1946)="","—",INDEX(PCDoc,$N1946)),IF($O1946&lt;&gt;"",INDEX(LdgBankB,$O1946),""))</f>
        <v/>
      </c>
      <c r="E1946" s="24">
        <f>IF($N1946&lt;&gt;"",IF(INDEX(PCCitrus,$N1946)="","—",INDEX(PCCitrus,$N1946)),"")</f>
        <v/>
      </c>
      <c r="F1946" s="25">
        <f>IF($N1946&lt;&gt;"",IF(INDEX(PCScale,$N1946)=0,"",INDEX(PCScale,$N1946)),"")</f>
        <v/>
      </c>
      <c r="G1946" s="25">
        <f>IF($N1946&lt;&gt;"",IF(INDEX(PCBaskets,$N1946)=0,"",INDEX(PCBaskets,$N1946)),"")</f>
        <v/>
      </c>
      <c r="H1946" s="26">
        <f>IF($N1946&lt;&gt;"",IF(INDEX(PCNet,$N1946)=0,"",INDEX(PCNet,$N1946)),"")</f>
        <v/>
      </c>
      <c r="I1946" s="25">
        <f>IF($N1946&lt;&gt;"",IF(INDEX(PCOp,$N1946)="مرجوعی خرید","",IF(INDEX(PCAmount,$N1946)&lt;=0,"",INDEX(PCAmount,$N1946))),IF($O1946&lt;&gt;"",IF(INDEX(TxnDepB,$O1946)=0,"",INDEX(TxnDepB,$O1946)),""))</f>
        <v/>
      </c>
      <c r="J1946" s="25">
        <f>IF($N1946&lt;&gt;"",IF(INDEX(PCOp,$N1946)="مرجوعی خرید",IF(INDEX(PCAmount,$N1946)=0,"",-INDEX(PCAmount,$N1946)),""),IF($O1946&lt;&gt;"",IF(INDEX(TxnWitB,$O1946)=0,"",INDEX(TxnWitB,$O1946)),""))</f>
        <v/>
      </c>
      <c r="K1946" s="27">
        <f>IF($B1946="","",IF($K1945="",$C$10,$K1945)+IF($I1946="",0,$I1946)-IF($J1946="",0,$J1946))</f>
        <v/>
      </c>
      <c r="L1946" s="28">
        <f>IF($N1946&lt;&gt;"",IF(INDEX(PCNotes,$N1946)="","—",INDEX(PCNotes,$N1946)),IF($O1946&lt;&gt;"",IF(INDEX(LdgNoteB,$O1946)="","—",INDEX(LdgNoteB,$O1946)),""))</f>
        <v/>
      </c>
      <c r="N1946">
        <f>IFERROR(MATCH($C$5&amp;"|"&amp;RIGHT("000000"&amp;1930,6),LdgRankKeyA,0),"")</f>
        <v/>
      </c>
      <c r="O1946">
        <f>IFERROR(MATCH($C$5&amp;"|"&amp;RIGHT("000000"&amp;1930,6),LdgRankKeyB,0),"")</f>
        <v/>
      </c>
    </row>
    <row r="1947">
      <c r="A1947" s="17" t="n">
        <v>1931</v>
      </c>
      <c r="B1947" s="18">
        <f>IF(AND($N1947="",$O1947=""),"",IF($N1947&lt;&gt;"",INDEX(PCNormDate,$N1947),INDEX(LdgDateB,$O1947)))</f>
        <v/>
      </c>
      <c r="C1947" s="18">
        <f>IF($N1947&lt;&gt;"",INDEX(PCOp,$N1947),IF($O1947&lt;&gt;"",IF(N(INDEX(TxnDepB,$O1947))&gt;0,"دریافت بانکی","پرداخت بانکی"),""))</f>
        <v/>
      </c>
      <c r="D1947" s="18">
        <f>IF($N1947&lt;&gt;"",IF(INDEX(PCDoc,$N1947)="","—",INDEX(PCDoc,$N1947)),IF($O1947&lt;&gt;"",INDEX(LdgBankB,$O1947),""))</f>
        <v/>
      </c>
      <c r="E1947" s="18">
        <f>IF($N1947&lt;&gt;"",IF(INDEX(PCCitrus,$N1947)="","—",INDEX(PCCitrus,$N1947)),"")</f>
        <v/>
      </c>
      <c r="F1947" s="19">
        <f>IF($N1947&lt;&gt;"",IF(INDEX(PCScale,$N1947)=0,"",INDEX(PCScale,$N1947)),"")</f>
        <v/>
      </c>
      <c r="G1947" s="19">
        <f>IF($N1947&lt;&gt;"",IF(INDEX(PCBaskets,$N1947)=0,"",INDEX(PCBaskets,$N1947)),"")</f>
        <v/>
      </c>
      <c r="H1947" s="20">
        <f>IF($N1947&lt;&gt;"",IF(INDEX(PCNet,$N1947)=0,"",INDEX(PCNet,$N1947)),"")</f>
        <v/>
      </c>
      <c r="I1947" s="19">
        <f>IF($N1947&lt;&gt;"",IF(INDEX(PCOp,$N1947)="مرجوعی خرید","",IF(INDEX(PCAmount,$N1947)&lt;=0,"",INDEX(PCAmount,$N1947))),IF($O1947&lt;&gt;"",IF(INDEX(TxnDepB,$O1947)=0,"",INDEX(TxnDepB,$O1947)),""))</f>
        <v/>
      </c>
      <c r="J1947" s="19">
        <f>IF($N1947&lt;&gt;"",IF(INDEX(PCOp,$N1947)="مرجوعی خرید",IF(INDEX(PCAmount,$N1947)=0,"",-INDEX(PCAmount,$N1947)),""),IF($O1947&lt;&gt;"",IF(INDEX(TxnWitB,$O1947)=0,"",INDEX(TxnWitB,$O1947)),""))</f>
        <v/>
      </c>
      <c r="K1947" s="21">
        <f>IF($B1947="","",IF($K1946="",$C$10,$K1946)+IF($I1947="",0,$I1947)-IF($J1947="",0,$J1947))</f>
        <v/>
      </c>
      <c r="L1947" s="22">
        <f>IF($N1947&lt;&gt;"",IF(INDEX(PCNotes,$N1947)="","—",INDEX(PCNotes,$N1947)),IF($O1947&lt;&gt;"",IF(INDEX(LdgNoteB,$O1947)="","—",INDEX(LdgNoteB,$O1947)),""))</f>
        <v/>
      </c>
      <c r="N1947">
        <f>IFERROR(MATCH($C$5&amp;"|"&amp;RIGHT("000000"&amp;1931,6),LdgRankKeyA,0),"")</f>
        <v/>
      </c>
      <c r="O1947">
        <f>IFERROR(MATCH($C$5&amp;"|"&amp;RIGHT("000000"&amp;1931,6),LdgRankKeyB,0),"")</f>
        <v/>
      </c>
    </row>
    <row r="1948">
      <c r="A1948" s="23" t="n">
        <v>1932</v>
      </c>
      <c r="B1948" s="24">
        <f>IF(AND($N1948="",$O1948=""),"",IF($N1948&lt;&gt;"",INDEX(PCNormDate,$N1948),INDEX(LdgDateB,$O1948)))</f>
        <v/>
      </c>
      <c r="C1948" s="24">
        <f>IF($N1948&lt;&gt;"",INDEX(PCOp,$N1948),IF($O1948&lt;&gt;"",IF(N(INDEX(TxnDepB,$O1948))&gt;0,"دریافت بانکی","پرداخت بانکی"),""))</f>
        <v/>
      </c>
      <c r="D1948" s="24">
        <f>IF($N1948&lt;&gt;"",IF(INDEX(PCDoc,$N1948)="","—",INDEX(PCDoc,$N1948)),IF($O1948&lt;&gt;"",INDEX(LdgBankB,$O1948),""))</f>
        <v/>
      </c>
      <c r="E1948" s="24">
        <f>IF($N1948&lt;&gt;"",IF(INDEX(PCCitrus,$N1948)="","—",INDEX(PCCitrus,$N1948)),"")</f>
        <v/>
      </c>
      <c r="F1948" s="25">
        <f>IF($N1948&lt;&gt;"",IF(INDEX(PCScale,$N1948)=0,"",INDEX(PCScale,$N1948)),"")</f>
        <v/>
      </c>
      <c r="G1948" s="25">
        <f>IF($N1948&lt;&gt;"",IF(INDEX(PCBaskets,$N1948)=0,"",INDEX(PCBaskets,$N1948)),"")</f>
        <v/>
      </c>
      <c r="H1948" s="26">
        <f>IF($N1948&lt;&gt;"",IF(INDEX(PCNet,$N1948)=0,"",INDEX(PCNet,$N1948)),"")</f>
        <v/>
      </c>
      <c r="I1948" s="25">
        <f>IF($N1948&lt;&gt;"",IF(INDEX(PCOp,$N1948)="مرجوعی خرید","",IF(INDEX(PCAmount,$N1948)&lt;=0,"",INDEX(PCAmount,$N1948))),IF($O1948&lt;&gt;"",IF(INDEX(TxnDepB,$O1948)=0,"",INDEX(TxnDepB,$O1948)),""))</f>
        <v/>
      </c>
      <c r="J1948" s="25">
        <f>IF($N1948&lt;&gt;"",IF(INDEX(PCOp,$N1948)="مرجوعی خرید",IF(INDEX(PCAmount,$N1948)=0,"",-INDEX(PCAmount,$N1948)),""),IF($O1948&lt;&gt;"",IF(INDEX(TxnWitB,$O1948)=0,"",INDEX(TxnWitB,$O1948)),""))</f>
        <v/>
      </c>
      <c r="K1948" s="27">
        <f>IF($B1948="","",IF($K1947="",$C$10,$K1947)+IF($I1948="",0,$I1948)-IF($J1948="",0,$J1948))</f>
        <v/>
      </c>
      <c r="L1948" s="28">
        <f>IF($N1948&lt;&gt;"",IF(INDEX(PCNotes,$N1948)="","—",INDEX(PCNotes,$N1948)),IF($O1948&lt;&gt;"",IF(INDEX(LdgNoteB,$O1948)="","—",INDEX(LdgNoteB,$O1948)),""))</f>
        <v/>
      </c>
      <c r="N1948">
        <f>IFERROR(MATCH($C$5&amp;"|"&amp;RIGHT("000000"&amp;1932,6),LdgRankKeyA,0),"")</f>
        <v/>
      </c>
      <c r="O1948">
        <f>IFERROR(MATCH($C$5&amp;"|"&amp;RIGHT("000000"&amp;1932,6),LdgRankKeyB,0),"")</f>
        <v/>
      </c>
    </row>
    <row r="1949">
      <c r="A1949" s="17" t="n">
        <v>1933</v>
      </c>
      <c r="B1949" s="18">
        <f>IF(AND($N1949="",$O1949=""),"",IF($N1949&lt;&gt;"",INDEX(PCNormDate,$N1949),INDEX(LdgDateB,$O1949)))</f>
        <v/>
      </c>
      <c r="C1949" s="18">
        <f>IF($N1949&lt;&gt;"",INDEX(PCOp,$N1949),IF($O1949&lt;&gt;"",IF(N(INDEX(TxnDepB,$O1949))&gt;0,"دریافت بانکی","پرداخت بانکی"),""))</f>
        <v/>
      </c>
      <c r="D1949" s="18">
        <f>IF($N1949&lt;&gt;"",IF(INDEX(PCDoc,$N1949)="","—",INDEX(PCDoc,$N1949)),IF($O1949&lt;&gt;"",INDEX(LdgBankB,$O1949),""))</f>
        <v/>
      </c>
      <c r="E1949" s="18">
        <f>IF($N1949&lt;&gt;"",IF(INDEX(PCCitrus,$N1949)="","—",INDEX(PCCitrus,$N1949)),"")</f>
        <v/>
      </c>
      <c r="F1949" s="19">
        <f>IF($N1949&lt;&gt;"",IF(INDEX(PCScale,$N1949)=0,"",INDEX(PCScale,$N1949)),"")</f>
        <v/>
      </c>
      <c r="G1949" s="19">
        <f>IF($N1949&lt;&gt;"",IF(INDEX(PCBaskets,$N1949)=0,"",INDEX(PCBaskets,$N1949)),"")</f>
        <v/>
      </c>
      <c r="H1949" s="20">
        <f>IF($N1949&lt;&gt;"",IF(INDEX(PCNet,$N1949)=0,"",INDEX(PCNet,$N1949)),"")</f>
        <v/>
      </c>
      <c r="I1949" s="19">
        <f>IF($N1949&lt;&gt;"",IF(INDEX(PCOp,$N1949)="مرجوعی خرید","",IF(INDEX(PCAmount,$N1949)&lt;=0,"",INDEX(PCAmount,$N1949))),IF($O1949&lt;&gt;"",IF(INDEX(TxnDepB,$O1949)=0,"",INDEX(TxnDepB,$O1949)),""))</f>
        <v/>
      </c>
      <c r="J1949" s="19">
        <f>IF($N1949&lt;&gt;"",IF(INDEX(PCOp,$N1949)="مرجوعی خرید",IF(INDEX(PCAmount,$N1949)=0,"",-INDEX(PCAmount,$N1949)),""),IF($O1949&lt;&gt;"",IF(INDEX(TxnWitB,$O1949)=0,"",INDEX(TxnWitB,$O1949)),""))</f>
        <v/>
      </c>
      <c r="K1949" s="21">
        <f>IF($B1949="","",IF($K1948="",$C$10,$K1948)+IF($I1949="",0,$I1949)-IF($J1949="",0,$J1949))</f>
        <v/>
      </c>
      <c r="L1949" s="22">
        <f>IF($N1949&lt;&gt;"",IF(INDEX(PCNotes,$N1949)="","—",INDEX(PCNotes,$N1949)),IF($O1949&lt;&gt;"",IF(INDEX(LdgNoteB,$O1949)="","—",INDEX(LdgNoteB,$O1949)),""))</f>
        <v/>
      </c>
      <c r="N1949">
        <f>IFERROR(MATCH($C$5&amp;"|"&amp;RIGHT("000000"&amp;1933,6),LdgRankKeyA,0),"")</f>
        <v/>
      </c>
      <c r="O1949">
        <f>IFERROR(MATCH($C$5&amp;"|"&amp;RIGHT("000000"&amp;1933,6),LdgRankKeyB,0),"")</f>
        <v/>
      </c>
    </row>
    <row r="1950">
      <c r="A1950" s="23" t="n">
        <v>1934</v>
      </c>
      <c r="B1950" s="24">
        <f>IF(AND($N1950="",$O1950=""),"",IF($N1950&lt;&gt;"",INDEX(PCNormDate,$N1950),INDEX(LdgDateB,$O1950)))</f>
        <v/>
      </c>
      <c r="C1950" s="24">
        <f>IF($N1950&lt;&gt;"",INDEX(PCOp,$N1950),IF($O1950&lt;&gt;"",IF(N(INDEX(TxnDepB,$O1950))&gt;0,"دریافت بانکی","پرداخت بانکی"),""))</f>
        <v/>
      </c>
      <c r="D1950" s="24">
        <f>IF($N1950&lt;&gt;"",IF(INDEX(PCDoc,$N1950)="","—",INDEX(PCDoc,$N1950)),IF($O1950&lt;&gt;"",INDEX(LdgBankB,$O1950),""))</f>
        <v/>
      </c>
      <c r="E1950" s="24">
        <f>IF($N1950&lt;&gt;"",IF(INDEX(PCCitrus,$N1950)="","—",INDEX(PCCitrus,$N1950)),"")</f>
        <v/>
      </c>
      <c r="F1950" s="25">
        <f>IF($N1950&lt;&gt;"",IF(INDEX(PCScale,$N1950)=0,"",INDEX(PCScale,$N1950)),"")</f>
        <v/>
      </c>
      <c r="G1950" s="25">
        <f>IF($N1950&lt;&gt;"",IF(INDEX(PCBaskets,$N1950)=0,"",INDEX(PCBaskets,$N1950)),"")</f>
        <v/>
      </c>
      <c r="H1950" s="26">
        <f>IF($N1950&lt;&gt;"",IF(INDEX(PCNet,$N1950)=0,"",INDEX(PCNet,$N1950)),"")</f>
        <v/>
      </c>
      <c r="I1950" s="25">
        <f>IF($N1950&lt;&gt;"",IF(INDEX(PCOp,$N1950)="مرجوعی خرید","",IF(INDEX(PCAmount,$N1950)&lt;=0,"",INDEX(PCAmount,$N1950))),IF($O1950&lt;&gt;"",IF(INDEX(TxnDepB,$O1950)=0,"",INDEX(TxnDepB,$O1950)),""))</f>
        <v/>
      </c>
      <c r="J1950" s="25">
        <f>IF($N1950&lt;&gt;"",IF(INDEX(PCOp,$N1950)="مرجوعی خرید",IF(INDEX(PCAmount,$N1950)=0,"",-INDEX(PCAmount,$N1950)),""),IF($O1950&lt;&gt;"",IF(INDEX(TxnWitB,$O1950)=0,"",INDEX(TxnWitB,$O1950)),""))</f>
        <v/>
      </c>
      <c r="K1950" s="27">
        <f>IF($B1950="","",IF($K1949="",$C$10,$K1949)+IF($I1950="",0,$I1950)-IF($J1950="",0,$J1950))</f>
        <v/>
      </c>
      <c r="L1950" s="28">
        <f>IF($N1950&lt;&gt;"",IF(INDEX(PCNotes,$N1950)="","—",INDEX(PCNotes,$N1950)),IF($O1950&lt;&gt;"",IF(INDEX(LdgNoteB,$O1950)="","—",INDEX(LdgNoteB,$O1950)),""))</f>
        <v/>
      </c>
      <c r="N1950">
        <f>IFERROR(MATCH($C$5&amp;"|"&amp;RIGHT("000000"&amp;1934,6),LdgRankKeyA,0),"")</f>
        <v/>
      </c>
      <c r="O1950">
        <f>IFERROR(MATCH($C$5&amp;"|"&amp;RIGHT("000000"&amp;1934,6),LdgRankKeyB,0),"")</f>
        <v/>
      </c>
    </row>
    <row r="1951">
      <c r="A1951" s="17" t="n">
        <v>1935</v>
      </c>
      <c r="B1951" s="18">
        <f>IF(AND($N1951="",$O1951=""),"",IF($N1951&lt;&gt;"",INDEX(PCNormDate,$N1951),INDEX(LdgDateB,$O1951)))</f>
        <v/>
      </c>
      <c r="C1951" s="18">
        <f>IF($N1951&lt;&gt;"",INDEX(PCOp,$N1951),IF($O1951&lt;&gt;"",IF(N(INDEX(TxnDepB,$O1951))&gt;0,"دریافت بانکی","پرداخت بانکی"),""))</f>
        <v/>
      </c>
      <c r="D1951" s="18">
        <f>IF($N1951&lt;&gt;"",IF(INDEX(PCDoc,$N1951)="","—",INDEX(PCDoc,$N1951)),IF($O1951&lt;&gt;"",INDEX(LdgBankB,$O1951),""))</f>
        <v/>
      </c>
      <c r="E1951" s="18">
        <f>IF($N1951&lt;&gt;"",IF(INDEX(PCCitrus,$N1951)="","—",INDEX(PCCitrus,$N1951)),"")</f>
        <v/>
      </c>
      <c r="F1951" s="19">
        <f>IF($N1951&lt;&gt;"",IF(INDEX(PCScale,$N1951)=0,"",INDEX(PCScale,$N1951)),"")</f>
        <v/>
      </c>
      <c r="G1951" s="19">
        <f>IF($N1951&lt;&gt;"",IF(INDEX(PCBaskets,$N1951)=0,"",INDEX(PCBaskets,$N1951)),"")</f>
        <v/>
      </c>
      <c r="H1951" s="20">
        <f>IF($N1951&lt;&gt;"",IF(INDEX(PCNet,$N1951)=0,"",INDEX(PCNet,$N1951)),"")</f>
        <v/>
      </c>
      <c r="I1951" s="19">
        <f>IF($N1951&lt;&gt;"",IF(INDEX(PCOp,$N1951)="مرجوعی خرید","",IF(INDEX(PCAmount,$N1951)&lt;=0,"",INDEX(PCAmount,$N1951))),IF($O1951&lt;&gt;"",IF(INDEX(TxnDepB,$O1951)=0,"",INDEX(TxnDepB,$O1951)),""))</f>
        <v/>
      </c>
      <c r="J1951" s="19">
        <f>IF($N1951&lt;&gt;"",IF(INDEX(PCOp,$N1951)="مرجوعی خرید",IF(INDEX(PCAmount,$N1951)=0,"",-INDEX(PCAmount,$N1951)),""),IF($O1951&lt;&gt;"",IF(INDEX(TxnWitB,$O1951)=0,"",INDEX(TxnWitB,$O1951)),""))</f>
        <v/>
      </c>
      <c r="K1951" s="21">
        <f>IF($B1951="","",IF($K1950="",$C$10,$K1950)+IF($I1951="",0,$I1951)-IF($J1951="",0,$J1951))</f>
        <v/>
      </c>
      <c r="L1951" s="22">
        <f>IF($N1951&lt;&gt;"",IF(INDEX(PCNotes,$N1951)="","—",INDEX(PCNotes,$N1951)),IF($O1951&lt;&gt;"",IF(INDEX(LdgNoteB,$O1951)="","—",INDEX(LdgNoteB,$O1951)),""))</f>
        <v/>
      </c>
      <c r="N1951">
        <f>IFERROR(MATCH($C$5&amp;"|"&amp;RIGHT("000000"&amp;1935,6),LdgRankKeyA,0),"")</f>
        <v/>
      </c>
      <c r="O1951">
        <f>IFERROR(MATCH($C$5&amp;"|"&amp;RIGHT("000000"&amp;1935,6),LdgRankKeyB,0),"")</f>
        <v/>
      </c>
    </row>
    <row r="1952">
      <c r="A1952" s="23" t="n">
        <v>1936</v>
      </c>
      <c r="B1952" s="24">
        <f>IF(AND($N1952="",$O1952=""),"",IF($N1952&lt;&gt;"",INDEX(PCNormDate,$N1952),INDEX(LdgDateB,$O1952)))</f>
        <v/>
      </c>
      <c r="C1952" s="24">
        <f>IF($N1952&lt;&gt;"",INDEX(PCOp,$N1952),IF($O1952&lt;&gt;"",IF(N(INDEX(TxnDepB,$O1952))&gt;0,"دریافت بانکی","پرداخت بانکی"),""))</f>
        <v/>
      </c>
      <c r="D1952" s="24">
        <f>IF($N1952&lt;&gt;"",IF(INDEX(PCDoc,$N1952)="","—",INDEX(PCDoc,$N1952)),IF($O1952&lt;&gt;"",INDEX(LdgBankB,$O1952),""))</f>
        <v/>
      </c>
      <c r="E1952" s="24">
        <f>IF($N1952&lt;&gt;"",IF(INDEX(PCCitrus,$N1952)="","—",INDEX(PCCitrus,$N1952)),"")</f>
        <v/>
      </c>
      <c r="F1952" s="25">
        <f>IF($N1952&lt;&gt;"",IF(INDEX(PCScale,$N1952)=0,"",INDEX(PCScale,$N1952)),"")</f>
        <v/>
      </c>
      <c r="G1952" s="25">
        <f>IF($N1952&lt;&gt;"",IF(INDEX(PCBaskets,$N1952)=0,"",INDEX(PCBaskets,$N1952)),"")</f>
        <v/>
      </c>
      <c r="H1952" s="26">
        <f>IF($N1952&lt;&gt;"",IF(INDEX(PCNet,$N1952)=0,"",INDEX(PCNet,$N1952)),"")</f>
        <v/>
      </c>
      <c r="I1952" s="25">
        <f>IF($N1952&lt;&gt;"",IF(INDEX(PCOp,$N1952)="مرجوعی خرید","",IF(INDEX(PCAmount,$N1952)&lt;=0,"",INDEX(PCAmount,$N1952))),IF($O1952&lt;&gt;"",IF(INDEX(TxnDepB,$O1952)=0,"",INDEX(TxnDepB,$O1952)),""))</f>
        <v/>
      </c>
      <c r="J1952" s="25">
        <f>IF($N1952&lt;&gt;"",IF(INDEX(PCOp,$N1952)="مرجوعی خرید",IF(INDEX(PCAmount,$N1952)=0,"",-INDEX(PCAmount,$N1952)),""),IF($O1952&lt;&gt;"",IF(INDEX(TxnWitB,$O1952)=0,"",INDEX(TxnWitB,$O1952)),""))</f>
        <v/>
      </c>
      <c r="K1952" s="27">
        <f>IF($B1952="","",IF($K1951="",$C$10,$K1951)+IF($I1952="",0,$I1952)-IF($J1952="",0,$J1952))</f>
        <v/>
      </c>
      <c r="L1952" s="28">
        <f>IF($N1952&lt;&gt;"",IF(INDEX(PCNotes,$N1952)="","—",INDEX(PCNotes,$N1952)),IF($O1952&lt;&gt;"",IF(INDEX(LdgNoteB,$O1952)="","—",INDEX(LdgNoteB,$O1952)),""))</f>
        <v/>
      </c>
      <c r="N1952">
        <f>IFERROR(MATCH($C$5&amp;"|"&amp;RIGHT("000000"&amp;1936,6),LdgRankKeyA,0),"")</f>
        <v/>
      </c>
      <c r="O1952">
        <f>IFERROR(MATCH($C$5&amp;"|"&amp;RIGHT("000000"&amp;1936,6),LdgRankKeyB,0),"")</f>
        <v/>
      </c>
    </row>
    <row r="1953">
      <c r="A1953" s="17" t="n">
        <v>1937</v>
      </c>
      <c r="B1953" s="18">
        <f>IF(AND($N1953="",$O1953=""),"",IF($N1953&lt;&gt;"",INDEX(PCNormDate,$N1953),INDEX(LdgDateB,$O1953)))</f>
        <v/>
      </c>
      <c r="C1953" s="18">
        <f>IF($N1953&lt;&gt;"",INDEX(PCOp,$N1953),IF($O1953&lt;&gt;"",IF(N(INDEX(TxnDepB,$O1953))&gt;0,"دریافت بانکی","پرداخت بانکی"),""))</f>
        <v/>
      </c>
      <c r="D1953" s="18">
        <f>IF($N1953&lt;&gt;"",IF(INDEX(PCDoc,$N1953)="","—",INDEX(PCDoc,$N1953)),IF($O1953&lt;&gt;"",INDEX(LdgBankB,$O1953),""))</f>
        <v/>
      </c>
      <c r="E1953" s="18">
        <f>IF($N1953&lt;&gt;"",IF(INDEX(PCCitrus,$N1953)="","—",INDEX(PCCitrus,$N1953)),"")</f>
        <v/>
      </c>
      <c r="F1953" s="19">
        <f>IF($N1953&lt;&gt;"",IF(INDEX(PCScale,$N1953)=0,"",INDEX(PCScale,$N1953)),"")</f>
        <v/>
      </c>
      <c r="G1953" s="19">
        <f>IF($N1953&lt;&gt;"",IF(INDEX(PCBaskets,$N1953)=0,"",INDEX(PCBaskets,$N1953)),"")</f>
        <v/>
      </c>
      <c r="H1953" s="20">
        <f>IF($N1953&lt;&gt;"",IF(INDEX(PCNet,$N1953)=0,"",INDEX(PCNet,$N1953)),"")</f>
        <v/>
      </c>
      <c r="I1953" s="19">
        <f>IF($N1953&lt;&gt;"",IF(INDEX(PCOp,$N1953)="مرجوعی خرید","",IF(INDEX(PCAmount,$N1953)&lt;=0,"",INDEX(PCAmount,$N1953))),IF($O1953&lt;&gt;"",IF(INDEX(TxnDepB,$O1953)=0,"",INDEX(TxnDepB,$O1953)),""))</f>
        <v/>
      </c>
      <c r="J1953" s="19">
        <f>IF($N1953&lt;&gt;"",IF(INDEX(PCOp,$N1953)="مرجوعی خرید",IF(INDEX(PCAmount,$N1953)=0,"",-INDEX(PCAmount,$N1953)),""),IF($O1953&lt;&gt;"",IF(INDEX(TxnWitB,$O1953)=0,"",INDEX(TxnWitB,$O1953)),""))</f>
        <v/>
      </c>
      <c r="K1953" s="21">
        <f>IF($B1953="","",IF($K1952="",$C$10,$K1952)+IF($I1953="",0,$I1953)-IF($J1953="",0,$J1953))</f>
        <v/>
      </c>
      <c r="L1953" s="22">
        <f>IF($N1953&lt;&gt;"",IF(INDEX(PCNotes,$N1953)="","—",INDEX(PCNotes,$N1953)),IF($O1953&lt;&gt;"",IF(INDEX(LdgNoteB,$O1953)="","—",INDEX(LdgNoteB,$O1953)),""))</f>
        <v/>
      </c>
      <c r="N1953">
        <f>IFERROR(MATCH($C$5&amp;"|"&amp;RIGHT("000000"&amp;1937,6),LdgRankKeyA,0),"")</f>
        <v/>
      </c>
      <c r="O1953">
        <f>IFERROR(MATCH($C$5&amp;"|"&amp;RIGHT("000000"&amp;1937,6),LdgRankKeyB,0),"")</f>
        <v/>
      </c>
    </row>
    <row r="1954">
      <c r="A1954" s="23" t="n">
        <v>1938</v>
      </c>
      <c r="B1954" s="24">
        <f>IF(AND($N1954="",$O1954=""),"",IF($N1954&lt;&gt;"",INDEX(PCNormDate,$N1954),INDEX(LdgDateB,$O1954)))</f>
        <v/>
      </c>
      <c r="C1954" s="24">
        <f>IF($N1954&lt;&gt;"",INDEX(PCOp,$N1954),IF($O1954&lt;&gt;"",IF(N(INDEX(TxnDepB,$O1954))&gt;0,"دریافت بانکی","پرداخت بانکی"),""))</f>
        <v/>
      </c>
      <c r="D1954" s="24">
        <f>IF($N1954&lt;&gt;"",IF(INDEX(PCDoc,$N1954)="","—",INDEX(PCDoc,$N1954)),IF($O1954&lt;&gt;"",INDEX(LdgBankB,$O1954),""))</f>
        <v/>
      </c>
      <c r="E1954" s="24">
        <f>IF($N1954&lt;&gt;"",IF(INDEX(PCCitrus,$N1954)="","—",INDEX(PCCitrus,$N1954)),"")</f>
        <v/>
      </c>
      <c r="F1954" s="25">
        <f>IF($N1954&lt;&gt;"",IF(INDEX(PCScale,$N1954)=0,"",INDEX(PCScale,$N1954)),"")</f>
        <v/>
      </c>
      <c r="G1954" s="25">
        <f>IF($N1954&lt;&gt;"",IF(INDEX(PCBaskets,$N1954)=0,"",INDEX(PCBaskets,$N1954)),"")</f>
        <v/>
      </c>
      <c r="H1954" s="26">
        <f>IF($N1954&lt;&gt;"",IF(INDEX(PCNet,$N1954)=0,"",INDEX(PCNet,$N1954)),"")</f>
        <v/>
      </c>
      <c r="I1954" s="25">
        <f>IF($N1954&lt;&gt;"",IF(INDEX(PCOp,$N1954)="مرجوعی خرید","",IF(INDEX(PCAmount,$N1954)&lt;=0,"",INDEX(PCAmount,$N1954))),IF($O1954&lt;&gt;"",IF(INDEX(TxnDepB,$O1954)=0,"",INDEX(TxnDepB,$O1954)),""))</f>
        <v/>
      </c>
      <c r="J1954" s="25">
        <f>IF($N1954&lt;&gt;"",IF(INDEX(PCOp,$N1954)="مرجوعی خرید",IF(INDEX(PCAmount,$N1954)=0,"",-INDEX(PCAmount,$N1954)),""),IF($O1954&lt;&gt;"",IF(INDEX(TxnWitB,$O1954)=0,"",INDEX(TxnWitB,$O1954)),""))</f>
        <v/>
      </c>
      <c r="K1954" s="27">
        <f>IF($B1954="","",IF($K1953="",$C$10,$K1953)+IF($I1954="",0,$I1954)-IF($J1954="",0,$J1954))</f>
        <v/>
      </c>
      <c r="L1954" s="28">
        <f>IF($N1954&lt;&gt;"",IF(INDEX(PCNotes,$N1954)="","—",INDEX(PCNotes,$N1954)),IF($O1954&lt;&gt;"",IF(INDEX(LdgNoteB,$O1954)="","—",INDEX(LdgNoteB,$O1954)),""))</f>
        <v/>
      </c>
      <c r="N1954">
        <f>IFERROR(MATCH($C$5&amp;"|"&amp;RIGHT("000000"&amp;1938,6),LdgRankKeyA,0),"")</f>
        <v/>
      </c>
      <c r="O1954">
        <f>IFERROR(MATCH($C$5&amp;"|"&amp;RIGHT("000000"&amp;1938,6),LdgRankKeyB,0),"")</f>
        <v/>
      </c>
    </row>
    <row r="1955">
      <c r="A1955" s="17" t="n">
        <v>1939</v>
      </c>
      <c r="B1955" s="18">
        <f>IF(AND($N1955="",$O1955=""),"",IF($N1955&lt;&gt;"",INDEX(PCNormDate,$N1955),INDEX(LdgDateB,$O1955)))</f>
        <v/>
      </c>
      <c r="C1955" s="18">
        <f>IF($N1955&lt;&gt;"",INDEX(PCOp,$N1955),IF($O1955&lt;&gt;"",IF(N(INDEX(TxnDepB,$O1955))&gt;0,"دریافت بانکی","پرداخت بانکی"),""))</f>
        <v/>
      </c>
      <c r="D1955" s="18">
        <f>IF($N1955&lt;&gt;"",IF(INDEX(PCDoc,$N1955)="","—",INDEX(PCDoc,$N1955)),IF($O1955&lt;&gt;"",INDEX(LdgBankB,$O1955),""))</f>
        <v/>
      </c>
      <c r="E1955" s="18">
        <f>IF($N1955&lt;&gt;"",IF(INDEX(PCCitrus,$N1955)="","—",INDEX(PCCitrus,$N1955)),"")</f>
        <v/>
      </c>
      <c r="F1955" s="19">
        <f>IF($N1955&lt;&gt;"",IF(INDEX(PCScale,$N1955)=0,"",INDEX(PCScale,$N1955)),"")</f>
        <v/>
      </c>
      <c r="G1955" s="19">
        <f>IF($N1955&lt;&gt;"",IF(INDEX(PCBaskets,$N1955)=0,"",INDEX(PCBaskets,$N1955)),"")</f>
        <v/>
      </c>
      <c r="H1955" s="20">
        <f>IF($N1955&lt;&gt;"",IF(INDEX(PCNet,$N1955)=0,"",INDEX(PCNet,$N1955)),"")</f>
        <v/>
      </c>
      <c r="I1955" s="19">
        <f>IF($N1955&lt;&gt;"",IF(INDEX(PCOp,$N1955)="مرجوعی خرید","",IF(INDEX(PCAmount,$N1955)&lt;=0,"",INDEX(PCAmount,$N1955))),IF($O1955&lt;&gt;"",IF(INDEX(TxnDepB,$O1955)=0,"",INDEX(TxnDepB,$O1955)),""))</f>
        <v/>
      </c>
      <c r="J1955" s="19">
        <f>IF($N1955&lt;&gt;"",IF(INDEX(PCOp,$N1955)="مرجوعی خرید",IF(INDEX(PCAmount,$N1955)=0,"",-INDEX(PCAmount,$N1955)),""),IF($O1955&lt;&gt;"",IF(INDEX(TxnWitB,$O1955)=0,"",INDEX(TxnWitB,$O1955)),""))</f>
        <v/>
      </c>
      <c r="K1955" s="21">
        <f>IF($B1955="","",IF($K1954="",$C$10,$K1954)+IF($I1955="",0,$I1955)-IF($J1955="",0,$J1955))</f>
        <v/>
      </c>
      <c r="L1955" s="22">
        <f>IF($N1955&lt;&gt;"",IF(INDEX(PCNotes,$N1955)="","—",INDEX(PCNotes,$N1955)),IF($O1955&lt;&gt;"",IF(INDEX(LdgNoteB,$O1955)="","—",INDEX(LdgNoteB,$O1955)),""))</f>
        <v/>
      </c>
      <c r="N1955">
        <f>IFERROR(MATCH($C$5&amp;"|"&amp;RIGHT("000000"&amp;1939,6),LdgRankKeyA,0),"")</f>
        <v/>
      </c>
      <c r="O1955">
        <f>IFERROR(MATCH($C$5&amp;"|"&amp;RIGHT("000000"&amp;1939,6),LdgRankKeyB,0),"")</f>
        <v/>
      </c>
    </row>
    <row r="1956">
      <c r="A1956" s="23" t="n">
        <v>1940</v>
      </c>
      <c r="B1956" s="24">
        <f>IF(AND($N1956="",$O1956=""),"",IF($N1956&lt;&gt;"",INDEX(PCNormDate,$N1956),INDEX(LdgDateB,$O1956)))</f>
        <v/>
      </c>
      <c r="C1956" s="24">
        <f>IF($N1956&lt;&gt;"",INDEX(PCOp,$N1956),IF($O1956&lt;&gt;"",IF(N(INDEX(TxnDepB,$O1956))&gt;0,"دریافت بانکی","پرداخت بانکی"),""))</f>
        <v/>
      </c>
      <c r="D1956" s="24">
        <f>IF($N1956&lt;&gt;"",IF(INDEX(PCDoc,$N1956)="","—",INDEX(PCDoc,$N1956)),IF($O1956&lt;&gt;"",INDEX(LdgBankB,$O1956),""))</f>
        <v/>
      </c>
      <c r="E1956" s="24">
        <f>IF($N1956&lt;&gt;"",IF(INDEX(PCCitrus,$N1956)="","—",INDEX(PCCitrus,$N1956)),"")</f>
        <v/>
      </c>
      <c r="F1956" s="25">
        <f>IF($N1956&lt;&gt;"",IF(INDEX(PCScale,$N1956)=0,"",INDEX(PCScale,$N1956)),"")</f>
        <v/>
      </c>
      <c r="G1956" s="25">
        <f>IF($N1956&lt;&gt;"",IF(INDEX(PCBaskets,$N1956)=0,"",INDEX(PCBaskets,$N1956)),"")</f>
        <v/>
      </c>
      <c r="H1956" s="26">
        <f>IF($N1956&lt;&gt;"",IF(INDEX(PCNet,$N1956)=0,"",INDEX(PCNet,$N1956)),"")</f>
        <v/>
      </c>
      <c r="I1956" s="25">
        <f>IF($N1956&lt;&gt;"",IF(INDEX(PCOp,$N1956)="مرجوعی خرید","",IF(INDEX(PCAmount,$N1956)&lt;=0,"",INDEX(PCAmount,$N1956))),IF($O1956&lt;&gt;"",IF(INDEX(TxnDepB,$O1956)=0,"",INDEX(TxnDepB,$O1956)),""))</f>
        <v/>
      </c>
      <c r="J1956" s="25">
        <f>IF($N1956&lt;&gt;"",IF(INDEX(PCOp,$N1956)="مرجوعی خرید",IF(INDEX(PCAmount,$N1956)=0,"",-INDEX(PCAmount,$N1956)),""),IF($O1956&lt;&gt;"",IF(INDEX(TxnWitB,$O1956)=0,"",INDEX(TxnWitB,$O1956)),""))</f>
        <v/>
      </c>
      <c r="K1956" s="27">
        <f>IF($B1956="","",IF($K1955="",$C$10,$K1955)+IF($I1956="",0,$I1956)-IF($J1956="",0,$J1956))</f>
        <v/>
      </c>
      <c r="L1956" s="28">
        <f>IF($N1956&lt;&gt;"",IF(INDEX(PCNotes,$N1956)="","—",INDEX(PCNotes,$N1956)),IF($O1956&lt;&gt;"",IF(INDEX(LdgNoteB,$O1956)="","—",INDEX(LdgNoteB,$O1956)),""))</f>
        <v/>
      </c>
      <c r="N1956">
        <f>IFERROR(MATCH($C$5&amp;"|"&amp;RIGHT("000000"&amp;1940,6),LdgRankKeyA,0),"")</f>
        <v/>
      </c>
      <c r="O1956">
        <f>IFERROR(MATCH($C$5&amp;"|"&amp;RIGHT("000000"&amp;1940,6),LdgRankKeyB,0),"")</f>
        <v/>
      </c>
    </row>
    <row r="1957">
      <c r="A1957" s="17" t="n">
        <v>1941</v>
      </c>
      <c r="B1957" s="18">
        <f>IF(AND($N1957="",$O1957=""),"",IF($N1957&lt;&gt;"",INDEX(PCNormDate,$N1957),INDEX(LdgDateB,$O1957)))</f>
        <v/>
      </c>
      <c r="C1957" s="18">
        <f>IF($N1957&lt;&gt;"",INDEX(PCOp,$N1957),IF($O1957&lt;&gt;"",IF(N(INDEX(TxnDepB,$O1957))&gt;0,"دریافت بانکی","پرداخت بانکی"),""))</f>
        <v/>
      </c>
      <c r="D1957" s="18">
        <f>IF($N1957&lt;&gt;"",IF(INDEX(PCDoc,$N1957)="","—",INDEX(PCDoc,$N1957)),IF($O1957&lt;&gt;"",INDEX(LdgBankB,$O1957),""))</f>
        <v/>
      </c>
      <c r="E1957" s="18">
        <f>IF($N1957&lt;&gt;"",IF(INDEX(PCCitrus,$N1957)="","—",INDEX(PCCitrus,$N1957)),"")</f>
        <v/>
      </c>
      <c r="F1957" s="19">
        <f>IF($N1957&lt;&gt;"",IF(INDEX(PCScale,$N1957)=0,"",INDEX(PCScale,$N1957)),"")</f>
        <v/>
      </c>
      <c r="G1957" s="19">
        <f>IF($N1957&lt;&gt;"",IF(INDEX(PCBaskets,$N1957)=0,"",INDEX(PCBaskets,$N1957)),"")</f>
        <v/>
      </c>
      <c r="H1957" s="20">
        <f>IF($N1957&lt;&gt;"",IF(INDEX(PCNet,$N1957)=0,"",INDEX(PCNet,$N1957)),"")</f>
        <v/>
      </c>
      <c r="I1957" s="19">
        <f>IF($N1957&lt;&gt;"",IF(INDEX(PCOp,$N1957)="مرجوعی خرید","",IF(INDEX(PCAmount,$N1957)&lt;=0,"",INDEX(PCAmount,$N1957))),IF($O1957&lt;&gt;"",IF(INDEX(TxnDepB,$O1957)=0,"",INDEX(TxnDepB,$O1957)),""))</f>
        <v/>
      </c>
      <c r="J1957" s="19">
        <f>IF($N1957&lt;&gt;"",IF(INDEX(PCOp,$N1957)="مرجوعی خرید",IF(INDEX(PCAmount,$N1957)=0,"",-INDEX(PCAmount,$N1957)),""),IF($O1957&lt;&gt;"",IF(INDEX(TxnWitB,$O1957)=0,"",INDEX(TxnWitB,$O1957)),""))</f>
        <v/>
      </c>
      <c r="K1957" s="21">
        <f>IF($B1957="","",IF($K1956="",$C$10,$K1956)+IF($I1957="",0,$I1957)-IF($J1957="",0,$J1957))</f>
        <v/>
      </c>
      <c r="L1957" s="22">
        <f>IF($N1957&lt;&gt;"",IF(INDEX(PCNotes,$N1957)="","—",INDEX(PCNotes,$N1957)),IF($O1957&lt;&gt;"",IF(INDEX(LdgNoteB,$O1957)="","—",INDEX(LdgNoteB,$O1957)),""))</f>
        <v/>
      </c>
      <c r="N1957">
        <f>IFERROR(MATCH($C$5&amp;"|"&amp;RIGHT("000000"&amp;1941,6),LdgRankKeyA,0),"")</f>
        <v/>
      </c>
      <c r="O1957">
        <f>IFERROR(MATCH($C$5&amp;"|"&amp;RIGHT("000000"&amp;1941,6),LdgRankKeyB,0),"")</f>
        <v/>
      </c>
    </row>
    <row r="1958">
      <c r="A1958" s="23" t="n">
        <v>1942</v>
      </c>
      <c r="B1958" s="24">
        <f>IF(AND($N1958="",$O1958=""),"",IF($N1958&lt;&gt;"",INDEX(PCNormDate,$N1958),INDEX(LdgDateB,$O1958)))</f>
        <v/>
      </c>
      <c r="C1958" s="24">
        <f>IF($N1958&lt;&gt;"",INDEX(PCOp,$N1958),IF($O1958&lt;&gt;"",IF(N(INDEX(TxnDepB,$O1958))&gt;0,"دریافت بانکی","پرداخت بانکی"),""))</f>
        <v/>
      </c>
      <c r="D1958" s="24">
        <f>IF($N1958&lt;&gt;"",IF(INDEX(PCDoc,$N1958)="","—",INDEX(PCDoc,$N1958)),IF($O1958&lt;&gt;"",INDEX(LdgBankB,$O1958),""))</f>
        <v/>
      </c>
      <c r="E1958" s="24">
        <f>IF($N1958&lt;&gt;"",IF(INDEX(PCCitrus,$N1958)="","—",INDEX(PCCitrus,$N1958)),"")</f>
        <v/>
      </c>
      <c r="F1958" s="25">
        <f>IF($N1958&lt;&gt;"",IF(INDEX(PCScale,$N1958)=0,"",INDEX(PCScale,$N1958)),"")</f>
        <v/>
      </c>
      <c r="G1958" s="25">
        <f>IF($N1958&lt;&gt;"",IF(INDEX(PCBaskets,$N1958)=0,"",INDEX(PCBaskets,$N1958)),"")</f>
        <v/>
      </c>
      <c r="H1958" s="26">
        <f>IF($N1958&lt;&gt;"",IF(INDEX(PCNet,$N1958)=0,"",INDEX(PCNet,$N1958)),"")</f>
        <v/>
      </c>
      <c r="I1958" s="25">
        <f>IF($N1958&lt;&gt;"",IF(INDEX(PCOp,$N1958)="مرجوعی خرید","",IF(INDEX(PCAmount,$N1958)&lt;=0,"",INDEX(PCAmount,$N1958))),IF($O1958&lt;&gt;"",IF(INDEX(TxnDepB,$O1958)=0,"",INDEX(TxnDepB,$O1958)),""))</f>
        <v/>
      </c>
      <c r="J1958" s="25">
        <f>IF($N1958&lt;&gt;"",IF(INDEX(PCOp,$N1958)="مرجوعی خرید",IF(INDEX(PCAmount,$N1958)=0,"",-INDEX(PCAmount,$N1958)),""),IF($O1958&lt;&gt;"",IF(INDEX(TxnWitB,$O1958)=0,"",INDEX(TxnWitB,$O1958)),""))</f>
        <v/>
      </c>
      <c r="K1958" s="27">
        <f>IF($B1958="","",IF($K1957="",$C$10,$K1957)+IF($I1958="",0,$I1958)-IF($J1958="",0,$J1958))</f>
        <v/>
      </c>
      <c r="L1958" s="28">
        <f>IF($N1958&lt;&gt;"",IF(INDEX(PCNotes,$N1958)="","—",INDEX(PCNotes,$N1958)),IF($O1958&lt;&gt;"",IF(INDEX(LdgNoteB,$O1958)="","—",INDEX(LdgNoteB,$O1958)),""))</f>
        <v/>
      </c>
      <c r="N1958">
        <f>IFERROR(MATCH($C$5&amp;"|"&amp;RIGHT("000000"&amp;1942,6),LdgRankKeyA,0),"")</f>
        <v/>
      </c>
      <c r="O1958">
        <f>IFERROR(MATCH($C$5&amp;"|"&amp;RIGHT("000000"&amp;1942,6),LdgRankKeyB,0),"")</f>
        <v/>
      </c>
    </row>
    <row r="1959">
      <c r="A1959" s="17" t="n">
        <v>1943</v>
      </c>
      <c r="B1959" s="18">
        <f>IF(AND($N1959="",$O1959=""),"",IF($N1959&lt;&gt;"",INDEX(PCNormDate,$N1959),INDEX(LdgDateB,$O1959)))</f>
        <v/>
      </c>
      <c r="C1959" s="18">
        <f>IF($N1959&lt;&gt;"",INDEX(PCOp,$N1959),IF($O1959&lt;&gt;"",IF(N(INDEX(TxnDepB,$O1959))&gt;0,"دریافت بانکی","پرداخت بانکی"),""))</f>
        <v/>
      </c>
      <c r="D1959" s="18">
        <f>IF($N1959&lt;&gt;"",IF(INDEX(PCDoc,$N1959)="","—",INDEX(PCDoc,$N1959)),IF($O1959&lt;&gt;"",INDEX(LdgBankB,$O1959),""))</f>
        <v/>
      </c>
      <c r="E1959" s="18">
        <f>IF($N1959&lt;&gt;"",IF(INDEX(PCCitrus,$N1959)="","—",INDEX(PCCitrus,$N1959)),"")</f>
        <v/>
      </c>
      <c r="F1959" s="19">
        <f>IF($N1959&lt;&gt;"",IF(INDEX(PCScale,$N1959)=0,"",INDEX(PCScale,$N1959)),"")</f>
        <v/>
      </c>
      <c r="G1959" s="19">
        <f>IF($N1959&lt;&gt;"",IF(INDEX(PCBaskets,$N1959)=0,"",INDEX(PCBaskets,$N1959)),"")</f>
        <v/>
      </c>
      <c r="H1959" s="20">
        <f>IF($N1959&lt;&gt;"",IF(INDEX(PCNet,$N1959)=0,"",INDEX(PCNet,$N1959)),"")</f>
        <v/>
      </c>
      <c r="I1959" s="19">
        <f>IF($N1959&lt;&gt;"",IF(INDEX(PCOp,$N1959)="مرجوعی خرید","",IF(INDEX(PCAmount,$N1959)&lt;=0,"",INDEX(PCAmount,$N1959))),IF($O1959&lt;&gt;"",IF(INDEX(TxnDepB,$O1959)=0,"",INDEX(TxnDepB,$O1959)),""))</f>
        <v/>
      </c>
      <c r="J1959" s="19">
        <f>IF($N1959&lt;&gt;"",IF(INDEX(PCOp,$N1959)="مرجوعی خرید",IF(INDEX(PCAmount,$N1959)=0,"",-INDEX(PCAmount,$N1959)),""),IF($O1959&lt;&gt;"",IF(INDEX(TxnWitB,$O1959)=0,"",INDEX(TxnWitB,$O1959)),""))</f>
        <v/>
      </c>
      <c r="K1959" s="21">
        <f>IF($B1959="","",IF($K1958="",$C$10,$K1958)+IF($I1959="",0,$I1959)-IF($J1959="",0,$J1959))</f>
        <v/>
      </c>
      <c r="L1959" s="22">
        <f>IF($N1959&lt;&gt;"",IF(INDEX(PCNotes,$N1959)="","—",INDEX(PCNotes,$N1959)),IF($O1959&lt;&gt;"",IF(INDEX(LdgNoteB,$O1959)="","—",INDEX(LdgNoteB,$O1959)),""))</f>
        <v/>
      </c>
      <c r="N1959">
        <f>IFERROR(MATCH($C$5&amp;"|"&amp;RIGHT("000000"&amp;1943,6),LdgRankKeyA,0),"")</f>
        <v/>
      </c>
      <c r="O1959">
        <f>IFERROR(MATCH($C$5&amp;"|"&amp;RIGHT("000000"&amp;1943,6),LdgRankKeyB,0),"")</f>
        <v/>
      </c>
    </row>
    <row r="1960">
      <c r="A1960" s="23" t="n">
        <v>1944</v>
      </c>
      <c r="B1960" s="24">
        <f>IF(AND($N1960="",$O1960=""),"",IF($N1960&lt;&gt;"",INDEX(PCNormDate,$N1960),INDEX(LdgDateB,$O1960)))</f>
        <v/>
      </c>
      <c r="C1960" s="24">
        <f>IF($N1960&lt;&gt;"",INDEX(PCOp,$N1960),IF($O1960&lt;&gt;"",IF(N(INDEX(TxnDepB,$O1960))&gt;0,"دریافت بانکی","پرداخت بانکی"),""))</f>
        <v/>
      </c>
      <c r="D1960" s="24">
        <f>IF($N1960&lt;&gt;"",IF(INDEX(PCDoc,$N1960)="","—",INDEX(PCDoc,$N1960)),IF($O1960&lt;&gt;"",INDEX(LdgBankB,$O1960),""))</f>
        <v/>
      </c>
      <c r="E1960" s="24">
        <f>IF($N1960&lt;&gt;"",IF(INDEX(PCCitrus,$N1960)="","—",INDEX(PCCitrus,$N1960)),"")</f>
        <v/>
      </c>
      <c r="F1960" s="25">
        <f>IF($N1960&lt;&gt;"",IF(INDEX(PCScale,$N1960)=0,"",INDEX(PCScale,$N1960)),"")</f>
        <v/>
      </c>
      <c r="G1960" s="25">
        <f>IF($N1960&lt;&gt;"",IF(INDEX(PCBaskets,$N1960)=0,"",INDEX(PCBaskets,$N1960)),"")</f>
        <v/>
      </c>
      <c r="H1960" s="26">
        <f>IF($N1960&lt;&gt;"",IF(INDEX(PCNet,$N1960)=0,"",INDEX(PCNet,$N1960)),"")</f>
        <v/>
      </c>
      <c r="I1960" s="25">
        <f>IF($N1960&lt;&gt;"",IF(INDEX(PCOp,$N1960)="مرجوعی خرید","",IF(INDEX(PCAmount,$N1960)&lt;=0,"",INDEX(PCAmount,$N1960))),IF($O1960&lt;&gt;"",IF(INDEX(TxnDepB,$O1960)=0,"",INDEX(TxnDepB,$O1960)),""))</f>
        <v/>
      </c>
      <c r="J1960" s="25">
        <f>IF($N1960&lt;&gt;"",IF(INDEX(PCOp,$N1960)="مرجوعی خرید",IF(INDEX(PCAmount,$N1960)=0,"",-INDEX(PCAmount,$N1960)),""),IF($O1960&lt;&gt;"",IF(INDEX(TxnWitB,$O1960)=0,"",INDEX(TxnWitB,$O1960)),""))</f>
        <v/>
      </c>
      <c r="K1960" s="27">
        <f>IF($B1960="","",IF($K1959="",$C$10,$K1959)+IF($I1960="",0,$I1960)-IF($J1960="",0,$J1960))</f>
        <v/>
      </c>
      <c r="L1960" s="28">
        <f>IF($N1960&lt;&gt;"",IF(INDEX(PCNotes,$N1960)="","—",INDEX(PCNotes,$N1960)),IF($O1960&lt;&gt;"",IF(INDEX(LdgNoteB,$O1960)="","—",INDEX(LdgNoteB,$O1960)),""))</f>
        <v/>
      </c>
      <c r="N1960">
        <f>IFERROR(MATCH($C$5&amp;"|"&amp;RIGHT("000000"&amp;1944,6),LdgRankKeyA,0),"")</f>
        <v/>
      </c>
      <c r="O1960">
        <f>IFERROR(MATCH($C$5&amp;"|"&amp;RIGHT("000000"&amp;1944,6),LdgRankKeyB,0),"")</f>
        <v/>
      </c>
    </row>
    <row r="1961">
      <c r="A1961" s="17" t="n">
        <v>1945</v>
      </c>
      <c r="B1961" s="18">
        <f>IF(AND($N1961="",$O1961=""),"",IF($N1961&lt;&gt;"",INDEX(PCNormDate,$N1961),INDEX(LdgDateB,$O1961)))</f>
        <v/>
      </c>
      <c r="C1961" s="18">
        <f>IF($N1961&lt;&gt;"",INDEX(PCOp,$N1961),IF($O1961&lt;&gt;"",IF(N(INDEX(TxnDepB,$O1961))&gt;0,"دریافت بانکی","پرداخت بانکی"),""))</f>
        <v/>
      </c>
      <c r="D1961" s="18">
        <f>IF($N1961&lt;&gt;"",IF(INDEX(PCDoc,$N1961)="","—",INDEX(PCDoc,$N1961)),IF($O1961&lt;&gt;"",INDEX(LdgBankB,$O1961),""))</f>
        <v/>
      </c>
      <c r="E1961" s="18">
        <f>IF($N1961&lt;&gt;"",IF(INDEX(PCCitrus,$N1961)="","—",INDEX(PCCitrus,$N1961)),"")</f>
        <v/>
      </c>
      <c r="F1961" s="19">
        <f>IF($N1961&lt;&gt;"",IF(INDEX(PCScale,$N1961)=0,"",INDEX(PCScale,$N1961)),"")</f>
        <v/>
      </c>
      <c r="G1961" s="19">
        <f>IF($N1961&lt;&gt;"",IF(INDEX(PCBaskets,$N1961)=0,"",INDEX(PCBaskets,$N1961)),"")</f>
        <v/>
      </c>
      <c r="H1961" s="20">
        <f>IF($N1961&lt;&gt;"",IF(INDEX(PCNet,$N1961)=0,"",INDEX(PCNet,$N1961)),"")</f>
        <v/>
      </c>
      <c r="I1961" s="19">
        <f>IF($N1961&lt;&gt;"",IF(INDEX(PCOp,$N1961)="مرجوعی خرید","",IF(INDEX(PCAmount,$N1961)&lt;=0,"",INDEX(PCAmount,$N1961))),IF($O1961&lt;&gt;"",IF(INDEX(TxnDepB,$O1961)=0,"",INDEX(TxnDepB,$O1961)),""))</f>
        <v/>
      </c>
      <c r="J1961" s="19">
        <f>IF($N1961&lt;&gt;"",IF(INDEX(PCOp,$N1961)="مرجوعی خرید",IF(INDEX(PCAmount,$N1961)=0,"",-INDEX(PCAmount,$N1961)),""),IF($O1961&lt;&gt;"",IF(INDEX(TxnWitB,$O1961)=0,"",INDEX(TxnWitB,$O1961)),""))</f>
        <v/>
      </c>
      <c r="K1961" s="21">
        <f>IF($B1961="","",IF($K1960="",$C$10,$K1960)+IF($I1961="",0,$I1961)-IF($J1961="",0,$J1961))</f>
        <v/>
      </c>
      <c r="L1961" s="22">
        <f>IF($N1961&lt;&gt;"",IF(INDEX(PCNotes,$N1961)="","—",INDEX(PCNotes,$N1961)),IF($O1961&lt;&gt;"",IF(INDEX(LdgNoteB,$O1961)="","—",INDEX(LdgNoteB,$O1961)),""))</f>
        <v/>
      </c>
      <c r="N1961">
        <f>IFERROR(MATCH($C$5&amp;"|"&amp;RIGHT("000000"&amp;1945,6),LdgRankKeyA,0),"")</f>
        <v/>
      </c>
      <c r="O1961">
        <f>IFERROR(MATCH($C$5&amp;"|"&amp;RIGHT("000000"&amp;1945,6),LdgRankKeyB,0),"")</f>
        <v/>
      </c>
    </row>
    <row r="1962">
      <c r="A1962" s="23" t="n">
        <v>1946</v>
      </c>
      <c r="B1962" s="24">
        <f>IF(AND($N1962="",$O1962=""),"",IF($N1962&lt;&gt;"",INDEX(PCNormDate,$N1962),INDEX(LdgDateB,$O1962)))</f>
        <v/>
      </c>
      <c r="C1962" s="24">
        <f>IF($N1962&lt;&gt;"",INDEX(PCOp,$N1962),IF($O1962&lt;&gt;"",IF(N(INDEX(TxnDepB,$O1962))&gt;0,"دریافت بانکی","پرداخت بانکی"),""))</f>
        <v/>
      </c>
      <c r="D1962" s="24">
        <f>IF($N1962&lt;&gt;"",IF(INDEX(PCDoc,$N1962)="","—",INDEX(PCDoc,$N1962)),IF($O1962&lt;&gt;"",INDEX(LdgBankB,$O1962),""))</f>
        <v/>
      </c>
      <c r="E1962" s="24">
        <f>IF($N1962&lt;&gt;"",IF(INDEX(PCCitrus,$N1962)="","—",INDEX(PCCitrus,$N1962)),"")</f>
        <v/>
      </c>
      <c r="F1962" s="25">
        <f>IF($N1962&lt;&gt;"",IF(INDEX(PCScale,$N1962)=0,"",INDEX(PCScale,$N1962)),"")</f>
        <v/>
      </c>
      <c r="G1962" s="25">
        <f>IF($N1962&lt;&gt;"",IF(INDEX(PCBaskets,$N1962)=0,"",INDEX(PCBaskets,$N1962)),"")</f>
        <v/>
      </c>
      <c r="H1962" s="26">
        <f>IF($N1962&lt;&gt;"",IF(INDEX(PCNet,$N1962)=0,"",INDEX(PCNet,$N1962)),"")</f>
        <v/>
      </c>
      <c r="I1962" s="25">
        <f>IF($N1962&lt;&gt;"",IF(INDEX(PCOp,$N1962)="مرجوعی خرید","",IF(INDEX(PCAmount,$N1962)&lt;=0,"",INDEX(PCAmount,$N1962))),IF($O1962&lt;&gt;"",IF(INDEX(TxnDepB,$O1962)=0,"",INDEX(TxnDepB,$O1962)),""))</f>
        <v/>
      </c>
      <c r="J1962" s="25">
        <f>IF($N1962&lt;&gt;"",IF(INDEX(PCOp,$N1962)="مرجوعی خرید",IF(INDEX(PCAmount,$N1962)=0,"",-INDEX(PCAmount,$N1962)),""),IF($O1962&lt;&gt;"",IF(INDEX(TxnWitB,$O1962)=0,"",INDEX(TxnWitB,$O1962)),""))</f>
        <v/>
      </c>
      <c r="K1962" s="27">
        <f>IF($B1962="","",IF($K1961="",$C$10,$K1961)+IF($I1962="",0,$I1962)-IF($J1962="",0,$J1962))</f>
        <v/>
      </c>
      <c r="L1962" s="28">
        <f>IF($N1962&lt;&gt;"",IF(INDEX(PCNotes,$N1962)="","—",INDEX(PCNotes,$N1962)),IF($O1962&lt;&gt;"",IF(INDEX(LdgNoteB,$O1962)="","—",INDEX(LdgNoteB,$O1962)),""))</f>
        <v/>
      </c>
      <c r="N1962">
        <f>IFERROR(MATCH($C$5&amp;"|"&amp;RIGHT("000000"&amp;1946,6),LdgRankKeyA,0),"")</f>
        <v/>
      </c>
      <c r="O1962">
        <f>IFERROR(MATCH($C$5&amp;"|"&amp;RIGHT("000000"&amp;1946,6),LdgRankKeyB,0),"")</f>
        <v/>
      </c>
    </row>
    <row r="1963">
      <c r="A1963" s="17" t="n">
        <v>1947</v>
      </c>
      <c r="B1963" s="18">
        <f>IF(AND($N1963="",$O1963=""),"",IF($N1963&lt;&gt;"",INDEX(PCNormDate,$N1963),INDEX(LdgDateB,$O1963)))</f>
        <v/>
      </c>
      <c r="C1963" s="18">
        <f>IF($N1963&lt;&gt;"",INDEX(PCOp,$N1963),IF($O1963&lt;&gt;"",IF(N(INDEX(TxnDepB,$O1963))&gt;0,"دریافت بانکی","پرداخت بانکی"),""))</f>
        <v/>
      </c>
      <c r="D1963" s="18">
        <f>IF($N1963&lt;&gt;"",IF(INDEX(PCDoc,$N1963)="","—",INDEX(PCDoc,$N1963)),IF($O1963&lt;&gt;"",INDEX(LdgBankB,$O1963),""))</f>
        <v/>
      </c>
      <c r="E1963" s="18">
        <f>IF($N1963&lt;&gt;"",IF(INDEX(PCCitrus,$N1963)="","—",INDEX(PCCitrus,$N1963)),"")</f>
        <v/>
      </c>
      <c r="F1963" s="19">
        <f>IF($N1963&lt;&gt;"",IF(INDEX(PCScale,$N1963)=0,"",INDEX(PCScale,$N1963)),"")</f>
        <v/>
      </c>
      <c r="G1963" s="19">
        <f>IF($N1963&lt;&gt;"",IF(INDEX(PCBaskets,$N1963)=0,"",INDEX(PCBaskets,$N1963)),"")</f>
        <v/>
      </c>
      <c r="H1963" s="20">
        <f>IF($N1963&lt;&gt;"",IF(INDEX(PCNet,$N1963)=0,"",INDEX(PCNet,$N1963)),"")</f>
        <v/>
      </c>
      <c r="I1963" s="19">
        <f>IF($N1963&lt;&gt;"",IF(INDEX(PCOp,$N1963)="مرجوعی خرید","",IF(INDEX(PCAmount,$N1963)&lt;=0,"",INDEX(PCAmount,$N1963))),IF($O1963&lt;&gt;"",IF(INDEX(TxnDepB,$O1963)=0,"",INDEX(TxnDepB,$O1963)),""))</f>
        <v/>
      </c>
      <c r="J1963" s="19">
        <f>IF($N1963&lt;&gt;"",IF(INDEX(PCOp,$N1963)="مرجوعی خرید",IF(INDEX(PCAmount,$N1963)=0,"",-INDEX(PCAmount,$N1963)),""),IF($O1963&lt;&gt;"",IF(INDEX(TxnWitB,$O1963)=0,"",INDEX(TxnWitB,$O1963)),""))</f>
        <v/>
      </c>
      <c r="K1963" s="21">
        <f>IF($B1963="","",IF($K1962="",$C$10,$K1962)+IF($I1963="",0,$I1963)-IF($J1963="",0,$J1963))</f>
        <v/>
      </c>
      <c r="L1963" s="22">
        <f>IF($N1963&lt;&gt;"",IF(INDEX(PCNotes,$N1963)="","—",INDEX(PCNotes,$N1963)),IF($O1963&lt;&gt;"",IF(INDEX(LdgNoteB,$O1963)="","—",INDEX(LdgNoteB,$O1963)),""))</f>
        <v/>
      </c>
      <c r="N1963">
        <f>IFERROR(MATCH($C$5&amp;"|"&amp;RIGHT("000000"&amp;1947,6),LdgRankKeyA,0),"")</f>
        <v/>
      </c>
      <c r="O1963">
        <f>IFERROR(MATCH($C$5&amp;"|"&amp;RIGHT("000000"&amp;1947,6),LdgRankKeyB,0),"")</f>
        <v/>
      </c>
    </row>
    <row r="1964">
      <c r="A1964" s="23" t="n">
        <v>1948</v>
      </c>
      <c r="B1964" s="24">
        <f>IF(AND($N1964="",$O1964=""),"",IF($N1964&lt;&gt;"",INDEX(PCNormDate,$N1964),INDEX(LdgDateB,$O1964)))</f>
        <v/>
      </c>
      <c r="C1964" s="24">
        <f>IF($N1964&lt;&gt;"",INDEX(PCOp,$N1964),IF($O1964&lt;&gt;"",IF(N(INDEX(TxnDepB,$O1964))&gt;0,"دریافت بانکی","پرداخت بانکی"),""))</f>
        <v/>
      </c>
      <c r="D1964" s="24">
        <f>IF($N1964&lt;&gt;"",IF(INDEX(PCDoc,$N1964)="","—",INDEX(PCDoc,$N1964)),IF($O1964&lt;&gt;"",INDEX(LdgBankB,$O1964),""))</f>
        <v/>
      </c>
      <c r="E1964" s="24">
        <f>IF($N1964&lt;&gt;"",IF(INDEX(PCCitrus,$N1964)="","—",INDEX(PCCitrus,$N1964)),"")</f>
        <v/>
      </c>
      <c r="F1964" s="25">
        <f>IF($N1964&lt;&gt;"",IF(INDEX(PCScale,$N1964)=0,"",INDEX(PCScale,$N1964)),"")</f>
        <v/>
      </c>
      <c r="G1964" s="25">
        <f>IF($N1964&lt;&gt;"",IF(INDEX(PCBaskets,$N1964)=0,"",INDEX(PCBaskets,$N1964)),"")</f>
        <v/>
      </c>
      <c r="H1964" s="26">
        <f>IF($N1964&lt;&gt;"",IF(INDEX(PCNet,$N1964)=0,"",INDEX(PCNet,$N1964)),"")</f>
        <v/>
      </c>
      <c r="I1964" s="25">
        <f>IF($N1964&lt;&gt;"",IF(INDEX(PCOp,$N1964)="مرجوعی خرید","",IF(INDEX(PCAmount,$N1964)&lt;=0,"",INDEX(PCAmount,$N1964))),IF($O1964&lt;&gt;"",IF(INDEX(TxnDepB,$O1964)=0,"",INDEX(TxnDepB,$O1964)),""))</f>
        <v/>
      </c>
      <c r="J1964" s="25">
        <f>IF($N1964&lt;&gt;"",IF(INDEX(PCOp,$N1964)="مرجوعی خرید",IF(INDEX(PCAmount,$N1964)=0,"",-INDEX(PCAmount,$N1964)),""),IF($O1964&lt;&gt;"",IF(INDEX(TxnWitB,$O1964)=0,"",INDEX(TxnWitB,$O1964)),""))</f>
        <v/>
      </c>
      <c r="K1964" s="27">
        <f>IF($B1964="","",IF($K1963="",$C$10,$K1963)+IF($I1964="",0,$I1964)-IF($J1964="",0,$J1964))</f>
        <v/>
      </c>
      <c r="L1964" s="28">
        <f>IF($N1964&lt;&gt;"",IF(INDEX(PCNotes,$N1964)="","—",INDEX(PCNotes,$N1964)),IF($O1964&lt;&gt;"",IF(INDEX(LdgNoteB,$O1964)="","—",INDEX(LdgNoteB,$O1964)),""))</f>
        <v/>
      </c>
      <c r="N1964">
        <f>IFERROR(MATCH($C$5&amp;"|"&amp;RIGHT("000000"&amp;1948,6),LdgRankKeyA,0),"")</f>
        <v/>
      </c>
      <c r="O1964">
        <f>IFERROR(MATCH($C$5&amp;"|"&amp;RIGHT("000000"&amp;1948,6),LdgRankKeyB,0),"")</f>
        <v/>
      </c>
    </row>
    <row r="1965">
      <c r="A1965" s="17" t="n">
        <v>1949</v>
      </c>
      <c r="B1965" s="18">
        <f>IF(AND($N1965="",$O1965=""),"",IF($N1965&lt;&gt;"",INDEX(PCNormDate,$N1965),INDEX(LdgDateB,$O1965)))</f>
        <v/>
      </c>
      <c r="C1965" s="18">
        <f>IF($N1965&lt;&gt;"",INDEX(PCOp,$N1965),IF($O1965&lt;&gt;"",IF(N(INDEX(TxnDepB,$O1965))&gt;0,"دریافت بانکی","پرداخت بانکی"),""))</f>
        <v/>
      </c>
      <c r="D1965" s="18">
        <f>IF($N1965&lt;&gt;"",IF(INDEX(PCDoc,$N1965)="","—",INDEX(PCDoc,$N1965)),IF($O1965&lt;&gt;"",INDEX(LdgBankB,$O1965),""))</f>
        <v/>
      </c>
      <c r="E1965" s="18">
        <f>IF($N1965&lt;&gt;"",IF(INDEX(PCCitrus,$N1965)="","—",INDEX(PCCitrus,$N1965)),"")</f>
        <v/>
      </c>
      <c r="F1965" s="19">
        <f>IF($N1965&lt;&gt;"",IF(INDEX(PCScale,$N1965)=0,"",INDEX(PCScale,$N1965)),"")</f>
        <v/>
      </c>
      <c r="G1965" s="19">
        <f>IF($N1965&lt;&gt;"",IF(INDEX(PCBaskets,$N1965)=0,"",INDEX(PCBaskets,$N1965)),"")</f>
        <v/>
      </c>
      <c r="H1965" s="20">
        <f>IF($N1965&lt;&gt;"",IF(INDEX(PCNet,$N1965)=0,"",INDEX(PCNet,$N1965)),"")</f>
        <v/>
      </c>
      <c r="I1965" s="19">
        <f>IF($N1965&lt;&gt;"",IF(INDEX(PCOp,$N1965)="مرجوعی خرید","",IF(INDEX(PCAmount,$N1965)&lt;=0,"",INDEX(PCAmount,$N1965))),IF($O1965&lt;&gt;"",IF(INDEX(TxnDepB,$O1965)=0,"",INDEX(TxnDepB,$O1965)),""))</f>
        <v/>
      </c>
      <c r="J1965" s="19">
        <f>IF($N1965&lt;&gt;"",IF(INDEX(PCOp,$N1965)="مرجوعی خرید",IF(INDEX(PCAmount,$N1965)=0,"",-INDEX(PCAmount,$N1965)),""),IF($O1965&lt;&gt;"",IF(INDEX(TxnWitB,$O1965)=0,"",INDEX(TxnWitB,$O1965)),""))</f>
        <v/>
      </c>
      <c r="K1965" s="21">
        <f>IF($B1965="","",IF($K1964="",$C$10,$K1964)+IF($I1965="",0,$I1965)-IF($J1965="",0,$J1965))</f>
        <v/>
      </c>
      <c r="L1965" s="22">
        <f>IF($N1965&lt;&gt;"",IF(INDEX(PCNotes,$N1965)="","—",INDEX(PCNotes,$N1965)),IF($O1965&lt;&gt;"",IF(INDEX(LdgNoteB,$O1965)="","—",INDEX(LdgNoteB,$O1965)),""))</f>
        <v/>
      </c>
      <c r="N1965">
        <f>IFERROR(MATCH($C$5&amp;"|"&amp;RIGHT("000000"&amp;1949,6),LdgRankKeyA,0),"")</f>
        <v/>
      </c>
      <c r="O1965">
        <f>IFERROR(MATCH($C$5&amp;"|"&amp;RIGHT("000000"&amp;1949,6),LdgRankKeyB,0),"")</f>
        <v/>
      </c>
    </row>
    <row r="1966">
      <c r="A1966" s="23" t="n">
        <v>1950</v>
      </c>
      <c r="B1966" s="24">
        <f>IF(AND($N1966="",$O1966=""),"",IF($N1966&lt;&gt;"",INDEX(PCNormDate,$N1966),INDEX(LdgDateB,$O1966)))</f>
        <v/>
      </c>
      <c r="C1966" s="24">
        <f>IF($N1966&lt;&gt;"",INDEX(PCOp,$N1966),IF($O1966&lt;&gt;"",IF(N(INDEX(TxnDepB,$O1966))&gt;0,"دریافت بانکی","پرداخت بانکی"),""))</f>
        <v/>
      </c>
      <c r="D1966" s="24">
        <f>IF($N1966&lt;&gt;"",IF(INDEX(PCDoc,$N1966)="","—",INDEX(PCDoc,$N1966)),IF($O1966&lt;&gt;"",INDEX(LdgBankB,$O1966),""))</f>
        <v/>
      </c>
      <c r="E1966" s="24">
        <f>IF($N1966&lt;&gt;"",IF(INDEX(PCCitrus,$N1966)="","—",INDEX(PCCitrus,$N1966)),"")</f>
        <v/>
      </c>
      <c r="F1966" s="25">
        <f>IF($N1966&lt;&gt;"",IF(INDEX(PCScale,$N1966)=0,"",INDEX(PCScale,$N1966)),"")</f>
        <v/>
      </c>
      <c r="G1966" s="25">
        <f>IF($N1966&lt;&gt;"",IF(INDEX(PCBaskets,$N1966)=0,"",INDEX(PCBaskets,$N1966)),"")</f>
        <v/>
      </c>
      <c r="H1966" s="26">
        <f>IF($N1966&lt;&gt;"",IF(INDEX(PCNet,$N1966)=0,"",INDEX(PCNet,$N1966)),"")</f>
        <v/>
      </c>
      <c r="I1966" s="25">
        <f>IF($N1966&lt;&gt;"",IF(INDEX(PCOp,$N1966)="مرجوعی خرید","",IF(INDEX(PCAmount,$N1966)&lt;=0,"",INDEX(PCAmount,$N1966))),IF($O1966&lt;&gt;"",IF(INDEX(TxnDepB,$O1966)=0,"",INDEX(TxnDepB,$O1966)),""))</f>
        <v/>
      </c>
      <c r="J1966" s="25">
        <f>IF($N1966&lt;&gt;"",IF(INDEX(PCOp,$N1966)="مرجوعی خرید",IF(INDEX(PCAmount,$N1966)=0,"",-INDEX(PCAmount,$N1966)),""),IF($O1966&lt;&gt;"",IF(INDEX(TxnWitB,$O1966)=0,"",INDEX(TxnWitB,$O1966)),""))</f>
        <v/>
      </c>
      <c r="K1966" s="27">
        <f>IF($B1966="","",IF($K1965="",$C$10,$K1965)+IF($I1966="",0,$I1966)-IF($J1966="",0,$J1966))</f>
        <v/>
      </c>
      <c r="L1966" s="28">
        <f>IF($N1966&lt;&gt;"",IF(INDEX(PCNotes,$N1966)="","—",INDEX(PCNotes,$N1966)),IF($O1966&lt;&gt;"",IF(INDEX(LdgNoteB,$O1966)="","—",INDEX(LdgNoteB,$O1966)),""))</f>
        <v/>
      </c>
      <c r="N1966">
        <f>IFERROR(MATCH($C$5&amp;"|"&amp;RIGHT("000000"&amp;1950,6),LdgRankKeyA,0),"")</f>
        <v/>
      </c>
      <c r="O1966">
        <f>IFERROR(MATCH($C$5&amp;"|"&amp;RIGHT("000000"&amp;1950,6),LdgRankKeyB,0),"")</f>
        <v/>
      </c>
    </row>
    <row r="1967">
      <c r="A1967" s="17" t="n">
        <v>1951</v>
      </c>
      <c r="B1967" s="18">
        <f>IF(AND($N1967="",$O1967=""),"",IF($N1967&lt;&gt;"",INDEX(PCNormDate,$N1967),INDEX(LdgDateB,$O1967)))</f>
        <v/>
      </c>
      <c r="C1967" s="18">
        <f>IF($N1967&lt;&gt;"",INDEX(PCOp,$N1967),IF($O1967&lt;&gt;"",IF(N(INDEX(TxnDepB,$O1967))&gt;0,"دریافت بانکی","پرداخت بانکی"),""))</f>
        <v/>
      </c>
      <c r="D1967" s="18">
        <f>IF($N1967&lt;&gt;"",IF(INDEX(PCDoc,$N1967)="","—",INDEX(PCDoc,$N1967)),IF($O1967&lt;&gt;"",INDEX(LdgBankB,$O1967),""))</f>
        <v/>
      </c>
      <c r="E1967" s="18">
        <f>IF($N1967&lt;&gt;"",IF(INDEX(PCCitrus,$N1967)="","—",INDEX(PCCitrus,$N1967)),"")</f>
        <v/>
      </c>
      <c r="F1967" s="19">
        <f>IF($N1967&lt;&gt;"",IF(INDEX(PCScale,$N1967)=0,"",INDEX(PCScale,$N1967)),"")</f>
        <v/>
      </c>
      <c r="G1967" s="19">
        <f>IF($N1967&lt;&gt;"",IF(INDEX(PCBaskets,$N1967)=0,"",INDEX(PCBaskets,$N1967)),"")</f>
        <v/>
      </c>
      <c r="H1967" s="20">
        <f>IF($N1967&lt;&gt;"",IF(INDEX(PCNet,$N1967)=0,"",INDEX(PCNet,$N1967)),"")</f>
        <v/>
      </c>
      <c r="I1967" s="19">
        <f>IF($N1967&lt;&gt;"",IF(INDEX(PCOp,$N1967)="مرجوعی خرید","",IF(INDEX(PCAmount,$N1967)&lt;=0,"",INDEX(PCAmount,$N1967))),IF($O1967&lt;&gt;"",IF(INDEX(TxnDepB,$O1967)=0,"",INDEX(TxnDepB,$O1967)),""))</f>
        <v/>
      </c>
      <c r="J1967" s="19">
        <f>IF($N1967&lt;&gt;"",IF(INDEX(PCOp,$N1967)="مرجوعی خرید",IF(INDEX(PCAmount,$N1967)=0,"",-INDEX(PCAmount,$N1967)),""),IF($O1967&lt;&gt;"",IF(INDEX(TxnWitB,$O1967)=0,"",INDEX(TxnWitB,$O1967)),""))</f>
        <v/>
      </c>
      <c r="K1967" s="21">
        <f>IF($B1967="","",IF($K1966="",$C$10,$K1966)+IF($I1967="",0,$I1967)-IF($J1967="",0,$J1967))</f>
        <v/>
      </c>
      <c r="L1967" s="22">
        <f>IF($N1967&lt;&gt;"",IF(INDEX(PCNotes,$N1967)="","—",INDEX(PCNotes,$N1967)),IF($O1967&lt;&gt;"",IF(INDEX(LdgNoteB,$O1967)="","—",INDEX(LdgNoteB,$O1967)),""))</f>
        <v/>
      </c>
      <c r="N1967">
        <f>IFERROR(MATCH($C$5&amp;"|"&amp;RIGHT("000000"&amp;1951,6),LdgRankKeyA,0),"")</f>
        <v/>
      </c>
      <c r="O1967">
        <f>IFERROR(MATCH($C$5&amp;"|"&amp;RIGHT("000000"&amp;1951,6),LdgRankKeyB,0),"")</f>
        <v/>
      </c>
    </row>
    <row r="1968">
      <c r="A1968" s="23" t="n">
        <v>1952</v>
      </c>
      <c r="B1968" s="24">
        <f>IF(AND($N1968="",$O1968=""),"",IF($N1968&lt;&gt;"",INDEX(PCNormDate,$N1968),INDEX(LdgDateB,$O1968)))</f>
        <v/>
      </c>
      <c r="C1968" s="24">
        <f>IF($N1968&lt;&gt;"",INDEX(PCOp,$N1968),IF($O1968&lt;&gt;"",IF(N(INDEX(TxnDepB,$O1968))&gt;0,"دریافت بانکی","پرداخت بانکی"),""))</f>
        <v/>
      </c>
      <c r="D1968" s="24">
        <f>IF($N1968&lt;&gt;"",IF(INDEX(PCDoc,$N1968)="","—",INDEX(PCDoc,$N1968)),IF($O1968&lt;&gt;"",INDEX(LdgBankB,$O1968),""))</f>
        <v/>
      </c>
      <c r="E1968" s="24">
        <f>IF($N1968&lt;&gt;"",IF(INDEX(PCCitrus,$N1968)="","—",INDEX(PCCitrus,$N1968)),"")</f>
        <v/>
      </c>
      <c r="F1968" s="25">
        <f>IF($N1968&lt;&gt;"",IF(INDEX(PCScale,$N1968)=0,"",INDEX(PCScale,$N1968)),"")</f>
        <v/>
      </c>
      <c r="G1968" s="25">
        <f>IF($N1968&lt;&gt;"",IF(INDEX(PCBaskets,$N1968)=0,"",INDEX(PCBaskets,$N1968)),"")</f>
        <v/>
      </c>
      <c r="H1968" s="26">
        <f>IF($N1968&lt;&gt;"",IF(INDEX(PCNet,$N1968)=0,"",INDEX(PCNet,$N1968)),"")</f>
        <v/>
      </c>
      <c r="I1968" s="25">
        <f>IF($N1968&lt;&gt;"",IF(INDEX(PCOp,$N1968)="مرجوعی خرید","",IF(INDEX(PCAmount,$N1968)&lt;=0,"",INDEX(PCAmount,$N1968))),IF($O1968&lt;&gt;"",IF(INDEX(TxnDepB,$O1968)=0,"",INDEX(TxnDepB,$O1968)),""))</f>
        <v/>
      </c>
      <c r="J1968" s="25">
        <f>IF($N1968&lt;&gt;"",IF(INDEX(PCOp,$N1968)="مرجوعی خرید",IF(INDEX(PCAmount,$N1968)=0,"",-INDEX(PCAmount,$N1968)),""),IF($O1968&lt;&gt;"",IF(INDEX(TxnWitB,$O1968)=0,"",INDEX(TxnWitB,$O1968)),""))</f>
        <v/>
      </c>
      <c r="K1968" s="27">
        <f>IF($B1968="","",IF($K1967="",$C$10,$K1967)+IF($I1968="",0,$I1968)-IF($J1968="",0,$J1968))</f>
        <v/>
      </c>
      <c r="L1968" s="28">
        <f>IF($N1968&lt;&gt;"",IF(INDEX(PCNotes,$N1968)="","—",INDEX(PCNotes,$N1968)),IF($O1968&lt;&gt;"",IF(INDEX(LdgNoteB,$O1968)="","—",INDEX(LdgNoteB,$O1968)),""))</f>
        <v/>
      </c>
      <c r="N1968">
        <f>IFERROR(MATCH($C$5&amp;"|"&amp;RIGHT("000000"&amp;1952,6),LdgRankKeyA,0),"")</f>
        <v/>
      </c>
      <c r="O1968">
        <f>IFERROR(MATCH($C$5&amp;"|"&amp;RIGHT("000000"&amp;1952,6),LdgRankKeyB,0),"")</f>
        <v/>
      </c>
    </row>
    <row r="1969">
      <c r="A1969" s="17" t="n">
        <v>1953</v>
      </c>
      <c r="B1969" s="18">
        <f>IF(AND($N1969="",$O1969=""),"",IF($N1969&lt;&gt;"",INDEX(PCNormDate,$N1969),INDEX(LdgDateB,$O1969)))</f>
        <v/>
      </c>
      <c r="C1969" s="18">
        <f>IF($N1969&lt;&gt;"",INDEX(PCOp,$N1969),IF($O1969&lt;&gt;"",IF(N(INDEX(TxnDepB,$O1969))&gt;0,"دریافت بانکی","پرداخت بانکی"),""))</f>
        <v/>
      </c>
      <c r="D1969" s="18">
        <f>IF($N1969&lt;&gt;"",IF(INDEX(PCDoc,$N1969)="","—",INDEX(PCDoc,$N1969)),IF($O1969&lt;&gt;"",INDEX(LdgBankB,$O1969),""))</f>
        <v/>
      </c>
      <c r="E1969" s="18">
        <f>IF($N1969&lt;&gt;"",IF(INDEX(PCCitrus,$N1969)="","—",INDEX(PCCitrus,$N1969)),"")</f>
        <v/>
      </c>
      <c r="F1969" s="19">
        <f>IF($N1969&lt;&gt;"",IF(INDEX(PCScale,$N1969)=0,"",INDEX(PCScale,$N1969)),"")</f>
        <v/>
      </c>
      <c r="G1969" s="19">
        <f>IF($N1969&lt;&gt;"",IF(INDEX(PCBaskets,$N1969)=0,"",INDEX(PCBaskets,$N1969)),"")</f>
        <v/>
      </c>
      <c r="H1969" s="20">
        <f>IF($N1969&lt;&gt;"",IF(INDEX(PCNet,$N1969)=0,"",INDEX(PCNet,$N1969)),"")</f>
        <v/>
      </c>
      <c r="I1969" s="19">
        <f>IF($N1969&lt;&gt;"",IF(INDEX(PCOp,$N1969)="مرجوعی خرید","",IF(INDEX(PCAmount,$N1969)&lt;=0,"",INDEX(PCAmount,$N1969))),IF($O1969&lt;&gt;"",IF(INDEX(TxnDepB,$O1969)=0,"",INDEX(TxnDepB,$O1969)),""))</f>
        <v/>
      </c>
      <c r="J1969" s="19">
        <f>IF($N1969&lt;&gt;"",IF(INDEX(PCOp,$N1969)="مرجوعی خرید",IF(INDEX(PCAmount,$N1969)=0,"",-INDEX(PCAmount,$N1969)),""),IF($O1969&lt;&gt;"",IF(INDEX(TxnWitB,$O1969)=0,"",INDEX(TxnWitB,$O1969)),""))</f>
        <v/>
      </c>
      <c r="K1969" s="21">
        <f>IF($B1969="","",IF($K1968="",$C$10,$K1968)+IF($I1969="",0,$I1969)-IF($J1969="",0,$J1969))</f>
        <v/>
      </c>
      <c r="L1969" s="22">
        <f>IF($N1969&lt;&gt;"",IF(INDEX(PCNotes,$N1969)="","—",INDEX(PCNotes,$N1969)),IF($O1969&lt;&gt;"",IF(INDEX(LdgNoteB,$O1969)="","—",INDEX(LdgNoteB,$O1969)),""))</f>
        <v/>
      </c>
      <c r="N1969">
        <f>IFERROR(MATCH($C$5&amp;"|"&amp;RIGHT("000000"&amp;1953,6),LdgRankKeyA,0),"")</f>
        <v/>
      </c>
      <c r="O1969">
        <f>IFERROR(MATCH($C$5&amp;"|"&amp;RIGHT("000000"&amp;1953,6),LdgRankKeyB,0),"")</f>
        <v/>
      </c>
    </row>
    <row r="1970">
      <c r="A1970" s="23" t="n">
        <v>1954</v>
      </c>
      <c r="B1970" s="24">
        <f>IF(AND($N1970="",$O1970=""),"",IF($N1970&lt;&gt;"",INDEX(PCNormDate,$N1970),INDEX(LdgDateB,$O1970)))</f>
        <v/>
      </c>
      <c r="C1970" s="24">
        <f>IF($N1970&lt;&gt;"",INDEX(PCOp,$N1970),IF($O1970&lt;&gt;"",IF(N(INDEX(TxnDepB,$O1970))&gt;0,"دریافت بانکی","پرداخت بانکی"),""))</f>
        <v/>
      </c>
      <c r="D1970" s="24">
        <f>IF($N1970&lt;&gt;"",IF(INDEX(PCDoc,$N1970)="","—",INDEX(PCDoc,$N1970)),IF($O1970&lt;&gt;"",INDEX(LdgBankB,$O1970),""))</f>
        <v/>
      </c>
      <c r="E1970" s="24">
        <f>IF($N1970&lt;&gt;"",IF(INDEX(PCCitrus,$N1970)="","—",INDEX(PCCitrus,$N1970)),"")</f>
        <v/>
      </c>
      <c r="F1970" s="25">
        <f>IF($N1970&lt;&gt;"",IF(INDEX(PCScale,$N1970)=0,"",INDEX(PCScale,$N1970)),"")</f>
        <v/>
      </c>
      <c r="G1970" s="25">
        <f>IF($N1970&lt;&gt;"",IF(INDEX(PCBaskets,$N1970)=0,"",INDEX(PCBaskets,$N1970)),"")</f>
        <v/>
      </c>
      <c r="H1970" s="26">
        <f>IF($N1970&lt;&gt;"",IF(INDEX(PCNet,$N1970)=0,"",INDEX(PCNet,$N1970)),"")</f>
        <v/>
      </c>
      <c r="I1970" s="25">
        <f>IF($N1970&lt;&gt;"",IF(INDEX(PCOp,$N1970)="مرجوعی خرید","",IF(INDEX(PCAmount,$N1970)&lt;=0,"",INDEX(PCAmount,$N1970))),IF($O1970&lt;&gt;"",IF(INDEX(TxnDepB,$O1970)=0,"",INDEX(TxnDepB,$O1970)),""))</f>
        <v/>
      </c>
      <c r="J1970" s="25">
        <f>IF($N1970&lt;&gt;"",IF(INDEX(PCOp,$N1970)="مرجوعی خرید",IF(INDEX(PCAmount,$N1970)=0,"",-INDEX(PCAmount,$N1970)),""),IF($O1970&lt;&gt;"",IF(INDEX(TxnWitB,$O1970)=0,"",INDEX(TxnWitB,$O1970)),""))</f>
        <v/>
      </c>
      <c r="K1970" s="27">
        <f>IF($B1970="","",IF($K1969="",$C$10,$K1969)+IF($I1970="",0,$I1970)-IF($J1970="",0,$J1970))</f>
        <v/>
      </c>
      <c r="L1970" s="28">
        <f>IF($N1970&lt;&gt;"",IF(INDEX(PCNotes,$N1970)="","—",INDEX(PCNotes,$N1970)),IF($O1970&lt;&gt;"",IF(INDEX(LdgNoteB,$O1970)="","—",INDEX(LdgNoteB,$O1970)),""))</f>
        <v/>
      </c>
      <c r="N1970">
        <f>IFERROR(MATCH($C$5&amp;"|"&amp;RIGHT("000000"&amp;1954,6),LdgRankKeyA,0),"")</f>
        <v/>
      </c>
      <c r="O1970">
        <f>IFERROR(MATCH($C$5&amp;"|"&amp;RIGHT("000000"&amp;1954,6),LdgRankKeyB,0),"")</f>
        <v/>
      </c>
    </row>
    <row r="1971">
      <c r="A1971" s="17" t="n">
        <v>1955</v>
      </c>
      <c r="B1971" s="18">
        <f>IF(AND($N1971="",$O1971=""),"",IF($N1971&lt;&gt;"",INDEX(PCNormDate,$N1971),INDEX(LdgDateB,$O1971)))</f>
        <v/>
      </c>
      <c r="C1971" s="18">
        <f>IF($N1971&lt;&gt;"",INDEX(PCOp,$N1971),IF($O1971&lt;&gt;"",IF(N(INDEX(TxnDepB,$O1971))&gt;0,"دریافت بانکی","پرداخت بانکی"),""))</f>
        <v/>
      </c>
      <c r="D1971" s="18">
        <f>IF($N1971&lt;&gt;"",IF(INDEX(PCDoc,$N1971)="","—",INDEX(PCDoc,$N1971)),IF($O1971&lt;&gt;"",INDEX(LdgBankB,$O1971),""))</f>
        <v/>
      </c>
      <c r="E1971" s="18">
        <f>IF($N1971&lt;&gt;"",IF(INDEX(PCCitrus,$N1971)="","—",INDEX(PCCitrus,$N1971)),"")</f>
        <v/>
      </c>
      <c r="F1971" s="19">
        <f>IF($N1971&lt;&gt;"",IF(INDEX(PCScale,$N1971)=0,"",INDEX(PCScale,$N1971)),"")</f>
        <v/>
      </c>
      <c r="G1971" s="19">
        <f>IF($N1971&lt;&gt;"",IF(INDEX(PCBaskets,$N1971)=0,"",INDEX(PCBaskets,$N1971)),"")</f>
        <v/>
      </c>
      <c r="H1971" s="20">
        <f>IF($N1971&lt;&gt;"",IF(INDEX(PCNet,$N1971)=0,"",INDEX(PCNet,$N1971)),"")</f>
        <v/>
      </c>
      <c r="I1971" s="19">
        <f>IF($N1971&lt;&gt;"",IF(INDEX(PCOp,$N1971)="مرجوعی خرید","",IF(INDEX(PCAmount,$N1971)&lt;=0,"",INDEX(PCAmount,$N1971))),IF($O1971&lt;&gt;"",IF(INDEX(TxnDepB,$O1971)=0,"",INDEX(TxnDepB,$O1971)),""))</f>
        <v/>
      </c>
      <c r="J1971" s="19">
        <f>IF($N1971&lt;&gt;"",IF(INDEX(PCOp,$N1971)="مرجوعی خرید",IF(INDEX(PCAmount,$N1971)=0,"",-INDEX(PCAmount,$N1971)),""),IF($O1971&lt;&gt;"",IF(INDEX(TxnWitB,$O1971)=0,"",INDEX(TxnWitB,$O1971)),""))</f>
        <v/>
      </c>
      <c r="K1971" s="21">
        <f>IF($B1971="","",IF($K1970="",$C$10,$K1970)+IF($I1971="",0,$I1971)-IF($J1971="",0,$J1971))</f>
        <v/>
      </c>
      <c r="L1971" s="22">
        <f>IF($N1971&lt;&gt;"",IF(INDEX(PCNotes,$N1971)="","—",INDEX(PCNotes,$N1971)),IF($O1971&lt;&gt;"",IF(INDEX(LdgNoteB,$O1971)="","—",INDEX(LdgNoteB,$O1971)),""))</f>
        <v/>
      </c>
      <c r="N1971">
        <f>IFERROR(MATCH($C$5&amp;"|"&amp;RIGHT("000000"&amp;1955,6),LdgRankKeyA,0),"")</f>
        <v/>
      </c>
      <c r="O1971">
        <f>IFERROR(MATCH($C$5&amp;"|"&amp;RIGHT("000000"&amp;1955,6),LdgRankKeyB,0),"")</f>
        <v/>
      </c>
    </row>
    <row r="1972">
      <c r="A1972" s="23" t="n">
        <v>1956</v>
      </c>
      <c r="B1972" s="24">
        <f>IF(AND($N1972="",$O1972=""),"",IF($N1972&lt;&gt;"",INDEX(PCNormDate,$N1972),INDEX(LdgDateB,$O1972)))</f>
        <v/>
      </c>
      <c r="C1972" s="24">
        <f>IF($N1972&lt;&gt;"",INDEX(PCOp,$N1972),IF($O1972&lt;&gt;"",IF(N(INDEX(TxnDepB,$O1972))&gt;0,"دریافت بانکی","پرداخت بانکی"),""))</f>
        <v/>
      </c>
      <c r="D1972" s="24">
        <f>IF($N1972&lt;&gt;"",IF(INDEX(PCDoc,$N1972)="","—",INDEX(PCDoc,$N1972)),IF($O1972&lt;&gt;"",INDEX(LdgBankB,$O1972),""))</f>
        <v/>
      </c>
      <c r="E1972" s="24">
        <f>IF($N1972&lt;&gt;"",IF(INDEX(PCCitrus,$N1972)="","—",INDEX(PCCitrus,$N1972)),"")</f>
        <v/>
      </c>
      <c r="F1972" s="25">
        <f>IF($N1972&lt;&gt;"",IF(INDEX(PCScale,$N1972)=0,"",INDEX(PCScale,$N1972)),"")</f>
        <v/>
      </c>
      <c r="G1972" s="25">
        <f>IF($N1972&lt;&gt;"",IF(INDEX(PCBaskets,$N1972)=0,"",INDEX(PCBaskets,$N1972)),"")</f>
        <v/>
      </c>
      <c r="H1972" s="26">
        <f>IF($N1972&lt;&gt;"",IF(INDEX(PCNet,$N1972)=0,"",INDEX(PCNet,$N1972)),"")</f>
        <v/>
      </c>
      <c r="I1972" s="25">
        <f>IF($N1972&lt;&gt;"",IF(INDEX(PCOp,$N1972)="مرجوعی خرید","",IF(INDEX(PCAmount,$N1972)&lt;=0,"",INDEX(PCAmount,$N1972))),IF($O1972&lt;&gt;"",IF(INDEX(TxnDepB,$O1972)=0,"",INDEX(TxnDepB,$O1972)),""))</f>
        <v/>
      </c>
      <c r="J1972" s="25">
        <f>IF($N1972&lt;&gt;"",IF(INDEX(PCOp,$N1972)="مرجوعی خرید",IF(INDEX(PCAmount,$N1972)=0,"",-INDEX(PCAmount,$N1972)),""),IF($O1972&lt;&gt;"",IF(INDEX(TxnWitB,$O1972)=0,"",INDEX(TxnWitB,$O1972)),""))</f>
        <v/>
      </c>
      <c r="K1972" s="27">
        <f>IF($B1972="","",IF($K1971="",$C$10,$K1971)+IF($I1972="",0,$I1972)-IF($J1972="",0,$J1972))</f>
        <v/>
      </c>
      <c r="L1972" s="28">
        <f>IF($N1972&lt;&gt;"",IF(INDEX(PCNotes,$N1972)="","—",INDEX(PCNotes,$N1972)),IF($O1972&lt;&gt;"",IF(INDEX(LdgNoteB,$O1972)="","—",INDEX(LdgNoteB,$O1972)),""))</f>
        <v/>
      </c>
      <c r="N1972">
        <f>IFERROR(MATCH($C$5&amp;"|"&amp;RIGHT("000000"&amp;1956,6),LdgRankKeyA,0),"")</f>
        <v/>
      </c>
      <c r="O1972">
        <f>IFERROR(MATCH($C$5&amp;"|"&amp;RIGHT("000000"&amp;1956,6),LdgRankKeyB,0),"")</f>
        <v/>
      </c>
    </row>
    <row r="1973">
      <c r="A1973" s="17" t="n">
        <v>1957</v>
      </c>
      <c r="B1973" s="18">
        <f>IF(AND($N1973="",$O1973=""),"",IF($N1973&lt;&gt;"",INDEX(PCNormDate,$N1973),INDEX(LdgDateB,$O1973)))</f>
        <v/>
      </c>
      <c r="C1973" s="18">
        <f>IF($N1973&lt;&gt;"",INDEX(PCOp,$N1973),IF($O1973&lt;&gt;"",IF(N(INDEX(TxnDepB,$O1973))&gt;0,"دریافت بانکی","پرداخت بانکی"),""))</f>
        <v/>
      </c>
      <c r="D1973" s="18">
        <f>IF($N1973&lt;&gt;"",IF(INDEX(PCDoc,$N1973)="","—",INDEX(PCDoc,$N1973)),IF($O1973&lt;&gt;"",INDEX(LdgBankB,$O1973),""))</f>
        <v/>
      </c>
      <c r="E1973" s="18">
        <f>IF($N1973&lt;&gt;"",IF(INDEX(PCCitrus,$N1973)="","—",INDEX(PCCitrus,$N1973)),"")</f>
        <v/>
      </c>
      <c r="F1973" s="19">
        <f>IF($N1973&lt;&gt;"",IF(INDEX(PCScale,$N1973)=0,"",INDEX(PCScale,$N1973)),"")</f>
        <v/>
      </c>
      <c r="G1973" s="19">
        <f>IF($N1973&lt;&gt;"",IF(INDEX(PCBaskets,$N1973)=0,"",INDEX(PCBaskets,$N1973)),"")</f>
        <v/>
      </c>
      <c r="H1973" s="20">
        <f>IF($N1973&lt;&gt;"",IF(INDEX(PCNet,$N1973)=0,"",INDEX(PCNet,$N1973)),"")</f>
        <v/>
      </c>
      <c r="I1973" s="19">
        <f>IF($N1973&lt;&gt;"",IF(INDEX(PCOp,$N1973)="مرجوعی خرید","",IF(INDEX(PCAmount,$N1973)&lt;=0,"",INDEX(PCAmount,$N1973))),IF($O1973&lt;&gt;"",IF(INDEX(TxnDepB,$O1973)=0,"",INDEX(TxnDepB,$O1973)),""))</f>
        <v/>
      </c>
      <c r="J1973" s="19">
        <f>IF($N1973&lt;&gt;"",IF(INDEX(PCOp,$N1973)="مرجوعی خرید",IF(INDEX(PCAmount,$N1973)=0,"",-INDEX(PCAmount,$N1973)),""),IF($O1973&lt;&gt;"",IF(INDEX(TxnWitB,$O1973)=0,"",INDEX(TxnWitB,$O1973)),""))</f>
        <v/>
      </c>
      <c r="K1973" s="21">
        <f>IF($B1973="","",IF($K1972="",$C$10,$K1972)+IF($I1973="",0,$I1973)-IF($J1973="",0,$J1973))</f>
        <v/>
      </c>
      <c r="L1973" s="22">
        <f>IF($N1973&lt;&gt;"",IF(INDEX(PCNotes,$N1973)="","—",INDEX(PCNotes,$N1973)),IF($O1973&lt;&gt;"",IF(INDEX(LdgNoteB,$O1973)="","—",INDEX(LdgNoteB,$O1973)),""))</f>
        <v/>
      </c>
      <c r="N1973">
        <f>IFERROR(MATCH($C$5&amp;"|"&amp;RIGHT("000000"&amp;1957,6),LdgRankKeyA,0),"")</f>
        <v/>
      </c>
      <c r="O1973">
        <f>IFERROR(MATCH($C$5&amp;"|"&amp;RIGHT("000000"&amp;1957,6),LdgRankKeyB,0),"")</f>
        <v/>
      </c>
    </row>
    <row r="1974">
      <c r="A1974" s="23" t="n">
        <v>1958</v>
      </c>
      <c r="B1974" s="24">
        <f>IF(AND($N1974="",$O1974=""),"",IF($N1974&lt;&gt;"",INDEX(PCNormDate,$N1974),INDEX(LdgDateB,$O1974)))</f>
        <v/>
      </c>
      <c r="C1974" s="24">
        <f>IF($N1974&lt;&gt;"",INDEX(PCOp,$N1974),IF($O1974&lt;&gt;"",IF(N(INDEX(TxnDepB,$O1974))&gt;0,"دریافت بانکی","پرداخت بانکی"),""))</f>
        <v/>
      </c>
      <c r="D1974" s="24">
        <f>IF($N1974&lt;&gt;"",IF(INDEX(PCDoc,$N1974)="","—",INDEX(PCDoc,$N1974)),IF($O1974&lt;&gt;"",INDEX(LdgBankB,$O1974),""))</f>
        <v/>
      </c>
      <c r="E1974" s="24">
        <f>IF($N1974&lt;&gt;"",IF(INDEX(PCCitrus,$N1974)="","—",INDEX(PCCitrus,$N1974)),"")</f>
        <v/>
      </c>
      <c r="F1974" s="25">
        <f>IF($N1974&lt;&gt;"",IF(INDEX(PCScale,$N1974)=0,"",INDEX(PCScale,$N1974)),"")</f>
        <v/>
      </c>
      <c r="G1974" s="25">
        <f>IF($N1974&lt;&gt;"",IF(INDEX(PCBaskets,$N1974)=0,"",INDEX(PCBaskets,$N1974)),"")</f>
        <v/>
      </c>
      <c r="H1974" s="26">
        <f>IF($N1974&lt;&gt;"",IF(INDEX(PCNet,$N1974)=0,"",INDEX(PCNet,$N1974)),"")</f>
        <v/>
      </c>
      <c r="I1974" s="25">
        <f>IF($N1974&lt;&gt;"",IF(INDEX(PCOp,$N1974)="مرجوعی خرید","",IF(INDEX(PCAmount,$N1974)&lt;=0,"",INDEX(PCAmount,$N1974))),IF($O1974&lt;&gt;"",IF(INDEX(TxnDepB,$O1974)=0,"",INDEX(TxnDepB,$O1974)),""))</f>
        <v/>
      </c>
      <c r="J1974" s="25">
        <f>IF($N1974&lt;&gt;"",IF(INDEX(PCOp,$N1974)="مرجوعی خرید",IF(INDEX(PCAmount,$N1974)=0,"",-INDEX(PCAmount,$N1974)),""),IF($O1974&lt;&gt;"",IF(INDEX(TxnWitB,$O1974)=0,"",INDEX(TxnWitB,$O1974)),""))</f>
        <v/>
      </c>
      <c r="K1974" s="27">
        <f>IF($B1974="","",IF($K1973="",$C$10,$K1973)+IF($I1974="",0,$I1974)-IF($J1974="",0,$J1974))</f>
        <v/>
      </c>
      <c r="L1974" s="28">
        <f>IF($N1974&lt;&gt;"",IF(INDEX(PCNotes,$N1974)="","—",INDEX(PCNotes,$N1974)),IF($O1974&lt;&gt;"",IF(INDEX(LdgNoteB,$O1974)="","—",INDEX(LdgNoteB,$O1974)),""))</f>
        <v/>
      </c>
      <c r="N1974">
        <f>IFERROR(MATCH($C$5&amp;"|"&amp;RIGHT("000000"&amp;1958,6),LdgRankKeyA,0),"")</f>
        <v/>
      </c>
      <c r="O1974">
        <f>IFERROR(MATCH($C$5&amp;"|"&amp;RIGHT("000000"&amp;1958,6),LdgRankKeyB,0),"")</f>
        <v/>
      </c>
    </row>
    <row r="1975">
      <c r="A1975" s="17" t="n">
        <v>1959</v>
      </c>
      <c r="B1975" s="18">
        <f>IF(AND($N1975="",$O1975=""),"",IF($N1975&lt;&gt;"",INDEX(PCNormDate,$N1975),INDEX(LdgDateB,$O1975)))</f>
        <v/>
      </c>
      <c r="C1975" s="18">
        <f>IF($N1975&lt;&gt;"",INDEX(PCOp,$N1975),IF($O1975&lt;&gt;"",IF(N(INDEX(TxnDepB,$O1975))&gt;0,"دریافت بانکی","پرداخت بانکی"),""))</f>
        <v/>
      </c>
      <c r="D1975" s="18">
        <f>IF($N1975&lt;&gt;"",IF(INDEX(PCDoc,$N1975)="","—",INDEX(PCDoc,$N1975)),IF($O1975&lt;&gt;"",INDEX(LdgBankB,$O1975),""))</f>
        <v/>
      </c>
      <c r="E1975" s="18">
        <f>IF($N1975&lt;&gt;"",IF(INDEX(PCCitrus,$N1975)="","—",INDEX(PCCitrus,$N1975)),"")</f>
        <v/>
      </c>
      <c r="F1975" s="19">
        <f>IF($N1975&lt;&gt;"",IF(INDEX(PCScale,$N1975)=0,"",INDEX(PCScale,$N1975)),"")</f>
        <v/>
      </c>
      <c r="G1975" s="19">
        <f>IF($N1975&lt;&gt;"",IF(INDEX(PCBaskets,$N1975)=0,"",INDEX(PCBaskets,$N1975)),"")</f>
        <v/>
      </c>
      <c r="H1975" s="20">
        <f>IF($N1975&lt;&gt;"",IF(INDEX(PCNet,$N1975)=0,"",INDEX(PCNet,$N1975)),"")</f>
        <v/>
      </c>
      <c r="I1975" s="19">
        <f>IF($N1975&lt;&gt;"",IF(INDEX(PCOp,$N1975)="مرجوعی خرید","",IF(INDEX(PCAmount,$N1975)&lt;=0,"",INDEX(PCAmount,$N1975))),IF($O1975&lt;&gt;"",IF(INDEX(TxnDepB,$O1975)=0,"",INDEX(TxnDepB,$O1975)),""))</f>
        <v/>
      </c>
      <c r="J1975" s="19">
        <f>IF($N1975&lt;&gt;"",IF(INDEX(PCOp,$N1975)="مرجوعی خرید",IF(INDEX(PCAmount,$N1975)=0,"",-INDEX(PCAmount,$N1975)),""),IF($O1975&lt;&gt;"",IF(INDEX(TxnWitB,$O1975)=0,"",INDEX(TxnWitB,$O1975)),""))</f>
        <v/>
      </c>
      <c r="K1975" s="21">
        <f>IF($B1975="","",IF($K1974="",$C$10,$K1974)+IF($I1975="",0,$I1975)-IF($J1975="",0,$J1975))</f>
        <v/>
      </c>
      <c r="L1975" s="22">
        <f>IF($N1975&lt;&gt;"",IF(INDEX(PCNotes,$N1975)="","—",INDEX(PCNotes,$N1975)),IF($O1975&lt;&gt;"",IF(INDEX(LdgNoteB,$O1975)="","—",INDEX(LdgNoteB,$O1975)),""))</f>
        <v/>
      </c>
      <c r="N1975">
        <f>IFERROR(MATCH($C$5&amp;"|"&amp;RIGHT("000000"&amp;1959,6),LdgRankKeyA,0),"")</f>
        <v/>
      </c>
      <c r="O1975">
        <f>IFERROR(MATCH($C$5&amp;"|"&amp;RIGHT("000000"&amp;1959,6),LdgRankKeyB,0),"")</f>
        <v/>
      </c>
    </row>
    <row r="1976">
      <c r="A1976" s="23" t="n">
        <v>1960</v>
      </c>
      <c r="B1976" s="24">
        <f>IF(AND($N1976="",$O1976=""),"",IF($N1976&lt;&gt;"",INDEX(PCNormDate,$N1976),INDEX(LdgDateB,$O1976)))</f>
        <v/>
      </c>
      <c r="C1976" s="24">
        <f>IF($N1976&lt;&gt;"",INDEX(PCOp,$N1976),IF($O1976&lt;&gt;"",IF(N(INDEX(TxnDepB,$O1976))&gt;0,"دریافت بانکی","پرداخت بانکی"),""))</f>
        <v/>
      </c>
      <c r="D1976" s="24">
        <f>IF($N1976&lt;&gt;"",IF(INDEX(PCDoc,$N1976)="","—",INDEX(PCDoc,$N1976)),IF($O1976&lt;&gt;"",INDEX(LdgBankB,$O1976),""))</f>
        <v/>
      </c>
      <c r="E1976" s="24">
        <f>IF($N1976&lt;&gt;"",IF(INDEX(PCCitrus,$N1976)="","—",INDEX(PCCitrus,$N1976)),"")</f>
        <v/>
      </c>
      <c r="F1976" s="25">
        <f>IF($N1976&lt;&gt;"",IF(INDEX(PCScale,$N1976)=0,"",INDEX(PCScale,$N1976)),"")</f>
        <v/>
      </c>
      <c r="G1976" s="25">
        <f>IF($N1976&lt;&gt;"",IF(INDEX(PCBaskets,$N1976)=0,"",INDEX(PCBaskets,$N1976)),"")</f>
        <v/>
      </c>
      <c r="H1976" s="26">
        <f>IF($N1976&lt;&gt;"",IF(INDEX(PCNet,$N1976)=0,"",INDEX(PCNet,$N1976)),"")</f>
        <v/>
      </c>
      <c r="I1976" s="25">
        <f>IF($N1976&lt;&gt;"",IF(INDEX(PCOp,$N1976)="مرجوعی خرید","",IF(INDEX(PCAmount,$N1976)&lt;=0,"",INDEX(PCAmount,$N1976))),IF($O1976&lt;&gt;"",IF(INDEX(TxnDepB,$O1976)=0,"",INDEX(TxnDepB,$O1976)),""))</f>
        <v/>
      </c>
      <c r="J1976" s="25">
        <f>IF($N1976&lt;&gt;"",IF(INDEX(PCOp,$N1976)="مرجوعی خرید",IF(INDEX(PCAmount,$N1976)=0,"",-INDEX(PCAmount,$N1976)),""),IF($O1976&lt;&gt;"",IF(INDEX(TxnWitB,$O1976)=0,"",INDEX(TxnWitB,$O1976)),""))</f>
        <v/>
      </c>
      <c r="K1976" s="27">
        <f>IF($B1976="","",IF($K1975="",$C$10,$K1975)+IF($I1976="",0,$I1976)-IF($J1976="",0,$J1976))</f>
        <v/>
      </c>
      <c r="L1976" s="28">
        <f>IF($N1976&lt;&gt;"",IF(INDEX(PCNotes,$N1976)="","—",INDEX(PCNotes,$N1976)),IF($O1976&lt;&gt;"",IF(INDEX(LdgNoteB,$O1976)="","—",INDEX(LdgNoteB,$O1976)),""))</f>
        <v/>
      </c>
      <c r="N1976">
        <f>IFERROR(MATCH($C$5&amp;"|"&amp;RIGHT("000000"&amp;1960,6),LdgRankKeyA,0),"")</f>
        <v/>
      </c>
      <c r="O1976">
        <f>IFERROR(MATCH($C$5&amp;"|"&amp;RIGHT("000000"&amp;1960,6),LdgRankKeyB,0),"")</f>
        <v/>
      </c>
    </row>
    <row r="1977">
      <c r="A1977" s="17" t="n">
        <v>1961</v>
      </c>
      <c r="B1977" s="18">
        <f>IF(AND($N1977="",$O1977=""),"",IF($N1977&lt;&gt;"",INDEX(PCNormDate,$N1977),INDEX(LdgDateB,$O1977)))</f>
        <v/>
      </c>
      <c r="C1977" s="18">
        <f>IF($N1977&lt;&gt;"",INDEX(PCOp,$N1977),IF($O1977&lt;&gt;"",IF(N(INDEX(TxnDepB,$O1977))&gt;0,"دریافت بانکی","پرداخت بانکی"),""))</f>
        <v/>
      </c>
      <c r="D1977" s="18">
        <f>IF($N1977&lt;&gt;"",IF(INDEX(PCDoc,$N1977)="","—",INDEX(PCDoc,$N1977)),IF($O1977&lt;&gt;"",INDEX(LdgBankB,$O1977),""))</f>
        <v/>
      </c>
      <c r="E1977" s="18">
        <f>IF($N1977&lt;&gt;"",IF(INDEX(PCCitrus,$N1977)="","—",INDEX(PCCitrus,$N1977)),"")</f>
        <v/>
      </c>
      <c r="F1977" s="19">
        <f>IF($N1977&lt;&gt;"",IF(INDEX(PCScale,$N1977)=0,"",INDEX(PCScale,$N1977)),"")</f>
        <v/>
      </c>
      <c r="G1977" s="19">
        <f>IF($N1977&lt;&gt;"",IF(INDEX(PCBaskets,$N1977)=0,"",INDEX(PCBaskets,$N1977)),"")</f>
        <v/>
      </c>
      <c r="H1977" s="20">
        <f>IF($N1977&lt;&gt;"",IF(INDEX(PCNet,$N1977)=0,"",INDEX(PCNet,$N1977)),"")</f>
        <v/>
      </c>
      <c r="I1977" s="19">
        <f>IF($N1977&lt;&gt;"",IF(INDEX(PCOp,$N1977)="مرجوعی خرید","",IF(INDEX(PCAmount,$N1977)&lt;=0,"",INDEX(PCAmount,$N1977))),IF($O1977&lt;&gt;"",IF(INDEX(TxnDepB,$O1977)=0,"",INDEX(TxnDepB,$O1977)),""))</f>
        <v/>
      </c>
      <c r="J1977" s="19">
        <f>IF($N1977&lt;&gt;"",IF(INDEX(PCOp,$N1977)="مرجوعی خرید",IF(INDEX(PCAmount,$N1977)=0,"",-INDEX(PCAmount,$N1977)),""),IF($O1977&lt;&gt;"",IF(INDEX(TxnWitB,$O1977)=0,"",INDEX(TxnWitB,$O1977)),""))</f>
        <v/>
      </c>
      <c r="K1977" s="21">
        <f>IF($B1977="","",IF($K1976="",$C$10,$K1976)+IF($I1977="",0,$I1977)-IF($J1977="",0,$J1977))</f>
        <v/>
      </c>
      <c r="L1977" s="22">
        <f>IF($N1977&lt;&gt;"",IF(INDEX(PCNotes,$N1977)="","—",INDEX(PCNotes,$N1977)),IF($O1977&lt;&gt;"",IF(INDEX(LdgNoteB,$O1977)="","—",INDEX(LdgNoteB,$O1977)),""))</f>
        <v/>
      </c>
      <c r="N1977">
        <f>IFERROR(MATCH($C$5&amp;"|"&amp;RIGHT("000000"&amp;1961,6),LdgRankKeyA,0),"")</f>
        <v/>
      </c>
      <c r="O1977">
        <f>IFERROR(MATCH($C$5&amp;"|"&amp;RIGHT("000000"&amp;1961,6),LdgRankKeyB,0),"")</f>
        <v/>
      </c>
    </row>
    <row r="1978">
      <c r="A1978" s="23" t="n">
        <v>1962</v>
      </c>
      <c r="B1978" s="24">
        <f>IF(AND($N1978="",$O1978=""),"",IF($N1978&lt;&gt;"",INDEX(PCNormDate,$N1978),INDEX(LdgDateB,$O1978)))</f>
        <v/>
      </c>
      <c r="C1978" s="24">
        <f>IF($N1978&lt;&gt;"",INDEX(PCOp,$N1978),IF($O1978&lt;&gt;"",IF(N(INDEX(TxnDepB,$O1978))&gt;0,"دریافت بانکی","پرداخت بانکی"),""))</f>
        <v/>
      </c>
      <c r="D1978" s="24">
        <f>IF($N1978&lt;&gt;"",IF(INDEX(PCDoc,$N1978)="","—",INDEX(PCDoc,$N1978)),IF($O1978&lt;&gt;"",INDEX(LdgBankB,$O1978),""))</f>
        <v/>
      </c>
      <c r="E1978" s="24">
        <f>IF($N1978&lt;&gt;"",IF(INDEX(PCCitrus,$N1978)="","—",INDEX(PCCitrus,$N1978)),"")</f>
        <v/>
      </c>
      <c r="F1978" s="25">
        <f>IF($N1978&lt;&gt;"",IF(INDEX(PCScale,$N1978)=0,"",INDEX(PCScale,$N1978)),"")</f>
        <v/>
      </c>
      <c r="G1978" s="25">
        <f>IF($N1978&lt;&gt;"",IF(INDEX(PCBaskets,$N1978)=0,"",INDEX(PCBaskets,$N1978)),"")</f>
        <v/>
      </c>
      <c r="H1978" s="26">
        <f>IF($N1978&lt;&gt;"",IF(INDEX(PCNet,$N1978)=0,"",INDEX(PCNet,$N1978)),"")</f>
        <v/>
      </c>
      <c r="I1978" s="25">
        <f>IF($N1978&lt;&gt;"",IF(INDEX(PCOp,$N1978)="مرجوعی خرید","",IF(INDEX(PCAmount,$N1978)&lt;=0,"",INDEX(PCAmount,$N1978))),IF($O1978&lt;&gt;"",IF(INDEX(TxnDepB,$O1978)=0,"",INDEX(TxnDepB,$O1978)),""))</f>
        <v/>
      </c>
      <c r="J1978" s="25">
        <f>IF($N1978&lt;&gt;"",IF(INDEX(PCOp,$N1978)="مرجوعی خرید",IF(INDEX(PCAmount,$N1978)=0,"",-INDEX(PCAmount,$N1978)),""),IF($O1978&lt;&gt;"",IF(INDEX(TxnWitB,$O1978)=0,"",INDEX(TxnWitB,$O1978)),""))</f>
        <v/>
      </c>
      <c r="K1978" s="27">
        <f>IF($B1978="","",IF($K1977="",$C$10,$K1977)+IF($I1978="",0,$I1978)-IF($J1978="",0,$J1978))</f>
        <v/>
      </c>
      <c r="L1978" s="28">
        <f>IF($N1978&lt;&gt;"",IF(INDEX(PCNotes,$N1978)="","—",INDEX(PCNotes,$N1978)),IF($O1978&lt;&gt;"",IF(INDEX(LdgNoteB,$O1978)="","—",INDEX(LdgNoteB,$O1978)),""))</f>
        <v/>
      </c>
      <c r="N1978">
        <f>IFERROR(MATCH($C$5&amp;"|"&amp;RIGHT("000000"&amp;1962,6),LdgRankKeyA,0),"")</f>
        <v/>
      </c>
      <c r="O1978">
        <f>IFERROR(MATCH($C$5&amp;"|"&amp;RIGHT("000000"&amp;1962,6),LdgRankKeyB,0),"")</f>
        <v/>
      </c>
    </row>
    <row r="1979">
      <c r="A1979" s="17" t="n">
        <v>1963</v>
      </c>
      <c r="B1979" s="18">
        <f>IF(AND($N1979="",$O1979=""),"",IF($N1979&lt;&gt;"",INDEX(PCNormDate,$N1979),INDEX(LdgDateB,$O1979)))</f>
        <v/>
      </c>
      <c r="C1979" s="18">
        <f>IF($N1979&lt;&gt;"",INDEX(PCOp,$N1979),IF($O1979&lt;&gt;"",IF(N(INDEX(TxnDepB,$O1979))&gt;0,"دریافت بانکی","پرداخت بانکی"),""))</f>
        <v/>
      </c>
      <c r="D1979" s="18">
        <f>IF($N1979&lt;&gt;"",IF(INDEX(PCDoc,$N1979)="","—",INDEX(PCDoc,$N1979)),IF($O1979&lt;&gt;"",INDEX(LdgBankB,$O1979),""))</f>
        <v/>
      </c>
      <c r="E1979" s="18">
        <f>IF($N1979&lt;&gt;"",IF(INDEX(PCCitrus,$N1979)="","—",INDEX(PCCitrus,$N1979)),"")</f>
        <v/>
      </c>
      <c r="F1979" s="19">
        <f>IF($N1979&lt;&gt;"",IF(INDEX(PCScale,$N1979)=0,"",INDEX(PCScale,$N1979)),"")</f>
        <v/>
      </c>
      <c r="G1979" s="19">
        <f>IF($N1979&lt;&gt;"",IF(INDEX(PCBaskets,$N1979)=0,"",INDEX(PCBaskets,$N1979)),"")</f>
        <v/>
      </c>
      <c r="H1979" s="20">
        <f>IF($N1979&lt;&gt;"",IF(INDEX(PCNet,$N1979)=0,"",INDEX(PCNet,$N1979)),"")</f>
        <v/>
      </c>
      <c r="I1979" s="19">
        <f>IF($N1979&lt;&gt;"",IF(INDEX(PCOp,$N1979)="مرجوعی خرید","",IF(INDEX(PCAmount,$N1979)&lt;=0,"",INDEX(PCAmount,$N1979))),IF($O1979&lt;&gt;"",IF(INDEX(TxnDepB,$O1979)=0,"",INDEX(TxnDepB,$O1979)),""))</f>
        <v/>
      </c>
      <c r="J1979" s="19">
        <f>IF($N1979&lt;&gt;"",IF(INDEX(PCOp,$N1979)="مرجوعی خرید",IF(INDEX(PCAmount,$N1979)=0,"",-INDEX(PCAmount,$N1979)),""),IF($O1979&lt;&gt;"",IF(INDEX(TxnWitB,$O1979)=0,"",INDEX(TxnWitB,$O1979)),""))</f>
        <v/>
      </c>
      <c r="K1979" s="21">
        <f>IF($B1979="","",IF($K1978="",$C$10,$K1978)+IF($I1979="",0,$I1979)-IF($J1979="",0,$J1979))</f>
        <v/>
      </c>
      <c r="L1979" s="22">
        <f>IF($N1979&lt;&gt;"",IF(INDEX(PCNotes,$N1979)="","—",INDEX(PCNotes,$N1979)),IF($O1979&lt;&gt;"",IF(INDEX(LdgNoteB,$O1979)="","—",INDEX(LdgNoteB,$O1979)),""))</f>
        <v/>
      </c>
      <c r="N1979">
        <f>IFERROR(MATCH($C$5&amp;"|"&amp;RIGHT("000000"&amp;1963,6),LdgRankKeyA,0),"")</f>
        <v/>
      </c>
      <c r="O1979">
        <f>IFERROR(MATCH($C$5&amp;"|"&amp;RIGHT("000000"&amp;1963,6),LdgRankKeyB,0),"")</f>
        <v/>
      </c>
    </row>
    <row r="1980">
      <c r="A1980" s="23" t="n">
        <v>1964</v>
      </c>
      <c r="B1980" s="24">
        <f>IF(AND($N1980="",$O1980=""),"",IF($N1980&lt;&gt;"",INDEX(PCNormDate,$N1980),INDEX(LdgDateB,$O1980)))</f>
        <v/>
      </c>
      <c r="C1980" s="24">
        <f>IF($N1980&lt;&gt;"",INDEX(PCOp,$N1980),IF($O1980&lt;&gt;"",IF(N(INDEX(TxnDepB,$O1980))&gt;0,"دریافت بانکی","پرداخت بانکی"),""))</f>
        <v/>
      </c>
      <c r="D1980" s="24">
        <f>IF($N1980&lt;&gt;"",IF(INDEX(PCDoc,$N1980)="","—",INDEX(PCDoc,$N1980)),IF($O1980&lt;&gt;"",INDEX(LdgBankB,$O1980),""))</f>
        <v/>
      </c>
      <c r="E1980" s="24">
        <f>IF($N1980&lt;&gt;"",IF(INDEX(PCCitrus,$N1980)="","—",INDEX(PCCitrus,$N1980)),"")</f>
        <v/>
      </c>
      <c r="F1980" s="25">
        <f>IF($N1980&lt;&gt;"",IF(INDEX(PCScale,$N1980)=0,"",INDEX(PCScale,$N1980)),"")</f>
        <v/>
      </c>
      <c r="G1980" s="25">
        <f>IF($N1980&lt;&gt;"",IF(INDEX(PCBaskets,$N1980)=0,"",INDEX(PCBaskets,$N1980)),"")</f>
        <v/>
      </c>
      <c r="H1980" s="26">
        <f>IF($N1980&lt;&gt;"",IF(INDEX(PCNet,$N1980)=0,"",INDEX(PCNet,$N1980)),"")</f>
        <v/>
      </c>
      <c r="I1980" s="25">
        <f>IF($N1980&lt;&gt;"",IF(INDEX(PCOp,$N1980)="مرجوعی خرید","",IF(INDEX(PCAmount,$N1980)&lt;=0,"",INDEX(PCAmount,$N1980))),IF($O1980&lt;&gt;"",IF(INDEX(TxnDepB,$O1980)=0,"",INDEX(TxnDepB,$O1980)),""))</f>
        <v/>
      </c>
      <c r="J1980" s="25">
        <f>IF($N1980&lt;&gt;"",IF(INDEX(PCOp,$N1980)="مرجوعی خرید",IF(INDEX(PCAmount,$N1980)=0,"",-INDEX(PCAmount,$N1980)),""),IF($O1980&lt;&gt;"",IF(INDEX(TxnWitB,$O1980)=0,"",INDEX(TxnWitB,$O1980)),""))</f>
        <v/>
      </c>
      <c r="K1980" s="27">
        <f>IF($B1980="","",IF($K1979="",$C$10,$K1979)+IF($I1980="",0,$I1980)-IF($J1980="",0,$J1980))</f>
        <v/>
      </c>
      <c r="L1980" s="28">
        <f>IF($N1980&lt;&gt;"",IF(INDEX(PCNotes,$N1980)="","—",INDEX(PCNotes,$N1980)),IF($O1980&lt;&gt;"",IF(INDEX(LdgNoteB,$O1980)="","—",INDEX(LdgNoteB,$O1980)),""))</f>
        <v/>
      </c>
      <c r="N1980">
        <f>IFERROR(MATCH($C$5&amp;"|"&amp;RIGHT("000000"&amp;1964,6),LdgRankKeyA,0),"")</f>
        <v/>
      </c>
      <c r="O1980">
        <f>IFERROR(MATCH($C$5&amp;"|"&amp;RIGHT("000000"&amp;1964,6),LdgRankKeyB,0),"")</f>
        <v/>
      </c>
    </row>
    <row r="1981">
      <c r="A1981" s="17" t="n">
        <v>1965</v>
      </c>
      <c r="B1981" s="18">
        <f>IF(AND($N1981="",$O1981=""),"",IF($N1981&lt;&gt;"",INDEX(PCNormDate,$N1981),INDEX(LdgDateB,$O1981)))</f>
        <v/>
      </c>
      <c r="C1981" s="18">
        <f>IF($N1981&lt;&gt;"",INDEX(PCOp,$N1981),IF($O1981&lt;&gt;"",IF(N(INDEX(TxnDepB,$O1981))&gt;0,"دریافت بانکی","پرداخت بانکی"),""))</f>
        <v/>
      </c>
      <c r="D1981" s="18">
        <f>IF($N1981&lt;&gt;"",IF(INDEX(PCDoc,$N1981)="","—",INDEX(PCDoc,$N1981)),IF($O1981&lt;&gt;"",INDEX(LdgBankB,$O1981),""))</f>
        <v/>
      </c>
      <c r="E1981" s="18">
        <f>IF($N1981&lt;&gt;"",IF(INDEX(PCCitrus,$N1981)="","—",INDEX(PCCitrus,$N1981)),"")</f>
        <v/>
      </c>
      <c r="F1981" s="19">
        <f>IF($N1981&lt;&gt;"",IF(INDEX(PCScale,$N1981)=0,"",INDEX(PCScale,$N1981)),"")</f>
        <v/>
      </c>
      <c r="G1981" s="19">
        <f>IF($N1981&lt;&gt;"",IF(INDEX(PCBaskets,$N1981)=0,"",INDEX(PCBaskets,$N1981)),"")</f>
        <v/>
      </c>
      <c r="H1981" s="20">
        <f>IF($N1981&lt;&gt;"",IF(INDEX(PCNet,$N1981)=0,"",INDEX(PCNet,$N1981)),"")</f>
        <v/>
      </c>
      <c r="I1981" s="19">
        <f>IF($N1981&lt;&gt;"",IF(INDEX(PCOp,$N1981)="مرجوعی خرید","",IF(INDEX(PCAmount,$N1981)&lt;=0,"",INDEX(PCAmount,$N1981))),IF($O1981&lt;&gt;"",IF(INDEX(TxnDepB,$O1981)=0,"",INDEX(TxnDepB,$O1981)),""))</f>
        <v/>
      </c>
      <c r="J1981" s="19">
        <f>IF($N1981&lt;&gt;"",IF(INDEX(PCOp,$N1981)="مرجوعی خرید",IF(INDEX(PCAmount,$N1981)=0,"",-INDEX(PCAmount,$N1981)),""),IF($O1981&lt;&gt;"",IF(INDEX(TxnWitB,$O1981)=0,"",INDEX(TxnWitB,$O1981)),""))</f>
        <v/>
      </c>
      <c r="K1981" s="21">
        <f>IF($B1981="","",IF($K1980="",$C$10,$K1980)+IF($I1981="",0,$I1981)-IF($J1981="",0,$J1981))</f>
        <v/>
      </c>
      <c r="L1981" s="22">
        <f>IF($N1981&lt;&gt;"",IF(INDEX(PCNotes,$N1981)="","—",INDEX(PCNotes,$N1981)),IF($O1981&lt;&gt;"",IF(INDEX(LdgNoteB,$O1981)="","—",INDEX(LdgNoteB,$O1981)),""))</f>
        <v/>
      </c>
      <c r="N1981">
        <f>IFERROR(MATCH($C$5&amp;"|"&amp;RIGHT("000000"&amp;1965,6),LdgRankKeyA,0),"")</f>
        <v/>
      </c>
      <c r="O1981">
        <f>IFERROR(MATCH($C$5&amp;"|"&amp;RIGHT("000000"&amp;1965,6),LdgRankKeyB,0),"")</f>
        <v/>
      </c>
    </row>
    <row r="1982">
      <c r="A1982" s="23" t="n">
        <v>1966</v>
      </c>
      <c r="B1982" s="24">
        <f>IF(AND($N1982="",$O1982=""),"",IF($N1982&lt;&gt;"",INDEX(PCNormDate,$N1982),INDEX(LdgDateB,$O1982)))</f>
        <v/>
      </c>
      <c r="C1982" s="24">
        <f>IF($N1982&lt;&gt;"",INDEX(PCOp,$N1982),IF($O1982&lt;&gt;"",IF(N(INDEX(TxnDepB,$O1982))&gt;0,"دریافت بانکی","پرداخت بانکی"),""))</f>
        <v/>
      </c>
      <c r="D1982" s="24">
        <f>IF($N1982&lt;&gt;"",IF(INDEX(PCDoc,$N1982)="","—",INDEX(PCDoc,$N1982)),IF($O1982&lt;&gt;"",INDEX(LdgBankB,$O1982),""))</f>
        <v/>
      </c>
      <c r="E1982" s="24">
        <f>IF($N1982&lt;&gt;"",IF(INDEX(PCCitrus,$N1982)="","—",INDEX(PCCitrus,$N1982)),"")</f>
        <v/>
      </c>
      <c r="F1982" s="25">
        <f>IF($N1982&lt;&gt;"",IF(INDEX(PCScale,$N1982)=0,"",INDEX(PCScale,$N1982)),"")</f>
        <v/>
      </c>
      <c r="G1982" s="25">
        <f>IF($N1982&lt;&gt;"",IF(INDEX(PCBaskets,$N1982)=0,"",INDEX(PCBaskets,$N1982)),"")</f>
        <v/>
      </c>
      <c r="H1982" s="26">
        <f>IF($N1982&lt;&gt;"",IF(INDEX(PCNet,$N1982)=0,"",INDEX(PCNet,$N1982)),"")</f>
        <v/>
      </c>
      <c r="I1982" s="25">
        <f>IF($N1982&lt;&gt;"",IF(INDEX(PCOp,$N1982)="مرجوعی خرید","",IF(INDEX(PCAmount,$N1982)&lt;=0,"",INDEX(PCAmount,$N1982))),IF($O1982&lt;&gt;"",IF(INDEX(TxnDepB,$O1982)=0,"",INDEX(TxnDepB,$O1982)),""))</f>
        <v/>
      </c>
      <c r="J1982" s="25">
        <f>IF($N1982&lt;&gt;"",IF(INDEX(PCOp,$N1982)="مرجوعی خرید",IF(INDEX(PCAmount,$N1982)=0,"",-INDEX(PCAmount,$N1982)),""),IF($O1982&lt;&gt;"",IF(INDEX(TxnWitB,$O1982)=0,"",INDEX(TxnWitB,$O1982)),""))</f>
        <v/>
      </c>
      <c r="K1982" s="27">
        <f>IF($B1982="","",IF($K1981="",$C$10,$K1981)+IF($I1982="",0,$I1982)-IF($J1982="",0,$J1982))</f>
        <v/>
      </c>
      <c r="L1982" s="28">
        <f>IF($N1982&lt;&gt;"",IF(INDEX(PCNotes,$N1982)="","—",INDEX(PCNotes,$N1982)),IF($O1982&lt;&gt;"",IF(INDEX(LdgNoteB,$O1982)="","—",INDEX(LdgNoteB,$O1982)),""))</f>
        <v/>
      </c>
      <c r="N1982">
        <f>IFERROR(MATCH($C$5&amp;"|"&amp;RIGHT("000000"&amp;1966,6),LdgRankKeyA,0),"")</f>
        <v/>
      </c>
      <c r="O1982">
        <f>IFERROR(MATCH($C$5&amp;"|"&amp;RIGHT("000000"&amp;1966,6),LdgRankKeyB,0),"")</f>
        <v/>
      </c>
    </row>
    <row r="1983">
      <c r="A1983" s="17" t="n">
        <v>1967</v>
      </c>
      <c r="B1983" s="18">
        <f>IF(AND($N1983="",$O1983=""),"",IF($N1983&lt;&gt;"",INDEX(PCNormDate,$N1983),INDEX(LdgDateB,$O1983)))</f>
        <v/>
      </c>
      <c r="C1983" s="18">
        <f>IF($N1983&lt;&gt;"",INDEX(PCOp,$N1983),IF($O1983&lt;&gt;"",IF(N(INDEX(TxnDepB,$O1983))&gt;0,"دریافت بانکی","پرداخت بانکی"),""))</f>
        <v/>
      </c>
      <c r="D1983" s="18">
        <f>IF($N1983&lt;&gt;"",IF(INDEX(PCDoc,$N1983)="","—",INDEX(PCDoc,$N1983)),IF($O1983&lt;&gt;"",INDEX(LdgBankB,$O1983),""))</f>
        <v/>
      </c>
      <c r="E1983" s="18">
        <f>IF($N1983&lt;&gt;"",IF(INDEX(PCCitrus,$N1983)="","—",INDEX(PCCitrus,$N1983)),"")</f>
        <v/>
      </c>
      <c r="F1983" s="19">
        <f>IF($N1983&lt;&gt;"",IF(INDEX(PCScale,$N1983)=0,"",INDEX(PCScale,$N1983)),"")</f>
        <v/>
      </c>
      <c r="G1983" s="19">
        <f>IF($N1983&lt;&gt;"",IF(INDEX(PCBaskets,$N1983)=0,"",INDEX(PCBaskets,$N1983)),"")</f>
        <v/>
      </c>
      <c r="H1983" s="20">
        <f>IF($N1983&lt;&gt;"",IF(INDEX(PCNet,$N1983)=0,"",INDEX(PCNet,$N1983)),"")</f>
        <v/>
      </c>
      <c r="I1983" s="19">
        <f>IF($N1983&lt;&gt;"",IF(INDEX(PCOp,$N1983)="مرجوعی خرید","",IF(INDEX(PCAmount,$N1983)&lt;=0,"",INDEX(PCAmount,$N1983))),IF($O1983&lt;&gt;"",IF(INDEX(TxnDepB,$O1983)=0,"",INDEX(TxnDepB,$O1983)),""))</f>
        <v/>
      </c>
      <c r="J1983" s="19">
        <f>IF($N1983&lt;&gt;"",IF(INDEX(PCOp,$N1983)="مرجوعی خرید",IF(INDEX(PCAmount,$N1983)=0,"",-INDEX(PCAmount,$N1983)),""),IF($O1983&lt;&gt;"",IF(INDEX(TxnWitB,$O1983)=0,"",INDEX(TxnWitB,$O1983)),""))</f>
        <v/>
      </c>
      <c r="K1983" s="21">
        <f>IF($B1983="","",IF($K1982="",$C$10,$K1982)+IF($I1983="",0,$I1983)-IF($J1983="",0,$J1983))</f>
        <v/>
      </c>
      <c r="L1983" s="22">
        <f>IF($N1983&lt;&gt;"",IF(INDEX(PCNotes,$N1983)="","—",INDEX(PCNotes,$N1983)),IF($O1983&lt;&gt;"",IF(INDEX(LdgNoteB,$O1983)="","—",INDEX(LdgNoteB,$O1983)),""))</f>
        <v/>
      </c>
      <c r="N1983">
        <f>IFERROR(MATCH($C$5&amp;"|"&amp;RIGHT("000000"&amp;1967,6),LdgRankKeyA,0),"")</f>
        <v/>
      </c>
      <c r="O1983">
        <f>IFERROR(MATCH($C$5&amp;"|"&amp;RIGHT("000000"&amp;1967,6),LdgRankKeyB,0),"")</f>
        <v/>
      </c>
    </row>
    <row r="1984">
      <c r="A1984" s="23" t="n">
        <v>1968</v>
      </c>
      <c r="B1984" s="24">
        <f>IF(AND($N1984="",$O1984=""),"",IF($N1984&lt;&gt;"",INDEX(PCNormDate,$N1984),INDEX(LdgDateB,$O1984)))</f>
        <v/>
      </c>
      <c r="C1984" s="24">
        <f>IF($N1984&lt;&gt;"",INDEX(PCOp,$N1984),IF($O1984&lt;&gt;"",IF(N(INDEX(TxnDepB,$O1984))&gt;0,"دریافت بانکی","پرداخت بانکی"),""))</f>
        <v/>
      </c>
      <c r="D1984" s="24">
        <f>IF($N1984&lt;&gt;"",IF(INDEX(PCDoc,$N1984)="","—",INDEX(PCDoc,$N1984)),IF($O1984&lt;&gt;"",INDEX(LdgBankB,$O1984),""))</f>
        <v/>
      </c>
      <c r="E1984" s="24">
        <f>IF($N1984&lt;&gt;"",IF(INDEX(PCCitrus,$N1984)="","—",INDEX(PCCitrus,$N1984)),"")</f>
        <v/>
      </c>
      <c r="F1984" s="25">
        <f>IF($N1984&lt;&gt;"",IF(INDEX(PCScale,$N1984)=0,"",INDEX(PCScale,$N1984)),"")</f>
        <v/>
      </c>
      <c r="G1984" s="25">
        <f>IF($N1984&lt;&gt;"",IF(INDEX(PCBaskets,$N1984)=0,"",INDEX(PCBaskets,$N1984)),"")</f>
        <v/>
      </c>
      <c r="H1984" s="26">
        <f>IF($N1984&lt;&gt;"",IF(INDEX(PCNet,$N1984)=0,"",INDEX(PCNet,$N1984)),"")</f>
        <v/>
      </c>
      <c r="I1984" s="25">
        <f>IF($N1984&lt;&gt;"",IF(INDEX(PCOp,$N1984)="مرجوعی خرید","",IF(INDEX(PCAmount,$N1984)&lt;=0,"",INDEX(PCAmount,$N1984))),IF($O1984&lt;&gt;"",IF(INDEX(TxnDepB,$O1984)=0,"",INDEX(TxnDepB,$O1984)),""))</f>
        <v/>
      </c>
      <c r="J1984" s="25">
        <f>IF($N1984&lt;&gt;"",IF(INDEX(PCOp,$N1984)="مرجوعی خرید",IF(INDEX(PCAmount,$N1984)=0,"",-INDEX(PCAmount,$N1984)),""),IF($O1984&lt;&gt;"",IF(INDEX(TxnWitB,$O1984)=0,"",INDEX(TxnWitB,$O1984)),""))</f>
        <v/>
      </c>
      <c r="K1984" s="27">
        <f>IF($B1984="","",IF($K1983="",$C$10,$K1983)+IF($I1984="",0,$I1984)-IF($J1984="",0,$J1984))</f>
        <v/>
      </c>
      <c r="L1984" s="28">
        <f>IF($N1984&lt;&gt;"",IF(INDEX(PCNotes,$N1984)="","—",INDEX(PCNotes,$N1984)),IF($O1984&lt;&gt;"",IF(INDEX(LdgNoteB,$O1984)="","—",INDEX(LdgNoteB,$O1984)),""))</f>
        <v/>
      </c>
      <c r="N1984">
        <f>IFERROR(MATCH($C$5&amp;"|"&amp;RIGHT("000000"&amp;1968,6),LdgRankKeyA,0),"")</f>
        <v/>
      </c>
      <c r="O1984">
        <f>IFERROR(MATCH($C$5&amp;"|"&amp;RIGHT("000000"&amp;1968,6),LdgRankKeyB,0),"")</f>
        <v/>
      </c>
    </row>
    <row r="1985">
      <c r="A1985" s="17" t="n">
        <v>1969</v>
      </c>
      <c r="B1985" s="18">
        <f>IF(AND($N1985="",$O1985=""),"",IF($N1985&lt;&gt;"",INDEX(PCNormDate,$N1985),INDEX(LdgDateB,$O1985)))</f>
        <v/>
      </c>
      <c r="C1985" s="18">
        <f>IF($N1985&lt;&gt;"",INDEX(PCOp,$N1985),IF($O1985&lt;&gt;"",IF(N(INDEX(TxnDepB,$O1985))&gt;0,"دریافت بانکی","پرداخت بانکی"),""))</f>
        <v/>
      </c>
      <c r="D1985" s="18">
        <f>IF($N1985&lt;&gt;"",IF(INDEX(PCDoc,$N1985)="","—",INDEX(PCDoc,$N1985)),IF($O1985&lt;&gt;"",INDEX(LdgBankB,$O1985),""))</f>
        <v/>
      </c>
      <c r="E1985" s="18">
        <f>IF($N1985&lt;&gt;"",IF(INDEX(PCCitrus,$N1985)="","—",INDEX(PCCitrus,$N1985)),"")</f>
        <v/>
      </c>
      <c r="F1985" s="19">
        <f>IF($N1985&lt;&gt;"",IF(INDEX(PCScale,$N1985)=0,"",INDEX(PCScale,$N1985)),"")</f>
        <v/>
      </c>
      <c r="G1985" s="19">
        <f>IF($N1985&lt;&gt;"",IF(INDEX(PCBaskets,$N1985)=0,"",INDEX(PCBaskets,$N1985)),"")</f>
        <v/>
      </c>
      <c r="H1985" s="20">
        <f>IF($N1985&lt;&gt;"",IF(INDEX(PCNet,$N1985)=0,"",INDEX(PCNet,$N1985)),"")</f>
        <v/>
      </c>
      <c r="I1985" s="19">
        <f>IF($N1985&lt;&gt;"",IF(INDEX(PCOp,$N1985)="مرجوعی خرید","",IF(INDEX(PCAmount,$N1985)&lt;=0,"",INDEX(PCAmount,$N1985))),IF($O1985&lt;&gt;"",IF(INDEX(TxnDepB,$O1985)=0,"",INDEX(TxnDepB,$O1985)),""))</f>
        <v/>
      </c>
      <c r="J1985" s="19">
        <f>IF($N1985&lt;&gt;"",IF(INDEX(PCOp,$N1985)="مرجوعی خرید",IF(INDEX(PCAmount,$N1985)=0,"",-INDEX(PCAmount,$N1985)),""),IF($O1985&lt;&gt;"",IF(INDEX(TxnWitB,$O1985)=0,"",INDEX(TxnWitB,$O1985)),""))</f>
        <v/>
      </c>
      <c r="K1985" s="21">
        <f>IF($B1985="","",IF($K1984="",$C$10,$K1984)+IF($I1985="",0,$I1985)-IF($J1985="",0,$J1985))</f>
        <v/>
      </c>
      <c r="L1985" s="22">
        <f>IF($N1985&lt;&gt;"",IF(INDEX(PCNotes,$N1985)="","—",INDEX(PCNotes,$N1985)),IF($O1985&lt;&gt;"",IF(INDEX(LdgNoteB,$O1985)="","—",INDEX(LdgNoteB,$O1985)),""))</f>
        <v/>
      </c>
      <c r="N1985">
        <f>IFERROR(MATCH($C$5&amp;"|"&amp;RIGHT("000000"&amp;1969,6),LdgRankKeyA,0),"")</f>
        <v/>
      </c>
      <c r="O1985">
        <f>IFERROR(MATCH($C$5&amp;"|"&amp;RIGHT("000000"&amp;1969,6),LdgRankKeyB,0),"")</f>
        <v/>
      </c>
    </row>
    <row r="1986">
      <c r="A1986" s="23" t="n">
        <v>1970</v>
      </c>
      <c r="B1986" s="24">
        <f>IF(AND($N1986="",$O1986=""),"",IF($N1986&lt;&gt;"",INDEX(PCNormDate,$N1986),INDEX(LdgDateB,$O1986)))</f>
        <v/>
      </c>
      <c r="C1986" s="24">
        <f>IF($N1986&lt;&gt;"",INDEX(PCOp,$N1986),IF($O1986&lt;&gt;"",IF(N(INDEX(TxnDepB,$O1986))&gt;0,"دریافت بانکی","پرداخت بانکی"),""))</f>
        <v/>
      </c>
      <c r="D1986" s="24">
        <f>IF($N1986&lt;&gt;"",IF(INDEX(PCDoc,$N1986)="","—",INDEX(PCDoc,$N1986)),IF($O1986&lt;&gt;"",INDEX(LdgBankB,$O1986),""))</f>
        <v/>
      </c>
      <c r="E1986" s="24">
        <f>IF($N1986&lt;&gt;"",IF(INDEX(PCCitrus,$N1986)="","—",INDEX(PCCitrus,$N1986)),"")</f>
        <v/>
      </c>
      <c r="F1986" s="25">
        <f>IF($N1986&lt;&gt;"",IF(INDEX(PCScale,$N1986)=0,"",INDEX(PCScale,$N1986)),"")</f>
        <v/>
      </c>
      <c r="G1986" s="25">
        <f>IF($N1986&lt;&gt;"",IF(INDEX(PCBaskets,$N1986)=0,"",INDEX(PCBaskets,$N1986)),"")</f>
        <v/>
      </c>
      <c r="H1986" s="26">
        <f>IF($N1986&lt;&gt;"",IF(INDEX(PCNet,$N1986)=0,"",INDEX(PCNet,$N1986)),"")</f>
        <v/>
      </c>
      <c r="I1986" s="25">
        <f>IF($N1986&lt;&gt;"",IF(INDEX(PCOp,$N1986)="مرجوعی خرید","",IF(INDEX(PCAmount,$N1986)&lt;=0,"",INDEX(PCAmount,$N1986))),IF($O1986&lt;&gt;"",IF(INDEX(TxnDepB,$O1986)=0,"",INDEX(TxnDepB,$O1986)),""))</f>
        <v/>
      </c>
      <c r="J1986" s="25">
        <f>IF($N1986&lt;&gt;"",IF(INDEX(PCOp,$N1986)="مرجوعی خرید",IF(INDEX(PCAmount,$N1986)=0,"",-INDEX(PCAmount,$N1986)),""),IF($O1986&lt;&gt;"",IF(INDEX(TxnWitB,$O1986)=0,"",INDEX(TxnWitB,$O1986)),""))</f>
        <v/>
      </c>
      <c r="K1986" s="27">
        <f>IF($B1986="","",IF($K1985="",$C$10,$K1985)+IF($I1986="",0,$I1986)-IF($J1986="",0,$J1986))</f>
        <v/>
      </c>
      <c r="L1986" s="28">
        <f>IF($N1986&lt;&gt;"",IF(INDEX(PCNotes,$N1986)="","—",INDEX(PCNotes,$N1986)),IF($O1986&lt;&gt;"",IF(INDEX(LdgNoteB,$O1986)="","—",INDEX(LdgNoteB,$O1986)),""))</f>
        <v/>
      </c>
      <c r="N1986">
        <f>IFERROR(MATCH($C$5&amp;"|"&amp;RIGHT("000000"&amp;1970,6),LdgRankKeyA,0),"")</f>
        <v/>
      </c>
      <c r="O1986">
        <f>IFERROR(MATCH($C$5&amp;"|"&amp;RIGHT("000000"&amp;1970,6),LdgRankKeyB,0),"")</f>
        <v/>
      </c>
    </row>
    <row r="1987">
      <c r="A1987" s="17" t="n">
        <v>1971</v>
      </c>
      <c r="B1987" s="18">
        <f>IF(AND($N1987="",$O1987=""),"",IF($N1987&lt;&gt;"",INDEX(PCNormDate,$N1987),INDEX(LdgDateB,$O1987)))</f>
        <v/>
      </c>
      <c r="C1987" s="18">
        <f>IF($N1987&lt;&gt;"",INDEX(PCOp,$N1987),IF($O1987&lt;&gt;"",IF(N(INDEX(TxnDepB,$O1987))&gt;0,"دریافت بانکی","پرداخت بانکی"),""))</f>
        <v/>
      </c>
      <c r="D1987" s="18">
        <f>IF($N1987&lt;&gt;"",IF(INDEX(PCDoc,$N1987)="","—",INDEX(PCDoc,$N1987)),IF($O1987&lt;&gt;"",INDEX(LdgBankB,$O1987),""))</f>
        <v/>
      </c>
      <c r="E1987" s="18">
        <f>IF($N1987&lt;&gt;"",IF(INDEX(PCCitrus,$N1987)="","—",INDEX(PCCitrus,$N1987)),"")</f>
        <v/>
      </c>
      <c r="F1987" s="19">
        <f>IF($N1987&lt;&gt;"",IF(INDEX(PCScale,$N1987)=0,"",INDEX(PCScale,$N1987)),"")</f>
        <v/>
      </c>
      <c r="G1987" s="19">
        <f>IF($N1987&lt;&gt;"",IF(INDEX(PCBaskets,$N1987)=0,"",INDEX(PCBaskets,$N1987)),"")</f>
        <v/>
      </c>
      <c r="H1987" s="20">
        <f>IF($N1987&lt;&gt;"",IF(INDEX(PCNet,$N1987)=0,"",INDEX(PCNet,$N1987)),"")</f>
        <v/>
      </c>
      <c r="I1987" s="19">
        <f>IF($N1987&lt;&gt;"",IF(INDEX(PCOp,$N1987)="مرجوعی خرید","",IF(INDEX(PCAmount,$N1987)&lt;=0,"",INDEX(PCAmount,$N1987))),IF($O1987&lt;&gt;"",IF(INDEX(TxnDepB,$O1987)=0,"",INDEX(TxnDepB,$O1987)),""))</f>
        <v/>
      </c>
      <c r="J1987" s="19">
        <f>IF($N1987&lt;&gt;"",IF(INDEX(PCOp,$N1987)="مرجوعی خرید",IF(INDEX(PCAmount,$N1987)=0,"",-INDEX(PCAmount,$N1987)),""),IF($O1987&lt;&gt;"",IF(INDEX(TxnWitB,$O1987)=0,"",INDEX(TxnWitB,$O1987)),""))</f>
        <v/>
      </c>
      <c r="K1987" s="21">
        <f>IF($B1987="","",IF($K1986="",$C$10,$K1986)+IF($I1987="",0,$I1987)-IF($J1987="",0,$J1987))</f>
        <v/>
      </c>
      <c r="L1987" s="22">
        <f>IF($N1987&lt;&gt;"",IF(INDEX(PCNotes,$N1987)="","—",INDEX(PCNotes,$N1987)),IF($O1987&lt;&gt;"",IF(INDEX(LdgNoteB,$O1987)="","—",INDEX(LdgNoteB,$O1987)),""))</f>
        <v/>
      </c>
      <c r="N1987">
        <f>IFERROR(MATCH($C$5&amp;"|"&amp;RIGHT("000000"&amp;1971,6),LdgRankKeyA,0),"")</f>
        <v/>
      </c>
      <c r="O1987">
        <f>IFERROR(MATCH($C$5&amp;"|"&amp;RIGHT("000000"&amp;1971,6),LdgRankKeyB,0),"")</f>
        <v/>
      </c>
    </row>
    <row r="1988">
      <c r="A1988" s="23" t="n">
        <v>1972</v>
      </c>
      <c r="B1988" s="24">
        <f>IF(AND($N1988="",$O1988=""),"",IF($N1988&lt;&gt;"",INDEX(PCNormDate,$N1988),INDEX(LdgDateB,$O1988)))</f>
        <v/>
      </c>
      <c r="C1988" s="24">
        <f>IF($N1988&lt;&gt;"",INDEX(PCOp,$N1988),IF($O1988&lt;&gt;"",IF(N(INDEX(TxnDepB,$O1988))&gt;0,"دریافت بانکی","پرداخت بانکی"),""))</f>
        <v/>
      </c>
      <c r="D1988" s="24">
        <f>IF($N1988&lt;&gt;"",IF(INDEX(PCDoc,$N1988)="","—",INDEX(PCDoc,$N1988)),IF($O1988&lt;&gt;"",INDEX(LdgBankB,$O1988),""))</f>
        <v/>
      </c>
      <c r="E1988" s="24">
        <f>IF($N1988&lt;&gt;"",IF(INDEX(PCCitrus,$N1988)="","—",INDEX(PCCitrus,$N1988)),"")</f>
        <v/>
      </c>
      <c r="F1988" s="25">
        <f>IF($N1988&lt;&gt;"",IF(INDEX(PCScale,$N1988)=0,"",INDEX(PCScale,$N1988)),"")</f>
        <v/>
      </c>
      <c r="G1988" s="25">
        <f>IF($N1988&lt;&gt;"",IF(INDEX(PCBaskets,$N1988)=0,"",INDEX(PCBaskets,$N1988)),"")</f>
        <v/>
      </c>
      <c r="H1988" s="26">
        <f>IF($N1988&lt;&gt;"",IF(INDEX(PCNet,$N1988)=0,"",INDEX(PCNet,$N1988)),"")</f>
        <v/>
      </c>
      <c r="I1988" s="25">
        <f>IF($N1988&lt;&gt;"",IF(INDEX(PCOp,$N1988)="مرجوعی خرید","",IF(INDEX(PCAmount,$N1988)&lt;=0,"",INDEX(PCAmount,$N1988))),IF($O1988&lt;&gt;"",IF(INDEX(TxnDepB,$O1988)=0,"",INDEX(TxnDepB,$O1988)),""))</f>
        <v/>
      </c>
      <c r="J1988" s="25">
        <f>IF($N1988&lt;&gt;"",IF(INDEX(PCOp,$N1988)="مرجوعی خرید",IF(INDEX(PCAmount,$N1988)=0,"",-INDEX(PCAmount,$N1988)),""),IF($O1988&lt;&gt;"",IF(INDEX(TxnWitB,$O1988)=0,"",INDEX(TxnWitB,$O1988)),""))</f>
        <v/>
      </c>
      <c r="K1988" s="27">
        <f>IF($B1988="","",IF($K1987="",$C$10,$K1987)+IF($I1988="",0,$I1988)-IF($J1988="",0,$J1988))</f>
        <v/>
      </c>
      <c r="L1988" s="28">
        <f>IF($N1988&lt;&gt;"",IF(INDEX(PCNotes,$N1988)="","—",INDEX(PCNotes,$N1988)),IF($O1988&lt;&gt;"",IF(INDEX(LdgNoteB,$O1988)="","—",INDEX(LdgNoteB,$O1988)),""))</f>
        <v/>
      </c>
      <c r="N1988">
        <f>IFERROR(MATCH($C$5&amp;"|"&amp;RIGHT("000000"&amp;1972,6),LdgRankKeyA,0),"")</f>
        <v/>
      </c>
      <c r="O1988">
        <f>IFERROR(MATCH($C$5&amp;"|"&amp;RIGHT("000000"&amp;1972,6),LdgRankKeyB,0),"")</f>
        <v/>
      </c>
    </row>
    <row r="1989">
      <c r="A1989" s="17" t="n">
        <v>1973</v>
      </c>
      <c r="B1989" s="18">
        <f>IF(AND($N1989="",$O1989=""),"",IF($N1989&lt;&gt;"",INDEX(PCNormDate,$N1989),INDEX(LdgDateB,$O1989)))</f>
        <v/>
      </c>
      <c r="C1989" s="18">
        <f>IF($N1989&lt;&gt;"",INDEX(PCOp,$N1989),IF($O1989&lt;&gt;"",IF(N(INDEX(TxnDepB,$O1989))&gt;0,"دریافت بانکی","پرداخت بانکی"),""))</f>
        <v/>
      </c>
      <c r="D1989" s="18">
        <f>IF($N1989&lt;&gt;"",IF(INDEX(PCDoc,$N1989)="","—",INDEX(PCDoc,$N1989)),IF($O1989&lt;&gt;"",INDEX(LdgBankB,$O1989),""))</f>
        <v/>
      </c>
      <c r="E1989" s="18">
        <f>IF($N1989&lt;&gt;"",IF(INDEX(PCCitrus,$N1989)="","—",INDEX(PCCitrus,$N1989)),"")</f>
        <v/>
      </c>
      <c r="F1989" s="19">
        <f>IF($N1989&lt;&gt;"",IF(INDEX(PCScale,$N1989)=0,"",INDEX(PCScale,$N1989)),"")</f>
        <v/>
      </c>
      <c r="G1989" s="19">
        <f>IF($N1989&lt;&gt;"",IF(INDEX(PCBaskets,$N1989)=0,"",INDEX(PCBaskets,$N1989)),"")</f>
        <v/>
      </c>
      <c r="H1989" s="20">
        <f>IF($N1989&lt;&gt;"",IF(INDEX(PCNet,$N1989)=0,"",INDEX(PCNet,$N1989)),"")</f>
        <v/>
      </c>
      <c r="I1989" s="19">
        <f>IF($N1989&lt;&gt;"",IF(INDEX(PCOp,$N1989)="مرجوعی خرید","",IF(INDEX(PCAmount,$N1989)&lt;=0,"",INDEX(PCAmount,$N1989))),IF($O1989&lt;&gt;"",IF(INDEX(TxnDepB,$O1989)=0,"",INDEX(TxnDepB,$O1989)),""))</f>
        <v/>
      </c>
      <c r="J1989" s="19">
        <f>IF($N1989&lt;&gt;"",IF(INDEX(PCOp,$N1989)="مرجوعی خرید",IF(INDEX(PCAmount,$N1989)=0,"",-INDEX(PCAmount,$N1989)),""),IF($O1989&lt;&gt;"",IF(INDEX(TxnWitB,$O1989)=0,"",INDEX(TxnWitB,$O1989)),""))</f>
        <v/>
      </c>
      <c r="K1989" s="21">
        <f>IF($B1989="","",IF($K1988="",$C$10,$K1988)+IF($I1989="",0,$I1989)-IF($J1989="",0,$J1989))</f>
        <v/>
      </c>
      <c r="L1989" s="22">
        <f>IF($N1989&lt;&gt;"",IF(INDEX(PCNotes,$N1989)="","—",INDEX(PCNotes,$N1989)),IF($O1989&lt;&gt;"",IF(INDEX(LdgNoteB,$O1989)="","—",INDEX(LdgNoteB,$O1989)),""))</f>
        <v/>
      </c>
      <c r="N1989">
        <f>IFERROR(MATCH($C$5&amp;"|"&amp;RIGHT("000000"&amp;1973,6),LdgRankKeyA,0),"")</f>
        <v/>
      </c>
      <c r="O1989">
        <f>IFERROR(MATCH($C$5&amp;"|"&amp;RIGHT("000000"&amp;1973,6),LdgRankKeyB,0),"")</f>
        <v/>
      </c>
    </row>
    <row r="1990">
      <c r="A1990" s="23" t="n">
        <v>1974</v>
      </c>
      <c r="B1990" s="24">
        <f>IF(AND($N1990="",$O1990=""),"",IF($N1990&lt;&gt;"",INDEX(PCNormDate,$N1990),INDEX(LdgDateB,$O1990)))</f>
        <v/>
      </c>
      <c r="C1990" s="24">
        <f>IF($N1990&lt;&gt;"",INDEX(PCOp,$N1990),IF($O1990&lt;&gt;"",IF(N(INDEX(TxnDepB,$O1990))&gt;0,"دریافت بانکی","پرداخت بانکی"),""))</f>
        <v/>
      </c>
      <c r="D1990" s="24">
        <f>IF($N1990&lt;&gt;"",IF(INDEX(PCDoc,$N1990)="","—",INDEX(PCDoc,$N1990)),IF($O1990&lt;&gt;"",INDEX(LdgBankB,$O1990),""))</f>
        <v/>
      </c>
      <c r="E1990" s="24">
        <f>IF($N1990&lt;&gt;"",IF(INDEX(PCCitrus,$N1990)="","—",INDEX(PCCitrus,$N1990)),"")</f>
        <v/>
      </c>
      <c r="F1990" s="25">
        <f>IF($N1990&lt;&gt;"",IF(INDEX(PCScale,$N1990)=0,"",INDEX(PCScale,$N1990)),"")</f>
        <v/>
      </c>
      <c r="G1990" s="25">
        <f>IF($N1990&lt;&gt;"",IF(INDEX(PCBaskets,$N1990)=0,"",INDEX(PCBaskets,$N1990)),"")</f>
        <v/>
      </c>
      <c r="H1990" s="26">
        <f>IF($N1990&lt;&gt;"",IF(INDEX(PCNet,$N1990)=0,"",INDEX(PCNet,$N1990)),"")</f>
        <v/>
      </c>
      <c r="I1990" s="25">
        <f>IF($N1990&lt;&gt;"",IF(INDEX(PCOp,$N1990)="مرجوعی خرید","",IF(INDEX(PCAmount,$N1990)&lt;=0,"",INDEX(PCAmount,$N1990))),IF($O1990&lt;&gt;"",IF(INDEX(TxnDepB,$O1990)=0,"",INDEX(TxnDepB,$O1990)),""))</f>
        <v/>
      </c>
      <c r="J1990" s="25">
        <f>IF($N1990&lt;&gt;"",IF(INDEX(PCOp,$N1990)="مرجوعی خرید",IF(INDEX(PCAmount,$N1990)=0,"",-INDEX(PCAmount,$N1990)),""),IF($O1990&lt;&gt;"",IF(INDEX(TxnWitB,$O1990)=0,"",INDEX(TxnWitB,$O1990)),""))</f>
        <v/>
      </c>
      <c r="K1990" s="27">
        <f>IF($B1990="","",IF($K1989="",$C$10,$K1989)+IF($I1990="",0,$I1990)-IF($J1990="",0,$J1990))</f>
        <v/>
      </c>
      <c r="L1990" s="28">
        <f>IF($N1990&lt;&gt;"",IF(INDEX(PCNotes,$N1990)="","—",INDEX(PCNotes,$N1990)),IF($O1990&lt;&gt;"",IF(INDEX(LdgNoteB,$O1990)="","—",INDEX(LdgNoteB,$O1990)),""))</f>
        <v/>
      </c>
      <c r="N1990">
        <f>IFERROR(MATCH($C$5&amp;"|"&amp;RIGHT("000000"&amp;1974,6),LdgRankKeyA,0),"")</f>
        <v/>
      </c>
      <c r="O1990">
        <f>IFERROR(MATCH($C$5&amp;"|"&amp;RIGHT("000000"&amp;1974,6),LdgRankKeyB,0),"")</f>
        <v/>
      </c>
    </row>
    <row r="1991">
      <c r="A1991" s="17" t="n">
        <v>1975</v>
      </c>
      <c r="B1991" s="18">
        <f>IF(AND($N1991="",$O1991=""),"",IF($N1991&lt;&gt;"",INDEX(PCNormDate,$N1991),INDEX(LdgDateB,$O1991)))</f>
        <v/>
      </c>
      <c r="C1991" s="18">
        <f>IF($N1991&lt;&gt;"",INDEX(PCOp,$N1991),IF($O1991&lt;&gt;"",IF(N(INDEX(TxnDepB,$O1991))&gt;0,"دریافت بانکی","پرداخت بانکی"),""))</f>
        <v/>
      </c>
      <c r="D1991" s="18">
        <f>IF($N1991&lt;&gt;"",IF(INDEX(PCDoc,$N1991)="","—",INDEX(PCDoc,$N1991)),IF($O1991&lt;&gt;"",INDEX(LdgBankB,$O1991),""))</f>
        <v/>
      </c>
      <c r="E1991" s="18">
        <f>IF($N1991&lt;&gt;"",IF(INDEX(PCCitrus,$N1991)="","—",INDEX(PCCitrus,$N1991)),"")</f>
        <v/>
      </c>
      <c r="F1991" s="19">
        <f>IF($N1991&lt;&gt;"",IF(INDEX(PCScale,$N1991)=0,"",INDEX(PCScale,$N1991)),"")</f>
        <v/>
      </c>
      <c r="G1991" s="19">
        <f>IF($N1991&lt;&gt;"",IF(INDEX(PCBaskets,$N1991)=0,"",INDEX(PCBaskets,$N1991)),"")</f>
        <v/>
      </c>
      <c r="H1991" s="20">
        <f>IF($N1991&lt;&gt;"",IF(INDEX(PCNet,$N1991)=0,"",INDEX(PCNet,$N1991)),"")</f>
        <v/>
      </c>
      <c r="I1991" s="19">
        <f>IF($N1991&lt;&gt;"",IF(INDEX(PCOp,$N1991)="مرجوعی خرید","",IF(INDEX(PCAmount,$N1991)&lt;=0,"",INDEX(PCAmount,$N1991))),IF($O1991&lt;&gt;"",IF(INDEX(TxnDepB,$O1991)=0,"",INDEX(TxnDepB,$O1991)),""))</f>
        <v/>
      </c>
      <c r="J1991" s="19">
        <f>IF($N1991&lt;&gt;"",IF(INDEX(PCOp,$N1991)="مرجوعی خرید",IF(INDEX(PCAmount,$N1991)=0,"",-INDEX(PCAmount,$N1991)),""),IF($O1991&lt;&gt;"",IF(INDEX(TxnWitB,$O1991)=0,"",INDEX(TxnWitB,$O1991)),""))</f>
        <v/>
      </c>
      <c r="K1991" s="21">
        <f>IF($B1991="","",IF($K1990="",$C$10,$K1990)+IF($I1991="",0,$I1991)-IF($J1991="",0,$J1991))</f>
        <v/>
      </c>
      <c r="L1991" s="22">
        <f>IF($N1991&lt;&gt;"",IF(INDEX(PCNotes,$N1991)="","—",INDEX(PCNotes,$N1991)),IF($O1991&lt;&gt;"",IF(INDEX(LdgNoteB,$O1991)="","—",INDEX(LdgNoteB,$O1991)),""))</f>
        <v/>
      </c>
      <c r="N1991">
        <f>IFERROR(MATCH($C$5&amp;"|"&amp;RIGHT("000000"&amp;1975,6),LdgRankKeyA,0),"")</f>
        <v/>
      </c>
      <c r="O1991">
        <f>IFERROR(MATCH($C$5&amp;"|"&amp;RIGHT("000000"&amp;1975,6),LdgRankKeyB,0),"")</f>
        <v/>
      </c>
    </row>
    <row r="1992">
      <c r="A1992" s="23" t="n">
        <v>1976</v>
      </c>
      <c r="B1992" s="24">
        <f>IF(AND($N1992="",$O1992=""),"",IF($N1992&lt;&gt;"",INDEX(PCNormDate,$N1992),INDEX(LdgDateB,$O1992)))</f>
        <v/>
      </c>
      <c r="C1992" s="24">
        <f>IF($N1992&lt;&gt;"",INDEX(PCOp,$N1992),IF($O1992&lt;&gt;"",IF(N(INDEX(TxnDepB,$O1992))&gt;0,"دریافت بانکی","پرداخت بانکی"),""))</f>
        <v/>
      </c>
      <c r="D1992" s="24">
        <f>IF($N1992&lt;&gt;"",IF(INDEX(PCDoc,$N1992)="","—",INDEX(PCDoc,$N1992)),IF($O1992&lt;&gt;"",INDEX(LdgBankB,$O1992),""))</f>
        <v/>
      </c>
      <c r="E1992" s="24">
        <f>IF($N1992&lt;&gt;"",IF(INDEX(PCCitrus,$N1992)="","—",INDEX(PCCitrus,$N1992)),"")</f>
        <v/>
      </c>
      <c r="F1992" s="25">
        <f>IF($N1992&lt;&gt;"",IF(INDEX(PCScale,$N1992)=0,"",INDEX(PCScale,$N1992)),"")</f>
        <v/>
      </c>
      <c r="G1992" s="25">
        <f>IF($N1992&lt;&gt;"",IF(INDEX(PCBaskets,$N1992)=0,"",INDEX(PCBaskets,$N1992)),"")</f>
        <v/>
      </c>
      <c r="H1992" s="26">
        <f>IF($N1992&lt;&gt;"",IF(INDEX(PCNet,$N1992)=0,"",INDEX(PCNet,$N1992)),"")</f>
        <v/>
      </c>
      <c r="I1992" s="25">
        <f>IF($N1992&lt;&gt;"",IF(INDEX(PCOp,$N1992)="مرجوعی خرید","",IF(INDEX(PCAmount,$N1992)&lt;=0,"",INDEX(PCAmount,$N1992))),IF($O1992&lt;&gt;"",IF(INDEX(TxnDepB,$O1992)=0,"",INDEX(TxnDepB,$O1992)),""))</f>
        <v/>
      </c>
      <c r="J1992" s="25">
        <f>IF($N1992&lt;&gt;"",IF(INDEX(PCOp,$N1992)="مرجوعی خرید",IF(INDEX(PCAmount,$N1992)=0,"",-INDEX(PCAmount,$N1992)),""),IF($O1992&lt;&gt;"",IF(INDEX(TxnWitB,$O1992)=0,"",INDEX(TxnWitB,$O1992)),""))</f>
        <v/>
      </c>
      <c r="K1992" s="27">
        <f>IF($B1992="","",IF($K1991="",$C$10,$K1991)+IF($I1992="",0,$I1992)-IF($J1992="",0,$J1992))</f>
        <v/>
      </c>
      <c r="L1992" s="28">
        <f>IF($N1992&lt;&gt;"",IF(INDEX(PCNotes,$N1992)="","—",INDEX(PCNotes,$N1992)),IF($O1992&lt;&gt;"",IF(INDEX(LdgNoteB,$O1992)="","—",INDEX(LdgNoteB,$O1992)),""))</f>
        <v/>
      </c>
      <c r="N1992">
        <f>IFERROR(MATCH($C$5&amp;"|"&amp;RIGHT("000000"&amp;1976,6),LdgRankKeyA,0),"")</f>
        <v/>
      </c>
      <c r="O1992">
        <f>IFERROR(MATCH($C$5&amp;"|"&amp;RIGHT("000000"&amp;1976,6),LdgRankKeyB,0),"")</f>
        <v/>
      </c>
    </row>
    <row r="1993">
      <c r="A1993" s="17" t="n">
        <v>1977</v>
      </c>
      <c r="B1993" s="18">
        <f>IF(AND($N1993="",$O1993=""),"",IF($N1993&lt;&gt;"",INDEX(PCNormDate,$N1993),INDEX(LdgDateB,$O1993)))</f>
        <v/>
      </c>
      <c r="C1993" s="18">
        <f>IF($N1993&lt;&gt;"",INDEX(PCOp,$N1993),IF($O1993&lt;&gt;"",IF(N(INDEX(TxnDepB,$O1993))&gt;0,"دریافت بانکی","پرداخت بانکی"),""))</f>
        <v/>
      </c>
      <c r="D1993" s="18">
        <f>IF($N1993&lt;&gt;"",IF(INDEX(PCDoc,$N1993)="","—",INDEX(PCDoc,$N1993)),IF($O1993&lt;&gt;"",INDEX(LdgBankB,$O1993),""))</f>
        <v/>
      </c>
      <c r="E1993" s="18">
        <f>IF($N1993&lt;&gt;"",IF(INDEX(PCCitrus,$N1993)="","—",INDEX(PCCitrus,$N1993)),"")</f>
        <v/>
      </c>
      <c r="F1993" s="19">
        <f>IF($N1993&lt;&gt;"",IF(INDEX(PCScale,$N1993)=0,"",INDEX(PCScale,$N1993)),"")</f>
        <v/>
      </c>
      <c r="G1993" s="19">
        <f>IF($N1993&lt;&gt;"",IF(INDEX(PCBaskets,$N1993)=0,"",INDEX(PCBaskets,$N1993)),"")</f>
        <v/>
      </c>
      <c r="H1993" s="20">
        <f>IF($N1993&lt;&gt;"",IF(INDEX(PCNet,$N1993)=0,"",INDEX(PCNet,$N1993)),"")</f>
        <v/>
      </c>
      <c r="I1993" s="19">
        <f>IF($N1993&lt;&gt;"",IF(INDEX(PCOp,$N1993)="مرجوعی خرید","",IF(INDEX(PCAmount,$N1993)&lt;=0,"",INDEX(PCAmount,$N1993))),IF($O1993&lt;&gt;"",IF(INDEX(TxnDepB,$O1993)=0,"",INDEX(TxnDepB,$O1993)),""))</f>
        <v/>
      </c>
      <c r="J1993" s="19">
        <f>IF($N1993&lt;&gt;"",IF(INDEX(PCOp,$N1993)="مرجوعی خرید",IF(INDEX(PCAmount,$N1993)=0,"",-INDEX(PCAmount,$N1993)),""),IF($O1993&lt;&gt;"",IF(INDEX(TxnWitB,$O1993)=0,"",INDEX(TxnWitB,$O1993)),""))</f>
        <v/>
      </c>
      <c r="K1993" s="21">
        <f>IF($B1993="","",IF($K1992="",$C$10,$K1992)+IF($I1993="",0,$I1993)-IF($J1993="",0,$J1993))</f>
        <v/>
      </c>
      <c r="L1993" s="22">
        <f>IF($N1993&lt;&gt;"",IF(INDEX(PCNotes,$N1993)="","—",INDEX(PCNotes,$N1993)),IF($O1993&lt;&gt;"",IF(INDEX(LdgNoteB,$O1993)="","—",INDEX(LdgNoteB,$O1993)),""))</f>
        <v/>
      </c>
      <c r="N1993">
        <f>IFERROR(MATCH($C$5&amp;"|"&amp;RIGHT("000000"&amp;1977,6),LdgRankKeyA,0),"")</f>
        <v/>
      </c>
      <c r="O1993">
        <f>IFERROR(MATCH($C$5&amp;"|"&amp;RIGHT("000000"&amp;1977,6),LdgRankKeyB,0),"")</f>
        <v/>
      </c>
    </row>
    <row r="1994">
      <c r="A1994" s="23" t="n">
        <v>1978</v>
      </c>
      <c r="B1994" s="24">
        <f>IF(AND($N1994="",$O1994=""),"",IF($N1994&lt;&gt;"",INDEX(PCNormDate,$N1994),INDEX(LdgDateB,$O1994)))</f>
        <v/>
      </c>
      <c r="C1994" s="24">
        <f>IF($N1994&lt;&gt;"",INDEX(PCOp,$N1994),IF($O1994&lt;&gt;"",IF(N(INDEX(TxnDepB,$O1994))&gt;0,"دریافت بانکی","پرداخت بانکی"),""))</f>
        <v/>
      </c>
      <c r="D1994" s="24">
        <f>IF($N1994&lt;&gt;"",IF(INDEX(PCDoc,$N1994)="","—",INDEX(PCDoc,$N1994)),IF($O1994&lt;&gt;"",INDEX(LdgBankB,$O1994),""))</f>
        <v/>
      </c>
      <c r="E1994" s="24">
        <f>IF($N1994&lt;&gt;"",IF(INDEX(PCCitrus,$N1994)="","—",INDEX(PCCitrus,$N1994)),"")</f>
        <v/>
      </c>
      <c r="F1994" s="25">
        <f>IF($N1994&lt;&gt;"",IF(INDEX(PCScale,$N1994)=0,"",INDEX(PCScale,$N1994)),"")</f>
        <v/>
      </c>
      <c r="G1994" s="25">
        <f>IF($N1994&lt;&gt;"",IF(INDEX(PCBaskets,$N1994)=0,"",INDEX(PCBaskets,$N1994)),"")</f>
        <v/>
      </c>
      <c r="H1994" s="26">
        <f>IF($N1994&lt;&gt;"",IF(INDEX(PCNet,$N1994)=0,"",INDEX(PCNet,$N1994)),"")</f>
        <v/>
      </c>
      <c r="I1994" s="25">
        <f>IF($N1994&lt;&gt;"",IF(INDEX(PCOp,$N1994)="مرجوعی خرید","",IF(INDEX(PCAmount,$N1994)&lt;=0,"",INDEX(PCAmount,$N1994))),IF($O1994&lt;&gt;"",IF(INDEX(TxnDepB,$O1994)=0,"",INDEX(TxnDepB,$O1994)),""))</f>
        <v/>
      </c>
      <c r="J1994" s="25">
        <f>IF($N1994&lt;&gt;"",IF(INDEX(PCOp,$N1994)="مرجوعی خرید",IF(INDEX(PCAmount,$N1994)=0,"",-INDEX(PCAmount,$N1994)),""),IF($O1994&lt;&gt;"",IF(INDEX(TxnWitB,$O1994)=0,"",INDEX(TxnWitB,$O1994)),""))</f>
        <v/>
      </c>
      <c r="K1994" s="27">
        <f>IF($B1994="","",IF($K1993="",$C$10,$K1993)+IF($I1994="",0,$I1994)-IF($J1994="",0,$J1994))</f>
        <v/>
      </c>
      <c r="L1994" s="28">
        <f>IF($N1994&lt;&gt;"",IF(INDEX(PCNotes,$N1994)="","—",INDEX(PCNotes,$N1994)),IF($O1994&lt;&gt;"",IF(INDEX(LdgNoteB,$O1994)="","—",INDEX(LdgNoteB,$O1994)),""))</f>
        <v/>
      </c>
      <c r="N1994">
        <f>IFERROR(MATCH($C$5&amp;"|"&amp;RIGHT("000000"&amp;1978,6),LdgRankKeyA,0),"")</f>
        <v/>
      </c>
      <c r="O1994">
        <f>IFERROR(MATCH($C$5&amp;"|"&amp;RIGHT("000000"&amp;1978,6),LdgRankKeyB,0),"")</f>
        <v/>
      </c>
    </row>
    <row r="1995">
      <c r="A1995" s="17" t="n">
        <v>1979</v>
      </c>
      <c r="B1995" s="18">
        <f>IF(AND($N1995="",$O1995=""),"",IF($N1995&lt;&gt;"",INDEX(PCNormDate,$N1995),INDEX(LdgDateB,$O1995)))</f>
        <v/>
      </c>
      <c r="C1995" s="18">
        <f>IF($N1995&lt;&gt;"",INDEX(PCOp,$N1995),IF($O1995&lt;&gt;"",IF(N(INDEX(TxnDepB,$O1995))&gt;0,"دریافت بانکی","پرداخت بانکی"),""))</f>
        <v/>
      </c>
      <c r="D1995" s="18">
        <f>IF($N1995&lt;&gt;"",IF(INDEX(PCDoc,$N1995)="","—",INDEX(PCDoc,$N1995)),IF($O1995&lt;&gt;"",INDEX(LdgBankB,$O1995),""))</f>
        <v/>
      </c>
      <c r="E1995" s="18">
        <f>IF($N1995&lt;&gt;"",IF(INDEX(PCCitrus,$N1995)="","—",INDEX(PCCitrus,$N1995)),"")</f>
        <v/>
      </c>
      <c r="F1995" s="19">
        <f>IF($N1995&lt;&gt;"",IF(INDEX(PCScale,$N1995)=0,"",INDEX(PCScale,$N1995)),"")</f>
        <v/>
      </c>
      <c r="G1995" s="19">
        <f>IF($N1995&lt;&gt;"",IF(INDEX(PCBaskets,$N1995)=0,"",INDEX(PCBaskets,$N1995)),"")</f>
        <v/>
      </c>
      <c r="H1995" s="20">
        <f>IF($N1995&lt;&gt;"",IF(INDEX(PCNet,$N1995)=0,"",INDEX(PCNet,$N1995)),"")</f>
        <v/>
      </c>
      <c r="I1995" s="19">
        <f>IF($N1995&lt;&gt;"",IF(INDEX(PCOp,$N1995)="مرجوعی خرید","",IF(INDEX(PCAmount,$N1995)&lt;=0,"",INDEX(PCAmount,$N1995))),IF($O1995&lt;&gt;"",IF(INDEX(TxnDepB,$O1995)=0,"",INDEX(TxnDepB,$O1995)),""))</f>
        <v/>
      </c>
      <c r="J1995" s="19">
        <f>IF($N1995&lt;&gt;"",IF(INDEX(PCOp,$N1995)="مرجوعی خرید",IF(INDEX(PCAmount,$N1995)=0,"",-INDEX(PCAmount,$N1995)),""),IF($O1995&lt;&gt;"",IF(INDEX(TxnWitB,$O1995)=0,"",INDEX(TxnWitB,$O1995)),""))</f>
        <v/>
      </c>
      <c r="K1995" s="21">
        <f>IF($B1995="","",IF($K1994="",$C$10,$K1994)+IF($I1995="",0,$I1995)-IF($J1995="",0,$J1995))</f>
        <v/>
      </c>
      <c r="L1995" s="22">
        <f>IF($N1995&lt;&gt;"",IF(INDEX(PCNotes,$N1995)="","—",INDEX(PCNotes,$N1995)),IF($O1995&lt;&gt;"",IF(INDEX(LdgNoteB,$O1995)="","—",INDEX(LdgNoteB,$O1995)),""))</f>
        <v/>
      </c>
      <c r="N1995">
        <f>IFERROR(MATCH($C$5&amp;"|"&amp;RIGHT("000000"&amp;1979,6),LdgRankKeyA,0),"")</f>
        <v/>
      </c>
      <c r="O1995">
        <f>IFERROR(MATCH($C$5&amp;"|"&amp;RIGHT("000000"&amp;1979,6),LdgRankKeyB,0),"")</f>
        <v/>
      </c>
    </row>
    <row r="1996">
      <c r="A1996" s="23" t="n">
        <v>1980</v>
      </c>
      <c r="B1996" s="24">
        <f>IF(AND($N1996="",$O1996=""),"",IF($N1996&lt;&gt;"",INDEX(PCNormDate,$N1996),INDEX(LdgDateB,$O1996)))</f>
        <v/>
      </c>
      <c r="C1996" s="24">
        <f>IF($N1996&lt;&gt;"",INDEX(PCOp,$N1996),IF($O1996&lt;&gt;"",IF(N(INDEX(TxnDepB,$O1996))&gt;0,"دریافت بانکی","پرداخت بانکی"),""))</f>
        <v/>
      </c>
      <c r="D1996" s="24">
        <f>IF($N1996&lt;&gt;"",IF(INDEX(PCDoc,$N1996)="","—",INDEX(PCDoc,$N1996)),IF($O1996&lt;&gt;"",INDEX(LdgBankB,$O1996),""))</f>
        <v/>
      </c>
      <c r="E1996" s="24">
        <f>IF($N1996&lt;&gt;"",IF(INDEX(PCCitrus,$N1996)="","—",INDEX(PCCitrus,$N1996)),"")</f>
        <v/>
      </c>
      <c r="F1996" s="25">
        <f>IF($N1996&lt;&gt;"",IF(INDEX(PCScale,$N1996)=0,"",INDEX(PCScale,$N1996)),"")</f>
        <v/>
      </c>
      <c r="G1996" s="25">
        <f>IF($N1996&lt;&gt;"",IF(INDEX(PCBaskets,$N1996)=0,"",INDEX(PCBaskets,$N1996)),"")</f>
        <v/>
      </c>
      <c r="H1996" s="26">
        <f>IF($N1996&lt;&gt;"",IF(INDEX(PCNet,$N1996)=0,"",INDEX(PCNet,$N1996)),"")</f>
        <v/>
      </c>
      <c r="I1996" s="25">
        <f>IF($N1996&lt;&gt;"",IF(INDEX(PCOp,$N1996)="مرجوعی خرید","",IF(INDEX(PCAmount,$N1996)&lt;=0,"",INDEX(PCAmount,$N1996))),IF($O1996&lt;&gt;"",IF(INDEX(TxnDepB,$O1996)=0,"",INDEX(TxnDepB,$O1996)),""))</f>
        <v/>
      </c>
      <c r="J1996" s="25">
        <f>IF($N1996&lt;&gt;"",IF(INDEX(PCOp,$N1996)="مرجوعی خرید",IF(INDEX(PCAmount,$N1996)=0,"",-INDEX(PCAmount,$N1996)),""),IF($O1996&lt;&gt;"",IF(INDEX(TxnWitB,$O1996)=0,"",INDEX(TxnWitB,$O1996)),""))</f>
        <v/>
      </c>
      <c r="K1996" s="27">
        <f>IF($B1996="","",IF($K1995="",$C$10,$K1995)+IF($I1996="",0,$I1996)-IF($J1996="",0,$J1996))</f>
        <v/>
      </c>
      <c r="L1996" s="28">
        <f>IF($N1996&lt;&gt;"",IF(INDEX(PCNotes,$N1996)="","—",INDEX(PCNotes,$N1996)),IF($O1996&lt;&gt;"",IF(INDEX(LdgNoteB,$O1996)="","—",INDEX(LdgNoteB,$O1996)),""))</f>
        <v/>
      </c>
      <c r="N1996">
        <f>IFERROR(MATCH($C$5&amp;"|"&amp;RIGHT("000000"&amp;1980,6),LdgRankKeyA,0),"")</f>
        <v/>
      </c>
      <c r="O1996">
        <f>IFERROR(MATCH($C$5&amp;"|"&amp;RIGHT("000000"&amp;1980,6),LdgRankKeyB,0),"")</f>
        <v/>
      </c>
    </row>
    <row r="1997">
      <c r="A1997" s="17" t="n">
        <v>1981</v>
      </c>
      <c r="B1997" s="18">
        <f>IF(AND($N1997="",$O1997=""),"",IF($N1997&lt;&gt;"",INDEX(PCNormDate,$N1997),INDEX(LdgDateB,$O1997)))</f>
        <v/>
      </c>
      <c r="C1997" s="18">
        <f>IF($N1997&lt;&gt;"",INDEX(PCOp,$N1997),IF($O1997&lt;&gt;"",IF(N(INDEX(TxnDepB,$O1997))&gt;0,"دریافت بانکی","پرداخت بانکی"),""))</f>
        <v/>
      </c>
      <c r="D1997" s="18">
        <f>IF($N1997&lt;&gt;"",IF(INDEX(PCDoc,$N1997)="","—",INDEX(PCDoc,$N1997)),IF($O1997&lt;&gt;"",INDEX(LdgBankB,$O1997),""))</f>
        <v/>
      </c>
      <c r="E1997" s="18">
        <f>IF($N1997&lt;&gt;"",IF(INDEX(PCCitrus,$N1997)="","—",INDEX(PCCitrus,$N1997)),"")</f>
        <v/>
      </c>
      <c r="F1997" s="19">
        <f>IF($N1997&lt;&gt;"",IF(INDEX(PCScale,$N1997)=0,"",INDEX(PCScale,$N1997)),"")</f>
        <v/>
      </c>
      <c r="G1997" s="19">
        <f>IF($N1997&lt;&gt;"",IF(INDEX(PCBaskets,$N1997)=0,"",INDEX(PCBaskets,$N1997)),"")</f>
        <v/>
      </c>
      <c r="H1997" s="20">
        <f>IF($N1997&lt;&gt;"",IF(INDEX(PCNet,$N1997)=0,"",INDEX(PCNet,$N1997)),"")</f>
        <v/>
      </c>
      <c r="I1997" s="19">
        <f>IF($N1997&lt;&gt;"",IF(INDEX(PCOp,$N1997)="مرجوعی خرید","",IF(INDEX(PCAmount,$N1997)&lt;=0,"",INDEX(PCAmount,$N1997))),IF($O1997&lt;&gt;"",IF(INDEX(TxnDepB,$O1997)=0,"",INDEX(TxnDepB,$O1997)),""))</f>
        <v/>
      </c>
      <c r="J1997" s="19">
        <f>IF($N1997&lt;&gt;"",IF(INDEX(PCOp,$N1997)="مرجوعی خرید",IF(INDEX(PCAmount,$N1997)=0,"",-INDEX(PCAmount,$N1997)),""),IF($O1997&lt;&gt;"",IF(INDEX(TxnWitB,$O1997)=0,"",INDEX(TxnWitB,$O1997)),""))</f>
        <v/>
      </c>
      <c r="K1997" s="21">
        <f>IF($B1997="","",IF($K1996="",$C$10,$K1996)+IF($I1997="",0,$I1997)-IF($J1997="",0,$J1997))</f>
        <v/>
      </c>
      <c r="L1997" s="22">
        <f>IF($N1997&lt;&gt;"",IF(INDEX(PCNotes,$N1997)="","—",INDEX(PCNotes,$N1997)),IF($O1997&lt;&gt;"",IF(INDEX(LdgNoteB,$O1997)="","—",INDEX(LdgNoteB,$O1997)),""))</f>
        <v/>
      </c>
      <c r="N1997">
        <f>IFERROR(MATCH($C$5&amp;"|"&amp;RIGHT("000000"&amp;1981,6),LdgRankKeyA,0),"")</f>
        <v/>
      </c>
      <c r="O1997">
        <f>IFERROR(MATCH($C$5&amp;"|"&amp;RIGHT("000000"&amp;1981,6),LdgRankKeyB,0),"")</f>
        <v/>
      </c>
    </row>
    <row r="1998">
      <c r="A1998" s="23" t="n">
        <v>1982</v>
      </c>
      <c r="B1998" s="24">
        <f>IF(AND($N1998="",$O1998=""),"",IF($N1998&lt;&gt;"",INDEX(PCNormDate,$N1998),INDEX(LdgDateB,$O1998)))</f>
        <v/>
      </c>
      <c r="C1998" s="24">
        <f>IF($N1998&lt;&gt;"",INDEX(PCOp,$N1998),IF($O1998&lt;&gt;"",IF(N(INDEX(TxnDepB,$O1998))&gt;0,"دریافت بانکی","پرداخت بانکی"),""))</f>
        <v/>
      </c>
      <c r="D1998" s="24">
        <f>IF($N1998&lt;&gt;"",IF(INDEX(PCDoc,$N1998)="","—",INDEX(PCDoc,$N1998)),IF($O1998&lt;&gt;"",INDEX(LdgBankB,$O1998),""))</f>
        <v/>
      </c>
      <c r="E1998" s="24">
        <f>IF($N1998&lt;&gt;"",IF(INDEX(PCCitrus,$N1998)="","—",INDEX(PCCitrus,$N1998)),"")</f>
        <v/>
      </c>
      <c r="F1998" s="25">
        <f>IF($N1998&lt;&gt;"",IF(INDEX(PCScale,$N1998)=0,"",INDEX(PCScale,$N1998)),"")</f>
        <v/>
      </c>
      <c r="G1998" s="25">
        <f>IF($N1998&lt;&gt;"",IF(INDEX(PCBaskets,$N1998)=0,"",INDEX(PCBaskets,$N1998)),"")</f>
        <v/>
      </c>
      <c r="H1998" s="26">
        <f>IF($N1998&lt;&gt;"",IF(INDEX(PCNet,$N1998)=0,"",INDEX(PCNet,$N1998)),"")</f>
        <v/>
      </c>
      <c r="I1998" s="25">
        <f>IF($N1998&lt;&gt;"",IF(INDEX(PCOp,$N1998)="مرجوعی خرید","",IF(INDEX(PCAmount,$N1998)&lt;=0,"",INDEX(PCAmount,$N1998))),IF($O1998&lt;&gt;"",IF(INDEX(TxnDepB,$O1998)=0,"",INDEX(TxnDepB,$O1998)),""))</f>
        <v/>
      </c>
      <c r="J1998" s="25">
        <f>IF($N1998&lt;&gt;"",IF(INDEX(PCOp,$N1998)="مرجوعی خرید",IF(INDEX(PCAmount,$N1998)=0,"",-INDEX(PCAmount,$N1998)),""),IF($O1998&lt;&gt;"",IF(INDEX(TxnWitB,$O1998)=0,"",INDEX(TxnWitB,$O1998)),""))</f>
        <v/>
      </c>
      <c r="K1998" s="27">
        <f>IF($B1998="","",IF($K1997="",$C$10,$K1997)+IF($I1998="",0,$I1998)-IF($J1998="",0,$J1998))</f>
        <v/>
      </c>
      <c r="L1998" s="28">
        <f>IF($N1998&lt;&gt;"",IF(INDEX(PCNotes,$N1998)="","—",INDEX(PCNotes,$N1998)),IF($O1998&lt;&gt;"",IF(INDEX(LdgNoteB,$O1998)="","—",INDEX(LdgNoteB,$O1998)),""))</f>
        <v/>
      </c>
      <c r="N1998">
        <f>IFERROR(MATCH($C$5&amp;"|"&amp;RIGHT("000000"&amp;1982,6),LdgRankKeyA,0),"")</f>
        <v/>
      </c>
      <c r="O1998">
        <f>IFERROR(MATCH($C$5&amp;"|"&amp;RIGHT("000000"&amp;1982,6),LdgRankKeyB,0),"")</f>
        <v/>
      </c>
    </row>
    <row r="1999">
      <c r="A1999" s="17" t="n">
        <v>1983</v>
      </c>
      <c r="B1999" s="18">
        <f>IF(AND($N1999="",$O1999=""),"",IF($N1999&lt;&gt;"",INDEX(PCNormDate,$N1999),INDEX(LdgDateB,$O1999)))</f>
        <v/>
      </c>
      <c r="C1999" s="18">
        <f>IF($N1999&lt;&gt;"",INDEX(PCOp,$N1999),IF($O1999&lt;&gt;"",IF(N(INDEX(TxnDepB,$O1999))&gt;0,"دریافت بانکی","پرداخت بانکی"),""))</f>
        <v/>
      </c>
      <c r="D1999" s="18">
        <f>IF($N1999&lt;&gt;"",IF(INDEX(PCDoc,$N1999)="","—",INDEX(PCDoc,$N1999)),IF($O1999&lt;&gt;"",INDEX(LdgBankB,$O1999),""))</f>
        <v/>
      </c>
      <c r="E1999" s="18">
        <f>IF($N1999&lt;&gt;"",IF(INDEX(PCCitrus,$N1999)="","—",INDEX(PCCitrus,$N1999)),"")</f>
        <v/>
      </c>
      <c r="F1999" s="19">
        <f>IF($N1999&lt;&gt;"",IF(INDEX(PCScale,$N1999)=0,"",INDEX(PCScale,$N1999)),"")</f>
        <v/>
      </c>
      <c r="G1999" s="19">
        <f>IF($N1999&lt;&gt;"",IF(INDEX(PCBaskets,$N1999)=0,"",INDEX(PCBaskets,$N1999)),"")</f>
        <v/>
      </c>
      <c r="H1999" s="20">
        <f>IF($N1999&lt;&gt;"",IF(INDEX(PCNet,$N1999)=0,"",INDEX(PCNet,$N1999)),"")</f>
        <v/>
      </c>
      <c r="I1999" s="19">
        <f>IF($N1999&lt;&gt;"",IF(INDEX(PCOp,$N1999)="مرجوعی خرید","",IF(INDEX(PCAmount,$N1999)&lt;=0,"",INDEX(PCAmount,$N1999))),IF($O1999&lt;&gt;"",IF(INDEX(TxnDepB,$O1999)=0,"",INDEX(TxnDepB,$O1999)),""))</f>
        <v/>
      </c>
      <c r="J1999" s="19">
        <f>IF($N1999&lt;&gt;"",IF(INDEX(PCOp,$N1999)="مرجوعی خرید",IF(INDEX(PCAmount,$N1999)=0,"",-INDEX(PCAmount,$N1999)),""),IF($O1999&lt;&gt;"",IF(INDEX(TxnWitB,$O1999)=0,"",INDEX(TxnWitB,$O1999)),""))</f>
        <v/>
      </c>
      <c r="K1999" s="21">
        <f>IF($B1999="","",IF($K1998="",$C$10,$K1998)+IF($I1999="",0,$I1999)-IF($J1999="",0,$J1999))</f>
        <v/>
      </c>
      <c r="L1999" s="22">
        <f>IF($N1999&lt;&gt;"",IF(INDEX(PCNotes,$N1999)="","—",INDEX(PCNotes,$N1999)),IF($O1999&lt;&gt;"",IF(INDEX(LdgNoteB,$O1999)="","—",INDEX(LdgNoteB,$O1999)),""))</f>
        <v/>
      </c>
      <c r="N1999">
        <f>IFERROR(MATCH($C$5&amp;"|"&amp;RIGHT("000000"&amp;1983,6),LdgRankKeyA,0),"")</f>
        <v/>
      </c>
      <c r="O1999">
        <f>IFERROR(MATCH($C$5&amp;"|"&amp;RIGHT("000000"&amp;1983,6),LdgRankKeyB,0),"")</f>
        <v/>
      </c>
    </row>
    <row r="2000">
      <c r="A2000" s="23" t="n">
        <v>1984</v>
      </c>
      <c r="B2000" s="24">
        <f>IF(AND($N2000="",$O2000=""),"",IF($N2000&lt;&gt;"",INDEX(PCNormDate,$N2000),INDEX(LdgDateB,$O2000)))</f>
        <v/>
      </c>
      <c r="C2000" s="24">
        <f>IF($N2000&lt;&gt;"",INDEX(PCOp,$N2000),IF($O2000&lt;&gt;"",IF(N(INDEX(TxnDepB,$O2000))&gt;0,"دریافت بانکی","پرداخت بانکی"),""))</f>
        <v/>
      </c>
      <c r="D2000" s="24">
        <f>IF($N2000&lt;&gt;"",IF(INDEX(PCDoc,$N2000)="","—",INDEX(PCDoc,$N2000)),IF($O2000&lt;&gt;"",INDEX(LdgBankB,$O2000),""))</f>
        <v/>
      </c>
      <c r="E2000" s="24">
        <f>IF($N2000&lt;&gt;"",IF(INDEX(PCCitrus,$N2000)="","—",INDEX(PCCitrus,$N2000)),"")</f>
        <v/>
      </c>
      <c r="F2000" s="25">
        <f>IF($N2000&lt;&gt;"",IF(INDEX(PCScale,$N2000)=0,"",INDEX(PCScale,$N2000)),"")</f>
        <v/>
      </c>
      <c r="G2000" s="25">
        <f>IF($N2000&lt;&gt;"",IF(INDEX(PCBaskets,$N2000)=0,"",INDEX(PCBaskets,$N2000)),"")</f>
        <v/>
      </c>
      <c r="H2000" s="26">
        <f>IF($N2000&lt;&gt;"",IF(INDEX(PCNet,$N2000)=0,"",INDEX(PCNet,$N2000)),"")</f>
        <v/>
      </c>
      <c r="I2000" s="25">
        <f>IF($N2000&lt;&gt;"",IF(INDEX(PCOp,$N2000)="مرجوعی خرید","",IF(INDEX(PCAmount,$N2000)&lt;=0,"",INDEX(PCAmount,$N2000))),IF($O2000&lt;&gt;"",IF(INDEX(TxnDepB,$O2000)=0,"",INDEX(TxnDepB,$O2000)),""))</f>
        <v/>
      </c>
      <c r="J2000" s="25">
        <f>IF($N2000&lt;&gt;"",IF(INDEX(PCOp,$N2000)="مرجوعی خرید",IF(INDEX(PCAmount,$N2000)=0,"",-INDEX(PCAmount,$N2000)),""),IF($O2000&lt;&gt;"",IF(INDEX(TxnWitB,$O2000)=0,"",INDEX(TxnWitB,$O2000)),""))</f>
        <v/>
      </c>
      <c r="K2000" s="27">
        <f>IF($B2000="","",IF($K1999="",$C$10,$K1999)+IF($I2000="",0,$I2000)-IF($J2000="",0,$J2000))</f>
        <v/>
      </c>
      <c r="L2000" s="28">
        <f>IF($N2000&lt;&gt;"",IF(INDEX(PCNotes,$N2000)="","—",INDEX(PCNotes,$N2000)),IF($O2000&lt;&gt;"",IF(INDEX(LdgNoteB,$O2000)="","—",INDEX(LdgNoteB,$O2000)),""))</f>
        <v/>
      </c>
      <c r="N2000">
        <f>IFERROR(MATCH($C$5&amp;"|"&amp;RIGHT("000000"&amp;1984,6),LdgRankKeyA,0),"")</f>
        <v/>
      </c>
      <c r="O2000">
        <f>IFERROR(MATCH($C$5&amp;"|"&amp;RIGHT("000000"&amp;1984,6),LdgRankKeyB,0),"")</f>
        <v/>
      </c>
    </row>
    <row r="2001">
      <c r="A2001" s="17" t="n">
        <v>1985</v>
      </c>
      <c r="B2001" s="18">
        <f>IF(AND($N2001="",$O2001=""),"",IF($N2001&lt;&gt;"",INDEX(PCNormDate,$N2001),INDEX(LdgDateB,$O2001)))</f>
        <v/>
      </c>
      <c r="C2001" s="18">
        <f>IF($N2001&lt;&gt;"",INDEX(PCOp,$N2001),IF($O2001&lt;&gt;"",IF(N(INDEX(TxnDepB,$O2001))&gt;0,"دریافت بانکی","پرداخت بانکی"),""))</f>
        <v/>
      </c>
      <c r="D2001" s="18">
        <f>IF($N2001&lt;&gt;"",IF(INDEX(PCDoc,$N2001)="","—",INDEX(PCDoc,$N2001)),IF($O2001&lt;&gt;"",INDEX(LdgBankB,$O2001),""))</f>
        <v/>
      </c>
      <c r="E2001" s="18">
        <f>IF($N2001&lt;&gt;"",IF(INDEX(PCCitrus,$N2001)="","—",INDEX(PCCitrus,$N2001)),"")</f>
        <v/>
      </c>
      <c r="F2001" s="19">
        <f>IF($N2001&lt;&gt;"",IF(INDEX(PCScale,$N2001)=0,"",INDEX(PCScale,$N2001)),"")</f>
        <v/>
      </c>
      <c r="G2001" s="19">
        <f>IF($N2001&lt;&gt;"",IF(INDEX(PCBaskets,$N2001)=0,"",INDEX(PCBaskets,$N2001)),"")</f>
        <v/>
      </c>
      <c r="H2001" s="20">
        <f>IF($N2001&lt;&gt;"",IF(INDEX(PCNet,$N2001)=0,"",INDEX(PCNet,$N2001)),"")</f>
        <v/>
      </c>
      <c r="I2001" s="19">
        <f>IF($N2001&lt;&gt;"",IF(INDEX(PCOp,$N2001)="مرجوعی خرید","",IF(INDEX(PCAmount,$N2001)&lt;=0,"",INDEX(PCAmount,$N2001))),IF($O2001&lt;&gt;"",IF(INDEX(TxnDepB,$O2001)=0,"",INDEX(TxnDepB,$O2001)),""))</f>
        <v/>
      </c>
      <c r="J2001" s="19">
        <f>IF($N2001&lt;&gt;"",IF(INDEX(PCOp,$N2001)="مرجوعی خرید",IF(INDEX(PCAmount,$N2001)=0,"",-INDEX(PCAmount,$N2001)),""),IF($O2001&lt;&gt;"",IF(INDEX(TxnWitB,$O2001)=0,"",INDEX(TxnWitB,$O2001)),""))</f>
        <v/>
      </c>
      <c r="K2001" s="21">
        <f>IF($B2001="","",IF($K2000="",$C$10,$K2000)+IF($I2001="",0,$I2001)-IF($J2001="",0,$J2001))</f>
        <v/>
      </c>
      <c r="L2001" s="22">
        <f>IF($N2001&lt;&gt;"",IF(INDEX(PCNotes,$N2001)="","—",INDEX(PCNotes,$N2001)),IF($O2001&lt;&gt;"",IF(INDEX(LdgNoteB,$O2001)="","—",INDEX(LdgNoteB,$O2001)),""))</f>
        <v/>
      </c>
      <c r="N2001">
        <f>IFERROR(MATCH($C$5&amp;"|"&amp;RIGHT("000000"&amp;1985,6),LdgRankKeyA,0),"")</f>
        <v/>
      </c>
      <c r="O2001">
        <f>IFERROR(MATCH($C$5&amp;"|"&amp;RIGHT("000000"&amp;1985,6),LdgRankKeyB,0),"")</f>
        <v/>
      </c>
    </row>
    <row r="2002">
      <c r="A2002" s="23" t="n">
        <v>1986</v>
      </c>
      <c r="B2002" s="24">
        <f>IF(AND($N2002="",$O2002=""),"",IF($N2002&lt;&gt;"",INDEX(PCNormDate,$N2002),INDEX(LdgDateB,$O2002)))</f>
        <v/>
      </c>
      <c r="C2002" s="24">
        <f>IF($N2002&lt;&gt;"",INDEX(PCOp,$N2002),IF($O2002&lt;&gt;"",IF(N(INDEX(TxnDepB,$O2002))&gt;0,"دریافت بانکی","پرداخت بانکی"),""))</f>
        <v/>
      </c>
      <c r="D2002" s="24">
        <f>IF($N2002&lt;&gt;"",IF(INDEX(PCDoc,$N2002)="","—",INDEX(PCDoc,$N2002)),IF($O2002&lt;&gt;"",INDEX(LdgBankB,$O2002),""))</f>
        <v/>
      </c>
      <c r="E2002" s="24">
        <f>IF($N2002&lt;&gt;"",IF(INDEX(PCCitrus,$N2002)="","—",INDEX(PCCitrus,$N2002)),"")</f>
        <v/>
      </c>
      <c r="F2002" s="25">
        <f>IF($N2002&lt;&gt;"",IF(INDEX(PCScale,$N2002)=0,"",INDEX(PCScale,$N2002)),"")</f>
        <v/>
      </c>
      <c r="G2002" s="25">
        <f>IF($N2002&lt;&gt;"",IF(INDEX(PCBaskets,$N2002)=0,"",INDEX(PCBaskets,$N2002)),"")</f>
        <v/>
      </c>
      <c r="H2002" s="26">
        <f>IF($N2002&lt;&gt;"",IF(INDEX(PCNet,$N2002)=0,"",INDEX(PCNet,$N2002)),"")</f>
        <v/>
      </c>
      <c r="I2002" s="25">
        <f>IF($N2002&lt;&gt;"",IF(INDEX(PCOp,$N2002)="مرجوعی خرید","",IF(INDEX(PCAmount,$N2002)&lt;=0,"",INDEX(PCAmount,$N2002))),IF($O2002&lt;&gt;"",IF(INDEX(TxnDepB,$O2002)=0,"",INDEX(TxnDepB,$O2002)),""))</f>
        <v/>
      </c>
      <c r="J2002" s="25">
        <f>IF($N2002&lt;&gt;"",IF(INDEX(PCOp,$N2002)="مرجوعی خرید",IF(INDEX(PCAmount,$N2002)=0,"",-INDEX(PCAmount,$N2002)),""),IF($O2002&lt;&gt;"",IF(INDEX(TxnWitB,$O2002)=0,"",INDEX(TxnWitB,$O2002)),""))</f>
        <v/>
      </c>
      <c r="K2002" s="27">
        <f>IF($B2002="","",IF($K2001="",$C$10,$K2001)+IF($I2002="",0,$I2002)-IF($J2002="",0,$J2002))</f>
        <v/>
      </c>
      <c r="L2002" s="28">
        <f>IF($N2002&lt;&gt;"",IF(INDEX(PCNotes,$N2002)="","—",INDEX(PCNotes,$N2002)),IF($O2002&lt;&gt;"",IF(INDEX(LdgNoteB,$O2002)="","—",INDEX(LdgNoteB,$O2002)),""))</f>
        <v/>
      </c>
      <c r="N2002">
        <f>IFERROR(MATCH($C$5&amp;"|"&amp;RIGHT("000000"&amp;1986,6),LdgRankKeyA,0),"")</f>
        <v/>
      </c>
      <c r="O2002">
        <f>IFERROR(MATCH($C$5&amp;"|"&amp;RIGHT("000000"&amp;1986,6),LdgRankKeyB,0),"")</f>
        <v/>
      </c>
    </row>
    <row r="2003">
      <c r="A2003" s="17" t="n">
        <v>1987</v>
      </c>
      <c r="B2003" s="18">
        <f>IF(AND($N2003="",$O2003=""),"",IF($N2003&lt;&gt;"",INDEX(PCNormDate,$N2003),INDEX(LdgDateB,$O2003)))</f>
        <v/>
      </c>
      <c r="C2003" s="18">
        <f>IF($N2003&lt;&gt;"",INDEX(PCOp,$N2003),IF($O2003&lt;&gt;"",IF(N(INDEX(TxnDepB,$O2003))&gt;0,"دریافت بانکی","پرداخت بانکی"),""))</f>
        <v/>
      </c>
      <c r="D2003" s="18">
        <f>IF($N2003&lt;&gt;"",IF(INDEX(PCDoc,$N2003)="","—",INDEX(PCDoc,$N2003)),IF($O2003&lt;&gt;"",INDEX(LdgBankB,$O2003),""))</f>
        <v/>
      </c>
      <c r="E2003" s="18">
        <f>IF($N2003&lt;&gt;"",IF(INDEX(PCCitrus,$N2003)="","—",INDEX(PCCitrus,$N2003)),"")</f>
        <v/>
      </c>
      <c r="F2003" s="19">
        <f>IF($N2003&lt;&gt;"",IF(INDEX(PCScale,$N2003)=0,"",INDEX(PCScale,$N2003)),"")</f>
        <v/>
      </c>
      <c r="G2003" s="19">
        <f>IF($N2003&lt;&gt;"",IF(INDEX(PCBaskets,$N2003)=0,"",INDEX(PCBaskets,$N2003)),"")</f>
        <v/>
      </c>
      <c r="H2003" s="20">
        <f>IF($N2003&lt;&gt;"",IF(INDEX(PCNet,$N2003)=0,"",INDEX(PCNet,$N2003)),"")</f>
        <v/>
      </c>
      <c r="I2003" s="19">
        <f>IF($N2003&lt;&gt;"",IF(INDEX(PCOp,$N2003)="مرجوعی خرید","",IF(INDEX(PCAmount,$N2003)&lt;=0,"",INDEX(PCAmount,$N2003))),IF($O2003&lt;&gt;"",IF(INDEX(TxnDepB,$O2003)=0,"",INDEX(TxnDepB,$O2003)),""))</f>
        <v/>
      </c>
      <c r="J2003" s="19">
        <f>IF($N2003&lt;&gt;"",IF(INDEX(PCOp,$N2003)="مرجوعی خرید",IF(INDEX(PCAmount,$N2003)=0,"",-INDEX(PCAmount,$N2003)),""),IF($O2003&lt;&gt;"",IF(INDEX(TxnWitB,$O2003)=0,"",INDEX(TxnWitB,$O2003)),""))</f>
        <v/>
      </c>
      <c r="K2003" s="21">
        <f>IF($B2003="","",IF($K2002="",$C$10,$K2002)+IF($I2003="",0,$I2003)-IF($J2003="",0,$J2003))</f>
        <v/>
      </c>
      <c r="L2003" s="22">
        <f>IF($N2003&lt;&gt;"",IF(INDEX(PCNotes,$N2003)="","—",INDEX(PCNotes,$N2003)),IF($O2003&lt;&gt;"",IF(INDEX(LdgNoteB,$O2003)="","—",INDEX(LdgNoteB,$O2003)),""))</f>
        <v/>
      </c>
      <c r="N2003">
        <f>IFERROR(MATCH($C$5&amp;"|"&amp;RIGHT("000000"&amp;1987,6),LdgRankKeyA,0),"")</f>
        <v/>
      </c>
      <c r="O2003">
        <f>IFERROR(MATCH($C$5&amp;"|"&amp;RIGHT("000000"&amp;1987,6),LdgRankKeyB,0),"")</f>
        <v/>
      </c>
    </row>
    <row r="2004">
      <c r="A2004" s="23" t="n">
        <v>1988</v>
      </c>
      <c r="B2004" s="24">
        <f>IF(AND($N2004="",$O2004=""),"",IF($N2004&lt;&gt;"",INDEX(PCNormDate,$N2004),INDEX(LdgDateB,$O2004)))</f>
        <v/>
      </c>
      <c r="C2004" s="24">
        <f>IF($N2004&lt;&gt;"",INDEX(PCOp,$N2004),IF($O2004&lt;&gt;"",IF(N(INDEX(TxnDepB,$O2004))&gt;0,"دریافت بانکی","پرداخت بانکی"),""))</f>
        <v/>
      </c>
      <c r="D2004" s="24">
        <f>IF($N2004&lt;&gt;"",IF(INDEX(PCDoc,$N2004)="","—",INDEX(PCDoc,$N2004)),IF($O2004&lt;&gt;"",INDEX(LdgBankB,$O2004),""))</f>
        <v/>
      </c>
      <c r="E2004" s="24">
        <f>IF($N2004&lt;&gt;"",IF(INDEX(PCCitrus,$N2004)="","—",INDEX(PCCitrus,$N2004)),"")</f>
        <v/>
      </c>
      <c r="F2004" s="25">
        <f>IF($N2004&lt;&gt;"",IF(INDEX(PCScale,$N2004)=0,"",INDEX(PCScale,$N2004)),"")</f>
        <v/>
      </c>
      <c r="G2004" s="25">
        <f>IF($N2004&lt;&gt;"",IF(INDEX(PCBaskets,$N2004)=0,"",INDEX(PCBaskets,$N2004)),"")</f>
        <v/>
      </c>
      <c r="H2004" s="26">
        <f>IF($N2004&lt;&gt;"",IF(INDEX(PCNet,$N2004)=0,"",INDEX(PCNet,$N2004)),"")</f>
        <v/>
      </c>
      <c r="I2004" s="25">
        <f>IF($N2004&lt;&gt;"",IF(INDEX(PCOp,$N2004)="مرجوعی خرید","",IF(INDEX(PCAmount,$N2004)&lt;=0,"",INDEX(PCAmount,$N2004))),IF($O2004&lt;&gt;"",IF(INDEX(TxnDepB,$O2004)=0,"",INDEX(TxnDepB,$O2004)),""))</f>
        <v/>
      </c>
      <c r="J2004" s="25">
        <f>IF($N2004&lt;&gt;"",IF(INDEX(PCOp,$N2004)="مرجوعی خرید",IF(INDEX(PCAmount,$N2004)=0,"",-INDEX(PCAmount,$N2004)),""),IF($O2004&lt;&gt;"",IF(INDEX(TxnWitB,$O2004)=0,"",INDEX(TxnWitB,$O2004)),""))</f>
        <v/>
      </c>
      <c r="K2004" s="27">
        <f>IF($B2004="","",IF($K2003="",$C$10,$K2003)+IF($I2004="",0,$I2004)-IF($J2004="",0,$J2004))</f>
        <v/>
      </c>
      <c r="L2004" s="28">
        <f>IF($N2004&lt;&gt;"",IF(INDEX(PCNotes,$N2004)="","—",INDEX(PCNotes,$N2004)),IF($O2004&lt;&gt;"",IF(INDEX(LdgNoteB,$O2004)="","—",INDEX(LdgNoteB,$O2004)),""))</f>
        <v/>
      </c>
      <c r="N2004">
        <f>IFERROR(MATCH($C$5&amp;"|"&amp;RIGHT("000000"&amp;1988,6),LdgRankKeyA,0),"")</f>
        <v/>
      </c>
      <c r="O2004">
        <f>IFERROR(MATCH($C$5&amp;"|"&amp;RIGHT("000000"&amp;1988,6),LdgRankKeyB,0),"")</f>
        <v/>
      </c>
    </row>
    <row r="2005">
      <c r="A2005" s="17" t="n">
        <v>1989</v>
      </c>
      <c r="B2005" s="18">
        <f>IF(AND($N2005="",$O2005=""),"",IF($N2005&lt;&gt;"",INDEX(PCNormDate,$N2005),INDEX(LdgDateB,$O2005)))</f>
        <v/>
      </c>
      <c r="C2005" s="18">
        <f>IF($N2005&lt;&gt;"",INDEX(PCOp,$N2005),IF($O2005&lt;&gt;"",IF(N(INDEX(TxnDepB,$O2005))&gt;0,"دریافت بانکی","پرداخت بانکی"),""))</f>
        <v/>
      </c>
      <c r="D2005" s="18">
        <f>IF($N2005&lt;&gt;"",IF(INDEX(PCDoc,$N2005)="","—",INDEX(PCDoc,$N2005)),IF($O2005&lt;&gt;"",INDEX(LdgBankB,$O2005),""))</f>
        <v/>
      </c>
      <c r="E2005" s="18">
        <f>IF($N2005&lt;&gt;"",IF(INDEX(PCCitrus,$N2005)="","—",INDEX(PCCitrus,$N2005)),"")</f>
        <v/>
      </c>
      <c r="F2005" s="19">
        <f>IF($N2005&lt;&gt;"",IF(INDEX(PCScale,$N2005)=0,"",INDEX(PCScale,$N2005)),"")</f>
        <v/>
      </c>
      <c r="G2005" s="19">
        <f>IF($N2005&lt;&gt;"",IF(INDEX(PCBaskets,$N2005)=0,"",INDEX(PCBaskets,$N2005)),"")</f>
        <v/>
      </c>
      <c r="H2005" s="20">
        <f>IF($N2005&lt;&gt;"",IF(INDEX(PCNet,$N2005)=0,"",INDEX(PCNet,$N2005)),"")</f>
        <v/>
      </c>
      <c r="I2005" s="19">
        <f>IF($N2005&lt;&gt;"",IF(INDEX(PCOp,$N2005)="مرجوعی خرید","",IF(INDEX(PCAmount,$N2005)&lt;=0,"",INDEX(PCAmount,$N2005))),IF($O2005&lt;&gt;"",IF(INDEX(TxnDepB,$O2005)=0,"",INDEX(TxnDepB,$O2005)),""))</f>
        <v/>
      </c>
      <c r="J2005" s="19">
        <f>IF($N2005&lt;&gt;"",IF(INDEX(PCOp,$N2005)="مرجوعی خرید",IF(INDEX(PCAmount,$N2005)=0,"",-INDEX(PCAmount,$N2005)),""),IF($O2005&lt;&gt;"",IF(INDEX(TxnWitB,$O2005)=0,"",INDEX(TxnWitB,$O2005)),""))</f>
        <v/>
      </c>
      <c r="K2005" s="21">
        <f>IF($B2005="","",IF($K2004="",$C$10,$K2004)+IF($I2005="",0,$I2005)-IF($J2005="",0,$J2005))</f>
        <v/>
      </c>
      <c r="L2005" s="22">
        <f>IF($N2005&lt;&gt;"",IF(INDEX(PCNotes,$N2005)="","—",INDEX(PCNotes,$N2005)),IF($O2005&lt;&gt;"",IF(INDEX(LdgNoteB,$O2005)="","—",INDEX(LdgNoteB,$O2005)),""))</f>
        <v/>
      </c>
      <c r="N2005">
        <f>IFERROR(MATCH($C$5&amp;"|"&amp;RIGHT("000000"&amp;1989,6),LdgRankKeyA,0),"")</f>
        <v/>
      </c>
      <c r="O2005">
        <f>IFERROR(MATCH($C$5&amp;"|"&amp;RIGHT("000000"&amp;1989,6),LdgRankKeyB,0),"")</f>
        <v/>
      </c>
    </row>
    <row r="2006">
      <c r="A2006" s="23" t="n">
        <v>1990</v>
      </c>
      <c r="B2006" s="24">
        <f>IF(AND($N2006="",$O2006=""),"",IF($N2006&lt;&gt;"",INDEX(PCNormDate,$N2006),INDEX(LdgDateB,$O2006)))</f>
        <v/>
      </c>
      <c r="C2006" s="24">
        <f>IF($N2006&lt;&gt;"",INDEX(PCOp,$N2006),IF($O2006&lt;&gt;"",IF(N(INDEX(TxnDepB,$O2006))&gt;0,"دریافت بانکی","پرداخت بانکی"),""))</f>
        <v/>
      </c>
      <c r="D2006" s="24">
        <f>IF($N2006&lt;&gt;"",IF(INDEX(PCDoc,$N2006)="","—",INDEX(PCDoc,$N2006)),IF($O2006&lt;&gt;"",INDEX(LdgBankB,$O2006),""))</f>
        <v/>
      </c>
      <c r="E2006" s="24">
        <f>IF($N2006&lt;&gt;"",IF(INDEX(PCCitrus,$N2006)="","—",INDEX(PCCitrus,$N2006)),"")</f>
        <v/>
      </c>
      <c r="F2006" s="25">
        <f>IF($N2006&lt;&gt;"",IF(INDEX(PCScale,$N2006)=0,"",INDEX(PCScale,$N2006)),"")</f>
        <v/>
      </c>
      <c r="G2006" s="25">
        <f>IF($N2006&lt;&gt;"",IF(INDEX(PCBaskets,$N2006)=0,"",INDEX(PCBaskets,$N2006)),"")</f>
        <v/>
      </c>
      <c r="H2006" s="26">
        <f>IF($N2006&lt;&gt;"",IF(INDEX(PCNet,$N2006)=0,"",INDEX(PCNet,$N2006)),"")</f>
        <v/>
      </c>
      <c r="I2006" s="25">
        <f>IF($N2006&lt;&gt;"",IF(INDEX(PCOp,$N2006)="مرجوعی خرید","",IF(INDEX(PCAmount,$N2006)&lt;=0,"",INDEX(PCAmount,$N2006))),IF($O2006&lt;&gt;"",IF(INDEX(TxnDepB,$O2006)=0,"",INDEX(TxnDepB,$O2006)),""))</f>
        <v/>
      </c>
      <c r="J2006" s="25">
        <f>IF($N2006&lt;&gt;"",IF(INDEX(PCOp,$N2006)="مرجوعی خرید",IF(INDEX(PCAmount,$N2006)=0,"",-INDEX(PCAmount,$N2006)),""),IF($O2006&lt;&gt;"",IF(INDEX(TxnWitB,$O2006)=0,"",INDEX(TxnWitB,$O2006)),""))</f>
        <v/>
      </c>
      <c r="K2006" s="27">
        <f>IF($B2006="","",IF($K2005="",$C$10,$K2005)+IF($I2006="",0,$I2006)-IF($J2006="",0,$J2006))</f>
        <v/>
      </c>
      <c r="L2006" s="28">
        <f>IF($N2006&lt;&gt;"",IF(INDEX(PCNotes,$N2006)="","—",INDEX(PCNotes,$N2006)),IF($O2006&lt;&gt;"",IF(INDEX(LdgNoteB,$O2006)="","—",INDEX(LdgNoteB,$O2006)),""))</f>
        <v/>
      </c>
      <c r="N2006">
        <f>IFERROR(MATCH($C$5&amp;"|"&amp;RIGHT("000000"&amp;1990,6),LdgRankKeyA,0),"")</f>
        <v/>
      </c>
      <c r="O2006">
        <f>IFERROR(MATCH($C$5&amp;"|"&amp;RIGHT("000000"&amp;1990,6),LdgRankKeyB,0),"")</f>
        <v/>
      </c>
    </row>
    <row r="2007">
      <c r="A2007" s="17" t="n">
        <v>1991</v>
      </c>
      <c r="B2007" s="18">
        <f>IF(AND($N2007="",$O2007=""),"",IF($N2007&lt;&gt;"",INDEX(PCNormDate,$N2007),INDEX(LdgDateB,$O2007)))</f>
        <v/>
      </c>
      <c r="C2007" s="18">
        <f>IF($N2007&lt;&gt;"",INDEX(PCOp,$N2007),IF($O2007&lt;&gt;"",IF(N(INDEX(TxnDepB,$O2007))&gt;0,"دریافت بانکی","پرداخت بانکی"),""))</f>
        <v/>
      </c>
      <c r="D2007" s="18">
        <f>IF($N2007&lt;&gt;"",IF(INDEX(PCDoc,$N2007)="","—",INDEX(PCDoc,$N2007)),IF($O2007&lt;&gt;"",INDEX(LdgBankB,$O2007),""))</f>
        <v/>
      </c>
      <c r="E2007" s="18">
        <f>IF($N2007&lt;&gt;"",IF(INDEX(PCCitrus,$N2007)="","—",INDEX(PCCitrus,$N2007)),"")</f>
        <v/>
      </c>
      <c r="F2007" s="19">
        <f>IF($N2007&lt;&gt;"",IF(INDEX(PCScale,$N2007)=0,"",INDEX(PCScale,$N2007)),"")</f>
        <v/>
      </c>
      <c r="G2007" s="19">
        <f>IF($N2007&lt;&gt;"",IF(INDEX(PCBaskets,$N2007)=0,"",INDEX(PCBaskets,$N2007)),"")</f>
        <v/>
      </c>
      <c r="H2007" s="20">
        <f>IF($N2007&lt;&gt;"",IF(INDEX(PCNet,$N2007)=0,"",INDEX(PCNet,$N2007)),"")</f>
        <v/>
      </c>
      <c r="I2007" s="19">
        <f>IF($N2007&lt;&gt;"",IF(INDEX(PCOp,$N2007)="مرجوعی خرید","",IF(INDEX(PCAmount,$N2007)&lt;=0,"",INDEX(PCAmount,$N2007))),IF($O2007&lt;&gt;"",IF(INDEX(TxnDepB,$O2007)=0,"",INDEX(TxnDepB,$O2007)),""))</f>
        <v/>
      </c>
      <c r="J2007" s="19">
        <f>IF($N2007&lt;&gt;"",IF(INDEX(PCOp,$N2007)="مرجوعی خرید",IF(INDEX(PCAmount,$N2007)=0,"",-INDEX(PCAmount,$N2007)),""),IF($O2007&lt;&gt;"",IF(INDEX(TxnWitB,$O2007)=0,"",INDEX(TxnWitB,$O2007)),""))</f>
        <v/>
      </c>
      <c r="K2007" s="21">
        <f>IF($B2007="","",IF($K2006="",$C$10,$K2006)+IF($I2007="",0,$I2007)-IF($J2007="",0,$J2007))</f>
        <v/>
      </c>
      <c r="L2007" s="22">
        <f>IF($N2007&lt;&gt;"",IF(INDEX(PCNotes,$N2007)="","—",INDEX(PCNotes,$N2007)),IF($O2007&lt;&gt;"",IF(INDEX(LdgNoteB,$O2007)="","—",INDEX(LdgNoteB,$O2007)),""))</f>
        <v/>
      </c>
      <c r="N2007">
        <f>IFERROR(MATCH($C$5&amp;"|"&amp;RIGHT("000000"&amp;1991,6),LdgRankKeyA,0),"")</f>
        <v/>
      </c>
      <c r="O2007">
        <f>IFERROR(MATCH($C$5&amp;"|"&amp;RIGHT("000000"&amp;1991,6),LdgRankKeyB,0),"")</f>
        <v/>
      </c>
    </row>
    <row r="2008">
      <c r="A2008" s="23" t="n">
        <v>1992</v>
      </c>
      <c r="B2008" s="24">
        <f>IF(AND($N2008="",$O2008=""),"",IF($N2008&lt;&gt;"",INDEX(PCNormDate,$N2008),INDEX(LdgDateB,$O2008)))</f>
        <v/>
      </c>
      <c r="C2008" s="24">
        <f>IF($N2008&lt;&gt;"",INDEX(PCOp,$N2008),IF($O2008&lt;&gt;"",IF(N(INDEX(TxnDepB,$O2008))&gt;0,"دریافت بانکی","پرداخت بانکی"),""))</f>
        <v/>
      </c>
      <c r="D2008" s="24">
        <f>IF($N2008&lt;&gt;"",IF(INDEX(PCDoc,$N2008)="","—",INDEX(PCDoc,$N2008)),IF($O2008&lt;&gt;"",INDEX(LdgBankB,$O2008),""))</f>
        <v/>
      </c>
      <c r="E2008" s="24">
        <f>IF($N2008&lt;&gt;"",IF(INDEX(PCCitrus,$N2008)="","—",INDEX(PCCitrus,$N2008)),"")</f>
        <v/>
      </c>
      <c r="F2008" s="25">
        <f>IF($N2008&lt;&gt;"",IF(INDEX(PCScale,$N2008)=0,"",INDEX(PCScale,$N2008)),"")</f>
        <v/>
      </c>
      <c r="G2008" s="25">
        <f>IF($N2008&lt;&gt;"",IF(INDEX(PCBaskets,$N2008)=0,"",INDEX(PCBaskets,$N2008)),"")</f>
        <v/>
      </c>
      <c r="H2008" s="26">
        <f>IF($N2008&lt;&gt;"",IF(INDEX(PCNet,$N2008)=0,"",INDEX(PCNet,$N2008)),"")</f>
        <v/>
      </c>
      <c r="I2008" s="25">
        <f>IF($N2008&lt;&gt;"",IF(INDEX(PCOp,$N2008)="مرجوعی خرید","",IF(INDEX(PCAmount,$N2008)&lt;=0,"",INDEX(PCAmount,$N2008))),IF($O2008&lt;&gt;"",IF(INDEX(TxnDepB,$O2008)=0,"",INDEX(TxnDepB,$O2008)),""))</f>
        <v/>
      </c>
      <c r="J2008" s="25">
        <f>IF($N2008&lt;&gt;"",IF(INDEX(PCOp,$N2008)="مرجوعی خرید",IF(INDEX(PCAmount,$N2008)=0,"",-INDEX(PCAmount,$N2008)),""),IF($O2008&lt;&gt;"",IF(INDEX(TxnWitB,$O2008)=0,"",INDEX(TxnWitB,$O2008)),""))</f>
        <v/>
      </c>
      <c r="K2008" s="27">
        <f>IF($B2008="","",IF($K2007="",$C$10,$K2007)+IF($I2008="",0,$I2008)-IF($J2008="",0,$J2008))</f>
        <v/>
      </c>
      <c r="L2008" s="28">
        <f>IF($N2008&lt;&gt;"",IF(INDEX(PCNotes,$N2008)="","—",INDEX(PCNotes,$N2008)),IF($O2008&lt;&gt;"",IF(INDEX(LdgNoteB,$O2008)="","—",INDEX(LdgNoteB,$O2008)),""))</f>
        <v/>
      </c>
      <c r="N2008">
        <f>IFERROR(MATCH($C$5&amp;"|"&amp;RIGHT("000000"&amp;1992,6),LdgRankKeyA,0),"")</f>
        <v/>
      </c>
      <c r="O2008">
        <f>IFERROR(MATCH($C$5&amp;"|"&amp;RIGHT("000000"&amp;1992,6),LdgRankKeyB,0),"")</f>
        <v/>
      </c>
    </row>
    <row r="2009">
      <c r="A2009" s="17" t="n">
        <v>1993</v>
      </c>
      <c r="B2009" s="18">
        <f>IF(AND($N2009="",$O2009=""),"",IF($N2009&lt;&gt;"",INDEX(PCNormDate,$N2009),INDEX(LdgDateB,$O2009)))</f>
        <v/>
      </c>
      <c r="C2009" s="18">
        <f>IF($N2009&lt;&gt;"",INDEX(PCOp,$N2009),IF($O2009&lt;&gt;"",IF(N(INDEX(TxnDepB,$O2009))&gt;0,"دریافت بانکی","پرداخت بانکی"),""))</f>
        <v/>
      </c>
      <c r="D2009" s="18">
        <f>IF($N2009&lt;&gt;"",IF(INDEX(PCDoc,$N2009)="","—",INDEX(PCDoc,$N2009)),IF($O2009&lt;&gt;"",INDEX(LdgBankB,$O2009),""))</f>
        <v/>
      </c>
      <c r="E2009" s="18">
        <f>IF($N2009&lt;&gt;"",IF(INDEX(PCCitrus,$N2009)="","—",INDEX(PCCitrus,$N2009)),"")</f>
        <v/>
      </c>
      <c r="F2009" s="19">
        <f>IF($N2009&lt;&gt;"",IF(INDEX(PCScale,$N2009)=0,"",INDEX(PCScale,$N2009)),"")</f>
        <v/>
      </c>
      <c r="G2009" s="19">
        <f>IF($N2009&lt;&gt;"",IF(INDEX(PCBaskets,$N2009)=0,"",INDEX(PCBaskets,$N2009)),"")</f>
        <v/>
      </c>
      <c r="H2009" s="20">
        <f>IF($N2009&lt;&gt;"",IF(INDEX(PCNet,$N2009)=0,"",INDEX(PCNet,$N2009)),"")</f>
        <v/>
      </c>
      <c r="I2009" s="19">
        <f>IF($N2009&lt;&gt;"",IF(INDEX(PCOp,$N2009)="مرجوعی خرید","",IF(INDEX(PCAmount,$N2009)&lt;=0,"",INDEX(PCAmount,$N2009))),IF($O2009&lt;&gt;"",IF(INDEX(TxnDepB,$O2009)=0,"",INDEX(TxnDepB,$O2009)),""))</f>
        <v/>
      </c>
      <c r="J2009" s="19">
        <f>IF($N2009&lt;&gt;"",IF(INDEX(PCOp,$N2009)="مرجوعی خرید",IF(INDEX(PCAmount,$N2009)=0,"",-INDEX(PCAmount,$N2009)),""),IF($O2009&lt;&gt;"",IF(INDEX(TxnWitB,$O2009)=0,"",INDEX(TxnWitB,$O2009)),""))</f>
        <v/>
      </c>
      <c r="K2009" s="21">
        <f>IF($B2009="","",IF($K2008="",$C$10,$K2008)+IF($I2009="",0,$I2009)-IF($J2009="",0,$J2009))</f>
        <v/>
      </c>
      <c r="L2009" s="22">
        <f>IF($N2009&lt;&gt;"",IF(INDEX(PCNotes,$N2009)="","—",INDEX(PCNotes,$N2009)),IF($O2009&lt;&gt;"",IF(INDEX(LdgNoteB,$O2009)="","—",INDEX(LdgNoteB,$O2009)),""))</f>
        <v/>
      </c>
      <c r="N2009">
        <f>IFERROR(MATCH($C$5&amp;"|"&amp;RIGHT("000000"&amp;1993,6),LdgRankKeyA,0),"")</f>
        <v/>
      </c>
      <c r="O2009">
        <f>IFERROR(MATCH($C$5&amp;"|"&amp;RIGHT("000000"&amp;1993,6),LdgRankKeyB,0),"")</f>
        <v/>
      </c>
    </row>
    <row r="2010">
      <c r="A2010" s="23" t="n">
        <v>1994</v>
      </c>
      <c r="B2010" s="24">
        <f>IF(AND($N2010="",$O2010=""),"",IF($N2010&lt;&gt;"",INDEX(PCNormDate,$N2010),INDEX(LdgDateB,$O2010)))</f>
        <v/>
      </c>
      <c r="C2010" s="24">
        <f>IF($N2010&lt;&gt;"",INDEX(PCOp,$N2010),IF($O2010&lt;&gt;"",IF(N(INDEX(TxnDepB,$O2010))&gt;0,"دریافت بانکی","پرداخت بانکی"),""))</f>
        <v/>
      </c>
      <c r="D2010" s="24">
        <f>IF($N2010&lt;&gt;"",IF(INDEX(PCDoc,$N2010)="","—",INDEX(PCDoc,$N2010)),IF($O2010&lt;&gt;"",INDEX(LdgBankB,$O2010),""))</f>
        <v/>
      </c>
      <c r="E2010" s="24">
        <f>IF($N2010&lt;&gt;"",IF(INDEX(PCCitrus,$N2010)="","—",INDEX(PCCitrus,$N2010)),"")</f>
        <v/>
      </c>
      <c r="F2010" s="25">
        <f>IF($N2010&lt;&gt;"",IF(INDEX(PCScale,$N2010)=0,"",INDEX(PCScale,$N2010)),"")</f>
        <v/>
      </c>
      <c r="G2010" s="25">
        <f>IF($N2010&lt;&gt;"",IF(INDEX(PCBaskets,$N2010)=0,"",INDEX(PCBaskets,$N2010)),"")</f>
        <v/>
      </c>
      <c r="H2010" s="26">
        <f>IF($N2010&lt;&gt;"",IF(INDEX(PCNet,$N2010)=0,"",INDEX(PCNet,$N2010)),"")</f>
        <v/>
      </c>
      <c r="I2010" s="25">
        <f>IF($N2010&lt;&gt;"",IF(INDEX(PCOp,$N2010)="مرجوعی خرید","",IF(INDEX(PCAmount,$N2010)&lt;=0,"",INDEX(PCAmount,$N2010))),IF($O2010&lt;&gt;"",IF(INDEX(TxnDepB,$O2010)=0,"",INDEX(TxnDepB,$O2010)),""))</f>
        <v/>
      </c>
      <c r="J2010" s="25">
        <f>IF($N2010&lt;&gt;"",IF(INDEX(PCOp,$N2010)="مرجوعی خرید",IF(INDEX(PCAmount,$N2010)=0,"",-INDEX(PCAmount,$N2010)),""),IF($O2010&lt;&gt;"",IF(INDEX(TxnWitB,$O2010)=0,"",INDEX(TxnWitB,$O2010)),""))</f>
        <v/>
      </c>
      <c r="K2010" s="27">
        <f>IF($B2010="","",IF($K2009="",$C$10,$K2009)+IF($I2010="",0,$I2010)-IF($J2010="",0,$J2010))</f>
        <v/>
      </c>
      <c r="L2010" s="28">
        <f>IF($N2010&lt;&gt;"",IF(INDEX(PCNotes,$N2010)="","—",INDEX(PCNotes,$N2010)),IF($O2010&lt;&gt;"",IF(INDEX(LdgNoteB,$O2010)="","—",INDEX(LdgNoteB,$O2010)),""))</f>
        <v/>
      </c>
      <c r="N2010">
        <f>IFERROR(MATCH($C$5&amp;"|"&amp;RIGHT("000000"&amp;1994,6),LdgRankKeyA,0),"")</f>
        <v/>
      </c>
      <c r="O2010">
        <f>IFERROR(MATCH($C$5&amp;"|"&amp;RIGHT("000000"&amp;1994,6),LdgRankKeyB,0),"")</f>
        <v/>
      </c>
    </row>
    <row r="2011">
      <c r="A2011" s="17" t="n">
        <v>1995</v>
      </c>
      <c r="B2011" s="18">
        <f>IF(AND($N2011="",$O2011=""),"",IF($N2011&lt;&gt;"",INDEX(PCNormDate,$N2011),INDEX(LdgDateB,$O2011)))</f>
        <v/>
      </c>
      <c r="C2011" s="18">
        <f>IF($N2011&lt;&gt;"",INDEX(PCOp,$N2011),IF($O2011&lt;&gt;"",IF(N(INDEX(TxnDepB,$O2011))&gt;0,"دریافت بانکی","پرداخت بانکی"),""))</f>
        <v/>
      </c>
      <c r="D2011" s="18">
        <f>IF($N2011&lt;&gt;"",IF(INDEX(PCDoc,$N2011)="","—",INDEX(PCDoc,$N2011)),IF($O2011&lt;&gt;"",INDEX(LdgBankB,$O2011),""))</f>
        <v/>
      </c>
      <c r="E2011" s="18">
        <f>IF($N2011&lt;&gt;"",IF(INDEX(PCCitrus,$N2011)="","—",INDEX(PCCitrus,$N2011)),"")</f>
        <v/>
      </c>
      <c r="F2011" s="19">
        <f>IF($N2011&lt;&gt;"",IF(INDEX(PCScale,$N2011)=0,"",INDEX(PCScale,$N2011)),"")</f>
        <v/>
      </c>
      <c r="G2011" s="19">
        <f>IF($N2011&lt;&gt;"",IF(INDEX(PCBaskets,$N2011)=0,"",INDEX(PCBaskets,$N2011)),"")</f>
        <v/>
      </c>
      <c r="H2011" s="20">
        <f>IF($N2011&lt;&gt;"",IF(INDEX(PCNet,$N2011)=0,"",INDEX(PCNet,$N2011)),"")</f>
        <v/>
      </c>
      <c r="I2011" s="19">
        <f>IF($N2011&lt;&gt;"",IF(INDEX(PCOp,$N2011)="مرجوعی خرید","",IF(INDEX(PCAmount,$N2011)&lt;=0,"",INDEX(PCAmount,$N2011))),IF($O2011&lt;&gt;"",IF(INDEX(TxnDepB,$O2011)=0,"",INDEX(TxnDepB,$O2011)),""))</f>
        <v/>
      </c>
      <c r="J2011" s="19">
        <f>IF($N2011&lt;&gt;"",IF(INDEX(PCOp,$N2011)="مرجوعی خرید",IF(INDEX(PCAmount,$N2011)=0,"",-INDEX(PCAmount,$N2011)),""),IF($O2011&lt;&gt;"",IF(INDEX(TxnWitB,$O2011)=0,"",INDEX(TxnWitB,$O2011)),""))</f>
        <v/>
      </c>
      <c r="K2011" s="21">
        <f>IF($B2011="","",IF($K2010="",$C$10,$K2010)+IF($I2011="",0,$I2011)-IF($J2011="",0,$J2011))</f>
        <v/>
      </c>
      <c r="L2011" s="22">
        <f>IF($N2011&lt;&gt;"",IF(INDEX(PCNotes,$N2011)="","—",INDEX(PCNotes,$N2011)),IF($O2011&lt;&gt;"",IF(INDEX(LdgNoteB,$O2011)="","—",INDEX(LdgNoteB,$O2011)),""))</f>
        <v/>
      </c>
      <c r="N2011">
        <f>IFERROR(MATCH($C$5&amp;"|"&amp;RIGHT("000000"&amp;1995,6),LdgRankKeyA,0),"")</f>
        <v/>
      </c>
      <c r="O2011">
        <f>IFERROR(MATCH($C$5&amp;"|"&amp;RIGHT("000000"&amp;1995,6),LdgRankKeyB,0),"")</f>
        <v/>
      </c>
    </row>
    <row r="2012">
      <c r="A2012" s="23" t="n">
        <v>1996</v>
      </c>
      <c r="B2012" s="24">
        <f>IF(AND($N2012="",$O2012=""),"",IF($N2012&lt;&gt;"",INDEX(PCNormDate,$N2012),INDEX(LdgDateB,$O2012)))</f>
        <v/>
      </c>
      <c r="C2012" s="24">
        <f>IF($N2012&lt;&gt;"",INDEX(PCOp,$N2012),IF($O2012&lt;&gt;"",IF(N(INDEX(TxnDepB,$O2012))&gt;0,"دریافت بانکی","پرداخت بانکی"),""))</f>
        <v/>
      </c>
      <c r="D2012" s="24">
        <f>IF($N2012&lt;&gt;"",IF(INDEX(PCDoc,$N2012)="","—",INDEX(PCDoc,$N2012)),IF($O2012&lt;&gt;"",INDEX(LdgBankB,$O2012),""))</f>
        <v/>
      </c>
      <c r="E2012" s="24">
        <f>IF($N2012&lt;&gt;"",IF(INDEX(PCCitrus,$N2012)="","—",INDEX(PCCitrus,$N2012)),"")</f>
        <v/>
      </c>
      <c r="F2012" s="25">
        <f>IF($N2012&lt;&gt;"",IF(INDEX(PCScale,$N2012)=0,"",INDEX(PCScale,$N2012)),"")</f>
        <v/>
      </c>
      <c r="G2012" s="25">
        <f>IF($N2012&lt;&gt;"",IF(INDEX(PCBaskets,$N2012)=0,"",INDEX(PCBaskets,$N2012)),"")</f>
        <v/>
      </c>
      <c r="H2012" s="26">
        <f>IF($N2012&lt;&gt;"",IF(INDEX(PCNet,$N2012)=0,"",INDEX(PCNet,$N2012)),"")</f>
        <v/>
      </c>
      <c r="I2012" s="25">
        <f>IF($N2012&lt;&gt;"",IF(INDEX(PCOp,$N2012)="مرجوعی خرید","",IF(INDEX(PCAmount,$N2012)&lt;=0,"",INDEX(PCAmount,$N2012))),IF($O2012&lt;&gt;"",IF(INDEX(TxnDepB,$O2012)=0,"",INDEX(TxnDepB,$O2012)),""))</f>
        <v/>
      </c>
      <c r="J2012" s="25">
        <f>IF($N2012&lt;&gt;"",IF(INDEX(PCOp,$N2012)="مرجوعی خرید",IF(INDEX(PCAmount,$N2012)=0,"",-INDEX(PCAmount,$N2012)),""),IF($O2012&lt;&gt;"",IF(INDEX(TxnWitB,$O2012)=0,"",INDEX(TxnWitB,$O2012)),""))</f>
        <v/>
      </c>
      <c r="K2012" s="27">
        <f>IF($B2012="","",IF($K2011="",$C$10,$K2011)+IF($I2012="",0,$I2012)-IF($J2012="",0,$J2012))</f>
        <v/>
      </c>
      <c r="L2012" s="28">
        <f>IF($N2012&lt;&gt;"",IF(INDEX(PCNotes,$N2012)="","—",INDEX(PCNotes,$N2012)),IF($O2012&lt;&gt;"",IF(INDEX(LdgNoteB,$O2012)="","—",INDEX(LdgNoteB,$O2012)),""))</f>
        <v/>
      </c>
      <c r="N2012">
        <f>IFERROR(MATCH($C$5&amp;"|"&amp;RIGHT("000000"&amp;1996,6),LdgRankKeyA,0),"")</f>
        <v/>
      </c>
      <c r="O2012">
        <f>IFERROR(MATCH($C$5&amp;"|"&amp;RIGHT("000000"&amp;1996,6),LdgRankKeyB,0),"")</f>
        <v/>
      </c>
    </row>
    <row r="2013">
      <c r="A2013" s="17" t="n">
        <v>1997</v>
      </c>
      <c r="B2013" s="18">
        <f>IF(AND($N2013="",$O2013=""),"",IF($N2013&lt;&gt;"",INDEX(PCNormDate,$N2013),INDEX(LdgDateB,$O2013)))</f>
        <v/>
      </c>
      <c r="C2013" s="18">
        <f>IF($N2013&lt;&gt;"",INDEX(PCOp,$N2013),IF($O2013&lt;&gt;"",IF(N(INDEX(TxnDepB,$O2013))&gt;0,"دریافت بانکی","پرداخت بانکی"),""))</f>
        <v/>
      </c>
      <c r="D2013" s="18">
        <f>IF($N2013&lt;&gt;"",IF(INDEX(PCDoc,$N2013)="","—",INDEX(PCDoc,$N2013)),IF($O2013&lt;&gt;"",INDEX(LdgBankB,$O2013),""))</f>
        <v/>
      </c>
      <c r="E2013" s="18">
        <f>IF($N2013&lt;&gt;"",IF(INDEX(PCCitrus,$N2013)="","—",INDEX(PCCitrus,$N2013)),"")</f>
        <v/>
      </c>
      <c r="F2013" s="19">
        <f>IF($N2013&lt;&gt;"",IF(INDEX(PCScale,$N2013)=0,"",INDEX(PCScale,$N2013)),"")</f>
        <v/>
      </c>
      <c r="G2013" s="19">
        <f>IF($N2013&lt;&gt;"",IF(INDEX(PCBaskets,$N2013)=0,"",INDEX(PCBaskets,$N2013)),"")</f>
        <v/>
      </c>
      <c r="H2013" s="20">
        <f>IF($N2013&lt;&gt;"",IF(INDEX(PCNet,$N2013)=0,"",INDEX(PCNet,$N2013)),"")</f>
        <v/>
      </c>
      <c r="I2013" s="19">
        <f>IF($N2013&lt;&gt;"",IF(INDEX(PCOp,$N2013)="مرجوعی خرید","",IF(INDEX(PCAmount,$N2013)&lt;=0,"",INDEX(PCAmount,$N2013))),IF($O2013&lt;&gt;"",IF(INDEX(TxnDepB,$O2013)=0,"",INDEX(TxnDepB,$O2013)),""))</f>
        <v/>
      </c>
      <c r="J2013" s="19">
        <f>IF($N2013&lt;&gt;"",IF(INDEX(PCOp,$N2013)="مرجوعی خرید",IF(INDEX(PCAmount,$N2013)=0,"",-INDEX(PCAmount,$N2013)),""),IF($O2013&lt;&gt;"",IF(INDEX(TxnWitB,$O2013)=0,"",INDEX(TxnWitB,$O2013)),""))</f>
        <v/>
      </c>
      <c r="K2013" s="21">
        <f>IF($B2013="","",IF($K2012="",$C$10,$K2012)+IF($I2013="",0,$I2013)-IF($J2013="",0,$J2013))</f>
        <v/>
      </c>
      <c r="L2013" s="22">
        <f>IF($N2013&lt;&gt;"",IF(INDEX(PCNotes,$N2013)="","—",INDEX(PCNotes,$N2013)),IF($O2013&lt;&gt;"",IF(INDEX(LdgNoteB,$O2013)="","—",INDEX(LdgNoteB,$O2013)),""))</f>
        <v/>
      </c>
      <c r="N2013">
        <f>IFERROR(MATCH($C$5&amp;"|"&amp;RIGHT("000000"&amp;1997,6),LdgRankKeyA,0),"")</f>
        <v/>
      </c>
      <c r="O2013">
        <f>IFERROR(MATCH($C$5&amp;"|"&amp;RIGHT("000000"&amp;1997,6),LdgRankKeyB,0),"")</f>
        <v/>
      </c>
    </row>
    <row r="2014">
      <c r="A2014" s="23" t="n">
        <v>1998</v>
      </c>
      <c r="B2014" s="24">
        <f>IF(AND($N2014="",$O2014=""),"",IF($N2014&lt;&gt;"",INDEX(PCNormDate,$N2014),INDEX(LdgDateB,$O2014)))</f>
        <v/>
      </c>
      <c r="C2014" s="24">
        <f>IF($N2014&lt;&gt;"",INDEX(PCOp,$N2014),IF($O2014&lt;&gt;"",IF(N(INDEX(TxnDepB,$O2014))&gt;0,"دریافت بانکی","پرداخت بانکی"),""))</f>
        <v/>
      </c>
      <c r="D2014" s="24">
        <f>IF($N2014&lt;&gt;"",IF(INDEX(PCDoc,$N2014)="","—",INDEX(PCDoc,$N2014)),IF($O2014&lt;&gt;"",INDEX(LdgBankB,$O2014),""))</f>
        <v/>
      </c>
      <c r="E2014" s="24">
        <f>IF($N2014&lt;&gt;"",IF(INDEX(PCCitrus,$N2014)="","—",INDEX(PCCitrus,$N2014)),"")</f>
        <v/>
      </c>
      <c r="F2014" s="25">
        <f>IF($N2014&lt;&gt;"",IF(INDEX(PCScale,$N2014)=0,"",INDEX(PCScale,$N2014)),"")</f>
        <v/>
      </c>
      <c r="G2014" s="25">
        <f>IF($N2014&lt;&gt;"",IF(INDEX(PCBaskets,$N2014)=0,"",INDEX(PCBaskets,$N2014)),"")</f>
        <v/>
      </c>
      <c r="H2014" s="26">
        <f>IF($N2014&lt;&gt;"",IF(INDEX(PCNet,$N2014)=0,"",INDEX(PCNet,$N2014)),"")</f>
        <v/>
      </c>
      <c r="I2014" s="25">
        <f>IF($N2014&lt;&gt;"",IF(INDEX(PCOp,$N2014)="مرجوعی خرید","",IF(INDEX(PCAmount,$N2014)&lt;=0,"",INDEX(PCAmount,$N2014))),IF($O2014&lt;&gt;"",IF(INDEX(TxnDepB,$O2014)=0,"",INDEX(TxnDepB,$O2014)),""))</f>
        <v/>
      </c>
      <c r="J2014" s="25">
        <f>IF($N2014&lt;&gt;"",IF(INDEX(PCOp,$N2014)="مرجوعی خرید",IF(INDEX(PCAmount,$N2014)=0,"",-INDEX(PCAmount,$N2014)),""),IF($O2014&lt;&gt;"",IF(INDEX(TxnWitB,$O2014)=0,"",INDEX(TxnWitB,$O2014)),""))</f>
        <v/>
      </c>
      <c r="K2014" s="27">
        <f>IF($B2014="","",IF($K2013="",$C$10,$K2013)+IF($I2014="",0,$I2014)-IF($J2014="",0,$J2014))</f>
        <v/>
      </c>
      <c r="L2014" s="28">
        <f>IF($N2014&lt;&gt;"",IF(INDEX(PCNotes,$N2014)="","—",INDEX(PCNotes,$N2014)),IF($O2014&lt;&gt;"",IF(INDEX(LdgNoteB,$O2014)="","—",INDEX(LdgNoteB,$O2014)),""))</f>
        <v/>
      </c>
      <c r="N2014">
        <f>IFERROR(MATCH($C$5&amp;"|"&amp;RIGHT("000000"&amp;1998,6),LdgRankKeyA,0),"")</f>
        <v/>
      </c>
      <c r="O2014">
        <f>IFERROR(MATCH($C$5&amp;"|"&amp;RIGHT("000000"&amp;1998,6),LdgRankKeyB,0),"")</f>
        <v/>
      </c>
    </row>
    <row r="2015">
      <c r="A2015" s="17" t="n">
        <v>1999</v>
      </c>
      <c r="B2015" s="18">
        <f>IF(AND($N2015="",$O2015=""),"",IF($N2015&lt;&gt;"",INDEX(PCNormDate,$N2015),INDEX(LdgDateB,$O2015)))</f>
        <v/>
      </c>
      <c r="C2015" s="18">
        <f>IF($N2015&lt;&gt;"",INDEX(PCOp,$N2015),IF($O2015&lt;&gt;"",IF(N(INDEX(TxnDepB,$O2015))&gt;0,"دریافت بانکی","پرداخت بانکی"),""))</f>
        <v/>
      </c>
      <c r="D2015" s="18">
        <f>IF($N2015&lt;&gt;"",IF(INDEX(PCDoc,$N2015)="","—",INDEX(PCDoc,$N2015)),IF($O2015&lt;&gt;"",INDEX(LdgBankB,$O2015),""))</f>
        <v/>
      </c>
      <c r="E2015" s="18">
        <f>IF($N2015&lt;&gt;"",IF(INDEX(PCCitrus,$N2015)="","—",INDEX(PCCitrus,$N2015)),"")</f>
        <v/>
      </c>
      <c r="F2015" s="19">
        <f>IF($N2015&lt;&gt;"",IF(INDEX(PCScale,$N2015)=0,"",INDEX(PCScale,$N2015)),"")</f>
        <v/>
      </c>
      <c r="G2015" s="19">
        <f>IF($N2015&lt;&gt;"",IF(INDEX(PCBaskets,$N2015)=0,"",INDEX(PCBaskets,$N2015)),"")</f>
        <v/>
      </c>
      <c r="H2015" s="20">
        <f>IF($N2015&lt;&gt;"",IF(INDEX(PCNet,$N2015)=0,"",INDEX(PCNet,$N2015)),"")</f>
        <v/>
      </c>
      <c r="I2015" s="19">
        <f>IF($N2015&lt;&gt;"",IF(INDEX(PCOp,$N2015)="مرجوعی خرید","",IF(INDEX(PCAmount,$N2015)&lt;=0,"",INDEX(PCAmount,$N2015))),IF($O2015&lt;&gt;"",IF(INDEX(TxnDepB,$O2015)=0,"",INDEX(TxnDepB,$O2015)),""))</f>
        <v/>
      </c>
      <c r="J2015" s="19">
        <f>IF($N2015&lt;&gt;"",IF(INDEX(PCOp,$N2015)="مرجوعی خرید",IF(INDEX(PCAmount,$N2015)=0,"",-INDEX(PCAmount,$N2015)),""),IF($O2015&lt;&gt;"",IF(INDEX(TxnWitB,$O2015)=0,"",INDEX(TxnWitB,$O2015)),""))</f>
        <v/>
      </c>
      <c r="K2015" s="21">
        <f>IF($B2015="","",IF($K2014="",$C$10,$K2014)+IF($I2015="",0,$I2015)-IF($J2015="",0,$J2015))</f>
        <v/>
      </c>
      <c r="L2015" s="22">
        <f>IF($N2015&lt;&gt;"",IF(INDEX(PCNotes,$N2015)="","—",INDEX(PCNotes,$N2015)),IF($O2015&lt;&gt;"",IF(INDEX(LdgNoteB,$O2015)="","—",INDEX(LdgNoteB,$O2015)),""))</f>
        <v/>
      </c>
      <c r="N2015">
        <f>IFERROR(MATCH($C$5&amp;"|"&amp;RIGHT("000000"&amp;1999,6),LdgRankKeyA,0),"")</f>
        <v/>
      </c>
      <c r="O2015">
        <f>IFERROR(MATCH($C$5&amp;"|"&amp;RIGHT("000000"&amp;1999,6),LdgRankKeyB,0),"")</f>
        <v/>
      </c>
    </row>
    <row r="2016">
      <c r="A2016" s="23" t="n">
        <v>2000</v>
      </c>
      <c r="B2016" s="24">
        <f>IF(AND($N2016="",$O2016=""),"",IF($N2016&lt;&gt;"",INDEX(PCNormDate,$N2016),INDEX(LdgDateB,$O2016)))</f>
        <v/>
      </c>
      <c r="C2016" s="24">
        <f>IF($N2016&lt;&gt;"",INDEX(PCOp,$N2016),IF($O2016&lt;&gt;"",IF(N(INDEX(TxnDepB,$O2016))&gt;0,"دریافت بانکی","پرداخت بانکی"),""))</f>
        <v/>
      </c>
      <c r="D2016" s="24">
        <f>IF($N2016&lt;&gt;"",IF(INDEX(PCDoc,$N2016)="","—",INDEX(PCDoc,$N2016)),IF($O2016&lt;&gt;"",INDEX(LdgBankB,$O2016),""))</f>
        <v/>
      </c>
      <c r="E2016" s="24">
        <f>IF($N2016&lt;&gt;"",IF(INDEX(PCCitrus,$N2016)="","—",INDEX(PCCitrus,$N2016)),"")</f>
        <v/>
      </c>
      <c r="F2016" s="25">
        <f>IF($N2016&lt;&gt;"",IF(INDEX(PCScale,$N2016)=0,"",INDEX(PCScale,$N2016)),"")</f>
        <v/>
      </c>
      <c r="G2016" s="25">
        <f>IF($N2016&lt;&gt;"",IF(INDEX(PCBaskets,$N2016)=0,"",INDEX(PCBaskets,$N2016)),"")</f>
        <v/>
      </c>
      <c r="H2016" s="26">
        <f>IF($N2016&lt;&gt;"",IF(INDEX(PCNet,$N2016)=0,"",INDEX(PCNet,$N2016)),"")</f>
        <v/>
      </c>
      <c r="I2016" s="25">
        <f>IF($N2016&lt;&gt;"",IF(INDEX(PCOp,$N2016)="مرجوعی خرید","",IF(INDEX(PCAmount,$N2016)&lt;=0,"",INDEX(PCAmount,$N2016))),IF($O2016&lt;&gt;"",IF(INDEX(TxnDepB,$O2016)=0,"",INDEX(TxnDepB,$O2016)),""))</f>
        <v/>
      </c>
      <c r="J2016" s="25">
        <f>IF($N2016&lt;&gt;"",IF(INDEX(PCOp,$N2016)="مرجوعی خرید",IF(INDEX(PCAmount,$N2016)=0,"",-INDEX(PCAmount,$N2016)),""),IF($O2016&lt;&gt;"",IF(INDEX(TxnWitB,$O2016)=0,"",INDEX(TxnWitB,$O2016)),""))</f>
        <v/>
      </c>
      <c r="K2016" s="27">
        <f>IF($B2016="","",IF($K2015="",$C$10,$K2015)+IF($I2016="",0,$I2016)-IF($J2016="",0,$J2016))</f>
        <v/>
      </c>
      <c r="L2016" s="28">
        <f>IF($N2016&lt;&gt;"",IF(INDEX(PCNotes,$N2016)="","—",INDEX(PCNotes,$N2016)),IF($O2016&lt;&gt;"",IF(INDEX(LdgNoteB,$O2016)="","—",INDEX(LdgNoteB,$O2016)),""))</f>
        <v/>
      </c>
      <c r="N2016">
        <f>IFERROR(MATCH($C$5&amp;"|"&amp;RIGHT("000000"&amp;2000,6),LdgRankKeyA,0),"")</f>
        <v/>
      </c>
      <c r="O2016">
        <f>IFERROR(MATCH($C$5&amp;"|"&amp;RIGHT("000000"&amp;2000,6),LdgRankKeyB,0),"")</f>
        <v/>
      </c>
    </row>
  </sheetData>
  <mergeCells count="37">
    <mergeCell ref="E12:F12"/>
    <mergeCell ref="C8:L8"/>
    <mergeCell ref="G13:I13"/>
    <mergeCell ref="A11:B11"/>
    <mergeCell ref="C5:D5"/>
    <mergeCell ref="C7:L7"/>
    <mergeCell ref="C14:D14"/>
    <mergeCell ref="E14:F14"/>
    <mergeCell ref="A3:L3"/>
    <mergeCell ref="E5:L5"/>
    <mergeCell ref="A6:B6"/>
    <mergeCell ref="J11:L11"/>
    <mergeCell ref="A2:L2"/>
    <mergeCell ref="C10:D10"/>
    <mergeCell ref="A7:B7"/>
    <mergeCell ref="G14:I14"/>
    <mergeCell ref="E10:L10"/>
    <mergeCell ref="E13:F13"/>
    <mergeCell ref="C6:L6"/>
    <mergeCell ref="J12:L12"/>
    <mergeCell ref="A12:B12"/>
    <mergeCell ref="C12:D12"/>
    <mergeCell ref="C11:D11"/>
    <mergeCell ref="E11:F11"/>
    <mergeCell ref="A5:B5"/>
    <mergeCell ref="A14:B14"/>
    <mergeCell ref="G12:I12"/>
    <mergeCell ref="A8:B8"/>
    <mergeCell ref="G11:I11"/>
    <mergeCell ref="J14:L14"/>
    <mergeCell ref="C9:L9"/>
    <mergeCell ref="J13:L13"/>
    <mergeCell ref="A1:L1"/>
    <mergeCell ref="A10:B10"/>
    <mergeCell ref="A13:B13"/>
    <mergeCell ref="C13:D13"/>
    <mergeCell ref="A9:B9"/>
  </mergeCells>
  <conditionalFormatting sqref="C17:C2016">
    <cfRule type="cellIs" priority="1" operator="equal" dxfId="0">
      <formula>"خرید مرکبات"</formula>
    </cfRule>
    <cfRule type="cellIs" priority="2" operator="equal" dxfId="1">
      <formula>"مرجوعی خرید"</formula>
    </cfRule>
    <cfRule type="cellIs" priority="3" operator="equal" dxfId="2">
      <formula>"پرداخت بانکی"</formula>
    </cfRule>
  </conditionalFormatting>
  <conditionalFormatting sqref="I17:I2016">
    <cfRule type="cellIs" priority="4" operator="greaterThan" dxfId="3">
      <formula>0</formula>
    </cfRule>
  </conditionalFormatting>
  <conditionalFormatting sqref="J17:J2016">
    <cfRule type="cellIs" priority="5" operator="greaterThan" dxfId="4">
      <formula>0</formula>
    </cfRule>
  </conditionalFormatting>
  <conditionalFormatting sqref="K17:K2016">
    <cfRule type="cellIs" priority="6" operator="lessThan" dxfId="5">
      <formula>0</formula>
    </cfRule>
  </conditionalFormatting>
  <conditionalFormatting sqref="H17:H2016">
    <cfRule type="cellIs" priority="7" operator="lessThan" dxfId="1">
      <formula>0</formula>
    </cfRule>
  </conditionalFormatting>
  <dataValidations count="1">
    <dataValidation sqref="C5" showDropDown="0" showInputMessage="1" showErrorMessage="0" allowBlank="1" errorTitle="کد حساب نامعتبر" error="کد از فایل INFO (شیت Accounts) — C…، SL…، S…، E…، X…" promptTitle="کد حساب" prompt="کد را وارد کنید؛ کل گزارش خودکار به‌روز می‌شود. برای حساب دیگر، شیت را کپی کنید و این کد را عوض کنید." type="custom" errorStyle="warning">
      <formula1>OR($C$5="",COUNTIF(AcctCodes,$C$5)&gt;0)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گزارش خرید حساب — فایل خرید&amp;R&amp;"Tahoma"&amp;8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K570"/>
  <sheetViews>
    <sheetView showGridLines="0" rightToLeft="1" zoomScale="9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7" customWidth="1" min="3" max="3"/>
    <col width="13" customWidth="1" min="4" max="4"/>
    <col width="10" customWidth="1" min="5" max="5"/>
    <col width="14" customWidth="1" min="6" max="6"/>
    <col width="12" customWidth="1" min="7" max="7"/>
    <col width="14" customWidth="1" min="8" max="8"/>
    <col width="13" customWidth="1" min="9" max="9"/>
    <col width="13" customWidth="1" min="10" max="10"/>
    <col width="11" customWidth="1" min="11" max="11"/>
  </cols>
  <sheetData>
    <row r="1" ht="26" customHeight="1">
      <c r="A1" s="1">
        <f>IF(Sync!$S$6="","مازندشت",Sync!$S$6)&amp;" — "&amp;IF(Sync!$S$9="","سورتینگ و بسته‌بندی مرکبات",Sync!$S$9)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2">
        <f>IF(Sync!$S$7="","باغدشت، بخش مرکزی، شهرستان قائم‌شهر، استان مازندران، ایران",Sync!$S$7)&amp;"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خلاصه خرید مرکبات به تفکیک حساب — از دفتر باسکول (گروه اصلی: خرید)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8" customHeight="1">
      <c r="A4" s="29">
        <f>"پارامترها: وزن هر سبد = "&amp;IFERROR(VLOOKUP("P01",ParamTbl,3,0),1.5)&amp;" کیلوگرم | درصد افت (فقط گروه خرید) = "&amp;IFERROR(VLOOKUP("P02",ParamTbl,3,0),1)&amp;"٪ — تعریف و تغییر در INFO ← شیت Params"</f>
        <v/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 ht="13" customHeight="1">
      <c r="A5" s="10" t="inlineStr">
        <is>
          <t>تعداد حساب‌های فعال</t>
        </is>
      </c>
      <c r="B5" s="10" t="n"/>
      <c r="C5" s="10" t="n"/>
      <c r="D5" s="10" t="inlineStr">
        <is>
          <t>جمع کل باسکول (kg)</t>
        </is>
      </c>
      <c r="E5" s="10" t="n"/>
      <c r="F5" s="10" t="n"/>
      <c r="G5" s="10" t="inlineStr">
        <is>
          <t>جمع کل سبد</t>
        </is>
      </c>
      <c r="H5" s="10" t="n"/>
      <c r="I5" s="10" t="n"/>
      <c r="J5" s="10" t="inlineStr">
        <is>
          <t>جمع کل خالص (kg)</t>
        </is>
      </c>
      <c r="K5" s="10" t="n"/>
    </row>
    <row r="6" ht="20" customHeight="1">
      <c r="A6" s="14">
        <f>NAcctAll</f>
        <v/>
      </c>
      <c r="B6" s="14" t="n"/>
      <c r="C6" s="14" t="n"/>
      <c r="D6" s="12">
        <f>F570</f>
        <v/>
      </c>
      <c r="E6" s="12" t="n"/>
      <c r="F6" s="12" t="n"/>
      <c r="G6" s="12">
        <f>G570</f>
        <v/>
      </c>
      <c r="H6" s="12" t="n"/>
      <c r="I6" s="12" t="n"/>
      <c r="J6" s="11">
        <f>H570</f>
        <v/>
      </c>
      <c r="K6" s="11" t="n"/>
    </row>
    <row r="7" ht="6" customHeight="1"/>
    <row r="8" ht="30" customHeight="1">
      <c r="A8" s="15" t="inlineStr">
        <is>
          <t>ردیف</t>
        </is>
      </c>
      <c r="B8" s="15" t="inlineStr">
        <is>
          <t>کد حساب</t>
        </is>
      </c>
      <c r="C8" s="15" t="inlineStr">
        <is>
          <t>نام صاحب حساب</t>
        </is>
      </c>
      <c r="D8" s="15" t="inlineStr">
        <is>
          <t>نوع حساب</t>
        </is>
      </c>
      <c r="E8" s="15" t="inlineStr">
        <is>
          <t>تعداد ورودی</t>
        </is>
      </c>
      <c r="F8" s="15" t="inlineStr">
        <is>
          <t>جمع باسکول (kg)</t>
        </is>
      </c>
      <c r="G8" s="15" t="inlineStr">
        <is>
          <t>جمع سبد</t>
        </is>
      </c>
      <c r="H8" s="15" t="inlineStr">
        <is>
          <t>وزن خالص (kg)</t>
        </is>
      </c>
      <c r="I8" s="15" t="inlineStr">
        <is>
          <t>گروه حسابداری</t>
        </is>
      </c>
      <c r="J8" s="15" t="inlineStr">
        <is>
          <t>گروه حسابرسی</t>
        </is>
      </c>
      <c r="K8" s="15" t="inlineStr">
        <is>
          <t>سهم از خالص</t>
        </is>
      </c>
    </row>
    <row r="9" ht="13" customHeight="1">
      <c r="A9" s="16" t="inlineStr">
        <is>
          <t>No.</t>
        </is>
      </c>
      <c r="B9" s="16" t="inlineStr">
        <is>
          <t>Code</t>
        </is>
      </c>
      <c r="C9" s="16" t="inlineStr">
        <is>
          <t>Account Holder</t>
        </is>
      </c>
      <c r="D9" s="16" t="inlineStr">
        <is>
          <t>Type</t>
        </is>
      </c>
      <c r="E9" s="16" t="inlineStr">
        <is>
          <t>Entries</t>
        </is>
      </c>
      <c r="F9" s="16" t="inlineStr">
        <is>
          <t>Scale Total</t>
        </is>
      </c>
      <c r="G9" s="16" t="inlineStr">
        <is>
          <t>Baskets Total</t>
        </is>
      </c>
      <c r="H9" s="16" t="inlineStr">
        <is>
          <t>Net Weight</t>
        </is>
      </c>
      <c r="I9" s="16" t="inlineStr">
        <is>
          <t>Acct Group</t>
        </is>
      </c>
      <c r="J9" s="16" t="inlineStr">
        <is>
          <t>Audit Group</t>
        </is>
      </c>
      <c r="K9" s="16" t="inlineStr">
        <is>
          <t>Share</t>
        </is>
      </c>
    </row>
    <row r="10">
      <c r="A10" s="17">
        <f>IF(ROW()-9&gt;NAcctAll,"",ROW()-9)</f>
        <v/>
      </c>
      <c r="B10" s="30">
        <f>IF($A10="","",IF($A10&lt;=NAcctAll,INDEX(PkAcctAll,$A10),""))</f>
        <v/>
      </c>
      <c r="C10" s="22">
        <f>IF($B10="","",IFERROR(IF(VLOOKUP($B10,AcctTbl,4,0)="","(بدون نام)",VLOOKUP($B10,AcctTbl,4,0)),"—"))</f>
        <v/>
      </c>
      <c r="D10" s="18">
        <f>IF($B10="","",IFERROR(IF(VLOOKUP($B10,AcctTbl,3,0)="",IF(VLOOKUP($B10,AcctTbl,2,0)="","—",VLOOKUP($B10,AcctTbl,2,0)),VLOOKUP($B10,AcctTbl,3,0)),"—"))</f>
        <v/>
      </c>
      <c r="E10" s="31">
        <f>IF($B10="","",COUNTIFS(CalcParty,$B10,CalcGroup,"خرید"))</f>
        <v/>
      </c>
      <c r="F10" s="19">
        <f>IF($B10="","",SUMIFS(CalcScale,CalcParty,$B10,CalcGroup,"خرید"))</f>
        <v/>
      </c>
      <c r="G10" s="19">
        <f>IF($B10="","",SUMIFS(CalcBaskets,CalcParty,$B10,CalcGroup,"خرید"))</f>
        <v/>
      </c>
      <c r="H10" s="20">
        <f>IF($B10="","",SUMIFS(CalcNet,CalcParty,$B10,CalcGroup,"خرید"))</f>
        <v/>
      </c>
      <c r="I10" s="18">
        <f>IF($B10="","",IFERROR(IF(VLOOKUP($B10,AcctTbl,5,0)="","—",VLOOKUP($B10,AcctTbl,5,0)),"—"))</f>
        <v/>
      </c>
      <c r="J10" s="18">
        <f>IF($B10="","",IFERROR(IF(VLOOKUP($B10,AcctTbl,6,0)="","—",VLOOKUP($B10,AcctTbl,6,0)),"—"))</f>
        <v/>
      </c>
      <c r="K10" s="32">
        <f>IF(OR($B10="",$H$570=0),"",$H10/$H$570)</f>
        <v/>
      </c>
    </row>
    <row r="11">
      <c r="A11" s="23">
        <f>IF(ROW()-9&gt;NAcctAll,"",ROW()-9)</f>
        <v/>
      </c>
      <c r="B11" s="33">
        <f>IF($A11="","",IF($A11&lt;=NAcctAll,INDEX(PkAcctAll,$A11),""))</f>
        <v/>
      </c>
      <c r="C11" s="28">
        <f>IF($B11="","",IFERROR(IF(VLOOKUP($B11,AcctTbl,4,0)="","(بدون نام)",VLOOKUP($B11,AcctTbl,4,0)),"—"))</f>
        <v/>
      </c>
      <c r="D11" s="24">
        <f>IF($B11="","",IFERROR(IF(VLOOKUP($B11,AcctTbl,3,0)="",IF(VLOOKUP($B11,AcctTbl,2,0)="","—",VLOOKUP($B11,AcctTbl,2,0)),VLOOKUP($B11,AcctTbl,3,0)),"—"))</f>
        <v/>
      </c>
      <c r="E11" s="34">
        <f>IF($B11="","",COUNTIFS(CalcParty,$B11,CalcGroup,"خرید"))</f>
        <v/>
      </c>
      <c r="F11" s="25">
        <f>IF($B11="","",SUMIFS(CalcScale,CalcParty,$B11,CalcGroup,"خرید"))</f>
        <v/>
      </c>
      <c r="G11" s="25">
        <f>IF($B11="","",SUMIFS(CalcBaskets,CalcParty,$B11,CalcGroup,"خرید"))</f>
        <v/>
      </c>
      <c r="H11" s="26">
        <f>IF($B11="","",SUMIFS(CalcNet,CalcParty,$B11,CalcGroup,"خرید"))</f>
        <v/>
      </c>
      <c r="I11" s="24">
        <f>IF($B11="","",IFERROR(IF(VLOOKUP($B11,AcctTbl,5,0)="","—",VLOOKUP($B11,AcctTbl,5,0)),"—"))</f>
        <v/>
      </c>
      <c r="J11" s="24">
        <f>IF($B11="","",IFERROR(IF(VLOOKUP($B11,AcctTbl,6,0)="","—",VLOOKUP($B11,AcctTbl,6,0)),"—"))</f>
        <v/>
      </c>
      <c r="K11" s="35">
        <f>IF(OR($B11="",$H$570=0),"",$H11/$H$570)</f>
        <v/>
      </c>
    </row>
    <row r="12">
      <c r="A12" s="17">
        <f>IF(ROW()-9&gt;NAcctAll,"",ROW()-9)</f>
        <v/>
      </c>
      <c r="B12" s="30">
        <f>IF($A12="","",IF($A12&lt;=NAcctAll,INDEX(PkAcctAll,$A12),""))</f>
        <v/>
      </c>
      <c r="C12" s="22">
        <f>IF($B12="","",IFERROR(IF(VLOOKUP($B12,AcctTbl,4,0)="","(بدون نام)",VLOOKUP($B12,AcctTbl,4,0)),"—"))</f>
        <v/>
      </c>
      <c r="D12" s="18">
        <f>IF($B12="","",IFERROR(IF(VLOOKUP($B12,AcctTbl,3,0)="",IF(VLOOKUP($B12,AcctTbl,2,0)="","—",VLOOKUP($B12,AcctTbl,2,0)),VLOOKUP($B12,AcctTbl,3,0)),"—"))</f>
        <v/>
      </c>
      <c r="E12" s="31">
        <f>IF($B12="","",COUNTIFS(CalcParty,$B12,CalcGroup,"خرید"))</f>
        <v/>
      </c>
      <c r="F12" s="19">
        <f>IF($B12="","",SUMIFS(CalcScale,CalcParty,$B12,CalcGroup,"خرید"))</f>
        <v/>
      </c>
      <c r="G12" s="19">
        <f>IF($B12="","",SUMIFS(CalcBaskets,CalcParty,$B12,CalcGroup,"خرید"))</f>
        <v/>
      </c>
      <c r="H12" s="20">
        <f>IF($B12="","",SUMIFS(CalcNet,CalcParty,$B12,CalcGroup,"خرید"))</f>
        <v/>
      </c>
      <c r="I12" s="18">
        <f>IF($B12="","",IFERROR(IF(VLOOKUP($B12,AcctTbl,5,0)="","—",VLOOKUP($B12,AcctTbl,5,0)),"—"))</f>
        <v/>
      </c>
      <c r="J12" s="18">
        <f>IF($B12="","",IFERROR(IF(VLOOKUP($B12,AcctTbl,6,0)="","—",VLOOKUP($B12,AcctTbl,6,0)),"—"))</f>
        <v/>
      </c>
      <c r="K12" s="32">
        <f>IF(OR($B12="",$H$570=0),"",$H12/$H$570)</f>
        <v/>
      </c>
    </row>
    <row r="13">
      <c r="A13" s="23">
        <f>IF(ROW()-9&gt;NAcctAll,"",ROW()-9)</f>
        <v/>
      </c>
      <c r="B13" s="33">
        <f>IF($A13="","",IF($A13&lt;=NAcctAll,INDEX(PkAcctAll,$A13),""))</f>
        <v/>
      </c>
      <c r="C13" s="28">
        <f>IF($B13="","",IFERROR(IF(VLOOKUP($B13,AcctTbl,4,0)="","(بدون نام)",VLOOKUP($B13,AcctTbl,4,0)),"—"))</f>
        <v/>
      </c>
      <c r="D13" s="24">
        <f>IF($B13="","",IFERROR(IF(VLOOKUP($B13,AcctTbl,3,0)="",IF(VLOOKUP($B13,AcctTbl,2,0)="","—",VLOOKUP($B13,AcctTbl,2,0)),VLOOKUP($B13,AcctTbl,3,0)),"—"))</f>
        <v/>
      </c>
      <c r="E13" s="34">
        <f>IF($B13="","",COUNTIFS(CalcParty,$B13,CalcGroup,"خرید"))</f>
        <v/>
      </c>
      <c r="F13" s="25">
        <f>IF($B13="","",SUMIFS(CalcScale,CalcParty,$B13,CalcGroup,"خرید"))</f>
        <v/>
      </c>
      <c r="G13" s="25">
        <f>IF($B13="","",SUMIFS(CalcBaskets,CalcParty,$B13,CalcGroup,"خرید"))</f>
        <v/>
      </c>
      <c r="H13" s="26">
        <f>IF($B13="","",SUMIFS(CalcNet,CalcParty,$B13,CalcGroup,"خرید"))</f>
        <v/>
      </c>
      <c r="I13" s="24">
        <f>IF($B13="","",IFERROR(IF(VLOOKUP($B13,AcctTbl,5,0)="","—",VLOOKUP($B13,AcctTbl,5,0)),"—"))</f>
        <v/>
      </c>
      <c r="J13" s="24">
        <f>IF($B13="","",IFERROR(IF(VLOOKUP($B13,AcctTbl,6,0)="","—",VLOOKUP($B13,AcctTbl,6,0)),"—"))</f>
        <v/>
      </c>
      <c r="K13" s="35">
        <f>IF(OR($B13="",$H$570=0),"",$H13/$H$570)</f>
        <v/>
      </c>
    </row>
    <row r="14">
      <c r="A14" s="17">
        <f>IF(ROW()-9&gt;NAcctAll,"",ROW()-9)</f>
        <v/>
      </c>
      <c r="B14" s="30">
        <f>IF($A14="","",IF($A14&lt;=NAcctAll,INDEX(PkAcctAll,$A14),""))</f>
        <v/>
      </c>
      <c r="C14" s="22">
        <f>IF($B14="","",IFERROR(IF(VLOOKUP($B14,AcctTbl,4,0)="","(بدون نام)",VLOOKUP($B14,AcctTbl,4,0)),"—"))</f>
        <v/>
      </c>
      <c r="D14" s="18">
        <f>IF($B14="","",IFERROR(IF(VLOOKUP($B14,AcctTbl,3,0)="",IF(VLOOKUP($B14,AcctTbl,2,0)="","—",VLOOKUP($B14,AcctTbl,2,0)),VLOOKUP($B14,AcctTbl,3,0)),"—"))</f>
        <v/>
      </c>
      <c r="E14" s="31">
        <f>IF($B14="","",COUNTIFS(CalcParty,$B14,CalcGroup,"خرید"))</f>
        <v/>
      </c>
      <c r="F14" s="19">
        <f>IF($B14="","",SUMIFS(CalcScale,CalcParty,$B14,CalcGroup,"خرید"))</f>
        <v/>
      </c>
      <c r="G14" s="19">
        <f>IF($B14="","",SUMIFS(CalcBaskets,CalcParty,$B14,CalcGroup,"خرید"))</f>
        <v/>
      </c>
      <c r="H14" s="20">
        <f>IF($B14="","",SUMIFS(CalcNet,CalcParty,$B14,CalcGroup,"خرید"))</f>
        <v/>
      </c>
      <c r="I14" s="18">
        <f>IF($B14="","",IFERROR(IF(VLOOKUP($B14,AcctTbl,5,0)="","—",VLOOKUP($B14,AcctTbl,5,0)),"—"))</f>
        <v/>
      </c>
      <c r="J14" s="18">
        <f>IF($B14="","",IFERROR(IF(VLOOKUP($B14,AcctTbl,6,0)="","—",VLOOKUP($B14,AcctTbl,6,0)),"—"))</f>
        <v/>
      </c>
      <c r="K14" s="32">
        <f>IF(OR($B14="",$H$570=0),"",$H14/$H$570)</f>
        <v/>
      </c>
    </row>
    <row r="15">
      <c r="A15" s="23">
        <f>IF(ROW()-9&gt;NAcctAll,"",ROW()-9)</f>
        <v/>
      </c>
      <c r="B15" s="33">
        <f>IF($A15="","",IF($A15&lt;=NAcctAll,INDEX(PkAcctAll,$A15),""))</f>
        <v/>
      </c>
      <c r="C15" s="28">
        <f>IF($B15="","",IFERROR(IF(VLOOKUP($B15,AcctTbl,4,0)="","(بدون نام)",VLOOKUP($B15,AcctTbl,4,0)),"—"))</f>
        <v/>
      </c>
      <c r="D15" s="24">
        <f>IF($B15="","",IFERROR(IF(VLOOKUP($B15,AcctTbl,3,0)="",IF(VLOOKUP($B15,AcctTbl,2,0)="","—",VLOOKUP($B15,AcctTbl,2,0)),VLOOKUP($B15,AcctTbl,3,0)),"—"))</f>
        <v/>
      </c>
      <c r="E15" s="34">
        <f>IF($B15="","",COUNTIFS(CalcParty,$B15,CalcGroup,"خرید"))</f>
        <v/>
      </c>
      <c r="F15" s="25">
        <f>IF($B15="","",SUMIFS(CalcScale,CalcParty,$B15,CalcGroup,"خرید"))</f>
        <v/>
      </c>
      <c r="G15" s="25">
        <f>IF($B15="","",SUMIFS(CalcBaskets,CalcParty,$B15,CalcGroup,"خرید"))</f>
        <v/>
      </c>
      <c r="H15" s="26">
        <f>IF($B15="","",SUMIFS(CalcNet,CalcParty,$B15,CalcGroup,"خرید"))</f>
        <v/>
      </c>
      <c r="I15" s="24">
        <f>IF($B15="","",IFERROR(IF(VLOOKUP($B15,AcctTbl,5,0)="","—",VLOOKUP($B15,AcctTbl,5,0)),"—"))</f>
        <v/>
      </c>
      <c r="J15" s="24">
        <f>IF($B15="","",IFERROR(IF(VLOOKUP($B15,AcctTbl,6,0)="","—",VLOOKUP($B15,AcctTbl,6,0)),"—"))</f>
        <v/>
      </c>
      <c r="K15" s="35">
        <f>IF(OR($B15="",$H$570=0),"",$H15/$H$570)</f>
        <v/>
      </c>
    </row>
    <row r="16">
      <c r="A16" s="17">
        <f>IF(ROW()-9&gt;NAcctAll,"",ROW()-9)</f>
        <v/>
      </c>
      <c r="B16" s="30">
        <f>IF($A16="","",IF($A16&lt;=NAcctAll,INDEX(PkAcctAll,$A16),""))</f>
        <v/>
      </c>
      <c r="C16" s="22">
        <f>IF($B16="","",IFERROR(IF(VLOOKUP($B16,AcctTbl,4,0)="","(بدون نام)",VLOOKUP($B16,AcctTbl,4,0)),"—"))</f>
        <v/>
      </c>
      <c r="D16" s="18">
        <f>IF($B16="","",IFERROR(IF(VLOOKUP($B16,AcctTbl,3,0)="",IF(VLOOKUP($B16,AcctTbl,2,0)="","—",VLOOKUP($B16,AcctTbl,2,0)),VLOOKUP($B16,AcctTbl,3,0)),"—"))</f>
        <v/>
      </c>
      <c r="E16" s="31">
        <f>IF($B16="","",COUNTIFS(CalcParty,$B16,CalcGroup,"خرید"))</f>
        <v/>
      </c>
      <c r="F16" s="19">
        <f>IF($B16="","",SUMIFS(CalcScale,CalcParty,$B16,CalcGroup,"خرید"))</f>
        <v/>
      </c>
      <c r="G16" s="19">
        <f>IF($B16="","",SUMIFS(CalcBaskets,CalcParty,$B16,CalcGroup,"خرید"))</f>
        <v/>
      </c>
      <c r="H16" s="20">
        <f>IF($B16="","",SUMIFS(CalcNet,CalcParty,$B16,CalcGroup,"خرید"))</f>
        <v/>
      </c>
      <c r="I16" s="18">
        <f>IF($B16="","",IFERROR(IF(VLOOKUP($B16,AcctTbl,5,0)="","—",VLOOKUP($B16,AcctTbl,5,0)),"—"))</f>
        <v/>
      </c>
      <c r="J16" s="18">
        <f>IF($B16="","",IFERROR(IF(VLOOKUP($B16,AcctTbl,6,0)="","—",VLOOKUP($B16,AcctTbl,6,0)),"—"))</f>
        <v/>
      </c>
      <c r="K16" s="32">
        <f>IF(OR($B16="",$H$570=0),"",$H16/$H$570)</f>
        <v/>
      </c>
    </row>
    <row r="17">
      <c r="A17" s="23">
        <f>IF(ROW()-9&gt;NAcctAll,"",ROW()-9)</f>
        <v/>
      </c>
      <c r="B17" s="33">
        <f>IF($A17="","",IF($A17&lt;=NAcctAll,INDEX(PkAcctAll,$A17),""))</f>
        <v/>
      </c>
      <c r="C17" s="28">
        <f>IF($B17="","",IFERROR(IF(VLOOKUP($B17,AcctTbl,4,0)="","(بدون نام)",VLOOKUP($B17,AcctTbl,4,0)),"—"))</f>
        <v/>
      </c>
      <c r="D17" s="24">
        <f>IF($B17="","",IFERROR(IF(VLOOKUP($B17,AcctTbl,3,0)="",IF(VLOOKUP($B17,AcctTbl,2,0)="","—",VLOOKUP($B17,AcctTbl,2,0)),VLOOKUP($B17,AcctTbl,3,0)),"—"))</f>
        <v/>
      </c>
      <c r="E17" s="34">
        <f>IF($B17="","",COUNTIFS(CalcParty,$B17,CalcGroup,"خرید"))</f>
        <v/>
      </c>
      <c r="F17" s="25">
        <f>IF($B17="","",SUMIFS(CalcScale,CalcParty,$B17,CalcGroup,"خرید"))</f>
        <v/>
      </c>
      <c r="G17" s="25">
        <f>IF($B17="","",SUMIFS(CalcBaskets,CalcParty,$B17,CalcGroup,"خرید"))</f>
        <v/>
      </c>
      <c r="H17" s="26">
        <f>IF($B17="","",SUMIFS(CalcNet,CalcParty,$B17,CalcGroup,"خرید"))</f>
        <v/>
      </c>
      <c r="I17" s="24">
        <f>IF($B17="","",IFERROR(IF(VLOOKUP($B17,AcctTbl,5,0)="","—",VLOOKUP($B17,AcctTbl,5,0)),"—"))</f>
        <v/>
      </c>
      <c r="J17" s="24">
        <f>IF($B17="","",IFERROR(IF(VLOOKUP($B17,AcctTbl,6,0)="","—",VLOOKUP($B17,AcctTbl,6,0)),"—"))</f>
        <v/>
      </c>
      <c r="K17" s="35">
        <f>IF(OR($B17="",$H$570=0),"",$H17/$H$570)</f>
        <v/>
      </c>
    </row>
    <row r="18">
      <c r="A18" s="17">
        <f>IF(ROW()-9&gt;NAcctAll,"",ROW()-9)</f>
        <v/>
      </c>
      <c r="B18" s="30">
        <f>IF($A18="","",IF($A18&lt;=NAcctAll,INDEX(PkAcctAll,$A18),""))</f>
        <v/>
      </c>
      <c r="C18" s="22">
        <f>IF($B18="","",IFERROR(IF(VLOOKUP($B18,AcctTbl,4,0)="","(بدون نام)",VLOOKUP($B18,AcctTbl,4,0)),"—"))</f>
        <v/>
      </c>
      <c r="D18" s="18">
        <f>IF($B18="","",IFERROR(IF(VLOOKUP($B18,AcctTbl,3,0)="",IF(VLOOKUP($B18,AcctTbl,2,0)="","—",VLOOKUP($B18,AcctTbl,2,0)),VLOOKUP($B18,AcctTbl,3,0)),"—"))</f>
        <v/>
      </c>
      <c r="E18" s="31">
        <f>IF($B18="","",COUNTIFS(CalcParty,$B18,CalcGroup,"خرید"))</f>
        <v/>
      </c>
      <c r="F18" s="19">
        <f>IF($B18="","",SUMIFS(CalcScale,CalcParty,$B18,CalcGroup,"خرید"))</f>
        <v/>
      </c>
      <c r="G18" s="19">
        <f>IF($B18="","",SUMIFS(CalcBaskets,CalcParty,$B18,CalcGroup,"خرید"))</f>
        <v/>
      </c>
      <c r="H18" s="20">
        <f>IF($B18="","",SUMIFS(CalcNet,CalcParty,$B18,CalcGroup,"خرید"))</f>
        <v/>
      </c>
      <c r="I18" s="18">
        <f>IF($B18="","",IFERROR(IF(VLOOKUP($B18,AcctTbl,5,0)="","—",VLOOKUP($B18,AcctTbl,5,0)),"—"))</f>
        <v/>
      </c>
      <c r="J18" s="18">
        <f>IF($B18="","",IFERROR(IF(VLOOKUP($B18,AcctTbl,6,0)="","—",VLOOKUP($B18,AcctTbl,6,0)),"—"))</f>
        <v/>
      </c>
      <c r="K18" s="32">
        <f>IF(OR($B18="",$H$570=0),"",$H18/$H$570)</f>
        <v/>
      </c>
    </row>
    <row r="19">
      <c r="A19" s="23">
        <f>IF(ROW()-9&gt;NAcctAll,"",ROW()-9)</f>
        <v/>
      </c>
      <c r="B19" s="33">
        <f>IF($A19="","",IF($A19&lt;=NAcctAll,INDEX(PkAcctAll,$A19),""))</f>
        <v/>
      </c>
      <c r="C19" s="28">
        <f>IF($B19="","",IFERROR(IF(VLOOKUP($B19,AcctTbl,4,0)="","(بدون نام)",VLOOKUP($B19,AcctTbl,4,0)),"—"))</f>
        <v/>
      </c>
      <c r="D19" s="24">
        <f>IF($B19="","",IFERROR(IF(VLOOKUP($B19,AcctTbl,3,0)="",IF(VLOOKUP($B19,AcctTbl,2,0)="","—",VLOOKUP($B19,AcctTbl,2,0)),VLOOKUP($B19,AcctTbl,3,0)),"—"))</f>
        <v/>
      </c>
      <c r="E19" s="34">
        <f>IF($B19="","",COUNTIFS(CalcParty,$B19,CalcGroup,"خرید"))</f>
        <v/>
      </c>
      <c r="F19" s="25">
        <f>IF($B19="","",SUMIFS(CalcScale,CalcParty,$B19,CalcGroup,"خرید"))</f>
        <v/>
      </c>
      <c r="G19" s="25">
        <f>IF($B19="","",SUMIFS(CalcBaskets,CalcParty,$B19,CalcGroup,"خرید"))</f>
        <v/>
      </c>
      <c r="H19" s="26">
        <f>IF($B19="","",SUMIFS(CalcNet,CalcParty,$B19,CalcGroup,"خرید"))</f>
        <v/>
      </c>
      <c r="I19" s="24">
        <f>IF($B19="","",IFERROR(IF(VLOOKUP($B19,AcctTbl,5,0)="","—",VLOOKUP($B19,AcctTbl,5,0)),"—"))</f>
        <v/>
      </c>
      <c r="J19" s="24">
        <f>IF($B19="","",IFERROR(IF(VLOOKUP($B19,AcctTbl,6,0)="","—",VLOOKUP($B19,AcctTbl,6,0)),"—"))</f>
        <v/>
      </c>
      <c r="K19" s="35">
        <f>IF(OR($B19="",$H$570=0),"",$H19/$H$570)</f>
        <v/>
      </c>
    </row>
    <row r="20">
      <c r="A20" s="17">
        <f>IF(ROW()-9&gt;NAcctAll,"",ROW()-9)</f>
        <v/>
      </c>
      <c r="B20" s="30">
        <f>IF($A20="","",IF($A20&lt;=NAcctAll,INDEX(PkAcctAll,$A20),""))</f>
        <v/>
      </c>
      <c r="C20" s="22">
        <f>IF($B20="","",IFERROR(IF(VLOOKUP($B20,AcctTbl,4,0)="","(بدون نام)",VLOOKUP($B20,AcctTbl,4,0)),"—"))</f>
        <v/>
      </c>
      <c r="D20" s="18">
        <f>IF($B20="","",IFERROR(IF(VLOOKUP($B20,AcctTbl,3,0)="",IF(VLOOKUP($B20,AcctTbl,2,0)="","—",VLOOKUP($B20,AcctTbl,2,0)),VLOOKUP($B20,AcctTbl,3,0)),"—"))</f>
        <v/>
      </c>
      <c r="E20" s="31">
        <f>IF($B20="","",COUNTIFS(CalcParty,$B20,CalcGroup,"خرید"))</f>
        <v/>
      </c>
      <c r="F20" s="19">
        <f>IF($B20="","",SUMIFS(CalcScale,CalcParty,$B20,CalcGroup,"خرید"))</f>
        <v/>
      </c>
      <c r="G20" s="19">
        <f>IF($B20="","",SUMIFS(CalcBaskets,CalcParty,$B20,CalcGroup,"خرید"))</f>
        <v/>
      </c>
      <c r="H20" s="20">
        <f>IF($B20="","",SUMIFS(CalcNet,CalcParty,$B20,CalcGroup,"خرید"))</f>
        <v/>
      </c>
      <c r="I20" s="18">
        <f>IF($B20="","",IFERROR(IF(VLOOKUP($B20,AcctTbl,5,0)="","—",VLOOKUP($B20,AcctTbl,5,0)),"—"))</f>
        <v/>
      </c>
      <c r="J20" s="18">
        <f>IF($B20="","",IFERROR(IF(VLOOKUP($B20,AcctTbl,6,0)="","—",VLOOKUP($B20,AcctTbl,6,0)),"—"))</f>
        <v/>
      </c>
      <c r="K20" s="32">
        <f>IF(OR($B20="",$H$570=0),"",$H20/$H$570)</f>
        <v/>
      </c>
    </row>
    <row r="21">
      <c r="A21" s="23">
        <f>IF(ROW()-9&gt;NAcctAll,"",ROW()-9)</f>
        <v/>
      </c>
      <c r="B21" s="33">
        <f>IF($A21="","",IF($A21&lt;=NAcctAll,INDEX(PkAcctAll,$A21),""))</f>
        <v/>
      </c>
      <c r="C21" s="28">
        <f>IF($B21="","",IFERROR(IF(VLOOKUP($B21,AcctTbl,4,0)="","(بدون نام)",VLOOKUP($B21,AcctTbl,4,0)),"—"))</f>
        <v/>
      </c>
      <c r="D21" s="24">
        <f>IF($B21="","",IFERROR(IF(VLOOKUP($B21,AcctTbl,3,0)="",IF(VLOOKUP($B21,AcctTbl,2,0)="","—",VLOOKUP($B21,AcctTbl,2,0)),VLOOKUP($B21,AcctTbl,3,0)),"—"))</f>
        <v/>
      </c>
      <c r="E21" s="34">
        <f>IF($B21="","",COUNTIFS(CalcParty,$B21,CalcGroup,"خرید"))</f>
        <v/>
      </c>
      <c r="F21" s="25">
        <f>IF($B21="","",SUMIFS(CalcScale,CalcParty,$B21,CalcGroup,"خرید"))</f>
        <v/>
      </c>
      <c r="G21" s="25">
        <f>IF($B21="","",SUMIFS(CalcBaskets,CalcParty,$B21,CalcGroup,"خرید"))</f>
        <v/>
      </c>
      <c r="H21" s="26">
        <f>IF($B21="","",SUMIFS(CalcNet,CalcParty,$B21,CalcGroup,"خرید"))</f>
        <v/>
      </c>
      <c r="I21" s="24">
        <f>IF($B21="","",IFERROR(IF(VLOOKUP($B21,AcctTbl,5,0)="","—",VLOOKUP($B21,AcctTbl,5,0)),"—"))</f>
        <v/>
      </c>
      <c r="J21" s="24">
        <f>IF($B21="","",IFERROR(IF(VLOOKUP($B21,AcctTbl,6,0)="","—",VLOOKUP($B21,AcctTbl,6,0)),"—"))</f>
        <v/>
      </c>
      <c r="K21" s="35">
        <f>IF(OR($B21="",$H$570=0),"",$H21/$H$570)</f>
        <v/>
      </c>
    </row>
    <row r="22">
      <c r="A22" s="17">
        <f>IF(ROW()-9&gt;NAcctAll,"",ROW()-9)</f>
        <v/>
      </c>
      <c r="B22" s="30">
        <f>IF($A22="","",IF($A22&lt;=NAcctAll,INDEX(PkAcctAll,$A22),""))</f>
        <v/>
      </c>
      <c r="C22" s="22">
        <f>IF($B22="","",IFERROR(IF(VLOOKUP($B22,AcctTbl,4,0)="","(بدون نام)",VLOOKUP($B22,AcctTbl,4,0)),"—"))</f>
        <v/>
      </c>
      <c r="D22" s="18">
        <f>IF($B22="","",IFERROR(IF(VLOOKUP($B22,AcctTbl,3,0)="",IF(VLOOKUP($B22,AcctTbl,2,0)="","—",VLOOKUP($B22,AcctTbl,2,0)),VLOOKUP($B22,AcctTbl,3,0)),"—"))</f>
        <v/>
      </c>
      <c r="E22" s="31">
        <f>IF($B22="","",COUNTIFS(CalcParty,$B22,CalcGroup,"خرید"))</f>
        <v/>
      </c>
      <c r="F22" s="19">
        <f>IF($B22="","",SUMIFS(CalcScale,CalcParty,$B22,CalcGroup,"خرید"))</f>
        <v/>
      </c>
      <c r="G22" s="19">
        <f>IF($B22="","",SUMIFS(CalcBaskets,CalcParty,$B22,CalcGroup,"خرید"))</f>
        <v/>
      </c>
      <c r="H22" s="20">
        <f>IF($B22="","",SUMIFS(CalcNet,CalcParty,$B22,CalcGroup,"خرید"))</f>
        <v/>
      </c>
      <c r="I22" s="18">
        <f>IF($B22="","",IFERROR(IF(VLOOKUP($B22,AcctTbl,5,0)="","—",VLOOKUP($B22,AcctTbl,5,0)),"—"))</f>
        <v/>
      </c>
      <c r="J22" s="18">
        <f>IF($B22="","",IFERROR(IF(VLOOKUP($B22,AcctTbl,6,0)="","—",VLOOKUP($B22,AcctTbl,6,0)),"—"))</f>
        <v/>
      </c>
      <c r="K22" s="32">
        <f>IF(OR($B22="",$H$570=0),"",$H22/$H$570)</f>
        <v/>
      </c>
    </row>
    <row r="23">
      <c r="A23" s="23">
        <f>IF(ROW()-9&gt;NAcctAll,"",ROW()-9)</f>
        <v/>
      </c>
      <c r="B23" s="33">
        <f>IF($A23="","",IF($A23&lt;=NAcctAll,INDEX(PkAcctAll,$A23),""))</f>
        <v/>
      </c>
      <c r="C23" s="28">
        <f>IF($B23="","",IFERROR(IF(VLOOKUP($B23,AcctTbl,4,0)="","(بدون نام)",VLOOKUP($B23,AcctTbl,4,0)),"—"))</f>
        <v/>
      </c>
      <c r="D23" s="24">
        <f>IF($B23="","",IFERROR(IF(VLOOKUP($B23,AcctTbl,3,0)="",IF(VLOOKUP($B23,AcctTbl,2,0)="","—",VLOOKUP($B23,AcctTbl,2,0)),VLOOKUP($B23,AcctTbl,3,0)),"—"))</f>
        <v/>
      </c>
      <c r="E23" s="34">
        <f>IF($B23="","",COUNTIFS(CalcParty,$B23,CalcGroup,"خرید"))</f>
        <v/>
      </c>
      <c r="F23" s="25">
        <f>IF($B23="","",SUMIFS(CalcScale,CalcParty,$B23,CalcGroup,"خرید"))</f>
        <v/>
      </c>
      <c r="G23" s="25">
        <f>IF($B23="","",SUMIFS(CalcBaskets,CalcParty,$B23,CalcGroup,"خرید"))</f>
        <v/>
      </c>
      <c r="H23" s="26">
        <f>IF($B23="","",SUMIFS(CalcNet,CalcParty,$B23,CalcGroup,"خرید"))</f>
        <v/>
      </c>
      <c r="I23" s="24">
        <f>IF($B23="","",IFERROR(IF(VLOOKUP($B23,AcctTbl,5,0)="","—",VLOOKUP($B23,AcctTbl,5,0)),"—"))</f>
        <v/>
      </c>
      <c r="J23" s="24">
        <f>IF($B23="","",IFERROR(IF(VLOOKUP($B23,AcctTbl,6,0)="","—",VLOOKUP($B23,AcctTbl,6,0)),"—"))</f>
        <v/>
      </c>
      <c r="K23" s="35">
        <f>IF(OR($B23="",$H$570=0),"",$H23/$H$570)</f>
        <v/>
      </c>
    </row>
    <row r="24">
      <c r="A24" s="17">
        <f>IF(ROW()-9&gt;NAcctAll,"",ROW()-9)</f>
        <v/>
      </c>
      <c r="B24" s="30">
        <f>IF($A24="","",IF($A24&lt;=NAcctAll,INDEX(PkAcctAll,$A24),""))</f>
        <v/>
      </c>
      <c r="C24" s="22">
        <f>IF($B24="","",IFERROR(IF(VLOOKUP($B24,AcctTbl,4,0)="","(بدون نام)",VLOOKUP($B24,AcctTbl,4,0)),"—"))</f>
        <v/>
      </c>
      <c r="D24" s="18">
        <f>IF($B24="","",IFERROR(IF(VLOOKUP($B24,AcctTbl,3,0)="",IF(VLOOKUP($B24,AcctTbl,2,0)="","—",VLOOKUP($B24,AcctTbl,2,0)),VLOOKUP($B24,AcctTbl,3,0)),"—"))</f>
        <v/>
      </c>
      <c r="E24" s="31">
        <f>IF($B24="","",COUNTIFS(CalcParty,$B24,CalcGroup,"خرید"))</f>
        <v/>
      </c>
      <c r="F24" s="19">
        <f>IF($B24="","",SUMIFS(CalcScale,CalcParty,$B24,CalcGroup,"خرید"))</f>
        <v/>
      </c>
      <c r="G24" s="19">
        <f>IF($B24="","",SUMIFS(CalcBaskets,CalcParty,$B24,CalcGroup,"خرید"))</f>
        <v/>
      </c>
      <c r="H24" s="20">
        <f>IF($B24="","",SUMIFS(CalcNet,CalcParty,$B24,CalcGroup,"خرید"))</f>
        <v/>
      </c>
      <c r="I24" s="18">
        <f>IF($B24="","",IFERROR(IF(VLOOKUP($B24,AcctTbl,5,0)="","—",VLOOKUP($B24,AcctTbl,5,0)),"—"))</f>
        <v/>
      </c>
      <c r="J24" s="18">
        <f>IF($B24="","",IFERROR(IF(VLOOKUP($B24,AcctTbl,6,0)="","—",VLOOKUP($B24,AcctTbl,6,0)),"—"))</f>
        <v/>
      </c>
      <c r="K24" s="32">
        <f>IF(OR($B24="",$H$570=0),"",$H24/$H$570)</f>
        <v/>
      </c>
    </row>
    <row r="25">
      <c r="A25" s="23">
        <f>IF(ROW()-9&gt;NAcctAll,"",ROW()-9)</f>
        <v/>
      </c>
      <c r="B25" s="33">
        <f>IF($A25="","",IF($A25&lt;=NAcctAll,INDEX(PkAcctAll,$A25),""))</f>
        <v/>
      </c>
      <c r="C25" s="28">
        <f>IF($B25="","",IFERROR(IF(VLOOKUP($B25,AcctTbl,4,0)="","(بدون نام)",VLOOKUP($B25,AcctTbl,4,0)),"—"))</f>
        <v/>
      </c>
      <c r="D25" s="24">
        <f>IF($B25="","",IFERROR(IF(VLOOKUP($B25,AcctTbl,3,0)="",IF(VLOOKUP($B25,AcctTbl,2,0)="","—",VLOOKUP($B25,AcctTbl,2,0)),VLOOKUP($B25,AcctTbl,3,0)),"—"))</f>
        <v/>
      </c>
      <c r="E25" s="34">
        <f>IF($B25="","",COUNTIFS(CalcParty,$B25,CalcGroup,"خرید"))</f>
        <v/>
      </c>
      <c r="F25" s="25">
        <f>IF($B25="","",SUMIFS(CalcScale,CalcParty,$B25,CalcGroup,"خرید"))</f>
        <v/>
      </c>
      <c r="G25" s="25">
        <f>IF($B25="","",SUMIFS(CalcBaskets,CalcParty,$B25,CalcGroup,"خرید"))</f>
        <v/>
      </c>
      <c r="H25" s="26">
        <f>IF($B25="","",SUMIFS(CalcNet,CalcParty,$B25,CalcGroup,"خرید"))</f>
        <v/>
      </c>
      <c r="I25" s="24">
        <f>IF($B25="","",IFERROR(IF(VLOOKUP($B25,AcctTbl,5,0)="","—",VLOOKUP($B25,AcctTbl,5,0)),"—"))</f>
        <v/>
      </c>
      <c r="J25" s="24">
        <f>IF($B25="","",IFERROR(IF(VLOOKUP($B25,AcctTbl,6,0)="","—",VLOOKUP($B25,AcctTbl,6,0)),"—"))</f>
        <v/>
      </c>
      <c r="K25" s="35">
        <f>IF(OR($B25="",$H$570=0),"",$H25/$H$570)</f>
        <v/>
      </c>
    </row>
    <row r="26">
      <c r="A26" s="17">
        <f>IF(ROW()-9&gt;NAcctAll,"",ROW()-9)</f>
        <v/>
      </c>
      <c r="B26" s="30">
        <f>IF($A26="","",IF($A26&lt;=NAcctAll,INDEX(PkAcctAll,$A26),""))</f>
        <v/>
      </c>
      <c r="C26" s="22">
        <f>IF($B26="","",IFERROR(IF(VLOOKUP($B26,AcctTbl,4,0)="","(بدون نام)",VLOOKUP($B26,AcctTbl,4,0)),"—"))</f>
        <v/>
      </c>
      <c r="D26" s="18">
        <f>IF($B26="","",IFERROR(IF(VLOOKUP($B26,AcctTbl,3,0)="",IF(VLOOKUP($B26,AcctTbl,2,0)="","—",VLOOKUP($B26,AcctTbl,2,0)),VLOOKUP($B26,AcctTbl,3,0)),"—"))</f>
        <v/>
      </c>
      <c r="E26" s="31">
        <f>IF($B26="","",COUNTIFS(CalcParty,$B26,CalcGroup,"خرید"))</f>
        <v/>
      </c>
      <c r="F26" s="19">
        <f>IF($B26="","",SUMIFS(CalcScale,CalcParty,$B26,CalcGroup,"خرید"))</f>
        <v/>
      </c>
      <c r="G26" s="19">
        <f>IF($B26="","",SUMIFS(CalcBaskets,CalcParty,$B26,CalcGroup,"خرید"))</f>
        <v/>
      </c>
      <c r="H26" s="20">
        <f>IF($B26="","",SUMIFS(CalcNet,CalcParty,$B26,CalcGroup,"خرید"))</f>
        <v/>
      </c>
      <c r="I26" s="18">
        <f>IF($B26="","",IFERROR(IF(VLOOKUP($B26,AcctTbl,5,0)="","—",VLOOKUP($B26,AcctTbl,5,0)),"—"))</f>
        <v/>
      </c>
      <c r="J26" s="18">
        <f>IF($B26="","",IFERROR(IF(VLOOKUP($B26,AcctTbl,6,0)="","—",VLOOKUP($B26,AcctTbl,6,0)),"—"))</f>
        <v/>
      </c>
      <c r="K26" s="32">
        <f>IF(OR($B26="",$H$570=0),"",$H26/$H$570)</f>
        <v/>
      </c>
    </row>
    <row r="27">
      <c r="A27" s="23">
        <f>IF(ROW()-9&gt;NAcctAll,"",ROW()-9)</f>
        <v/>
      </c>
      <c r="B27" s="33">
        <f>IF($A27="","",IF($A27&lt;=NAcctAll,INDEX(PkAcctAll,$A27),""))</f>
        <v/>
      </c>
      <c r="C27" s="28">
        <f>IF($B27="","",IFERROR(IF(VLOOKUP($B27,AcctTbl,4,0)="","(بدون نام)",VLOOKUP($B27,AcctTbl,4,0)),"—"))</f>
        <v/>
      </c>
      <c r="D27" s="24">
        <f>IF($B27="","",IFERROR(IF(VLOOKUP($B27,AcctTbl,3,0)="",IF(VLOOKUP($B27,AcctTbl,2,0)="","—",VLOOKUP($B27,AcctTbl,2,0)),VLOOKUP($B27,AcctTbl,3,0)),"—"))</f>
        <v/>
      </c>
      <c r="E27" s="34">
        <f>IF($B27="","",COUNTIFS(CalcParty,$B27,CalcGroup,"خرید"))</f>
        <v/>
      </c>
      <c r="F27" s="25">
        <f>IF($B27="","",SUMIFS(CalcScale,CalcParty,$B27,CalcGroup,"خرید"))</f>
        <v/>
      </c>
      <c r="G27" s="25">
        <f>IF($B27="","",SUMIFS(CalcBaskets,CalcParty,$B27,CalcGroup,"خرید"))</f>
        <v/>
      </c>
      <c r="H27" s="26">
        <f>IF($B27="","",SUMIFS(CalcNet,CalcParty,$B27,CalcGroup,"خرید"))</f>
        <v/>
      </c>
      <c r="I27" s="24">
        <f>IF($B27="","",IFERROR(IF(VLOOKUP($B27,AcctTbl,5,0)="","—",VLOOKUP($B27,AcctTbl,5,0)),"—"))</f>
        <v/>
      </c>
      <c r="J27" s="24">
        <f>IF($B27="","",IFERROR(IF(VLOOKUP($B27,AcctTbl,6,0)="","—",VLOOKUP($B27,AcctTbl,6,0)),"—"))</f>
        <v/>
      </c>
      <c r="K27" s="35">
        <f>IF(OR($B27="",$H$570=0),"",$H27/$H$570)</f>
        <v/>
      </c>
    </row>
    <row r="28">
      <c r="A28" s="17">
        <f>IF(ROW()-9&gt;NAcctAll,"",ROW()-9)</f>
        <v/>
      </c>
      <c r="B28" s="30">
        <f>IF($A28="","",IF($A28&lt;=NAcctAll,INDEX(PkAcctAll,$A28),""))</f>
        <v/>
      </c>
      <c r="C28" s="22">
        <f>IF($B28="","",IFERROR(IF(VLOOKUP($B28,AcctTbl,4,0)="","(بدون نام)",VLOOKUP($B28,AcctTbl,4,0)),"—"))</f>
        <v/>
      </c>
      <c r="D28" s="18">
        <f>IF($B28="","",IFERROR(IF(VLOOKUP($B28,AcctTbl,3,0)="",IF(VLOOKUP($B28,AcctTbl,2,0)="","—",VLOOKUP($B28,AcctTbl,2,0)),VLOOKUP($B28,AcctTbl,3,0)),"—"))</f>
        <v/>
      </c>
      <c r="E28" s="31">
        <f>IF($B28="","",COUNTIFS(CalcParty,$B28,CalcGroup,"خرید"))</f>
        <v/>
      </c>
      <c r="F28" s="19">
        <f>IF($B28="","",SUMIFS(CalcScale,CalcParty,$B28,CalcGroup,"خرید"))</f>
        <v/>
      </c>
      <c r="G28" s="19">
        <f>IF($B28="","",SUMIFS(CalcBaskets,CalcParty,$B28,CalcGroup,"خرید"))</f>
        <v/>
      </c>
      <c r="H28" s="20">
        <f>IF($B28="","",SUMIFS(CalcNet,CalcParty,$B28,CalcGroup,"خرید"))</f>
        <v/>
      </c>
      <c r="I28" s="18">
        <f>IF($B28="","",IFERROR(IF(VLOOKUP($B28,AcctTbl,5,0)="","—",VLOOKUP($B28,AcctTbl,5,0)),"—"))</f>
        <v/>
      </c>
      <c r="J28" s="18">
        <f>IF($B28="","",IFERROR(IF(VLOOKUP($B28,AcctTbl,6,0)="","—",VLOOKUP($B28,AcctTbl,6,0)),"—"))</f>
        <v/>
      </c>
      <c r="K28" s="32">
        <f>IF(OR($B28="",$H$570=0),"",$H28/$H$570)</f>
        <v/>
      </c>
    </row>
    <row r="29">
      <c r="A29" s="23">
        <f>IF(ROW()-9&gt;NAcctAll,"",ROW()-9)</f>
        <v/>
      </c>
      <c r="B29" s="33">
        <f>IF($A29="","",IF($A29&lt;=NAcctAll,INDEX(PkAcctAll,$A29),""))</f>
        <v/>
      </c>
      <c r="C29" s="28">
        <f>IF($B29="","",IFERROR(IF(VLOOKUP($B29,AcctTbl,4,0)="","(بدون نام)",VLOOKUP($B29,AcctTbl,4,0)),"—"))</f>
        <v/>
      </c>
      <c r="D29" s="24">
        <f>IF($B29="","",IFERROR(IF(VLOOKUP($B29,AcctTbl,3,0)="",IF(VLOOKUP($B29,AcctTbl,2,0)="","—",VLOOKUP($B29,AcctTbl,2,0)),VLOOKUP($B29,AcctTbl,3,0)),"—"))</f>
        <v/>
      </c>
      <c r="E29" s="34">
        <f>IF($B29="","",COUNTIFS(CalcParty,$B29,CalcGroup,"خرید"))</f>
        <v/>
      </c>
      <c r="F29" s="25">
        <f>IF($B29="","",SUMIFS(CalcScale,CalcParty,$B29,CalcGroup,"خرید"))</f>
        <v/>
      </c>
      <c r="G29" s="25">
        <f>IF($B29="","",SUMIFS(CalcBaskets,CalcParty,$B29,CalcGroup,"خرید"))</f>
        <v/>
      </c>
      <c r="H29" s="26">
        <f>IF($B29="","",SUMIFS(CalcNet,CalcParty,$B29,CalcGroup,"خرید"))</f>
        <v/>
      </c>
      <c r="I29" s="24">
        <f>IF($B29="","",IFERROR(IF(VLOOKUP($B29,AcctTbl,5,0)="","—",VLOOKUP($B29,AcctTbl,5,0)),"—"))</f>
        <v/>
      </c>
      <c r="J29" s="24">
        <f>IF($B29="","",IFERROR(IF(VLOOKUP($B29,AcctTbl,6,0)="","—",VLOOKUP($B29,AcctTbl,6,0)),"—"))</f>
        <v/>
      </c>
      <c r="K29" s="35">
        <f>IF(OR($B29="",$H$570=0),"",$H29/$H$570)</f>
        <v/>
      </c>
    </row>
    <row r="30">
      <c r="A30" s="17">
        <f>IF(ROW()-9&gt;NAcctAll,"",ROW()-9)</f>
        <v/>
      </c>
      <c r="B30" s="30">
        <f>IF($A30="","",IF($A30&lt;=NAcctAll,INDEX(PkAcctAll,$A30),""))</f>
        <v/>
      </c>
      <c r="C30" s="22">
        <f>IF($B30="","",IFERROR(IF(VLOOKUP($B30,AcctTbl,4,0)="","(بدون نام)",VLOOKUP($B30,AcctTbl,4,0)),"—"))</f>
        <v/>
      </c>
      <c r="D30" s="18">
        <f>IF($B30="","",IFERROR(IF(VLOOKUP($B30,AcctTbl,3,0)="",IF(VLOOKUP($B30,AcctTbl,2,0)="","—",VLOOKUP($B30,AcctTbl,2,0)),VLOOKUP($B30,AcctTbl,3,0)),"—"))</f>
        <v/>
      </c>
      <c r="E30" s="31">
        <f>IF($B30="","",COUNTIFS(CalcParty,$B30,CalcGroup,"خرید"))</f>
        <v/>
      </c>
      <c r="F30" s="19">
        <f>IF($B30="","",SUMIFS(CalcScale,CalcParty,$B30,CalcGroup,"خرید"))</f>
        <v/>
      </c>
      <c r="G30" s="19">
        <f>IF($B30="","",SUMIFS(CalcBaskets,CalcParty,$B30,CalcGroup,"خرید"))</f>
        <v/>
      </c>
      <c r="H30" s="20">
        <f>IF($B30="","",SUMIFS(CalcNet,CalcParty,$B30,CalcGroup,"خرید"))</f>
        <v/>
      </c>
      <c r="I30" s="18">
        <f>IF($B30="","",IFERROR(IF(VLOOKUP($B30,AcctTbl,5,0)="","—",VLOOKUP($B30,AcctTbl,5,0)),"—"))</f>
        <v/>
      </c>
      <c r="J30" s="18">
        <f>IF($B30="","",IFERROR(IF(VLOOKUP($B30,AcctTbl,6,0)="","—",VLOOKUP($B30,AcctTbl,6,0)),"—"))</f>
        <v/>
      </c>
      <c r="K30" s="32">
        <f>IF(OR($B30="",$H$570=0),"",$H30/$H$570)</f>
        <v/>
      </c>
    </row>
    <row r="31">
      <c r="A31" s="23">
        <f>IF(ROW()-9&gt;NAcctAll,"",ROW()-9)</f>
        <v/>
      </c>
      <c r="B31" s="33">
        <f>IF($A31="","",IF($A31&lt;=NAcctAll,INDEX(PkAcctAll,$A31),""))</f>
        <v/>
      </c>
      <c r="C31" s="28">
        <f>IF($B31="","",IFERROR(IF(VLOOKUP($B31,AcctTbl,4,0)="","(بدون نام)",VLOOKUP($B31,AcctTbl,4,0)),"—"))</f>
        <v/>
      </c>
      <c r="D31" s="24">
        <f>IF($B31="","",IFERROR(IF(VLOOKUP($B31,AcctTbl,3,0)="",IF(VLOOKUP($B31,AcctTbl,2,0)="","—",VLOOKUP($B31,AcctTbl,2,0)),VLOOKUP($B31,AcctTbl,3,0)),"—"))</f>
        <v/>
      </c>
      <c r="E31" s="34">
        <f>IF($B31="","",COUNTIFS(CalcParty,$B31,CalcGroup,"خرید"))</f>
        <v/>
      </c>
      <c r="F31" s="25">
        <f>IF($B31="","",SUMIFS(CalcScale,CalcParty,$B31,CalcGroup,"خرید"))</f>
        <v/>
      </c>
      <c r="G31" s="25">
        <f>IF($B31="","",SUMIFS(CalcBaskets,CalcParty,$B31,CalcGroup,"خرید"))</f>
        <v/>
      </c>
      <c r="H31" s="26">
        <f>IF($B31="","",SUMIFS(CalcNet,CalcParty,$B31,CalcGroup,"خرید"))</f>
        <v/>
      </c>
      <c r="I31" s="24">
        <f>IF($B31="","",IFERROR(IF(VLOOKUP($B31,AcctTbl,5,0)="","—",VLOOKUP($B31,AcctTbl,5,0)),"—"))</f>
        <v/>
      </c>
      <c r="J31" s="24">
        <f>IF($B31="","",IFERROR(IF(VLOOKUP($B31,AcctTbl,6,0)="","—",VLOOKUP($B31,AcctTbl,6,0)),"—"))</f>
        <v/>
      </c>
      <c r="K31" s="35">
        <f>IF(OR($B31="",$H$570=0),"",$H31/$H$570)</f>
        <v/>
      </c>
    </row>
    <row r="32">
      <c r="A32" s="17">
        <f>IF(ROW()-9&gt;NAcctAll,"",ROW()-9)</f>
        <v/>
      </c>
      <c r="B32" s="30">
        <f>IF($A32="","",IF($A32&lt;=NAcctAll,INDEX(PkAcctAll,$A32),""))</f>
        <v/>
      </c>
      <c r="C32" s="22">
        <f>IF($B32="","",IFERROR(IF(VLOOKUP($B32,AcctTbl,4,0)="","(بدون نام)",VLOOKUP($B32,AcctTbl,4,0)),"—"))</f>
        <v/>
      </c>
      <c r="D32" s="18">
        <f>IF($B32="","",IFERROR(IF(VLOOKUP($B32,AcctTbl,3,0)="",IF(VLOOKUP($B32,AcctTbl,2,0)="","—",VLOOKUP($B32,AcctTbl,2,0)),VLOOKUP($B32,AcctTbl,3,0)),"—"))</f>
        <v/>
      </c>
      <c r="E32" s="31">
        <f>IF($B32="","",COUNTIFS(CalcParty,$B32,CalcGroup,"خرید"))</f>
        <v/>
      </c>
      <c r="F32" s="19">
        <f>IF($B32="","",SUMIFS(CalcScale,CalcParty,$B32,CalcGroup,"خرید"))</f>
        <v/>
      </c>
      <c r="G32" s="19">
        <f>IF($B32="","",SUMIFS(CalcBaskets,CalcParty,$B32,CalcGroup,"خرید"))</f>
        <v/>
      </c>
      <c r="H32" s="20">
        <f>IF($B32="","",SUMIFS(CalcNet,CalcParty,$B32,CalcGroup,"خرید"))</f>
        <v/>
      </c>
      <c r="I32" s="18">
        <f>IF($B32="","",IFERROR(IF(VLOOKUP($B32,AcctTbl,5,0)="","—",VLOOKUP($B32,AcctTbl,5,0)),"—"))</f>
        <v/>
      </c>
      <c r="J32" s="18">
        <f>IF($B32="","",IFERROR(IF(VLOOKUP($B32,AcctTbl,6,0)="","—",VLOOKUP($B32,AcctTbl,6,0)),"—"))</f>
        <v/>
      </c>
      <c r="K32" s="32">
        <f>IF(OR($B32="",$H$570=0),"",$H32/$H$570)</f>
        <v/>
      </c>
    </row>
    <row r="33">
      <c r="A33" s="23">
        <f>IF(ROW()-9&gt;NAcctAll,"",ROW()-9)</f>
        <v/>
      </c>
      <c r="B33" s="33">
        <f>IF($A33="","",IF($A33&lt;=NAcctAll,INDEX(PkAcctAll,$A33),""))</f>
        <v/>
      </c>
      <c r="C33" s="28">
        <f>IF($B33="","",IFERROR(IF(VLOOKUP($B33,AcctTbl,4,0)="","(بدون نام)",VLOOKUP($B33,AcctTbl,4,0)),"—"))</f>
        <v/>
      </c>
      <c r="D33" s="24">
        <f>IF($B33="","",IFERROR(IF(VLOOKUP($B33,AcctTbl,3,0)="",IF(VLOOKUP($B33,AcctTbl,2,0)="","—",VLOOKUP($B33,AcctTbl,2,0)),VLOOKUP($B33,AcctTbl,3,0)),"—"))</f>
        <v/>
      </c>
      <c r="E33" s="34">
        <f>IF($B33="","",COUNTIFS(CalcParty,$B33,CalcGroup,"خرید"))</f>
        <v/>
      </c>
      <c r="F33" s="25">
        <f>IF($B33="","",SUMIFS(CalcScale,CalcParty,$B33,CalcGroup,"خرید"))</f>
        <v/>
      </c>
      <c r="G33" s="25">
        <f>IF($B33="","",SUMIFS(CalcBaskets,CalcParty,$B33,CalcGroup,"خرید"))</f>
        <v/>
      </c>
      <c r="H33" s="26">
        <f>IF($B33="","",SUMIFS(CalcNet,CalcParty,$B33,CalcGroup,"خرید"))</f>
        <v/>
      </c>
      <c r="I33" s="24">
        <f>IF($B33="","",IFERROR(IF(VLOOKUP($B33,AcctTbl,5,0)="","—",VLOOKUP($B33,AcctTbl,5,0)),"—"))</f>
        <v/>
      </c>
      <c r="J33" s="24">
        <f>IF($B33="","",IFERROR(IF(VLOOKUP($B33,AcctTbl,6,0)="","—",VLOOKUP($B33,AcctTbl,6,0)),"—"))</f>
        <v/>
      </c>
      <c r="K33" s="35">
        <f>IF(OR($B33="",$H$570=0),"",$H33/$H$570)</f>
        <v/>
      </c>
    </row>
    <row r="34">
      <c r="A34" s="17">
        <f>IF(ROW()-9&gt;NAcctAll,"",ROW()-9)</f>
        <v/>
      </c>
      <c r="B34" s="30">
        <f>IF($A34="","",IF($A34&lt;=NAcctAll,INDEX(PkAcctAll,$A34),""))</f>
        <v/>
      </c>
      <c r="C34" s="22">
        <f>IF($B34="","",IFERROR(IF(VLOOKUP($B34,AcctTbl,4,0)="","(بدون نام)",VLOOKUP($B34,AcctTbl,4,0)),"—"))</f>
        <v/>
      </c>
      <c r="D34" s="18">
        <f>IF($B34="","",IFERROR(IF(VLOOKUP($B34,AcctTbl,3,0)="",IF(VLOOKUP($B34,AcctTbl,2,0)="","—",VLOOKUP($B34,AcctTbl,2,0)),VLOOKUP($B34,AcctTbl,3,0)),"—"))</f>
        <v/>
      </c>
      <c r="E34" s="31">
        <f>IF($B34="","",COUNTIFS(CalcParty,$B34,CalcGroup,"خرید"))</f>
        <v/>
      </c>
      <c r="F34" s="19">
        <f>IF($B34="","",SUMIFS(CalcScale,CalcParty,$B34,CalcGroup,"خرید"))</f>
        <v/>
      </c>
      <c r="G34" s="19">
        <f>IF($B34="","",SUMIFS(CalcBaskets,CalcParty,$B34,CalcGroup,"خرید"))</f>
        <v/>
      </c>
      <c r="H34" s="20">
        <f>IF($B34="","",SUMIFS(CalcNet,CalcParty,$B34,CalcGroup,"خرید"))</f>
        <v/>
      </c>
      <c r="I34" s="18">
        <f>IF($B34="","",IFERROR(IF(VLOOKUP($B34,AcctTbl,5,0)="","—",VLOOKUP($B34,AcctTbl,5,0)),"—"))</f>
        <v/>
      </c>
      <c r="J34" s="18">
        <f>IF($B34="","",IFERROR(IF(VLOOKUP($B34,AcctTbl,6,0)="","—",VLOOKUP($B34,AcctTbl,6,0)),"—"))</f>
        <v/>
      </c>
      <c r="K34" s="32">
        <f>IF(OR($B34="",$H$570=0),"",$H34/$H$570)</f>
        <v/>
      </c>
    </row>
    <row r="35">
      <c r="A35" s="23">
        <f>IF(ROW()-9&gt;NAcctAll,"",ROW()-9)</f>
        <v/>
      </c>
      <c r="B35" s="33">
        <f>IF($A35="","",IF($A35&lt;=NAcctAll,INDEX(PkAcctAll,$A35),""))</f>
        <v/>
      </c>
      <c r="C35" s="28">
        <f>IF($B35="","",IFERROR(IF(VLOOKUP($B35,AcctTbl,4,0)="","(بدون نام)",VLOOKUP($B35,AcctTbl,4,0)),"—"))</f>
        <v/>
      </c>
      <c r="D35" s="24">
        <f>IF($B35="","",IFERROR(IF(VLOOKUP($B35,AcctTbl,3,0)="",IF(VLOOKUP($B35,AcctTbl,2,0)="","—",VLOOKUP($B35,AcctTbl,2,0)),VLOOKUP($B35,AcctTbl,3,0)),"—"))</f>
        <v/>
      </c>
      <c r="E35" s="34">
        <f>IF($B35="","",COUNTIFS(CalcParty,$B35,CalcGroup,"خرید"))</f>
        <v/>
      </c>
      <c r="F35" s="25">
        <f>IF($B35="","",SUMIFS(CalcScale,CalcParty,$B35,CalcGroup,"خرید"))</f>
        <v/>
      </c>
      <c r="G35" s="25">
        <f>IF($B35="","",SUMIFS(CalcBaskets,CalcParty,$B35,CalcGroup,"خرید"))</f>
        <v/>
      </c>
      <c r="H35" s="26">
        <f>IF($B35="","",SUMIFS(CalcNet,CalcParty,$B35,CalcGroup,"خرید"))</f>
        <v/>
      </c>
      <c r="I35" s="24">
        <f>IF($B35="","",IFERROR(IF(VLOOKUP($B35,AcctTbl,5,0)="","—",VLOOKUP($B35,AcctTbl,5,0)),"—"))</f>
        <v/>
      </c>
      <c r="J35" s="24">
        <f>IF($B35="","",IFERROR(IF(VLOOKUP($B35,AcctTbl,6,0)="","—",VLOOKUP($B35,AcctTbl,6,0)),"—"))</f>
        <v/>
      </c>
      <c r="K35" s="35">
        <f>IF(OR($B35="",$H$570=0),"",$H35/$H$570)</f>
        <v/>
      </c>
    </row>
    <row r="36">
      <c r="A36" s="17">
        <f>IF(ROW()-9&gt;NAcctAll,"",ROW()-9)</f>
        <v/>
      </c>
      <c r="B36" s="30">
        <f>IF($A36="","",IF($A36&lt;=NAcctAll,INDEX(PkAcctAll,$A36),""))</f>
        <v/>
      </c>
      <c r="C36" s="22">
        <f>IF($B36="","",IFERROR(IF(VLOOKUP($B36,AcctTbl,4,0)="","(بدون نام)",VLOOKUP($B36,AcctTbl,4,0)),"—"))</f>
        <v/>
      </c>
      <c r="D36" s="18">
        <f>IF($B36="","",IFERROR(IF(VLOOKUP($B36,AcctTbl,3,0)="",IF(VLOOKUP($B36,AcctTbl,2,0)="","—",VLOOKUP($B36,AcctTbl,2,0)),VLOOKUP($B36,AcctTbl,3,0)),"—"))</f>
        <v/>
      </c>
      <c r="E36" s="31">
        <f>IF($B36="","",COUNTIFS(CalcParty,$B36,CalcGroup,"خرید"))</f>
        <v/>
      </c>
      <c r="F36" s="19">
        <f>IF($B36="","",SUMIFS(CalcScale,CalcParty,$B36,CalcGroup,"خرید"))</f>
        <v/>
      </c>
      <c r="G36" s="19">
        <f>IF($B36="","",SUMIFS(CalcBaskets,CalcParty,$B36,CalcGroup,"خرید"))</f>
        <v/>
      </c>
      <c r="H36" s="20">
        <f>IF($B36="","",SUMIFS(CalcNet,CalcParty,$B36,CalcGroup,"خرید"))</f>
        <v/>
      </c>
      <c r="I36" s="18">
        <f>IF($B36="","",IFERROR(IF(VLOOKUP($B36,AcctTbl,5,0)="","—",VLOOKUP($B36,AcctTbl,5,0)),"—"))</f>
        <v/>
      </c>
      <c r="J36" s="18">
        <f>IF($B36="","",IFERROR(IF(VLOOKUP($B36,AcctTbl,6,0)="","—",VLOOKUP($B36,AcctTbl,6,0)),"—"))</f>
        <v/>
      </c>
      <c r="K36" s="32">
        <f>IF(OR($B36="",$H$570=0),"",$H36/$H$570)</f>
        <v/>
      </c>
    </row>
    <row r="37">
      <c r="A37" s="23">
        <f>IF(ROW()-9&gt;NAcctAll,"",ROW()-9)</f>
        <v/>
      </c>
      <c r="B37" s="33">
        <f>IF($A37="","",IF($A37&lt;=NAcctAll,INDEX(PkAcctAll,$A37),""))</f>
        <v/>
      </c>
      <c r="C37" s="28">
        <f>IF($B37="","",IFERROR(IF(VLOOKUP($B37,AcctTbl,4,0)="","(بدون نام)",VLOOKUP($B37,AcctTbl,4,0)),"—"))</f>
        <v/>
      </c>
      <c r="D37" s="24">
        <f>IF($B37="","",IFERROR(IF(VLOOKUP($B37,AcctTbl,3,0)="",IF(VLOOKUP($B37,AcctTbl,2,0)="","—",VLOOKUP($B37,AcctTbl,2,0)),VLOOKUP($B37,AcctTbl,3,0)),"—"))</f>
        <v/>
      </c>
      <c r="E37" s="34">
        <f>IF($B37="","",COUNTIFS(CalcParty,$B37,CalcGroup,"خرید"))</f>
        <v/>
      </c>
      <c r="F37" s="25">
        <f>IF($B37="","",SUMIFS(CalcScale,CalcParty,$B37,CalcGroup,"خرید"))</f>
        <v/>
      </c>
      <c r="G37" s="25">
        <f>IF($B37="","",SUMIFS(CalcBaskets,CalcParty,$B37,CalcGroup,"خرید"))</f>
        <v/>
      </c>
      <c r="H37" s="26">
        <f>IF($B37="","",SUMIFS(CalcNet,CalcParty,$B37,CalcGroup,"خرید"))</f>
        <v/>
      </c>
      <c r="I37" s="24">
        <f>IF($B37="","",IFERROR(IF(VLOOKUP($B37,AcctTbl,5,0)="","—",VLOOKUP($B37,AcctTbl,5,0)),"—"))</f>
        <v/>
      </c>
      <c r="J37" s="24">
        <f>IF($B37="","",IFERROR(IF(VLOOKUP($B37,AcctTbl,6,0)="","—",VLOOKUP($B37,AcctTbl,6,0)),"—"))</f>
        <v/>
      </c>
      <c r="K37" s="35">
        <f>IF(OR($B37="",$H$570=0),"",$H37/$H$570)</f>
        <v/>
      </c>
    </row>
    <row r="38">
      <c r="A38" s="17">
        <f>IF(ROW()-9&gt;NAcctAll,"",ROW()-9)</f>
        <v/>
      </c>
      <c r="B38" s="30">
        <f>IF($A38="","",IF($A38&lt;=NAcctAll,INDEX(PkAcctAll,$A38),""))</f>
        <v/>
      </c>
      <c r="C38" s="22">
        <f>IF($B38="","",IFERROR(IF(VLOOKUP($B38,AcctTbl,4,0)="","(بدون نام)",VLOOKUP($B38,AcctTbl,4,0)),"—"))</f>
        <v/>
      </c>
      <c r="D38" s="18">
        <f>IF($B38="","",IFERROR(IF(VLOOKUP($B38,AcctTbl,3,0)="",IF(VLOOKUP($B38,AcctTbl,2,0)="","—",VLOOKUP($B38,AcctTbl,2,0)),VLOOKUP($B38,AcctTbl,3,0)),"—"))</f>
        <v/>
      </c>
      <c r="E38" s="31">
        <f>IF($B38="","",COUNTIFS(CalcParty,$B38,CalcGroup,"خرید"))</f>
        <v/>
      </c>
      <c r="F38" s="19">
        <f>IF($B38="","",SUMIFS(CalcScale,CalcParty,$B38,CalcGroup,"خرید"))</f>
        <v/>
      </c>
      <c r="G38" s="19">
        <f>IF($B38="","",SUMIFS(CalcBaskets,CalcParty,$B38,CalcGroup,"خرید"))</f>
        <v/>
      </c>
      <c r="H38" s="20">
        <f>IF($B38="","",SUMIFS(CalcNet,CalcParty,$B38,CalcGroup,"خرید"))</f>
        <v/>
      </c>
      <c r="I38" s="18">
        <f>IF($B38="","",IFERROR(IF(VLOOKUP($B38,AcctTbl,5,0)="","—",VLOOKUP($B38,AcctTbl,5,0)),"—"))</f>
        <v/>
      </c>
      <c r="J38" s="18">
        <f>IF($B38="","",IFERROR(IF(VLOOKUP($B38,AcctTbl,6,0)="","—",VLOOKUP($B38,AcctTbl,6,0)),"—"))</f>
        <v/>
      </c>
      <c r="K38" s="32">
        <f>IF(OR($B38="",$H$570=0),"",$H38/$H$570)</f>
        <v/>
      </c>
    </row>
    <row r="39">
      <c r="A39" s="23">
        <f>IF(ROW()-9&gt;NAcctAll,"",ROW()-9)</f>
        <v/>
      </c>
      <c r="B39" s="33">
        <f>IF($A39="","",IF($A39&lt;=NAcctAll,INDEX(PkAcctAll,$A39),""))</f>
        <v/>
      </c>
      <c r="C39" s="28">
        <f>IF($B39="","",IFERROR(IF(VLOOKUP($B39,AcctTbl,4,0)="","(بدون نام)",VLOOKUP($B39,AcctTbl,4,0)),"—"))</f>
        <v/>
      </c>
      <c r="D39" s="24">
        <f>IF($B39="","",IFERROR(IF(VLOOKUP($B39,AcctTbl,3,0)="",IF(VLOOKUP($B39,AcctTbl,2,0)="","—",VLOOKUP($B39,AcctTbl,2,0)),VLOOKUP($B39,AcctTbl,3,0)),"—"))</f>
        <v/>
      </c>
      <c r="E39" s="34">
        <f>IF($B39="","",COUNTIFS(CalcParty,$B39,CalcGroup,"خرید"))</f>
        <v/>
      </c>
      <c r="F39" s="25">
        <f>IF($B39="","",SUMIFS(CalcScale,CalcParty,$B39,CalcGroup,"خرید"))</f>
        <v/>
      </c>
      <c r="G39" s="25">
        <f>IF($B39="","",SUMIFS(CalcBaskets,CalcParty,$B39,CalcGroup,"خرید"))</f>
        <v/>
      </c>
      <c r="H39" s="26">
        <f>IF($B39="","",SUMIFS(CalcNet,CalcParty,$B39,CalcGroup,"خرید"))</f>
        <v/>
      </c>
      <c r="I39" s="24">
        <f>IF($B39="","",IFERROR(IF(VLOOKUP($B39,AcctTbl,5,0)="","—",VLOOKUP($B39,AcctTbl,5,0)),"—"))</f>
        <v/>
      </c>
      <c r="J39" s="24">
        <f>IF($B39="","",IFERROR(IF(VLOOKUP($B39,AcctTbl,6,0)="","—",VLOOKUP($B39,AcctTbl,6,0)),"—"))</f>
        <v/>
      </c>
      <c r="K39" s="35">
        <f>IF(OR($B39="",$H$570=0),"",$H39/$H$570)</f>
        <v/>
      </c>
    </row>
    <row r="40">
      <c r="A40" s="17">
        <f>IF(ROW()-9&gt;NAcctAll,"",ROW()-9)</f>
        <v/>
      </c>
      <c r="B40" s="30">
        <f>IF($A40="","",IF($A40&lt;=NAcctAll,INDEX(PkAcctAll,$A40),""))</f>
        <v/>
      </c>
      <c r="C40" s="22">
        <f>IF($B40="","",IFERROR(IF(VLOOKUP($B40,AcctTbl,4,0)="","(بدون نام)",VLOOKUP($B40,AcctTbl,4,0)),"—"))</f>
        <v/>
      </c>
      <c r="D40" s="18">
        <f>IF($B40="","",IFERROR(IF(VLOOKUP($B40,AcctTbl,3,0)="",IF(VLOOKUP($B40,AcctTbl,2,0)="","—",VLOOKUP($B40,AcctTbl,2,0)),VLOOKUP($B40,AcctTbl,3,0)),"—"))</f>
        <v/>
      </c>
      <c r="E40" s="31">
        <f>IF($B40="","",COUNTIFS(CalcParty,$B40,CalcGroup,"خرید"))</f>
        <v/>
      </c>
      <c r="F40" s="19">
        <f>IF($B40="","",SUMIFS(CalcScale,CalcParty,$B40,CalcGroup,"خرید"))</f>
        <v/>
      </c>
      <c r="G40" s="19">
        <f>IF($B40="","",SUMIFS(CalcBaskets,CalcParty,$B40,CalcGroup,"خرید"))</f>
        <v/>
      </c>
      <c r="H40" s="20">
        <f>IF($B40="","",SUMIFS(CalcNet,CalcParty,$B40,CalcGroup,"خرید"))</f>
        <v/>
      </c>
      <c r="I40" s="18">
        <f>IF($B40="","",IFERROR(IF(VLOOKUP($B40,AcctTbl,5,0)="","—",VLOOKUP($B40,AcctTbl,5,0)),"—"))</f>
        <v/>
      </c>
      <c r="J40" s="18">
        <f>IF($B40="","",IFERROR(IF(VLOOKUP($B40,AcctTbl,6,0)="","—",VLOOKUP($B40,AcctTbl,6,0)),"—"))</f>
        <v/>
      </c>
      <c r="K40" s="32">
        <f>IF(OR($B40="",$H$570=0),"",$H40/$H$570)</f>
        <v/>
      </c>
    </row>
    <row r="41">
      <c r="A41" s="23">
        <f>IF(ROW()-9&gt;NAcctAll,"",ROW()-9)</f>
        <v/>
      </c>
      <c r="B41" s="33">
        <f>IF($A41="","",IF($A41&lt;=NAcctAll,INDEX(PkAcctAll,$A41),""))</f>
        <v/>
      </c>
      <c r="C41" s="28">
        <f>IF($B41="","",IFERROR(IF(VLOOKUP($B41,AcctTbl,4,0)="","(بدون نام)",VLOOKUP($B41,AcctTbl,4,0)),"—"))</f>
        <v/>
      </c>
      <c r="D41" s="24">
        <f>IF($B41="","",IFERROR(IF(VLOOKUP($B41,AcctTbl,3,0)="",IF(VLOOKUP($B41,AcctTbl,2,0)="","—",VLOOKUP($B41,AcctTbl,2,0)),VLOOKUP($B41,AcctTbl,3,0)),"—"))</f>
        <v/>
      </c>
      <c r="E41" s="34">
        <f>IF($B41="","",COUNTIFS(CalcParty,$B41,CalcGroup,"خرید"))</f>
        <v/>
      </c>
      <c r="F41" s="25">
        <f>IF($B41="","",SUMIFS(CalcScale,CalcParty,$B41,CalcGroup,"خرید"))</f>
        <v/>
      </c>
      <c r="G41" s="25">
        <f>IF($B41="","",SUMIFS(CalcBaskets,CalcParty,$B41,CalcGroup,"خرید"))</f>
        <v/>
      </c>
      <c r="H41" s="26">
        <f>IF($B41="","",SUMIFS(CalcNet,CalcParty,$B41,CalcGroup,"خرید"))</f>
        <v/>
      </c>
      <c r="I41" s="24">
        <f>IF($B41="","",IFERROR(IF(VLOOKUP($B41,AcctTbl,5,0)="","—",VLOOKUP($B41,AcctTbl,5,0)),"—"))</f>
        <v/>
      </c>
      <c r="J41" s="24">
        <f>IF($B41="","",IFERROR(IF(VLOOKUP($B41,AcctTbl,6,0)="","—",VLOOKUP($B41,AcctTbl,6,0)),"—"))</f>
        <v/>
      </c>
      <c r="K41" s="35">
        <f>IF(OR($B41="",$H$570=0),"",$H41/$H$570)</f>
        <v/>
      </c>
    </row>
    <row r="42">
      <c r="A42" s="17">
        <f>IF(ROW()-9&gt;NAcctAll,"",ROW()-9)</f>
        <v/>
      </c>
      <c r="B42" s="30">
        <f>IF($A42="","",IF($A42&lt;=NAcctAll,INDEX(PkAcctAll,$A42),""))</f>
        <v/>
      </c>
      <c r="C42" s="22">
        <f>IF($B42="","",IFERROR(IF(VLOOKUP($B42,AcctTbl,4,0)="","(بدون نام)",VLOOKUP($B42,AcctTbl,4,0)),"—"))</f>
        <v/>
      </c>
      <c r="D42" s="18">
        <f>IF($B42="","",IFERROR(IF(VLOOKUP($B42,AcctTbl,3,0)="",IF(VLOOKUP($B42,AcctTbl,2,0)="","—",VLOOKUP($B42,AcctTbl,2,0)),VLOOKUP($B42,AcctTbl,3,0)),"—"))</f>
        <v/>
      </c>
      <c r="E42" s="31">
        <f>IF($B42="","",COUNTIFS(CalcParty,$B42,CalcGroup,"خرید"))</f>
        <v/>
      </c>
      <c r="F42" s="19">
        <f>IF($B42="","",SUMIFS(CalcScale,CalcParty,$B42,CalcGroup,"خرید"))</f>
        <v/>
      </c>
      <c r="G42" s="19">
        <f>IF($B42="","",SUMIFS(CalcBaskets,CalcParty,$B42,CalcGroup,"خرید"))</f>
        <v/>
      </c>
      <c r="H42" s="20">
        <f>IF($B42="","",SUMIFS(CalcNet,CalcParty,$B42,CalcGroup,"خرید"))</f>
        <v/>
      </c>
      <c r="I42" s="18">
        <f>IF($B42="","",IFERROR(IF(VLOOKUP($B42,AcctTbl,5,0)="","—",VLOOKUP($B42,AcctTbl,5,0)),"—"))</f>
        <v/>
      </c>
      <c r="J42" s="18">
        <f>IF($B42="","",IFERROR(IF(VLOOKUP($B42,AcctTbl,6,0)="","—",VLOOKUP($B42,AcctTbl,6,0)),"—"))</f>
        <v/>
      </c>
      <c r="K42" s="32">
        <f>IF(OR($B42="",$H$570=0),"",$H42/$H$570)</f>
        <v/>
      </c>
    </row>
    <row r="43">
      <c r="A43" s="23">
        <f>IF(ROW()-9&gt;NAcctAll,"",ROW()-9)</f>
        <v/>
      </c>
      <c r="B43" s="33">
        <f>IF($A43="","",IF($A43&lt;=NAcctAll,INDEX(PkAcctAll,$A43),""))</f>
        <v/>
      </c>
      <c r="C43" s="28">
        <f>IF($B43="","",IFERROR(IF(VLOOKUP($B43,AcctTbl,4,0)="","(بدون نام)",VLOOKUP($B43,AcctTbl,4,0)),"—"))</f>
        <v/>
      </c>
      <c r="D43" s="24">
        <f>IF($B43="","",IFERROR(IF(VLOOKUP($B43,AcctTbl,3,0)="",IF(VLOOKUP($B43,AcctTbl,2,0)="","—",VLOOKUP($B43,AcctTbl,2,0)),VLOOKUP($B43,AcctTbl,3,0)),"—"))</f>
        <v/>
      </c>
      <c r="E43" s="34">
        <f>IF($B43="","",COUNTIFS(CalcParty,$B43,CalcGroup,"خرید"))</f>
        <v/>
      </c>
      <c r="F43" s="25">
        <f>IF($B43="","",SUMIFS(CalcScale,CalcParty,$B43,CalcGroup,"خرید"))</f>
        <v/>
      </c>
      <c r="G43" s="25">
        <f>IF($B43="","",SUMIFS(CalcBaskets,CalcParty,$B43,CalcGroup,"خرید"))</f>
        <v/>
      </c>
      <c r="H43" s="26">
        <f>IF($B43="","",SUMIFS(CalcNet,CalcParty,$B43,CalcGroup,"خرید"))</f>
        <v/>
      </c>
      <c r="I43" s="24">
        <f>IF($B43="","",IFERROR(IF(VLOOKUP($B43,AcctTbl,5,0)="","—",VLOOKUP($B43,AcctTbl,5,0)),"—"))</f>
        <v/>
      </c>
      <c r="J43" s="24">
        <f>IF($B43="","",IFERROR(IF(VLOOKUP($B43,AcctTbl,6,0)="","—",VLOOKUP($B43,AcctTbl,6,0)),"—"))</f>
        <v/>
      </c>
      <c r="K43" s="35">
        <f>IF(OR($B43="",$H$570=0),"",$H43/$H$570)</f>
        <v/>
      </c>
    </row>
    <row r="44">
      <c r="A44" s="17">
        <f>IF(ROW()-9&gt;NAcctAll,"",ROW()-9)</f>
        <v/>
      </c>
      <c r="B44" s="30">
        <f>IF($A44="","",IF($A44&lt;=NAcctAll,INDEX(PkAcctAll,$A44),""))</f>
        <v/>
      </c>
      <c r="C44" s="22">
        <f>IF($B44="","",IFERROR(IF(VLOOKUP($B44,AcctTbl,4,0)="","(بدون نام)",VLOOKUP($B44,AcctTbl,4,0)),"—"))</f>
        <v/>
      </c>
      <c r="D44" s="18">
        <f>IF($B44="","",IFERROR(IF(VLOOKUP($B44,AcctTbl,3,0)="",IF(VLOOKUP($B44,AcctTbl,2,0)="","—",VLOOKUP($B44,AcctTbl,2,0)),VLOOKUP($B44,AcctTbl,3,0)),"—"))</f>
        <v/>
      </c>
      <c r="E44" s="31">
        <f>IF($B44="","",COUNTIFS(CalcParty,$B44,CalcGroup,"خرید"))</f>
        <v/>
      </c>
      <c r="F44" s="19">
        <f>IF($B44="","",SUMIFS(CalcScale,CalcParty,$B44,CalcGroup,"خرید"))</f>
        <v/>
      </c>
      <c r="G44" s="19">
        <f>IF($B44="","",SUMIFS(CalcBaskets,CalcParty,$B44,CalcGroup,"خرید"))</f>
        <v/>
      </c>
      <c r="H44" s="20">
        <f>IF($B44="","",SUMIFS(CalcNet,CalcParty,$B44,CalcGroup,"خرید"))</f>
        <v/>
      </c>
      <c r="I44" s="18">
        <f>IF($B44="","",IFERROR(IF(VLOOKUP($B44,AcctTbl,5,0)="","—",VLOOKUP($B44,AcctTbl,5,0)),"—"))</f>
        <v/>
      </c>
      <c r="J44" s="18">
        <f>IF($B44="","",IFERROR(IF(VLOOKUP($B44,AcctTbl,6,0)="","—",VLOOKUP($B44,AcctTbl,6,0)),"—"))</f>
        <v/>
      </c>
      <c r="K44" s="32">
        <f>IF(OR($B44="",$H$570=0),"",$H44/$H$570)</f>
        <v/>
      </c>
    </row>
    <row r="45">
      <c r="A45" s="23">
        <f>IF(ROW()-9&gt;NAcctAll,"",ROW()-9)</f>
        <v/>
      </c>
      <c r="B45" s="33">
        <f>IF($A45="","",IF($A45&lt;=NAcctAll,INDEX(PkAcctAll,$A45),""))</f>
        <v/>
      </c>
      <c r="C45" s="28">
        <f>IF($B45="","",IFERROR(IF(VLOOKUP($B45,AcctTbl,4,0)="","(بدون نام)",VLOOKUP($B45,AcctTbl,4,0)),"—"))</f>
        <v/>
      </c>
      <c r="D45" s="24">
        <f>IF($B45="","",IFERROR(IF(VLOOKUP($B45,AcctTbl,3,0)="",IF(VLOOKUP($B45,AcctTbl,2,0)="","—",VLOOKUP($B45,AcctTbl,2,0)),VLOOKUP($B45,AcctTbl,3,0)),"—"))</f>
        <v/>
      </c>
      <c r="E45" s="34">
        <f>IF($B45="","",COUNTIFS(CalcParty,$B45,CalcGroup,"خرید"))</f>
        <v/>
      </c>
      <c r="F45" s="25">
        <f>IF($B45="","",SUMIFS(CalcScale,CalcParty,$B45,CalcGroup,"خرید"))</f>
        <v/>
      </c>
      <c r="G45" s="25">
        <f>IF($B45="","",SUMIFS(CalcBaskets,CalcParty,$B45,CalcGroup,"خرید"))</f>
        <v/>
      </c>
      <c r="H45" s="26">
        <f>IF($B45="","",SUMIFS(CalcNet,CalcParty,$B45,CalcGroup,"خرید"))</f>
        <v/>
      </c>
      <c r="I45" s="24">
        <f>IF($B45="","",IFERROR(IF(VLOOKUP($B45,AcctTbl,5,0)="","—",VLOOKUP($B45,AcctTbl,5,0)),"—"))</f>
        <v/>
      </c>
      <c r="J45" s="24">
        <f>IF($B45="","",IFERROR(IF(VLOOKUP($B45,AcctTbl,6,0)="","—",VLOOKUP($B45,AcctTbl,6,0)),"—"))</f>
        <v/>
      </c>
      <c r="K45" s="35">
        <f>IF(OR($B45="",$H$570=0),"",$H45/$H$570)</f>
        <v/>
      </c>
    </row>
    <row r="46">
      <c r="A46" s="17">
        <f>IF(ROW()-9&gt;NAcctAll,"",ROW()-9)</f>
        <v/>
      </c>
      <c r="B46" s="30">
        <f>IF($A46="","",IF($A46&lt;=NAcctAll,INDEX(PkAcctAll,$A46),""))</f>
        <v/>
      </c>
      <c r="C46" s="22">
        <f>IF($B46="","",IFERROR(IF(VLOOKUP($B46,AcctTbl,4,0)="","(بدون نام)",VLOOKUP($B46,AcctTbl,4,0)),"—"))</f>
        <v/>
      </c>
      <c r="D46" s="18">
        <f>IF($B46="","",IFERROR(IF(VLOOKUP($B46,AcctTbl,3,0)="",IF(VLOOKUP($B46,AcctTbl,2,0)="","—",VLOOKUP($B46,AcctTbl,2,0)),VLOOKUP($B46,AcctTbl,3,0)),"—"))</f>
        <v/>
      </c>
      <c r="E46" s="31">
        <f>IF($B46="","",COUNTIFS(CalcParty,$B46,CalcGroup,"خرید"))</f>
        <v/>
      </c>
      <c r="F46" s="19">
        <f>IF($B46="","",SUMIFS(CalcScale,CalcParty,$B46,CalcGroup,"خرید"))</f>
        <v/>
      </c>
      <c r="G46" s="19">
        <f>IF($B46="","",SUMIFS(CalcBaskets,CalcParty,$B46,CalcGroup,"خرید"))</f>
        <v/>
      </c>
      <c r="H46" s="20">
        <f>IF($B46="","",SUMIFS(CalcNet,CalcParty,$B46,CalcGroup,"خرید"))</f>
        <v/>
      </c>
      <c r="I46" s="18">
        <f>IF($B46="","",IFERROR(IF(VLOOKUP($B46,AcctTbl,5,0)="","—",VLOOKUP($B46,AcctTbl,5,0)),"—"))</f>
        <v/>
      </c>
      <c r="J46" s="18">
        <f>IF($B46="","",IFERROR(IF(VLOOKUP($B46,AcctTbl,6,0)="","—",VLOOKUP($B46,AcctTbl,6,0)),"—"))</f>
        <v/>
      </c>
      <c r="K46" s="32">
        <f>IF(OR($B46="",$H$570=0),"",$H46/$H$570)</f>
        <v/>
      </c>
    </row>
    <row r="47">
      <c r="A47" s="23">
        <f>IF(ROW()-9&gt;NAcctAll,"",ROW()-9)</f>
        <v/>
      </c>
      <c r="B47" s="33">
        <f>IF($A47="","",IF($A47&lt;=NAcctAll,INDEX(PkAcctAll,$A47),""))</f>
        <v/>
      </c>
      <c r="C47" s="28">
        <f>IF($B47="","",IFERROR(IF(VLOOKUP($B47,AcctTbl,4,0)="","(بدون نام)",VLOOKUP($B47,AcctTbl,4,0)),"—"))</f>
        <v/>
      </c>
      <c r="D47" s="24">
        <f>IF($B47="","",IFERROR(IF(VLOOKUP($B47,AcctTbl,3,0)="",IF(VLOOKUP($B47,AcctTbl,2,0)="","—",VLOOKUP($B47,AcctTbl,2,0)),VLOOKUP($B47,AcctTbl,3,0)),"—"))</f>
        <v/>
      </c>
      <c r="E47" s="34">
        <f>IF($B47="","",COUNTIFS(CalcParty,$B47,CalcGroup,"خرید"))</f>
        <v/>
      </c>
      <c r="F47" s="25">
        <f>IF($B47="","",SUMIFS(CalcScale,CalcParty,$B47,CalcGroup,"خرید"))</f>
        <v/>
      </c>
      <c r="G47" s="25">
        <f>IF($B47="","",SUMIFS(CalcBaskets,CalcParty,$B47,CalcGroup,"خرید"))</f>
        <v/>
      </c>
      <c r="H47" s="26">
        <f>IF($B47="","",SUMIFS(CalcNet,CalcParty,$B47,CalcGroup,"خرید"))</f>
        <v/>
      </c>
      <c r="I47" s="24">
        <f>IF($B47="","",IFERROR(IF(VLOOKUP($B47,AcctTbl,5,0)="","—",VLOOKUP($B47,AcctTbl,5,0)),"—"))</f>
        <v/>
      </c>
      <c r="J47" s="24">
        <f>IF($B47="","",IFERROR(IF(VLOOKUP($B47,AcctTbl,6,0)="","—",VLOOKUP($B47,AcctTbl,6,0)),"—"))</f>
        <v/>
      </c>
      <c r="K47" s="35">
        <f>IF(OR($B47="",$H$570=0),"",$H47/$H$570)</f>
        <v/>
      </c>
    </row>
    <row r="48">
      <c r="A48" s="17">
        <f>IF(ROW()-9&gt;NAcctAll,"",ROW()-9)</f>
        <v/>
      </c>
      <c r="B48" s="30">
        <f>IF($A48="","",IF($A48&lt;=NAcctAll,INDEX(PkAcctAll,$A48),""))</f>
        <v/>
      </c>
      <c r="C48" s="22">
        <f>IF($B48="","",IFERROR(IF(VLOOKUP($B48,AcctTbl,4,0)="","(بدون نام)",VLOOKUP($B48,AcctTbl,4,0)),"—"))</f>
        <v/>
      </c>
      <c r="D48" s="18">
        <f>IF($B48="","",IFERROR(IF(VLOOKUP($B48,AcctTbl,3,0)="",IF(VLOOKUP($B48,AcctTbl,2,0)="","—",VLOOKUP($B48,AcctTbl,2,0)),VLOOKUP($B48,AcctTbl,3,0)),"—"))</f>
        <v/>
      </c>
      <c r="E48" s="31">
        <f>IF($B48="","",COUNTIFS(CalcParty,$B48,CalcGroup,"خرید"))</f>
        <v/>
      </c>
      <c r="F48" s="19">
        <f>IF($B48="","",SUMIFS(CalcScale,CalcParty,$B48,CalcGroup,"خرید"))</f>
        <v/>
      </c>
      <c r="G48" s="19">
        <f>IF($B48="","",SUMIFS(CalcBaskets,CalcParty,$B48,CalcGroup,"خرید"))</f>
        <v/>
      </c>
      <c r="H48" s="20">
        <f>IF($B48="","",SUMIFS(CalcNet,CalcParty,$B48,CalcGroup,"خرید"))</f>
        <v/>
      </c>
      <c r="I48" s="18">
        <f>IF($B48="","",IFERROR(IF(VLOOKUP($B48,AcctTbl,5,0)="","—",VLOOKUP($B48,AcctTbl,5,0)),"—"))</f>
        <v/>
      </c>
      <c r="J48" s="18">
        <f>IF($B48="","",IFERROR(IF(VLOOKUP($B48,AcctTbl,6,0)="","—",VLOOKUP($B48,AcctTbl,6,0)),"—"))</f>
        <v/>
      </c>
      <c r="K48" s="32">
        <f>IF(OR($B48="",$H$570=0),"",$H48/$H$570)</f>
        <v/>
      </c>
    </row>
    <row r="49">
      <c r="A49" s="23">
        <f>IF(ROW()-9&gt;NAcctAll,"",ROW()-9)</f>
        <v/>
      </c>
      <c r="B49" s="33">
        <f>IF($A49="","",IF($A49&lt;=NAcctAll,INDEX(PkAcctAll,$A49),""))</f>
        <v/>
      </c>
      <c r="C49" s="28">
        <f>IF($B49="","",IFERROR(IF(VLOOKUP($B49,AcctTbl,4,0)="","(بدون نام)",VLOOKUP($B49,AcctTbl,4,0)),"—"))</f>
        <v/>
      </c>
      <c r="D49" s="24">
        <f>IF($B49="","",IFERROR(IF(VLOOKUP($B49,AcctTbl,3,0)="",IF(VLOOKUP($B49,AcctTbl,2,0)="","—",VLOOKUP($B49,AcctTbl,2,0)),VLOOKUP($B49,AcctTbl,3,0)),"—"))</f>
        <v/>
      </c>
      <c r="E49" s="34">
        <f>IF($B49="","",COUNTIFS(CalcParty,$B49,CalcGroup,"خرید"))</f>
        <v/>
      </c>
      <c r="F49" s="25">
        <f>IF($B49="","",SUMIFS(CalcScale,CalcParty,$B49,CalcGroup,"خرید"))</f>
        <v/>
      </c>
      <c r="G49" s="25">
        <f>IF($B49="","",SUMIFS(CalcBaskets,CalcParty,$B49,CalcGroup,"خرید"))</f>
        <v/>
      </c>
      <c r="H49" s="26">
        <f>IF($B49="","",SUMIFS(CalcNet,CalcParty,$B49,CalcGroup,"خرید"))</f>
        <v/>
      </c>
      <c r="I49" s="24">
        <f>IF($B49="","",IFERROR(IF(VLOOKUP($B49,AcctTbl,5,0)="","—",VLOOKUP($B49,AcctTbl,5,0)),"—"))</f>
        <v/>
      </c>
      <c r="J49" s="24">
        <f>IF($B49="","",IFERROR(IF(VLOOKUP($B49,AcctTbl,6,0)="","—",VLOOKUP($B49,AcctTbl,6,0)),"—"))</f>
        <v/>
      </c>
      <c r="K49" s="35">
        <f>IF(OR($B49="",$H$570=0),"",$H49/$H$570)</f>
        <v/>
      </c>
    </row>
    <row r="50">
      <c r="A50" s="17">
        <f>IF(ROW()-9&gt;NAcctAll,"",ROW()-9)</f>
        <v/>
      </c>
      <c r="B50" s="30">
        <f>IF($A50="","",IF($A50&lt;=NAcctAll,INDEX(PkAcctAll,$A50),""))</f>
        <v/>
      </c>
      <c r="C50" s="22">
        <f>IF($B50="","",IFERROR(IF(VLOOKUP($B50,AcctTbl,4,0)="","(بدون نام)",VLOOKUP($B50,AcctTbl,4,0)),"—"))</f>
        <v/>
      </c>
      <c r="D50" s="18">
        <f>IF($B50="","",IFERROR(IF(VLOOKUP($B50,AcctTbl,3,0)="",IF(VLOOKUP($B50,AcctTbl,2,0)="","—",VLOOKUP($B50,AcctTbl,2,0)),VLOOKUP($B50,AcctTbl,3,0)),"—"))</f>
        <v/>
      </c>
      <c r="E50" s="31">
        <f>IF($B50="","",COUNTIFS(CalcParty,$B50,CalcGroup,"خرید"))</f>
        <v/>
      </c>
      <c r="F50" s="19">
        <f>IF($B50="","",SUMIFS(CalcScale,CalcParty,$B50,CalcGroup,"خرید"))</f>
        <v/>
      </c>
      <c r="G50" s="19">
        <f>IF($B50="","",SUMIFS(CalcBaskets,CalcParty,$B50,CalcGroup,"خرید"))</f>
        <v/>
      </c>
      <c r="H50" s="20">
        <f>IF($B50="","",SUMIFS(CalcNet,CalcParty,$B50,CalcGroup,"خرید"))</f>
        <v/>
      </c>
      <c r="I50" s="18">
        <f>IF($B50="","",IFERROR(IF(VLOOKUP($B50,AcctTbl,5,0)="","—",VLOOKUP($B50,AcctTbl,5,0)),"—"))</f>
        <v/>
      </c>
      <c r="J50" s="18">
        <f>IF($B50="","",IFERROR(IF(VLOOKUP($B50,AcctTbl,6,0)="","—",VLOOKUP($B50,AcctTbl,6,0)),"—"))</f>
        <v/>
      </c>
      <c r="K50" s="32">
        <f>IF(OR($B50="",$H$570=0),"",$H50/$H$570)</f>
        <v/>
      </c>
    </row>
    <row r="51">
      <c r="A51" s="23">
        <f>IF(ROW()-9&gt;NAcctAll,"",ROW()-9)</f>
        <v/>
      </c>
      <c r="B51" s="33">
        <f>IF($A51="","",IF($A51&lt;=NAcctAll,INDEX(PkAcctAll,$A51),""))</f>
        <v/>
      </c>
      <c r="C51" s="28">
        <f>IF($B51="","",IFERROR(IF(VLOOKUP($B51,AcctTbl,4,0)="","(بدون نام)",VLOOKUP($B51,AcctTbl,4,0)),"—"))</f>
        <v/>
      </c>
      <c r="D51" s="24">
        <f>IF($B51="","",IFERROR(IF(VLOOKUP($B51,AcctTbl,3,0)="",IF(VLOOKUP($B51,AcctTbl,2,0)="","—",VLOOKUP($B51,AcctTbl,2,0)),VLOOKUP($B51,AcctTbl,3,0)),"—"))</f>
        <v/>
      </c>
      <c r="E51" s="34">
        <f>IF($B51="","",COUNTIFS(CalcParty,$B51,CalcGroup,"خرید"))</f>
        <v/>
      </c>
      <c r="F51" s="25">
        <f>IF($B51="","",SUMIFS(CalcScale,CalcParty,$B51,CalcGroup,"خرید"))</f>
        <v/>
      </c>
      <c r="G51" s="25">
        <f>IF($B51="","",SUMIFS(CalcBaskets,CalcParty,$B51,CalcGroup,"خرید"))</f>
        <v/>
      </c>
      <c r="H51" s="26">
        <f>IF($B51="","",SUMIFS(CalcNet,CalcParty,$B51,CalcGroup,"خرید"))</f>
        <v/>
      </c>
      <c r="I51" s="24">
        <f>IF($B51="","",IFERROR(IF(VLOOKUP($B51,AcctTbl,5,0)="","—",VLOOKUP($B51,AcctTbl,5,0)),"—"))</f>
        <v/>
      </c>
      <c r="J51" s="24">
        <f>IF($B51="","",IFERROR(IF(VLOOKUP($B51,AcctTbl,6,0)="","—",VLOOKUP($B51,AcctTbl,6,0)),"—"))</f>
        <v/>
      </c>
      <c r="K51" s="35">
        <f>IF(OR($B51="",$H$570=0),"",$H51/$H$570)</f>
        <v/>
      </c>
    </row>
    <row r="52">
      <c r="A52" s="17">
        <f>IF(ROW()-9&gt;NAcctAll,"",ROW()-9)</f>
        <v/>
      </c>
      <c r="B52" s="30">
        <f>IF($A52="","",IF($A52&lt;=NAcctAll,INDEX(PkAcctAll,$A52),""))</f>
        <v/>
      </c>
      <c r="C52" s="22">
        <f>IF($B52="","",IFERROR(IF(VLOOKUP($B52,AcctTbl,4,0)="","(بدون نام)",VLOOKUP($B52,AcctTbl,4,0)),"—"))</f>
        <v/>
      </c>
      <c r="D52" s="18">
        <f>IF($B52="","",IFERROR(IF(VLOOKUP($B52,AcctTbl,3,0)="",IF(VLOOKUP($B52,AcctTbl,2,0)="","—",VLOOKUP($B52,AcctTbl,2,0)),VLOOKUP($B52,AcctTbl,3,0)),"—"))</f>
        <v/>
      </c>
      <c r="E52" s="31">
        <f>IF($B52="","",COUNTIFS(CalcParty,$B52,CalcGroup,"خرید"))</f>
        <v/>
      </c>
      <c r="F52" s="19">
        <f>IF($B52="","",SUMIFS(CalcScale,CalcParty,$B52,CalcGroup,"خرید"))</f>
        <v/>
      </c>
      <c r="G52" s="19">
        <f>IF($B52="","",SUMIFS(CalcBaskets,CalcParty,$B52,CalcGroup,"خرید"))</f>
        <v/>
      </c>
      <c r="H52" s="20">
        <f>IF($B52="","",SUMIFS(CalcNet,CalcParty,$B52,CalcGroup,"خرید"))</f>
        <v/>
      </c>
      <c r="I52" s="18">
        <f>IF($B52="","",IFERROR(IF(VLOOKUP($B52,AcctTbl,5,0)="","—",VLOOKUP($B52,AcctTbl,5,0)),"—"))</f>
        <v/>
      </c>
      <c r="J52" s="18">
        <f>IF($B52="","",IFERROR(IF(VLOOKUP($B52,AcctTbl,6,0)="","—",VLOOKUP($B52,AcctTbl,6,0)),"—"))</f>
        <v/>
      </c>
      <c r="K52" s="32">
        <f>IF(OR($B52="",$H$570=0),"",$H52/$H$570)</f>
        <v/>
      </c>
    </row>
    <row r="53">
      <c r="A53" s="23">
        <f>IF(ROW()-9&gt;NAcctAll,"",ROW()-9)</f>
        <v/>
      </c>
      <c r="B53" s="33">
        <f>IF($A53="","",IF($A53&lt;=NAcctAll,INDEX(PkAcctAll,$A53),""))</f>
        <v/>
      </c>
      <c r="C53" s="28">
        <f>IF($B53="","",IFERROR(IF(VLOOKUP($B53,AcctTbl,4,0)="","(بدون نام)",VLOOKUP($B53,AcctTbl,4,0)),"—"))</f>
        <v/>
      </c>
      <c r="D53" s="24">
        <f>IF($B53="","",IFERROR(IF(VLOOKUP($B53,AcctTbl,3,0)="",IF(VLOOKUP($B53,AcctTbl,2,0)="","—",VLOOKUP($B53,AcctTbl,2,0)),VLOOKUP($B53,AcctTbl,3,0)),"—"))</f>
        <v/>
      </c>
      <c r="E53" s="34">
        <f>IF($B53="","",COUNTIFS(CalcParty,$B53,CalcGroup,"خرید"))</f>
        <v/>
      </c>
      <c r="F53" s="25">
        <f>IF($B53="","",SUMIFS(CalcScale,CalcParty,$B53,CalcGroup,"خرید"))</f>
        <v/>
      </c>
      <c r="G53" s="25">
        <f>IF($B53="","",SUMIFS(CalcBaskets,CalcParty,$B53,CalcGroup,"خرید"))</f>
        <v/>
      </c>
      <c r="H53" s="26">
        <f>IF($B53="","",SUMIFS(CalcNet,CalcParty,$B53,CalcGroup,"خرید"))</f>
        <v/>
      </c>
      <c r="I53" s="24">
        <f>IF($B53="","",IFERROR(IF(VLOOKUP($B53,AcctTbl,5,0)="","—",VLOOKUP($B53,AcctTbl,5,0)),"—"))</f>
        <v/>
      </c>
      <c r="J53" s="24">
        <f>IF($B53="","",IFERROR(IF(VLOOKUP($B53,AcctTbl,6,0)="","—",VLOOKUP($B53,AcctTbl,6,0)),"—"))</f>
        <v/>
      </c>
      <c r="K53" s="35">
        <f>IF(OR($B53="",$H$570=0),"",$H53/$H$570)</f>
        <v/>
      </c>
    </row>
    <row r="54">
      <c r="A54" s="17">
        <f>IF(ROW()-9&gt;NAcctAll,"",ROW()-9)</f>
        <v/>
      </c>
      <c r="B54" s="30">
        <f>IF($A54="","",IF($A54&lt;=NAcctAll,INDEX(PkAcctAll,$A54),""))</f>
        <v/>
      </c>
      <c r="C54" s="22">
        <f>IF($B54="","",IFERROR(IF(VLOOKUP($B54,AcctTbl,4,0)="","(بدون نام)",VLOOKUP($B54,AcctTbl,4,0)),"—"))</f>
        <v/>
      </c>
      <c r="D54" s="18">
        <f>IF($B54="","",IFERROR(IF(VLOOKUP($B54,AcctTbl,3,0)="",IF(VLOOKUP($B54,AcctTbl,2,0)="","—",VLOOKUP($B54,AcctTbl,2,0)),VLOOKUP($B54,AcctTbl,3,0)),"—"))</f>
        <v/>
      </c>
      <c r="E54" s="31">
        <f>IF($B54="","",COUNTIFS(CalcParty,$B54,CalcGroup,"خرید"))</f>
        <v/>
      </c>
      <c r="F54" s="19">
        <f>IF($B54="","",SUMIFS(CalcScale,CalcParty,$B54,CalcGroup,"خرید"))</f>
        <v/>
      </c>
      <c r="G54" s="19">
        <f>IF($B54="","",SUMIFS(CalcBaskets,CalcParty,$B54,CalcGroup,"خرید"))</f>
        <v/>
      </c>
      <c r="H54" s="20">
        <f>IF($B54="","",SUMIFS(CalcNet,CalcParty,$B54,CalcGroup,"خرید"))</f>
        <v/>
      </c>
      <c r="I54" s="18">
        <f>IF($B54="","",IFERROR(IF(VLOOKUP($B54,AcctTbl,5,0)="","—",VLOOKUP($B54,AcctTbl,5,0)),"—"))</f>
        <v/>
      </c>
      <c r="J54" s="18">
        <f>IF($B54="","",IFERROR(IF(VLOOKUP($B54,AcctTbl,6,0)="","—",VLOOKUP($B54,AcctTbl,6,0)),"—"))</f>
        <v/>
      </c>
      <c r="K54" s="32">
        <f>IF(OR($B54="",$H$570=0),"",$H54/$H$570)</f>
        <v/>
      </c>
    </row>
    <row r="55">
      <c r="A55" s="23">
        <f>IF(ROW()-9&gt;NAcctAll,"",ROW()-9)</f>
        <v/>
      </c>
      <c r="B55" s="33">
        <f>IF($A55="","",IF($A55&lt;=NAcctAll,INDEX(PkAcctAll,$A55),""))</f>
        <v/>
      </c>
      <c r="C55" s="28">
        <f>IF($B55="","",IFERROR(IF(VLOOKUP($B55,AcctTbl,4,0)="","(بدون نام)",VLOOKUP($B55,AcctTbl,4,0)),"—"))</f>
        <v/>
      </c>
      <c r="D55" s="24">
        <f>IF($B55="","",IFERROR(IF(VLOOKUP($B55,AcctTbl,3,0)="",IF(VLOOKUP($B55,AcctTbl,2,0)="","—",VLOOKUP($B55,AcctTbl,2,0)),VLOOKUP($B55,AcctTbl,3,0)),"—"))</f>
        <v/>
      </c>
      <c r="E55" s="34">
        <f>IF($B55="","",COUNTIFS(CalcParty,$B55,CalcGroup,"خرید"))</f>
        <v/>
      </c>
      <c r="F55" s="25">
        <f>IF($B55="","",SUMIFS(CalcScale,CalcParty,$B55,CalcGroup,"خرید"))</f>
        <v/>
      </c>
      <c r="G55" s="25">
        <f>IF($B55="","",SUMIFS(CalcBaskets,CalcParty,$B55,CalcGroup,"خرید"))</f>
        <v/>
      </c>
      <c r="H55" s="26">
        <f>IF($B55="","",SUMIFS(CalcNet,CalcParty,$B55,CalcGroup,"خرید"))</f>
        <v/>
      </c>
      <c r="I55" s="24">
        <f>IF($B55="","",IFERROR(IF(VLOOKUP($B55,AcctTbl,5,0)="","—",VLOOKUP($B55,AcctTbl,5,0)),"—"))</f>
        <v/>
      </c>
      <c r="J55" s="24">
        <f>IF($B55="","",IFERROR(IF(VLOOKUP($B55,AcctTbl,6,0)="","—",VLOOKUP($B55,AcctTbl,6,0)),"—"))</f>
        <v/>
      </c>
      <c r="K55" s="35">
        <f>IF(OR($B55="",$H$570=0),"",$H55/$H$570)</f>
        <v/>
      </c>
    </row>
    <row r="56">
      <c r="A56" s="17">
        <f>IF(ROW()-9&gt;NAcctAll,"",ROW()-9)</f>
        <v/>
      </c>
      <c r="B56" s="30">
        <f>IF($A56="","",IF($A56&lt;=NAcctAll,INDEX(PkAcctAll,$A56),""))</f>
        <v/>
      </c>
      <c r="C56" s="22">
        <f>IF($B56="","",IFERROR(IF(VLOOKUP($B56,AcctTbl,4,0)="","(بدون نام)",VLOOKUP($B56,AcctTbl,4,0)),"—"))</f>
        <v/>
      </c>
      <c r="D56" s="18">
        <f>IF($B56="","",IFERROR(IF(VLOOKUP($B56,AcctTbl,3,0)="",IF(VLOOKUP($B56,AcctTbl,2,0)="","—",VLOOKUP($B56,AcctTbl,2,0)),VLOOKUP($B56,AcctTbl,3,0)),"—"))</f>
        <v/>
      </c>
      <c r="E56" s="31">
        <f>IF($B56="","",COUNTIFS(CalcParty,$B56,CalcGroup,"خرید"))</f>
        <v/>
      </c>
      <c r="F56" s="19">
        <f>IF($B56="","",SUMIFS(CalcScale,CalcParty,$B56,CalcGroup,"خرید"))</f>
        <v/>
      </c>
      <c r="G56" s="19">
        <f>IF($B56="","",SUMIFS(CalcBaskets,CalcParty,$B56,CalcGroup,"خرید"))</f>
        <v/>
      </c>
      <c r="H56" s="20">
        <f>IF($B56="","",SUMIFS(CalcNet,CalcParty,$B56,CalcGroup,"خرید"))</f>
        <v/>
      </c>
      <c r="I56" s="18">
        <f>IF($B56="","",IFERROR(IF(VLOOKUP($B56,AcctTbl,5,0)="","—",VLOOKUP($B56,AcctTbl,5,0)),"—"))</f>
        <v/>
      </c>
      <c r="J56" s="18">
        <f>IF($B56="","",IFERROR(IF(VLOOKUP($B56,AcctTbl,6,0)="","—",VLOOKUP($B56,AcctTbl,6,0)),"—"))</f>
        <v/>
      </c>
      <c r="K56" s="32">
        <f>IF(OR($B56="",$H$570=0),"",$H56/$H$570)</f>
        <v/>
      </c>
    </row>
    <row r="57">
      <c r="A57" s="23">
        <f>IF(ROW()-9&gt;NAcctAll,"",ROW()-9)</f>
        <v/>
      </c>
      <c r="B57" s="33">
        <f>IF($A57="","",IF($A57&lt;=NAcctAll,INDEX(PkAcctAll,$A57),""))</f>
        <v/>
      </c>
      <c r="C57" s="28">
        <f>IF($B57="","",IFERROR(IF(VLOOKUP($B57,AcctTbl,4,0)="","(بدون نام)",VLOOKUP($B57,AcctTbl,4,0)),"—"))</f>
        <v/>
      </c>
      <c r="D57" s="24">
        <f>IF($B57="","",IFERROR(IF(VLOOKUP($B57,AcctTbl,3,0)="",IF(VLOOKUP($B57,AcctTbl,2,0)="","—",VLOOKUP($B57,AcctTbl,2,0)),VLOOKUP($B57,AcctTbl,3,0)),"—"))</f>
        <v/>
      </c>
      <c r="E57" s="34">
        <f>IF($B57="","",COUNTIFS(CalcParty,$B57,CalcGroup,"خرید"))</f>
        <v/>
      </c>
      <c r="F57" s="25">
        <f>IF($B57="","",SUMIFS(CalcScale,CalcParty,$B57,CalcGroup,"خرید"))</f>
        <v/>
      </c>
      <c r="G57" s="25">
        <f>IF($B57="","",SUMIFS(CalcBaskets,CalcParty,$B57,CalcGroup,"خرید"))</f>
        <v/>
      </c>
      <c r="H57" s="26">
        <f>IF($B57="","",SUMIFS(CalcNet,CalcParty,$B57,CalcGroup,"خرید"))</f>
        <v/>
      </c>
      <c r="I57" s="24">
        <f>IF($B57="","",IFERROR(IF(VLOOKUP($B57,AcctTbl,5,0)="","—",VLOOKUP($B57,AcctTbl,5,0)),"—"))</f>
        <v/>
      </c>
      <c r="J57" s="24">
        <f>IF($B57="","",IFERROR(IF(VLOOKUP($B57,AcctTbl,6,0)="","—",VLOOKUP($B57,AcctTbl,6,0)),"—"))</f>
        <v/>
      </c>
      <c r="K57" s="35">
        <f>IF(OR($B57="",$H$570=0),"",$H57/$H$570)</f>
        <v/>
      </c>
    </row>
    <row r="58">
      <c r="A58" s="17">
        <f>IF(ROW()-9&gt;NAcctAll,"",ROW()-9)</f>
        <v/>
      </c>
      <c r="B58" s="30">
        <f>IF($A58="","",IF($A58&lt;=NAcctAll,INDEX(PkAcctAll,$A58),""))</f>
        <v/>
      </c>
      <c r="C58" s="22">
        <f>IF($B58="","",IFERROR(IF(VLOOKUP($B58,AcctTbl,4,0)="","(بدون نام)",VLOOKUP($B58,AcctTbl,4,0)),"—"))</f>
        <v/>
      </c>
      <c r="D58" s="18">
        <f>IF($B58="","",IFERROR(IF(VLOOKUP($B58,AcctTbl,3,0)="",IF(VLOOKUP($B58,AcctTbl,2,0)="","—",VLOOKUP($B58,AcctTbl,2,0)),VLOOKUP($B58,AcctTbl,3,0)),"—"))</f>
        <v/>
      </c>
      <c r="E58" s="31">
        <f>IF($B58="","",COUNTIFS(CalcParty,$B58,CalcGroup,"خرید"))</f>
        <v/>
      </c>
      <c r="F58" s="19">
        <f>IF($B58="","",SUMIFS(CalcScale,CalcParty,$B58,CalcGroup,"خرید"))</f>
        <v/>
      </c>
      <c r="G58" s="19">
        <f>IF($B58="","",SUMIFS(CalcBaskets,CalcParty,$B58,CalcGroup,"خرید"))</f>
        <v/>
      </c>
      <c r="H58" s="20">
        <f>IF($B58="","",SUMIFS(CalcNet,CalcParty,$B58,CalcGroup,"خرید"))</f>
        <v/>
      </c>
      <c r="I58" s="18">
        <f>IF($B58="","",IFERROR(IF(VLOOKUP($B58,AcctTbl,5,0)="","—",VLOOKUP($B58,AcctTbl,5,0)),"—"))</f>
        <v/>
      </c>
      <c r="J58" s="18">
        <f>IF($B58="","",IFERROR(IF(VLOOKUP($B58,AcctTbl,6,0)="","—",VLOOKUP($B58,AcctTbl,6,0)),"—"))</f>
        <v/>
      </c>
      <c r="K58" s="32">
        <f>IF(OR($B58="",$H$570=0),"",$H58/$H$570)</f>
        <v/>
      </c>
    </row>
    <row r="59">
      <c r="A59" s="23">
        <f>IF(ROW()-9&gt;NAcctAll,"",ROW()-9)</f>
        <v/>
      </c>
      <c r="B59" s="33">
        <f>IF($A59="","",IF($A59&lt;=NAcctAll,INDEX(PkAcctAll,$A59),""))</f>
        <v/>
      </c>
      <c r="C59" s="28">
        <f>IF($B59="","",IFERROR(IF(VLOOKUP($B59,AcctTbl,4,0)="","(بدون نام)",VLOOKUP($B59,AcctTbl,4,0)),"—"))</f>
        <v/>
      </c>
      <c r="D59" s="24">
        <f>IF($B59="","",IFERROR(IF(VLOOKUP($B59,AcctTbl,3,0)="",IF(VLOOKUP($B59,AcctTbl,2,0)="","—",VLOOKUP($B59,AcctTbl,2,0)),VLOOKUP($B59,AcctTbl,3,0)),"—"))</f>
        <v/>
      </c>
      <c r="E59" s="34">
        <f>IF($B59="","",COUNTIFS(CalcParty,$B59,CalcGroup,"خرید"))</f>
        <v/>
      </c>
      <c r="F59" s="25">
        <f>IF($B59="","",SUMIFS(CalcScale,CalcParty,$B59,CalcGroup,"خرید"))</f>
        <v/>
      </c>
      <c r="G59" s="25">
        <f>IF($B59="","",SUMIFS(CalcBaskets,CalcParty,$B59,CalcGroup,"خرید"))</f>
        <v/>
      </c>
      <c r="H59" s="26">
        <f>IF($B59="","",SUMIFS(CalcNet,CalcParty,$B59,CalcGroup,"خرید"))</f>
        <v/>
      </c>
      <c r="I59" s="24">
        <f>IF($B59="","",IFERROR(IF(VLOOKUP($B59,AcctTbl,5,0)="","—",VLOOKUP($B59,AcctTbl,5,0)),"—"))</f>
        <v/>
      </c>
      <c r="J59" s="24">
        <f>IF($B59="","",IFERROR(IF(VLOOKUP($B59,AcctTbl,6,0)="","—",VLOOKUP($B59,AcctTbl,6,0)),"—"))</f>
        <v/>
      </c>
      <c r="K59" s="35">
        <f>IF(OR($B59="",$H$570=0),"",$H59/$H$570)</f>
        <v/>
      </c>
    </row>
    <row r="60">
      <c r="A60" s="17">
        <f>IF(ROW()-9&gt;NAcctAll,"",ROW()-9)</f>
        <v/>
      </c>
      <c r="B60" s="30">
        <f>IF($A60="","",IF($A60&lt;=NAcctAll,INDEX(PkAcctAll,$A60),""))</f>
        <v/>
      </c>
      <c r="C60" s="22">
        <f>IF($B60="","",IFERROR(IF(VLOOKUP($B60,AcctTbl,4,0)="","(بدون نام)",VLOOKUP($B60,AcctTbl,4,0)),"—"))</f>
        <v/>
      </c>
      <c r="D60" s="18">
        <f>IF($B60="","",IFERROR(IF(VLOOKUP($B60,AcctTbl,3,0)="",IF(VLOOKUP($B60,AcctTbl,2,0)="","—",VLOOKUP($B60,AcctTbl,2,0)),VLOOKUP($B60,AcctTbl,3,0)),"—"))</f>
        <v/>
      </c>
      <c r="E60" s="31">
        <f>IF($B60="","",COUNTIFS(CalcParty,$B60,CalcGroup,"خرید"))</f>
        <v/>
      </c>
      <c r="F60" s="19">
        <f>IF($B60="","",SUMIFS(CalcScale,CalcParty,$B60,CalcGroup,"خرید"))</f>
        <v/>
      </c>
      <c r="G60" s="19">
        <f>IF($B60="","",SUMIFS(CalcBaskets,CalcParty,$B60,CalcGroup,"خرید"))</f>
        <v/>
      </c>
      <c r="H60" s="20">
        <f>IF($B60="","",SUMIFS(CalcNet,CalcParty,$B60,CalcGroup,"خرید"))</f>
        <v/>
      </c>
      <c r="I60" s="18">
        <f>IF($B60="","",IFERROR(IF(VLOOKUP($B60,AcctTbl,5,0)="","—",VLOOKUP($B60,AcctTbl,5,0)),"—"))</f>
        <v/>
      </c>
      <c r="J60" s="18">
        <f>IF($B60="","",IFERROR(IF(VLOOKUP($B60,AcctTbl,6,0)="","—",VLOOKUP($B60,AcctTbl,6,0)),"—"))</f>
        <v/>
      </c>
      <c r="K60" s="32">
        <f>IF(OR($B60="",$H$570=0),"",$H60/$H$570)</f>
        <v/>
      </c>
    </row>
    <row r="61">
      <c r="A61" s="23">
        <f>IF(ROW()-9&gt;NAcctAll,"",ROW()-9)</f>
        <v/>
      </c>
      <c r="B61" s="33">
        <f>IF($A61="","",IF($A61&lt;=NAcctAll,INDEX(PkAcctAll,$A61),""))</f>
        <v/>
      </c>
      <c r="C61" s="28">
        <f>IF($B61="","",IFERROR(IF(VLOOKUP($B61,AcctTbl,4,0)="","(بدون نام)",VLOOKUP($B61,AcctTbl,4,0)),"—"))</f>
        <v/>
      </c>
      <c r="D61" s="24">
        <f>IF($B61="","",IFERROR(IF(VLOOKUP($B61,AcctTbl,3,0)="",IF(VLOOKUP($B61,AcctTbl,2,0)="","—",VLOOKUP($B61,AcctTbl,2,0)),VLOOKUP($B61,AcctTbl,3,0)),"—"))</f>
        <v/>
      </c>
      <c r="E61" s="34">
        <f>IF($B61="","",COUNTIFS(CalcParty,$B61,CalcGroup,"خرید"))</f>
        <v/>
      </c>
      <c r="F61" s="25">
        <f>IF($B61="","",SUMIFS(CalcScale,CalcParty,$B61,CalcGroup,"خرید"))</f>
        <v/>
      </c>
      <c r="G61" s="25">
        <f>IF($B61="","",SUMIFS(CalcBaskets,CalcParty,$B61,CalcGroup,"خرید"))</f>
        <v/>
      </c>
      <c r="H61" s="26">
        <f>IF($B61="","",SUMIFS(CalcNet,CalcParty,$B61,CalcGroup,"خرید"))</f>
        <v/>
      </c>
      <c r="I61" s="24">
        <f>IF($B61="","",IFERROR(IF(VLOOKUP($B61,AcctTbl,5,0)="","—",VLOOKUP($B61,AcctTbl,5,0)),"—"))</f>
        <v/>
      </c>
      <c r="J61" s="24">
        <f>IF($B61="","",IFERROR(IF(VLOOKUP($B61,AcctTbl,6,0)="","—",VLOOKUP($B61,AcctTbl,6,0)),"—"))</f>
        <v/>
      </c>
      <c r="K61" s="35">
        <f>IF(OR($B61="",$H$570=0),"",$H61/$H$570)</f>
        <v/>
      </c>
    </row>
    <row r="62">
      <c r="A62" s="17">
        <f>IF(ROW()-9&gt;NAcctAll,"",ROW()-9)</f>
        <v/>
      </c>
      <c r="B62" s="30">
        <f>IF($A62="","",IF($A62&lt;=NAcctAll,INDEX(PkAcctAll,$A62),""))</f>
        <v/>
      </c>
      <c r="C62" s="22">
        <f>IF($B62="","",IFERROR(IF(VLOOKUP($B62,AcctTbl,4,0)="","(بدون نام)",VLOOKUP($B62,AcctTbl,4,0)),"—"))</f>
        <v/>
      </c>
      <c r="D62" s="18">
        <f>IF($B62="","",IFERROR(IF(VLOOKUP($B62,AcctTbl,3,0)="",IF(VLOOKUP($B62,AcctTbl,2,0)="","—",VLOOKUP($B62,AcctTbl,2,0)),VLOOKUP($B62,AcctTbl,3,0)),"—"))</f>
        <v/>
      </c>
      <c r="E62" s="31">
        <f>IF($B62="","",COUNTIFS(CalcParty,$B62,CalcGroup,"خرید"))</f>
        <v/>
      </c>
      <c r="F62" s="19">
        <f>IF($B62="","",SUMIFS(CalcScale,CalcParty,$B62,CalcGroup,"خرید"))</f>
        <v/>
      </c>
      <c r="G62" s="19">
        <f>IF($B62="","",SUMIFS(CalcBaskets,CalcParty,$B62,CalcGroup,"خرید"))</f>
        <v/>
      </c>
      <c r="H62" s="20">
        <f>IF($B62="","",SUMIFS(CalcNet,CalcParty,$B62,CalcGroup,"خرید"))</f>
        <v/>
      </c>
      <c r="I62" s="18">
        <f>IF($B62="","",IFERROR(IF(VLOOKUP($B62,AcctTbl,5,0)="","—",VLOOKUP($B62,AcctTbl,5,0)),"—"))</f>
        <v/>
      </c>
      <c r="J62" s="18">
        <f>IF($B62="","",IFERROR(IF(VLOOKUP($B62,AcctTbl,6,0)="","—",VLOOKUP($B62,AcctTbl,6,0)),"—"))</f>
        <v/>
      </c>
      <c r="K62" s="32">
        <f>IF(OR($B62="",$H$570=0),"",$H62/$H$570)</f>
        <v/>
      </c>
    </row>
    <row r="63">
      <c r="A63" s="23">
        <f>IF(ROW()-9&gt;NAcctAll,"",ROW()-9)</f>
        <v/>
      </c>
      <c r="B63" s="33">
        <f>IF($A63="","",IF($A63&lt;=NAcctAll,INDEX(PkAcctAll,$A63),""))</f>
        <v/>
      </c>
      <c r="C63" s="28">
        <f>IF($B63="","",IFERROR(IF(VLOOKUP($B63,AcctTbl,4,0)="","(بدون نام)",VLOOKUP($B63,AcctTbl,4,0)),"—"))</f>
        <v/>
      </c>
      <c r="D63" s="24">
        <f>IF($B63="","",IFERROR(IF(VLOOKUP($B63,AcctTbl,3,0)="",IF(VLOOKUP($B63,AcctTbl,2,0)="","—",VLOOKUP($B63,AcctTbl,2,0)),VLOOKUP($B63,AcctTbl,3,0)),"—"))</f>
        <v/>
      </c>
      <c r="E63" s="34">
        <f>IF($B63="","",COUNTIFS(CalcParty,$B63,CalcGroup,"خرید"))</f>
        <v/>
      </c>
      <c r="F63" s="25">
        <f>IF($B63="","",SUMIFS(CalcScale,CalcParty,$B63,CalcGroup,"خرید"))</f>
        <v/>
      </c>
      <c r="G63" s="25">
        <f>IF($B63="","",SUMIFS(CalcBaskets,CalcParty,$B63,CalcGroup,"خرید"))</f>
        <v/>
      </c>
      <c r="H63" s="26">
        <f>IF($B63="","",SUMIFS(CalcNet,CalcParty,$B63,CalcGroup,"خرید"))</f>
        <v/>
      </c>
      <c r="I63" s="24">
        <f>IF($B63="","",IFERROR(IF(VLOOKUP($B63,AcctTbl,5,0)="","—",VLOOKUP($B63,AcctTbl,5,0)),"—"))</f>
        <v/>
      </c>
      <c r="J63" s="24">
        <f>IF($B63="","",IFERROR(IF(VLOOKUP($B63,AcctTbl,6,0)="","—",VLOOKUP($B63,AcctTbl,6,0)),"—"))</f>
        <v/>
      </c>
      <c r="K63" s="35">
        <f>IF(OR($B63="",$H$570=0),"",$H63/$H$570)</f>
        <v/>
      </c>
    </row>
    <row r="64">
      <c r="A64" s="17">
        <f>IF(ROW()-9&gt;NAcctAll,"",ROW()-9)</f>
        <v/>
      </c>
      <c r="B64" s="30">
        <f>IF($A64="","",IF($A64&lt;=NAcctAll,INDEX(PkAcctAll,$A64),""))</f>
        <v/>
      </c>
      <c r="C64" s="22">
        <f>IF($B64="","",IFERROR(IF(VLOOKUP($B64,AcctTbl,4,0)="","(بدون نام)",VLOOKUP($B64,AcctTbl,4,0)),"—"))</f>
        <v/>
      </c>
      <c r="D64" s="18">
        <f>IF($B64="","",IFERROR(IF(VLOOKUP($B64,AcctTbl,3,0)="",IF(VLOOKUP($B64,AcctTbl,2,0)="","—",VLOOKUP($B64,AcctTbl,2,0)),VLOOKUP($B64,AcctTbl,3,0)),"—"))</f>
        <v/>
      </c>
      <c r="E64" s="31">
        <f>IF($B64="","",COUNTIFS(CalcParty,$B64,CalcGroup,"خرید"))</f>
        <v/>
      </c>
      <c r="F64" s="19">
        <f>IF($B64="","",SUMIFS(CalcScale,CalcParty,$B64,CalcGroup,"خرید"))</f>
        <v/>
      </c>
      <c r="G64" s="19">
        <f>IF($B64="","",SUMIFS(CalcBaskets,CalcParty,$B64,CalcGroup,"خرید"))</f>
        <v/>
      </c>
      <c r="H64" s="20">
        <f>IF($B64="","",SUMIFS(CalcNet,CalcParty,$B64,CalcGroup,"خرید"))</f>
        <v/>
      </c>
      <c r="I64" s="18">
        <f>IF($B64="","",IFERROR(IF(VLOOKUP($B64,AcctTbl,5,0)="","—",VLOOKUP($B64,AcctTbl,5,0)),"—"))</f>
        <v/>
      </c>
      <c r="J64" s="18">
        <f>IF($B64="","",IFERROR(IF(VLOOKUP($B64,AcctTbl,6,0)="","—",VLOOKUP($B64,AcctTbl,6,0)),"—"))</f>
        <v/>
      </c>
      <c r="K64" s="32">
        <f>IF(OR($B64="",$H$570=0),"",$H64/$H$570)</f>
        <v/>
      </c>
    </row>
    <row r="65">
      <c r="A65" s="23">
        <f>IF(ROW()-9&gt;NAcctAll,"",ROW()-9)</f>
        <v/>
      </c>
      <c r="B65" s="33">
        <f>IF($A65="","",IF($A65&lt;=NAcctAll,INDEX(PkAcctAll,$A65),""))</f>
        <v/>
      </c>
      <c r="C65" s="28">
        <f>IF($B65="","",IFERROR(IF(VLOOKUP($B65,AcctTbl,4,0)="","(بدون نام)",VLOOKUP($B65,AcctTbl,4,0)),"—"))</f>
        <v/>
      </c>
      <c r="D65" s="24">
        <f>IF($B65="","",IFERROR(IF(VLOOKUP($B65,AcctTbl,3,0)="",IF(VLOOKUP($B65,AcctTbl,2,0)="","—",VLOOKUP($B65,AcctTbl,2,0)),VLOOKUP($B65,AcctTbl,3,0)),"—"))</f>
        <v/>
      </c>
      <c r="E65" s="34">
        <f>IF($B65="","",COUNTIFS(CalcParty,$B65,CalcGroup,"خرید"))</f>
        <v/>
      </c>
      <c r="F65" s="25">
        <f>IF($B65="","",SUMIFS(CalcScale,CalcParty,$B65,CalcGroup,"خرید"))</f>
        <v/>
      </c>
      <c r="G65" s="25">
        <f>IF($B65="","",SUMIFS(CalcBaskets,CalcParty,$B65,CalcGroup,"خرید"))</f>
        <v/>
      </c>
      <c r="H65" s="26">
        <f>IF($B65="","",SUMIFS(CalcNet,CalcParty,$B65,CalcGroup,"خرید"))</f>
        <v/>
      </c>
      <c r="I65" s="24">
        <f>IF($B65="","",IFERROR(IF(VLOOKUP($B65,AcctTbl,5,0)="","—",VLOOKUP($B65,AcctTbl,5,0)),"—"))</f>
        <v/>
      </c>
      <c r="J65" s="24">
        <f>IF($B65="","",IFERROR(IF(VLOOKUP($B65,AcctTbl,6,0)="","—",VLOOKUP($B65,AcctTbl,6,0)),"—"))</f>
        <v/>
      </c>
      <c r="K65" s="35">
        <f>IF(OR($B65="",$H$570=0),"",$H65/$H$570)</f>
        <v/>
      </c>
    </row>
    <row r="66">
      <c r="A66" s="17">
        <f>IF(ROW()-9&gt;NAcctAll,"",ROW()-9)</f>
        <v/>
      </c>
      <c r="B66" s="30">
        <f>IF($A66="","",IF($A66&lt;=NAcctAll,INDEX(PkAcctAll,$A66),""))</f>
        <v/>
      </c>
      <c r="C66" s="22">
        <f>IF($B66="","",IFERROR(IF(VLOOKUP($B66,AcctTbl,4,0)="","(بدون نام)",VLOOKUP($B66,AcctTbl,4,0)),"—"))</f>
        <v/>
      </c>
      <c r="D66" s="18">
        <f>IF($B66="","",IFERROR(IF(VLOOKUP($B66,AcctTbl,3,0)="",IF(VLOOKUP($B66,AcctTbl,2,0)="","—",VLOOKUP($B66,AcctTbl,2,0)),VLOOKUP($B66,AcctTbl,3,0)),"—"))</f>
        <v/>
      </c>
      <c r="E66" s="31">
        <f>IF($B66="","",COUNTIFS(CalcParty,$B66,CalcGroup,"خرید"))</f>
        <v/>
      </c>
      <c r="F66" s="19">
        <f>IF($B66="","",SUMIFS(CalcScale,CalcParty,$B66,CalcGroup,"خرید"))</f>
        <v/>
      </c>
      <c r="G66" s="19">
        <f>IF($B66="","",SUMIFS(CalcBaskets,CalcParty,$B66,CalcGroup,"خرید"))</f>
        <v/>
      </c>
      <c r="H66" s="20">
        <f>IF($B66="","",SUMIFS(CalcNet,CalcParty,$B66,CalcGroup,"خرید"))</f>
        <v/>
      </c>
      <c r="I66" s="18">
        <f>IF($B66="","",IFERROR(IF(VLOOKUP($B66,AcctTbl,5,0)="","—",VLOOKUP($B66,AcctTbl,5,0)),"—"))</f>
        <v/>
      </c>
      <c r="J66" s="18">
        <f>IF($B66="","",IFERROR(IF(VLOOKUP($B66,AcctTbl,6,0)="","—",VLOOKUP($B66,AcctTbl,6,0)),"—"))</f>
        <v/>
      </c>
      <c r="K66" s="32">
        <f>IF(OR($B66="",$H$570=0),"",$H66/$H$570)</f>
        <v/>
      </c>
    </row>
    <row r="67">
      <c r="A67" s="23">
        <f>IF(ROW()-9&gt;NAcctAll,"",ROW()-9)</f>
        <v/>
      </c>
      <c r="B67" s="33">
        <f>IF($A67="","",IF($A67&lt;=NAcctAll,INDEX(PkAcctAll,$A67),""))</f>
        <v/>
      </c>
      <c r="C67" s="28">
        <f>IF($B67="","",IFERROR(IF(VLOOKUP($B67,AcctTbl,4,0)="","(بدون نام)",VLOOKUP($B67,AcctTbl,4,0)),"—"))</f>
        <v/>
      </c>
      <c r="D67" s="24">
        <f>IF($B67="","",IFERROR(IF(VLOOKUP($B67,AcctTbl,3,0)="",IF(VLOOKUP($B67,AcctTbl,2,0)="","—",VLOOKUP($B67,AcctTbl,2,0)),VLOOKUP($B67,AcctTbl,3,0)),"—"))</f>
        <v/>
      </c>
      <c r="E67" s="34">
        <f>IF($B67="","",COUNTIFS(CalcParty,$B67,CalcGroup,"خرید"))</f>
        <v/>
      </c>
      <c r="F67" s="25">
        <f>IF($B67="","",SUMIFS(CalcScale,CalcParty,$B67,CalcGroup,"خرید"))</f>
        <v/>
      </c>
      <c r="G67" s="25">
        <f>IF($B67="","",SUMIFS(CalcBaskets,CalcParty,$B67,CalcGroup,"خرید"))</f>
        <v/>
      </c>
      <c r="H67" s="26">
        <f>IF($B67="","",SUMIFS(CalcNet,CalcParty,$B67,CalcGroup,"خرید"))</f>
        <v/>
      </c>
      <c r="I67" s="24">
        <f>IF($B67="","",IFERROR(IF(VLOOKUP($B67,AcctTbl,5,0)="","—",VLOOKUP($B67,AcctTbl,5,0)),"—"))</f>
        <v/>
      </c>
      <c r="J67" s="24">
        <f>IF($B67="","",IFERROR(IF(VLOOKUP($B67,AcctTbl,6,0)="","—",VLOOKUP($B67,AcctTbl,6,0)),"—"))</f>
        <v/>
      </c>
      <c r="K67" s="35">
        <f>IF(OR($B67="",$H$570=0),"",$H67/$H$570)</f>
        <v/>
      </c>
    </row>
    <row r="68">
      <c r="A68" s="17">
        <f>IF(ROW()-9&gt;NAcctAll,"",ROW()-9)</f>
        <v/>
      </c>
      <c r="B68" s="30">
        <f>IF($A68="","",IF($A68&lt;=NAcctAll,INDEX(PkAcctAll,$A68),""))</f>
        <v/>
      </c>
      <c r="C68" s="22">
        <f>IF($B68="","",IFERROR(IF(VLOOKUP($B68,AcctTbl,4,0)="","(بدون نام)",VLOOKUP($B68,AcctTbl,4,0)),"—"))</f>
        <v/>
      </c>
      <c r="D68" s="18">
        <f>IF($B68="","",IFERROR(IF(VLOOKUP($B68,AcctTbl,3,0)="",IF(VLOOKUP($B68,AcctTbl,2,0)="","—",VLOOKUP($B68,AcctTbl,2,0)),VLOOKUP($B68,AcctTbl,3,0)),"—"))</f>
        <v/>
      </c>
      <c r="E68" s="31">
        <f>IF($B68="","",COUNTIFS(CalcParty,$B68,CalcGroup,"خرید"))</f>
        <v/>
      </c>
      <c r="F68" s="19">
        <f>IF($B68="","",SUMIFS(CalcScale,CalcParty,$B68,CalcGroup,"خرید"))</f>
        <v/>
      </c>
      <c r="G68" s="19">
        <f>IF($B68="","",SUMIFS(CalcBaskets,CalcParty,$B68,CalcGroup,"خرید"))</f>
        <v/>
      </c>
      <c r="H68" s="20">
        <f>IF($B68="","",SUMIFS(CalcNet,CalcParty,$B68,CalcGroup,"خرید"))</f>
        <v/>
      </c>
      <c r="I68" s="18">
        <f>IF($B68="","",IFERROR(IF(VLOOKUP($B68,AcctTbl,5,0)="","—",VLOOKUP($B68,AcctTbl,5,0)),"—"))</f>
        <v/>
      </c>
      <c r="J68" s="18">
        <f>IF($B68="","",IFERROR(IF(VLOOKUP($B68,AcctTbl,6,0)="","—",VLOOKUP($B68,AcctTbl,6,0)),"—"))</f>
        <v/>
      </c>
      <c r="K68" s="32">
        <f>IF(OR($B68="",$H$570=0),"",$H68/$H$570)</f>
        <v/>
      </c>
    </row>
    <row r="69">
      <c r="A69" s="23">
        <f>IF(ROW()-9&gt;NAcctAll,"",ROW()-9)</f>
        <v/>
      </c>
      <c r="B69" s="33">
        <f>IF($A69="","",IF($A69&lt;=NAcctAll,INDEX(PkAcctAll,$A69),""))</f>
        <v/>
      </c>
      <c r="C69" s="28">
        <f>IF($B69="","",IFERROR(IF(VLOOKUP($B69,AcctTbl,4,0)="","(بدون نام)",VLOOKUP($B69,AcctTbl,4,0)),"—"))</f>
        <v/>
      </c>
      <c r="D69" s="24">
        <f>IF($B69="","",IFERROR(IF(VLOOKUP($B69,AcctTbl,3,0)="",IF(VLOOKUP($B69,AcctTbl,2,0)="","—",VLOOKUP($B69,AcctTbl,2,0)),VLOOKUP($B69,AcctTbl,3,0)),"—"))</f>
        <v/>
      </c>
      <c r="E69" s="34">
        <f>IF($B69="","",COUNTIFS(CalcParty,$B69,CalcGroup,"خرید"))</f>
        <v/>
      </c>
      <c r="F69" s="25">
        <f>IF($B69="","",SUMIFS(CalcScale,CalcParty,$B69,CalcGroup,"خرید"))</f>
        <v/>
      </c>
      <c r="G69" s="25">
        <f>IF($B69="","",SUMIFS(CalcBaskets,CalcParty,$B69,CalcGroup,"خرید"))</f>
        <v/>
      </c>
      <c r="H69" s="26">
        <f>IF($B69="","",SUMIFS(CalcNet,CalcParty,$B69,CalcGroup,"خرید"))</f>
        <v/>
      </c>
      <c r="I69" s="24">
        <f>IF($B69="","",IFERROR(IF(VLOOKUP($B69,AcctTbl,5,0)="","—",VLOOKUP($B69,AcctTbl,5,0)),"—"))</f>
        <v/>
      </c>
      <c r="J69" s="24">
        <f>IF($B69="","",IFERROR(IF(VLOOKUP($B69,AcctTbl,6,0)="","—",VLOOKUP($B69,AcctTbl,6,0)),"—"))</f>
        <v/>
      </c>
      <c r="K69" s="35">
        <f>IF(OR($B69="",$H$570=0),"",$H69/$H$570)</f>
        <v/>
      </c>
    </row>
    <row r="70">
      <c r="A70" s="17">
        <f>IF(ROW()-9&gt;NAcctAll,"",ROW()-9)</f>
        <v/>
      </c>
      <c r="B70" s="30">
        <f>IF($A70="","",IF($A70&lt;=NAcctAll,INDEX(PkAcctAll,$A70),""))</f>
        <v/>
      </c>
      <c r="C70" s="22">
        <f>IF($B70="","",IFERROR(IF(VLOOKUP($B70,AcctTbl,4,0)="","(بدون نام)",VLOOKUP($B70,AcctTbl,4,0)),"—"))</f>
        <v/>
      </c>
      <c r="D70" s="18">
        <f>IF($B70="","",IFERROR(IF(VLOOKUP($B70,AcctTbl,3,0)="",IF(VLOOKUP($B70,AcctTbl,2,0)="","—",VLOOKUP($B70,AcctTbl,2,0)),VLOOKUP($B70,AcctTbl,3,0)),"—"))</f>
        <v/>
      </c>
      <c r="E70" s="31">
        <f>IF($B70="","",COUNTIFS(CalcParty,$B70,CalcGroup,"خرید"))</f>
        <v/>
      </c>
      <c r="F70" s="19">
        <f>IF($B70="","",SUMIFS(CalcScale,CalcParty,$B70,CalcGroup,"خرید"))</f>
        <v/>
      </c>
      <c r="G70" s="19">
        <f>IF($B70="","",SUMIFS(CalcBaskets,CalcParty,$B70,CalcGroup,"خرید"))</f>
        <v/>
      </c>
      <c r="H70" s="20">
        <f>IF($B70="","",SUMIFS(CalcNet,CalcParty,$B70,CalcGroup,"خرید"))</f>
        <v/>
      </c>
      <c r="I70" s="18">
        <f>IF($B70="","",IFERROR(IF(VLOOKUP($B70,AcctTbl,5,0)="","—",VLOOKUP($B70,AcctTbl,5,0)),"—"))</f>
        <v/>
      </c>
      <c r="J70" s="18">
        <f>IF($B70="","",IFERROR(IF(VLOOKUP($B70,AcctTbl,6,0)="","—",VLOOKUP($B70,AcctTbl,6,0)),"—"))</f>
        <v/>
      </c>
      <c r="K70" s="32">
        <f>IF(OR($B70="",$H$570=0),"",$H70/$H$570)</f>
        <v/>
      </c>
    </row>
    <row r="71">
      <c r="A71" s="23">
        <f>IF(ROW()-9&gt;NAcctAll,"",ROW()-9)</f>
        <v/>
      </c>
      <c r="B71" s="33">
        <f>IF($A71="","",IF($A71&lt;=NAcctAll,INDEX(PkAcctAll,$A71),""))</f>
        <v/>
      </c>
      <c r="C71" s="28">
        <f>IF($B71="","",IFERROR(IF(VLOOKUP($B71,AcctTbl,4,0)="","(بدون نام)",VLOOKUP($B71,AcctTbl,4,0)),"—"))</f>
        <v/>
      </c>
      <c r="D71" s="24">
        <f>IF($B71="","",IFERROR(IF(VLOOKUP($B71,AcctTbl,3,0)="",IF(VLOOKUP($B71,AcctTbl,2,0)="","—",VLOOKUP($B71,AcctTbl,2,0)),VLOOKUP($B71,AcctTbl,3,0)),"—"))</f>
        <v/>
      </c>
      <c r="E71" s="34">
        <f>IF($B71="","",COUNTIFS(CalcParty,$B71,CalcGroup,"خرید"))</f>
        <v/>
      </c>
      <c r="F71" s="25">
        <f>IF($B71="","",SUMIFS(CalcScale,CalcParty,$B71,CalcGroup,"خرید"))</f>
        <v/>
      </c>
      <c r="G71" s="25">
        <f>IF($B71="","",SUMIFS(CalcBaskets,CalcParty,$B71,CalcGroup,"خرید"))</f>
        <v/>
      </c>
      <c r="H71" s="26">
        <f>IF($B71="","",SUMIFS(CalcNet,CalcParty,$B71,CalcGroup,"خرید"))</f>
        <v/>
      </c>
      <c r="I71" s="24">
        <f>IF($B71="","",IFERROR(IF(VLOOKUP($B71,AcctTbl,5,0)="","—",VLOOKUP($B71,AcctTbl,5,0)),"—"))</f>
        <v/>
      </c>
      <c r="J71" s="24">
        <f>IF($B71="","",IFERROR(IF(VLOOKUP($B71,AcctTbl,6,0)="","—",VLOOKUP($B71,AcctTbl,6,0)),"—"))</f>
        <v/>
      </c>
      <c r="K71" s="35">
        <f>IF(OR($B71="",$H$570=0),"",$H71/$H$570)</f>
        <v/>
      </c>
    </row>
    <row r="72">
      <c r="A72" s="17">
        <f>IF(ROW()-9&gt;NAcctAll,"",ROW()-9)</f>
        <v/>
      </c>
      <c r="B72" s="30">
        <f>IF($A72="","",IF($A72&lt;=NAcctAll,INDEX(PkAcctAll,$A72),""))</f>
        <v/>
      </c>
      <c r="C72" s="22">
        <f>IF($B72="","",IFERROR(IF(VLOOKUP($B72,AcctTbl,4,0)="","(بدون نام)",VLOOKUP($B72,AcctTbl,4,0)),"—"))</f>
        <v/>
      </c>
      <c r="D72" s="18">
        <f>IF($B72="","",IFERROR(IF(VLOOKUP($B72,AcctTbl,3,0)="",IF(VLOOKUP($B72,AcctTbl,2,0)="","—",VLOOKUP($B72,AcctTbl,2,0)),VLOOKUP($B72,AcctTbl,3,0)),"—"))</f>
        <v/>
      </c>
      <c r="E72" s="31">
        <f>IF($B72="","",COUNTIFS(CalcParty,$B72,CalcGroup,"خرید"))</f>
        <v/>
      </c>
      <c r="F72" s="19">
        <f>IF($B72="","",SUMIFS(CalcScale,CalcParty,$B72,CalcGroup,"خرید"))</f>
        <v/>
      </c>
      <c r="G72" s="19">
        <f>IF($B72="","",SUMIFS(CalcBaskets,CalcParty,$B72,CalcGroup,"خرید"))</f>
        <v/>
      </c>
      <c r="H72" s="20">
        <f>IF($B72="","",SUMIFS(CalcNet,CalcParty,$B72,CalcGroup,"خرید"))</f>
        <v/>
      </c>
      <c r="I72" s="18">
        <f>IF($B72="","",IFERROR(IF(VLOOKUP($B72,AcctTbl,5,0)="","—",VLOOKUP($B72,AcctTbl,5,0)),"—"))</f>
        <v/>
      </c>
      <c r="J72" s="18">
        <f>IF($B72="","",IFERROR(IF(VLOOKUP($B72,AcctTbl,6,0)="","—",VLOOKUP($B72,AcctTbl,6,0)),"—"))</f>
        <v/>
      </c>
      <c r="K72" s="32">
        <f>IF(OR($B72="",$H$570=0),"",$H72/$H$570)</f>
        <v/>
      </c>
    </row>
    <row r="73">
      <c r="A73" s="23">
        <f>IF(ROW()-9&gt;NAcctAll,"",ROW()-9)</f>
        <v/>
      </c>
      <c r="B73" s="33">
        <f>IF($A73="","",IF($A73&lt;=NAcctAll,INDEX(PkAcctAll,$A73),""))</f>
        <v/>
      </c>
      <c r="C73" s="28">
        <f>IF($B73="","",IFERROR(IF(VLOOKUP($B73,AcctTbl,4,0)="","(بدون نام)",VLOOKUP($B73,AcctTbl,4,0)),"—"))</f>
        <v/>
      </c>
      <c r="D73" s="24">
        <f>IF($B73="","",IFERROR(IF(VLOOKUP($B73,AcctTbl,3,0)="",IF(VLOOKUP($B73,AcctTbl,2,0)="","—",VLOOKUP($B73,AcctTbl,2,0)),VLOOKUP($B73,AcctTbl,3,0)),"—"))</f>
        <v/>
      </c>
      <c r="E73" s="34">
        <f>IF($B73="","",COUNTIFS(CalcParty,$B73,CalcGroup,"خرید"))</f>
        <v/>
      </c>
      <c r="F73" s="25">
        <f>IF($B73="","",SUMIFS(CalcScale,CalcParty,$B73,CalcGroup,"خرید"))</f>
        <v/>
      </c>
      <c r="G73" s="25">
        <f>IF($B73="","",SUMIFS(CalcBaskets,CalcParty,$B73,CalcGroup,"خرید"))</f>
        <v/>
      </c>
      <c r="H73" s="26">
        <f>IF($B73="","",SUMIFS(CalcNet,CalcParty,$B73,CalcGroup,"خرید"))</f>
        <v/>
      </c>
      <c r="I73" s="24">
        <f>IF($B73="","",IFERROR(IF(VLOOKUP($B73,AcctTbl,5,0)="","—",VLOOKUP($B73,AcctTbl,5,0)),"—"))</f>
        <v/>
      </c>
      <c r="J73" s="24">
        <f>IF($B73="","",IFERROR(IF(VLOOKUP($B73,AcctTbl,6,0)="","—",VLOOKUP($B73,AcctTbl,6,0)),"—"))</f>
        <v/>
      </c>
      <c r="K73" s="35">
        <f>IF(OR($B73="",$H$570=0),"",$H73/$H$570)</f>
        <v/>
      </c>
    </row>
    <row r="74">
      <c r="A74" s="17">
        <f>IF(ROW()-9&gt;NAcctAll,"",ROW()-9)</f>
        <v/>
      </c>
      <c r="B74" s="30">
        <f>IF($A74="","",IF($A74&lt;=NAcctAll,INDEX(PkAcctAll,$A74),""))</f>
        <v/>
      </c>
      <c r="C74" s="22">
        <f>IF($B74="","",IFERROR(IF(VLOOKUP($B74,AcctTbl,4,0)="","(بدون نام)",VLOOKUP($B74,AcctTbl,4,0)),"—"))</f>
        <v/>
      </c>
      <c r="D74" s="18">
        <f>IF($B74="","",IFERROR(IF(VLOOKUP($B74,AcctTbl,3,0)="",IF(VLOOKUP($B74,AcctTbl,2,0)="","—",VLOOKUP($B74,AcctTbl,2,0)),VLOOKUP($B74,AcctTbl,3,0)),"—"))</f>
        <v/>
      </c>
      <c r="E74" s="31">
        <f>IF($B74="","",COUNTIFS(CalcParty,$B74,CalcGroup,"خرید"))</f>
        <v/>
      </c>
      <c r="F74" s="19">
        <f>IF($B74="","",SUMIFS(CalcScale,CalcParty,$B74,CalcGroup,"خرید"))</f>
        <v/>
      </c>
      <c r="G74" s="19">
        <f>IF($B74="","",SUMIFS(CalcBaskets,CalcParty,$B74,CalcGroup,"خرید"))</f>
        <v/>
      </c>
      <c r="H74" s="20">
        <f>IF($B74="","",SUMIFS(CalcNet,CalcParty,$B74,CalcGroup,"خرید"))</f>
        <v/>
      </c>
      <c r="I74" s="18">
        <f>IF($B74="","",IFERROR(IF(VLOOKUP($B74,AcctTbl,5,0)="","—",VLOOKUP($B74,AcctTbl,5,0)),"—"))</f>
        <v/>
      </c>
      <c r="J74" s="18">
        <f>IF($B74="","",IFERROR(IF(VLOOKUP($B74,AcctTbl,6,0)="","—",VLOOKUP($B74,AcctTbl,6,0)),"—"))</f>
        <v/>
      </c>
      <c r="K74" s="32">
        <f>IF(OR($B74="",$H$570=0),"",$H74/$H$570)</f>
        <v/>
      </c>
    </row>
    <row r="75">
      <c r="A75" s="23">
        <f>IF(ROW()-9&gt;NAcctAll,"",ROW()-9)</f>
        <v/>
      </c>
      <c r="B75" s="33">
        <f>IF($A75="","",IF($A75&lt;=NAcctAll,INDEX(PkAcctAll,$A75),""))</f>
        <v/>
      </c>
      <c r="C75" s="28">
        <f>IF($B75="","",IFERROR(IF(VLOOKUP($B75,AcctTbl,4,0)="","(بدون نام)",VLOOKUP($B75,AcctTbl,4,0)),"—"))</f>
        <v/>
      </c>
      <c r="D75" s="24">
        <f>IF($B75="","",IFERROR(IF(VLOOKUP($B75,AcctTbl,3,0)="",IF(VLOOKUP($B75,AcctTbl,2,0)="","—",VLOOKUP($B75,AcctTbl,2,0)),VLOOKUP($B75,AcctTbl,3,0)),"—"))</f>
        <v/>
      </c>
      <c r="E75" s="34">
        <f>IF($B75="","",COUNTIFS(CalcParty,$B75,CalcGroup,"خرید"))</f>
        <v/>
      </c>
      <c r="F75" s="25">
        <f>IF($B75="","",SUMIFS(CalcScale,CalcParty,$B75,CalcGroup,"خرید"))</f>
        <v/>
      </c>
      <c r="G75" s="25">
        <f>IF($B75="","",SUMIFS(CalcBaskets,CalcParty,$B75,CalcGroup,"خرید"))</f>
        <v/>
      </c>
      <c r="H75" s="26">
        <f>IF($B75="","",SUMIFS(CalcNet,CalcParty,$B75,CalcGroup,"خرید"))</f>
        <v/>
      </c>
      <c r="I75" s="24">
        <f>IF($B75="","",IFERROR(IF(VLOOKUP($B75,AcctTbl,5,0)="","—",VLOOKUP($B75,AcctTbl,5,0)),"—"))</f>
        <v/>
      </c>
      <c r="J75" s="24">
        <f>IF($B75="","",IFERROR(IF(VLOOKUP($B75,AcctTbl,6,0)="","—",VLOOKUP($B75,AcctTbl,6,0)),"—"))</f>
        <v/>
      </c>
      <c r="K75" s="35">
        <f>IF(OR($B75="",$H$570=0),"",$H75/$H$570)</f>
        <v/>
      </c>
    </row>
    <row r="76">
      <c r="A76" s="17">
        <f>IF(ROW()-9&gt;NAcctAll,"",ROW()-9)</f>
        <v/>
      </c>
      <c r="B76" s="30">
        <f>IF($A76="","",IF($A76&lt;=NAcctAll,INDEX(PkAcctAll,$A76),""))</f>
        <v/>
      </c>
      <c r="C76" s="22">
        <f>IF($B76="","",IFERROR(IF(VLOOKUP($B76,AcctTbl,4,0)="","(بدون نام)",VLOOKUP($B76,AcctTbl,4,0)),"—"))</f>
        <v/>
      </c>
      <c r="D76" s="18">
        <f>IF($B76="","",IFERROR(IF(VLOOKUP($B76,AcctTbl,3,0)="",IF(VLOOKUP($B76,AcctTbl,2,0)="","—",VLOOKUP($B76,AcctTbl,2,0)),VLOOKUP($B76,AcctTbl,3,0)),"—"))</f>
        <v/>
      </c>
      <c r="E76" s="31">
        <f>IF($B76="","",COUNTIFS(CalcParty,$B76,CalcGroup,"خرید"))</f>
        <v/>
      </c>
      <c r="F76" s="19">
        <f>IF($B76="","",SUMIFS(CalcScale,CalcParty,$B76,CalcGroup,"خرید"))</f>
        <v/>
      </c>
      <c r="G76" s="19">
        <f>IF($B76="","",SUMIFS(CalcBaskets,CalcParty,$B76,CalcGroup,"خرید"))</f>
        <v/>
      </c>
      <c r="H76" s="20">
        <f>IF($B76="","",SUMIFS(CalcNet,CalcParty,$B76,CalcGroup,"خرید"))</f>
        <v/>
      </c>
      <c r="I76" s="18">
        <f>IF($B76="","",IFERROR(IF(VLOOKUP($B76,AcctTbl,5,0)="","—",VLOOKUP($B76,AcctTbl,5,0)),"—"))</f>
        <v/>
      </c>
      <c r="J76" s="18">
        <f>IF($B76="","",IFERROR(IF(VLOOKUP($B76,AcctTbl,6,0)="","—",VLOOKUP($B76,AcctTbl,6,0)),"—"))</f>
        <v/>
      </c>
      <c r="K76" s="32">
        <f>IF(OR($B76="",$H$570=0),"",$H76/$H$570)</f>
        <v/>
      </c>
    </row>
    <row r="77">
      <c r="A77" s="23">
        <f>IF(ROW()-9&gt;NAcctAll,"",ROW()-9)</f>
        <v/>
      </c>
      <c r="B77" s="33">
        <f>IF($A77="","",IF($A77&lt;=NAcctAll,INDEX(PkAcctAll,$A77),""))</f>
        <v/>
      </c>
      <c r="C77" s="28">
        <f>IF($B77="","",IFERROR(IF(VLOOKUP($B77,AcctTbl,4,0)="","(بدون نام)",VLOOKUP($B77,AcctTbl,4,0)),"—"))</f>
        <v/>
      </c>
      <c r="D77" s="24">
        <f>IF($B77="","",IFERROR(IF(VLOOKUP($B77,AcctTbl,3,0)="",IF(VLOOKUP($B77,AcctTbl,2,0)="","—",VLOOKUP($B77,AcctTbl,2,0)),VLOOKUP($B77,AcctTbl,3,0)),"—"))</f>
        <v/>
      </c>
      <c r="E77" s="34">
        <f>IF($B77="","",COUNTIFS(CalcParty,$B77,CalcGroup,"خرید"))</f>
        <v/>
      </c>
      <c r="F77" s="25">
        <f>IF($B77="","",SUMIFS(CalcScale,CalcParty,$B77,CalcGroup,"خرید"))</f>
        <v/>
      </c>
      <c r="G77" s="25">
        <f>IF($B77="","",SUMIFS(CalcBaskets,CalcParty,$B77,CalcGroup,"خرید"))</f>
        <v/>
      </c>
      <c r="H77" s="26">
        <f>IF($B77="","",SUMIFS(CalcNet,CalcParty,$B77,CalcGroup,"خرید"))</f>
        <v/>
      </c>
      <c r="I77" s="24">
        <f>IF($B77="","",IFERROR(IF(VLOOKUP($B77,AcctTbl,5,0)="","—",VLOOKUP($B77,AcctTbl,5,0)),"—"))</f>
        <v/>
      </c>
      <c r="J77" s="24">
        <f>IF($B77="","",IFERROR(IF(VLOOKUP($B77,AcctTbl,6,0)="","—",VLOOKUP($B77,AcctTbl,6,0)),"—"))</f>
        <v/>
      </c>
      <c r="K77" s="35">
        <f>IF(OR($B77="",$H$570=0),"",$H77/$H$570)</f>
        <v/>
      </c>
    </row>
    <row r="78">
      <c r="A78" s="17">
        <f>IF(ROW()-9&gt;NAcctAll,"",ROW()-9)</f>
        <v/>
      </c>
      <c r="B78" s="30">
        <f>IF($A78="","",IF($A78&lt;=NAcctAll,INDEX(PkAcctAll,$A78),""))</f>
        <v/>
      </c>
      <c r="C78" s="22">
        <f>IF($B78="","",IFERROR(IF(VLOOKUP($B78,AcctTbl,4,0)="","(بدون نام)",VLOOKUP($B78,AcctTbl,4,0)),"—"))</f>
        <v/>
      </c>
      <c r="D78" s="18">
        <f>IF($B78="","",IFERROR(IF(VLOOKUP($B78,AcctTbl,3,0)="",IF(VLOOKUP($B78,AcctTbl,2,0)="","—",VLOOKUP($B78,AcctTbl,2,0)),VLOOKUP($B78,AcctTbl,3,0)),"—"))</f>
        <v/>
      </c>
      <c r="E78" s="31">
        <f>IF($B78="","",COUNTIFS(CalcParty,$B78,CalcGroup,"خرید"))</f>
        <v/>
      </c>
      <c r="F78" s="19">
        <f>IF($B78="","",SUMIFS(CalcScale,CalcParty,$B78,CalcGroup,"خرید"))</f>
        <v/>
      </c>
      <c r="G78" s="19">
        <f>IF($B78="","",SUMIFS(CalcBaskets,CalcParty,$B78,CalcGroup,"خرید"))</f>
        <v/>
      </c>
      <c r="H78" s="20">
        <f>IF($B78="","",SUMIFS(CalcNet,CalcParty,$B78,CalcGroup,"خرید"))</f>
        <v/>
      </c>
      <c r="I78" s="18">
        <f>IF($B78="","",IFERROR(IF(VLOOKUP($B78,AcctTbl,5,0)="","—",VLOOKUP($B78,AcctTbl,5,0)),"—"))</f>
        <v/>
      </c>
      <c r="J78" s="18">
        <f>IF($B78="","",IFERROR(IF(VLOOKUP($B78,AcctTbl,6,0)="","—",VLOOKUP($B78,AcctTbl,6,0)),"—"))</f>
        <v/>
      </c>
      <c r="K78" s="32">
        <f>IF(OR($B78="",$H$570=0),"",$H78/$H$570)</f>
        <v/>
      </c>
    </row>
    <row r="79">
      <c r="A79" s="23">
        <f>IF(ROW()-9&gt;NAcctAll,"",ROW()-9)</f>
        <v/>
      </c>
      <c r="B79" s="33">
        <f>IF($A79="","",IF($A79&lt;=NAcctAll,INDEX(PkAcctAll,$A79),""))</f>
        <v/>
      </c>
      <c r="C79" s="28">
        <f>IF($B79="","",IFERROR(IF(VLOOKUP($B79,AcctTbl,4,0)="","(بدون نام)",VLOOKUP($B79,AcctTbl,4,0)),"—"))</f>
        <v/>
      </c>
      <c r="D79" s="24">
        <f>IF($B79="","",IFERROR(IF(VLOOKUP($B79,AcctTbl,3,0)="",IF(VLOOKUP($B79,AcctTbl,2,0)="","—",VLOOKUP($B79,AcctTbl,2,0)),VLOOKUP($B79,AcctTbl,3,0)),"—"))</f>
        <v/>
      </c>
      <c r="E79" s="34">
        <f>IF($B79="","",COUNTIFS(CalcParty,$B79,CalcGroup,"خرید"))</f>
        <v/>
      </c>
      <c r="F79" s="25">
        <f>IF($B79="","",SUMIFS(CalcScale,CalcParty,$B79,CalcGroup,"خرید"))</f>
        <v/>
      </c>
      <c r="G79" s="25">
        <f>IF($B79="","",SUMIFS(CalcBaskets,CalcParty,$B79,CalcGroup,"خرید"))</f>
        <v/>
      </c>
      <c r="H79" s="26">
        <f>IF($B79="","",SUMIFS(CalcNet,CalcParty,$B79,CalcGroup,"خرید"))</f>
        <v/>
      </c>
      <c r="I79" s="24">
        <f>IF($B79="","",IFERROR(IF(VLOOKUP($B79,AcctTbl,5,0)="","—",VLOOKUP($B79,AcctTbl,5,0)),"—"))</f>
        <v/>
      </c>
      <c r="J79" s="24">
        <f>IF($B79="","",IFERROR(IF(VLOOKUP($B79,AcctTbl,6,0)="","—",VLOOKUP($B79,AcctTbl,6,0)),"—"))</f>
        <v/>
      </c>
      <c r="K79" s="35">
        <f>IF(OR($B79="",$H$570=0),"",$H79/$H$570)</f>
        <v/>
      </c>
    </row>
    <row r="80">
      <c r="A80" s="17">
        <f>IF(ROW()-9&gt;NAcctAll,"",ROW()-9)</f>
        <v/>
      </c>
      <c r="B80" s="30">
        <f>IF($A80="","",IF($A80&lt;=NAcctAll,INDEX(PkAcctAll,$A80),""))</f>
        <v/>
      </c>
      <c r="C80" s="22">
        <f>IF($B80="","",IFERROR(IF(VLOOKUP($B80,AcctTbl,4,0)="","(بدون نام)",VLOOKUP($B80,AcctTbl,4,0)),"—"))</f>
        <v/>
      </c>
      <c r="D80" s="18">
        <f>IF($B80="","",IFERROR(IF(VLOOKUP($B80,AcctTbl,3,0)="",IF(VLOOKUP($B80,AcctTbl,2,0)="","—",VLOOKUP($B80,AcctTbl,2,0)),VLOOKUP($B80,AcctTbl,3,0)),"—"))</f>
        <v/>
      </c>
      <c r="E80" s="31">
        <f>IF($B80="","",COUNTIFS(CalcParty,$B80,CalcGroup,"خرید"))</f>
        <v/>
      </c>
      <c r="F80" s="19">
        <f>IF($B80="","",SUMIFS(CalcScale,CalcParty,$B80,CalcGroup,"خرید"))</f>
        <v/>
      </c>
      <c r="G80" s="19">
        <f>IF($B80="","",SUMIFS(CalcBaskets,CalcParty,$B80,CalcGroup,"خرید"))</f>
        <v/>
      </c>
      <c r="H80" s="20">
        <f>IF($B80="","",SUMIFS(CalcNet,CalcParty,$B80,CalcGroup,"خرید"))</f>
        <v/>
      </c>
      <c r="I80" s="18">
        <f>IF($B80="","",IFERROR(IF(VLOOKUP($B80,AcctTbl,5,0)="","—",VLOOKUP($B80,AcctTbl,5,0)),"—"))</f>
        <v/>
      </c>
      <c r="J80" s="18">
        <f>IF($B80="","",IFERROR(IF(VLOOKUP($B80,AcctTbl,6,0)="","—",VLOOKUP($B80,AcctTbl,6,0)),"—"))</f>
        <v/>
      </c>
      <c r="K80" s="32">
        <f>IF(OR($B80="",$H$570=0),"",$H80/$H$570)</f>
        <v/>
      </c>
    </row>
    <row r="81">
      <c r="A81" s="23">
        <f>IF(ROW()-9&gt;NAcctAll,"",ROW()-9)</f>
        <v/>
      </c>
      <c r="B81" s="33">
        <f>IF($A81="","",IF($A81&lt;=NAcctAll,INDEX(PkAcctAll,$A81),""))</f>
        <v/>
      </c>
      <c r="C81" s="28">
        <f>IF($B81="","",IFERROR(IF(VLOOKUP($B81,AcctTbl,4,0)="","(بدون نام)",VLOOKUP($B81,AcctTbl,4,0)),"—"))</f>
        <v/>
      </c>
      <c r="D81" s="24">
        <f>IF($B81="","",IFERROR(IF(VLOOKUP($B81,AcctTbl,3,0)="",IF(VLOOKUP($B81,AcctTbl,2,0)="","—",VLOOKUP($B81,AcctTbl,2,0)),VLOOKUP($B81,AcctTbl,3,0)),"—"))</f>
        <v/>
      </c>
      <c r="E81" s="34">
        <f>IF($B81="","",COUNTIFS(CalcParty,$B81,CalcGroup,"خرید"))</f>
        <v/>
      </c>
      <c r="F81" s="25">
        <f>IF($B81="","",SUMIFS(CalcScale,CalcParty,$B81,CalcGroup,"خرید"))</f>
        <v/>
      </c>
      <c r="G81" s="25">
        <f>IF($B81="","",SUMIFS(CalcBaskets,CalcParty,$B81,CalcGroup,"خرید"))</f>
        <v/>
      </c>
      <c r="H81" s="26">
        <f>IF($B81="","",SUMIFS(CalcNet,CalcParty,$B81,CalcGroup,"خرید"))</f>
        <v/>
      </c>
      <c r="I81" s="24">
        <f>IF($B81="","",IFERROR(IF(VLOOKUP($B81,AcctTbl,5,0)="","—",VLOOKUP($B81,AcctTbl,5,0)),"—"))</f>
        <v/>
      </c>
      <c r="J81" s="24">
        <f>IF($B81="","",IFERROR(IF(VLOOKUP($B81,AcctTbl,6,0)="","—",VLOOKUP($B81,AcctTbl,6,0)),"—"))</f>
        <v/>
      </c>
      <c r="K81" s="35">
        <f>IF(OR($B81="",$H$570=0),"",$H81/$H$570)</f>
        <v/>
      </c>
    </row>
    <row r="82">
      <c r="A82" s="17">
        <f>IF(ROW()-9&gt;NAcctAll,"",ROW()-9)</f>
        <v/>
      </c>
      <c r="B82" s="30">
        <f>IF($A82="","",IF($A82&lt;=NAcctAll,INDEX(PkAcctAll,$A82),""))</f>
        <v/>
      </c>
      <c r="C82" s="22">
        <f>IF($B82="","",IFERROR(IF(VLOOKUP($B82,AcctTbl,4,0)="","(بدون نام)",VLOOKUP($B82,AcctTbl,4,0)),"—"))</f>
        <v/>
      </c>
      <c r="D82" s="18">
        <f>IF($B82="","",IFERROR(IF(VLOOKUP($B82,AcctTbl,3,0)="",IF(VLOOKUP($B82,AcctTbl,2,0)="","—",VLOOKUP($B82,AcctTbl,2,0)),VLOOKUP($B82,AcctTbl,3,0)),"—"))</f>
        <v/>
      </c>
      <c r="E82" s="31">
        <f>IF($B82="","",COUNTIFS(CalcParty,$B82,CalcGroup,"خرید"))</f>
        <v/>
      </c>
      <c r="F82" s="19">
        <f>IF($B82="","",SUMIFS(CalcScale,CalcParty,$B82,CalcGroup,"خرید"))</f>
        <v/>
      </c>
      <c r="G82" s="19">
        <f>IF($B82="","",SUMIFS(CalcBaskets,CalcParty,$B82,CalcGroup,"خرید"))</f>
        <v/>
      </c>
      <c r="H82" s="20">
        <f>IF($B82="","",SUMIFS(CalcNet,CalcParty,$B82,CalcGroup,"خرید"))</f>
        <v/>
      </c>
      <c r="I82" s="18">
        <f>IF($B82="","",IFERROR(IF(VLOOKUP($B82,AcctTbl,5,0)="","—",VLOOKUP($B82,AcctTbl,5,0)),"—"))</f>
        <v/>
      </c>
      <c r="J82" s="18">
        <f>IF($B82="","",IFERROR(IF(VLOOKUP($B82,AcctTbl,6,0)="","—",VLOOKUP($B82,AcctTbl,6,0)),"—"))</f>
        <v/>
      </c>
      <c r="K82" s="32">
        <f>IF(OR($B82="",$H$570=0),"",$H82/$H$570)</f>
        <v/>
      </c>
    </row>
    <row r="83">
      <c r="A83" s="23">
        <f>IF(ROW()-9&gt;NAcctAll,"",ROW()-9)</f>
        <v/>
      </c>
      <c r="B83" s="33">
        <f>IF($A83="","",IF($A83&lt;=NAcctAll,INDEX(PkAcctAll,$A83),""))</f>
        <v/>
      </c>
      <c r="C83" s="28">
        <f>IF($B83="","",IFERROR(IF(VLOOKUP($B83,AcctTbl,4,0)="","(بدون نام)",VLOOKUP($B83,AcctTbl,4,0)),"—"))</f>
        <v/>
      </c>
      <c r="D83" s="24">
        <f>IF($B83="","",IFERROR(IF(VLOOKUP($B83,AcctTbl,3,0)="",IF(VLOOKUP($B83,AcctTbl,2,0)="","—",VLOOKUP($B83,AcctTbl,2,0)),VLOOKUP($B83,AcctTbl,3,0)),"—"))</f>
        <v/>
      </c>
      <c r="E83" s="34">
        <f>IF($B83="","",COUNTIFS(CalcParty,$B83,CalcGroup,"خرید"))</f>
        <v/>
      </c>
      <c r="F83" s="25">
        <f>IF($B83="","",SUMIFS(CalcScale,CalcParty,$B83,CalcGroup,"خرید"))</f>
        <v/>
      </c>
      <c r="G83" s="25">
        <f>IF($B83="","",SUMIFS(CalcBaskets,CalcParty,$B83,CalcGroup,"خرید"))</f>
        <v/>
      </c>
      <c r="H83" s="26">
        <f>IF($B83="","",SUMIFS(CalcNet,CalcParty,$B83,CalcGroup,"خرید"))</f>
        <v/>
      </c>
      <c r="I83" s="24">
        <f>IF($B83="","",IFERROR(IF(VLOOKUP($B83,AcctTbl,5,0)="","—",VLOOKUP($B83,AcctTbl,5,0)),"—"))</f>
        <v/>
      </c>
      <c r="J83" s="24">
        <f>IF($B83="","",IFERROR(IF(VLOOKUP($B83,AcctTbl,6,0)="","—",VLOOKUP($B83,AcctTbl,6,0)),"—"))</f>
        <v/>
      </c>
      <c r="K83" s="35">
        <f>IF(OR($B83="",$H$570=0),"",$H83/$H$570)</f>
        <v/>
      </c>
    </row>
    <row r="84">
      <c r="A84" s="17">
        <f>IF(ROW()-9&gt;NAcctAll,"",ROW()-9)</f>
        <v/>
      </c>
      <c r="B84" s="30">
        <f>IF($A84="","",IF($A84&lt;=NAcctAll,INDEX(PkAcctAll,$A84),""))</f>
        <v/>
      </c>
      <c r="C84" s="22">
        <f>IF($B84="","",IFERROR(IF(VLOOKUP($B84,AcctTbl,4,0)="","(بدون نام)",VLOOKUP($B84,AcctTbl,4,0)),"—"))</f>
        <v/>
      </c>
      <c r="D84" s="18">
        <f>IF($B84="","",IFERROR(IF(VLOOKUP($B84,AcctTbl,3,0)="",IF(VLOOKUP($B84,AcctTbl,2,0)="","—",VLOOKUP($B84,AcctTbl,2,0)),VLOOKUP($B84,AcctTbl,3,0)),"—"))</f>
        <v/>
      </c>
      <c r="E84" s="31">
        <f>IF($B84="","",COUNTIFS(CalcParty,$B84,CalcGroup,"خرید"))</f>
        <v/>
      </c>
      <c r="F84" s="19">
        <f>IF($B84="","",SUMIFS(CalcScale,CalcParty,$B84,CalcGroup,"خرید"))</f>
        <v/>
      </c>
      <c r="G84" s="19">
        <f>IF($B84="","",SUMIFS(CalcBaskets,CalcParty,$B84,CalcGroup,"خرید"))</f>
        <v/>
      </c>
      <c r="H84" s="20">
        <f>IF($B84="","",SUMIFS(CalcNet,CalcParty,$B84,CalcGroup,"خرید"))</f>
        <v/>
      </c>
      <c r="I84" s="18">
        <f>IF($B84="","",IFERROR(IF(VLOOKUP($B84,AcctTbl,5,0)="","—",VLOOKUP($B84,AcctTbl,5,0)),"—"))</f>
        <v/>
      </c>
      <c r="J84" s="18">
        <f>IF($B84="","",IFERROR(IF(VLOOKUP($B84,AcctTbl,6,0)="","—",VLOOKUP($B84,AcctTbl,6,0)),"—"))</f>
        <v/>
      </c>
      <c r="K84" s="32">
        <f>IF(OR($B84="",$H$570=0),"",$H84/$H$570)</f>
        <v/>
      </c>
    </row>
    <row r="85">
      <c r="A85" s="23">
        <f>IF(ROW()-9&gt;NAcctAll,"",ROW()-9)</f>
        <v/>
      </c>
      <c r="B85" s="33">
        <f>IF($A85="","",IF($A85&lt;=NAcctAll,INDEX(PkAcctAll,$A85),""))</f>
        <v/>
      </c>
      <c r="C85" s="28">
        <f>IF($B85="","",IFERROR(IF(VLOOKUP($B85,AcctTbl,4,0)="","(بدون نام)",VLOOKUP($B85,AcctTbl,4,0)),"—"))</f>
        <v/>
      </c>
      <c r="D85" s="24">
        <f>IF($B85="","",IFERROR(IF(VLOOKUP($B85,AcctTbl,3,0)="",IF(VLOOKUP($B85,AcctTbl,2,0)="","—",VLOOKUP($B85,AcctTbl,2,0)),VLOOKUP($B85,AcctTbl,3,0)),"—"))</f>
        <v/>
      </c>
      <c r="E85" s="34">
        <f>IF($B85="","",COUNTIFS(CalcParty,$B85,CalcGroup,"خرید"))</f>
        <v/>
      </c>
      <c r="F85" s="25">
        <f>IF($B85="","",SUMIFS(CalcScale,CalcParty,$B85,CalcGroup,"خرید"))</f>
        <v/>
      </c>
      <c r="G85" s="25">
        <f>IF($B85="","",SUMIFS(CalcBaskets,CalcParty,$B85,CalcGroup,"خرید"))</f>
        <v/>
      </c>
      <c r="H85" s="26">
        <f>IF($B85="","",SUMIFS(CalcNet,CalcParty,$B85,CalcGroup,"خرید"))</f>
        <v/>
      </c>
      <c r="I85" s="24">
        <f>IF($B85="","",IFERROR(IF(VLOOKUP($B85,AcctTbl,5,0)="","—",VLOOKUP($B85,AcctTbl,5,0)),"—"))</f>
        <v/>
      </c>
      <c r="J85" s="24">
        <f>IF($B85="","",IFERROR(IF(VLOOKUP($B85,AcctTbl,6,0)="","—",VLOOKUP($B85,AcctTbl,6,0)),"—"))</f>
        <v/>
      </c>
      <c r="K85" s="35">
        <f>IF(OR($B85="",$H$570=0),"",$H85/$H$570)</f>
        <v/>
      </c>
    </row>
    <row r="86">
      <c r="A86" s="17">
        <f>IF(ROW()-9&gt;NAcctAll,"",ROW()-9)</f>
        <v/>
      </c>
      <c r="B86" s="30">
        <f>IF($A86="","",IF($A86&lt;=NAcctAll,INDEX(PkAcctAll,$A86),""))</f>
        <v/>
      </c>
      <c r="C86" s="22">
        <f>IF($B86="","",IFERROR(IF(VLOOKUP($B86,AcctTbl,4,0)="","(بدون نام)",VLOOKUP($B86,AcctTbl,4,0)),"—"))</f>
        <v/>
      </c>
      <c r="D86" s="18">
        <f>IF($B86="","",IFERROR(IF(VLOOKUP($B86,AcctTbl,3,0)="",IF(VLOOKUP($B86,AcctTbl,2,0)="","—",VLOOKUP($B86,AcctTbl,2,0)),VLOOKUP($B86,AcctTbl,3,0)),"—"))</f>
        <v/>
      </c>
      <c r="E86" s="31">
        <f>IF($B86="","",COUNTIFS(CalcParty,$B86,CalcGroup,"خرید"))</f>
        <v/>
      </c>
      <c r="F86" s="19">
        <f>IF($B86="","",SUMIFS(CalcScale,CalcParty,$B86,CalcGroup,"خرید"))</f>
        <v/>
      </c>
      <c r="G86" s="19">
        <f>IF($B86="","",SUMIFS(CalcBaskets,CalcParty,$B86,CalcGroup,"خرید"))</f>
        <v/>
      </c>
      <c r="H86" s="20">
        <f>IF($B86="","",SUMIFS(CalcNet,CalcParty,$B86,CalcGroup,"خرید"))</f>
        <v/>
      </c>
      <c r="I86" s="18">
        <f>IF($B86="","",IFERROR(IF(VLOOKUP($B86,AcctTbl,5,0)="","—",VLOOKUP($B86,AcctTbl,5,0)),"—"))</f>
        <v/>
      </c>
      <c r="J86" s="18">
        <f>IF($B86="","",IFERROR(IF(VLOOKUP($B86,AcctTbl,6,0)="","—",VLOOKUP($B86,AcctTbl,6,0)),"—"))</f>
        <v/>
      </c>
      <c r="K86" s="32">
        <f>IF(OR($B86="",$H$570=0),"",$H86/$H$570)</f>
        <v/>
      </c>
    </row>
    <row r="87">
      <c r="A87" s="23">
        <f>IF(ROW()-9&gt;NAcctAll,"",ROW()-9)</f>
        <v/>
      </c>
      <c r="B87" s="33">
        <f>IF($A87="","",IF($A87&lt;=NAcctAll,INDEX(PkAcctAll,$A87),""))</f>
        <v/>
      </c>
      <c r="C87" s="28">
        <f>IF($B87="","",IFERROR(IF(VLOOKUP($B87,AcctTbl,4,0)="","(بدون نام)",VLOOKUP($B87,AcctTbl,4,0)),"—"))</f>
        <v/>
      </c>
      <c r="D87" s="24">
        <f>IF($B87="","",IFERROR(IF(VLOOKUP($B87,AcctTbl,3,0)="",IF(VLOOKUP($B87,AcctTbl,2,0)="","—",VLOOKUP($B87,AcctTbl,2,0)),VLOOKUP($B87,AcctTbl,3,0)),"—"))</f>
        <v/>
      </c>
      <c r="E87" s="34">
        <f>IF($B87="","",COUNTIFS(CalcParty,$B87,CalcGroup,"خرید"))</f>
        <v/>
      </c>
      <c r="F87" s="25">
        <f>IF($B87="","",SUMIFS(CalcScale,CalcParty,$B87,CalcGroup,"خرید"))</f>
        <v/>
      </c>
      <c r="G87" s="25">
        <f>IF($B87="","",SUMIFS(CalcBaskets,CalcParty,$B87,CalcGroup,"خرید"))</f>
        <v/>
      </c>
      <c r="H87" s="26">
        <f>IF($B87="","",SUMIFS(CalcNet,CalcParty,$B87,CalcGroup,"خرید"))</f>
        <v/>
      </c>
      <c r="I87" s="24">
        <f>IF($B87="","",IFERROR(IF(VLOOKUP($B87,AcctTbl,5,0)="","—",VLOOKUP($B87,AcctTbl,5,0)),"—"))</f>
        <v/>
      </c>
      <c r="J87" s="24">
        <f>IF($B87="","",IFERROR(IF(VLOOKUP($B87,AcctTbl,6,0)="","—",VLOOKUP($B87,AcctTbl,6,0)),"—"))</f>
        <v/>
      </c>
      <c r="K87" s="35">
        <f>IF(OR($B87="",$H$570=0),"",$H87/$H$570)</f>
        <v/>
      </c>
    </row>
    <row r="88">
      <c r="A88" s="17">
        <f>IF(ROW()-9&gt;NAcctAll,"",ROW()-9)</f>
        <v/>
      </c>
      <c r="B88" s="30">
        <f>IF($A88="","",IF($A88&lt;=NAcctAll,INDEX(PkAcctAll,$A88),""))</f>
        <v/>
      </c>
      <c r="C88" s="22">
        <f>IF($B88="","",IFERROR(IF(VLOOKUP($B88,AcctTbl,4,0)="","(بدون نام)",VLOOKUP($B88,AcctTbl,4,0)),"—"))</f>
        <v/>
      </c>
      <c r="D88" s="18">
        <f>IF($B88="","",IFERROR(IF(VLOOKUP($B88,AcctTbl,3,0)="",IF(VLOOKUP($B88,AcctTbl,2,0)="","—",VLOOKUP($B88,AcctTbl,2,0)),VLOOKUP($B88,AcctTbl,3,0)),"—"))</f>
        <v/>
      </c>
      <c r="E88" s="31">
        <f>IF($B88="","",COUNTIFS(CalcParty,$B88,CalcGroup,"خرید"))</f>
        <v/>
      </c>
      <c r="F88" s="19">
        <f>IF($B88="","",SUMIFS(CalcScale,CalcParty,$B88,CalcGroup,"خرید"))</f>
        <v/>
      </c>
      <c r="G88" s="19">
        <f>IF($B88="","",SUMIFS(CalcBaskets,CalcParty,$B88,CalcGroup,"خرید"))</f>
        <v/>
      </c>
      <c r="H88" s="20">
        <f>IF($B88="","",SUMIFS(CalcNet,CalcParty,$B88,CalcGroup,"خرید"))</f>
        <v/>
      </c>
      <c r="I88" s="18">
        <f>IF($B88="","",IFERROR(IF(VLOOKUP($B88,AcctTbl,5,0)="","—",VLOOKUP($B88,AcctTbl,5,0)),"—"))</f>
        <v/>
      </c>
      <c r="J88" s="18">
        <f>IF($B88="","",IFERROR(IF(VLOOKUP($B88,AcctTbl,6,0)="","—",VLOOKUP($B88,AcctTbl,6,0)),"—"))</f>
        <v/>
      </c>
      <c r="K88" s="32">
        <f>IF(OR($B88="",$H$570=0),"",$H88/$H$570)</f>
        <v/>
      </c>
    </row>
    <row r="89">
      <c r="A89" s="23">
        <f>IF(ROW()-9&gt;NAcctAll,"",ROW()-9)</f>
        <v/>
      </c>
      <c r="B89" s="33">
        <f>IF($A89="","",IF($A89&lt;=NAcctAll,INDEX(PkAcctAll,$A89),""))</f>
        <v/>
      </c>
      <c r="C89" s="28">
        <f>IF($B89="","",IFERROR(IF(VLOOKUP($B89,AcctTbl,4,0)="","(بدون نام)",VLOOKUP($B89,AcctTbl,4,0)),"—"))</f>
        <v/>
      </c>
      <c r="D89" s="24">
        <f>IF($B89="","",IFERROR(IF(VLOOKUP($B89,AcctTbl,3,0)="",IF(VLOOKUP($B89,AcctTbl,2,0)="","—",VLOOKUP($B89,AcctTbl,2,0)),VLOOKUP($B89,AcctTbl,3,0)),"—"))</f>
        <v/>
      </c>
      <c r="E89" s="34">
        <f>IF($B89="","",COUNTIFS(CalcParty,$B89,CalcGroup,"خرید"))</f>
        <v/>
      </c>
      <c r="F89" s="25">
        <f>IF($B89="","",SUMIFS(CalcScale,CalcParty,$B89,CalcGroup,"خرید"))</f>
        <v/>
      </c>
      <c r="G89" s="25">
        <f>IF($B89="","",SUMIFS(CalcBaskets,CalcParty,$B89,CalcGroup,"خرید"))</f>
        <v/>
      </c>
      <c r="H89" s="26">
        <f>IF($B89="","",SUMIFS(CalcNet,CalcParty,$B89,CalcGroup,"خرید"))</f>
        <v/>
      </c>
      <c r="I89" s="24">
        <f>IF($B89="","",IFERROR(IF(VLOOKUP($B89,AcctTbl,5,0)="","—",VLOOKUP($B89,AcctTbl,5,0)),"—"))</f>
        <v/>
      </c>
      <c r="J89" s="24">
        <f>IF($B89="","",IFERROR(IF(VLOOKUP($B89,AcctTbl,6,0)="","—",VLOOKUP($B89,AcctTbl,6,0)),"—"))</f>
        <v/>
      </c>
      <c r="K89" s="35">
        <f>IF(OR($B89="",$H$570=0),"",$H89/$H$570)</f>
        <v/>
      </c>
    </row>
    <row r="90">
      <c r="A90" s="17">
        <f>IF(ROW()-9&gt;NAcctAll,"",ROW()-9)</f>
        <v/>
      </c>
      <c r="B90" s="30">
        <f>IF($A90="","",IF($A90&lt;=NAcctAll,INDEX(PkAcctAll,$A90),""))</f>
        <v/>
      </c>
      <c r="C90" s="22">
        <f>IF($B90="","",IFERROR(IF(VLOOKUP($B90,AcctTbl,4,0)="","(بدون نام)",VLOOKUP($B90,AcctTbl,4,0)),"—"))</f>
        <v/>
      </c>
      <c r="D90" s="18">
        <f>IF($B90="","",IFERROR(IF(VLOOKUP($B90,AcctTbl,3,0)="",IF(VLOOKUP($B90,AcctTbl,2,0)="","—",VLOOKUP($B90,AcctTbl,2,0)),VLOOKUP($B90,AcctTbl,3,0)),"—"))</f>
        <v/>
      </c>
      <c r="E90" s="31">
        <f>IF($B90="","",COUNTIFS(CalcParty,$B90,CalcGroup,"خرید"))</f>
        <v/>
      </c>
      <c r="F90" s="19">
        <f>IF($B90="","",SUMIFS(CalcScale,CalcParty,$B90,CalcGroup,"خرید"))</f>
        <v/>
      </c>
      <c r="G90" s="19">
        <f>IF($B90="","",SUMIFS(CalcBaskets,CalcParty,$B90,CalcGroup,"خرید"))</f>
        <v/>
      </c>
      <c r="H90" s="20">
        <f>IF($B90="","",SUMIFS(CalcNet,CalcParty,$B90,CalcGroup,"خرید"))</f>
        <v/>
      </c>
      <c r="I90" s="18">
        <f>IF($B90="","",IFERROR(IF(VLOOKUP($B90,AcctTbl,5,0)="","—",VLOOKUP($B90,AcctTbl,5,0)),"—"))</f>
        <v/>
      </c>
      <c r="J90" s="18">
        <f>IF($B90="","",IFERROR(IF(VLOOKUP($B90,AcctTbl,6,0)="","—",VLOOKUP($B90,AcctTbl,6,0)),"—"))</f>
        <v/>
      </c>
      <c r="K90" s="32">
        <f>IF(OR($B90="",$H$570=0),"",$H90/$H$570)</f>
        <v/>
      </c>
    </row>
    <row r="91">
      <c r="A91" s="23">
        <f>IF(ROW()-9&gt;NAcctAll,"",ROW()-9)</f>
        <v/>
      </c>
      <c r="B91" s="33">
        <f>IF($A91="","",IF($A91&lt;=NAcctAll,INDEX(PkAcctAll,$A91),""))</f>
        <v/>
      </c>
      <c r="C91" s="28">
        <f>IF($B91="","",IFERROR(IF(VLOOKUP($B91,AcctTbl,4,0)="","(بدون نام)",VLOOKUP($B91,AcctTbl,4,0)),"—"))</f>
        <v/>
      </c>
      <c r="D91" s="24">
        <f>IF($B91="","",IFERROR(IF(VLOOKUP($B91,AcctTbl,3,0)="",IF(VLOOKUP($B91,AcctTbl,2,0)="","—",VLOOKUP($B91,AcctTbl,2,0)),VLOOKUP($B91,AcctTbl,3,0)),"—"))</f>
        <v/>
      </c>
      <c r="E91" s="34">
        <f>IF($B91="","",COUNTIFS(CalcParty,$B91,CalcGroup,"خرید"))</f>
        <v/>
      </c>
      <c r="F91" s="25">
        <f>IF($B91="","",SUMIFS(CalcScale,CalcParty,$B91,CalcGroup,"خرید"))</f>
        <v/>
      </c>
      <c r="G91" s="25">
        <f>IF($B91="","",SUMIFS(CalcBaskets,CalcParty,$B91,CalcGroup,"خرید"))</f>
        <v/>
      </c>
      <c r="H91" s="26">
        <f>IF($B91="","",SUMIFS(CalcNet,CalcParty,$B91,CalcGroup,"خرید"))</f>
        <v/>
      </c>
      <c r="I91" s="24">
        <f>IF($B91="","",IFERROR(IF(VLOOKUP($B91,AcctTbl,5,0)="","—",VLOOKUP($B91,AcctTbl,5,0)),"—"))</f>
        <v/>
      </c>
      <c r="J91" s="24">
        <f>IF($B91="","",IFERROR(IF(VLOOKUP($B91,AcctTbl,6,0)="","—",VLOOKUP($B91,AcctTbl,6,0)),"—"))</f>
        <v/>
      </c>
      <c r="K91" s="35">
        <f>IF(OR($B91="",$H$570=0),"",$H91/$H$570)</f>
        <v/>
      </c>
    </row>
    <row r="92">
      <c r="A92" s="17">
        <f>IF(ROW()-9&gt;NAcctAll,"",ROW()-9)</f>
        <v/>
      </c>
      <c r="B92" s="30">
        <f>IF($A92="","",IF($A92&lt;=NAcctAll,INDEX(PkAcctAll,$A92),""))</f>
        <v/>
      </c>
      <c r="C92" s="22">
        <f>IF($B92="","",IFERROR(IF(VLOOKUP($B92,AcctTbl,4,0)="","(بدون نام)",VLOOKUP($B92,AcctTbl,4,0)),"—"))</f>
        <v/>
      </c>
      <c r="D92" s="18">
        <f>IF($B92="","",IFERROR(IF(VLOOKUP($B92,AcctTbl,3,0)="",IF(VLOOKUP($B92,AcctTbl,2,0)="","—",VLOOKUP($B92,AcctTbl,2,0)),VLOOKUP($B92,AcctTbl,3,0)),"—"))</f>
        <v/>
      </c>
      <c r="E92" s="31">
        <f>IF($B92="","",COUNTIFS(CalcParty,$B92,CalcGroup,"خرید"))</f>
        <v/>
      </c>
      <c r="F92" s="19">
        <f>IF($B92="","",SUMIFS(CalcScale,CalcParty,$B92,CalcGroup,"خرید"))</f>
        <v/>
      </c>
      <c r="G92" s="19">
        <f>IF($B92="","",SUMIFS(CalcBaskets,CalcParty,$B92,CalcGroup,"خرید"))</f>
        <v/>
      </c>
      <c r="H92" s="20">
        <f>IF($B92="","",SUMIFS(CalcNet,CalcParty,$B92,CalcGroup,"خرید"))</f>
        <v/>
      </c>
      <c r="I92" s="18">
        <f>IF($B92="","",IFERROR(IF(VLOOKUP($B92,AcctTbl,5,0)="","—",VLOOKUP($B92,AcctTbl,5,0)),"—"))</f>
        <v/>
      </c>
      <c r="J92" s="18">
        <f>IF($B92="","",IFERROR(IF(VLOOKUP($B92,AcctTbl,6,0)="","—",VLOOKUP($B92,AcctTbl,6,0)),"—"))</f>
        <v/>
      </c>
      <c r="K92" s="32">
        <f>IF(OR($B92="",$H$570=0),"",$H92/$H$570)</f>
        <v/>
      </c>
    </row>
    <row r="93">
      <c r="A93" s="23">
        <f>IF(ROW()-9&gt;NAcctAll,"",ROW()-9)</f>
        <v/>
      </c>
      <c r="B93" s="33">
        <f>IF($A93="","",IF($A93&lt;=NAcctAll,INDEX(PkAcctAll,$A93),""))</f>
        <v/>
      </c>
      <c r="C93" s="28">
        <f>IF($B93="","",IFERROR(IF(VLOOKUP($B93,AcctTbl,4,0)="","(بدون نام)",VLOOKUP($B93,AcctTbl,4,0)),"—"))</f>
        <v/>
      </c>
      <c r="D93" s="24">
        <f>IF($B93="","",IFERROR(IF(VLOOKUP($B93,AcctTbl,3,0)="",IF(VLOOKUP($B93,AcctTbl,2,0)="","—",VLOOKUP($B93,AcctTbl,2,0)),VLOOKUP($B93,AcctTbl,3,0)),"—"))</f>
        <v/>
      </c>
      <c r="E93" s="34">
        <f>IF($B93="","",COUNTIFS(CalcParty,$B93,CalcGroup,"خرید"))</f>
        <v/>
      </c>
      <c r="F93" s="25">
        <f>IF($B93="","",SUMIFS(CalcScale,CalcParty,$B93,CalcGroup,"خرید"))</f>
        <v/>
      </c>
      <c r="G93" s="25">
        <f>IF($B93="","",SUMIFS(CalcBaskets,CalcParty,$B93,CalcGroup,"خرید"))</f>
        <v/>
      </c>
      <c r="H93" s="26">
        <f>IF($B93="","",SUMIFS(CalcNet,CalcParty,$B93,CalcGroup,"خرید"))</f>
        <v/>
      </c>
      <c r="I93" s="24">
        <f>IF($B93="","",IFERROR(IF(VLOOKUP($B93,AcctTbl,5,0)="","—",VLOOKUP($B93,AcctTbl,5,0)),"—"))</f>
        <v/>
      </c>
      <c r="J93" s="24">
        <f>IF($B93="","",IFERROR(IF(VLOOKUP($B93,AcctTbl,6,0)="","—",VLOOKUP($B93,AcctTbl,6,0)),"—"))</f>
        <v/>
      </c>
      <c r="K93" s="35">
        <f>IF(OR($B93="",$H$570=0),"",$H93/$H$570)</f>
        <v/>
      </c>
    </row>
    <row r="94">
      <c r="A94" s="17">
        <f>IF(ROW()-9&gt;NAcctAll,"",ROW()-9)</f>
        <v/>
      </c>
      <c r="B94" s="30">
        <f>IF($A94="","",IF($A94&lt;=NAcctAll,INDEX(PkAcctAll,$A94),""))</f>
        <v/>
      </c>
      <c r="C94" s="22">
        <f>IF($B94="","",IFERROR(IF(VLOOKUP($B94,AcctTbl,4,0)="","(بدون نام)",VLOOKUP($B94,AcctTbl,4,0)),"—"))</f>
        <v/>
      </c>
      <c r="D94" s="18">
        <f>IF($B94="","",IFERROR(IF(VLOOKUP($B94,AcctTbl,3,0)="",IF(VLOOKUP($B94,AcctTbl,2,0)="","—",VLOOKUP($B94,AcctTbl,2,0)),VLOOKUP($B94,AcctTbl,3,0)),"—"))</f>
        <v/>
      </c>
      <c r="E94" s="31">
        <f>IF($B94="","",COUNTIFS(CalcParty,$B94,CalcGroup,"خرید"))</f>
        <v/>
      </c>
      <c r="F94" s="19">
        <f>IF($B94="","",SUMIFS(CalcScale,CalcParty,$B94,CalcGroup,"خرید"))</f>
        <v/>
      </c>
      <c r="G94" s="19">
        <f>IF($B94="","",SUMIFS(CalcBaskets,CalcParty,$B94,CalcGroup,"خرید"))</f>
        <v/>
      </c>
      <c r="H94" s="20">
        <f>IF($B94="","",SUMIFS(CalcNet,CalcParty,$B94,CalcGroup,"خرید"))</f>
        <v/>
      </c>
      <c r="I94" s="18">
        <f>IF($B94="","",IFERROR(IF(VLOOKUP($B94,AcctTbl,5,0)="","—",VLOOKUP($B94,AcctTbl,5,0)),"—"))</f>
        <v/>
      </c>
      <c r="J94" s="18">
        <f>IF($B94="","",IFERROR(IF(VLOOKUP($B94,AcctTbl,6,0)="","—",VLOOKUP($B94,AcctTbl,6,0)),"—"))</f>
        <v/>
      </c>
      <c r="K94" s="32">
        <f>IF(OR($B94="",$H$570=0),"",$H94/$H$570)</f>
        <v/>
      </c>
    </row>
    <row r="95">
      <c r="A95" s="23">
        <f>IF(ROW()-9&gt;NAcctAll,"",ROW()-9)</f>
        <v/>
      </c>
      <c r="B95" s="33">
        <f>IF($A95="","",IF($A95&lt;=NAcctAll,INDEX(PkAcctAll,$A95),""))</f>
        <v/>
      </c>
      <c r="C95" s="28">
        <f>IF($B95="","",IFERROR(IF(VLOOKUP($B95,AcctTbl,4,0)="","(بدون نام)",VLOOKUP($B95,AcctTbl,4,0)),"—"))</f>
        <v/>
      </c>
      <c r="D95" s="24">
        <f>IF($B95="","",IFERROR(IF(VLOOKUP($B95,AcctTbl,3,0)="",IF(VLOOKUP($B95,AcctTbl,2,0)="","—",VLOOKUP($B95,AcctTbl,2,0)),VLOOKUP($B95,AcctTbl,3,0)),"—"))</f>
        <v/>
      </c>
      <c r="E95" s="34">
        <f>IF($B95="","",COUNTIFS(CalcParty,$B95,CalcGroup,"خرید"))</f>
        <v/>
      </c>
      <c r="F95" s="25">
        <f>IF($B95="","",SUMIFS(CalcScale,CalcParty,$B95,CalcGroup,"خرید"))</f>
        <v/>
      </c>
      <c r="G95" s="25">
        <f>IF($B95="","",SUMIFS(CalcBaskets,CalcParty,$B95,CalcGroup,"خرید"))</f>
        <v/>
      </c>
      <c r="H95" s="26">
        <f>IF($B95="","",SUMIFS(CalcNet,CalcParty,$B95,CalcGroup,"خرید"))</f>
        <v/>
      </c>
      <c r="I95" s="24">
        <f>IF($B95="","",IFERROR(IF(VLOOKUP($B95,AcctTbl,5,0)="","—",VLOOKUP($B95,AcctTbl,5,0)),"—"))</f>
        <v/>
      </c>
      <c r="J95" s="24">
        <f>IF($B95="","",IFERROR(IF(VLOOKUP($B95,AcctTbl,6,0)="","—",VLOOKUP($B95,AcctTbl,6,0)),"—"))</f>
        <v/>
      </c>
      <c r="K95" s="35">
        <f>IF(OR($B95="",$H$570=0),"",$H95/$H$570)</f>
        <v/>
      </c>
    </row>
    <row r="96">
      <c r="A96" s="17">
        <f>IF(ROW()-9&gt;NAcctAll,"",ROW()-9)</f>
        <v/>
      </c>
      <c r="B96" s="30">
        <f>IF($A96="","",IF($A96&lt;=NAcctAll,INDEX(PkAcctAll,$A96),""))</f>
        <v/>
      </c>
      <c r="C96" s="22">
        <f>IF($B96="","",IFERROR(IF(VLOOKUP($B96,AcctTbl,4,0)="","(بدون نام)",VLOOKUP($B96,AcctTbl,4,0)),"—"))</f>
        <v/>
      </c>
      <c r="D96" s="18">
        <f>IF($B96="","",IFERROR(IF(VLOOKUP($B96,AcctTbl,3,0)="",IF(VLOOKUP($B96,AcctTbl,2,0)="","—",VLOOKUP($B96,AcctTbl,2,0)),VLOOKUP($B96,AcctTbl,3,0)),"—"))</f>
        <v/>
      </c>
      <c r="E96" s="31">
        <f>IF($B96="","",COUNTIFS(CalcParty,$B96,CalcGroup,"خرید"))</f>
        <v/>
      </c>
      <c r="F96" s="19">
        <f>IF($B96="","",SUMIFS(CalcScale,CalcParty,$B96,CalcGroup,"خرید"))</f>
        <v/>
      </c>
      <c r="G96" s="19">
        <f>IF($B96="","",SUMIFS(CalcBaskets,CalcParty,$B96,CalcGroup,"خرید"))</f>
        <v/>
      </c>
      <c r="H96" s="20">
        <f>IF($B96="","",SUMIFS(CalcNet,CalcParty,$B96,CalcGroup,"خرید"))</f>
        <v/>
      </c>
      <c r="I96" s="18">
        <f>IF($B96="","",IFERROR(IF(VLOOKUP($B96,AcctTbl,5,0)="","—",VLOOKUP($B96,AcctTbl,5,0)),"—"))</f>
        <v/>
      </c>
      <c r="J96" s="18">
        <f>IF($B96="","",IFERROR(IF(VLOOKUP($B96,AcctTbl,6,0)="","—",VLOOKUP($B96,AcctTbl,6,0)),"—"))</f>
        <v/>
      </c>
      <c r="K96" s="32">
        <f>IF(OR($B96="",$H$570=0),"",$H96/$H$570)</f>
        <v/>
      </c>
    </row>
    <row r="97">
      <c r="A97" s="23">
        <f>IF(ROW()-9&gt;NAcctAll,"",ROW()-9)</f>
        <v/>
      </c>
      <c r="B97" s="33">
        <f>IF($A97="","",IF($A97&lt;=NAcctAll,INDEX(PkAcctAll,$A97),""))</f>
        <v/>
      </c>
      <c r="C97" s="28">
        <f>IF($B97="","",IFERROR(IF(VLOOKUP($B97,AcctTbl,4,0)="","(بدون نام)",VLOOKUP($B97,AcctTbl,4,0)),"—"))</f>
        <v/>
      </c>
      <c r="D97" s="24">
        <f>IF($B97="","",IFERROR(IF(VLOOKUP($B97,AcctTbl,3,0)="",IF(VLOOKUP($B97,AcctTbl,2,0)="","—",VLOOKUP($B97,AcctTbl,2,0)),VLOOKUP($B97,AcctTbl,3,0)),"—"))</f>
        <v/>
      </c>
      <c r="E97" s="34">
        <f>IF($B97="","",COUNTIFS(CalcParty,$B97,CalcGroup,"خرید"))</f>
        <v/>
      </c>
      <c r="F97" s="25">
        <f>IF($B97="","",SUMIFS(CalcScale,CalcParty,$B97,CalcGroup,"خرید"))</f>
        <v/>
      </c>
      <c r="G97" s="25">
        <f>IF($B97="","",SUMIFS(CalcBaskets,CalcParty,$B97,CalcGroup,"خرید"))</f>
        <v/>
      </c>
      <c r="H97" s="26">
        <f>IF($B97="","",SUMIFS(CalcNet,CalcParty,$B97,CalcGroup,"خرید"))</f>
        <v/>
      </c>
      <c r="I97" s="24">
        <f>IF($B97="","",IFERROR(IF(VLOOKUP($B97,AcctTbl,5,0)="","—",VLOOKUP($B97,AcctTbl,5,0)),"—"))</f>
        <v/>
      </c>
      <c r="J97" s="24">
        <f>IF($B97="","",IFERROR(IF(VLOOKUP($B97,AcctTbl,6,0)="","—",VLOOKUP($B97,AcctTbl,6,0)),"—"))</f>
        <v/>
      </c>
      <c r="K97" s="35">
        <f>IF(OR($B97="",$H$570=0),"",$H97/$H$570)</f>
        <v/>
      </c>
    </row>
    <row r="98">
      <c r="A98" s="17">
        <f>IF(ROW()-9&gt;NAcctAll,"",ROW()-9)</f>
        <v/>
      </c>
      <c r="B98" s="30">
        <f>IF($A98="","",IF($A98&lt;=NAcctAll,INDEX(PkAcctAll,$A98),""))</f>
        <v/>
      </c>
      <c r="C98" s="22">
        <f>IF($B98="","",IFERROR(IF(VLOOKUP($B98,AcctTbl,4,0)="","(بدون نام)",VLOOKUP($B98,AcctTbl,4,0)),"—"))</f>
        <v/>
      </c>
      <c r="D98" s="18">
        <f>IF($B98="","",IFERROR(IF(VLOOKUP($B98,AcctTbl,3,0)="",IF(VLOOKUP($B98,AcctTbl,2,0)="","—",VLOOKUP($B98,AcctTbl,2,0)),VLOOKUP($B98,AcctTbl,3,0)),"—"))</f>
        <v/>
      </c>
      <c r="E98" s="31">
        <f>IF($B98="","",COUNTIFS(CalcParty,$B98,CalcGroup,"خرید"))</f>
        <v/>
      </c>
      <c r="F98" s="19">
        <f>IF($B98="","",SUMIFS(CalcScale,CalcParty,$B98,CalcGroup,"خرید"))</f>
        <v/>
      </c>
      <c r="G98" s="19">
        <f>IF($B98="","",SUMIFS(CalcBaskets,CalcParty,$B98,CalcGroup,"خرید"))</f>
        <v/>
      </c>
      <c r="H98" s="20">
        <f>IF($B98="","",SUMIFS(CalcNet,CalcParty,$B98,CalcGroup,"خرید"))</f>
        <v/>
      </c>
      <c r="I98" s="18">
        <f>IF($B98="","",IFERROR(IF(VLOOKUP($B98,AcctTbl,5,0)="","—",VLOOKUP($B98,AcctTbl,5,0)),"—"))</f>
        <v/>
      </c>
      <c r="J98" s="18">
        <f>IF($B98="","",IFERROR(IF(VLOOKUP($B98,AcctTbl,6,0)="","—",VLOOKUP($B98,AcctTbl,6,0)),"—"))</f>
        <v/>
      </c>
      <c r="K98" s="32">
        <f>IF(OR($B98="",$H$570=0),"",$H98/$H$570)</f>
        <v/>
      </c>
    </row>
    <row r="99">
      <c r="A99" s="23">
        <f>IF(ROW()-9&gt;NAcctAll,"",ROW()-9)</f>
        <v/>
      </c>
      <c r="B99" s="33">
        <f>IF($A99="","",IF($A99&lt;=NAcctAll,INDEX(PkAcctAll,$A99),""))</f>
        <v/>
      </c>
      <c r="C99" s="28">
        <f>IF($B99="","",IFERROR(IF(VLOOKUP($B99,AcctTbl,4,0)="","(بدون نام)",VLOOKUP($B99,AcctTbl,4,0)),"—"))</f>
        <v/>
      </c>
      <c r="D99" s="24">
        <f>IF($B99="","",IFERROR(IF(VLOOKUP($B99,AcctTbl,3,0)="",IF(VLOOKUP($B99,AcctTbl,2,0)="","—",VLOOKUP($B99,AcctTbl,2,0)),VLOOKUP($B99,AcctTbl,3,0)),"—"))</f>
        <v/>
      </c>
      <c r="E99" s="34">
        <f>IF($B99="","",COUNTIFS(CalcParty,$B99,CalcGroup,"خرید"))</f>
        <v/>
      </c>
      <c r="F99" s="25">
        <f>IF($B99="","",SUMIFS(CalcScale,CalcParty,$B99,CalcGroup,"خرید"))</f>
        <v/>
      </c>
      <c r="G99" s="25">
        <f>IF($B99="","",SUMIFS(CalcBaskets,CalcParty,$B99,CalcGroup,"خرید"))</f>
        <v/>
      </c>
      <c r="H99" s="26">
        <f>IF($B99="","",SUMIFS(CalcNet,CalcParty,$B99,CalcGroup,"خرید"))</f>
        <v/>
      </c>
      <c r="I99" s="24">
        <f>IF($B99="","",IFERROR(IF(VLOOKUP($B99,AcctTbl,5,0)="","—",VLOOKUP($B99,AcctTbl,5,0)),"—"))</f>
        <v/>
      </c>
      <c r="J99" s="24">
        <f>IF($B99="","",IFERROR(IF(VLOOKUP($B99,AcctTbl,6,0)="","—",VLOOKUP($B99,AcctTbl,6,0)),"—"))</f>
        <v/>
      </c>
      <c r="K99" s="35">
        <f>IF(OR($B99="",$H$570=0),"",$H99/$H$570)</f>
        <v/>
      </c>
    </row>
    <row r="100">
      <c r="A100" s="17">
        <f>IF(ROW()-9&gt;NAcctAll,"",ROW()-9)</f>
        <v/>
      </c>
      <c r="B100" s="30">
        <f>IF($A100="","",IF($A100&lt;=NAcctAll,INDEX(PkAcctAll,$A100),""))</f>
        <v/>
      </c>
      <c r="C100" s="22">
        <f>IF($B100="","",IFERROR(IF(VLOOKUP($B100,AcctTbl,4,0)="","(بدون نام)",VLOOKUP($B100,AcctTbl,4,0)),"—"))</f>
        <v/>
      </c>
      <c r="D100" s="18">
        <f>IF($B100="","",IFERROR(IF(VLOOKUP($B100,AcctTbl,3,0)="",IF(VLOOKUP($B100,AcctTbl,2,0)="","—",VLOOKUP($B100,AcctTbl,2,0)),VLOOKUP($B100,AcctTbl,3,0)),"—"))</f>
        <v/>
      </c>
      <c r="E100" s="31">
        <f>IF($B100="","",COUNTIFS(CalcParty,$B100,CalcGroup,"خرید"))</f>
        <v/>
      </c>
      <c r="F100" s="19">
        <f>IF($B100="","",SUMIFS(CalcScale,CalcParty,$B100,CalcGroup,"خرید"))</f>
        <v/>
      </c>
      <c r="G100" s="19">
        <f>IF($B100="","",SUMIFS(CalcBaskets,CalcParty,$B100,CalcGroup,"خرید"))</f>
        <v/>
      </c>
      <c r="H100" s="20">
        <f>IF($B100="","",SUMIFS(CalcNet,CalcParty,$B100,CalcGroup,"خرید"))</f>
        <v/>
      </c>
      <c r="I100" s="18">
        <f>IF($B100="","",IFERROR(IF(VLOOKUP($B100,AcctTbl,5,0)="","—",VLOOKUP($B100,AcctTbl,5,0)),"—"))</f>
        <v/>
      </c>
      <c r="J100" s="18">
        <f>IF($B100="","",IFERROR(IF(VLOOKUP($B100,AcctTbl,6,0)="","—",VLOOKUP($B100,AcctTbl,6,0)),"—"))</f>
        <v/>
      </c>
      <c r="K100" s="32">
        <f>IF(OR($B100="",$H$570=0),"",$H100/$H$570)</f>
        <v/>
      </c>
    </row>
    <row r="101">
      <c r="A101" s="23">
        <f>IF(ROW()-9&gt;NAcctAll,"",ROW()-9)</f>
        <v/>
      </c>
      <c r="B101" s="33">
        <f>IF($A101="","",IF($A101&lt;=NAcctAll,INDEX(PkAcctAll,$A101),""))</f>
        <v/>
      </c>
      <c r="C101" s="28">
        <f>IF($B101="","",IFERROR(IF(VLOOKUP($B101,AcctTbl,4,0)="","(بدون نام)",VLOOKUP($B101,AcctTbl,4,0)),"—"))</f>
        <v/>
      </c>
      <c r="D101" s="24">
        <f>IF($B101="","",IFERROR(IF(VLOOKUP($B101,AcctTbl,3,0)="",IF(VLOOKUP($B101,AcctTbl,2,0)="","—",VLOOKUP($B101,AcctTbl,2,0)),VLOOKUP($B101,AcctTbl,3,0)),"—"))</f>
        <v/>
      </c>
      <c r="E101" s="34">
        <f>IF($B101="","",COUNTIFS(CalcParty,$B101,CalcGroup,"خرید"))</f>
        <v/>
      </c>
      <c r="F101" s="25">
        <f>IF($B101="","",SUMIFS(CalcScale,CalcParty,$B101,CalcGroup,"خرید"))</f>
        <v/>
      </c>
      <c r="G101" s="25">
        <f>IF($B101="","",SUMIFS(CalcBaskets,CalcParty,$B101,CalcGroup,"خرید"))</f>
        <v/>
      </c>
      <c r="H101" s="26">
        <f>IF($B101="","",SUMIFS(CalcNet,CalcParty,$B101,CalcGroup,"خرید"))</f>
        <v/>
      </c>
      <c r="I101" s="24">
        <f>IF($B101="","",IFERROR(IF(VLOOKUP($B101,AcctTbl,5,0)="","—",VLOOKUP($B101,AcctTbl,5,0)),"—"))</f>
        <v/>
      </c>
      <c r="J101" s="24">
        <f>IF($B101="","",IFERROR(IF(VLOOKUP($B101,AcctTbl,6,0)="","—",VLOOKUP($B101,AcctTbl,6,0)),"—"))</f>
        <v/>
      </c>
      <c r="K101" s="35">
        <f>IF(OR($B101="",$H$570=0),"",$H101/$H$570)</f>
        <v/>
      </c>
    </row>
    <row r="102">
      <c r="A102" s="17">
        <f>IF(ROW()-9&gt;NAcctAll,"",ROW()-9)</f>
        <v/>
      </c>
      <c r="B102" s="30">
        <f>IF($A102="","",IF($A102&lt;=NAcctAll,INDEX(PkAcctAll,$A102),""))</f>
        <v/>
      </c>
      <c r="C102" s="22">
        <f>IF($B102="","",IFERROR(IF(VLOOKUP($B102,AcctTbl,4,0)="","(بدون نام)",VLOOKUP($B102,AcctTbl,4,0)),"—"))</f>
        <v/>
      </c>
      <c r="D102" s="18">
        <f>IF($B102="","",IFERROR(IF(VLOOKUP($B102,AcctTbl,3,0)="",IF(VLOOKUP($B102,AcctTbl,2,0)="","—",VLOOKUP($B102,AcctTbl,2,0)),VLOOKUP($B102,AcctTbl,3,0)),"—"))</f>
        <v/>
      </c>
      <c r="E102" s="31">
        <f>IF($B102="","",COUNTIFS(CalcParty,$B102,CalcGroup,"خرید"))</f>
        <v/>
      </c>
      <c r="F102" s="19">
        <f>IF($B102="","",SUMIFS(CalcScale,CalcParty,$B102,CalcGroup,"خرید"))</f>
        <v/>
      </c>
      <c r="G102" s="19">
        <f>IF($B102="","",SUMIFS(CalcBaskets,CalcParty,$B102,CalcGroup,"خرید"))</f>
        <v/>
      </c>
      <c r="H102" s="20">
        <f>IF($B102="","",SUMIFS(CalcNet,CalcParty,$B102,CalcGroup,"خرید"))</f>
        <v/>
      </c>
      <c r="I102" s="18">
        <f>IF($B102="","",IFERROR(IF(VLOOKUP($B102,AcctTbl,5,0)="","—",VLOOKUP($B102,AcctTbl,5,0)),"—"))</f>
        <v/>
      </c>
      <c r="J102" s="18">
        <f>IF($B102="","",IFERROR(IF(VLOOKUP($B102,AcctTbl,6,0)="","—",VLOOKUP($B102,AcctTbl,6,0)),"—"))</f>
        <v/>
      </c>
      <c r="K102" s="32">
        <f>IF(OR($B102="",$H$570=0),"",$H102/$H$570)</f>
        <v/>
      </c>
    </row>
    <row r="103">
      <c r="A103" s="23">
        <f>IF(ROW()-9&gt;NAcctAll,"",ROW()-9)</f>
        <v/>
      </c>
      <c r="B103" s="33">
        <f>IF($A103="","",IF($A103&lt;=NAcctAll,INDEX(PkAcctAll,$A103),""))</f>
        <v/>
      </c>
      <c r="C103" s="28">
        <f>IF($B103="","",IFERROR(IF(VLOOKUP($B103,AcctTbl,4,0)="","(بدون نام)",VLOOKUP($B103,AcctTbl,4,0)),"—"))</f>
        <v/>
      </c>
      <c r="D103" s="24">
        <f>IF($B103="","",IFERROR(IF(VLOOKUP($B103,AcctTbl,3,0)="",IF(VLOOKUP($B103,AcctTbl,2,0)="","—",VLOOKUP($B103,AcctTbl,2,0)),VLOOKUP($B103,AcctTbl,3,0)),"—"))</f>
        <v/>
      </c>
      <c r="E103" s="34">
        <f>IF($B103="","",COUNTIFS(CalcParty,$B103,CalcGroup,"خرید"))</f>
        <v/>
      </c>
      <c r="F103" s="25">
        <f>IF($B103="","",SUMIFS(CalcScale,CalcParty,$B103,CalcGroup,"خرید"))</f>
        <v/>
      </c>
      <c r="G103" s="25">
        <f>IF($B103="","",SUMIFS(CalcBaskets,CalcParty,$B103,CalcGroup,"خرید"))</f>
        <v/>
      </c>
      <c r="H103" s="26">
        <f>IF($B103="","",SUMIFS(CalcNet,CalcParty,$B103,CalcGroup,"خرید"))</f>
        <v/>
      </c>
      <c r="I103" s="24">
        <f>IF($B103="","",IFERROR(IF(VLOOKUP($B103,AcctTbl,5,0)="","—",VLOOKUP($B103,AcctTbl,5,0)),"—"))</f>
        <v/>
      </c>
      <c r="J103" s="24">
        <f>IF($B103="","",IFERROR(IF(VLOOKUP($B103,AcctTbl,6,0)="","—",VLOOKUP($B103,AcctTbl,6,0)),"—"))</f>
        <v/>
      </c>
      <c r="K103" s="35">
        <f>IF(OR($B103="",$H$570=0),"",$H103/$H$570)</f>
        <v/>
      </c>
    </row>
    <row r="104">
      <c r="A104" s="17">
        <f>IF(ROW()-9&gt;NAcctAll,"",ROW()-9)</f>
        <v/>
      </c>
      <c r="B104" s="30">
        <f>IF($A104="","",IF($A104&lt;=NAcctAll,INDEX(PkAcctAll,$A104),""))</f>
        <v/>
      </c>
      <c r="C104" s="22">
        <f>IF($B104="","",IFERROR(IF(VLOOKUP($B104,AcctTbl,4,0)="","(بدون نام)",VLOOKUP($B104,AcctTbl,4,0)),"—"))</f>
        <v/>
      </c>
      <c r="D104" s="18">
        <f>IF($B104="","",IFERROR(IF(VLOOKUP($B104,AcctTbl,3,0)="",IF(VLOOKUP($B104,AcctTbl,2,0)="","—",VLOOKUP($B104,AcctTbl,2,0)),VLOOKUP($B104,AcctTbl,3,0)),"—"))</f>
        <v/>
      </c>
      <c r="E104" s="31">
        <f>IF($B104="","",COUNTIFS(CalcParty,$B104,CalcGroup,"خرید"))</f>
        <v/>
      </c>
      <c r="F104" s="19">
        <f>IF($B104="","",SUMIFS(CalcScale,CalcParty,$B104,CalcGroup,"خرید"))</f>
        <v/>
      </c>
      <c r="G104" s="19">
        <f>IF($B104="","",SUMIFS(CalcBaskets,CalcParty,$B104,CalcGroup,"خرید"))</f>
        <v/>
      </c>
      <c r="H104" s="20">
        <f>IF($B104="","",SUMIFS(CalcNet,CalcParty,$B104,CalcGroup,"خرید"))</f>
        <v/>
      </c>
      <c r="I104" s="18">
        <f>IF($B104="","",IFERROR(IF(VLOOKUP($B104,AcctTbl,5,0)="","—",VLOOKUP($B104,AcctTbl,5,0)),"—"))</f>
        <v/>
      </c>
      <c r="J104" s="18">
        <f>IF($B104="","",IFERROR(IF(VLOOKUP($B104,AcctTbl,6,0)="","—",VLOOKUP($B104,AcctTbl,6,0)),"—"))</f>
        <v/>
      </c>
      <c r="K104" s="32">
        <f>IF(OR($B104="",$H$570=0),"",$H104/$H$570)</f>
        <v/>
      </c>
    </row>
    <row r="105">
      <c r="A105" s="23">
        <f>IF(ROW()-9&gt;NAcctAll,"",ROW()-9)</f>
        <v/>
      </c>
      <c r="B105" s="33">
        <f>IF($A105="","",IF($A105&lt;=NAcctAll,INDEX(PkAcctAll,$A105),""))</f>
        <v/>
      </c>
      <c r="C105" s="28">
        <f>IF($B105="","",IFERROR(IF(VLOOKUP($B105,AcctTbl,4,0)="","(بدون نام)",VLOOKUP($B105,AcctTbl,4,0)),"—"))</f>
        <v/>
      </c>
      <c r="D105" s="24">
        <f>IF($B105="","",IFERROR(IF(VLOOKUP($B105,AcctTbl,3,0)="",IF(VLOOKUP($B105,AcctTbl,2,0)="","—",VLOOKUP($B105,AcctTbl,2,0)),VLOOKUP($B105,AcctTbl,3,0)),"—"))</f>
        <v/>
      </c>
      <c r="E105" s="34">
        <f>IF($B105="","",COUNTIFS(CalcParty,$B105,CalcGroup,"خرید"))</f>
        <v/>
      </c>
      <c r="F105" s="25">
        <f>IF($B105="","",SUMIFS(CalcScale,CalcParty,$B105,CalcGroup,"خرید"))</f>
        <v/>
      </c>
      <c r="G105" s="25">
        <f>IF($B105="","",SUMIFS(CalcBaskets,CalcParty,$B105,CalcGroup,"خرید"))</f>
        <v/>
      </c>
      <c r="H105" s="26">
        <f>IF($B105="","",SUMIFS(CalcNet,CalcParty,$B105,CalcGroup,"خرید"))</f>
        <v/>
      </c>
      <c r="I105" s="24">
        <f>IF($B105="","",IFERROR(IF(VLOOKUP($B105,AcctTbl,5,0)="","—",VLOOKUP($B105,AcctTbl,5,0)),"—"))</f>
        <v/>
      </c>
      <c r="J105" s="24">
        <f>IF($B105="","",IFERROR(IF(VLOOKUP($B105,AcctTbl,6,0)="","—",VLOOKUP($B105,AcctTbl,6,0)),"—"))</f>
        <v/>
      </c>
      <c r="K105" s="35">
        <f>IF(OR($B105="",$H$570=0),"",$H105/$H$570)</f>
        <v/>
      </c>
    </row>
    <row r="106">
      <c r="A106" s="17">
        <f>IF(ROW()-9&gt;NAcctAll,"",ROW()-9)</f>
        <v/>
      </c>
      <c r="B106" s="30">
        <f>IF($A106="","",IF($A106&lt;=NAcctAll,INDEX(PkAcctAll,$A106),""))</f>
        <v/>
      </c>
      <c r="C106" s="22">
        <f>IF($B106="","",IFERROR(IF(VLOOKUP($B106,AcctTbl,4,0)="","(بدون نام)",VLOOKUP($B106,AcctTbl,4,0)),"—"))</f>
        <v/>
      </c>
      <c r="D106" s="18">
        <f>IF($B106="","",IFERROR(IF(VLOOKUP($B106,AcctTbl,3,0)="",IF(VLOOKUP($B106,AcctTbl,2,0)="","—",VLOOKUP($B106,AcctTbl,2,0)),VLOOKUP($B106,AcctTbl,3,0)),"—"))</f>
        <v/>
      </c>
      <c r="E106" s="31">
        <f>IF($B106="","",COUNTIFS(CalcParty,$B106,CalcGroup,"خرید"))</f>
        <v/>
      </c>
      <c r="F106" s="19">
        <f>IF($B106="","",SUMIFS(CalcScale,CalcParty,$B106,CalcGroup,"خرید"))</f>
        <v/>
      </c>
      <c r="G106" s="19">
        <f>IF($B106="","",SUMIFS(CalcBaskets,CalcParty,$B106,CalcGroup,"خرید"))</f>
        <v/>
      </c>
      <c r="H106" s="20">
        <f>IF($B106="","",SUMIFS(CalcNet,CalcParty,$B106,CalcGroup,"خرید"))</f>
        <v/>
      </c>
      <c r="I106" s="18">
        <f>IF($B106="","",IFERROR(IF(VLOOKUP($B106,AcctTbl,5,0)="","—",VLOOKUP($B106,AcctTbl,5,0)),"—"))</f>
        <v/>
      </c>
      <c r="J106" s="18">
        <f>IF($B106="","",IFERROR(IF(VLOOKUP($B106,AcctTbl,6,0)="","—",VLOOKUP($B106,AcctTbl,6,0)),"—"))</f>
        <v/>
      </c>
      <c r="K106" s="32">
        <f>IF(OR($B106="",$H$570=0),"",$H106/$H$570)</f>
        <v/>
      </c>
    </row>
    <row r="107">
      <c r="A107" s="23">
        <f>IF(ROW()-9&gt;NAcctAll,"",ROW()-9)</f>
        <v/>
      </c>
      <c r="B107" s="33">
        <f>IF($A107="","",IF($A107&lt;=NAcctAll,INDEX(PkAcctAll,$A107),""))</f>
        <v/>
      </c>
      <c r="C107" s="28">
        <f>IF($B107="","",IFERROR(IF(VLOOKUP($B107,AcctTbl,4,0)="","(بدون نام)",VLOOKUP($B107,AcctTbl,4,0)),"—"))</f>
        <v/>
      </c>
      <c r="D107" s="24">
        <f>IF($B107="","",IFERROR(IF(VLOOKUP($B107,AcctTbl,3,0)="",IF(VLOOKUP($B107,AcctTbl,2,0)="","—",VLOOKUP($B107,AcctTbl,2,0)),VLOOKUP($B107,AcctTbl,3,0)),"—"))</f>
        <v/>
      </c>
      <c r="E107" s="34">
        <f>IF($B107="","",COUNTIFS(CalcParty,$B107,CalcGroup,"خرید"))</f>
        <v/>
      </c>
      <c r="F107" s="25">
        <f>IF($B107="","",SUMIFS(CalcScale,CalcParty,$B107,CalcGroup,"خرید"))</f>
        <v/>
      </c>
      <c r="G107" s="25">
        <f>IF($B107="","",SUMIFS(CalcBaskets,CalcParty,$B107,CalcGroup,"خرید"))</f>
        <v/>
      </c>
      <c r="H107" s="26">
        <f>IF($B107="","",SUMIFS(CalcNet,CalcParty,$B107,CalcGroup,"خرید"))</f>
        <v/>
      </c>
      <c r="I107" s="24">
        <f>IF($B107="","",IFERROR(IF(VLOOKUP($B107,AcctTbl,5,0)="","—",VLOOKUP($B107,AcctTbl,5,0)),"—"))</f>
        <v/>
      </c>
      <c r="J107" s="24">
        <f>IF($B107="","",IFERROR(IF(VLOOKUP($B107,AcctTbl,6,0)="","—",VLOOKUP($B107,AcctTbl,6,0)),"—"))</f>
        <v/>
      </c>
      <c r="K107" s="35">
        <f>IF(OR($B107="",$H$570=0),"",$H107/$H$570)</f>
        <v/>
      </c>
    </row>
    <row r="108">
      <c r="A108" s="17">
        <f>IF(ROW()-9&gt;NAcctAll,"",ROW()-9)</f>
        <v/>
      </c>
      <c r="B108" s="30">
        <f>IF($A108="","",IF($A108&lt;=NAcctAll,INDEX(PkAcctAll,$A108),""))</f>
        <v/>
      </c>
      <c r="C108" s="22">
        <f>IF($B108="","",IFERROR(IF(VLOOKUP($B108,AcctTbl,4,0)="","(بدون نام)",VLOOKUP($B108,AcctTbl,4,0)),"—"))</f>
        <v/>
      </c>
      <c r="D108" s="18">
        <f>IF($B108="","",IFERROR(IF(VLOOKUP($B108,AcctTbl,3,0)="",IF(VLOOKUP($B108,AcctTbl,2,0)="","—",VLOOKUP($B108,AcctTbl,2,0)),VLOOKUP($B108,AcctTbl,3,0)),"—"))</f>
        <v/>
      </c>
      <c r="E108" s="31">
        <f>IF($B108="","",COUNTIFS(CalcParty,$B108,CalcGroup,"خرید"))</f>
        <v/>
      </c>
      <c r="F108" s="19">
        <f>IF($B108="","",SUMIFS(CalcScale,CalcParty,$B108,CalcGroup,"خرید"))</f>
        <v/>
      </c>
      <c r="G108" s="19">
        <f>IF($B108="","",SUMIFS(CalcBaskets,CalcParty,$B108,CalcGroup,"خرید"))</f>
        <v/>
      </c>
      <c r="H108" s="20">
        <f>IF($B108="","",SUMIFS(CalcNet,CalcParty,$B108,CalcGroup,"خرید"))</f>
        <v/>
      </c>
      <c r="I108" s="18">
        <f>IF($B108="","",IFERROR(IF(VLOOKUP($B108,AcctTbl,5,0)="","—",VLOOKUP($B108,AcctTbl,5,0)),"—"))</f>
        <v/>
      </c>
      <c r="J108" s="18">
        <f>IF($B108="","",IFERROR(IF(VLOOKUP($B108,AcctTbl,6,0)="","—",VLOOKUP($B108,AcctTbl,6,0)),"—"))</f>
        <v/>
      </c>
      <c r="K108" s="32">
        <f>IF(OR($B108="",$H$570=0),"",$H108/$H$570)</f>
        <v/>
      </c>
    </row>
    <row r="109">
      <c r="A109" s="23">
        <f>IF(ROW()-9&gt;NAcctAll,"",ROW()-9)</f>
        <v/>
      </c>
      <c r="B109" s="33">
        <f>IF($A109="","",IF($A109&lt;=NAcctAll,INDEX(PkAcctAll,$A109),""))</f>
        <v/>
      </c>
      <c r="C109" s="28">
        <f>IF($B109="","",IFERROR(IF(VLOOKUP($B109,AcctTbl,4,0)="","(بدون نام)",VLOOKUP($B109,AcctTbl,4,0)),"—"))</f>
        <v/>
      </c>
      <c r="D109" s="24">
        <f>IF($B109="","",IFERROR(IF(VLOOKUP($B109,AcctTbl,3,0)="",IF(VLOOKUP($B109,AcctTbl,2,0)="","—",VLOOKUP($B109,AcctTbl,2,0)),VLOOKUP($B109,AcctTbl,3,0)),"—"))</f>
        <v/>
      </c>
      <c r="E109" s="34">
        <f>IF($B109="","",COUNTIFS(CalcParty,$B109,CalcGroup,"خرید"))</f>
        <v/>
      </c>
      <c r="F109" s="25">
        <f>IF($B109="","",SUMIFS(CalcScale,CalcParty,$B109,CalcGroup,"خرید"))</f>
        <v/>
      </c>
      <c r="G109" s="25">
        <f>IF($B109="","",SUMIFS(CalcBaskets,CalcParty,$B109,CalcGroup,"خرید"))</f>
        <v/>
      </c>
      <c r="H109" s="26">
        <f>IF($B109="","",SUMIFS(CalcNet,CalcParty,$B109,CalcGroup,"خرید"))</f>
        <v/>
      </c>
      <c r="I109" s="24">
        <f>IF($B109="","",IFERROR(IF(VLOOKUP($B109,AcctTbl,5,0)="","—",VLOOKUP($B109,AcctTbl,5,0)),"—"))</f>
        <v/>
      </c>
      <c r="J109" s="24">
        <f>IF($B109="","",IFERROR(IF(VLOOKUP($B109,AcctTbl,6,0)="","—",VLOOKUP($B109,AcctTbl,6,0)),"—"))</f>
        <v/>
      </c>
      <c r="K109" s="35">
        <f>IF(OR($B109="",$H$570=0),"",$H109/$H$570)</f>
        <v/>
      </c>
    </row>
    <row r="110">
      <c r="A110" s="17">
        <f>IF(ROW()-9&gt;NAcctAll,"",ROW()-9)</f>
        <v/>
      </c>
      <c r="B110" s="30">
        <f>IF($A110="","",IF($A110&lt;=NAcctAll,INDEX(PkAcctAll,$A110),""))</f>
        <v/>
      </c>
      <c r="C110" s="22">
        <f>IF($B110="","",IFERROR(IF(VLOOKUP($B110,AcctTbl,4,0)="","(بدون نام)",VLOOKUP($B110,AcctTbl,4,0)),"—"))</f>
        <v/>
      </c>
      <c r="D110" s="18">
        <f>IF($B110="","",IFERROR(IF(VLOOKUP($B110,AcctTbl,3,0)="",IF(VLOOKUP($B110,AcctTbl,2,0)="","—",VLOOKUP($B110,AcctTbl,2,0)),VLOOKUP($B110,AcctTbl,3,0)),"—"))</f>
        <v/>
      </c>
      <c r="E110" s="31">
        <f>IF($B110="","",COUNTIFS(CalcParty,$B110,CalcGroup,"خرید"))</f>
        <v/>
      </c>
      <c r="F110" s="19">
        <f>IF($B110="","",SUMIFS(CalcScale,CalcParty,$B110,CalcGroup,"خرید"))</f>
        <v/>
      </c>
      <c r="G110" s="19">
        <f>IF($B110="","",SUMIFS(CalcBaskets,CalcParty,$B110,CalcGroup,"خرید"))</f>
        <v/>
      </c>
      <c r="H110" s="20">
        <f>IF($B110="","",SUMIFS(CalcNet,CalcParty,$B110,CalcGroup,"خرید"))</f>
        <v/>
      </c>
      <c r="I110" s="18">
        <f>IF($B110="","",IFERROR(IF(VLOOKUP($B110,AcctTbl,5,0)="","—",VLOOKUP($B110,AcctTbl,5,0)),"—"))</f>
        <v/>
      </c>
      <c r="J110" s="18">
        <f>IF($B110="","",IFERROR(IF(VLOOKUP($B110,AcctTbl,6,0)="","—",VLOOKUP($B110,AcctTbl,6,0)),"—"))</f>
        <v/>
      </c>
      <c r="K110" s="32">
        <f>IF(OR($B110="",$H$570=0),"",$H110/$H$570)</f>
        <v/>
      </c>
    </row>
    <row r="111">
      <c r="A111" s="23">
        <f>IF(ROW()-9&gt;NAcctAll,"",ROW()-9)</f>
        <v/>
      </c>
      <c r="B111" s="33">
        <f>IF($A111="","",IF($A111&lt;=NAcctAll,INDEX(PkAcctAll,$A111),""))</f>
        <v/>
      </c>
      <c r="C111" s="28">
        <f>IF($B111="","",IFERROR(IF(VLOOKUP($B111,AcctTbl,4,0)="","(بدون نام)",VLOOKUP($B111,AcctTbl,4,0)),"—"))</f>
        <v/>
      </c>
      <c r="D111" s="24">
        <f>IF($B111="","",IFERROR(IF(VLOOKUP($B111,AcctTbl,3,0)="",IF(VLOOKUP($B111,AcctTbl,2,0)="","—",VLOOKUP($B111,AcctTbl,2,0)),VLOOKUP($B111,AcctTbl,3,0)),"—"))</f>
        <v/>
      </c>
      <c r="E111" s="34">
        <f>IF($B111="","",COUNTIFS(CalcParty,$B111,CalcGroup,"خرید"))</f>
        <v/>
      </c>
      <c r="F111" s="25">
        <f>IF($B111="","",SUMIFS(CalcScale,CalcParty,$B111,CalcGroup,"خرید"))</f>
        <v/>
      </c>
      <c r="G111" s="25">
        <f>IF($B111="","",SUMIFS(CalcBaskets,CalcParty,$B111,CalcGroup,"خرید"))</f>
        <v/>
      </c>
      <c r="H111" s="26">
        <f>IF($B111="","",SUMIFS(CalcNet,CalcParty,$B111,CalcGroup,"خرید"))</f>
        <v/>
      </c>
      <c r="I111" s="24">
        <f>IF($B111="","",IFERROR(IF(VLOOKUP($B111,AcctTbl,5,0)="","—",VLOOKUP($B111,AcctTbl,5,0)),"—"))</f>
        <v/>
      </c>
      <c r="J111" s="24">
        <f>IF($B111="","",IFERROR(IF(VLOOKUP($B111,AcctTbl,6,0)="","—",VLOOKUP($B111,AcctTbl,6,0)),"—"))</f>
        <v/>
      </c>
      <c r="K111" s="35">
        <f>IF(OR($B111="",$H$570=0),"",$H111/$H$570)</f>
        <v/>
      </c>
    </row>
    <row r="112">
      <c r="A112" s="17">
        <f>IF(ROW()-9&gt;NAcctAll,"",ROW()-9)</f>
        <v/>
      </c>
      <c r="B112" s="30">
        <f>IF($A112="","",IF($A112&lt;=NAcctAll,INDEX(PkAcctAll,$A112),""))</f>
        <v/>
      </c>
      <c r="C112" s="22">
        <f>IF($B112="","",IFERROR(IF(VLOOKUP($B112,AcctTbl,4,0)="","(بدون نام)",VLOOKUP($B112,AcctTbl,4,0)),"—"))</f>
        <v/>
      </c>
      <c r="D112" s="18">
        <f>IF($B112="","",IFERROR(IF(VLOOKUP($B112,AcctTbl,3,0)="",IF(VLOOKUP($B112,AcctTbl,2,0)="","—",VLOOKUP($B112,AcctTbl,2,0)),VLOOKUP($B112,AcctTbl,3,0)),"—"))</f>
        <v/>
      </c>
      <c r="E112" s="31">
        <f>IF($B112="","",COUNTIFS(CalcParty,$B112,CalcGroup,"خرید"))</f>
        <v/>
      </c>
      <c r="F112" s="19">
        <f>IF($B112="","",SUMIFS(CalcScale,CalcParty,$B112,CalcGroup,"خرید"))</f>
        <v/>
      </c>
      <c r="G112" s="19">
        <f>IF($B112="","",SUMIFS(CalcBaskets,CalcParty,$B112,CalcGroup,"خرید"))</f>
        <v/>
      </c>
      <c r="H112" s="20">
        <f>IF($B112="","",SUMIFS(CalcNet,CalcParty,$B112,CalcGroup,"خرید"))</f>
        <v/>
      </c>
      <c r="I112" s="18">
        <f>IF($B112="","",IFERROR(IF(VLOOKUP($B112,AcctTbl,5,0)="","—",VLOOKUP($B112,AcctTbl,5,0)),"—"))</f>
        <v/>
      </c>
      <c r="J112" s="18">
        <f>IF($B112="","",IFERROR(IF(VLOOKUP($B112,AcctTbl,6,0)="","—",VLOOKUP($B112,AcctTbl,6,0)),"—"))</f>
        <v/>
      </c>
      <c r="K112" s="32">
        <f>IF(OR($B112="",$H$570=0),"",$H112/$H$570)</f>
        <v/>
      </c>
    </row>
    <row r="113">
      <c r="A113" s="23">
        <f>IF(ROW()-9&gt;NAcctAll,"",ROW()-9)</f>
        <v/>
      </c>
      <c r="B113" s="33">
        <f>IF($A113="","",IF($A113&lt;=NAcctAll,INDEX(PkAcctAll,$A113),""))</f>
        <v/>
      </c>
      <c r="C113" s="28">
        <f>IF($B113="","",IFERROR(IF(VLOOKUP($B113,AcctTbl,4,0)="","(بدون نام)",VLOOKUP($B113,AcctTbl,4,0)),"—"))</f>
        <v/>
      </c>
      <c r="D113" s="24">
        <f>IF($B113="","",IFERROR(IF(VLOOKUP($B113,AcctTbl,3,0)="",IF(VLOOKUP($B113,AcctTbl,2,0)="","—",VLOOKUP($B113,AcctTbl,2,0)),VLOOKUP($B113,AcctTbl,3,0)),"—"))</f>
        <v/>
      </c>
      <c r="E113" s="34">
        <f>IF($B113="","",COUNTIFS(CalcParty,$B113,CalcGroup,"خرید"))</f>
        <v/>
      </c>
      <c r="F113" s="25">
        <f>IF($B113="","",SUMIFS(CalcScale,CalcParty,$B113,CalcGroup,"خرید"))</f>
        <v/>
      </c>
      <c r="G113" s="25">
        <f>IF($B113="","",SUMIFS(CalcBaskets,CalcParty,$B113,CalcGroup,"خرید"))</f>
        <v/>
      </c>
      <c r="H113" s="26">
        <f>IF($B113="","",SUMIFS(CalcNet,CalcParty,$B113,CalcGroup,"خرید"))</f>
        <v/>
      </c>
      <c r="I113" s="24">
        <f>IF($B113="","",IFERROR(IF(VLOOKUP($B113,AcctTbl,5,0)="","—",VLOOKUP($B113,AcctTbl,5,0)),"—"))</f>
        <v/>
      </c>
      <c r="J113" s="24">
        <f>IF($B113="","",IFERROR(IF(VLOOKUP($B113,AcctTbl,6,0)="","—",VLOOKUP($B113,AcctTbl,6,0)),"—"))</f>
        <v/>
      </c>
      <c r="K113" s="35">
        <f>IF(OR($B113="",$H$570=0),"",$H113/$H$570)</f>
        <v/>
      </c>
    </row>
    <row r="114">
      <c r="A114" s="17">
        <f>IF(ROW()-9&gt;NAcctAll,"",ROW()-9)</f>
        <v/>
      </c>
      <c r="B114" s="30">
        <f>IF($A114="","",IF($A114&lt;=NAcctAll,INDEX(PkAcctAll,$A114),""))</f>
        <v/>
      </c>
      <c r="C114" s="22">
        <f>IF($B114="","",IFERROR(IF(VLOOKUP($B114,AcctTbl,4,0)="","(بدون نام)",VLOOKUP($B114,AcctTbl,4,0)),"—"))</f>
        <v/>
      </c>
      <c r="D114" s="18">
        <f>IF($B114="","",IFERROR(IF(VLOOKUP($B114,AcctTbl,3,0)="",IF(VLOOKUP($B114,AcctTbl,2,0)="","—",VLOOKUP($B114,AcctTbl,2,0)),VLOOKUP($B114,AcctTbl,3,0)),"—"))</f>
        <v/>
      </c>
      <c r="E114" s="31">
        <f>IF($B114="","",COUNTIFS(CalcParty,$B114,CalcGroup,"خرید"))</f>
        <v/>
      </c>
      <c r="F114" s="19">
        <f>IF($B114="","",SUMIFS(CalcScale,CalcParty,$B114,CalcGroup,"خرید"))</f>
        <v/>
      </c>
      <c r="G114" s="19">
        <f>IF($B114="","",SUMIFS(CalcBaskets,CalcParty,$B114,CalcGroup,"خرید"))</f>
        <v/>
      </c>
      <c r="H114" s="20">
        <f>IF($B114="","",SUMIFS(CalcNet,CalcParty,$B114,CalcGroup,"خرید"))</f>
        <v/>
      </c>
      <c r="I114" s="18">
        <f>IF($B114="","",IFERROR(IF(VLOOKUP($B114,AcctTbl,5,0)="","—",VLOOKUP($B114,AcctTbl,5,0)),"—"))</f>
        <v/>
      </c>
      <c r="J114" s="18">
        <f>IF($B114="","",IFERROR(IF(VLOOKUP($B114,AcctTbl,6,0)="","—",VLOOKUP($B114,AcctTbl,6,0)),"—"))</f>
        <v/>
      </c>
      <c r="K114" s="32">
        <f>IF(OR($B114="",$H$570=0),"",$H114/$H$570)</f>
        <v/>
      </c>
    </row>
    <row r="115">
      <c r="A115" s="23">
        <f>IF(ROW()-9&gt;NAcctAll,"",ROW()-9)</f>
        <v/>
      </c>
      <c r="B115" s="33">
        <f>IF($A115="","",IF($A115&lt;=NAcctAll,INDEX(PkAcctAll,$A115),""))</f>
        <v/>
      </c>
      <c r="C115" s="28">
        <f>IF($B115="","",IFERROR(IF(VLOOKUP($B115,AcctTbl,4,0)="","(بدون نام)",VLOOKUP($B115,AcctTbl,4,0)),"—"))</f>
        <v/>
      </c>
      <c r="D115" s="24">
        <f>IF($B115="","",IFERROR(IF(VLOOKUP($B115,AcctTbl,3,0)="",IF(VLOOKUP($B115,AcctTbl,2,0)="","—",VLOOKUP($B115,AcctTbl,2,0)),VLOOKUP($B115,AcctTbl,3,0)),"—"))</f>
        <v/>
      </c>
      <c r="E115" s="34">
        <f>IF($B115="","",COUNTIFS(CalcParty,$B115,CalcGroup,"خرید"))</f>
        <v/>
      </c>
      <c r="F115" s="25">
        <f>IF($B115="","",SUMIFS(CalcScale,CalcParty,$B115,CalcGroup,"خرید"))</f>
        <v/>
      </c>
      <c r="G115" s="25">
        <f>IF($B115="","",SUMIFS(CalcBaskets,CalcParty,$B115,CalcGroup,"خرید"))</f>
        <v/>
      </c>
      <c r="H115" s="26">
        <f>IF($B115="","",SUMIFS(CalcNet,CalcParty,$B115,CalcGroup,"خرید"))</f>
        <v/>
      </c>
      <c r="I115" s="24">
        <f>IF($B115="","",IFERROR(IF(VLOOKUP($B115,AcctTbl,5,0)="","—",VLOOKUP($B115,AcctTbl,5,0)),"—"))</f>
        <v/>
      </c>
      <c r="J115" s="24">
        <f>IF($B115="","",IFERROR(IF(VLOOKUP($B115,AcctTbl,6,0)="","—",VLOOKUP($B115,AcctTbl,6,0)),"—"))</f>
        <v/>
      </c>
      <c r="K115" s="35">
        <f>IF(OR($B115="",$H$570=0),"",$H115/$H$570)</f>
        <v/>
      </c>
    </row>
    <row r="116">
      <c r="A116" s="17">
        <f>IF(ROW()-9&gt;NAcctAll,"",ROW()-9)</f>
        <v/>
      </c>
      <c r="B116" s="30">
        <f>IF($A116="","",IF($A116&lt;=NAcctAll,INDEX(PkAcctAll,$A116),""))</f>
        <v/>
      </c>
      <c r="C116" s="22">
        <f>IF($B116="","",IFERROR(IF(VLOOKUP($B116,AcctTbl,4,0)="","(بدون نام)",VLOOKUP($B116,AcctTbl,4,0)),"—"))</f>
        <v/>
      </c>
      <c r="D116" s="18">
        <f>IF($B116="","",IFERROR(IF(VLOOKUP($B116,AcctTbl,3,0)="",IF(VLOOKUP($B116,AcctTbl,2,0)="","—",VLOOKUP($B116,AcctTbl,2,0)),VLOOKUP($B116,AcctTbl,3,0)),"—"))</f>
        <v/>
      </c>
      <c r="E116" s="31">
        <f>IF($B116="","",COUNTIFS(CalcParty,$B116,CalcGroup,"خرید"))</f>
        <v/>
      </c>
      <c r="F116" s="19">
        <f>IF($B116="","",SUMIFS(CalcScale,CalcParty,$B116,CalcGroup,"خرید"))</f>
        <v/>
      </c>
      <c r="G116" s="19">
        <f>IF($B116="","",SUMIFS(CalcBaskets,CalcParty,$B116,CalcGroup,"خرید"))</f>
        <v/>
      </c>
      <c r="H116" s="20">
        <f>IF($B116="","",SUMIFS(CalcNet,CalcParty,$B116,CalcGroup,"خرید"))</f>
        <v/>
      </c>
      <c r="I116" s="18">
        <f>IF($B116="","",IFERROR(IF(VLOOKUP($B116,AcctTbl,5,0)="","—",VLOOKUP($B116,AcctTbl,5,0)),"—"))</f>
        <v/>
      </c>
      <c r="J116" s="18">
        <f>IF($B116="","",IFERROR(IF(VLOOKUP($B116,AcctTbl,6,0)="","—",VLOOKUP($B116,AcctTbl,6,0)),"—"))</f>
        <v/>
      </c>
      <c r="K116" s="32">
        <f>IF(OR($B116="",$H$570=0),"",$H116/$H$570)</f>
        <v/>
      </c>
    </row>
    <row r="117">
      <c r="A117" s="23">
        <f>IF(ROW()-9&gt;NAcctAll,"",ROW()-9)</f>
        <v/>
      </c>
      <c r="B117" s="33">
        <f>IF($A117="","",IF($A117&lt;=NAcctAll,INDEX(PkAcctAll,$A117),""))</f>
        <v/>
      </c>
      <c r="C117" s="28">
        <f>IF($B117="","",IFERROR(IF(VLOOKUP($B117,AcctTbl,4,0)="","(بدون نام)",VLOOKUP($B117,AcctTbl,4,0)),"—"))</f>
        <v/>
      </c>
      <c r="D117" s="24">
        <f>IF($B117="","",IFERROR(IF(VLOOKUP($B117,AcctTbl,3,0)="",IF(VLOOKUP($B117,AcctTbl,2,0)="","—",VLOOKUP($B117,AcctTbl,2,0)),VLOOKUP($B117,AcctTbl,3,0)),"—"))</f>
        <v/>
      </c>
      <c r="E117" s="34">
        <f>IF($B117="","",COUNTIFS(CalcParty,$B117,CalcGroup,"خرید"))</f>
        <v/>
      </c>
      <c r="F117" s="25">
        <f>IF($B117="","",SUMIFS(CalcScale,CalcParty,$B117,CalcGroup,"خرید"))</f>
        <v/>
      </c>
      <c r="G117" s="25">
        <f>IF($B117="","",SUMIFS(CalcBaskets,CalcParty,$B117,CalcGroup,"خرید"))</f>
        <v/>
      </c>
      <c r="H117" s="26">
        <f>IF($B117="","",SUMIFS(CalcNet,CalcParty,$B117,CalcGroup,"خرید"))</f>
        <v/>
      </c>
      <c r="I117" s="24">
        <f>IF($B117="","",IFERROR(IF(VLOOKUP($B117,AcctTbl,5,0)="","—",VLOOKUP($B117,AcctTbl,5,0)),"—"))</f>
        <v/>
      </c>
      <c r="J117" s="24">
        <f>IF($B117="","",IFERROR(IF(VLOOKUP($B117,AcctTbl,6,0)="","—",VLOOKUP($B117,AcctTbl,6,0)),"—"))</f>
        <v/>
      </c>
      <c r="K117" s="35">
        <f>IF(OR($B117="",$H$570=0),"",$H117/$H$570)</f>
        <v/>
      </c>
    </row>
    <row r="118">
      <c r="A118" s="17">
        <f>IF(ROW()-9&gt;NAcctAll,"",ROW()-9)</f>
        <v/>
      </c>
      <c r="B118" s="30">
        <f>IF($A118="","",IF($A118&lt;=NAcctAll,INDEX(PkAcctAll,$A118),""))</f>
        <v/>
      </c>
      <c r="C118" s="22">
        <f>IF($B118="","",IFERROR(IF(VLOOKUP($B118,AcctTbl,4,0)="","(بدون نام)",VLOOKUP($B118,AcctTbl,4,0)),"—"))</f>
        <v/>
      </c>
      <c r="D118" s="18">
        <f>IF($B118="","",IFERROR(IF(VLOOKUP($B118,AcctTbl,3,0)="",IF(VLOOKUP($B118,AcctTbl,2,0)="","—",VLOOKUP($B118,AcctTbl,2,0)),VLOOKUP($B118,AcctTbl,3,0)),"—"))</f>
        <v/>
      </c>
      <c r="E118" s="31">
        <f>IF($B118="","",COUNTIFS(CalcParty,$B118,CalcGroup,"خرید"))</f>
        <v/>
      </c>
      <c r="F118" s="19">
        <f>IF($B118="","",SUMIFS(CalcScale,CalcParty,$B118,CalcGroup,"خرید"))</f>
        <v/>
      </c>
      <c r="G118" s="19">
        <f>IF($B118="","",SUMIFS(CalcBaskets,CalcParty,$B118,CalcGroup,"خرید"))</f>
        <v/>
      </c>
      <c r="H118" s="20">
        <f>IF($B118="","",SUMIFS(CalcNet,CalcParty,$B118,CalcGroup,"خرید"))</f>
        <v/>
      </c>
      <c r="I118" s="18">
        <f>IF($B118="","",IFERROR(IF(VLOOKUP($B118,AcctTbl,5,0)="","—",VLOOKUP($B118,AcctTbl,5,0)),"—"))</f>
        <v/>
      </c>
      <c r="J118" s="18">
        <f>IF($B118="","",IFERROR(IF(VLOOKUP($B118,AcctTbl,6,0)="","—",VLOOKUP($B118,AcctTbl,6,0)),"—"))</f>
        <v/>
      </c>
      <c r="K118" s="32">
        <f>IF(OR($B118="",$H$570=0),"",$H118/$H$570)</f>
        <v/>
      </c>
    </row>
    <row r="119">
      <c r="A119" s="23">
        <f>IF(ROW()-9&gt;NAcctAll,"",ROW()-9)</f>
        <v/>
      </c>
      <c r="B119" s="33">
        <f>IF($A119="","",IF($A119&lt;=NAcctAll,INDEX(PkAcctAll,$A119),""))</f>
        <v/>
      </c>
      <c r="C119" s="28">
        <f>IF($B119="","",IFERROR(IF(VLOOKUP($B119,AcctTbl,4,0)="","(بدون نام)",VLOOKUP($B119,AcctTbl,4,0)),"—"))</f>
        <v/>
      </c>
      <c r="D119" s="24">
        <f>IF($B119="","",IFERROR(IF(VLOOKUP($B119,AcctTbl,3,0)="",IF(VLOOKUP($B119,AcctTbl,2,0)="","—",VLOOKUP($B119,AcctTbl,2,0)),VLOOKUP($B119,AcctTbl,3,0)),"—"))</f>
        <v/>
      </c>
      <c r="E119" s="34">
        <f>IF($B119="","",COUNTIFS(CalcParty,$B119,CalcGroup,"خرید"))</f>
        <v/>
      </c>
      <c r="F119" s="25">
        <f>IF($B119="","",SUMIFS(CalcScale,CalcParty,$B119,CalcGroup,"خرید"))</f>
        <v/>
      </c>
      <c r="G119" s="25">
        <f>IF($B119="","",SUMIFS(CalcBaskets,CalcParty,$B119,CalcGroup,"خرید"))</f>
        <v/>
      </c>
      <c r="H119" s="26">
        <f>IF($B119="","",SUMIFS(CalcNet,CalcParty,$B119,CalcGroup,"خرید"))</f>
        <v/>
      </c>
      <c r="I119" s="24">
        <f>IF($B119="","",IFERROR(IF(VLOOKUP($B119,AcctTbl,5,0)="","—",VLOOKUP($B119,AcctTbl,5,0)),"—"))</f>
        <v/>
      </c>
      <c r="J119" s="24">
        <f>IF($B119="","",IFERROR(IF(VLOOKUP($B119,AcctTbl,6,0)="","—",VLOOKUP($B119,AcctTbl,6,0)),"—"))</f>
        <v/>
      </c>
      <c r="K119" s="35">
        <f>IF(OR($B119="",$H$570=0),"",$H119/$H$570)</f>
        <v/>
      </c>
    </row>
    <row r="120">
      <c r="A120" s="17">
        <f>IF(ROW()-9&gt;NAcctAll,"",ROW()-9)</f>
        <v/>
      </c>
      <c r="B120" s="30">
        <f>IF($A120="","",IF($A120&lt;=NAcctAll,INDEX(PkAcctAll,$A120),""))</f>
        <v/>
      </c>
      <c r="C120" s="22">
        <f>IF($B120="","",IFERROR(IF(VLOOKUP($B120,AcctTbl,4,0)="","(بدون نام)",VLOOKUP($B120,AcctTbl,4,0)),"—"))</f>
        <v/>
      </c>
      <c r="D120" s="18">
        <f>IF($B120="","",IFERROR(IF(VLOOKUP($B120,AcctTbl,3,0)="",IF(VLOOKUP($B120,AcctTbl,2,0)="","—",VLOOKUP($B120,AcctTbl,2,0)),VLOOKUP($B120,AcctTbl,3,0)),"—"))</f>
        <v/>
      </c>
      <c r="E120" s="31">
        <f>IF($B120="","",COUNTIFS(CalcParty,$B120,CalcGroup,"خرید"))</f>
        <v/>
      </c>
      <c r="F120" s="19">
        <f>IF($B120="","",SUMIFS(CalcScale,CalcParty,$B120,CalcGroup,"خرید"))</f>
        <v/>
      </c>
      <c r="G120" s="19">
        <f>IF($B120="","",SUMIFS(CalcBaskets,CalcParty,$B120,CalcGroup,"خرید"))</f>
        <v/>
      </c>
      <c r="H120" s="20">
        <f>IF($B120="","",SUMIFS(CalcNet,CalcParty,$B120,CalcGroup,"خرید"))</f>
        <v/>
      </c>
      <c r="I120" s="18">
        <f>IF($B120="","",IFERROR(IF(VLOOKUP($B120,AcctTbl,5,0)="","—",VLOOKUP($B120,AcctTbl,5,0)),"—"))</f>
        <v/>
      </c>
      <c r="J120" s="18">
        <f>IF($B120="","",IFERROR(IF(VLOOKUP($B120,AcctTbl,6,0)="","—",VLOOKUP($B120,AcctTbl,6,0)),"—"))</f>
        <v/>
      </c>
      <c r="K120" s="32">
        <f>IF(OR($B120="",$H$570=0),"",$H120/$H$570)</f>
        <v/>
      </c>
    </row>
    <row r="121">
      <c r="A121" s="23">
        <f>IF(ROW()-9&gt;NAcctAll,"",ROW()-9)</f>
        <v/>
      </c>
      <c r="B121" s="33">
        <f>IF($A121="","",IF($A121&lt;=NAcctAll,INDEX(PkAcctAll,$A121),""))</f>
        <v/>
      </c>
      <c r="C121" s="28">
        <f>IF($B121="","",IFERROR(IF(VLOOKUP($B121,AcctTbl,4,0)="","(بدون نام)",VLOOKUP($B121,AcctTbl,4,0)),"—"))</f>
        <v/>
      </c>
      <c r="D121" s="24">
        <f>IF($B121="","",IFERROR(IF(VLOOKUP($B121,AcctTbl,3,0)="",IF(VLOOKUP($B121,AcctTbl,2,0)="","—",VLOOKUP($B121,AcctTbl,2,0)),VLOOKUP($B121,AcctTbl,3,0)),"—"))</f>
        <v/>
      </c>
      <c r="E121" s="34">
        <f>IF($B121="","",COUNTIFS(CalcParty,$B121,CalcGroup,"خرید"))</f>
        <v/>
      </c>
      <c r="F121" s="25">
        <f>IF($B121="","",SUMIFS(CalcScale,CalcParty,$B121,CalcGroup,"خرید"))</f>
        <v/>
      </c>
      <c r="G121" s="25">
        <f>IF($B121="","",SUMIFS(CalcBaskets,CalcParty,$B121,CalcGroup,"خرید"))</f>
        <v/>
      </c>
      <c r="H121" s="26">
        <f>IF($B121="","",SUMIFS(CalcNet,CalcParty,$B121,CalcGroup,"خرید"))</f>
        <v/>
      </c>
      <c r="I121" s="24">
        <f>IF($B121="","",IFERROR(IF(VLOOKUP($B121,AcctTbl,5,0)="","—",VLOOKUP($B121,AcctTbl,5,0)),"—"))</f>
        <v/>
      </c>
      <c r="J121" s="24">
        <f>IF($B121="","",IFERROR(IF(VLOOKUP($B121,AcctTbl,6,0)="","—",VLOOKUP($B121,AcctTbl,6,0)),"—"))</f>
        <v/>
      </c>
      <c r="K121" s="35">
        <f>IF(OR($B121="",$H$570=0),"",$H121/$H$570)</f>
        <v/>
      </c>
    </row>
    <row r="122">
      <c r="A122" s="17">
        <f>IF(ROW()-9&gt;NAcctAll,"",ROW()-9)</f>
        <v/>
      </c>
      <c r="B122" s="30">
        <f>IF($A122="","",IF($A122&lt;=NAcctAll,INDEX(PkAcctAll,$A122),""))</f>
        <v/>
      </c>
      <c r="C122" s="22">
        <f>IF($B122="","",IFERROR(IF(VLOOKUP($B122,AcctTbl,4,0)="","(بدون نام)",VLOOKUP($B122,AcctTbl,4,0)),"—"))</f>
        <v/>
      </c>
      <c r="D122" s="18">
        <f>IF($B122="","",IFERROR(IF(VLOOKUP($B122,AcctTbl,3,0)="",IF(VLOOKUP($B122,AcctTbl,2,0)="","—",VLOOKUP($B122,AcctTbl,2,0)),VLOOKUP($B122,AcctTbl,3,0)),"—"))</f>
        <v/>
      </c>
      <c r="E122" s="31">
        <f>IF($B122="","",COUNTIFS(CalcParty,$B122,CalcGroup,"خرید"))</f>
        <v/>
      </c>
      <c r="F122" s="19">
        <f>IF($B122="","",SUMIFS(CalcScale,CalcParty,$B122,CalcGroup,"خرید"))</f>
        <v/>
      </c>
      <c r="G122" s="19">
        <f>IF($B122="","",SUMIFS(CalcBaskets,CalcParty,$B122,CalcGroup,"خرید"))</f>
        <v/>
      </c>
      <c r="H122" s="20">
        <f>IF($B122="","",SUMIFS(CalcNet,CalcParty,$B122,CalcGroup,"خرید"))</f>
        <v/>
      </c>
      <c r="I122" s="18">
        <f>IF($B122="","",IFERROR(IF(VLOOKUP($B122,AcctTbl,5,0)="","—",VLOOKUP($B122,AcctTbl,5,0)),"—"))</f>
        <v/>
      </c>
      <c r="J122" s="18">
        <f>IF($B122="","",IFERROR(IF(VLOOKUP($B122,AcctTbl,6,0)="","—",VLOOKUP($B122,AcctTbl,6,0)),"—"))</f>
        <v/>
      </c>
      <c r="K122" s="32">
        <f>IF(OR($B122="",$H$570=0),"",$H122/$H$570)</f>
        <v/>
      </c>
    </row>
    <row r="123">
      <c r="A123" s="23">
        <f>IF(ROW()-9&gt;NAcctAll,"",ROW()-9)</f>
        <v/>
      </c>
      <c r="B123" s="33">
        <f>IF($A123="","",IF($A123&lt;=NAcctAll,INDEX(PkAcctAll,$A123),""))</f>
        <v/>
      </c>
      <c r="C123" s="28">
        <f>IF($B123="","",IFERROR(IF(VLOOKUP($B123,AcctTbl,4,0)="","(بدون نام)",VLOOKUP($B123,AcctTbl,4,0)),"—"))</f>
        <v/>
      </c>
      <c r="D123" s="24">
        <f>IF($B123="","",IFERROR(IF(VLOOKUP($B123,AcctTbl,3,0)="",IF(VLOOKUP($B123,AcctTbl,2,0)="","—",VLOOKUP($B123,AcctTbl,2,0)),VLOOKUP($B123,AcctTbl,3,0)),"—"))</f>
        <v/>
      </c>
      <c r="E123" s="34">
        <f>IF($B123="","",COUNTIFS(CalcParty,$B123,CalcGroup,"خرید"))</f>
        <v/>
      </c>
      <c r="F123" s="25">
        <f>IF($B123="","",SUMIFS(CalcScale,CalcParty,$B123,CalcGroup,"خرید"))</f>
        <v/>
      </c>
      <c r="G123" s="25">
        <f>IF($B123="","",SUMIFS(CalcBaskets,CalcParty,$B123,CalcGroup,"خرید"))</f>
        <v/>
      </c>
      <c r="H123" s="26">
        <f>IF($B123="","",SUMIFS(CalcNet,CalcParty,$B123,CalcGroup,"خرید"))</f>
        <v/>
      </c>
      <c r="I123" s="24">
        <f>IF($B123="","",IFERROR(IF(VLOOKUP($B123,AcctTbl,5,0)="","—",VLOOKUP($B123,AcctTbl,5,0)),"—"))</f>
        <v/>
      </c>
      <c r="J123" s="24">
        <f>IF($B123="","",IFERROR(IF(VLOOKUP($B123,AcctTbl,6,0)="","—",VLOOKUP($B123,AcctTbl,6,0)),"—"))</f>
        <v/>
      </c>
      <c r="K123" s="35">
        <f>IF(OR($B123="",$H$570=0),"",$H123/$H$570)</f>
        <v/>
      </c>
    </row>
    <row r="124">
      <c r="A124" s="17">
        <f>IF(ROW()-9&gt;NAcctAll,"",ROW()-9)</f>
        <v/>
      </c>
      <c r="B124" s="30">
        <f>IF($A124="","",IF($A124&lt;=NAcctAll,INDEX(PkAcctAll,$A124),""))</f>
        <v/>
      </c>
      <c r="C124" s="22">
        <f>IF($B124="","",IFERROR(IF(VLOOKUP($B124,AcctTbl,4,0)="","(بدون نام)",VLOOKUP($B124,AcctTbl,4,0)),"—"))</f>
        <v/>
      </c>
      <c r="D124" s="18">
        <f>IF($B124="","",IFERROR(IF(VLOOKUP($B124,AcctTbl,3,0)="",IF(VLOOKUP($B124,AcctTbl,2,0)="","—",VLOOKUP($B124,AcctTbl,2,0)),VLOOKUP($B124,AcctTbl,3,0)),"—"))</f>
        <v/>
      </c>
      <c r="E124" s="31">
        <f>IF($B124="","",COUNTIFS(CalcParty,$B124,CalcGroup,"خرید"))</f>
        <v/>
      </c>
      <c r="F124" s="19">
        <f>IF($B124="","",SUMIFS(CalcScale,CalcParty,$B124,CalcGroup,"خرید"))</f>
        <v/>
      </c>
      <c r="G124" s="19">
        <f>IF($B124="","",SUMIFS(CalcBaskets,CalcParty,$B124,CalcGroup,"خرید"))</f>
        <v/>
      </c>
      <c r="H124" s="20">
        <f>IF($B124="","",SUMIFS(CalcNet,CalcParty,$B124,CalcGroup,"خرید"))</f>
        <v/>
      </c>
      <c r="I124" s="18">
        <f>IF($B124="","",IFERROR(IF(VLOOKUP($B124,AcctTbl,5,0)="","—",VLOOKUP($B124,AcctTbl,5,0)),"—"))</f>
        <v/>
      </c>
      <c r="J124" s="18">
        <f>IF($B124="","",IFERROR(IF(VLOOKUP($B124,AcctTbl,6,0)="","—",VLOOKUP($B124,AcctTbl,6,0)),"—"))</f>
        <v/>
      </c>
      <c r="K124" s="32">
        <f>IF(OR($B124="",$H$570=0),"",$H124/$H$570)</f>
        <v/>
      </c>
    </row>
    <row r="125">
      <c r="A125" s="23">
        <f>IF(ROW()-9&gt;NAcctAll,"",ROW()-9)</f>
        <v/>
      </c>
      <c r="B125" s="33">
        <f>IF($A125="","",IF($A125&lt;=NAcctAll,INDEX(PkAcctAll,$A125),""))</f>
        <v/>
      </c>
      <c r="C125" s="28">
        <f>IF($B125="","",IFERROR(IF(VLOOKUP($B125,AcctTbl,4,0)="","(بدون نام)",VLOOKUP($B125,AcctTbl,4,0)),"—"))</f>
        <v/>
      </c>
      <c r="D125" s="24">
        <f>IF($B125="","",IFERROR(IF(VLOOKUP($B125,AcctTbl,3,0)="",IF(VLOOKUP($B125,AcctTbl,2,0)="","—",VLOOKUP($B125,AcctTbl,2,0)),VLOOKUP($B125,AcctTbl,3,0)),"—"))</f>
        <v/>
      </c>
      <c r="E125" s="34">
        <f>IF($B125="","",COUNTIFS(CalcParty,$B125,CalcGroup,"خرید"))</f>
        <v/>
      </c>
      <c r="F125" s="25">
        <f>IF($B125="","",SUMIFS(CalcScale,CalcParty,$B125,CalcGroup,"خرید"))</f>
        <v/>
      </c>
      <c r="G125" s="25">
        <f>IF($B125="","",SUMIFS(CalcBaskets,CalcParty,$B125,CalcGroup,"خرید"))</f>
        <v/>
      </c>
      <c r="H125" s="26">
        <f>IF($B125="","",SUMIFS(CalcNet,CalcParty,$B125,CalcGroup,"خرید"))</f>
        <v/>
      </c>
      <c r="I125" s="24">
        <f>IF($B125="","",IFERROR(IF(VLOOKUP($B125,AcctTbl,5,0)="","—",VLOOKUP($B125,AcctTbl,5,0)),"—"))</f>
        <v/>
      </c>
      <c r="J125" s="24">
        <f>IF($B125="","",IFERROR(IF(VLOOKUP($B125,AcctTbl,6,0)="","—",VLOOKUP($B125,AcctTbl,6,0)),"—"))</f>
        <v/>
      </c>
      <c r="K125" s="35">
        <f>IF(OR($B125="",$H$570=0),"",$H125/$H$570)</f>
        <v/>
      </c>
    </row>
    <row r="126">
      <c r="A126" s="17">
        <f>IF(ROW()-9&gt;NAcctAll,"",ROW()-9)</f>
        <v/>
      </c>
      <c r="B126" s="30">
        <f>IF($A126="","",IF($A126&lt;=NAcctAll,INDEX(PkAcctAll,$A126),""))</f>
        <v/>
      </c>
      <c r="C126" s="22">
        <f>IF($B126="","",IFERROR(IF(VLOOKUP($B126,AcctTbl,4,0)="","(بدون نام)",VLOOKUP($B126,AcctTbl,4,0)),"—"))</f>
        <v/>
      </c>
      <c r="D126" s="18">
        <f>IF($B126="","",IFERROR(IF(VLOOKUP($B126,AcctTbl,3,0)="",IF(VLOOKUP($B126,AcctTbl,2,0)="","—",VLOOKUP($B126,AcctTbl,2,0)),VLOOKUP($B126,AcctTbl,3,0)),"—"))</f>
        <v/>
      </c>
      <c r="E126" s="31">
        <f>IF($B126="","",COUNTIFS(CalcParty,$B126,CalcGroup,"خرید"))</f>
        <v/>
      </c>
      <c r="F126" s="19">
        <f>IF($B126="","",SUMIFS(CalcScale,CalcParty,$B126,CalcGroup,"خرید"))</f>
        <v/>
      </c>
      <c r="G126" s="19">
        <f>IF($B126="","",SUMIFS(CalcBaskets,CalcParty,$B126,CalcGroup,"خرید"))</f>
        <v/>
      </c>
      <c r="H126" s="20">
        <f>IF($B126="","",SUMIFS(CalcNet,CalcParty,$B126,CalcGroup,"خرید"))</f>
        <v/>
      </c>
      <c r="I126" s="18">
        <f>IF($B126="","",IFERROR(IF(VLOOKUP($B126,AcctTbl,5,0)="","—",VLOOKUP($B126,AcctTbl,5,0)),"—"))</f>
        <v/>
      </c>
      <c r="J126" s="18">
        <f>IF($B126="","",IFERROR(IF(VLOOKUP($B126,AcctTbl,6,0)="","—",VLOOKUP($B126,AcctTbl,6,0)),"—"))</f>
        <v/>
      </c>
      <c r="K126" s="32">
        <f>IF(OR($B126="",$H$570=0),"",$H126/$H$570)</f>
        <v/>
      </c>
    </row>
    <row r="127">
      <c r="A127" s="23">
        <f>IF(ROW()-9&gt;NAcctAll,"",ROW()-9)</f>
        <v/>
      </c>
      <c r="B127" s="33">
        <f>IF($A127="","",IF($A127&lt;=NAcctAll,INDEX(PkAcctAll,$A127),""))</f>
        <v/>
      </c>
      <c r="C127" s="28">
        <f>IF($B127="","",IFERROR(IF(VLOOKUP($B127,AcctTbl,4,0)="","(بدون نام)",VLOOKUP($B127,AcctTbl,4,0)),"—"))</f>
        <v/>
      </c>
      <c r="D127" s="24">
        <f>IF($B127="","",IFERROR(IF(VLOOKUP($B127,AcctTbl,3,0)="",IF(VLOOKUP($B127,AcctTbl,2,0)="","—",VLOOKUP($B127,AcctTbl,2,0)),VLOOKUP($B127,AcctTbl,3,0)),"—"))</f>
        <v/>
      </c>
      <c r="E127" s="34">
        <f>IF($B127="","",COUNTIFS(CalcParty,$B127,CalcGroup,"خرید"))</f>
        <v/>
      </c>
      <c r="F127" s="25">
        <f>IF($B127="","",SUMIFS(CalcScale,CalcParty,$B127,CalcGroup,"خرید"))</f>
        <v/>
      </c>
      <c r="G127" s="25">
        <f>IF($B127="","",SUMIFS(CalcBaskets,CalcParty,$B127,CalcGroup,"خرید"))</f>
        <v/>
      </c>
      <c r="H127" s="26">
        <f>IF($B127="","",SUMIFS(CalcNet,CalcParty,$B127,CalcGroup,"خرید"))</f>
        <v/>
      </c>
      <c r="I127" s="24">
        <f>IF($B127="","",IFERROR(IF(VLOOKUP($B127,AcctTbl,5,0)="","—",VLOOKUP($B127,AcctTbl,5,0)),"—"))</f>
        <v/>
      </c>
      <c r="J127" s="24">
        <f>IF($B127="","",IFERROR(IF(VLOOKUP($B127,AcctTbl,6,0)="","—",VLOOKUP($B127,AcctTbl,6,0)),"—"))</f>
        <v/>
      </c>
      <c r="K127" s="35">
        <f>IF(OR($B127="",$H$570=0),"",$H127/$H$570)</f>
        <v/>
      </c>
    </row>
    <row r="128">
      <c r="A128" s="17">
        <f>IF(ROW()-9&gt;NAcctAll,"",ROW()-9)</f>
        <v/>
      </c>
      <c r="B128" s="30">
        <f>IF($A128="","",IF($A128&lt;=NAcctAll,INDEX(PkAcctAll,$A128),""))</f>
        <v/>
      </c>
      <c r="C128" s="22">
        <f>IF($B128="","",IFERROR(IF(VLOOKUP($B128,AcctTbl,4,0)="","(بدون نام)",VLOOKUP($B128,AcctTbl,4,0)),"—"))</f>
        <v/>
      </c>
      <c r="D128" s="18">
        <f>IF($B128="","",IFERROR(IF(VLOOKUP($B128,AcctTbl,3,0)="",IF(VLOOKUP($B128,AcctTbl,2,0)="","—",VLOOKUP($B128,AcctTbl,2,0)),VLOOKUP($B128,AcctTbl,3,0)),"—"))</f>
        <v/>
      </c>
      <c r="E128" s="31">
        <f>IF($B128="","",COUNTIFS(CalcParty,$B128,CalcGroup,"خرید"))</f>
        <v/>
      </c>
      <c r="F128" s="19">
        <f>IF($B128="","",SUMIFS(CalcScale,CalcParty,$B128,CalcGroup,"خرید"))</f>
        <v/>
      </c>
      <c r="G128" s="19">
        <f>IF($B128="","",SUMIFS(CalcBaskets,CalcParty,$B128,CalcGroup,"خرید"))</f>
        <v/>
      </c>
      <c r="H128" s="20">
        <f>IF($B128="","",SUMIFS(CalcNet,CalcParty,$B128,CalcGroup,"خرید"))</f>
        <v/>
      </c>
      <c r="I128" s="18">
        <f>IF($B128="","",IFERROR(IF(VLOOKUP($B128,AcctTbl,5,0)="","—",VLOOKUP($B128,AcctTbl,5,0)),"—"))</f>
        <v/>
      </c>
      <c r="J128" s="18">
        <f>IF($B128="","",IFERROR(IF(VLOOKUP($B128,AcctTbl,6,0)="","—",VLOOKUP($B128,AcctTbl,6,0)),"—"))</f>
        <v/>
      </c>
      <c r="K128" s="32">
        <f>IF(OR($B128="",$H$570=0),"",$H128/$H$570)</f>
        <v/>
      </c>
    </row>
    <row r="129">
      <c r="A129" s="23">
        <f>IF(ROW()-9&gt;NAcctAll,"",ROW()-9)</f>
        <v/>
      </c>
      <c r="B129" s="33">
        <f>IF($A129="","",IF($A129&lt;=NAcctAll,INDEX(PkAcctAll,$A129),""))</f>
        <v/>
      </c>
      <c r="C129" s="28">
        <f>IF($B129="","",IFERROR(IF(VLOOKUP($B129,AcctTbl,4,0)="","(بدون نام)",VLOOKUP($B129,AcctTbl,4,0)),"—"))</f>
        <v/>
      </c>
      <c r="D129" s="24">
        <f>IF($B129="","",IFERROR(IF(VLOOKUP($B129,AcctTbl,3,0)="",IF(VLOOKUP($B129,AcctTbl,2,0)="","—",VLOOKUP($B129,AcctTbl,2,0)),VLOOKUP($B129,AcctTbl,3,0)),"—"))</f>
        <v/>
      </c>
      <c r="E129" s="34">
        <f>IF($B129="","",COUNTIFS(CalcParty,$B129,CalcGroup,"خرید"))</f>
        <v/>
      </c>
      <c r="F129" s="25">
        <f>IF($B129="","",SUMIFS(CalcScale,CalcParty,$B129,CalcGroup,"خرید"))</f>
        <v/>
      </c>
      <c r="G129" s="25">
        <f>IF($B129="","",SUMIFS(CalcBaskets,CalcParty,$B129,CalcGroup,"خرید"))</f>
        <v/>
      </c>
      <c r="H129" s="26">
        <f>IF($B129="","",SUMIFS(CalcNet,CalcParty,$B129,CalcGroup,"خرید"))</f>
        <v/>
      </c>
      <c r="I129" s="24">
        <f>IF($B129="","",IFERROR(IF(VLOOKUP($B129,AcctTbl,5,0)="","—",VLOOKUP($B129,AcctTbl,5,0)),"—"))</f>
        <v/>
      </c>
      <c r="J129" s="24">
        <f>IF($B129="","",IFERROR(IF(VLOOKUP($B129,AcctTbl,6,0)="","—",VLOOKUP($B129,AcctTbl,6,0)),"—"))</f>
        <v/>
      </c>
      <c r="K129" s="35">
        <f>IF(OR($B129="",$H$570=0),"",$H129/$H$570)</f>
        <v/>
      </c>
    </row>
    <row r="130">
      <c r="A130" s="17">
        <f>IF(ROW()-9&gt;NAcctAll,"",ROW()-9)</f>
        <v/>
      </c>
      <c r="B130" s="30">
        <f>IF($A130="","",IF($A130&lt;=NAcctAll,INDEX(PkAcctAll,$A130),""))</f>
        <v/>
      </c>
      <c r="C130" s="22">
        <f>IF($B130="","",IFERROR(IF(VLOOKUP($B130,AcctTbl,4,0)="","(بدون نام)",VLOOKUP($B130,AcctTbl,4,0)),"—"))</f>
        <v/>
      </c>
      <c r="D130" s="18">
        <f>IF($B130="","",IFERROR(IF(VLOOKUP($B130,AcctTbl,3,0)="",IF(VLOOKUP($B130,AcctTbl,2,0)="","—",VLOOKUP($B130,AcctTbl,2,0)),VLOOKUP($B130,AcctTbl,3,0)),"—"))</f>
        <v/>
      </c>
      <c r="E130" s="31">
        <f>IF($B130="","",COUNTIFS(CalcParty,$B130,CalcGroup,"خرید"))</f>
        <v/>
      </c>
      <c r="F130" s="19">
        <f>IF($B130="","",SUMIFS(CalcScale,CalcParty,$B130,CalcGroup,"خرید"))</f>
        <v/>
      </c>
      <c r="G130" s="19">
        <f>IF($B130="","",SUMIFS(CalcBaskets,CalcParty,$B130,CalcGroup,"خرید"))</f>
        <v/>
      </c>
      <c r="H130" s="20">
        <f>IF($B130="","",SUMIFS(CalcNet,CalcParty,$B130,CalcGroup,"خرید"))</f>
        <v/>
      </c>
      <c r="I130" s="18">
        <f>IF($B130="","",IFERROR(IF(VLOOKUP($B130,AcctTbl,5,0)="","—",VLOOKUP($B130,AcctTbl,5,0)),"—"))</f>
        <v/>
      </c>
      <c r="J130" s="18">
        <f>IF($B130="","",IFERROR(IF(VLOOKUP($B130,AcctTbl,6,0)="","—",VLOOKUP($B130,AcctTbl,6,0)),"—"))</f>
        <v/>
      </c>
      <c r="K130" s="32">
        <f>IF(OR($B130="",$H$570=0),"",$H130/$H$570)</f>
        <v/>
      </c>
    </row>
    <row r="131">
      <c r="A131" s="23">
        <f>IF(ROW()-9&gt;NAcctAll,"",ROW()-9)</f>
        <v/>
      </c>
      <c r="B131" s="33">
        <f>IF($A131="","",IF($A131&lt;=NAcctAll,INDEX(PkAcctAll,$A131),""))</f>
        <v/>
      </c>
      <c r="C131" s="28">
        <f>IF($B131="","",IFERROR(IF(VLOOKUP($B131,AcctTbl,4,0)="","(بدون نام)",VLOOKUP($B131,AcctTbl,4,0)),"—"))</f>
        <v/>
      </c>
      <c r="D131" s="24">
        <f>IF($B131="","",IFERROR(IF(VLOOKUP($B131,AcctTbl,3,0)="",IF(VLOOKUP($B131,AcctTbl,2,0)="","—",VLOOKUP($B131,AcctTbl,2,0)),VLOOKUP($B131,AcctTbl,3,0)),"—"))</f>
        <v/>
      </c>
      <c r="E131" s="34">
        <f>IF($B131="","",COUNTIFS(CalcParty,$B131,CalcGroup,"خرید"))</f>
        <v/>
      </c>
      <c r="F131" s="25">
        <f>IF($B131="","",SUMIFS(CalcScale,CalcParty,$B131,CalcGroup,"خرید"))</f>
        <v/>
      </c>
      <c r="G131" s="25">
        <f>IF($B131="","",SUMIFS(CalcBaskets,CalcParty,$B131,CalcGroup,"خرید"))</f>
        <v/>
      </c>
      <c r="H131" s="26">
        <f>IF($B131="","",SUMIFS(CalcNet,CalcParty,$B131,CalcGroup,"خرید"))</f>
        <v/>
      </c>
      <c r="I131" s="24">
        <f>IF($B131="","",IFERROR(IF(VLOOKUP($B131,AcctTbl,5,0)="","—",VLOOKUP($B131,AcctTbl,5,0)),"—"))</f>
        <v/>
      </c>
      <c r="J131" s="24">
        <f>IF($B131="","",IFERROR(IF(VLOOKUP($B131,AcctTbl,6,0)="","—",VLOOKUP($B131,AcctTbl,6,0)),"—"))</f>
        <v/>
      </c>
      <c r="K131" s="35">
        <f>IF(OR($B131="",$H$570=0),"",$H131/$H$570)</f>
        <v/>
      </c>
    </row>
    <row r="132">
      <c r="A132" s="17">
        <f>IF(ROW()-9&gt;NAcctAll,"",ROW()-9)</f>
        <v/>
      </c>
      <c r="B132" s="30">
        <f>IF($A132="","",IF($A132&lt;=NAcctAll,INDEX(PkAcctAll,$A132),""))</f>
        <v/>
      </c>
      <c r="C132" s="22">
        <f>IF($B132="","",IFERROR(IF(VLOOKUP($B132,AcctTbl,4,0)="","(بدون نام)",VLOOKUP($B132,AcctTbl,4,0)),"—"))</f>
        <v/>
      </c>
      <c r="D132" s="18">
        <f>IF($B132="","",IFERROR(IF(VLOOKUP($B132,AcctTbl,3,0)="",IF(VLOOKUP($B132,AcctTbl,2,0)="","—",VLOOKUP($B132,AcctTbl,2,0)),VLOOKUP($B132,AcctTbl,3,0)),"—"))</f>
        <v/>
      </c>
      <c r="E132" s="31">
        <f>IF($B132="","",COUNTIFS(CalcParty,$B132,CalcGroup,"خرید"))</f>
        <v/>
      </c>
      <c r="F132" s="19">
        <f>IF($B132="","",SUMIFS(CalcScale,CalcParty,$B132,CalcGroup,"خرید"))</f>
        <v/>
      </c>
      <c r="G132" s="19">
        <f>IF($B132="","",SUMIFS(CalcBaskets,CalcParty,$B132,CalcGroup,"خرید"))</f>
        <v/>
      </c>
      <c r="H132" s="20">
        <f>IF($B132="","",SUMIFS(CalcNet,CalcParty,$B132,CalcGroup,"خرید"))</f>
        <v/>
      </c>
      <c r="I132" s="18">
        <f>IF($B132="","",IFERROR(IF(VLOOKUP($B132,AcctTbl,5,0)="","—",VLOOKUP($B132,AcctTbl,5,0)),"—"))</f>
        <v/>
      </c>
      <c r="J132" s="18">
        <f>IF($B132="","",IFERROR(IF(VLOOKUP($B132,AcctTbl,6,0)="","—",VLOOKUP($B132,AcctTbl,6,0)),"—"))</f>
        <v/>
      </c>
      <c r="K132" s="32">
        <f>IF(OR($B132="",$H$570=0),"",$H132/$H$570)</f>
        <v/>
      </c>
    </row>
    <row r="133">
      <c r="A133" s="23">
        <f>IF(ROW()-9&gt;NAcctAll,"",ROW()-9)</f>
        <v/>
      </c>
      <c r="B133" s="33">
        <f>IF($A133="","",IF($A133&lt;=NAcctAll,INDEX(PkAcctAll,$A133),""))</f>
        <v/>
      </c>
      <c r="C133" s="28">
        <f>IF($B133="","",IFERROR(IF(VLOOKUP($B133,AcctTbl,4,0)="","(بدون نام)",VLOOKUP($B133,AcctTbl,4,0)),"—"))</f>
        <v/>
      </c>
      <c r="D133" s="24">
        <f>IF($B133="","",IFERROR(IF(VLOOKUP($B133,AcctTbl,3,0)="",IF(VLOOKUP($B133,AcctTbl,2,0)="","—",VLOOKUP($B133,AcctTbl,2,0)),VLOOKUP($B133,AcctTbl,3,0)),"—"))</f>
        <v/>
      </c>
      <c r="E133" s="34">
        <f>IF($B133="","",COUNTIFS(CalcParty,$B133,CalcGroup,"خرید"))</f>
        <v/>
      </c>
      <c r="F133" s="25">
        <f>IF($B133="","",SUMIFS(CalcScale,CalcParty,$B133,CalcGroup,"خرید"))</f>
        <v/>
      </c>
      <c r="G133" s="25">
        <f>IF($B133="","",SUMIFS(CalcBaskets,CalcParty,$B133,CalcGroup,"خرید"))</f>
        <v/>
      </c>
      <c r="H133" s="26">
        <f>IF($B133="","",SUMIFS(CalcNet,CalcParty,$B133,CalcGroup,"خرید"))</f>
        <v/>
      </c>
      <c r="I133" s="24">
        <f>IF($B133="","",IFERROR(IF(VLOOKUP($B133,AcctTbl,5,0)="","—",VLOOKUP($B133,AcctTbl,5,0)),"—"))</f>
        <v/>
      </c>
      <c r="J133" s="24">
        <f>IF($B133="","",IFERROR(IF(VLOOKUP($B133,AcctTbl,6,0)="","—",VLOOKUP($B133,AcctTbl,6,0)),"—"))</f>
        <v/>
      </c>
      <c r="K133" s="35">
        <f>IF(OR($B133="",$H$570=0),"",$H133/$H$570)</f>
        <v/>
      </c>
    </row>
    <row r="134">
      <c r="A134" s="17">
        <f>IF(ROW()-9&gt;NAcctAll,"",ROW()-9)</f>
        <v/>
      </c>
      <c r="B134" s="30">
        <f>IF($A134="","",IF($A134&lt;=NAcctAll,INDEX(PkAcctAll,$A134),""))</f>
        <v/>
      </c>
      <c r="C134" s="22">
        <f>IF($B134="","",IFERROR(IF(VLOOKUP($B134,AcctTbl,4,0)="","(بدون نام)",VLOOKUP($B134,AcctTbl,4,0)),"—"))</f>
        <v/>
      </c>
      <c r="D134" s="18">
        <f>IF($B134="","",IFERROR(IF(VLOOKUP($B134,AcctTbl,3,0)="",IF(VLOOKUP($B134,AcctTbl,2,0)="","—",VLOOKUP($B134,AcctTbl,2,0)),VLOOKUP($B134,AcctTbl,3,0)),"—"))</f>
        <v/>
      </c>
      <c r="E134" s="31">
        <f>IF($B134="","",COUNTIFS(CalcParty,$B134,CalcGroup,"خرید"))</f>
        <v/>
      </c>
      <c r="F134" s="19">
        <f>IF($B134="","",SUMIFS(CalcScale,CalcParty,$B134,CalcGroup,"خرید"))</f>
        <v/>
      </c>
      <c r="G134" s="19">
        <f>IF($B134="","",SUMIFS(CalcBaskets,CalcParty,$B134,CalcGroup,"خرید"))</f>
        <v/>
      </c>
      <c r="H134" s="20">
        <f>IF($B134="","",SUMIFS(CalcNet,CalcParty,$B134,CalcGroup,"خرید"))</f>
        <v/>
      </c>
      <c r="I134" s="18">
        <f>IF($B134="","",IFERROR(IF(VLOOKUP($B134,AcctTbl,5,0)="","—",VLOOKUP($B134,AcctTbl,5,0)),"—"))</f>
        <v/>
      </c>
      <c r="J134" s="18">
        <f>IF($B134="","",IFERROR(IF(VLOOKUP($B134,AcctTbl,6,0)="","—",VLOOKUP($B134,AcctTbl,6,0)),"—"))</f>
        <v/>
      </c>
      <c r="K134" s="32">
        <f>IF(OR($B134="",$H$570=0),"",$H134/$H$570)</f>
        <v/>
      </c>
    </row>
    <row r="135">
      <c r="A135" s="23">
        <f>IF(ROW()-9&gt;NAcctAll,"",ROW()-9)</f>
        <v/>
      </c>
      <c r="B135" s="33">
        <f>IF($A135="","",IF($A135&lt;=NAcctAll,INDEX(PkAcctAll,$A135),""))</f>
        <v/>
      </c>
      <c r="C135" s="28">
        <f>IF($B135="","",IFERROR(IF(VLOOKUP($B135,AcctTbl,4,0)="","(بدون نام)",VLOOKUP($B135,AcctTbl,4,0)),"—"))</f>
        <v/>
      </c>
      <c r="D135" s="24">
        <f>IF($B135="","",IFERROR(IF(VLOOKUP($B135,AcctTbl,3,0)="",IF(VLOOKUP($B135,AcctTbl,2,0)="","—",VLOOKUP($B135,AcctTbl,2,0)),VLOOKUP($B135,AcctTbl,3,0)),"—"))</f>
        <v/>
      </c>
      <c r="E135" s="34">
        <f>IF($B135="","",COUNTIFS(CalcParty,$B135,CalcGroup,"خرید"))</f>
        <v/>
      </c>
      <c r="F135" s="25">
        <f>IF($B135="","",SUMIFS(CalcScale,CalcParty,$B135,CalcGroup,"خرید"))</f>
        <v/>
      </c>
      <c r="G135" s="25">
        <f>IF($B135="","",SUMIFS(CalcBaskets,CalcParty,$B135,CalcGroup,"خرید"))</f>
        <v/>
      </c>
      <c r="H135" s="26">
        <f>IF($B135="","",SUMIFS(CalcNet,CalcParty,$B135,CalcGroup,"خرید"))</f>
        <v/>
      </c>
      <c r="I135" s="24">
        <f>IF($B135="","",IFERROR(IF(VLOOKUP($B135,AcctTbl,5,0)="","—",VLOOKUP($B135,AcctTbl,5,0)),"—"))</f>
        <v/>
      </c>
      <c r="J135" s="24">
        <f>IF($B135="","",IFERROR(IF(VLOOKUP($B135,AcctTbl,6,0)="","—",VLOOKUP($B135,AcctTbl,6,0)),"—"))</f>
        <v/>
      </c>
      <c r="K135" s="35">
        <f>IF(OR($B135="",$H$570=0),"",$H135/$H$570)</f>
        <v/>
      </c>
    </row>
    <row r="136">
      <c r="A136" s="17">
        <f>IF(ROW()-9&gt;NAcctAll,"",ROW()-9)</f>
        <v/>
      </c>
      <c r="B136" s="30">
        <f>IF($A136="","",IF($A136&lt;=NAcctAll,INDEX(PkAcctAll,$A136),""))</f>
        <v/>
      </c>
      <c r="C136" s="22">
        <f>IF($B136="","",IFERROR(IF(VLOOKUP($B136,AcctTbl,4,0)="","(بدون نام)",VLOOKUP($B136,AcctTbl,4,0)),"—"))</f>
        <v/>
      </c>
      <c r="D136" s="18">
        <f>IF($B136="","",IFERROR(IF(VLOOKUP($B136,AcctTbl,3,0)="",IF(VLOOKUP($B136,AcctTbl,2,0)="","—",VLOOKUP($B136,AcctTbl,2,0)),VLOOKUP($B136,AcctTbl,3,0)),"—"))</f>
        <v/>
      </c>
      <c r="E136" s="31">
        <f>IF($B136="","",COUNTIFS(CalcParty,$B136,CalcGroup,"خرید"))</f>
        <v/>
      </c>
      <c r="F136" s="19">
        <f>IF($B136="","",SUMIFS(CalcScale,CalcParty,$B136,CalcGroup,"خرید"))</f>
        <v/>
      </c>
      <c r="G136" s="19">
        <f>IF($B136="","",SUMIFS(CalcBaskets,CalcParty,$B136,CalcGroup,"خرید"))</f>
        <v/>
      </c>
      <c r="H136" s="20">
        <f>IF($B136="","",SUMIFS(CalcNet,CalcParty,$B136,CalcGroup,"خرید"))</f>
        <v/>
      </c>
      <c r="I136" s="18">
        <f>IF($B136="","",IFERROR(IF(VLOOKUP($B136,AcctTbl,5,0)="","—",VLOOKUP($B136,AcctTbl,5,0)),"—"))</f>
        <v/>
      </c>
      <c r="J136" s="18">
        <f>IF($B136="","",IFERROR(IF(VLOOKUP($B136,AcctTbl,6,0)="","—",VLOOKUP($B136,AcctTbl,6,0)),"—"))</f>
        <v/>
      </c>
      <c r="K136" s="32">
        <f>IF(OR($B136="",$H$570=0),"",$H136/$H$570)</f>
        <v/>
      </c>
    </row>
    <row r="137">
      <c r="A137" s="23">
        <f>IF(ROW()-9&gt;NAcctAll,"",ROW()-9)</f>
        <v/>
      </c>
      <c r="B137" s="33">
        <f>IF($A137="","",IF($A137&lt;=NAcctAll,INDEX(PkAcctAll,$A137),""))</f>
        <v/>
      </c>
      <c r="C137" s="28">
        <f>IF($B137="","",IFERROR(IF(VLOOKUP($B137,AcctTbl,4,0)="","(بدون نام)",VLOOKUP($B137,AcctTbl,4,0)),"—"))</f>
        <v/>
      </c>
      <c r="D137" s="24">
        <f>IF($B137="","",IFERROR(IF(VLOOKUP($B137,AcctTbl,3,0)="",IF(VLOOKUP($B137,AcctTbl,2,0)="","—",VLOOKUP($B137,AcctTbl,2,0)),VLOOKUP($B137,AcctTbl,3,0)),"—"))</f>
        <v/>
      </c>
      <c r="E137" s="34">
        <f>IF($B137="","",COUNTIFS(CalcParty,$B137,CalcGroup,"خرید"))</f>
        <v/>
      </c>
      <c r="F137" s="25">
        <f>IF($B137="","",SUMIFS(CalcScale,CalcParty,$B137,CalcGroup,"خرید"))</f>
        <v/>
      </c>
      <c r="G137" s="25">
        <f>IF($B137="","",SUMIFS(CalcBaskets,CalcParty,$B137,CalcGroup,"خرید"))</f>
        <v/>
      </c>
      <c r="H137" s="26">
        <f>IF($B137="","",SUMIFS(CalcNet,CalcParty,$B137,CalcGroup,"خرید"))</f>
        <v/>
      </c>
      <c r="I137" s="24">
        <f>IF($B137="","",IFERROR(IF(VLOOKUP($B137,AcctTbl,5,0)="","—",VLOOKUP($B137,AcctTbl,5,0)),"—"))</f>
        <v/>
      </c>
      <c r="J137" s="24">
        <f>IF($B137="","",IFERROR(IF(VLOOKUP($B137,AcctTbl,6,0)="","—",VLOOKUP($B137,AcctTbl,6,0)),"—"))</f>
        <v/>
      </c>
      <c r="K137" s="35">
        <f>IF(OR($B137="",$H$570=0),"",$H137/$H$570)</f>
        <v/>
      </c>
    </row>
    <row r="138">
      <c r="A138" s="17">
        <f>IF(ROW()-9&gt;NAcctAll,"",ROW()-9)</f>
        <v/>
      </c>
      <c r="B138" s="30">
        <f>IF($A138="","",IF($A138&lt;=NAcctAll,INDEX(PkAcctAll,$A138),""))</f>
        <v/>
      </c>
      <c r="C138" s="22">
        <f>IF($B138="","",IFERROR(IF(VLOOKUP($B138,AcctTbl,4,0)="","(بدون نام)",VLOOKUP($B138,AcctTbl,4,0)),"—"))</f>
        <v/>
      </c>
      <c r="D138" s="18">
        <f>IF($B138="","",IFERROR(IF(VLOOKUP($B138,AcctTbl,3,0)="",IF(VLOOKUP($B138,AcctTbl,2,0)="","—",VLOOKUP($B138,AcctTbl,2,0)),VLOOKUP($B138,AcctTbl,3,0)),"—"))</f>
        <v/>
      </c>
      <c r="E138" s="31">
        <f>IF($B138="","",COUNTIFS(CalcParty,$B138,CalcGroup,"خرید"))</f>
        <v/>
      </c>
      <c r="F138" s="19">
        <f>IF($B138="","",SUMIFS(CalcScale,CalcParty,$B138,CalcGroup,"خرید"))</f>
        <v/>
      </c>
      <c r="G138" s="19">
        <f>IF($B138="","",SUMIFS(CalcBaskets,CalcParty,$B138,CalcGroup,"خرید"))</f>
        <v/>
      </c>
      <c r="H138" s="20">
        <f>IF($B138="","",SUMIFS(CalcNet,CalcParty,$B138,CalcGroup,"خرید"))</f>
        <v/>
      </c>
      <c r="I138" s="18">
        <f>IF($B138="","",IFERROR(IF(VLOOKUP($B138,AcctTbl,5,0)="","—",VLOOKUP($B138,AcctTbl,5,0)),"—"))</f>
        <v/>
      </c>
      <c r="J138" s="18">
        <f>IF($B138="","",IFERROR(IF(VLOOKUP($B138,AcctTbl,6,0)="","—",VLOOKUP($B138,AcctTbl,6,0)),"—"))</f>
        <v/>
      </c>
      <c r="K138" s="32">
        <f>IF(OR($B138="",$H$570=0),"",$H138/$H$570)</f>
        <v/>
      </c>
    </row>
    <row r="139">
      <c r="A139" s="23">
        <f>IF(ROW()-9&gt;NAcctAll,"",ROW()-9)</f>
        <v/>
      </c>
      <c r="B139" s="33">
        <f>IF($A139="","",IF($A139&lt;=NAcctAll,INDEX(PkAcctAll,$A139),""))</f>
        <v/>
      </c>
      <c r="C139" s="28">
        <f>IF($B139="","",IFERROR(IF(VLOOKUP($B139,AcctTbl,4,0)="","(بدون نام)",VLOOKUP($B139,AcctTbl,4,0)),"—"))</f>
        <v/>
      </c>
      <c r="D139" s="24">
        <f>IF($B139="","",IFERROR(IF(VLOOKUP($B139,AcctTbl,3,0)="",IF(VLOOKUP($B139,AcctTbl,2,0)="","—",VLOOKUP($B139,AcctTbl,2,0)),VLOOKUP($B139,AcctTbl,3,0)),"—"))</f>
        <v/>
      </c>
      <c r="E139" s="34">
        <f>IF($B139="","",COUNTIFS(CalcParty,$B139,CalcGroup,"خرید"))</f>
        <v/>
      </c>
      <c r="F139" s="25">
        <f>IF($B139="","",SUMIFS(CalcScale,CalcParty,$B139,CalcGroup,"خرید"))</f>
        <v/>
      </c>
      <c r="G139" s="25">
        <f>IF($B139="","",SUMIFS(CalcBaskets,CalcParty,$B139,CalcGroup,"خرید"))</f>
        <v/>
      </c>
      <c r="H139" s="26">
        <f>IF($B139="","",SUMIFS(CalcNet,CalcParty,$B139,CalcGroup,"خرید"))</f>
        <v/>
      </c>
      <c r="I139" s="24">
        <f>IF($B139="","",IFERROR(IF(VLOOKUP($B139,AcctTbl,5,0)="","—",VLOOKUP($B139,AcctTbl,5,0)),"—"))</f>
        <v/>
      </c>
      <c r="J139" s="24">
        <f>IF($B139="","",IFERROR(IF(VLOOKUP($B139,AcctTbl,6,0)="","—",VLOOKUP($B139,AcctTbl,6,0)),"—"))</f>
        <v/>
      </c>
      <c r="K139" s="35">
        <f>IF(OR($B139="",$H$570=0),"",$H139/$H$570)</f>
        <v/>
      </c>
    </row>
    <row r="140">
      <c r="A140" s="17">
        <f>IF(ROW()-9&gt;NAcctAll,"",ROW()-9)</f>
        <v/>
      </c>
      <c r="B140" s="30">
        <f>IF($A140="","",IF($A140&lt;=NAcctAll,INDEX(PkAcctAll,$A140),""))</f>
        <v/>
      </c>
      <c r="C140" s="22">
        <f>IF($B140="","",IFERROR(IF(VLOOKUP($B140,AcctTbl,4,0)="","(بدون نام)",VLOOKUP($B140,AcctTbl,4,0)),"—"))</f>
        <v/>
      </c>
      <c r="D140" s="18">
        <f>IF($B140="","",IFERROR(IF(VLOOKUP($B140,AcctTbl,3,0)="",IF(VLOOKUP($B140,AcctTbl,2,0)="","—",VLOOKUP($B140,AcctTbl,2,0)),VLOOKUP($B140,AcctTbl,3,0)),"—"))</f>
        <v/>
      </c>
      <c r="E140" s="31">
        <f>IF($B140="","",COUNTIFS(CalcParty,$B140,CalcGroup,"خرید"))</f>
        <v/>
      </c>
      <c r="F140" s="19">
        <f>IF($B140="","",SUMIFS(CalcScale,CalcParty,$B140,CalcGroup,"خرید"))</f>
        <v/>
      </c>
      <c r="G140" s="19">
        <f>IF($B140="","",SUMIFS(CalcBaskets,CalcParty,$B140,CalcGroup,"خرید"))</f>
        <v/>
      </c>
      <c r="H140" s="20">
        <f>IF($B140="","",SUMIFS(CalcNet,CalcParty,$B140,CalcGroup,"خرید"))</f>
        <v/>
      </c>
      <c r="I140" s="18">
        <f>IF($B140="","",IFERROR(IF(VLOOKUP($B140,AcctTbl,5,0)="","—",VLOOKUP($B140,AcctTbl,5,0)),"—"))</f>
        <v/>
      </c>
      <c r="J140" s="18">
        <f>IF($B140="","",IFERROR(IF(VLOOKUP($B140,AcctTbl,6,0)="","—",VLOOKUP($B140,AcctTbl,6,0)),"—"))</f>
        <v/>
      </c>
      <c r="K140" s="32">
        <f>IF(OR($B140="",$H$570=0),"",$H140/$H$570)</f>
        <v/>
      </c>
    </row>
    <row r="141">
      <c r="A141" s="23">
        <f>IF(ROW()-9&gt;NAcctAll,"",ROW()-9)</f>
        <v/>
      </c>
      <c r="B141" s="33">
        <f>IF($A141="","",IF($A141&lt;=NAcctAll,INDEX(PkAcctAll,$A141),""))</f>
        <v/>
      </c>
      <c r="C141" s="28">
        <f>IF($B141="","",IFERROR(IF(VLOOKUP($B141,AcctTbl,4,0)="","(بدون نام)",VLOOKUP($B141,AcctTbl,4,0)),"—"))</f>
        <v/>
      </c>
      <c r="D141" s="24">
        <f>IF($B141="","",IFERROR(IF(VLOOKUP($B141,AcctTbl,3,0)="",IF(VLOOKUP($B141,AcctTbl,2,0)="","—",VLOOKUP($B141,AcctTbl,2,0)),VLOOKUP($B141,AcctTbl,3,0)),"—"))</f>
        <v/>
      </c>
      <c r="E141" s="34">
        <f>IF($B141="","",COUNTIFS(CalcParty,$B141,CalcGroup,"خرید"))</f>
        <v/>
      </c>
      <c r="F141" s="25">
        <f>IF($B141="","",SUMIFS(CalcScale,CalcParty,$B141,CalcGroup,"خرید"))</f>
        <v/>
      </c>
      <c r="G141" s="25">
        <f>IF($B141="","",SUMIFS(CalcBaskets,CalcParty,$B141,CalcGroup,"خرید"))</f>
        <v/>
      </c>
      <c r="H141" s="26">
        <f>IF($B141="","",SUMIFS(CalcNet,CalcParty,$B141,CalcGroup,"خرید"))</f>
        <v/>
      </c>
      <c r="I141" s="24">
        <f>IF($B141="","",IFERROR(IF(VLOOKUP($B141,AcctTbl,5,0)="","—",VLOOKUP($B141,AcctTbl,5,0)),"—"))</f>
        <v/>
      </c>
      <c r="J141" s="24">
        <f>IF($B141="","",IFERROR(IF(VLOOKUP($B141,AcctTbl,6,0)="","—",VLOOKUP($B141,AcctTbl,6,0)),"—"))</f>
        <v/>
      </c>
      <c r="K141" s="35">
        <f>IF(OR($B141="",$H$570=0),"",$H141/$H$570)</f>
        <v/>
      </c>
    </row>
    <row r="142">
      <c r="A142" s="17">
        <f>IF(ROW()-9&gt;NAcctAll,"",ROW()-9)</f>
        <v/>
      </c>
      <c r="B142" s="30">
        <f>IF($A142="","",IF($A142&lt;=NAcctAll,INDEX(PkAcctAll,$A142),""))</f>
        <v/>
      </c>
      <c r="C142" s="22">
        <f>IF($B142="","",IFERROR(IF(VLOOKUP($B142,AcctTbl,4,0)="","(بدون نام)",VLOOKUP($B142,AcctTbl,4,0)),"—"))</f>
        <v/>
      </c>
      <c r="D142" s="18">
        <f>IF($B142="","",IFERROR(IF(VLOOKUP($B142,AcctTbl,3,0)="",IF(VLOOKUP($B142,AcctTbl,2,0)="","—",VLOOKUP($B142,AcctTbl,2,0)),VLOOKUP($B142,AcctTbl,3,0)),"—"))</f>
        <v/>
      </c>
      <c r="E142" s="31">
        <f>IF($B142="","",COUNTIFS(CalcParty,$B142,CalcGroup,"خرید"))</f>
        <v/>
      </c>
      <c r="F142" s="19">
        <f>IF($B142="","",SUMIFS(CalcScale,CalcParty,$B142,CalcGroup,"خرید"))</f>
        <v/>
      </c>
      <c r="G142" s="19">
        <f>IF($B142="","",SUMIFS(CalcBaskets,CalcParty,$B142,CalcGroup,"خرید"))</f>
        <v/>
      </c>
      <c r="H142" s="20">
        <f>IF($B142="","",SUMIFS(CalcNet,CalcParty,$B142,CalcGroup,"خرید"))</f>
        <v/>
      </c>
      <c r="I142" s="18">
        <f>IF($B142="","",IFERROR(IF(VLOOKUP($B142,AcctTbl,5,0)="","—",VLOOKUP($B142,AcctTbl,5,0)),"—"))</f>
        <v/>
      </c>
      <c r="J142" s="18">
        <f>IF($B142="","",IFERROR(IF(VLOOKUP($B142,AcctTbl,6,0)="","—",VLOOKUP($B142,AcctTbl,6,0)),"—"))</f>
        <v/>
      </c>
      <c r="K142" s="32">
        <f>IF(OR($B142="",$H$570=0),"",$H142/$H$570)</f>
        <v/>
      </c>
    </row>
    <row r="143">
      <c r="A143" s="23">
        <f>IF(ROW()-9&gt;NAcctAll,"",ROW()-9)</f>
        <v/>
      </c>
      <c r="B143" s="33">
        <f>IF($A143="","",IF($A143&lt;=NAcctAll,INDEX(PkAcctAll,$A143),""))</f>
        <v/>
      </c>
      <c r="C143" s="28">
        <f>IF($B143="","",IFERROR(IF(VLOOKUP($B143,AcctTbl,4,0)="","(بدون نام)",VLOOKUP($B143,AcctTbl,4,0)),"—"))</f>
        <v/>
      </c>
      <c r="D143" s="24">
        <f>IF($B143="","",IFERROR(IF(VLOOKUP($B143,AcctTbl,3,0)="",IF(VLOOKUP($B143,AcctTbl,2,0)="","—",VLOOKUP($B143,AcctTbl,2,0)),VLOOKUP($B143,AcctTbl,3,0)),"—"))</f>
        <v/>
      </c>
      <c r="E143" s="34">
        <f>IF($B143="","",COUNTIFS(CalcParty,$B143,CalcGroup,"خرید"))</f>
        <v/>
      </c>
      <c r="F143" s="25">
        <f>IF($B143="","",SUMIFS(CalcScale,CalcParty,$B143,CalcGroup,"خرید"))</f>
        <v/>
      </c>
      <c r="G143" s="25">
        <f>IF($B143="","",SUMIFS(CalcBaskets,CalcParty,$B143,CalcGroup,"خرید"))</f>
        <v/>
      </c>
      <c r="H143" s="26">
        <f>IF($B143="","",SUMIFS(CalcNet,CalcParty,$B143,CalcGroup,"خرید"))</f>
        <v/>
      </c>
      <c r="I143" s="24">
        <f>IF($B143="","",IFERROR(IF(VLOOKUP($B143,AcctTbl,5,0)="","—",VLOOKUP($B143,AcctTbl,5,0)),"—"))</f>
        <v/>
      </c>
      <c r="J143" s="24">
        <f>IF($B143="","",IFERROR(IF(VLOOKUP($B143,AcctTbl,6,0)="","—",VLOOKUP($B143,AcctTbl,6,0)),"—"))</f>
        <v/>
      </c>
      <c r="K143" s="35">
        <f>IF(OR($B143="",$H$570=0),"",$H143/$H$570)</f>
        <v/>
      </c>
    </row>
    <row r="144">
      <c r="A144" s="17">
        <f>IF(ROW()-9&gt;NAcctAll,"",ROW()-9)</f>
        <v/>
      </c>
      <c r="B144" s="30">
        <f>IF($A144="","",IF($A144&lt;=NAcctAll,INDEX(PkAcctAll,$A144),""))</f>
        <v/>
      </c>
      <c r="C144" s="22">
        <f>IF($B144="","",IFERROR(IF(VLOOKUP($B144,AcctTbl,4,0)="","(بدون نام)",VLOOKUP($B144,AcctTbl,4,0)),"—"))</f>
        <v/>
      </c>
      <c r="D144" s="18">
        <f>IF($B144="","",IFERROR(IF(VLOOKUP($B144,AcctTbl,3,0)="",IF(VLOOKUP($B144,AcctTbl,2,0)="","—",VLOOKUP($B144,AcctTbl,2,0)),VLOOKUP($B144,AcctTbl,3,0)),"—"))</f>
        <v/>
      </c>
      <c r="E144" s="31">
        <f>IF($B144="","",COUNTIFS(CalcParty,$B144,CalcGroup,"خرید"))</f>
        <v/>
      </c>
      <c r="F144" s="19">
        <f>IF($B144="","",SUMIFS(CalcScale,CalcParty,$B144,CalcGroup,"خرید"))</f>
        <v/>
      </c>
      <c r="G144" s="19">
        <f>IF($B144="","",SUMIFS(CalcBaskets,CalcParty,$B144,CalcGroup,"خرید"))</f>
        <v/>
      </c>
      <c r="H144" s="20">
        <f>IF($B144="","",SUMIFS(CalcNet,CalcParty,$B144,CalcGroup,"خرید"))</f>
        <v/>
      </c>
      <c r="I144" s="18">
        <f>IF($B144="","",IFERROR(IF(VLOOKUP($B144,AcctTbl,5,0)="","—",VLOOKUP($B144,AcctTbl,5,0)),"—"))</f>
        <v/>
      </c>
      <c r="J144" s="18">
        <f>IF($B144="","",IFERROR(IF(VLOOKUP($B144,AcctTbl,6,0)="","—",VLOOKUP($B144,AcctTbl,6,0)),"—"))</f>
        <v/>
      </c>
      <c r="K144" s="32">
        <f>IF(OR($B144="",$H$570=0),"",$H144/$H$570)</f>
        <v/>
      </c>
    </row>
    <row r="145">
      <c r="A145" s="23">
        <f>IF(ROW()-9&gt;NAcctAll,"",ROW()-9)</f>
        <v/>
      </c>
      <c r="B145" s="33">
        <f>IF($A145="","",IF($A145&lt;=NAcctAll,INDEX(PkAcctAll,$A145),""))</f>
        <v/>
      </c>
      <c r="C145" s="28">
        <f>IF($B145="","",IFERROR(IF(VLOOKUP($B145,AcctTbl,4,0)="","(بدون نام)",VLOOKUP($B145,AcctTbl,4,0)),"—"))</f>
        <v/>
      </c>
      <c r="D145" s="24">
        <f>IF($B145="","",IFERROR(IF(VLOOKUP($B145,AcctTbl,3,0)="",IF(VLOOKUP($B145,AcctTbl,2,0)="","—",VLOOKUP($B145,AcctTbl,2,0)),VLOOKUP($B145,AcctTbl,3,0)),"—"))</f>
        <v/>
      </c>
      <c r="E145" s="34">
        <f>IF($B145="","",COUNTIFS(CalcParty,$B145,CalcGroup,"خرید"))</f>
        <v/>
      </c>
      <c r="F145" s="25">
        <f>IF($B145="","",SUMIFS(CalcScale,CalcParty,$B145,CalcGroup,"خرید"))</f>
        <v/>
      </c>
      <c r="G145" s="25">
        <f>IF($B145="","",SUMIFS(CalcBaskets,CalcParty,$B145,CalcGroup,"خرید"))</f>
        <v/>
      </c>
      <c r="H145" s="26">
        <f>IF($B145="","",SUMIFS(CalcNet,CalcParty,$B145,CalcGroup,"خرید"))</f>
        <v/>
      </c>
      <c r="I145" s="24">
        <f>IF($B145="","",IFERROR(IF(VLOOKUP($B145,AcctTbl,5,0)="","—",VLOOKUP($B145,AcctTbl,5,0)),"—"))</f>
        <v/>
      </c>
      <c r="J145" s="24">
        <f>IF($B145="","",IFERROR(IF(VLOOKUP($B145,AcctTbl,6,0)="","—",VLOOKUP($B145,AcctTbl,6,0)),"—"))</f>
        <v/>
      </c>
      <c r="K145" s="35">
        <f>IF(OR($B145="",$H$570=0),"",$H145/$H$570)</f>
        <v/>
      </c>
    </row>
    <row r="146">
      <c r="A146" s="17">
        <f>IF(ROW()-9&gt;NAcctAll,"",ROW()-9)</f>
        <v/>
      </c>
      <c r="B146" s="30">
        <f>IF($A146="","",IF($A146&lt;=NAcctAll,INDEX(PkAcctAll,$A146),""))</f>
        <v/>
      </c>
      <c r="C146" s="22">
        <f>IF($B146="","",IFERROR(IF(VLOOKUP($B146,AcctTbl,4,0)="","(بدون نام)",VLOOKUP($B146,AcctTbl,4,0)),"—"))</f>
        <v/>
      </c>
      <c r="D146" s="18">
        <f>IF($B146="","",IFERROR(IF(VLOOKUP($B146,AcctTbl,3,0)="",IF(VLOOKUP($B146,AcctTbl,2,0)="","—",VLOOKUP($B146,AcctTbl,2,0)),VLOOKUP($B146,AcctTbl,3,0)),"—"))</f>
        <v/>
      </c>
      <c r="E146" s="31">
        <f>IF($B146="","",COUNTIFS(CalcParty,$B146,CalcGroup,"خرید"))</f>
        <v/>
      </c>
      <c r="F146" s="19">
        <f>IF($B146="","",SUMIFS(CalcScale,CalcParty,$B146,CalcGroup,"خرید"))</f>
        <v/>
      </c>
      <c r="G146" s="19">
        <f>IF($B146="","",SUMIFS(CalcBaskets,CalcParty,$B146,CalcGroup,"خرید"))</f>
        <v/>
      </c>
      <c r="H146" s="20">
        <f>IF($B146="","",SUMIFS(CalcNet,CalcParty,$B146,CalcGroup,"خرید"))</f>
        <v/>
      </c>
      <c r="I146" s="18">
        <f>IF($B146="","",IFERROR(IF(VLOOKUP($B146,AcctTbl,5,0)="","—",VLOOKUP($B146,AcctTbl,5,0)),"—"))</f>
        <v/>
      </c>
      <c r="J146" s="18">
        <f>IF($B146="","",IFERROR(IF(VLOOKUP($B146,AcctTbl,6,0)="","—",VLOOKUP($B146,AcctTbl,6,0)),"—"))</f>
        <v/>
      </c>
      <c r="K146" s="32">
        <f>IF(OR($B146="",$H$570=0),"",$H146/$H$570)</f>
        <v/>
      </c>
    </row>
    <row r="147">
      <c r="A147" s="23">
        <f>IF(ROW()-9&gt;NAcctAll,"",ROW()-9)</f>
        <v/>
      </c>
      <c r="B147" s="33">
        <f>IF($A147="","",IF($A147&lt;=NAcctAll,INDEX(PkAcctAll,$A147),""))</f>
        <v/>
      </c>
      <c r="C147" s="28">
        <f>IF($B147="","",IFERROR(IF(VLOOKUP($B147,AcctTbl,4,0)="","(بدون نام)",VLOOKUP($B147,AcctTbl,4,0)),"—"))</f>
        <v/>
      </c>
      <c r="D147" s="24">
        <f>IF($B147="","",IFERROR(IF(VLOOKUP($B147,AcctTbl,3,0)="",IF(VLOOKUP($B147,AcctTbl,2,0)="","—",VLOOKUP($B147,AcctTbl,2,0)),VLOOKUP($B147,AcctTbl,3,0)),"—"))</f>
        <v/>
      </c>
      <c r="E147" s="34">
        <f>IF($B147="","",COUNTIFS(CalcParty,$B147,CalcGroup,"خرید"))</f>
        <v/>
      </c>
      <c r="F147" s="25">
        <f>IF($B147="","",SUMIFS(CalcScale,CalcParty,$B147,CalcGroup,"خرید"))</f>
        <v/>
      </c>
      <c r="G147" s="25">
        <f>IF($B147="","",SUMIFS(CalcBaskets,CalcParty,$B147,CalcGroup,"خرید"))</f>
        <v/>
      </c>
      <c r="H147" s="26">
        <f>IF($B147="","",SUMIFS(CalcNet,CalcParty,$B147,CalcGroup,"خرید"))</f>
        <v/>
      </c>
      <c r="I147" s="24">
        <f>IF($B147="","",IFERROR(IF(VLOOKUP($B147,AcctTbl,5,0)="","—",VLOOKUP($B147,AcctTbl,5,0)),"—"))</f>
        <v/>
      </c>
      <c r="J147" s="24">
        <f>IF($B147="","",IFERROR(IF(VLOOKUP($B147,AcctTbl,6,0)="","—",VLOOKUP($B147,AcctTbl,6,0)),"—"))</f>
        <v/>
      </c>
      <c r="K147" s="35">
        <f>IF(OR($B147="",$H$570=0),"",$H147/$H$570)</f>
        <v/>
      </c>
    </row>
    <row r="148">
      <c r="A148" s="17">
        <f>IF(ROW()-9&gt;NAcctAll,"",ROW()-9)</f>
        <v/>
      </c>
      <c r="B148" s="30">
        <f>IF($A148="","",IF($A148&lt;=NAcctAll,INDEX(PkAcctAll,$A148),""))</f>
        <v/>
      </c>
      <c r="C148" s="22">
        <f>IF($B148="","",IFERROR(IF(VLOOKUP($B148,AcctTbl,4,0)="","(بدون نام)",VLOOKUP($B148,AcctTbl,4,0)),"—"))</f>
        <v/>
      </c>
      <c r="D148" s="18">
        <f>IF($B148="","",IFERROR(IF(VLOOKUP($B148,AcctTbl,3,0)="",IF(VLOOKUP($B148,AcctTbl,2,0)="","—",VLOOKUP($B148,AcctTbl,2,0)),VLOOKUP($B148,AcctTbl,3,0)),"—"))</f>
        <v/>
      </c>
      <c r="E148" s="31">
        <f>IF($B148="","",COUNTIFS(CalcParty,$B148,CalcGroup,"خرید"))</f>
        <v/>
      </c>
      <c r="F148" s="19">
        <f>IF($B148="","",SUMIFS(CalcScale,CalcParty,$B148,CalcGroup,"خرید"))</f>
        <v/>
      </c>
      <c r="G148" s="19">
        <f>IF($B148="","",SUMIFS(CalcBaskets,CalcParty,$B148,CalcGroup,"خرید"))</f>
        <v/>
      </c>
      <c r="H148" s="20">
        <f>IF($B148="","",SUMIFS(CalcNet,CalcParty,$B148,CalcGroup,"خرید"))</f>
        <v/>
      </c>
      <c r="I148" s="18">
        <f>IF($B148="","",IFERROR(IF(VLOOKUP($B148,AcctTbl,5,0)="","—",VLOOKUP($B148,AcctTbl,5,0)),"—"))</f>
        <v/>
      </c>
      <c r="J148" s="18">
        <f>IF($B148="","",IFERROR(IF(VLOOKUP($B148,AcctTbl,6,0)="","—",VLOOKUP($B148,AcctTbl,6,0)),"—"))</f>
        <v/>
      </c>
      <c r="K148" s="32">
        <f>IF(OR($B148="",$H$570=0),"",$H148/$H$570)</f>
        <v/>
      </c>
    </row>
    <row r="149">
      <c r="A149" s="23">
        <f>IF(ROW()-9&gt;NAcctAll,"",ROW()-9)</f>
        <v/>
      </c>
      <c r="B149" s="33">
        <f>IF($A149="","",IF($A149&lt;=NAcctAll,INDEX(PkAcctAll,$A149),""))</f>
        <v/>
      </c>
      <c r="C149" s="28">
        <f>IF($B149="","",IFERROR(IF(VLOOKUP($B149,AcctTbl,4,0)="","(بدون نام)",VLOOKUP($B149,AcctTbl,4,0)),"—"))</f>
        <v/>
      </c>
      <c r="D149" s="24">
        <f>IF($B149="","",IFERROR(IF(VLOOKUP($B149,AcctTbl,3,0)="",IF(VLOOKUP($B149,AcctTbl,2,0)="","—",VLOOKUP($B149,AcctTbl,2,0)),VLOOKUP($B149,AcctTbl,3,0)),"—"))</f>
        <v/>
      </c>
      <c r="E149" s="34">
        <f>IF($B149="","",COUNTIFS(CalcParty,$B149,CalcGroup,"خرید"))</f>
        <v/>
      </c>
      <c r="F149" s="25">
        <f>IF($B149="","",SUMIFS(CalcScale,CalcParty,$B149,CalcGroup,"خرید"))</f>
        <v/>
      </c>
      <c r="G149" s="25">
        <f>IF($B149="","",SUMIFS(CalcBaskets,CalcParty,$B149,CalcGroup,"خرید"))</f>
        <v/>
      </c>
      <c r="H149" s="26">
        <f>IF($B149="","",SUMIFS(CalcNet,CalcParty,$B149,CalcGroup,"خرید"))</f>
        <v/>
      </c>
      <c r="I149" s="24">
        <f>IF($B149="","",IFERROR(IF(VLOOKUP($B149,AcctTbl,5,0)="","—",VLOOKUP($B149,AcctTbl,5,0)),"—"))</f>
        <v/>
      </c>
      <c r="J149" s="24">
        <f>IF($B149="","",IFERROR(IF(VLOOKUP($B149,AcctTbl,6,0)="","—",VLOOKUP($B149,AcctTbl,6,0)),"—"))</f>
        <v/>
      </c>
      <c r="K149" s="35">
        <f>IF(OR($B149="",$H$570=0),"",$H149/$H$570)</f>
        <v/>
      </c>
    </row>
    <row r="150">
      <c r="A150" s="17">
        <f>IF(ROW()-9&gt;NAcctAll,"",ROW()-9)</f>
        <v/>
      </c>
      <c r="B150" s="30">
        <f>IF($A150="","",IF($A150&lt;=NAcctAll,INDEX(PkAcctAll,$A150),""))</f>
        <v/>
      </c>
      <c r="C150" s="22">
        <f>IF($B150="","",IFERROR(IF(VLOOKUP($B150,AcctTbl,4,0)="","(بدون نام)",VLOOKUP($B150,AcctTbl,4,0)),"—"))</f>
        <v/>
      </c>
      <c r="D150" s="18">
        <f>IF($B150="","",IFERROR(IF(VLOOKUP($B150,AcctTbl,3,0)="",IF(VLOOKUP($B150,AcctTbl,2,0)="","—",VLOOKUP($B150,AcctTbl,2,0)),VLOOKUP($B150,AcctTbl,3,0)),"—"))</f>
        <v/>
      </c>
      <c r="E150" s="31">
        <f>IF($B150="","",COUNTIFS(CalcParty,$B150,CalcGroup,"خرید"))</f>
        <v/>
      </c>
      <c r="F150" s="19">
        <f>IF($B150="","",SUMIFS(CalcScale,CalcParty,$B150,CalcGroup,"خرید"))</f>
        <v/>
      </c>
      <c r="G150" s="19">
        <f>IF($B150="","",SUMIFS(CalcBaskets,CalcParty,$B150,CalcGroup,"خرید"))</f>
        <v/>
      </c>
      <c r="H150" s="20">
        <f>IF($B150="","",SUMIFS(CalcNet,CalcParty,$B150,CalcGroup,"خرید"))</f>
        <v/>
      </c>
      <c r="I150" s="18">
        <f>IF($B150="","",IFERROR(IF(VLOOKUP($B150,AcctTbl,5,0)="","—",VLOOKUP($B150,AcctTbl,5,0)),"—"))</f>
        <v/>
      </c>
      <c r="J150" s="18">
        <f>IF($B150="","",IFERROR(IF(VLOOKUP($B150,AcctTbl,6,0)="","—",VLOOKUP($B150,AcctTbl,6,0)),"—"))</f>
        <v/>
      </c>
      <c r="K150" s="32">
        <f>IF(OR($B150="",$H$570=0),"",$H150/$H$570)</f>
        <v/>
      </c>
    </row>
    <row r="151">
      <c r="A151" s="23">
        <f>IF(ROW()-9&gt;NAcctAll,"",ROW()-9)</f>
        <v/>
      </c>
      <c r="B151" s="33">
        <f>IF($A151="","",IF($A151&lt;=NAcctAll,INDEX(PkAcctAll,$A151),""))</f>
        <v/>
      </c>
      <c r="C151" s="28">
        <f>IF($B151="","",IFERROR(IF(VLOOKUP($B151,AcctTbl,4,0)="","(بدون نام)",VLOOKUP($B151,AcctTbl,4,0)),"—"))</f>
        <v/>
      </c>
      <c r="D151" s="24">
        <f>IF($B151="","",IFERROR(IF(VLOOKUP($B151,AcctTbl,3,0)="",IF(VLOOKUP($B151,AcctTbl,2,0)="","—",VLOOKUP($B151,AcctTbl,2,0)),VLOOKUP($B151,AcctTbl,3,0)),"—"))</f>
        <v/>
      </c>
      <c r="E151" s="34">
        <f>IF($B151="","",COUNTIFS(CalcParty,$B151,CalcGroup,"خرید"))</f>
        <v/>
      </c>
      <c r="F151" s="25">
        <f>IF($B151="","",SUMIFS(CalcScale,CalcParty,$B151,CalcGroup,"خرید"))</f>
        <v/>
      </c>
      <c r="G151" s="25">
        <f>IF($B151="","",SUMIFS(CalcBaskets,CalcParty,$B151,CalcGroup,"خرید"))</f>
        <v/>
      </c>
      <c r="H151" s="26">
        <f>IF($B151="","",SUMIFS(CalcNet,CalcParty,$B151,CalcGroup,"خرید"))</f>
        <v/>
      </c>
      <c r="I151" s="24">
        <f>IF($B151="","",IFERROR(IF(VLOOKUP($B151,AcctTbl,5,0)="","—",VLOOKUP($B151,AcctTbl,5,0)),"—"))</f>
        <v/>
      </c>
      <c r="J151" s="24">
        <f>IF($B151="","",IFERROR(IF(VLOOKUP($B151,AcctTbl,6,0)="","—",VLOOKUP($B151,AcctTbl,6,0)),"—"))</f>
        <v/>
      </c>
      <c r="K151" s="35">
        <f>IF(OR($B151="",$H$570=0),"",$H151/$H$570)</f>
        <v/>
      </c>
    </row>
    <row r="152">
      <c r="A152" s="17">
        <f>IF(ROW()-9&gt;NAcctAll,"",ROW()-9)</f>
        <v/>
      </c>
      <c r="B152" s="30">
        <f>IF($A152="","",IF($A152&lt;=NAcctAll,INDEX(PkAcctAll,$A152),""))</f>
        <v/>
      </c>
      <c r="C152" s="22">
        <f>IF($B152="","",IFERROR(IF(VLOOKUP($B152,AcctTbl,4,0)="","(بدون نام)",VLOOKUP($B152,AcctTbl,4,0)),"—"))</f>
        <v/>
      </c>
      <c r="D152" s="18">
        <f>IF($B152="","",IFERROR(IF(VLOOKUP($B152,AcctTbl,3,0)="",IF(VLOOKUP($B152,AcctTbl,2,0)="","—",VLOOKUP($B152,AcctTbl,2,0)),VLOOKUP($B152,AcctTbl,3,0)),"—"))</f>
        <v/>
      </c>
      <c r="E152" s="31">
        <f>IF($B152="","",COUNTIFS(CalcParty,$B152,CalcGroup,"خرید"))</f>
        <v/>
      </c>
      <c r="F152" s="19">
        <f>IF($B152="","",SUMIFS(CalcScale,CalcParty,$B152,CalcGroup,"خرید"))</f>
        <v/>
      </c>
      <c r="G152" s="19">
        <f>IF($B152="","",SUMIFS(CalcBaskets,CalcParty,$B152,CalcGroup,"خرید"))</f>
        <v/>
      </c>
      <c r="H152" s="20">
        <f>IF($B152="","",SUMIFS(CalcNet,CalcParty,$B152,CalcGroup,"خرید"))</f>
        <v/>
      </c>
      <c r="I152" s="18">
        <f>IF($B152="","",IFERROR(IF(VLOOKUP($B152,AcctTbl,5,0)="","—",VLOOKUP($B152,AcctTbl,5,0)),"—"))</f>
        <v/>
      </c>
      <c r="J152" s="18">
        <f>IF($B152="","",IFERROR(IF(VLOOKUP($B152,AcctTbl,6,0)="","—",VLOOKUP($B152,AcctTbl,6,0)),"—"))</f>
        <v/>
      </c>
      <c r="K152" s="32">
        <f>IF(OR($B152="",$H$570=0),"",$H152/$H$570)</f>
        <v/>
      </c>
    </row>
    <row r="153">
      <c r="A153" s="23">
        <f>IF(ROW()-9&gt;NAcctAll,"",ROW()-9)</f>
        <v/>
      </c>
      <c r="B153" s="33">
        <f>IF($A153="","",IF($A153&lt;=NAcctAll,INDEX(PkAcctAll,$A153),""))</f>
        <v/>
      </c>
      <c r="C153" s="28">
        <f>IF($B153="","",IFERROR(IF(VLOOKUP($B153,AcctTbl,4,0)="","(بدون نام)",VLOOKUP($B153,AcctTbl,4,0)),"—"))</f>
        <v/>
      </c>
      <c r="D153" s="24">
        <f>IF($B153="","",IFERROR(IF(VLOOKUP($B153,AcctTbl,3,0)="",IF(VLOOKUP($B153,AcctTbl,2,0)="","—",VLOOKUP($B153,AcctTbl,2,0)),VLOOKUP($B153,AcctTbl,3,0)),"—"))</f>
        <v/>
      </c>
      <c r="E153" s="34">
        <f>IF($B153="","",COUNTIFS(CalcParty,$B153,CalcGroup,"خرید"))</f>
        <v/>
      </c>
      <c r="F153" s="25">
        <f>IF($B153="","",SUMIFS(CalcScale,CalcParty,$B153,CalcGroup,"خرید"))</f>
        <v/>
      </c>
      <c r="G153" s="25">
        <f>IF($B153="","",SUMIFS(CalcBaskets,CalcParty,$B153,CalcGroup,"خرید"))</f>
        <v/>
      </c>
      <c r="H153" s="26">
        <f>IF($B153="","",SUMIFS(CalcNet,CalcParty,$B153,CalcGroup,"خرید"))</f>
        <v/>
      </c>
      <c r="I153" s="24">
        <f>IF($B153="","",IFERROR(IF(VLOOKUP($B153,AcctTbl,5,0)="","—",VLOOKUP($B153,AcctTbl,5,0)),"—"))</f>
        <v/>
      </c>
      <c r="J153" s="24">
        <f>IF($B153="","",IFERROR(IF(VLOOKUP($B153,AcctTbl,6,0)="","—",VLOOKUP($B153,AcctTbl,6,0)),"—"))</f>
        <v/>
      </c>
      <c r="K153" s="35">
        <f>IF(OR($B153="",$H$570=0),"",$H153/$H$570)</f>
        <v/>
      </c>
    </row>
    <row r="154">
      <c r="A154" s="17">
        <f>IF(ROW()-9&gt;NAcctAll,"",ROW()-9)</f>
        <v/>
      </c>
      <c r="B154" s="30">
        <f>IF($A154="","",IF($A154&lt;=NAcctAll,INDEX(PkAcctAll,$A154),""))</f>
        <v/>
      </c>
      <c r="C154" s="22">
        <f>IF($B154="","",IFERROR(IF(VLOOKUP($B154,AcctTbl,4,0)="","(بدون نام)",VLOOKUP($B154,AcctTbl,4,0)),"—"))</f>
        <v/>
      </c>
      <c r="D154" s="18">
        <f>IF($B154="","",IFERROR(IF(VLOOKUP($B154,AcctTbl,3,0)="",IF(VLOOKUP($B154,AcctTbl,2,0)="","—",VLOOKUP($B154,AcctTbl,2,0)),VLOOKUP($B154,AcctTbl,3,0)),"—"))</f>
        <v/>
      </c>
      <c r="E154" s="31">
        <f>IF($B154="","",COUNTIFS(CalcParty,$B154,CalcGroup,"خرید"))</f>
        <v/>
      </c>
      <c r="F154" s="19">
        <f>IF($B154="","",SUMIFS(CalcScale,CalcParty,$B154,CalcGroup,"خرید"))</f>
        <v/>
      </c>
      <c r="G154" s="19">
        <f>IF($B154="","",SUMIFS(CalcBaskets,CalcParty,$B154,CalcGroup,"خرید"))</f>
        <v/>
      </c>
      <c r="H154" s="20">
        <f>IF($B154="","",SUMIFS(CalcNet,CalcParty,$B154,CalcGroup,"خرید"))</f>
        <v/>
      </c>
      <c r="I154" s="18">
        <f>IF($B154="","",IFERROR(IF(VLOOKUP($B154,AcctTbl,5,0)="","—",VLOOKUP($B154,AcctTbl,5,0)),"—"))</f>
        <v/>
      </c>
      <c r="J154" s="18">
        <f>IF($B154="","",IFERROR(IF(VLOOKUP($B154,AcctTbl,6,0)="","—",VLOOKUP($B154,AcctTbl,6,0)),"—"))</f>
        <v/>
      </c>
      <c r="K154" s="32">
        <f>IF(OR($B154="",$H$570=0),"",$H154/$H$570)</f>
        <v/>
      </c>
    </row>
    <row r="155">
      <c r="A155" s="23">
        <f>IF(ROW()-9&gt;NAcctAll,"",ROW()-9)</f>
        <v/>
      </c>
      <c r="B155" s="33">
        <f>IF($A155="","",IF($A155&lt;=NAcctAll,INDEX(PkAcctAll,$A155),""))</f>
        <v/>
      </c>
      <c r="C155" s="28">
        <f>IF($B155="","",IFERROR(IF(VLOOKUP($B155,AcctTbl,4,0)="","(بدون نام)",VLOOKUP($B155,AcctTbl,4,0)),"—"))</f>
        <v/>
      </c>
      <c r="D155" s="24">
        <f>IF($B155="","",IFERROR(IF(VLOOKUP($B155,AcctTbl,3,0)="",IF(VLOOKUP($B155,AcctTbl,2,0)="","—",VLOOKUP($B155,AcctTbl,2,0)),VLOOKUP($B155,AcctTbl,3,0)),"—"))</f>
        <v/>
      </c>
      <c r="E155" s="34">
        <f>IF($B155="","",COUNTIFS(CalcParty,$B155,CalcGroup,"خرید"))</f>
        <v/>
      </c>
      <c r="F155" s="25">
        <f>IF($B155="","",SUMIFS(CalcScale,CalcParty,$B155,CalcGroup,"خرید"))</f>
        <v/>
      </c>
      <c r="G155" s="25">
        <f>IF($B155="","",SUMIFS(CalcBaskets,CalcParty,$B155,CalcGroup,"خرید"))</f>
        <v/>
      </c>
      <c r="H155" s="26">
        <f>IF($B155="","",SUMIFS(CalcNet,CalcParty,$B155,CalcGroup,"خرید"))</f>
        <v/>
      </c>
      <c r="I155" s="24">
        <f>IF($B155="","",IFERROR(IF(VLOOKUP($B155,AcctTbl,5,0)="","—",VLOOKUP($B155,AcctTbl,5,0)),"—"))</f>
        <v/>
      </c>
      <c r="J155" s="24">
        <f>IF($B155="","",IFERROR(IF(VLOOKUP($B155,AcctTbl,6,0)="","—",VLOOKUP($B155,AcctTbl,6,0)),"—"))</f>
        <v/>
      </c>
      <c r="K155" s="35">
        <f>IF(OR($B155="",$H$570=0),"",$H155/$H$570)</f>
        <v/>
      </c>
    </row>
    <row r="156">
      <c r="A156" s="17">
        <f>IF(ROW()-9&gt;NAcctAll,"",ROW()-9)</f>
        <v/>
      </c>
      <c r="B156" s="30">
        <f>IF($A156="","",IF($A156&lt;=NAcctAll,INDEX(PkAcctAll,$A156),""))</f>
        <v/>
      </c>
      <c r="C156" s="22">
        <f>IF($B156="","",IFERROR(IF(VLOOKUP($B156,AcctTbl,4,0)="","(بدون نام)",VLOOKUP($B156,AcctTbl,4,0)),"—"))</f>
        <v/>
      </c>
      <c r="D156" s="18">
        <f>IF($B156="","",IFERROR(IF(VLOOKUP($B156,AcctTbl,3,0)="",IF(VLOOKUP($B156,AcctTbl,2,0)="","—",VLOOKUP($B156,AcctTbl,2,0)),VLOOKUP($B156,AcctTbl,3,0)),"—"))</f>
        <v/>
      </c>
      <c r="E156" s="31">
        <f>IF($B156="","",COUNTIFS(CalcParty,$B156,CalcGroup,"خرید"))</f>
        <v/>
      </c>
      <c r="F156" s="19">
        <f>IF($B156="","",SUMIFS(CalcScale,CalcParty,$B156,CalcGroup,"خرید"))</f>
        <v/>
      </c>
      <c r="G156" s="19">
        <f>IF($B156="","",SUMIFS(CalcBaskets,CalcParty,$B156,CalcGroup,"خرید"))</f>
        <v/>
      </c>
      <c r="H156" s="20">
        <f>IF($B156="","",SUMIFS(CalcNet,CalcParty,$B156,CalcGroup,"خرید"))</f>
        <v/>
      </c>
      <c r="I156" s="18">
        <f>IF($B156="","",IFERROR(IF(VLOOKUP($B156,AcctTbl,5,0)="","—",VLOOKUP($B156,AcctTbl,5,0)),"—"))</f>
        <v/>
      </c>
      <c r="J156" s="18">
        <f>IF($B156="","",IFERROR(IF(VLOOKUP($B156,AcctTbl,6,0)="","—",VLOOKUP($B156,AcctTbl,6,0)),"—"))</f>
        <v/>
      </c>
      <c r="K156" s="32">
        <f>IF(OR($B156="",$H$570=0),"",$H156/$H$570)</f>
        <v/>
      </c>
    </row>
    <row r="157">
      <c r="A157" s="23">
        <f>IF(ROW()-9&gt;NAcctAll,"",ROW()-9)</f>
        <v/>
      </c>
      <c r="B157" s="33">
        <f>IF($A157="","",IF($A157&lt;=NAcctAll,INDEX(PkAcctAll,$A157),""))</f>
        <v/>
      </c>
      <c r="C157" s="28">
        <f>IF($B157="","",IFERROR(IF(VLOOKUP($B157,AcctTbl,4,0)="","(بدون نام)",VLOOKUP($B157,AcctTbl,4,0)),"—"))</f>
        <v/>
      </c>
      <c r="D157" s="24">
        <f>IF($B157="","",IFERROR(IF(VLOOKUP($B157,AcctTbl,3,0)="",IF(VLOOKUP($B157,AcctTbl,2,0)="","—",VLOOKUP($B157,AcctTbl,2,0)),VLOOKUP($B157,AcctTbl,3,0)),"—"))</f>
        <v/>
      </c>
      <c r="E157" s="34">
        <f>IF($B157="","",COUNTIFS(CalcParty,$B157,CalcGroup,"خرید"))</f>
        <v/>
      </c>
      <c r="F157" s="25">
        <f>IF($B157="","",SUMIFS(CalcScale,CalcParty,$B157,CalcGroup,"خرید"))</f>
        <v/>
      </c>
      <c r="G157" s="25">
        <f>IF($B157="","",SUMIFS(CalcBaskets,CalcParty,$B157,CalcGroup,"خرید"))</f>
        <v/>
      </c>
      <c r="H157" s="26">
        <f>IF($B157="","",SUMIFS(CalcNet,CalcParty,$B157,CalcGroup,"خرید"))</f>
        <v/>
      </c>
      <c r="I157" s="24">
        <f>IF($B157="","",IFERROR(IF(VLOOKUP($B157,AcctTbl,5,0)="","—",VLOOKUP($B157,AcctTbl,5,0)),"—"))</f>
        <v/>
      </c>
      <c r="J157" s="24">
        <f>IF($B157="","",IFERROR(IF(VLOOKUP($B157,AcctTbl,6,0)="","—",VLOOKUP($B157,AcctTbl,6,0)),"—"))</f>
        <v/>
      </c>
      <c r="K157" s="35">
        <f>IF(OR($B157="",$H$570=0),"",$H157/$H$570)</f>
        <v/>
      </c>
    </row>
    <row r="158">
      <c r="A158" s="17">
        <f>IF(ROW()-9&gt;NAcctAll,"",ROW()-9)</f>
        <v/>
      </c>
      <c r="B158" s="30">
        <f>IF($A158="","",IF($A158&lt;=NAcctAll,INDEX(PkAcctAll,$A158),""))</f>
        <v/>
      </c>
      <c r="C158" s="22">
        <f>IF($B158="","",IFERROR(IF(VLOOKUP($B158,AcctTbl,4,0)="","(بدون نام)",VLOOKUP($B158,AcctTbl,4,0)),"—"))</f>
        <v/>
      </c>
      <c r="D158" s="18">
        <f>IF($B158="","",IFERROR(IF(VLOOKUP($B158,AcctTbl,3,0)="",IF(VLOOKUP($B158,AcctTbl,2,0)="","—",VLOOKUP($B158,AcctTbl,2,0)),VLOOKUP($B158,AcctTbl,3,0)),"—"))</f>
        <v/>
      </c>
      <c r="E158" s="31">
        <f>IF($B158="","",COUNTIFS(CalcParty,$B158,CalcGroup,"خرید"))</f>
        <v/>
      </c>
      <c r="F158" s="19">
        <f>IF($B158="","",SUMIFS(CalcScale,CalcParty,$B158,CalcGroup,"خرید"))</f>
        <v/>
      </c>
      <c r="G158" s="19">
        <f>IF($B158="","",SUMIFS(CalcBaskets,CalcParty,$B158,CalcGroup,"خرید"))</f>
        <v/>
      </c>
      <c r="H158" s="20">
        <f>IF($B158="","",SUMIFS(CalcNet,CalcParty,$B158,CalcGroup,"خرید"))</f>
        <v/>
      </c>
      <c r="I158" s="18">
        <f>IF($B158="","",IFERROR(IF(VLOOKUP($B158,AcctTbl,5,0)="","—",VLOOKUP($B158,AcctTbl,5,0)),"—"))</f>
        <v/>
      </c>
      <c r="J158" s="18">
        <f>IF($B158="","",IFERROR(IF(VLOOKUP($B158,AcctTbl,6,0)="","—",VLOOKUP($B158,AcctTbl,6,0)),"—"))</f>
        <v/>
      </c>
      <c r="K158" s="32">
        <f>IF(OR($B158="",$H$570=0),"",$H158/$H$570)</f>
        <v/>
      </c>
    </row>
    <row r="159">
      <c r="A159" s="23">
        <f>IF(ROW()-9&gt;NAcctAll,"",ROW()-9)</f>
        <v/>
      </c>
      <c r="B159" s="33">
        <f>IF($A159="","",IF($A159&lt;=NAcctAll,INDEX(PkAcctAll,$A159),""))</f>
        <v/>
      </c>
      <c r="C159" s="28">
        <f>IF($B159="","",IFERROR(IF(VLOOKUP($B159,AcctTbl,4,0)="","(بدون نام)",VLOOKUP($B159,AcctTbl,4,0)),"—"))</f>
        <v/>
      </c>
      <c r="D159" s="24">
        <f>IF($B159="","",IFERROR(IF(VLOOKUP($B159,AcctTbl,3,0)="",IF(VLOOKUP($B159,AcctTbl,2,0)="","—",VLOOKUP($B159,AcctTbl,2,0)),VLOOKUP($B159,AcctTbl,3,0)),"—"))</f>
        <v/>
      </c>
      <c r="E159" s="34">
        <f>IF($B159="","",COUNTIFS(CalcParty,$B159,CalcGroup,"خرید"))</f>
        <v/>
      </c>
      <c r="F159" s="25">
        <f>IF($B159="","",SUMIFS(CalcScale,CalcParty,$B159,CalcGroup,"خرید"))</f>
        <v/>
      </c>
      <c r="G159" s="25">
        <f>IF($B159="","",SUMIFS(CalcBaskets,CalcParty,$B159,CalcGroup,"خرید"))</f>
        <v/>
      </c>
      <c r="H159" s="26">
        <f>IF($B159="","",SUMIFS(CalcNet,CalcParty,$B159,CalcGroup,"خرید"))</f>
        <v/>
      </c>
      <c r="I159" s="24">
        <f>IF($B159="","",IFERROR(IF(VLOOKUP($B159,AcctTbl,5,0)="","—",VLOOKUP($B159,AcctTbl,5,0)),"—"))</f>
        <v/>
      </c>
      <c r="J159" s="24">
        <f>IF($B159="","",IFERROR(IF(VLOOKUP($B159,AcctTbl,6,0)="","—",VLOOKUP($B159,AcctTbl,6,0)),"—"))</f>
        <v/>
      </c>
      <c r="K159" s="35">
        <f>IF(OR($B159="",$H$570=0),"",$H159/$H$570)</f>
        <v/>
      </c>
    </row>
    <row r="160">
      <c r="A160" s="17">
        <f>IF(ROW()-9&gt;NAcctAll,"",ROW()-9)</f>
        <v/>
      </c>
      <c r="B160" s="30">
        <f>IF($A160="","",IF($A160&lt;=NAcctAll,INDEX(PkAcctAll,$A160),""))</f>
        <v/>
      </c>
      <c r="C160" s="22">
        <f>IF($B160="","",IFERROR(IF(VLOOKUP($B160,AcctTbl,4,0)="","(بدون نام)",VLOOKUP($B160,AcctTbl,4,0)),"—"))</f>
        <v/>
      </c>
      <c r="D160" s="18">
        <f>IF($B160="","",IFERROR(IF(VLOOKUP($B160,AcctTbl,3,0)="",IF(VLOOKUP($B160,AcctTbl,2,0)="","—",VLOOKUP($B160,AcctTbl,2,0)),VLOOKUP($B160,AcctTbl,3,0)),"—"))</f>
        <v/>
      </c>
      <c r="E160" s="31">
        <f>IF($B160="","",COUNTIFS(CalcParty,$B160,CalcGroup,"خرید"))</f>
        <v/>
      </c>
      <c r="F160" s="19">
        <f>IF($B160="","",SUMIFS(CalcScale,CalcParty,$B160,CalcGroup,"خرید"))</f>
        <v/>
      </c>
      <c r="G160" s="19">
        <f>IF($B160="","",SUMIFS(CalcBaskets,CalcParty,$B160,CalcGroup,"خرید"))</f>
        <v/>
      </c>
      <c r="H160" s="20">
        <f>IF($B160="","",SUMIFS(CalcNet,CalcParty,$B160,CalcGroup,"خرید"))</f>
        <v/>
      </c>
      <c r="I160" s="18">
        <f>IF($B160="","",IFERROR(IF(VLOOKUP($B160,AcctTbl,5,0)="","—",VLOOKUP($B160,AcctTbl,5,0)),"—"))</f>
        <v/>
      </c>
      <c r="J160" s="18">
        <f>IF($B160="","",IFERROR(IF(VLOOKUP($B160,AcctTbl,6,0)="","—",VLOOKUP($B160,AcctTbl,6,0)),"—"))</f>
        <v/>
      </c>
      <c r="K160" s="32">
        <f>IF(OR($B160="",$H$570=0),"",$H160/$H$570)</f>
        <v/>
      </c>
    </row>
    <row r="161">
      <c r="A161" s="23">
        <f>IF(ROW()-9&gt;NAcctAll,"",ROW()-9)</f>
        <v/>
      </c>
      <c r="B161" s="33">
        <f>IF($A161="","",IF($A161&lt;=NAcctAll,INDEX(PkAcctAll,$A161),""))</f>
        <v/>
      </c>
      <c r="C161" s="28">
        <f>IF($B161="","",IFERROR(IF(VLOOKUP($B161,AcctTbl,4,0)="","(بدون نام)",VLOOKUP($B161,AcctTbl,4,0)),"—"))</f>
        <v/>
      </c>
      <c r="D161" s="24">
        <f>IF($B161="","",IFERROR(IF(VLOOKUP($B161,AcctTbl,3,0)="",IF(VLOOKUP($B161,AcctTbl,2,0)="","—",VLOOKUP($B161,AcctTbl,2,0)),VLOOKUP($B161,AcctTbl,3,0)),"—"))</f>
        <v/>
      </c>
      <c r="E161" s="34">
        <f>IF($B161="","",COUNTIFS(CalcParty,$B161,CalcGroup,"خرید"))</f>
        <v/>
      </c>
      <c r="F161" s="25">
        <f>IF($B161="","",SUMIFS(CalcScale,CalcParty,$B161,CalcGroup,"خرید"))</f>
        <v/>
      </c>
      <c r="G161" s="25">
        <f>IF($B161="","",SUMIFS(CalcBaskets,CalcParty,$B161,CalcGroup,"خرید"))</f>
        <v/>
      </c>
      <c r="H161" s="26">
        <f>IF($B161="","",SUMIFS(CalcNet,CalcParty,$B161,CalcGroup,"خرید"))</f>
        <v/>
      </c>
      <c r="I161" s="24">
        <f>IF($B161="","",IFERROR(IF(VLOOKUP($B161,AcctTbl,5,0)="","—",VLOOKUP($B161,AcctTbl,5,0)),"—"))</f>
        <v/>
      </c>
      <c r="J161" s="24">
        <f>IF($B161="","",IFERROR(IF(VLOOKUP($B161,AcctTbl,6,0)="","—",VLOOKUP($B161,AcctTbl,6,0)),"—"))</f>
        <v/>
      </c>
      <c r="K161" s="35">
        <f>IF(OR($B161="",$H$570=0),"",$H161/$H$570)</f>
        <v/>
      </c>
    </row>
    <row r="162">
      <c r="A162" s="17">
        <f>IF(ROW()-9&gt;NAcctAll,"",ROW()-9)</f>
        <v/>
      </c>
      <c r="B162" s="30">
        <f>IF($A162="","",IF($A162&lt;=NAcctAll,INDEX(PkAcctAll,$A162),""))</f>
        <v/>
      </c>
      <c r="C162" s="22">
        <f>IF($B162="","",IFERROR(IF(VLOOKUP($B162,AcctTbl,4,0)="","(بدون نام)",VLOOKUP($B162,AcctTbl,4,0)),"—"))</f>
        <v/>
      </c>
      <c r="D162" s="18">
        <f>IF($B162="","",IFERROR(IF(VLOOKUP($B162,AcctTbl,3,0)="",IF(VLOOKUP($B162,AcctTbl,2,0)="","—",VLOOKUP($B162,AcctTbl,2,0)),VLOOKUP($B162,AcctTbl,3,0)),"—"))</f>
        <v/>
      </c>
      <c r="E162" s="31">
        <f>IF($B162="","",COUNTIFS(CalcParty,$B162,CalcGroup,"خرید"))</f>
        <v/>
      </c>
      <c r="F162" s="19">
        <f>IF($B162="","",SUMIFS(CalcScale,CalcParty,$B162,CalcGroup,"خرید"))</f>
        <v/>
      </c>
      <c r="G162" s="19">
        <f>IF($B162="","",SUMIFS(CalcBaskets,CalcParty,$B162,CalcGroup,"خرید"))</f>
        <v/>
      </c>
      <c r="H162" s="20">
        <f>IF($B162="","",SUMIFS(CalcNet,CalcParty,$B162,CalcGroup,"خرید"))</f>
        <v/>
      </c>
      <c r="I162" s="18">
        <f>IF($B162="","",IFERROR(IF(VLOOKUP($B162,AcctTbl,5,0)="","—",VLOOKUP($B162,AcctTbl,5,0)),"—"))</f>
        <v/>
      </c>
      <c r="J162" s="18">
        <f>IF($B162="","",IFERROR(IF(VLOOKUP($B162,AcctTbl,6,0)="","—",VLOOKUP($B162,AcctTbl,6,0)),"—"))</f>
        <v/>
      </c>
      <c r="K162" s="32">
        <f>IF(OR($B162="",$H$570=0),"",$H162/$H$570)</f>
        <v/>
      </c>
    </row>
    <row r="163">
      <c r="A163" s="23">
        <f>IF(ROW()-9&gt;NAcctAll,"",ROW()-9)</f>
        <v/>
      </c>
      <c r="B163" s="33">
        <f>IF($A163="","",IF($A163&lt;=NAcctAll,INDEX(PkAcctAll,$A163),""))</f>
        <v/>
      </c>
      <c r="C163" s="28">
        <f>IF($B163="","",IFERROR(IF(VLOOKUP($B163,AcctTbl,4,0)="","(بدون نام)",VLOOKUP($B163,AcctTbl,4,0)),"—"))</f>
        <v/>
      </c>
      <c r="D163" s="24">
        <f>IF($B163="","",IFERROR(IF(VLOOKUP($B163,AcctTbl,3,0)="",IF(VLOOKUP($B163,AcctTbl,2,0)="","—",VLOOKUP($B163,AcctTbl,2,0)),VLOOKUP($B163,AcctTbl,3,0)),"—"))</f>
        <v/>
      </c>
      <c r="E163" s="34">
        <f>IF($B163="","",COUNTIFS(CalcParty,$B163,CalcGroup,"خرید"))</f>
        <v/>
      </c>
      <c r="F163" s="25">
        <f>IF($B163="","",SUMIFS(CalcScale,CalcParty,$B163,CalcGroup,"خرید"))</f>
        <v/>
      </c>
      <c r="G163" s="25">
        <f>IF($B163="","",SUMIFS(CalcBaskets,CalcParty,$B163,CalcGroup,"خرید"))</f>
        <v/>
      </c>
      <c r="H163" s="26">
        <f>IF($B163="","",SUMIFS(CalcNet,CalcParty,$B163,CalcGroup,"خرید"))</f>
        <v/>
      </c>
      <c r="I163" s="24">
        <f>IF($B163="","",IFERROR(IF(VLOOKUP($B163,AcctTbl,5,0)="","—",VLOOKUP($B163,AcctTbl,5,0)),"—"))</f>
        <v/>
      </c>
      <c r="J163" s="24">
        <f>IF($B163="","",IFERROR(IF(VLOOKUP($B163,AcctTbl,6,0)="","—",VLOOKUP($B163,AcctTbl,6,0)),"—"))</f>
        <v/>
      </c>
      <c r="K163" s="35">
        <f>IF(OR($B163="",$H$570=0),"",$H163/$H$570)</f>
        <v/>
      </c>
    </row>
    <row r="164">
      <c r="A164" s="17">
        <f>IF(ROW()-9&gt;NAcctAll,"",ROW()-9)</f>
        <v/>
      </c>
      <c r="B164" s="30">
        <f>IF($A164="","",IF($A164&lt;=NAcctAll,INDEX(PkAcctAll,$A164),""))</f>
        <v/>
      </c>
      <c r="C164" s="22">
        <f>IF($B164="","",IFERROR(IF(VLOOKUP($B164,AcctTbl,4,0)="","(بدون نام)",VLOOKUP($B164,AcctTbl,4,0)),"—"))</f>
        <v/>
      </c>
      <c r="D164" s="18">
        <f>IF($B164="","",IFERROR(IF(VLOOKUP($B164,AcctTbl,3,0)="",IF(VLOOKUP($B164,AcctTbl,2,0)="","—",VLOOKUP($B164,AcctTbl,2,0)),VLOOKUP($B164,AcctTbl,3,0)),"—"))</f>
        <v/>
      </c>
      <c r="E164" s="31">
        <f>IF($B164="","",COUNTIFS(CalcParty,$B164,CalcGroup,"خرید"))</f>
        <v/>
      </c>
      <c r="F164" s="19">
        <f>IF($B164="","",SUMIFS(CalcScale,CalcParty,$B164,CalcGroup,"خرید"))</f>
        <v/>
      </c>
      <c r="G164" s="19">
        <f>IF($B164="","",SUMIFS(CalcBaskets,CalcParty,$B164,CalcGroup,"خرید"))</f>
        <v/>
      </c>
      <c r="H164" s="20">
        <f>IF($B164="","",SUMIFS(CalcNet,CalcParty,$B164,CalcGroup,"خرید"))</f>
        <v/>
      </c>
      <c r="I164" s="18">
        <f>IF($B164="","",IFERROR(IF(VLOOKUP($B164,AcctTbl,5,0)="","—",VLOOKUP($B164,AcctTbl,5,0)),"—"))</f>
        <v/>
      </c>
      <c r="J164" s="18">
        <f>IF($B164="","",IFERROR(IF(VLOOKUP($B164,AcctTbl,6,0)="","—",VLOOKUP($B164,AcctTbl,6,0)),"—"))</f>
        <v/>
      </c>
      <c r="K164" s="32">
        <f>IF(OR($B164="",$H$570=0),"",$H164/$H$570)</f>
        <v/>
      </c>
    </row>
    <row r="165">
      <c r="A165" s="23">
        <f>IF(ROW()-9&gt;NAcctAll,"",ROW()-9)</f>
        <v/>
      </c>
      <c r="B165" s="33">
        <f>IF($A165="","",IF($A165&lt;=NAcctAll,INDEX(PkAcctAll,$A165),""))</f>
        <v/>
      </c>
      <c r="C165" s="28">
        <f>IF($B165="","",IFERROR(IF(VLOOKUP($B165,AcctTbl,4,0)="","(بدون نام)",VLOOKUP($B165,AcctTbl,4,0)),"—"))</f>
        <v/>
      </c>
      <c r="D165" s="24">
        <f>IF($B165="","",IFERROR(IF(VLOOKUP($B165,AcctTbl,3,0)="",IF(VLOOKUP($B165,AcctTbl,2,0)="","—",VLOOKUP($B165,AcctTbl,2,0)),VLOOKUP($B165,AcctTbl,3,0)),"—"))</f>
        <v/>
      </c>
      <c r="E165" s="34">
        <f>IF($B165="","",COUNTIFS(CalcParty,$B165,CalcGroup,"خرید"))</f>
        <v/>
      </c>
      <c r="F165" s="25">
        <f>IF($B165="","",SUMIFS(CalcScale,CalcParty,$B165,CalcGroup,"خرید"))</f>
        <v/>
      </c>
      <c r="G165" s="25">
        <f>IF($B165="","",SUMIFS(CalcBaskets,CalcParty,$B165,CalcGroup,"خرید"))</f>
        <v/>
      </c>
      <c r="H165" s="26">
        <f>IF($B165="","",SUMIFS(CalcNet,CalcParty,$B165,CalcGroup,"خرید"))</f>
        <v/>
      </c>
      <c r="I165" s="24">
        <f>IF($B165="","",IFERROR(IF(VLOOKUP($B165,AcctTbl,5,0)="","—",VLOOKUP($B165,AcctTbl,5,0)),"—"))</f>
        <v/>
      </c>
      <c r="J165" s="24">
        <f>IF($B165="","",IFERROR(IF(VLOOKUP($B165,AcctTbl,6,0)="","—",VLOOKUP($B165,AcctTbl,6,0)),"—"))</f>
        <v/>
      </c>
      <c r="K165" s="35">
        <f>IF(OR($B165="",$H$570=0),"",$H165/$H$570)</f>
        <v/>
      </c>
    </row>
    <row r="166">
      <c r="A166" s="17">
        <f>IF(ROW()-9&gt;NAcctAll,"",ROW()-9)</f>
        <v/>
      </c>
      <c r="B166" s="30">
        <f>IF($A166="","",IF($A166&lt;=NAcctAll,INDEX(PkAcctAll,$A166),""))</f>
        <v/>
      </c>
      <c r="C166" s="22">
        <f>IF($B166="","",IFERROR(IF(VLOOKUP($B166,AcctTbl,4,0)="","(بدون نام)",VLOOKUP($B166,AcctTbl,4,0)),"—"))</f>
        <v/>
      </c>
      <c r="D166" s="18">
        <f>IF($B166="","",IFERROR(IF(VLOOKUP($B166,AcctTbl,3,0)="",IF(VLOOKUP($B166,AcctTbl,2,0)="","—",VLOOKUP($B166,AcctTbl,2,0)),VLOOKUP($B166,AcctTbl,3,0)),"—"))</f>
        <v/>
      </c>
      <c r="E166" s="31">
        <f>IF($B166="","",COUNTIFS(CalcParty,$B166,CalcGroup,"خرید"))</f>
        <v/>
      </c>
      <c r="F166" s="19">
        <f>IF($B166="","",SUMIFS(CalcScale,CalcParty,$B166,CalcGroup,"خرید"))</f>
        <v/>
      </c>
      <c r="G166" s="19">
        <f>IF($B166="","",SUMIFS(CalcBaskets,CalcParty,$B166,CalcGroup,"خرید"))</f>
        <v/>
      </c>
      <c r="H166" s="20">
        <f>IF($B166="","",SUMIFS(CalcNet,CalcParty,$B166,CalcGroup,"خرید"))</f>
        <v/>
      </c>
      <c r="I166" s="18">
        <f>IF($B166="","",IFERROR(IF(VLOOKUP($B166,AcctTbl,5,0)="","—",VLOOKUP($B166,AcctTbl,5,0)),"—"))</f>
        <v/>
      </c>
      <c r="J166" s="18">
        <f>IF($B166="","",IFERROR(IF(VLOOKUP($B166,AcctTbl,6,0)="","—",VLOOKUP($B166,AcctTbl,6,0)),"—"))</f>
        <v/>
      </c>
      <c r="K166" s="32">
        <f>IF(OR($B166="",$H$570=0),"",$H166/$H$570)</f>
        <v/>
      </c>
    </row>
    <row r="167">
      <c r="A167" s="23">
        <f>IF(ROW()-9&gt;NAcctAll,"",ROW()-9)</f>
        <v/>
      </c>
      <c r="B167" s="33">
        <f>IF($A167="","",IF($A167&lt;=NAcctAll,INDEX(PkAcctAll,$A167),""))</f>
        <v/>
      </c>
      <c r="C167" s="28">
        <f>IF($B167="","",IFERROR(IF(VLOOKUP($B167,AcctTbl,4,0)="","(بدون نام)",VLOOKUP($B167,AcctTbl,4,0)),"—"))</f>
        <v/>
      </c>
      <c r="D167" s="24">
        <f>IF($B167="","",IFERROR(IF(VLOOKUP($B167,AcctTbl,3,0)="",IF(VLOOKUP($B167,AcctTbl,2,0)="","—",VLOOKUP($B167,AcctTbl,2,0)),VLOOKUP($B167,AcctTbl,3,0)),"—"))</f>
        <v/>
      </c>
      <c r="E167" s="34">
        <f>IF($B167="","",COUNTIFS(CalcParty,$B167,CalcGroup,"خرید"))</f>
        <v/>
      </c>
      <c r="F167" s="25">
        <f>IF($B167="","",SUMIFS(CalcScale,CalcParty,$B167,CalcGroup,"خرید"))</f>
        <v/>
      </c>
      <c r="G167" s="25">
        <f>IF($B167="","",SUMIFS(CalcBaskets,CalcParty,$B167,CalcGroup,"خرید"))</f>
        <v/>
      </c>
      <c r="H167" s="26">
        <f>IF($B167="","",SUMIFS(CalcNet,CalcParty,$B167,CalcGroup,"خرید"))</f>
        <v/>
      </c>
      <c r="I167" s="24">
        <f>IF($B167="","",IFERROR(IF(VLOOKUP($B167,AcctTbl,5,0)="","—",VLOOKUP($B167,AcctTbl,5,0)),"—"))</f>
        <v/>
      </c>
      <c r="J167" s="24">
        <f>IF($B167="","",IFERROR(IF(VLOOKUP($B167,AcctTbl,6,0)="","—",VLOOKUP($B167,AcctTbl,6,0)),"—"))</f>
        <v/>
      </c>
      <c r="K167" s="35">
        <f>IF(OR($B167="",$H$570=0),"",$H167/$H$570)</f>
        <v/>
      </c>
    </row>
    <row r="168">
      <c r="A168" s="17">
        <f>IF(ROW()-9&gt;NAcctAll,"",ROW()-9)</f>
        <v/>
      </c>
      <c r="B168" s="30">
        <f>IF($A168="","",IF($A168&lt;=NAcctAll,INDEX(PkAcctAll,$A168),""))</f>
        <v/>
      </c>
      <c r="C168" s="22">
        <f>IF($B168="","",IFERROR(IF(VLOOKUP($B168,AcctTbl,4,0)="","(بدون نام)",VLOOKUP($B168,AcctTbl,4,0)),"—"))</f>
        <v/>
      </c>
      <c r="D168" s="18">
        <f>IF($B168="","",IFERROR(IF(VLOOKUP($B168,AcctTbl,3,0)="",IF(VLOOKUP($B168,AcctTbl,2,0)="","—",VLOOKUP($B168,AcctTbl,2,0)),VLOOKUP($B168,AcctTbl,3,0)),"—"))</f>
        <v/>
      </c>
      <c r="E168" s="31">
        <f>IF($B168="","",COUNTIFS(CalcParty,$B168,CalcGroup,"خرید"))</f>
        <v/>
      </c>
      <c r="F168" s="19">
        <f>IF($B168="","",SUMIFS(CalcScale,CalcParty,$B168,CalcGroup,"خرید"))</f>
        <v/>
      </c>
      <c r="G168" s="19">
        <f>IF($B168="","",SUMIFS(CalcBaskets,CalcParty,$B168,CalcGroup,"خرید"))</f>
        <v/>
      </c>
      <c r="H168" s="20">
        <f>IF($B168="","",SUMIFS(CalcNet,CalcParty,$B168,CalcGroup,"خرید"))</f>
        <v/>
      </c>
      <c r="I168" s="18">
        <f>IF($B168="","",IFERROR(IF(VLOOKUP($B168,AcctTbl,5,0)="","—",VLOOKUP($B168,AcctTbl,5,0)),"—"))</f>
        <v/>
      </c>
      <c r="J168" s="18">
        <f>IF($B168="","",IFERROR(IF(VLOOKUP($B168,AcctTbl,6,0)="","—",VLOOKUP($B168,AcctTbl,6,0)),"—"))</f>
        <v/>
      </c>
      <c r="K168" s="32">
        <f>IF(OR($B168="",$H$570=0),"",$H168/$H$570)</f>
        <v/>
      </c>
    </row>
    <row r="169">
      <c r="A169" s="23">
        <f>IF(ROW()-9&gt;NAcctAll,"",ROW()-9)</f>
        <v/>
      </c>
      <c r="B169" s="33">
        <f>IF($A169="","",IF($A169&lt;=NAcctAll,INDEX(PkAcctAll,$A169),""))</f>
        <v/>
      </c>
      <c r="C169" s="28">
        <f>IF($B169="","",IFERROR(IF(VLOOKUP($B169,AcctTbl,4,0)="","(بدون نام)",VLOOKUP($B169,AcctTbl,4,0)),"—"))</f>
        <v/>
      </c>
      <c r="D169" s="24">
        <f>IF($B169="","",IFERROR(IF(VLOOKUP($B169,AcctTbl,3,0)="",IF(VLOOKUP($B169,AcctTbl,2,0)="","—",VLOOKUP($B169,AcctTbl,2,0)),VLOOKUP($B169,AcctTbl,3,0)),"—"))</f>
        <v/>
      </c>
      <c r="E169" s="34">
        <f>IF($B169="","",COUNTIFS(CalcParty,$B169,CalcGroup,"خرید"))</f>
        <v/>
      </c>
      <c r="F169" s="25">
        <f>IF($B169="","",SUMIFS(CalcScale,CalcParty,$B169,CalcGroup,"خرید"))</f>
        <v/>
      </c>
      <c r="G169" s="25">
        <f>IF($B169="","",SUMIFS(CalcBaskets,CalcParty,$B169,CalcGroup,"خرید"))</f>
        <v/>
      </c>
      <c r="H169" s="26">
        <f>IF($B169="","",SUMIFS(CalcNet,CalcParty,$B169,CalcGroup,"خرید"))</f>
        <v/>
      </c>
      <c r="I169" s="24">
        <f>IF($B169="","",IFERROR(IF(VLOOKUP($B169,AcctTbl,5,0)="","—",VLOOKUP($B169,AcctTbl,5,0)),"—"))</f>
        <v/>
      </c>
      <c r="J169" s="24">
        <f>IF($B169="","",IFERROR(IF(VLOOKUP($B169,AcctTbl,6,0)="","—",VLOOKUP($B169,AcctTbl,6,0)),"—"))</f>
        <v/>
      </c>
      <c r="K169" s="35">
        <f>IF(OR($B169="",$H$570=0),"",$H169/$H$570)</f>
        <v/>
      </c>
    </row>
    <row r="170">
      <c r="A170" s="17">
        <f>IF(ROW()-9&gt;NAcctAll,"",ROW()-9)</f>
        <v/>
      </c>
      <c r="B170" s="30">
        <f>IF($A170="","",IF($A170&lt;=NAcctAll,INDEX(PkAcctAll,$A170),""))</f>
        <v/>
      </c>
      <c r="C170" s="22">
        <f>IF($B170="","",IFERROR(IF(VLOOKUP($B170,AcctTbl,4,0)="","(بدون نام)",VLOOKUP($B170,AcctTbl,4,0)),"—"))</f>
        <v/>
      </c>
      <c r="D170" s="18">
        <f>IF($B170="","",IFERROR(IF(VLOOKUP($B170,AcctTbl,3,0)="",IF(VLOOKUP($B170,AcctTbl,2,0)="","—",VLOOKUP($B170,AcctTbl,2,0)),VLOOKUP($B170,AcctTbl,3,0)),"—"))</f>
        <v/>
      </c>
      <c r="E170" s="31">
        <f>IF($B170="","",COUNTIFS(CalcParty,$B170,CalcGroup,"خرید"))</f>
        <v/>
      </c>
      <c r="F170" s="19">
        <f>IF($B170="","",SUMIFS(CalcScale,CalcParty,$B170,CalcGroup,"خرید"))</f>
        <v/>
      </c>
      <c r="G170" s="19">
        <f>IF($B170="","",SUMIFS(CalcBaskets,CalcParty,$B170,CalcGroup,"خرید"))</f>
        <v/>
      </c>
      <c r="H170" s="20">
        <f>IF($B170="","",SUMIFS(CalcNet,CalcParty,$B170,CalcGroup,"خرید"))</f>
        <v/>
      </c>
      <c r="I170" s="18">
        <f>IF($B170="","",IFERROR(IF(VLOOKUP($B170,AcctTbl,5,0)="","—",VLOOKUP($B170,AcctTbl,5,0)),"—"))</f>
        <v/>
      </c>
      <c r="J170" s="18">
        <f>IF($B170="","",IFERROR(IF(VLOOKUP($B170,AcctTbl,6,0)="","—",VLOOKUP($B170,AcctTbl,6,0)),"—"))</f>
        <v/>
      </c>
      <c r="K170" s="32">
        <f>IF(OR($B170="",$H$570=0),"",$H170/$H$570)</f>
        <v/>
      </c>
    </row>
    <row r="171">
      <c r="A171" s="23">
        <f>IF(ROW()-9&gt;NAcctAll,"",ROW()-9)</f>
        <v/>
      </c>
      <c r="B171" s="33">
        <f>IF($A171="","",IF($A171&lt;=NAcctAll,INDEX(PkAcctAll,$A171),""))</f>
        <v/>
      </c>
      <c r="C171" s="28">
        <f>IF($B171="","",IFERROR(IF(VLOOKUP($B171,AcctTbl,4,0)="","(بدون نام)",VLOOKUP($B171,AcctTbl,4,0)),"—"))</f>
        <v/>
      </c>
      <c r="D171" s="24">
        <f>IF($B171="","",IFERROR(IF(VLOOKUP($B171,AcctTbl,3,0)="",IF(VLOOKUP($B171,AcctTbl,2,0)="","—",VLOOKUP($B171,AcctTbl,2,0)),VLOOKUP($B171,AcctTbl,3,0)),"—"))</f>
        <v/>
      </c>
      <c r="E171" s="34">
        <f>IF($B171="","",COUNTIFS(CalcParty,$B171,CalcGroup,"خرید"))</f>
        <v/>
      </c>
      <c r="F171" s="25">
        <f>IF($B171="","",SUMIFS(CalcScale,CalcParty,$B171,CalcGroup,"خرید"))</f>
        <v/>
      </c>
      <c r="G171" s="25">
        <f>IF($B171="","",SUMIFS(CalcBaskets,CalcParty,$B171,CalcGroup,"خرید"))</f>
        <v/>
      </c>
      <c r="H171" s="26">
        <f>IF($B171="","",SUMIFS(CalcNet,CalcParty,$B171,CalcGroup,"خرید"))</f>
        <v/>
      </c>
      <c r="I171" s="24">
        <f>IF($B171="","",IFERROR(IF(VLOOKUP($B171,AcctTbl,5,0)="","—",VLOOKUP($B171,AcctTbl,5,0)),"—"))</f>
        <v/>
      </c>
      <c r="J171" s="24">
        <f>IF($B171="","",IFERROR(IF(VLOOKUP($B171,AcctTbl,6,0)="","—",VLOOKUP($B171,AcctTbl,6,0)),"—"))</f>
        <v/>
      </c>
      <c r="K171" s="35">
        <f>IF(OR($B171="",$H$570=0),"",$H171/$H$570)</f>
        <v/>
      </c>
    </row>
    <row r="172">
      <c r="A172" s="17">
        <f>IF(ROW()-9&gt;NAcctAll,"",ROW()-9)</f>
        <v/>
      </c>
      <c r="B172" s="30">
        <f>IF($A172="","",IF($A172&lt;=NAcctAll,INDEX(PkAcctAll,$A172),""))</f>
        <v/>
      </c>
      <c r="C172" s="22">
        <f>IF($B172="","",IFERROR(IF(VLOOKUP($B172,AcctTbl,4,0)="","(بدون نام)",VLOOKUP($B172,AcctTbl,4,0)),"—"))</f>
        <v/>
      </c>
      <c r="D172" s="18">
        <f>IF($B172="","",IFERROR(IF(VLOOKUP($B172,AcctTbl,3,0)="",IF(VLOOKUP($B172,AcctTbl,2,0)="","—",VLOOKUP($B172,AcctTbl,2,0)),VLOOKUP($B172,AcctTbl,3,0)),"—"))</f>
        <v/>
      </c>
      <c r="E172" s="31">
        <f>IF($B172="","",COUNTIFS(CalcParty,$B172,CalcGroup,"خرید"))</f>
        <v/>
      </c>
      <c r="F172" s="19">
        <f>IF($B172="","",SUMIFS(CalcScale,CalcParty,$B172,CalcGroup,"خرید"))</f>
        <v/>
      </c>
      <c r="G172" s="19">
        <f>IF($B172="","",SUMIFS(CalcBaskets,CalcParty,$B172,CalcGroup,"خرید"))</f>
        <v/>
      </c>
      <c r="H172" s="20">
        <f>IF($B172="","",SUMIFS(CalcNet,CalcParty,$B172,CalcGroup,"خرید"))</f>
        <v/>
      </c>
      <c r="I172" s="18">
        <f>IF($B172="","",IFERROR(IF(VLOOKUP($B172,AcctTbl,5,0)="","—",VLOOKUP($B172,AcctTbl,5,0)),"—"))</f>
        <v/>
      </c>
      <c r="J172" s="18">
        <f>IF($B172="","",IFERROR(IF(VLOOKUP($B172,AcctTbl,6,0)="","—",VLOOKUP($B172,AcctTbl,6,0)),"—"))</f>
        <v/>
      </c>
      <c r="K172" s="32">
        <f>IF(OR($B172="",$H$570=0),"",$H172/$H$570)</f>
        <v/>
      </c>
    </row>
    <row r="173">
      <c r="A173" s="23">
        <f>IF(ROW()-9&gt;NAcctAll,"",ROW()-9)</f>
        <v/>
      </c>
      <c r="B173" s="33">
        <f>IF($A173="","",IF($A173&lt;=NAcctAll,INDEX(PkAcctAll,$A173),""))</f>
        <v/>
      </c>
      <c r="C173" s="28">
        <f>IF($B173="","",IFERROR(IF(VLOOKUP($B173,AcctTbl,4,0)="","(بدون نام)",VLOOKUP($B173,AcctTbl,4,0)),"—"))</f>
        <v/>
      </c>
      <c r="D173" s="24">
        <f>IF($B173="","",IFERROR(IF(VLOOKUP($B173,AcctTbl,3,0)="",IF(VLOOKUP($B173,AcctTbl,2,0)="","—",VLOOKUP($B173,AcctTbl,2,0)),VLOOKUP($B173,AcctTbl,3,0)),"—"))</f>
        <v/>
      </c>
      <c r="E173" s="34">
        <f>IF($B173="","",COUNTIFS(CalcParty,$B173,CalcGroup,"خرید"))</f>
        <v/>
      </c>
      <c r="F173" s="25">
        <f>IF($B173="","",SUMIFS(CalcScale,CalcParty,$B173,CalcGroup,"خرید"))</f>
        <v/>
      </c>
      <c r="G173" s="25">
        <f>IF($B173="","",SUMIFS(CalcBaskets,CalcParty,$B173,CalcGroup,"خرید"))</f>
        <v/>
      </c>
      <c r="H173" s="26">
        <f>IF($B173="","",SUMIFS(CalcNet,CalcParty,$B173,CalcGroup,"خرید"))</f>
        <v/>
      </c>
      <c r="I173" s="24">
        <f>IF($B173="","",IFERROR(IF(VLOOKUP($B173,AcctTbl,5,0)="","—",VLOOKUP($B173,AcctTbl,5,0)),"—"))</f>
        <v/>
      </c>
      <c r="J173" s="24">
        <f>IF($B173="","",IFERROR(IF(VLOOKUP($B173,AcctTbl,6,0)="","—",VLOOKUP($B173,AcctTbl,6,0)),"—"))</f>
        <v/>
      </c>
      <c r="K173" s="35">
        <f>IF(OR($B173="",$H$570=0),"",$H173/$H$570)</f>
        <v/>
      </c>
    </row>
    <row r="174">
      <c r="A174" s="17">
        <f>IF(ROW()-9&gt;NAcctAll,"",ROW()-9)</f>
        <v/>
      </c>
      <c r="B174" s="30">
        <f>IF($A174="","",IF($A174&lt;=NAcctAll,INDEX(PkAcctAll,$A174),""))</f>
        <v/>
      </c>
      <c r="C174" s="22">
        <f>IF($B174="","",IFERROR(IF(VLOOKUP($B174,AcctTbl,4,0)="","(بدون نام)",VLOOKUP($B174,AcctTbl,4,0)),"—"))</f>
        <v/>
      </c>
      <c r="D174" s="18">
        <f>IF($B174="","",IFERROR(IF(VLOOKUP($B174,AcctTbl,3,0)="",IF(VLOOKUP($B174,AcctTbl,2,0)="","—",VLOOKUP($B174,AcctTbl,2,0)),VLOOKUP($B174,AcctTbl,3,0)),"—"))</f>
        <v/>
      </c>
      <c r="E174" s="31">
        <f>IF($B174="","",COUNTIFS(CalcParty,$B174,CalcGroup,"خرید"))</f>
        <v/>
      </c>
      <c r="F174" s="19">
        <f>IF($B174="","",SUMIFS(CalcScale,CalcParty,$B174,CalcGroup,"خرید"))</f>
        <v/>
      </c>
      <c r="G174" s="19">
        <f>IF($B174="","",SUMIFS(CalcBaskets,CalcParty,$B174,CalcGroup,"خرید"))</f>
        <v/>
      </c>
      <c r="H174" s="20">
        <f>IF($B174="","",SUMIFS(CalcNet,CalcParty,$B174,CalcGroup,"خرید"))</f>
        <v/>
      </c>
      <c r="I174" s="18">
        <f>IF($B174="","",IFERROR(IF(VLOOKUP($B174,AcctTbl,5,0)="","—",VLOOKUP($B174,AcctTbl,5,0)),"—"))</f>
        <v/>
      </c>
      <c r="J174" s="18">
        <f>IF($B174="","",IFERROR(IF(VLOOKUP($B174,AcctTbl,6,0)="","—",VLOOKUP($B174,AcctTbl,6,0)),"—"))</f>
        <v/>
      </c>
      <c r="K174" s="32">
        <f>IF(OR($B174="",$H$570=0),"",$H174/$H$570)</f>
        <v/>
      </c>
    </row>
    <row r="175">
      <c r="A175" s="23">
        <f>IF(ROW()-9&gt;NAcctAll,"",ROW()-9)</f>
        <v/>
      </c>
      <c r="B175" s="33">
        <f>IF($A175="","",IF($A175&lt;=NAcctAll,INDEX(PkAcctAll,$A175),""))</f>
        <v/>
      </c>
      <c r="C175" s="28">
        <f>IF($B175="","",IFERROR(IF(VLOOKUP($B175,AcctTbl,4,0)="","(بدون نام)",VLOOKUP($B175,AcctTbl,4,0)),"—"))</f>
        <v/>
      </c>
      <c r="D175" s="24">
        <f>IF($B175="","",IFERROR(IF(VLOOKUP($B175,AcctTbl,3,0)="",IF(VLOOKUP($B175,AcctTbl,2,0)="","—",VLOOKUP($B175,AcctTbl,2,0)),VLOOKUP($B175,AcctTbl,3,0)),"—"))</f>
        <v/>
      </c>
      <c r="E175" s="34">
        <f>IF($B175="","",COUNTIFS(CalcParty,$B175,CalcGroup,"خرید"))</f>
        <v/>
      </c>
      <c r="F175" s="25">
        <f>IF($B175="","",SUMIFS(CalcScale,CalcParty,$B175,CalcGroup,"خرید"))</f>
        <v/>
      </c>
      <c r="G175" s="25">
        <f>IF($B175="","",SUMIFS(CalcBaskets,CalcParty,$B175,CalcGroup,"خرید"))</f>
        <v/>
      </c>
      <c r="H175" s="26">
        <f>IF($B175="","",SUMIFS(CalcNet,CalcParty,$B175,CalcGroup,"خرید"))</f>
        <v/>
      </c>
      <c r="I175" s="24">
        <f>IF($B175="","",IFERROR(IF(VLOOKUP($B175,AcctTbl,5,0)="","—",VLOOKUP($B175,AcctTbl,5,0)),"—"))</f>
        <v/>
      </c>
      <c r="J175" s="24">
        <f>IF($B175="","",IFERROR(IF(VLOOKUP($B175,AcctTbl,6,0)="","—",VLOOKUP($B175,AcctTbl,6,0)),"—"))</f>
        <v/>
      </c>
      <c r="K175" s="35">
        <f>IF(OR($B175="",$H$570=0),"",$H175/$H$570)</f>
        <v/>
      </c>
    </row>
    <row r="176">
      <c r="A176" s="17">
        <f>IF(ROW()-9&gt;NAcctAll,"",ROW()-9)</f>
        <v/>
      </c>
      <c r="B176" s="30">
        <f>IF($A176="","",IF($A176&lt;=NAcctAll,INDEX(PkAcctAll,$A176),""))</f>
        <v/>
      </c>
      <c r="C176" s="22">
        <f>IF($B176="","",IFERROR(IF(VLOOKUP($B176,AcctTbl,4,0)="","(بدون نام)",VLOOKUP($B176,AcctTbl,4,0)),"—"))</f>
        <v/>
      </c>
      <c r="D176" s="18">
        <f>IF($B176="","",IFERROR(IF(VLOOKUP($B176,AcctTbl,3,0)="",IF(VLOOKUP($B176,AcctTbl,2,0)="","—",VLOOKUP($B176,AcctTbl,2,0)),VLOOKUP($B176,AcctTbl,3,0)),"—"))</f>
        <v/>
      </c>
      <c r="E176" s="31">
        <f>IF($B176="","",COUNTIFS(CalcParty,$B176,CalcGroup,"خرید"))</f>
        <v/>
      </c>
      <c r="F176" s="19">
        <f>IF($B176="","",SUMIFS(CalcScale,CalcParty,$B176,CalcGroup,"خرید"))</f>
        <v/>
      </c>
      <c r="G176" s="19">
        <f>IF($B176="","",SUMIFS(CalcBaskets,CalcParty,$B176,CalcGroup,"خرید"))</f>
        <v/>
      </c>
      <c r="H176" s="20">
        <f>IF($B176="","",SUMIFS(CalcNet,CalcParty,$B176,CalcGroup,"خرید"))</f>
        <v/>
      </c>
      <c r="I176" s="18">
        <f>IF($B176="","",IFERROR(IF(VLOOKUP($B176,AcctTbl,5,0)="","—",VLOOKUP($B176,AcctTbl,5,0)),"—"))</f>
        <v/>
      </c>
      <c r="J176" s="18">
        <f>IF($B176="","",IFERROR(IF(VLOOKUP($B176,AcctTbl,6,0)="","—",VLOOKUP($B176,AcctTbl,6,0)),"—"))</f>
        <v/>
      </c>
      <c r="K176" s="32">
        <f>IF(OR($B176="",$H$570=0),"",$H176/$H$570)</f>
        <v/>
      </c>
    </row>
    <row r="177">
      <c r="A177" s="23">
        <f>IF(ROW()-9&gt;NAcctAll,"",ROW()-9)</f>
        <v/>
      </c>
      <c r="B177" s="33">
        <f>IF($A177="","",IF($A177&lt;=NAcctAll,INDEX(PkAcctAll,$A177),""))</f>
        <v/>
      </c>
      <c r="C177" s="28">
        <f>IF($B177="","",IFERROR(IF(VLOOKUP($B177,AcctTbl,4,0)="","(بدون نام)",VLOOKUP($B177,AcctTbl,4,0)),"—"))</f>
        <v/>
      </c>
      <c r="D177" s="24">
        <f>IF($B177="","",IFERROR(IF(VLOOKUP($B177,AcctTbl,3,0)="",IF(VLOOKUP($B177,AcctTbl,2,0)="","—",VLOOKUP($B177,AcctTbl,2,0)),VLOOKUP($B177,AcctTbl,3,0)),"—"))</f>
        <v/>
      </c>
      <c r="E177" s="34">
        <f>IF($B177="","",COUNTIFS(CalcParty,$B177,CalcGroup,"خرید"))</f>
        <v/>
      </c>
      <c r="F177" s="25">
        <f>IF($B177="","",SUMIFS(CalcScale,CalcParty,$B177,CalcGroup,"خرید"))</f>
        <v/>
      </c>
      <c r="G177" s="25">
        <f>IF($B177="","",SUMIFS(CalcBaskets,CalcParty,$B177,CalcGroup,"خرید"))</f>
        <v/>
      </c>
      <c r="H177" s="26">
        <f>IF($B177="","",SUMIFS(CalcNet,CalcParty,$B177,CalcGroup,"خرید"))</f>
        <v/>
      </c>
      <c r="I177" s="24">
        <f>IF($B177="","",IFERROR(IF(VLOOKUP($B177,AcctTbl,5,0)="","—",VLOOKUP($B177,AcctTbl,5,0)),"—"))</f>
        <v/>
      </c>
      <c r="J177" s="24">
        <f>IF($B177="","",IFERROR(IF(VLOOKUP($B177,AcctTbl,6,0)="","—",VLOOKUP($B177,AcctTbl,6,0)),"—"))</f>
        <v/>
      </c>
      <c r="K177" s="35">
        <f>IF(OR($B177="",$H$570=0),"",$H177/$H$570)</f>
        <v/>
      </c>
    </row>
    <row r="178">
      <c r="A178" s="17">
        <f>IF(ROW()-9&gt;NAcctAll,"",ROW()-9)</f>
        <v/>
      </c>
      <c r="B178" s="30">
        <f>IF($A178="","",IF($A178&lt;=NAcctAll,INDEX(PkAcctAll,$A178),""))</f>
        <v/>
      </c>
      <c r="C178" s="22">
        <f>IF($B178="","",IFERROR(IF(VLOOKUP($B178,AcctTbl,4,0)="","(بدون نام)",VLOOKUP($B178,AcctTbl,4,0)),"—"))</f>
        <v/>
      </c>
      <c r="D178" s="18">
        <f>IF($B178="","",IFERROR(IF(VLOOKUP($B178,AcctTbl,3,0)="",IF(VLOOKUP($B178,AcctTbl,2,0)="","—",VLOOKUP($B178,AcctTbl,2,0)),VLOOKUP($B178,AcctTbl,3,0)),"—"))</f>
        <v/>
      </c>
      <c r="E178" s="31">
        <f>IF($B178="","",COUNTIFS(CalcParty,$B178,CalcGroup,"خرید"))</f>
        <v/>
      </c>
      <c r="F178" s="19">
        <f>IF($B178="","",SUMIFS(CalcScale,CalcParty,$B178,CalcGroup,"خرید"))</f>
        <v/>
      </c>
      <c r="G178" s="19">
        <f>IF($B178="","",SUMIFS(CalcBaskets,CalcParty,$B178,CalcGroup,"خرید"))</f>
        <v/>
      </c>
      <c r="H178" s="20">
        <f>IF($B178="","",SUMIFS(CalcNet,CalcParty,$B178,CalcGroup,"خرید"))</f>
        <v/>
      </c>
      <c r="I178" s="18">
        <f>IF($B178="","",IFERROR(IF(VLOOKUP($B178,AcctTbl,5,0)="","—",VLOOKUP($B178,AcctTbl,5,0)),"—"))</f>
        <v/>
      </c>
      <c r="J178" s="18">
        <f>IF($B178="","",IFERROR(IF(VLOOKUP($B178,AcctTbl,6,0)="","—",VLOOKUP($B178,AcctTbl,6,0)),"—"))</f>
        <v/>
      </c>
      <c r="K178" s="32">
        <f>IF(OR($B178="",$H$570=0),"",$H178/$H$570)</f>
        <v/>
      </c>
    </row>
    <row r="179">
      <c r="A179" s="23">
        <f>IF(ROW()-9&gt;NAcctAll,"",ROW()-9)</f>
        <v/>
      </c>
      <c r="B179" s="33">
        <f>IF($A179="","",IF($A179&lt;=NAcctAll,INDEX(PkAcctAll,$A179),""))</f>
        <v/>
      </c>
      <c r="C179" s="28">
        <f>IF($B179="","",IFERROR(IF(VLOOKUP($B179,AcctTbl,4,0)="","(بدون نام)",VLOOKUP($B179,AcctTbl,4,0)),"—"))</f>
        <v/>
      </c>
      <c r="D179" s="24">
        <f>IF($B179="","",IFERROR(IF(VLOOKUP($B179,AcctTbl,3,0)="",IF(VLOOKUP($B179,AcctTbl,2,0)="","—",VLOOKUP($B179,AcctTbl,2,0)),VLOOKUP($B179,AcctTbl,3,0)),"—"))</f>
        <v/>
      </c>
      <c r="E179" s="34">
        <f>IF($B179="","",COUNTIFS(CalcParty,$B179,CalcGroup,"خرید"))</f>
        <v/>
      </c>
      <c r="F179" s="25">
        <f>IF($B179="","",SUMIFS(CalcScale,CalcParty,$B179,CalcGroup,"خرید"))</f>
        <v/>
      </c>
      <c r="G179" s="25">
        <f>IF($B179="","",SUMIFS(CalcBaskets,CalcParty,$B179,CalcGroup,"خرید"))</f>
        <v/>
      </c>
      <c r="H179" s="26">
        <f>IF($B179="","",SUMIFS(CalcNet,CalcParty,$B179,CalcGroup,"خرید"))</f>
        <v/>
      </c>
      <c r="I179" s="24">
        <f>IF($B179="","",IFERROR(IF(VLOOKUP($B179,AcctTbl,5,0)="","—",VLOOKUP($B179,AcctTbl,5,0)),"—"))</f>
        <v/>
      </c>
      <c r="J179" s="24">
        <f>IF($B179="","",IFERROR(IF(VLOOKUP($B179,AcctTbl,6,0)="","—",VLOOKUP($B179,AcctTbl,6,0)),"—"))</f>
        <v/>
      </c>
      <c r="K179" s="35">
        <f>IF(OR($B179="",$H$570=0),"",$H179/$H$570)</f>
        <v/>
      </c>
    </row>
    <row r="180">
      <c r="A180" s="17">
        <f>IF(ROW()-9&gt;NAcctAll,"",ROW()-9)</f>
        <v/>
      </c>
      <c r="B180" s="30">
        <f>IF($A180="","",IF($A180&lt;=NAcctAll,INDEX(PkAcctAll,$A180),""))</f>
        <v/>
      </c>
      <c r="C180" s="22">
        <f>IF($B180="","",IFERROR(IF(VLOOKUP($B180,AcctTbl,4,0)="","(بدون نام)",VLOOKUP($B180,AcctTbl,4,0)),"—"))</f>
        <v/>
      </c>
      <c r="D180" s="18">
        <f>IF($B180="","",IFERROR(IF(VLOOKUP($B180,AcctTbl,3,0)="",IF(VLOOKUP($B180,AcctTbl,2,0)="","—",VLOOKUP($B180,AcctTbl,2,0)),VLOOKUP($B180,AcctTbl,3,0)),"—"))</f>
        <v/>
      </c>
      <c r="E180" s="31">
        <f>IF($B180="","",COUNTIFS(CalcParty,$B180,CalcGroup,"خرید"))</f>
        <v/>
      </c>
      <c r="F180" s="19">
        <f>IF($B180="","",SUMIFS(CalcScale,CalcParty,$B180,CalcGroup,"خرید"))</f>
        <v/>
      </c>
      <c r="G180" s="19">
        <f>IF($B180="","",SUMIFS(CalcBaskets,CalcParty,$B180,CalcGroup,"خرید"))</f>
        <v/>
      </c>
      <c r="H180" s="20">
        <f>IF($B180="","",SUMIFS(CalcNet,CalcParty,$B180,CalcGroup,"خرید"))</f>
        <v/>
      </c>
      <c r="I180" s="18">
        <f>IF($B180="","",IFERROR(IF(VLOOKUP($B180,AcctTbl,5,0)="","—",VLOOKUP($B180,AcctTbl,5,0)),"—"))</f>
        <v/>
      </c>
      <c r="J180" s="18">
        <f>IF($B180="","",IFERROR(IF(VLOOKUP($B180,AcctTbl,6,0)="","—",VLOOKUP($B180,AcctTbl,6,0)),"—"))</f>
        <v/>
      </c>
      <c r="K180" s="32">
        <f>IF(OR($B180="",$H$570=0),"",$H180/$H$570)</f>
        <v/>
      </c>
    </row>
    <row r="181">
      <c r="A181" s="23">
        <f>IF(ROW()-9&gt;NAcctAll,"",ROW()-9)</f>
        <v/>
      </c>
      <c r="B181" s="33">
        <f>IF($A181="","",IF($A181&lt;=NAcctAll,INDEX(PkAcctAll,$A181),""))</f>
        <v/>
      </c>
      <c r="C181" s="28">
        <f>IF($B181="","",IFERROR(IF(VLOOKUP($B181,AcctTbl,4,0)="","(بدون نام)",VLOOKUP($B181,AcctTbl,4,0)),"—"))</f>
        <v/>
      </c>
      <c r="D181" s="24">
        <f>IF($B181="","",IFERROR(IF(VLOOKUP($B181,AcctTbl,3,0)="",IF(VLOOKUP($B181,AcctTbl,2,0)="","—",VLOOKUP($B181,AcctTbl,2,0)),VLOOKUP($B181,AcctTbl,3,0)),"—"))</f>
        <v/>
      </c>
      <c r="E181" s="34">
        <f>IF($B181="","",COUNTIFS(CalcParty,$B181,CalcGroup,"خرید"))</f>
        <v/>
      </c>
      <c r="F181" s="25">
        <f>IF($B181="","",SUMIFS(CalcScale,CalcParty,$B181,CalcGroup,"خرید"))</f>
        <v/>
      </c>
      <c r="G181" s="25">
        <f>IF($B181="","",SUMIFS(CalcBaskets,CalcParty,$B181,CalcGroup,"خرید"))</f>
        <v/>
      </c>
      <c r="H181" s="26">
        <f>IF($B181="","",SUMIFS(CalcNet,CalcParty,$B181,CalcGroup,"خرید"))</f>
        <v/>
      </c>
      <c r="I181" s="24">
        <f>IF($B181="","",IFERROR(IF(VLOOKUP($B181,AcctTbl,5,0)="","—",VLOOKUP($B181,AcctTbl,5,0)),"—"))</f>
        <v/>
      </c>
      <c r="J181" s="24">
        <f>IF($B181="","",IFERROR(IF(VLOOKUP($B181,AcctTbl,6,0)="","—",VLOOKUP($B181,AcctTbl,6,0)),"—"))</f>
        <v/>
      </c>
      <c r="K181" s="35">
        <f>IF(OR($B181="",$H$570=0),"",$H181/$H$570)</f>
        <v/>
      </c>
    </row>
    <row r="182">
      <c r="A182" s="17">
        <f>IF(ROW()-9&gt;NAcctAll,"",ROW()-9)</f>
        <v/>
      </c>
      <c r="B182" s="30">
        <f>IF($A182="","",IF($A182&lt;=NAcctAll,INDEX(PkAcctAll,$A182),""))</f>
        <v/>
      </c>
      <c r="C182" s="22">
        <f>IF($B182="","",IFERROR(IF(VLOOKUP($B182,AcctTbl,4,0)="","(بدون نام)",VLOOKUP($B182,AcctTbl,4,0)),"—"))</f>
        <v/>
      </c>
      <c r="D182" s="18">
        <f>IF($B182="","",IFERROR(IF(VLOOKUP($B182,AcctTbl,3,0)="",IF(VLOOKUP($B182,AcctTbl,2,0)="","—",VLOOKUP($B182,AcctTbl,2,0)),VLOOKUP($B182,AcctTbl,3,0)),"—"))</f>
        <v/>
      </c>
      <c r="E182" s="31">
        <f>IF($B182="","",COUNTIFS(CalcParty,$B182,CalcGroup,"خرید"))</f>
        <v/>
      </c>
      <c r="F182" s="19">
        <f>IF($B182="","",SUMIFS(CalcScale,CalcParty,$B182,CalcGroup,"خرید"))</f>
        <v/>
      </c>
      <c r="G182" s="19">
        <f>IF($B182="","",SUMIFS(CalcBaskets,CalcParty,$B182,CalcGroup,"خرید"))</f>
        <v/>
      </c>
      <c r="H182" s="20">
        <f>IF($B182="","",SUMIFS(CalcNet,CalcParty,$B182,CalcGroup,"خرید"))</f>
        <v/>
      </c>
      <c r="I182" s="18">
        <f>IF($B182="","",IFERROR(IF(VLOOKUP($B182,AcctTbl,5,0)="","—",VLOOKUP($B182,AcctTbl,5,0)),"—"))</f>
        <v/>
      </c>
      <c r="J182" s="18">
        <f>IF($B182="","",IFERROR(IF(VLOOKUP($B182,AcctTbl,6,0)="","—",VLOOKUP($B182,AcctTbl,6,0)),"—"))</f>
        <v/>
      </c>
      <c r="K182" s="32">
        <f>IF(OR($B182="",$H$570=0),"",$H182/$H$570)</f>
        <v/>
      </c>
    </row>
    <row r="183">
      <c r="A183" s="23">
        <f>IF(ROW()-9&gt;NAcctAll,"",ROW()-9)</f>
        <v/>
      </c>
      <c r="B183" s="33">
        <f>IF($A183="","",IF($A183&lt;=NAcctAll,INDEX(PkAcctAll,$A183),""))</f>
        <v/>
      </c>
      <c r="C183" s="28">
        <f>IF($B183="","",IFERROR(IF(VLOOKUP($B183,AcctTbl,4,0)="","(بدون نام)",VLOOKUP($B183,AcctTbl,4,0)),"—"))</f>
        <v/>
      </c>
      <c r="D183" s="24">
        <f>IF($B183="","",IFERROR(IF(VLOOKUP($B183,AcctTbl,3,0)="",IF(VLOOKUP($B183,AcctTbl,2,0)="","—",VLOOKUP($B183,AcctTbl,2,0)),VLOOKUP($B183,AcctTbl,3,0)),"—"))</f>
        <v/>
      </c>
      <c r="E183" s="34">
        <f>IF($B183="","",COUNTIFS(CalcParty,$B183,CalcGroup,"خرید"))</f>
        <v/>
      </c>
      <c r="F183" s="25">
        <f>IF($B183="","",SUMIFS(CalcScale,CalcParty,$B183,CalcGroup,"خرید"))</f>
        <v/>
      </c>
      <c r="G183" s="25">
        <f>IF($B183="","",SUMIFS(CalcBaskets,CalcParty,$B183,CalcGroup,"خرید"))</f>
        <v/>
      </c>
      <c r="H183" s="26">
        <f>IF($B183="","",SUMIFS(CalcNet,CalcParty,$B183,CalcGroup,"خرید"))</f>
        <v/>
      </c>
      <c r="I183" s="24">
        <f>IF($B183="","",IFERROR(IF(VLOOKUP($B183,AcctTbl,5,0)="","—",VLOOKUP($B183,AcctTbl,5,0)),"—"))</f>
        <v/>
      </c>
      <c r="J183" s="24">
        <f>IF($B183="","",IFERROR(IF(VLOOKUP($B183,AcctTbl,6,0)="","—",VLOOKUP($B183,AcctTbl,6,0)),"—"))</f>
        <v/>
      </c>
      <c r="K183" s="35">
        <f>IF(OR($B183="",$H$570=0),"",$H183/$H$570)</f>
        <v/>
      </c>
    </row>
    <row r="184">
      <c r="A184" s="17">
        <f>IF(ROW()-9&gt;NAcctAll,"",ROW()-9)</f>
        <v/>
      </c>
      <c r="B184" s="30">
        <f>IF($A184="","",IF($A184&lt;=NAcctAll,INDEX(PkAcctAll,$A184),""))</f>
        <v/>
      </c>
      <c r="C184" s="22">
        <f>IF($B184="","",IFERROR(IF(VLOOKUP($B184,AcctTbl,4,0)="","(بدون نام)",VLOOKUP($B184,AcctTbl,4,0)),"—"))</f>
        <v/>
      </c>
      <c r="D184" s="18">
        <f>IF($B184="","",IFERROR(IF(VLOOKUP($B184,AcctTbl,3,0)="",IF(VLOOKUP($B184,AcctTbl,2,0)="","—",VLOOKUP($B184,AcctTbl,2,0)),VLOOKUP($B184,AcctTbl,3,0)),"—"))</f>
        <v/>
      </c>
      <c r="E184" s="31">
        <f>IF($B184="","",COUNTIFS(CalcParty,$B184,CalcGroup,"خرید"))</f>
        <v/>
      </c>
      <c r="F184" s="19">
        <f>IF($B184="","",SUMIFS(CalcScale,CalcParty,$B184,CalcGroup,"خرید"))</f>
        <v/>
      </c>
      <c r="G184" s="19">
        <f>IF($B184="","",SUMIFS(CalcBaskets,CalcParty,$B184,CalcGroup,"خرید"))</f>
        <v/>
      </c>
      <c r="H184" s="20">
        <f>IF($B184="","",SUMIFS(CalcNet,CalcParty,$B184,CalcGroup,"خرید"))</f>
        <v/>
      </c>
      <c r="I184" s="18">
        <f>IF($B184="","",IFERROR(IF(VLOOKUP($B184,AcctTbl,5,0)="","—",VLOOKUP($B184,AcctTbl,5,0)),"—"))</f>
        <v/>
      </c>
      <c r="J184" s="18">
        <f>IF($B184="","",IFERROR(IF(VLOOKUP($B184,AcctTbl,6,0)="","—",VLOOKUP($B184,AcctTbl,6,0)),"—"))</f>
        <v/>
      </c>
      <c r="K184" s="32">
        <f>IF(OR($B184="",$H$570=0),"",$H184/$H$570)</f>
        <v/>
      </c>
    </row>
    <row r="185">
      <c r="A185" s="23">
        <f>IF(ROW()-9&gt;NAcctAll,"",ROW()-9)</f>
        <v/>
      </c>
      <c r="B185" s="33">
        <f>IF($A185="","",IF($A185&lt;=NAcctAll,INDEX(PkAcctAll,$A185),""))</f>
        <v/>
      </c>
      <c r="C185" s="28">
        <f>IF($B185="","",IFERROR(IF(VLOOKUP($B185,AcctTbl,4,0)="","(بدون نام)",VLOOKUP($B185,AcctTbl,4,0)),"—"))</f>
        <v/>
      </c>
      <c r="D185" s="24">
        <f>IF($B185="","",IFERROR(IF(VLOOKUP($B185,AcctTbl,3,0)="",IF(VLOOKUP($B185,AcctTbl,2,0)="","—",VLOOKUP($B185,AcctTbl,2,0)),VLOOKUP($B185,AcctTbl,3,0)),"—"))</f>
        <v/>
      </c>
      <c r="E185" s="34">
        <f>IF($B185="","",COUNTIFS(CalcParty,$B185,CalcGroup,"خرید"))</f>
        <v/>
      </c>
      <c r="F185" s="25">
        <f>IF($B185="","",SUMIFS(CalcScale,CalcParty,$B185,CalcGroup,"خرید"))</f>
        <v/>
      </c>
      <c r="G185" s="25">
        <f>IF($B185="","",SUMIFS(CalcBaskets,CalcParty,$B185,CalcGroup,"خرید"))</f>
        <v/>
      </c>
      <c r="H185" s="26">
        <f>IF($B185="","",SUMIFS(CalcNet,CalcParty,$B185,CalcGroup,"خرید"))</f>
        <v/>
      </c>
      <c r="I185" s="24">
        <f>IF($B185="","",IFERROR(IF(VLOOKUP($B185,AcctTbl,5,0)="","—",VLOOKUP($B185,AcctTbl,5,0)),"—"))</f>
        <v/>
      </c>
      <c r="J185" s="24">
        <f>IF($B185="","",IFERROR(IF(VLOOKUP($B185,AcctTbl,6,0)="","—",VLOOKUP($B185,AcctTbl,6,0)),"—"))</f>
        <v/>
      </c>
      <c r="K185" s="35">
        <f>IF(OR($B185="",$H$570=0),"",$H185/$H$570)</f>
        <v/>
      </c>
    </row>
    <row r="186">
      <c r="A186" s="17">
        <f>IF(ROW()-9&gt;NAcctAll,"",ROW()-9)</f>
        <v/>
      </c>
      <c r="B186" s="30">
        <f>IF($A186="","",IF($A186&lt;=NAcctAll,INDEX(PkAcctAll,$A186),""))</f>
        <v/>
      </c>
      <c r="C186" s="22">
        <f>IF($B186="","",IFERROR(IF(VLOOKUP($B186,AcctTbl,4,0)="","(بدون نام)",VLOOKUP($B186,AcctTbl,4,0)),"—"))</f>
        <v/>
      </c>
      <c r="D186" s="18">
        <f>IF($B186="","",IFERROR(IF(VLOOKUP($B186,AcctTbl,3,0)="",IF(VLOOKUP($B186,AcctTbl,2,0)="","—",VLOOKUP($B186,AcctTbl,2,0)),VLOOKUP($B186,AcctTbl,3,0)),"—"))</f>
        <v/>
      </c>
      <c r="E186" s="31">
        <f>IF($B186="","",COUNTIFS(CalcParty,$B186,CalcGroup,"خرید"))</f>
        <v/>
      </c>
      <c r="F186" s="19">
        <f>IF($B186="","",SUMIFS(CalcScale,CalcParty,$B186,CalcGroup,"خرید"))</f>
        <v/>
      </c>
      <c r="G186" s="19">
        <f>IF($B186="","",SUMIFS(CalcBaskets,CalcParty,$B186,CalcGroup,"خرید"))</f>
        <v/>
      </c>
      <c r="H186" s="20">
        <f>IF($B186="","",SUMIFS(CalcNet,CalcParty,$B186,CalcGroup,"خرید"))</f>
        <v/>
      </c>
      <c r="I186" s="18">
        <f>IF($B186="","",IFERROR(IF(VLOOKUP($B186,AcctTbl,5,0)="","—",VLOOKUP($B186,AcctTbl,5,0)),"—"))</f>
        <v/>
      </c>
      <c r="J186" s="18">
        <f>IF($B186="","",IFERROR(IF(VLOOKUP($B186,AcctTbl,6,0)="","—",VLOOKUP($B186,AcctTbl,6,0)),"—"))</f>
        <v/>
      </c>
      <c r="K186" s="32">
        <f>IF(OR($B186="",$H$570=0),"",$H186/$H$570)</f>
        <v/>
      </c>
    </row>
    <row r="187">
      <c r="A187" s="23">
        <f>IF(ROW()-9&gt;NAcctAll,"",ROW()-9)</f>
        <v/>
      </c>
      <c r="B187" s="33">
        <f>IF($A187="","",IF($A187&lt;=NAcctAll,INDEX(PkAcctAll,$A187),""))</f>
        <v/>
      </c>
      <c r="C187" s="28">
        <f>IF($B187="","",IFERROR(IF(VLOOKUP($B187,AcctTbl,4,0)="","(بدون نام)",VLOOKUP($B187,AcctTbl,4,0)),"—"))</f>
        <v/>
      </c>
      <c r="D187" s="24">
        <f>IF($B187="","",IFERROR(IF(VLOOKUP($B187,AcctTbl,3,0)="",IF(VLOOKUP($B187,AcctTbl,2,0)="","—",VLOOKUP($B187,AcctTbl,2,0)),VLOOKUP($B187,AcctTbl,3,0)),"—"))</f>
        <v/>
      </c>
      <c r="E187" s="34">
        <f>IF($B187="","",COUNTIFS(CalcParty,$B187,CalcGroup,"خرید"))</f>
        <v/>
      </c>
      <c r="F187" s="25">
        <f>IF($B187="","",SUMIFS(CalcScale,CalcParty,$B187,CalcGroup,"خرید"))</f>
        <v/>
      </c>
      <c r="G187" s="25">
        <f>IF($B187="","",SUMIFS(CalcBaskets,CalcParty,$B187,CalcGroup,"خرید"))</f>
        <v/>
      </c>
      <c r="H187" s="26">
        <f>IF($B187="","",SUMIFS(CalcNet,CalcParty,$B187,CalcGroup,"خرید"))</f>
        <v/>
      </c>
      <c r="I187" s="24">
        <f>IF($B187="","",IFERROR(IF(VLOOKUP($B187,AcctTbl,5,0)="","—",VLOOKUP($B187,AcctTbl,5,0)),"—"))</f>
        <v/>
      </c>
      <c r="J187" s="24">
        <f>IF($B187="","",IFERROR(IF(VLOOKUP($B187,AcctTbl,6,0)="","—",VLOOKUP($B187,AcctTbl,6,0)),"—"))</f>
        <v/>
      </c>
      <c r="K187" s="35">
        <f>IF(OR($B187="",$H$570=0),"",$H187/$H$570)</f>
        <v/>
      </c>
    </row>
    <row r="188">
      <c r="A188" s="17">
        <f>IF(ROW()-9&gt;NAcctAll,"",ROW()-9)</f>
        <v/>
      </c>
      <c r="B188" s="30">
        <f>IF($A188="","",IF($A188&lt;=NAcctAll,INDEX(PkAcctAll,$A188),""))</f>
        <v/>
      </c>
      <c r="C188" s="22">
        <f>IF($B188="","",IFERROR(IF(VLOOKUP($B188,AcctTbl,4,0)="","(بدون نام)",VLOOKUP($B188,AcctTbl,4,0)),"—"))</f>
        <v/>
      </c>
      <c r="D188" s="18">
        <f>IF($B188="","",IFERROR(IF(VLOOKUP($B188,AcctTbl,3,0)="",IF(VLOOKUP($B188,AcctTbl,2,0)="","—",VLOOKUP($B188,AcctTbl,2,0)),VLOOKUP($B188,AcctTbl,3,0)),"—"))</f>
        <v/>
      </c>
      <c r="E188" s="31">
        <f>IF($B188="","",COUNTIFS(CalcParty,$B188,CalcGroup,"خرید"))</f>
        <v/>
      </c>
      <c r="F188" s="19">
        <f>IF($B188="","",SUMIFS(CalcScale,CalcParty,$B188,CalcGroup,"خرید"))</f>
        <v/>
      </c>
      <c r="G188" s="19">
        <f>IF($B188="","",SUMIFS(CalcBaskets,CalcParty,$B188,CalcGroup,"خرید"))</f>
        <v/>
      </c>
      <c r="H188" s="20">
        <f>IF($B188="","",SUMIFS(CalcNet,CalcParty,$B188,CalcGroup,"خرید"))</f>
        <v/>
      </c>
      <c r="I188" s="18">
        <f>IF($B188="","",IFERROR(IF(VLOOKUP($B188,AcctTbl,5,0)="","—",VLOOKUP($B188,AcctTbl,5,0)),"—"))</f>
        <v/>
      </c>
      <c r="J188" s="18">
        <f>IF($B188="","",IFERROR(IF(VLOOKUP($B188,AcctTbl,6,0)="","—",VLOOKUP($B188,AcctTbl,6,0)),"—"))</f>
        <v/>
      </c>
      <c r="K188" s="32">
        <f>IF(OR($B188="",$H$570=0),"",$H188/$H$570)</f>
        <v/>
      </c>
    </row>
    <row r="189">
      <c r="A189" s="23">
        <f>IF(ROW()-9&gt;NAcctAll,"",ROW()-9)</f>
        <v/>
      </c>
      <c r="B189" s="33">
        <f>IF($A189="","",IF($A189&lt;=NAcctAll,INDEX(PkAcctAll,$A189),""))</f>
        <v/>
      </c>
      <c r="C189" s="28">
        <f>IF($B189="","",IFERROR(IF(VLOOKUP($B189,AcctTbl,4,0)="","(بدون نام)",VLOOKUP($B189,AcctTbl,4,0)),"—"))</f>
        <v/>
      </c>
      <c r="D189" s="24">
        <f>IF($B189="","",IFERROR(IF(VLOOKUP($B189,AcctTbl,3,0)="",IF(VLOOKUP($B189,AcctTbl,2,0)="","—",VLOOKUP($B189,AcctTbl,2,0)),VLOOKUP($B189,AcctTbl,3,0)),"—"))</f>
        <v/>
      </c>
      <c r="E189" s="34">
        <f>IF($B189="","",COUNTIFS(CalcParty,$B189,CalcGroup,"خرید"))</f>
        <v/>
      </c>
      <c r="F189" s="25">
        <f>IF($B189="","",SUMIFS(CalcScale,CalcParty,$B189,CalcGroup,"خرید"))</f>
        <v/>
      </c>
      <c r="G189" s="25">
        <f>IF($B189="","",SUMIFS(CalcBaskets,CalcParty,$B189,CalcGroup,"خرید"))</f>
        <v/>
      </c>
      <c r="H189" s="26">
        <f>IF($B189="","",SUMIFS(CalcNet,CalcParty,$B189,CalcGroup,"خرید"))</f>
        <v/>
      </c>
      <c r="I189" s="24">
        <f>IF($B189="","",IFERROR(IF(VLOOKUP($B189,AcctTbl,5,0)="","—",VLOOKUP($B189,AcctTbl,5,0)),"—"))</f>
        <v/>
      </c>
      <c r="J189" s="24">
        <f>IF($B189="","",IFERROR(IF(VLOOKUP($B189,AcctTbl,6,0)="","—",VLOOKUP($B189,AcctTbl,6,0)),"—"))</f>
        <v/>
      </c>
      <c r="K189" s="35">
        <f>IF(OR($B189="",$H$570=0),"",$H189/$H$570)</f>
        <v/>
      </c>
    </row>
    <row r="190">
      <c r="A190" s="17">
        <f>IF(ROW()-9&gt;NAcctAll,"",ROW()-9)</f>
        <v/>
      </c>
      <c r="B190" s="30">
        <f>IF($A190="","",IF($A190&lt;=NAcctAll,INDEX(PkAcctAll,$A190),""))</f>
        <v/>
      </c>
      <c r="C190" s="22">
        <f>IF($B190="","",IFERROR(IF(VLOOKUP($B190,AcctTbl,4,0)="","(بدون نام)",VLOOKUP($B190,AcctTbl,4,0)),"—"))</f>
        <v/>
      </c>
      <c r="D190" s="18">
        <f>IF($B190="","",IFERROR(IF(VLOOKUP($B190,AcctTbl,3,0)="",IF(VLOOKUP($B190,AcctTbl,2,0)="","—",VLOOKUP($B190,AcctTbl,2,0)),VLOOKUP($B190,AcctTbl,3,0)),"—"))</f>
        <v/>
      </c>
      <c r="E190" s="31">
        <f>IF($B190="","",COUNTIFS(CalcParty,$B190,CalcGroup,"خرید"))</f>
        <v/>
      </c>
      <c r="F190" s="19">
        <f>IF($B190="","",SUMIFS(CalcScale,CalcParty,$B190,CalcGroup,"خرید"))</f>
        <v/>
      </c>
      <c r="G190" s="19">
        <f>IF($B190="","",SUMIFS(CalcBaskets,CalcParty,$B190,CalcGroup,"خرید"))</f>
        <v/>
      </c>
      <c r="H190" s="20">
        <f>IF($B190="","",SUMIFS(CalcNet,CalcParty,$B190,CalcGroup,"خرید"))</f>
        <v/>
      </c>
      <c r="I190" s="18">
        <f>IF($B190="","",IFERROR(IF(VLOOKUP($B190,AcctTbl,5,0)="","—",VLOOKUP($B190,AcctTbl,5,0)),"—"))</f>
        <v/>
      </c>
      <c r="J190" s="18">
        <f>IF($B190="","",IFERROR(IF(VLOOKUP($B190,AcctTbl,6,0)="","—",VLOOKUP($B190,AcctTbl,6,0)),"—"))</f>
        <v/>
      </c>
      <c r="K190" s="32">
        <f>IF(OR($B190="",$H$570=0),"",$H190/$H$570)</f>
        <v/>
      </c>
    </row>
    <row r="191">
      <c r="A191" s="23">
        <f>IF(ROW()-9&gt;NAcctAll,"",ROW()-9)</f>
        <v/>
      </c>
      <c r="B191" s="33">
        <f>IF($A191="","",IF($A191&lt;=NAcctAll,INDEX(PkAcctAll,$A191),""))</f>
        <v/>
      </c>
      <c r="C191" s="28">
        <f>IF($B191="","",IFERROR(IF(VLOOKUP($B191,AcctTbl,4,0)="","(بدون نام)",VLOOKUP($B191,AcctTbl,4,0)),"—"))</f>
        <v/>
      </c>
      <c r="D191" s="24">
        <f>IF($B191="","",IFERROR(IF(VLOOKUP($B191,AcctTbl,3,0)="",IF(VLOOKUP($B191,AcctTbl,2,0)="","—",VLOOKUP($B191,AcctTbl,2,0)),VLOOKUP($B191,AcctTbl,3,0)),"—"))</f>
        <v/>
      </c>
      <c r="E191" s="34">
        <f>IF($B191="","",COUNTIFS(CalcParty,$B191,CalcGroup,"خرید"))</f>
        <v/>
      </c>
      <c r="F191" s="25">
        <f>IF($B191="","",SUMIFS(CalcScale,CalcParty,$B191,CalcGroup,"خرید"))</f>
        <v/>
      </c>
      <c r="G191" s="25">
        <f>IF($B191="","",SUMIFS(CalcBaskets,CalcParty,$B191,CalcGroup,"خرید"))</f>
        <v/>
      </c>
      <c r="H191" s="26">
        <f>IF($B191="","",SUMIFS(CalcNet,CalcParty,$B191,CalcGroup,"خرید"))</f>
        <v/>
      </c>
      <c r="I191" s="24">
        <f>IF($B191="","",IFERROR(IF(VLOOKUP($B191,AcctTbl,5,0)="","—",VLOOKUP($B191,AcctTbl,5,0)),"—"))</f>
        <v/>
      </c>
      <c r="J191" s="24">
        <f>IF($B191="","",IFERROR(IF(VLOOKUP($B191,AcctTbl,6,0)="","—",VLOOKUP($B191,AcctTbl,6,0)),"—"))</f>
        <v/>
      </c>
      <c r="K191" s="35">
        <f>IF(OR($B191="",$H$570=0),"",$H191/$H$570)</f>
        <v/>
      </c>
    </row>
    <row r="192">
      <c r="A192" s="17">
        <f>IF(ROW()-9&gt;NAcctAll,"",ROW()-9)</f>
        <v/>
      </c>
      <c r="B192" s="30">
        <f>IF($A192="","",IF($A192&lt;=NAcctAll,INDEX(PkAcctAll,$A192),""))</f>
        <v/>
      </c>
      <c r="C192" s="22">
        <f>IF($B192="","",IFERROR(IF(VLOOKUP($B192,AcctTbl,4,0)="","(بدون نام)",VLOOKUP($B192,AcctTbl,4,0)),"—"))</f>
        <v/>
      </c>
      <c r="D192" s="18">
        <f>IF($B192="","",IFERROR(IF(VLOOKUP($B192,AcctTbl,3,0)="",IF(VLOOKUP($B192,AcctTbl,2,0)="","—",VLOOKUP($B192,AcctTbl,2,0)),VLOOKUP($B192,AcctTbl,3,0)),"—"))</f>
        <v/>
      </c>
      <c r="E192" s="31">
        <f>IF($B192="","",COUNTIFS(CalcParty,$B192,CalcGroup,"خرید"))</f>
        <v/>
      </c>
      <c r="F192" s="19">
        <f>IF($B192="","",SUMIFS(CalcScale,CalcParty,$B192,CalcGroup,"خرید"))</f>
        <v/>
      </c>
      <c r="G192" s="19">
        <f>IF($B192="","",SUMIFS(CalcBaskets,CalcParty,$B192,CalcGroup,"خرید"))</f>
        <v/>
      </c>
      <c r="H192" s="20">
        <f>IF($B192="","",SUMIFS(CalcNet,CalcParty,$B192,CalcGroup,"خرید"))</f>
        <v/>
      </c>
      <c r="I192" s="18">
        <f>IF($B192="","",IFERROR(IF(VLOOKUP($B192,AcctTbl,5,0)="","—",VLOOKUP($B192,AcctTbl,5,0)),"—"))</f>
        <v/>
      </c>
      <c r="J192" s="18">
        <f>IF($B192="","",IFERROR(IF(VLOOKUP($B192,AcctTbl,6,0)="","—",VLOOKUP($B192,AcctTbl,6,0)),"—"))</f>
        <v/>
      </c>
      <c r="K192" s="32">
        <f>IF(OR($B192="",$H$570=0),"",$H192/$H$570)</f>
        <v/>
      </c>
    </row>
    <row r="193">
      <c r="A193" s="23">
        <f>IF(ROW()-9&gt;NAcctAll,"",ROW()-9)</f>
        <v/>
      </c>
      <c r="B193" s="33">
        <f>IF($A193="","",IF($A193&lt;=NAcctAll,INDEX(PkAcctAll,$A193),""))</f>
        <v/>
      </c>
      <c r="C193" s="28">
        <f>IF($B193="","",IFERROR(IF(VLOOKUP($B193,AcctTbl,4,0)="","(بدون نام)",VLOOKUP($B193,AcctTbl,4,0)),"—"))</f>
        <v/>
      </c>
      <c r="D193" s="24">
        <f>IF($B193="","",IFERROR(IF(VLOOKUP($B193,AcctTbl,3,0)="",IF(VLOOKUP($B193,AcctTbl,2,0)="","—",VLOOKUP($B193,AcctTbl,2,0)),VLOOKUP($B193,AcctTbl,3,0)),"—"))</f>
        <v/>
      </c>
      <c r="E193" s="34">
        <f>IF($B193="","",COUNTIFS(CalcParty,$B193,CalcGroup,"خرید"))</f>
        <v/>
      </c>
      <c r="F193" s="25">
        <f>IF($B193="","",SUMIFS(CalcScale,CalcParty,$B193,CalcGroup,"خرید"))</f>
        <v/>
      </c>
      <c r="G193" s="25">
        <f>IF($B193="","",SUMIFS(CalcBaskets,CalcParty,$B193,CalcGroup,"خرید"))</f>
        <v/>
      </c>
      <c r="H193" s="26">
        <f>IF($B193="","",SUMIFS(CalcNet,CalcParty,$B193,CalcGroup,"خرید"))</f>
        <v/>
      </c>
      <c r="I193" s="24">
        <f>IF($B193="","",IFERROR(IF(VLOOKUP($B193,AcctTbl,5,0)="","—",VLOOKUP($B193,AcctTbl,5,0)),"—"))</f>
        <v/>
      </c>
      <c r="J193" s="24">
        <f>IF($B193="","",IFERROR(IF(VLOOKUP($B193,AcctTbl,6,0)="","—",VLOOKUP($B193,AcctTbl,6,0)),"—"))</f>
        <v/>
      </c>
      <c r="K193" s="35">
        <f>IF(OR($B193="",$H$570=0),"",$H193/$H$570)</f>
        <v/>
      </c>
    </row>
    <row r="194">
      <c r="A194" s="17">
        <f>IF(ROW()-9&gt;NAcctAll,"",ROW()-9)</f>
        <v/>
      </c>
      <c r="B194" s="30">
        <f>IF($A194="","",IF($A194&lt;=NAcctAll,INDEX(PkAcctAll,$A194),""))</f>
        <v/>
      </c>
      <c r="C194" s="22">
        <f>IF($B194="","",IFERROR(IF(VLOOKUP($B194,AcctTbl,4,0)="","(بدون نام)",VLOOKUP($B194,AcctTbl,4,0)),"—"))</f>
        <v/>
      </c>
      <c r="D194" s="18">
        <f>IF($B194="","",IFERROR(IF(VLOOKUP($B194,AcctTbl,3,0)="",IF(VLOOKUP($B194,AcctTbl,2,0)="","—",VLOOKUP($B194,AcctTbl,2,0)),VLOOKUP($B194,AcctTbl,3,0)),"—"))</f>
        <v/>
      </c>
      <c r="E194" s="31">
        <f>IF($B194="","",COUNTIFS(CalcParty,$B194,CalcGroup,"خرید"))</f>
        <v/>
      </c>
      <c r="F194" s="19">
        <f>IF($B194="","",SUMIFS(CalcScale,CalcParty,$B194,CalcGroup,"خرید"))</f>
        <v/>
      </c>
      <c r="G194" s="19">
        <f>IF($B194="","",SUMIFS(CalcBaskets,CalcParty,$B194,CalcGroup,"خرید"))</f>
        <v/>
      </c>
      <c r="H194" s="20">
        <f>IF($B194="","",SUMIFS(CalcNet,CalcParty,$B194,CalcGroup,"خرید"))</f>
        <v/>
      </c>
      <c r="I194" s="18">
        <f>IF($B194="","",IFERROR(IF(VLOOKUP($B194,AcctTbl,5,0)="","—",VLOOKUP($B194,AcctTbl,5,0)),"—"))</f>
        <v/>
      </c>
      <c r="J194" s="18">
        <f>IF($B194="","",IFERROR(IF(VLOOKUP($B194,AcctTbl,6,0)="","—",VLOOKUP($B194,AcctTbl,6,0)),"—"))</f>
        <v/>
      </c>
      <c r="K194" s="32">
        <f>IF(OR($B194="",$H$570=0),"",$H194/$H$570)</f>
        <v/>
      </c>
    </row>
    <row r="195">
      <c r="A195" s="23">
        <f>IF(ROW()-9&gt;NAcctAll,"",ROW()-9)</f>
        <v/>
      </c>
      <c r="B195" s="33">
        <f>IF($A195="","",IF($A195&lt;=NAcctAll,INDEX(PkAcctAll,$A195),""))</f>
        <v/>
      </c>
      <c r="C195" s="28">
        <f>IF($B195="","",IFERROR(IF(VLOOKUP($B195,AcctTbl,4,0)="","(بدون نام)",VLOOKUP($B195,AcctTbl,4,0)),"—"))</f>
        <v/>
      </c>
      <c r="D195" s="24">
        <f>IF($B195="","",IFERROR(IF(VLOOKUP($B195,AcctTbl,3,0)="",IF(VLOOKUP($B195,AcctTbl,2,0)="","—",VLOOKUP($B195,AcctTbl,2,0)),VLOOKUP($B195,AcctTbl,3,0)),"—"))</f>
        <v/>
      </c>
      <c r="E195" s="34">
        <f>IF($B195="","",COUNTIFS(CalcParty,$B195,CalcGroup,"خرید"))</f>
        <v/>
      </c>
      <c r="F195" s="25">
        <f>IF($B195="","",SUMIFS(CalcScale,CalcParty,$B195,CalcGroup,"خرید"))</f>
        <v/>
      </c>
      <c r="G195" s="25">
        <f>IF($B195="","",SUMIFS(CalcBaskets,CalcParty,$B195,CalcGroup,"خرید"))</f>
        <v/>
      </c>
      <c r="H195" s="26">
        <f>IF($B195="","",SUMIFS(CalcNet,CalcParty,$B195,CalcGroup,"خرید"))</f>
        <v/>
      </c>
      <c r="I195" s="24">
        <f>IF($B195="","",IFERROR(IF(VLOOKUP($B195,AcctTbl,5,0)="","—",VLOOKUP($B195,AcctTbl,5,0)),"—"))</f>
        <v/>
      </c>
      <c r="J195" s="24">
        <f>IF($B195="","",IFERROR(IF(VLOOKUP($B195,AcctTbl,6,0)="","—",VLOOKUP($B195,AcctTbl,6,0)),"—"))</f>
        <v/>
      </c>
      <c r="K195" s="35">
        <f>IF(OR($B195="",$H$570=0),"",$H195/$H$570)</f>
        <v/>
      </c>
    </row>
    <row r="196">
      <c r="A196" s="17">
        <f>IF(ROW()-9&gt;NAcctAll,"",ROW()-9)</f>
        <v/>
      </c>
      <c r="B196" s="30">
        <f>IF($A196="","",IF($A196&lt;=NAcctAll,INDEX(PkAcctAll,$A196),""))</f>
        <v/>
      </c>
      <c r="C196" s="22">
        <f>IF($B196="","",IFERROR(IF(VLOOKUP($B196,AcctTbl,4,0)="","(بدون نام)",VLOOKUP($B196,AcctTbl,4,0)),"—"))</f>
        <v/>
      </c>
      <c r="D196" s="18">
        <f>IF($B196="","",IFERROR(IF(VLOOKUP($B196,AcctTbl,3,0)="",IF(VLOOKUP($B196,AcctTbl,2,0)="","—",VLOOKUP($B196,AcctTbl,2,0)),VLOOKUP($B196,AcctTbl,3,0)),"—"))</f>
        <v/>
      </c>
      <c r="E196" s="31">
        <f>IF($B196="","",COUNTIFS(CalcParty,$B196,CalcGroup,"خرید"))</f>
        <v/>
      </c>
      <c r="F196" s="19">
        <f>IF($B196="","",SUMIFS(CalcScale,CalcParty,$B196,CalcGroup,"خرید"))</f>
        <v/>
      </c>
      <c r="G196" s="19">
        <f>IF($B196="","",SUMIFS(CalcBaskets,CalcParty,$B196,CalcGroup,"خرید"))</f>
        <v/>
      </c>
      <c r="H196" s="20">
        <f>IF($B196="","",SUMIFS(CalcNet,CalcParty,$B196,CalcGroup,"خرید"))</f>
        <v/>
      </c>
      <c r="I196" s="18">
        <f>IF($B196="","",IFERROR(IF(VLOOKUP($B196,AcctTbl,5,0)="","—",VLOOKUP($B196,AcctTbl,5,0)),"—"))</f>
        <v/>
      </c>
      <c r="J196" s="18">
        <f>IF($B196="","",IFERROR(IF(VLOOKUP($B196,AcctTbl,6,0)="","—",VLOOKUP($B196,AcctTbl,6,0)),"—"))</f>
        <v/>
      </c>
      <c r="K196" s="32">
        <f>IF(OR($B196="",$H$570=0),"",$H196/$H$570)</f>
        <v/>
      </c>
    </row>
    <row r="197">
      <c r="A197" s="23">
        <f>IF(ROW()-9&gt;NAcctAll,"",ROW()-9)</f>
        <v/>
      </c>
      <c r="B197" s="33">
        <f>IF($A197="","",IF($A197&lt;=NAcctAll,INDEX(PkAcctAll,$A197),""))</f>
        <v/>
      </c>
      <c r="C197" s="28">
        <f>IF($B197="","",IFERROR(IF(VLOOKUP($B197,AcctTbl,4,0)="","(بدون نام)",VLOOKUP($B197,AcctTbl,4,0)),"—"))</f>
        <v/>
      </c>
      <c r="D197" s="24">
        <f>IF($B197="","",IFERROR(IF(VLOOKUP($B197,AcctTbl,3,0)="",IF(VLOOKUP($B197,AcctTbl,2,0)="","—",VLOOKUP($B197,AcctTbl,2,0)),VLOOKUP($B197,AcctTbl,3,0)),"—"))</f>
        <v/>
      </c>
      <c r="E197" s="34">
        <f>IF($B197="","",COUNTIFS(CalcParty,$B197,CalcGroup,"خرید"))</f>
        <v/>
      </c>
      <c r="F197" s="25">
        <f>IF($B197="","",SUMIFS(CalcScale,CalcParty,$B197,CalcGroup,"خرید"))</f>
        <v/>
      </c>
      <c r="G197" s="25">
        <f>IF($B197="","",SUMIFS(CalcBaskets,CalcParty,$B197,CalcGroup,"خرید"))</f>
        <v/>
      </c>
      <c r="H197" s="26">
        <f>IF($B197="","",SUMIFS(CalcNet,CalcParty,$B197,CalcGroup,"خرید"))</f>
        <v/>
      </c>
      <c r="I197" s="24">
        <f>IF($B197="","",IFERROR(IF(VLOOKUP($B197,AcctTbl,5,0)="","—",VLOOKUP($B197,AcctTbl,5,0)),"—"))</f>
        <v/>
      </c>
      <c r="J197" s="24">
        <f>IF($B197="","",IFERROR(IF(VLOOKUP($B197,AcctTbl,6,0)="","—",VLOOKUP($B197,AcctTbl,6,0)),"—"))</f>
        <v/>
      </c>
      <c r="K197" s="35">
        <f>IF(OR($B197="",$H$570=0),"",$H197/$H$570)</f>
        <v/>
      </c>
    </row>
    <row r="198">
      <c r="A198" s="17">
        <f>IF(ROW()-9&gt;NAcctAll,"",ROW()-9)</f>
        <v/>
      </c>
      <c r="B198" s="30">
        <f>IF($A198="","",IF($A198&lt;=NAcctAll,INDEX(PkAcctAll,$A198),""))</f>
        <v/>
      </c>
      <c r="C198" s="22">
        <f>IF($B198="","",IFERROR(IF(VLOOKUP($B198,AcctTbl,4,0)="","(بدون نام)",VLOOKUP($B198,AcctTbl,4,0)),"—"))</f>
        <v/>
      </c>
      <c r="D198" s="18">
        <f>IF($B198="","",IFERROR(IF(VLOOKUP($B198,AcctTbl,3,0)="",IF(VLOOKUP($B198,AcctTbl,2,0)="","—",VLOOKUP($B198,AcctTbl,2,0)),VLOOKUP($B198,AcctTbl,3,0)),"—"))</f>
        <v/>
      </c>
      <c r="E198" s="31">
        <f>IF($B198="","",COUNTIFS(CalcParty,$B198,CalcGroup,"خرید"))</f>
        <v/>
      </c>
      <c r="F198" s="19">
        <f>IF($B198="","",SUMIFS(CalcScale,CalcParty,$B198,CalcGroup,"خرید"))</f>
        <v/>
      </c>
      <c r="G198" s="19">
        <f>IF($B198="","",SUMIFS(CalcBaskets,CalcParty,$B198,CalcGroup,"خرید"))</f>
        <v/>
      </c>
      <c r="H198" s="20">
        <f>IF($B198="","",SUMIFS(CalcNet,CalcParty,$B198,CalcGroup,"خرید"))</f>
        <v/>
      </c>
      <c r="I198" s="18">
        <f>IF($B198="","",IFERROR(IF(VLOOKUP($B198,AcctTbl,5,0)="","—",VLOOKUP($B198,AcctTbl,5,0)),"—"))</f>
        <v/>
      </c>
      <c r="J198" s="18">
        <f>IF($B198="","",IFERROR(IF(VLOOKUP($B198,AcctTbl,6,0)="","—",VLOOKUP($B198,AcctTbl,6,0)),"—"))</f>
        <v/>
      </c>
      <c r="K198" s="32">
        <f>IF(OR($B198="",$H$570=0),"",$H198/$H$570)</f>
        <v/>
      </c>
    </row>
    <row r="199">
      <c r="A199" s="23">
        <f>IF(ROW()-9&gt;NAcctAll,"",ROW()-9)</f>
        <v/>
      </c>
      <c r="B199" s="33">
        <f>IF($A199="","",IF($A199&lt;=NAcctAll,INDEX(PkAcctAll,$A199),""))</f>
        <v/>
      </c>
      <c r="C199" s="28">
        <f>IF($B199="","",IFERROR(IF(VLOOKUP($B199,AcctTbl,4,0)="","(بدون نام)",VLOOKUP($B199,AcctTbl,4,0)),"—"))</f>
        <v/>
      </c>
      <c r="D199" s="24">
        <f>IF($B199="","",IFERROR(IF(VLOOKUP($B199,AcctTbl,3,0)="",IF(VLOOKUP($B199,AcctTbl,2,0)="","—",VLOOKUP($B199,AcctTbl,2,0)),VLOOKUP($B199,AcctTbl,3,0)),"—"))</f>
        <v/>
      </c>
      <c r="E199" s="34">
        <f>IF($B199="","",COUNTIFS(CalcParty,$B199,CalcGroup,"خرید"))</f>
        <v/>
      </c>
      <c r="F199" s="25">
        <f>IF($B199="","",SUMIFS(CalcScale,CalcParty,$B199,CalcGroup,"خرید"))</f>
        <v/>
      </c>
      <c r="G199" s="25">
        <f>IF($B199="","",SUMIFS(CalcBaskets,CalcParty,$B199,CalcGroup,"خرید"))</f>
        <v/>
      </c>
      <c r="H199" s="26">
        <f>IF($B199="","",SUMIFS(CalcNet,CalcParty,$B199,CalcGroup,"خرید"))</f>
        <v/>
      </c>
      <c r="I199" s="24">
        <f>IF($B199="","",IFERROR(IF(VLOOKUP($B199,AcctTbl,5,0)="","—",VLOOKUP($B199,AcctTbl,5,0)),"—"))</f>
        <v/>
      </c>
      <c r="J199" s="24">
        <f>IF($B199="","",IFERROR(IF(VLOOKUP($B199,AcctTbl,6,0)="","—",VLOOKUP($B199,AcctTbl,6,0)),"—"))</f>
        <v/>
      </c>
      <c r="K199" s="35">
        <f>IF(OR($B199="",$H$570=0),"",$H199/$H$570)</f>
        <v/>
      </c>
    </row>
    <row r="200">
      <c r="A200" s="17">
        <f>IF(ROW()-9&gt;NAcctAll,"",ROW()-9)</f>
        <v/>
      </c>
      <c r="B200" s="30">
        <f>IF($A200="","",IF($A200&lt;=NAcctAll,INDEX(PkAcctAll,$A200),""))</f>
        <v/>
      </c>
      <c r="C200" s="22">
        <f>IF($B200="","",IFERROR(IF(VLOOKUP($B200,AcctTbl,4,0)="","(بدون نام)",VLOOKUP($B200,AcctTbl,4,0)),"—"))</f>
        <v/>
      </c>
      <c r="D200" s="18">
        <f>IF($B200="","",IFERROR(IF(VLOOKUP($B200,AcctTbl,3,0)="",IF(VLOOKUP($B200,AcctTbl,2,0)="","—",VLOOKUP($B200,AcctTbl,2,0)),VLOOKUP($B200,AcctTbl,3,0)),"—"))</f>
        <v/>
      </c>
      <c r="E200" s="31">
        <f>IF($B200="","",COUNTIFS(CalcParty,$B200,CalcGroup,"خرید"))</f>
        <v/>
      </c>
      <c r="F200" s="19">
        <f>IF($B200="","",SUMIFS(CalcScale,CalcParty,$B200,CalcGroup,"خرید"))</f>
        <v/>
      </c>
      <c r="G200" s="19">
        <f>IF($B200="","",SUMIFS(CalcBaskets,CalcParty,$B200,CalcGroup,"خرید"))</f>
        <v/>
      </c>
      <c r="H200" s="20">
        <f>IF($B200="","",SUMIFS(CalcNet,CalcParty,$B200,CalcGroup,"خرید"))</f>
        <v/>
      </c>
      <c r="I200" s="18">
        <f>IF($B200="","",IFERROR(IF(VLOOKUP($B200,AcctTbl,5,0)="","—",VLOOKUP($B200,AcctTbl,5,0)),"—"))</f>
        <v/>
      </c>
      <c r="J200" s="18">
        <f>IF($B200="","",IFERROR(IF(VLOOKUP($B200,AcctTbl,6,0)="","—",VLOOKUP($B200,AcctTbl,6,0)),"—"))</f>
        <v/>
      </c>
      <c r="K200" s="32">
        <f>IF(OR($B200="",$H$570=0),"",$H200/$H$570)</f>
        <v/>
      </c>
    </row>
    <row r="201">
      <c r="A201" s="23">
        <f>IF(ROW()-9&gt;NAcctAll,"",ROW()-9)</f>
        <v/>
      </c>
      <c r="B201" s="33">
        <f>IF($A201="","",IF($A201&lt;=NAcctAll,INDEX(PkAcctAll,$A201),""))</f>
        <v/>
      </c>
      <c r="C201" s="28">
        <f>IF($B201="","",IFERROR(IF(VLOOKUP($B201,AcctTbl,4,0)="","(بدون نام)",VLOOKUP($B201,AcctTbl,4,0)),"—"))</f>
        <v/>
      </c>
      <c r="D201" s="24">
        <f>IF($B201="","",IFERROR(IF(VLOOKUP($B201,AcctTbl,3,0)="",IF(VLOOKUP($B201,AcctTbl,2,0)="","—",VLOOKUP($B201,AcctTbl,2,0)),VLOOKUP($B201,AcctTbl,3,0)),"—"))</f>
        <v/>
      </c>
      <c r="E201" s="34">
        <f>IF($B201="","",COUNTIFS(CalcParty,$B201,CalcGroup,"خرید"))</f>
        <v/>
      </c>
      <c r="F201" s="25">
        <f>IF($B201="","",SUMIFS(CalcScale,CalcParty,$B201,CalcGroup,"خرید"))</f>
        <v/>
      </c>
      <c r="G201" s="25">
        <f>IF($B201="","",SUMIFS(CalcBaskets,CalcParty,$B201,CalcGroup,"خرید"))</f>
        <v/>
      </c>
      <c r="H201" s="26">
        <f>IF($B201="","",SUMIFS(CalcNet,CalcParty,$B201,CalcGroup,"خرید"))</f>
        <v/>
      </c>
      <c r="I201" s="24">
        <f>IF($B201="","",IFERROR(IF(VLOOKUP($B201,AcctTbl,5,0)="","—",VLOOKUP($B201,AcctTbl,5,0)),"—"))</f>
        <v/>
      </c>
      <c r="J201" s="24">
        <f>IF($B201="","",IFERROR(IF(VLOOKUP($B201,AcctTbl,6,0)="","—",VLOOKUP($B201,AcctTbl,6,0)),"—"))</f>
        <v/>
      </c>
      <c r="K201" s="35">
        <f>IF(OR($B201="",$H$570=0),"",$H201/$H$570)</f>
        <v/>
      </c>
    </row>
    <row r="202">
      <c r="A202" s="17">
        <f>IF(ROW()-9&gt;NAcctAll,"",ROW()-9)</f>
        <v/>
      </c>
      <c r="B202" s="30">
        <f>IF($A202="","",IF($A202&lt;=NAcctAll,INDEX(PkAcctAll,$A202),""))</f>
        <v/>
      </c>
      <c r="C202" s="22">
        <f>IF($B202="","",IFERROR(IF(VLOOKUP($B202,AcctTbl,4,0)="","(بدون نام)",VLOOKUP($B202,AcctTbl,4,0)),"—"))</f>
        <v/>
      </c>
      <c r="D202" s="18">
        <f>IF($B202="","",IFERROR(IF(VLOOKUP($B202,AcctTbl,3,0)="",IF(VLOOKUP($B202,AcctTbl,2,0)="","—",VLOOKUP($B202,AcctTbl,2,0)),VLOOKUP($B202,AcctTbl,3,0)),"—"))</f>
        <v/>
      </c>
      <c r="E202" s="31">
        <f>IF($B202="","",COUNTIFS(CalcParty,$B202,CalcGroup,"خرید"))</f>
        <v/>
      </c>
      <c r="F202" s="19">
        <f>IF($B202="","",SUMIFS(CalcScale,CalcParty,$B202,CalcGroup,"خرید"))</f>
        <v/>
      </c>
      <c r="G202" s="19">
        <f>IF($B202="","",SUMIFS(CalcBaskets,CalcParty,$B202,CalcGroup,"خرید"))</f>
        <v/>
      </c>
      <c r="H202" s="20">
        <f>IF($B202="","",SUMIFS(CalcNet,CalcParty,$B202,CalcGroup,"خرید"))</f>
        <v/>
      </c>
      <c r="I202" s="18">
        <f>IF($B202="","",IFERROR(IF(VLOOKUP($B202,AcctTbl,5,0)="","—",VLOOKUP($B202,AcctTbl,5,0)),"—"))</f>
        <v/>
      </c>
      <c r="J202" s="18">
        <f>IF($B202="","",IFERROR(IF(VLOOKUP($B202,AcctTbl,6,0)="","—",VLOOKUP($B202,AcctTbl,6,0)),"—"))</f>
        <v/>
      </c>
      <c r="K202" s="32">
        <f>IF(OR($B202="",$H$570=0),"",$H202/$H$570)</f>
        <v/>
      </c>
    </row>
    <row r="203">
      <c r="A203" s="23">
        <f>IF(ROW()-9&gt;NAcctAll,"",ROW()-9)</f>
        <v/>
      </c>
      <c r="B203" s="33">
        <f>IF($A203="","",IF($A203&lt;=NAcctAll,INDEX(PkAcctAll,$A203),""))</f>
        <v/>
      </c>
      <c r="C203" s="28">
        <f>IF($B203="","",IFERROR(IF(VLOOKUP($B203,AcctTbl,4,0)="","(بدون نام)",VLOOKUP($B203,AcctTbl,4,0)),"—"))</f>
        <v/>
      </c>
      <c r="D203" s="24">
        <f>IF($B203="","",IFERROR(IF(VLOOKUP($B203,AcctTbl,3,0)="",IF(VLOOKUP($B203,AcctTbl,2,0)="","—",VLOOKUP($B203,AcctTbl,2,0)),VLOOKUP($B203,AcctTbl,3,0)),"—"))</f>
        <v/>
      </c>
      <c r="E203" s="34">
        <f>IF($B203="","",COUNTIFS(CalcParty,$B203,CalcGroup,"خرید"))</f>
        <v/>
      </c>
      <c r="F203" s="25">
        <f>IF($B203="","",SUMIFS(CalcScale,CalcParty,$B203,CalcGroup,"خرید"))</f>
        <v/>
      </c>
      <c r="G203" s="25">
        <f>IF($B203="","",SUMIFS(CalcBaskets,CalcParty,$B203,CalcGroup,"خرید"))</f>
        <v/>
      </c>
      <c r="H203" s="26">
        <f>IF($B203="","",SUMIFS(CalcNet,CalcParty,$B203,CalcGroup,"خرید"))</f>
        <v/>
      </c>
      <c r="I203" s="24">
        <f>IF($B203="","",IFERROR(IF(VLOOKUP($B203,AcctTbl,5,0)="","—",VLOOKUP($B203,AcctTbl,5,0)),"—"))</f>
        <v/>
      </c>
      <c r="J203" s="24">
        <f>IF($B203="","",IFERROR(IF(VLOOKUP($B203,AcctTbl,6,0)="","—",VLOOKUP($B203,AcctTbl,6,0)),"—"))</f>
        <v/>
      </c>
      <c r="K203" s="35">
        <f>IF(OR($B203="",$H$570=0),"",$H203/$H$570)</f>
        <v/>
      </c>
    </row>
    <row r="204">
      <c r="A204" s="17">
        <f>IF(ROW()-9&gt;NAcctAll,"",ROW()-9)</f>
        <v/>
      </c>
      <c r="B204" s="30">
        <f>IF($A204="","",IF($A204&lt;=NAcctAll,INDEX(PkAcctAll,$A204),""))</f>
        <v/>
      </c>
      <c r="C204" s="22">
        <f>IF($B204="","",IFERROR(IF(VLOOKUP($B204,AcctTbl,4,0)="","(بدون نام)",VLOOKUP($B204,AcctTbl,4,0)),"—"))</f>
        <v/>
      </c>
      <c r="D204" s="18">
        <f>IF($B204="","",IFERROR(IF(VLOOKUP($B204,AcctTbl,3,0)="",IF(VLOOKUP($B204,AcctTbl,2,0)="","—",VLOOKUP($B204,AcctTbl,2,0)),VLOOKUP($B204,AcctTbl,3,0)),"—"))</f>
        <v/>
      </c>
      <c r="E204" s="31">
        <f>IF($B204="","",COUNTIFS(CalcParty,$B204,CalcGroup,"خرید"))</f>
        <v/>
      </c>
      <c r="F204" s="19">
        <f>IF($B204="","",SUMIFS(CalcScale,CalcParty,$B204,CalcGroup,"خرید"))</f>
        <v/>
      </c>
      <c r="G204" s="19">
        <f>IF($B204="","",SUMIFS(CalcBaskets,CalcParty,$B204,CalcGroup,"خرید"))</f>
        <v/>
      </c>
      <c r="H204" s="20">
        <f>IF($B204="","",SUMIFS(CalcNet,CalcParty,$B204,CalcGroup,"خرید"))</f>
        <v/>
      </c>
      <c r="I204" s="18">
        <f>IF($B204="","",IFERROR(IF(VLOOKUP($B204,AcctTbl,5,0)="","—",VLOOKUP($B204,AcctTbl,5,0)),"—"))</f>
        <v/>
      </c>
      <c r="J204" s="18">
        <f>IF($B204="","",IFERROR(IF(VLOOKUP($B204,AcctTbl,6,0)="","—",VLOOKUP($B204,AcctTbl,6,0)),"—"))</f>
        <v/>
      </c>
      <c r="K204" s="32">
        <f>IF(OR($B204="",$H$570=0),"",$H204/$H$570)</f>
        <v/>
      </c>
    </row>
    <row r="205">
      <c r="A205" s="23">
        <f>IF(ROW()-9&gt;NAcctAll,"",ROW()-9)</f>
        <v/>
      </c>
      <c r="B205" s="33">
        <f>IF($A205="","",IF($A205&lt;=NAcctAll,INDEX(PkAcctAll,$A205),""))</f>
        <v/>
      </c>
      <c r="C205" s="28">
        <f>IF($B205="","",IFERROR(IF(VLOOKUP($B205,AcctTbl,4,0)="","(بدون نام)",VLOOKUP($B205,AcctTbl,4,0)),"—"))</f>
        <v/>
      </c>
      <c r="D205" s="24">
        <f>IF($B205="","",IFERROR(IF(VLOOKUP($B205,AcctTbl,3,0)="",IF(VLOOKUP($B205,AcctTbl,2,0)="","—",VLOOKUP($B205,AcctTbl,2,0)),VLOOKUP($B205,AcctTbl,3,0)),"—"))</f>
        <v/>
      </c>
      <c r="E205" s="34">
        <f>IF($B205="","",COUNTIFS(CalcParty,$B205,CalcGroup,"خرید"))</f>
        <v/>
      </c>
      <c r="F205" s="25">
        <f>IF($B205="","",SUMIFS(CalcScale,CalcParty,$B205,CalcGroup,"خرید"))</f>
        <v/>
      </c>
      <c r="G205" s="25">
        <f>IF($B205="","",SUMIFS(CalcBaskets,CalcParty,$B205,CalcGroup,"خرید"))</f>
        <v/>
      </c>
      <c r="H205" s="26">
        <f>IF($B205="","",SUMIFS(CalcNet,CalcParty,$B205,CalcGroup,"خرید"))</f>
        <v/>
      </c>
      <c r="I205" s="24">
        <f>IF($B205="","",IFERROR(IF(VLOOKUP($B205,AcctTbl,5,0)="","—",VLOOKUP($B205,AcctTbl,5,0)),"—"))</f>
        <v/>
      </c>
      <c r="J205" s="24">
        <f>IF($B205="","",IFERROR(IF(VLOOKUP($B205,AcctTbl,6,0)="","—",VLOOKUP($B205,AcctTbl,6,0)),"—"))</f>
        <v/>
      </c>
      <c r="K205" s="35">
        <f>IF(OR($B205="",$H$570=0),"",$H205/$H$570)</f>
        <v/>
      </c>
    </row>
    <row r="206">
      <c r="A206" s="17">
        <f>IF(ROW()-9&gt;NAcctAll,"",ROW()-9)</f>
        <v/>
      </c>
      <c r="B206" s="30">
        <f>IF($A206="","",IF($A206&lt;=NAcctAll,INDEX(PkAcctAll,$A206),""))</f>
        <v/>
      </c>
      <c r="C206" s="22">
        <f>IF($B206="","",IFERROR(IF(VLOOKUP($B206,AcctTbl,4,0)="","(بدون نام)",VLOOKUP($B206,AcctTbl,4,0)),"—"))</f>
        <v/>
      </c>
      <c r="D206" s="18">
        <f>IF($B206="","",IFERROR(IF(VLOOKUP($B206,AcctTbl,3,0)="",IF(VLOOKUP($B206,AcctTbl,2,0)="","—",VLOOKUP($B206,AcctTbl,2,0)),VLOOKUP($B206,AcctTbl,3,0)),"—"))</f>
        <v/>
      </c>
      <c r="E206" s="31">
        <f>IF($B206="","",COUNTIFS(CalcParty,$B206,CalcGroup,"خرید"))</f>
        <v/>
      </c>
      <c r="F206" s="19">
        <f>IF($B206="","",SUMIFS(CalcScale,CalcParty,$B206,CalcGroup,"خرید"))</f>
        <v/>
      </c>
      <c r="G206" s="19">
        <f>IF($B206="","",SUMIFS(CalcBaskets,CalcParty,$B206,CalcGroup,"خرید"))</f>
        <v/>
      </c>
      <c r="H206" s="20">
        <f>IF($B206="","",SUMIFS(CalcNet,CalcParty,$B206,CalcGroup,"خرید"))</f>
        <v/>
      </c>
      <c r="I206" s="18">
        <f>IF($B206="","",IFERROR(IF(VLOOKUP($B206,AcctTbl,5,0)="","—",VLOOKUP($B206,AcctTbl,5,0)),"—"))</f>
        <v/>
      </c>
      <c r="J206" s="18">
        <f>IF($B206="","",IFERROR(IF(VLOOKUP($B206,AcctTbl,6,0)="","—",VLOOKUP($B206,AcctTbl,6,0)),"—"))</f>
        <v/>
      </c>
      <c r="K206" s="32">
        <f>IF(OR($B206="",$H$570=0),"",$H206/$H$570)</f>
        <v/>
      </c>
    </row>
    <row r="207">
      <c r="A207" s="23">
        <f>IF(ROW()-9&gt;NAcctAll,"",ROW()-9)</f>
        <v/>
      </c>
      <c r="B207" s="33">
        <f>IF($A207="","",IF($A207&lt;=NAcctAll,INDEX(PkAcctAll,$A207),""))</f>
        <v/>
      </c>
      <c r="C207" s="28">
        <f>IF($B207="","",IFERROR(IF(VLOOKUP($B207,AcctTbl,4,0)="","(بدون نام)",VLOOKUP($B207,AcctTbl,4,0)),"—"))</f>
        <v/>
      </c>
      <c r="D207" s="24">
        <f>IF($B207="","",IFERROR(IF(VLOOKUP($B207,AcctTbl,3,0)="",IF(VLOOKUP($B207,AcctTbl,2,0)="","—",VLOOKUP($B207,AcctTbl,2,0)),VLOOKUP($B207,AcctTbl,3,0)),"—"))</f>
        <v/>
      </c>
      <c r="E207" s="34">
        <f>IF($B207="","",COUNTIFS(CalcParty,$B207,CalcGroup,"خرید"))</f>
        <v/>
      </c>
      <c r="F207" s="25">
        <f>IF($B207="","",SUMIFS(CalcScale,CalcParty,$B207,CalcGroup,"خرید"))</f>
        <v/>
      </c>
      <c r="G207" s="25">
        <f>IF($B207="","",SUMIFS(CalcBaskets,CalcParty,$B207,CalcGroup,"خرید"))</f>
        <v/>
      </c>
      <c r="H207" s="26">
        <f>IF($B207="","",SUMIFS(CalcNet,CalcParty,$B207,CalcGroup,"خرید"))</f>
        <v/>
      </c>
      <c r="I207" s="24">
        <f>IF($B207="","",IFERROR(IF(VLOOKUP($B207,AcctTbl,5,0)="","—",VLOOKUP($B207,AcctTbl,5,0)),"—"))</f>
        <v/>
      </c>
      <c r="J207" s="24">
        <f>IF($B207="","",IFERROR(IF(VLOOKUP($B207,AcctTbl,6,0)="","—",VLOOKUP($B207,AcctTbl,6,0)),"—"))</f>
        <v/>
      </c>
      <c r="K207" s="35">
        <f>IF(OR($B207="",$H$570=0),"",$H207/$H$570)</f>
        <v/>
      </c>
    </row>
    <row r="208">
      <c r="A208" s="17">
        <f>IF(ROW()-9&gt;NAcctAll,"",ROW()-9)</f>
        <v/>
      </c>
      <c r="B208" s="30">
        <f>IF($A208="","",IF($A208&lt;=NAcctAll,INDEX(PkAcctAll,$A208),""))</f>
        <v/>
      </c>
      <c r="C208" s="22">
        <f>IF($B208="","",IFERROR(IF(VLOOKUP($B208,AcctTbl,4,0)="","(بدون نام)",VLOOKUP($B208,AcctTbl,4,0)),"—"))</f>
        <v/>
      </c>
      <c r="D208" s="18">
        <f>IF($B208="","",IFERROR(IF(VLOOKUP($B208,AcctTbl,3,0)="",IF(VLOOKUP($B208,AcctTbl,2,0)="","—",VLOOKUP($B208,AcctTbl,2,0)),VLOOKUP($B208,AcctTbl,3,0)),"—"))</f>
        <v/>
      </c>
      <c r="E208" s="31">
        <f>IF($B208="","",COUNTIFS(CalcParty,$B208,CalcGroup,"خرید"))</f>
        <v/>
      </c>
      <c r="F208" s="19">
        <f>IF($B208="","",SUMIFS(CalcScale,CalcParty,$B208,CalcGroup,"خرید"))</f>
        <v/>
      </c>
      <c r="G208" s="19">
        <f>IF($B208="","",SUMIFS(CalcBaskets,CalcParty,$B208,CalcGroup,"خرید"))</f>
        <v/>
      </c>
      <c r="H208" s="20">
        <f>IF($B208="","",SUMIFS(CalcNet,CalcParty,$B208,CalcGroup,"خرید"))</f>
        <v/>
      </c>
      <c r="I208" s="18">
        <f>IF($B208="","",IFERROR(IF(VLOOKUP($B208,AcctTbl,5,0)="","—",VLOOKUP($B208,AcctTbl,5,0)),"—"))</f>
        <v/>
      </c>
      <c r="J208" s="18">
        <f>IF($B208="","",IFERROR(IF(VLOOKUP($B208,AcctTbl,6,0)="","—",VLOOKUP($B208,AcctTbl,6,0)),"—"))</f>
        <v/>
      </c>
      <c r="K208" s="32">
        <f>IF(OR($B208="",$H$570=0),"",$H208/$H$570)</f>
        <v/>
      </c>
    </row>
    <row r="209">
      <c r="A209" s="23">
        <f>IF(ROW()-9&gt;NAcctAll,"",ROW()-9)</f>
        <v/>
      </c>
      <c r="B209" s="33">
        <f>IF($A209="","",IF($A209&lt;=NAcctAll,INDEX(PkAcctAll,$A209),""))</f>
        <v/>
      </c>
      <c r="C209" s="28">
        <f>IF($B209="","",IFERROR(IF(VLOOKUP($B209,AcctTbl,4,0)="","(بدون نام)",VLOOKUP($B209,AcctTbl,4,0)),"—"))</f>
        <v/>
      </c>
      <c r="D209" s="24">
        <f>IF($B209="","",IFERROR(IF(VLOOKUP($B209,AcctTbl,3,0)="",IF(VLOOKUP($B209,AcctTbl,2,0)="","—",VLOOKUP($B209,AcctTbl,2,0)),VLOOKUP($B209,AcctTbl,3,0)),"—"))</f>
        <v/>
      </c>
      <c r="E209" s="34">
        <f>IF($B209="","",COUNTIFS(CalcParty,$B209,CalcGroup,"خرید"))</f>
        <v/>
      </c>
      <c r="F209" s="25">
        <f>IF($B209="","",SUMIFS(CalcScale,CalcParty,$B209,CalcGroup,"خرید"))</f>
        <v/>
      </c>
      <c r="G209" s="25">
        <f>IF($B209="","",SUMIFS(CalcBaskets,CalcParty,$B209,CalcGroup,"خرید"))</f>
        <v/>
      </c>
      <c r="H209" s="26">
        <f>IF($B209="","",SUMIFS(CalcNet,CalcParty,$B209,CalcGroup,"خرید"))</f>
        <v/>
      </c>
      <c r="I209" s="24">
        <f>IF($B209="","",IFERROR(IF(VLOOKUP($B209,AcctTbl,5,0)="","—",VLOOKUP($B209,AcctTbl,5,0)),"—"))</f>
        <v/>
      </c>
      <c r="J209" s="24">
        <f>IF($B209="","",IFERROR(IF(VLOOKUP($B209,AcctTbl,6,0)="","—",VLOOKUP($B209,AcctTbl,6,0)),"—"))</f>
        <v/>
      </c>
      <c r="K209" s="35">
        <f>IF(OR($B209="",$H$570=0),"",$H209/$H$570)</f>
        <v/>
      </c>
    </row>
    <row r="210">
      <c r="A210" s="17">
        <f>IF(ROW()-9&gt;NAcctAll,"",ROW()-9)</f>
        <v/>
      </c>
      <c r="B210" s="30">
        <f>IF($A210="","",IF($A210&lt;=NAcctAll,INDEX(PkAcctAll,$A210),""))</f>
        <v/>
      </c>
      <c r="C210" s="22">
        <f>IF($B210="","",IFERROR(IF(VLOOKUP($B210,AcctTbl,4,0)="","(بدون نام)",VLOOKUP($B210,AcctTbl,4,0)),"—"))</f>
        <v/>
      </c>
      <c r="D210" s="18">
        <f>IF($B210="","",IFERROR(IF(VLOOKUP($B210,AcctTbl,3,0)="",IF(VLOOKUP($B210,AcctTbl,2,0)="","—",VLOOKUP($B210,AcctTbl,2,0)),VLOOKUP($B210,AcctTbl,3,0)),"—"))</f>
        <v/>
      </c>
      <c r="E210" s="31">
        <f>IF($B210="","",COUNTIFS(CalcParty,$B210,CalcGroup,"خرید"))</f>
        <v/>
      </c>
      <c r="F210" s="19">
        <f>IF($B210="","",SUMIFS(CalcScale,CalcParty,$B210,CalcGroup,"خرید"))</f>
        <v/>
      </c>
      <c r="G210" s="19">
        <f>IF($B210="","",SUMIFS(CalcBaskets,CalcParty,$B210,CalcGroup,"خرید"))</f>
        <v/>
      </c>
      <c r="H210" s="20">
        <f>IF($B210="","",SUMIFS(CalcNet,CalcParty,$B210,CalcGroup,"خرید"))</f>
        <v/>
      </c>
      <c r="I210" s="18">
        <f>IF($B210="","",IFERROR(IF(VLOOKUP($B210,AcctTbl,5,0)="","—",VLOOKUP($B210,AcctTbl,5,0)),"—"))</f>
        <v/>
      </c>
      <c r="J210" s="18">
        <f>IF($B210="","",IFERROR(IF(VLOOKUP($B210,AcctTbl,6,0)="","—",VLOOKUP($B210,AcctTbl,6,0)),"—"))</f>
        <v/>
      </c>
      <c r="K210" s="32">
        <f>IF(OR($B210="",$H$570=0),"",$H210/$H$570)</f>
        <v/>
      </c>
    </row>
    <row r="211">
      <c r="A211" s="23">
        <f>IF(ROW()-9&gt;NAcctAll,"",ROW()-9)</f>
        <v/>
      </c>
      <c r="B211" s="33">
        <f>IF($A211="","",IF($A211&lt;=NAcctAll,INDEX(PkAcctAll,$A211),""))</f>
        <v/>
      </c>
      <c r="C211" s="28">
        <f>IF($B211="","",IFERROR(IF(VLOOKUP($B211,AcctTbl,4,0)="","(بدون نام)",VLOOKUP($B211,AcctTbl,4,0)),"—"))</f>
        <v/>
      </c>
      <c r="D211" s="24">
        <f>IF($B211="","",IFERROR(IF(VLOOKUP($B211,AcctTbl,3,0)="",IF(VLOOKUP($B211,AcctTbl,2,0)="","—",VLOOKUP($B211,AcctTbl,2,0)),VLOOKUP($B211,AcctTbl,3,0)),"—"))</f>
        <v/>
      </c>
      <c r="E211" s="34">
        <f>IF($B211="","",COUNTIFS(CalcParty,$B211,CalcGroup,"خرید"))</f>
        <v/>
      </c>
      <c r="F211" s="25">
        <f>IF($B211="","",SUMIFS(CalcScale,CalcParty,$B211,CalcGroup,"خرید"))</f>
        <v/>
      </c>
      <c r="G211" s="25">
        <f>IF($B211="","",SUMIFS(CalcBaskets,CalcParty,$B211,CalcGroup,"خرید"))</f>
        <v/>
      </c>
      <c r="H211" s="26">
        <f>IF($B211="","",SUMIFS(CalcNet,CalcParty,$B211,CalcGroup,"خرید"))</f>
        <v/>
      </c>
      <c r="I211" s="24">
        <f>IF($B211="","",IFERROR(IF(VLOOKUP($B211,AcctTbl,5,0)="","—",VLOOKUP($B211,AcctTbl,5,0)),"—"))</f>
        <v/>
      </c>
      <c r="J211" s="24">
        <f>IF($B211="","",IFERROR(IF(VLOOKUP($B211,AcctTbl,6,0)="","—",VLOOKUP($B211,AcctTbl,6,0)),"—"))</f>
        <v/>
      </c>
      <c r="K211" s="35">
        <f>IF(OR($B211="",$H$570=0),"",$H211/$H$570)</f>
        <v/>
      </c>
    </row>
    <row r="212">
      <c r="A212" s="17">
        <f>IF(ROW()-9&gt;NAcctAll,"",ROW()-9)</f>
        <v/>
      </c>
      <c r="B212" s="30">
        <f>IF($A212="","",IF($A212&lt;=NAcctAll,INDEX(PkAcctAll,$A212),""))</f>
        <v/>
      </c>
      <c r="C212" s="22">
        <f>IF($B212="","",IFERROR(IF(VLOOKUP($B212,AcctTbl,4,0)="","(بدون نام)",VLOOKUP($B212,AcctTbl,4,0)),"—"))</f>
        <v/>
      </c>
      <c r="D212" s="18">
        <f>IF($B212="","",IFERROR(IF(VLOOKUP($B212,AcctTbl,3,0)="",IF(VLOOKUP($B212,AcctTbl,2,0)="","—",VLOOKUP($B212,AcctTbl,2,0)),VLOOKUP($B212,AcctTbl,3,0)),"—"))</f>
        <v/>
      </c>
      <c r="E212" s="31">
        <f>IF($B212="","",COUNTIFS(CalcParty,$B212,CalcGroup,"خرید"))</f>
        <v/>
      </c>
      <c r="F212" s="19">
        <f>IF($B212="","",SUMIFS(CalcScale,CalcParty,$B212,CalcGroup,"خرید"))</f>
        <v/>
      </c>
      <c r="G212" s="19">
        <f>IF($B212="","",SUMIFS(CalcBaskets,CalcParty,$B212,CalcGroup,"خرید"))</f>
        <v/>
      </c>
      <c r="H212" s="20">
        <f>IF($B212="","",SUMIFS(CalcNet,CalcParty,$B212,CalcGroup,"خرید"))</f>
        <v/>
      </c>
      <c r="I212" s="18">
        <f>IF($B212="","",IFERROR(IF(VLOOKUP($B212,AcctTbl,5,0)="","—",VLOOKUP($B212,AcctTbl,5,0)),"—"))</f>
        <v/>
      </c>
      <c r="J212" s="18">
        <f>IF($B212="","",IFERROR(IF(VLOOKUP($B212,AcctTbl,6,0)="","—",VLOOKUP($B212,AcctTbl,6,0)),"—"))</f>
        <v/>
      </c>
      <c r="K212" s="32">
        <f>IF(OR($B212="",$H$570=0),"",$H212/$H$570)</f>
        <v/>
      </c>
    </row>
    <row r="213">
      <c r="A213" s="23">
        <f>IF(ROW()-9&gt;NAcctAll,"",ROW()-9)</f>
        <v/>
      </c>
      <c r="B213" s="33">
        <f>IF($A213="","",IF($A213&lt;=NAcctAll,INDEX(PkAcctAll,$A213),""))</f>
        <v/>
      </c>
      <c r="C213" s="28">
        <f>IF($B213="","",IFERROR(IF(VLOOKUP($B213,AcctTbl,4,0)="","(بدون نام)",VLOOKUP($B213,AcctTbl,4,0)),"—"))</f>
        <v/>
      </c>
      <c r="D213" s="24">
        <f>IF($B213="","",IFERROR(IF(VLOOKUP($B213,AcctTbl,3,0)="",IF(VLOOKUP($B213,AcctTbl,2,0)="","—",VLOOKUP($B213,AcctTbl,2,0)),VLOOKUP($B213,AcctTbl,3,0)),"—"))</f>
        <v/>
      </c>
      <c r="E213" s="34">
        <f>IF($B213="","",COUNTIFS(CalcParty,$B213,CalcGroup,"خرید"))</f>
        <v/>
      </c>
      <c r="F213" s="25">
        <f>IF($B213="","",SUMIFS(CalcScale,CalcParty,$B213,CalcGroup,"خرید"))</f>
        <v/>
      </c>
      <c r="G213" s="25">
        <f>IF($B213="","",SUMIFS(CalcBaskets,CalcParty,$B213,CalcGroup,"خرید"))</f>
        <v/>
      </c>
      <c r="H213" s="26">
        <f>IF($B213="","",SUMIFS(CalcNet,CalcParty,$B213,CalcGroup,"خرید"))</f>
        <v/>
      </c>
      <c r="I213" s="24">
        <f>IF($B213="","",IFERROR(IF(VLOOKUP($B213,AcctTbl,5,0)="","—",VLOOKUP($B213,AcctTbl,5,0)),"—"))</f>
        <v/>
      </c>
      <c r="J213" s="24">
        <f>IF($B213="","",IFERROR(IF(VLOOKUP($B213,AcctTbl,6,0)="","—",VLOOKUP($B213,AcctTbl,6,0)),"—"))</f>
        <v/>
      </c>
      <c r="K213" s="35">
        <f>IF(OR($B213="",$H$570=0),"",$H213/$H$570)</f>
        <v/>
      </c>
    </row>
    <row r="214">
      <c r="A214" s="17">
        <f>IF(ROW()-9&gt;NAcctAll,"",ROW()-9)</f>
        <v/>
      </c>
      <c r="B214" s="30">
        <f>IF($A214="","",IF($A214&lt;=NAcctAll,INDEX(PkAcctAll,$A214),""))</f>
        <v/>
      </c>
      <c r="C214" s="22">
        <f>IF($B214="","",IFERROR(IF(VLOOKUP($B214,AcctTbl,4,0)="","(بدون نام)",VLOOKUP($B214,AcctTbl,4,0)),"—"))</f>
        <v/>
      </c>
      <c r="D214" s="18">
        <f>IF($B214="","",IFERROR(IF(VLOOKUP($B214,AcctTbl,3,0)="",IF(VLOOKUP($B214,AcctTbl,2,0)="","—",VLOOKUP($B214,AcctTbl,2,0)),VLOOKUP($B214,AcctTbl,3,0)),"—"))</f>
        <v/>
      </c>
      <c r="E214" s="31">
        <f>IF($B214="","",COUNTIFS(CalcParty,$B214,CalcGroup,"خرید"))</f>
        <v/>
      </c>
      <c r="F214" s="19">
        <f>IF($B214="","",SUMIFS(CalcScale,CalcParty,$B214,CalcGroup,"خرید"))</f>
        <v/>
      </c>
      <c r="G214" s="19">
        <f>IF($B214="","",SUMIFS(CalcBaskets,CalcParty,$B214,CalcGroup,"خرید"))</f>
        <v/>
      </c>
      <c r="H214" s="20">
        <f>IF($B214="","",SUMIFS(CalcNet,CalcParty,$B214,CalcGroup,"خرید"))</f>
        <v/>
      </c>
      <c r="I214" s="18">
        <f>IF($B214="","",IFERROR(IF(VLOOKUP($B214,AcctTbl,5,0)="","—",VLOOKUP($B214,AcctTbl,5,0)),"—"))</f>
        <v/>
      </c>
      <c r="J214" s="18">
        <f>IF($B214="","",IFERROR(IF(VLOOKUP($B214,AcctTbl,6,0)="","—",VLOOKUP($B214,AcctTbl,6,0)),"—"))</f>
        <v/>
      </c>
      <c r="K214" s="32">
        <f>IF(OR($B214="",$H$570=0),"",$H214/$H$570)</f>
        <v/>
      </c>
    </row>
    <row r="215">
      <c r="A215" s="23">
        <f>IF(ROW()-9&gt;NAcctAll,"",ROW()-9)</f>
        <v/>
      </c>
      <c r="B215" s="33">
        <f>IF($A215="","",IF($A215&lt;=NAcctAll,INDEX(PkAcctAll,$A215),""))</f>
        <v/>
      </c>
      <c r="C215" s="28">
        <f>IF($B215="","",IFERROR(IF(VLOOKUP($B215,AcctTbl,4,0)="","(بدون نام)",VLOOKUP($B215,AcctTbl,4,0)),"—"))</f>
        <v/>
      </c>
      <c r="D215" s="24">
        <f>IF($B215="","",IFERROR(IF(VLOOKUP($B215,AcctTbl,3,0)="",IF(VLOOKUP($B215,AcctTbl,2,0)="","—",VLOOKUP($B215,AcctTbl,2,0)),VLOOKUP($B215,AcctTbl,3,0)),"—"))</f>
        <v/>
      </c>
      <c r="E215" s="34">
        <f>IF($B215="","",COUNTIFS(CalcParty,$B215,CalcGroup,"خرید"))</f>
        <v/>
      </c>
      <c r="F215" s="25">
        <f>IF($B215="","",SUMIFS(CalcScale,CalcParty,$B215,CalcGroup,"خرید"))</f>
        <v/>
      </c>
      <c r="G215" s="25">
        <f>IF($B215="","",SUMIFS(CalcBaskets,CalcParty,$B215,CalcGroup,"خرید"))</f>
        <v/>
      </c>
      <c r="H215" s="26">
        <f>IF($B215="","",SUMIFS(CalcNet,CalcParty,$B215,CalcGroup,"خرید"))</f>
        <v/>
      </c>
      <c r="I215" s="24">
        <f>IF($B215="","",IFERROR(IF(VLOOKUP($B215,AcctTbl,5,0)="","—",VLOOKUP($B215,AcctTbl,5,0)),"—"))</f>
        <v/>
      </c>
      <c r="J215" s="24">
        <f>IF($B215="","",IFERROR(IF(VLOOKUP($B215,AcctTbl,6,0)="","—",VLOOKUP($B215,AcctTbl,6,0)),"—"))</f>
        <v/>
      </c>
      <c r="K215" s="35">
        <f>IF(OR($B215="",$H$570=0),"",$H215/$H$570)</f>
        <v/>
      </c>
    </row>
    <row r="216">
      <c r="A216" s="17">
        <f>IF(ROW()-9&gt;NAcctAll,"",ROW()-9)</f>
        <v/>
      </c>
      <c r="B216" s="30">
        <f>IF($A216="","",IF($A216&lt;=NAcctAll,INDEX(PkAcctAll,$A216),""))</f>
        <v/>
      </c>
      <c r="C216" s="22">
        <f>IF($B216="","",IFERROR(IF(VLOOKUP($B216,AcctTbl,4,0)="","(بدون نام)",VLOOKUP($B216,AcctTbl,4,0)),"—"))</f>
        <v/>
      </c>
      <c r="D216" s="18">
        <f>IF($B216="","",IFERROR(IF(VLOOKUP($B216,AcctTbl,3,0)="",IF(VLOOKUP($B216,AcctTbl,2,0)="","—",VLOOKUP($B216,AcctTbl,2,0)),VLOOKUP($B216,AcctTbl,3,0)),"—"))</f>
        <v/>
      </c>
      <c r="E216" s="31">
        <f>IF($B216="","",COUNTIFS(CalcParty,$B216,CalcGroup,"خرید"))</f>
        <v/>
      </c>
      <c r="F216" s="19">
        <f>IF($B216="","",SUMIFS(CalcScale,CalcParty,$B216,CalcGroup,"خرید"))</f>
        <v/>
      </c>
      <c r="G216" s="19">
        <f>IF($B216="","",SUMIFS(CalcBaskets,CalcParty,$B216,CalcGroup,"خرید"))</f>
        <v/>
      </c>
      <c r="H216" s="20">
        <f>IF($B216="","",SUMIFS(CalcNet,CalcParty,$B216,CalcGroup,"خرید"))</f>
        <v/>
      </c>
      <c r="I216" s="18">
        <f>IF($B216="","",IFERROR(IF(VLOOKUP($B216,AcctTbl,5,0)="","—",VLOOKUP($B216,AcctTbl,5,0)),"—"))</f>
        <v/>
      </c>
      <c r="J216" s="18">
        <f>IF($B216="","",IFERROR(IF(VLOOKUP($B216,AcctTbl,6,0)="","—",VLOOKUP($B216,AcctTbl,6,0)),"—"))</f>
        <v/>
      </c>
      <c r="K216" s="32">
        <f>IF(OR($B216="",$H$570=0),"",$H216/$H$570)</f>
        <v/>
      </c>
    </row>
    <row r="217">
      <c r="A217" s="23">
        <f>IF(ROW()-9&gt;NAcctAll,"",ROW()-9)</f>
        <v/>
      </c>
      <c r="B217" s="33">
        <f>IF($A217="","",IF($A217&lt;=NAcctAll,INDEX(PkAcctAll,$A217),""))</f>
        <v/>
      </c>
      <c r="C217" s="28">
        <f>IF($B217="","",IFERROR(IF(VLOOKUP($B217,AcctTbl,4,0)="","(بدون نام)",VLOOKUP($B217,AcctTbl,4,0)),"—"))</f>
        <v/>
      </c>
      <c r="D217" s="24">
        <f>IF($B217="","",IFERROR(IF(VLOOKUP($B217,AcctTbl,3,0)="",IF(VLOOKUP($B217,AcctTbl,2,0)="","—",VLOOKUP($B217,AcctTbl,2,0)),VLOOKUP($B217,AcctTbl,3,0)),"—"))</f>
        <v/>
      </c>
      <c r="E217" s="34">
        <f>IF($B217="","",COUNTIFS(CalcParty,$B217,CalcGroup,"خرید"))</f>
        <v/>
      </c>
      <c r="F217" s="25">
        <f>IF($B217="","",SUMIFS(CalcScale,CalcParty,$B217,CalcGroup,"خرید"))</f>
        <v/>
      </c>
      <c r="G217" s="25">
        <f>IF($B217="","",SUMIFS(CalcBaskets,CalcParty,$B217,CalcGroup,"خرید"))</f>
        <v/>
      </c>
      <c r="H217" s="26">
        <f>IF($B217="","",SUMIFS(CalcNet,CalcParty,$B217,CalcGroup,"خرید"))</f>
        <v/>
      </c>
      <c r="I217" s="24">
        <f>IF($B217="","",IFERROR(IF(VLOOKUP($B217,AcctTbl,5,0)="","—",VLOOKUP($B217,AcctTbl,5,0)),"—"))</f>
        <v/>
      </c>
      <c r="J217" s="24">
        <f>IF($B217="","",IFERROR(IF(VLOOKUP($B217,AcctTbl,6,0)="","—",VLOOKUP($B217,AcctTbl,6,0)),"—"))</f>
        <v/>
      </c>
      <c r="K217" s="35">
        <f>IF(OR($B217="",$H$570=0),"",$H217/$H$570)</f>
        <v/>
      </c>
    </row>
    <row r="218">
      <c r="A218" s="17">
        <f>IF(ROW()-9&gt;NAcctAll,"",ROW()-9)</f>
        <v/>
      </c>
      <c r="B218" s="30">
        <f>IF($A218="","",IF($A218&lt;=NAcctAll,INDEX(PkAcctAll,$A218),""))</f>
        <v/>
      </c>
      <c r="C218" s="22">
        <f>IF($B218="","",IFERROR(IF(VLOOKUP($B218,AcctTbl,4,0)="","(بدون نام)",VLOOKUP($B218,AcctTbl,4,0)),"—"))</f>
        <v/>
      </c>
      <c r="D218" s="18">
        <f>IF($B218="","",IFERROR(IF(VLOOKUP($B218,AcctTbl,3,0)="",IF(VLOOKUP($B218,AcctTbl,2,0)="","—",VLOOKUP($B218,AcctTbl,2,0)),VLOOKUP($B218,AcctTbl,3,0)),"—"))</f>
        <v/>
      </c>
      <c r="E218" s="31">
        <f>IF($B218="","",COUNTIFS(CalcParty,$B218,CalcGroup,"خرید"))</f>
        <v/>
      </c>
      <c r="F218" s="19">
        <f>IF($B218="","",SUMIFS(CalcScale,CalcParty,$B218,CalcGroup,"خرید"))</f>
        <v/>
      </c>
      <c r="G218" s="19">
        <f>IF($B218="","",SUMIFS(CalcBaskets,CalcParty,$B218,CalcGroup,"خرید"))</f>
        <v/>
      </c>
      <c r="H218" s="20">
        <f>IF($B218="","",SUMIFS(CalcNet,CalcParty,$B218,CalcGroup,"خرید"))</f>
        <v/>
      </c>
      <c r="I218" s="18">
        <f>IF($B218="","",IFERROR(IF(VLOOKUP($B218,AcctTbl,5,0)="","—",VLOOKUP($B218,AcctTbl,5,0)),"—"))</f>
        <v/>
      </c>
      <c r="J218" s="18">
        <f>IF($B218="","",IFERROR(IF(VLOOKUP($B218,AcctTbl,6,0)="","—",VLOOKUP($B218,AcctTbl,6,0)),"—"))</f>
        <v/>
      </c>
      <c r="K218" s="32">
        <f>IF(OR($B218="",$H$570=0),"",$H218/$H$570)</f>
        <v/>
      </c>
    </row>
    <row r="219">
      <c r="A219" s="23">
        <f>IF(ROW()-9&gt;NAcctAll,"",ROW()-9)</f>
        <v/>
      </c>
      <c r="B219" s="33">
        <f>IF($A219="","",IF($A219&lt;=NAcctAll,INDEX(PkAcctAll,$A219),""))</f>
        <v/>
      </c>
      <c r="C219" s="28">
        <f>IF($B219="","",IFERROR(IF(VLOOKUP($B219,AcctTbl,4,0)="","(بدون نام)",VLOOKUP($B219,AcctTbl,4,0)),"—"))</f>
        <v/>
      </c>
      <c r="D219" s="24">
        <f>IF($B219="","",IFERROR(IF(VLOOKUP($B219,AcctTbl,3,0)="",IF(VLOOKUP($B219,AcctTbl,2,0)="","—",VLOOKUP($B219,AcctTbl,2,0)),VLOOKUP($B219,AcctTbl,3,0)),"—"))</f>
        <v/>
      </c>
      <c r="E219" s="34">
        <f>IF($B219="","",COUNTIFS(CalcParty,$B219,CalcGroup,"خرید"))</f>
        <v/>
      </c>
      <c r="F219" s="25">
        <f>IF($B219="","",SUMIFS(CalcScale,CalcParty,$B219,CalcGroup,"خرید"))</f>
        <v/>
      </c>
      <c r="G219" s="25">
        <f>IF($B219="","",SUMIFS(CalcBaskets,CalcParty,$B219,CalcGroup,"خرید"))</f>
        <v/>
      </c>
      <c r="H219" s="26">
        <f>IF($B219="","",SUMIFS(CalcNet,CalcParty,$B219,CalcGroup,"خرید"))</f>
        <v/>
      </c>
      <c r="I219" s="24">
        <f>IF($B219="","",IFERROR(IF(VLOOKUP($B219,AcctTbl,5,0)="","—",VLOOKUP($B219,AcctTbl,5,0)),"—"))</f>
        <v/>
      </c>
      <c r="J219" s="24">
        <f>IF($B219="","",IFERROR(IF(VLOOKUP($B219,AcctTbl,6,0)="","—",VLOOKUP($B219,AcctTbl,6,0)),"—"))</f>
        <v/>
      </c>
      <c r="K219" s="35">
        <f>IF(OR($B219="",$H$570=0),"",$H219/$H$570)</f>
        <v/>
      </c>
    </row>
    <row r="220">
      <c r="A220" s="17">
        <f>IF(ROW()-9&gt;NAcctAll,"",ROW()-9)</f>
        <v/>
      </c>
      <c r="B220" s="30">
        <f>IF($A220="","",IF($A220&lt;=NAcctAll,INDEX(PkAcctAll,$A220),""))</f>
        <v/>
      </c>
      <c r="C220" s="22">
        <f>IF($B220="","",IFERROR(IF(VLOOKUP($B220,AcctTbl,4,0)="","(بدون نام)",VLOOKUP($B220,AcctTbl,4,0)),"—"))</f>
        <v/>
      </c>
      <c r="D220" s="18">
        <f>IF($B220="","",IFERROR(IF(VLOOKUP($B220,AcctTbl,3,0)="",IF(VLOOKUP($B220,AcctTbl,2,0)="","—",VLOOKUP($B220,AcctTbl,2,0)),VLOOKUP($B220,AcctTbl,3,0)),"—"))</f>
        <v/>
      </c>
      <c r="E220" s="31">
        <f>IF($B220="","",COUNTIFS(CalcParty,$B220,CalcGroup,"خرید"))</f>
        <v/>
      </c>
      <c r="F220" s="19">
        <f>IF($B220="","",SUMIFS(CalcScale,CalcParty,$B220,CalcGroup,"خرید"))</f>
        <v/>
      </c>
      <c r="G220" s="19">
        <f>IF($B220="","",SUMIFS(CalcBaskets,CalcParty,$B220,CalcGroup,"خرید"))</f>
        <v/>
      </c>
      <c r="H220" s="20">
        <f>IF($B220="","",SUMIFS(CalcNet,CalcParty,$B220,CalcGroup,"خرید"))</f>
        <v/>
      </c>
      <c r="I220" s="18">
        <f>IF($B220="","",IFERROR(IF(VLOOKUP($B220,AcctTbl,5,0)="","—",VLOOKUP($B220,AcctTbl,5,0)),"—"))</f>
        <v/>
      </c>
      <c r="J220" s="18">
        <f>IF($B220="","",IFERROR(IF(VLOOKUP($B220,AcctTbl,6,0)="","—",VLOOKUP($B220,AcctTbl,6,0)),"—"))</f>
        <v/>
      </c>
      <c r="K220" s="32">
        <f>IF(OR($B220="",$H$570=0),"",$H220/$H$570)</f>
        <v/>
      </c>
    </row>
    <row r="221">
      <c r="A221" s="23">
        <f>IF(ROW()-9&gt;NAcctAll,"",ROW()-9)</f>
        <v/>
      </c>
      <c r="B221" s="33">
        <f>IF($A221="","",IF($A221&lt;=NAcctAll,INDEX(PkAcctAll,$A221),""))</f>
        <v/>
      </c>
      <c r="C221" s="28">
        <f>IF($B221="","",IFERROR(IF(VLOOKUP($B221,AcctTbl,4,0)="","(بدون نام)",VLOOKUP($B221,AcctTbl,4,0)),"—"))</f>
        <v/>
      </c>
      <c r="D221" s="24">
        <f>IF($B221="","",IFERROR(IF(VLOOKUP($B221,AcctTbl,3,0)="",IF(VLOOKUP($B221,AcctTbl,2,0)="","—",VLOOKUP($B221,AcctTbl,2,0)),VLOOKUP($B221,AcctTbl,3,0)),"—"))</f>
        <v/>
      </c>
      <c r="E221" s="34">
        <f>IF($B221="","",COUNTIFS(CalcParty,$B221,CalcGroup,"خرید"))</f>
        <v/>
      </c>
      <c r="F221" s="25">
        <f>IF($B221="","",SUMIFS(CalcScale,CalcParty,$B221,CalcGroup,"خرید"))</f>
        <v/>
      </c>
      <c r="G221" s="25">
        <f>IF($B221="","",SUMIFS(CalcBaskets,CalcParty,$B221,CalcGroup,"خرید"))</f>
        <v/>
      </c>
      <c r="H221" s="26">
        <f>IF($B221="","",SUMIFS(CalcNet,CalcParty,$B221,CalcGroup,"خرید"))</f>
        <v/>
      </c>
      <c r="I221" s="24">
        <f>IF($B221="","",IFERROR(IF(VLOOKUP($B221,AcctTbl,5,0)="","—",VLOOKUP($B221,AcctTbl,5,0)),"—"))</f>
        <v/>
      </c>
      <c r="J221" s="24">
        <f>IF($B221="","",IFERROR(IF(VLOOKUP($B221,AcctTbl,6,0)="","—",VLOOKUP($B221,AcctTbl,6,0)),"—"))</f>
        <v/>
      </c>
      <c r="K221" s="35">
        <f>IF(OR($B221="",$H$570=0),"",$H221/$H$570)</f>
        <v/>
      </c>
    </row>
    <row r="222">
      <c r="A222" s="17">
        <f>IF(ROW()-9&gt;NAcctAll,"",ROW()-9)</f>
        <v/>
      </c>
      <c r="B222" s="30">
        <f>IF($A222="","",IF($A222&lt;=NAcctAll,INDEX(PkAcctAll,$A222),""))</f>
        <v/>
      </c>
      <c r="C222" s="22">
        <f>IF($B222="","",IFERROR(IF(VLOOKUP($B222,AcctTbl,4,0)="","(بدون نام)",VLOOKUP($B222,AcctTbl,4,0)),"—"))</f>
        <v/>
      </c>
      <c r="D222" s="18">
        <f>IF($B222="","",IFERROR(IF(VLOOKUP($B222,AcctTbl,3,0)="",IF(VLOOKUP($B222,AcctTbl,2,0)="","—",VLOOKUP($B222,AcctTbl,2,0)),VLOOKUP($B222,AcctTbl,3,0)),"—"))</f>
        <v/>
      </c>
      <c r="E222" s="31">
        <f>IF($B222="","",COUNTIFS(CalcParty,$B222,CalcGroup,"خرید"))</f>
        <v/>
      </c>
      <c r="F222" s="19">
        <f>IF($B222="","",SUMIFS(CalcScale,CalcParty,$B222,CalcGroup,"خرید"))</f>
        <v/>
      </c>
      <c r="G222" s="19">
        <f>IF($B222="","",SUMIFS(CalcBaskets,CalcParty,$B222,CalcGroup,"خرید"))</f>
        <v/>
      </c>
      <c r="H222" s="20">
        <f>IF($B222="","",SUMIFS(CalcNet,CalcParty,$B222,CalcGroup,"خرید"))</f>
        <v/>
      </c>
      <c r="I222" s="18">
        <f>IF($B222="","",IFERROR(IF(VLOOKUP($B222,AcctTbl,5,0)="","—",VLOOKUP($B222,AcctTbl,5,0)),"—"))</f>
        <v/>
      </c>
      <c r="J222" s="18">
        <f>IF($B222="","",IFERROR(IF(VLOOKUP($B222,AcctTbl,6,0)="","—",VLOOKUP($B222,AcctTbl,6,0)),"—"))</f>
        <v/>
      </c>
      <c r="K222" s="32">
        <f>IF(OR($B222="",$H$570=0),"",$H222/$H$570)</f>
        <v/>
      </c>
    </row>
    <row r="223">
      <c r="A223" s="23">
        <f>IF(ROW()-9&gt;NAcctAll,"",ROW()-9)</f>
        <v/>
      </c>
      <c r="B223" s="33">
        <f>IF($A223="","",IF($A223&lt;=NAcctAll,INDEX(PkAcctAll,$A223),""))</f>
        <v/>
      </c>
      <c r="C223" s="28">
        <f>IF($B223="","",IFERROR(IF(VLOOKUP($B223,AcctTbl,4,0)="","(بدون نام)",VLOOKUP($B223,AcctTbl,4,0)),"—"))</f>
        <v/>
      </c>
      <c r="D223" s="24">
        <f>IF($B223="","",IFERROR(IF(VLOOKUP($B223,AcctTbl,3,0)="",IF(VLOOKUP($B223,AcctTbl,2,0)="","—",VLOOKUP($B223,AcctTbl,2,0)),VLOOKUP($B223,AcctTbl,3,0)),"—"))</f>
        <v/>
      </c>
      <c r="E223" s="34">
        <f>IF($B223="","",COUNTIFS(CalcParty,$B223,CalcGroup,"خرید"))</f>
        <v/>
      </c>
      <c r="F223" s="25">
        <f>IF($B223="","",SUMIFS(CalcScale,CalcParty,$B223,CalcGroup,"خرید"))</f>
        <v/>
      </c>
      <c r="G223" s="25">
        <f>IF($B223="","",SUMIFS(CalcBaskets,CalcParty,$B223,CalcGroup,"خرید"))</f>
        <v/>
      </c>
      <c r="H223" s="26">
        <f>IF($B223="","",SUMIFS(CalcNet,CalcParty,$B223,CalcGroup,"خرید"))</f>
        <v/>
      </c>
      <c r="I223" s="24">
        <f>IF($B223="","",IFERROR(IF(VLOOKUP($B223,AcctTbl,5,0)="","—",VLOOKUP($B223,AcctTbl,5,0)),"—"))</f>
        <v/>
      </c>
      <c r="J223" s="24">
        <f>IF($B223="","",IFERROR(IF(VLOOKUP($B223,AcctTbl,6,0)="","—",VLOOKUP($B223,AcctTbl,6,0)),"—"))</f>
        <v/>
      </c>
      <c r="K223" s="35">
        <f>IF(OR($B223="",$H$570=0),"",$H223/$H$570)</f>
        <v/>
      </c>
    </row>
    <row r="224">
      <c r="A224" s="17">
        <f>IF(ROW()-9&gt;NAcctAll,"",ROW()-9)</f>
        <v/>
      </c>
      <c r="B224" s="30">
        <f>IF($A224="","",IF($A224&lt;=NAcctAll,INDEX(PkAcctAll,$A224),""))</f>
        <v/>
      </c>
      <c r="C224" s="22">
        <f>IF($B224="","",IFERROR(IF(VLOOKUP($B224,AcctTbl,4,0)="","(بدون نام)",VLOOKUP($B224,AcctTbl,4,0)),"—"))</f>
        <v/>
      </c>
      <c r="D224" s="18">
        <f>IF($B224="","",IFERROR(IF(VLOOKUP($B224,AcctTbl,3,0)="",IF(VLOOKUP($B224,AcctTbl,2,0)="","—",VLOOKUP($B224,AcctTbl,2,0)),VLOOKUP($B224,AcctTbl,3,0)),"—"))</f>
        <v/>
      </c>
      <c r="E224" s="31">
        <f>IF($B224="","",COUNTIFS(CalcParty,$B224,CalcGroup,"خرید"))</f>
        <v/>
      </c>
      <c r="F224" s="19">
        <f>IF($B224="","",SUMIFS(CalcScale,CalcParty,$B224,CalcGroup,"خرید"))</f>
        <v/>
      </c>
      <c r="G224" s="19">
        <f>IF($B224="","",SUMIFS(CalcBaskets,CalcParty,$B224,CalcGroup,"خرید"))</f>
        <v/>
      </c>
      <c r="H224" s="20">
        <f>IF($B224="","",SUMIFS(CalcNet,CalcParty,$B224,CalcGroup,"خرید"))</f>
        <v/>
      </c>
      <c r="I224" s="18">
        <f>IF($B224="","",IFERROR(IF(VLOOKUP($B224,AcctTbl,5,0)="","—",VLOOKUP($B224,AcctTbl,5,0)),"—"))</f>
        <v/>
      </c>
      <c r="J224" s="18">
        <f>IF($B224="","",IFERROR(IF(VLOOKUP($B224,AcctTbl,6,0)="","—",VLOOKUP($B224,AcctTbl,6,0)),"—"))</f>
        <v/>
      </c>
      <c r="K224" s="32">
        <f>IF(OR($B224="",$H$570=0),"",$H224/$H$570)</f>
        <v/>
      </c>
    </row>
    <row r="225">
      <c r="A225" s="23">
        <f>IF(ROW()-9&gt;NAcctAll,"",ROW()-9)</f>
        <v/>
      </c>
      <c r="B225" s="33">
        <f>IF($A225="","",IF($A225&lt;=NAcctAll,INDEX(PkAcctAll,$A225),""))</f>
        <v/>
      </c>
      <c r="C225" s="28">
        <f>IF($B225="","",IFERROR(IF(VLOOKUP($B225,AcctTbl,4,0)="","(بدون نام)",VLOOKUP($B225,AcctTbl,4,0)),"—"))</f>
        <v/>
      </c>
      <c r="D225" s="24">
        <f>IF($B225="","",IFERROR(IF(VLOOKUP($B225,AcctTbl,3,0)="",IF(VLOOKUP($B225,AcctTbl,2,0)="","—",VLOOKUP($B225,AcctTbl,2,0)),VLOOKUP($B225,AcctTbl,3,0)),"—"))</f>
        <v/>
      </c>
      <c r="E225" s="34">
        <f>IF($B225="","",COUNTIFS(CalcParty,$B225,CalcGroup,"خرید"))</f>
        <v/>
      </c>
      <c r="F225" s="25">
        <f>IF($B225="","",SUMIFS(CalcScale,CalcParty,$B225,CalcGroup,"خرید"))</f>
        <v/>
      </c>
      <c r="G225" s="25">
        <f>IF($B225="","",SUMIFS(CalcBaskets,CalcParty,$B225,CalcGroup,"خرید"))</f>
        <v/>
      </c>
      <c r="H225" s="26">
        <f>IF($B225="","",SUMIFS(CalcNet,CalcParty,$B225,CalcGroup,"خرید"))</f>
        <v/>
      </c>
      <c r="I225" s="24">
        <f>IF($B225="","",IFERROR(IF(VLOOKUP($B225,AcctTbl,5,0)="","—",VLOOKUP($B225,AcctTbl,5,0)),"—"))</f>
        <v/>
      </c>
      <c r="J225" s="24">
        <f>IF($B225="","",IFERROR(IF(VLOOKUP($B225,AcctTbl,6,0)="","—",VLOOKUP($B225,AcctTbl,6,0)),"—"))</f>
        <v/>
      </c>
      <c r="K225" s="35">
        <f>IF(OR($B225="",$H$570=0),"",$H225/$H$570)</f>
        <v/>
      </c>
    </row>
    <row r="226">
      <c r="A226" s="17">
        <f>IF(ROW()-9&gt;NAcctAll,"",ROW()-9)</f>
        <v/>
      </c>
      <c r="B226" s="30">
        <f>IF($A226="","",IF($A226&lt;=NAcctAll,INDEX(PkAcctAll,$A226),""))</f>
        <v/>
      </c>
      <c r="C226" s="22">
        <f>IF($B226="","",IFERROR(IF(VLOOKUP($B226,AcctTbl,4,0)="","(بدون نام)",VLOOKUP($B226,AcctTbl,4,0)),"—"))</f>
        <v/>
      </c>
      <c r="D226" s="18">
        <f>IF($B226="","",IFERROR(IF(VLOOKUP($B226,AcctTbl,3,0)="",IF(VLOOKUP($B226,AcctTbl,2,0)="","—",VLOOKUP($B226,AcctTbl,2,0)),VLOOKUP($B226,AcctTbl,3,0)),"—"))</f>
        <v/>
      </c>
      <c r="E226" s="31">
        <f>IF($B226="","",COUNTIFS(CalcParty,$B226,CalcGroup,"خرید"))</f>
        <v/>
      </c>
      <c r="F226" s="19">
        <f>IF($B226="","",SUMIFS(CalcScale,CalcParty,$B226,CalcGroup,"خرید"))</f>
        <v/>
      </c>
      <c r="G226" s="19">
        <f>IF($B226="","",SUMIFS(CalcBaskets,CalcParty,$B226,CalcGroup,"خرید"))</f>
        <v/>
      </c>
      <c r="H226" s="20">
        <f>IF($B226="","",SUMIFS(CalcNet,CalcParty,$B226,CalcGroup,"خرید"))</f>
        <v/>
      </c>
      <c r="I226" s="18">
        <f>IF($B226="","",IFERROR(IF(VLOOKUP($B226,AcctTbl,5,0)="","—",VLOOKUP($B226,AcctTbl,5,0)),"—"))</f>
        <v/>
      </c>
      <c r="J226" s="18">
        <f>IF($B226="","",IFERROR(IF(VLOOKUP($B226,AcctTbl,6,0)="","—",VLOOKUP($B226,AcctTbl,6,0)),"—"))</f>
        <v/>
      </c>
      <c r="K226" s="32">
        <f>IF(OR($B226="",$H$570=0),"",$H226/$H$570)</f>
        <v/>
      </c>
    </row>
    <row r="227">
      <c r="A227" s="23">
        <f>IF(ROW()-9&gt;NAcctAll,"",ROW()-9)</f>
        <v/>
      </c>
      <c r="B227" s="33">
        <f>IF($A227="","",IF($A227&lt;=NAcctAll,INDEX(PkAcctAll,$A227),""))</f>
        <v/>
      </c>
      <c r="C227" s="28">
        <f>IF($B227="","",IFERROR(IF(VLOOKUP($B227,AcctTbl,4,0)="","(بدون نام)",VLOOKUP($B227,AcctTbl,4,0)),"—"))</f>
        <v/>
      </c>
      <c r="D227" s="24">
        <f>IF($B227="","",IFERROR(IF(VLOOKUP($B227,AcctTbl,3,0)="",IF(VLOOKUP($B227,AcctTbl,2,0)="","—",VLOOKUP($B227,AcctTbl,2,0)),VLOOKUP($B227,AcctTbl,3,0)),"—"))</f>
        <v/>
      </c>
      <c r="E227" s="34">
        <f>IF($B227="","",COUNTIFS(CalcParty,$B227,CalcGroup,"خرید"))</f>
        <v/>
      </c>
      <c r="F227" s="25">
        <f>IF($B227="","",SUMIFS(CalcScale,CalcParty,$B227,CalcGroup,"خرید"))</f>
        <v/>
      </c>
      <c r="G227" s="25">
        <f>IF($B227="","",SUMIFS(CalcBaskets,CalcParty,$B227,CalcGroup,"خرید"))</f>
        <v/>
      </c>
      <c r="H227" s="26">
        <f>IF($B227="","",SUMIFS(CalcNet,CalcParty,$B227,CalcGroup,"خرید"))</f>
        <v/>
      </c>
      <c r="I227" s="24">
        <f>IF($B227="","",IFERROR(IF(VLOOKUP($B227,AcctTbl,5,0)="","—",VLOOKUP($B227,AcctTbl,5,0)),"—"))</f>
        <v/>
      </c>
      <c r="J227" s="24">
        <f>IF($B227="","",IFERROR(IF(VLOOKUP($B227,AcctTbl,6,0)="","—",VLOOKUP($B227,AcctTbl,6,0)),"—"))</f>
        <v/>
      </c>
      <c r="K227" s="35">
        <f>IF(OR($B227="",$H$570=0),"",$H227/$H$570)</f>
        <v/>
      </c>
    </row>
    <row r="228">
      <c r="A228" s="17">
        <f>IF(ROW()-9&gt;NAcctAll,"",ROW()-9)</f>
        <v/>
      </c>
      <c r="B228" s="30">
        <f>IF($A228="","",IF($A228&lt;=NAcctAll,INDEX(PkAcctAll,$A228),""))</f>
        <v/>
      </c>
      <c r="C228" s="22">
        <f>IF($B228="","",IFERROR(IF(VLOOKUP($B228,AcctTbl,4,0)="","(بدون نام)",VLOOKUP($B228,AcctTbl,4,0)),"—"))</f>
        <v/>
      </c>
      <c r="D228" s="18">
        <f>IF($B228="","",IFERROR(IF(VLOOKUP($B228,AcctTbl,3,0)="",IF(VLOOKUP($B228,AcctTbl,2,0)="","—",VLOOKUP($B228,AcctTbl,2,0)),VLOOKUP($B228,AcctTbl,3,0)),"—"))</f>
        <v/>
      </c>
      <c r="E228" s="31">
        <f>IF($B228="","",COUNTIFS(CalcParty,$B228,CalcGroup,"خرید"))</f>
        <v/>
      </c>
      <c r="F228" s="19">
        <f>IF($B228="","",SUMIFS(CalcScale,CalcParty,$B228,CalcGroup,"خرید"))</f>
        <v/>
      </c>
      <c r="G228" s="19">
        <f>IF($B228="","",SUMIFS(CalcBaskets,CalcParty,$B228,CalcGroup,"خرید"))</f>
        <v/>
      </c>
      <c r="H228" s="20">
        <f>IF($B228="","",SUMIFS(CalcNet,CalcParty,$B228,CalcGroup,"خرید"))</f>
        <v/>
      </c>
      <c r="I228" s="18">
        <f>IF($B228="","",IFERROR(IF(VLOOKUP($B228,AcctTbl,5,0)="","—",VLOOKUP($B228,AcctTbl,5,0)),"—"))</f>
        <v/>
      </c>
      <c r="J228" s="18">
        <f>IF($B228="","",IFERROR(IF(VLOOKUP($B228,AcctTbl,6,0)="","—",VLOOKUP($B228,AcctTbl,6,0)),"—"))</f>
        <v/>
      </c>
      <c r="K228" s="32">
        <f>IF(OR($B228="",$H$570=0),"",$H228/$H$570)</f>
        <v/>
      </c>
    </row>
    <row r="229">
      <c r="A229" s="23">
        <f>IF(ROW()-9&gt;NAcctAll,"",ROW()-9)</f>
        <v/>
      </c>
      <c r="B229" s="33">
        <f>IF($A229="","",IF($A229&lt;=NAcctAll,INDEX(PkAcctAll,$A229),""))</f>
        <v/>
      </c>
      <c r="C229" s="28">
        <f>IF($B229="","",IFERROR(IF(VLOOKUP($B229,AcctTbl,4,0)="","(بدون نام)",VLOOKUP($B229,AcctTbl,4,0)),"—"))</f>
        <v/>
      </c>
      <c r="D229" s="24">
        <f>IF($B229="","",IFERROR(IF(VLOOKUP($B229,AcctTbl,3,0)="",IF(VLOOKUP($B229,AcctTbl,2,0)="","—",VLOOKUP($B229,AcctTbl,2,0)),VLOOKUP($B229,AcctTbl,3,0)),"—"))</f>
        <v/>
      </c>
      <c r="E229" s="34">
        <f>IF($B229="","",COUNTIFS(CalcParty,$B229,CalcGroup,"خرید"))</f>
        <v/>
      </c>
      <c r="F229" s="25">
        <f>IF($B229="","",SUMIFS(CalcScale,CalcParty,$B229,CalcGroup,"خرید"))</f>
        <v/>
      </c>
      <c r="G229" s="25">
        <f>IF($B229="","",SUMIFS(CalcBaskets,CalcParty,$B229,CalcGroup,"خرید"))</f>
        <v/>
      </c>
      <c r="H229" s="26">
        <f>IF($B229="","",SUMIFS(CalcNet,CalcParty,$B229,CalcGroup,"خرید"))</f>
        <v/>
      </c>
      <c r="I229" s="24">
        <f>IF($B229="","",IFERROR(IF(VLOOKUP($B229,AcctTbl,5,0)="","—",VLOOKUP($B229,AcctTbl,5,0)),"—"))</f>
        <v/>
      </c>
      <c r="J229" s="24">
        <f>IF($B229="","",IFERROR(IF(VLOOKUP($B229,AcctTbl,6,0)="","—",VLOOKUP($B229,AcctTbl,6,0)),"—"))</f>
        <v/>
      </c>
      <c r="K229" s="35">
        <f>IF(OR($B229="",$H$570=0),"",$H229/$H$570)</f>
        <v/>
      </c>
    </row>
    <row r="230">
      <c r="A230" s="17">
        <f>IF(ROW()-9&gt;NAcctAll,"",ROW()-9)</f>
        <v/>
      </c>
      <c r="B230" s="30">
        <f>IF($A230="","",IF($A230&lt;=NAcctAll,INDEX(PkAcctAll,$A230),""))</f>
        <v/>
      </c>
      <c r="C230" s="22">
        <f>IF($B230="","",IFERROR(IF(VLOOKUP($B230,AcctTbl,4,0)="","(بدون نام)",VLOOKUP($B230,AcctTbl,4,0)),"—"))</f>
        <v/>
      </c>
      <c r="D230" s="18">
        <f>IF($B230="","",IFERROR(IF(VLOOKUP($B230,AcctTbl,3,0)="",IF(VLOOKUP($B230,AcctTbl,2,0)="","—",VLOOKUP($B230,AcctTbl,2,0)),VLOOKUP($B230,AcctTbl,3,0)),"—"))</f>
        <v/>
      </c>
      <c r="E230" s="31">
        <f>IF($B230="","",COUNTIFS(CalcParty,$B230,CalcGroup,"خرید"))</f>
        <v/>
      </c>
      <c r="F230" s="19">
        <f>IF($B230="","",SUMIFS(CalcScale,CalcParty,$B230,CalcGroup,"خرید"))</f>
        <v/>
      </c>
      <c r="G230" s="19">
        <f>IF($B230="","",SUMIFS(CalcBaskets,CalcParty,$B230,CalcGroup,"خرید"))</f>
        <v/>
      </c>
      <c r="H230" s="20">
        <f>IF($B230="","",SUMIFS(CalcNet,CalcParty,$B230,CalcGroup,"خرید"))</f>
        <v/>
      </c>
      <c r="I230" s="18">
        <f>IF($B230="","",IFERROR(IF(VLOOKUP($B230,AcctTbl,5,0)="","—",VLOOKUP($B230,AcctTbl,5,0)),"—"))</f>
        <v/>
      </c>
      <c r="J230" s="18">
        <f>IF($B230="","",IFERROR(IF(VLOOKUP($B230,AcctTbl,6,0)="","—",VLOOKUP($B230,AcctTbl,6,0)),"—"))</f>
        <v/>
      </c>
      <c r="K230" s="32">
        <f>IF(OR($B230="",$H$570=0),"",$H230/$H$570)</f>
        <v/>
      </c>
    </row>
    <row r="231">
      <c r="A231" s="23">
        <f>IF(ROW()-9&gt;NAcctAll,"",ROW()-9)</f>
        <v/>
      </c>
      <c r="B231" s="33">
        <f>IF($A231="","",IF($A231&lt;=NAcctAll,INDEX(PkAcctAll,$A231),""))</f>
        <v/>
      </c>
      <c r="C231" s="28">
        <f>IF($B231="","",IFERROR(IF(VLOOKUP($B231,AcctTbl,4,0)="","(بدون نام)",VLOOKUP($B231,AcctTbl,4,0)),"—"))</f>
        <v/>
      </c>
      <c r="D231" s="24">
        <f>IF($B231="","",IFERROR(IF(VLOOKUP($B231,AcctTbl,3,0)="",IF(VLOOKUP($B231,AcctTbl,2,0)="","—",VLOOKUP($B231,AcctTbl,2,0)),VLOOKUP($B231,AcctTbl,3,0)),"—"))</f>
        <v/>
      </c>
      <c r="E231" s="34">
        <f>IF($B231="","",COUNTIFS(CalcParty,$B231,CalcGroup,"خرید"))</f>
        <v/>
      </c>
      <c r="F231" s="25">
        <f>IF($B231="","",SUMIFS(CalcScale,CalcParty,$B231,CalcGroup,"خرید"))</f>
        <v/>
      </c>
      <c r="G231" s="25">
        <f>IF($B231="","",SUMIFS(CalcBaskets,CalcParty,$B231,CalcGroup,"خرید"))</f>
        <v/>
      </c>
      <c r="H231" s="26">
        <f>IF($B231="","",SUMIFS(CalcNet,CalcParty,$B231,CalcGroup,"خرید"))</f>
        <v/>
      </c>
      <c r="I231" s="24">
        <f>IF($B231="","",IFERROR(IF(VLOOKUP($B231,AcctTbl,5,0)="","—",VLOOKUP($B231,AcctTbl,5,0)),"—"))</f>
        <v/>
      </c>
      <c r="J231" s="24">
        <f>IF($B231="","",IFERROR(IF(VLOOKUP($B231,AcctTbl,6,0)="","—",VLOOKUP($B231,AcctTbl,6,0)),"—"))</f>
        <v/>
      </c>
      <c r="K231" s="35">
        <f>IF(OR($B231="",$H$570=0),"",$H231/$H$570)</f>
        <v/>
      </c>
    </row>
    <row r="232">
      <c r="A232" s="17">
        <f>IF(ROW()-9&gt;NAcctAll,"",ROW()-9)</f>
        <v/>
      </c>
      <c r="B232" s="30">
        <f>IF($A232="","",IF($A232&lt;=NAcctAll,INDEX(PkAcctAll,$A232),""))</f>
        <v/>
      </c>
      <c r="C232" s="22">
        <f>IF($B232="","",IFERROR(IF(VLOOKUP($B232,AcctTbl,4,0)="","(بدون نام)",VLOOKUP($B232,AcctTbl,4,0)),"—"))</f>
        <v/>
      </c>
      <c r="D232" s="18">
        <f>IF($B232="","",IFERROR(IF(VLOOKUP($B232,AcctTbl,3,0)="",IF(VLOOKUP($B232,AcctTbl,2,0)="","—",VLOOKUP($B232,AcctTbl,2,0)),VLOOKUP($B232,AcctTbl,3,0)),"—"))</f>
        <v/>
      </c>
      <c r="E232" s="31">
        <f>IF($B232="","",COUNTIFS(CalcParty,$B232,CalcGroup,"خرید"))</f>
        <v/>
      </c>
      <c r="F232" s="19">
        <f>IF($B232="","",SUMIFS(CalcScale,CalcParty,$B232,CalcGroup,"خرید"))</f>
        <v/>
      </c>
      <c r="G232" s="19">
        <f>IF($B232="","",SUMIFS(CalcBaskets,CalcParty,$B232,CalcGroup,"خرید"))</f>
        <v/>
      </c>
      <c r="H232" s="20">
        <f>IF($B232="","",SUMIFS(CalcNet,CalcParty,$B232,CalcGroup,"خرید"))</f>
        <v/>
      </c>
      <c r="I232" s="18">
        <f>IF($B232="","",IFERROR(IF(VLOOKUP($B232,AcctTbl,5,0)="","—",VLOOKUP($B232,AcctTbl,5,0)),"—"))</f>
        <v/>
      </c>
      <c r="J232" s="18">
        <f>IF($B232="","",IFERROR(IF(VLOOKUP($B232,AcctTbl,6,0)="","—",VLOOKUP($B232,AcctTbl,6,0)),"—"))</f>
        <v/>
      </c>
      <c r="K232" s="32">
        <f>IF(OR($B232="",$H$570=0),"",$H232/$H$570)</f>
        <v/>
      </c>
    </row>
    <row r="233">
      <c r="A233" s="23">
        <f>IF(ROW()-9&gt;NAcctAll,"",ROW()-9)</f>
        <v/>
      </c>
      <c r="B233" s="33">
        <f>IF($A233="","",IF($A233&lt;=NAcctAll,INDEX(PkAcctAll,$A233),""))</f>
        <v/>
      </c>
      <c r="C233" s="28">
        <f>IF($B233="","",IFERROR(IF(VLOOKUP($B233,AcctTbl,4,0)="","(بدون نام)",VLOOKUP($B233,AcctTbl,4,0)),"—"))</f>
        <v/>
      </c>
      <c r="D233" s="24">
        <f>IF($B233="","",IFERROR(IF(VLOOKUP($B233,AcctTbl,3,0)="",IF(VLOOKUP($B233,AcctTbl,2,0)="","—",VLOOKUP($B233,AcctTbl,2,0)),VLOOKUP($B233,AcctTbl,3,0)),"—"))</f>
        <v/>
      </c>
      <c r="E233" s="34">
        <f>IF($B233="","",COUNTIFS(CalcParty,$B233,CalcGroup,"خرید"))</f>
        <v/>
      </c>
      <c r="F233" s="25">
        <f>IF($B233="","",SUMIFS(CalcScale,CalcParty,$B233,CalcGroup,"خرید"))</f>
        <v/>
      </c>
      <c r="G233" s="25">
        <f>IF($B233="","",SUMIFS(CalcBaskets,CalcParty,$B233,CalcGroup,"خرید"))</f>
        <v/>
      </c>
      <c r="H233" s="26">
        <f>IF($B233="","",SUMIFS(CalcNet,CalcParty,$B233,CalcGroup,"خرید"))</f>
        <v/>
      </c>
      <c r="I233" s="24">
        <f>IF($B233="","",IFERROR(IF(VLOOKUP($B233,AcctTbl,5,0)="","—",VLOOKUP($B233,AcctTbl,5,0)),"—"))</f>
        <v/>
      </c>
      <c r="J233" s="24">
        <f>IF($B233="","",IFERROR(IF(VLOOKUP($B233,AcctTbl,6,0)="","—",VLOOKUP($B233,AcctTbl,6,0)),"—"))</f>
        <v/>
      </c>
      <c r="K233" s="35">
        <f>IF(OR($B233="",$H$570=0),"",$H233/$H$570)</f>
        <v/>
      </c>
    </row>
    <row r="234">
      <c r="A234" s="17">
        <f>IF(ROW()-9&gt;NAcctAll,"",ROW()-9)</f>
        <v/>
      </c>
      <c r="B234" s="30">
        <f>IF($A234="","",IF($A234&lt;=NAcctAll,INDEX(PkAcctAll,$A234),""))</f>
        <v/>
      </c>
      <c r="C234" s="22">
        <f>IF($B234="","",IFERROR(IF(VLOOKUP($B234,AcctTbl,4,0)="","(بدون نام)",VLOOKUP($B234,AcctTbl,4,0)),"—"))</f>
        <v/>
      </c>
      <c r="D234" s="18">
        <f>IF($B234="","",IFERROR(IF(VLOOKUP($B234,AcctTbl,3,0)="",IF(VLOOKUP($B234,AcctTbl,2,0)="","—",VLOOKUP($B234,AcctTbl,2,0)),VLOOKUP($B234,AcctTbl,3,0)),"—"))</f>
        <v/>
      </c>
      <c r="E234" s="31">
        <f>IF($B234="","",COUNTIFS(CalcParty,$B234,CalcGroup,"خرید"))</f>
        <v/>
      </c>
      <c r="F234" s="19">
        <f>IF($B234="","",SUMIFS(CalcScale,CalcParty,$B234,CalcGroup,"خرید"))</f>
        <v/>
      </c>
      <c r="G234" s="19">
        <f>IF($B234="","",SUMIFS(CalcBaskets,CalcParty,$B234,CalcGroup,"خرید"))</f>
        <v/>
      </c>
      <c r="H234" s="20">
        <f>IF($B234="","",SUMIFS(CalcNet,CalcParty,$B234,CalcGroup,"خرید"))</f>
        <v/>
      </c>
      <c r="I234" s="18">
        <f>IF($B234="","",IFERROR(IF(VLOOKUP($B234,AcctTbl,5,0)="","—",VLOOKUP($B234,AcctTbl,5,0)),"—"))</f>
        <v/>
      </c>
      <c r="J234" s="18">
        <f>IF($B234="","",IFERROR(IF(VLOOKUP($B234,AcctTbl,6,0)="","—",VLOOKUP($B234,AcctTbl,6,0)),"—"))</f>
        <v/>
      </c>
      <c r="K234" s="32">
        <f>IF(OR($B234="",$H$570=0),"",$H234/$H$570)</f>
        <v/>
      </c>
    </row>
    <row r="235">
      <c r="A235" s="23">
        <f>IF(ROW()-9&gt;NAcctAll,"",ROW()-9)</f>
        <v/>
      </c>
      <c r="B235" s="33">
        <f>IF($A235="","",IF($A235&lt;=NAcctAll,INDEX(PkAcctAll,$A235),""))</f>
        <v/>
      </c>
      <c r="C235" s="28">
        <f>IF($B235="","",IFERROR(IF(VLOOKUP($B235,AcctTbl,4,0)="","(بدون نام)",VLOOKUP($B235,AcctTbl,4,0)),"—"))</f>
        <v/>
      </c>
      <c r="D235" s="24">
        <f>IF($B235="","",IFERROR(IF(VLOOKUP($B235,AcctTbl,3,0)="",IF(VLOOKUP($B235,AcctTbl,2,0)="","—",VLOOKUP($B235,AcctTbl,2,0)),VLOOKUP($B235,AcctTbl,3,0)),"—"))</f>
        <v/>
      </c>
      <c r="E235" s="34">
        <f>IF($B235="","",COUNTIFS(CalcParty,$B235,CalcGroup,"خرید"))</f>
        <v/>
      </c>
      <c r="F235" s="25">
        <f>IF($B235="","",SUMIFS(CalcScale,CalcParty,$B235,CalcGroup,"خرید"))</f>
        <v/>
      </c>
      <c r="G235" s="25">
        <f>IF($B235="","",SUMIFS(CalcBaskets,CalcParty,$B235,CalcGroup,"خرید"))</f>
        <v/>
      </c>
      <c r="H235" s="26">
        <f>IF($B235="","",SUMIFS(CalcNet,CalcParty,$B235,CalcGroup,"خرید"))</f>
        <v/>
      </c>
      <c r="I235" s="24">
        <f>IF($B235="","",IFERROR(IF(VLOOKUP($B235,AcctTbl,5,0)="","—",VLOOKUP($B235,AcctTbl,5,0)),"—"))</f>
        <v/>
      </c>
      <c r="J235" s="24">
        <f>IF($B235="","",IFERROR(IF(VLOOKUP($B235,AcctTbl,6,0)="","—",VLOOKUP($B235,AcctTbl,6,0)),"—"))</f>
        <v/>
      </c>
      <c r="K235" s="35">
        <f>IF(OR($B235="",$H$570=0),"",$H235/$H$570)</f>
        <v/>
      </c>
    </row>
    <row r="236">
      <c r="A236" s="17">
        <f>IF(ROW()-9&gt;NAcctAll,"",ROW()-9)</f>
        <v/>
      </c>
      <c r="B236" s="30">
        <f>IF($A236="","",IF($A236&lt;=NAcctAll,INDEX(PkAcctAll,$A236),""))</f>
        <v/>
      </c>
      <c r="C236" s="22">
        <f>IF($B236="","",IFERROR(IF(VLOOKUP($B236,AcctTbl,4,0)="","(بدون نام)",VLOOKUP($B236,AcctTbl,4,0)),"—"))</f>
        <v/>
      </c>
      <c r="D236" s="18">
        <f>IF($B236="","",IFERROR(IF(VLOOKUP($B236,AcctTbl,3,0)="",IF(VLOOKUP($B236,AcctTbl,2,0)="","—",VLOOKUP($B236,AcctTbl,2,0)),VLOOKUP($B236,AcctTbl,3,0)),"—"))</f>
        <v/>
      </c>
      <c r="E236" s="31">
        <f>IF($B236="","",COUNTIFS(CalcParty,$B236,CalcGroup,"خرید"))</f>
        <v/>
      </c>
      <c r="F236" s="19">
        <f>IF($B236="","",SUMIFS(CalcScale,CalcParty,$B236,CalcGroup,"خرید"))</f>
        <v/>
      </c>
      <c r="G236" s="19">
        <f>IF($B236="","",SUMIFS(CalcBaskets,CalcParty,$B236,CalcGroup,"خرید"))</f>
        <v/>
      </c>
      <c r="H236" s="20">
        <f>IF($B236="","",SUMIFS(CalcNet,CalcParty,$B236,CalcGroup,"خرید"))</f>
        <v/>
      </c>
      <c r="I236" s="18">
        <f>IF($B236="","",IFERROR(IF(VLOOKUP($B236,AcctTbl,5,0)="","—",VLOOKUP($B236,AcctTbl,5,0)),"—"))</f>
        <v/>
      </c>
      <c r="J236" s="18">
        <f>IF($B236="","",IFERROR(IF(VLOOKUP($B236,AcctTbl,6,0)="","—",VLOOKUP($B236,AcctTbl,6,0)),"—"))</f>
        <v/>
      </c>
      <c r="K236" s="32">
        <f>IF(OR($B236="",$H$570=0),"",$H236/$H$570)</f>
        <v/>
      </c>
    </row>
    <row r="237">
      <c r="A237" s="23">
        <f>IF(ROW()-9&gt;NAcctAll,"",ROW()-9)</f>
        <v/>
      </c>
      <c r="B237" s="33">
        <f>IF($A237="","",IF($A237&lt;=NAcctAll,INDEX(PkAcctAll,$A237),""))</f>
        <v/>
      </c>
      <c r="C237" s="28">
        <f>IF($B237="","",IFERROR(IF(VLOOKUP($B237,AcctTbl,4,0)="","(بدون نام)",VLOOKUP($B237,AcctTbl,4,0)),"—"))</f>
        <v/>
      </c>
      <c r="D237" s="24">
        <f>IF($B237="","",IFERROR(IF(VLOOKUP($B237,AcctTbl,3,0)="",IF(VLOOKUP($B237,AcctTbl,2,0)="","—",VLOOKUP($B237,AcctTbl,2,0)),VLOOKUP($B237,AcctTbl,3,0)),"—"))</f>
        <v/>
      </c>
      <c r="E237" s="34">
        <f>IF($B237="","",COUNTIFS(CalcParty,$B237,CalcGroup,"خرید"))</f>
        <v/>
      </c>
      <c r="F237" s="25">
        <f>IF($B237="","",SUMIFS(CalcScale,CalcParty,$B237,CalcGroup,"خرید"))</f>
        <v/>
      </c>
      <c r="G237" s="25">
        <f>IF($B237="","",SUMIFS(CalcBaskets,CalcParty,$B237,CalcGroup,"خرید"))</f>
        <v/>
      </c>
      <c r="H237" s="26">
        <f>IF($B237="","",SUMIFS(CalcNet,CalcParty,$B237,CalcGroup,"خرید"))</f>
        <v/>
      </c>
      <c r="I237" s="24">
        <f>IF($B237="","",IFERROR(IF(VLOOKUP($B237,AcctTbl,5,0)="","—",VLOOKUP($B237,AcctTbl,5,0)),"—"))</f>
        <v/>
      </c>
      <c r="J237" s="24">
        <f>IF($B237="","",IFERROR(IF(VLOOKUP($B237,AcctTbl,6,0)="","—",VLOOKUP($B237,AcctTbl,6,0)),"—"))</f>
        <v/>
      </c>
      <c r="K237" s="35">
        <f>IF(OR($B237="",$H$570=0),"",$H237/$H$570)</f>
        <v/>
      </c>
    </row>
    <row r="238">
      <c r="A238" s="17">
        <f>IF(ROW()-9&gt;NAcctAll,"",ROW()-9)</f>
        <v/>
      </c>
      <c r="B238" s="30">
        <f>IF($A238="","",IF($A238&lt;=NAcctAll,INDEX(PkAcctAll,$A238),""))</f>
        <v/>
      </c>
      <c r="C238" s="22">
        <f>IF($B238="","",IFERROR(IF(VLOOKUP($B238,AcctTbl,4,0)="","(بدون نام)",VLOOKUP($B238,AcctTbl,4,0)),"—"))</f>
        <v/>
      </c>
      <c r="D238" s="18">
        <f>IF($B238="","",IFERROR(IF(VLOOKUP($B238,AcctTbl,3,0)="",IF(VLOOKUP($B238,AcctTbl,2,0)="","—",VLOOKUP($B238,AcctTbl,2,0)),VLOOKUP($B238,AcctTbl,3,0)),"—"))</f>
        <v/>
      </c>
      <c r="E238" s="31">
        <f>IF($B238="","",COUNTIFS(CalcParty,$B238,CalcGroup,"خرید"))</f>
        <v/>
      </c>
      <c r="F238" s="19">
        <f>IF($B238="","",SUMIFS(CalcScale,CalcParty,$B238,CalcGroup,"خرید"))</f>
        <v/>
      </c>
      <c r="G238" s="19">
        <f>IF($B238="","",SUMIFS(CalcBaskets,CalcParty,$B238,CalcGroup,"خرید"))</f>
        <v/>
      </c>
      <c r="H238" s="20">
        <f>IF($B238="","",SUMIFS(CalcNet,CalcParty,$B238,CalcGroup,"خرید"))</f>
        <v/>
      </c>
      <c r="I238" s="18">
        <f>IF($B238="","",IFERROR(IF(VLOOKUP($B238,AcctTbl,5,0)="","—",VLOOKUP($B238,AcctTbl,5,0)),"—"))</f>
        <v/>
      </c>
      <c r="J238" s="18">
        <f>IF($B238="","",IFERROR(IF(VLOOKUP($B238,AcctTbl,6,0)="","—",VLOOKUP($B238,AcctTbl,6,0)),"—"))</f>
        <v/>
      </c>
      <c r="K238" s="32">
        <f>IF(OR($B238="",$H$570=0),"",$H238/$H$570)</f>
        <v/>
      </c>
    </row>
    <row r="239">
      <c r="A239" s="23">
        <f>IF(ROW()-9&gt;NAcctAll,"",ROW()-9)</f>
        <v/>
      </c>
      <c r="B239" s="33">
        <f>IF($A239="","",IF($A239&lt;=NAcctAll,INDEX(PkAcctAll,$A239),""))</f>
        <v/>
      </c>
      <c r="C239" s="28">
        <f>IF($B239="","",IFERROR(IF(VLOOKUP($B239,AcctTbl,4,0)="","(بدون نام)",VLOOKUP($B239,AcctTbl,4,0)),"—"))</f>
        <v/>
      </c>
      <c r="D239" s="24">
        <f>IF($B239="","",IFERROR(IF(VLOOKUP($B239,AcctTbl,3,0)="",IF(VLOOKUP($B239,AcctTbl,2,0)="","—",VLOOKUP($B239,AcctTbl,2,0)),VLOOKUP($B239,AcctTbl,3,0)),"—"))</f>
        <v/>
      </c>
      <c r="E239" s="34">
        <f>IF($B239="","",COUNTIFS(CalcParty,$B239,CalcGroup,"خرید"))</f>
        <v/>
      </c>
      <c r="F239" s="25">
        <f>IF($B239="","",SUMIFS(CalcScale,CalcParty,$B239,CalcGroup,"خرید"))</f>
        <v/>
      </c>
      <c r="G239" s="25">
        <f>IF($B239="","",SUMIFS(CalcBaskets,CalcParty,$B239,CalcGroup,"خرید"))</f>
        <v/>
      </c>
      <c r="H239" s="26">
        <f>IF($B239="","",SUMIFS(CalcNet,CalcParty,$B239,CalcGroup,"خرید"))</f>
        <v/>
      </c>
      <c r="I239" s="24">
        <f>IF($B239="","",IFERROR(IF(VLOOKUP($B239,AcctTbl,5,0)="","—",VLOOKUP($B239,AcctTbl,5,0)),"—"))</f>
        <v/>
      </c>
      <c r="J239" s="24">
        <f>IF($B239="","",IFERROR(IF(VLOOKUP($B239,AcctTbl,6,0)="","—",VLOOKUP($B239,AcctTbl,6,0)),"—"))</f>
        <v/>
      </c>
      <c r="K239" s="35">
        <f>IF(OR($B239="",$H$570=0),"",$H239/$H$570)</f>
        <v/>
      </c>
    </row>
    <row r="240">
      <c r="A240" s="17">
        <f>IF(ROW()-9&gt;NAcctAll,"",ROW()-9)</f>
        <v/>
      </c>
      <c r="B240" s="30">
        <f>IF($A240="","",IF($A240&lt;=NAcctAll,INDEX(PkAcctAll,$A240),""))</f>
        <v/>
      </c>
      <c r="C240" s="22">
        <f>IF($B240="","",IFERROR(IF(VLOOKUP($B240,AcctTbl,4,0)="","(بدون نام)",VLOOKUP($B240,AcctTbl,4,0)),"—"))</f>
        <v/>
      </c>
      <c r="D240" s="18">
        <f>IF($B240="","",IFERROR(IF(VLOOKUP($B240,AcctTbl,3,0)="",IF(VLOOKUP($B240,AcctTbl,2,0)="","—",VLOOKUP($B240,AcctTbl,2,0)),VLOOKUP($B240,AcctTbl,3,0)),"—"))</f>
        <v/>
      </c>
      <c r="E240" s="31">
        <f>IF($B240="","",COUNTIFS(CalcParty,$B240,CalcGroup,"خرید"))</f>
        <v/>
      </c>
      <c r="F240" s="19">
        <f>IF($B240="","",SUMIFS(CalcScale,CalcParty,$B240,CalcGroup,"خرید"))</f>
        <v/>
      </c>
      <c r="G240" s="19">
        <f>IF($B240="","",SUMIFS(CalcBaskets,CalcParty,$B240,CalcGroup,"خرید"))</f>
        <v/>
      </c>
      <c r="H240" s="20">
        <f>IF($B240="","",SUMIFS(CalcNet,CalcParty,$B240,CalcGroup,"خرید"))</f>
        <v/>
      </c>
      <c r="I240" s="18">
        <f>IF($B240="","",IFERROR(IF(VLOOKUP($B240,AcctTbl,5,0)="","—",VLOOKUP($B240,AcctTbl,5,0)),"—"))</f>
        <v/>
      </c>
      <c r="J240" s="18">
        <f>IF($B240="","",IFERROR(IF(VLOOKUP($B240,AcctTbl,6,0)="","—",VLOOKUP($B240,AcctTbl,6,0)),"—"))</f>
        <v/>
      </c>
      <c r="K240" s="32">
        <f>IF(OR($B240="",$H$570=0),"",$H240/$H$570)</f>
        <v/>
      </c>
    </row>
    <row r="241">
      <c r="A241" s="23">
        <f>IF(ROW()-9&gt;NAcctAll,"",ROW()-9)</f>
        <v/>
      </c>
      <c r="B241" s="33">
        <f>IF($A241="","",IF($A241&lt;=NAcctAll,INDEX(PkAcctAll,$A241),""))</f>
        <v/>
      </c>
      <c r="C241" s="28">
        <f>IF($B241="","",IFERROR(IF(VLOOKUP($B241,AcctTbl,4,0)="","(بدون نام)",VLOOKUP($B241,AcctTbl,4,0)),"—"))</f>
        <v/>
      </c>
      <c r="D241" s="24">
        <f>IF($B241="","",IFERROR(IF(VLOOKUP($B241,AcctTbl,3,0)="",IF(VLOOKUP($B241,AcctTbl,2,0)="","—",VLOOKUP($B241,AcctTbl,2,0)),VLOOKUP($B241,AcctTbl,3,0)),"—"))</f>
        <v/>
      </c>
      <c r="E241" s="34">
        <f>IF($B241="","",COUNTIFS(CalcParty,$B241,CalcGroup,"خرید"))</f>
        <v/>
      </c>
      <c r="F241" s="25">
        <f>IF($B241="","",SUMIFS(CalcScale,CalcParty,$B241,CalcGroup,"خرید"))</f>
        <v/>
      </c>
      <c r="G241" s="25">
        <f>IF($B241="","",SUMIFS(CalcBaskets,CalcParty,$B241,CalcGroup,"خرید"))</f>
        <v/>
      </c>
      <c r="H241" s="26">
        <f>IF($B241="","",SUMIFS(CalcNet,CalcParty,$B241,CalcGroup,"خرید"))</f>
        <v/>
      </c>
      <c r="I241" s="24">
        <f>IF($B241="","",IFERROR(IF(VLOOKUP($B241,AcctTbl,5,0)="","—",VLOOKUP($B241,AcctTbl,5,0)),"—"))</f>
        <v/>
      </c>
      <c r="J241" s="24">
        <f>IF($B241="","",IFERROR(IF(VLOOKUP($B241,AcctTbl,6,0)="","—",VLOOKUP($B241,AcctTbl,6,0)),"—"))</f>
        <v/>
      </c>
      <c r="K241" s="35">
        <f>IF(OR($B241="",$H$570=0),"",$H241/$H$570)</f>
        <v/>
      </c>
    </row>
    <row r="242">
      <c r="A242" s="17">
        <f>IF(ROW()-9&gt;NAcctAll,"",ROW()-9)</f>
        <v/>
      </c>
      <c r="B242" s="30">
        <f>IF($A242="","",IF($A242&lt;=NAcctAll,INDEX(PkAcctAll,$A242),""))</f>
        <v/>
      </c>
      <c r="C242" s="22">
        <f>IF($B242="","",IFERROR(IF(VLOOKUP($B242,AcctTbl,4,0)="","(بدون نام)",VLOOKUP($B242,AcctTbl,4,0)),"—"))</f>
        <v/>
      </c>
      <c r="D242" s="18">
        <f>IF($B242="","",IFERROR(IF(VLOOKUP($B242,AcctTbl,3,0)="",IF(VLOOKUP($B242,AcctTbl,2,0)="","—",VLOOKUP($B242,AcctTbl,2,0)),VLOOKUP($B242,AcctTbl,3,0)),"—"))</f>
        <v/>
      </c>
      <c r="E242" s="31">
        <f>IF($B242="","",COUNTIFS(CalcParty,$B242,CalcGroup,"خرید"))</f>
        <v/>
      </c>
      <c r="F242" s="19">
        <f>IF($B242="","",SUMIFS(CalcScale,CalcParty,$B242,CalcGroup,"خرید"))</f>
        <v/>
      </c>
      <c r="G242" s="19">
        <f>IF($B242="","",SUMIFS(CalcBaskets,CalcParty,$B242,CalcGroup,"خرید"))</f>
        <v/>
      </c>
      <c r="H242" s="20">
        <f>IF($B242="","",SUMIFS(CalcNet,CalcParty,$B242,CalcGroup,"خرید"))</f>
        <v/>
      </c>
      <c r="I242" s="18">
        <f>IF($B242="","",IFERROR(IF(VLOOKUP($B242,AcctTbl,5,0)="","—",VLOOKUP($B242,AcctTbl,5,0)),"—"))</f>
        <v/>
      </c>
      <c r="J242" s="18">
        <f>IF($B242="","",IFERROR(IF(VLOOKUP($B242,AcctTbl,6,0)="","—",VLOOKUP($B242,AcctTbl,6,0)),"—"))</f>
        <v/>
      </c>
      <c r="K242" s="32">
        <f>IF(OR($B242="",$H$570=0),"",$H242/$H$570)</f>
        <v/>
      </c>
    </row>
    <row r="243">
      <c r="A243" s="23">
        <f>IF(ROW()-9&gt;NAcctAll,"",ROW()-9)</f>
        <v/>
      </c>
      <c r="B243" s="33">
        <f>IF($A243="","",IF($A243&lt;=NAcctAll,INDEX(PkAcctAll,$A243),""))</f>
        <v/>
      </c>
      <c r="C243" s="28">
        <f>IF($B243="","",IFERROR(IF(VLOOKUP($B243,AcctTbl,4,0)="","(بدون نام)",VLOOKUP($B243,AcctTbl,4,0)),"—"))</f>
        <v/>
      </c>
      <c r="D243" s="24">
        <f>IF($B243="","",IFERROR(IF(VLOOKUP($B243,AcctTbl,3,0)="",IF(VLOOKUP($B243,AcctTbl,2,0)="","—",VLOOKUP($B243,AcctTbl,2,0)),VLOOKUP($B243,AcctTbl,3,0)),"—"))</f>
        <v/>
      </c>
      <c r="E243" s="34">
        <f>IF($B243="","",COUNTIFS(CalcParty,$B243,CalcGroup,"خرید"))</f>
        <v/>
      </c>
      <c r="F243" s="25">
        <f>IF($B243="","",SUMIFS(CalcScale,CalcParty,$B243,CalcGroup,"خرید"))</f>
        <v/>
      </c>
      <c r="G243" s="25">
        <f>IF($B243="","",SUMIFS(CalcBaskets,CalcParty,$B243,CalcGroup,"خرید"))</f>
        <v/>
      </c>
      <c r="H243" s="26">
        <f>IF($B243="","",SUMIFS(CalcNet,CalcParty,$B243,CalcGroup,"خرید"))</f>
        <v/>
      </c>
      <c r="I243" s="24">
        <f>IF($B243="","",IFERROR(IF(VLOOKUP($B243,AcctTbl,5,0)="","—",VLOOKUP($B243,AcctTbl,5,0)),"—"))</f>
        <v/>
      </c>
      <c r="J243" s="24">
        <f>IF($B243="","",IFERROR(IF(VLOOKUP($B243,AcctTbl,6,0)="","—",VLOOKUP($B243,AcctTbl,6,0)),"—"))</f>
        <v/>
      </c>
      <c r="K243" s="35">
        <f>IF(OR($B243="",$H$570=0),"",$H243/$H$570)</f>
        <v/>
      </c>
    </row>
    <row r="244">
      <c r="A244" s="17">
        <f>IF(ROW()-9&gt;NAcctAll,"",ROW()-9)</f>
        <v/>
      </c>
      <c r="B244" s="30">
        <f>IF($A244="","",IF($A244&lt;=NAcctAll,INDEX(PkAcctAll,$A244),""))</f>
        <v/>
      </c>
      <c r="C244" s="22">
        <f>IF($B244="","",IFERROR(IF(VLOOKUP($B244,AcctTbl,4,0)="","(بدون نام)",VLOOKUP($B244,AcctTbl,4,0)),"—"))</f>
        <v/>
      </c>
      <c r="D244" s="18">
        <f>IF($B244="","",IFERROR(IF(VLOOKUP($B244,AcctTbl,3,0)="",IF(VLOOKUP($B244,AcctTbl,2,0)="","—",VLOOKUP($B244,AcctTbl,2,0)),VLOOKUP($B244,AcctTbl,3,0)),"—"))</f>
        <v/>
      </c>
      <c r="E244" s="31">
        <f>IF($B244="","",COUNTIFS(CalcParty,$B244,CalcGroup,"خرید"))</f>
        <v/>
      </c>
      <c r="F244" s="19">
        <f>IF($B244="","",SUMIFS(CalcScale,CalcParty,$B244,CalcGroup,"خرید"))</f>
        <v/>
      </c>
      <c r="G244" s="19">
        <f>IF($B244="","",SUMIFS(CalcBaskets,CalcParty,$B244,CalcGroup,"خرید"))</f>
        <v/>
      </c>
      <c r="H244" s="20">
        <f>IF($B244="","",SUMIFS(CalcNet,CalcParty,$B244,CalcGroup,"خرید"))</f>
        <v/>
      </c>
      <c r="I244" s="18">
        <f>IF($B244="","",IFERROR(IF(VLOOKUP($B244,AcctTbl,5,0)="","—",VLOOKUP($B244,AcctTbl,5,0)),"—"))</f>
        <v/>
      </c>
      <c r="J244" s="18">
        <f>IF($B244="","",IFERROR(IF(VLOOKUP($B244,AcctTbl,6,0)="","—",VLOOKUP($B244,AcctTbl,6,0)),"—"))</f>
        <v/>
      </c>
      <c r="K244" s="32">
        <f>IF(OR($B244="",$H$570=0),"",$H244/$H$570)</f>
        <v/>
      </c>
    </row>
    <row r="245">
      <c r="A245" s="23">
        <f>IF(ROW()-9&gt;NAcctAll,"",ROW()-9)</f>
        <v/>
      </c>
      <c r="B245" s="33">
        <f>IF($A245="","",IF($A245&lt;=NAcctAll,INDEX(PkAcctAll,$A245),""))</f>
        <v/>
      </c>
      <c r="C245" s="28">
        <f>IF($B245="","",IFERROR(IF(VLOOKUP($B245,AcctTbl,4,0)="","(بدون نام)",VLOOKUP($B245,AcctTbl,4,0)),"—"))</f>
        <v/>
      </c>
      <c r="D245" s="24">
        <f>IF($B245="","",IFERROR(IF(VLOOKUP($B245,AcctTbl,3,0)="",IF(VLOOKUP($B245,AcctTbl,2,0)="","—",VLOOKUP($B245,AcctTbl,2,0)),VLOOKUP($B245,AcctTbl,3,0)),"—"))</f>
        <v/>
      </c>
      <c r="E245" s="34">
        <f>IF($B245="","",COUNTIFS(CalcParty,$B245,CalcGroup,"خرید"))</f>
        <v/>
      </c>
      <c r="F245" s="25">
        <f>IF($B245="","",SUMIFS(CalcScale,CalcParty,$B245,CalcGroup,"خرید"))</f>
        <v/>
      </c>
      <c r="G245" s="25">
        <f>IF($B245="","",SUMIFS(CalcBaskets,CalcParty,$B245,CalcGroup,"خرید"))</f>
        <v/>
      </c>
      <c r="H245" s="26">
        <f>IF($B245="","",SUMIFS(CalcNet,CalcParty,$B245,CalcGroup,"خرید"))</f>
        <v/>
      </c>
      <c r="I245" s="24">
        <f>IF($B245="","",IFERROR(IF(VLOOKUP($B245,AcctTbl,5,0)="","—",VLOOKUP($B245,AcctTbl,5,0)),"—"))</f>
        <v/>
      </c>
      <c r="J245" s="24">
        <f>IF($B245="","",IFERROR(IF(VLOOKUP($B245,AcctTbl,6,0)="","—",VLOOKUP($B245,AcctTbl,6,0)),"—"))</f>
        <v/>
      </c>
      <c r="K245" s="35">
        <f>IF(OR($B245="",$H$570=0),"",$H245/$H$570)</f>
        <v/>
      </c>
    </row>
    <row r="246">
      <c r="A246" s="17">
        <f>IF(ROW()-9&gt;NAcctAll,"",ROW()-9)</f>
        <v/>
      </c>
      <c r="B246" s="30">
        <f>IF($A246="","",IF($A246&lt;=NAcctAll,INDEX(PkAcctAll,$A246),""))</f>
        <v/>
      </c>
      <c r="C246" s="22">
        <f>IF($B246="","",IFERROR(IF(VLOOKUP($B246,AcctTbl,4,0)="","(بدون نام)",VLOOKUP($B246,AcctTbl,4,0)),"—"))</f>
        <v/>
      </c>
      <c r="D246" s="18">
        <f>IF($B246="","",IFERROR(IF(VLOOKUP($B246,AcctTbl,3,0)="",IF(VLOOKUP($B246,AcctTbl,2,0)="","—",VLOOKUP($B246,AcctTbl,2,0)),VLOOKUP($B246,AcctTbl,3,0)),"—"))</f>
        <v/>
      </c>
      <c r="E246" s="31">
        <f>IF($B246="","",COUNTIFS(CalcParty,$B246,CalcGroup,"خرید"))</f>
        <v/>
      </c>
      <c r="F246" s="19">
        <f>IF($B246="","",SUMIFS(CalcScale,CalcParty,$B246,CalcGroup,"خرید"))</f>
        <v/>
      </c>
      <c r="G246" s="19">
        <f>IF($B246="","",SUMIFS(CalcBaskets,CalcParty,$B246,CalcGroup,"خرید"))</f>
        <v/>
      </c>
      <c r="H246" s="20">
        <f>IF($B246="","",SUMIFS(CalcNet,CalcParty,$B246,CalcGroup,"خرید"))</f>
        <v/>
      </c>
      <c r="I246" s="18">
        <f>IF($B246="","",IFERROR(IF(VLOOKUP($B246,AcctTbl,5,0)="","—",VLOOKUP($B246,AcctTbl,5,0)),"—"))</f>
        <v/>
      </c>
      <c r="J246" s="18">
        <f>IF($B246="","",IFERROR(IF(VLOOKUP($B246,AcctTbl,6,0)="","—",VLOOKUP($B246,AcctTbl,6,0)),"—"))</f>
        <v/>
      </c>
      <c r="K246" s="32">
        <f>IF(OR($B246="",$H$570=0),"",$H246/$H$570)</f>
        <v/>
      </c>
    </row>
    <row r="247">
      <c r="A247" s="23">
        <f>IF(ROW()-9&gt;NAcctAll,"",ROW()-9)</f>
        <v/>
      </c>
      <c r="B247" s="33">
        <f>IF($A247="","",IF($A247&lt;=NAcctAll,INDEX(PkAcctAll,$A247),""))</f>
        <v/>
      </c>
      <c r="C247" s="28">
        <f>IF($B247="","",IFERROR(IF(VLOOKUP($B247,AcctTbl,4,0)="","(بدون نام)",VLOOKUP($B247,AcctTbl,4,0)),"—"))</f>
        <v/>
      </c>
      <c r="D247" s="24">
        <f>IF($B247="","",IFERROR(IF(VLOOKUP($B247,AcctTbl,3,0)="",IF(VLOOKUP($B247,AcctTbl,2,0)="","—",VLOOKUP($B247,AcctTbl,2,0)),VLOOKUP($B247,AcctTbl,3,0)),"—"))</f>
        <v/>
      </c>
      <c r="E247" s="34">
        <f>IF($B247="","",COUNTIFS(CalcParty,$B247,CalcGroup,"خرید"))</f>
        <v/>
      </c>
      <c r="F247" s="25">
        <f>IF($B247="","",SUMIFS(CalcScale,CalcParty,$B247,CalcGroup,"خرید"))</f>
        <v/>
      </c>
      <c r="G247" s="25">
        <f>IF($B247="","",SUMIFS(CalcBaskets,CalcParty,$B247,CalcGroup,"خرید"))</f>
        <v/>
      </c>
      <c r="H247" s="26">
        <f>IF($B247="","",SUMIFS(CalcNet,CalcParty,$B247,CalcGroup,"خرید"))</f>
        <v/>
      </c>
      <c r="I247" s="24">
        <f>IF($B247="","",IFERROR(IF(VLOOKUP($B247,AcctTbl,5,0)="","—",VLOOKUP($B247,AcctTbl,5,0)),"—"))</f>
        <v/>
      </c>
      <c r="J247" s="24">
        <f>IF($B247="","",IFERROR(IF(VLOOKUP($B247,AcctTbl,6,0)="","—",VLOOKUP($B247,AcctTbl,6,0)),"—"))</f>
        <v/>
      </c>
      <c r="K247" s="35">
        <f>IF(OR($B247="",$H$570=0),"",$H247/$H$570)</f>
        <v/>
      </c>
    </row>
    <row r="248">
      <c r="A248" s="17">
        <f>IF(ROW()-9&gt;NAcctAll,"",ROW()-9)</f>
        <v/>
      </c>
      <c r="B248" s="30">
        <f>IF($A248="","",IF($A248&lt;=NAcctAll,INDEX(PkAcctAll,$A248),""))</f>
        <v/>
      </c>
      <c r="C248" s="22">
        <f>IF($B248="","",IFERROR(IF(VLOOKUP($B248,AcctTbl,4,0)="","(بدون نام)",VLOOKUP($B248,AcctTbl,4,0)),"—"))</f>
        <v/>
      </c>
      <c r="D248" s="18">
        <f>IF($B248="","",IFERROR(IF(VLOOKUP($B248,AcctTbl,3,0)="",IF(VLOOKUP($B248,AcctTbl,2,0)="","—",VLOOKUP($B248,AcctTbl,2,0)),VLOOKUP($B248,AcctTbl,3,0)),"—"))</f>
        <v/>
      </c>
      <c r="E248" s="31">
        <f>IF($B248="","",COUNTIFS(CalcParty,$B248,CalcGroup,"خرید"))</f>
        <v/>
      </c>
      <c r="F248" s="19">
        <f>IF($B248="","",SUMIFS(CalcScale,CalcParty,$B248,CalcGroup,"خرید"))</f>
        <v/>
      </c>
      <c r="G248" s="19">
        <f>IF($B248="","",SUMIFS(CalcBaskets,CalcParty,$B248,CalcGroup,"خرید"))</f>
        <v/>
      </c>
      <c r="H248" s="20">
        <f>IF($B248="","",SUMIFS(CalcNet,CalcParty,$B248,CalcGroup,"خرید"))</f>
        <v/>
      </c>
      <c r="I248" s="18">
        <f>IF($B248="","",IFERROR(IF(VLOOKUP($B248,AcctTbl,5,0)="","—",VLOOKUP($B248,AcctTbl,5,0)),"—"))</f>
        <v/>
      </c>
      <c r="J248" s="18">
        <f>IF($B248="","",IFERROR(IF(VLOOKUP($B248,AcctTbl,6,0)="","—",VLOOKUP($B248,AcctTbl,6,0)),"—"))</f>
        <v/>
      </c>
      <c r="K248" s="32">
        <f>IF(OR($B248="",$H$570=0),"",$H248/$H$570)</f>
        <v/>
      </c>
    </row>
    <row r="249">
      <c r="A249" s="23">
        <f>IF(ROW()-9&gt;NAcctAll,"",ROW()-9)</f>
        <v/>
      </c>
      <c r="B249" s="33">
        <f>IF($A249="","",IF($A249&lt;=NAcctAll,INDEX(PkAcctAll,$A249),""))</f>
        <v/>
      </c>
      <c r="C249" s="28">
        <f>IF($B249="","",IFERROR(IF(VLOOKUP($B249,AcctTbl,4,0)="","(بدون نام)",VLOOKUP($B249,AcctTbl,4,0)),"—"))</f>
        <v/>
      </c>
      <c r="D249" s="24">
        <f>IF($B249="","",IFERROR(IF(VLOOKUP($B249,AcctTbl,3,0)="",IF(VLOOKUP($B249,AcctTbl,2,0)="","—",VLOOKUP($B249,AcctTbl,2,0)),VLOOKUP($B249,AcctTbl,3,0)),"—"))</f>
        <v/>
      </c>
      <c r="E249" s="34">
        <f>IF($B249="","",COUNTIFS(CalcParty,$B249,CalcGroup,"خرید"))</f>
        <v/>
      </c>
      <c r="F249" s="25">
        <f>IF($B249="","",SUMIFS(CalcScale,CalcParty,$B249,CalcGroup,"خرید"))</f>
        <v/>
      </c>
      <c r="G249" s="25">
        <f>IF($B249="","",SUMIFS(CalcBaskets,CalcParty,$B249,CalcGroup,"خرید"))</f>
        <v/>
      </c>
      <c r="H249" s="26">
        <f>IF($B249="","",SUMIFS(CalcNet,CalcParty,$B249,CalcGroup,"خرید"))</f>
        <v/>
      </c>
      <c r="I249" s="24">
        <f>IF($B249="","",IFERROR(IF(VLOOKUP($B249,AcctTbl,5,0)="","—",VLOOKUP($B249,AcctTbl,5,0)),"—"))</f>
        <v/>
      </c>
      <c r="J249" s="24">
        <f>IF($B249="","",IFERROR(IF(VLOOKUP($B249,AcctTbl,6,0)="","—",VLOOKUP($B249,AcctTbl,6,0)),"—"))</f>
        <v/>
      </c>
      <c r="K249" s="35">
        <f>IF(OR($B249="",$H$570=0),"",$H249/$H$570)</f>
        <v/>
      </c>
    </row>
    <row r="250">
      <c r="A250" s="17">
        <f>IF(ROW()-9&gt;NAcctAll,"",ROW()-9)</f>
        <v/>
      </c>
      <c r="B250" s="30">
        <f>IF($A250="","",IF($A250&lt;=NAcctAll,INDEX(PkAcctAll,$A250),""))</f>
        <v/>
      </c>
      <c r="C250" s="22">
        <f>IF($B250="","",IFERROR(IF(VLOOKUP($B250,AcctTbl,4,0)="","(بدون نام)",VLOOKUP($B250,AcctTbl,4,0)),"—"))</f>
        <v/>
      </c>
      <c r="D250" s="18">
        <f>IF($B250="","",IFERROR(IF(VLOOKUP($B250,AcctTbl,3,0)="",IF(VLOOKUP($B250,AcctTbl,2,0)="","—",VLOOKUP($B250,AcctTbl,2,0)),VLOOKUP($B250,AcctTbl,3,0)),"—"))</f>
        <v/>
      </c>
      <c r="E250" s="31">
        <f>IF($B250="","",COUNTIFS(CalcParty,$B250,CalcGroup,"خرید"))</f>
        <v/>
      </c>
      <c r="F250" s="19">
        <f>IF($B250="","",SUMIFS(CalcScale,CalcParty,$B250,CalcGroup,"خرید"))</f>
        <v/>
      </c>
      <c r="G250" s="19">
        <f>IF($B250="","",SUMIFS(CalcBaskets,CalcParty,$B250,CalcGroup,"خرید"))</f>
        <v/>
      </c>
      <c r="H250" s="20">
        <f>IF($B250="","",SUMIFS(CalcNet,CalcParty,$B250,CalcGroup,"خرید"))</f>
        <v/>
      </c>
      <c r="I250" s="18">
        <f>IF($B250="","",IFERROR(IF(VLOOKUP($B250,AcctTbl,5,0)="","—",VLOOKUP($B250,AcctTbl,5,0)),"—"))</f>
        <v/>
      </c>
      <c r="J250" s="18">
        <f>IF($B250="","",IFERROR(IF(VLOOKUP($B250,AcctTbl,6,0)="","—",VLOOKUP($B250,AcctTbl,6,0)),"—"))</f>
        <v/>
      </c>
      <c r="K250" s="32">
        <f>IF(OR($B250="",$H$570=0),"",$H250/$H$570)</f>
        <v/>
      </c>
    </row>
    <row r="251">
      <c r="A251" s="23">
        <f>IF(ROW()-9&gt;NAcctAll,"",ROW()-9)</f>
        <v/>
      </c>
      <c r="B251" s="33">
        <f>IF($A251="","",IF($A251&lt;=NAcctAll,INDEX(PkAcctAll,$A251),""))</f>
        <v/>
      </c>
      <c r="C251" s="28">
        <f>IF($B251="","",IFERROR(IF(VLOOKUP($B251,AcctTbl,4,0)="","(بدون نام)",VLOOKUP($B251,AcctTbl,4,0)),"—"))</f>
        <v/>
      </c>
      <c r="D251" s="24">
        <f>IF($B251="","",IFERROR(IF(VLOOKUP($B251,AcctTbl,3,0)="",IF(VLOOKUP($B251,AcctTbl,2,0)="","—",VLOOKUP($B251,AcctTbl,2,0)),VLOOKUP($B251,AcctTbl,3,0)),"—"))</f>
        <v/>
      </c>
      <c r="E251" s="34">
        <f>IF($B251="","",COUNTIFS(CalcParty,$B251,CalcGroup,"خرید"))</f>
        <v/>
      </c>
      <c r="F251" s="25">
        <f>IF($B251="","",SUMIFS(CalcScale,CalcParty,$B251,CalcGroup,"خرید"))</f>
        <v/>
      </c>
      <c r="G251" s="25">
        <f>IF($B251="","",SUMIFS(CalcBaskets,CalcParty,$B251,CalcGroup,"خرید"))</f>
        <v/>
      </c>
      <c r="H251" s="26">
        <f>IF($B251="","",SUMIFS(CalcNet,CalcParty,$B251,CalcGroup,"خرید"))</f>
        <v/>
      </c>
      <c r="I251" s="24">
        <f>IF($B251="","",IFERROR(IF(VLOOKUP($B251,AcctTbl,5,0)="","—",VLOOKUP($B251,AcctTbl,5,0)),"—"))</f>
        <v/>
      </c>
      <c r="J251" s="24">
        <f>IF($B251="","",IFERROR(IF(VLOOKUP($B251,AcctTbl,6,0)="","—",VLOOKUP($B251,AcctTbl,6,0)),"—"))</f>
        <v/>
      </c>
      <c r="K251" s="35">
        <f>IF(OR($B251="",$H$570=0),"",$H251/$H$570)</f>
        <v/>
      </c>
    </row>
    <row r="252">
      <c r="A252" s="17">
        <f>IF(ROW()-9&gt;NAcctAll,"",ROW()-9)</f>
        <v/>
      </c>
      <c r="B252" s="30">
        <f>IF($A252="","",IF($A252&lt;=NAcctAll,INDEX(PkAcctAll,$A252),""))</f>
        <v/>
      </c>
      <c r="C252" s="22">
        <f>IF($B252="","",IFERROR(IF(VLOOKUP($B252,AcctTbl,4,0)="","(بدون نام)",VLOOKUP($B252,AcctTbl,4,0)),"—"))</f>
        <v/>
      </c>
      <c r="D252" s="18">
        <f>IF($B252="","",IFERROR(IF(VLOOKUP($B252,AcctTbl,3,0)="",IF(VLOOKUP($B252,AcctTbl,2,0)="","—",VLOOKUP($B252,AcctTbl,2,0)),VLOOKUP($B252,AcctTbl,3,0)),"—"))</f>
        <v/>
      </c>
      <c r="E252" s="31">
        <f>IF($B252="","",COUNTIFS(CalcParty,$B252,CalcGroup,"خرید"))</f>
        <v/>
      </c>
      <c r="F252" s="19">
        <f>IF($B252="","",SUMIFS(CalcScale,CalcParty,$B252,CalcGroup,"خرید"))</f>
        <v/>
      </c>
      <c r="G252" s="19">
        <f>IF($B252="","",SUMIFS(CalcBaskets,CalcParty,$B252,CalcGroup,"خرید"))</f>
        <v/>
      </c>
      <c r="H252" s="20">
        <f>IF($B252="","",SUMIFS(CalcNet,CalcParty,$B252,CalcGroup,"خرید"))</f>
        <v/>
      </c>
      <c r="I252" s="18">
        <f>IF($B252="","",IFERROR(IF(VLOOKUP($B252,AcctTbl,5,0)="","—",VLOOKUP($B252,AcctTbl,5,0)),"—"))</f>
        <v/>
      </c>
      <c r="J252" s="18">
        <f>IF($B252="","",IFERROR(IF(VLOOKUP($B252,AcctTbl,6,0)="","—",VLOOKUP($B252,AcctTbl,6,0)),"—"))</f>
        <v/>
      </c>
      <c r="K252" s="32">
        <f>IF(OR($B252="",$H$570=0),"",$H252/$H$570)</f>
        <v/>
      </c>
    </row>
    <row r="253">
      <c r="A253" s="23">
        <f>IF(ROW()-9&gt;NAcctAll,"",ROW()-9)</f>
        <v/>
      </c>
      <c r="B253" s="33">
        <f>IF($A253="","",IF($A253&lt;=NAcctAll,INDEX(PkAcctAll,$A253),""))</f>
        <v/>
      </c>
      <c r="C253" s="28">
        <f>IF($B253="","",IFERROR(IF(VLOOKUP($B253,AcctTbl,4,0)="","(بدون نام)",VLOOKUP($B253,AcctTbl,4,0)),"—"))</f>
        <v/>
      </c>
      <c r="D253" s="24">
        <f>IF($B253="","",IFERROR(IF(VLOOKUP($B253,AcctTbl,3,0)="",IF(VLOOKUP($B253,AcctTbl,2,0)="","—",VLOOKUP($B253,AcctTbl,2,0)),VLOOKUP($B253,AcctTbl,3,0)),"—"))</f>
        <v/>
      </c>
      <c r="E253" s="34">
        <f>IF($B253="","",COUNTIFS(CalcParty,$B253,CalcGroup,"خرید"))</f>
        <v/>
      </c>
      <c r="F253" s="25">
        <f>IF($B253="","",SUMIFS(CalcScale,CalcParty,$B253,CalcGroup,"خرید"))</f>
        <v/>
      </c>
      <c r="G253" s="25">
        <f>IF($B253="","",SUMIFS(CalcBaskets,CalcParty,$B253,CalcGroup,"خرید"))</f>
        <v/>
      </c>
      <c r="H253" s="26">
        <f>IF($B253="","",SUMIFS(CalcNet,CalcParty,$B253,CalcGroup,"خرید"))</f>
        <v/>
      </c>
      <c r="I253" s="24">
        <f>IF($B253="","",IFERROR(IF(VLOOKUP($B253,AcctTbl,5,0)="","—",VLOOKUP($B253,AcctTbl,5,0)),"—"))</f>
        <v/>
      </c>
      <c r="J253" s="24">
        <f>IF($B253="","",IFERROR(IF(VLOOKUP($B253,AcctTbl,6,0)="","—",VLOOKUP($B253,AcctTbl,6,0)),"—"))</f>
        <v/>
      </c>
      <c r="K253" s="35">
        <f>IF(OR($B253="",$H$570=0),"",$H253/$H$570)</f>
        <v/>
      </c>
    </row>
    <row r="254">
      <c r="A254" s="17">
        <f>IF(ROW()-9&gt;NAcctAll,"",ROW()-9)</f>
        <v/>
      </c>
      <c r="B254" s="30">
        <f>IF($A254="","",IF($A254&lt;=NAcctAll,INDEX(PkAcctAll,$A254),""))</f>
        <v/>
      </c>
      <c r="C254" s="22">
        <f>IF($B254="","",IFERROR(IF(VLOOKUP($B254,AcctTbl,4,0)="","(بدون نام)",VLOOKUP($B254,AcctTbl,4,0)),"—"))</f>
        <v/>
      </c>
      <c r="D254" s="18">
        <f>IF($B254="","",IFERROR(IF(VLOOKUP($B254,AcctTbl,3,0)="",IF(VLOOKUP($B254,AcctTbl,2,0)="","—",VLOOKUP($B254,AcctTbl,2,0)),VLOOKUP($B254,AcctTbl,3,0)),"—"))</f>
        <v/>
      </c>
      <c r="E254" s="31">
        <f>IF($B254="","",COUNTIFS(CalcParty,$B254,CalcGroup,"خرید"))</f>
        <v/>
      </c>
      <c r="F254" s="19">
        <f>IF($B254="","",SUMIFS(CalcScale,CalcParty,$B254,CalcGroup,"خرید"))</f>
        <v/>
      </c>
      <c r="G254" s="19">
        <f>IF($B254="","",SUMIFS(CalcBaskets,CalcParty,$B254,CalcGroup,"خرید"))</f>
        <v/>
      </c>
      <c r="H254" s="20">
        <f>IF($B254="","",SUMIFS(CalcNet,CalcParty,$B254,CalcGroup,"خرید"))</f>
        <v/>
      </c>
      <c r="I254" s="18">
        <f>IF($B254="","",IFERROR(IF(VLOOKUP($B254,AcctTbl,5,0)="","—",VLOOKUP($B254,AcctTbl,5,0)),"—"))</f>
        <v/>
      </c>
      <c r="J254" s="18">
        <f>IF($B254="","",IFERROR(IF(VLOOKUP($B254,AcctTbl,6,0)="","—",VLOOKUP($B254,AcctTbl,6,0)),"—"))</f>
        <v/>
      </c>
      <c r="K254" s="32">
        <f>IF(OR($B254="",$H$570=0),"",$H254/$H$570)</f>
        <v/>
      </c>
    </row>
    <row r="255">
      <c r="A255" s="23">
        <f>IF(ROW()-9&gt;NAcctAll,"",ROW()-9)</f>
        <v/>
      </c>
      <c r="B255" s="33">
        <f>IF($A255="","",IF($A255&lt;=NAcctAll,INDEX(PkAcctAll,$A255),""))</f>
        <v/>
      </c>
      <c r="C255" s="28">
        <f>IF($B255="","",IFERROR(IF(VLOOKUP($B255,AcctTbl,4,0)="","(بدون نام)",VLOOKUP($B255,AcctTbl,4,0)),"—"))</f>
        <v/>
      </c>
      <c r="D255" s="24">
        <f>IF($B255="","",IFERROR(IF(VLOOKUP($B255,AcctTbl,3,0)="",IF(VLOOKUP($B255,AcctTbl,2,0)="","—",VLOOKUP($B255,AcctTbl,2,0)),VLOOKUP($B255,AcctTbl,3,0)),"—"))</f>
        <v/>
      </c>
      <c r="E255" s="34">
        <f>IF($B255="","",COUNTIFS(CalcParty,$B255,CalcGroup,"خرید"))</f>
        <v/>
      </c>
      <c r="F255" s="25">
        <f>IF($B255="","",SUMIFS(CalcScale,CalcParty,$B255,CalcGroup,"خرید"))</f>
        <v/>
      </c>
      <c r="G255" s="25">
        <f>IF($B255="","",SUMIFS(CalcBaskets,CalcParty,$B255,CalcGroup,"خرید"))</f>
        <v/>
      </c>
      <c r="H255" s="26">
        <f>IF($B255="","",SUMIFS(CalcNet,CalcParty,$B255,CalcGroup,"خرید"))</f>
        <v/>
      </c>
      <c r="I255" s="24">
        <f>IF($B255="","",IFERROR(IF(VLOOKUP($B255,AcctTbl,5,0)="","—",VLOOKUP($B255,AcctTbl,5,0)),"—"))</f>
        <v/>
      </c>
      <c r="J255" s="24">
        <f>IF($B255="","",IFERROR(IF(VLOOKUP($B255,AcctTbl,6,0)="","—",VLOOKUP($B255,AcctTbl,6,0)),"—"))</f>
        <v/>
      </c>
      <c r="K255" s="35">
        <f>IF(OR($B255="",$H$570=0),"",$H255/$H$570)</f>
        <v/>
      </c>
    </row>
    <row r="256">
      <c r="A256" s="17">
        <f>IF(ROW()-9&gt;NAcctAll,"",ROW()-9)</f>
        <v/>
      </c>
      <c r="B256" s="30">
        <f>IF($A256="","",IF($A256&lt;=NAcctAll,INDEX(PkAcctAll,$A256),""))</f>
        <v/>
      </c>
      <c r="C256" s="22">
        <f>IF($B256="","",IFERROR(IF(VLOOKUP($B256,AcctTbl,4,0)="","(بدون نام)",VLOOKUP($B256,AcctTbl,4,0)),"—"))</f>
        <v/>
      </c>
      <c r="D256" s="18">
        <f>IF($B256="","",IFERROR(IF(VLOOKUP($B256,AcctTbl,3,0)="",IF(VLOOKUP($B256,AcctTbl,2,0)="","—",VLOOKUP($B256,AcctTbl,2,0)),VLOOKUP($B256,AcctTbl,3,0)),"—"))</f>
        <v/>
      </c>
      <c r="E256" s="31">
        <f>IF($B256="","",COUNTIFS(CalcParty,$B256,CalcGroup,"خرید"))</f>
        <v/>
      </c>
      <c r="F256" s="19">
        <f>IF($B256="","",SUMIFS(CalcScale,CalcParty,$B256,CalcGroup,"خرید"))</f>
        <v/>
      </c>
      <c r="G256" s="19">
        <f>IF($B256="","",SUMIFS(CalcBaskets,CalcParty,$B256,CalcGroup,"خرید"))</f>
        <v/>
      </c>
      <c r="H256" s="20">
        <f>IF($B256="","",SUMIFS(CalcNet,CalcParty,$B256,CalcGroup,"خرید"))</f>
        <v/>
      </c>
      <c r="I256" s="18">
        <f>IF($B256="","",IFERROR(IF(VLOOKUP($B256,AcctTbl,5,0)="","—",VLOOKUP($B256,AcctTbl,5,0)),"—"))</f>
        <v/>
      </c>
      <c r="J256" s="18">
        <f>IF($B256="","",IFERROR(IF(VLOOKUP($B256,AcctTbl,6,0)="","—",VLOOKUP($B256,AcctTbl,6,0)),"—"))</f>
        <v/>
      </c>
      <c r="K256" s="32">
        <f>IF(OR($B256="",$H$570=0),"",$H256/$H$570)</f>
        <v/>
      </c>
    </row>
    <row r="257">
      <c r="A257" s="23">
        <f>IF(ROW()-9&gt;NAcctAll,"",ROW()-9)</f>
        <v/>
      </c>
      <c r="B257" s="33">
        <f>IF($A257="","",IF($A257&lt;=NAcctAll,INDEX(PkAcctAll,$A257),""))</f>
        <v/>
      </c>
      <c r="C257" s="28">
        <f>IF($B257="","",IFERROR(IF(VLOOKUP($B257,AcctTbl,4,0)="","(بدون نام)",VLOOKUP($B257,AcctTbl,4,0)),"—"))</f>
        <v/>
      </c>
      <c r="D257" s="24">
        <f>IF($B257="","",IFERROR(IF(VLOOKUP($B257,AcctTbl,3,0)="",IF(VLOOKUP($B257,AcctTbl,2,0)="","—",VLOOKUP($B257,AcctTbl,2,0)),VLOOKUP($B257,AcctTbl,3,0)),"—"))</f>
        <v/>
      </c>
      <c r="E257" s="34">
        <f>IF($B257="","",COUNTIFS(CalcParty,$B257,CalcGroup,"خرید"))</f>
        <v/>
      </c>
      <c r="F257" s="25">
        <f>IF($B257="","",SUMIFS(CalcScale,CalcParty,$B257,CalcGroup,"خرید"))</f>
        <v/>
      </c>
      <c r="G257" s="25">
        <f>IF($B257="","",SUMIFS(CalcBaskets,CalcParty,$B257,CalcGroup,"خرید"))</f>
        <v/>
      </c>
      <c r="H257" s="26">
        <f>IF($B257="","",SUMIFS(CalcNet,CalcParty,$B257,CalcGroup,"خرید"))</f>
        <v/>
      </c>
      <c r="I257" s="24">
        <f>IF($B257="","",IFERROR(IF(VLOOKUP($B257,AcctTbl,5,0)="","—",VLOOKUP($B257,AcctTbl,5,0)),"—"))</f>
        <v/>
      </c>
      <c r="J257" s="24">
        <f>IF($B257="","",IFERROR(IF(VLOOKUP($B257,AcctTbl,6,0)="","—",VLOOKUP($B257,AcctTbl,6,0)),"—"))</f>
        <v/>
      </c>
      <c r="K257" s="35">
        <f>IF(OR($B257="",$H$570=0),"",$H257/$H$570)</f>
        <v/>
      </c>
    </row>
    <row r="258">
      <c r="A258" s="17">
        <f>IF(ROW()-9&gt;NAcctAll,"",ROW()-9)</f>
        <v/>
      </c>
      <c r="B258" s="30">
        <f>IF($A258="","",IF($A258&lt;=NAcctAll,INDEX(PkAcctAll,$A258),""))</f>
        <v/>
      </c>
      <c r="C258" s="22">
        <f>IF($B258="","",IFERROR(IF(VLOOKUP($B258,AcctTbl,4,0)="","(بدون نام)",VLOOKUP($B258,AcctTbl,4,0)),"—"))</f>
        <v/>
      </c>
      <c r="D258" s="18">
        <f>IF($B258="","",IFERROR(IF(VLOOKUP($B258,AcctTbl,3,0)="",IF(VLOOKUP($B258,AcctTbl,2,0)="","—",VLOOKUP($B258,AcctTbl,2,0)),VLOOKUP($B258,AcctTbl,3,0)),"—"))</f>
        <v/>
      </c>
      <c r="E258" s="31">
        <f>IF($B258="","",COUNTIFS(CalcParty,$B258,CalcGroup,"خرید"))</f>
        <v/>
      </c>
      <c r="F258" s="19">
        <f>IF($B258="","",SUMIFS(CalcScale,CalcParty,$B258,CalcGroup,"خرید"))</f>
        <v/>
      </c>
      <c r="G258" s="19">
        <f>IF($B258="","",SUMIFS(CalcBaskets,CalcParty,$B258,CalcGroup,"خرید"))</f>
        <v/>
      </c>
      <c r="H258" s="20">
        <f>IF($B258="","",SUMIFS(CalcNet,CalcParty,$B258,CalcGroup,"خرید"))</f>
        <v/>
      </c>
      <c r="I258" s="18">
        <f>IF($B258="","",IFERROR(IF(VLOOKUP($B258,AcctTbl,5,0)="","—",VLOOKUP($B258,AcctTbl,5,0)),"—"))</f>
        <v/>
      </c>
      <c r="J258" s="18">
        <f>IF($B258="","",IFERROR(IF(VLOOKUP($B258,AcctTbl,6,0)="","—",VLOOKUP($B258,AcctTbl,6,0)),"—"))</f>
        <v/>
      </c>
      <c r="K258" s="32">
        <f>IF(OR($B258="",$H$570=0),"",$H258/$H$570)</f>
        <v/>
      </c>
    </row>
    <row r="259">
      <c r="A259" s="23">
        <f>IF(ROW()-9&gt;NAcctAll,"",ROW()-9)</f>
        <v/>
      </c>
      <c r="B259" s="33">
        <f>IF($A259="","",IF($A259&lt;=NAcctAll,INDEX(PkAcctAll,$A259),""))</f>
        <v/>
      </c>
      <c r="C259" s="28">
        <f>IF($B259="","",IFERROR(IF(VLOOKUP($B259,AcctTbl,4,0)="","(بدون نام)",VLOOKUP($B259,AcctTbl,4,0)),"—"))</f>
        <v/>
      </c>
      <c r="D259" s="24">
        <f>IF($B259="","",IFERROR(IF(VLOOKUP($B259,AcctTbl,3,0)="",IF(VLOOKUP($B259,AcctTbl,2,0)="","—",VLOOKUP($B259,AcctTbl,2,0)),VLOOKUP($B259,AcctTbl,3,0)),"—"))</f>
        <v/>
      </c>
      <c r="E259" s="34">
        <f>IF($B259="","",COUNTIFS(CalcParty,$B259,CalcGroup,"خرید"))</f>
        <v/>
      </c>
      <c r="F259" s="25">
        <f>IF($B259="","",SUMIFS(CalcScale,CalcParty,$B259,CalcGroup,"خرید"))</f>
        <v/>
      </c>
      <c r="G259" s="25">
        <f>IF($B259="","",SUMIFS(CalcBaskets,CalcParty,$B259,CalcGroup,"خرید"))</f>
        <v/>
      </c>
      <c r="H259" s="26">
        <f>IF($B259="","",SUMIFS(CalcNet,CalcParty,$B259,CalcGroup,"خرید"))</f>
        <v/>
      </c>
      <c r="I259" s="24">
        <f>IF($B259="","",IFERROR(IF(VLOOKUP($B259,AcctTbl,5,0)="","—",VLOOKUP($B259,AcctTbl,5,0)),"—"))</f>
        <v/>
      </c>
      <c r="J259" s="24">
        <f>IF($B259="","",IFERROR(IF(VLOOKUP($B259,AcctTbl,6,0)="","—",VLOOKUP($B259,AcctTbl,6,0)),"—"))</f>
        <v/>
      </c>
      <c r="K259" s="35">
        <f>IF(OR($B259="",$H$570=0),"",$H259/$H$570)</f>
        <v/>
      </c>
    </row>
    <row r="260">
      <c r="A260" s="17">
        <f>IF(ROW()-9&gt;NAcctAll,"",ROW()-9)</f>
        <v/>
      </c>
      <c r="B260" s="30">
        <f>IF($A260="","",IF($A260&lt;=NAcctAll,INDEX(PkAcctAll,$A260),""))</f>
        <v/>
      </c>
      <c r="C260" s="22">
        <f>IF($B260="","",IFERROR(IF(VLOOKUP($B260,AcctTbl,4,0)="","(بدون نام)",VLOOKUP($B260,AcctTbl,4,0)),"—"))</f>
        <v/>
      </c>
      <c r="D260" s="18">
        <f>IF($B260="","",IFERROR(IF(VLOOKUP($B260,AcctTbl,3,0)="",IF(VLOOKUP($B260,AcctTbl,2,0)="","—",VLOOKUP($B260,AcctTbl,2,0)),VLOOKUP($B260,AcctTbl,3,0)),"—"))</f>
        <v/>
      </c>
      <c r="E260" s="31">
        <f>IF($B260="","",COUNTIFS(CalcParty,$B260,CalcGroup,"خرید"))</f>
        <v/>
      </c>
      <c r="F260" s="19">
        <f>IF($B260="","",SUMIFS(CalcScale,CalcParty,$B260,CalcGroup,"خرید"))</f>
        <v/>
      </c>
      <c r="G260" s="19">
        <f>IF($B260="","",SUMIFS(CalcBaskets,CalcParty,$B260,CalcGroup,"خرید"))</f>
        <v/>
      </c>
      <c r="H260" s="20">
        <f>IF($B260="","",SUMIFS(CalcNet,CalcParty,$B260,CalcGroup,"خرید"))</f>
        <v/>
      </c>
      <c r="I260" s="18">
        <f>IF($B260="","",IFERROR(IF(VLOOKUP($B260,AcctTbl,5,0)="","—",VLOOKUP($B260,AcctTbl,5,0)),"—"))</f>
        <v/>
      </c>
      <c r="J260" s="18">
        <f>IF($B260="","",IFERROR(IF(VLOOKUP($B260,AcctTbl,6,0)="","—",VLOOKUP($B260,AcctTbl,6,0)),"—"))</f>
        <v/>
      </c>
      <c r="K260" s="32">
        <f>IF(OR($B260="",$H$570=0),"",$H260/$H$570)</f>
        <v/>
      </c>
    </row>
    <row r="261">
      <c r="A261" s="23">
        <f>IF(ROW()-9&gt;NAcctAll,"",ROW()-9)</f>
        <v/>
      </c>
      <c r="B261" s="33">
        <f>IF($A261="","",IF($A261&lt;=NAcctAll,INDEX(PkAcctAll,$A261),""))</f>
        <v/>
      </c>
      <c r="C261" s="28">
        <f>IF($B261="","",IFERROR(IF(VLOOKUP($B261,AcctTbl,4,0)="","(بدون نام)",VLOOKUP($B261,AcctTbl,4,0)),"—"))</f>
        <v/>
      </c>
      <c r="D261" s="24">
        <f>IF($B261="","",IFERROR(IF(VLOOKUP($B261,AcctTbl,3,0)="",IF(VLOOKUP($B261,AcctTbl,2,0)="","—",VLOOKUP($B261,AcctTbl,2,0)),VLOOKUP($B261,AcctTbl,3,0)),"—"))</f>
        <v/>
      </c>
      <c r="E261" s="34">
        <f>IF($B261="","",COUNTIFS(CalcParty,$B261,CalcGroup,"خرید"))</f>
        <v/>
      </c>
      <c r="F261" s="25">
        <f>IF($B261="","",SUMIFS(CalcScale,CalcParty,$B261,CalcGroup,"خرید"))</f>
        <v/>
      </c>
      <c r="G261" s="25">
        <f>IF($B261="","",SUMIFS(CalcBaskets,CalcParty,$B261,CalcGroup,"خرید"))</f>
        <v/>
      </c>
      <c r="H261" s="26">
        <f>IF($B261="","",SUMIFS(CalcNet,CalcParty,$B261,CalcGroup,"خرید"))</f>
        <v/>
      </c>
      <c r="I261" s="24">
        <f>IF($B261="","",IFERROR(IF(VLOOKUP($B261,AcctTbl,5,0)="","—",VLOOKUP($B261,AcctTbl,5,0)),"—"))</f>
        <v/>
      </c>
      <c r="J261" s="24">
        <f>IF($B261="","",IFERROR(IF(VLOOKUP($B261,AcctTbl,6,0)="","—",VLOOKUP($B261,AcctTbl,6,0)),"—"))</f>
        <v/>
      </c>
      <c r="K261" s="35">
        <f>IF(OR($B261="",$H$570=0),"",$H261/$H$570)</f>
        <v/>
      </c>
    </row>
    <row r="262">
      <c r="A262" s="17">
        <f>IF(ROW()-9&gt;NAcctAll,"",ROW()-9)</f>
        <v/>
      </c>
      <c r="B262" s="30">
        <f>IF($A262="","",IF($A262&lt;=NAcctAll,INDEX(PkAcctAll,$A262),""))</f>
        <v/>
      </c>
      <c r="C262" s="22">
        <f>IF($B262="","",IFERROR(IF(VLOOKUP($B262,AcctTbl,4,0)="","(بدون نام)",VLOOKUP($B262,AcctTbl,4,0)),"—"))</f>
        <v/>
      </c>
      <c r="D262" s="18">
        <f>IF($B262="","",IFERROR(IF(VLOOKUP($B262,AcctTbl,3,0)="",IF(VLOOKUP($B262,AcctTbl,2,0)="","—",VLOOKUP($B262,AcctTbl,2,0)),VLOOKUP($B262,AcctTbl,3,0)),"—"))</f>
        <v/>
      </c>
      <c r="E262" s="31">
        <f>IF($B262="","",COUNTIFS(CalcParty,$B262,CalcGroup,"خرید"))</f>
        <v/>
      </c>
      <c r="F262" s="19">
        <f>IF($B262="","",SUMIFS(CalcScale,CalcParty,$B262,CalcGroup,"خرید"))</f>
        <v/>
      </c>
      <c r="G262" s="19">
        <f>IF($B262="","",SUMIFS(CalcBaskets,CalcParty,$B262,CalcGroup,"خرید"))</f>
        <v/>
      </c>
      <c r="H262" s="20">
        <f>IF($B262="","",SUMIFS(CalcNet,CalcParty,$B262,CalcGroup,"خرید"))</f>
        <v/>
      </c>
      <c r="I262" s="18">
        <f>IF($B262="","",IFERROR(IF(VLOOKUP($B262,AcctTbl,5,0)="","—",VLOOKUP($B262,AcctTbl,5,0)),"—"))</f>
        <v/>
      </c>
      <c r="J262" s="18">
        <f>IF($B262="","",IFERROR(IF(VLOOKUP($B262,AcctTbl,6,0)="","—",VLOOKUP($B262,AcctTbl,6,0)),"—"))</f>
        <v/>
      </c>
      <c r="K262" s="32">
        <f>IF(OR($B262="",$H$570=0),"",$H262/$H$570)</f>
        <v/>
      </c>
    </row>
    <row r="263">
      <c r="A263" s="23">
        <f>IF(ROW()-9&gt;NAcctAll,"",ROW()-9)</f>
        <v/>
      </c>
      <c r="B263" s="33">
        <f>IF($A263="","",IF($A263&lt;=NAcctAll,INDEX(PkAcctAll,$A263),""))</f>
        <v/>
      </c>
      <c r="C263" s="28">
        <f>IF($B263="","",IFERROR(IF(VLOOKUP($B263,AcctTbl,4,0)="","(بدون نام)",VLOOKUP($B263,AcctTbl,4,0)),"—"))</f>
        <v/>
      </c>
      <c r="D263" s="24">
        <f>IF($B263="","",IFERROR(IF(VLOOKUP($B263,AcctTbl,3,0)="",IF(VLOOKUP($B263,AcctTbl,2,0)="","—",VLOOKUP($B263,AcctTbl,2,0)),VLOOKUP($B263,AcctTbl,3,0)),"—"))</f>
        <v/>
      </c>
      <c r="E263" s="34">
        <f>IF($B263="","",COUNTIFS(CalcParty,$B263,CalcGroup,"خرید"))</f>
        <v/>
      </c>
      <c r="F263" s="25">
        <f>IF($B263="","",SUMIFS(CalcScale,CalcParty,$B263,CalcGroup,"خرید"))</f>
        <v/>
      </c>
      <c r="G263" s="25">
        <f>IF($B263="","",SUMIFS(CalcBaskets,CalcParty,$B263,CalcGroup,"خرید"))</f>
        <v/>
      </c>
      <c r="H263" s="26">
        <f>IF($B263="","",SUMIFS(CalcNet,CalcParty,$B263,CalcGroup,"خرید"))</f>
        <v/>
      </c>
      <c r="I263" s="24">
        <f>IF($B263="","",IFERROR(IF(VLOOKUP($B263,AcctTbl,5,0)="","—",VLOOKUP($B263,AcctTbl,5,0)),"—"))</f>
        <v/>
      </c>
      <c r="J263" s="24">
        <f>IF($B263="","",IFERROR(IF(VLOOKUP($B263,AcctTbl,6,0)="","—",VLOOKUP($B263,AcctTbl,6,0)),"—"))</f>
        <v/>
      </c>
      <c r="K263" s="35">
        <f>IF(OR($B263="",$H$570=0),"",$H263/$H$570)</f>
        <v/>
      </c>
    </row>
    <row r="264">
      <c r="A264" s="17">
        <f>IF(ROW()-9&gt;NAcctAll,"",ROW()-9)</f>
        <v/>
      </c>
      <c r="B264" s="30">
        <f>IF($A264="","",IF($A264&lt;=NAcctAll,INDEX(PkAcctAll,$A264),""))</f>
        <v/>
      </c>
      <c r="C264" s="22">
        <f>IF($B264="","",IFERROR(IF(VLOOKUP($B264,AcctTbl,4,0)="","(بدون نام)",VLOOKUP($B264,AcctTbl,4,0)),"—"))</f>
        <v/>
      </c>
      <c r="D264" s="18">
        <f>IF($B264="","",IFERROR(IF(VLOOKUP($B264,AcctTbl,3,0)="",IF(VLOOKUP($B264,AcctTbl,2,0)="","—",VLOOKUP($B264,AcctTbl,2,0)),VLOOKUP($B264,AcctTbl,3,0)),"—"))</f>
        <v/>
      </c>
      <c r="E264" s="31">
        <f>IF($B264="","",COUNTIFS(CalcParty,$B264,CalcGroup,"خرید"))</f>
        <v/>
      </c>
      <c r="F264" s="19">
        <f>IF($B264="","",SUMIFS(CalcScale,CalcParty,$B264,CalcGroup,"خرید"))</f>
        <v/>
      </c>
      <c r="G264" s="19">
        <f>IF($B264="","",SUMIFS(CalcBaskets,CalcParty,$B264,CalcGroup,"خرید"))</f>
        <v/>
      </c>
      <c r="H264" s="20">
        <f>IF($B264="","",SUMIFS(CalcNet,CalcParty,$B264,CalcGroup,"خرید"))</f>
        <v/>
      </c>
      <c r="I264" s="18">
        <f>IF($B264="","",IFERROR(IF(VLOOKUP($B264,AcctTbl,5,0)="","—",VLOOKUP($B264,AcctTbl,5,0)),"—"))</f>
        <v/>
      </c>
      <c r="J264" s="18">
        <f>IF($B264="","",IFERROR(IF(VLOOKUP($B264,AcctTbl,6,0)="","—",VLOOKUP($B264,AcctTbl,6,0)),"—"))</f>
        <v/>
      </c>
      <c r="K264" s="32">
        <f>IF(OR($B264="",$H$570=0),"",$H264/$H$570)</f>
        <v/>
      </c>
    </row>
    <row r="265">
      <c r="A265" s="23">
        <f>IF(ROW()-9&gt;NAcctAll,"",ROW()-9)</f>
        <v/>
      </c>
      <c r="B265" s="33">
        <f>IF($A265="","",IF($A265&lt;=NAcctAll,INDEX(PkAcctAll,$A265),""))</f>
        <v/>
      </c>
      <c r="C265" s="28">
        <f>IF($B265="","",IFERROR(IF(VLOOKUP($B265,AcctTbl,4,0)="","(بدون نام)",VLOOKUP($B265,AcctTbl,4,0)),"—"))</f>
        <v/>
      </c>
      <c r="D265" s="24">
        <f>IF($B265="","",IFERROR(IF(VLOOKUP($B265,AcctTbl,3,0)="",IF(VLOOKUP($B265,AcctTbl,2,0)="","—",VLOOKUP($B265,AcctTbl,2,0)),VLOOKUP($B265,AcctTbl,3,0)),"—"))</f>
        <v/>
      </c>
      <c r="E265" s="34">
        <f>IF($B265="","",COUNTIFS(CalcParty,$B265,CalcGroup,"خرید"))</f>
        <v/>
      </c>
      <c r="F265" s="25">
        <f>IF($B265="","",SUMIFS(CalcScale,CalcParty,$B265,CalcGroup,"خرید"))</f>
        <v/>
      </c>
      <c r="G265" s="25">
        <f>IF($B265="","",SUMIFS(CalcBaskets,CalcParty,$B265,CalcGroup,"خرید"))</f>
        <v/>
      </c>
      <c r="H265" s="26">
        <f>IF($B265="","",SUMIFS(CalcNet,CalcParty,$B265,CalcGroup,"خرید"))</f>
        <v/>
      </c>
      <c r="I265" s="24">
        <f>IF($B265="","",IFERROR(IF(VLOOKUP($B265,AcctTbl,5,0)="","—",VLOOKUP($B265,AcctTbl,5,0)),"—"))</f>
        <v/>
      </c>
      <c r="J265" s="24">
        <f>IF($B265="","",IFERROR(IF(VLOOKUP($B265,AcctTbl,6,0)="","—",VLOOKUP($B265,AcctTbl,6,0)),"—"))</f>
        <v/>
      </c>
      <c r="K265" s="35">
        <f>IF(OR($B265="",$H$570=0),"",$H265/$H$570)</f>
        <v/>
      </c>
    </row>
    <row r="266">
      <c r="A266" s="17">
        <f>IF(ROW()-9&gt;NAcctAll,"",ROW()-9)</f>
        <v/>
      </c>
      <c r="B266" s="30">
        <f>IF($A266="","",IF($A266&lt;=NAcctAll,INDEX(PkAcctAll,$A266),""))</f>
        <v/>
      </c>
      <c r="C266" s="22">
        <f>IF($B266="","",IFERROR(IF(VLOOKUP($B266,AcctTbl,4,0)="","(بدون نام)",VLOOKUP($B266,AcctTbl,4,0)),"—"))</f>
        <v/>
      </c>
      <c r="D266" s="18">
        <f>IF($B266="","",IFERROR(IF(VLOOKUP($B266,AcctTbl,3,0)="",IF(VLOOKUP($B266,AcctTbl,2,0)="","—",VLOOKUP($B266,AcctTbl,2,0)),VLOOKUP($B266,AcctTbl,3,0)),"—"))</f>
        <v/>
      </c>
      <c r="E266" s="31">
        <f>IF($B266="","",COUNTIFS(CalcParty,$B266,CalcGroup,"خرید"))</f>
        <v/>
      </c>
      <c r="F266" s="19">
        <f>IF($B266="","",SUMIFS(CalcScale,CalcParty,$B266,CalcGroup,"خرید"))</f>
        <v/>
      </c>
      <c r="G266" s="19">
        <f>IF($B266="","",SUMIFS(CalcBaskets,CalcParty,$B266,CalcGroup,"خرید"))</f>
        <v/>
      </c>
      <c r="H266" s="20">
        <f>IF($B266="","",SUMIFS(CalcNet,CalcParty,$B266,CalcGroup,"خرید"))</f>
        <v/>
      </c>
      <c r="I266" s="18">
        <f>IF($B266="","",IFERROR(IF(VLOOKUP($B266,AcctTbl,5,0)="","—",VLOOKUP($B266,AcctTbl,5,0)),"—"))</f>
        <v/>
      </c>
      <c r="J266" s="18">
        <f>IF($B266="","",IFERROR(IF(VLOOKUP($B266,AcctTbl,6,0)="","—",VLOOKUP($B266,AcctTbl,6,0)),"—"))</f>
        <v/>
      </c>
      <c r="K266" s="32">
        <f>IF(OR($B266="",$H$570=0),"",$H266/$H$570)</f>
        <v/>
      </c>
    </row>
    <row r="267">
      <c r="A267" s="23">
        <f>IF(ROW()-9&gt;NAcctAll,"",ROW()-9)</f>
        <v/>
      </c>
      <c r="B267" s="33">
        <f>IF($A267="","",IF($A267&lt;=NAcctAll,INDEX(PkAcctAll,$A267),""))</f>
        <v/>
      </c>
      <c r="C267" s="28">
        <f>IF($B267="","",IFERROR(IF(VLOOKUP($B267,AcctTbl,4,0)="","(بدون نام)",VLOOKUP($B267,AcctTbl,4,0)),"—"))</f>
        <v/>
      </c>
      <c r="D267" s="24">
        <f>IF($B267="","",IFERROR(IF(VLOOKUP($B267,AcctTbl,3,0)="",IF(VLOOKUP($B267,AcctTbl,2,0)="","—",VLOOKUP($B267,AcctTbl,2,0)),VLOOKUP($B267,AcctTbl,3,0)),"—"))</f>
        <v/>
      </c>
      <c r="E267" s="34">
        <f>IF($B267="","",COUNTIFS(CalcParty,$B267,CalcGroup,"خرید"))</f>
        <v/>
      </c>
      <c r="F267" s="25">
        <f>IF($B267="","",SUMIFS(CalcScale,CalcParty,$B267,CalcGroup,"خرید"))</f>
        <v/>
      </c>
      <c r="G267" s="25">
        <f>IF($B267="","",SUMIFS(CalcBaskets,CalcParty,$B267,CalcGroup,"خرید"))</f>
        <v/>
      </c>
      <c r="H267" s="26">
        <f>IF($B267="","",SUMIFS(CalcNet,CalcParty,$B267,CalcGroup,"خرید"))</f>
        <v/>
      </c>
      <c r="I267" s="24">
        <f>IF($B267="","",IFERROR(IF(VLOOKUP($B267,AcctTbl,5,0)="","—",VLOOKUP($B267,AcctTbl,5,0)),"—"))</f>
        <v/>
      </c>
      <c r="J267" s="24">
        <f>IF($B267="","",IFERROR(IF(VLOOKUP($B267,AcctTbl,6,0)="","—",VLOOKUP($B267,AcctTbl,6,0)),"—"))</f>
        <v/>
      </c>
      <c r="K267" s="35">
        <f>IF(OR($B267="",$H$570=0),"",$H267/$H$570)</f>
        <v/>
      </c>
    </row>
    <row r="268">
      <c r="A268" s="17">
        <f>IF(ROW()-9&gt;NAcctAll,"",ROW()-9)</f>
        <v/>
      </c>
      <c r="B268" s="30">
        <f>IF($A268="","",IF($A268&lt;=NAcctAll,INDEX(PkAcctAll,$A268),""))</f>
        <v/>
      </c>
      <c r="C268" s="22">
        <f>IF($B268="","",IFERROR(IF(VLOOKUP($B268,AcctTbl,4,0)="","(بدون نام)",VLOOKUP($B268,AcctTbl,4,0)),"—"))</f>
        <v/>
      </c>
      <c r="D268" s="18">
        <f>IF($B268="","",IFERROR(IF(VLOOKUP($B268,AcctTbl,3,0)="",IF(VLOOKUP($B268,AcctTbl,2,0)="","—",VLOOKUP($B268,AcctTbl,2,0)),VLOOKUP($B268,AcctTbl,3,0)),"—"))</f>
        <v/>
      </c>
      <c r="E268" s="31">
        <f>IF($B268="","",COUNTIFS(CalcParty,$B268,CalcGroup,"خرید"))</f>
        <v/>
      </c>
      <c r="F268" s="19">
        <f>IF($B268="","",SUMIFS(CalcScale,CalcParty,$B268,CalcGroup,"خرید"))</f>
        <v/>
      </c>
      <c r="G268" s="19">
        <f>IF($B268="","",SUMIFS(CalcBaskets,CalcParty,$B268,CalcGroup,"خرید"))</f>
        <v/>
      </c>
      <c r="H268" s="20">
        <f>IF($B268="","",SUMIFS(CalcNet,CalcParty,$B268,CalcGroup,"خرید"))</f>
        <v/>
      </c>
      <c r="I268" s="18">
        <f>IF($B268="","",IFERROR(IF(VLOOKUP($B268,AcctTbl,5,0)="","—",VLOOKUP($B268,AcctTbl,5,0)),"—"))</f>
        <v/>
      </c>
      <c r="J268" s="18">
        <f>IF($B268="","",IFERROR(IF(VLOOKUP($B268,AcctTbl,6,0)="","—",VLOOKUP($B268,AcctTbl,6,0)),"—"))</f>
        <v/>
      </c>
      <c r="K268" s="32">
        <f>IF(OR($B268="",$H$570=0),"",$H268/$H$570)</f>
        <v/>
      </c>
    </row>
    <row r="269">
      <c r="A269" s="23">
        <f>IF(ROW()-9&gt;NAcctAll,"",ROW()-9)</f>
        <v/>
      </c>
      <c r="B269" s="33">
        <f>IF($A269="","",IF($A269&lt;=NAcctAll,INDEX(PkAcctAll,$A269),""))</f>
        <v/>
      </c>
      <c r="C269" s="28">
        <f>IF($B269="","",IFERROR(IF(VLOOKUP($B269,AcctTbl,4,0)="","(بدون نام)",VLOOKUP($B269,AcctTbl,4,0)),"—"))</f>
        <v/>
      </c>
      <c r="D269" s="24">
        <f>IF($B269="","",IFERROR(IF(VLOOKUP($B269,AcctTbl,3,0)="",IF(VLOOKUP($B269,AcctTbl,2,0)="","—",VLOOKUP($B269,AcctTbl,2,0)),VLOOKUP($B269,AcctTbl,3,0)),"—"))</f>
        <v/>
      </c>
      <c r="E269" s="34">
        <f>IF($B269="","",COUNTIFS(CalcParty,$B269,CalcGroup,"خرید"))</f>
        <v/>
      </c>
      <c r="F269" s="25">
        <f>IF($B269="","",SUMIFS(CalcScale,CalcParty,$B269,CalcGroup,"خرید"))</f>
        <v/>
      </c>
      <c r="G269" s="25">
        <f>IF($B269="","",SUMIFS(CalcBaskets,CalcParty,$B269,CalcGroup,"خرید"))</f>
        <v/>
      </c>
      <c r="H269" s="26">
        <f>IF($B269="","",SUMIFS(CalcNet,CalcParty,$B269,CalcGroup,"خرید"))</f>
        <v/>
      </c>
      <c r="I269" s="24">
        <f>IF($B269="","",IFERROR(IF(VLOOKUP($B269,AcctTbl,5,0)="","—",VLOOKUP($B269,AcctTbl,5,0)),"—"))</f>
        <v/>
      </c>
      <c r="J269" s="24">
        <f>IF($B269="","",IFERROR(IF(VLOOKUP($B269,AcctTbl,6,0)="","—",VLOOKUP($B269,AcctTbl,6,0)),"—"))</f>
        <v/>
      </c>
      <c r="K269" s="35">
        <f>IF(OR($B269="",$H$570=0),"",$H269/$H$570)</f>
        <v/>
      </c>
    </row>
    <row r="270">
      <c r="A270" s="17">
        <f>IF(ROW()-9&gt;NAcctAll,"",ROW()-9)</f>
        <v/>
      </c>
      <c r="B270" s="30">
        <f>IF($A270="","",IF($A270&lt;=NAcctAll,INDEX(PkAcctAll,$A270),""))</f>
        <v/>
      </c>
      <c r="C270" s="22">
        <f>IF($B270="","",IFERROR(IF(VLOOKUP($B270,AcctTbl,4,0)="","(بدون نام)",VLOOKUP($B270,AcctTbl,4,0)),"—"))</f>
        <v/>
      </c>
      <c r="D270" s="18">
        <f>IF($B270="","",IFERROR(IF(VLOOKUP($B270,AcctTbl,3,0)="",IF(VLOOKUP($B270,AcctTbl,2,0)="","—",VLOOKUP($B270,AcctTbl,2,0)),VLOOKUP($B270,AcctTbl,3,0)),"—"))</f>
        <v/>
      </c>
      <c r="E270" s="31">
        <f>IF($B270="","",COUNTIFS(CalcParty,$B270,CalcGroup,"خرید"))</f>
        <v/>
      </c>
      <c r="F270" s="19">
        <f>IF($B270="","",SUMIFS(CalcScale,CalcParty,$B270,CalcGroup,"خرید"))</f>
        <v/>
      </c>
      <c r="G270" s="19">
        <f>IF($B270="","",SUMIFS(CalcBaskets,CalcParty,$B270,CalcGroup,"خرید"))</f>
        <v/>
      </c>
      <c r="H270" s="20">
        <f>IF($B270="","",SUMIFS(CalcNet,CalcParty,$B270,CalcGroup,"خرید"))</f>
        <v/>
      </c>
      <c r="I270" s="18">
        <f>IF($B270="","",IFERROR(IF(VLOOKUP($B270,AcctTbl,5,0)="","—",VLOOKUP($B270,AcctTbl,5,0)),"—"))</f>
        <v/>
      </c>
      <c r="J270" s="18">
        <f>IF($B270="","",IFERROR(IF(VLOOKUP($B270,AcctTbl,6,0)="","—",VLOOKUP($B270,AcctTbl,6,0)),"—"))</f>
        <v/>
      </c>
      <c r="K270" s="32">
        <f>IF(OR($B270="",$H$570=0),"",$H270/$H$570)</f>
        <v/>
      </c>
    </row>
    <row r="271">
      <c r="A271" s="23">
        <f>IF(ROW()-9&gt;NAcctAll,"",ROW()-9)</f>
        <v/>
      </c>
      <c r="B271" s="33">
        <f>IF($A271="","",IF($A271&lt;=NAcctAll,INDEX(PkAcctAll,$A271),""))</f>
        <v/>
      </c>
      <c r="C271" s="28">
        <f>IF($B271="","",IFERROR(IF(VLOOKUP($B271,AcctTbl,4,0)="","(بدون نام)",VLOOKUP($B271,AcctTbl,4,0)),"—"))</f>
        <v/>
      </c>
      <c r="D271" s="24">
        <f>IF($B271="","",IFERROR(IF(VLOOKUP($B271,AcctTbl,3,0)="",IF(VLOOKUP($B271,AcctTbl,2,0)="","—",VLOOKUP($B271,AcctTbl,2,0)),VLOOKUP($B271,AcctTbl,3,0)),"—"))</f>
        <v/>
      </c>
      <c r="E271" s="34">
        <f>IF($B271="","",COUNTIFS(CalcParty,$B271,CalcGroup,"خرید"))</f>
        <v/>
      </c>
      <c r="F271" s="25">
        <f>IF($B271="","",SUMIFS(CalcScale,CalcParty,$B271,CalcGroup,"خرید"))</f>
        <v/>
      </c>
      <c r="G271" s="25">
        <f>IF($B271="","",SUMIFS(CalcBaskets,CalcParty,$B271,CalcGroup,"خرید"))</f>
        <v/>
      </c>
      <c r="H271" s="26">
        <f>IF($B271="","",SUMIFS(CalcNet,CalcParty,$B271,CalcGroup,"خرید"))</f>
        <v/>
      </c>
      <c r="I271" s="24">
        <f>IF($B271="","",IFERROR(IF(VLOOKUP($B271,AcctTbl,5,0)="","—",VLOOKUP($B271,AcctTbl,5,0)),"—"))</f>
        <v/>
      </c>
      <c r="J271" s="24">
        <f>IF($B271="","",IFERROR(IF(VLOOKUP($B271,AcctTbl,6,0)="","—",VLOOKUP($B271,AcctTbl,6,0)),"—"))</f>
        <v/>
      </c>
      <c r="K271" s="35">
        <f>IF(OR($B271="",$H$570=0),"",$H271/$H$570)</f>
        <v/>
      </c>
    </row>
    <row r="272">
      <c r="A272" s="17">
        <f>IF(ROW()-9&gt;NAcctAll,"",ROW()-9)</f>
        <v/>
      </c>
      <c r="B272" s="30">
        <f>IF($A272="","",IF($A272&lt;=NAcctAll,INDEX(PkAcctAll,$A272),""))</f>
        <v/>
      </c>
      <c r="C272" s="22">
        <f>IF($B272="","",IFERROR(IF(VLOOKUP($B272,AcctTbl,4,0)="","(بدون نام)",VLOOKUP($B272,AcctTbl,4,0)),"—"))</f>
        <v/>
      </c>
      <c r="D272" s="18">
        <f>IF($B272="","",IFERROR(IF(VLOOKUP($B272,AcctTbl,3,0)="",IF(VLOOKUP($B272,AcctTbl,2,0)="","—",VLOOKUP($B272,AcctTbl,2,0)),VLOOKUP($B272,AcctTbl,3,0)),"—"))</f>
        <v/>
      </c>
      <c r="E272" s="31">
        <f>IF($B272="","",COUNTIFS(CalcParty,$B272,CalcGroup,"خرید"))</f>
        <v/>
      </c>
      <c r="F272" s="19">
        <f>IF($B272="","",SUMIFS(CalcScale,CalcParty,$B272,CalcGroup,"خرید"))</f>
        <v/>
      </c>
      <c r="G272" s="19">
        <f>IF($B272="","",SUMIFS(CalcBaskets,CalcParty,$B272,CalcGroup,"خرید"))</f>
        <v/>
      </c>
      <c r="H272" s="20">
        <f>IF($B272="","",SUMIFS(CalcNet,CalcParty,$B272,CalcGroup,"خرید"))</f>
        <v/>
      </c>
      <c r="I272" s="18">
        <f>IF($B272="","",IFERROR(IF(VLOOKUP($B272,AcctTbl,5,0)="","—",VLOOKUP($B272,AcctTbl,5,0)),"—"))</f>
        <v/>
      </c>
      <c r="J272" s="18">
        <f>IF($B272="","",IFERROR(IF(VLOOKUP($B272,AcctTbl,6,0)="","—",VLOOKUP($B272,AcctTbl,6,0)),"—"))</f>
        <v/>
      </c>
      <c r="K272" s="32">
        <f>IF(OR($B272="",$H$570=0),"",$H272/$H$570)</f>
        <v/>
      </c>
    </row>
    <row r="273">
      <c r="A273" s="23">
        <f>IF(ROW()-9&gt;NAcctAll,"",ROW()-9)</f>
        <v/>
      </c>
      <c r="B273" s="33">
        <f>IF($A273="","",IF($A273&lt;=NAcctAll,INDEX(PkAcctAll,$A273),""))</f>
        <v/>
      </c>
      <c r="C273" s="28">
        <f>IF($B273="","",IFERROR(IF(VLOOKUP($B273,AcctTbl,4,0)="","(بدون نام)",VLOOKUP($B273,AcctTbl,4,0)),"—"))</f>
        <v/>
      </c>
      <c r="D273" s="24">
        <f>IF($B273="","",IFERROR(IF(VLOOKUP($B273,AcctTbl,3,0)="",IF(VLOOKUP($B273,AcctTbl,2,0)="","—",VLOOKUP($B273,AcctTbl,2,0)),VLOOKUP($B273,AcctTbl,3,0)),"—"))</f>
        <v/>
      </c>
      <c r="E273" s="34">
        <f>IF($B273="","",COUNTIFS(CalcParty,$B273,CalcGroup,"خرید"))</f>
        <v/>
      </c>
      <c r="F273" s="25">
        <f>IF($B273="","",SUMIFS(CalcScale,CalcParty,$B273,CalcGroup,"خرید"))</f>
        <v/>
      </c>
      <c r="G273" s="25">
        <f>IF($B273="","",SUMIFS(CalcBaskets,CalcParty,$B273,CalcGroup,"خرید"))</f>
        <v/>
      </c>
      <c r="H273" s="26">
        <f>IF($B273="","",SUMIFS(CalcNet,CalcParty,$B273,CalcGroup,"خرید"))</f>
        <v/>
      </c>
      <c r="I273" s="24">
        <f>IF($B273="","",IFERROR(IF(VLOOKUP($B273,AcctTbl,5,0)="","—",VLOOKUP($B273,AcctTbl,5,0)),"—"))</f>
        <v/>
      </c>
      <c r="J273" s="24">
        <f>IF($B273="","",IFERROR(IF(VLOOKUP($B273,AcctTbl,6,0)="","—",VLOOKUP($B273,AcctTbl,6,0)),"—"))</f>
        <v/>
      </c>
      <c r="K273" s="35">
        <f>IF(OR($B273="",$H$570=0),"",$H273/$H$570)</f>
        <v/>
      </c>
    </row>
    <row r="274">
      <c r="A274" s="17">
        <f>IF(ROW()-9&gt;NAcctAll,"",ROW()-9)</f>
        <v/>
      </c>
      <c r="B274" s="30">
        <f>IF($A274="","",IF($A274&lt;=NAcctAll,INDEX(PkAcctAll,$A274),""))</f>
        <v/>
      </c>
      <c r="C274" s="22">
        <f>IF($B274="","",IFERROR(IF(VLOOKUP($B274,AcctTbl,4,0)="","(بدون نام)",VLOOKUP($B274,AcctTbl,4,0)),"—"))</f>
        <v/>
      </c>
      <c r="D274" s="18">
        <f>IF($B274="","",IFERROR(IF(VLOOKUP($B274,AcctTbl,3,0)="",IF(VLOOKUP($B274,AcctTbl,2,0)="","—",VLOOKUP($B274,AcctTbl,2,0)),VLOOKUP($B274,AcctTbl,3,0)),"—"))</f>
        <v/>
      </c>
      <c r="E274" s="31">
        <f>IF($B274="","",COUNTIFS(CalcParty,$B274,CalcGroup,"خرید"))</f>
        <v/>
      </c>
      <c r="F274" s="19">
        <f>IF($B274="","",SUMIFS(CalcScale,CalcParty,$B274,CalcGroup,"خرید"))</f>
        <v/>
      </c>
      <c r="G274" s="19">
        <f>IF($B274="","",SUMIFS(CalcBaskets,CalcParty,$B274,CalcGroup,"خرید"))</f>
        <v/>
      </c>
      <c r="H274" s="20">
        <f>IF($B274="","",SUMIFS(CalcNet,CalcParty,$B274,CalcGroup,"خرید"))</f>
        <v/>
      </c>
      <c r="I274" s="18">
        <f>IF($B274="","",IFERROR(IF(VLOOKUP($B274,AcctTbl,5,0)="","—",VLOOKUP($B274,AcctTbl,5,0)),"—"))</f>
        <v/>
      </c>
      <c r="J274" s="18">
        <f>IF($B274="","",IFERROR(IF(VLOOKUP($B274,AcctTbl,6,0)="","—",VLOOKUP($B274,AcctTbl,6,0)),"—"))</f>
        <v/>
      </c>
      <c r="K274" s="32">
        <f>IF(OR($B274="",$H$570=0),"",$H274/$H$570)</f>
        <v/>
      </c>
    </row>
    <row r="275">
      <c r="A275" s="23">
        <f>IF(ROW()-9&gt;NAcctAll,"",ROW()-9)</f>
        <v/>
      </c>
      <c r="B275" s="33">
        <f>IF($A275="","",IF($A275&lt;=NAcctAll,INDEX(PkAcctAll,$A275),""))</f>
        <v/>
      </c>
      <c r="C275" s="28">
        <f>IF($B275="","",IFERROR(IF(VLOOKUP($B275,AcctTbl,4,0)="","(بدون نام)",VLOOKUP($B275,AcctTbl,4,0)),"—"))</f>
        <v/>
      </c>
      <c r="D275" s="24">
        <f>IF($B275="","",IFERROR(IF(VLOOKUP($B275,AcctTbl,3,0)="",IF(VLOOKUP($B275,AcctTbl,2,0)="","—",VLOOKUP($B275,AcctTbl,2,0)),VLOOKUP($B275,AcctTbl,3,0)),"—"))</f>
        <v/>
      </c>
      <c r="E275" s="34">
        <f>IF($B275="","",COUNTIFS(CalcParty,$B275,CalcGroup,"خرید"))</f>
        <v/>
      </c>
      <c r="F275" s="25">
        <f>IF($B275="","",SUMIFS(CalcScale,CalcParty,$B275,CalcGroup,"خرید"))</f>
        <v/>
      </c>
      <c r="G275" s="25">
        <f>IF($B275="","",SUMIFS(CalcBaskets,CalcParty,$B275,CalcGroup,"خرید"))</f>
        <v/>
      </c>
      <c r="H275" s="26">
        <f>IF($B275="","",SUMIFS(CalcNet,CalcParty,$B275,CalcGroup,"خرید"))</f>
        <v/>
      </c>
      <c r="I275" s="24">
        <f>IF($B275="","",IFERROR(IF(VLOOKUP($B275,AcctTbl,5,0)="","—",VLOOKUP($B275,AcctTbl,5,0)),"—"))</f>
        <v/>
      </c>
      <c r="J275" s="24">
        <f>IF($B275="","",IFERROR(IF(VLOOKUP($B275,AcctTbl,6,0)="","—",VLOOKUP($B275,AcctTbl,6,0)),"—"))</f>
        <v/>
      </c>
      <c r="K275" s="35">
        <f>IF(OR($B275="",$H$570=0),"",$H275/$H$570)</f>
        <v/>
      </c>
    </row>
    <row r="276">
      <c r="A276" s="17">
        <f>IF(ROW()-9&gt;NAcctAll,"",ROW()-9)</f>
        <v/>
      </c>
      <c r="B276" s="30">
        <f>IF($A276="","",IF($A276&lt;=NAcctAll,INDEX(PkAcctAll,$A276),""))</f>
        <v/>
      </c>
      <c r="C276" s="22">
        <f>IF($B276="","",IFERROR(IF(VLOOKUP($B276,AcctTbl,4,0)="","(بدون نام)",VLOOKUP($B276,AcctTbl,4,0)),"—"))</f>
        <v/>
      </c>
      <c r="D276" s="18">
        <f>IF($B276="","",IFERROR(IF(VLOOKUP($B276,AcctTbl,3,0)="",IF(VLOOKUP($B276,AcctTbl,2,0)="","—",VLOOKUP($B276,AcctTbl,2,0)),VLOOKUP($B276,AcctTbl,3,0)),"—"))</f>
        <v/>
      </c>
      <c r="E276" s="31">
        <f>IF($B276="","",COUNTIFS(CalcParty,$B276,CalcGroup,"خرید"))</f>
        <v/>
      </c>
      <c r="F276" s="19">
        <f>IF($B276="","",SUMIFS(CalcScale,CalcParty,$B276,CalcGroup,"خرید"))</f>
        <v/>
      </c>
      <c r="G276" s="19">
        <f>IF($B276="","",SUMIFS(CalcBaskets,CalcParty,$B276,CalcGroup,"خرید"))</f>
        <v/>
      </c>
      <c r="H276" s="20">
        <f>IF($B276="","",SUMIFS(CalcNet,CalcParty,$B276,CalcGroup,"خرید"))</f>
        <v/>
      </c>
      <c r="I276" s="18">
        <f>IF($B276="","",IFERROR(IF(VLOOKUP($B276,AcctTbl,5,0)="","—",VLOOKUP($B276,AcctTbl,5,0)),"—"))</f>
        <v/>
      </c>
      <c r="J276" s="18">
        <f>IF($B276="","",IFERROR(IF(VLOOKUP($B276,AcctTbl,6,0)="","—",VLOOKUP($B276,AcctTbl,6,0)),"—"))</f>
        <v/>
      </c>
      <c r="K276" s="32">
        <f>IF(OR($B276="",$H$570=0),"",$H276/$H$570)</f>
        <v/>
      </c>
    </row>
    <row r="277">
      <c r="A277" s="23">
        <f>IF(ROW()-9&gt;NAcctAll,"",ROW()-9)</f>
        <v/>
      </c>
      <c r="B277" s="33">
        <f>IF($A277="","",IF($A277&lt;=NAcctAll,INDEX(PkAcctAll,$A277),""))</f>
        <v/>
      </c>
      <c r="C277" s="28">
        <f>IF($B277="","",IFERROR(IF(VLOOKUP($B277,AcctTbl,4,0)="","(بدون نام)",VLOOKUP($B277,AcctTbl,4,0)),"—"))</f>
        <v/>
      </c>
      <c r="D277" s="24">
        <f>IF($B277="","",IFERROR(IF(VLOOKUP($B277,AcctTbl,3,0)="",IF(VLOOKUP($B277,AcctTbl,2,0)="","—",VLOOKUP($B277,AcctTbl,2,0)),VLOOKUP($B277,AcctTbl,3,0)),"—"))</f>
        <v/>
      </c>
      <c r="E277" s="34">
        <f>IF($B277="","",COUNTIFS(CalcParty,$B277,CalcGroup,"خرید"))</f>
        <v/>
      </c>
      <c r="F277" s="25">
        <f>IF($B277="","",SUMIFS(CalcScale,CalcParty,$B277,CalcGroup,"خرید"))</f>
        <v/>
      </c>
      <c r="G277" s="25">
        <f>IF($B277="","",SUMIFS(CalcBaskets,CalcParty,$B277,CalcGroup,"خرید"))</f>
        <v/>
      </c>
      <c r="H277" s="26">
        <f>IF($B277="","",SUMIFS(CalcNet,CalcParty,$B277,CalcGroup,"خرید"))</f>
        <v/>
      </c>
      <c r="I277" s="24">
        <f>IF($B277="","",IFERROR(IF(VLOOKUP($B277,AcctTbl,5,0)="","—",VLOOKUP($B277,AcctTbl,5,0)),"—"))</f>
        <v/>
      </c>
      <c r="J277" s="24">
        <f>IF($B277="","",IFERROR(IF(VLOOKUP($B277,AcctTbl,6,0)="","—",VLOOKUP($B277,AcctTbl,6,0)),"—"))</f>
        <v/>
      </c>
      <c r="K277" s="35">
        <f>IF(OR($B277="",$H$570=0),"",$H277/$H$570)</f>
        <v/>
      </c>
    </row>
    <row r="278">
      <c r="A278" s="17">
        <f>IF(ROW()-9&gt;NAcctAll,"",ROW()-9)</f>
        <v/>
      </c>
      <c r="B278" s="30">
        <f>IF($A278="","",IF($A278&lt;=NAcctAll,INDEX(PkAcctAll,$A278),""))</f>
        <v/>
      </c>
      <c r="C278" s="22">
        <f>IF($B278="","",IFERROR(IF(VLOOKUP($B278,AcctTbl,4,0)="","(بدون نام)",VLOOKUP($B278,AcctTbl,4,0)),"—"))</f>
        <v/>
      </c>
      <c r="D278" s="18">
        <f>IF($B278="","",IFERROR(IF(VLOOKUP($B278,AcctTbl,3,0)="",IF(VLOOKUP($B278,AcctTbl,2,0)="","—",VLOOKUP($B278,AcctTbl,2,0)),VLOOKUP($B278,AcctTbl,3,0)),"—"))</f>
        <v/>
      </c>
      <c r="E278" s="31">
        <f>IF($B278="","",COUNTIFS(CalcParty,$B278,CalcGroup,"خرید"))</f>
        <v/>
      </c>
      <c r="F278" s="19">
        <f>IF($B278="","",SUMIFS(CalcScale,CalcParty,$B278,CalcGroup,"خرید"))</f>
        <v/>
      </c>
      <c r="G278" s="19">
        <f>IF($B278="","",SUMIFS(CalcBaskets,CalcParty,$B278,CalcGroup,"خرید"))</f>
        <v/>
      </c>
      <c r="H278" s="20">
        <f>IF($B278="","",SUMIFS(CalcNet,CalcParty,$B278,CalcGroup,"خرید"))</f>
        <v/>
      </c>
      <c r="I278" s="18">
        <f>IF($B278="","",IFERROR(IF(VLOOKUP($B278,AcctTbl,5,0)="","—",VLOOKUP($B278,AcctTbl,5,0)),"—"))</f>
        <v/>
      </c>
      <c r="J278" s="18">
        <f>IF($B278="","",IFERROR(IF(VLOOKUP($B278,AcctTbl,6,0)="","—",VLOOKUP($B278,AcctTbl,6,0)),"—"))</f>
        <v/>
      </c>
      <c r="K278" s="32">
        <f>IF(OR($B278="",$H$570=0),"",$H278/$H$570)</f>
        <v/>
      </c>
    </row>
    <row r="279">
      <c r="A279" s="23">
        <f>IF(ROW()-9&gt;NAcctAll,"",ROW()-9)</f>
        <v/>
      </c>
      <c r="B279" s="33">
        <f>IF($A279="","",IF($A279&lt;=NAcctAll,INDEX(PkAcctAll,$A279),""))</f>
        <v/>
      </c>
      <c r="C279" s="28">
        <f>IF($B279="","",IFERROR(IF(VLOOKUP($B279,AcctTbl,4,0)="","(بدون نام)",VLOOKUP($B279,AcctTbl,4,0)),"—"))</f>
        <v/>
      </c>
      <c r="D279" s="24">
        <f>IF($B279="","",IFERROR(IF(VLOOKUP($B279,AcctTbl,3,0)="",IF(VLOOKUP($B279,AcctTbl,2,0)="","—",VLOOKUP($B279,AcctTbl,2,0)),VLOOKUP($B279,AcctTbl,3,0)),"—"))</f>
        <v/>
      </c>
      <c r="E279" s="34">
        <f>IF($B279="","",COUNTIFS(CalcParty,$B279,CalcGroup,"خرید"))</f>
        <v/>
      </c>
      <c r="F279" s="25">
        <f>IF($B279="","",SUMIFS(CalcScale,CalcParty,$B279,CalcGroup,"خرید"))</f>
        <v/>
      </c>
      <c r="G279" s="25">
        <f>IF($B279="","",SUMIFS(CalcBaskets,CalcParty,$B279,CalcGroup,"خرید"))</f>
        <v/>
      </c>
      <c r="H279" s="26">
        <f>IF($B279="","",SUMIFS(CalcNet,CalcParty,$B279,CalcGroup,"خرید"))</f>
        <v/>
      </c>
      <c r="I279" s="24">
        <f>IF($B279="","",IFERROR(IF(VLOOKUP($B279,AcctTbl,5,0)="","—",VLOOKUP($B279,AcctTbl,5,0)),"—"))</f>
        <v/>
      </c>
      <c r="J279" s="24">
        <f>IF($B279="","",IFERROR(IF(VLOOKUP($B279,AcctTbl,6,0)="","—",VLOOKUP($B279,AcctTbl,6,0)),"—"))</f>
        <v/>
      </c>
      <c r="K279" s="35">
        <f>IF(OR($B279="",$H$570=0),"",$H279/$H$570)</f>
        <v/>
      </c>
    </row>
    <row r="280">
      <c r="A280" s="17">
        <f>IF(ROW()-9&gt;NAcctAll,"",ROW()-9)</f>
        <v/>
      </c>
      <c r="B280" s="30">
        <f>IF($A280="","",IF($A280&lt;=NAcctAll,INDEX(PkAcctAll,$A280),""))</f>
        <v/>
      </c>
      <c r="C280" s="22">
        <f>IF($B280="","",IFERROR(IF(VLOOKUP($B280,AcctTbl,4,0)="","(بدون نام)",VLOOKUP($B280,AcctTbl,4,0)),"—"))</f>
        <v/>
      </c>
      <c r="D280" s="18">
        <f>IF($B280="","",IFERROR(IF(VLOOKUP($B280,AcctTbl,3,0)="",IF(VLOOKUP($B280,AcctTbl,2,0)="","—",VLOOKUP($B280,AcctTbl,2,0)),VLOOKUP($B280,AcctTbl,3,0)),"—"))</f>
        <v/>
      </c>
      <c r="E280" s="31">
        <f>IF($B280="","",COUNTIFS(CalcParty,$B280,CalcGroup,"خرید"))</f>
        <v/>
      </c>
      <c r="F280" s="19">
        <f>IF($B280="","",SUMIFS(CalcScale,CalcParty,$B280,CalcGroup,"خرید"))</f>
        <v/>
      </c>
      <c r="G280" s="19">
        <f>IF($B280="","",SUMIFS(CalcBaskets,CalcParty,$B280,CalcGroup,"خرید"))</f>
        <v/>
      </c>
      <c r="H280" s="20">
        <f>IF($B280="","",SUMIFS(CalcNet,CalcParty,$B280,CalcGroup,"خرید"))</f>
        <v/>
      </c>
      <c r="I280" s="18">
        <f>IF($B280="","",IFERROR(IF(VLOOKUP($B280,AcctTbl,5,0)="","—",VLOOKUP($B280,AcctTbl,5,0)),"—"))</f>
        <v/>
      </c>
      <c r="J280" s="18">
        <f>IF($B280="","",IFERROR(IF(VLOOKUP($B280,AcctTbl,6,0)="","—",VLOOKUP($B280,AcctTbl,6,0)),"—"))</f>
        <v/>
      </c>
      <c r="K280" s="32">
        <f>IF(OR($B280="",$H$570=0),"",$H280/$H$570)</f>
        <v/>
      </c>
    </row>
    <row r="281">
      <c r="A281" s="23">
        <f>IF(ROW()-9&gt;NAcctAll,"",ROW()-9)</f>
        <v/>
      </c>
      <c r="B281" s="33">
        <f>IF($A281="","",IF($A281&lt;=NAcctAll,INDEX(PkAcctAll,$A281),""))</f>
        <v/>
      </c>
      <c r="C281" s="28">
        <f>IF($B281="","",IFERROR(IF(VLOOKUP($B281,AcctTbl,4,0)="","(بدون نام)",VLOOKUP($B281,AcctTbl,4,0)),"—"))</f>
        <v/>
      </c>
      <c r="D281" s="24">
        <f>IF($B281="","",IFERROR(IF(VLOOKUP($B281,AcctTbl,3,0)="",IF(VLOOKUP($B281,AcctTbl,2,0)="","—",VLOOKUP($B281,AcctTbl,2,0)),VLOOKUP($B281,AcctTbl,3,0)),"—"))</f>
        <v/>
      </c>
      <c r="E281" s="34">
        <f>IF($B281="","",COUNTIFS(CalcParty,$B281,CalcGroup,"خرید"))</f>
        <v/>
      </c>
      <c r="F281" s="25">
        <f>IF($B281="","",SUMIFS(CalcScale,CalcParty,$B281,CalcGroup,"خرید"))</f>
        <v/>
      </c>
      <c r="G281" s="25">
        <f>IF($B281="","",SUMIFS(CalcBaskets,CalcParty,$B281,CalcGroup,"خرید"))</f>
        <v/>
      </c>
      <c r="H281" s="26">
        <f>IF($B281="","",SUMIFS(CalcNet,CalcParty,$B281,CalcGroup,"خرید"))</f>
        <v/>
      </c>
      <c r="I281" s="24">
        <f>IF($B281="","",IFERROR(IF(VLOOKUP($B281,AcctTbl,5,0)="","—",VLOOKUP($B281,AcctTbl,5,0)),"—"))</f>
        <v/>
      </c>
      <c r="J281" s="24">
        <f>IF($B281="","",IFERROR(IF(VLOOKUP($B281,AcctTbl,6,0)="","—",VLOOKUP($B281,AcctTbl,6,0)),"—"))</f>
        <v/>
      </c>
      <c r="K281" s="35">
        <f>IF(OR($B281="",$H$570=0),"",$H281/$H$570)</f>
        <v/>
      </c>
    </row>
    <row r="282">
      <c r="A282" s="17">
        <f>IF(ROW()-9&gt;NAcctAll,"",ROW()-9)</f>
        <v/>
      </c>
      <c r="B282" s="30">
        <f>IF($A282="","",IF($A282&lt;=NAcctAll,INDEX(PkAcctAll,$A282),""))</f>
        <v/>
      </c>
      <c r="C282" s="22">
        <f>IF($B282="","",IFERROR(IF(VLOOKUP($B282,AcctTbl,4,0)="","(بدون نام)",VLOOKUP($B282,AcctTbl,4,0)),"—"))</f>
        <v/>
      </c>
      <c r="D282" s="18">
        <f>IF($B282="","",IFERROR(IF(VLOOKUP($B282,AcctTbl,3,0)="",IF(VLOOKUP($B282,AcctTbl,2,0)="","—",VLOOKUP($B282,AcctTbl,2,0)),VLOOKUP($B282,AcctTbl,3,0)),"—"))</f>
        <v/>
      </c>
      <c r="E282" s="31">
        <f>IF($B282="","",COUNTIFS(CalcParty,$B282,CalcGroup,"خرید"))</f>
        <v/>
      </c>
      <c r="F282" s="19">
        <f>IF($B282="","",SUMIFS(CalcScale,CalcParty,$B282,CalcGroup,"خرید"))</f>
        <v/>
      </c>
      <c r="G282" s="19">
        <f>IF($B282="","",SUMIFS(CalcBaskets,CalcParty,$B282,CalcGroup,"خرید"))</f>
        <v/>
      </c>
      <c r="H282" s="20">
        <f>IF($B282="","",SUMIFS(CalcNet,CalcParty,$B282,CalcGroup,"خرید"))</f>
        <v/>
      </c>
      <c r="I282" s="18">
        <f>IF($B282="","",IFERROR(IF(VLOOKUP($B282,AcctTbl,5,0)="","—",VLOOKUP($B282,AcctTbl,5,0)),"—"))</f>
        <v/>
      </c>
      <c r="J282" s="18">
        <f>IF($B282="","",IFERROR(IF(VLOOKUP($B282,AcctTbl,6,0)="","—",VLOOKUP($B282,AcctTbl,6,0)),"—"))</f>
        <v/>
      </c>
      <c r="K282" s="32">
        <f>IF(OR($B282="",$H$570=0),"",$H282/$H$570)</f>
        <v/>
      </c>
    </row>
    <row r="283">
      <c r="A283" s="23">
        <f>IF(ROW()-9&gt;NAcctAll,"",ROW()-9)</f>
        <v/>
      </c>
      <c r="B283" s="33">
        <f>IF($A283="","",IF($A283&lt;=NAcctAll,INDEX(PkAcctAll,$A283),""))</f>
        <v/>
      </c>
      <c r="C283" s="28">
        <f>IF($B283="","",IFERROR(IF(VLOOKUP($B283,AcctTbl,4,0)="","(بدون نام)",VLOOKUP($B283,AcctTbl,4,0)),"—"))</f>
        <v/>
      </c>
      <c r="D283" s="24">
        <f>IF($B283="","",IFERROR(IF(VLOOKUP($B283,AcctTbl,3,0)="",IF(VLOOKUP($B283,AcctTbl,2,0)="","—",VLOOKUP($B283,AcctTbl,2,0)),VLOOKUP($B283,AcctTbl,3,0)),"—"))</f>
        <v/>
      </c>
      <c r="E283" s="34">
        <f>IF($B283="","",COUNTIFS(CalcParty,$B283,CalcGroup,"خرید"))</f>
        <v/>
      </c>
      <c r="F283" s="25">
        <f>IF($B283="","",SUMIFS(CalcScale,CalcParty,$B283,CalcGroup,"خرید"))</f>
        <v/>
      </c>
      <c r="G283" s="25">
        <f>IF($B283="","",SUMIFS(CalcBaskets,CalcParty,$B283,CalcGroup,"خرید"))</f>
        <v/>
      </c>
      <c r="H283" s="26">
        <f>IF($B283="","",SUMIFS(CalcNet,CalcParty,$B283,CalcGroup,"خرید"))</f>
        <v/>
      </c>
      <c r="I283" s="24">
        <f>IF($B283="","",IFERROR(IF(VLOOKUP($B283,AcctTbl,5,0)="","—",VLOOKUP($B283,AcctTbl,5,0)),"—"))</f>
        <v/>
      </c>
      <c r="J283" s="24">
        <f>IF($B283="","",IFERROR(IF(VLOOKUP($B283,AcctTbl,6,0)="","—",VLOOKUP($B283,AcctTbl,6,0)),"—"))</f>
        <v/>
      </c>
      <c r="K283" s="35">
        <f>IF(OR($B283="",$H$570=0),"",$H283/$H$570)</f>
        <v/>
      </c>
    </row>
    <row r="284">
      <c r="A284" s="17">
        <f>IF(ROW()-9&gt;NAcctAll,"",ROW()-9)</f>
        <v/>
      </c>
      <c r="B284" s="30">
        <f>IF($A284="","",IF($A284&lt;=NAcctAll,INDEX(PkAcctAll,$A284),""))</f>
        <v/>
      </c>
      <c r="C284" s="22">
        <f>IF($B284="","",IFERROR(IF(VLOOKUP($B284,AcctTbl,4,0)="","(بدون نام)",VLOOKUP($B284,AcctTbl,4,0)),"—"))</f>
        <v/>
      </c>
      <c r="D284" s="18">
        <f>IF($B284="","",IFERROR(IF(VLOOKUP($B284,AcctTbl,3,0)="",IF(VLOOKUP($B284,AcctTbl,2,0)="","—",VLOOKUP($B284,AcctTbl,2,0)),VLOOKUP($B284,AcctTbl,3,0)),"—"))</f>
        <v/>
      </c>
      <c r="E284" s="31">
        <f>IF($B284="","",COUNTIFS(CalcParty,$B284,CalcGroup,"خرید"))</f>
        <v/>
      </c>
      <c r="F284" s="19">
        <f>IF($B284="","",SUMIFS(CalcScale,CalcParty,$B284,CalcGroup,"خرید"))</f>
        <v/>
      </c>
      <c r="G284" s="19">
        <f>IF($B284="","",SUMIFS(CalcBaskets,CalcParty,$B284,CalcGroup,"خرید"))</f>
        <v/>
      </c>
      <c r="H284" s="20">
        <f>IF($B284="","",SUMIFS(CalcNet,CalcParty,$B284,CalcGroup,"خرید"))</f>
        <v/>
      </c>
      <c r="I284" s="18">
        <f>IF($B284="","",IFERROR(IF(VLOOKUP($B284,AcctTbl,5,0)="","—",VLOOKUP($B284,AcctTbl,5,0)),"—"))</f>
        <v/>
      </c>
      <c r="J284" s="18">
        <f>IF($B284="","",IFERROR(IF(VLOOKUP($B284,AcctTbl,6,0)="","—",VLOOKUP($B284,AcctTbl,6,0)),"—"))</f>
        <v/>
      </c>
      <c r="K284" s="32">
        <f>IF(OR($B284="",$H$570=0),"",$H284/$H$570)</f>
        <v/>
      </c>
    </row>
    <row r="285">
      <c r="A285" s="23">
        <f>IF(ROW()-9&gt;NAcctAll,"",ROW()-9)</f>
        <v/>
      </c>
      <c r="B285" s="33">
        <f>IF($A285="","",IF($A285&lt;=NAcctAll,INDEX(PkAcctAll,$A285),""))</f>
        <v/>
      </c>
      <c r="C285" s="28">
        <f>IF($B285="","",IFERROR(IF(VLOOKUP($B285,AcctTbl,4,0)="","(بدون نام)",VLOOKUP($B285,AcctTbl,4,0)),"—"))</f>
        <v/>
      </c>
      <c r="D285" s="24">
        <f>IF($B285="","",IFERROR(IF(VLOOKUP($B285,AcctTbl,3,0)="",IF(VLOOKUP($B285,AcctTbl,2,0)="","—",VLOOKUP($B285,AcctTbl,2,0)),VLOOKUP($B285,AcctTbl,3,0)),"—"))</f>
        <v/>
      </c>
      <c r="E285" s="34">
        <f>IF($B285="","",COUNTIFS(CalcParty,$B285,CalcGroup,"خرید"))</f>
        <v/>
      </c>
      <c r="F285" s="25">
        <f>IF($B285="","",SUMIFS(CalcScale,CalcParty,$B285,CalcGroup,"خرید"))</f>
        <v/>
      </c>
      <c r="G285" s="25">
        <f>IF($B285="","",SUMIFS(CalcBaskets,CalcParty,$B285,CalcGroup,"خرید"))</f>
        <v/>
      </c>
      <c r="H285" s="26">
        <f>IF($B285="","",SUMIFS(CalcNet,CalcParty,$B285,CalcGroup,"خرید"))</f>
        <v/>
      </c>
      <c r="I285" s="24">
        <f>IF($B285="","",IFERROR(IF(VLOOKUP($B285,AcctTbl,5,0)="","—",VLOOKUP($B285,AcctTbl,5,0)),"—"))</f>
        <v/>
      </c>
      <c r="J285" s="24">
        <f>IF($B285="","",IFERROR(IF(VLOOKUP($B285,AcctTbl,6,0)="","—",VLOOKUP($B285,AcctTbl,6,0)),"—"))</f>
        <v/>
      </c>
      <c r="K285" s="35">
        <f>IF(OR($B285="",$H$570=0),"",$H285/$H$570)</f>
        <v/>
      </c>
    </row>
    <row r="286">
      <c r="A286" s="17">
        <f>IF(ROW()-9&gt;NAcctAll,"",ROW()-9)</f>
        <v/>
      </c>
      <c r="B286" s="30">
        <f>IF($A286="","",IF($A286&lt;=NAcctAll,INDEX(PkAcctAll,$A286),""))</f>
        <v/>
      </c>
      <c r="C286" s="22">
        <f>IF($B286="","",IFERROR(IF(VLOOKUP($B286,AcctTbl,4,0)="","(بدون نام)",VLOOKUP($B286,AcctTbl,4,0)),"—"))</f>
        <v/>
      </c>
      <c r="D286" s="18">
        <f>IF($B286="","",IFERROR(IF(VLOOKUP($B286,AcctTbl,3,0)="",IF(VLOOKUP($B286,AcctTbl,2,0)="","—",VLOOKUP($B286,AcctTbl,2,0)),VLOOKUP($B286,AcctTbl,3,0)),"—"))</f>
        <v/>
      </c>
      <c r="E286" s="31">
        <f>IF($B286="","",COUNTIFS(CalcParty,$B286,CalcGroup,"خرید"))</f>
        <v/>
      </c>
      <c r="F286" s="19">
        <f>IF($B286="","",SUMIFS(CalcScale,CalcParty,$B286,CalcGroup,"خرید"))</f>
        <v/>
      </c>
      <c r="G286" s="19">
        <f>IF($B286="","",SUMIFS(CalcBaskets,CalcParty,$B286,CalcGroup,"خرید"))</f>
        <v/>
      </c>
      <c r="H286" s="20">
        <f>IF($B286="","",SUMIFS(CalcNet,CalcParty,$B286,CalcGroup,"خرید"))</f>
        <v/>
      </c>
      <c r="I286" s="18">
        <f>IF($B286="","",IFERROR(IF(VLOOKUP($B286,AcctTbl,5,0)="","—",VLOOKUP($B286,AcctTbl,5,0)),"—"))</f>
        <v/>
      </c>
      <c r="J286" s="18">
        <f>IF($B286="","",IFERROR(IF(VLOOKUP($B286,AcctTbl,6,0)="","—",VLOOKUP($B286,AcctTbl,6,0)),"—"))</f>
        <v/>
      </c>
      <c r="K286" s="32">
        <f>IF(OR($B286="",$H$570=0),"",$H286/$H$570)</f>
        <v/>
      </c>
    </row>
    <row r="287">
      <c r="A287" s="23">
        <f>IF(ROW()-9&gt;NAcctAll,"",ROW()-9)</f>
        <v/>
      </c>
      <c r="B287" s="33">
        <f>IF($A287="","",IF($A287&lt;=NAcctAll,INDEX(PkAcctAll,$A287),""))</f>
        <v/>
      </c>
      <c r="C287" s="28">
        <f>IF($B287="","",IFERROR(IF(VLOOKUP($B287,AcctTbl,4,0)="","(بدون نام)",VLOOKUP($B287,AcctTbl,4,0)),"—"))</f>
        <v/>
      </c>
      <c r="D287" s="24">
        <f>IF($B287="","",IFERROR(IF(VLOOKUP($B287,AcctTbl,3,0)="",IF(VLOOKUP($B287,AcctTbl,2,0)="","—",VLOOKUP($B287,AcctTbl,2,0)),VLOOKUP($B287,AcctTbl,3,0)),"—"))</f>
        <v/>
      </c>
      <c r="E287" s="34">
        <f>IF($B287="","",COUNTIFS(CalcParty,$B287,CalcGroup,"خرید"))</f>
        <v/>
      </c>
      <c r="F287" s="25">
        <f>IF($B287="","",SUMIFS(CalcScale,CalcParty,$B287,CalcGroup,"خرید"))</f>
        <v/>
      </c>
      <c r="G287" s="25">
        <f>IF($B287="","",SUMIFS(CalcBaskets,CalcParty,$B287,CalcGroup,"خرید"))</f>
        <v/>
      </c>
      <c r="H287" s="26">
        <f>IF($B287="","",SUMIFS(CalcNet,CalcParty,$B287,CalcGroup,"خرید"))</f>
        <v/>
      </c>
      <c r="I287" s="24">
        <f>IF($B287="","",IFERROR(IF(VLOOKUP($B287,AcctTbl,5,0)="","—",VLOOKUP($B287,AcctTbl,5,0)),"—"))</f>
        <v/>
      </c>
      <c r="J287" s="24">
        <f>IF($B287="","",IFERROR(IF(VLOOKUP($B287,AcctTbl,6,0)="","—",VLOOKUP($B287,AcctTbl,6,0)),"—"))</f>
        <v/>
      </c>
      <c r="K287" s="35">
        <f>IF(OR($B287="",$H$570=0),"",$H287/$H$570)</f>
        <v/>
      </c>
    </row>
    <row r="288">
      <c r="A288" s="17">
        <f>IF(ROW()-9&gt;NAcctAll,"",ROW()-9)</f>
        <v/>
      </c>
      <c r="B288" s="30">
        <f>IF($A288="","",IF($A288&lt;=NAcctAll,INDEX(PkAcctAll,$A288),""))</f>
        <v/>
      </c>
      <c r="C288" s="22">
        <f>IF($B288="","",IFERROR(IF(VLOOKUP($B288,AcctTbl,4,0)="","(بدون نام)",VLOOKUP($B288,AcctTbl,4,0)),"—"))</f>
        <v/>
      </c>
      <c r="D288" s="18">
        <f>IF($B288="","",IFERROR(IF(VLOOKUP($B288,AcctTbl,3,0)="",IF(VLOOKUP($B288,AcctTbl,2,0)="","—",VLOOKUP($B288,AcctTbl,2,0)),VLOOKUP($B288,AcctTbl,3,0)),"—"))</f>
        <v/>
      </c>
      <c r="E288" s="31">
        <f>IF($B288="","",COUNTIFS(CalcParty,$B288,CalcGroup,"خرید"))</f>
        <v/>
      </c>
      <c r="F288" s="19">
        <f>IF($B288="","",SUMIFS(CalcScale,CalcParty,$B288,CalcGroup,"خرید"))</f>
        <v/>
      </c>
      <c r="G288" s="19">
        <f>IF($B288="","",SUMIFS(CalcBaskets,CalcParty,$B288,CalcGroup,"خرید"))</f>
        <v/>
      </c>
      <c r="H288" s="20">
        <f>IF($B288="","",SUMIFS(CalcNet,CalcParty,$B288,CalcGroup,"خرید"))</f>
        <v/>
      </c>
      <c r="I288" s="18">
        <f>IF($B288="","",IFERROR(IF(VLOOKUP($B288,AcctTbl,5,0)="","—",VLOOKUP($B288,AcctTbl,5,0)),"—"))</f>
        <v/>
      </c>
      <c r="J288" s="18">
        <f>IF($B288="","",IFERROR(IF(VLOOKUP($B288,AcctTbl,6,0)="","—",VLOOKUP($B288,AcctTbl,6,0)),"—"))</f>
        <v/>
      </c>
      <c r="K288" s="32">
        <f>IF(OR($B288="",$H$570=0),"",$H288/$H$570)</f>
        <v/>
      </c>
    </row>
    <row r="289">
      <c r="A289" s="23">
        <f>IF(ROW()-9&gt;NAcctAll,"",ROW()-9)</f>
        <v/>
      </c>
      <c r="B289" s="33">
        <f>IF($A289="","",IF($A289&lt;=NAcctAll,INDEX(PkAcctAll,$A289),""))</f>
        <v/>
      </c>
      <c r="C289" s="28">
        <f>IF($B289="","",IFERROR(IF(VLOOKUP($B289,AcctTbl,4,0)="","(بدون نام)",VLOOKUP($B289,AcctTbl,4,0)),"—"))</f>
        <v/>
      </c>
      <c r="D289" s="24">
        <f>IF($B289="","",IFERROR(IF(VLOOKUP($B289,AcctTbl,3,0)="",IF(VLOOKUP($B289,AcctTbl,2,0)="","—",VLOOKUP($B289,AcctTbl,2,0)),VLOOKUP($B289,AcctTbl,3,0)),"—"))</f>
        <v/>
      </c>
      <c r="E289" s="34">
        <f>IF($B289="","",COUNTIFS(CalcParty,$B289,CalcGroup,"خرید"))</f>
        <v/>
      </c>
      <c r="F289" s="25">
        <f>IF($B289="","",SUMIFS(CalcScale,CalcParty,$B289,CalcGroup,"خرید"))</f>
        <v/>
      </c>
      <c r="G289" s="25">
        <f>IF($B289="","",SUMIFS(CalcBaskets,CalcParty,$B289,CalcGroup,"خرید"))</f>
        <v/>
      </c>
      <c r="H289" s="26">
        <f>IF($B289="","",SUMIFS(CalcNet,CalcParty,$B289,CalcGroup,"خرید"))</f>
        <v/>
      </c>
      <c r="I289" s="24">
        <f>IF($B289="","",IFERROR(IF(VLOOKUP($B289,AcctTbl,5,0)="","—",VLOOKUP($B289,AcctTbl,5,0)),"—"))</f>
        <v/>
      </c>
      <c r="J289" s="24">
        <f>IF($B289="","",IFERROR(IF(VLOOKUP($B289,AcctTbl,6,0)="","—",VLOOKUP($B289,AcctTbl,6,0)),"—"))</f>
        <v/>
      </c>
      <c r="K289" s="35">
        <f>IF(OR($B289="",$H$570=0),"",$H289/$H$570)</f>
        <v/>
      </c>
    </row>
    <row r="290">
      <c r="A290" s="17">
        <f>IF(ROW()-9&gt;NAcctAll,"",ROW()-9)</f>
        <v/>
      </c>
      <c r="B290" s="30">
        <f>IF($A290="","",IF($A290&lt;=NAcctAll,INDEX(PkAcctAll,$A290),""))</f>
        <v/>
      </c>
      <c r="C290" s="22">
        <f>IF($B290="","",IFERROR(IF(VLOOKUP($B290,AcctTbl,4,0)="","(بدون نام)",VLOOKUP($B290,AcctTbl,4,0)),"—"))</f>
        <v/>
      </c>
      <c r="D290" s="18">
        <f>IF($B290="","",IFERROR(IF(VLOOKUP($B290,AcctTbl,3,0)="",IF(VLOOKUP($B290,AcctTbl,2,0)="","—",VLOOKUP($B290,AcctTbl,2,0)),VLOOKUP($B290,AcctTbl,3,0)),"—"))</f>
        <v/>
      </c>
      <c r="E290" s="31">
        <f>IF($B290="","",COUNTIFS(CalcParty,$B290,CalcGroup,"خرید"))</f>
        <v/>
      </c>
      <c r="F290" s="19">
        <f>IF($B290="","",SUMIFS(CalcScale,CalcParty,$B290,CalcGroup,"خرید"))</f>
        <v/>
      </c>
      <c r="G290" s="19">
        <f>IF($B290="","",SUMIFS(CalcBaskets,CalcParty,$B290,CalcGroup,"خرید"))</f>
        <v/>
      </c>
      <c r="H290" s="20">
        <f>IF($B290="","",SUMIFS(CalcNet,CalcParty,$B290,CalcGroup,"خرید"))</f>
        <v/>
      </c>
      <c r="I290" s="18">
        <f>IF($B290="","",IFERROR(IF(VLOOKUP($B290,AcctTbl,5,0)="","—",VLOOKUP($B290,AcctTbl,5,0)),"—"))</f>
        <v/>
      </c>
      <c r="J290" s="18">
        <f>IF($B290="","",IFERROR(IF(VLOOKUP($B290,AcctTbl,6,0)="","—",VLOOKUP($B290,AcctTbl,6,0)),"—"))</f>
        <v/>
      </c>
      <c r="K290" s="32">
        <f>IF(OR($B290="",$H$570=0),"",$H290/$H$570)</f>
        <v/>
      </c>
    </row>
    <row r="291">
      <c r="A291" s="23">
        <f>IF(ROW()-9&gt;NAcctAll,"",ROW()-9)</f>
        <v/>
      </c>
      <c r="B291" s="33">
        <f>IF($A291="","",IF($A291&lt;=NAcctAll,INDEX(PkAcctAll,$A291),""))</f>
        <v/>
      </c>
      <c r="C291" s="28">
        <f>IF($B291="","",IFERROR(IF(VLOOKUP($B291,AcctTbl,4,0)="","(بدون نام)",VLOOKUP($B291,AcctTbl,4,0)),"—"))</f>
        <v/>
      </c>
      <c r="D291" s="24">
        <f>IF($B291="","",IFERROR(IF(VLOOKUP($B291,AcctTbl,3,0)="",IF(VLOOKUP($B291,AcctTbl,2,0)="","—",VLOOKUP($B291,AcctTbl,2,0)),VLOOKUP($B291,AcctTbl,3,0)),"—"))</f>
        <v/>
      </c>
      <c r="E291" s="34">
        <f>IF($B291="","",COUNTIFS(CalcParty,$B291,CalcGroup,"خرید"))</f>
        <v/>
      </c>
      <c r="F291" s="25">
        <f>IF($B291="","",SUMIFS(CalcScale,CalcParty,$B291,CalcGroup,"خرید"))</f>
        <v/>
      </c>
      <c r="G291" s="25">
        <f>IF($B291="","",SUMIFS(CalcBaskets,CalcParty,$B291,CalcGroup,"خرید"))</f>
        <v/>
      </c>
      <c r="H291" s="26">
        <f>IF($B291="","",SUMIFS(CalcNet,CalcParty,$B291,CalcGroup,"خرید"))</f>
        <v/>
      </c>
      <c r="I291" s="24">
        <f>IF($B291="","",IFERROR(IF(VLOOKUP($B291,AcctTbl,5,0)="","—",VLOOKUP($B291,AcctTbl,5,0)),"—"))</f>
        <v/>
      </c>
      <c r="J291" s="24">
        <f>IF($B291="","",IFERROR(IF(VLOOKUP($B291,AcctTbl,6,0)="","—",VLOOKUP($B291,AcctTbl,6,0)),"—"))</f>
        <v/>
      </c>
      <c r="K291" s="35">
        <f>IF(OR($B291="",$H$570=0),"",$H291/$H$570)</f>
        <v/>
      </c>
    </row>
    <row r="292">
      <c r="A292" s="17">
        <f>IF(ROW()-9&gt;NAcctAll,"",ROW()-9)</f>
        <v/>
      </c>
      <c r="B292" s="30">
        <f>IF($A292="","",IF($A292&lt;=NAcctAll,INDEX(PkAcctAll,$A292),""))</f>
        <v/>
      </c>
      <c r="C292" s="22">
        <f>IF($B292="","",IFERROR(IF(VLOOKUP($B292,AcctTbl,4,0)="","(بدون نام)",VLOOKUP($B292,AcctTbl,4,0)),"—"))</f>
        <v/>
      </c>
      <c r="D292" s="18">
        <f>IF($B292="","",IFERROR(IF(VLOOKUP($B292,AcctTbl,3,0)="",IF(VLOOKUP($B292,AcctTbl,2,0)="","—",VLOOKUP($B292,AcctTbl,2,0)),VLOOKUP($B292,AcctTbl,3,0)),"—"))</f>
        <v/>
      </c>
      <c r="E292" s="31">
        <f>IF($B292="","",COUNTIFS(CalcParty,$B292,CalcGroup,"خرید"))</f>
        <v/>
      </c>
      <c r="F292" s="19">
        <f>IF($B292="","",SUMIFS(CalcScale,CalcParty,$B292,CalcGroup,"خرید"))</f>
        <v/>
      </c>
      <c r="G292" s="19">
        <f>IF($B292="","",SUMIFS(CalcBaskets,CalcParty,$B292,CalcGroup,"خرید"))</f>
        <v/>
      </c>
      <c r="H292" s="20">
        <f>IF($B292="","",SUMIFS(CalcNet,CalcParty,$B292,CalcGroup,"خرید"))</f>
        <v/>
      </c>
      <c r="I292" s="18">
        <f>IF($B292="","",IFERROR(IF(VLOOKUP($B292,AcctTbl,5,0)="","—",VLOOKUP($B292,AcctTbl,5,0)),"—"))</f>
        <v/>
      </c>
      <c r="J292" s="18">
        <f>IF($B292="","",IFERROR(IF(VLOOKUP($B292,AcctTbl,6,0)="","—",VLOOKUP($B292,AcctTbl,6,0)),"—"))</f>
        <v/>
      </c>
      <c r="K292" s="32">
        <f>IF(OR($B292="",$H$570=0),"",$H292/$H$570)</f>
        <v/>
      </c>
    </row>
    <row r="293">
      <c r="A293" s="23">
        <f>IF(ROW()-9&gt;NAcctAll,"",ROW()-9)</f>
        <v/>
      </c>
      <c r="B293" s="33">
        <f>IF($A293="","",IF($A293&lt;=NAcctAll,INDEX(PkAcctAll,$A293),""))</f>
        <v/>
      </c>
      <c r="C293" s="28">
        <f>IF($B293="","",IFERROR(IF(VLOOKUP($B293,AcctTbl,4,0)="","(بدون نام)",VLOOKUP($B293,AcctTbl,4,0)),"—"))</f>
        <v/>
      </c>
      <c r="D293" s="24">
        <f>IF($B293="","",IFERROR(IF(VLOOKUP($B293,AcctTbl,3,0)="",IF(VLOOKUP($B293,AcctTbl,2,0)="","—",VLOOKUP($B293,AcctTbl,2,0)),VLOOKUP($B293,AcctTbl,3,0)),"—"))</f>
        <v/>
      </c>
      <c r="E293" s="34">
        <f>IF($B293="","",COUNTIFS(CalcParty,$B293,CalcGroup,"خرید"))</f>
        <v/>
      </c>
      <c r="F293" s="25">
        <f>IF($B293="","",SUMIFS(CalcScale,CalcParty,$B293,CalcGroup,"خرید"))</f>
        <v/>
      </c>
      <c r="G293" s="25">
        <f>IF($B293="","",SUMIFS(CalcBaskets,CalcParty,$B293,CalcGroup,"خرید"))</f>
        <v/>
      </c>
      <c r="H293" s="26">
        <f>IF($B293="","",SUMIFS(CalcNet,CalcParty,$B293,CalcGroup,"خرید"))</f>
        <v/>
      </c>
      <c r="I293" s="24">
        <f>IF($B293="","",IFERROR(IF(VLOOKUP($B293,AcctTbl,5,0)="","—",VLOOKUP($B293,AcctTbl,5,0)),"—"))</f>
        <v/>
      </c>
      <c r="J293" s="24">
        <f>IF($B293="","",IFERROR(IF(VLOOKUP($B293,AcctTbl,6,0)="","—",VLOOKUP($B293,AcctTbl,6,0)),"—"))</f>
        <v/>
      </c>
      <c r="K293" s="35">
        <f>IF(OR($B293="",$H$570=0),"",$H293/$H$570)</f>
        <v/>
      </c>
    </row>
    <row r="294">
      <c r="A294" s="17">
        <f>IF(ROW()-9&gt;NAcctAll,"",ROW()-9)</f>
        <v/>
      </c>
      <c r="B294" s="30">
        <f>IF($A294="","",IF($A294&lt;=NAcctAll,INDEX(PkAcctAll,$A294),""))</f>
        <v/>
      </c>
      <c r="C294" s="22">
        <f>IF($B294="","",IFERROR(IF(VLOOKUP($B294,AcctTbl,4,0)="","(بدون نام)",VLOOKUP($B294,AcctTbl,4,0)),"—"))</f>
        <v/>
      </c>
      <c r="D294" s="18">
        <f>IF($B294="","",IFERROR(IF(VLOOKUP($B294,AcctTbl,3,0)="",IF(VLOOKUP($B294,AcctTbl,2,0)="","—",VLOOKUP($B294,AcctTbl,2,0)),VLOOKUP($B294,AcctTbl,3,0)),"—"))</f>
        <v/>
      </c>
      <c r="E294" s="31">
        <f>IF($B294="","",COUNTIFS(CalcParty,$B294,CalcGroup,"خرید"))</f>
        <v/>
      </c>
      <c r="F294" s="19">
        <f>IF($B294="","",SUMIFS(CalcScale,CalcParty,$B294,CalcGroup,"خرید"))</f>
        <v/>
      </c>
      <c r="G294" s="19">
        <f>IF($B294="","",SUMIFS(CalcBaskets,CalcParty,$B294,CalcGroup,"خرید"))</f>
        <v/>
      </c>
      <c r="H294" s="20">
        <f>IF($B294="","",SUMIFS(CalcNet,CalcParty,$B294,CalcGroup,"خرید"))</f>
        <v/>
      </c>
      <c r="I294" s="18">
        <f>IF($B294="","",IFERROR(IF(VLOOKUP($B294,AcctTbl,5,0)="","—",VLOOKUP($B294,AcctTbl,5,0)),"—"))</f>
        <v/>
      </c>
      <c r="J294" s="18">
        <f>IF($B294="","",IFERROR(IF(VLOOKUP($B294,AcctTbl,6,0)="","—",VLOOKUP($B294,AcctTbl,6,0)),"—"))</f>
        <v/>
      </c>
      <c r="K294" s="32">
        <f>IF(OR($B294="",$H$570=0),"",$H294/$H$570)</f>
        <v/>
      </c>
    </row>
    <row r="295">
      <c r="A295" s="23">
        <f>IF(ROW()-9&gt;NAcctAll,"",ROW()-9)</f>
        <v/>
      </c>
      <c r="B295" s="33">
        <f>IF($A295="","",IF($A295&lt;=NAcctAll,INDEX(PkAcctAll,$A295),""))</f>
        <v/>
      </c>
      <c r="C295" s="28">
        <f>IF($B295="","",IFERROR(IF(VLOOKUP($B295,AcctTbl,4,0)="","(بدون نام)",VLOOKUP($B295,AcctTbl,4,0)),"—"))</f>
        <v/>
      </c>
      <c r="D295" s="24">
        <f>IF($B295="","",IFERROR(IF(VLOOKUP($B295,AcctTbl,3,0)="",IF(VLOOKUP($B295,AcctTbl,2,0)="","—",VLOOKUP($B295,AcctTbl,2,0)),VLOOKUP($B295,AcctTbl,3,0)),"—"))</f>
        <v/>
      </c>
      <c r="E295" s="34">
        <f>IF($B295="","",COUNTIFS(CalcParty,$B295,CalcGroup,"خرید"))</f>
        <v/>
      </c>
      <c r="F295" s="25">
        <f>IF($B295="","",SUMIFS(CalcScale,CalcParty,$B295,CalcGroup,"خرید"))</f>
        <v/>
      </c>
      <c r="G295" s="25">
        <f>IF($B295="","",SUMIFS(CalcBaskets,CalcParty,$B295,CalcGroup,"خرید"))</f>
        <v/>
      </c>
      <c r="H295" s="26">
        <f>IF($B295="","",SUMIFS(CalcNet,CalcParty,$B295,CalcGroup,"خرید"))</f>
        <v/>
      </c>
      <c r="I295" s="24">
        <f>IF($B295="","",IFERROR(IF(VLOOKUP($B295,AcctTbl,5,0)="","—",VLOOKUP($B295,AcctTbl,5,0)),"—"))</f>
        <v/>
      </c>
      <c r="J295" s="24">
        <f>IF($B295="","",IFERROR(IF(VLOOKUP($B295,AcctTbl,6,0)="","—",VLOOKUP($B295,AcctTbl,6,0)),"—"))</f>
        <v/>
      </c>
      <c r="K295" s="35">
        <f>IF(OR($B295="",$H$570=0),"",$H295/$H$570)</f>
        <v/>
      </c>
    </row>
    <row r="296">
      <c r="A296" s="17">
        <f>IF(ROW()-9&gt;NAcctAll,"",ROW()-9)</f>
        <v/>
      </c>
      <c r="B296" s="30">
        <f>IF($A296="","",IF($A296&lt;=NAcctAll,INDEX(PkAcctAll,$A296),""))</f>
        <v/>
      </c>
      <c r="C296" s="22">
        <f>IF($B296="","",IFERROR(IF(VLOOKUP($B296,AcctTbl,4,0)="","(بدون نام)",VLOOKUP($B296,AcctTbl,4,0)),"—"))</f>
        <v/>
      </c>
      <c r="D296" s="18">
        <f>IF($B296="","",IFERROR(IF(VLOOKUP($B296,AcctTbl,3,0)="",IF(VLOOKUP($B296,AcctTbl,2,0)="","—",VLOOKUP($B296,AcctTbl,2,0)),VLOOKUP($B296,AcctTbl,3,0)),"—"))</f>
        <v/>
      </c>
      <c r="E296" s="31">
        <f>IF($B296="","",COUNTIFS(CalcParty,$B296,CalcGroup,"خرید"))</f>
        <v/>
      </c>
      <c r="F296" s="19">
        <f>IF($B296="","",SUMIFS(CalcScale,CalcParty,$B296,CalcGroup,"خرید"))</f>
        <v/>
      </c>
      <c r="G296" s="19">
        <f>IF($B296="","",SUMIFS(CalcBaskets,CalcParty,$B296,CalcGroup,"خرید"))</f>
        <v/>
      </c>
      <c r="H296" s="20">
        <f>IF($B296="","",SUMIFS(CalcNet,CalcParty,$B296,CalcGroup,"خرید"))</f>
        <v/>
      </c>
      <c r="I296" s="18">
        <f>IF($B296="","",IFERROR(IF(VLOOKUP($B296,AcctTbl,5,0)="","—",VLOOKUP($B296,AcctTbl,5,0)),"—"))</f>
        <v/>
      </c>
      <c r="J296" s="18">
        <f>IF($B296="","",IFERROR(IF(VLOOKUP($B296,AcctTbl,6,0)="","—",VLOOKUP($B296,AcctTbl,6,0)),"—"))</f>
        <v/>
      </c>
      <c r="K296" s="32">
        <f>IF(OR($B296="",$H$570=0),"",$H296/$H$570)</f>
        <v/>
      </c>
    </row>
    <row r="297">
      <c r="A297" s="23">
        <f>IF(ROW()-9&gt;NAcctAll,"",ROW()-9)</f>
        <v/>
      </c>
      <c r="B297" s="33">
        <f>IF($A297="","",IF($A297&lt;=NAcctAll,INDEX(PkAcctAll,$A297),""))</f>
        <v/>
      </c>
      <c r="C297" s="28">
        <f>IF($B297="","",IFERROR(IF(VLOOKUP($B297,AcctTbl,4,0)="","(بدون نام)",VLOOKUP($B297,AcctTbl,4,0)),"—"))</f>
        <v/>
      </c>
      <c r="D297" s="24">
        <f>IF($B297="","",IFERROR(IF(VLOOKUP($B297,AcctTbl,3,0)="",IF(VLOOKUP($B297,AcctTbl,2,0)="","—",VLOOKUP($B297,AcctTbl,2,0)),VLOOKUP($B297,AcctTbl,3,0)),"—"))</f>
        <v/>
      </c>
      <c r="E297" s="34">
        <f>IF($B297="","",COUNTIFS(CalcParty,$B297,CalcGroup,"خرید"))</f>
        <v/>
      </c>
      <c r="F297" s="25">
        <f>IF($B297="","",SUMIFS(CalcScale,CalcParty,$B297,CalcGroup,"خرید"))</f>
        <v/>
      </c>
      <c r="G297" s="25">
        <f>IF($B297="","",SUMIFS(CalcBaskets,CalcParty,$B297,CalcGroup,"خرید"))</f>
        <v/>
      </c>
      <c r="H297" s="26">
        <f>IF($B297="","",SUMIFS(CalcNet,CalcParty,$B297,CalcGroup,"خرید"))</f>
        <v/>
      </c>
      <c r="I297" s="24">
        <f>IF($B297="","",IFERROR(IF(VLOOKUP($B297,AcctTbl,5,0)="","—",VLOOKUP($B297,AcctTbl,5,0)),"—"))</f>
        <v/>
      </c>
      <c r="J297" s="24">
        <f>IF($B297="","",IFERROR(IF(VLOOKUP($B297,AcctTbl,6,0)="","—",VLOOKUP($B297,AcctTbl,6,0)),"—"))</f>
        <v/>
      </c>
      <c r="K297" s="35">
        <f>IF(OR($B297="",$H$570=0),"",$H297/$H$570)</f>
        <v/>
      </c>
    </row>
    <row r="298">
      <c r="A298" s="17">
        <f>IF(ROW()-9&gt;NAcctAll,"",ROW()-9)</f>
        <v/>
      </c>
      <c r="B298" s="30">
        <f>IF($A298="","",IF($A298&lt;=NAcctAll,INDEX(PkAcctAll,$A298),""))</f>
        <v/>
      </c>
      <c r="C298" s="22">
        <f>IF($B298="","",IFERROR(IF(VLOOKUP($B298,AcctTbl,4,0)="","(بدون نام)",VLOOKUP($B298,AcctTbl,4,0)),"—"))</f>
        <v/>
      </c>
      <c r="D298" s="18">
        <f>IF($B298="","",IFERROR(IF(VLOOKUP($B298,AcctTbl,3,0)="",IF(VLOOKUP($B298,AcctTbl,2,0)="","—",VLOOKUP($B298,AcctTbl,2,0)),VLOOKUP($B298,AcctTbl,3,0)),"—"))</f>
        <v/>
      </c>
      <c r="E298" s="31">
        <f>IF($B298="","",COUNTIFS(CalcParty,$B298,CalcGroup,"خرید"))</f>
        <v/>
      </c>
      <c r="F298" s="19">
        <f>IF($B298="","",SUMIFS(CalcScale,CalcParty,$B298,CalcGroup,"خرید"))</f>
        <v/>
      </c>
      <c r="G298" s="19">
        <f>IF($B298="","",SUMIFS(CalcBaskets,CalcParty,$B298,CalcGroup,"خرید"))</f>
        <v/>
      </c>
      <c r="H298" s="20">
        <f>IF($B298="","",SUMIFS(CalcNet,CalcParty,$B298,CalcGroup,"خرید"))</f>
        <v/>
      </c>
      <c r="I298" s="18">
        <f>IF($B298="","",IFERROR(IF(VLOOKUP($B298,AcctTbl,5,0)="","—",VLOOKUP($B298,AcctTbl,5,0)),"—"))</f>
        <v/>
      </c>
      <c r="J298" s="18">
        <f>IF($B298="","",IFERROR(IF(VLOOKUP($B298,AcctTbl,6,0)="","—",VLOOKUP($B298,AcctTbl,6,0)),"—"))</f>
        <v/>
      </c>
      <c r="K298" s="32">
        <f>IF(OR($B298="",$H$570=0),"",$H298/$H$570)</f>
        <v/>
      </c>
    </row>
    <row r="299">
      <c r="A299" s="23">
        <f>IF(ROW()-9&gt;NAcctAll,"",ROW()-9)</f>
        <v/>
      </c>
      <c r="B299" s="33">
        <f>IF($A299="","",IF($A299&lt;=NAcctAll,INDEX(PkAcctAll,$A299),""))</f>
        <v/>
      </c>
      <c r="C299" s="28">
        <f>IF($B299="","",IFERROR(IF(VLOOKUP($B299,AcctTbl,4,0)="","(بدون نام)",VLOOKUP($B299,AcctTbl,4,0)),"—"))</f>
        <v/>
      </c>
      <c r="D299" s="24">
        <f>IF($B299="","",IFERROR(IF(VLOOKUP($B299,AcctTbl,3,0)="",IF(VLOOKUP($B299,AcctTbl,2,0)="","—",VLOOKUP($B299,AcctTbl,2,0)),VLOOKUP($B299,AcctTbl,3,0)),"—"))</f>
        <v/>
      </c>
      <c r="E299" s="34">
        <f>IF($B299="","",COUNTIFS(CalcParty,$B299,CalcGroup,"خرید"))</f>
        <v/>
      </c>
      <c r="F299" s="25">
        <f>IF($B299="","",SUMIFS(CalcScale,CalcParty,$B299,CalcGroup,"خرید"))</f>
        <v/>
      </c>
      <c r="G299" s="25">
        <f>IF($B299="","",SUMIFS(CalcBaskets,CalcParty,$B299,CalcGroup,"خرید"))</f>
        <v/>
      </c>
      <c r="H299" s="26">
        <f>IF($B299="","",SUMIFS(CalcNet,CalcParty,$B299,CalcGroup,"خرید"))</f>
        <v/>
      </c>
      <c r="I299" s="24">
        <f>IF($B299="","",IFERROR(IF(VLOOKUP($B299,AcctTbl,5,0)="","—",VLOOKUP($B299,AcctTbl,5,0)),"—"))</f>
        <v/>
      </c>
      <c r="J299" s="24">
        <f>IF($B299="","",IFERROR(IF(VLOOKUP($B299,AcctTbl,6,0)="","—",VLOOKUP($B299,AcctTbl,6,0)),"—"))</f>
        <v/>
      </c>
      <c r="K299" s="35">
        <f>IF(OR($B299="",$H$570=0),"",$H299/$H$570)</f>
        <v/>
      </c>
    </row>
    <row r="300">
      <c r="A300" s="17">
        <f>IF(ROW()-9&gt;NAcctAll,"",ROW()-9)</f>
        <v/>
      </c>
      <c r="B300" s="30">
        <f>IF($A300="","",IF($A300&lt;=NAcctAll,INDEX(PkAcctAll,$A300),""))</f>
        <v/>
      </c>
      <c r="C300" s="22">
        <f>IF($B300="","",IFERROR(IF(VLOOKUP($B300,AcctTbl,4,0)="","(بدون نام)",VLOOKUP($B300,AcctTbl,4,0)),"—"))</f>
        <v/>
      </c>
      <c r="D300" s="18">
        <f>IF($B300="","",IFERROR(IF(VLOOKUP($B300,AcctTbl,3,0)="",IF(VLOOKUP($B300,AcctTbl,2,0)="","—",VLOOKUP($B300,AcctTbl,2,0)),VLOOKUP($B300,AcctTbl,3,0)),"—"))</f>
        <v/>
      </c>
      <c r="E300" s="31">
        <f>IF($B300="","",COUNTIFS(CalcParty,$B300,CalcGroup,"خرید"))</f>
        <v/>
      </c>
      <c r="F300" s="19">
        <f>IF($B300="","",SUMIFS(CalcScale,CalcParty,$B300,CalcGroup,"خرید"))</f>
        <v/>
      </c>
      <c r="G300" s="19">
        <f>IF($B300="","",SUMIFS(CalcBaskets,CalcParty,$B300,CalcGroup,"خرید"))</f>
        <v/>
      </c>
      <c r="H300" s="20">
        <f>IF($B300="","",SUMIFS(CalcNet,CalcParty,$B300,CalcGroup,"خرید"))</f>
        <v/>
      </c>
      <c r="I300" s="18">
        <f>IF($B300="","",IFERROR(IF(VLOOKUP($B300,AcctTbl,5,0)="","—",VLOOKUP($B300,AcctTbl,5,0)),"—"))</f>
        <v/>
      </c>
      <c r="J300" s="18">
        <f>IF($B300="","",IFERROR(IF(VLOOKUP($B300,AcctTbl,6,0)="","—",VLOOKUP($B300,AcctTbl,6,0)),"—"))</f>
        <v/>
      </c>
      <c r="K300" s="32">
        <f>IF(OR($B300="",$H$570=0),"",$H300/$H$570)</f>
        <v/>
      </c>
    </row>
    <row r="301">
      <c r="A301" s="23">
        <f>IF(ROW()-9&gt;NAcctAll,"",ROW()-9)</f>
        <v/>
      </c>
      <c r="B301" s="33">
        <f>IF($A301="","",IF($A301&lt;=NAcctAll,INDEX(PkAcctAll,$A301),""))</f>
        <v/>
      </c>
      <c r="C301" s="28">
        <f>IF($B301="","",IFERROR(IF(VLOOKUP($B301,AcctTbl,4,0)="","(بدون نام)",VLOOKUP($B301,AcctTbl,4,0)),"—"))</f>
        <v/>
      </c>
      <c r="D301" s="24">
        <f>IF($B301="","",IFERROR(IF(VLOOKUP($B301,AcctTbl,3,0)="",IF(VLOOKUP($B301,AcctTbl,2,0)="","—",VLOOKUP($B301,AcctTbl,2,0)),VLOOKUP($B301,AcctTbl,3,0)),"—"))</f>
        <v/>
      </c>
      <c r="E301" s="34">
        <f>IF($B301="","",COUNTIFS(CalcParty,$B301,CalcGroup,"خرید"))</f>
        <v/>
      </c>
      <c r="F301" s="25">
        <f>IF($B301="","",SUMIFS(CalcScale,CalcParty,$B301,CalcGroup,"خرید"))</f>
        <v/>
      </c>
      <c r="G301" s="25">
        <f>IF($B301="","",SUMIFS(CalcBaskets,CalcParty,$B301,CalcGroup,"خرید"))</f>
        <v/>
      </c>
      <c r="H301" s="26">
        <f>IF($B301="","",SUMIFS(CalcNet,CalcParty,$B301,CalcGroup,"خرید"))</f>
        <v/>
      </c>
      <c r="I301" s="24">
        <f>IF($B301="","",IFERROR(IF(VLOOKUP($B301,AcctTbl,5,0)="","—",VLOOKUP($B301,AcctTbl,5,0)),"—"))</f>
        <v/>
      </c>
      <c r="J301" s="24">
        <f>IF($B301="","",IFERROR(IF(VLOOKUP($B301,AcctTbl,6,0)="","—",VLOOKUP($B301,AcctTbl,6,0)),"—"))</f>
        <v/>
      </c>
      <c r="K301" s="35">
        <f>IF(OR($B301="",$H$570=0),"",$H301/$H$570)</f>
        <v/>
      </c>
    </row>
    <row r="302">
      <c r="A302" s="17">
        <f>IF(ROW()-9&gt;NAcctAll,"",ROW()-9)</f>
        <v/>
      </c>
      <c r="B302" s="30">
        <f>IF($A302="","",IF($A302&lt;=NAcctAll,INDEX(PkAcctAll,$A302),""))</f>
        <v/>
      </c>
      <c r="C302" s="22">
        <f>IF($B302="","",IFERROR(IF(VLOOKUP($B302,AcctTbl,4,0)="","(بدون نام)",VLOOKUP($B302,AcctTbl,4,0)),"—"))</f>
        <v/>
      </c>
      <c r="D302" s="18">
        <f>IF($B302="","",IFERROR(IF(VLOOKUP($B302,AcctTbl,3,0)="",IF(VLOOKUP($B302,AcctTbl,2,0)="","—",VLOOKUP($B302,AcctTbl,2,0)),VLOOKUP($B302,AcctTbl,3,0)),"—"))</f>
        <v/>
      </c>
      <c r="E302" s="31">
        <f>IF($B302="","",COUNTIFS(CalcParty,$B302,CalcGroup,"خرید"))</f>
        <v/>
      </c>
      <c r="F302" s="19">
        <f>IF($B302="","",SUMIFS(CalcScale,CalcParty,$B302,CalcGroup,"خرید"))</f>
        <v/>
      </c>
      <c r="G302" s="19">
        <f>IF($B302="","",SUMIFS(CalcBaskets,CalcParty,$B302,CalcGroup,"خرید"))</f>
        <v/>
      </c>
      <c r="H302" s="20">
        <f>IF($B302="","",SUMIFS(CalcNet,CalcParty,$B302,CalcGroup,"خرید"))</f>
        <v/>
      </c>
      <c r="I302" s="18">
        <f>IF($B302="","",IFERROR(IF(VLOOKUP($B302,AcctTbl,5,0)="","—",VLOOKUP($B302,AcctTbl,5,0)),"—"))</f>
        <v/>
      </c>
      <c r="J302" s="18">
        <f>IF($B302="","",IFERROR(IF(VLOOKUP($B302,AcctTbl,6,0)="","—",VLOOKUP($B302,AcctTbl,6,0)),"—"))</f>
        <v/>
      </c>
      <c r="K302" s="32">
        <f>IF(OR($B302="",$H$570=0),"",$H302/$H$570)</f>
        <v/>
      </c>
    </row>
    <row r="303">
      <c r="A303" s="23">
        <f>IF(ROW()-9&gt;NAcctAll,"",ROW()-9)</f>
        <v/>
      </c>
      <c r="B303" s="33">
        <f>IF($A303="","",IF($A303&lt;=NAcctAll,INDEX(PkAcctAll,$A303),""))</f>
        <v/>
      </c>
      <c r="C303" s="28">
        <f>IF($B303="","",IFERROR(IF(VLOOKUP($B303,AcctTbl,4,0)="","(بدون نام)",VLOOKUP($B303,AcctTbl,4,0)),"—"))</f>
        <v/>
      </c>
      <c r="D303" s="24">
        <f>IF($B303="","",IFERROR(IF(VLOOKUP($B303,AcctTbl,3,0)="",IF(VLOOKUP($B303,AcctTbl,2,0)="","—",VLOOKUP($B303,AcctTbl,2,0)),VLOOKUP($B303,AcctTbl,3,0)),"—"))</f>
        <v/>
      </c>
      <c r="E303" s="34">
        <f>IF($B303="","",COUNTIFS(CalcParty,$B303,CalcGroup,"خرید"))</f>
        <v/>
      </c>
      <c r="F303" s="25">
        <f>IF($B303="","",SUMIFS(CalcScale,CalcParty,$B303,CalcGroup,"خرید"))</f>
        <v/>
      </c>
      <c r="G303" s="25">
        <f>IF($B303="","",SUMIFS(CalcBaskets,CalcParty,$B303,CalcGroup,"خرید"))</f>
        <v/>
      </c>
      <c r="H303" s="26">
        <f>IF($B303="","",SUMIFS(CalcNet,CalcParty,$B303,CalcGroup,"خرید"))</f>
        <v/>
      </c>
      <c r="I303" s="24">
        <f>IF($B303="","",IFERROR(IF(VLOOKUP($B303,AcctTbl,5,0)="","—",VLOOKUP($B303,AcctTbl,5,0)),"—"))</f>
        <v/>
      </c>
      <c r="J303" s="24">
        <f>IF($B303="","",IFERROR(IF(VLOOKUP($B303,AcctTbl,6,0)="","—",VLOOKUP($B303,AcctTbl,6,0)),"—"))</f>
        <v/>
      </c>
      <c r="K303" s="35">
        <f>IF(OR($B303="",$H$570=0),"",$H303/$H$570)</f>
        <v/>
      </c>
    </row>
    <row r="304">
      <c r="A304" s="17">
        <f>IF(ROW()-9&gt;NAcctAll,"",ROW()-9)</f>
        <v/>
      </c>
      <c r="B304" s="30">
        <f>IF($A304="","",IF($A304&lt;=NAcctAll,INDEX(PkAcctAll,$A304),""))</f>
        <v/>
      </c>
      <c r="C304" s="22">
        <f>IF($B304="","",IFERROR(IF(VLOOKUP($B304,AcctTbl,4,0)="","(بدون نام)",VLOOKUP($B304,AcctTbl,4,0)),"—"))</f>
        <v/>
      </c>
      <c r="D304" s="18">
        <f>IF($B304="","",IFERROR(IF(VLOOKUP($B304,AcctTbl,3,0)="",IF(VLOOKUP($B304,AcctTbl,2,0)="","—",VLOOKUP($B304,AcctTbl,2,0)),VLOOKUP($B304,AcctTbl,3,0)),"—"))</f>
        <v/>
      </c>
      <c r="E304" s="31">
        <f>IF($B304="","",COUNTIFS(CalcParty,$B304,CalcGroup,"خرید"))</f>
        <v/>
      </c>
      <c r="F304" s="19">
        <f>IF($B304="","",SUMIFS(CalcScale,CalcParty,$B304,CalcGroup,"خرید"))</f>
        <v/>
      </c>
      <c r="G304" s="19">
        <f>IF($B304="","",SUMIFS(CalcBaskets,CalcParty,$B304,CalcGroup,"خرید"))</f>
        <v/>
      </c>
      <c r="H304" s="20">
        <f>IF($B304="","",SUMIFS(CalcNet,CalcParty,$B304,CalcGroup,"خرید"))</f>
        <v/>
      </c>
      <c r="I304" s="18">
        <f>IF($B304="","",IFERROR(IF(VLOOKUP($B304,AcctTbl,5,0)="","—",VLOOKUP($B304,AcctTbl,5,0)),"—"))</f>
        <v/>
      </c>
      <c r="J304" s="18">
        <f>IF($B304="","",IFERROR(IF(VLOOKUP($B304,AcctTbl,6,0)="","—",VLOOKUP($B304,AcctTbl,6,0)),"—"))</f>
        <v/>
      </c>
      <c r="K304" s="32">
        <f>IF(OR($B304="",$H$570=0),"",$H304/$H$570)</f>
        <v/>
      </c>
    </row>
    <row r="305">
      <c r="A305" s="23">
        <f>IF(ROW()-9&gt;NAcctAll,"",ROW()-9)</f>
        <v/>
      </c>
      <c r="B305" s="33">
        <f>IF($A305="","",IF($A305&lt;=NAcctAll,INDEX(PkAcctAll,$A305),""))</f>
        <v/>
      </c>
      <c r="C305" s="28">
        <f>IF($B305="","",IFERROR(IF(VLOOKUP($B305,AcctTbl,4,0)="","(بدون نام)",VLOOKUP($B305,AcctTbl,4,0)),"—"))</f>
        <v/>
      </c>
      <c r="D305" s="24">
        <f>IF($B305="","",IFERROR(IF(VLOOKUP($B305,AcctTbl,3,0)="",IF(VLOOKUP($B305,AcctTbl,2,0)="","—",VLOOKUP($B305,AcctTbl,2,0)),VLOOKUP($B305,AcctTbl,3,0)),"—"))</f>
        <v/>
      </c>
      <c r="E305" s="34">
        <f>IF($B305="","",COUNTIFS(CalcParty,$B305,CalcGroup,"خرید"))</f>
        <v/>
      </c>
      <c r="F305" s="25">
        <f>IF($B305="","",SUMIFS(CalcScale,CalcParty,$B305,CalcGroup,"خرید"))</f>
        <v/>
      </c>
      <c r="G305" s="25">
        <f>IF($B305="","",SUMIFS(CalcBaskets,CalcParty,$B305,CalcGroup,"خرید"))</f>
        <v/>
      </c>
      <c r="H305" s="26">
        <f>IF($B305="","",SUMIFS(CalcNet,CalcParty,$B305,CalcGroup,"خرید"))</f>
        <v/>
      </c>
      <c r="I305" s="24">
        <f>IF($B305="","",IFERROR(IF(VLOOKUP($B305,AcctTbl,5,0)="","—",VLOOKUP($B305,AcctTbl,5,0)),"—"))</f>
        <v/>
      </c>
      <c r="J305" s="24">
        <f>IF($B305="","",IFERROR(IF(VLOOKUP($B305,AcctTbl,6,0)="","—",VLOOKUP($B305,AcctTbl,6,0)),"—"))</f>
        <v/>
      </c>
      <c r="K305" s="35">
        <f>IF(OR($B305="",$H$570=0),"",$H305/$H$570)</f>
        <v/>
      </c>
    </row>
    <row r="306">
      <c r="A306" s="17">
        <f>IF(ROW()-9&gt;NAcctAll,"",ROW()-9)</f>
        <v/>
      </c>
      <c r="B306" s="30">
        <f>IF($A306="","",IF($A306&lt;=NAcctAll,INDEX(PkAcctAll,$A306),""))</f>
        <v/>
      </c>
      <c r="C306" s="22">
        <f>IF($B306="","",IFERROR(IF(VLOOKUP($B306,AcctTbl,4,0)="","(بدون نام)",VLOOKUP($B306,AcctTbl,4,0)),"—"))</f>
        <v/>
      </c>
      <c r="D306" s="18">
        <f>IF($B306="","",IFERROR(IF(VLOOKUP($B306,AcctTbl,3,0)="",IF(VLOOKUP($B306,AcctTbl,2,0)="","—",VLOOKUP($B306,AcctTbl,2,0)),VLOOKUP($B306,AcctTbl,3,0)),"—"))</f>
        <v/>
      </c>
      <c r="E306" s="31">
        <f>IF($B306="","",COUNTIFS(CalcParty,$B306,CalcGroup,"خرید"))</f>
        <v/>
      </c>
      <c r="F306" s="19">
        <f>IF($B306="","",SUMIFS(CalcScale,CalcParty,$B306,CalcGroup,"خرید"))</f>
        <v/>
      </c>
      <c r="G306" s="19">
        <f>IF($B306="","",SUMIFS(CalcBaskets,CalcParty,$B306,CalcGroup,"خرید"))</f>
        <v/>
      </c>
      <c r="H306" s="20">
        <f>IF($B306="","",SUMIFS(CalcNet,CalcParty,$B306,CalcGroup,"خرید"))</f>
        <v/>
      </c>
      <c r="I306" s="18">
        <f>IF($B306="","",IFERROR(IF(VLOOKUP($B306,AcctTbl,5,0)="","—",VLOOKUP($B306,AcctTbl,5,0)),"—"))</f>
        <v/>
      </c>
      <c r="J306" s="18">
        <f>IF($B306="","",IFERROR(IF(VLOOKUP($B306,AcctTbl,6,0)="","—",VLOOKUP($B306,AcctTbl,6,0)),"—"))</f>
        <v/>
      </c>
      <c r="K306" s="32">
        <f>IF(OR($B306="",$H$570=0),"",$H306/$H$570)</f>
        <v/>
      </c>
    </row>
    <row r="307">
      <c r="A307" s="23">
        <f>IF(ROW()-9&gt;NAcctAll,"",ROW()-9)</f>
        <v/>
      </c>
      <c r="B307" s="33">
        <f>IF($A307="","",IF($A307&lt;=NAcctAll,INDEX(PkAcctAll,$A307),""))</f>
        <v/>
      </c>
      <c r="C307" s="28">
        <f>IF($B307="","",IFERROR(IF(VLOOKUP($B307,AcctTbl,4,0)="","(بدون نام)",VLOOKUP($B307,AcctTbl,4,0)),"—"))</f>
        <v/>
      </c>
      <c r="D307" s="24">
        <f>IF($B307="","",IFERROR(IF(VLOOKUP($B307,AcctTbl,3,0)="",IF(VLOOKUP($B307,AcctTbl,2,0)="","—",VLOOKUP($B307,AcctTbl,2,0)),VLOOKUP($B307,AcctTbl,3,0)),"—"))</f>
        <v/>
      </c>
      <c r="E307" s="34">
        <f>IF($B307="","",COUNTIFS(CalcParty,$B307,CalcGroup,"خرید"))</f>
        <v/>
      </c>
      <c r="F307" s="25">
        <f>IF($B307="","",SUMIFS(CalcScale,CalcParty,$B307,CalcGroup,"خرید"))</f>
        <v/>
      </c>
      <c r="G307" s="25">
        <f>IF($B307="","",SUMIFS(CalcBaskets,CalcParty,$B307,CalcGroup,"خرید"))</f>
        <v/>
      </c>
      <c r="H307" s="26">
        <f>IF($B307="","",SUMIFS(CalcNet,CalcParty,$B307,CalcGroup,"خرید"))</f>
        <v/>
      </c>
      <c r="I307" s="24">
        <f>IF($B307="","",IFERROR(IF(VLOOKUP($B307,AcctTbl,5,0)="","—",VLOOKUP($B307,AcctTbl,5,0)),"—"))</f>
        <v/>
      </c>
      <c r="J307" s="24">
        <f>IF($B307="","",IFERROR(IF(VLOOKUP($B307,AcctTbl,6,0)="","—",VLOOKUP($B307,AcctTbl,6,0)),"—"))</f>
        <v/>
      </c>
      <c r="K307" s="35">
        <f>IF(OR($B307="",$H$570=0),"",$H307/$H$570)</f>
        <v/>
      </c>
    </row>
    <row r="308">
      <c r="A308" s="17">
        <f>IF(ROW()-9&gt;NAcctAll,"",ROW()-9)</f>
        <v/>
      </c>
      <c r="B308" s="30">
        <f>IF($A308="","",IF($A308&lt;=NAcctAll,INDEX(PkAcctAll,$A308),""))</f>
        <v/>
      </c>
      <c r="C308" s="22">
        <f>IF($B308="","",IFERROR(IF(VLOOKUP($B308,AcctTbl,4,0)="","(بدون نام)",VLOOKUP($B308,AcctTbl,4,0)),"—"))</f>
        <v/>
      </c>
      <c r="D308" s="18">
        <f>IF($B308="","",IFERROR(IF(VLOOKUP($B308,AcctTbl,3,0)="",IF(VLOOKUP($B308,AcctTbl,2,0)="","—",VLOOKUP($B308,AcctTbl,2,0)),VLOOKUP($B308,AcctTbl,3,0)),"—"))</f>
        <v/>
      </c>
      <c r="E308" s="31">
        <f>IF($B308="","",COUNTIFS(CalcParty,$B308,CalcGroup,"خرید"))</f>
        <v/>
      </c>
      <c r="F308" s="19">
        <f>IF($B308="","",SUMIFS(CalcScale,CalcParty,$B308,CalcGroup,"خرید"))</f>
        <v/>
      </c>
      <c r="G308" s="19">
        <f>IF($B308="","",SUMIFS(CalcBaskets,CalcParty,$B308,CalcGroup,"خرید"))</f>
        <v/>
      </c>
      <c r="H308" s="20">
        <f>IF($B308="","",SUMIFS(CalcNet,CalcParty,$B308,CalcGroup,"خرید"))</f>
        <v/>
      </c>
      <c r="I308" s="18">
        <f>IF($B308="","",IFERROR(IF(VLOOKUP($B308,AcctTbl,5,0)="","—",VLOOKUP($B308,AcctTbl,5,0)),"—"))</f>
        <v/>
      </c>
      <c r="J308" s="18">
        <f>IF($B308="","",IFERROR(IF(VLOOKUP($B308,AcctTbl,6,0)="","—",VLOOKUP($B308,AcctTbl,6,0)),"—"))</f>
        <v/>
      </c>
      <c r="K308" s="32">
        <f>IF(OR($B308="",$H$570=0),"",$H308/$H$570)</f>
        <v/>
      </c>
    </row>
    <row r="309">
      <c r="A309" s="23">
        <f>IF(ROW()-9&gt;NAcctAll,"",ROW()-9)</f>
        <v/>
      </c>
      <c r="B309" s="33">
        <f>IF($A309="","",IF($A309&lt;=NAcctAll,INDEX(PkAcctAll,$A309),""))</f>
        <v/>
      </c>
      <c r="C309" s="28">
        <f>IF($B309="","",IFERROR(IF(VLOOKUP($B309,AcctTbl,4,0)="","(بدون نام)",VLOOKUP($B309,AcctTbl,4,0)),"—"))</f>
        <v/>
      </c>
      <c r="D309" s="24">
        <f>IF($B309="","",IFERROR(IF(VLOOKUP($B309,AcctTbl,3,0)="",IF(VLOOKUP($B309,AcctTbl,2,0)="","—",VLOOKUP($B309,AcctTbl,2,0)),VLOOKUP($B309,AcctTbl,3,0)),"—"))</f>
        <v/>
      </c>
      <c r="E309" s="34">
        <f>IF($B309="","",COUNTIFS(CalcParty,$B309,CalcGroup,"خرید"))</f>
        <v/>
      </c>
      <c r="F309" s="25">
        <f>IF($B309="","",SUMIFS(CalcScale,CalcParty,$B309,CalcGroup,"خرید"))</f>
        <v/>
      </c>
      <c r="G309" s="25">
        <f>IF($B309="","",SUMIFS(CalcBaskets,CalcParty,$B309,CalcGroup,"خرید"))</f>
        <v/>
      </c>
      <c r="H309" s="26">
        <f>IF($B309="","",SUMIFS(CalcNet,CalcParty,$B309,CalcGroup,"خرید"))</f>
        <v/>
      </c>
      <c r="I309" s="24">
        <f>IF($B309="","",IFERROR(IF(VLOOKUP($B309,AcctTbl,5,0)="","—",VLOOKUP($B309,AcctTbl,5,0)),"—"))</f>
        <v/>
      </c>
      <c r="J309" s="24">
        <f>IF($B309="","",IFERROR(IF(VLOOKUP($B309,AcctTbl,6,0)="","—",VLOOKUP($B309,AcctTbl,6,0)),"—"))</f>
        <v/>
      </c>
      <c r="K309" s="35">
        <f>IF(OR($B309="",$H$570=0),"",$H309/$H$570)</f>
        <v/>
      </c>
    </row>
    <row r="310">
      <c r="A310" s="17">
        <f>IF(ROW()-9&gt;NAcctAll,"",ROW()-9)</f>
        <v/>
      </c>
      <c r="B310" s="30">
        <f>IF($A310="","",IF($A310&lt;=NAcctAll,INDEX(PkAcctAll,$A310),""))</f>
        <v/>
      </c>
      <c r="C310" s="22">
        <f>IF($B310="","",IFERROR(IF(VLOOKUP($B310,AcctTbl,4,0)="","(بدون نام)",VLOOKUP($B310,AcctTbl,4,0)),"—"))</f>
        <v/>
      </c>
      <c r="D310" s="18">
        <f>IF($B310="","",IFERROR(IF(VLOOKUP($B310,AcctTbl,3,0)="",IF(VLOOKUP($B310,AcctTbl,2,0)="","—",VLOOKUP($B310,AcctTbl,2,0)),VLOOKUP($B310,AcctTbl,3,0)),"—"))</f>
        <v/>
      </c>
      <c r="E310" s="31">
        <f>IF($B310="","",COUNTIFS(CalcParty,$B310,CalcGroup,"خرید"))</f>
        <v/>
      </c>
      <c r="F310" s="19">
        <f>IF($B310="","",SUMIFS(CalcScale,CalcParty,$B310,CalcGroup,"خرید"))</f>
        <v/>
      </c>
      <c r="G310" s="19">
        <f>IF($B310="","",SUMIFS(CalcBaskets,CalcParty,$B310,CalcGroup,"خرید"))</f>
        <v/>
      </c>
      <c r="H310" s="20">
        <f>IF($B310="","",SUMIFS(CalcNet,CalcParty,$B310,CalcGroup,"خرید"))</f>
        <v/>
      </c>
      <c r="I310" s="18">
        <f>IF($B310="","",IFERROR(IF(VLOOKUP($B310,AcctTbl,5,0)="","—",VLOOKUP($B310,AcctTbl,5,0)),"—"))</f>
        <v/>
      </c>
      <c r="J310" s="18">
        <f>IF($B310="","",IFERROR(IF(VLOOKUP($B310,AcctTbl,6,0)="","—",VLOOKUP($B310,AcctTbl,6,0)),"—"))</f>
        <v/>
      </c>
      <c r="K310" s="32">
        <f>IF(OR($B310="",$H$570=0),"",$H310/$H$570)</f>
        <v/>
      </c>
    </row>
    <row r="311">
      <c r="A311" s="23">
        <f>IF(ROW()-9&gt;NAcctAll,"",ROW()-9)</f>
        <v/>
      </c>
      <c r="B311" s="33">
        <f>IF($A311="","",IF($A311&lt;=NAcctAll,INDEX(PkAcctAll,$A311),""))</f>
        <v/>
      </c>
      <c r="C311" s="28">
        <f>IF($B311="","",IFERROR(IF(VLOOKUP($B311,AcctTbl,4,0)="","(بدون نام)",VLOOKUP($B311,AcctTbl,4,0)),"—"))</f>
        <v/>
      </c>
      <c r="D311" s="24">
        <f>IF($B311="","",IFERROR(IF(VLOOKUP($B311,AcctTbl,3,0)="",IF(VLOOKUP($B311,AcctTbl,2,0)="","—",VLOOKUP($B311,AcctTbl,2,0)),VLOOKUP($B311,AcctTbl,3,0)),"—"))</f>
        <v/>
      </c>
      <c r="E311" s="34">
        <f>IF($B311="","",COUNTIFS(CalcParty,$B311,CalcGroup,"خرید"))</f>
        <v/>
      </c>
      <c r="F311" s="25">
        <f>IF($B311="","",SUMIFS(CalcScale,CalcParty,$B311,CalcGroup,"خرید"))</f>
        <v/>
      </c>
      <c r="G311" s="25">
        <f>IF($B311="","",SUMIFS(CalcBaskets,CalcParty,$B311,CalcGroup,"خرید"))</f>
        <v/>
      </c>
      <c r="H311" s="26">
        <f>IF($B311="","",SUMIFS(CalcNet,CalcParty,$B311,CalcGroup,"خرید"))</f>
        <v/>
      </c>
      <c r="I311" s="24">
        <f>IF($B311="","",IFERROR(IF(VLOOKUP($B311,AcctTbl,5,0)="","—",VLOOKUP($B311,AcctTbl,5,0)),"—"))</f>
        <v/>
      </c>
      <c r="J311" s="24">
        <f>IF($B311="","",IFERROR(IF(VLOOKUP($B311,AcctTbl,6,0)="","—",VLOOKUP($B311,AcctTbl,6,0)),"—"))</f>
        <v/>
      </c>
      <c r="K311" s="35">
        <f>IF(OR($B311="",$H$570=0),"",$H311/$H$570)</f>
        <v/>
      </c>
    </row>
    <row r="312">
      <c r="A312" s="17">
        <f>IF(ROW()-9&gt;NAcctAll,"",ROW()-9)</f>
        <v/>
      </c>
      <c r="B312" s="30">
        <f>IF($A312="","",IF($A312&lt;=NAcctAll,INDEX(PkAcctAll,$A312),""))</f>
        <v/>
      </c>
      <c r="C312" s="22">
        <f>IF($B312="","",IFERROR(IF(VLOOKUP($B312,AcctTbl,4,0)="","(بدون نام)",VLOOKUP($B312,AcctTbl,4,0)),"—"))</f>
        <v/>
      </c>
      <c r="D312" s="18">
        <f>IF($B312="","",IFERROR(IF(VLOOKUP($B312,AcctTbl,3,0)="",IF(VLOOKUP($B312,AcctTbl,2,0)="","—",VLOOKUP($B312,AcctTbl,2,0)),VLOOKUP($B312,AcctTbl,3,0)),"—"))</f>
        <v/>
      </c>
      <c r="E312" s="31">
        <f>IF($B312="","",COUNTIFS(CalcParty,$B312,CalcGroup,"خرید"))</f>
        <v/>
      </c>
      <c r="F312" s="19">
        <f>IF($B312="","",SUMIFS(CalcScale,CalcParty,$B312,CalcGroup,"خرید"))</f>
        <v/>
      </c>
      <c r="G312" s="19">
        <f>IF($B312="","",SUMIFS(CalcBaskets,CalcParty,$B312,CalcGroup,"خرید"))</f>
        <v/>
      </c>
      <c r="H312" s="20">
        <f>IF($B312="","",SUMIFS(CalcNet,CalcParty,$B312,CalcGroup,"خرید"))</f>
        <v/>
      </c>
      <c r="I312" s="18">
        <f>IF($B312="","",IFERROR(IF(VLOOKUP($B312,AcctTbl,5,0)="","—",VLOOKUP($B312,AcctTbl,5,0)),"—"))</f>
        <v/>
      </c>
      <c r="J312" s="18">
        <f>IF($B312="","",IFERROR(IF(VLOOKUP($B312,AcctTbl,6,0)="","—",VLOOKUP($B312,AcctTbl,6,0)),"—"))</f>
        <v/>
      </c>
      <c r="K312" s="32">
        <f>IF(OR($B312="",$H$570=0),"",$H312/$H$570)</f>
        <v/>
      </c>
    </row>
    <row r="313">
      <c r="A313" s="23">
        <f>IF(ROW()-9&gt;NAcctAll,"",ROW()-9)</f>
        <v/>
      </c>
      <c r="B313" s="33">
        <f>IF($A313="","",IF($A313&lt;=NAcctAll,INDEX(PkAcctAll,$A313),""))</f>
        <v/>
      </c>
      <c r="C313" s="28">
        <f>IF($B313="","",IFERROR(IF(VLOOKUP($B313,AcctTbl,4,0)="","(بدون نام)",VLOOKUP($B313,AcctTbl,4,0)),"—"))</f>
        <v/>
      </c>
      <c r="D313" s="24">
        <f>IF($B313="","",IFERROR(IF(VLOOKUP($B313,AcctTbl,3,0)="",IF(VLOOKUP($B313,AcctTbl,2,0)="","—",VLOOKUP($B313,AcctTbl,2,0)),VLOOKUP($B313,AcctTbl,3,0)),"—"))</f>
        <v/>
      </c>
      <c r="E313" s="34">
        <f>IF($B313="","",COUNTIFS(CalcParty,$B313,CalcGroup,"خرید"))</f>
        <v/>
      </c>
      <c r="F313" s="25">
        <f>IF($B313="","",SUMIFS(CalcScale,CalcParty,$B313,CalcGroup,"خرید"))</f>
        <v/>
      </c>
      <c r="G313" s="25">
        <f>IF($B313="","",SUMIFS(CalcBaskets,CalcParty,$B313,CalcGroup,"خرید"))</f>
        <v/>
      </c>
      <c r="H313" s="26">
        <f>IF($B313="","",SUMIFS(CalcNet,CalcParty,$B313,CalcGroup,"خرید"))</f>
        <v/>
      </c>
      <c r="I313" s="24">
        <f>IF($B313="","",IFERROR(IF(VLOOKUP($B313,AcctTbl,5,0)="","—",VLOOKUP($B313,AcctTbl,5,0)),"—"))</f>
        <v/>
      </c>
      <c r="J313" s="24">
        <f>IF($B313="","",IFERROR(IF(VLOOKUP($B313,AcctTbl,6,0)="","—",VLOOKUP($B313,AcctTbl,6,0)),"—"))</f>
        <v/>
      </c>
      <c r="K313" s="35">
        <f>IF(OR($B313="",$H$570=0),"",$H313/$H$570)</f>
        <v/>
      </c>
    </row>
    <row r="314">
      <c r="A314" s="17">
        <f>IF(ROW()-9&gt;NAcctAll,"",ROW()-9)</f>
        <v/>
      </c>
      <c r="B314" s="30">
        <f>IF($A314="","",IF($A314&lt;=NAcctAll,INDEX(PkAcctAll,$A314),""))</f>
        <v/>
      </c>
      <c r="C314" s="22">
        <f>IF($B314="","",IFERROR(IF(VLOOKUP($B314,AcctTbl,4,0)="","(بدون نام)",VLOOKUP($B314,AcctTbl,4,0)),"—"))</f>
        <v/>
      </c>
      <c r="D314" s="18">
        <f>IF($B314="","",IFERROR(IF(VLOOKUP($B314,AcctTbl,3,0)="",IF(VLOOKUP($B314,AcctTbl,2,0)="","—",VLOOKUP($B314,AcctTbl,2,0)),VLOOKUP($B314,AcctTbl,3,0)),"—"))</f>
        <v/>
      </c>
      <c r="E314" s="31">
        <f>IF($B314="","",COUNTIFS(CalcParty,$B314,CalcGroup,"خرید"))</f>
        <v/>
      </c>
      <c r="F314" s="19">
        <f>IF($B314="","",SUMIFS(CalcScale,CalcParty,$B314,CalcGroup,"خرید"))</f>
        <v/>
      </c>
      <c r="G314" s="19">
        <f>IF($B314="","",SUMIFS(CalcBaskets,CalcParty,$B314,CalcGroup,"خرید"))</f>
        <v/>
      </c>
      <c r="H314" s="20">
        <f>IF($B314="","",SUMIFS(CalcNet,CalcParty,$B314,CalcGroup,"خرید"))</f>
        <v/>
      </c>
      <c r="I314" s="18">
        <f>IF($B314="","",IFERROR(IF(VLOOKUP($B314,AcctTbl,5,0)="","—",VLOOKUP($B314,AcctTbl,5,0)),"—"))</f>
        <v/>
      </c>
      <c r="J314" s="18">
        <f>IF($B314="","",IFERROR(IF(VLOOKUP($B314,AcctTbl,6,0)="","—",VLOOKUP($B314,AcctTbl,6,0)),"—"))</f>
        <v/>
      </c>
      <c r="K314" s="32">
        <f>IF(OR($B314="",$H$570=0),"",$H314/$H$570)</f>
        <v/>
      </c>
    </row>
    <row r="315">
      <c r="A315" s="23">
        <f>IF(ROW()-9&gt;NAcctAll,"",ROW()-9)</f>
        <v/>
      </c>
      <c r="B315" s="33">
        <f>IF($A315="","",IF($A315&lt;=NAcctAll,INDEX(PkAcctAll,$A315),""))</f>
        <v/>
      </c>
      <c r="C315" s="28">
        <f>IF($B315="","",IFERROR(IF(VLOOKUP($B315,AcctTbl,4,0)="","(بدون نام)",VLOOKUP($B315,AcctTbl,4,0)),"—"))</f>
        <v/>
      </c>
      <c r="D315" s="24">
        <f>IF($B315="","",IFERROR(IF(VLOOKUP($B315,AcctTbl,3,0)="",IF(VLOOKUP($B315,AcctTbl,2,0)="","—",VLOOKUP($B315,AcctTbl,2,0)),VLOOKUP($B315,AcctTbl,3,0)),"—"))</f>
        <v/>
      </c>
      <c r="E315" s="34">
        <f>IF($B315="","",COUNTIFS(CalcParty,$B315,CalcGroup,"خرید"))</f>
        <v/>
      </c>
      <c r="F315" s="25">
        <f>IF($B315="","",SUMIFS(CalcScale,CalcParty,$B315,CalcGroup,"خرید"))</f>
        <v/>
      </c>
      <c r="G315" s="25">
        <f>IF($B315="","",SUMIFS(CalcBaskets,CalcParty,$B315,CalcGroup,"خرید"))</f>
        <v/>
      </c>
      <c r="H315" s="26">
        <f>IF($B315="","",SUMIFS(CalcNet,CalcParty,$B315,CalcGroup,"خرید"))</f>
        <v/>
      </c>
      <c r="I315" s="24">
        <f>IF($B315="","",IFERROR(IF(VLOOKUP($B315,AcctTbl,5,0)="","—",VLOOKUP($B315,AcctTbl,5,0)),"—"))</f>
        <v/>
      </c>
      <c r="J315" s="24">
        <f>IF($B315="","",IFERROR(IF(VLOOKUP($B315,AcctTbl,6,0)="","—",VLOOKUP($B315,AcctTbl,6,0)),"—"))</f>
        <v/>
      </c>
      <c r="K315" s="35">
        <f>IF(OR($B315="",$H$570=0),"",$H315/$H$570)</f>
        <v/>
      </c>
    </row>
    <row r="316">
      <c r="A316" s="17">
        <f>IF(ROW()-9&gt;NAcctAll,"",ROW()-9)</f>
        <v/>
      </c>
      <c r="B316" s="30">
        <f>IF($A316="","",IF($A316&lt;=NAcctAll,INDEX(PkAcctAll,$A316),""))</f>
        <v/>
      </c>
      <c r="C316" s="22">
        <f>IF($B316="","",IFERROR(IF(VLOOKUP($B316,AcctTbl,4,0)="","(بدون نام)",VLOOKUP($B316,AcctTbl,4,0)),"—"))</f>
        <v/>
      </c>
      <c r="D316" s="18">
        <f>IF($B316="","",IFERROR(IF(VLOOKUP($B316,AcctTbl,3,0)="",IF(VLOOKUP($B316,AcctTbl,2,0)="","—",VLOOKUP($B316,AcctTbl,2,0)),VLOOKUP($B316,AcctTbl,3,0)),"—"))</f>
        <v/>
      </c>
      <c r="E316" s="31">
        <f>IF($B316="","",COUNTIFS(CalcParty,$B316,CalcGroup,"خرید"))</f>
        <v/>
      </c>
      <c r="F316" s="19">
        <f>IF($B316="","",SUMIFS(CalcScale,CalcParty,$B316,CalcGroup,"خرید"))</f>
        <v/>
      </c>
      <c r="G316" s="19">
        <f>IF($B316="","",SUMIFS(CalcBaskets,CalcParty,$B316,CalcGroup,"خرید"))</f>
        <v/>
      </c>
      <c r="H316" s="20">
        <f>IF($B316="","",SUMIFS(CalcNet,CalcParty,$B316,CalcGroup,"خرید"))</f>
        <v/>
      </c>
      <c r="I316" s="18">
        <f>IF($B316="","",IFERROR(IF(VLOOKUP($B316,AcctTbl,5,0)="","—",VLOOKUP($B316,AcctTbl,5,0)),"—"))</f>
        <v/>
      </c>
      <c r="J316" s="18">
        <f>IF($B316="","",IFERROR(IF(VLOOKUP($B316,AcctTbl,6,0)="","—",VLOOKUP($B316,AcctTbl,6,0)),"—"))</f>
        <v/>
      </c>
      <c r="K316" s="32">
        <f>IF(OR($B316="",$H$570=0),"",$H316/$H$570)</f>
        <v/>
      </c>
    </row>
    <row r="317">
      <c r="A317" s="23">
        <f>IF(ROW()-9&gt;NAcctAll,"",ROW()-9)</f>
        <v/>
      </c>
      <c r="B317" s="33">
        <f>IF($A317="","",IF($A317&lt;=NAcctAll,INDEX(PkAcctAll,$A317),""))</f>
        <v/>
      </c>
      <c r="C317" s="28">
        <f>IF($B317="","",IFERROR(IF(VLOOKUP($B317,AcctTbl,4,0)="","(بدون نام)",VLOOKUP($B317,AcctTbl,4,0)),"—"))</f>
        <v/>
      </c>
      <c r="D317" s="24">
        <f>IF($B317="","",IFERROR(IF(VLOOKUP($B317,AcctTbl,3,0)="",IF(VLOOKUP($B317,AcctTbl,2,0)="","—",VLOOKUP($B317,AcctTbl,2,0)),VLOOKUP($B317,AcctTbl,3,0)),"—"))</f>
        <v/>
      </c>
      <c r="E317" s="34">
        <f>IF($B317="","",COUNTIFS(CalcParty,$B317,CalcGroup,"خرید"))</f>
        <v/>
      </c>
      <c r="F317" s="25">
        <f>IF($B317="","",SUMIFS(CalcScale,CalcParty,$B317,CalcGroup,"خرید"))</f>
        <v/>
      </c>
      <c r="G317" s="25">
        <f>IF($B317="","",SUMIFS(CalcBaskets,CalcParty,$B317,CalcGroup,"خرید"))</f>
        <v/>
      </c>
      <c r="H317" s="26">
        <f>IF($B317="","",SUMIFS(CalcNet,CalcParty,$B317,CalcGroup,"خرید"))</f>
        <v/>
      </c>
      <c r="I317" s="24">
        <f>IF($B317="","",IFERROR(IF(VLOOKUP($B317,AcctTbl,5,0)="","—",VLOOKUP($B317,AcctTbl,5,0)),"—"))</f>
        <v/>
      </c>
      <c r="J317" s="24">
        <f>IF($B317="","",IFERROR(IF(VLOOKUP($B317,AcctTbl,6,0)="","—",VLOOKUP($B317,AcctTbl,6,0)),"—"))</f>
        <v/>
      </c>
      <c r="K317" s="35">
        <f>IF(OR($B317="",$H$570=0),"",$H317/$H$570)</f>
        <v/>
      </c>
    </row>
    <row r="318">
      <c r="A318" s="17">
        <f>IF(ROW()-9&gt;NAcctAll,"",ROW()-9)</f>
        <v/>
      </c>
      <c r="B318" s="30">
        <f>IF($A318="","",IF($A318&lt;=NAcctAll,INDEX(PkAcctAll,$A318),""))</f>
        <v/>
      </c>
      <c r="C318" s="22">
        <f>IF($B318="","",IFERROR(IF(VLOOKUP($B318,AcctTbl,4,0)="","(بدون نام)",VLOOKUP($B318,AcctTbl,4,0)),"—"))</f>
        <v/>
      </c>
      <c r="D318" s="18">
        <f>IF($B318="","",IFERROR(IF(VLOOKUP($B318,AcctTbl,3,0)="",IF(VLOOKUP($B318,AcctTbl,2,0)="","—",VLOOKUP($B318,AcctTbl,2,0)),VLOOKUP($B318,AcctTbl,3,0)),"—"))</f>
        <v/>
      </c>
      <c r="E318" s="31">
        <f>IF($B318="","",COUNTIFS(CalcParty,$B318,CalcGroup,"خرید"))</f>
        <v/>
      </c>
      <c r="F318" s="19">
        <f>IF($B318="","",SUMIFS(CalcScale,CalcParty,$B318,CalcGroup,"خرید"))</f>
        <v/>
      </c>
      <c r="G318" s="19">
        <f>IF($B318="","",SUMIFS(CalcBaskets,CalcParty,$B318,CalcGroup,"خرید"))</f>
        <v/>
      </c>
      <c r="H318" s="20">
        <f>IF($B318="","",SUMIFS(CalcNet,CalcParty,$B318,CalcGroup,"خرید"))</f>
        <v/>
      </c>
      <c r="I318" s="18">
        <f>IF($B318="","",IFERROR(IF(VLOOKUP($B318,AcctTbl,5,0)="","—",VLOOKUP($B318,AcctTbl,5,0)),"—"))</f>
        <v/>
      </c>
      <c r="J318" s="18">
        <f>IF($B318="","",IFERROR(IF(VLOOKUP($B318,AcctTbl,6,0)="","—",VLOOKUP($B318,AcctTbl,6,0)),"—"))</f>
        <v/>
      </c>
      <c r="K318" s="32">
        <f>IF(OR($B318="",$H$570=0),"",$H318/$H$570)</f>
        <v/>
      </c>
    </row>
    <row r="319">
      <c r="A319" s="23">
        <f>IF(ROW()-9&gt;NAcctAll,"",ROW()-9)</f>
        <v/>
      </c>
      <c r="B319" s="33">
        <f>IF($A319="","",IF($A319&lt;=NAcctAll,INDEX(PkAcctAll,$A319),""))</f>
        <v/>
      </c>
      <c r="C319" s="28">
        <f>IF($B319="","",IFERROR(IF(VLOOKUP($B319,AcctTbl,4,0)="","(بدون نام)",VLOOKUP($B319,AcctTbl,4,0)),"—"))</f>
        <v/>
      </c>
      <c r="D319" s="24">
        <f>IF($B319="","",IFERROR(IF(VLOOKUP($B319,AcctTbl,3,0)="",IF(VLOOKUP($B319,AcctTbl,2,0)="","—",VLOOKUP($B319,AcctTbl,2,0)),VLOOKUP($B319,AcctTbl,3,0)),"—"))</f>
        <v/>
      </c>
      <c r="E319" s="34">
        <f>IF($B319="","",COUNTIFS(CalcParty,$B319,CalcGroup,"خرید"))</f>
        <v/>
      </c>
      <c r="F319" s="25">
        <f>IF($B319="","",SUMIFS(CalcScale,CalcParty,$B319,CalcGroup,"خرید"))</f>
        <v/>
      </c>
      <c r="G319" s="25">
        <f>IF($B319="","",SUMIFS(CalcBaskets,CalcParty,$B319,CalcGroup,"خرید"))</f>
        <v/>
      </c>
      <c r="H319" s="26">
        <f>IF($B319="","",SUMIFS(CalcNet,CalcParty,$B319,CalcGroup,"خرید"))</f>
        <v/>
      </c>
      <c r="I319" s="24">
        <f>IF($B319="","",IFERROR(IF(VLOOKUP($B319,AcctTbl,5,0)="","—",VLOOKUP($B319,AcctTbl,5,0)),"—"))</f>
        <v/>
      </c>
      <c r="J319" s="24">
        <f>IF($B319="","",IFERROR(IF(VLOOKUP($B319,AcctTbl,6,0)="","—",VLOOKUP($B319,AcctTbl,6,0)),"—"))</f>
        <v/>
      </c>
      <c r="K319" s="35">
        <f>IF(OR($B319="",$H$570=0),"",$H319/$H$570)</f>
        <v/>
      </c>
    </row>
    <row r="320">
      <c r="A320" s="17">
        <f>IF(ROW()-9&gt;NAcctAll,"",ROW()-9)</f>
        <v/>
      </c>
      <c r="B320" s="30">
        <f>IF($A320="","",IF($A320&lt;=NAcctAll,INDEX(PkAcctAll,$A320),""))</f>
        <v/>
      </c>
      <c r="C320" s="22">
        <f>IF($B320="","",IFERROR(IF(VLOOKUP($B320,AcctTbl,4,0)="","(بدون نام)",VLOOKUP($B320,AcctTbl,4,0)),"—"))</f>
        <v/>
      </c>
      <c r="D320" s="18">
        <f>IF($B320="","",IFERROR(IF(VLOOKUP($B320,AcctTbl,3,0)="",IF(VLOOKUP($B320,AcctTbl,2,0)="","—",VLOOKUP($B320,AcctTbl,2,0)),VLOOKUP($B320,AcctTbl,3,0)),"—"))</f>
        <v/>
      </c>
      <c r="E320" s="31">
        <f>IF($B320="","",COUNTIFS(CalcParty,$B320,CalcGroup,"خرید"))</f>
        <v/>
      </c>
      <c r="F320" s="19">
        <f>IF($B320="","",SUMIFS(CalcScale,CalcParty,$B320,CalcGroup,"خرید"))</f>
        <v/>
      </c>
      <c r="G320" s="19">
        <f>IF($B320="","",SUMIFS(CalcBaskets,CalcParty,$B320,CalcGroup,"خرید"))</f>
        <v/>
      </c>
      <c r="H320" s="20">
        <f>IF($B320="","",SUMIFS(CalcNet,CalcParty,$B320,CalcGroup,"خرید"))</f>
        <v/>
      </c>
      <c r="I320" s="18">
        <f>IF($B320="","",IFERROR(IF(VLOOKUP($B320,AcctTbl,5,0)="","—",VLOOKUP($B320,AcctTbl,5,0)),"—"))</f>
        <v/>
      </c>
      <c r="J320" s="18">
        <f>IF($B320="","",IFERROR(IF(VLOOKUP($B320,AcctTbl,6,0)="","—",VLOOKUP($B320,AcctTbl,6,0)),"—"))</f>
        <v/>
      </c>
      <c r="K320" s="32">
        <f>IF(OR($B320="",$H$570=0),"",$H320/$H$570)</f>
        <v/>
      </c>
    </row>
    <row r="321">
      <c r="A321" s="23">
        <f>IF(ROW()-9&gt;NAcctAll,"",ROW()-9)</f>
        <v/>
      </c>
      <c r="B321" s="33">
        <f>IF($A321="","",IF($A321&lt;=NAcctAll,INDEX(PkAcctAll,$A321),""))</f>
        <v/>
      </c>
      <c r="C321" s="28">
        <f>IF($B321="","",IFERROR(IF(VLOOKUP($B321,AcctTbl,4,0)="","(بدون نام)",VLOOKUP($B321,AcctTbl,4,0)),"—"))</f>
        <v/>
      </c>
      <c r="D321" s="24">
        <f>IF($B321="","",IFERROR(IF(VLOOKUP($B321,AcctTbl,3,0)="",IF(VLOOKUP($B321,AcctTbl,2,0)="","—",VLOOKUP($B321,AcctTbl,2,0)),VLOOKUP($B321,AcctTbl,3,0)),"—"))</f>
        <v/>
      </c>
      <c r="E321" s="34">
        <f>IF($B321="","",COUNTIFS(CalcParty,$B321,CalcGroup,"خرید"))</f>
        <v/>
      </c>
      <c r="F321" s="25">
        <f>IF($B321="","",SUMIFS(CalcScale,CalcParty,$B321,CalcGroup,"خرید"))</f>
        <v/>
      </c>
      <c r="G321" s="25">
        <f>IF($B321="","",SUMIFS(CalcBaskets,CalcParty,$B321,CalcGroup,"خرید"))</f>
        <v/>
      </c>
      <c r="H321" s="26">
        <f>IF($B321="","",SUMIFS(CalcNet,CalcParty,$B321,CalcGroup,"خرید"))</f>
        <v/>
      </c>
      <c r="I321" s="24">
        <f>IF($B321="","",IFERROR(IF(VLOOKUP($B321,AcctTbl,5,0)="","—",VLOOKUP($B321,AcctTbl,5,0)),"—"))</f>
        <v/>
      </c>
      <c r="J321" s="24">
        <f>IF($B321="","",IFERROR(IF(VLOOKUP($B321,AcctTbl,6,0)="","—",VLOOKUP($B321,AcctTbl,6,0)),"—"))</f>
        <v/>
      </c>
      <c r="K321" s="35">
        <f>IF(OR($B321="",$H$570=0),"",$H321/$H$570)</f>
        <v/>
      </c>
    </row>
    <row r="322">
      <c r="A322" s="17">
        <f>IF(ROW()-9&gt;NAcctAll,"",ROW()-9)</f>
        <v/>
      </c>
      <c r="B322" s="30">
        <f>IF($A322="","",IF($A322&lt;=NAcctAll,INDEX(PkAcctAll,$A322),""))</f>
        <v/>
      </c>
      <c r="C322" s="22">
        <f>IF($B322="","",IFERROR(IF(VLOOKUP($B322,AcctTbl,4,0)="","(بدون نام)",VLOOKUP($B322,AcctTbl,4,0)),"—"))</f>
        <v/>
      </c>
      <c r="D322" s="18">
        <f>IF($B322="","",IFERROR(IF(VLOOKUP($B322,AcctTbl,3,0)="",IF(VLOOKUP($B322,AcctTbl,2,0)="","—",VLOOKUP($B322,AcctTbl,2,0)),VLOOKUP($B322,AcctTbl,3,0)),"—"))</f>
        <v/>
      </c>
      <c r="E322" s="31">
        <f>IF($B322="","",COUNTIFS(CalcParty,$B322,CalcGroup,"خرید"))</f>
        <v/>
      </c>
      <c r="F322" s="19">
        <f>IF($B322="","",SUMIFS(CalcScale,CalcParty,$B322,CalcGroup,"خرید"))</f>
        <v/>
      </c>
      <c r="G322" s="19">
        <f>IF($B322="","",SUMIFS(CalcBaskets,CalcParty,$B322,CalcGroup,"خرید"))</f>
        <v/>
      </c>
      <c r="H322" s="20">
        <f>IF($B322="","",SUMIFS(CalcNet,CalcParty,$B322,CalcGroup,"خرید"))</f>
        <v/>
      </c>
      <c r="I322" s="18">
        <f>IF($B322="","",IFERROR(IF(VLOOKUP($B322,AcctTbl,5,0)="","—",VLOOKUP($B322,AcctTbl,5,0)),"—"))</f>
        <v/>
      </c>
      <c r="J322" s="18">
        <f>IF($B322="","",IFERROR(IF(VLOOKUP($B322,AcctTbl,6,0)="","—",VLOOKUP($B322,AcctTbl,6,0)),"—"))</f>
        <v/>
      </c>
      <c r="K322" s="32">
        <f>IF(OR($B322="",$H$570=0),"",$H322/$H$570)</f>
        <v/>
      </c>
    </row>
    <row r="323">
      <c r="A323" s="23">
        <f>IF(ROW()-9&gt;NAcctAll,"",ROW()-9)</f>
        <v/>
      </c>
      <c r="B323" s="33">
        <f>IF($A323="","",IF($A323&lt;=NAcctAll,INDEX(PkAcctAll,$A323),""))</f>
        <v/>
      </c>
      <c r="C323" s="28">
        <f>IF($B323="","",IFERROR(IF(VLOOKUP($B323,AcctTbl,4,0)="","(بدون نام)",VLOOKUP($B323,AcctTbl,4,0)),"—"))</f>
        <v/>
      </c>
      <c r="D323" s="24">
        <f>IF($B323="","",IFERROR(IF(VLOOKUP($B323,AcctTbl,3,0)="",IF(VLOOKUP($B323,AcctTbl,2,0)="","—",VLOOKUP($B323,AcctTbl,2,0)),VLOOKUP($B323,AcctTbl,3,0)),"—"))</f>
        <v/>
      </c>
      <c r="E323" s="34">
        <f>IF($B323="","",COUNTIFS(CalcParty,$B323,CalcGroup,"خرید"))</f>
        <v/>
      </c>
      <c r="F323" s="25">
        <f>IF($B323="","",SUMIFS(CalcScale,CalcParty,$B323,CalcGroup,"خرید"))</f>
        <v/>
      </c>
      <c r="G323" s="25">
        <f>IF($B323="","",SUMIFS(CalcBaskets,CalcParty,$B323,CalcGroup,"خرید"))</f>
        <v/>
      </c>
      <c r="H323" s="26">
        <f>IF($B323="","",SUMIFS(CalcNet,CalcParty,$B323,CalcGroup,"خرید"))</f>
        <v/>
      </c>
      <c r="I323" s="24">
        <f>IF($B323="","",IFERROR(IF(VLOOKUP($B323,AcctTbl,5,0)="","—",VLOOKUP($B323,AcctTbl,5,0)),"—"))</f>
        <v/>
      </c>
      <c r="J323" s="24">
        <f>IF($B323="","",IFERROR(IF(VLOOKUP($B323,AcctTbl,6,0)="","—",VLOOKUP($B323,AcctTbl,6,0)),"—"))</f>
        <v/>
      </c>
      <c r="K323" s="35">
        <f>IF(OR($B323="",$H$570=0),"",$H323/$H$570)</f>
        <v/>
      </c>
    </row>
    <row r="324">
      <c r="A324" s="17">
        <f>IF(ROW()-9&gt;NAcctAll,"",ROW()-9)</f>
        <v/>
      </c>
      <c r="B324" s="30">
        <f>IF($A324="","",IF($A324&lt;=NAcctAll,INDEX(PkAcctAll,$A324),""))</f>
        <v/>
      </c>
      <c r="C324" s="22">
        <f>IF($B324="","",IFERROR(IF(VLOOKUP($B324,AcctTbl,4,0)="","(بدون نام)",VLOOKUP($B324,AcctTbl,4,0)),"—"))</f>
        <v/>
      </c>
      <c r="D324" s="18">
        <f>IF($B324="","",IFERROR(IF(VLOOKUP($B324,AcctTbl,3,0)="",IF(VLOOKUP($B324,AcctTbl,2,0)="","—",VLOOKUP($B324,AcctTbl,2,0)),VLOOKUP($B324,AcctTbl,3,0)),"—"))</f>
        <v/>
      </c>
      <c r="E324" s="31">
        <f>IF($B324="","",COUNTIFS(CalcParty,$B324,CalcGroup,"خرید"))</f>
        <v/>
      </c>
      <c r="F324" s="19">
        <f>IF($B324="","",SUMIFS(CalcScale,CalcParty,$B324,CalcGroup,"خرید"))</f>
        <v/>
      </c>
      <c r="G324" s="19">
        <f>IF($B324="","",SUMIFS(CalcBaskets,CalcParty,$B324,CalcGroup,"خرید"))</f>
        <v/>
      </c>
      <c r="H324" s="20">
        <f>IF($B324="","",SUMIFS(CalcNet,CalcParty,$B324,CalcGroup,"خرید"))</f>
        <v/>
      </c>
      <c r="I324" s="18">
        <f>IF($B324="","",IFERROR(IF(VLOOKUP($B324,AcctTbl,5,0)="","—",VLOOKUP($B324,AcctTbl,5,0)),"—"))</f>
        <v/>
      </c>
      <c r="J324" s="18">
        <f>IF($B324="","",IFERROR(IF(VLOOKUP($B324,AcctTbl,6,0)="","—",VLOOKUP($B324,AcctTbl,6,0)),"—"))</f>
        <v/>
      </c>
      <c r="K324" s="32">
        <f>IF(OR($B324="",$H$570=0),"",$H324/$H$570)</f>
        <v/>
      </c>
    </row>
    <row r="325">
      <c r="A325" s="23">
        <f>IF(ROW()-9&gt;NAcctAll,"",ROW()-9)</f>
        <v/>
      </c>
      <c r="B325" s="33">
        <f>IF($A325="","",IF($A325&lt;=NAcctAll,INDEX(PkAcctAll,$A325),""))</f>
        <v/>
      </c>
      <c r="C325" s="28">
        <f>IF($B325="","",IFERROR(IF(VLOOKUP($B325,AcctTbl,4,0)="","(بدون نام)",VLOOKUP($B325,AcctTbl,4,0)),"—"))</f>
        <v/>
      </c>
      <c r="D325" s="24">
        <f>IF($B325="","",IFERROR(IF(VLOOKUP($B325,AcctTbl,3,0)="",IF(VLOOKUP($B325,AcctTbl,2,0)="","—",VLOOKUP($B325,AcctTbl,2,0)),VLOOKUP($B325,AcctTbl,3,0)),"—"))</f>
        <v/>
      </c>
      <c r="E325" s="34">
        <f>IF($B325="","",COUNTIFS(CalcParty,$B325,CalcGroup,"خرید"))</f>
        <v/>
      </c>
      <c r="F325" s="25">
        <f>IF($B325="","",SUMIFS(CalcScale,CalcParty,$B325,CalcGroup,"خرید"))</f>
        <v/>
      </c>
      <c r="G325" s="25">
        <f>IF($B325="","",SUMIFS(CalcBaskets,CalcParty,$B325,CalcGroup,"خرید"))</f>
        <v/>
      </c>
      <c r="H325" s="26">
        <f>IF($B325="","",SUMIFS(CalcNet,CalcParty,$B325,CalcGroup,"خرید"))</f>
        <v/>
      </c>
      <c r="I325" s="24">
        <f>IF($B325="","",IFERROR(IF(VLOOKUP($B325,AcctTbl,5,0)="","—",VLOOKUP($B325,AcctTbl,5,0)),"—"))</f>
        <v/>
      </c>
      <c r="J325" s="24">
        <f>IF($B325="","",IFERROR(IF(VLOOKUP($B325,AcctTbl,6,0)="","—",VLOOKUP($B325,AcctTbl,6,0)),"—"))</f>
        <v/>
      </c>
      <c r="K325" s="35">
        <f>IF(OR($B325="",$H$570=0),"",$H325/$H$570)</f>
        <v/>
      </c>
    </row>
    <row r="326">
      <c r="A326" s="17">
        <f>IF(ROW()-9&gt;NAcctAll,"",ROW()-9)</f>
        <v/>
      </c>
      <c r="B326" s="30">
        <f>IF($A326="","",IF($A326&lt;=NAcctAll,INDEX(PkAcctAll,$A326),""))</f>
        <v/>
      </c>
      <c r="C326" s="22">
        <f>IF($B326="","",IFERROR(IF(VLOOKUP($B326,AcctTbl,4,0)="","(بدون نام)",VLOOKUP($B326,AcctTbl,4,0)),"—"))</f>
        <v/>
      </c>
      <c r="D326" s="18">
        <f>IF($B326="","",IFERROR(IF(VLOOKUP($B326,AcctTbl,3,0)="",IF(VLOOKUP($B326,AcctTbl,2,0)="","—",VLOOKUP($B326,AcctTbl,2,0)),VLOOKUP($B326,AcctTbl,3,0)),"—"))</f>
        <v/>
      </c>
      <c r="E326" s="31">
        <f>IF($B326="","",COUNTIFS(CalcParty,$B326,CalcGroup,"خرید"))</f>
        <v/>
      </c>
      <c r="F326" s="19">
        <f>IF($B326="","",SUMIFS(CalcScale,CalcParty,$B326,CalcGroup,"خرید"))</f>
        <v/>
      </c>
      <c r="G326" s="19">
        <f>IF($B326="","",SUMIFS(CalcBaskets,CalcParty,$B326,CalcGroup,"خرید"))</f>
        <v/>
      </c>
      <c r="H326" s="20">
        <f>IF($B326="","",SUMIFS(CalcNet,CalcParty,$B326,CalcGroup,"خرید"))</f>
        <v/>
      </c>
      <c r="I326" s="18">
        <f>IF($B326="","",IFERROR(IF(VLOOKUP($B326,AcctTbl,5,0)="","—",VLOOKUP($B326,AcctTbl,5,0)),"—"))</f>
        <v/>
      </c>
      <c r="J326" s="18">
        <f>IF($B326="","",IFERROR(IF(VLOOKUP($B326,AcctTbl,6,0)="","—",VLOOKUP($B326,AcctTbl,6,0)),"—"))</f>
        <v/>
      </c>
      <c r="K326" s="32">
        <f>IF(OR($B326="",$H$570=0),"",$H326/$H$570)</f>
        <v/>
      </c>
    </row>
    <row r="327">
      <c r="A327" s="23">
        <f>IF(ROW()-9&gt;NAcctAll,"",ROW()-9)</f>
        <v/>
      </c>
      <c r="B327" s="33">
        <f>IF($A327="","",IF($A327&lt;=NAcctAll,INDEX(PkAcctAll,$A327),""))</f>
        <v/>
      </c>
      <c r="C327" s="28">
        <f>IF($B327="","",IFERROR(IF(VLOOKUP($B327,AcctTbl,4,0)="","(بدون نام)",VLOOKUP($B327,AcctTbl,4,0)),"—"))</f>
        <v/>
      </c>
      <c r="D327" s="24">
        <f>IF($B327="","",IFERROR(IF(VLOOKUP($B327,AcctTbl,3,0)="",IF(VLOOKUP($B327,AcctTbl,2,0)="","—",VLOOKUP($B327,AcctTbl,2,0)),VLOOKUP($B327,AcctTbl,3,0)),"—"))</f>
        <v/>
      </c>
      <c r="E327" s="34">
        <f>IF($B327="","",COUNTIFS(CalcParty,$B327,CalcGroup,"خرید"))</f>
        <v/>
      </c>
      <c r="F327" s="25">
        <f>IF($B327="","",SUMIFS(CalcScale,CalcParty,$B327,CalcGroup,"خرید"))</f>
        <v/>
      </c>
      <c r="G327" s="25">
        <f>IF($B327="","",SUMIFS(CalcBaskets,CalcParty,$B327,CalcGroup,"خرید"))</f>
        <v/>
      </c>
      <c r="H327" s="26">
        <f>IF($B327="","",SUMIFS(CalcNet,CalcParty,$B327,CalcGroup,"خرید"))</f>
        <v/>
      </c>
      <c r="I327" s="24">
        <f>IF($B327="","",IFERROR(IF(VLOOKUP($B327,AcctTbl,5,0)="","—",VLOOKUP($B327,AcctTbl,5,0)),"—"))</f>
        <v/>
      </c>
      <c r="J327" s="24">
        <f>IF($B327="","",IFERROR(IF(VLOOKUP($B327,AcctTbl,6,0)="","—",VLOOKUP($B327,AcctTbl,6,0)),"—"))</f>
        <v/>
      </c>
      <c r="K327" s="35">
        <f>IF(OR($B327="",$H$570=0),"",$H327/$H$570)</f>
        <v/>
      </c>
    </row>
    <row r="328">
      <c r="A328" s="17">
        <f>IF(ROW()-9&gt;NAcctAll,"",ROW()-9)</f>
        <v/>
      </c>
      <c r="B328" s="30">
        <f>IF($A328="","",IF($A328&lt;=NAcctAll,INDEX(PkAcctAll,$A328),""))</f>
        <v/>
      </c>
      <c r="C328" s="22">
        <f>IF($B328="","",IFERROR(IF(VLOOKUP($B328,AcctTbl,4,0)="","(بدون نام)",VLOOKUP($B328,AcctTbl,4,0)),"—"))</f>
        <v/>
      </c>
      <c r="D328" s="18">
        <f>IF($B328="","",IFERROR(IF(VLOOKUP($B328,AcctTbl,3,0)="",IF(VLOOKUP($B328,AcctTbl,2,0)="","—",VLOOKUP($B328,AcctTbl,2,0)),VLOOKUP($B328,AcctTbl,3,0)),"—"))</f>
        <v/>
      </c>
      <c r="E328" s="31">
        <f>IF($B328="","",COUNTIFS(CalcParty,$B328,CalcGroup,"خرید"))</f>
        <v/>
      </c>
      <c r="F328" s="19">
        <f>IF($B328="","",SUMIFS(CalcScale,CalcParty,$B328,CalcGroup,"خرید"))</f>
        <v/>
      </c>
      <c r="G328" s="19">
        <f>IF($B328="","",SUMIFS(CalcBaskets,CalcParty,$B328,CalcGroup,"خرید"))</f>
        <v/>
      </c>
      <c r="H328" s="20">
        <f>IF($B328="","",SUMIFS(CalcNet,CalcParty,$B328,CalcGroup,"خرید"))</f>
        <v/>
      </c>
      <c r="I328" s="18">
        <f>IF($B328="","",IFERROR(IF(VLOOKUP($B328,AcctTbl,5,0)="","—",VLOOKUP($B328,AcctTbl,5,0)),"—"))</f>
        <v/>
      </c>
      <c r="J328" s="18">
        <f>IF($B328="","",IFERROR(IF(VLOOKUP($B328,AcctTbl,6,0)="","—",VLOOKUP($B328,AcctTbl,6,0)),"—"))</f>
        <v/>
      </c>
      <c r="K328" s="32">
        <f>IF(OR($B328="",$H$570=0),"",$H328/$H$570)</f>
        <v/>
      </c>
    </row>
    <row r="329">
      <c r="A329" s="23">
        <f>IF(ROW()-9&gt;NAcctAll,"",ROW()-9)</f>
        <v/>
      </c>
      <c r="B329" s="33">
        <f>IF($A329="","",IF($A329&lt;=NAcctAll,INDEX(PkAcctAll,$A329),""))</f>
        <v/>
      </c>
      <c r="C329" s="28">
        <f>IF($B329="","",IFERROR(IF(VLOOKUP($B329,AcctTbl,4,0)="","(بدون نام)",VLOOKUP($B329,AcctTbl,4,0)),"—"))</f>
        <v/>
      </c>
      <c r="D329" s="24">
        <f>IF($B329="","",IFERROR(IF(VLOOKUP($B329,AcctTbl,3,0)="",IF(VLOOKUP($B329,AcctTbl,2,0)="","—",VLOOKUP($B329,AcctTbl,2,0)),VLOOKUP($B329,AcctTbl,3,0)),"—"))</f>
        <v/>
      </c>
      <c r="E329" s="34">
        <f>IF($B329="","",COUNTIFS(CalcParty,$B329,CalcGroup,"خرید"))</f>
        <v/>
      </c>
      <c r="F329" s="25">
        <f>IF($B329="","",SUMIFS(CalcScale,CalcParty,$B329,CalcGroup,"خرید"))</f>
        <v/>
      </c>
      <c r="G329" s="25">
        <f>IF($B329="","",SUMIFS(CalcBaskets,CalcParty,$B329,CalcGroup,"خرید"))</f>
        <v/>
      </c>
      <c r="H329" s="26">
        <f>IF($B329="","",SUMIFS(CalcNet,CalcParty,$B329,CalcGroup,"خرید"))</f>
        <v/>
      </c>
      <c r="I329" s="24">
        <f>IF($B329="","",IFERROR(IF(VLOOKUP($B329,AcctTbl,5,0)="","—",VLOOKUP($B329,AcctTbl,5,0)),"—"))</f>
        <v/>
      </c>
      <c r="J329" s="24">
        <f>IF($B329="","",IFERROR(IF(VLOOKUP($B329,AcctTbl,6,0)="","—",VLOOKUP($B329,AcctTbl,6,0)),"—"))</f>
        <v/>
      </c>
      <c r="K329" s="35">
        <f>IF(OR($B329="",$H$570=0),"",$H329/$H$570)</f>
        <v/>
      </c>
    </row>
    <row r="330">
      <c r="A330" s="17">
        <f>IF(ROW()-9&gt;NAcctAll,"",ROW()-9)</f>
        <v/>
      </c>
      <c r="B330" s="30">
        <f>IF($A330="","",IF($A330&lt;=NAcctAll,INDEX(PkAcctAll,$A330),""))</f>
        <v/>
      </c>
      <c r="C330" s="22">
        <f>IF($B330="","",IFERROR(IF(VLOOKUP($B330,AcctTbl,4,0)="","(بدون نام)",VLOOKUP($B330,AcctTbl,4,0)),"—"))</f>
        <v/>
      </c>
      <c r="D330" s="18">
        <f>IF($B330="","",IFERROR(IF(VLOOKUP($B330,AcctTbl,3,0)="",IF(VLOOKUP($B330,AcctTbl,2,0)="","—",VLOOKUP($B330,AcctTbl,2,0)),VLOOKUP($B330,AcctTbl,3,0)),"—"))</f>
        <v/>
      </c>
      <c r="E330" s="31">
        <f>IF($B330="","",COUNTIFS(CalcParty,$B330,CalcGroup,"خرید"))</f>
        <v/>
      </c>
      <c r="F330" s="19">
        <f>IF($B330="","",SUMIFS(CalcScale,CalcParty,$B330,CalcGroup,"خرید"))</f>
        <v/>
      </c>
      <c r="G330" s="19">
        <f>IF($B330="","",SUMIFS(CalcBaskets,CalcParty,$B330,CalcGroup,"خرید"))</f>
        <v/>
      </c>
      <c r="H330" s="20">
        <f>IF($B330="","",SUMIFS(CalcNet,CalcParty,$B330,CalcGroup,"خرید"))</f>
        <v/>
      </c>
      <c r="I330" s="18">
        <f>IF($B330="","",IFERROR(IF(VLOOKUP($B330,AcctTbl,5,0)="","—",VLOOKUP($B330,AcctTbl,5,0)),"—"))</f>
        <v/>
      </c>
      <c r="J330" s="18">
        <f>IF($B330="","",IFERROR(IF(VLOOKUP($B330,AcctTbl,6,0)="","—",VLOOKUP($B330,AcctTbl,6,0)),"—"))</f>
        <v/>
      </c>
      <c r="K330" s="32">
        <f>IF(OR($B330="",$H$570=0),"",$H330/$H$570)</f>
        <v/>
      </c>
    </row>
    <row r="331">
      <c r="A331" s="23">
        <f>IF(ROW()-9&gt;NAcctAll,"",ROW()-9)</f>
        <v/>
      </c>
      <c r="B331" s="33">
        <f>IF($A331="","",IF($A331&lt;=NAcctAll,INDEX(PkAcctAll,$A331),""))</f>
        <v/>
      </c>
      <c r="C331" s="28">
        <f>IF($B331="","",IFERROR(IF(VLOOKUP($B331,AcctTbl,4,0)="","(بدون نام)",VLOOKUP($B331,AcctTbl,4,0)),"—"))</f>
        <v/>
      </c>
      <c r="D331" s="24">
        <f>IF($B331="","",IFERROR(IF(VLOOKUP($B331,AcctTbl,3,0)="",IF(VLOOKUP($B331,AcctTbl,2,0)="","—",VLOOKUP($B331,AcctTbl,2,0)),VLOOKUP($B331,AcctTbl,3,0)),"—"))</f>
        <v/>
      </c>
      <c r="E331" s="34">
        <f>IF($B331="","",COUNTIFS(CalcParty,$B331,CalcGroup,"خرید"))</f>
        <v/>
      </c>
      <c r="F331" s="25">
        <f>IF($B331="","",SUMIFS(CalcScale,CalcParty,$B331,CalcGroup,"خرید"))</f>
        <v/>
      </c>
      <c r="G331" s="25">
        <f>IF($B331="","",SUMIFS(CalcBaskets,CalcParty,$B331,CalcGroup,"خرید"))</f>
        <v/>
      </c>
      <c r="H331" s="26">
        <f>IF($B331="","",SUMIFS(CalcNet,CalcParty,$B331,CalcGroup,"خرید"))</f>
        <v/>
      </c>
      <c r="I331" s="24">
        <f>IF($B331="","",IFERROR(IF(VLOOKUP($B331,AcctTbl,5,0)="","—",VLOOKUP($B331,AcctTbl,5,0)),"—"))</f>
        <v/>
      </c>
      <c r="J331" s="24">
        <f>IF($B331="","",IFERROR(IF(VLOOKUP($B331,AcctTbl,6,0)="","—",VLOOKUP($B331,AcctTbl,6,0)),"—"))</f>
        <v/>
      </c>
      <c r="K331" s="35">
        <f>IF(OR($B331="",$H$570=0),"",$H331/$H$570)</f>
        <v/>
      </c>
    </row>
    <row r="332">
      <c r="A332" s="17">
        <f>IF(ROW()-9&gt;NAcctAll,"",ROW()-9)</f>
        <v/>
      </c>
      <c r="B332" s="30">
        <f>IF($A332="","",IF($A332&lt;=NAcctAll,INDEX(PkAcctAll,$A332),""))</f>
        <v/>
      </c>
      <c r="C332" s="22">
        <f>IF($B332="","",IFERROR(IF(VLOOKUP($B332,AcctTbl,4,0)="","(بدون نام)",VLOOKUP($B332,AcctTbl,4,0)),"—"))</f>
        <v/>
      </c>
      <c r="D332" s="18">
        <f>IF($B332="","",IFERROR(IF(VLOOKUP($B332,AcctTbl,3,0)="",IF(VLOOKUP($B332,AcctTbl,2,0)="","—",VLOOKUP($B332,AcctTbl,2,0)),VLOOKUP($B332,AcctTbl,3,0)),"—"))</f>
        <v/>
      </c>
      <c r="E332" s="31">
        <f>IF($B332="","",COUNTIFS(CalcParty,$B332,CalcGroup,"خرید"))</f>
        <v/>
      </c>
      <c r="F332" s="19">
        <f>IF($B332="","",SUMIFS(CalcScale,CalcParty,$B332,CalcGroup,"خرید"))</f>
        <v/>
      </c>
      <c r="G332" s="19">
        <f>IF($B332="","",SUMIFS(CalcBaskets,CalcParty,$B332,CalcGroup,"خرید"))</f>
        <v/>
      </c>
      <c r="H332" s="20">
        <f>IF($B332="","",SUMIFS(CalcNet,CalcParty,$B332,CalcGroup,"خرید"))</f>
        <v/>
      </c>
      <c r="I332" s="18">
        <f>IF($B332="","",IFERROR(IF(VLOOKUP($B332,AcctTbl,5,0)="","—",VLOOKUP($B332,AcctTbl,5,0)),"—"))</f>
        <v/>
      </c>
      <c r="J332" s="18">
        <f>IF($B332="","",IFERROR(IF(VLOOKUP($B332,AcctTbl,6,0)="","—",VLOOKUP($B332,AcctTbl,6,0)),"—"))</f>
        <v/>
      </c>
      <c r="K332" s="32">
        <f>IF(OR($B332="",$H$570=0),"",$H332/$H$570)</f>
        <v/>
      </c>
    </row>
    <row r="333">
      <c r="A333" s="23">
        <f>IF(ROW()-9&gt;NAcctAll,"",ROW()-9)</f>
        <v/>
      </c>
      <c r="B333" s="33">
        <f>IF($A333="","",IF($A333&lt;=NAcctAll,INDEX(PkAcctAll,$A333),""))</f>
        <v/>
      </c>
      <c r="C333" s="28">
        <f>IF($B333="","",IFERROR(IF(VLOOKUP($B333,AcctTbl,4,0)="","(بدون نام)",VLOOKUP($B333,AcctTbl,4,0)),"—"))</f>
        <v/>
      </c>
      <c r="D333" s="24">
        <f>IF($B333="","",IFERROR(IF(VLOOKUP($B333,AcctTbl,3,0)="",IF(VLOOKUP($B333,AcctTbl,2,0)="","—",VLOOKUP($B333,AcctTbl,2,0)),VLOOKUP($B333,AcctTbl,3,0)),"—"))</f>
        <v/>
      </c>
      <c r="E333" s="34">
        <f>IF($B333="","",COUNTIFS(CalcParty,$B333,CalcGroup,"خرید"))</f>
        <v/>
      </c>
      <c r="F333" s="25">
        <f>IF($B333="","",SUMIFS(CalcScale,CalcParty,$B333,CalcGroup,"خرید"))</f>
        <v/>
      </c>
      <c r="G333" s="25">
        <f>IF($B333="","",SUMIFS(CalcBaskets,CalcParty,$B333,CalcGroup,"خرید"))</f>
        <v/>
      </c>
      <c r="H333" s="26">
        <f>IF($B333="","",SUMIFS(CalcNet,CalcParty,$B333,CalcGroup,"خرید"))</f>
        <v/>
      </c>
      <c r="I333" s="24">
        <f>IF($B333="","",IFERROR(IF(VLOOKUP($B333,AcctTbl,5,0)="","—",VLOOKUP($B333,AcctTbl,5,0)),"—"))</f>
        <v/>
      </c>
      <c r="J333" s="24">
        <f>IF($B333="","",IFERROR(IF(VLOOKUP($B333,AcctTbl,6,0)="","—",VLOOKUP($B333,AcctTbl,6,0)),"—"))</f>
        <v/>
      </c>
      <c r="K333" s="35">
        <f>IF(OR($B333="",$H$570=0),"",$H333/$H$570)</f>
        <v/>
      </c>
    </row>
    <row r="334">
      <c r="A334" s="17">
        <f>IF(ROW()-9&gt;NAcctAll,"",ROW()-9)</f>
        <v/>
      </c>
      <c r="B334" s="30">
        <f>IF($A334="","",IF($A334&lt;=NAcctAll,INDEX(PkAcctAll,$A334),""))</f>
        <v/>
      </c>
      <c r="C334" s="22">
        <f>IF($B334="","",IFERROR(IF(VLOOKUP($B334,AcctTbl,4,0)="","(بدون نام)",VLOOKUP($B334,AcctTbl,4,0)),"—"))</f>
        <v/>
      </c>
      <c r="D334" s="18">
        <f>IF($B334="","",IFERROR(IF(VLOOKUP($B334,AcctTbl,3,0)="",IF(VLOOKUP($B334,AcctTbl,2,0)="","—",VLOOKUP($B334,AcctTbl,2,0)),VLOOKUP($B334,AcctTbl,3,0)),"—"))</f>
        <v/>
      </c>
      <c r="E334" s="31">
        <f>IF($B334="","",COUNTIFS(CalcParty,$B334,CalcGroup,"خرید"))</f>
        <v/>
      </c>
      <c r="F334" s="19">
        <f>IF($B334="","",SUMIFS(CalcScale,CalcParty,$B334,CalcGroup,"خرید"))</f>
        <v/>
      </c>
      <c r="G334" s="19">
        <f>IF($B334="","",SUMIFS(CalcBaskets,CalcParty,$B334,CalcGroup,"خرید"))</f>
        <v/>
      </c>
      <c r="H334" s="20">
        <f>IF($B334="","",SUMIFS(CalcNet,CalcParty,$B334,CalcGroup,"خرید"))</f>
        <v/>
      </c>
      <c r="I334" s="18">
        <f>IF($B334="","",IFERROR(IF(VLOOKUP($B334,AcctTbl,5,0)="","—",VLOOKUP($B334,AcctTbl,5,0)),"—"))</f>
        <v/>
      </c>
      <c r="J334" s="18">
        <f>IF($B334="","",IFERROR(IF(VLOOKUP($B334,AcctTbl,6,0)="","—",VLOOKUP($B334,AcctTbl,6,0)),"—"))</f>
        <v/>
      </c>
      <c r="K334" s="32">
        <f>IF(OR($B334="",$H$570=0),"",$H334/$H$570)</f>
        <v/>
      </c>
    </row>
    <row r="335">
      <c r="A335" s="23">
        <f>IF(ROW()-9&gt;NAcctAll,"",ROW()-9)</f>
        <v/>
      </c>
      <c r="B335" s="33">
        <f>IF($A335="","",IF($A335&lt;=NAcctAll,INDEX(PkAcctAll,$A335),""))</f>
        <v/>
      </c>
      <c r="C335" s="28">
        <f>IF($B335="","",IFERROR(IF(VLOOKUP($B335,AcctTbl,4,0)="","(بدون نام)",VLOOKUP($B335,AcctTbl,4,0)),"—"))</f>
        <v/>
      </c>
      <c r="D335" s="24">
        <f>IF($B335="","",IFERROR(IF(VLOOKUP($B335,AcctTbl,3,0)="",IF(VLOOKUP($B335,AcctTbl,2,0)="","—",VLOOKUP($B335,AcctTbl,2,0)),VLOOKUP($B335,AcctTbl,3,0)),"—"))</f>
        <v/>
      </c>
      <c r="E335" s="34">
        <f>IF($B335="","",COUNTIFS(CalcParty,$B335,CalcGroup,"خرید"))</f>
        <v/>
      </c>
      <c r="F335" s="25">
        <f>IF($B335="","",SUMIFS(CalcScale,CalcParty,$B335,CalcGroup,"خرید"))</f>
        <v/>
      </c>
      <c r="G335" s="25">
        <f>IF($B335="","",SUMIFS(CalcBaskets,CalcParty,$B335,CalcGroup,"خرید"))</f>
        <v/>
      </c>
      <c r="H335" s="26">
        <f>IF($B335="","",SUMIFS(CalcNet,CalcParty,$B335,CalcGroup,"خرید"))</f>
        <v/>
      </c>
      <c r="I335" s="24">
        <f>IF($B335="","",IFERROR(IF(VLOOKUP($B335,AcctTbl,5,0)="","—",VLOOKUP($B335,AcctTbl,5,0)),"—"))</f>
        <v/>
      </c>
      <c r="J335" s="24">
        <f>IF($B335="","",IFERROR(IF(VLOOKUP($B335,AcctTbl,6,0)="","—",VLOOKUP($B335,AcctTbl,6,0)),"—"))</f>
        <v/>
      </c>
      <c r="K335" s="35">
        <f>IF(OR($B335="",$H$570=0),"",$H335/$H$570)</f>
        <v/>
      </c>
    </row>
    <row r="336">
      <c r="A336" s="17">
        <f>IF(ROW()-9&gt;NAcctAll,"",ROW()-9)</f>
        <v/>
      </c>
      <c r="B336" s="30">
        <f>IF($A336="","",IF($A336&lt;=NAcctAll,INDEX(PkAcctAll,$A336),""))</f>
        <v/>
      </c>
      <c r="C336" s="22">
        <f>IF($B336="","",IFERROR(IF(VLOOKUP($B336,AcctTbl,4,0)="","(بدون نام)",VLOOKUP($B336,AcctTbl,4,0)),"—"))</f>
        <v/>
      </c>
      <c r="D336" s="18">
        <f>IF($B336="","",IFERROR(IF(VLOOKUP($B336,AcctTbl,3,0)="",IF(VLOOKUP($B336,AcctTbl,2,0)="","—",VLOOKUP($B336,AcctTbl,2,0)),VLOOKUP($B336,AcctTbl,3,0)),"—"))</f>
        <v/>
      </c>
      <c r="E336" s="31">
        <f>IF($B336="","",COUNTIFS(CalcParty,$B336,CalcGroup,"خرید"))</f>
        <v/>
      </c>
      <c r="F336" s="19">
        <f>IF($B336="","",SUMIFS(CalcScale,CalcParty,$B336,CalcGroup,"خرید"))</f>
        <v/>
      </c>
      <c r="G336" s="19">
        <f>IF($B336="","",SUMIFS(CalcBaskets,CalcParty,$B336,CalcGroup,"خرید"))</f>
        <v/>
      </c>
      <c r="H336" s="20">
        <f>IF($B336="","",SUMIFS(CalcNet,CalcParty,$B336,CalcGroup,"خرید"))</f>
        <v/>
      </c>
      <c r="I336" s="18">
        <f>IF($B336="","",IFERROR(IF(VLOOKUP($B336,AcctTbl,5,0)="","—",VLOOKUP($B336,AcctTbl,5,0)),"—"))</f>
        <v/>
      </c>
      <c r="J336" s="18">
        <f>IF($B336="","",IFERROR(IF(VLOOKUP($B336,AcctTbl,6,0)="","—",VLOOKUP($B336,AcctTbl,6,0)),"—"))</f>
        <v/>
      </c>
      <c r="K336" s="32">
        <f>IF(OR($B336="",$H$570=0),"",$H336/$H$570)</f>
        <v/>
      </c>
    </row>
    <row r="337">
      <c r="A337" s="23">
        <f>IF(ROW()-9&gt;NAcctAll,"",ROW()-9)</f>
        <v/>
      </c>
      <c r="B337" s="33">
        <f>IF($A337="","",IF($A337&lt;=NAcctAll,INDEX(PkAcctAll,$A337),""))</f>
        <v/>
      </c>
      <c r="C337" s="28">
        <f>IF($B337="","",IFERROR(IF(VLOOKUP($B337,AcctTbl,4,0)="","(بدون نام)",VLOOKUP($B337,AcctTbl,4,0)),"—"))</f>
        <v/>
      </c>
      <c r="D337" s="24">
        <f>IF($B337="","",IFERROR(IF(VLOOKUP($B337,AcctTbl,3,0)="",IF(VLOOKUP($B337,AcctTbl,2,0)="","—",VLOOKUP($B337,AcctTbl,2,0)),VLOOKUP($B337,AcctTbl,3,0)),"—"))</f>
        <v/>
      </c>
      <c r="E337" s="34">
        <f>IF($B337="","",COUNTIFS(CalcParty,$B337,CalcGroup,"خرید"))</f>
        <v/>
      </c>
      <c r="F337" s="25">
        <f>IF($B337="","",SUMIFS(CalcScale,CalcParty,$B337,CalcGroup,"خرید"))</f>
        <v/>
      </c>
      <c r="G337" s="25">
        <f>IF($B337="","",SUMIFS(CalcBaskets,CalcParty,$B337,CalcGroup,"خرید"))</f>
        <v/>
      </c>
      <c r="H337" s="26">
        <f>IF($B337="","",SUMIFS(CalcNet,CalcParty,$B337,CalcGroup,"خرید"))</f>
        <v/>
      </c>
      <c r="I337" s="24">
        <f>IF($B337="","",IFERROR(IF(VLOOKUP($B337,AcctTbl,5,0)="","—",VLOOKUP($B337,AcctTbl,5,0)),"—"))</f>
        <v/>
      </c>
      <c r="J337" s="24">
        <f>IF($B337="","",IFERROR(IF(VLOOKUP($B337,AcctTbl,6,0)="","—",VLOOKUP($B337,AcctTbl,6,0)),"—"))</f>
        <v/>
      </c>
      <c r="K337" s="35">
        <f>IF(OR($B337="",$H$570=0),"",$H337/$H$570)</f>
        <v/>
      </c>
    </row>
    <row r="338">
      <c r="A338" s="17">
        <f>IF(ROW()-9&gt;NAcctAll,"",ROW()-9)</f>
        <v/>
      </c>
      <c r="B338" s="30">
        <f>IF($A338="","",IF($A338&lt;=NAcctAll,INDEX(PkAcctAll,$A338),""))</f>
        <v/>
      </c>
      <c r="C338" s="22">
        <f>IF($B338="","",IFERROR(IF(VLOOKUP($B338,AcctTbl,4,0)="","(بدون نام)",VLOOKUP($B338,AcctTbl,4,0)),"—"))</f>
        <v/>
      </c>
      <c r="D338" s="18">
        <f>IF($B338="","",IFERROR(IF(VLOOKUP($B338,AcctTbl,3,0)="",IF(VLOOKUP($B338,AcctTbl,2,0)="","—",VLOOKUP($B338,AcctTbl,2,0)),VLOOKUP($B338,AcctTbl,3,0)),"—"))</f>
        <v/>
      </c>
      <c r="E338" s="31">
        <f>IF($B338="","",COUNTIFS(CalcParty,$B338,CalcGroup,"خرید"))</f>
        <v/>
      </c>
      <c r="F338" s="19">
        <f>IF($B338="","",SUMIFS(CalcScale,CalcParty,$B338,CalcGroup,"خرید"))</f>
        <v/>
      </c>
      <c r="G338" s="19">
        <f>IF($B338="","",SUMIFS(CalcBaskets,CalcParty,$B338,CalcGroup,"خرید"))</f>
        <v/>
      </c>
      <c r="H338" s="20">
        <f>IF($B338="","",SUMIFS(CalcNet,CalcParty,$B338,CalcGroup,"خرید"))</f>
        <v/>
      </c>
      <c r="I338" s="18">
        <f>IF($B338="","",IFERROR(IF(VLOOKUP($B338,AcctTbl,5,0)="","—",VLOOKUP($B338,AcctTbl,5,0)),"—"))</f>
        <v/>
      </c>
      <c r="J338" s="18">
        <f>IF($B338="","",IFERROR(IF(VLOOKUP($B338,AcctTbl,6,0)="","—",VLOOKUP($B338,AcctTbl,6,0)),"—"))</f>
        <v/>
      </c>
      <c r="K338" s="32">
        <f>IF(OR($B338="",$H$570=0),"",$H338/$H$570)</f>
        <v/>
      </c>
    </row>
    <row r="339">
      <c r="A339" s="23">
        <f>IF(ROW()-9&gt;NAcctAll,"",ROW()-9)</f>
        <v/>
      </c>
      <c r="B339" s="33">
        <f>IF($A339="","",IF($A339&lt;=NAcctAll,INDEX(PkAcctAll,$A339),""))</f>
        <v/>
      </c>
      <c r="C339" s="28">
        <f>IF($B339="","",IFERROR(IF(VLOOKUP($B339,AcctTbl,4,0)="","(بدون نام)",VLOOKUP($B339,AcctTbl,4,0)),"—"))</f>
        <v/>
      </c>
      <c r="D339" s="24">
        <f>IF($B339="","",IFERROR(IF(VLOOKUP($B339,AcctTbl,3,0)="",IF(VLOOKUP($B339,AcctTbl,2,0)="","—",VLOOKUP($B339,AcctTbl,2,0)),VLOOKUP($B339,AcctTbl,3,0)),"—"))</f>
        <v/>
      </c>
      <c r="E339" s="34">
        <f>IF($B339="","",COUNTIFS(CalcParty,$B339,CalcGroup,"خرید"))</f>
        <v/>
      </c>
      <c r="F339" s="25">
        <f>IF($B339="","",SUMIFS(CalcScale,CalcParty,$B339,CalcGroup,"خرید"))</f>
        <v/>
      </c>
      <c r="G339" s="25">
        <f>IF($B339="","",SUMIFS(CalcBaskets,CalcParty,$B339,CalcGroup,"خرید"))</f>
        <v/>
      </c>
      <c r="H339" s="26">
        <f>IF($B339="","",SUMIFS(CalcNet,CalcParty,$B339,CalcGroup,"خرید"))</f>
        <v/>
      </c>
      <c r="I339" s="24">
        <f>IF($B339="","",IFERROR(IF(VLOOKUP($B339,AcctTbl,5,0)="","—",VLOOKUP($B339,AcctTbl,5,0)),"—"))</f>
        <v/>
      </c>
      <c r="J339" s="24">
        <f>IF($B339="","",IFERROR(IF(VLOOKUP($B339,AcctTbl,6,0)="","—",VLOOKUP($B339,AcctTbl,6,0)),"—"))</f>
        <v/>
      </c>
      <c r="K339" s="35">
        <f>IF(OR($B339="",$H$570=0),"",$H339/$H$570)</f>
        <v/>
      </c>
    </row>
    <row r="340">
      <c r="A340" s="17">
        <f>IF(ROW()-9&gt;NAcctAll,"",ROW()-9)</f>
        <v/>
      </c>
      <c r="B340" s="30">
        <f>IF($A340="","",IF($A340&lt;=NAcctAll,INDEX(PkAcctAll,$A340),""))</f>
        <v/>
      </c>
      <c r="C340" s="22">
        <f>IF($B340="","",IFERROR(IF(VLOOKUP($B340,AcctTbl,4,0)="","(بدون نام)",VLOOKUP($B340,AcctTbl,4,0)),"—"))</f>
        <v/>
      </c>
      <c r="D340" s="18">
        <f>IF($B340="","",IFERROR(IF(VLOOKUP($B340,AcctTbl,3,0)="",IF(VLOOKUP($B340,AcctTbl,2,0)="","—",VLOOKUP($B340,AcctTbl,2,0)),VLOOKUP($B340,AcctTbl,3,0)),"—"))</f>
        <v/>
      </c>
      <c r="E340" s="31">
        <f>IF($B340="","",COUNTIFS(CalcParty,$B340,CalcGroup,"خرید"))</f>
        <v/>
      </c>
      <c r="F340" s="19">
        <f>IF($B340="","",SUMIFS(CalcScale,CalcParty,$B340,CalcGroup,"خرید"))</f>
        <v/>
      </c>
      <c r="G340" s="19">
        <f>IF($B340="","",SUMIFS(CalcBaskets,CalcParty,$B340,CalcGroup,"خرید"))</f>
        <v/>
      </c>
      <c r="H340" s="20">
        <f>IF($B340="","",SUMIFS(CalcNet,CalcParty,$B340,CalcGroup,"خرید"))</f>
        <v/>
      </c>
      <c r="I340" s="18">
        <f>IF($B340="","",IFERROR(IF(VLOOKUP($B340,AcctTbl,5,0)="","—",VLOOKUP($B340,AcctTbl,5,0)),"—"))</f>
        <v/>
      </c>
      <c r="J340" s="18">
        <f>IF($B340="","",IFERROR(IF(VLOOKUP($B340,AcctTbl,6,0)="","—",VLOOKUP($B340,AcctTbl,6,0)),"—"))</f>
        <v/>
      </c>
      <c r="K340" s="32">
        <f>IF(OR($B340="",$H$570=0),"",$H340/$H$570)</f>
        <v/>
      </c>
    </row>
    <row r="341">
      <c r="A341" s="23">
        <f>IF(ROW()-9&gt;NAcctAll,"",ROW()-9)</f>
        <v/>
      </c>
      <c r="B341" s="33">
        <f>IF($A341="","",IF($A341&lt;=NAcctAll,INDEX(PkAcctAll,$A341),""))</f>
        <v/>
      </c>
      <c r="C341" s="28">
        <f>IF($B341="","",IFERROR(IF(VLOOKUP($B341,AcctTbl,4,0)="","(بدون نام)",VLOOKUP($B341,AcctTbl,4,0)),"—"))</f>
        <v/>
      </c>
      <c r="D341" s="24">
        <f>IF($B341="","",IFERROR(IF(VLOOKUP($B341,AcctTbl,3,0)="",IF(VLOOKUP($B341,AcctTbl,2,0)="","—",VLOOKUP($B341,AcctTbl,2,0)),VLOOKUP($B341,AcctTbl,3,0)),"—"))</f>
        <v/>
      </c>
      <c r="E341" s="34">
        <f>IF($B341="","",COUNTIFS(CalcParty,$B341,CalcGroup,"خرید"))</f>
        <v/>
      </c>
      <c r="F341" s="25">
        <f>IF($B341="","",SUMIFS(CalcScale,CalcParty,$B341,CalcGroup,"خرید"))</f>
        <v/>
      </c>
      <c r="G341" s="25">
        <f>IF($B341="","",SUMIFS(CalcBaskets,CalcParty,$B341,CalcGroup,"خرید"))</f>
        <v/>
      </c>
      <c r="H341" s="26">
        <f>IF($B341="","",SUMIFS(CalcNet,CalcParty,$B341,CalcGroup,"خرید"))</f>
        <v/>
      </c>
      <c r="I341" s="24">
        <f>IF($B341="","",IFERROR(IF(VLOOKUP($B341,AcctTbl,5,0)="","—",VLOOKUP($B341,AcctTbl,5,0)),"—"))</f>
        <v/>
      </c>
      <c r="J341" s="24">
        <f>IF($B341="","",IFERROR(IF(VLOOKUP($B341,AcctTbl,6,0)="","—",VLOOKUP($B341,AcctTbl,6,0)),"—"))</f>
        <v/>
      </c>
      <c r="K341" s="35">
        <f>IF(OR($B341="",$H$570=0),"",$H341/$H$570)</f>
        <v/>
      </c>
    </row>
    <row r="342">
      <c r="A342" s="17">
        <f>IF(ROW()-9&gt;NAcctAll,"",ROW()-9)</f>
        <v/>
      </c>
      <c r="B342" s="30">
        <f>IF($A342="","",IF($A342&lt;=NAcctAll,INDEX(PkAcctAll,$A342),""))</f>
        <v/>
      </c>
      <c r="C342" s="22">
        <f>IF($B342="","",IFERROR(IF(VLOOKUP($B342,AcctTbl,4,0)="","(بدون نام)",VLOOKUP($B342,AcctTbl,4,0)),"—"))</f>
        <v/>
      </c>
      <c r="D342" s="18">
        <f>IF($B342="","",IFERROR(IF(VLOOKUP($B342,AcctTbl,3,0)="",IF(VLOOKUP($B342,AcctTbl,2,0)="","—",VLOOKUP($B342,AcctTbl,2,0)),VLOOKUP($B342,AcctTbl,3,0)),"—"))</f>
        <v/>
      </c>
      <c r="E342" s="31">
        <f>IF($B342="","",COUNTIFS(CalcParty,$B342,CalcGroup,"خرید"))</f>
        <v/>
      </c>
      <c r="F342" s="19">
        <f>IF($B342="","",SUMIFS(CalcScale,CalcParty,$B342,CalcGroup,"خرید"))</f>
        <v/>
      </c>
      <c r="G342" s="19">
        <f>IF($B342="","",SUMIFS(CalcBaskets,CalcParty,$B342,CalcGroup,"خرید"))</f>
        <v/>
      </c>
      <c r="H342" s="20">
        <f>IF($B342="","",SUMIFS(CalcNet,CalcParty,$B342,CalcGroup,"خرید"))</f>
        <v/>
      </c>
      <c r="I342" s="18">
        <f>IF($B342="","",IFERROR(IF(VLOOKUP($B342,AcctTbl,5,0)="","—",VLOOKUP($B342,AcctTbl,5,0)),"—"))</f>
        <v/>
      </c>
      <c r="J342" s="18">
        <f>IF($B342="","",IFERROR(IF(VLOOKUP($B342,AcctTbl,6,0)="","—",VLOOKUP($B342,AcctTbl,6,0)),"—"))</f>
        <v/>
      </c>
      <c r="K342" s="32">
        <f>IF(OR($B342="",$H$570=0),"",$H342/$H$570)</f>
        <v/>
      </c>
    </row>
    <row r="343">
      <c r="A343" s="23">
        <f>IF(ROW()-9&gt;NAcctAll,"",ROW()-9)</f>
        <v/>
      </c>
      <c r="B343" s="33">
        <f>IF($A343="","",IF($A343&lt;=NAcctAll,INDEX(PkAcctAll,$A343),""))</f>
        <v/>
      </c>
      <c r="C343" s="28">
        <f>IF($B343="","",IFERROR(IF(VLOOKUP($B343,AcctTbl,4,0)="","(بدون نام)",VLOOKUP($B343,AcctTbl,4,0)),"—"))</f>
        <v/>
      </c>
      <c r="D343" s="24">
        <f>IF($B343="","",IFERROR(IF(VLOOKUP($B343,AcctTbl,3,0)="",IF(VLOOKUP($B343,AcctTbl,2,0)="","—",VLOOKUP($B343,AcctTbl,2,0)),VLOOKUP($B343,AcctTbl,3,0)),"—"))</f>
        <v/>
      </c>
      <c r="E343" s="34">
        <f>IF($B343="","",COUNTIFS(CalcParty,$B343,CalcGroup,"خرید"))</f>
        <v/>
      </c>
      <c r="F343" s="25">
        <f>IF($B343="","",SUMIFS(CalcScale,CalcParty,$B343,CalcGroup,"خرید"))</f>
        <v/>
      </c>
      <c r="G343" s="25">
        <f>IF($B343="","",SUMIFS(CalcBaskets,CalcParty,$B343,CalcGroup,"خرید"))</f>
        <v/>
      </c>
      <c r="H343" s="26">
        <f>IF($B343="","",SUMIFS(CalcNet,CalcParty,$B343,CalcGroup,"خرید"))</f>
        <v/>
      </c>
      <c r="I343" s="24">
        <f>IF($B343="","",IFERROR(IF(VLOOKUP($B343,AcctTbl,5,0)="","—",VLOOKUP($B343,AcctTbl,5,0)),"—"))</f>
        <v/>
      </c>
      <c r="J343" s="24">
        <f>IF($B343="","",IFERROR(IF(VLOOKUP($B343,AcctTbl,6,0)="","—",VLOOKUP($B343,AcctTbl,6,0)),"—"))</f>
        <v/>
      </c>
      <c r="K343" s="35">
        <f>IF(OR($B343="",$H$570=0),"",$H343/$H$570)</f>
        <v/>
      </c>
    </row>
    <row r="344">
      <c r="A344" s="17">
        <f>IF(ROW()-9&gt;NAcctAll,"",ROW()-9)</f>
        <v/>
      </c>
      <c r="B344" s="30">
        <f>IF($A344="","",IF($A344&lt;=NAcctAll,INDEX(PkAcctAll,$A344),""))</f>
        <v/>
      </c>
      <c r="C344" s="22">
        <f>IF($B344="","",IFERROR(IF(VLOOKUP($B344,AcctTbl,4,0)="","(بدون نام)",VLOOKUP($B344,AcctTbl,4,0)),"—"))</f>
        <v/>
      </c>
      <c r="D344" s="18">
        <f>IF($B344="","",IFERROR(IF(VLOOKUP($B344,AcctTbl,3,0)="",IF(VLOOKUP($B344,AcctTbl,2,0)="","—",VLOOKUP($B344,AcctTbl,2,0)),VLOOKUP($B344,AcctTbl,3,0)),"—"))</f>
        <v/>
      </c>
      <c r="E344" s="31">
        <f>IF($B344="","",COUNTIFS(CalcParty,$B344,CalcGroup,"خرید"))</f>
        <v/>
      </c>
      <c r="F344" s="19">
        <f>IF($B344="","",SUMIFS(CalcScale,CalcParty,$B344,CalcGroup,"خرید"))</f>
        <v/>
      </c>
      <c r="G344" s="19">
        <f>IF($B344="","",SUMIFS(CalcBaskets,CalcParty,$B344,CalcGroup,"خرید"))</f>
        <v/>
      </c>
      <c r="H344" s="20">
        <f>IF($B344="","",SUMIFS(CalcNet,CalcParty,$B344,CalcGroup,"خرید"))</f>
        <v/>
      </c>
      <c r="I344" s="18">
        <f>IF($B344="","",IFERROR(IF(VLOOKUP($B344,AcctTbl,5,0)="","—",VLOOKUP($B344,AcctTbl,5,0)),"—"))</f>
        <v/>
      </c>
      <c r="J344" s="18">
        <f>IF($B344="","",IFERROR(IF(VLOOKUP($B344,AcctTbl,6,0)="","—",VLOOKUP($B344,AcctTbl,6,0)),"—"))</f>
        <v/>
      </c>
      <c r="K344" s="32">
        <f>IF(OR($B344="",$H$570=0),"",$H344/$H$570)</f>
        <v/>
      </c>
    </row>
    <row r="345">
      <c r="A345" s="23">
        <f>IF(ROW()-9&gt;NAcctAll,"",ROW()-9)</f>
        <v/>
      </c>
      <c r="B345" s="33">
        <f>IF($A345="","",IF($A345&lt;=NAcctAll,INDEX(PkAcctAll,$A345),""))</f>
        <v/>
      </c>
      <c r="C345" s="28">
        <f>IF($B345="","",IFERROR(IF(VLOOKUP($B345,AcctTbl,4,0)="","(بدون نام)",VLOOKUP($B345,AcctTbl,4,0)),"—"))</f>
        <v/>
      </c>
      <c r="D345" s="24">
        <f>IF($B345="","",IFERROR(IF(VLOOKUP($B345,AcctTbl,3,0)="",IF(VLOOKUP($B345,AcctTbl,2,0)="","—",VLOOKUP($B345,AcctTbl,2,0)),VLOOKUP($B345,AcctTbl,3,0)),"—"))</f>
        <v/>
      </c>
      <c r="E345" s="34">
        <f>IF($B345="","",COUNTIFS(CalcParty,$B345,CalcGroup,"خرید"))</f>
        <v/>
      </c>
      <c r="F345" s="25">
        <f>IF($B345="","",SUMIFS(CalcScale,CalcParty,$B345,CalcGroup,"خرید"))</f>
        <v/>
      </c>
      <c r="G345" s="25">
        <f>IF($B345="","",SUMIFS(CalcBaskets,CalcParty,$B345,CalcGroup,"خرید"))</f>
        <v/>
      </c>
      <c r="H345" s="26">
        <f>IF($B345="","",SUMIFS(CalcNet,CalcParty,$B345,CalcGroup,"خرید"))</f>
        <v/>
      </c>
      <c r="I345" s="24">
        <f>IF($B345="","",IFERROR(IF(VLOOKUP($B345,AcctTbl,5,0)="","—",VLOOKUP($B345,AcctTbl,5,0)),"—"))</f>
        <v/>
      </c>
      <c r="J345" s="24">
        <f>IF($B345="","",IFERROR(IF(VLOOKUP($B345,AcctTbl,6,0)="","—",VLOOKUP($B345,AcctTbl,6,0)),"—"))</f>
        <v/>
      </c>
      <c r="K345" s="35">
        <f>IF(OR($B345="",$H$570=0),"",$H345/$H$570)</f>
        <v/>
      </c>
    </row>
    <row r="346">
      <c r="A346" s="17">
        <f>IF(ROW()-9&gt;NAcctAll,"",ROW()-9)</f>
        <v/>
      </c>
      <c r="B346" s="30">
        <f>IF($A346="","",IF($A346&lt;=NAcctAll,INDEX(PkAcctAll,$A346),""))</f>
        <v/>
      </c>
      <c r="C346" s="22">
        <f>IF($B346="","",IFERROR(IF(VLOOKUP($B346,AcctTbl,4,0)="","(بدون نام)",VLOOKUP($B346,AcctTbl,4,0)),"—"))</f>
        <v/>
      </c>
      <c r="D346" s="18">
        <f>IF($B346="","",IFERROR(IF(VLOOKUP($B346,AcctTbl,3,0)="",IF(VLOOKUP($B346,AcctTbl,2,0)="","—",VLOOKUP($B346,AcctTbl,2,0)),VLOOKUP($B346,AcctTbl,3,0)),"—"))</f>
        <v/>
      </c>
      <c r="E346" s="31">
        <f>IF($B346="","",COUNTIFS(CalcParty,$B346,CalcGroup,"خرید"))</f>
        <v/>
      </c>
      <c r="F346" s="19">
        <f>IF($B346="","",SUMIFS(CalcScale,CalcParty,$B346,CalcGroup,"خرید"))</f>
        <v/>
      </c>
      <c r="G346" s="19">
        <f>IF($B346="","",SUMIFS(CalcBaskets,CalcParty,$B346,CalcGroup,"خرید"))</f>
        <v/>
      </c>
      <c r="H346" s="20">
        <f>IF($B346="","",SUMIFS(CalcNet,CalcParty,$B346,CalcGroup,"خرید"))</f>
        <v/>
      </c>
      <c r="I346" s="18">
        <f>IF($B346="","",IFERROR(IF(VLOOKUP($B346,AcctTbl,5,0)="","—",VLOOKUP($B346,AcctTbl,5,0)),"—"))</f>
        <v/>
      </c>
      <c r="J346" s="18">
        <f>IF($B346="","",IFERROR(IF(VLOOKUP($B346,AcctTbl,6,0)="","—",VLOOKUP($B346,AcctTbl,6,0)),"—"))</f>
        <v/>
      </c>
      <c r="K346" s="32">
        <f>IF(OR($B346="",$H$570=0),"",$H346/$H$570)</f>
        <v/>
      </c>
    </row>
    <row r="347">
      <c r="A347" s="23">
        <f>IF(ROW()-9&gt;NAcctAll,"",ROW()-9)</f>
        <v/>
      </c>
      <c r="B347" s="33">
        <f>IF($A347="","",IF($A347&lt;=NAcctAll,INDEX(PkAcctAll,$A347),""))</f>
        <v/>
      </c>
      <c r="C347" s="28">
        <f>IF($B347="","",IFERROR(IF(VLOOKUP($B347,AcctTbl,4,0)="","(بدون نام)",VLOOKUP($B347,AcctTbl,4,0)),"—"))</f>
        <v/>
      </c>
      <c r="D347" s="24">
        <f>IF($B347="","",IFERROR(IF(VLOOKUP($B347,AcctTbl,3,0)="",IF(VLOOKUP($B347,AcctTbl,2,0)="","—",VLOOKUP($B347,AcctTbl,2,0)),VLOOKUP($B347,AcctTbl,3,0)),"—"))</f>
        <v/>
      </c>
      <c r="E347" s="34">
        <f>IF($B347="","",COUNTIFS(CalcParty,$B347,CalcGroup,"خرید"))</f>
        <v/>
      </c>
      <c r="F347" s="25">
        <f>IF($B347="","",SUMIFS(CalcScale,CalcParty,$B347,CalcGroup,"خرید"))</f>
        <v/>
      </c>
      <c r="G347" s="25">
        <f>IF($B347="","",SUMIFS(CalcBaskets,CalcParty,$B347,CalcGroup,"خرید"))</f>
        <v/>
      </c>
      <c r="H347" s="26">
        <f>IF($B347="","",SUMIFS(CalcNet,CalcParty,$B347,CalcGroup,"خرید"))</f>
        <v/>
      </c>
      <c r="I347" s="24">
        <f>IF($B347="","",IFERROR(IF(VLOOKUP($B347,AcctTbl,5,0)="","—",VLOOKUP($B347,AcctTbl,5,0)),"—"))</f>
        <v/>
      </c>
      <c r="J347" s="24">
        <f>IF($B347="","",IFERROR(IF(VLOOKUP($B347,AcctTbl,6,0)="","—",VLOOKUP($B347,AcctTbl,6,0)),"—"))</f>
        <v/>
      </c>
      <c r="K347" s="35">
        <f>IF(OR($B347="",$H$570=0),"",$H347/$H$570)</f>
        <v/>
      </c>
    </row>
    <row r="348">
      <c r="A348" s="17">
        <f>IF(ROW()-9&gt;NAcctAll,"",ROW()-9)</f>
        <v/>
      </c>
      <c r="B348" s="30">
        <f>IF($A348="","",IF($A348&lt;=NAcctAll,INDEX(PkAcctAll,$A348),""))</f>
        <v/>
      </c>
      <c r="C348" s="22">
        <f>IF($B348="","",IFERROR(IF(VLOOKUP($B348,AcctTbl,4,0)="","(بدون نام)",VLOOKUP($B348,AcctTbl,4,0)),"—"))</f>
        <v/>
      </c>
      <c r="D348" s="18">
        <f>IF($B348="","",IFERROR(IF(VLOOKUP($B348,AcctTbl,3,0)="",IF(VLOOKUP($B348,AcctTbl,2,0)="","—",VLOOKUP($B348,AcctTbl,2,0)),VLOOKUP($B348,AcctTbl,3,0)),"—"))</f>
        <v/>
      </c>
      <c r="E348" s="31">
        <f>IF($B348="","",COUNTIFS(CalcParty,$B348,CalcGroup,"خرید"))</f>
        <v/>
      </c>
      <c r="F348" s="19">
        <f>IF($B348="","",SUMIFS(CalcScale,CalcParty,$B348,CalcGroup,"خرید"))</f>
        <v/>
      </c>
      <c r="G348" s="19">
        <f>IF($B348="","",SUMIFS(CalcBaskets,CalcParty,$B348,CalcGroup,"خرید"))</f>
        <v/>
      </c>
      <c r="H348" s="20">
        <f>IF($B348="","",SUMIFS(CalcNet,CalcParty,$B348,CalcGroup,"خرید"))</f>
        <v/>
      </c>
      <c r="I348" s="18">
        <f>IF($B348="","",IFERROR(IF(VLOOKUP($B348,AcctTbl,5,0)="","—",VLOOKUP($B348,AcctTbl,5,0)),"—"))</f>
        <v/>
      </c>
      <c r="J348" s="18">
        <f>IF($B348="","",IFERROR(IF(VLOOKUP($B348,AcctTbl,6,0)="","—",VLOOKUP($B348,AcctTbl,6,0)),"—"))</f>
        <v/>
      </c>
      <c r="K348" s="32">
        <f>IF(OR($B348="",$H$570=0),"",$H348/$H$570)</f>
        <v/>
      </c>
    </row>
    <row r="349">
      <c r="A349" s="23">
        <f>IF(ROW()-9&gt;NAcctAll,"",ROW()-9)</f>
        <v/>
      </c>
      <c r="B349" s="33">
        <f>IF($A349="","",IF($A349&lt;=NAcctAll,INDEX(PkAcctAll,$A349),""))</f>
        <v/>
      </c>
      <c r="C349" s="28">
        <f>IF($B349="","",IFERROR(IF(VLOOKUP($B349,AcctTbl,4,0)="","(بدون نام)",VLOOKUP($B349,AcctTbl,4,0)),"—"))</f>
        <v/>
      </c>
      <c r="D349" s="24">
        <f>IF($B349="","",IFERROR(IF(VLOOKUP($B349,AcctTbl,3,0)="",IF(VLOOKUP($B349,AcctTbl,2,0)="","—",VLOOKUP($B349,AcctTbl,2,0)),VLOOKUP($B349,AcctTbl,3,0)),"—"))</f>
        <v/>
      </c>
      <c r="E349" s="34">
        <f>IF($B349="","",COUNTIFS(CalcParty,$B349,CalcGroup,"خرید"))</f>
        <v/>
      </c>
      <c r="F349" s="25">
        <f>IF($B349="","",SUMIFS(CalcScale,CalcParty,$B349,CalcGroup,"خرید"))</f>
        <v/>
      </c>
      <c r="G349" s="25">
        <f>IF($B349="","",SUMIFS(CalcBaskets,CalcParty,$B349,CalcGroup,"خرید"))</f>
        <v/>
      </c>
      <c r="H349" s="26">
        <f>IF($B349="","",SUMIFS(CalcNet,CalcParty,$B349,CalcGroup,"خرید"))</f>
        <v/>
      </c>
      <c r="I349" s="24">
        <f>IF($B349="","",IFERROR(IF(VLOOKUP($B349,AcctTbl,5,0)="","—",VLOOKUP($B349,AcctTbl,5,0)),"—"))</f>
        <v/>
      </c>
      <c r="J349" s="24">
        <f>IF($B349="","",IFERROR(IF(VLOOKUP($B349,AcctTbl,6,0)="","—",VLOOKUP($B349,AcctTbl,6,0)),"—"))</f>
        <v/>
      </c>
      <c r="K349" s="35">
        <f>IF(OR($B349="",$H$570=0),"",$H349/$H$570)</f>
        <v/>
      </c>
    </row>
    <row r="350">
      <c r="A350" s="17">
        <f>IF(ROW()-9&gt;NAcctAll,"",ROW()-9)</f>
        <v/>
      </c>
      <c r="B350" s="30">
        <f>IF($A350="","",IF($A350&lt;=NAcctAll,INDEX(PkAcctAll,$A350),""))</f>
        <v/>
      </c>
      <c r="C350" s="22">
        <f>IF($B350="","",IFERROR(IF(VLOOKUP($B350,AcctTbl,4,0)="","(بدون نام)",VLOOKUP($B350,AcctTbl,4,0)),"—"))</f>
        <v/>
      </c>
      <c r="D350" s="18">
        <f>IF($B350="","",IFERROR(IF(VLOOKUP($B350,AcctTbl,3,0)="",IF(VLOOKUP($B350,AcctTbl,2,0)="","—",VLOOKUP($B350,AcctTbl,2,0)),VLOOKUP($B350,AcctTbl,3,0)),"—"))</f>
        <v/>
      </c>
      <c r="E350" s="31">
        <f>IF($B350="","",COUNTIFS(CalcParty,$B350,CalcGroup,"خرید"))</f>
        <v/>
      </c>
      <c r="F350" s="19">
        <f>IF($B350="","",SUMIFS(CalcScale,CalcParty,$B350,CalcGroup,"خرید"))</f>
        <v/>
      </c>
      <c r="G350" s="19">
        <f>IF($B350="","",SUMIFS(CalcBaskets,CalcParty,$B350,CalcGroup,"خرید"))</f>
        <v/>
      </c>
      <c r="H350" s="20">
        <f>IF($B350="","",SUMIFS(CalcNet,CalcParty,$B350,CalcGroup,"خرید"))</f>
        <v/>
      </c>
      <c r="I350" s="18">
        <f>IF($B350="","",IFERROR(IF(VLOOKUP($B350,AcctTbl,5,0)="","—",VLOOKUP($B350,AcctTbl,5,0)),"—"))</f>
        <v/>
      </c>
      <c r="J350" s="18">
        <f>IF($B350="","",IFERROR(IF(VLOOKUP($B350,AcctTbl,6,0)="","—",VLOOKUP($B350,AcctTbl,6,0)),"—"))</f>
        <v/>
      </c>
      <c r="K350" s="32">
        <f>IF(OR($B350="",$H$570=0),"",$H350/$H$570)</f>
        <v/>
      </c>
    </row>
    <row r="351">
      <c r="A351" s="23">
        <f>IF(ROW()-9&gt;NAcctAll,"",ROW()-9)</f>
        <v/>
      </c>
      <c r="B351" s="33">
        <f>IF($A351="","",IF($A351&lt;=NAcctAll,INDEX(PkAcctAll,$A351),""))</f>
        <v/>
      </c>
      <c r="C351" s="28">
        <f>IF($B351="","",IFERROR(IF(VLOOKUP($B351,AcctTbl,4,0)="","(بدون نام)",VLOOKUP($B351,AcctTbl,4,0)),"—"))</f>
        <v/>
      </c>
      <c r="D351" s="24">
        <f>IF($B351="","",IFERROR(IF(VLOOKUP($B351,AcctTbl,3,0)="",IF(VLOOKUP($B351,AcctTbl,2,0)="","—",VLOOKUP($B351,AcctTbl,2,0)),VLOOKUP($B351,AcctTbl,3,0)),"—"))</f>
        <v/>
      </c>
      <c r="E351" s="34">
        <f>IF($B351="","",COUNTIFS(CalcParty,$B351,CalcGroup,"خرید"))</f>
        <v/>
      </c>
      <c r="F351" s="25">
        <f>IF($B351="","",SUMIFS(CalcScale,CalcParty,$B351,CalcGroup,"خرید"))</f>
        <v/>
      </c>
      <c r="G351" s="25">
        <f>IF($B351="","",SUMIFS(CalcBaskets,CalcParty,$B351,CalcGroup,"خرید"))</f>
        <v/>
      </c>
      <c r="H351" s="26">
        <f>IF($B351="","",SUMIFS(CalcNet,CalcParty,$B351,CalcGroup,"خرید"))</f>
        <v/>
      </c>
      <c r="I351" s="24">
        <f>IF($B351="","",IFERROR(IF(VLOOKUP($B351,AcctTbl,5,0)="","—",VLOOKUP($B351,AcctTbl,5,0)),"—"))</f>
        <v/>
      </c>
      <c r="J351" s="24">
        <f>IF($B351="","",IFERROR(IF(VLOOKUP($B351,AcctTbl,6,0)="","—",VLOOKUP($B351,AcctTbl,6,0)),"—"))</f>
        <v/>
      </c>
      <c r="K351" s="35">
        <f>IF(OR($B351="",$H$570=0),"",$H351/$H$570)</f>
        <v/>
      </c>
    </row>
    <row r="352">
      <c r="A352" s="17">
        <f>IF(ROW()-9&gt;NAcctAll,"",ROW()-9)</f>
        <v/>
      </c>
      <c r="B352" s="30">
        <f>IF($A352="","",IF($A352&lt;=NAcctAll,INDEX(PkAcctAll,$A352),""))</f>
        <v/>
      </c>
      <c r="C352" s="22">
        <f>IF($B352="","",IFERROR(IF(VLOOKUP($B352,AcctTbl,4,0)="","(بدون نام)",VLOOKUP($B352,AcctTbl,4,0)),"—"))</f>
        <v/>
      </c>
      <c r="D352" s="18">
        <f>IF($B352="","",IFERROR(IF(VLOOKUP($B352,AcctTbl,3,0)="",IF(VLOOKUP($B352,AcctTbl,2,0)="","—",VLOOKUP($B352,AcctTbl,2,0)),VLOOKUP($B352,AcctTbl,3,0)),"—"))</f>
        <v/>
      </c>
      <c r="E352" s="31">
        <f>IF($B352="","",COUNTIFS(CalcParty,$B352,CalcGroup,"خرید"))</f>
        <v/>
      </c>
      <c r="F352" s="19">
        <f>IF($B352="","",SUMIFS(CalcScale,CalcParty,$B352,CalcGroup,"خرید"))</f>
        <v/>
      </c>
      <c r="G352" s="19">
        <f>IF($B352="","",SUMIFS(CalcBaskets,CalcParty,$B352,CalcGroup,"خرید"))</f>
        <v/>
      </c>
      <c r="H352" s="20">
        <f>IF($B352="","",SUMIFS(CalcNet,CalcParty,$B352,CalcGroup,"خرید"))</f>
        <v/>
      </c>
      <c r="I352" s="18">
        <f>IF($B352="","",IFERROR(IF(VLOOKUP($B352,AcctTbl,5,0)="","—",VLOOKUP($B352,AcctTbl,5,0)),"—"))</f>
        <v/>
      </c>
      <c r="J352" s="18">
        <f>IF($B352="","",IFERROR(IF(VLOOKUP($B352,AcctTbl,6,0)="","—",VLOOKUP($B352,AcctTbl,6,0)),"—"))</f>
        <v/>
      </c>
      <c r="K352" s="32">
        <f>IF(OR($B352="",$H$570=0),"",$H352/$H$570)</f>
        <v/>
      </c>
    </row>
    <row r="353">
      <c r="A353" s="23">
        <f>IF(ROW()-9&gt;NAcctAll,"",ROW()-9)</f>
        <v/>
      </c>
      <c r="B353" s="33">
        <f>IF($A353="","",IF($A353&lt;=NAcctAll,INDEX(PkAcctAll,$A353),""))</f>
        <v/>
      </c>
      <c r="C353" s="28">
        <f>IF($B353="","",IFERROR(IF(VLOOKUP($B353,AcctTbl,4,0)="","(بدون نام)",VLOOKUP($B353,AcctTbl,4,0)),"—"))</f>
        <v/>
      </c>
      <c r="D353" s="24">
        <f>IF($B353="","",IFERROR(IF(VLOOKUP($B353,AcctTbl,3,0)="",IF(VLOOKUP($B353,AcctTbl,2,0)="","—",VLOOKUP($B353,AcctTbl,2,0)),VLOOKUP($B353,AcctTbl,3,0)),"—"))</f>
        <v/>
      </c>
      <c r="E353" s="34">
        <f>IF($B353="","",COUNTIFS(CalcParty,$B353,CalcGroup,"خرید"))</f>
        <v/>
      </c>
      <c r="F353" s="25">
        <f>IF($B353="","",SUMIFS(CalcScale,CalcParty,$B353,CalcGroup,"خرید"))</f>
        <v/>
      </c>
      <c r="G353" s="25">
        <f>IF($B353="","",SUMIFS(CalcBaskets,CalcParty,$B353,CalcGroup,"خرید"))</f>
        <v/>
      </c>
      <c r="H353" s="26">
        <f>IF($B353="","",SUMIFS(CalcNet,CalcParty,$B353,CalcGroup,"خرید"))</f>
        <v/>
      </c>
      <c r="I353" s="24">
        <f>IF($B353="","",IFERROR(IF(VLOOKUP($B353,AcctTbl,5,0)="","—",VLOOKUP($B353,AcctTbl,5,0)),"—"))</f>
        <v/>
      </c>
      <c r="J353" s="24">
        <f>IF($B353="","",IFERROR(IF(VLOOKUP($B353,AcctTbl,6,0)="","—",VLOOKUP($B353,AcctTbl,6,0)),"—"))</f>
        <v/>
      </c>
      <c r="K353" s="35">
        <f>IF(OR($B353="",$H$570=0),"",$H353/$H$570)</f>
        <v/>
      </c>
    </row>
    <row r="354">
      <c r="A354" s="17">
        <f>IF(ROW()-9&gt;NAcctAll,"",ROW()-9)</f>
        <v/>
      </c>
      <c r="B354" s="30">
        <f>IF($A354="","",IF($A354&lt;=NAcctAll,INDEX(PkAcctAll,$A354),""))</f>
        <v/>
      </c>
      <c r="C354" s="22">
        <f>IF($B354="","",IFERROR(IF(VLOOKUP($B354,AcctTbl,4,0)="","(بدون نام)",VLOOKUP($B354,AcctTbl,4,0)),"—"))</f>
        <v/>
      </c>
      <c r="D354" s="18">
        <f>IF($B354="","",IFERROR(IF(VLOOKUP($B354,AcctTbl,3,0)="",IF(VLOOKUP($B354,AcctTbl,2,0)="","—",VLOOKUP($B354,AcctTbl,2,0)),VLOOKUP($B354,AcctTbl,3,0)),"—"))</f>
        <v/>
      </c>
      <c r="E354" s="31">
        <f>IF($B354="","",COUNTIFS(CalcParty,$B354,CalcGroup,"خرید"))</f>
        <v/>
      </c>
      <c r="F354" s="19">
        <f>IF($B354="","",SUMIFS(CalcScale,CalcParty,$B354,CalcGroup,"خرید"))</f>
        <v/>
      </c>
      <c r="G354" s="19">
        <f>IF($B354="","",SUMIFS(CalcBaskets,CalcParty,$B354,CalcGroup,"خرید"))</f>
        <v/>
      </c>
      <c r="H354" s="20">
        <f>IF($B354="","",SUMIFS(CalcNet,CalcParty,$B354,CalcGroup,"خرید"))</f>
        <v/>
      </c>
      <c r="I354" s="18">
        <f>IF($B354="","",IFERROR(IF(VLOOKUP($B354,AcctTbl,5,0)="","—",VLOOKUP($B354,AcctTbl,5,0)),"—"))</f>
        <v/>
      </c>
      <c r="J354" s="18">
        <f>IF($B354="","",IFERROR(IF(VLOOKUP($B354,AcctTbl,6,0)="","—",VLOOKUP($B354,AcctTbl,6,0)),"—"))</f>
        <v/>
      </c>
      <c r="K354" s="32">
        <f>IF(OR($B354="",$H$570=0),"",$H354/$H$570)</f>
        <v/>
      </c>
    </row>
    <row r="355">
      <c r="A355" s="23">
        <f>IF(ROW()-9&gt;NAcctAll,"",ROW()-9)</f>
        <v/>
      </c>
      <c r="B355" s="33">
        <f>IF($A355="","",IF($A355&lt;=NAcctAll,INDEX(PkAcctAll,$A355),""))</f>
        <v/>
      </c>
      <c r="C355" s="28">
        <f>IF($B355="","",IFERROR(IF(VLOOKUP($B355,AcctTbl,4,0)="","(بدون نام)",VLOOKUP($B355,AcctTbl,4,0)),"—"))</f>
        <v/>
      </c>
      <c r="D355" s="24">
        <f>IF($B355="","",IFERROR(IF(VLOOKUP($B355,AcctTbl,3,0)="",IF(VLOOKUP($B355,AcctTbl,2,0)="","—",VLOOKUP($B355,AcctTbl,2,0)),VLOOKUP($B355,AcctTbl,3,0)),"—"))</f>
        <v/>
      </c>
      <c r="E355" s="34">
        <f>IF($B355="","",COUNTIFS(CalcParty,$B355,CalcGroup,"خرید"))</f>
        <v/>
      </c>
      <c r="F355" s="25">
        <f>IF($B355="","",SUMIFS(CalcScale,CalcParty,$B355,CalcGroup,"خرید"))</f>
        <v/>
      </c>
      <c r="G355" s="25">
        <f>IF($B355="","",SUMIFS(CalcBaskets,CalcParty,$B355,CalcGroup,"خرید"))</f>
        <v/>
      </c>
      <c r="H355" s="26">
        <f>IF($B355="","",SUMIFS(CalcNet,CalcParty,$B355,CalcGroup,"خرید"))</f>
        <v/>
      </c>
      <c r="I355" s="24">
        <f>IF($B355="","",IFERROR(IF(VLOOKUP($B355,AcctTbl,5,0)="","—",VLOOKUP($B355,AcctTbl,5,0)),"—"))</f>
        <v/>
      </c>
      <c r="J355" s="24">
        <f>IF($B355="","",IFERROR(IF(VLOOKUP($B355,AcctTbl,6,0)="","—",VLOOKUP($B355,AcctTbl,6,0)),"—"))</f>
        <v/>
      </c>
      <c r="K355" s="35">
        <f>IF(OR($B355="",$H$570=0),"",$H355/$H$570)</f>
        <v/>
      </c>
    </row>
    <row r="356">
      <c r="A356" s="17">
        <f>IF(ROW()-9&gt;NAcctAll,"",ROW()-9)</f>
        <v/>
      </c>
      <c r="B356" s="30">
        <f>IF($A356="","",IF($A356&lt;=NAcctAll,INDEX(PkAcctAll,$A356),""))</f>
        <v/>
      </c>
      <c r="C356" s="22">
        <f>IF($B356="","",IFERROR(IF(VLOOKUP($B356,AcctTbl,4,0)="","(بدون نام)",VLOOKUP($B356,AcctTbl,4,0)),"—"))</f>
        <v/>
      </c>
      <c r="D356" s="18">
        <f>IF($B356="","",IFERROR(IF(VLOOKUP($B356,AcctTbl,3,0)="",IF(VLOOKUP($B356,AcctTbl,2,0)="","—",VLOOKUP($B356,AcctTbl,2,0)),VLOOKUP($B356,AcctTbl,3,0)),"—"))</f>
        <v/>
      </c>
      <c r="E356" s="31">
        <f>IF($B356="","",COUNTIFS(CalcParty,$B356,CalcGroup,"خرید"))</f>
        <v/>
      </c>
      <c r="F356" s="19">
        <f>IF($B356="","",SUMIFS(CalcScale,CalcParty,$B356,CalcGroup,"خرید"))</f>
        <v/>
      </c>
      <c r="G356" s="19">
        <f>IF($B356="","",SUMIFS(CalcBaskets,CalcParty,$B356,CalcGroup,"خرید"))</f>
        <v/>
      </c>
      <c r="H356" s="20">
        <f>IF($B356="","",SUMIFS(CalcNet,CalcParty,$B356,CalcGroup,"خرید"))</f>
        <v/>
      </c>
      <c r="I356" s="18">
        <f>IF($B356="","",IFERROR(IF(VLOOKUP($B356,AcctTbl,5,0)="","—",VLOOKUP($B356,AcctTbl,5,0)),"—"))</f>
        <v/>
      </c>
      <c r="J356" s="18">
        <f>IF($B356="","",IFERROR(IF(VLOOKUP($B356,AcctTbl,6,0)="","—",VLOOKUP($B356,AcctTbl,6,0)),"—"))</f>
        <v/>
      </c>
      <c r="K356" s="32">
        <f>IF(OR($B356="",$H$570=0),"",$H356/$H$570)</f>
        <v/>
      </c>
    </row>
    <row r="357">
      <c r="A357" s="23">
        <f>IF(ROW()-9&gt;NAcctAll,"",ROW()-9)</f>
        <v/>
      </c>
      <c r="B357" s="33">
        <f>IF($A357="","",IF($A357&lt;=NAcctAll,INDEX(PkAcctAll,$A357),""))</f>
        <v/>
      </c>
      <c r="C357" s="28">
        <f>IF($B357="","",IFERROR(IF(VLOOKUP($B357,AcctTbl,4,0)="","(بدون نام)",VLOOKUP($B357,AcctTbl,4,0)),"—"))</f>
        <v/>
      </c>
      <c r="D357" s="24">
        <f>IF($B357="","",IFERROR(IF(VLOOKUP($B357,AcctTbl,3,0)="",IF(VLOOKUP($B357,AcctTbl,2,0)="","—",VLOOKUP($B357,AcctTbl,2,0)),VLOOKUP($B357,AcctTbl,3,0)),"—"))</f>
        <v/>
      </c>
      <c r="E357" s="34">
        <f>IF($B357="","",COUNTIFS(CalcParty,$B357,CalcGroup,"خرید"))</f>
        <v/>
      </c>
      <c r="F357" s="25">
        <f>IF($B357="","",SUMIFS(CalcScale,CalcParty,$B357,CalcGroup,"خرید"))</f>
        <v/>
      </c>
      <c r="G357" s="25">
        <f>IF($B357="","",SUMIFS(CalcBaskets,CalcParty,$B357,CalcGroup,"خرید"))</f>
        <v/>
      </c>
      <c r="H357" s="26">
        <f>IF($B357="","",SUMIFS(CalcNet,CalcParty,$B357,CalcGroup,"خرید"))</f>
        <v/>
      </c>
      <c r="I357" s="24">
        <f>IF($B357="","",IFERROR(IF(VLOOKUP($B357,AcctTbl,5,0)="","—",VLOOKUP($B357,AcctTbl,5,0)),"—"))</f>
        <v/>
      </c>
      <c r="J357" s="24">
        <f>IF($B357="","",IFERROR(IF(VLOOKUP($B357,AcctTbl,6,0)="","—",VLOOKUP($B357,AcctTbl,6,0)),"—"))</f>
        <v/>
      </c>
      <c r="K357" s="35">
        <f>IF(OR($B357="",$H$570=0),"",$H357/$H$570)</f>
        <v/>
      </c>
    </row>
    <row r="358">
      <c r="A358" s="17">
        <f>IF(ROW()-9&gt;NAcctAll,"",ROW()-9)</f>
        <v/>
      </c>
      <c r="B358" s="30">
        <f>IF($A358="","",IF($A358&lt;=NAcctAll,INDEX(PkAcctAll,$A358),""))</f>
        <v/>
      </c>
      <c r="C358" s="22">
        <f>IF($B358="","",IFERROR(IF(VLOOKUP($B358,AcctTbl,4,0)="","(بدون نام)",VLOOKUP($B358,AcctTbl,4,0)),"—"))</f>
        <v/>
      </c>
      <c r="D358" s="18">
        <f>IF($B358="","",IFERROR(IF(VLOOKUP($B358,AcctTbl,3,0)="",IF(VLOOKUP($B358,AcctTbl,2,0)="","—",VLOOKUP($B358,AcctTbl,2,0)),VLOOKUP($B358,AcctTbl,3,0)),"—"))</f>
        <v/>
      </c>
      <c r="E358" s="31">
        <f>IF($B358="","",COUNTIFS(CalcParty,$B358,CalcGroup,"خرید"))</f>
        <v/>
      </c>
      <c r="F358" s="19">
        <f>IF($B358="","",SUMIFS(CalcScale,CalcParty,$B358,CalcGroup,"خرید"))</f>
        <v/>
      </c>
      <c r="G358" s="19">
        <f>IF($B358="","",SUMIFS(CalcBaskets,CalcParty,$B358,CalcGroup,"خرید"))</f>
        <v/>
      </c>
      <c r="H358" s="20">
        <f>IF($B358="","",SUMIFS(CalcNet,CalcParty,$B358,CalcGroup,"خرید"))</f>
        <v/>
      </c>
      <c r="I358" s="18">
        <f>IF($B358="","",IFERROR(IF(VLOOKUP($B358,AcctTbl,5,0)="","—",VLOOKUP($B358,AcctTbl,5,0)),"—"))</f>
        <v/>
      </c>
      <c r="J358" s="18">
        <f>IF($B358="","",IFERROR(IF(VLOOKUP($B358,AcctTbl,6,0)="","—",VLOOKUP($B358,AcctTbl,6,0)),"—"))</f>
        <v/>
      </c>
      <c r="K358" s="32">
        <f>IF(OR($B358="",$H$570=0),"",$H358/$H$570)</f>
        <v/>
      </c>
    </row>
    <row r="359">
      <c r="A359" s="23">
        <f>IF(ROW()-9&gt;NAcctAll,"",ROW()-9)</f>
        <v/>
      </c>
      <c r="B359" s="33">
        <f>IF($A359="","",IF($A359&lt;=NAcctAll,INDEX(PkAcctAll,$A359),""))</f>
        <v/>
      </c>
      <c r="C359" s="28">
        <f>IF($B359="","",IFERROR(IF(VLOOKUP($B359,AcctTbl,4,0)="","(بدون نام)",VLOOKUP($B359,AcctTbl,4,0)),"—"))</f>
        <v/>
      </c>
      <c r="D359" s="24">
        <f>IF($B359="","",IFERROR(IF(VLOOKUP($B359,AcctTbl,3,0)="",IF(VLOOKUP($B359,AcctTbl,2,0)="","—",VLOOKUP($B359,AcctTbl,2,0)),VLOOKUP($B359,AcctTbl,3,0)),"—"))</f>
        <v/>
      </c>
      <c r="E359" s="34">
        <f>IF($B359="","",COUNTIFS(CalcParty,$B359,CalcGroup,"خرید"))</f>
        <v/>
      </c>
      <c r="F359" s="25">
        <f>IF($B359="","",SUMIFS(CalcScale,CalcParty,$B359,CalcGroup,"خرید"))</f>
        <v/>
      </c>
      <c r="G359" s="25">
        <f>IF($B359="","",SUMIFS(CalcBaskets,CalcParty,$B359,CalcGroup,"خرید"))</f>
        <v/>
      </c>
      <c r="H359" s="26">
        <f>IF($B359="","",SUMIFS(CalcNet,CalcParty,$B359,CalcGroup,"خرید"))</f>
        <v/>
      </c>
      <c r="I359" s="24">
        <f>IF($B359="","",IFERROR(IF(VLOOKUP($B359,AcctTbl,5,0)="","—",VLOOKUP($B359,AcctTbl,5,0)),"—"))</f>
        <v/>
      </c>
      <c r="J359" s="24">
        <f>IF($B359="","",IFERROR(IF(VLOOKUP($B359,AcctTbl,6,0)="","—",VLOOKUP($B359,AcctTbl,6,0)),"—"))</f>
        <v/>
      </c>
      <c r="K359" s="35">
        <f>IF(OR($B359="",$H$570=0),"",$H359/$H$570)</f>
        <v/>
      </c>
    </row>
    <row r="360">
      <c r="A360" s="17">
        <f>IF(ROW()-9&gt;NAcctAll,"",ROW()-9)</f>
        <v/>
      </c>
      <c r="B360" s="30">
        <f>IF($A360="","",IF($A360&lt;=NAcctAll,INDEX(PkAcctAll,$A360),""))</f>
        <v/>
      </c>
      <c r="C360" s="22">
        <f>IF($B360="","",IFERROR(IF(VLOOKUP($B360,AcctTbl,4,0)="","(بدون نام)",VLOOKUP($B360,AcctTbl,4,0)),"—"))</f>
        <v/>
      </c>
      <c r="D360" s="18">
        <f>IF($B360="","",IFERROR(IF(VLOOKUP($B360,AcctTbl,3,0)="",IF(VLOOKUP($B360,AcctTbl,2,0)="","—",VLOOKUP($B360,AcctTbl,2,0)),VLOOKUP($B360,AcctTbl,3,0)),"—"))</f>
        <v/>
      </c>
      <c r="E360" s="31">
        <f>IF($B360="","",COUNTIFS(CalcParty,$B360,CalcGroup,"خرید"))</f>
        <v/>
      </c>
      <c r="F360" s="19">
        <f>IF($B360="","",SUMIFS(CalcScale,CalcParty,$B360,CalcGroup,"خرید"))</f>
        <v/>
      </c>
      <c r="G360" s="19">
        <f>IF($B360="","",SUMIFS(CalcBaskets,CalcParty,$B360,CalcGroup,"خرید"))</f>
        <v/>
      </c>
      <c r="H360" s="20">
        <f>IF($B360="","",SUMIFS(CalcNet,CalcParty,$B360,CalcGroup,"خرید"))</f>
        <v/>
      </c>
      <c r="I360" s="18">
        <f>IF($B360="","",IFERROR(IF(VLOOKUP($B360,AcctTbl,5,0)="","—",VLOOKUP($B360,AcctTbl,5,0)),"—"))</f>
        <v/>
      </c>
      <c r="J360" s="18">
        <f>IF($B360="","",IFERROR(IF(VLOOKUP($B360,AcctTbl,6,0)="","—",VLOOKUP($B360,AcctTbl,6,0)),"—"))</f>
        <v/>
      </c>
      <c r="K360" s="32">
        <f>IF(OR($B360="",$H$570=0),"",$H360/$H$570)</f>
        <v/>
      </c>
    </row>
    <row r="361">
      <c r="A361" s="23">
        <f>IF(ROW()-9&gt;NAcctAll,"",ROW()-9)</f>
        <v/>
      </c>
      <c r="B361" s="33">
        <f>IF($A361="","",IF($A361&lt;=NAcctAll,INDEX(PkAcctAll,$A361),""))</f>
        <v/>
      </c>
      <c r="C361" s="28">
        <f>IF($B361="","",IFERROR(IF(VLOOKUP($B361,AcctTbl,4,0)="","(بدون نام)",VLOOKUP($B361,AcctTbl,4,0)),"—"))</f>
        <v/>
      </c>
      <c r="D361" s="24">
        <f>IF($B361="","",IFERROR(IF(VLOOKUP($B361,AcctTbl,3,0)="",IF(VLOOKUP($B361,AcctTbl,2,0)="","—",VLOOKUP($B361,AcctTbl,2,0)),VLOOKUP($B361,AcctTbl,3,0)),"—"))</f>
        <v/>
      </c>
      <c r="E361" s="34">
        <f>IF($B361="","",COUNTIFS(CalcParty,$B361,CalcGroup,"خرید"))</f>
        <v/>
      </c>
      <c r="F361" s="25">
        <f>IF($B361="","",SUMIFS(CalcScale,CalcParty,$B361,CalcGroup,"خرید"))</f>
        <v/>
      </c>
      <c r="G361" s="25">
        <f>IF($B361="","",SUMIFS(CalcBaskets,CalcParty,$B361,CalcGroup,"خرید"))</f>
        <v/>
      </c>
      <c r="H361" s="26">
        <f>IF($B361="","",SUMIFS(CalcNet,CalcParty,$B361,CalcGroup,"خرید"))</f>
        <v/>
      </c>
      <c r="I361" s="24">
        <f>IF($B361="","",IFERROR(IF(VLOOKUP($B361,AcctTbl,5,0)="","—",VLOOKUP($B361,AcctTbl,5,0)),"—"))</f>
        <v/>
      </c>
      <c r="J361" s="24">
        <f>IF($B361="","",IFERROR(IF(VLOOKUP($B361,AcctTbl,6,0)="","—",VLOOKUP($B361,AcctTbl,6,0)),"—"))</f>
        <v/>
      </c>
      <c r="K361" s="35">
        <f>IF(OR($B361="",$H$570=0),"",$H361/$H$570)</f>
        <v/>
      </c>
    </row>
    <row r="362">
      <c r="A362" s="17">
        <f>IF(ROW()-9&gt;NAcctAll,"",ROW()-9)</f>
        <v/>
      </c>
      <c r="B362" s="30">
        <f>IF($A362="","",IF($A362&lt;=NAcctAll,INDEX(PkAcctAll,$A362),""))</f>
        <v/>
      </c>
      <c r="C362" s="22">
        <f>IF($B362="","",IFERROR(IF(VLOOKUP($B362,AcctTbl,4,0)="","(بدون نام)",VLOOKUP($B362,AcctTbl,4,0)),"—"))</f>
        <v/>
      </c>
      <c r="D362" s="18">
        <f>IF($B362="","",IFERROR(IF(VLOOKUP($B362,AcctTbl,3,0)="",IF(VLOOKUP($B362,AcctTbl,2,0)="","—",VLOOKUP($B362,AcctTbl,2,0)),VLOOKUP($B362,AcctTbl,3,0)),"—"))</f>
        <v/>
      </c>
      <c r="E362" s="31">
        <f>IF($B362="","",COUNTIFS(CalcParty,$B362,CalcGroup,"خرید"))</f>
        <v/>
      </c>
      <c r="F362" s="19">
        <f>IF($B362="","",SUMIFS(CalcScale,CalcParty,$B362,CalcGroup,"خرید"))</f>
        <v/>
      </c>
      <c r="G362" s="19">
        <f>IF($B362="","",SUMIFS(CalcBaskets,CalcParty,$B362,CalcGroup,"خرید"))</f>
        <v/>
      </c>
      <c r="H362" s="20">
        <f>IF($B362="","",SUMIFS(CalcNet,CalcParty,$B362,CalcGroup,"خرید"))</f>
        <v/>
      </c>
      <c r="I362" s="18">
        <f>IF($B362="","",IFERROR(IF(VLOOKUP($B362,AcctTbl,5,0)="","—",VLOOKUP($B362,AcctTbl,5,0)),"—"))</f>
        <v/>
      </c>
      <c r="J362" s="18">
        <f>IF($B362="","",IFERROR(IF(VLOOKUP($B362,AcctTbl,6,0)="","—",VLOOKUP($B362,AcctTbl,6,0)),"—"))</f>
        <v/>
      </c>
      <c r="K362" s="32">
        <f>IF(OR($B362="",$H$570=0),"",$H362/$H$570)</f>
        <v/>
      </c>
    </row>
    <row r="363">
      <c r="A363" s="23">
        <f>IF(ROW()-9&gt;NAcctAll,"",ROW()-9)</f>
        <v/>
      </c>
      <c r="B363" s="33">
        <f>IF($A363="","",IF($A363&lt;=NAcctAll,INDEX(PkAcctAll,$A363),""))</f>
        <v/>
      </c>
      <c r="C363" s="28">
        <f>IF($B363="","",IFERROR(IF(VLOOKUP($B363,AcctTbl,4,0)="","(بدون نام)",VLOOKUP($B363,AcctTbl,4,0)),"—"))</f>
        <v/>
      </c>
      <c r="D363" s="24">
        <f>IF($B363="","",IFERROR(IF(VLOOKUP($B363,AcctTbl,3,0)="",IF(VLOOKUP($B363,AcctTbl,2,0)="","—",VLOOKUP($B363,AcctTbl,2,0)),VLOOKUP($B363,AcctTbl,3,0)),"—"))</f>
        <v/>
      </c>
      <c r="E363" s="34">
        <f>IF($B363="","",COUNTIFS(CalcParty,$B363,CalcGroup,"خرید"))</f>
        <v/>
      </c>
      <c r="F363" s="25">
        <f>IF($B363="","",SUMIFS(CalcScale,CalcParty,$B363,CalcGroup,"خرید"))</f>
        <v/>
      </c>
      <c r="G363" s="25">
        <f>IF($B363="","",SUMIFS(CalcBaskets,CalcParty,$B363,CalcGroup,"خرید"))</f>
        <v/>
      </c>
      <c r="H363" s="26">
        <f>IF($B363="","",SUMIFS(CalcNet,CalcParty,$B363,CalcGroup,"خرید"))</f>
        <v/>
      </c>
      <c r="I363" s="24">
        <f>IF($B363="","",IFERROR(IF(VLOOKUP($B363,AcctTbl,5,0)="","—",VLOOKUP($B363,AcctTbl,5,0)),"—"))</f>
        <v/>
      </c>
      <c r="J363" s="24">
        <f>IF($B363="","",IFERROR(IF(VLOOKUP($B363,AcctTbl,6,0)="","—",VLOOKUP($B363,AcctTbl,6,0)),"—"))</f>
        <v/>
      </c>
      <c r="K363" s="35">
        <f>IF(OR($B363="",$H$570=0),"",$H363/$H$570)</f>
        <v/>
      </c>
    </row>
    <row r="364">
      <c r="A364" s="17">
        <f>IF(ROW()-9&gt;NAcctAll,"",ROW()-9)</f>
        <v/>
      </c>
      <c r="B364" s="30">
        <f>IF($A364="","",IF($A364&lt;=NAcctAll,INDEX(PkAcctAll,$A364),""))</f>
        <v/>
      </c>
      <c r="C364" s="22">
        <f>IF($B364="","",IFERROR(IF(VLOOKUP($B364,AcctTbl,4,0)="","(بدون نام)",VLOOKUP($B364,AcctTbl,4,0)),"—"))</f>
        <v/>
      </c>
      <c r="D364" s="18">
        <f>IF($B364="","",IFERROR(IF(VLOOKUP($B364,AcctTbl,3,0)="",IF(VLOOKUP($B364,AcctTbl,2,0)="","—",VLOOKUP($B364,AcctTbl,2,0)),VLOOKUP($B364,AcctTbl,3,0)),"—"))</f>
        <v/>
      </c>
      <c r="E364" s="31">
        <f>IF($B364="","",COUNTIFS(CalcParty,$B364,CalcGroup,"خرید"))</f>
        <v/>
      </c>
      <c r="F364" s="19">
        <f>IF($B364="","",SUMIFS(CalcScale,CalcParty,$B364,CalcGroup,"خرید"))</f>
        <v/>
      </c>
      <c r="G364" s="19">
        <f>IF($B364="","",SUMIFS(CalcBaskets,CalcParty,$B364,CalcGroup,"خرید"))</f>
        <v/>
      </c>
      <c r="H364" s="20">
        <f>IF($B364="","",SUMIFS(CalcNet,CalcParty,$B364,CalcGroup,"خرید"))</f>
        <v/>
      </c>
      <c r="I364" s="18">
        <f>IF($B364="","",IFERROR(IF(VLOOKUP($B364,AcctTbl,5,0)="","—",VLOOKUP($B364,AcctTbl,5,0)),"—"))</f>
        <v/>
      </c>
      <c r="J364" s="18">
        <f>IF($B364="","",IFERROR(IF(VLOOKUP($B364,AcctTbl,6,0)="","—",VLOOKUP($B364,AcctTbl,6,0)),"—"))</f>
        <v/>
      </c>
      <c r="K364" s="32">
        <f>IF(OR($B364="",$H$570=0),"",$H364/$H$570)</f>
        <v/>
      </c>
    </row>
    <row r="365">
      <c r="A365" s="23">
        <f>IF(ROW()-9&gt;NAcctAll,"",ROW()-9)</f>
        <v/>
      </c>
      <c r="B365" s="33">
        <f>IF($A365="","",IF($A365&lt;=NAcctAll,INDEX(PkAcctAll,$A365),""))</f>
        <v/>
      </c>
      <c r="C365" s="28">
        <f>IF($B365="","",IFERROR(IF(VLOOKUP($B365,AcctTbl,4,0)="","(بدون نام)",VLOOKUP($B365,AcctTbl,4,0)),"—"))</f>
        <v/>
      </c>
      <c r="D365" s="24">
        <f>IF($B365="","",IFERROR(IF(VLOOKUP($B365,AcctTbl,3,0)="",IF(VLOOKUP($B365,AcctTbl,2,0)="","—",VLOOKUP($B365,AcctTbl,2,0)),VLOOKUP($B365,AcctTbl,3,0)),"—"))</f>
        <v/>
      </c>
      <c r="E365" s="34">
        <f>IF($B365="","",COUNTIFS(CalcParty,$B365,CalcGroup,"خرید"))</f>
        <v/>
      </c>
      <c r="F365" s="25">
        <f>IF($B365="","",SUMIFS(CalcScale,CalcParty,$B365,CalcGroup,"خرید"))</f>
        <v/>
      </c>
      <c r="G365" s="25">
        <f>IF($B365="","",SUMIFS(CalcBaskets,CalcParty,$B365,CalcGroup,"خرید"))</f>
        <v/>
      </c>
      <c r="H365" s="26">
        <f>IF($B365="","",SUMIFS(CalcNet,CalcParty,$B365,CalcGroup,"خرید"))</f>
        <v/>
      </c>
      <c r="I365" s="24">
        <f>IF($B365="","",IFERROR(IF(VLOOKUP($B365,AcctTbl,5,0)="","—",VLOOKUP($B365,AcctTbl,5,0)),"—"))</f>
        <v/>
      </c>
      <c r="J365" s="24">
        <f>IF($B365="","",IFERROR(IF(VLOOKUP($B365,AcctTbl,6,0)="","—",VLOOKUP($B365,AcctTbl,6,0)),"—"))</f>
        <v/>
      </c>
      <c r="K365" s="35">
        <f>IF(OR($B365="",$H$570=0),"",$H365/$H$570)</f>
        <v/>
      </c>
    </row>
    <row r="366">
      <c r="A366" s="17">
        <f>IF(ROW()-9&gt;NAcctAll,"",ROW()-9)</f>
        <v/>
      </c>
      <c r="B366" s="30">
        <f>IF($A366="","",IF($A366&lt;=NAcctAll,INDEX(PkAcctAll,$A366),""))</f>
        <v/>
      </c>
      <c r="C366" s="22">
        <f>IF($B366="","",IFERROR(IF(VLOOKUP($B366,AcctTbl,4,0)="","(بدون نام)",VLOOKUP($B366,AcctTbl,4,0)),"—"))</f>
        <v/>
      </c>
      <c r="D366" s="18">
        <f>IF($B366="","",IFERROR(IF(VLOOKUP($B366,AcctTbl,3,0)="",IF(VLOOKUP($B366,AcctTbl,2,0)="","—",VLOOKUP($B366,AcctTbl,2,0)),VLOOKUP($B366,AcctTbl,3,0)),"—"))</f>
        <v/>
      </c>
      <c r="E366" s="31">
        <f>IF($B366="","",COUNTIFS(CalcParty,$B366,CalcGroup,"خرید"))</f>
        <v/>
      </c>
      <c r="F366" s="19">
        <f>IF($B366="","",SUMIFS(CalcScale,CalcParty,$B366,CalcGroup,"خرید"))</f>
        <v/>
      </c>
      <c r="G366" s="19">
        <f>IF($B366="","",SUMIFS(CalcBaskets,CalcParty,$B366,CalcGroup,"خرید"))</f>
        <v/>
      </c>
      <c r="H366" s="20">
        <f>IF($B366="","",SUMIFS(CalcNet,CalcParty,$B366,CalcGroup,"خرید"))</f>
        <v/>
      </c>
      <c r="I366" s="18">
        <f>IF($B366="","",IFERROR(IF(VLOOKUP($B366,AcctTbl,5,0)="","—",VLOOKUP($B366,AcctTbl,5,0)),"—"))</f>
        <v/>
      </c>
      <c r="J366" s="18">
        <f>IF($B366="","",IFERROR(IF(VLOOKUP($B366,AcctTbl,6,0)="","—",VLOOKUP($B366,AcctTbl,6,0)),"—"))</f>
        <v/>
      </c>
      <c r="K366" s="32">
        <f>IF(OR($B366="",$H$570=0),"",$H366/$H$570)</f>
        <v/>
      </c>
    </row>
    <row r="367">
      <c r="A367" s="23">
        <f>IF(ROW()-9&gt;NAcctAll,"",ROW()-9)</f>
        <v/>
      </c>
      <c r="B367" s="33">
        <f>IF($A367="","",IF($A367&lt;=NAcctAll,INDEX(PkAcctAll,$A367),""))</f>
        <v/>
      </c>
      <c r="C367" s="28">
        <f>IF($B367="","",IFERROR(IF(VLOOKUP($B367,AcctTbl,4,0)="","(بدون نام)",VLOOKUP($B367,AcctTbl,4,0)),"—"))</f>
        <v/>
      </c>
      <c r="D367" s="24">
        <f>IF($B367="","",IFERROR(IF(VLOOKUP($B367,AcctTbl,3,0)="",IF(VLOOKUP($B367,AcctTbl,2,0)="","—",VLOOKUP($B367,AcctTbl,2,0)),VLOOKUP($B367,AcctTbl,3,0)),"—"))</f>
        <v/>
      </c>
      <c r="E367" s="34">
        <f>IF($B367="","",COUNTIFS(CalcParty,$B367,CalcGroup,"خرید"))</f>
        <v/>
      </c>
      <c r="F367" s="25">
        <f>IF($B367="","",SUMIFS(CalcScale,CalcParty,$B367,CalcGroup,"خرید"))</f>
        <v/>
      </c>
      <c r="G367" s="25">
        <f>IF($B367="","",SUMIFS(CalcBaskets,CalcParty,$B367,CalcGroup,"خرید"))</f>
        <v/>
      </c>
      <c r="H367" s="26">
        <f>IF($B367="","",SUMIFS(CalcNet,CalcParty,$B367,CalcGroup,"خرید"))</f>
        <v/>
      </c>
      <c r="I367" s="24">
        <f>IF($B367="","",IFERROR(IF(VLOOKUP($B367,AcctTbl,5,0)="","—",VLOOKUP($B367,AcctTbl,5,0)),"—"))</f>
        <v/>
      </c>
      <c r="J367" s="24">
        <f>IF($B367="","",IFERROR(IF(VLOOKUP($B367,AcctTbl,6,0)="","—",VLOOKUP($B367,AcctTbl,6,0)),"—"))</f>
        <v/>
      </c>
      <c r="K367" s="35">
        <f>IF(OR($B367="",$H$570=0),"",$H367/$H$570)</f>
        <v/>
      </c>
    </row>
    <row r="368">
      <c r="A368" s="17">
        <f>IF(ROW()-9&gt;NAcctAll,"",ROW()-9)</f>
        <v/>
      </c>
      <c r="B368" s="30">
        <f>IF($A368="","",IF($A368&lt;=NAcctAll,INDEX(PkAcctAll,$A368),""))</f>
        <v/>
      </c>
      <c r="C368" s="22">
        <f>IF($B368="","",IFERROR(IF(VLOOKUP($B368,AcctTbl,4,0)="","(بدون نام)",VLOOKUP($B368,AcctTbl,4,0)),"—"))</f>
        <v/>
      </c>
      <c r="D368" s="18">
        <f>IF($B368="","",IFERROR(IF(VLOOKUP($B368,AcctTbl,3,0)="",IF(VLOOKUP($B368,AcctTbl,2,0)="","—",VLOOKUP($B368,AcctTbl,2,0)),VLOOKUP($B368,AcctTbl,3,0)),"—"))</f>
        <v/>
      </c>
      <c r="E368" s="31">
        <f>IF($B368="","",COUNTIFS(CalcParty,$B368,CalcGroup,"خرید"))</f>
        <v/>
      </c>
      <c r="F368" s="19">
        <f>IF($B368="","",SUMIFS(CalcScale,CalcParty,$B368,CalcGroup,"خرید"))</f>
        <v/>
      </c>
      <c r="G368" s="19">
        <f>IF($B368="","",SUMIFS(CalcBaskets,CalcParty,$B368,CalcGroup,"خرید"))</f>
        <v/>
      </c>
      <c r="H368" s="20">
        <f>IF($B368="","",SUMIFS(CalcNet,CalcParty,$B368,CalcGroup,"خرید"))</f>
        <v/>
      </c>
      <c r="I368" s="18">
        <f>IF($B368="","",IFERROR(IF(VLOOKUP($B368,AcctTbl,5,0)="","—",VLOOKUP($B368,AcctTbl,5,0)),"—"))</f>
        <v/>
      </c>
      <c r="J368" s="18">
        <f>IF($B368="","",IFERROR(IF(VLOOKUP($B368,AcctTbl,6,0)="","—",VLOOKUP($B368,AcctTbl,6,0)),"—"))</f>
        <v/>
      </c>
      <c r="K368" s="32">
        <f>IF(OR($B368="",$H$570=0),"",$H368/$H$570)</f>
        <v/>
      </c>
    </row>
    <row r="369">
      <c r="A369" s="23">
        <f>IF(ROW()-9&gt;NAcctAll,"",ROW()-9)</f>
        <v/>
      </c>
      <c r="B369" s="33">
        <f>IF($A369="","",IF($A369&lt;=NAcctAll,INDEX(PkAcctAll,$A369),""))</f>
        <v/>
      </c>
      <c r="C369" s="28">
        <f>IF($B369="","",IFERROR(IF(VLOOKUP($B369,AcctTbl,4,0)="","(بدون نام)",VLOOKUP($B369,AcctTbl,4,0)),"—"))</f>
        <v/>
      </c>
      <c r="D369" s="24">
        <f>IF($B369="","",IFERROR(IF(VLOOKUP($B369,AcctTbl,3,0)="",IF(VLOOKUP($B369,AcctTbl,2,0)="","—",VLOOKUP($B369,AcctTbl,2,0)),VLOOKUP($B369,AcctTbl,3,0)),"—"))</f>
        <v/>
      </c>
      <c r="E369" s="34">
        <f>IF($B369="","",COUNTIFS(CalcParty,$B369,CalcGroup,"خرید"))</f>
        <v/>
      </c>
      <c r="F369" s="25">
        <f>IF($B369="","",SUMIFS(CalcScale,CalcParty,$B369,CalcGroup,"خرید"))</f>
        <v/>
      </c>
      <c r="G369" s="25">
        <f>IF($B369="","",SUMIFS(CalcBaskets,CalcParty,$B369,CalcGroup,"خرید"))</f>
        <v/>
      </c>
      <c r="H369" s="26">
        <f>IF($B369="","",SUMIFS(CalcNet,CalcParty,$B369,CalcGroup,"خرید"))</f>
        <v/>
      </c>
      <c r="I369" s="24">
        <f>IF($B369="","",IFERROR(IF(VLOOKUP($B369,AcctTbl,5,0)="","—",VLOOKUP($B369,AcctTbl,5,0)),"—"))</f>
        <v/>
      </c>
      <c r="J369" s="24">
        <f>IF($B369="","",IFERROR(IF(VLOOKUP($B369,AcctTbl,6,0)="","—",VLOOKUP($B369,AcctTbl,6,0)),"—"))</f>
        <v/>
      </c>
      <c r="K369" s="35">
        <f>IF(OR($B369="",$H$570=0),"",$H369/$H$570)</f>
        <v/>
      </c>
    </row>
    <row r="370">
      <c r="A370" s="17">
        <f>IF(ROW()-9&gt;NAcctAll,"",ROW()-9)</f>
        <v/>
      </c>
      <c r="B370" s="30">
        <f>IF($A370="","",IF($A370&lt;=NAcctAll,INDEX(PkAcctAll,$A370),""))</f>
        <v/>
      </c>
      <c r="C370" s="22">
        <f>IF($B370="","",IFERROR(IF(VLOOKUP($B370,AcctTbl,4,0)="","(بدون نام)",VLOOKUP($B370,AcctTbl,4,0)),"—"))</f>
        <v/>
      </c>
      <c r="D370" s="18">
        <f>IF($B370="","",IFERROR(IF(VLOOKUP($B370,AcctTbl,3,0)="",IF(VLOOKUP($B370,AcctTbl,2,0)="","—",VLOOKUP($B370,AcctTbl,2,0)),VLOOKUP($B370,AcctTbl,3,0)),"—"))</f>
        <v/>
      </c>
      <c r="E370" s="31">
        <f>IF($B370="","",COUNTIFS(CalcParty,$B370,CalcGroup,"خرید"))</f>
        <v/>
      </c>
      <c r="F370" s="19">
        <f>IF($B370="","",SUMIFS(CalcScale,CalcParty,$B370,CalcGroup,"خرید"))</f>
        <v/>
      </c>
      <c r="G370" s="19">
        <f>IF($B370="","",SUMIFS(CalcBaskets,CalcParty,$B370,CalcGroup,"خرید"))</f>
        <v/>
      </c>
      <c r="H370" s="20">
        <f>IF($B370="","",SUMIFS(CalcNet,CalcParty,$B370,CalcGroup,"خرید"))</f>
        <v/>
      </c>
      <c r="I370" s="18">
        <f>IF($B370="","",IFERROR(IF(VLOOKUP($B370,AcctTbl,5,0)="","—",VLOOKUP($B370,AcctTbl,5,0)),"—"))</f>
        <v/>
      </c>
      <c r="J370" s="18">
        <f>IF($B370="","",IFERROR(IF(VLOOKUP($B370,AcctTbl,6,0)="","—",VLOOKUP($B370,AcctTbl,6,0)),"—"))</f>
        <v/>
      </c>
      <c r="K370" s="32">
        <f>IF(OR($B370="",$H$570=0),"",$H370/$H$570)</f>
        <v/>
      </c>
    </row>
    <row r="371">
      <c r="A371" s="23">
        <f>IF(ROW()-9&gt;NAcctAll,"",ROW()-9)</f>
        <v/>
      </c>
      <c r="B371" s="33">
        <f>IF($A371="","",IF($A371&lt;=NAcctAll,INDEX(PkAcctAll,$A371),""))</f>
        <v/>
      </c>
      <c r="C371" s="28">
        <f>IF($B371="","",IFERROR(IF(VLOOKUP($B371,AcctTbl,4,0)="","(بدون نام)",VLOOKUP($B371,AcctTbl,4,0)),"—"))</f>
        <v/>
      </c>
      <c r="D371" s="24">
        <f>IF($B371="","",IFERROR(IF(VLOOKUP($B371,AcctTbl,3,0)="",IF(VLOOKUP($B371,AcctTbl,2,0)="","—",VLOOKUP($B371,AcctTbl,2,0)),VLOOKUP($B371,AcctTbl,3,0)),"—"))</f>
        <v/>
      </c>
      <c r="E371" s="34">
        <f>IF($B371="","",COUNTIFS(CalcParty,$B371,CalcGroup,"خرید"))</f>
        <v/>
      </c>
      <c r="F371" s="25">
        <f>IF($B371="","",SUMIFS(CalcScale,CalcParty,$B371,CalcGroup,"خرید"))</f>
        <v/>
      </c>
      <c r="G371" s="25">
        <f>IF($B371="","",SUMIFS(CalcBaskets,CalcParty,$B371,CalcGroup,"خرید"))</f>
        <v/>
      </c>
      <c r="H371" s="26">
        <f>IF($B371="","",SUMIFS(CalcNet,CalcParty,$B371,CalcGroup,"خرید"))</f>
        <v/>
      </c>
      <c r="I371" s="24">
        <f>IF($B371="","",IFERROR(IF(VLOOKUP($B371,AcctTbl,5,0)="","—",VLOOKUP($B371,AcctTbl,5,0)),"—"))</f>
        <v/>
      </c>
      <c r="J371" s="24">
        <f>IF($B371="","",IFERROR(IF(VLOOKUP($B371,AcctTbl,6,0)="","—",VLOOKUP($B371,AcctTbl,6,0)),"—"))</f>
        <v/>
      </c>
      <c r="K371" s="35">
        <f>IF(OR($B371="",$H$570=0),"",$H371/$H$570)</f>
        <v/>
      </c>
    </row>
    <row r="372">
      <c r="A372" s="17">
        <f>IF(ROW()-9&gt;NAcctAll,"",ROW()-9)</f>
        <v/>
      </c>
      <c r="B372" s="30">
        <f>IF($A372="","",IF($A372&lt;=NAcctAll,INDEX(PkAcctAll,$A372),""))</f>
        <v/>
      </c>
      <c r="C372" s="22">
        <f>IF($B372="","",IFERROR(IF(VLOOKUP($B372,AcctTbl,4,0)="","(بدون نام)",VLOOKUP($B372,AcctTbl,4,0)),"—"))</f>
        <v/>
      </c>
      <c r="D372" s="18">
        <f>IF($B372="","",IFERROR(IF(VLOOKUP($B372,AcctTbl,3,0)="",IF(VLOOKUP($B372,AcctTbl,2,0)="","—",VLOOKUP($B372,AcctTbl,2,0)),VLOOKUP($B372,AcctTbl,3,0)),"—"))</f>
        <v/>
      </c>
      <c r="E372" s="31">
        <f>IF($B372="","",COUNTIFS(CalcParty,$B372,CalcGroup,"خرید"))</f>
        <v/>
      </c>
      <c r="F372" s="19">
        <f>IF($B372="","",SUMIFS(CalcScale,CalcParty,$B372,CalcGroup,"خرید"))</f>
        <v/>
      </c>
      <c r="G372" s="19">
        <f>IF($B372="","",SUMIFS(CalcBaskets,CalcParty,$B372,CalcGroup,"خرید"))</f>
        <v/>
      </c>
      <c r="H372" s="20">
        <f>IF($B372="","",SUMIFS(CalcNet,CalcParty,$B372,CalcGroup,"خرید"))</f>
        <v/>
      </c>
      <c r="I372" s="18">
        <f>IF($B372="","",IFERROR(IF(VLOOKUP($B372,AcctTbl,5,0)="","—",VLOOKUP($B372,AcctTbl,5,0)),"—"))</f>
        <v/>
      </c>
      <c r="J372" s="18">
        <f>IF($B372="","",IFERROR(IF(VLOOKUP($B372,AcctTbl,6,0)="","—",VLOOKUP($B372,AcctTbl,6,0)),"—"))</f>
        <v/>
      </c>
      <c r="K372" s="32">
        <f>IF(OR($B372="",$H$570=0),"",$H372/$H$570)</f>
        <v/>
      </c>
    </row>
    <row r="373">
      <c r="A373" s="23">
        <f>IF(ROW()-9&gt;NAcctAll,"",ROW()-9)</f>
        <v/>
      </c>
      <c r="B373" s="33">
        <f>IF($A373="","",IF($A373&lt;=NAcctAll,INDEX(PkAcctAll,$A373),""))</f>
        <v/>
      </c>
      <c r="C373" s="28">
        <f>IF($B373="","",IFERROR(IF(VLOOKUP($B373,AcctTbl,4,0)="","(بدون نام)",VLOOKUP($B373,AcctTbl,4,0)),"—"))</f>
        <v/>
      </c>
      <c r="D373" s="24">
        <f>IF($B373="","",IFERROR(IF(VLOOKUP($B373,AcctTbl,3,0)="",IF(VLOOKUP($B373,AcctTbl,2,0)="","—",VLOOKUP($B373,AcctTbl,2,0)),VLOOKUP($B373,AcctTbl,3,0)),"—"))</f>
        <v/>
      </c>
      <c r="E373" s="34">
        <f>IF($B373="","",COUNTIFS(CalcParty,$B373,CalcGroup,"خرید"))</f>
        <v/>
      </c>
      <c r="F373" s="25">
        <f>IF($B373="","",SUMIFS(CalcScale,CalcParty,$B373,CalcGroup,"خرید"))</f>
        <v/>
      </c>
      <c r="G373" s="25">
        <f>IF($B373="","",SUMIFS(CalcBaskets,CalcParty,$B373,CalcGroup,"خرید"))</f>
        <v/>
      </c>
      <c r="H373" s="26">
        <f>IF($B373="","",SUMIFS(CalcNet,CalcParty,$B373,CalcGroup,"خرید"))</f>
        <v/>
      </c>
      <c r="I373" s="24">
        <f>IF($B373="","",IFERROR(IF(VLOOKUP($B373,AcctTbl,5,0)="","—",VLOOKUP($B373,AcctTbl,5,0)),"—"))</f>
        <v/>
      </c>
      <c r="J373" s="24">
        <f>IF($B373="","",IFERROR(IF(VLOOKUP($B373,AcctTbl,6,0)="","—",VLOOKUP($B373,AcctTbl,6,0)),"—"))</f>
        <v/>
      </c>
      <c r="K373" s="35">
        <f>IF(OR($B373="",$H$570=0),"",$H373/$H$570)</f>
        <v/>
      </c>
    </row>
    <row r="374">
      <c r="A374" s="17">
        <f>IF(ROW()-9&gt;NAcctAll,"",ROW()-9)</f>
        <v/>
      </c>
      <c r="B374" s="30">
        <f>IF($A374="","",IF($A374&lt;=NAcctAll,INDEX(PkAcctAll,$A374),""))</f>
        <v/>
      </c>
      <c r="C374" s="22">
        <f>IF($B374="","",IFERROR(IF(VLOOKUP($B374,AcctTbl,4,0)="","(بدون نام)",VLOOKUP($B374,AcctTbl,4,0)),"—"))</f>
        <v/>
      </c>
      <c r="D374" s="18">
        <f>IF($B374="","",IFERROR(IF(VLOOKUP($B374,AcctTbl,3,0)="",IF(VLOOKUP($B374,AcctTbl,2,0)="","—",VLOOKUP($B374,AcctTbl,2,0)),VLOOKUP($B374,AcctTbl,3,0)),"—"))</f>
        <v/>
      </c>
      <c r="E374" s="31">
        <f>IF($B374="","",COUNTIFS(CalcParty,$B374,CalcGroup,"خرید"))</f>
        <v/>
      </c>
      <c r="F374" s="19">
        <f>IF($B374="","",SUMIFS(CalcScale,CalcParty,$B374,CalcGroup,"خرید"))</f>
        <v/>
      </c>
      <c r="G374" s="19">
        <f>IF($B374="","",SUMIFS(CalcBaskets,CalcParty,$B374,CalcGroup,"خرید"))</f>
        <v/>
      </c>
      <c r="H374" s="20">
        <f>IF($B374="","",SUMIFS(CalcNet,CalcParty,$B374,CalcGroup,"خرید"))</f>
        <v/>
      </c>
      <c r="I374" s="18">
        <f>IF($B374="","",IFERROR(IF(VLOOKUP($B374,AcctTbl,5,0)="","—",VLOOKUP($B374,AcctTbl,5,0)),"—"))</f>
        <v/>
      </c>
      <c r="J374" s="18">
        <f>IF($B374="","",IFERROR(IF(VLOOKUP($B374,AcctTbl,6,0)="","—",VLOOKUP($B374,AcctTbl,6,0)),"—"))</f>
        <v/>
      </c>
      <c r="K374" s="32">
        <f>IF(OR($B374="",$H$570=0),"",$H374/$H$570)</f>
        <v/>
      </c>
    </row>
    <row r="375">
      <c r="A375" s="23">
        <f>IF(ROW()-9&gt;NAcctAll,"",ROW()-9)</f>
        <v/>
      </c>
      <c r="B375" s="33">
        <f>IF($A375="","",IF($A375&lt;=NAcctAll,INDEX(PkAcctAll,$A375),""))</f>
        <v/>
      </c>
      <c r="C375" s="28">
        <f>IF($B375="","",IFERROR(IF(VLOOKUP($B375,AcctTbl,4,0)="","(بدون نام)",VLOOKUP($B375,AcctTbl,4,0)),"—"))</f>
        <v/>
      </c>
      <c r="D375" s="24">
        <f>IF($B375="","",IFERROR(IF(VLOOKUP($B375,AcctTbl,3,0)="",IF(VLOOKUP($B375,AcctTbl,2,0)="","—",VLOOKUP($B375,AcctTbl,2,0)),VLOOKUP($B375,AcctTbl,3,0)),"—"))</f>
        <v/>
      </c>
      <c r="E375" s="34">
        <f>IF($B375="","",COUNTIFS(CalcParty,$B375,CalcGroup,"خرید"))</f>
        <v/>
      </c>
      <c r="F375" s="25">
        <f>IF($B375="","",SUMIFS(CalcScale,CalcParty,$B375,CalcGroup,"خرید"))</f>
        <v/>
      </c>
      <c r="G375" s="25">
        <f>IF($B375="","",SUMIFS(CalcBaskets,CalcParty,$B375,CalcGroup,"خرید"))</f>
        <v/>
      </c>
      <c r="H375" s="26">
        <f>IF($B375="","",SUMIFS(CalcNet,CalcParty,$B375,CalcGroup,"خرید"))</f>
        <v/>
      </c>
      <c r="I375" s="24">
        <f>IF($B375="","",IFERROR(IF(VLOOKUP($B375,AcctTbl,5,0)="","—",VLOOKUP($B375,AcctTbl,5,0)),"—"))</f>
        <v/>
      </c>
      <c r="J375" s="24">
        <f>IF($B375="","",IFERROR(IF(VLOOKUP($B375,AcctTbl,6,0)="","—",VLOOKUP($B375,AcctTbl,6,0)),"—"))</f>
        <v/>
      </c>
      <c r="K375" s="35">
        <f>IF(OR($B375="",$H$570=0),"",$H375/$H$570)</f>
        <v/>
      </c>
    </row>
    <row r="376">
      <c r="A376" s="17">
        <f>IF(ROW()-9&gt;NAcctAll,"",ROW()-9)</f>
        <v/>
      </c>
      <c r="B376" s="30">
        <f>IF($A376="","",IF($A376&lt;=NAcctAll,INDEX(PkAcctAll,$A376),""))</f>
        <v/>
      </c>
      <c r="C376" s="22">
        <f>IF($B376="","",IFERROR(IF(VLOOKUP($B376,AcctTbl,4,0)="","(بدون نام)",VLOOKUP($B376,AcctTbl,4,0)),"—"))</f>
        <v/>
      </c>
      <c r="D376" s="18">
        <f>IF($B376="","",IFERROR(IF(VLOOKUP($B376,AcctTbl,3,0)="",IF(VLOOKUP($B376,AcctTbl,2,0)="","—",VLOOKUP($B376,AcctTbl,2,0)),VLOOKUP($B376,AcctTbl,3,0)),"—"))</f>
        <v/>
      </c>
      <c r="E376" s="31">
        <f>IF($B376="","",COUNTIFS(CalcParty,$B376,CalcGroup,"خرید"))</f>
        <v/>
      </c>
      <c r="F376" s="19">
        <f>IF($B376="","",SUMIFS(CalcScale,CalcParty,$B376,CalcGroup,"خرید"))</f>
        <v/>
      </c>
      <c r="G376" s="19">
        <f>IF($B376="","",SUMIFS(CalcBaskets,CalcParty,$B376,CalcGroup,"خرید"))</f>
        <v/>
      </c>
      <c r="H376" s="20">
        <f>IF($B376="","",SUMIFS(CalcNet,CalcParty,$B376,CalcGroup,"خرید"))</f>
        <v/>
      </c>
      <c r="I376" s="18">
        <f>IF($B376="","",IFERROR(IF(VLOOKUP($B376,AcctTbl,5,0)="","—",VLOOKUP($B376,AcctTbl,5,0)),"—"))</f>
        <v/>
      </c>
      <c r="J376" s="18">
        <f>IF($B376="","",IFERROR(IF(VLOOKUP($B376,AcctTbl,6,0)="","—",VLOOKUP($B376,AcctTbl,6,0)),"—"))</f>
        <v/>
      </c>
      <c r="K376" s="32">
        <f>IF(OR($B376="",$H$570=0),"",$H376/$H$570)</f>
        <v/>
      </c>
    </row>
    <row r="377">
      <c r="A377" s="23">
        <f>IF(ROW()-9&gt;NAcctAll,"",ROW()-9)</f>
        <v/>
      </c>
      <c r="B377" s="33">
        <f>IF($A377="","",IF($A377&lt;=NAcctAll,INDEX(PkAcctAll,$A377),""))</f>
        <v/>
      </c>
      <c r="C377" s="28">
        <f>IF($B377="","",IFERROR(IF(VLOOKUP($B377,AcctTbl,4,0)="","(بدون نام)",VLOOKUP($B377,AcctTbl,4,0)),"—"))</f>
        <v/>
      </c>
      <c r="D377" s="24">
        <f>IF($B377="","",IFERROR(IF(VLOOKUP($B377,AcctTbl,3,0)="",IF(VLOOKUP($B377,AcctTbl,2,0)="","—",VLOOKUP($B377,AcctTbl,2,0)),VLOOKUP($B377,AcctTbl,3,0)),"—"))</f>
        <v/>
      </c>
      <c r="E377" s="34">
        <f>IF($B377="","",COUNTIFS(CalcParty,$B377,CalcGroup,"خرید"))</f>
        <v/>
      </c>
      <c r="F377" s="25">
        <f>IF($B377="","",SUMIFS(CalcScale,CalcParty,$B377,CalcGroup,"خرید"))</f>
        <v/>
      </c>
      <c r="G377" s="25">
        <f>IF($B377="","",SUMIFS(CalcBaskets,CalcParty,$B377,CalcGroup,"خرید"))</f>
        <v/>
      </c>
      <c r="H377" s="26">
        <f>IF($B377="","",SUMIFS(CalcNet,CalcParty,$B377,CalcGroup,"خرید"))</f>
        <v/>
      </c>
      <c r="I377" s="24">
        <f>IF($B377="","",IFERROR(IF(VLOOKUP($B377,AcctTbl,5,0)="","—",VLOOKUP($B377,AcctTbl,5,0)),"—"))</f>
        <v/>
      </c>
      <c r="J377" s="24">
        <f>IF($B377="","",IFERROR(IF(VLOOKUP($B377,AcctTbl,6,0)="","—",VLOOKUP($B377,AcctTbl,6,0)),"—"))</f>
        <v/>
      </c>
      <c r="K377" s="35">
        <f>IF(OR($B377="",$H$570=0),"",$H377/$H$570)</f>
        <v/>
      </c>
    </row>
    <row r="378">
      <c r="A378" s="17">
        <f>IF(ROW()-9&gt;NAcctAll,"",ROW()-9)</f>
        <v/>
      </c>
      <c r="B378" s="30">
        <f>IF($A378="","",IF($A378&lt;=NAcctAll,INDEX(PkAcctAll,$A378),""))</f>
        <v/>
      </c>
      <c r="C378" s="22">
        <f>IF($B378="","",IFERROR(IF(VLOOKUP($B378,AcctTbl,4,0)="","(بدون نام)",VLOOKUP($B378,AcctTbl,4,0)),"—"))</f>
        <v/>
      </c>
      <c r="D378" s="18">
        <f>IF($B378="","",IFERROR(IF(VLOOKUP($B378,AcctTbl,3,0)="",IF(VLOOKUP($B378,AcctTbl,2,0)="","—",VLOOKUP($B378,AcctTbl,2,0)),VLOOKUP($B378,AcctTbl,3,0)),"—"))</f>
        <v/>
      </c>
      <c r="E378" s="31">
        <f>IF($B378="","",COUNTIFS(CalcParty,$B378,CalcGroup,"خرید"))</f>
        <v/>
      </c>
      <c r="F378" s="19">
        <f>IF($B378="","",SUMIFS(CalcScale,CalcParty,$B378,CalcGroup,"خرید"))</f>
        <v/>
      </c>
      <c r="G378" s="19">
        <f>IF($B378="","",SUMIFS(CalcBaskets,CalcParty,$B378,CalcGroup,"خرید"))</f>
        <v/>
      </c>
      <c r="H378" s="20">
        <f>IF($B378="","",SUMIFS(CalcNet,CalcParty,$B378,CalcGroup,"خرید"))</f>
        <v/>
      </c>
      <c r="I378" s="18">
        <f>IF($B378="","",IFERROR(IF(VLOOKUP($B378,AcctTbl,5,0)="","—",VLOOKUP($B378,AcctTbl,5,0)),"—"))</f>
        <v/>
      </c>
      <c r="J378" s="18">
        <f>IF($B378="","",IFERROR(IF(VLOOKUP($B378,AcctTbl,6,0)="","—",VLOOKUP($B378,AcctTbl,6,0)),"—"))</f>
        <v/>
      </c>
      <c r="K378" s="32">
        <f>IF(OR($B378="",$H$570=0),"",$H378/$H$570)</f>
        <v/>
      </c>
    </row>
    <row r="379">
      <c r="A379" s="23">
        <f>IF(ROW()-9&gt;NAcctAll,"",ROW()-9)</f>
        <v/>
      </c>
      <c r="B379" s="33">
        <f>IF($A379="","",IF($A379&lt;=NAcctAll,INDEX(PkAcctAll,$A379),""))</f>
        <v/>
      </c>
      <c r="C379" s="28">
        <f>IF($B379="","",IFERROR(IF(VLOOKUP($B379,AcctTbl,4,0)="","(بدون نام)",VLOOKUP($B379,AcctTbl,4,0)),"—"))</f>
        <v/>
      </c>
      <c r="D379" s="24">
        <f>IF($B379="","",IFERROR(IF(VLOOKUP($B379,AcctTbl,3,0)="",IF(VLOOKUP($B379,AcctTbl,2,0)="","—",VLOOKUP($B379,AcctTbl,2,0)),VLOOKUP($B379,AcctTbl,3,0)),"—"))</f>
        <v/>
      </c>
      <c r="E379" s="34">
        <f>IF($B379="","",COUNTIFS(CalcParty,$B379,CalcGroup,"خرید"))</f>
        <v/>
      </c>
      <c r="F379" s="25">
        <f>IF($B379="","",SUMIFS(CalcScale,CalcParty,$B379,CalcGroup,"خرید"))</f>
        <v/>
      </c>
      <c r="G379" s="25">
        <f>IF($B379="","",SUMIFS(CalcBaskets,CalcParty,$B379,CalcGroup,"خرید"))</f>
        <v/>
      </c>
      <c r="H379" s="26">
        <f>IF($B379="","",SUMIFS(CalcNet,CalcParty,$B379,CalcGroup,"خرید"))</f>
        <v/>
      </c>
      <c r="I379" s="24">
        <f>IF($B379="","",IFERROR(IF(VLOOKUP($B379,AcctTbl,5,0)="","—",VLOOKUP($B379,AcctTbl,5,0)),"—"))</f>
        <v/>
      </c>
      <c r="J379" s="24">
        <f>IF($B379="","",IFERROR(IF(VLOOKUP($B379,AcctTbl,6,0)="","—",VLOOKUP($B379,AcctTbl,6,0)),"—"))</f>
        <v/>
      </c>
      <c r="K379" s="35">
        <f>IF(OR($B379="",$H$570=0),"",$H379/$H$570)</f>
        <v/>
      </c>
    </row>
    <row r="380">
      <c r="A380" s="17">
        <f>IF(ROW()-9&gt;NAcctAll,"",ROW()-9)</f>
        <v/>
      </c>
      <c r="B380" s="30">
        <f>IF($A380="","",IF($A380&lt;=NAcctAll,INDEX(PkAcctAll,$A380),""))</f>
        <v/>
      </c>
      <c r="C380" s="22">
        <f>IF($B380="","",IFERROR(IF(VLOOKUP($B380,AcctTbl,4,0)="","(بدون نام)",VLOOKUP($B380,AcctTbl,4,0)),"—"))</f>
        <v/>
      </c>
      <c r="D380" s="18">
        <f>IF($B380="","",IFERROR(IF(VLOOKUP($B380,AcctTbl,3,0)="",IF(VLOOKUP($B380,AcctTbl,2,0)="","—",VLOOKUP($B380,AcctTbl,2,0)),VLOOKUP($B380,AcctTbl,3,0)),"—"))</f>
        <v/>
      </c>
      <c r="E380" s="31">
        <f>IF($B380="","",COUNTIFS(CalcParty,$B380,CalcGroup,"خرید"))</f>
        <v/>
      </c>
      <c r="F380" s="19">
        <f>IF($B380="","",SUMIFS(CalcScale,CalcParty,$B380,CalcGroup,"خرید"))</f>
        <v/>
      </c>
      <c r="G380" s="19">
        <f>IF($B380="","",SUMIFS(CalcBaskets,CalcParty,$B380,CalcGroup,"خرید"))</f>
        <v/>
      </c>
      <c r="H380" s="20">
        <f>IF($B380="","",SUMIFS(CalcNet,CalcParty,$B380,CalcGroup,"خرید"))</f>
        <v/>
      </c>
      <c r="I380" s="18">
        <f>IF($B380="","",IFERROR(IF(VLOOKUP($B380,AcctTbl,5,0)="","—",VLOOKUP($B380,AcctTbl,5,0)),"—"))</f>
        <v/>
      </c>
      <c r="J380" s="18">
        <f>IF($B380="","",IFERROR(IF(VLOOKUP($B380,AcctTbl,6,0)="","—",VLOOKUP($B380,AcctTbl,6,0)),"—"))</f>
        <v/>
      </c>
      <c r="K380" s="32">
        <f>IF(OR($B380="",$H$570=0),"",$H380/$H$570)</f>
        <v/>
      </c>
    </row>
    <row r="381">
      <c r="A381" s="23">
        <f>IF(ROW()-9&gt;NAcctAll,"",ROW()-9)</f>
        <v/>
      </c>
      <c r="B381" s="33">
        <f>IF($A381="","",IF($A381&lt;=NAcctAll,INDEX(PkAcctAll,$A381),""))</f>
        <v/>
      </c>
      <c r="C381" s="28">
        <f>IF($B381="","",IFERROR(IF(VLOOKUP($B381,AcctTbl,4,0)="","(بدون نام)",VLOOKUP($B381,AcctTbl,4,0)),"—"))</f>
        <v/>
      </c>
      <c r="D381" s="24">
        <f>IF($B381="","",IFERROR(IF(VLOOKUP($B381,AcctTbl,3,0)="",IF(VLOOKUP($B381,AcctTbl,2,0)="","—",VLOOKUP($B381,AcctTbl,2,0)),VLOOKUP($B381,AcctTbl,3,0)),"—"))</f>
        <v/>
      </c>
      <c r="E381" s="34">
        <f>IF($B381="","",COUNTIFS(CalcParty,$B381,CalcGroup,"خرید"))</f>
        <v/>
      </c>
      <c r="F381" s="25">
        <f>IF($B381="","",SUMIFS(CalcScale,CalcParty,$B381,CalcGroup,"خرید"))</f>
        <v/>
      </c>
      <c r="G381" s="25">
        <f>IF($B381="","",SUMIFS(CalcBaskets,CalcParty,$B381,CalcGroup,"خرید"))</f>
        <v/>
      </c>
      <c r="H381" s="26">
        <f>IF($B381="","",SUMIFS(CalcNet,CalcParty,$B381,CalcGroup,"خرید"))</f>
        <v/>
      </c>
      <c r="I381" s="24">
        <f>IF($B381="","",IFERROR(IF(VLOOKUP($B381,AcctTbl,5,0)="","—",VLOOKUP($B381,AcctTbl,5,0)),"—"))</f>
        <v/>
      </c>
      <c r="J381" s="24">
        <f>IF($B381="","",IFERROR(IF(VLOOKUP($B381,AcctTbl,6,0)="","—",VLOOKUP($B381,AcctTbl,6,0)),"—"))</f>
        <v/>
      </c>
      <c r="K381" s="35">
        <f>IF(OR($B381="",$H$570=0),"",$H381/$H$570)</f>
        <v/>
      </c>
    </row>
    <row r="382">
      <c r="A382" s="17">
        <f>IF(ROW()-9&gt;NAcctAll,"",ROW()-9)</f>
        <v/>
      </c>
      <c r="B382" s="30">
        <f>IF($A382="","",IF($A382&lt;=NAcctAll,INDEX(PkAcctAll,$A382),""))</f>
        <v/>
      </c>
      <c r="C382" s="22">
        <f>IF($B382="","",IFERROR(IF(VLOOKUP($B382,AcctTbl,4,0)="","(بدون نام)",VLOOKUP($B382,AcctTbl,4,0)),"—"))</f>
        <v/>
      </c>
      <c r="D382" s="18">
        <f>IF($B382="","",IFERROR(IF(VLOOKUP($B382,AcctTbl,3,0)="",IF(VLOOKUP($B382,AcctTbl,2,0)="","—",VLOOKUP($B382,AcctTbl,2,0)),VLOOKUP($B382,AcctTbl,3,0)),"—"))</f>
        <v/>
      </c>
      <c r="E382" s="31">
        <f>IF($B382="","",COUNTIFS(CalcParty,$B382,CalcGroup,"خرید"))</f>
        <v/>
      </c>
      <c r="F382" s="19">
        <f>IF($B382="","",SUMIFS(CalcScale,CalcParty,$B382,CalcGroup,"خرید"))</f>
        <v/>
      </c>
      <c r="G382" s="19">
        <f>IF($B382="","",SUMIFS(CalcBaskets,CalcParty,$B382,CalcGroup,"خرید"))</f>
        <v/>
      </c>
      <c r="H382" s="20">
        <f>IF($B382="","",SUMIFS(CalcNet,CalcParty,$B382,CalcGroup,"خرید"))</f>
        <v/>
      </c>
      <c r="I382" s="18">
        <f>IF($B382="","",IFERROR(IF(VLOOKUP($B382,AcctTbl,5,0)="","—",VLOOKUP($B382,AcctTbl,5,0)),"—"))</f>
        <v/>
      </c>
      <c r="J382" s="18">
        <f>IF($B382="","",IFERROR(IF(VLOOKUP($B382,AcctTbl,6,0)="","—",VLOOKUP($B382,AcctTbl,6,0)),"—"))</f>
        <v/>
      </c>
      <c r="K382" s="32">
        <f>IF(OR($B382="",$H$570=0),"",$H382/$H$570)</f>
        <v/>
      </c>
    </row>
    <row r="383">
      <c r="A383" s="23">
        <f>IF(ROW()-9&gt;NAcctAll,"",ROW()-9)</f>
        <v/>
      </c>
      <c r="B383" s="33">
        <f>IF($A383="","",IF($A383&lt;=NAcctAll,INDEX(PkAcctAll,$A383),""))</f>
        <v/>
      </c>
      <c r="C383" s="28">
        <f>IF($B383="","",IFERROR(IF(VLOOKUP($B383,AcctTbl,4,0)="","(بدون نام)",VLOOKUP($B383,AcctTbl,4,0)),"—"))</f>
        <v/>
      </c>
      <c r="D383" s="24">
        <f>IF($B383="","",IFERROR(IF(VLOOKUP($B383,AcctTbl,3,0)="",IF(VLOOKUP($B383,AcctTbl,2,0)="","—",VLOOKUP($B383,AcctTbl,2,0)),VLOOKUP($B383,AcctTbl,3,0)),"—"))</f>
        <v/>
      </c>
      <c r="E383" s="34">
        <f>IF($B383="","",COUNTIFS(CalcParty,$B383,CalcGroup,"خرید"))</f>
        <v/>
      </c>
      <c r="F383" s="25">
        <f>IF($B383="","",SUMIFS(CalcScale,CalcParty,$B383,CalcGroup,"خرید"))</f>
        <v/>
      </c>
      <c r="G383" s="25">
        <f>IF($B383="","",SUMIFS(CalcBaskets,CalcParty,$B383,CalcGroup,"خرید"))</f>
        <v/>
      </c>
      <c r="H383" s="26">
        <f>IF($B383="","",SUMIFS(CalcNet,CalcParty,$B383,CalcGroup,"خرید"))</f>
        <v/>
      </c>
      <c r="I383" s="24">
        <f>IF($B383="","",IFERROR(IF(VLOOKUP($B383,AcctTbl,5,0)="","—",VLOOKUP($B383,AcctTbl,5,0)),"—"))</f>
        <v/>
      </c>
      <c r="J383" s="24">
        <f>IF($B383="","",IFERROR(IF(VLOOKUP($B383,AcctTbl,6,0)="","—",VLOOKUP($B383,AcctTbl,6,0)),"—"))</f>
        <v/>
      </c>
      <c r="K383" s="35">
        <f>IF(OR($B383="",$H$570=0),"",$H383/$H$570)</f>
        <v/>
      </c>
    </row>
    <row r="384">
      <c r="A384" s="17">
        <f>IF(ROW()-9&gt;NAcctAll,"",ROW()-9)</f>
        <v/>
      </c>
      <c r="B384" s="30">
        <f>IF($A384="","",IF($A384&lt;=NAcctAll,INDEX(PkAcctAll,$A384),""))</f>
        <v/>
      </c>
      <c r="C384" s="22">
        <f>IF($B384="","",IFERROR(IF(VLOOKUP($B384,AcctTbl,4,0)="","(بدون نام)",VLOOKUP($B384,AcctTbl,4,0)),"—"))</f>
        <v/>
      </c>
      <c r="D384" s="18">
        <f>IF($B384="","",IFERROR(IF(VLOOKUP($B384,AcctTbl,3,0)="",IF(VLOOKUP($B384,AcctTbl,2,0)="","—",VLOOKUP($B384,AcctTbl,2,0)),VLOOKUP($B384,AcctTbl,3,0)),"—"))</f>
        <v/>
      </c>
      <c r="E384" s="31">
        <f>IF($B384="","",COUNTIFS(CalcParty,$B384,CalcGroup,"خرید"))</f>
        <v/>
      </c>
      <c r="F384" s="19">
        <f>IF($B384="","",SUMIFS(CalcScale,CalcParty,$B384,CalcGroup,"خرید"))</f>
        <v/>
      </c>
      <c r="G384" s="19">
        <f>IF($B384="","",SUMIFS(CalcBaskets,CalcParty,$B384,CalcGroup,"خرید"))</f>
        <v/>
      </c>
      <c r="H384" s="20">
        <f>IF($B384="","",SUMIFS(CalcNet,CalcParty,$B384,CalcGroup,"خرید"))</f>
        <v/>
      </c>
      <c r="I384" s="18">
        <f>IF($B384="","",IFERROR(IF(VLOOKUP($B384,AcctTbl,5,0)="","—",VLOOKUP($B384,AcctTbl,5,0)),"—"))</f>
        <v/>
      </c>
      <c r="J384" s="18">
        <f>IF($B384="","",IFERROR(IF(VLOOKUP($B384,AcctTbl,6,0)="","—",VLOOKUP($B384,AcctTbl,6,0)),"—"))</f>
        <v/>
      </c>
      <c r="K384" s="32">
        <f>IF(OR($B384="",$H$570=0),"",$H384/$H$570)</f>
        <v/>
      </c>
    </row>
    <row r="385">
      <c r="A385" s="23">
        <f>IF(ROW()-9&gt;NAcctAll,"",ROW()-9)</f>
        <v/>
      </c>
      <c r="B385" s="33">
        <f>IF($A385="","",IF($A385&lt;=NAcctAll,INDEX(PkAcctAll,$A385),""))</f>
        <v/>
      </c>
      <c r="C385" s="28">
        <f>IF($B385="","",IFERROR(IF(VLOOKUP($B385,AcctTbl,4,0)="","(بدون نام)",VLOOKUP($B385,AcctTbl,4,0)),"—"))</f>
        <v/>
      </c>
      <c r="D385" s="24">
        <f>IF($B385="","",IFERROR(IF(VLOOKUP($B385,AcctTbl,3,0)="",IF(VLOOKUP($B385,AcctTbl,2,0)="","—",VLOOKUP($B385,AcctTbl,2,0)),VLOOKUP($B385,AcctTbl,3,0)),"—"))</f>
        <v/>
      </c>
      <c r="E385" s="34">
        <f>IF($B385="","",COUNTIFS(CalcParty,$B385,CalcGroup,"خرید"))</f>
        <v/>
      </c>
      <c r="F385" s="25">
        <f>IF($B385="","",SUMIFS(CalcScale,CalcParty,$B385,CalcGroup,"خرید"))</f>
        <v/>
      </c>
      <c r="G385" s="25">
        <f>IF($B385="","",SUMIFS(CalcBaskets,CalcParty,$B385,CalcGroup,"خرید"))</f>
        <v/>
      </c>
      <c r="H385" s="26">
        <f>IF($B385="","",SUMIFS(CalcNet,CalcParty,$B385,CalcGroup,"خرید"))</f>
        <v/>
      </c>
      <c r="I385" s="24">
        <f>IF($B385="","",IFERROR(IF(VLOOKUP($B385,AcctTbl,5,0)="","—",VLOOKUP($B385,AcctTbl,5,0)),"—"))</f>
        <v/>
      </c>
      <c r="J385" s="24">
        <f>IF($B385="","",IFERROR(IF(VLOOKUP($B385,AcctTbl,6,0)="","—",VLOOKUP($B385,AcctTbl,6,0)),"—"))</f>
        <v/>
      </c>
      <c r="K385" s="35">
        <f>IF(OR($B385="",$H$570=0),"",$H385/$H$570)</f>
        <v/>
      </c>
    </row>
    <row r="386">
      <c r="A386" s="17">
        <f>IF(ROW()-9&gt;NAcctAll,"",ROW()-9)</f>
        <v/>
      </c>
      <c r="B386" s="30">
        <f>IF($A386="","",IF($A386&lt;=NAcctAll,INDEX(PkAcctAll,$A386),""))</f>
        <v/>
      </c>
      <c r="C386" s="22">
        <f>IF($B386="","",IFERROR(IF(VLOOKUP($B386,AcctTbl,4,0)="","(بدون نام)",VLOOKUP($B386,AcctTbl,4,0)),"—"))</f>
        <v/>
      </c>
      <c r="D386" s="18">
        <f>IF($B386="","",IFERROR(IF(VLOOKUP($B386,AcctTbl,3,0)="",IF(VLOOKUP($B386,AcctTbl,2,0)="","—",VLOOKUP($B386,AcctTbl,2,0)),VLOOKUP($B386,AcctTbl,3,0)),"—"))</f>
        <v/>
      </c>
      <c r="E386" s="31">
        <f>IF($B386="","",COUNTIFS(CalcParty,$B386,CalcGroup,"خرید"))</f>
        <v/>
      </c>
      <c r="F386" s="19">
        <f>IF($B386="","",SUMIFS(CalcScale,CalcParty,$B386,CalcGroup,"خرید"))</f>
        <v/>
      </c>
      <c r="G386" s="19">
        <f>IF($B386="","",SUMIFS(CalcBaskets,CalcParty,$B386,CalcGroup,"خرید"))</f>
        <v/>
      </c>
      <c r="H386" s="20">
        <f>IF($B386="","",SUMIFS(CalcNet,CalcParty,$B386,CalcGroup,"خرید"))</f>
        <v/>
      </c>
      <c r="I386" s="18">
        <f>IF($B386="","",IFERROR(IF(VLOOKUP($B386,AcctTbl,5,0)="","—",VLOOKUP($B386,AcctTbl,5,0)),"—"))</f>
        <v/>
      </c>
      <c r="J386" s="18">
        <f>IF($B386="","",IFERROR(IF(VLOOKUP($B386,AcctTbl,6,0)="","—",VLOOKUP($B386,AcctTbl,6,0)),"—"))</f>
        <v/>
      </c>
      <c r="K386" s="32">
        <f>IF(OR($B386="",$H$570=0),"",$H386/$H$570)</f>
        <v/>
      </c>
    </row>
    <row r="387">
      <c r="A387" s="23">
        <f>IF(ROW()-9&gt;NAcctAll,"",ROW()-9)</f>
        <v/>
      </c>
      <c r="B387" s="33">
        <f>IF($A387="","",IF($A387&lt;=NAcctAll,INDEX(PkAcctAll,$A387),""))</f>
        <v/>
      </c>
      <c r="C387" s="28">
        <f>IF($B387="","",IFERROR(IF(VLOOKUP($B387,AcctTbl,4,0)="","(بدون نام)",VLOOKUP($B387,AcctTbl,4,0)),"—"))</f>
        <v/>
      </c>
      <c r="D387" s="24">
        <f>IF($B387="","",IFERROR(IF(VLOOKUP($B387,AcctTbl,3,0)="",IF(VLOOKUP($B387,AcctTbl,2,0)="","—",VLOOKUP($B387,AcctTbl,2,0)),VLOOKUP($B387,AcctTbl,3,0)),"—"))</f>
        <v/>
      </c>
      <c r="E387" s="34">
        <f>IF($B387="","",COUNTIFS(CalcParty,$B387,CalcGroup,"خرید"))</f>
        <v/>
      </c>
      <c r="F387" s="25">
        <f>IF($B387="","",SUMIFS(CalcScale,CalcParty,$B387,CalcGroup,"خرید"))</f>
        <v/>
      </c>
      <c r="G387" s="25">
        <f>IF($B387="","",SUMIFS(CalcBaskets,CalcParty,$B387,CalcGroup,"خرید"))</f>
        <v/>
      </c>
      <c r="H387" s="26">
        <f>IF($B387="","",SUMIFS(CalcNet,CalcParty,$B387,CalcGroup,"خرید"))</f>
        <v/>
      </c>
      <c r="I387" s="24">
        <f>IF($B387="","",IFERROR(IF(VLOOKUP($B387,AcctTbl,5,0)="","—",VLOOKUP($B387,AcctTbl,5,0)),"—"))</f>
        <v/>
      </c>
      <c r="J387" s="24">
        <f>IF($B387="","",IFERROR(IF(VLOOKUP($B387,AcctTbl,6,0)="","—",VLOOKUP($B387,AcctTbl,6,0)),"—"))</f>
        <v/>
      </c>
      <c r="K387" s="35">
        <f>IF(OR($B387="",$H$570=0),"",$H387/$H$570)</f>
        <v/>
      </c>
    </row>
    <row r="388">
      <c r="A388" s="17">
        <f>IF(ROW()-9&gt;NAcctAll,"",ROW()-9)</f>
        <v/>
      </c>
      <c r="B388" s="30">
        <f>IF($A388="","",IF($A388&lt;=NAcctAll,INDEX(PkAcctAll,$A388),""))</f>
        <v/>
      </c>
      <c r="C388" s="22">
        <f>IF($B388="","",IFERROR(IF(VLOOKUP($B388,AcctTbl,4,0)="","(بدون نام)",VLOOKUP($B388,AcctTbl,4,0)),"—"))</f>
        <v/>
      </c>
      <c r="D388" s="18">
        <f>IF($B388="","",IFERROR(IF(VLOOKUP($B388,AcctTbl,3,0)="",IF(VLOOKUP($B388,AcctTbl,2,0)="","—",VLOOKUP($B388,AcctTbl,2,0)),VLOOKUP($B388,AcctTbl,3,0)),"—"))</f>
        <v/>
      </c>
      <c r="E388" s="31">
        <f>IF($B388="","",COUNTIFS(CalcParty,$B388,CalcGroup,"خرید"))</f>
        <v/>
      </c>
      <c r="F388" s="19">
        <f>IF($B388="","",SUMIFS(CalcScale,CalcParty,$B388,CalcGroup,"خرید"))</f>
        <v/>
      </c>
      <c r="G388" s="19">
        <f>IF($B388="","",SUMIFS(CalcBaskets,CalcParty,$B388,CalcGroup,"خرید"))</f>
        <v/>
      </c>
      <c r="H388" s="20">
        <f>IF($B388="","",SUMIFS(CalcNet,CalcParty,$B388,CalcGroup,"خرید"))</f>
        <v/>
      </c>
      <c r="I388" s="18">
        <f>IF($B388="","",IFERROR(IF(VLOOKUP($B388,AcctTbl,5,0)="","—",VLOOKUP($B388,AcctTbl,5,0)),"—"))</f>
        <v/>
      </c>
      <c r="J388" s="18">
        <f>IF($B388="","",IFERROR(IF(VLOOKUP($B388,AcctTbl,6,0)="","—",VLOOKUP($B388,AcctTbl,6,0)),"—"))</f>
        <v/>
      </c>
      <c r="K388" s="32">
        <f>IF(OR($B388="",$H$570=0),"",$H388/$H$570)</f>
        <v/>
      </c>
    </row>
    <row r="389">
      <c r="A389" s="23">
        <f>IF(ROW()-9&gt;NAcctAll,"",ROW()-9)</f>
        <v/>
      </c>
      <c r="B389" s="33">
        <f>IF($A389="","",IF($A389&lt;=NAcctAll,INDEX(PkAcctAll,$A389),""))</f>
        <v/>
      </c>
      <c r="C389" s="28">
        <f>IF($B389="","",IFERROR(IF(VLOOKUP($B389,AcctTbl,4,0)="","(بدون نام)",VLOOKUP($B389,AcctTbl,4,0)),"—"))</f>
        <v/>
      </c>
      <c r="D389" s="24">
        <f>IF($B389="","",IFERROR(IF(VLOOKUP($B389,AcctTbl,3,0)="",IF(VLOOKUP($B389,AcctTbl,2,0)="","—",VLOOKUP($B389,AcctTbl,2,0)),VLOOKUP($B389,AcctTbl,3,0)),"—"))</f>
        <v/>
      </c>
      <c r="E389" s="34">
        <f>IF($B389="","",COUNTIFS(CalcParty,$B389,CalcGroup,"خرید"))</f>
        <v/>
      </c>
      <c r="F389" s="25">
        <f>IF($B389="","",SUMIFS(CalcScale,CalcParty,$B389,CalcGroup,"خرید"))</f>
        <v/>
      </c>
      <c r="G389" s="25">
        <f>IF($B389="","",SUMIFS(CalcBaskets,CalcParty,$B389,CalcGroup,"خرید"))</f>
        <v/>
      </c>
      <c r="H389" s="26">
        <f>IF($B389="","",SUMIFS(CalcNet,CalcParty,$B389,CalcGroup,"خرید"))</f>
        <v/>
      </c>
      <c r="I389" s="24">
        <f>IF($B389="","",IFERROR(IF(VLOOKUP($B389,AcctTbl,5,0)="","—",VLOOKUP($B389,AcctTbl,5,0)),"—"))</f>
        <v/>
      </c>
      <c r="J389" s="24">
        <f>IF($B389="","",IFERROR(IF(VLOOKUP($B389,AcctTbl,6,0)="","—",VLOOKUP($B389,AcctTbl,6,0)),"—"))</f>
        <v/>
      </c>
      <c r="K389" s="35">
        <f>IF(OR($B389="",$H$570=0),"",$H389/$H$570)</f>
        <v/>
      </c>
    </row>
    <row r="390">
      <c r="A390" s="17">
        <f>IF(ROW()-9&gt;NAcctAll,"",ROW()-9)</f>
        <v/>
      </c>
      <c r="B390" s="30">
        <f>IF($A390="","",IF($A390&lt;=NAcctAll,INDEX(PkAcctAll,$A390),""))</f>
        <v/>
      </c>
      <c r="C390" s="22">
        <f>IF($B390="","",IFERROR(IF(VLOOKUP($B390,AcctTbl,4,0)="","(بدون نام)",VLOOKUP($B390,AcctTbl,4,0)),"—"))</f>
        <v/>
      </c>
      <c r="D390" s="18">
        <f>IF($B390="","",IFERROR(IF(VLOOKUP($B390,AcctTbl,3,0)="",IF(VLOOKUP($B390,AcctTbl,2,0)="","—",VLOOKUP($B390,AcctTbl,2,0)),VLOOKUP($B390,AcctTbl,3,0)),"—"))</f>
        <v/>
      </c>
      <c r="E390" s="31">
        <f>IF($B390="","",COUNTIFS(CalcParty,$B390,CalcGroup,"خرید"))</f>
        <v/>
      </c>
      <c r="F390" s="19">
        <f>IF($B390="","",SUMIFS(CalcScale,CalcParty,$B390,CalcGroup,"خرید"))</f>
        <v/>
      </c>
      <c r="G390" s="19">
        <f>IF($B390="","",SUMIFS(CalcBaskets,CalcParty,$B390,CalcGroup,"خرید"))</f>
        <v/>
      </c>
      <c r="H390" s="20">
        <f>IF($B390="","",SUMIFS(CalcNet,CalcParty,$B390,CalcGroup,"خرید"))</f>
        <v/>
      </c>
      <c r="I390" s="18">
        <f>IF($B390="","",IFERROR(IF(VLOOKUP($B390,AcctTbl,5,0)="","—",VLOOKUP($B390,AcctTbl,5,0)),"—"))</f>
        <v/>
      </c>
      <c r="J390" s="18">
        <f>IF($B390="","",IFERROR(IF(VLOOKUP($B390,AcctTbl,6,0)="","—",VLOOKUP($B390,AcctTbl,6,0)),"—"))</f>
        <v/>
      </c>
      <c r="K390" s="32">
        <f>IF(OR($B390="",$H$570=0),"",$H390/$H$570)</f>
        <v/>
      </c>
    </row>
    <row r="391">
      <c r="A391" s="23">
        <f>IF(ROW()-9&gt;NAcctAll,"",ROW()-9)</f>
        <v/>
      </c>
      <c r="B391" s="33">
        <f>IF($A391="","",IF($A391&lt;=NAcctAll,INDEX(PkAcctAll,$A391),""))</f>
        <v/>
      </c>
      <c r="C391" s="28">
        <f>IF($B391="","",IFERROR(IF(VLOOKUP($B391,AcctTbl,4,0)="","(بدون نام)",VLOOKUP($B391,AcctTbl,4,0)),"—"))</f>
        <v/>
      </c>
      <c r="D391" s="24">
        <f>IF($B391="","",IFERROR(IF(VLOOKUP($B391,AcctTbl,3,0)="",IF(VLOOKUP($B391,AcctTbl,2,0)="","—",VLOOKUP($B391,AcctTbl,2,0)),VLOOKUP($B391,AcctTbl,3,0)),"—"))</f>
        <v/>
      </c>
      <c r="E391" s="34">
        <f>IF($B391="","",COUNTIFS(CalcParty,$B391,CalcGroup,"خرید"))</f>
        <v/>
      </c>
      <c r="F391" s="25">
        <f>IF($B391="","",SUMIFS(CalcScale,CalcParty,$B391,CalcGroup,"خرید"))</f>
        <v/>
      </c>
      <c r="G391" s="25">
        <f>IF($B391="","",SUMIFS(CalcBaskets,CalcParty,$B391,CalcGroup,"خرید"))</f>
        <v/>
      </c>
      <c r="H391" s="26">
        <f>IF($B391="","",SUMIFS(CalcNet,CalcParty,$B391,CalcGroup,"خرید"))</f>
        <v/>
      </c>
      <c r="I391" s="24">
        <f>IF($B391="","",IFERROR(IF(VLOOKUP($B391,AcctTbl,5,0)="","—",VLOOKUP($B391,AcctTbl,5,0)),"—"))</f>
        <v/>
      </c>
      <c r="J391" s="24">
        <f>IF($B391="","",IFERROR(IF(VLOOKUP($B391,AcctTbl,6,0)="","—",VLOOKUP($B391,AcctTbl,6,0)),"—"))</f>
        <v/>
      </c>
      <c r="K391" s="35">
        <f>IF(OR($B391="",$H$570=0),"",$H391/$H$570)</f>
        <v/>
      </c>
    </row>
    <row r="392">
      <c r="A392" s="17">
        <f>IF(ROW()-9&gt;NAcctAll,"",ROW()-9)</f>
        <v/>
      </c>
      <c r="B392" s="30">
        <f>IF($A392="","",IF($A392&lt;=NAcctAll,INDEX(PkAcctAll,$A392),""))</f>
        <v/>
      </c>
      <c r="C392" s="22">
        <f>IF($B392="","",IFERROR(IF(VLOOKUP($B392,AcctTbl,4,0)="","(بدون نام)",VLOOKUP($B392,AcctTbl,4,0)),"—"))</f>
        <v/>
      </c>
      <c r="D392" s="18">
        <f>IF($B392="","",IFERROR(IF(VLOOKUP($B392,AcctTbl,3,0)="",IF(VLOOKUP($B392,AcctTbl,2,0)="","—",VLOOKUP($B392,AcctTbl,2,0)),VLOOKUP($B392,AcctTbl,3,0)),"—"))</f>
        <v/>
      </c>
      <c r="E392" s="31">
        <f>IF($B392="","",COUNTIFS(CalcParty,$B392,CalcGroup,"خرید"))</f>
        <v/>
      </c>
      <c r="F392" s="19">
        <f>IF($B392="","",SUMIFS(CalcScale,CalcParty,$B392,CalcGroup,"خرید"))</f>
        <v/>
      </c>
      <c r="G392" s="19">
        <f>IF($B392="","",SUMIFS(CalcBaskets,CalcParty,$B392,CalcGroup,"خرید"))</f>
        <v/>
      </c>
      <c r="H392" s="20">
        <f>IF($B392="","",SUMIFS(CalcNet,CalcParty,$B392,CalcGroup,"خرید"))</f>
        <v/>
      </c>
      <c r="I392" s="18">
        <f>IF($B392="","",IFERROR(IF(VLOOKUP($B392,AcctTbl,5,0)="","—",VLOOKUP($B392,AcctTbl,5,0)),"—"))</f>
        <v/>
      </c>
      <c r="J392" s="18">
        <f>IF($B392="","",IFERROR(IF(VLOOKUP($B392,AcctTbl,6,0)="","—",VLOOKUP($B392,AcctTbl,6,0)),"—"))</f>
        <v/>
      </c>
      <c r="K392" s="32">
        <f>IF(OR($B392="",$H$570=0),"",$H392/$H$570)</f>
        <v/>
      </c>
    </row>
    <row r="393">
      <c r="A393" s="23">
        <f>IF(ROW()-9&gt;NAcctAll,"",ROW()-9)</f>
        <v/>
      </c>
      <c r="B393" s="33">
        <f>IF($A393="","",IF($A393&lt;=NAcctAll,INDEX(PkAcctAll,$A393),""))</f>
        <v/>
      </c>
      <c r="C393" s="28">
        <f>IF($B393="","",IFERROR(IF(VLOOKUP($B393,AcctTbl,4,0)="","(بدون نام)",VLOOKUP($B393,AcctTbl,4,0)),"—"))</f>
        <v/>
      </c>
      <c r="D393" s="24">
        <f>IF($B393="","",IFERROR(IF(VLOOKUP($B393,AcctTbl,3,0)="",IF(VLOOKUP($B393,AcctTbl,2,0)="","—",VLOOKUP($B393,AcctTbl,2,0)),VLOOKUP($B393,AcctTbl,3,0)),"—"))</f>
        <v/>
      </c>
      <c r="E393" s="34">
        <f>IF($B393="","",COUNTIFS(CalcParty,$B393,CalcGroup,"خرید"))</f>
        <v/>
      </c>
      <c r="F393" s="25">
        <f>IF($B393="","",SUMIFS(CalcScale,CalcParty,$B393,CalcGroup,"خرید"))</f>
        <v/>
      </c>
      <c r="G393" s="25">
        <f>IF($B393="","",SUMIFS(CalcBaskets,CalcParty,$B393,CalcGroup,"خرید"))</f>
        <v/>
      </c>
      <c r="H393" s="26">
        <f>IF($B393="","",SUMIFS(CalcNet,CalcParty,$B393,CalcGroup,"خرید"))</f>
        <v/>
      </c>
      <c r="I393" s="24">
        <f>IF($B393="","",IFERROR(IF(VLOOKUP($B393,AcctTbl,5,0)="","—",VLOOKUP($B393,AcctTbl,5,0)),"—"))</f>
        <v/>
      </c>
      <c r="J393" s="24">
        <f>IF($B393="","",IFERROR(IF(VLOOKUP($B393,AcctTbl,6,0)="","—",VLOOKUP($B393,AcctTbl,6,0)),"—"))</f>
        <v/>
      </c>
      <c r="K393" s="35">
        <f>IF(OR($B393="",$H$570=0),"",$H393/$H$570)</f>
        <v/>
      </c>
    </row>
    <row r="394">
      <c r="A394" s="17">
        <f>IF(ROW()-9&gt;NAcctAll,"",ROW()-9)</f>
        <v/>
      </c>
      <c r="B394" s="30">
        <f>IF($A394="","",IF($A394&lt;=NAcctAll,INDEX(PkAcctAll,$A394),""))</f>
        <v/>
      </c>
      <c r="C394" s="22">
        <f>IF($B394="","",IFERROR(IF(VLOOKUP($B394,AcctTbl,4,0)="","(بدون نام)",VLOOKUP($B394,AcctTbl,4,0)),"—"))</f>
        <v/>
      </c>
      <c r="D394" s="18">
        <f>IF($B394="","",IFERROR(IF(VLOOKUP($B394,AcctTbl,3,0)="",IF(VLOOKUP($B394,AcctTbl,2,0)="","—",VLOOKUP($B394,AcctTbl,2,0)),VLOOKUP($B394,AcctTbl,3,0)),"—"))</f>
        <v/>
      </c>
      <c r="E394" s="31">
        <f>IF($B394="","",COUNTIFS(CalcParty,$B394,CalcGroup,"خرید"))</f>
        <v/>
      </c>
      <c r="F394" s="19">
        <f>IF($B394="","",SUMIFS(CalcScale,CalcParty,$B394,CalcGroup,"خرید"))</f>
        <v/>
      </c>
      <c r="G394" s="19">
        <f>IF($B394="","",SUMIFS(CalcBaskets,CalcParty,$B394,CalcGroup,"خرید"))</f>
        <v/>
      </c>
      <c r="H394" s="20">
        <f>IF($B394="","",SUMIFS(CalcNet,CalcParty,$B394,CalcGroup,"خرید"))</f>
        <v/>
      </c>
      <c r="I394" s="18">
        <f>IF($B394="","",IFERROR(IF(VLOOKUP($B394,AcctTbl,5,0)="","—",VLOOKUP($B394,AcctTbl,5,0)),"—"))</f>
        <v/>
      </c>
      <c r="J394" s="18">
        <f>IF($B394="","",IFERROR(IF(VLOOKUP($B394,AcctTbl,6,0)="","—",VLOOKUP($B394,AcctTbl,6,0)),"—"))</f>
        <v/>
      </c>
      <c r="K394" s="32">
        <f>IF(OR($B394="",$H$570=0),"",$H394/$H$570)</f>
        <v/>
      </c>
    </row>
    <row r="395">
      <c r="A395" s="23">
        <f>IF(ROW()-9&gt;NAcctAll,"",ROW()-9)</f>
        <v/>
      </c>
      <c r="B395" s="33">
        <f>IF($A395="","",IF($A395&lt;=NAcctAll,INDEX(PkAcctAll,$A395),""))</f>
        <v/>
      </c>
      <c r="C395" s="28">
        <f>IF($B395="","",IFERROR(IF(VLOOKUP($B395,AcctTbl,4,0)="","(بدون نام)",VLOOKUP($B395,AcctTbl,4,0)),"—"))</f>
        <v/>
      </c>
      <c r="D395" s="24">
        <f>IF($B395="","",IFERROR(IF(VLOOKUP($B395,AcctTbl,3,0)="",IF(VLOOKUP($B395,AcctTbl,2,0)="","—",VLOOKUP($B395,AcctTbl,2,0)),VLOOKUP($B395,AcctTbl,3,0)),"—"))</f>
        <v/>
      </c>
      <c r="E395" s="34">
        <f>IF($B395="","",COUNTIFS(CalcParty,$B395,CalcGroup,"خرید"))</f>
        <v/>
      </c>
      <c r="F395" s="25">
        <f>IF($B395="","",SUMIFS(CalcScale,CalcParty,$B395,CalcGroup,"خرید"))</f>
        <v/>
      </c>
      <c r="G395" s="25">
        <f>IF($B395="","",SUMIFS(CalcBaskets,CalcParty,$B395,CalcGroup,"خرید"))</f>
        <v/>
      </c>
      <c r="H395" s="26">
        <f>IF($B395="","",SUMIFS(CalcNet,CalcParty,$B395,CalcGroup,"خرید"))</f>
        <v/>
      </c>
      <c r="I395" s="24">
        <f>IF($B395="","",IFERROR(IF(VLOOKUP($B395,AcctTbl,5,0)="","—",VLOOKUP($B395,AcctTbl,5,0)),"—"))</f>
        <v/>
      </c>
      <c r="J395" s="24">
        <f>IF($B395="","",IFERROR(IF(VLOOKUP($B395,AcctTbl,6,0)="","—",VLOOKUP($B395,AcctTbl,6,0)),"—"))</f>
        <v/>
      </c>
      <c r="K395" s="35">
        <f>IF(OR($B395="",$H$570=0),"",$H395/$H$570)</f>
        <v/>
      </c>
    </row>
    <row r="396">
      <c r="A396" s="17">
        <f>IF(ROW()-9&gt;NAcctAll,"",ROW()-9)</f>
        <v/>
      </c>
      <c r="B396" s="30">
        <f>IF($A396="","",IF($A396&lt;=NAcctAll,INDEX(PkAcctAll,$A396),""))</f>
        <v/>
      </c>
      <c r="C396" s="22">
        <f>IF($B396="","",IFERROR(IF(VLOOKUP($B396,AcctTbl,4,0)="","(بدون نام)",VLOOKUP($B396,AcctTbl,4,0)),"—"))</f>
        <v/>
      </c>
      <c r="D396" s="18">
        <f>IF($B396="","",IFERROR(IF(VLOOKUP($B396,AcctTbl,3,0)="",IF(VLOOKUP($B396,AcctTbl,2,0)="","—",VLOOKUP($B396,AcctTbl,2,0)),VLOOKUP($B396,AcctTbl,3,0)),"—"))</f>
        <v/>
      </c>
      <c r="E396" s="31">
        <f>IF($B396="","",COUNTIFS(CalcParty,$B396,CalcGroup,"خرید"))</f>
        <v/>
      </c>
      <c r="F396" s="19">
        <f>IF($B396="","",SUMIFS(CalcScale,CalcParty,$B396,CalcGroup,"خرید"))</f>
        <v/>
      </c>
      <c r="G396" s="19">
        <f>IF($B396="","",SUMIFS(CalcBaskets,CalcParty,$B396,CalcGroup,"خرید"))</f>
        <v/>
      </c>
      <c r="H396" s="20">
        <f>IF($B396="","",SUMIFS(CalcNet,CalcParty,$B396,CalcGroup,"خرید"))</f>
        <v/>
      </c>
      <c r="I396" s="18">
        <f>IF($B396="","",IFERROR(IF(VLOOKUP($B396,AcctTbl,5,0)="","—",VLOOKUP($B396,AcctTbl,5,0)),"—"))</f>
        <v/>
      </c>
      <c r="J396" s="18">
        <f>IF($B396="","",IFERROR(IF(VLOOKUP($B396,AcctTbl,6,0)="","—",VLOOKUP($B396,AcctTbl,6,0)),"—"))</f>
        <v/>
      </c>
      <c r="K396" s="32">
        <f>IF(OR($B396="",$H$570=0),"",$H396/$H$570)</f>
        <v/>
      </c>
    </row>
    <row r="397">
      <c r="A397" s="23">
        <f>IF(ROW()-9&gt;NAcctAll,"",ROW()-9)</f>
        <v/>
      </c>
      <c r="B397" s="33">
        <f>IF($A397="","",IF($A397&lt;=NAcctAll,INDEX(PkAcctAll,$A397),""))</f>
        <v/>
      </c>
      <c r="C397" s="28">
        <f>IF($B397="","",IFERROR(IF(VLOOKUP($B397,AcctTbl,4,0)="","(بدون نام)",VLOOKUP($B397,AcctTbl,4,0)),"—"))</f>
        <v/>
      </c>
      <c r="D397" s="24">
        <f>IF($B397="","",IFERROR(IF(VLOOKUP($B397,AcctTbl,3,0)="",IF(VLOOKUP($B397,AcctTbl,2,0)="","—",VLOOKUP($B397,AcctTbl,2,0)),VLOOKUP($B397,AcctTbl,3,0)),"—"))</f>
        <v/>
      </c>
      <c r="E397" s="34">
        <f>IF($B397="","",COUNTIFS(CalcParty,$B397,CalcGroup,"خرید"))</f>
        <v/>
      </c>
      <c r="F397" s="25">
        <f>IF($B397="","",SUMIFS(CalcScale,CalcParty,$B397,CalcGroup,"خرید"))</f>
        <v/>
      </c>
      <c r="G397" s="25">
        <f>IF($B397="","",SUMIFS(CalcBaskets,CalcParty,$B397,CalcGroup,"خرید"))</f>
        <v/>
      </c>
      <c r="H397" s="26">
        <f>IF($B397="","",SUMIFS(CalcNet,CalcParty,$B397,CalcGroup,"خرید"))</f>
        <v/>
      </c>
      <c r="I397" s="24">
        <f>IF($B397="","",IFERROR(IF(VLOOKUP($B397,AcctTbl,5,0)="","—",VLOOKUP($B397,AcctTbl,5,0)),"—"))</f>
        <v/>
      </c>
      <c r="J397" s="24">
        <f>IF($B397="","",IFERROR(IF(VLOOKUP($B397,AcctTbl,6,0)="","—",VLOOKUP($B397,AcctTbl,6,0)),"—"))</f>
        <v/>
      </c>
      <c r="K397" s="35">
        <f>IF(OR($B397="",$H$570=0),"",$H397/$H$570)</f>
        <v/>
      </c>
    </row>
    <row r="398">
      <c r="A398" s="17">
        <f>IF(ROW()-9&gt;NAcctAll,"",ROW()-9)</f>
        <v/>
      </c>
      <c r="B398" s="30">
        <f>IF($A398="","",IF($A398&lt;=NAcctAll,INDEX(PkAcctAll,$A398),""))</f>
        <v/>
      </c>
      <c r="C398" s="22">
        <f>IF($B398="","",IFERROR(IF(VLOOKUP($B398,AcctTbl,4,0)="","(بدون نام)",VLOOKUP($B398,AcctTbl,4,0)),"—"))</f>
        <v/>
      </c>
      <c r="D398" s="18">
        <f>IF($B398="","",IFERROR(IF(VLOOKUP($B398,AcctTbl,3,0)="",IF(VLOOKUP($B398,AcctTbl,2,0)="","—",VLOOKUP($B398,AcctTbl,2,0)),VLOOKUP($B398,AcctTbl,3,0)),"—"))</f>
        <v/>
      </c>
      <c r="E398" s="31">
        <f>IF($B398="","",COUNTIFS(CalcParty,$B398,CalcGroup,"خرید"))</f>
        <v/>
      </c>
      <c r="F398" s="19">
        <f>IF($B398="","",SUMIFS(CalcScale,CalcParty,$B398,CalcGroup,"خرید"))</f>
        <v/>
      </c>
      <c r="G398" s="19">
        <f>IF($B398="","",SUMIFS(CalcBaskets,CalcParty,$B398,CalcGroup,"خرید"))</f>
        <v/>
      </c>
      <c r="H398" s="20">
        <f>IF($B398="","",SUMIFS(CalcNet,CalcParty,$B398,CalcGroup,"خرید"))</f>
        <v/>
      </c>
      <c r="I398" s="18">
        <f>IF($B398="","",IFERROR(IF(VLOOKUP($B398,AcctTbl,5,0)="","—",VLOOKUP($B398,AcctTbl,5,0)),"—"))</f>
        <v/>
      </c>
      <c r="J398" s="18">
        <f>IF($B398="","",IFERROR(IF(VLOOKUP($B398,AcctTbl,6,0)="","—",VLOOKUP($B398,AcctTbl,6,0)),"—"))</f>
        <v/>
      </c>
      <c r="K398" s="32">
        <f>IF(OR($B398="",$H$570=0),"",$H398/$H$570)</f>
        <v/>
      </c>
    </row>
    <row r="399">
      <c r="A399" s="23">
        <f>IF(ROW()-9&gt;NAcctAll,"",ROW()-9)</f>
        <v/>
      </c>
      <c r="B399" s="33">
        <f>IF($A399="","",IF($A399&lt;=NAcctAll,INDEX(PkAcctAll,$A399),""))</f>
        <v/>
      </c>
      <c r="C399" s="28">
        <f>IF($B399="","",IFERROR(IF(VLOOKUP($B399,AcctTbl,4,0)="","(بدون نام)",VLOOKUP($B399,AcctTbl,4,0)),"—"))</f>
        <v/>
      </c>
      <c r="D399" s="24">
        <f>IF($B399="","",IFERROR(IF(VLOOKUP($B399,AcctTbl,3,0)="",IF(VLOOKUP($B399,AcctTbl,2,0)="","—",VLOOKUP($B399,AcctTbl,2,0)),VLOOKUP($B399,AcctTbl,3,0)),"—"))</f>
        <v/>
      </c>
      <c r="E399" s="34">
        <f>IF($B399="","",COUNTIFS(CalcParty,$B399,CalcGroup,"خرید"))</f>
        <v/>
      </c>
      <c r="F399" s="25">
        <f>IF($B399="","",SUMIFS(CalcScale,CalcParty,$B399,CalcGroup,"خرید"))</f>
        <v/>
      </c>
      <c r="G399" s="25">
        <f>IF($B399="","",SUMIFS(CalcBaskets,CalcParty,$B399,CalcGroup,"خرید"))</f>
        <v/>
      </c>
      <c r="H399" s="26">
        <f>IF($B399="","",SUMIFS(CalcNet,CalcParty,$B399,CalcGroup,"خرید"))</f>
        <v/>
      </c>
      <c r="I399" s="24">
        <f>IF($B399="","",IFERROR(IF(VLOOKUP($B399,AcctTbl,5,0)="","—",VLOOKUP($B399,AcctTbl,5,0)),"—"))</f>
        <v/>
      </c>
      <c r="J399" s="24">
        <f>IF($B399="","",IFERROR(IF(VLOOKUP($B399,AcctTbl,6,0)="","—",VLOOKUP($B399,AcctTbl,6,0)),"—"))</f>
        <v/>
      </c>
      <c r="K399" s="35">
        <f>IF(OR($B399="",$H$570=0),"",$H399/$H$570)</f>
        <v/>
      </c>
    </row>
    <row r="400">
      <c r="A400" s="17">
        <f>IF(ROW()-9&gt;NAcctAll,"",ROW()-9)</f>
        <v/>
      </c>
      <c r="B400" s="30">
        <f>IF($A400="","",IF($A400&lt;=NAcctAll,INDEX(PkAcctAll,$A400),""))</f>
        <v/>
      </c>
      <c r="C400" s="22">
        <f>IF($B400="","",IFERROR(IF(VLOOKUP($B400,AcctTbl,4,0)="","(بدون نام)",VLOOKUP($B400,AcctTbl,4,0)),"—"))</f>
        <v/>
      </c>
      <c r="D400" s="18">
        <f>IF($B400="","",IFERROR(IF(VLOOKUP($B400,AcctTbl,3,0)="",IF(VLOOKUP($B400,AcctTbl,2,0)="","—",VLOOKUP($B400,AcctTbl,2,0)),VLOOKUP($B400,AcctTbl,3,0)),"—"))</f>
        <v/>
      </c>
      <c r="E400" s="31">
        <f>IF($B400="","",COUNTIFS(CalcParty,$B400,CalcGroup,"خرید"))</f>
        <v/>
      </c>
      <c r="F400" s="19">
        <f>IF($B400="","",SUMIFS(CalcScale,CalcParty,$B400,CalcGroup,"خرید"))</f>
        <v/>
      </c>
      <c r="G400" s="19">
        <f>IF($B400="","",SUMIFS(CalcBaskets,CalcParty,$B400,CalcGroup,"خرید"))</f>
        <v/>
      </c>
      <c r="H400" s="20">
        <f>IF($B400="","",SUMIFS(CalcNet,CalcParty,$B400,CalcGroup,"خرید"))</f>
        <v/>
      </c>
      <c r="I400" s="18">
        <f>IF($B400="","",IFERROR(IF(VLOOKUP($B400,AcctTbl,5,0)="","—",VLOOKUP($B400,AcctTbl,5,0)),"—"))</f>
        <v/>
      </c>
      <c r="J400" s="18">
        <f>IF($B400="","",IFERROR(IF(VLOOKUP($B400,AcctTbl,6,0)="","—",VLOOKUP($B400,AcctTbl,6,0)),"—"))</f>
        <v/>
      </c>
      <c r="K400" s="32">
        <f>IF(OR($B400="",$H$570=0),"",$H400/$H$570)</f>
        <v/>
      </c>
    </row>
    <row r="401">
      <c r="A401" s="23">
        <f>IF(ROW()-9&gt;NAcctAll,"",ROW()-9)</f>
        <v/>
      </c>
      <c r="B401" s="33">
        <f>IF($A401="","",IF($A401&lt;=NAcctAll,INDEX(PkAcctAll,$A401),""))</f>
        <v/>
      </c>
      <c r="C401" s="28">
        <f>IF($B401="","",IFERROR(IF(VLOOKUP($B401,AcctTbl,4,0)="","(بدون نام)",VLOOKUP($B401,AcctTbl,4,0)),"—"))</f>
        <v/>
      </c>
      <c r="D401" s="24">
        <f>IF($B401="","",IFERROR(IF(VLOOKUP($B401,AcctTbl,3,0)="",IF(VLOOKUP($B401,AcctTbl,2,0)="","—",VLOOKUP($B401,AcctTbl,2,0)),VLOOKUP($B401,AcctTbl,3,0)),"—"))</f>
        <v/>
      </c>
      <c r="E401" s="34">
        <f>IF($B401="","",COUNTIFS(CalcParty,$B401,CalcGroup,"خرید"))</f>
        <v/>
      </c>
      <c r="F401" s="25">
        <f>IF($B401="","",SUMIFS(CalcScale,CalcParty,$B401,CalcGroup,"خرید"))</f>
        <v/>
      </c>
      <c r="G401" s="25">
        <f>IF($B401="","",SUMIFS(CalcBaskets,CalcParty,$B401,CalcGroup,"خرید"))</f>
        <v/>
      </c>
      <c r="H401" s="26">
        <f>IF($B401="","",SUMIFS(CalcNet,CalcParty,$B401,CalcGroup,"خرید"))</f>
        <v/>
      </c>
      <c r="I401" s="24">
        <f>IF($B401="","",IFERROR(IF(VLOOKUP($B401,AcctTbl,5,0)="","—",VLOOKUP($B401,AcctTbl,5,0)),"—"))</f>
        <v/>
      </c>
      <c r="J401" s="24">
        <f>IF($B401="","",IFERROR(IF(VLOOKUP($B401,AcctTbl,6,0)="","—",VLOOKUP($B401,AcctTbl,6,0)),"—"))</f>
        <v/>
      </c>
      <c r="K401" s="35">
        <f>IF(OR($B401="",$H$570=0),"",$H401/$H$570)</f>
        <v/>
      </c>
    </row>
    <row r="402">
      <c r="A402" s="17">
        <f>IF(ROW()-9&gt;NAcctAll,"",ROW()-9)</f>
        <v/>
      </c>
      <c r="B402" s="30">
        <f>IF($A402="","",IF($A402&lt;=NAcctAll,INDEX(PkAcctAll,$A402),""))</f>
        <v/>
      </c>
      <c r="C402" s="22">
        <f>IF($B402="","",IFERROR(IF(VLOOKUP($B402,AcctTbl,4,0)="","(بدون نام)",VLOOKUP($B402,AcctTbl,4,0)),"—"))</f>
        <v/>
      </c>
      <c r="D402" s="18">
        <f>IF($B402="","",IFERROR(IF(VLOOKUP($B402,AcctTbl,3,0)="",IF(VLOOKUP($B402,AcctTbl,2,0)="","—",VLOOKUP($B402,AcctTbl,2,0)),VLOOKUP($B402,AcctTbl,3,0)),"—"))</f>
        <v/>
      </c>
      <c r="E402" s="31">
        <f>IF($B402="","",COUNTIFS(CalcParty,$B402,CalcGroup,"خرید"))</f>
        <v/>
      </c>
      <c r="F402" s="19">
        <f>IF($B402="","",SUMIFS(CalcScale,CalcParty,$B402,CalcGroup,"خرید"))</f>
        <v/>
      </c>
      <c r="G402" s="19">
        <f>IF($B402="","",SUMIFS(CalcBaskets,CalcParty,$B402,CalcGroup,"خرید"))</f>
        <v/>
      </c>
      <c r="H402" s="20">
        <f>IF($B402="","",SUMIFS(CalcNet,CalcParty,$B402,CalcGroup,"خرید"))</f>
        <v/>
      </c>
      <c r="I402" s="18">
        <f>IF($B402="","",IFERROR(IF(VLOOKUP($B402,AcctTbl,5,0)="","—",VLOOKUP($B402,AcctTbl,5,0)),"—"))</f>
        <v/>
      </c>
      <c r="J402" s="18">
        <f>IF($B402="","",IFERROR(IF(VLOOKUP($B402,AcctTbl,6,0)="","—",VLOOKUP($B402,AcctTbl,6,0)),"—"))</f>
        <v/>
      </c>
      <c r="K402" s="32">
        <f>IF(OR($B402="",$H$570=0),"",$H402/$H$570)</f>
        <v/>
      </c>
    </row>
    <row r="403">
      <c r="A403" s="23">
        <f>IF(ROW()-9&gt;NAcctAll,"",ROW()-9)</f>
        <v/>
      </c>
      <c r="B403" s="33">
        <f>IF($A403="","",IF($A403&lt;=NAcctAll,INDEX(PkAcctAll,$A403),""))</f>
        <v/>
      </c>
      <c r="C403" s="28">
        <f>IF($B403="","",IFERROR(IF(VLOOKUP($B403,AcctTbl,4,0)="","(بدون نام)",VLOOKUP($B403,AcctTbl,4,0)),"—"))</f>
        <v/>
      </c>
      <c r="D403" s="24">
        <f>IF($B403="","",IFERROR(IF(VLOOKUP($B403,AcctTbl,3,0)="",IF(VLOOKUP($B403,AcctTbl,2,0)="","—",VLOOKUP($B403,AcctTbl,2,0)),VLOOKUP($B403,AcctTbl,3,0)),"—"))</f>
        <v/>
      </c>
      <c r="E403" s="34">
        <f>IF($B403="","",COUNTIFS(CalcParty,$B403,CalcGroup,"خرید"))</f>
        <v/>
      </c>
      <c r="F403" s="25">
        <f>IF($B403="","",SUMIFS(CalcScale,CalcParty,$B403,CalcGroup,"خرید"))</f>
        <v/>
      </c>
      <c r="G403" s="25">
        <f>IF($B403="","",SUMIFS(CalcBaskets,CalcParty,$B403,CalcGroup,"خرید"))</f>
        <v/>
      </c>
      <c r="H403" s="26">
        <f>IF($B403="","",SUMIFS(CalcNet,CalcParty,$B403,CalcGroup,"خرید"))</f>
        <v/>
      </c>
      <c r="I403" s="24">
        <f>IF($B403="","",IFERROR(IF(VLOOKUP($B403,AcctTbl,5,0)="","—",VLOOKUP($B403,AcctTbl,5,0)),"—"))</f>
        <v/>
      </c>
      <c r="J403" s="24">
        <f>IF($B403="","",IFERROR(IF(VLOOKUP($B403,AcctTbl,6,0)="","—",VLOOKUP($B403,AcctTbl,6,0)),"—"))</f>
        <v/>
      </c>
      <c r="K403" s="35">
        <f>IF(OR($B403="",$H$570=0),"",$H403/$H$570)</f>
        <v/>
      </c>
    </row>
    <row r="404">
      <c r="A404" s="17">
        <f>IF(ROW()-9&gt;NAcctAll,"",ROW()-9)</f>
        <v/>
      </c>
      <c r="B404" s="30">
        <f>IF($A404="","",IF($A404&lt;=NAcctAll,INDEX(PkAcctAll,$A404),""))</f>
        <v/>
      </c>
      <c r="C404" s="22">
        <f>IF($B404="","",IFERROR(IF(VLOOKUP($B404,AcctTbl,4,0)="","(بدون نام)",VLOOKUP($B404,AcctTbl,4,0)),"—"))</f>
        <v/>
      </c>
      <c r="D404" s="18">
        <f>IF($B404="","",IFERROR(IF(VLOOKUP($B404,AcctTbl,3,0)="",IF(VLOOKUP($B404,AcctTbl,2,0)="","—",VLOOKUP($B404,AcctTbl,2,0)),VLOOKUP($B404,AcctTbl,3,0)),"—"))</f>
        <v/>
      </c>
      <c r="E404" s="31">
        <f>IF($B404="","",COUNTIFS(CalcParty,$B404,CalcGroup,"خرید"))</f>
        <v/>
      </c>
      <c r="F404" s="19">
        <f>IF($B404="","",SUMIFS(CalcScale,CalcParty,$B404,CalcGroup,"خرید"))</f>
        <v/>
      </c>
      <c r="G404" s="19">
        <f>IF($B404="","",SUMIFS(CalcBaskets,CalcParty,$B404,CalcGroup,"خرید"))</f>
        <v/>
      </c>
      <c r="H404" s="20">
        <f>IF($B404="","",SUMIFS(CalcNet,CalcParty,$B404,CalcGroup,"خرید"))</f>
        <v/>
      </c>
      <c r="I404" s="18">
        <f>IF($B404="","",IFERROR(IF(VLOOKUP($B404,AcctTbl,5,0)="","—",VLOOKUP($B404,AcctTbl,5,0)),"—"))</f>
        <v/>
      </c>
      <c r="J404" s="18">
        <f>IF($B404="","",IFERROR(IF(VLOOKUP($B404,AcctTbl,6,0)="","—",VLOOKUP($B404,AcctTbl,6,0)),"—"))</f>
        <v/>
      </c>
      <c r="K404" s="32">
        <f>IF(OR($B404="",$H$570=0),"",$H404/$H$570)</f>
        <v/>
      </c>
    </row>
    <row r="405">
      <c r="A405" s="23">
        <f>IF(ROW()-9&gt;NAcctAll,"",ROW()-9)</f>
        <v/>
      </c>
      <c r="B405" s="33">
        <f>IF($A405="","",IF($A405&lt;=NAcctAll,INDEX(PkAcctAll,$A405),""))</f>
        <v/>
      </c>
      <c r="C405" s="28">
        <f>IF($B405="","",IFERROR(IF(VLOOKUP($B405,AcctTbl,4,0)="","(بدون نام)",VLOOKUP($B405,AcctTbl,4,0)),"—"))</f>
        <v/>
      </c>
      <c r="D405" s="24">
        <f>IF($B405="","",IFERROR(IF(VLOOKUP($B405,AcctTbl,3,0)="",IF(VLOOKUP($B405,AcctTbl,2,0)="","—",VLOOKUP($B405,AcctTbl,2,0)),VLOOKUP($B405,AcctTbl,3,0)),"—"))</f>
        <v/>
      </c>
      <c r="E405" s="34">
        <f>IF($B405="","",COUNTIFS(CalcParty,$B405,CalcGroup,"خرید"))</f>
        <v/>
      </c>
      <c r="F405" s="25">
        <f>IF($B405="","",SUMIFS(CalcScale,CalcParty,$B405,CalcGroup,"خرید"))</f>
        <v/>
      </c>
      <c r="G405" s="25">
        <f>IF($B405="","",SUMIFS(CalcBaskets,CalcParty,$B405,CalcGroup,"خرید"))</f>
        <v/>
      </c>
      <c r="H405" s="26">
        <f>IF($B405="","",SUMIFS(CalcNet,CalcParty,$B405,CalcGroup,"خرید"))</f>
        <v/>
      </c>
      <c r="I405" s="24">
        <f>IF($B405="","",IFERROR(IF(VLOOKUP($B405,AcctTbl,5,0)="","—",VLOOKUP($B405,AcctTbl,5,0)),"—"))</f>
        <v/>
      </c>
      <c r="J405" s="24">
        <f>IF($B405="","",IFERROR(IF(VLOOKUP($B405,AcctTbl,6,0)="","—",VLOOKUP($B405,AcctTbl,6,0)),"—"))</f>
        <v/>
      </c>
      <c r="K405" s="35">
        <f>IF(OR($B405="",$H$570=0),"",$H405/$H$570)</f>
        <v/>
      </c>
    </row>
    <row r="406">
      <c r="A406" s="17">
        <f>IF(ROW()-9&gt;NAcctAll,"",ROW()-9)</f>
        <v/>
      </c>
      <c r="B406" s="30">
        <f>IF($A406="","",IF($A406&lt;=NAcctAll,INDEX(PkAcctAll,$A406),""))</f>
        <v/>
      </c>
      <c r="C406" s="22">
        <f>IF($B406="","",IFERROR(IF(VLOOKUP($B406,AcctTbl,4,0)="","(بدون نام)",VLOOKUP($B406,AcctTbl,4,0)),"—"))</f>
        <v/>
      </c>
      <c r="D406" s="18">
        <f>IF($B406="","",IFERROR(IF(VLOOKUP($B406,AcctTbl,3,0)="",IF(VLOOKUP($B406,AcctTbl,2,0)="","—",VLOOKUP($B406,AcctTbl,2,0)),VLOOKUP($B406,AcctTbl,3,0)),"—"))</f>
        <v/>
      </c>
      <c r="E406" s="31">
        <f>IF($B406="","",COUNTIFS(CalcParty,$B406,CalcGroup,"خرید"))</f>
        <v/>
      </c>
      <c r="F406" s="19">
        <f>IF($B406="","",SUMIFS(CalcScale,CalcParty,$B406,CalcGroup,"خرید"))</f>
        <v/>
      </c>
      <c r="G406" s="19">
        <f>IF($B406="","",SUMIFS(CalcBaskets,CalcParty,$B406,CalcGroup,"خرید"))</f>
        <v/>
      </c>
      <c r="H406" s="20">
        <f>IF($B406="","",SUMIFS(CalcNet,CalcParty,$B406,CalcGroup,"خرید"))</f>
        <v/>
      </c>
      <c r="I406" s="18">
        <f>IF($B406="","",IFERROR(IF(VLOOKUP($B406,AcctTbl,5,0)="","—",VLOOKUP($B406,AcctTbl,5,0)),"—"))</f>
        <v/>
      </c>
      <c r="J406" s="18">
        <f>IF($B406="","",IFERROR(IF(VLOOKUP($B406,AcctTbl,6,0)="","—",VLOOKUP($B406,AcctTbl,6,0)),"—"))</f>
        <v/>
      </c>
      <c r="K406" s="32">
        <f>IF(OR($B406="",$H$570=0),"",$H406/$H$570)</f>
        <v/>
      </c>
    </row>
    <row r="407">
      <c r="A407" s="23">
        <f>IF(ROW()-9&gt;NAcctAll,"",ROW()-9)</f>
        <v/>
      </c>
      <c r="B407" s="33">
        <f>IF($A407="","",IF($A407&lt;=NAcctAll,INDEX(PkAcctAll,$A407),""))</f>
        <v/>
      </c>
      <c r="C407" s="28">
        <f>IF($B407="","",IFERROR(IF(VLOOKUP($B407,AcctTbl,4,0)="","(بدون نام)",VLOOKUP($B407,AcctTbl,4,0)),"—"))</f>
        <v/>
      </c>
      <c r="D407" s="24">
        <f>IF($B407="","",IFERROR(IF(VLOOKUP($B407,AcctTbl,3,0)="",IF(VLOOKUP($B407,AcctTbl,2,0)="","—",VLOOKUP($B407,AcctTbl,2,0)),VLOOKUP($B407,AcctTbl,3,0)),"—"))</f>
        <v/>
      </c>
      <c r="E407" s="34">
        <f>IF($B407="","",COUNTIFS(CalcParty,$B407,CalcGroup,"خرید"))</f>
        <v/>
      </c>
      <c r="F407" s="25">
        <f>IF($B407="","",SUMIFS(CalcScale,CalcParty,$B407,CalcGroup,"خرید"))</f>
        <v/>
      </c>
      <c r="G407" s="25">
        <f>IF($B407="","",SUMIFS(CalcBaskets,CalcParty,$B407,CalcGroup,"خرید"))</f>
        <v/>
      </c>
      <c r="H407" s="26">
        <f>IF($B407="","",SUMIFS(CalcNet,CalcParty,$B407,CalcGroup,"خرید"))</f>
        <v/>
      </c>
      <c r="I407" s="24">
        <f>IF($B407="","",IFERROR(IF(VLOOKUP($B407,AcctTbl,5,0)="","—",VLOOKUP($B407,AcctTbl,5,0)),"—"))</f>
        <v/>
      </c>
      <c r="J407" s="24">
        <f>IF($B407="","",IFERROR(IF(VLOOKUP($B407,AcctTbl,6,0)="","—",VLOOKUP($B407,AcctTbl,6,0)),"—"))</f>
        <v/>
      </c>
      <c r="K407" s="35">
        <f>IF(OR($B407="",$H$570=0),"",$H407/$H$570)</f>
        <v/>
      </c>
    </row>
    <row r="408">
      <c r="A408" s="17">
        <f>IF(ROW()-9&gt;NAcctAll,"",ROW()-9)</f>
        <v/>
      </c>
      <c r="B408" s="30">
        <f>IF($A408="","",IF($A408&lt;=NAcctAll,INDEX(PkAcctAll,$A408),""))</f>
        <v/>
      </c>
      <c r="C408" s="22">
        <f>IF($B408="","",IFERROR(IF(VLOOKUP($B408,AcctTbl,4,0)="","(بدون نام)",VLOOKUP($B408,AcctTbl,4,0)),"—"))</f>
        <v/>
      </c>
      <c r="D408" s="18">
        <f>IF($B408="","",IFERROR(IF(VLOOKUP($B408,AcctTbl,3,0)="",IF(VLOOKUP($B408,AcctTbl,2,0)="","—",VLOOKUP($B408,AcctTbl,2,0)),VLOOKUP($B408,AcctTbl,3,0)),"—"))</f>
        <v/>
      </c>
      <c r="E408" s="31">
        <f>IF($B408="","",COUNTIFS(CalcParty,$B408,CalcGroup,"خرید"))</f>
        <v/>
      </c>
      <c r="F408" s="19">
        <f>IF($B408="","",SUMIFS(CalcScale,CalcParty,$B408,CalcGroup,"خرید"))</f>
        <v/>
      </c>
      <c r="G408" s="19">
        <f>IF($B408="","",SUMIFS(CalcBaskets,CalcParty,$B408,CalcGroup,"خرید"))</f>
        <v/>
      </c>
      <c r="H408" s="20">
        <f>IF($B408="","",SUMIFS(CalcNet,CalcParty,$B408,CalcGroup,"خرید"))</f>
        <v/>
      </c>
      <c r="I408" s="18">
        <f>IF($B408="","",IFERROR(IF(VLOOKUP($B408,AcctTbl,5,0)="","—",VLOOKUP($B408,AcctTbl,5,0)),"—"))</f>
        <v/>
      </c>
      <c r="J408" s="18">
        <f>IF($B408="","",IFERROR(IF(VLOOKUP($B408,AcctTbl,6,0)="","—",VLOOKUP($B408,AcctTbl,6,0)),"—"))</f>
        <v/>
      </c>
      <c r="K408" s="32">
        <f>IF(OR($B408="",$H$570=0),"",$H408/$H$570)</f>
        <v/>
      </c>
    </row>
    <row r="409">
      <c r="A409" s="23">
        <f>IF(ROW()-9&gt;NAcctAll,"",ROW()-9)</f>
        <v/>
      </c>
      <c r="B409" s="33">
        <f>IF($A409="","",IF($A409&lt;=NAcctAll,INDEX(PkAcctAll,$A409),""))</f>
        <v/>
      </c>
      <c r="C409" s="28">
        <f>IF($B409="","",IFERROR(IF(VLOOKUP($B409,AcctTbl,4,0)="","(بدون نام)",VLOOKUP($B409,AcctTbl,4,0)),"—"))</f>
        <v/>
      </c>
      <c r="D409" s="24">
        <f>IF($B409="","",IFERROR(IF(VLOOKUP($B409,AcctTbl,3,0)="",IF(VLOOKUP($B409,AcctTbl,2,0)="","—",VLOOKUP($B409,AcctTbl,2,0)),VLOOKUP($B409,AcctTbl,3,0)),"—"))</f>
        <v/>
      </c>
      <c r="E409" s="34">
        <f>IF($B409="","",COUNTIFS(CalcParty,$B409,CalcGroup,"خرید"))</f>
        <v/>
      </c>
      <c r="F409" s="25">
        <f>IF($B409="","",SUMIFS(CalcScale,CalcParty,$B409,CalcGroup,"خرید"))</f>
        <v/>
      </c>
      <c r="G409" s="25">
        <f>IF($B409="","",SUMIFS(CalcBaskets,CalcParty,$B409,CalcGroup,"خرید"))</f>
        <v/>
      </c>
      <c r="H409" s="26">
        <f>IF($B409="","",SUMIFS(CalcNet,CalcParty,$B409,CalcGroup,"خرید"))</f>
        <v/>
      </c>
      <c r="I409" s="24">
        <f>IF($B409="","",IFERROR(IF(VLOOKUP($B409,AcctTbl,5,0)="","—",VLOOKUP($B409,AcctTbl,5,0)),"—"))</f>
        <v/>
      </c>
      <c r="J409" s="24">
        <f>IF($B409="","",IFERROR(IF(VLOOKUP($B409,AcctTbl,6,0)="","—",VLOOKUP($B409,AcctTbl,6,0)),"—"))</f>
        <v/>
      </c>
      <c r="K409" s="35">
        <f>IF(OR($B409="",$H$570=0),"",$H409/$H$570)</f>
        <v/>
      </c>
    </row>
    <row r="410">
      <c r="A410" s="17">
        <f>IF(ROW()-9&gt;NAcctAll,"",ROW()-9)</f>
        <v/>
      </c>
      <c r="B410" s="30">
        <f>IF($A410="","",IF($A410&lt;=NAcctAll,INDEX(PkAcctAll,$A410),""))</f>
        <v/>
      </c>
      <c r="C410" s="22">
        <f>IF($B410="","",IFERROR(IF(VLOOKUP($B410,AcctTbl,4,0)="","(بدون نام)",VLOOKUP($B410,AcctTbl,4,0)),"—"))</f>
        <v/>
      </c>
      <c r="D410" s="18">
        <f>IF($B410="","",IFERROR(IF(VLOOKUP($B410,AcctTbl,3,0)="",IF(VLOOKUP($B410,AcctTbl,2,0)="","—",VLOOKUP($B410,AcctTbl,2,0)),VLOOKUP($B410,AcctTbl,3,0)),"—"))</f>
        <v/>
      </c>
      <c r="E410" s="31">
        <f>IF($B410="","",COUNTIFS(CalcParty,$B410,CalcGroup,"خرید"))</f>
        <v/>
      </c>
      <c r="F410" s="19">
        <f>IF($B410="","",SUMIFS(CalcScale,CalcParty,$B410,CalcGroup,"خرید"))</f>
        <v/>
      </c>
      <c r="G410" s="19">
        <f>IF($B410="","",SUMIFS(CalcBaskets,CalcParty,$B410,CalcGroup,"خرید"))</f>
        <v/>
      </c>
      <c r="H410" s="20">
        <f>IF($B410="","",SUMIFS(CalcNet,CalcParty,$B410,CalcGroup,"خرید"))</f>
        <v/>
      </c>
      <c r="I410" s="18">
        <f>IF($B410="","",IFERROR(IF(VLOOKUP($B410,AcctTbl,5,0)="","—",VLOOKUP($B410,AcctTbl,5,0)),"—"))</f>
        <v/>
      </c>
      <c r="J410" s="18">
        <f>IF($B410="","",IFERROR(IF(VLOOKUP($B410,AcctTbl,6,0)="","—",VLOOKUP($B410,AcctTbl,6,0)),"—"))</f>
        <v/>
      </c>
      <c r="K410" s="32">
        <f>IF(OR($B410="",$H$570=0),"",$H410/$H$570)</f>
        <v/>
      </c>
    </row>
    <row r="411">
      <c r="A411" s="23">
        <f>IF(ROW()-9&gt;NAcctAll,"",ROW()-9)</f>
        <v/>
      </c>
      <c r="B411" s="33">
        <f>IF($A411="","",IF($A411&lt;=NAcctAll,INDEX(PkAcctAll,$A411),""))</f>
        <v/>
      </c>
      <c r="C411" s="28">
        <f>IF($B411="","",IFERROR(IF(VLOOKUP($B411,AcctTbl,4,0)="","(بدون نام)",VLOOKUP($B411,AcctTbl,4,0)),"—"))</f>
        <v/>
      </c>
      <c r="D411" s="24">
        <f>IF($B411="","",IFERROR(IF(VLOOKUP($B411,AcctTbl,3,0)="",IF(VLOOKUP($B411,AcctTbl,2,0)="","—",VLOOKUP($B411,AcctTbl,2,0)),VLOOKUP($B411,AcctTbl,3,0)),"—"))</f>
        <v/>
      </c>
      <c r="E411" s="34">
        <f>IF($B411="","",COUNTIFS(CalcParty,$B411,CalcGroup,"خرید"))</f>
        <v/>
      </c>
      <c r="F411" s="25">
        <f>IF($B411="","",SUMIFS(CalcScale,CalcParty,$B411,CalcGroup,"خرید"))</f>
        <v/>
      </c>
      <c r="G411" s="25">
        <f>IF($B411="","",SUMIFS(CalcBaskets,CalcParty,$B411,CalcGroup,"خرید"))</f>
        <v/>
      </c>
      <c r="H411" s="26">
        <f>IF($B411="","",SUMIFS(CalcNet,CalcParty,$B411,CalcGroup,"خرید"))</f>
        <v/>
      </c>
      <c r="I411" s="24">
        <f>IF($B411="","",IFERROR(IF(VLOOKUP($B411,AcctTbl,5,0)="","—",VLOOKUP($B411,AcctTbl,5,0)),"—"))</f>
        <v/>
      </c>
      <c r="J411" s="24">
        <f>IF($B411="","",IFERROR(IF(VLOOKUP($B411,AcctTbl,6,0)="","—",VLOOKUP($B411,AcctTbl,6,0)),"—"))</f>
        <v/>
      </c>
      <c r="K411" s="35">
        <f>IF(OR($B411="",$H$570=0),"",$H411/$H$570)</f>
        <v/>
      </c>
    </row>
    <row r="412">
      <c r="A412" s="17">
        <f>IF(ROW()-9&gt;NAcctAll,"",ROW()-9)</f>
        <v/>
      </c>
      <c r="B412" s="30">
        <f>IF($A412="","",IF($A412&lt;=NAcctAll,INDEX(PkAcctAll,$A412),""))</f>
        <v/>
      </c>
      <c r="C412" s="22">
        <f>IF($B412="","",IFERROR(IF(VLOOKUP($B412,AcctTbl,4,0)="","(بدون نام)",VLOOKUP($B412,AcctTbl,4,0)),"—"))</f>
        <v/>
      </c>
      <c r="D412" s="18">
        <f>IF($B412="","",IFERROR(IF(VLOOKUP($B412,AcctTbl,3,0)="",IF(VLOOKUP($B412,AcctTbl,2,0)="","—",VLOOKUP($B412,AcctTbl,2,0)),VLOOKUP($B412,AcctTbl,3,0)),"—"))</f>
        <v/>
      </c>
      <c r="E412" s="31">
        <f>IF($B412="","",COUNTIFS(CalcParty,$B412,CalcGroup,"خرید"))</f>
        <v/>
      </c>
      <c r="F412" s="19">
        <f>IF($B412="","",SUMIFS(CalcScale,CalcParty,$B412,CalcGroup,"خرید"))</f>
        <v/>
      </c>
      <c r="G412" s="19">
        <f>IF($B412="","",SUMIFS(CalcBaskets,CalcParty,$B412,CalcGroup,"خرید"))</f>
        <v/>
      </c>
      <c r="H412" s="20">
        <f>IF($B412="","",SUMIFS(CalcNet,CalcParty,$B412,CalcGroup,"خرید"))</f>
        <v/>
      </c>
      <c r="I412" s="18">
        <f>IF($B412="","",IFERROR(IF(VLOOKUP($B412,AcctTbl,5,0)="","—",VLOOKUP($B412,AcctTbl,5,0)),"—"))</f>
        <v/>
      </c>
      <c r="J412" s="18">
        <f>IF($B412="","",IFERROR(IF(VLOOKUP($B412,AcctTbl,6,0)="","—",VLOOKUP($B412,AcctTbl,6,0)),"—"))</f>
        <v/>
      </c>
      <c r="K412" s="32">
        <f>IF(OR($B412="",$H$570=0),"",$H412/$H$570)</f>
        <v/>
      </c>
    </row>
    <row r="413">
      <c r="A413" s="23">
        <f>IF(ROW()-9&gt;NAcctAll,"",ROW()-9)</f>
        <v/>
      </c>
      <c r="B413" s="33">
        <f>IF($A413="","",IF($A413&lt;=NAcctAll,INDEX(PkAcctAll,$A413),""))</f>
        <v/>
      </c>
      <c r="C413" s="28">
        <f>IF($B413="","",IFERROR(IF(VLOOKUP($B413,AcctTbl,4,0)="","(بدون نام)",VLOOKUP($B413,AcctTbl,4,0)),"—"))</f>
        <v/>
      </c>
      <c r="D413" s="24">
        <f>IF($B413="","",IFERROR(IF(VLOOKUP($B413,AcctTbl,3,0)="",IF(VLOOKUP($B413,AcctTbl,2,0)="","—",VLOOKUP($B413,AcctTbl,2,0)),VLOOKUP($B413,AcctTbl,3,0)),"—"))</f>
        <v/>
      </c>
      <c r="E413" s="34">
        <f>IF($B413="","",COUNTIFS(CalcParty,$B413,CalcGroup,"خرید"))</f>
        <v/>
      </c>
      <c r="F413" s="25">
        <f>IF($B413="","",SUMIFS(CalcScale,CalcParty,$B413,CalcGroup,"خرید"))</f>
        <v/>
      </c>
      <c r="G413" s="25">
        <f>IF($B413="","",SUMIFS(CalcBaskets,CalcParty,$B413,CalcGroup,"خرید"))</f>
        <v/>
      </c>
      <c r="H413" s="26">
        <f>IF($B413="","",SUMIFS(CalcNet,CalcParty,$B413,CalcGroup,"خرید"))</f>
        <v/>
      </c>
      <c r="I413" s="24">
        <f>IF($B413="","",IFERROR(IF(VLOOKUP($B413,AcctTbl,5,0)="","—",VLOOKUP($B413,AcctTbl,5,0)),"—"))</f>
        <v/>
      </c>
      <c r="J413" s="24">
        <f>IF($B413="","",IFERROR(IF(VLOOKUP($B413,AcctTbl,6,0)="","—",VLOOKUP($B413,AcctTbl,6,0)),"—"))</f>
        <v/>
      </c>
      <c r="K413" s="35">
        <f>IF(OR($B413="",$H$570=0),"",$H413/$H$570)</f>
        <v/>
      </c>
    </row>
    <row r="414">
      <c r="A414" s="17">
        <f>IF(ROW()-9&gt;NAcctAll,"",ROW()-9)</f>
        <v/>
      </c>
      <c r="B414" s="30">
        <f>IF($A414="","",IF($A414&lt;=NAcctAll,INDEX(PkAcctAll,$A414),""))</f>
        <v/>
      </c>
      <c r="C414" s="22">
        <f>IF($B414="","",IFERROR(IF(VLOOKUP($B414,AcctTbl,4,0)="","(بدون نام)",VLOOKUP($B414,AcctTbl,4,0)),"—"))</f>
        <v/>
      </c>
      <c r="D414" s="18">
        <f>IF($B414="","",IFERROR(IF(VLOOKUP($B414,AcctTbl,3,0)="",IF(VLOOKUP($B414,AcctTbl,2,0)="","—",VLOOKUP($B414,AcctTbl,2,0)),VLOOKUP($B414,AcctTbl,3,0)),"—"))</f>
        <v/>
      </c>
      <c r="E414" s="31">
        <f>IF($B414="","",COUNTIFS(CalcParty,$B414,CalcGroup,"خرید"))</f>
        <v/>
      </c>
      <c r="F414" s="19">
        <f>IF($B414="","",SUMIFS(CalcScale,CalcParty,$B414,CalcGroup,"خرید"))</f>
        <v/>
      </c>
      <c r="G414" s="19">
        <f>IF($B414="","",SUMIFS(CalcBaskets,CalcParty,$B414,CalcGroup,"خرید"))</f>
        <v/>
      </c>
      <c r="H414" s="20">
        <f>IF($B414="","",SUMIFS(CalcNet,CalcParty,$B414,CalcGroup,"خرید"))</f>
        <v/>
      </c>
      <c r="I414" s="18">
        <f>IF($B414="","",IFERROR(IF(VLOOKUP($B414,AcctTbl,5,0)="","—",VLOOKUP($B414,AcctTbl,5,0)),"—"))</f>
        <v/>
      </c>
      <c r="J414" s="18">
        <f>IF($B414="","",IFERROR(IF(VLOOKUP($B414,AcctTbl,6,0)="","—",VLOOKUP($B414,AcctTbl,6,0)),"—"))</f>
        <v/>
      </c>
      <c r="K414" s="32">
        <f>IF(OR($B414="",$H$570=0),"",$H414/$H$570)</f>
        <v/>
      </c>
    </row>
    <row r="415">
      <c r="A415" s="23">
        <f>IF(ROW()-9&gt;NAcctAll,"",ROW()-9)</f>
        <v/>
      </c>
      <c r="B415" s="33">
        <f>IF($A415="","",IF($A415&lt;=NAcctAll,INDEX(PkAcctAll,$A415),""))</f>
        <v/>
      </c>
      <c r="C415" s="28">
        <f>IF($B415="","",IFERROR(IF(VLOOKUP($B415,AcctTbl,4,0)="","(بدون نام)",VLOOKUP($B415,AcctTbl,4,0)),"—"))</f>
        <v/>
      </c>
      <c r="D415" s="24">
        <f>IF($B415="","",IFERROR(IF(VLOOKUP($B415,AcctTbl,3,0)="",IF(VLOOKUP($B415,AcctTbl,2,0)="","—",VLOOKUP($B415,AcctTbl,2,0)),VLOOKUP($B415,AcctTbl,3,0)),"—"))</f>
        <v/>
      </c>
      <c r="E415" s="34">
        <f>IF($B415="","",COUNTIFS(CalcParty,$B415,CalcGroup,"خرید"))</f>
        <v/>
      </c>
      <c r="F415" s="25">
        <f>IF($B415="","",SUMIFS(CalcScale,CalcParty,$B415,CalcGroup,"خرید"))</f>
        <v/>
      </c>
      <c r="G415" s="25">
        <f>IF($B415="","",SUMIFS(CalcBaskets,CalcParty,$B415,CalcGroup,"خرید"))</f>
        <v/>
      </c>
      <c r="H415" s="26">
        <f>IF($B415="","",SUMIFS(CalcNet,CalcParty,$B415,CalcGroup,"خرید"))</f>
        <v/>
      </c>
      <c r="I415" s="24">
        <f>IF($B415="","",IFERROR(IF(VLOOKUP($B415,AcctTbl,5,0)="","—",VLOOKUP($B415,AcctTbl,5,0)),"—"))</f>
        <v/>
      </c>
      <c r="J415" s="24">
        <f>IF($B415="","",IFERROR(IF(VLOOKUP($B415,AcctTbl,6,0)="","—",VLOOKUP($B415,AcctTbl,6,0)),"—"))</f>
        <v/>
      </c>
      <c r="K415" s="35">
        <f>IF(OR($B415="",$H$570=0),"",$H415/$H$570)</f>
        <v/>
      </c>
    </row>
    <row r="416">
      <c r="A416" s="17">
        <f>IF(ROW()-9&gt;NAcctAll,"",ROW()-9)</f>
        <v/>
      </c>
      <c r="B416" s="30">
        <f>IF($A416="","",IF($A416&lt;=NAcctAll,INDEX(PkAcctAll,$A416),""))</f>
        <v/>
      </c>
      <c r="C416" s="22">
        <f>IF($B416="","",IFERROR(IF(VLOOKUP($B416,AcctTbl,4,0)="","(بدون نام)",VLOOKUP($B416,AcctTbl,4,0)),"—"))</f>
        <v/>
      </c>
      <c r="D416" s="18">
        <f>IF($B416="","",IFERROR(IF(VLOOKUP($B416,AcctTbl,3,0)="",IF(VLOOKUP($B416,AcctTbl,2,0)="","—",VLOOKUP($B416,AcctTbl,2,0)),VLOOKUP($B416,AcctTbl,3,0)),"—"))</f>
        <v/>
      </c>
      <c r="E416" s="31">
        <f>IF($B416="","",COUNTIFS(CalcParty,$B416,CalcGroup,"خرید"))</f>
        <v/>
      </c>
      <c r="F416" s="19">
        <f>IF($B416="","",SUMIFS(CalcScale,CalcParty,$B416,CalcGroup,"خرید"))</f>
        <v/>
      </c>
      <c r="G416" s="19">
        <f>IF($B416="","",SUMIFS(CalcBaskets,CalcParty,$B416,CalcGroup,"خرید"))</f>
        <v/>
      </c>
      <c r="H416" s="20">
        <f>IF($B416="","",SUMIFS(CalcNet,CalcParty,$B416,CalcGroup,"خرید"))</f>
        <v/>
      </c>
      <c r="I416" s="18">
        <f>IF($B416="","",IFERROR(IF(VLOOKUP($B416,AcctTbl,5,0)="","—",VLOOKUP($B416,AcctTbl,5,0)),"—"))</f>
        <v/>
      </c>
      <c r="J416" s="18">
        <f>IF($B416="","",IFERROR(IF(VLOOKUP($B416,AcctTbl,6,0)="","—",VLOOKUP($B416,AcctTbl,6,0)),"—"))</f>
        <v/>
      </c>
      <c r="K416" s="32">
        <f>IF(OR($B416="",$H$570=0),"",$H416/$H$570)</f>
        <v/>
      </c>
    </row>
    <row r="417">
      <c r="A417" s="23">
        <f>IF(ROW()-9&gt;NAcctAll,"",ROW()-9)</f>
        <v/>
      </c>
      <c r="B417" s="33">
        <f>IF($A417="","",IF($A417&lt;=NAcctAll,INDEX(PkAcctAll,$A417),""))</f>
        <v/>
      </c>
      <c r="C417" s="28">
        <f>IF($B417="","",IFERROR(IF(VLOOKUP($B417,AcctTbl,4,0)="","(بدون نام)",VLOOKUP($B417,AcctTbl,4,0)),"—"))</f>
        <v/>
      </c>
      <c r="D417" s="24">
        <f>IF($B417="","",IFERROR(IF(VLOOKUP($B417,AcctTbl,3,0)="",IF(VLOOKUP($B417,AcctTbl,2,0)="","—",VLOOKUP($B417,AcctTbl,2,0)),VLOOKUP($B417,AcctTbl,3,0)),"—"))</f>
        <v/>
      </c>
      <c r="E417" s="34">
        <f>IF($B417="","",COUNTIFS(CalcParty,$B417,CalcGroup,"خرید"))</f>
        <v/>
      </c>
      <c r="F417" s="25">
        <f>IF($B417="","",SUMIFS(CalcScale,CalcParty,$B417,CalcGroup,"خرید"))</f>
        <v/>
      </c>
      <c r="G417" s="25">
        <f>IF($B417="","",SUMIFS(CalcBaskets,CalcParty,$B417,CalcGroup,"خرید"))</f>
        <v/>
      </c>
      <c r="H417" s="26">
        <f>IF($B417="","",SUMIFS(CalcNet,CalcParty,$B417,CalcGroup,"خرید"))</f>
        <v/>
      </c>
      <c r="I417" s="24">
        <f>IF($B417="","",IFERROR(IF(VLOOKUP($B417,AcctTbl,5,0)="","—",VLOOKUP($B417,AcctTbl,5,0)),"—"))</f>
        <v/>
      </c>
      <c r="J417" s="24">
        <f>IF($B417="","",IFERROR(IF(VLOOKUP($B417,AcctTbl,6,0)="","—",VLOOKUP($B417,AcctTbl,6,0)),"—"))</f>
        <v/>
      </c>
      <c r="K417" s="35">
        <f>IF(OR($B417="",$H$570=0),"",$H417/$H$570)</f>
        <v/>
      </c>
    </row>
    <row r="418">
      <c r="A418" s="17">
        <f>IF(ROW()-9&gt;NAcctAll,"",ROW()-9)</f>
        <v/>
      </c>
      <c r="B418" s="30">
        <f>IF($A418="","",IF($A418&lt;=NAcctAll,INDEX(PkAcctAll,$A418),""))</f>
        <v/>
      </c>
      <c r="C418" s="22">
        <f>IF($B418="","",IFERROR(IF(VLOOKUP($B418,AcctTbl,4,0)="","(بدون نام)",VLOOKUP($B418,AcctTbl,4,0)),"—"))</f>
        <v/>
      </c>
      <c r="D418" s="18">
        <f>IF($B418="","",IFERROR(IF(VLOOKUP($B418,AcctTbl,3,0)="",IF(VLOOKUP($B418,AcctTbl,2,0)="","—",VLOOKUP($B418,AcctTbl,2,0)),VLOOKUP($B418,AcctTbl,3,0)),"—"))</f>
        <v/>
      </c>
      <c r="E418" s="31">
        <f>IF($B418="","",COUNTIFS(CalcParty,$B418,CalcGroup,"خرید"))</f>
        <v/>
      </c>
      <c r="F418" s="19">
        <f>IF($B418="","",SUMIFS(CalcScale,CalcParty,$B418,CalcGroup,"خرید"))</f>
        <v/>
      </c>
      <c r="G418" s="19">
        <f>IF($B418="","",SUMIFS(CalcBaskets,CalcParty,$B418,CalcGroup,"خرید"))</f>
        <v/>
      </c>
      <c r="H418" s="20">
        <f>IF($B418="","",SUMIFS(CalcNet,CalcParty,$B418,CalcGroup,"خرید"))</f>
        <v/>
      </c>
      <c r="I418" s="18">
        <f>IF($B418="","",IFERROR(IF(VLOOKUP($B418,AcctTbl,5,0)="","—",VLOOKUP($B418,AcctTbl,5,0)),"—"))</f>
        <v/>
      </c>
      <c r="J418" s="18">
        <f>IF($B418="","",IFERROR(IF(VLOOKUP($B418,AcctTbl,6,0)="","—",VLOOKUP($B418,AcctTbl,6,0)),"—"))</f>
        <v/>
      </c>
      <c r="K418" s="32">
        <f>IF(OR($B418="",$H$570=0),"",$H418/$H$570)</f>
        <v/>
      </c>
    </row>
    <row r="419">
      <c r="A419" s="23">
        <f>IF(ROW()-9&gt;NAcctAll,"",ROW()-9)</f>
        <v/>
      </c>
      <c r="B419" s="33">
        <f>IF($A419="","",IF($A419&lt;=NAcctAll,INDEX(PkAcctAll,$A419),""))</f>
        <v/>
      </c>
      <c r="C419" s="28">
        <f>IF($B419="","",IFERROR(IF(VLOOKUP($B419,AcctTbl,4,0)="","(بدون نام)",VLOOKUP($B419,AcctTbl,4,0)),"—"))</f>
        <v/>
      </c>
      <c r="D419" s="24">
        <f>IF($B419="","",IFERROR(IF(VLOOKUP($B419,AcctTbl,3,0)="",IF(VLOOKUP($B419,AcctTbl,2,0)="","—",VLOOKUP($B419,AcctTbl,2,0)),VLOOKUP($B419,AcctTbl,3,0)),"—"))</f>
        <v/>
      </c>
      <c r="E419" s="34">
        <f>IF($B419="","",COUNTIFS(CalcParty,$B419,CalcGroup,"خرید"))</f>
        <v/>
      </c>
      <c r="F419" s="25">
        <f>IF($B419="","",SUMIFS(CalcScale,CalcParty,$B419,CalcGroup,"خرید"))</f>
        <v/>
      </c>
      <c r="G419" s="25">
        <f>IF($B419="","",SUMIFS(CalcBaskets,CalcParty,$B419,CalcGroup,"خرید"))</f>
        <v/>
      </c>
      <c r="H419" s="26">
        <f>IF($B419="","",SUMIFS(CalcNet,CalcParty,$B419,CalcGroup,"خرید"))</f>
        <v/>
      </c>
      <c r="I419" s="24">
        <f>IF($B419="","",IFERROR(IF(VLOOKUP($B419,AcctTbl,5,0)="","—",VLOOKUP($B419,AcctTbl,5,0)),"—"))</f>
        <v/>
      </c>
      <c r="J419" s="24">
        <f>IF($B419="","",IFERROR(IF(VLOOKUP($B419,AcctTbl,6,0)="","—",VLOOKUP($B419,AcctTbl,6,0)),"—"))</f>
        <v/>
      </c>
      <c r="K419" s="35">
        <f>IF(OR($B419="",$H$570=0),"",$H419/$H$570)</f>
        <v/>
      </c>
    </row>
    <row r="420">
      <c r="A420" s="17">
        <f>IF(ROW()-9&gt;NAcctAll,"",ROW()-9)</f>
        <v/>
      </c>
      <c r="B420" s="30">
        <f>IF($A420="","",IF($A420&lt;=NAcctAll,INDEX(PkAcctAll,$A420),""))</f>
        <v/>
      </c>
      <c r="C420" s="22">
        <f>IF($B420="","",IFERROR(IF(VLOOKUP($B420,AcctTbl,4,0)="","(بدون نام)",VLOOKUP($B420,AcctTbl,4,0)),"—"))</f>
        <v/>
      </c>
      <c r="D420" s="18">
        <f>IF($B420="","",IFERROR(IF(VLOOKUP($B420,AcctTbl,3,0)="",IF(VLOOKUP($B420,AcctTbl,2,0)="","—",VLOOKUP($B420,AcctTbl,2,0)),VLOOKUP($B420,AcctTbl,3,0)),"—"))</f>
        <v/>
      </c>
      <c r="E420" s="31">
        <f>IF($B420="","",COUNTIFS(CalcParty,$B420,CalcGroup,"خرید"))</f>
        <v/>
      </c>
      <c r="F420" s="19">
        <f>IF($B420="","",SUMIFS(CalcScale,CalcParty,$B420,CalcGroup,"خرید"))</f>
        <v/>
      </c>
      <c r="G420" s="19">
        <f>IF($B420="","",SUMIFS(CalcBaskets,CalcParty,$B420,CalcGroup,"خرید"))</f>
        <v/>
      </c>
      <c r="H420" s="20">
        <f>IF($B420="","",SUMIFS(CalcNet,CalcParty,$B420,CalcGroup,"خرید"))</f>
        <v/>
      </c>
      <c r="I420" s="18">
        <f>IF($B420="","",IFERROR(IF(VLOOKUP($B420,AcctTbl,5,0)="","—",VLOOKUP($B420,AcctTbl,5,0)),"—"))</f>
        <v/>
      </c>
      <c r="J420" s="18">
        <f>IF($B420="","",IFERROR(IF(VLOOKUP($B420,AcctTbl,6,0)="","—",VLOOKUP($B420,AcctTbl,6,0)),"—"))</f>
        <v/>
      </c>
      <c r="K420" s="32">
        <f>IF(OR($B420="",$H$570=0),"",$H420/$H$570)</f>
        <v/>
      </c>
    </row>
    <row r="421">
      <c r="A421" s="23">
        <f>IF(ROW()-9&gt;NAcctAll,"",ROW()-9)</f>
        <v/>
      </c>
      <c r="B421" s="33">
        <f>IF($A421="","",IF($A421&lt;=NAcctAll,INDEX(PkAcctAll,$A421),""))</f>
        <v/>
      </c>
      <c r="C421" s="28">
        <f>IF($B421="","",IFERROR(IF(VLOOKUP($B421,AcctTbl,4,0)="","(بدون نام)",VLOOKUP($B421,AcctTbl,4,0)),"—"))</f>
        <v/>
      </c>
      <c r="D421" s="24">
        <f>IF($B421="","",IFERROR(IF(VLOOKUP($B421,AcctTbl,3,0)="",IF(VLOOKUP($B421,AcctTbl,2,0)="","—",VLOOKUP($B421,AcctTbl,2,0)),VLOOKUP($B421,AcctTbl,3,0)),"—"))</f>
        <v/>
      </c>
      <c r="E421" s="34">
        <f>IF($B421="","",COUNTIFS(CalcParty,$B421,CalcGroup,"خرید"))</f>
        <v/>
      </c>
      <c r="F421" s="25">
        <f>IF($B421="","",SUMIFS(CalcScale,CalcParty,$B421,CalcGroup,"خرید"))</f>
        <v/>
      </c>
      <c r="G421" s="25">
        <f>IF($B421="","",SUMIFS(CalcBaskets,CalcParty,$B421,CalcGroup,"خرید"))</f>
        <v/>
      </c>
      <c r="H421" s="26">
        <f>IF($B421="","",SUMIFS(CalcNet,CalcParty,$B421,CalcGroup,"خرید"))</f>
        <v/>
      </c>
      <c r="I421" s="24">
        <f>IF($B421="","",IFERROR(IF(VLOOKUP($B421,AcctTbl,5,0)="","—",VLOOKUP($B421,AcctTbl,5,0)),"—"))</f>
        <v/>
      </c>
      <c r="J421" s="24">
        <f>IF($B421="","",IFERROR(IF(VLOOKUP($B421,AcctTbl,6,0)="","—",VLOOKUP($B421,AcctTbl,6,0)),"—"))</f>
        <v/>
      </c>
      <c r="K421" s="35">
        <f>IF(OR($B421="",$H$570=0),"",$H421/$H$570)</f>
        <v/>
      </c>
    </row>
    <row r="422">
      <c r="A422" s="17">
        <f>IF(ROW()-9&gt;NAcctAll,"",ROW()-9)</f>
        <v/>
      </c>
      <c r="B422" s="30">
        <f>IF($A422="","",IF($A422&lt;=NAcctAll,INDEX(PkAcctAll,$A422),""))</f>
        <v/>
      </c>
      <c r="C422" s="22">
        <f>IF($B422="","",IFERROR(IF(VLOOKUP($B422,AcctTbl,4,0)="","(بدون نام)",VLOOKUP($B422,AcctTbl,4,0)),"—"))</f>
        <v/>
      </c>
      <c r="D422" s="18">
        <f>IF($B422="","",IFERROR(IF(VLOOKUP($B422,AcctTbl,3,0)="",IF(VLOOKUP($B422,AcctTbl,2,0)="","—",VLOOKUP($B422,AcctTbl,2,0)),VLOOKUP($B422,AcctTbl,3,0)),"—"))</f>
        <v/>
      </c>
      <c r="E422" s="31">
        <f>IF($B422="","",COUNTIFS(CalcParty,$B422,CalcGroup,"خرید"))</f>
        <v/>
      </c>
      <c r="F422" s="19">
        <f>IF($B422="","",SUMIFS(CalcScale,CalcParty,$B422,CalcGroup,"خرید"))</f>
        <v/>
      </c>
      <c r="G422" s="19">
        <f>IF($B422="","",SUMIFS(CalcBaskets,CalcParty,$B422,CalcGroup,"خرید"))</f>
        <v/>
      </c>
      <c r="H422" s="20">
        <f>IF($B422="","",SUMIFS(CalcNet,CalcParty,$B422,CalcGroup,"خرید"))</f>
        <v/>
      </c>
      <c r="I422" s="18">
        <f>IF($B422="","",IFERROR(IF(VLOOKUP($B422,AcctTbl,5,0)="","—",VLOOKUP($B422,AcctTbl,5,0)),"—"))</f>
        <v/>
      </c>
      <c r="J422" s="18">
        <f>IF($B422="","",IFERROR(IF(VLOOKUP($B422,AcctTbl,6,0)="","—",VLOOKUP($B422,AcctTbl,6,0)),"—"))</f>
        <v/>
      </c>
      <c r="K422" s="32">
        <f>IF(OR($B422="",$H$570=0),"",$H422/$H$570)</f>
        <v/>
      </c>
    </row>
    <row r="423">
      <c r="A423" s="23">
        <f>IF(ROW()-9&gt;NAcctAll,"",ROW()-9)</f>
        <v/>
      </c>
      <c r="B423" s="33">
        <f>IF($A423="","",IF($A423&lt;=NAcctAll,INDEX(PkAcctAll,$A423),""))</f>
        <v/>
      </c>
      <c r="C423" s="28">
        <f>IF($B423="","",IFERROR(IF(VLOOKUP($B423,AcctTbl,4,0)="","(بدون نام)",VLOOKUP($B423,AcctTbl,4,0)),"—"))</f>
        <v/>
      </c>
      <c r="D423" s="24">
        <f>IF($B423="","",IFERROR(IF(VLOOKUP($B423,AcctTbl,3,0)="",IF(VLOOKUP($B423,AcctTbl,2,0)="","—",VLOOKUP($B423,AcctTbl,2,0)),VLOOKUP($B423,AcctTbl,3,0)),"—"))</f>
        <v/>
      </c>
      <c r="E423" s="34">
        <f>IF($B423="","",COUNTIFS(CalcParty,$B423,CalcGroup,"خرید"))</f>
        <v/>
      </c>
      <c r="F423" s="25">
        <f>IF($B423="","",SUMIFS(CalcScale,CalcParty,$B423,CalcGroup,"خرید"))</f>
        <v/>
      </c>
      <c r="G423" s="25">
        <f>IF($B423="","",SUMIFS(CalcBaskets,CalcParty,$B423,CalcGroup,"خرید"))</f>
        <v/>
      </c>
      <c r="H423" s="26">
        <f>IF($B423="","",SUMIFS(CalcNet,CalcParty,$B423,CalcGroup,"خرید"))</f>
        <v/>
      </c>
      <c r="I423" s="24">
        <f>IF($B423="","",IFERROR(IF(VLOOKUP($B423,AcctTbl,5,0)="","—",VLOOKUP($B423,AcctTbl,5,0)),"—"))</f>
        <v/>
      </c>
      <c r="J423" s="24">
        <f>IF($B423="","",IFERROR(IF(VLOOKUP($B423,AcctTbl,6,0)="","—",VLOOKUP($B423,AcctTbl,6,0)),"—"))</f>
        <v/>
      </c>
      <c r="K423" s="35">
        <f>IF(OR($B423="",$H$570=0),"",$H423/$H$570)</f>
        <v/>
      </c>
    </row>
    <row r="424">
      <c r="A424" s="17">
        <f>IF(ROW()-9&gt;NAcctAll,"",ROW()-9)</f>
        <v/>
      </c>
      <c r="B424" s="30">
        <f>IF($A424="","",IF($A424&lt;=NAcctAll,INDEX(PkAcctAll,$A424),""))</f>
        <v/>
      </c>
      <c r="C424" s="22">
        <f>IF($B424="","",IFERROR(IF(VLOOKUP($B424,AcctTbl,4,0)="","(بدون نام)",VLOOKUP($B424,AcctTbl,4,0)),"—"))</f>
        <v/>
      </c>
      <c r="D424" s="18">
        <f>IF($B424="","",IFERROR(IF(VLOOKUP($B424,AcctTbl,3,0)="",IF(VLOOKUP($B424,AcctTbl,2,0)="","—",VLOOKUP($B424,AcctTbl,2,0)),VLOOKUP($B424,AcctTbl,3,0)),"—"))</f>
        <v/>
      </c>
      <c r="E424" s="31">
        <f>IF($B424="","",COUNTIFS(CalcParty,$B424,CalcGroup,"خرید"))</f>
        <v/>
      </c>
      <c r="F424" s="19">
        <f>IF($B424="","",SUMIFS(CalcScale,CalcParty,$B424,CalcGroup,"خرید"))</f>
        <v/>
      </c>
      <c r="G424" s="19">
        <f>IF($B424="","",SUMIFS(CalcBaskets,CalcParty,$B424,CalcGroup,"خرید"))</f>
        <v/>
      </c>
      <c r="H424" s="20">
        <f>IF($B424="","",SUMIFS(CalcNet,CalcParty,$B424,CalcGroup,"خرید"))</f>
        <v/>
      </c>
      <c r="I424" s="18">
        <f>IF($B424="","",IFERROR(IF(VLOOKUP($B424,AcctTbl,5,0)="","—",VLOOKUP($B424,AcctTbl,5,0)),"—"))</f>
        <v/>
      </c>
      <c r="J424" s="18">
        <f>IF($B424="","",IFERROR(IF(VLOOKUP($B424,AcctTbl,6,0)="","—",VLOOKUP($B424,AcctTbl,6,0)),"—"))</f>
        <v/>
      </c>
      <c r="K424" s="32">
        <f>IF(OR($B424="",$H$570=0),"",$H424/$H$570)</f>
        <v/>
      </c>
    </row>
    <row r="425">
      <c r="A425" s="23">
        <f>IF(ROW()-9&gt;NAcctAll,"",ROW()-9)</f>
        <v/>
      </c>
      <c r="B425" s="33">
        <f>IF($A425="","",IF($A425&lt;=NAcctAll,INDEX(PkAcctAll,$A425),""))</f>
        <v/>
      </c>
      <c r="C425" s="28">
        <f>IF($B425="","",IFERROR(IF(VLOOKUP($B425,AcctTbl,4,0)="","(بدون نام)",VLOOKUP($B425,AcctTbl,4,0)),"—"))</f>
        <v/>
      </c>
      <c r="D425" s="24">
        <f>IF($B425="","",IFERROR(IF(VLOOKUP($B425,AcctTbl,3,0)="",IF(VLOOKUP($B425,AcctTbl,2,0)="","—",VLOOKUP($B425,AcctTbl,2,0)),VLOOKUP($B425,AcctTbl,3,0)),"—"))</f>
        <v/>
      </c>
      <c r="E425" s="34">
        <f>IF($B425="","",COUNTIFS(CalcParty,$B425,CalcGroup,"خرید"))</f>
        <v/>
      </c>
      <c r="F425" s="25">
        <f>IF($B425="","",SUMIFS(CalcScale,CalcParty,$B425,CalcGroup,"خرید"))</f>
        <v/>
      </c>
      <c r="G425" s="25">
        <f>IF($B425="","",SUMIFS(CalcBaskets,CalcParty,$B425,CalcGroup,"خرید"))</f>
        <v/>
      </c>
      <c r="H425" s="26">
        <f>IF($B425="","",SUMIFS(CalcNet,CalcParty,$B425,CalcGroup,"خرید"))</f>
        <v/>
      </c>
      <c r="I425" s="24">
        <f>IF($B425="","",IFERROR(IF(VLOOKUP($B425,AcctTbl,5,0)="","—",VLOOKUP($B425,AcctTbl,5,0)),"—"))</f>
        <v/>
      </c>
      <c r="J425" s="24">
        <f>IF($B425="","",IFERROR(IF(VLOOKUP($B425,AcctTbl,6,0)="","—",VLOOKUP($B425,AcctTbl,6,0)),"—"))</f>
        <v/>
      </c>
      <c r="K425" s="35">
        <f>IF(OR($B425="",$H$570=0),"",$H425/$H$570)</f>
        <v/>
      </c>
    </row>
    <row r="426">
      <c r="A426" s="17">
        <f>IF(ROW()-9&gt;NAcctAll,"",ROW()-9)</f>
        <v/>
      </c>
      <c r="B426" s="30">
        <f>IF($A426="","",IF($A426&lt;=NAcctAll,INDEX(PkAcctAll,$A426),""))</f>
        <v/>
      </c>
      <c r="C426" s="22">
        <f>IF($B426="","",IFERROR(IF(VLOOKUP($B426,AcctTbl,4,0)="","(بدون نام)",VLOOKUP($B426,AcctTbl,4,0)),"—"))</f>
        <v/>
      </c>
      <c r="D426" s="18">
        <f>IF($B426="","",IFERROR(IF(VLOOKUP($B426,AcctTbl,3,0)="",IF(VLOOKUP($B426,AcctTbl,2,0)="","—",VLOOKUP($B426,AcctTbl,2,0)),VLOOKUP($B426,AcctTbl,3,0)),"—"))</f>
        <v/>
      </c>
      <c r="E426" s="31">
        <f>IF($B426="","",COUNTIFS(CalcParty,$B426,CalcGroup,"خرید"))</f>
        <v/>
      </c>
      <c r="F426" s="19">
        <f>IF($B426="","",SUMIFS(CalcScale,CalcParty,$B426,CalcGroup,"خرید"))</f>
        <v/>
      </c>
      <c r="G426" s="19">
        <f>IF($B426="","",SUMIFS(CalcBaskets,CalcParty,$B426,CalcGroup,"خرید"))</f>
        <v/>
      </c>
      <c r="H426" s="20">
        <f>IF($B426="","",SUMIFS(CalcNet,CalcParty,$B426,CalcGroup,"خرید"))</f>
        <v/>
      </c>
      <c r="I426" s="18">
        <f>IF($B426="","",IFERROR(IF(VLOOKUP($B426,AcctTbl,5,0)="","—",VLOOKUP($B426,AcctTbl,5,0)),"—"))</f>
        <v/>
      </c>
      <c r="J426" s="18">
        <f>IF($B426="","",IFERROR(IF(VLOOKUP($B426,AcctTbl,6,0)="","—",VLOOKUP($B426,AcctTbl,6,0)),"—"))</f>
        <v/>
      </c>
      <c r="K426" s="32">
        <f>IF(OR($B426="",$H$570=0),"",$H426/$H$570)</f>
        <v/>
      </c>
    </row>
    <row r="427">
      <c r="A427" s="23">
        <f>IF(ROW()-9&gt;NAcctAll,"",ROW()-9)</f>
        <v/>
      </c>
      <c r="B427" s="33">
        <f>IF($A427="","",IF($A427&lt;=NAcctAll,INDEX(PkAcctAll,$A427),""))</f>
        <v/>
      </c>
      <c r="C427" s="28">
        <f>IF($B427="","",IFERROR(IF(VLOOKUP($B427,AcctTbl,4,0)="","(بدون نام)",VLOOKUP($B427,AcctTbl,4,0)),"—"))</f>
        <v/>
      </c>
      <c r="D427" s="24">
        <f>IF($B427="","",IFERROR(IF(VLOOKUP($B427,AcctTbl,3,0)="",IF(VLOOKUP($B427,AcctTbl,2,0)="","—",VLOOKUP($B427,AcctTbl,2,0)),VLOOKUP($B427,AcctTbl,3,0)),"—"))</f>
        <v/>
      </c>
      <c r="E427" s="34">
        <f>IF($B427="","",COUNTIFS(CalcParty,$B427,CalcGroup,"خرید"))</f>
        <v/>
      </c>
      <c r="F427" s="25">
        <f>IF($B427="","",SUMIFS(CalcScale,CalcParty,$B427,CalcGroup,"خرید"))</f>
        <v/>
      </c>
      <c r="G427" s="25">
        <f>IF($B427="","",SUMIFS(CalcBaskets,CalcParty,$B427,CalcGroup,"خرید"))</f>
        <v/>
      </c>
      <c r="H427" s="26">
        <f>IF($B427="","",SUMIFS(CalcNet,CalcParty,$B427,CalcGroup,"خرید"))</f>
        <v/>
      </c>
      <c r="I427" s="24">
        <f>IF($B427="","",IFERROR(IF(VLOOKUP($B427,AcctTbl,5,0)="","—",VLOOKUP($B427,AcctTbl,5,0)),"—"))</f>
        <v/>
      </c>
      <c r="J427" s="24">
        <f>IF($B427="","",IFERROR(IF(VLOOKUP($B427,AcctTbl,6,0)="","—",VLOOKUP($B427,AcctTbl,6,0)),"—"))</f>
        <v/>
      </c>
      <c r="K427" s="35">
        <f>IF(OR($B427="",$H$570=0),"",$H427/$H$570)</f>
        <v/>
      </c>
    </row>
    <row r="428">
      <c r="A428" s="17">
        <f>IF(ROW()-9&gt;NAcctAll,"",ROW()-9)</f>
        <v/>
      </c>
      <c r="B428" s="30">
        <f>IF($A428="","",IF($A428&lt;=NAcctAll,INDEX(PkAcctAll,$A428),""))</f>
        <v/>
      </c>
      <c r="C428" s="22">
        <f>IF($B428="","",IFERROR(IF(VLOOKUP($B428,AcctTbl,4,0)="","(بدون نام)",VLOOKUP($B428,AcctTbl,4,0)),"—"))</f>
        <v/>
      </c>
      <c r="D428" s="18">
        <f>IF($B428="","",IFERROR(IF(VLOOKUP($B428,AcctTbl,3,0)="",IF(VLOOKUP($B428,AcctTbl,2,0)="","—",VLOOKUP($B428,AcctTbl,2,0)),VLOOKUP($B428,AcctTbl,3,0)),"—"))</f>
        <v/>
      </c>
      <c r="E428" s="31">
        <f>IF($B428="","",COUNTIFS(CalcParty,$B428,CalcGroup,"خرید"))</f>
        <v/>
      </c>
      <c r="F428" s="19">
        <f>IF($B428="","",SUMIFS(CalcScale,CalcParty,$B428,CalcGroup,"خرید"))</f>
        <v/>
      </c>
      <c r="G428" s="19">
        <f>IF($B428="","",SUMIFS(CalcBaskets,CalcParty,$B428,CalcGroup,"خرید"))</f>
        <v/>
      </c>
      <c r="H428" s="20">
        <f>IF($B428="","",SUMIFS(CalcNet,CalcParty,$B428,CalcGroup,"خرید"))</f>
        <v/>
      </c>
      <c r="I428" s="18">
        <f>IF($B428="","",IFERROR(IF(VLOOKUP($B428,AcctTbl,5,0)="","—",VLOOKUP($B428,AcctTbl,5,0)),"—"))</f>
        <v/>
      </c>
      <c r="J428" s="18">
        <f>IF($B428="","",IFERROR(IF(VLOOKUP($B428,AcctTbl,6,0)="","—",VLOOKUP($B428,AcctTbl,6,0)),"—"))</f>
        <v/>
      </c>
      <c r="K428" s="32">
        <f>IF(OR($B428="",$H$570=0),"",$H428/$H$570)</f>
        <v/>
      </c>
    </row>
    <row r="429">
      <c r="A429" s="23">
        <f>IF(ROW()-9&gt;NAcctAll,"",ROW()-9)</f>
        <v/>
      </c>
      <c r="B429" s="33">
        <f>IF($A429="","",IF($A429&lt;=NAcctAll,INDEX(PkAcctAll,$A429),""))</f>
        <v/>
      </c>
      <c r="C429" s="28">
        <f>IF($B429="","",IFERROR(IF(VLOOKUP($B429,AcctTbl,4,0)="","(بدون نام)",VLOOKUP($B429,AcctTbl,4,0)),"—"))</f>
        <v/>
      </c>
      <c r="D429" s="24">
        <f>IF($B429="","",IFERROR(IF(VLOOKUP($B429,AcctTbl,3,0)="",IF(VLOOKUP($B429,AcctTbl,2,0)="","—",VLOOKUP($B429,AcctTbl,2,0)),VLOOKUP($B429,AcctTbl,3,0)),"—"))</f>
        <v/>
      </c>
      <c r="E429" s="34">
        <f>IF($B429="","",COUNTIFS(CalcParty,$B429,CalcGroup,"خرید"))</f>
        <v/>
      </c>
      <c r="F429" s="25">
        <f>IF($B429="","",SUMIFS(CalcScale,CalcParty,$B429,CalcGroup,"خرید"))</f>
        <v/>
      </c>
      <c r="G429" s="25">
        <f>IF($B429="","",SUMIFS(CalcBaskets,CalcParty,$B429,CalcGroup,"خرید"))</f>
        <v/>
      </c>
      <c r="H429" s="26">
        <f>IF($B429="","",SUMIFS(CalcNet,CalcParty,$B429,CalcGroup,"خرید"))</f>
        <v/>
      </c>
      <c r="I429" s="24">
        <f>IF($B429="","",IFERROR(IF(VLOOKUP($B429,AcctTbl,5,0)="","—",VLOOKUP($B429,AcctTbl,5,0)),"—"))</f>
        <v/>
      </c>
      <c r="J429" s="24">
        <f>IF($B429="","",IFERROR(IF(VLOOKUP($B429,AcctTbl,6,0)="","—",VLOOKUP($B429,AcctTbl,6,0)),"—"))</f>
        <v/>
      </c>
      <c r="K429" s="35">
        <f>IF(OR($B429="",$H$570=0),"",$H429/$H$570)</f>
        <v/>
      </c>
    </row>
    <row r="430">
      <c r="A430" s="17">
        <f>IF(ROW()-9&gt;NAcctAll,"",ROW()-9)</f>
        <v/>
      </c>
      <c r="B430" s="30">
        <f>IF($A430="","",IF($A430&lt;=NAcctAll,INDEX(PkAcctAll,$A430),""))</f>
        <v/>
      </c>
      <c r="C430" s="22">
        <f>IF($B430="","",IFERROR(IF(VLOOKUP($B430,AcctTbl,4,0)="","(بدون نام)",VLOOKUP($B430,AcctTbl,4,0)),"—"))</f>
        <v/>
      </c>
      <c r="D430" s="18">
        <f>IF($B430="","",IFERROR(IF(VLOOKUP($B430,AcctTbl,3,0)="",IF(VLOOKUP($B430,AcctTbl,2,0)="","—",VLOOKUP($B430,AcctTbl,2,0)),VLOOKUP($B430,AcctTbl,3,0)),"—"))</f>
        <v/>
      </c>
      <c r="E430" s="31">
        <f>IF($B430="","",COUNTIFS(CalcParty,$B430,CalcGroup,"خرید"))</f>
        <v/>
      </c>
      <c r="F430" s="19">
        <f>IF($B430="","",SUMIFS(CalcScale,CalcParty,$B430,CalcGroup,"خرید"))</f>
        <v/>
      </c>
      <c r="G430" s="19">
        <f>IF($B430="","",SUMIFS(CalcBaskets,CalcParty,$B430,CalcGroup,"خرید"))</f>
        <v/>
      </c>
      <c r="H430" s="20">
        <f>IF($B430="","",SUMIFS(CalcNet,CalcParty,$B430,CalcGroup,"خرید"))</f>
        <v/>
      </c>
      <c r="I430" s="18">
        <f>IF($B430="","",IFERROR(IF(VLOOKUP($B430,AcctTbl,5,0)="","—",VLOOKUP($B430,AcctTbl,5,0)),"—"))</f>
        <v/>
      </c>
      <c r="J430" s="18">
        <f>IF($B430="","",IFERROR(IF(VLOOKUP($B430,AcctTbl,6,0)="","—",VLOOKUP($B430,AcctTbl,6,0)),"—"))</f>
        <v/>
      </c>
      <c r="K430" s="32">
        <f>IF(OR($B430="",$H$570=0),"",$H430/$H$570)</f>
        <v/>
      </c>
    </row>
    <row r="431">
      <c r="A431" s="23">
        <f>IF(ROW()-9&gt;NAcctAll,"",ROW()-9)</f>
        <v/>
      </c>
      <c r="B431" s="33">
        <f>IF($A431="","",IF($A431&lt;=NAcctAll,INDEX(PkAcctAll,$A431),""))</f>
        <v/>
      </c>
      <c r="C431" s="28">
        <f>IF($B431="","",IFERROR(IF(VLOOKUP($B431,AcctTbl,4,0)="","(بدون نام)",VLOOKUP($B431,AcctTbl,4,0)),"—"))</f>
        <v/>
      </c>
      <c r="D431" s="24">
        <f>IF($B431="","",IFERROR(IF(VLOOKUP($B431,AcctTbl,3,0)="",IF(VLOOKUP($B431,AcctTbl,2,0)="","—",VLOOKUP($B431,AcctTbl,2,0)),VLOOKUP($B431,AcctTbl,3,0)),"—"))</f>
        <v/>
      </c>
      <c r="E431" s="34">
        <f>IF($B431="","",COUNTIFS(CalcParty,$B431,CalcGroup,"خرید"))</f>
        <v/>
      </c>
      <c r="F431" s="25">
        <f>IF($B431="","",SUMIFS(CalcScale,CalcParty,$B431,CalcGroup,"خرید"))</f>
        <v/>
      </c>
      <c r="G431" s="25">
        <f>IF($B431="","",SUMIFS(CalcBaskets,CalcParty,$B431,CalcGroup,"خرید"))</f>
        <v/>
      </c>
      <c r="H431" s="26">
        <f>IF($B431="","",SUMIFS(CalcNet,CalcParty,$B431,CalcGroup,"خرید"))</f>
        <v/>
      </c>
      <c r="I431" s="24">
        <f>IF($B431="","",IFERROR(IF(VLOOKUP($B431,AcctTbl,5,0)="","—",VLOOKUP($B431,AcctTbl,5,0)),"—"))</f>
        <v/>
      </c>
      <c r="J431" s="24">
        <f>IF($B431="","",IFERROR(IF(VLOOKUP($B431,AcctTbl,6,0)="","—",VLOOKUP($B431,AcctTbl,6,0)),"—"))</f>
        <v/>
      </c>
      <c r="K431" s="35">
        <f>IF(OR($B431="",$H$570=0),"",$H431/$H$570)</f>
        <v/>
      </c>
    </row>
    <row r="432">
      <c r="A432" s="17">
        <f>IF(ROW()-9&gt;NAcctAll,"",ROW()-9)</f>
        <v/>
      </c>
      <c r="B432" s="30">
        <f>IF($A432="","",IF($A432&lt;=NAcctAll,INDEX(PkAcctAll,$A432),""))</f>
        <v/>
      </c>
      <c r="C432" s="22">
        <f>IF($B432="","",IFERROR(IF(VLOOKUP($B432,AcctTbl,4,0)="","(بدون نام)",VLOOKUP($B432,AcctTbl,4,0)),"—"))</f>
        <v/>
      </c>
      <c r="D432" s="18">
        <f>IF($B432="","",IFERROR(IF(VLOOKUP($B432,AcctTbl,3,0)="",IF(VLOOKUP($B432,AcctTbl,2,0)="","—",VLOOKUP($B432,AcctTbl,2,0)),VLOOKUP($B432,AcctTbl,3,0)),"—"))</f>
        <v/>
      </c>
      <c r="E432" s="31">
        <f>IF($B432="","",COUNTIFS(CalcParty,$B432,CalcGroup,"خرید"))</f>
        <v/>
      </c>
      <c r="F432" s="19">
        <f>IF($B432="","",SUMIFS(CalcScale,CalcParty,$B432,CalcGroup,"خرید"))</f>
        <v/>
      </c>
      <c r="G432" s="19">
        <f>IF($B432="","",SUMIFS(CalcBaskets,CalcParty,$B432,CalcGroup,"خرید"))</f>
        <v/>
      </c>
      <c r="H432" s="20">
        <f>IF($B432="","",SUMIFS(CalcNet,CalcParty,$B432,CalcGroup,"خرید"))</f>
        <v/>
      </c>
      <c r="I432" s="18">
        <f>IF($B432="","",IFERROR(IF(VLOOKUP($B432,AcctTbl,5,0)="","—",VLOOKUP($B432,AcctTbl,5,0)),"—"))</f>
        <v/>
      </c>
      <c r="J432" s="18">
        <f>IF($B432="","",IFERROR(IF(VLOOKUP($B432,AcctTbl,6,0)="","—",VLOOKUP($B432,AcctTbl,6,0)),"—"))</f>
        <v/>
      </c>
      <c r="K432" s="32">
        <f>IF(OR($B432="",$H$570=0),"",$H432/$H$570)</f>
        <v/>
      </c>
    </row>
    <row r="433">
      <c r="A433" s="23">
        <f>IF(ROW()-9&gt;NAcctAll,"",ROW()-9)</f>
        <v/>
      </c>
      <c r="B433" s="33">
        <f>IF($A433="","",IF($A433&lt;=NAcctAll,INDEX(PkAcctAll,$A433),""))</f>
        <v/>
      </c>
      <c r="C433" s="28">
        <f>IF($B433="","",IFERROR(IF(VLOOKUP($B433,AcctTbl,4,0)="","(بدون نام)",VLOOKUP($B433,AcctTbl,4,0)),"—"))</f>
        <v/>
      </c>
      <c r="D433" s="24">
        <f>IF($B433="","",IFERROR(IF(VLOOKUP($B433,AcctTbl,3,0)="",IF(VLOOKUP($B433,AcctTbl,2,0)="","—",VLOOKUP($B433,AcctTbl,2,0)),VLOOKUP($B433,AcctTbl,3,0)),"—"))</f>
        <v/>
      </c>
      <c r="E433" s="34">
        <f>IF($B433="","",COUNTIFS(CalcParty,$B433,CalcGroup,"خرید"))</f>
        <v/>
      </c>
      <c r="F433" s="25">
        <f>IF($B433="","",SUMIFS(CalcScale,CalcParty,$B433,CalcGroup,"خرید"))</f>
        <v/>
      </c>
      <c r="G433" s="25">
        <f>IF($B433="","",SUMIFS(CalcBaskets,CalcParty,$B433,CalcGroup,"خرید"))</f>
        <v/>
      </c>
      <c r="H433" s="26">
        <f>IF($B433="","",SUMIFS(CalcNet,CalcParty,$B433,CalcGroup,"خرید"))</f>
        <v/>
      </c>
      <c r="I433" s="24">
        <f>IF($B433="","",IFERROR(IF(VLOOKUP($B433,AcctTbl,5,0)="","—",VLOOKUP($B433,AcctTbl,5,0)),"—"))</f>
        <v/>
      </c>
      <c r="J433" s="24">
        <f>IF($B433="","",IFERROR(IF(VLOOKUP($B433,AcctTbl,6,0)="","—",VLOOKUP($B433,AcctTbl,6,0)),"—"))</f>
        <v/>
      </c>
      <c r="K433" s="35">
        <f>IF(OR($B433="",$H$570=0),"",$H433/$H$570)</f>
        <v/>
      </c>
    </row>
    <row r="434">
      <c r="A434" s="17">
        <f>IF(ROW()-9&gt;NAcctAll,"",ROW()-9)</f>
        <v/>
      </c>
      <c r="B434" s="30">
        <f>IF($A434="","",IF($A434&lt;=NAcctAll,INDEX(PkAcctAll,$A434),""))</f>
        <v/>
      </c>
      <c r="C434" s="22">
        <f>IF($B434="","",IFERROR(IF(VLOOKUP($B434,AcctTbl,4,0)="","(بدون نام)",VLOOKUP($B434,AcctTbl,4,0)),"—"))</f>
        <v/>
      </c>
      <c r="D434" s="18">
        <f>IF($B434="","",IFERROR(IF(VLOOKUP($B434,AcctTbl,3,0)="",IF(VLOOKUP($B434,AcctTbl,2,0)="","—",VLOOKUP($B434,AcctTbl,2,0)),VLOOKUP($B434,AcctTbl,3,0)),"—"))</f>
        <v/>
      </c>
      <c r="E434" s="31">
        <f>IF($B434="","",COUNTIFS(CalcParty,$B434,CalcGroup,"خرید"))</f>
        <v/>
      </c>
      <c r="F434" s="19">
        <f>IF($B434="","",SUMIFS(CalcScale,CalcParty,$B434,CalcGroup,"خرید"))</f>
        <v/>
      </c>
      <c r="G434" s="19">
        <f>IF($B434="","",SUMIFS(CalcBaskets,CalcParty,$B434,CalcGroup,"خرید"))</f>
        <v/>
      </c>
      <c r="H434" s="20">
        <f>IF($B434="","",SUMIFS(CalcNet,CalcParty,$B434,CalcGroup,"خرید"))</f>
        <v/>
      </c>
      <c r="I434" s="18">
        <f>IF($B434="","",IFERROR(IF(VLOOKUP($B434,AcctTbl,5,0)="","—",VLOOKUP($B434,AcctTbl,5,0)),"—"))</f>
        <v/>
      </c>
      <c r="J434" s="18">
        <f>IF($B434="","",IFERROR(IF(VLOOKUP($B434,AcctTbl,6,0)="","—",VLOOKUP($B434,AcctTbl,6,0)),"—"))</f>
        <v/>
      </c>
      <c r="K434" s="32">
        <f>IF(OR($B434="",$H$570=0),"",$H434/$H$570)</f>
        <v/>
      </c>
    </row>
    <row r="435">
      <c r="A435" s="23">
        <f>IF(ROW()-9&gt;NAcctAll,"",ROW()-9)</f>
        <v/>
      </c>
      <c r="B435" s="33">
        <f>IF($A435="","",IF($A435&lt;=NAcctAll,INDEX(PkAcctAll,$A435),""))</f>
        <v/>
      </c>
      <c r="C435" s="28">
        <f>IF($B435="","",IFERROR(IF(VLOOKUP($B435,AcctTbl,4,0)="","(بدون نام)",VLOOKUP($B435,AcctTbl,4,0)),"—"))</f>
        <v/>
      </c>
      <c r="D435" s="24">
        <f>IF($B435="","",IFERROR(IF(VLOOKUP($B435,AcctTbl,3,0)="",IF(VLOOKUP($B435,AcctTbl,2,0)="","—",VLOOKUP($B435,AcctTbl,2,0)),VLOOKUP($B435,AcctTbl,3,0)),"—"))</f>
        <v/>
      </c>
      <c r="E435" s="34">
        <f>IF($B435="","",COUNTIFS(CalcParty,$B435,CalcGroup,"خرید"))</f>
        <v/>
      </c>
      <c r="F435" s="25">
        <f>IF($B435="","",SUMIFS(CalcScale,CalcParty,$B435,CalcGroup,"خرید"))</f>
        <v/>
      </c>
      <c r="G435" s="25">
        <f>IF($B435="","",SUMIFS(CalcBaskets,CalcParty,$B435,CalcGroup,"خرید"))</f>
        <v/>
      </c>
      <c r="H435" s="26">
        <f>IF($B435="","",SUMIFS(CalcNet,CalcParty,$B435,CalcGroup,"خرید"))</f>
        <v/>
      </c>
      <c r="I435" s="24">
        <f>IF($B435="","",IFERROR(IF(VLOOKUP($B435,AcctTbl,5,0)="","—",VLOOKUP($B435,AcctTbl,5,0)),"—"))</f>
        <v/>
      </c>
      <c r="J435" s="24">
        <f>IF($B435="","",IFERROR(IF(VLOOKUP($B435,AcctTbl,6,0)="","—",VLOOKUP($B435,AcctTbl,6,0)),"—"))</f>
        <v/>
      </c>
      <c r="K435" s="35">
        <f>IF(OR($B435="",$H$570=0),"",$H435/$H$570)</f>
        <v/>
      </c>
    </row>
    <row r="436">
      <c r="A436" s="17">
        <f>IF(ROW()-9&gt;NAcctAll,"",ROW()-9)</f>
        <v/>
      </c>
      <c r="B436" s="30">
        <f>IF($A436="","",IF($A436&lt;=NAcctAll,INDEX(PkAcctAll,$A436),""))</f>
        <v/>
      </c>
      <c r="C436" s="22">
        <f>IF($B436="","",IFERROR(IF(VLOOKUP($B436,AcctTbl,4,0)="","(بدون نام)",VLOOKUP($B436,AcctTbl,4,0)),"—"))</f>
        <v/>
      </c>
      <c r="D436" s="18">
        <f>IF($B436="","",IFERROR(IF(VLOOKUP($B436,AcctTbl,3,0)="",IF(VLOOKUP($B436,AcctTbl,2,0)="","—",VLOOKUP($B436,AcctTbl,2,0)),VLOOKUP($B436,AcctTbl,3,0)),"—"))</f>
        <v/>
      </c>
      <c r="E436" s="31">
        <f>IF($B436="","",COUNTIFS(CalcParty,$B436,CalcGroup,"خرید"))</f>
        <v/>
      </c>
      <c r="F436" s="19">
        <f>IF($B436="","",SUMIFS(CalcScale,CalcParty,$B436,CalcGroup,"خرید"))</f>
        <v/>
      </c>
      <c r="G436" s="19">
        <f>IF($B436="","",SUMIFS(CalcBaskets,CalcParty,$B436,CalcGroup,"خرید"))</f>
        <v/>
      </c>
      <c r="H436" s="20">
        <f>IF($B436="","",SUMIFS(CalcNet,CalcParty,$B436,CalcGroup,"خرید"))</f>
        <v/>
      </c>
      <c r="I436" s="18">
        <f>IF($B436="","",IFERROR(IF(VLOOKUP($B436,AcctTbl,5,0)="","—",VLOOKUP($B436,AcctTbl,5,0)),"—"))</f>
        <v/>
      </c>
      <c r="J436" s="18">
        <f>IF($B436="","",IFERROR(IF(VLOOKUP($B436,AcctTbl,6,0)="","—",VLOOKUP($B436,AcctTbl,6,0)),"—"))</f>
        <v/>
      </c>
      <c r="K436" s="32">
        <f>IF(OR($B436="",$H$570=0),"",$H436/$H$570)</f>
        <v/>
      </c>
    </row>
    <row r="437">
      <c r="A437" s="23">
        <f>IF(ROW()-9&gt;NAcctAll,"",ROW()-9)</f>
        <v/>
      </c>
      <c r="B437" s="33">
        <f>IF($A437="","",IF($A437&lt;=NAcctAll,INDEX(PkAcctAll,$A437),""))</f>
        <v/>
      </c>
      <c r="C437" s="28">
        <f>IF($B437="","",IFERROR(IF(VLOOKUP($B437,AcctTbl,4,0)="","(بدون نام)",VLOOKUP($B437,AcctTbl,4,0)),"—"))</f>
        <v/>
      </c>
      <c r="D437" s="24">
        <f>IF($B437="","",IFERROR(IF(VLOOKUP($B437,AcctTbl,3,0)="",IF(VLOOKUP($B437,AcctTbl,2,0)="","—",VLOOKUP($B437,AcctTbl,2,0)),VLOOKUP($B437,AcctTbl,3,0)),"—"))</f>
        <v/>
      </c>
      <c r="E437" s="34">
        <f>IF($B437="","",COUNTIFS(CalcParty,$B437,CalcGroup,"خرید"))</f>
        <v/>
      </c>
      <c r="F437" s="25">
        <f>IF($B437="","",SUMIFS(CalcScale,CalcParty,$B437,CalcGroup,"خرید"))</f>
        <v/>
      </c>
      <c r="G437" s="25">
        <f>IF($B437="","",SUMIFS(CalcBaskets,CalcParty,$B437,CalcGroup,"خرید"))</f>
        <v/>
      </c>
      <c r="H437" s="26">
        <f>IF($B437="","",SUMIFS(CalcNet,CalcParty,$B437,CalcGroup,"خرید"))</f>
        <v/>
      </c>
      <c r="I437" s="24">
        <f>IF($B437="","",IFERROR(IF(VLOOKUP($B437,AcctTbl,5,0)="","—",VLOOKUP($B437,AcctTbl,5,0)),"—"))</f>
        <v/>
      </c>
      <c r="J437" s="24">
        <f>IF($B437="","",IFERROR(IF(VLOOKUP($B437,AcctTbl,6,0)="","—",VLOOKUP($B437,AcctTbl,6,0)),"—"))</f>
        <v/>
      </c>
      <c r="K437" s="35">
        <f>IF(OR($B437="",$H$570=0),"",$H437/$H$570)</f>
        <v/>
      </c>
    </row>
    <row r="438">
      <c r="A438" s="17">
        <f>IF(ROW()-9&gt;NAcctAll,"",ROW()-9)</f>
        <v/>
      </c>
      <c r="B438" s="30">
        <f>IF($A438="","",IF($A438&lt;=NAcctAll,INDEX(PkAcctAll,$A438),""))</f>
        <v/>
      </c>
      <c r="C438" s="22">
        <f>IF($B438="","",IFERROR(IF(VLOOKUP($B438,AcctTbl,4,0)="","(بدون نام)",VLOOKUP($B438,AcctTbl,4,0)),"—"))</f>
        <v/>
      </c>
      <c r="D438" s="18">
        <f>IF($B438="","",IFERROR(IF(VLOOKUP($B438,AcctTbl,3,0)="",IF(VLOOKUP($B438,AcctTbl,2,0)="","—",VLOOKUP($B438,AcctTbl,2,0)),VLOOKUP($B438,AcctTbl,3,0)),"—"))</f>
        <v/>
      </c>
      <c r="E438" s="31">
        <f>IF($B438="","",COUNTIFS(CalcParty,$B438,CalcGroup,"خرید"))</f>
        <v/>
      </c>
      <c r="F438" s="19">
        <f>IF($B438="","",SUMIFS(CalcScale,CalcParty,$B438,CalcGroup,"خرید"))</f>
        <v/>
      </c>
      <c r="G438" s="19">
        <f>IF($B438="","",SUMIFS(CalcBaskets,CalcParty,$B438,CalcGroup,"خرید"))</f>
        <v/>
      </c>
      <c r="H438" s="20">
        <f>IF($B438="","",SUMIFS(CalcNet,CalcParty,$B438,CalcGroup,"خرید"))</f>
        <v/>
      </c>
      <c r="I438" s="18">
        <f>IF($B438="","",IFERROR(IF(VLOOKUP($B438,AcctTbl,5,0)="","—",VLOOKUP($B438,AcctTbl,5,0)),"—"))</f>
        <v/>
      </c>
      <c r="J438" s="18">
        <f>IF($B438="","",IFERROR(IF(VLOOKUP($B438,AcctTbl,6,0)="","—",VLOOKUP($B438,AcctTbl,6,0)),"—"))</f>
        <v/>
      </c>
      <c r="K438" s="32">
        <f>IF(OR($B438="",$H$570=0),"",$H438/$H$570)</f>
        <v/>
      </c>
    </row>
    <row r="439">
      <c r="A439" s="23">
        <f>IF(ROW()-9&gt;NAcctAll,"",ROW()-9)</f>
        <v/>
      </c>
      <c r="B439" s="33">
        <f>IF($A439="","",IF($A439&lt;=NAcctAll,INDEX(PkAcctAll,$A439),""))</f>
        <v/>
      </c>
      <c r="C439" s="28">
        <f>IF($B439="","",IFERROR(IF(VLOOKUP($B439,AcctTbl,4,0)="","(بدون نام)",VLOOKUP($B439,AcctTbl,4,0)),"—"))</f>
        <v/>
      </c>
      <c r="D439" s="24">
        <f>IF($B439="","",IFERROR(IF(VLOOKUP($B439,AcctTbl,3,0)="",IF(VLOOKUP($B439,AcctTbl,2,0)="","—",VLOOKUP($B439,AcctTbl,2,0)),VLOOKUP($B439,AcctTbl,3,0)),"—"))</f>
        <v/>
      </c>
      <c r="E439" s="34">
        <f>IF($B439="","",COUNTIFS(CalcParty,$B439,CalcGroup,"خرید"))</f>
        <v/>
      </c>
      <c r="F439" s="25">
        <f>IF($B439="","",SUMIFS(CalcScale,CalcParty,$B439,CalcGroup,"خرید"))</f>
        <v/>
      </c>
      <c r="G439" s="25">
        <f>IF($B439="","",SUMIFS(CalcBaskets,CalcParty,$B439,CalcGroup,"خرید"))</f>
        <v/>
      </c>
      <c r="H439" s="26">
        <f>IF($B439="","",SUMIFS(CalcNet,CalcParty,$B439,CalcGroup,"خرید"))</f>
        <v/>
      </c>
      <c r="I439" s="24">
        <f>IF($B439="","",IFERROR(IF(VLOOKUP($B439,AcctTbl,5,0)="","—",VLOOKUP($B439,AcctTbl,5,0)),"—"))</f>
        <v/>
      </c>
      <c r="J439" s="24">
        <f>IF($B439="","",IFERROR(IF(VLOOKUP($B439,AcctTbl,6,0)="","—",VLOOKUP($B439,AcctTbl,6,0)),"—"))</f>
        <v/>
      </c>
      <c r="K439" s="35">
        <f>IF(OR($B439="",$H$570=0),"",$H439/$H$570)</f>
        <v/>
      </c>
    </row>
    <row r="440">
      <c r="A440" s="17">
        <f>IF(ROW()-9&gt;NAcctAll,"",ROW()-9)</f>
        <v/>
      </c>
      <c r="B440" s="30">
        <f>IF($A440="","",IF($A440&lt;=NAcctAll,INDEX(PkAcctAll,$A440),""))</f>
        <v/>
      </c>
      <c r="C440" s="22">
        <f>IF($B440="","",IFERROR(IF(VLOOKUP($B440,AcctTbl,4,0)="","(بدون نام)",VLOOKUP($B440,AcctTbl,4,0)),"—"))</f>
        <v/>
      </c>
      <c r="D440" s="18">
        <f>IF($B440="","",IFERROR(IF(VLOOKUP($B440,AcctTbl,3,0)="",IF(VLOOKUP($B440,AcctTbl,2,0)="","—",VLOOKUP($B440,AcctTbl,2,0)),VLOOKUP($B440,AcctTbl,3,0)),"—"))</f>
        <v/>
      </c>
      <c r="E440" s="31">
        <f>IF($B440="","",COUNTIFS(CalcParty,$B440,CalcGroup,"خرید"))</f>
        <v/>
      </c>
      <c r="F440" s="19">
        <f>IF($B440="","",SUMIFS(CalcScale,CalcParty,$B440,CalcGroup,"خرید"))</f>
        <v/>
      </c>
      <c r="G440" s="19">
        <f>IF($B440="","",SUMIFS(CalcBaskets,CalcParty,$B440,CalcGroup,"خرید"))</f>
        <v/>
      </c>
      <c r="H440" s="20">
        <f>IF($B440="","",SUMIFS(CalcNet,CalcParty,$B440,CalcGroup,"خرید"))</f>
        <v/>
      </c>
      <c r="I440" s="18">
        <f>IF($B440="","",IFERROR(IF(VLOOKUP($B440,AcctTbl,5,0)="","—",VLOOKUP($B440,AcctTbl,5,0)),"—"))</f>
        <v/>
      </c>
      <c r="J440" s="18">
        <f>IF($B440="","",IFERROR(IF(VLOOKUP($B440,AcctTbl,6,0)="","—",VLOOKUP($B440,AcctTbl,6,0)),"—"))</f>
        <v/>
      </c>
      <c r="K440" s="32">
        <f>IF(OR($B440="",$H$570=0),"",$H440/$H$570)</f>
        <v/>
      </c>
    </row>
    <row r="441">
      <c r="A441" s="23">
        <f>IF(ROW()-9&gt;NAcctAll,"",ROW()-9)</f>
        <v/>
      </c>
      <c r="B441" s="33">
        <f>IF($A441="","",IF($A441&lt;=NAcctAll,INDEX(PkAcctAll,$A441),""))</f>
        <v/>
      </c>
      <c r="C441" s="28">
        <f>IF($B441="","",IFERROR(IF(VLOOKUP($B441,AcctTbl,4,0)="","(بدون نام)",VLOOKUP($B441,AcctTbl,4,0)),"—"))</f>
        <v/>
      </c>
      <c r="D441" s="24">
        <f>IF($B441="","",IFERROR(IF(VLOOKUP($B441,AcctTbl,3,0)="",IF(VLOOKUP($B441,AcctTbl,2,0)="","—",VLOOKUP($B441,AcctTbl,2,0)),VLOOKUP($B441,AcctTbl,3,0)),"—"))</f>
        <v/>
      </c>
      <c r="E441" s="34">
        <f>IF($B441="","",COUNTIFS(CalcParty,$B441,CalcGroup,"خرید"))</f>
        <v/>
      </c>
      <c r="F441" s="25">
        <f>IF($B441="","",SUMIFS(CalcScale,CalcParty,$B441,CalcGroup,"خرید"))</f>
        <v/>
      </c>
      <c r="G441" s="25">
        <f>IF($B441="","",SUMIFS(CalcBaskets,CalcParty,$B441,CalcGroup,"خرید"))</f>
        <v/>
      </c>
      <c r="H441" s="26">
        <f>IF($B441="","",SUMIFS(CalcNet,CalcParty,$B441,CalcGroup,"خرید"))</f>
        <v/>
      </c>
      <c r="I441" s="24">
        <f>IF($B441="","",IFERROR(IF(VLOOKUP($B441,AcctTbl,5,0)="","—",VLOOKUP($B441,AcctTbl,5,0)),"—"))</f>
        <v/>
      </c>
      <c r="J441" s="24">
        <f>IF($B441="","",IFERROR(IF(VLOOKUP($B441,AcctTbl,6,0)="","—",VLOOKUP($B441,AcctTbl,6,0)),"—"))</f>
        <v/>
      </c>
      <c r="K441" s="35">
        <f>IF(OR($B441="",$H$570=0),"",$H441/$H$570)</f>
        <v/>
      </c>
    </row>
    <row r="442">
      <c r="A442" s="17">
        <f>IF(ROW()-9&gt;NAcctAll,"",ROW()-9)</f>
        <v/>
      </c>
      <c r="B442" s="30">
        <f>IF($A442="","",IF($A442&lt;=NAcctAll,INDEX(PkAcctAll,$A442),""))</f>
        <v/>
      </c>
      <c r="C442" s="22">
        <f>IF($B442="","",IFERROR(IF(VLOOKUP($B442,AcctTbl,4,0)="","(بدون نام)",VLOOKUP($B442,AcctTbl,4,0)),"—"))</f>
        <v/>
      </c>
      <c r="D442" s="18">
        <f>IF($B442="","",IFERROR(IF(VLOOKUP($B442,AcctTbl,3,0)="",IF(VLOOKUP($B442,AcctTbl,2,0)="","—",VLOOKUP($B442,AcctTbl,2,0)),VLOOKUP($B442,AcctTbl,3,0)),"—"))</f>
        <v/>
      </c>
      <c r="E442" s="31">
        <f>IF($B442="","",COUNTIFS(CalcParty,$B442,CalcGroup,"خرید"))</f>
        <v/>
      </c>
      <c r="F442" s="19">
        <f>IF($B442="","",SUMIFS(CalcScale,CalcParty,$B442,CalcGroup,"خرید"))</f>
        <v/>
      </c>
      <c r="G442" s="19">
        <f>IF($B442="","",SUMIFS(CalcBaskets,CalcParty,$B442,CalcGroup,"خرید"))</f>
        <v/>
      </c>
      <c r="H442" s="20">
        <f>IF($B442="","",SUMIFS(CalcNet,CalcParty,$B442,CalcGroup,"خرید"))</f>
        <v/>
      </c>
      <c r="I442" s="18">
        <f>IF($B442="","",IFERROR(IF(VLOOKUP($B442,AcctTbl,5,0)="","—",VLOOKUP($B442,AcctTbl,5,0)),"—"))</f>
        <v/>
      </c>
      <c r="J442" s="18">
        <f>IF($B442="","",IFERROR(IF(VLOOKUP($B442,AcctTbl,6,0)="","—",VLOOKUP($B442,AcctTbl,6,0)),"—"))</f>
        <v/>
      </c>
      <c r="K442" s="32">
        <f>IF(OR($B442="",$H$570=0),"",$H442/$H$570)</f>
        <v/>
      </c>
    </row>
    <row r="443">
      <c r="A443" s="23">
        <f>IF(ROW()-9&gt;NAcctAll,"",ROW()-9)</f>
        <v/>
      </c>
      <c r="B443" s="33">
        <f>IF($A443="","",IF($A443&lt;=NAcctAll,INDEX(PkAcctAll,$A443),""))</f>
        <v/>
      </c>
      <c r="C443" s="28">
        <f>IF($B443="","",IFERROR(IF(VLOOKUP($B443,AcctTbl,4,0)="","(بدون نام)",VLOOKUP($B443,AcctTbl,4,0)),"—"))</f>
        <v/>
      </c>
      <c r="D443" s="24">
        <f>IF($B443="","",IFERROR(IF(VLOOKUP($B443,AcctTbl,3,0)="",IF(VLOOKUP($B443,AcctTbl,2,0)="","—",VLOOKUP($B443,AcctTbl,2,0)),VLOOKUP($B443,AcctTbl,3,0)),"—"))</f>
        <v/>
      </c>
      <c r="E443" s="34">
        <f>IF($B443="","",COUNTIFS(CalcParty,$B443,CalcGroup,"خرید"))</f>
        <v/>
      </c>
      <c r="F443" s="25">
        <f>IF($B443="","",SUMIFS(CalcScale,CalcParty,$B443,CalcGroup,"خرید"))</f>
        <v/>
      </c>
      <c r="G443" s="25">
        <f>IF($B443="","",SUMIFS(CalcBaskets,CalcParty,$B443,CalcGroup,"خرید"))</f>
        <v/>
      </c>
      <c r="H443" s="26">
        <f>IF($B443="","",SUMIFS(CalcNet,CalcParty,$B443,CalcGroup,"خرید"))</f>
        <v/>
      </c>
      <c r="I443" s="24">
        <f>IF($B443="","",IFERROR(IF(VLOOKUP($B443,AcctTbl,5,0)="","—",VLOOKUP($B443,AcctTbl,5,0)),"—"))</f>
        <v/>
      </c>
      <c r="J443" s="24">
        <f>IF($B443="","",IFERROR(IF(VLOOKUP($B443,AcctTbl,6,0)="","—",VLOOKUP($B443,AcctTbl,6,0)),"—"))</f>
        <v/>
      </c>
      <c r="K443" s="35">
        <f>IF(OR($B443="",$H$570=0),"",$H443/$H$570)</f>
        <v/>
      </c>
    </row>
    <row r="444">
      <c r="A444" s="17">
        <f>IF(ROW()-9&gt;NAcctAll,"",ROW()-9)</f>
        <v/>
      </c>
      <c r="B444" s="30">
        <f>IF($A444="","",IF($A444&lt;=NAcctAll,INDEX(PkAcctAll,$A444),""))</f>
        <v/>
      </c>
      <c r="C444" s="22">
        <f>IF($B444="","",IFERROR(IF(VLOOKUP($B444,AcctTbl,4,0)="","(بدون نام)",VLOOKUP($B444,AcctTbl,4,0)),"—"))</f>
        <v/>
      </c>
      <c r="D444" s="18">
        <f>IF($B444="","",IFERROR(IF(VLOOKUP($B444,AcctTbl,3,0)="",IF(VLOOKUP($B444,AcctTbl,2,0)="","—",VLOOKUP($B444,AcctTbl,2,0)),VLOOKUP($B444,AcctTbl,3,0)),"—"))</f>
        <v/>
      </c>
      <c r="E444" s="31">
        <f>IF($B444="","",COUNTIFS(CalcParty,$B444,CalcGroup,"خرید"))</f>
        <v/>
      </c>
      <c r="F444" s="19">
        <f>IF($B444="","",SUMIFS(CalcScale,CalcParty,$B444,CalcGroup,"خرید"))</f>
        <v/>
      </c>
      <c r="G444" s="19">
        <f>IF($B444="","",SUMIFS(CalcBaskets,CalcParty,$B444,CalcGroup,"خرید"))</f>
        <v/>
      </c>
      <c r="H444" s="20">
        <f>IF($B444="","",SUMIFS(CalcNet,CalcParty,$B444,CalcGroup,"خرید"))</f>
        <v/>
      </c>
      <c r="I444" s="18">
        <f>IF($B444="","",IFERROR(IF(VLOOKUP($B444,AcctTbl,5,0)="","—",VLOOKUP($B444,AcctTbl,5,0)),"—"))</f>
        <v/>
      </c>
      <c r="J444" s="18">
        <f>IF($B444="","",IFERROR(IF(VLOOKUP($B444,AcctTbl,6,0)="","—",VLOOKUP($B444,AcctTbl,6,0)),"—"))</f>
        <v/>
      </c>
      <c r="K444" s="32">
        <f>IF(OR($B444="",$H$570=0),"",$H444/$H$570)</f>
        <v/>
      </c>
    </row>
    <row r="445">
      <c r="A445" s="23">
        <f>IF(ROW()-9&gt;NAcctAll,"",ROW()-9)</f>
        <v/>
      </c>
      <c r="B445" s="33">
        <f>IF($A445="","",IF($A445&lt;=NAcctAll,INDEX(PkAcctAll,$A445),""))</f>
        <v/>
      </c>
      <c r="C445" s="28">
        <f>IF($B445="","",IFERROR(IF(VLOOKUP($B445,AcctTbl,4,0)="","(بدون نام)",VLOOKUP($B445,AcctTbl,4,0)),"—"))</f>
        <v/>
      </c>
      <c r="D445" s="24">
        <f>IF($B445="","",IFERROR(IF(VLOOKUP($B445,AcctTbl,3,0)="",IF(VLOOKUP($B445,AcctTbl,2,0)="","—",VLOOKUP($B445,AcctTbl,2,0)),VLOOKUP($B445,AcctTbl,3,0)),"—"))</f>
        <v/>
      </c>
      <c r="E445" s="34">
        <f>IF($B445="","",COUNTIFS(CalcParty,$B445,CalcGroup,"خرید"))</f>
        <v/>
      </c>
      <c r="F445" s="25">
        <f>IF($B445="","",SUMIFS(CalcScale,CalcParty,$B445,CalcGroup,"خرید"))</f>
        <v/>
      </c>
      <c r="G445" s="25">
        <f>IF($B445="","",SUMIFS(CalcBaskets,CalcParty,$B445,CalcGroup,"خرید"))</f>
        <v/>
      </c>
      <c r="H445" s="26">
        <f>IF($B445="","",SUMIFS(CalcNet,CalcParty,$B445,CalcGroup,"خرید"))</f>
        <v/>
      </c>
      <c r="I445" s="24">
        <f>IF($B445="","",IFERROR(IF(VLOOKUP($B445,AcctTbl,5,0)="","—",VLOOKUP($B445,AcctTbl,5,0)),"—"))</f>
        <v/>
      </c>
      <c r="J445" s="24">
        <f>IF($B445="","",IFERROR(IF(VLOOKUP($B445,AcctTbl,6,0)="","—",VLOOKUP($B445,AcctTbl,6,0)),"—"))</f>
        <v/>
      </c>
      <c r="K445" s="35">
        <f>IF(OR($B445="",$H$570=0),"",$H445/$H$570)</f>
        <v/>
      </c>
    </row>
    <row r="446">
      <c r="A446" s="17">
        <f>IF(ROW()-9&gt;NAcctAll,"",ROW()-9)</f>
        <v/>
      </c>
      <c r="B446" s="30">
        <f>IF($A446="","",IF($A446&lt;=NAcctAll,INDEX(PkAcctAll,$A446),""))</f>
        <v/>
      </c>
      <c r="C446" s="22">
        <f>IF($B446="","",IFERROR(IF(VLOOKUP($B446,AcctTbl,4,0)="","(بدون نام)",VLOOKUP($B446,AcctTbl,4,0)),"—"))</f>
        <v/>
      </c>
      <c r="D446" s="18">
        <f>IF($B446="","",IFERROR(IF(VLOOKUP($B446,AcctTbl,3,0)="",IF(VLOOKUP($B446,AcctTbl,2,0)="","—",VLOOKUP($B446,AcctTbl,2,0)),VLOOKUP($B446,AcctTbl,3,0)),"—"))</f>
        <v/>
      </c>
      <c r="E446" s="31">
        <f>IF($B446="","",COUNTIFS(CalcParty,$B446,CalcGroup,"خرید"))</f>
        <v/>
      </c>
      <c r="F446" s="19">
        <f>IF($B446="","",SUMIFS(CalcScale,CalcParty,$B446,CalcGroup,"خرید"))</f>
        <v/>
      </c>
      <c r="G446" s="19">
        <f>IF($B446="","",SUMIFS(CalcBaskets,CalcParty,$B446,CalcGroup,"خرید"))</f>
        <v/>
      </c>
      <c r="H446" s="20">
        <f>IF($B446="","",SUMIFS(CalcNet,CalcParty,$B446,CalcGroup,"خرید"))</f>
        <v/>
      </c>
      <c r="I446" s="18">
        <f>IF($B446="","",IFERROR(IF(VLOOKUP($B446,AcctTbl,5,0)="","—",VLOOKUP($B446,AcctTbl,5,0)),"—"))</f>
        <v/>
      </c>
      <c r="J446" s="18">
        <f>IF($B446="","",IFERROR(IF(VLOOKUP($B446,AcctTbl,6,0)="","—",VLOOKUP($B446,AcctTbl,6,0)),"—"))</f>
        <v/>
      </c>
      <c r="K446" s="32">
        <f>IF(OR($B446="",$H$570=0),"",$H446/$H$570)</f>
        <v/>
      </c>
    </row>
    <row r="447">
      <c r="A447" s="23">
        <f>IF(ROW()-9&gt;NAcctAll,"",ROW()-9)</f>
        <v/>
      </c>
      <c r="B447" s="33">
        <f>IF($A447="","",IF($A447&lt;=NAcctAll,INDEX(PkAcctAll,$A447),""))</f>
        <v/>
      </c>
      <c r="C447" s="28">
        <f>IF($B447="","",IFERROR(IF(VLOOKUP($B447,AcctTbl,4,0)="","(بدون نام)",VLOOKUP($B447,AcctTbl,4,0)),"—"))</f>
        <v/>
      </c>
      <c r="D447" s="24">
        <f>IF($B447="","",IFERROR(IF(VLOOKUP($B447,AcctTbl,3,0)="",IF(VLOOKUP($B447,AcctTbl,2,0)="","—",VLOOKUP($B447,AcctTbl,2,0)),VLOOKUP($B447,AcctTbl,3,0)),"—"))</f>
        <v/>
      </c>
      <c r="E447" s="34">
        <f>IF($B447="","",COUNTIFS(CalcParty,$B447,CalcGroup,"خرید"))</f>
        <v/>
      </c>
      <c r="F447" s="25">
        <f>IF($B447="","",SUMIFS(CalcScale,CalcParty,$B447,CalcGroup,"خرید"))</f>
        <v/>
      </c>
      <c r="G447" s="25">
        <f>IF($B447="","",SUMIFS(CalcBaskets,CalcParty,$B447,CalcGroup,"خرید"))</f>
        <v/>
      </c>
      <c r="H447" s="26">
        <f>IF($B447="","",SUMIFS(CalcNet,CalcParty,$B447,CalcGroup,"خرید"))</f>
        <v/>
      </c>
      <c r="I447" s="24">
        <f>IF($B447="","",IFERROR(IF(VLOOKUP($B447,AcctTbl,5,0)="","—",VLOOKUP($B447,AcctTbl,5,0)),"—"))</f>
        <v/>
      </c>
      <c r="J447" s="24">
        <f>IF($B447="","",IFERROR(IF(VLOOKUP($B447,AcctTbl,6,0)="","—",VLOOKUP($B447,AcctTbl,6,0)),"—"))</f>
        <v/>
      </c>
      <c r="K447" s="35">
        <f>IF(OR($B447="",$H$570=0),"",$H447/$H$570)</f>
        <v/>
      </c>
    </row>
    <row r="448">
      <c r="A448" s="17">
        <f>IF(ROW()-9&gt;NAcctAll,"",ROW()-9)</f>
        <v/>
      </c>
      <c r="B448" s="30">
        <f>IF($A448="","",IF($A448&lt;=NAcctAll,INDEX(PkAcctAll,$A448),""))</f>
        <v/>
      </c>
      <c r="C448" s="22">
        <f>IF($B448="","",IFERROR(IF(VLOOKUP($B448,AcctTbl,4,0)="","(بدون نام)",VLOOKUP($B448,AcctTbl,4,0)),"—"))</f>
        <v/>
      </c>
      <c r="D448" s="18">
        <f>IF($B448="","",IFERROR(IF(VLOOKUP($B448,AcctTbl,3,0)="",IF(VLOOKUP($B448,AcctTbl,2,0)="","—",VLOOKUP($B448,AcctTbl,2,0)),VLOOKUP($B448,AcctTbl,3,0)),"—"))</f>
        <v/>
      </c>
      <c r="E448" s="31">
        <f>IF($B448="","",COUNTIFS(CalcParty,$B448,CalcGroup,"خرید"))</f>
        <v/>
      </c>
      <c r="F448" s="19">
        <f>IF($B448="","",SUMIFS(CalcScale,CalcParty,$B448,CalcGroup,"خرید"))</f>
        <v/>
      </c>
      <c r="G448" s="19">
        <f>IF($B448="","",SUMIFS(CalcBaskets,CalcParty,$B448,CalcGroup,"خرید"))</f>
        <v/>
      </c>
      <c r="H448" s="20">
        <f>IF($B448="","",SUMIFS(CalcNet,CalcParty,$B448,CalcGroup,"خرید"))</f>
        <v/>
      </c>
      <c r="I448" s="18">
        <f>IF($B448="","",IFERROR(IF(VLOOKUP($B448,AcctTbl,5,0)="","—",VLOOKUP($B448,AcctTbl,5,0)),"—"))</f>
        <v/>
      </c>
      <c r="J448" s="18">
        <f>IF($B448="","",IFERROR(IF(VLOOKUP($B448,AcctTbl,6,0)="","—",VLOOKUP($B448,AcctTbl,6,0)),"—"))</f>
        <v/>
      </c>
      <c r="K448" s="32">
        <f>IF(OR($B448="",$H$570=0),"",$H448/$H$570)</f>
        <v/>
      </c>
    </row>
    <row r="449">
      <c r="A449" s="23">
        <f>IF(ROW()-9&gt;NAcctAll,"",ROW()-9)</f>
        <v/>
      </c>
      <c r="B449" s="33">
        <f>IF($A449="","",IF($A449&lt;=NAcctAll,INDEX(PkAcctAll,$A449),""))</f>
        <v/>
      </c>
      <c r="C449" s="28">
        <f>IF($B449="","",IFERROR(IF(VLOOKUP($B449,AcctTbl,4,0)="","(بدون نام)",VLOOKUP($B449,AcctTbl,4,0)),"—"))</f>
        <v/>
      </c>
      <c r="D449" s="24">
        <f>IF($B449="","",IFERROR(IF(VLOOKUP($B449,AcctTbl,3,0)="",IF(VLOOKUP($B449,AcctTbl,2,0)="","—",VLOOKUP($B449,AcctTbl,2,0)),VLOOKUP($B449,AcctTbl,3,0)),"—"))</f>
        <v/>
      </c>
      <c r="E449" s="34">
        <f>IF($B449="","",COUNTIFS(CalcParty,$B449,CalcGroup,"خرید"))</f>
        <v/>
      </c>
      <c r="F449" s="25">
        <f>IF($B449="","",SUMIFS(CalcScale,CalcParty,$B449,CalcGroup,"خرید"))</f>
        <v/>
      </c>
      <c r="G449" s="25">
        <f>IF($B449="","",SUMIFS(CalcBaskets,CalcParty,$B449,CalcGroup,"خرید"))</f>
        <v/>
      </c>
      <c r="H449" s="26">
        <f>IF($B449="","",SUMIFS(CalcNet,CalcParty,$B449,CalcGroup,"خرید"))</f>
        <v/>
      </c>
      <c r="I449" s="24">
        <f>IF($B449="","",IFERROR(IF(VLOOKUP($B449,AcctTbl,5,0)="","—",VLOOKUP($B449,AcctTbl,5,0)),"—"))</f>
        <v/>
      </c>
      <c r="J449" s="24">
        <f>IF($B449="","",IFERROR(IF(VLOOKUP($B449,AcctTbl,6,0)="","—",VLOOKUP($B449,AcctTbl,6,0)),"—"))</f>
        <v/>
      </c>
      <c r="K449" s="35">
        <f>IF(OR($B449="",$H$570=0),"",$H449/$H$570)</f>
        <v/>
      </c>
    </row>
    <row r="450">
      <c r="A450" s="17">
        <f>IF(ROW()-9&gt;NAcctAll,"",ROW()-9)</f>
        <v/>
      </c>
      <c r="B450" s="30">
        <f>IF($A450="","",IF($A450&lt;=NAcctAll,INDEX(PkAcctAll,$A450),""))</f>
        <v/>
      </c>
      <c r="C450" s="22">
        <f>IF($B450="","",IFERROR(IF(VLOOKUP($B450,AcctTbl,4,0)="","(بدون نام)",VLOOKUP($B450,AcctTbl,4,0)),"—"))</f>
        <v/>
      </c>
      <c r="D450" s="18">
        <f>IF($B450="","",IFERROR(IF(VLOOKUP($B450,AcctTbl,3,0)="",IF(VLOOKUP($B450,AcctTbl,2,0)="","—",VLOOKUP($B450,AcctTbl,2,0)),VLOOKUP($B450,AcctTbl,3,0)),"—"))</f>
        <v/>
      </c>
      <c r="E450" s="31">
        <f>IF($B450="","",COUNTIFS(CalcParty,$B450,CalcGroup,"خرید"))</f>
        <v/>
      </c>
      <c r="F450" s="19">
        <f>IF($B450="","",SUMIFS(CalcScale,CalcParty,$B450,CalcGroup,"خرید"))</f>
        <v/>
      </c>
      <c r="G450" s="19">
        <f>IF($B450="","",SUMIFS(CalcBaskets,CalcParty,$B450,CalcGroup,"خرید"))</f>
        <v/>
      </c>
      <c r="H450" s="20">
        <f>IF($B450="","",SUMIFS(CalcNet,CalcParty,$B450,CalcGroup,"خرید"))</f>
        <v/>
      </c>
      <c r="I450" s="18">
        <f>IF($B450="","",IFERROR(IF(VLOOKUP($B450,AcctTbl,5,0)="","—",VLOOKUP($B450,AcctTbl,5,0)),"—"))</f>
        <v/>
      </c>
      <c r="J450" s="18">
        <f>IF($B450="","",IFERROR(IF(VLOOKUP($B450,AcctTbl,6,0)="","—",VLOOKUP($B450,AcctTbl,6,0)),"—"))</f>
        <v/>
      </c>
      <c r="K450" s="32">
        <f>IF(OR($B450="",$H$570=0),"",$H450/$H$570)</f>
        <v/>
      </c>
    </row>
    <row r="451">
      <c r="A451" s="23">
        <f>IF(ROW()-9&gt;NAcctAll,"",ROW()-9)</f>
        <v/>
      </c>
      <c r="B451" s="33">
        <f>IF($A451="","",IF($A451&lt;=NAcctAll,INDEX(PkAcctAll,$A451),""))</f>
        <v/>
      </c>
      <c r="C451" s="28">
        <f>IF($B451="","",IFERROR(IF(VLOOKUP($B451,AcctTbl,4,0)="","(بدون نام)",VLOOKUP($B451,AcctTbl,4,0)),"—"))</f>
        <v/>
      </c>
      <c r="D451" s="24">
        <f>IF($B451="","",IFERROR(IF(VLOOKUP($B451,AcctTbl,3,0)="",IF(VLOOKUP($B451,AcctTbl,2,0)="","—",VLOOKUP($B451,AcctTbl,2,0)),VLOOKUP($B451,AcctTbl,3,0)),"—"))</f>
        <v/>
      </c>
      <c r="E451" s="34">
        <f>IF($B451="","",COUNTIFS(CalcParty,$B451,CalcGroup,"خرید"))</f>
        <v/>
      </c>
      <c r="F451" s="25">
        <f>IF($B451="","",SUMIFS(CalcScale,CalcParty,$B451,CalcGroup,"خرید"))</f>
        <v/>
      </c>
      <c r="G451" s="25">
        <f>IF($B451="","",SUMIFS(CalcBaskets,CalcParty,$B451,CalcGroup,"خرید"))</f>
        <v/>
      </c>
      <c r="H451" s="26">
        <f>IF($B451="","",SUMIFS(CalcNet,CalcParty,$B451,CalcGroup,"خرید"))</f>
        <v/>
      </c>
      <c r="I451" s="24">
        <f>IF($B451="","",IFERROR(IF(VLOOKUP($B451,AcctTbl,5,0)="","—",VLOOKUP($B451,AcctTbl,5,0)),"—"))</f>
        <v/>
      </c>
      <c r="J451" s="24">
        <f>IF($B451="","",IFERROR(IF(VLOOKUP($B451,AcctTbl,6,0)="","—",VLOOKUP($B451,AcctTbl,6,0)),"—"))</f>
        <v/>
      </c>
      <c r="K451" s="35">
        <f>IF(OR($B451="",$H$570=0),"",$H451/$H$570)</f>
        <v/>
      </c>
    </row>
    <row r="452">
      <c r="A452" s="17">
        <f>IF(ROW()-9&gt;NAcctAll,"",ROW()-9)</f>
        <v/>
      </c>
      <c r="B452" s="30">
        <f>IF($A452="","",IF($A452&lt;=NAcctAll,INDEX(PkAcctAll,$A452),""))</f>
        <v/>
      </c>
      <c r="C452" s="22">
        <f>IF($B452="","",IFERROR(IF(VLOOKUP($B452,AcctTbl,4,0)="","(بدون نام)",VLOOKUP($B452,AcctTbl,4,0)),"—"))</f>
        <v/>
      </c>
      <c r="D452" s="18">
        <f>IF($B452="","",IFERROR(IF(VLOOKUP($B452,AcctTbl,3,0)="",IF(VLOOKUP($B452,AcctTbl,2,0)="","—",VLOOKUP($B452,AcctTbl,2,0)),VLOOKUP($B452,AcctTbl,3,0)),"—"))</f>
        <v/>
      </c>
      <c r="E452" s="31">
        <f>IF($B452="","",COUNTIFS(CalcParty,$B452,CalcGroup,"خرید"))</f>
        <v/>
      </c>
      <c r="F452" s="19">
        <f>IF($B452="","",SUMIFS(CalcScale,CalcParty,$B452,CalcGroup,"خرید"))</f>
        <v/>
      </c>
      <c r="G452" s="19">
        <f>IF($B452="","",SUMIFS(CalcBaskets,CalcParty,$B452,CalcGroup,"خرید"))</f>
        <v/>
      </c>
      <c r="H452" s="20">
        <f>IF($B452="","",SUMIFS(CalcNet,CalcParty,$B452,CalcGroup,"خرید"))</f>
        <v/>
      </c>
      <c r="I452" s="18">
        <f>IF($B452="","",IFERROR(IF(VLOOKUP($B452,AcctTbl,5,0)="","—",VLOOKUP($B452,AcctTbl,5,0)),"—"))</f>
        <v/>
      </c>
      <c r="J452" s="18">
        <f>IF($B452="","",IFERROR(IF(VLOOKUP($B452,AcctTbl,6,0)="","—",VLOOKUP($B452,AcctTbl,6,0)),"—"))</f>
        <v/>
      </c>
      <c r="K452" s="32">
        <f>IF(OR($B452="",$H$570=0),"",$H452/$H$570)</f>
        <v/>
      </c>
    </row>
    <row r="453">
      <c r="A453" s="23">
        <f>IF(ROW()-9&gt;NAcctAll,"",ROW()-9)</f>
        <v/>
      </c>
      <c r="B453" s="33">
        <f>IF($A453="","",IF($A453&lt;=NAcctAll,INDEX(PkAcctAll,$A453),""))</f>
        <v/>
      </c>
      <c r="C453" s="28">
        <f>IF($B453="","",IFERROR(IF(VLOOKUP($B453,AcctTbl,4,0)="","(بدون نام)",VLOOKUP($B453,AcctTbl,4,0)),"—"))</f>
        <v/>
      </c>
      <c r="D453" s="24">
        <f>IF($B453="","",IFERROR(IF(VLOOKUP($B453,AcctTbl,3,0)="",IF(VLOOKUP($B453,AcctTbl,2,0)="","—",VLOOKUP($B453,AcctTbl,2,0)),VLOOKUP($B453,AcctTbl,3,0)),"—"))</f>
        <v/>
      </c>
      <c r="E453" s="34">
        <f>IF($B453="","",COUNTIFS(CalcParty,$B453,CalcGroup,"خرید"))</f>
        <v/>
      </c>
      <c r="F453" s="25">
        <f>IF($B453="","",SUMIFS(CalcScale,CalcParty,$B453,CalcGroup,"خرید"))</f>
        <v/>
      </c>
      <c r="G453" s="25">
        <f>IF($B453="","",SUMIFS(CalcBaskets,CalcParty,$B453,CalcGroup,"خرید"))</f>
        <v/>
      </c>
      <c r="H453" s="26">
        <f>IF($B453="","",SUMIFS(CalcNet,CalcParty,$B453,CalcGroup,"خرید"))</f>
        <v/>
      </c>
      <c r="I453" s="24">
        <f>IF($B453="","",IFERROR(IF(VLOOKUP($B453,AcctTbl,5,0)="","—",VLOOKUP($B453,AcctTbl,5,0)),"—"))</f>
        <v/>
      </c>
      <c r="J453" s="24">
        <f>IF($B453="","",IFERROR(IF(VLOOKUP($B453,AcctTbl,6,0)="","—",VLOOKUP($B453,AcctTbl,6,0)),"—"))</f>
        <v/>
      </c>
      <c r="K453" s="35">
        <f>IF(OR($B453="",$H$570=0),"",$H453/$H$570)</f>
        <v/>
      </c>
    </row>
    <row r="454">
      <c r="A454" s="17">
        <f>IF(ROW()-9&gt;NAcctAll,"",ROW()-9)</f>
        <v/>
      </c>
      <c r="B454" s="30">
        <f>IF($A454="","",IF($A454&lt;=NAcctAll,INDEX(PkAcctAll,$A454),""))</f>
        <v/>
      </c>
      <c r="C454" s="22">
        <f>IF($B454="","",IFERROR(IF(VLOOKUP($B454,AcctTbl,4,0)="","(بدون نام)",VLOOKUP($B454,AcctTbl,4,0)),"—"))</f>
        <v/>
      </c>
      <c r="D454" s="18">
        <f>IF($B454="","",IFERROR(IF(VLOOKUP($B454,AcctTbl,3,0)="",IF(VLOOKUP($B454,AcctTbl,2,0)="","—",VLOOKUP($B454,AcctTbl,2,0)),VLOOKUP($B454,AcctTbl,3,0)),"—"))</f>
        <v/>
      </c>
      <c r="E454" s="31">
        <f>IF($B454="","",COUNTIFS(CalcParty,$B454,CalcGroup,"خرید"))</f>
        <v/>
      </c>
      <c r="F454" s="19">
        <f>IF($B454="","",SUMIFS(CalcScale,CalcParty,$B454,CalcGroup,"خرید"))</f>
        <v/>
      </c>
      <c r="G454" s="19">
        <f>IF($B454="","",SUMIFS(CalcBaskets,CalcParty,$B454,CalcGroup,"خرید"))</f>
        <v/>
      </c>
      <c r="H454" s="20">
        <f>IF($B454="","",SUMIFS(CalcNet,CalcParty,$B454,CalcGroup,"خرید"))</f>
        <v/>
      </c>
      <c r="I454" s="18">
        <f>IF($B454="","",IFERROR(IF(VLOOKUP($B454,AcctTbl,5,0)="","—",VLOOKUP($B454,AcctTbl,5,0)),"—"))</f>
        <v/>
      </c>
      <c r="J454" s="18">
        <f>IF($B454="","",IFERROR(IF(VLOOKUP($B454,AcctTbl,6,0)="","—",VLOOKUP($B454,AcctTbl,6,0)),"—"))</f>
        <v/>
      </c>
      <c r="K454" s="32">
        <f>IF(OR($B454="",$H$570=0),"",$H454/$H$570)</f>
        <v/>
      </c>
    </row>
    <row r="455">
      <c r="A455" s="23">
        <f>IF(ROW()-9&gt;NAcctAll,"",ROW()-9)</f>
        <v/>
      </c>
      <c r="B455" s="33">
        <f>IF($A455="","",IF($A455&lt;=NAcctAll,INDEX(PkAcctAll,$A455),""))</f>
        <v/>
      </c>
      <c r="C455" s="28">
        <f>IF($B455="","",IFERROR(IF(VLOOKUP($B455,AcctTbl,4,0)="","(بدون نام)",VLOOKUP($B455,AcctTbl,4,0)),"—"))</f>
        <v/>
      </c>
      <c r="D455" s="24">
        <f>IF($B455="","",IFERROR(IF(VLOOKUP($B455,AcctTbl,3,0)="",IF(VLOOKUP($B455,AcctTbl,2,0)="","—",VLOOKUP($B455,AcctTbl,2,0)),VLOOKUP($B455,AcctTbl,3,0)),"—"))</f>
        <v/>
      </c>
      <c r="E455" s="34">
        <f>IF($B455="","",COUNTIFS(CalcParty,$B455,CalcGroup,"خرید"))</f>
        <v/>
      </c>
      <c r="F455" s="25">
        <f>IF($B455="","",SUMIFS(CalcScale,CalcParty,$B455,CalcGroup,"خرید"))</f>
        <v/>
      </c>
      <c r="G455" s="25">
        <f>IF($B455="","",SUMIFS(CalcBaskets,CalcParty,$B455,CalcGroup,"خرید"))</f>
        <v/>
      </c>
      <c r="H455" s="26">
        <f>IF($B455="","",SUMIFS(CalcNet,CalcParty,$B455,CalcGroup,"خرید"))</f>
        <v/>
      </c>
      <c r="I455" s="24">
        <f>IF($B455="","",IFERROR(IF(VLOOKUP($B455,AcctTbl,5,0)="","—",VLOOKUP($B455,AcctTbl,5,0)),"—"))</f>
        <v/>
      </c>
      <c r="J455" s="24">
        <f>IF($B455="","",IFERROR(IF(VLOOKUP($B455,AcctTbl,6,0)="","—",VLOOKUP($B455,AcctTbl,6,0)),"—"))</f>
        <v/>
      </c>
      <c r="K455" s="35">
        <f>IF(OR($B455="",$H$570=0),"",$H455/$H$570)</f>
        <v/>
      </c>
    </row>
    <row r="456">
      <c r="A456" s="17">
        <f>IF(ROW()-9&gt;NAcctAll,"",ROW()-9)</f>
        <v/>
      </c>
      <c r="B456" s="30">
        <f>IF($A456="","",IF($A456&lt;=NAcctAll,INDEX(PkAcctAll,$A456),""))</f>
        <v/>
      </c>
      <c r="C456" s="22">
        <f>IF($B456="","",IFERROR(IF(VLOOKUP($B456,AcctTbl,4,0)="","(بدون نام)",VLOOKUP($B456,AcctTbl,4,0)),"—"))</f>
        <v/>
      </c>
      <c r="D456" s="18">
        <f>IF($B456="","",IFERROR(IF(VLOOKUP($B456,AcctTbl,3,0)="",IF(VLOOKUP($B456,AcctTbl,2,0)="","—",VLOOKUP($B456,AcctTbl,2,0)),VLOOKUP($B456,AcctTbl,3,0)),"—"))</f>
        <v/>
      </c>
      <c r="E456" s="31">
        <f>IF($B456="","",COUNTIFS(CalcParty,$B456,CalcGroup,"خرید"))</f>
        <v/>
      </c>
      <c r="F456" s="19">
        <f>IF($B456="","",SUMIFS(CalcScale,CalcParty,$B456,CalcGroup,"خرید"))</f>
        <v/>
      </c>
      <c r="G456" s="19">
        <f>IF($B456="","",SUMIFS(CalcBaskets,CalcParty,$B456,CalcGroup,"خرید"))</f>
        <v/>
      </c>
      <c r="H456" s="20">
        <f>IF($B456="","",SUMIFS(CalcNet,CalcParty,$B456,CalcGroup,"خرید"))</f>
        <v/>
      </c>
      <c r="I456" s="18">
        <f>IF($B456="","",IFERROR(IF(VLOOKUP($B456,AcctTbl,5,0)="","—",VLOOKUP($B456,AcctTbl,5,0)),"—"))</f>
        <v/>
      </c>
      <c r="J456" s="18">
        <f>IF($B456="","",IFERROR(IF(VLOOKUP($B456,AcctTbl,6,0)="","—",VLOOKUP($B456,AcctTbl,6,0)),"—"))</f>
        <v/>
      </c>
      <c r="K456" s="32">
        <f>IF(OR($B456="",$H$570=0),"",$H456/$H$570)</f>
        <v/>
      </c>
    </row>
    <row r="457">
      <c r="A457" s="23">
        <f>IF(ROW()-9&gt;NAcctAll,"",ROW()-9)</f>
        <v/>
      </c>
      <c r="B457" s="33">
        <f>IF($A457="","",IF($A457&lt;=NAcctAll,INDEX(PkAcctAll,$A457),""))</f>
        <v/>
      </c>
      <c r="C457" s="28">
        <f>IF($B457="","",IFERROR(IF(VLOOKUP($B457,AcctTbl,4,0)="","(بدون نام)",VLOOKUP($B457,AcctTbl,4,0)),"—"))</f>
        <v/>
      </c>
      <c r="D457" s="24">
        <f>IF($B457="","",IFERROR(IF(VLOOKUP($B457,AcctTbl,3,0)="",IF(VLOOKUP($B457,AcctTbl,2,0)="","—",VLOOKUP($B457,AcctTbl,2,0)),VLOOKUP($B457,AcctTbl,3,0)),"—"))</f>
        <v/>
      </c>
      <c r="E457" s="34">
        <f>IF($B457="","",COUNTIFS(CalcParty,$B457,CalcGroup,"خرید"))</f>
        <v/>
      </c>
      <c r="F457" s="25">
        <f>IF($B457="","",SUMIFS(CalcScale,CalcParty,$B457,CalcGroup,"خرید"))</f>
        <v/>
      </c>
      <c r="G457" s="25">
        <f>IF($B457="","",SUMIFS(CalcBaskets,CalcParty,$B457,CalcGroup,"خرید"))</f>
        <v/>
      </c>
      <c r="H457" s="26">
        <f>IF($B457="","",SUMIFS(CalcNet,CalcParty,$B457,CalcGroup,"خرید"))</f>
        <v/>
      </c>
      <c r="I457" s="24">
        <f>IF($B457="","",IFERROR(IF(VLOOKUP($B457,AcctTbl,5,0)="","—",VLOOKUP($B457,AcctTbl,5,0)),"—"))</f>
        <v/>
      </c>
      <c r="J457" s="24">
        <f>IF($B457="","",IFERROR(IF(VLOOKUP($B457,AcctTbl,6,0)="","—",VLOOKUP($B457,AcctTbl,6,0)),"—"))</f>
        <v/>
      </c>
      <c r="K457" s="35">
        <f>IF(OR($B457="",$H$570=0),"",$H457/$H$570)</f>
        <v/>
      </c>
    </row>
    <row r="458">
      <c r="A458" s="17">
        <f>IF(ROW()-9&gt;NAcctAll,"",ROW()-9)</f>
        <v/>
      </c>
      <c r="B458" s="30">
        <f>IF($A458="","",IF($A458&lt;=NAcctAll,INDEX(PkAcctAll,$A458),""))</f>
        <v/>
      </c>
      <c r="C458" s="22">
        <f>IF($B458="","",IFERROR(IF(VLOOKUP($B458,AcctTbl,4,0)="","(بدون نام)",VLOOKUP($B458,AcctTbl,4,0)),"—"))</f>
        <v/>
      </c>
      <c r="D458" s="18">
        <f>IF($B458="","",IFERROR(IF(VLOOKUP($B458,AcctTbl,3,0)="",IF(VLOOKUP($B458,AcctTbl,2,0)="","—",VLOOKUP($B458,AcctTbl,2,0)),VLOOKUP($B458,AcctTbl,3,0)),"—"))</f>
        <v/>
      </c>
      <c r="E458" s="31">
        <f>IF($B458="","",COUNTIFS(CalcParty,$B458,CalcGroup,"خرید"))</f>
        <v/>
      </c>
      <c r="F458" s="19">
        <f>IF($B458="","",SUMIFS(CalcScale,CalcParty,$B458,CalcGroup,"خرید"))</f>
        <v/>
      </c>
      <c r="G458" s="19">
        <f>IF($B458="","",SUMIFS(CalcBaskets,CalcParty,$B458,CalcGroup,"خرید"))</f>
        <v/>
      </c>
      <c r="H458" s="20">
        <f>IF($B458="","",SUMIFS(CalcNet,CalcParty,$B458,CalcGroup,"خرید"))</f>
        <v/>
      </c>
      <c r="I458" s="18">
        <f>IF($B458="","",IFERROR(IF(VLOOKUP($B458,AcctTbl,5,0)="","—",VLOOKUP($B458,AcctTbl,5,0)),"—"))</f>
        <v/>
      </c>
      <c r="J458" s="18">
        <f>IF($B458="","",IFERROR(IF(VLOOKUP($B458,AcctTbl,6,0)="","—",VLOOKUP($B458,AcctTbl,6,0)),"—"))</f>
        <v/>
      </c>
      <c r="K458" s="32">
        <f>IF(OR($B458="",$H$570=0),"",$H458/$H$570)</f>
        <v/>
      </c>
    </row>
    <row r="459">
      <c r="A459" s="23">
        <f>IF(ROW()-9&gt;NAcctAll,"",ROW()-9)</f>
        <v/>
      </c>
      <c r="B459" s="33">
        <f>IF($A459="","",IF($A459&lt;=NAcctAll,INDEX(PkAcctAll,$A459),""))</f>
        <v/>
      </c>
      <c r="C459" s="28">
        <f>IF($B459="","",IFERROR(IF(VLOOKUP($B459,AcctTbl,4,0)="","(بدون نام)",VLOOKUP($B459,AcctTbl,4,0)),"—"))</f>
        <v/>
      </c>
      <c r="D459" s="24">
        <f>IF($B459="","",IFERROR(IF(VLOOKUP($B459,AcctTbl,3,0)="",IF(VLOOKUP($B459,AcctTbl,2,0)="","—",VLOOKUP($B459,AcctTbl,2,0)),VLOOKUP($B459,AcctTbl,3,0)),"—"))</f>
        <v/>
      </c>
      <c r="E459" s="34">
        <f>IF($B459="","",COUNTIFS(CalcParty,$B459,CalcGroup,"خرید"))</f>
        <v/>
      </c>
      <c r="F459" s="25">
        <f>IF($B459="","",SUMIFS(CalcScale,CalcParty,$B459,CalcGroup,"خرید"))</f>
        <v/>
      </c>
      <c r="G459" s="25">
        <f>IF($B459="","",SUMIFS(CalcBaskets,CalcParty,$B459,CalcGroup,"خرید"))</f>
        <v/>
      </c>
      <c r="H459" s="26">
        <f>IF($B459="","",SUMIFS(CalcNet,CalcParty,$B459,CalcGroup,"خرید"))</f>
        <v/>
      </c>
      <c r="I459" s="24">
        <f>IF($B459="","",IFERROR(IF(VLOOKUP($B459,AcctTbl,5,0)="","—",VLOOKUP($B459,AcctTbl,5,0)),"—"))</f>
        <v/>
      </c>
      <c r="J459" s="24">
        <f>IF($B459="","",IFERROR(IF(VLOOKUP($B459,AcctTbl,6,0)="","—",VLOOKUP($B459,AcctTbl,6,0)),"—"))</f>
        <v/>
      </c>
      <c r="K459" s="35">
        <f>IF(OR($B459="",$H$570=0),"",$H459/$H$570)</f>
        <v/>
      </c>
    </row>
    <row r="460">
      <c r="A460" s="17">
        <f>IF(ROW()-9&gt;NAcctAll,"",ROW()-9)</f>
        <v/>
      </c>
      <c r="B460" s="30">
        <f>IF($A460="","",IF($A460&lt;=NAcctAll,INDEX(PkAcctAll,$A460),""))</f>
        <v/>
      </c>
      <c r="C460" s="22">
        <f>IF($B460="","",IFERROR(IF(VLOOKUP($B460,AcctTbl,4,0)="","(بدون نام)",VLOOKUP($B460,AcctTbl,4,0)),"—"))</f>
        <v/>
      </c>
      <c r="D460" s="18">
        <f>IF($B460="","",IFERROR(IF(VLOOKUP($B460,AcctTbl,3,0)="",IF(VLOOKUP($B460,AcctTbl,2,0)="","—",VLOOKUP($B460,AcctTbl,2,0)),VLOOKUP($B460,AcctTbl,3,0)),"—"))</f>
        <v/>
      </c>
      <c r="E460" s="31">
        <f>IF($B460="","",COUNTIFS(CalcParty,$B460,CalcGroup,"خرید"))</f>
        <v/>
      </c>
      <c r="F460" s="19">
        <f>IF($B460="","",SUMIFS(CalcScale,CalcParty,$B460,CalcGroup,"خرید"))</f>
        <v/>
      </c>
      <c r="G460" s="19">
        <f>IF($B460="","",SUMIFS(CalcBaskets,CalcParty,$B460,CalcGroup,"خرید"))</f>
        <v/>
      </c>
      <c r="H460" s="20">
        <f>IF($B460="","",SUMIFS(CalcNet,CalcParty,$B460,CalcGroup,"خرید"))</f>
        <v/>
      </c>
      <c r="I460" s="18">
        <f>IF($B460="","",IFERROR(IF(VLOOKUP($B460,AcctTbl,5,0)="","—",VLOOKUP($B460,AcctTbl,5,0)),"—"))</f>
        <v/>
      </c>
      <c r="J460" s="18">
        <f>IF($B460="","",IFERROR(IF(VLOOKUP($B460,AcctTbl,6,0)="","—",VLOOKUP($B460,AcctTbl,6,0)),"—"))</f>
        <v/>
      </c>
      <c r="K460" s="32">
        <f>IF(OR($B460="",$H$570=0),"",$H460/$H$570)</f>
        <v/>
      </c>
    </row>
    <row r="461">
      <c r="A461" s="23">
        <f>IF(ROW()-9&gt;NAcctAll,"",ROW()-9)</f>
        <v/>
      </c>
      <c r="B461" s="33">
        <f>IF($A461="","",IF($A461&lt;=NAcctAll,INDEX(PkAcctAll,$A461),""))</f>
        <v/>
      </c>
      <c r="C461" s="28">
        <f>IF($B461="","",IFERROR(IF(VLOOKUP($B461,AcctTbl,4,0)="","(بدون نام)",VLOOKUP($B461,AcctTbl,4,0)),"—"))</f>
        <v/>
      </c>
      <c r="D461" s="24">
        <f>IF($B461="","",IFERROR(IF(VLOOKUP($B461,AcctTbl,3,0)="",IF(VLOOKUP($B461,AcctTbl,2,0)="","—",VLOOKUP($B461,AcctTbl,2,0)),VLOOKUP($B461,AcctTbl,3,0)),"—"))</f>
        <v/>
      </c>
      <c r="E461" s="34">
        <f>IF($B461="","",COUNTIFS(CalcParty,$B461,CalcGroup,"خرید"))</f>
        <v/>
      </c>
      <c r="F461" s="25">
        <f>IF($B461="","",SUMIFS(CalcScale,CalcParty,$B461,CalcGroup,"خرید"))</f>
        <v/>
      </c>
      <c r="G461" s="25">
        <f>IF($B461="","",SUMIFS(CalcBaskets,CalcParty,$B461,CalcGroup,"خرید"))</f>
        <v/>
      </c>
      <c r="H461" s="26">
        <f>IF($B461="","",SUMIFS(CalcNet,CalcParty,$B461,CalcGroup,"خرید"))</f>
        <v/>
      </c>
      <c r="I461" s="24">
        <f>IF($B461="","",IFERROR(IF(VLOOKUP($B461,AcctTbl,5,0)="","—",VLOOKUP($B461,AcctTbl,5,0)),"—"))</f>
        <v/>
      </c>
      <c r="J461" s="24">
        <f>IF($B461="","",IFERROR(IF(VLOOKUP($B461,AcctTbl,6,0)="","—",VLOOKUP($B461,AcctTbl,6,0)),"—"))</f>
        <v/>
      </c>
      <c r="K461" s="35">
        <f>IF(OR($B461="",$H$570=0),"",$H461/$H$570)</f>
        <v/>
      </c>
    </row>
    <row r="462">
      <c r="A462" s="17">
        <f>IF(ROW()-9&gt;NAcctAll,"",ROW()-9)</f>
        <v/>
      </c>
      <c r="B462" s="30">
        <f>IF($A462="","",IF($A462&lt;=NAcctAll,INDEX(PkAcctAll,$A462),""))</f>
        <v/>
      </c>
      <c r="C462" s="22">
        <f>IF($B462="","",IFERROR(IF(VLOOKUP($B462,AcctTbl,4,0)="","(بدون نام)",VLOOKUP($B462,AcctTbl,4,0)),"—"))</f>
        <v/>
      </c>
      <c r="D462" s="18">
        <f>IF($B462="","",IFERROR(IF(VLOOKUP($B462,AcctTbl,3,0)="",IF(VLOOKUP($B462,AcctTbl,2,0)="","—",VLOOKUP($B462,AcctTbl,2,0)),VLOOKUP($B462,AcctTbl,3,0)),"—"))</f>
        <v/>
      </c>
      <c r="E462" s="31">
        <f>IF($B462="","",COUNTIFS(CalcParty,$B462,CalcGroup,"خرید"))</f>
        <v/>
      </c>
      <c r="F462" s="19">
        <f>IF($B462="","",SUMIFS(CalcScale,CalcParty,$B462,CalcGroup,"خرید"))</f>
        <v/>
      </c>
      <c r="G462" s="19">
        <f>IF($B462="","",SUMIFS(CalcBaskets,CalcParty,$B462,CalcGroup,"خرید"))</f>
        <v/>
      </c>
      <c r="H462" s="20">
        <f>IF($B462="","",SUMIFS(CalcNet,CalcParty,$B462,CalcGroup,"خرید"))</f>
        <v/>
      </c>
      <c r="I462" s="18">
        <f>IF($B462="","",IFERROR(IF(VLOOKUP($B462,AcctTbl,5,0)="","—",VLOOKUP($B462,AcctTbl,5,0)),"—"))</f>
        <v/>
      </c>
      <c r="J462" s="18">
        <f>IF($B462="","",IFERROR(IF(VLOOKUP($B462,AcctTbl,6,0)="","—",VLOOKUP($B462,AcctTbl,6,0)),"—"))</f>
        <v/>
      </c>
      <c r="K462" s="32">
        <f>IF(OR($B462="",$H$570=0),"",$H462/$H$570)</f>
        <v/>
      </c>
    </row>
    <row r="463">
      <c r="A463" s="23">
        <f>IF(ROW()-9&gt;NAcctAll,"",ROW()-9)</f>
        <v/>
      </c>
      <c r="B463" s="33">
        <f>IF($A463="","",IF($A463&lt;=NAcctAll,INDEX(PkAcctAll,$A463),""))</f>
        <v/>
      </c>
      <c r="C463" s="28">
        <f>IF($B463="","",IFERROR(IF(VLOOKUP($B463,AcctTbl,4,0)="","(بدون نام)",VLOOKUP($B463,AcctTbl,4,0)),"—"))</f>
        <v/>
      </c>
      <c r="D463" s="24">
        <f>IF($B463="","",IFERROR(IF(VLOOKUP($B463,AcctTbl,3,0)="",IF(VLOOKUP($B463,AcctTbl,2,0)="","—",VLOOKUP($B463,AcctTbl,2,0)),VLOOKUP($B463,AcctTbl,3,0)),"—"))</f>
        <v/>
      </c>
      <c r="E463" s="34">
        <f>IF($B463="","",COUNTIFS(CalcParty,$B463,CalcGroup,"خرید"))</f>
        <v/>
      </c>
      <c r="F463" s="25">
        <f>IF($B463="","",SUMIFS(CalcScale,CalcParty,$B463,CalcGroup,"خرید"))</f>
        <v/>
      </c>
      <c r="G463" s="25">
        <f>IF($B463="","",SUMIFS(CalcBaskets,CalcParty,$B463,CalcGroup,"خرید"))</f>
        <v/>
      </c>
      <c r="H463" s="26">
        <f>IF($B463="","",SUMIFS(CalcNet,CalcParty,$B463,CalcGroup,"خرید"))</f>
        <v/>
      </c>
      <c r="I463" s="24">
        <f>IF($B463="","",IFERROR(IF(VLOOKUP($B463,AcctTbl,5,0)="","—",VLOOKUP($B463,AcctTbl,5,0)),"—"))</f>
        <v/>
      </c>
      <c r="J463" s="24">
        <f>IF($B463="","",IFERROR(IF(VLOOKUP($B463,AcctTbl,6,0)="","—",VLOOKUP($B463,AcctTbl,6,0)),"—"))</f>
        <v/>
      </c>
      <c r="K463" s="35">
        <f>IF(OR($B463="",$H$570=0),"",$H463/$H$570)</f>
        <v/>
      </c>
    </row>
    <row r="464">
      <c r="A464" s="17">
        <f>IF(ROW()-9&gt;NAcctAll,"",ROW()-9)</f>
        <v/>
      </c>
      <c r="B464" s="30">
        <f>IF($A464="","",IF($A464&lt;=NAcctAll,INDEX(PkAcctAll,$A464),""))</f>
        <v/>
      </c>
      <c r="C464" s="22">
        <f>IF($B464="","",IFERROR(IF(VLOOKUP($B464,AcctTbl,4,0)="","(بدون نام)",VLOOKUP($B464,AcctTbl,4,0)),"—"))</f>
        <v/>
      </c>
      <c r="D464" s="18">
        <f>IF($B464="","",IFERROR(IF(VLOOKUP($B464,AcctTbl,3,0)="",IF(VLOOKUP($B464,AcctTbl,2,0)="","—",VLOOKUP($B464,AcctTbl,2,0)),VLOOKUP($B464,AcctTbl,3,0)),"—"))</f>
        <v/>
      </c>
      <c r="E464" s="31">
        <f>IF($B464="","",COUNTIFS(CalcParty,$B464,CalcGroup,"خرید"))</f>
        <v/>
      </c>
      <c r="F464" s="19">
        <f>IF($B464="","",SUMIFS(CalcScale,CalcParty,$B464,CalcGroup,"خرید"))</f>
        <v/>
      </c>
      <c r="G464" s="19">
        <f>IF($B464="","",SUMIFS(CalcBaskets,CalcParty,$B464,CalcGroup,"خرید"))</f>
        <v/>
      </c>
      <c r="H464" s="20">
        <f>IF($B464="","",SUMIFS(CalcNet,CalcParty,$B464,CalcGroup,"خرید"))</f>
        <v/>
      </c>
      <c r="I464" s="18">
        <f>IF($B464="","",IFERROR(IF(VLOOKUP($B464,AcctTbl,5,0)="","—",VLOOKUP($B464,AcctTbl,5,0)),"—"))</f>
        <v/>
      </c>
      <c r="J464" s="18">
        <f>IF($B464="","",IFERROR(IF(VLOOKUP($B464,AcctTbl,6,0)="","—",VLOOKUP($B464,AcctTbl,6,0)),"—"))</f>
        <v/>
      </c>
      <c r="K464" s="32">
        <f>IF(OR($B464="",$H$570=0),"",$H464/$H$570)</f>
        <v/>
      </c>
    </row>
    <row r="465">
      <c r="A465" s="23">
        <f>IF(ROW()-9&gt;NAcctAll,"",ROW()-9)</f>
        <v/>
      </c>
      <c r="B465" s="33">
        <f>IF($A465="","",IF($A465&lt;=NAcctAll,INDEX(PkAcctAll,$A465),""))</f>
        <v/>
      </c>
      <c r="C465" s="28">
        <f>IF($B465="","",IFERROR(IF(VLOOKUP($B465,AcctTbl,4,0)="","(بدون نام)",VLOOKUP($B465,AcctTbl,4,0)),"—"))</f>
        <v/>
      </c>
      <c r="D465" s="24">
        <f>IF($B465="","",IFERROR(IF(VLOOKUP($B465,AcctTbl,3,0)="",IF(VLOOKUP($B465,AcctTbl,2,0)="","—",VLOOKUP($B465,AcctTbl,2,0)),VLOOKUP($B465,AcctTbl,3,0)),"—"))</f>
        <v/>
      </c>
      <c r="E465" s="34">
        <f>IF($B465="","",COUNTIFS(CalcParty,$B465,CalcGroup,"خرید"))</f>
        <v/>
      </c>
      <c r="F465" s="25">
        <f>IF($B465="","",SUMIFS(CalcScale,CalcParty,$B465,CalcGroup,"خرید"))</f>
        <v/>
      </c>
      <c r="G465" s="25">
        <f>IF($B465="","",SUMIFS(CalcBaskets,CalcParty,$B465,CalcGroup,"خرید"))</f>
        <v/>
      </c>
      <c r="H465" s="26">
        <f>IF($B465="","",SUMIFS(CalcNet,CalcParty,$B465,CalcGroup,"خرید"))</f>
        <v/>
      </c>
      <c r="I465" s="24">
        <f>IF($B465="","",IFERROR(IF(VLOOKUP($B465,AcctTbl,5,0)="","—",VLOOKUP($B465,AcctTbl,5,0)),"—"))</f>
        <v/>
      </c>
      <c r="J465" s="24">
        <f>IF($B465="","",IFERROR(IF(VLOOKUP($B465,AcctTbl,6,0)="","—",VLOOKUP($B465,AcctTbl,6,0)),"—"))</f>
        <v/>
      </c>
      <c r="K465" s="35">
        <f>IF(OR($B465="",$H$570=0),"",$H465/$H$570)</f>
        <v/>
      </c>
    </row>
    <row r="466">
      <c r="A466" s="17">
        <f>IF(ROW()-9&gt;NAcctAll,"",ROW()-9)</f>
        <v/>
      </c>
      <c r="B466" s="30">
        <f>IF($A466="","",IF($A466&lt;=NAcctAll,INDEX(PkAcctAll,$A466),""))</f>
        <v/>
      </c>
      <c r="C466" s="22">
        <f>IF($B466="","",IFERROR(IF(VLOOKUP($B466,AcctTbl,4,0)="","(بدون نام)",VLOOKUP($B466,AcctTbl,4,0)),"—"))</f>
        <v/>
      </c>
      <c r="D466" s="18">
        <f>IF($B466="","",IFERROR(IF(VLOOKUP($B466,AcctTbl,3,0)="",IF(VLOOKUP($B466,AcctTbl,2,0)="","—",VLOOKUP($B466,AcctTbl,2,0)),VLOOKUP($B466,AcctTbl,3,0)),"—"))</f>
        <v/>
      </c>
      <c r="E466" s="31">
        <f>IF($B466="","",COUNTIFS(CalcParty,$B466,CalcGroup,"خرید"))</f>
        <v/>
      </c>
      <c r="F466" s="19">
        <f>IF($B466="","",SUMIFS(CalcScale,CalcParty,$B466,CalcGroup,"خرید"))</f>
        <v/>
      </c>
      <c r="G466" s="19">
        <f>IF($B466="","",SUMIFS(CalcBaskets,CalcParty,$B466,CalcGroup,"خرید"))</f>
        <v/>
      </c>
      <c r="H466" s="20">
        <f>IF($B466="","",SUMIFS(CalcNet,CalcParty,$B466,CalcGroup,"خرید"))</f>
        <v/>
      </c>
      <c r="I466" s="18">
        <f>IF($B466="","",IFERROR(IF(VLOOKUP($B466,AcctTbl,5,0)="","—",VLOOKUP($B466,AcctTbl,5,0)),"—"))</f>
        <v/>
      </c>
      <c r="J466" s="18">
        <f>IF($B466="","",IFERROR(IF(VLOOKUP($B466,AcctTbl,6,0)="","—",VLOOKUP($B466,AcctTbl,6,0)),"—"))</f>
        <v/>
      </c>
      <c r="K466" s="32">
        <f>IF(OR($B466="",$H$570=0),"",$H466/$H$570)</f>
        <v/>
      </c>
    </row>
    <row r="467">
      <c r="A467" s="23">
        <f>IF(ROW()-9&gt;NAcctAll,"",ROW()-9)</f>
        <v/>
      </c>
      <c r="B467" s="33">
        <f>IF($A467="","",IF($A467&lt;=NAcctAll,INDEX(PkAcctAll,$A467),""))</f>
        <v/>
      </c>
      <c r="C467" s="28">
        <f>IF($B467="","",IFERROR(IF(VLOOKUP($B467,AcctTbl,4,0)="","(بدون نام)",VLOOKUP($B467,AcctTbl,4,0)),"—"))</f>
        <v/>
      </c>
      <c r="D467" s="24">
        <f>IF($B467="","",IFERROR(IF(VLOOKUP($B467,AcctTbl,3,0)="",IF(VLOOKUP($B467,AcctTbl,2,0)="","—",VLOOKUP($B467,AcctTbl,2,0)),VLOOKUP($B467,AcctTbl,3,0)),"—"))</f>
        <v/>
      </c>
      <c r="E467" s="34">
        <f>IF($B467="","",COUNTIFS(CalcParty,$B467,CalcGroup,"خرید"))</f>
        <v/>
      </c>
      <c r="F467" s="25">
        <f>IF($B467="","",SUMIFS(CalcScale,CalcParty,$B467,CalcGroup,"خرید"))</f>
        <v/>
      </c>
      <c r="G467" s="25">
        <f>IF($B467="","",SUMIFS(CalcBaskets,CalcParty,$B467,CalcGroup,"خرید"))</f>
        <v/>
      </c>
      <c r="H467" s="26">
        <f>IF($B467="","",SUMIFS(CalcNet,CalcParty,$B467,CalcGroup,"خرید"))</f>
        <v/>
      </c>
      <c r="I467" s="24">
        <f>IF($B467="","",IFERROR(IF(VLOOKUP($B467,AcctTbl,5,0)="","—",VLOOKUP($B467,AcctTbl,5,0)),"—"))</f>
        <v/>
      </c>
      <c r="J467" s="24">
        <f>IF($B467="","",IFERROR(IF(VLOOKUP($B467,AcctTbl,6,0)="","—",VLOOKUP($B467,AcctTbl,6,0)),"—"))</f>
        <v/>
      </c>
      <c r="K467" s="35">
        <f>IF(OR($B467="",$H$570=0),"",$H467/$H$570)</f>
        <v/>
      </c>
    </row>
    <row r="468">
      <c r="A468" s="17">
        <f>IF(ROW()-9&gt;NAcctAll,"",ROW()-9)</f>
        <v/>
      </c>
      <c r="B468" s="30">
        <f>IF($A468="","",IF($A468&lt;=NAcctAll,INDEX(PkAcctAll,$A468),""))</f>
        <v/>
      </c>
      <c r="C468" s="22">
        <f>IF($B468="","",IFERROR(IF(VLOOKUP($B468,AcctTbl,4,0)="","(بدون نام)",VLOOKUP($B468,AcctTbl,4,0)),"—"))</f>
        <v/>
      </c>
      <c r="D468" s="18">
        <f>IF($B468="","",IFERROR(IF(VLOOKUP($B468,AcctTbl,3,0)="",IF(VLOOKUP($B468,AcctTbl,2,0)="","—",VLOOKUP($B468,AcctTbl,2,0)),VLOOKUP($B468,AcctTbl,3,0)),"—"))</f>
        <v/>
      </c>
      <c r="E468" s="31">
        <f>IF($B468="","",COUNTIFS(CalcParty,$B468,CalcGroup,"خرید"))</f>
        <v/>
      </c>
      <c r="F468" s="19">
        <f>IF($B468="","",SUMIFS(CalcScale,CalcParty,$B468,CalcGroup,"خرید"))</f>
        <v/>
      </c>
      <c r="G468" s="19">
        <f>IF($B468="","",SUMIFS(CalcBaskets,CalcParty,$B468,CalcGroup,"خرید"))</f>
        <v/>
      </c>
      <c r="H468" s="20">
        <f>IF($B468="","",SUMIFS(CalcNet,CalcParty,$B468,CalcGroup,"خرید"))</f>
        <v/>
      </c>
      <c r="I468" s="18">
        <f>IF($B468="","",IFERROR(IF(VLOOKUP($B468,AcctTbl,5,0)="","—",VLOOKUP($B468,AcctTbl,5,0)),"—"))</f>
        <v/>
      </c>
      <c r="J468" s="18">
        <f>IF($B468="","",IFERROR(IF(VLOOKUP($B468,AcctTbl,6,0)="","—",VLOOKUP($B468,AcctTbl,6,0)),"—"))</f>
        <v/>
      </c>
      <c r="K468" s="32">
        <f>IF(OR($B468="",$H$570=0),"",$H468/$H$570)</f>
        <v/>
      </c>
    </row>
    <row r="469">
      <c r="A469" s="23">
        <f>IF(ROW()-9&gt;NAcctAll,"",ROW()-9)</f>
        <v/>
      </c>
      <c r="B469" s="33">
        <f>IF($A469="","",IF($A469&lt;=NAcctAll,INDEX(PkAcctAll,$A469),""))</f>
        <v/>
      </c>
      <c r="C469" s="28">
        <f>IF($B469="","",IFERROR(IF(VLOOKUP($B469,AcctTbl,4,0)="","(بدون نام)",VLOOKUP($B469,AcctTbl,4,0)),"—"))</f>
        <v/>
      </c>
      <c r="D469" s="24">
        <f>IF($B469="","",IFERROR(IF(VLOOKUP($B469,AcctTbl,3,0)="",IF(VLOOKUP($B469,AcctTbl,2,0)="","—",VLOOKUP($B469,AcctTbl,2,0)),VLOOKUP($B469,AcctTbl,3,0)),"—"))</f>
        <v/>
      </c>
      <c r="E469" s="34">
        <f>IF($B469="","",COUNTIFS(CalcParty,$B469,CalcGroup,"خرید"))</f>
        <v/>
      </c>
      <c r="F469" s="25">
        <f>IF($B469="","",SUMIFS(CalcScale,CalcParty,$B469,CalcGroup,"خرید"))</f>
        <v/>
      </c>
      <c r="G469" s="25">
        <f>IF($B469="","",SUMIFS(CalcBaskets,CalcParty,$B469,CalcGroup,"خرید"))</f>
        <v/>
      </c>
      <c r="H469" s="26">
        <f>IF($B469="","",SUMIFS(CalcNet,CalcParty,$B469,CalcGroup,"خرید"))</f>
        <v/>
      </c>
      <c r="I469" s="24">
        <f>IF($B469="","",IFERROR(IF(VLOOKUP($B469,AcctTbl,5,0)="","—",VLOOKUP($B469,AcctTbl,5,0)),"—"))</f>
        <v/>
      </c>
      <c r="J469" s="24">
        <f>IF($B469="","",IFERROR(IF(VLOOKUP($B469,AcctTbl,6,0)="","—",VLOOKUP($B469,AcctTbl,6,0)),"—"))</f>
        <v/>
      </c>
      <c r="K469" s="35">
        <f>IF(OR($B469="",$H$570=0),"",$H469/$H$570)</f>
        <v/>
      </c>
    </row>
    <row r="470">
      <c r="A470" s="17">
        <f>IF(ROW()-9&gt;NAcctAll,"",ROW()-9)</f>
        <v/>
      </c>
      <c r="B470" s="30">
        <f>IF($A470="","",IF($A470&lt;=NAcctAll,INDEX(PkAcctAll,$A470),""))</f>
        <v/>
      </c>
      <c r="C470" s="22">
        <f>IF($B470="","",IFERROR(IF(VLOOKUP($B470,AcctTbl,4,0)="","(بدون نام)",VLOOKUP($B470,AcctTbl,4,0)),"—"))</f>
        <v/>
      </c>
      <c r="D470" s="18">
        <f>IF($B470="","",IFERROR(IF(VLOOKUP($B470,AcctTbl,3,0)="",IF(VLOOKUP($B470,AcctTbl,2,0)="","—",VLOOKUP($B470,AcctTbl,2,0)),VLOOKUP($B470,AcctTbl,3,0)),"—"))</f>
        <v/>
      </c>
      <c r="E470" s="31">
        <f>IF($B470="","",COUNTIFS(CalcParty,$B470,CalcGroup,"خرید"))</f>
        <v/>
      </c>
      <c r="F470" s="19">
        <f>IF($B470="","",SUMIFS(CalcScale,CalcParty,$B470,CalcGroup,"خرید"))</f>
        <v/>
      </c>
      <c r="G470" s="19">
        <f>IF($B470="","",SUMIFS(CalcBaskets,CalcParty,$B470,CalcGroup,"خرید"))</f>
        <v/>
      </c>
      <c r="H470" s="20">
        <f>IF($B470="","",SUMIFS(CalcNet,CalcParty,$B470,CalcGroup,"خرید"))</f>
        <v/>
      </c>
      <c r="I470" s="18">
        <f>IF($B470="","",IFERROR(IF(VLOOKUP($B470,AcctTbl,5,0)="","—",VLOOKUP($B470,AcctTbl,5,0)),"—"))</f>
        <v/>
      </c>
      <c r="J470" s="18">
        <f>IF($B470="","",IFERROR(IF(VLOOKUP($B470,AcctTbl,6,0)="","—",VLOOKUP($B470,AcctTbl,6,0)),"—"))</f>
        <v/>
      </c>
      <c r="K470" s="32">
        <f>IF(OR($B470="",$H$570=0),"",$H470/$H$570)</f>
        <v/>
      </c>
    </row>
    <row r="471">
      <c r="A471" s="23">
        <f>IF(ROW()-9&gt;NAcctAll,"",ROW()-9)</f>
        <v/>
      </c>
      <c r="B471" s="33">
        <f>IF($A471="","",IF($A471&lt;=NAcctAll,INDEX(PkAcctAll,$A471),""))</f>
        <v/>
      </c>
      <c r="C471" s="28">
        <f>IF($B471="","",IFERROR(IF(VLOOKUP($B471,AcctTbl,4,0)="","(بدون نام)",VLOOKUP($B471,AcctTbl,4,0)),"—"))</f>
        <v/>
      </c>
      <c r="D471" s="24">
        <f>IF($B471="","",IFERROR(IF(VLOOKUP($B471,AcctTbl,3,0)="",IF(VLOOKUP($B471,AcctTbl,2,0)="","—",VLOOKUP($B471,AcctTbl,2,0)),VLOOKUP($B471,AcctTbl,3,0)),"—"))</f>
        <v/>
      </c>
      <c r="E471" s="34">
        <f>IF($B471="","",COUNTIFS(CalcParty,$B471,CalcGroup,"خرید"))</f>
        <v/>
      </c>
      <c r="F471" s="25">
        <f>IF($B471="","",SUMIFS(CalcScale,CalcParty,$B471,CalcGroup,"خرید"))</f>
        <v/>
      </c>
      <c r="G471" s="25">
        <f>IF($B471="","",SUMIFS(CalcBaskets,CalcParty,$B471,CalcGroup,"خرید"))</f>
        <v/>
      </c>
      <c r="H471" s="26">
        <f>IF($B471="","",SUMIFS(CalcNet,CalcParty,$B471,CalcGroup,"خرید"))</f>
        <v/>
      </c>
      <c r="I471" s="24">
        <f>IF($B471="","",IFERROR(IF(VLOOKUP($B471,AcctTbl,5,0)="","—",VLOOKUP($B471,AcctTbl,5,0)),"—"))</f>
        <v/>
      </c>
      <c r="J471" s="24">
        <f>IF($B471="","",IFERROR(IF(VLOOKUP($B471,AcctTbl,6,0)="","—",VLOOKUP($B471,AcctTbl,6,0)),"—"))</f>
        <v/>
      </c>
      <c r="K471" s="35">
        <f>IF(OR($B471="",$H$570=0),"",$H471/$H$570)</f>
        <v/>
      </c>
    </row>
    <row r="472">
      <c r="A472" s="17">
        <f>IF(ROW()-9&gt;NAcctAll,"",ROW()-9)</f>
        <v/>
      </c>
      <c r="B472" s="30">
        <f>IF($A472="","",IF($A472&lt;=NAcctAll,INDEX(PkAcctAll,$A472),""))</f>
        <v/>
      </c>
      <c r="C472" s="22">
        <f>IF($B472="","",IFERROR(IF(VLOOKUP($B472,AcctTbl,4,0)="","(بدون نام)",VLOOKUP($B472,AcctTbl,4,0)),"—"))</f>
        <v/>
      </c>
      <c r="D472" s="18">
        <f>IF($B472="","",IFERROR(IF(VLOOKUP($B472,AcctTbl,3,0)="",IF(VLOOKUP($B472,AcctTbl,2,0)="","—",VLOOKUP($B472,AcctTbl,2,0)),VLOOKUP($B472,AcctTbl,3,0)),"—"))</f>
        <v/>
      </c>
      <c r="E472" s="31">
        <f>IF($B472="","",COUNTIFS(CalcParty,$B472,CalcGroup,"خرید"))</f>
        <v/>
      </c>
      <c r="F472" s="19">
        <f>IF($B472="","",SUMIFS(CalcScale,CalcParty,$B472,CalcGroup,"خرید"))</f>
        <v/>
      </c>
      <c r="G472" s="19">
        <f>IF($B472="","",SUMIFS(CalcBaskets,CalcParty,$B472,CalcGroup,"خرید"))</f>
        <v/>
      </c>
      <c r="H472" s="20">
        <f>IF($B472="","",SUMIFS(CalcNet,CalcParty,$B472,CalcGroup,"خرید"))</f>
        <v/>
      </c>
      <c r="I472" s="18">
        <f>IF($B472="","",IFERROR(IF(VLOOKUP($B472,AcctTbl,5,0)="","—",VLOOKUP($B472,AcctTbl,5,0)),"—"))</f>
        <v/>
      </c>
      <c r="J472" s="18">
        <f>IF($B472="","",IFERROR(IF(VLOOKUP($B472,AcctTbl,6,0)="","—",VLOOKUP($B472,AcctTbl,6,0)),"—"))</f>
        <v/>
      </c>
      <c r="K472" s="32">
        <f>IF(OR($B472="",$H$570=0),"",$H472/$H$570)</f>
        <v/>
      </c>
    </row>
    <row r="473">
      <c r="A473" s="23">
        <f>IF(ROW()-9&gt;NAcctAll,"",ROW()-9)</f>
        <v/>
      </c>
      <c r="B473" s="33">
        <f>IF($A473="","",IF($A473&lt;=NAcctAll,INDEX(PkAcctAll,$A473),""))</f>
        <v/>
      </c>
      <c r="C473" s="28">
        <f>IF($B473="","",IFERROR(IF(VLOOKUP($B473,AcctTbl,4,0)="","(بدون نام)",VLOOKUP($B473,AcctTbl,4,0)),"—"))</f>
        <v/>
      </c>
      <c r="D473" s="24">
        <f>IF($B473="","",IFERROR(IF(VLOOKUP($B473,AcctTbl,3,0)="",IF(VLOOKUP($B473,AcctTbl,2,0)="","—",VLOOKUP($B473,AcctTbl,2,0)),VLOOKUP($B473,AcctTbl,3,0)),"—"))</f>
        <v/>
      </c>
      <c r="E473" s="34">
        <f>IF($B473="","",COUNTIFS(CalcParty,$B473,CalcGroup,"خرید"))</f>
        <v/>
      </c>
      <c r="F473" s="25">
        <f>IF($B473="","",SUMIFS(CalcScale,CalcParty,$B473,CalcGroup,"خرید"))</f>
        <v/>
      </c>
      <c r="G473" s="25">
        <f>IF($B473="","",SUMIFS(CalcBaskets,CalcParty,$B473,CalcGroup,"خرید"))</f>
        <v/>
      </c>
      <c r="H473" s="26">
        <f>IF($B473="","",SUMIFS(CalcNet,CalcParty,$B473,CalcGroup,"خرید"))</f>
        <v/>
      </c>
      <c r="I473" s="24">
        <f>IF($B473="","",IFERROR(IF(VLOOKUP($B473,AcctTbl,5,0)="","—",VLOOKUP($B473,AcctTbl,5,0)),"—"))</f>
        <v/>
      </c>
      <c r="J473" s="24">
        <f>IF($B473="","",IFERROR(IF(VLOOKUP($B473,AcctTbl,6,0)="","—",VLOOKUP($B473,AcctTbl,6,0)),"—"))</f>
        <v/>
      </c>
      <c r="K473" s="35">
        <f>IF(OR($B473="",$H$570=0),"",$H473/$H$570)</f>
        <v/>
      </c>
    </row>
    <row r="474">
      <c r="A474" s="17">
        <f>IF(ROW()-9&gt;NAcctAll,"",ROW()-9)</f>
        <v/>
      </c>
      <c r="B474" s="30">
        <f>IF($A474="","",IF($A474&lt;=NAcctAll,INDEX(PkAcctAll,$A474),""))</f>
        <v/>
      </c>
      <c r="C474" s="22">
        <f>IF($B474="","",IFERROR(IF(VLOOKUP($B474,AcctTbl,4,0)="","(بدون نام)",VLOOKUP($B474,AcctTbl,4,0)),"—"))</f>
        <v/>
      </c>
      <c r="D474" s="18">
        <f>IF($B474="","",IFERROR(IF(VLOOKUP($B474,AcctTbl,3,0)="",IF(VLOOKUP($B474,AcctTbl,2,0)="","—",VLOOKUP($B474,AcctTbl,2,0)),VLOOKUP($B474,AcctTbl,3,0)),"—"))</f>
        <v/>
      </c>
      <c r="E474" s="31">
        <f>IF($B474="","",COUNTIFS(CalcParty,$B474,CalcGroup,"خرید"))</f>
        <v/>
      </c>
      <c r="F474" s="19">
        <f>IF($B474="","",SUMIFS(CalcScale,CalcParty,$B474,CalcGroup,"خرید"))</f>
        <v/>
      </c>
      <c r="G474" s="19">
        <f>IF($B474="","",SUMIFS(CalcBaskets,CalcParty,$B474,CalcGroup,"خرید"))</f>
        <v/>
      </c>
      <c r="H474" s="20">
        <f>IF($B474="","",SUMIFS(CalcNet,CalcParty,$B474,CalcGroup,"خرید"))</f>
        <v/>
      </c>
      <c r="I474" s="18">
        <f>IF($B474="","",IFERROR(IF(VLOOKUP($B474,AcctTbl,5,0)="","—",VLOOKUP($B474,AcctTbl,5,0)),"—"))</f>
        <v/>
      </c>
      <c r="J474" s="18">
        <f>IF($B474="","",IFERROR(IF(VLOOKUP($B474,AcctTbl,6,0)="","—",VLOOKUP($B474,AcctTbl,6,0)),"—"))</f>
        <v/>
      </c>
      <c r="K474" s="32">
        <f>IF(OR($B474="",$H$570=0),"",$H474/$H$570)</f>
        <v/>
      </c>
    </row>
    <row r="475">
      <c r="A475" s="23">
        <f>IF(ROW()-9&gt;NAcctAll,"",ROW()-9)</f>
        <v/>
      </c>
      <c r="B475" s="33">
        <f>IF($A475="","",IF($A475&lt;=NAcctAll,INDEX(PkAcctAll,$A475),""))</f>
        <v/>
      </c>
      <c r="C475" s="28">
        <f>IF($B475="","",IFERROR(IF(VLOOKUP($B475,AcctTbl,4,0)="","(بدون نام)",VLOOKUP($B475,AcctTbl,4,0)),"—"))</f>
        <v/>
      </c>
      <c r="D475" s="24">
        <f>IF($B475="","",IFERROR(IF(VLOOKUP($B475,AcctTbl,3,0)="",IF(VLOOKUP($B475,AcctTbl,2,0)="","—",VLOOKUP($B475,AcctTbl,2,0)),VLOOKUP($B475,AcctTbl,3,0)),"—"))</f>
        <v/>
      </c>
      <c r="E475" s="34">
        <f>IF($B475="","",COUNTIFS(CalcParty,$B475,CalcGroup,"خرید"))</f>
        <v/>
      </c>
      <c r="F475" s="25">
        <f>IF($B475="","",SUMIFS(CalcScale,CalcParty,$B475,CalcGroup,"خرید"))</f>
        <v/>
      </c>
      <c r="G475" s="25">
        <f>IF($B475="","",SUMIFS(CalcBaskets,CalcParty,$B475,CalcGroup,"خرید"))</f>
        <v/>
      </c>
      <c r="H475" s="26">
        <f>IF($B475="","",SUMIFS(CalcNet,CalcParty,$B475,CalcGroup,"خرید"))</f>
        <v/>
      </c>
      <c r="I475" s="24">
        <f>IF($B475="","",IFERROR(IF(VLOOKUP($B475,AcctTbl,5,0)="","—",VLOOKUP($B475,AcctTbl,5,0)),"—"))</f>
        <v/>
      </c>
      <c r="J475" s="24">
        <f>IF($B475="","",IFERROR(IF(VLOOKUP($B475,AcctTbl,6,0)="","—",VLOOKUP($B475,AcctTbl,6,0)),"—"))</f>
        <v/>
      </c>
      <c r="K475" s="35">
        <f>IF(OR($B475="",$H$570=0),"",$H475/$H$570)</f>
        <v/>
      </c>
    </row>
    <row r="476">
      <c r="A476" s="17">
        <f>IF(ROW()-9&gt;NAcctAll,"",ROW()-9)</f>
        <v/>
      </c>
      <c r="B476" s="30">
        <f>IF($A476="","",IF($A476&lt;=NAcctAll,INDEX(PkAcctAll,$A476),""))</f>
        <v/>
      </c>
      <c r="C476" s="22">
        <f>IF($B476="","",IFERROR(IF(VLOOKUP($B476,AcctTbl,4,0)="","(بدون نام)",VLOOKUP($B476,AcctTbl,4,0)),"—"))</f>
        <v/>
      </c>
      <c r="D476" s="18">
        <f>IF($B476="","",IFERROR(IF(VLOOKUP($B476,AcctTbl,3,0)="",IF(VLOOKUP($B476,AcctTbl,2,0)="","—",VLOOKUP($B476,AcctTbl,2,0)),VLOOKUP($B476,AcctTbl,3,0)),"—"))</f>
        <v/>
      </c>
      <c r="E476" s="31">
        <f>IF($B476="","",COUNTIFS(CalcParty,$B476,CalcGroup,"خرید"))</f>
        <v/>
      </c>
      <c r="F476" s="19">
        <f>IF($B476="","",SUMIFS(CalcScale,CalcParty,$B476,CalcGroup,"خرید"))</f>
        <v/>
      </c>
      <c r="G476" s="19">
        <f>IF($B476="","",SUMIFS(CalcBaskets,CalcParty,$B476,CalcGroup,"خرید"))</f>
        <v/>
      </c>
      <c r="H476" s="20">
        <f>IF($B476="","",SUMIFS(CalcNet,CalcParty,$B476,CalcGroup,"خرید"))</f>
        <v/>
      </c>
      <c r="I476" s="18">
        <f>IF($B476="","",IFERROR(IF(VLOOKUP($B476,AcctTbl,5,0)="","—",VLOOKUP($B476,AcctTbl,5,0)),"—"))</f>
        <v/>
      </c>
      <c r="J476" s="18">
        <f>IF($B476="","",IFERROR(IF(VLOOKUP($B476,AcctTbl,6,0)="","—",VLOOKUP($B476,AcctTbl,6,0)),"—"))</f>
        <v/>
      </c>
      <c r="K476" s="32">
        <f>IF(OR($B476="",$H$570=0),"",$H476/$H$570)</f>
        <v/>
      </c>
    </row>
    <row r="477">
      <c r="A477" s="23">
        <f>IF(ROW()-9&gt;NAcctAll,"",ROW()-9)</f>
        <v/>
      </c>
      <c r="B477" s="33">
        <f>IF($A477="","",IF($A477&lt;=NAcctAll,INDEX(PkAcctAll,$A477),""))</f>
        <v/>
      </c>
      <c r="C477" s="28">
        <f>IF($B477="","",IFERROR(IF(VLOOKUP($B477,AcctTbl,4,0)="","(بدون نام)",VLOOKUP($B477,AcctTbl,4,0)),"—"))</f>
        <v/>
      </c>
      <c r="D477" s="24">
        <f>IF($B477="","",IFERROR(IF(VLOOKUP($B477,AcctTbl,3,0)="",IF(VLOOKUP($B477,AcctTbl,2,0)="","—",VLOOKUP($B477,AcctTbl,2,0)),VLOOKUP($B477,AcctTbl,3,0)),"—"))</f>
        <v/>
      </c>
      <c r="E477" s="34">
        <f>IF($B477="","",COUNTIFS(CalcParty,$B477,CalcGroup,"خرید"))</f>
        <v/>
      </c>
      <c r="F477" s="25">
        <f>IF($B477="","",SUMIFS(CalcScale,CalcParty,$B477,CalcGroup,"خرید"))</f>
        <v/>
      </c>
      <c r="G477" s="25">
        <f>IF($B477="","",SUMIFS(CalcBaskets,CalcParty,$B477,CalcGroup,"خرید"))</f>
        <v/>
      </c>
      <c r="H477" s="26">
        <f>IF($B477="","",SUMIFS(CalcNet,CalcParty,$B477,CalcGroup,"خرید"))</f>
        <v/>
      </c>
      <c r="I477" s="24">
        <f>IF($B477="","",IFERROR(IF(VLOOKUP($B477,AcctTbl,5,0)="","—",VLOOKUP($B477,AcctTbl,5,0)),"—"))</f>
        <v/>
      </c>
      <c r="J477" s="24">
        <f>IF($B477="","",IFERROR(IF(VLOOKUP($B477,AcctTbl,6,0)="","—",VLOOKUP($B477,AcctTbl,6,0)),"—"))</f>
        <v/>
      </c>
      <c r="K477" s="35">
        <f>IF(OR($B477="",$H$570=0),"",$H477/$H$570)</f>
        <v/>
      </c>
    </row>
    <row r="478">
      <c r="A478" s="17">
        <f>IF(ROW()-9&gt;NAcctAll,"",ROW()-9)</f>
        <v/>
      </c>
      <c r="B478" s="30">
        <f>IF($A478="","",IF($A478&lt;=NAcctAll,INDEX(PkAcctAll,$A478),""))</f>
        <v/>
      </c>
      <c r="C478" s="22">
        <f>IF($B478="","",IFERROR(IF(VLOOKUP($B478,AcctTbl,4,0)="","(بدون نام)",VLOOKUP($B478,AcctTbl,4,0)),"—"))</f>
        <v/>
      </c>
      <c r="D478" s="18">
        <f>IF($B478="","",IFERROR(IF(VLOOKUP($B478,AcctTbl,3,0)="",IF(VLOOKUP($B478,AcctTbl,2,0)="","—",VLOOKUP($B478,AcctTbl,2,0)),VLOOKUP($B478,AcctTbl,3,0)),"—"))</f>
        <v/>
      </c>
      <c r="E478" s="31">
        <f>IF($B478="","",COUNTIFS(CalcParty,$B478,CalcGroup,"خرید"))</f>
        <v/>
      </c>
      <c r="F478" s="19">
        <f>IF($B478="","",SUMIFS(CalcScale,CalcParty,$B478,CalcGroup,"خرید"))</f>
        <v/>
      </c>
      <c r="G478" s="19">
        <f>IF($B478="","",SUMIFS(CalcBaskets,CalcParty,$B478,CalcGroup,"خرید"))</f>
        <v/>
      </c>
      <c r="H478" s="20">
        <f>IF($B478="","",SUMIFS(CalcNet,CalcParty,$B478,CalcGroup,"خرید"))</f>
        <v/>
      </c>
      <c r="I478" s="18">
        <f>IF($B478="","",IFERROR(IF(VLOOKUP($B478,AcctTbl,5,0)="","—",VLOOKUP($B478,AcctTbl,5,0)),"—"))</f>
        <v/>
      </c>
      <c r="J478" s="18">
        <f>IF($B478="","",IFERROR(IF(VLOOKUP($B478,AcctTbl,6,0)="","—",VLOOKUP($B478,AcctTbl,6,0)),"—"))</f>
        <v/>
      </c>
      <c r="K478" s="32">
        <f>IF(OR($B478="",$H$570=0),"",$H478/$H$570)</f>
        <v/>
      </c>
    </row>
    <row r="479">
      <c r="A479" s="23">
        <f>IF(ROW()-9&gt;NAcctAll,"",ROW()-9)</f>
        <v/>
      </c>
      <c r="B479" s="33">
        <f>IF($A479="","",IF($A479&lt;=NAcctAll,INDEX(PkAcctAll,$A479),""))</f>
        <v/>
      </c>
      <c r="C479" s="28">
        <f>IF($B479="","",IFERROR(IF(VLOOKUP($B479,AcctTbl,4,0)="","(بدون نام)",VLOOKUP($B479,AcctTbl,4,0)),"—"))</f>
        <v/>
      </c>
      <c r="D479" s="24">
        <f>IF($B479="","",IFERROR(IF(VLOOKUP($B479,AcctTbl,3,0)="",IF(VLOOKUP($B479,AcctTbl,2,0)="","—",VLOOKUP($B479,AcctTbl,2,0)),VLOOKUP($B479,AcctTbl,3,0)),"—"))</f>
        <v/>
      </c>
      <c r="E479" s="34">
        <f>IF($B479="","",COUNTIFS(CalcParty,$B479,CalcGroup,"خرید"))</f>
        <v/>
      </c>
      <c r="F479" s="25">
        <f>IF($B479="","",SUMIFS(CalcScale,CalcParty,$B479,CalcGroup,"خرید"))</f>
        <v/>
      </c>
      <c r="G479" s="25">
        <f>IF($B479="","",SUMIFS(CalcBaskets,CalcParty,$B479,CalcGroup,"خرید"))</f>
        <v/>
      </c>
      <c r="H479" s="26">
        <f>IF($B479="","",SUMIFS(CalcNet,CalcParty,$B479,CalcGroup,"خرید"))</f>
        <v/>
      </c>
      <c r="I479" s="24">
        <f>IF($B479="","",IFERROR(IF(VLOOKUP($B479,AcctTbl,5,0)="","—",VLOOKUP($B479,AcctTbl,5,0)),"—"))</f>
        <v/>
      </c>
      <c r="J479" s="24">
        <f>IF($B479="","",IFERROR(IF(VLOOKUP($B479,AcctTbl,6,0)="","—",VLOOKUP($B479,AcctTbl,6,0)),"—"))</f>
        <v/>
      </c>
      <c r="K479" s="35">
        <f>IF(OR($B479="",$H$570=0),"",$H479/$H$570)</f>
        <v/>
      </c>
    </row>
    <row r="480">
      <c r="A480" s="17">
        <f>IF(ROW()-9&gt;NAcctAll,"",ROW()-9)</f>
        <v/>
      </c>
      <c r="B480" s="30">
        <f>IF($A480="","",IF($A480&lt;=NAcctAll,INDEX(PkAcctAll,$A480),""))</f>
        <v/>
      </c>
      <c r="C480" s="22">
        <f>IF($B480="","",IFERROR(IF(VLOOKUP($B480,AcctTbl,4,0)="","(بدون نام)",VLOOKUP($B480,AcctTbl,4,0)),"—"))</f>
        <v/>
      </c>
      <c r="D480" s="18">
        <f>IF($B480="","",IFERROR(IF(VLOOKUP($B480,AcctTbl,3,0)="",IF(VLOOKUP($B480,AcctTbl,2,0)="","—",VLOOKUP($B480,AcctTbl,2,0)),VLOOKUP($B480,AcctTbl,3,0)),"—"))</f>
        <v/>
      </c>
      <c r="E480" s="31">
        <f>IF($B480="","",COUNTIFS(CalcParty,$B480,CalcGroup,"خرید"))</f>
        <v/>
      </c>
      <c r="F480" s="19">
        <f>IF($B480="","",SUMIFS(CalcScale,CalcParty,$B480,CalcGroup,"خرید"))</f>
        <v/>
      </c>
      <c r="G480" s="19">
        <f>IF($B480="","",SUMIFS(CalcBaskets,CalcParty,$B480,CalcGroup,"خرید"))</f>
        <v/>
      </c>
      <c r="H480" s="20">
        <f>IF($B480="","",SUMIFS(CalcNet,CalcParty,$B480,CalcGroup,"خرید"))</f>
        <v/>
      </c>
      <c r="I480" s="18">
        <f>IF($B480="","",IFERROR(IF(VLOOKUP($B480,AcctTbl,5,0)="","—",VLOOKUP($B480,AcctTbl,5,0)),"—"))</f>
        <v/>
      </c>
      <c r="J480" s="18">
        <f>IF($B480="","",IFERROR(IF(VLOOKUP($B480,AcctTbl,6,0)="","—",VLOOKUP($B480,AcctTbl,6,0)),"—"))</f>
        <v/>
      </c>
      <c r="K480" s="32">
        <f>IF(OR($B480="",$H$570=0),"",$H480/$H$570)</f>
        <v/>
      </c>
    </row>
    <row r="481">
      <c r="A481" s="23">
        <f>IF(ROW()-9&gt;NAcctAll,"",ROW()-9)</f>
        <v/>
      </c>
      <c r="B481" s="33">
        <f>IF($A481="","",IF($A481&lt;=NAcctAll,INDEX(PkAcctAll,$A481),""))</f>
        <v/>
      </c>
      <c r="C481" s="28">
        <f>IF($B481="","",IFERROR(IF(VLOOKUP($B481,AcctTbl,4,0)="","(بدون نام)",VLOOKUP($B481,AcctTbl,4,0)),"—"))</f>
        <v/>
      </c>
      <c r="D481" s="24">
        <f>IF($B481="","",IFERROR(IF(VLOOKUP($B481,AcctTbl,3,0)="",IF(VLOOKUP($B481,AcctTbl,2,0)="","—",VLOOKUP($B481,AcctTbl,2,0)),VLOOKUP($B481,AcctTbl,3,0)),"—"))</f>
        <v/>
      </c>
      <c r="E481" s="34">
        <f>IF($B481="","",COUNTIFS(CalcParty,$B481,CalcGroup,"خرید"))</f>
        <v/>
      </c>
      <c r="F481" s="25">
        <f>IF($B481="","",SUMIFS(CalcScale,CalcParty,$B481,CalcGroup,"خرید"))</f>
        <v/>
      </c>
      <c r="G481" s="25">
        <f>IF($B481="","",SUMIFS(CalcBaskets,CalcParty,$B481,CalcGroup,"خرید"))</f>
        <v/>
      </c>
      <c r="H481" s="26">
        <f>IF($B481="","",SUMIFS(CalcNet,CalcParty,$B481,CalcGroup,"خرید"))</f>
        <v/>
      </c>
      <c r="I481" s="24">
        <f>IF($B481="","",IFERROR(IF(VLOOKUP($B481,AcctTbl,5,0)="","—",VLOOKUP($B481,AcctTbl,5,0)),"—"))</f>
        <v/>
      </c>
      <c r="J481" s="24">
        <f>IF($B481="","",IFERROR(IF(VLOOKUP($B481,AcctTbl,6,0)="","—",VLOOKUP($B481,AcctTbl,6,0)),"—"))</f>
        <v/>
      </c>
      <c r="K481" s="35">
        <f>IF(OR($B481="",$H$570=0),"",$H481/$H$570)</f>
        <v/>
      </c>
    </row>
    <row r="482">
      <c r="A482" s="17">
        <f>IF(ROW()-9&gt;NAcctAll,"",ROW()-9)</f>
        <v/>
      </c>
      <c r="B482" s="30">
        <f>IF($A482="","",IF($A482&lt;=NAcctAll,INDEX(PkAcctAll,$A482),""))</f>
        <v/>
      </c>
      <c r="C482" s="22">
        <f>IF($B482="","",IFERROR(IF(VLOOKUP($B482,AcctTbl,4,0)="","(بدون نام)",VLOOKUP($B482,AcctTbl,4,0)),"—"))</f>
        <v/>
      </c>
      <c r="D482" s="18">
        <f>IF($B482="","",IFERROR(IF(VLOOKUP($B482,AcctTbl,3,0)="",IF(VLOOKUP($B482,AcctTbl,2,0)="","—",VLOOKUP($B482,AcctTbl,2,0)),VLOOKUP($B482,AcctTbl,3,0)),"—"))</f>
        <v/>
      </c>
      <c r="E482" s="31">
        <f>IF($B482="","",COUNTIFS(CalcParty,$B482,CalcGroup,"خرید"))</f>
        <v/>
      </c>
      <c r="F482" s="19">
        <f>IF($B482="","",SUMIFS(CalcScale,CalcParty,$B482,CalcGroup,"خرید"))</f>
        <v/>
      </c>
      <c r="G482" s="19">
        <f>IF($B482="","",SUMIFS(CalcBaskets,CalcParty,$B482,CalcGroup,"خرید"))</f>
        <v/>
      </c>
      <c r="H482" s="20">
        <f>IF($B482="","",SUMIFS(CalcNet,CalcParty,$B482,CalcGroup,"خرید"))</f>
        <v/>
      </c>
      <c r="I482" s="18">
        <f>IF($B482="","",IFERROR(IF(VLOOKUP($B482,AcctTbl,5,0)="","—",VLOOKUP($B482,AcctTbl,5,0)),"—"))</f>
        <v/>
      </c>
      <c r="J482" s="18">
        <f>IF($B482="","",IFERROR(IF(VLOOKUP($B482,AcctTbl,6,0)="","—",VLOOKUP($B482,AcctTbl,6,0)),"—"))</f>
        <v/>
      </c>
      <c r="K482" s="32">
        <f>IF(OR($B482="",$H$570=0),"",$H482/$H$570)</f>
        <v/>
      </c>
    </row>
    <row r="483">
      <c r="A483" s="23">
        <f>IF(ROW()-9&gt;NAcctAll,"",ROW()-9)</f>
        <v/>
      </c>
      <c r="B483" s="33">
        <f>IF($A483="","",IF($A483&lt;=NAcctAll,INDEX(PkAcctAll,$A483),""))</f>
        <v/>
      </c>
      <c r="C483" s="28">
        <f>IF($B483="","",IFERROR(IF(VLOOKUP($B483,AcctTbl,4,0)="","(بدون نام)",VLOOKUP($B483,AcctTbl,4,0)),"—"))</f>
        <v/>
      </c>
      <c r="D483" s="24">
        <f>IF($B483="","",IFERROR(IF(VLOOKUP($B483,AcctTbl,3,0)="",IF(VLOOKUP($B483,AcctTbl,2,0)="","—",VLOOKUP($B483,AcctTbl,2,0)),VLOOKUP($B483,AcctTbl,3,0)),"—"))</f>
        <v/>
      </c>
      <c r="E483" s="34">
        <f>IF($B483="","",COUNTIFS(CalcParty,$B483,CalcGroup,"خرید"))</f>
        <v/>
      </c>
      <c r="F483" s="25">
        <f>IF($B483="","",SUMIFS(CalcScale,CalcParty,$B483,CalcGroup,"خرید"))</f>
        <v/>
      </c>
      <c r="G483" s="25">
        <f>IF($B483="","",SUMIFS(CalcBaskets,CalcParty,$B483,CalcGroup,"خرید"))</f>
        <v/>
      </c>
      <c r="H483" s="26">
        <f>IF($B483="","",SUMIFS(CalcNet,CalcParty,$B483,CalcGroup,"خرید"))</f>
        <v/>
      </c>
      <c r="I483" s="24">
        <f>IF($B483="","",IFERROR(IF(VLOOKUP($B483,AcctTbl,5,0)="","—",VLOOKUP($B483,AcctTbl,5,0)),"—"))</f>
        <v/>
      </c>
      <c r="J483" s="24">
        <f>IF($B483="","",IFERROR(IF(VLOOKUP($B483,AcctTbl,6,0)="","—",VLOOKUP($B483,AcctTbl,6,0)),"—"))</f>
        <v/>
      </c>
      <c r="K483" s="35">
        <f>IF(OR($B483="",$H$570=0),"",$H483/$H$570)</f>
        <v/>
      </c>
    </row>
    <row r="484">
      <c r="A484" s="17">
        <f>IF(ROW()-9&gt;NAcctAll,"",ROW()-9)</f>
        <v/>
      </c>
      <c r="B484" s="30">
        <f>IF($A484="","",IF($A484&lt;=NAcctAll,INDEX(PkAcctAll,$A484),""))</f>
        <v/>
      </c>
      <c r="C484" s="22">
        <f>IF($B484="","",IFERROR(IF(VLOOKUP($B484,AcctTbl,4,0)="","(بدون نام)",VLOOKUP($B484,AcctTbl,4,0)),"—"))</f>
        <v/>
      </c>
      <c r="D484" s="18">
        <f>IF($B484="","",IFERROR(IF(VLOOKUP($B484,AcctTbl,3,0)="",IF(VLOOKUP($B484,AcctTbl,2,0)="","—",VLOOKUP($B484,AcctTbl,2,0)),VLOOKUP($B484,AcctTbl,3,0)),"—"))</f>
        <v/>
      </c>
      <c r="E484" s="31">
        <f>IF($B484="","",COUNTIFS(CalcParty,$B484,CalcGroup,"خرید"))</f>
        <v/>
      </c>
      <c r="F484" s="19">
        <f>IF($B484="","",SUMIFS(CalcScale,CalcParty,$B484,CalcGroup,"خرید"))</f>
        <v/>
      </c>
      <c r="G484" s="19">
        <f>IF($B484="","",SUMIFS(CalcBaskets,CalcParty,$B484,CalcGroup,"خرید"))</f>
        <v/>
      </c>
      <c r="H484" s="20">
        <f>IF($B484="","",SUMIFS(CalcNet,CalcParty,$B484,CalcGroup,"خرید"))</f>
        <v/>
      </c>
      <c r="I484" s="18">
        <f>IF($B484="","",IFERROR(IF(VLOOKUP($B484,AcctTbl,5,0)="","—",VLOOKUP($B484,AcctTbl,5,0)),"—"))</f>
        <v/>
      </c>
      <c r="J484" s="18">
        <f>IF($B484="","",IFERROR(IF(VLOOKUP($B484,AcctTbl,6,0)="","—",VLOOKUP($B484,AcctTbl,6,0)),"—"))</f>
        <v/>
      </c>
      <c r="K484" s="32">
        <f>IF(OR($B484="",$H$570=0),"",$H484/$H$570)</f>
        <v/>
      </c>
    </row>
    <row r="485">
      <c r="A485" s="23">
        <f>IF(ROW()-9&gt;NAcctAll,"",ROW()-9)</f>
        <v/>
      </c>
      <c r="B485" s="33">
        <f>IF($A485="","",IF($A485&lt;=NAcctAll,INDEX(PkAcctAll,$A485),""))</f>
        <v/>
      </c>
      <c r="C485" s="28">
        <f>IF($B485="","",IFERROR(IF(VLOOKUP($B485,AcctTbl,4,0)="","(بدون نام)",VLOOKUP($B485,AcctTbl,4,0)),"—"))</f>
        <v/>
      </c>
      <c r="D485" s="24">
        <f>IF($B485="","",IFERROR(IF(VLOOKUP($B485,AcctTbl,3,0)="",IF(VLOOKUP($B485,AcctTbl,2,0)="","—",VLOOKUP($B485,AcctTbl,2,0)),VLOOKUP($B485,AcctTbl,3,0)),"—"))</f>
        <v/>
      </c>
      <c r="E485" s="34">
        <f>IF($B485="","",COUNTIFS(CalcParty,$B485,CalcGroup,"خرید"))</f>
        <v/>
      </c>
      <c r="F485" s="25">
        <f>IF($B485="","",SUMIFS(CalcScale,CalcParty,$B485,CalcGroup,"خرید"))</f>
        <v/>
      </c>
      <c r="G485" s="25">
        <f>IF($B485="","",SUMIFS(CalcBaskets,CalcParty,$B485,CalcGroup,"خرید"))</f>
        <v/>
      </c>
      <c r="H485" s="26">
        <f>IF($B485="","",SUMIFS(CalcNet,CalcParty,$B485,CalcGroup,"خرید"))</f>
        <v/>
      </c>
      <c r="I485" s="24">
        <f>IF($B485="","",IFERROR(IF(VLOOKUP($B485,AcctTbl,5,0)="","—",VLOOKUP($B485,AcctTbl,5,0)),"—"))</f>
        <v/>
      </c>
      <c r="J485" s="24">
        <f>IF($B485="","",IFERROR(IF(VLOOKUP($B485,AcctTbl,6,0)="","—",VLOOKUP($B485,AcctTbl,6,0)),"—"))</f>
        <v/>
      </c>
      <c r="K485" s="35">
        <f>IF(OR($B485="",$H$570=0),"",$H485/$H$570)</f>
        <v/>
      </c>
    </row>
    <row r="486">
      <c r="A486" s="17">
        <f>IF(ROW()-9&gt;NAcctAll,"",ROW()-9)</f>
        <v/>
      </c>
      <c r="B486" s="30">
        <f>IF($A486="","",IF($A486&lt;=NAcctAll,INDEX(PkAcctAll,$A486),""))</f>
        <v/>
      </c>
      <c r="C486" s="22">
        <f>IF($B486="","",IFERROR(IF(VLOOKUP($B486,AcctTbl,4,0)="","(بدون نام)",VLOOKUP($B486,AcctTbl,4,0)),"—"))</f>
        <v/>
      </c>
      <c r="D486" s="18">
        <f>IF($B486="","",IFERROR(IF(VLOOKUP($B486,AcctTbl,3,0)="",IF(VLOOKUP($B486,AcctTbl,2,0)="","—",VLOOKUP($B486,AcctTbl,2,0)),VLOOKUP($B486,AcctTbl,3,0)),"—"))</f>
        <v/>
      </c>
      <c r="E486" s="31">
        <f>IF($B486="","",COUNTIFS(CalcParty,$B486,CalcGroup,"خرید"))</f>
        <v/>
      </c>
      <c r="F486" s="19">
        <f>IF($B486="","",SUMIFS(CalcScale,CalcParty,$B486,CalcGroup,"خرید"))</f>
        <v/>
      </c>
      <c r="G486" s="19">
        <f>IF($B486="","",SUMIFS(CalcBaskets,CalcParty,$B486,CalcGroup,"خرید"))</f>
        <v/>
      </c>
      <c r="H486" s="20">
        <f>IF($B486="","",SUMIFS(CalcNet,CalcParty,$B486,CalcGroup,"خرید"))</f>
        <v/>
      </c>
      <c r="I486" s="18">
        <f>IF($B486="","",IFERROR(IF(VLOOKUP($B486,AcctTbl,5,0)="","—",VLOOKUP($B486,AcctTbl,5,0)),"—"))</f>
        <v/>
      </c>
      <c r="J486" s="18">
        <f>IF($B486="","",IFERROR(IF(VLOOKUP($B486,AcctTbl,6,0)="","—",VLOOKUP($B486,AcctTbl,6,0)),"—"))</f>
        <v/>
      </c>
      <c r="K486" s="32">
        <f>IF(OR($B486="",$H$570=0),"",$H486/$H$570)</f>
        <v/>
      </c>
    </row>
    <row r="487">
      <c r="A487" s="23">
        <f>IF(ROW()-9&gt;NAcctAll,"",ROW()-9)</f>
        <v/>
      </c>
      <c r="B487" s="33">
        <f>IF($A487="","",IF($A487&lt;=NAcctAll,INDEX(PkAcctAll,$A487),""))</f>
        <v/>
      </c>
      <c r="C487" s="28">
        <f>IF($B487="","",IFERROR(IF(VLOOKUP($B487,AcctTbl,4,0)="","(بدون نام)",VLOOKUP($B487,AcctTbl,4,0)),"—"))</f>
        <v/>
      </c>
      <c r="D487" s="24">
        <f>IF($B487="","",IFERROR(IF(VLOOKUP($B487,AcctTbl,3,0)="",IF(VLOOKUP($B487,AcctTbl,2,0)="","—",VLOOKUP($B487,AcctTbl,2,0)),VLOOKUP($B487,AcctTbl,3,0)),"—"))</f>
        <v/>
      </c>
      <c r="E487" s="34">
        <f>IF($B487="","",COUNTIFS(CalcParty,$B487,CalcGroup,"خرید"))</f>
        <v/>
      </c>
      <c r="F487" s="25">
        <f>IF($B487="","",SUMIFS(CalcScale,CalcParty,$B487,CalcGroup,"خرید"))</f>
        <v/>
      </c>
      <c r="G487" s="25">
        <f>IF($B487="","",SUMIFS(CalcBaskets,CalcParty,$B487,CalcGroup,"خرید"))</f>
        <v/>
      </c>
      <c r="H487" s="26">
        <f>IF($B487="","",SUMIFS(CalcNet,CalcParty,$B487,CalcGroup,"خرید"))</f>
        <v/>
      </c>
      <c r="I487" s="24">
        <f>IF($B487="","",IFERROR(IF(VLOOKUP($B487,AcctTbl,5,0)="","—",VLOOKUP($B487,AcctTbl,5,0)),"—"))</f>
        <v/>
      </c>
      <c r="J487" s="24">
        <f>IF($B487="","",IFERROR(IF(VLOOKUP($B487,AcctTbl,6,0)="","—",VLOOKUP($B487,AcctTbl,6,0)),"—"))</f>
        <v/>
      </c>
      <c r="K487" s="35">
        <f>IF(OR($B487="",$H$570=0),"",$H487/$H$570)</f>
        <v/>
      </c>
    </row>
    <row r="488">
      <c r="A488" s="17">
        <f>IF(ROW()-9&gt;NAcctAll,"",ROW()-9)</f>
        <v/>
      </c>
      <c r="B488" s="30">
        <f>IF($A488="","",IF($A488&lt;=NAcctAll,INDEX(PkAcctAll,$A488),""))</f>
        <v/>
      </c>
      <c r="C488" s="22">
        <f>IF($B488="","",IFERROR(IF(VLOOKUP($B488,AcctTbl,4,0)="","(بدون نام)",VLOOKUP($B488,AcctTbl,4,0)),"—"))</f>
        <v/>
      </c>
      <c r="D488" s="18">
        <f>IF($B488="","",IFERROR(IF(VLOOKUP($B488,AcctTbl,3,0)="",IF(VLOOKUP($B488,AcctTbl,2,0)="","—",VLOOKUP($B488,AcctTbl,2,0)),VLOOKUP($B488,AcctTbl,3,0)),"—"))</f>
        <v/>
      </c>
      <c r="E488" s="31">
        <f>IF($B488="","",COUNTIFS(CalcParty,$B488,CalcGroup,"خرید"))</f>
        <v/>
      </c>
      <c r="F488" s="19">
        <f>IF($B488="","",SUMIFS(CalcScale,CalcParty,$B488,CalcGroup,"خرید"))</f>
        <v/>
      </c>
      <c r="G488" s="19">
        <f>IF($B488="","",SUMIFS(CalcBaskets,CalcParty,$B488,CalcGroup,"خرید"))</f>
        <v/>
      </c>
      <c r="H488" s="20">
        <f>IF($B488="","",SUMIFS(CalcNet,CalcParty,$B488,CalcGroup,"خرید"))</f>
        <v/>
      </c>
      <c r="I488" s="18">
        <f>IF($B488="","",IFERROR(IF(VLOOKUP($B488,AcctTbl,5,0)="","—",VLOOKUP($B488,AcctTbl,5,0)),"—"))</f>
        <v/>
      </c>
      <c r="J488" s="18">
        <f>IF($B488="","",IFERROR(IF(VLOOKUP($B488,AcctTbl,6,0)="","—",VLOOKUP($B488,AcctTbl,6,0)),"—"))</f>
        <v/>
      </c>
      <c r="K488" s="32">
        <f>IF(OR($B488="",$H$570=0),"",$H488/$H$570)</f>
        <v/>
      </c>
    </row>
    <row r="489">
      <c r="A489" s="23">
        <f>IF(ROW()-9&gt;NAcctAll,"",ROW()-9)</f>
        <v/>
      </c>
      <c r="B489" s="33">
        <f>IF($A489="","",IF($A489&lt;=NAcctAll,INDEX(PkAcctAll,$A489),""))</f>
        <v/>
      </c>
      <c r="C489" s="28">
        <f>IF($B489="","",IFERROR(IF(VLOOKUP($B489,AcctTbl,4,0)="","(بدون نام)",VLOOKUP($B489,AcctTbl,4,0)),"—"))</f>
        <v/>
      </c>
      <c r="D489" s="24">
        <f>IF($B489="","",IFERROR(IF(VLOOKUP($B489,AcctTbl,3,0)="",IF(VLOOKUP($B489,AcctTbl,2,0)="","—",VLOOKUP($B489,AcctTbl,2,0)),VLOOKUP($B489,AcctTbl,3,0)),"—"))</f>
        <v/>
      </c>
      <c r="E489" s="34">
        <f>IF($B489="","",COUNTIFS(CalcParty,$B489,CalcGroup,"خرید"))</f>
        <v/>
      </c>
      <c r="F489" s="25">
        <f>IF($B489="","",SUMIFS(CalcScale,CalcParty,$B489,CalcGroup,"خرید"))</f>
        <v/>
      </c>
      <c r="G489" s="25">
        <f>IF($B489="","",SUMIFS(CalcBaskets,CalcParty,$B489,CalcGroup,"خرید"))</f>
        <v/>
      </c>
      <c r="H489" s="26">
        <f>IF($B489="","",SUMIFS(CalcNet,CalcParty,$B489,CalcGroup,"خرید"))</f>
        <v/>
      </c>
      <c r="I489" s="24">
        <f>IF($B489="","",IFERROR(IF(VLOOKUP($B489,AcctTbl,5,0)="","—",VLOOKUP($B489,AcctTbl,5,0)),"—"))</f>
        <v/>
      </c>
      <c r="J489" s="24">
        <f>IF($B489="","",IFERROR(IF(VLOOKUP($B489,AcctTbl,6,0)="","—",VLOOKUP($B489,AcctTbl,6,0)),"—"))</f>
        <v/>
      </c>
      <c r="K489" s="35">
        <f>IF(OR($B489="",$H$570=0),"",$H489/$H$570)</f>
        <v/>
      </c>
    </row>
    <row r="490">
      <c r="A490" s="17">
        <f>IF(ROW()-9&gt;NAcctAll,"",ROW()-9)</f>
        <v/>
      </c>
      <c r="B490" s="30">
        <f>IF($A490="","",IF($A490&lt;=NAcctAll,INDEX(PkAcctAll,$A490),""))</f>
        <v/>
      </c>
      <c r="C490" s="22">
        <f>IF($B490="","",IFERROR(IF(VLOOKUP($B490,AcctTbl,4,0)="","(بدون نام)",VLOOKUP($B490,AcctTbl,4,0)),"—"))</f>
        <v/>
      </c>
      <c r="D490" s="18">
        <f>IF($B490="","",IFERROR(IF(VLOOKUP($B490,AcctTbl,3,0)="",IF(VLOOKUP($B490,AcctTbl,2,0)="","—",VLOOKUP($B490,AcctTbl,2,0)),VLOOKUP($B490,AcctTbl,3,0)),"—"))</f>
        <v/>
      </c>
      <c r="E490" s="31">
        <f>IF($B490="","",COUNTIFS(CalcParty,$B490,CalcGroup,"خرید"))</f>
        <v/>
      </c>
      <c r="F490" s="19">
        <f>IF($B490="","",SUMIFS(CalcScale,CalcParty,$B490,CalcGroup,"خرید"))</f>
        <v/>
      </c>
      <c r="G490" s="19">
        <f>IF($B490="","",SUMIFS(CalcBaskets,CalcParty,$B490,CalcGroup,"خرید"))</f>
        <v/>
      </c>
      <c r="H490" s="20">
        <f>IF($B490="","",SUMIFS(CalcNet,CalcParty,$B490,CalcGroup,"خرید"))</f>
        <v/>
      </c>
      <c r="I490" s="18">
        <f>IF($B490="","",IFERROR(IF(VLOOKUP($B490,AcctTbl,5,0)="","—",VLOOKUP($B490,AcctTbl,5,0)),"—"))</f>
        <v/>
      </c>
      <c r="J490" s="18">
        <f>IF($B490="","",IFERROR(IF(VLOOKUP($B490,AcctTbl,6,0)="","—",VLOOKUP($B490,AcctTbl,6,0)),"—"))</f>
        <v/>
      </c>
      <c r="K490" s="32">
        <f>IF(OR($B490="",$H$570=0),"",$H490/$H$570)</f>
        <v/>
      </c>
    </row>
    <row r="491">
      <c r="A491" s="23">
        <f>IF(ROW()-9&gt;NAcctAll,"",ROW()-9)</f>
        <v/>
      </c>
      <c r="B491" s="33">
        <f>IF($A491="","",IF($A491&lt;=NAcctAll,INDEX(PkAcctAll,$A491),""))</f>
        <v/>
      </c>
      <c r="C491" s="28">
        <f>IF($B491="","",IFERROR(IF(VLOOKUP($B491,AcctTbl,4,0)="","(بدون نام)",VLOOKUP($B491,AcctTbl,4,0)),"—"))</f>
        <v/>
      </c>
      <c r="D491" s="24">
        <f>IF($B491="","",IFERROR(IF(VLOOKUP($B491,AcctTbl,3,0)="",IF(VLOOKUP($B491,AcctTbl,2,0)="","—",VLOOKUP($B491,AcctTbl,2,0)),VLOOKUP($B491,AcctTbl,3,0)),"—"))</f>
        <v/>
      </c>
      <c r="E491" s="34">
        <f>IF($B491="","",COUNTIFS(CalcParty,$B491,CalcGroup,"خرید"))</f>
        <v/>
      </c>
      <c r="F491" s="25">
        <f>IF($B491="","",SUMIFS(CalcScale,CalcParty,$B491,CalcGroup,"خرید"))</f>
        <v/>
      </c>
      <c r="G491" s="25">
        <f>IF($B491="","",SUMIFS(CalcBaskets,CalcParty,$B491,CalcGroup,"خرید"))</f>
        <v/>
      </c>
      <c r="H491" s="26">
        <f>IF($B491="","",SUMIFS(CalcNet,CalcParty,$B491,CalcGroup,"خرید"))</f>
        <v/>
      </c>
      <c r="I491" s="24">
        <f>IF($B491="","",IFERROR(IF(VLOOKUP($B491,AcctTbl,5,0)="","—",VLOOKUP($B491,AcctTbl,5,0)),"—"))</f>
        <v/>
      </c>
      <c r="J491" s="24">
        <f>IF($B491="","",IFERROR(IF(VLOOKUP($B491,AcctTbl,6,0)="","—",VLOOKUP($B491,AcctTbl,6,0)),"—"))</f>
        <v/>
      </c>
      <c r="K491" s="35">
        <f>IF(OR($B491="",$H$570=0),"",$H491/$H$570)</f>
        <v/>
      </c>
    </row>
    <row r="492">
      <c r="A492" s="17">
        <f>IF(ROW()-9&gt;NAcctAll,"",ROW()-9)</f>
        <v/>
      </c>
      <c r="B492" s="30">
        <f>IF($A492="","",IF($A492&lt;=NAcctAll,INDEX(PkAcctAll,$A492),""))</f>
        <v/>
      </c>
      <c r="C492" s="22">
        <f>IF($B492="","",IFERROR(IF(VLOOKUP($B492,AcctTbl,4,0)="","(بدون نام)",VLOOKUP($B492,AcctTbl,4,0)),"—"))</f>
        <v/>
      </c>
      <c r="D492" s="18">
        <f>IF($B492="","",IFERROR(IF(VLOOKUP($B492,AcctTbl,3,0)="",IF(VLOOKUP($B492,AcctTbl,2,0)="","—",VLOOKUP($B492,AcctTbl,2,0)),VLOOKUP($B492,AcctTbl,3,0)),"—"))</f>
        <v/>
      </c>
      <c r="E492" s="31">
        <f>IF($B492="","",COUNTIFS(CalcParty,$B492,CalcGroup,"خرید"))</f>
        <v/>
      </c>
      <c r="F492" s="19">
        <f>IF($B492="","",SUMIFS(CalcScale,CalcParty,$B492,CalcGroup,"خرید"))</f>
        <v/>
      </c>
      <c r="G492" s="19">
        <f>IF($B492="","",SUMIFS(CalcBaskets,CalcParty,$B492,CalcGroup,"خرید"))</f>
        <v/>
      </c>
      <c r="H492" s="20">
        <f>IF($B492="","",SUMIFS(CalcNet,CalcParty,$B492,CalcGroup,"خرید"))</f>
        <v/>
      </c>
      <c r="I492" s="18">
        <f>IF($B492="","",IFERROR(IF(VLOOKUP($B492,AcctTbl,5,0)="","—",VLOOKUP($B492,AcctTbl,5,0)),"—"))</f>
        <v/>
      </c>
      <c r="J492" s="18">
        <f>IF($B492="","",IFERROR(IF(VLOOKUP($B492,AcctTbl,6,0)="","—",VLOOKUP($B492,AcctTbl,6,0)),"—"))</f>
        <v/>
      </c>
      <c r="K492" s="32">
        <f>IF(OR($B492="",$H$570=0),"",$H492/$H$570)</f>
        <v/>
      </c>
    </row>
    <row r="493">
      <c r="A493" s="23">
        <f>IF(ROW()-9&gt;NAcctAll,"",ROW()-9)</f>
        <v/>
      </c>
      <c r="B493" s="33">
        <f>IF($A493="","",IF($A493&lt;=NAcctAll,INDEX(PkAcctAll,$A493),""))</f>
        <v/>
      </c>
      <c r="C493" s="28">
        <f>IF($B493="","",IFERROR(IF(VLOOKUP($B493,AcctTbl,4,0)="","(بدون نام)",VLOOKUP($B493,AcctTbl,4,0)),"—"))</f>
        <v/>
      </c>
      <c r="D493" s="24">
        <f>IF($B493="","",IFERROR(IF(VLOOKUP($B493,AcctTbl,3,0)="",IF(VLOOKUP($B493,AcctTbl,2,0)="","—",VLOOKUP($B493,AcctTbl,2,0)),VLOOKUP($B493,AcctTbl,3,0)),"—"))</f>
        <v/>
      </c>
      <c r="E493" s="34">
        <f>IF($B493="","",COUNTIFS(CalcParty,$B493,CalcGroup,"خرید"))</f>
        <v/>
      </c>
      <c r="F493" s="25">
        <f>IF($B493="","",SUMIFS(CalcScale,CalcParty,$B493,CalcGroup,"خرید"))</f>
        <v/>
      </c>
      <c r="G493" s="25">
        <f>IF($B493="","",SUMIFS(CalcBaskets,CalcParty,$B493,CalcGroup,"خرید"))</f>
        <v/>
      </c>
      <c r="H493" s="26">
        <f>IF($B493="","",SUMIFS(CalcNet,CalcParty,$B493,CalcGroup,"خرید"))</f>
        <v/>
      </c>
      <c r="I493" s="24">
        <f>IF($B493="","",IFERROR(IF(VLOOKUP($B493,AcctTbl,5,0)="","—",VLOOKUP($B493,AcctTbl,5,0)),"—"))</f>
        <v/>
      </c>
      <c r="J493" s="24">
        <f>IF($B493="","",IFERROR(IF(VLOOKUP($B493,AcctTbl,6,0)="","—",VLOOKUP($B493,AcctTbl,6,0)),"—"))</f>
        <v/>
      </c>
      <c r="K493" s="35">
        <f>IF(OR($B493="",$H$570=0),"",$H493/$H$570)</f>
        <v/>
      </c>
    </row>
    <row r="494">
      <c r="A494" s="17">
        <f>IF(ROW()-9&gt;NAcctAll,"",ROW()-9)</f>
        <v/>
      </c>
      <c r="B494" s="30">
        <f>IF($A494="","",IF($A494&lt;=NAcctAll,INDEX(PkAcctAll,$A494),""))</f>
        <v/>
      </c>
      <c r="C494" s="22">
        <f>IF($B494="","",IFERROR(IF(VLOOKUP($B494,AcctTbl,4,0)="","(بدون نام)",VLOOKUP($B494,AcctTbl,4,0)),"—"))</f>
        <v/>
      </c>
      <c r="D494" s="18">
        <f>IF($B494="","",IFERROR(IF(VLOOKUP($B494,AcctTbl,3,0)="",IF(VLOOKUP($B494,AcctTbl,2,0)="","—",VLOOKUP($B494,AcctTbl,2,0)),VLOOKUP($B494,AcctTbl,3,0)),"—"))</f>
        <v/>
      </c>
      <c r="E494" s="31">
        <f>IF($B494="","",COUNTIFS(CalcParty,$B494,CalcGroup,"خرید"))</f>
        <v/>
      </c>
      <c r="F494" s="19">
        <f>IF($B494="","",SUMIFS(CalcScale,CalcParty,$B494,CalcGroup,"خرید"))</f>
        <v/>
      </c>
      <c r="G494" s="19">
        <f>IF($B494="","",SUMIFS(CalcBaskets,CalcParty,$B494,CalcGroup,"خرید"))</f>
        <v/>
      </c>
      <c r="H494" s="20">
        <f>IF($B494="","",SUMIFS(CalcNet,CalcParty,$B494,CalcGroup,"خرید"))</f>
        <v/>
      </c>
      <c r="I494" s="18">
        <f>IF($B494="","",IFERROR(IF(VLOOKUP($B494,AcctTbl,5,0)="","—",VLOOKUP($B494,AcctTbl,5,0)),"—"))</f>
        <v/>
      </c>
      <c r="J494" s="18">
        <f>IF($B494="","",IFERROR(IF(VLOOKUP($B494,AcctTbl,6,0)="","—",VLOOKUP($B494,AcctTbl,6,0)),"—"))</f>
        <v/>
      </c>
      <c r="K494" s="32">
        <f>IF(OR($B494="",$H$570=0),"",$H494/$H$570)</f>
        <v/>
      </c>
    </row>
    <row r="495">
      <c r="A495" s="23">
        <f>IF(ROW()-9&gt;NAcctAll,"",ROW()-9)</f>
        <v/>
      </c>
      <c r="B495" s="33">
        <f>IF($A495="","",IF($A495&lt;=NAcctAll,INDEX(PkAcctAll,$A495),""))</f>
        <v/>
      </c>
      <c r="C495" s="28">
        <f>IF($B495="","",IFERROR(IF(VLOOKUP($B495,AcctTbl,4,0)="","(بدون نام)",VLOOKUP($B495,AcctTbl,4,0)),"—"))</f>
        <v/>
      </c>
      <c r="D495" s="24">
        <f>IF($B495="","",IFERROR(IF(VLOOKUP($B495,AcctTbl,3,0)="",IF(VLOOKUP($B495,AcctTbl,2,0)="","—",VLOOKUP($B495,AcctTbl,2,0)),VLOOKUP($B495,AcctTbl,3,0)),"—"))</f>
        <v/>
      </c>
      <c r="E495" s="34">
        <f>IF($B495="","",COUNTIFS(CalcParty,$B495,CalcGroup,"خرید"))</f>
        <v/>
      </c>
      <c r="F495" s="25">
        <f>IF($B495="","",SUMIFS(CalcScale,CalcParty,$B495,CalcGroup,"خرید"))</f>
        <v/>
      </c>
      <c r="G495" s="25">
        <f>IF($B495="","",SUMIFS(CalcBaskets,CalcParty,$B495,CalcGroup,"خرید"))</f>
        <v/>
      </c>
      <c r="H495" s="26">
        <f>IF($B495="","",SUMIFS(CalcNet,CalcParty,$B495,CalcGroup,"خرید"))</f>
        <v/>
      </c>
      <c r="I495" s="24">
        <f>IF($B495="","",IFERROR(IF(VLOOKUP($B495,AcctTbl,5,0)="","—",VLOOKUP($B495,AcctTbl,5,0)),"—"))</f>
        <v/>
      </c>
      <c r="J495" s="24">
        <f>IF($B495="","",IFERROR(IF(VLOOKUP($B495,AcctTbl,6,0)="","—",VLOOKUP($B495,AcctTbl,6,0)),"—"))</f>
        <v/>
      </c>
      <c r="K495" s="35">
        <f>IF(OR($B495="",$H$570=0),"",$H495/$H$570)</f>
        <v/>
      </c>
    </row>
    <row r="496">
      <c r="A496" s="17">
        <f>IF(ROW()-9&gt;NAcctAll,"",ROW()-9)</f>
        <v/>
      </c>
      <c r="B496" s="30">
        <f>IF($A496="","",IF($A496&lt;=NAcctAll,INDEX(PkAcctAll,$A496),""))</f>
        <v/>
      </c>
      <c r="C496" s="22">
        <f>IF($B496="","",IFERROR(IF(VLOOKUP($B496,AcctTbl,4,0)="","(بدون نام)",VLOOKUP($B496,AcctTbl,4,0)),"—"))</f>
        <v/>
      </c>
      <c r="D496" s="18">
        <f>IF($B496="","",IFERROR(IF(VLOOKUP($B496,AcctTbl,3,0)="",IF(VLOOKUP($B496,AcctTbl,2,0)="","—",VLOOKUP($B496,AcctTbl,2,0)),VLOOKUP($B496,AcctTbl,3,0)),"—"))</f>
        <v/>
      </c>
      <c r="E496" s="31">
        <f>IF($B496="","",COUNTIFS(CalcParty,$B496,CalcGroup,"خرید"))</f>
        <v/>
      </c>
      <c r="F496" s="19">
        <f>IF($B496="","",SUMIFS(CalcScale,CalcParty,$B496,CalcGroup,"خرید"))</f>
        <v/>
      </c>
      <c r="G496" s="19">
        <f>IF($B496="","",SUMIFS(CalcBaskets,CalcParty,$B496,CalcGroup,"خرید"))</f>
        <v/>
      </c>
      <c r="H496" s="20">
        <f>IF($B496="","",SUMIFS(CalcNet,CalcParty,$B496,CalcGroup,"خرید"))</f>
        <v/>
      </c>
      <c r="I496" s="18">
        <f>IF($B496="","",IFERROR(IF(VLOOKUP($B496,AcctTbl,5,0)="","—",VLOOKUP($B496,AcctTbl,5,0)),"—"))</f>
        <v/>
      </c>
      <c r="J496" s="18">
        <f>IF($B496="","",IFERROR(IF(VLOOKUP($B496,AcctTbl,6,0)="","—",VLOOKUP($B496,AcctTbl,6,0)),"—"))</f>
        <v/>
      </c>
      <c r="K496" s="32">
        <f>IF(OR($B496="",$H$570=0),"",$H496/$H$570)</f>
        <v/>
      </c>
    </row>
    <row r="497">
      <c r="A497" s="23">
        <f>IF(ROW()-9&gt;NAcctAll,"",ROW()-9)</f>
        <v/>
      </c>
      <c r="B497" s="33">
        <f>IF($A497="","",IF($A497&lt;=NAcctAll,INDEX(PkAcctAll,$A497),""))</f>
        <v/>
      </c>
      <c r="C497" s="28">
        <f>IF($B497="","",IFERROR(IF(VLOOKUP($B497,AcctTbl,4,0)="","(بدون نام)",VLOOKUP($B497,AcctTbl,4,0)),"—"))</f>
        <v/>
      </c>
      <c r="D497" s="24">
        <f>IF($B497="","",IFERROR(IF(VLOOKUP($B497,AcctTbl,3,0)="",IF(VLOOKUP($B497,AcctTbl,2,0)="","—",VLOOKUP($B497,AcctTbl,2,0)),VLOOKUP($B497,AcctTbl,3,0)),"—"))</f>
        <v/>
      </c>
      <c r="E497" s="34">
        <f>IF($B497="","",COUNTIFS(CalcParty,$B497,CalcGroup,"خرید"))</f>
        <v/>
      </c>
      <c r="F497" s="25">
        <f>IF($B497="","",SUMIFS(CalcScale,CalcParty,$B497,CalcGroup,"خرید"))</f>
        <v/>
      </c>
      <c r="G497" s="25">
        <f>IF($B497="","",SUMIFS(CalcBaskets,CalcParty,$B497,CalcGroup,"خرید"))</f>
        <v/>
      </c>
      <c r="H497" s="26">
        <f>IF($B497="","",SUMIFS(CalcNet,CalcParty,$B497,CalcGroup,"خرید"))</f>
        <v/>
      </c>
      <c r="I497" s="24">
        <f>IF($B497="","",IFERROR(IF(VLOOKUP($B497,AcctTbl,5,0)="","—",VLOOKUP($B497,AcctTbl,5,0)),"—"))</f>
        <v/>
      </c>
      <c r="J497" s="24">
        <f>IF($B497="","",IFERROR(IF(VLOOKUP($B497,AcctTbl,6,0)="","—",VLOOKUP($B497,AcctTbl,6,0)),"—"))</f>
        <v/>
      </c>
      <c r="K497" s="35">
        <f>IF(OR($B497="",$H$570=0),"",$H497/$H$570)</f>
        <v/>
      </c>
    </row>
    <row r="498">
      <c r="A498" s="17">
        <f>IF(ROW()-9&gt;NAcctAll,"",ROW()-9)</f>
        <v/>
      </c>
      <c r="B498" s="30">
        <f>IF($A498="","",IF($A498&lt;=NAcctAll,INDEX(PkAcctAll,$A498),""))</f>
        <v/>
      </c>
      <c r="C498" s="22">
        <f>IF($B498="","",IFERROR(IF(VLOOKUP($B498,AcctTbl,4,0)="","(بدون نام)",VLOOKUP($B498,AcctTbl,4,0)),"—"))</f>
        <v/>
      </c>
      <c r="D498" s="18">
        <f>IF($B498="","",IFERROR(IF(VLOOKUP($B498,AcctTbl,3,0)="",IF(VLOOKUP($B498,AcctTbl,2,0)="","—",VLOOKUP($B498,AcctTbl,2,0)),VLOOKUP($B498,AcctTbl,3,0)),"—"))</f>
        <v/>
      </c>
      <c r="E498" s="31">
        <f>IF($B498="","",COUNTIFS(CalcParty,$B498,CalcGroup,"خرید"))</f>
        <v/>
      </c>
      <c r="F498" s="19">
        <f>IF($B498="","",SUMIFS(CalcScale,CalcParty,$B498,CalcGroup,"خرید"))</f>
        <v/>
      </c>
      <c r="G498" s="19">
        <f>IF($B498="","",SUMIFS(CalcBaskets,CalcParty,$B498,CalcGroup,"خرید"))</f>
        <v/>
      </c>
      <c r="H498" s="20">
        <f>IF($B498="","",SUMIFS(CalcNet,CalcParty,$B498,CalcGroup,"خرید"))</f>
        <v/>
      </c>
      <c r="I498" s="18">
        <f>IF($B498="","",IFERROR(IF(VLOOKUP($B498,AcctTbl,5,0)="","—",VLOOKUP($B498,AcctTbl,5,0)),"—"))</f>
        <v/>
      </c>
      <c r="J498" s="18">
        <f>IF($B498="","",IFERROR(IF(VLOOKUP($B498,AcctTbl,6,0)="","—",VLOOKUP($B498,AcctTbl,6,0)),"—"))</f>
        <v/>
      </c>
      <c r="K498" s="32">
        <f>IF(OR($B498="",$H$570=0),"",$H498/$H$570)</f>
        <v/>
      </c>
    </row>
    <row r="499">
      <c r="A499" s="23">
        <f>IF(ROW()-9&gt;NAcctAll,"",ROW()-9)</f>
        <v/>
      </c>
      <c r="B499" s="33">
        <f>IF($A499="","",IF($A499&lt;=NAcctAll,INDEX(PkAcctAll,$A499),""))</f>
        <v/>
      </c>
      <c r="C499" s="28">
        <f>IF($B499="","",IFERROR(IF(VLOOKUP($B499,AcctTbl,4,0)="","(بدون نام)",VLOOKUP($B499,AcctTbl,4,0)),"—"))</f>
        <v/>
      </c>
      <c r="D499" s="24">
        <f>IF($B499="","",IFERROR(IF(VLOOKUP($B499,AcctTbl,3,0)="",IF(VLOOKUP($B499,AcctTbl,2,0)="","—",VLOOKUP($B499,AcctTbl,2,0)),VLOOKUP($B499,AcctTbl,3,0)),"—"))</f>
        <v/>
      </c>
      <c r="E499" s="34">
        <f>IF($B499="","",COUNTIFS(CalcParty,$B499,CalcGroup,"خرید"))</f>
        <v/>
      </c>
      <c r="F499" s="25">
        <f>IF($B499="","",SUMIFS(CalcScale,CalcParty,$B499,CalcGroup,"خرید"))</f>
        <v/>
      </c>
      <c r="G499" s="25">
        <f>IF($B499="","",SUMIFS(CalcBaskets,CalcParty,$B499,CalcGroup,"خرید"))</f>
        <v/>
      </c>
      <c r="H499" s="26">
        <f>IF($B499="","",SUMIFS(CalcNet,CalcParty,$B499,CalcGroup,"خرید"))</f>
        <v/>
      </c>
      <c r="I499" s="24">
        <f>IF($B499="","",IFERROR(IF(VLOOKUP($B499,AcctTbl,5,0)="","—",VLOOKUP($B499,AcctTbl,5,0)),"—"))</f>
        <v/>
      </c>
      <c r="J499" s="24">
        <f>IF($B499="","",IFERROR(IF(VLOOKUP($B499,AcctTbl,6,0)="","—",VLOOKUP($B499,AcctTbl,6,0)),"—"))</f>
        <v/>
      </c>
      <c r="K499" s="35">
        <f>IF(OR($B499="",$H$570=0),"",$H499/$H$570)</f>
        <v/>
      </c>
    </row>
    <row r="500">
      <c r="A500" s="17">
        <f>IF(ROW()-9&gt;NAcctAll,"",ROW()-9)</f>
        <v/>
      </c>
      <c r="B500" s="30">
        <f>IF($A500="","",IF($A500&lt;=NAcctAll,INDEX(PkAcctAll,$A500),""))</f>
        <v/>
      </c>
      <c r="C500" s="22">
        <f>IF($B500="","",IFERROR(IF(VLOOKUP($B500,AcctTbl,4,0)="","(بدون نام)",VLOOKUP($B500,AcctTbl,4,0)),"—"))</f>
        <v/>
      </c>
      <c r="D500" s="18">
        <f>IF($B500="","",IFERROR(IF(VLOOKUP($B500,AcctTbl,3,0)="",IF(VLOOKUP($B500,AcctTbl,2,0)="","—",VLOOKUP($B500,AcctTbl,2,0)),VLOOKUP($B500,AcctTbl,3,0)),"—"))</f>
        <v/>
      </c>
      <c r="E500" s="31">
        <f>IF($B500="","",COUNTIFS(CalcParty,$B500,CalcGroup,"خرید"))</f>
        <v/>
      </c>
      <c r="F500" s="19">
        <f>IF($B500="","",SUMIFS(CalcScale,CalcParty,$B500,CalcGroup,"خرید"))</f>
        <v/>
      </c>
      <c r="G500" s="19">
        <f>IF($B500="","",SUMIFS(CalcBaskets,CalcParty,$B500,CalcGroup,"خرید"))</f>
        <v/>
      </c>
      <c r="H500" s="20">
        <f>IF($B500="","",SUMIFS(CalcNet,CalcParty,$B500,CalcGroup,"خرید"))</f>
        <v/>
      </c>
      <c r="I500" s="18">
        <f>IF($B500="","",IFERROR(IF(VLOOKUP($B500,AcctTbl,5,0)="","—",VLOOKUP($B500,AcctTbl,5,0)),"—"))</f>
        <v/>
      </c>
      <c r="J500" s="18">
        <f>IF($B500="","",IFERROR(IF(VLOOKUP($B500,AcctTbl,6,0)="","—",VLOOKUP($B500,AcctTbl,6,0)),"—"))</f>
        <v/>
      </c>
      <c r="K500" s="32">
        <f>IF(OR($B500="",$H$570=0),"",$H500/$H$570)</f>
        <v/>
      </c>
    </row>
    <row r="501">
      <c r="A501" s="23">
        <f>IF(ROW()-9&gt;NAcctAll,"",ROW()-9)</f>
        <v/>
      </c>
      <c r="B501" s="33">
        <f>IF($A501="","",IF($A501&lt;=NAcctAll,INDEX(PkAcctAll,$A501),""))</f>
        <v/>
      </c>
      <c r="C501" s="28">
        <f>IF($B501="","",IFERROR(IF(VLOOKUP($B501,AcctTbl,4,0)="","(بدون نام)",VLOOKUP($B501,AcctTbl,4,0)),"—"))</f>
        <v/>
      </c>
      <c r="D501" s="24">
        <f>IF($B501="","",IFERROR(IF(VLOOKUP($B501,AcctTbl,3,0)="",IF(VLOOKUP($B501,AcctTbl,2,0)="","—",VLOOKUP($B501,AcctTbl,2,0)),VLOOKUP($B501,AcctTbl,3,0)),"—"))</f>
        <v/>
      </c>
      <c r="E501" s="34">
        <f>IF($B501="","",COUNTIFS(CalcParty,$B501,CalcGroup,"خرید"))</f>
        <v/>
      </c>
      <c r="F501" s="25">
        <f>IF($B501="","",SUMIFS(CalcScale,CalcParty,$B501,CalcGroup,"خرید"))</f>
        <v/>
      </c>
      <c r="G501" s="25">
        <f>IF($B501="","",SUMIFS(CalcBaskets,CalcParty,$B501,CalcGroup,"خرید"))</f>
        <v/>
      </c>
      <c r="H501" s="26">
        <f>IF($B501="","",SUMIFS(CalcNet,CalcParty,$B501,CalcGroup,"خرید"))</f>
        <v/>
      </c>
      <c r="I501" s="24">
        <f>IF($B501="","",IFERROR(IF(VLOOKUP($B501,AcctTbl,5,0)="","—",VLOOKUP($B501,AcctTbl,5,0)),"—"))</f>
        <v/>
      </c>
      <c r="J501" s="24">
        <f>IF($B501="","",IFERROR(IF(VLOOKUP($B501,AcctTbl,6,0)="","—",VLOOKUP($B501,AcctTbl,6,0)),"—"))</f>
        <v/>
      </c>
      <c r="K501" s="35">
        <f>IF(OR($B501="",$H$570=0),"",$H501/$H$570)</f>
        <v/>
      </c>
    </row>
    <row r="502">
      <c r="A502" s="17">
        <f>IF(ROW()-9&gt;NAcctAll,"",ROW()-9)</f>
        <v/>
      </c>
      <c r="B502" s="30">
        <f>IF($A502="","",IF($A502&lt;=NAcctAll,INDEX(PkAcctAll,$A502),""))</f>
        <v/>
      </c>
      <c r="C502" s="22">
        <f>IF($B502="","",IFERROR(IF(VLOOKUP($B502,AcctTbl,4,0)="","(بدون نام)",VLOOKUP($B502,AcctTbl,4,0)),"—"))</f>
        <v/>
      </c>
      <c r="D502" s="18">
        <f>IF($B502="","",IFERROR(IF(VLOOKUP($B502,AcctTbl,3,0)="",IF(VLOOKUP($B502,AcctTbl,2,0)="","—",VLOOKUP($B502,AcctTbl,2,0)),VLOOKUP($B502,AcctTbl,3,0)),"—"))</f>
        <v/>
      </c>
      <c r="E502" s="31">
        <f>IF($B502="","",COUNTIFS(CalcParty,$B502,CalcGroup,"خرید"))</f>
        <v/>
      </c>
      <c r="F502" s="19">
        <f>IF($B502="","",SUMIFS(CalcScale,CalcParty,$B502,CalcGroup,"خرید"))</f>
        <v/>
      </c>
      <c r="G502" s="19">
        <f>IF($B502="","",SUMIFS(CalcBaskets,CalcParty,$B502,CalcGroup,"خرید"))</f>
        <v/>
      </c>
      <c r="H502" s="20">
        <f>IF($B502="","",SUMIFS(CalcNet,CalcParty,$B502,CalcGroup,"خرید"))</f>
        <v/>
      </c>
      <c r="I502" s="18">
        <f>IF($B502="","",IFERROR(IF(VLOOKUP($B502,AcctTbl,5,0)="","—",VLOOKUP($B502,AcctTbl,5,0)),"—"))</f>
        <v/>
      </c>
      <c r="J502" s="18">
        <f>IF($B502="","",IFERROR(IF(VLOOKUP($B502,AcctTbl,6,0)="","—",VLOOKUP($B502,AcctTbl,6,0)),"—"))</f>
        <v/>
      </c>
      <c r="K502" s="32">
        <f>IF(OR($B502="",$H$570=0),"",$H502/$H$570)</f>
        <v/>
      </c>
    </row>
    <row r="503">
      <c r="A503" s="23">
        <f>IF(ROW()-9&gt;NAcctAll,"",ROW()-9)</f>
        <v/>
      </c>
      <c r="B503" s="33">
        <f>IF($A503="","",IF($A503&lt;=NAcctAll,INDEX(PkAcctAll,$A503),""))</f>
        <v/>
      </c>
      <c r="C503" s="28">
        <f>IF($B503="","",IFERROR(IF(VLOOKUP($B503,AcctTbl,4,0)="","(بدون نام)",VLOOKUP($B503,AcctTbl,4,0)),"—"))</f>
        <v/>
      </c>
      <c r="D503" s="24">
        <f>IF($B503="","",IFERROR(IF(VLOOKUP($B503,AcctTbl,3,0)="",IF(VLOOKUP($B503,AcctTbl,2,0)="","—",VLOOKUP($B503,AcctTbl,2,0)),VLOOKUP($B503,AcctTbl,3,0)),"—"))</f>
        <v/>
      </c>
      <c r="E503" s="34">
        <f>IF($B503="","",COUNTIFS(CalcParty,$B503,CalcGroup,"خرید"))</f>
        <v/>
      </c>
      <c r="F503" s="25">
        <f>IF($B503="","",SUMIFS(CalcScale,CalcParty,$B503,CalcGroup,"خرید"))</f>
        <v/>
      </c>
      <c r="G503" s="25">
        <f>IF($B503="","",SUMIFS(CalcBaskets,CalcParty,$B503,CalcGroup,"خرید"))</f>
        <v/>
      </c>
      <c r="H503" s="26">
        <f>IF($B503="","",SUMIFS(CalcNet,CalcParty,$B503,CalcGroup,"خرید"))</f>
        <v/>
      </c>
      <c r="I503" s="24">
        <f>IF($B503="","",IFERROR(IF(VLOOKUP($B503,AcctTbl,5,0)="","—",VLOOKUP($B503,AcctTbl,5,0)),"—"))</f>
        <v/>
      </c>
      <c r="J503" s="24">
        <f>IF($B503="","",IFERROR(IF(VLOOKUP($B503,AcctTbl,6,0)="","—",VLOOKUP($B503,AcctTbl,6,0)),"—"))</f>
        <v/>
      </c>
      <c r="K503" s="35">
        <f>IF(OR($B503="",$H$570=0),"",$H503/$H$570)</f>
        <v/>
      </c>
    </row>
    <row r="504">
      <c r="A504" s="17">
        <f>IF(ROW()-9&gt;NAcctAll,"",ROW()-9)</f>
        <v/>
      </c>
      <c r="B504" s="30">
        <f>IF($A504="","",IF($A504&lt;=NAcctAll,INDEX(PkAcctAll,$A504),""))</f>
        <v/>
      </c>
      <c r="C504" s="22">
        <f>IF($B504="","",IFERROR(IF(VLOOKUP($B504,AcctTbl,4,0)="","(بدون نام)",VLOOKUP($B504,AcctTbl,4,0)),"—"))</f>
        <v/>
      </c>
      <c r="D504" s="18">
        <f>IF($B504="","",IFERROR(IF(VLOOKUP($B504,AcctTbl,3,0)="",IF(VLOOKUP($B504,AcctTbl,2,0)="","—",VLOOKUP($B504,AcctTbl,2,0)),VLOOKUP($B504,AcctTbl,3,0)),"—"))</f>
        <v/>
      </c>
      <c r="E504" s="31">
        <f>IF($B504="","",COUNTIFS(CalcParty,$B504,CalcGroup,"خرید"))</f>
        <v/>
      </c>
      <c r="F504" s="19">
        <f>IF($B504="","",SUMIFS(CalcScale,CalcParty,$B504,CalcGroup,"خرید"))</f>
        <v/>
      </c>
      <c r="G504" s="19">
        <f>IF($B504="","",SUMIFS(CalcBaskets,CalcParty,$B504,CalcGroup,"خرید"))</f>
        <v/>
      </c>
      <c r="H504" s="20">
        <f>IF($B504="","",SUMIFS(CalcNet,CalcParty,$B504,CalcGroup,"خرید"))</f>
        <v/>
      </c>
      <c r="I504" s="18">
        <f>IF($B504="","",IFERROR(IF(VLOOKUP($B504,AcctTbl,5,0)="","—",VLOOKUP($B504,AcctTbl,5,0)),"—"))</f>
        <v/>
      </c>
      <c r="J504" s="18">
        <f>IF($B504="","",IFERROR(IF(VLOOKUP($B504,AcctTbl,6,0)="","—",VLOOKUP($B504,AcctTbl,6,0)),"—"))</f>
        <v/>
      </c>
      <c r="K504" s="32">
        <f>IF(OR($B504="",$H$570=0),"",$H504/$H$570)</f>
        <v/>
      </c>
    </row>
    <row r="505">
      <c r="A505" s="23">
        <f>IF(ROW()-9&gt;NAcctAll,"",ROW()-9)</f>
        <v/>
      </c>
      <c r="B505" s="33">
        <f>IF($A505="","",IF($A505&lt;=NAcctAll,INDEX(PkAcctAll,$A505),""))</f>
        <v/>
      </c>
      <c r="C505" s="28">
        <f>IF($B505="","",IFERROR(IF(VLOOKUP($B505,AcctTbl,4,0)="","(بدون نام)",VLOOKUP($B505,AcctTbl,4,0)),"—"))</f>
        <v/>
      </c>
      <c r="D505" s="24">
        <f>IF($B505="","",IFERROR(IF(VLOOKUP($B505,AcctTbl,3,0)="",IF(VLOOKUP($B505,AcctTbl,2,0)="","—",VLOOKUP($B505,AcctTbl,2,0)),VLOOKUP($B505,AcctTbl,3,0)),"—"))</f>
        <v/>
      </c>
      <c r="E505" s="34">
        <f>IF($B505="","",COUNTIFS(CalcParty,$B505,CalcGroup,"خرید"))</f>
        <v/>
      </c>
      <c r="F505" s="25">
        <f>IF($B505="","",SUMIFS(CalcScale,CalcParty,$B505,CalcGroup,"خرید"))</f>
        <v/>
      </c>
      <c r="G505" s="25">
        <f>IF($B505="","",SUMIFS(CalcBaskets,CalcParty,$B505,CalcGroup,"خرید"))</f>
        <v/>
      </c>
      <c r="H505" s="26">
        <f>IF($B505="","",SUMIFS(CalcNet,CalcParty,$B505,CalcGroup,"خرید"))</f>
        <v/>
      </c>
      <c r="I505" s="24">
        <f>IF($B505="","",IFERROR(IF(VLOOKUP($B505,AcctTbl,5,0)="","—",VLOOKUP($B505,AcctTbl,5,0)),"—"))</f>
        <v/>
      </c>
      <c r="J505" s="24">
        <f>IF($B505="","",IFERROR(IF(VLOOKUP($B505,AcctTbl,6,0)="","—",VLOOKUP($B505,AcctTbl,6,0)),"—"))</f>
        <v/>
      </c>
      <c r="K505" s="35">
        <f>IF(OR($B505="",$H$570=0),"",$H505/$H$570)</f>
        <v/>
      </c>
    </row>
    <row r="506">
      <c r="A506" s="17">
        <f>IF(ROW()-9&gt;NAcctAll,"",ROW()-9)</f>
        <v/>
      </c>
      <c r="B506" s="30">
        <f>IF($A506="","",IF($A506&lt;=NAcctAll,INDEX(PkAcctAll,$A506),""))</f>
        <v/>
      </c>
      <c r="C506" s="22">
        <f>IF($B506="","",IFERROR(IF(VLOOKUP($B506,AcctTbl,4,0)="","(بدون نام)",VLOOKUP($B506,AcctTbl,4,0)),"—"))</f>
        <v/>
      </c>
      <c r="D506" s="18">
        <f>IF($B506="","",IFERROR(IF(VLOOKUP($B506,AcctTbl,3,0)="",IF(VLOOKUP($B506,AcctTbl,2,0)="","—",VLOOKUP($B506,AcctTbl,2,0)),VLOOKUP($B506,AcctTbl,3,0)),"—"))</f>
        <v/>
      </c>
      <c r="E506" s="31">
        <f>IF($B506="","",COUNTIFS(CalcParty,$B506,CalcGroup,"خرید"))</f>
        <v/>
      </c>
      <c r="F506" s="19">
        <f>IF($B506="","",SUMIFS(CalcScale,CalcParty,$B506,CalcGroup,"خرید"))</f>
        <v/>
      </c>
      <c r="G506" s="19">
        <f>IF($B506="","",SUMIFS(CalcBaskets,CalcParty,$B506,CalcGroup,"خرید"))</f>
        <v/>
      </c>
      <c r="H506" s="20">
        <f>IF($B506="","",SUMIFS(CalcNet,CalcParty,$B506,CalcGroup,"خرید"))</f>
        <v/>
      </c>
      <c r="I506" s="18">
        <f>IF($B506="","",IFERROR(IF(VLOOKUP($B506,AcctTbl,5,0)="","—",VLOOKUP($B506,AcctTbl,5,0)),"—"))</f>
        <v/>
      </c>
      <c r="J506" s="18">
        <f>IF($B506="","",IFERROR(IF(VLOOKUP($B506,AcctTbl,6,0)="","—",VLOOKUP($B506,AcctTbl,6,0)),"—"))</f>
        <v/>
      </c>
      <c r="K506" s="32">
        <f>IF(OR($B506="",$H$570=0),"",$H506/$H$570)</f>
        <v/>
      </c>
    </row>
    <row r="507">
      <c r="A507" s="23">
        <f>IF(ROW()-9&gt;NAcctAll,"",ROW()-9)</f>
        <v/>
      </c>
      <c r="B507" s="33">
        <f>IF($A507="","",IF($A507&lt;=NAcctAll,INDEX(PkAcctAll,$A507),""))</f>
        <v/>
      </c>
      <c r="C507" s="28">
        <f>IF($B507="","",IFERROR(IF(VLOOKUP($B507,AcctTbl,4,0)="","(بدون نام)",VLOOKUP($B507,AcctTbl,4,0)),"—"))</f>
        <v/>
      </c>
      <c r="D507" s="24">
        <f>IF($B507="","",IFERROR(IF(VLOOKUP($B507,AcctTbl,3,0)="",IF(VLOOKUP($B507,AcctTbl,2,0)="","—",VLOOKUP($B507,AcctTbl,2,0)),VLOOKUP($B507,AcctTbl,3,0)),"—"))</f>
        <v/>
      </c>
      <c r="E507" s="34">
        <f>IF($B507="","",COUNTIFS(CalcParty,$B507,CalcGroup,"خرید"))</f>
        <v/>
      </c>
      <c r="F507" s="25">
        <f>IF($B507="","",SUMIFS(CalcScale,CalcParty,$B507,CalcGroup,"خرید"))</f>
        <v/>
      </c>
      <c r="G507" s="25">
        <f>IF($B507="","",SUMIFS(CalcBaskets,CalcParty,$B507,CalcGroup,"خرید"))</f>
        <v/>
      </c>
      <c r="H507" s="26">
        <f>IF($B507="","",SUMIFS(CalcNet,CalcParty,$B507,CalcGroup,"خرید"))</f>
        <v/>
      </c>
      <c r="I507" s="24">
        <f>IF($B507="","",IFERROR(IF(VLOOKUP($B507,AcctTbl,5,0)="","—",VLOOKUP($B507,AcctTbl,5,0)),"—"))</f>
        <v/>
      </c>
      <c r="J507" s="24">
        <f>IF($B507="","",IFERROR(IF(VLOOKUP($B507,AcctTbl,6,0)="","—",VLOOKUP($B507,AcctTbl,6,0)),"—"))</f>
        <v/>
      </c>
      <c r="K507" s="35">
        <f>IF(OR($B507="",$H$570=0),"",$H507/$H$570)</f>
        <v/>
      </c>
    </row>
    <row r="508">
      <c r="A508" s="17">
        <f>IF(ROW()-9&gt;NAcctAll,"",ROW()-9)</f>
        <v/>
      </c>
      <c r="B508" s="30">
        <f>IF($A508="","",IF($A508&lt;=NAcctAll,INDEX(PkAcctAll,$A508),""))</f>
        <v/>
      </c>
      <c r="C508" s="22">
        <f>IF($B508="","",IFERROR(IF(VLOOKUP($B508,AcctTbl,4,0)="","(بدون نام)",VLOOKUP($B508,AcctTbl,4,0)),"—"))</f>
        <v/>
      </c>
      <c r="D508" s="18">
        <f>IF($B508="","",IFERROR(IF(VLOOKUP($B508,AcctTbl,3,0)="",IF(VLOOKUP($B508,AcctTbl,2,0)="","—",VLOOKUP($B508,AcctTbl,2,0)),VLOOKUP($B508,AcctTbl,3,0)),"—"))</f>
        <v/>
      </c>
      <c r="E508" s="31">
        <f>IF($B508="","",COUNTIFS(CalcParty,$B508,CalcGroup,"خرید"))</f>
        <v/>
      </c>
      <c r="F508" s="19">
        <f>IF($B508="","",SUMIFS(CalcScale,CalcParty,$B508,CalcGroup,"خرید"))</f>
        <v/>
      </c>
      <c r="G508" s="19">
        <f>IF($B508="","",SUMIFS(CalcBaskets,CalcParty,$B508,CalcGroup,"خرید"))</f>
        <v/>
      </c>
      <c r="H508" s="20">
        <f>IF($B508="","",SUMIFS(CalcNet,CalcParty,$B508,CalcGroup,"خرید"))</f>
        <v/>
      </c>
      <c r="I508" s="18">
        <f>IF($B508="","",IFERROR(IF(VLOOKUP($B508,AcctTbl,5,0)="","—",VLOOKUP($B508,AcctTbl,5,0)),"—"))</f>
        <v/>
      </c>
      <c r="J508" s="18">
        <f>IF($B508="","",IFERROR(IF(VLOOKUP($B508,AcctTbl,6,0)="","—",VLOOKUP($B508,AcctTbl,6,0)),"—"))</f>
        <v/>
      </c>
      <c r="K508" s="32">
        <f>IF(OR($B508="",$H$570=0),"",$H508/$H$570)</f>
        <v/>
      </c>
    </row>
    <row r="509">
      <c r="A509" s="23">
        <f>IF(ROW()-9&gt;NAcctAll,"",ROW()-9)</f>
        <v/>
      </c>
      <c r="B509" s="33">
        <f>IF($A509="","",IF($A509&lt;=NAcctAll,INDEX(PkAcctAll,$A509),""))</f>
        <v/>
      </c>
      <c r="C509" s="28">
        <f>IF($B509="","",IFERROR(IF(VLOOKUP($B509,AcctTbl,4,0)="","(بدون نام)",VLOOKUP($B509,AcctTbl,4,0)),"—"))</f>
        <v/>
      </c>
      <c r="D509" s="24">
        <f>IF($B509="","",IFERROR(IF(VLOOKUP($B509,AcctTbl,3,0)="",IF(VLOOKUP($B509,AcctTbl,2,0)="","—",VLOOKUP($B509,AcctTbl,2,0)),VLOOKUP($B509,AcctTbl,3,0)),"—"))</f>
        <v/>
      </c>
      <c r="E509" s="34">
        <f>IF($B509="","",COUNTIFS(CalcParty,$B509,CalcGroup,"خرید"))</f>
        <v/>
      </c>
      <c r="F509" s="25">
        <f>IF($B509="","",SUMIFS(CalcScale,CalcParty,$B509,CalcGroup,"خرید"))</f>
        <v/>
      </c>
      <c r="G509" s="25">
        <f>IF($B509="","",SUMIFS(CalcBaskets,CalcParty,$B509,CalcGroup,"خرید"))</f>
        <v/>
      </c>
      <c r="H509" s="26">
        <f>IF($B509="","",SUMIFS(CalcNet,CalcParty,$B509,CalcGroup,"خرید"))</f>
        <v/>
      </c>
      <c r="I509" s="24">
        <f>IF($B509="","",IFERROR(IF(VLOOKUP($B509,AcctTbl,5,0)="","—",VLOOKUP($B509,AcctTbl,5,0)),"—"))</f>
        <v/>
      </c>
      <c r="J509" s="24">
        <f>IF($B509="","",IFERROR(IF(VLOOKUP($B509,AcctTbl,6,0)="","—",VLOOKUP($B509,AcctTbl,6,0)),"—"))</f>
        <v/>
      </c>
      <c r="K509" s="35">
        <f>IF(OR($B509="",$H$570=0),"",$H509/$H$570)</f>
        <v/>
      </c>
    </row>
    <row r="510">
      <c r="A510" s="17">
        <f>IF(ROW()-9&gt;NAcctAll,"",ROW()-9)</f>
        <v/>
      </c>
      <c r="B510" s="30">
        <f>IF($A510="","",IF($A510&lt;=NAcctAll,INDEX(PkAcctAll,$A510),""))</f>
        <v/>
      </c>
      <c r="C510" s="22">
        <f>IF($B510="","",IFERROR(IF(VLOOKUP($B510,AcctTbl,4,0)="","(بدون نام)",VLOOKUP($B510,AcctTbl,4,0)),"—"))</f>
        <v/>
      </c>
      <c r="D510" s="18">
        <f>IF($B510="","",IFERROR(IF(VLOOKUP($B510,AcctTbl,3,0)="",IF(VLOOKUP($B510,AcctTbl,2,0)="","—",VLOOKUP($B510,AcctTbl,2,0)),VLOOKUP($B510,AcctTbl,3,0)),"—"))</f>
        <v/>
      </c>
      <c r="E510" s="31">
        <f>IF($B510="","",COUNTIFS(CalcParty,$B510,CalcGroup,"خرید"))</f>
        <v/>
      </c>
      <c r="F510" s="19">
        <f>IF($B510="","",SUMIFS(CalcScale,CalcParty,$B510,CalcGroup,"خرید"))</f>
        <v/>
      </c>
      <c r="G510" s="19">
        <f>IF($B510="","",SUMIFS(CalcBaskets,CalcParty,$B510,CalcGroup,"خرید"))</f>
        <v/>
      </c>
      <c r="H510" s="20">
        <f>IF($B510="","",SUMIFS(CalcNet,CalcParty,$B510,CalcGroup,"خرید"))</f>
        <v/>
      </c>
      <c r="I510" s="18">
        <f>IF($B510="","",IFERROR(IF(VLOOKUP($B510,AcctTbl,5,0)="","—",VLOOKUP($B510,AcctTbl,5,0)),"—"))</f>
        <v/>
      </c>
      <c r="J510" s="18">
        <f>IF($B510="","",IFERROR(IF(VLOOKUP($B510,AcctTbl,6,0)="","—",VLOOKUP($B510,AcctTbl,6,0)),"—"))</f>
        <v/>
      </c>
      <c r="K510" s="32">
        <f>IF(OR($B510="",$H$570=0),"",$H510/$H$570)</f>
        <v/>
      </c>
    </row>
    <row r="511">
      <c r="A511" s="23">
        <f>IF(ROW()-9&gt;NAcctAll,"",ROW()-9)</f>
        <v/>
      </c>
      <c r="B511" s="33">
        <f>IF($A511="","",IF($A511&lt;=NAcctAll,INDEX(PkAcctAll,$A511),""))</f>
        <v/>
      </c>
      <c r="C511" s="28">
        <f>IF($B511="","",IFERROR(IF(VLOOKUP($B511,AcctTbl,4,0)="","(بدون نام)",VLOOKUP($B511,AcctTbl,4,0)),"—"))</f>
        <v/>
      </c>
      <c r="D511" s="24">
        <f>IF($B511="","",IFERROR(IF(VLOOKUP($B511,AcctTbl,3,0)="",IF(VLOOKUP($B511,AcctTbl,2,0)="","—",VLOOKUP($B511,AcctTbl,2,0)),VLOOKUP($B511,AcctTbl,3,0)),"—"))</f>
        <v/>
      </c>
      <c r="E511" s="34">
        <f>IF($B511="","",COUNTIFS(CalcParty,$B511,CalcGroup,"خرید"))</f>
        <v/>
      </c>
      <c r="F511" s="25">
        <f>IF($B511="","",SUMIFS(CalcScale,CalcParty,$B511,CalcGroup,"خرید"))</f>
        <v/>
      </c>
      <c r="G511" s="25">
        <f>IF($B511="","",SUMIFS(CalcBaskets,CalcParty,$B511,CalcGroup,"خرید"))</f>
        <v/>
      </c>
      <c r="H511" s="26">
        <f>IF($B511="","",SUMIFS(CalcNet,CalcParty,$B511,CalcGroup,"خرید"))</f>
        <v/>
      </c>
      <c r="I511" s="24">
        <f>IF($B511="","",IFERROR(IF(VLOOKUP($B511,AcctTbl,5,0)="","—",VLOOKUP($B511,AcctTbl,5,0)),"—"))</f>
        <v/>
      </c>
      <c r="J511" s="24">
        <f>IF($B511="","",IFERROR(IF(VLOOKUP($B511,AcctTbl,6,0)="","—",VLOOKUP($B511,AcctTbl,6,0)),"—"))</f>
        <v/>
      </c>
      <c r="K511" s="35">
        <f>IF(OR($B511="",$H$570=0),"",$H511/$H$570)</f>
        <v/>
      </c>
    </row>
    <row r="512">
      <c r="A512" s="17">
        <f>IF(ROW()-9&gt;NAcctAll,"",ROW()-9)</f>
        <v/>
      </c>
      <c r="B512" s="30">
        <f>IF($A512="","",IF($A512&lt;=NAcctAll,INDEX(PkAcctAll,$A512),""))</f>
        <v/>
      </c>
      <c r="C512" s="22">
        <f>IF($B512="","",IFERROR(IF(VLOOKUP($B512,AcctTbl,4,0)="","(بدون نام)",VLOOKUP($B512,AcctTbl,4,0)),"—"))</f>
        <v/>
      </c>
      <c r="D512" s="18">
        <f>IF($B512="","",IFERROR(IF(VLOOKUP($B512,AcctTbl,3,0)="",IF(VLOOKUP($B512,AcctTbl,2,0)="","—",VLOOKUP($B512,AcctTbl,2,0)),VLOOKUP($B512,AcctTbl,3,0)),"—"))</f>
        <v/>
      </c>
      <c r="E512" s="31">
        <f>IF($B512="","",COUNTIFS(CalcParty,$B512,CalcGroup,"خرید"))</f>
        <v/>
      </c>
      <c r="F512" s="19">
        <f>IF($B512="","",SUMIFS(CalcScale,CalcParty,$B512,CalcGroup,"خرید"))</f>
        <v/>
      </c>
      <c r="G512" s="19">
        <f>IF($B512="","",SUMIFS(CalcBaskets,CalcParty,$B512,CalcGroup,"خرید"))</f>
        <v/>
      </c>
      <c r="H512" s="20">
        <f>IF($B512="","",SUMIFS(CalcNet,CalcParty,$B512,CalcGroup,"خرید"))</f>
        <v/>
      </c>
      <c r="I512" s="18">
        <f>IF($B512="","",IFERROR(IF(VLOOKUP($B512,AcctTbl,5,0)="","—",VLOOKUP($B512,AcctTbl,5,0)),"—"))</f>
        <v/>
      </c>
      <c r="J512" s="18">
        <f>IF($B512="","",IFERROR(IF(VLOOKUP($B512,AcctTbl,6,0)="","—",VLOOKUP($B512,AcctTbl,6,0)),"—"))</f>
        <v/>
      </c>
      <c r="K512" s="32">
        <f>IF(OR($B512="",$H$570=0),"",$H512/$H$570)</f>
        <v/>
      </c>
    </row>
    <row r="513">
      <c r="A513" s="23">
        <f>IF(ROW()-9&gt;NAcctAll,"",ROW()-9)</f>
        <v/>
      </c>
      <c r="B513" s="33">
        <f>IF($A513="","",IF($A513&lt;=NAcctAll,INDEX(PkAcctAll,$A513),""))</f>
        <v/>
      </c>
      <c r="C513" s="28">
        <f>IF($B513="","",IFERROR(IF(VLOOKUP($B513,AcctTbl,4,0)="","(بدون نام)",VLOOKUP($B513,AcctTbl,4,0)),"—"))</f>
        <v/>
      </c>
      <c r="D513" s="24">
        <f>IF($B513="","",IFERROR(IF(VLOOKUP($B513,AcctTbl,3,0)="",IF(VLOOKUP($B513,AcctTbl,2,0)="","—",VLOOKUP($B513,AcctTbl,2,0)),VLOOKUP($B513,AcctTbl,3,0)),"—"))</f>
        <v/>
      </c>
      <c r="E513" s="34">
        <f>IF($B513="","",COUNTIFS(CalcParty,$B513,CalcGroup,"خرید"))</f>
        <v/>
      </c>
      <c r="F513" s="25">
        <f>IF($B513="","",SUMIFS(CalcScale,CalcParty,$B513,CalcGroup,"خرید"))</f>
        <v/>
      </c>
      <c r="G513" s="25">
        <f>IF($B513="","",SUMIFS(CalcBaskets,CalcParty,$B513,CalcGroup,"خرید"))</f>
        <v/>
      </c>
      <c r="H513" s="26">
        <f>IF($B513="","",SUMIFS(CalcNet,CalcParty,$B513,CalcGroup,"خرید"))</f>
        <v/>
      </c>
      <c r="I513" s="24">
        <f>IF($B513="","",IFERROR(IF(VLOOKUP($B513,AcctTbl,5,0)="","—",VLOOKUP($B513,AcctTbl,5,0)),"—"))</f>
        <v/>
      </c>
      <c r="J513" s="24">
        <f>IF($B513="","",IFERROR(IF(VLOOKUP($B513,AcctTbl,6,0)="","—",VLOOKUP($B513,AcctTbl,6,0)),"—"))</f>
        <v/>
      </c>
      <c r="K513" s="35">
        <f>IF(OR($B513="",$H$570=0),"",$H513/$H$570)</f>
        <v/>
      </c>
    </row>
    <row r="514">
      <c r="A514" s="17">
        <f>IF(ROW()-9&gt;NAcctAll,"",ROW()-9)</f>
        <v/>
      </c>
      <c r="B514" s="30">
        <f>IF($A514="","",IF($A514&lt;=NAcctAll,INDEX(PkAcctAll,$A514),""))</f>
        <v/>
      </c>
      <c r="C514" s="22">
        <f>IF($B514="","",IFERROR(IF(VLOOKUP($B514,AcctTbl,4,0)="","(بدون نام)",VLOOKUP($B514,AcctTbl,4,0)),"—"))</f>
        <v/>
      </c>
      <c r="D514" s="18">
        <f>IF($B514="","",IFERROR(IF(VLOOKUP($B514,AcctTbl,3,0)="",IF(VLOOKUP($B514,AcctTbl,2,0)="","—",VLOOKUP($B514,AcctTbl,2,0)),VLOOKUP($B514,AcctTbl,3,0)),"—"))</f>
        <v/>
      </c>
      <c r="E514" s="31">
        <f>IF($B514="","",COUNTIFS(CalcParty,$B514,CalcGroup,"خرید"))</f>
        <v/>
      </c>
      <c r="F514" s="19">
        <f>IF($B514="","",SUMIFS(CalcScale,CalcParty,$B514,CalcGroup,"خرید"))</f>
        <v/>
      </c>
      <c r="G514" s="19">
        <f>IF($B514="","",SUMIFS(CalcBaskets,CalcParty,$B514,CalcGroup,"خرید"))</f>
        <v/>
      </c>
      <c r="H514" s="20">
        <f>IF($B514="","",SUMIFS(CalcNet,CalcParty,$B514,CalcGroup,"خرید"))</f>
        <v/>
      </c>
      <c r="I514" s="18">
        <f>IF($B514="","",IFERROR(IF(VLOOKUP($B514,AcctTbl,5,0)="","—",VLOOKUP($B514,AcctTbl,5,0)),"—"))</f>
        <v/>
      </c>
      <c r="J514" s="18">
        <f>IF($B514="","",IFERROR(IF(VLOOKUP($B514,AcctTbl,6,0)="","—",VLOOKUP($B514,AcctTbl,6,0)),"—"))</f>
        <v/>
      </c>
      <c r="K514" s="32">
        <f>IF(OR($B514="",$H$570=0),"",$H514/$H$570)</f>
        <v/>
      </c>
    </row>
    <row r="515">
      <c r="A515" s="23">
        <f>IF(ROW()-9&gt;NAcctAll,"",ROW()-9)</f>
        <v/>
      </c>
      <c r="B515" s="33">
        <f>IF($A515="","",IF($A515&lt;=NAcctAll,INDEX(PkAcctAll,$A515),""))</f>
        <v/>
      </c>
      <c r="C515" s="28">
        <f>IF($B515="","",IFERROR(IF(VLOOKUP($B515,AcctTbl,4,0)="","(بدون نام)",VLOOKUP($B515,AcctTbl,4,0)),"—"))</f>
        <v/>
      </c>
      <c r="D515" s="24">
        <f>IF($B515="","",IFERROR(IF(VLOOKUP($B515,AcctTbl,3,0)="",IF(VLOOKUP($B515,AcctTbl,2,0)="","—",VLOOKUP($B515,AcctTbl,2,0)),VLOOKUP($B515,AcctTbl,3,0)),"—"))</f>
        <v/>
      </c>
      <c r="E515" s="34">
        <f>IF($B515="","",COUNTIFS(CalcParty,$B515,CalcGroup,"خرید"))</f>
        <v/>
      </c>
      <c r="F515" s="25">
        <f>IF($B515="","",SUMIFS(CalcScale,CalcParty,$B515,CalcGroup,"خرید"))</f>
        <v/>
      </c>
      <c r="G515" s="25">
        <f>IF($B515="","",SUMIFS(CalcBaskets,CalcParty,$B515,CalcGroup,"خرید"))</f>
        <v/>
      </c>
      <c r="H515" s="26">
        <f>IF($B515="","",SUMIFS(CalcNet,CalcParty,$B515,CalcGroup,"خرید"))</f>
        <v/>
      </c>
      <c r="I515" s="24">
        <f>IF($B515="","",IFERROR(IF(VLOOKUP($B515,AcctTbl,5,0)="","—",VLOOKUP($B515,AcctTbl,5,0)),"—"))</f>
        <v/>
      </c>
      <c r="J515" s="24">
        <f>IF($B515="","",IFERROR(IF(VLOOKUP($B515,AcctTbl,6,0)="","—",VLOOKUP($B515,AcctTbl,6,0)),"—"))</f>
        <v/>
      </c>
      <c r="K515" s="35">
        <f>IF(OR($B515="",$H$570=0),"",$H515/$H$570)</f>
        <v/>
      </c>
    </row>
    <row r="516">
      <c r="A516" s="17">
        <f>IF(ROW()-9&gt;NAcctAll,"",ROW()-9)</f>
        <v/>
      </c>
      <c r="B516" s="30">
        <f>IF($A516="","",IF($A516&lt;=NAcctAll,INDEX(PkAcctAll,$A516),""))</f>
        <v/>
      </c>
      <c r="C516" s="22">
        <f>IF($B516="","",IFERROR(IF(VLOOKUP($B516,AcctTbl,4,0)="","(بدون نام)",VLOOKUP($B516,AcctTbl,4,0)),"—"))</f>
        <v/>
      </c>
      <c r="D516" s="18">
        <f>IF($B516="","",IFERROR(IF(VLOOKUP($B516,AcctTbl,3,0)="",IF(VLOOKUP($B516,AcctTbl,2,0)="","—",VLOOKUP($B516,AcctTbl,2,0)),VLOOKUP($B516,AcctTbl,3,0)),"—"))</f>
        <v/>
      </c>
      <c r="E516" s="31">
        <f>IF($B516="","",COUNTIFS(CalcParty,$B516,CalcGroup,"خرید"))</f>
        <v/>
      </c>
      <c r="F516" s="19">
        <f>IF($B516="","",SUMIFS(CalcScale,CalcParty,$B516,CalcGroup,"خرید"))</f>
        <v/>
      </c>
      <c r="G516" s="19">
        <f>IF($B516="","",SUMIFS(CalcBaskets,CalcParty,$B516,CalcGroup,"خرید"))</f>
        <v/>
      </c>
      <c r="H516" s="20">
        <f>IF($B516="","",SUMIFS(CalcNet,CalcParty,$B516,CalcGroup,"خرید"))</f>
        <v/>
      </c>
      <c r="I516" s="18">
        <f>IF($B516="","",IFERROR(IF(VLOOKUP($B516,AcctTbl,5,0)="","—",VLOOKUP($B516,AcctTbl,5,0)),"—"))</f>
        <v/>
      </c>
      <c r="J516" s="18">
        <f>IF($B516="","",IFERROR(IF(VLOOKUP($B516,AcctTbl,6,0)="","—",VLOOKUP($B516,AcctTbl,6,0)),"—"))</f>
        <v/>
      </c>
      <c r="K516" s="32">
        <f>IF(OR($B516="",$H$570=0),"",$H516/$H$570)</f>
        <v/>
      </c>
    </row>
    <row r="517">
      <c r="A517" s="23">
        <f>IF(ROW()-9&gt;NAcctAll,"",ROW()-9)</f>
        <v/>
      </c>
      <c r="B517" s="33">
        <f>IF($A517="","",IF($A517&lt;=NAcctAll,INDEX(PkAcctAll,$A517),""))</f>
        <v/>
      </c>
      <c r="C517" s="28">
        <f>IF($B517="","",IFERROR(IF(VLOOKUP($B517,AcctTbl,4,0)="","(بدون نام)",VLOOKUP($B517,AcctTbl,4,0)),"—"))</f>
        <v/>
      </c>
      <c r="D517" s="24">
        <f>IF($B517="","",IFERROR(IF(VLOOKUP($B517,AcctTbl,3,0)="",IF(VLOOKUP($B517,AcctTbl,2,0)="","—",VLOOKUP($B517,AcctTbl,2,0)),VLOOKUP($B517,AcctTbl,3,0)),"—"))</f>
        <v/>
      </c>
      <c r="E517" s="34">
        <f>IF($B517="","",COUNTIFS(CalcParty,$B517,CalcGroup,"خرید"))</f>
        <v/>
      </c>
      <c r="F517" s="25">
        <f>IF($B517="","",SUMIFS(CalcScale,CalcParty,$B517,CalcGroup,"خرید"))</f>
        <v/>
      </c>
      <c r="G517" s="25">
        <f>IF($B517="","",SUMIFS(CalcBaskets,CalcParty,$B517,CalcGroup,"خرید"))</f>
        <v/>
      </c>
      <c r="H517" s="26">
        <f>IF($B517="","",SUMIFS(CalcNet,CalcParty,$B517,CalcGroup,"خرید"))</f>
        <v/>
      </c>
      <c r="I517" s="24">
        <f>IF($B517="","",IFERROR(IF(VLOOKUP($B517,AcctTbl,5,0)="","—",VLOOKUP($B517,AcctTbl,5,0)),"—"))</f>
        <v/>
      </c>
      <c r="J517" s="24">
        <f>IF($B517="","",IFERROR(IF(VLOOKUP($B517,AcctTbl,6,0)="","—",VLOOKUP($B517,AcctTbl,6,0)),"—"))</f>
        <v/>
      </c>
      <c r="K517" s="35">
        <f>IF(OR($B517="",$H$570=0),"",$H517/$H$570)</f>
        <v/>
      </c>
    </row>
    <row r="518">
      <c r="A518" s="17">
        <f>IF(ROW()-9&gt;NAcctAll,"",ROW()-9)</f>
        <v/>
      </c>
      <c r="B518" s="30">
        <f>IF($A518="","",IF($A518&lt;=NAcctAll,INDEX(PkAcctAll,$A518),""))</f>
        <v/>
      </c>
      <c r="C518" s="22">
        <f>IF($B518="","",IFERROR(IF(VLOOKUP($B518,AcctTbl,4,0)="","(بدون نام)",VLOOKUP($B518,AcctTbl,4,0)),"—"))</f>
        <v/>
      </c>
      <c r="D518" s="18">
        <f>IF($B518="","",IFERROR(IF(VLOOKUP($B518,AcctTbl,3,0)="",IF(VLOOKUP($B518,AcctTbl,2,0)="","—",VLOOKUP($B518,AcctTbl,2,0)),VLOOKUP($B518,AcctTbl,3,0)),"—"))</f>
        <v/>
      </c>
      <c r="E518" s="31">
        <f>IF($B518="","",COUNTIFS(CalcParty,$B518,CalcGroup,"خرید"))</f>
        <v/>
      </c>
      <c r="F518" s="19">
        <f>IF($B518="","",SUMIFS(CalcScale,CalcParty,$B518,CalcGroup,"خرید"))</f>
        <v/>
      </c>
      <c r="G518" s="19">
        <f>IF($B518="","",SUMIFS(CalcBaskets,CalcParty,$B518,CalcGroup,"خرید"))</f>
        <v/>
      </c>
      <c r="H518" s="20">
        <f>IF($B518="","",SUMIFS(CalcNet,CalcParty,$B518,CalcGroup,"خرید"))</f>
        <v/>
      </c>
      <c r="I518" s="18">
        <f>IF($B518="","",IFERROR(IF(VLOOKUP($B518,AcctTbl,5,0)="","—",VLOOKUP($B518,AcctTbl,5,0)),"—"))</f>
        <v/>
      </c>
      <c r="J518" s="18">
        <f>IF($B518="","",IFERROR(IF(VLOOKUP($B518,AcctTbl,6,0)="","—",VLOOKUP($B518,AcctTbl,6,0)),"—"))</f>
        <v/>
      </c>
      <c r="K518" s="32">
        <f>IF(OR($B518="",$H$570=0),"",$H518/$H$570)</f>
        <v/>
      </c>
    </row>
    <row r="519">
      <c r="A519" s="23">
        <f>IF(ROW()-9&gt;NAcctAll,"",ROW()-9)</f>
        <v/>
      </c>
      <c r="B519" s="33">
        <f>IF($A519="","",IF($A519&lt;=NAcctAll,INDEX(PkAcctAll,$A519),""))</f>
        <v/>
      </c>
      <c r="C519" s="28">
        <f>IF($B519="","",IFERROR(IF(VLOOKUP($B519,AcctTbl,4,0)="","(بدون نام)",VLOOKUP($B519,AcctTbl,4,0)),"—"))</f>
        <v/>
      </c>
      <c r="D519" s="24">
        <f>IF($B519="","",IFERROR(IF(VLOOKUP($B519,AcctTbl,3,0)="",IF(VLOOKUP($B519,AcctTbl,2,0)="","—",VLOOKUP($B519,AcctTbl,2,0)),VLOOKUP($B519,AcctTbl,3,0)),"—"))</f>
        <v/>
      </c>
      <c r="E519" s="34">
        <f>IF($B519="","",COUNTIFS(CalcParty,$B519,CalcGroup,"خرید"))</f>
        <v/>
      </c>
      <c r="F519" s="25">
        <f>IF($B519="","",SUMIFS(CalcScale,CalcParty,$B519,CalcGroup,"خرید"))</f>
        <v/>
      </c>
      <c r="G519" s="25">
        <f>IF($B519="","",SUMIFS(CalcBaskets,CalcParty,$B519,CalcGroup,"خرید"))</f>
        <v/>
      </c>
      <c r="H519" s="26">
        <f>IF($B519="","",SUMIFS(CalcNet,CalcParty,$B519,CalcGroup,"خرید"))</f>
        <v/>
      </c>
      <c r="I519" s="24">
        <f>IF($B519="","",IFERROR(IF(VLOOKUP($B519,AcctTbl,5,0)="","—",VLOOKUP($B519,AcctTbl,5,0)),"—"))</f>
        <v/>
      </c>
      <c r="J519" s="24">
        <f>IF($B519="","",IFERROR(IF(VLOOKUP($B519,AcctTbl,6,0)="","—",VLOOKUP($B519,AcctTbl,6,0)),"—"))</f>
        <v/>
      </c>
      <c r="K519" s="35">
        <f>IF(OR($B519="",$H$570=0),"",$H519/$H$570)</f>
        <v/>
      </c>
    </row>
    <row r="520">
      <c r="A520" s="17">
        <f>IF(ROW()-9&gt;NAcctAll,"",ROW()-9)</f>
        <v/>
      </c>
      <c r="B520" s="30">
        <f>IF($A520="","",IF($A520&lt;=NAcctAll,INDEX(PkAcctAll,$A520),""))</f>
        <v/>
      </c>
      <c r="C520" s="22">
        <f>IF($B520="","",IFERROR(IF(VLOOKUP($B520,AcctTbl,4,0)="","(بدون نام)",VLOOKUP($B520,AcctTbl,4,0)),"—"))</f>
        <v/>
      </c>
      <c r="D520" s="18">
        <f>IF($B520="","",IFERROR(IF(VLOOKUP($B520,AcctTbl,3,0)="",IF(VLOOKUP($B520,AcctTbl,2,0)="","—",VLOOKUP($B520,AcctTbl,2,0)),VLOOKUP($B520,AcctTbl,3,0)),"—"))</f>
        <v/>
      </c>
      <c r="E520" s="31">
        <f>IF($B520="","",COUNTIFS(CalcParty,$B520,CalcGroup,"خرید"))</f>
        <v/>
      </c>
      <c r="F520" s="19">
        <f>IF($B520="","",SUMIFS(CalcScale,CalcParty,$B520,CalcGroup,"خرید"))</f>
        <v/>
      </c>
      <c r="G520" s="19">
        <f>IF($B520="","",SUMIFS(CalcBaskets,CalcParty,$B520,CalcGroup,"خرید"))</f>
        <v/>
      </c>
      <c r="H520" s="20">
        <f>IF($B520="","",SUMIFS(CalcNet,CalcParty,$B520,CalcGroup,"خرید"))</f>
        <v/>
      </c>
      <c r="I520" s="18">
        <f>IF($B520="","",IFERROR(IF(VLOOKUP($B520,AcctTbl,5,0)="","—",VLOOKUP($B520,AcctTbl,5,0)),"—"))</f>
        <v/>
      </c>
      <c r="J520" s="18">
        <f>IF($B520="","",IFERROR(IF(VLOOKUP($B520,AcctTbl,6,0)="","—",VLOOKUP($B520,AcctTbl,6,0)),"—"))</f>
        <v/>
      </c>
      <c r="K520" s="32">
        <f>IF(OR($B520="",$H$570=0),"",$H520/$H$570)</f>
        <v/>
      </c>
    </row>
    <row r="521">
      <c r="A521" s="23">
        <f>IF(ROW()-9&gt;NAcctAll,"",ROW()-9)</f>
        <v/>
      </c>
      <c r="B521" s="33">
        <f>IF($A521="","",IF($A521&lt;=NAcctAll,INDEX(PkAcctAll,$A521),""))</f>
        <v/>
      </c>
      <c r="C521" s="28">
        <f>IF($B521="","",IFERROR(IF(VLOOKUP($B521,AcctTbl,4,0)="","(بدون نام)",VLOOKUP($B521,AcctTbl,4,0)),"—"))</f>
        <v/>
      </c>
      <c r="D521" s="24">
        <f>IF($B521="","",IFERROR(IF(VLOOKUP($B521,AcctTbl,3,0)="",IF(VLOOKUP($B521,AcctTbl,2,0)="","—",VLOOKUP($B521,AcctTbl,2,0)),VLOOKUP($B521,AcctTbl,3,0)),"—"))</f>
        <v/>
      </c>
      <c r="E521" s="34">
        <f>IF($B521="","",COUNTIFS(CalcParty,$B521,CalcGroup,"خرید"))</f>
        <v/>
      </c>
      <c r="F521" s="25">
        <f>IF($B521="","",SUMIFS(CalcScale,CalcParty,$B521,CalcGroup,"خرید"))</f>
        <v/>
      </c>
      <c r="G521" s="25">
        <f>IF($B521="","",SUMIFS(CalcBaskets,CalcParty,$B521,CalcGroup,"خرید"))</f>
        <v/>
      </c>
      <c r="H521" s="26">
        <f>IF($B521="","",SUMIFS(CalcNet,CalcParty,$B521,CalcGroup,"خرید"))</f>
        <v/>
      </c>
      <c r="I521" s="24">
        <f>IF($B521="","",IFERROR(IF(VLOOKUP($B521,AcctTbl,5,0)="","—",VLOOKUP($B521,AcctTbl,5,0)),"—"))</f>
        <v/>
      </c>
      <c r="J521" s="24">
        <f>IF($B521="","",IFERROR(IF(VLOOKUP($B521,AcctTbl,6,0)="","—",VLOOKUP($B521,AcctTbl,6,0)),"—"))</f>
        <v/>
      </c>
      <c r="K521" s="35">
        <f>IF(OR($B521="",$H$570=0),"",$H521/$H$570)</f>
        <v/>
      </c>
    </row>
    <row r="522">
      <c r="A522" s="17">
        <f>IF(ROW()-9&gt;NAcctAll,"",ROW()-9)</f>
        <v/>
      </c>
      <c r="B522" s="30">
        <f>IF($A522="","",IF($A522&lt;=NAcctAll,INDEX(PkAcctAll,$A522),""))</f>
        <v/>
      </c>
      <c r="C522" s="22">
        <f>IF($B522="","",IFERROR(IF(VLOOKUP($B522,AcctTbl,4,0)="","(بدون نام)",VLOOKUP($B522,AcctTbl,4,0)),"—"))</f>
        <v/>
      </c>
      <c r="D522" s="18">
        <f>IF($B522="","",IFERROR(IF(VLOOKUP($B522,AcctTbl,3,0)="",IF(VLOOKUP($B522,AcctTbl,2,0)="","—",VLOOKUP($B522,AcctTbl,2,0)),VLOOKUP($B522,AcctTbl,3,0)),"—"))</f>
        <v/>
      </c>
      <c r="E522" s="31">
        <f>IF($B522="","",COUNTIFS(CalcParty,$B522,CalcGroup,"خرید"))</f>
        <v/>
      </c>
      <c r="F522" s="19">
        <f>IF($B522="","",SUMIFS(CalcScale,CalcParty,$B522,CalcGroup,"خرید"))</f>
        <v/>
      </c>
      <c r="G522" s="19">
        <f>IF($B522="","",SUMIFS(CalcBaskets,CalcParty,$B522,CalcGroup,"خرید"))</f>
        <v/>
      </c>
      <c r="H522" s="20">
        <f>IF($B522="","",SUMIFS(CalcNet,CalcParty,$B522,CalcGroup,"خرید"))</f>
        <v/>
      </c>
      <c r="I522" s="18">
        <f>IF($B522="","",IFERROR(IF(VLOOKUP($B522,AcctTbl,5,0)="","—",VLOOKUP($B522,AcctTbl,5,0)),"—"))</f>
        <v/>
      </c>
      <c r="J522" s="18">
        <f>IF($B522="","",IFERROR(IF(VLOOKUP($B522,AcctTbl,6,0)="","—",VLOOKUP($B522,AcctTbl,6,0)),"—"))</f>
        <v/>
      </c>
      <c r="K522" s="32">
        <f>IF(OR($B522="",$H$570=0),"",$H522/$H$570)</f>
        <v/>
      </c>
    </row>
    <row r="523">
      <c r="A523" s="23">
        <f>IF(ROW()-9&gt;NAcctAll,"",ROW()-9)</f>
        <v/>
      </c>
      <c r="B523" s="33">
        <f>IF($A523="","",IF($A523&lt;=NAcctAll,INDEX(PkAcctAll,$A523),""))</f>
        <v/>
      </c>
      <c r="C523" s="28">
        <f>IF($B523="","",IFERROR(IF(VLOOKUP($B523,AcctTbl,4,0)="","(بدون نام)",VLOOKUP($B523,AcctTbl,4,0)),"—"))</f>
        <v/>
      </c>
      <c r="D523" s="24">
        <f>IF($B523="","",IFERROR(IF(VLOOKUP($B523,AcctTbl,3,0)="",IF(VLOOKUP($B523,AcctTbl,2,0)="","—",VLOOKUP($B523,AcctTbl,2,0)),VLOOKUP($B523,AcctTbl,3,0)),"—"))</f>
        <v/>
      </c>
      <c r="E523" s="34">
        <f>IF($B523="","",COUNTIFS(CalcParty,$B523,CalcGroup,"خرید"))</f>
        <v/>
      </c>
      <c r="F523" s="25">
        <f>IF($B523="","",SUMIFS(CalcScale,CalcParty,$B523,CalcGroup,"خرید"))</f>
        <v/>
      </c>
      <c r="G523" s="25">
        <f>IF($B523="","",SUMIFS(CalcBaskets,CalcParty,$B523,CalcGroup,"خرید"))</f>
        <v/>
      </c>
      <c r="H523" s="26">
        <f>IF($B523="","",SUMIFS(CalcNet,CalcParty,$B523,CalcGroup,"خرید"))</f>
        <v/>
      </c>
      <c r="I523" s="24">
        <f>IF($B523="","",IFERROR(IF(VLOOKUP($B523,AcctTbl,5,0)="","—",VLOOKUP($B523,AcctTbl,5,0)),"—"))</f>
        <v/>
      </c>
      <c r="J523" s="24">
        <f>IF($B523="","",IFERROR(IF(VLOOKUP($B523,AcctTbl,6,0)="","—",VLOOKUP($B523,AcctTbl,6,0)),"—"))</f>
        <v/>
      </c>
      <c r="K523" s="35">
        <f>IF(OR($B523="",$H$570=0),"",$H523/$H$570)</f>
        <v/>
      </c>
    </row>
    <row r="524">
      <c r="A524" s="17">
        <f>IF(ROW()-9&gt;NAcctAll,"",ROW()-9)</f>
        <v/>
      </c>
      <c r="B524" s="30">
        <f>IF($A524="","",IF($A524&lt;=NAcctAll,INDEX(PkAcctAll,$A524),""))</f>
        <v/>
      </c>
      <c r="C524" s="22">
        <f>IF($B524="","",IFERROR(IF(VLOOKUP($B524,AcctTbl,4,0)="","(بدون نام)",VLOOKUP($B524,AcctTbl,4,0)),"—"))</f>
        <v/>
      </c>
      <c r="D524" s="18">
        <f>IF($B524="","",IFERROR(IF(VLOOKUP($B524,AcctTbl,3,0)="",IF(VLOOKUP($B524,AcctTbl,2,0)="","—",VLOOKUP($B524,AcctTbl,2,0)),VLOOKUP($B524,AcctTbl,3,0)),"—"))</f>
        <v/>
      </c>
      <c r="E524" s="31">
        <f>IF($B524="","",COUNTIFS(CalcParty,$B524,CalcGroup,"خرید"))</f>
        <v/>
      </c>
      <c r="F524" s="19">
        <f>IF($B524="","",SUMIFS(CalcScale,CalcParty,$B524,CalcGroup,"خرید"))</f>
        <v/>
      </c>
      <c r="G524" s="19">
        <f>IF($B524="","",SUMIFS(CalcBaskets,CalcParty,$B524,CalcGroup,"خرید"))</f>
        <v/>
      </c>
      <c r="H524" s="20">
        <f>IF($B524="","",SUMIFS(CalcNet,CalcParty,$B524,CalcGroup,"خرید"))</f>
        <v/>
      </c>
      <c r="I524" s="18">
        <f>IF($B524="","",IFERROR(IF(VLOOKUP($B524,AcctTbl,5,0)="","—",VLOOKUP($B524,AcctTbl,5,0)),"—"))</f>
        <v/>
      </c>
      <c r="J524" s="18">
        <f>IF($B524="","",IFERROR(IF(VLOOKUP($B524,AcctTbl,6,0)="","—",VLOOKUP($B524,AcctTbl,6,0)),"—"))</f>
        <v/>
      </c>
      <c r="K524" s="32">
        <f>IF(OR($B524="",$H$570=0),"",$H524/$H$570)</f>
        <v/>
      </c>
    </row>
    <row r="525">
      <c r="A525" s="23">
        <f>IF(ROW()-9&gt;NAcctAll,"",ROW()-9)</f>
        <v/>
      </c>
      <c r="B525" s="33">
        <f>IF($A525="","",IF($A525&lt;=NAcctAll,INDEX(PkAcctAll,$A525),""))</f>
        <v/>
      </c>
      <c r="C525" s="28">
        <f>IF($B525="","",IFERROR(IF(VLOOKUP($B525,AcctTbl,4,0)="","(بدون نام)",VLOOKUP($B525,AcctTbl,4,0)),"—"))</f>
        <v/>
      </c>
      <c r="D525" s="24">
        <f>IF($B525="","",IFERROR(IF(VLOOKUP($B525,AcctTbl,3,0)="",IF(VLOOKUP($B525,AcctTbl,2,0)="","—",VLOOKUP($B525,AcctTbl,2,0)),VLOOKUP($B525,AcctTbl,3,0)),"—"))</f>
        <v/>
      </c>
      <c r="E525" s="34">
        <f>IF($B525="","",COUNTIFS(CalcParty,$B525,CalcGroup,"خرید"))</f>
        <v/>
      </c>
      <c r="F525" s="25">
        <f>IF($B525="","",SUMIFS(CalcScale,CalcParty,$B525,CalcGroup,"خرید"))</f>
        <v/>
      </c>
      <c r="G525" s="25">
        <f>IF($B525="","",SUMIFS(CalcBaskets,CalcParty,$B525,CalcGroup,"خرید"))</f>
        <v/>
      </c>
      <c r="H525" s="26">
        <f>IF($B525="","",SUMIFS(CalcNet,CalcParty,$B525,CalcGroup,"خرید"))</f>
        <v/>
      </c>
      <c r="I525" s="24">
        <f>IF($B525="","",IFERROR(IF(VLOOKUP($B525,AcctTbl,5,0)="","—",VLOOKUP($B525,AcctTbl,5,0)),"—"))</f>
        <v/>
      </c>
      <c r="J525" s="24">
        <f>IF($B525="","",IFERROR(IF(VLOOKUP($B525,AcctTbl,6,0)="","—",VLOOKUP($B525,AcctTbl,6,0)),"—"))</f>
        <v/>
      </c>
      <c r="K525" s="35">
        <f>IF(OR($B525="",$H$570=0),"",$H525/$H$570)</f>
        <v/>
      </c>
    </row>
    <row r="526">
      <c r="A526" s="17">
        <f>IF(ROW()-9&gt;NAcctAll,"",ROW()-9)</f>
        <v/>
      </c>
      <c r="B526" s="30">
        <f>IF($A526="","",IF($A526&lt;=NAcctAll,INDEX(PkAcctAll,$A526),""))</f>
        <v/>
      </c>
      <c r="C526" s="22">
        <f>IF($B526="","",IFERROR(IF(VLOOKUP($B526,AcctTbl,4,0)="","(بدون نام)",VLOOKUP($B526,AcctTbl,4,0)),"—"))</f>
        <v/>
      </c>
      <c r="D526" s="18">
        <f>IF($B526="","",IFERROR(IF(VLOOKUP($B526,AcctTbl,3,0)="",IF(VLOOKUP($B526,AcctTbl,2,0)="","—",VLOOKUP($B526,AcctTbl,2,0)),VLOOKUP($B526,AcctTbl,3,0)),"—"))</f>
        <v/>
      </c>
      <c r="E526" s="31">
        <f>IF($B526="","",COUNTIFS(CalcParty,$B526,CalcGroup,"خرید"))</f>
        <v/>
      </c>
      <c r="F526" s="19">
        <f>IF($B526="","",SUMIFS(CalcScale,CalcParty,$B526,CalcGroup,"خرید"))</f>
        <v/>
      </c>
      <c r="G526" s="19">
        <f>IF($B526="","",SUMIFS(CalcBaskets,CalcParty,$B526,CalcGroup,"خرید"))</f>
        <v/>
      </c>
      <c r="H526" s="20">
        <f>IF($B526="","",SUMIFS(CalcNet,CalcParty,$B526,CalcGroup,"خرید"))</f>
        <v/>
      </c>
      <c r="I526" s="18">
        <f>IF($B526="","",IFERROR(IF(VLOOKUP($B526,AcctTbl,5,0)="","—",VLOOKUP($B526,AcctTbl,5,0)),"—"))</f>
        <v/>
      </c>
      <c r="J526" s="18">
        <f>IF($B526="","",IFERROR(IF(VLOOKUP($B526,AcctTbl,6,0)="","—",VLOOKUP($B526,AcctTbl,6,0)),"—"))</f>
        <v/>
      </c>
      <c r="K526" s="32">
        <f>IF(OR($B526="",$H$570=0),"",$H526/$H$570)</f>
        <v/>
      </c>
    </row>
    <row r="527">
      <c r="A527" s="23">
        <f>IF(ROW()-9&gt;NAcctAll,"",ROW()-9)</f>
        <v/>
      </c>
      <c r="B527" s="33">
        <f>IF($A527="","",IF($A527&lt;=NAcctAll,INDEX(PkAcctAll,$A527),""))</f>
        <v/>
      </c>
      <c r="C527" s="28">
        <f>IF($B527="","",IFERROR(IF(VLOOKUP($B527,AcctTbl,4,0)="","(بدون نام)",VLOOKUP($B527,AcctTbl,4,0)),"—"))</f>
        <v/>
      </c>
      <c r="D527" s="24">
        <f>IF($B527="","",IFERROR(IF(VLOOKUP($B527,AcctTbl,3,0)="",IF(VLOOKUP($B527,AcctTbl,2,0)="","—",VLOOKUP($B527,AcctTbl,2,0)),VLOOKUP($B527,AcctTbl,3,0)),"—"))</f>
        <v/>
      </c>
      <c r="E527" s="34">
        <f>IF($B527="","",COUNTIFS(CalcParty,$B527,CalcGroup,"خرید"))</f>
        <v/>
      </c>
      <c r="F527" s="25">
        <f>IF($B527="","",SUMIFS(CalcScale,CalcParty,$B527,CalcGroup,"خرید"))</f>
        <v/>
      </c>
      <c r="G527" s="25">
        <f>IF($B527="","",SUMIFS(CalcBaskets,CalcParty,$B527,CalcGroup,"خرید"))</f>
        <v/>
      </c>
      <c r="H527" s="26">
        <f>IF($B527="","",SUMIFS(CalcNet,CalcParty,$B527,CalcGroup,"خرید"))</f>
        <v/>
      </c>
      <c r="I527" s="24">
        <f>IF($B527="","",IFERROR(IF(VLOOKUP($B527,AcctTbl,5,0)="","—",VLOOKUP($B527,AcctTbl,5,0)),"—"))</f>
        <v/>
      </c>
      <c r="J527" s="24">
        <f>IF($B527="","",IFERROR(IF(VLOOKUP($B527,AcctTbl,6,0)="","—",VLOOKUP($B527,AcctTbl,6,0)),"—"))</f>
        <v/>
      </c>
      <c r="K527" s="35">
        <f>IF(OR($B527="",$H$570=0),"",$H527/$H$570)</f>
        <v/>
      </c>
    </row>
    <row r="528">
      <c r="A528" s="17">
        <f>IF(ROW()-9&gt;NAcctAll,"",ROW()-9)</f>
        <v/>
      </c>
      <c r="B528" s="30">
        <f>IF($A528="","",IF($A528&lt;=NAcctAll,INDEX(PkAcctAll,$A528),""))</f>
        <v/>
      </c>
      <c r="C528" s="22">
        <f>IF($B528="","",IFERROR(IF(VLOOKUP($B528,AcctTbl,4,0)="","(بدون نام)",VLOOKUP($B528,AcctTbl,4,0)),"—"))</f>
        <v/>
      </c>
      <c r="D528" s="18">
        <f>IF($B528="","",IFERROR(IF(VLOOKUP($B528,AcctTbl,3,0)="",IF(VLOOKUP($B528,AcctTbl,2,0)="","—",VLOOKUP($B528,AcctTbl,2,0)),VLOOKUP($B528,AcctTbl,3,0)),"—"))</f>
        <v/>
      </c>
      <c r="E528" s="31">
        <f>IF($B528="","",COUNTIFS(CalcParty,$B528,CalcGroup,"خرید"))</f>
        <v/>
      </c>
      <c r="F528" s="19">
        <f>IF($B528="","",SUMIFS(CalcScale,CalcParty,$B528,CalcGroup,"خرید"))</f>
        <v/>
      </c>
      <c r="G528" s="19">
        <f>IF($B528="","",SUMIFS(CalcBaskets,CalcParty,$B528,CalcGroup,"خرید"))</f>
        <v/>
      </c>
      <c r="H528" s="20">
        <f>IF($B528="","",SUMIFS(CalcNet,CalcParty,$B528,CalcGroup,"خرید"))</f>
        <v/>
      </c>
      <c r="I528" s="18">
        <f>IF($B528="","",IFERROR(IF(VLOOKUP($B528,AcctTbl,5,0)="","—",VLOOKUP($B528,AcctTbl,5,0)),"—"))</f>
        <v/>
      </c>
      <c r="J528" s="18">
        <f>IF($B528="","",IFERROR(IF(VLOOKUP($B528,AcctTbl,6,0)="","—",VLOOKUP($B528,AcctTbl,6,0)),"—"))</f>
        <v/>
      </c>
      <c r="K528" s="32">
        <f>IF(OR($B528="",$H$570=0),"",$H528/$H$570)</f>
        <v/>
      </c>
    </row>
    <row r="529">
      <c r="A529" s="23">
        <f>IF(ROW()-9&gt;NAcctAll,"",ROW()-9)</f>
        <v/>
      </c>
      <c r="B529" s="33">
        <f>IF($A529="","",IF($A529&lt;=NAcctAll,INDEX(PkAcctAll,$A529),""))</f>
        <v/>
      </c>
      <c r="C529" s="28">
        <f>IF($B529="","",IFERROR(IF(VLOOKUP($B529,AcctTbl,4,0)="","(بدون نام)",VLOOKUP($B529,AcctTbl,4,0)),"—"))</f>
        <v/>
      </c>
      <c r="D529" s="24">
        <f>IF($B529="","",IFERROR(IF(VLOOKUP($B529,AcctTbl,3,0)="",IF(VLOOKUP($B529,AcctTbl,2,0)="","—",VLOOKUP($B529,AcctTbl,2,0)),VLOOKUP($B529,AcctTbl,3,0)),"—"))</f>
        <v/>
      </c>
      <c r="E529" s="34">
        <f>IF($B529="","",COUNTIFS(CalcParty,$B529,CalcGroup,"خرید"))</f>
        <v/>
      </c>
      <c r="F529" s="25">
        <f>IF($B529="","",SUMIFS(CalcScale,CalcParty,$B529,CalcGroup,"خرید"))</f>
        <v/>
      </c>
      <c r="G529" s="25">
        <f>IF($B529="","",SUMIFS(CalcBaskets,CalcParty,$B529,CalcGroup,"خرید"))</f>
        <v/>
      </c>
      <c r="H529" s="26">
        <f>IF($B529="","",SUMIFS(CalcNet,CalcParty,$B529,CalcGroup,"خرید"))</f>
        <v/>
      </c>
      <c r="I529" s="24">
        <f>IF($B529="","",IFERROR(IF(VLOOKUP($B529,AcctTbl,5,0)="","—",VLOOKUP($B529,AcctTbl,5,0)),"—"))</f>
        <v/>
      </c>
      <c r="J529" s="24">
        <f>IF($B529="","",IFERROR(IF(VLOOKUP($B529,AcctTbl,6,0)="","—",VLOOKUP($B529,AcctTbl,6,0)),"—"))</f>
        <v/>
      </c>
      <c r="K529" s="35">
        <f>IF(OR($B529="",$H$570=0),"",$H529/$H$570)</f>
        <v/>
      </c>
    </row>
    <row r="530">
      <c r="A530" s="17">
        <f>IF(ROW()-9&gt;NAcctAll,"",ROW()-9)</f>
        <v/>
      </c>
      <c r="B530" s="30">
        <f>IF($A530="","",IF($A530&lt;=NAcctAll,INDEX(PkAcctAll,$A530),""))</f>
        <v/>
      </c>
      <c r="C530" s="22">
        <f>IF($B530="","",IFERROR(IF(VLOOKUP($B530,AcctTbl,4,0)="","(بدون نام)",VLOOKUP($B530,AcctTbl,4,0)),"—"))</f>
        <v/>
      </c>
      <c r="D530" s="18">
        <f>IF($B530="","",IFERROR(IF(VLOOKUP($B530,AcctTbl,3,0)="",IF(VLOOKUP($B530,AcctTbl,2,0)="","—",VLOOKUP($B530,AcctTbl,2,0)),VLOOKUP($B530,AcctTbl,3,0)),"—"))</f>
        <v/>
      </c>
      <c r="E530" s="31">
        <f>IF($B530="","",COUNTIFS(CalcParty,$B530,CalcGroup,"خرید"))</f>
        <v/>
      </c>
      <c r="F530" s="19">
        <f>IF($B530="","",SUMIFS(CalcScale,CalcParty,$B530,CalcGroup,"خرید"))</f>
        <v/>
      </c>
      <c r="G530" s="19">
        <f>IF($B530="","",SUMIFS(CalcBaskets,CalcParty,$B530,CalcGroup,"خرید"))</f>
        <v/>
      </c>
      <c r="H530" s="20">
        <f>IF($B530="","",SUMIFS(CalcNet,CalcParty,$B530,CalcGroup,"خرید"))</f>
        <v/>
      </c>
      <c r="I530" s="18">
        <f>IF($B530="","",IFERROR(IF(VLOOKUP($B530,AcctTbl,5,0)="","—",VLOOKUP($B530,AcctTbl,5,0)),"—"))</f>
        <v/>
      </c>
      <c r="J530" s="18">
        <f>IF($B530="","",IFERROR(IF(VLOOKUP($B530,AcctTbl,6,0)="","—",VLOOKUP($B530,AcctTbl,6,0)),"—"))</f>
        <v/>
      </c>
      <c r="K530" s="32">
        <f>IF(OR($B530="",$H$570=0),"",$H530/$H$570)</f>
        <v/>
      </c>
    </row>
    <row r="531">
      <c r="A531" s="23">
        <f>IF(ROW()-9&gt;NAcctAll,"",ROW()-9)</f>
        <v/>
      </c>
      <c r="B531" s="33">
        <f>IF($A531="","",IF($A531&lt;=NAcctAll,INDEX(PkAcctAll,$A531),""))</f>
        <v/>
      </c>
      <c r="C531" s="28">
        <f>IF($B531="","",IFERROR(IF(VLOOKUP($B531,AcctTbl,4,0)="","(بدون نام)",VLOOKUP($B531,AcctTbl,4,0)),"—"))</f>
        <v/>
      </c>
      <c r="D531" s="24">
        <f>IF($B531="","",IFERROR(IF(VLOOKUP($B531,AcctTbl,3,0)="",IF(VLOOKUP($B531,AcctTbl,2,0)="","—",VLOOKUP($B531,AcctTbl,2,0)),VLOOKUP($B531,AcctTbl,3,0)),"—"))</f>
        <v/>
      </c>
      <c r="E531" s="34">
        <f>IF($B531="","",COUNTIFS(CalcParty,$B531,CalcGroup,"خرید"))</f>
        <v/>
      </c>
      <c r="F531" s="25">
        <f>IF($B531="","",SUMIFS(CalcScale,CalcParty,$B531,CalcGroup,"خرید"))</f>
        <v/>
      </c>
      <c r="G531" s="25">
        <f>IF($B531="","",SUMIFS(CalcBaskets,CalcParty,$B531,CalcGroup,"خرید"))</f>
        <v/>
      </c>
      <c r="H531" s="26">
        <f>IF($B531="","",SUMIFS(CalcNet,CalcParty,$B531,CalcGroup,"خرید"))</f>
        <v/>
      </c>
      <c r="I531" s="24">
        <f>IF($B531="","",IFERROR(IF(VLOOKUP($B531,AcctTbl,5,0)="","—",VLOOKUP($B531,AcctTbl,5,0)),"—"))</f>
        <v/>
      </c>
      <c r="J531" s="24">
        <f>IF($B531="","",IFERROR(IF(VLOOKUP($B531,AcctTbl,6,0)="","—",VLOOKUP($B531,AcctTbl,6,0)),"—"))</f>
        <v/>
      </c>
      <c r="K531" s="35">
        <f>IF(OR($B531="",$H$570=0),"",$H531/$H$570)</f>
        <v/>
      </c>
    </row>
    <row r="532">
      <c r="A532" s="17">
        <f>IF(ROW()-9&gt;NAcctAll,"",ROW()-9)</f>
        <v/>
      </c>
      <c r="B532" s="30">
        <f>IF($A532="","",IF($A532&lt;=NAcctAll,INDEX(PkAcctAll,$A532),""))</f>
        <v/>
      </c>
      <c r="C532" s="22">
        <f>IF($B532="","",IFERROR(IF(VLOOKUP($B532,AcctTbl,4,0)="","(بدون نام)",VLOOKUP($B532,AcctTbl,4,0)),"—"))</f>
        <v/>
      </c>
      <c r="D532" s="18">
        <f>IF($B532="","",IFERROR(IF(VLOOKUP($B532,AcctTbl,3,0)="",IF(VLOOKUP($B532,AcctTbl,2,0)="","—",VLOOKUP($B532,AcctTbl,2,0)),VLOOKUP($B532,AcctTbl,3,0)),"—"))</f>
        <v/>
      </c>
      <c r="E532" s="31">
        <f>IF($B532="","",COUNTIFS(CalcParty,$B532,CalcGroup,"خرید"))</f>
        <v/>
      </c>
      <c r="F532" s="19">
        <f>IF($B532="","",SUMIFS(CalcScale,CalcParty,$B532,CalcGroup,"خرید"))</f>
        <v/>
      </c>
      <c r="G532" s="19">
        <f>IF($B532="","",SUMIFS(CalcBaskets,CalcParty,$B532,CalcGroup,"خرید"))</f>
        <v/>
      </c>
      <c r="H532" s="20">
        <f>IF($B532="","",SUMIFS(CalcNet,CalcParty,$B532,CalcGroup,"خرید"))</f>
        <v/>
      </c>
      <c r="I532" s="18">
        <f>IF($B532="","",IFERROR(IF(VLOOKUP($B532,AcctTbl,5,0)="","—",VLOOKUP($B532,AcctTbl,5,0)),"—"))</f>
        <v/>
      </c>
      <c r="J532" s="18">
        <f>IF($B532="","",IFERROR(IF(VLOOKUP($B532,AcctTbl,6,0)="","—",VLOOKUP($B532,AcctTbl,6,0)),"—"))</f>
        <v/>
      </c>
      <c r="K532" s="32">
        <f>IF(OR($B532="",$H$570=0),"",$H532/$H$570)</f>
        <v/>
      </c>
    </row>
    <row r="533">
      <c r="A533" s="23">
        <f>IF(ROW()-9&gt;NAcctAll,"",ROW()-9)</f>
        <v/>
      </c>
      <c r="B533" s="33">
        <f>IF($A533="","",IF($A533&lt;=NAcctAll,INDEX(PkAcctAll,$A533),""))</f>
        <v/>
      </c>
      <c r="C533" s="28">
        <f>IF($B533="","",IFERROR(IF(VLOOKUP($B533,AcctTbl,4,0)="","(بدون نام)",VLOOKUP($B533,AcctTbl,4,0)),"—"))</f>
        <v/>
      </c>
      <c r="D533" s="24">
        <f>IF($B533="","",IFERROR(IF(VLOOKUP($B533,AcctTbl,3,0)="",IF(VLOOKUP($B533,AcctTbl,2,0)="","—",VLOOKUP($B533,AcctTbl,2,0)),VLOOKUP($B533,AcctTbl,3,0)),"—"))</f>
        <v/>
      </c>
      <c r="E533" s="34">
        <f>IF($B533="","",COUNTIFS(CalcParty,$B533,CalcGroup,"خرید"))</f>
        <v/>
      </c>
      <c r="F533" s="25">
        <f>IF($B533="","",SUMIFS(CalcScale,CalcParty,$B533,CalcGroup,"خرید"))</f>
        <v/>
      </c>
      <c r="G533" s="25">
        <f>IF($B533="","",SUMIFS(CalcBaskets,CalcParty,$B533,CalcGroup,"خرید"))</f>
        <v/>
      </c>
      <c r="H533" s="26">
        <f>IF($B533="","",SUMIFS(CalcNet,CalcParty,$B533,CalcGroup,"خرید"))</f>
        <v/>
      </c>
      <c r="I533" s="24">
        <f>IF($B533="","",IFERROR(IF(VLOOKUP($B533,AcctTbl,5,0)="","—",VLOOKUP($B533,AcctTbl,5,0)),"—"))</f>
        <v/>
      </c>
      <c r="J533" s="24">
        <f>IF($B533="","",IFERROR(IF(VLOOKUP($B533,AcctTbl,6,0)="","—",VLOOKUP($B533,AcctTbl,6,0)),"—"))</f>
        <v/>
      </c>
      <c r="K533" s="35">
        <f>IF(OR($B533="",$H$570=0),"",$H533/$H$570)</f>
        <v/>
      </c>
    </row>
    <row r="534">
      <c r="A534" s="17">
        <f>IF(ROW()-9&gt;NAcctAll,"",ROW()-9)</f>
        <v/>
      </c>
      <c r="B534" s="30">
        <f>IF($A534="","",IF($A534&lt;=NAcctAll,INDEX(PkAcctAll,$A534),""))</f>
        <v/>
      </c>
      <c r="C534" s="22">
        <f>IF($B534="","",IFERROR(IF(VLOOKUP($B534,AcctTbl,4,0)="","(بدون نام)",VLOOKUP($B534,AcctTbl,4,0)),"—"))</f>
        <v/>
      </c>
      <c r="D534" s="18">
        <f>IF($B534="","",IFERROR(IF(VLOOKUP($B534,AcctTbl,3,0)="",IF(VLOOKUP($B534,AcctTbl,2,0)="","—",VLOOKUP($B534,AcctTbl,2,0)),VLOOKUP($B534,AcctTbl,3,0)),"—"))</f>
        <v/>
      </c>
      <c r="E534" s="31">
        <f>IF($B534="","",COUNTIFS(CalcParty,$B534,CalcGroup,"خرید"))</f>
        <v/>
      </c>
      <c r="F534" s="19">
        <f>IF($B534="","",SUMIFS(CalcScale,CalcParty,$B534,CalcGroup,"خرید"))</f>
        <v/>
      </c>
      <c r="G534" s="19">
        <f>IF($B534="","",SUMIFS(CalcBaskets,CalcParty,$B534,CalcGroup,"خرید"))</f>
        <v/>
      </c>
      <c r="H534" s="20">
        <f>IF($B534="","",SUMIFS(CalcNet,CalcParty,$B534,CalcGroup,"خرید"))</f>
        <v/>
      </c>
      <c r="I534" s="18">
        <f>IF($B534="","",IFERROR(IF(VLOOKUP($B534,AcctTbl,5,0)="","—",VLOOKUP($B534,AcctTbl,5,0)),"—"))</f>
        <v/>
      </c>
      <c r="J534" s="18">
        <f>IF($B534="","",IFERROR(IF(VLOOKUP($B534,AcctTbl,6,0)="","—",VLOOKUP($B534,AcctTbl,6,0)),"—"))</f>
        <v/>
      </c>
      <c r="K534" s="32">
        <f>IF(OR($B534="",$H$570=0),"",$H534/$H$570)</f>
        <v/>
      </c>
    </row>
    <row r="535">
      <c r="A535" s="23">
        <f>IF(ROW()-9&gt;NAcctAll,"",ROW()-9)</f>
        <v/>
      </c>
      <c r="B535" s="33">
        <f>IF($A535="","",IF($A535&lt;=NAcctAll,INDEX(PkAcctAll,$A535),""))</f>
        <v/>
      </c>
      <c r="C535" s="28">
        <f>IF($B535="","",IFERROR(IF(VLOOKUP($B535,AcctTbl,4,0)="","(بدون نام)",VLOOKUP($B535,AcctTbl,4,0)),"—"))</f>
        <v/>
      </c>
      <c r="D535" s="24">
        <f>IF($B535="","",IFERROR(IF(VLOOKUP($B535,AcctTbl,3,0)="",IF(VLOOKUP($B535,AcctTbl,2,0)="","—",VLOOKUP($B535,AcctTbl,2,0)),VLOOKUP($B535,AcctTbl,3,0)),"—"))</f>
        <v/>
      </c>
      <c r="E535" s="34">
        <f>IF($B535="","",COUNTIFS(CalcParty,$B535,CalcGroup,"خرید"))</f>
        <v/>
      </c>
      <c r="F535" s="25">
        <f>IF($B535="","",SUMIFS(CalcScale,CalcParty,$B535,CalcGroup,"خرید"))</f>
        <v/>
      </c>
      <c r="G535" s="25">
        <f>IF($B535="","",SUMIFS(CalcBaskets,CalcParty,$B535,CalcGroup,"خرید"))</f>
        <v/>
      </c>
      <c r="H535" s="26">
        <f>IF($B535="","",SUMIFS(CalcNet,CalcParty,$B535,CalcGroup,"خرید"))</f>
        <v/>
      </c>
      <c r="I535" s="24">
        <f>IF($B535="","",IFERROR(IF(VLOOKUP($B535,AcctTbl,5,0)="","—",VLOOKUP($B535,AcctTbl,5,0)),"—"))</f>
        <v/>
      </c>
      <c r="J535" s="24">
        <f>IF($B535="","",IFERROR(IF(VLOOKUP($B535,AcctTbl,6,0)="","—",VLOOKUP($B535,AcctTbl,6,0)),"—"))</f>
        <v/>
      </c>
      <c r="K535" s="35">
        <f>IF(OR($B535="",$H$570=0),"",$H535/$H$570)</f>
        <v/>
      </c>
    </row>
    <row r="536">
      <c r="A536" s="17">
        <f>IF(ROW()-9&gt;NAcctAll,"",ROW()-9)</f>
        <v/>
      </c>
      <c r="B536" s="30">
        <f>IF($A536="","",IF($A536&lt;=NAcctAll,INDEX(PkAcctAll,$A536),""))</f>
        <v/>
      </c>
      <c r="C536" s="22">
        <f>IF($B536="","",IFERROR(IF(VLOOKUP($B536,AcctTbl,4,0)="","(بدون نام)",VLOOKUP($B536,AcctTbl,4,0)),"—"))</f>
        <v/>
      </c>
      <c r="D536" s="18">
        <f>IF($B536="","",IFERROR(IF(VLOOKUP($B536,AcctTbl,3,0)="",IF(VLOOKUP($B536,AcctTbl,2,0)="","—",VLOOKUP($B536,AcctTbl,2,0)),VLOOKUP($B536,AcctTbl,3,0)),"—"))</f>
        <v/>
      </c>
      <c r="E536" s="31">
        <f>IF($B536="","",COUNTIFS(CalcParty,$B536,CalcGroup,"خرید"))</f>
        <v/>
      </c>
      <c r="F536" s="19">
        <f>IF($B536="","",SUMIFS(CalcScale,CalcParty,$B536,CalcGroup,"خرید"))</f>
        <v/>
      </c>
      <c r="G536" s="19">
        <f>IF($B536="","",SUMIFS(CalcBaskets,CalcParty,$B536,CalcGroup,"خرید"))</f>
        <v/>
      </c>
      <c r="H536" s="20">
        <f>IF($B536="","",SUMIFS(CalcNet,CalcParty,$B536,CalcGroup,"خرید"))</f>
        <v/>
      </c>
      <c r="I536" s="18">
        <f>IF($B536="","",IFERROR(IF(VLOOKUP($B536,AcctTbl,5,0)="","—",VLOOKUP($B536,AcctTbl,5,0)),"—"))</f>
        <v/>
      </c>
      <c r="J536" s="18">
        <f>IF($B536="","",IFERROR(IF(VLOOKUP($B536,AcctTbl,6,0)="","—",VLOOKUP($B536,AcctTbl,6,0)),"—"))</f>
        <v/>
      </c>
      <c r="K536" s="32">
        <f>IF(OR($B536="",$H$570=0),"",$H536/$H$570)</f>
        <v/>
      </c>
    </row>
    <row r="537">
      <c r="A537" s="23">
        <f>IF(ROW()-9&gt;NAcctAll,"",ROW()-9)</f>
        <v/>
      </c>
      <c r="B537" s="33">
        <f>IF($A537="","",IF($A537&lt;=NAcctAll,INDEX(PkAcctAll,$A537),""))</f>
        <v/>
      </c>
      <c r="C537" s="28">
        <f>IF($B537="","",IFERROR(IF(VLOOKUP($B537,AcctTbl,4,0)="","(بدون نام)",VLOOKUP($B537,AcctTbl,4,0)),"—"))</f>
        <v/>
      </c>
      <c r="D537" s="24">
        <f>IF($B537="","",IFERROR(IF(VLOOKUP($B537,AcctTbl,3,0)="",IF(VLOOKUP($B537,AcctTbl,2,0)="","—",VLOOKUP($B537,AcctTbl,2,0)),VLOOKUP($B537,AcctTbl,3,0)),"—"))</f>
        <v/>
      </c>
      <c r="E537" s="34">
        <f>IF($B537="","",COUNTIFS(CalcParty,$B537,CalcGroup,"خرید"))</f>
        <v/>
      </c>
      <c r="F537" s="25">
        <f>IF($B537="","",SUMIFS(CalcScale,CalcParty,$B537,CalcGroup,"خرید"))</f>
        <v/>
      </c>
      <c r="G537" s="25">
        <f>IF($B537="","",SUMIFS(CalcBaskets,CalcParty,$B537,CalcGroup,"خرید"))</f>
        <v/>
      </c>
      <c r="H537" s="26">
        <f>IF($B537="","",SUMIFS(CalcNet,CalcParty,$B537,CalcGroup,"خرید"))</f>
        <v/>
      </c>
      <c r="I537" s="24">
        <f>IF($B537="","",IFERROR(IF(VLOOKUP($B537,AcctTbl,5,0)="","—",VLOOKUP($B537,AcctTbl,5,0)),"—"))</f>
        <v/>
      </c>
      <c r="J537" s="24">
        <f>IF($B537="","",IFERROR(IF(VLOOKUP($B537,AcctTbl,6,0)="","—",VLOOKUP($B537,AcctTbl,6,0)),"—"))</f>
        <v/>
      </c>
      <c r="K537" s="35">
        <f>IF(OR($B537="",$H$570=0),"",$H537/$H$570)</f>
        <v/>
      </c>
    </row>
    <row r="538">
      <c r="A538" s="17">
        <f>IF(ROW()-9&gt;NAcctAll,"",ROW()-9)</f>
        <v/>
      </c>
      <c r="B538" s="30">
        <f>IF($A538="","",IF($A538&lt;=NAcctAll,INDEX(PkAcctAll,$A538),""))</f>
        <v/>
      </c>
      <c r="C538" s="22">
        <f>IF($B538="","",IFERROR(IF(VLOOKUP($B538,AcctTbl,4,0)="","(بدون نام)",VLOOKUP($B538,AcctTbl,4,0)),"—"))</f>
        <v/>
      </c>
      <c r="D538" s="18">
        <f>IF($B538="","",IFERROR(IF(VLOOKUP($B538,AcctTbl,3,0)="",IF(VLOOKUP($B538,AcctTbl,2,0)="","—",VLOOKUP($B538,AcctTbl,2,0)),VLOOKUP($B538,AcctTbl,3,0)),"—"))</f>
        <v/>
      </c>
      <c r="E538" s="31">
        <f>IF($B538="","",COUNTIFS(CalcParty,$B538,CalcGroup,"خرید"))</f>
        <v/>
      </c>
      <c r="F538" s="19">
        <f>IF($B538="","",SUMIFS(CalcScale,CalcParty,$B538,CalcGroup,"خرید"))</f>
        <v/>
      </c>
      <c r="G538" s="19">
        <f>IF($B538="","",SUMIFS(CalcBaskets,CalcParty,$B538,CalcGroup,"خرید"))</f>
        <v/>
      </c>
      <c r="H538" s="20">
        <f>IF($B538="","",SUMIFS(CalcNet,CalcParty,$B538,CalcGroup,"خرید"))</f>
        <v/>
      </c>
      <c r="I538" s="18">
        <f>IF($B538="","",IFERROR(IF(VLOOKUP($B538,AcctTbl,5,0)="","—",VLOOKUP($B538,AcctTbl,5,0)),"—"))</f>
        <v/>
      </c>
      <c r="J538" s="18">
        <f>IF($B538="","",IFERROR(IF(VLOOKUP($B538,AcctTbl,6,0)="","—",VLOOKUP($B538,AcctTbl,6,0)),"—"))</f>
        <v/>
      </c>
      <c r="K538" s="32">
        <f>IF(OR($B538="",$H$570=0),"",$H538/$H$570)</f>
        <v/>
      </c>
    </row>
    <row r="539">
      <c r="A539" s="23">
        <f>IF(ROW()-9&gt;NAcctAll,"",ROW()-9)</f>
        <v/>
      </c>
      <c r="B539" s="33">
        <f>IF($A539="","",IF($A539&lt;=NAcctAll,INDEX(PkAcctAll,$A539),""))</f>
        <v/>
      </c>
      <c r="C539" s="28">
        <f>IF($B539="","",IFERROR(IF(VLOOKUP($B539,AcctTbl,4,0)="","(بدون نام)",VLOOKUP($B539,AcctTbl,4,0)),"—"))</f>
        <v/>
      </c>
      <c r="D539" s="24">
        <f>IF($B539="","",IFERROR(IF(VLOOKUP($B539,AcctTbl,3,0)="",IF(VLOOKUP($B539,AcctTbl,2,0)="","—",VLOOKUP($B539,AcctTbl,2,0)),VLOOKUP($B539,AcctTbl,3,0)),"—"))</f>
        <v/>
      </c>
      <c r="E539" s="34">
        <f>IF($B539="","",COUNTIFS(CalcParty,$B539,CalcGroup,"خرید"))</f>
        <v/>
      </c>
      <c r="F539" s="25">
        <f>IF($B539="","",SUMIFS(CalcScale,CalcParty,$B539,CalcGroup,"خرید"))</f>
        <v/>
      </c>
      <c r="G539" s="25">
        <f>IF($B539="","",SUMIFS(CalcBaskets,CalcParty,$B539,CalcGroup,"خرید"))</f>
        <v/>
      </c>
      <c r="H539" s="26">
        <f>IF($B539="","",SUMIFS(CalcNet,CalcParty,$B539,CalcGroup,"خرید"))</f>
        <v/>
      </c>
      <c r="I539" s="24">
        <f>IF($B539="","",IFERROR(IF(VLOOKUP($B539,AcctTbl,5,0)="","—",VLOOKUP($B539,AcctTbl,5,0)),"—"))</f>
        <v/>
      </c>
      <c r="J539" s="24">
        <f>IF($B539="","",IFERROR(IF(VLOOKUP($B539,AcctTbl,6,0)="","—",VLOOKUP($B539,AcctTbl,6,0)),"—"))</f>
        <v/>
      </c>
      <c r="K539" s="35">
        <f>IF(OR($B539="",$H$570=0),"",$H539/$H$570)</f>
        <v/>
      </c>
    </row>
    <row r="540">
      <c r="A540" s="17">
        <f>IF(ROW()-9&gt;NAcctAll,"",ROW()-9)</f>
        <v/>
      </c>
      <c r="B540" s="30">
        <f>IF($A540="","",IF($A540&lt;=NAcctAll,INDEX(PkAcctAll,$A540),""))</f>
        <v/>
      </c>
      <c r="C540" s="22">
        <f>IF($B540="","",IFERROR(IF(VLOOKUP($B540,AcctTbl,4,0)="","(بدون نام)",VLOOKUP($B540,AcctTbl,4,0)),"—"))</f>
        <v/>
      </c>
      <c r="D540" s="18">
        <f>IF($B540="","",IFERROR(IF(VLOOKUP($B540,AcctTbl,3,0)="",IF(VLOOKUP($B540,AcctTbl,2,0)="","—",VLOOKUP($B540,AcctTbl,2,0)),VLOOKUP($B540,AcctTbl,3,0)),"—"))</f>
        <v/>
      </c>
      <c r="E540" s="31">
        <f>IF($B540="","",COUNTIFS(CalcParty,$B540,CalcGroup,"خرید"))</f>
        <v/>
      </c>
      <c r="F540" s="19">
        <f>IF($B540="","",SUMIFS(CalcScale,CalcParty,$B540,CalcGroup,"خرید"))</f>
        <v/>
      </c>
      <c r="G540" s="19">
        <f>IF($B540="","",SUMIFS(CalcBaskets,CalcParty,$B540,CalcGroup,"خرید"))</f>
        <v/>
      </c>
      <c r="H540" s="20">
        <f>IF($B540="","",SUMIFS(CalcNet,CalcParty,$B540,CalcGroup,"خرید"))</f>
        <v/>
      </c>
      <c r="I540" s="18">
        <f>IF($B540="","",IFERROR(IF(VLOOKUP($B540,AcctTbl,5,0)="","—",VLOOKUP($B540,AcctTbl,5,0)),"—"))</f>
        <v/>
      </c>
      <c r="J540" s="18">
        <f>IF($B540="","",IFERROR(IF(VLOOKUP($B540,AcctTbl,6,0)="","—",VLOOKUP($B540,AcctTbl,6,0)),"—"))</f>
        <v/>
      </c>
      <c r="K540" s="32">
        <f>IF(OR($B540="",$H$570=0),"",$H540/$H$570)</f>
        <v/>
      </c>
    </row>
    <row r="541">
      <c r="A541" s="23">
        <f>IF(ROW()-9&gt;NAcctAll,"",ROW()-9)</f>
        <v/>
      </c>
      <c r="B541" s="33">
        <f>IF($A541="","",IF($A541&lt;=NAcctAll,INDEX(PkAcctAll,$A541),""))</f>
        <v/>
      </c>
      <c r="C541" s="28">
        <f>IF($B541="","",IFERROR(IF(VLOOKUP($B541,AcctTbl,4,0)="","(بدون نام)",VLOOKUP($B541,AcctTbl,4,0)),"—"))</f>
        <v/>
      </c>
      <c r="D541" s="24">
        <f>IF($B541="","",IFERROR(IF(VLOOKUP($B541,AcctTbl,3,0)="",IF(VLOOKUP($B541,AcctTbl,2,0)="","—",VLOOKUP($B541,AcctTbl,2,0)),VLOOKUP($B541,AcctTbl,3,0)),"—"))</f>
        <v/>
      </c>
      <c r="E541" s="34">
        <f>IF($B541="","",COUNTIFS(CalcParty,$B541,CalcGroup,"خرید"))</f>
        <v/>
      </c>
      <c r="F541" s="25">
        <f>IF($B541="","",SUMIFS(CalcScale,CalcParty,$B541,CalcGroup,"خرید"))</f>
        <v/>
      </c>
      <c r="G541" s="25">
        <f>IF($B541="","",SUMIFS(CalcBaskets,CalcParty,$B541,CalcGroup,"خرید"))</f>
        <v/>
      </c>
      <c r="H541" s="26">
        <f>IF($B541="","",SUMIFS(CalcNet,CalcParty,$B541,CalcGroup,"خرید"))</f>
        <v/>
      </c>
      <c r="I541" s="24">
        <f>IF($B541="","",IFERROR(IF(VLOOKUP($B541,AcctTbl,5,0)="","—",VLOOKUP($B541,AcctTbl,5,0)),"—"))</f>
        <v/>
      </c>
      <c r="J541" s="24">
        <f>IF($B541="","",IFERROR(IF(VLOOKUP($B541,AcctTbl,6,0)="","—",VLOOKUP($B541,AcctTbl,6,0)),"—"))</f>
        <v/>
      </c>
      <c r="K541" s="35">
        <f>IF(OR($B541="",$H$570=0),"",$H541/$H$570)</f>
        <v/>
      </c>
    </row>
    <row r="542">
      <c r="A542" s="17">
        <f>IF(ROW()-9&gt;NAcctAll,"",ROW()-9)</f>
        <v/>
      </c>
      <c r="B542" s="30">
        <f>IF($A542="","",IF($A542&lt;=NAcctAll,INDEX(PkAcctAll,$A542),""))</f>
        <v/>
      </c>
      <c r="C542" s="22">
        <f>IF($B542="","",IFERROR(IF(VLOOKUP($B542,AcctTbl,4,0)="","(بدون نام)",VLOOKUP($B542,AcctTbl,4,0)),"—"))</f>
        <v/>
      </c>
      <c r="D542" s="18">
        <f>IF($B542="","",IFERROR(IF(VLOOKUP($B542,AcctTbl,3,0)="",IF(VLOOKUP($B542,AcctTbl,2,0)="","—",VLOOKUP($B542,AcctTbl,2,0)),VLOOKUP($B542,AcctTbl,3,0)),"—"))</f>
        <v/>
      </c>
      <c r="E542" s="31">
        <f>IF($B542="","",COUNTIFS(CalcParty,$B542,CalcGroup,"خرید"))</f>
        <v/>
      </c>
      <c r="F542" s="19">
        <f>IF($B542="","",SUMIFS(CalcScale,CalcParty,$B542,CalcGroup,"خرید"))</f>
        <v/>
      </c>
      <c r="G542" s="19">
        <f>IF($B542="","",SUMIFS(CalcBaskets,CalcParty,$B542,CalcGroup,"خرید"))</f>
        <v/>
      </c>
      <c r="H542" s="20">
        <f>IF($B542="","",SUMIFS(CalcNet,CalcParty,$B542,CalcGroup,"خرید"))</f>
        <v/>
      </c>
      <c r="I542" s="18">
        <f>IF($B542="","",IFERROR(IF(VLOOKUP($B542,AcctTbl,5,0)="","—",VLOOKUP($B542,AcctTbl,5,0)),"—"))</f>
        <v/>
      </c>
      <c r="J542" s="18">
        <f>IF($B542="","",IFERROR(IF(VLOOKUP($B542,AcctTbl,6,0)="","—",VLOOKUP($B542,AcctTbl,6,0)),"—"))</f>
        <v/>
      </c>
      <c r="K542" s="32">
        <f>IF(OR($B542="",$H$570=0),"",$H542/$H$570)</f>
        <v/>
      </c>
    </row>
    <row r="543">
      <c r="A543" s="23">
        <f>IF(ROW()-9&gt;NAcctAll,"",ROW()-9)</f>
        <v/>
      </c>
      <c r="B543" s="33">
        <f>IF($A543="","",IF($A543&lt;=NAcctAll,INDEX(PkAcctAll,$A543),""))</f>
        <v/>
      </c>
      <c r="C543" s="28">
        <f>IF($B543="","",IFERROR(IF(VLOOKUP($B543,AcctTbl,4,0)="","(بدون نام)",VLOOKUP($B543,AcctTbl,4,0)),"—"))</f>
        <v/>
      </c>
      <c r="D543" s="24">
        <f>IF($B543="","",IFERROR(IF(VLOOKUP($B543,AcctTbl,3,0)="",IF(VLOOKUP($B543,AcctTbl,2,0)="","—",VLOOKUP($B543,AcctTbl,2,0)),VLOOKUP($B543,AcctTbl,3,0)),"—"))</f>
        <v/>
      </c>
      <c r="E543" s="34">
        <f>IF($B543="","",COUNTIFS(CalcParty,$B543,CalcGroup,"خرید"))</f>
        <v/>
      </c>
      <c r="F543" s="25">
        <f>IF($B543="","",SUMIFS(CalcScale,CalcParty,$B543,CalcGroup,"خرید"))</f>
        <v/>
      </c>
      <c r="G543" s="25">
        <f>IF($B543="","",SUMIFS(CalcBaskets,CalcParty,$B543,CalcGroup,"خرید"))</f>
        <v/>
      </c>
      <c r="H543" s="26">
        <f>IF($B543="","",SUMIFS(CalcNet,CalcParty,$B543,CalcGroup,"خرید"))</f>
        <v/>
      </c>
      <c r="I543" s="24">
        <f>IF($B543="","",IFERROR(IF(VLOOKUP($B543,AcctTbl,5,0)="","—",VLOOKUP($B543,AcctTbl,5,0)),"—"))</f>
        <v/>
      </c>
      <c r="J543" s="24">
        <f>IF($B543="","",IFERROR(IF(VLOOKUP($B543,AcctTbl,6,0)="","—",VLOOKUP($B543,AcctTbl,6,0)),"—"))</f>
        <v/>
      </c>
      <c r="K543" s="35">
        <f>IF(OR($B543="",$H$570=0),"",$H543/$H$570)</f>
        <v/>
      </c>
    </row>
    <row r="544">
      <c r="A544" s="17">
        <f>IF(ROW()-9&gt;NAcctAll,"",ROW()-9)</f>
        <v/>
      </c>
      <c r="B544" s="30">
        <f>IF($A544="","",IF($A544&lt;=NAcctAll,INDEX(PkAcctAll,$A544),""))</f>
        <v/>
      </c>
      <c r="C544" s="22">
        <f>IF($B544="","",IFERROR(IF(VLOOKUP($B544,AcctTbl,4,0)="","(بدون نام)",VLOOKUP($B544,AcctTbl,4,0)),"—"))</f>
        <v/>
      </c>
      <c r="D544" s="18">
        <f>IF($B544="","",IFERROR(IF(VLOOKUP($B544,AcctTbl,3,0)="",IF(VLOOKUP($B544,AcctTbl,2,0)="","—",VLOOKUP($B544,AcctTbl,2,0)),VLOOKUP($B544,AcctTbl,3,0)),"—"))</f>
        <v/>
      </c>
      <c r="E544" s="31">
        <f>IF($B544="","",COUNTIFS(CalcParty,$B544,CalcGroup,"خرید"))</f>
        <v/>
      </c>
      <c r="F544" s="19">
        <f>IF($B544="","",SUMIFS(CalcScale,CalcParty,$B544,CalcGroup,"خرید"))</f>
        <v/>
      </c>
      <c r="G544" s="19">
        <f>IF($B544="","",SUMIFS(CalcBaskets,CalcParty,$B544,CalcGroup,"خرید"))</f>
        <v/>
      </c>
      <c r="H544" s="20">
        <f>IF($B544="","",SUMIFS(CalcNet,CalcParty,$B544,CalcGroup,"خرید"))</f>
        <v/>
      </c>
      <c r="I544" s="18">
        <f>IF($B544="","",IFERROR(IF(VLOOKUP($B544,AcctTbl,5,0)="","—",VLOOKUP($B544,AcctTbl,5,0)),"—"))</f>
        <v/>
      </c>
      <c r="J544" s="18">
        <f>IF($B544="","",IFERROR(IF(VLOOKUP($B544,AcctTbl,6,0)="","—",VLOOKUP($B544,AcctTbl,6,0)),"—"))</f>
        <v/>
      </c>
      <c r="K544" s="32">
        <f>IF(OR($B544="",$H$570=0),"",$H544/$H$570)</f>
        <v/>
      </c>
    </row>
    <row r="545">
      <c r="A545" s="23">
        <f>IF(ROW()-9&gt;NAcctAll,"",ROW()-9)</f>
        <v/>
      </c>
      <c r="B545" s="33">
        <f>IF($A545="","",IF($A545&lt;=NAcctAll,INDEX(PkAcctAll,$A545),""))</f>
        <v/>
      </c>
      <c r="C545" s="28">
        <f>IF($B545="","",IFERROR(IF(VLOOKUP($B545,AcctTbl,4,0)="","(بدون نام)",VLOOKUP($B545,AcctTbl,4,0)),"—"))</f>
        <v/>
      </c>
      <c r="D545" s="24">
        <f>IF($B545="","",IFERROR(IF(VLOOKUP($B545,AcctTbl,3,0)="",IF(VLOOKUP($B545,AcctTbl,2,0)="","—",VLOOKUP($B545,AcctTbl,2,0)),VLOOKUP($B545,AcctTbl,3,0)),"—"))</f>
        <v/>
      </c>
      <c r="E545" s="34">
        <f>IF($B545="","",COUNTIFS(CalcParty,$B545,CalcGroup,"خرید"))</f>
        <v/>
      </c>
      <c r="F545" s="25">
        <f>IF($B545="","",SUMIFS(CalcScale,CalcParty,$B545,CalcGroup,"خرید"))</f>
        <v/>
      </c>
      <c r="G545" s="25">
        <f>IF($B545="","",SUMIFS(CalcBaskets,CalcParty,$B545,CalcGroup,"خرید"))</f>
        <v/>
      </c>
      <c r="H545" s="26">
        <f>IF($B545="","",SUMIFS(CalcNet,CalcParty,$B545,CalcGroup,"خرید"))</f>
        <v/>
      </c>
      <c r="I545" s="24">
        <f>IF($B545="","",IFERROR(IF(VLOOKUP($B545,AcctTbl,5,0)="","—",VLOOKUP($B545,AcctTbl,5,0)),"—"))</f>
        <v/>
      </c>
      <c r="J545" s="24">
        <f>IF($B545="","",IFERROR(IF(VLOOKUP($B545,AcctTbl,6,0)="","—",VLOOKUP($B545,AcctTbl,6,0)),"—"))</f>
        <v/>
      </c>
      <c r="K545" s="35">
        <f>IF(OR($B545="",$H$570=0),"",$H545/$H$570)</f>
        <v/>
      </c>
    </row>
    <row r="546">
      <c r="A546" s="17">
        <f>IF(ROW()-9&gt;NAcctAll,"",ROW()-9)</f>
        <v/>
      </c>
      <c r="B546" s="30">
        <f>IF($A546="","",IF($A546&lt;=NAcctAll,INDEX(PkAcctAll,$A546),""))</f>
        <v/>
      </c>
      <c r="C546" s="22">
        <f>IF($B546="","",IFERROR(IF(VLOOKUP($B546,AcctTbl,4,0)="","(بدون نام)",VLOOKUP($B546,AcctTbl,4,0)),"—"))</f>
        <v/>
      </c>
      <c r="D546" s="18">
        <f>IF($B546="","",IFERROR(IF(VLOOKUP($B546,AcctTbl,3,0)="",IF(VLOOKUP($B546,AcctTbl,2,0)="","—",VLOOKUP($B546,AcctTbl,2,0)),VLOOKUP($B546,AcctTbl,3,0)),"—"))</f>
        <v/>
      </c>
      <c r="E546" s="31">
        <f>IF($B546="","",COUNTIFS(CalcParty,$B546,CalcGroup,"خرید"))</f>
        <v/>
      </c>
      <c r="F546" s="19">
        <f>IF($B546="","",SUMIFS(CalcScale,CalcParty,$B546,CalcGroup,"خرید"))</f>
        <v/>
      </c>
      <c r="G546" s="19">
        <f>IF($B546="","",SUMIFS(CalcBaskets,CalcParty,$B546,CalcGroup,"خرید"))</f>
        <v/>
      </c>
      <c r="H546" s="20">
        <f>IF($B546="","",SUMIFS(CalcNet,CalcParty,$B546,CalcGroup,"خرید"))</f>
        <v/>
      </c>
      <c r="I546" s="18">
        <f>IF($B546="","",IFERROR(IF(VLOOKUP($B546,AcctTbl,5,0)="","—",VLOOKUP($B546,AcctTbl,5,0)),"—"))</f>
        <v/>
      </c>
      <c r="J546" s="18">
        <f>IF($B546="","",IFERROR(IF(VLOOKUP($B546,AcctTbl,6,0)="","—",VLOOKUP($B546,AcctTbl,6,0)),"—"))</f>
        <v/>
      </c>
      <c r="K546" s="32">
        <f>IF(OR($B546="",$H$570=0),"",$H546/$H$570)</f>
        <v/>
      </c>
    </row>
    <row r="547">
      <c r="A547" s="23">
        <f>IF(ROW()-9&gt;NAcctAll,"",ROW()-9)</f>
        <v/>
      </c>
      <c r="B547" s="33">
        <f>IF($A547="","",IF($A547&lt;=NAcctAll,INDEX(PkAcctAll,$A547),""))</f>
        <v/>
      </c>
      <c r="C547" s="28">
        <f>IF($B547="","",IFERROR(IF(VLOOKUP($B547,AcctTbl,4,0)="","(بدون نام)",VLOOKUP($B547,AcctTbl,4,0)),"—"))</f>
        <v/>
      </c>
      <c r="D547" s="24">
        <f>IF($B547="","",IFERROR(IF(VLOOKUP($B547,AcctTbl,3,0)="",IF(VLOOKUP($B547,AcctTbl,2,0)="","—",VLOOKUP($B547,AcctTbl,2,0)),VLOOKUP($B547,AcctTbl,3,0)),"—"))</f>
        <v/>
      </c>
      <c r="E547" s="34">
        <f>IF($B547="","",COUNTIFS(CalcParty,$B547,CalcGroup,"خرید"))</f>
        <v/>
      </c>
      <c r="F547" s="25">
        <f>IF($B547="","",SUMIFS(CalcScale,CalcParty,$B547,CalcGroup,"خرید"))</f>
        <v/>
      </c>
      <c r="G547" s="25">
        <f>IF($B547="","",SUMIFS(CalcBaskets,CalcParty,$B547,CalcGroup,"خرید"))</f>
        <v/>
      </c>
      <c r="H547" s="26">
        <f>IF($B547="","",SUMIFS(CalcNet,CalcParty,$B547,CalcGroup,"خرید"))</f>
        <v/>
      </c>
      <c r="I547" s="24">
        <f>IF($B547="","",IFERROR(IF(VLOOKUP($B547,AcctTbl,5,0)="","—",VLOOKUP($B547,AcctTbl,5,0)),"—"))</f>
        <v/>
      </c>
      <c r="J547" s="24">
        <f>IF($B547="","",IFERROR(IF(VLOOKUP($B547,AcctTbl,6,0)="","—",VLOOKUP($B547,AcctTbl,6,0)),"—"))</f>
        <v/>
      </c>
      <c r="K547" s="35">
        <f>IF(OR($B547="",$H$570=0),"",$H547/$H$570)</f>
        <v/>
      </c>
    </row>
    <row r="548">
      <c r="A548" s="17">
        <f>IF(ROW()-9&gt;NAcctAll,"",ROW()-9)</f>
        <v/>
      </c>
      <c r="B548" s="30">
        <f>IF($A548="","",IF($A548&lt;=NAcctAll,INDEX(PkAcctAll,$A548),""))</f>
        <v/>
      </c>
      <c r="C548" s="22">
        <f>IF($B548="","",IFERROR(IF(VLOOKUP($B548,AcctTbl,4,0)="","(بدون نام)",VLOOKUP($B548,AcctTbl,4,0)),"—"))</f>
        <v/>
      </c>
      <c r="D548" s="18">
        <f>IF($B548="","",IFERROR(IF(VLOOKUP($B548,AcctTbl,3,0)="",IF(VLOOKUP($B548,AcctTbl,2,0)="","—",VLOOKUP($B548,AcctTbl,2,0)),VLOOKUP($B548,AcctTbl,3,0)),"—"))</f>
        <v/>
      </c>
      <c r="E548" s="31">
        <f>IF($B548="","",COUNTIFS(CalcParty,$B548,CalcGroup,"خرید"))</f>
        <v/>
      </c>
      <c r="F548" s="19">
        <f>IF($B548="","",SUMIFS(CalcScale,CalcParty,$B548,CalcGroup,"خرید"))</f>
        <v/>
      </c>
      <c r="G548" s="19">
        <f>IF($B548="","",SUMIFS(CalcBaskets,CalcParty,$B548,CalcGroup,"خرید"))</f>
        <v/>
      </c>
      <c r="H548" s="20">
        <f>IF($B548="","",SUMIFS(CalcNet,CalcParty,$B548,CalcGroup,"خرید"))</f>
        <v/>
      </c>
      <c r="I548" s="18">
        <f>IF($B548="","",IFERROR(IF(VLOOKUP($B548,AcctTbl,5,0)="","—",VLOOKUP($B548,AcctTbl,5,0)),"—"))</f>
        <v/>
      </c>
      <c r="J548" s="18">
        <f>IF($B548="","",IFERROR(IF(VLOOKUP($B548,AcctTbl,6,0)="","—",VLOOKUP($B548,AcctTbl,6,0)),"—"))</f>
        <v/>
      </c>
      <c r="K548" s="32">
        <f>IF(OR($B548="",$H$570=0),"",$H548/$H$570)</f>
        <v/>
      </c>
    </row>
    <row r="549">
      <c r="A549" s="23">
        <f>IF(ROW()-9&gt;NAcctAll,"",ROW()-9)</f>
        <v/>
      </c>
      <c r="B549" s="33">
        <f>IF($A549="","",IF($A549&lt;=NAcctAll,INDEX(PkAcctAll,$A549),""))</f>
        <v/>
      </c>
      <c r="C549" s="28">
        <f>IF($B549="","",IFERROR(IF(VLOOKUP($B549,AcctTbl,4,0)="","(بدون نام)",VLOOKUP($B549,AcctTbl,4,0)),"—"))</f>
        <v/>
      </c>
      <c r="D549" s="24">
        <f>IF($B549="","",IFERROR(IF(VLOOKUP($B549,AcctTbl,3,0)="",IF(VLOOKUP($B549,AcctTbl,2,0)="","—",VLOOKUP($B549,AcctTbl,2,0)),VLOOKUP($B549,AcctTbl,3,0)),"—"))</f>
        <v/>
      </c>
      <c r="E549" s="34">
        <f>IF($B549="","",COUNTIFS(CalcParty,$B549,CalcGroup,"خرید"))</f>
        <v/>
      </c>
      <c r="F549" s="25">
        <f>IF($B549="","",SUMIFS(CalcScale,CalcParty,$B549,CalcGroup,"خرید"))</f>
        <v/>
      </c>
      <c r="G549" s="25">
        <f>IF($B549="","",SUMIFS(CalcBaskets,CalcParty,$B549,CalcGroup,"خرید"))</f>
        <v/>
      </c>
      <c r="H549" s="26">
        <f>IF($B549="","",SUMIFS(CalcNet,CalcParty,$B549,CalcGroup,"خرید"))</f>
        <v/>
      </c>
      <c r="I549" s="24">
        <f>IF($B549="","",IFERROR(IF(VLOOKUP($B549,AcctTbl,5,0)="","—",VLOOKUP($B549,AcctTbl,5,0)),"—"))</f>
        <v/>
      </c>
      <c r="J549" s="24">
        <f>IF($B549="","",IFERROR(IF(VLOOKUP($B549,AcctTbl,6,0)="","—",VLOOKUP($B549,AcctTbl,6,0)),"—"))</f>
        <v/>
      </c>
      <c r="K549" s="35">
        <f>IF(OR($B549="",$H$570=0),"",$H549/$H$570)</f>
        <v/>
      </c>
    </row>
    <row r="550">
      <c r="A550" s="17">
        <f>IF(ROW()-9&gt;NAcctAll,"",ROW()-9)</f>
        <v/>
      </c>
      <c r="B550" s="30">
        <f>IF($A550="","",IF($A550&lt;=NAcctAll,INDEX(PkAcctAll,$A550),""))</f>
        <v/>
      </c>
      <c r="C550" s="22">
        <f>IF($B550="","",IFERROR(IF(VLOOKUP($B550,AcctTbl,4,0)="","(بدون نام)",VLOOKUP($B550,AcctTbl,4,0)),"—"))</f>
        <v/>
      </c>
      <c r="D550" s="18">
        <f>IF($B550="","",IFERROR(IF(VLOOKUP($B550,AcctTbl,3,0)="",IF(VLOOKUP($B550,AcctTbl,2,0)="","—",VLOOKUP($B550,AcctTbl,2,0)),VLOOKUP($B550,AcctTbl,3,0)),"—"))</f>
        <v/>
      </c>
      <c r="E550" s="31">
        <f>IF($B550="","",COUNTIFS(CalcParty,$B550,CalcGroup,"خرید"))</f>
        <v/>
      </c>
      <c r="F550" s="19">
        <f>IF($B550="","",SUMIFS(CalcScale,CalcParty,$B550,CalcGroup,"خرید"))</f>
        <v/>
      </c>
      <c r="G550" s="19">
        <f>IF($B550="","",SUMIFS(CalcBaskets,CalcParty,$B550,CalcGroup,"خرید"))</f>
        <v/>
      </c>
      <c r="H550" s="20">
        <f>IF($B550="","",SUMIFS(CalcNet,CalcParty,$B550,CalcGroup,"خرید"))</f>
        <v/>
      </c>
      <c r="I550" s="18">
        <f>IF($B550="","",IFERROR(IF(VLOOKUP($B550,AcctTbl,5,0)="","—",VLOOKUP($B550,AcctTbl,5,0)),"—"))</f>
        <v/>
      </c>
      <c r="J550" s="18">
        <f>IF($B550="","",IFERROR(IF(VLOOKUP($B550,AcctTbl,6,0)="","—",VLOOKUP($B550,AcctTbl,6,0)),"—"))</f>
        <v/>
      </c>
      <c r="K550" s="32">
        <f>IF(OR($B550="",$H$570=0),"",$H550/$H$570)</f>
        <v/>
      </c>
    </row>
    <row r="551">
      <c r="A551" s="23">
        <f>IF(ROW()-9&gt;NAcctAll,"",ROW()-9)</f>
        <v/>
      </c>
      <c r="B551" s="33">
        <f>IF($A551="","",IF($A551&lt;=NAcctAll,INDEX(PkAcctAll,$A551),""))</f>
        <v/>
      </c>
      <c r="C551" s="28">
        <f>IF($B551="","",IFERROR(IF(VLOOKUP($B551,AcctTbl,4,0)="","(بدون نام)",VLOOKUP($B551,AcctTbl,4,0)),"—"))</f>
        <v/>
      </c>
      <c r="D551" s="24">
        <f>IF($B551="","",IFERROR(IF(VLOOKUP($B551,AcctTbl,3,0)="",IF(VLOOKUP($B551,AcctTbl,2,0)="","—",VLOOKUP($B551,AcctTbl,2,0)),VLOOKUP($B551,AcctTbl,3,0)),"—"))</f>
        <v/>
      </c>
      <c r="E551" s="34">
        <f>IF($B551="","",COUNTIFS(CalcParty,$B551,CalcGroup,"خرید"))</f>
        <v/>
      </c>
      <c r="F551" s="25">
        <f>IF($B551="","",SUMIFS(CalcScale,CalcParty,$B551,CalcGroup,"خرید"))</f>
        <v/>
      </c>
      <c r="G551" s="25">
        <f>IF($B551="","",SUMIFS(CalcBaskets,CalcParty,$B551,CalcGroup,"خرید"))</f>
        <v/>
      </c>
      <c r="H551" s="26">
        <f>IF($B551="","",SUMIFS(CalcNet,CalcParty,$B551,CalcGroup,"خرید"))</f>
        <v/>
      </c>
      <c r="I551" s="24">
        <f>IF($B551="","",IFERROR(IF(VLOOKUP($B551,AcctTbl,5,0)="","—",VLOOKUP($B551,AcctTbl,5,0)),"—"))</f>
        <v/>
      </c>
      <c r="J551" s="24">
        <f>IF($B551="","",IFERROR(IF(VLOOKUP($B551,AcctTbl,6,0)="","—",VLOOKUP($B551,AcctTbl,6,0)),"—"))</f>
        <v/>
      </c>
      <c r="K551" s="35">
        <f>IF(OR($B551="",$H$570=0),"",$H551/$H$570)</f>
        <v/>
      </c>
    </row>
    <row r="552">
      <c r="A552" s="17">
        <f>IF(ROW()-9&gt;NAcctAll,"",ROW()-9)</f>
        <v/>
      </c>
      <c r="B552" s="30">
        <f>IF($A552="","",IF($A552&lt;=NAcctAll,INDEX(PkAcctAll,$A552),""))</f>
        <v/>
      </c>
      <c r="C552" s="22">
        <f>IF($B552="","",IFERROR(IF(VLOOKUP($B552,AcctTbl,4,0)="","(بدون نام)",VLOOKUP($B552,AcctTbl,4,0)),"—"))</f>
        <v/>
      </c>
      <c r="D552" s="18">
        <f>IF($B552="","",IFERROR(IF(VLOOKUP($B552,AcctTbl,3,0)="",IF(VLOOKUP($B552,AcctTbl,2,0)="","—",VLOOKUP($B552,AcctTbl,2,0)),VLOOKUP($B552,AcctTbl,3,0)),"—"))</f>
        <v/>
      </c>
      <c r="E552" s="31">
        <f>IF($B552="","",COUNTIFS(CalcParty,$B552,CalcGroup,"خرید"))</f>
        <v/>
      </c>
      <c r="F552" s="19">
        <f>IF($B552="","",SUMIFS(CalcScale,CalcParty,$B552,CalcGroup,"خرید"))</f>
        <v/>
      </c>
      <c r="G552" s="19">
        <f>IF($B552="","",SUMIFS(CalcBaskets,CalcParty,$B552,CalcGroup,"خرید"))</f>
        <v/>
      </c>
      <c r="H552" s="20">
        <f>IF($B552="","",SUMIFS(CalcNet,CalcParty,$B552,CalcGroup,"خرید"))</f>
        <v/>
      </c>
      <c r="I552" s="18">
        <f>IF($B552="","",IFERROR(IF(VLOOKUP($B552,AcctTbl,5,0)="","—",VLOOKUP($B552,AcctTbl,5,0)),"—"))</f>
        <v/>
      </c>
      <c r="J552" s="18">
        <f>IF($B552="","",IFERROR(IF(VLOOKUP($B552,AcctTbl,6,0)="","—",VLOOKUP($B552,AcctTbl,6,0)),"—"))</f>
        <v/>
      </c>
      <c r="K552" s="32">
        <f>IF(OR($B552="",$H$570=0),"",$H552/$H$570)</f>
        <v/>
      </c>
    </row>
    <row r="553">
      <c r="A553" s="23">
        <f>IF(ROW()-9&gt;NAcctAll,"",ROW()-9)</f>
        <v/>
      </c>
      <c r="B553" s="33">
        <f>IF($A553="","",IF($A553&lt;=NAcctAll,INDEX(PkAcctAll,$A553),""))</f>
        <v/>
      </c>
      <c r="C553" s="28">
        <f>IF($B553="","",IFERROR(IF(VLOOKUP($B553,AcctTbl,4,0)="","(بدون نام)",VLOOKUP($B553,AcctTbl,4,0)),"—"))</f>
        <v/>
      </c>
      <c r="D553" s="24">
        <f>IF($B553="","",IFERROR(IF(VLOOKUP($B553,AcctTbl,3,0)="",IF(VLOOKUP($B553,AcctTbl,2,0)="","—",VLOOKUP($B553,AcctTbl,2,0)),VLOOKUP($B553,AcctTbl,3,0)),"—"))</f>
        <v/>
      </c>
      <c r="E553" s="34">
        <f>IF($B553="","",COUNTIFS(CalcParty,$B553,CalcGroup,"خرید"))</f>
        <v/>
      </c>
      <c r="F553" s="25">
        <f>IF($B553="","",SUMIFS(CalcScale,CalcParty,$B553,CalcGroup,"خرید"))</f>
        <v/>
      </c>
      <c r="G553" s="25">
        <f>IF($B553="","",SUMIFS(CalcBaskets,CalcParty,$B553,CalcGroup,"خرید"))</f>
        <v/>
      </c>
      <c r="H553" s="26">
        <f>IF($B553="","",SUMIFS(CalcNet,CalcParty,$B553,CalcGroup,"خرید"))</f>
        <v/>
      </c>
      <c r="I553" s="24">
        <f>IF($B553="","",IFERROR(IF(VLOOKUP($B553,AcctTbl,5,0)="","—",VLOOKUP($B553,AcctTbl,5,0)),"—"))</f>
        <v/>
      </c>
      <c r="J553" s="24">
        <f>IF($B553="","",IFERROR(IF(VLOOKUP($B553,AcctTbl,6,0)="","—",VLOOKUP($B553,AcctTbl,6,0)),"—"))</f>
        <v/>
      </c>
      <c r="K553" s="35">
        <f>IF(OR($B553="",$H$570=0),"",$H553/$H$570)</f>
        <v/>
      </c>
    </row>
    <row r="554">
      <c r="A554" s="17">
        <f>IF(ROW()-9&gt;NAcctAll,"",ROW()-9)</f>
        <v/>
      </c>
      <c r="B554" s="30">
        <f>IF($A554="","",IF($A554&lt;=NAcctAll,INDEX(PkAcctAll,$A554),""))</f>
        <v/>
      </c>
      <c r="C554" s="22">
        <f>IF($B554="","",IFERROR(IF(VLOOKUP($B554,AcctTbl,4,0)="","(بدون نام)",VLOOKUP($B554,AcctTbl,4,0)),"—"))</f>
        <v/>
      </c>
      <c r="D554" s="18">
        <f>IF($B554="","",IFERROR(IF(VLOOKUP($B554,AcctTbl,3,0)="",IF(VLOOKUP($B554,AcctTbl,2,0)="","—",VLOOKUP($B554,AcctTbl,2,0)),VLOOKUP($B554,AcctTbl,3,0)),"—"))</f>
        <v/>
      </c>
      <c r="E554" s="31">
        <f>IF($B554="","",COUNTIFS(CalcParty,$B554,CalcGroup,"خرید"))</f>
        <v/>
      </c>
      <c r="F554" s="19">
        <f>IF($B554="","",SUMIFS(CalcScale,CalcParty,$B554,CalcGroup,"خرید"))</f>
        <v/>
      </c>
      <c r="G554" s="19">
        <f>IF($B554="","",SUMIFS(CalcBaskets,CalcParty,$B554,CalcGroup,"خرید"))</f>
        <v/>
      </c>
      <c r="H554" s="20">
        <f>IF($B554="","",SUMIFS(CalcNet,CalcParty,$B554,CalcGroup,"خرید"))</f>
        <v/>
      </c>
      <c r="I554" s="18">
        <f>IF($B554="","",IFERROR(IF(VLOOKUP($B554,AcctTbl,5,0)="","—",VLOOKUP($B554,AcctTbl,5,0)),"—"))</f>
        <v/>
      </c>
      <c r="J554" s="18">
        <f>IF($B554="","",IFERROR(IF(VLOOKUP($B554,AcctTbl,6,0)="","—",VLOOKUP($B554,AcctTbl,6,0)),"—"))</f>
        <v/>
      </c>
      <c r="K554" s="32">
        <f>IF(OR($B554="",$H$570=0),"",$H554/$H$570)</f>
        <v/>
      </c>
    </row>
    <row r="555">
      <c r="A555" s="23">
        <f>IF(ROW()-9&gt;NAcctAll,"",ROW()-9)</f>
        <v/>
      </c>
      <c r="B555" s="33">
        <f>IF($A555="","",IF($A555&lt;=NAcctAll,INDEX(PkAcctAll,$A555),""))</f>
        <v/>
      </c>
      <c r="C555" s="28">
        <f>IF($B555="","",IFERROR(IF(VLOOKUP($B555,AcctTbl,4,0)="","(بدون نام)",VLOOKUP($B555,AcctTbl,4,0)),"—"))</f>
        <v/>
      </c>
      <c r="D555" s="24">
        <f>IF($B555="","",IFERROR(IF(VLOOKUP($B555,AcctTbl,3,0)="",IF(VLOOKUP($B555,AcctTbl,2,0)="","—",VLOOKUP($B555,AcctTbl,2,0)),VLOOKUP($B555,AcctTbl,3,0)),"—"))</f>
        <v/>
      </c>
      <c r="E555" s="34">
        <f>IF($B555="","",COUNTIFS(CalcParty,$B555,CalcGroup,"خرید"))</f>
        <v/>
      </c>
      <c r="F555" s="25">
        <f>IF($B555="","",SUMIFS(CalcScale,CalcParty,$B555,CalcGroup,"خرید"))</f>
        <v/>
      </c>
      <c r="G555" s="25">
        <f>IF($B555="","",SUMIFS(CalcBaskets,CalcParty,$B555,CalcGroup,"خرید"))</f>
        <v/>
      </c>
      <c r="H555" s="26">
        <f>IF($B555="","",SUMIFS(CalcNet,CalcParty,$B555,CalcGroup,"خرید"))</f>
        <v/>
      </c>
      <c r="I555" s="24">
        <f>IF($B555="","",IFERROR(IF(VLOOKUP($B555,AcctTbl,5,0)="","—",VLOOKUP($B555,AcctTbl,5,0)),"—"))</f>
        <v/>
      </c>
      <c r="J555" s="24">
        <f>IF($B555="","",IFERROR(IF(VLOOKUP($B555,AcctTbl,6,0)="","—",VLOOKUP($B555,AcctTbl,6,0)),"—"))</f>
        <v/>
      </c>
      <c r="K555" s="35">
        <f>IF(OR($B555="",$H$570=0),"",$H555/$H$570)</f>
        <v/>
      </c>
    </row>
    <row r="556">
      <c r="A556" s="17">
        <f>IF(ROW()-9&gt;NAcctAll,"",ROW()-9)</f>
        <v/>
      </c>
      <c r="B556" s="30">
        <f>IF($A556="","",IF($A556&lt;=NAcctAll,INDEX(PkAcctAll,$A556),""))</f>
        <v/>
      </c>
      <c r="C556" s="22">
        <f>IF($B556="","",IFERROR(IF(VLOOKUP($B556,AcctTbl,4,0)="","(بدون نام)",VLOOKUP($B556,AcctTbl,4,0)),"—"))</f>
        <v/>
      </c>
      <c r="D556" s="18">
        <f>IF($B556="","",IFERROR(IF(VLOOKUP($B556,AcctTbl,3,0)="",IF(VLOOKUP($B556,AcctTbl,2,0)="","—",VLOOKUP($B556,AcctTbl,2,0)),VLOOKUP($B556,AcctTbl,3,0)),"—"))</f>
        <v/>
      </c>
      <c r="E556" s="31">
        <f>IF($B556="","",COUNTIFS(CalcParty,$B556,CalcGroup,"خرید"))</f>
        <v/>
      </c>
      <c r="F556" s="19">
        <f>IF($B556="","",SUMIFS(CalcScale,CalcParty,$B556,CalcGroup,"خرید"))</f>
        <v/>
      </c>
      <c r="G556" s="19">
        <f>IF($B556="","",SUMIFS(CalcBaskets,CalcParty,$B556,CalcGroup,"خرید"))</f>
        <v/>
      </c>
      <c r="H556" s="20">
        <f>IF($B556="","",SUMIFS(CalcNet,CalcParty,$B556,CalcGroup,"خرید"))</f>
        <v/>
      </c>
      <c r="I556" s="18">
        <f>IF($B556="","",IFERROR(IF(VLOOKUP($B556,AcctTbl,5,0)="","—",VLOOKUP($B556,AcctTbl,5,0)),"—"))</f>
        <v/>
      </c>
      <c r="J556" s="18">
        <f>IF($B556="","",IFERROR(IF(VLOOKUP($B556,AcctTbl,6,0)="","—",VLOOKUP($B556,AcctTbl,6,0)),"—"))</f>
        <v/>
      </c>
      <c r="K556" s="32">
        <f>IF(OR($B556="",$H$570=0),"",$H556/$H$570)</f>
        <v/>
      </c>
    </row>
    <row r="557">
      <c r="A557" s="23">
        <f>IF(ROW()-9&gt;NAcctAll,"",ROW()-9)</f>
        <v/>
      </c>
      <c r="B557" s="33">
        <f>IF($A557="","",IF($A557&lt;=NAcctAll,INDEX(PkAcctAll,$A557),""))</f>
        <v/>
      </c>
      <c r="C557" s="28">
        <f>IF($B557="","",IFERROR(IF(VLOOKUP($B557,AcctTbl,4,0)="","(بدون نام)",VLOOKUP($B557,AcctTbl,4,0)),"—"))</f>
        <v/>
      </c>
      <c r="D557" s="24">
        <f>IF($B557="","",IFERROR(IF(VLOOKUP($B557,AcctTbl,3,0)="",IF(VLOOKUP($B557,AcctTbl,2,0)="","—",VLOOKUP($B557,AcctTbl,2,0)),VLOOKUP($B557,AcctTbl,3,0)),"—"))</f>
        <v/>
      </c>
      <c r="E557" s="34">
        <f>IF($B557="","",COUNTIFS(CalcParty,$B557,CalcGroup,"خرید"))</f>
        <v/>
      </c>
      <c r="F557" s="25">
        <f>IF($B557="","",SUMIFS(CalcScale,CalcParty,$B557,CalcGroup,"خرید"))</f>
        <v/>
      </c>
      <c r="G557" s="25">
        <f>IF($B557="","",SUMIFS(CalcBaskets,CalcParty,$B557,CalcGroup,"خرید"))</f>
        <v/>
      </c>
      <c r="H557" s="26">
        <f>IF($B557="","",SUMIFS(CalcNet,CalcParty,$B557,CalcGroup,"خرید"))</f>
        <v/>
      </c>
      <c r="I557" s="24">
        <f>IF($B557="","",IFERROR(IF(VLOOKUP($B557,AcctTbl,5,0)="","—",VLOOKUP($B557,AcctTbl,5,0)),"—"))</f>
        <v/>
      </c>
      <c r="J557" s="24">
        <f>IF($B557="","",IFERROR(IF(VLOOKUP($B557,AcctTbl,6,0)="","—",VLOOKUP($B557,AcctTbl,6,0)),"—"))</f>
        <v/>
      </c>
      <c r="K557" s="35">
        <f>IF(OR($B557="",$H$570=0),"",$H557/$H$570)</f>
        <v/>
      </c>
    </row>
    <row r="558">
      <c r="A558" s="17">
        <f>IF(ROW()-9&gt;NAcctAll,"",ROW()-9)</f>
        <v/>
      </c>
      <c r="B558" s="30">
        <f>IF($A558="","",IF($A558&lt;=NAcctAll,INDEX(PkAcctAll,$A558),""))</f>
        <v/>
      </c>
      <c r="C558" s="22">
        <f>IF($B558="","",IFERROR(IF(VLOOKUP($B558,AcctTbl,4,0)="","(بدون نام)",VLOOKUP($B558,AcctTbl,4,0)),"—"))</f>
        <v/>
      </c>
      <c r="D558" s="18">
        <f>IF($B558="","",IFERROR(IF(VLOOKUP($B558,AcctTbl,3,0)="",IF(VLOOKUP($B558,AcctTbl,2,0)="","—",VLOOKUP($B558,AcctTbl,2,0)),VLOOKUP($B558,AcctTbl,3,0)),"—"))</f>
        <v/>
      </c>
      <c r="E558" s="31">
        <f>IF($B558="","",COUNTIFS(CalcParty,$B558,CalcGroup,"خرید"))</f>
        <v/>
      </c>
      <c r="F558" s="19">
        <f>IF($B558="","",SUMIFS(CalcScale,CalcParty,$B558,CalcGroup,"خرید"))</f>
        <v/>
      </c>
      <c r="G558" s="19">
        <f>IF($B558="","",SUMIFS(CalcBaskets,CalcParty,$B558,CalcGroup,"خرید"))</f>
        <v/>
      </c>
      <c r="H558" s="20">
        <f>IF($B558="","",SUMIFS(CalcNet,CalcParty,$B558,CalcGroup,"خرید"))</f>
        <v/>
      </c>
      <c r="I558" s="18">
        <f>IF($B558="","",IFERROR(IF(VLOOKUP($B558,AcctTbl,5,0)="","—",VLOOKUP($B558,AcctTbl,5,0)),"—"))</f>
        <v/>
      </c>
      <c r="J558" s="18">
        <f>IF($B558="","",IFERROR(IF(VLOOKUP($B558,AcctTbl,6,0)="","—",VLOOKUP($B558,AcctTbl,6,0)),"—"))</f>
        <v/>
      </c>
      <c r="K558" s="32">
        <f>IF(OR($B558="",$H$570=0),"",$H558/$H$570)</f>
        <v/>
      </c>
    </row>
    <row r="559">
      <c r="A559" s="23">
        <f>IF(ROW()-9&gt;NAcctAll,"",ROW()-9)</f>
        <v/>
      </c>
      <c r="B559" s="33">
        <f>IF($A559="","",IF($A559&lt;=NAcctAll,INDEX(PkAcctAll,$A559),""))</f>
        <v/>
      </c>
      <c r="C559" s="28">
        <f>IF($B559="","",IFERROR(IF(VLOOKUP($B559,AcctTbl,4,0)="","(بدون نام)",VLOOKUP($B559,AcctTbl,4,0)),"—"))</f>
        <v/>
      </c>
      <c r="D559" s="24">
        <f>IF($B559="","",IFERROR(IF(VLOOKUP($B559,AcctTbl,3,0)="",IF(VLOOKUP($B559,AcctTbl,2,0)="","—",VLOOKUP($B559,AcctTbl,2,0)),VLOOKUP($B559,AcctTbl,3,0)),"—"))</f>
        <v/>
      </c>
      <c r="E559" s="34">
        <f>IF($B559="","",COUNTIFS(CalcParty,$B559,CalcGroup,"خرید"))</f>
        <v/>
      </c>
      <c r="F559" s="25">
        <f>IF($B559="","",SUMIFS(CalcScale,CalcParty,$B559,CalcGroup,"خرید"))</f>
        <v/>
      </c>
      <c r="G559" s="25">
        <f>IF($B559="","",SUMIFS(CalcBaskets,CalcParty,$B559,CalcGroup,"خرید"))</f>
        <v/>
      </c>
      <c r="H559" s="26">
        <f>IF($B559="","",SUMIFS(CalcNet,CalcParty,$B559,CalcGroup,"خرید"))</f>
        <v/>
      </c>
      <c r="I559" s="24">
        <f>IF($B559="","",IFERROR(IF(VLOOKUP($B559,AcctTbl,5,0)="","—",VLOOKUP($B559,AcctTbl,5,0)),"—"))</f>
        <v/>
      </c>
      <c r="J559" s="24">
        <f>IF($B559="","",IFERROR(IF(VLOOKUP($B559,AcctTbl,6,0)="","—",VLOOKUP($B559,AcctTbl,6,0)),"—"))</f>
        <v/>
      </c>
      <c r="K559" s="35">
        <f>IF(OR($B559="",$H$570=0),"",$H559/$H$570)</f>
        <v/>
      </c>
    </row>
    <row r="560">
      <c r="A560" s="17">
        <f>IF(ROW()-9&gt;NAcctAll,"",ROW()-9)</f>
        <v/>
      </c>
      <c r="B560" s="30">
        <f>IF($A560="","",IF($A560&lt;=NAcctAll,INDEX(PkAcctAll,$A560),""))</f>
        <v/>
      </c>
      <c r="C560" s="22">
        <f>IF($B560="","",IFERROR(IF(VLOOKUP($B560,AcctTbl,4,0)="","(بدون نام)",VLOOKUP($B560,AcctTbl,4,0)),"—"))</f>
        <v/>
      </c>
      <c r="D560" s="18">
        <f>IF($B560="","",IFERROR(IF(VLOOKUP($B560,AcctTbl,3,0)="",IF(VLOOKUP($B560,AcctTbl,2,0)="","—",VLOOKUP($B560,AcctTbl,2,0)),VLOOKUP($B560,AcctTbl,3,0)),"—"))</f>
        <v/>
      </c>
      <c r="E560" s="31">
        <f>IF($B560="","",COUNTIFS(CalcParty,$B560,CalcGroup,"خرید"))</f>
        <v/>
      </c>
      <c r="F560" s="19">
        <f>IF($B560="","",SUMIFS(CalcScale,CalcParty,$B560,CalcGroup,"خرید"))</f>
        <v/>
      </c>
      <c r="G560" s="19">
        <f>IF($B560="","",SUMIFS(CalcBaskets,CalcParty,$B560,CalcGroup,"خرید"))</f>
        <v/>
      </c>
      <c r="H560" s="20">
        <f>IF($B560="","",SUMIFS(CalcNet,CalcParty,$B560,CalcGroup,"خرید"))</f>
        <v/>
      </c>
      <c r="I560" s="18">
        <f>IF($B560="","",IFERROR(IF(VLOOKUP($B560,AcctTbl,5,0)="","—",VLOOKUP($B560,AcctTbl,5,0)),"—"))</f>
        <v/>
      </c>
      <c r="J560" s="18">
        <f>IF($B560="","",IFERROR(IF(VLOOKUP($B560,AcctTbl,6,0)="","—",VLOOKUP($B560,AcctTbl,6,0)),"—"))</f>
        <v/>
      </c>
      <c r="K560" s="32">
        <f>IF(OR($B560="",$H$570=0),"",$H560/$H$570)</f>
        <v/>
      </c>
    </row>
    <row r="561">
      <c r="A561" s="23">
        <f>IF(ROW()-9&gt;NAcctAll,"",ROW()-9)</f>
        <v/>
      </c>
      <c r="B561" s="33">
        <f>IF($A561="","",IF($A561&lt;=NAcctAll,INDEX(PkAcctAll,$A561),""))</f>
        <v/>
      </c>
      <c r="C561" s="28">
        <f>IF($B561="","",IFERROR(IF(VLOOKUP($B561,AcctTbl,4,0)="","(بدون نام)",VLOOKUP($B561,AcctTbl,4,0)),"—"))</f>
        <v/>
      </c>
      <c r="D561" s="24">
        <f>IF($B561="","",IFERROR(IF(VLOOKUP($B561,AcctTbl,3,0)="",IF(VLOOKUP($B561,AcctTbl,2,0)="","—",VLOOKUP($B561,AcctTbl,2,0)),VLOOKUP($B561,AcctTbl,3,0)),"—"))</f>
        <v/>
      </c>
      <c r="E561" s="34">
        <f>IF($B561="","",COUNTIFS(CalcParty,$B561,CalcGroup,"خرید"))</f>
        <v/>
      </c>
      <c r="F561" s="25">
        <f>IF($B561="","",SUMIFS(CalcScale,CalcParty,$B561,CalcGroup,"خرید"))</f>
        <v/>
      </c>
      <c r="G561" s="25">
        <f>IF($B561="","",SUMIFS(CalcBaskets,CalcParty,$B561,CalcGroup,"خرید"))</f>
        <v/>
      </c>
      <c r="H561" s="26">
        <f>IF($B561="","",SUMIFS(CalcNet,CalcParty,$B561,CalcGroup,"خرید"))</f>
        <v/>
      </c>
      <c r="I561" s="24">
        <f>IF($B561="","",IFERROR(IF(VLOOKUP($B561,AcctTbl,5,0)="","—",VLOOKUP($B561,AcctTbl,5,0)),"—"))</f>
        <v/>
      </c>
      <c r="J561" s="24">
        <f>IF($B561="","",IFERROR(IF(VLOOKUP($B561,AcctTbl,6,0)="","—",VLOOKUP($B561,AcctTbl,6,0)),"—"))</f>
        <v/>
      </c>
      <c r="K561" s="35">
        <f>IF(OR($B561="",$H$570=0),"",$H561/$H$570)</f>
        <v/>
      </c>
    </row>
    <row r="562">
      <c r="A562" s="17">
        <f>IF(ROW()-9&gt;NAcctAll,"",ROW()-9)</f>
        <v/>
      </c>
      <c r="B562" s="30">
        <f>IF($A562="","",IF($A562&lt;=NAcctAll,INDEX(PkAcctAll,$A562),""))</f>
        <v/>
      </c>
      <c r="C562" s="22">
        <f>IF($B562="","",IFERROR(IF(VLOOKUP($B562,AcctTbl,4,0)="","(بدون نام)",VLOOKUP($B562,AcctTbl,4,0)),"—"))</f>
        <v/>
      </c>
      <c r="D562" s="18">
        <f>IF($B562="","",IFERROR(IF(VLOOKUP($B562,AcctTbl,3,0)="",IF(VLOOKUP($B562,AcctTbl,2,0)="","—",VLOOKUP($B562,AcctTbl,2,0)),VLOOKUP($B562,AcctTbl,3,0)),"—"))</f>
        <v/>
      </c>
      <c r="E562" s="31">
        <f>IF($B562="","",COUNTIFS(CalcParty,$B562,CalcGroup,"خرید"))</f>
        <v/>
      </c>
      <c r="F562" s="19">
        <f>IF($B562="","",SUMIFS(CalcScale,CalcParty,$B562,CalcGroup,"خرید"))</f>
        <v/>
      </c>
      <c r="G562" s="19">
        <f>IF($B562="","",SUMIFS(CalcBaskets,CalcParty,$B562,CalcGroup,"خرید"))</f>
        <v/>
      </c>
      <c r="H562" s="20">
        <f>IF($B562="","",SUMIFS(CalcNet,CalcParty,$B562,CalcGroup,"خرید"))</f>
        <v/>
      </c>
      <c r="I562" s="18">
        <f>IF($B562="","",IFERROR(IF(VLOOKUP($B562,AcctTbl,5,0)="","—",VLOOKUP($B562,AcctTbl,5,0)),"—"))</f>
        <v/>
      </c>
      <c r="J562" s="18">
        <f>IF($B562="","",IFERROR(IF(VLOOKUP($B562,AcctTbl,6,0)="","—",VLOOKUP($B562,AcctTbl,6,0)),"—"))</f>
        <v/>
      </c>
      <c r="K562" s="32">
        <f>IF(OR($B562="",$H$570=0),"",$H562/$H$570)</f>
        <v/>
      </c>
    </row>
    <row r="563">
      <c r="A563" s="23">
        <f>IF(ROW()-9&gt;NAcctAll,"",ROW()-9)</f>
        <v/>
      </c>
      <c r="B563" s="33">
        <f>IF($A563="","",IF($A563&lt;=NAcctAll,INDEX(PkAcctAll,$A563),""))</f>
        <v/>
      </c>
      <c r="C563" s="28">
        <f>IF($B563="","",IFERROR(IF(VLOOKUP($B563,AcctTbl,4,0)="","(بدون نام)",VLOOKUP($B563,AcctTbl,4,0)),"—"))</f>
        <v/>
      </c>
      <c r="D563" s="24">
        <f>IF($B563="","",IFERROR(IF(VLOOKUP($B563,AcctTbl,3,0)="",IF(VLOOKUP($B563,AcctTbl,2,0)="","—",VLOOKUP($B563,AcctTbl,2,0)),VLOOKUP($B563,AcctTbl,3,0)),"—"))</f>
        <v/>
      </c>
      <c r="E563" s="34">
        <f>IF($B563="","",COUNTIFS(CalcParty,$B563,CalcGroup,"خرید"))</f>
        <v/>
      </c>
      <c r="F563" s="25">
        <f>IF($B563="","",SUMIFS(CalcScale,CalcParty,$B563,CalcGroup,"خرید"))</f>
        <v/>
      </c>
      <c r="G563" s="25">
        <f>IF($B563="","",SUMIFS(CalcBaskets,CalcParty,$B563,CalcGroup,"خرید"))</f>
        <v/>
      </c>
      <c r="H563" s="26">
        <f>IF($B563="","",SUMIFS(CalcNet,CalcParty,$B563,CalcGroup,"خرید"))</f>
        <v/>
      </c>
      <c r="I563" s="24">
        <f>IF($B563="","",IFERROR(IF(VLOOKUP($B563,AcctTbl,5,0)="","—",VLOOKUP($B563,AcctTbl,5,0)),"—"))</f>
        <v/>
      </c>
      <c r="J563" s="24">
        <f>IF($B563="","",IFERROR(IF(VLOOKUP($B563,AcctTbl,6,0)="","—",VLOOKUP($B563,AcctTbl,6,0)),"—"))</f>
        <v/>
      </c>
      <c r="K563" s="35">
        <f>IF(OR($B563="",$H$570=0),"",$H563/$H$570)</f>
        <v/>
      </c>
    </row>
    <row r="564">
      <c r="A564" s="17">
        <f>IF(ROW()-9&gt;NAcctAll,"",ROW()-9)</f>
        <v/>
      </c>
      <c r="B564" s="30">
        <f>IF($A564="","",IF($A564&lt;=NAcctAll,INDEX(PkAcctAll,$A564),""))</f>
        <v/>
      </c>
      <c r="C564" s="22">
        <f>IF($B564="","",IFERROR(IF(VLOOKUP($B564,AcctTbl,4,0)="","(بدون نام)",VLOOKUP($B564,AcctTbl,4,0)),"—"))</f>
        <v/>
      </c>
      <c r="D564" s="18">
        <f>IF($B564="","",IFERROR(IF(VLOOKUP($B564,AcctTbl,3,0)="",IF(VLOOKUP($B564,AcctTbl,2,0)="","—",VLOOKUP($B564,AcctTbl,2,0)),VLOOKUP($B564,AcctTbl,3,0)),"—"))</f>
        <v/>
      </c>
      <c r="E564" s="31">
        <f>IF($B564="","",COUNTIFS(CalcParty,$B564,CalcGroup,"خرید"))</f>
        <v/>
      </c>
      <c r="F564" s="19">
        <f>IF($B564="","",SUMIFS(CalcScale,CalcParty,$B564,CalcGroup,"خرید"))</f>
        <v/>
      </c>
      <c r="G564" s="19">
        <f>IF($B564="","",SUMIFS(CalcBaskets,CalcParty,$B564,CalcGroup,"خرید"))</f>
        <v/>
      </c>
      <c r="H564" s="20">
        <f>IF($B564="","",SUMIFS(CalcNet,CalcParty,$B564,CalcGroup,"خرید"))</f>
        <v/>
      </c>
      <c r="I564" s="18">
        <f>IF($B564="","",IFERROR(IF(VLOOKUP($B564,AcctTbl,5,0)="","—",VLOOKUP($B564,AcctTbl,5,0)),"—"))</f>
        <v/>
      </c>
      <c r="J564" s="18">
        <f>IF($B564="","",IFERROR(IF(VLOOKUP($B564,AcctTbl,6,0)="","—",VLOOKUP($B564,AcctTbl,6,0)),"—"))</f>
        <v/>
      </c>
      <c r="K564" s="32">
        <f>IF(OR($B564="",$H$570=0),"",$H564/$H$570)</f>
        <v/>
      </c>
    </row>
    <row r="565">
      <c r="A565" s="23">
        <f>IF(ROW()-9&gt;NAcctAll,"",ROW()-9)</f>
        <v/>
      </c>
      <c r="B565" s="33">
        <f>IF($A565="","",IF($A565&lt;=NAcctAll,INDEX(PkAcctAll,$A565),""))</f>
        <v/>
      </c>
      <c r="C565" s="28">
        <f>IF($B565="","",IFERROR(IF(VLOOKUP($B565,AcctTbl,4,0)="","(بدون نام)",VLOOKUP($B565,AcctTbl,4,0)),"—"))</f>
        <v/>
      </c>
      <c r="D565" s="24">
        <f>IF($B565="","",IFERROR(IF(VLOOKUP($B565,AcctTbl,3,0)="",IF(VLOOKUP($B565,AcctTbl,2,0)="","—",VLOOKUP($B565,AcctTbl,2,0)),VLOOKUP($B565,AcctTbl,3,0)),"—"))</f>
        <v/>
      </c>
      <c r="E565" s="34">
        <f>IF($B565="","",COUNTIFS(CalcParty,$B565,CalcGroup,"خرید"))</f>
        <v/>
      </c>
      <c r="F565" s="25">
        <f>IF($B565="","",SUMIFS(CalcScale,CalcParty,$B565,CalcGroup,"خرید"))</f>
        <v/>
      </c>
      <c r="G565" s="25">
        <f>IF($B565="","",SUMIFS(CalcBaskets,CalcParty,$B565,CalcGroup,"خرید"))</f>
        <v/>
      </c>
      <c r="H565" s="26">
        <f>IF($B565="","",SUMIFS(CalcNet,CalcParty,$B565,CalcGroup,"خرید"))</f>
        <v/>
      </c>
      <c r="I565" s="24">
        <f>IF($B565="","",IFERROR(IF(VLOOKUP($B565,AcctTbl,5,0)="","—",VLOOKUP($B565,AcctTbl,5,0)),"—"))</f>
        <v/>
      </c>
      <c r="J565" s="24">
        <f>IF($B565="","",IFERROR(IF(VLOOKUP($B565,AcctTbl,6,0)="","—",VLOOKUP($B565,AcctTbl,6,0)),"—"))</f>
        <v/>
      </c>
      <c r="K565" s="35">
        <f>IF(OR($B565="",$H$570=0),"",$H565/$H$570)</f>
        <v/>
      </c>
    </row>
    <row r="566">
      <c r="A566" s="17">
        <f>IF(ROW()-9&gt;NAcctAll,"",ROW()-9)</f>
        <v/>
      </c>
      <c r="B566" s="30">
        <f>IF($A566="","",IF($A566&lt;=NAcctAll,INDEX(PkAcctAll,$A566),""))</f>
        <v/>
      </c>
      <c r="C566" s="22">
        <f>IF($B566="","",IFERROR(IF(VLOOKUP($B566,AcctTbl,4,0)="","(بدون نام)",VLOOKUP($B566,AcctTbl,4,0)),"—"))</f>
        <v/>
      </c>
      <c r="D566" s="18">
        <f>IF($B566="","",IFERROR(IF(VLOOKUP($B566,AcctTbl,3,0)="",IF(VLOOKUP($B566,AcctTbl,2,0)="","—",VLOOKUP($B566,AcctTbl,2,0)),VLOOKUP($B566,AcctTbl,3,0)),"—"))</f>
        <v/>
      </c>
      <c r="E566" s="31">
        <f>IF($B566="","",COUNTIFS(CalcParty,$B566,CalcGroup,"خرید"))</f>
        <v/>
      </c>
      <c r="F566" s="19">
        <f>IF($B566="","",SUMIFS(CalcScale,CalcParty,$B566,CalcGroup,"خرید"))</f>
        <v/>
      </c>
      <c r="G566" s="19">
        <f>IF($B566="","",SUMIFS(CalcBaskets,CalcParty,$B566,CalcGroup,"خرید"))</f>
        <v/>
      </c>
      <c r="H566" s="20">
        <f>IF($B566="","",SUMIFS(CalcNet,CalcParty,$B566,CalcGroup,"خرید"))</f>
        <v/>
      </c>
      <c r="I566" s="18">
        <f>IF($B566="","",IFERROR(IF(VLOOKUP($B566,AcctTbl,5,0)="","—",VLOOKUP($B566,AcctTbl,5,0)),"—"))</f>
        <v/>
      </c>
      <c r="J566" s="18">
        <f>IF($B566="","",IFERROR(IF(VLOOKUP($B566,AcctTbl,6,0)="","—",VLOOKUP($B566,AcctTbl,6,0)),"—"))</f>
        <v/>
      </c>
      <c r="K566" s="32">
        <f>IF(OR($B566="",$H$570=0),"",$H566/$H$570)</f>
        <v/>
      </c>
    </row>
    <row r="567">
      <c r="A567" s="23">
        <f>IF(ROW()-9&gt;NAcctAll,"",ROW()-9)</f>
        <v/>
      </c>
      <c r="B567" s="33">
        <f>IF($A567="","",IF($A567&lt;=NAcctAll,INDEX(PkAcctAll,$A567),""))</f>
        <v/>
      </c>
      <c r="C567" s="28">
        <f>IF($B567="","",IFERROR(IF(VLOOKUP($B567,AcctTbl,4,0)="","(بدون نام)",VLOOKUP($B567,AcctTbl,4,0)),"—"))</f>
        <v/>
      </c>
      <c r="D567" s="24">
        <f>IF($B567="","",IFERROR(IF(VLOOKUP($B567,AcctTbl,3,0)="",IF(VLOOKUP($B567,AcctTbl,2,0)="","—",VLOOKUP($B567,AcctTbl,2,0)),VLOOKUP($B567,AcctTbl,3,0)),"—"))</f>
        <v/>
      </c>
      <c r="E567" s="34">
        <f>IF($B567="","",COUNTIFS(CalcParty,$B567,CalcGroup,"خرید"))</f>
        <v/>
      </c>
      <c r="F567" s="25">
        <f>IF($B567="","",SUMIFS(CalcScale,CalcParty,$B567,CalcGroup,"خرید"))</f>
        <v/>
      </c>
      <c r="G567" s="25">
        <f>IF($B567="","",SUMIFS(CalcBaskets,CalcParty,$B567,CalcGroup,"خرید"))</f>
        <v/>
      </c>
      <c r="H567" s="26">
        <f>IF($B567="","",SUMIFS(CalcNet,CalcParty,$B567,CalcGroup,"خرید"))</f>
        <v/>
      </c>
      <c r="I567" s="24">
        <f>IF($B567="","",IFERROR(IF(VLOOKUP($B567,AcctTbl,5,0)="","—",VLOOKUP($B567,AcctTbl,5,0)),"—"))</f>
        <v/>
      </c>
      <c r="J567" s="24">
        <f>IF($B567="","",IFERROR(IF(VLOOKUP($B567,AcctTbl,6,0)="","—",VLOOKUP($B567,AcctTbl,6,0)),"—"))</f>
        <v/>
      </c>
      <c r="K567" s="35">
        <f>IF(OR($B567="",$H$570=0),"",$H567/$H$570)</f>
        <v/>
      </c>
    </row>
    <row r="568">
      <c r="A568" s="17">
        <f>IF(ROW()-9&gt;NAcctAll,"",ROW()-9)</f>
        <v/>
      </c>
      <c r="B568" s="30">
        <f>IF($A568="","",IF($A568&lt;=NAcctAll,INDEX(PkAcctAll,$A568),""))</f>
        <v/>
      </c>
      <c r="C568" s="22">
        <f>IF($B568="","",IFERROR(IF(VLOOKUP($B568,AcctTbl,4,0)="","(بدون نام)",VLOOKUP($B568,AcctTbl,4,0)),"—"))</f>
        <v/>
      </c>
      <c r="D568" s="18">
        <f>IF($B568="","",IFERROR(IF(VLOOKUP($B568,AcctTbl,3,0)="",IF(VLOOKUP($B568,AcctTbl,2,0)="","—",VLOOKUP($B568,AcctTbl,2,0)),VLOOKUP($B568,AcctTbl,3,0)),"—"))</f>
        <v/>
      </c>
      <c r="E568" s="31">
        <f>IF($B568="","",COUNTIFS(CalcParty,$B568,CalcGroup,"خرید"))</f>
        <v/>
      </c>
      <c r="F568" s="19">
        <f>IF($B568="","",SUMIFS(CalcScale,CalcParty,$B568,CalcGroup,"خرید"))</f>
        <v/>
      </c>
      <c r="G568" s="19">
        <f>IF($B568="","",SUMIFS(CalcBaskets,CalcParty,$B568,CalcGroup,"خرید"))</f>
        <v/>
      </c>
      <c r="H568" s="20">
        <f>IF($B568="","",SUMIFS(CalcNet,CalcParty,$B568,CalcGroup,"خرید"))</f>
        <v/>
      </c>
      <c r="I568" s="18">
        <f>IF($B568="","",IFERROR(IF(VLOOKUP($B568,AcctTbl,5,0)="","—",VLOOKUP($B568,AcctTbl,5,0)),"—"))</f>
        <v/>
      </c>
      <c r="J568" s="18">
        <f>IF($B568="","",IFERROR(IF(VLOOKUP($B568,AcctTbl,6,0)="","—",VLOOKUP($B568,AcctTbl,6,0)),"—"))</f>
        <v/>
      </c>
      <c r="K568" s="32">
        <f>IF(OR($B568="",$H$570=0),"",$H568/$H$570)</f>
        <v/>
      </c>
    </row>
    <row r="569">
      <c r="A569" s="23">
        <f>IF(ROW()-9&gt;NAcctAll,"",ROW()-9)</f>
        <v/>
      </c>
      <c r="B569" s="33">
        <f>IF($A569="","",IF($A569&lt;=NAcctAll,INDEX(PkAcctAll,$A569),""))</f>
        <v/>
      </c>
      <c r="C569" s="28">
        <f>IF($B569="","",IFERROR(IF(VLOOKUP($B569,AcctTbl,4,0)="","(بدون نام)",VLOOKUP($B569,AcctTbl,4,0)),"—"))</f>
        <v/>
      </c>
      <c r="D569" s="24">
        <f>IF($B569="","",IFERROR(IF(VLOOKUP($B569,AcctTbl,3,0)="",IF(VLOOKUP($B569,AcctTbl,2,0)="","—",VLOOKUP($B569,AcctTbl,2,0)),VLOOKUP($B569,AcctTbl,3,0)),"—"))</f>
        <v/>
      </c>
      <c r="E569" s="34">
        <f>IF($B569="","",COUNTIFS(CalcParty,$B569,CalcGroup,"خرید"))</f>
        <v/>
      </c>
      <c r="F569" s="25">
        <f>IF($B569="","",SUMIFS(CalcScale,CalcParty,$B569,CalcGroup,"خرید"))</f>
        <v/>
      </c>
      <c r="G569" s="25">
        <f>IF($B569="","",SUMIFS(CalcBaskets,CalcParty,$B569,CalcGroup,"خرید"))</f>
        <v/>
      </c>
      <c r="H569" s="26">
        <f>IF($B569="","",SUMIFS(CalcNet,CalcParty,$B569,CalcGroup,"خرید"))</f>
        <v/>
      </c>
      <c r="I569" s="24">
        <f>IF($B569="","",IFERROR(IF(VLOOKUP($B569,AcctTbl,5,0)="","—",VLOOKUP($B569,AcctTbl,5,0)),"—"))</f>
        <v/>
      </c>
      <c r="J569" s="24">
        <f>IF($B569="","",IFERROR(IF(VLOOKUP($B569,AcctTbl,6,0)="","—",VLOOKUP($B569,AcctTbl,6,0)),"—"))</f>
        <v/>
      </c>
      <c r="K569" s="35">
        <f>IF(OR($B569="",$H$570=0),"",$H569/$H$570)</f>
        <v/>
      </c>
    </row>
    <row r="570">
      <c r="A570" s="36" t="inlineStr">
        <is>
          <t>جمع کل</t>
        </is>
      </c>
      <c r="B570" s="36" t="n"/>
      <c r="C570" s="36" t="n"/>
      <c r="D570" s="36" t="n"/>
      <c r="E570" s="37">
        <f>SUM(E10:E569)</f>
        <v/>
      </c>
      <c r="F570" s="38">
        <f>SUM(F10:F569)</f>
        <v/>
      </c>
      <c r="G570" s="38">
        <f>SUM(G10:G569)</f>
        <v/>
      </c>
      <c r="H570" s="39">
        <f>SUM(H10:H569)</f>
        <v/>
      </c>
    </row>
  </sheetData>
  <mergeCells count="13">
    <mergeCell ref="A4:K4"/>
    <mergeCell ref="A570:D570"/>
    <mergeCell ref="A3:K3"/>
    <mergeCell ref="A5:C5"/>
    <mergeCell ref="D5:F5"/>
    <mergeCell ref="G5:I5"/>
    <mergeCell ref="G6:I6"/>
    <mergeCell ref="J5:K5"/>
    <mergeCell ref="J6:K6"/>
    <mergeCell ref="A6:C6"/>
    <mergeCell ref="A2:K2"/>
    <mergeCell ref="D6:F6"/>
    <mergeCell ref="A1:K1"/>
  </mergeCells>
  <conditionalFormatting sqref="D10:D569">
    <cfRule type="cellIs" priority="1" operator="equal" dxfId="6">
      <formula>"مشتری"</formula>
    </cfRule>
    <cfRule type="cellIs" priority="2" operator="equal" dxfId="0">
      <formula>"فروشنده"</formula>
    </cfRule>
    <cfRule type="cellIs" priority="3" operator="equal" dxfId="2">
      <formula>"تأمین‌کننده"</formula>
    </cfRule>
  </conditionalFormatting>
  <conditionalFormatting sqref="H10:H569">
    <cfRule type="dataBar" priority="4">
      <dataBar showValue="1">
        <cfvo type="num" val="0"/>
        <cfvo type="max"/>
        <color rgb="00A5D6A7"/>
      </dataBar>
    </cfRule>
    <cfRule type="cellIs" priority="5" operator="lessThan" dxfId="1">
      <formula>0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خلاصه خرید مرکبات به تفکیک حساب&amp;R&amp;"Tahoma"&amp;8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90A4AE"/>
    <outlinePr summaryBelow="1" summaryRight="1"/>
    <pageSetUpPr/>
  </sheetPr>
  <dimension ref="A1:AS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26" customWidth="1" min="4" max="4"/>
    <col width="13" customWidth="1" min="5" max="5"/>
    <col width="13" customWidth="1" min="6" max="6"/>
    <col width="9" customWidth="1" min="8" max="8"/>
    <col width="22" customWidth="1" min="9" max="9"/>
    <col width="10" customWidth="1" min="10" max="10"/>
    <col width="13" customWidth="1" min="11" max="11"/>
    <col width="16" customWidth="1" min="13" max="13"/>
    <col width="9" customWidth="1" min="15" max="15"/>
    <col width="24" customWidth="1" min="16" max="16"/>
    <col width="10" customWidth="1" min="17" max="17"/>
    <col width="30" customWidth="1" min="19" max="19"/>
    <col width="11" customWidth="1" min="21" max="21"/>
    <col width="8" customWidth="1" min="22" max="22"/>
    <col width="10" customWidth="1" min="23" max="23"/>
    <col width="16" customWidth="1" min="24" max="24"/>
    <col width="12" customWidth="1" min="25" max="25"/>
    <col width="15" customWidth="1" min="26" max="26"/>
    <col width="13" customWidth="1" min="27" max="27"/>
    <col width="13" customWidth="1" min="28" max="28"/>
    <col width="11" customWidth="1" min="29" max="29"/>
    <col width="15" customWidth="1" min="30" max="30"/>
    <col width="30" customWidth="1" min="31" max="31"/>
    <col width="12" customWidth="1" min="33" max="33"/>
    <col width="8" customWidth="1" min="34" max="34"/>
    <col width="28" customWidth="1" min="35" max="35"/>
    <col width="10" customWidth="1" min="36" max="36"/>
    <col width="12" customWidth="1" min="37" max="37"/>
    <col width="15" customWidth="1" min="38" max="38"/>
    <col width="14" customWidth="1" min="39" max="39"/>
    <col width="14" customWidth="1" min="40" max="40"/>
    <col width="30" customWidth="1" min="41" max="41"/>
    <col width="5" customWidth="1" min="43" max="43"/>
    <col width="7" customWidth="1" min="44" max="44"/>
    <col width="10" customWidth="1" min="45" max="45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0" t="inlineStr">
        <is>
          <t>برگه فنی — آینه‌ی فایل مادر (INFO)، دفتر باسکول (Baskol) و فایل واریز/برداشت (Transactions) برای گزارش خرید. فرمول‌ها را تغییر ندهید. اگر همه سلول‌ها خالی شدند یعنی لینک به‌روز نشده: Data ← Edit Links ← Update Values.</t>
        </is>
      </c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</row>
    <row r="5">
      <c r="A5" s="41" t="inlineStr">
        <is>
          <t>Accounts · Code</t>
        </is>
      </c>
      <c r="B5" s="41" t="inlineStr">
        <is>
          <t>· Nature</t>
        </is>
      </c>
      <c r="C5" s="41" t="inlineStr">
        <is>
          <t>· Subgroup</t>
        </is>
      </c>
      <c r="D5" s="41" t="inlineStr">
        <is>
          <t>· Name</t>
        </is>
      </c>
      <c r="E5" s="41" t="inlineStr">
        <is>
          <t>· Acct Group</t>
        </is>
      </c>
      <c r="F5" s="41" t="inlineStr">
        <is>
          <t>· Audit Group</t>
        </is>
      </c>
      <c r="H5" s="41" t="inlineStr">
        <is>
          <t>Ops · Code</t>
        </is>
      </c>
      <c r="I5" s="41" t="inlineStr">
        <is>
          <t>· Title</t>
        </is>
      </c>
      <c r="J5" s="41" t="inlineStr">
        <is>
          <t>· Direction</t>
        </is>
      </c>
      <c r="K5" s="41" t="inlineStr">
        <is>
          <t>· Group</t>
        </is>
      </c>
      <c r="M5" s="41" t="inlineStr">
        <is>
          <t>Lists · Citrus Types</t>
        </is>
      </c>
      <c r="O5" s="41" t="inlineStr">
        <is>
          <t>Params · Code</t>
        </is>
      </c>
      <c r="P5" s="41" t="inlineStr">
        <is>
          <t>· Name</t>
        </is>
      </c>
      <c r="Q5" s="41" t="inlineStr">
        <is>
          <t>· Value</t>
        </is>
      </c>
      <c r="S5" s="41" t="inlineStr">
        <is>
          <t>Company</t>
        </is>
      </c>
      <c r="U5" s="41" t="inlineStr">
        <is>
          <t>Baskol · Date</t>
        </is>
      </c>
      <c r="V5" s="41" t="inlineStr">
        <is>
          <t>· Time</t>
        </is>
      </c>
      <c r="W5" s="41" t="inlineStr">
        <is>
          <t>· Doc</t>
        </is>
      </c>
      <c r="X5" s="41" t="inlineStr">
        <is>
          <t>· Op</t>
        </is>
      </c>
      <c r="Y5" s="41" t="inlineStr">
        <is>
          <t>· Party</t>
        </is>
      </c>
      <c r="Z5" s="41" t="inlineStr">
        <is>
          <t>· Sub</t>
        </is>
      </c>
      <c r="AA5" s="41" t="inlineStr">
        <is>
          <t>· Citrus</t>
        </is>
      </c>
      <c r="AB5" s="41" t="inlineStr">
        <is>
          <t>· Scale</t>
        </is>
      </c>
      <c r="AC5" s="41" t="inlineStr">
        <is>
          <t>· Baskets</t>
        </is>
      </c>
      <c r="AD5" s="41" t="inlineStr">
        <is>
          <t>· Amount</t>
        </is>
      </c>
      <c r="AE5" s="41" t="inlineStr">
        <is>
          <t>· Notes</t>
        </is>
      </c>
      <c r="AG5" s="41" t="inlineStr">
        <is>
          <t>Txn Entry · C</t>
        </is>
      </c>
      <c r="AH5" s="41" t="inlineStr">
        <is>
          <t>Txn Entry · D</t>
        </is>
      </c>
      <c r="AI5" s="41" t="inlineStr">
        <is>
          <t>Txn Entry · E</t>
        </is>
      </c>
      <c r="AJ5" s="41" t="inlineStr">
        <is>
          <t>Txn Entry · G</t>
        </is>
      </c>
      <c r="AK5" s="41" t="inlineStr">
        <is>
          <t>Txn Entry · K</t>
        </is>
      </c>
      <c r="AL5" s="41" t="inlineStr">
        <is>
          <t>Txn Entry · L</t>
        </is>
      </c>
      <c r="AM5" s="41" t="inlineStr">
        <is>
          <t>Txn Entry · M</t>
        </is>
      </c>
      <c r="AN5" s="41" t="inlineStr">
        <is>
          <t>Txn Entry · N</t>
        </is>
      </c>
      <c r="AO5" s="41" t="inlineStr">
        <is>
          <t>Txn Entry · R</t>
        </is>
      </c>
      <c r="AQ5" s="41" t="inlineStr">
        <is>
          <t>flg</t>
        </is>
      </c>
      <c r="AR5" s="41" t="inlineStr">
        <is>
          <t>cum·N</t>
        </is>
      </c>
      <c r="AS5" s="41" t="inlineStr">
        <is>
          <t>packed·Acct</t>
        </is>
      </c>
    </row>
    <row r="6">
      <c r="A6">
        <f>IF([1]Accounts!$D$7="","",[1]Accounts!$A$7)</f>
        <v/>
      </c>
      <c r="B6">
        <f>IF([1]Accounts!$D$7="","",[1]Accounts!$B$7)</f>
        <v/>
      </c>
      <c r="C6">
        <f>IF([1]Accounts!$D$7="","",[1]Accounts!$C$7)</f>
        <v/>
      </c>
      <c r="D6">
        <f>IF([1]Accounts!$D$7="","",[1]Accounts!$D$7)</f>
        <v/>
      </c>
      <c r="E6">
        <f>IF([1]Accounts!$D$7="","",[1]Accounts!$J$7)</f>
        <v/>
      </c>
      <c r="F6">
        <f>IF([1]Accounts!$D$7="","",[1]Accounts!$K$7)</f>
        <v/>
      </c>
      <c r="H6">
        <f>IF([1]Ops!$B$7="","",[1]Ops!$A$7)</f>
        <v/>
      </c>
      <c r="I6">
        <f>IF([1]Ops!$B$7="","",[1]Ops!$B$7)</f>
        <v/>
      </c>
      <c r="J6">
        <f>IF([1]Ops!$B$7="","",[1]Ops!$C$7)</f>
        <v/>
      </c>
      <c r="K6">
        <f>IF([1]Ops!$B$7="","",[1]Ops!$D$7)</f>
        <v/>
      </c>
      <c r="M6">
        <f>IF([1]Lists!$C$7="","",[1]Lists!$C$7)</f>
        <v/>
      </c>
      <c r="O6">
        <f>IF([1]Params!$A$7="","",[1]Params!$A$7)</f>
        <v/>
      </c>
      <c r="P6">
        <f>IF([1]Params!$B$7="","",[1]Params!$B$7)</f>
        <v/>
      </c>
      <c r="Q6">
        <f>[1]Params!$C$7</f>
        <v/>
      </c>
      <c r="S6">
        <f>IF([1]Company!$C$5="","",[1]Company!$C$5)</f>
        <v/>
      </c>
      <c r="U6">
        <f>IF([2]Baskol!$B$9="","",[2]Baskol!$B$9)</f>
        <v/>
      </c>
      <c r="V6">
        <f>IF([2]Baskol!$C$9="","",[2]Baskol!$C$9)</f>
        <v/>
      </c>
      <c r="W6">
        <f>IF([2]Baskol!$D$9="","",[2]Baskol!$D$9)</f>
        <v/>
      </c>
      <c r="X6">
        <f>IF([2]Baskol!$E$9="","",[2]Baskol!$E$9)</f>
        <v/>
      </c>
      <c r="Y6">
        <f>IF([2]Baskol!$G$9="","",[2]Baskol!$G$9)</f>
        <v/>
      </c>
      <c r="Z6">
        <f>IF([2]Baskol!$I$9="","",[2]Baskol!$I$9)</f>
        <v/>
      </c>
      <c r="AA6">
        <f>IF([2]Baskol!$J$9="","",[2]Baskol!$J$9)</f>
        <v/>
      </c>
      <c r="AB6">
        <f>IF([2]Baskol!$K$9="","",[2]Baskol!$K$9)</f>
        <v/>
      </c>
      <c r="AC6">
        <f>IF([2]Baskol!$L$9="","",[2]Baskol!$L$9)</f>
        <v/>
      </c>
      <c r="AD6">
        <f>IF([2]Baskol!$N$9="","",[2]Baskol!$N$9)</f>
        <v/>
      </c>
      <c r="AE6">
        <f>IF([2]Baskol!$O$9="","",[2]Baskol!$O$9)</f>
        <v/>
      </c>
      <c r="AG6">
        <f>IF([3]Entry!$C$9="","",[3]Entry!$C$9)</f>
        <v/>
      </c>
      <c r="AH6">
        <f>IF([3]Entry!$D$9="","",[3]Entry!$D$9)</f>
        <v/>
      </c>
      <c r="AI6">
        <f>IF([3]Entry!$E$9="","",[3]Entry!$E$9)</f>
        <v/>
      </c>
      <c r="AJ6">
        <f>IF([3]Entry!$G$9="","",[3]Entry!$G$9)</f>
        <v/>
      </c>
      <c r="AK6">
        <f>IF([3]Entry!$K$9="","",[3]Entry!$K$9)</f>
        <v/>
      </c>
      <c r="AL6">
        <f>IF([3]Entry!$L$9="","",[3]Entry!$L$9)</f>
        <v/>
      </c>
      <c r="AM6">
        <f>IF([3]Entry!$M$9="","",[3]Entry!$M$9)</f>
        <v/>
      </c>
      <c r="AN6">
        <f>IF([3]Entry!$N$9="","",[3]Entry!$N$9)</f>
        <v/>
      </c>
      <c r="AO6">
        <f>IF([3]Entry!$R$9="","",[3]Entry!$R$9)</f>
        <v/>
      </c>
      <c r="AQ6">
        <f>IF(AND($D6&lt;&gt;"",$A6&lt;&gt;""),1,0)</f>
        <v/>
      </c>
      <c r="AR6">
        <f>SUM($AQ$6:$AQ6)</f>
        <v/>
      </c>
      <c r="AS6">
        <f>IFERROR(INDEX($A$6:$A$565,MATCH(ROW()-5,$AR$6:$AR$565,0)),"")</f>
        <v/>
      </c>
    </row>
    <row r="7">
      <c r="A7">
        <f>IF([1]Accounts!$D$8="","",[1]Accounts!$A$8)</f>
        <v/>
      </c>
      <c r="B7">
        <f>IF([1]Accounts!$D$8="","",[1]Accounts!$B$8)</f>
        <v/>
      </c>
      <c r="C7">
        <f>IF([1]Accounts!$D$8="","",[1]Accounts!$C$8)</f>
        <v/>
      </c>
      <c r="D7">
        <f>IF([1]Accounts!$D$8="","",[1]Accounts!$D$8)</f>
        <v/>
      </c>
      <c r="E7">
        <f>IF([1]Accounts!$D$8="","",[1]Accounts!$J$8)</f>
        <v/>
      </c>
      <c r="F7">
        <f>IF([1]Accounts!$D$8="","",[1]Accounts!$K$8)</f>
        <v/>
      </c>
      <c r="H7">
        <f>IF([1]Ops!$B$8="","",[1]Ops!$A$8)</f>
        <v/>
      </c>
      <c r="I7">
        <f>IF([1]Ops!$B$8="","",[1]Ops!$B$8)</f>
        <v/>
      </c>
      <c r="J7">
        <f>IF([1]Ops!$B$8="","",[1]Ops!$C$8)</f>
        <v/>
      </c>
      <c r="K7">
        <f>IF([1]Ops!$B$8="","",[1]Ops!$D$8)</f>
        <v/>
      </c>
      <c r="M7">
        <f>IF([1]Lists!$C$8="","",[1]Lists!$C$8)</f>
        <v/>
      </c>
      <c r="O7">
        <f>IF([1]Params!$A$8="","",[1]Params!$A$8)</f>
        <v/>
      </c>
      <c r="P7">
        <f>IF([1]Params!$B$8="","",[1]Params!$B$8)</f>
        <v/>
      </c>
      <c r="Q7">
        <f>[1]Params!$C$8</f>
        <v/>
      </c>
      <c r="S7">
        <f>IF([1]Company!$C$8="","",[1]Company!$C$8)</f>
        <v/>
      </c>
      <c r="U7">
        <f>IF([2]Baskol!$B$10="","",[2]Baskol!$B$10)</f>
        <v/>
      </c>
      <c r="V7">
        <f>IF([2]Baskol!$C$10="","",[2]Baskol!$C$10)</f>
        <v/>
      </c>
      <c r="W7">
        <f>IF([2]Baskol!$D$10="","",[2]Baskol!$D$10)</f>
        <v/>
      </c>
      <c r="X7">
        <f>IF([2]Baskol!$E$10="","",[2]Baskol!$E$10)</f>
        <v/>
      </c>
      <c r="Y7">
        <f>IF([2]Baskol!$G$10="","",[2]Baskol!$G$10)</f>
        <v/>
      </c>
      <c r="Z7">
        <f>IF([2]Baskol!$I$10="","",[2]Baskol!$I$10)</f>
        <v/>
      </c>
      <c r="AA7">
        <f>IF([2]Baskol!$J$10="","",[2]Baskol!$J$10)</f>
        <v/>
      </c>
      <c r="AB7">
        <f>IF([2]Baskol!$K$10="","",[2]Baskol!$K$10)</f>
        <v/>
      </c>
      <c r="AC7">
        <f>IF([2]Baskol!$L$10="","",[2]Baskol!$L$10)</f>
        <v/>
      </c>
      <c r="AD7">
        <f>IF([2]Baskol!$N$10="","",[2]Baskol!$N$10)</f>
        <v/>
      </c>
      <c r="AE7">
        <f>IF([2]Baskol!$O$10="","",[2]Baskol!$O$10)</f>
        <v/>
      </c>
      <c r="AG7">
        <f>IF([3]Entry!$C$10="","",[3]Entry!$C$10)</f>
        <v/>
      </c>
      <c r="AH7">
        <f>IF([3]Entry!$D$10="","",[3]Entry!$D$10)</f>
        <v/>
      </c>
      <c r="AI7">
        <f>IF([3]Entry!$E$10="","",[3]Entry!$E$10)</f>
        <v/>
      </c>
      <c r="AJ7">
        <f>IF([3]Entry!$G$10="","",[3]Entry!$G$10)</f>
        <v/>
      </c>
      <c r="AK7">
        <f>IF([3]Entry!$K$10="","",[3]Entry!$K$10)</f>
        <v/>
      </c>
      <c r="AL7">
        <f>IF([3]Entry!$L$10="","",[3]Entry!$L$10)</f>
        <v/>
      </c>
      <c r="AM7">
        <f>IF([3]Entry!$M$10="","",[3]Entry!$M$10)</f>
        <v/>
      </c>
      <c r="AN7">
        <f>IF([3]Entry!$N$10="","",[3]Entry!$N$10)</f>
        <v/>
      </c>
      <c r="AO7">
        <f>IF([3]Entry!$R$10="","",[3]Entry!$R$10)</f>
        <v/>
      </c>
      <c r="AQ7">
        <f>IF(AND($D7&lt;&gt;"",$A7&lt;&gt;""),1,0)</f>
        <v/>
      </c>
      <c r="AR7">
        <f>SUM($AQ$6:$AQ7)</f>
        <v/>
      </c>
      <c r="AS7">
        <f>IFERROR(INDEX($A$6:$A$565,MATCH(ROW()-5,$AR$6:$AR$565,0)),"")</f>
        <v/>
      </c>
    </row>
    <row r="8">
      <c r="A8">
        <f>IF([1]Accounts!$D$9="","",[1]Accounts!$A$9)</f>
        <v/>
      </c>
      <c r="B8">
        <f>IF([1]Accounts!$D$9="","",[1]Accounts!$B$9)</f>
        <v/>
      </c>
      <c r="C8">
        <f>IF([1]Accounts!$D$9="","",[1]Accounts!$C$9)</f>
        <v/>
      </c>
      <c r="D8">
        <f>IF([1]Accounts!$D$9="","",[1]Accounts!$D$9)</f>
        <v/>
      </c>
      <c r="E8">
        <f>IF([1]Accounts!$D$9="","",[1]Accounts!$J$9)</f>
        <v/>
      </c>
      <c r="F8">
        <f>IF([1]Accounts!$D$9="","",[1]Accounts!$K$9)</f>
        <v/>
      </c>
      <c r="H8">
        <f>IF([1]Ops!$B$9="","",[1]Ops!$A$9)</f>
        <v/>
      </c>
      <c r="I8">
        <f>IF([1]Ops!$B$9="","",[1]Ops!$B$9)</f>
        <v/>
      </c>
      <c r="J8">
        <f>IF([1]Ops!$B$9="","",[1]Ops!$C$9)</f>
        <v/>
      </c>
      <c r="K8">
        <f>IF([1]Ops!$B$9="","",[1]Ops!$D$9)</f>
        <v/>
      </c>
      <c r="M8">
        <f>IF([1]Lists!$C$9="","",[1]Lists!$C$9)</f>
        <v/>
      </c>
      <c r="O8">
        <f>IF([1]Params!$A$9="","",[1]Params!$A$9)</f>
        <v/>
      </c>
      <c r="P8">
        <f>IF([1]Params!$B$9="","",[1]Params!$B$9)</f>
        <v/>
      </c>
      <c r="Q8">
        <f>[1]Params!$C$9</f>
        <v/>
      </c>
      <c r="S8">
        <f>IF([1]Company!$C$9="","",[1]Company!$C$9)</f>
        <v/>
      </c>
      <c r="U8">
        <f>IF([2]Baskol!$B$11="","",[2]Baskol!$B$11)</f>
        <v/>
      </c>
      <c r="V8">
        <f>IF([2]Baskol!$C$11="","",[2]Baskol!$C$11)</f>
        <v/>
      </c>
      <c r="W8">
        <f>IF([2]Baskol!$D$11="","",[2]Baskol!$D$11)</f>
        <v/>
      </c>
      <c r="X8">
        <f>IF([2]Baskol!$E$11="","",[2]Baskol!$E$11)</f>
        <v/>
      </c>
      <c r="Y8">
        <f>IF([2]Baskol!$G$11="","",[2]Baskol!$G$11)</f>
        <v/>
      </c>
      <c r="Z8">
        <f>IF([2]Baskol!$I$11="","",[2]Baskol!$I$11)</f>
        <v/>
      </c>
      <c r="AA8">
        <f>IF([2]Baskol!$J$11="","",[2]Baskol!$J$11)</f>
        <v/>
      </c>
      <c r="AB8">
        <f>IF([2]Baskol!$K$11="","",[2]Baskol!$K$11)</f>
        <v/>
      </c>
      <c r="AC8">
        <f>IF([2]Baskol!$L$11="","",[2]Baskol!$L$11)</f>
        <v/>
      </c>
      <c r="AD8">
        <f>IF([2]Baskol!$N$11="","",[2]Baskol!$N$11)</f>
        <v/>
      </c>
      <c r="AE8">
        <f>IF([2]Baskol!$O$11="","",[2]Baskol!$O$11)</f>
        <v/>
      </c>
      <c r="AG8">
        <f>IF([3]Entry!$C$11="","",[3]Entry!$C$11)</f>
        <v/>
      </c>
      <c r="AH8">
        <f>IF([3]Entry!$D$11="","",[3]Entry!$D$11)</f>
        <v/>
      </c>
      <c r="AI8">
        <f>IF([3]Entry!$E$11="","",[3]Entry!$E$11)</f>
        <v/>
      </c>
      <c r="AJ8">
        <f>IF([3]Entry!$G$11="","",[3]Entry!$G$11)</f>
        <v/>
      </c>
      <c r="AK8">
        <f>IF([3]Entry!$K$11="","",[3]Entry!$K$11)</f>
        <v/>
      </c>
      <c r="AL8">
        <f>IF([3]Entry!$L$11="","",[3]Entry!$L$11)</f>
        <v/>
      </c>
      <c r="AM8">
        <f>IF([3]Entry!$M$11="","",[3]Entry!$M$11)</f>
        <v/>
      </c>
      <c r="AN8">
        <f>IF([3]Entry!$N$11="","",[3]Entry!$N$11)</f>
        <v/>
      </c>
      <c r="AO8">
        <f>IF([3]Entry!$R$11="","",[3]Entry!$R$11)</f>
        <v/>
      </c>
      <c r="AQ8">
        <f>IF(AND($D8&lt;&gt;"",$A8&lt;&gt;""),1,0)</f>
        <v/>
      </c>
      <c r="AR8">
        <f>SUM($AQ$6:$AQ8)</f>
        <v/>
      </c>
      <c r="AS8">
        <f>IFERROR(INDEX($A$6:$A$565,MATCH(ROW()-5,$AR$6:$AR$565,0)),"")</f>
        <v/>
      </c>
    </row>
    <row r="9">
      <c r="A9">
        <f>IF([1]Accounts!$D$10="","",[1]Accounts!$A$10)</f>
        <v/>
      </c>
      <c r="B9">
        <f>IF([1]Accounts!$D$10="","",[1]Accounts!$B$10)</f>
        <v/>
      </c>
      <c r="C9">
        <f>IF([1]Accounts!$D$10="","",[1]Accounts!$C$10)</f>
        <v/>
      </c>
      <c r="D9">
        <f>IF([1]Accounts!$D$10="","",[1]Accounts!$D$10)</f>
        <v/>
      </c>
      <c r="E9">
        <f>IF([1]Accounts!$D$10="","",[1]Accounts!$J$10)</f>
        <v/>
      </c>
      <c r="F9">
        <f>IF([1]Accounts!$D$10="","",[1]Accounts!$K$10)</f>
        <v/>
      </c>
      <c r="H9">
        <f>IF([1]Ops!$B$10="","",[1]Ops!$A$10)</f>
        <v/>
      </c>
      <c r="I9">
        <f>IF([1]Ops!$B$10="","",[1]Ops!$B$10)</f>
        <v/>
      </c>
      <c r="J9">
        <f>IF([1]Ops!$B$10="","",[1]Ops!$C$10)</f>
        <v/>
      </c>
      <c r="K9">
        <f>IF([1]Ops!$B$10="","",[1]Ops!$D$10)</f>
        <v/>
      </c>
      <c r="M9">
        <f>IF([1]Lists!$C$10="","",[1]Lists!$C$10)</f>
        <v/>
      </c>
      <c r="O9">
        <f>IF([1]Params!$A$10="","",[1]Params!$A$10)</f>
        <v/>
      </c>
      <c r="P9">
        <f>IF([1]Params!$B$10="","",[1]Params!$B$10)</f>
        <v/>
      </c>
      <c r="Q9">
        <f>[1]Params!$C$10</f>
        <v/>
      </c>
      <c r="S9">
        <f>IF([1]Company!$C$7="","",[1]Company!$C$7)</f>
        <v/>
      </c>
      <c r="U9">
        <f>IF([2]Baskol!$B$12="","",[2]Baskol!$B$12)</f>
        <v/>
      </c>
      <c r="V9">
        <f>IF([2]Baskol!$C$12="","",[2]Baskol!$C$12)</f>
        <v/>
      </c>
      <c r="W9">
        <f>IF([2]Baskol!$D$12="","",[2]Baskol!$D$12)</f>
        <v/>
      </c>
      <c r="X9">
        <f>IF([2]Baskol!$E$12="","",[2]Baskol!$E$12)</f>
        <v/>
      </c>
      <c r="Y9">
        <f>IF([2]Baskol!$G$12="","",[2]Baskol!$G$12)</f>
        <v/>
      </c>
      <c r="Z9">
        <f>IF([2]Baskol!$I$12="","",[2]Baskol!$I$12)</f>
        <v/>
      </c>
      <c r="AA9">
        <f>IF([2]Baskol!$J$12="","",[2]Baskol!$J$12)</f>
        <v/>
      </c>
      <c r="AB9">
        <f>IF([2]Baskol!$K$12="","",[2]Baskol!$K$12)</f>
        <v/>
      </c>
      <c r="AC9">
        <f>IF([2]Baskol!$L$12="","",[2]Baskol!$L$12)</f>
        <v/>
      </c>
      <c r="AD9">
        <f>IF([2]Baskol!$N$12="","",[2]Baskol!$N$12)</f>
        <v/>
      </c>
      <c r="AE9">
        <f>IF([2]Baskol!$O$12="","",[2]Baskol!$O$12)</f>
        <v/>
      </c>
      <c r="AG9">
        <f>IF([3]Entry!$C$12="","",[3]Entry!$C$12)</f>
        <v/>
      </c>
      <c r="AH9">
        <f>IF([3]Entry!$D$12="","",[3]Entry!$D$12)</f>
        <v/>
      </c>
      <c r="AI9">
        <f>IF([3]Entry!$E$12="","",[3]Entry!$E$12)</f>
        <v/>
      </c>
      <c r="AJ9">
        <f>IF([3]Entry!$G$12="","",[3]Entry!$G$12)</f>
        <v/>
      </c>
      <c r="AK9">
        <f>IF([3]Entry!$K$12="","",[3]Entry!$K$12)</f>
        <v/>
      </c>
      <c r="AL9">
        <f>IF([3]Entry!$L$12="","",[3]Entry!$L$12)</f>
        <v/>
      </c>
      <c r="AM9">
        <f>IF([3]Entry!$M$12="","",[3]Entry!$M$12)</f>
        <v/>
      </c>
      <c r="AN9">
        <f>IF([3]Entry!$N$12="","",[3]Entry!$N$12)</f>
        <v/>
      </c>
      <c r="AO9">
        <f>IF([3]Entry!$R$12="","",[3]Entry!$R$12)</f>
        <v/>
      </c>
      <c r="AQ9">
        <f>IF(AND($D9&lt;&gt;"",$A9&lt;&gt;""),1,0)</f>
        <v/>
      </c>
      <c r="AR9">
        <f>SUM($AQ$6:$AQ9)</f>
        <v/>
      </c>
      <c r="AS9">
        <f>IFERROR(INDEX($A$6:$A$565,MATCH(ROW()-5,$AR$6:$AR$565,0)),"")</f>
        <v/>
      </c>
    </row>
    <row r="10">
      <c r="A10">
        <f>IF([1]Accounts!$D$11="","",[1]Accounts!$A$11)</f>
        <v/>
      </c>
      <c r="B10">
        <f>IF([1]Accounts!$D$11="","",[1]Accounts!$B$11)</f>
        <v/>
      </c>
      <c r="C10">
        <f>IF([1]Accounts!$D$11="","",[1]Accounts!$C$11)</f>
        <v/>
      </c>
      <c r="D10">
        <f>IF([1]Accounts!$D$11="","",[1]Accounts!$D$11)</f>
        <v/>
      </c>
      <c r="E10">
        <f>IF([1]Accounts!$D$11="","",[1]Accounts!$J$11)</f>
        <v/>
      </c>
      <c r="F10">
        <f>IF([1]Accounts!$D$11="","",[1]Accounts!$K$11)</f>
        <v/>
      </c>
      <c r="H10">
        <f>IF([1]Ops!$B$11="","",[1]Ops!$A$11)</f>
        <v/>
      </c>
      <c r="I10">
        <f>IF([1]Ops!$B$11="","",[1]Ops!$B$11)</f>
        <v/>
      </c>
      <c r="J10">
        <f>IF([1]Ops!$B$11="","",[1]Ops!$C$11)</f>
        <v/>
      </c>
      <c r="K10">
        <f>IF([1]Ops!$B$11="","",[1]Ops!$D$11)</f>
        <v/>
      </c>
      <c r="M10">
        <f>IF([1]Lists!$C$11="","",[1]Lists!$C$11)</f>
        <v/>
      </c>
      <c r="O10">
        <f>IF([1]Params!$A$11="","",[1]Params!$A$11)</f>
        <v/>
      </c>
      <c r="P10">
        <f>IF([1]Params!$B$11="","",[1]Params!$B$11)</f>
        <v/>
      </c>
      <c r="Q10">
        <f>[1]Params!$C$11</f>
        <v/>
      </c>
      <c r="U10">
        <f>IF([2]Baskol!$B$13="","",[2]Baskol!$B$13)</f>
        <v/>
      </c>
      <c r="V10">
        <f>IF([2]Baskol!$C$13="","",[2]Baskol!$C$13)</f>
        <v/>
      </c>
      <c r="W10">
        <f>IF([2]Baskol!$D$13="","",[2]Baskol!$D$13)</f>
        <v/>
      </c>
      <c r="X10">
        <f>IF([2]Baskol!$E$13="","",[2]Baskol!$E$13)</f>
        <v/>
      </c>
      <c r="Y10">
        <f>IF([2]Baskol!$G$13="","",[2]Baskol!$G$13)</f>
        <v/>
      </c>
      <c r="Z10">
        <f>IF([2]Baskol!$I$13="","",[2]Baskol!$I$13)</f>
        <v/>
      </c>
      <c r="AA10">
        <f>IF([2]Baskol!$J$13="","",[2]Baskol!$J$13)</f>
        <v/>
      </c>
      <c r="AB10">
        <f>IF([2]Baskol!$K$13="","",[2]Baskol!$K$13)</f>
        <v/>
      </c>
      <c r="AC10">
        <f>IF([2]Baskol!$L$13="","",[2]Baskol!$L$13)</f>
        <v/>
      </c>
      <c r="AD10">
        <f>IF([2]Baskol!$N$13="","",[2]Baskol!$N$13)</f>
        <v/>
      </c>
      <c r="AE10">
        <f>IF([2]Baskol!$O$13="","",[2]Baskol!$O$13)</f>
        <v/>
      </c>
      <c r="AG10">
        <f>IF([3]Entry!$C$13="","",[3]Entry!$C$13)</f>
        <v/>
      </c>
      <c r="AH10">
        <f>IF([3]Entry!$D$13="","",[3]Entry!$D$13)</f>
        <v/>
      </c>
      <c r="AI10">
        <f>IF([3]Entry!$E$13="","",[3]Entry!$E$13)</f>
        <v/>
      </c>
      <c r="AJ10">
        <f>IF([3]Entry!$G$13="","",[3]Entry!$G$13)</f>
        <v/>
      </c>
      <c r="AK10">
        <f>IF([3]Entry!$K$13="","",[3]Entry!$K$13)</f>
        <v/>
      </c>
      <c r="AL10">
        <f>IF([3]Entry!$L$13="","",[3]Entry!$L$13)</f>
        <v/>
      </c>
      <c r="AM10">
        <f>IF([3]Entry!$M$13="","",[3]Entry!$M$13)</f>
        <v/>
      </c>
      <c r="AN10">
        <f>IF([3]Entry!$N$13="","",[3]Entry!$N$13)</f>
        <v/>
      </c>
      <c r="AO10">
        <f>IF([3]Entry!$R$13="","",[3]Entry!$R$13)</f>
        <v/>
      </c>
      <c r="AQ10">
        <f>IF(AND($D10&lt;&gt;"",$A10&lt;&gt;""),1,0)</f>
        <v/>
      </c>
      <c r="AR10">
        <f>SUM($AQ$6:$AQ10)</f>
        <v/>
      </c>
      <c r="AS10">
        <f>IFERROR(INDEX($A$6:$A$565,MATCH(ROW()-5,$AR$6:$AR$565,0)),"")</f>
        <v/>
      </c>
    </row>
    <row r="11">
      <c r="A11">
        <f>IF([1]Accounts!$D$12="","",[1]Accounts!$A$12)</f>
        <v/>
      </c>
      <c r="B11">
        <f>IF([1]Accounts!$D$12="","",[1]Accounts!$B$12)</f>
        <v/>
      </c>
      <c r="C11">
        <f>IF([1]Accounts!$D$12="","",[1]Accounts!$C$12)</f>
        <v/>
      </c>
      <c r="D11">
        <f>IF([1]Accounts!$D$12="","",[1]Accounts!$D$12)</f>
        <v/>
      </c>
      <c r="E11">
        <f>IF([1]Accounts!$D$12="","",[1]Accounts!$J$12)</f>
        <v/>
      </c>
      <c r="F11">
        <f>IF([1]Accounts!$D$12="","",[1]Accounts!$K$12)</f>
        <v/>
      </c>
      <c r="H11">
        <f>IF([1]Ops!$B$12="","",[1]Ops!$A$12)</f>
        <v/>
      </c>
      <c r="I11">
        <f>IF([1]Ops!$B$12="","",[1]Ops!$B$12)</f>
        <v/>
      </c>
      <c r="J11">
        <f>IF([1]Ops!$B$12="","",[1]Ops!$C$12)</f>
        <v/>
      </c>
      <c r="K11">
        <f>IF([1]Ops!$B$12="","",[1]Ops!$D$12)</f>
        <v/>
      </c>
      <c r="M11">
        <f>IF([1]Lists!$C$12="","",[1]Lists!$C$12)</f>
        <v/>
      </c>
      <c r="O11">
        <f>IF([1]Params!$A$12="","",[1]Params!$A$12)</f>
        <v/>
      </c>
      <c r="P11">
        <f>IF([1]Params!$B$12="","",[1]Params!$B$12)</f>
        <v/>
      </c>
      <c r="Q11">
        <f>[1]Params!$C$12</f>
        <v/>
      </c>
      <c r="U11">
        <f>IF([2]Baskol!$B$14="","",[2]Baskol!$B$14)</f>
        <v/>
      </c>
      <c r="V11">
        <f>IF([2]Baskol!$C$14="","",[2]Baskol!$C$14)</f>
        <v/>
      </c>
      <c r="W11">
        <f>IF([2]Baskol!$D$14="","",[2]Baskol!$D$14)</f>
        <v/>
      </c>
      <c r="X11">
        <f>IF([2]Baskol!$E$14="","",[2]Baskol!$E$14)</f>
        <v/>
      </c>
      <c r="Y11">
        <f>IF([2]Baskol!$G$14="","",[2]Baskol!$G$14)</f>
        <v/>
      </c>
      <c r="Z11">
        <f>IF([2]Baskol!$I$14="","",[2]Baskol!$I$14)</f>
        <v/>
      </c>
      <c r="AA11">
        <f>IF([2]Baskol!$J$14="","",[2]Baskol!$J$14)</f>
        <v/>
      </c>
      <c r="AB11">
        <f>IF([2]Baskol!$K$14="","",[2]Baskol!$K$14)</f>
        <v/>
      </c>
      <c r="AC11">
        <f>IF([2]Baskol!$L$14="","",[2]Baskol!$L$14)</f>
        <v/>
      </c>
      <c r="AD11">
        <f>IF([2]Baskol!$N$14="","",[2]Baskol!$N$14)</f>
        <v/>
      </c>
      <c r="AE11">
        <f>IF([2]Baskol!$O$14="","",[2]Baskol!$O$14)</f>
        <v/>
      </c>
      <c r="AG11">
        <f>IF([3]Entry!$C$14="","",[3]Entry!$C$14)</f>
        <v/>
      </c>
      <c r="AH11">
        <f>IF([3]Entry!$D$14="","",[3]Entry!$D$14)</f>
        <v/>
      </c>
      <c r="AI11">
        <f>IF([3]Entry!$E$14="","",[3]Entry!$E$14)</f>
        <v/>
      </c>
      <c r="AJ11">
        <f>IF([3]Entry!$G$14="","",[3]Entry!$G$14)</f>
        <v/>
      </c>
      <c r="AK11">
        <f>IF([3]Entry!$K$14="","",[3]Entry!$K$14)</f>
        <v/>
      </c>
      <c r="AL11">
        <f>IF([3]Entry!$L$14="","",[3]Entry!$L$14)</f>
        <v/>
      </c>
      <c r="AM11">
        <f>IF([3]Entry!$M$14="","",[3]Entry!$M$14)</f>
        <v/>
      </c>
      <c r="AN11">
        <f>IF([3]Entry!$N$14="","",[3]Entry!$N$14)</f>
        <v/>
      </c>
      <c r="AO11">
        <f>IF([3]Entry!$R$14="","",[3]Entry!$R$14)</f>
        <v/>
      </c>
      <c r="AQ11">
        <f>IF(AND($D11&lt;&gt;"",$A11&lt;&gt;""),1,0)</f>
        <v/>
      </c>
      <c r="AR11">
        <f>SUM($AQ$6:$AQ11)</f>
        <v/>
      </c>
      <c r="AS11">
        <f>IFERROR(INDEX($A$6:$A$565,MATCH(ROW()-5,$AR$6:$AR$565,0)),"")</f>
        <v/>
      </c>
    </row>
    <row r="12">
      <c r="A12">
        <f>IF([1]Accounts!$D$13="","",[1]Accounts!$A$13)</f>
        <v/>
      </c>
      <c r="B12">
        <f>IF([1]Accounts!$D$13="","",[1]Accounts!$B$13)</f>
        <v/>
      </c>
      <c r="C12">
        <f>IF([1]Accounts!$D$13="","",[1]Accounts!$C$13)</f>
        <v/>
      </c>
      <c r="D12">
        <f>IF([1]Accounts!$D$13="","",[1]Accounts!$D$13)</f>
        <v/>
      </c>
      <c r="E12">
        <f>IF([1]Accounts!$D$13="","",[1]Accounts!$J$13)</f>
        <v/>
      </c>
      <c r="F12">
        <f>IF([1]Accounts!$D$13="","",[1]Accounts!$K$13)</f>
        <v/>
      </c>
      <c r="H12">
        <f>IF([1]Ops!$B$13="","",[1]Ops!$A$13)</f>
        <v/>
      </c>
      <c r="I12">
        <f>IF([1]Ops!$B$13="","",[1]Ops!$B$13)</f>
        <v/>
      </c>
      <c r="J12">
        <f>IF([1]Ops!$B$13="","",[1]Ops!$C$13)</f>
        <v/>
      </c>
      <c r="K12">
        <f>IF([1]Ops!$B$13="","",[1]Ops!$D$13)</f>
        <v/>
      </c>
      <c r="M12">
        <f>IF([1]Lists!$C$13="","",[1]Lists!$C$13)</f>
        <v/>
      </c>
      <c r="O12">
        <f>IF([1]Params!$A$13="","",[1]Params!$A$13)</f>
        <v/>
      </c>
      <c r="P12">
        <f>IF([1]Params!$B$13="","",[1]Params!$B$13)</f>
        <v/>
      </c>
      <c r="Q12">
        <f>[1]Params!$C$13</f>
        <v/>
      </c>
      <c r="U12">
        <f>IF([2]Baskol!$B$15="","",[2]Baskol!$B$15)</f>
        <v/>
      </c>
      <c r="V12">
        <f>IF([2]Baskol!$C$15="","",[2]Baskol!$C$15)</f>
        <v/>
      </c>
      <c r="W12">
        <f>IF([2]Baskol!$D$15="","",[2]Baskol!$D$15)</f>
        <v/>
      </c>
      <c r="X12">
        <f>IF([2]Baskol!$E$15="","",[2]Baskol!$E$15)</f>
        <v/>
      </c>
      <c r="Y12">
        <f>IF([2]Baskol!$G$15="","",[2]Baskol!$G$15)</f>
        <v/>
      </c>
      <c r="Z12">
        <f>IF([2]Baskol!$I$15="","",[2]Baskol!$I$15)</f>
        <v/>
      </c>
      <c r="AA12">
        <f>IF([2]Baskol!$J$15="","",[2]Baskol!$J$15)</f>
        <v/>
      </c>
      <c r="AB12">
        <f>IF([2]Baskol!$K$15="","",[2]Baskol!$K$15)</f>
        <v/>
      </c>
      <c r="AC12">
        <f>IF([2]Baskol!$L$15="","",[2]Baskol!$L$15)</f>
        <v/>
      </c>
      <c r="AD12">
        <f>IF([2]Baskol!$N$15="","",[2]Baskol!$N$15)</f>
        <v/>
      </c>
      <c r="AE12">
        <f>IF([2]Baskol!$O$15="","",[2]Baskol!$O$15)</f>
        <v/>
      </c>
      <c r="AG12">
        <f>IF([3]Entry!$C$15="","",[3]Entry!$C$15)</f>
        <v/>
      </c>
      <c r="AH12">
        <f>IF([3]Entry!$D$15="","",[3]Entry!$D$15)</f>
        <v/>
      </c>
      <c r="AI12">
        <f>IF([3]Entry!$E$15="","",[3]Entry!$E$15)</f>
        <v/>
      </c>
      <c r="AJ12">
        <f>IF([3]Entry!$G$15="","",[3]Entry!$G$15)</f>
        <v/>
      </c>
      <c r="AK12">
        <f>IF([3]Entry!$K$15="","",[3]Entry!$K$15)</f>
        <v/>
      </c>
      <c r="AL12">
        <f>IF([3]Entry!$L$15="","",[3]Entry!$L$15)</f>
        <v/>
      </c>
      <c r="AM12">
        <f>IF([3]Entry!$M$15="","",[3]Entry!$M$15)</f>
        <v/>
      </c>
      <c r="AN12">
        <f>IF([3]Entry!$N$15="","",[3]Entry!$N$15)</f>
        <v/>
      </c>
      <c r="AO12">
        <f>IF([3]Entry!$R$15="","",[3]Entry!$R$15)</f>
        <v/>
      </c>
      <c r="AQ12">
        <f>IF(AND($D12&lt;&gt;"",$A12&lt;&gt;""),1,0)</f>
        <v/>
      </c>
      <c r="AR12">
        <f>SUM($AQ$6:$AQ12)</f>
        <v/>
      </c>
      <c r="AS12">
        <f>IFERROR(INDEX($A$6:$A$565,MATCH(ROW()-5,$AR$6:$AR$565,0)),"")</f>
        <v/>
      </c>
    </row>
    <row r="13">
      <c r="A13">
        <f>IF([1]Accounts!$D$14="","",[1]Accounts!$A$14)</f>
        <v/>
      </c>
      <c r="B13">
        <f>IF([1]Accounts!$D$14="","",[1]Accounts!$B$14)</f>
        <v/>
      </c>
      <c r="C13">
        <f>IF([1]Accounts!$D$14="","",[1]Accounts!$C$14)</f>
        <v/>
      </c>
      <c r="D13">
        <f>IF([1]Accounts!$D$14="","",[1]Accounts!$D$14)</f>
        <v/>
      </c>
      <c r="E13">
        <f>IF([1]Accounts!$D$14="","",[1]Accounts!$J$14)</f>
        <v/>
      </c>
      <c r="F13">
        <f>IF([1]Accounts!$D$14="","",[1]Accounts!$K$14)</f>
        <v/>
      </c>
      <c r="H13">
        <f>IF([1]Ops!$B$14="","",[1]Ops!$A$14)</f>
        <v/>
      </c>
      <c r="I13">
        <f>IF([1]Ops!$B$14="","",[1]Ops!$B$14)</f>
        <v/>
      </c>
      <c r="J13">
        <f>IF([1]Ops!$B$14="","",[1]Ops!$C$14)</f>
        <v/>
      </c>
      <c r="K13">
        <f>IF([1]Ops!$B$14="","",[1]Ops!$D$14)</f>
        <v/>
      </c>
      <c r="M13">
        <f>IF([1]Lists!$C$14="","",[1]Lists!$C$14)</f>
        <v/>
      </c>
      <c r="O13">
        <f>IF([1]Params!$A$14="","",[1]Params!$A$14)</f>
        <v/>
      </c>
      <c r="P13">
        <f>IF([1]Params!$B$14="","",[1]Params!$B$14)</f>
        <v/>
      </c>
      <c r="Q13">
        <f>[1]Params!$C$14</f>
        <v/>
      </c>
      <c r="U13">
        <f>IF([2]Baskol!$B$16="","",[2]Baskol!$B$16)</f>
        <v/>
      </c>
      <c r="V13">
        <f>IF([2]Baskol!$C$16="","",[2]Baskol!$C$16)</f>
        <v/>
      </c>
      <c r="W13">
        <f>IF([2]Baskol!$D$16="","",[2]Baskol!$D$16)</f>
        <v/>
      </c>
      <c r="X13">
        <f>IF([2]Baskol!$E$16="","",[2]Baskol!$E$16)</f>
        <v/>
      </c>
      <c r="Y13">
        <f>IF([2]Baskol!$G$16="","",[2]Baskol!$G$16)</f>
        <v/>
      </c>
      <c r="Z13">
        <f>IF([2]Baskol!$I$16="","",[2]Baskol!$I$16)</f>
        <v/>
      </c>
      <c r="AA13">
        <f>IF([2]Baskol!$J$16="","",[2]Baskol!$J$16)</f>
        <v/>
      </c>
      <c r="AB13">
        <f>IF([2]Baskol!$K$16="","",[2]Baskol!$K$16)</f>
        <v/>
      </c>
      <c r="AC13">
        <f>IF([2]Baskol!$L$16="","",[2]Baskol!$L$16)</f>
        <v/>
      </c>
      <c r="AD13">
        <f>IF([2]Baskol!$N$16="","",[2]Baskol!$N$16)</f>
        <v/>
      </c>
      <c r="AE13">
        <f>IF([2]Baskol!$O$16="","",[2]Baskol!$O$16)</f>
        <v/>
      </c>
      <c r="AG13">
        <f>IF([3]Entry!$C$16="","",[3]Entry!$C$16)</f>
        <v/>
      </c>
      <c r="AH13">
        <f>IF([3]Entry!$D$16="","",[3]Entry!$D$16)</f>
        <v/>
      </c>
      <c r="AI13">
        <f>IF([3]Entry!$E$16="","",[3]Entry!$E$16)</f>
        <v/>
      </c>
      <c r="AJ13">
        <f>IF([3]Entry!$G$16="","",[3]Entry!$G$16)</f>
        <v/>
      </c>
      <c r="AK13">
        <f>IF([3]Entry!$K$16="","",[3]Entry!$K$16)</f>
        <v/>
      </c>
      <c r="AL13">
        <f>IF([3]Entry!$L$16="","",[3]Entry!$L$16)</f>
        <v/>
      </c>
      <c r="AM13">
        <f>IF([3]Entry!$M$16="","",[3]Entry!$M$16)</f>
        <v/>
      </c>
      <c r="AN13">
        <f>IF([3]Entry!$N$16="","",[3]Entry!$N$16)</f>
        <v/>
      </c>
      <c r="AO13">
        <f>IF([3]Entry!$R$16="","",[3]Entry!$R$16)</f>
        <v/>
      </c>
      <c r="AQ13">
        <f>IF(AND($D13&lt;&gt;"",$A13&lt;&gt;""),1,0)</f>
        <v/>
      </c>
      <c r="AR13">
        <f>SUM($AQ$6:$AQ13)</f>
        <v/>
      </c>
      <c r="AS13">
        <f>IFERROR(INDEX($A$6:$A$565,MATCH(ROW()-5,$AR$6:$AR$565,0)),"")</f>
        <v/>
      </c>
    </row>
    <row r="14">
      <c r="A14">
        <f>IF([1]Accounts!$D$15="","",[1]Accounts!$A$15)</f>
        <v/>
      </c>
      <c r="B14">
        <f>IF([1]Accounts!$D$15="","",[1]Accounts!$B$15)</f>
        <v/>
      </c>
      <c r="C14">
        <f>IF([1]Accounts!$D$15="","",[1]Accounts!$C$15)</f>
        <v/>
      </c>
      <c r="D14">
        <f>IF([1]Accounts!$D$15="","",[1]Accounts!$D$15)</f>
        <v/>
      </c>
      <c r="E14">
        <f>IF([1]Accounts!$D$15="","",[1]Accounts!$J$15)</f>
        <v/>
      </c>
      <c r="F14">
        <f>IF([1]Accounts!$D$15="","",[1]Accounts!$K$15)</f>
        <v/>
      </c>
      <c r="H14">
        <f>IF([1]Ops!$B$15="","",[1]Ops!$A$15)</f>
        <v/>
      </c>
      <c r="I14">
        <f>IF([1]Ops!$B$15="","",[1]Ops!$B$15)</f>
        <v/>
      </c>
      <c r="J14">
        <f>IF([1]Ops!$B$15="","",[1]Ops!$C$15)</f>
        <v/>
      </c>
      <c r="K14">
        <f>IF([1]Ops!$B$15="","",[1]Ops!$D$15)</f>
        <v/>
      </c>
      <c r="M14">
        <f>IF([1]Lists!$C$15="","",[1]Lists!$C$15)</f>
        <v/>
      </c>
      <c r="O14">
        <f>IF([1]Params!$A$15="","",[1]Params!$A$15)</f>
        <v/>
      </c>
      <c r="P14">
        <f>IF([1]Params!$B$15="","",[1]Params!$B$15)</f>
        <v/>
      </c>
      <c r="Q14">
        <f>[1]Params!$C$15</f>
        <v/>
      </c>
      <c r="U14">
        <f>IF([2]Baskol!$B$17="","",[2]Baskol!$B$17)</f>
        <v/>
      </c>
      <c r="V14">
        <f>IF([2]Baskol!$C$17="","",[2]Baskol!$C$17)</f>
        <v/>
      </c>
      <c r="W14">
        <f>IF([2]Baskol!$D$17="","",[2]Baskol!$D$17)</f>
        <v/>
      </c>
      <c r="X14">
        <f>IF([2]Baskol!$E$17="","",[2]Baskol!$E$17)</f>
        <v/>
      </c>
      <c r="Y14">
        <f>IF([2]Baskol!$G$17="","",[2]Baskol!$G$17)</f>
        <v/>
      </c>
      <c r="Z14">
        <f>IF([2]Baskol!$I$17="","",[2]Baskol!$I$17)</f>
        <v/>
      </c>
      <c r="AA14">
        <f>IF([2]Baskol!$J$17="","",[2]Baskol!$J$17)</f>
        <v/>
      </c>
      <c r="AB14">
        <f>IF([2]Baskol!$K$17="","",[2]Baskol!$K$17)</f>
        <v/>
      </c>
      <c r="AC14">
        <f>IF([2]Baskol!$L$17="","",[2]Baskol!$L$17)</f>
        <v/>
      </c>
      <c r="AD14">
        <f>IF([2]Baskol!$N$17="","",[2]Baskol!$N$17)</f>
        <v/>
      </c>
      <c r="AE14">
        <f>IF([2]Baskol!$O$17="","",[2]Baskol!$O$17)</f>
        <v/>
      </c>
      <c r="AG14">
        <f>IF([3]Entry!$C$17="","",[3]Entry!$C$17)</f>
        <v/>
      </c>
      <c r="AH14">
        <f>IF([3]Entry!$D$17="","",[3]Entry!$D$17)</f>
        <v/>
      </c>
      <c r="AI14">
        <f>IF([3]Entry!$E$17="","",[3]Entry!$E$17)</f>
        <v/>
      </c>
      <c r="AJ14">
        <f>IF([3]Entry!$G$17="","",[3]Entry!$G$17)</f>
        <v/>
      </c>
      <c r="AK14">
        <f>IF([3]Entry!$K$17="","",[3]Entry!$K$17)</f>
        <v/>
      </c>
      <c r="AL14">
        <f>IF([3]Entry!$L$17="","",[3]Entry!$L$17)</f>
        <v/>
      </c>
      <c r="AM14">
        <f>IF([3]Entry!$M$17="","",[3]Entry!$M$17)</f>
        <v/>
      </c>
      <c r="AN14">
        <f>IF([3]Entry!$N$17="","",[3]Entry!$N$17)</f>
        <v/>
      </c>
      <c r="AO14">
        <f>IF([3]Entry!$R$17="","",[3]Entry!$R$17)</f>
        <v/>
      </c>
      <c r="AQ14">
        <f>IF(AND($D14&lt;&gt;"",$A14&lt;&gt;""),1,0)</f>
        <v/>
      </c>
      <c r="AR14">
        <f>SUM($AQ$6:$AQ14)</f>
        <v/>
      </c>
      <c r="AS14">
        <f>IFERROR(INDEX($A$6:$A$565,MATCH(ROW()-5,$AR$6:$AR$565,0)),"")</f>
        <v/>
      </c>
    </row>
    <row r="15">
      <c r="A15">
        <f>IF([1]Accounts!$D$16="","",[1]Accounts!$A$16)</f>
        <v/>
      </c>
      <c r="B15">
        <f>IF([1]Accounts!$D$16="","",[1]Accounts!$B$16)</f>
        <v/>
      </c>
      <c r="C15">
        <f>IF([1]Accounts!$D$16="","",[1]Accounts!$C$16)</f>
        <v/>
      </c>
      <c r="D15">
        <f>IF([1]Accounts!$D$16="","",[1]Accounts!$D$16)</f>
        <v/>
      </c>
      <c r="E15">
        <f>IF([1]Accounts!$D$16="","",[1]Accounts!$J$16)</f>
        <v/>
      </c>
      <c r="F15">
        <f>IF([1]Accounts!$D$16="","",[1]Accounts!$K$16)</f>
        <v/>
      </c>
      <c r="H15">
        <f>IF([1]Ops!$B$16="","",[1]Ops!$A$16)</f>
        <v/>
      </c>
      <c r="I15">
        <f>IF([1]Ops!$B$16="","",[1]Ops!$B$16)</f>
        <v/>
      </c>
      <c r="J15">
        <f>IF([1]Ops!$B$16="","",[1]Ops!$C$16)</f>
        <v/>
      </c>
      <c r="K15">
        <f>IF([1]Ops!$B$16="","",[1]Ops!$D$16)</f>
        <v/>
      </c>
      <c r="M15">
        <f>IF([1]Lists!$C$16="","",[1]Lists!$C$16)</f>
        <v/>
      </c>
      <c r="O15">
        <f>IF([1]Params!$A$16="","",[1]Params!$A$16)</f>
        <v/>
      </c>
      <c r="P15">
        <f>IF([1]Params!$B$16="","",[1]Params!$B$16)</f>
        <v/>
      </c>
      <c r="Q15">
        <f>[1]Params!$C$16</f>
        <v/>
      </c>
      <c r="U15">
        <f>IF([2]Baskol!$B$18="","",[2]Baskol!$B$18)</f>
        <v/>
      </c>
      <c r="V15">
        <f>IF([2]Baskol!$C$18="","",[2]Baskol!$C$18)</f>
        <v/>
      </c>
      <c r="W15">
        <f>IF([2]Baskol!$D$18="","",[2]Baskol!$D$18)</f>
        <v/>
      </c>
      <c r="X15">
        <f>IF([2]Baskol!$E$18="","",[2]Baskol!$E$18)</f>
        <v/>
      </c>
      <c r="Y15">
        <f>IF([2]Baskol!$G$18="","",[2]Baskol!$G$18)</f>
        <v/>
      </c>
      <c r="Z15">
        <f>IF([2]Baskol!$I$18="","",[2]Baskol!$I$18)</f>
        <v/>
      </c>
      <c r="AA15">
        <f>IF([2]Baskol!$J$18="","",[2]Baskol!$J$18)</f>
        <v/>
      </c>
      <c r="AB15">
        <f>IF([2]Baskol!$K$18="","",[2]Baskol!$K$18)</f>
        <v/>
      </c>
      <c r="AC15">
        <f>IF([2]Baskol!$L$18="","",[2]Baskol!$L$18)</f>
        <v/>
      </c>
      <c r="AD15">
        <f>IF([2]Baskol!$N$18="","",[2]Baskol!$N$18)</f>
        <v/>
      </c>
      <c r="AE15">
        <f>IF([2]Baskol!$O$18="","",[2]Baskol!$O$18)</f>
        <v/>
      </c>
      <c r="AG15">
        <f>IF([3]Entry!$C$18="","",[3]Entry!$C$18)</f>
        <v/>
      </c>
      <c r="AH15">
        <f>IF([3]Entry!$D$18="","",[3]Entry!$D$18)</f>
        <v/>
      </c>
      <c r="AI15">
        <f>IF([3]Entry!$E$18="","",[3]Entry!$E$18)</f>
        <v/>
      </c>
      <c r="AJ15">
        <f>IF([3]Entry!$G$18="","",[3]Entry!$G$18)</f>
        <v/>
      </c>
      <c r="AK15">
        <f>IF([3]Entry!$K$18="","",[3]Entry!$K$18)</f>
        <v/>
      </c>
      <c r="AL15">
        <f>IF([3]Entry!$L$18="","",[3]Entry!$L$18)</f>
        <v/>
      </c>
      <c r="AM15">
        <f>IF([3]Entry!$M$18="","",[3]Entry!$M$18)</f>
        <v/>
      </c>
      <c r="AN15">
        <f>IF([3]Entry!$N$18="","",[3]Entry!$N$18)</f>
        <v/>
      </c>
      <c r="AO15">
        <f>IF([3]Entry!$R$18="","",[3]Entry!$R$18)</f>
        <v/>
      </c>
      <c r="AQ15">
        <f>IF(AND($D15&lt;&gt;"",$A15&lt;&gt;""),1,0)</f>
        <v/>
      </c>
      <c r="AR15">
        <f>SUM($AQ$6:$AQ15)</f>
        <v/>
      </c>
      <c r="AS15">
        <f>IFERROR(INDEX($A$6:$A$565,MATCH(ROW()-5,$AR$6:$AR$565,0)),"")</f>
        <v/>
      </c>
    </row>
    <row r="16">
      <c r="A16">
        <f>IF([1]Accounts!$D$17="","",[1]Accounts!$A$17)</f>
        <v/>
      </c>
      <c r="B16">
        <f>IF([1]Accounts!$D$17="","",[1]Accounts!$B$17)</f>
        <v/>
      </c>
      <c r="C16">
        <f>IF([1]Accounts!$D$17="","",[1]Accounts!$C$17)</f>
        <v/>
      </c>
      <c r="D16">
        <f>IF([1]Accounts!$D$17="","",[1]Accounts!$D$17)</f>
        <v/>
      </c>
      <c r="E16">
        <f>IF([1]Accounts!$D$17="","",[1]Accounts!$J$17)</f>
        <v/>
      </c>
      <c r="F16">
        <f>IF([1]Accounts!$D$17="","",[1]Accounts!$K$17)</f>
        <v/>
      </c>
      <c r="H16">
        <f>IF([1]Ops!$B$17="","",[1]Ops!$A$17)</f>
        <v/>
      </c>
      <c r="I16">
        <f>IF([1]Ops!$B$17="","",[1]Ops!$B$17)</f>
        <v/>
      </c>
      <c r="J16">
        <f>IF([1]Ops!$B$17="","",[1]Ops!$C$17)</f>
        <v/>
      </c>
      <c r="K16">
        <f>IF([1]Ops!$B$17="","",[1]Ops!$D$17)</f>
        <v/>
      </c>
      <c r="M16">
        <f>IF([1]Lists!$C$17="","",[1]Lists!$C$17)</f>
        <v/>
      </c>
      <c r="O16">
        <f>IF([1]Params!$A$17="","",[1]Params!$A$17)</f>
        <v/>
      </c>
      <c r="P16">
        <f>IF([1]Params!$B$17="","",[1]Params!$B$17)</f>
        <v/>
      </c>
      <c r="Q16">
        <f>[1]Params!$C$17</f>
        <v/>
      </c>
      <c r="U16">
        <f>IF([2]Baskol!$B$19="","",[2]Baskol!$B$19)</f>
        <v/>
      </c>
      <c r="V16">
        <f>IF([2]Baskol!$C$19="","",[2]Baskol!$C$19)</f>
        <v/>
      </c>
      <c r="W16">
        <f>IF([2]Baskol!$D$19="","",[2]Baskol!$D$19)</f>
        <v/>
      </c>
      <c r="X16">
        <f>IF([2]Baskol!$E$19="","",[2]Baskol!$E$19)</f>
        <v/>
      </c>
      <c r="Y16">
        <f>IF([2]Baskol!$G$19="","",[2]Baskol!$G$19)</f>
        <v/>
      </c>
      <c r="Z16">
        <f>IF([2]Baskol!$I$19="","",[2]Baskol!$I$19)</f>
        <v/>
      </c>
      <c r="AA16">
        <f>IF([2]Baskol!$J$19="","",[2]Baskol!$J$19)</f>
        <v/>
      </c>
      <c r="AB16">
        <f>IF([2]Baskol!$K$19="","",[2]Baskol!$K$19)</f>
        <v/>
      </c>
      <c r="AC16">
        <f>IF([2]Baskol!$L$19="","",[2]Baskol!$L$19)</f>
        <v/>
      </c>
      <c r="AD16">
        <f>IF([2]Baskol!$N$19="","",[2]Baskol!$N$19)</f>
        <v/>
      </c>
      <c r="AE16">
        <f>IF([2]Baskol!$O$19="","",[2]Baskol!$O$19)</f>
        <v/>
      </c>
      <c r="AG16">
        <f>IF([3]Entry!$C$19="","",[3]Entry!$C$19)</f>
        <v/>
      </c>
      <c r="AH16">
        <f>IF([3]Entry!$D$19="","",[3]Entry!$D$19)</f>
        <v/>
      </c>
      <c r="AI16">
        <f>IF([3]Entry!$E$19="","",[3]Entry!$E$19)</f>
        <v/>
      </c>
      <c r="AJ16">
        <f>IF([3]Entry!$G$19="","",[3]Entry!$G$19)</f>
        <v/>
      </c>
      <c r="AK16">
        <f>IF([3]Entry!$K$19="","",[3]Entry!$K$19)</f>
        <v/>
      </c>
      <c r="AL16">
        <f>IF([3]Entry!$L$19="","",[3]Entry!$L$19)</f>
        <v/>
      </c>
      <c r="AM16">
        <f>IF([3]Entry!$M$19="","",[3]Entry!$M$19)</f>
        <v/>
      </c>
      <c r="AN16">
        <f>IF([3]Entry!$N$19="","",[3]Entry!$N$19)</f>
        <v/>
      </c>
      <c r="AO16">
        <f>IF([3]Entry!$R$19="","",[3]Entry!$R$19)</f>
        <v/>
      </c>
      <c r="AQ16">
        <f>IF(AND($D16&lt;&gt;"",$A16&lt;&gt;""),1,0)</f>
        <v/>
      </c>
      <c r="AR16">
        <f>SUM($AQ$6:$AQ16)</f>
        <v/>
      </c>
      <c r="AS16">
        <f>IFERROR(INDEX($A$6:$A$565,MATCH(ROW()-5,$AR$6:$AR$565,0)),"")</f>
        <v/>
      </c>
    </row>
    <row r="17">
      <c r="A17">
        <f>IF([1]Accounts!$D$18="","",[1]Accounts!$A$18)</f>
        <v/>
      </c>
      <c r="B17">
        <f>IF([1]Accounts!$D$18="","",[1]Accounts!$B$18)</f>
        <v/>
      </c>
      <c r="C17">
        <f>IF([1]Accounts!$D$18="","",[1]Accounts!$C$18)</f>
        <v/>
      </c>
      <c r="D17">
        <f>IF([1]Accounts!$D$18="","",[1]Accounts!$D$18)</f>
        <v/>
      </c>
      <c r="E17">
        <f>IF([1]Accounts!$D$18="","",[1]Accounts!$J$18)</f>
        <v/>
      </c>
      <c r="F17">
        <f>IF([1]Accounts!$D$18="","",[1]Accounts!$K$18)</f>
        <v/>
      </c>
      <c r="H17">
        <f>IF([1]Ops!$B$18="","",[1]Ops!$A$18)</f>
        <v/>
      </c>
      <c r="I17">
        <f>IF([1]Ops!$B$18="","",[1]Ops!$B$18)</f>
        <v/>
      </c>
      <c r="J17">
        <f>IF([1]Ops!$B$18="","",[1]Ops!$C$18)</f>
        <v/>
      </c>
      <c r="K17">
        <f>IF([1]Ops!$B$18="","",[1]Ops!$D$18)</f>
        <v/>
      </c>
      <c r="M17">
        <f>IF([1]Lists!$C$18="","",[1]Lists!$C$18)</f>
        <v/>
      </c>
      <c r="O17">
        <f>IF([1]Params!$A$18="","",[1]Params!$A$18)</f>
        <v/>
      </c>
      <c r="P17">
        <f>IF([1]Params!$B$18="","",[1]Params!$B$18)</f>
        <v/>
      </c>
      <c r="Q17">
        <f>[1]Params!$C$18</f>
        <v/>
      </c>
      <c r="U17">
        <f>IF([2]Baskol!$B$20="","",[2]Baskol!$B$20)</f>
        <v/>
      </c>
      <c r="V17">
        <f>IF([2]Baskol!$C$20="","",[2]Baskol!$C$20)</f>
        <v/>
      </c>
      <c r="W17">
        <f>IF([2]Baskol!$D$20="","",[2]Baskol!$D$20)</f>
        <v/>
      </c>
      <c r="X17">
        <f>IF([2]Baskol!$E$20="","",[2]Baskol!$E$20)</f>
        <v/>
      </c>
      <c r="Y17">
        <f>IF([2]Baskol!$G$20="","",[2]Baskol!$G$20)</f>
        <v/>
      </c>
      <c r="Z17">
        <f>IF([2]Baskol!$I$20="","",[2]Baskol!$I$20)</f>
        <v/>
      </c>
      <c r="AA17">
        <f>IF([2]Baskol!$J$20="","",[2]Baskol!$J$20)</f>
        <v/>
      </c>
      <c r="AB17">
        <f>IF([2]Baskol!$K$20="","",[2]Baskol!$K$20)</f>
        <v/>
      </c>
      <c r="AC17">
        <f>IF([2]Baskol!$L$20="","",[2]Baskol!$L$20)</f>
        <v/>
      </c>
      <c r="AD17">
        <f>IF([2]Baskol!$N$20="","",[2]Baskol!$N$20)</f>
        <v/>
      </c>
      <c r="AE17">
        <f>IF([2]Baskol!$O$20="","",[2]Baskol!$O$20)</f>
        <v/>
      </c>
      <c r="AG17">
        <f>IF([3]Entry!$C$20="","",[3]Entry!$C$20)</f>
        <v/>
      </c>
      <c r="AH17">
        <f>IF([3]Entry!$D$20="","",[3]Entry!$D$20)</f>
        <v/>
      </c>
      <c r="AI17">
        <f>IF([3]Entry!$E$20="","",[3]Entry!$E$20)</f>
        <v/>
      </c>
      <c r="AJ17">
        <f>IF([3]Entry!$G$20="","",[3]Entry!$G$20)</f>
        <v/>
      </c>
      <c r="AK17">
        <f>IF([3]Entry!$K$20="","",[3]Entry!$K$20)</f>
        <v/>
      </c>
      <c r="AL17">
        <f>IF([3]Entry!$L$20="","",[3]Entry!$L$20)</f>
        <v/>
      </c>
      <c r="AM17">
        <f>IF([3]Entry!$M$20="","",[3]Entry!$M$20)</f>
        <v/>
      </c>
      <c r="AN17">
        <f>IF([3]Entry!$N$20="","",[3]Entry!$N$20)</f>
        <v/>
      </c>
      <c r="AO17">
        <f>IF([3]Entry!$R$20="","",[3]Entry!$R$20)</f>
        <v/>
      </c>
      <c r="AQ17">
        <f>IF(AND($D17&lt;&gt;"",$A17&lt;&gt;""),1,0)</f>
        <v/>
      </c>
      <c r="AR17">
        <f>SUM($AQ$6:$AQ17)</f>
        <v/>
      </c>
      <c r="AS17">
        <f>IFERROR(INDEX($A$6:$A$565,MATCH(ROW()-5,$AR$6:$AR$565,0)),"")</f>
        <v/>
      </c>
    </row>
    <row r="18">
      <c r="A18">
        <f>IF([1]Accounts!$D$19="","",[1]Accounts!$A$19)</f>
        <v/>
      </c>
      <c r="B18">
        <f>IF([1]Accounts!$D$19="","",[1]Accounts!$B$19)</f>
        <v/>
      </c>
      <c r="C18">
        <f>IF([1]Accounts!$D$19="","",[1]Accounts!$C$19)</f>
        <v/>
      </c>
      <c r="D18">
        <f>IF([1]Accounts!$D$19="","",[1]Accounts!$D$19)</f>
        <v/>
      </c>
      <c r="E18">
        <f>IF([1]Accounts!$D$19="","",[1]Accounts!$J$19)</f>
        <v/>
      </c>
      <c r="F18">
        <f>IF([1]Accounts!$D$19="","",[1]Accounts!$K$19)</f>
        <v/>
      </c>
      <c r="H18">
        <f>IF([1]Ops!$B$19="","",[1]Ops!$A$19)</f>
        <v/>
      </c>
      <c r="I18">
        <f>IF([1]Ops!$B$19="","",[1]Ops!$B$19)</f>
        <v/>
      </c>
      <c r="J18">
        <f>IF([1]Ops!$B$19="","",[1]Ops!$C$19)</f>
        <v/>
      </c>
      <c r="K18">
        <f>IF([1]Ops!$B$19="","",[1]Ops!$D$19)</f>
        <v/>
      </c>
      <c r="M18">
        <f>IF([1]Lists!$C$19="","",[1]Lists!$C$19)</f>
        <v/>
      </c>
      <c r="U18">
        <f>IF([2]Baskol!$B$21="","",[2]Baskol!$B$21)</f>
        <v/>
      </c>
      <c r="V18">
        <f>IF([2]Baskol!$C$21="","",[2]Baskol!$C$21)</f>
        <v/>
      </c>
      <c r="W18">
        <f>IF([2]Baskol!$D$21="","",[2]Baskol!$D$21)</f>
        <v/>
      </c>
      <c r="X18">
        <f>IF([2]Baskol!$E$21="","",[2]Baskol!$E$21)</f>
        <v/>
      </c>
      <c r="Y18">
        <f>IF([2]Baskol!$G$21="","",[2]Baskol!$G$21)</f>
        <v/>
      </c>
      <c r="Z18">
        <f>IF([2]Baskol!$I$21="","",[2]Baskol!$I$21)</f>
        <v/>
      </c>
      <c r="AA18">
        <f>IF([2]Baskol!$J$21="","",[2]Baskol!$J$21)</f>
        <v/>
      </c>
      <c r="AB18">
        <f>IF([2]Baskol!$K$21="","",[2]Baskol!$K$21)</f>
        <v/>
      </c>
      <c r="AC18">
        <f>IF([2]Baskol!$L$21="","",[2]Baskol!$L$21)</f>
        <v/>
      </c>
      <c r="AD18">
        <f>IF([2]Baskol!$N$21="","",[2]Baskol!$N$21)</f>
        <v/>
      </c>
      <c r="AE18">
        <f>IF([2]Baskol!$O$21="","",[2]Baskol!$O$21)</f>
        <v/>
      </c>
      <c r="AG18">
        <f>IF([3]Entry!$C$21="","",[3]Entry!$C$21)</f>
        <v/>
      </c>
      <c r="AH18">
        <f>IF([3]Entry!$D$21="","",[3]Entry!$D$21)</f>
        <v/>
      </c>
      <c r="AI18">
        <f>IF([3]Entry!$E$21="","",[3]Entry!$E$21)</f>
        <v/>
      </c>
      <c r="AJ18">
        <f>IF([3]Entry!$G$21="","",[3]Entry!$G$21)</f>
        <v/>
      </c>
      <c r="AK18">
        <f>IF([3]Entry!$K$21="","",[3]Entry!$K$21)</f>
        <v/>
      </c>
      <c r="AL18">
        <f>IF([3]Entry!$L$21="","",[3]Entry!$L$21)</f>
        <v/>
      </c>
      <c r="AM18">
        <f>IF([3]Entry!$M$21="","",[3]Entry!$M$21)</f>
        <v/>
      </c>
      <c r="AN18">
        <f>IF([3]Entry!$N$21="","",[3]Entry!$N$21)</f>
        <v/>
      </c>
      <c r="AO18">
        <f>IF([3]Entry!$R$21="","",[3]Entry!$R$21)</f>
        <v/>
      </c>
      <c r="AQ18">
        <f>IF(AND($D18&lt;&gt;"",$A18&lt;&gt;""),1,0)</f>
        <v/>
      </c>
      <c r="AR18">
        <f>SUM($AQ$6:$AQ18)</f>
        <v/>
      </c>
      <c r="AS18">
        <f>IFERROR(INDEX($A$6:$A$565,MATCH(ROW()-5,$AR$6:$AR$565,0)),"")</f>
        <v/>
      </c>
    </row>
    <row r="19">
      <c r="A19">
        <f>IF([1]Accounts!$D$20="","",[1]Accounts!$A$20)</f>
        <v/>
      </c>
      <c r="B19">
        <f>IF([1]Accounts!$D$20="","",[1]Accounts!$B$20)</f>
        <v/>
      </c>
      <c r="C19">
        <f>IF([1]Accounts!$D$20="","",[1]Accounts!$C$20)</f>
        <v/>
      </c>
      <c r="D19">
        <f>IF([1]Accounts!$D$20="","",[1]Accounts!$D$20)</f>
        <v/>
      </c>
      <c r="E19">
        <f>IF([1]Accounts!$D$20="","",[1]Accounts!$J$20)</f>
        <v/>
      </c>
      <c r="F19">
        <f>IF([1]Accounts!$D$20="","",[1]Accounts!$K$20)</f>
        <v/>
      </c>
      <c r="H19">
        <f>IF([1]Ops!$B$20="","",[1]Ops!$A$20)</f>
        <v/>
      </c>
      <c r="I19">
        <f>IF([1]Ops!$B$20="","",[1]Ops!$B$20)</f>
        <v/>
      </c>
      <c r="J19">
        <f>IF([1]Ops!$B$20="","",[1]Ops!$C$20)</f>
        <v/>
      </c>
      <c r="K19">
        <f>IF([1]Ops!$B$20="","",[1]Ops!$D$20)</f>
        <v/>
      </c>
      <c r="M19">
        <f>IF([1]Lists!$C$20="","",[1]Lists!$C$20)</f>
        <v/>
      </c>
      <c r="U19">
        <f>IF([2]Baskol!$B$22="","",[2]Baskol!$B$22)</f>
        <v/>
      </c>
      <c r="V19">
        <f>IF([2]Baskol!$C$22="","",[2]Baskol!$C$22)</f>
        <v/>
      </c>
      <c r="W19">
        <f>IF([2]Baskol!$D$22="","",[2]Baskol!$D$22)</f>
        <v/>
      </c>
      <c r="X19">
        <f>IF([2]Baskol!$E$22="","",[2]Baskol!$E$22)</f>
        <v/>
      </c>
      <c r="Y19">
        <f>IF([2]Baskol!$G$22="","",[2]Baskol!$G$22)</f>
        <v/>
      </c>
      <c r="Z19">
        <f>IF([2]Baskol!$I$22="","",[2]Baskol!$I$22)</f>
        <v/>
      </c>
      <c r="AA19">
        <f>IF([2]Baskol!$J$22="","",[2]Baskol!$J$22)</f>
        <v/>
      </c>
      <c r="AB19">
        <f>IF([2]Baskol!$K$22="","",[2]Baskol!$K$22)</f>
        <v/>
      </c>
      <c r="AC19">
        <f>IF([2]Baskol!$L$22="","",[2]Baskol!$L$22)</f>
        <v/>
      </c>
      <c r="AD19">
        <f>IF([2]Baskol!$N$22="","",[2]Baskol!$N$22)</f>
        <v/>
      </c>
      <c r="AE19">
        <f>IF([2]Baskol!$O$22="","",[2]Baskol!$O$22)</f>
        <v/>
      </c>
      <c r="AG19">
        <f>IF([3]Entry!$C$22="","",[3]Entry!$C$22)</f>
        <v/>
      </c>
      <c r="AH19">
        <f>IF([3]Entry!$D$22="","",[3]Entry!$D$22)</f>
        <v/>
      </c>
      <c r="AI19">
        <f>IF([3]Entry!$E$22="","",[3]Entry!$E$22)</f>
        <v/>
      </c>
      <c r="AJ19">
        <f>IF([3]Entry!$G$22="","",[3]Entry!$G$22)</f>
        <v/>
      </c>
      <c r="AK19">
        <f>IF([3]Entry!$K$22="","",[3]Entry!$K$22)</f>
        <v/>
      </c>
      <c r="AL19">
        <f>IF([3]Entry!$L$22="","",[3]Entry!$L$22)</f>
        <v/>
      </c>
      <c r="AM19">
        <f>IF([3]Entry!$M$22="","",[3]Entry!$M$22)</f>
        <v/>
      </c>
      <c r="AN19">
        <f>IF([3]Entry!$N$22="","",[3]Entry!$N$22)</f>
        <v/>
      </c>
      <c r="AO19">
        <f>IF([3]Entry!$R$22="","",[3]Entry!$R$22)</f>
        <v/>
      </c>
      <c r="AQ19">
        <f>IF(AND($D19&lt;&gt;"",$A19&lt;&gt;""),1,0)</f>
        <v/>
      </c>
      <c r="AR19">
        <f>SUM($AQ$6:$AQ19)</f>
        <v/>
      </c>
      <c r="AS19">
        <f>IFERROR(INDEX($A$6:$A$565,MATCH(ROW()-5,$AR$6:$AR$565,0)),"")</f>
        <v/>
      </c>
    </row>
    <row r="20">
      <c r="A20">
        <f>IF([1]Accounts!$D$21="","",[1]Accounts!$A$21)</f>
        <v/>
      </c>
      <c r="B20">
        <f>IF([1]Accounts!$D$21="","",[1]Accounts!$B$21)</f>
        <v/>
      </c>
      <c r="C20">
        <f>IF([1]Accounts!$D$21="","",[1]Accounts!$C$21)</f>
        <v/>
      </c>
      <c r="D20">
        <f>IF([1]Accounts!$D$21="","",[1]Accounts!$D$21)</f>
        <v/>
      </c>
      <c r="E20">
        <f>IF([1]Accounts!$D$21="","",[1]Accounts!$J$21)</f>
        <v/>
      </c>
      <c r="F20">
        <f>IF([1]Accounts!$D$21="","",[1]Accounts!$K$21)</f>
        <v/>
      </c>
      <c r="H20">
        <f>IF([1]Ops!$B$21="","",[1]Ops!$A$21)</f>
        <v/>
      </c>
      <c r="I20">
        <f>IF([1]Ops!$B$21="","",[1]Ops!$B$21)</f>
        <v/>
      </c>
      <c r="J20">
        <f>IF([1]Ops!$B$21="","",[1]Ops!$C$21)</f>
        <v/>
      </c>
      <c r="K20">
        <f>IF([1]Ops!$B$21="","",[1]Ops!$D$21)</f>
        <v/>
      </c>
      <c r="M20">
        <f>IF([1]Lists!$C$21="","",[1]Lists!$C$21)</f>
        <v/>
      </c>
      <c r="U20">
        <f>IF([2]Baskol!$B$23="","",[2]Baskol!$B$23)</f>
        <v/>
      </c>
      <c r="V20">
        <f>IF([2]Baskol!$C$23="","",[2]Baskol!$C$23)</f>
        <v/>
      </c>
      <c r="W20">
        <f>IF([2]Baskol!$D$23="","",[2]Baskol!$D$23)</f>
        <v/>
      </c>
      <c r="X20">
        <f>IF([2]Baskol!$E$23="","",[2]Baskol!$E$23)</f>
        <v/>
      </c>
      <c r="Y20">
        <f>IF([2]Baskol!$G$23="","",[2]Baskol!$G$23)</f>
        <v/>
      </c>
      <c r="Z20">
        <f>IF([2]Baskol!$I$23="","",[2]Baskol!$I$23)</f>
        <v/>
      </c>
      <c r="AA20">
        <f>IF([2]Baskol!$J$23="","",[2]Baskol!$J$23)</f>
        <v/>
      </c>
      <c r="AB20">
        <f>IF([2]Baskol!$K$23="","",[2]Baskol!$K$23)</f>
        <v/>
      </c>
      <c r="AC20">
        <f>IF([2]Baskol!$L$23="","",[2]Baskol!$L$23)</f>
        <v/>
      </c>
      <c r="AD20">
        <f>IF([2]Baskol!$N$23="","",[2]Baskol!$N$23)</f>
        <v/>
      </c>
      <c r="AE20">
        <f>IF([2]Baskol!$O$23="","",[2]Baskol!$O$23)</f>
        <v/>
      </c>
      <c r="AG20">
        <f>IF([3]Entry!$C$23="","",[3]Entry!$C$23)</f>
        <v/>
      </c>
      <c r="AH20">
        <f>IF([3]Entry!$D$23="","",[3]Entry!$D$23)</f>
        <v/>
      </c>
      <c r="AI20">
        <f>IF([3]Entry!$E$23="","",[3]Entry!$E$23)</f>
        <v/>
      </c>
      <c r="AJ20">
        <f>IF([3]Entry!$G$23="","",[3]Entry!$G$23)</f>
        <v/>
      </c>
      <c r="AK20">
        <f>IF([3]Entry!$K$23="","",[3]Entry!$K$23)</f>
        <v/>
      </c>
      <c r="AL20">
        <f>IF([3]Entry!$L$23="","",[3]Entry!$L$23)</f>
        <v/>
      </c>
      <c r="AM20">
        <f>IF([3]Entry!$M$23="","",[3]Entry!$M$23)</f>
        <v/>
      </c>
      <c r="AN20">
        <f>IF([3]Entry!$N$23="","",[3]Entry!$N$23)</f>
        <v/>
      </c>
      <c r="AO20">
        <f>IF([3]Entry!$R$23="","",[3]Entry!$R$23)</f>
        <v/>
      </c>
      <c r="AQ20">
        <f>IF(AND($D20&lt;&gt;"",$A20&lt;&gt;""),1,0)</f>
        <v/>
      </c>
      <c r="AR20">
        <f>SUM($AQ$6:$AQ20)</f>
        <v/>
      </c>
      <c r="AS20">
        <f>IFERROR(INDEX($A$6:$A$565,MATCH(ROW()-5,$AR$6:$AR$565,0)),"")</f>
        <v/>
      </c>
    </row>
    <row r="21">
      <c r="A21">
        <f>IF([1]Accounts!$D$22="","",[1]Accounts!$A$22)</f>
        <v/>
      </c>
      <c r="B21">
        <f>IF([1]Accounts!$D$22="","",[1]Accounts!$B$22)</f>
        <v/>
      </c>
      <c r="C21">
        <f>IF([1]Accounts!$D$22="","",[1]Accounts!$C$22)</f>
        <v/>
      </c>
      <c r="D21">
        <f>IF([1]Accounts!$D$22="","",[1]Accounts!$D$22)</f>
        <v/>
      </c>
      <c r="E21">
        <f>IF([1]Accounts!$D$22="","",[1]Accounts!$J$22)</f>
        <v/>
      </c>
      <c r="F21">
        <f>IF([1]Accounts!$D$22="","",[1]Accounts!$K$22)</f>
        <v/>
      </c>
      <c r="H21">
        <f>IF([1]Ops!$B$22="","",[1]Ops!$A$22)</f>
        <v/>
      </c>
      <c r="I21">
        <f>IF([1]Ops!$B$22="","",[1]Ops!$B$22)</f>
        <v/>
      </c>
      <c r="J21">
        <f>IF([1]Ops!$B$22="","",[1]Ops!$C$22)</f>
        <v/>
      </c>
      <c r="K21">
        <f>IF([1]Ops!$B$22="","",[1]Ops!$D$22)</f>
        <v/>
      </c>
      <c r="M21">
        <f>IF([1]Lists!$C$22="","",[1]Lists!$C$22)</f>
        <v/>
      </c>
      <c r="U21">
        <f>IF([2]Baskol!$B$24="","",[2]Baskol!$B$24)</f>
        <v/>
      </c>
      <c r="V21">
        <f>IF([2]Baskol!$C$24="","",[2]Baskol!$C$24)</f>
        <v/>
      </c>
      <c r="W21">
        <f>IF([2]Baskol!$D$24="","",[2]Baskol!$D$24)</f>
        <v/>
      </c>
      <c r="X21">
        <f>IF([2]Baskol!$E$24="","",[2]Baskol!$E$24)</f>
        <v/>
      </c>
      <c r="Y21">
        <f>IF([2]Baskol!$G$24="","",[2]Baskol!$G$24)</f>
        <v/>
      </c>
      <c r="Z21">
        <f>IF([2]Baskol!$I$24="","",[2]Baskol!$I$24)</f>
        <v/>
      </c>
      <c r="AA21">
        <f>IF([2]Baskol!$J$24="","",[2]Baskol!$J$24)</f>
        <v/>
      </c>
      <c r="AB21">
        <f>IF([2]Baskol!$K$24="","",[2]Baskol!$K$24)</f>
        <v/>
      </c>
      <c r="AC21">
        <f>IF([2]Baskol!$L$24="","",[2]Baskol!$L$24)</f>
        <v/>
      </c>
      <c r="AD21">
        <f>IF([2]Baskol!$N$24="","",[2]Baskol!$N$24)</f>
        <v/>
      </c>
      <c r="AE21">
        <f>IF([2]Baskol!$O$24="","",[2]Baskol!$O$24)</f>
        <v/>
      </c>
      <c r="AG21">
        <f>IF([3]Entry!$C$24="","",[3]Entry!$C$24)</f>
        <v/>
      </c>
      <c r="AH21">
        <f>IF([3]Entry!$D$24="","",[3]Entry!$D$24)</f>
        <v/>
      </c>
      <c r="AI21">
        <f>IF([3]Entry!$E$24="","",[3]Entry!$E$24)</f>
        <v/>
      </c>
      <c r="AJ21">
        <f>IF([3]Entry!$G$24="","",[3]Entry!$G$24)</f>
        <v/>
      </c>
      <c r="AK21">
        <f>IF([3]Entry!$K$24="","",[3]Entry!$K$24)</f>
        <v/>
      </c>
      <c r="AL21">
        <f>IF([3]Entry!$L$24="","",[3]Entry!$L$24)</f>
        <v/>
      </c>
      <c r="AM21">
        <f>IF([3]Entry!$M$24="","",[3]Entry!$M$24)</f>
        <v/>
      </c>
      <c r="AN21">
        <f>IF([3]Entry!$N$24="","",[3]Entry!$N$24)</f>
        <v/>
      </c>
      <c r="AO21">
        <f>IF([3]Entry!$R$24="","",[3]Entry!$R$24)</f>
        <v/>
      </c>
      <c r="AQ21">
        <f>IF(AND($D21&lt;&gt;"",$A21&lt;&gt;""),1,0)</f>
        <v/>
      </c>
      <c r="AR21">
        <f>SUM($AQ$6:$AQ21)</f>
        <v/>
      </c>
      <c r="AS21">
        <f>IFERROR(INDEX($A$6:$A$565,MATCH(ROW()-5,$AR$6:$AR$565,0)),"")</f>
        <v/>
      </c>
    </row>
    <row r="22">
      <c r="A22">
        <f>IF([1]Accounts!$D$23="","",[1]Accounts!$A$23)</f>
        <v/>
      </c>
      <c r="B22">
        <f>IF([1]Accounts!$D$23="","",[1]Accounts!$B$23)</f>
        <v/>
      </c>
      <c r="C22">
        <f>IF([1]Accounts!$D$23="","",[1]Accounts!$C$23)</f>
        <v/>
      </c>
      <c r="D22">
        <f>IF([1]Accounts!$D$23="","",[1]Accounts!$D$23)</f>
        <v/>
      </c>
      <c r="E22">
        <f>IF([1]Accounts!$D$23="","",[1]Accounts!$J$23)</f>
        <v/>
      </c>
      <c r="F22">
        <f>IF([1]Accounts!$D$23="","",[1]Accounts!$K$23)</f>
        <v/>
      </c>
      <c r="H22">
        <f>IF([1]Ops!$B$23="","",[1]Ops!$A$23)</f>
        <v/>
      </c>
      <c r="I22">
        <f>IF([1]Ops!$B$23="","",[1]Ops!$B$23)</f>
        <v/>
      </c>
      <c r="J22">
        <f>IF([1]Ops!$B$23="","",[1]Ops!$C$23)</f>
        <v/>
      </c>
      <c r="K22">
        <f>IF([1]Ops!$B$23="","",[1]Ops!$D$23)</f>
        <v/>
      </c>
      <c r="M22">
        <f>IF([1]Lists!$C$23="","",[1]Lists!$C$23)</f>
        <v/>
      </c>
      <c r="U22">
        <f>IF([2]Baskol!$B$25="","",[2]Baskol!$B$25)</f>
        <v/>
      </c>
      <c r="V22">
        <f>IF([2]Baskol!$C$25="","",[2]Baskol!$C$25)</f>
        <v/>
      </c>
      <c r="W22">
        <f>IF([2]Baskol!$D$25="","",[2]Baskol!$D$25)</f>
        <v/>
      </c>
      <c r="X22">
        <f>IF([2]Baskol!$E$25="","",[2]Baskol!$E$25)</f>
        <v/>
      </c>
      <c r="Y22">
        <f>IF([2]Baskol!$G$25="","",[2]Baskol!$G$25)</f>
        <v/>
      </c>
      <c r="Z22">
        <f>IF([2]Baskol!$I$25="","",[2]Baskol!$I$25)</f>
        <v/>
      </c>
      <c r="AA22">
        <f>IF([2]Baskol!$J$25="","",[2]Baskol!$J$25)</f>
        <v/>
      </c>
      <c r="AB22">
        <f>IF([2]Baskol!$K$25="","",[2]Baskol!$K$25)</f>
        <v/>
      </c>
      <c r="AC22">
        <f>IF([2]Baskol!$L$25="","",[2]Baskol!$L$25)</f>
        <v/>
      </c>
      <c r="AD22">
        <f>IF([2]Baskol!$N$25="","",[2]Baskol!$N$25)</f>
        <v/>
      </c>
      <c r="AE22">
        <f>IF([2]Baskol!$O$25="","",[2]Baskol!$O$25)</f>
        <v/>
      </c>
      <c r="AG22">
        <f>IF([3]Entry!$C$25="","",[3]Entry!$C$25)</f>
        <v/>
      </c>
      <c r="AH22">
        <f>IF([3]Entry!$D$25="","",[3]Entry!$D$25)</f>
        <v/>
      </c>
      <c r="AI22">
        <f>IF([3]Entry!$E$25="","",[3]Entry!$E$25)</f>
        <v/>
      </c>
      <c r="AJ22">
        <f>IF([3]Entry!$G$25="","",[3]Entry!$G$25)</f>
        <v/>
      </c>
      <c r="AK22">
        <f>IF([3]Entry!$K$25="","",[3]Entry!$K$25)</f>
        <v/>
      </c>
      <c r="AL22">
        <f>IF([3]Entry!$L$25="","",[3]Entry!$L$25)</f>
        <v/>
      </c>
      <c r="AM22">
        <f>IF([3]Entry!$M$25="","",[3]Entry!$M$25)</f>
        <v/>
      </c>
      <c r="AN22">
        <f>IF([3]Entry!$N$25="","",[3]Entry!$N$25)</f>
        <v/>
      </c>
      <c r="AO22">
        <f>IF([3]Entry!$R$25="","",[3]Entry!$R$25)</f>
        <v/>
      </c>
      <c r="AQ22">
        <f>IF(AND($D22&lt;&gt;"",$A22&lt;&gt;""),1,0)</f>
        <v/>
      </c>
      <c r="AR22">
        <f>SUM($AQ$6:$AQ22)</f>
        <v/>
      </c>
      <c r="AS22">
        <f>IFERROR(INDEX($A$6:$A$565,MATCH(ROW()-5,$AR$6:$AR$565,0)),"")</f>
        <v/>
      </c>
    </row>
    <row r="23">
      <c r="A23">
        <f>IF([1]Accounts!$D$24="","",[1]Accounts!$A$24)</f>
        <v/>
      </c>
      <c r="B23">
        <f>IF([1]Accounts!$D$24="","",[1]Accounts!$B$24)</f>
        <v/>
      </c>
      <c r="C23">
        <f>IF([1]Accounts!$D$24="","",[1]Accounts!$C$24)</f>
        <v/>
      </c>
      <c r="D23">
        <f>IF([1]Accounts!$D$24="","",[1]Accounts!$D$24)</f>
        <v/>
      </c>
      <c r="E23">
        <f>IF([1]Accounts!$D$24="","",[1]Accounts!$J$24)</f>
        <v/>
      </c>
      <c r="F23">
        <f>IF([1]Accounts!$D$24="","",[1]Accounts!$K$24)</f>
        <v/>
      </c>
      <c r="H23">
        <f>IF([1]Ops!$B$24="","",[1]Ops!$A$24)</f>
        <v/>
      </c>
      <c r="I23">
        <f>IF([1]Ops!$B$24="","",[1]Ops!$B$24)</f>
        <v/>
      </c>
      <c r="J23">
        <f>IF([1]Ops!$B$24="","",[1]Ops!$C$24)</f>
        <v/>
      </c>
      <c r="K23">
        <f>IF([1]Ops!$B$24="","",[1]Ops!$D$24)</f>
        <v/>
      </c>
      <c r="M23">
        <f>IF([1]Lists!$C$24="","",[1]Lists!$C$24)</f>
        <v/>
      </c>
      <c r="U23">
        <f>IF([2]Baskol!$B$26="","",[2]Baskol!$B$26)</f>
        <v/>
      </c>
      <c r="V23">
        <f>IF([2]Baskol!$C$26="","",[2]Baskol!$C$26)</f>
        <v/>
      </c>
      <c r="W23">
        <f>IF([2]Baskol!$D$26="","",[2]Baskol!$D$26)</f>
        <v/>
      </c>
      <c r="X23">
        <f>IF([2]Baskol!$E$26="","",[2]Baskol!$E$26)</f>
        <v/>
      </c>
      <c r="Y23">
        <f>IF([2]Baskol!$G$26="","",[2]Baskol!$G$26)</f>
        <v/>
      </c>
      <c r="Z23">
        <f>IF([2]Baskol!$I$26="","",[2]Baskol!$I$26)</f>
        <v/>
      </c>
      <c r="AA23">
        <f>IF([2]Baskol!$J$26="","",[2]Baskol!$J$26)</f>
        <v/>
      </c>
      <c r="AB23">
        <f>IF([2]Baskol!$K$26="","",[2]Baskol!$K$26)</f>
        <v/>
      </c>
      <c r="AC23">
        <f>IF([2]Baskol!$L$26="","",[2]Baskol!$L$26)</f>
        <v/>
      </c>
      <c r="AD23">
        <f>IF([2]Baskol!$N$26="","",[2]Baskol!$N$26)</f>
        <v/>
      </c>
      <c r="AE23">
        <f>IF([2]Baskol!$O$26="","",[2]Baskol!$O$26)</f>
        <v/>
      </c>
      <c r="AG23">
        <f>IF([3]Entry!$C$26="","",[3]Entry!$C$26)</f>
        <v/>
      </c>
      <c r="AH23">
        <f>IF([3]Entry!$D$26="","",[3]Entry!$D$26)</f>
        <v/>
      </c>
      <c r="AI23">
        <f>IF([3]Entry!$E$26="","",[3]Entry!$E$26)</f>
        <v/>
      </c>
      <c r="AJ23">
        <f>IF([3]Entry!$G$26="","",[3]Entry!$G$26)</f>
        <v/>
      </c>
      <c r="AK23">
        <f>IF([3]Entry!$K$26="","",[3]Entry!$K$26)</f>
        <v/>
      </c>
      <c r="AL23">
        <f>IF([3]Entry!$L$26="","",[3]Entry!$L$26)</f>
        <v/>
      </c>
      <c r="AM23">
        <f>IF([3]Entry!$M$26="","",[3]Entry!$M$26)</f>
        <v/>
      </c>
      <c r="AN23">
        <f>IF([3]Entry!$N$26="","",[3]Entry!$N$26)</f>
        <v/>
      </c>
      <c r="AO23">
        <f>IF([3]Entry!$R$26="","",[3]Entry!$R$26)</f>
        <v/>
      </c>
      <c r="AQ23">
        <f>IF(AND($D23&lt;&gt;"",$A23&lt;&gt;""),1,0)</f>
        <v/>
      </c>
      <c r="AR23">
        <f>SUM($AQ$6:$AQ23)</f>
        <v/>
      </c>
      <c r="AS23">
        <f>IFERROR(INDEX($A$6:$A$565,MATCH(ROW()-5,$AR$6:$AR$565,0)),"")</f>
        <v/>
      </c>
    </row>
    <row r="24">
      <c r="A24">
        <f>IF([1]Accounts!$D$25="","",[1]Accounts!$A$25)</f>
        <v/>
      </c>
      <c r="B24">
        <f>IF([1]Accounts!$D$25="","",[1]Accounts!$B$25)</f>
        <v/>
      </c>
      <c r="C24">
        <f>IF([1]Accounts!$D$25="","",[1]Accounts!$C$25)</f>
        <v/>
      </c>
      <c r="D24">
        <f>IF([1]Accounts!$D$25="","",[1]Accounts!$D$25)</f>
        <v/>
      </c>
      <c r="E24">
        <f>IF([1]Accounts!$D$25="","",[1]Accounts!$J$25)</f>
        <v/>
      </c>
      <c r="F24">
        <f>IF([1]Accounts!$D$25="","",[1]Accounts!$K$25)</f>
        <v/>
      </c>
      <c r="H24">
        <f>IF([1]Ops!$B$25="","",[1]Ops!$A$25)</f>
        <v/>
      </c>
      <c r="I24">
        <f>IF([1]Ops!$B$25="","",[1]Ops!$B$25)</f>
        <v/>
      </c>
      <c r="J24">
        <f>IF([1]Ops!$B$25="","",[1]Ops!$C$25)</f>
        <v/>
      </c>
      <c r="K24">
        <f>IF([1]Ops!$B$25="","",[1]Ops!$D$25)</f>
        <v/>
      </c>
      <c r="M24">
        <f>IF([1]Lists!$C$25="","",[1]Lists!$C$25)</f>
        <v/>
      </c>
      <c r="U24">
        <f>IF([2]Baskol!$B$27="","",[2]Baskol!$B$27)</f>
        <v/>
      </c>
      <c r="V24">
        <f>IF([2]Baskol!$C$27="","",[2]Baskol!$C$27)</f>
        <v/>
      </c>
      <c r="W24">
        <f>IF([2]Baskol!$D$27="","",[2]Baskol!$D$27)</f>
        <v/>
      </c>
      <c r="X24">
        <f>IF([2]Baskol!$E$27="","",[2]Baskol!$E$27)</f>
        <v/>
      </c>
      <c r="Y24">
        <f>IF([2]Baskol!$G$27="","",[2]Baskol!$G$27)</f>
        <v/>
      </c>
      <c r="Z24">
        <f>IF([2]Baskol!$I$27="","",[2]Baskol!$I$27)</f>
        <v/>
      </c>
      <c r="AA24">
        <f>IF([2]Baskol!$J$27="","",[2]Baskol!$J$27)</f>
        <v/>
      </c>
      <c r="AB24">
        <f>IF([2]Baskol!$K$27="","",[2]Baskol!$K$27)</f>
        <v/>
      </c>
      <c r="AC24">
        <f>IF([2]Baskol!$L$27="","",[2]Baskol!$L$27)</f>
        <v/>
      </c>
      <c r="AD24">
        <f>IF([2]Baskol!$N$27="","",[2]Baskol!$N$27)</f>
        <v/>
      </c>
      <c r="AE24">
        <f>IF([2]Baskol!$O$27="","",[2]Baskol!$O$27)</f>
        <v/>
      </c>
      <c r="AG24">
        <f>IF([3]Entry!$C$27="","",[3]Entry!$C$27)</f>
        <v/>
      </c>
      <c r="AH24">
        <f>IF([3]Entry!$D$27="","",[3]Entry!$D$27)</f>
        <v/>
      </c>
      <c r="AI24">
        <f>IF([3]Entry!$E$27="","",[3]Entry!$E$27)</f>
        <v/>
      </c>
      <c r="AJ24">
        <f>IF([3]Entry!$G$27="","",[3]Entry!$G$27)</f>
        <v/>
      </c>
      <c r="AK24">
        <f>IF([3]Entry!$K$27="","",[3]Entry!$K$27)</f>
        <v/>
      </c>
      <c r="AL24">
        <f>IF([3]Entry!$L$27="","",[3]Entry!$L$27)</f>
        <v/>
      </c>
      <c r="AM24">
        <f>IF([3]Entry!$M$27="","",[3]Entry!$M$27)</f>
        <v/>
      </c>
      <c r="AN24">
        <f>IF([3]Entry!$N$27="","",[3]Entry!$N$27)</f>
        <v/>
      </c>
      <c r="AO24">
        <f>IF([3]Entry!$R$27="","",[3]Entry!$R$27)</f>
        <v/>
      </c>
      <c r="AQ24">
        <f>IF(AND($D24&lt;&gt;"",$A24&lt;&gt;""),1,0)</f>
        <v/>
      </c>
      <c r="AR24">
        <f>SUM($AQ$6:$AQ24)</f>
        <v/>
      </c>
      <c r="AS24">
        <f>IFERROR(INDEX($A$6:$A$565,MATCH(ROW()-5,$AR$6:$AR$565,0)),"")</f>
        <v/>
      </c>
    </row>
    <row r="25">
      <c r="A25">
        <f>IF([1]Accounts!$D$26="","",[1]Accounts!$A$26)</f>
        <v/>
      </c>
      <c r="B25">
        <f>IF([1]Accounts!$D$26="","",[1]Accounts!$B$26)</f>
        <v/>
      </c>
      <c r="C25">
        <f>IF([1]Accounts!$D$26="","",[1]Accounts!$C$26)</f>
        <v/>
      </c>
      <c r="D25">
        <f>IF([1]Accounts!$D$26="","",[1]Accounts!$D$26)</f>
        <v/>
      </c>
      <c r="E25">
        <f>IF([1]Accounts!$D$26="","",[1]Accounts!$J$26)</f>
        <v/>
      </c>
      <c r="F25">
        <f>IF([1]Accounts!$D$26="","",[1]Accounts!$K$26)</f>
        <v/>
      </c>
      <c r="H25">
        <f>IF([1]Ops!$B$26="","",[1]Ops!$A$26)</f>
        <v/>
      </c>
      <c r="I25">
        <f>IF([1]Ops!$B$26="","",[1]Ops!$B$26)</f>
        <v/>
      </c>
      <c r="J25">
        <f>IF([1]Ops!$B$26="","",[1]Ops!$C$26)</f>
        <v/>
      </c>
      <c r="K25">
        <f>IF([1]Ops!$B$26="","",[1]Ops!$D$26)</f>
        <v/>
      </c>
      <c r="M25">
        <f>IF([1]Lists!$C$26="","",[1]Lists!$C$26)</f>
        <v/>
      </c>
      <c r="U25">
        <f>IF([2]Baskol!$B$28="","",[2]Baskol!$B$28)</f>
        <v/>
      </c>
      <c r="V25">
        <f>IF([2]Baskol!$C$28="","",[2]Baskol!$C$28)</f>
        <v/>
      </c>
      <c r="W25">
        <f>IF([2]Baskol!$D$28="","",[2]Baskol!$D$28)</f>
        <v/>
      </c>
      <c r="X25">
        <f>IF([2]Baskol!$E$28="","",[2]Baskol!$E$28)</f>
        <v/>
      </c>
      <c r="Y25">
        <f>IF([2]Baskol!$G$28="","",[2]Baskol!$G$28)</f>
        <v/>
      </c>
      <c r="Z25">
        <f>IF([2]Baskol!$I$28="","",[2]Baskol!$I$28)</f>
        <v/>
      </c>
      <c r="AA25">
        <f>IF([2]Baskol!$J$28="","",[2]Baskol!$J$28)</f>
        <v/>
      </c>
      <c r="AB25">
        <f>IF([2]Baskol!$K$28="","",[2]Baskol!$K$28)</f>
        <v/>
      </c>
      <c r="AC25">
        <f>IF([2]Baskol!$L$28="","",[2]Baskol!$L$28)</f>
        <v/>
      </c>
      <c r="AD25">
        <f>IF([2]Baskol!$N$28="","",[2]Baskol!$N$28)</f>
        <v/>
      </c>
      <c r="AE25">
        <f>IF([2]Baskol!$O$28="","",[2]Baskol!$O$28)</f>
        <v/>
      </c>
      <c r="AG25">
        <f>IF([3]Entry!$C$28="","",[3]Entry!$C$28)</f>
        <v/>
      </c>
      <c r="AH25">
        <f>IF([3]Entry!$D$28="","",[3]Entry!$D$28)</f>
        <v/>
      </c>
      <c r="AI25">
        <f>IF([3]Entry!$E$28="","",[3]Entry!$E$28)</f>
        <v/>
      </c>
      <c r="AJ25">
        <f>IF([3]Entry!$G$28="","",[3]Entry!$G$28)</f>
        <v/>
      </c>
      <c r="AK25">
        <f>IF([3]Entry!$K$28="","",[3]Entry!$K$28)</f>
        <v/>
      </c>
      <c r="AL25">
        <f>IF([3]Entry!$L$28="","",[3]Entry!$L$28)</f>
        <v/>
      </c>
      <c r="AM25">
        <f>IF([3]Entry!$M$28="","",[3]Entry!$M$28)</f>
        <v/>
      </c>
      <c r="AN25">
        <f>IF([3]Entry!$N$28="","",[3]Entry!$N$28)</f>
        <v/>
      </c>
      <c r="AO25">
        <f>IF([3]Entry!$R$28="","",[3]Entry!$R$28)</f>
        <v/>
      </c>
      <c r="AQ25">
        <f>IF(AND($D25&lt;&gt;"",$A25&lt;&gt;""),1,0)</f>
        <v/>
      </c>
      <c r="AR25">
        <f>SUM($AQ$6:$AQ25)</f>
        <v/>
      </c>
      <c r="AS25">
        <f>IFERROR(INDEX($A$6:$A$565,MATCH(ROW()-5,$AR$6:$AR$565,0)),"")</f>
        <v/>
      </c>
    </row>
    <row r="26">
      <c r="A26">
        <f>IF([1]Accounts!$D$27="","",[1]Accounts!$A$27)</f>
        <v/>
      </c>
      <c r="B26">
        <f>IF([1]Accounts!$D$27="","",[1]Accounts!$B$27)</f>
        <v/>
      </c>
      <c r="C26">
        <f>IF([1]Accounts!$D$27="","",[1]Accounts!$C$27)</f>
        <v/>
      </c>
      <c r="D26">
        <f>IF([1]Accounts!$D$27="","",[1]Accounts!$D$27)</f>
        <v/>
      </c>
      <c r="E26">
        <f>IF([1]Accounts!$D$27="","",[1]Accounts!$J$27)</f>
        <v/>
      </c>
      <c r="F26">
        <f>IF([1]Accounts!$D$27="","",[1]Accounts!$K$27)</f>
        <v/>
      </c>
      <c r="M26">
        <f>IF([1]Lists!$C$27="","",[1]Lists!$C$27)</f>
        <v/>
      </c>
      <c r="U26">
        <f>IF([2]Baskol!$B$29="","",[2]Baskol!$B$29)</f>
        <v/>
      </c>
      <c r="V26">
        <f>IF([2]Baskol!$C$29="","",[2]Baskol!$C$29)</f>
        <v/>
      </c>
      <c r="W26">
        <f>IF([2]Baskol!$D$29="","",[2]Baskol!$D$29)</f>
        <v/>
      </c>
      <c r="X26">
        <f>IF([2]Baskol!$E$29="","",[2]Baskol!$E$29)</f>
        <v/>
      </c>
      <c r="Y26">
        <f>IF([2]Baskol!$G$29="","",[2]Baskol!$G$29)</f>
        <v/>
      </c>
      <c r="Z26">
        <f>IF([2]Baskol!$I$29="","",[2]Baskol!$I$29)</f>
        <v/>
      </c>
      <c r="AA26">
        <f>IF([2]Baskol!$J$29="","",[2]Baskol!$J$29)</f>
        <v/>
      </c>
      <c r="AB26">
        <f>IF([2]Baskol!$K$29="","",[2]Baskol!$K$29)</f>
        <v/>
      </c>
      <c r="AC26">
        <f>IF([2]Baskol!$L$29="","",[2]Baskol!$L$29)</f>
        <v/>
      </c>
      <c r="AD26">
        <f>IF([2]Baskol!$N$29="","",[2]Baskol!$N$29)</f>
        <v/>
      </c>
      <c r="AE26">
        <f>IF([2]Baskol!$O$29="","",[2]Baskol!$O$29)</f>
        <v/>
      </c>
      <c r="AG26">
        <f>IF([3]Entry!$C$29="","",[3]Entry!$C$29)</f>
        <v/>
      </c>
      <c r="AH26">
        <f>IF([3]Entry!$D$29="","",[3]Entry!$D$29)</f>
        <v/>
      </c>
      <c r="AI26">
        <f>IF([3]Entry!$E$29="","",[3]Entry!$E$29)</f>
        <v/>
      </c>
      <c r="AJ26">
        <f>IF([3]Entry!$G$29="","",[3]Entry!$G$29)</f>
        <v/>
      </c>
      <c r="AK26">
        <f>IF([3]Entry!$K$29="","",[3]Entry!$K$29)</f>
        <v/>
      </c>
      <c r="AL26">
        <f>IF([3]Entry!$L$29="","",[3]Entry!$L$29)</f>
        <v/>
      </c>
      <c r="AM26">
        <f>IF([3]Entry!$M$29="","",[3]Entry!$M$29)</f>
        <v/>
      </c>
      <c r="AN26">
        <f>IF([3]Entry!$N$29="","",[3]Entry!$N$29)</f>
        <v/>
      </c>
      <c r="AO26">
        <f>IF([3]Entry!$R$29="","",[3]Entry!$R$29)</f>
        <v/>
      </c>
      <c r="AQ26">
        <f>IF(AND($D26&lt;&gt;"",$A26&lt;&gt;""),1,0)</f>
        <v/>
      </c>
      <c r="AR26">
        <f>SUM($AQ$6:$AQ26)</f>
        <v/>
      </c>
      <c r="AS26">
        <f>IFERROR(INDEX($A$6:$A$565,MATCH(ROW()-5,$AR$6:$AR$565,0)),"")</f>
        <v/>
      </c>
    </row>
    <row r="27">
      <c r="A27">
        <f>IF([1]Accounts!$D$28="","",[1]Accounts!$A$28)</f>
        <v/>
      </c>
      <c r="B27">
        <f>IF([1]Accounts!$D$28="","",[1]Accounts!$B$28)</f>
        <v/>
      </c>
      <c r="C27">
        <f>IF([1]Accounts!$D$28="","",[1]Accounts!$C$28)</f>
        <v/>
      </c>
      <c r="D27">
        <f>IF([1]Accounts!$D$28="","",[1]Accounts!$D$28)</f>
        <v/>
      </c>
      <c r="E27">
        <f>IF([1]Accounts!$D$28="","",[1]Accounts!$J$28)</f>
        <v/>
      </c>
      <c r="F27">
        <f>IF([1]Accounts!$D$28="","",[1]Accounts!$K$28)</f>
        <v/>
      </c>
      <c r="M27">
        <f>IF([1]Lists!$C$28="","",[1]Lists!$C$28)</f>
        <v/>
      </c>
      <c r="U27">
        <f>IF([2]Baskol!$B$30="","",[2]Baskol!$B$30)</f>
        <v/>
      </c>
      <c r="V27">
        <f>IF([2]Baskol!$C$30="","",[2]Baskol!$C$30)</f>
        <v/>
      </c>
      <c r="W27">
        <f>IF([2]Baskol!$D$30="","",[2]Baskol!$D$30)</f>
        <v/>
      </c>
      <c r="X27">
        <f>IF([2]Baskol!$E$30="","",[2]Baskol!$E$30)</f>
        <v/>
      </c>
      <c r="Y27">
        <f>IF([2]Baskol!$G$30="","",[2]Baskol!$G$30)</f>
        <v/>
      </c>
      <c r="Z27">
        <f>IF([2]Baskol!$I$30="","",[2]Baskol!$I$30)</f>
        <v/>
      </c>
      <c r="AA27">
        <f>IF([2]Baskol!$J$30="","",[2]Baskol!$J$30)</f>
        <v/>
      </c>
      <c r="AB27">
        <f>IF([2]Baskol!$K$30="","",[2]Baskol!$K$30)</f>
        <v/>
      </c>
      <c r="AC27">
        <f>IF([2]Baskol!$L$30="","",[2]Baskol!$L$30)</f>
        <v/>
      </c>
      <c r="AD27">
        <f>IF([2]Baskol!$N$30="","",[2]Baskol!$N$30)</f>
        <v/>
      </c>
      <c r="AE27">
        <f>IF([2]Baskol!$O$30="","",[2]Baskol!$O$30)</f>
        <v/>
      </c>
      <c r="AG27">
        <f>IF([3]Entry!$C$30="","",[3]Entry!$C$30)</f>
        <v/>
      </c>
      <c r="AH27">
        <f>IF([3]Entry!$D$30="","",[3]Entry!$D$30)</f>
        <v/>
      </c>
      <c r="AI27">
        <f>IF([3]Entry!$E$30="","",[3]Entry!$E$30)</f>
        <v/>
      </c>
      <c r="AJ27">
        <f>IF([3]Entry!$G$30="","",[3]Entry!$G$30)</f>
        <v/>
      </c>
      <c r="AK27">
        <f>IF([3]Entry!$K$30="","",[3]Entry!$K$30)</f>
        <v/>
      </c>
      <c r="AL27">
        <f>IF([3]Entry!$L$30="","",[3]Entry!$L$30)</f>
        <v/>
      </c>
      <c r="AM27">
        <f>IF([3]Entry!$M$30="","",[3]Entry!$M$30)</f>
        <v/>
      </c>
      <c r="AN27">
        <f>IF([3]Entry!$N$30="","",[3]Entry!$N$30)</f>
        <v/>
      </c>
      <c r="AO27">
        <f>IF([3]Entry!$R$30="","",[3]Entry!$R$30)</f>
        <v/>
      </c>
      <c r="AQ27">
        <f>IF(AND($D27&lt;&gt;"",$A27&lt;&gt;""),1,0)</f>
        <v/>
      </c>
      <c r="AR27">
        <f>SUM($AQ$6:$AQ27)</f>
        <v/>
      </c>
      <c r="AS27">
        <f>IFERROR(INDEX($A$6:$A$565,MATCH(ROW()-5,$AR$6:$AR$565,0)),"")</f>
        <v/>
      </c>
    </row>
    <row r="28">
      <c r="A28">
        <f>IF([1]Accounts!$D$29="","",[1]Accounts!$A$29)</f>
        <v/>
      </c>
      <c r="B28">
        <f>IF([1]Accounts!$D$29="","",[1]Accounts!$B$29)</f>
        <v/>
      </c>
      <c r="C28">
        <f>IF([1]Accounts!$D$29="","",[1]Accounts!$C$29)</f>
        <v/>
      </c>
      <c r="D28">
        <f>IF([1]Accounts!$D$29="","",[1]Accounts!$D$29)</f>
        <v/>
      </c>
      <c r="E28">
        <f>IF([1]Accounts!$D$29="","",[1]Accounts!$J$29)</f>
        <v/>
      </c>
      <c r="F28">
        <f>IF([1]Accounts!$D$29="","",[1]Accounts!$K$29)</f>
        <v/>
      </c>
      <c r="M28">
        <f>IF([1]Lists!$C$29="","",[1]Lists!$C$29)</f>
        <v/>
      </c>
      <c r="U28">
        <f>IF([2]Baskol!$B$31="","",[2]Baskol!$B$31)</f>
        <v/>
      </c>
      <c r="V28">
        <f>IF([2]Baskol!$C$31="","",[2]Baskol!$C$31)</f>
        <v/>
      </c>
      <c r="W28">
        <f>IF([2]Baskol!$D$31="","",[2]Baskol!$D$31)</f>
        <v/>
      </c>
      <c r="X28">
        <f>IF([2]Baskol!$E$31="","",[2]Baskol!$E$31)</f>
        <v/>
      </c>
      <c r="Y28">
        <f>IF([2]Baskol!$G$31="","",[2]Baskol!$G$31)</f>
        <v/>
      </c>
      <c r="Z28">
        <f>IF([2]Baskol!$I$31="","",[2]Baskol!$I$31)</f>
        <v/>
      </c>
      <c r="AA28">
        <f>IF([2]Baskol!$J$31="","",[2]Baskol!$J$31)</f>
        <v/>
      </c>
      <c r="AB28">
        <f>IF([2]Baskol!$K$31="","",[2]Baskol!$K$31)</f>
        <v/>
      </c>
      <c r="AC28">
        <f>IF([2]Baskol!$L$31="","",[2]Baskol!$L$31)</f>
        <v/>
      </c>
      <c r="AD28">
        <f>IF([2]Baskol!$N$31="","",[2]Baskol!$N$31)</f>
        <v/>
      </c>
      <c r="AE28">
        <f>IF([2]Baskol!$O$31="","",[2]Baskol!$O$31)</f>
        <v/>
      </c>
      <c r="AG28">
        <f>IF([3]Entry!$C$31="","",[3]Entry!$C$31)</f>
        <v/>
      </c>
      <c r="AH28">
        <f>IF([3]Entry!$D$31="","",[3]Entry!$D$31)</f>
        <v/>
      </c>
      <c r="AI28">
        <f>IF([3]Entry!$E$31="","",[3]Entry!$E$31)</f>
        <v/>
      </c>
      <c r="AJ28">
        <f>IF([3]Entry!$G$31="","",[3]Entry!$G$31)</f>
        <v/>
      </c>
      <c r="AK28">
        <f>IF([3]Entry!$K$31="","",[3]Entry!$K$31)</f>
        <v/>
      </c>
      <c r="AL28">
        <f>IF([3]Entry!$L$31="","",[3]Entry!$L$31)</f>
        <v/>
      </c>
      <c r="AM28">
        <f>IF([3]Entry!$M$31="","",[3]Entry!$M$31)</f>
        <v/>
      </c>
      <c r="AN28">
        <f>IF([3]Entry!$N$31="","",[3]Entry!$N$31)</f>
        <v/>
      </c>
      <c r="AO28">
        <f>IF([3]Entry!$R$31="","",[3]Entry!$R$31)</f>
        <v/>
      </c>
      <c r="AQ28">
        <f>IF(AND($D28&lt;&gt;"",$A28&lt;&gt;""),1,0)</f>
        <v/>
      </c>
      <c r="AR28">
        <f>SUM($AQ$6:$AQ28)</f>
        <v/>
      </c>
      <c r="AS28">
        <f>IFERROR(INDEX($A$6:$A$565,MATCH(ROW()-5,$AR$6:$AR$565,0)),"")</f>
        <v/>
      </c>
    </row>
    <row r="29">
      <c r="A29">
        <f>IF([1]Accounts!$D$30="","",[1]Accounts!$A$30)</f>
        <v/>
      </c>
      <c r="B29">
        <f>IF([1]Accounts!$D$30="","",[1]Accounts!$B$30)</f>
        <v/>
      </c>
      <c r="C29">
        <f>IF([1]Accounts!$D$30="","",[1]Accounts!$C$30)</f>
        <v/>
      </c>
      <c r="D29">
        <f>IF([1]Accounts!$D$30="","",[1]Accounts!$D$30)</f>
        <v/>
      </c>
      <c r="E29">
        <f>IF([1]Accounts!$D$30="","",[1]Accounts!$J$30)</f>
        <v/>
      </c>
      <c r="F29">
        <f>IF([1]Accounts!$D$30="","",[1]Accounts!$K$30)</f>
        <v/>
      </c>
      <c r="M29">
        <f>IF([1]Lists!$C$30="","",[1]Lists!$C$30)</f>
        <v/>
      </c>
      <c r="U29">
        <f>IF([2]Baskol!$B$32="","",[2]Baskol!$B$32)</f>
        <v/>
      </c>
      <c r="V29">
        <f>IF([2]Baskol!$C$32="","",[2]Baskol!$C$32)</f>
        <v/>
      </c>
      <c r="W29">
        <f>IF([2]Baskol!$D$32="","",[2]Baskol!$D$32)</f>
        <v/>
      </c>
      <c r="X29">
        <f>IF([2]Baskol!$E$32="","",[2]Baskol!$E$32)</f>
        <v/>
      </c>
      <c r="Y29">
        <f>IF([2]Baskol!$G$32="","",[2]Baskol!$G$32)</f>
        <v/>
      </c>
      <c r="Z29">
        <f>IF([2]Baskol!$I$32="","",[2]Baskol!$I$32)</f>
        <v/>
      </c>
      <c r="AA29">
        <f>IF([2]Baskol!$J$32="","",[2]Baskol!$J$32)</f>
        <v/>
      </c>
      <c r="AB29">
        <f>IF([2]Baskol!$K$32="","",[2]Baskol!$K$32)</f>
        <v/>
      </c>
      <c r="AC29">
        <f>IF([2]Baskol!$L$32="","",[2]Baskol!$L$32)</f>
        <v/>
      </c>
      <c r="AD29">
        <f>IF([2]Baskol!$N$32="","",[2]Baskol!$N$32)</f>
        <v/>
      </c>
      <c r="AE29">
        <f>IF([2]Baskol!$O$32="","",[2]Baskol!$O$32)</f>
        <v/>
      </c>
      <c r="AG29">
        <f>IF([3]Entry!$C$32="","",[3]Entry!$C$32)</f>
        <v/>
      </c>
      <c r="AH29">
        <f>IF([3]Entry!$D$32="","",[3]Entry!$D$32)</f>
        <v/>
      </c>
      <c r="AI29">
        <f>IF([3]Entry!$E$32="","",[3]Entry!$E$32)</f>
        <v/>
      </c>
      <c r="AJ29">
        <f>IF([3]Entry!$G$32="","",[3]Entry!$G$32)</f>
        <v/>
      </c>
      <c r="AK29">
        <f>IF([3]Entry!$K$32="","",[3]Entry!$K$32)</f>
        <v/>
      </c>
      <c r="AL29">
        <f>IF([3]Entry!$L$32="","",[3]Entry!$L$32)</f>
        <v/>
      </c>
      <c r="AM29">
        <f>IF([3]Entry!$M$32="","",[3]Entry!$M$32)</f>
        <v/>
      </c>
      <c r="AN29">
        <f>IF([3]Entry!$N$32="","",[3]Entry!$N$32)</f>
        <v/>
      </c>
      <c r="AO29">
        <f>IF([3]Entry!$R$32="","",[3]Entry!$R$32)</f>
        <v/>
      </c>
      <c r="AQ29">
        <f>IF(AND($D29&lt;&gt;"",$A29&lt;&gt;""),1,0)</f>
        <v/>
      </c>
      <c r="AR29">
        <f>SUM($AQ$6:$AQ29)</f>
        <v/>
      </c>
      <c r="AS29">
        <f>IFERROR(INDEX($A$6:$A$565,MATCH(ROW()-5,$AR$6:$AR$565,0)),"")</f>
        <v/>
      </c>
    </row>
    <row r="30">
      <c r="A30">
        <f>IF([1]Accounts!$D$31="","",[1]Accounts!$A$31)</f>
        <v/>
      </c>
      <c r="B30">
        <f>IF([1]Accounts!$D$31="","",[1]Accounts!$B$31)</f>
        <v/>
      </c>
      <c r="C30">
        <f>IF([1]Accounts!$D$31="","",[1]Accounts!$C$31)</f>
        <v/>
      </c>
      <c r="D30">
        <f>IF([1]Accounts!$D$31="","",[1]Accounts!$D$31)</f>
        <v/>
      </c>
      <c r="E30">
        <f>IF([1]Accounts!$D$31="","",[1]Accounts!$J$31)</f>
        <v/>
      </c>
      <c r="F30">
        <f>IF([1]Accounts!$D$31="","",[1]Accounts!$K$31)</f>
        <v/>
      </c>
      <c r="M30">
        <f>IF([1]Lists!$C$31="","",[1]Lists!$C$31)</f>
        <v/>
      </c>
      <c r="U30">
        <f>IF([2]Baskol!$B$33="","",[2]Baskol!$B$33)</f>
        <v/>
      </c>
      <c r="V30">
        <f>IF([2]Baskol!$C$33="","",[2]Baskol!$C$33)</f>
        <v/>
      </c>
      <c r="W30">
        <f>IF([2]Baskol!$D$33="","",[2]Baskol!$D$33)</f>
        <v/>
      </c>
      <c r="X30">
        <f>IF([2]Baskol!$E$33="","",[2]Baskol!$E$33)</f>
        <v/>
      </c>
      <c r="Y30">
        <f>IF([2]Baskol!$G$33="","",[2]Baskol!$G$33)</f>
        <v/>
      </c>
      <c r="Z30">
        <f>IF([2]Baskol!$I$33="","",[2]Baskol!$I$33)</f>
        <v/>
      </c>
      <c r="AA30">
        <f>IF([2]Baskol!$J$33="","",[2]Baskol!$J$33)</f>
        <v/>
      </c>
      <c r="AB30">
        <f>IF([2]Baskol!$K$33="","",[2]Baskol!$K$33)</f>
        <v/>
      </c>
      <c r="AC30">
        <f>IF([2]Baskol!$L$33="","",[2]Baskol!$L$33)</f>
        <v/>
      </c>
      <c r="AD30">
        <f>IF([2]Baskol!$N$33="","",[2]Baskol!$N$33)</f>
        <v/>
      </c>
      <c r="AE30">
        <f>IF([2]Baskol!$O$33="","",[2]Baskol!$O$33)</f>
        <v/>
      </c>
      <c r="AG30">
        <f>IF([3]Entry!$C$33="","",[3]Entry!$C$33)</f>
        <v/>
      </c>
      <c r="AH30">
        <f>IF([3]Entry!$D$33="","",[3]Entry!$D$33)</f>
        <v/>
      </c>
      <c r="AI30">
        <f>IF([3]Entry!$E$33="","",[3]Entry!$E$33)</f>
        <v/>
      </c>
      <c r="AJ30">
        <f>IF([3]Entry!$G$33="","",[3]Entry!$G$33)</f>
        <v/>
      </c>
      <c r="AK30">
        <f>IF([3]Entry!$K$33="","",[3]Entry!$K$33)</f>
        <v/>
      </c>
      <c r="AL30">
        <f>IF([3]Entry!$L$33="","",[3]Entry!$L$33)</f>
        <v/>
      </c>
      <c r="AM30">
        <f>IF([3]Entry!$M$33="","",[3]Entry!$M$33)</f>
        <v/>
      </c>
      <c r="AN30">
        <f>IF([3]Entry!$N$33="","",[3]Entry!$N$33)</f>
        <v/>
      </c>
      <c r="AO30">
        <f>IF([3]Entry!$R$33="","",[3]Entry!$R$33)</f>
        <v/>
      </c>
      <c r="AQ30">
        <f>IF(AND($D30&lt;&gt;"",$A30&lt;&gt;""),1,0)</f>
        <v/>
      </c>
      <c r="AR30">
        <f>SUM($AQ$6:$AQ30)</f>
        <v/>
      </c>
      <c r="AS30">
        <f>IFERROR(INDEX($A$6:$A$565,MATCH(ROW()-5,$AR$6:$AR$565,0)),"")</f>
        <v/>
      </c>
    </row>
    <row r="31">
      <c r="A31">
        <f>IF([1]Accounts!$D$32="","",[1]Accounts!$A$32)</f>
        <v/>
      </c>
      <c r="B31">
        <f>IF([1]Accounts!$D$32="","",[1]Accounts!$B$32)</f>
        <v/>
      </c>
      <c r="C31">
        <f>IF([1]Accounts!$D$32="","",[1]Accounts!$C$32)</f>
        <v/>
      </c>
      <c r="D31">
        <f>IF([1]Accounts!$D$32="","",[1]Accounts!$D$32)</f>
        <v/>
      </c>
      <c r="E31">
        <f>IF([1]Accounts!$D$32="","",[1]Accounts!$J$32)</f>
        <v/>
      </c>
      <c r="F31">
        <f>IF([1]Accounts!$D$32="","",[1]Accounts!$K$32)</f>
        <v/>
      </c>
      <c r="M31">
        <f>IF([1]Lists!$C$32="","",[1]Lists!$C$32)</f>
        <v/>
      </c>
      <c r="U31">
        <f>IF([2]Baskol!$B$34="","",[2]Baskol!$B$34)</f>
        <v/>
      </c>
      <c r="V31">
        <f>IF([2]Baskol!$C$34="","",[2]Baskol!$C$34)</f>
        <v/>
      </c>
      <c r="W31">
        <f>IF([2]Baskol!$D$34="","",[2]Baskol!$D$34)</f>
        <v/>
      </c>
      <c r="X31">
        <f>IF([2]Baskol!$E$34="","",[2]Baskol!$E$34)</f>
        <v/>
      </c>
      <c r="Y31">
        <f>IF([2]Baskol!$G$34="","",[2]Baskol!$G$34)</f>
        <v/>
      </c>
      <c r="Z31">
        <f>IF([2]Baskol!$I$34="","",[2]Baskol!$I$34)</f>
        <v/>
      </c>
      <c r="AA31">
        <f>IF([2]Baskol!$J$34="","",[2]Baskol!$J$34)</f>
        <v/>
      </c>
      <c r="AB31">
        <f>IF([2]Baskol!$K$34="","",[2]Baskol!$K$34)</f>
        <v/>
      </c>
      <c r="AC31">
        <f>IF([2]Baskol!$L$34="","",[2]Baskol!$L$34)</f>
        <v/>
      </c>
      <c r="AD31">
        <f>IF([2]Baskol!$N$34="","",[2]Baskol!$N$34)</f>
        <v/>
      </c>
      <c r="AE31">
        <f>IF([2]Baskol!$O$34="","",[2]Baskol!$O$34)</f>
        <v/>
      </c>
      <c r="AG31">
        <f>IF([3]Entry!$C$34="","",[3]Entry!$C$34)</f>
        <v/>
      </c>
      <c r="AH31">
        <f>IF([3]Entry!$D$34="","",[3]Entry!$D$34)</f>
        <v/>
      </c>
      <c r="AI31">
        <f>IF([3]Entry!$E$34="","",[3]Entry!$E$34)</f>
        <v/>
      </c>
      <c r="AJ31">
        <f>IF([3]Entry!$G$34="","",[3]Entry!$G$34)</f>
        <v/>
      </c>
      <c r="AK31">
        <f>IF([3]Entry!$K$34="","",[3]Entry!$K$34)</f>
        <v/>
      </c>
      <c r="AL31">
        <f>IF([3]Entry!$L$34="","",[3]Entry!$L$34)</f>
        <v/>
      </c>
      <c r="AM31">
        <f>IF([3]Entry!$M$34="","",[3]Entry!$M$34)</f>
        <v/>
      </c>
      <c r="AN31">
        <f>IF([3]Entry!$N$34="","",[3]Entry!$N$34)</f>
        <v/>
      </c>
      <c r="AO31">
        <f>IF([3]Entry!$R$34="","",[3]Entry!$R$34)</f>
        <v/>
      </c>
      <c r="AQ31">
        <f>IF(AND($D31&lt;&gt;"",$A31&lt;&gt;""),1,0)</f>
        <v/>
      </c>
      <c r="AR31">
        <f>SUM($AQ$6:$AQ31)</f>
        <v/>
      </c>
      <c r="AS31">
        <f>IFERROR(INDEX($A$6:$A$565,MATCH(ROW()-5,$AR$6:$AR$565,0)),"")</f>
        <v/>
      </c>
    </row>
    <row r="32">
      <c r="A32">
        <f>IF([1]Accounts!$D$33="","",[1]Accounts!$A$33)</f>
        <v/>
      </c>
      <c r="B32">
        <f>IF([1]Accounts!$D$33="","",[1]Accounts!$B$33)</f>
        <v/>
      </c>
      <c r="C32">
        <f>IF([1]Accounts!$D$33="","",[1]Accounts!$C$33)</f>
        <v/>
      </c>
      <c r="D32">
        <f>IF([1]Accounts!$D$33="","",[1]Accounts!$D$33)</f>
        <v/>
      </c>
      <c r="E32">
        <f>IF([1]Accounts!$D$33="","",[1]Accounts!$J$33)</f>
        <v/>
      </c>
      <c r="F32">
        <f>IF([1]Accounts!$D$33="","",[1]Accounts!$K$33)</f>
        <v/>
      </c>
      <c r="U32">
        <f>IF([2]Baskol!$B$35="","",[2]Baskol!$B$35)</f>
        <v/>
      </c>
      <c r="V32">
        <f>IF([2]Baskol!$C$35="","",[2]Baskol!$C$35)</f>
        <v/>
      </c>
      <c r="W32">
        <f>IF([2]Baskol!$D$35="","",[2]Baskol!$D$35)</f>
        <v/>
      </c>
      <c r="X32">
        <f>IF([2]Baskol!$E$35="","",[2]Baskol!$E$35)</f>
        <v/>
      </c>
      <c r="Y32">
        <f>IF([2]Baskol!$G$35="","",[2]Baskol!$G$35)</f>
        <v/>
      </c>
      <c r="Z32">
        <f>IF([2]Baskol!$I$35="","",[2]Baskol!$I$35)</f>
        <v/>
      </c>
      <c r="AA32">
        <f>IF([2]Baskol!$J$35="","",[2]Baskol!$J$35)</f>
        <v/>
      </c>
      <c r="AB32">
        <f>IF([2]Baskol!$K$35="","",[2]Baskol!$K$35)</f>
        <v/>
      </c>
      <c r="AC32">
        <f>IF([2]Baskol!$L$35="","",[2]Baskol!$L$35)</f>
        <v/>
      </c>
      <c r="AD32">
        <f>IF([2]Baskol!$N$35="","",[2]Baskol!$N$35)</f>
        <v/>
      </c>
      <c r="AE32">
        <f>IF([2]Baskol!$O$35="","",[2]Baskol!$O$35)</f>
        <v/>
      </c>
      <c r="AG32">
        <f>IF([3]Entry!$C$35="","",[3]Entry!$C$35)</f>
        <v/>
      </c>
      <c r="AH32">
        <f>IF([3]Entry!$D$35="","",[3]Entry!$D$35)</f>
        <v/>
      </c>
      <c r="AI32">
        <f>IF([3]Entry!$E$35="","",[3]Entry!$E$35)</f>
        <v/>
      </c>
      <c r="AJ32">
        <f>IF([3]Entry!$G$35="","",[3]Entry!$G$35)</f>
        <v/>
      </c>
      <c r="AK32">
        <f>IF([3]Entry!$K$35="","",[3]Entry!$K$35)</f>
        <v/>
      </c>
      <c r="AL32">
        <f>IF([3]Entry!$L$35="","",[3]Entry!$L$35)</f>
        <v/>
      </c>
      <c r="AM32">
        <f>IF([3]Entry!$M$35="","",[3]Entry!$M$35)</f>
        <v/>
      </c>
      <c r="AN32">
        <f>IF([3]Entry!$N$35="","",[3]Entry!$N$35)</f>
        <v/>
      </c>
      <c r="AO32">
        <f>IF([3]Entry!$R$35="","",[3]Entry!$R$35)</f>
        <v/>
      </c>
      <c r="AQ32">
        <f>IF(AND($D32&lt;&gt;"",$A32&lt;&gt;""),1,0)</f>
        <v/>
      </c>
      <c r="AR32">
        <f>SUM($AQ$6:$AQ32)</f>
        <v/>
      </c>
      <c r="AS32">
        <f>IFERROR(INDEX($A$6:$A$565,MATCH(ROW()-5,$AR$6:$AR$565,0)),"")</f>
        <v/>
      </c>
    </row>
    <row r="33">
      <c r="A33">
        <f>IF([1]Accounts!$D$34="","",[1]Accounts!$A$34)</f>
        <v/>
      </c>
      <c r="B33">
        <f>IF([1]Accounts!$D$34="","",[1]Accounts!$B$34)</f>
        <v/>
      </c>
      <c r="C33">
        <f>IF([1]Accounts!$D$34="","",[1]Accounts!$C$34)</f>
        <v/>
      </c>
      <c r="D33">
        <f>IF([1]Accounts!$D$34="","",[1]Accounts!$D$34)</f>
        <v/>
      </c>
      <c r="E33">
        <f>IF([1]Accounts!$D$34="","",[1]Accounts!$J$34)</f>
        <v/>
      </c>
      <c r="F33">
        <f>IF([1]Accounts!$D$34="","",[1]Accounts!$K$34)</f>
        <v/>
      </c>
      <c r="U33">
        <f>IF([2]Baskol!$B$36="","",[2]Baskol!$B$36)</f>
        <v/>
      </c>
      <c r="V33">
        <f>IF([2]Baskol!$C$36="","",[2]Baskol!$C$36)</f>
        <v/>
      </c>
      <c r="W33">
        <f>IF([2]Baskol!$D$36="","",[2]Baskol!$D$36)</f>
        <v/>
      </c>
      <c r="X33">
        <f>IF([2]Baskol!$E$36="","",[2]Baskol!$E$36)</f>
        <v/>
      </c>
      <c r="Y33">
        <f>IF([2]Baskol!$G$36="","",[2]Baskol!$G$36)</f>
        <v/>
      </c>
      <c r="Z33">
        <f>IF([2]Baskol!$I$36="","",[2]Baskol!$I$36)</f>
        <v/>
      </c>
      <c r="AA33">
        <f>IF([2]Baskol!$J$36="","",[2]Baskol!$J$36)</f>
        <v/>
      </c>
      <c r="AB33">
        <f>IF([2]Baskol!$K$36="","",[2]Baskol!$K$36)</f>
        <v/>
      </c>
      <c r="AC33">
        <f>IF([2]Baskol!$L$36="","",[2]Baskol!$L$36)</f>
        <v/>
      </c>
      <c r="AD33">
        <f>IF([2]Baskol!$N$36="","",[2]Baskol!$N$36)</f>
        <v/>
      </c>
      <c r="AE33">
        <f>IF([2]Baskol!$O$36="","",[2]Baskol!$O$36)</f>
        <v/>
      </c>
      <c r="AG33">
        <f>IF([3]Entry!$C$36="","",[3]Entry!$C$36)</f>
        <v/>
      </c>
      <c r="AH33">
        <f>IF([3]Entry!$D$36="","",[3]Entry!$D$36)</f>
        <v/>
      </c>
      <c r="AI33">
        <f>IF([3]Entry!$E$36="","",[3]Entry!$E$36)</f>
        <v/>
      </c>
      <c r="AJ33">
        <f>IF([3]Entry!$G$36="","",[3]Entry!$G$36)</f>
        <v/>
      </c>
      <c r="AK33">
        <f>IF([3]Entry!$K$36="","",[3]Entry!$K$36)</f>
        <v/>
      </c>
      <c r="AL33">
        <f>IF([3]Entry!$L$36="","",[3]Entry!$L$36)</f>
        <v/>
      </c>
      <c r="AM33">
        <f>IF([3]Entry!$M$36="","",[3]Entry!$M$36)</f>
        <v/>
      </c>
      <c r="AN33">
        <f>IF([3]Entry!$N$36="","",[3]Entry!$N$36)</f>
        <v/>
      </c>
      <c r="AO33">
        <f>IF([3]Entry!$R$36="","",[3]Entry!$R$36)</f>
        <v/>
      </c>
      <c r="AQ33">
        <f>IF(AND($D33&lt;&gt;"",$A33&lt;&gt;""),1,0)</f>
        <v/>
      </c>
      <c r="AR33">
        <f>SUM($AQ$6:$AQ33)</f>
        <v/>
      </c>
      <c r="AS33">
        <f>IFERROR(INDEX($A$6:$A$565,MATCH(ROW()-5,$AR$6:$AR$565,0)),"")</f>
        <v/>
      </c>
    </row>
    <row r="34">
      <c r="A34">
        <f>IF([1]Accounts!$D$35="","",[1]Accounts!$A$35)</f>
        <v/>
      </c>
      <c r="B34">
        <f>IF([1]Accounts!$D$35="","",[1]Accounts!$B$35)</f>
        <v/>
      </c>
      <c r="C34">
        <f>IF([1]Accounts!$D$35="","",[1]Accounts!$C$35)</f>
        <v/>
      </c>
      <c r="D34">
        <f>IF([1]Accounts!$D$35="","",[1]Accounts!$D$35)</f>
        <v/>
      </c>
      <c r="E34">
        <f>IF([1]Accounts!$D$35="","",[1]Accounts!$J$35)</f>
        <v/>
      </c>
      <c r="F34">
        <f>IF([1]Accounts!$D$35="","",[1]Accounts!$K$35)</f>
        <v/>
      </c>
      <c r="U34">
        <f>IF([2]Baskol!$B$37="","",[2]Baskol!$B$37)</f>
        <v/>
      </c>
      <c r="V34">
        <f>IF([2]Baskol!$C$37="","",[2]Baskol!$C$37)</f>
        <v/>
      </c>
      <c r="W34">
        <f>IF([2]Baskol!$D$37="","",[2]Baskol!$D$37)</f>
        <v/>
      </c>
      <c r="X34">
        <f>IF([2]Baskol!$E$37="","",[2]Baskol!$E$37)</f>
        <v/>
      </c>
      <c r="Y34">
        <f>IF([2]Baskol!$G$37="","",[2]Baskol!$G$37)</f>
        <v/>
      </c>
      <c r="Z34">
        <f>IF([2]Baskol!$I$37="","",[2]Baskol!$I$37)</f>
        <v/>
      </c>
      <c r="AA34">
        <f>IF([2]Baskol!$J$37="","",[2]Baskol!$J$37)</f>
        <v/>
      </c>
      <c r="AB34">
        <f>IF([2]Baskol!$K$37="","",[2]Baskol!$K$37)</f>
        <v/>
      </c>
      <c r="AC34">
        <f>IF([2]Baskol!$L$37="","",[2]Baskol!$L$37)</f>
        <v/>
      </c>
      <c r="AD34">
        <f>IF([2]Baskol!$N$37="","",[2]Baskol!$N$37)</f>
        <v/>
      </c>
      <c r="AE34">
        <f>IF([2]Baskol!$O$37="","",[2]Baskol!$O$37)</f>
        <v/>
      </c>
      <c r="AG34">
        <f>IF([3]Entry!$C$37="","",[3]Entry!$C$37)</f>
        <v/>
      </c>
      <c r="AH34">
        <f>IF([3]Entry!$D$37="","",[3]Entry!$D$37)</f>
        <v/>
      </c>
      <c r="AI34">
        <f>IF([3]Entry!$E$37="","",[3]Entry!$E$37)</f>
        <v/>
      </c>
      <c r="AJ34">
        <f>IF([3]Entry!$G$37="","",[3]Entry!$G$37)</f>
        <v/>
      </c>
      <c r="AK34">
        <f>IF([3]Entry!$K$37="","",[3]Entry!$K$37)</f>
        <v/>
      </c>
      <c r="AL34">
        <f>IF([3]Entry!$L$37="","",[3]Entry!$L$37)</f>
        <v/>
      </c>
      <c r="AM34">
        <f>IF([3]Entry!$M$37="","",[3]Entry!$M$37)</f>
        <v/>
      </c>
      <c r="AN34">
        <f>IF([3]Entry!$N$37="","",[3]Entry!$N$37)</f>
        <v/>
      </c>
      <c r="AO34">
        <f>IF([3]Entry!$R$37="","",[3]Entry!$R$37)</f>
        <v/>
      </c>
      <c r="AQ34">
        <f>IF(AND($D34&lt;&gt;"",$A34&lt;&gt;""),1,0)</f>
        <v/>
      </c>
      <c r="AR34">
        <f>SUM($AQ$6:$AQ34)</f>
        <v/>
      </c>
      <c r="AS34">
        <f>IFERROR(INDEX($A$6:$A$565,MATCH(ROW()-5,$AR$6:$AR$565,0)),"")</f>
        <v/>
      </c>
    </row>
    <row r="35">
      <c r="A35">
        <f>IF([1]Accounts!$D$36="","",[1]Accounts!$A$36)</f>
        <v/>
      </c>
      <c r="B35">
        <f>IF([1]Accounts!$D$36="","",[1]Accounts!$B$36)</f>
        <v/>
      </c>
      <c r="C35">
        <f>IF([1]Accounts!$D$36="","",[1]Accounts!$C$36)</f>
        <v/>
      </c>
      <c r="D35">
        <f>IF([1]Accounts!$D$36="","",[1]Accounts!$D$36)</f>
        <v/>
      </c>
      <c r="E35">
        <f>IF([1]Accounts!$D$36="","",[1]Accounts!$J$36)</f>
        <v/>
      </c>
      <c r="F35">
        <f>IF([1]Accounts!$D$36="","",[1]Accounts!$K$36)</f>
        <v/>
      </c>
      <c r="U35">
        <f>IF([2]Baskol!$B$38="","",[2]Baskol!$B$38)</f>
        <v/>
      </c>
      <c r="V35">
        <f>IF([2]Baskol!$C$38="","",[2]Baskol!$C$38)</f>
        <v/>
      </c>
      <c r="W35">
        <f>IF([2]Baskol!$D$38="","",[2]Baskol!$D$38)</f>
        <v/>
      </c>
      <c r="X35">
        <f>IF([2]Baskol!$E$38="","",[2]Baskol!$E$38)</f>
        <v/>
      </c>
      <c r="Y35">
        <f>IF([2]Baskol!$G$38="","",[2]Baskol!$G$38)</f>
        <v/>
      </c>
      <c r="Z35">
        <f>IF([2]Baskol!$I$38="","",[2]Baskol!$I$38)</f>
        <v/>
      </c>
      <c r="AA35">
        <f>IF([2]Baskol!$J$38="","",[2]Baskol!$J$38)</f>
        <v/>
      </c>
      <c r="AB35">
        <f>IF([2]Baskol!$K$38="","",[2]Baskol!$K$38)</f>
        <v/>
      </c>
      <c r="AC35">
        <f>IF([2]Baskol!$L$38="","",[2]Baskol!$L$38)</f>
        <v/>
      </c>
      <c r="AD35">
        <f>IF([2]Baskol!$N$38="","",[2]Baskol!$N$38)</f>
        <v/>
      </c>
      <c r="AE35">
        <f>IF([2]Baskol!$O$38="","",[2]Baskol!$O$38)</f>
        <v/>
      </c>
      <c r="AG35">
        <f>IF([3]Entry!$C$38="","",[3]Entry!$C$38)</f>
        <v/>
      </c>
      <c r="AH35">
        <f>IF([3]Entry!$D$38="","",[3]Entry!$D$38)</f>
        <v/>
      </c>
      <c r="AI35">
        <f>IF([3]Entry!$E$38="","",[3]Entry!$E$38)</f>
        <v/>
      </c>
      <c r="AJ35">
        <f>IF([3]Entry!$G$38="","",[3]Entry!$G$38)</f>
        <v/>
      </c>
      <c r="AK35">
        <f>IF([3]Entry!$K$38="","",[3]Entry!$K$38)</f>
        <v/>
      </c>
      <c r="AL35">
        <f>IF([3]Entry!$L$38="","",[3]Entry!$L$38)</f>
        <v/>
      </c>
      <c r="AM35">
        <f>IF([3]Entry!$M$38="","",[3]Entry!$M$38)</f>
        <v/>
      </c>
      <c r="AN35">
        <f>IF([3]Entry!$N$38="","",[3]Entry!$N$38)</f>
        <v/>
      </c>
      <c r="AO35">
        <f>IF([3]Entry!$R$38="","",[3]Entry!$R$38)</f>
        <v/>
      </c>
      <c r="AQ35">
        <f>IF(AND($D35&lt;&gt;"",$A35&lt;&gt;""),1,0)</f>
        <v/>
      </c>
      <c r="AR35">
        <f>SUM($AQ$6:$AQ35)</f>
        <v/>
      </c>
      <c r="AS35">
        <f>IFERROR(INDEX($A$6:$A$565,MATCH(ROW()-5,$AR$6:$AR$565,0)),"")</f>
        <v/>
      </c>
    </row>
    <row r="36">
      <c r="A36">
        <f>IF([1]Accounts!$D$37="","",[1]Accounts!$A$37)</f>
        <v/>
      </c>
      <c r="B36">
        <f>IF([1]Accounts!$D$37="","",[1]Accounts!$B$37)</f>
        <v/>
      </c>
      <c r="C36">
        <f>IF([1]Accounts!$D$37="","",[1]Accounts!$C$37)</f>
        <v/>
      </c>
      <c r="D36">
        <f>IF([1]Accounts!$D$37="","",[1]Accounts!$D$37)</f>
        <v/>
      </c>
      <c r="E36">
        <f>IF([1]Accounts!$D$37="","",[1]Accounts!$J$37)</f>
        <v/>
      </c>
      <c r="F36">
        <f>IF([1]Accounts!$D$37="","",[1]Accounts!$K$37)</f>
        <v/>
      </c>
      <c r="U36">
        <f>IF([2]Baskol!$B$39="","",[2]Baskol!$B$39)</f>
        <v/>
      </c>
      <c r="V36">
        <f>IF([2]Baskol!$C$39="","",[2]Baskol!$C$39)</f>
        <v/>
      </c>
      <c r="W36">
        <f>IF([2]Baskol!$D$39="","",[2]Baskol!$D$39)</f>
        <v/>
      </c>
      <c r="X36">
        <f>IF([2]Baskol!$E$39="","",[2]Baskol!$E$39)</f>
        <v/>
      </c>
      <c r="Y36">
        <f>IF([2]Baskol!$G$39="","",[2]Baskol!$G$39)</f>
        <v/>
      </c>
      <c r="Z36">
        <f>IF([2]Baskol!$I$39="","",[2]Baskol!$I$39)</f>
        <v/>
      </c>
      <c r="AA36">
        <f>IF([2]Baskol!$J$39="","",[2]Baskol!$J$39)</f>
        <v/>
      </c>
      <c r="AB36">
        <f>IF([2]Baskol!$K$39="","",[2]Baskol!$K$39)</f>
        <v/>
      </c>
      <c r="AC36">
        <f>IF([2]Baskol!$L$39="","",[2]Baskol!$L$39)</f>
        <v/>
      </c>
      <c r="AD36">
        <f>IF([2]Baskol!$N$39="","",[2]Baskol!$N$39)</f>
        <v/>
      </c>
      <c r="AE36">
        <f>IF([2]Baskol!$O$39="","",[2]Baskol!$O$39)</f>
        <v/>
      </c>
      <c r="AG36">
        <f>IF([3]Entry!$C$39="","",[3]Entry!$C$39)</f>
        <v/>
      </c>
      <c r="AH36">
        <f>IF([3]Entry!$D$39="","",[3]Entry!$D$39)</f>
        <v/>
      </c>
      <c r="AI36">
        <f>IF([3]Entry!$E$39="","",[3]Entry!$E$39)</f>
        <v/>
      </c>
      <c r="AJ36">
        <f>IF([3]Entry!$G$39="","",[3]Entry!$G$39)</f>
        <v/>
      </c>
      <c r="AK36">
        <f>IF([3]Entry!$K$39="","",[3]Entry!$K$39)</f>
        <v/>
      </c>
      <c r="AL36">
        <f>IF([3]Entry!$L$39="","",[3]Entry!$L$39)</f>
        <v/>
      </c>
      <c r="AM36">
        <f>IF([3]Entry!$M$39="","",[3]Entry!$M$39)</f>
        <v/>
      </c>
      <c r="AN36">
        <f>IF([3]Entry!$N$39="","",[3]Entry!$N$39)</f>
        <v/>
      </c>
      <c r="AO36">
        <f>IF([3]Entry!$R$39="","",[3]Entry!$R$39)</f>
        <v/>
      </c>
      <c r="AQ36">
        <f>IF(AND($D36&lt;&gt;"",$A36&lt;&gt;""),1,0)</f>
        <v/>
      </c>
      <c r="AR36">
        <f>SUM($AQ$6:$AQ36)</f>
        <v/>
      </c>
      <c r="AS36">
        <f>IFERROR(INDEX($A$6:$A$565,MATCH(ROW()-5,$AR$6:$AR$565,0)),"")</f>
        <v/>
      </c>
    </row>
    <row r="37">
      <c r="A37">
        <f>IF([1]Accounts!$D$38="","",[1]Accounts!$A$38)</f>
        <v/>
      </c>
      <c r="B37">
        <f>IF([1]Accounts!$D$38="","",[1]Accounts!$B$38)</f>
        <v/>
      </c>
      <c r="C37">
        <f>IF([1]Accounts!$D$38="","",[1]Accounts!$C$38)</f>
        <v/>
      </c>
      <c r="D37">
        <f>IF([1]Accounts!$D$38="","",[1]Accounts!$D$38)</f>
        <v/>
      </c>
      <c r="E37">
        <f>IF([1]Accounts!$D$38="","",[1]Accounts!$J$38)</f>
        <v/>
      </c>
      <c r="F37">
        <f>IF([1]Accounts!$D$38="","",[1]Accounts!$K$38)</f>
        <v/>
      </c>
      <c r="U37">
        <f>IF([2]Baskol!$B$40="","",[2]Baskol!$B$40)</f>
        <v/>
      </c>
      <c r="V37">
        <f>IF([2]Baskol!$C$40="","",[2]Baskol!$C$40)</f>
        <v/>
      </c>
      <c r="W37">
        <f>IF([2]Baskol!$D$40="","",[2]Baskol!$D$40)</f>
        <v/>
      </c>
      <c r="X37">
        <f>IF([2]Baskol!$E$40="","",[2]Baskol!$E$40)</f>
        <v/>
      </c>
      <c r="Y37">
        <f>IF([2]Baskol!$G$40="","",[2]Baskol!$G$40)</f>
        <v/>
      </c>
      <c r="Z37">
        <f>IF([2]Baskol!$I$40="","",[2]Baskol!$I$40)</f>
        <v/>
      </c>
      <c r="AA37">
        <f>IF([2]Baskol!$J$40="","",[2]Baskol!$J$40)</f>
        <v/>
      </c>
      <c r="AB37">
        <f>IF([2]Baskol!$K$40="","",[2]Baskol!$K$40)</f>
        <v/>
      </c>
      <c r="AC37">
        <f>IF([2]Baskol!$L$40="","",[2]Baskol!$L$40)</f>
        <v/>
      </c>
      <c r="AD37">
        <f>IF([2]Baskol!$N$40="","",[2]Baskol!$N$40)</f>
        <v/>
      </c>
      <c r="AE37">
        <f>IF([2]Baskol!$O$40="","",[2]Baskol!$O$40)</f>
        <v/>
      </c>
      <c r="AG37">
        <f>IF([3]Entry!$C$40="","",[3]Entry!$C$40)</f>
        <v/>
      </c>
      <c r="AH37">
        <f>IF([3]Entry!$D$40="","",[3]Entry!$D$40)</f>
        <v/>
      </c>
      <c r="AI37">
        <f>IF([3]Entry!$E$40="","",[3]Entry!$E$40)</f>
        <v/>
      </c>
      <c r="AJ37">
        <f>IF([3]Entry!$G$40="","",[3]Entry!$G$40)</f>
        <v/>
      </c>
      <c r="AK37">
        <f>IF([3]Entry!$K$40="","",[3]Entry!$K$40)</f>
        <v/>
      </c>
      <c r="AL37">
        <f>IF([3]Entry!$L$40="","",[3]Entry!$L$40)</f>
        <v/>
      </c>
      <c r="AM37">
        <f>IF([3]Entry!$M$40="","",[3]Entry!$M$40)</f>
        <v/>
      </c>
      <c r="AN37">
        <f>IF([3]Entry!$N$40="","",[3]Entry!$N$40)</f>
        <v/>
      </c>
      <c r="AO37">
        <f>IF([3]Entry!$R$40="","",[3]Entry!$R$40)</f>
        <v/>
      </c>
      <c r="AQ37">
        <f>IF(AND($D37&lt;&gt;"",$A37&lt;&gt;""),1,0)</f>
        <v/>
      </c>
      <c r="AR37">
        <f>SUM($AQ$6:$AQ37)</f>
        <v/>
      </c>
      <c r="AS37">
        <f>IFERROR(INDEX($A$6:$A$565,MATCH(ROW()-5,$AR$6:$AR$565,0)),"")</f>
        <v/>
      </c>
    </row>
    <row r="38">
      <c r="A38">
        <f>IF([1]Accounts!$D$39="","",[1]Accounts!$A$39)</f>
        <v/>
      </c>
      <c r="B38">
        <f>IF([1]Accounts!$D$39="","",[1]Accounts!$B$39)</f>
        <v/>
      </c>
      <c r="C38">
        <f>IF([1]Accounts!$D$39="","",[1]Accounts!$C$39)</f>
        <v/>
      </c>
      <c r="D38">
        <f>IF([1]Accounts!$D$39="","",[1]Accounts!$D$39)</f>
        <v/>
      </c>
      <c r="E38">
        <f>IF([1]Accounts!$D$39="","",[1]Accounts!$J$39)</f>
        <v/>
      </c>
      <c r="F38">
        <f>IF([1]Accounts!$D$39="","",[1]Accounts!$K$39)</f>
        <v/>
      </c>
      <c r="U38">
        <f>IF([2]Baskol!$B$41="","",[2]Baskol!$B$41)</f>
        <v/>
      </c>
      <c r="V38">
        <f>IF([2]Baskol!$C$41="","",[2]Baskol!$C$41)</f>
        <v/>
      </c>
      <c r="W38">
        <f>IF([2]Baskol!$D$41="","",[2]Baskol!$D$41)</f>
        <v/>
      </c>
      <c r="X38">
        <f>IF([2]Baskol!$E$41="","",[2]Baskol!$E$41)</f>
        <v/>
      </c>
      <c r="Y38">
        <f>IF([2]Baskol!$G$41="","",[2]Baskol!$G$41)</f>
        <v/>
      </c>
      <c r="Z38">
        <f>IF([2]Baskol!$I$41="","",[2]Baskol!$I$41)</f>
        <v/>
      </c>
      <c r="AA38">
        <f>IF([2]Baskol!$J$41="","",[2]Baskol!$J$41)</f>
        <v/>
      </c>
      <c r="AB38">
        <f>IF([2]Baskol!$K$41="","",[2]Baskol!$K$41)</f>
        <v/>
      </c>
      <c r="AC38">
        <f>IF([2]Baskol!$L$41="","",[2]Baskol!$L$41)</f>
        <v/>
      </c>
      <c r="AD38">
        <f>IF([2]Baskol!$N$41="","",[2]Baskol!$N$41)</f>
        <v/>
      </c>
      <c r="AE38">
        <f>IF([2]Baskol!$O$41="","",[2]Baskol!$O$41)</f>
        <v/>
      </c>
      <c r="AG38">
        <f>IF([3]Entry!$C$41="","",[3]Entry!$C$41)</f>
        <v/>
      </c>
      <c r="AH38">
        <f>IF([3]Entry!$D$41="","",[3]Entry!$D$41)</f>
        <v/>
      </c>
      <c r="AI38">
        <f>IF([3]Entry!$E$41="","",[3]Entry!$E$41)</f>
        <v/>
      </c>
      <c r="AJ38">
        <f>IF([3]Entry!$G$41="","",[3]Entry!$G$41)</f>
        <v/>
      </c>
      <c r="AK38">
        <f>IF([3]Entry!$K$41="","",[3]Entry!$K$41)</f>
        <v/>
      </c>
      <c r="AL38">
        <f>IF([3]Entry!$L$41="","",[3]Entry!$L$41)</f>
        <v/>
      </c>
      <c r="AM38">
        <f>IF([3]Entry!$M$41="","",[3]Entry!$M$41)</f>
        <v/>
      </c>
      <c r="AN38">
        <f>IF([3]Entry!$N$41="","",[3]Entry!$N$41)</f>
        <v/>
      </c>
      <c r="AO38">
        <f>IF([3]Entry!$R$41="","",[3]Entry!$R$41)</f>
        <v/>
      </c>
      <c r="AQ38">
        <f>IF(AND($D38&lt;&gt;"",$A38&lt;&gt;""),1,0)</f>
        <v/>
      </c>
      <c r="AR38">
        <f>SUM($AQ$6:$AQ38)</f>
        <v/>
      </c>
      <c r="AS38">
        <f>IFERROR(INDEX($A$6:$A$565,MATCH(ROW()-5,$AR$6:$AR$565,0)),"")</f>
        <v/>
      </c>
    </row>
    <row r="39">
      <c r="A39">
        <f>IF([1]Accounts!$D$40="","",[1]Accounts!$A$40)</f>
        <v/>
      </c>
      <c r="B39">
        <f>IF([1]Accounts!$D$40="","",[1]Accounts!$B$40)</f>
        <v/>
      </c>
      <c r="C39">
        <f>IF([1]Accounts!$D$40="","",[1]Accounts!$C$40)</f>
        <v/>
      </c>
      <c r="D39">
        <f>IF([1]Accounts!$D$40="","",[1]Accounts!$D$40)</f>
        <v/>
      </c>
      <c r="E39">
        <f>IF([1]Accounts!$D$40="","",[1]Accounts!$J$40)</f>
        <v/>
      </c>
      <c r="F39">
        <f>IF([1]Accounts!$D$40="","",[1]Accounts!$K$40)</f>
        <v/>
      </c>
      <c r="U39">
        <f>IF([2]Baskol!$B$42="","",[2]Baskol!$B$42)</f>
        <v/>
      </c>
      <c r="V39">
        <f>IF([2]Baskol!$C$42="","",[2]Baskol!$C$42)</f>
        <v/>
      </c>
      <c r="W39">
        <f>IF([2]Baskol!$D$42="","",[2]Baskol!$D$42)</f>
        <v/>
      </c>
      <c r="X39">
        <f>IF([2]Baskol!$E$42="","",[2]Baskol!$E$42)</f>
        <v/>
      </c>
      <c r="Y39">
        <f>IF([2]Baskol!$G$42="","",[2]Baskol!$G$42)</f>
        <v/>
      </c>
      <c r="Z39">
        <f>IF([2]Baskol!$I$42="","",[2]Baskol!$I$42)</f>
        <v/>
      </c>
      <c r="AA39">
        <f>IF([2]Baskol!$J$42="","",[2]Baskol!$J$42)</f>
        <v/>
      </c>
      <c r="AB39">
        <f>IF([2]Baskol!$K$42="","",[2]Baskol!$K$42)</f>
        <v/>
      </c>
      <c r="AC39">
        <f>IF([2]Baskol!$L$42="","",[2]Baskol!$L$42)</f>
        <v/>
      </c>
      <c r="AD39">
        <f>IF([2]Baskol!$N$42="","",[2]Baskol!$N$42)</f>
        <v/>
      </c>
      <c r="AE39">
        <f>IF([2]Baskol!$O$42="","",[2]Baskol!$O$42)</f>
        <v/>
      </c>
      <c r="AG39">
        <f>IF([3]Entry!$C$42="","",[3]Entry!$C$42)</f>
        <v/>
      </c>
      <c r="AH39">
        <f>IF([3]Entry!$D$42="","",[3]Entry!$D$42)</f>
        <v/>
      </c>
      <c r="AI39">
        <f>IF([3]Entry!$E$42="","",[3]Entry!$E$42)</f>
        <v/>
      </c>
      <c r="AJ39">
        <f>IF([3]Entry!$G$42="","",[3]Entry!$G$42)</f>
        <v/>
      </c>
      <c r="AK39">
        <f>IF([3]Entry!$K$42="","",[3]Entry!$K$42)</f>
        <v/>
      </c>
      <c r="AL39">
        <f>IF([3]Entry!$L$42="","",[3]Entry!$L$42)</f>
        <v/>
      </c>
      <c r="AM39">
        <f>IF([3]Entry!$M$42="","",[3]Entry!$M$42)</f>
        <v/>
      </c>
      <c r="AN39">
        <f>IF([3]Entry!$N$42="","",[3]Entry!$N$42)</f>
        <v/>
      </c>
      <c r="AO39">
        <f>IF([3]Entry!$R$42="","",[3]Entry!$R$42)</f>
        <v/>
      </c>
      <c r="AQ39">
        <f>IF(AND($D39&lt;&gt;"",$A39&lt;&gt;""),1,0)</f>
        <v/>
      </c>
      <c r="AR39">
        <f>SUM($AQ$6:$AQ39)</f>
        <v/>
      </c>
      <c r="AS39">
        <f>IFERROR(INDEX($A$6:$A$565,MATCH(ROW()-5,$AR$6:$AR$565,0)),"")</f>
        <v/>
      </c>
    </row>
    <row r="40">
      <c r="A40">
        <f>IF([1]Accounts!$D$41="","",[1]Accounts!$A$41)</f>
        <v/>
      </c>
      <c r="B40">
        <f>IF([1]Accounts!$D$41="","",[1]Accounts!$B$41)</f>
        <v/>
      </c>
      <c r="C40">
        <f>IF([1]Accounts!$D$41="","",[1]Accounts!$C$41)</f>
        <v/>
      </c>
      <c r="D40">
        <f>IF([1]Accounts!$D$41="","",[1]Accounts!$D$41)</f>
        <v/>
      </c>
      <c r="E40">
        <f>IF([1]Accounts!$D$41="","",[1]Accounts!$J$41)</f>
        <v/>
      </c>
      <c r="F40">
        <f>IF([1]Accounts!$D$41="","",[1]Accounts!$K$41)</f>
        <v/>
      </c>
      <c r="U40">
        <f>IF([2]Baskol!$B$43="","",[2]Baskol!$B$43)</f>
        <v/>
      </c>
      <c r="V40">
        <f>IF([2]Baskol!$C$43="","",[2]Baskol!$C$43)</f>
        <v/>
      </c>
      <c r="W40">
        <f>IF([2]Baskol!$D$43="","",[2]Baskol!$D$43)</f>
        <v/>
      </c>
      <c r="X40">
        <f>IF([2]Baskol!$E$43="","",[2]Baskol!$E$43)</f>
        <v/>
      </c>
      <c r="Y40">
        <f>IF([2]Baskol!$G$43="","",[2]Baskol!$G$43)</f>
        <v/>
      </c>
      <c r="Z40">
        <f>IF([2]Baskol!$I$43="","",[2]Baskol!$I$43)</f>
        <v/>
      </c>
      <c r="AA40">
        <f>IF([2]Baskol!$J$43="","",[2]Baskol!$J$43)</f>
        <v/>
      </c>
      <c r="AB40">
        <f>IF([2]Baskol!$K$43="","",[2]Baskol!$K$43)</f>
        <v/>
      </c>
      <c r="AC40">
        <f>IF([2]Baskol!$L$43="","",[2]Baskol!$L$43)</f>
        <v/>
      </c>
      <c r="AD40">
        <f>IF([2]Baskol!$N$43="","",[2]Baskol!$N$43)</f>
        <v/>
      </c>
      <c r="AE40">
        <f>IF([2]Baskol!$O$43="","",[2]Baskol!$O$43)</f>
        <v/>
      </c>
      <c r="AG40">
        <f>IF([3]Entry!$C$43="","",[3]Entry!$C$43)</f>
        <v/>
      </c>
      <c r="AH40">
        <f>IF([3]Entry!$D$43="","",[3]Entry!$D$43)</f>
        <v/>
      </c>
      <c r="AI40">
        <f>IF([3]Entry!$E$43="","",[3]Entry!$E$43)</f>
        <v/>
      </c>
      <c r="AJ40">
        <f>IF([3]Entry!$G$43="","",[3]Entry!$G$43)</f>
        <v/>
      </c>
      <c r="AK40">
        <f>IF([3]Entry!$K$43="","",[3]Entry!$K$43)</f>
        <v/>
      </c>
      <c r="AL40">
        <f>IF([3]Entry!$L$43="","",[3]Entry!$L$43)</f>
        <v/>
      </c>
      <c r="AM40">
        <f>IF([3]Entry!$M$43="","",[3]Entry!$M$43)</f>
        <v/>
      </c>
      <c r="AN40">
        <f>IF([3]Entry!$N$43="","",[3]Entry!$N$43)</f>
        <v/>
      </c>
      <c r="AO40">
        <f>IF([3]Entry!$R$43="","",[3]Entry!$R$43)</f>
        <v/>
      </c>
      <c r="AQ40">
        <f>IF(AND($D40&lt;&gt;"",$A40&lt;&gt;""),1,0)</f>
        <v/>
      </c>
      <c r="AR40">
        <f>SUM($AQ$6:$AQ40)</f>
        <v/>
      </c>
      <c r="AS40">
        <f>IFERROR(INDEX($A$6:$A$565,MATCH(ROW()-5,$AR$6:$AR$565,0)),"")</f>
        <v/>
      </c>
    </row>
    <row r="41">
      <c r="A41">
        <f>IF([1]Accounts!$D$42="","",[1]Accounts!$A$42)</f>
        <v/>
      </c>
      <c r="B41">
        <f>IF([1]Accounts!$D$42="","",[1]Accounts!$B$42)</f>
        <v/>
      </c>
      <c r="C41">
        <f>IF([1]Accounts!$D$42="","",[1]Accounts!$C$42)</f>
        <v/>
      </c>
      <c r="D41">
        <f>IF([1]Accounts!$D$42="","",[1]Accounts!$D$42)</f>
        <v/>
      </c>
      <c r="E41">
        <f>IF([1]Accounts!$D$42="","",[1]Accounts!$J$42)</f>
        <v/>
      </c>
      <c r="F41">
        <f>IF([1]Accounts!$D$42="","",[1]Accounts!$K$42)</f>
        <v/>
      </c>
      <c r="U41">
        <f>IF([2]Baskol!$B$44="","",[2]Baskol!$B$44)</f>
        <v/>
      </c>
      <c r="V41">
        <f>IF([2]Baskol!$C$44="","",[2]Baskol!$C$44)</f>
        <v/>
      </c>
      <c r="W41">
        <f>IF([2]Baskol!$D$44="","",[2]Baskol!$D$44)</f>
        <v/>
      </c>
      <c r="X41">
        <f>IF([2]Baskol!$E$44="","",[2]Baskol!$E$44)</f>
        <v/>
      </c>
      <c r="Y41">
        <f>IF([2]Baskol!$G$44="","",[2]Baskol!$G$44)</f>
        <v/>
      </c>
      <c r="Z41">
        <f>IF([2]Baskol!$I$44="","",[2]Baskol!$I$44)</f>
        <v/>
      </c>
      <c r="AA41">
        <f>IF([2]Baskol!$J$44="","",[2]Baskol!$J$44)</f>
        <v/>
      </c>
      <c r="AB41">
        <f>IF([2]Baskol!$K$44="","",[2]Baskol!$K$44)</f>
        <v/>
      </c>
      <c r="AC41">
        <f>IF([2]Baskol!$L$44="","",[2]Baskol!$L$44)</f>
        <v/>
      </c>
      <c r="AD41">
        <f>IF([2]Baskol!$N$44="","",[2]Baskol!$N$44)</f>
        <v/>
      </c>
      <c r="AE41">
        <f>IF([2]Baskol!$O$44="","",[2]Baskol!$O$44)</f>
        <v/>
      </c>
      <c r="AG41">
        <f>IF([3]Entry!$C$44="","",[3]Entry!$C$44)</f>
        <v/>
      </c>
      <c r="AH41">
        <f>IF([3]Entry!$D$44="","",[3]Entry!$D$44)</f>
        <v/>
      </c>
      <c r="AI41">
        <f>IF([3]Entry!$E$44="","",[3]Entry!$E$44)</f>
        <v/>
      </c>
      <c r="AJ41">
        <f>IF([3]Entry!$G$44="","",[3]Entry!$G$44)</f>
        <v/>
      </c>
      <c r="AK41">
        <f>IF([3]Entry!$K$44="","",[3]Entry!$K$44)</f>
        <v/>
      </c>
      <c r="AL41">
        <f>IF([3]Entry!$L$44="","",[3]Entry!$L$44)</f>
        <v/>
      </c>
      <c r="AM41">
        <f>IF([3]Entry!$M$44="","",[3]Entry!$M$44)</f>
        <v/>
      </c>
      <c r="AN41">
        <f>IF([3]Entry!$N$44="","",[3]Entry!$N$44)</f>
        <v/>
      </c>
      <c r="AO41">
        <f>IF([3]Entry!$R$44="","",[3]Entry!$R$44)</f>
        <v/>
      </c>
      <c r="AQ41">
        <f>IF(AND($D41&lt;&gt;"",$A41&lt;&gt;""),1,0)</f>
        <v/>
      </c>
      <c r="AR41">
        <f>SUM($AQ$6:$AQ41)</f>
        <v/>
      </c>
      <c r="AS41">
        <f>IFERROR(INDEX($A$6:$A$565,MATCH(ROW()-5,$AR$6:$AR$565,0)),"")</f>
        <v/>
      </c>
    </row>
    <row r="42">
      <c r="A42">
        <f>IF([1]Accounts!$D$43="","",[1]Accounts!$A$43)</f>
        <v/>
      </c>
      <c r="B42">
        <f>IF([1]Accounts!$D$43="","",[1]Accounts!$B$43)</f>
        <v/>
      </c>
      <c r="C42">
        <f>IF([1]Accounts!$D$43="","",[1]Accounts!$C$43)</f>
        <v/>
      </c>
      <c r="D42">
        <f>IF([1]Accounts!$D$43="","",[1]Accounts!$D$43)</f>
        <v/>
      </c>
      <c r="E42">
        <f>IF([1]Accounts!$D$43="","",[1]Accounts!$J$43)</f>
        <v/>
      </c>
      <c r="F42">
        <f>IF([1]Accounts!$D$43="","",[1]Accounts!$K$43)</f>
        <v/>
      </c>
      <c r="U42">
        <f>IF([2]Baskol!$B$45="","",[2]Baskol!$B$45)</f>
        <v/>
      </c>
      <c r="V42">
        <f>IF([2]Baskol!$C$45="","",[2]Baskol!$C$45)</f>
        <v/>
      </c>
      <c r="W42">
        <f>IF([2]Baskol!$D$45="","",[2]Baskol!$D$45)</f>
        <v/>
      </c>
      <c r="X42">
        <f>IF([2]Baskol!$E$45="","",[2]Baskol!$E$45)</f>
        <v/>
      </c>
      <c r="Y42">
        <f>IF([2]Baskol!$G$45="","",[2]Baskol!$G$45)</f>
        <v/>
      </c>
      <c r="Z42">
        <f>IF([2]Baskol!$I$45="","",[2]Baskol!$I$45)</f>
        <v/>
      </c>
      <c r="AA42">
        <f>IF([2]Baskol!$J$45="","",[2]Baskol!$J$45)</f>
        <v/>
      </c>
      <c r="AB42">
        <f>IF([2]Baskol!$K$45="","",[2]Baskol!$K$45)</f>
        <v/>
      </c>
      <c r="AC42">
        <f>IF([2]Baskol!$L$45="","",[2]Baskol!$L$45)</f>
        <v/>
      </c>
      <c r="AD42">
        <f>IF([2]Baskol!$N$45="","",[2]Baskol!$N$45)</f>
        <v/>
      </c>
      <c r="AE42">
        <f>IF([2]Baskol!$O$45="","",[2]Baskol!$O$45)</f>
        <v/>
      </c>
      <c r="AG42">
        <f>IF([3]Entry!$C$45="","",[3]Entry!$C$45)</f>
        <v/>
      </c>
      <c r="AH42">
        <f>IF([3]Entry!$D$45="","",[3]Entry!$D$45)</f>
        <v/>
      </c>
      <c r="AI42">
        <f>IF([3]Entry!$E$45="","",[3]Entry!$E$45)</f>
        <v/>
      </c>
      <c r="AJ42">
        <f>IF([3]Entry!$G$45="","",[3]Entry!$G$45)</f>
        <v/>
      </c>
      <c r="AK42">
        <f>IF([3]Entry!$K$45="","",[3]Entry!$K$45)</f>
        <v/>
      </c>
      <c r="AL42">
        <f>IF([3]Entry!$L$45="","",[3]Entry!$L$45)</f>
        <v/>
      </c>
      <c r="AM42">
        <f>IF([3]Entry!$M$45="","",[3]Entry!$M$45)</f>
        <v/>
      </c>
      <c r="AN42">
        <f>IF([3]Entry!$N$45="","",[3]Entry!$N$45)</f>
        <v/>
      </c>
      <c r="AO42">
        <f>IF([3]Entry!$R$45="","",[3]Entry!$R$45)</f>
        <v/>
      </c>
      <c r="AQ42">
        <f>IF(AND($D42&lt;&gt;"",$A42&lt;&gt;""),1,0)</f>
        <v/>
      </c>
      <c r="AR42">
        <f>SUM($AQ$6:$AQ42)</f>
        <v/>
      </c>
      <c r="AS42">
        <f>IFERROR(INDEX($A$6:$A$565,MATCH(ROW()-5,$AR$6:$AR$565,0)),"")</f>
        <v/>
      </c>
    </row>
    <row r="43">
      <c r="A43">
        <f>IF([1]Accounts!$D$44="","",[1]Accounts!$A$44)</f>
        <v/>
      </c>
      <c r="B43">
        <f>IF([1]Accounts!$D$44="","",[1]Accounts!$B$44)</f>
        <v/>
      </c>
      <c r="C43">
        <f>IF([1]Accounts!$D$44="","",[1]Accounts!$C$44)</f>
        <v/>
      </c>
      <c r="D43">
        <f>IF([1]Accounts!$D$44="","",[1]Accounts!$D$44)</f>
        <v/>
      </c>
      <c r="E43">
        <f>IF([1]Accounts!$D$44="","",[1]Accounts!$J$44)</f>
        <v/>
      </c>
      <c r="F43">
        <f>IF([1]Accounts!$D$44="","",[1]Accounts!$K$44)</f>
        <v/>
      </c>
      <c r="U43">
        <f>IF([2]Baskol!$B$46="","",[2]Baskol!$B$46)</f>
        <v/>
      </c>
      <c r="V43">
        <f>IF([2]Baskol!$C$46="","",[2]Baskol!$C$46)</f>
        <v/>
      </c>
      <c r="W43">
        <f>IF([2]Baskol!$D$46="","",[2]Baskol!$D$46)</f>
        <v/>
      </c>
      <c r="X43">
        <f>IF([2]Baskol!$E$46="","",[2]Baskol!$E$46)</f>
        <v/>
      </c>
      <c r="Y43">
        <f>IF([2]Baskol!$G$46="","",[2]Baskol!$G$46)</f>
        <v/>
      </c>
      <c r="Z43">
        <f>IF([2]Baskol!$I$46="","",[2]Baskol!$I$46)</f>
        <v/>
      </c>
      <c r="AA43">
        <f>IF([2]Baskol!$J$46="","",[2]Baskol!$J$46)</f>
        <v/>
      </c>
      <c r="AB43">
        <f>IF([2]Baskol!$K$46="","",[2]Baskol!$K$46)</f>
        <v/>
      </c>
      <c r="AC43">
        <f>IF([2]Baskol!$L$46="","",[2]Baskol!$L$46)</f>
        <v/>
      </c>
      <c r="AD43">
        <f>IF([2]Baskol!$N$46="","",[2]Baskol!$N$46)</f>
        <v/>
      </c>
      <c r="AE43">
        <f>IF([2]Baskol!$O$46="","",[2]Baskol!$O$46)</f>
        <v/>
      </c>
      <c r="AG43">
        <f>IF([3]Entry!$C$46="","",[3]Entry!$C$46)</f>
        <v/>
      </c>
      <c r="AH43">
        <f>IF([3]Entry!$D$46="","",[3]Entry!$D$46)</f>
        <v/>
      </c>
      <c r="AI43">
        <f>IF([3]Entry!$E$46="","",[3]Entry!$E$46)</f>
        <v/>
      </c>
      <c r="AJ43">
        <f>IF([3]Entry!$G$46="","",[3]Entry!$G$46)</f>
        <v/>
      </c>
      <c r="AK43">
        <f>IF([3]Entry!$K$46="","",[3]Entry!$K$46)</f>
        <v/>
      </c>
      <c r="AL43">
        <f>IF([3]Entry!$L$46="","",[3]Entry!$L$46)</f>
        <v/>
      </c>
      <c r="AM43">
        <f>IF([3]Entry!$M$46="","",[3]Entry!$M$46)</f>
        <v/>
      </c>
      <c r="AN43">
        <f>IF([3]Entry!$N$46="","",[3]Entry!$N$46)</f>
        <v/>
      </c>
      <c r="AO43">
        <f>IF([3]Entry!$R$46="","",[3]Entry!$R$46)</f>
        <v/>
      </c>
      <c r="AQ43">
        <f>IF(AND($D43&lt;&gt;"",$A43&lt;&gt;""),1,0)</f>
        <v/>
      </c>
      <c r="AR43">
        <f>SUM($AQ$6:$AQ43)</f>
        <v/>
      </c>
      <c r="AS43">
        <f>IFERROR(INDEX($A$6:$A$565,MATCH(ROW()-5,$AR$6:$AR$565,0)),"")</f>
        <v/>
      </c>
    </row>
    <row r="44">
      <c r="A44">
        <f>IF([1]Accounts!$D$45="","",[1]Accounts!$A$45)</f>
        <v/>
      </c>
      <c r="B44">
        <f>IF([1]Accounts!$D$45="","",[1]Accounts!$B$45)</f>
        <v/>
      </c>
      <c r="C44">
        <f>IF([1]Accounts!$D$45="","",[1]Accounts!$C$45)</f>
        <v/>
      </c>
      <c r="D44">
        <f>IF([1]Accounts!$D$45="","",[1]Accounts!$D$45)</f>
        <v/>
      </c>
      <c r="E44">
        <f>IF([1]Accounts!$D$45="","",[1]Accounts!$J$45)</f>
        <v/>
      </c>
      <c r="F44">
        <f>IF([1]Accounts!$D$45="","",[1]Accounts!$K$45)</f>
        <v/>
      </c>
      <c r="U44">
        <f>IF([2]Baskol!$B$47="","",[2]Baskol!$B$47)</f>
        <v/>
      </c>
      <c r="V44">
        <f>IF([2]Baskol!$C$47="","",[2]Baskol!$C$47)</f>
        <v/>
      </c>
      <c r="W44">
        <f>IF([2]Baskol!$D$47="","",[2]Baskol!$D$47)</f>
        <v/>
      </c>
      <c r="X44">
        <f>IF([2]Baskol!$E$47="","",[2]Baskol!$E$47)</f>
        <v/>
      </c>
      <c r="Y44">
        <f>IF([2]Baskol!$G$47="","",[2]Baskol!$G$47)</f>
        <v/>
      </c>
      <c r="Z44">
        <f>IF([2]Baskol!$I$47="","",[2]Baskol!$I$47)</f>
        <v/>
      </c>
      <c r="AA44">
        <f>IF([2]Baskol!$J$47="","",[2]Baskol!$J$47)</f>
        <v/>
      </c>
      <c r="AB44">
        <f>IF([2]Baskol!$K$47="","",[2]Baskol!$K$47)</f>
        <v/>
      </c>
      <c r="AC44">
        <f>IF([2]Baskol!$L$47="","",[2]Baskol!$L$47)</f>
        <v/>
      </c>
      <c r="AD44">
        <f>IF([2]Baskol!$N$47="","",[2]Baskol!$N$47)</f>
        <v/>
      </c>
      <c r="AE44">
        <f>IF([2]Baskol!$O$47="","",[2]Baskol!$O$47)</f>
        <v/>
      </c>
      <c r="AG44">
        <f>IF([3]Entry!$C$47="","",[3]Entry!$C$47)</f>
        <v/>
      </c>
      <c r="AH44">
        <f>IF([3]Entry!$D$47="","",[3]Entry!$D$47)</f>
        <v/>
      </c>
      <c r="AI44">
        <f>IF([3]Entry!$E$47="","",[3]Entry!$E$47)</f>
        <v/>
      </c>
      <c r="AJ44">
        <f>IF([3]Entry!$G$47="","",[3]Entry!$G$47)</f>
        <v/>
      </c>
      <c r="AK44">
        <f>IF([3]Entry!$K$47="","",[3]Entry!$K$47)</f>
        <v/>
      </c>
      <c r="AL44">
        <f>IF([3]Entry!$L$47="","",[3]Entry!$L$47)</f>
        <v/>
      </c>
      <c r="AM44">
        <f>IF([3]Entry!$M$47="","",[3]Entry!$M$47)</f>
        <v/>
      </c>
      <c r="AN44">
        <f>IF([3]Entry!$N$47="","",[3]Entry!$N$47)</f>
        <v/>
      </c>
      <c r="AO44">
        <f>IF([3]Entry!$R$47="","",[3]Entry!$R$47)</f>
        <v/>
      </c>
      <c r="AQ44">
        <f>IF(AND($D44&lt;&gt;"",$A44&lt;&gt;""),1,0)</f>
        <v/>
      </c>
      <c r="AR44">
        <f>SUM($AQ$6:$AQ44)</f>
        <v/>
      </c>
      <c r="AS44">
        <f>IFERROR(INDEX($A$6:$A$565,MATCH(ROW()-5,$AR$6:$AR$565,0)),"")</f>
        <v/>
      </c>
    </row>
    <row r="45">
      <c r="A45">
        <f>IF([1]Accounts!$D$46="","",[1]Accounts!$A$46)</f>
        <v/>
      </c>
      <c r="B45">
        <f>IF([1]Accounts!$D$46="","",[1]Accounts!$B$46)</f>
        <v/>
      </c>
      <c r="C45">
        <f>IF([1]Accounts!$D$46="","",[1]Accounts!$C$46)</f>
        <v/>
      </c>
      <c r="D45">
        <f>IF([1]Accounts!$D$46="","",[1]Accounts!$D$46)</f>
        <v/>
      </c>
      <c r="E45">
        <f>IF([1]Accounts!$D$46="","",[1]Accounts!$J$46)</f>
        <v/>
      </c>
      <c r="F45">
        <f>IF([1]Accounts!$D$46="","",[1]Accounts!$K$46)</f>
        <v/>
      </c>
      <c r="U45">
        <f>IF([2]Baskol!$B$48="","",[2]Baskol!$B$48)</f>
        <v/>
      </c>
      <c r="V45">
        <f>IF([2]Baskol!$C$48="","",[2]Baskol!$C$48)</f>
        <v/>
      </c>
      <c r="W45">
        <f>IF([2]Baskol!$D$48="","",[2]Baskol!$D$48)</f>
        <v/>
      </c>
      <c r="X45">
        <f>IF([2]Baskol!$E$48="","",[2]Baskol!$E$48)</f>
        <v/>
      </c>
      <c r="Y45">
        <f>IF([2]Baskol!$G$48="","",[2]Baskol!$G$48)</f>
        <v/>
      </c>
      <c r="Z45">
        <f>IF([2]Baskol!$I$48="","",[2]Baskol!$I$48)</f>
        <v/>
      </c>
      <c r="AA45">
        <f>IF([2]Baskol!$J$48="","",[2]Baskol!$J$48)</f>
        <v/>
      </c>
      <c r="AB45">
        <f>IF([2]Baskol!$K$48="","",[2]Baskol!$K$48)</f>
        <v/>
      </c>
      <c r="AC45">
        <f>IF([2]Baskol!$L$48="","",[2]Baskol!$L$48)</f>
        <v/>
      </c>
      <c r="AD45">
        <f>IF([2]Baskol!$N$48="","",[2]Baskol!$N$48)</f>
        <v/>
      </c>
      <c r="AE45">
        <f>IF([2]Baskol!$O$48="","",[2]Baskol!$O$48)</f>
        <v/>
      </c>
      <c r="AG45">
        <f>IF([3]Entry!$C$48="","",[3]Entry!$C$48)</f>
        <v/>
      </c>
      <c r="AH45">
        <f>IF([3]Entry!$D$48="","",[3]Entry!$D$48)</f>
        <v/>
      </c>
      <c r="AI45">
        <f>IF([3]Entry!$E$48="","",[3]Entry!$E$48)</f>
        <v/>
      </c>
      <c r="AJ45">
        <f>IF([3]Entry!$G$48="","",[3]Entry!$G$48)</f>
        <v/>
      </c>
      <c r="AK45">
        <f>IF([3]Entry!$K$48="","",[3]Entry!$K$48)</f>
        <v/>
      </c>
      <c r="AL45">
        <f>IF([3]Entry!$L$48="","",[3]Entry!$L$48)</f>
        <v/>
      </c>
      <c r="AM45">
        <f>IF([3]Entry!$M$48="","",[3]Entry!$M$48)</f>
        <v/>
      </c>
      <c r="AN45">
        <f>IF([3]Entry!$N$48="","",[3]Entry!$N$48)</f>
        <v/>
      </c>
      <c r="AO45">
        <f>IF([3]Entry!$R$48="","",[3]Entry!$R$48)</f>
        <v/>
      </c>
      <c r="AQ45">
        <f>IF(AND($D45&lt;&gt;"",$A45&lt;&gt;""),1,0)</f>
        <v/>
      </c>
      <c r="AR45">
        <f>SUM($AQ$6:$AQ45)</f>
        <v/>
      </c>
      <c r="AS45">
        <f>IFERROR(INDEX($A$6:$A$565,MATCH(ROW()-5,$AR$6:$AR$565,0)),"")</f>
        <v/>
      </c>
    </row>
    <row r="46">
      <c r="A46">
        <f>IF([1]Accounts!$D$47="","",[1]Accounts!$A$47)</f>
        <v/>
      </c>
      <c r="B46">
        <f>IF([1]Accounts!$D$47="","",[1]Accounts!$B$47)</f>
        <v/>
      </c>
      <c r="C46">
        <f>IF([1]Accounts!$D$47="","",[1]Accounts!$C$47)</f>
        <v/>
      </c>
      <c r="D46">
        <f>IF([1]Accounts!$D$47="","",[1]Accounts!$D$47)</f>
        <v/>
      </c>
      <c r="E46">
        <f>IF([1]Accounts!$D$47="","",[1]Accounts!$J$47)</f>
        <v/>
      </c>
      <c r="F46">
        <f>IF([1]Accounts!$D$47="","",[1]Accounts!$K$47)</f>
        <v/>
      </c>
      <c r="U46">
        <f>IF([2]Baskol!$B$49="","",[2]Baskol!$B$49)</f>
        <v/>
      </c>
      <c r="V46">
        <f>IF([2]Baskol!$C$49="","",[2]Baskol!$C$49)</f>
        <v/>
      </c>
      <c r="W46">
        <f>IF([2]Baskol!$D$49="","",[2]Baskol!$D$49)</f>
        <v/>
      </c>
      <c r="X46">
        <f>IF([2]Baskol!$E$49="","",[2]Baskol!$E$49)</f>
        <v/>
      </c>
      <c r="Y46">
        <f>IF([2]Baskol!$G$49="","",[2]Baskol!$G$49)</f>
        <v/>
      </c>
      <c r="Z46">
        <f>IF([2]Baskol!$I$49="","",[2]Baskol!$I$49)</f>
        <v/>
      </c>
      <c r="AA46">
        <f>IF([2]Baskol!$J$49="","",[2]Baskol!$J$49)</f>
        <v/>
      </c>
      <c r="AB46">
        <f>IF([2]Baskol!$K$49="","",[2]Baskol!$K$49)</f>
        <v/>
      </c>
      <c r="AC46">
        <f>IF([2]Baskol!$L$49="","",[2]Baskol!$L$49)</f>
        <v/>
      </c>
      <c r="AD46">
        <f>IF([2]Baskol!$N$49="","",[2]Baskol!$N$49)</f>
        <v/>
      </c>
      <c r="AE46">
        <f>IF([2]Baskol!$O$49="","",[2]Baskol!$O$49)</f>
        <v/>
      </c>
      <c r="AG46">
        <f>IF([3]Entry!$C$49="","",[3]Entry!$C$49)</f>
        <v/>
      </c>
      <c r="AH46">
        <f>IF([3]Entry!$D$49="","",[3]Entry!$D$49)</f>
        <v/>
      </c>
      <c r="AI46">
        <f>IF([3]Entry!$E$49="","",[3]Entry!$E$49)</f>
        <v/>
      </c>
      <c r="AJ46">
        <f>IF([3]Entry!$G$49="","",[3]Entry!$G$49)</f>
        <v/>
      </c>
      <c r="AK46">
        <f>IF([3]Entry!$K$49="","",[3]Entry!$K$49)</f>
        <v/>
      </c>
      <c r="AL46">
        <f>IF([3]Entry!$L$49="","",[3]Entry!$L$49)</f>
        <v/>
      </c>
      <c r="AM46">
        <f>IF([3]Entry!$M$49="","",[3]Entry!$M$49)</f>
        <v/>
      </c>
      <c r="AN46">
        <f>IF([3]Entry!$N$49="","",[3]Entry!$N$49)</f>
        <v/>
      </c>
      <c r="AO46">
        <f>IF([3]Entry!$R$49="","",[3]Entry!$R$49)</f>
        <v/>
      </c>
      <c r="AQ46">
        <f>IF(AND($D46&lt;&gt;"",$A46&lt;&gt;""),1,0)</f>
        <v/>
      </c>
      <c r="AR46">
        <f>SUM($AQ$6:$AQ46)</f>
        <v/>
      </c>
      <c r="AS46">
        <f>IFERROR(INDEX($A$6:$A$565,MATCH(ROW()-5,$AR$6:$AR$565,0)),"")</f>
        <v/>
      </c>
    </row>
    <row r="47">
      <c r="A47">
        <f>IF([1]Accounts!$D$48="","",[1]Accounts!$A$48)</f>
        <v/>
      </c>
      <c r="B47">
        <f>IF([1]Accounts!$D$48="","",[1]Accounts!$B$48)</f>
        <v/>
      </c>
      <c r="C47">
        <f>IF([1]Accounts!$D$48="","",[1]Accounts!$C$48)</f>
        <v/>
      </c>
      <c r="D47">
        <f>IF([1]Accounts!$D$48="","",[1]Accounts!$D$48)</f>
        <v/>
      </c>
      <c r="E47">
        <f>IF([1]Accounts!$D$48="","",[1]Accounts!$J$48)</f>
        <v/>
      </c>
      <c r="F47">
        <f>IF([1]Accounts!$D$48="","",[1]Accounts!$K$48)</f>
        <v/>
      </c>
      <c r="U47">
        <f>IF([2]Baskol!$B$50="","",[2]Baskol!$B$50)</f>
        <v/>
      </c>
      <c r="V47">
        <f>IF([2]Baskol!$C$50="","",[2]Baskol!$C$50)</f>
        <v/>
      </c>
      <c r="W47">
        <f>IF([2]Baskol!$D$50="","",[2]Baskol!$D$50)</f>
        <v/>
      </c>
      <c r="X47">
        <f>IF([2]Baskol!$E$50="","",[2]Baskol!$E$50)</f>
        <v/>
      </c>
      <c r="Y47">
        <f>IF([2]Baskol!$G$50="","",[2]Baskol!$G$50)</f>
        <v/>
      </c>
      <c r="Z47">
        <f>IF([2]Baskol!$I$50="","",[2]Baskol!$I$50)</f>
        <v/>
      </c>
      <c r="AA47">
        <f>IF([2]Baskol!$J$50="","",[2]Baskol!$J$50)</f>
        <v/>
      </c>
      <c r="AB47">
        <f>IF([2]Baskol!$K$50="","",[2]Baskol!$K$50)</f>
        <v/>
      </c>
      <c r="AC47">
        <f>IF([2]Baskol!$L$50="","",[2]Baskol!$L$50)</f>
        <v/>
      </c>
      <c r="AD47">
        <f>IF([2]Baskol!$N$50="","",[2]Baskol!$N$50)</f>
        <v/>
      </c>
      <c r="AE47">
        <f>IF([2]Baskol!$O$50="","",[2]Baskol!$O$50)</f>
        <v/>
      </c>
      <c r="AG47">
        <f>IF([3]Entry!$C$50="","",[3]Entry!$C$50)</f>
        <v/>
      </c>
      <c r="AH47">
        <f>IF([3]Entry!$D$50="","",[3]Entry!$D$50)</f>
        <v/>
      </c>
      <c r="AI47">
        <f>IF([3]Entry!$E$50="","",[3]Entry!$E$50)</f>
        <v/>
      </c>
      <c r="AJ47">
        <f>IF([3]Entry!$G$50="","",[3]Entry!$G$50)</f>
        <v/>
      </c>
      <c r="AK47">
        <f>IF([3]Entry!$K$50="","",[3]Entry!$K$50)</f>
        <v/>
      </c>
      <c r="AL47">
        <f>IF([3]Entry!$L$50="","",[3]Entry!$L$50)</f>
        <v/>
      </c>
      <c r="AM47">
        <f>IF([3]Entry!$M$50="","",[3]Entry!$M$50)</f>
        <v/>
      </c>
      <c r="AN47">
        <f>IF([3]Entry!$N$50="","",[3]Entry!$N$50)</f>
        <v/>
      </c>
      <c r="AO47">
        <f>IF([3]Entry!$R$50="","",[3]Entry!$R$50)</f>
        <v/>
      </c>
      <c r="AQ47">
        <f>IF(AND($D47&lt;&gt;"",$A47&lt;&gt;""),1,0)</f>
        <v/>
      </c>
      <c r="AR47">
        <f>SUM($AQ$6:$AQ47)</f>
        <v/>
      </c>
      <c r="AS47">
        <f>IFERROR(INDEX($A$6:$A$565,MATCH(ROW()-5,$AR$6:$AR$565,0)),"")</f>
        <v/>
      </c>
    </row>
    <row r="48">
      <c r="A48">
        <f>IF([1]Accounts!$D$49="","",[1]Accounts!$A$49)</f>
        <v/>
      </c>
      <c r="B48">
        <f>IF([1]Accounts!$D$49="","",[1]Accounts!$B$49)</f>
        <v/>
      </c>
      <c r="C48">
        <f>IF([1]Accounts!$D$49="","",[1]Accounts!$C$49)</f>
        <v/>
      </c>
      <c r="D48">
        <f>IF([1]Accounts!$D$49="","",[1]Accounts!$D$49)</f>
        <v/>
      </c>
      <c r="E48">
        <f>IF([1]Accounts!$D$49="","",[1]Accounts!$J$49)</f>
        <v/>
      </c>
      <c r="F48">
        <f>IF([1]Accounts!$D$49="","",[1]Accounts!$K$49)</f>
        <v/>
      </c>
      <c r="U48">
        <f>IF([2]Baskol!$B$51="","",[2]Baskol!$B$51)</f>
        <v/>
      </c>
      <c r="V48">
        <f>IF([2]Baskol!$C$51="","",[2]Baskol!$C$51)</f>
        <v/>
      </c>
      <c r="W48">
        <f>IF([2]Baskol!$D$51="","",[2]Baskol!$D$51)</f>
        <v/>
      </c>
      <c r="X48">
        <f>IF([2]Baskol!$E$51="","",[2]Baskol!$E$51)</f>
        <v/>
      </c>
      <c r="Y48">
        <f>IF([2]Baskol!$G$51="","",[2]Baskol!$G$51)</f>
        <v/>
      </c>
      <c r="Z48">
        <f>IF([2]Baskol!$I$51="","",[2]Baskol!$I$51)</f>
        <v/>
      </c>
      <c r="AA48">
        <f>IF([2]Baskol!$J$51="","",[2]Baskol!$J$51)</f>
        <v/>
      </c>
      <c r="AB48">
        <f>IF([2]Baskol!$K$51="","",[2]Baskol!$K$51)</f>
        <v/>
      </c>
      <c r="AC48">
        <f>IF([2]Baskol!$L$51="","",[2]Baskol!$L$51)</f>
        <v/>
      </c>
      <c r="AD48">
        <f>IF([2]Baskol!$N$51="","",[2]Baskol!$N$51)</f>
        <v/>
      </c>
      <c r="AE48">
        <f>IF([2]Baskol!$O$51="","",[2]Baskol!$O$51)</f>
        <v/>
      </c>
      <c r="AG48">
        <f>IF([3]Entry!$C$51="","",[3]Entry!$C$51)</f>
        <v/>
      </c>
      <c r="AH48">
        <f>IF([3]Entry!$D$51="","",[3]Entry!$D$51)</f>
        <v/>
      </c>
      <c r="AI48">
        <f>IF([3]Entry!$E$51="","",[3]Entry!$E$51)</f>
        <v/>
      </c>
      <c r="AJ48">
        <f>IF([3]Entry!$G$51="","",[3]Entry!$G$51)</f>
        <v/>
      </c>
      <c r="AK48">
        <f>IF([3]Entry!$K$51="","",[3]Entry!$K$51)</f>
        <v/>
      </c>
      <c r="AL48">
        <f>IF([3]Entry!$L$51="","",[3]Entry!$L$51)</f>
        <v/>
      </c>
      <c r="AM48">
        <f>IF([3]Entry!$M$51="","",[3]Entry!$M$51)</f>
        <v/>
      </c>
      <c r="AN48">
        <f>IF([3]Entry!$N$51="","",[3]Entry!$N$51)</f>
        <v/>
      </c>
      <c r="AO48">
        <f>IF([3]Entry!$R$51="","",[3]Entry!$R$51)</f>
        <v/>
      </c>
      <c r="AQ48">
        <f>IF(AND($D48&lt;&gt;"",$A48&lt;&gt;""),1,0)</f>
        <v/>
      </c>
      <c r="AR48">
        <f>SUM($AQ$6:$AQ48)</f>
        <v/>
      </c>
      <c r="AS48">
        <f>IFERROR(INDEX($A$6:$A$565,MATCH(ROW()-5,$AR$6:$AR$565,0)),"")</f>
        <v/>
      </c>
    </row>
    <row r="49">
      <c r="A49">
        <f>IF([1]Accounts!$D$50="","",[1]Accounts!$A$50)</f>
        <v/>
      </c>
      <c r="B49">
        <f>IF([1]Accounts!$D$50="","",[1]Accounts!$B$50)</f>
        <v/>
      </c>
      <c r="C49">
        <f>IF([1]Accounts!$D$50="","",[1]Accounts!$C$50)</f>
        <v/>
      </c>
      <c r="D49">
        <f>IF([1]Accounts!$D$50="","",[1]Accounts!$D$50)</f>
        <v/>
      </c>
      <c r="E49">
        <f>IF([1]Accounts!$D$50="","",[1]Accounts!$J$50)</f>
        <v/>
      </c>
      <c r="F49">
        <f>IF([1]Accounts!$D$50="","",[1]Accounts!$K$50)</f>
        <v/>
      </c>
      <c r="U49">
        <f>IF([2]Baskol!$B$52="","",[2]Baskol!$B$52)</f>
        <v/>
      </c>
      <c r="V49">
        <f>IF([2]Baskol!$C$52="","",[2]Baskol!$C$52)</f>
        <v/>
      </c>
      <c r="W49">
        <f>IF([2]Baskol!$D$52="","",[2]Baskol!$D$52)</f>
        <v/>
      </c>
      <c r="X49">
        <f>IF([2]Baskol!$E$52="","",[2]Baskol!$E$52)</f>
        <v/>
      </c>
      <c r="Y49">
        <f>IF([2]Baskol!$G$52="","",[2]Baskol!$G$52)</f>
        <v/>
      </c>
      <c r="Z49">
        <f>IF([2]Baskol!$I$52="","",[2]Baskol!$I$52)</f>
        <v/>
      </c>
      <c r="AA49">
        <f>IF([2]Baskol!$J$52="","",[2]Baskol!$J$52)</f>
        <v/>
      </c>
      <c r="AB49">
        <f>IF([2]Baskol!$K$52="","",[2]Baskol!$K$52)</f>
        <v/>
      </c>
      <c r="AC49">
        <f>IF([2]Baskol!$L$52="","",[2]Baskol!$L$52)</f>
        <v/>
      </c>
      <c r="AD49">
        <f>IF([2]Baskol!$N$52="","",[2]Baskol!$N$52)</f>
        <v/>
      </c>
      <c r="AE49">
        <f>IF([2]Baskol!$O$52="","",[2]Baskol!$O$52)</f>
        <v/>
      </c>
      <c r="AG49">
        <f>IF([3]Entry!$C$52="","",[3]Entry!$C$52)</f>
        <v/>
      </c>
      <c r="AH49">
        <f>IF([3]Entry!$D$52="","",[3]Entry!$D$52)</f>
        <v/>
      </c>
      <c r="AI49">
        <f>IF([3]Entry!$E$52="","",[3]Entry!$E$52)</f>
        <v/>
      </c>
      <c r="AJ49">
        <f>IF([3]Entry!$G$52="","",[3]Entry!$G$52)</f>
        <v/>
      </c>
      <c r="AK49">
        <f>IF([3]Entry!$K$52="","",[3]Entry!$K$52)</f>
        <v/>
      </c>
      <c r="AL49">
        <f>IF([3]Entry!$L$52="","",[3]Entry!$L$52)</f>
        <v/>
      </c>
      <c r="AM49">
        <f>IF([3]Entry!$M$52="","",[3]Entry!$M$52)</f>
        <v/>
      </c>
      <c r="AN49">
        <f>IF([3]Entry!$N$52="","",[3]Entry!$N$52)</f>
        <v/>
      </c>
      <c r="AO49">
        <f>IF([3]Entry!$R$52="","",[3]Entry!$R$52)</f>
        <v/>
      </c>
      <c r="AQ49">
        <f>IF(AND($D49&lt;&gt;"",$A49&lt;&gt;""),1,0)</f>
        <v/>
      </c>
      <c r="AR49">
        <f>SUM($AQ$6:$AQ49)</f>
        <v/>
      </c>
      <c r="AS49">
        <f>IFERROR(INDEX($A$6:$A$565,MATCH(ROW()-5,$AR$6:$AR$565,0)),"")</f>
        <v/>
      </c>
    </row>
    <row r="50">
      <c r="A50">
        <f>IF([1]Accounts!$D$51="","",[1]Accounts!$A$51)</f>
        <v/>
      </c>
      <c r="B50">
        <f>IF([1]Accounts!$D$51="","",[1]Accounts!$B$51)</f>
        <v/>
      </c>
      <c r="C50">
        <f>IF([1]Accounts!$D$51="","",[1]Accounts!$C$51)</f>
        <v/>
      </c>
      <c r="D50">
        <f>IF([1]Accounts!$D$51="","",[1]Accounts!$D$51)</f>
        <v/>
      </c>
      <c r="E50">
        <f>IF([1]Accounts!$D$51="","",[1]Accounts!$J$51)</f>
        <v/>
      </c>
      <c r="F50">
        <f>IF([1]Accounts!$D$51="","",[1]Accounts!$K$51)</f>
        <v/>
      </c>
      <c r="U50">
        <f>IF([2]Baskol!$B$53="","",[2]Baskol!$B$53)</f>
        <v/>
      </c>
      <c r="V50">
        <f>IF([2]Baskol!$C$53="","",[2]Baskol!$C$53)</f>
        <v/>
      </c>
      <c r="W50">
        <f>IF([2]Baskol!$D$53="","",[2]Baskol!$D$53)</f>
        <v/>
      </c>
      <c r="X50">
        <f>IF([2]Baskol!$E$53="","",[2]Baskol!$E$53)</f>
        <v/>
      </c>
      <c r="Y50">
        <f>IF([2]Baskol!$G$53="","",[2]Baskol!$G$53)</f>
        <v/>
      </c>
      <c r="Z50">
        <f>IF([2]Baskol!$I$53="","",[2]Baskol!$I$53)</f>
        <v/>
      </c>
      <c r="AA50">
        <f>IF([2]Baskol!$J$53="","",[2]Baskol!$J$53)</f>
        <v/>
      </c>
      <c r="AB50">
        <f>IF([2]Baskol!$K$53="","",[2]Baskol!$K$53)</f>
        <v/>
      </c>
      <c r="AC50">
        <f>IF([2]Baskol!$L$53="","",[2]Baskol!$L$53)</f>
        <v/>
      </c>
      <c r="AD50">
        <f>IF([2]Baskol!$N$53="","",[2]Baskol!$N$53)</f>
        <v/>
      </c>
      <c r="AE50">
        <f>IF([2]Baskol!$O$53="","",[2]Baskol!$O$53)</f>
        <v/>
      </c>
      <c r="AG50">
        <f>IF([3]Entry!$C$53="","",[3]Entry!$C$53)</f>
        <v/>
      </c>
      <c r="AH50">
        <f>IF([3]Entry!$D$53="","",[3]Entry!$D$53)</f>
        <v/>
      </c>
      <c r="AI50">
        <f>IF([3]Entry!$E$53="","",[3]Entry!$E$53)</f>
        <v/>
      </c>
      <c r="AJ50">
        <f>IF([3]Entry!$G$53="","",[3]Entry!$G$53)</f>
        <v/>
      </c>
      <c r="AK50">
        <f>IF([3]Entry!$K$53="","",[3]Entry!$K$53)</f>
        <v/>
      </c>
      <c r="AL50">
        <f>IF([3]Entry!$L$53="","",[3]Entry!$L$53)</f>
        <v/>
      </c>
      <c r="AM50">
        <f>IF([3]Entry!$M$53="","",[3]Entry!$M$53)</f>
        <v/>
      </c>
      <c r="AN50">
        <f>IF([3]Entry!$N$53="","",[3]Entry!$N$53)</f>
        <v/>
      </c>
      <c r="AO50">
        <f>IF([3]Entry!$R$53="","",[3]Entry!$R$53)</f>
        <v/>
      </c>
      <c r="AQ50">
        <f>IF(AND($D50&lt;&gt;"",$A50&lt;&gt;""),1,0)</f>
        <v/>
      </c>
      <c r="AR50">
        <f>SUM($AQ$6:$AQ50)</f>
        <v/>
      </c>
      <c r="AS50">
        <f>IFERROR(INDEX($A$6:$A$565,MATCH(ROW()-5,$AR$6:$AR$565,0)),"")</f>
        <v/>
      </c>
    </row>
    <row r="51">
      <c r="A51">
        <f>IF([1]Accounts!$D$52="","",[1]Accounts!$A$52)</f>
        <v/>
      </c>
      <c r="B51">
        <f>IF([1]Accounts!$D$52="","",[1]Accounts!$B$52)</f>
        <v/>
      </c>
      <c r="C51">
        <f>IF([1]Accounts!$D$52="","",[1]Accounts!$C$52)</f>
        <v/>
      </c>
      <c r="D51">
        <f>IF([1]Accounts!$D$52="","",[1]Accounts!$D$52)</f>
        <v/>
      </c>
      <c r="E51">
        <f>IF([1]Accounts!$D$52="","",[1]Accounts!$J$52)</f>
        <v/>
      </c>
      <c r="F51">
        <f>IF([1]Accounts!$D$52="","",[1]Accounts!$K$52)</f>
        <v/>
      </c>
      <c r="U51">
        <f>IF([2]Baskol!$B$54="","",[2]Baskol!$B$54)</f>
        <v/>
      </c>
      <c r="V51">
        <f>IF([2]Baskol!$C$54="","",[2]Baskol!$C$54)</f>
        <v/>
      </c>
      <c r="W51">
        <f>IF([2]Baskol!$D$54="","",[2]Baskol!$D$54)</f>
        <v/>
      </c>
      <c r="X51">
        <f>IF([2]Baskol!$E$54="","",[2]Baskol!$E$54)</f>
        <v/>
      </c>
      <c r="Y51">
        <f>IF([2]Baskol!$G$54="","",[2]Baskol!$G$54)</f>
        <v/>
      </c>
      <c r="Z51">
        <f>IF([2]Baskol!$I$54="","",[2]Baskol!$I$54)</f>
        <v/>
      </c>
      <c r="AA51">
        <f>IF([2]Baskol!$J$54="","",[2]Baskol!$J$54)</f>
        <v/>
      </c>
      <c r="AB51">
        <f>IF([2]Baskol!$K$54="","",[2]Baskol!$K$54)</f>
        <v/>
      </c>
      <c r="AC51">
        <f>IF([2]Baskol!$L$54="","",[2]Baskol!$L$54)</f>
        <v/>
      </c>
      <c r="AD51">
        <f>IF([2]Baskol!$N$54="","",[2]Baskol!$N$54)</f>
        <v/>
      </c>
      <c r="AE51">
        <f>IF([2]Baskol!$O$54="","",[2]Baskol!$O$54)</f>
        <v/>
      </c>
      <c r="AG51">
        <f>IF([3]Entry!$C$54="","",[3]Entry!$C$54)</f>
        <v/>
      </c>
      <c r="AH51">
        <f>IF([3]Entry!$D$54="","",[3]Entry!$D$54)</f>
        <v/>
      </c>
      <c r="AI51">
        <f>IF([3]Entry!$E$54="","",[3]Entry!$E$54)</f>
        <v/>
      </c>
      <c r="AJ51">
        <f>IF([3]Entry!$G$54="","",[3]Entry!$G$54)</f>
        <v/>
      </c>
      <c r="AK51">
        <f>IF([3]Entry!$K$54="","",[3]Entry!$K$54)</f>
        <v/>
      </c>
      <c r="AL51">
        <f>IF([3]Entry!$L$54="","",[3]Entry!$L$54)</f>
        <v/>
      </c>
      <c r="AM51">
        <f>IF([3]Entry!$M$54="","",[3]Entry!$M$54)</f>
        <v/>
      </c>
      <c r="AN51">
        <f>IF([3]Entry!$N$54="","",[3]Entry!$N$54)</f>
        <v/>
      </c>
      <c r="AO51">
        <f>IF([3]Entry!$R$54="","",[3]Entry!$R$54)</f>
        <v/>
      </c>
      <c r="AQ51">
        <f>IF(AND($D51&lt;&gt;"",$A51&lt;&gt;""),1,0)</f>
        <v/>
      </c>
      <c r="AR51">
        <f>SUM($AQ$6:$AQ51)</f>
        <v/>
      </c>
      <c r="AS51">
        <f>IFERROR(INDEX($A$6:$A$565,MATCH(ROW()-5,$AR$6:$AR$565,0)),"")</f>
        <v/>
      </c>
    </row>
    <row r="52">
      <c r="A52">
        <f>IF([1]Accounts!$D$53="","",[1]Accounts!$A$53)</f>
        <v/>
      </c>
      <c r="B52">
        <f>IF([1]Accounts!$D$53="","",[1]Accounts!$B$53)</f>
        <v/>
      </c>
      <c r="C52">
        <f>IF([1]Accounts!$D$53="","",[1]Accounts!$C$53)</f>
        <v/>
      </c>
      <c r="D52">
        <f>IF([1]Accounts!$D$53="","",[1]Accounts!$D$53)</f>
        <v/>
      </c>
      <c r="E52">
        <f>IF([1]Accounts!$D$53="","",[1]Accounts!$J$53)</f>
        <v/>
      </c>
      <c r="F52">
        <f>IF([1]Accounts!$D$53="","",[1]Accounts!$K$53)</f>
        <v/>
      </c>
      <c r="U52">
        <f>IF([2]Baskol!$B$55="","",[2]Baskol!$B$55)</f>
        <v/>
      </c>
      <c r="V52">
        <f>IF([2]Baskol!$C$55="","",[2]Baskol!$C$55)</f>
        <v/>
      </c>
      <c r="W52">
        <f>IF([2]Baskol!$D$55="","",[2]Baskol!$D$55)</f>
        <v/>
      </c>
      <c r="X52">
        <f>IF([2]Baskol!$E$55="","",[2]Baskol!$E$55)</f>
        <v/>
      </c>
      <c r="Y52">
        <f>IF([2]Baskol!$G$55="","",[2]Baskol!$G$55)</f>
        <v/>
      </c>
      <c r="Z52">
        <f>IF([2]Baskol!$I$55="","",[2]Baskol!$I$55)</f>
        <v/>
      </c>
      <c r="AA52">
        <f>IF([2]Baskol!$J$55="","",[2]Baskol!$J$55)</f>
        <v/>
      </c>
      <c r="AB52">
        <f>IF([2]Baskol!$K$55="","",[2]Baskol!$K$55)</f>
        <v/>
      </c>
      <c r="AC52">
        <f>IF([2]Baskol!$L$55="","",[2]Baskol!$L$55)</f>
        <v/>
      </c>
      <c r="AD52">
        <f>IF([2]Baskol!$N$55="","",[2]Baskol!$N$55)</f>
        <v/>
      </c>
      <c r="AE52">
        <f>IF([2]Baskol!$O$55="","",[2]Baskol!$O$55)</f>
        <v/>
      </c>
      <c r="AG52">
        <f>IF([3]Entry!$C$55="","",[3]Entry!$C$55)</f>
        <v/>
      </c>
      <c r="AH52">
        <f>IF([3]Entry!$D$55="","",[3]Entry!$D$55)</f>
        <v/>
      </c>
      <c r="AI52">
        <f>IF([3]Entry!$E$55="","",[3]Entry!$E$55)</f>
        <v/>
      </c>
      <c r="AJ52">
        <f>IF([3]Entry!$G$55="","",[3]Entry!$G$55)</f>
        <v/>
      </c>
      <c r="AK52">
        <f>IF([3]Entry!$K$55="","",[3]Entry!$K$55)</f>
        <v/>
      </c>
      <c r="AL52">
        <f>IF([3]Entry!$L$55="","",[3]Entry!$L$55)</f>
        <v/>
      </c>
      <c r="AM52">
        <f>IF([3]Entry!$M$55="","",[3]Entry!$M$55)</f>
        <v/>
      </c>
      <c r="AN52">
        <f>IF([3]Entry!$N$55="","",[3]Entry!$N$55)</f>
        <v/>
      </c>
      <c r="AO52">
        <f>IF([3]Entry!$R$55="","",[3]Entry!$R$55)</f>
        <v/>
      </c>
      <c r="AQ52">
        <f>IF(AND($D52&lt;&gt;"",$A52&lt;&gt;""),1,0)</f>
        <v/>
      </c>
      <c r="AR52">
        <f>SUM($AQ$6:$AQ52)</f>
        <v/>
      </c>
      <c r="AS52">
        <f>IFERROR(INDEX($A$6:$A$565,MATCH(ROW()-5,$AR$6:$AR$565,0)),"")</f>
        <v/>
      </c>
    </row>
    <row r="53">
      <c r="A53">
        <f>IF([1]Accounts!$D$54="","",[1]Accounts!$A$54)</f>
        <v/>
      </c>
      <c r="B53">
        <f>IF([1]Accounts!$D$54="","",[1]Accounts!$B$54)</f>
        <v/>
      </c>
      <c r="C53">
        <f>IF([1]Accounts!$D$54="","",[1]Accounts!$C$54)</f>
        <v/>
      </c>
      <c r="D53">
        <f>IF([1]Accounts!$D$54="","",[1]Accounts!$D$54)</f>
        <v/>
      </c>
      <c r="E53">
        <f>IF([1]Accounts!$D$54="","",[1]Accounts!$J$54)</f>
        <v/>
      </c>
      <c r="F53">
        <f>IF([1]Accounts!$D$54="","",[1]Accounts!$K$54)</f>
        <v/>
      </c>
      <c r="U53">
        <f>IF([2]Baskol!$B$56="","",[2]Baskol!$B$56)</f>
        <v/>
      </c>
      <c r="V53">
        <f>IF([2]Baskol!$C$56="","",[2]Baskol!$C$56)</f>
        <v/>
      </c>
      <c r="W53">
        <f>IF([2]Baskol!$D$56="","",[2]Baskol!$D$56)</f>
        <v/>
      </c>
      <c r="X53">
        <f>IF([2]Baskol!$E$56="","",[2]Baskol!$E$56)</f>
        <v/>
      </c>
      <c r="Y53">
        <f>IF([2]Baskol!$G$56="","",[2]Baskol!$G$56)</f>
        <v/>
      </c>
      <c r="Z53">
        <f>IF([2]Baskol!$I$56="","",[2]Baskol!$I$56)</f>
        <v/>
      </c>
      <c r="AA53">
        <f>IF([2]Baskol!$J$56="","",[2]Baskol!$J$56)</f>
        <v/>
      </c>
      <c r="AB53">
        <f>IF([2]Baskol!$K$56="","",[2]Baskol!$K$56)</f>
        <v/>
      </c>
      <c r="AC53">
        <f>IF([2]Baskol!$L$56="","",[2]Baskol!$L$56)</f>
        <v/>
      </c>
      <c r="AD53">
        <f>IF([2]Baskol!$N$56="","",[2]Baskol!$N$56)</f>
        <v/>
      </c>
      <c r="AE53">
        <f>IF([2]Baskol!$O$56="","",[2]Baskol!$O$56)</f>
        <v/>
      </c>
      <c r="AG53">
        <f>IF([3]Entry!$C$56="","",[3]Entry!$C$56)</f>
        <v/>
      </c>
      <c r="AH53">
        <f>IF([3]Entry!$D$56="","",[3]Entry!$D$56)</f>
        <v/>
      </c>
      <c r="AI53">
        <f>IF([3]Entry!$E$56="","",[3]Entry!$E$56)</f>
        <v/>
      </c>
      <c r="AJ53">
        <f>IF([3]Entry!$G$56="","",[3]Entry!$G$56)</f>
        <v/>
      </c>
      <c r="AK53">
        <f>IF([3]Entry!$K$56="","",[3]Entry!$K$56)</f>
        <v/>
      </c>
      <c r="AL53">
        <f>IF([3]Entry!$L$56="","",[3]Entry!$L$56)</f>
        <v/>
      </c>
      <c r="AM53">
        <f>IF([3]Entry!$M$56="","",[3]Entry!$M$56)</f>
        <v/>
      </c>
      <c r="AN53">
        <f>IF([3]Entry!$N$56="","",[3]Entry!$N$56)</f>
        <v/>
      </c>
      <c r="AO53">
        <f>IF([3]Entry!$R$56="","",[3]Entry!$R$56)</f>
        <v/>
      </c>
      <c r="AQ53">
        <f>IF(AND($D53&lt;&gt;"",$A53&lt;&gt;""),1,0)</f>
        <v/>
      </c>
      <c r="AR53">
        <f>SUM($AQ$6:$AQ53)</f>
        <v/>
      </c>
      <c r="AS53">
        <f>IFERROR(INDEX($A$6:$A$565,MATCH(ROW()-5,$AR$6:$AR$565,0)),"")</f>
        <v/>
      </c>
    </row>
    <row r="54">
      <c r="A54">
        <f>IF([1]Accounts!$D$55="","",[1]Accounts!$A$55)</f>
        <v/>
      </c>
      <c r="B54">
        <f>IF([1]Accounts!$D$55="","",[1]Accounts!$B$55)</f>
        <v/>
      </c>
      <c r="C54">
        <f>IF([1]Accounts!$D$55="","",[1]Accounts!$C$55)</f>
        <v/>
      </c>
      <c r="D54">
        <f>IF([1]Accounts!$D$55="","",[1]Accounts!$D$55)</f>
        <v/>
      </c>
      <c r="E54">
        <f>IF([1]Accounts!$D$55="","",[1]Accounts!$J$55)</f>
        <v/>
      </c>
      <c r="F54">
        <f>IF([1]Accounts!$D$55="","",[1]Accounts!$K$55)</f>
        <v/>
      </c>
      <c r="U54">
        <f>IF([2]Baskol!$B$57="","",[2]Baskol!$B$57)</f>
        <v/>
      </c>
      <c r="V54">
        <f>IF([2]Baskol!$C$57="","",[2]Baskol!$C$57)</f>
        <v/>
      </c>
      <c r="W54">
        <f>IF([2]Baskol!$D$57="","",[2]Baskol!$D$57)</f>
        <v/>
      </c>
      <c r="X54">
        <f>IF([2]Baskol!$E$57="","",[2]Baskol!$E$57)</f>
        <v/>
      </c>
      <c r="Y54">
        <f>IF([2]Baskol!$G$57="","",[2]Baskol!$G$57)</f>
        <v/>
      </c>
      <c r="Z54">
        <f>IF([2]Baskol!$I$57="","",[2]Baskol!$I$57)</f>
        <v/>
      </c>
      <c r="AA54">
        <f>IF([2]Baskol!$J$57="","",[2]Baskol!$J$57)</f>
        <v/>
      </c>
      <c r="AB54">
        <f>IF([2]Baskol!$K$57="","",[2]Baskol!$K$57)</f>
        <v/>
      </c>
      <c r="AC54">
        <f>IF([2]Baskol!$L$57="","",[2]Baskol!$L$57)</f>
        <v/>
      </c>
      <c r="AD54">
        <f>IF([2]Baskol!$N$57="","",[2]Baskol!$N$57)</f>
        <v/>
      </c>
      <c r="AE54">
        <f>IF([2]Baskol!$O$57="","",[2]Baskol!$O$57)</f>
        <v/>
      </c>
      <c r="AG54">
        <f>IF([3]Entry!$C$57="","",[3]Entry!$C$57)</f>
        <v/>
      </c>
      <c r="AH54">
        <f>IF([3]Entry!$D$57="","",[3]Entry!$D$57)</f>
        <v/>
      </c>
      <c r="AI54">
        <f>IF([3]Entry!$E$57="","",[3]Entry!$E$57)</f>
        <v/>
      </c>
      <c r="AJ54">
        <f>IF([3]Entry!$G$57="","",[3]Entry!$G$57)</f>
        <v/>
      </c>
      <c r="AK54">
        <f>IF([3]Entry!$K$57="","",[3]Entry!$K$57)</f>
        <v/>
      </c>
      <c r="AL54">
        <f>IF([3]Entry!$L$57="","",[3]Entry!$L$57)</f>
        <v/>
      </c>
      <c r="AM54">
        <f>IF([3]Entry!$M$57="","",[3]Entry!$M$57)</f>
        <v/>
      </c>
      <c r="AN54">
        <f>IF([3]Entry!$N$57="","",[3]Entry!$N$57)</f>
        <v/>
      </c>
      <c r="AO54">
        <f>IF([3]Entry!$R$57="","",[3]Entry!$R$57)</f>
        <v/>
      </c>
      <c r="AQ54">
        <f>IF(AND($D54&lt;&gt;"",$A54&lt;&gt;""),1,0)</f>
        <v/>
      </c>
      <c r="AR54">
        <f>SUM($AQ$6:$AQ54)</f>
        <v/>
      </c>
      <c r="AS54">
        <f>IFERROR(INDEX($A$6:$A$565,MATCH(ROW()-5,$AR$6:$AR$565,0)),"")</f>
        <v/>
      </c>
    </row>
    <row r="55">
      <c r="A55">
        <f>IF([1]Accounts!$D$56="","",[1]Accounts!$A$56)</f>
        <v/>
      </c>
      <c r="B55">
        <f>IF([1]Accounts!$D$56="","",[1]Accounts!$B$56)</f>
        <v/>
      </c>
      <c r="C55">
        <f>IF([1]Accounts!$D$56="","",[1]Accounts!$C$56)</f>
        <v/>
      </c>
      <c r="D55">
        <f>IF([1]Accounts!$D$56="","",[1]Accounts!$D$56)</f>
        <v/>
      </c>
      <c r="E55">
        <f>IF([1]Accounts!$D$56="","",[1]Accounts!$J$56)</f>
        <v/>
      </c>
      <c r="F55">
        <f>IF([1]Accounts!$D$56="","",[1]Accounts!$K$56)</f>
        <v/>
      </c>
      <c r="U55">
        <f>IF([2]Baskol!$B$58="","",[2]Baskol!$B$58)</f>
        <v/>
      </c>
      <c r="V55">
        <f>IF([2]Baskol!$C$58="","",[2]Baskol!$C$58)</f>
        <v/>
      </c>
      <c r="W55">
        <f>IF([2]Baskol!$D$58="","",[2]Baskol!$D$58)</f>
        <v/>
      </c>
      <c r="X55">
        <f>IF([2]Baskol!$E$58="","",[2]Baskol!$E$58)</f>
        <v/>
      </c>
      <c r="Y55">
        <f>IF([2]Baskol!$G$58="","",[2]Baskol!$G$58)</f>
        <v/>
      </c>
      <c r="Z55">
        <f>IF([2]Baskol!$I$58="","",[2]Baskol!$I$58)</f>
        <v/>
      </c>
      <c r="AA55">
        <f>IF([2]Baskol!$J$58="","",[2]Baskol!$J$58)</f>
        <v/>
      </c>
      <c r="AB55">
        <f>IF([2]Baskol!$K$58="","",[2]Baskol!$K$58)</f>
        <v/>
      </c>
      <c r="AC55">
        <f>IF([2]Baskol!$L$58="","",[2]Baskol!$L$58)</f>
        <v/>
      </c>
      <c r="AD55">
        <f>IF([2]Baskol!$N$58="","",[2]Baskol!$N$58)</f>
        <v/>
      </c>
      <c r="AE55">
        <f>IF([2]Baskol!$O$58="","",[2]Baskol!$O$58)</f>
        <v/>
      </c>
      <c r="AG55">
        <f>IF([3]Entry!$C$58="","",[3]Entry!$C$58)</f>
        <v/>
      </c>
      <c r="AH55">
        <f>IF([3]Entry!$D$58="","",[3]Entry!$D$58)</f>
        <v/>
      </c>
      <c r="AI55">
        <f>IF([3]Entry!$E$58="","",[3]Entry!$E$58)</f>
        <v/>
      </c>
      <c r="AJ55">
        <f>IF([3]Entry!$G$58="","",[3]Entry!$G$58)</f>
        <v/>
      </c>
      <c r="AK55">
        <f>IF([3]Entry!$K$58="","",[3]Entry!$K$58)</f>
        <v/>
      </c>
      <c r="AL55">
        <f>IF([3]Entry!$L$58="","",[3]Entry!$L$58)</f>
        <v/>
      </c>
      <c r="AM55">
        <f>IF([3]Entry!$M$58="","",[3]Entry!$M$58)</f>
        <v/>
      </c>
      <c r="AN55">
        <f>IF([3]Entry!$N$58="","",[3]Entry!$N$58)</f>
        <v/>
      </c>
      <c r="AO55">
        <f>IF([3]Entry!$R$58="","",[3]Entry!$R$58)</f>
        <v/>
      </c>
      <c r="AQ55">
        <f>IF(AND($D55&lt;&gt;"",$A55&lt;&gt;""),1,0)</f>
        <v/>
      </c>
      <c r="AR55">
        <f>SUM($AQ$6:$AQ55)</f>
        <v/>
      </c>
      <c r="AS55">
        <f>IFERROR(INDEX($A$6:$A$565,MATCH(ROW()-5,$AR$6:$AR$565,0)),"")</f>
        <v/>
      </c>
    </row>
    <row r="56">
      <c r="A56">
        <f>IF([1]Accounts!$D$57="","",[1]Accounts!$A$57)</f>
        <v/>
      </c>
      <c r="B56">
        <f>IF([1]Accounts!$D$57="","",[1]Accounts!$B$57)</f>
        <v/>
      </c>
      <c r="C56">
        <f>IF([1]Accounts!$D$57="","",[1]Accounts!$C$57)</f>
        <v/>
      </c>
      <c r="D56">
        <f>IF([1]Accounts!$D$57="","",[1]Accounts!$D$57)</f>
        <v/>
      </c>
      <c r="E56">
        <f>IF([1]Accounts!$D$57="","",[1]Accounts!$J$57)</f>
        <v/>
      </c>
      <c r="F56">
        <f>IF([1]Accounts!$D$57="","",[1]Accounts!$K$57)</f>
        <v/>
      </c>
      <c r="U56">
        <f>IF([2]Baskol!$B$59="","",[2]Baskol!$B$59)</f>
        <v/>
      </c>
      <c r="V56">
        <f>IF([2]Baskol!$C$59="","",[2]Baskol!$C$59)</f>
        <v/>
      </c>
      <c r="W56">
        <f>IF([2]Baskol!$D$59="","",[2]Baskol!$D$59)</f>
        <v/>
      </c>
      <c r="X56">
        <f>IF([2]Baskol!$E$59="","",[2]Baskol!$E$59)</f>
        <v/>
      </c>
      <c r="Y56">
        <f>IF([2]Baskol!$G$59="","",[2]Baskol!$G$59)</f>
        <v/>
      </c>
      <c r="Z56">
        <f>IF([2]Baskol!$I$59="","",[2]Baskol!$I$59)</f>
        <v/>
      </c>
      <c r="AA56">
        <f>IF([2]Baskol!$J$59="","",[2]Baskol!$J$59)</f>
        <v/>
      </c>
      <c r="AB56">
        <f>IF([2]Baskol!$K$59="","",[2]Baskol!$K$59)</f>
        <v/>
      </c>
      <c r="AC56">
        <f>IF([2]Baskol!$L$59="","",[2]Baskol!$L$59)</f>
        <v/>
      </c>
      <c r="AD56">
        <f>IF([2]Baskol!$N$59="","",[2]Baskol!$N$59)</f>
        <v/>
      </c>
      <c r="AE56">
        <f>IF([2]Baskol!$O$59="","",[2]Baskol!$O$59)</f>
        <v/>
      </c>
      <c r="AG56">
        <f>IF([3]Entry!$C$59="","",[3]Entry!$C$59)</f>
        <v/>
      </c>
      <c r="AH56">
        <f>IF([3]Entry!$D$59="","",[3]Entry!$D$59)</f>
        <v/>
      </c>
      <c r="AI56">
        <f>IF([3]Entry!$E$59="","",[3]Entry!$E$59)</f>
        <v/>
      </c>
      <c r="AJ56">
        <f>IF([3]Entry!$G$59="","",[3]Entry!$G$59)</f>
        <v/>
      </c>
      <c r="AK56">
        <f>IF([3]Entry!$K$59="","",[3]Entry!$K$59)</f>
        <v/>
      </c>
      <c r="AL56">
        <f>IF([3]Entry!$L$59="","",[3]Entry!$L$59)</f>
        <v/>
      </c>
      <c r="AM56">
        <f>IF([3]Entry!$M$59="","",[3]Entry!$M$59)</f>
        <v/>
      </c>
      <c r="AN56">
        <f>IF([3]Entry!$N$59="","",[3]Entry!$N$59)</f>
        <v/>
      </c>
      <c r="AO56">
        <f>IF([3]Entry!$R$59="","",[3]Entry!$R$59)</f>
        <v/>
      </c>
      <c r="AQ56">
        <f>IF(AND($D56&lt;&gt;"",$A56&lt;&gt;""),1,0)</f>
        <v/>
      </c>
      <c r="AR56">
        <f>SUM($AQ$6:$AQ56)</f>
        <v/>
      </c>
      <c r="AS56">
        <f>IFERROR(INDEX($A$6:$A$565,MATCH(ROW()-5,$AR$6:$AR$565,0)),"")</f>
        <v/>
      </c>
    </row>
    <row r="57">
      <c r="A57">
        <f>IF([1]Accounts!$D$58="","",[1]Accounts!$A$58)</f>
        <v/>
      </c>
      <c r="B57">
        <f>IF([1]Accounts!$D$58="","",[1]Accounts!$B$58)</f>
        <v/>
      </c>
      <c r="C57">
        <f>IF([1]Accounts!$D$58="","",[1]Accounts!$C$58)</f>
        <v/>
      </c>
      <c r="D57">
        <f>IF([1]Accounts!$D$58="","",[1]Accounts!$D$58)</f>
        <v/>
      </c>
      <c r="E57">
        <f>IF([1]Accounts!$D$58="","",[1]Accounts!$J$58)</f>
        <v/>
      </c>
      <c r="F57">
        <f>IF([1]Accounts!$D$58="","",[1]Accounts!$K$58)</f>
        <v/>
      </c>
      <c r="U57">
        <f>IF([2]Baskol!$B$60="","",[2]Baskol!$B$60)</f>
        <v/>
      </c>
      <c r="V57">
        <f>IF([2]Baskol!$C$60="","",[2]Baskol!$C$60)</f>
        <v/>
      </c>
      <c r="W57">
        <f>IF([2]Baskol!$D$60="","",[2]Baskol!$D$60)</f>
        <v/>
      </c>
      <c r="X57">
        <f>IF([2]Baskol!$E$60="","",[2]Baskol!$E$60)</f>
        <v/>
      </c>
      <c r="Y57">
        <f>IF([2]Baskol!$G$60="","",[2]Baskol!$G$60)</f>
        <v/>
      </c>
      <c r="Z57">
        <f>IF([2]Baskol!$I$60="","",[2]Baskol!$I$60)</f>
        <v/>
      </c>
      <c r="AA57">
        <f>IF([2]Baskol!$J$60="","",[2]Baskol!$J$60)</f>
        <v/>
      </c>
      <c r="AB57">
        <f>IF([2]Baskol!$K$60="","",[2]Baskol!$K$60)</f>
        <v/>
      </c>
      <c r="AC57">
        <f>IF([2]Baskol!$L$60="","",[2]Baskol!$L$60)</f>
        <v/>
      </c>
      <c r="AD57">
        <f>IF([2]Baskol!$N$60="","",[2]Baskol!$N$60)</f>
        <v/>
      </c>
      <c r="AE57">
        <f>IF([2]Baskol!$O$60="","",[2]Baskol!$O$60)</f>
        <v/>
      </c>
      <c r="AG57">
        <f>IF([3]Entry!$C$60="","",[3]Entry!$C$60)</f>
        <v/>
      </c>
      <c r="AH57">
        <f>IF([3]Entry!$D$60="","",[3]Entry!$D$60)</f>
        <v/>
      </c>
      <c r="AI57">
        <f>IF([3]Entry!$E$60="","",[3]Entry!$E$60)</f>
        <v/>
      </c>
      <c r="AJ57">
        <f>IF([3]Entry!$G$60="","",[3]Entry!$G$60)</f>
        <v/>
      </c>
      <c r="AK57">
        <f>IF([3]Entry!$K$60="","",[3]Entry!$K$60)</f>
        <v/>
      </c>
      <c r="AL57">
        <f>IF([3]Entry!$L$60="","",[3]Entry!$L$60)</f>
        <v/>
      </c>
      <c r="AM57">
        <f>IF([3]Entry!$M$60="","",[3]Entry!$M$60)</f>
        <v/>
      </c>
      <c r="AN57">
        <f>IF([3]Entry!$N$60="","",[3]Entry!$N$60)</f>
        <v/>
      </c>
      <c r="AO57">
        <f>IF([3]Entry!$R$60="","",[3]Entry!$R$60)</f>
        <v/>
      </c>
      <c r="AQ57">
        <f>IF(AND($D57&lt;&gt;"",$A57&lt;&gt;""),1,0)</f>
        <v/>
      </c>
      <c r="AR57">
        <f>SUM($AQ$6:$AQ57)</f>
        <v/>
      </c>
      <c r="AS57">
        <f>IFERROR(INDEX($A$6:$A$565,MATCH(ROW()-5,$AR$6:$AR$565,0)),"")</f>
        <v/>
      </c>
    </row>
    <row r="58">
      <c r="A58">
        <f>IF([1]Accounts!$D$59="","",[1]Accounts!$A$59)</f>
        <v/>
      </c>
      <c r="B58">
        <f>IF([1]Accounts!$D$59="","",[1]Accounts!$B$59)</f>
        <v/>
      </c>
      <c r="C58">
        <f>IF([1]Accounts!$D$59="","",[1]Accounts!$C$59)</f>
        <v/>
      </c>
      <c r="D58">
        <f>IF([1]Accounts!$D$59="","",[1]Accounts!$D$59)</f>
        <v/>
      </c>
      <c r="E58">
        <f>IF([1]Accounts!$D$59="","",[1]Accounts!$J$59)</f>
        <v/>
      </c>
      <c r="F58">
        <f>IF([1]Accounts!$D$59="","",[1]Accounts!$K$59)</f>
        <v/>
      </c>
      <c r="U58">
        <f>IF([2]Baskol!$B$61="","",[2]Baskol!$B$61)</f>
        <v/>
      </c>
      <c r="V58">
        <f>IF([2]Baskol!$C$61="","",[2]Baskol!$C$61)</f>
        <v/>
      </c>
      <c r="W58">
        <f>IF([2]Baskol!$D$61="","",[2]Baskol!$D$61)</f>
        <v/>
      </c>
      <c r="X58">
        <f>IF([2]Baskol!$E$61="","",[2]Baskol!$E$61)</f>
        <v/>
      </c>
      <c r="Y58">
        <f>IF([2]Baskol!$G$61="","",[2]Baskol!$G$61)</f>
        <v/>
      </c>
      <c r="Z58">
        <f>IF([2]Baskol!$I$61="","",[2]Baskol!$I$61)</f>
        <v/>
      </c>
      <c r="AA58">
        <f>IF([2]Baskol!$J$61="","",[2]Baskol!$J$61)</f>
        <v/>
      </c>
      <c r="AB58">
        <f>IF([2]Baskol!$K$61="","",[2]Baskol!$K$61)</f>
        <v/>
      </c>
      <c r="AC58">
        <f>IF([2]Baskol!$L$61="","",[2]Baskol!$L$61)</f>
        <v/>
      </c>
      <c r="AD58">
        <f>IF([2]Baskol!$N$61="","",[2]Baskol!$N$61)</f>
        <v/>
      </c>
      <c r="AE58">
        <f>IF([2]Baskol!$O$61="","",[2]Baskol!$O$61)</f>
        <v/>
      </c>
      <c r="AG58">
        <f>IF([3]Entry!$C$61="","",[3]Entry!$C$61)</f>
        <v/>
      </c>
      <c r="AH58">
        <f>IF([3]Entry!$D$61="","",[3]Entry!$D$61)</f>
        <v/>
      </c>
      <c r="AI58">
        <f>IF([3]Entry!$E$61="","",[3]Entry!$E$61)</f>
        <v/>
      </c>
      <c r="AJ58">
        <f>IF([3]Entry!$G$61="","",[3]Entry!$G$61)</f>
        <v/>
      </c>
      <c r="AK58">
        <f>IF([3]Entry!$K$61="","",[3]Entry!$K$61)</f>
        <v/>
      </c>
      <c r="AL58">
        <f>IF([3]Entry!$L$61="","",[3]Entry!$L$61)</f>
        <v/>
      </c>
      <c r="AM58">
        <f>IF([3]Entry!$M$61="","",[3]Entry!$M$61)</f>
        <v/>
      </c>
      <c r="AN58">
        <f>IF([3]Entry!$N$61="","",[3]Entry!$N$61)</f>
        <v/>
      </c>
      <c r="AO58">
        <f>IF([3]Entry!$R$61="","",[3]Entry!$R$61)</f>
        <v/>
      </c>
      <c r="AQ58">
        <f>IF(AND($D58&lt;&gt;"",$A58&lt;&gt;""),1,0)</f>
        <v/>
      </c>
      <c r="AR58">
        <f>SUM($AQ$6:$AQ58)</f>
        <v/>
      </c>
      <c r="AS58">
        <f>IFERROR(INDEX($A$6:$A$565,MATCH(ROW()-5,$AR$6:$AR$565,0)),"")</f>
        <v/>
      </c>
    </row>
    <row r="59">
      <c r="A59">
        <f>IF([1]Accounts!$D$60="","",[1]Accounts!$A$60)</f>
        <v/>
      </c>
      <c r="B59">
        <f>IF([1]Accounts!$D$60="","",[1]Accounts!$B$60)</f>
        <v/>
      </c>
      <c r="C59">
        <f>IF([1]Accounts!$D$60="","",[1]Accounts!$C$60)</f>
        <v/>
      </c>
      <c r="D59">
        <f>IF([1]Accounts!$D$60="","",[1]Accounts!$D$60)</f>
        <v/>
      </c>
      <c r="E59">
        <f>IF([1]Accounts!$D$60="","",[1]Accounts!$J$60)</f>
        <v/>
      </c>
      <c r="F59">
        <f>IF([1]Accounts!$D$60="","",[1]Accounts!$K$60)</f>
        <v/>
      </c>
      <c r="U59">
        <f>IF([2]Baskol!$B$62="","",[2]Baskol!$B$62)</f>
        <v/>
      </c>
      <c r="V59">
        <f>IF([2]Baskol!$C$62="","",[2]Baskol!$C$62)</f>
        <v/>
      </c>
      <c r="W59">
        <f>IF([2]Baskol!$D$62="","",[2]Baskol!$D$62)</f>
        <v/>
      </c>
      <c r="X59">
        <f>IF([2]Baskol!$E$62="","",[2]Baskol!$E$62)</f>
        <v/>
      </c>
      <c r="Y59">
        <f>IF([2]Baskol!$G$62="","",[2]Baskol!$G$62)</f>
        <v/>
      </c>
      <c r="Z59">
        <f>IF([2]Baskol!$I$62="","",[2]Baskol!$I$62)</f>
        <v/>
      </c>
      <c r="AA59">
        <f>IF([2]Baskol!$J$62="","",[2]Baskol!$J$62)</f>
        <v/>
      </c>
      <c r="AB59">
        <f>IF([2]Baskol!$K$62="","",[2]Baskol!$K$62)</f>
        <v/>
      </c>
      <c r="AC59">
        <f>IF([2]Baskol!$L$62="","",[2]Baskol!$L$62)</f>
        <v/>
      </c>
      <c r="AD59">
        <f>IF([2]Baskol!$N$62="","",[2]Baskol!$N$62)</f>
        <v/>
      </c>
      <c r="AE59">
        <f>IF([2]Baskol!$O$62="","",[2]Baskol!$O$62)</f>
        <v/>
      </c>
      <c r="AG59">
        <f>IF([3]Entry!$C$62="","",[3]Entry!$C$62)</f>
        <v/>
      </c>
      <c r="AH59">
        <f>IF([3]Entry!$D$62="","",[3]Entry!$D$62)</f>
        <v/>
      </c>
      <c r="AI59">
        <f>IF([3]Entry!$E$62="","",[3]Entry!$E$62)</f>
        <v/>
      </c>
      <c r="AJ59">
        <f>IF([3]Entry!$G$62="","",[3]Entry!$G$62)</f>
        <v/>
      </c>
      <c r="AK59">
        <f>IF([3]Entry!$K$62="","",[3]Entry!$K$62)</f>
        <v/>
      </c>
      <c r="AL59">
        <f>IF([3]Entry!$L$62="","",[3]Entry!$L$62)</f>
        <v/>
      </c>
      <c r="AM59">
        <f>IF([3]Entry!$M$62="","",[3]Entry!$M$62)</f>
        <v/>
      </c>
      <c r="AN59">
        <f>IF([3]Entry!$N$62="","",[3]Entry!$N$62)</f>
        <v/>
      </c>
      <c r="AO59">
        <f>IF([3]Entry!$R$62="","",[3]Entry!$R$62)</f>
        <v/>
      </c>
      <c r="AQ59">
        <f>IF(AND($D59&lt;&gt;"",$A59&lt;&gt;""),1,0)</f>
        <v/>
      </c>
      <c r="AR59">
        <f>SUM($AQ$6:$AQ59)</f>
        <v/>
      </c>
      <c r="AS59">
        <f>IFERROR(INDEX($A$6:$A$565,MATCH(ROW()-5,$AR$6:$AR$565,0)),"")</f>
        <v/>
      </c>
    </row>
    <row r="60">
      <c r="A60">
        <f>IF([1]Accounts!$D$61="","",[1]Accounts!$A$61)</f>
        <v/>
      </c>
      <c r="B60">
        <f>IF([1]Accounts!$D$61="","",[1]Accounts!$B$61)</f>
        <v/>
      </c>
      <c r="C60">
        <f>IF([1]Accounts!$D$61="","",[1]Accounts!$C$61)</f>
        <v/>
      </c>
      <c r="D60">
        <f>IF([1]Accounts!$D$61="","",[1]Accounts!$D$61)</f>
        <v/>
      </c>
      <c r="E60">
        <f>IF([1]Accounts!$D$61="","",[1]Accounts!$J$61)</f>
        <v/>
      </c>
      <c r="F60">
        <f>IF([1]Accounts!$D$61="","",[1]Accounts!$K$61)</f>
        <v/>
      </c>
      <c r="U60">
        <f>IF([2]Baskol!$B$63="","",[2]Baskol!$B$63)</f>
        <v/>
      </c>
      <c r="V60">
        <f>IF([2]Baskol!$C$63="","",[2]Baskol!$C$63)</f>
        <v/>
      </c>
      <c r="W60">
        <f>IF([2]Baskol!$D$63="","",[2]Baskol!$D$63)</f>
        <v/>
      </c>
      <c r="X60">
        <f>IF([2]Baskol!$E$63="","",[2]Baskol!$E$63)</f>
        <v/>
      </c>
      <c r="Y60">
        <f>IF([2]Baskol!$G$63="","",[2]Baskol!$G$63)</f>
        <v/>
      </c>
      <c r="Z60">
        <f>IF([2]Baskol!$I$63="","",[2]Baskol!$I$63)</f>
        <v/>
      </c>
      <c r="AA60">
        <f>IF([2]Baskol!$J$63="","",[2]Baskol!$J$63)</f>
        <v/>
      </c>
      <c r="AB60">
        <f>IF([2]Baskol!$K$63="","",[2]Baskol!$K$63)</f>
        <v/>
      </c>
      <c r="AC60">
        <f>IF([2]Baskol!$L$63="","",[2]Baskol!$L$63)</f>
        <v/>
      </c>
      <c r="AD60">
        <f>IF([2]Baskol!$N$63="","",[2]Baskol!$N$63)</f>
        <v/>
      </c>
      <c r="AE60">
        <f>IF([2]Baskol!$O$63="","",[2]Baskol!$O$63)</f>
        <v/>
      </c>
      <c r="AG60">
        <f>IF([3]Entry!$C$63="","",[3]Entry!$C$63)</f>
        <v/>
      </c>
      <c r="AH60">
        <f>IF([3]Entry!$D$63="","",[3]Entry!$D$63)</f>
        <v/>
      </c>
      <c r="AI60">
        <f>IF([3]Entry!$E$63="","",[3]Entry!$E$63)</f>
        <v/>
      </c>
      <c r="AJ60">
        <f>IF([3]Entry!$G$63="","",[3]Entry!$G$63)</f>
        <v/>
      </c>
      <c r="AK60">
        <f>IF([3]Entry!$K$63="","",[3]Entry!$K$63)</f>
        <v/>
      </c>
      <c r="AL60">
        <f>IF([3]Entry!$L$63="","",[3]Entry!$L$63)</f>
        <v/>
      </c>
      <c r="AM60">
        <f>IF([3]Entry!$M$63="","",[3]Entry!$M$63)</f>
        <v/>
      </c>
      <c r="AN60">
        <f>IF([3]Entry!$N$63="","",[3]Entry!$N$63)</f>
        <v/>
      </c>
      <c r="AO60">
        <f>IF([3]Entry!$R$63="","",[3]Entry!$R$63)</f>
        <v/>
      </c>
      <c r="AQ60">
        <f>IF(AND($D60&lt;&gt;"",$A60&lt;&gt;""),1,0)</f>
        <v/>
      </c>
      <c r="AR60">
        <f>SUM($AQ$6:$AQ60)</f>
        <v/>
      </c>
      <c r="AS60">
        <f>IFERROR(INDEX($A$6:$A$565,MATCH(ROW()-5,$AR$6:$AR$565,0)),"")</f>
        <v/>
      </c>
    </row>
    <row r="61">
      <c r="A61">
        <f>IF([1]Accounts!$D$62="","",[1]Accounts!$A$62)</f>
        <v/>
      </c>
      <c r="B61">
        <f>IF([1]Accounts!$D$62="","",[1]Accounts!$B$62)</f>
        <v/>
      </c>
      <c r="C61">
        <f>IF([1]Accounts!$D$62="","",[1]Accounts!$C$62)</f>
        <v/>
      </c>
      <c r="D61">
        <f>IF([1]Accounts!$D$62="","",[1]Accounts!$D$62)</f>
        <v/>
      </c>
      <c r="E61">
        <f>IF([1]Accounts!$D$62="","",[1]Accounts!$J$62)</f>
        <v/>
      </c>
      <c r="F61">
        <f>IF([1]Accounts!$D$62="","",[1]Accounts!$K$62)</f>
        <v/>
      </c>
      <c r="U61">
        <f>IF([2]Baskol!$B$64="","",[2]Baskol!$B$64)</f>
        <v/>
      </c>
      <c r="V61">
        <f>IF([2]Baskol!$C$64="","",[2]Baskol!$C$64)</f>
        <v/>
      </c>
      <c r="W61">
        <f>IF([2]Baskol!$D$64="","",[2]Baskol!$D$64)</f>
        <v/>
      </c>
      <c r="X61">
        <f>IF([2]Baskol!$E$64="","",[2]Baskol!$E$64)</f>
        <v/>
      </c>
      <c r="Y61">
        <f>IF([2]Baskol!$G$64="","",[2]Baskol!$G$64)</f>
        <v/>
      </c>
      <c r="Z61">
        <f>IF([2]Baskol!$I$64="","",[2]Baskol!$I$64)</f>
        <v/>
      </c>
      <c r="AA61">
        <f>IF([2]Baskol!$J$64="","",[2]Baskol!$J$64)</f>
        <v/>
      </c>
      <c r="AB61">
        <f>IF([2]Baskol!$K$64="","",[2]Baskol!$K$64)</f>
        <v/>
      </c>
      <c r="AC61">
        <f>IF([2]Baskol!$L$64="","",[2]Baskol!$L$64)</f>
        <v/>
      </c>
      <c r="AD61">
        <f>IF([2]Baskol!$N$64="","",[2]Baskol!$N$64)</f>
        <v/>
      </c>
      <c r="AE61">
        <f>IF([2]Baskol!$O$64="","",[2]Baskol!$O$64)</f>
        <v/>
      </c>
      <c r="AG61">
        <f>IF([3]Entry!$C$64="","",[3]Entry!$C$64)</f>
        <v/>
      </c>
      <c r="AH61">
        <f>IF([3]Entry!$D$64="","",[3]Entry!$D$64)</f>
        <v/>
      </c>
      <c r="AI61">
        <f>IF([3]Entry!$E$64="","",[3]Entry!$E$64)</f>
        <v/>
      </c>
      <c r="AJ61">
        <f>IF([3]Entry!$G$64="","",[3]Entry!$G$64)</f>
        <v/>
      </c>
      <c r="AK61">
        <f>IF([3]Entry!$K$64="","",[3]Entry!$K$64)</f>
        <v/>
      </c>
      <c r="AL61">
        <f>IF([3]Entry!$L$64="","",[3]Entry!$L$64)</f>
        <v/>
      </c>
      <c r="AM61">
        <f>IF([3]Entry!$M$64="","",[3]Entry!$M$64)</f>
        <v/>
      </c>
      <c r="AN61">
        <f>IF([3]Entry!$N$64="","",[3]Entry!$N$64)</f>
        <v/>
      </c>
      <c r="AO61">
        <f>IF([3]Entry!$R$64="","",[3]Entry!$R$64)</f>
        <v/>
      </c>
      <c r="AQ61">
        <f>IF(AND($D61&lt;&gt;"",$A61&lt;&gt;""),1,0)</f>
        <v/>
      </c>
      <c r="AR61">
        <f>SUM($AQ$6:$AQ61)</f>
        <v/>
      </c>
      <c r="AS61">
        <f>IFERROR(INDEX($A$6:$A$565,MATCH(ROW()-5,$AR$6:$AR$565,0)),"")</f>
        <v/>
      </c>
    </row>
    <row r="62">
      <c r="A62">
        <f>IF([1]Accounts!$D$63="","",[1]Accounts!$A$63)</f>
        <v/>
      </c>
      <c r="B62">
        <f>IF([1]Accounts!$D$63="","",[1]Accounts!$B$63)</f>
        <v/>
      </c>
      <c r="C62">
        <f>IF([1]Accounts!$D$63="","",[1]Accounts!$C$63)</f>
        <v/>
      </c>
      <c r="D62">
        <f>IF([1]Accounts!$D$63="","",[1]Accounts!$D$63)</f>
        <v/>
      </c>
      <c r="E62">
        <f>IF([1]Accounts!$D$63="","",[1]Accounts!$J$63)</f>
        <v/>
      </c>
      <c r="F62">
        <f>IF([1]Accounts!$D$63="","",[1]Accounts!$K$63)</f>
        <v/>
      </c>
      <c r="U62">
        <f>IF([2]Baskol!$B$65="","",[2]Baskol!$B$65)</f>
        <v/>
      </c>
      <c r="V62">
        <f>IF([2]Baskol!$C$65="","",[2]Baskol!$C$65)</f>
        <v/>
      </c>
      <c r="W62">
        <f>IF([2]Baskol!$D$65="","",[2]Baskol!$D$65)</f>
        <v/>
      </c>
      <c r="X62">
        <f>IF([2]Baskol!$E$65="","",[2]Baskol!$E$65)</f>
        <v/>
      </c>
      <c r="Y62">
        <f>IF([2]Baskol!$G$65="","",[2]Baskol!$G$65)</f>
        <v/>
      </c>
      <c r="Z62">
        <f>IF([2]Baskol!$I$65="","",[2]Baskol!$I$65)</f>
        <v/>
      </c>
      <c r="AA62">
        <f>IF([2]Baskol!$J$65="","",[2]Baskol!$J$65)</f>
        <v/>
      </c>
      <c r="AB62">
        <f>IF([2]Baskol!$K$65="","",[2]Baskol!$K$65)</f>
        <v/>
      </c>
      <c r="AC62">
        <f>IF([2]Baskol!$L$65="","",[2]Baskol!$L$65)</f>
        <v/>
      </c>
      <c r="AD62">
        <f>IF([2]Baskol!$N$65="","",[2]Baskol!$N$65)</f>
        <v/>
      </c>
      <c r="AE62">
        <f>IF([2]Baskol!$O$65="","",[2]Baskol!$O$65)</f>
        <v/>
      </c>
      <c r="AG62">
        <f>IF([3]Entry!$C$65="","",[3]Entry!$C$65)</f>
        <v/>
      </c>
      <c r="AH62">
        <f>IF([3]Entry!$D$65="","",[3]Entry!$D$65)</f>
        <v/>
      </c>
      <c r="AI62">
        <f>IF([3]Entry!$E$65="","",[3]Entry!$E$65)</f>
        <v/>
      </c>
      <c r="AJ62">
        <f>IF([3]Entry!$G$65="","",[3]Entry!$G$65)</f>
        <v/>
      </c>
      <c r="AK62">
        <f>IF([3]Entry!$K$65="","",[3]Entry!$K$65)</f>
        <v/>
      </c>
      <c r="AL62">
        <f>IF([3]Entry!$L$65="","",[3]Entry!$L$65)</f>
        <v/>
      </c>
      <c r="AM62">
        <f>IF([3]Entry!$M$65="","",[3]Entry!$M$65)</f>
        <v/>
      </c>
      <c r="AN62">
        <f>IF([3]Entry!$N$65="","",[3]Entry!$N$65)</f>
        <v/>
      </c>
      <c r="AO62">
        <f>IF([3]Entry!$R$65="","",[3]Entry!$R$65)</f>
        <v/>
      </c>
      <c r="AQ62">
        <f>IF(AND($D62&lt;&gt;"",$A62&lt;&gt;""),1,0)</f>
        <v/>
      </c>
      <c r="AR62">
        <f>SUM($AQ$6:$AQ62)</f>
        <v/>
      </c>
      <c r="AS62">
        <f>IFERROR(INDEX($A$6:$A$565,MATCH(ROW()-5,$AR$6:$AR$565,0)),"")</f>
        <v/>
      </c>
    </row>
    <row r="63">
      <c r="A63">
        <f>IF([1]Accounts!$D$64="","",[1]Accounts!$A$64)</f>
        <v/>
      </c>
      <c r="B63">
        <f>IF([1]Accounts!$D$64="","",[1]Accounts!$B$64)</f>
        <v/>
      </c>
      <c r="C63">
        <f>IF([1]Accounts!$D$64="","",[1]Accounts!$C$64)</f>
        <v/>
      </c>
      <c r="D63">
        <f>IF([1]Accounts!$D$64="","",[1]Accounts!$D$64)</f>
        <v/>
      </c>
      <c r="E63">
        <f>IF([1]Accounts!$D$64="","",[1]Accounts!$J$64)</f>
        <v/>
      </c>
      <c r="F63">
        <f>IF([1]Accounts!$D$64="","",[1]Accounts!$K$64)</f>
        <v/>
      </c>
      <c r="U63">
        <f>IF([2]Baskol!$B$66="","",[2]Baskol!$B$66)</f>
        <v/>
      </c>
      <c r="V63">
        <f>IF([2]Baskol!$C$66="","",[2]Baskol!$C$66)</f>
        <v/>
      </c>
      <c r="W63">
        <f>IF([2]Baskol!$D$66="","",[2]Baskol!$D$66)</f>
        <v/>
      </c>
      <c r="X63">
        <f>IF([2]Baskol!$E$66="","",[2]Baskol!$E$66)</f>
        <v/>
      </c>
      <c r="Y63">
        <f>IF([2]Baskol!$G$66="","",[2]Baskol!$G$66)</f>
        <v/>
      </c>
      <c r="Z63">
        <f>IF([2]Baskol!$I$66="","",[2]Baskol!$I$66)</f>
        <v/>
      </c>
      <c r="AA63">
        <f>IF([2]Baskol!$J$66="","",[2]Baskol!$J$66)</f>
        <v/>
      </c>
      <c r="AB63">
        <f>IF([2]Baskol!$K$66="","",[2]Baskol!$K$66)</f>
        <v/>
      </c>
      <c r="AC63">
        <f>IF([2]Baskol!$L$66="","",[2]Baskol!$L$66)</f>
        <v/>
      </c>
      <c r="AD63">
        <f>IF([2]Baskol!$N$66="","",[2]Baskol!$N$66)</f>
        <v/>
      </c>
      <c r="AE63">
        <f>IF([2]Baskol!$O$66="","",[2]Baskol!$O$66)</f>
        <v/>
      </c>
      <c r="AG63">
        <f>IF([3]Entry!$C$66="","",[3]Entry!$C$66)</f>
        <v/>
      </c>
      <c r="AH63">
        <f>IF([3]Entry!$D$66="","",[3]Entry!$D$66)</f>
        <v/>
      </c>
      <c r="AI63">
        <f>IF([3]Entry!$E$66="","",[3]Entry!$E$66)</f>
        <v/>
      </c>
      <c r="AJ63">
        <f>IF([3]Entry!$G$66="","",[3]Entry!$G$66)</f>
        <v/>
      </c>
      <c r="AK63">
        <f>IF([3]Entry!$K$66="","",[3]Entry!$K$66)</f>
        <v/>
      </c>
      <c r="AL63">
        <f>IF([3]Entry!$L$66="","",[3]Entry!$L$66)</f>
        <v/>
      </c>
      <c r="AM63">
        <f>IF([3]Entry!$M$66="","",[3]Entry!$M$66)</f>
        <v/>
      </c>
      <c r="AN63">
        <f>IF([3]Entry!$N$66="","",[3]Entry!$N$66)</f>
        <v/>
      </c>
      <c r="AO63">
        <f>IF([3]Entry!$R$66="","",[3]Entry!$R$66)</f>
        <v/>
      </c>
      <c r="AQ63">
        <f>IF(AND($D63&lt;&gt;"",$A63&lt;&gt;""),1,0)</f>
        <v/>
      </c>
      <c r="AR63">
        <f>SUM($AQ$6:$AQ63)</f>
        <v/>
      </c>
      <c r="AS63">
        <f>IFERROR(INDEX($A$6:$A$565,MATCH(ROW()-5,$AR$6:$AR$565,0)),"")</f>
        <v/>
      </c>
    </row>
    <row r="64">
      <c r="A64">
        <f>IF([1]Accounts!$D$65="","",[1]Accounts!$A$65)</f>
        <v/>
      </c>
      <c r="B64">
        <f>IF([1]Accounts!$D$65="","",[1]Accounts!$B$65)</f>
        <v/>
      </c>
      <c r="C64">
        <f>IF([1]Accounts!$D$65="","",[1]Accounts!$C$65)</f>
        <v/>
      </c>
      <c r="D64">
        <f>IF([1]Accounts!$D$65="","",[1]Accounts!$D$65)</f>
        <v/>
      </c>
      <c r="E64">
        <f>IF([1]Accounts!$D$65="","",[1]Accounts!$J$65)</f>
        <v/>
      </c>
      <c r="F64">
        <f>IF([1]Accounts!$D$65="","",[1]Accounts!$K$65)</f>
        <v/>
      </c>
      <c r="U64">
        <f>IF([2]Baskol!$B$67="","",[2]Baskol!$B$67)</f>
        <v/>
      </c>
      <c r="V64">
        <f>IF([2]Baskol!$C$67="","",[2]Baskol!$C$67)</f>
        <v/>
      </c>
      <c r="W64">
        <f>IF([2]Baskol!$D$67="","",[2]Baskol!$D$67)</f>
        <v/>
      </c>
      <c r="X64">
        <f>IF([2]Baskol!$E$67="","",[2]Baskol!$E$67)</f>
        <v/>
      </c>
      <c r="Y64">
        <f>IF([2]Baskol!$G$67="","",[2]Baskol!$G$67)</f>
        <v/>
      </c>
      <c r="Z64">
        <f>IF([2]Baskol!$I$67="","",[2]Baskol!$I$67)</f>
        <v/>
      </c>
      <c r="AA64">
        <f>IF([2]Baskol!$J$67="","",[2]Baskol!$J$67)</f>
        <v/>
      </c>
      <c r="AB64">
        <f>IF([2]Baskol!$K$67="","",[2]Baskol!$K$67)</f>
        <v/>
      </c>
      <c r="AC64">
        <f>IF([2]Baskol!$L$67="","",[2]Baskol!$L$67)</f>
        <v/>
      </c>
      <c r="AD64">
        <f>IF([2]Baskol!$N$67="","",[2]Baskol!$N$67)</f>
        <v/>
      </c>
      <c r="AE64">
        <f>IF([2]Baskol!$O$67="","",[2]Baskol!$O$67)</f>
        <v/>
      </c>
      <c r="AG64">
        <f>IF([3]Entry!$C$67="","",[3]Entry!$C$67)</f>
        <v/>
      </c>
      <c r="AH64">
        <f>IF([3]Entry!$D$67="","",[3]Entry!$D$67)</f>
        <v/>
      </c>
      <c r="AI64">
        <f>IF([3]Entry!$E$67="","",[3]Entry!$E$67)</f>
        <v/>
      </c>
      <c r="AJ64">
        <f>IF([3]Entry!$G$67="","",[3]Entry!$G$67)</f>
        <v/>
      </c>
      <c r="AK64">
        <f>IF([3]Entry!$K$67="","",[3]Entry!$K$67)</f>
        <v/>
      </c>
      <c r="AL64">
        <f>IF([3]Entry!$L$67="","",[3]Entry!$L$67)</f>
        <v/>
      </c>
      <c r="AM64">
        <f>IF([3]Entry!$M$67="","",[3]Entry!$M$67)</f>
        <v/>
      </c>
      <c r="AN64">
        <f>IF([3]Entry!$N$67="","",[3]Entry!$N$67)</f>
        <v/>
      </c>
      <c r="AO64">
        <f>IF([3]Entry!$R$67="","",[3]Entry!$R$67)</f>
        <v/>
      </c>
      <c r="AQ64">
        <f>IF(AND($D64&lt;&gt;"",$A64&lt;&gt;""),1,0)</f>
        <v/>
      </c>
      <c r="AR64">
        <f>SUM($AQ$6:$AQ64)</f>
        <v/>
      </c>
      <c r="AS64">
        <f>IFERROR(INDEX($A$6:$A$565,MATCH(ROW()-5,$AR$6:$AR$565,0)),"")</f>
        <v/>
      </c>
    </row>
    <row r="65">
      <c r="A65">
        <f>IF([1]Accounts!$D$66="","",[1]Accounts!$A$66)</f>
        <v/>
      </c>
      <c r="B65">
        <f>IF([1]Accounts!$D$66="","",[1]Accounts!$B$66)</f>
        <v/>
      </c>
      <c r="C65">
        <f>IF([1]Accounts!$D$66="","",[1]Accounts!$C$66)</f>
        <v/>
      </c>
      <c r="D65">
        <f>IF([1]Accounts!$D$66="","",[1]Accounts!$D$66)</f>
        <v/>
      </c>
      <c r="E65">
        <f>IF([1]Accounts!$D$66="","",[1]Accounts!$J$66)</f>
        <v/>
      </c>
      <c r="F65">
        <f>IF([1]Accounts!$D$66="","",[1]Accounts!$K$66)</f>
        <v/>
      </c>
      <c r="U65">
        <f>IF([2]Baskol!$B$68="","",[2]Baskol!$B$68)</f>
        <v/>
      </c>
      <c r="V65">
        <f>IF([2]Baskol!$C$68="","",[2]Baskol!$C$68)</f>
        <v/>
      </c>
      <c r="W65">
        <f>IF([2]Baskol!$D$68="","",[2]Baskol!$D$68)</f>
        <v/>
      </c>
      <c r="X65">
        <f>IF([2]Baskol!$E$68="","",[2]Baskol!$E$68)</f>
        <v/>
      </c>
      <c r="Y65">
        <f>IF([2]Baskol!$G$68="","",[2]Baskol!$G$68)</f>
        <v/>
      </c>
      <c r="Z65">
        <f>IF([2]Baskol!$I$68="","",[2]Baskol!$I$68)</f>
        <v/>
      </c>
      <c r="AA65">
        <f>IF([2]Baskol!$J$68="","",[2]Baskol!$J$68)</f>
        <v/>
      </c>
      <c r="AB65">
        <f>IF([2]Baskol!$K$68="","",[2]Baskol!$K$68)</f>
        <v/>
      </c>
      <c r="AC65">
        <f>IF([2]Baskol!$L$68="","",[2]Baskol!$L$68)</f>
        <v/>
      </c>
      <c r="AD65">
        <f>IF([2]Baskol!$N$68="","",[2]Baskol!$N$68)</f>
        <v/>
      </c>
      <c r="AE65">
        <f>IF([2]Baskol!$O$68="","",[2]Baskol!$O$68)</f>
        <v/>
      </c>
      <c r="AG65">
        <f>IF([3]Entry!$C$68="","",[3]Entry!$C$68)</f>
        <v/>
      </c>
      <c r="AH65">
        <f>IF([3]Entry!$D$68="","",[3]Entry!$D$68)</f>
        <v/>
      </c>
      <c r="AI65">
        <f>IF([3]Entry!$E$68="","",[3]Entry!$E$68)</f>
        <v/>
      </c>
      <c r="AJ65">
        <f>IF([3]Entry!$G$68="","",[3]Entry!$G$68)</f>
        <v/>
      </c>
      <c r="AK65">
        <f>IF([3]Entry!$K$68="","",[3]Entry!$K$68)</f>
        <v/>
      </c>
      <c r="AL65">
        <f>IF([3]Entry!$L$68="","",[3]Entry!$L$68)</f>
        <v/>
      </c>
      <c r="AM65">
        <f>IF([3]Entry!$M$68="","",[3]Entry!$M$68)</f>
        <v/>
      </c>
      <c r="AN65">
        <f>IF([3]Entry!$N$68="","",[3]Entry!$N$68)</f>
        <v/>
      </c>
      <c r="AO65">
        <f>IF([3]Entry!$R$68="","",[3]Entry!$R$68)</f>
        <v/>
      </c>
      <c r="AQ65">
        <f>IF(AND($D65&lt;&gt;"",$A65&lt;&gt;""),1,0)</f>
        <v/>
      </c>
      <c r="AR65">
        <f>SUM($AQ$6:$AQ65)</f>
        <v/>
      </c>
      <c r="AS65">
        <f>IFERROR(INDEX($A$6:$A$565,MATCH(ROW()-5,$AR$6:$AR$565,0)),"")</f>
        <v/>
      </c>
    </row>
    <row r="66">
      <c r="A66">
        <f>IF([1]Accounts!$D$67="","",[1]Accounts!$A$67)</f>
        <v/>
      </c>
      <c r="B66">
        <f>IF([1]Accounts!$D$67="","",[1]Accounts!$B$67)</f>
        <v/>
      </c>
      <c r="C66">
        <f>IF([1]Accounts!$D$67="","",[1]Accounts!$C$67)</f>
        <v/>
      </c>
      <c r="D66">
        <f>IF([1]Accounts!$D$67="","",[1]Accounts!$D$67)</f>
        <v/>
      </c>
      <c r="E66">
        <f>IF([1]Accounts!$D$67="","",[1]Accounts!$J$67)</f>
        <v/>
      </c>
      <c r="F66">
        <f>IF([1]Accounts!$D$67="","",[1]Accounts!$K$67)</f>
        <v/>
      </c>
      <c r="U66">
        <f>IF([2]Baskol!$B$69="","",[2]Baskol!$B$69)</f>
        <v/>
      </c>
      <c r="V66">
        <f>IF([2]Baskol!$C$69="","",[2]Baskol!$C$69)</f>
        <v/>
      </c>
      <c r="W66">
        <f>IF([2]Baskol!$D$69="","",[2]Baskol!$D$69)</f>
        <v/>
      </c>
      <c r="X66">
        <f>IF([2]Baskol!$E$69="","",[2]Baskol!$E$69)</f>
        <v/>
      </c>
      <c r="Y66">
        <f>IF([2]Baskol!$G$69="","",[2]Baskol!$G$69)</f>
        <v/>
      </c>
      <c r="Z66">
        <f>IF([2]Baskol!$I$69="","",[2]Baskol!$I$69)</f>
        <v/>
      </c>
      <c r="AA66">
        <f>IF([2]Baskol!$J$69="","",[2]Baskol!$J$69)</f>
        <v/>
      </c>
      <c r="AB66">
        <f>IF([2]Baskol!$K$69="","",[2]Baskol!$K$69)</f>
        <v/>
      </c>
      <c r="AC66">
        <f>IF([2]Baskol!$L$69="","",[2]Baskol!$L$69)</f>
        <v/>
      </c>
      <c r="AD66">
        <f>IF([2]Baskol!$N$69="","",[2]Baskol!$N$69)</f>
        <v/>
      </c>
      <c r="AE66">
        <f>IF([2]Baskol!$O$69="","",[2]Baskol!$O$69)</f>
        <v/>
      </c>
      <c r="AG66">
        <f>IF([3]Entry!$C$69="","",[3]Entry!$C$69)</f>
        <v/>
      </c>
      <c r="AH66">
        <f>IF([3]Entry!$D$69="","",[3]Entry!$D$69)</f>
        <v/>
      </c>
      <c r="AI66">
        <f>IF([3]Entry!$E$69="","",[3]Entry!$E$69)</f>
        <v/>
      </c>
      <c r="AJ66">
        <f>IF([3]Entry!$G$69="","",[3]Entry!$G$69)</f>
        <v/>
      </c>
      <c r="AK66">
        <f>IF([3]Entry!$K$69="","",[3]Entry!$K$69)</f>
        <v/>
      </c>
      <c r="AL66">
        <f>IF([3]Entry!$L$69="","",[3]Entry!$L$69)</f>
        <v/>
      </c>
      <c r="AM66">
        <f>IF([3]Entry!$M$69="","",[3]Entry!$M$69)</f>
        <v/>
      </c>
      <c r="AN66">
        <f>IF([3]Entry!$N$69="","",[3]Entry!$N$69)</f>
        <v/>
      </c>
      <c r="AO66">
        <f>IF([3]Entry!$R$69="","",[3]Entry!$R$69)</f>
        <v/>
      </c>
      <c r="AQ66">
        <f>IF(AND($D66&lt;&gt;"",$A66&lt;&gt;""),1,0)</f>
        <v/>
      </c>
      <c r="AR66">
        <f>SUM($AQ$6:$AQ66)</f>
        <v/>
      </c>
      <c r="AS66">
        <f>IFERROR(INDEX($A$6:$A$565,MATCH(ROW()-5,$AR$6:$AR$565,0)),"")</f>
        <v/>
      </c>
    </row>
    <row r="67">
      <c r="A67">
        <f>IF([1]Accounts!$D$68="","",[1]Accounts!$A$68)</f>
        <v/>
      </c>
      <c r="B67">
        <f>IF([1]Accounts!$D$68="","",[1]Accounts!$B$68)</f>
        <v/>
      </c>
      <c r="C67">
        <f>IF([1]Accounts!$D$68="","",[1]Accounts!$C$68)</f>
        <v/>
      </c>
      <c r="D67">
        <f>IF([1]Accounts!$D$68="","",[1]Accounts!$D$68)</f>
        <v/>
      </c>
      <c r="E67">
        <f>IF([1]Accounts!$D$68="","",[1]Accounts!$J$68)</f>
        <v/>
      </c>
      <c r="F67">
        <f>IF([1]Accounts!$D$68="","",[1]Accounts!$K$68)</f>
        <v/>
      </c>
      <c r="U67">
        <f>IF([2]Baskol!$B$70="","",[2]Baskol!$B$70)</f>
        <v/>
      </c>
      <c r="V67">
        <f>IF([2]Baskol!$C$70="","",[2]Baskol!$C$70)</f>
        <v/>
      </c>
      <c r="W67">
        <f>IF([2]Baskol!$D$70="","",[2]Baskol!$D$70)</f>
        <v/>
      </c>
      <c r="X67">
        <f>IF([2]Baskol!$E$70="","",[2]Baskol!$E$70)</f>
        <v/>
      </c>
      <c r="Y67">
        <f>IF([2]Baskol!$G$70="","",[2]Baskol!$G$70)</f>
        <v/>
      </c>
      <c r="Z67">
        <f>IF([2]Baskol!$I$70="","",[2]Baskol!$I$70)</f>
        <v/>
      </c>
      <c r="AA67">
        <f>IF([2]Baskol!$J$70="","",[2]Baskol!$J$70)</f>
        <v/>
      </c>
      <c r="AB67">
        <f>IF([2]Baskol!$K$70="","",[2]Baskol!$K$70)</f>
        <v/>
      </c>
      <c r="AC67">
        <f>IF([2]Baskol!$L$70="","",[2]Baskol!$L$70)</f>
        <v/>
      </c>
      <c r="AD67">
        <f>IF([2]Baskol!$N$70="","",[2]Baskol!$N$70)</f>
        <v/>
      </c>
      <c r="AE67">
        <f>IF([2]Baskol!$O$70="","",[2]Baskol!$O$70)</f>
        <v/>
      </c>
      <c r="AG67">
        <f>IF([3]Entry!$C$70="","",[3]Entry!$C$70)</f>
        <v/>
      </c>
      <c r="AH67">
        <f>IF([3]Entry!$D$70="","",[3]Entry!$D$70)</f>
        <v/>
      </c>
      <c r="AI67">
        <f>IF([3]Entry!$E$70="","",[3]Entry!$E$70)</f>
        <v/>
      </c>
      <c r="AJ67">
        <f>IF([3]Entry!$G$70="","",[3]Entry!$G$70)</f>
        <v/>
      </c>
      <c r="AK67">
        <f>IF([3]Entry!$K$70="","",[3]Entry!$K$70)</f>
        <v/>
      </c>
      <c r="AL67">
        <f>IF([3]Entry!$L$70="","",[3]Entry!$L$70)</f>
        <v/>
      </c>
      <c r="AM67">
        <f>IF([3]Entry!$M$70="","",[3]Entry!$M$70)</f>
        <v/>
      </c>
      <c r="AN67">
        <f>IF([3]Entry!$N$70="","",[3]Entry!$N$70)</f>
        <v/>
      </c>
      <c r="AO67">
        <f>IF([3]Entry!$R$70="","",[3]Entry!$R$70)</f>
        <v/>
      </c>
      <c r="AQ67">
        <f>IF(AND($D67&lt;&gt;"",$A67&lt;&gt;""),1,0)</f>
        <v/>
      </c>
      <c r="AR67">
        <f>SUM($AQ$6:$AQ67)</f>
        <v/>
      </c>
      <c r="AS67">
        <f>IFERROR(INDEX($A$6:$A$565,MATCH(ROW()-5,$AR$6:$AR$565,0)),"")</f>
        <v/>
      </c>
    </row>
    <row r="68">
      <c r="A68">
        <f>IF([1]Accounts!$D$69="","",[1]Accounts!$A$69)</f>
        <v/>
      </c>
      <c r="B68">
        <f>IF([1]Accounts!$D$69="","",[1]Accounts!$B$69)</f>
        <v/>
      </c>
      <c r="C68">
        <f>IF([1]Accounts!$D$69="","",[1]Accounts!$C$69)</f>
        <v/>
      </c>
      <c r="D68">
        <f>IF([1]Accounts!$D$69="","",[1]Accounts!$D$69)</f>
        <v/>
      </c>
      <c r="E68">
        <f>IF([1]Accounts!$D$69="","",[1]Accounts!$J$69)</f>
        <v/>
      </c>
      <c r="F68">
        <f>IF([1]Accounts!$D$69="","",[1]Accounts!$K$69)</f>
        <v/>
      </c>
      <c r="U68">
        <f>IF([2]Baskol!$B$71="","",[2]Baskol!$B$71)</f>
        <v/>
      </c>
      <c r="V68">
        <f>IF([2]Baskol!$C$71="","",[2]Baskol!$C$71)</f>
        <v/>
      </c>
      <c r="W68">
        <f>IF([2]Baskol!$D$71="","",[2]Baskol!$D$71)</f>
        <v/>
      </c>
      <c r="X68">
        <f>IF([2]Baskol!$E$71="","",[2]Baskol!$E$71)</f>
        <v/>
      </c>
      <c r="Y68">
        <f>IF([2]Baskol!$G$71="","",[2]Baskol!$G$71)</f>
        <v/>
      </c>
      <c r="Z68">
        <f>IF([2]Baskol!$I$71="","",[2]Baskol!$I$71)</f>
        <v/>
      </c>
      <c r="AA68">
        <f>IF([2]Baskol!$J$71="","",[2]Baskol!$J$71)</f>
        <v/>
      </c>
      <c r="AB68">
        <f>IF([2]Baskol!$K$71="","",[2]Baskol!$K$71)</f>
        <v/>
      </c>
      <c r="AC68">
        <f>IF([2]Baskol!$L$71="","",[2]Baskol!$L$71)</f>
        <v/>
      </c>
      <c r="AD68">
        <f>IF([2]Baskol!$N$71="","",[2]Baskol!$N$71)</f>
        <v/>
      </c>
      <c r="AE68">
        <f>IF([2]Baskol!$O$71="","",[2]Baskol!$O$71)</f>
        <v/>
      </c>
      <c r="AG68">
        <f>IF([3]Entry!$C$71="","",[3]Entry!$C$71)</f>
        <v/>
      </c>
      <c r="AH68">
        <f>IF([3]Entry!$D$71="","",[3]Entry!$D$71)</f>
        <v/>
      </c>
      <c r="AI68">
        <f>IF([3]Entry!$E$71="","",[3]Entry!$E$71)</f>
        <v/>
      </c>
      <c r="AJ68">
        <f>IF([3]Entry!$G$71="","",[3]Entry!$G$71)</f>
        <v/>
      </c>
      <c r="AK68">
        <f>IF([3]Entry!$K$71="","",[3]Entry!$K$71)</f>
        <v/>
      </c>
      <c r="AL68">
        <f>IF([3]Entry!$L$71="","",[3]Entry!$L$71)</f>
        <v/>
      </c>
      <c r="AM68">
        <f>IF([3]Entry!$M$71="","",[3]Entry!$M$71)</f>
        <v/>
      </c>
      <c r="AN68">
        <f>IF([3]Entry!$N$71="","",[3]Entry!$N$71)</f>
        <v/>
      </c>
      <c r="AO68">
        <f>IF([3]Entry!$R$71="","",[3]Entry!$R$71)</f>
        <v/>
      </c>
      <c r="AQ68">
        <f>IF(AND($D68&lt;&gt;"",$A68&lt;&gt;""),1,0)</f>
        <v/>
      </c>
      <c r="AR68">
        <f>SUM($AQ$6:$AQ68)</f>
        <v/>
      </c>
      <c r="AS68">
        <f>IFERROR(INDEX($A$6:$A$565,MATCH(ROW()-5,$AR$6:$AR$565,0)),"")</f>
        <v/>
      </c>
    </row>
    <row r="69">
      <c r="A69">
        <f>IF([1]Accounts!$D$70="","",[1]Accounts!$A$70)</f>
        <v/>
      </c>
      <c r="B69">
        <f>IF([1]Accounts!$D$70="","",[1]Accounts!$B$70)</f>
        <v/>
      </c>
      <c r="C69">
        <f>IF([1]Accounts!$D$70="","",[1]Accounts!$C$70)</f>
        <v/>
      </c>
      <c r="D69">
        <f>IF([1]Accounts!$D$70="","",[1]Accounts!$D$70)</f>
        <v/>
      </c>
      <c r="E69">
        <f>IF([1]Accounts!$D$70="","",[1]Accounts!$J$70)</f>
        <v/>
      </c>
      <c r="F69">
        <f>IF([1]Accounts!$D$70="","",[1]Accounts!$K$70)</f>
        <v/>
      </c>
      <c r="U69">
        <f>IF([2]Baskol!$B$72="","",[2]Baskol!$B$72)</f>
        <v/>
      </c>
      <c r="V69">
        <f>IF([2]Baskol!$C$72="","",[2]Baskol!$C$72)</f>
        <v/>
      </c>
      <c r="W69">
        <f>IF([2]Baskol!$D$72="","",[2]Baskol!$D$72)</f>
        <v/>
      </c>
      <c r="X69">
        <f>IF([2]Baskol!$E$72="","",[2]Baskol!$E$72)</f>
        <v/>
      </c>
      <c r="Y69">
        <f>IF([2]Baskol!$G$72="","",[2]Baskol!$G$72)</f>
        <v/>
      </c>
      <c r="Z69">
        <f>IF([2]Baskol!$I$72="","",[2]Baskol!$I$72)</f>
        <v/>
      </c>
      <c r="AA69">
        <f>IF([2]Baskol!$J$72="","",[2]Baskol!$J$72)</f>
        <v/>
      </c>
      <c r="AB69">
        <f>IF([2]Baskol!$K$72="","",[2]Baskol!$K$72)</f>
        <v/>
      </c>
      <c r="AC69">
        <f>IF([2]Baskol!$L$72="","",[2]Baskol!$L$72)</f>
        <v/>
      </c>
      <c r="AD69">
        <f>IF([2]Baskol!$N$72="","",[2]Baskol!$N$72)</f>
        <v/>
      </c>
      <c r="AE69">
        <f>IF([2]Baskol!$O$72="","",[2]Baskol!$O$72)</f>
        <v/>
      </c>
      <c r="AG69">
        <f>IF([3]Entry!$C$72="","",[3]Entry!$C$72)</f>
        <v/>
      </c>
      <c r="AH69">
        <f>IF([3]Entry!$D$72="","",[3]Entry!$D$72)</f>
        <v/>
      </c>
      <c r="AI69">
        <f>IF([3]Entry!$E$72="","",[3]Entry!$E$72)</f>
        <v/>
      </c>
      <c r="AJ69">
        <f>IF([3]Entry!$G$72="","",[3]Entry!$G$72)</f>
        <v/>
      </c>
      <c r="AK69">
        <f>IF([3]Entry!$K$72="","",[3]Entry!$K$72)</f>
        <v/>
      </c>
      <c r="AL69">
        <f>IF([3]Entry!$L$72="","",[3]Entry!$L$72)</f>
        <v/>
      </c>
      <c r="AM69">
        <f>IF([3]Entry!$M$72="","",[3]Entry!$M$72)</f>
        <v/>
      </c>
      <c r="AN69">
        <f>IF([3]Entry!$N$72="","",[3]Entry!$N$72)</f>
        <v/>
      </c>
      <c r="AO69">
        <f>IF([3]Entry!$R$72="","",[3]Entry!$R$72)</f>
        <v/>
      </c>
      <c r="AQ69">
        <f>IF(AND($D69&lt;&gt;"",$A69&lt;&gt;""),1,0)</f>
        <v/>
      </c>
      <c r="AR69">
        <f>SUM($AQ$6:$AQ69)</f>
        <v/>
      </c>
      <c r="AS69">
        <f>IFERROR(INDEX($A$6:$A$565,MATCH(ROW()-5,$AR$6:$AR$565,0)),"")</f>
        <v/>
      </c>
    </row>
    <row r="70">
      <c r="A70">
        <f>IF([1]Accounts!$D$71="","",[1]Accounts!$A$71)</f>
        <v/>
      </c>
      <c r="B70">
        <f>IF([1]Accounts!$D$71="","",[1]Accounts!$B$71)</f>
        <v/>
      </c>
      <c r="C70">
        <f>IF([1]Accounts!$D$71="","",[1]Accounts!$C$71)</f>
        <v/>
      </c>
      <c r="D70">
        <f>IF([1]Accounts!$D$71="","",[1]Accounts!$D$71)</f>
        <v/>
      </c>
      <c r="E70">
        <f>IF([1]Accounts!$D$71="","",[1]Accounts!$J$71)</f>
        <v/>
      </c>
      <c r="F70">
        <f>IF([1]Accounts!$D$71="","",[1]Accounts!$K$71)</f>
        <v/>
      </c>
      <c r="U70">
        <f>IF([2]Baskol!$B$73="","",[2]Baskol!$B$73)</f>
        <v/>
      </c>
      <c r="V70">
        <f>IF([2]Baskol!$C$73="","",[2]Baskol!$C$73)</f>
        <v/>
      </c>
      <c r="W70">
        <f>IF([2]Baskol!$D$73="","",[2]Baskol!$D$73)</f>
        <v/>
      </c>
      <c r="X70">
        <f>IF([2]Baskol!$E$73="","",[2]Baskol!$E$73)</f>
        <v/>
      </c>
      <c r="Y70">
        <f>IF([2]Baskol!$G$73="","",[2]Baskol!$G$73)</f>
        <v/>
      </c>
      <c r="Z70">
        <f>IF([2]Baskol!$I$73="","",[2]Baskol!$I$73)</f>
        <v/>
      </c>
      <c r="AA70">
        <f>IF([2]Baskol!$J$73="","",[2]Baskol!$J$73)</f>
        <v/>
      </c>
      <c r="AB70">
        <f>IF([2]Baskol!$K$73="","",[2]Baskol!$K$73)</f>
        <v/>
      </c>
      <c r="AC70">
        <f>IF([2]Baskol!$L$73="","",[2]Baskol!$L$73)</f>
        <v/>
      </c>
      <c r="AD70">
        <f>IF([2]Baskol!$N$73="","",[2]Baskol!$N$73)</f>
        <v/>
      </c>
      <c r="AE70">
        <f>IF([2]Baskol!$O$73="","",[2]Baskol!$O$73)</f>
        <v/>
      </c>
      <c r="AG70">
        <f>IF([3]Entry!$C$73="","",[3]Entry!$C$73)</f>
        <v/>
      </c>
      <c r="AH70">
        <f>IF([3]Entry!$D$73="","",[3]Entry!$D$73)</f>
        <v/>
      </c>
      <c r="AI70">
        <f>IF([3]Entry!$E$73="","",[3]Entry!$E$73)</f>
        <v/>
      </c>
      <c r="AJ70">
        <f>IF([3]Entry!$G$73="","",[3]Entry!$G$73)</f>
        <v/>
      </c>
      <c r="AK70">
        <f>IF([3]Entry!$K$73="","",[3]Entry!$K$73)</f>
        <v/>
      </c>
      <c r="AL70">
        <f>IF([3]Entry!$L$73="","",[3]Entry!$L$73)</f>
        <v/>
      </c>
      <c r="AM70">
        <f>IF([3]Entry!$M$73="","",[3]Entry!$M$73)</f>
        <v/>
      </c>
      <c r="AN70">
        <f>IF([3]Entry!$N$73="","",[3]Entry!$N$73)</f>
        <v/>
      </c>
      <c r="AO70">
        <f>IF([3]Entry!$R$73="","",[3]Entry!$R$73)</f>
        <v/>
      </c>
      <c r="AQ70">
        <f>IF(AND($D70&lt;&gt;"",$A70&lt;&gt;""),1,0)</f>
        <v/>
      </c>
      <c r="AR70">
        <f>SUM($AQ$6:$AQ70)</f>
        <v/>
      </c>
      <c r="AS70">
        <f>IFERROR(INDEX($A$6:$A$565,MATCH(ROW()-5,$AR$6:$AR$565,0)),"")</f>
        <v/>
      </c>
    </row>
    <row r="71">
      <c r="A71">
        <f>IF([1]Accounts!$D$72="","",[1]Accounts!$A$72)</f>
        <v/>
      </c>
      <c r="B71">
        <f>IF([1]Accounts!$D$72="","",[1]Accounts!$B$72)</f>
        <v/>
      </c>
      <c r="C71">
        <f>IF([1]Accounts!$D$72="","",[1]Accounts!$C$72)</f>
        <v/>
      </c>
      <c r="D71">
        <f>IF([1]Accounts!$D$72="","",[1]Accounts!$D$72)</f>
        <v/>
      </c>
      <c r="E71">
        <f>IF([1]Accounts!$D$72="","",[1]Accounts!$J$72)</f>
        <v/>
      </c>
      <c r="F71">
        <f>IF([1]Accounts!$D$72="","",[1]Accounts!$K$72)</f>
        <v/>
      </c>
      <c r="U71">
        <f>IF([2]Baskol!$B$74="","",[2]Baskol!$B$74)</f>
        <v/>
      </c>
      <c r="V71">
        <f>IF([2]Baskol!$C$74="","",[2]Baskol!$C$74)</f>
        <v/>
      </c>
      <c r="W71">
        <f>IF([2]Baskol!$D$74="","",[2]Baskol!$D$74)</f>
        <v/>
      </c>
      <c r="X71">
        <f>IF([2]Baskol!$E$74="","",[2]Baskol!$E$74)</f>
        <v/>
      </c>
      <c r="Y71">
        <f>IF([2]Baskol!$G$74="","",[2]Baskol!$G$74)</f>
        <v/>
      </c>
      <c r="Z71">
        <f>IF([2]Baskol!$I$74="","",[2]Baskol!$I$74)</f>
        <v/>
      </c>
      <c r="AA71">
        <f>IF([2]Baskol!$J$74="","",[2]Baskol!$J$74)</f>
        <v/>
      </c>
      <c r="AB71">
        <f>IF([2]Baskol!$K$74="","",[2]Baskol!$K$74)</f>
        <v/>
      </c>
      <c r="AC71">
        <f>IF([2]Baskol!$L$74="","",[2]Baskol!$L$74)</f>
        <v/>
      </c>
      <c r="AD71">
        <f>IF([2]Baskol!$N$74="","",[2]Baskol!$N$74)</f>
        <v/>
      </c>
      <c r="AE71">
        <f>IF([2]Baskol!$O$74="","",[2]Baskol!$O$74)</f>
        <v/>
      </c>
      <c r="AG71">
        <f>IF([3]Entry!$C$74="","",[3]Entry!$C$74)</f>
        <v/>
      </c>
      <c r="AH71">
        <f>IF([3]Entry!$D$74="","",[3]Entry!$D$74)</f>
        <v/>
      </c>
      <c r="AI71">
        <f>IF([3]Entry!$E$74="","",[3]Entry!$E$74)</f>
        <v/>
      </c>
      <c r="AJ71">
        <f>IF([3]Entry!$G$74="","",[3]Entry!$G$74)</f>
        <v/>
      </c>
      <c r="AK71">
        <f>IF([3]Entry!$K$74="","",[3]Entry!$K$74)</f>
        <v/>
      </c>
      <c r="AL71">
        <f>IF([3]Entry!$L$74="","",[3]Entry!$L$74)</f>
        <v/>
      </c>
      <c r="AM71">
        <f>IF([3]Entry!$M$74="","",[3]Entry!$M$74)</f>
        <v/>
      </c>
      <c r="AN71">
        <f>IF([3]Entry!$N$74="","",[3]Entry!$N$74)</f>
        <v/>
      </c>
      <c r="AO71">
        <f>IF([3]Entry!$R$74="","",[3]Entry!$R$74)</f>
        <v/>
      </c>
      <c r="AQ71">
        <f>IF(AND($D71&lt;&gt;"",$A71&lt;&gt;""),1,0)</f>
        <v/>
      </c>
      <c r="AR71">
        <f>SUM($AQ$6:$AQ71)</f>
        <v/>
      </c>
      <c r="AS71">
        <f>IFERROR(INDEX($A$6:$A$565,MATCH(ROW()-5,$AR$6:$AR$565,0)),"")</f>
        <v/>
      </c>
    </row>
    <row r="72">
      <c r="A72">
        <f>IF([1]Accounts!$D$73="","",[1]Accounts!$A$73)</f>
        <v/>
      </c>
      <c r="B72">
        <f>IF([1]Accounts!$D$73="","",[1]Accounts!$B$73)</f>
        <v/>
      </c>
      <c r="C72">
        <f>IF([1]Accounts!$D$73="","",[1]Accounts!$C$73)</f>
        <v/>
      </c>
      <c r="D72">
        <f>IF([1]Accounts!$D$73="","",[1]Accounts!$D$73)</f>
        <v/>
      </c>
      <c r="E72">
        <f>IF([1]Accounts!$D$73="","",[1]Accounts!$J$73)</f>
        <v/>
      </c>
      <c r="F72">
        <f>IF([1]Accounts!$D$73="","",[1]Accounts!$K$73)</f>
        <v/>
      </c>
      <c r="U72">
        <f>IF([2]Baskol!$B$75="","",[2]Baskol!$B$75)</f>
        <v/>
      </c>
      <c r="V72">
        <f>IF([2]Baskol!$C$75="","",[2]Baskol!$C$75)</f>
        <v/>
      </c>
      <c r="W72">
        <f>IF([2]Baskol!$D$75="","",[2]Baskol!$D$75)</f>
        <v/>
      </c>
      <c r="X72">
        <f>IF([2]Baskol!$E$75="","",[2]Baskol!$E$75)</f>
        <v/>
      </c>
      <c r="Y72">
        <f>IF([2]Baskol!$G$75="","",[2]Baskol!$G$75)</f>
        <v/>
      </c>
      <c r="Z72">
        <f>IF([2]Baskol!$I$75="","",[2]Baskol!$I$75)</f>
        <v/>
      </c>
      <c r="AA72">
        <f>IF([2]Baskol!$J$75="","",[2]Baskol!$J$75)</f>
        <v/>
      </c>
      <c r="AB72">
        <f>IF([2]Baskol!$K$75="","",[2]Baskol!$K$75)</f>
        <v/>
      </c>
      <c r="AC72">
        <f>IF([2]Baskol!$L$75="","",[2]Baskol!$L$75)</f>
        <v/>
      </c>
      <c r="AD72">
        <f>IF([2]Baskol!$N$75="","",[2]Baskol!$N$75)</f>
        <v/>
      </c>
      <c r="AE72">
        <f>IF([2]Baskol!$O$75="","",[2]Baskol!$O$75)</f>
        <v/>
      </c>
      <c r="AG72">
        <f>IF([3]Entry!$C$75="","",[3]Entry!$C$75)</f>
        <v/>
      </c>
      <c r="AH72">
        <f>IF([3]Entry!$D$75="","",[3]Entry!$D$75)</f>
        <v/>
      </c>
      <c r="AI72">
        <f>IF([3]Entry!$E$75="","",[3]Entry!$E$75)</f>
        <v/>
      </c>
      <c r="AJ72">
        <f>IF([3]Entry!$G$75="","",[3]Entry!$G$75)</f>
        <v/>
      </c>
      <c r="AK72">
        <f>IF([3]Entry!$K$75="","",[3]Entry!$K$75)</f>
        <v/>
      </c>
      <c r="AL72">
        <f>IF([3]Entry!$L$75="","",[3]Entry!$L$75)</f>
        <v/>
      </c>
      <c r="AM72">
        <f>IF([3]Entry!$M$75="","",[3]Entry!$M$75)</f>
        <v/>
      </c>
      <c r="AN72">
        <f>IF([3]Entry!$N$75="","",[3]Entry!$N$75)</f>
        <v/>
      </c>
      <c r="AO72">
        <f>IF([3]Entry!$R$75="","",[3]Entry!$R$75)</f>
        <v/>
      </c>
      <c r="AQ72">
        <f>IF(AND($D72&lt;&gt;"",$A72&lt;&gt;""),1,0)</f>
        <v/>
      </c>
      <c r="AR72">
        <f>SUM($AQ$6:$AQ72)</f>
        <v/>
      </c>
      <c r="AS72">
        <f>IFERROR(INDEX($A$6:$A$565,MATCH(ROW()-5,$AR$6:$AR$565,0)),"")</f>
        <v/>
      </c>
    </row>
    <row r="73">
      <c r="A73">
        <f>IF([1]Accounts!$D$74="","",[1]Accounts!$A$74)</f>
        <v/>
      </c>
      <c r="B73">
        <f>IF([1]Accounts!$D$74="","",[1]Accounts!$B$74)</f>
        <v/>
      </c>
      <c r="C73">
        <f>IF([1]Accounts!$D$74="","",[1]Accounts!$C$74)</f>
        <v/>
      </c>
      <c r="D73">
        <f>IF([1]Accounts!$D$74="","",[1]Accounts!$D$74)</f>
        <v/>
      </c>
      <c r="E73">
        <f>IF([1]Accounts!$D$74="","",[1]Accounts!$J$74)</f>
        <v/>
      </c>
      <c r="F73">
        <f>IF([1]Accounts!$D$74="","",[1]Accounts!$K$74)</f>
        <v/>
      </c>
      <c r="U73">
        <f>IF([2]Baskol!$B$76="","",[2]Baskol!$B$76)</f>
        <v/>
      </c>
      <c r="V73">
        <f>IF([2]Baskol!$C$76="","",[2]Baskol!$C$76)</f>
        <v/>
      </c>
      <c r="W73">
        <f>IF([2]Baskol!$D$76="","",[2]Baskol!$D$76)</f>
        <v/>
      </c>
      <c r="X73">
        <f>IF([2]Baskol!$E$76="","",[2]Baskol!$E$76)</f>
        <v/>
      </c>
      <c r="Y73">
        <f>IF([2]Baskol!$G$76="","",[2]Baskol!$G$76)</f>
        <v/>
      </c>
      <c r="Z73">
        <f>IF([2]Baskol!$I$76="","",[2]Baskol!$I$76)</f>
        <v/>
      </c>
      <c r="AA73">
        <f>IF([2]Baskol!$J$76="","",[2]Baskol!$J$76)</f>
        <v/>
      </c>
      <c r="AB73">
        <f>IF([2]Baskol!$K$76="","",[2]Baskol!$K$76)</f>
        <v/>
      </c>
      <c r="AC73">
        <f>IF([2]Baskol!$L$76="","",[2]Baskol!$L$76)</f>
        <v/>
      </c>
      <c r="AD73">
        <f>IF([2]Baskol!$N$76="","",[2]Baskol!$N$76)</f>
        <v/>
      </c>
      <c r="AE73">
        <f>IF([2]Baskol!$O$76="","",[2]Baskol!$O$76)</f>
        <v/>
      </c>
      <c r="AG73">
        <f>IF([3]Entry!$C$76="","",[3]Entry!$C$76)</f>
        <v/>
      </c>
      <c r="AH73">
        <f>IF([3]Entry!$D$76="","",[3]Entry!$D$76)</f>
        <v/>
      </c>
      <c r="AI73">
        <f>IF([3]Entry!$E$76="","",[3]Entry!$E$76)</f>
        <v/>
      </c>
      <c r="AJ73">
        <f>IF([3]Entry!$G$76="","",[3]Entry!$G$76)</f>
        <v/>
      </c>
      <c r="AK73">
        <f>IF([3]Entry!$K$76="","",[3]Entry!$K$76)</f>
        <v/>
      </c>
      <c r="AL73">
        <f>IF([3]Entry!$L$76="","",[3]Entry!$L$76)</f>
        <v/>
      </c>
      <c r="AM73">
        <f>IF([3]Entry!$M$76="","",[3]Entry!$M$76)</f>
        <v/>
      </c>
      <c r="AN73">
        <f>IF([3]Entry!$N$76="","",[3]Entry!$N$76)</f>
        <v/>
      </c>
      <c r="AO73">
        <f>IF([3]Entry!$R$76="","",[3]Entry!$R$76)</f>
        <v/>
      </c>
      <c r="AQ73">
        <f>IF(AND($D73&lt;&gt;"",$A73&lt;&gt;""),1,0)</f>
        <v/>
      </c>
      <c r="AR73">
        <f>SUM($AQ$6:$AQ73)</f>
        <v/>
      </c>
      <c r="AS73">
        <f>IFERROR(INDEX($A$6:$A$565,MATCH(ROW()-5,$AR$6:$AR$565,0)),"")</f>
        <v/>
      </c>
    </row>
    <row r="74">
      <c r="A74">
        <f>IF([1]Accounts!$D$75="","",[1]Accounts!$A$75)</f>
        <v/>
      </c>
      <c r="B74">
        <f>IF([1]Accounts!$D$75="","",[1]Accounts!$B$75)</f>
        <v/>
      </c>
      <c r="C74">
        <f>IF([1]Accounts!$D$75="","",[1]Accounts!$C$75)</f>
        <v/>
      </c>
      <c r="D74">
        <f>IF([1]Accounts!$D$75="","",[1]Accounts!$D$75)</f>
        <v/>
      </c>
      <c r="E74">
        <f>IF([1]Accounts!$D$75="","",[1]Accounts!$J$75)</f>
        <v/>
      </c>
      <c r="F74">
        <f>IF([1]Accounts!$D$75="","",[1]Accounts!$K$75)</f>
        <v/>
      </c>
      <c r="U74">
        <f>IF([2]Baskol!$B$77="","",[2]Baskol!$B$77)</f>
        <v/>
      </c>
      <c r="V74">
        <f>IF([2]Baskol!$C$77="","",[2]Baskol!$C$77)</f>
        <v/>
      </c>
      <c r="W74">
        <f>IF([2]Baskol!$D$77="","",[2]Baskol!$D$77)</f>
        <v/>
      </c>
      <c r="X74">
        <f>IF([2]Baskol!$E$77="","",[2]Baskol!$E$77)</f>
        <v/>
      </c>
      <c r="Y74">
        <f>IF([2]Baskol!$G$77="","",[2]Baskol!$G$77)</f>
        <v/>
      </c>
      <c r="Z74">
        <f>IF([2]Baskol!$I$77="","",[2]Baskol!$I$77)</f>
        <v/>
      </c>
      <c r="AA74">
        <f>IF([2]Baskol!$J$77="","",[2]Baskol!$J$77)</f>
        <v/>
      </c>
      <c r="AB74">
        <f>IF([2]Baskol!$K$77="","",[2]Baskol!$K$77)</f>
        <v/>
      </c>
      <c r="AC74">
        <f>IF([2]Baskol!$L$77="","",[2]Baskol!$L$77)</f>
        <v/>
      </c>
      <c r="AD74">
        <f>IF([2]Baskol!$N$77="","",[2]Baskol!$N$77)</f>
        <v/>
      </c>
      <c r="AE74">
        <f>IF([2]Baskol!$O$77="","",[2]Baskol!$O$77)</f>
        <v/>
      </c>
      <c r="AG74">
        <f>IF([3]Entry!$C$77="","",[3]Entry!$C$77)</f>
        <v/>
      </c>
      <c r="AH74">
        <f>IF([3]Entry!$D$77="","",[3]Entry!$D$77)</f>
        <v/>
      </c>
      <c r="AI74">
        <f>IF([3]Entry!$E$77="","",[3]Entry!$E$77)</f>
        <v/>
      </c>
      <c r="AJ74">
        <f>IF([3]Entry!$G$77="","",[3]Entry!$G$77)</f>
        <v/>
      </c>
      <c r="AK74">
        <f>IF([3]Entry!$K$77="","",[3]Entry!$K$77)</f>
        <v/>
      </c>
      <c r="AL74">
        <f>IF([3]Entry!$L$77="","",[3]Entry!$L$77)</f>
        <v/>
      </c>
      <c r="AM74">
        <f>IF([3]Entry!$M$77="","",[3]Entry!$M$77)</f>
        <v/>
      </c>
      <c r="AN74">
        <f>IF([3]Entry!$N$77="","",[3]Entry!$N$77)</f>
        <v/>
      </c>
      <c r="AO74">
        <f>IF([3]Entry!$R$77="","",[3]Entry!$R$77)</f>
        <v/>
      </c>
      <c r="AQ74">
        <f>IF(AND($D74&lt;&gt;"",$A74&lt;&gt;""),1,0)</f>
        <v/>
      </c>
      <c r="AR74">
        <f>SUM($AQ$6:$AQ74)</f>
        <v/>
      </c>
      <c r="AS74">
        <f>IFERROR(INDEX($A$6:$A$565,MATCH(ROW()-5,$AR$6:$AR$565,0)),"")</f>
        <v/>
      </c>
    </row>
    <row r="75">
      <c r="A75">
        <f>IF([1]Accounts!$D$76="","",[1]Accounts!$A$76)</f>
        <v/>
      </c>
      <c r="B75">
        <f>IF([1]Accounts!$D$76="","",[1]Accounts!$B$76)</f>
        <v/>
      </c>
      <c r="C75">
        <f>IF([1]Accounts!$D$76="","",[1]Accounts!$C$76)</f>
        <v/>
      </c>
      <c r="D75">
        <f>IF([1]Accounts!$D$76="","",[1]Accounts!$D$76)</f>
        <v/>
      </c>
      <c r="E75">
        <f>IF([1]Accounts!$D$76="","",[1]Accounts!$J$76)</f>
        <v/>
      </c>
      <c r="F75">
        <f>IF([1]Accounts!$D$76="","",[1]Accounts!$K$76)</f>
        <v/>
      </c>
      <c r="U75">
        <f>IF([2]Baskol!$B$78="","",[2]Baskol!$B$78)</f>
        <v/>
      </c>
      <c r="V75">
        <f>IF([2]Baskol!$C$78="","",[2]Baskol!$C$78)</f>
        <v/>
      </c>
      <c r="W75">
        <f>IF([2]Baskol!$D$78="","",[2]Baskol!$D$78)</f>
        <v/>
      </c>
      <c r="X75">
        <f>IF([2]Baskol!$E$78="","",[2]Baskol!$E$78)</f>
        <v/>
      </c>
      <c r="Y75">
        <f>IF([2]Baskol!$G$78="","",[2]Baskol!$G$78)</f>
        <v/>
      </c>
      <c r="Z75">
        <f>IF([2]Baskol!$I$78="","",[2]Baskol!$I$78)</f>
        <v/>
      </c>
      <c r="AA75">
        <f>IF([2]Baskol!$J$78="","",[2]Baskol!$J$78)</f>
        <v/>
      </c>
      <c r="AB75">
        <f>IF([2]Baskol!$K$78="","",[2]Baskol!$K$78)</f>
        <v/>
      </c>
      <c r="AC75">
        <f>IF([2]Baskol!$L$78="","",[2]Baskol!$L$78)</f>
        <v/>
      </c>
      <c r="AD75">
        <f>IF([2]Baskol!$N$78="","",[2]Baskol!$N$78)</f>
        <v/>
      </c>
      <c r="AE75">
        <f>IF([2]Baskol!$O$78="","",[2]Baskol!$O$78)</f>
        <v/>
      </c>
      <c r="AG75">
        <f>IF([3]Entry!$C$78="","",[3]Entry!$C$78)</f>
        <v/>
      </c>
      <c r="AH75">
        <f>IF([3]Entry!$D$78="","",[3]Entry!$D$78)</f>
        <v/>
      </c>
      <c r="AI75">
        <f>IF([3]Entry!$E$78="","",[3]Entry!$E$78)</f>
        <v/>
      </c>
      <c r="AJ75">
        <f>IF([3]Entry!$G$78="","",[3]Entry!$G$78)</f>
        <v/>
      </c>
      <c r="AK75">
        <f>IF([3]Entry!$K$78="","",[3]Entry!$K$78)</f>
        <v/>
      </c>
      <c r="AL75">
        <f>IF([3]Entry!$L$78="","",[3]Entry!$L$78)</f>
        <v/>
      </c>
      <c r="AM75">
        <f>IF([3]Entry!$M$78="","",[3]Entry!$M$78)</f>
        <v/>
      </c>
      <c r="AN75">
        <f>IF([3]Entry!$N$78="","",[3]Entry!$N$78)</f>
        <v/>
      </c>
      <c r="AO75">
        <f>IF([3]Entry!$R$78="","",[3]Entry!$R$78)</f>
        <v/>
      </c>
      <c r="AQ75">
        <f>IF(AND($D75&lt;&gt;"",$A75&lt;&gt;""),1,0)</f>
        <v/>
      </c>
      <c r="AR75">
        <f>SUM($AQ$6:$AQ75)</f>
        <v/>
      </c>
      <c r="AS75">
        <f>IFERROR(INDEX($A$6:$A$565,MATCH(ROW()-5,$AR$6:$AR$565,0)),"")</f>
        <v/>
      </c>
    </row>
    <row r="76">
      <c r="A76">
        <f>IF([1]Accounts!$D$77="","",[1]Accounts!$A$77)</f>
        <v/>
      </c>
      <c r="B76">
        <f>IF([1]Accounts!$D$77="","",[1]Accounts!$B$77)</f>
        <v/>
      </c>
      <c r="C76">
        <f>IF([1]Accounts!$D$77="","",[1]Accounts!$C$77)</f>
        <v/>
      </c>
      <c r="D76">
        <f>IF([1]Accounts!$D$77="","",[1]Accounts!$D$77)</f>
        <v/>
      </c>
      <c r="E76">
        <f>IF([1]Accounts!$D$77="","",[1]Accounts!$J$77)</f>
        <v/>
      </c>
      <c r="F76">
        <f>IF([1]Accounts!$D$77="","",[1]Accounts!$K$77)</f>
        <v/>
      </c>
      <c r="U76">
        <f>IF([2]Baskol!$B$79="","",[2]Baskol!$B$79)</f>
        <v/>
      </c>
      <c r="V76">
        <f>IF([2]Baskol!$C$79="","",[2]Baskol!$C$79)</f>
        <v/>
      </c>
      <c r="W76">
        <f>IF([2]Baskol!$D$79="","",[2]Baskol!$D$79)</f>
        <v/>
      </c>
      <c r="X76">
        <f>IF([2]Baskol!$E$79="","",[2]Baskol!$E$79)</f>
        <v/>
      </c>
      <c r="Y76">
        <f>IF([2]Baskol!$G$79="","",[2]Baskol!$G$79)</f>
        <v/>
      </c>
      <c r="Z76">
        <f>IF([2]Baskol!$I$79="","",[2]Baskol!$I$79)</f>
        <v/>
      </c>
      <c r="AA76">
        <f>IF([2]Baskol!$J$79="","",[2]Baskol!$J$79)</f>
        <v/>
      </c>
      <c r="AB76">
        <f>IF([2]Baskol!$K$79="","",[2]Baskol!$K$79)</f>
        <v/>
      </c>
      <c r="AC76">
        <f>IF([2]Baskol!$L$79="","",[2]Baskol!$L$79)</f>
        <v/>
      </c>
      <c r="AD76">
        <f>IF([2]Baskol!$N$79="","",[2]Baskol!$N$79)</f>
        <v/>
      </c>
      <c r="AE76">
        <f>IF([2]Baskol!$O$79="","",[2]Baskol!$O$79)</f>
        <v/>
      </c>
      <c r="AG76">
        <f>IF([3]Entry!$C$79="","",[3]Entry!$C$79)</f>
        <v/>
      </c>
      <c r="AH76">
        <f>IF([3]Entry!$D$79="","",[3]Entry!$D$79)</f>
        <v/>
      </c>
      <c r="AI76">
        <f>IF([3]Entry!$E$79="","",[3]Entry!$E$79)</f>
        <v/>
      </c>
      <c r="AJ76">
        <f>IF([3]Entry!$G$79="","",[3]Entry!$G$79)</f>
        <v/>
      </c>
      <c r="AK76">
        <f>IF([3]Entry!$K$79="","",[3]Entry!$K$79)</f>
        <v/>
      </c>
      <c r="AL76">
        <f>IF([3]Entry!$L$79="","",[3]Entry!$L$79)</f>
        <v/>
      </c>
      <c r="AM76">
        <f>IF([3]Entry!$M$79="","",[3]Entry!$M$79)</f>
        <v/>
      </c>
      <c r="AN76">
        <f>IF([3]Entry!$N$79="","",[3]Entry!$N$79)</f>
        <v/>
      </c>
      <c r="AO76">
        <f>IF([3]Entry!$R$79="","",[3]Entry!$R$79)</f>
        <v/>
      </c>
      <c r="AQ76">
        <f>IF(AND($D76&lt;&gt;"",$A76&lt;&gt;""),1,0)</f>
        <v/>
      </c>
      <c r="AR76">
        <f>SUM($AQ$6:$AQ76)</f>
        <v/>
      </c>
      <c r="AS76">
        <f>IFERROR(INDEX($A$6:$A$565,MATCH(ROW()-5,$AR$6:$AR$565,0)),"")</f>
        <v/>
      </c>
    </row>
    <row r="77">
      <c r="A77">
        <f>IF([1]Accounts!$D$78="","",[1]Accounts!$A$78)</f>
        <v/>
      </c>
      <c r="B77">
        <f>IF([1]Accounts!$D$78="","",[1]Accounts!$B$78)</f>
        <v/>
      </c>
      <c r="C77">
        <f>IF([1]Accounts!$D$78="","",[1]Accounts!$C$78)</f>
        <v/>
      </c>
      <c r="D77">
        <f>IF([1]Accounts!$D$78="","",[1]Accounts!$D$78)</f>
        <v/>
      </c>
      <c r="E77">
        <f>IF([1]Accounts!$D$78="","",[1]Accounts!$J$78)</f>
        <v/>
      </c>
      <c r="F77">
        <f>IF([1]Accounts!$D$78="","",[1]Accounts!$K$78)</f>
        <v/>
      </c>
      <c r="U77">
        <f>IF([2]Baskol!$B$80="","",[2]Baskol!$B$80)</f>
        <v/>
      </c>
      <c r="V77">
        <f>IF([2]Baskol!$C$80="","",[2]Baskol!$C$80)</f>
        <v/>
      </c>
      <c r="W77">
        <f>IF([2]Baskol!$D$80="","",[2]Baskol!$D$80)</f>
        <v/>
      </c>
      <c r="X77">
        <f>IF([2]Baskol!$E$80="","",[2]Baskol!$E$80)</f>
        <v/>
      </c>
      <c r="Y77">
        <f>IF([2]Baskol!$G$80="","",[2]Baskol!$G$80)</f>
        <v/>
      </c>
      <c r="Z77">
        <f>IF([2]Baskol!$I$80="","",[2]Baskol!$I$80)</f>
        <v/>
      </c>
      <c r="AA77">
        <f>IF([2]Baskol!$J$80="","",[2]Baskol!$J$80)</f>
        <v/>
      </c>
      <c r="AB77">
        <f>IF([2]Baskol!$K$80="","",[2]Baskol!$K$80)</f>
        <v/>
      </c>
      <c r="AC77">
        <f>IF([2]Baskol!$L$80="","",[2]Baskol!$L$80)</f>
        <v/>
      </c>
      <c r="AD77">
        <f>IF([2]Baskol!$N$80="","",[2]Baskol!$N$80)</f>
        <v/>
      </c>
      <c r="AE77">
        <f>IF([2]Baskol!$O$80="","",[2]Baskol!$O$80)</f>
        <v/>
      </c>
      <c r="AG77">
        <f>IF([3]Entry!$C$80="","",[3]Entry!$C$80)</f>
        <v/>
      </c>
      <c r="AH77">
        <f>IF([3]Entry!$D$80="","",[3]Entry!$D$80)</f>
        <v/>
      </c>
      <c r="AI77">
        <f>IF([3]Entry!$E$80="","",[3]Entry!$E$80)</f>
        <v/>
      </c>
      <c r="AJ77">
        <f>IF([3]Entry!$G$80="","",[3]Entry!$G$80)</f>
        <v/>
      </c>
      <c r="AK77">
        <f>IF([3]Entry!$K$80="","",[3]Entry!$K$80)</f>
        <v/>
      </c>
      <c r="AL77">
        <f>IF([3]Entry!$L$80="","",[3]Entry!$L$80)</f>
        <v/>
      </c>
      <c r="AM77">
        <f>IF([3]Entry!$M$80="","",[3]Entry!$M$80)</f>
        <v/>
      </c>
      <c r="AN77">
        <f>IF([3]Entry!$N$80="","",[3]Entry!$N$80)</f>
        <v/>
      </c>
      <c r="AO77">
        <f>IF([3]Entry!$R$80="","",[3]Entry!$R$80)</f>
        <v/>
      </c>
      <c r="AQ77">
        <f>IF(AND($D77&lt;&gt;"",$A77&lt;&gt;""),1,0)</f>
        <v/>
      </c>
      <c r="AR77">
        <f>SUM($AQ$6:$AQ77)</f>
        <v/>
      </c>
      <c r="AS77">
        <f>IFERROR(INDEX($A$6:$A$565,MATCH(ROW()-5,$AR$6:$AR$565,0)),"")</f>
        <v/>
      </c>
    </row>
    <row r="78">
      <c r="A78">
        <f>IF([1]Accounts!$D$79="","",[1]Accounts!$A$79)</f>
        <v/>
      </c>
      <c r="B78">
        <f>IF([1]Accounts!$D$79="","",[1]Accounts!$B$79)</f>
        <v/>
      </c>
      <c r="C78">
        <f>IF([1]Accounts!$D$79="","",[1]Accounts!$C$79)</f>
        <v/>
      </c>
      <c r="D78">
        <f>IF([1]Accounts!$D$79="","",[1]Accounts!$D$79)</f>
        <v/>
      </c>
      <c r="E78">
        <f>IF([1]Accounts!$D$79="","",[1]Accounts!$J$79)</f>
        <v/>
      </c>
      <c r="F78">
        <f>IF([1]Accounts!$D$79="","",[1]Accounts!$K$79)</f>
        <v/>
      </c>
      <c r="U78">
        <f>IF([2]Baskol!$B$81="","",[2]Baskol!$B$81)</f>
        <v/>
      </c>
      <c r="V78">
        <f>IF([2]Baskol!$C$81="","",[2]Baskol!$C$81)</f>
        <v/>
      </c>
      <c r="W78">
        <f>IF([2]Baskol!$D$81="","",[2]Baskol!$D$81)</f>
        <v/>
      </c>
      <c r="X78">
        <f>IF([2]Baskol!$E$81="","",[2]Baskol!$E$81)</f>
        <v/>
      </c>
      <c r="Y78">
        <f>IF([2]Baskol!$G$81="","",[2]Baskol!$G$81)</f>
        <v/>
      </c>
      <c r="Z78">
        <f>IF([2]Baskol!$I$81="","",[2]Baskol!$I$81)</f>
        <v/>
      </c>
      <c r="AA78">
        <f>IF([2]Baskol!$J$81="","",[2]Baskol!$J$81)</f>
        <v/>
      </c>
      <c r="AB78">
        <f>IF([2]Baskol!$K$81="","",[2]Baskol!$K$81)</f>
        <v/>
      </c>
      <c r="AC78">
        <f>IF([2]Baskol!$L$81="","",[2]Baskol!$L$81)</f>
        <v/>
      </c>
      <c r="AD78">
        <f>IF([2]Baskol!$N$81="","",[2]Baskol!$N$81)</f>
        <v/>
      </c>
      <c r="AE78">
        <f>IF([2]Baskol!$O$81="","",[2]Baskol!$O$81)</f>
        <v/>
      </c>
      <c r="AG78">
        <f>IF([3]Entry!$C$81="","",[3]Entry!$C$81)</f>
        <v/>
      </c>
      <c r="AH78">
        <f>IF([3]Entry!$D$81="","",[3]Entry!$D$81)</f>
        <v/>
      </c>
      <c r="AI78">
        <f>IF([3]Entry!$E$81="","",[3]Entry!$E$81)</f>
        <v/>
      </c>
      <c r="AJ78">
        <f>IF([3]Entry!$G$81="","",[3]Entry!$G$81)</f>
        <v/>
      </c>
      <c r="AK78">
        <f>IF([3]Entry!$K$81="","",[3]Entry!$K$81)</f>
        <v/>
      </c>
      <c r="AL78">
        <f>IF([3]Entry!$L$81="","",[3]Entry!$L$81)</f>
        <v/>
      </c>
      <c r="AM78">
        <f>IF([3]Entry!$M$81="","",[3]Entry!$M$81)</f>
        <v/>
      </c>
      <c r="AN78">
        <f>IF([3]Entry!$N$81="","",[3]Entry!$N$81)</f>
        <v/>
      </c>
      <c r="AO78">
        <f>IF([3]Entry!$R$81="","",[3]Entry!$R$81)</f>
        <v/>
      </c>
      <c r="AQ78">
        <f>IF(AND($D78&lt;&gt;"",$A78&lt;&gt;""),1,0)</f>
        <v/>
      </c>
      <c r="AR78">
        <f>SUM($AQ$6:$AQ78)</f>
        <v/>
      </c>
      <c r="AS78">
        <f>IFERROR(INDEX($A$6:$A$565,MATCH(ROW()-5,$AR$6:$AR$565,0)),"")</f>
        <v/>
      </c>
    </row>
    <row r="79">
      <c r="A79">
        <f>IF([1]Accounts!$D$80="","",[1]Accounts!$A$80)</f>
        <v/>
      </c>
      <c r="B79">
        <f>IF([1]Accounts!$D$80="","",[1]Accounts!$B$80)</f>
        <v/>
      </c>
      <c r="C79">
        <f>IF([1]Accounts!$D$80="","",[1]Accounts!$C$80)</f>
        <v/>
      </c>
      <c r="D79">
        <f>IF([1]Accounts!$D$80="","",[1]Accounts!$D$80)</f>
        <v/>
      </c>
      <c r="E79">
        <f>IF([1]Accounts!$D$80="","",[1]Accounts!$J$80)</f>
        <v/>
      </c>
      <c r="F79">
        <f>IF([1]Accounts!$D$80="","",[1]Accounts!$K$80)</f>
        <v/>
      </c>
      <c r="U79">
        <f>IF([2]Baskol!$B$82="","",[2]Baskol!$B$82)</f>
        <v/>
      </c>
      <c r="V79">
        <f>IF([2]Baskol!$C$82="","",[2]Baskol!$C$82)</f>
        <v/>
      </c>
      <c r="W79">
        <f>IF([2]Baskol!$D$82="","",[2]Baskol!$D$82)</f>
        <v/>
      </c>
      <c r="X79">
        <f>IF([2]Baskol!$E$82="","",[2]Baskol!$E$82)</f>
        <v/>
      </c>
      <c r="Y79">
        <f>IF([2]Baskol!$G$82="","",[2]Baskol!$G$82)</f>
        <v/>
      </c>
      <c r="Z79">
        <f>IF([2]Baskol!$I$82="","",[2]Baskol!$I$82)</f>
        <v/>
      </c>
      <c r="AA79">
        <f>IF([2]Baskol!$J$82="","",[2]Baskol!$J$82)</f>
        <v/>
      </c>
      <c r="AB79">
        <f>IF([2]Baskol!$K$82="","",[2]Baskol!$K$82)</f>
        <v/>
      </c>
      <c r="AC79">
        <f>IF([2]Baskol!$L$82="","",[2]Baskol!$L$82)</f>
        <v/>
      </c>
      <c r="AD79">
        <f>IF([2]Baskol!$N$82="","",[2]Baskol!$N$82)</f>
        <v/>
      </c>
      <c r="AE79">
        <f>IF([2]Baskol!$O$82="","",[2]Baskol!$O$82)</f>
        <v/>
      </c>
      <c r="AG79">
        <f>IF([3]Entry!$C$82="","",[3]Entry!$C$82)</f>
        <v/>
      </c>
      <c r="AH79">
        <f>IF([3]Entry!$D$82="","",[3]Entry!$D$82)</f>
        <v/>
      </c>
      <c r="AI79">
        <f>IF([3]Entry!$E$82="","",[3]Entry!$E$82)</f>
        <v/>
      </c>
      <c r="AJ79">
        <f>IF([3]Entry!$G$82="","",[3]Entry!$G$82)</f>
        <v/>
      </c>
      <c r="AK79">
        <f>IF([3]Entry!$K$82="","",[3]Entry!$K$82)</f>
        <v/>
      </c>
      <c r="AL79">
        <f>IF([3]Entry!$L$82="","",[3]Entry!$L$82)</f>
        <v/>
      </c>
      <c r="AM79">
        <f>IF([3]Entry!$M$82="","",[3]Entry!$M$82)</f>
        <v/>
      </c>
      <c r="AN79">
        <f>IF([3]Entry!$N$82="","",[3]Entry!$N$82)</f>
        <v/>
      </c>
      <c r="AO79">
        <f>IF([3]Entry!$R$82="","",[3]Entry!$R$82)</f>
        <v/>
      </c>
      <c r="AQ79">
        <f>IF(AND($D79&lt;&gt;"",$A79&lt;&gt;""),1,0)</f>
        <v/>
      </c>
      <c r="AR79">
        <f>SUM($AQ$6:$AQ79)</f>
        <v/>
      </c>
      <c r="AS79">
        <f>IFERROR(INDEX($A$6:$A$565,MATCH(ROW()-5,$AR$6:$AR$565,0)),"")</f>
        <v/>
      </c>
    </row>
    <row r="80">
      <c r="A80">
        <f>IF([1]Accounts!$D$81="","",[1]Accounts!$A$81)</f>
        <v/>
      </c>
      <c r="B80">
        <f>IF([1]Accounts!$D$81="","",[1]Accounts!$B$81)</f>
        <v/>
      </c>
      <c r="C80">
        <f>IF([1]Accounts!$D$81="","",[1]Accounts!$C$81)</f>
        <v/>
      </c>
      <c r="D80">
        <f>IF([1]Accounts!$D$81="","",[1]Accounts!$D$81)</f>
        <v/>
      </c>
      <c r="E80">
        <f>IF([1]Accounts!$D$81="","",[1]Accounts!$J$81)</f>
        <v/>
      </c>
      <c r="F80">
        <f>IF([1]Accounts!$D$81="","",[1]Accounts!$K$81)</f>
        <v/>
      </c>
      <c r="U80">
        <f>IF([2]Baskol!$B$83="","",[2]Baskol!$B$83)</f>
        <v/>
      </c>
      <c r="V80">
        <f>IF([2]Baskol!$C$83="","",[2]Baskol!$C$83)</f>
        <v/>
      </c>
      <c r="W80">
        <f>IF([2]Baskol!$D$83="","",[2]Baskol!$D$83)</f>
        <v/>
      </c>
      <c r="X80">
        <f>IF([2]Baskol!$E$83="","",[2]Baskol!$E$83)</f>
        <v/>
      </c>
      <c r="Y80">
        <f>IF([2]Baskol!$G$83="","",[2]Baskol!$G$83)</f>
        <v/>
      </c>
      <c r="Z80">
        <f>IF([2]Baskol!$I$83="","",[2]Baskol!$I$83)</f>
        <v/>
      </c>
      <c r="AA80">
        <f>IF([2]Baskol!$J$83="","",[2]Baskol!$J$83)</f>
        <v/>
      </c>
      <c r="AB80">
        <f>IF([2]Baskol!$K$83="","",[2]Baskol!$K$83)</f>
        <v/>
      </c>
      <c r="AC80">
        <f>IF([2]Baskol!$L$83="","",[2]Baskol!$L$83)</f>
        <v/>
      </c>
      <c r="AD80">
        <f>IF([2]Baskol!$N$83="","",[2]Baskol!$N$83)</f>
        <v/>
      </c>
      <c r="AE80">
        <f>IF([2]Baskol!$O$83="","",[2]Baskol!$O$83)</f>
        <v/>
      </c>
      <c r="AG80">
        <f>IF([3]Entry!$C$83="","",[3]Entry!$C$83)</f>
        <v/>
      </c>
      <c r="AH80">
        <f>IF([3]Entry!$D$83="","",[3]Entry!$D$83)</f>
        <v/>
      </c>
      <c r="AI80">
        <f>IF([3]Entry!$E$83="","",[3]Entry!$E$83)</f>
        <v/>
      </c>
      <c r="AJ80">
        <f>IF([3]Entry!$G$83="","",[3]Entry!$G$83)</f>
        <v/>
      </c>
      <c r="AK80">
        <f>IF([3]Entry!$K$83="","",[3]Entry!$K$83)</f>
        <v/>
      </c>
      <c r="AL80">
        <f>IF([3]Entry!$L$83="","",[3]Entry!$L$83)</f>
        <v/>
      </c>
      <c r="AM80">
        <f>IF([3]Entry!$M$83="","",[3]Entry!$M$83)</f>
        <v/>
      </c>
      <c r="AN80">
        <f>IF([3]Entry!$N$83="","",[3]Entry!$N$83)</f>
        <v/>
      </c>
      <c r="AO80">
        <f>IF([3]Entry!$R$83="","",[3]Entry!$R$83)</f>
        <v/>
      </c>
      <c r="AQ80">
        <f>IF(AND($D80&lt;&gt;"",$A80&lt;&gt;""),1,0)</f>
        <v/>
      </c>
      <c r="AR80">
        <f>SUM($AQ$6:$AQ80)</f>
        <v/>
      </c>
      <c r="AS80">
        <f>IFERROR(INDEX($A$6:$A$565,MATCH(ROW()-5,$AR$6:$AR$565,0)),"")</f>
        <v/>
      </c>
    </row>
    <row r="81">
      <c r="A81">
        <f>IF([1]Accounts!$D$82="","",[1]Accounts!$A$82)</f>
        <v/>
      </c>
      <c r="B81">
        <f>IF([1]Accounts!$D$82="","",[1]Accounts!$B$82)</f>
        <v/>
      </c>
      <c r="C81">
        <f>IF([1]Accounts!$D$82="","",[1]Accounts!$C$82)</f>
        <v/>
      </c>
      <c r="D81">
        <f>IF([1]Accounts!$D$82="","",[1]Accounts!$D$82)</f>
        <v/>
      </c>
      <c r="E81">
        <f>IF([1]Accounts!$D$82="","",[1]Accounts!$J$82)</f>
        <v/>
      </c>
      <c r="F81">
        <f>IF([1]Accounts!$D$82="","",[1]Accounts!$K$82)</f>
        <v/>
      </c>
      <c r="U81">
        <f>IF([2]Baskol!$B$84="","",[2]Baskol!$B$84)</f>
        <v/>
      </c>
      <c r="V81">
        <f>IF([2]Baskol!$C$84="","",[2]Baskol!$C$84)</f>
        <v/>
      </c>
      <c r="W81">
        <f>IF([2]Baskol!$D$84="","",[2]Baskol!$D$84)</f>
        <v/>
      </c>
      <c r="X81">
        <f>IF([2]Baskol!$E$84="","",[2]Baskol!$E$84)</f>
        <v/>
      </c>
      <c r="Y81">
        <f>IF([2]Baskol!$G$84="","",[2]Baskol!$G$84)</f>
        <v/>
      </c>
      <c r="Z81">
        <f>IF([2]Baskol!$I$84="","",[2]Baskol!$I$84)</f>
        <v/>
      </c>
      <c r="AA81">
        <f>IF([2]Baskol!$J$84="","",[2]Baskol!$J$84)</f>
        <v/>
      </c>
      <c r="AB81">
        <f>IF([2]Baskol!$K$84="","",[2]Baskol!$K$84)</f>
        <v/>
      </c>
      <c r="AC81">
        <f>IF([2]Baskol!$L$84="","",[2]Baskol!$L$84)</f>
        <v/>
      </c>
      <c r="AD81">
        <f>IF([2]Baskol!$N$84="","",[2]Baskol!$N$84)</f>
        <v/>
      </c>
      <c r="AE81">
        <f>IF([2]Baskol!$O$84="","",[2]Baskol!$O$84)</f>
        <v/>
      </c>
      <c r="AG81">
        <f>IF([3]Entry!$C$84="","",[3]Entry!$C$84)</f>
        <v/>
      </c>
      <c r="AH81">
        <f>IF([3]Entry!$D$84="","",[3]Entry!$D$84)</f>
        <v/>
      </c>
      <c r="AI81">
        <f>IF([3]Entry!$E$84="","",[3]Entry!$E$84)</f>
        <v/>
      </c>
      <c r="AJ81">
        <f>IF([3]Entry!$G$84="","",[3]Entry!$G$84)</f>
        <v/>
      </c>
      <c r="AK81">
        <f>IF([3]Entry!$K$84="","",[3]Entry!$K$84)</f>
        <v/>
      </c>
      <c r="AL81">
        <f>IF([3]Entry!$L$84="","",[3]Entry!$L$84)</f>
        <v/>
      </c>
      <c r="AM81">
        <f>IF([3]Entry!$M$84="","",[3]Entry!$M$84)</f>
        <v/>
      </c>
      <c r="AN81">
        <f>IF([3]Entry!$N$84="","",[3]Entry!$N$84)</f>
        <v/>
      </c>
      <c r="AO81">
        <f>IF([3]Entry!$R$84="","",[3]Entry!$R$84)</f>
        <v/>
      </c>
      <c r="AQ81">
        <f>IF(AND($D81&lt;&gt;"",$A81&lt;&gt;""),1,0)</f>
        <v/>
      </c>
      <c r="AR81">
        <f>SUM($AQ$6:$AQ81)</f>
        <v/>
      </c>
      <c r="AS81">
        <f>IFERROR(INDEX($A$6:$A$565,MATCH(ROW()-5,$AR$6:$AR$565,0)),"")</f>
        <v/>
      </c>
    </row>
    <row r="82">
      <c r="A82">
        <f>IF([1]Accounts!$D$83="","",[1]Accounts!$A$83)</f>
        <v/>
      </c>
      <c r="B82">
        <f>IF([1]Accounts!$D$83="","",[1]Accounts!$B$83)</f>
        <v/>
      </c>
      <c r="C82">
        <f>IF([1]Accounts!$D$83="","",[1]Accounts!$C$83)</f>
        <v/>
      </c>
      <c r="D82">
        <f>IF([1]Accounts!$D$83="","",[1]Accounts!$D$83)</f>
        <v/>
      </c>
      <c r="E82">
        <f>IF([1]Accounts!$D$83="","",[1]Accounts!$J$83)</f>
        <v/>
      </c>
      <c r="F82">
        <f>IF([1]Accounts!$D$83="","",[1]Accounts!$K$83)</f>
        <v/>
      </c>
      <c r="U82">
        <f>IF([2]Baskol!$B$85="","",[2]Baskol!$B$85)</f>
        <v/>
      </c>
      <c r="V82">
        <f>IF([2]Baskol!$C$85="","",[2]Baskol!$C$85)</f>
        <v/>
      </c>
      <c r="W82">
        <f>IF([2]Baskol!$D$85="","",[2]Baskol!$D$85)</f>
        <v/>
      </c>
      <c r="X82">
        <f>IF([2]Baskol!$E$85="","",[2]Baskol!$E$85)</f>
        <v/>
      </c>
      <c r="Y82">
        <f>IF([2]Baskol!$G$85="","",[2]Baskol!$G$85)</f>
        <v/>
      </c>
      <c r="Z82">
        <f>IF([2]Baskol!$I$85="","",[2]Baskol!$I$85)</f>
        <v/>
      </c>
      <c r="AA82">
        <f>IF([2]Baskol!$J$85="","",[2]Baskol!$J$85)</f>
        <v/>
      </c>
      <c r="AB82">
        <f>IF([2]Baskol!$K$85="","",[2]Baskol!$K$85)</f>
        <v/>
      </c>
      <c r="AC82">
        <f>IF([2]Baskol!$L$85="","",[2]Baskol!$L$85)</f>
        <v/>
      </c>
      <c r="AD82">
        <f>IF([2]Baskol!$N$85="","",[2]Baskol!$N$85)</f>
        <v/>
      </c>
      <c r="AE82">
        <f>IF([2]Baskol!$O$85="","",[2]Baskol!$O$85)</f>
        <v/>
      </c>
      <c r="AG82">
        <f>IF([3]Entry!$C$85="","",[3]Entry!$C$85)</f>
        <v/>
      </c>
      <c r="AH82">
        <f>IF([3]Entry!$D$85="","",[3]Entry!$D$85)</f>
        <v/>
      </c>
      <c r="AI82">
        <f>IF([3]Entry!$E$85="","",[3]Entry!$E$85)</f>
        <v/>
      </c>
      <c r="AJ82">
        <f>IF([3]Entry!$G$85="","",[3]Entry!$G$85)</f>
        <v/>
      </c>
      <c r="AK82">
        <f>IF([3]Entry!$K$85="","",[3]Entry!$K$85)</f>
        <v/>
      </c>
      <c r="AL82">
        <f>IF([3]Entry!$L$85="","",[3]Entry!$L$85)</f>
        <v/>
      </c>
      <c r="AM82">
        <f>IF([3]Entry!$M$85="","",[3]Entry!$M$85)</f>
        <v/>
      </c>
      <c r="AN82">
        <f>IF([3]Entry!$N$85="","",[3]Entry!$N$85)</f>
        <v/>
      </c>
      <c r="AO82">
        <f>IF([3]Entry!$R$85="","",[3]Entry!$R$85)</f>
        <v/>
      </c>
      <c r="AQ82">
        <f>IF(AND($D82&lt;&gt;"",$A82&lt;&gt;""),1,0)</f>
        <v/>
      </c>
      <c r="AR82">
        <f>SUM($AQ$6:$AQ82)</f>
        <v/>
      </c>
      <c r="AS82">
        <f>IFERROR(INDEX($A$6:$A$565,MATCH(ROW()-5,$AR$6:$AR$565,0)),"")</f>
        <v/>
      </c>
    </row>
    <row r="83">
      <c r="A83">
        <f>IF([1]Accounts!$D$84="","",[1]Accounts!$A$84)</f>
        <v/>
      </c>
      <c r="B83">
        <f>IF([1]Accounts!$D$84="","",[1]Accounts!$B$84)</f>
        <v/>
      </c>
      <c r="C83">
        <f>IF([1]Accounts!$D$84="","",[1]Accounts!$C$84)</f>
        <v/>
      </c>
      <c r="D83">
        <f>IF([1]Accounts!$D$84="","",[1]Accounts!$D$84)</f>
        <v/>
      </c>
      <c r="E83">
        <f>IF([1]Accounts!$D$84="","",[1]Accounts!$J$84)</f>
        <v/>
      </c>
      <c r="F83">
        <f>IF([1]Accounts!$D$84="","",[1]Accounts!$K$84)</f>
        <v/>
      </c>
      <c r="U83">
        <f>IF([2]Baskol!$B$86="","",[2]Baskol!$B$86)</f>
        <v/>
      </c>
      <c r="V83">
        <f>IF([2]Baskol!$C$86="","",[2]Baskol!$C$86)</f>
        <v/>
      </c>
      <c r="W83">
        <f>IF([2]Baskol!$D$86="","",[2]Baskol!$D$86)</f>
        <v/>
      </c>
      <c r="X83">
        <f>IF([2]Baskol!$E$86="","",[2]Baskol!$E$86)</f>
        <v/>
      </c>
      <c r="Y83">
        <f>IF([2]Baskol!$G$86="","",[2]Baskol!$G$86)</f>
        <v/>
      </c>
      <c r="Z83">
        <f>IF([2]Baskol!$I$86="","",[2]Baskol!$I$86)</f>
        <v/>
      </c>
      <c r="AA83">
        <f>IF([2]Baskol!$J$86="","",[2]Baskol!$J$86)</f>
        <v/>
      </c>
      <c r="AB83">
        <f>IF([2]Baskol!$K$86="","",[2]Baskol!$K$86)</f>
        <v/>
      </c>
      <c r="AC83">
        <f>IF([2]Baskol!$L$86="","",[2]Baskol!$L$86)</f>
        <v/>
      </c>
      <c r="AD83">
        <f>IF([2]Baskol!$N$86="","",[2]Baskol!$N$86)</f>
        <v/>
      </c>
      <c r="AE83">
        <f>IF([2]Baskol!$O$86="","",[2]Baskol!$O$86)</f>
        <v/>
      </c>
      <c r="AG83">
        <f>IF([3]Entry!$C$86="","",[3]Entry!$C$86)</f>
        <v/>
      </c>
      <c r="AH83">
        <f>IF([3]Entry!$D$86="","",[3]Entry!$D$86)</f>
        <v/>
      </c>
      <c r="AI83">
        <f>IF([3]Entry!$E$86="","",[3]Entry!$E$86)</f>
        <v/>
      </c>
      <c r="AJ83">
        <f>IF([3]Entry!$G$86="","",[3]Entry!$G$86)</f>
        <v/>
      </c>
      <c r="AK83">
        <f>IF([3]Entry!$K$86="","",[3]Entry!$K$86)</f>
        <v/>
      </c>
      <c r="AL83">
        <f>IF([3]Entry!$L$86="","",[3]Entry!$L$86)</f>
        <v/>
      </c>
      <c r="AM83">
        <f>IF([3]Entry!$M$86="","",[3]Entry!$M$86)</f>
        <v/>
      </c>
      <c r="AN83">
        <f>IF([3]Entry!$N$86="","",[3]Entry!$N$86)</f>
        <v/>
      </c>
      <c r="AO83">
        <f>IF([3]Entry!$R$86="","",[3]Entry!$R$86)</f>
        <v/>
      </c>
      <c r="AQ83">
        <f>IF(AND($D83&lt;&gt;"",$A83&lt;&gt;""),1,0)</f>
        <v/>
      </c>
      <c r="AR83">
        <f>SUM($AQ$6:$AQ83)</f>
        <v/>
      </c>
      <c r="AS83">
        <f>IFERROR(INDEX($A$6:$A$565,MATCH(ROW()-5,$AR$6:$AR$565,0)),"")</f>
        <v/>
      </c>
    </row>
    <row r="84">
      <c r="A84">
        <f>IF([1]Accounts!$D$85="","",[1]Accounts!$A$85)</f>
        <v/>
      </c>
      <c r="B84">
        <f>IF([1]Accounts!$D$85="","",[1]Accounts!$B$85)</f>
        <v/>
      </c>
      <c r="C84">
        <f>IF([1]Accounts!$D$85="","",[1]Accounts!$C$85)</f>
        <v/>
      </c>
      <c r="D84">
        <f>IF([1]Accounts!$D$85="","",[1]Accounts!$D$85)</f>
        <v/>
      </c>
      <c r="E84">
        <f>IF([1]Accounts!$D$85="","",[1]Accounts!$J$85)</f>
        <v/>
      </c>
      <c r="F84">
        <f>IF([1]Accounts!$D$85="","",[1]Accounts!$K$85)</f>
        <v/>
      </c>
      <c r="U84">
        <f>IF([2]Baskol!$B$87="","",[2]Baskol!$B$87)</f>
        <v/>
      </c>
      <c r="V84">
        <f>IF([2]Baskol!$C$87="","",[2]Baskol!$C$87)</f>
        <v/>
      </c>
      <c r="W84">
        <f>IF([2]Baskol!$D$87="","",[2]Baskol!$D$87)</f>
        <v/>
      </c>
      <c r="X84">
        <f>IF([2]Baskol!$E$87="","",[2]Baskol!$E$87)</f>
        <v/>
      </c>
      <c r="Y84">
        <f>IF([2]Baskol!$G$87="","",[2]Baskol!$G$87)</f>
        <v/>
      </c>
      <c r="Z84">
        <f>IF([2]Baskol!$I$87="","",[2]Baskol!$I$87)</f>
        <v/>
      </c>
      <c r="AA84">
        <f>IF([2]Baskol!$J$87="","",[2]Baskol!$J$87)</f>
        <v/>
      </c>
      <c r="AB84">
        <f>IF([2]Baskol!$K$87="","",[2]Baskol!$K$87)</f>
        <v/>
      </c>
      <c r="AC84">
        <f>IF([2]Baskol!$L$87="","",[2]Baskol!$L$87)</f>
        <v/>
      </c>
      <c r="AD84">
        <f>IF([2]Baskol!$N$87="","",[2]Baskol!$N$87)</f>
        <v/>
      </c>
      <c r="AE84">
        <f>IF([2]Baskol!$O$87="","",[2]Baskol!$O$87)</f>
        <v/>
      </c>
      <c r="AG84">
        <f>IF([3]Entry!$C$87="","",[3]Entry!$C$87)</f>
        <v/>
      </c>
      <c r="AH84">
        <f>IF([3]Entry!$D$87="","",[3]Entry!$D$87)</f>
        <v/>
      </c>
      <c r="AI84">
        <f>IF([3]Entry!$E$87="","",[3]Entry!$E$87)</f>
        <v/>
      </c>
      <c r="AJ84">
        <f>IF([3]Entry!$G$87="","",[3]Entry!$G$87)</f>
        <v/>
      </c>
      <c r="AK84">
        <f>IF([3]Entry!$K$87="","",[3]Entry!$K$87)</f>
        <v/>
      </c>
      <c r="AL84">
        <f>IF([3]Entry!$L$87="","",[3]Entry!$L$87)</f>
        <v/>
      </c>
      <c r="AM84">
        <f>IF([3]Entry!$M$87="","",[3]Entry!$M$87)</f>
        <v/>
      </c>
      <c r="AN84">
        <f>IF([3]Entry!$N$87="","",[3]Entry!$N$87)</f>
        <v/>
      </c>
      <c r="AO84">
        <f>IF([3]Entry!$R$87="","",[3]Entry!$R$87)</f>
        <v/>
      </c>
      <c r="AQ84">
        <f>IF(AND($D84&lt;&gt;"",$A84&lt;&gt;""),1,0)</f>
        <v/>
      </c>
      <c r="AR84">
        <f>SUM($AQ$6:$AQ84)</f>
        <v/>
      </c>
      <c r="AS84">
        <f>IFERROR(INDEX($A$6:$A$565,MATCH(ROW()-5,$AR$6:$AR$565,0)),"")</f>
        <v/>
      </c>
    </row>
    <row r="85">
      <c r="A85">
        <f>IF([1]Accounts!$D$86="","",[1]Accounts!$A$86)</f>
        <v/>
      </c>
      <c r="B85">
        <f>IF([1]Accounts!$D$86="","",[1]Accounts!$B$86)</f>
        <v/>
      </c>
      <c r="C85">
        <f>IF([1]Accounts!$D$86="","",[1]Accounts!$C$86)</f>
        <v/>
      </c>
      <c r="D85">
        <f>IF([1]Accounts!$D$86="","",[1]Accounts!$D$86)</f>
        <v/>
      </c>
      <c r="E85">
        <f>IF([1]Accounts!$D$86="","",[1]Accounts!$J$86)</f>
        <v/>
      </c>
      <c r="F85">
        <f>IF([1]Accounts!$D$86="","",[1]Accounts!$K$86)</f>
        <v/>
      </c>
      <c r="U85">
        <f>IF([2]Baskol!$B$88="","",[2]Baskol!$B$88)</f>
        <v/>
      </c>
      <c r="V85">
        <f>IF([2]Baskol!$C$88="","",[2]Baskol!$C$88)</f>
        <v/>
      </c>
      <c r="W85">
        <f>IF([2]Baskol!$D$88="","",[2]Baskol!$D$88)</f>
        <v/>
      </c>
      <c r="X85">
        <f>IF([2]Baskol!$E$88="","",[2]Baskol!$E$88)</f>
        <v/>
      </c>
      <c r="Y85">
        <f>IF([2]Baskol!$G$88="","",[2]Baskol!$G$88)</f>
        <v/>
      </c>
      <c r="Z85">
        <f>IF([2]Baskol!$I$88="","",[2]Baskol!$I$88)</f>
        <v/>
      </c>
      <c r="AA85">
        <f>IF([2]Baskol!$J$88="","",[2]Baskol!$J$88)</f>
        <v/>
      </c>
      <c r="AB85">
        <f>IF([2]Baskol!$K$88="","",[2]Baskol!$K$88)</f>
        <v/>
      </c>
      <c r="AC85">
        <f>IF([2]Baskol!$L$88="","",[2]Baskol!$L$88)</f>
        <v/>
      </c>
      <c r="AD85">
        <f>IF([2]Baskol!$N$88="","",[2]Baskol!$N$88)</f>
        <v/>
      </c>
      <c r="AE85">
        <f>IF([2]Baskol!$O$88="","",[2]Baskol!$O$88)</f>
        <v/>
      </c>
      <c r="AG85">
        <f>IF([3]Entry!$C$88="","",[3]Entry!$C$88)</f>
        <v/>
      </c>
      <c r="AH85">
        <f>IF([3]Entry!$D$88="","",[3]Entry!$D$88)</f>
        <v/>
      </c>
      <c r="AI85">
        <f>IF([3]Entry!$E$88="","",[3]Entry!$E$88)</f>
        <v/>
      </c>
      <c r="AJ85">
        <f>IF([3]Entry!$G$88="","",[3]Entry!$G$88)</f>
        <v/>
      </c>
      <c r="AK85">
        <f>IF([3]Entry!$K$88="","",[3]Entry!$K$88)</f>
        <v/>
      </c>
      <c r="AL85">
        <f>IF([3]Entry!$L$88="","",[3]Entry!$L$88)</f>
        <v/>
      </c>
      <c r="AM85">
        <f>IF([3]Entry!$M$88="","",[3]Entry!$M$88)</f>
        <v/>
      </c>
      <c r="AN85">
        <f>IF([3]Entry!$N$88="","",[3]Entry!$N$88)</f>
        <v/>
      </c>
      <c r="AO85">
        <f>IF([3]Entry!$R$88="","",[3]Entry!$R$88)</f>
        <v/>
      </c>
      <c r="AQ85">
        <f>IF(AND($D85&lt;&gt;"",$A85&lt;&gt;""),1,0)</f>
        <v/>
      </c>
      <c r="AR85">
        <f>SUM($AQ$6:$AQ85)</f>
        <v/>
      </c>
      <c r="AS85">
        <f>IFERROR(INDEX($A$6:$A$565,MATCH(ROW()-5,$AR$6:$AR$565,0)),"")</f>
        <v/>
      </c>
    </row>
    <row r="86">
      <c r="A86">
        <f>IF([1]Accounts!$D$87="","",[1]Accounts!$A$87)</f>
        <v/>
      </c>
      <c r="B86">
        <f>IF([1]Accounts!$D$87="","",[1]Accounts!$B$87)</f>
        <v/>
      </c>
      <c r="C86">
        <f>IF([1]Accounts!$D$87="","",[1]Accounts!$C$87)</f>
        <v/>
      </c>
      <c r="D86">
        <f>IF([1]Accounts!$D$87="","",[1]Accounts!$D$87)</f>
        <v/>
      </c>
      <c r="E86">
        <f>IF([1]Accounts!$D$87="","",[1]Accounts!$J$87)</f>
        <v/>
      </c>
      <c r="F86">
        <f>IF([1]Accounts!$D$87="","",[1]Accounts!$K$87)</f>
        <v/>
      </c>
      <c r="U86">
        <f>IF([2]Baskol!$B$89="","",[2]Baskol!$B$89)</f>
        <v/>
      </c>
      <c r="V86">
        <f>IF([2]Baskol!$C$89="","",[2]Baskol!$C$89)</f>
        <v/>
      </c>
      <c r="W86">
        <f>IF([2]Baskol!$D$89="","",[2]Baskol!$D$89)</f>
        <v/>
      </c>
      <c r="X86">
        <f>IF([2]Baskol!$E$89="","",[2]Baskol!$E$89)</f>
        <v/>
      </c>
      <c r="Y86">
        <f>IF([2]Baskol!$G$89="","",[2]Baskol!$G$89)</f>
        <v/>
      </c>
      <c r="Z86">
        <f>IF([2]Baskol!$I$89="","",[2]Baskol!$I$89)</f>
        <v/>
      </c>
      <c r="AA86">
        <f>IF([2]Baskol!$J$89="","",[2]Baskol!$J$89)</f>
        <v/>
      </c>
      <c r="AB86">
        <f>IF([2]Baskol!$K$89="","",[2]Baskol!$K$89)</f>
        <v/>
      </c>
      <c r="AC86">
        <f>IF([2]Baskol!$L$89="","",[2]Baskol!$L$89)</f>
        <v/>
      </c>
      <c r="AD86">
        <f>IF([2]Baskol!$N$89="","",[2]Baskol!$N$89)</f>
        <v/>
      </c>
      <c r="AE86">
        <f>IF([2]Baskol!$O$89="","",[2]Baskol!$O$89)</f>
        <v/>
      </c>
      <c r="AG86">
        <f>IF([3]Entry!$C$89="","",[3]Entry!$C$89)</f>
        <v/>
      </c>
      <c r="AH86">
        <f>IF([3]Entry!$D$89="","",[3]Entry!$D$89)</f>
        <v/>
      </c>
      <c r="AI86">
        <f>IF([3]Entry!$E$89="","",[3]Entry!$E$89)</f>
        <v/>
      </c>
      <c r="AJ86">
        <f>IF([3]Entry!$G$89="","",[3]Entry!$G$89)</f>
        <v/>
      </c>
      <c r="AK86">
        <f>IF([3]Entry!$K$89="","",[3]Entry!$K$89)</f>
        <v/>
      </c>
      <c r="AL86">
        <f>IF([3]Entry!$L$89="","",[3]Entry!$L$89)</f>
        <v/>
      </c>
      <c r="AM86">
        <f>IF([3]Entry!$M$89="","",[3]Entry!$M$89)</f>
        <v/>
      </c>
      <c r="AN86">
        <f>IF([3]Entry!$N$89="","",[3]Entry!$N$89)</f>
        <v/>
      </c>
      <c r="AO86">
        <f>IF([3]Entry!$R$89="","",[3]Entry!$R$89)</f>
        <v/>
      </c>
      <c r="AQ86">
        <f>IF(AND($D86&lt;&gt;"",$A86&lt;&gt;""),1,0)</f>
        <v/>
      </c>
      <c r="AR86">
        <f>SUM($AQ$6:$AQ86)</f>
        <v/>
      </c>
      <c r="AS86">
        <f>IFERROR(INDEX($A$6:$A$565,MATCH(ROW()-5,$AR$6:$AR$565,0)),"")</f>
        <v/>
      </c>
    </row>
    <row r="87">
      <c r="A87">
        <f>IF([1]Accounts!$D$88="","",[1]Accounts!$A$88)</f>
        <v/>
      </c>
      <c r="B87">
        <f>IF([1]Accounts!$D$88="","",[1]Accounts!$B$88)</f>
        <v/>
      </c>
      <c r="C87">
        <f>IF([1]Accounts!$D$88="","",[1]Accounts!$C$88)</f>
        <v/>
      </c>
      <c r="D87">
        <f>IF([1]Accounts!$D$88="","",[1]Accounts!$D$88)</f>
        <v/>
      </c>
      <c r="E87">
        <f>IF([1]Accounts!$D$88="","",[1]Accounts!$J$88)</f>
        <v/>
      </c>
      <c r="F87">
        <f>IF([1]Accounts!$D$88="","",[1]Accounts!$K$88)</f>
        <v/>
      </c>
      <c r="U87">
        <f>IF([2]Baskol!$B$90="","",[2]Baskol!$B$90)</f>
        <v/>
      </c>
      <c r="V87">
        <f>IF([2]Baskol!$C$90="","",[2]Baskol!$C$90)</f>
        <v/>
      </c>
      <c r="W87">
        <f>IF([2]Baskol!$D$90="","",[2]Baskol!$D$90)</f>
        <v/>
      </c>
      <c r="X87">
        <f>IF([2]Baskol!$E$90="","",[2]Baskol!$E$90)</f>
        <v/>
      </c>
      <c r="Y87">
        <f>IF([2]Baskol!$G$90="","",[2]Baskol!$G$90)</f>
        <v/>
      </c>
      <c r="Z87">
        <f>IF([2]Baskol!$I$90="","",[2]Baskol!$I$90)</f>
        <v/>
      </c>
      <c r="AA87">
        <f>IF([2]Baskol!$J$90="","",[2]Baskol!$J$90)</f>
        <v/>
      </c>
      <c r="AB87">
        <f>IF([2]Baskol!$K$90="","",[2]Baskol!$K$90)</f>
        <v/>
      </c>
      <c r="AC87">
        <f>IF([2]Baskol!$L$90="","",[2]Baskol!$L$90)</f>
        <v/>
      </c>
      <c r="AD87">
        <f>IF([2]Baskol!$N$90="","",[2]Baskol!$N$90)</f>
        <v/>
      </c>
      <c r="AE87">
        <f>IF([2]Baskol!$O$90="","",[2]Baskol!$O$90)</f>
        <v/>
      </c>
      <c r="AG87">
        <f>IF([3]Entry!$C$90="","",[3]Entry!$C$90)</f>
        <v/>
      </c>
      <c r="AH87">
        <f>IF([3]Entry!$D$90="","",[3]Entry!$D$90)</f>
        <v/>
      </c>
      <c r="AI87">
        <f>IF([3]Entry!$E$90="","",[3]Entry!$E$90)</f>
        <v/>
      </c>
      <c r="AJ87">
        <f>IF([3]Entry!$G$90="","",[3]Entry!$G$90)</f>
        <v/>
      </c>
      <c r="AK87">
        <f>IF([3]Entry!$K$90="","",[3]Entry!$K$90)</f>
        <v/>
      </c>
      <c r="AL87">
        <f>IF([3]Entry!$L$90="","",[3]Entry!$L$90)</f>
        <v/>
      </c>
      <c r="AM87">
        <f>IF([3]Entry!$M$90="","",[3]Entry!$M$90)</f>
        <v/>
      </c>
      <c r="AN87">
        <f>IF([3]Entry!$N$90="","",[3]Entry!$N$90)</f>
        <v/>
      </c>
      <c r="AO87">
        <f>IF([3]Entry!$R$90="","",[3]Entry!$R$90)</f>
        <v/>
      </c>
      <c r="AQ87">
        <f>IF(AND($D87&lt;&gt;"",$A87&lt;&gt;""),1,0)</f>
        <v/>
      </c>
      <c r="AR87">
        <f>SUM($AQ$6:$AQ87)</f>
        <v/>
      </c>
      <c r="AS87">
        <f>IFERROR(INDEX($A$6:$A$565,MATCH(ROW()-5,$AR$6:$AR$565,0)),"")</f>
        <v/>
      </c>
    </row>
    <row r="88">
      <c r="A88">
        <f>IF([1]Accounts!$D$89="","",[1]Accounts!$A$89)</f>
        <v/>
      </c>
      <c r="B88">
        <f>IF([1]Accounts!$D$89="","",[1]Accounts!$B$89)</f>
        <v/>
      </c>
      <c r="C88">
        <f>IF([1]Accounts!$D$89="","",[1]Accounts!$C$89)</f>
        <v/>
      </c>
      <c r="D88">
        <f>IF([1]Accounts!$D$89="","",[1]Accounts!$D$89)</f>
        <v/>
      </c>
      <c r="E88">
        <f>IF([1]Accounts!$D$89="","",[1]Accounts!$J$89)</f>
        <v/>
      </c>
      <c r="F88">
        <f>IF([1]Accounts!$D$89="","",[1]Accounts!$K$89)</f>
        <v/>
      </c>
      <c r="U88">
        <f>IF([2]Baskol!$B$91="","",[2]Baskol!$B$91)</f>
        <v/>
      </c>
      <c r="V88">
        <f>IF([2]Baskol!$C$91="","",[2]Baskol!$C$91)</f>
        <v/>
      </c>
      <c r="W88">
        <f>IF([2]Baskol!$D$91="","",[2]Baskol!$D$91)</f>
        <v/>
      </c>
      <c r="X88">
        <f>IF([2]Baskol!$E$91="","",[2]Baskol!$E$91)</f>
        <v/>
      </c>
      <c r="Y88">
        <f>IF([2]Baskol!$G$91="","",[2]Baskol!$G$91)</f>
        <v/>
      </c>
      <c r="Z88">
        <f>IF([2]Baskol!$I$91="","",[2]Baskol!$I$91)</f>
        <v/>
      </c>
      <c r="AA88">
        <f>IF([2]Baskol!$J$91="","",[2]Baskol!$J$91)</f>
        <v/>
      </c>
      <c r="AB88">
        <f>IF([2]Baskol!$K$91="","",[2]Baskol!$K$91)</f>
        <v/>
      </c>
      <c r="AC88">
        <f>IF([2]Baskol!$L$91="","",[2]Baskol!$L$91)</f>
        <v/>
      </c>
      <c r="AD88">
        <f>IF([2]Baskol!$N$91="","",[2]Baskol!$N$91)</f>
        <v/>
      </c>
      <c r="AE88">
        <f>IF([2]Baskol!$O$91="","",[2]Baskol!$O$91)</f>
        <v/>
      </c>
      <c r="AG88">
        <f>IF([3]Entry!$C$91="","",[3]Entry!$C$91)</f>
        <v/>
      </c>
      <c r="AH88">
        <f>IF([3]Entry!$D$91="","",[3]Entry!$D$91)</f>
        <v/>
      </c>
      <c r="AI88">
        <f>IF([3]Entry!$E$91="","",[3]Entry!$E$91)</f>
        <v/>
      </c>
      <c r="AJ88">
        <f>IF([3]Entry!$G$91="","",[3]Entry!$G$91)</f>
        <v/>
      </c>
      <c r="AK88">
        <f>IF([3]Entry!$K$91="","",[3]Entry!$K$91)</f>
        <v/>
      </c>
      <c r="AL88">
        <f>IF([3]Entry!$L$91="","",[3]Entry!$L$91)</f>
        <v/>
      </c>
      <c r="AM88">
        <f>IF([3]Entry!$M$91="","",[3]Entry!$M$91)</f>
        <v/>
      </c>
      <c r="AN88">
        <f>IF([3]Entry!$N$91="","",[3]Entry!$N$91)</f>
        <v/>
      </c>
      <c r="AO88">
        <f>IF([3]Entry!$R$91="","",[3]Entry!$R$91)</f>
        <v/>
      </c>
      <c r="AQ88">
        <f>IF(AND($D88&lt;&gt;"",$A88&lt;&gt;""),1,0)</f>
        <v/>
      </c>
      <c r="AR88">
        <f>SUM($AQ$6:$AQ88)</f>
        <v/>
      </c>
      <c r="AS88">
        <f>IFERROR(INDEX($A$6:$A$565,MATCH(ROW()-5,$AR$6:$AR$565,0)),"")</f>
        <v/>
      </c>
    </row>
    <row r="89">
      <c r="A89">
        <f>IF([1]Accounts!$D$90="","",[1]Accounts!$A$90)</f>
        <v/>
      </c>
      <c r="B89">
        <f>IF([1]Accounts!$D$90="","",[1]Accounts!$B$90)</f>
        <v/>
      </c>
      <c r="C89">
        <f>IF([1]Accounts!$D$90="","",[1]Accounts!$C$90)</f>
        <v/>
      </c>
      <c r="D89">
        <f>IF([1]Accounts!$D$90="","",[1]Accounts!$D$90)</f>
        <v/>
      </c>
      <c r="E89">
        <f>IF([1]Accounts!$D$90="","",[1]Accounts!$J$90)</f>
        <v/>
      </c>
      <c r="F89">
        <f>IF([1]Accounts!$D$90="","",[1]Accounts!$K$90)</f>
        <v/>
      </c>
      <c r="U89">
        <f>IF([2]Baskol!$B$92="","",[2]Baskol!$B$92)</f>
        <v/>
      </c>
      <c r="V89">
        <f>IF([2]Baskol!$C$92="","",[2]Baskol!$C$92)</f>
        <v/>
      </c>
      <c r="W89">
        <f>IF([2]Baskol!$D$92="","",[2]Baskol!$D$92)</f>
        <v/>
      </c>
      <c r="X89">
        <f>IF([2]Baskol!$E$92="","",[2]Baskol!$E$92)</f>
        <v/>
      </c>
      <c r="Y89">
        <f>IF([2]Baskol!$G$92="","",[2]Baskol!$G$92)</f>
        <v/>
      </c>
      <c r="Z89">
        <f>IF([2]Baskol!$I$92="","",[2]Baskol!$I$92)</f>
        <v/>
      </c>
      <c r="AA89">
        <f>IF([2]Baskol!$J$92="","",[2]Baskol!$J$92)</f>
        <v/>
      </c>
      <c r="AB89">
        <f>IF([2]Baskol!$K$92="","",[2]Baskol!$K$92)</f>
        <v/>
      </c>
      <c r="AC89">
        <f>IF([2]Baskol!$L$92="","",[2]Baskol!$L$92)</f>
        <v/>
      </c>
      <c r="AD89">
        <f>IF([2]Baskol!$N$92="","",[2]Baskol!$N$92)</f>
        <v/>
      </c>
      <c r="AE89">
        <f>IF([2]Baskol!$O$92="","",[2]Baskol!$O$92)</f>
        <v/>
      </c>
      <c r="AG89">
        <f>IF([3]Entry!$C$92="","",[3]Entry!$C$92)</f>
        <v/>
      </c>
      <c r="AH89">
        <f>IF([3]Entry!$D$92="","",[3]Entry!$D$92)</f>
        <v/>
      </c>
      <c r="AI89">
        <f>IF([3]Entry!$E$92="","",[3]Entry!$E$92)</f>
        <v/>
      </c>
      <c r="AJ89">
        <f>IF([3]Entry!$G$92="","",[3]Entry!$G$92)</f>
        <v/>
      </c>
      <c r="AK89">
        <f>IF([3]Entry!$K$92="","",[3]Entry!$K$92)</f>
        <v/>
      </c>
      <c r="AL89">
        <f>IF([3]Entry!$L$92="","",[3]Entry!$L$92)</f>
        <v/>
      </c>
      <c r="AM89">
        <f>IF([3]Entry!$M$92="","",[3]Entry!$M$92)</f>
        <v/>
      </c>
      <c r="AN89">
        <f>IF([3]Entry!$N$92="","",[3]Entry!$N$92)</f>
        <v/>
      </c>
      <c r="AO89">
        <f>IF([3]Entry!$R$92="","",[3]Entry!$R$92)</f>
        <v/>
      </c>
      <c r="AQ89">
        <f>IF(AND($D89&lt;&gt;"",$A89&lt;&gt;""),1,0)</f>
        <v/>
      </c>
      <c r="AR89">
        <f>SUM($AQ$6:$AQ89)</f>
        <v/>
      </c>
      <c r="AS89">
        <f>IFERROR(INDEX($A$6:$A$565,MATCH(ROW()-5,$AR$6:$AR$565,0)),"")</f>
        <v/>
      </c>
    </row>
    <row r="90">
      <c r="A90">
        <f>IF([1]Accounts!$D$91="","",[1]Accounts!$A$91)</f>
        <v/>
      </c>
      <c r="B90">
        <f>IF([1]Accounts!$D$91="","",[1]Accounts!$B$91)</f>
        <v/>
      </c>
      <c r="C90">
        <f>IF([1]Accounts!$D$91="","",[1]Accounts!$C$91)</f>
        <v/>
      </c>
      <c r="D90">
        <f>IF([1]Accounts!$D$91="","",[1]Accounts!$D$91)</f>
        <v/>
      </c>
      <c r="E90">
        <f>IF([1]Accounts!$D$91="","",[1]Accounts!$J$91)</f>
        <v/>
      </c>
      <c r="F90">
        <f>IF([1]Accounts!$D$91="","",[1]Accounts!$K$91)</f>
        <v/>
      </c>
      <c r="U90">
        <f>IF([2]Baskol!$B$93="","",[2]Baskol!$B$93)</f>
        <v/>
      </c>
      <c r="V90">
        <f>IF([2]Baskol!$C$93="","",[2]Baskol!$C$93)</f>
        <v/>
      </c>
      <c r="W90">
        <f>IF([2]Baskol!$D$93="","",[2]Baskol!$D$93)</f>
        <v/>
      </c>
      <c r="X90">
        <f>IF([2]Baskol!$E$93="","",[2]Baskol!$E$93)</f>
        <v/>
      </c>
      <c r="Y90">
        <f>IF([2]Baskol!$G$93="","",[2]Baskol!$G$93)</f>
        <v/>
      </c>
      <c r="Z90">
        <f>IF([2]Baskol!$I$93="","",[2]Baskol!$I$93)</f>
        <v/>
      </c>
      <c r="AA90">
        <f>IF([2]Baskol!$J$93="","",[2]Baskol!$J$93)</f>
        <v/>
      </c>
      <c r="AB90">
        <f>IF([2]Baskol!$K$93="","",[2]Baskol!$K$93)</f>
        <v/>
      </c>
      <c r="AC90">
        <f>IF([2]Baskol!$L$93="","",[2]Baskol!$L$93)</f>
        <v/>
      </c>
      <c r="AD90">
        <f>IF([2]Baskol!$N$93="","",[2]Baskol!$N$93)</f>
        <v/>
      </c>
      <c r="AE90">
        <f>IF([2]Baskol!$O$93="","",[2]Baskol!$O$93)</f>
        <v/>
      </c>
      <c r="AG90">
        <f>IF([3]Entry!$C$93="","",[3]Entry!$C$93)</f>
        <v/>
      </c>
      <c r="AH90">
        <f>IF([3]Entry!$D$93="","",[3]Entry!$D$93)</f>
        <v/>
      </c>
      <c r="AI90">
        <f>IF([3]Entry!$E$93="","",[3]Entry!$E$93)</f>
        <v/>
      </c>
      <c r="AJ90">
        <f>IF([3]Entry!$G$93="","",[3]Entry!$G$93)</f>
        <v/>
      </c>
      <c r="AK90">
        <f>IF([3]Entry!$K$93="","",[3]Entry!$K$93)</f>
        <v/>
      </c>
      <c r="AL90">
        <f>IF([3]Entry!$L$93="","",[3]Entry!$L$93)</f>
        <v/>
      </c>
      <c r="AM90">
        <f>IF([3]Entry!$M$93="","",[3]Entry!$M$93)</f>
        <v/>
      </c>
      <c r="AN90">
        <f>IF([3]Entry!$N$93="","",[3]Entry!$N$93)</f>
        <v/>
      </c>
      <c r="AO90">
        <f>IF([3]Entry!$R$93="","",[3]Entry!$R$93)</f>
        <v/>
      </c>
      <c r="AQ90">
        <f>IF(AND($D90&lt;&gt;"",$A90&lt;&gt;""),1,0)</f>
        <v/>
      </c>
      <c r="AR90">
        <f>SUM($AQ$6:$AQ90)</f>
        <v/>
      </c>
      <c r="AS90">
        <f>IFERROR(INDEX($A$6:$A$565,MATCH(ROW()-5,$AR$6:$AR$565,0)),"")</f>
        <v/>
      </c>
    </row>
    <row r="91">
      <c r="A91">
        <f>IF([1]Accounts!$D$92="","",[1]Accounts!$A$92)</f>
        <v/>
      </c>
      <c r="B91">
        <f>IF([1]Accounts!$D$92="","",[1]Accounts!$B$92)</f>
        <v/>
      </c>
      <c r="C91">
        <f>IF([1]Accounts!$D$92="","",[1]Accounts!$C$92)</f>
        <v/>
      </c>
      <c r="D91">
        <f>IF([1]Accounts!$D$92="","",[1]Accounts!$D$92)</f>
        <v/>
      </c>
      <c r="E91">
        <f>IF([1]Accounts!$D$92="","",[1]Accounts!$J$92)</f>
        <v/>
      </c>
      <c r="F91">
        <f>IF([1]Accounts!$D$92="","",[1]Accounts!$K$92)</f>
        <v/>
      </c>
      <c r="U91">
        <f>IF([2]Baskol!$B$94="","",[2]Baskol!$B$94)</f>
        <v/>
      </c>
      <c r="V91">
        <f>IF([2]Baskol!$C$94="","",[2]Baskol!$C$94)</f>
        <v/>
      </c>
      <c r="W91">
        <f>IF([2]Baskol!$D$94="","",[2]Baskol!$D$94)</f>
        <v/>
      </c>
      <c r="X91">
        <f>IF([2]Baskol!$E$94="","",[2]Baskol!$E$94)</f>
        <v/>
      </c>
      <c r="Y91">
        <f>IF([2]Baskol!$G$94="","",[2]Baskol!$G$94)</f>
        <v/>
      </c>
      <c r="Z91">
        <f>IF([2]Baskol!$I$94="","",[2]Baskol!$I$94)</f>
        <v/>
      </c>
      <c r="AA91">
        <f>IF([2]Baskol!$J$94="","",[2]Baskol!$J$94)</f>
        <v/>
      </c>
      <c r="AB91">
        <f>IF([2]Baskol!$K$94="","",[2]Baskol!$K$94)</f>
        <v/>
      </c>
      <c r="AC91">
        <f>IF([2]Baskol!$L$94="","",[2]Baskol!$L$94)</f>
        <v/>
      </c>
      <c r="AD91">
        <f>IF([2]Baskol!$N$94="","",[2]Baskol!$N$94)</f>
        <v/>
      </c>
      <c r="AE91">
        <f>IF([2]Baskol!$O$94="","",[2]Baskol!$O$94)</f>
        <v/>
      </c>
      <c r="AG91">
        <f>IF([3]Entry!$C$94="","",[3]Entry!$C$94)</f>
        <v/>
      </c>
      <c r="AH91">
        <f>IF([3]Entry!$D$94="","",[3]Entry!$D$94)</f>
        <v/>
      </c>
      <c r="AI91">
        <f>IF([3]Entry!$E$94="","",[3]Entry!$E$94)</f>
        <v/>
      </c>
      <c r="AJ91">
        <f>IF([3]Entry!$G$94="","",[3]Entry!$G$94)</f>
        <v/>
      </c>
      <c r="AK91">
        <f>IF([3]Entry!$K$94="","",[3]Entry!$K$94)</f>
        <v/>
      </c>
      <c r="AL91">
        <f>IF([3]Entry!$L$94="","",[3]Entry!$L$94)</f>
        <v/>
      </c>
      <c r="AM91">
        <f>IF([3]Entry!$M$94="","",[3]Entry!$M$94)</f>
        <v/>
      </c>
      <c r="AN91">
        <f>IF([3]Entry!$N$94="","",[3]Entry!$N$94)</f>
        <v/>
      </c>
      <c r="AO91">
        <f>IF([3]Entry!$R$94="","",[3]Entry!$R$94)</f>
        <v/>
      </c>
      <c r="AQ91">
        <f>IF(AND($D91&lt;&gt;"",$A91&lt;&gt;""),1,0)</f>
        <v/>
      </c>
      <c r="AR91">
        <f>SUM($AQ$6:$AQ91)</f>
        <v/>
      </c>
      <c r="AS91">
        <f>IFERROR(INDEX($A$6:$A$565,MATCH(ROW()-5,$AR$6:$AR$565,0)),"")</f>
        <v/>
      </c>
    </row>
    <row r="92">
      <c r="A92">
        <f>IF([1]Accounts!$D$93="","",[1]Accounts!$A$93)</f>
        <v/>
      </c>
      <c r="B92">
        <f>IF([1]Accounts!$D$93="","",[1]Accounts!$B$93)</f>
        <v/>
      </c>
      <c r="C92">
        <f>IF([1]Accounts!$D$93="","",[1]Accounts!$C$93)</f>
        <v/>
      </c>
      <c r="D92">
        <f>IF([1]Accounts!$D$93="","",[1]Accounts!$D$93)</f>
        <v/>
      </c>
      <c r="E92">
        <f>IF([1]Accounts!$D$93="","",[1]Accounts!$J$93)</f>
        <v/>
      </c>
      <c r="F92">
        <f>IF([1]Accounts!$D$93="","",[1]Accounts!$K$93)</f>
        <v/>
      </c>
      <c r="U92">
        <f>IF([2]Baskol!$B$95="","",[2]Baskol!$B$95)</f>
        <v/>
      </c>
      <c r="V92">
        <f>IF([2]Baskol!$C$95="","",[2]Baskol!$C$95)</f>
        <v/>
      </c>
      <c r="W92">
        <f>IF([2]Baskol!$D$95="","",[2]Baskol!$D$95)</f>
        <v/>
      </c>
      <c r="X92">
        <f>IF([2]Baskol!$E$95="","",[2]Baskol!$E$95)</f>
        <v/>
      </c>
      <c r="Y92">
        <f>IF([2]Baskol!$G$95="","",[2]Baskol!$G$95)</f>
        <v/>
      </c>
      <c r="Z92">
        <f>IF([2]Baskol!$I$95="","",[2]Baskol!$I$95)</f>
        <v/>
      </c>
      <c r="AA92">
        <f>IF([2]Baskol!$J$95="","",[2]Baskol!$J$95)</f>
        <v/>
      </c>
      <c r="AB92">
        <f>IF([2]Baskol!$K$95="","",[2]Baskol!$K$95)</f>
        <v/>
      </c>
      <c r="AC92">
        <f>IF([2]Baskol!$L$95="","",[2]Baskol!$L$95)</f>
        <v/>
      </c>
      <c r="AD92">
        <f>IF([2]Baskol!$N$95="","",[2]Baskol!$N$95)</f>
        <v/>
      </c>
      <c r="AE92">
        <f>IF([2]Baskol!$O$95="","",[2]Baskol!$O$95)</f>
        <v/>
      </c>
      <c r="AG92">
        <f>IF([3]Entry!$C$95="","",[3]Entry!$C$95)</f>
        <v/>
      </c>
      <c r="AH92">
        <f>IF([3]Entry!$D$95="","",[3]Entry!$D$95)</f>
        <v/>
      </c>
      <c r="AI92">
        <f>IF([3]Entry!$E$95="","",[3]Entry!$E$95)</f>
        <v/>
      </c>
      <c r="AJ92">
        <f>IF([3]Entry!$G$95="","",[3]Entry!$G$95)</f>
        <v/>
      </c>
      <c r="AK92">
        <f>IF([3]Entry!$K$95="","",[3]Entry!$K$95)</f>
        <v/>
      </c>
      <c r="AL92">
        <f>IF([3]Entry!$L$95="","",[3]Entry!$L$95)</f>
        <v/>
      </c>
      <c r="AM92">
        <f>IF([3]Entry!$M$95="","",[3]Entry!$M$95)</f>
        <v/>
      </c>
      <c r="AN92">
        <f>IF([3]Entry!$N$95="","",[3]Entry!$N$95)</f>
        <v/>
      </c>
      <c r="AO92">
        <f>IF([3]Entry!$R$95="","",[3]Entry!$R$95)</f>
        <v/>
      </c>
      <c r="AQ92">
        <f>IF(AND($D92&lt;&gt;"",$A92&lt;&gt;""),1,0)</f>
        <v/>
      </c>
      <c r="AR92">
        <f>SUM($AQ$6:$AQ92)</f>
        <v/>
      </c>
      <c r="AS92">
        <f>IFERROR(INDEX($A$6:$A$565,MATCH(ROW()-5,$AR$6:$AR$565,0)),"")</f>
        <v/>
      </c>
    </row>
    <row r="93">
      <c r="A93">
        <f>IF([1]Accounts!$D$94="","",[1]Accounts!$A$94)</f>
        <v/>
      </c>
      <c r="B93">
        <f>IF([1]Accounts!$D$94="","",[1]Accounts!$B$94)</f>
        <v/>
      </c>
      <c r="C93">
        <f>IF([1]Accounts!$D$94="","",[1]Accounts!$C$94)</f>
        <v/>
      </c>
      <c r="D93">
        <f>IF([1]Accounts!$D$94="","",[1]Accounts!$D$94)</f>
        <v/>
      </c>
      <c r="E93">
        <f>IF([1]Accounts!$D$94="","",[1]Accounts!$J$94)</f>
        <v/>
      </c>
      <c r="F93">
        <f>IF([1]Accounts!$D$94="","",[1]Accounts!$K$94)</f>
        <v/>
      </c>
      <c r="U93">
        <f>IF([2]Baskol!$B$96="","",[2]Baskol!$B$96)</f>
        <v/>
      </c>
      <c r="V93">
        <f>IF([2]Baskol!$C$96="","",[2]Baskol!$C$96)</f>
        <v/>
      </c>
      <c r="W93">
        <f>IF([2]Baskol!$D$96="","",[2]Baskol!$D$96)</f>
        <v/>
      </c>
      <c r="X93">
        <f>IF([2]Baskol!$E$96="","",[2]Baskol!$E$96)</f>
        <v/>
      </c>
      <c r="Y93">
        <f>IF([2]Baskol!$G$96="","",[2]Baskol!$G$96)</f>
        <v/>
      </c>
      <c r="Z93">
        <f>IF([2]Baskol!$I$96="","",[2]Baskol!$I$96)</f>
        <v/>
      </c>
      <c r="AA93">
        <f>IF([2]Baskol!$J$96="","",[2]Baskol!$J$96)</f>
        <v/>
      </c>
      <c r="AB93">
        <f>IF([2]Baskol!$K$96="","",[2]Baskol!$K$96)</f>
        <v/>
      </c>
      <c r="AC93">
        <f>IF([2]Baskol!$L$96="","",[2]Baskol!$L$96)</f>
        <v/>
      </c>
      <c r="AD93">
        <f>IF([2]Baskol!$N$96="","",[2]Baskol!$N$96)</f>
        <v/>
      </c>
      <c r="AE93">
        <f>IF([2]Baskol!$O$96="","",[2]Baskol!$O$96)</f>
        <v/>
      </c>
      <c r="AG93">
        <f>IF([3]Entry!$C$96="","",[3]Entry!$C$96)</f>
        <v/>
      </c>
      <c r="AH93">
        <f>IF([3]Entry!$D$96="","",[3]Entry!$D$96)</f>
        <v/>
      </c>
      <c r="AI93">
        <f>IF([3]Entry!$E$96="","",[3]Entry!$E$96)</f>
        <v/>
      </c>
      <c r="AJ93">
        <f>IF([3]Entry!$G$96="","",[3]Entry!$G$96)</f>
        <v/>
      </c>
      <c r="AK93">
        <f>IF([3]Entry!$K$96="","",[3]Entry!$K$96)</f>
        <v/>
      </c>
      <c r="AL93">
        <f>IF([3]Entry!$L$96="","",[3]Entry!$L$96)</f>
        <v/>
      </c>
      <c r="AM93">
        <f>IF([3]Entry!$M$96="","",[3]Entry!$M$96)</f>
        <v/>
      </c>
      <c r="AN93">
        <f>IF([3]Entry!$N$96="","",[3]Entry!$N$96)</f>
        <v/>
      </c>
      <c r="AO93">
        <f>IF([3]Entry!$R$96="","",[3]Entry!$R$96)</f>
        <v/>
      </c>
      <c r="AQ93">
        <f>IF(AND($D93&lt;&gt;"",$A93&lt;&gt;""),1,0)</f>
        <v/>
      </c>
      <c r="AR93">
        <f>SUM($AQ$6:$AQ93)</f>
        <v/>
      </c>
      <c r="AS93">
        <f>IFERROR(INDEX($A$6:$A$565,MATCH(ROW()-5,$AR$6:$AR$565,0)),"")</f>
        <v/>
      </c>
    </row>
    <row r="94">
      <c r="A94">
        <f>IF([1]Accounts!$D$95="","",[1]Accounts!$A$95)</f>
        <v/>
      </c>
      <c r="B94">
        <f>IF([1]Accounts!$D$95="","",[1]Accounts!$B$95)</f>
        <v/>
      </c>
      <c r="C94">
        <f>IF([1]Accounts!$D$95="","",[1]Accounts!$C$95)</f>
        <v/>
      </c>
      <c r="D94">
        <f>IF([1]Accounts!$D$95="","",[1]Accounts!$D$95)</f>
        <v/>
      </c>
      <c r="E94">
        <f>IF([1]Accounts!$D$95="","",[1]Accounts!$J$95)</f>
        <v/>
      </c>
      <c r="F94">
        <f>IF([1]Accounts!$D$95="","",[1]Accounts!$K$95)</f>
        <v/>
      </c>
      <c r="U94">
        <f>IF([2]Baskol!$B$97="","",[2]Baskol!$B$97)</f>
        <v/>
      </c>
      <c r="V94">
        <f>IF([2]Baskol!$C$97="","",[2]Baskol!$C$97)</f>
        <v/>
      </c>
      <c r="W94">
        <f>IF([2]Baskol!$D$97="","",[2]Baskol!$D$97)</f>
        <v/>
      </c>
      <c r="X94">
        <f>IF([2]Baskol!$E$97="","",[2]Baskol!$E$97)</f>
        <v/>
      </c>
      <c r="Y94">
        <f>IF([2]Baskol!$G$97="","",[2]Baskol!$G$97)</f>
        <v/>
      </c>
      <c r="Z94">
        <f>IF([2]Baskol!$I$97="","",[2]Baskol!$I$97)</f>
        <v/>
      </c>
      <c r="AA94">
        <f>IF([2]Baskol!$J$97="","",[2]Baskol!$J$97)</f>
        <v/>
      </c>
      <c r="AB94">
        <f>IF([2]Baskol!$K$97="","",[2]Baskol!$K$97)</f>
        <v/>
      </c>
      <c r="AC94">
        <f>IF([2]Baskol!$L$97="","",[2]Baskol!$L$97)</f>
        <v/>
      </c>
      <c r="AD94">
        <f>IF([2]Baskol!$N$97="","",[2]Baskol!$N$97)</f>
        <v/>
      </c>
      <c r="AE94">
        <f>IF([2]Baskol!$O$97="","",[2]Baskol!$O$97)</f>
        <v/>
      </c>
      <c r="AG94">
        <f>IF([3]Entry!$C$97="","",[3]Entry!$C$97)</f>
        <v/>
      </c>
      <c r="AH94">
        <f>IF([3]Entry!$D$97="","",[3]Entry!$D$97)</f>
        <v/>
      </c>
      <c r="AI94">
        <f>IF([3]Entry!$E$97="","",[3]Entry!$E$97)</f>
        <v/>
      </c>
      <c r="AJ94">
        <f>IF([3]Entry!$G$97="","",[3]Entry!$G$97)</f>
        <v/>
      </c>
      <c r="AK94">
        <f>IF([3]Entry!$K$97="","",[3]Entry!$K$97)</f>
        <v/>
      </c>
      <c r="AL94">
        <f>IF([3]Entry!$L$97="","",[3]Entry!$L$97)</f>
        <v/>
      </c>
      <c r="AM94">
        <f>IF([3]Entry!$M$97="","",[3]Entry!$M$97)</f>
        <v/>
      </c>
      <c r="AN94">
        <f>IF([3]Entry!$N$97="","",[3]Entry!$N$97)</f>
        <v/>
      </c>
      <c r="AO94">
        <f>IF([3]Entry!$R$97="","",[3]Entry!$R$97)</f>
        <v/>
      </c>
      <c r="AQ94">
        <f>IF(AND($D94&lt;&gt;"",$A94&lt;&gt;""),1,0)</f>
        <v/>
      </c>
      <c r="AR94">
        <f>SUM($AQ$6:$AQ94)</f>
        <v/>
      </c>
      <c r="AS94">
        <f>IFERROR(INDEX($A$6:$A$565,MATCH(ROW()-5,$AR$6:$AR$565,0)),"")</f>
        <v/>
      </c>
    </row>
    <row r="95">
      <c r="A95">
        <f>IF([1]Accounts!$D$96="","",[1]Accounts!$A$96)</f>
        <v/>
      </c>
      <c r="B95">
        <f>IF([1]Accounts!$D$96="","",[1]Accounts!$B$96)</f>
        <v/>
      </c>
      <c r="C95">
        <f>IF([1]Accounts!$D$96="","",[1]Accounts!$C$96)</f>
        <v/>
      </c>
      <c r="D95">
        <f>IF([1]Accounts!$D$96="","",[1]Accounts!$D$96)</f>
        <v/>
      </c>
      <c r="E95">
        <f>IF([1]Accounts!$D$96="","",[1]Accounts!$J$96)</f>
        <v/>
      </c>
      <c r="F95">
        <f>IF([1]Accounts!$D$96="","",[1]Accounts!$K$96)</f>
        <v/>
      </c>
      <c r="U95">
        <f>IF([2]Baskol!$B$98="","",[2]Baskol!$B$98)</f>
        <v/>
      </c>
      <c r="V95">
        <f>IF([2]Baskol!$C$98="","",[2]Baskol!$C$98)</f>
        <v/>
      </c>
      <c r="W95">
        <f>IF([2]Baskol!$D$98="","",[2]Baskol!$D$98)</f>
        <v/>
      </c>
      <c r="X95">
        <f>IF([2]Baskol!$E$98="","",[2]Baskol!$E$98)</f>
        <v/>
      </c>
      <c r="Y95">
        <f>IF([2]Baskol!$G$98="","",[2]Baskol!$G$98)</f>
        <v/>
      </c>
      <c r="Z95">
        <f>IF([2]Baskol!$I$98="","",[2]Baskol!$I$98)</f>
        <v/>
      </c>
      <c r="AA95">
        <f>IF([2]Baskol!$J$98="","",[2]Baskol!$J$98)</f>
        <v/>
      </c>
      <c r="AB95">
        <f>IF([2]Baskol!$K$98="","",[2]Baskol!$K$98)</f>
        <v/>
      </c>
      <c r="AC95">
        <f>IF([2]Baskol!$L$98="","",[2]Baskol!$L$98)</f>
        <v/>
      </c>
      <c r="AD95">
        <f>IF([2]Baskol!$N$98="","",[2]Baskol!$N$98)</f>
        <v/>
      </c>
      <c r="AE95">
        <f>IF([2]Baskol!$O$98="","",[2]Baskol!$O$98)</f>
        <v/>
      </c>
      <c r="AG95">
        <f>IF([3]Entry!$C$98="","",[3]Entry!$C$98)</f>
        <v/>
      </c>
      <c r="AH95">
        <f>IF([3]Entry!$D$98="","",[3]Entry!$D$98)</f>
        <v/>
      </c>
      <c r="AI95">
        <f>IF([3]Entry!$E$98="","",[3]Entry!$E$98)</f>
        <v/>
      </c>
      <c r="AJ95">
        <f>IF([3]Entry!$G$98="","",[3]Entry!$G$98)</f>
        <v/>
      </c>
      <c r="AK95">
        <f>IF([3]Entry!$K$98="","",[3]Entry!$K$98)</f>
        <v/>
      </c>
      <c r="AL95">
        <f>IF([3]Entry!$L$98="","",[3]Entry!$L$98)</f>
        <v/>
      </c>
      <c r="AM95">
        <f>IF([3]Entry!$M$98="","",[3]Entry!$M$98)</f>
        <v/>
      </c>
      <c r="AN95">
        <f>IF([3]Entry!$N$98="","",[3]Entry!$N$98)</f>
        <v/>
      </c>
      <c r="AO95">
        <f>IF([3]Entry!$R$98="","",[3]Entry!$R$98)</f>
        <v/>
      </c>
      <c r="AQ95">
        <f>IF(AND($D95&lt;&gt;"",$A95&lt;&gt;""),1,0)</f>
        <v/>
      </c>
      <c r="AR95">
        <f>SUM($AQ$6:$AQ95)</f>
        <v/>
      </c>
      <c r="AS95">
        <f>IFERROR(INDEX($A$6:$A$565,MATCH(ROW()-5,$AR$6:$AR$565,0)),"")</f>
        <v/>
      </c>
    </row>
    <row r="96">
      <c r="A96">
        <f>IF([1]Accounts!$D$97="","",[1]Accounts!$A$97)</f>
        <v/>
      </c>
      <c r="B96">
        <f>IF([1]Accounts!$D$97="","",[1]Accounts!$B$97)</f>
        <v/>
      </c>
      <c r="C96">
        <f>IF([1]Accounts!$D$97="","",[1]Accounts!$C$97)</f>
        <v/>
      </c>
      <c r="D96">
        <f>IF([1]Accounts!$D$97="","",[1]Accounts!$D$97)</f>
        <v/>
      </c>
      <c r="E96">
        <f>IF([1]Accounts!$D$97="","",[1]Accounts!$J$97)</f>
        <v/>
      </c>
      <c r="F96">
        <f>IF([1]Accounts!$D$97="","",[1]Accounts!$K$97)</f>
        <v/>
      </c>
      <c r="U96">
        <f>IF([2]Baskol!$B$99="","",[2]Baskol!$B$99)</f>
        <v/>
      </c>
      <c r="V96">
        <f>IF([2]Baskol!$C$99="","",[2]Baskol!$C$99)</f>
        <v/>
      </c>
      <c r="W96">
        <f>IF([2]Baskol!$D$99="","",[2]Baskol!$D$99)</f>
        <v/>
      </c>
      <c r="X96">
        <f>IF([2]Baskol!$E$99="","",[2]Baskol!$E$99)</f>
        <v/>
      </c>
      <c r="Y96">
        <f>IF([2]Baskol!$G$99="","",[2]Baskol!$G$99)</f>
        <v/>
      </c>
      <c r="Z96">
        <f>IF([2]Baskol!$I$99="","",[2]Baskol!$I$99)</f>
        <v/>
      </c>
      <c r="AA96">
        <f>IF([2]Baskol!$J$99="","",[2]Baskol!$J$99)</f>
        <v/>
      </c>
      <c r="AB96">
        <f>IF([2]Baskol!$K$99="","",[2]Baskol!$K$99)</f>
        <v/>
      </c>
      <c r="AC96">
        <f>IF([2]Baskol!$L$99="","",[2]Baskol!$L$99)</f>
        <v/>
      </c>
      <c r="AD96">
        <f>IF([2]Baskol!$N$99="","",[2]Baskol!$N$99)</f>
        <v/>
      </c>
      <c r="AE96">
        <f>IF([2]Baskol!$O$99="","",[2]Baskol!$O$99)</f>
        <v/>
      </c>
      <c r="AG96">
        <f>IF([3]Entry!$C$99="","",[3]Entry!$C$99)</f>
        <v/>
      </c>
      <c r="AH96">
        <f>IF([3]Entry!$D$99="","",[3]Entry!$D$99)</f>
        <v/>
      </c>
      <c r="AI96">
        <f>IF([3]Entry!$E$99="","",[3]Entry!$E$99)</f>
        <v/>
      </c>
      <c r="AJ96">
        <f>IF([3]Entry!$G$99="","",[3]Entry!$G$99)</f>
        <v/>
      </c>
      <c r="AK96">
        <f>IF([3]Entry!$K$99="","",[3]Entry!$K$99)</f>
        <v/>
      </c>
      <c r="AL96">
        <f>IF([3]Entry!$L$99="","",[3]Entry!$L$99)</f>
        <v/>
      </c>
      <c r="AM96">
        <f>IF([3]Entry!$M$99="","",[3]Entry!$M$99)</f>
        <v/>
      </c>
      <c r="AN96">
        <f>IF([3]Entry!$N$99="","",[3]Entry!$N$99)</f>
        <v/>
      </c>
      <c r="AO96">
        <f>IF([3]Entry!$R$99="","",[3]Entry!$R$99)</f>
        <v/>
      </c>
      <c r="AQ96">
        <f>IF(AND($D96&lt;&gt;"",$A96&lt;&gt;""),1,0)</f>
        <v/>
      </c>
      <c r="AR96">
        <f>SUM($AQ$6:$AQ96)</f>
        <v/>
      </c>
      <c r="AS96">
        <f>IFERROR(INDEX($A$6:$A$565,MATCH(ROW()-5,$AR$6:$AR$565,0)),"")</f>
        <v/>
      </c>
    </row>
    <row r="97">
      <c r="A97">
        <f>IF([1]Accounts!$D$98="","",[1]Accounts!$A$98)</f>
        <v/>
      </c>
      <c r="B97">
        <f>IF([1]Accounts!$D$98="","",[1]Accounts!$B$98)</f>
        <v/>
      </c>
      <c r="C97">
        <f>IF([1]Accounts!$D$98="","",[1]Accounts!$C$98)</f>
        <v/>
      </c>
      <c r="D97">
        <f>IF([1]Accounts!$D$98="","",[1]Accounts!$D$98)</f>
        <v/>
      </c>
      <c r="E97">
        <f>IF([1]Accounts!$D$98="","",[1]Accounts!$J$98)</f>
        <v/>
      </c>
      <c r="F97">
        <f>IF([1]Accounts!$D$98="","",[1]Accounts!$K$98)</f>
        <v/>
      </c>
      <c r="U97">
        <f>IF([2]Baskol!$B$100="","",[2]Baskol!$B$100)</f>
        <v/>
      </c>
      <c r="V97">
        <f>IF([2]Baskol!$C$100="","",[2]Baskol!$C$100)</f>
        <v/>
      </c>
      <c r="W97">
        <f>IF([2]Baskol!$D$100="","",[2]Baskol!$D$100)</f>
        <v/>
      </c>
      <c r="X97">
        <f>IF([2]Baskol!$E$100="","",[2]Baskol!$E$100)</f>
        <v/>
      </c>
      <c r="Y97">
        <f>IF([2]Baskol!$G$100="","",[2]Baskol!$G$100)</f>
        <v/>
      </c>
      <c r="Z97">
        <f>IF([2]Baskol!$I$100="","",[2]Baskol!$I$100)</f>
        <v/>
      </c>
      <c r="AA97">
        <f>IF([2]Baskol!$J$100="","",[2]Baskol!$J$100)</f>
        <v/>
      </c>
      <c r="AB97">
        <f>IF([2]Baskol!$K$100="","",[2]Baskol!$K$100)</f>
        <v/>
      </c>
      <c r="AC97">
        <f>IF([2]Baskol!$L$100="","",[2]Baskol!$L$100)</f>
        <v/>
      </c>
      <c r="AD97">
        <f>IF([2]Baskol!$N$100="","",[2]Baskol!$N$100)</f>
        <v/>
      </c>
      <c r="AE97">
        <f>IF([2]Baskol!$O$100="","",[2]Baskol!$O$100)</f>
        <v/>
      </c>
      <c r="AG97">
        <f>IF([3]Entry!$C$100="","",[3]Entry!$C$100)</f>
        <v/>
      </c>
      <c r="AH97">
        <f>IF([3]Entry!$D$100="","",[3]Entry!$D$100)</f>
        <v/>
      </c>
      <c r="AI97">
        <f>IF([3]Entry!$E$100="","",[3]Entry!$E$100)</f>
        <v/>
      </c>
      <c r="AJ97">
        <f>IF([3]Entry!$G$100="","",[3]Entry!$G$100)</f>
        <v/>
      </c>
      <c r="AK97">
        <f>IF([3]Entry!$K$100="","",[3]Entry!$K$100)</f>
        <v/>
      </c>
      <c r="AL97">
        <f>IF([3]Entry!$L$100="","",[3]Entry!$L$100)</f>
        <v/>
      </c>
      <c r="AM97">
        <f>IF([3]Entry!$M$100="","",[3]Entry!$M$100)</f>
        <v/>
      </c>
      <c r="AN97">
        <f>IF([3]Entry!$N$100="","",[3]Entry!$N$100)</f>
        <v/>
      </c>
      <c r="AO97">
        <f>IF([3]Entry!$R$100="","",[3]Entry!$R$100)</f>
        <v/>
      </c>
      <c r="AQ97">
        <f>IF(AND($D97&lt;&gt;"",$A97&lt;&gt;""),1,0)</f>
        <v/>
      </c>
      <c r="AR97">
        <f>SUM($AQ$6:$AQ97)</f>
        <v/>
      </c>
      <c r="AS97">
        <f>IFERROR(INDEX($A$6:$A$565,MATCH(ROW()-5,$AR$6:$AR$565,0)),"")</f>
        <v/>
      </c>
    </row>
    <row r="98">
      <c r="A98">
        <f>IF([1]Accounts!$D$99="","",[1]Accounts!$A$99)</f>
        <v/>
      </c>
      <c r="B98">
        <f>IF([1]Accounts!$D$99="","",[1]Accounts!$B$99)</f>
        <v/>
      </c>
      <c r="C98">
        <f>IF([1]Accounts!$D$99="","",[1]Accounts!$C$99)</f>
        <v/>
      </c>
      <c r="D98">
        <f>IF([1]Accounts!$D$99="","",[1]Accounts!$D$99)</f>
        <v/>
      </c>
      <c r="E98">
        <f>IF([1]Accounts!$D$99="","",[1]Accounts!$J$99)</f>
        <v/>
      </c>
      <c r="F98">
        <f>IF([1]Accounts!$D$99="","",[1]Accounts!$K$99)</f>
        <v/>
      </c>
      <c r="U98">
        <f>IF([2]Baskol!$B$101="","",[2]Baskol!$B$101)</f>
        <v/>
      </c>
      <c r="V98">
        <f>IF([2]Baskol!$C$101="","",[2]Baskol!$C$101)</f>
        <v/>
      </c>
      <c r="W98">
        <f>IF([2]Baskol!$D$101="","",[2]Baskol!$D$101)</f>
        <v/>
      </c>
      <c r="X98">
        <f>IF([2]Baskol!$E$101="","",[2]Baskol!$E$101)</f>
        <v/>
      </c>
      <c r="Y98">
        <f>IF([2]Baskol!$G$101="","",[2]Baskol!$G$101)</f>
        <v/>
      </c>
      <c r="Z98">
        <f>IF([2]Baskol!$I$101="","",[2]Baskol!$I$101)</f>
        <v/>
      </c>
      <c r="AA98">
        <f>IF([2]Baskol!$J$101="","",[2]Baskol!$J$101)</f>
        <v/>
      </c>
      <c r="AB98">
        <f>IF([2]Baskol!$K$101="","",[2]Baskol!$K$101)</f>
        <v/>
      </c>
      <c r="AC98">
        <f>IF([2]Baskol!$L$101="","",[2]Baskol!$L$101)</f>
        <v/>
      </c>
      <c r="AD98">
        <f>IF([2]Baskol!$N$101="","",[2]Baskol!$N$101)</f>
        <v/>
      </c>
      <c r="AE98">
        <f>IF([2]Baskol!$O$101="","",[2]Baskol!$O$101)</f>
        <v/>
      </c>
      <c r="AG98">
        <f>IF([3]Entry!$C$101="","",[3]Entry!$C$101)</f>
        <v/>
      </c>
      <c r="AH98">
        <f>IF([3]Entry!$D$101="","",[3]Entry!$D$101)</f>
        <v/>
      </c>
      <c r="AI98">
        <f>IF([3]Entry!$E$101="","",[3]Entry!$E$101)</f>
        <v/>
      </c>
      <c r="AJ98">
        <f>IF([3]Entry!$G$101="","",[3]Entry!$G$101)</f>
        <v/>
      </c>
      <c r="AK98">
        <f>IF([3]Entry!$K$101="","",[3]Entry!$K$101)</f>
        <v/>
      </c>
      <c r="AL98">
        <f>IF([3]Entry!$L$101="","",[3]Entry!$L$101)</f>
        <v/>
      </c>
      <c r="AM98">
        <f>IF([3]Entry!$M$101="","",[3]Entry!$M$101)</f>
        <v/>
      </c>
      <c r="AN98">
        <f>IF([3]Entry!$N$101="","",[3]Entry!$N$101)</f>
        <v/>
      </c>
      <c r="AO98">
        <f>IF([3]Entry!$R$101="","",[3]Entry!$R$101)</f>
        <v/>
      </c>
      <c r="AQ98">
        <f>IF(AND($D98&lt;&gt;"",$A98&lt;&gt;""),1,0)</f>
        <v/>
      </c>
      <c r="AR98">
        <f>SUM($AQ$6:$AQ98)</f>
        <v/>
      </c>
      <c r="AS98">
        <f>IFERROR(INDEX($A$6:$A$565,MATCH(ROW()-5,$AR$6:$AR$565,0)),"")</f>
        <v/>
      </c>
    </row>
    <row r="99">
      <c r="A99">
        <f>IF([1]Accounts!$D$100="","",[1]Accounts!$A$100)</f>
        <v/>
      </c>
      <c r="B99">
        <f>IF([1]Accounts!$D$100="","",[1]Accounts!$B$100)</f>
        <v/>
      </c>
      <c r="C99">
        <f>IF([1]Accounts!$D$100="","",[1]Accounts!$C$100)</f>
        <v/>
      </c>
      <c r="D99">
        <f>IF([1]Accounts!$D$100="","",[1]Accounts!$D$100)</f>
        <v/>
      </c>
      <c r="E99">
        <f>IF([1]Accounts!$D$100="","",[1]Accounts!$J$100)</f>
        <v/>
      </c>
      <c r="F99">
        <f>IF([1]Accounts!$D$100="","",[1]Accounts!$K$100)</f>
        <v/>
      </c>
      <c r="U99">
        <f>IF([2]Baskol!$B$102="","",[2]Baskol!$B$102)</f>
        <v/>
      </c>
      <c r="V99">
        <f>IF([2]Baskol!$C$102="","",[2]Baskol!$C$102)</f>
        <v/>
      </c>
      <c r="W99">
        <f>IF([2]Baskol!$D$102="","",[2]Baskol!$D$102)</f>
        <v/>
      </c>
      <c r="X99">
        <f>IF([2]Baskol!$E$102="","",[2]Baskol!$E$102)</f>
        <v/>
      </c>
      <c r="Y99">
        <f>IF([2]Baskol!$G$102="","",[2]Baskol!$G$102)</f>
        <v/>
      </c>
      <c r="Z99">
        <f>IF([2]Baskol!$I$102="","",[2]Baskol!$I$102)</f>
        <v/>
      </c>
      <c r="AA99">
        <f>IF([2]Baskol!$J$102="","",[2]Baskol!$J$102)</f>
        <v/>
      </c>
      <c r="AB99">
        <f>IF([2]Baskol!$K$102="","",[2]Baskol!$K$102)</f>
        <v/>
      </c>
      <c r="AC99">
        <f>IF([2]Baskol!$L$102="","",[2]Baskol!$L$102)</f>
        <v/>
      </c>
      <c r="AD99">
        <f>IF([2]Baskol!$N$102="","",[2]Baskol!$N$102)</f>
        <v/>
      </c>
      <c r="AE99">
        <f>IF([2]Baskol!$O$102="","",[2]Baskol!$O$102)</f>
        <v/>
      </c>
      <c r="AG99">
        <f>IF([3]Entry!$C$102="","",[3]Entry!$C$102)</f>
        <v/>
      </c>
      <c r="AH99">
        <f>IF([3]Entry!$D$102="","",[3]Entry!$D$102)</f>
        <v/>
      </c>
      <c r="AI99">
        <f>IF([3]Entry!$E$102="","",[3]Entry!$E$102)</f>
        <v/>
      </c>
      <c r="AJ99">
        <f>IF([3]Entry!$G$102="","",[3]Entry!$G$102)</f>
        <v/>
      </c>
      <c r="AK99">
        <f>IF([3]Entry!$K$102="","",[3]Entry!$K$102)</f>
        <v/>
      </c>
      <c r="AL99">
        <f>IF([3]Entry!$L$102="","",[3]Entry!$L$102)</f>
        <v/>
      </c>
      <c r="AM99">
        <f>IF([3]Entry!$M$102="","",[3]Entry!$M$102)</f>
        <v/>
      </c>
      <c r="AN99">
        <f>IF([3]Entry!$N$102="","",[3]Entry!$N$102)</f>
        <v/>
      </c>
      <c r="AO99">
        <f>IF([3]Entry!$R$102="","",[3]Entry!$R$102)</f>
        <v/>
      </c>
      <c r="AQ99">
        <f>IF(AND($D99&lt;&gt;"",$A99&lt;&gt;""),1,0)</f>
        <v/>
      </c>
      <c r="AR99">
        <f>SUM($AQ$6:$AQ99)</f>
        <v/>
      </c>
      <c r="AS99">
        <f>IFERROR(INDEX($A$6:$A$565,MATCH(ROW()-5,$AR$6:$AR$565,0)),"")</f>
        <v/>
      </c>
    </row>
    <row r="100">
      <c r="A100">
        <f>IF([1]Accounts!$D$101="","",[1]Accounts!$A$101)</f>
        <v/>
      </c>
      <c r="B100">
        <f>IF([1]Accounts!$D$101="","",[1]Accounts!$B$101)</f>
        <v/>
      </c>
      <c r="C100">
        <f>IF([1]Accounts!$D$101="","",[1]Accounts!$C$101)</f>
        <v/>
      </c>
      <c r="D100">
        <f>IF([1]Accounts!$D$101="","",[1]Accounts!$D$101)</f>
        <v/>
      </c>
      <c r="E100">
        <f>IF([1]Accounts!$D$101="","",[1]Accounts!$J$101)</f>
        <v/>
      </c>
      <c r="F100">
        <f>IF([1]Accounts!$D$101="","",[1]Accounts!$K$101)</f>
        <v/>
      </c>
      <c r="U100">
        <f>IF([2]Baskol!$B$103="","",[2]Baskol!$B$103)</f>
        <v/>
      </c>
      <c r="V100">
        <f>IF([2]Baskol!$C$103="","",[2]Baskol!$C$103)</f>
        <v/>
      </c>
      <c r="W100">
        <f>IF([2]Baskol!$D$103="","",[2]Baskol!$D$103)</f>
        <v/>
      </c>
      <c r="X100">
        <f>IF([2]Baskol!$E$103="","",[2]Baskol!$E$103)</f>
        <v/>
      </c>
      <c r="Y100">
        <f>IF([2]Baskol!$G$103="","",[2]Baskol!$G$103)</f>
        <v/>
      </c>
      <c r="Z100">
        <f>IF([2]Baskol!$I$103="","",[2]Baskol!$I$103)</f>
        <v/>
      </c>
      <c r="AA100">
        <f>IF([2]Baskol!$J$103="","",[2]Baskol!$J$103)</f>
        <v/>
      </c>
      <c r="AB100">
        <f>IF([2]Baskol!$K$103="","",[2]Baskol!$K$103)</f>
        <v/>
      </c>
      <c r="AC100">
        <f>IF([2]Baskol!$L$103="","",[2]Baskol!$L$103)</f>
        <v/>
      </c>
      <c r="AD100">
        <f>IF([2]Baskol!$N$103="","",[2]Baskol!$N$103)</f>
        <v/>
      </c>
      <c r="AE100">
        <f>IF([2]Baskol!$O$103="","",[2]Baskol!$O$103)</f>
        <v/>
      </c>
      <c r="AG100">
        <f>IF([3]Entry!$C$103="","",[3]Entry!$C$103)</f>
        <v/>
      </c>
      <c r="AH100">
        <f>IF([3]Entry!$D$103="","",[3]Entry!$D$103)</f>
        <v/>
      </c>
      <c r="AI100">
        <f>IF([3]Entry!$E$103="","",[3]Entry!$E$103)</f>
        <v/>
      </c>
      <c r="AJ100">
        <f>IF([3]Entry!$G$103="","",[3]Entry!$G$103)</f>
        <v/>
      </c>
      <c r="AK100">
        <f>IF([3]Entry!$K$103="","",[3]Entry!$K$103)</f>
        <v/>
      </c>
      <c r="AL100">
        <f>IF([3]Entry!$L$103="","",[3]Entry!$L$103)</f>
        <v/>
      </c>
      <c r="AM100">
        <f>IF([3]Entry!$M$103="","",[3]Entry!$M$103)</f>
        <v/>
      </c>
      <c r="AN100">
        <f>IF([3]Entry!$N$103="","",[3]Entry!$N$103)</f>
        <v/>
      </c>
      <c r="AO100">
        <f>IF([3]Entry!$R$103="","",[3]Entry!$R$103)</f>
        <v/>
      </c>
      <c r="AQ100">
        <f>IF(AND($D100&lt;&gt;"",$A100&lt;&gt;""),1,0)</f>
        <v/>
      </c>
      <c r="AR100">
        <f>SUM($AQ$6:$AQ100)</f>
        <v/>
      </c>
      <c r="AS100">
        <f>IFERROR(INDEX($A$6:$A$565,MATCH(ROW()-5,$AR$6:$AR$565,0)),"")</f>
        <v/>
      </c>
    </row>
    <row r="101">
      <c r="A101">
        <f>IF([1]Accounts!$D$102="","",[1]Accounts!$A$102)</f>
        <v/>
      </c>
      <c r="B101">
        <f>IF([1]Accounts!$D$102="","",[1]Accounts!$B$102)</f>
        <v/>
      </c>
      <c r="C101">
        <f>IF([1]Accounts!$D$102="","",[1]Accounts!$C$102)</f>
        <v/>
      </c>
      <c r="D101">
        <f>IF([1]Accounts!$D$102="","",[1]Accounts!$D$102)</f>
        <v/>
      </c>
      <c r="E101">
        <f>IF([1]Accounts!$D$102="","",[1]Accounts!$J$102)</f>
        <v/>
      </c>
      <c r="F101">
        <f>IF([1]Accounts!$D$102="","",[1]Accounts!$K$102)</f>
        <v/>
      </c>
      <c r="U101">
        <f>IF([2]Baskol!$B$104="","",[2]Baskol!$B$104)</f>
        <v/>
      </c>
      <c r="V101">
        <f>IF([2]Baskol!$C$104="","",[2]Baskol!$C$104)</f>
        <v/>
      </c>
      <c r="W101">
        <f>IF([2]Baskol!$D$104="","",[2]Baskol!$D$104)</f>
        <v/>
      </c>
      <c r="X101">
        <f>IF([2]Baskol!$E$104="","",[2]Baskol!$E$104)</f>
        <v/>
      </c>
      <c r="Y101">
        <f>IF([2]Baskol!$G$104="","",[2]Baskol!$G$104)</f>
        <v/>
      </c>
      <c r="Z101">
        <f>IF([2]Baskol!$I$104="","",[2]Baskol!$I$104)</f>
        <v/>
      </c>
      <c r="AA101">
        <f>IF([2]Baskol!$J$104="","",[2]Baskol!$J$104)</f>
        <v/>
      </c>
      <c r="AB101">
        <f>IF([2]Baskol!$K$104="","",[2]Baskol!$K$104)</f>
        <v/>
      </c>
      <c r="AC101">
        <f>IF([2]Baskol!$L$104="","",[2]Baskol!$L$104)</f>
        <v/>
      </c>
      <c r="AD101">
        <f>IF([2]Baskol!$N$104="","",[2]Baskol!$N$104)</f>
        <v/>
      </c>
      <c r="AE101">
        <f>IF([2]Baskol!$O$104="","",[2]Baskol!$O$104)</f>
        <v/>
      </c>
      <c r="AG101">
        <f>IF([3]Entry!$C$104="","",[3]Entry!$C$104)</f>
        <v/>
      </c>
      <c r="AH101">
        <f>IF([3]Entry!$D$104="","",[3]Entry!$D$104)</f>
        <v/>
      </c>
      <c r="AI101">
        <f>IF([3]Entry!$E$104="","",[3]Entry!$E$104)</f>
        <v/>
      </c>
      <c r="AJ101">
        <f>IF([3]Entry!$G$104="","",[3]Entry!$G$104)</f>
        <v/>
      </c>
      <c r="AK101">
        <f>IF([3]Entry!$K$104="","",[3]Entry!$K$104)</f>
        <v/>
      </c>
      <c r="AL101">
        <f>IF([3]Entry!$L$104="","",[3]Entry!$L$104)</f>
        <v/>
      </c>
      <c r="AM101">
        <f>IF([3]Entry!$M$104="","",[3]Entry!$M$104)</f>
        <v/>
      </c>
      <c r="AN101">
        <f>IF([3]Entry!$N$104="","",[3]Entry!$N$104)</f>
        <v/>
      </c>
      <c r="AO101">
        <f>IF([3]Entry!$R$104="","",[3]Entry!$R$104)</f>
        <v/>
      </c>
      <c r="AQ101">
        <f>IF(AND($D101&lt;&gt;"",$A101&lt;&gt;""),1,0)</f>
        <v/>
      </c>
      <c r="AR101">
        <f>SUM($AQ$6:$AQ101)</f>
        <v/>
      </c>
      <c r="AS101">
        <f>IFERROR(INDEX($A$6:$A$565,MATCH(ROW()-5,$AR$6:$AR$565,0)),"")</f>
        <v/>
      </c>
    </row>
    <row r="102">
      <c r="A102">
        <f>IF([1]Accounts!$D$103="","",[1]Accounts!$A$103)</f>
        <v/>
      </c>
      <c r="B102">
        <f>IF([1]Accounts!$D$103="","",[1]Accounts!$B$103)</f>
        <v/>
      </c>
      <c r="C102">
        <f>IF([1]Accounts!$D$103="","",[1]Accounts!$C$103)</f>
        <v/>
      </c>
      <c r="D102">
        <f>IF([1]Accounts!$D$103="","",[1]Accounts!$D$103)</f>
        <v/>
      </c>
      <c r="E102">
        <f>IF([1]Accounts!$D$103="","",[1]Accounts!$J$103)</f>
        <v/>
      </c>
      <c r="F102">
        <f>IF([1]Accounts!$D$103="","",[1]Accounts!$K$103)</f>
        <v/>
      </c>
      <c r="U102">
        <f>IF([2]Baskol!$B$105="","",[2]Baskol!$B$105)</f>
        <v/>
      </c>
      <c r="V102">
        <f>IF([2]Baskol!$C$105="","",[2]Baskol!$C$105)</f>
        <v/>
      </c>
      <c r="W102">
        <f>IF([2]Baskol!$D$105="","",[2]Baskol!$D$105)</f>
        <v/>
      </c>
      <c r="X102">
        <f>IF([2]Baskol!$E$105="","",[2]Baskol!$E$105)</f>
        <v/>
      </c>
      <c r="Y102">
        <f>IF([2]Baskol!$G$105="","",[2]Baskol!$G$105)</f>
        <v/>
      </c>
      <c r="Z102">
        <f>IF([2]Baskol!$I$105="","",[2]Baskol!$I$105)</f>
        <v/>
      </c>
      <c r="AA102">
        <f>IF([2]Baskol!$J$105="","",[2]Baskol!$J$105)</f>
        <v/>
      </c>
      <c r="AB102">
        <f>IF([2]Baskol!$K$105="","",[2]Baskol!$K$105)</f>
        <v/>
      </c>
      <c r="AC102">
        <f>IF([2]Baskol!$L$105="","",[2]Baskol!$L$105)</f>
        <v/>
      </c>
      <c r="AD102">
        <f>IF([2]Baskol!$N$105="","",[2]Baskol!$N$105)</f>
        <v/>
      </c>
      <c r="AE102">
        <f>IF([2]Baskol!$O$105="","",[2]Baskol!$O$105)</f>
        <v/>
      </c>
      <c r="AG102">
        <f>IF([3]Entry!$C$105="","",[3]Entry!$C$105)</f>
        <v/>
      </c>
      <c r="AH102">
        <f>IF([3]Entry!$D$105="","",[3]Entry!$D$105)</f>
        <v/>
      </c>
      <c r="AI102">
        <f>IF([3]Entry!$E$105="","",[3]Entry!$E$105)</f>
        <v/>
      </c>
      <c r="AJ102">
        <f>IF([3]Entry!$G$105="","",[3]Entry!$G$105)</f>
        <v/>
      </c>
      <c r="AK102">
        <f>IF([3]Entry!$K$105="","",[3]Entry!$K$105)</f>
        <v/>
      </c>
      <c r="AL102">
        <f>IF([3]Entry!$L$105="","",[3]Entry!$L$105)</f>
        <v/>
      </c>
      <c r="AM102">
        <f>IF([3]Entry!$M$105="","",[3]Entry!$M$105)</f>
        <v/>
      </c>
      <c r="AN102">
        <f>IF([3]Entry!$N$105="","",[3]Entry!$N$105)</f>
        <v/>
      </c>
      <c r="AO102">
        <f>IF([3]Entry!$R$105="","",[3]Entry!$R$105)</f>
        <v/>
      </c>
      <c r="AQ102">
        <f>IF(AND($D102&lt;&gt;"",$A102&lt;&gt;""),1,0)</f>
        <v/>
      </c>
      <c r="AR102">
        <f>SUM($AQ$6:$AQ102)</f>
        <v/>
      </c>
      <c r="AS102">
        <f>IFERROR(INDEX($A$6:$A$565,MATCH(ROW()-5,$AR$6:$AR$565,0)),"")</f>
        <v/>
      </c>
    </row>
    <row r="103">
      <c r="A103">
        <f>IF([1]Accounts!$D$104="","",[1]Accounts!$A$104)</f>
        <v/>
      </c>
      <c r="B103">
        <f>IF([1]Accounts!$D$104="","",[1]Accounts!$B$104)</f>
        <v/>
      </c>
      <c r="C103">
        <f>IF([1]Accounts!$D$104="","",[1]Accounts!$C$104)</f>
        <v/>
      </c>
      <c r="D103">
        <f>IF([1]Accounts!$D$104="","",[1]Accounts!$D$104)</f>
        <v/>
      </c>
      <c r="E103">
        <f>IF([1]Accounts!$D$104="","",[1]Accounts!$J$104)</f>
        <v/>
      </c>
      <c r="F103">
        <f>IF([1]Accounts!$D$104="","",[1]Accounts!$K$104)</f>
        <v/>
      </c>
      <c r="U103">
        <f>IF([2]Baskol!$B$106="","",[2]Baskol!$B$106)</f>
        <v/>
      </c>
      <c r="V103">
        <f>IF([2]Baskol!$C$106="","",[2]Baskol!$C$106)</f>
        <v/>
      </c>
      <c r="W103">
        <f>IF([2]Baskol!$D$106="","",[2]Baskol!$D$106)</f>
        <v/>
      </c>
      <c r="X103">
        <f>IF([2]Baskol!$E$106="","",[2]Baskol!$E$106)</f>
        <v/>
      </c>
      <c r="Y103">
        <f>IF([2]Baskol!$G$106="","",[2]Baskol!$G$106)</f>
        <v/>
      </c>
      <c r="Z103">
        <f>IF([2]Baskol!$I$106="","",[2]Baskol!$I$106)</f>
        <v/>
      </c>
      <c r="AA103">
        <f>IF([2]Baskol!$J$106="","",[2]Baskol!$J$106)</f>
        <v/>
      </c>
      <c r="AB103">
        <f>IF([2]Baskol!$K$106="","",[2]Baskol!$K$106)</f>
        <v/>
      </c>
      <c r="AC103">
        <f>IF([2]Baskol!$L$106="","",[2]Baskol!$L$106)</f>
        <v/>
      </c>
      <c r="AD103">
        <f>IF([2]Baskol!$N$106="","",[2]Baskol!$N$106)</f>
        <v/>
      </c>
      <c r="AE103">
        <f>IF([2]Baskol!$O$106="","",[2]Baskol!$O$106)</f>
        <v/>
      </c>
      <c r="AG103">
        <f>IF([3]Entry!$C$106="","",[3]Entry!$C$106)</f>
        <v/>
      </c>
      <c r="AH103">
        <f>IF([3]Entry!$D$106="","",[3]Entry!$D$106)</f>
        <v/>
      </c>
      <c r="AI103">
        <f>IF([3]Entry!$E$106="","",[3]Entry!$E$106)</f>
        <v/>
      </c>
      <c r="AJ103">
        <f>IF([3]Entry!$G$106="","",[3]Entry!$G$106)</f>
        <v/>
      </c>
      <c r="AK103">
        <f>IF([3]Entry!$K$106="","",[3]Entry!$K$106)</f>
        <v/>
      </c>
      <c r="AL103">
        <f>IF([3]Entry!$L$106="","",[3]Entry!$L$106)</f>
        <v/>
      </c>
      <c r="AM103">
        <f>IF([3]Entry!$M$106="","",[3]Entry!$M$106)</f>
        <v/>
      </c>
      <c r="AN103">
        <f>IF([3]Entry!$N$106="","",[3]Entry!$N$106)</f>
        <v/>
      </c>
      <c r="AO103">
        <f>IF([3]Entry!$R$106="","",[3]Entry!$R$106)</f>
        <v/>
      </c>
      <c r="AQ103">
        <f>IF(AND($D103&lt;&gt;"",$A103&lt;&gt;""),1,0)</f>
        <v/>
      </c>
      <c r="AR103">
        <f>SUM($AQ$6:$AQ103)</f>
        <v/>
      </c>
      <c r="AS103">
        <f>IFERROR(INDEX($A$6:$A$565,MATCH(ROW()-5,$AR$6:$AR$565,0)),"")</f>
        <v/>
      </c>
    </row>
    <row r="104">
      <c r="A104">
        <f>IF([1]Accounts!$D$105="","",[1]Accounts!$A$105)</f>
        <v/>
      </c>
      <c r="B104">
        <f>IF([1]Accounts!$D$105="","",[1]Accounts!$B$105)</f>
        <v/>
      </c>
      <c r="C104">
        <f>IF([1]Accounts!$D$105="","",[1]Accounts!$C$105)</f>
        <v/>
      </c>
      <c r="D104">
        <f>IF([1]Accounts!$D$105="","",[1]Accounts!$D$105)</f>
        <v/>
      </c>
      <c r="E104">
        <f>IF([1]Accounts!$D$105="","",[1]Accounts!$J$105)</f>
        <v/>
      </c>
      <c r="F104">
        <f>IF([1]Accounts!$D$105="","",[1]Accounts!$K$105)</f>
        <v/>
      </c>
      <c r="U104">
        <f>IF([2]Baskol!$B$107="","",[2]Baskol!$B$107)</f>
        <v/>
      </c>
      <c r="V104">
        <f>IF([2]Baskol!$C$107="","",[2]Baskol!$C$107)</f>
        <v/>
      </c>
      <c r="W104">
        <f>IF([2]Baskol!$D$107="","",[2]Baskol!$D$107)</f>
        <v/>
      </c>
      <c r="X104">
        <f>IF([2]Baskol!$E$107="","",[2]Baskol!$E$107)</f>
        <v/>
      </c>
      <c r="Y104">
        <f>IF([2]Baskol!$G$107="","",[2]Baskol!$G$107)</f>
        <v/>
      </c>
      <c r="Z104">
        <f>IF([2]Baskol!$I$107="","",[2]Baskol!$I$107)</f>
        <v/>
      </c>
      <c r="AA104">
        <f>IF([2]Baskol!$J$107="","",[2]Baskol!$J$107)</f>
        <v/>
      </c>
      <c r="AB104">
        <f>IF([2]Baskol!$K$107="","",[2]Baskol!$K$107)</f>
        <v/>
      </c>
      <c r="AC104">
        <f>IF([2]Baskol!$L$107="","",[2]Baskol!$L$107)</f>
        <v/>
      </c>
      <c r="AD104">
        <f>IF([2]Baskol!$N$107="","",[2]Baskol!$N$107)</f>
        <v/>
      </c>
      <c r="AE104">
        <f>IF([2]Baskol!$O$107="","",[2]Baskol!$O$107)</f>
        <v/>
      </c>
      <c r="AG104">
        <f>IF([3]Entry!$C$107="","",[3]Entry!$C$107)</f>
        <v/>
      </c>
      <c r="AH104">
        <f>IF([3]Entry!$D$107="","",[3]Entry!$D$107)</f>
        <v/>
      </c>
      <c r="AI104">
        <f>IF([3]Entry!$E$107="","",[3]Entry!$E$107)</f>
        <v/>
      </c>
      <c r="AJ104">
        <f>IF([3]Entry!$G$107="","",[3]Entry!$G$107)</f>
        <v/>
      </c>
      <c r="AK104">
        <f>IF([3]Entry!$K$107="","",[3]Entry!$K$107)</f>
        <v/>
      </c>
      <c r="AL104">
        <f>IF([3]Entry!$L$107="","",[3]Entry!$L$107)</f>
        <v/>
      </c>
      <c r="AM104">
        <f>IF([3]Entry!$M$107="","",[3]Entry!$M$107)</f>
        <v/>
      </c>
      <c r="AN104">
        <f>IF([3]Entry!$N$107="","",[3]Entry!$N$107)</f>
        <v/>
      </c>
      <c r="AO104">
        <f>IF([3]Entry!$R$107="","",[3]Entry!$R$107)</f>
        <v/>
      </c>
      <c r="AQ104">
        <f>IF(AND($D104&lt;&gt;"",$A104&lt;&gt;""),1,0)</f>
        <v/>
      </c>
      <c r="AR104">
        <f>SUM($AQ$6:$AQ104)</f>
        <v/>
      </c>
      <c r="AS104">
        <f>IFERROR(INDEX($A$6:$A$565,MATCH(ROW()-5,$AR$6:$AR$565,0)),"")</f>
        <v/>
      </c>
    </row>
    <row r="105">
      <c r="A105">
        <f>IF([1]Accounts!$D$106="","",[1]Accounts!$A$106)</f>
        <v/>
      </c>
      <c r="B105">
        <f>IF([1]Accounts!$D$106="","",[1]Accounts!$B$106)</f>
        <v/>
      </c>
      <c r="C105">
        <f>IF([1]Accounts!$D$106="","",[1]Accounts!$C$106)</f>
        <v/>
      </c>
      <c r="D105">
        <f>IF([1]Accounts!$D$106="","",[1]Accounts!$D$106)</f>
        <v/>
      </c>
      <c r="E105">
        <f>IF([1]Accounts!$D$106="","",[1]Accounts!$J$106)</f>
        <v/>
      </c>
      <c r="F105">
        <f>IF([1]Accounts!$D$106="","",[1]Accounts!$K$106)</f>
        <v/>
      </c>
      <c r="U105">
        <f>IF([2]Baskol!$B$108="","",[2]Baskol!$B$108)</f>
        <v/>
      </c>
      <c r="V105">
        <f>IF([2]Baskol!$C$108="","",[2]Baskol!$C$108)</f>
        <v/>
      </c>
      <c r="W105">
        <f>IF([2]Baskol!$D$108="","",[2]Baskol!$D$108)</f>
        <v/>
      </c>
      <c r="X105">
        <f>IF([2]Baskol!$E$108="","",[2]Baskol!$E$108)</f>
        <v/>
      </c>
      <c r="Y105">
        <f>IF([2]Baskol!$G$108="","",[2]Baskol!$G$108)</f>
        <v/>
      </c>
      <c r="Z105">
        <f>IF([2]Baskol!$I$108="","",[2]Baskol!$I$108)</f>
        <v/>
      </c>
      <c r="AA105">
        <f>IF([2]Baskol!$J$108="","",[2]Baskol!$J$108)</f>
        <v/>
      </c>
      <c r="AB105">
        <f>IF([2]Baskol!$K$108="","",[2]Baskol!$K$108)</f>
        <v/>
      </c>
      <c r="AC105">
        <f>IF([2]Baskol!$L$108="","",[2]Baskol!$L$108)</f>
        <v/>
      </c>
      <c r="AD105">
        <f>IF([2]Baskol!$N$108="","",[2]Baskol!$N$108)</f>
        <v/>
      </c>
      <c r="AE105">
        <f>IF([2]Baskol!$O$108="","",[2]Baskol!$O$108)</f>
        <v/>
      </c>
      <c r="AG105">
        <f>IF([3]Entry!$C$108="","",[3]Entry!$C$108)</f>
        <v/>
      </c>
      <c r="AH105">
        <f>IF([3]Entry!$D$108="","",[3]Entry!$D$108)</f>
        <v/>
      </c>
      <c r="AI105">
        <f>IF([3]Entry!$E$108="","",[3]Entry!$E$108)</f>
        <v/>
      </c>
      <c r="AJ105">
        <f>IF([3]Entry!$G$108="","",[3]Entry!$G$108)</f>
        <v/>
      </c>
      <c r="AK105">
        <f>IF([3]Entry!$K$108="","",[3]Entry!$K$108)</f>
        <v/>
      </c>
      <c r="AL105">
        <f>IF([3]Entry!$L$108="","",[3]Entry!$L$108)</f>
        <v/>
      </c>
      <c r="AM105">
        <f>IF([3]Entry!$M$108="","",[3]Entry!$M$108)</f>
        <v/>
      </c>
      <c r="AN105">
        <f>IF([3]Entry!$N$108="","",[3]Entry!$N$108)</f>
        <v/>
      </c>
      <c r="AO105">
        <f>IF([3]Entry!$R$108="","",[3]Entry!$R$108)</f>
        <v/>
      </c>
      <c r="AQ105">
        <f>IF(AND($D105&lt;&gt;"",$A105&lt;&gt;""),1,0)</f>
        <v/>
      </c>
      <c r="AR105">
        <f>SUM($AQ$6:$AQ105)</f>
        <v/>
      </c>
      <c r="AS105">
        <f>IFERROR(INDEX($A$6:$A$565,MATCH(ROW()-5,$AR$6:$AR$565,0)),"")</f>
        <v/>
      </c>
    </row>
    <row r="106">
      <c r="A106">
        <f>IF([1]Accounts!$D$107="","",[1]Accounts!$A$107)</f>
        <v/>
      </c>
      <c r="B106">
        <f>IF([1]Accounts!$D$107="","",[1]Accounts!$B$107)</f>
        <v/>
      </c>
      <c r="C106">
        <f>IF([1]Accounts!$D$107="","",[1]Accounts!$C$107)</f>
        <v/>
      </c>
      <c r="D106">
        <f>IF([1]Accounts!$D$107="","",[1]Accounts!$D$107)</f>
        <v/>
      </c>
      <c r="E106">
        <f>IF([1]Accounts!$D$107="","",[1]Accounts!$J$107)</f>
        <v/>
      </c>
      <c r="F106">
        <f>IF([1]Accounts!$D$107="","",[1]Accounts!$K$107)</f>
        <v/>
      </c>
      <c r="U106">
        <f>IF([2]Baskol!$B$109="","",[2]Baskol!$B$109)</f>
        <v/>
      </c>
      <c r="V106">
        <f>IF([2]Baskol!$C$109="","",[2]Baskol!$C$109)</f>
        <v/>
      </c>
      <c r="W106">
        <f>IF([2]Baskol!$D$109="","",[2]Baskol!$D$109)</f>
        <v/>
      </c>
      <c r="X106">
        <f>IF([2]Baskol!$E$109="","",[2]Baskol!$E$109)</f>
        <v/>
      </c>
      <c r="Y106">
        <f>IF([2]Baskol!$G$109="","",[2]Baskol!$G$109)</f>
        <v/>
      </c>
      <c r="Z106">
        <f>IF([2]Baskol!$I$109="","",[2]Baskol!$I$109)</f>
        <v/>
      </c>
      <c r="AA106">
        <f>IF([2]Baskol!$J$109="","",[2]Baskol!$J$109)</f>
        <v/>
      </c>
      <c r="AB106">
        <f>IF([2]Baskol!$K$109="","",[2]Baskol!$K$109)</f>
        <v/>
      </c>
      <c r="AC106">
        <f>IF([2]Baskol!$L$109="","",[2]Baskol!$L$109)</f>
        <v/>
      </c>
      <c r="AD106">
        <f>IF([2]Baskol!$N$109="","",[2]Baskol!$N$109)</f>
        <v/>
      </c>
      <c r="AE106">
        <f>IF([2]Baskol!$O$109="","",[2]Baskol!$O$109)</f>
        <v/>
      </c>
      <c r="AG106">
        <f>IF([3]Entry!$C$109="","",[3]Entry!$C$109)</f>
        <v/>
      </c>
      <c r="AH106">
        <f>IF([3]Entry!$D$109="","",[3]Entry!$D$109)</f>
        <v/>
      </c>
      <c r="AI106">
        <f>IF([3]Entry!$E$109="","",[3]Entry!$E$109)</f>
        <v/>
      </c>
      <c r="AJ106">
        <f>IF([3]Entry!$G$109="","",[3]Entry!$G$109)</f>
        <v/>
      </c>
      <c r="AK106">
        <f>IF([3]Entry!$K$109="","",[3]Entry!$K$109)</f>
        <v/>
      </c>
      <c r="AL106">
        <f>IF([3]Entry!$L$109="","",[3]Entry!$L$109)</f>
        <v/>
      </c>
      <c r="AM106">
        <f>IF([3]Entry!$M$109="","",[3]Entry!$M$109)</f>
        <v/>
      </c>
      <c r="AN106">
        <f>IF([3]Entry!$N$109="","",[3]Entry!$N$109)</f>
        <v/>
      </c>
      <c r="AO106">
        <f>IF([3]Entry!$R$109="","",[3]Entry!$R$109)</f>
        <v/>
      </c>
      <c r="AQ106">
        <f>IF(AND($D106&lt;&gt;"",$A106&lt;&gt;""),1,0)</f>
        <v/>
      </c>
      <c r="AR106">
        <f>SUM($AQ$6:$AQ106)</f>
        <v/>
      </c>
      <c r="AS106">
        <f>IFERROR(INDEX($A$6:$A$565,MATCH(ROW()-5,$AR$6:$AR$565,0)),"")</f>
        <v/>
      </c>
    </row>
    <row r="107">
      <c r="A107">
        <f>IF([1]Accounts!$D$108="","",[1]Accounts!$A$108)</f>
        <v/>
      </c>
      <c r="B107">
        <f>IF([1]Accounts!$D$108="","",[1]Accounts!$B$108)</f>
        <v/>
      </c>
      <c r="C107">
        <f>IF([1]Accounts!$D$108="","",[1]Accounts!$C$108)</f>
        <v/>
      </c>
      <c r="D107">
        <f>IF([1]Accounts!$D$108="","",[1]Accounts!$D$108)</f>
        <v/>
      </c>
      <c r="E107">
        <f>IF([1]Accounts!$D$108="","",[1]Accounts!$J$108)</f>
        <v/>
      </c>
      <c r="F107">
        <f>IF([1]Accounts!$D$108="","",[1]Accounts!$K$108)</f>
        <v/>
      </c>
      <c r="U107">
        <f>IF([2]Baskol!$B$110="","",[2]Baskol!$B$110)</f>
        <v/>
      </c>
      <c r="V107">
        <f>IF([2]Baskol!$C$110="","",[2]Baskol!$C$110)</f>
        <v/>
      </c>
      <c r="W107">
        <f>IF([2]Baskol!$D$110="","",[2]Baskol!$D$110)</f>
        <v/>
      </c>
      <c r="X107">
        <f>IF([2]Baskol!$E$110="","",[2]Baskol!$E$110)</f>
        <v/>
      </c>
      <c r="Y107">
        <f>IF([2]Baskol!$G$110="","",[2]Baskol!$G$110)</f>
        <v/>
      </c>
      <c r="Z107">
        <f>IF([2]Baskol!$I$110="","",[2]Baskol!$I$110)</f>
        <v/>
      </c>
      <c r="AA107">
        <f>IF([2]Baskol!$J$110="","",[2]Baskol!$J$110)</f>
        <v/>
      </c>
      <c r="AB107">
        <f>IF([2]Baskol!$K$110="","",[2]Baskol!$K$110)</f>
        <v/>
      </c>
      <c r="AC107">
        <f>IF([2]Baskol!$L$110="","",[2]Baskol!$L$110)</f>
        <v/>
      </c>
      <c r="AD107">
        <f>IF([2]Baskol!$N$110="","",[2]Baskol!$N$110)</f>
        <v/>
      </c>
      <c r="AE107">
        <f>IF([2]Baskol!$O$110="","",[2]Baskol!$O$110)</f>
        <v/>
      </c>
      <c r="AG107">
        <f>IF([3]Entry!$C$110="","",[3]Entry!$C$110)</f>
        <v/>
      </c>
      <c r="AH107">
        <f>IF([3]Entry!$D$110="","",[3]Entry!$D$110)</f>
        <v/>
      </c>
      <c r="AI107">
        <f>IF([3]Entry!$E$110="","",[3]Entry!$E$110)</f>
        <v/>
      </c>
      <c r="AJ107">
        <f>IF([3]Entry!$G$110="","",[3]Entry!$G$110)</f>
        <v/>
      </c>
      <c r="AK107">
        <f>IF([3]Entry!$K$110="","",[3]Entry!$K$110)</f>
        <v/>
      </c>
      <c r="AL107">
        <f>IF([3]Entry!$L$110="","",[3]Entry!$L$110)</f>
        <v/>
      </c>
      <c r="AM107">
        <f>IF([3]Entry!$M$110="","",[3]Entry!$M$110)</f>
        <v/>
      </c>
      <c r="AN107">
        <f>IF([3]Entry!$N$110="","",[3]Entry!$N$110)</f>
        <v/>
      </c>
      <c r="AO107">
        <f>IF([3]Entry!$R$110="","",[3]Entry!$R$110)</f>
        <v/>
      </c>
      <c r="AQ107">
        <f>IF(AND($D107&lt;&gt;"",$A107&lt;&gt;""),1,0)</f>
        <v/>
      </c>
      <c r="AR107">
        <f>SUM($AQ$6:$AQ107)</f>
        <v/>
      </c>
      <c r="AS107">
        <f>IFERROR(INDEX($A$6:$A$565,MATCH(ROW()-5,$AR$6:$AR$565,0)),"")</f>
        <v/>
      </c>
    </row>
    <row r="108">
      <c r="A108">
        <f>IF([1]Accounts!$D$109="","",[1]Accounts!$A$109)</f>
        <v/>
      </c>
      <c r="B108">
        <f>IF([1]Accounts!$D$109="","",[1]Accounts!$B$109)</f>
        <v/>
      </c>
      <c r="C108">
        <f>IF([1]Accounts!$D$109="","",[1]Accounts!$C$109)</f>
        <v/>
      </c>
      <c r="D108">
        <f>IF([1]Accounts!$D$109="","",[1]Accounts!$D$109)</f>
        <v/>
      </c>
      <c r="E108">
        <f>IF([1]Accounts!$D$109="","",[1]Accounts!$J$109)</f>
        <v/>
      </c>
      <c r="F108">
        <f>IF([1]Accounts!$D$109="","",[1]Accounts!$K$109)</f>
        <v/>
      </c>
      <c r="U108">
        <f>IF([2]Baskol!$B$111="","",[2]Baskol!$B$111)</f>
        <v/>
      </c>
      <c r="V108">
        <f>IF([2]Baskol!$C$111="","",[2]Baskol!$C$111)</f>
        <v/>
      </c>
      <c r="W108">
        <f>IF([2]Baskol!$D$111="","",[2]Baskol!$D$111)</f>
        <v/>
      </c>
      <c r="X108">
        <f>IF([2]Baskol!$E$111="","",[2]Baskol!$E$111)</f>
        <v/>
      </c>
      <c r="Y108">
        <f>IF([2]Baskol!$G$111="","",[2]Baskol!$G$111)</f>
        <v/>
      </c>
      <c r="Z108">
        <f>IF([2]Baskol!$I$111="","",[2]Baskol!$I$111)</f>
        <v/>
      </c>
      <c r="AA108">
        <f>IF([2]Baskol!$J$111="","",[2]Baskol!$J$111)</f>
        <v/>
      </c>
      <c r="AB108">
        <f>IF([2]Baskol!$K$111="","",[2]Baskol!$K$111)</f>
        <v/>
      </c>
      <c r="AC108">
        <f>IF([2]Baskol!$L$111="","",[2]Baskol!$L$111)</f>
        <v/>
      </c>
      <c r="AD108">
        <f>IF([2]Baskol!$N$111="","",[2]Baskol!$N$111)</f>
        <v/>
      </c>
      <c r="AE108">
        <f>IF([2]Baskol!$O$111="","",[2]Baskol!$O$111)</f>
        <v/>
      </c>
      <c r="AG108">
        <f>IF([3]Entry!$C$111="","",[3]Entry!$C$111)</f>
        <v/>
      </c>
      <c r="AH108">
        <f>IF([3]Entry!$D$111="","",[3]Entry!$D$111)</f>
        <v/>
      </c>
      <c r="AI108">
        <f>IF([3]Entry!$E$111="","",[3]Entry!$E$111)</f>
        <v/>
      </c>
      <c r="AJ108">
        <f>IF([3]Entry!$G$111="","",[3]Entry!$G$111)</f>
        <v/>
      </c>
      <c r="AK108">
        <f>IF([3]Entry!$K$111="","",[3]Entry!$K$111)</f>
        <v/>
      </c>
      <c r="AL108">
        <f>IF([3]Entry!$L$111="","",[3]Entry!$L$111)</f>
        <v/>
      </c>
      <c r="AM108">
        <f>IF([3]Entry!$M$111="","",[3]Entry!$M$111)</f>
        <v/>
      </c>
      <c r="AN108">
        <f>IF([3]Entry!$N$111="","",[3]Entry!$N$111)</f>
        <v/>
      </c>
      <c r="AO108">
        <f>IF([3]Entry!$R$111="","",[3]Entry!$R$111)</f>
        <v/>
      </c>
      <c r="AQ108">
        <f>IF(AND($D108&lt;&gt;"",$A108&lt;&gt;""),1,0)</f>
        <v/>
      </c>
      <c r="AR108">
        <f>SUM($AQ$6:$AQ108)</f>
        <v/>
      </c>
      <c r="AS108">
        <f>IFERROR(INDEX($A$6:$A$565,MATCH(ROW()-5,$AR$6:$AR$565,0)),"")</f>
        <v/>
      </c>
    </row>
    <row r="109">
      <c r="A109">
        <f>IF([1]Accounts!$D$110="","",[1]Accounts!$A$110)</f>
        <v/>
      </c>
      <c r="B109">
        <f>IF([1]Accounts!$D$110="","",[1]Accounts!$B$110)</f>
        <v/>
      </c>
      <c r="C109">
        <f>IF([1]Accounts!$D$110="","",[1]Accounts!$C$110)</f>
        <v/>
      </c>
      <c r="D109">
        <f>IF([1]Accounts!$D$110="","",[1]Accounts!$D$110)</f>
        <v/>
      </c>
      <c r="E109">
        <f>IF([1]Accounts!$D$110="","",[1]Accounts!$J$110)</f>
        <v/>
      </c>
      <c r="F109">
        <f>IF([1]Accounts!$D$110="","",[1]Accounts!$K$110)</f>
        <v/>
      </c>
      <c r="U109">
        <f>IF([2]Baskol!$B$112="","",[2]Baskol!$B$112)</f>
        <v/>
      </c>
      <c r="V109">
        <f>IF([2]Baskol!$C$112="","",[2]Baskol!$C$112)</f>
        <v/>
      </c>
      <c r="W109">
        <f>IF([2]Baskol!$D$112="","",[2]Baskol!$D$112)</f>
        <v/>
      </c>
      <c r="X109">
        <f>IF([2]Baskol!$E$112="","",[2]Baskol!$E$112)</f>
        <v/>
      </c>
      <c r="Y109">
        <f>IF([2]Baskol!$G$112="","",[2]Baskol!$G$112)</f>
        <v/>
      </c>
      <c r="Z109">
        <f>IF([2]Baskol!$I$112="","",[2]Baskol!$I$112)</f>
        <v/>
      </c>
      <c r="AA109">
        <f>IF([2]Baskol!$J$112="","",[2]Baskol!$J$112)</f>
        <v/>
      </c>
      <c r="AB109">
        <f>IF([2]Baskol!$K$112="","",[2]Baskol!$K$112)</f>
        <v/>
      </c>
      <c r="AC109">
        <f>IF([2]Baskol!$L$112="","",[2]Baskol!$L$112)</f>
        <v/>
      </c>
      <c r="AD109">
        <f>IF([2]Baskol!$N$112="","",[2]Baskol!$N$112)</f>
        <v/>
      </c>
      <c r="AE109">
        <f>IF([2]Baskol!$O$112="","",[2]Baskol!$O$112)</f>
        <v/>
      </c>
      <c r="AG109">
        <f>IF([3]Entry!$C$112="","",[3]Entry!$C$112)</f>
        <v/>
      </c>
      <c r="AH109">
        <f>IF([3]Entry!$D$112="","",[3]Entry!$D$112)</f>
        <v/>
      </c>
      <c r="AI109">
        <f>IF([3]Entry!$E$112="","",[3]Entry!$E$112)</f>
        <v/>
      </c>
      <c r="AJ109">
        <f>IF([3]Entry!$G$112="","",[3]Entry!$G$112)</f>
        <v/>
      </c>
      <c r="AK109">
        <f>IF([3]Entry!$K$112="","",[3]Entry!$K$112)</f>
        <v/>
      </c>
      <c r="AL109">
        <f>IF([3]Entry!$L$112="","",[3]Entry!$L$112)</f>
        <v/>
      </c>
      <c r="AM109">
        <f>IF([3]Entry!$M$112="","",[3]Entry!$M$112)</f>
        <v/>
      </c>
      <c r="AN109">
        <f>IF([3]Entry!$N$112="","",[3]Entry!$N$112)</f>
        <v/>
      </c>
      <c r="AO109">
        <f>IF([3]Entry!$R$112="","",[3]Entry!$R$112)</f>
        <v/>
      </c>
      <c r="AQ109">
        <f>IF(AND($D109&lt;&gt;"",$A109&lt;&gt;""),1,0)</f>
        <v/>
      </c>
      <c r="AR109">
        <f>SUM($AQ$6:$AQ109)</f>
        <v/>
      </c>
      <c r="AS109">
        <f>IFERROR(INDEX($A$6:$A$565,MATCH(ROW()-5,$AR$6:$AR$565,0)),"")</f>
        <v/>
      </c>
    </row>
    <row r="110">
      <c r="A110">
        <f>IF([1]Accounts!$D$111="","",[1]Accounts!$A$111)</f>
        <v/>
      </c>
      <c r="B110">
        <f>IF([1]Accounts!$D$111="","",[1]Accounts!$B$111)</f>
        <v/>
      </c>
      <c r="C110">
        <f>IF([1]Accounts!$D$111="","",[1]Accounts!$C$111)</f>
        <v/>
      </c>
      <c r="D110">
        <f>IF([1]Accounts!$D$111="","",[1]Accounts!$D$111)</f>
        <v/>
      </c>
      <c r="E110">
        <f>IF([1]Accounts!$D$111="","",[1]Accounts!$J$111)</f>
        <v/>
      </c>
      <c r="F110">
        <f>IF([1]Accounts!$D$111="","",[1]Accounts!$K$111)</f>
        <v/>
      </c>
      <c r="U110">
        <f>IF([2]Baskol!$B$113="","",[2]Baskol!$B$113)</f>
        <v/>
      </c>
      <c r="V110">
        <f>IF([2]Baskol!$C$113="","",[2]Baskol!$C$113)</f>
        <v/>
      </c>
      <c r="W110">
        <f>IF([2]Baskol!$D$113="","",[2]Baskol!$D$113)</f>
        <v/>
      </c>
      <c r="X110">
        <f>IF([2]Baskol!$E$113="","",[2]Baskol!$E$113)</f>
        <v/>
      </c>
      <c r="Y110">
        <f>IF([2]Baskol!$G$113="","",[2]Baskol!$G$113)</f>
        <v/>
      </c>
      <c r="Z110">
        <f>IF([2]Baskol!$I$113="","",[2]Baskol!$I$113)</f>
        <v/>
      </c>
      <c r="AA110">
        <f>IF([2]Baskol!$J$113="","",[2]Baskol!$J$113)</f>
        <v/>
      </c>
      <c r="AB110">
        <f>IF([2]Baskol!$K$113="","",[2]Baskol!$K$113)</f>
        <v/>
      </c>
      <c r="AC110">
        <f>IF([2]Baskol!$L$113="","",[2]Baskol!$L$113)</f>
        <v/>
      </c>
      <c r="AD110">
        <f>IF([2]Baskol!$N$113="","",[2]Baskol!$N$113)</f>
        <v/>
      </c>
      <c r="AE110">
        <f>IF([2]Baskol!$O$113="","",[2]Baskol!$O$113)</f>
        <v/>
      </c>
      <c r="AG110">
        <f>IF([3]Entry!$C$113="","",[3]Entry!$C$113)</f>
        <v/>
      </c>
      <c r="AH110">
        <f>IF([3]Entry!$D$113="","",[3]Entry!$D$113)</f>
        <v/>
      </c>
      <c r="AI110">
        <f>IF([3]Entry!$E$113="","",[3]Entry!$E$113)</f>
        <v/>
      </c>
      <c r="AJ110">
        <f>IF([3]Entry!$G$113="","",[3]Entry!$G$113)</f>
        <v/>
      </c>
      <c r="AK110">
        <f>IF([3]Entry!$K$113="","",[3]Entry!$K$113)</f>
        <v/>
      </c>
      <c r="AL110">
        <f>IF([3]Entry!$L$113="","",[3]Entry!$L$113)</f>
        <v/>
      </c>
      <c r="AM110">
        <f>IF([3]Entry!$M$113="","",[3]Entry!$M$113)</f>
        <v/>
      </c>
      <c r="AN110">
        <f>IF([3]Entry!$N$113="","",[3]Entry!$N$113)</f>
        <v/>
      </c>
      <c r="AO110">
        <f>IF([3]Entry!$R$113="","",[3]Entry!$R$113)</f>
        <v/>
      </c>
      <c r="AQ110">
        <f>IF(AND($D110&lt;&gt;"",$A110&lt;&gt;""),1,0)</f>
        <v/>
      </c>
      <c r="AR110">
        <f>SUM($AQ$6:$AQ110)</f>
        <v/>
      </c>
      <c r="AS110">
        <f>IFERROR(INDEX($A$6:$A$565,MATCH(ROW()-5,$AR$6:$AR$565,0)),"")</f>
        <v/>
      </c>
    </row>
    <row r="111">
      <c r="A111">
        <f>IF([1]Accounts!$D$112="","",[1]Accounts!$A$112)</f>
        <v/>
      </c>
      <c r="B111">
        <f>IF([1]Accounts!$D$112="","",[1]Accounts!$B$112)</f>
        <v/>
      </c>
      <c r="C111">
        <f>IF([1]Accounts!$D$112="","",[1]Accounts!$C$112)</f>
        <v/>
      </c>
      <c r="D111">
        <f>IF([1]Accounts!$D$112="","",[1]Accounts!$D$112)</f>
        <v/>
      </c>
      <c r="E111">
        <f>IF([1]Accounts!$D$112="","",[1]Accounts!$J$112)</f>
        <v/>
      </c>
      <c r="F111">
        <f>IF([1]Accounts!$D$112="","",[1]Accounts!$K$112)</f>
        <v/>
      </c>
      <c r="U111">
        <f>IF([2]Baskol!$B$114="","",[2]Baskol!$B$114)</f>
        <v/>
      </c>
      <c r="V111">
        <f>IF([2]Baskol!$C$114="","",[2]Baskol!$C$114)</f>
        <v/>
      </c>
      <c r="W111">
        <f>IF([2]Baskol!$D$114="","",[2]Baskol!$D$114)</f>
        <v/>
      </c>
      <c r="X111">
        <f>IF([2]Baskol!$E$114="","",[2]Baskol!$E$114)</f>
        <v/>
      </c>
      <c r="Y111">
        <f>IF([2]Baskol!$G$114="","",[2]Baskol!$G$114)</f>
        <v/>
      </c>
      <c r="Z111">
        <f>IF([2]Baskol!$I$114="","",[2]Baskol!$I$114)</f>
        <v/>
      </c>
      <c r="AA111">
        <f>IF([2]Baskol!$J$114="","",[2]Baskol!$J$114)</f>
        <v/>
      </c>
      <c r="AB111">
        <f>IF([2]Baskol!$K$114="","",[2]Baskol!$K$114)</f>
        <v/>
      </c>
      <c r="AC111">
        <f>IF([2]Baskol!$L$114="","",[2]Baskol!$L$114)</f>
        <v/>
      </c>
      <c r="AD111">
        <f>IF([2]Baskol!$N$114="","",[2]Baskol!$N$114)</f>
        <v/>
      </c>
      <c r="AE111">
        <f>IF([2]Baskol!$O$114="","",[2]Baskol!$O$114)</f>
        <v/>
      </c>
      <c r="AG111">
        <f>IF([3]Entry!$C$114="","",[3]Entry!$C$114)</f>
        <v/>
      </c>
      <c r="AH111">
        <f>IF([3]Entry!$D$114="","",[3]Entry!$D$114)</f>
        <v/>
      </c>
      <c r="AI111">
        <f>IF([3]Entry!$E$114="","",[3]Entry!$E$114)</f>
        <v/>
      </c>
      <c r="AJ111">
        <f>IF([3]Entry!$G$114="","",[3]Entry!$G$114)</f>
        <v/>
      </c>
      <c r="AK111">
        <f>IF([3]Entry!$K$114="","",[3]Entry!$K$114)</f>
        <v/>
      </c>
      <c r="AL111">
        <f>IF([3]Entry!$L$114="","",[3]Entry!$L$114)</f>
        <v/>
      </c>
      <c r="AM111">
        <f>IF([3]Entry!$M$114="","",[3]Entry!$M$114)</f>
        <v/>
      </c>
      <c r="AN111">
        <f>IF([3]Entry!$N$114="","",[3]Entry!$N$114)</f>
        <v/>
      </c>
      <c r="AO111">
        <f>IF([3]Entry!$R$114="","",[3]Entry!$R$114)</f>
        <v/>
      </c>
      <c r="AQ111">
        <f>IF(AND($D111&lt;&gt;"",$A111&lt;&gt;""),1,0)</f>
        <v/>
      </c>
      <c r="AR111">
        <f>SUM($AQ$6:$AQ111)</f>
        <v/>
      </c>
      <c r="AS111">
        <f>IFERROR(INDEX($A$6:$A$565,MATCH(ROW()-5,$AR$6:$AR$565,0)),"")</f>
        <v/>
      </c>
    </row>
    <row r="112">
      <c r="A112">
        <f>IF([1]Accounts!$D$113="","",[1]Accounts!$A$113)</f>
        <v/>
      </c>
      <c r="B112">
        <f>IF([1]Accounts!$D$113="","",[1]Accounts!$B$113)</f>
        <v/>
      </c>
      <c r="C112">
        <f>IF([1]Accounts!$D$113="","",[1]Accounts!$C$113)</f>
        <v/>
      </c>
      <c r="D112">
        <f>IF([1]Accounts!$D$113="","",[1]Accounts!$D$113)</f>
        <v/>
      </c>
      <c r="E112">
        <f>IF([1]Accounts!$D$113="","",[1]Accounts!$J$113)</f>
        <v/>
      </c>
      <c r="F112">
        <f>IF([1]Accounts!$D$113="","",[1]Accounts!$K$113)</f>
        <v/>
      </c>
      <c r="U112">
        <f>IF([2]Baskol!$B$115="","",[2]Baskol!$B$115)</f>
        <v/>
      </c>
      <c r="V112">
        <f>IF([2]Baskol!$C$115="","",[2]Baskol!$C$115)</f>
        <v/>
      </c>
      <c r="W112">
        <f>IF([2]Baskol!$D$115="","",[2]Baskol!$D$115)</f>
        <v/>
      </c>
      <c r="X112">
        <f>IF([2]Baskol!$E$115="","",[2]Baskol!$E$115)</f>
        <v/>
      </c>
      <c r="Y112">
        <f>IF([2]Baskol!$G$115="","",[2]Baskol!$G$115)</f>
        <v/>
      </c>
      <c r="Z112">
        <f>IF([2]Baskol!$I$115="","",[2]Baskol!$I$115)</f>
        <v/>
      </c>
      <c r="AA112">
        <f>IF([2]Baskol!$J$115="","",[2]Baskol!$J$115)</f>
        <v/>
      </c>
      <c r="AB112">
        <f>IF([2]Baskol!$K$115="","",[2]Baskol!$K$115)</f>
        <v/>
      </c>
      <c r="AC112">
        <f>IF([2]Baskol!$L$115="","",[2]Baskol!$L$115)</f>
        <v/>
      </c>
      <c r="AD112">
        <f>IF([2]Baskol!$N$115="","",[2]Baskol!$N$115)</f>
        <v/>
      </c>
      <c r="AE112">
        <f>IF([2]Baskol!$O$115="","",[2]Baskol!$O$115)</f>
        <v/>
      </c>
      <c r="AG112">
        <f>IF([3]Entry!$C$115="","",[3]Entry!$C$115)</f>
        <v/>
      </c>
      <c r="AH112">
        <f>IF([3]Entry!$D$115="","",[3]Entry!$D$115)</f>
        <v/>
      </c>
      <c r="AI112">
        <f>IF([3]Entry!$E$115="","",[3]Entry!$E$115)</f>
        <v/>
      </c>
      <c r="AJ112">
        <f>IF([3]Entry!$G$115="","",[3]Entry!$G$115)</f>
        <v/>
      </c>
      <c r="AK112">
        <f>IF([3]Entry!$K$115="","",[3]Entry!$K$115)</f>
        <v/>
      </c>
      <c r="AL112">
        <f>IF([3]Entry!$L$115="","",[3]Entry!$L$115)</f>
        <v/>
      </c>
      <c r="AM112">
        <f>IF([3]Entry!$M$115="","",[3]Entry!$M$115)</f>
        <v/>
      </c>
      <c r="AN112">
        <f>IF([3]Entry!$N$115="","",[3]Entry!$N$115)</f>
        <v/>
      </c>
      <c r="AO112">
        <f>IF([3]Entry!$R$115="","",[3]Entry!$R$115)</f>
        <v/>
      </c>
      <c r="AQ112">
        <f>IF(AND($D112&lt;&gt;"",$A112&lt;&gt;""),1,0)</f>
        <v/>
      </c>
      <c r="AR112">
        <f>SUM($AQ$6:$AQ112)</f>
        <v/>
      </c>
      <c r="AS112">
        <f>IFERROR(INDEX($A$6:$A$565,MATCH(ROW()-5,$AR$6:$AR$565,0)),"")</f>
        <v/>
      </c>
    </row>
    <row r="113">
      <c r="A113">
        <f>IF([1]Accounts!$D$114="","",[1]Accounts!$A$114)</f>
        <v/>
      </c>
      <c r="B113">
        <f>IF([1]Accounts!$D$114="","",[1]Accounts!$B$114)</f>
        <v/>
      </c>
      <c r="C113">
        <f>IF([1]Accounts!$D$114="","",[1]Accounts!$C$114)</f>
        <v/>
      </c>
      <c r="D113">
        <f>IF([1]Accounts!$D$114="","",[1]Accounts!$D$114)</f>
        <v/>
      </c>
      <c r="E113">
        <f>IF([1]Accounts!$D$114="","",[1]Accounts!$J$114)</f>
        <v/>
      </c>
      <c r="F113">
        <f>IF([1]Accounts!$D$114="","",[1]Accounts!$K$114)</f>
        <v/>
      </c>
      <c r="U113">
        <f>IF([2]Baskol!$B$116="","",[2]Baskol!$B$116)</f>
        <v/>
      </c>
      <c r="V113">
        <f>IF([2]Baskol!$C$116="","",[2]Baskol!$C$116)</f>
        <v/>
      </c>
      <c r="W113">
        <f>IF([2]Baskol!$D$116="","",[2]Baskol!$D$116)</f>
        <v/>
      </c>
      <c r="X113">
        <f>IF([2]Baskol!$E$116="","",[2]Baskol!$E$116)</f>
        <v/>
      </c>
      <c r="Y113">
        <f>IF([2]Baskol!$G$116="","",[2]Baskol!$G$116)</f>
        <v/>
      </c>
      <c r="Z113">
        <f>IF([2]Baskol!$I$116="","",[2]Baskol!$I$116)</f>
        <v/>
      </c>
      <c r="AA113">
        <f>IF([2]Baskol!$J$116="","",[2]Baskol!$J$116)</f>
        <v/>
      </c>
      <c r="AB113">
        <f>IF([2]Baskol!$K$116="","",[2]Baskol!$K$116)</f>
        <v/>
      </c>
      <c r="AC113">
        <f>IF([2]Baskol!$L$116="","",[2]Baskol!$L$116)</f>
        <v/>
      </c>
      <c r="AD113">
        <f>IF([2]Baskol!$N$116="","",[2]Baskol!$N$116)</f>
        <v/>
      </c>
      <c r="AE113">
        <f>IF([2]Baskol!$O$116="","",[2]Baskol!$O$116)</f>
        <v/>
      </c>
      <c r="AG113">
        <f>IF([3]Entry!$C$116="","",[3]Entry!$C$116)</f>
        <v/>
      </c>
      <c r="AH113">
        <f>IF([3]Entry!$D$116="","",[3]Entry!$D$116)</f>
        <v/>
      </c>
      <c r="AI113">
        <f>IF([3]Entry!$E$116="","",[3]Entry!$E$116)</f>
        <v/>
      </c>
      <c r="AJ113">
        <f>IF([3]Entry!$G$116="","",[3]Entry!$G$116)</f>
        <v/>
      </c>
      <c r="AK113">
        <f>IF([3]Entry!$K$116="","",[3]Entry!$K$116)</f>
        <v/>
      </c>
      <c r="AL113">
        <f>IF([3]Entry!$L$116="","",[3]Entry!$L$116)</f>
        <v/>
      </c>
      <c r="AM113">
        <f>IF([3]Entry!$M$116="","",[3]Entry!$M$116)</f>
        <v/>
      </c>
      <c r="AN113">
        <f>IF([3]Entry!$N$116="","",[3]Entry!$N$116)</f>
        <v/>
      </c>
      <c r="AO113">
        <f>IF([3]Entry!$R$116="","",[3]Entry!$R$116)</f>
        <v/>
      </c>
      <c r="AQ113">
        <f>IF(AND($D113&lt;&gt;"",$A113&lt;&gt;""),1,0)</f>
        <v/>
      </c>
      <c r="AR113">
        <f>SUM($AQ$6:$AQ113)</f>
        <v/>
      </c>
      <c r="AS113">
        <f>IFERROR(INDEX($A$6:$A$565,MATCH(ROW()-5,$AR$6:$AR$565,0)),"")</f>
        <v/>
      </c>
    </row>
    <row r="114">
      <c r="A114">
        <f>IF([1]Accounts!$D$115="","",[1]Accounts!$A$115)</f>
        <v/>
      </c>
      <c r="B114">
        <f>IF([1]Accounts!$D$115="","",[1]Accounts!$B$115)</f>
        <v/>
      </c>
      <c r="C114">
        <f>IF([1]Accounts!$D$115="","",[1]Accounts!$C$115)</f>
        <v/>
      </c>
      <c r="D114">
        <f>IF([1]Accounts!$D$115="","",[1]Accounts!$D$115)</f>
        <v/>
      </c>
      <c r="E114">
        <f>IF([1]Accounts!$D$115="","",[1]Accounts!$J$115)</f>
        <v/>
      </c>
      <c r="F114">
        <f>IF([1]Accounts!$D$115="","",[1]Accounts!$K$115)</f>
        <v/>
      </c>
      <c r="U114">
        <f>IF([2]Baskol!$B$117="","",[2]Baskol!$B$117)</f>
        <v/>
      </c>
      <c r="V114">
        <f>IF([2]Baskol!$C$117="","",[2]Baskol!$C$117)</f>
        <v/>
      </c>
      <c r="W114">
        <f>IF([2]Baskol!$D$117="","",[2]Baskol!$D$117)</f>
        <v/>
      </c>
      <c r="X114">
        <f>IF([2]Baskol!$E$117="","",[2]Baskol!$E$117)</f>
        <v/>
      </c>
      <c r="Y114">
        <f>IF([2]Baskol!$G$117="","",[2]Baskol!$G$117)</f>
        <v/>
      </c>
      <c r="Z114">
        <f>IF([2]Baskol!$I$117="","",[2]Baskol!$I$117)</f>
        <v/>
      </c>
      <c r="AA114">
        <f>IF([2]Baskol!$J$117="","",[2]Baskol!$J$117)</f>
        <v/>
      </c>
      <c r="AB114">
        <f>IF([2]Baskol!$K$117="","",[2]Baskol!$K$117)</f>
        <v/>
      </c>
      <c r="AC114">
        <f>IF([2]Baskol!$L$117="","",[2]Baskol!$L$117)</f>
        <v/>
      </c>
      <c r="AD114">
        <f>IF([2]Baskol!$N$117="","",[2]Baskol!$N$117)</f>
        <v/>
      </c>
      <c r="AE114">
        <f>IF([2]Baskol!$O$117="","",[2]Baskol!$O$117)</f>
        <v/>
      </c>
      <c r="AG114">
        <f>IF([3]Entry!$C$117="","",[3]Entry!$C$117)</f>
        <v/>
      </c>
      <c r="AH114">
        <f>IF([3]Entry!$D$117="","",[3]Entry!$D$117)</f>
        <v/>
      </c>
      <c r="AI114">
        <f>IF([3]Entry!$E$117="","",[3]Entry!$E$117)</f>
        <v/>
      </c>
      <c r="AJ114">
        <f>IF([3]Entry!$G$117="","",[3]Entry!$G$117)</f>
        <v/>
      </c>
      <c r="AK114">
        <f>IF([3]Entry!$K$117="","",[3]Entry!$K$117)</f>
        <v/>
      </c>
      <c r="AL114">
        <f>IF([3]Entry!$L$117="","",[3]Entry!$L$117)</f>
        <v/>
      </c>
      <c r="AM114">
        <f>IF([3]Entry!$M$117="","",[3]Entry!$M$117)</f>
        <v/>
      </c>
      <c r="AN114">
        <f>IF([3]Entry!$N$117="","",[3]Entry!$N$117)</f>
        <v/>
      </c>
      <c r="AO114">
        <f>IF([3]Entry!$R$117="","",[3]Entry!$R$117)</f>
        <v/>
      </c>
      <c r="AQ114">
        <f>IF(AND($D114&lt;&gt;"",$A114&lt;&gt;""),1,0)</f>
        <v/>
      </c>
      <c r="AR114">
        <f>SUM($AQ$6:$AQ114)</f>
        <v/>
      </c>
      <c r="AS114">
        <f>IFERROR(INDEX($A$6:$A$565,MATCH(ROW()-5,$AR$6:$AR$565,0)),"")</f>
        <v/>
      </c>
    </row>
    <row r="115">
      <c r="A115">
        <f>IF([1]Accounts!$D$116="","",[1]Accounts!$A$116)</f>
        <v/>
      </c>
      <c r="B115">
        <f>IF([1]Accounts!$D$116="","",[1]Accounts!$B$116)</f>
        <v/>
      </c>
      <c r="C115">
        <f>IF([1]Accounts!$D$116="","",[1]Accounts!$C$116)</f>
        <v/>
      </c>
      <c r="D115">
        <f>IF([1]Accounts!$D$116="","",[1]Accounts!$D$116)</f>
        <v/>
      </c>
      <c r="E115">
        <f>IF([1]Accounts!$D$116="","",[1]Accounts!$J$116)</f>
        <v/>
      </c>
      <c r="F115">
        <f>IF([1]Accounts!$D$116="","",[1]Accounts!$K$116)</f>
        <v/>
      </c>
      <c r="U115">
        <f>IF([2]Baskol!$B$118="","",[2]Baskol!$B$118)</f>
        <v/>
      </c>
      <c r="V115">
        <f>IF([2]Baskol!$C$118="","",[2]Baskol!$C$118)</f>
        <v/>
      </c>
      <c r="W115">
        <f>IF([2]Baskol!$D$118="","",[2]Baskol!$D$118)</f>
        <v/>
      </c>
      <c r="X115">
        <f>IF([2]Baskol!$E$118="","",[2]Baskol!$E$118)</f>
        <v/>
      </c>
      <c r="Y115">
        <f>IF([2]Baskol!$G$118="","",[2]Baskol!$G$118)</f>
        <v/>
      </c>
      <c r="Z115">
        <f>IF([2]Baskol!$I$118="","",[2]Baskol!$I$118)</f>
        <v/>
      </c>
      <c r="AA115">
        <f>IF([2]Baskol!$J$118="","",[2]Baskol!$J$118)</f>
        <v/>
      </c>
      <c r="AB115">
        <f>IF([2]Baskol!$K$118="","",[2]Baskol!$K$118)</f>
        <v/>
      </c>
      <c r="AC115">
        <f>IF([2]Baskol!$L$118="","",[2]Baskol!$L$118)</f>
        <v/>
      </c>
      <c r="AD115">
        <f>IF([2]Baskol!$N$118="","",[2]Baskol!$N$118)</f>
        <v/>
      </c>
      <c r="AE115">
        <f>IF([2]Baskol!$O$118="","",[2]Baskol!$O$118)</f>
        <v/>
      </c>
      <c r="AG115">
        <f>IF([3]Entry!$C$118="","",[3]Entry!$C$118)</f>
        <v/>
      </c>
      <c r="AH115">
        <f>IF([3]Entry!$D$118="","",[3]Entry!$D$118)</f>
        <v/>
      </c>
      <c r="AI115">
        <f>IF([3]Entry!$E$118="","",[3]Entry!$E$118)</f>
        <v/>
      </c>
      <c r="AJ115">
        <f>IF([3]Entry!$G$118="","",[3]Entry!$G$118)</f>
        <v/>
      </c>
      <c r="AK115">
        <f>IF([3]Entry!$K$118="","",[3]Entry!$K$118)</f>
        <v/>
      </c>
      <c r="AL115">
        <f>IF([3]Entry!$L$118="","",[3]Entry!$L$118)</f>
        <v/>
      </c>
      <c r="AM115">
        <f>IF([3]Entry!$M$118="","",[3]Entry!$M$118)</f>
        <v/>
      </c>
      <c r="AN115">
        <f>IF([3]Entry!$N$118="","",[3]Entry!$N$118)</f>
        <v/>
      </c>
      <c r="AO115">
        <f>IF([3]Entry!$R$118="","",[3]Entry!$R$118)</f>
        <v/>
      </c>
      <c r="AQ115">
        <f>IF(AND($D115&lt;&gt;"",$A115&lt;&gt;""),1,0)</f>
        <v/>
      </c>
      <c r="AR115">
        <f>SUM($AQ$6:$AQ115)</f>
        <v/>
      </c>
      <c r="AS115">
        <f>IFERROR(INDEX($A$6:$A$565,MATCH(ROW()-5,$AR$6:$AR$565,0)),"")</f>
        <v/>
      </c>
    </row>
    <row r="116">
      <c r="A116">
        <f>IF([1]Accounts!$D$117="","",[1]Accounts!$A$117)</f>
        <v/>
      </c>
      <c r="B116">
        <f>IF([1]Accounts!$D$117="","",[1]Accounts!$B$117)</f>
        <v/>
      </c>
      <c r="C116">
        <f>IF([1]Accounts!$D$117="","",[1]Accounts!$C$117)</f>
        <v/>
      </c>
      <c r="D116">
        <f>IF([1]Accounts!$D$117="","",[1]Accounts!$D$117)</f>
        <v/>
      </c>
      <c r="E116">
        <f>IF([1]Accounts!$D$117="","",[1]Accounts!$J$117)</f>
        <v/>
      </c>
      <c r="F116">
        <f>IF([1]Accounts!$D$117="","",[1]Accounts!$K$117)</f>
        <v/>
      </c>
      <c r="U116">
        <f>IF([2]Baskol!$B$119="","",[2]Baskol!$B$119)</f>
        <v/>
      </c>
      <c r="V116">
        <f>IF([2]Baskol!$C$119="","",[2]Baskol!$C$119)</f>
        <v/>
      </c>
      <c r="W116">
        <f>IF([2]Baskol!$D$119="","",[2]Baskol!$D$119)</f>
        <v/>
      </c>
      <c r="X116">
        <f>IF([2]Baskol!$E$119="","",[2]Baskol!$E$119)</f>
        <v/>
      </c>
      <c r="Y116">
        <f>IF([2]Baskol!$G$119="","",[2]Baskol!$G$119)</f>
        <v/>
      </c>
      <c r="Z116">
        <f>IF([2]Baskol!$I$119="","",[2]Baskol!$I$119)</f>
        <v/>
      </c>
      <c r="AA116">
        <f>IF([2]Baskol!$J$119="","",[2]Baskol!$J$119)</f>
        <v/>
      </c>
      <c r="AB116">
        <f>IF([2]Baskol!$K$119="","",[2]Baskol!$K$119)</f>
        <v/>
      </c>
      <c r="AC116">
        <f>IF([2]Baskol!$L$119="","",[2]Baskol!$L$119)</f>
        <v/>
      </c>
      <c r="AD116">
        <f>IF([2]Baskol!$N$119="","",[2]Baskol!$N$119)</f>
        <v/>
      </c>
      <c r="AE116">
        <f>IF([2]Baskol!$O$119="","",[2]Baskol!$O$119)</f>
        <v/>
      </c>
      <c r="AG116">
        <f>IF([3]Entry!$C$119="","",[3]Entry!$C$119)</f>
        <v/>
      </c>
      <c r="AH116">
        <f>IF([3]Entry!$D$119="","",[3]Entry!$D$119)</f>
        <v/>
      </c>
      <c r="AI116">
        <f>IF([3]Entry!$E$119="","",[3]Entry!$E$119)</f>
        <v/>
      </c>
      <c r="AJ116">
        <f>IF([3]Entry!$G$119="","",[3]Entry!$G$119)</f>
        <v/>
      </c>
      <c r="AK116">
        <f>IF([3]Entry!$K$119="","",[3]Entry!$K$119)</f>
        <v/>
      </c>
      <c r="AL116">
        <f>IF([3]Entry!$L$119="","",[3]Entry!$L$119)</f>
        <v/>
      </c>
      <c r="AM116">
        <f>IF([3]Entry!$M$119="","",[3]Entry!$M$119)</f>
        <v/>
      </c>
      <c r="AN116">
        <f>IF([3]Entry!$N$119="","",[3]Entry!$N$119)</f>
        <v/>
      </c>
      <c r="AO116">
        <f>IF([3]Entry!$R$119="","",[3]Entry!$R$119)</f>
        <v/>
      </c>
      <c r="AQ116">
        <f>IF(AND($D116&lt;&gt;"",$A116&lt;&gt;""),1,0)</f>
        <v/>
      </c>
      <c r="AR116">
        <f>SUM($AQ$6:$AQ116)</f>
        <v/>
      </c>
      <c r="AS116">
        <f>IFERROR(INDEX($A$6:$A$565,MATCH(ROW()-5,$AR$6:$AR$565,0)),"")</f>
        <v/>
      </c>
    </row>
    <row r="117">
      <c r="A117">
        <f>IF([1]Accounts!$D$118="","",[1]Accounts!$A$118)</f>
        <v/>
      </c>
      <c r="B117">
        <f>IF([1]Accounts!$D$118="","",[1]Accounts!$B$118)</f>
        <v/>
      </c>
      <c r="C117">
        <f>IF([1]Accounts!$D$118="","",[1]Accounts!$C$118)</f>
        <v/>
      </c>
      <c r="D117">
        <f>IF([1]Accounts!$D$118="","",[1]Accounts!$D$118)</f>
        <v/>
      </c>
      <c r="E117">
        <f>IF([1]Accounts!$D$118="","",[1]Accounts!$J$118)</f>
        <v/>
      </c>
      <c r="F117">
        <f>IF([1]Accounts!$D$118="","",[1]Accounts!$K$118)</f>
        <v/>
      </c>
      <c r="U117">
        <f>IF([2]Baskol!$B$120="","",[2]Baskol!$B$120)</f>
        <v/>
      </c>
      <c r="V117">
        <f>IF([2]Baskol!$C$120="","",[2]Baskol!$C$120)</f>
        <v/>
      </c>
      <c r="W117">
        <f>IF([2]Baskol!$D$120="","",[2]Baskol!$D$120)</f>
        <v/>
      </c>
      <c r="X117">
        <f>IF([2]Baskol!$E$120="","",[2]Baskol!$E$120)</f>
        <v/>
      </c>
      <c r="Y117">
        <f>IF([2]Baskol!$G$120="","",[2]Baskol!$G$120)</f>
        <v/>
      </c>
      <c r="Z117">
        <f>IF([2]Baskol!$I$120="","",[2]Baskol!$I$120)</f>
        <v/>
      </c>
      <c r="AA117">
        <f>IF([2]Baskol!$J$120="","",[2]Baskol!$J$120)</f>
        <v/>
      </c>
      <c r="AB117">
        <f>IF([2]Baskol!$K$120="","",[2]Baskol!$K$120)</f>
        <v/>
      </c>
      <c r="AC117">
        <f>IF([2]Baskol!$L$120="","",[2]Baskol!$L$120)</f>
        <v/>
      </c>
      <c r="AD117">
        <f>IF([2]Baskol!$N$120="","",[2]Baskol!$N$120)</f>
        <v/>
      </c>
      <c r="AE117">
        <f>IF([2]Baskol!$O$120="","",[2]Baskol!$O$120)</f>
        <v/>
      </c>
      <c r="AG117">
        <f>IF([3]Entry!$C$120="","",[3]Entry!$C$120)</f>
        <v/>
      </c>
      <c r="AH117">
        <f>IF([3]Entry!$D$120="","",[3]Entry!$D$120)</f>
        <v/>
      </c>
      <c r="AI117">
        <f>IF([3]Entry!$E$120="","",[3]Entry!$E$120)</f>
        <v/>
      </c>
      <c r="AJ117">
        <f>IF([3]Entry!$G$120="","",[3]Entry!$G$120)</f>
        <v/>
      </c>
      <c r="AK117">
        <f>IF([3]Entry!$K$120="","",[3]Entry!$K$120)</f>
        <v/>
      </c>
      <c r="AL117">
        <f>IF([3]Entry!$L$120="","",[3]Entry!$L$120)</f>
        <v/>
      </c>
      <c r="AM117">
        <f>IF([3]Entry!$M$120="","",[3]Entry!$M$120)</f>
        <v/>
      </c>
      <c r="AN117">
        <f>IF([3]Entry!$N$120="","",[3]Entry!$N$120)</f>
        <v/>
      </c>
      <c r="AO117">
        <f>IF([3]Entry!$R$120="","",[3]Entry!$R$120)</f>
        <v/>
      </c>
      <c r="AQ117">
        <f>IF(AND($D117&lt;&gt;"",$A117&lt;&gt;""),1,0)</f>
        <v/>
      </c>
      <c r="AR117">
        <f>SUM($AQ$6:$AQ117)</f>
        <v/>
      </c>
      <c r="AS117">
        <f>IFERROR(INDEX($A$6:$A$565,MATCH(ROW()-5,$AR$6:$AR$565,0)),"")</f>
        <v/>
      </c>
    </row>
    <row r="118">
      <c r="A118">
        <f>IF([1]Accounts!$D$119="","",[1]Accounts!$A$119)</f>
        <v/>
      </c>
      <c r="B118">
        <f>IF([1]Accounts!$D$119="","",[1]Accounts!$B$119)</f>
        <v/>
      </c>
      <c r="C118">
        <f>IF([1]Accounts!$D$119="","",[1]Accounts!$C$119)</f>
        <v/>
      </c>
      <c r="D118">
        <f>IF([1]Accounts!$D$119="","",[1]Accounts!$D$119)</f>
        <v/>
      </c>
      <c r="E118">
        <f>IF([1]Accounts!$D$119="","",[1]Accounts!$J$119)</f>
        <v/>
      </c>
      <c r="F118">
        <f>IF([1]Accounts!$D$119="","",[1]Accounts!$K$119)</f>
        <v/>
      </c>
      <c r="U118">
        <f>IF([2]Baskol!$B$121="","",[2]Baskol!$B$121)</f>
        <v/>
      </c>
      <c r="V118">
        <f>IF([2]Baskol!$C$121="","",[2]Baskol!$C$121)</f>
        <v/>
      </c>
      <c r="W118">
        <f>IF([2]Baskol!$D$121="","",[2]Baskol!$D$121)</f>
        <v/>
      </c>
      <c r="X118">
        <f>IF([2]Baskol!$E$121="","",[2]Baskol!$E$121)</f>
        <v/>
      </c>
      <c r="Y118">
        <f>IF([2]Baskol!$G$121="","",[2]Baskol!$G$121)</f>
        <v/>
      </c>
      <c r="Z118">
        <f>IF([2]Baskol!$I$121="","",[2]Baskol!$I$121)</f>
        <v/>
      </c>
      <c r="AA118">
        <f>IF([2]Baskol!$J$121="","",[2]Baskol!$J$121)</f>
        <v/>
      </c>
      <c r="AB118">
        <f>IF([2]Baskol!$K$121="","",[2]Baskol!$K$121)</f>
        <v/>
      </c>
      <c r="AC118">
        <f>IF([2]Baskol!$L$121="","",[2]Baskol!$L$121)</f>
        <v/>
      </c>
      <c r="AD118">
        <f>IF([2]Baskol!$N$121="","",[2]Baskol!$N$121)</f>
        <v/>
      </c>
      <c r="AE118">
        <f>IF([2]Baskol!$O$121="","",[2]Baskol!$O$121)</f>
        <v/>
      </c>
      <c r="AG118">
        <f>IF([3]Entry!$C$121="","",[3]Entry!$C$121)</f>
        <v/>
      </c>
      <c r="AH118">
        <f>IF([3]Entry!$D$121="","",[3]Entry!$D$121)</f>
        <v/>
      </c>
      <c r="AI118">
        <f>IF([3]Entry!$E$121="","",[3]Entry!$E$121)</f>
        <v/>
      </c>
      <c r="AJ118">
        <f>IF([3]Entry!$G$121="","",[3]Entry!$G$121)</f>
        <v/>
      </c>
      <c r="AK118">
        <f>IF([3]Entry!$K$121="","",[3]Entry!$K$121)</f>
        <v/>
      </c>
      <c r="AL118">
        <f>IF([3]Entry!$L$121="","",[3]Entry!$L$121)</f>
        <v/>
      </c>
      <c r="AM118">
        <f>IF([3]Entry!$M$121="","",[3]Entry!$M$121)</f>
        <v/>
      </c>
      <c r="AN118">
        <f>IF([3]Entry!$N$121="","",[3]Entry!$N$121)</f>
        <v/>
      </c>
      <c r="AO118">
        <f>IF([3]Entry!$R$121="","",[3]Entry!$R$121)</f>
        <v/>
      </c>
      <c r="AQ118">
        <f>IF(AND($D118&lt;&gt;"",$A118&lt;&gt;""),1,0)</f>
        <v/>
      </c>
      <c r="AR118">
        <f>SUM($AQ$6:$AQ118)</f>
        <v/>
      </c>
      <c r="AS118">
        <f>IFERROR(INDEX($A$6:$A$565,MATCH(ROW()-5,$AR$6:$AR$565,0)),"")</f>
        <v/>
      </c>
    </row>
    <row r="119">
      <c r="A119">
        <f>IF([1]Accounts!$D$120="","",[1]Accounts!$A$120)</f>
        <v/>
      </c>
      <c r="B119">
        <f>IF([1]Accounts!$D$120="","",[1]Accounts!$B$120)</f>
        <v/>
      </c>
      <c r="C119">
        <f>IF([1]Accounts!$D$120="","",[1]Accounts!$C$120)</f>
        <v/>
      </c>
      <c r="D119">
        <f>IF([1]Accounts!$D$120="","",[1]Accounts!$D$120)</f>
        <v/>
      </c>
      <c r="E119">
        <f>IF([1]Accounts!$D$120="","",[1]Accounts!$J$120)</f>
        <v/>
      </c>
      <c r="F119">
        <f>IF([1]Accounts!$D$120="","",[1]Accounts!$K$120)</f>
        <v/>
      </c>
      <c r="U119">
        <f>IF([2]Baskol!$B$122="","",[2]Baskol!$B$122)</f>
        <v/>
      </c>
      <c r="V119">
        <f>IF([2]Baskol!$C$122="","",[2]Baskol!$C$122)</f>
        <v/>
      </c>
      <c r="W119">
        <f>IF([2]Baskol!$D$122="","",[2]Baskol!$D$122)</f>
        <v/>
      </c>
      <c r="X119">
        <f>IF([2]Baskol!$E$122="","",[2]Baskol!$E$122)</f>
        <v/>
      </c>
      <c r="Y119">
        <f>IF([2]Baskol!$G$122="","",[2]Baskol!$G$122)</f>
        <v/>
      </c>
      <c r="Z119">
        <f>IF([2]Baskol!$I$122="","",[2]Baskol!$I$122)</f>
        <v/>
      </c>
      <c r="AA119">
        <f>IF([2]Baskol!$J$122="","",[2]Baskol!$J$122)</f>
        <v/>
      </c>
      <c r="AB119">
        <f>IF([2]Baskol!$K$122="","",[2]Baskol!$K$122)</f>
        <v/>
      </c>
      <c r="AC119">
        <f>IF([2]Baskol!$L$122="","",[2]Baskol!$L$122)</f>
        <v/>
      </c>
      <c r="AD119">
        <f>IF([2]Baskol!$N$122="","",[2]Baskol!$N$122)</f>
        <v/>
      </c>
      <c r="AE119">
        <f>IF([2]Baskol!$O$122="","",[2]Baskol!$O$122)</f>
        <v/>
      </c>
      <c r="AG119">
        <f>IF([3]Entry!$C$122="","",[3]Entry!$C$122)</f>
        <v/>
      </c>
      <c r="AH119">
        <f>IF([3]Entry!$D$122="","",[3]Entry!$D$122)</f>
        <v/>
      </c>
      <c r="AI119">
        <f>IF([3]Entry!$E$122="","",[3]Entry!$E$122)</f>
        <v/>
      </c>
      <c r="AJ119">
        <f>IF([3]Entry!$G$122="","",[3]Entry!$G$122)</f>
        <v/>
      </c>
      <c r="AK119">
        <f>IF([3]Entry!$K$122="","",[3]Entry!$K$122)</f>
        <v/>
      </c>
      <c r="AL119">
        <f>IF([3]Entry!$L$122="","",[3]Entry!$L$122)</f>
        <v/>
      </c>
      <c r="AM119">
        <f>IF([3]Entry!$M$122="","",[3]Entry!$M$122)</f>
        <v/>
      </c>
      <c r="AN119">
        <f>IF([3]Entry!$N$122="","",[3]Entry!$N$122)</f>
        <v/>
      </c>
      <c r="AO119">
        <f>IF([3]Entry!$R$122="","",[3]Entry!$R$122)</f>
        <v/>
      </c>
      <c r="AQ119">
        <f>IF(AND($D119&lt;&gt;"",$A119&lt;&gt;""),1,0)</f>
        <v/>
      </c>
      <c r="AR119">
        <f>SUM($AQ$6:$AQ119)</f>
        <v/>
      </c>
      <c r="AS119">
        <f>IFERROR(INDEX($A$6:$A$565,MATCH(ROW()-5,$AR$6:$AR$565,0)),"")</f>
        <v/>
      </c>
    </row>
    <row r="120">
      <c r="A120">
        <f>IF([1]Accounts!$D$121="","",[1]Accounts!$A$121)</f>
        <v/>
      </c>
      <c r="B120">
        <f>IF([1]Accounts!$D$121="","",[1]Accounts!$B$121)</f>
        <v/>
      </c>
      <c r="C120">
        <f>IF([1]Accounts!$D$121="","",[1]Accounts!$C$121)</f>
        <v/>
      </c>
      <c r="D120">
        <f>IF([1]Accounts!$D$121="","",[1]Accounts!$D$121)</f>
        <v/>
      </c>
      <c r="E120">
        <f>IF([1]Accounts!$D$121="","",[1]Accounts!$J$121)</f>
        <v/>
      </c>
      <c r="F120">
        <f>IF([1]Accounts!$D$121="","",[1]Accounts!$K$121)</f>
        <v/>
      </c>
      <c r="U120">
        <f>IF([2]Baskol!$B$123="","",[2]Baskol!$B$123)</f>
        <v/>
      </c>
      <c r="V120">
        <f>IF([2]Baskol!$C$123="","",[2]Baskol!$C$123)</f>
        <v/>
      </c>
      <c r="W120">
        <f>IF([2]Baskol!$D$123="","",[2]Baskol!$D$123)</f>
        <v/>
      </c>
      <c r="X120">
        <f>IF([2]Baskol!$E$123="","",[2]Baskol!$E$123)</f>
        <v/>
      </c>
      <c r="Y120">
        <f>IF([2]Baskol!$G$123="","",[2]Baskol!$G$123)</f>
        <v/>
      </c>
      <c r="Z120">
        <f>IF([2]Baskol!$I$123="","",[2]Baskol!$I$123)</f>
        <v/>
      </c>
      <c r="AA120">
        <f>IF([2]Baskol!$J$123="","",[2]Baskol!$J$123)</f>
        <v/>
      </c>
      <c r="AB120">
        <f>IF([2]Baskol!$K$123="","",[2]Baskol!$K$123)</f>
        <v/>
      </c>
      <c r="AC120">
        <f>IF([2]Baskol!$L$123="","",[2]Baskol!$L$123)</f>
        <v/>
      </c>
      <c r="AD120">
        <f>IF([2]Baskol!$N$123="","",[2]Baskol!$N$123)</f>
        <v/>
      </c>
      <c r="AE120">
        <f>IF([2]Baskol!$O$123="","",[2]Baskol!$O$123)</f>
        <v/>
      </c>
      <c r="AG120">
        <f>IF([3]Entry!$C$123="","",[3]Entry!$C$123)</f>
        <v/>
      </c>
      <c r="AH120">
        <f>IF([3]Entry!$D$123="","",[3]Entry!$D$123)</f>
        <v/>
      </c>
      <c r="AI120">
        <f>IF([3]Entry!$E$123="","",[3]Entry!$E$123)</f>
        <v/>
      </c>
      <c r="AJ120">
        <f>IF([3]Entry!$G$123="","",[3]Entry!$G$123)</f>
        <v/>
      </c>
      <c r="AK120">
        <f>IF([3]Entry!$K$123="","",[3]Entry!$K$123)</f>
        <v/>
      </c>
      <c r="AL120">
        <f>IF([3]Entry!$L$123="","",[3]Entry!$L$123)</f>
        <v/>
      </c>
      <c r="AM120">
        <f>IF([3]Entry!$M$123="","",[3]Entry!$M$123)</f>
        <v/>
      </c>
      <c r="AN120">
        <f>IF([3]Entry!$N$123="","",[3]Entry!$N$123)</f>
        <v/>
      </c>
      <c r="AO120">
        <f>IF([3]Entry!$R$123="","",[3]Entry!$R$123)</f>
        <v/>
      </c>
      <c r="AQ120">
        <f>IF(AND($D120&lt;&gt;"",$A120&lt;&gt;""),1,0)</f>
        <v/>
      </c>
      <c r="AR120">
        <f>SUM($AQ$6:$AQ120)</f>
        <v/>
      </c>
      <c r="AS120">
        <f>IFERROR(INDEX($A$6:$A$565,MATCH(ROW()-5,$AR$6:$AR$565,0)),"")</f>
        <v/>
      </c>
    </row>
    <row r="121">
      <c r="A121">
        <f>IF([1]Accounts!$D$122="","",[1]Accounts!$A$122)</f>
        <v/>
      </c>
      <c r="B121">
        <f>IF([1]Accounts!$D$122="","",[1]Accounts!$B$122)</f>
        <v/>
      </c>
      <c r="C121">
        <f>IF([1]Accounts!$D$122="","",[1]Accounts!$C$122)</f>
        <v/>
      </c>
      <c r="D121">
        <f>IF([1]Accounts!$D$122="","",[1]Accounts!$D$122)</f>
        <v/>
      </c>
      <c r="E121">
        <f>IF([1]Accounts!$D$122="","",[1]Accounts!$J$122)</f>
        <v/>
      </c>
      <c r="F121">
        <f>IF([1]Accounts!$D$122="","",[1]Accounts!$K$122)</f>
        <v/>
      </c>
      <c r="U121">
        <f>IF([2]Baskol!$B$124="","",[2]Baskol!$B$124)</f>
        <v/>
      </c>
      <c r="V121">
        <f>IF([2]Baskol!$C$124="","",[2]Baskol!$C$124)</f>
        <v/>
      </c>
      <c r="W121">
        <f>IF([2]Baskol!$D$124="","",[2]Baskol!$D$124)</f>
        <v/>
      </c>
      <c r="X121">
        <f>IF([2]Baskol!$E$124="","",[2]Baskol!$E$124)</f>
        <v/>
      </c>
      <c r="Y121">
        <f>IF([2]Baskol!$G$124="","",[2]Baskol!$G$124)</f>
        <v/>
      </c>
      <c r="Z121">
        <f>IF([2]Baskol!$I$124="","",[2]Baskol!$I$124)</f>
        <v/>
      </c>
      <c r="AA121">
        <f>IF([2]Baskol!$J$124="","",[2]Baskol!$J$124)</f>
        <v/>
      </c>
      <c r="AB121">
        <f>IF([2]Baskol!$K$124="","",[2]Baskol!$K$124)</f>
        <v/>
      </c>
      <c r="AC121">
        <f>IF([2]Baskol!$L$124="","",[2]Baskol!$L$124)</f>
        <v/>
      </c>
      <c r="AD121">
        <f>IF([2]Baskol!$N$124="","",[2]Baskol!$N$124)</f>
        <v/>
      </c>
      <c r="AE121">
        <f>IF([2]Baskol!$O$124="","",[2]Baskol!$O$124)</f>
        <v/>
      </c>
      <c r="AG121">
        <f>IF([3]Entry!$C$124="","",[3]Entry!$C$124)</f>
        <v/>
      </c>
      <c r="AH121">
        <f>IF([3]Entry!$D$124="","",[3]Entry!$D$124)</f>
        <v/>
      </c>
      <c r="AI121">
        <f>IF([3]Entry!$E$124="","",[3]Entry!$E$124)</f>
        <v/>
      </c>
      <c r="AJ121">
        <f>IF([3]Entry!$G$124="","",[3]Entry!$G$124)</f>
        <v/>
      </c>
      <c r="AK121">
        <f>IF([3]Entry!$K$124="","",[3]Entry!$K$124)</f>
        <v/>
      </c>
      <c r="AL121">
        <f>IF([3]Entry!$L$124="","",[3]Entry!$L$124)</f>
        <v/>
      </c>
      <c r="AM121">
        <f>IF([3]Entry!$M$124="","",[3]Entry!$M$124)</f>
        <v/>
      </c>
      <c r="AN121">
        <f>IF([3]Entry!$N$124="","",[3]Entry!$N$124)</f>
        <v/>
      </c>
      <c r="AO121">
        <f>IF([3]Entry!$R$124="","",[3]Entry!$R$124)</f>
        <v/>
      </c>
      <c r="AQ121">
        <f>IF(AND($D121&lt;&gt;"",$A121&lt;&gt;""),1,0)</f>
        <v/>
      </c>
      <c r="AR121">
        <f>SUM($AQ$6:$AQ121)</f>
        <v/>
      </c>
      <c r="AS121">
        <f>IFERROR(INDEX($A$6:$A$565,MATCH(ROW()-5,$AR$6:$AR$565,0)),"")</f>
        <v/>
      </c>
    </row>
    <row r="122">
      <c r="A122">
        <f>IF([1]Accounts!$D$123="","",[1]Accounts!$A$123)</f>
        <v/>
      </c>
      <c r="B122">
        <f>IF([1]Accounts!$D$123="","",[1]Accounts!$B$123)</f>
        <v/>
      </c>
      <c r="C122">
        <f>IF([1]Accounts!$D$123="","",[1]Accounts!$C$123)</f>
        <v/>
      </c>
      <c r="D122">
        <f>IF([1]Accounts!$D$123="","",[1]Accounts!$D$123)</f>
        <v/>
      </c>
      <c r="E122">
        <f>IF([1]Accounts!$D$123="","",[1]Accounts!$J$123)</f>
        <v/>
      </c>
      <c r="F122">
        <f>IF([1]Accounts!$D$123="","",[1]Accounts!$K$123)</f>
        <v/>
      </c>
      <c r="U122">
        <f>IF([2]Baskol!$B$125="","",[2]Baskol!$B$125)</f>
        <v/>
      </c>
      <c r="V122">
        <f>IF([2]Baskol!$C$125="","",[2]Baskol!$C$125)</f>
        <v/>
      </c>
      <c r="W122">
        <f>IF([2]Baskol!$D$125="","",[2]Baskol!$D$125)</f>
        <v/>
      </c>
      <c r="X122">
        <f>IF([2]Baskol!$E$125="","",[2]Baskol!$E$125)</f>
        <v/>
      </c>
      <c r="Y122">
        <f>IF([2]Baskol!$G$125="","",[2]Baskol!$G$125)</f>
        <v/>
      </c>
      <c r="Z122">
        <f>IF([2]Baskol!$I$125="","",[2]Baskol!$I$125)</f>
        <v/>
      </c>
      <c r="AA122">
        <f>IF([2]Baskol!$J$125="","",[2]Baskol!$J$125)</f>
        <v/>
      </c>
      <c r="AB122">
        <f>IF([2]Baskol!$K$125="","",[2]Baskol!$K$125)</f>
        <v/>
      </c>
      <c r="AC122">
        <f>IF([2]Baskol!$L$125="","",[2]Baskol!$L$125)</f>
        <v/>
      </c>
      <c r="AD122">
        <f>IF([2]Baskol!$N$125="","",[2]Baskol!$N$125)</f>
        <v/>
      </c>
      <c r="AE122">
        <f>IF([2]Baskol!$O$125="","",[2]Baskol!$O$125)</f>
        <v/>
      </c>
      <c r="AG122">
        <f>IF([3]Entry!$C$125="","",[3]Entry!$C$125)</f>
        <v/>
      </c>
      <c r="AH122">
        <f>IF([3]Entry!$D$125="","",[3]Entry!$D$125)</f>
        <v/>
      </c>
      <c r="AI122">
        <f>IF([3]Entry!$E$125="","",[3]Entry!$E$125)</f>
        <v/>
      </c>
      <c r="AJ122">
        <f>IF([3]Entry!$G$125="","",[3]Entry!$G$125)</f>
        <v/>
      </c>
      <c r="AK122">
        <f>IF([3]Entry!$K$125="","",[3]Entry!$K$125)</f>
        <v/>
      </c>
      <c r="AL122">
        <f>IF([3]Entry!$L$125="","",[3]Entry!$L$125)</f>
        <v/>
      </c>
      <c r="AM122">
        <f>IF([3]Entry!$M$125="","",[3]Entry!$M$125)</f>
        <v/>
      </c>
      <c r="AN122">
        <f>IF([3]Entry!$N$125="","",[3]Entry!$N$125)</f>
        <v/>
      </c>
      <c r="AO122">
        <f>IF([3]Entry!$R$125="","",[3]Entry!$R$125)</f>
        <v/>
      </c>
      <c r="AQ122">
        <f>IF(AND($D122&lt;&gt;"",$A122&lt;&gt;""),1,0)</f>
        <v/>
      </c>
      <c r="AR122">
        <f>SUM($AQ$6:$AQ122)</f>
        <v/>
      </c>
      <c r="AS122">
        <f>IFERROR(INDEX($A$6:$A$565,MATCH(ROW()-5,$AR$6:$AR$565,0)),"")</f>
        <v/>
      </c>
    </row>
    <row r="123">
      <c r="A123">
        <f>IF([1]Accounts!$D$124="","",[1]Accounts!$A$124)</f>
        <v/>
      </c>
      <c r="B123">
        <f>IF([1]Accounts!$D$124="","",[1]Accounts!$B$124)</f>
        <v/>
      </c>
      <c r="C123">
        <f>IF([1]Accounts!$D$124="","",[1]Accounts!$C$124)</f>
        <v/>
      </c>
      <c r="D123">
        <f>IF([1]Accounts!$D$124="","",[1]Accounts!$D$124)</f>
        <v/>
      </c>
      <c r="E123">
        <f>IF([1]Accounts!$D$124="","",[1]Accounts!$J$124)</f>
        <v/>
      </c>
      <c r="F123">
        <f>IF([1]Accounts!$D$124="","",[1]Accounts!$K$124)</f>
        <v/>
      </c>
      <c r="U123">
        <f>IF([2]Baskol!$B$126="","",[2]Baskol!$B$126)</f>
        <v/>
      </c>
      <c r="V123">
        <f>IF([2]Baskol!$C$126="","",[2]Baskol!$C$126)</f>
        <v/>
      </c>
      <c r="W123">
        <f>IF([2]Baskol!$D$126="","",[2]Baskol!$D$126)</f>
        <v/>
      </c>
      <c r="X123">
        <f>IF([2]Baskol!$E$126="","",[2]Baskol!$E$126)</f>
        <v/>
      </c>
      <c r="Y123">
        <f>IF([2]Baskol!$G$126="","",[2]Baskol!$G$126)</f>
        <v/>
      </c>
      <c r="Z123">
        <f>IF([2]Baskol!$I$126="","",[2]Baskol!$I$126)</f>
        <v/>
      </c>
      <c r="AA123">
        <f>IF([2]Baskol!$J$126="","",[2]Baskol!$J$126)</f>
        <v/>
      </c>
      <c r="AB123">
        <f>IF([2]Baskol!$K$126="","",[2]Baskol!$K$126)</f>
        <v/>
      </c>
      <c r="AC123">
        <f>IF([2]Baskol!$L$126="","",[2]Baskol!$L$126)</f>
        <v/>
      </c>
      <c r="AD123">
        <f>IF([2]Baskol!$N$126="","",[2]Baskol!$N$126)</f>
        <v/>
      </c>
      <c r="AE123">
        <f>IF([2]Baskol!$O$126="","",[2]Baskol!$O$126)</f>
        <v/>
      </c>
      <c r="AG123">
        <f>IF([3]Entry!$C$126="","",[3]Entry!$C$126)</f>
        <v/>
      </c>
      <c r="AH123">
        <f>IF([3]Entry!$D$126="","",[3]Entry!$D$126)</f>
        <v/>
      </c>
      <c r="AI123">
        <f>IF([3]Entry!$E$126="","",[3]Entry!$E$126)</f>
        <v/>
      </c>
      <c r="AJ123">
        <f>IF([3]Entry!$G$126="","",[3]Entry!$G$126)</f>
        <v/>
      </c>
      <c r="AK123">
        <f>IF([3]Entry!$K$126="","",[3]Entry!$K$126)</f>
        <v/>
      </c>
      <c r="AL123">
        <f>IF([3]Entry!$L$126="","",[3]Entry!$L$126)</f>
        <v/>
      </c>
      <c r="AM123">
        <f>IF([3]Entry!$M$126="","",[3]Entry!$M$126)</f>
        <v/>
      </c>
      <c r="AN123">
        <f>IF([3]Entry!$N$126="","",[3]Entry!$N$126)</f>
        <v/>
      </c>
      <c r="AO123">
        <f>IF([3]Entry!$R$126="","",[3]Entry!$R$126)</f>
        <v/>
      </c>
      <c r="AQ123">
        <f>IF(AND($D123&lt;&gt;"",$A123&lt;&gt;""),1,0)</f>
        <v/>
      </c>
      <c r="AR123">
        <f>SUM($AQ$6:$AQ123)</f>
        <v/>
      </c>
      <c r="AS123">
        <f>IFERROR(INDEX($A$6:$A$565,MATCH(ROW()-5,$AR$6:$AR$565,0)),"")</f>
        <v/>
      </c>
    </row>
    <row r="124">
      <c r="A124">
        <f>IF([1]Accounts!$D$125="","",[1]Accounts!$A$125)</f>
        <v/>
      </c>
      <c r="B124">
        <f>IF([1]Accounts!$D$125="","",[1]Accounts!$B$125)</f>
        <v/>
      </c>
      <c r="C124">
        <f>IF([1]Accounts!$D$125="","",[1]Accounts!$C$125)</f>
        <v/>
      </c>
      <c r="D124">
        <f>IF([1]Accounts!$D$125="","",[1]Accounts!$D$125)</f>
        <v/>
      </c>
      <c r="E124">
        <f>IF([1]Accounts!$D$125="","",[1]Accounts!$J$125)</f>
        <v/>
      </c>
      <c r="F124">
        <f>IF([1]Accounts!$D$125="","",[1]Accounts!$K$125)</f>
        <v/>
      </c>
      <c r="U124">
        <f>IF([2]Baskol!$B$127="","",[2]Baskol!$B$127)</f>
        <v/>
      </c>
      <c r="V124">
        <f>IF([2]Baskol!$C$127="","",[2]Baskol!$C$127)</f>
        <v/>
      </c>
      <c r="W124">
        <f>IF([2]Baskol!$D$127="","",[2]Baskol!$D$127)</f>
        <v/>
      </c>
      <c r="X124">
        <f>IF([2]Baskol!$E$127="","",[2]Baskol!$E$127)</f>
        <v/>
      </c>
      <c r="Y124">
        <f>IF([2]Baskol!$G$127="","",[2]Baskol!$G$127)</f>
        <v/>
      </c>
      <c r="Z124">
        <f>IF([2]Baskol!$I$127="","",[2]Baskol!$I$127)</f>
        <v/>
      </c>
      <c r="AA124">
        <f>IF([2]Baskol!$J$127="","",[2]Baskol!$J$127)</f>
        <v/>
      </c>
      <c r="AB124">
        <f>IF([2]Baskol!$K$127="","",[2]Baskol!$K$127)</f>
        <v/>
      </c>
      <c r="AC124">
        <f>IF([2]Baskol!$L$127="","",[2]Baskol!$L$127)</f>
        <v/>
      </c>
      <c r="AD124">
        <f>IF([2]Baskol!$N$127="","",[2]Baskol!$N$127)</f>
        <v/>
      </c>
      <c r="AE124">
        <f>IF([2]Baskol!$O$127="","",[2]Baskol!$O$127)</f>
        <v/>
      </c>
      <c r="AG124">
        <f>IF([3]Entry!$C$127="","",[3]Entry!$C$127)</f>
        <v/>
      </c>
      <c r="AH124">
        <f>IF([3]Entry!$D$127="","",[3]Entry!$D$127)</f>
        <v/>
      </c>
      <c r="AI124">
        <f>IF([3]Entry!$E$127="","",[3]Entry!$E$127)</f>
        <v/>
      </c>
      <c r="AJ124">
        <f>IF([3]Entry!$G$127="","",[3]Entry!$G$127)</f>
        <v/>
      </c>
      <c r="AK124">
        <f>IF([3]Entry!$K$127="","",[3]Entry!$K$127)</f>
        <v/>
      </c>
      <c r="AL124">
        <f>IF([3]Entry!$L$127="","",[3]Entry!$L$127)</f>
        <v/>
      </c>
      <c r="AM124">
        <f>IF([3]Entry!$M$127="","",[3]Entry!$M$127)</f>
        <v/>
      </c>
      <c r="AN124">
        <f>IF([3]Entry!$N$127="","",[3]Entry!$N$127)</f>
        <v/>
      </c>
      <c r="AO124">
        <f>IF([3]Entry!$R$127="","",[3]Entry!$R$127)</f>
        <v/>
      </c>
      <c r="AQ124">
        <f>IF(AND($D124&lt;&gt;"",$A124&lt;&gt;""),1,0)</f>
        <v/>
      </c>
      <c r="AR124">
        <f>SUM($AQ$6:$AQ124)</f>
        <v/>
      </c>
      <c r="AS124">
        <f>IFERROR(INDEX($A$6:$A$565,MATCH(ROW()-5,$AR$6:$AR$565,0)),"")</f>
        <v/>
      </c>
    </row>
    <row r="125">
      <c r="A125">
        <f>IF([1]Accounts!$D$126="","",[1]Accounts!$A$126)</f>
        <v/>
      </c>
      <c r="B125">
        <f>IF([1]Accounts!$D$126="","",[1]Accounts!$B$126)</f>
        <v/>
      </c>
      <c r="C125">
        <f>IF([1]Accounts!$D$126="","",[1]Accounts!$C$126)</f>
        <v/>
      </c>
      <c r="D125">
        <f>IF([1]Accounts!$D$126="","",[1]Accounts!$D$126)</f>
        <v/>
      </c>
      <c r="E125">
        <f>IF([1]Accounts!$D$126="","",[1]Accounts!$J$126)</f>
        <v/>
      </c>
      <c r="F125">
        <f>IF([1]Accounts!$D$126="","",[1]Accounts!$K$126)</f>
        <v/>
      </c>
      <c r="U125">
        <f>IF([2]Baskol!$B$128="","",[2]Baskol!$B$128)</f>
        <v/>
      </c>
      <c r="V125">
        <f>IF([2]Baskol!$C$128="","",[2]Baskol!$C$128)</f>
        <v/>
      </c>
      <c r="W125">
        <f>IF([2]Baskol!$D$128="","",[2]Baskol!$D$128)</f>
        <v/>
      </c>
      <c r="X125">
        <f>IF([2]Baskol!$E$128="","",[2]Baskol!$E$128)</f>
        <v/>
      </c>
      <c r="Y125">
        <f>IF([2]Baskol!$G$128="","",[2]Baskol!$G$128)</f>
        <v/>
      </c>
      <c r="Z125">
        <f>IF([2]Baskol!$I$128="","",[2]Baskol!$I$128)</f>
        <v/>
      </c>
      <c r="AA125">
        <f>IF([2]Baskol!$J$128="","",[2]Baskol!$J$128)</f>
        <v/>
      </c>
      <c r="AB125">
        <f>IF([2]Baskol!$K$128="","",[2]Baskol!$K$128)</f>
        <v/>
      </c>
      <c r="AC125">
        <f>IF([2]Baskol!$L$128="","",[2]Baskol!$L$128)</f>
        <v/>
      </c>
      <c r="AD125">
        <f>IF([2]Baskol!$N$128="","",[2]Baskol!$N$128)</f>
        <v/>
      </c>
      <c r="AE125">
        <f>IF([2]Baskol!$O$128="","",[2]Baskol!$O$128)</f>
        <v/>
      </c>
      <c r="AG125">
        <f>IF([3]Entry!$C$128="","",[3]Entry!$C$128)</f>
        <v/>
      </c>
      <c r="AH125">
        <f>IF([3]Entry!$D$128="","",[3]Entry!$D$128)</f>
        <v/>
      </c>
      <c r="AI125">
        <f>IF([3]Entry!$E$128="","",[3]Entry!$E$128)</f>
        <v/>
      </c>
      <c r="AJ125">
        <f>IF([3]Entry!$G$128="","",[3]Entry!$G$128)</f>
        <v/>
      </c>
      <c r="AK125">
        <f>IF([3]Entry!$K$128="","",[3]Entry!$K$128)</f>
        <v/>
      </c>
      <c r="AL125">
        <f>IF([3]Entry!$L$128="","",[3]Entry!$L$128)</f>
        <v/>
      </c>
      <c r="AM125">
        <f>IF([3]Entry!$M$128="","",[3]Entry!$M$128)</f>
        <v/>
      </c>
      <c r="AN125">
        <f>IF([3]Entry!$N$128="","",[3]Entry!$N$128)</f>
        <v/>
      </c>
      <c r="AO125">
        <f>IF([3]Entry!$R$128="","",[3]Entry!$R$128)</f>
        <v/>
      </c>
      <c r="AQ125">
        <f>IF(AND($D125&lt;&gt;"",$A125&lt;&gt;""),1,0)</f>
        <v/>
      </c>
      <c r="AR125">
        <f>SUM($AQ$6:$AQ125)</f>
        <v/>
      </c>
      <c r="AS125">
        <f>IFERROR(INDEX($A$6:$A$565,MATCH(ROW()-5,$AR$6:$AR$565,0)),"")</f>
        <v/>
      </c>
    </row>
    <row r="126">
      <c r="A126">
        <f>IF([1]Accounts!$D$127="","",[1]Accounts!$A$127)</f>
        <v/>
      </c>
      <c r="B126">
        <f>IF([1]Accounts!$D$127="","",[1]Accounts!$B$127)</f>
        <v/>
      </c>
      <c r="C126">
        <f>IF([1]Accounts!$D$127="","",[1]Accounts!$C$127)</f>
        <v/>
      </c>
      <c r="D126">
        <f>IF([1]Accounts!$D$127="","",[1]Accounts!$D$127)</f>
        <v/>
      </c>
      <c r="E126">
        <f>IF([1]Accounts!$D$127="","",[1]Accounts!$J$127)</f>
        <v/>
      </c>
      <c r="F126">
        <f>IF([1]Accounts!$D$127="","",[1]Accounts!$K$127)</f>
        <v/>
      </c>
      <c r="U126">
        <f>IF([2]Baskol!$B$129="","",[2]Baskol!$B$129)</f>
        <v/>
      </c>
      <c r="V126">
        <f>IF([2]Baskol!$C$129="","",[2]Baskol!$C$129)</f>
        <v/>
      </c>
      <c r="W126">
        <f>IF([2]Baskol!$D$129="","",[2]Baskol!$D$129)</f>
        <v/>
      </c>
      <c r="X126">
        <f>IF([2]Baskol!$E$129="","",[2]Baskol!$E$129)</f>
        <v/>
      </c>
      <c r="Y126">
        <f>IF([2]Baskol!$G$129="","",[2]Baskol!$G$129)</f>
        <v/>
      </c>
      <c r="Z126">
        <f>IF([2]Baskol!$I$129="","",[2]Baskol!$I$129)</f>
        <v/>
      </c>
      <c r="AA126">
        <f>IF([2]Baskol!$J$129="","",[2]Baskol!$J$129)</f>
        <v/>
      </c>
      <c r="AB126">
        <f>IF([2]Baskol!$K$129="","",[2]Baskol!$K$129)</f>
        <v/>
      </c>
      <c r="AC126">
        <f>IF([2]Baskol!$L$129="","",[2]Baskol!$L$129)</f>
        <v/>
      </c>
      <c r="AD126">
        <f>IF([2]Baskol!$N$129="","",[2]Baskol!$N$129)</f>
        <v/>
      </c>
      <c r="AE126">
        <f>IF([2]Baskol!$O$129="","",[2]Baskol!$O$129)</f>
        <v/>
      </c>
      <c r="AG126">
        <f>IF([3]Entry!$C$129="","",[3]Entry!$C$129)</f>
        <v/>
      </c>
      <c r="AH126">
        <f>IF([3]Entry!$D$129="","",[3]Entry!$D$129)</f>
        <v/>
      </c>
      <c r="AI126">
        <f>IF([3]Entry!$E$129="","",[3]Entry!$E$129)</f>
        <v/>
      </c>
      <c r="AJ126">
        <f>IF([3]Entry!$G$129="","",[3]Entry!$G$129)</f>
        <v/>
      </c>
      <c r="AK126">
        <f>IF([3]Entry!$K$129="","",[3]Entry!$K$129)</f>
        <v/>
      </c>
      <c r="AL126">
        <f>IF([3]Entry!$L$129="","",[3]Entry!$L$129)</f>
        <v/>
      </c>
      <c r="AM126">
        <f>IF([3]Entry!$M$129="","",[3]Entry!$M$129)</f>
        <v/>
      </c>
      <c r="AN126">
        <f>IF([3]Entry!$N$129="","",[3]Entry!$N$129)</f>
        <v/>
      </c>
      <c r="AO126">
        <f>IF([3]Entry!$R$129="","",[3]Entry!$R$129)</f>
        <v/>
      </c>
      <c r="AQ126">
        <f>IF(AND($D126&lt;&gt;"",$A126&lt;&gt;""),1,0)</f>
        <v/>
      </c>
      <c r="AR126">
        <f>SUM($AQ$6:$AQ126)</f>
        <v/>
      </c>
      <c r="AS126">
        <f>IFERROR(INDEX($A$6:$A$565,MATCH(ROW()-5,$AR$6:$AR$565,0)),"")</f>
        <v/>
      </c>
    </row>
    <row r="127">
      <c r="A127">
        <f>IF([1]Accounts!$D$128="","",[1]Accounts!$A$128)</f>
        <v/>
      </c>
      <c r="B127">
        <f>IF([1]Accounts!$D$128="","",[1]Accounts!$B$128)</f>
        <v/>
      </c>
      <c r="C127">
        <f>IF([1]Accounts!$D$128="","",[1]Accounts!$C$128)</f>
        <v/>
      </c>
      <c r="D127">
        <f>IF([1]Accounts!$D$128="","",[1]Accounts!$D$128)</f>
        <v/>
      </c>
      <c r="E127">
        <f>IF([1]Accounts!$D$128="","",[1]Accounts!$J$128)</f>
        <v/>
      </c>
      <c r="F127">
        <f>IF([1]Accounts!$D$128="","",[1]Accounts!$K$128)</f>
        <v/>
      </c>
      <c r="U127">
        <f>IF([2]Baskol!$B$130="","",[2]Baskol!$B$130)</f>
        <v/>
      </c>
      <c r="V127">
        <f>IF([2]Baskol!$C$130="","",[2]Baskol!$C$130)</f>
        <v/>
      </c>
      <c r="W127">
        <f>IF([2]Baskol!$D$130="","",[2]Baskol!$D$130)</f>
        <v/>
      </c>
      <c r="X127">
        <f>IF([2]Baskol!$E$130="","",[2]Baskol!$E$130)</f>
        <v/>
      </c>
      <c r="Y127">
        <f>IF([2]Baskol!$G$130="","",[2]Baskol!$G$130)</f>
        <v/>
      </c>
      <c r="Z127">
        <f>IF([2]Baskol!$I$130="","",[2]Baskol!$I$130)</f>
        <v/>
      </c>
      <c r="AA127">
        <f>IF([2]Baskol!$J$130="","",[2]Baskol!$J$130)</f>
        <v/>
      </c>
      <c r="AB127">
        <f>IF([2]Baskol!$K$130="","",[2]Baskol!$K$130)</f>
        <v/>
      </c>
      <c r="AC127">
        <f>IF([2]Baskol!$L$130="","",[2]Baskol!$L$130)</f>
        <v/>
      </c>
      <c r="AD127">
        <f>IF([2]Baskol!$N$130="","",[2]Baskol!$N$130)</f>
        <v/>
      </c>
      <c r="AE127">
        <f>IF([2]Baskol!$O$130="","",[2]Baskol!$O$130)</f>
        <v/>
      </c>
      <c r="AG127">
        <f>IF([3]Entry!$C$130="","",[3]Entry!$C$130)</f>
        <v/>
      </c>
      <c r="AH127">
        <f>IF([3]Entry!$D$130="","",[3]Entry!$D$130)</f>
        <v/>
      </c>
      <c r="AI127">
        <f>IF([3]Entry!$E$130="","",[3]Entry!$E$130)</f>
        <v/>
      </c>
      <c r="AJ127">
        <f>IF([3]Entry!$G$130="","",[3]Entry!$G$130)</f>
        <v/>
      </c>
      <c r="AK127">
        <f>IF([3]Entry!$K$130="","",[3]Entry!$K$130)</f>
        <v/>
      </c>
      <c r="AL127">
        <f>IF([3]Entry!$L$130="","",[3]Entry!$L$130)</f>
        <v/>
      </c>
      <c r="AM127">
        <f>IF([3]Entry!$M$130="","",[3]Entry!$M$130)</f>
        <v/>
      </c>
      <c r="AN127">
        <f>IF([3]Entry!$N$130="","",[3]Entry!$N$130)</f>
        <v/>
      </c>
      <c r="AO127">
        <f>IF([3]Entry!$R$130="","",[3]Entry!$R$130)</f>
        <v/>
      </c>
      <c r="AQ127">
        <f>IF(AND($D127&lt;&gt;"",$A127&lt;&gt;""),1,0)</f>
        <v/>
      </c>
      <c r="AR127">
        <f>SUM($AQ$6:$AQ127)</f>
        <v/>
      </c>
      <c r="AS127">
        <f>IFERROR(INDEX($A$6:$A$565,MATCH(ROW()-5,$AR$6:$AR$565,0)),"")</f>
        <v/>
      </c>
    </row>
    <row r="128">
      <c r="A128">
        <f>IF([1]Accounts!$D$129="","",[1]Accounts!$A$129)</f>
        <v/>
      </c>
      <c r="B128">
        <f>IF([1]Accounts!$D$129="","",[1]Accounts!$B$129)</f>
        <v/>
      </c>
      <c r="C128">
        <f>IF([1]Accounts!$D$129="","",[1]Accounts!$C$129)</f>
        <v/>
      </c>
      <c r="D128">
        <f>IF([1]Accounts!$D$129="","",[1]Accounts!$D$129)</f>
        <v/>
      </c>
      <c r="E128">
        <f>IF([1]Accounts!$D$129="","",[1]Accounts!$J$129)</f>
        <v/>
      </c>
      <c r="F128">
        <f>IF([1]Accounts!$D$129="","",[1]Accounts!$K$129)</f>
        <v/>
      </c>
      <c r="U128">
        <f>IF([2]Baskol!$B$131="","",[2]Baskol!$B$131)</f>
        <v/>
      </c>
      <c r="V128">
        <f>IF([2]Baskol!$C$131="","",[2]Baskol!$C$131)</f>
        <v/>
      </c>
      <c r="W128">
        <f>IF([2]Baskol!$D$131="","",[2]Baskol!$D$131)</f>
        <v/>
      </c>
      <c r="X128">
        <f>IF([2]Baskol!$E$131="","",[2]Baskol!$E$131)</f>
        <v/>
      </c>
      <c r="Y128">
        <f>IF([2]Baskol!$G$131="","",[2]Baskol!$G$131)</f>
        <v/>
      </c>
      <c r="Z128">
        <f>IF([2]Baskol!$I$131="","",[2]Baskol!$I$131)</f>
        <v/>
      </c>
      <c r="AA128">
        <f>IF([2]Baskol!$J$131="","",[2]Baskol!$J$131)</f>
        <v/>
      </c>
      <c r="AB128">
        <f>IF([2]Baskol!$K$131="","",[2]Baskol!$K$131)</f>
        <v/>
      </c>
      <c r="AC128">
        <f>IF([2]Baskol!$L$131="","",[2]Baskol!$L$131)</f>
        <v/>
      </c>
      <c r="AD128">
        <f>IF([2]Baskol!$N$131="","",[2]Baskol!$N$131)</f>
        <v/>
      </c>
      <c r="AE128">
        <f>IF([2]Baskol!$O$131="","",[2]Baskol!$O$131)</f>
        <v/>
      </c>
      <c r="AG128">
        <f>IF([3]Entry!$C$131="","",[3]Entry!$C$131)</f>
        <v/>
      </c>
      <c r="AH128">
        <f>IF([3]Entry!$D$131="","",[3]Entry!$D$131)</f>
        <v/>
      </c>
      <c r="AI128">
        <f>IF([3]Entry!$E$131="","",[3]Entry!$E$131)</f>
        <v/>
      </c>
      <c r="AJ128">
        <f>IF([3]Entry!$G$131="","",[3]Entry!$G$131)</f>
        <v/>
      </c>
      <c r="AK128">
        <f>IF([3]Entry!$K$131="","",[3]Entry!$K$131)</f>
        <v/>
      </c>
      <c r="AL128">
        <f>IF([3]Entry!$L$131="","",[3]Entry!$L$131)</f>
        <v/>
      </c>
      <c r="AM128">
        <f>IF([3]Entry!$M$131="","",[3]Entry!$M$131)</f>
        <v/>
      </c>
      <c r="AN128">
        <f>IF([3]Entry!$N$131="","",[3]Entry!$N$131)</f>
        <v/>
      </c>
      <c r="AO128">
        <f>IF([3]Entry!$R$131="","",[3]Entry!$R$131)</f>
        <v/>
      </c>
      <c r="AQ128">
        <f>IF(AND($D128&lt;&gt;"",$A128&lt;&gt;""),1,0)</f>
        <v/>
      </c>
      <c r="AR128">
        <f>SUM($AQ$6:$AQ128)</f>
        <v/>
      </c>
      <c r="AS128">
        <f>IFERROR(INDEX($A$6:$A$565,MATCH(ROW()-5,$AR$6:$AR$565,0)),"")</f>
        <v/>
      </c>
    </row>
    <row r="129">
      <c r="A129">
        <f>IF([1]Accounts!$D$130="","",[1]Accounts!$A$130)</f>
        <v/>
      </c>
      <c r="B129">
        <f>IF([1]Accounts!$D$130="","",[1]Accounts!$B$130)</f>
        <v/>
      </c>
      <c r="C129">
        <f>IF([1]Accounts!$D$130="","",[1]Accounts!$C$130)</f>
        <v/>
      </c>
      <c r="D129">
        <f>IF([1]Accounts!$D$130="","",[1]Accounts!$D$130)</f>
        <v/>
      </c>
      <c r="E129">
        <f>IF([1]Accounts!$D$130="","",[1]Accounts!$J$130)</f>
        <v/>
      </c>
      <c r="F129">
        <f>IF([1]Accounts!$D$130="","",[1]Accounts!$K$130)</f>
        <v/>
      </c>
      <c r="U129">
        <f>IF([2]Baskol!$B$132="","",[2]Baskol!$B$132)</f>
        <v/>
      </c>
      <c r="V129">
        <f>IF([2]Baskol!$C$132="","",[2]Baskol!$C$132)</f>
        <v/>
      </c>
      <c r="W129">
        <f>IF([2]Baskol!$D$132="","",[2]Baskol!$D$132)</f>
        <v/>
      </c>
      <c r="X129">
        <f>IF([2]Baskol!$E$132="","",[2]Baskol!$E$132)</f>
        <v/>
      </c>
      <c r="Y129">
        <f>IF([2]Baskol!$G$132="","",[2]Baskol!$G$132)</f>
        <v/>
      </c>
      <c r="Z129">
        <f>IF([2]Baskol!$I$132="","",[2]Baskol!$I$132)</f>
        <v/>
      </c>
      <c r="AA129">
        <f>IF([2]Baskol!$J$132="","",[2]Baskol!$J$132)</f>
        <v/>
      </c>
      <c r="AB129">
        <f>IF([2]Baskol!$K$132="","",[2]Baskol!$K$132)</f>
        <v/>
      </c>
      <c r="AC129">
        <f>IF([2]Baskol!$L$132="","",[2]Baskol!$L$132)</f>
        <v/>
      </c>
      <c r="AD129">
        <f>IF([2]Baskol!$N$132="","",[2]Baskol!$N$132)</f>
        <v/>
      </c>
      <c r="AE129">
        <f>IF([2]Baskol!$O$132="","",[2]Baskol!$O$132)</f>
        <v/>
      </c>
      <c r="AG129">
        <f>IF([3]Entry!$C$132="","",[3]Entry!$C$132)</f>
        <v/>
      </c>
      <c r="AH129">
        <f>IF([3]Entry!$D$132="","",[3]Entry!$D$132)</f>
        <v/>
      </c>
      <c r="AI129">
        <f>IF([3]Entry!$E$132="","",[3]Entry!$E$132)</f>
        <v/>
      </c>
      <c r="AJ129">
        <f>IF([3]Entry!$G$132="","",[3]Entry!$G$132)</f>
        <v/>
      </c>
      <c r="AK129">
        <f>IF([3]Entry!$K$132="","",[3]Entry!$K$132)</f>
        <v/>
      </c>
      <c r="AL129">
        <f>IF([3]Entry!$L$132="","",[3]Entry!$L$132)</f>
        <v/>
      </c>
      <c r="AM129">
        <f>IF([3]Entry!$M$132="","",[3]Entry!$M$132)</f>
        <v/>
      </c>
      <c r="AN129">
        <f>IF([3]Entry!$N$132="","",[3]Entry!$N$132)</f>
        <v/>
      </c>
      <c r="AO129">
        <f>IF([3]Entry!$R$132="","",[3]Entry!$R$132)</f>
        <v/>
      </c>
      <c r="AQ129">
        <f>IF(AND($D129&lt;&gt;"",$A129&lt;&gt;""),1,0)</f>
        <v/>
      </c>
      <c r="AR129">
        <f>SUM($AQ$6:$AQ129)</f>
        <v/>
      </c>
      <c r="AS129">
        <f>IFERROR(INDEX($A$6:$A$565,MATCH(ROW()-5,$AR$6:$AR$565,0)),"")</f>
        <v/>
      </c>
    </row>
    <row r="130">
      <c r="A130">
        <f>IF([1]Accounts!$D$131="","",[1]Accounts!$A$131)</f>
        <v/>
      </c>
      <c r="B130">
        <f>IF([1]Accounts!$D$131="","",[1]Accounts!$B$131)</f>
        <v/>
      </c>
      <c r="C130">
        <f>IF([1]Accounts!$D$131="","",[1]Accounts!$C$131)</f>
        <v/>
      </c>
      <c r="D130">
        <f>IF([1]Accounts!$D$131="","",[1]Accounts!$D$131)</f>
        <v/>
      </c>
      <c r="E130">
        <f>IF([1]Accounts!$D$131="","",[1]Accounts!$J$131)</f>
        <v/>
      </c>
      <c r="F130">
        <f>IF([1]Accounts!$D$131="","",[1]Accounts!$K$131)</f>
        <v/>
      </c>
      <c r="U130">
        <f>IF([2]Baskol!$B$133="","",[2]Baskol!$B$133)</f>
        <v/>
      </c>
      <c r="V130">
        <f>IF([2]Baskol!$C$133="","",[2]Baskol!$C$133)</f>
        <v/>
      </c>
      <c r="W130">
        <f>IF([2]Baskol!$D$133="","",[2]Baskol!$D$133)</f>
        <v/>
      </c>
      <c r="X130">
        <f>IF([2]Baskol!$E$133="","",[2]Baskol!$E$133)</f>
        <v/>
      </c>
      <c r="Y130">
        <f>IF([2]Baskol!$G$133="","",[2]Baskol!$G$133)</f>
        <v/>
      </c>
      <c r="Z130">
        <f>IF([2]Baskol!$I$133="","",[2]Baskol!$I$133)</f>
        <v/>
      </c>
      <c r="AA130">
        <f>IF([2]Baskol!$J$133="","",[2]Baskol!$J$133)</f>
        <v/>
      </c>
      <c r="AB130">
        <f>IF([2]Baskol!$K$133="","",[2]Baskol!$K$133)</f>
        <v/>
      </c>
      <c r="AC130">
        <f>IF([2]Baskol!$L$133="","",[2]Baskol!$L$133)</f>
        <v/>
      </c>
      <c r="AD130">
        <f>IF([2]Baskol!$N$133="","",[2]Baskol!$N$133)</f>
        <v/>
      </c>
      <c r="AE130">
        <f>IF([2]Baskol!$O$133="","",[2]Baskol!$O$133)</f>
        <v/>
      </c>
      <c r="AG130">
        <f>IF([3]Entry!$C$133="","",[3]Entry!$C$133)</f>
        <v/>
      </c>
      <c r="AH130">
        <f>IF([3]Entry!$D$133="","",[3]Entry!$D$133)</f>
        <v/>
      </c>
      <c r="AI130">
        <f>IF([3]Entry!$E$133="","",[3]Entry!$E$133)</f>
        <v/>
      </c>
      <c r="AJ130">
        <f>IF([3]Entry!$G$133="","",[3]Entry!$G$133)</f>
        <v/>
      </c>
      <c r="AK130">
        <f>IF([3]Entry!$K$133="","",[3]Entry!$K$133)</f>
        <v/>
      </c>
      <c r="AL130">
        <f>IF([3]Entry!$L$133="","",[3]Entry!$L$133)</f>
        <v/>
      </c>
      <c r="AM130">
        <f>IF([3]Entry!$M$133="","",[3]Entry!$M$133)</f>
        <v/>
      </c>
      <c r="AN130">
        <f>IF([3]Entry!$N$133="","",[3]Entry!$N$133)</f>
        <v/>
      </c>
      <c r="AO130">
        <f>IF([3]Entry!$R$133="","",[3]Entry!$R$133)</f>
        <v/>
      </c>
      <c r="AQ130">
        <f>IF(AND($D130&lt;&gt;"",$A130&lt;&gt;""),1,0)</f>
        <v/>
      </c>
      <c r="AR130">
        <f>SUM($AQ$6:$AQ130)</f>
        <v/>
      </c>
      <c r="AS130">
        <f>IFERROR(INDEX($A$6:$A$565,MATCH(ROW()-5,$AR$6:$AR$565,0)),"")</f>
        <v/>
      </c>
    </row>
    <row r="131">
      <c r="A131">
        <f>IF([1]Accounts!$D$132="","",[1]Accounts!$A$132)</f>
        <v/>
      </c>
      <c r="B131">
        <f>IF([1]Accounts!$D$132="","",[1]Accounts!$B$132)</f>
        <v/>
      </c>
      <c r="C131">
        <f>IF([1]Accounts!$D$132="","",[1]Accounts!$C$132)</f>
        <v/>
      </c>
      <c r="D131">
        <f>IF([1]Accounts!$D$132="","",[1]Accounts!$D$132)</f>
        <v/>
      </c>
      <c r="E131">
        <f>IF([1]Accounts!$D$132="","",[1]Accounts!$J$132)</f>
        <v/>
      </c>
      <c r="F131">
        <f>IF([1]Accounts!$D$132="","",[1]Accounts!$K$132)</f>
        <v/>
      </c>
      <c r="U131">
        <f>IF([2]Baskol!$B$134="","",[2]Baskol!$B$134)</f>
        <v/>
      </c>
      <c r="V131">
        <f>IF([2]Baskol!$C$134="","",[2]Baskol!$C$134)</f>
        <v/>
      </c>
      <c r="W131">
        <f>IF([2]Baskol!$D$134="","",[2]Baskol!$D$134)</f>
        <v/>
      </c>
      <c r="X131">
        <f>IF([2]Baskol!$E$134="","",[2]Baskol!$E$134)</f>
        <v/>
      </c>
      <c r="Y131">
        <f>IF([2]Baskol!$G$134="","",[2]Baskol!$G$134)</f>
        <v/>
      </c>
      <c r="Z131">
        <f>IF([2]Baskol!$I$134="","",[2]Baskol!$I$134)</f>
        <v/>
      </c>
      <c r="AA131">
        <f>IF([2]Baskol!$J$134="","",[2]Baskol!$J$134)</f>
        <v/>
      </c>
      <c r="AB131">
        <f>IF([2]Baskol!$K$134="","",[2]Baskol!$K$134)</f>
        <v/>
      </c>
      <c r="AC131">
        <f>IF([2]Baskol!$L$134="","",[2]Baskol!$L$134)</f>
        <v/>
      </c>
      <c r="AD131">
        <f>IF([2]Baskol!$N$134="","",[2]Baskol!$N$134)</f>
        <v/>
      </c>
      <c r="AE131">
        <f>IF([2]Baskol!$O$134="","",[2]Baskol!$O$134)</f>
        <v/>
      </c>
      <c r="AG131">
        <f>IF([3]Entry!$C$134="","",[3]Entry!$C$134)</f>
        <v/>
      </c>
      <c r="AH131">
        <f>IF([3]Entry!$D$134="","",[3]Entry!$D$134)</f>
        <v/>
      </c>
      <c r="AI131">
        <f>IF([3]Entry!$E$134="","",[3]Entry!$E$134)</f>
        <v/>
      </c>
      <c r="AJ131">
        <f>IF([3]Entry!$G$134="","",[3]Entry!$G$134)</f>
        <v/>
      </c>
      <c r="AK131">
        <f>IF([3]Entry!$K$134="","",[3]Entry!$K$134)</f>
        <v/>
      </c>
      <c r="AL131">
        <f>IF([3]Entry!$L$134="","",[3]Entry!$L$134)</f>
        <v/>
      </c>
      <c r="AM131">
        <f>IF([3]Entry!$M$134="","",[3]Entry!$M$134)</f>
        <v/>
      </c>
      <c r="AN131">
        <f>IF([3]Entry!$N$134="","",[3]Entry!$N$134)</f>
        <v/>
      </c>
      <c r="AO131">
        <f>IF([3]Entry!$R$134="","",[3]Entry!$R$134)</f>
        <v/>
      </c>
      <c r="AQ131">
        <f>IF(AND($D131&lt;&gt;"",$A131&lt;&gt;""),1,0)</f>
        <v/>
      </c>
      <c r="AR131">
        <f>SUM($AQ$6:$AQ131)</f>
        <v/>
      </c>
      <c r="AS131">
        <f>IFERROR(INDEX($A$6:$A$565,MATCH(ROW()-5,$AR$6:$AR$565,0)),"")</f>
        <v/>
      </c>
    </row>
    <row r="132">
      <c r="A132">
        <f>IF([1]Accounts!$D$133="","",[1]Accounts!$A$133)</f>
        <v/>
      </c>
      <c r="B132">
        <f>IF([1]Accounts!$D$133="","",[1]Accounts!$B$133)</f>
        <v/>
      </c>
      <c r="C132">
        <f>IF([1]Accounts!$D$133="","",[1]Accounts!$C$133)</f>
        <v/>
      </c>
      <c r="D132">
        <f>IF([1]Accounts!$D$133="","",[1]Accounts!$D$133)</f>
        <v/>
      </c>
      <c r="E132">
        <f>IF([1]Accounts!$D$133="","",[1]Accounts!$J$133)</f>
        <v/>
      </c>
      <c r="F132">
        <f>IF([1]Accounts!$D$133="","",[1]Accounts!$K$133)</f>
        <v/>
      </c>
      <c r="U132">
        <f>IF([2]Baskol!$B$135="","",[2]Baskol!$B$135)</f>
        <v/>
      </c>
      <c r="V132">
        <f>IF([2]Baskol!$C$135="","",[2]Baskol!$C$135)</f>
        <v/>
      </c>
      <c r="W132">
        <f>IF([2]Baskol!$D$135="","",[2]Baskol!$D$135)</f>
        <v/>
      </c>
      <c r="X132">
        <f>IF([2]Baskol!$E$135="","",[2]Baskol!$E$135)</f>
        <v/>
      </c>
      <c r="Y132">
        <f>IF([2]Baskol!$G$135="","",[2]Baskol!$G$135)</f>
        <v/>
      </c>
      <c r="Z132">
        <f>IF([2]Baskol!$I$135="","",[2]Baskol!$I$135)</f>
        <v/>
      </c>
      <c r="AA132">
        <f>IF([2]Baskol!$J$135="","",[2]Baskol!$J$135)</f>
        <v/>
      </c>
      <c r="AB132">
        <f>IF([2]Baskol!$K$135="","",[2]Baskol!$K$135)</f>
        <v/>
      </c>
      <c r="AC132">
        <f>IF([2]Baskol!$L$135="","",[2]Baskol!$L$135)</f>
        <v/>
      </c>
      <c r="AD132">
        <f>IF([2]Baskol!$N$135="","",[2]Baskol!$N$135)</f>
        <v/>
      </c>
      <c r="AE132">
        <f>IF([2]Baskol!$O$135="","",[2]Baskol!$O$135)</f>
        <v/>
      </c>
      <c r="AG132">
        <f>IF([3]Entry!$C$135="","",[3]Entry!$C$135)</f>
        <v/>
      </c>
      <c r="AH132">
        <f>IF([3]Entry!$D$135="","",[3]Entry!$D$135)</f>
        <v/>
      </c>
      <c r="AI132">
        <f>IF([3]Entry!$E$135="","",[3]Entry!$E$135)</f>
        <v/>
      </c>
      <c r="AJ132">
        <f>IF([3]Entry!$G$135="","",[3]Entry!$G$135)</f>
        <v/>
      </c>
      <c r="AK132">
        <f>IF([3]Entry!$K$135="","",[3]Entry!$K$135)</f>
        <v/>
      </c>
      <c r="AL132">
        <f>IF([3]Entry!$L$135="","",[3]Entry!$L$135)</f>
        <v/>
      </c>
      <c r="AM132">
        <f>IF([3]Entry!$M$135="","",[3]Entry!$M$135)</f>
        <v/>
      </c>
      <c r="AN132">
        <f>IF([3]Entry!$N$135="","",[3]Entry!$N$135)</f>
        <v/>
      </c>
      <c r="AO132">
        <f>IF([3]Entry!$R$135="","",[3]Entry!$R$135)</f>
        <v/>
      </c>
      <c r="AQ132">
        <f>IF(AND($D132&lt;&gt;"",$A132&lt;&gt;""),1,0)</f>
        <v/>
      </c>
      <c r="AR132">
        <f>SUM($AQ$6:$AQ132)</f>
        <v/>
      </c>
      <c r="AS132">
        <f>IFERROR(INDEX($A$6:$A$565,MATCH(ROW()-5,$AR$6:$AR$565,0)),"")</f>
        <v/>
      </c>
    </row>
    <row r="133">
      <c r="A133">
        <f>IF([1]Accounts!$D$134="","",[1]Accounts!$A$134)</f>
        <v/>
      </c>
      <c r="B133">
        <f>IF([1]Accounts!$D$134="","",[1]Accounts!$B$134)</f>
        <v/>
      </c>
      <c r="C133">
        <f>IF([1]Accounts!$D$134="","",[1]Accounts!$C$134)</f>
        <v/>
      </c>
      <c r="D133">
        <f>IF([1]Accounts!$D$134="","",[1]Accounts!$D$134)</f>
        <v/>
      </c>
      <c r="E133">
        <f>IF([1]Accounts!$D$134="","",[1]Accounts!$J$134)</f>
        <v/>
      </c>
      <c r="F133">
        <f>IF([1]Accounts!$D$134="","",[1]Accounts!$K$134)</f>
        <v/>
      </c>
      <c r="U133">
        <f>IF([2]Baskol!$B$136="","",[2]Baskol!$B$136)</f>
        <v/>
      </c>
      <c r="V133">
        <f>IF([2]Baskol!$C$136="","",[2]Baskol!$C$136)</f>
        <v/>
      </c>
      <c r="W133">
        <f>IF([2]Baskol!$D$136="","",[2]Baskol!$D$136)</f>
        <v/>
      </c>
      <c r="X133">
        <f>IF([2]Baskol!$E$136="","",[2]Baskol!$E$136)</f>
        <v/>
      </c>
      <c r="Y133">
        <f>IF([2]Baskol!$G$136="","",[2]Baskol!$G$136)</f>
        <v/>
      </c>
      <c r="Z133">
        <f>IF([2]Baskol!$I$136="","",[2]Baskol!$I$136)</f>
        <v/>
      </c>
      <c r="AA133">
        <f>IF([2]Baskol!$J$136="","",[2]Baskol!$J$136)</f>
        <v/>
      </c>
      <c r="AB133">
        <f>IF([2]Baskol!$K$136="","",[2]Baskol!$K$136)</f>
        <v/>
      </c>
      <c r="AC133">
        <f>IF([2]Baskol!$L$136="","",[2]Baskol!$L$136)</f>
        <v/>
      </c>
      <c r="AD133">
        <f>IF([2]Baskol!$N$136="","",[2]Baskol!$N$136)</f>
        <v/>
      </c>
      <c r="AE133">
        <f>IF([2]Baskol!$O$136="","",[2]Baskol!$O$136)</f>
        <v/>
      </c>
      <c r="AG133">
        <f>IF([3]Entry!$C$136="","",[3]Entry!$C$136)</f>
        <v/>
      </c>
      <c r="AH133">
        <f>IF([3]Entry!$D$136="","",[3]Entry!$D$136)</f>
        <v/>
      </c>
      <c r="AI133">
        <f>IF([3]Entry!$E$136="","",[3]Entry!$E$136)</f>
        <v/>
      </c>
      <c r="AJ133">
        <f>IF([3]Entry!$G$136="","",[3]Entry!$G$136)</f>
        <v/>
      </c>
      <c r="AK133">
        <f>IF([3]Entry!$K$136="","",[3]Entry!$K$136)</f>
        <v/>
      </c>
      <c r="AL133">
        <f>IF([3]Entry!$L$136="","",[3]Entry!$L$136)</f>
        <v/>
      </c>
      <c r="AM133">
        <f>IF([3]Entry!$M$136="","",[3]Entry!$M$136)</f>
        <v/>
      </c>
      <c r="AN133">
        <f>IF([3]Entry!$N$136="","",[3]Entry!$N$136)</f>
        <v/>
      </c>
      <c r="AO133">
        <f>IF([3]Entry!$R$136="","",[3]Entry!$R$136)</f>
        <v/>
      </c>
      <c r="AQ133">
        <f>IF(AND($D133&lt;&gt;"",$A133&lt;&gt;""),1,0)</f>
        <v/>
      </c>
      <c r="AR133">
        <f>SUM($AQ$6:$AQ133)</f>
        <v/>
      </c>
      <c r="AS133">
        <f>IFERROR(INDEX($A$6:$A$565,MATCH(ROW()-5,$AR$6:$AR$565,0)),"")</f>
        <v/>
      </c>
    </row>
    <row r="134">
      <c r="A134">
        <f>IF([1]Accounts!$D$135="","",[1]Accounts!$A$135)</f>
        <v/>
      </c>
      <c r="B134">
        <f>IF([1]Accounts!$D$135="","",[1]Accounts!$B$135)</f>
        <v/>
      </c>
      <c r="C134">
        <f>IF([1]Accounts!$D$135="","",[1]Accounts!$C$135)</f>
        <v/>
      </c>
      <c r="D134">
        <f>IF([1]Accounts!$D$135="","",[1]Accounts!$D$135)</f>
        <v/>
      </c>
      <c r="E134">
        <f>IF([1]Accounts!$D$135="","",[1]Accounts!$J$135)</f>
        <v/>
      </c>
      <c r="F134">
        <f>IF([1]Accounts!$D$135="","",[1]Accounts!$K$135)</f>
        <v/>
      </c>
      <c r="U134">
        <f>IF([2]Baskol!$B$137="","",[2]Baskol!$B$137)</f>
        <v/>
      </c>
      <c r="V134">
        <f>IF([2]Baskol!$C$137="","",[2]Baskol!$C$137)</f>
        <v/>
      </c>
      <c r="W134">
        <f>IF([2]Baskol!$D$137="","",[2]Baskol!$D$137)</f>
        <v/>
      </c>
      <c r="X134">
        <f>IF([2]Baskol!$E$137="","",[2]Baskol!$E$137)</f>
        <v/>
      </c>
      <c r="Y134">
        <f>IF([2]Baskol!$G$137="","",[2]Baskol!$G$137)</f>
        <v/>
      </c>
      <c r="Z134">
        <f>IF([2]Baskol!$I$137="","",[2]Baskol!$I$137)</f>
        <v/>
      </c>
      <c r="AA134">
        <f>IF([2]Baskol!$J$137="","",[2]Baskol!$J$137)</f>
        <v/>
      </c>
      <c r="AB134">
        <f>IF([2]Baskol!$K$137="","",[2]Baskol!$K$137)</f>
        <v/>
      </c>
      <c r="AC134">
        <f>IF([2]Baskol!$L$137="","",[2]Baskol!$L$137)</f>
        <v/>
      </c>
      <c r="AD134">
        <f>IF([2]Baskol!$N$137="","",[2]Baskol!$N$137)</f>
        <v/>
      </c>
      <c r="AE134">
        <f>IF([2]Baskol!$O$137="","",[2]Baskol!$O$137)</f>
        <v/>
      </c>
      <c r="AG134">
        <f>IF([3]Entry!$C$137="","",[3]Entry!$C$137)</f>
        <v/>
      </c>
      <c r="AH134">
        <f>IF([3]Entry!$D$137="","",[3]Entry!$D$137)</f>
        <v/>
      </c>
      <c r="AI134">
        <f>IF([3]Entry!$E$137="","",[3]Entry!$E$137)</f>
        <v/>
      </c>
      <c r="AJ134">
        <f>IF([3]Entry!$G$137="","",[3]Entry!$G$137)</f>
        <v/>
      </c>
      <c r="AK134">
        <f>IF([3]Entry!$K$137="","",[3]Entry!$K$137)</f>
        <v/>
      </c>
      <c r="AL134">
        <f>IF([3]Entry!$L$137="","",[3]Entry!$L$137)</f>
        <v/>
      </c>
      <c r="AM134">
        <f>IF([3]Entry!$M$137="","",[3]Entry!$M$137)</f>
        <v/>
      </c>
      <c r="AN134">
        <f>IF([3]Entry!$N$137="","",[3]Entry!$N$137)</f>
        <v/>
      </c>
      <c r="AO134">
        <f>IF([3]Entry!$R$137="","",[3]Entry!$R$137)</f>
        <v/>
      </c>
      <c r="AQ134">
        <f>IF(AND($D134&lt;&gt;"",$A134&lt;&gt;""),1,0)</f>
        <v/>
      </c>
      <c r="AR134">
        <f>SUM($AQ$6:$AQ134)</f>
        <v/>
      </c>
      <c r="AS134">
        <f>IFERROR(INDEX($A$6:$A$565,MATCH(ROW()-5,$AR$6:$AR$565,0)),"")</f>
        <v/>
      </c>
    </row>
    <row r="135">
      <c r="A135">
        <f>IF([1]Accounts!$D$136="","",[1]Accounts!$A$136)</f>
        <v/>
      </c>
      <c r="B135">
        <f>IF([1]Accounts!$D$136="","",[1]Accounts!$B$136)</f>
        <v/>
      </c>
      <c r="C135">
        <f>IF([1]Accounts!$D$136="","",[1]Accounts!$C$136)</f>
        <v/>
      </c>
      <c r="D135">
        <f>IF([1]Accounts!$D$136="","",[1]Accounts!$D$136)</f>
        <v/>
      </c>
      <c r="E135">
        <f>IF([1]Accounts!$D$136="","",[1]Accounts!$J$136)</f>
        <v/>
      </c>
      <c r="F135">
        <f>IF([1]Accounts!$D$136="","",[1]Accounts!$K$136)</f>
        <v/>
      </c>
      <c r="U135">
        <f>IF([2]Baskol!$B$138="","",[2]Baskol!$B$138)</f>
        <v/>
      </c>
      <c r="V135">
        <f>IF([2]Baskol!$C$138="","",[2]Baskol!$C$138)</f>
        <v/>
      </c>
      <c r="W135">
        <f>IF([2]Baskol!$D$138="","",[2]Baskol!$D$138)</f>
        <v/>
      </c>
      <c r="X135">
        <f>IF([2]Baskol!$E$138="","",[2]Baskol!$E$138)</f>
        <v/>
      </c>
      <c r="Y135">
        <f>IF([2]Baskol!$G$138="","",[2]Baskol!$G$138)</f>
        <v/>
      </c>
      <c r="Z135">
        <f>IF([2]Baskol!$I$138="","",[2]Baskol!$I$138)</f>
        <v/>
      </c>
      <c r="AA135">
        <f>IF([2]Baskol!$J$138="","",[2]Baskol!$J$138)</f>
        <v/>
      </c>
      <c r="AB135">
        <f>IF([2]Baskol!$K$138="","",[2]Baskol!$K$138)</f>
        <v/>
      </c>
      <c r="AC135">
        <f>IF([2]Baskol!$L$138="","",[2]Baskol!$L$138)</f>
        <v/>
      </c>
      <c r="AD135">
        <f>IF([2]Baskol!$N$138="","",[2]Baskol!$N$138)</f>
        <v/>
      </c>
      <c r="AE135">
        <f>IF([2]Baskol!$O$138="","",[2]Baskol!$O$138)</f>
        <v/>
      </c>
      <c r="AG135">
        <f>IF([3]Entry!$C$138="","",[3]Entry!$C$138)</f>
        <v/>
      </c>
      <c r="AH135">
        <f>IF([3]Entry!$D$138="","",[3]Entry!$D$138)</f>
        <v/>
      </c>
      <c r="AI135">
        <f>IF([3]Entry!$E$138="","",[3]Entry!$E$138)</f>
        <v/>
      </c>
      <c r="AJ135">
        <f>IF([3]Entry!$G$138="","",[3]Entry!$G$138)</f>
        <v/>
      </c>
      <c r="AK135">
        <f>IF([3]Entry!$K$138="","",[3]Entry!$K$138)</f>
        <v/>
      </c>
      <c r="AL135">
        <f>IF([3]Entry!$L$138="","",[3]Entry!$L$138)</f>
        <v/>
      </c>
      <c r="AM135">
        <f>IF([3]Entry!$M$138="","",[3]Entry!$M$138)</f>
        <v/>
      </c>
      <c r="AN135">
        <f>IF([3]Entry!$N$138="","",[3]Entry!$N$138)</f>
        <v/>
      </c>
      <c r="AO135">
        <f>IF([3]Entry!$R$138="","",[3]Entry!$R$138)</f>
        <v/>
      </c>
      <c r="AQ135">
        <f>IF(AND($D135&lt;&gt;"",$A135&lt;&gt;""),1,0)</f>
        <v/>
      </c>
      <c r="AR135">
        <f>SUM($AQ$6:$AQ135)</f>
        <v/>
      </c>
      <c r="AS135">
        <f>IFERROR(INDEX($A$6:$A$565,MATCH(ROW()-5,$AR$6:$AR$565,0)),"")</f>
        <v/>
      </c>
    </row>
    <row r="136">
      <c r="A136">
        <f>IF([1]Accounts!$D$137="","",[1]Accounts!$A$137)</f>
        <v/>
      </c>
      <c r="B136">
        <f>IF([1]Accounts!$D$137="","",[1]Accounts!$B$137)</f>
        <v/>
      </c>
      <c r="C136">
        <f>IF([1]Accounts!$D$137="","",[1]Accounts!$C$137)</f>
        <v/>
      </c>
      <c r="D136">
        <f>IF([1]Accounts!$D$137="","",[1]Accounts!$D$137)</f>
        <v/>
      </c>
      <c r="E136">
        <f>IF([1]Accounts!$D$137="","",[1]Accounts!$J$137)</f>
        <v/>
      </c>
      <c r="F136">
        <f>IF([1]Accounts!$D$137="","",[1]Accounts!$K$137)</f>
        <v/>
      </c>
      <c r="U136">
        <f>IF([2]Baskol!$B$139="","",[2]Baskol!$B$139)</f>
        <v/>
      </c>
      <c r="V136">
        <f>IF([2]Baskol!$C$139="","",[2]Baskol!$C$139)</f>
        <v/>
      </c>
      <c r="W136">
        <f>IF([2]Baskol!$D$139="","",[2]Baskol!$D$139)</f>
        <v/>
      </c>
      <c r="X136">
        <f>IF([2]Baskol!$E$139="","",[2]Baskol!$E$139)</f>
        <v/>
      </c>
      <c r="Y136">
        <f>IF([2]Baskol!$G$139="","",[2]Baskol!$G$139)</f>
        <v/>
      </c>
      <c r="Z136">
        <f>IF([2]Baskol!$I$139="","",[2]Baskol!$I$139)</f>
        <v/>
      </c>
      <c r="AA136">
        <f>IF([2]Baskol!$J$139="","",[2]Baskol!$J$139)</f>
        <v/>
      </c>
      <c r="AB136">
        <f>IF([2]Baskol!$K$139="","",[2]Baskol!$K$139)</f>
        <v/>
      </c>
      <c r="AC136">
        <f>IF([2]Baskol!$L$139="","",[2]Baskol!$L$139)</f>
        <v/>
      </c>
      <c r="AD136">
        <f>IF([2]Baskol!$N$139="","",[2]Baskol!$N$139)</f>
        <v/>
      </c>
      <c r="AE136">
        <f>IF([2]Baskol!$O$139="","",[2]Baskol!$O$139)</f>
        <v/>
      </c>
      <c r="AG136">
        <f>IF([3]Entry!$C$139="","",[3]Entry!$C$139)</f>
        <v/>
      </c>
      <c r="AH136">
        <f>IF([3]Entry!$D$139="","",[3]Entry!$D$139)</f>
        <v/>
      </c>
      <c r="AI136">
        <f>IF([3]Entry!$E$139="","",[3]Entry!$E$139)</f>
        <v/>
      </c>
      <c r="AJ136">
        <f>IF([3]Entry!$G$139="","",[3]Entry!$G$139)</f>
        <v/>
      </c>
      <c r="AK136">
        <f>IF([3]Entry!$K$139="","",[3]Entry!$K$139)</f>
        <v/>
      </c>
      <c r="AL136">
        <f>IF([3]Entry!$L$139="","",[3]Entry!$L$139)</f>
        <v/>
      </c>
      <c r="AM136">
        <f>IF([3]Entry!$M$139="","",[3]Entry!$M$139)</f>
        <v/>
      </c>
      <c r="AN136">
        <f>IF([3]Entry!$N$139="","",[3]Entry!$N$139)</f>
        <v/>
      </c>
      <c r="AO136">
        <f>IF([3]Entry!$R$139="","",[3]Entry!$R$139)</f>
        <v/>
      </c>
      <c r="AQ136">
        <f>IF(AND($D136&lt;&gt;"",$A136&lt;&gt;""),1,0)</f>
        <v/>
      </c>
      <c r="AR136">
        <f>SUM($AQ$6:$AQ136)</f>
        <v/>
      </c>
      <c r="AS136">
        <f>IFERROR(INDEX($A$6:$A$565,MATCH(ROW()-5,$AR$6:$AR$565,0)),"")</f>
        <v/>
      </c>
    </row>
    <row r="137">
      <c r="A137">
        <f>IF([1]Accounts!$D$138="","",[1]Accounts!$A$138)</f>
        <v/>
      </c>
      <c r="B137">
        <f>IF([1]Accounts!$D$138="","",[1]Accounts!$B$138)</f>
        <v/>
      </c>
      <c r="C137">
        <f>IF([1]Accounts!$D$138="","",[1]Accounts!$C$138)</f>
        <v/>
      </c>
      <c r="D137">
        <f>IF([1]Accounts!$D$138="","",[1]Accounts!$D$138)</f>
        <v/>
      </c>
      <c r="E137">
        <f>IF([1]Accounts!$D$138="","",[1]Accounts!$J$138)</f>
        <v/>
      </c>
      <c r="F137">
        <f>IF([1]Accounts!$D$138="","",[1]Accounts!$K$138)</f>
        <v/>
      </c>
      <c r="U137">
        <f>IF([2]Baskol!$B$140="","",[2]Baskol!$B$140)</f>
        <v/>
      </c>
      <c r="V137">
        <f>IF([2]Baskol!$C$140="","",[2]Baskol!$C$140)</f>
        <v/>
      </c>
      <c r="W137">
        <f>IF([2]Baskol!$D$140="","",[2]Baskol!$D$140)</f>
        <v/>
      </c>
      <c r="X137">
        <f>IF([2]Baskol!$E$140="","",[2]Baskol!$E$140)</f>
        <v/>
      </c>
      <c r="Y137">
        <f>IF([2]Baskol!$G$140="","",[2]Baskol!$G$140)</f>
        <v/>
      </c>
      <c r="Z137">
        <f>IF([2]Baskol!$I$140="","",[2]Baskol!$I$140)</f>
        <v/>
      </c>
      <c r="AA137">
        <f>IF([2]Baskol!$J$140="","",[2]Baskol!$J$140)</f>
        <v/>
      </c>
      <c r="AB137">
        <f>IF([2]Baskol!$K$140="","",[2]Baskol!$K$140)</f>
        <v/>
      </c>
      <c r="AC137">
        <f>IF([2]Baskol!$L$140="","",[2]Baskol!$L$140)</f>
        <v/>
      </c>
      <c r="AD137">
        <f>IF([2]Baskol!$N$140="","",[2]Baskol!$N$140)</f>
        <v/>
      </c>
      <c r="AE137">
        <f>IF([2]Baskol!$O$140="","",[2]Baskol!$O$140)</f>
        <v/>
      </c>
      <c r="AG137">
        <f>IF([3]Entry!$C$140="","",[3]Entry!$C$140)</f>
        <v/>
      </c>
      <c r="AH137">
        <f>IF([3]Entry!$D$140="","",[3]Entry!$D$140)</f>
        <v/>
      </c>
      <c r="AI137">
        <f>IF([3]Entry!$E$140="","",[3]Entry!$E$140)</f>
        <v/>
      </c>
      <c r="AJ137">
        <f>IF([3]Entry!$G$140="","",[3]Entry!$G$140)</f>
        <v/>
      </c>
      <c r="AK137">
        <f>IF([3]Entry!$K$140="","",[3]Entry!$K$140)</f>
        <v/>
      </c>
      <c r="AL137">
        <f>IF([3]Entry!$L$140="","",[3]Entry!$L$140)</f>
        <v/>
      </c>
      <c r="AM137">
        <f>IF([3]Entry!$M$140="","",[3]Entry!$M$140)</f>
        <v/>
      </c>
      <c r="AN137">
        <f>IF([3]Entry!$N$140="","",[3]Entry!$N$140)</f>
        <v/>
      </c>
      <c r="AO137">
        <f>IF([3]Entry!$R$140="","",[3]Entry!$R$140)</f>
        <v/>
      </c>
      <c r="AQ137">
        <f>IF(AND($D137&lt;&gt;"",$A137&lt;&gt;""),1,0)</f>
        <v/>
      </c>
      <c r="AR137">
        <f>SUM($AQ$6:$AQ137)</f>
        <v/>
      </c>
      <c r="AS137">
        <f>IFERROR(INDEX($A$6:$A$565,MATCH(ROW()-5,$AR$6:$AR$565,0)),"")</f>
        <v/>
      </c>
    </row>
    <row r="138">
      <c r="A138">
        <f>IF([1]Accounts!$D$139="","",[1]Accounts!$A$139)</f>
        <v/>
      </c>
      <c r="B138">
        <f>IF([1]Accounts!$D$139="","",[1]Accounts!$B$139)</f>
        <v/>
      </c>
      <c r="C138">
        <f>IF([1]Accounts!$D$139="","",[1]Accounts!$C$139)</f>
        <v/>
      </c>
      <c r="D138">
        <f>IF([1]Accounts!$D$139="","",[1]Accounts!$D$139)</f>
        <v/>
      </c>
      <c r="E138">
        <f>IF([1]Accounts!$D$139="","",[1]Accounts!$J$139)</f>
        <v/>
      </c>
      <c r="F138">
        <f>IF([1]Accounts!$D$139="","",[1]Accounts!$K$139)</f>
        <v/>
      </c>
      <c r="U138">
        <f>IF([2]Baskol!$B$141="","",[2]Baskol!$B$141)</f>
        <v/>
      </c>
      <c r="V138">
        <f>IF([2]Baskol!$C$141="","",[2]Baskol!$C$141)</f>
        <v/>
      </c>
      <c r="W138">
        <f>IF([2]Baskol!$D$141="","",[2]Baskol!$D$141)</f>
        <v/>
      </c>
      <c r="X138">
        <f>IF([2]Baskol!$E$141="","",[2]Baskol!$E$141)</f>
        <v/>
      </c>
      <c r="Y138">
        <f>IF([2]Baskol!$G$141="","",[2]Baskol!$G$141)</f>
        <v/>
      </c>
      <c r="Z138">
        <f>IF([2]Baskol!$I$141="","",[2]Baskol!$I$141)</f>
        <v/>
      </c>
      <c r="AA138">
        <f>IF([2]Baskol!$J$141="","",[2]Baskol!$J$141)</f>
        <v/>
      </c>
      <c r="AB138">
        <f>IF([2]Baskol!$K$141="","",[2]Baskol!$K$141)</f>
        <v/>
      </c>
      <c r="AC138">
        <f>IF([2]Baskol!$L$141="","",[2]Baskol!$L$141)</f>
        <v/>
      </c>
      <c r="AD138">
        <f>IF([2]Baskol!$N$141="","",[2]Baskol!$N$141)</f>
        <v/>
      </c>
      <c r="AE138">
        <f>IF([2]Baskol!$O$141="","",[2]Baskol!$O$141)</f>
        <v/>
      </c>
      <c r="AG138">
        <f>IF([3]Entry!$C$141="","",[3]Entry!$C$141)</f>
        <v/>
      </c>
      <c r="AH138">
        <f>IF([3]Entry!$D$141="","",[3]Entry!$D$141)</f>
        <v/>
      </c>
      <c r="AI138">
        <f>IF([3]Entry!$E$141="","",[3]Entry!$E$141)</f>
        <v/>
      </c>
      <c r="AJ138">
        <f>IF([3]Entry!$G$141="","",[3]Entry!$G$141)</f>
        <v/>
      </c>
      <c r="AK138">
        <f>IF([3]Entry!$K$141="","",[3]Entry!$K$141)</f>
        <v/>
      </c>
      <c r="AL138">
        <f>IF([3]Entry!$L$141="","",[3]Entry!$L$141)</f>
        <v/>
      </c>
      <c r="AM138">
        <f>IF([3]Entry!$M$141="","",[3]Entry!$M$141)</f>
        <v/>
      </c>
      <c r="AN138">
        <f>IF([3]Entry!$N$141="","",[3]Entry!$N$141)</f>
        <v/>
      </c>
      <c r="AO138">
        <f>IF([3]Entry!$R$141="","",[3]Entry!$R$141)</f>
        <v/>
      </c>
      <c r="AQ138">
        <f>IF(AND($D138&lt;&gt;"",$A138&lt;&gt;""),1,0)</f>
        <v/>
      </c>
      <c r="AR138">
        <f>SUM($AQ$6:$AQ138)</f>
        <v/>
      </c>
      <c r="AS138">
        <f>IFERROR(INDEX($A$6:$A$565,MATCH(ROW()-5,$AR$6:$AR$565,0)),"")</f>
        <v/>
      </c>
    </row>
    <row r="139">
      <c r="A139">
        <f>IF([1]Accounts!$D$140="","",[1]Accounts!$A$140)</f>
        <v/>
      </c>
      <c r="B139">
        <f>IF([1]Accounts!$D$140="","",[1]Accounts!$B$140)</f>
        <v/>
      </c>
      <c r="C139">
        <f>IF([1]Accounts!$D$140="","",[1]Accounts!$C$140)</f>
        <v/>
      </c>
      <c r="D139">
        <f>IF([1]Accounts!$D$140="","",[1]Accounts!$D$140)</f>
        <v/>
      </c>
      <c r="E139">
        <f>IF([1]Accounts!$D$140="","",[1]Accounts!$J$140)</f>
        <v/>
      </c>
      <c r="F139">
        <f>IF([1]Accounts!$D$140="","",[1]Accounts!$K$140)</f>
        <v/>
      </c>
      <c r="U139">
        <f>IF([2]Baskol!$B$142="","",[2]Baskol!$B$142)</f>
        <v/>
      </c>
      <c r="V139">
        <f>IF([2]Baskol!$C$142="","",[2]Baskol!$C$142)</f>
        <v/>
      </c>
      <c r="W139">
        <f>IF([2]Baskol!$D$142="","",[2]Baskol!$D$142)</f>
        <v/>
      </c>
      <c r="X139">
        <f>IF([2]Baskol!$E$142="","",[2]Baskol!$E$142)</f>
        <v/>
      </c>
      <c r="Y139">
        <f>IF([2]Baskol!$G$142="","",[2]Baskol!$G$142)</f>
        <v/>
      </c>
      <c r="Z139">
        <f>IF([2]Baskol!$I$142="","",[2]Baskol!$I$142)</f>
        <v/>
      </c>
      <c r="AA139">
        <f>IF([2]Baskol!$J$142="","",[2]Baskol!$J$142)</f>
        <v/>
      </c>
      <c r="AB139">
        <f>IF([2]Baskol!$K$142="","",[2]Baskol!$K$142)</f>
        <v/>
      </c>
      <c r="AC139">
        <f>IF([2]Baskol!$L$142="","",[2]Baskol!$L$142)</f>
        <v/>
      </c>
      <c r="AD139">
        <f>IF([2]Baskol!$N$142="","",[2]Baskol!$N$142)</f>
        <v/>
      </c>
      <c r="AE139">
        <f>IF([2]Baskol!$O$142="","",[2]Baskol!$O$142)</f>
        <v/>
      </c>
      <c r="AG139">
        <f>IF([3]Entry!$C$142="","",[3]Entry!$C$142)</f>
        <v/>
      </c>
      <c r="AH139">
        <f>IF([3]Entry!$D$142="","",[3]Entry!$D$142)</f>
        <v/>
      </c>
      <c r="AI139">
        <f>IF([3]Entry!$E$142="","",[3]Entry!$E$142)</f>
        <v/>
      </c>
      <c r="AJ139">
        <f>IF([3]Entry!$G$142="","",[3]Entry!$G$142)</f>
        <v/>
      </c>
      <c r="AK139">
        <f>IF([3]Entry!$K$142="","",[3]Entry!$K$142)</f>
        <v/>
      </c>
      <c r="AL139">
        <f>IF([3]Entry!$L$142="","",[3]Entry!$L$142)</f>
        <v/>
      </c>
      <c r="AM139">
        <f>IF([3]Entry!$M$142="","",[3]Entry!$M$142)</f>
        <v/>
      </c>
      <c r="AN139">
        <f>IF([3]Entry!$N$142="","",[3]Entry!$N$142)</f>
        <v/>
      </c>
      <c r="AO139">
        <f>IF([3]Entry!$R$142="","",[3]Entry!$R$142)</f>
        <v/>
      </c>
      <c r="AQ139">
        <f>IF(AND($D139&lt;&gt;"",$A139&lt;&gt;""),1,0)</f>
        <v/>
      </c>
      <c r="AR139">
        <f>SUM($AQ$6:$AQ139)</f>
        <v/>
      </c>
      <c r="AS139">
        <f>IFERROR(INDEX($A$6:$A$565,MATCH(ROW()-5,$AR$6:$AR$565,0)),"")</f>
        <v/>
      </c>
    </row>
    <row r="140">
      <c r="A140">
        <f>IF([1]Accounts!$D$141="","",[1]Accounts!$A$141)</f>
        <v/>
      </c>
      <c r="B140">
        <f>IF([1]Accounts!$D$141="","",[1]Accounts!$B$141)</f>
        <v/>
      </c>
      <c r="C140">
        <f>IF([1]Accounts!$D$141="","",[1]Accounts!$C$141)</f>
        <v/>
      </c>
      <c r="D140">
        <f>IF([1]Accounts!$D$141="","",[1]Accounts!$D$141)</f>
        <v/>
      </c>
      <c r="E140">
        <f>IF([1]Accounts!$D$141="","",[1]Accounts!$J$141)</f>
        <v/>
      </c>
      <c r="F140">
        <f>IF([1]Accounts!$D$141="","",[1]Accounts!$K$141)</f>
        <v/>
      </c>
      <c r="U140">
        <f>IF([2]Baskol!$B$143="","",[2]Baskol!$B$143)</f>
        <v/>
      </c>
      <c r="V140">
        <f>IF([2]Baskol!$C$143="","",[2]Baskol!$C$143)</f>
        <v/>
      </c>
      <c r="W140">
        <f>IF([2]Baskol!$D$143="","",[2]Baskol!$D$143)</f>
        <v/>
      </c>
      <c r="X140">
        <f>IF([2]Baskol!$E$143="","",[2]Baskol!$E$143)</f>
        <v/>
      </c>
      <c r="Y140">
        <f>IF([2]Baskol!$G$143="","",[2]Baskol!$G$143)</f>
        <v/>
      </c>
      <c r="Z140">
        <f>IF([2]Baskol!$I$143="","",[2]Baskol!$I$143)</f>
        <v/>
      </c>
      <c r="AA140">
        <f>IF([2]Baskol!$J$143="","",[2]Baskol!$J$143)</f>
        <v/>
      </c>
      <c r="AB140">
        <f>IF([2]Baskol!$K$143="","",[2]Baskol!$K$143)</f>
        <v/>
      </c>
      <c r="AC140">
        <f>IF([2]Baskol!$L$143="","",[2]Baskol!$L$143)</f>
        <v/>
      </c>
      <c r="AD140">
        <f>IF([2]Baskol!$N$143="","",[2]Baskol!$N$143)</f>
        <v/>
      </c>
      <c r="AE140">
        <f>IF([2]Baskol!$O$143="","",[2]Baskol!$O$143)</f>
        <v/>
      </c>
      <c r="AG140">
        <f>IF([3]Entry!$C$143="","",[3]Entry!$C$143)</f>
        <v/>
      </c>
      <c r="AH140">
        <f>IF([3]Entry!$D$143="","",[3]Entry!$D$143)</f>
        <v/>
      </c>
      <c r="AI140">
        <f>IF([3]Entry!$E$143="","",[3]Entry!$E$143)</f>
        <v/>
      </c>
      <c r="AJ140">
        <f>IF([3]Entry!$G$143="","",[3]Entry!$G$143)</f>
        <v/>
      </c>
      <c r="AK140">
        <f>IF([3]Entry!$K$143="","",[3]Entry!$K$143)</f>
        <v/>
      </c>
      <c r="AL140">
        <f>IF([3]Entry!$L$143="","",[3]Entry!$L$143)</f>
        <v/>
      </c>
      <c r="AM140">
        <f>IF([3]Entry!$M$143="","",[3]Entry!$M$143)</f>
        <v/>
      </c>
      <c r="AN140">
        <f>IF([3]Entry!$N$143="","",[3]Entry!$N$143)</f>
        <v/>
      </c>
      <c r="AO140">
        <f>IF([3]Entry!$R$143="","",[3]Entry!$R$143)</f>
        <v/>
      </c>
      <c r="AQ140">
        <f>IF(AND($D140&lt;&gt;"",$A140&lt;&gt;""),1,0)</f>
        <v/>
      </c>
      <c r="AR140">
        <f>SUM($AQ$6:$AQ140)</f>
        <v/>
      </c>
      <c r="AS140">
        <f>IFERROR(INDEX($A$6:$A$565,MATCH(ROW()-5,$AR$6:$AR$565,0)),"")</f>
        <v/>
      </c>
    </row>
    <row r="141">
      <c r="A141">
        <f>IF([1]Accounts!$D$142="","",[1]Accounts!$A$142)</f>
        <v/>
      </c>
      <c r="B141">
        <f>IF([1]Accounts!$D$142="","",[1]Accounts!$B$142)</f>
        <v/>
      </c>
      <c r="C141">
        <f>IF([1]Accounts!$D$142="","",[1]Accounts!$C$142)</f>
        <v/>
      </c>
      <c r="D141">
        <f>IF([1]Accounts!$D$142="","",[1]Accounts!$D$142)</f>
        <v/>
      </c>
      <c r="E141">
        <f>IF([1]Accounts!$D$142="","",[1]Accounts!$J$142)</f>
        <v/>
      </c>
      <c r="F141">
        <f>IF([1]Accounts!$D$142="","",[1]Accounts!$K$142)</f>
        <v/>
      </c>
      <c r="U141">
        <f>IF([2]Baskol!$B$144="","",[2]Baskol!$B$144)</f>
        <v/>
      </c>
      <c r="V141">
        <f>IF([2]Baskol!$C$144="","",[2]Baskol!$C$144)</f>
        <v/>
      </c>
      <c r="W141">
        <f>IF([2]Baskol!$D$144="","",[2]Baskol!$D$144)</f>
        <v/>
      </c>
      <c r="X141">
        <f>IF([2]Baskol!$E$144="","",[2]Baskol!$E$144)</f>
        <v/>
      </c>
      <c r="Y141">
        <f>IF([2]Baskol!$G$144="","",[2]Baskol!$G$144)</f>
        <v/>
      </c>
      <c r="Z141">
        <f>IF([2]Baskol!$I$144="","",[2]Baskol!$I$144)</f>
        <v/>
      </c>
      <c r="AA141">
        <f>IF([2]Baskol!$J$144="","",[2]Baskol!$J$144)</f>
        <v/>
      </c>
      <c r="AB141">
        <f>IF([2]Baskol!$K$144="","",[2]Baskol!$K$144)</f>
        <v/>
      </c>
      <c r="AC141">
        <f>IF([2]Baskol!$L$144="","",[2]Baskol!$L$144)</f>
        <v/>
      </c>
      <c r="AD141">
        <f>IF([2]Baskol!$N$144="","",[2]Baskol!$N$144)</f>
        <v/>
      </c>
      <c r="AE141">
        <f>IF([2]Baskol!$O$144="","",[2]Baskol!$O$144)</f>
        <v/>
      </c>
      <c r="AG141">
        <f>IF([3]Entry!$C$144="","",[3]Entry!$C$144)</f>
        <v/>
      </c>
      <c r="AH141">
        <f>IF([3]Entry!$D$144="","",[3]Entry!$D$144)</f>
        <v/>
      </c>
      <c r="AI141">
        <f>IF([3]Entry!$E$144="","",[3]Entry!$E$144)</f>
        <v/>
      </c>
      <c r="AJ141">
        <f>IF([3]Entry!$G$144="","",[3]Entry!$G$144)</f>
        <v/>
      </c>
      <c r="AK141">
        <f>IF([3]Entry!$K$144="","",[3]Entry!$K$144)</f>
        <v/>
      </c>
      <c r="AL141">
        <f>IF([3]Entry!$L$144="","",[3]Entry!$L$144)</f>
        <v/>
      </c>
      <c r="AM141">
        <f>IF([3]Entry!$M$144="","",[3]Entry!$M$144)</f>
        <v/>
      </c>
      <c r="AN141">
        <f>IF([3]Entry!$N$144="","",[3]Entry!$N$144)</f>
        <v/>
      </c>
      <c r="AO141">
        <f>IF([3]Entry!$R$144="","",[3]Entry!$R$144)</f>
        <v/>
      </c>
      <c r="AQ141">
        <f>IF(AND($D141&lt;&gt;"",$A141&lt;&gt;""),1,0)</f>
        <v/>
      </c>
      <c r="AR141">
        <f>SUM($AQ$6:$AQ141)</f>
        <v/>
      </c>
      <c r="AS141">
        <f>IFERROR(INDEX($A$6:$A$565,MATCH(ROW()-5,$AR$6:$AR$565,0)),"")</f>
        <v/>
      </c>
    </row>
    <row r="142">
      <c r="A142">
        <f>IF([1]Accounts!$D$143="","",[1]Accounts!$A$143)</f>
        <v/>
      </c>
      <c r="B142">
        <f>IF([1]Accounts!$D$143="","",[1]Accounts!$B$143)</f>
        <v/>
      </c>
      <c r="C142">
        <f>IF([1]Accounts!$D$143="","",[1]Accounts!$C$143)</f>
        <v/>
      </c>
      <c r="D142">
        <f>IF([1]Accounts!$D$143="","",[1]Accounts!$D$143)</f>
        <v/>
      </c>
      <c r="E142">
        <f>IF([1]Accounts!$D$143="","",[1]Accounts!$J$143)</f>
        <v/>
      </c>
      <c r="F142">
        <f>IF([1]Accounts!$D$143="","",[1]Accounts!$K$143)</f>
        <v/>
      </c>
      <c r="U142">
        <f>IF([2]Baskol!$B$145="","",[2]Baskol!$B$145)</f>
        <v/>
      </c>
      <c r="V142">
        <f>IF([2]Baskol!$C$145="","",[2]Baskol!$C$145)</f>
        <v/>
      </c>
      <c r="W142">
        <f>IF([2]Baskol!$D$145="","",[2]Baskol!$D$145)</f>
        <v/>
      </c>
      <c r="X142">
        <f>IF([2]Baskol!$E$145="","",[2]Baskol!$E$145)</f>
        <v/>
      </c>
      <c r="Y142">
        <f>IF([2]Baskol!$G$145="","",[2]Baskol!$G$145)</f>
        <v/>
      </c>
      <c r="Z142">
        <f>IF([2]Baskol!$I$145="","",[2]Baskol!$I$145)</f>
        <v/>
      </c>
      <c r="AA142">
        <f>IF([2]Baskol!$J$145="","",[2]Baskol!$J$145)</f>
        <v/>
      </c>
      <c r="AB142">
        <f>IF([2]Baskol!$K$145="","",[2]Baskol!$K$145)</f>
        <v/>
      </c>
      <c r="AC142">
        <f>IF([2]Baskol!$L$145="","",[2]Baskol!$L$145)</f>
        <v/>
      </c>
      <c r="AD142">
        <f>IF([2]Baskol!$N$145="","",[2]Baskol!$N$145)</f>
        <v/>
      </c>
      <c r="AE142">
        <f>IF([2]Baskol!$O$145="","",[2]Baskol!$O$145)</f>
        <v/>
      </c>
      <c r="AG142">
        <f>IF([3]Entry!$C$145="","",[3]Entry!$C$145)</f>
        <v/>
      </c>
      <c r="AH142">
        <f>IF([3]Entry!$D$145="","",[3]Entry!$D$145)</f>
        <v/>
      </c>
      <c r="AI142">
        <f>IF([3]Entry!$E$145="","",[3]Entry!$E$145)</f>
        <v/>
      </c>
      <c r="AJ142">
        <f>IF([3]Entry!$G$145="","",[3]Entry!$G$145)</f>
        <v/>
      </c>
      <c r="AK142">
        <f>IF([3]Entry!$K$145="","",[3]Entry!$K$145)</f>
        <v/>
      </c>
      <c r="AL142">
        <f>IF([3]Entry!$L$145="","",[3]Entry!$L$145)</f>
        <v/>
      </c>
      <c r="AM142">
        <f>IF([3]Entry!$M$145="","",[3]Entry!$M$145)</f>
        <v/>
      </c>
      <c r="AN142">
        <f>IF([3]Entry!$N$145="","",[3]Entry!$N$145)</f>
        <v/>
      </c>
      <c r="AO142">
        <f>IF([3]Entry!$R$145="","",[3]Entry!$R$145)</f>
        <v/>
      </c>
      <c r="AQ142">
        <f>IF(AND($D142&lt;&gt;"",$A142&lt;&gt;""),1,0)</f>
        <v/>
      </c>
      <c r="AR142">
        <f>SUM($AQ$6:$AQ142)</f>
        <v/>
      </c>
      <c r="AS142">
        <f>IFERROR(INDEX($A$6:$A$565,MATCH(ROW()-5,$AR$6:$AR$565,0)),"")</f>
        <v/>
      </c>
    </row>
    <row r="143">
      <c r="A143">
        <f>IF([1]Accounts!$D$144="","",[1]Accounts!$A$144)</f>
        <v/>
      </c>
      <c r="B143">
        <f>IF([1]Accounts!$D$144="","",[1]Accounts!$B$144)</f>
        <v/>
      </c>
      <c r="C143">
        <f>IF([1]Accounts!$D$144="","",[1]Accounts!$C$144)</f>
        <v/>
      </c>
      <c r="D143">
        <f>IF([1]Accounts!$D$144="","",[1]Accounts!$D$144)</f>
        <v/>
      </c>
      <c r="E143">
        <f>IF([1]Accounts!$D$144="","",[1]Accounts!$J$144)</f>
        <v/>
      </c>
      <c r="F143">
        <f>IF([1]Accounts!$D$144="","",[1]Accounts!$K$144)</f>
        <v/>
      </c>
      <c r="U143">
        <f>IF([2]Baskol!$B$146="","",[2]Baskol!$B$146)</f>
        <v/>
      </c>
      <c r="V143">
        <f>IF([2]Baskol!$C$146="","",[2]Baskol!$C$146)</f>
        <v/>
      </c>
      <c r="W143">
        <f>IF([2]Baskol!$D$146="","",[2]Baskol!$D$146)</f>
        <v/>
      </c>
      <c r="X143">
        <f>IF([2]Baskol!$E$146="","",[2]Baskol!$E$146)</f>
        <v/>
      </c>
      <c r="Y143">
        <f>IF([2]Baskol!$G$146="","",[2]Baskol!$G$146)</f>
        <v/>
      </c>
      <c r="Z143">
        <f>IF([2]Baskol!$I$146="","",[2]Baskol!$I$146)</f>
        <v/>
      </c>
      <c r="AA143">
        <f>IF([2]Baskol!$J$146="","",[2]Baskol!$J$146)</f>
        <v/>
      </c>
      <c r="AB143">
        <f>IF([2]Baskol!$K$146="","",[2]Baskol!$K$146)</f>
        <v/>
      </c>
      <c r="AC143">
        <f>IF([2]Baskol!$L$146="","",[2]Baskol!$L$146)</f>
        <v/>
      </c>
      <c r="AD143">
        <f>IF([2]Baskol!$N$146="","",[2]Baskol!$N$146)</f>
        <v/>
      </c>
      <c r="AE143">
        <f>IF([2]Baskol!$O$146="","",[2]Baskol!$O$146)</f>
        <v/>
      </c>
      <c r="AG143">
        <f>IF([3]Entry!$C$146="","",[3]Entry!$C$146)</f>
        <v/>
      </c>
      <c r="AH143">
        <f>IF([3]Entry!$D$146="","",[3]Entry!$D$146)</f>
        <v/>
      </c>
      <c r="AI143">
        <f>IF([3]Entry!$E$146="","",[3]Entry!$E$146)</f>
        <v/>
      </c>
      <c r="AJ143">
        <f>IF([3]Entry!$G$146="","",[3]Entry!$G$146)</f>
        <v/>
      </c>
      <c r="AK143">
        <f>IF([3]Entry!$K$146="","",[3]Entry!$K$146)</f>
        <v/>
      </c>
      <c r="AL143">
        <f>IF([3]Entry!$L$146="","",[3]Entry!$L$146)</f>
        <v/>
      </c>
      <c r="AM143">
        <f>IF([3]Entry!$M$146="","",[3]Entry!$M$146)</f>
        <v/>
      </c>
      <c r="AN143">
        <f>IF([3]Entry!$N$146="","",[3]Entry!$N$146)</f>
        <v/>
      </c>
      <c r="AO143">
        <f>IF([3]Entry!$R$146="","",[3]Entry!$R$146)</f>
        <v/>
      </c>
      <c r="AQ143">
        <f>IF(AND($D143&lt;&gt;"",$A143&lt;&gt;""),1,0)</f>
        <v/>
      </c>
      <c r="AR143">
        <f>SUM($AQ$6:$AQ143)</f>
        <v/>
      </c>
      <c r="AS143">
        <f>IFERROR(INDEX($A$6:$A$565,MATCH(ROW()-5,$AR$6:$AR$565,0)),"")</f>
        <v/>
      </c>
    </row>
    <row r="144">
      <c r="A144">
        <f>IF([1]Accounts!$D$145="","",[1]Accounts!$A$145)</f>
        <v/>
      </c>
      <c r="B144">
        <f>IF([1]Accounts!$D$145="","",[1]Accounts!$B$145)</f>
        <v/>
      </c>
      <c r="C144">
        <f>IF([1]Accounts!$D$145="","",[1]Accounts!$C$145)</f>
        <v/>
      </c>
      <c r="D144">
        <f>IF([1]Accounts!$D$145="","",[1]Accounts!$D$145)</f>
        <v/>
      </c>
      <c r="E144">
        <f>IF([1]Accounts!$D$145="","",[1]Accounts!$J$145)</f>
        <v/>
      </c>
      <c r="F144">
        <f>IF([1]Accounts!$D$145="","",[1]Accounts!$K$145)</f>
        <v/>
      </c>
      <c r="U144">
        <f>IF([2]Baskol!$B$147="","",[2]Baskol!$B$147)</f>
        <v/>
      </c>
      <c r="V144">
        <f>IF([2]Baskol!$C$147="","",[2]Baskol!$C$147)</f>
        <v/>
      </c>
      <c r="W144">
        <f>IF([2]Baskol!$D$147="","",[2]Baskol!$D$147)</f>
        <v/>
      </c>
      <c r="X144">
        <f>IF([2]Baskol!$E$147="","",[2]Baskol!$E$147)</f>
        <v/>
      </c>
      <c r="Y144">
        <f>IF([2]Baskol!$G$147="","",[2]Baskol!$G$147)</f>
        <v/>
      </c>
      <c r="Z144">
        <f>IF([2]Baskol!$I$147="","",[2]Baskol!$I$147)</f>
        <v/>
      </c>
      <c r="AA144">
        <f>IF([2]Baskol!$J$147="","",[2]Baskol!$J$147)</f>
        <v/>
      </c>
      <c r="AB144">
        <f>IF([2]Baskol!$K$147="","",[2]Baskol!$K$147)</f>
        <v/>
      </c>
      <c r="AC144">
        <f>IF([2]Baskol!$L$147="","",[2]Baskol!$L$147)</f>
        <v/>
      </c>
      <c r="AD144">
        <f>IF([2]Baskol!$N$147="","",[2]Baskol!$N$147)</f>
        <v/>
      </c>
      <c r="AE144">
        <f>IF([2]Baskol!$O$147="","",[2]Baskol!$O$147)</f>
        <v/>
      </c>
      <c r="AG144">
        <f>IF([3]Entry!$C$147="","",[3]Entry!$C$147)</f>
        <v/>
      </c>
      <c r="AH144">
        <f>IF([3]Entry!$D$147="","",[3]Entry!$D$147)</f>
        <v/>
      </c>
      <c r="AI144">
        <f>IF([3]Entry!$E$147="","",[3]Entry!$E$147)</f>
        <v/>
      </c>
      <c r="AJ144">
        <f>IF([3]Entry!$G$147="","",[3]Entry!$G$147)</f>
        <v/>
      </c>
      <c r="AK144">
        <f>IF([3]Entry!$K$147="","",[3]Entry!$K$147)</f>
        <v/>
      </c>
      <c r="AL144">
        <f>IF([3]Entry!$L$147="","",[3]Entry!$L$147)</f>
        <v/>
      </c>
      <c r="AM144">
        <f>IF([3]Entry!$M$147="","",[3]Entry!$M$147)</f>
        <v/>
      </c>
      <c r="AN144">
        <f>IF([3]Entry!$N$147="","",[3]Entry!$N$147)</f>
        <v/>
      </c>
      <c r="AO144">
        <f>IF([3]Entry!$R$147="","",[3]Entry!$R$147)</f>
        <v/>
      </c>
      <c r="AQ144">
        <f>IF(AND($D144&lt;&gt;"",$A144&lt;&gt;""),1,0)</f>
        <v/>
      </c>
      <c r="AR144">
        <f>SUM($AQ$6:$AQ144)</f>
        <v/>
      </c>
      <c r="AS144">
        <f>IFERROR(INDEX($A$6:$A$565,MATCH(ROW()-5,$AR$6:$AR$565,0)),"")</f>
        <v/>
      </c>
    </row>
    <row r="145">
      <c r="A145">
        <f>IF([1]Accounts!$D$146="","",[1]Accounts!$A$146)</f>
        <v/>
      </c>
      <c r="B145">
        <f>IF([1]Accounts!$D$146="","",[1]Accounts!$B$146)</f>
        <v/>
      </c>
      <c r="C145">
        <f>IF([1]Accounts!$D$146="","",[1]Accounts!$C$146)</f>
        <v/>
      </c>
      <c r="D145">
        <f>IF([1]Accounts!$D$146="","",[1]Accounts!$D$146)</f>
        <v/>
      </c>
      <c r="E145">
        <f>IF([1]Accounts!$D$146="","",[1]Accounts!$J$146)</f>
        <v/>
      </c>
      <c r="F145">
        <f>IF([1]Accounts!$D$146="","",[1]Accounts!$K$146)</f>
        <v/>
      </c>
      <c r="U145">
        <f>IF([2]Baskol!$B$148="","",[2]Baskol!$B$148)</f>
        <v/>
      </c>
      <c r="V145">
        <f>IF([2]Baskol!$C$148="","",[2]Baskol!$C$148)</f>
        <v/>
      </c>
      <c r="W145">
        <f>IF([2]Baskol!$D$148="","",[2]Baskol!$D$148)</f>
        <v/>
      </c>
      <c r="X145">
        <f>IF([2]Baskol!$E$148="","",[2]Baskol!$E$148)</f>
        <v/>
      </c>
      <c r="Y145">
        <f>IF([2]Baskol!$G$148="","",[2]Baskol!$G$148)</f>
        <v/>
      </c>
      <c r="Z145">
        <f>IF([2]Baskol!$I$148="","",[2]Baskol!$I$148)</f>
        <v/>
      </c>
      <c r="AA145">
        <f>IF([2]Baskol!$J$148="","",[2]Baskol!$J$148)</f>
        <v/>
      </c>
      <c r="AB145">
        <f>IF([2]Baskol!$K$148="","",[2]Baskol!$K$148)</f>
        <v/>
      </c>
      <c r="AC145">
        <f>IF([2]Baskol!$L$148="","",[2]Baskol!$L$148)</f>
        <v/>
      </c>
      <c r="AD145">
        <f>IF([2]Baskol!$N$148="","",[2]Baskol!$N$148)</f>
        <v/>
      </c>
      <c r="AE145">
        <f>IF([2]Baskol!$O$148="","",[2]Baskol!$O$148)</f>
        <v/>
      </c>
      <c r="AG145">
        <f>IF([3]Entry!$C$148="","",[3]Entry!$C$148)</f>
        <v/>
      </c>
      <c r="AH145">
        <f>IF([3]Entry!$D$148="","",[3]Entry!$D$148)</f>
        <v/>
      </c>
      <c r="AI145">
        <f>IF([3]Entry!$E$148="","",[3]Entry!$E$148)</f>
        <v/>
      </c>
      <c r="AJ145">
        <f>IF([3]Entry!$G$148="","",[3]Entry!$G$148)</f>
        <v/>
      </c>
      <c r="AK145">
        <f>IF([3]Entry!$K$148="","",[3]Entry!$K$148)</f>
        <v/>
      </c>
      <c r="AL145">
        <f>IF([3]Entry!$L$148="","",[3]Entry!$L$148)</f>
        <v/>
      </c>
      <c r="AM145">
        <f>IF([3]Entry!$M$148="","",[3]Entry!$M$148)</f>
        <v/>
      </c>
      <c r="AN145">
        <f>IF([3]Entry!$N$148="","",[3]Entry!$N$148)</f>
        <v/>
      </c>
      <c r="AO145">
        <f>IF([3]Entry!$R$148="","",[3]Entry!$R$148)</f>
        <v/>
      </c>
      <c r="AQ145">
        <f>IF(AND($D145&lt;&gt;"",$A145&lt;&gt;""),1,0)</f>
        <v/>
      </c>
      <c r="AR145">
        <f>SUM($AQ$6:$AQ145)</f>
        <v/>
      </c>
      <c r="AS145">
        <f>IFERROR(INDEX($A$6:$A$565,MATCH(ROW()-5,$AR$6:$AR$565,0)),"")</f>
        <v/>
      </c>
    </row>
    <row r="146">
      <c r="A146">
        <f>IF([1]Accounts!$D$147="","",[1]Accounts!$A$147)</f>
        <v/>
      </c>
      <c r="B146">
        <f>IF([1]Accounts!$D$147="","",[1]Accounts!$B$147)</f>
        <v/>
      </c>
      <c r="C146">
        <f>IF([1]Accounts!$D$147="","",[1]Accounts!$C$147)</f>
        <v/>
      </c>
      <c r="D146">
        <f>IF([1]Accounts!$D$147="","",[1]Accounts!$D$147)</f>
        <v/>
      </c>
      <c r="E146">
        <f>IF([1]Accounts!$D$147="","",[1]Accounts!$J$147)</f>
        <v/>
      </c>
      <c r="F146">
        <f>IF([1]Accounts!$D$147="","",[1]Accounts!$K$147)</f>
        <v/>
      </c>
      <c r="U146">
        <f>IF([2]Baskol!$B$149="","",[2]Baskol!$B$149)</f>
        <v/>
      </c>
      <c r="V146">
        <f>IF([2]Baskol!$C$149="","",[2]Baskol!$C$149)</f>
        <v/>
      </c>
      <c r="W146">
        <f>IF([2]Baskol!$D$149="","",[2]Baskol!$D$149)</f>
        <v/>
      </c>
      <c r="X146">
        <f>IF([2]Baskol!$E$149="","",[2]Baskol!$E$149)</f>
        <v/>
      </c>
      <c r="Y146">
        <f>IF([2]Baskol!$G$149="","",[2]Baskol!$G$149)</f>
        <v/>
      </c>
      <c r="Z146">
        <f>IF([2]Baskol!$I$149="","",[2]Baskol!$I$149)</f>
        <v/>
      </c>
      <c r="AA146">
        <f>IF([2]Baskol!$J$149="","",[2]Baskol!$J$149)</f>
        <v/>
      </c>
      <c r="AB146">
        <f>IF([2]Baskol!$K$149="","",[2]Baskol!$K$149)</f>
        <v/>
      </c>
      <c r="AC146">
        <f>IF([2]Baskol!$L$149="","",[2]Baskol!$L$149)</f>
        <v/>
      </c>
      <c r="AD146">
        <f>IF([2]Baskol!$N$149="","",[2]Baskol!$N$149)</f>
        <v/>
      </c>
      <c r="AE146">
        <f>IF([2]Baskol!$O$149="","",[2]Baskol!$O$149)</f>
        <v/>
      </c>
      <c r="AG146">
        <f>IF([3]Entry!$C$149="","",[3]Entry!$C$149)</f>
        <v/>
      </c>
      <c r="AH146">
        <f>IF([3]Entry!$D$149="","",[3]Entry!$D$149)</f>
        <v/>
      </c>
      <c r="AI146">
        <f>IF([3]Entry!$E$149="","",[3]Entry!$E$149)</f>
        <v/>
      </c>
      <c r="AJ146">
        <f>IF([3]Entry!$G$149="","",[3]Entry!$G$149)</f>
        <v/>
      </c>
      <c r="AK146">
        <f>IF([3]Entry!$K$149="","",[3]Entry!$K$149)</f>
        <v/>
      </c>
      <c r="AL146">
        <f>IF([3]Entry!$L$149="","",[3]Entry!$L$149)</f>
        <v/>
      </c>
      <c r="AM146">
        <f>IF([3]Entry!$M$149="","",[3]Entry!$M$149)</f>
        <v/>
      </c>
      <c r="AN146">
        <f>IF([3]Entry!$N$149="","",[3]Entry!$N$149)</f>
        <v/>
      </c>
      <c r="AO146">
        <f>IF([3]Entry!$R$149="","",[3]Entry!$R$149)</f>
        <v/>
      </c>
      <c r="AQ146">
        <f>IF(AND($D146&lt;&gt;"",$A146&lt;&gt;""),1,0)</f>
        <v/>
      </c>
      <c r="AR146">
        <f>SUM($AQ$6:$AQ146)</f>
        <v/>
      </c>
      <c r="AS146">
        <f>IFERROR(INDEX($A$6:$A$565,MATCH(ROW()-5,$AR$6:$AR$565,0)),"")</f>
        <v/>
      </c>
    </row>
    <row r="147">
      <c r="A147">
        <f>IF([1]Accounts!$D$148="","",[1]Accounts!$A$148)</f>
        <v/>
      </c>
      <c r="B147">
        <f>IF([1]Accounts!$D$148="","",[1]Accounts!$B$148)</f>
        <v/>
      </c>
      <c r="C147">
        <f>IF([1]Accounts!$D$148="","",[1]Accounts!$C$148)</f>
        <v/>
      </c>
      <c r="D147">
        <f>IF([1]Accounts!$D$148="","",[1]Accounts!$D$148)</f>
        <v/>
      </c>
      <c r="E147">
        <f>IF([1]Accounts!$D$148="","",[1]Accounts!$J$148)</f>
        <v/>
      </c>
      <c r="F147">
        <f>IF([1]Accounts!$D$148="","",[1]Accounts!$K$148)</f>
        <v/>
      </c>
      <c r="U147">
        <f>IF([2]Baskol!$B$150="","",[2]Baskol!$B$150)</f>
        <v/>
      </c>
      <c r="V147">
        <f>IF([2]Baskol!$C$150="","",[2]Baskol!$C$150)</f>
        <v/>
      </c>
      <c r="W147">
        <f>IF([2]Baskol!$D$150="","",[2]Baskol!$D$150)</f>
        <v/>
      </c>
      <c r="X147">
        <f>IF([2]Baskol!$E$150="","",[2]Baskol!$E$150)</f>
        <v/>
      </c>
      <c r="Y147">
        <f>IF([2]Baskol!$G$150="","",[2]Baskol!$G$150)</f>
        <v/>
      </c>
      <c r="Z147">
        <f>IF([2]Baskol!$I$150="","",[2]Baskol!$I$150)</f>
        <v/>
      </c>
      <c r="AA147">
        <f>IF([2]Baskol!$J$150="","",[2]Baskol!$J$150)</f>
        <v/>
      </c>
      <c r="AB147">
        <f>IF([2]Baskol!$K$150="","",[2]Baskol!$K$150)</f>
        <v/>
      </c>
      <c r="AC147">
        <f>IF([2]Baskol!$L$150="","",[2]Baskol!$L$150)</f>
        <v/>
      </c>
      <c r="AD147">
        <f>IF([2]Baskol!$N$150="","",[2]Baskol!$N$150)</f>
        <v/>
      </c>
      <c r="AE147">
        <f>IF([2]Baskol!$O$150="","",[2]Baskol!$O$150)</f>
        <v/>
      </c>
      <c r="AG147">
        <f>IF([3]Entry!$C$150="","",[3]Entry!$C$150)</f>
        <v/>
      </c>
      <c r="AH147">
        <f>IF([3]Entry!$D$150="","",[3]Entry!$D$150)</f>
        <v/>
      </c>
      <c r="AI147">
        <f>IF([3]Entry!$E$150="","",[3]Entry!$E$150)</f>
        <v/>
      </c>
      <c r="AJ147">
        <f>IF([3]Entry!$G$150="","",[3]Entry!$G$150)</f>
        <v/>
      </c>
      <c r="AK147">
        <f>IF([3]Entry!$K$150="","",[3]Entry!$K$150)</f>
        <v/>
      </c>
      <c r="AL147">
        <f>IF([3]Entry!$L$150="","",[3]Entry!$L$150)</f>
        <v/>
      </c>
      <c r="AM147">
        <f>IF([3]Entry!$M$150="","",[3]Entry!$M$150)</f>
        <v/>
      </c>
      <c r="AN147">
        <f>IF([3]Entry!$N$150="","",[3]Entry!$N$150)</f>
        <v/>
      </c>
      <c r="AO147">
        <f>IF([3]Entry!$R$150="","",[3]Entry!$R$150)</f>
        <v/>
      </c>
      <c r="AQ147">
        <f>IF(AND($D147&lt;&gt;"",$A147&lt;&gt;""),1,0)</f>
        <v/>
      </c>
      <c r="AR147">
        <f>SUM($AQ$6:$AQ147)</f>
        <v/>
      </c>
      <c r="AS147">
        <f>IFERROR(INDEX($A$6:$A$565,MATCH(ROW()-5,$AR$6:$AR$565,0)),"")</f>
        <v/>
      </c>
    </row>
    <row r="148">
      <c r="A148">
        <f>IF([1]Accounts!$D$149="","",[1]Accounts!$A$149)</f>
        <v/>
      </c>
      <c r="B148">
        <f>IF([1]Accounts!$D$149="","",[1]Accounts!$B$149)</f>
        <v/>
      </c>
      <c r="C148">
        <f>IF([1]Accounts!$D$149="","",[1]Accounts!$C$149)</f>
        <v/>
      </c>
      <c r="D148">
        <f>IF([1]Accounts!$D$149="","",[1]Accounts!$D$149)</f>
        <v/>
      </c>
      <c r="E148">
        <f>IF([1]Accounts!$D$149="","",[1]Accounts!$J$149)</f>
        <v/>
      </c>
      <c r="F148">
        <f>IF([1]Accounts!$D$149="","",[1]Accounts!$K$149)</f>
        <v/>
      </c>
      <c r="U148">
        <f>IF([2]Baskol!$B$151="","",[2]Baskol!$B$151)</f>
        <v/>
      </c>
      <c r="V148">
        <f>IF([2]Baskol!$C$151="","",[2]Baskol!$C$151)</f>
        <v/>
      </c>
      <c r="W148">
        <f>IF([2]Baskol!$D$151="","",[2]Baskol!$D$151)</f>
        <v/>
      </c>
      <c r="X148">
        <f>IF([2]Baskol!$E$151="","",[2]Baskol!$E$151)</f>
        <v/>
      </c>
      <c r="Y148">
        <f>IF([2]Baskol!$G$151="","",[2]Baskol!$G$151)</f>
        <v/>
      </c>
      <c r="Z148">
        <f>IF([2]Baskol!$I$151="","",[2]Baskol!$I$151)</f>
        <v/>
      </c>
      <c r="AA148">
        <f>IF([2]Baskol!$J$151="","",[2]Baskol!$J$151)</f>
        <v/>
      </c>
      <c r="AB148">
        <f>IF([2]Baskol!$K$151="","",[2]Baskol!$K$151)</f>
        <v/>
      </c>
      <c r="AC148">
        <f>IF([2]Baskol!$L$151="","",[2]Baskol!$L$151)</f>
        <v/>
      </c>
      <c r="AD148">
        <f>IF([2]Baskol!$N$151="","",[2]Baskol!$N$151)</f>
        <v/>
      </c>
      <c r="AE148">
        <f>IF([2]Baskol!$O$151="","",[2]Baskol!$O$151)</f>
        <v/>
      </c>
      <c r="AG148">
        <f>IF([3]Entry!$C$151="","",[3]Entry!$C$151)</f>
        <v/>
      </c>
      <c r="AH148">
        <f>IF([3]Entry!$D$151="","",[3]Entry!$D$151)</f>
        <v/>
      </c>
      <c r="AI148">
        <f>IF([3]Entry!$E$151="","",[3]Entry!$E$151)</f>
        <v/>
      </c>
      <c r="AJ148">
        <f>IF([3]Entry!$G$151="","",[3]Entry!$G$151)</f>
        <v/>
      </c>
      <c r="AK148">
        <f>IF([3]Entry!$K$151="","",[3]Entry!$K$151)</f>
        <v/>
      </c>
      <c r="AL148">
        <f>IF([3]Entry!$L$151="","",[3]Entry!$L$151)</f>
        <v/>
      </c>
      <c r="AM148">
        <f>IF([3]Entry!$M$151="","",[3]Entry!$M$151)</f>
        <v/>
      </c>
      <c r="AN148">
        <f>IF([3]Entry!$N$151="","",[3]Entry!$N$151)</f>
        <v/>
      </c>
      <c r="AO148">
        <f>IF([3]Entry!$R$151="","",[3]Entry!$R$151)</f>
        <v/>
      </c>
      <c r="AQ148">
        <f>IF(AND($D148&lt;&gt;"",$A148&lt;&gt;""),1,0)</f>
        <v/>
      </c>
      <c r="AR148">
        <f>SUM($AQ$6:$AQ148)</f>
        <v/>
      </c>
      <c r="AS148">
        <f>IFERROR(INDEX($A$6:$A$565,MATCH(ROW()-5,$AR$6:$AR$565,0)),"")</f>
        <v/>
      </c>
    </row>
    <row r="149">
      <c r="A149">
        <f>IF([1]Accounts!$D$150="","",[1]Accounts!$A$150)</f>
        <v/>
      </c>
      <c r="B149">
        <f>IF([1]Accounts!$D$150="","",[1]Accounts!$B$150)</f>
        <v/>
      </c>
      <c r="C149">
        <f>IF([1]Accounts!$D$150="","",[1]Accounts!$C$150)</f>
        <v/>
      </c>
      <c r="D149">
        <f>IF([1]Accounts!$D$150="","",[1]Accounts!$D$150)</f>
        <v/>
      </c>
      <c r="E149">
        <f>IF([1]Accounts!$D$150="","",[1]Accounts!$J$150)</f>
        <v/>
      </c>
      <c r="F149">
        <f>IF([1]Accounts!$D$150="","",[1]Accounts!$K$150)</f>
        <v/>
      </c>
      <c r="U149">
        <f>IF([2]Baskol!$B$152="","",[2]Baskol!$B$152)</f>
        <v/>
      </c>
      <c r="V149">
        <f>IF([2]Baskol!$C$152="","",[2]Baskol!$C$152)</f>
        <v/>
      </c>
      <c r="W149">
        <f>IF([2]Baskol!$D$152="","",[2]Baskol!$D$152)</f>
        <v/>
      </c>
      <c r="X149">
        <f>IF([2]Baskol!$E$152="","",[2]Baskol!$E$152)</f>
        <v/>
      </c>
      <c r="Y149">
        <f>IF([2]Baskol!$G$152="","",[2]Baskol!$G$152)</f>
        <v/>
      </c>
      <c r="Z149">
        <f>IF([2]Baskol!$I$152="","",[2]Baskol!$I$152)</f>
        <v/>
      </c>
      <c r="AA149">
        <f>IF([2]Baskol!$J$152="","",[2]Baskol!$J$152)</f>
        <v/>
      </c>
      <c r="AB149">
        <f>IF([2]Baskol!$K$152="","",[2]Baskol!$K$152)</f>
        <v/>
      </c>
      <c r="AC149">
        <f>IF([2]Baskol!$L$152="","",[2]Baskol!$L$152)</f>
        <v/>
      </c>
      <c r="AD149">
        <f>IF([2]Baskol!$N$152="","",[2]Baskol!$N$152)</f>
        <v/>
      </c>
      <c r="AE149">
        <f>IF([2]Baskol!$O$152="","",[2]Baskol!$O$152)</f>
        <v/>
      </c>
      <c r="AG149">
        <f>IF([3]Entry!$C$152="","",[3]Entry!$C$152)</f>
        <v/>
      </c>
      <c r="AH149">
        <f>IF([3]Entry!$D$152="","",[3]Entry!$D$152)</f>
        <v/>
      </c>
      <c r="AI149">
        <f>IF([3]Entry!$E$152="","",[3]Entry!$E$152)</f>
        <v/>
      </c>
      <c r="AJ149">
        <f>IF([3]Entry!$G$152="","",[3]Entry!$G$152)</f>
        <v/>
      </c>
      <c r="AK149">
        <f>IF([3]Entry!$K$152="","",[3]Entry!$K$152)</f>
        <v/>
      </c>
      <c r="AL149">
        <f>IF([3]Entry!$L$152="","",[3]Entry!$L$152)</f>
        <v/>
      </c>
      <c r="AM149">
        <f>IF([3]Entry!$M$152="","",[3]Entry!$M$152)</f>
        <v/>
      </c>
      <c r="AN149">
        <f>IF([3]Entry!$N$152="","",[3]Entry!$N$152)</f>
        <v/>
      </c>
      <c r="AO149">
        <f>IF([3]Entry!$R$152="","",[3]Entry!$R$152)</f>
        <v/>
      </c>
      <c r="AQ149">
        <f>IF(AND($D149&lt;&gt;"",$A149&lt;&gt;""),1,0)</f>
        <v/>
      </c>
      <c r="AR149">
        <f>SUM($AQ$6:$AQ149)</f>
        <v/>
      </c>
      <c r="AS149">
        <f>IFERROR(INDEX($A$6:$A$565,MATCH(ROW()-5,$AR$6:$AR$565,0)),"")</f>
        <v/>
      </c>
    </row>
    <row r="150">
      <c r="A150">
        <f>IF([1]Accounts!$D$151="","",[1]Accounts!$A$151)</f>
        <v/>
      </c>
      <c r="B150">
        <f>IF([1]Accounts!$D$151="","",[1]Accounts!$B$151)</f>
        <v/>
      </c>
      <c r="C150">
        <f>IF([1]Accounts!$D$151="","",[1]Accounts!$C$151)</f>
        <v/>
      </c>
      <c r="D150">
        <f>IF([1]Accounts!$D$151="","",[1]Accounts!$D$151)</f>
        <v/>
      </c>
      <c r="E150">
        <f>IF([1]Accounts!$D$151="","",[1]Accounts!$J$151)</f>
        <v/>
      </c>
      <c r="F150">
        <f>IF([1]Accounts!$D$151="","",[1]Accounts!$K$151)</f>
        <v/>
      </c>
      <c r="U150">
        <f>IF([2]Baskol!$B$153="","",[2]Baskol!$B$153)</f>
        <v/>
      </c>
      <c r="V150">
        <f>IF([2]Baskol!$C$153="","",[2]Baskol!$C$153)</f>
        <v/>
      </c>
      <c r="W150">
        <f>IF([2]Baskol!$D$153="","",[2]Baskol!$D$153)</f>
        <v/>
      </c>
      <c r="X150">
        <f>IF([2]Baskol!$E$153="","",[2]Baskol!$E$153)</f>
        <v/>
      </c>
      <c r="Y150">
        <f>IF([2]Baskol!$G$153="","",[2]Baskol!$G$153)</f>
        <v/>
      </c>
      <c r="Z150">
        <f>IF([2]Baskol!$I$153="","",[2]Baskol!$I$153)</f>
        <v/>
      </c>
      <c r="AA150">
        <f>IF([2]Baskol!$J$153="","",[2]Baskol!$J$153)</f>
        <v/>
      </c>
      <c r="AB150">
        <f>IF([2]Baskol!$K$153="","",[2]Baskol!$K$153)</f>
        <v/>
      </c>
      <c r="AC150">
        <f>IF([2]Baskol!$L$153="","",[2]Baskol!$L$153)</f>
        <v/>
      </c>
      <c r="AD150">
        <f>IF([2]Baskol!$N$153="","",[2]Baskol!$N$153)</f>
        <v/>
      </c>
      <c r="AE150">
        <f>IF([2]Baskol!$O$153="","",[2]Baskol!$O$153)</f>
        <v/>
      </c>
      <c r="AG150">
        <f>IF([3]Entry!$C$153="","",[3]Entry!$C$153)</f>
        <v/>
      </c>
      <c r="AH150">
        <f>IF([3]Entry!$D$153="","",[3]Entry!$D$153)</f>
        <v/>
      </c>
      <c r="AI150">
        <f>IF([3]Entry!$E$153="","",[3]Entry!$E$153)</f>
        <v/>
      </c>
      <c r="AJ150">
        <f>IF([3]Entry!$G$153="","",[3]Entry!$G$153)</f>
        <v/>
      </c>
      <c r="AK150">
        <f>IF([3]Entry!$K$153="","",[3]Entry!$K$153)</f>
        <v/>
      </c>
      <c r="AL150">
        <f>IF([3]Entry!$L$153="","",[3]Entry!$L$153)</f>
        <v/>
      </c>
      <c r="AM150">
        <f>IF([3]Entry!$M$153="","",[3]Entry!$M$153)</f>
        <v/>
      </c>
      <c r="AN150">
        <f>IF([3]Entry!$N$153="","",[3]Entry!$N$153)</f>
        <v/>
      </c>
      <c r="AO150">
        <f>IF([3]Entry!$R$153="","",[3]Entry!$R$153)</f>
        <v/>
      </c>
      <c r="AQ150">
        <f>IF(AND($D150&lt;&gt;"",$A150&lt;&gt;""),1,0)</f>
        <v/>
      </c>
      <c r="AR150">
        <f>SUM($AQ$6:$AQ150)</f>
        <v/>
      </c>
      <c r="AS150">
        <f>IFERROR(INDEX($A$6:$A$565,MATCH(ROW()-5,$AR$6:$AR$565,0)),"")</f>
        <v/>
      </c>
    </row>
    <row r="151">
      <c r="A151">
        <f>IF([1]Accounts!$D$152="","",[1]Accounts!$A$152)</f>
        <v/>
      </c>
      <c r="B151">
        <f>IF([1]Accounts!$D$152="","",[1]Accounts!$B$152)</f>
        <v/>
      </c>
      <c r="C151">
        <f>IF([1]Accounts!$D$152="","",[1]Accounts!$C$152)</f>
        <v/>
      </c>
      <c r="D151">
        <f>IF([1]Accounts!$D$152="","",[1]Accounts!$D$152)</f>
        <v/>
      </c>
      <c r="E151">
        <f>IF([1]Accounts!$D$152="","",[1]Accounts!$J$152)</f>
        <v/>
      </c>
      <c r="F151">
        <f>IF([1]Accounts!$D$152="","",[1]Accounts!$K$152)</f>
        <v/>
      </c>
      <c r="U151">
        <f>IF([2]Baskol!$B$154="","",[2]Baskol!$B$154)</f>
        <v/>
      </c>
      <c r="V151">
        <f>IF([2]Baskol!$C$154="","",[2]Baskol!$C$154)</f>
        <v/>
      </c>
      <c r="W151">
        <f>IF([2]Baskol!$D$154="","",[2]Baskol!$D$154)</f>
        <v/>
      </c>
      <c r="X151">
        <f>IF([2]Baskol!$E$154="","",[2]Baskol!$E$154)</f>
        <v/>
      </c>
      <c r="Y151">
        <f>IF([2]Baskol!$G$154="","",[2]Baskol!$G$154)</f>
        <v/>
      </c>
      <c r="Z151">
        <f>IF([2]Baskol!$I$154="","",[2]Baskol!$I$154)</f>
        <v/>
      </c>
      <c r="AA151">
        <f>IF([2]Baskol!$J$154="","",[2]Baskol!$J$154)</f>
        <v/>
      </c>
      <c r="AB151">
        <f>IF([2]Baskol!$K$154="","",[2]Baskol!$K$154)</f>
        <v/>
      </c>
      <c r="AC151">
        <f>IF([2]Baskol!$L$154="","",[2]Baskol!$L$154)</f>
        <v/>
      </c>
      <c r="AD151">
        <f>IF([2]Baskol!$N$154="","",[2]Baskol!$N$154)</f>
        <v/>
      </c>
      <c r="AE151">
        <f>IF([2]Baskol!$O$154="","",[2]Baskol!$O$154)</f>
        <v/>
      </c>
      <c r="AG151">
        <f>IF([3]Entry!$C$154="","",[3]Entry!$C$154)</f>
        <v/>
      </c>
      <c r="AH151">
        <f>IF([3]Entry!$D$154="","",[3]Entry!$D$154)</f>
        <v/>
      </c>
      <c r="AI151">
        <f>IF([3]Entry!$E$154="","",[3]Entry!$E$154)</f>
        <v/>
      </c>
      <c r="AJ151">
        <f>IF([3]Entry!$G$154="","",[3]Entry!$G$154)</f>
        <v/>
      </c>
      <c r="AK151">
        <f>IF([3]Entry!$K$154="","",[3]Entry!$K$154)</f>
        <v/>
      </c>
      <c r="AL151">
        <f>IF([3]Entry!$L$154="","",[3]Entry!$L$154)</f>
        <v/>
      </c>
      <c r="AM151">
        <f>IF([3]Entry!$M$154="","",[3]Entry!$M$154)</f>
        <v/>
      </c>
      <c r="AN151">
        <f>IF([3]Entry!$N$154="","",[3]Entry!$N$154)</f>
        <v/>
      </c>
      <c r="AO151">
        <f>IF([3]Entry!$R$154="","",[3]Entry!$R$154)</f>
        <v/>
      </c>
      <c r="AQ151">
        <f>IF(AND($D151&lt;&gt;"",$A151&lt;&gt;""),1,0)</f>
        <v/>
      </c>
      <c r="AR151">
        <f>SUM($AQ$6:$AQ151)</f>
        <v/>
      </c>
      <c r="AS151">
        <f>IFERROR(INDEX($A$6:$A$565,MATCH(ROW()-5,$AR$6:$AR$565,0)),"")</f>
        <v/>
      </c>
    </row>
    <row r="152">
      <c r="A152">
        <f>IF([1]Accounts!$D$153="","",[1]Accounts!$A$153)</f>
        <v/>
      </c>
      <c r="B152">
        <f>IF([1]Accounts!$D$153="","",[1]Accounts!$B$153)</f>
        <v/>
      </c>
      <c r="C152">
        <f>IF([1]Accounts!$D$153="","",[1]Accounts!$C$153)</f>
        <v/>
      </c>
      <c r="D152">
        <f>IF([1]Accounts!$D$153="","",[1]Accounts!$D$153)</f>
        <v/>
      </c>
      <c r="E152">
        <f>IF([1]Accounts!$D$153="","",[1]Accounts!$J$153)</f>
        <v/>
      </c>
      <c r="F152">
        <f>IF([1]Accounts!$D$153="","",[1]Accounts!$K$153)</f>
        <v/>
      </c>
      <c r="U152">
        <f>IF([2]Baskol!$B$155="","",[2]Baskol!$B$155)</f>
        <v/>
      </c>
      <c r="V152">
        <f>IF([2]Baskol!$C$155="","",[2]Baskol!$C$155)</f>
        <v/>
      </c>
      <c r="W152">
        <f>IF([2]Baskol!$D$155="","",[2]Baskol!$D$155)</f>
        <v/>
      </c>
      <c r="X152">
        <f>IF([2]Baskol!$E$155="","",[2]Baskol!$E$155)</f>
        <v/>
      </c>
      <c r="Y152">
        <f>IF([2]Baskol!$G$155="","",[2]Baskol!$G$155)</f>
        <v/>
      </c>
      <c r="Z152">
        <f>IF([2]Baskol!$I$155="","",[2]Baskol!$I$155)</f>
        <v/>
      </c>
      <c r="AA152">
        <f>IF([2]Baskol!$J$155="","",[2]Baskol!$J$155)</f>
        <v/>
      </c>
      <c r="AB152">
        <f>IF([2]Baskol!$K$155="","",[2]Baskol!$K$155)</f>
        <v/>
      </c>
      <c r="AC152">
        <f>IF([2]Baskol!$L$155="","",[2]Baskol!$L$155)</f>
        <v/>
      </c>
      <c r="AD152">
        <f>IF([2]Baskol!$N$155="","",[2]Baskol!$N$155)</f>
        <v/>
      </c>
      <c r="AE152">
        <f>IF([2]Baskol!$O$155="","",[2]Baskol!$O$155)</f>
        <v/>
      </c>
      <c r="AG152">
        <f>IF([3]Entry!$C$155="","",[3]Entry!$C$155)</f>
        <v/>
      </c>
      <c r="AH152">
        <f>IF([3]Entry!$D$155="","",[3]Entry!$D$155)</f>
        <v/>
      </c>
      <c r="AI152">
        <f>IF([3]Entry!$E$155="","",[3]Entry!$E$155)</f>
        <v/>
      </c>
      <c r="AJ152">
        <f>IF([3]Entry!$G$155="","",[3]Entry!$G$155)</f>
        <v/>
      </c>
      <c r="AK152">
        <f>IF([3]Entry!$K$155="","",[3]Entry!$K$155)</f>
        <v/>
      </c>
      <c r="AL152">
        <f>IF([3]Entry!$L$155="","",[3]Entry!$L$155)</f>
        <v/>
      </c>
      <c r="AM152">
        <f>IF([3]Entry!$M$155="","",[3]Entry!$M$155)</f>
        <v/>
      </c>
      <c r="AN152">
        <f>IF([3]Entry!$N$155="","",[3]Entry!$N$155)</f>
        <v/>
      </c>
      <c r="AO152">
        <f>IF([3]Entry!$R$155="","",[3]Entry!$R$155)</f>
        <v/>
      </c>
      <c r="AQ152">
        <f>IF(AND($D152&lt;&gt;"",$A152&lt;&gt;""),1,0)</f>
        <v/>
      </c>
      <c r="AR152">
        <f>SUM($AQ$6:$AQ152)</f>
        <v/>
      </c>
      <c r="AS152">
        <f>IFERROR(INDEX($A$6:$A$565,MATCH(ROW()-5,$AR$6:$AR$565,0)),"")</f>
        <v/>
      </c>
    </row>
    <row r="153">
      <c r="A153">
        <f>IF([1]Accounts!$D$154="","",[1]Accounts!$A$154)</f>
        <v/>
      </c>
      <c r="B153">
        <f>IF([1]Accounts!$D$154="","",[1]Accounts!$B$154)</f>
        <v/>
      </c>
      <c r="C153">
        <f>IF([1]Accounts!$D$154="","",[1]Accounts!$C$154)</f>
        <v/>
      </c>
      <c r="D153">
        <f>IF([1]Accounts!$D$154="","",[1]Accounts!$D$154)</f>
        <v/>
      </c>
      <c r="E153">
        <f>IF([1]Accounts!$D$154="","",[1]Accounts!$J$154)</f>
        <v/>
      </c>
      <c r="F153">
        <f>IF([1]Accounts!$D$154="","",[1]Accounts!$K$154)</f>
        <v/>
      </c>
      <c r="U153">
        <f>IF([2]Baskol!$B$156="","",[2]Baskol!$B$156)</f>
        <v/>
      </c>
      <c r="V153">
        <f>IF([2]Baskol!$C$156="","",[2]Baskol!$C$156)</f>
        <v/>
      </c>
      <c r="W153">
        <f>IF([2]Baskol!$D$156="","",[2]Baskol!$D$156)</f>
        <v/>
      </c>
      <c r="X153">
        <f>IF([2]Baskol!$E$156="","",[2]Baskol!$E$156)</f>
        <v/>
      </c>
      <c r="Y153">
        <f>IF([2]Baskol!$G$156="","",[2]Baskol!$G$156)</f>
        <v/>
      </c>
      <c r="Z153">
        <f>IF([2]Baskol!$I$156="","",[2]Baskol!$I$156)</f>
        <v/>
      </c>
      <c r="AA153">
        <f>IF([2]Baskol!$J$156="","",[2]Baskol!$J$156)</f>
        <v/>
      </c>
      <c r="AB153">
        <f>IF([2]Baskol!$K$156="","",[2]Baskol!$K$156)</f>
        <v/>
      </c>
      <c r="AC153">
        <f>IF([2]Baskol!$L$156="","",[2]Baskol!$L$156)</f>
        <v/>
      </c>
      <c r="AD153">
        <f>IF([2]Baskol!$N$156="","",[2]Baskol!$N$156)</f>
        <v/>
      </c>
      <c r="AE153">
        <f>IF([2]Baskol!$O$156="","",[2]Baskol!$O$156)</f>
        <v/>
      </c>
      <c r="AG153">
        <f>IF([3]Entry!$C$156="","",[3]Entry!$C$156)</f>
        <v/>
      </c>
      <c r="AH153">
        <f>IF([3]Entry!$D$156="","",[3]Entry!$D$156)</f>
        <v/>
      </c>
      <c r="AI153">
        <f>IF([3]Entry!$E$156="","",[3]Entry!$E$156)</f>
        <v/>
      </c>
      <c r="AJ153">
        <f>IF([3]Entry!$G$156="","",[3]Entry!$G$156)</f>
        <v/>
      </c>
      <c r="AK153">
        <f>IF([3]Entry!$K$156="","",[3]Entry!$K$156)</f>
        <v/>
      </c>
      <c r="AL153">
        <f>IF([3]Entry!$L$156="","",[3]Entry!$L$156)</f>
        <v/>
      </c>
      <c r="AM153">
        <f>IF([3]Entry!$M$156="","",[3]Entry!$M$156)</f>
        <v/>
      </c>
      <c r="AN153">
        <f>IF([3]Entry!$N$156="","",[3]Entry!$N$156)</f>
        <v/>
      </c>
      <c r="AO153">
        <f>IF([3]Entry!$R$156="","",[3]Entry!$R$156)</f>
        <v/>
      </c>
      <c r="AQ153">
        <f>IF(AND($D153&lt;&gt;"",$A153&lt;&gt;""),1,0)</f>
        <v/>
      </c>
      <c r="AR153">
        <f>SUM($AQ$6:$AQ153)</f>
        <v/>
      </c>
      <c r="AS153">
        <f>IFERROR(INDEX($A$6:$A$565,MATCH(ROW()-5,$AR$6:$AR$565,0)),"")</f>
        <v/>
      </c>
    </row>
    <row r="154">
      <c r="A154">
        <f>IF([1]Accounts!$D$155="","",[1]Accounts!$A$155)</f>
        <v/>
      </c>
      <c r="B154">
        <f>IF([1]Accounts!$D$155="","",[1]Accounts!$B$155)</f>
        <v/>
      </c>
      <c r="C154">
        <f>IF([1]Accounts!$D$155="","",[1]Accounts!$C$155)</f>
        <v/>
      </c>
      <c r="D154">
        <f>IF([1]Accounts!$D$155="","",[1]Accounts!$D$155)</f>
        <v/>
      </c>
      <c r="E154">
        <f>IF([1]Accounts!$D$155="","",[1]Accounts!$J$155)</f>
        <v/>
      </c>
      <c r="F154">
        <f>IF([1]Accounts!$D$155="","",[1]Accounts!$K$155)</f>
        <v/>
      </c>
      <c r="U154">
        <f>IF([2]Baskol!$B$157="","",[2]Baskol!$B$157)</f>
        <v/>
      </c>
      <c r="V154">
        <f>IF([2]Baskol!$C$157="","",[2]Baskol!$C$157)</f>
        <v/>
      </c>
      <c r="W154">
        <f>IF([2]Baskol!$D$157="","",[2]Baskol!$D$157)</f>
        <v/>
      </c>
      <c r="X154">
        <f>IF([2]Baskol!$E$157="","",[2]Baskol!$E$157)</f>
        <v/>
      </c>
      <c r="Y154">
        <f>IF([2]Baskol!$G$157="","",[2]Baskol!$G$157)</f>
        <v/>
      </c>
      <c r="Z154">
        <f>IF([2]Baskol!$I$157="","",[2]Baskol!$I$157)</f>
        <v/>
      </c>
      <c r="AA154">
        <f>IF([2]Baskol!$J$157="","",[2]Baskol!$J$157)</f>
        <v/>
      </c>
      <c r="AB154">
        <f>IF([2]Baskol!$K$157="","",[2]Baskol!$K$157)</f>
        <v/>
      </c>
      <c r="AC154">
        <f>IF([2]Baskol!$L$157="","",[2]Baskol!$L$157)</f>
        <v/>
      </c>
      <c r="AD154">
        <f>IF([2]Baskol!$N$157="","",[2]Baskol!$N$157)</f>
        <v/>
      </c>
      <c r="AE154">
        <f>IF([2]Baskol!$O$157="","",[2]Baskol!$O$157)</f>
        <v/>
      </c>
      <c r="AG154">
        <f>IF([3]Entry!$C$157="","",[3]Entry!$C$157)</f>
        <v/>
      </c>
      <c r="AH154">
        <f>IF([3]Entry!$D$157="","",[3]Entry!$D$157)</f>
        <v/>
      </c>
      <c r="AI154">
        <f>IF([3]Entry!$E$157="","",[3]Entry!$E$157)</f>
        <v/>
      </c>
      <c r="AJ154">
        <f>IF([3]Entry!$G$157="","",[3]Entry!$G$157)</f>
        <v/>
      </c>
      <c r="AK154">
        <f>IF([3]Entry!$K$157="","",[3]Entry!$K$157)</f>
        <v/>
      </c>
      <c r="AL154">
        <f>IF([3]Entry!$L$157="","",[3]Entry!$L$157)</f>
        <v/>
      </c>
      <c r="AM154">
        <f>IF([3]Entry!$M$157="","",[3]Entry!$M$157)</f>
        <v/>
      </c>
      <c r="AN154">
        <f>IF([3]Entry!$N$157="","",[3]Entry!$N$157)</f>
        <v/>
      </c>
      <c r="AO154">
        <f>IF([3]Entry!$R$157="","",[3]Entry!$R$157)</f>
        <v/>
      </c>
      <c r="AQ154">
        <f>IF(AND($D154&lt;&gt;"",$A154&lt;&gt;""),1,0)</f>
        <v/>
      </c>
      <c r="AR154">
        <f>SUM($AQ$6:$AQ154)</f>
        <v/>
      </c>
      <c r="AS154">
        <f>IFERROR(INDEX($A$6:$A$565,MATCH(ROW()-5,$AR$6:$AR$565,0)),"")</f>
        <v/>
      </c>
    </row>
    <row r="155">
      <c r="A155">
        <f>IF([1]Accounts!$D$156="","",[1]Accounts!$A$156)</f>
        <v/>
      </c>
      <c r="B155">
        <f>IF([1]Accounts!$D$156="","",[1]Accounts!$B$156)</f>
        <v/>
      </c>
      <c r="C155">
        <f>IF([1]Accounts!$D$156="","",[1]Accounts!$C$156)</f>
        <v/>
      </c>
      <c r="D155">
        <f>IF([1]Accounts!$D$156="","",[1]Accounts!$D$156)</f>
        <v/>
      </c>
      <c r="E155">
        <f>IF([1]Accounts!$D$156="","",[1]Accounts!$J$156)</f>
        <v/>
      </c>
      <c r="F155">
        <f>IF([1]Accounts!$D$156="","",[1]Accounts!$K$156)</f>
        <v/>
      </c>
      <c r="U155">
        <f>IF([2]Baskol!$B$158="","",[2]Baskol!$B$158)</f>
        <v/>
      </c>
      <c r="V155">
        <f>IF([2]Baskol!$C$158="","",[2]Baskol!$C$158)</f>
        <v/>
      </c>
      <c r="W155">
        <f>IF([2]Baskol!$D$158="","",[2]Baskol!$D$158)</f>
        <v/>
      </c>
      <c r="X155">
        <f>IF([2]Baskol!$E$158="","",[2]Baskol!$E$158)</f>
        <v/>
      </c>
      <c r="Y155">
        <f>IF([2]Baskol!$G$158="","",[2]Baskol!$G$158)</f>
        <v/>
      </c>
      <c r="Z155">
        <f>IF([2]Baskol!$I$158="","",[2]Baskol!$I$158)</f>
        <v/>
      </c>
      <c r="AA155">
        <f>IF([2]Baskol!$J$158="","",[2]Baskol!$J$158)</f>
        <v/>
      </c>
      <c r="AB155">
        <f>IF([2]Baskol!$K$158="","",[2]Baskol!$K$158)</f>
        <v/>
      </c>
      <c r="AC155">
        <f>IF([2]Baskol!$L$158="","",[2]Baskol!$L$158)</f>
        <v/>
      </c>
      <c r="AD155">
        <f>IF([2]Baskol!$N$158="","",[2]Baskol!$N$158)</f>
        <v/>
      </c>
      <c r="AE155">
        <f>IF([2]Baskol!$O$158="","",[2]Baskol!$O$158)</f>
        <v/>
      </c>
      <c r="AG155">
        <f>IF([3]Entry!$C$158="","",[3]Entry!$C$158)</f>
        <v/>
      </c>
      <c r="AH155">
        <f>IF([3]Entry!$D$158="","",[3]Entry!$D$158)</f>
        <v/>
      </c>
      <c r="AI155">
        <f>IF([3]Entry!$E$158="","",[3]Entry!$E$158)</f>
        <v/>
      </c>
      <c r="AJ155">
        <f>IF([3]Entry!$G$158="","",[3]Entry!$G$158)</f>
        <v/>
      </c>
      <c r="AK155">
        <f>IF([3]Entry!$K$158="","",[3]Entry!$K$158)</f>
        <v/>
      </c>
      <c r="AL155">
        <f>IF([3]Entry!$L$158="","",[3]Entry!$L$158)</f>
        <v/>
      </c>
      <c r="AM155">
        <f>IF([3]Entry!$M$158="","",[3]Entry!$M$158)</f>
        <v/>
      </c>
      <c r="AN155">
        <f>IF([3]Entry!$N$158="","",[3]Entry!$N$158)</f>
        <v/>
      </c>
      <c r="AO155">
        <f>IF([3]Entry!$R$158="","",[3]Entry!$R$158)</f>
        <v/>
      </c>
      <c r="AQ155">
        <f>IF(AND($D155&lt;&gt;"",$A155&lt;&gt;""),1,0)</f>
        <v/>
      </c>
      <c r="AR155">
        <f>SUM($AQ$6:$AQ155)</f>
        <v/>
      </c>
      <c r="AS155">
        <f>IFERROR(INDEX($A$6:$A$565,MATCH(ROW()-5,$AR$6:$AR$565,0)),"")</f>
        <v/>
      </c>
    </row>
    <row r="156">
      <c r="A156">
        <f>IF([1]Accounts!$D$157="","",[1]Accounts!$A$157)</f>
        <v/>
      </c>
      <c r="B156">
        <f>IF([1]Accounts!$D$157="","",[1]Accounts!$B$157)</f>
        <v/>
      </c>
      <c r="C156">
        <f>IF([1]Accounts!$D$157="","",[1]Accounts!$C$157)</f>
        <v/>
      </c>
      <c r="D156">
        <f>IF([1]Accounts!$D$157="","",[1]Accounts!$D$157)</f>
        <v/>
      </c>
      <c r="E156">
        <f>IF([1]Accounts!$D$157="","",[1]Accounts!$J$157)</f>
        <v/>
      </c>
      <c r="F156">
        <f>IF([1]Accounts!$D$157="","",[1]Accounts!$K$157)</f>
        <v/>
      </c>
      <c r="U156">
        <f>IF([2]Baskol!$B$159="","",[2]Baskol!$B$159)</f>
        <v/>
      </c>
      <c r="V156">
        <f>IF([2]Baskol!$C$159="","",[2]Baskol!$C$159)</f>
        <v/>
      </c>
      <c r="W156">
        <f>IF([2]Baskol!$D$159="","",[2]Baskol!$D$159)</f>
        <v/>
      </c>
      <c r="X156">
        <f>IF([2]Baskol!$E$159="","",[2]Baskol!$E$159)</f>
        <v/>
      </c>
      <c r="Y156">
        <f>IF([2]Baskol!$G$159="","",[2]Baskol!$G$159)</f>
        <v/>
      </c>
      <c r="Z156">
        <f>IF([2]Baskol!$I$159="","",[2]Baskol!$I$159)</f>
        <v/>
      </c>
      <c r="AA156">
        <f>IF([2]Baskol!$J$159="","",[2]Baskol!$J$159)</f>
        <v/>
      </c>
      <c r="AB156">
        <f>IF([2]Baskol!$K$159="","",[2]Baskol!$K$159)</f>
        <v/>
      </c>
      <c r="AC156">
        <f>IF([2]Baskol!$L$159="","",[2]Baskol!$L$159)</f>
        <v/>
      </c>
      <c r="AD156">
        <f>IF([2]Baskol!$N$159="","",[2]Baskol!$N$159)</f>
        <v/>
      </c>
      <c r="AE156">
        <f>IF([2]Baskol!$O$159="","",[2]Baskol!$O$159)</f>
        <v/>
      </c>
      <c r="AG156">
        <f>IF([3]Entry!$C$159="","",[3]Entry!$C$159)</f>
        <v/>
      </c>
      <c r="AH156">
        <f>IF([3]Entry!$D$159="","",[3]Entry!$D$159)</f>
        <v/>
      </c>
      <c r="AI156">
        <f>IF([3]Entry!$E$159="","",[3]Entry!$E$159)</f>
        <v/>
      </c>
      <c r="AJ156">
        <f>IF([3]Entry!$G$159="","",[3]Entry!$G$159)</f>
        <v/>
      </c>
      <c r="AK156">
        <f>IF([3]Entry!$K$159="","",[3]Entry!$K$159)</f>
        <v/>
      </c>
      <c r="AL156">
        <f>IF([3]Entry!$L$159="","",[3]Entry!$L$159)</f>
        <v/>
      </c>
      <c r="AM156">
        <f>IF([3]Entry!$M$159="","",[3]Entry!$M$159)</f>
        <v/>
      </c>
      <c r="AN156">
        <f>IF([3]Entry!$N$159="","",[3]Entry!$N$159)</f>
        <v/>
      </c>
      <c r="AO156">
        <f>IF([3]Entry!$R$159="","",[3]Entry!$R$159)</f>
        <v/>
      </c>
      <c r="AQ156">
        <f>IF(AND($D156&lt;&gt;"",$A156&lt;&gt;""),1,0)</f>
        <v/>
      </c>
      <c r="AR156">
        <f>SUM($AQ$6:$AQ156)</f>
        <v/>
      </c>
      <c r="AS156">
        <f>IFERROR(INDEX($A$6:$A$565,MATCH(ROW()-5,$AR$6:$AR$565,0)),"")</f>
        <v/>
      </c>
    </row>
    <row r="157">
      <c r="A157">
        <f>IF([1]Accounts!$D$158="","",[1]Accounts!$A$158)</f>
        <v/>
      </c>
      <c r="B157">
        <f>IF([1]Accounts!$D$158="","",[1]Accounts!$B$158)</f>
        <v/>
      </c>
      <c r="C157">
        <f>IF([1]Accounts!$D$158="","",[1]Accounts!$C$158)</f>
        <v/>
      </c>
      <c r="D157">
        <f>IF([1]Accounts!$D$158="","",[1]Accounts!$D$158)</f>
        <v/>
      </c>
      <c r="E157">
        <f>IF([1]Accounts!$D$158="","",[1]Accounts!$J$158)</f>
        <v/>
      </c>
      <c r="F157">
        <f>IF([1]Accounts!$D$158="","",[1]Accounts!$K$158)</f>
        <v/>
      </c>
      <c r="U157">
        <f>IF([2]Baskol!$B$160="","",[2]Baskol!$B$160)</f>
        <v/>
      </c>
      <c r="V157">
        <f>IF([2]Baskol!$C$160="","",[2]Baskol!$C$160)</f>
        <v/>
      </c>
      <c r="W157">
        <f>IF([2]Baskol!$D$160="","",[2]Baskol!$D$160)</f>
        <v/>
      </c>
      <c r="X157">
        <f>IF([2]Baskol!$E$160="","",[2]Baskol!$E$160)</f>
        <v/>
      </c>
      <c r="Y157">
        <f>IF([2]Baskol!$G$160="","",[2]Baskol!$G$160)</f>
        <v/>
      </c>
      <c r="Z157">
        <f>IF([2]Baskol!$I$160="","",[2]Baskol!$I$160)</f>
        <v/>
      </c>
      <c r="AA157">
        <f>IF([2]Baskol!$J$160="","",[2]Baskol!$J$160)</f>
        <v/>
      </c>
      <c r="AB157">
        <f>IF([2]Baskol!$K$160="","",[2]Baskol!$K$160)</f>
        <v/>
      </c>
      <c r="AC157">
        <f>IF([2]Baskol!$L$160="","",[2]Baskol!$L$160)</f>
        <v/>
      </c>
      <c r="AD157">
        <f>IF([2]Baskol!$N$160="","",[2]Baskol!$N$160)</f>
        <v/>
      </c>
      <c r="AE157">
        <f>IF([2]Baskol!$O$160="","",[2]Baskol!$O$160)</f>
        <v/>
      </c>
      <c r="AG157">
        <f>IF([3]Entry!$C$160="","",[3]Entry!$C$160)</f>
        <v/>
      </c>
      <c r="AH157">
        <f>IF([3]Entry!$D$160="","",[3]Entry!$D$160)</f>
        <v/>
      </c>
      <c r="AI157">
        <f>IF([3]Entry!$E$160="","",[3]Entry!$E$160)</f>
        <v/>
      </c>
      <c r="AJ157">
        <f>IF([3]Entry!$G$160="","",[3]Entry!$G$160)</f>
        <v/>
      </c>
      <c r="AK157">
        <f>IF([3]Entry!$K$160="","",[3]Entry!$K$160)</f>
        <v/>
      </c>
      <c r="AL157">
        <f>IF([3]Entry!$L$160="","",[3]Entry!$L$160)</f>
        <v/>
      </c>
      <c r="AM157">
        <f>IF([3]Entry!$M$160="","",[3]Entry!$M$160)</f>
        <v/>
      </c>
      <c r="AN157">
        <f>IF([3]Entry!$N$160="","",[3]Entry!$N$160)</f>
        <v/>
      </c>
      <c r="AO157">
        <f>IF([3]Entry!$R$160="","",[3]Entry!$R$160)</f>
        <v/>
      </c>
      <c r="AQ157">
        <f>IF(AND($D157&lt;&gt;"",$A157&lt;&gt;""),1,0)</f>
        <v/>
      </c>
      <c r="AR157">
        <f>SUM($AQ$6:$AQ157)</f>
        <v/>
      </c>
      <c r="AS157">
        <f>IFERROR(INDEX($A$6:$A$565,MATCH(ROW()-5,$AR$6:$AR$565,0)),"")</f>
        <v/>
      </c>
    </row>
    <row r="158">
      <c r="A158">
        <f>IF([1]Accounts!$D$159="","",[1]Accounts!$A$159)</f>
        <v/>
      </c>
      <c r="B158">
        <f>IF([1]Accounts!$D$159="","",[1]Accounts!$B$159)</f>
        <v/>
      </c>
      <c r="C158">
        <f>IF([1]Accounts!$D$159="","",[1]Accounts!$C$159)</f>
        <v/>
      </c>
      <c r="D158">
        <f>IF([1]Accounts!$D$159="","",[1]Accounts!$D$159)</f>
        <v/>
      </c>
      <c r="E158">
        <f>IF([1]Accounts!$D$159="","",[1]Accounts!$J$159)</f>
        <v/>
      </c>
      <c r="F158">
        <f>IF([1]Accounts!$D$159="","",[1]Accounts!$K$159)</f>
        <v/>
      </c>
      <c r="U158">
        <f>IF([2]Baskol!$B$161="","",[2]Baskol!$B$161)</f>
        <v/>
      </c>
      <c r="V158">
        <f>IF([2]Baskol!$C$161="","",[2]Baskol!$C$161)</f>
        <v/>
      </c>
      <c r="W158">
        <f>IF([2]Baskol!$D$161="","",[2]Baskol!$D$161)</f>
        <v/>
      </c>
      <c r="X158">
        <f>IF([2]Baskol!$E$161="","",[2]Baskol!$E$161)</f>
        <v/>
      </c>
      <c r="Y158">
        <f>IF([2]Baskol!$G$161="","",[2]Baskol!$G$161)</f>
        <v/>
      </c>
      <c r="Z158">
        <f>IF([2]Baskol!$I$161="","",[2]Baskol!$I$161)</f>
        <v/>
      </c>
      <c r="AA158">
        <f>IF([2]Baskol!$J$161="","",[2]Baskol!$J$161)</f>
        <v/>
      </c>
      <c r="AB158">
        <f>IF([2]Baskol!$K$161="","",[2]Baskol!$K$161)</f>
        <v/>
      </c>
      <c r="AC158">
        <f>IF([2]Baskol!$L$161="","",[2]Baskol!$L$161)</f>
        <v/>
      </c>
      <c r="AD158">
        <f>IF([2]Baskol!$N$161="","",[2]Baskol!$N$161)</f>
        <v/>
      </c>
      <c r="AE158">
        <f>IF([2]Baskol!$O$161="","",[2]Baskol!$O$161)</f>
        <v/>
      </c>
      <c r="AG158">
        <f>IF([3]Entry!$C$161="","",[3]Entry!$C$161)</f>
        <v/>
      </c>
      <c r="AH158">
        <f>IF([3]Entry!$D$161="","",[3]Entry!$D$161)</f>
        <v/>
      </c>
      <c r="AI158">
        <f>IF([3]Entry!$E$161="","",[3]Entry!$E$161)</f>
        <v/>
      </c>
      <c r="AJ158">
        <f>IF([3]Entry!$G$161="","",[3]Entry!$G$161)</f>
        <v/>
      </c>
      <c r="AK158">
        <f>IF([3]Entry!$K$161="","",[3]Entry!$K$161)</f>
        <v/>
      </c>
      <c r="AL158">
        <f>IF([3]Entry!$L$161="","",[3]Entry!$L$161)</f>
        <v/>
      </c>
      <c r="AM158">
        <f>IF([3]Entry!$M$161="","",[3]Entry!$M$161)</f>
        <v/>
      </c>
      <c r="AN158">
        <f>IF([3]Entry!$N$161="","",[3]Entry!$N$161)</f>
        <v/>
      </c>
      <c r="AO158">
        <f>IF([3]Entry!$R$161="","",[3]Entry!$R$161)</f>
        <v/>
      </c>
      <c r="AQ158">
        <f>IF(AND($D158&lt;&gt;"",$A158&lt;&gt;""),1,0)</f>
        <v/>
      </c>
      <c r="AR158">
        <f>SUM($AQ$6:$AQ158)</f>
        <v/>
      </c>
      <c r="AS158">
        <f>IFERROR(INDEX($A$6:$A$565,MATCH(ROW()-5,$AR$6:$AR$565,0)),"")</f>
        <v/>
      </c>
    </row>
    <row r="159">
      <c r="A159">
        <f>IF([1]Accounts!$D$160="","",[1]Accounts!$A$160)</f>
        <v/>
      </c>
      <c r="B159">
        <f>IF([1]Accounts!$D$160="","",[1]Accounts!$B$160)</f>
        <v/>
      </c>
      <c r="C159">
        <f>IF([1]Accounts!$D$160="","",[1]Accounts!$C$160)</f>
        <v/>
      </c>
      <c r="D159">
        <f>IF([1]Accounts!$D$160="","",[1]Accounts!$D$160)</f>
        <v/>
      </c>
      <c r="E159">
        <f>IF([1]Accounts!$D$160="","",[1]Accounts!$J$160)</f>
        <v/>
      </c>
      <c r="F159">
        <f>IF([1]Accounts!$D$160="","",[1]Accounts!$K$160)</f>
        <v/>
      </c>
      <c r="U159">
        <f>IF([2]Baskol!$B$162="","",[2]Baskol!$B$162)</f>
        <v/>
      </c>
      <c r="V159">
        <f>IF([2]Baskol!$C$162="","",[2]Baskol!$C$162)</f>
        <v/>
      </c>
      <c r="W159">
        <f>IF([2]Baskol!$D$162="","",[2]Baskol!$D$162)</f>
        <v/>
      </c>
      <c r="X159">
        <f>IF([2]Baskol!$E$162="","",[2]Baskol!$E$162)</f>
        <v/>
      </c>
      <c r="Y159">
        <f>IF([2]Baskol!$G$162="","",[2]Baskol!$G$162)</f>
        <v/>
      </c>
      <c r="Z159">
        <f>IF([2]Baskol!$I$162="","",[2]Baskol!$I$162)</f>
        <v/>
      </c>
      <c r="AA159">
        <f>IF([2]Baskol!$J$162="","",[2]Baskol!$J$162)</f>
        <v/>
      </c>
      <c r="AB159">
        <f>IF([2]Baskol!$K$162="","",[2]Baskol!$K$162)</f>
        <v/>
      </c>
      <c r="AC159">
        <f>IF([2]Baskol!$L$162="","",[2]Baskol!$L$162)</f>
        <v/>
      </c>
      <c r="AD159">
        <f>IF([2]Baskol!$N$162="","",[2]Baskol!$N$162)</f>
        <v/>
      </c>
      <c r="AE159">
        <f>IF([2]Baskol!$O$162="","",[2]Baskol!$O$162)</f>
        <v/>
      </c>
      <c r="AG159">
        <f>IF([3]Entry!$C$162="","",[3]Entry!$C$162)</f>
        <v/>
      </c>
      <c r="AH159">
        <f>IF([3]Entry!$D$162="","",[3]Entry!$D$162)</f>
        <v/>
      </c>
      <c r="AI159">
        <f>IF([3]Entry!$E$162="","",[3]Entry!$E$162)</f>
        <v/>
      </c>
      <c r="AJ159">
        <f>IF([3]Entry!$G$162="","",[3]Entry!$G$162)</f>
        <v/>
      </c>
      <c r="AK159">
        <f>IF([3]Entry!$K$162="","",[3]Entry!$K$162)</f>
        <v/>
      </c>
      <c r="AL159">
        <f>IF([3]Entry!$L$162="","",[3]Entry!$L$162)</f>
        <v/>
      </c>
      <c r="AM159">
        <f>IF([3]Entry!$M$162="","",[3]Entry!$M$162)</f>
        <v/>
      </c>
      <c r="AN159">
        <f>IF([3]Entry!$N$162="","",[3]Entry!$N$162)</f>
        <v/>
      </c>
      <c r="AO159">
        <f>IF([3]Entry!$R$162="","",[3]Entry!$R$162)</f>
        <v/>
      </c>
      <c r="AQ159">
        <f>IF(AND($D159&lt;&gt;"",$A159&lt;&gt;""),1,0)</f>
        <v/>
      </c>
      <c r="AR159">
        <f>SUM($AQ$6:$AQ159)</f>
        <v/>
      </c>
      <c r="AS159">
        <f>IFERROR(INDEX($A$6:$A$565,MATCH(ROW()-5,$AR$6:$AR$565,0)),"")</f>
        <v/>
      </c>
    </row>
    <row r="160">
      <c r="A160">
        <f>IF([1]Accounts!$D$161="","",[1]Accounts!$A$161)</f>
        <v/>
      </c>
      <c r="B160">
        <f>IF([1]Accounts!$D$161="","",[1]Accounts!$B$161)</f>
        <v/>
      </c>
      <c r="C160">
        <f>IF([1]Accounts!$D$161="","",[1]Accounts!$C$161)</f>
        <v/>
      </c>
      <c r="D160">
        <f>IF([1]Accounts!$D$161="","",[1]Accounts!$D$161)</f>
        <v/>
      </c>
      <c r="E160">
        <f>IF([1]Accounts!$D$161="","",[1]Accounts!$J$161)</f>
        <v/>
      </c>
      <c r="F160">
        <f>IF([1]Accounts!$D$161="","",[1]Accounts!$K$161)</f>
        <v/>
      </c>
      <c r="U160">
        <f>IF([2]Baskol!$B$163="","",[2]Baskol!$B$163)</f>
        <v/>
      </c>
      <c r="V160">
        <f>IF([2]Baskol!$C$163="","",[2]Baskol!$C$163)</f>
        <v/>
      </c>
      <c r="W160">
        <f>IF([2]Baskol!$D$163="","",[2]Baskol!$D$163)</f>
        <v/>
      </c>
      <c r="X160">
        <f>IF([2]Baskol!$E$163="","",[2]Baskol!$E$163)</f>
        <v/>
      </c>
      <c r="Y160">
        <f>IF([2]Baskol!$G$163="","",[2]Baskol!$G$163)</f>
        <v/>
      </c>
      <c r="Z160">
        <f>IF([2]Baskol!$I$163="","",[2]Baskol!$I$163)</f>
        <v/>
      </c>
      <c r="AA160">
        <f>IF([2]Baskol!$J$163="","",[2]Baskol!$J$163)</f>
        <v/>
      </c>
      <c r="AB160">
        <f>IF([2]Baskol!$K$163="","",[2]Baskol!$K$163)</f>
        <v/>
      </c>
      <c r="AC160">
        <f>IF([2]Baskol!$L$163="","",[2]Baskol!$L$163)</f>
        <v/>
      </c>
      <c r="AD160">
        <f>IF([2]Baskol!$N$163="","",[2]Baskol!$N$163)</f>
        <v/>
      </c>
      <c r="AE160">
        <f>IF([2]Baskol!$O$163="","",[2]Baskol!$O$163)</f>
        <v/>
      </c>
      <c r="AG160">
        <f>IF([3]Entry!$C$163="","",[3]Entry!$C$163)</f>
        <v/>
      </c>
      <c r="AH160">
        <f>IF([3]Entry!$D$163="","",[3]Entry!$D$163)</f>
        <v/>
      </c>
      <c r="AI160">
        <f>IF([3]Entry!$E$163="","",[3]Entry!$E$163)</f>
        <v/>
      </c>
      <c r="AJ160">
        <f>IF([3]Entry!$G$163="","",[3]Entry!$G$163)</f>
        <v/>
      </c>
      <c r="AK160">
        <f>IF([3]Entry!$K$163="","",[3]Entry!$K$163)</f>
        <v/>
      </c>
      <c r="AL160">
        <f>IF([3]Entry!$L$163="","",[3]Entry!$L$163)</f>
        <v/>
      </c>
      <c r="AM160">
        <f>IF([3]Entry!$M$163="","",[3]Entry!$M$163)</f>
        <v/>
      </c>
      <c r="AN160">
        <f>IF([3]Entry!$N$163="","",[3]Entry!$N$163)</f>
        <v/>
      </c>
      <c r="AO160">
        <f>IF([3]Entry!$R$163="","",[3]Entry!$R$163)</f>
        <v/>
      </c>
      <c r="AQ160">
        <f>IF(AND($D160&lt;&gt;"",$A160&lt;&gt;""),1,0)</f>
        <v/>
      </c>
      <c r="AR160">
        <f>SUM($AQ$6:$AQ160)</f>
        <v/>
      </c>
      <c r="AS160">
        <f>IFERROR(INDEX($A$6:$A$565,MATCH(ROW()-5,$AR$6:$AR$565,0)),"")</f>
        <v/>
      </c>
    </row>
    <row r="161">
      <c r="A161">
        <f>IF([1]Accounts!$D$162="","",[1]Accounts!$A$162)</f>
        <v/>
      </c>
      <c r="B161">
        <f>IF([1]Accounts!$D$162="","",[1]Accounts!$B$162)</f>
        <v/>
      </c>
      <c r="C161">
        <f>IF([1]Accounts!$D$162="","",[1]Accounts!$C$162)</f>
        <v/>
      </c>
      <c r="D161">
        <f>IF([1]Accounts!$D$162="","",[1]Accounts!$D$162)</f>
        <v/>
      </c>
      <c r="E161">
        <f>IF([1]Accounts!$D$162="","",[1]Accounts!$J$162)</f>
        <v/>
      </c>
      <c r="F161">
        <f>IF([1]Accounts!$D$162="","",[1]Accounts!$K$162)</f>
        <v/>
      </c>
      <c r="U161">
        <f>IF([2]Baskol!$B$164="","",[2]Baskol!$B$164)</f>
        <v/>
      </c>
      <c r="V161">
        <f>IF([2]Baskol!$C$164="","",[2]Baskol!$C$164)</f>
        <v/>
      </c>
      <c r="W161">
        <f>IF([2]Baskol!$D$164="","",[2]Baskol!$D$164)</f>
        <v/>
      </c>
      <c r="X161">
        <f>IF([2]Baskol!$E$164="","",[2]Baskol!$E$164)</f>
        <v/>
      </c>
      <c r="Y161">
        <f>IF([2]Baskol!$G$164="","",[2]Baskol!$G$164)</f>
        <v/>
      </c>
      <c r="Z161">
        <f>IF([2]Baskol!$I$164="","",[2]Baskol!$I$164)</f>
        <v/>
      </c>
      <c r="AA161">
        <f>IF([2]Baskol!$J$164="","",[2]Baskol!$J$164)</f>
        <v/>
      </c>
      <c r="AB161">
        <f>IF([2]Baskol!$K$164="","",[2]Baskol!$K$164)</f>
        <v/>
      </c>
      <c r="AC161">
        <f>IF([2]Baskol!$L$164="","",[2]Baskol!$L$164)</f>
        <v/>
      </c>
      <c r="AD161">
        <f>IF([2]Baskol!$N$164="","",[2]Baskol!$N$164)</f>
        <v/>
      </c>
      <c r="AE161">
        <f>IF([2]Baskol!$O$164="","",[2]Baskol!$O$164)</f>
        <v/>
      </c>
      <c r="AG161">
        <f>IF([3]Entry!$C$164="","",[3]Entry!$C$164)</f>
        <v/>
      </c>
      <c r="AH161">
        <f>IF([3]Entry!$D$164="","",[3]Entry!$D$164)</f>
        <v/>
      </c>
      <c r="AI161">
        <f>IF([3]Entry!$E$164="","",[3]Entry!$E$164)</f>
        <v/>
      </c>
      <c r="AJ161">
        <f>IF([3]Entry!$G$164="","",[3]Entry!$G$164)</f>
        <v/>
      </c>
      <c r="AK161">
        <f>IF([3]Entry!$K$164="","",[3]Entry!$K$164)</f>
        <v/>
      </c>
      <c r="AL161">
        <f>IF([3]Entry!$L$164="","",[3]Entry!$L$164)</f>
        <v/>
      </c>
      <c r="AM161">
        <f>IF([3]Entry!$M$164="","",[3]Entry!$M$164)</f>
        <v/>
      </c>
      <c r="AN161">
        <f>IF([3]Entry!$N$164="","",[3]Entry!$N$164)</f>
        <v/>
      </c>
      <c r="AO161">
        <f>IF([3]Entry!$R$164="","",[3]Entry!$R$164)</f>
        <v/>
      </c>
      <c r="AQ161">
        <f>IF(AND($D161&lt;&gt;"",$A161&lt;&gt;""),1,0)</f>
        <v/>
      </c>
      <c r="AR161">
        <f>SUM($AQ$6:$AQ161)</f>
        <v/>
      </c>
      <c r="AS161">
        <f>IFERROR(INDEX($A$6:$A$565,MATCH(ROW()-5,$AR$6:$AR$565,0)),"")</f>
        <v/>
      </c>
    </row>
    <row r="162">
      <c r="A162">
        <f>IF([1]Accounts!$D$163="","",[1]Accounts!$A$163)</f>
        <v/>
      </c>
      <c r="B162">
        <f>IF([1]Accounts!$D$163="","",[1]Accounts!$B$163)</f>
        <v/>
      </c>
      <c r="C162">
        <f>IF([1]Accounts!$D$163="","",[1]Accounts!$C$163)</f>
        <v/>
      </c>
      <c r="D162">
        <f>IF([1]Accounts!$D$163="","",[1]Accounts!$D$163)</f>
        <v/>
      </c>
      <c r="E162">
        <f>IF([1]Accounts!$D$163="","",[1]Accounts!$J$163)</f>
        <v/>
      </c>
      <c r="F162">
        <f>IF([1]Accounts!$D$163="","",[1]Accounts!$K$163)</f>
        <v/>
      </c>
      <c r="U162">
        <f>IF([2]Baskol!$B$165="","",[2]Baskol!$B$165)</f>
        <v/>
      </c>
      <c r="V162">
        <f>IF([2]Baskol!$C$165="","",[2]Baskol!$C$165)</f>
        <v/>
      </c>
      <c r="W162">
        <f>IF([2]Baskol!$D$165="","",[2]Baskol!$D$165)</f>
        <v/>
      </c>
      <c r="X162">
        <f>IF([2]Baskol!$E$165="","",[2]Baskol!$E$165)</f>
        <v/>
      </c>
      <c r="Y162">
        <f>IF([2]Baskol!$G$165="","",[2]Baskol!$G$165)</f>
        <v/>
      </c>
      <c r="Z162">
        <f>IF([2]Baskol!$I$165="","",[2]Baskol!$I$165)</f>
        <v/>
      </c>
      <c r="AA162">
        <f>IF([2]Baskol!$J$165="","",[2]Baskol!$J$165)</f>
        <v/>
      </c>
      <c r="AB162">
        <f>IF([2]Baskol!$K$165="","",[2]Baskol!$K$165)</f>
        <v/>
      </c>
      <c r="AC162">
        <f>IF([2]Baskol!$L$165="","",[2]Baskol!$L$165)</f>
        <v/>
      </c>
      <c r="AD162">
        <f>IF([2]Baskol!$N$165="","",[2]Baskol!$N$165)</f>
        <v/>
      </c>
      <c r="AE162">
        <f>IF([2]Baskol!$O$165="","",[2]Baskol!$O$165)</f>
        <v/>
      </c>
      <c r="AG162">
        <f>IF([3]Entry!$C$165="","",[3]Entry!$C$165)</f>
        <v/>
      </c>
      <c r="AH162">
        <f>IF([3]Entry!$D$165="","",[3]Entry!$D$165)</f>
        <v/>
      </c>
      <c r="AI162">
        <f>IF([3]Entry!$E$165="","",[3]Entry!$E$165)</f>
        <v/>
      </c>
      <c r="AJ162">
        <f>IF([3]Entry!$G$165="","",[3]Entry!$G$165)</f>
        <v/>
      </c>
      <c r="AK162">
        <f>IF([3]Entry!$K$165="","",[3]Entry!$K$165)</f>
        <v/>
      </c>
      <c r="AL162">
        <f>IF([3]Entry!$L$165="","",[3]Entry!$L$165)</f>
        <v/>
      </c>
      <c r="AM162">
        <f>IF([3]Entry!$M$165="","",[3]Entry!$M$165)</f>
        <v/>
      </c>
      <c r="AN162">
        <f>IF([3]Entry!$N$165="","",[3]Entry!$N$165)</f>
        <v/>
      </c>
      <c r="AO162">
        <f>IF([3]Entry!$R$165="","",[3]Entry!$R$165)</f>
        <v/>
      </c>
      <c r="AQ162">
        <f>IF(AND($D162&lt;&gt;"",$A162&lt;&gt;""),1,0)</f>
        <v/>
      </c>
      <c r="AR162">
        <f>SUM($AQ$6:$AQ162)</f>
        <v/>
      </c>
      <c r="AS162">
        <f>IFERROR(INDEX($A$6:$A$565,MATCH(ROW()-5,$AR$6:$AR$565,0)),"")</f>
        <v/>
      </c>
    </row>
    <row r="163">
      <c r="A163">
        <f>IF([1]Accounts!$D$164="","",[1]Accounts!$A$164)</f>
        <v/>
      </c>
      <c r="B163">
        <f>IF([1]Accounts!$D$164="","",[1]Accounts!$B$164)</f>
        <v/>
      </c>
      <c r="C163">
        <f>IF([1]Accounts!$D$164="","",[1]Accounts!$C$164)</f>
        <v/>
      </c>
      <c r="D163">
        <f>IF([1]Accounts!$D$164="","",[1]Accounts!$D$164)</f>
        <v/>
      </c>
      <c r="E163">
        <f>IF([1]Accounts!$D$164="","",[1]Accounts!$J$164)</f>
        <v/>
      </c>
      <c r="F163">
        <f>IF([1]Accounts!$D$164="","",[1]Accounts!$K$164)</f>
        <v/>
      </c>
      <c r="U163">
        <f>IF([2]Baskol!$B$166="","",[2]Baskol!$B$166)</f>
        <v/>
      </c>
      <c r="V163">
        <f>IF([2]Baskol!$C$166="","",[2]Baskol!$C$166)</f>
        <v/>
      </c>
      <c r="W163">
        <f>IF([2]Baskol!$D$166="","",[2]Baskol!$D$166)</f>
        <v/>
      </c>
      <c r="X163">
        <f>IF([2]Baskol!$E$166="","",[2]Baskol!$E$166)</f>
        <v/>
      </c>
      <c r="Y163">
        <f>IF([2]Baskol!$G$166="","",[2]Baskol!$G$166)</f>
        <v/>
      </c>
      <c r="Z163">
        <f>IF([2]Baskol!$I$166="","",[2]Baskol!$I$166)</f>
        <v/>
      </c>
      <c r="AA163">
        <f>IF([2]Baskol!$J$166="","",[2]Baskol!$J$166)</f>
        <v/>
      </c>
      <c r="AB163">
        <f>IF([2]Baskol!$K$166="","",[2]Baskol!$K$166)</f>
        <v/>
      </c>
      <c r="AC163">
        <f>IF([2]Baskol!$L$166="","",[2]Baskol!$L$166)</f>
        <v/>
      </c>
      <c r="AD163">
        <f>IF([2]Baskol!$N$166="","",[2]Baskol!$N$166)</f>
        <v/>
      </c>
      <c r="AE163">
        <f>IF([2]Baskol!$O$166="","",[2]Baskol!$O$166)</f>
        <v/>
      </c>
      <c r="AG163">
        <f>IF([3]Entry!$C$166="","",[3]Entry!$C$166)</f>
        <v/>
      </c>
      <c r="AH163">
        <f>IF([3]Entry!$D$166="","",[3]Entry!$D$166)</f>
        <v/>
      </c>
      <c r="AI163">
        <f>IF([3]Entry!$E$166="","",[3]Entry!$E$166)</f>
        <v/>
      </c>
      <c r="AJ163">
        <f>IF([3]Entry!$G$166="","",[3]Entry!$G$166)</f>
        <v/>
      </c>
      <c r="AK163">
        <f>IF([3]Entry!$K$166="","",[3]Entry!$K$166)</f>
        <v/>
      </c>
      <c r="AL163">
        <f>IF([3]Entry!$L$166="","",[3]Entry!$L$166)</f>
        <v/>
      </c>
      <c r="AM163">
        <f>IF([3]Entry!$M$166="","",[3]Entry!$M$166)</f>
        <v/>
      </c>
      <c r="AN163">
        <f>IF([3]Entry!$N$166="","",[3]Entry!$N$166)</f>
        <v/>
      </c>
      <c r="AO163">
        <f>IF([3]Entry!$R$166="","",[3]Entry!$R$166)</f>
        <v/>
      </c>
      <c r="AQ163">
        <f>IF(AND($D163&lt;&gt;"",$A163&lt;&gt;""),1,0)</f>
        <v/>
      </c>
      <c r="AR163">
        <f>SUM($AQ$6:$AQ163)</f>
        <v/>
      </c>
      <c r="AS163">
        <f>IFERROR(INDEX($A$6:$A$565,MATCH(ROW()-5,$AR$6:$AR$565,0)),"")</f>
        <v/>
      </c>
    </row>
    <row r="164">
      <c r="A164">
        <f>IF([1]Accounts!$D$165="","",[1]Accounts!$A$165)</f>
        <v/>
      </c>
      <c r="B164">
        <f>IF([1]Accounts!$D$165="","",[1]Accounts!$B$165)</f>
        <v/>
      </c>
      <c r="C164">
        <f>IF([1]Accounts!$D$165="","",[1]Accounts!$C$165)</f>
        <v/>
      </c>
      <c r="D164">
        <f>IF([1]Accounts!$D$165="","",[1]Accounts!$D$165)</f>
        <v/>
      </c>
      <c r="E164">
        <f>IF([1]Accounts!$D$165="","",[1]Accounts!$J$165)</f>
        <v/>
      </c>
      <c r="F164">
        <f>IF([1]Accounts!$D$165="","",[1]Accounts!$K$165)</f>
        <v/>
      </c>
      <c r="U164">
        <f>IF([2]Baskol!$B$167="","",[2]Baskol!$B$167)</f>
        <v/>
      </c>
      <c r="V164">
        <f>IF([2]Baskol!$C$167="","",[2]Baskol!$C$167)</f>
        <v/>
      </c>
      <c r="W164">
        <f>IF([2]Baskol!$D$167="","",[2]Baskol!$D$167)</f>
        <v/>
      </c>
      <c r="X164">
        <f>IF([2]Baskol!$E$167="","",[2]Baskol!$E$167)</f>
        <v/>
      </c>
      <c r="Y164">
        <f>IF([2]Baskol!$G$167="","",[2]Baskol!$G$167)</f>
        <v/>
      </c>
      <c r="Z164">
        <f>IF([2]Baskol!$I$167="","",[2]Baskol!$I$167)</f>
        <v/>
      </c>
      <c r="AA164">
        <f>IF([2]Baskol!$J$167="","",[2]Baskol!$J$167)</f>
        <v/>
      </c>
      <c r="AB164">
        <f>IF([2]Baskol!$K$167="","",[2]Baskol!$K$167)</f>
        <v/>
      </c>
      <c r="AC164">
        <f>IF([2]Baskol!$L$167="","",[2]Baskol!$L$167)</f>
        <v/>
      </c>
      <c r="AD164">
        <f>IF([2]Baskol!$N$167="","",[2]Baskol!$N$167)</f>
        <v/>
      </c>
      <c r="AE164">
        <f>IF([2]Baskol!$O$167="","",[2]Baskol!$O$167)</f>
        <v/>
      </c>
      <c r="AG164">
        <f>IF([3]Entry!$C$167="","",[3]Entry!$C$167)</f>
        <v/>
      </c>
      <c r="AH164">
        <f>IF([3]Entry!$D$167="","",[3]Entry!$D$167)</f>
        <v/>
      </c>
      <c r="AI164">
        <f>IF([3]Entry!$E$167="","",[3]Entry!$E$167)</f>
        <v/>
      </c>
      <c r="AJ164">
        <f>IF([3]Entry!$G$167="","",[3]Entry!$G$167)</f>
        <v/>
      </c>
      <c r="AK164">
        <f>IF([3]Entry!$K$167="","",[3]Entry!$K$167)</f>
        <v/>
      </c>
      <c r="AL164">
        <f>IF([3]Entry!$L$167="","",[3]Entry!$L$167)</f>
        <v/>
      </c>
      <c r="AM164">
        <f>IF([3]Entry!$M$167="","",[3]Entry!$M$167)</f>
        <v/>
      </c>
      <c r="AN164">
        <f>IF([3]Entry!$N$167="","",[3]Entry!$N$167)</f>
        <v/>
      </c>
      <c r="AO164">
        <f>IF([3]Entry!$R$167="","",[3]Entry!$R$167)</f>
        <v/>
      </c>
      <c r="AQ164">
        <f>IF(AND($D164&lt;&gt;"",$A164&lt;&gt;""),1,0)</f>
        <v/>
      </c>
      <c r="AR164">
        <f>SUM($AQ$6:$AQ164)</f>
        <v/>
      </c>
      <c r="AS164">
        <f>IFERROR(INDEX($A$6:$A$565,MATCH(ROW()-5,$AR$6:$AR$565,0)),"")</f>
        <v/>
      </c>
    </row>
    <row r="165">
      <c r="A165">
        <f>IF([1]Accounts!$D$166="","",[1]Accounts!$A$166)</f>
        <v/>
      </c>
      <c r="B165">
        <f>IF([1]Accounts!$D$166="","",[1]Accounts!$B$166)</f>
        <v/>
      </c>
      <c r="C165">
        <f>IF([1]Accounts!$D$166="","",[1]Accounts!$C$166)</f>
        <v/>
      </c>
      <c r="D165">
        <f>IF([1]Accounts!$D$166="","",[1]Accounts!$D$166)</f>
        <v/>
      </c>
      <c r="E165">
        <f>IF([1]Accounts!$D$166="","",[1]Accounts!$J$166)</f>
        <v/>
      </c>
      <c r="F165">
        <f>IF([1]Accounts!$D$166="","",[1]Accounts!$K$166)</f>
        <v/>
      </c>
      <c r="U165">
        <f>IF([2]Baskol!$B$168="","",[2]Baskol!$B$168)</f>
        <v/>
      </c>
      <c r="V165">
        <f>IF([2]Baskol!$C$168="","",[2]Baskol!$C$168)</f>
        <v/>
      </c>
      <c r="W165">
        <f>IF([2]Baskol!$D$168="","",[2]Baskol!$D$168)</f>
        <v/>
      </c>
      <c r="X165">
        <f>IF([2]Baskol!$E$168="","",[2]Baskol!$E$168)</f>
        <v/>
      </c>
      <c r="Y165">
        <f>IF([2]Baskol!$G$168="","",[2]Baskol!$G$168)</f>
        <v/>
      </c>
      <c r="Z165">
        <f>IF([2]Baskol!$I$168="","",[2]Baskol!$I$168)</f>
        <v/>
      </c>
      <c r="AA165">
        <f>IF([2]Baskol!$J$168="","",[2]Baskol!$J$168)</f>
        <v/>
      </c>
      <c r="AB165">
        <f>IF([2]Baskol!$K$168="","",[2]Baskol!$K$168)</f>
        <v/>
      </c>
      <c r="AC165">
        <f>IF([2]Baskol!$L$168="","",[2]Baskol!$L$168)</f>
        <v/>
      </c>
      <c r="AD165">
        <f>IF([2]Baskol!$N$168="","",[2]Baskol!$N$168)</f>
        <v/>
      </c>
      <c r="AE165">
        <f>IF([2]Baskol!$O$168="","",[2]Baskol!$O$168)</f>
        <v/>
      </c>
      <c r="AG165">
        <f>IF([3]Entry!$C$168="","",[3]Entry!$C$168)</f>
        <v/>
      </c>
      <c r="AH165">
        <f>IF([3]Entry!$D$168="","",[3]Entry!$D$168)</f>
        <v/>
      </c>
      <c r="AI165">
        <f>IF([3]Entry!$E$168="","",[3]Entry!$E$168)</f>
        <v/>
      </c>
      <c r="AJ165">
        <f>IF([3]Entry!$G$168="","",[3]Entry!$G$168)</f>
        <v/>
      </c>
      <c r="AK165">
        <f>IF([3]Entry!$K$168="","",[3]Entry!$K$168)</f>
        <v/>
      </c>
      <c r="AL165">
        <f>IF([3]Entry!$L$168="","",[3]Entry!$L$168)</f>
        <v/>
      </c>
      <c r="AM165">
        <f>IF([3]Entry!$M$168="","",[3]Entry!$M$168)</f>
        <v/>
      </c>
      <c r="AN165">
        <f>IF([3]Entry!$N$168="","",[3]Entry!$N$168)</f>
        <v/>
      </c>
      <c r="AO165">
        <f>IF([3]Entry!$R$168="","",[3]Entry!$R$168)</f>
        <v/>
      </c>
      <c r="AQ165">
        <f>IF(AND($D165&lt;&gt;"",$A165&lt;&gt;""),1,0)</f>
        <v/>
      </c>
      <c r="AR165">
        <f>SUM($AQ$6:$AQ165)</f>
        <v/>
      </c>
      <c r="AS165">
        <f>IFERROR(INDEX($A$6:$A$565,MATCH(ROW()-5,$AR$6:$AR$565,0)),"")</f>
        <v/>
      </c>
    </row>
    <row r="166">
      <c r="A166">
        <f>IF([1]Accounts!$D$167="","",[1]Accounts!$A$167)</f>
        <v/>
      </c>
      <c r="B166">
        <f>IF([1]Accounts!$D$167="","",[1]Accounts!$B$167)</f>
        <v/>
      </c>
      <c r="C166">
        <f>IF([1]Accounts!$D$167="","",[1]Accounts!$C$167)</f>
        <v/>
      </c>
      <c r="D166">
        <f>IF([1]Accounts!$D$167="","",[1]Accounts!$D$167)</f>
        <v/>
      </c>
      <c r="E166">
        <f>IF([1]Accounts!$D$167="","",[1]Accounts!$J$167)</f>
        <v/>
      </c>
      <c r="F166">
        <f>IF([1]Accounts!$D$167="","",[1]Accounts!$K$167)</f>
        <v/>
      </c>
      <c r="U166">
        <f>IF([2]Baskol!$B$169="","",[2]Baskol!$B$169)</f>
        <v/>
      </c>
      <c r="V166">
        <f>IF([2]Baskol!$C$169="","",[2]Baskol!$C$169)</f>
        <v/>
      </c>
      <c r="W166">
        <f>IF([2]Baskol!$D$169="","",[2]Baskol!$D$169)</f>
        <v/>
      </c>
      <c r="X166">
        <f>IF([2]Baskol!$E$169="","",[2]Baskol!$E$169)</f>
        <v/>
      </c>
      <c r="Y166">
        <f>IF([2]Baskol!$G$169="","",[2]Baskol!$G$169)</f>
        <v/>
      </c>
      <c r="Z166">
        <f>IF([2]Baskol!$I$169="","",[2]Baskol!$I$169)</f>
        <v/>
      </c>
      <c r="AA166">
        <f>IF([2]Baskol!$J$169="","",[2]Baskol!$J$169)</f>
        <v/>
      </c>
      <c r="AB166">
        <f>IF([2]Baskol!$K$169="","",[2]Baskol!$K$169)</f>
        <v/>
      </c>
      <c r="AC166">
        <f>IF([2]Baskol!$L$169="","",[2]Baskol!$L$169)</f>
        <v/>
      </c>
      <c r="AD166">
        <f>IF([2]Baskol!$N$169="","",[2]Baskol!$N$169)</f>
        <v/>
      </c>
      <c r="AE166">
        <f>IF([2]Baskol!$O$169="","",[2]Baskol!$O$169)</f>
        <v/>
      </c>
      <c r="AG166">
        <f>IF([3]Entry!$C$169="","",[3]Entry!$C$169)</f>
        <v/>
      </c>
      <c r="AH166">
        <f>IF([3]Entry!$D$169="","",[3]Entry!$D$169)</f>
        <v/>
      </c>
      <c r="AI166">
        <f>IF([3]Entry!$E$169="","",[3]Entry!$E$169)</f>
        <v/>
      </c>
      <c r="AJ166">
        <f>IF([3]Entry!$G$169="","",[3]Entry!$G$169)</f>
        <v/>
      </c>
      <c r="AK166">
        <f>IF([3]Entry!$K$169="","",[3]Entry!$K$169)</f>
        <v/>
      </c>
      <c r="AL166">
        <f>IF([3]Entry!$L$169="","",[3]Entry!$L$169)</f>
        <v/>
      </c>
      <c r="AM166">
        <f>IF([3]Entry!$M$169="","",[3]Entry!$M$169)</f>
        <v/>
      </c>
      <c r="AN166">
        <f>IF([3]Entry!$N$169="","",[3]Entry!$N$169)</f>
        <v/>
      </c>
      <c r="AO166">
        <f>IF([3]Entry!$R$169="","",[3]Entry!$R$169)</f>
        <v/>
      </c>
      <c r="AQ166">
        <f>IF(AND($D166&lt;&gt;"",$A166&lt;&gt;""),1,0)</f>
        <v/>
      </c>
      <c r="AR166">
        <f>SUM($AQ$6:$AQ166)</f>
        <v/>
      </c>
      <c r="AS166">
        <f>IFERROR(INDEX($A$6:$A$565,MATCH(ROW()-5,$AR$6:$AR$565,0)),"")</f>
        <v/>
      </c>
    </row>
    <row r="167">
      <c r="A167">
        <f>IF([1]Accounts!$D$168="","",[1]Accounts!$A$168)</f>
        <v/>
      </c>
      <c r="B167">
        <f>IF([1]Accounts!$D$168="","",[1]Accounts!$B$168)</f>
        <v/>
      </c>
      <c r="C167">
        <f>IF([1]Accounts!$D$168="","",[1]Accounts!$C$168)</f>
        <v/>
      </c>
      <c r="D167">
        <f>IF([1]Accounts!$D$168="","",[1]Accounts!$D$168)</f>
        <v/>
      </c>
      <c r="E167">
        <f>IF([1]Accounts!$D$168="","",[1]Accounts!$J$168)</f>
        <v/>
      </c>
      <c r="F167">
        <f>IF([1]Accounts!$D$168="","",[1]Accounts!$K$168)</f>
        <v/>
      </c>
      <c r="U167">
        <f>IF([2]Baskol!$B$170="","",[2]Baskol!$B$170)</f>
        <v/>
      </c>
      <c r="V167">
        <f>IF([2]Baskol!$C$170="","",[2]Baskol!$C$170)</f>
        <v/>
      </c>
      <c r="W167">
        <f>IF([2]Baskol!$D$170="","",[2]Baskol!$D$170)</f>
        <v/>
      </c>
      <c r="X167">
        <f>IF([2]Baskol!$E$170="","",[2]Baskol!$E$170)</f>
        <v/>
      </c>
      <c r="Y167">
        <f>IF([2]Baskol!$G$170="","",[2]Baskol!$G$170)</f>
        <v/>
      </c>
      <c r="Z167">
        <f>IF([2]Baskol!$I$170="","",[2]Baskol!$I$170)</f>
        <v/>
      </c>
      <c r="AA167">
        <f>IF([2]Baskol!$J$170="","",[2]Baskol!$J$170)</f>
        <v/>
      </c>
      <c r="AB167">
        <f>IF([2]Baskol!$K$170="","",[2]Baskol!$K$170)</f>
        <v/>
      </c>
      <c r="AC167">
        <f>IF([2]Baskol!$L$170="","",[2]Baskol!$L$170)</f>
        <v/>
      </c>
      <c r="AD167">
        <f>IF([2]Baskol!$N$170="","",[2]Baskol!$N$170)</f>
        <v/>
      </c>
      <c r="AE167">
        <f>IF([2]Baskol!$O$170="","",[2]Baskol!$O$170)</f>
        <v/>
      </c>
      <c r="AG167">
        <f>IF([3]Entry!$C$170="","",[3]Entry!$C$170)</f>
        <v/>
      </c>
      <c r="AH167">
        <f>IF([3]Entry!$D$170="","",[3]Entry!$D$170)</f>
        <v/>
      </c>
      <c r="AI167">
        <f>IF([3]Entry!$E$170="","",[3]Entry!$E$170)</f>
        <v/>
      </c>
      <c r="AJ167">
        <f>IF([3]Entry!$G$170="","",[3]Entry!$G$170)</f>
        <v/>
      </c>
      <c r="AK167">
        <f>IF([3]Entry!$K$170="","",[3]Entry!$K$170)</f>
        <v/>
      </c>
      <c r="AL167">
        <f>IF([3]Entry!$L$170="","",[3]Entry!$L$170)</f>
        <v/>
      </c>
      <c r="AM167">
        <f>IF([3]Entry!$M$170="","",[3]Entry!$M$170)</f>
        <v/>
      </c>
      <c r="AN167">
        <f>IF([3]Entry!$N$170="","",[3]Entry!$N$170)</f>
        <v/>
      </c>
      <c r="AO167">
        <f>IF([3]Entry!$R$170="","",[3]Entry!$R$170)</f>
        <v/>
      </c>
      <c r="AQ167">
        <f>IF(AND($D167&lt;&gt;"",$A167&lt;&gt;""),1,0)</f>
        <v/>
      </c>
      <c r="AR167">
        <f>SUM($AQ$6:$AQ167)</f>
        <v/>
      </c>
      <c r="AS167">
        <f>IFERROR(INDEX($A$6:$A$565,MATCH(ROW()-5,$AR$6:$AR$565,0)),"")</f>
        <v/>
      </c>
    </row>
    <row r="168">
      <c r="A168">
        <f>IF([1]Accounts!$D$169="","",[1]Accounts!$A$169)</f>
        <v/>
      </c>
      <c r="B168">
        <f>IF([1]Accounts!$D$169="","",[1]Accounts!$B$169)</f>
        <v/>
      </c>
      <c r="C168">
        <f>IF([1]Accounts!$D$169="","",[1]Accounts!$C$169)</f>
        <v/>
      </c>
      <c r="D168">
        <f>IF([1]Accounts!$D$169="","",[1]Accounts!$D$169)</f>
        <v/>
      </c>
      <c r="E168">
        <f>IF([1]Accounts!$D$169="","",[1]Accounts!$J$169)</f>
        <v/>
      </c>
      <c r="F168">
        <f>IF([1]Accounts!$D$169="","",[1]Accounts!$K$169)</f>
        <v/>
      </c>
      <c r="U168">
        <f>IF([2]Baskol!$B$171="","",[2]Baskol!$B$171)</f>
        <v/>
      </c>
      <c r="V168">
        <f>IF([2]Baskol!$C$171="","",[2]Baskol!$C$171)</f>
        <v/>
      </c>
      <c r="W168">
        <f>IF([2]Baskol!$D$171="","",[2]Baskol!$D$171)</f>
        <v/>
      </c>
      <c r="X168">
        <f>IF([2]Baskol!$E$171="","",[2]Baskol!$E$171)</f>
        <v/>
      </c>
      <c r="Y168">
        <f>IF([2]Baskol!$G$171="","",[2]Baskol!$G$171)</f>
        <v/>
      </c>
      <c r="Z168">
        <f>IF([2]Baskol!$I$171="","",[2]Baskol!$I$171)</f>
        <v/>
      </c>
      <c r="AA168">
        <f>IF([2]Baskol!$J$171="","",[2]Baskol!$J$171)</f>
        <v/>
      </c>
      <c r="AB168">
        <f>IF([2]Baskol!$K$171="","",[2]Baskol!$K$171)</f>
        <v/>
      </c>
      <c r="AC168">
        <f>IF([2]Baskol!$L$171="","",[2]Baskol!$L$171)</f>
        <v/>
      </c>
      <c r="AD168">
        <f>IF([2]Baskol!$N$171="","",[2]Baskol!$N$171)</f>
        <v/>
      </c>
      <c r="AE168">
        <f>IF([2]Baskol!$O$171="","",[2]Baskol!$O$171)</f>
        <v/>
      </c>
      <c r="AG168">
        <f>IF([3]Entry!$C$171="","",[3]Entry!$C$171)</f>
        <v/>
      </c>
      <c r="AH168">
        <f>IF([3]Entry!$D$171="","",[3]Entry!$D$171)</f>
        <v/>
      </c>
      <c r="AI168">
        <f>IF([3]Entry!$E$171="","",[3]Entry!$E$171)</f>
        <v/>
      </c>
      <c r="AJ168">
        <f>IF([3]Entry!$G$171="","",[3]Entry!$G$171)</f>
        <v/>
      </c>
      <c r="AK168">
        <f>IF([3]Entry!$K$171="","",[3]Entry!$K$171)</f>
        <v/>
      </c>
      <c r="AL168">
        <f>IF([3]Entry!$L$171="","",[3]Entry!$L$171)</f>
        <v/>
      </c>
      <c r="AM168">
        <f>IF([3]Entry!$M$171="","",[3]Entry!$M$171)</f>
        <v/>
      </c>
      <c r="AN168">
        <f>IF([3]Entry!$N$171="","",[3]Entry!$N$171)</f>
        <v/>
      </c>
      <c r="AO168">
        <f>IF([3]Entry!$R$171="","",[3]Entry!$R$171)</f>
        <v/>
      </c>
      <c r="AQ168">
        <f>IF(AND($D168&lt;&gt;"",$A168&lt;&gt;""),1,0)</f>
        <v/>
      </c>
      <c r="AR168">
        <f>SUM($AQ$6:$AQ168)</f>
        <v/>
      </c>
      <c r="AS168">
        <f>IFERROR(INDEX($A$6:$A$565,MATCH(ROW()-5,$AR$6:$AR$565,0)),"")</f>
        <v/>
      </c>
    </row>
    <row r="169">
      <c r="A169">
        <f>IF([1]Accounts!$D$170="","",[1]Accounts!$A$170)</f>
        <v/>
      </c>
      <c r="B169">
        <f>IF([1]Accounts!$D$170="","",[1]Accounts!$B$170)</f>
        <v/>
      </c>
      <c r="C169">
        <f>IF([1]Accounts!$D$170="","",[1]Accounts!$C$170)</f>
        <v/>
      </c>
      <c r="D169">
        <f>IF([1]Accounts!$D$170="","",[1]Accounts!$D$170)</f>
        <v/>
      </c>
      <c r="E169">
        <f>IF([1]Accounts!$D$170="","",[1]Accounts!$J$170)</f>
        <v/>
      </c>
      <c r="F169">
        <f>IF([1]Accounts!$D$170="","",[1]Accounts!$K$170)</f>
        <v/>
      </c>
      <c r="U169">
        <f>IF([2]Baskol!$B$172="","",[2]Baskol!$B$172)</f>
        <v/>
      </c>
      <c r="V169">
        <f>IF([2]Baskol!$C$172="","",[2]Baskol!$C$172)</f>
        <v/>
      </c>
      <c r="W169">
        <f>IF([2]Baskol!$D$172="","",[2]Baskol!$D$172)</f>
        <v/>
      </c>
      <c r="X169">
        <f>IF([2]Baskol!$E$172="","",[2]Baskol!$E$172)</f>
        <v/>
      </c>
      <c r="Y169">
        <f>IF([2]Baskol!$G$172="","",[2]Baskol!$G$172)</f>
        <v/>
      </c>
      <c r="Z169">
        <f>IF([2]Baskol!$I$172="","",[2]Baskol!$I$172)</f>
        <v/>
      </c>
      <c r="AA169">
        <f>IF([2]Baskol!$J$172="","",[2]Baskol!$J$172)</f>
        <v/>
      </c>
      <c r="AB169">
        <f>IF([2]Baskol!$K$172="","",[2]Baskol!$K$172)</f>
        <v/>
      </c>
      <c r="AC169">
        <f>IF([2]Baskol!$L$172="","",[2]Baskol!$L$172)</f>
        <v/>
      </c>
      <c r="AD169">
        <f>IF([2]Baskol!$N$172="","",[2]Baskol!$N$172)</f>
        <v/>
      </c>
      <c r="AE169">
        <f>IF([2]Baskol!$O$172="","",[2]Baskol!$O$172)</f>
        <v/>
      </c>
      <c r="AG169">
        <f>IF([3]Entry!$C$172="","",[3]Entry!$C$172)</f>
        <v/>
      </c>
      <c r="AH169">
        <f>IF([3]Entry!$D$172="","",[3]Entry!$D$172)</f>
        <v/>
      </c>
      <c r="AI169">
        <f>IF([3]Entry!$E$172="","",[3]Entry!$E$172)</f>
        <v/>
      </c>
      <c r="AJ169">
        <f>IF([3]Entry!$G$172="","",[3]Entry!$G$172)</f>
        <v/>
      </c>
      <c r="AK169">
        <f>IF([3]Entry!$K$172="","",[3]Entry!$K$172)</f>
        <v/>
      </c>
      <c r="AL169">
        <f>IF([3]Entry!$L$172="","",[3]Entry!$L$172)</f>
        <v/>
      </c>
      <c r="AM169">
        <f>IF([3]Entry!$M$172="","",[3]Entry!$M$172)</f>
        <v/>
      </c>
      <c r="AN169">
        <f>IF([3]Entry!$N$172="","",[3]Entry!$N$172)</f>
        <v/>
      </c>
      <c r="AO169">
        <f>IF([3]Entry!$R$172="","",[3]Entry!$R$172)</f>
        <v/>
      </c>
      <c r="AQ169">
        <f>IF(AND($D169&lt;&gt;"",$A169&lt;&gt;""),1,0)</f>
        <v/>
      </c>
      <c r="AR169">
        <f>SUM($AQ$6:$AQ169)</f>
        <v/>
      </c>
      <c r="AS169">
        <f>IFERROR(INDEX($A$6:$A$565,MATCH(ROW()-5,$AR$6:$AR$565,0)),"")</f>
        <v/>
      </c>
    </row>
    <row r="170">
      <c r="A170">
        <f>IF([1]Accounts!$D$171="","",[1]Accounts!$A$171)</f>
        <v/>
      </c>
      <c r="B170">
        <f>IF([1]Accounts!$D$171="","",[1]Accounts!$B$171)</f>
        <v/>
      </c>
      <c r="C170">
        <f>IF([1]Accounts!$D$171="","",[1]Accounts!$C$171)</f>
        <v/>
      </c>
      <c r="D170">
        <f>IF([1]Accounts!$D$171="","",[1]Accounts!$D$171)</f>
        <v/>
      </c>
      <c r="E170">
        <f>IF([1]Accounts!$D$171="","",[1]Accounts!$J$171)</f>
        <v/>
      </c>
      <c r="F170">
        <f>IF([1]Accounts!$D$171="","",[1]Accounts!$K$171)</f>
        <v/>
      </c>
      <c r="U170">
        <f>IF([2]Baskol!$B$173="","",[2]Baskol!$B$173)</f>
        <v/>
      </c>
      <c r="V170">
        <f>IF([2]Baskol!$C$173="","",[2]Baskol!$C$173)</f>
        <v/>
      </c>
      <c r="W170">
        <f>IF([2]Baskol!$D$173="","",[2]Baskol!$D$173)</f>
        <v/>
      </c>
      <c r="X170">
        <f>IF([2]Baskol!$E$173="","",[2]Baskol!$E$173)</f>
        <v/>
      </c>
      <c r="Y170">
        <f>IF([2]Baskol!$G$173="","",[2]Baskol!$G$173)</f>
        <v/>
      </c>
      <c r="Z170">
        <f>IF([2]Baskol!$I$173="","",[2]Baskol!$I$173)</f>
        <v/>
      </c>
      <c r="AA170">
        <f>IF([2]Baskol!$J$173="","",[2]Baskol!$J$173)</f>
        <v/>
      </c>
      <c r="AB170">
        <f>IF([2]Baskol!$K$173="","",[2]Baskol!$K$173)</f>
        <v/>
      </c>
      <c r="AC170">
        <f>IF([2]Baskol!$L$173="","",[2]Baskol!$L$173)</f>
        <v/>
      </c>
      <c r="AD170">
        <f>IF([2]Baskol!$N$173="","",[2]Baskol!$N$173)</f>
        <v/>
      </c>
      <c r="AE170">
        <f>IF([2]Baskol!$O$173="","",[2]Baskol!$O$173)</f>
        <v/>
      </c>
      <c r="AG170">
        <f>IF([3]Entry!$C$173="","",[3]Entry!$C$173)</f>
        <v/>
      </c>
      <c r="AH170">
        <f>IF([3]Entry!$D$173="","",[3]Entry!$D$173)</f>
        <v/>
      </c>
      <c r="AI170">
        <f>IF([3]Entry!$E$173="","",[3]Entry!$E$173)</f>
        <v/>
      </c>
      <c r="AJ170">
        <f>IF([3]Entry!$G$173="","",[3]Entry!$G$173)</f>
        <v/>
      </c>
      <c r="AK170">
        <f>IF([3]Entry!$K$173="","",[3]Entry!$K$173)</f>
        <v/>
      </c>
      <c r="AL170">
        <f>IF([3]Entry!$L$173="","",[3]Entry!$L$173)</f>
        <v/>
      </c>
      <c r="AM170">
        <f>IF([3]Entry!$M$173="","",[3]Entry!$M$173)</f>
        <v/>
      </c>
      <c r="AN170">
        <f>IF([3]Entry!$N$173="","",[3]Entry!$N$173)</f>
        <v/>
      </c>
      <c r="AO170">
        <f>IF([3]Entry!$R$173="","",[3]Entry!$R$173)</f>
        <v/>
      </c>
      <c r="AQ170">
        <f>IF(AND($D170&lt;&gt;"",$A170&lt;&gt;""),1,0)</f>
        <v/>
      </c>
      <c r="AR170">
        <f>SUM($AQ$6:$AQ170)</f>
        <v/>
      </c>
      <c r="AS170">
        <f>IFERROR(INDEX($A$6:$A$565,MATCH(ROW()-5,$AR$6:$AR$565,0)),"")</f>
        <v/>
      </c>
    </row>
    <row r="171">
      <c r="A171">
        <f>IF([1]Accounts!$D$172="","",[1]Accounts!$A$172)</f>
        <v/>
      </c>
      <c r="B171">
        <f>IF([1]Accounts!$D$172="","",[1]Accounts!$B$172)</f>
        <v/>
      </c>
      <c r="C171">
        <f>IF([1]Accounts!$D$172="","",[1]Accounts!$C$172)</f>
        <v/>
      </c>
      <c r="D171">
        <f>IF([1]Accounts!$D$172="","",[1]Accounts!$D$172)</f>
        <v/>
      </c>
      <c r="E171">
        <f>IF([1]Accounts!$D$172="","",[1]Accounts!$J$172)</f>
        <v/>
      </c>
      <c r="F171">
        <f>IF([1]Accounts!$D$172="","",[1]Accounts!$K$172)</f>
        <v/>
      </c>
      <c r="U171">
        <f>IF([2]Baskol!$B$174="","",[2]Baskol!$B$174)</f>
        <v/>
      </c>
      <c r="V171">
        <f>IF([2]Baskol!$C$174="","",[2]Baskol!$C$174)</f>
        <v/>
      </c>
      <c r="W171">
        <f>IF([2]Baskol!$D$174="","",[2]Baskol!$D$174)</f>
        <v/>
      </c>
      <c r="X171">
        <f>IF([2]Baskol!$E$174="","",[2]Baskol!$E$174)</f>
        <v/>
      </c>
      <c r="Y171">
        <f>IF([2]Baskol!$G$174="","",[2]Baskol!$G$174)</f>
        <v/>
      </c>
      <c r="Z171">
        <f>IF([2]Baskol!$I$174="","",[2]Baskol!$I$174)</f>
        <v/>
      </c>
      <c r="AA171">
        <f>IF([2]Baskol!$J$174="","",[2]Baskol!$J$174)</f>
        <v/>
      </c>
      <c r="AB171">
        <f>IF([2]Baskol!$K$174="","",[2]Baskol!$K$174)</f>
        <v/>
      </c>
      <c r="AC171">
        <f>IF([2]Baskol!$L$174="","",[2]Baskol!$L$174)</f>
        <v/>
      </c>
      <c r="AD171">
        <f>IF([2]Baskol!$N$174="","",[2]Baskol!$N$174)</f>
        <v/>
      </c>
      <c r="AE171">
        <f>IF([2]Baskol!$O$174="","",[2]Baskol!$O$174)</f>
        <v/>
      </c>
      <c r="AG171">
        <f>IF([3]Entry!$C$174="","",[3]Entry!$C$174)</f>
        <v/>
      </c>
      <c r="AH171">
        <f>IF([3]Entry!$D$174="","",[3]Entry!$D$174)</f>
        <v/>
      </c>
      <c r="AI171">
        <f>IF([3]Entry!$E$174="","",[3]Entry!$E$174)</f>
        <v/>
      </c>
      <c r="AJ171">
        <f>IF([3]Entry!$G$174="","",[3]Entry!$G$174)</f>
        <v/>
      </c>
      <c r="AK171">
        <f>IF([3]Entry!$K$174="","",[3]Entry!$K$174)</f>
        <v/>
      </c>
      <c r="AL171">
        <f>IF([3]Entry!$L$174="","",[3]Entry!$L$174)</f>
        <v/>
      </c>
      <c r="AM171">
        <f>IF([3]Entry!$M$174="","",[3]Entry!$M$174)</f>
        <v/>
      </c>
      <c r="AN171">
        <f>IF([3]Entry!$N$174="","",[3]Entry!$N$174)</f>
        <v/>
      </c>
      <c r="AO171">
        <f>IF([3]Entry!$R$174="","",[3]Entry!$R$174)</f>
        <v/>
      </c>
      <c r="AQ171">
        <f>IF(AND($D171&lt;&gt;"",$A171&lt;&gt;""),1,0)</f>
        <v/>
      </c>
      <c r="AR171">
        <f>SUM($AQ$6:$AQ171)</f>
        <v/>
      </c>
      <c r="AS171">
        <f>IFERROR(INDEX($A$6:$A$565,MATCH(ROW()-5,$AR$6:$AR$565,0)),"")</f>
        <v/>
      </c>
    </row>
    <row r="172">
      <c r="A172">
        <f>IF([1]Accounts!$D$173="","",[1]Accounts!$A$173)</f>
        <v/>
      </c>
      <c r="B172">
        <f>IF([1]Accounts!$D$173="","",[1]Accounts!$B$173)</f>
        <v/>
      </c>
      <c r="C172">
        <f>IF([1]Accounts!$D$173="","",[1]Accounts!$C$173)</f>
        <v/>
      </c>
      <c r="D172">
        <f>IF([1]Accounts!$D$173="","",[1]Accounts!$D$173)</f>
        <v/>
      </c>
      <c r="E172">
        <f>IF([1]Accounts!$D$173="","",[1]Accounts!$J$173)</f>
        <v/>
      </c>
      <c r="F172">
        <f>IF([1]Accounts!$D$173="","",[1]Accounts!$K$173)</f>
        <v/>
      </c>
      <c r="U172">
        <f>IF([2]Baskol!$B$175="","",[2]Baskol!$B$175)</f>
        <v/>
      </c>
      <c r="V172">
        <f>IF([2]Baskol!$C$175="","",[2]Baskol!$C$175)</f>
        <v/>
      </c>
      <c r="W172">
        <f>IF([2]Baskol!$D$175="","",[2]Baskol!$D$175)</f>
        <v/>
      </c>
      <c r="X172">
        <f>IF([2]Baskol!$E$175="","",[2]Baskol!$E$175)</f>
        <v/>
      </c>
      <c r="Y172">
        <f>IF([2]Baskol!$G$175="","",[2]Baskol!$G$175)</f>
        <v/>
      </c>
      <c r="Z172">
        <f>IF([2]Baskol!$I$175="","",[2]Baskol!$I$175)</f>
        <v/>
      </c>
      <c r="AA172">
        <f>IF([2]Baskol!$J$175="","",[2]Baskol!$J$175)</f>
        <v/>
      </c>
      <c r="AB172">
        <f>IF([2]Baskol!$K$175="","",[2]Baskol!$K$175)</f>
        <v/>
      </c>
      <c r="AC172">
        <f>IF([2]Baskol!$L$175="","",[2]Baskol!$L$175)</f>
        <v/>
      </c>
      <c r="AD172">
        <f>IF([2]Baskol!$N$175="","",[2]Baskol!$N$175)</f>
        <v/>
      </c>
      <c r="AE172">
        <f>IF([2]Baskol!$O$175="","",[2]Baskol!$O$175)</f>
        <v/>
      </c>
      <c r="AG172">
        <f>IF([3]Entry!$C$175="","",[3]Entry!$C$175)</f>
        <v/>
      </c>
      <c r="AH172">
        <f>IF([3]Entry!$D$175="","",[3]Entry!$D$175)</f>
        <v/>
      </c>
      <c r="AI172">
        <f>IF([3]Entry!$E$175="","",[3]Entry!$E$175)</f>
        <v/>
      </c>
      <c r="AJ172">
        <f>IF([3]Entry!$G$175="","",[3]Entry!$G$175)</f>
        <v/>
      </c>
      <c r="AK172">
        <f>IF([3]Entry!$K$175="","",[3]Entry!$K$175)</f>
        <v/>
      </c>
      <c r="AL172">
        <f>IF([3]Entry!$L$175="","",[3]Entry!$L$175)</f>
        <v/>
      </c>
      <c r="AM172">
        <f>IF([3]Entry!$M$175="","",[3]Entry!$M$175)</f>
        <v/>
      </c>
      <c r="AN172">
        <f>IF([3]Entry!$N$175="","",[3]Entry!$N$175)</f>
        <v/>
      </c>
      <c r="AO172">
        <f>IF([3]Entry!$R$175="","",[3]Entry!$R$175)</f>
        <v/>
      </c>
      <c r="AQ172">
        <f>IF(AND($D172&lt;&gt;"",$A172&lt;&gt;""),1,0)</f>
        <v/>
      </c>
      <c r="AR172">
        <f>SUM($AQ$6:$AQ172)</f>
        <v/>
      </c>
      <c r="AS172">
        <f>IFERROR(INDEX($A$6:$A$565,MATCH(ROW()-5,$AR$6:$AR$565,0)),"")</f>
        <v/>
      </c>
    </row>
    <row r="173">
      <c r="A173">
        <f>IF([1]Accounts!$D$174="","",[1]Accounts!$A$174)</f>
        <v/>
      </c>
      <c r="B173">
        <f>IF([1]Accounts!$D$174="","",[1]Accounts!$B$174)</f>
        <v/>
      </c>
      <c r="C173">
        <f>IF([1]Accounts!$D$174="","",[1]Accounts!$C$174)</f>
        <v/>
      </c>
      <c r="D173">
        <f>IF([1]Accounts!$D$174="","",[1]Accounts!$D$174)</f>
        <v/>
      </c>
      <c r="E173">
        <f>IF([1]Accounts!$D$174="","",[1]Accounts!$J$174)</f>
        <v/>
      </c>
      <c r="F173">
        <f>IF([1]Accounts!$D$174="","",[1]Accounts!$K$174)</f>
        <v/>
      </c>
      <c r="U173">
        <f>IF([2]Baskol!$B$176="","",[2]Baskol!$B$176)</f>
        <v/>
      </c>
      <c r="V173">
        <f>IF([2]Baskol!$C$176="","",[2]Baskol!$C$176)</f>
        <v/>
      </c>
      <c r="W173">
        <f>IF([2]Baskol!$D$176="","",[2]Baskol!$D$176)</f>
        <v/>
      </c>
      <c r="X173">
        <f>IF([2]Baskol!$E$176="","",[2]Baskol!$E$176)</f>
        <v/>
      </c>
      <c r="Y173">
        <f>IF([2]Baskol!$G$176="","",[2]Baskol!$G$176)</f>
        <v/>
      </c>
      <c r="Z173">
        <f>IF([2]Baskol!$I$176="","",[2]Baskol!$I$176)</f>
        <v/>
      </c>
      <c r="AA173">
        <f>IF([2]Baskol!$J$176="","",[2]Baskol!$J$176)</f>
        <v/>
      </c>
      <c r="AB173">
        <f>IF([2]Baskol!$K$176="","",[2]Baskol!$K$176)</f>
        <v/>
      </c>
      <c r="AC173">
        <f>IF([2]Baskol!$L$176="","",[2]Baskol!$L$176)</f>
        <v/>
      </c>
      <c r="AD173">
        <f>IF([2]Baskol!$N$176="","",[2]Baskol!$N$176)</f>
        <v/>
      </c>
      <c r="AE173">
        <f>IF([2]Baskol!$O$176="","",[2]Baskol!$O$176)</f>
        <v/>
      </c>
      <c r="AG173">
        <f>IF([3]Entry!$C$176="","",[3]Entry!$C$176)</f>
        <v/>
      </c>
      <c r="AH173">
        <f>IF([3]Entry!$D$176="","",[3]Entry!$D$176)</f>
        <v/>
      </c>
      <c r="AI173">
        <f>IF([3]Entry!$E$176="","",[3]Entry!$E$176)</f>
        <v/>
      </c>
      <c r="AJ173">
        <f>IF([3]Entry!$G$176="","",[3]Entry!$G$176)</f>
        <v/>
      </c>
      <c r="AK173">
        <f>IF([3]Entry!$K$176="","",[3]Entry!$K$176)</f>
        <v/>
      </c>
      <c r="AL173">
        <f>IF([3]Entry!$L$176="","",[3]Entry!$L$176)</f>
        <v/>
      </c>
      <c r="AM173">
        <f>IF([3]Entry!$M$176="","",[3]Entry!$M$176)</f>
        <v/>
      </c>
      <c r="AN173">
        <f>IF([3]Entry!$N$176="","",[3]Entry!$N$176)</f>
        <v/>
      </c>
      <c r="AO173">
        <f>IF([3]Entry!$R$176="","",[3]Entry!$R$176)</f>
        <v/>
      </c>
      <c r="AQ173">
        <f>IF(AND($D173&lt;&gt;"",$A173&lt;&gt;""),1,0)</f>
        <v/>
      </c>
      <c r="AR173">
        <f>SUM($AQ$6:$AQ173)</f>
        <v/>
      </c>
      <c r="AS173">
        <f>IFERROR(INDEX($A$6:$A$565,MATCH(ROW()-5,$AR$6:$AR$565,0)),"")</f>
        <v/>
      </c>
    </row>
    <row r="174">
      <c r="A174">
        <f>IF([1]Accounts!$D$175="","",[1]Accounts!$A$175)</f>
        <v/>
      </c>
      <c r="B174">
        <f>IF([1]Accounts!$D$175="","",[1]Accounts!$B$175)</f>
        <v/>
      </c>
      <c r="C174">
        <f>IF([1]Accounts!$D$175="","",[1]Accounts!$C$175)</f>
        <v/>
      </c>
      <c r="D174">
        <f>IF([1]Accounts!$D$175="","",[1]Accounts!$D$175)</f>
        <v/>
      </c>
      <c r="E174">
        <f>IF([1]Accounts!$D$175="","",[1]Accounts!$J$175)</f>
        <v/>
      </c>
      <c r="F174">
        <f>IF([1]Accounts!$D$175="","",[1]Accounts!$K$175)</f>
        <v/>
      </c>
      <c r="U174">
        <f>IF([2]Baskol!$B$177="","",[2]Baskol!$B$177)</f>
        <v/>
      </c>
      <c r="V174">
        <f>IF([2]Baskol!$C$177="","",[2]Baskol!$C$177)</f>
        <v/>
      </c>
      <c r="W174">
        <f>IF([2]Baskol!$D$177="","",[2]Baskol!$D$177)</f>
        <v/>
      </c>
      <c r="X174">
        <f>IF([2]Baskol!$E$177="","",[2]Baskol!$E$177)</f>
        <v/>
      </c>
      <c r="Y174">
        <f>IF([2]Baskol!$G$177="","",[2]Baskol!$G$177)</f>
        <v/>
      </c>
      <c r="Z174">
        <f>IF([2]Baskol!$I$177="","",[2]Baskol!$I$177)</f>
        <v/>
      </c>
      <c r="AA174">
        <f>IF([2]Baskol!$J$177="","",[2]Baskol!$J$177)</f>
        <v/>
      </c>
      <c r="AB174">
        <f>IF([2]Baskol!$K$177="","",[2]Baskol!$K$177)</f>
        <v/>
      </c>
      <c r="AC174">
        <f>IF([2]Baskol!$L$177="","",[2]Baskol!$L$177)</f>
        <v/>
      </c>
      <c r="AD174">
        <f>IF([2]Baskol!$N$177="","",[2]Baskol!$N$177)</f>
        <v/>
      </c>
      <c r="AE174">
        <f>IF([2]Baskol!$O$177="","",[2]Baskol!$O$177)</f>
        <v/>
      </c>
      <c r="AG174">
        <f>IF([3]Entry!$C$177="","",[3]Entry!$C$177)</f>
        <v/>
      </c>
      <c r="AH174">
        <f>IF([3]Entry!$D$177="","",[3]Entry!$D$177)</f>
        <v/>
      </c>
      <c r="AI174">
        <f>IF([3]Entry!$E$177="","",[3]Entry!$E$177)</f>
        <v/>
      </c>
      <c r="AJ174">
        <f>IF([3]Entry!$G$177="","",[3]Entry!$G$177)</f>
        <v/>
      </c>
      <c r="AK174">
        <f>IF([3]Entry!$K$177="","",[3]Entry!$K$177)</f>
        <v/>
      </c>
      <c r="AL174">
        <f>IF([3]Entry!$L$177="","",[3]Entry!$L$177)</f>
        <v/>
      </c>
      <c r="AM174">
        <f>IF([3]Entry!$M$177="","",[3]Entry!$M$177)</f>
        <v/>
      </c>
      <c r="AN174">
        <f>IF([3]Entry!$N$177="","",[3]Entry!$N$177)</f>
        <v/>
      </c>
      <c r="AO174">
        <f>IF([3]Entry!$R$177="","",[3]Entry!$R$177)</f>
        <v/>
      </c>
      <c r="AQ174">
        <f>IF(AND($D174&lt;&gt;"",$A174&lt;&gt;""),1,0)</f>
        <v/>
      </c>
      <c r="AR174">
        <f>SUM($AQ$6:$AQ174)</f>
        <v/>
      </c>
      <c r="AS174">
        <f>IFERROR(INDEX($A$6:$A$565,MATCH(ROW()-5,$AR$6:$AR$565,0)),"")</f>
        <v/>
      </c>
    </row>
    <row r="175">
      <c r="A175">
        <f>IF([1]Accounts!$D$176="","",[1]Accounts!$A$176)</f>
        <v/>
      </c>
      <c r="B175">
        <f>IF([1]Accounts!$D$176="","",[1]Accounts!$B$176)</f>
        <v/>
      </c>
      <c r="C175">
        <f>IF([1]Accounts!$D$176="","",[1]Accounts!$C$176)</f>
        <v/>
      </c>
      <c r="D175">
        <f>IF([1]Accounts!$D$176="","",[1]Accounts!$D$176)</f>
        <v/>
      </c>
      <c r="E175">
        <f>IF([1]Accounts!$D$176="","",[1]Accounts!$J$176)</f>
        <v/>
      </c>
      <c r="F175">
        <f>IF([1]Accounts!$D$176="","",[1]Accounts!$K$176)</f>
        <v/>
      </c>
      <c r="U175">
        <f>IF([2]Baskol!$B$178="","",[2]Baskol!$B$178)</f>
        <v/>
      </c>
      <c r="V175">
        <f>IF([2]Baskol!$C$178="","",[2]Baskol!$C$178)</f>
        <v/>
      </c>
      <c r="W175">
        <f>IF([2]Baskol!$D$178="","",[2]Baskol!$D$178)</f>
        <v/>
      </c>
      <c r="X175">
        <f>IF([2]Baskol!$E$178="","",[2]Baskol!$E$178)</f>
        <v/>
      </c>
      <c r="Y175">
        <f>IF([2]Baskol!$G$178="","",[2]Baskol!$G$178)</f>
        <v/>
      </c>
      <c r="Z175">
        <f>IF([2]Baskol!$I$178="","",[2]Baskol!$I$178)</f>
        <v/>
      </c>
      <c r="AA175">
        <f>IF([2]Baskol!$J$178="","",[2]Baskol!$J$178)</f>
        <v/>
      </c>
      <c r="AB175">
        <f>IF([2]Baskol!$K$178="","",[2]Baskol!$K$178)</f>
        <v/>
      </c>
      <c r="AC175">
        <f>IF([2]Baskol!$L$178="","",[2]Baskol!$L$178)</f>
        <v/>
      </c>
      <c r="AD175">
        <f>IF([2]Baskol!$N$178="","",[2]Baskol!$N$178)</f>
        <v/>
      </c>
      <c r="AE175">
        <f>IF([2]Baskol!$O$178="","",[2]Baskol!$O$178)</f>
        <v/>
      </c>
      <c r="AG175">
        <f>IF([3]Entry!$C$178="","",[3]Entry!$C$178)</f>
        <v/>
      </c>
      <c r="AH175">
        <f>IF([3]Entry!$D$178="","",[3]Entry!$D$178)</f>
        <v/>
      </c>
      <c r="AI175">
        <f>IF([3]Entry!$E$178="","",[3]Entry!$E$178)</f>
        <v/>
      </c>
      <c r="AJ175">
        <f>IF([3]Entry!$G$178="","",[3]Entry!$G$178)</f>
        <v/>
      </c>
      <c r="AK175">
        <f>IF([3]Entry!$K$178="","",[3]Entry!$K$178)</f>
        <v/>
      </c>
      <c r="AL175">
        <f>IF([3]Entry!$L$178="","",[3]Entry!$L$178)</f>
        <v/>
      </c>
      <c r="AM175">
        <f>IF([3]Entry!$M$178="","",[3]Entry!$M$178)</f>
        <v/>
      </c>
      <c r="AN175">
        <f>IF([3]Entry!$N$178="","",[3]Entry!$N$178)</f>
        <v/>
      </c>
      <c r="AO175">
        <f>IF([3]Entry!$R$178="","",[3]Entry!$R$178)</f>
        <v/>
      </c>
      <c r="AQ175">
        <f>IF(AND($D175&lt;&gt;"",$A175&lt;&gt;""),1,0)</f>
        <v/>
      </c>
      <c r="AR175">
        <f>SUM($AQ$6:$AQ175)</f>
        <v/>
      </c>
      <c r="AS175">
        <f>IFERROR(INDEX($A$6:$A$565,MATCH(ROW()-5,$AR$6:$AR$565,0)),"")</f>
        <v/>
      </c>
    </row>
    <row r="176">
      <c r="A176">
        <f>IF([1]Accounts!$D$177="","",[1]Accounts!$A$177)</f>
        <v/>
      </c>
      <c r="B176">
        <f>IF([1]Accounts!$D$177="","",[1]Accounts!$B$177)</f>
        <v/>
      </c>
      <c r="C176">
        <f>IF([1]Accounts!$D$177="","",[1]Accounts!$C$177)</f>
        <v/>
      </c>
      <c r="D176">
        <f>IF([1]Accounts!$D$177="","",[1]Accounts!$D$177)</f>
        <v/>
      </c>
      <c r="E176">
        <f>IF([1]Accounts!$D$177="","",[1]Accounts!$J$177)</f>
        <v/>
      </c>
      <c r="F176">
        <f>IF([1]Accounts!$D$177="","",[1]Accounts!$K$177)</f>
        <v/>
      </c>
      <c r="U176">
        <f>IF([2]Baskol!$B$179="","",[2]Baskol!$B$179)</f>
        <v/>
      </c>
      <c r="V176">
        <f>IF([2]Baskol!$C$179="","",[2]Baskol!$C$179)</f>
        <v/>
      </c>
      <c r="W176">
        <f>IF([2]Baskol!$D$179="","",[2]Baskol!$D$179)</f>
        <v/>
      </c>
      <c r="X176">
        <f>IF([2]Baskol!$E$179="","",[2]Baskol!$E$179)</f>
        <v/>
      </c>
      <c r="Y176">
        <f>IF([2]Baskol!$G$179="","",[2]Baskol!$G$179)</f>
        <v/>
      </c>
      <c r="Z176">
        <f>IF([2]Baskol!$I$179="","",[2]Baskol!$I$179)</f>
        <v/>
      </c>
      <c r="AA176">
        <f>IF([2]Baskol!$J$179="","",[2]Baskol!$J$179)</f>
        <v/>
      </c>
      <c r="AB176">
        <f>IF([2]Baskol!$K$179="","",[2]Baskol!$K$179)</f>
        <v/>
      </c>
      <c r="AC176">
        <f>IF([2]Baskol!$L$179="","",[2]Baskol!$L$179)</f>
        <v/>
      </c>
      <c r="AD176">
        <f>IF([2]Baskol!$N$179="","",[2]Baskol!$N$179)</f>
        <v/>
      </c>
      <c r="AE176">
        <f>IF([2]Baskol!$O$179="","",[2]Baskol!$O$179)</f>
        <v/>
      </c>
      <c r="AG176">
        <f>IF([3]Entry!$C$179="","",[3]Entry!$C$179)</f>
        <v/>
      </c>
      <c r="AH176">
        <f>IF([3]Entry!$D$179="","",[3]Entry!$D$179)</f>
        <v/>
      </c>
      <c r="AI176">
        <f>IF([3]Entry!$E$179="","",[3]Entry!$E$179)</f>
        <v/>
      </c>
      <c r="AJ176">
        <f>IF([3]Entry!$G$179="","",[3]Entry!$G$179)</f>
        <v/>
      </c>
      <c r="AK176">
        <f>IF([3]Entry!$K$179="","",[3]Entry!$K$179)</f>
        <v/>
      </c>
      <c r="AL176">
        <f>IF([3]Entry!$L$179="","",[3]Entry!$L$179)</f>
        <v/>
      </c>
      <c r="AM176">
        <f>IF([3]Entry!$M$179="","",[3]Entry!$M$179)</f>
        <v/>
      </c>
      <c r="AN176">
        <f>IF([3]Entry!$N$179="","",[3]Entry!$N$179)</f>
        <v/>
      </c>
      <c r="AO176">
        <f>IF([3]Entry!$R$179="","",[3]Entry!$R$179)</f>
        <v/>
      </c>
      <c r="AQ176">
        <f>IF(AND($D176&lt;&gt;"",$A176&lt;&gt;""),1,0)</f>
        <v/>
      </c>
      <c r="AR176">
        <f>SUM($AQ$6:$AQ176)</f>
        <v/>
      </c>
      <c r="AS176">
        <f>IFERROR(INDEX($A$6:$A$565,MATCH(ROW()-5,$AR$6:$AR$565,0)),"")</f>
        <v/>
      </c>
    </row>
    <row r="177">
      <c r="A177">
        <f>IF([1]Accounts!$D$178="","",[1]Accounts!$A$178)</f>
        <v/>
      </c>
      <c r="B177">
        <f>IF([1]Accounts!$D$178="","",[1]Accounts!$B$178)</f>
        <v/>
      </c>
      <c r="C177">
        <f>IF([1]Accounts!$D$178="","",[1]Accounts!$C$178)</f>
        <v/>
      </c>
      <c r="D177">
        <f>IF([1]Accounts!$D$178="","",[1]Accounts!$D$178)</f>
        <v/>
      </c>
      <c r="E177">
        <f>IF([1]Accounts!$D$178="","",[1]Accounts!$J$178)</f>
        <v/>
      </c>
      <c r="F177">
        <f>IF([1]Accounts!$D$178="","",[1]Accounts!$K$178)</f>
        <v/>
      </c>
      <c r="U177">
        <f>IF([2]Baskol!$B$180="","",[2]Baskol!$B$180)</f>
        <v/>
      </c>
      <c r="V177">
        <f>IF([2]Baskol!$C$180="","",[2]Baskol!$C$180)</f>
        <v/>
      </c>
      <c r="W177">
        <f>IF([2]Baskol!$D$180="","",[2]Baskol!$D$180)</f>
        <v/>
      </c>
      <c r="X177">
        <f>IF([2]Baskol!$E$180="","",[2]Baskol!$E$180)</f>
        <v/>
      </c>
      <c r="Y177">
        <f>IF([2]Baskol!$G$180="","",[2]Baskol!$G$180)</f>
        <v/>
      </c>
      <c r="Z177">
        <f>IF([2]Baskol!$I$180="","",[2]Baskol!$I$180)</f>
        <v/>
      </c>
      <c r="AA177">
        <f>IF([2]Baskol!$J$180="","",[2]Baskol!$J$180)</f>
        <v/>
      </c>
      <c r="AB177">
        <f>IF([2]Baskol!$K$180="","",[2]Baskol!$K$180)</f>
        <v/>
      </c>
      <c r="AC177">
        <f>IF([2]Baskol!$L$180="","",[2]Baskol!$L$180)</f>
        <v/>
      </c>
      <c r="AD177">
        <f>IF([2]Baskol!$N$180="","",[2]Baskol!$N$180)</f>
        <v/>
      </c>
      <c r="AE177">
        <f>IF([2]Baskol!$O$180="","",[2]Baskol!$O$180)</f>
        <v/>
      </c>
      <c r="AG177">
        <f>IF([3]Entry!$C$180="","",[3]Entry!$C$180)</f>
        <v/>
      </c>
      <c r="AH177">
        <f>IF([3]Entry!$D$180="","",[3]Entry!$D$180)</f>
        <v/>
      </c>
      <c r="AI177">
        <f>IF([3]Entry!$E$180="","",[3]Entry!$E$180)</f>
        <v/>
      </c>
      <c r="AJ177">
        <f>IF([3]Entry!$G$180="","",[3]Entry!$G$180)</f>
        <v/>
      </c>
      <c r="AK177">
        <f>IF([3]Entry!$K$180="","",[3]Entry!$K$180)</f>
        <v/>
      </c>
      <c r="AL177">
        <f>IF([3]Entry!$L$180="","",[3]Entry!$L$180)</f>
        <v/>
      </c>
      <c r="AM177">
        <f>IF([3]Entry!$M$180="","",[3]Entry!$M$180)</f>
        <v/>
      </c>
      <c r="AN177">
        <f>IF([3]Entry!$N$180="","",[3]Entry!$N$180)</f>
        <v/>
      </c>
      <c r="AO177">
        <f>IF([3]Entry!$R$180="","",[3]Entry!$R$180)</f>
        <v/>
      </c>
      <c r="AQ177">
        <f>IF(AND($D177&lt;&gt;"",$A177&lt;&gt;""),1,0)</f>
        <v/>
      </c>
      <c r="AR177">
        <f>SUM($AQ$6:$AQ177)</f>
        <v/>
      </c>
      <c r="AS177">
        <f>IFERROR(INDEX($A$6:$A$565,MATCH(ROW()-5,$AR$6:$AR$565,0)),"")</f>
        <v/>
      </c>
    </row>
    <row r="178">
      <c r="A178">
        <f>IF([1]Accounts!$D$179="","",[1]Accounts!$A$179)</f>
        <v/>
      </c>
      <c r="B178">
        <f>IF([1]Accounts!$D$179="","",[1]Accounts!$B$179)</f>
        <v/>
      </c>
      <c r="C178">
        <f>IF([1]Accounts!$D$179="","",[1]Accounts!$C$179)</f>
        <v/>
      </c>
      <c r="D178">
        <f>IF([1]Accounts!$D$179="","",[1]Accounts!$D$179)</f>
        <v/>
      </c>
      <c r="E178">
        <f>IF([1]Accounts!$D$179="","",[1]Accounts!$J$179)</f>
        <v/>
      </c>
      <c r="F178">
        <f>IF([1]Accounts!$D$179="","",[1]Accounts!$K$179)</f>
        <v/>
      </c>
      <c r="U178">
        <f>IF([2]Baskol!$B$181="","",[2]Baskol!$B$181)</f>
        <v/>
      </c>
      <c r="V178">
        <f>IF([2]Baskol!$C$181="","",[2]Baskol!$C$181)</f>
        <v/>
      </c>
      <c r="W178">
        <f>IF([2]Baskol!$D$181="","",[2]Baskol!$D$181)</f>
        <v/>
      </c>
      <c r="X178">
        <f>IF([2]Baskol!$E$181="","",[2]Baskol!$E$181)</f>
        <v/>
      </c>
      <c r="Y178">
        <f>IF([2]Baskol!$G$181="","",[2]Baskol!$G$181)</f>
        <v/>
      </c>
      <c r="Z178">
        <f>IF([2]Baskol!$I$181="","",[2]Baskol!$I$181)</f>
        <v/>
      </c>
      <c r="AA178">
        <f>IF([2]Baskol!$J$181="","",[2]Baskol!$J$181)</f>
        <v/>
      </c>
      <c r="AB178">
        <f>IF([2]Baskol!$K$181="","",[2]Baskol!$K$181)</f>
        <v/>
      </c>
      <c r="AC178">
        <f>IF([2]Baskol!$L$181="","",[2]Baskol!$L$181)</f>
        <v/>
      </c>
      <c r="AD178">
        <f>IF([2]Baskol!$N$181="","",[2]Baskol!$N$181)</f>
        <v/>
      </c>
      <c r="AE178">
        <f>IF([2]Baskol!$O$181="","",[2]Baskol!$O$181)</f>
        <v/>
      </c>
      <c r="AG178">
        <f>IF([3]Entry!$C$181="","",[3]Entry!$C$181)</f>
        <v/>
      </c>
      <c r="AH178">
        <f>IF([3]Entry!$D$181="","",[3]Entry!$D$181)</f>
        <v/>
      </c>
      <c r="AI178">
        <f>IF([3]Entry!$E$181="","",[3]Entry!$E$181)</f>
        <v/>
      </c>
      <c r="AJ178">
        <f>IF([3]Entry!$G$181="","",[3]Entry!$G$181)</f>
        <v/>
      </c>
      <c r="AK178">
        <f>IF([3]Entry!$K$181="","",[3]Entry!$K$181)</f>
        <v/>
      </c>
      <c r="AL178">
        <f>IF([3]Entry!$L$181="","",[3]Entry!$L$181)</f>
        <v/>
      </c>
      <c r="AM178">
        <f>IF([3]Entry!$M$181="","",[3]Entry!$M$181)</f>
        <v/>
      </c>
      <c r="AN178">
        <f>IF([3]Entry!$N$181="","",[3]Entry!$N$181)</f>
        <v/>
      </c>
      <c r="AO178">
        <f>IF([3]Entry!$R$181="","",[3]Entry!$R$181)</f>
        <v/>
      </c>
      <c r="AQ178">
        <f>IF(AND($D178&lt;&gt;"",$A178&lt;&gt;""),1,0)</f>
        <v/>
      </c>
      <c r="AR178">
        <f>SUM($AQ$6:$AQ178)</f>
        <v/>
      </c>
      <c r="AS178">
        <f>IFERROR(INDEX($A$6:$A$565,MATCH(ROW()-5,$AR$6:$AR$565,0)),"")</f>
        <v/>
      </c>
    </row>
    <row r="179">
      <c r="A179">
        <f>IF([1]Accounts!$D$180="","",[1]Accounts!$A$180)</f>
        <v/>
      </c>
      <c r="B179">
        <f>IF([1]Accounts!$D$180="","",[1]Accounts!$B$180)</f>
        <v/>
      </c>
      <c r="C179">
        <f>IF([1]Accounts!$D$180="","",[1]Accounts!$C$180)</f>
        <v/>
      </c>
      <c r="D179">
        <f>IF([1]Accounts!$D$180="","",[1]Accounts!$D$180)</f>
        <v/>
      </c>
      <c r="E179">
        <f>IF([1]Accounts!$D$180="","",[1]Accounts!$J$180)</f>
        <v/>
      </c>
      <c r="F179">
        <f>IF([1]Accounts!$D$180="","",[1]Accounts!$K$180)</f>
        <v/>
      </c>
      <c r="U179">
        <f>IF([2]Baskol!$B$182="","",[2]Baskol!$B$182)</f>
        <v/>
      </c>
      <c r="V179">
        <f>IF([2]Baskol!$C$182="","",[2]Baskol!$C$182)</f>
        <v/>
      </c>
      <c r="W179">
        <f>IF([2]Baskol!$D$182="","",[2]Baskol!$D$182)</f>
        <v/>
      </c>
      <c r="X179">
        <f>IF([2]Baskol!$E$182="","",[2]Baskol!$E$182)</f>
        <v/>
      </c>
      <c r="Y179">
        <f>IF([2]Baskol!$G$182="","",[2]Baskol!$G$182)</f>
        <v/>
      </c>
      <c r="Z179">
        <f>IF([2]Baskol!$I$182="","",[2]Baskol!$I$182)</f>
        <v/>
      </c>
      <c r="AA179">
        <f>IF([2]Baskol!$J$182="","",[2]Baskol!$J$182)</f>
        <v/>
      </c>
      <c r="AB179">
        <f>IF([2]Baskol!$K$182="","",[2]Baskol!$K$182)</f>
        <v/>
      </c>
      <c r="AC179">
        <f>IF([2]Baskol!$L$182="","",[2]Baskol!$L$182)</f>
        <v/>
      </c>
      <c r="AD179">
        <f>IF([2]Baskol!$N$182="","",[2]Baskol!$N$182)</f>
        <v/>
      </c>
      <c r="AE179">
        <f>IF([2]Baskol!$O$182="","",[2]Baskol!$O$182)</f>
        <v/>
      </c>
      <c r="AG179">
        <f>IF([3]Entry!$C$182="","",[3]Entry!$C$182)</f>
        <v/>
      </c>
      <c r="AH179">
        <f>IF([3]Entry!$D$182="","",[3]Entry!$D$182)</f>
        <v/>
      </c>
      <c r="AI179">
        <f>IF([3]Entry!$E$182="","",[3]Entry!$E$182)</f>
        <v/>
      </c>
      <c r="AJ179">
        <f>IF([3]Entry!$G$182="","",[3]Entry!$G$182)</f>
        <v/>
      </c>
      <c r="AK179">
        <f>IF([3]Entry!$K$182="","",[3]Entry!$K$182)</f>
        <v/>
      </c>
      <c r="AL179">
        <f>IF([3]Entry!$L$182="","",[3]Entry!$L$182)</f>
        <v/>
      </c>
      <c r="AM179">
        <f>IF([3]Entry!$M$182="","",[3]Entry!$M$182)</f>
        <v/>
      </c>
      <c r="AN179">
        <f>IF([3]Entry!$N$182="","",[3]Entry!$N$182)</f>
        <v/>
      </c>
      <c r="AO179">
        <f>IF([3]Entry!$R$182="","",[3]Entry!$R$182)</f>
        <v/>
      </c>
      <c r="AQ179">
        <f>IF(AND($D179&lt;&gt;"",$A179&lt;&gt;""),1,0)</f>
        <v/>
      </c>
      <c r="AR179">
        <f>SUM($AQ$6:$AQ179)</f>
        <v/>
      </c>
      <c r="AS179">
        <f>IFERROR(INDEX($A$6:$A$565,MATCH(ROW()-5,$AR$6:$AR$565,0)),"")</f>
        <v/>
      </c>
    </row>
    <row r="180">
      <c r="A180">
        <f>IF([1]Accounts!$D$181="","",[1]Accounts!$A$181)</f>
        <v/>
      </c>
      <c r="B180">
        <f>IF([1]Accounts!$D$181="","",[1]Accounts!$B$181)</f>
        <v/>
      </c>
      <c r="C180">
        <f>IF([1]Accounts!$D$181="","",[1]Accounts!$C$181)</f>
        <v/>
      </c>
      <c r="D180">
        <f>IF([1]Accounts!$D$181="","",[1]Accounts!$D$181)</f>
        <v/>
      </c>
      <c r="E180">
        <f>IF([1]Accounts!$D$181="","",[1]Accounts!$J$181)</f>
        <v/>
      </c>
      <c r="F180">
        <f>IF([1]Accounts!$D$181="","",[1]Accounts!$K$181)</f>
        <v/>
      </c>
      <c r="U180">
        <f>IF([2]Baskol!$B$183="","",[2]Baskol!$B$183)</f>
        <v/>
      </c>
      <c r="V180">
        <f>IF([2]Baskol!$C$183="","",[2]Baskol!$C$183)</f>
        <v/>
      </c>
      <c r="W180">
        <f>IF([2]Baskol!$D$183="","",[2]Baskol!$D$183)</f>
        <v/>
      </c>
      <c r="X180">
        <f>IF([2]Baskol!$E$183="","",[2]Baskol!$E$183)</f>
        <v/>
      </c>
      <c r="Y180">
        <f>IF([2]Baskol!$G$183="","",[2]Baskol!$G$183)</f>
        <v/>
      </c>
      <c r="Z180">
        <f>IF([2]Baskol!$I$183="","",[2]Baskol!$I$183)</f>
        <v/>
      </c>
      <c r="AA180">
        <f>IF([2]Baskol!$J$183="","",[2]Baskol!$J$183)</f>
        <v/>
      </c>
      <c r="AB180">
        <f>IF([2]Baskol!$K$183="","",[2]Baskol!$K$183)</f>
        <v/>
      </c>
      <c r="AC180">
        <f>IF([2]Baskol!$L$183="","",[2]Baskol!$L$183)</f>
        <v/>
      </c>
      <c r="AD180">
        <f>IF([2]Baskol!$N$183="","",[2]Baskol!$N$183)</f>
        <v/>
      </c>
      <c r="AE180">
        <f>IF([2]Baskol!$O$183="","",[2]Baskol!$O$183)</f>
        <v/>
      </c>
      <c r="AG180">
        <f>IF([3]Entry!$C$183="","",[3]Entry!$C$183)</f>
        <v/>
      </c>
      <c r="AH180">
        <f>IF([3]Entry!$D$183="","",[3]Entry!$D$183)</f>
        <v/>
      </c>
      <c r="AI180">
        <f>IF([3]Entry!$E$183="","",[3]Entry!$E$183)</f>
        <v/>
      </c>
      <c r="AJ180">
        <f>IF([3]Entry!$G$183="","",[3]Entry!$G$183)</f>
        <v/>
      </c>
      <c r="AK180">
        <f>IF([3]Entry!$K$183="","",[3]Entry!$K$183)</f>
        <v/>
      </c>
      <c r="AL180">
        <f>IF([3]Entry!$L$183="","",[3]Entry!$L$183)</f>
        <v/>
      </c>
      <c r="AM180">
        <f>IF([3]Entry!$M$183="","",[3]Entry!$M$183)</f>
        <v/>
      </c>
      <c r="AN180">
        <f>IF([3]Entry!$N$183="","",[3]Entry!$N$183)</f>
        <v/>
      </c>
      <c r="AO180">
        <f>IF([3]Entry!$R$183="","",[3]Entry!$R$183)</f>
        <v/>
      </c>
      <c r="AQ180">
        <f>IF(AND($D180&lt;&gt;"",$A180&lt;&gt;""),1,0)</f>
        <v/>
      </c>
      <c r="AR180">
        <f>SUM($AQ$6:$AQ180)</f>
        <v/>
      </c>
      <c r="AS180">
        <f>IFERROR(INDEX($A$6:$A$565,MATCH(ROW()-5,$AR$6:$AR$565,0)),"")</f>
        <v/>
      </c>
    </row>
    <row r="181">
      <c r="A181">
        <f>IF([1]Accounts!$D$182="","",[1]Accounts!$A$182)</f>
        <v/>
      </c>
      <c r="B181">
        <f>IF([1]Accounts!$D$182="","",[1]Accounts!$B$182)</f>
        <v/>
      </c>
      <c r="C181">
        <f>IF([1]Accounts!$D$182="","",[1]Accounts!$C$182)</f>
        <v/>
      </c>
      <c r="D181">
        <f>IF([1]Accounts!$D$182="","",[1]Accounts!$D$182)</f>
        <v/>
      </c>
      <c r="E181">
        <f>IF([1]Accounts!$D$182="","",[1]Accounts!$J$182)</f>
        <v/>
      </c>
      <c r="F181">
        <f>IF([1]Accounts!$D$182="","",[1]Accounts!$K$182)</f>
        <v/>
      </c>
      <c r="U181">
        <f>IF([2]Baskol!$B$184="","",[2]Baskol!$B$184)</f>
        <v/>
      </c>
      <c r="V181">
        <f>IF([2]Baskol!$C$184="","",[2]Baskol!$C$184)</f>
        <v/>
      </c>
      <c r="W181">
        <f>IF([2]Baskol!$D$184="","",[2]Baskol!$D$184)</f>
        <v/>
      </c>
      <c r="X181">
        <f>IF([2]Baskol!$E$184="","",[2]Baskol!$E$184)</f>
        <v/>
      </c>
      <c r="Y181">
        <f>IF([2]Baskol!$G$184="","",[2]Baskol!$G$184)</f>
        <v/>
      </c>
      <c r="Z181">
        <f>IF([2]Baskol!$I$184="","",[2]Baskol!$I$184)</f>
        <v/>
      </c>
      <c r="AA181">
        <f>IF([2]Baskol!$J$184="","",[2]Baskol!$J$184)</f>
        <v/>
      </c>
      <c r="AB181">
        <f>IF([2]Baskol!$K$184="","",[2]Baskol!$K$184)</f>
        <v/>
      </c>
      <c r="AC181">
        <f>IF([2]Baskol!$L$184="","",[2]Baskol!$L$184)</f>
        <v/>
      </c>
      <c r="AD181">
        <f>IF([2]Baskol!$N$184="","",[2]Baskol!$N$184)</f>
        <v/>
      </c>
      <c r="AE181">
        <f>IF([2]Baskol!$O$184="","",[2]Baskol!$O$184)</f>
        <v/>
      </c>
      <c r="AG181">
        <f>IF([3]Entry!$C$184="","",[3]Entry!$C$184)</f>
        <v/>
      </c>
      <c r="AH181">
        <f>IF([3]Entry!$D$184="","",[3]Entry!$D$184)</f>
        <v/>
      </c>
      <c r="AI181">
        <f>IF([3]Entry!$E$184="","",[3]Entry!$E$184)</f>
        <v/>
      </c>
      <c r="AJ181">
        <f>IF([3]Entry!$G$184="","",[3]Entry!$G$184)</f>
        <v/>
      </c>
      <c r="AK181">
        <f>IF([3]Entry!$K$184="","",[3]Entry!$K$184)</f>
        <v/>
      </c>
      <c r="AL181">
        <f>IF([3]Entry!$L$184="","",[3]Entry!$L$184)</f>
        <v/>
      </c>
      <c r="AM181">
        <f>IF([3]Entry!$M$184="","",[3]Entry!$M$184)</f>
        <v/>
      </c>
      <c r="AN181">
        <f>IF([3]Entry!$N$184="","",[3]Entry!$N$184)</f>
        <v/>
      </c>
      <c r="AO181">
        <f>IF([3]Entry!$R$184="","",[3]Entry!$R$184)</f>
        <v/>
      </c>
      <c r="AQ181">
        <f>IF(AND($D181&lt;&gt;"",$A181&lt;&gt;""),1,0)</f>
        <v/>
      </c>
      <c r="AR181">
        <f>SUM($AQ$6:$AQ181)</f>
        <v/>
      </c>
      <c r="AS181">
        <f>IFERROR(INDEX($A$6:$A$565,MATCH(ROW()-5,$AR$6:$AR$565,0)),"")</f>
        <v/>
      </c>
    </row>
    <row r="182">
      <c r="A182">
        <f>IF([1]Accounts!$D$183="","",[1]Accounts!$A$183)</f>
        <v/>
      </c>
      <c r="B182">
        <f>IF([1]Accounts!$D$183="","",[1]Accounts!$B$183)</f>
        <v/>
      </c>
      <c r="C182">
        <f>IF([1]Accounts!$D$183="","",[1]Accounts!$C$183)</f>
        <v/>
      </c>
      <c r="D182">
        <f>IF([1]Accounts!$D$183="","",[1]Accounts!$D$183)</f>
        <v/>
      </c>
      <c r="E182">
        <f>IF([1]Accounts!$D$183="","",[1]Accounts!$J$183)</f>
        <v/>
      </c>
      <c r="F182">
        <f>IF([1]Accounts!$D$183="","",[1]Accounts!$K$183)</f>
        <v/>
      </c>
      <c r="U182">
        <f>IF([2]Baskol!$B$185="","",[2]Baskol!$B$185)</f>
        <v/>
      </c>
      <c r="V182">
        <f>IF([2]Baskol!$C$185="","",[2]Baskol!$C$185)</f>
        <v/>
      </c>
      <c r="W182">
        <f>IF([2]Baskol!$D$185="","",[2]Baskol!$D$185)</f>
        <v/>
      </c>
      <c r="X182">
        <f>IF([2]Baskol!$E$185="","",[2]Baskol!$E$185)</f>
        <v/>
      </c>
      <c r="Y182">
        <f>IF([2]Baskol!$G$185="","",[2]Baskol!$G$185)</f>
        <v/>
      </c>
      <c r="Z182">
        <f>IF([2]Baskol!$I$185="","",[2]Baskol!$I$185)</f>
        <v/>
      </c>
      <c r="AA182">
        <f>IF([2]Baskol!$J$185="","",[2]Baskol!$J$185)</f>
        <v/>
      </c>
      <c r="AB182">
        <f>IF([2]Baskol!$K$185="","",[2]Baskol!$K$185)</f>
        <v/>
      </c>
      <c r="AC182">
        <f>IF([2]Baskol!$L$185="","",[2]Baskol!$L$185)</f>
        <v/>
      </c>
      <c r="AD182">
        <f>IF([2]Baskol!$N$185="","",[2]Baskol!$N$185)</f>
        <v/>
      </c>
      <c r="AE182">
        <f>IF([2]Baskol!$O$185="","",[2]Baskol!$O$185)</f>
        <v/>
      </c>
      <c r="AG182">
        <f>IF([3]Entry!$C$185="","",[3]Entry!$C$185)</f>
        <v/>
      </c>
      <c r="AH182">
        <f>IF([3]Entry!$D$185="","",[3]Entry!$D$185)</f>
        <v/>
      </c>
      <c r="AI182">
        <f>IF([3]Entry!$E$185="","",[3]Entry!$E$185)</f>
        <v/>
      </c>
      <c r="AJ182">
        <f>IF([3]Entry!$G$185="","",[3]Entry!$G$185)</f>
        <v/>
      </c>
      <c r="AK182">
        <f>IF([3]Entry!$K$185="","",[3]Entry!$K$185)</f>
        <v/>
      </c>
      <c r="AL182">
        <f>IF([3]Entry!$L$185="","",[3]Entry!$L$185)</f>
        <v/>
      </c>
      <c r="AM182">
        <f>IF([3]Entry!$M$185="","",[3]Entry!$M$185)</f>
        <v/>
      </c>
      <c r="AN182">
        <f>IF([3]Entry!$N$185="","",[3]Entry!$N$185)</f>
        <v/>
      </c>
      <c r="AO182">
        <f>IF([3]Entry!$R$185="","",[3]Entry!$R$185)</f>
        <v/>
      </c>
      <c r="AQ182">
        <f>IF(AND($D182&lt;&gt;"",$A182&lt;&gt;""),1,0)</f>
        <v/>
      </c>
      <c r="AR182">
        <f>SUM($AQ$6:$AQ182)</f>
        <v/>
      </c>
      <c r="AS182">
        <f>IFERROR(INDEX($A$6:$A$565,MATCH(ROW()-5,$AR$6:$AR$565,0)),"")</f>
        <v/>
      </c>
    </row>
    <row r="183">
      <c r="A183">
        <f>IF([1]Accounts!$D$184="","",[1]Accounts!$A$184)</f>
        <v/>
      </c>
      <c r="B183">
        <f>IF([1]Accounts!$D$184="","",[1]Accounts!$B$184)</f>
        <v/>
      </c>
      <c r="C183">
        <f>IF([1]Accounts!$D$184="","",[1]Accounts!$C$184)</f>
        <v/>
      </c>
      <c r="D183">
        <f>IF([1]Accounts!$D$184="","",[1]Accounts!$D$184)</f>
        <v/>
      </c>
      <c r="E183">
        <f>IF([1]Accounts!$D$184="","",[1]Accounts!$J$184)</f>
        <v/>
      </c>
      <c r="F183">
        <f>IF([1]Accounts!$D$184="","",[1]Accounts!$K$184)</f>
        <v/>
      </c>
      <c r="U183">
        <f>IF([2]Baskol!$B$186="","",[2]Baskol!$B$186)</f>
        <v/>
      </c>
      <c r="V183">
        <f>IF([2]Baskol!$C$186="","",[2]Baskol!$C$186)</f>
        <v/>
      </c>
      <c r="W183">
        <f>IF([2]Baskol!$D$186="","",[2]Baskol!$D$186)</f>
        <v/>
      </c>
      <c r="X183">
        <f>IF([2]Baskol!$E$186="","",[2]Baskol!$E$186)</f>
        <v/>
      </c>
      <c r="Y183">
        <f>IF([2]Baskol!$G$186="","",[2]Baskol!$G$186)</f>
        <v/>
      </c>
      <c r="Z183">
        <f>IF([2]Baskol!$I$186="","",[2]Baskol!$I$186)</f>
        <v/>
      </c>
      <c r="AA183">
        <f>IF([2]Baskol!$J$186="","",[2]Baskol!$J$186)</f>
        <v/>
      </c>
      <c r="AB183">
        <f>IF([2]Baskol!$K$186="","",[2]Baskol!$K$186)</f>
        <v/>
      </c>
      <c r="AC183">
        <f>IF([2]Baskol!$L$186="","",[2]Baskol!$L$186)</f>
        <v/>
      </c>
      <c r="AD183">
        <f>IF([2]Baskol!$N$186="","",[2]Baskol!$N$186)</f>
        <v/>
      </c>
      <c r="AE183">
        <f>IF([2]Baskol!$O$186="","",[2]Baskol!$O$186)</f>
        <v/>
      </c>
      <c r="AG183">
        <f>IF([3]Entry!$C$186="","",[3]Entry!$C$186)</f>
        <v/>
      </c>
      <c r="AH183">
        <f>IF([3]Entry!$D$186="","",[3]Entry!$D$186)</f>
        <v/>
      </c>
      <c r="AI183">
        <f>IF([3]Entry!$E$186="","",[3]Entry!$E$186)</f>
        <v/>
      </c>
      <c r="AJ183">
        <f>IF([3]Entry!$G$186="","",[3]Entry!$G$186)</f>
        <v/>
      </c>
      <c r="AK183">
        <f>IF([3]Entry!$K$186="","",[3]Entry!$K$186)</f>
        <v/>
      </c>
      <c r="AL183">
        <f>IF([3]Entry!$L$186="","",[3]Entry!$L$186)</f>
        <v/>
      </c>
      <c r="AM183">
        <f>IF([3]Entry!$M$186="","",[3]Entry!$M$186)</f>
        <v/>
      </c>
      <c r="AN183">
        <f>IF([3]Entry!$N$186="","",[3]Entry!$N$186)</f>
        <v/>
      </c>
      <c r="AO183">
        <f>IF([3]Entry!$R$186="","",[3]Entry!$R$186)</f>
        <v/>
      </c>
      <c r="AQ183">
        <f>IF(AND($D183&lt;&gt;"",$A183&lt;&gt;""),1,0)</f>
        <v/>
      </c>
      <c r="AR183">
        <f>SUM($AQ$6:$AQ183)</f>
        <v/>
      </c>
      <c r="AS183">
        <f>IFERROR(INDEX($A$6:$A$565,MATCH(ROW()-5,$AR$6:$AR$565,0)),"")</f>
        <v/>
      </c>
    </row>
    <row r="184">
      <c r="A184">
        <f>IF([1]Accounts!$D$185="","",[1]Accounts!$A$185)</f>
        <v/>
      </c>
      <c r="B184">
        <f>IF([1]Accounts!$D$185="","",[1]Accounts!$B$185)</f>
        <v/>
      </c>
      <c r="C184">
        <f>IF([1]Accounts!$D$185="","",[1]Accounts!$C$185)</f>
        <v/>
      </c>
      <c r="D184">
        <f>IF([1]Accounts!$D$185="","",[1]Accounts!$D$185)</f>
        <v/>
      </c>
      <c r="E184">
        <f>IF([1]Accounts!$D$185="","",[1]Accounts!$J$185)</f>
        <v/>
      </c>
      <c r="F184">
        <f>IF([1]Accounts!$D$185="","",[1]Accounts!$K$185)</f>
        <v/>
      </c>
      <c r="U184">
        <f>IF([2]Baskol!$B$187="","",[2]Baskol!$B$187)</f>
        <v/>
      </c>
      <c r="V184">
        <f>IF([2]Baskol!$C$187="","",[2]Baskol!$C$187)</f>
        <v/>
      </c>
      <c r="W184">
        <f>IF([2]Baskol!$D$187="","",[2]Baskol!$D$187)</f>
        <v/>
      </c>
      <c r="X184">
        <f>IF([2]Baskol!$E$187="","",[2]Baskol!$E$187)</f>
        <v/>
      </c>
      <c r="Y184">
        <f>IF([2]Baskol!$G$187="","",[2]Baskol!$G$187)</f>
        <v/>
      </c>
      <c r="Z184">
        <f>IF([2]Baskol!$I$187="","",[2]Baskol!$I$187)</f>
        <v/>
      </c>
      <c r="AA184">
        <f>IF([2]Baskol!$J$187="","",[2]Baskol!$J$187)</f>
        <v/>
      </c>
      <c r="AB184">
        <f>IF([2]Baskol!$K$187="","",[2]Baskol!$K$187)</f>
        <v/>
      </c>
      <c r="AC184">
        <f>IF([2]Baskol!$L$187="","",[2]Baskol!$L$187)</f>
        <v/>
      </c>
      <c r="AD184">
        <f>IF([2]Baskol!$N$187="","",[2]Baskol!$N$187)</f>
        <v/>
      </c>
      <c r="AE184">
        <f>IF([2]Baskol!$O$187="","",[2]Baskol!$O$187)</f>
        <v/>
      </c>
      <c r="AG184">
        <f>IF([3]Entry!$C$187="","",[3]Entry!$C$187)</f>
        <v/>
      </c>
      <c r="AH184">
        <f>IF([3]Entry!$D$187="","",[3]Entry!$D$187)</f>
        <v/>
      </c>
      <c r="AI184">
        <f>IF([3]Entry!$E$187="","",[3]Entry!$E$187)</f>
        <v/>
      </c>
      <c r="AJ184">
        <f>IF([3]Entry!$G$187="","",[3]Entry!$G$187)</f>
        <v/>
      </c>
      <c r="AK184">
        <f>IF([3]Entry!$K$187="","",[3]Entry!$K$187)</f>
        <v/>
      </c>
      <c r="AL184">
        <f>IF([3]Entry!$L$187="","",[3]Entry!$L$187)</f>
        <v/>
      </c>
      <c r="AM184">
        <f>IF([3]Entry!$M$187="","",[3]Entry!$M$187)</f>
        <v/>
      </c>
      <c r="AN184">
        <f>IF([3]Entry!$N$187="","",[3]Entry!$N$187)</f>
        <v/>
      </c>
      <c r="AO184">
        <f>IF([3]Entry!$R$187="","",[3]Entry!$R$187)</f>
        <v/>
      </c>
      <c r="AQ184">
        <f>IF(AND($D184&lt;&gt;"",$A184&lt;&gt;""),1,0)</f>
        <v/>
      </c>
      <c r="AR184">
        <f>SUM($AQ$6:$AQ184)</f>
        <v/>
      </c>
      <c r="AS184">
        <f>IFERROR(INDEX($A$6:$A$565,MATCH(ROW()-5,$AR$6:$AR$565,0)),"")</f>
        <v/>
      </c>
    </row>
    <row r="185">
      <c r="A185">
        <f>IF([1]Accounts!$D$186="","",[1]Accounts!$A$186)</f>
        <v/>
      </c>
      <c r="B185">
        <f>IF([1]Accounts!$D$186="","",[1]Accounts!$B$186)</f>
        <v/>
      </c>
      <c r="C185">
        <f>IF([1]Accounts!$D$186="","",[1]Accounts!$C$186)</f>
        <v/>
      </c>
      <c r="D185">
        <f>IF([1]Accounts!$D$186="","",[1]Accounts!$D$186)</f>
        <v/>
      </c>
      <c r="E185">
        <f>IF([1]Accounts!$D$186="","",[1]Accounts!$J$186)</f>
        <v/>
      </c>
      <c r="F185">
        <f>IF([1]Accounts!$D$186="","",[1]Accounts!$K$186)</f>
        <v/>
      </c>
      <c r="U185">
        <f>IF([2]Baskol!$B$188="","",[2]Baskol!$B$188)</f>
        <v/>
      </c>
      <c r="V185">
        <f>IF([2]Baskol!$C$188="","",[2]Baskol!$C$188)</f>
        <v/>
      </c>
      <c r="W185">
        <f>IF([2]Baskol!$D$188="","",[2]Baskol!$D$188)</f>
        <v/>
      </c>
      <c r="X185">
        <f>IF([2]Baskol!$E$188="","",[2]Baskol!$E$188)</f>
        <v/>
      </c>
      <c r="Y185">
        <f>IF([2]Baskol!$G$188="","",[2]Baskol!$G$188)</f>
        <v/>
      </c>
      <c r="Z185">
        <f>IF([2]Baskol!$I$188="","",[2]Baskol!$I$188)</f>
        <v/>
      </c>
      <c r="AA185">
        <f>IF([2]Baskol!$J$188="","",[2]Baskol!$J$188)</f>
        <v/>
      </c>
      <c r="AB185">
        <f>IF([2]Baskol!$K$188="","",[2]Baskol!$K$188)</f>
        <v/>
      </c>
      <c r="AC185">
        <f>IF([2]Baskol!$L$188="","",[2]Baskol!$L$188)</f>
        <v/>
      </c>
      <c r="AD185">
        <f>IF([2]Baskol!$N$188="","",[2]Baskol!$N$188)</f>
        <v/>
      </c>
      <c r="AE185">
        <f>IF([2]Baskol!$O$188="","",[2]Baskol!$O$188)</f>
        <v/>
      </c>
      <c r="AG185">
        <f>IF([3]Entry!$C$188="","",[3]Entry!$C$188)</f>
        <v/>
      </c>
      <c r="AH185">
        <f>IF([3]Entry!$D$188="","",[3]Entry!$D$188)</f>
        <v/>
      </c>
      <c r="AI185">
        <f>IF([3]Entry!$E$188="","",[3]Entry!$E$188)</f>
        <v/>
      </c>
      <c r="AJ185">
        <f>IF([3]Entry!$G$188="","",[3]Entry!$G$188)</f>
        <v/>
      </c>
      <c r="AK185">
        <f>IF([3]Entry!$K$188="","",[3]Entry!$K$188)</f>
        <v/>
      </c>
      <c r="AL185">
        <f>IF([3]Entry!$L$188="","",[3]Entry!$L$188)</f>
        <v/>
      </c>
      <c r="AM185">
        <f>IF([3]Entry!$M$188="","",[3]Entry!$M$188)</f>
        <v/>
      </c>
      <c r="AN185">
        <f>IF([3]Entry!$N$188="","",[3]Entry!$N$188)</f>
        <v/>
      </c>
      <c r="AO185">
        <f>IF([3]Entry!$R$188="","",[3]Entry!$R$188)</f>
        <v/>
      </c>
      <c r="AQ185">
        <f>IF(AND($D185&lt;&gt;"",$A185&lt;&gt;""),1,0)</f>
        <v/>
      </c>
      <c r="AR185">
        <f>SUM($AQ$6:$AQ185)</f>
        <v/>
      </c>
      <c r="AS185">
        <f>IFERROR(INDEX($A$6:$A$565,MATCH(ROW()-5,$AR$6:$AR$565,0)),"")</f>
        <v/>
      </c>
    </row>
    <row r="186">
      <c r="A186">
        <f>IF([1]Accounts!$D$187="","",[1]Accounts!$A$187)</f>
        <v/>
      </c>
      <c r="B186">
        <f>IF([1]Accounts!$D$187="","",[1]Accounts!$B$187)</f>
        <v/>
      </c>
      <c r="C186">
        <f>IF([1]Accounts!$D$187="","",[1]Accounts!$C$187)</f>
        <v/>
      </c>
      <c r="D186">
        <f>IF([1]Accounts!$D$187="","",[1]Accounts!$D$187)</f>
        <v/>
      </c>
      <c r="E186">
        <f>IF([1]Accounts!$D$187="","",[1]Accounts!$J$187)</f>
        <v/>
      </c>
      <c r="F186">
        <f>IF([1]Accounts!$D$187="","",[1]Accounts!$K$187)</f>
        <v/>
      </c>
      <c r="U186">
        <f>IF([2]Baskol!$B$189="","",[2]Baskol!$B$189)</f>
        <v/>
      </c>
      <c r="V186">
        <f>IF([2]Baskol!$C$189="","",[2]Baskol!$C$189)</f>
        <v/>
      </c>
      <c r="W186">
        <f>IF([2]Baskol!$D$189="","",[2]Baskol!$D$189)</f>
        <v/>
      </c>
      <c r="X186">
        <f>IF([2]Baskol!$E$189="","",[2]Baskol!$E$189)</f>
        <v/>
      </c>
      <c r="Y186">
        <f>IF([2]Baskol!$G$189="","",[2]Baskol!$G$189)</f>
        <v/>
      </c>
      <c r="Z186">
        <f>IF([2]Baskol!$I$189="","",[2]Baskol!$I$189)</f>
        <v/>
      </c>
      <c r="AA186">
        <f>IF([2]Baskol!$J$189="","",[2]Baskol!$J$189)</f>
        <v/>
      </c>
      <c r="AB186">
        <f>IF([2]Baskol!$K$189="","",[2]Baskol!$K$189)</f>
        <v/>
      </c>
      <c r="AC186">
        <f>IF([2]Baskol!$L$189="","",[2]Baskol!$L$189)</f>
        <v/>
      </c>
      <c r="AD186">
        <f>IF([2]Baskol!$N$189="","",[2]Baskol!$N$189)</f>
        <v/>
      </c>
      <c r="AE186">
        <f>IF([2]Baskol!$O$189="","",[2]Baskol!$O$189)</f>
        <v/>
      </c>
      <c r="AG186">
        <f>IF([3]Entry!$C$189="","",[3]Entry!$C$189)</f>
        <v/>
      </c>
      <c r="AH186">
        <f>IF([3]Entry!$D$189="","",[3]Entry!$D$189)</f>
        <v/>
      </c>
      <c r="AI186">
        <f>IF([3]Entry!$E$189="","",[3]Entry!$E$189)</f>
        <v/>
      </c>
      <c r="AJ186">
        <f>IF([3]Entry!$G$189="","",[3]Entry!$G$189)</f>
        <v/>
      </c>
      <c r="AK186">
        <f>IF([3]Entry!$K$189="","",[3]Entry!$K$189)</f>
        <v/>
      </c>
      <c r="AL186">
        <f>IF([3]Entry!$L$189="","",[3]Entry!$L$189)</f>
        <v/>
      </c>
      <c r="AM186">
        <f>IF([3]Entry!$M$189="","",[3]Entry!$M$189)</f>
        <v/>
      </c>
      <c r="AN186">
        <f>IF([3]Entry!$N$189="","",[3]Entry!$N$189)</f>
        <v/>
      </c>
      <c r="AO186">
        <f>IF([3]Entry!$R$189="","",[3]Entry!$R$189)</f>
        <v/>
      </c>
      <c r="AQ186">
        <f>IF(AND($D186&lt;&gt;"",$A186&lt;&gt;""),1,0)</f>
        <v/>
      </c>
      <c r="AR186">
        <f>SUM($AQ$6:$AQ186)</f>
        <v/>
      </c>
      <c r="AS186">
        <f>IFERROR(INDEX($A$6:$A$565,MATCH(ROW()-5,$AR$6:$AR$565,0)),"")</f>
        <v/>
      </c>
    </row>
    <row r="187">
      <c r="A187">
        <f>IF([1]Accounts!$D$188="","",[1]Accounts!$A$188)</f>
        <v/>
      </c>
      <c r="B187">
        <f>IF([1]Accounts!$D$188="","",[1]Accounts!$B$188)</f>
        <v/>
      </c>
      <c r="C187">
        <f>IF([1]Accounts!$D$188="","",[1]Accounts!$C$188)</f>
        <v/>
      </c>
      <c r="D187">
        <f>IF([1]Accounts!$D$188="","",[1]Accounts!$D$188)</f>
        <v/>
      </c>
      <c r="E187">
        <f>IF([1]Accounts!$D$188="","",[1]Accounts!$J$188)</f>
        <v/>
      </c>
      <c r="F187">
        <f>IF([1]Accounts!$D$188="","",[1]Accounts!$K$188)</f>
        <v/>
      </c>
      <c r="U187">
        <f>IF([2]Baskol!$B$190="","",[2]Baskol!$B$190)</f>
        <v/>
      </c>
      <c r="V187">
        <f>IF([2]Baskol!$C$190="","",[2]Baskol!$C$190)</f>
        <v/>
      </c>
      <c r="W187">
        <f>IF([2]Baskol!$D$190="","",[2]Baskol!$D$190)</f>
        <v/>
      </c>
      <c r="X187">
        <f>IF([2]Baskol!$E$190="","",[2]Baskol!$E$190)</f>
        <v/>
      </c>
      <c r="Y187">
        <f>IF([2]Baskol!$G$190="","",[2]Baskol!$G$190)</f>
        <v/>
      </c>
      <c r="Z187">
        <f>IF([2]Baskol!$I$190="","",[2]Baskol!$I$190)</f>
        <v/>
      </c>
      <c r="AA187">
        <f>IF([2]Baskol!$J$190="","",[2]Baskol!$J$190)</f>
        <v/>
      </c>
      <c r="AB187">
        <f>IF([2]Baskol!$K$190="","",[2]Baskol!$K$190)</f>
        <v/>
      </c>
      <c r="AC187">
        <f>IF([2]Baskol!$L$190="","",[2]Baskol!$L$190)</f>
        <v/>
      </c>
      <c r="AD187">
        <f>IF([2]Baskol!$N$190="","",[2]Baskol!$N$190)</f>
        <v/>
      </c>
      <c r="AE187">
        <f>IF([2]Baskol!$O$190="","",[2]Baskol!$O$190)</f>
        <v/>
      </c>
      <c r="AG187">
        <f>IF([3]Entry!$C$190="","",[3]Entry!$C$190)</f>
        <v/>
      </c>
      <c r="AH187">
        <f>IF([3]Entry!$D$190="","",[3]Entry!$D$190)</f>
        <v/>
      </c>
      <c r="AI187">
        <f>IF([3]Entry!$E$190="","",[3]Entry!$E$190)</f>
        <v/>
      </c>
      <c r="AJ187">
        <f>IF([3]Entry!$G$190="","",[3]Entry!$G$190)</f>
        <v/>
      </c>
      <c r="AK187">
        <f>IF([3]Entry!$K$190="","",[3]Entry!$K$190)</f>
        <v/>
      </c>
      <c r="AL187">
        <f>IF([3]Entry!$L$190="","",[3]Entry!$L$190)</f>
        <v/>
      </c>
      <c r="AM187">
        <f>IF([3]Entry!$M$190="","",[3]Entry!$M$190)</f>
        <v/>
      </c>
      <c r="AN187">
        <f>IF([3]Entry!$N$190="","",[3]Entry!$N$190)</f>
        <v/>
      </c>
      <c r="AO187">
        <f>IF([3]Entry!$R$190="","",[3]Entry!$R$190)</f>
        <v/>
      </c>
      <c r="AQ187">
        <f>IF(AND($D187&lt;&gt;"",$A187&lt;&gt;""),1,0)</f>
        <v/>
      </c>
      <c r="AR187">
        <f>SUM($AQ$6:$AQ187)</f>
        <v/>
      </c>
      <c r="AS187">
        <f>IFERROR(INDEX($A$6:$A$565,MATCH(ROW()-5,$AR$6:$AR$565,0)),"")</f>
        <v/>
      </c>
    </row>
    <row r="188">
      <c r="A188">
        <f>IF([1]Accounts!$D$189="","",[1]Accounts!$A$189)</f>
        <v/>
      </c>
      <c r="B188">
        <f>IF([1]Accounts!$D$189="","",[1]Accounts!$B$189)</f>
        <v/>
      </c>
      <c r="C188">
        <f>IF([1]Accounts!$D$189="","",[1]Accounts!$C$189)</f>
        <v/>
      </c>
      <c r="D188">
        <f>IF([1]Accounts!$D$189="","",[1]Accounts!$D$189)</f>
        <v/>
      </c>
      <c r="E188">
        <f>IF([1]Accounts!$D$189="","",[1]Accounts!$J$189)</f>
        <v/>
      </c>
      <c r="F188">
        <f>IF([1]Accounts!$D$189="","",[1]Accounts!$K$189)</f>
        <v/>
      </c>
      <c r="U188">
        <f>IF([2]Baskol!$B$191="","",[2]Baskol!$B$191)</f>
        <v/>
      </c>
      <c r="V188">
        <f>IF([2]Baskol!$C$191="","",[2]Baskol!$C$191)</f>
        <v/>
      </c>
      <c r="W188">
        <f>IF([2]Baskol!$D$191="","",[2]Baskol!$D$191)</f>
        <v/>
      </c>
      <c r="X188">
        <f>IF([2]Baskol!$E$191="","",[2]Baskol!$E$191)</f>
        <v/>
      </c>
      <c r="Y188">
        <f>IF([2]Baskol!$G$191="","",[2]Baskol!$G$191)</f>
        <v/>
      </c>
      <c r="Z188">
        <f>IF([2]Baskol!$I$191="","",[2]Baskol!$I$191)</f>
        <v/>
      </c>
      <c r="AA188">
        <f>IF([2]Baskol!$J$191="","",[2]Baskol!$J$191)</f>
        <v/>
      </c>
      <c r="AB188">
        <f>IF([2]Baskol!$K$191="","",[2]Baskol!$K$191)</f>
        <v/>
      </c>
      <c r="AC188">
        <f>IF([2]Baskol!$L$191="","",[2]Baskol!$L$191)</f>
        <v/>
      </c>
      <c r="AD188">
        <f>IF([2]Baskol!$N$191="","",[2]Baskol!$N$191)</f>
        <v/>
      </c>
      <c r="AE188">
        <f>IF([2]Baskol!$O$191="","",[2]Baskol!$O$191)</f>
        <v/>
      </c>
      <c r="AG188">
        <f>IF([3]Entry!$C$191="","",[3]Entry!$C$191)</f>
        <v/>
      </c>
      <c r="AH188">
        <f>IF([3]Entry!$D$191="","",[3]Entry!$D$191)</f>
        <v/>
      </c>
      <c r="AI188">
        <f>IF([3]Entry!$E$191="","",[3]Entry!$E$191)</f>
        <v/>
      </c>
      <c r="AJ188">
        <f>IF([3]Entry!$G$191="","",[3]Entry!$G$191)</f>
        <v/>
      </c>
      <c r="AK188">
        <f>IF([3]Entry!$K$191="","",[3]Entry!$K$191)</f>
        <v/>
      </c>
      <c r="AL188">
        <f>IF([3]Entry!$L$191="","",[3]Entry!$L$191)</f>
        <v/>
      </c>
      <c r="AM188">
        <f>IF([3]Entry!$M$191="","",[3]Entry!$M$191)</f>
        <v/>
      </c>
      <c r="AN188">
        <f>IF([3]Entry!$N$191="","",[3]Entry!$N$191)</f>
        <v/>
      </c>
      <c r="AO188">
        <f>IF([3]Entry!$R$191="","",[3]Entry!$R$191)</f>
        <v/>
      </c>
      <c r="AQ188">
        <f>IF(AND($D188&lt;&gt;"",$A188&lt;&gt;""),1,0)</f>
        <v/>
      </c>
      <c r="AR188">
        <f>SUM($AQ$6:$AQ188)</f>
        <v/>
      </c>
      <c r="AS188">
        <f>IFERROR(INDEX($A$6:$A$565,MATCH(ROW()-5,$AR$6:$AR$565,0)),"")</f>
        <v/>
      </c>
    </row>
    <row r="189">
      <c r="A189">
        <f>IF([1]Accounts!$D$190="","",[1]Accounts!$A$190)</f>
        <v/>
      </c>
      <c r="B189">
        <f>IF([1]Accounts!$D$190="","",[1]Accounts!$B$190)</f>
        <v/>
      </c>
      <c r="C189">
        <f>IF([1]Accounts!$D$190="","",[1]Accounts!$C$190)</f>
        <v/>
      </c>
      <c r="D189">
        <f>IF([1]Accounts!$D$190="","",[1]Accounts!$D$190)</f>
        <v/>
      </c>
      <c r="E189">
        <f>IF([1]Accounts!$D$190="","",[1]Accounts!$J$190)</f>
        <v/>
      </c>
      <c r="F189">
        <f>IF([1]Accounts!$D$190="","",[1]Accounts!$K$190)</f>
        <v/>
      </c>
      <c r="U189">
        <f>IF([2]Baskol!$B$192="","",[2]Baskol!$B$192)</f>
        <v/>
      </c>
      <c r="V189">
        <f>IF([2]Baskol!$C$192="","",[2]Baskol!$C$192)</f>
        <v/>
      </c>
      <c r="W189">
        <f>IF([2]Baskol!$D$192="","",[2]Baskol!$D$192)</f>
        <v/>
      </c>
      <c r="X189">
        <f>IF([2]Baskol!$E$192="","",[2]Baskol!$E$192)</f>
        <v/>
      </c>
      <c r="Y189">
        <f>IF([2]Baskol!$G$192="","",[2]Baskol!$G$192)</f>
        <v/>
      </c>
      <c r="Z189">
        <f>IF([2]Baskol!$I$192="","",[2]Baskol!$I$192)</f>
        <v/>
      </c>
      <c r="AA189">
        <f>IF([2]Baskol!$J$192="","",[2]Baskol!$J$192)</f>
        <v/>
      </c>
      <c r="AB189">
        <f>IF([2]Baskol!$K$192="","",[2]Baskol!$K$192)</f>
        <v/>
      </c>
      <c r="AC189">
        <f>IF([2]Baskol!$L$192="","",[2]Baskol!$L$192)</f>
        <v/>
      </c>
      <c r="AD189">
        <f>IF([2]Baskol!$N$192="","",[2]Baskol!$N$192)</f>
        <v/>
      </c>
      <c r="AE189">
        <f>IF([2]Baskol!$O$192="","",[2]Baskol!$O$192)</f>
        <v/>
      </c>
      <c r="AG189">
        <f>IF([3]Entry!$C$192="","",[3]Entry!$C$192)</f>
        <v/>
      </c>
      <c r="AH189">
        <f>IF([3]Entry!$D$192="","",[3]Entry!$D$192)</f>
        <v/>
      </c>
      <c r="AI189">
        <f>IF([3]Entry!$E$192="","",[3]Entry!$E$192)</f>
        <v/>
      </c>
      <c r="AJ189">
        <f>IF([3]Entry!$G$192="","",[3]Entry!$G$192)</f>
        <v/>
      </c>
      <c r="AK189">
        <f>IF([3]Entry!$K$192="","",[3]Entry!$K$192)</f>
        <v/>
      </c>
      <c r="AL189">
        <f>IF([3]Entry!$L$192="","",[3]Entry!$L$192)</f>
        <v/>
      </c>
      <c r="AM189">
        <f>IF([3]Entry!$M$192="","",[3]Entry!$M$192)</f>
        <v/>
      </c>
      <c r="AN189">
        <f>IF([3]Entry!$N$192="","",[3]Entry!$N$192)</f>
        <v/>
      </c>
      <c r="AO189">
        <f>IF([3]Entry!$R$192="","",[3]Entry!$R$192)</f>
        <v/>
      </c>
      <c r="AQ189">
        <f>IF(AND($D189&lt;&gt;"",$A189&lt;&gt;""),1,0)</f>
        <v/>
      </c>
      <c r="AR189">
        <f>SUM($AQ$6:$AQ189)</f>
        <v/>
      </c>
      <c r="AS189">
        <f>IFERROR(INDEX($A$6:$A$565,MATCH(ROW()-5,$AR$6:$AR$565,0)),"")</f>
        <v/>
      </c>
    </row>
    <row r="190">
      <c r="A190">
        <f>IF([1]Accounts!$D$191="","",[1]Accounts!$A$191)</f>
        <v/>
      </c>
      <c r="B190">
        <f>IF([1]Accounts!$D$191="","",[1]Accounts!$B$191)</f>
        <v/>
      </c>
      <c r="C190">
        <f>IF([1]Accounts!$D$191="","",[1]Accounts!$C$191)</f>
        <v/>
      </c>
      <c r="D190">
        <f>IF([1]Accounts!$D$191="","",[1]Accounts!$D$191)</f>
        <v/>
      </c>
      <c r="E190">
        <f>IF([1]Accounts!$D$191="","",[1]Accounts!$J$191)</f>
        <v/>
      </c>
      <c r="F190">
        <f>IF([1]Accounts!$D$191="","",[1]Accounts!$K$191)</f>
        <v/>
      </c>
      <c r="U190">
        <f>IF([2]Baskol!$B$193="","",[2]Baskol!$B$193)</f>
        <v/>
      </c>
      <c r="V190">
        <f>IF([2]Baskol!$C$193="","",[2]Baskol!$C$193)</f>
        <v/>
      </c>
      <c r="W190">
        <f>IF([2]Baskol!$D$193="","",[2]Baskol!$D$193)</f>
        <v/>
      </c>
      <c r="X190">
        <f>IF([2]Baskol!$E$193="","",[2]Baskol!$E$193)</f>
        <v/>
      </c>
      <c r="Y190">
        <f>IF([2]Baskol!$G$193="","",[2]Baskol!$G$193)</f>
        <v/>
      </c>
      <c r="Z190">
        <f>IF([2]Baskol!$I$193="","",[2]Baskol!$I$193)</f>
        <v/>
      </c>
      <c r="AA190">
        <f>IF([2]Baskol!$J$193="","",[2]Baskol!$J$193)</f>
        <v/>
      </c>
      <c r="AB190">
        <f>IF([2]Baskol!$K$193="","",[2]Baskol!$K$193)</f>
        <v/>
      </c>
      <c r="AC190">
        <f>IF([2]Baskol!$L$193="","",[2]Baskol!$L$193)</f>
        <v/>
      </c>
      <c r="AD190">
        <f>IF([2]Baskol!$N$193="","",[2]Baskol!$N$193)</f>
        <v/>
      </c>
      <c r="AE190">
        <f>IF([2]Baskol!$O$193="","",[2]Baskol!$O$193)</f>
        <v/>
      </c>
      <c r="AG190">
        <f>IF([3]Entry!$C$193="","",[3]Entry!$C$193)</f>
        <v/>
      </c>
      <c r="AH190">
        <f>IF([3]Entry!$D$193="","",[3]Entry!$D$193)</f>
        <v/>
      </c>
      <c r="AI190">
        <f>IF([3]Entry!$E$193="","",[3]Entry!$E$193)</f>
        <v/>
      </c>
      <c r="AJ190">
        <f>IF([3]Entry!$G$193="","",[3]Entry!$G$193)</f>
        <v/>
      </c>
      <c r="AK190">
        <f>IF([3]Entry!$K$193="","",[3]Entry!$K$193)</f>
        <v/>
      </c>
      <c r="AL190">
        <f>IF([3]Entry!$L$193="","",[3]Entry!$L$193)</f>
        <v/>
      </c>
      <c r="AM190">
        <f>IF([3]Entry!$M$193="","",[3]Entry!$M$193)</f>
        <v/>
      </c>
      <c r="AN190">
        <f>IF([3]Entry!$N$193="","",[3]Entry!$N$193)</f>
        <v/>
      </c>
      <c r="AO190">
        <f>IF([3]Entry!$R$193="","",[3]Entry!$R$193)</f>
        <v/>
      </c>
      <c r="AQ190">
        <f>IF(AND($D190&lt;&gt;"",$A190&lt;&gt;""),1,0)</f>
        <v/>
      </c>
      <c r="AR190">
        <f>SUM($AQ$6:$AQ190)</f>
        <v/>
      </c>
      <c r="AS190">
        <f>IFERROR(INDEX($A$6:$A$565,MATCH(ROW()-5,$AR$6:$AR$565,0)),"")</f>
        <v/>
      </c>
    </row>
    <row r="191">
      <c r="A191">
        <f>IF([1]Accounts!$D$192="","",[1]Accounts!$A$192)</f>
        <v/>
      </c>
      <c r="B191">
        <f>IF([1]Accounts!$D$192="","",[1]Accounts!$B$192)</f>
        <v/>
      </c>
      <c r="C191">
        <f>IF([1]Accounts!$D$192="","",[1]Accounts!$C$192)</f>
        <v/>
      </c>
      <c r="D191">
        <f>IF([1]Accounts!$D$192="","",[1]Accounts!$D$192)</f>
        <v/>
      </c>
      <c r="E191">
        <f>IF([1]Accounts!$D$192="","",[1]Accounts!$J$192)</f>
        <v/>
      </c>
      <c r="F191">
        <f>IF([1]Accounts!$D$192="","",[1]Accounts!$K$192)</f>
        <v/>
      </c>
      <c r="U191">
        <f>IF([2]Baskol!$B$194="","",[2]Baskol!$B$194)</f>
        <v/>
      </c>
      <c r="V191">
        <f>IF([2]Baskol!$C$194="","",[2]Baskol!$C$194)</f>
        <v/>
      </c>
      <c r="W191">
        <f>IF([2]Baskol!$D$194="","",[2]Baskol!$D$194)</f>
        <v/>
      </c>
      <c r="X191">
        <f>IF([2]Baskol!$E$194="","",[2]Baskol!$E$194)</f>
        <v/>
      </c>
      <c r="Y191">
        <f>IF([2]Baskol!$G$194="","",[2]Baskol!$G$194)</f>
        <v/>
      </c>
      <c r="Z191">
        <f>IF([2]Baskol!$I$194="","",[2]Baskol!$I$194)</f>
        <v/>
      </c>
      <c r="AA191">
        <f>IF([2]Baskol!$J$194="","",[2]Baskol!$J$194)</f>
        <v/>
      </c>
      <c r="AB191">
        <f>IF([2]Baskol!$K$194="","",[2]Baskol!$K$194)</f>
        <v/>
      </c>
      <c r="AC191">
        <f>IF([2]Baskol!$L$194="","",[2]Baskol!$L$194)</f>
        <v/>
      </c>
      <c r="AD191">
        <f>IF([2]Baskol!$N$194="","",[2]Baskol!$N$194)</f>
        <v/>
      </c>
      <c r="AE191">
        <f>IF([2]Baskol!$O$194="","",[2]Baskol!$O$194)</f>
        <v/>
      </c>
      <c r="AG191">
        <f>IF([3]Entry!$C$194="","",[3]Entry!$C$194)</f>
        <v/>
      </c>
      <c r="AH191">
        <f>IF([3]Entry!$D$194="","",[3]Entry!$D$194)</f>
        <v/>
      </c>
      <c r="AI191">
        <f>IF([3]Entry!$E$194="","",[3]Entry!$E$194)</f>
        <v/>
      </c>
      <c r="AJ191">
        <f>IF([3]Entry!$G$194="","",[3]Entry!$G$194)</f>
        <v/>
      </c>
      <c r="AK191">
        <f>IF([3]Entry!$K$194="","",[3]Entry!$K$194)</f>
        <v/>
      </c>
      <c r="AL191">
        <f>IF([3]Entry!$L$194="","",[3]Entry!$L$194)</f>
        <v/>
      </c>
      <c r="AM191">
        <f>IF([3]Entry!$M$194="","",[3]Entry!$M$194)</f>
        <v/>
      </c>
      <c r="AN191">
        <f>IF([3]Entry!$N$194="","",[3]Entry!$N$194)</f>
        <v/>
      </c>
      <c r="AO191">
        <f>IF([3]Entry!$R$194="","",[3]Entry!$R$194)</f>
        <v/>
      </c>
      <c r="AQ191">
        <f>IF(AND($D191&lt;&gt;"",$A191&lt;&gt;""),1,0)</f>
        <v/>
      </c>
      <c r="AR191">
        <f>SUM($AQ$6:$AQ191)</f>
        <v/>
      </c>
      <c r="AS191">
        <f>IFERROR(INDEX($A$6:$A$565,MATCH(ROW()-5,$AR$6:$AR$565,0)),"")</f>
        <v/>
      </c>
    </row>
    <row r="192">
      <c r="A192">
        <f>IF([1]Accounts!$D$193="","",[1]Accounts!$A$193)</f>
        <v/>
      </c>
      <c r="B192">
        <f>IF([1]Accounts!$D$193="","",[1]Accounts!$B$193)</f>
        <v/>
      </c>
      <c r="C192">
        <f>IF([1]Accounts!$D$193="","",[1]Accounts!$C$193)</f>
        <v/>
      </c>
      <c r="D192">
        <f>IF([1]Accounts!$D$193="","",[1]Accounts!$D$193)</f>
        <v/>
      </c>
      <c r="E192">
        <f>IF([1]Accounts!$D$193="","",[1]Accounts!$J$193)</f>
        <v/>
      </c>
      <c r="F192">
        <f>IF([1]Accounts!$D$193="","",[1]Accounts!$K$193)</f>
        <v/>
      </c>
      <c r="U192">
        <f>IF([2]Baskol!$B$195="","",[2]Baskol!$B$195)</f>
        <v/>
      </c>
      <c r="V192">
        <f>IF([2]Baskol!$C$195="","",[2]Baskol!$C$195)</f>
        <v/>
      </c>
      <c r="W192">
        <f>IF([2]Baskol!$D$195="","",[2]Baskol!$D$195)</f>
        <v/>
      </c>
      <c r="X192">
        <f>IF([2]Baskol!$E$195="","",[2]Baskol!$E$195)</f>
        <v/>
      </c>
      <c r="Y192">
        <f>IF([2]Baskol!$G$195="","",[2]Baskol!$G$195)</f>
        <v/>
      </c>
      <c r="Z192">
        <f>IF([2]Baskol!$I$195="","",[2]Baskol!$I$195)</f>
        <v/>
      </c>
      <c r="AA192">
        <f>IF([2]Baskol!$J$195="","",[2]Baskol!$J$195)</f>
        <v/>
      </c>
      <c r="AB192">
        <f>IF([2]Baskol!$K$195="","",[2]Baskol!$K$195)</f>
        <v/>
      </c>
      <c r="AC192">
        <f>IF([2]Baskol!$L$195="","",[2]Baskol!$L$195)</f>
        <v/>
      </c>
      <c r="AD192">
        <f>IF([2]Baskol!$N$195="","",[2]Baskol!$N$195)</f>
        <v/>
      </c>
      <c r="AE192">
        <f>IF([2]Baskol!$O$195="","",[2]Baskol!$O$195)</f>
        <v/>
      </c>
      <c r="AG192">
        <f>IF([3]Entry!$C$195="","",[3]Entry!$C$195)</f>
        <v/>
      </c>
      <c r="AH192">
        <f>IF([3]Entry!$D$195="","",[3]Entry!$D$195)</f>
        <v/>
      </c>
      <c r="AI192">
        <f>IF([3]Entry!$E$195="","",[3]Entry!$E$195)</f>
        <v/>
      </c>
      <c r="AJ192">
        <f>IF([3]Entry!$G$195="","",[3]Entry!$G$195)</f>
        <v/>
      </c>
      <c r="AK192">
        <f>IF([3]Entry!$K$195="","",[3]Entry!$K$195)</f>
        <v/>
      </c>
      <c r="AL192">
        <f>IF([3]Entry!$L$195="","",[3]Entry!$L$195)</f>
        <v/>
      </c>
      <c r="AM192">
        <f>IF([3]Entry!$M$195="","",[3]Entry!$M$195)</f>
        <v/>
      </c>
      <c r="AN192">
        <f>IF([3]Entry!$N$195="","",[3]Entry!$N$195)</f>
        <v/>
      </c>
      <c r="AO192">
        <f>IF([3]Entry!$R$195="","",[3]Entry!$R$195)</f>
        <v/>
      </c>
      <c r="AQ192">
        <f>IF(AND($D192&lt;&gt;"",$A192&lt;&gt;""),1,0)</f>
        <v/>
      </c>
      <c r="AR192">
        <f>SUM($AQ$6:$AQ192)</f>
        <v/>
      </c>
      <c r="AS192">
        <f>IFERROR(INDEX($A$6:$A$565,MATCH(ROW()-5,$AR$6:$AR$565,0)),"")</f>
        <v/>
      </c>
    </row>
    <row r="193">
      <c r="A193">
        <f>IF([1]Accounts!$D$194="","",[1]Accounts!$A$194)</f>
        <v/>
      </c>
      <c r="B193">
        <f>IF([1]Accounts!$D$194="","",[1]Accounts!$B$194)</f>
        <v/>
      </c>
      <c r="C193">
        <f>IF([1]Accounts!$D$194="","",[1]Accounts!$C$194)</f>
        <v/>
      </c>
      <c r="D193">
        <f>IF([1]Accounts!$D$194="","",[1]Accounts!$D$194)</f>
        <v/>
      </c>
      <c r="E193">
        <f>IF([1]Accounts!$D$194="","",[1]Accounts!$J$194)</f>
        <v/>
      </c>
      <c r="F193">
        <f>IF([1]Accounts!$D$194="","",[1]Accounts!$K$194)</f>
        <v/>
      </c>
      <c r="U193">
        <f>IF([2]Baskol!$B$196="","",[2]Baskol!$B$196)</f>
        <v/>
      </c>
      <c r="V193">
        <f>IF([2]Baskol!$C$196="","",[2]Baskol!$C$196)</f>
        <v/>
      </c>
      <c r="W193">
        <f>IF([2]Baskol!$D$196="","",[2]Baskol!$D$196)</f>
        <v/>
      </c>
      <c r="X193">
        <f>IF([2]Baskol!$E$196="","",[2]Baskol!$E$196)</f>
        <v/>
      </c>
      <c r="Y193">
        <f>IF([2]Baskol!$G$196="","",[2]Baskol!$G$196)</f>
        <v/>
      </c>
      <c r="Z193">
        <f>IF([2]Baskol!$I$196="","",[2]Baskol!$I$196)</f>
        <v/>
      </c>
      <c r="AA193">
        <f>IF([2]Baskol!$J$196="","",[2]Baskol!$J$196)</f>
        <v/>
      </c>
      <c r="AB193">
        <f>IF([2]Baskol!$K$196="","",[2]Baskol!$K$196)</f>
        <v/>
      </c>
      <c r="AC193">
        <f>IF([2]Baskol!$L$196="","",[2]Baskol!$L$196)</f>
        <v/>
      </c>
      <c r="AD193">
        <f>IF([2]Baskol!$N$196="","",[2]Baskol!$N$196)</f>
        <v/>
      </c>
      <c r="AE193">
        <f>IF([2]Baskol!$O$196="","",[2]Baskol!$O$196)</f>
        <v/>
      </c>
      <c r="AG193">
        <f>IF([3]Entry!$C$196="","",[3]Entry!$C$196)</f>
        <v/>
      </c>
      <c r="AH193">
        <f>IF([3]Entry!$D$196="","",[3]Entry!$D$196)</f>
        <v/>
      </c>
      <c r="AI193">
        <f>IF([3]Entry!$E$196="","",[3]Entry!$E$196)</f>
        <v/>
      </c>
      <c r="AJ193">
        <f>IF([3]Entry!$G$196="","",[3]Entry!$G$196)</f>
        <v/>
      </c>
      <c r="AK193">
        <f>IF([3]Entry!$K$196="","",[3]Entry!$K$196)</f>
        <v/>
      </c>
      <c r="AL193">
        <f>IF([3]Entry!$L$196="","",[3]Entry!$L$196)</f>
        <v/>
      </c>
      <c r="AM193">
        <f>IF([3]Entry!$M$196="","",[3]Entry!$M$196)</f>
        <v/>
      </c>
      <c r="AN193">
        <f>IF([3]Entry!$N$196="","",[3]Entry!$N$196)</f>
        <v/>
      </c>
      <c r="AO193">
        <f>IF([3]Entry!$R$196="","",[3]Entry!$R$196)</f>
        <v/>
      </c>
      <c r="AQ193">
        <f>IF(AND($D193&lt;&gt;"",$A193&lt;&gt;""),1,0)</f>
        <v/>
      </c>
      <c r="AR193">
        <f>SUM($AQ$6:$AQ193)</f>
        <v/>
      </c>
      <c r="AS193">
        <f>IFERROR(INDEX($A$6:$A$565,MATCH(ROW()-5,$AR$6:$AR$565,0)),"")</f>
        <v/>
      </c>
    </row>
    <row r="194">
      <c r="A194">
        <f>IF([1]Accounts!$D$195="","",[1]Accounts!$A$195)</f>
        <v/>
      </c>
      <c r="B194">
        <f>IF([1]Accounts!$D$195="","",[1]Accounts!$B$195)</f>
        <v/>
      </c>
      <c r="C194">
        <f>IF([1]Accounts!$D$195="","",[1]Accounts!$C$195)</f>
        <v/>
      </c>
      <c r="D194">
        <f>IF([1]Accounts!$D$195="","",[1]Accounts!$D$195)</f>
        <v/>
      </c>
      <c r="E194">
        <f>IF([1]Accounts!$D$195="","",[1]Accounts!$J$195)</f>
        <v/>
      </c>
      <c r="F194">
        <f>IF([1]Accounts!$D$195="","",[1]Accounts!$K$195)</f>
        <v/>
      </c>
      <c r="U194">
        <f>IF([2]Baskol!$B$197="","",[2]Baskol!$B$197)</f>
        <v/>
      </c>
      <c r="V194">
        <f>IF([2]Baskol!$C$197="","",[2]Baskol!$C$197)</f>
        <v/>
      </c>
      <c r="W194">
        <f>IF([2]Baskol!$D$197="","",[2]Baskol!$D$197)</f>
        <v/>
      </c>
      <c r="X194">
        <f>IF([2]Baskol!$E$197="","",[2]Baskol!$E$197)</f>
        <v/>
      </c>
      <c r="Y194">
        <f>IF([2]Baskol!$G$197="","",[2]Baskol!$G$197)</f>
        <v/>
      </c>
      <c r="Z194">
        <f>IF([2]Baskol!$I$197="","",[2]Baskol!$I$197)</f>
        <v/>
      </c>
      <c r="AA194">
        <f>IF([2]Baskol!$J$197="","",[2]Baskol!$J$197)</f>
        <v/>
      </c>
      <c r="AB194">
        <f>IF([2]Baskol!$K$197="","",[2]Baskol!$K$197)</f>
        <v/>
      </c>
      <c r="AC194">
        <f>IF([2]Baskol!$L$197="","",[2]Baskol!$L$197)</f>
        <v/>
      </c>
      <c r="AD194">
        <f>IF([2]Baskol!$N$197="","",[2]Baskol!$N$197)</f>
        <v/>
      </c>
      <c r="AE194">
        <f>IF([2]Baskol!$O$197="","",[2]Baskol!$O$197)</f>
        <v/>
      </c>
      <c r="AG194">
        <f>IF([3]Entry!$C$197="","",[3]Entry!$C$197)</f>
        <v/>
      </c>
      <c r="AH194">
        <f>IF([3]Entry!$D$197="","",[3]Entry!$D$197)</f>
        <v/>
      </c>
      <c r="AI194">
        <f>IF([3]Entry!$E$197="","",[3]Entry!$E$197)</f>
        <v/>
      </c>
      <c r="AJ194">
        <f>IF([3]Entry!$G$197="","",[3]Entry!$G$197)</f>
        <v/>
      </c>
      <c r="AK194">
        <f>IF([3]Entry!$K$197="","",[3]Entry!$K$197)</f>
        <v/>
      </c>
      <c r="AL194">
        <f>IF([3]Entry!$L$197="","",[3]Entry!$L$197)</f>
        <v/>
      </c>
      <c r="AM194">
        <f>IF([3]Entry!$M$197="","",[3]Entry!$M$197)</f>
        <v/>
      </c>
      <c r="AN194">
        <f>IF([3]Entry!$N$197="","",[3]Entry!$N$197)</f>
        <v/>
      </c>
      <c r="AO194">
        <f>IF([3]Entry!$R$197="","",[3]Entry!$R$197)</f>
        <v/>
      </c>
      <c r="AQ194">
        <f>IF(AND($D194&lt;&gt;"",$A194&lt;&gt;""),1,0)</f>
        <v/>
      </c>
      <c r="AR194">
        <f>SUM($AQ$6:$AQ194)</f>
        <v/>
      </c>
      <c r="AS194">
        <f>IFERROR(INDEX($A$6:$A$565,MATCH(ROW()-5,$AR$6:$AR$565,0)),"")</f>
        <v/>
      </c>
    </row>
    <row r="195">
      <c r="A195">
        <f>IF([1]Accounts!$D$196="","",[1]Accounts!$A$196)</f>
        <v/>
      </c>
      <c r="B195">
        <f>IF([1]Accounts!$D$196="","",[1]Accounts!$B$196)</f>
        <v/>
      </c>
      <c r="C195">
        <f>IF([1]Accounts!$D$196="","",[1]Accounts!$C$196)</f>
        <v/>
      </c>
      <c r="D195">
        <f>IF([1]Accounts!$D$196="","",[1]Accounts!$D$196)</f>
        <v/>
      </c>
      <c r="E195">
        <f>IF([1]Accounts!$D$196="","",[1]Accounts!$J$196)</f>
        <v/>
      </c>
      <c r="F195">
        <f>IF([1]Accounts!$D$196="","",[1]Accounts!$K$196)</f>
        <v/>
      </c>
      <c r="U195">
        <f>IF([2]Baskol!$B$198="","",[2]Baskol!$B$198)</f>
        <v/>
      </c>
      <c r="V195">
        <f>IF([2]Baskol!$C$198="","",[2]Baskol!$C$198)</f>
        <v/>
      </c>
      <c r="W195">
        <f>IF([2]Baskol!$D$198="","",[2]Baskol!$D$198)</f>
        <v/>
      </c>
      <c r="X195">
        <f>IF([2]Baskol!$E$198="","",[2]Baskol!$E$198)</f>
        <v/>
      </c>
      <c r="Y195">
        <f>IF([2]Baskol!$G$198="","",[2]Baskol!$G$198)</f>
        <v/>
      </c>
      <c r="Z195">
        <f>IF([2]Baskol!$I$198="","",[2]Baskol!$I$198)</f>
        <v/>
      </c>
      <c r="AA195">
        <f>IF([2]Baskol!$J$198="","",[2]Baskol!$J$198)</f>
        <v/>
      </c>
      <c r="AB195">
        <f>IF([2]Baskol!$K$198="","",[2]Baskol!$K$198)</f>
        <v/>
      </c>
      <c r="AC195">
        <f>IF([2]Baskol!$L$198="","",[2]Baskol!$L$198)</f>
        <v/>
      </c>
      <c r="AD195">
        <f>IF([2]Baskol!$N$198="","",[2]Baskol!$N$198)</f>
        <v/>
      </c>
      <c r="AE195">
        <f>IF([2]Baskol!$O$198="","",[2]Baskol!$O$198)</f>
        <v/>
      </c>
      <c r="AG195">
        <f>IF([3]Entry!$C$198="","",[3]Entry!$C$198)</f>
        <v/>
      </c>
      <c r="AH195">
        <f>IF([3]Entry!$D$198="","",[3]Entry!$D$198)</f>
        <v/>
      </c>
      <c r="AI195">
        <f>IF([3]Entry!$E$198="","",[3]Entry!$E$198)</f>
        <v/>
      </c>
      <c r="AJ195">
        <f>IF([3]Entry!$G$198="","",[3]Entry!$G$198)</f>
        <v/>
      </c>
      <c r="AK195">
        <f>IF([3]Entry!$K$198="","",[3]Entry!$K$198)</f>
        <v/>
      </c>
      <c r="AL195">
        <f>IF([3]Entry!$L$198="","",[3]Entry!$L$198)</f>
        <v/>
      </c>
      <c r="AM195">
        <f>IF([3]Entry!$M$198="","",[3]Entry!$M$198)</f>
        <v/>
      </c>
      <c r="AN195">
        <f>IF([3]Entry!$N$198="","",[3]Entry!$N$198)</f>
        <v/>
      </c>
      <c r="AO195">
        <f>IF([3]Entry!$R$198="","",[3]Entry!$R$198)</f>
        <v/>
      </c>
      <c r="AQ195">
        <f>IF(AND($D195&lt;&gt;"",$A195&lt;&gt;""),1,0)</f>
        <v/>
      </c>
      <c r="AR195">
        <f>SUM($AQ$6:$AQ195)</f>
        <v/>
      </c>
      <c r="AS195">
        <f>IFERROR(INDEX($A$6:$A$565,MATCH(ROW()-5,$AR$6:$AR$565,0)),"")</f>
        <v/>
      </c>
    </row>
    <row r="196">
      <c r="A196">
        <f>IF([1]Accounts!$D$197="","",[1]Accounts!$A$197)</f>
        <v/>
      </c>
      <c r="B196">
        <f>IF([1]Accounts!$D$197="","",[1]Accounts!$B$197)</f>
        <v/>
      </c>
      <c r="C196">
        <f>IF([1]Accounts!$D$197="","",[1]Accounts!$C$197)</f>
        <v/>
      </c>
      <c r="D196">
        <f>IF([1]Accounts!$D$197="","",[1]Accounts!$D$197)</f>
        <v/>
      </c>
      <c r="E196">
        <f>IF([1]Accounts!$D$197="","",[1]Accounts!$J$197)</f>
        <v/>
      </c>
      <c r="F196">
        <f>IF([1]Accounts!$D$197="","",[1]Accounts!$K$197)</f>
        <v/>
      </c>
      <c r="U196">
        <f>IF([2]Baskol!$B$199="","",[2]Baskol!$B$199)</f>
        <v/>
      </c>
      <c r="V196">
        <f>IF([2]Baskol!$C$199="","",[2]Baskol!$C$199)</f>
        <v/>
      </c>
      <c r="W196">
        <f>IF([2]Baskol!$D$199="","",[2]Baskol!$D$199)</f>
        <v/>
      </c>
      <c r="X196">
        <f>IF([2]Baskol!$E$199="","",[2]Baskol!$E$199)</f>
        <v/>
      </c>
      <c r="Y196">
        <f>IF([2]Baskol!$G$199="","",[2]Baskol!$G$199)</f>
        <v/>
      </c>
      <c r="Z196">
        <f>IF([2]Baskol!$I$199="","",[2]Baskol!$I$199)</f>
        <v/>
      </c>
      <c r="AA196">
        <f>IF([2]Baskol!$J$199="","",[2]Baskol!$J$199)</f>
        <v/>
      </c>
      <c r="AB196">
        <f>IF([2]Baskol!$K$199="","",[2]Baskol!$K$199)</f>
        <v/>
      </c>
      <c r="AC196">
        <f>IF([2]Baskol!$L$199="","",[2]Baskol!$L$199)</f>
        <v/>
      </c>
      <c r="AD196">
        <f>IF([2]Baskol!$N$199="","",[2]Baskol!$N$199)</f>
        <v/>
      </c>
      <c r="AE196">
        <f>IF([2]Baskol!$O$199="","",[2]Baskol!$O$199)</f>
        <v/>
      </c>
      <c r="AG196">
        <f>IF([3]Entry!$C$199="","",[3]Entry!$C$199)</f>
        <v/>
      </c>
      <c r="AH196">
        <f>IF([3]Entry!$D$199="","",[3]Entry!$D$199)</f>
        <v/>
      </c>
      <c r="AI196">
        <f>IF([3]Entry!$E$199="","",[3]Entry!$E$199)</f>
        <v/>
      </c>
      <c r="AJ196">
        <f>IF([3]Entry!$G$199="","",[3]Entry!$G$199)</f>
        <v/>
      </c>
      <c r="AK196">
        <f>IF([3]Entry!$K$199="","",[3]Entry!$K$199)</f>
        <v/>
      </c>
      <c r="AL196">
        <f>IF([3]Entry!$L$199="","",[3]Entry!$L$199)</f>
        <v/>
      </c>
      <c r="AM196">
        <f>IF([3]Entry!$M$199="","",[3]Entry!$M$199)</f>
        <v/>
      </c>
      <c r="AN196">
        <f>IF([3]Entry!$N$199="","",[3]Entry!$N$199)</f>
        <v/>
      </c>
      <c r="AO196">
        <f>IF([3]Entry!$R$199="","",[3]Entry!$R$199)</f>
        <v/>
      </c>
      <c r="AQ196">
        <f>IF(AND($D196&lt;&gt;"",$A196&lt;&gt;""),1,0)</f>
        <v/>
      </c>
      <c r="AR196">
        <f>SUM($AQ$6:$AQ196)</f>
        <v/>
      </c>
      <c r="AS196">
        <f>IFERROR(INDEX($A$6:$A$565,MATCH(ROW()-5,$AR$6:$AR$565,0)),"")</f>
        <v/>
      </c>
    </row>
    <row r="197">
      <c r="A197">
        <f>IF([1]Accounts!$D$198="","",[1]Accounts!$A$198)</f>
        <v/>
      </c>
      <c r="B197">
        <f>IF([1]Accounts!$D$198="","",[1]Accounts!$B$198)</f>
        <v/>
      </c>
      <c r="C197">
        <f>IF([1]Accounts!$D$198="","",[1]Accounts!$C$198)</f>
        <v/>
      </c>
      <c r="D197">
        <f>IF([1]Accounts!$D$198="","",[1]Accounts!$D$198)</f>
        <v/>
      </c>
      <c r="E197">
        <f>IF([1]Accounts!$D$198="","",[1]Accounts!$J$198)</f>
        <v/>
      </c>
      <c r="F197">
        <f>IF([1]Accounts!$D$198="","",[1]Accounts!$K$198)</f>
        <v/>
      </c>
      <c r="U197">
        <f>IF([2]Baskol!$B$200="","",[2]Baskol!$B$200)</f>
        <v/>
      </c>
      <c r="V197">
        <f>IF([2]Baskol!$C$200="","",[2]Baskol!$C$200)</f>
        <v/>
      </c>
      <c r="W197">
        <f>IF([2]Baskol!$D$200="","",[2]Baskol!$D$200)</f>
        <v/>
      </c>
      <c r="X197">
        <f>IF([2]Baskol!$E$200="","",[2]Baskol!$E$200)</f>
        <v/>
      </c>
      <c r="Y197">
        <f>IF([2]Baskol!$G$200="","",[2]Baskol!$G$200)</f>
        <v/>
      </c>
      <c r="Z197">
        <f>IF([2]Baskol!$I$200="","",[2]Baskol!$I$200)</f>
        <v/>
      </c>
      <c r="AA197">
        <f>IF([2]Baskol!$J$200="","",[2]Baskol!$J$200)</f>
        <v/>
      </c>
      <c r="AB197">
        <f>IF([2]Baskol!$K$200="","",[2]Baskol!$K$200)</f>
        <v/>
      </c>
      <c r="AC197">
        <f>IF([2]Baskol!$L$200="","",[2]Baskol!$L$200)</f>
        <v/>
      </c>
      <c r="AD197">
        <f>IF([2]Baskol!$N$200="","",[2]Baskol!$N$200)</f>
        <v/>
      </c>
      <c r="AE197">
        <f>IF([2]Baskol!$O$200="","",[2]Baskol!$O$200)</f>
        <v/>
      </c>
      <c r="AG197">
        <f>IF([3]Entry!$C$200="","",[3]Entry!$C$200)</f>
        <v/>
      </c>
      <c r="AH197">
        <f>IF([3]Entry!$D$200="","",[3]Entry!$D$200)</f>
        <v/>
      </c>
      <c r="AI197">
        <f>IF([3]Entry!$E$200="","",[3]Entry!$E$200)</f>
        <v/>
      </c>
      <c r="AJ197">
        <f>IF([3]Entry!$G$200="","",[3]Entry!$G$200)</f>
        <v/>
      </c>
      <c r="AK197">
        <f>IF([3]Entry!$K$200="","",[3]Entry!$K$200)</f>
        <v/>
      </c>
      <c r="AL197">
        <f>IF([3]Entry!$L$200="","",[3]Entry!$L$200)</f>
        <v/>
      </c>
      <c r="AM197">
        <f>IF([3]Entry!$M$200="","",[3]Entry!$M$200)</f>
        <v/>
      </c>
      <c r="AN197">
        <f>IF([3]Entry!$N$200="","",[3]Entry!$N$200)</f>
        <v/>
      </c>
      <c r="AO197">
        <f>IF([3]Entry!$R$200="","",[3]Entry!$R$200)</f>
        <v/>
      </c>
      <c r="AQ197">
        <f>IF(AND($D197&lt;&gt;"",$A197&lt;&gt;""),1,0)</f>
        <v/>
      </c>
      <c r="AR197">
        <f>SUM($AQ$6:$AQ197)</f>
        <v/>
      </c>
      <c r="AS197">
        <f>IFERROR(INDEX($A$6:$A$565,MATCH(ROW()-5,$AR$6:$AR$565,0)),"")</f>
        <v/>
      </c>
    </row>
    <row r="198">
      <c r="A198">
        <f>IF([1]Accounts!$D$199="","",[1]Accounts!$A$199)</f>
        <v/>
      </c>
      <c r="B198">
        <f>IF([1]Accounts!$D$199="","",[1]Accounts!$B$199)</f>
        <v/>
      </c>
      <c r="C198">
        <f>IF([1]Accounts!$D$199="","",[1]Accounts!$C$199)</f>
        <v/>
      </c>
      <c r="D198">
        <f>IF([1]Accounts!$D$199="","",[1]Accounts!$D$199)</f>
        <v/>
      </c>
      <c r="E198">
        <f>IF([1]Accounts!$D$199="","",[1]Accounts!$J$199)</f>
        <v/>
      </c>
      <c r="F198">
        <f>IF([1]Accounts!$D$199="","",[1]Accounts!$K$199)</f>
        <v/>
      </c>
      <c r="U198">
        <f>IF([2]Baskol!$B$201="","",[2]Baskol!$B$201)</f>
        <v/>
      </c>
      <c r="V198">
        <f>IF([2]Baskol!$C$201="","",[2]Baskol!$C$201)</f>
        <v/>
      </c>
      <c r="W198">
        <f>IF([2]Baskol!$D$201="","",[2]Baskol!$D$201)</f>
        <v/>
      </c>
      <c r="X198">
        <f>IF([2]Baskol!$E$201="","",[2]Baskol!$E$201)</f>
        <v/>
      </c>
      <c r="Y198">
        <f>IF([2]Baskol!$G$201="","",[2]Baskol!$G$201)</f>
        <v/>
      </c>
      <c r="Z198">
        <f>IF([2]Baskol!$I$201="","",[2]Baskol!$I$201)</f>
        <v/>
      </c>
      <c r="AA198">
        <f>IF([2]Baskol!$J$201="","",[2]Baskol!$J$201)</f>
        <v/>
      </c>
      <c r="AB198">
        <f>IF([2]Baskol!$K$201="","",[2]Baskol!$K$201)</f>
        <v/>
      </c>
      <c r="AC198">
        <f>IF([2]Baskol!$L$201="","",[2]Baskol!$L$201)</f>
        <v/>
      </c>
      <c r="AD198">
        <f>IF([2]Baskol!$N$201="","",[2]Baskol!$N$201)</f>
        <v/>
      </c>
      <c r="AE198">
        <f>IF([2]Baskol!$O$201="","",[2]Baskol!$O$201)</f>
        <v/>
      </c>
      <c r="AG198">
        <f>IF([3]Entry!$C$201="","",[3]Entry!$C$201)</f>
        <v/>
      </c>
      <c r="AH198">
        <f>IF([3]Entry!$D$201="","",[3]Entry!$D$201)</f>
        <v/>
      </c>
      <c r="AI198">
        <f>IF([3]Entry!$E$201="","",[3]Entry!$E$201)</f>
        <v/>
      </c>
      <c r="AJ198">
        <f>IF([3]Entry!$G$201="","",[3]Entry!$G$201)</f>
        <v/>
      </c>
      <c r="AK198">
        <f>IF([3]Entry!$K$201="","",[3]Entry!$K$201)</f>
        <v/>
      </c>
      <c r="AL198">
        <f>IF([3]Entry!$L$201="","",[3]Entry!$L$201)</f>
        <v/>
      </c>
      <c r="AM198">
        <f>IF([3]Entry!$M$201="","",[3]Entry!$M$201)</f>
        <v/>
      </c>
      <c r="AN198">
        <f>IF([3]Entry!$N$201="","",[3]Entry!$N$201)</f>
        <v/>
      </c>
      <c r="AO198">
        <f>IF([3]Entry!$R$201="","",[3]Entry!$R$201)</f>
        <v/>
      </c>
      <c r="AQ198">
        <f>IF(AND($D198&lt;&gt;"",$A198&lt;&gt;""),1,0)</f>
        <v/>
      </c>
      <c r="AR198">
        <f>SUM($AQ$6:$AQ198)</f>
        <v/>
      </c>
      <c r="AS198">
        <f>IFERROR(INDEX($A$6:$A$565,MATCH(ROW()-5,$AR$6:$AR$565,0)),"")</f>
        <v/>
      </c>
    </row>
    <row r="199">
      <c r="A199">
        <f>IF([1]Accounts!$D$200="","",[1]Accounts!$A$200)</f>
        <v/>
      </c>
      <c r="B199">
        <f>IF([1]Accounts!$D$200="","",[1]Accounts!$B$200)</f>
        <v/>
      </c>
      <c r="C199">
        <f>IF([1]Accounts!$D$200="","",[1]Accounts!$C$200)</f>
        <v/>
      </c>
      <c r="D199">
        <f>IF([1]Accounts!$D$200="","",[1]Accounts!$D$200)</f>
        <v/>
      </c>
      <c r="E199">
        <f>IF([1]Accounts!$D$200="","",[1]Accounts!$J$200)</f>
        <v/>
      </c>
      <c r="F199">
        <f>IF([1]Accounts!$D$200="","",[1]Accounts!$K$200)</f>
        <v/>
      </c>
      <c r="U199">
        <f>IF([2]Baskol!$B$202="","",[2]Baskol!$B$202)</f>
        <v/>
      </c>
      <c r="V199">
        <f>IF([2]Baskol!$C$202="","",[2]Baskol!$C$202)</f>
        <v/>
      </c>
      <c r="W199">
        <f>IF([2]Baskol!$D$202="","",[2]Baskol!$D$202)</f>
        <v/>
      </c>
      <c r="X199">
        <f>IF([2]Baskol!$E$202="","",[2]Baskol!$E$202)</f>
        <v/>
      </c>
      <c r="Y199">
        <f>IF([2]Baskol!$G$202="","",[2]Baskol!$G$202)</f>
        <v/>
      </c>
      <c r="Z199">
        <f>IF([2]Baskol!$I$202="","",[2]Baskol!$I$202)</f>
        <v/>
      </c>
      <c r="AA199">
        <f>IF([2]Baskol!$J$202="","",[2]Baskol!$J$202)</f>
        <v/>
      </c>
      <c r="AB199">
        <f>IF([2]Baskol!$K$202="","",[2]Baskol!$K$202)</f>
        <v/>
      </c>
      <c r="AC199">
        <f>IF([2]Baskol!$L$202="","",[2]Baskol!$L$202)</f>
        <v/>
      </c>
      <c r="AD199">
        <f>IF([2]Baskol!$N$202="","",[2]Baskol!$N$202)</f>
        <v/>
      </c>
      <c r="AE199">
        <f>IF([2]Baskol!$O$202="","",[2]Baskol!$O$202)</f>
        <v/>
      </c>
      <c r="AG199">
        <f>IF([3]Entry!$C$202="","",[3]Entry!$C$202)</f>
        <v/>
      </c>
      <c r="AH199">
        <f>IF([3]Entry!$D$202="","",[3]Entry!$D$202)</f>
        <v/>
      </c>
      <c r="AI199">
        <f>IF([3]Entry!$E$202="","",[3]Entry!$E$202)</f>
        <v/>
      </c>
      <c r="AJ199">
        <f>IF([3]Entry!$G$202="","",[3]Entry!$G$202)</f>
        <v/>
      </c>
      <c r="AK199">
        <f>IF([3]Entry!$K$202="","",[3]Entry!$K$202)</f>
        <v/>
      </c>
      <c r="AL199">
        <f>IF([3]Entry!$L$202="","",[3]Entry!$L$202)</f>
        <v/>
      </c>
      <c r="AM199">
        <f>IF([3]Entry!$M$202="","",[3]Entry!$M$202)</f>
        <v/>
      </c>
      <c r="AN199">
        <f>IF([3]Entry!$N$202="","",[3]Entry!$N$202)</f>
        <v/>
      </c>
      <c r="AO199">
        <f>IF([3]Entry!$R$202="","",[3]Entry!$R$202)</f>
        <v/>
      </c>
      <c r="AQ199">
        <f>IF(AND($D199&lt;&gt;"",$A199&lt;&gt;""),1,0)</f>
        <v/>
      </c>
      <c r="AR199">
        <f>SUM($AQ$6:$AQ199)</f>
        <v/>
      </c>
      <c r="AS199">
        <f>IFERROR(INDEX($A$6:$A$565,MATCH(ROW()-5,$AR$6:$AR$565,0)),"")</f>
        <v/>
      </c>
    </row>
    <row r="200">
      <c r="A200">
        <f>IF([1]Accounts!$D$201="","",[1]Accounts!$A$201)</f>
        <v/>
      </c>
      <c r="B200">
        <f>IF([1]Accounts!$D$201="","",[1]Accounts!$B$201)</f>
        <v/>
      </c>
      <c r="C200">
        <f>IF([1]Accounts!$D$201="","",[1]Accounts!$C$201)</f>
        <v/>
      </c>
      <c r="D200">
        <f>IF([1]Accounts!$D$201="","",[1]Accounts!$D$201)</f>
        <v/>
      </c>
      <c r="E200">
        <f>IF([1]Accounts!$D$201="","",[1]Accounts!$J$201)</f>
        <v/>
      </c>
      <c r="F200">
        <f>IF([1]Accounts!$D$201="","",[1]Accounts!$K$201)</f>
        <v/>
      </c>
      <c r="U200">
        <f>IF([2]Baskol!$B$203="","",[2]Baskol!$B$203)</f>
        <v/>
      </c>
      <c r="V200">
        <f>IF([2]Baskol!$C$203="","",[2]Baskol!$C$203)</f>
        <v/>
      </c>
      <c r="W200">
        <f>IF([2]Baskol!$D$203="","",[2]Baskol!$D$203)</f>
        <v/>
      </c>
      <c r="X200">
        <f>IF([2]Baskol!$E$203="","",[2]Baskol!$E$203)</f>
        <v/>
      </c>
      <c r="Y200">
        <f>IF([2]Baskol!$G$203="","",[2]Baskol!$G$203)</f>
        <v/>
      </c>
      <c r="Z200">
        <f>IF([2]Baskol!$I$203="","",[2]Baskol!$I$203)</f>
        <v/>
      </c>
      <c r="AA200">
        <f>IF([2]Baskol!$J$203="","",[2]Baskol!$J$203)</f>
        <v/>
      </c>
      <c r="AB200">
        <f>IF([2]Baskol!$K$203="","",[2]Baskol!$K$203)</f>
        <v/>
      </c>
      <c r="AC200">
        <f>IF([2]Baskol!$L$203="","",[2]Baskol!$L$203)</f>
        <v/>
      </c>
      <c r="AD200">
        <f>IF([2]Baskol!$N$203="","",[2]Baskol!$N$203)</f>
        <v/>
      </c>
      <c r="AE200">
        <f>IF([2]Baskol!$O$203="","",[2]Baskol!$O$203)</f>
        <v/>
      </c>
      <c r="AG200">
        <f>IF([3]Entry!$C$203="","",[3]Entry!$C$203)</f>
        <v/>
      </c>
      <c r="AH200">
        <f>IF([3]Entry!$D$203="","",[3]Entry!$D$203)</f>
        <v/>
      </c>
      <c r="AI200">
        <f>IF([3]Entry!$E$203="","",[3]Entry!$E$203)</f>
        <v/>
      </c>
      <c r="AJ200">
        <f>IF([3]Entry!$G$203="","",[3]Entry!$G$203)</f>
        <v/>
      </c>
      <c r="AK200">
        <f>IF([3]Entry!$K$203="","",[3]Entry!$K$203)</f>
        <v/>
      </c>
      <c r="AL200">
        <f>IF([3]Entry!$L$203="","",[3]Entry!$L$203)</f>
        <v/>
      </c>
      <c r="AM200">
        <f>IF([3]Entry!$M$203="","",[3]Entry!$M$203)</f>
        <v/>
      </c>
      <c r="AN200">
        <f>IF([3]Entry!$N$203="","",[3]Entry!$N$203)</f>
        <v/>
      </c>
      <c r="AO200">
        <f>IF([3]Entry!$R$203="","",[3]Entry!$R$203)</f>
        <v/>
      </c>
      <c r="AQ200">
        <f>IF(AND($D200&lt;&gt;"",$A200&lt;&gt;""),1,0)</f>
        <v/>
      </c>
      <c r="AR200">
        <f>SUM($AQ$6:$AQ200)</f>
        <v/>
      </c>
      <c r="AS200">
        <f>IFERROR(INDEX($A$6:$A$565,MATCH(ROW()-5,$AR$6:$AR$565,0)),"")</f>
        <v/>
      </c>
    </row>
    <row r="201">
      <c r="A201">
        <f>IF([1]Accounts!$D$202="","",[1]Accounts!$A$202)</f>
        <v/>
      </c>
      <c r="B201">
        <f>IF([1]Accounts!$D$202="","",[1]Accounts!$B$202)</f>
        <v/>
      </c>
      <c r="C201">
        <f>IF([1]Accounts!$D$202="","",[1]Accounts!$C$202)</f>
        <v/>
      </c>
      <c r="D201">
        <f>IF([1]Accounts!$D$202="","",[1]Accounts!$D$202)</f>
        <v/>
      </c>
      <c r="E201">
        <f>IF([1]Accounts!$D$202="","",[1]Accounts!$J$202)</f>
        <v/>
      </c>
      <c r="F201">
        <f>IF([1]Accounts!$D$202="","",[1]Accounts!$K$202)</f>
        <v/>
      </c>
      <c r="U201">
        <f>IF([2]Baskol!$B$204="","",[2]Baskol!$B$204)</f>
        <v/>
      </c>
      <c r="V201">
        <f>IF([2]Baskol!$C$204="","",[2]Baskol!$C$204)</f>
        <v/>
      </c>
      <c r="W201">
        <f>IF([2]Baskol!$D$204="","",[2]Baskol!$D$204)</f>
        <v/>
      </c>
      <c r="X201">
        <f>IF([2]Baskol!$E$204="","",[2]Baskol!$E$204)</f>
        <v/>
      </c>
      <c r="Y201">
        <f>IF([2]Baskol!$G$204="","",[2]Baskol!$G$204)</f>
        <v/>
      </c>
      <c r="Z201">
        <f>IF([2]Baskol!$I$204="","",[2]Baskol!$I$204)</f>
        <v/>
      </c>
      <c r="AA201">
        <f>IF([2]Baskol!$J$204="","",[2]Baskol!$J$204)</f>
        <v/>
      </c>
      <c r="AB201">
        <f>IF([2]Baskol!$K$204="","",[2]Baskol!$K$204)</f>
        <v/>
      </c>
      <c r="AC201">
        <f>IF([2]Baskol!$L$204="","",[2]Baskol!$L$204)</f>
        <v/>
      </c>
      <c r="AD201">
        <f>IF([2]Baskol!$N$204="","",[2]Baskol!$N$204)</f>
        <v/>
      </c>
      <c r="AE201">
        <f>IF([2]Baskol!$O$204="","",[2]Baskol!$O$204)</f>
        <v/>
      </c>
      <c r="AG201">
        <f>IF([3]Entry!$C$204="","",[3]Entry!$C$204)</f>
        <v/>
      </c>
      <c r="AH201">
        <f>IF([3]Entry!$D$204="","",[3]Entry!$D$204)</f>
        <v/>
      </c>
      <c r="AI201">
        <f>IF([3]Entry!$E$204="","",[3]Entry!$E$204)</f>
        <v/>
      </c>
      <c r="AJ201">
        <f>IF([3]Entry!$G$204="","",[3]Entry!$G$204)</f>
        <v/>
      </c>
      <c r="AK201">
        <f>IF([3]Entry!$K$204="","",[3]Entry!$K$204)</f>
        <v/>
      </c>
      <c r="AL201">
        <f>IF([3]Entry!$L$204="","",[3]Entry!$L$204)</f>
        <v/>
      </c>
      <c r="AM201">
        <f>IF([3]Entry!$M$204="","",[3]Entry!$M$204)</f>
        <v/>
      </c>
      <c r="AN201">
        <f>IF([3]Entry!$N$204="","",[3]Entry!$N$204)</f>
        <v/>
      </c>
      <c r="AO201">
        <f>IF([3]Entry!$R$204="","",[3]Entry!$R$204)</f>
        <v/>
      </c>
      <c r="AQ201">
        <f>IF(AND($D201&lt;&gt;"",$A201&lt;&gt;""),1,0)</f>
        <v/>
      </c>
      <c r="AR201">
        <f>SUM($AQ$6:$AQ201)</f>
        <v/>
      </c>
      <c r="AS201">
        <f>IFERROR(INDEX($A$6:$A$565,MATCH(ROW()-5,$AR$6:$AR$565,0)),"")</f>
        <v/>
      </c>
    </row>
    <row r="202">
      <c r="A202">
        <f>IF([1]Accounts!$D$203="","",[1]Accounts!$A$203)</f>
        <v/>
      </c>
      <c r="B202">
        <f>IF([1]Accounts!$D$203="","",[1]Accounts!$B$203)</f>
        <v/>
      </c>
      <c r="C202">
        <f>IF([1]Accounts!$D$203="","",[1]Accounts!$C$203)</f>
        <v/>
      </c>
      <c r="D202">
        <f>IF([1]Accounts!$D$203="","",[1]Accounts!$D$203)</f>
        <v/>
      </c>
      <c r="E202">
        <f>IF([1]Accounts!$D$203="","",[1]Accounts!$J$203)</f>
        <v/>
      </c>
      <c r="F202">
        <f>IF([1]Accounts!$D$203="","",[1]Accounts!$K$203)</f>
        <v/>
      </c>
      <c r="U202">
        <f>IF([2]Baskol!$B$205="","",[2]Baskol!$B$205)</f>
        <v/>
      </c>
      <c r="V202">
        <f>IF([2]Baskol!$C$205="","",[2]Baskol!$C$205)</f>
        <v/>
      </c>
      <c r="W202">
        <f>IF([2]Baskol!$D$205="","",[2]Baskol!$D$205)</f>
        <v/>
      </c>
      <c r="X202">
        <f>IF([2]Baskol!$E$205="","",[2]Baskol!$E$205)</f>
        <v/>
      </c>
      <c r="Y202">
        <f>IF([2]Baskol!$G$205="","",[2]Baskol!$G$205)</f>
        <v/>
      </c>
      <c r="Z202">
        <f>IF([2]Baskol!$I$205="","",[2]Baskol!$I$205)</f>
        <v/>
      </c>
      <c r="AA202">
        <f>IF([2]Baskol!$J$205="","",[2]Baskol!$J$205)</f>
        <v/>
      </c>
      <c r="AB202">
        <f>IF([2]Baskol!$K$205="","",[2]Baskol!$K$205)</f>
        <v/>
      </c>
      <c r="AC202">
        <f>IF([2]Baskol!$L$205="","",[2]Baskol!$L$205)</f>
        <v/>
      </c>
      <c r="AD202">
        <f>IF([2]Baskol!$N$205="","",[2]Baskol!$N$205)</f>
        <v/>
      </c>
      <c r="AE202">
        <f>IF([2]Baskol!$O$205="","",[2]Baskol!$O$205)</f>
        <v/>
      </c>
      <c r="AG202">
        <f>IF([3]Entry!$C$205="","",[3]Entry!$C$205)</f>
        <v/>
      </c>
      <c r="AH202">
        <f>IF([3]Entry!$D$205="","",[3]Entry!$D$205)</f>
        <v/>
      </c>
      <c r="AI202">
        <f>IF([3]Entry!$E$205="","",[3]Entry!$E$205)</f>
        <v/>
      </c>
      <c r="AJ202">
        <f>IF([3]Entry!$G$205="","",[3]Entry!$G$205)</f>
        <v/>
      </c>
      <c r="AK202">
        <f>IF([3]Entry!$K$205="","",[3]Entry!$K$205)</f>
        <v/>
      </c>
      <c r="AL202">
        <f>IF([3]Entry!$L$205="","",[3]Entry!$L$205)</f>
        <v/>
      </c>
      <c r="AM202">
        <f>IF([3]Entry!$M$205="","",[3]Entry!$M$205)</f>
        <v/>
      </c>
      <c r="AN202">
        <f>IF([3]Entry!$N$205="","",[3]Entry!$N$205)</f>
        <v/>
      </c>
      <c r="AO202">
        <f>IF([3]Entry!$R$205="","",[3]Entry!$R$205)</f>
        <v/>
      </c>
      <c r="AQ202">
        <f>IF(AND($D202&lt;&gt;"",$A202&lt;&gt;""),1,0)</f>
        <v/>
      </c>
      <c r="AR202">
        <f>SUM($AQ$6:$AQ202)</f>
        <v/>
      </c>
      <c r="AS202">
        <f>IFERROR(INDEX($A$6:$A$565,MATCH(ROW()-5,$AR$6:$AR$565,0)),"")</f>
        <v/>
      </c>
    </row>
    <row r="203">
      <c r="A203">
        <f>IF([1]Accounts!$D$204="","",[1]Accounts!$A$204)</f>
        <v/>
      </c>
      <c r="B203">
        <f>IF([1]Accounts!$D$204="","",[1]Accounts!$B$204)</f>
        <v/>
      </c>
      <c r="C203">
        <f>IF([1]Accounts!$D$204="","",[1]Accounts!$C$204)</f>
        <v/>
      </c>
      <c r="D203">
        <f>IF([1]Accounts!$D$204="","",[1]Accounts!$D$204)</f>
        <v/>
      </c>
      <c r="E203">
        <f>IF([1]Accounts!$D$204="","",[1]Accounts!$J$204)</f>
        <v/>
      </c>
      <c r="F203">
        <f>IF([1]Accounts!$D$204="","",[1]Accounts!$K$204)</f>
        <v/>
      </c>
      <c r="U203">
        <f>IF([2]Baskol!$B$206="","",[2]Baskol!$B$206)</f>
        <v/>
      </c>
      <c r="V203">
        <f>IF([2]Baskol!$C$206="","",[2]Baskol!$C$206)</f>
        <v/>
      </c>
      <c r="W203">
        <f>IF([2]Baskol!$D$206="","",[2]Baskol!$D$206)</f>
        <v/>
      </c>
      <c r="X203">
        <f>IF([2]Baskol!$E$206="","",[2]Baskol!$E$206)</f>
        <v/>
      </c>
      <c r="Y203">
        <f>IF([2]Baskol!$G$206="","",[2]Baskol!$G$206)</f>
        <v/>
      </c>
      <c r="Z203">
        <f>IF([2]Baskol!$I$206="","",[2]Baskol!$I$206)</f>
        <v/>
      </c>
      <c r="AA203">
        <f>IF([2]Baskol!$J$206="","",[2]Baskol!$J$206)</f>
        <v/>
      </c>
      <c r="AB203">
        <f>IF([2]Baskol!$K$206="","",[2]Baskol!$K$206)</f>
        <v/>
      </c>
      <c r="AC203">
        <f>IF([2]Baskol!$L$206="","",[2]Baskol!$L$206)</f>
        <v/>
      </c>
      <c r="AD203">
        <f>IF([2]Baskol!$N$206="","",[2]Baskol!$N$206)</f>
        <v/>
      </c>
      <c r="AE203">
        <f>IF([2]Baskol!$O$206="","",[2]Baskol!$O$206)</f>
        <v/>
      </c>
      <c r="AG203">
        <f>IF([3]Entry!$C$206="","",[3]Entry!$C$206)</f>
        <v/>
      </c>
      <c r="AH203">
        <f>IF([3]Entry!$D$206="","",[3]Entry!$D$206)</f>
        <v/>
      </c>
      <c r="AI203">
        <f>IF([3]Entry!$E$206="","",[3]Entry!$E$206)</f>
        <v/>
      </c>
      <c r="AJ203">
        <f>IF([3]Entry!$G$206="","",[3]Entry!$G$206)</f>
        <v/>
      </c>
      <c r="AK203">
        <f>IF([3]Entry!$K$206="","",[3]Entry!$K$206)</f>
        <v/>
      </c>
      <c r="AL203">
        <f>IF([3]Entry!$L$206="","",[3]Entry!$L$206)</f>
        <v/>
      </c>
      <c r="AM203">
        <f>IF([3]Entry!$M$206="","",[3]Entry!$M$206)</f>
        <v/>
      </c>
      <c r="AN203">
        <f>IF([3]Entry!$N$206="","",[3]Entry!$N$206)</f>
        <v/>
      </c>
      <c r="AO203">
        <f>IF([3]Entry!$R$206="","",[3]Entry!$R$206)</f>
        <v/>
      </c>
      <c r="AQ203">
        <f>IF(AND($D203&lt;&gt;"",$A203&lt;&gt;""),1,0)</f>
        <v/>
      </c>
      <c r="AR203">
        <f>SUM($AQ$6:$AQ203)</f>
        <v/>
      </c>
      <c r="AS203">
        <f>IFERROR(INDEX($A$6:$A$565,MATCH(ROW()-5,$AR$6:$AR$565,0)),"")</f>
        <v/>
      </c>
    </row>
    <row r="204">
      <c r="A204">
        <f>IF([1]Accounts!$D$205="","",[1]Accounts!$A$205)</f>
        <v/>
      </c>
      <c r="B204">
        <f>IF([1]Accounts!$D$205="","",[1]Accounts!$B$205)</f>
        <v/>
      </c>
      <c r="C204">
        <f>IF([1]Accounts!$D$205="","",[1]Accounts!$C$205)</f>
        <v/>
      </c>
      <c r="D204">
        <f>IF([1]Accounts!$D$205="","",[1]Accounts!$D$205)</f>
        <v/>
      </c>
      <c r="E204">
        <f>IF([1]Accounts!$D$205="","",[1]Accounts!$J$205)</f>
        <v/>
      </c>
      <c r="F204">
        <f>IF([1]Accounts!$D$205="","",[1]Accounts!$K$205)</f>
        <v/>
      </c>
      <c r="U204">
        <f>IF([2]Baskol!$B$207="","",[2]Baskol!$B$207)</f>
        <v/>
      </c>
      <c r="V204">
        <f>IF([2]Baskol!$C$207="","",[2]Baskol!$C$207)</f>
        <v/>
      </c>
      <c r="W204">
        <f>IF([2]Baskol!$D$207="","",[2]Baskol!$D$207)</f>
        <v/>
      </c>
      <c r="X204">
        <f>IF([2]Baskol!$E$207="","",[2]Baskol!$E$207)</f>
        <v/>
      </c>
      <c r="Y204">
        <f>IF([2]Baskol!$G$207="","",[2]Baskol!$G$207)</f>
        <v/>
      </c>
      <c r="Z204">
        <f>IF([2]Baskol!$I$207="","",[2]Baskol!$I$207)</f>
        <v/>
      </c>
      <c r="AA204">
        <f>IF([2]Baskol!$J$207="","",[2]Baskol!$J$207)</f>
        <v/>
      </c>
      <c r="AB204">
        <f>IF([2]Baskol!$K$207="","",[2]Baskol!$K$207)</f>
        <v/>
      </c>
      <c r="AC204">
        <f>IF([2]Baskol!$L$207="","",[2]Baskol!$L$207)</f>
        <v/>
      </c>
      <c r="AD204">
        <f>IF([2]Baskol!$N$207="","",[2]Baskol!$N$207)</f>
        <v/>
      </c>
      <c r="AE204">
        <f>IF([2]Baskol!$O$207="","",[2]Baskol!$O$207)</f>
        <v/>
      </c>
      <c r="AG204">
        <f>IF([3]Entry!$C$207="","",[3]Entry!$C$207)</f>
        <v/>
      </c>
      <c r="AH204">
        <f>IF([3]Entry!$D$207="","",[3]Entry!$D$207)</f>
        <v/>
      </c>
      <c r="AI204">
        <f>IF([3]Entry!$E$207="","",[3]Entry!$E$207)</f>
        <v/>
      </c>
      <c r="AJ204">
        <f>IF([3]Entry!$G$207="","",[3]Entry!$G$207)</f>
        <v/>
      </c>
      <c r="AK204">
        <f>IF([3]Entry!$K$207="","",[3]Entry!$K$207)</f>
        <v/>
      </c>
      <c r="AL204">
        <f>IF([3]Entry!$L$207="","",[3]Entry!$L$207)</f>
        <v/>
      </c>
      <c r="AM204">
        <f>IF([3]Entry!$M$207="","",[3]Entry!$M$207)</f>
        <v/>
      </c>
      <c r="AN204">
        <f>IF([3]Entry!$N$207="","",[3]Entry!$N$207)</f>
        <v/>
      </c>
      <c r="AO204">
        <f>IF([3]Entry!$R$207="","",[3]Entry!$R$207)</f>
        <v/>
      </c>
      <c r="AQ204">
        <f>IF(AND($D204&lt;&gt;"",$A204&lt;&gt;""),1,0)</f>
        <v/>
      </c>
      <c r="AR204">
        <f>SUM($AQ$6:$AQ204)</f>
        <v/>
      </c>
      <c r="AS204">
        <f>IFERROR(INDEX($A$6:$A$565,MATCH(ROW()-5,$AR$6:$AR$565,0)),"")</f>
        <v/>
      </c>
    </row>
    <row r="205">
      <c r="A205">
        <f>IF([1]Accounts!$D$206="","",[1]Accounts!$A$206)</f>
        <v/>
      </c>
      <c r="B205">
        <f>IF([1]Accounts!$D$206="","",[1]Accounts!$B$206)</f>
        <v/>
      </c>
      <c r="C205">
        <f>IF([1]Accounts!$D$206="","",[1]Accounts!$C$206)</f>
        <v/>
      </c>
      <c r="D205">
        <f>IF([1]Accounts!$D$206="","",[1]Accounts!$D$206)</f>
        <v/>
      </c>
      <c r="E205">
        <f>IF([1]Accounts!$D$206="","",[1]Accounts!$J$206)</f>
        <v/>
      </c>
      <c r="F205">
        <f>IF([1]Accounts!$D$206="","",[1]Accounts!$K$206)</f>
        <v/>
      </c>
      <c r="U205">
        <f>IF([2]Baskol!$B$208="","",[2]Baskol!$B$208)</f>
        <v/>
      </c>
      <c r="V205">
        <f>IF([2]Baskol!$C$208="","",[2]Baskol!$C$208)</f>
        <v/>
      </c>
      <c r="W205">
        <f>IF([2]Baskol!$D$208="","",[2]Baskol!$D$208)</f>
        <v/>
      </c>
      <c r="X205">
        <f>IF([2]Baskol!$E$208="","",[2]Baskol!$E$208)</f>
        <v/>
      </c>
      <c r="Y205">
        <f>IF([2]Baskol!$G$208="","",[2]Baskol!$G$208)</f>
        <v/>
      </c>
      <c r="Z205">
        <f>IF([2]Baskol!$I$208="","",[2]Baskol!$I$208)</f>
        <v/>
      </c>
      <c r="AA205">
        <f>IF([2]Baskol!$J$208="","",[2]Baskol!$J$208)</f>
        <v/>
      </c>
      <c r="AB205">
        <f>IF([2]Baskol!$K$208="","",[2]Baskol!$K$208)</f>
        <v/>
      </c>
      <c r="AC205">
        <f>IF([2]Baskol!$L$208="","",[2]Baskol!$L$208)</f>
        <v/>
      </c>
      <c r="AD205">
        <f>IF([2]Baskol!$N$208="","",[2]Baskol!$N$208)</f>
        <v/>
      </c>
      <c r="AE205">
        <f>IF([2]Baskol!$O$208="","",[2]Baskol!$O$208)</f>
        <v/>
      </c>
      <c r="AG205">
        <f>IF([3]Entry!$C$208="","",[3]Entry!$C$208)</f>
        <v/>
      </c>
      <c r="AH205">
        <f>IF([3]Entry!$D$208="","",[3]Entry!$D$208)</f>
        <v/>
      </c>
      <c r="AI205">
        <f>IF([3]Entry!$E$208="","",[3]Entry!$E$208)</f>
        <v/>
      </c>
      <c r="AJ205">
        <f>IF([3]Entry!$G$208="","",[3]Entry!$G$208)</f>
        <v/>
      </c>
      <c r="AK205">
        <f>IF([3]Entry!$K$208="","",[3]Entry!$K$208)</f>
        <v/>
      </c>
      <c r="AL205">
        <f>IF([3]Entry!$L$208="","",[3]Entry!$L$208)</f>
        <v/>
      </c>
      <c r="AM205">
        <f>IF([3]Entry!$M$208="","",[3]Entry!$M$208)</f>
        <v/>
      </c>
      <c r="AN205">
        <f>IF([3]Entry!$N$208="","",[3]Entry!$N$208)</f>
        <v/>
      </c>
      <c r="AO205">
        <f>IF([3]Entry!$R$208="","",[3]Entry!$R$208)</f>
        <v/>
      </c>
      <c r="AQ205">
        <f>IF(AND($D205&lt;&gt;"",$A205&lt;&gt;""),1,0)</f>
        <v/>
      </c>
      <c r="AR205">
        <f>SUM($AQ$6:$AQ205)</f>
        <v/>
      </c>
      <c r="AS205">
        <f>IFERROR(INDEX($A$6:$A$565,MATCH(ROW()-5,$AR$6:$AR$565,0)),"")</f>
        <v/>
      </c>
    </row>
    <row r="206">
      <c r="A206">
        <f>IF([1]Accounts!$D$207="","",[1]Accounts!$A$207)</f>
        <v/>
      </c>
      <c r="B206">
        <f>IF([1]Accounts!$D$207="","",[1]Accounts!$B$207)</f>
        <v/>
      </c>
      <c r="C206">
        <f>IF([1]Accounts!$D$207="","",[1]Accounts!$C$207)</f>
        <v/>
      </c>
      <c r="D206">
        <f>IF([1]Accounts!$D$207="","",[1]Accounts!$D$207)</f>
        <v/>
      </c>
      <c r="E206">
        <f>IF([1]Accounts!$D$207="","",[1]Accounts!$J$207)</f>
        <v/>
      </c>
      <c r="F206">
        <f>IF([1]Accounts!$D$207="","",[1]Accounts!$K$207)</f>
        <v/>
      </c>
      <c r="U206">
        <f>IF([2]Baskol!$B$209="","",[2]Baskol!$B$209)</f>
        <v/>
      </c>
      <c r="V206">
        <f>IF([2]Baskol!$C$209="","",[2]Baskol!$C$209)</f>
        <v/>
      </c>
      <c r="W206">
        <f>IF([2]Baskol!$D$209="","",[2]Baskol!$D$209)</f>
        <v/>
      </c>
      <c r="X206">
        <f>IF([2]Baskol!$E$209="","",[2]Baskol!$E$209)</f>
        <v/>
      </c>
      <c r="Y206">
        <f>IF([2]Baskol!$G$209="","",[2]Baskol!$G$209)</f>
        <v/>
      </c>
      <c r="Z206">
        <f>IF([2]Baskol!$I$209="","",[2]Baskol!$I$209)</f>
        <v/>
      </c>
      <c r="AA206">
        <f>IF([2]Baskol!$J$209="","",[2]Baskol!$J$209)</f>
        <v/>
      </c>
      <c r="AB206">
        <f>IF([2]Baskol!$K$209="","",[2]Baskol!$K$209)</f>
        <v/>
      </c>
      <c r="AC206">
        <f>IF([2]Baskol!$L$209="","",[2]Baskol!$L$209)</f>
        <v/>
      </c>
      <c r="AD206">
        <f>IF([2]Baskol!$N$209="","",[2]Baskol!$N$209)</f>
        <v/>
      </c>
      <c r="AE206">
        <f>IF([2]Baskol!$O$209="","",[2]Baskol!$O$209)</f>
        <v/>
      </c>
      <c r="AG206">
        <f>IF([3]Entry!$C$209="","",[3]Entry!$C$209)</f>
        <v/>
      </c>
      <c r="AH206">
        <f>IF([3]Entry!$D$209="","",[3]Entry!$D$209)</f>
        <v/>
      </c>
      <c r="AI206">
        <f>IF([3]Entry!$E$209="","",[3]Entry!$E$209)</f>
        <v/>
      </c>
      <c r="AJ206">
        <f>IF([3]Entry!$G$209="","",[3]Entry!$G$209)</f>
        <v/>
      </c>
      <c r="AK206">
        <f>IF([3]Entry!$K$209="","",[3]Entry!$K$209)</f>
        <v/>
      </c>
      <c r="AL206">
        <f>IF([3]Entry!$L$209="","",[3]Entry!$L$209)</f>
        <v/>
      </c>
      <c r="AM206">
        <f>IF([3]Entry!$M$209="","",[3]Entry!$M$209)</f>
        <v/>
      </c>
      <c r="AN206">
        <f>IF([3]Entry!$N$209="","",[3]Entry!$N$209)</f>
        <v/>
      </c>
      <c r="AO206">
        <f>IF([3]Entry!$R$209="","",[3]Entry!$R$209)</f>
        <v/>
      </c>
      <c r="AQ206">
        <f>IF(AND($D206&lt;&gt;"",$A206&lt;&gt;""),1,0)</f>
        <v/>
      </c>
      <c r="AR206">
        <f>SUM($AQ$6:$AQ206)</f>
        <v/>
      </c>
      <c r="AS206">
        <f>IFERROR(INDEX($A$6:$A$565,MATCH(ROW()-5,$AR$6:$AR$565,0)),"")</f>
        <v/>
      </c>
    </row>
    <row r="207">
      <c r="A207">
        <f>IF([1]Accounts!$D$208="","",[1]Accounts!$A$208)</f>
        <v/>
      </c>
      <c r="B207">
        <f>IF([1]Accounts!$D$208="","",[1]Accounts!$B$208)</f>
        <v/>
      </c>
      <c r="C207">
        <f>IF([1]Accounts!$D$208="","",[1]Accounts!$C$208)</f>
        <v/>
      </c>
      <c r="D207">
        <f>IF([1]Accounts!$D$208="","",[1]Accounts!$D$208)</f>
        <v/>
      </c>
      <c r="E207">
        <f>IF([1]Accounts!$D$208="","",[1]Accounts!$J$208)</f>
        <v/>
      </c>
      <c r="F207">
        <f>IF([1]Accounts!$D$208="","",[1]Accounts!$K$208)</f>
        <v/>
      </c>
      <c r="U207">
        <f>IF([2]Baskol!$B$210="","",[2]Baskol!$B$210)</f>
        <v/>
      </c>
      <c r="V207">
        <f>IF([2]Baskol!$C$210="","",[2]Baskol!$C$210)</f>
        <v/>
      </c>
      <c r="W207">
        <f>IF([2]Baskol!$D$210="","",[2]Baskol!$D$210)</f>
        <v/>
      </c>
      <c r="X207">
        <f>IF([2]Baskol!$E$210="","",[2]Baskol!$E$210)</f>
        <v/>
      </c>
      <c r="Y207">
        <f>IF([2]Baskol!$G$210="","",[2]Baskol!$G$210)</f>
        <v/>
      </c>
      <c r="Z207">
        <f>IF([2]Baskol!$I$210="","",[2]Baskol!$I$210)</f>
        <v/>
      </c>
      <c r="AA207">
        <f>IF([2]Baskol!$J$210="","",[2]Baskol!$J$210)</f>
        <v/>
      </c>
      <c r="AB207">
        <f>IF([2]Baskol!$K$210="","",[2]Baskol!$K$210)</f>
        <v/>
      </c>
      <c r="AC207">
        <f>IF([2]Baskol!$L$210="","",[2]Baskol!$L$210)</f>
        <v/>
      </c>
      <c r="AD207">
        <f>IF([2]Baskol!$N$210="","",[2]Baskol!$N$210)</f>
        <v/>
      </c>
      <c r="AE207">
        <f>IF([2]Baskol!$O$210="","",[2]Baskol!$O$210)</f>
        <v/>
      </c>
      <c r="AG207">
        <f>IF([3]Entry!$C$210="","",[3]Entry!$C$210)</f>
        <v/>
      </c>
      <c r="AH207">
        <f>IF([3]Entry!$D$210="","",[3]Entry!$D$210)</f>
        <v/>
      </c>
      <c r="AI207">
        <f>IF([3]Entry!$E$210="","",[3]Entry!$E$210)</f>
        <v/>
      </c>
      <c r="AJ207">
        <f>IF([3]Entry!$G$210="","",[3]Entry!$G$210)</f>
        <v/>
      </c>
      <c r="AK207">
        <f>IF([3]Entry!$K$210="","",[3]Entry!$K$210)</f>
        <v/>
      </c>
      <c r="AL207">
        <f>IF([3]Entry!$L$210="","",[3]Entry!$L$210)</f>
        <v/>
      </c>
      <c r="AM207">
        <f>IF([3]Entry!$M$210="","",[3]Entry!$M$210)</f>
        <v/>
      </c>
      <c r="AN207">
        <f>IF([3]Entry!$N$210="","",[3]Entry!$N$210)</f>
        <v/>
      </c>
      <c r="AO207">
        <f>IF([3]Entry!$R$210="","",[3]Entry!$R$210)</f>
        <v/>
      </c>
      <c r="AQ207">
        <f>IF(AND($D207&lt;&gt;"",$A207&lt;&gt;""),1,0)</f>
        <v/>
      </c>
      <c r="AR207">
        <f>SUM($AQ$6:$AQ207)</f>
        <v/>
      </c>
      <c r="AS207">
        <f>IFERROR(INDEX($A$6:$A$565,MATCH(ROW()-5,$AR$6:$AR$565,0)),"")</f>
        <v/>
      </c>
    </row>
    <row r="208">
      <c r="A208">
        <f>IF([1]Accounts!$D$209="","",[1]Accounts!$A$209)</f>
        <v/>
      </c>
      <c r="B208">
        <f>IF([1]Accounts!$D$209="","",[1]Accounts!$B$209)</f>
        <v/>
      </c>
      <c r="C208">
        <f>IF([1]Accounts!$D$209="","",[1]Accounts!$C$209)</f>
        <v/>
      </c>
      <c r="D208">
        <f>IF([1]Accounts!$D$209="","",[1]Accounts!$D$209)</f>
        <v/>
      </c>
      <c r="E208">
        <f>IF([1]Accounts!$D$209="","",[1]Accounts!$J$209)</f>
        <v/>
      </c>
      <c r="F208">
        <f>IF([1]Accounts!$D$209="","",[1]Accounts!$K$209)</f>
        <v/>
      </c>
      <c r="U208">
        <f>IF([2]Baskol!$B$211="","",[2]Baskol!$B$211)</f>
        <v/>
      </c>
      <c r="V208">
        <f>IF([2]Baskol!$C$211="","",[2]Baskol!$C$211)</f>
        <v/>
      </c>
      <c r="W208">
        <f>IF([2]Baskol!$D$211="","",[2]Baskol!$D$211)</f>
        <v/>
      </c>
      <c r="X208">
        <f>IF([2]Baskol!$E$211="","",[2]Baskol!$E$211)</f>
        <v/>
      </c>
      <c r="Y208">
        <f>IF([2]Baskol!$G$211="","",[2]Baskol!$G$211)</f>
        <v/>
      </c>
      <c r="Z208">
        <f>IF([2]Baskol!$I$211="","",[2]Baskol!$I$211)</f>
        <v/>
      </c>
      <c r="AA208">
        <f>IF([2]Baskol!$J$211="","",[2]Baskol!$J$211)</f>
        <v/>
      </c>
      <c r="AB208">
        <f>IF([2]Baskol!$K$211="","",[2]Baskol!$K$211)</f>
        <v/>
      </c>
      <c r="AC208">
        <f>IF([2]Baskol!$L$211="","",[2]Baskol!$L$211)</f>
        <v/>
      </c>
      <c r="AD208">
        <f>IF([2]Baskol!$N$211="","",[2]Baskol!$N$211)</f>
        <v/>
      </c>
      <c r="AE208">
        <f>IF([2]Baskol!$O$211="","",[2]Baskol!$O$211)</f>
        <v/>
      </c>
      <c r="AG208">
        <f>IF([3]Entry!$C$211="","",[3]Entry!$C$211)</f>
        <v/>
      </c>
      <c r="AH208">
        <f>IF([3]Entry!$D$211="","",[3]Entry!$D$211)</f>
        <v/>
      </c>
      <c r="AI208">
        <f>IF([3]Entry!$E$211="","",[3]Entry!$E$211)</f>
        <v/>
      </c>
      <c r="AJ208">
        <f>IF([3]Entry!$G$211="","",[3]Entry!$G$211)</f>
        <v/>
      </c>
      <c r="AK208">
        <f>IF([3]Entry!$K$211="","",[3]Entry!$K$211)</f>
        <v/>
      </c>
      <c r="AL208">
        <f>IF([3]Entry!$L$211="","",[3]Entry!$L$211)</f>
        <v/>
      </c>
      <c r="AM208">
        <f>IF([3]Entry!$M$211="","",[3]Entry!$M$211)</f>
        <v/>
      </c>
      <c r="AN208">
        <f>IF([3]Entry!$N$211="","",[3]Entry!$N$211)</f>
        <v/>
      </c>
      <c r="AO208">
        <f>IF([3]Entry!$R$211="","",[3]Entry!$R$211)</f>
        <v/>
      </c>
      <c r="AQ208">
        <f>IF(AND($D208&lt;&gt;"",$A208&lt;&gt;""),1,0)</f>
        <v/>
      </c>
      <c r="AR208">
        <f>SUM($AQ$6:$AQ208)</f>
        <v/>
      </c>
      <c r="AS208">
        <f>IFERROR(INDEX($A$6:$A$565,MATCH(ROW()-5,$AR$6:$AR$565,0)),"")</f>
        <v/>
      </c>
    </row>
    <row r="209">
      <c r="A209">
        <f>IF([1]Accounts!$D$210="","",[1]Accounts!$A$210)</f>
        <v/>
      </c>
      <c r="B209">
        <f>IF([1]Accounts!$D$210="","",[1]Accounts!$B$210)</f>
        <v/>
      </c>
      <c r="C209">
        <f>IF([1]Accounts!$D$210="","",[1]Accounts!$C$210)</f>
        <v/>
      </c>
      <c r="D209">
        <f>IF([1]Accounts!$D$210="","",[1]Accounts!$D$210)</f>
        <v/>
      </c>
      <c r="E209">
        <f>IF([1]Accounts!$D$210="","",[1]Accounts!$J$210)</f>
        <v/>
      </c>
      <c r="F209">
        <f>IF([1]Accounts!$D$210="","",[1]Accounts!$K$210)</f>
        <v/>
      </c>
      <c r="U209">
        <f>IF([2]Baskol!$B$212="","",[2]Baskol!$B$212)</f>
        <v/>
      </c>
      <c r="V209">
        <f>IF([2]Baskol!$C$212="","",[2]Baskol!$C$212)</f>
        <v/>
      </c>
      <c r="W209">
        <f>IF([2]Baskol!$D$212="","",[2]Baskol!$D$212)</f>
        <v/>
      </c>
      <c r="X209">
        <f>IF([2]Baskol!$E$212="","",[2]Baskol!$E$212)</f>
        <v/>
      </c>
      <c r="Y209">
        <f>IF([2]Baskol!$G$212="","",[2]Baskol!$G$212)</f>
        <v/>
      </c>
      <c r="Z209">
        <f>IF([2]Baskol!$I$212="","",[2]Baskol!$I$212)</f>
        <v/>
      </c>
      <c r="AA209">
        <f>IF([2]Baskol!$J$212="","",[2]Baskol!$J$212)</f>
        <v/>
      </c>
      <c r="AB209">
        <f>IF([2]Baskol!$K$212="","",[2]Baskol!$K$212)</f>
        <v/>
      </c>
      <c r="AC209">
        <f>IF([2]Baskol!$L$212="","",[2]Baskol!$L$212)</f>
        <v/>
      </c>
      <c r="AD209">
        <f>IF([2]Baskol!$N$212="","",[2]Baskol!$N$212)</f>
        <v/>
      </c>
      <c r="AE209">
        <f>IF([2]Baskol!$O$212="","",[2]Baskol!$O$212)</f>
        <v/>
      </c>
      <c r="AG209">
        <f>IF([3]Entry!$C$212="","",[3]Entry!$C$212)</f>
        <v/>
      </c>
      <c r="AH209">
        <f>IF([3]Entry!$D$212="","",[3]Entry!$D$212)</f>
        <v/>
      </c>
      <c r="AI209">
        <f>IF([3]Entry!$E$212="","",[3]Entry!$E$212)</f>
        <v/>
      </c>
      <c r="AJ209">
        <f>IF([3]Entry!$G$212="","",[3]Entry!$G$212)</f>
        <v/>
      </c>
      <c r="AK209">
        <f>IF([3]Entry!$K$212="","",[3]Entry!$K$212)</f>
        <v/>
      </c>
      <c r="AL209">
        <f>IF([3]Entry!$L$212="","",[3]Entry!$L$212)</f>
        <v/>
      </c>
      <c r="AM209">
        <f>IF([3]Entry!$M$212="","",[3]Entry!$M$212)</f>
        <v/>
      </c>
      <c r="AN209">
        <f>IF([3]Entry!$N$212="","",[3]Entry!$N$212)</f>
        <v/>
      </c>
      <c r="AO209">
        <f>IF([3]Entry!$R$212="","",[3]Entry!$R$212)</f>
        <v/>
      </c>
      <c r="AQ209">
        <f>IF(AND($D209&lt;&gt;"",$A209&lt;&gt;""),1,0)</f>
        <v/>
      </c>
      <c r="AR209">
        <f>SUM($AQ$6:$AQ209)</f>
        <v/>
      </c>
      <c r="AS209">
        <f>IFERROR(INDEX($A$6:$A$565,MATCH(ROW()-5,$AR$6:$AR$565,0)),"")</f>
        <v/>
      </c>
    </row>
    <row r="210">
      <c r="A210">
        <f>IF([1]Accounts!$D$211="","",[1]Accounts!$A$211)</f>
        <v/>
      </c>
      <c r="B210">
        <f>IF([1]Accounts!$D$211="","",[1]Accounts!$B$211)</f>
        <v/>
      </c>
      <c r="C210">
        <f>IF([1]Accounts!$D$211="","",[1]Accounts!$C$211)</f>
        <v/>
      </c>
      <c r="D210">
        <f>IF([1]Accounts!$D$211="","",[1]Accounts!$D$211)</f>
        <v/>
      </c>
      <c r="E210">
        <f>IF([1]Accounts!$D$211="","",[1]Accounts!$J$211)</f>
        <v/>
      </c>
      <c r="F210">
        <f>IF([1]Accounts!$D$211="","",[1]Accounts!$K$211)</f>
        <v/>
      </c>
      <c r="U210">
        <f>IF([2]Baskol!$B$213="","",[2]Baskol!$B$213)</f>
        <v/>
      </c>
      <c r="V210">
        <f>IF([2]Baskol!$C$213="","",[2]Baskol!$C$213)</f>
        <v/>
      </c>
      <c r="W210">
        <f>IF([2]Baskol!$D$213="","",[2]Baskol!$D$213)</f>
        <v/>
      </c>
      <c r="X210">
        <f>IF([2]Baskol!$E$213="","",[2]Baskol!$E$213)</f>
        <v/>
      </c>
      <c r="Y210">
        <f>IF([2]Baskol!$G$213="","",[2]Baskol!$G$213)</f>
        <v/>
      </c>
      <c r="Z210">
        <f>IF([2]Baskol!$I$213="","",[2]Baskol!$I$213)</f>
        <v/>
      </c>
      <c r="AA210">
        <f>IF([2]Baskol!$J$213="","",[2]Baskol!$J$213)</f>
        <v/>
      </c>
      <c r="AB210">
        <f>IF([2]Baskol!$K$213="","",[2]Baskol!$K$213)</f>
        <v/>
      </c>
      <c r="AC210">
        <f>IF([2]Baskol!$L$213="","",[2]Baskol!$L$213)</f>
        <v/>
      </c>
      <c r="AD210">
        <f>IF([2]Baskol!$N$213="","",[2]Baskol!$N$213)</f>
        <v/>
      </c>
      <c r="AE210">
        <f>IF([2]Baskol!$O$213="","",[2]Baskol!$O$213)</f>
        <v/>
      </c>
      <c r="AG210">
        <f>IF([3]Entry!$C$213="","",[3]Entry!$C$213)</f>
        <v/>
      </c>
      <c r="AH210">
        <f>IF([3]Entry!$D$213="","",[3]Entry!$D$213)</f>
        <v/>
      </c>
      <c r="AI210">
        <f>IF([3]Entry!$E$213="","",[3]Entry!$E$213)</f>
        <v/>
      </c>
      <c r="AJ210">
        <f>IF([3]Entry!$G$213="","",[3]Entry!$G$213)</f>
        <v/>
      </c>
      <c r="AK210">
        <f>IF([3]Entry!$K$213="","",[3]Entry!$K$213)</f>
        <v/>
      </c>
      <c r="AL210">
        <f>IF([3]Entry!$L$213="","",[3]Entry!$L$213)</f>
        <v/>
      </c>
      <c r="AM210">
        <f>IF([3]Entry!$M$213="","",[3]Entry!$M$213)</f>
        <v/>
      </c>
      <c r="AN210">
        <f>IF([3]Entry!$N$213="","",[3]Entry!$N$213)</f>
        <v/>
      </c>
      <c r="AO210">
        <f>IF([3]Entry!$R$213="","",[3]Entry!$R$213)</f>
        <v/>
      </c>
      <c r="AQ210">
        <f>IF(AND($D210&lt;&gt;"",$A210&lt;&gt;""),1,0)</f>
        <v/>
      </c>
      <c r="AR210">
        <f>SUM($AQ$6:$AQ210)</f>
        <v/>
      </c>
      <c r="AS210">
        <f>IFERROR(INDEX($A$6:$A$565,MATCH(ROW()-5,$AR$6:$AR$565,0)),"")</f>
        <v/>
      </c>
    </row>
    <row r="211">
      <c r="A211">
        <f>IF([1]Accounts!$D$212="","",[1]Accounts!$A$212)</f>
        <v/>
      </c>
      <c r="B211">
        <f>IF([1]Accounts!$D$212="","",[1]Accounts!$B$212)</f>
        <v/>
      </c>
      <c r="C211">
        <f>IF([1]Accounts!$D$212="","",[1]Accounts!$C$212)</f>
        <v/>
      </c>
      <c r="D211">
        <f>IF([1]Accounts!$D$212="","",[1]Accounts!$D$212)</f>
        <v/>
      </c>
      <c r="E211">
        <f>IF([1]Accounts!$D$212="","",[1]Accounts!$J$212)</f>
        <v/>
      </c>
      <c r="F211">
        <f>IF([1]Accounts!$D$212="","",[1]Accounts!$K$212)</f>
        <v/>
      </c>
      <c r="U211">
        <f>IF([2]Baskol!$B$214="","",[2]Baskol!$B$214)</f>
        <v/>
      </c>
      <c r="V211">
        <f>IF([2]Baskol!$C$214="","",[2]Baskol!$C$214)</f>
        <v/>
      </c>
      <c r="W211">
        <f>IF([2]Baskol!$D$214="","",[2]Baskol!$D$214)</f>
        <v/>
      </c>
      <c r="X211">
        <f>IF([2]Baskol!$E$214="","",[2]Baskol!$E$214)</f>
        <v/>
      </c>
      <c r="Y211">
        <f>IF([2]Baskol!$G$214="","",[2]Baskol!$G$214)</f>
        <v/>
      </c>
      <c r="Z211">
        <f>IF([2]Baskol!$I$214="","",[2]Baskol!$I$214)</f>
        <v/>
      </c>
      <c r="AA211">
        <f>IF([2]Baskol!$J$214="","",[2]Baskol!$J$214)</f>
        <v/>
      </c>
      <c r="AB211">
        <f>IF([2]Baskol!$K$214="","",[2]Baskol!$K$214)</f>
        <v/>
      </c>
      <c r="AC211">
        <f>IF([2]Baskol!$L$214="","",[2]Baskol!$L$214)</f>
        <v/>
      </c>
      <c r="AD211">
        <f>IF([2]Baskol!$N$214="","",[2]Baskol!$N$214)</f>
        <v/>
      </c>
      <c r="AE211">
        <f>IF([2]Baskol!$O$214="","",[2]Baskol!$O$214)</f>
        <v/>
      </c>
      <c r="AG211">
        <f>IF([3]Entry!$C$214="","",[3]Entry!$C$214)</f>
        <v/>
      </c>
      <c r="AH211">
        <f>IF([3]Entry!$D$214="","",[3]Entry!$D$214)</f>
        <v/>
      </c>
      <c r="AI211">
        <f>IF([3]Entry!$E$214="","",[3]Entry!$E$214)</f>
        <v/>
      </c>
      <c r="AJ211">
        <f>IF([3]Entry!$G$214="","",[3]Entry!$G$214)</f>
        <v/>
      </c>
      <c r="AK211">
        <f>IF([3]Entry!$K$214="","",[3]Entry!$K$214)</f>
        <v/>
      </c>
      <c r="AL211">
        <f>IF([3]Entry!$L$214="","",[3]Entry!$L$214)</f>
        <v/>
      </c>
      <c r="AM211">
        <f>IF([3]Entry!$M$214="","",[3]Entry!$M$214)</f>
        <v/>
      </c>
      <c r="AN211">
        <f>IF([3]Entry!$N$214="","",[3]Entry!$N$214)</f>
        <v/>
      </c>
      <c r="AO211">
        <f>IF([3]Entry!$R$214="","",[3]Entry!$R$214)</f>
        <v/>
      </c>
      <c r="AQ211">
        <f>IF(AND($D211&lt;&gt;"",$A211&lt;&gt;""),1,0)</f>
        <v/>
      </c>
      <c r="AR211">
        <f>SUM($AQ$6:$AQ211)</f>
        <v/>
      </c>
      <c r="AS211">
        <f>IFERROR(INDEX($A$6:$A$565,MATCH(ROW()-5,$AR$6:$AR$565,0)),"")</f>
        <v/>
      </c>
    </row>
    <row r="212">
      <c r="A212">
        <f>IF([1]Accounts!$D$213="","",[1]Accounts!$A$213)</f>
        <v/>
      </c>
      <c r="B212">
        <f>IF([1]Accounts!$D$213="","",[1]Accounts!$B$213)</f>
        <v/>
      </c>
      <c r="C212">
        <f>IF([1]Accounts!$D$213="","",[1]Accounts!$C$213)</f>
        <v/>
      </c>
      <c r="D212">
        <f>IF([1]Accounts!$D$213="","",[1]Accounts!$D$213)</f>
        <v/>
      </c>
      <c r="E212">
        <f>IF([1]Accounts!$D$213="","",[1]Accounts!$J$213)</f>
        <v/>
      </c>
      <c r="F212">
        <f>IF([1]Accounts!$D$213="","",[1]Accounts!$K$213)</f>
        <v/>
      </c>
      <c r="U212">
        <f>IF([2]Baskol!$B$215="","",[2]Baskol!$B$215)</f>
        <v/>
      </c>
      <c r="V212">
        <f>IF([2]Baskol!$C$215="","",[2]Baskol!$C$215)</f>
        <v/>
      </c>
      <c r="W212">
        <f>IF([2]Baskol!$D$215="","",[2]Baskol!$D$215)</f>
        <v/>
      </c>
      <c r="X212">
        <f>IF([2]Baskol!$E$215="","",[2]Baskol!$E$215)</f>
        <v/>
      </c>
      <c r="Y212">
        <f>IF([2]Baskol!$G$215="","",[2]Baskol!$G$215)</f>
        <v/>
      </c>
      <c r="Z212">
        <f>IF([2]Baskol!$I$215="","",[2]Baskol!$I$215)</f>
        <v/>
      </c>
      <c r="AA212">
        <f>IF([2]Baskol!$J$215="","",[2]Baskol!$J$215)</f>
        <v/>
      </c>
      <c r="AB212">
        <f>IF([2]Baskol!$K$215="","",[2]Baskol!$K$215)</f>
        <v/>
      </c>
      <c r="AC212">
        <f>IF([2]Baskol!$L$215="","",[2]Baskol!$L$215)</f>
        <v/>
      </c>
      <c r="AD212">
        <f>IF([2]Baskol!$N$215="","",[2]Baskol!$N$215)</f>
        <v/>
      </c>
      <c r="AE212">
        <f>IF([2]Baskol!$O$215="","",[2]Baskol!$O$215)</f>
        <v/>
      </c>
      <c r="AG212">
        <f>IF([3]Entry!$C$215="","",[3]Entry!$C$215)</f>
        <v/>
      </c>
      <c r="AH212">
        <f>IF([3]Entry!$D$215="","",[3]Entry!$D$215)</f>
        <v/>
      </c>
      <c r="AI212">
        <f>IF([3]Entry!$E$215="","",[3]Entry!$E$215)</f>
        <v/>
      </c>
      <c r="AJ212">
        <f>IF([3]Entry!$G$215="","",[3]Entry!$G$215)</f>
        <v/>
      </c>
      <c r="AK212">
        <f>IF([3]Entry!$K$215="","",[3]Entry!$K$215)</f>
        <v/>
      </c>
      <c r="AL212">
        <f>IF([3]Entry!$L$215="","",[3]Entry!$L$215)</f>
        <v/>
      </c>
      <c r="AM212">
        <f>IF([3]Entry!$M$215="","",[3]Entry!$M$215)</f>
        <v/>
      </c>
      <c r="AN212">
        <f>IF([3]Entry!$N$215="","",[3]Entry!$N$215)</f>
        <v/>
      </c>
      <c r="AO212">
        <f>IF([3]Entry!$R$215="","",[3]Entry!$R$215)</f>
        <v/>
      </c>
      <c r="AQ212">
        <f>IF(AND($D212&lt;&gt;"",$A212&lt;&gt;""),1,0)</f>
        <v/>
      </c>
      <c r="AR212">
        <f>SUM($AQ$6:$AQ212)</f>
        <v/>
      </c>
      <c r="AS212">
        <f>IFERROR(INDEX($A$6:$A$565,MATCH(ROW()-5,$AR$6:$AR$565,0)),"")</f>
        <v/>
      </c>
    </row>
    <row r="213">
      <c r="A213">
        <f>IF([1]Accounts!$D$214="","",[1]Accounts!$A$214)</f>
        <v/>
      </c>
      <c r="B213">
        <f>IF([1]Accounts!$D$214="","",[1]Accounts!$B$214)</f>
        <v/>
      </c>
      <c r="C213">
        <f>IF([1]Accounts!$D$214="","",[1]Accounts!$C$214)</f>
        <v/>
      </c>
      <c r="D213">
        <f>IF([1]Accounts!$D$214="","",[1]Accounts!$D$214)</f>
        <v/>
      </c>
      <c r="E213">
        <f>IF([1]Accounts!$D$214="","",[1]Accounts!$J$214)</f>
        <v/>
      </c>
      <c r="F213">
        <f>IF([1]Accounts!$D$214="","",[1]Accounts!$K$214)</f>
        <v/>
      </c>
      <c r="U213">
        <f>IF([2]Baskol!$B$216="","",[2]Baskol!$B$216)</f>
        <v/>
      </c>
      <c r="V213">
        <f>IF([2]Baskol!$C$216="","",[2]Baskol!$C$216)</f>
        <v/>
      </c>
      <c r="W213">
        <f>IF([2]Baskol!$D$216="","",[2]Baskol!$D$216)</f>
        <v/>
      </c>
      <c r="X213">
        <f>IF([2]Baskol!$E$216="","",[2]Baskol!$E$216)</f>
        <v/>
      </c>
      <c r="Y213">
        <f>IF([2]Baskol!$G$216="","",[2]Baskol!$G$216)</f>
        <v/>
      </c>
      <c r="Z213">
        <f>IF([2]Baskol!$I$216="","",[2]Baskol!$I$216)</f>
        <v/>
      </c>
      <c r="AA213">
        <f>IF([2]Baskol!$J$216="","",[2]Baskol!$J$216)</f>
        <v/>
      </c>
      <c r="AB213">
        <f>IF([2]Baskol!$K$216="","",[2]Baskol!$K$216)</f>
        <v/>
      </c>
      <c r="AC213">
        <f>IF([2]Baskol!$L$216="","",[2]Baskol!$L$216)</f>
        <v/>
      </c>
      <c r="AD213">
        <f>IF([2]Baskol!$N$216="","",[2]Baskol!$N$216)</f>
        <v/>
      </c>
      <c r="AE213">
        <f>IF([2]Baskol!$O$216="","",[2]Baskol!$O$216)</f>
        <v/>
      </c>
      <c r="AG213">
        <f>IF([3]Entry!$C$216="","",[3]Entry!$C$216)</f>
        <v/>
      </c>
      <c r="AH213">
        <f>IF([3]Entry!$D$216="","",[3]Entry!$D$216)</f>
        <v/>
      </c>
      <c r="AI213">
        <f>IF([3]Entry!$E$216="","",[3]Entry!$E$216)</f>
        <v/>
      </c>
      <c r="AJ213">
        <f>IF([3]Entry!$G$216="","",[3]Entry!$G$216)</f>
        <v/>
      </c>
      <c r="AK213">
        <f>IF([3]Entry!$K$216="","",[3]Entry!$K$216)</f>
        <v/>
      </c>
      <c r="AL213">
        <f>IF([3]Entry!$L$216="","",[3]Entry!$L$216)</f>
        <v/>
      </c>
      <c r="AM213">
        <f>IF([3]Entry!$M$216="","",[3]Entry!$M$216)</f>
        <v/>
      </c>
      <c r="AN213">
        <f>IF([3]Entry!$N$216="","",[3]Entry!$N$216)</f>
        <v/>
      </c>
      <c r="AO213">
        <f>IF([3]Entry!$R$216="","",[3]Entry!$R$216)</f>
        <v/>
      </c>
      <c r="AQ213">
        <f>IF(AND($D213&lt;&gt;"",$A213&lt;&gt;""),1,0)</f>
        <v/>
      </c>
      <c r="AR213">
        <f>SUM($AQ$6:$AQ213)</f>
        <v/>
      </c>
      <c r="AS213">
        <f>IFERROR(INDEX($A$6:$A$565,MATCH(ROW()-5,$AR$6:$AR$565,0)),"")</f>
        <v/>
      </c>
    </row>
    <row r="214">
      <c r="A214">
        <f>IF([1]Accounts!$D$215="","",[1]Accounts!$A$215)</f>
        <v/>
      </c>
      <c r="B214">
        <f>IF([1]Accounts!$D$215="","",[1]Accounts!$B$215)</f>
        <v/>
      </c>
      <c r="C214">
        <f>IF([1]Accounts!$D$215="","",[1]Accounts!$C$215)</f>
        <v/>
      </c>
      <c r="D214">
        <f>IF([1]Accounts!$D$215="","",[1]Accounts!$D$215)</f>
        <v/>
      </c>
      <c r="E214">
        <f>IF([1]Accounts!$D$215="","",[1]Accounts!$J$215)</f>
        <v/>
      </c>
      <c r="F214">
        <f>IF([1]Accounts!$D$215="","",[1]Accounts!$K$215)</f>
        <v/>
      </c>
      <c r="U214">
        <f>IF([2]Baskol!$B$217="","",[2]Baskol!$B$217)</f>
        <v/>
      </c>
      <c r="V214">
        <f>IF([2]Baskol!$C$217="","",[2]Baskol!$C$217)</f>
        <v/>
      </c>
      <c r="W214">
        <f>IF([2]Baskol!$D$217="","",[2]Baskol!$D$217)</f>
        <v/>
      </c>
      <c r="X214">
        <f>IF([2]Baskol!$E$217="","",[2]Baskol!$E$217)</f>
        <v/>
      </c>
      <c r="Y214">
        <f>IF([2]Baskol!$G$217="","",[2]Baskol!$G$217)</f>
        <v/>
      </c>
      <c r="Z214">
        <f>IF([2]Baskol!$I$217="","",[2]Baskol!$I$217)</f>
        <v/>
      </c>
      <c r="AA214">
        <f>IF([2]Baskol!$J$217="","",[2]Baskol!$J$217)</f>
        <v/>
      </c>
      <c r="AB214">
        <f>IF([2]Baskol!$K$217="","",[2]Baskol!$K$217)</f>
        <v/>
      </c>
      <c r="AC214">
        <f>IF([2]Baskol!$L$217="","",[2]Baskol!$L$217)</f>
        <v/>
      </c>
      <c r="AD214">
        <f>IF([2]Baskol!$N$217="","",[2]Baskol!$N$217)</f>
        <v/>
      </c>
      <c r="AE214">
        <f>IF([2]Baskol!$O$217="","",[2]Baskol!$O$217)</f>
        <v/>
      </c>
      <c r="AG214">
        <f>IF([3]Entry!$C$217="","",[3]Entry!$C$217)</f>
        <v/>
      </c>
      <c r="AH214">
        <f>IF([3]Entry!$D$217="","",[3]Entry!$D$217)</f>
        <v/>
      </c>
      <c r="AI214">
        <f>IF([3]Entry!$E$217="","",[3]Entry!$E$217)</f>
        <v/>
      </c>
      <c r="AJ214">
        <f>IF([3]Entry!$G$217="","",[3]Entry!$G$217)</f>
        <v/>
      </c>
      <c r="AK214">
        <f>IF([3]Entry!$K$217="","",[3]Entry!$K$217)</f>
        <v/>
      </c>
      <c r="AL214">
        <f>IF([3]Entry!$L$217="","",[3]Entry!$L$217)</f>
        <v/>
      </c>
      <c r="AM214">
        <f>IF([3]Entry!$M$217="","",[3]Entry!$M$217)</f>
        <v/>
      </c>
      <c r="AN214">
        <f>IF([3]Entry!$N$217="","",[3]Entry!$N$217)</f>
        <v/>
      </c>
      <c r="AO214">
        <f>IF([3]Entry!$R$217="","",[3]Entry!$R$217)</f>
        <v/>
      </c>
      <c r="AQ214">
        <f>IF(AND($D214&lt;&gt;"",$A214&lt;&gt;""),1,0)</f>
        <v/>
      </c>
      <c r="AR214">
        <f>SUM($AQ$6:$AQ214)</f>
        <v/>
      </c>
      <c r="AS214">
        <f>IFERROR(INDEX($A$6:$A$565,MATCH(ROW()-5,$AR$6:$AR$565,0)),"")</f>
        <v/>
      </c>
    </row>
    <row r="215">
      <c r="A215">
        <f>IF([1]Accounts!$D$216="","",[1]Accounts!$A$216)</f>
        <v/>
      </c>
      <c r="B215">
        <f>IF([1]Accounts!$D$216="","",[1]Accounts!$B$216)</f>
        <v/>
      </c>
      <c r="C215">
        <f>IF([1]Accounts!$D$216="","",[1]Accounts!$C$216)</f>
        <v/>
      </c>
      <c r="D215">
        <f>IF([1]Accounts!$D$216="","",[1]Accounts!$D$216)</f>
        <v/>
      </c>
      <c r="E215">
        <f>IF([1]Accounts!$D$216="","",[1]Accounts!$J$216)</f>
        <v/>
      </c>
      <c r="F215">
        <f>IF([1]Accounts!$D$216="","",[1]Accounts!$K$216)</f>
        <v/>
      </c>
      <c r="U215">
        <f>IF([2]Baskol!$B$218="","",[2]Baskol!$B$218)</f>
        <v/>
      </c>
      <c r="V215">
        <f>IF([2]Baskol!$C$218="","",[2]Baskol!$C$218)</f>
        <v/>
      </c>
      <c r="W215">
        <f>IF([2]Baskol!$D$218="","",[2]Baskol!$D$218)</f>
        <v/>
      </c>
      <c r="X215">
        <f>IF([2]Baskol!$E$218="","",[2]Baskol!$E$218)</f>
        <v/>
      </c>
      <c r="Y215">
        <f>IF([2]Baskol!$G$218="","",[2]Baskol!$G$218)</f>
        <v/>
      </c>
      <c r="Z215">
        <f>IF([2]Baskol!$I$218="","",[2]Baskol!$I$218)</f>
        <v/>
      </c>
      <c r="AA215">
        <f>IF([2]Baskol!$J$218="","",[2]Baskol!$J$218)</f>
        <v/>
      </c>
      <c r="AB215">
        <f>IF([2]Baskol!$K$218="","",[2]Baskol!$K$218)</f>
        <v/>
      </c>
      <c r="AC215">
        <f>IF([2]Baskol!$L$218="","",[2]Baskol!$L$218)</f>
        <v/>
      </c>
      <c r="AD215">
        <f>IF([2]Baskol!$N$218="","",[2]Baskol!$N$218)</f>
        <v/>
      </c>
      <c r="AE215">
        <f>IF([2]Baskol!$O$218="","",[2]Baskol!$O$218)</f>
        <v/>
      </c>
      <c r="AG215">
        <f>IF([3]Entry!$C$218="","",[3]Entry!$C$218)</f>
        <v/>
      </c>
      <c r="AH215">
        <f>IF([3]Entry!$D$218="","",[3]Entry!$D$218)</f>
        <v/>
      </c>
      <c r="AI215">
        <f>IF([3]Entry!$E$218="","",[3]Entry!$E$218)</f>
        <v/>
      </c>
      <c r="AJ215">
        <f>IF([3]Entry!$G$218="","",[3]Entry!$G$218)</f>
        <v/>
      </c>
      <c r="AK215">
        <f>IF([3]Entry!$K$218="","",[3]Entry!$K$218)</f>
        <v/>
      </c>
      <c r="AL215">
        <f>IF([3]Entry!$L$218="","",[3]Entry!$L$218)</f>
        <v/>
      </c>
      <c r="AM215">
        <f>IF([3]Entry!$M$218="","",[3]Entry!$M$218)</f>
        <v/>
      </c>
      <c r="AN215">
        <f>IF([3]Entry!$N$218="","",[3]Entry!$N$218)</f>
        <v/>
      </c>
      <c r="AO215">
        <f>IF([3]Entry!$R$218="","",[3]Entry!$R$218)</f>
        <v/>
      </c>
      <c r="AQ215">
        <f>IF(AND($D215&lt;&gt;"",$A215&lt;&gt;""),1,0)</f>
        <v/>
      </c>
      <c r="AR215">
        <f>SUM($AQ$6:$AQ215)</f>
        <v/>
      </c>
      <c r="AS215">
        <f>IFERROR(INDEX($A$6:$A$565,MATCH(ROW()-5,$AR$6:$AR$565,0)),"")</f>
        <v/>
      </c>
    </row>
    <row r="216">
      <c r="A216">
        <f>IF([1]Accounts!$D$217="","",[1]Accounts!$A$217)</f>
        <v/>
      </c>
      <c r="B216">
        <f>IF([1]Accounts!$D$217="","",[1]Accounts!$B$217)</f>
        <v/>
      </c>
      <c r="C216">
        <f>IF([1]Accounts!$D$217="","",[1]Accounts!$C$217)</f>
        <v/>
      </c>
      <c r="D216">
        <f>IF([1]Accounts!$D$217="","",[1]Accounts!$D$217)</f>
        <v/>
      </c>
      <c r="E216">
        <f>IF([1]Accounts!$D$217="","",[1]Accounts!$J$217)</f>
        <v/>
      </c>
      <c r="F216">
        <f>IF([1]Accounts!$D$217="","",[1]Accounts!$K$217)</f>
        <v/>
      </c>
      <c r="U216">
        <f>IF([2]Baskol!$B$219="","",[2]Baskol!$B$219)</f>
        <v/>
      </c>
      <c r="V216">
        <f>IF([2]Baskol!$C$219="","",[2]Baskol!$C$219)</f>
        <v/>
      </c>
      <c r="W216">
        <f>IF([2]Baskol!$D$219="","",[2]Baskol!$D$219)</f>
        <v/>
      </c>
      <c r="X216">
        <f>IF([2]Baskol!$E$219="","",[2]Baskol!$E$219)</f>
        <v/>
      </c>
      <c r="Y216">
        <f>IF([2]Baskol!$G$219="","",[2]Baskol!$G$219)</f>
        <v/>
      </c>
      <c r="Z216">
        <f>IF([2]Baskol!$I$219="","",[2]Baskol!$I$219)</f>
        <v/>
      </c>
      <c r="AA216">
        <f>IF([2]Baskol!$J$219="","",[2]Baskol!$J$219)</f>
        <v/>
      </c>
      <c r="AB216">
        <f>IF([2]Baskol!$K$219="","",[2]Baskol!$K$219)</f>
        <v/>
      </c>
      <c r="AC216">
        <f>IF([2]Baskol!$L$219="","",[2]Baskol!$L$219)</f>
        <v/>
      </c>
      <c r="AD216">
        <f>IF([2]Baskol!$N$219="","",[2]Baskol!$N$219)</f>
        <v/>
      </c>
      <c r="AE216">
        <f>IF([2]Baskol!$O$219="","",[2]Baskol!$O$219)</f>
        <v/>
      </c>
      <c r="AG216">
        <f>IF([3]Entry!$C$219="","",[3]Entry!$C$219)</f>
        <v/>
      </c>
      <c r="AH216">
        <f>IF([3]Entry!$D$219="","",[3]Entry!$D$219)</f>
        <v/>
      </c>
      <c r="AI216">
        <f>IF([3]Entry!$E$219="","",[3]Entry!$E$219)</f>
        <v/>
      </c>
      <c r="AJ216">
        <f>IF([3]Entry!$G$219="","",[3]Entry!$G$219)</f>
        <v/>
      </c>
      <c r="AK216">
        <f>IF([3]Entry!$K$219="","",[3]Entry!$K$219)</f>
        <v/>
      </c>
      <c r="AL216">
        <f>IF([3]Entry!$L$219="","",[3]Entry!$L$219)</f>
        <v/>
      </c>
      <c r="AM216">
        <f>IF([3]Entry!$M$219="","",[3]Entry!$M$219)</f>
        <v/>
      </c>
      <c r="AN216">
        <f>IF([3]Entry!$N$219="","",[3]Entry!$N$219)</f>
        <v/>
      </c>
      <c r="AO216">
        <f>IF([3]Entry!$R$219="","",[3]Entry!$R$219)</f>
        <v/>
      </c>
      <c r="AQ216">
        <f>IF(AND($D216&lt;&gt;"",$A216&lt;&gt;""),1,0)</f>
        <v/>
      </c>
      <c r="AR216">
        <f>SUM($AQ$6:$AQ216)</f>
        <v/>
      </c>
      <c r="AS216">
        <f>IFERROR(INDEX($A$6:$A$565,MATCH(ROW()-5,$AR$6:$AR$565,0)),"")</f>
        <v/>
      </c>
    </row>
    <row r="217">
      <c r="A217">
        <f>IF([1]Accounts!$D$218="","",[1]Accounts!$A$218)</f>
        <v/>
      </c>
      <c r="B217">
        <f>IF([1]Accounts!$D$218="","",[1]Accounts!$B$218)</f>
        <v/>
      </c>
      <c r="C217">
        <f>IF([1]Accounts!$D$218="","",[1]Accounts!$C$218)</f>
        <v/>
      </c>
      <c r="D217">
        <f>IF([1]Accounts!$D$218="","",[1]Accounts!$D$218)</f>
        <v/>
      </c>
      <c r="E217">
        <f>IF([1]Accounts!$D$218="","",[1]Accounts!$J$218)</f>
        <v/>
      </c>
      <c r="F217">
        <f>IF([1]Accounts!$D$218="","",[1]Accounts!$K$218)</f>
        <v/>
      </c>
      <c r="U217">
        <f>IF([2]Baskol!$B$220="","",[2]Baskol!$B$220)</f>
        <v/>
      </c>
      <c r="V217">
        <f>IF([2]Baskol!$C$220="","",[2]Baskol!$C$220)</f>
        <v/>
      </c>
      <c r="W217">
        <f>IF([2]Baskol!$D$220="","",[2]Baskol!$D$220)</f>
        <v/>
      </c>
      <c r="X217">
        <f>IF([2]Baskol!$E$220="","",[2]Baskol!$E$220)</f>
        <v/>
      </c>
      <c r="Y217">
        <f>IF([2]Baskol!$G$220="","",[2]Baskol!$G$220)</f>
        <v/>
      </c>
      <c r="Z217">
        <f>IF([2]Baskol!$I$220="","",[2]Baskol!$I$220)</f>
        <v/>
      </c>
      <c r="AA217">
        <f>IF([2]Baskol!$J$220="","",[2]Baskol!$J$220)</f>
        <v/>
      </c>
      <c r="AB217">
        <f>IF([2]Baskol!$K$220="","",[2]Baskol!$K$220)</f>
        <v/>
      </c>
      <c r="AC217">
        <f>IF([2]Baskol!$L$220="","",[2]Baskol!$L$220)</f>
        <v/>
      </c>
      <c r="AD217">
        <f>IF([2]Baskol!$N$220="","",[2]Baskol!$N$220)</f>
        <v/>
      </c>
      <c r="AE217">
        <f>IF([2]Baskol!$O$220="","",[2]Baskol!$O$220)</f>
        <v/>
      </c>
      <c r="AG217">
        <f>IF([3]Entry!$C$220="","",[3]Entry!$C$220)</f>
        <v/>
      </c>
      <c r="AH217">
        <f>IF([3]Entry!$D$220="","",[3]Entry!$D$220)</f>
        <v/>
      </c>
      <c r="AI217">
        <f>IF([3]Entry!$E$220="","",[3]Entry!$E$220)</f>
        <v/>
      </c>
      <c r="AJ217">
        <f>IF([3]Entry!$G$220="","",[3]Entry!$G$220)</f>
        <v/>
      </c>
      <c r="AK217">
        <f>IF([3]Entry!$K$220="","",[3]Entry!$K$220)</f>
        <v/>
      </c>
      <c r="AL217">
        <f>IF([3]Entry!$L$220="","",[3]Entry!$L$220)</f>
        <v/>
      </c>
      <c r="AM217">
        <f>IF([3]Entry!$M$220="","",[3]Entry!$M$220)</f>
        <v/>
      </c>
      <c r="AN217">
        <f>IF([3]Entry!$N$220="","",[3]Entry!$N$220)</f>
        <v/>
      </c>
      <c r="AO217">
        <f>IF([3]Entry!$R$220="","",[3]Entry!$R$220)</f>
        <v/>
      </c>
      <c r="AQ217">
        <f>IF(AND($D217&lt;&gt;"",$A217&lt;&gt;""),1,0)</f>
        <v/>
      </c>
      <c r="AR217">
        <f>SUM($AQ$6:$AQ217)</f>
        <v/>
      </c>
      <c r="AS217">
        <f>IFERROR(INDEX($A$6:$A$565,MATCH(ROW()-5,$AR$6:$AR$565,0)),"")</f>
        <v/>
      </c>
    </row>
    <row r="218">
      <c r="A218">
        <f>IF([1]Accounts!$D$219="","",[1]Accounts!$A$219)</f>
        <v/>
      </c>
      <c r="B218">
        <f>IF([1]Accounts!$D$219="","",[1]Accounts!$B$219)</f>
        <v/>
      </c>
      <c r="C218">
        <f>IF([1]Accounts!$D$219="","",[1]Accounts!$C$219)</f>
        <v/>
      </c>
      <c r="D218">
        <f>IF([1]Accounts!$D$219="","",[1]Accounts!$D$219)</f>
        <v/>
      </c>
      <c r="E218">
        <f>IF([1]Accounts!$D$219="","",[1]Accounts!$J$219)</f>
        <v/>
      </c>
      <c r="F218">
        <f>IF([1]Accounts!$D$219="","",[1]Accounts!$K$219)</f>
        <v/>
      </c>
      <c r="U218">
        <f>IF([2]Baskol!$B$221="","",[2]Baskol!$B$221)</f>
        <v/>
      </c>
      <c r="V218">
        <f>IF([2]Baskol!$C$221="","",[2]Baskol!$C$221)</f>
        <v/>
      </c>
      <c r="W218">
        <f>IF([2]Baskol!$D$221="","",[2]Baskol!$D$221)</f>
        <v/>
      </c>
      <c r="X218">
        <f>IF([2]Baskol!$E$221="","",[2]Baskol!$E$221)</f>
        <v/>
      </c>
      <c r="Y218">
        <f>IF([2]Baskol!$G$221="","",[2]Baskol!$G$221)</f>
        <v/>
      </c>
      <c r="Z218">
        <f>IF([2]Baskol!$I$221="","",[2]Baskol!$I$221)</f>
        <v/>
      </c>
      <c r="AA218">
        <f>IF([2]Baskol!$J$221="","",[2]Baskol!$J$221)</f>
        <v/>
      </c>
      <c r="AB218">
        <f>IF([2]Baskol!$K$221="","",[2]Baskol!$K$221)</f>
        <v/>
      </c>
      <c r="AC218">
        <f>IF([2]Baskol!$L$221="","",[2]Baskol!$L$221)</f>
        <v/>
      </c>
      <c r="AD218">
        <f>IF([2]Baskol!$N$221="","",[2]Baskol!$N$221)</f>
        <v/>
      </c>
      <c r="AE218">
        <f>IF([2]Baskol!$O$221="","",[2]Baskol!$O$221)</f>
        <v/>
      </c>
      <c r="AG218">
        <f>IF([3]Entry!$C$221="","",[3]Entry!$C$221)</f>
        <v/>
      </c>
      <c r="AH218">
        <f>IF([3]Entry!$D$221="","",[3]Entry!$D$221)</f>
        <v/>
      </c>
      <c r="AI218">
        <f>IF([3]Entry!$E$221="","",[3]Entry!$E$221)</f>
        <v/>
      </c>
      <c r="AJ218">
        <f>IF([3]Entry!$G$221="","",[3]Entry!$G$221)</f>
        <v/>
      </c>
      <c r="AK218">
        <f>IF([3]Entry!$K$221="","",[3]Entry!$K$221)</f>
        <v/>
      </c>
      <c r="AL218">
        <f>IF([3]Entry!$L$221="","",[3]Entry!$L$221)</f>
        <v/>
      </c>
      <c r="AM218">
        <f>IF([3]Entry!$M$221="","",[3]Entry!$M$221)</f>
        <v/>
      </c>
      <c r="AN218">
        <f>IF([3]Entry!$N$221="","",[3]Entry!$N$221)</f>
        <v/>
      </c>
      <c r="AO218">
        <f>IF([3]Entry!$R$221="","",[3]Entry!$R$221)</f>
        <v/>
      </c>
      <c r="AQ218">
        <f>IF(AND($D218&lt;&gt;"",$A218&lt;&gt;""),1,0)</f>
        <v/>
      </c>
      <c r="AR218">
        <f>SUM($AQ$6:$AQ218)</f>
        <v/>
      </c>
      <c r="AS218">
        <f>IFERROR(INDEX($A$6:$A$565,MATCH(ROW()-5,$AR$6:$AR$565,0)),"")</f>
        <v/>
      </c>
    </row>
    <row r="219">
      <c r="A219">
        <f>IF([1]Accounts!$D$220="","",[1]Accounts!$A$220)</f>
        <v/>
      </c>
      <c r="B219">
        <f>IF([1]Accounts!$D$220="","",[1]Accounts!$B$220)</f>
        <v/>
      </c>
      <c r="C219">
        <f>IF([1]Accounts!$D$220="","",[1]Accounts!$C$220)</f>
        <v/>
      </c>
      <c r="D219">
        <f>IF([1]Accounts!$D$220="","",[1]Accounts!$D$220)</f>
        <v/>
      </c>
      <c r="E219">
        <f>IF([1]Accounts!$D$220="","",[1]Accounts!$J$220)</f>
        <v/>
      </c>
      <c r="F219">
        <f>IF([1]Accounts!$D$220="","",[1]Accounts!$K$220)</f>
        <v/>
      </c>
      <c r="U219">
        <f>IF([2]Baskol!$B$222="","",[2]Baskol!$B$222)</f>
        <v/>
      </c>
      <c r="V219">
        <f>IF([2]Baskol!$C$222="","",[2]Baskol!$C$222)</f>
        <v/>
      </c>
      <c r="W219">
        <f>IF([2]Baskol!$D$222="","",[2]Baskol!$D$222)</f>
        <v/>
      </c>
      <c r="X219">
        <f>IF([2]Baskol!$E$222="","",[2]Baskol!$E$222)</f>
        <v/>
      </c>
      <c r="Y219">
        <f>IF([2]Baskol!$G$222="","",[2]Baskol!$G$222)</f>
        <v/>
      </c>
      <c r="Z219">
        <f>IF([2]Baskol!$I$222="","",[2]Baskol!$I$222)</f>
        <v/>
      </c>
      <c r="AA219">
        <f>IF([2]Baskol!$J$222="","",[2]Baskol!$J$222)</f>
        <v/>
      </c>
      <c r="AB219">
        <f>IF([2]Baskol!$K$222="","",[2]Baskol!$K$222)</f>
        <v/>
      </c>
      <c r="AC219">
        <f>IF([2]Baskol!$L$222="","",[2]Baskol!$L$222)</f>
        <v/>
      </c>
      <c r="AD219">
        <f>IF([2]Baskol!$N$222="","",[2]Baskol!$N$222)</f>
        <v/>
      </c>
      <c r="AE219">
        <f>IF([2]Baskol!$O$222="","",[2]Baskol!$O$222)</f>
        <v/>
      </c>
      <c r="AG219">
        <f>IF([3]Entry!$C$222="","",[3]Entry!$C$222)</f>
        <v/>
      </c>
      <c r="AH219">
        <f>IF([3]Entry!$D$222="","",[3]Entry!$D$222)</f>
        <v/>
      </c>
      <c r="AI219">
        <f>IF([3]Entry!$E$222="","",[3]Entry!$E$222)</f>
        <v/>
      </c>
      <c r="AJ219">
        <f>IF([3]Entry!$G$222="","",[3]Entry!$G$222)</f>
        <v/>
      </c>
      <c r="AK219">
        <f>IF([3]Entry!$K$222="","",[3]Entry!$K$222)</f>
        <v/>
      </c>
      <c r="AL219">
        <f>IF([3]Entry!$L$222="","",[3]Entry!$L$222)</f>
        <v/>
      </c>
      <c r="AM219">
        <f>IF([3]Entry!$M$222="","",[3]Entry!$M$222)</f>
        <v/>
      </c>
      <c r="AN219">
        <f>IF([3]Entry!$N$222="","",[3]Entry!$N$222)</f>
        <v/>
      </c>
      <c r="AO219">
        <f>IF([3]Entry!$R$222="","",[3]Entry!$R$222)</f>
        <v/>
      </c>
      <c r="AQ219">
        <f>IF(AND($D219&lt;&gt;"",$A219&lt;&gt;""),1,0)</f>
        <v/>
      </c>
      <c r="AR219">
        <f>SUM($AQ$6:$AQ219)</f>
        <v/>
      </c>
      <c r="AS219">
        <f>IFERROR(INDEX($A$6:$A$565,MATCH(ROW()-5,$AR$6:$AR$565,0)),"")</f>
        <v/>
      </c>
    </row>
    <row r="220">
      <c r="A220">
        <f>IF([1]Accounts!$D$221="","",[1]Accounts!$A$221)</f>
        <v/>
      </c>
      <c r="B220">
        <f>IF([1]Accounts!$D$221="","",[1]Accounts!$B$221)</f>
        <v/>
      </c>
      <c r="C220">
        <f>IF([1]Accounts!$D$221="","",[1]Accounts!$C$221)</f>
        <v/>
      </c>
      <c r="D220">
        <f>IF([1]Accounts!$D$221="","",[1]Accounts!$D$221)</f>
        <v/>
      </c>
      <c r="E220">
        <f>IF([1]Accounts!$D$221="","",[1]Accounts!$J$221)</f>
        <v/>
      </c>
      <c r="F220">
        <f>IF([1]Accounts!$D$221="","",[1]Accounts!$K$221)</f>
        <v/>
      </c>
      <c r="U220">
        <f>IF([2]Baskol!$B$223="","",[2]Baskol!$B$223)</f>
        <v/>
      </c>
      <c r="V220">
        <f>IF([2]Baskol!$C$223="","",[2]Baskol!$C$223)</f>
        <v/>
      </c>
      <c r="W220">
        <f>IF([2]Baskol!$D$223="","",[2]Baskol!$D$223)</f>
        <v/>
      </c>
      <c r="X220">
        <f>IF([2]Baskol!$E$223="","",[2]Baskol!$E$223)</f>
        <v/>
      </c>
      <c r="Y220">
        <f>IF([2]Baskol!$G$223="","",[2]Baskol!$G$223)</f>
        <v/>
      </c>
      <c r="Z220">
        <f>IF([2]Baskol!$I$223="","",[2]Baskol!$I$223)</f>
        <v/>
      </c>
      <c r="AA220">
        <f>IF([2]Baskol!$J$223="","",[2]Baskol!$J$223)</f>
        <v/>
      </c>
      <c r="AB220">
        <f>IF([2]Baskol!$K$223="","",[2]Baskol!$K$223)</f>
        <v/>
      </c>
      <c r="AC220">
        <f>IF([2]Baskol!$L$223="","",[2]Baskol!$L$223)</f>
        <v/>
      </c>
      <c r="AD220">
        <f>IF([2]Baskol!$N$223="","",[2]Baskol!$N$223)</f>
        <v/>
      </c>
      <c r="AE220">
        <f>IF([2]Baskol!$O$223="","",[2]Baskol!$O$223)</f>
        <v/>
      </c>
      <c r="AG220">
        <f>IF([3]Entry!$C$223="","",[3]Entry!$C$223)</f>
        <v/>
      </c>
      <c r="AH220">
        <f>IF([3]Entry!$D$223="","",[3]Entry!$D$223)</f>
        <v/>
      </c>
      <c r="AI220">
        <f>IF([3]Entry!$E$223="","",[3]Entry!$E$223)</f>
        <v/>
      </c>
      <c r="AJ220">
        <f>IF([3]Entry!$G$223="","",[3]Entry!$G$223)</f>
        <v/>
      </c>
      <c r="AK220">
        <f>IF([3]Entry!$K$223="","",[3]Entry!$K$223)</f>
        <v/>
      </c>
      <c r="AL220">
        <f>IF([3]Entry!$L$223="","",[3]Entry!$L$223)</f>
        <v/>
      </c>
      <c r="AM220">
        <f>IF([3]Entry!$M$223="","",[3]Entry!$M$223)</f>
        <v/>
      </c>
      <c r="AN220">
        <f>IF([3]Entry!$N$223="","",[3]Entry!$N$223)</f>
        <v/>
      </c>
      <c r="AO220">
        <f>IF([3]Entry!$R$223="","",[3]Entry!$R$223)</f>
        <v/>
      </c>
      <c r="AQ220">
        <f>IF(AND($D220&lt;&gt;"",$A220&lt;&gt;""),1,0)</f>
        <v/>
      </c>
      <c r="AR220">
        <f>SUM($AQ$6:$AQ220)</f>
        <v/>
      </c>
      <c r="AS220">
        <f>IFERROR(INDEX($A$6:$A$565,MATCH(ROW()-5,$AR$6:$AR$565,0)),"")</f>
        <v/>
      </c>
    </row>
    <row r="221">
      <c r="A221">
        <f>IF([1]Accounts!$D$222="","",[1]Accounts!$A$222)</f>
        <v/>
      </c>
      <c r="B221">
        <f>IF([1]Accounts!$D$222="","",[1]Accounts!$B$222)</f>
        <v/>
      </c>
      <c r="C221">
        <f>IF([1]Accounts!$D$222="","",[1]Accounts!$C$222)</f>
        <v/>
      </c>
      <c r="D221">
        <f>IF([1]Accounts!$D$222="","",[1]Accounts!$D$222)</f>
        <v/>
      </c>
      <c r="E221">
        <f>IF([1]Accounts!$D$222="","",[1]Accounts!$J$222)</f>
        <v/>
      </c>
      <c r="F221">
        <f>IF([1]Accounts!$D$222="","",[1]Accounts!$K$222)</f>
        <v/>
      </c>
      <c r="U221">
        <f>IF([2]Baskol!$B$224="","",[2]Baskol!$B$224)</f>
        <v/>
      </c>
      <c r="V221">
        <f>IF([2]Baskol!$C$224="","",[2]Baskol!$C$224)</f>
        <v/>
      </c>
      <c r="W221">
        <f>IF([2]Baskol!$D$224="","",[2]Baskol!$D$224)</f>
        <v/>
      </c>
      <c r="X221">
        <f>IF([2]Baskol!$E$224="","",[2]Baskol!$E$224)</f>
        <v/>
      </c>
      <c r="Y221">
        <f>IF([2]Baskol!$G$224="","",[2]Baskol!$G$224)</f>
        <v/>
      </c>
      <c r="Z221">
        <f>IF([2]Baskol!$I$224="","",[2]Baskol!$I$224)</f>
        <v/>
      </c>
      <c r="AA221">
        <f>IF([2]Baskol!$J$224="","",[2]Baskol!$J$224)</f>
        <v/>
      </c>
      <c r="AB221">
        <f>IF([2]Baskol!$K$224="","",[2]Baskol!$K$224)</f>
        <v/>
      </c>
      <c r="AC221">
        <f>IF([2]Baskol!$L$224="","",[2]Baskol!$L$224)</f>
        <v/>
      </c>
      <c r="AD221">
        <f>IF([2]Baskol!$N$224="","",[2]Baskol!$N$224)</f>
        <v/>
      </c>
      <c r="AE221">
        <f>IF([2]Baskol!$O$224="","",[2]Baskol!$O$224)</f>
        <v/>
      </c>
      <c r="AG221">
        <f>IF([3]Entry!$C$224="","",[3]Entry!$C$224)</f>
        <v/>
      </c>
      <c r="AH221">
        <f>IF([3]Entry!$D$224="","",[3]Entry!$D$224)</f>
        <v/>
      </c>
      <c r="AI221">
        <f>IF([3]Entry!$E$224="","",[3]Entry!$E$224)</f>
        <v/>
      </c>
      <c r="AJ221">
        <f>IF([3]Entry!$G$224="","",[3]Entry!$G$224)</f>
        <v/>
      </c>
      <c r="AK221">
        <f>IF([3]Entry!$K$224="","",[3]Entry!$K$224)</f>
        <v/>
      </c>
      <c r="AL221">
        <f>IF([3]Entry!$L$224="","",[3]Entry!$L$224)</f>
        <v/>
      </c>
      <c r="AM221">
        <f>IF([3]Entry!$M$224="","",[3]Entry!$M$224)</f>
        <v/>
      </c>
      <c r="AN221">
        <f>IF([3]Entry!$N$224="","",[3]Entry!$N$224)</f>
        <v/>
      </c>
      <c r="AO221">
        <f>IF([3]Entry!$R$224="","",[3]Entry!$R$224)</f>
        <v/>
      </c>
      <c r="AQ221">
        <f>IF(AND($D221&lt;&gt;"",$A221&lt;&gt;""),1,0)</f>
        <v/>
      </c>
      <c r="AR221">
        <f>SUM($AQ$6:$AQ221)</f>
        <v/>
      </c>
      <c r="AS221">
        <f>IFERROR(INDEX($A$6:$A$565,MATCH(ROW()-5,$AR$6:$AR$565,0)),"")</f>
        <v/>
      </c>
    </row>
    <row r="222">
      <c r="A222">
        <f>IF([1]Accounts!$D$223="","",[1]Accounts!$A$223)</f>
        <v/>
      </c>
      <c r="B222">
        <f>IF([1]Accounts!$D$223="","",[1]Accounts!$B$223)</f>
        <v/>
      </c>
      <c r="C222">
        <f>IF([1]Accounts!$D$223="","",[1]Accounts!$C$223)</f>
        <v/>
      </c>
      <c r="D222">
        <f>IF([1]Accounts!$D$223="","",[1]Accounts!$D$223)</f>
        <v/>
      </c>
      <c r="E222">
        <f>IF([1]Accounts!$D$223="","",[1]Accounts!$J$223)</f>
        <v/>
      </c>
      <c r="F222">
        <f>IF([1]Accounts!$D$223="","",[1]Accounts!$K$223)</f>
        <v/>
      </c>
      <c r="U222">
        <f>IF([2]Baskol!$B$225="","",[2]Baskol!$B$225)</f>
        <v/>
      </c>
      <c r="V222">
        <f>IF([2]Baskol!$C$225="","",[2]Baskol!$C$225)</f>
        <v/>
      </c>
      <c r="W222">
        <f>IF([2]Baskol!$D$225="","",[2]Baskol!$D$225)</f>
        <v/>
      </c>
      <c r="X222">
        <f>IF([2]Baskol!$E$225="","",[2]Baskol!$E$225)</f>
        <v/>
      </c>
      <c r="Y222">
        <f>IF([2]Baskol!$G$225="","",[2]Baskol!$G$225)</f>
        <v/>
      </c>
      <c r="Z222">
        <f>IF([2]Baskol!$I$225="","",[2]Baskol!$I$225)</f>
        <v/>
      </c>
      <c r="AA222">
        <f>IF([2]Baskol!$J$225="","",[2]Baskol!$J$225)</f>
        <v/>
      </c>
      <c r="AB222">
        <f>IF([2]Baskol!$K$225="","",[2]Baskol!$K$225)</f>
        <v/>
      </c>
      <c r="AC222">
        <f>IF([2]Baskol!$L$225="","",[2]Baskol!$L$225)</f>
        <v/>
      </c>
      <c r="AD222">
        <f>IF([2]Baskol!$N$225="","",[2]Baskol!$N$225)</f>
        <v/>
      </c>
      <c r="AE222">
        <f>IF([2]Baskol!$O$225="","",[2]Baskol!$O$225)</f>
        <v/>
      </c>
      <c r="AG222">
        <f>IF([3]Entry!$C$225="","",[3]Entry!$C$225)</f>
        <v/>
      </c>
      <c r="AH222">
        <f>IF([3]Entry!$D$225="","",[3]Entry!$D$225)</f>
        <v/>
      </c>
      <c r="AI222">
        <f>IF([3]Entry!$E$225="","",[3]Entry!$E$225)</f>
        <v/>
      </c>
      <c r="AJ222">
        <f>IF([3]Entry!$G$225="","",[3]Entry!$G$225)</f>
        <v/>
      </c>
      <c r="AK222">
        <f>IF([3]Entry!$K$225="","",[3]Entry!$K$225)</f>
        <v/>
      </c>
      <c r="AL222">
        <f>IF([3]Entry!$L$225="","",[3]Entry!$L$225)</f>
        <v/>
      </c>
      <c r="AM222">
        <f>IF([3]Entry!$M$225="","",[3]Entry!$M$225)</f>
        <v/>
      </c>
      <c r="AN222">
        <f>IF([3]Entry!$N$225="","",[3]Entry!$N$225)</f>
        <v/>
      </c>
      <c r="AO222">
        <f>IF([3]Entry!$R$225="","",[3]Entry!$R$225)</f>
        <v/>
      </c>
      <c r="AQ222">
        <f>IF(AND($D222&lt;&gt;"",$A222&lt;&gt;""),1,0)</f>
        <v/>
      </c>
      <c r="AR222">
        <f>SUM($AQ$6:$AQ222)</f>
        <v/>
      </c>
      <c r="AS222">
        <f>IFERROR(INDEX($A$6:$A$565,MATCH(ROW()-5,$AR$6:$AR$565,0)),"")</f>
        <v/>
      </c>
    </row>
    <row r="223">
      <c r="A223">
        <f>IF([1]Accounts!$D$224="","",[1]Accounts!$A$224)</f>
        <v/>
      </c>
      <c r="B223">
        <f>IF([1]Accounts!$D$224="","",[1]Accounts!$B$224)</f>
        <v/>
      </c>
      <c r="C223">
        <f>IF([1]Accounts!$D$224="","",[1]Accounts!$C$224)</f>
        <v/>
      </c>
      <c r="D223">
        <f>IF([1]Accounts!$D$224="","",[1]Accounts!$D$224)</f>
        <v/>
      </c>
      <c r="E223">
        <f>IF([1]Accounts!$D$224="","",[1]Accounts!$J$224)</f>
        <v/>
      </c>
      <c r="F223">
        <f>IF([1]Accounts!$D$224="","",[1]Accounts!$K$224)</f>
        <v/>
      </c>
      <c r="U223">
        <f>IF([2]Baskol!$B$226="","",[2]Baskol!$B$226)</f>
        <v/>
      </c>
      <c r="V223">
        <f>IF([2]Baskol!$C$226="","",[2]Baskol!$C$226)</f>
        <v/>
      </c>
      <c r="W223">
        <f>IF([2]Baskol!$D$226="","",[2]Baskol!$D$226)</f>
        <v/>
      </c>
      <c r="X223">
        <f>IF([2]Baskol!$E$226="","",[2]Baskol!$E$226)</f>
        <v/>
      </c>
      <c r="Y223">
        <f>IF([2]Baskol!$G$226="","",[2]Baskol!$G$226)</f>
        <v/>
      </c>
      <c r="Z223">
        <f>IF([2]Baskol!$I$226="","",[2]Baskol!$I$226)</f>
        <v/>
      </c>
      <c r="AA223">
        <f>IF([2]Baskol!$J$226="","",[2]Baskol!$J$226)</f>
        <v/>
      </c>
      <c r="AB223">
        <f>IF([2]Baskol!$K$226="","",[2]Baskol!$K$226)</f>
        <v/>
      </c>
      <c r="AC223">
        <f>IF([2]Baskol!$L$226="","",[2]Baskol!$L$226)</f>
        <v/>
      </c>
      <c r="AD223">
        <f>IF([2]Baskol!$N$226="","",[2]Baskol!$N$226)</f>
        <v/>
      </c>
      <c r="AE223">
        <f>IF([2]Baskol!$O$226="","",[2]Baskol!$O$226)</f>
        <v/>
      </c>
      <c r="AG223">
        <f>IF([3]Entry!$C$226="","",[3]Entry!$C$226)</f>
        <v/>
      </c>
      <c r="AH223">
        <f>IF([3]Entry!$D$226="","",[3]Entry!$D$226)</f>
        <v/>
      </c>
      <c r="AI223">
        <f>IF([3]Entry!$E$226="","",[3]Entry!$E$226)</f>
        <v/>
      </c>
      <c r="AJ223">
        <f>IF([3]Entry!$G$226="","",[3]Entry!$G$226)</f>
        <v/>
      </c>
      <c r="AK223">
        <f>IF([3]Entry!$K$226="","",[3]Entry!$K$226)</f>
        <v/>
      </c>
      <c r="AL223">
        <f>IF([3]Entry!$L$226="","",[3]Entry!$L$226)</f>
        <v/>
      </c>
      <c r="AM223">
        <f>IF([3]Entry!$M$226="","",[3]Entry!$M$226)</f>
        <v/>
      </c>
      <c r="AN223">
        <f>IF([3]Entry!$N$226="","",[3]Entry!$N$226)</f>
        <v/>
      </c>
      <c r="AO223">
        <f>IF([3]Entry!$R$226="","",[3]Entry!$R$226)</f>
        <v/>
      </c>
      <c r="AQ223">
        <f>IF(AND($D223&lt;&gt;"",$A223&lt;&gt;""),1,0)</f>
        <v/>
      </c>
      <c r="AR223">
        <f>SUM($AQ$6:$AQ223)</f>
        <v/>
      </c>
      <c r="AS223">
        <f>IFERROR(INDEX($A$6:$A$565,MATCH(ROW()-5,$AR$6:$AR$565,0)),"")</f>
        <v/>
      </c>
    </row>
    <row r="224">
      <c r="A224">
        <f>IF([1]Accounts!$D$225="","",[1]Accounts!$A$225)</f>
        <v/>
      </c>
      <c r="B224">
        <f>IF([1]Accounts!$D$225="","",[1]Accounts!$B$225)</f>
        <v/>
      </c>
      <c r="C224">
        <f>IF([1]Accounts!$D$225="","",[1]Accounts!$C$225)</f>
        <v/>
      </c>
      <c r="D224">
        <f>IF([1]Accounts!$D$225="","",[1]Accounts!$D$225)</f>
        <v/>
      </c>
      <c r="E224">
        <f>IF([1]Accounts!$D$225="","",[1]Accounts!$J$225)</f>
        <v/>
      </c>
      <c r="F224">
        <f>IF([1]Accounts!$D$225="","",[1]Accounts!$K$225)</f>
        <v/>
      </c>
      <c r="U224">
        <f>IF([2]Baskol!$B$227="","",[2]Baskol!$B$227)</f>
        <v/>
      </c>
      <c r="V224">
        <f>IF([2]Baskol!$C$227="","",[2]Baskol!$C$227)</f>
        <v/>
      </c>
      <c r="W224">
        <f>IF([2]Baskol!$D$227="","",[2]Baskol!$D$227)</f>
        <v/>
      </c>
      <c r="X224">
        <f>IF([2]Baskol!$E$227="","",[2]Baskol!$E$227)</f>
        <v/>
      </c>
      <c r="Y224">
        <f>IF([2]Baskol!$G$227="","",[2]Baskol!$G$227)</f>
        <v/>
      </c>
      <c r="Z224">
        <f>IF([2]Baskol!$I$227="","",[2]Baskol!$I$227)</f>
        <v/>
      </c>
      <c r="AA224">
        <f>IF([2]Baskol!$J$227="","",[2]Baskol!$J$227)</f>
        <v/>
      </c>
      <c r="AB224">
        <f>IF([2]Baskol!$K$227="","",[2]Baskol!$K$227)</f>
        <v/>
      </c>
      <c r="AC224">
        <f>IF([2]Baskol!$L$227="","",[2]Baskol!$L$227)</f>
        <v/>
      </c>
      <c r="AD224">
        <f>IF([2]Baskol!$N$227="","",[2]Baskol!$N$227)</f>
        <v/>
      </c>
      <c r="AE224">
        <f>IF([2]Baskol!$O$227="","",[2]Baskol!$O$227)</f>
        <v/>
      </c>
      <c r="AG224">
        <f>IF([3]Entry!$C$227="","",[3]Entry!$C$227)</f>
        <v/>
      </c>
      <c r="AH224">
        <f>IF([3]Entry!$D$227="","",[3]Entry!$D$227)</f>
        <v/>
      </c>
      <c r="AI224">
        <f>IF([3]Entry!$E$227="","",[3]Entry!$E$227)</f>
        <v/>
      </c>
      <c r="AJ224">
        <f>IF([3]Entry!$G$227="","",[3]Entry!$G$227)</f>
        <v/>
      </c>
      <c r="AK224">
        <f>IF([3]Entry!$K$227="","",[3]Entry!$K$227)</f>
        <v/>
      </c>
      <c r="AL224">
        <f>IF([3]Entry!$L$227="","",[3]Entry!$L$227)</f>
        <v/>
      </c>
      <c r="AM224">
        <f>IF([3]Entry!$M$227="","",[3]Entry!$M$227)</f>
        <v/>
      </c>
      <c r="AN224">
        <f>IF([3]Entry!$N$227="","",[3]Entry!$N$227)</f>
        <v/>
      </c>
      <c r="AO224">
        <f>IF([3]Entry!$R$227="","",[3]Entry!$R$227)</f>
        <v/>
      </c>
      <c r="AQ224">
        <f>IF(AND($D224&lt;&gt;"",$A224&lt;&gt;""),1,0)</f>
        <v/>
      </c>
      <c r="AR224">
        <f>SUM($AQ$6:$AQ224)</f>
        <v/>
      </c>
      <c r="AS224">
        <f>IFERROR(INDEX($A$6:$A$565,MATCH(ROW()-5,$AR$6:$AR$565,0)),"")</f>
        <v/>
      </c>
    </row>
    <row r="225">
      <c r="A225">
        <f>IF([1]Accounts!$D$226="","",[1]Accounts!$A$226)</f>
        <v/>
      </c>
      <c r="B225">
        <f>IF([1]Accounts!$D$226="","",[1]Accounts!$B$226)</f>
        <v/>
      </c>
      <c r="C225">
        <f>IF([1]Accounts!$D$226="","",[1]Accounts!$C$226)</f>
        <v/>
      </c>
      <c r="D225">
        <f>IF([1]Accounts!$D$226="","",[1]Accounts!$D$226)</f>
        <v/>
      </c>
      <c r="E225">
        <f>IF([1]Accounts!$D$226="","",[1]Accounts!$J$226)</f>
        <v/>
      </c>
      <c r="F225">
        <f>IF([1]Accounts!$D$226="","",[1]Accounts!$K$226)</f>
        <v/>
      </c>
      <c r="U225">
        <f>IF([2]Baskol!$B$228="","",[2]Baskol!$B$228)</f>
        <v/>
      </c>
      <c r="V225">
        <f>IF([2]Baskol!$C$228="","",[2]Baskol!$C$228)</f>
        <v/>
      </c>
      <c r="W225">
        <f>IF([2]Baskol!$D$228="","",[2]Baskol!$D$228)</f>
        <v/>
      </c>
      <c r="X225">
        <f>IF([2]Baskol!$E$228="","",[2]Baskol!$E$228)</f>
        <v/>
      </c>
      <c r="Y225">
        <f>IF([2]Baskol!$G$228="","",[2]Baskol!$G$228)</f>
        <v/>
      </c>
      <c r="Z225">
        <f>IF([2]Baskol!$I$228="","",[2]Baskol!$I$228)</f>
        <v/>
      </c>
      <c r="AA225">
        <f>IF([2]Baskol!$J$228="","",[2]Baskol!$J$228)</f>
        <v/>
      </c>
      <c r="AB225">
        <f>IF([2]Baskol!$K$228="","",[2]Baskol!$K$228)</f>
        <v/>
      </c>
      <c r="AC225">
        <f>IF([2]Baskol!$L$228="","",[2]Baskol!$L$228)</f>
        <v/>
      </c>
      <c r="AD225">
        <f>IF([2]Baskol!$N$228="","",[2]Baskol!$N$228)</f>
        <v/>
      </c>
      <c r="AE225">
        <f>IF([2]Baskol!$O$228="","",[2]Baskol!$O$228)</f>
        <v/>
      </c>
      <c r="AG225">
        <f>IF([3]Entry!$C$228="","",[3]Entry!$C$228)</f>
        <v/>
      </c>
      <c r="AH225">
        <f>IF([3]Entry!$D$228="","",[3]Entry!$D$228)</f>
        <v/>
      </c>
      <c r="AI225">
        <f>IF([3]Entry!$E$228="","",[3]Entry!$E$228)</f>
        <v/>
      </c>
      <c r="AJ225">
        <f>IF([3]Entry!$G$228="","",[3]Entry!$G$228)</f>
        <v/>
      </c>
      <c r="AK225">
        <f>IF([3]Entry!$K$228="","",[3]Entry!$K$228)</f>
        <v/>
      </c>
      <c r="AL225">
        <f>IF([3]Entry!$L$228="","",[3]Entry!$L$228)</f>
        <v/>
      </c>
      <c r="AM225">
        <f>IF([3]Entry!$M$228="","",[3]Entry!$M$228)</f>
        <v/>
      </c>
      <c r="AN225">
        <f>IF([3]Entry!$N$228="","",[3]Entry!$N$228)</f>
        <v/>
      </c>
      <c r="AO225">
        <f>IF([3]Entry!$R$228="","",[3]Entry!$R$228)</f>
        <v/>
      </c>
      <c r="AQ225">
        <f>IF(AND($D225&lt;&gt;"",$A225&lt;&gt;""),1,0)</f>
        <v/>
      </c>
      <c r="AR225">
        <f>SUM($AQ$6:$AQ225)</f>
        <v/>
      </c>
      <c r="AS225">
        <f>IFERROR(INDEX($A$6:$A$565,MATCH(ROW()-5,$AR$6:$AR$565,0)),"")</f>
        <v/>
      </c>
    </row>
    <row r="226">
      <c r="A226">
        <f>IF([1]Accounts!$D$227="","",[1]Accounts!$A$227)</f>
        <v/>
      </c>
      <c r="B226">
        <f>IF([1]Accounts!$D$227="","",[1]Accounts!$B$227)</f>
        <v/>
      </c>
      <c r="C226">
        <f>IF([1]Accounts!$D$227="","",[1]Accounts!$C$227)</f>
        <v/>
      </c>
      <c r="D226">
        <f>IF([1]Accounts!$D$227="","",[1]Accounts!$D$227)</f>
        <v/>
      </c>
      <c r="E226">
        <f>IF([1]Accounts!$D$227="","",[1]Accounts!$J$227)</f>
        <v/>
      </c>
      <c r="F226">
        <f>IF([1]Accounts!$D$227="","",[1]Accounts!$K$227)</f>
        <v/>
      </c>
      <c r="U226">
        <f>IF([2]Baskol!$B$229="","",[2]Baskol!$B$229)</f>
        <v/>
      </c>
      <c r="V226">
        <f>IF([2]Baskol!$C$229="","",[2]Baskol!$C$229)</f>
        <v/>
      </c>
      <c r="W226">
        <f>IF([2]Baskol!$D$229="","",[2]Baskol!$D$229)</f>
        <v/>
      </c>
      <c r="X226">
        <f>IF([2]Baskol!$E$229="","",[2]Baskol!$E$229)</f>
        <v/>
      </c>
      <c r="Y226">
        <f>IF([2]Baskol!$G$229="","",[2]Baskol!$G$229)</f>
        <v/>
      </c>
      <c r="Z226">
        <f>IF([2]Baskol!$I$229="","",[2]Baskol!$I$229)</f>
        <v/>
      </c>
      <c r="AA226">
        <f>IF([2]Baskol!$J$229="","",[2]Baskol!$J$229)</f>
        <v/>
      </c>
      <c r="AB226">
        <f>IF([2]Baskol!$K$229="","",[2]Baskol!$K$229)</f>
        <v/>
      </c>
      <c r="AC226">
        <f>IF([2]Baskol!$L$229="","",[2]Baskol!$L$229)</f>
        <v/>
      </c>
      <c r="AD226">
        <f>IF([2]Baskol!$N$229="","",[2]Baskol!$N$229)</f>
        <v/>
      </c>
      <c r="AE226">
        <f>IF([2]Baskol!$O$229="","",[2]Baskol!$O$229)</f>
        <v/>
      </c>
      <c r="AG226">
        <f>IF([3]Entry!$C$229="","",[3]Entry!$C$229)</f>
        <v/>
      </c>
      <c r="AH226">
        <f>IF([3]Entry!$D$229="","",[3]Entry!$D$229)</f>
        <v/>
      </c>
      <c r="AI226">
        <f>IF([3]Entry!$E$229="","",[3]Entry!$E$229)</f>
        <v/>
      </c>
      <c r="AJ226">
        <f>IF([3]Entry!$G$229="","",[3]Entry!$G$229)</f>
        <v/>
      </c>
      <c r="AK226">
        <f>IF([3]Entry!$K$229="","",[3]Entry!$K$229)</f>
        <v/>
      </c>
      <c r="AL226">
        <f>IF([3]Entry!$L$229="","",[3]Entry!$L$229)</f>
        <v/>
      </c>
      <c r="AM226">
        <f>IF([3]Entry!$M$229="","",[3]Entry!$M$229)</f>
        <v/>
      </c>
      <c r="AN226">
        <f>IF([3]Entry!$N$229="","",[3]Entry!$N$229)</f>
        <v/>
      </c>
      <c r="AO226">
        <f>IF([3]Entry!$R$229="","",[3]Entry!$R$229)</f>
        <v/>
      </c>
      <c r="AQ226">
        <f>IF(AND($D226&lt;&gt;"",$A226&lt;&gt;""),1,0)</f>
        <v/>
      </c>
      <c r="AR226">
        <f>SUM($AQ$6:$AQ226)</f>
        <v/>
      </c>
      <c r="AS226">
        <f>IFERROR(INDEX($A$6:$A$565,MATCH(ROW()-5,$AR$6:$AR$565,0)),"")</f>
        <v/>
      </c>
    </row>
    <row r="227">
      <c r="A227">
        <f>IF([1]Accounts!$D$228="","",[1]Accounts!$A$228)</f>
        <v/>
      </c>
      <c r="B227">
        <f>IF([1]Accounts!$D$228="","",[1]Accounts!$B$228)</f>
        <v/>
      </c>
      <c r="C227">
        <f>IF([1]Accounts!$D$228="","",[1]Accounts!$C$228)</f>
        <v/>
      </c>
      <c r="D227">
        <f>IF([1]Accounts!$D$228="","",[1]Accounts!$D$228)</f>
        <v/>
      </c>
      <c r="E227">
        <f>IF([1]Accounts!$D$228="","",[1]Accounts!$J$228)</f>
        <v/>
      </c>
      <c r="F227">
        <f>IF([1]Accounts!$D$228="","",[1]Accounts!$K$228)</f>
        <v/>
      </c>
      <c r="U227">
        <f>IF([2]Baskol!$B$230="","",[2]Baskol!$B$230)</f>
        <v/>
      </c>
      <c r="V227">
        <f>IF([2]Baskol!$C$230="","",[2]Baskol!$C$230)</f>
        <v/>
      </c>
      <c r="W227">
        <f>IF([2]Baskol!$D$230="","",[2]Baskol!$D$230)</f>
        <v/>
      </c>
      <c r="X227">
        <f>IF([2]Baskol!$E$230="","",[2]Baskol!$E$230)</f>
        <v/>
      </c>
      <c r="Y227">
        <f>IF([2]Baskol!$G$230="","",[2]Baskol!$G$230)</f>
        <v/>
      </c>
      <c r="Z227">
        <f>IF([2]Baskol!$I$230="","",[2]Baskol!$I$230)</f>
        <v/>
      </c>
      <c r="AA227">
        <f>IF([2]Baskol!$J$230="","",[2]Baskol!$J$230)</f>
        <v/>
      </c>
      <c r="AB227">
        <f>IF([2]Baskol!$K$230="","",[2]Baskol!$K$230)</f>
        <v/>
      </c>
      <c r="AC227">
        <f>IF([2]Baskol!$L$230="","",[2]Baskol!$L$230)</f>
        <v/>
      </c>
      <c r="AD227">
        <f>IF([2]Baskol!$N$230="","",[2]Baskol!$N$230)</f>
        <v/>
      </c>
      <c r="AE227">
        <f>IF([2]Baskol!$O$230="","",[2]Baskol!$O$230)</f>
        <v/>
      </c>
      <c r="AG227">
        <f>IF([3]Entry!$C$230="","",[3]Entry!$C$230)</f>
        <v/>
      </c>
      <c r="AH227">
        <f>IF([3]Entry!$D$230="","",[3]Entry!$D$230)</f>
        <v/>
      </c>
      <c r="AI227">
        <f>IF([3]Entry!$E$230="","",[3]Entry!$E$230)</f>
        <v/>
      </c>
      <c r="AJ227">
        <f>IF([3]Entry!$G$230="","",[3]Entry!$G$230)</f>
        <v/>
      </c>
      <c r="AK227">
        <f>IF([3]Entry!$K$230="","",[3]Entry!$K$230)</f>
        <v/>
      </c>
      <c r="AL227">
        <f>IF([3]Entry!$L$230="","",[3]Entry!$L$230)</f>
        <v/>
      </c>
      <c r="AM227">
        <f>IF([3]Entry!$M$230="","",[3]Entry!$M$230)</f>
        <v/>
      </c>
      <c r="AN227">
        <f>IF([3]Entry!$N$230="","",[3]Entry!$N$230)</f>
        <v/>
      </c>
      <c r="AO227">
        <f>IF([3]Entry!$R$230="","",[3]Entry!$R$230)</f>
        <v/>
      </c>
      <c r="AQ227">
        <f>IF(AND($D227&lt;&gt;"",$A227&lt;&gt;""),1,0)</f>
        <v/>
      </c>
      <c r="AR227">
        <f>SUM($AQ$6:$AQ227)</f>
        <v/>
      </c>
      <c r="AS227">
        <f>IFERROR(INDEX($A$6:$A$565,MATCH(ROW()-5,$AR$6:$AR$565,0)),"")</f>
        <v/>
      </c>
    </row>
    <row r="228">
      <c r="A228">
        <f>IF([1]Accounts!$D$229="","",[1]Accounts!$A$229)</f>
        <v/>
      </c>
      <c r="B228">
        <f>IF([1]Accounts!$D$229="","",[1]Accounts!$B$229)</f>
        <v/>
      </c>
      <c r="C228">
        <f>IF([1]Accounts!$D$229="","",[1]Accounts!$C$229)</f>
        <v/>
      </c>
      <c r="D228">
        <f>IF([1]Accounts!$D$229="","",[1]Accounts!$D$229)</f>
        <v/>
      </c>
      <c r="E228">
        <f>IF([1]Accounts!$D$229="","",[1]Accounts!$J$229)</f>
        <v/>
      </c>
      <c r="F228">
        <f>IF([1]Accounts!$D$229="","",[1]Accounts!$K$229)</f>
        <v/>
      </c>
      <c r="U228">
        <f>IF([2]Baskol!$B$231="","",[2]Baskol!$B$231)</f>
        <v/>
      </c>
      <c r="V228">
        <f>IF([2]Baskol!$C$231="","",[2]Baskol!$C$231)</f>
        <v/>
      </c>
      <c r="W228">
        <f>IF([2]Baskol!$D$231="","",[2]Baskol!$D$231)</f>
        <v/>
      </c>
      <c r="X228">
        <f>IF([2]Baskol!$E$231="","",[2]Baskol!$E$231)</f>
        <v/>
      </c>
      <c r="Y228">
        <f>IF([2]Baskol!$G$231="","",[2]Baskol!$G$231)</f>
        <v/>
      </c>
      <c r="Z228">
        <f>IF([2]Baskol!$I$231="","",[2]Baskol!$I$231)</f>
        <v/>
      </c>
      <c r="AA228">
        <f>IF([2]Baskol!$J$231="","",[2]Baskol!$J$231)</f>
        <v/>
      </c>
      <c r="AB228">
        <f>IF([2]Baskol!$K$231="","",[2]Baskol!$K$231)</f>
        <v/>
      </c>
      <c r="AC228">
        <f>IF([2]Baskol!$L$231="","",[2]Baskol!$L$231)</f>
        <v/>
      </c>
      <c r="AD228">
        <f>IF([2]Baskol!$N$231="","",[2]Baskol!$N$231)</f>
        <v/>
      </c>
      <c r="AE228">
        <f>IF([2]Baskol!$O$231="","",[2]Baskol!$O$231)</f>
        <v/>
      </c>
      <c r="AG228">
        <f>IF([3]Entry!$C$231="","",[3]Entry!$C$231)</f>
        <v/>
      </c>
      <c r="AH228">
        <f>IF([3]Entry!$D$231="","",[3]Entry!$D$231)</f>
        <v/>
      </c>
      <c r="AI228">
        <f>IF([3]Entry!$E$231="","",[3]Entry!$E$231)</f>
        <v/>
      </c>
      <c r="AJ228">
        <f>IF([3]Entry!$G$231="","",[3]Entry!$G$231)</f>
        <v/>
      </c>
      <c r="AK228">
        <f>IF([3]Entry!$K$231="","",[3]Entry!$K$231)</f>
        <v/>
      </c>
      <c r="AL228">
        <f>IF([3]Entry!$L$231="","",[3]Entry!$L$231)</f>
        <v/>
      </c>
      <c r="AM228">
        <f>IF([3]Entry!$M$231="","",[3]Entry!$M$231)</f>
        <v/>
      </c>
      <c r="AN228">
        <f>IF([3]Entry!$N$231="","",[3]Entry!$N$231)</f>
        <v/>
      </c>
      <c r="AO228">
        <f>IF([3]Entry!$R$231="","",[3]Entry!$R$231)</f>
        <v/>
      </c>
      <c r="AQ228">
        <f>IF(AND($D228&lt;&gt;"",$A228&lt;&gt;""),1,0)</f>
        <v/>
      </c>
      <c r="AR228">
        <f>SUM($AQ$6:$AQ228)</f>
        <v/>
      </c>
      <c r="AS228">
        <f>IFERROR(INDEX($A$6:$A$565,MATCH(ROW()-5,$AR$6:$AR$565,0)),"")</f>
        <v/>
      </c>
    </row>
    <row r="229">
      <c r="A229">
        <f>IF([1]Accounts!$D$230="","",[1]Accounts!$A$230)</f>
        <v/>
      </c>
      <c r="B229">
        <f>IF([1]Accounts!$D$230="","",[1]Accounts!$B$230)</f>
        <v/>
      </c>
      <c r="C229">
        <f>IF([1]Accounts!$D$230="","",[1]Accounts!$C$230)</f>
        <v/>
      </c>
      <c r="D229">
        <f>IF([1]Accounts!$D$230="","",[1]Accounts!$D$230)</f>
        <v/>
      </c>
      <c r="E229">
        <f>IF([1]Accounts!$D$230="","",[1]Accounts!$J$230)</f>
        <v/>
      </c>
      <c r="F229">
        <f>IF([1]Accounts!$D$230="","",[1]Accounts!$K$230)</f>
        <v/>
      </c>
      <c r="U229">
        <f>IF([2]Baskol!$B$232="","",[2]Baskol!$B$232)</f>
        <v/>
      </c>
      <c r="V229">
        <f>IF([2]Baskol!$C$232="","",[2]Baskol!$C$232)</f>
        <v/>
      </c>
      <c r="W229">
        <f>IF([2]Baskol!$D$232="","",[2]Baskol!$D$232)</f>
        <v/>
      </c>
      <c r="X229">
        <f>IF([2]Baskol!$E$232="","",[2]Baskol!$E$232)</f>
        <v/>
      </c>
      <c r="Y229">
        <f>IF([2]Baskol!$G$232="","",[2]Baskol!$G$232)</f>
        <v/>
      </c>
      <c r="Z229">
        <f>IF([2]Baskol!$I$232="","",[2]Baskol!$I$232)</f>
        <v/>
      </c>
      <c r="AA229">
        <f>IF([2]Baskol!$J$232="","",[2]Baskol!$J$232)</f>
        <v/>
      </c>
      <c r="AB229">
        <f>IF([2]Baskol!$K$232="","",[2]Baskol!$K$232)</f>
        <v/>
      </c>
      <c r="AC229">
        <f>IF([2]Baskol!$L$232="","",[2]Baskol!$L$232)</f>
        <v/>
      </c>
      <c r="AD229">
        <f>IF([2]Baskol!$N$232="","",[2]Baskol!$N$232)</f>
        <v/>
      </c>
      <c r="AE229">
        <f>IF([2]Baskol!$O$232="","",[2]Baskol!$O$232)</f>
        <v/>
      </c>
      <c r="AG229">
        <f>IF([3]Entry!$C$232="","",[3]Entry!$C$232)</f>
        <v/>
      </c>
      <c r="AH229">
        <f>IF([3]Entry!$D$232="","",[3]Entry!$D$232)</f>
        <v/>
      </c>
      <c r="AI229">
        <f>IF([3]Entry!$E$232="","",[3]Entry!$E$232)</f>
        <v/>
      </c>
      <c r="AJ229">
        <f>IF([3]Entry!$G$232="","",[3]Entry!$G$232)</f>
        <v/>
      </c>
      <c r="AK229">
        <f>IF([3]Entry!$K$232="","",[3]Entry!$K$232)</f>
        <v/>
      </c>
      <c r="AL229">
        <f>IF([3]Entry!$L$232="","",[3]Entry!$L$232)</f>
        <v/>
      </c>
      <c r="AM229">
        <f>IF([3]Entry!$M$232="","",[3]Entry!$M$232)</f>
        <v/>
      </c>
      <c r="AN229">
        <f>IF([3]Entry!$N$232="","",[3]Entry!$N$232)</f>
        <v/>
      </c>
      <c r="AO229">
        <f>IF([3]Entry!$R$232="","",[3]Entry!$R$232)</f>
        <v/>
      </c>
      <c r="AQ229">
        <f>IF(AND($D229&lt;&gt;"",$A229&lt;&gt;""),1,0)</f>
        <v/>
      </c>
      <c r="AR229">
        <f>SUM($AQ$6:$AQ229)</f>
        <v/>
      </c>
      <c r="AS229">
        <f>IFERROR(INDEX($A$6:$A$565,MATCH(ROW()-5,$AR$6:$AR$565,0)),"")</f>
        <v/>
      </c>
    </row>
    <row r="230">
      <c r="A230">
        <f>IF([1]Accounts!$D$231="","",[1]Accounts!$A$231)</f>
        <v/>
      </c>
      <c r="B230">
        <f>IF([1]Accounts!$D$231="","",[1]Accounts!$B$231)</f>
        <v/>
      </c>
      <c r="C230">
        <f>IF([1]Accounts!$D$231="","",[1]Accounts!$C$231)</f>
        <v/>
      </c>
      <c r="D230">
        <f>IF([1]Accounts!$D$231="","",[1]Accounts!$D$231)</f>
        <v/>
      </c>
      <c r="E230">
        <f>IF([1]Accounts!$D$231="","",[1]Accounts!$J$231)</f>
        <v/>
      </c>
      <c r="F230">
        <f>IF([1]Accounts!$D$231="","",[1]Accounts!$K$231)</f>
        <v/>
      </c>
      <c r="U230">
        <f>IF([2]Baskol!$B$233="","",[2]Baskol!$B$233)</f>
        <v/>
      </c>
      <c r="V230">
        <f>IF([2]Baskol!$C$233="","",[2]Baskol!$C$233)</f>
        <v/>
      </c>
      <c r="W230">
        <f>IF([2]Baskol!$D$233="","",[2]Baskol!$D$233)</f>
        <v/>
      </c>
      <c r="X230">
        <f>IF([2]Baskol!$E$233="","",[2]Baskol!$E$233)</f>
        <v/>
      </c>
      <c r="Y230">
        <f>IF([2]Baskol!$G$233="","",[2]Baskol!$G$233)</f>
        <v/>
      </c>
      <c r="Z230">
        <f>IF([2]Baskol!$I$233="","",[2]Baskol!$I$233)</f>
        <v/>
      </c>
      <c r="AA230">
        <f>IF([2]Baskol!$J$233="","",[2]Baskol!$J$233)</f>
        <v/>
      </c>
      <c r="AB230">
        <f>IF([2]Baskol!$K$233="","",[2]Baskol!$K$233)</f>
        <v/>
      </c>
      <c r="AC230">
        <f>IF([2]Baskol!$L$233="","",[2]Baskol!$L$233)</f>
        <v/>
      </c>
      <c r="AD230">
        <f>IF([2]Baskol!$N$233="","",[2]Baskol!$N$233)</f>
        <v/>
      </c>
      <c r="AE230">
        <f>IF([2]Baskol!$O$233="","",[2]Baskol!$O$233)</f>
        <v/>
      </c>
      <c r="AG230">
        <f>IF([3]Entry!$C$233="","",[3]Entry!$C$233)</f>
        <v/>
      </c>
      <c r="AH230">
        <f>IF([3]Entry!$D$233="","",[3]Entry!$D$233)</f>
        <v/>
      </c>
      <c r="AI230">
        <f>IF([3]Entry!$E$233="","",[3]Entry!$E$233)</f>
        <v/>
      </c>
      <c r="AJ230">
        <f>IF([3]Entry!$G$233="","",[3]Entry!$G$233)</f>
        <v/>
      </c>
      <c r="AK230">
        <f>IF([3]Entry!$K$233="","",[3]Entry!$K$233)</f>
        <v/>
      </c>
      <c r="AL230">
        <f>IF([3]Entry!$L$233="","",[3]Entry!$L$233)</f>
        <v/>
      </c>
      <c r="AM230">
        <f>IF([3]Entry!$M$233="","",[3]Entry!$M$233)</f>
        <v/>
      </c>
      <c r="AN230">
        <f>IF([3]Entry!$N$233="","",[3]Entry!$N$233)</f>
        <v/>
      </c>
      <c r="AO230">
        <f>IF([3]Entry!$R$233="","",[3]Entry!$R$233)</f>
        <v/>
      </c>
      <c r="AQ230">
        <f>IF(AND($D230&lt;&gt;"",$A230&lt;&gt;""),1,0)</f>
        <v/>
      </c>
      <c r="AR230">
        <f>SUM($AQ$6:$AQ230)</f>
        <v/>
      </c>
      <c r="AS230">
        <f>IFERROR(INDEX($A$6:$A$565,MATCH(ROW()-5,$AR$6:$AR$565,0)),"")</f>
        <v/>
      </c>
    </row>
    <row r="231">
      <c r="A231">
        <f>IF([1]Accounts!$D$232="","",[1]Accounts!$A$232)</f>
        <v/>
      </c>
      <c r="B231">
        <f>IF([1]Accounts!$D$232="","",[1]Accounts!$B$232)</f>
        <v/>
      </c>
      <c r="C231">
        <f>IF([1]Accounts!$D$232="","",[1]Accounts!$C$232)</f>
        <v/>
      </c>
      <c r="D231">
        <f>IF([1]Accounts!$D$232="","",[1]Accounts!$D$232)</f>
        <v/>
      </c>
      <c r="E231">
        <f>IF([1]Accounts!$D$232="","",[1]Accounts!$J$232)</f>
        <v/>
      </c>
      <c r="F231">
        <f>IF([1]Accounts!$D$232="","",[1]Accounts!$K$232)</f>
        <v/>
      </c>
      <c r="U231">
        <f>IF([2]Baskol!$B$234="","",[2]Baskol!$B$234)</f>
        <v/>
      </c>
      <c r="V231">
        <f>IF([2]Baskol!$C$234="","",[2]Baskol!$C$234)</f>
        <v/>
      </c>
      <c r="W231">
        <f>IF([2]Baskol!$D$234="","",[2]Baskol!$D$234)</f>
        <v/>
      </c>
      <c r="X231">
        <f>IF([2]Baskol!$E$234="","",[2]Baskol!$E$234)</f>
        <v/>
      </c>
      <c r="Y231">
        <f>IF([2]Baskol!$G$234="","",[2]Baskol!$G$234)</f>
        <v/>
      </c>
      <c r="Z231">
        <f>IF([2]Baskol!$I$234="","",[2]Baskol!$I$234)</f>
        <v/>
      </c>
      <c r="AA231">
        <f>IF([2]Baskol!$J$234="","",[2]Baskol!$J$234)</f>
        <v/>
      </c>
      <c r="AB231">
        <f>IF([2]Baskol!$K$234="","",[2]Baskol!$K$234)</f>
        <v/>
      </c>
      <c r="AC231">
        <f>IF([2]Baskol!$L$234="","",[2]Baskol!$L$234)</f>
        <v/>
      </c>
      <c r="AD231">
        <f>IF([2]Baskol!$N$234="","",[2]Baskol!$N$234)</f>
        <v/>
      </c>
      <c r="AE231">
        <f>IF([2]Baskol!$O$234="","",[2]Baskol!$O$234)</f>
        <v/>
      </c>
      <c r="AG231">
        <f>IF([3]Entry!$C$234="","",[3]Entry!$C$234)</f>
        <v/>
      </c>
      <c r="AH231">
        <f>IF([3]Entry!$D$234="","",[3]Entry!$D$234)</f>
        <v/>
      </c>
      <c r="AI231">
        <f>IF([3]Entry!$E$234="","",[3]Entry!$E$234)</f>
        <v/>
      </c>
      <c r="AJ231">
        <f>IF([3]Entry!$G$234="","",[3]Entry!$G$234)</f>
        <v/>
      </c>
      <c r="AK231">
        <f>IF([3]Entry!$K$234="","",[3]Entry!$K$234)</f>
        <v/>
      </c>
      <c r="AL231">
        <f>IF([3]Entry!$L$234="","",[3]Entry!$L$234)</f>
        <v/>
      </c>
      <c r="AM231">
        <f>IF([3]Entry!$M$234="","",[3]Entry!$M$234)</f>
        <v/>
      </c>
      <c r="AN231">
        <f>IF([3]Entry!$N$234="","",[3]Entry!$N$234)</f>
        <v/>
      </c>
      <c r="AO231">
        <f>IF([3]Entry!$R$234="","",[3]Entry!$R$234)</f>
        <v/>
      </c>
      <c r="AQ231">
        <f>IF(AND($D231&lt;&gt;"",$A231&lt;&gt;""),1,0)</f>
        <v/>
      </c>
      <c r="AR231">
        <f>SUM($AQ$6:$AQ231)</f>
        <v/>
      </c>
      <c r="AS231">
        <f>IFERROR(INDEX($A$6:$A$565,MATCH(ROW()-5,$AR$6:$AR$565,0)),"")</f>
        <v/>
      </c>
    </row>
    <row r="232">
      <c r="A232">
        <f>IF([1]Accounts!$D$233="","",[1]Accounts!$A$233)</f>
        <v/>
      </c>
      <c r="B232">
        <f>IF([1]Accounts!$D$233="","",[1]Accounts!$B$233)</f>
        <v/>
      </c>
      <c r="C232">
        <f>IF([1]Accounts!$D$233="","",[1]Accounts!$C$233)</f>
        <v/>
      </c>
      <c r="D232">
        <f>IF([1]Accounts!$D$233="","",[1]Accounts!$D$233)</f>
        <v/>
      </c>
      <c r="E232">
        <f>IF([1]Accounts!$D$233="","",[1]Accounts!$J$233)</f>
        <v/>
      </c>
      <c r="F232">
        <f>IF([1]Accounts!$D$233="","",[1]Accounts!$K$233)</f>
        <v/>
      </c>
      <c r="U232">
        <f>IF([2]Baskol!$B$235="","",[2]Baskol!$B$235)</f>
        <v/>
      </c>
      <c r="V232">
        <f>IF([2]Baskol!$C$235="","",[2]Baskol!$C$235)</f>
        <v/>
      </c>
      <c r="W232">
        <f>IF([2]Baskol!$D$235="","",[2]Baskol!$D$235)</f>
        <v/>
      </c>
      <c r="X232">
        <f>IF([2]Baskol!$E$235="","",[2]Baskol!$E$235)</f>
        <v/>
      </c>
      <c r="Y232">
        <f>IF([2]Baskol!$G$235="","",[2]Baskol!$G$235)</f>
        <v/>
      </c>
      <c r="Z232">
        <f>IF([2]Baskol!$I$235="","",[2]Baskol!$I$235)</f>
        <v/>
      </c>
      <c r="AA232">
        <f>IF([2]Baskol!$J$235="","",[2]Baskol!$J$235)</f>
        <v/>
      </c>
      <c r="AB232">
        <f>IF([2]Baskol!$K$235="","",[2]Baskol!$K$235)</f>
        <v/>
      </c>
      <c r="AC232">
        <f>IF([2]Baskol!$L$235="","",[2]Baskol!$L$235)</f>
        <v/>
      </c>
      <c r="AD232">
        <f>IF([2]Baskol!$N$235="","",[2]Baskol!$N$235)</f>
        <v/>
      </c>
      <c r="AE232">
        <f>IF([2]Baskol!$O$235="","",[2]Baskol!$O$235)</f>
        <v/>
      </c>
      <c r="AG232">
        <f>IF([3]Entry!$C$235="","",[3]Entry!$C$235)</f>
        <v/>
      </c>
      <c r="AH232">
        <f>IF([3]Entry!$D$235="","",[3]Entry!$D$235)</f>
        <v/>
      </c>
      <c r="AI232">
        <f>IF([3]Entry!$E$235="","",[3]Entry!$E$235)</f>
        <v/>
      </c>
      <c r="AJ232">
        <f>IF([3]Entry!$G$235="","",[3]Entry!$G$235)</f>
        <v/>
      </c>
      <c r="AK232">
        <f>IF([3]Entry!$K$235="","",[3]Entry!$K$235)</f>
        <v/>
      </c>
      <c r="AL232">
        <f>IF([3]Entry!$L$235="","",[3]Entry!$L$235)</f>
        <v/>
      </c>
      <c r="AM232">
        <f>IF([3]Entry!$M$235="","",[3]Entry!$M$235)</f>
        <v/>
      </c>
      <c r="AN232">
        <f>IF([3]Entry!$N$235="","",[3]Entry!$N$235)</f>
        <v/>
      </c>
      <c r="AO232">
        <f>IF([3]Entry!$R$235="","",[3]Entry!$R$235)</f>
        <v/>
      </c>
      <c r="AQ232">
        <f>IF(AND($D232&lt;&gt;"",$A232&lt;&gt;""),1,0)</f>
        <v/>
      </c>
      <c r="AR232">
        <f>SUM($AQ$6:$AQ232)</f>
        <v/>
      </c>
      <c r="AS232">
        <f>IFERROR(INDEX($A$6:$A$565,MATCH(ROW()-5,$AR$6:$AR$565,0)),"")</f>
        <v/>
      </c>
    </row>
    <row r="233">
      <c r="A233">
        <f>IF([1]Accounts!$D$234="","",[1]Accounts!$A$234)</f>
        <v/>
      </c>
      <c r="B233">
        <f>IF([1]Accounts!$D$234="","",[1]Accounts!$B$234)</f>
        <v/>
      </c>
      <c r="C233">
        <f>IF([1]Accounts!$D$234="","",[1]Accounts!$C$234)</f>
        <v/>
      </c>
      <c r="D233">
        <f>IF([1]Accounts!$D$234="","",[1]Accounts!$D$234)</f>
        <v/>
      </c>
      <c r="E233">
        <f>IF([1]Accounts!$D$234="","",[1]Accounts!$J$234)</f>
        <v/>
      </c>
      <c r="F233">
        <f>IF([1]Accounts!$D$234="","",[1]Accounts!$K$234)</f>
        <v/>
      </c>
      <c r="U233">
        <f>IF([2]Baskol!$B$236="","",[2]Baskol!$B$236)</f>
        <v/>
      </c>
      <c r="V233">
        <f>IF([2]Baskol!$C$236="","",[2]Baskol!$C$236)</f>
        <v/>
      </c>
      <c r="W233">
        <f>IF([2]Baskol!$D$236="","",[2]Baskol!$D$236)</f>
        <v/>
      </c>
      <c r="X233">
        <f>IF([2]Baskol!$E$236="","",[2]Baskol!$E$236)</f>
        <v/>
      </c>
      <c r="Y233">
        <f>IF([2]Baskol!$G$236="","",[2]Baskol!$G$236)</f>
        <v/>
      </c>
      <c r="Z233">
        <f>IF([2]Baskol!$I$236="","",[2]Baskol!$I$236)</f>
        <v/>
      </c>
      <c r="AA233">
        <f>IF([2]Baskol!$J$236="","",[2]Baskol!$J$236)</f>
        <v/>
      </c>
      <c r="AB233">
        <f>IF([2]Baskol!$K$236="","",[2]Baskol!$K$236)</f>
        <v/>
      </c>
      <c r="AC233">
        <f>IF([2]Baskol!$L$236="","",[2]Baskol!$L$236)</f>
        <v/>
      </c>
      <c r="AD233">
        <f>IF([2]Baskol!$N$236="","",[2]Baskol!$N$236)</f>
        <v/>
      </c>
      <c r="AE233">
        <f>IF([2]Baskol!$O$236="","",[2]Baskol!$O$236)</f>
        <v/>
      </c>
      <c r="AG233">
        <f>IF([3]Entry!$C$236="","",[3]Entry!$C$236)</f>
        <v/>
      </c>
      <c r="AH233">
        <f>IF([3]Entry!$D$236="","",[3]Entry!$D$236)</f>
        <v/>
      </c>
      <c r="AI233">
        <f>IF([3]Entry!$E$236="","",[3]Entry!$E$236)</f>
        <v/>
      </c>
      <c r="AJ233">
        <f>IF([3]Entry!$G$236="","",[3]Entry!$G$236)</f>
        <v/>
      </c>
      <c r="AK233">
        <f>IF([3]Entry!$K$236="","",[3]Entry!$K$236)</f>
        <v/>
      </c>
      <c r="AL233">
        <f>IF([3]Entry!$L$236="","",[3]Entry!$L$236)</f>
        <v/>
      </c>
      <c r="AM233">
        <f>IF([3]Entry!$M$236="","",[3]Entry!$M$236)</f>
        <v/>
      </c>
      <c r="AN233">
        <f>IF([3]Entry!$N$236="","",[3]Entry!$N$236)</f>
        <v/>
      </c>
      <c r="AO233">
        <f>IF([3]Entry!$R$236="","",[3]Entry!$R$236)</f>
        <v/>
      </c>
      <c r="AQ233">
        <f>IF(AND($D233&lt;&gt;"",$A233&lt;&gt;""),1,0)</f>
        <v/>
      </c>
      <c r="AR233">
        <f>SUM($AQ$6:$AQ233)</f>
        <v/>
      </c>
      <c r="AS233">
        <f>IFERROR(INDEX($A$6:$A$565,MATCH(ROW()-5,$AR$6:$AR$565,0)),"")</f>
        <v/>
      </c>
    </row>
    <row r="234">
      <c r="A234">
        <f>IF([1]Accounts!$D$235="","",[1]Accounts!$A$235)</f>
        <v/>
      </c>
      <c r="B234">
        <f>IF([1]Accounts!$D$235="","",[1]Accounts!$B$235)</f>
        <v/>
      </c>
      <c r="C234">
        <f>IF([1]Accounts!$D$235="","",[1]Accounts!$C$235)</f>
        <v/>
      </c>
      <c r="D234">
        <f>IF([1]Accounts!$D$235="","",[1]Accounts!$D$235)</f>
        <v/>
      </c>
      <c r="E234">
        <f>IF([1]Accounts!$D$235="","",[1]Accounts!$J$235)</f>
        <v/>
      </c>
      <c r="F234">
        <f>IF([1]Accounts!$D$235="","",[1]Accounts!$K$235)</f>
        <v/>
      </c>
      <c r="U234">
        <f>IF([2]Baskol!$B$237="","",[2]Baskol!$B$237)</f>
        <v/>
      </c>
      <c r="V234">
        <f>IF([2]Baskol!$C$237="","",[2]Baskol!$C$237)</f>
        <v/>
      </c>
      <c r="W234">
        <f>IF([2]Baskol!$D$237="","",[2]Baskol!$D$237)</f>
        <v/>
      </c>
      <c r="X234">
        <f>IF([2]Baskol!$E$237="","",[2]Baskol!$E$237)</f>
        <v/>
      </c>
      <c r="Y234">
        <f>IF([2]Baskol!$G$237="","",[2]Baskol!$G$237)</f>
        <v/>
      </c>
      <c r="Z234">
        <f>IF([2]Baskol!$I$237="","",[2]Baskol!$I$237)</f>
        <v/>
      </c>
      <c r="AA234">
        <f>IF([2]Baskol!$J$237="","",[2]Baskol!$J$237)</f>
        <v/>
      </c>
      <c r="AB234">
        <f>IF([2]Baskol!$K$237="","",[2]Baskol!$K$237)</f>
        <v/>
      </c>
      <c r="AC234">
        <f>IF([2]Baskol!$L$237="","",[2]Baskol!$L$237)</f>
        <v/>
      </c>
      <c r="AD234">
        <f>IF([2]Baskol!$N$237="","",[2]Baskol!$N$237)</f>
        <v/>
      </c>
      <c r="AE234">
        <f>IF([2]Baskol!$O$237="","",[2]Baskol!$O$237)</f>
        <v/>
      </c>
      <c r="AG234">
        <f>IF([3]Entry!$C$237="","",[3]Entry!$C$237)</f>
        <v/>
      </c>
      <c r="AH234">
        <f>IF([3]Entry!$D$237="","",[3]Entry!$D$237)</f>
        <v/>
      </c>
      <c r="AI234">
        <f>IF([3]Entry!$E$237="","",[3]Entry!$E$237)</f>
        <v/>
      </c>
      <c r="AJ234">
        <f>IF([3]Entry!$G$237="","",[3]Entry!$G$237)</f>
        <v/>
      </c>
      <c r="AK234">
        <f>IF([3]Entry!$K$237="","",[3]Entry!$K$237)</f>
        <v/>
      </c>
      <c r="AL234">
        <f>IF([3]Entry!$L$237="","",[3]Entry!$L$237)</f>
        <v/>
      </c>
      <c r="AM234">
        <f>IF([3]Entry!$M$237="","",[3]Entry!$M$237)</f>
        <v/>
      </c>
      <c r="AN234">
        <f>IF([3]Entry!$N$237="","",[3]Entry!$N$237)</f>
        <v/>
      </c>
      <c r="AO234">
        <f>IF([3]Entry!$R$237="","",[3]Entry!$R$237)</f>
        <v/>
      </c>
      <c r="AQ234">
        <f>IF(AND($D234&lt;&gt;"",$A234&lt;&gt;""),1,0)</f>
        <v/>
      </c>
      <c r="AR234">
        <f>SUM($AQ$6:$AQ234)</f>
        <v/>
      </c>
      <c r="AS234">
        <f>IFERROR(INDEX($A$6:$A$565,MATCH(ROW()-5,$AR$6:$AR$565,0)),"")</f>
        <v/>
      </c>
    </row>
    <row r="235">
      <c r="A235">
        <f>IF([1]Accounts!$D$236="","",[1]Accounts!$A$236)</f>
        <v/>
      </c>
      <c r="B235">
        <f>IF([1]Accounts!$D$236="","",[1]Accounts!$B$236)</f>
        <v/>
      </c>
      <c r="C235">
        <f>IF([1]Accounts!$D$236="","",[1]Accounts!$C$236)</f>
        <v/>
      </c>
      <c r="D235">
        <f>IF([1]Accounts!$D$236="","",[1]Accounts!$D$236)</f>
        <v/>
      </c>
      <c r="E235">
        <f>IF([1]Accounts!$D$236="","",[1]Accounts!$J$236)</f>
        <v/>
      </c>
      <c r="F235">
        <f>IF([1]Accounts!$D$236="","",[1]Accounts!$K$236)</f>
        <v/>
      </c>
      <c r="U235">
        <f>IF([2]Baskol!$B$238="","",[2]Baskol!$B$238)</f>
        <v/>
      </c>
      <c r="V235">
        <f>IF([2]Baskol!$C$238="","",[2]Baskol!$C$238)</f>
        <v/>
      </c>
      <c r="W235">
        <f>IF([2]Baskol!$D$238="","",[2]Baskol!$D$238)</f>
        <v/>
      </c>
      <c r="X235">
        <f>IF([2]Baskol!$E$238="","",[2]Baskol!$E$238)</f>
        <v/>
      </c>
      <c r="Y235">
        <f>IF([2]Baskol!$G$238="","",[2]Baskol!$G$238)</f>
        <v/>
      </c>
      <c r="Z235">
        <f>IF([2]Baskol!$I$238="","",[2]Baskol!$I$238)</f>
        <v/>
      </c>
      <c r="AA235">
        <f>IF([2]Baskol!$J$238="","",[2]Baskol!$J$238)</f>
        <v/>
      </c>
      <c r="AB235">
        <f>IF([2]Baskol!$K$238="","",[2]Baskol!$K$238)</f>
        <v/>
      </c>
      <c r="AC235">
        <f>IF([2]Baskol!$L$238="","",[2]Baskol!$L$238)</f>
        <v/>
      </c>
      <c r="AD235">
        <f>IF([2]Baskol!$N$238="","",[2]Baskol!$N$238)</f>
        <v/>
      </c>
      <c r="AE235">
        <f>IF([2]Baskol!$O$238="","",[2]Baskol!$O$238)</f>
        <v/>
      </c>
      <c r="AG235">
        <f>IF([3]Entry!$C$238="","",[3]Entry!$C$238)</f>
        <v/>
      </c>
      <c r="AH235">
        <f>IF([3]Entry!$D$238="","",[3]Entry!$D$238)</f>
        <v/>
      </c>
      <c r="AI235">
        <f>IF([3]Entry!$E$238="","",[3]Entry!$E$238)</f>
        <v/>
      </c>
      <c r="AJ235">
        <f>IF([3]Entry!$G$238="","",[3]Entry!$G$238)</f>
        <v/>
      </c>
      <c r="AK235">
        <f>IF([3]Entry!$K$238="","",[3]Entry!$K$238)</f>
        <v/>
      </c>
      <c r="AL235">
        <f>IF([3]Entry!$L$238="","",[3]Entry!$L$238)</f>
        <v/>
      </c>
      <c r="AM235">
        <f>IF([3]Entry!$M$238="","",[3]Entry!$M$238)</f>
        <v/>
      </c>
      <c r="AN235">
        <f>IF([3]Entry!$N$238="","",[3]Entry!$N$238)</f>
        <v/>
      </c>
      <c r="AO235">
        <f>IF([3]Entry!$R$238="","",[3]Entry!$R$238)</f>
        <v/>
      </c>
      <c r="AQ235">
        <f>IF(AND($D235&lt;&gt;"",$A235&lt;&gt;""),1,0)</f>
        <v/>
      </c>
      <c r="AR235">
        <f>SUM($AQ$6:$AQ235)</f>
        <v/>
      </c>
      <c r="AS235">
        <f>IFERROR(INDEX($A$6:$A$565,MATCH(ROW()-5,$AR$6:$AR$565,0)),"")</f>
        <v/>
      </c>
    </row>
    <row r="236">
      <c r="A236">
        <f>IF([1]Accounts!$D$237="","",[1]Accounts!$A$237)</f>
        <v/>
      </c>
      <c r="B236">
        <f>IF([1]Accounts!$D$237="","",[1]Accounts!$B$237)</f>
        <v/>
      </c>
      <c r="C236">
        <f>IF([1]Accounts!$D$237="","",[1]Accounts!$C$237)</f>
        <v/>
      </c>
      <c r="D236">
        <f>IF([1]Accounts!$D$237="","",[1]Accounts!$D$237)</f>
        <v/>
      </c>
      <c r="E236">
        <f>IF([1]Accounts!$D$237="","",[1]Accounts!$J$237)</f>
        <v/>
      </c>
      <c r="F236">
        <f>IF([1]Accounts!$D$237="","",[1]Accounts!$K$237)</f>
        <v/>
      </c>
      <c r="U236">
        <f>IF([2]Baskol!$B$239="","",[2]Baskol!$B$239)</f>
        <v/>
      </c>
      <c r="V236">
        <f>IF([2]Baskol!$C$239="","",[2]Baskol!$C$239)</f>
        <v/>
      </c>
      <c r="W236">
        <f>IF([2]Baskol!$D$239="","",[2]Baskol!$D$239)</f>
        <v/>
      </c>
      <c r="X236">
        <f>IF([2]Baskol!$E$239="","",[2]Baskol!$E$239)</f>
        <v/>
      </c>
      <c r="Y236">
        <f>IF([2]Baskol!$G$239="","",[2]Baskol!$G$239)</f>
        <v/>
      </c>
      <c r="Z236">
        <f>IF([2]Baskol!$I$239="","",[2]Baskol!$I$239)</f>
        <v/>
      </c>
      <c r="AA236">
        <f>IF([2]Baskol!$J$239="","",[2]Baskol!$J$239)</f>
        <v/>
      </c>
      <c r="AB236">
        <f>IF([2]Baskol!$K$239="","",[2]Baskol!$K$239)</f>
        <v/>
      </c>
      <c r="AC236">
        <f>IF([2]Baskol!$L$239="","",[2]Baskol!$L$239)</f>
        <v/>
      </c>
      <c r="AD236">
        <f>IF([2]Baskol!$N$239="","",[2]Baskol!$N$239)</f>
        <v/>
      </c>
      <c r="AE236">
        <f>IF([2]Baskol!$O$239="","",[2]Baskol!$O$239)</f>
        <v/>
      </c>
      <c r="AG236">
        <f>IF([3]Entry!$C$239="","",[3]Entry!$C$239)</f>
        <v/>
      </c>
      <c r="AH236">
        <f>IF([3]Entry!$D$239="","",[3]Entry!$D$239)</f>
        <v/>
      </c>
      <c r="AI236">
        <f>IF([3]Entry!$E$239="","",[3]Entry!$E$239)</f>
        <v/>
      </c>
      <c r="AJ236">
        <f>IF([3]Entry!$G$239="","",[3]Entry!$G$239)</f>
        <v/>
      </c>
      <c r="AK236">
        <f>IF([3]Entry!$K$239="","",[3]Entry!$K$239)</f>
        <v/>
      </c>
      <c r="AL236">
        <f>IF([3]Entry!$L$239="","",[3]Entry!$L$239)</f>
        <v/>
      </c>
      <c r="AM236">
        <f>IF([3]Entry!$M$239="","",[3]Entry!$M$239)</f>
        <v/>
      </c>
      <c r="AN236">
        <f>IF([3]Entry!$N$239="","",[3]Entry!$N$239)</f>
        <v/>
      </c>
      <c r="AO236">
        <f>IF([3]Entry!$R$239="","",[3]Entry!$R$239)</f>
        <v/>
      </c>
      <c r="AQ236">
        <f>IF(AND($D236&lt;&gt;"",$A236&lt;&gt;""),1,0)</f>
        <v/>
      </c>
      <c r="AR236">
        <f>SUM($AQ$6:$AQ236)</f>
        <v/>
      </c>
      <c r="AS236">
        <f>IFERROR(INDEX($A$6:$A$565,MATCH(ROW()-5,$AR$6:$AR$565,0)),"")</f>
        <v/>
      </c>
    </row>
    <row r="237">
      <c r="A237">
        <f>IF([1]Accounts!$D$238="","",[1]Accounts!$A$238)</f>
        <v/>
      </c>
      <c r="B237">
        <f>IF([1]Accounts!$D$238="","",[1]Accounts!$B$238)</f>
        <v/>
      </c>
      <c r="C237">
        <f>IF([1]Accounts!$D$238="","",[1]Accounts!$C$238)</f>
        <v/>
      </c>
      <c r="D237">
        <f>IF([1]Accounts!$D$238="","",[1]Accounts!$D$238)</f>
        <v/>
      </c>
      <c r="E237">
        <f>IF([1]Accounts!$D$238="","",[1]Accounts!$J$238)</f>
        <v/>
      </c>
      <c r="F237">
        <f>IF([1]Accounts!$D$238="","",[1]Accounts!$K$238)</f>
        <v/>
      </c>
      <c r="U237">
        <f>IF([2]Baskol!$B$240="","",[2]Baskol!$B$240)</f>
        <v/>
      </c>
      <c r="V237">
        <f>IF([2]Baskol!$C$240="","",[2]Baskol!$C$240)</f>
        <v/>
      </c>
      <c r="W237">
        <f>IF([2]Baskol!$D$240="","",[2]Baskol!$D$240)</f>
        <v/>
      </c>
      <c r="X237">
        <f>IF([2]Baskol!$E$240="","",[2]Baskol!$E$240)</f>
        <v/>
      </c>
      <c r="Y237">
        <f>IF([2]Baskol!$G$240="","",[2]Baskol!$G$240)</f>
        <v/>
      </c>
      <c r="Z237">
        <f>IF([2]Baskol!$I$240="","",[2]Baskol!$I$240)</f>
        <v/>
      </c>
      <c r="AA237">
        <f>IF([2]Baskol!$J$240="","",[2]Baskol!$J$240)</f>
        <v/>
      </c>
      <c r="AB237">
        <f>IF([2]Baskol!$K$240="","",[2]Baskol!$K$240)</f>
        <v/>
      </c>
      <c r="AC237">
        <f>IF([2]Baskol!$L$240="","",[2]Baskol!$L$240)</f>
        <v/>
      </c>
      <c r="AD237">
        <f>IF([2]Baskol!$N$240="","",[2]Baskol!$N$240)</f>
        <v/>
      </c>
      <c r="AE237">
        <f>IF([2]Baskol!$O$240="","",[2]Baskol!$O$240)</f>
        <v/>
      </c>
      <c r="AG237">
        <f>IF([3]Entry!$C$240="","",[3]Entry!$C$240)</f>
        <v/>
      </c>
      <c r="AH237">
        <f>IF([3]Entry!$D$240="","",[3]Entry!$D$240)</f>
        <v/>
      </c>
      <c r="AI237">
        <f>IF([3]Entry!$E$240="","",[3]Entry!$E$240)</f>
        <v/>
      </c>
      <c r="AJ237">
        <f>IF([3]Entry!$G$240="","",[3]Entry!$G$240)</f>
        <v/>
      </c>
      <c r="AK237">
        <f>IF([3]Entry!$K$240="","",[3]Entry!$K$240)</f>
        <v/>
      </c>
      <c r="AL237">
        <f>IF([3]Entry!$L$240="","",[3]Entry!$L$240)</f>
        <v/>
      </c>
      <c r="AM237">
        <f>IF([3]Entry!$M$240="","",[3]Entry!$M$240)</f>
        <v/>
      </c>
      <c r="AN237">
        <f>IF([3]Entry!$N$240="","",[3]Entry!$N$240)</f>
        <v/>
      </c>
      <c r="AO237">
        <f>IF([3]Entry!$R$240="","",[3]Entry!$R$240)</f>
        <v/>
      </c>
      <c r="AQ237">
        <f>IF(AND($D237&lt;&gt;"",$A237&lt;&gt;""),1,0)</f>
        <v/>
      </c>
      <c r="AR237">
        <f>SUM($AQ$6:$AQ237)</f>
        <v/>
      </c>
      <c r="AS237">
        <f>IFERROR(INDEX($A$6:$A$565,MATCH(ROW()-5,$AR$6:$AR$565,0)),"")</f>
        <v/>
      </c>
    </row>
    <row r="238">
      <c r="A238">
        <f>IF([1]Accounts!$D$239="","",[1]Accounts!$A$239)</f>
        <v/>
      </c>
      <c r="B238">
        <f>IF([1]Accounts!$D$239="","",[1]Accounts!$B$239)</f>
        <v/>
      </c>
      <c r="C238">
        <f>IF([1]Accounts!$D$239="","",[1]Accounts!$C$239)</f>
        <v/>
      </c>
      <c r="D238">
        <f>IF([1]Accounts!$D$239="","",[1]Accounts!$D$239)</f>
        <v/>
      </c>
      <c r="E238">
        <f>IF([1]Accounts!$D$239="","",[1]Accounts!$J$239)</f>
        <v/>
      </c>
      <c r="F238">
        <f>IF([1]Accounts!$D$239="","",[1]Accounts!$K$239)</f>
        <v/>
      </c>
      <c r="U238">
        <f>IF([2]Baskol!$B$241="","",[2]Baskol!$B$241)</f>
        <v/>
      </c>
      <c r="V238">
        <f>IF([2]Baskol!$C$241="","",[2]Baskol!$C$241)</f>
        <v/>
      </c>
      <c r="W238">
        <f>IF([2]Baskol!$D$241="","",[2]Baskol!$D$241)</f>
        <v/>
      </c>
      <c r="X238">
        <f>IF([2]Baskol!$E$241="","",[2]Baskol!$E$241)</f>
        <v/>
      </c>
      <c r="Y238">
        <f>IF([2]Baskol!$G$241="","",[2]Baskol!$G$241)</f>
        <v/>
      </c>
      <c r="Z238">
        <f>IF([2]Baskol!$I$241="","",[2]Baskol!$I$241)</f>
        <v/>
      </c>
      <c r="AA238">
        <f>IF([2]Baskol!$J$241="","",[2]Baskol!$J$241)</f>
        <v/>
      </c>
      <c r="AB238">
        <f>IF([2]Baskol!$K$241="","",[2]Baskol!$K$241)</f>
        <v/>
      </c>
      <c r="AC238">
        <f>IF([2]Baskol!$L$241="","",[2]Baskol!$L$241)</f>
        <v/>
      </c>
      <c r="AD238">
        <f>IF([2]Baskol!$N$241="","",[2]Baskol!$N$241)</f>
        <v/>
      </c>
      <c r="AE238">
        <f>IF([2]Baskol!$O$241="","",[2]Baskol!$O$241)</f>
        <v/>
      </c>
      <c r="AG238">
        <f>IF([3]Entry!$C$241="","",[3]Entry!$C$241)</f>
        <v/>
      </c>
      <c r="AH238">
        <f>IF([3]Entry!$D$241="","",[3]Entry!$D$241)</f>
        <v/>
      </c>
      <c r="AI238">
        <f>IF([3]Entry!$E$241="","",[3]Entry!$E$241)</f>
        <v/>
      </c>
      <c r="AJ238">
        <f>IF([3]Entry!$G$241="","",[3]Entry!$G$241)</f>
        <v/>
      </c>
      <c r="AK238">
        <f>IF([3]Entry!$K$241="","",[3]Entry!$K$241)</f>
        <v/>
      </c>
      <c r="AL238">
        <f>IF([3]Entry!$L$241="","",[3]Entry!$L$241)</f>
        <v/>
      </c>
      <c r="AM238">
        <f>IF([3]Entry!$M$241="","",[3]Entry!$M$241)</f>
        <v/>
      </c>
      <c r="AN238">
        <f>IF([3]Entry!$N$241="","",[3]Entry!$N$241)</f>
        <v/>
      </c>
      <c r="AO238">
        <f>IF([3]Entry!$R$241="","",[3]Entry!$R$241)</f>
        <v/>
      </c>
      <c r="AQ238">
        <f>IF(AND($D238&lt;&gt;"",$A238&lt;&gt;""),1,0)</f>
        <v/>
      </c>
      <c r="AR238">
        <f>SUM($AQ$6:$AQ238)</f>
        <v/>
      </c>
      <c r="AS238">
        <f>IFERROR(INDEX($A$6:$A$565,MATCH(ROW()-5,$AR$6:$AR$565,0)),"")</f>
        <v/>
      </c>
    </row>
    <row r="239">
      <c r="A239">
        <f>IF([1]Accounts!$D$240="","",[1]Accounts!$A$240)</f>
        <v/>
      </c>
      <c r="B239">
        <f>IF([1]Accounts!$D$240="","",[1]Accounts!$B$240)</f>
        <v/>
      </c>
      <c r="C239">
        <f>IF([1]Accounts!$D$240="","",[1]Accounts!$C$240)</f>
        <v/>
      </c>
      <c r="D239">
        <f>IF([1]Accounts!$D$240="","",[1]Accounts!$D$240)</f>
        <v/>
      </c>
      <c r="E239">
        <f>IF([1]Accounts!$D$240="","",[1]Accounts!$J$240)</f>
        <v/>
      </c>
      <c r="F239">
        <f>IF([1]Accounts!$D$240="","",[1]Accounts!$K$240)</f>
        <v/>
      </c>
      <c r="U239">
        <f>IF([2]Baskol!$B$242="","",[2]Baskol!$B$242)</f>
        <v/>
      </c>
      <c r="V239">
        <f>IF([2]Baskol!$C$242="","",[2]Baskol!$C$242)</f>
        <v/>
      </c>
      <c r="W239">
        <f>IF([2]Baskol!$D$242="","",[2]Baskol!$D$242)</f>
        <v/>
      </c>
      <c r="X239">
        <f>IF([2]Baskol!$E$242="","",[2]Baskol!$E$242)</f>
        <v/>
      </c>
      <c r="Y239">
        <f>IF([2]Baskol!$G$242="","",[2]Baskol!$G$242)</f>
        <v/>
      </c>
      <c r="Z239">
        <f>IF([2]Baskol!$I$242="","",[2]Baskol!$I$242)</f>
        <v/>
      </c>
      <c r="AA239">
        <f>IF([2]Baskol!$J$242="","",[2]Baskol!$J$242)</f>
        <v/>
      </c>
      <c r="AB239">
        <f>IF([2]Baskol!$K$242="","",[2]Baskol!$K$242)</f>
        <v/>
      </c>
      <c r="AC239">
        <f>IF([2]Baskol!$L$242="","",[2]Baskol!$L$242)</f>
        <v/>
      </c>
      <c r="AD239">
        <f>IF([2]Baskol!$N$242="","",[2]Baskol!$N$242)</f>
        <v/>
      </c>
      <c r="AE239">
        <f>IF([2]Baskol!$O$242="","",[2]Baskol!$O$242)</f>
        <v/>
      </c>
      <c r="AG239">
        <f>IF([3]Entry!$C$242="","",[3]Entry!$C$242)</f>
        <v/>
      </c>
      <c r="AH239">
        <f>IF([3]Entry!$D$242="","",[3]Entry!$D$242)</f>
        <v/>
      </c>
      <c r="AI239">
        <f>IF([3]Entry!$E$242="","",[3]Entry!$E$242)</f>
        <v/>
      </c>
      <c r="AJ239">
        <f>IF([3]Entry!$G$242="","",[3]Entry!$G$242)</f>
        <v/>
      </c>
      <c r="AK239">
        <f>IF([3]Entry!$K$242="","",[3]Entry!$K$242)</f>
        <v/>
      </c>
      <c r="AL239">
        <f>IF([3]Entry!$L$242="","",[3]Entry!$L$242)</f>
        <v/>
      </c>
      <c r="AM239">
        <f>IF([3]Entry!$M$242="","",[3]Entry!$M$242)</f>
        <v/>
      </c>
      <c r="AN239">
        <f>IF([3]Entry!$N$242="","",[3]Entry!$N$242)</f>
        <v/>
      </c>
      <c r="AO239">
        <f>IF([3]Entry!$R$242="","",[3]Entry!$R$242)</f>
        <v/>
      </c>
      <c r="AQ239">
        <f>IF(AND($D239&lt;&gt;"",$A239&lt;&gt;""),1,0)</f>
        <v/>
      </c>
      <c r="AR239">
        <f>SUM($AQ$6:$AQ239)</f>
        <v/>
      </c>
      <c r="AS239">
        <f>IFERROR(INDEX($A$6:$A$565,MATCH(ROW()-5,$AR$6:$AR$565,0)),"")</f>
        <v/>
      </c>
    </row>
    <row r="240">
      <c r="A240">
        <f>IF([1]Accounts!$D$241="","",[1]Accounts!$A$241)</f>
        <v/>
      </c>
      <c r="B240">
        <f>IF([1]Accounts!$D$241="","",[1]Accounts!$B$241)</f>
        <v/>
      </c>
      <c r="C240">
        <f>IF([1]Accounts!$D$241="","",[1]Accounts!$C$241)</f>
        <v/>
      </c>
      <c r="D240">
        <f>IF([1]Accounts!$D$241="","",[1]Accounts!$D$241)</f>
        <v/>
      </c>
      <c r="E240">
        <f>IF([1]Accounts!$D$241="","",[1]Accounts!$J$241)</f>
        <v/>
      </c>
      <c r="F240">
        <f>IF([1]Accounts!$D$241="","",[1]Accounts!$K$241)</f>
        <v/>
      </c>
      <c r="U240">
        <f>IF([2]Baskol!$B$243="","",[2]Baskol!$B$243)</f>
        <v/>
      </c>
      <c r="V240">
        <f>IF([2]Baskol!$C$243="","",[2]Baskol!$C$243)</f>
        <v/>
      </c>
      <c r="W240">
        <f>IF([2]Baskol!$D$243="","",[2]Baskol!$D$243)</f>
        <v/>
      </c>
      <c r="X240">
        <f>IF([2]Baskol!$E$243="","",[2]Baskol!$E$243)</f>
        <v/>
      </c>
      <c r="Y240">
        <f>IF([2]Baskol!$G$243="","",[2]Baskol!$G$243)</f>
        <v/>
      </c>
      <c r="Z240">
        <f>IF([2]Baskol!$I$243="","",[2]Baskol!$I$243)</f>
        <v/>
      </c>
      <c r="AA240">
        <f>IF([2]Baskol!$J$243="","",[2]Baskol!$J$243)</f>
        <v/>
      </c>
      <c r="AB240">
        <f>IF([2]Baskol!$K$243="","",[2]Baskol!$K$243)</f>
        <v/>
      </c>
      <c r="AC240">
        <f>IF([2]Baskol!$L$243="","",[2]Baskol!$L$243)</f>
        <v/>
      </c>
      <c r="AD240">
        <f>IF([2]Baskol!$N$243="","",[2]Baskol!$N$243)</f>
        <v/>
      </c>
      <c r="AE240">
        <f>IF([2]Baskol!$O$243="","",[2]Baskol!$O$243)</f>
        <v/>
      </c>
      <c r="AG240">
        <f>IF([3]Entry!$C$243="","",[3]Entry!$C$243)</f>
        <v/>
      </c>
      <c r="AH240">
        <f>IF([3]Entry!$D$243="","",[3]Entry!$D$243)</f>
        <v/>
      </c>
      <c r="AI240">
        <f>IF([3]Entry!$E$243="","",[3]Entry!$E$243)</f>
        <v/>
      </c>
      <c r="AJ240">
        <f>IF([3]Entry!$G$243="","",[3]Entry!$G$243)</f>
        <v/>
      </c>
      <c r="AK240">
        <f>IF([3]Entry!$K$243="","",[3]Entry!$K$243)</f>
        <v/>
      </c>
      <c r="AL240">
        <f>IF([3]Entry!$L$243="","",[3]Entry!$L$243)</f>
        <v/>
      </c>
      <c r="AM240">
        <f>IF([3]Entry!$M$243="","",[3]Entry!$M$243)</f>
        <v/>
      </c>
      <c r="AN240">
        <f>IF([3]Entry!$N$243="","",[3]Entry!$N$243)</f>
        <v/>
      </c>
      <c r="AO240">
        <f>IF([3]Entry!$R$243="","",[3]Entry!$R$243)</f>
        <v/>
      </c>
      <c r="AQ240">
        <f>IF(AND($D240&lt;&gt;"",$A240&lt;&gt;""),1,0)</f>
        <v/>
      </c>
      <c r="AR240">
        <f>SUM($AQ$6:$AQ240)</f>
        <v/>
      </c>
      <c r="AS240">
        <f>IFERROR(INDEX($A$6:$A$565,MATCH(ROW()-5,$AR$6:$AR$565,0)),"")</f>
        <v/>
      </c>
    </row>
    <row r="241">
      <c r="A241">
        <f>IF([1]Accounts!$D$242="","",[1]Accounts!$A$242)</f>
        <v/>
      </c>
      <c r="B241">
        <f>IF([1]Accounts!$D$242="","",[1]Accounts!$B$242)</f>
        <v/>
      </c>
      <c r="C241">
        <f>IF([1]Accounts!$D$242="","",[1]Accounts!$C$242)</f>
        <v/>
      </c>
      <c r="D241">
        <f>IF([1]Accounts!$D$242="","",[1]Accounts!$D$242)</f>
        <v/>
      </c>
      <c r="E241">
        <f>IF([1]Accounts!$D$242="","",[1]Accounts!$J$242)</f>
        <v/>
      </c>
      <c r="F241">
        <f>IF([1]Accounts!$D$242="","",[1]Accounts!$K$242)</f>
        <v/>
      </c>
      <c r="U241">
        <f>IF([2]Baskol!$B$244="","",[2]Baskol!$B$244)</f>
        <v/>
      </c>
      <c r="V241">
        <f>IF([2]Baskol!$C$244="","",[2]Baskol!$C$244)</f>
        <v/>
      </c>
      <c r="W241">
        <f>IF([2]Baskol!$D$244="","",[2]Baskol!$D$244)</f>
        <v/>
      </c>
      <c r="X241">
        <f>IF([2]Baskol!$E$244="","",[2]Baskol!$E$244)</f>
        <v/>
      </c>
      <c r="Y241">
        <f>IF([2]Baskol!$G$244="","",[2]Baskol!$G$244)</f>
        <v/>
      </c>
      <c r="Z241">
        <f>IF([2]Baskol!$I$244="","",[2]Baskol!$I$244)</f>
        <v/>
      </c>
      <c r="AA241">
        <f>IF([2]Baskol!$J$244="","",[2]Baskol!$J$244)</f>
        <v/>
      </c>
      <c r="AB241">
        <f>IF([2]Baskol!$K$244="","",[2]Baskol!$K$244)</f>
        <v/>
      </c>
      <c r="AC241">
        <f>IF([2]Baskol!$L$244="","",[2]Baskol!$L$244)</f>
        <v/>
      </c>
      <c r="AD241">
        <f>IF([2]Baskol!$N$244="","",[2]Baskol!$N$244)</f>
        <v/>
      </c>
      <c r="AE241">
        <f>IF([2]Baskol!$O$244="","",[2]Baskol!$O$244)</f>
        <v/>
      </c>
      <c r="AG241">
        <f>IF([3]Entry!$C$244="","",[3]Entry!$C$244)</f>
        <v/>
      </c>
      <c r="AH241">
        <f>IF([3]Entry!$D$244="","",[3]Entry!$D$244)</f>
        <v/>
      </c>
      <c r="AI241">
        <f>IF([3]Entry!$E$244="","",[3]Entry!$E$244)</f>
        <v/>
      </c>
      <c r="AJ241">
        <f>IF([3]Entry!$G$244="","",[3]Entry!$G$244)</f>
        <v/>
      </c>
      <c r="AK241">
        <f>IF([3]Entry!$K$244="","",[3]Entry!$K$244)</f>
        <v/>
      </c>
      <c r="AL241">
        <f>IF([3]Entry!$L$244="","",[3]Entry!$L$244)</f>
        <v/>
      </c>
      <c r="AM241">
        <f>IF([3]Entry!$M$244="","",[3]Entry!$M$244)</f>
        <v/>
      </c>
      <c r="AN241">
        <f>IF([3]Entry!$N$244="","",[3]Entry!$N$244)</f>
        <v/>
      </c>
      <c r="AO241">
        <f>IF([3]Entry!$R$244="","",[3]Entry!$R$244)</f>
        <v/>
      </c>
      <c r="AQ241">
        <f>IF(AND($D241&lt;&gt;"",$A241&lt;&gt;""),1,0)</f>
        <v/>
      </c>
      <c r="AR241">
        <f>SUM($AQ$6:$AQ241)</f>
        <v/>
      </c>
      <c r="AS241">
        <f>IFERROR(INDEX($A$6:$A$565,MATCH(ROW()-5,$AR$6:$AR$565,0)),"")</f>
        <v/>
      </c>
    </row>
    <row r="242">
      <c r="A242">
        <f>IF([1]Accounts!$D$243="","",[1]Accounts!$A$243)</f>
        <v/>
      </c>
      <c r="B242">
        <f>IF([1]Accounts!$D$243="","",[1]Accounts!$B$243)</f>
        <v/>
      </c>
      <c r="C242">
        <f>IF([1]Accounts!$D$243="","",[1]Accounts!$C$243)</f>
        <v/>
      </c>
      <c r="D242">
        <f>IF([1]Accounts!$D$243="","",[1]Accounts!$D$243)</f>
        <v/>
      </c>
      <c r="E242">
        <f>IF([1]Accounts!$D$243="","",[1]Accounts!$J$243)</f>
        <v/>
      </c>
      <c r="F242">
        <f>IF([1]Accounts!$D$243="","",[1]Accounts!$K$243)</f>
        <v/>
      </c>
      <c r="U242">
        <f>IF([2]Baskol!$B$245="","",[2]Baskol!$B$245)</f>
        <v/>
      </c>
      <c r="V242">
        <f>IF([2]Baskol!$C$245="","",[2]Baskol!$C$245)</f>
        <v/>
      </c>
      <c r="W242">
        <f>IF([2]Baskol!$D$245="","",[2]Baskol!$D$245)</f>
        <v/>
      </c>
      <c r="X242">
        <f>IF([2]Baskol!$E$245="","",[2]Baskol!$E$245)</f>
        <v/>
      </c>
      <c r="Y242">
        <f>IF([2]Baskol!$G$245="","",[2]Baskol!$G$245)</f>
        <v/>
      </c>
      <c r="Z242">
        <f>IF([2]Baskol!$I$245="","",[2]Baskol!$I$245)</f>
        <v/>
      </c>
      <c r="AA242">
        <f>IF([2]Baskol!$J$245="","",[2]Baskol!$J$245)</f>
        <v/>
      </c>
      <c r="AB242">
        <f>IF([2]Baskol!$K$245="","",[2]Baskol!$K$245)</f>
        <v/>
      </c>
      <c r="AC242">
        <f>IF([2]Baskol!$L$245="","",[2]Baskol!$L$245)</f>
        <v/>
      </c>
      <c r="AD242">
        <f>IF([2]Baskol!$N$245="","",[2]Baskol!$N$245)</f>
        <v/>
      </c>
      <c r="AE242">
        <f>IF([2]Baskol!$O$245="","",[2]Baskol!$O$245)</f>
        <v/>
      </c>
      <c r="AG242">
        <f>IF([3]Entry!$C$245="","",[3]Entry!$C$245)</f>
        <v/>
      </c>
      <c r="AH242">
        <f>IF([3]Entry!$D$245="","",[3]Entry!$D$245)</f>
        <v/>
      </c>
      <c r="AI242">
        <f>IF([3]Entry!$E$245="","",[3]Entry!$E$245)</f>
        <v/>
      </c>
      <c r="AJ242">
        <f>IF([3]Entry!$G$245="","",[3]Entry!$G$245)</f>
        <v/>
      </c>
      <c r="AK242">
        <f>IF([3]Entry!$K$245="","",[3]Entry!$K$245)</f>
        <v/>
      </c>
      <c r="AL242">
        <f>IF([3]Entry!$L$245="","",[3]Entry!$L$245)</f>
        <v/>
      </c>
      <c r="AM242">
        <f>IF([3]Entry!$M$245="","",[3]Entry!$M$245)</f>
        <v/>
      </c>
      <c r="AN242">
        <f>IF([3]Entry!$N$245="","",[3]Entry!$N$245)</f>
        <v/>
      </c>
      <c r="AO242">
        <f>IF([3]Entry!$R$245="","",[3]Entry!$R$245)</f>
        <v/>
      </c>
      <c r="AQ242">
        <f>IF(AND($D242&lt;&gt;"",$A242&lt;&gt;""),1,0)</f>
        <v/>
      </c>
      <c r="AR242">
        <f>SUM($AQ$6:$AQ242)</f>
        <v/>
      </c>
      <c r="AS242">
        <f>IFERROR(INDEX($A$6:$A$565,MATCH(ROW()-5,$AR$6:$AR$565,0)),"")</f>
        <v/>
      </c>
    </row>
    <row r="243">
      <c r="A243">
        <f>IF([1]Accounts!$D$244="","",[1]Accounts!$A$244)</f>
        <v/>
      </c>
      <c r="B243">
        <f>IF([1]Accounts!$D$244="","",[1]Accounts!$B$244)</f>
        <v/>
      </c>
      <c r="C243">
        <f>IF([1]Accounts!$D$244="","",[1]Accounts!$C$244)</f>
        <v/>
      </c>
      <c r="D243">
        <f>IF([1]Accounts!$D$244="","",[1]Accounts!$D$244)</f>
        <v/>
      </c>
      <c r="E243">
        <f>IF([1]Accounts!$D$244="","",[1]Accounts!$J$244)</f>
        <v/>
      </c>
      <c r="F243">
        <f>IF([1]Accounts!$D$244="","",[1]Accounts!$K$244)</f>
        <v/>
      </c>
      <c r="U243">
        <f>IF([2]Baskol!$B$246="","",[2]Baskol!$B$246)</f>
        <v/>
      </c>
      <c r="V243">
        <f>IF([2]Baskol!$C$246="","",[2]Baskol!$C$246)</f>
        <v/>
      </c>
      <c r="W243">
        <f>IF([2]Baskol!$D$246="","",[2]Baskol!$D$246)</f>
        <v/>
      </c>
      <c r="X243">
        <f>IF([2]Baskol!$E$246="","",[2]Baskol!$E$246)</f>
        <v/>
      </c>
      <c r="Y243">
        <f>IF([2]Baskol!$G$246="","",[2]Baskol!$G$246)</f>
        <v/>
      </c>
      <c r="Z243">
        <f>IF([2]Baskol!$I$246="","",[2]Baskol!$I$246)</f>
        <v/>
      </c>
      <c r="AA243">
        <f>IF([2]Baskol!$J$246="","",[2]Baskol!$J$246)</f>
        <v/>
      </c>
      <c r="AB243">
        <f>IF([2]Baskol!$K$246="","",[2]Baskol!$K$246)</f>
        <v/>
      </c>
      <c r="AC243">
        <f>IF([2]Baskol!$L$246="","",[2]Baskol!$L$246)</f>
        <v/>
      </c>
      <c r="AD243">
        <f>IF([2]Baskol!$N$246="","",[2]Baskol!$N$246)</f>
        <v/>
      </c>
      <c r="AE243">
        <f>IF([2]Baskol!$O$246="","",[2]Baskol!$O$246)</f>
        <v/>
      </c>
      <c r="AG243">
        <f>IF([3]Entry!$C$246="","",[3]Entry!$C$246)</f>
        <v/>
      </c>
      <c r="AH243">
        <f>IF([3]Entry!$D$246="","",[3]Entry!$D$246)</f>
        <v/>
      </c>
      <c r="AI243">
        <f>IF([3]Entry!$E$246="","",[3]Entry!$E$246)</f>
        <v/>
      </c>
      <c r="AJ243">
        <f>IF([3]Entry!$G$246="","",[3]Entry!$G$246)</f>
        <v/>
      </c>
      <c r="AK243">
        <f>IF([3]Entry!$K$246="","",[3]Entry!$K$246)</f>
        <v/>
      </c>
      <c r="AL243">
        <f>IF([3]Entry!$L$246="","",[3]Entry!$L$246)</f>
        <v/>
      </c>
      <c r="AM243">
        <f>IF([3]Entry!$M$246="","",[3]Entry!$M$246)</f>
        <v/>
      </c>
      <c r="AN243">
        <f>IF([3]Entry!$N$246="","",[3]Entry!$N$246)</f>
        <v/>
      </c>
      <c r="AO243">
        <f>IF([3]Entry!$R$246="","",[3]Entry!$R$246)</f>
        <v/>
      </c>
      <c r="AQ243">
        <f>IF(AND($D243&lt;&gt;"",$A243&lt;&gt;""),1,0)</f>
        <v/>
      </c>
      <c r="AR243">
        <f>SUM($AQ$6:$AQ243)</f>
        <v/>
      </c>
      <c r="AS243">
        <f>IFERROR(INDEX($A$6:$A$565,MATCH(ROW()-5,$AR$6:$AR$565,0)),"")</f>
        <v/>
      </c>
    </row>
    <row r="244">
      <c r="A244">
        <f>IF([1]Accounts!$D$245="","",[1]Accounts!$A$245)</f>
        <v/>
      </c>
      <c r="B244">
        <f>IF([1]Accounts!$D$245="","",[1]Accounts!$B$245)</f>
        <v/>
      </c>
      <c r="C244">
        <f>IF([1]Accounts!$D$245="","",[1]Accounts!$C$245)</f>
        <v/>
      </c>
      <c r="D244">
        <f>IF([1]Accounts!$D$245="","",[1]Accounts!$D$245)</f>
        <v/>
      </c>
      <c r="E244">
        <f>IF([1]Accounts!$D$245="","",[1]Accounts!$J$245)</f>
        <v/>
      </c>
      <c r="F244">
        <f>IF([1]Accounts!$D$245="","",[1]Accounts!$K$245)</f>
        <v/>
      </c>
      <c r="U244">
        <f>IF([2]Baskol!$B$247="","",[2]Baskol!$B$247)</f>
        <v/>
      </c>
      <c r="V244">
        <f>IF([2]Baskol!$C$247="","",[2]Baskol!$C$247)</f>
        <v/>
      </c>
      <c r="W244">
        <f>IF([2]Baskol!$D$247="","",[2]Baskol!$D$247)</f>
        <v/>
      </c>
      <c r="X244">
        <f>IF([2]Baskol!$E$247="","",[2]Baskol!$E$247)</f>
        <v/>
      </c>
      <c r="Y244">
        <f>IF([2]Baskol!$G$247="","",[2]Baskol!$G$247)</f>
        <v/>
      </c>
      <c r="Z244">
        <f>IF([2]Baskol!$I$247="","",[2]Baskol!$I$247)</f>
        <v/>
      </c>
      <c r="AA244">
        <f>IF([2]Baskol!$J$247="","",[2]Baskol!$J$247)</f>
        <v/>
      </c>
      <c r="AB244">
        <f>IF([2]Baskol!$K$247="","",[2]Baskol!$K$247)</f>
        <v/>
      </c>
      <c r="AC244">
        <f>IF([2]Baskol!$L$247="","",[2]Baskol!$L$247)</f>
        <v/>
      </c>
      <c r="AD244">
        <f>IF([2]Baskol!$N$247="","",[2]Baskol!$N$247)</f>
        <v/>
      </c>
      <c r="AE244">
        <f>IF([2]Baskol!$O$247="","",[2]Baskol!$O$247)</f>
        <v/>
      </c>
      <c r="AG244">
        <f>IF([3]Entry!$C$247="","",[3]Entry!$C$247)</f>
        <v/>
      </c>
      <c r="AH244">
        <f>IF([3]Entry!$D$247="","",[3]Entry!$D$247)</f>
        <v/>
      </c>
      <c r="AI244">
        <f>IF([3]Entry!$E$247="","",[3]Entry!$E$247)</f>
        <v/>
      </c>
      <c r="AJ244">
        <f>IF([3]Entry!$G$247="","",[3]Entry!$G$247)</f>
        <v/>
      </c>
      <c r="AK244">
        <f>IF([3]Entry!$K$247="","",[3]Entry!$K$247)</f>
        <v/>
      </c>
      <c r="AL244">
        <f>IF([3]Entry!$L$247="","",[3]Entry!$L$247)</f>
        <v/>
      </c>
      <c r="AM244">
        <f>IF([3]Entry!$M$247="","",[3]Entry!$M$247)</f>
        <v/>
      </c>
      <c r="AN244">
        <f>IF([3]Entry!$N$247="","",[3]Entry!$N$247)</f>
        <v/>
      </c>
      <c r="AO244">
        <f>IF([3]Entry!$R$247="","",[3]Entry!$R$247)</f>
        <v/>
      </c>
      <c r="AQ244">
        <f>IF(AND($D244&lt;&gt;"",$A244&lt;&gt;""),1,0)</f>
        <v/>
      </c>
      <c r="AR244">
        <f>SUM($AQ$6:$AQ244)</f>
        <v/>
      </c>
      <c r="AS244">
        <f>IFERROR(INDEX($A$6:$A$565,MATCH(ROW()-5,$AR$6:$AR$565,0)),"")</f>
        <v/>
      </c>
    </row>
    <row r="245">
      <c r="A245">
        <f>IF([1]Accounts!$D$246="","",[1]Accounts!$A$246)</f>
        <v/>
      </c>
      <c r="B245">
        <f>IF([1]Accounts!$D$246="","",[1]Accounts!$B$246)</f>
        <v/>
      </c>
      <c r="C245">
        <f>IF([1]Accounts!$D$246="","",[1]Accounts!$C$246)</f>
        <v/>
      </c>
      <c r="D245">
        <f>IF([1]Accounts!$D$246="","",[1]Accounts!$D$246)</f>
        <v/>
      </c>
      <c r="E245">
        <f>IF([1]Accounts!$D$246="","",[1]Accounts!$J$246)</f>
        <v/>
      </c>
      <c r="F245">
        <f>IF([1]Accounts!$D$246="","",[1]Accounts!$K$246)</f>
        <v/>
      </c>
      <c r="U245">
        <f>IF([2]Baskol!$B$248="","",[2]Baskol!$B$248)</f>
        <v/>
      </c>
      <c r="V245">
        <f>IF([2]Baskol!$C$248="","",[2]Baskol!$C$248)</f>
        <v/>
      </c>
      <c r="W245">
        <f>IF([2]Baskol!$D$248="","",[2]Baskol!$D$248)</f>
        <v/>
      </c>
      <c r="X245">
        <f>IF([2]Baskol!$E$248="","",[2]Baskol!$E$248)</f>
        <v/>
      </c>
      <c r="Y245">
        <f>IF([2]Baskol!$G$248="","",[2]Baskol!$G$248)</f>
        <v/>
      </c>
      <c r="Z245">
        <f>IF([2]Baskol!$I$248="","",[2]Baskol!$I$248)</f>
        <v/>
      </c>
      <c r="AA245">
        <f>IF([2]Baskol!$J$248="","",[2]Baskol!$J$248)</f>
        <v/>
      </c>
      <c r="AB245">
        <f>IF([2]Baskol!$K$248="","",[2]Baskol!$K$248)</f>
        <v/>
      </c>
      <c r="AC245">
        <f>IF([2]Baskol!$L$248="","",[2]Baskol!$L$248)</f>
        <v/>
      </c>
      <c r="AD245">
        <f>IF([2]Baskol!$N$248="","",[2]Baskol!$N$248)</f>
        <v/>
      </c>
      <c r="AE245">
        <f>IF([2]Baskol!$O$248="","",[2]Baskol!$O$248)</f>
        <v/>
      </c>
      <c r="AG245">
        <f>IF([3]Entry!$C$248="","",[3]Entry!$C$248)</f>
        <v/>
      </c>
      <c r="AH245">
        <f>IF([3]Entry!$D$248="","",[3]Entry!$D$248)</f>
        <v/>
      </c>
      <c r="AI245">
        <f>IF([3]Entry!$E$248="","",[3]Entry!$E$248)</f>
        <v/>
      </c>
      <c r="AJ245">
        <f>IF([3]Entry!$G$248="","",[3]Entry!$G$248)</f>
        <v/>
      </c>
      <c r="AK245">
        <f>IF([3]Entry!$K$248="","",[3]Entry!$K$248)</f>
        <v/>
      </c>
      <c r="AL245">
        <f>IF([3]Entry!$L$248="","",[3]Entry!$L$248)</f>
        <v/>
      </c>
      <c r="AM245">
        <f>IF([3]Entry!$M$248="","",[3]Entry!$M$248)</f>
        <v/>
      </c>
      <c r="AN245">
        <f>IF([3]Entry!$N$248="","",[3]Entry!$N$248)</f>
        <v/>
      </c>
      <c r="AO245">
        <f>IF([3]Entry!$R$248="","",[3]Entry!$R$248)</f>
        <v/>
      </c>
      <c r="AQ245">
        <f>IF(AND($D245&lt;&gt;"",$A245&lt;&gt;""),1,0)</f>
        <v/>
      </c>
      <c r="AR245">
        <f>SUM($AQ$6:$AQ245)</f>
        <v/>
      </c>
      <c r="AS245">
        <f>IFERROR(INDEX($A$6:$A$565,MATCH(ROW()-5,$AR$6:$AR$565,0)),"")</f>
        <v/>
      </c>
    </row>
    <row r="246">
      <c r="A246">
        <f>IF([1]Accounts!$D$247="","",[1]Accounts!$A$247)</f>
        <v/>
      </c>
      <c r="B246">
        <f>IF([1]Accounts!$D$247="","",[1]Accounts!$B$247)</f>
        <v/>
      </c>
      <c r="C246">
        <f>IF([1]Accounts!$D$247="","",[1]Accounts!$C$247)</f>
        <v/>
      </c>
      <c r="D246">
        <f>IF([1]Accounts!$D$247="","",[1]Accounts!$D$247)</f>
        <v/>
      </c>
      <c r="E246">
        <f>IF([1]Accounts!$D$247="","",[1]Accounts!$J$247)</f>
        <v/>
      </c>
      <c r="F246">
        <f>IF([1]Accounts!$D$247="","",[1]Accounts!$K$247)</f>
        <v/>
      </c>
      <c r="U246">
        <f>IF([2]Baskol!$B$249="","",[2]Baskol!$B$249)</f>
        <v/>
      </c>
      <c r="V246">
        <f>IF([2]Baskol!$C$249="","",[2]Baskol!$C$249)</f>
        <v/>
      </c>
      <c r="W246">
        <f>IF([2]Baskol!$D$249="","",[2]Baskol!$D$249)</f>
        <v/>
      </c>
      <c r="X246">
        <f>IF([2]Baskol!$E$249="","",[2]Baskol!$E$249)</f>
        <v/>
      </c>
      <c r="Y246">
        <f>IF([2]Baskol!$G$249="","",[2]Baskol!$G$249)</f>
        <v/>
      </c>
      <c r="Z246">
        <f>IF([2]Baskol!$I$249="","",[2]Baskol!$I$249)</f>
        <v/>
      </c>
      <c r="AA246">
        <f>IF([2]Baskol!$J$249="","",[2]Baskol!$J$249)</f>
        <v/>
      </c>
      <c r="AB246">
        <f>IF([2]Baskol!$K$249="","",[2]Baskol!$K$249)</f>
        <v/>
      </c>
      <c r="AC246">
        <f>IF([2]Baskol!$L$249="","",[2]Baskol!$L$249)</f>
        <v/>
      </c>
      <c r="AD246">
        <f>IF([2]Baskol!$N$249="","",[2]Baskol!$N$249)</f>
        <v/>
      </c>
      <c r="AE246">
        <f>IF([2]Baskol!$O$249="","",[2]Baskol!$O$249)</f>
        <v/>
      </c>
      <c r="AG246">
        <f>IF([3]Entry!$C$249="","",[3]Entry!$C$249)</f>
        <v/>
      </c>
      <c r="AH246">
        <f>IF([3]Entry!$D$249="","",[3]Entry!$D$249)</f>
        <v/>
      </c>
      <c r="AI246">
        <f>IF([3]Entry!$E$249="","",[3]Entry!$E$249)</f>
        <v/>
      </c>
      <c r="AJ246">
        <f>IF([3]Entry!$G$249="","",[3]Entry!$G$249)</f>
        <v/>
      </c>
      <c r="AK246">
        <f>IF([3]Entry!$K$249="","",[3]Entry!$K$249)</f>
        <v/>
      </c>
      <c r="AL246">
        <f>IF([3]Entry!$L$249="","",[3]Entry!$L$249)</f>
        <v/>
      </c>
      <c r="AM246">
        <f>IF([3]Entry!$M$249="","",[3]Entry!$M$249)</f>
        <v/>
      </c>
      <c r="AN246">
        <f>IF([3]Entry!$N$249="","",[3]Entry!$N$249)</f>
        <v/>
      </c>
      <c r="AO246">
        <f>IF([3]Entry!$R$249="","",[3]Entry!$R$249)</f>
        <v/>
      </c>
      <c r="AQ246">
        <f>IF(AND($D246&lt;&gt;"",$A246&lt;&gt;""),1,0)</f>
        <v/>
      </c>
      <c r="AR246">
        <f>SUM($AQ$6:$AQ246)</f>
        <v/>
      </c>
      <c r="AS246">
        <f>IFERROR(INDEX($A$6:$A$565,MATCH(ROW()-5,$AR$6:$AR$565,0)),"")</f>
        <v/>
      </c>
    </row>
    <row r="247">
      <c r="A247">
        <f>IF([1]Accounts!$D$248="","",[1]Accounts!$A$248)</f>
        <v/>
      </c>
      <c r="B247">
        <f>IF([1]Accounts!$D$248="","",[1]Accounts!$B$248)</f>
        <v/>
      </c>
      <c r="C247">
        <f>IF([1]Accounts!$D$248="","",[1]Accounts!$C$248)</f>
        <v/>
      </c>
      <c r="D247">
        <f>IF([1]Accounts!$D$248="","",[1]Accounts!$D$248)</f>
        <v/>
      </c>
      <c r="E247">
        <f>IF([1]Accounts!$D$248="","",[1]Accounts!$J$248)</f>
        <v/>
      </c>
      <c r="F247">
        <f>IF([1]Accounts!$D$248="","",[1]Accounts!$K$248)</f>
        <v/>
      </c>
      <c r="U247">
        <f>IF([2]Baskol!$B$250="","",[2]Baskol!$B$250)</f>
        <v/>
      </c>
      <c r="V247">
        <f>IF([2]Baskol!$C$250="","",[2]Baskol!$C$250)</f>
        <v/>
      </c>
      <c r="W247">
        <f>IF([2]Baskol!$D$250="","",[2]Baskol!$D$250)</f>
        <v/>
      </c>
      <c r="X247">
        <f>IF([2]Baskol!$E$250="","",[2]Baskol!$E$250)</f>
        <v/>
      </c>
      <c r="Y247">
        <f>IF([2]Baskol!$G$250="","",[2]Baskol!$G$250)</f>
        <v/>
      </c>
      <c r="Z247">
        <f>IF([2]Baskol!$I$250="","",[2]Baskol!$I$250)</f>
        <v/>
      </c>
      <c r="AA247">
        <f>IF([2]Baskol!$J$250="","",[2]Baskol!$J$250)</f>
        <v/>
      </c>
      <c r="AB247">
        <f>IF([2]Baskol!$K$250="","",[2]Baskol!$K$250)</f>
        <v/>
      </c>
      <c r="AC247">
        <f>IF([2]Baskol!$L$250="","",[2]Baskol!$L$250)</f>
        <v/>
      </c>
      <c r="AD247">
        <f>IF([2]Baskol!$N$250="","",[2]Baskol!$N$250)</f>
        <v/>
      </c>
      <c r="AE247">
        <f>IF([2]Baskol!$O$250="","",[2]Baskol!$O$250)</f>
        <v/>
      </c>
      <c r="AG247">
        <f>IF([3]Entry!$C$250="","",[3]Entry!$C$250)</f>
        <v/>
      </c>
      <c r="AH247">
        <f>IF([3]Entry!$D$250="","",[3]Entry!$D$250)</f>
        <v/>
      </c>
      <c r="AI247">
        <f>IF([3]Entry!$E$250="","",[3]Entry!$E$250)</f>
        <v/>
      </c>
      <c r="AJ247">
        <f>IF([3]Entry!$G$250="","",[3]Entry!$G$250)</f>
        <v/>
      </c>
      <c r="AK247">
        <f>IF([3]Entry!$K$250="","",[3]Entry!$K$250)</f>
        <v/>
      </c>
      <c r="AL247">
        <f>IF([3]Entry!$L$250="","",[3]Entry!$L$250)</f>
        <v/>
      </c>
      <c r="AM247">
        <f>IF([3]Entry!$M$250="","",[3]Entry!$M$250)</f>
        <v/>
      </c>
      <c r="AN247">
        <f>IF([3]Entry!$N$250="","",[3]Entry!$N$250)</f>
        <v/>
      </c>
      <c r="AO247">
        <f>IF([3]Entry!$R$250="","",[3]Entry!$R$250)</f>
        <v/>
      </c>
      <c r="AQ247">
        <f>IF(AND($D247&lt;&gt;"",$A247&lt;&gt;""),1,0)</f>
        <v/>
      </c>
      <c r="AR247">
        <f>SUM($AQ$6:$AQ247)</f>
        <v/>
      </c>
      <c r="AS247">
        <f>IFERROR(INDEX($A$6:$A$565,MATCH(ROW()-5,$AR$6:$AR$565,0)),"")</f>
        <v/>
      </c>
    </row>
    <row r="248">
      <c r="A248">
        <f>IF([1]Accounts!$D$249="","",[1]Accounts!$A$249)</f>
        <v/>
      </c>
      <c r="B248">
        <f>IF([1]Accounts!$D$249="","",[1]Accounts!$B$249)</f>
        <v/>
      </c>
      <c r="C248">
        <f>IF([1]Accounts!$D$249="","",[1]Accounts!$C$249)</f>
        <v/>
      </c>
      <c r="D248">
        <f>IF([1]Accounts!$D$249="","",[1]Accounts!$D$249)</f>
        <v/>
      </c>
      <c r="E248">
        <f>IF([1]Accounts!$D$249="","",[1]Accounts!$J$249)</f>
        <v/>
      </c>
      <c r="F248">
        <f>IF([1]Accounts!$D$249="","",[1]Accounts!$K$249)</f>
        <v/>
      </c>
      <c r="U248">
        <f>IF([2]Baskol!$B$251="","",[2]Baskol!$B$251)</f>
        <v/>
      </c>
      <c r="V248">
        <f>IF([2]Baskol!$C$251="","",[2]Baskol!$C$251)</f>
        <v/>
      </c>
      <c r="W248">
        <f>IF([2]Baskol!$D$251="","",[2]Baskol!$D$251)</f>
        <v/>
      </c>
      <c r="X248">
        <f>IF([2]Baskol!$E$251="","",[2]Baskol!$E$251)</f>
        <v/>
      </c>
      <c r="Y248">
        <f>IF([2]Baskol!$G$251="","",[2]Baskol!$G$251)</f>
        <v/>
      </c>
      <c r="Z248">
        <f>IF([2]Baskol!$I$251="","",[2]Baskol!$I$251)</f>
        <v/>
      </c>
      <c r="AA248">
        <f>IF([2]Baskol!$J$251="","",[2]Baskol!$J$251)</f>
        <v/>
      </c>
      <c r="AB248">
        <f>IF([2]Baskol!$K$251="","",[2]Baskol!$K$251)</f>
        <v/>
      </c>
      <c r="AC248">
        <f>IF([2]Baskol!$L$251="","",[2]Baskol!$L$251)</f>
        <v/>
      </c>
      <c r="AD248">
        <f>IF([2]Baskol!$N$251="","",[2]Baskol!$N$251)</f>
        <v/>
      </c>
      <c r="AE248">
        <f>IF([2]Baskol!$O$251="","",[2]Baskol!$O$251)</f>
        <v/>
      </c>
      <c r="AG248">
        <f>IF([3]Entry!$C$251="","",[3]Entry!$C$251)</f>
        <v/>
      </c>
      <c r="AH248">
        <f>IF([3]Entry!$D$251="","",[3]Entry!$D$251)</f>
        <v/>
      </c>
      <c r="AI248">
        <f>IF([3]Entry!$E$251="","",[3]Entry!$E$251)</f>
        <v/>
      </c>
      <c r="AJ248">
        <f>IF([3]Entry!$G$251="","",[3]Entry!$G$251)</f>
        <v/>
      </c>
      <c r="AK248">
        <f>IF([3]Entry!$K$251="","",[3]Entry!$K$251)</f>
        <v/>
      </c>
      <c r="AL248">
        <f>IF([3]Entry!$L$251="","",[3]Entry!$L$251)</f>
        <v/>
      </c>
      <c r="AM248">
        <f>IF([3]Entry!$M$251="","",[3]Entry!$M$251)</f>
        <v/>
      </c>
      <c r="AN248">
        <f>IF([3]Entry!$N$251="","",[3]Entry!$N$251)</f>
        <v/>
      </c>
      <c r="AO248">
        <f>IF([3]Entry!$R$251="","",[3]Entry!$R$251)</f>
        <v/>
      </c>
      <c r="AQ248">
        <f>IF(AND($D248&lt;&gt;"",$A248&lt;&gt;""),1,0)</f>
        <v/>
      </c>
      <c r="AR248">
        <f>SUM($AQ$6:$AQ248)</f>
        <v/>
      </c>
      <c r="AS248">
        <f>IFERROR(INDEX($A$6:$A$565,MATCH(ROW()-5,$AR$6:$AR$565,0)),"")</f>
        <v/>
      </c>
    </row>
    <row r="249">
      <c r="A249">
        <f>IF([1]Accounts!$D$250="","",[1]Accounts!$A$250)</f>
        <v/>
      </c>
      <c r="B249">
        <f>IF([1]Accounts!$D$250="","",[1]Accounts!$B$250)</f>
        <v/>
      </c>
      <c r="C249">
        <f>IF([1]Accounts!$D$250="","",[1]Accounts!$C$250)</f>
        <v/>
      </c>
      <c r="D249">
        <f>IF([1]Accounts!$D$250="","",[1]Accounts!$D$250)</f>
        <v/>
      </c>
      <c r="E249">
        <f>IF([1]Accounts!$D$250="","",[1]Accounts!$J$250)</f>
        <v/>
      </c>
      <c r="F249">
        <f>IF([1]Accounts!$D$250="","",[1]Accounts!$K$250)</f>
        <v/>
      </c>
      <c r="U249">
        <f>IF([2]Baskol!$B$252="","",[2]Baskol!$B$252)</f>
        <v/>
      </c>
      <c r="V249">
        <f>IF([2]Baskol!$C$252="","",[2]Baskol!$C$252)</f>
        <v/>
      </c>
      <c r="W249">
        <f>IF([2]Baskol!$D$252="","",[2]Baskol!$D$252)</f>
        <v/>
      </c>
      <c r="X249">
        <f>IF([2]Baskol!$E$252="","",[2]Baskol!$E$252)</f>
        <v/>
      </c>
      <c r="Y249">
        <f>IF([2]Baskol!$G$252="","",[2]Baskol!$G$252)</f>
        <v/>
      </c>
      <c r="Z249">
        <f>IF([2]Baskol!$I$252="","",[2]Baskol!$I$252)</f>
        <v/>
      </c>
      <c r="AA249">
        <f>IF([2]Baskol!$J$252="","",[2]Baskol!$J$252)</f>
        <v/>
      </c>
      <c r="AB249">
        <f>IF([2]Baskol!$K$252="","",[2]Baskol!$K$252)</f>
        <v/>
      </c>
      <c r="AC249">
        <f>IF([2]Baskol!$L$252="","",[2]Baskol!$L$252)</f>
        <v/>
      </c>
      <c r="AD249">
        <f>IF([2]Baskol!$N$252="","",[2]Baskol!$N$252)</f>
        <v/>
      </c>
      <c r="AE249">
        <f>IF([2]Baskol!$O$252="","",[2]Baskol!$O$252)</f>
        <v/>
      </c>
      <c r="AG249">
        <f>IF([3]Entry!$C$252="","",[3]Entry!$C$252)</f>
        <v/>
      </c>
      <c r="AH249">
        <f>IF([3]Entry!$D$252="","",[3]Entry!$D$252)</f>
        <v/>
      </c>
      <c r="AI249">
        <f>IF([3]Entry!$E$252="","",[3]Entry!$E$252)</f>
        <v/>
      </c>
      <c r="AJ249">
        <f>IF([3]Entry!$G$252="","",[3]Entry!$G$252)</f>
        <v/>
      </c>
      <c r="AK249">
        <f>IF([3]Entry!$K$252="","",[3]Entry!$K$252)</f>
        <v/>
      </c>
      <c r="AL249">
        <f>IF([3]Entry!$L$252="","",[3]Entry!$L$252)</f>
        <v/>
      </c>
      <c r="AM249">
        <f>IF([3]Entry!$M$252="","",[3]Entry!$M$252)</f>
        <v/>
      </c>
      <c r="AN249">
        <f>IF([3]Entry!$N$252="","",[3]Entry!$N$252)</f>
        <v/>
      </c>
      <c r="AO249">
        <f>IF([3]Entry!$R$252="","",[3]Entry!$R$252)</f>
        <v/>
      </c>
      <c r="AQ249">
        <f>IF(AND($D249&lt;&gt;"",$A249&lt;&gt;""),1,0)</f>
        <v/>
      </c>
      <c r="AR249">
        <f>SUM($AQ$6:$AQ249)</f>
        <v/>
      </c>
      <c r="AS249">
        <f>IFERROR(INDEX($A$6:$A$565,MATCH(ROW()-5,$AR$6:$AR$565,0)),"")</f>
        <v/>
      </c>
    </row>
    <row r="250">
      <c r="A250">
        <f>IF([1]Accounts!$D$251="","",[1]Accounts!$A$251)</f>
        <v/>
      </c>
      <c r="B250">
        <f>IF([1]Accounts!$D$251="","",[1]Accounts!$B$251)</f>
        <v/>
      </c>
      <c r="C250">
        <f>IF([1]Accounts!$D$251="","",[1]Accounts!$C$251)</f>
        <v/>
      </c>
      <c r="D250">
        <f>IF([1]Accounts!$D$251="","",[1]Accounts!$D$251)</f>
        <v/>
      </c>
      <c r="E250">
        <f>IF([1]Accounts!$D$251="","",[1]Accounts!$J$251)</f>
        <v/>
      </c>
      <c r="F250">
        <f>IF([1]Accounts!$D$251="","",[1]Accounts!$K$251)</f>
        <v/>
      </c>
      <c r="U250">
        <f>IF([2]Baskol!$B$253="","",[2]Baskol!$B$253)</f>
        <v/>
      </c>
      <c r="V250">
        <f>IF([2]Baskol!$C$253="","",[2]Baskol!$C$253)</f>
        <v/>
      </c>
      <c r="W250">
        <f>IF([2]Baskol!$D$253="","",[2]Baskol!$D$253)</f>
        <v/>
      </c>
      <c r="X250">
        <f>IF([2]Baskol!$E$253="","",[2]Baskol!$E$253)</f>
        <v/>
      </c>
      <c r="Y250">
        <f>IF([2]Baskol!$G$253="","",[2]Baskol!$G$253)</f>
        <v/>
      </c>
      <c r="Z250">
        <f>IF([2]Baskol!$I$253="","",[2]Baskol!$I$253)</f>
        <v/>
      </c>
      <c r="AA250">
        <f>IF([2]Baskol!$J$253="","",[2]Baskol!$J$253)</f>
        <v/>
      </c>
      <c r="AB250">
        <f>IF([2]Baskol!$K$253="","",[2]Baskol!$K$253)</f>
        <v/>
      </c>
      <c r="AC250">
        <f>IF([2]Baskol!$L$253="","",[2]Baskol!$L$253)</f>
        <v/>
      </c>
      <c r="AD250">
        <f>IF([2]Baskol!$N$253="","",[2]Baskol!$N$253)</f>
        <v/>
      </c>
      <c r="AE250">
        <f>IF([2]Baskol!$O$253="","",[2]Baskol!$O$253)</f>
        <v/>
      </c>
      <c r="AG250">
        <f>IF([3]Entry!$C$253="","",[3]Entry!$C$253)</f>
        <v/>
      </c>
      <c r="AH250">
        <f>IF([3]Entry!$D$253="","",[3]Entry!$D$253)</f>
        <v/>
      </c>
      <c r="AI250">
        <f>IF([3]Entry!$E$253="","",[3]Entry!$E$253)</f>
        <v/>
      </c>
      <c r="AJ250">
        <f>IF([3]Entry!$G$253="","",[3]Entry!$G$253)</f>
        <v/>
      </c>
      <c r="AK250">
        <f>IF([3]Entry!$K$253="","",[3]Entry!$K$253)</f>
        <v/>
      </c>
      <c r="AL250">
        <f>IF([3]Entry!$L$253="","",[3]Entry!$L$253)</f>
        <v/>
      </c>
      <c r="AM250">
        <f>IF([3]Entry!$M$253="","",[3]Entry!$M$253)</f>
        <v/>
      </c>
      <c r="AN250">
        <f>IF([3]Entry!$N$253="","",[3]Entry!$N$253)</f>
        <v/>
      </c>
      <c r="AO250">
        <f>IF([3]Entry!$R$253="","",[3]Entry!$R$253)</f>
        <v/>
      </c>
      <c r="AQ250">
        <f>IF(AND($D250&lt;&gt;"",$A250&lt;&gt;""),1,0)</f>
        <v/>
      </c>
      <c r="AR250">
        <f>SUM($AQ$6:$AQ250)</f>
        <v/>
      </c>
      <c r="AS250">
        <f>IFERROR(INDEX($A$6:$A$565,MATCH(ROW()-5,$AR$6:$AR$565,0)),"")</f>
        <v/>
      </c>
    </row>
    <row r="251">
      <c r="A251">
        <f>IF([1]Accounts!$D$252="","",[1]Accounts!$A$252)</f>
        <v/>
      </c>
      <c r="B251">
        <f>IF([1]Accounts!$D$252="","",[1]Accounts!$B$252)</f>
        <v/>
      </c>
      <c r="C251">
        <f>IF([1]Accounts!$D$252="","",[1]Accounts!$C$252)</f>
        <v/>
      </c>
      <c r="D251">
        <f>IF([1]Accounts!$D$252="","",[1]Accounts!$D$252)</f>
        <v/>
      </c>
      <c r="E251">
        <f>IF([1]Accounts!$D$252="","",[1]Accounts!$J$252)</f>
        <v/>
      </c>
      <c r="F251">
        <f>IF([1]Accounts!$D$252="","",[1]Accounts!$K$252)</f>
        <v/>
      </c>
      <c r="U251">
        <f>IF([2]Baskol!$B$254="","",[2]Baskol!$B$254)</f>
        <v/>
      </c>
      <c r="V251">
        <f>IF([2]Baskol!$C$254="","",[2]Baskol!$C$254)</f>
        <v/>
      </c>
      <c r="W251">
        <f>IF([2]Baskol!$D$254="","",[2]Baskol!$D$254)</f>
        <v/>
      </c>
      <c r="X251">
        <f>IF([2]Baskol!$E$254="","",[2]Baskol!$E$254)</f>
        <v/>
      </c>
      <c r="Y251">
        <f>IF([2]Baskol!$G$254="","",[2]Baskol!$G$254)</f>
        <v/>
      </c>
      <c r="Z251">
        <f>IF([2]Baskol!$I$254="","",[2]Baskol!$I$254)</f>
        <v/>
      </c>
      <c r="AA251">
        <f>IF([2]Baskol!$J$254="","",[2]Baskol!$J$254)</f>
        <v/>
      </c>
      <c r="AB251">
        <f>IF([2]Baskol!$K$254="","",[2]Baskol!$K$254)</f>
        <v/>
      </c>
      <c r="AC251">
        <f>IF([2]Baskol!$L$254="","",[2]Baskol!$L$254)</f>
        <v/>
      </c>
      <c r="AD251">
        <f>IF([2]Baskol!$N$254="","",[2]Baskol!$N$254)</f>
        <v/>
      </c>
      <c r="AE251">
        <f>IF([2]Baskol!$O$254="","",[2]Baskol!$O$254)</f>
        <v/>
      </c>
      <c r="AG251">
        <f>IF([3]Entry!$C$254="","",[3]Entry!$C$254)</f>
        <v/>
      </c>
      <c r="AH251">
        <f>IF([3]Entry!$D$254="","",[3]Entry!$D$254)</f>
        <v/>
      </c>
      <c r="AI251">
        <f>IF([3]Entry!$E$254="","",[3]Entry!$E$254)</f>
        <v/>
      </c>
      <c r="AJ251">
        <f>IF([3]Entry!$G$254="","",[3]Entry!$G$254)</f>
        <v/>
      </c>
      <c r="AK251">
        <f>IF([3]Entry!$K$254="","",[3]Entry!$K$254)</f>
        <v/>
      </c>
      <c r="AL251">
        <f>IF([3]Entry!$L$254="","",[3]Entry!$L$254)</f>
        <v/>
      </c>
      <c r="AM251">
        <f>IF([3]Entry!$M$254="","",[3]Entry!$M$254)</f>
        <v/>
      </c>
      <c r="AN251">
        <f>IF([3]Entry!$N$254="","",[3]Entry!$N$254)</f>
        <v/>
      </c>
      <c r="AO251">
        <f>IF([3]Entry!$R$254="","",[3]Entry!$R$254)</f>
        <v/>
      </c>
      <c r="AQ251">
        <f>IF(AND($D251&lt;&gt;"",$A251&lt;&gt;""),1,0)</f>
        <v/>
      </c>
      <c r="AR251">
        <f>SUM($AQ$6:$AQ251)</f>
        <v/>
      </c>
      <c r="AS251">
        <f>IFERROR(INDEX($A$6:$A$565,MATCH(ROW()-5,$AR$6:$AR$565,0)),"")</f>
        <v/>
      </c>
    </row>
    <row r="252">
      <c r="A252">
        <f>IF([1]Accounts!$D$253="","",[1]Accounts!$A$253)</f>
        <v/>
      </c>
      <c r="B252">
        <f>IF([1]Accounts!$D$253="","",[1]Accounts!$B$253)</f>
        <v/>
      </c>
      <c r="C252">
        <f>IF([1]Accounts!$D$253="","",[1]Accounts!$C$253)</f>
        <v/>
      </c>
      <c r="D252">
        <f>IF([1]Accounts!$D$253="","",[1]Accounts!$D$253)</f>
        <v/>
      </c>
      <c r="E252">
        <f>IF([1]Accounts!$D$253="","",[1]Accounts!$J$253)</f>
        <v/>
      </c>
      <c r="F252">
        <f>IF([1]Accounts!$D$253="","",[1]Accounts!$K$253)</f>
        <v/>
      </c>
      <c r="U252">
        <f>IF([2]Baskol!$B$255="","",[2]Baskol!$B$255)</f>
        <v/>
      </c>
      <c r="V252">
        <f>IF([2]Baskol!$C$255="","",[2]Baskol!$C$255)</f>
        <v/>
      </c>
      <c r="W252">
        <f>IF([2]Baskol!$D$255="","",[2]Baskol!$D$255)</f>
        <v/>
      </c>
      <c r="X252">
        <f>IF([2]Baskol!$E$255="","",[2]Baskol!$E$255)</f>
        <v/>
      </c>
      <c r="Y252">
        <f>IF([2]Baskol!$G$255="","",[2]Baskol!$G$255)</f>
        <v/>
      </c>
      <c r="Z252">
        <f>IF([2]Baskol!$I$255="","",[2]Baskol!$I$255)</f>
        <v/>
      </c>
      <c r="AA252">
        <f>IF([2]Baskol!$J$255="","",[2]Baskol!$J$255)</f>
        <v/>
      </c>
      <c r="AB252">
        <f>IF([2]Baskol!$K$255="","",[2]Baskol!$K$255)</f>
        <v/>
      </c>
      <c r="AC252">
        <f>IF([2]Baskol!$L$255="","",[2]Baskol!$L$255)</f>
        <v/>
      </c>
      <c r="AD252">
        <f>IF([2]Baskol!$N$255="","",[2]Baskol!$N$255)</f>
        <v/>
      </c>
      <c r="AE252">
        <f>IF([2]Baskol!$O$255="","",[2]Baskol!$O$255)</f>
        <v/>
      </c>
      <c r="AG252">
        <f>IF([3]Entry!$C$255="","",[3]Entry!$C$255)</f>
        <v/>
      </c>
      <c r="AH252">
        <f>IF([3]Entry!$D$255="","",[3]Entry!$D$255)</f>
        <v/>
      </c>
      <c r="AI252">
        <f>IF([3]Entry!$E$255="","",[3]Entry!$E$255)</f>
        <v/>
      </c>
      <c r="AJ252">
        <f>IF([3]Entry!$G$255="","",[3]Entry!$G$255)</f>
        <v/>
      </c>
      <c r="AK252">
        <f>IF([3]Entry!$K$255="","",[3]Entry!$K$255)</f>
        <v/>
      </c>
      <c r="AL252">
        <f>IF([3]Entry!$L$255="","",[3]Entry!$L$255)</f>
        <v/>
      </c>
      <c r="AM252">
        <f>IF([3]Entry!$M$255="","",[3]Entry!$M$255)</f>
        <v/>
      </c>
      <c r="AN252">
        <f>IF([3]Entry!$N$255="","",[3]Entry!$N$255)</f>
        <v/>
      </c>
      <c r="AO252">
        <f>IF([3]Entry!$R$255="","",[3]Entry!$R$255)</f>
        <v/>
      </c>
      <c r="AQ252">
        <f>IF(AND($D252&lt;&gt;"",$A252&lt;&gt;""),1,0)</f>
        <v/>
      </c>
      <c r="AR252">
        <f>SUM($AQ$6:$AQ252)</f>
        <v/>
      </c>
      <c r="AS252">
        <f>IFERROR(INDEX($A$6:$A$565,MATCH(ROW()-5,$AR$6:$AR$565,0)),"")</f>
        <v/>
      </c>
    </row>
    <row r="253">
      <c r="A253">
        <f>IF([1]Accounts!$D$254="","",[1]Accounts!$A$254)</f>
        <v/>
      </c>
      <c r="B253">
        <f>IF([1]Accounts!$D$254="","",[1]Accounts!$B$254)</f>
        <v/>
      </c>
      <c r="C253">
        <f>IF([1]Accounts!$D$254="","",[1]Accounts!$C$254)</f>
        <v/>
      </c>
      <c r="D253">
        <f>IF([1]Accounts!$D$254="","",[1]Accounts!$D$254)</f>
        <v/>
      </c>
      <c r="E253">
        <f>IF([1]Accounts!$D$254="","",[1]Accounts!$J$254)</f>
        <v/>
      </c>
      <c r="F253">
        <f>IF([1]Accounts!$D$254="","",[1]Accounts!$K$254)</f>
        <v/>
      </c>
      <c r="U253">
        <f>IF([2]Baskol!$B$256="","",[2]Baskol!$B$256)</f>
        <v/>
      </c>
      <c r="V253">
        <f>IF([2]Baskol!$C$256="","",[2]Baskol!$C$256)</f>
        <v/>
      </c>
      <c r="W253">
        <f>IF([2]Baskol!$D$256="","",[2]Baskol!$D$256)</f>
        <v/>
      </c>
      <c r="X253">
        <f>IF([2]Baskol!$E$256="","",[2]Baskol!$E$256)</f>
        <v/>
      </c>
      <c r="Y253">
        <f>IF([2]Baskol!$G$256="","",[2]Baskol!$G$256)</f>
        <v/>
      </c>
      <c r="Z253">
        <f>IF([2]Baskol!$I$256="","",[2]Baskol!$I$256)</f>
        <v/>
      </c>
      <c r="AA253">
        <f>IF([2]Baskol!$J$256="","",[2]Baskol!$J$256)</f>
        <v/>
      </c>
      <c r="AB253">
        <f>IF([2]Baskol!$K$256="","",[2]Baskol!$K$256)</f>
        <v/>
      </c>
      <c r="AC253">
        <f>IF([2]Baskol!$L$256="","",[2]Baskol!$L$256)</f>
        <v/>
      </c>
      <c r="AD253">
        <f>IF([2]Baskol!$N$256="","",[2]Baskol!$N$256)</f>
        <v/>
      </c>
      <c r="AE253">
        <f>IF([2]Baskol!$O$256="","",[2]Baskol!$O$256)</f>
        <v/>
      </c>
      <c r="AG253">
        <f>IF([3]Entry!$C$256="","",[3]Entry!$C$256)</f>
        <v/>
      </c>
      <c r="AH253">
        <f>IF([3]Entry!$D$256="","",[3]Entry!$D$256)</f>
        <v/>
      </c>
      <c r="AI253">
        <f>IF([3]Entry!$E$256="","",[3]Entry!$E$256)</f>
        <v/>
      </c>
      <c r="AJ253">
        <f>IF([3]Entry!$G$256="","",[3]Entry!$G$256)</f>
        <v/>
      </c>
      <c r="AK253">
        <f>IF([3]Entry!$K$256="","",[3]Entry!$K$256)</f>
        <v/>
      </c>
      <c r="AL253">
        <f>IF([3]Entry!$L$256="","",[3]Entry!$L$256)</f>
        <v/>
      </c>
      <c r="AM253">
        <f>IF([3]Entry!$M$256="","",[3]Entry!$M$256)</f>
        <v/>
      </c>
      <c r="AN253">
        <f>IF([3]Entry!$N$256="","",[3]Entry!$N$256)</f>
        <v/>
      </c>
      <c r="AO253">
        <f>IF([3]Entry!$R$256="","",[3]Entry!$R$256)</f>
        <v/>
      </c>
      <c r="AQ253">
        <f>IF(AND($D253&lt;&gt;"",$A253&lt;&gt;""),1,0)</f>
        <v/>
      </c>
      <c r="AR253">
        <f>SUM($AQ$6:$AQ253)</f>
        <v/>
      </c>
      <c r="AS253">
        <f>IFERROR(INDEX($A$6:$A$565,MATCH(ROW()-5,$AR$6:$AR$565,0)),"")</f>
        <v/>
      </c>
    </row>
    <row r="254">
      <c r="A254">
        <f>IF([1]Accounts!$D$255="","",[1]Accounts!$A$255)</f>
        <v/>
      </c>
      <c r="B254">
        <f>IF([1]Accounts!$D$255="","",[1]Accounts!$B$255)</f>
        <v/>
      </c>
      <c r="C254">
        <f>IF([1]Accounts!$D$255="","",[1]Accounts!$C$255)</f>
        <v/>
      </c>
      <c r="D254">
        <f>IF([1]Accounts!$D$255="","",[1]Accounts!$D$255)</f>
        <v/>
      </c>
      <c r="E254">
        <f>IF([1]Accounts!$D$255="","",[1]Accounts!$J$255)</f>
        <v/>
      </c>
      <c r="F254">
        <f>IF([1]Accounts!$D$255="","",[1]Accounts!$K$255)</f>
        <v/>
      </c>
      <c r="U254">
        <f>IF([2]Baskol!$B$257="","",[2]Baskol!$B$257)</f>
        <v/>
      </c>
      <c r="V254">
        <f>IF([2]Baskol!$C$257="","",[2]Baskol!$C$257)</f>
        <v/>
      </c>
      <c r="W254">
        <f>IF([2]Baskol!$D$257="","",[2]Baskol!$D$257)</f>
        <v/>
      </c>
      <c r="X254">
        <f>IF([2]Baskol!$E$257="","",[2]Baskol!$E$257)</f>
        <v/>
      </c>
      <c r="Y254">
        <f>IF([2]Baskol!$G$257="","",[2]Baskol!$G$257)</f>
        <v/>
      </c>
      <c r="Z254">
        <f>IF([2]Baskol!$I$257="","",[2]Baskol!$I$257)</f>
        <v/>
      </c>
      <c r="AA254">
        <f>IF([2]Baskol!$J$257="","",[2]Baskol!$J$257)</f>
        <v/>
      </c>
      <c r="AB254">
        <f>IF([2]Baskol!$K$257="","",[2]Baskol!$K$257)</f>
        <v/>
      </c>
      <c r="AC254">
        <f>IF([2]Baskol!$L$257="","",[2]Baskol!$L$257)</f>
        <v/>
      </c>
      <c r="AD254">
        <f>IF([2]Baskol!$N$257="","",[2]Baskol!$N$257)</f>
        <v/>
      </c>
      <c r="AE254">
        <f>IF([2]Baskol!$O$257="","",[2]Baskol!$O$257)</f>
        <v/>
      </c>
      <c r="AG254">
        <f>IF([3]Entry!$C$257="","",[3]Entry!$C$257)</f>
        <v/>
      </c>
      <c r="AH254">
        <f>IF([3]Entry!$D$257="","",[3]Entry!$D$257)</f>
        <v/>
      </c>
      <c r="AI254">
        <f>IF([3]Entry!$E$257="","",[3]Entry!$E$257)</f>
        <v/>
      </c>
      <c r="AJ254">
        <f>IF([3]Entry!$G$257="","",[3]Entry!$G$257)</f>
        <v/>
      </c>
      <c r="AK254">
        <f>IF([3]Entry!$K$257="","",[3]Entry!$K$257)</f>
        <v/>
      </c>
      <c r="AL254">
        <f>IF([3]Entry!$L$257="","",[3]Entry!$L$257)</f>
        <v/>
      </c>
      <c r="AM254">
        <f>IF([3]Entry!$M$257="","",[3]Entry!$M$257)</f>
        <v/>
      </c>
      <c r="AN254">
        <f>IF([3]Entry!$N$257="","",[3]Entry!$N$257)</f>
        <v/>
      </c>
      <c r="AO254">
        <f>IF([3]Entry!$R$257="","",[3]Entry!$R$257)</f>
        <v/>
      </c>
      <c r="AQ254">
        <f>IF(AND($D254&lt;&gt;"",$A254&lt;&gt;""),1,0)</f>
        <v/>
      </c>
      <c r="AR254">
        <f>SUM($AQ$6:$AQ254)</f>
        <v/>
      </c>
      <c r="AS254">
        <f>IFERROR(INDEX($A$6:$A$565,MATCH(ROW()-5,$AR$6:$AR$565,0)),"")</f>
        <v/>
      </c>
    </row>
    <row r="255">
      <c r="A255">
        <f>IF([1]Accounts!$D$256="","",[1]Accounts!$A$256)</f>
        <v/>
      </c>
      <c r="B255">
        <f>IF([1]Accounts!$D$256="","",[1]Accounts!$B$256)</f>
        <v/>
      </c>
      <c r="C255">
        <f>IF([1]Accounts!$D$256="","",[1]Accounts!$C$256)</f>
        <v/>
      </c>
      <c r="D255">
        <f>IF([1]Accounts!$D$256="","",[1]Accounts!$D$256)</f>
        <v/>
      </c>
      <c r="E255">
        <f>IF([1]Accounts!$D$256="","",[1]Accounts!$J$256)</f>
        <v/>
      </c>
      <c r="F255">
        <f>IF([1]Accounts!$D$256="","",[1]Accounts!$K$256)</f>
        <v/>
      </c>
      <c r="U255">
        <f>IF([2]Baskol!$B$258="","",[2]Baskol!$B$258)</f>
        <v/>
      </c>
      <c r="V255">
        <f>IF([2]Baskol!$C$258="","",[2]Baskol!$C$258)</f>
        <v/>
      </c>
      <c r="W255">
        <f>IF([2]Baskol!$D$258="","",[2]Baskol!$D$258)</f>
        <v/>
      </c>
      <c r="X255">
        <f>IF([2]Baskol!$E$258="","",[2]Baskol!$E$258)</f>
        <v/>
      </c>
      <c r="Y255">
        <f>IF([2]Baskol!$G$258="","",[2]Baskol!$G$258)</f>
        <v/>
      </c>
      <c r="Z255">
        <f>IF([2]Baskol!$I$258="","",[2]Baskol!$I$258)</f>
        <v/>
      </c>
      <c r="AA255">
        <f>IF([2]Baskol!$J$258="","",[2]Baskol!$J$258)</f>
        <v/>
      </c>
      <c r="AB255">
        <f>IF([2]Baskol!$K$258="","",[2]Baskol!$K$258)</f>
        <v/>
      </c>
      <c r="AC255">
        <f>IF([2]Baskol!$L$258="","",[2]Baskol!$L$258)</f>
        <v/>
      </c>
      <c r="AD255">
        <f>IF([2]Baskol!$N$258="","",[2]Baskol!$N$258)</f>
        <v/>
      </c>
      <c r="AE255">
        <f>IF([2]Baskol!$O$258="","",[2]Baskol!$O$258)</f>
        <v/>
      </c>
      <c r="AG255">
        <f>IF([3]Entry!$C$258="","",[3]Entry!$C$258)</f>
        <v/>
      </c>
      <c r="AH255">
        <f>IF([3]Entry!$D$258="","",[3]Entry!$D$258)</f>
        <v/>
      </c>
      <c r="AI255">
        <f>IF([3]Entry!$E$258="","",[3]Entry!$E$258)</f>
        <v/>
      </c>
      <c r="AJ255">
        <f>IF([3]Entry!$G$258="","",[3]Entry!$G$258)</f>
        <v/>
      </c>
      <c r="AK255">
        <f>IF([3]Entry!$K$258="","",[3]Entry!$K$258)</f>
        <v/>
      </c>
      <c r="AL255">
        <f>IF([3]Entry!$L$258="","",[3]Entry!$L$258)</f>
        <v/>
      </c>
      <c r="AM255">
        <f>IF([3]Entry!$M$258="","",[3]Entry!$M$258)</f>
        <v/>
      </c>
      <c r="AN255">
        <f>IF([3]Entry!$N$258="","",[3]Entry!$N$258)</f>
        <v/>
      </c>
      <c r="AO255">
        <f>IF([3]Entry!$R$258="","",[3]Entry!$R$258)</f>
        <v/>
      </c>
      <c r="AQ255">
        <f>IF(AND($D255&lt;&gt;"",$A255&lt;&gt;""),1,0)</f>
        <v/>
      </c>
      <c r="AR255">
        <f>SUM($AQ$6:$AQ255)</f>
        <v/>
      </c>
      <c r="AS255">
        <f>IFERROR(INDEX($A$6:$A$565,MATCH(ROW()-5,$AR$6:$AR$565,0)),"")</f>
        <v/>
      </c>
    </row>
    <row r="256">
      <c r="A256">
        <f>IF([1]Accounts!$D$257="","",[1]Accounts!$A$257)</f>
        <v/>
      </c>
      <c r="B256">
        <f>IF([1]Accounts!$D$257="","",[1]Accounts!$B$257)</f>
        <v/>
      </c>
      <c r="C256">
        <f>IF([1]Accounts!$D$257="","",[1]Accounts!$C$257)</f>
        <v/>
      </c>
      <c r="D256">
        <f>IF([1]Accounts!$D$257="","",[1]Accounts!$D$257)</f>
        <v/>
      </c>
      <c r="E256">
        <f>IF([1]Accounts!$D$257="","",[1]Accounts!$J$257)</f>
        <v/>
      </c>
      <c r="F256">
        <f>IF([1]Accounts!$D$257="","",[1]Accounts!$K$257)</f>
        <v/>
      </c>
      <c r="U256">
        <f>IF([2]Baskol!$B$259="","",[2]Baskol!$B$259)</f>
        <v/>
      </c>
      <c r="V256">
        <f>IF([2]Baskol!$C$259="","",[2]Baskol!$C$259)</f>
        <v/>
      </c>
      <c r="W256">
        <f>IF([2]Baskol!$D$259="","",[2]Baskol!$D$259)</f>
        <v/>
      </c>
      <c r="X256">
        <f>IF([2]Baskol!$E$259="","",[2]Baskol!$E$259)</f>
        <v/>
      </c>
      <c r="Y256">
        <f>IF([2]Baskol!$G$259="","",[2]Baskol!$G$259)</f>
        <v/>
      </c>
      <c r="Z256">
        <f>IF([2]Baskol!$I$259="","",[2]Baskol!$I$259)</f>
        <v/>
      </c>
      <c r="AA256">
        <f>IF([2]Baskol!$J$259="","",[2]Baskol!$J$259)</f>
        <v/>
      </c>
      <c r="AB256">
        <f>IF([2]Baskol!$K$259="","",[2]Baskol!$K$259)</f>
        <v/>
      </c>
      <c r="AC256">
        <f>IF([2]Baskol!$L$259="","",[2]Baskol!$L$259)</f>
        <v/>
      </c>
      <c r="AD256">
        <f>IF([2]Baskol!$N$259="","",[2]Baskol!$N$259)</f>
        <v/>
      </c>
      <c r="AE256">
        <f>IF([2]Baskol!$O$259="","",[2]Baskol!$O$259)</f>
        <v/>
      </c>
      <c r="AG256">
        <f>IF([3]Entry!$C$259="","",[3]Entry!$C$259)</f>
        <v/>
      </c>
      <c r="AH256">
        <f>IF([3]Entry!$D$259="","",[3]Entry!$D$259)</f>
        <v/>
      </c>
      <c r="AI256">
        <f>IF([3]Entry!$E$259="","",[3]Entry!$E$259)</f>
        <v/>
      </c>
      <c r="AJ256">
        <f>IF([3]Entry!$G$259="","",[3]Entry!$G$259)</f>
        <v/>
      </c>
      <c r="AK256">
        <f>IF([3]Entry!$K$259="","",[3]Entry!$K$259)</f>
        <v/>
      </c>
      <c r="AL256">
        <f>IF([3]Entry!$L$259="","",[3]Entry!$L$259)</f>
        <v/>
      </c>
      <c r="AM256">
        <f>IF([3]Entry!$M$259="","",[3]Entry!$M$259)</f>
        <v/>
      </c>
      <c r="AN256">
        <f>IF([3]Entry!$N$259="","",[3]Entry!$N$259)</f>
        <v/>
      </c>
      <c r="AO256">
        <f>IF([3]Entry!$R$259="","",[3]Entry!$R$259)</f>
        <v/>
      </c>
      <c r="AQ256">
        <f>IF(AND($D256&lt;&gt;"",$A256&lt;&gt;""),1,0)</f>
        <v/>
      </c>
      <c r="AR256">
        <f>SUM($AQ$6:$AQ256)</f>
        <v/>
      </c>
      <c r="AS256">
        <f>IFERROR(INDEX($A$6:$A$565,MATCH(ROW()-5,$AR$6:$AR$565,0)),"")</f>
        <v/>
      </c>
    </row>
    <row r="257">
      <c r="A257">
        <f>IF([1]Accounts!$D$258="","",[1]Accounts!$A$258)</f>
        <v/>
      </c>
      <c r="B257">
        <f>IF([1]Accounts!$D$258="","",[1]Accounts!$B$258)</f>
        <v/>
      </c>
      <c r="C257">
        <f>IF([1]Accounts!$D$258="","",[1]Accounts!$C$258)</f>
        <v/>
      </c>
      <c r="D257">
        <f>IF([1]Accounts!$D$258="","",[1]Accounts!$D$258)</f>
        <v/>
      </c>
      <c r="E257">
        <f>IF([1]Accounts!$D$258="","",[1]Accounts!$J$258)</f>
        <v/>
      </c>
      <c r="F257">
        <f>IF([1]Accounts!$D$258="","",[1]Accounts!$K$258)</f>
        <v/>
      </c>
      <c r="U257">
        <f>IF([2]Baskol!$B$260="","",[2]Baskol!$B$260)</f>
        <v/>
      </c>
      <c r="V257">
        <f>IF([2]Baskol!$C$260="","",[2]Baskol!$C$260)</f>
        <v/>
      </c>
      <c r="W257">
        <f>IF([2]Baskol!$D$260="","",[2]Baskol!$D$260)</f>
        <v/>
      </c>
      <c r="X257">
        <f>IF([2]Baskol!$E$260="","",[2]Baskol!$E$260)</f>
        <v/>
      </c>
      <c r="Y257">
        <f>IF([2]Baskol!$G$260="","",[2]Baskol!$G$260)</f>
        <v/>
      </c>
      <c r="Z257">
        <f>IF([2]Baskol!$I$260="","",[2]Baskol!$I$260)</f>
        <v/>
      </c>
      <c r="AA257">
        <f>IF([2]Baskol!$J$260="","",[2]Baskol!$J$260)</f>
        <v/>
      </c>
      <c r="AB257">
        <f>IF([2]Baskol!$K$260="","",[2]Baskol!$K$260)</f>
        <v/>
      </c>
      <c r="AC257">
        <f>IF([2]Baskol!$L$260="","",[2]Baskol!$L$260)</f>
        <v/>
      </c>
      <c r="AD257">
        <f>IF([2]Baskol!$N$260="","",[2]Baskol!$N$260)</f>
        <v/>
      </c>
      <c r="AE257">
        <f>IF([2]Baskol!$O$260="","",[2]Baskol!$O$260)</f>
        <v/>
      </c>
      <c r="AG257">
        <f>IF([3]Entry!$C$260="","",[3]Entry!$C$260)</f>
        <v/>
      </c>
      <c r="AH257">
        <f>IF([3]Entry!$D$260="","",[3]Entry!$D$260)</f>
        <v/>
      </c>
      <c r="AI257">
        <f>IF([3]Entry!$E$260="","",[3]Entry!$E$260)</f>
        <v/>
      </c>
      <c r="AJ257">
        <f>IF([3]Entry!$G$260="","",[3]Entry!$G$260)</f>
        <v/>
      </c>
      <c r="AK257">
        <f>IF([3]Entry!$K$260="","",[3]Entry!$K$260)</f>
        <v/>
      </c>
      <c r="AL257">
        <f>IF([3]Entry!$L$260="","",[3]Entry!$L$260)</f>
        <v/>
      </c>
      <c r="AM257">
        <f>IF([3]Entry!$M$260="","",[3]Entry!$M$260)</f>
        <v/>
      </c>
      <c r="AN257">
        <f>IF([3]Entry!$N$260="","",[3]Entry!$N$260)</f>
        <v/>
      </c>
      <c r="AO257">
        <f>IF([3]Entry!$R$260="","",[3]Entry!$R$260)</f>
        <v/>
      </c>
      <c r="AQ257">
        <f>IF(AND($D257&lt;&gt;"",$A257&lt;&gt;""),1,0)</f>
        <v/>
      </c>
      <c r="AR257">
        <f>SUM($AQ$6:$AQ257)</f>
        <v/>
      </c>
      <c r="AS257">
        <f>IFERROR(INDEX($A$6:$A$565,MATCH(ROW()-5,$AR$6:$AR$565,0)),"")</f>
        <v/>
      </c>
    </row>
    <row r="258">
      <c r="A258">
        <f>IF([1]Accounts!$D$259="","",[1]Accounts!$A$259)</f>
        <v/>
      </c>
      <c r="B258">
        <f>IF([1]Accounts!$D$259="","",[1]Accounts!$B$259)</f>
        <v/>
      </c>
      <c r="C258">
        <f>IF([1]Accounts!$D$259="","",[1]Accounts!$C$259)</f>
        <v/>
      </c>
      <c r="D258">
        <f>IF([1]Accounts!$D$259="","",[1]Accounts!$D$259)</f>
        <v/>
      </c>
      <c r="E258">
        <f>IF([1]Accounts!$D$259="","",[1]Accounts!$J$259)</f>
        <v/>
      </c>
      <c r="F258">
        <f>IF([1]Accounts!$D$259="","",[1]Accounts!$K$259)</f>
        <v/>
      </c>
      <c r="U258">
        <f>IF([2]Baskol!$B$261="","",[2]Baskol!$B$261)</f>
        <v/>
      </c>
      <c r="V258">
        <f>IF([2]Baskol!$C$261="","",[2]Baskol!$C$261)</f>
        <v/>
      </c>
      <c r="W258">
        <f>IF([2]Baskol!$D$261="","",[2]Baskol!$D$261)</f>
        <v/>
      </c>
      <c r="X258">
        <f>IF([2]Baskol!$E$261="","",[2]Baskol!$E$261)</f>
        <v/>
      </c>
      <c r="Y258">
        <f>IF([2]Baskol!$G$261="","",[2]Baskol!$G$261)</f>
        <v/>
      </c>
      <c r="Z258">
        <f>IF([2]Baskol!$I$261="","",[2]Baskol!$I$261)</f>
        <v/>
      </c>
      <c r="AA258">
        <f>IF([2]Baskol!$J$261="","",[2]Baskol!$J$261)</f>
        <v/>
      </c>
      <c r="AB258">
        <f>IF([2]Baskol!$K$261="","",[2]Baskol!$K$261)</f>
        <v/>
      </c>
      <c r="AC258">
        <f>IF([2]Baskol!$L$261="","",[2]Baskol!$L$261)</f>
        <v/>
      </c>
      <c r="AD258">
        <f>IF([2]Baskol!$N$261="","",[2]Baskol!$N$261)</f>
        <v/>
      </c>
      <c r="AE258">
        <f>IF([2]Baskol!$O$261="","",[2]Baskol!$O$261)</f>
        <v/>
      </c>
      <c r="AG258">
        <f>IF([3]Entry!$C$261="","",[3]Entry!$C$261)</f>
        <v/>
      </c>
      <c r="AH258">
        <f>IF([3]Entry!$D$261="","",[3]Entry!$D$261)</f>
        <v/>
      </c>
      <c r="AI258">
        <f>IF([3]Entry!$E$261="","",[3]Entry!$E$261)</f>
        <v/>
      </c>
      <c r="AJ258">
        <f>IF([3]Entry!$G$261="","",[3]Entry!$G$261)</f>
        <v/>
      </c>
      <c r="AK258">
        <f>IF([3]Entry!$K$261="","",[3]Entry!$K$261)</f>
        <v/>
      </c>
      <c r="AL258">
        <f>IF([3]Entry!$L$261="","",[3]Entry!$L$261)</f>
        <v/>
      </c>
      <c r="AM258">
        <f>IF([3]Entry!$M$261="","",[3]Entry!$M$261)</f>
        <v/>
      </c>
      <c r="AN258">
        <f>IF([3]Entry!$N$261="","",[3]Entry!$N$261)</f>
        <v/>
      </c>
      <c r="AO258">
        <f>IF([3]Entry!$R$261="","",[3]Entry!$R$261)</f>
        <v/>
      </c>
      <c r="AQ258">
        <f>IF(AND($D258&lt;&gt;"",$A258&lt;&gt;""),1,0)</f>
        <v/>
      </c>
      <c r="AR258">
        <f>SUM($AQ$6:$AQ258)</f>
        <v/>
      </c>
      <c r="AS258">
        <f>IFERROR(INDEX($A$6:$A$565,MATCH(ROW()-5,$AR$6:$AR$565,0)),"")</f>
        <v/>
      </c>
    </row>
    <row r="259">
      <c r="A259">
        <f>IF([1]Accounts!$D$260="","",[1]Accounts!$A$260)</f>
        <v/>
      </c>
      <c r="B259">
        <f>IF([1]Accounts!$D$260="","",[1]Accounts!$B$260)</f>
        <v/>
      </c>
      <c r="C259">
        <f>IF([1]Accounts!$D$260="","",[1]Accounts!$C$260)</f>
        <v/>
      </c>
      <c r="D259">
        <f>IF([1]Accounts!$D$260="","",[1]Accounts!$D$260)</f>
        <v/>
      </c>
      <c r="E259">
        <f>IF([1]Accounts!$D$260="","",[1]Accounts!$J$260)</f>
        <v/>
      </c>
      <c r="F259">
        <f>IF([1]Accounts!$D$260="","",[1]Accounts!$K$260)</f>
        <v/>
      </c>
      <c r="U259">
        <f>IF([2]Baskol!$B$262="","",[2]Baskol!$B$262)</f>
        <v/>
      </c>
      <c r="V259">
        <f>IF([2]Baskol!$C$262="","",[2]Baskol!$C$262)</f>
        <v/>
      </c>
      <c r="W259">
        <f>IF([2]Baskol!$D$262="","",[2]Baskol!$D$262)</f>
        <v/>
      </c>
      <c r="X259">
        <f>IF([2]Baskol!$E$262="","",[2]Baskol!$E$262)</f>
        <v/>
      </c>
      <c r="Y259">
        <f>IF([2]Baskol!$G$262="","",[2]Baskol!$G$262)</f>
        <v/>
      </c>
      <c r="Z259">
        <f>IF([2]Baskol!$I$262="","",[2]Baskol!$I$262)</f>
        <v/>
      </c>
      <c r="AA259">
        <f>IF([2]Baskol!$J$262="","",[2]Baskol!$J$262)</f>
        <v/>
      </c>
      <c r="AB259">
        <f>IF([2]Baskol!$K$262="","",[2]Baskol!$K$262)</f>
        <v/>
      </c>
      <c r="AC259">
        <f>IF([2]Baskol!$L$262="","",[2]Baskol!$L$262)</f>
        <v/>
      </c>
      <c r="AD259">
        <f>IF([2]Baskol!$N$262="","",[2]Baskol!$N$262)</f>
        <v/>
      </c>
      <c r="AE259">
        <f>IF([2]Baskol!$O$262="","",[2]Baskol!$O$262)</f>
        <v/>
      </c>
      <c r="AG259">
        <f>IF([3]Entry!$C$262="","",[3]Entry!$C$262)</f>
        <v/>
      </c>
      <c r="AH259">
        <f>IF([3]Entry!$D$262="","",[3]Entry!$D$262)</f>
        <v/>
      </c>
      <c r="AI259">
        <f>IF([3]Entry!$E$262="","",[3]Entry!$E$262)</f>
        <v/>
      </c>
      <c r="AJ259">
        <f>IF([3]Entry!$G$262="","",[3]Entry!$G$262)</f>
        <v/>
      </c>
      <c r="AK259">
        <f>IF([3]Entry!$K$262="","",[3]Entry!$K$262)</f>
        <v/>
      </c>
      <c r="AL259">
        <f>IF([3]Entry!$L$262="","",[3]Entry!$L$262)</f>
        <v/>
      </c>
      <c r="AM259">
        <f>IF([3]Entry!$M$262="","",[3]Entry!$M$262)</f>
        <v/>
      </c>
      <c r="AN259">
        <f>IF([3]Entry!$N$262="","",[3]Entry!$N$262)</f>
        <v/>
      </c>
      <c r="AO259">
        <f>IF([3]Entry!$R$262="","",[3]Entry!$R$262)</f>
        <v/>
      </c>
      <c r="AQ259">
        <f>IF(AND($D259&lt;&gt;"",$A259&lt;&gt;""),1,0)</f>
        <v/>
      </c>
      <c r="AR259">
        <f>SUM($AQ$6:$AQ259)</f>
        <v/>
      </c>
      <c r="AS259">
        <f>IFERROR(INDEX($A$6:$A$565,MATCH(ROW()-5,$AR$6:$AR$565,0)),"")</f>
        <v/>
      </c>
    </row>
    <row r="260">
      <c r="A260">
        <f>IF([1]Accounts!$D$261="","",[1]Accounts!$A$261)</f>
        <v/>
      </c>
      <c r="B260">
        <f>IF([1]Accounts!$D$261="","",[1]Accounts!$B$261)</f>
        <v/>
      </c>
      <c r="C260">
        <f>IF([1]Accounts!$D$261="","",[1]Accounts!$C$261)</f>
        <v/>
      </c>
      <c r="D260">
        <f>IF([1]Accounts!$D$261="","",[1]Accounts!$D$261)</f>
        <v/>
      </c>
      <c r="E260">
        <f>IF([1]Accounts!$D$261="","",[1]Accounts!$J$261)</f>
        <v/>
      </c>
      <c r="F260">
        <f>IF([1]Accounts!$D$261="","",[1]Accounts!$K$261)</f>
        <v/>
      </c>
      <c r="U260">
        <f>IF([2]Baskol!$B$263="","",[2]Baskol!$B$263)</f>
        <v/>
      </c>
      <c r="V260">
        <f>IF([2]Baskol!$C$263="","",[2]Baskol!$C$263)</f>
        <v/>
      </c>
      <c r="W260">
        <f>IF([2]Baskol!$D$263="","",[2]Baskol!$D$263)</f>
        <v/>
      </c>
      <c r="X260">
        <f>IF([2]Baskol!$E$263="","",[2]Baskol!$E$263)</f>
        <v/>
      </c>
      <c r="Y260">
        <f>IF([2]Baskol!$G$263="","",[2]Baskol!$G$263)</f>
        <v/>
      </c>
      <c r="Z260">
        <f>IF([2]Baskol!$I$263="","",[2]Baskol!$I$263)</f>
        <v/>
      </c>
      <c r="AA260">
        <f>IF([2]Baskol!$J$263="","",[2]Baskol!$J$263)</f>
        <v/>
      </c>
      <c r="AB260">
        <f>IF([2]Baskol!$K$263="","",[2]Baskol!$K$263)</f>
        <v/>
      </c>
      <c r="AC260">
        <f>IF([2]Baskol!$L$263="","",[2]Baskol!$L$263)</f>
        <v/>
      </c>
      <c r="AD260">
        <f>IF([2]Baskol!$N$263="","",[2]Baskol!$N$263)</f>
        <v/>
      </c>
      <c r="AE260">
        <f>IF([2]Baskol!$O$263="","",[2]Baskol!$O$263)</f>
        <v/>
      </c>
      <c r="AG260">
        <f>IF([3]Entry!$C$263="","",[3]Entry!$C$263)</f>
        <v/>
      </c>
      <c r="AH260">
        <f>IF([3]Entry!$D$263="","",[3]Entry!$D$263)</f>
        <v/>
      </c>
      <c r="AI260">
        <f>IF([3]Entry!$E$263="","",[3]Entry!$E$263)</f>
        <v/>
      </c>
      <c r="AJ260">
        <f>IF([3]Entry!$G$263="","",[3]Entry!$G$263)</f>
        <v/>
      </c>
      <c r="AK260">
        <f>IF([3]Entry!$K$263="","",[3]Entry!$K$263)</f>
        <v/>
      </c>
      <c r="AL260">
        <f>IF([3]Entry!$L$263="","",[3]Entry!$L$263)</f>
        <v/>
      </c>
      <c r="AM260">
        <f>IF([3]Entry!$M$263="","",[3]Entry!$M$263)</f>
        <v/>
      </c>
      <c r="AN260">
        <f>IF([3]Entry!$N$263="","",[3]Entry!$N$263)</f>
        <v/>
      </c>
      <c r="AO260">
        <f>IF([3]Entry!$R$263="","",[3]Entry!$R$263)</f>
        <v/>
      </c>
      <c r="AQ260">
        <f>IF(AND($D260&lt;&gt;"",$A260&lt;&gt;""),1,0)</f>
        <v/>
      </c>
      <c r="AR260">
        <f>SUM($AQ$6:$AQ260)</f>
        <v/>
      </c>
      <c r="AS260">
        <f>IFERROR(INDEX($A$6:$A$565,MATCH(ROW()-5,$AR$6:$AR$565,0)),"")</f>
        <v/>
      </c>
    </row>
    <row r="261">
      <c r="A261">
        <f>IF([1]Accounts!$D$262="","",[1]Accounts!$A$262)</f>
        <v/>
      </c>
      <c r="B261">
        <f>IF([1]Accounts!$D$262="","",[1]Accounts!$B$262)</f>
        <v/>
      </c>
      <c r="C261">
        <f>IF([1]Accounts!$D$262="","",[1]Accounts!$C$262)</f>
        <v/>
      </c>
      <c r="D261">
        <f>IF([1]Accounts!$D$262="","",[1]Accounts!$D$262)</f>
        <v/>
      </c>
      <c r="E261">
        <f>IF([1]Accounts!$D$262="","",[1]Accounts!$J$262)</f>
        <v/>
      </c>
      <c r="F261">
        <f>IF([1]Accounts!$D$262="","",[1]Accounts!$K$262)</f>
        <v/>
      </c>
      <c r="U261">
        <f>IF([2]Baskol!$B$264="","",[2]Baskol!$B$264)</f>
        <v/>
      </c>
      <c r="V261">
        <f>IF([2]Baskol!$C$264="","",[2]Baskol!$C$264)</f>
        <v/>
      </c>
      <c r="W261">
        <f>IF([2]Baskol!$D$264="","",[2]Baskol!$D$264)</f>
        <v/>
      </c>
      <c r="X261">
        <f>IF([2]Baskol!$E$264="","",[2]Baskol!$E$264)</f>
        <v/>
      </c>
      <c r="Y261">
        <f>IF([2]Baskol!$G$264="","",[2]Baskol!$G$264)</f>
        <v/>
      </c>
      <c r="Z261">
        <f>IF([2]Baskol!$I$264="","",[2]Baskol!$I$264)</f>
        <v/>
      </c>
      <c r="AA261">
        <f>IF([2]Baskol!$J$264="","",[2]Baskol!$J$264)</f>
        <v/>
      </c>
      <c r="AB261">
        <f>IF([2]Baskol!$K$264="","",[2]Baskol!$K$264)</f>
        <v/>
      </c>
      <c r="AC261">
        <f>IF([2]Baskol!$L$264="","",[2]Baskol!$L$264)</f>
        <v/>
      </c>
      <c r="AD261">
        <f>IF([2]Baskol!$N$264="","",[2]Baskol!$N$264)</f>
        <v/>
      </c>
      <c r="AE261">
        <f>IF([2]Baskol!$O$264="","",[2]Baskol!$O$264)</f>
        <v/>
      </c>
      <c r="AG261">
        <f>IF([3]Entry!$C$264="","",[3]Entry!$C$264)</f>
        <v/>
      </c>
      <c r="AH261">
        <f>IF([3]Entry!$D$264="","",[3]Entry!$D$264)</f>
        <v/>
      </c>
      <c r="AI261">
        <f>IF([3]Entry!$E$264="","",[3]Entry!$E$264)</f>
        <v/>
      </c>
      <c r="AJ261">
        <f>IF([3]Entry!$G$264="","",[3]Entry!$G$264)</f>
        <v/>
      </c>
      <c r="AK261">
        <f>IF([3]Entry!$K$264="","",[3]Entry!$K$264)</f>
        <v/>
      </c>
      <c r="AL261">
        <f>IF([3]Entry!$L$264="","",[3]Entry!$L$264)</f>
        <v/>
      </c>
      <c r="AM261">
        <f>IF([3]Entry!$M$264="","",[3]Entry!$M$264)</f>
        <v/>
      </c>
      <c r="AN261">
        <f>IF([3]Entry!$N$264="","",[3]Entry!$N$264)</f>
        <v/>
      </c>
      <c r="AO261">
        <f>IF([3]Entry!$R$264="","",[3]Entry!$R$264)</f>
        <v/>
      </c>
      <c r="AQ261">
        <f>IF(AND($D261&lt;&gt;"",$A261&lt;&gt;""),1,0)</f>
        <v/>
      </c>
      <c r="AR261">
        <f>SUM($AQ$6:$AQ261)</f>
        <v/>
      </c>
      <c r="AS261">
        <f>IFERROR(INDEX($A$6:$A$565,MATCH(ROW()-5,$AR$6:$AR$565,0)),"")</f>
        <v/>
      </c>
    </row>
    <row r="262">
      <c r="A262">
        <f>IF([1]Accounts!$D$263="","",[1]Accounts!$A$263)</f>
        <v/>
      </c>
      <c r="B262">
        <f>IF([1]Accounts!$D$263="","",[1]Accounts!$B$263)</f>
        <v/>
      </c>
      <c r="C262">
        <f>IF([1]Accounts!$D$263="","",[1]Accounts!$C$263)</f>
        <v/>
      </c>
      <c r="D262">
        <f>IF([1]Accounts!$D$263="","",[1]Accounts!$D$263)</f>
        <v/>
      </c>
      <c r="E262">
        <f>IF([1]Accounts!$D$263="","",[1]Accounts!$J$263)</f>
        <v/>
      </c>
      <c r="F262">
        <f>IF([1]Accounts!$D$263="","",[1]Accounts!$K$263)</f>
        <v/>
      </c>
      <c r="U262">
        <f>IF([2]Baskol!$B$265="","",[2]Baskol!$B$265)</f>
        <v/>
      </c>
      <c r="V262">
        <f>IF([2]Baskol!$C$265="","",[2]Baskol!$C$265)</f>
        <v/>
      </c>
      <c r="W262">
        <f>IF([2]Baskol!$D$265="","",[2]Baskol!$D$265)</f>
        <v/>
      </c>
      <c r="X262">
        <f>IF([2]Baskol!$E$265="","",[2]Baskol!$E$265)</f>
        <v/>
      </c>
      <c r="Y262">
        <f>IF([2]Baskol!$G$265="","",[2]Baskol!$G$265)</f>
        <v/>
      </c>
      <c r="Z262">
        <f>IF([2]Baskol!$I$265="","",[2]Baskol!$I$265)</f>
        <v/>
      </c>
      <c r="AA262">
        <f>IF([2]Baskol!$J$265="","",[2]Baskol!$J$265)</f>
        <v/>
      </c>
      <c r="AB262">
        <f>IF([2]Baskol!$K$265="","",[2]Baskol!$K$265)</f>
        <v/>
      </c>
      <c r="AC262">
        <f>IF([2]Baskol!$L$265="","",[2]Baskol!$L$265)</f>
        <v/>
      </c>
      <c r="AD262">
        <f>IF([2]Baskol!$N$265="","",[2]Baskol!$N$265)</f>
        <v/>
      </c>
      <c r="AE262">
        <f>IF([2]Baskol!$O$265="","",[2]Baskol!$O$265)</f>
        <v/>
      </c>
      <c r="AG262">
        <f>IF([3]Entry!$C$265="","",[3]Entry!$C$265)</f>
        <v/>
      </c>
      <c r="AH262">
        <f>IF([3]Entry!$D$265="","",[3]Entry!$D$265)</f>
        <v/>
      </c>
      <c r="AI262">
        <f>IF([3]Entry!$E$265="","",[3]Entry!$E$265)</f>
        <v/>
      </c>
      <c r="AJ262">
        <f>IF([3]Entry!$G$265="","",[3]Entry!$G$265)</f>
        <v/>
      </c>
      <c r="AK262">
        <f>IF([3]Entry!$K$265="","",[3]Entry!$K$265)</f>
        <v/>
      </c>
      <c r="AL262">
        <f>IF([3]Entry!$L$265="","",[3]Entry!$L$265)</f>
        <v/>
      </c>
      <c r="AM262">
        <f>IF([3]Entry!$M$265="","",[3]Entry!$M$265)</f>
        <v/>
      </c>
      <c r="AN262">
        <f>IF([3]Entry!$N$265="","",[3]Entry!$N$265)</f>
        <v/>
      </c>
      <c r="AO262">
        <f>IF([3]Entry!$R$265="","",[3]Entry!$R$265)</f>
        <v/>
      </c>
      <c r="AQ262">
        <f>IF(AND($D262&lt;&gt;"",$A262&lt;&gt;""),1,0)</f>
        <v/>
      </c>
      <c r="AR262">
        <f>SUM($AQ$6:$AQ262)</f>
        <v/>
      </c>
      <c r="AS262">
        <f>IFERROR(INDEX($A$6:$A$565,MATCH(ROW()-5,$AR$6:$AR$565,0)),"")</f>
        <v/>
      </c>
    </row>
    <row r="263">
      <c r="A263">
        <f>IF([1]Accounts!$D$264="","",[1]Accounts!$A$264)</f>
        <v/>
      </c>
      <c r="B263">
        <f>IF([1]Accounts!$D$264="","",[1]Accounts!$B$264)</f>
        <v/>
      </c>
      <c r="C263">
        <f>IF([1]Accounts!$D$264="","",[1]Accounts!$C$264)</f>
        <v/>
      </c>
      <c r="D263">
        <f>IF([1]Accounts!$D$264="","",[1]Accounts!$D$264)</f>
        <v/>
      </c>
      <c r="E263">
        <f>IF([1]Accounts!$D$264="","",[1]Accounts!$J$264)</f>
        <v/>
      </c>
      <c r="F263">
        <f>IF([1]Accounts!$D$264="","",[1]Accounts!$K$264)</f>
        <v/>
      </c>
      <c r="U263">
        <f>IF([2]Baskol!$B$266="","",[2]Baskol!$B$266)</f>
        <v/>
      </c>
      <c r="V263">
        <f>IF([2]Baskol!$C$266="","",[2]Baskol!$C$266)</f>
        <v/>
      </c>
      <c r="W263">
        <f>IF([2]Baskol!$D$266="","",[2]Baskol!$D$266)</f>
        <v/>
      </c>
      <c r="X263">
        <f>IF([2]Baskol!$E$266="","",[2]Baskol!$E$266)</f>
        <v/>
      </c>
      <c r="Y263">
        <f>IF([2]Baskol!$G$266="","",[2]Baskol!$G$266)</f>
        <v/>
      </c>
      <c r="Z263">
        <f>IF([2]Baskol!$I$266="","",[2]Baskol!$I$266)</f>
        <v/>
      </c>
      <c r="AA263">
        <f>IF([2]Baskol!$J$266="","",[2]Baskol!$J$266)</f>
        <v/>
      </c>
      <c r="AB263">
        <f>IF([2]Baskol!$K$266="","",[2]Baskol!$K$266)</f>
        <v/>
      </c>
      <c r="AC263">
        <f>IF([2]Baskol!$L$266="","",[2]Baskol!$L$266)</f>
        <v/>
      </c>
      <c r="AD263">
        <f>IF([2]Baskol!$N$266="","",[2]Baskol!$N$266)</f>
        <v/>
      </c>
      <c r="AE263">
        <f>IF([2]Baskol!$O$266="","",[2]Baskol!$O$266)</f>
        <v/>
      </c>
      <c r="AG263">
        <f>IF([3]Entry!$C$266="","",[3]Entry!$C$266)</f>
        <v/>
      </c>
      <c r="AH263">
        <f>IF([3]Entry!$D$266="","",[3]Entry!$D$266)</f>
        <v/>
      </c>
      <c r="AI263">
        <f>IF([3]Entry!$E$266="","",[3]Entry!$E$266)</f>
        <v/>
      </c>
      <c r="AJ263">
        <f>IF([3]Entry!$G$266="","",[3]Entry!$G$266)</f>
        <v/>
      </c>
      <c r="AK263">
        <f>IF([3]Entry!$K$266="","",[3]Entry!$K$266)</f>
        <v/>
      </c>
      <c r="AL263">
        <f>IF([3]Entry!$L$266="","",[3]Entry!$L$266)</f>
        <v/>
      </c>
      <c r="AM263">
        <f>IF([3]Entry!$M$266="","",[3]Entry!$M$266)</f>
        <v/>
      </c>
      <c r="AN263">
        <f>IF([3]Entry!$N$266="","",[3]Entry!$N$266)</f>
        <v/>
      </c>
      <c r="AO263">
        <f>IF([3]Entry!$R$266="","",[3]Entry!$R$266)</f>
        <v/>
      </c>
      <c r="AQ263">
        <f>IF(AND($D263&lt;&gt;"",$A263&lt;&gt;""),1,0)</f>
        <v/>
      </c>
      <c r="AR263">
        <f>SUM($AQ$6:$AQ263)</f>
        <v/>
      </c>
      <c r="AS263">
        <f>IFERROR(INDEX($A$6:$A$565,MATCH(ROW()-5,$AR$6:$AR$565,0)),"")</f>
        <v/>
      </c>
    </row>
    <row r="264">
      <c r="A264">
        <f>IF([1]Accounts!$D$265="","",[1]Accounts!$A$265)</f>
        <v/>
      </c>
      <c r="B264">
        <f>IF([1]Accounts!$D$265="","",[1]Accounts!$B$265)</f>
        <v/>
      </c>
      <c r="C264">
        <f>IF([1]Accounts!$D$265="","",[1]Accounts!$C$265)</f>
        <v/>
      </c>
      <c r="D264">
        <f>IF([1]Accounts!$D$265="","",[1]Accounts!$D$265)</f>
        <v/>
      </c>
      <c r="E264">
        <f>IF([1]Accounts!$D$265="","",[1]Accounts!$J$265)</f>
        <v/>
      </c>
      <c r="F264">
        <f>IF([1]Accounts!$D$265="","",[1]Accounts!$K$265)</f>
        <v/>
      </c>
      <c r="U264">
        <f>IF([2]Baskol!$B$267="","",[2]Baskol!$B$267)</f>
        <v/>
      </c>
      <c r="V264">
        <f>IF([2]Baskol!$C$267="","",[2]Baskol!$C$267)</f>
        <v/>
      </c>
      <c r="W264">
        <f>IF([2]Baskol!$D$267="","",[2]Baskol!$D$267)</f>
        <v/>
      </c>
      <c r="X264">
        <f>IF([2]Baskol!$E$267="","",[2]Baskol!$E$267)</f>
        <v/>
      </c>
      <c r="Y264">
        <f>IF([2]Baskol!$G$267="","",[2]Baskol!$G$267)</f>
        <v/>
      </c>
      <c r="Z264">
        <f>IF([2]Baskol!$I$267="","",[2]Baskol!$I$267)</f>
        <v/>
      </c>
      <c r="AA264">
        <f>IF([2]Baskol!$J$267="","",[2]Baskol!$J$267)</f>
        <v/>
      </c>
      <c r="AB264">
        <f>IF([2]Baskol!$K$267="","",[2]Baskol!$K$267)</f>
        <v/>
      </c>
      <c r="AC264">
        <f>IF([2]Baskol!$L$267="","",[2]Baskol!$L$267)</f>
        <v/>
      </c>
      <c r="AD264">
        <f>IF([2]Baskol!$N$267="","",[2]Baskol!$N$267)</f>
        <v/>
      </c>
      <c r="AE264">
        <f>IF([2]Baskol!$O$267="","",[2]Baskol!$O$267)</f>
        <v/>
      </c>
      <c r="AG264">
        <f>IF([3]Entry!$C$267="","",[3]Entry!$C$267)</f>
        <v/>
      </c>
      <c r="AH264">
        <f>IF([3]Entry!$D$267="","",[3]Entry!$D$267)</f>
        <v/>
      </c>
      <c r="AI264">
        <f>IF([3]Entry!$E$267="","",[3]Entry!$E$267)</f>
        <v/>
      </c>
      <c r="AJ264">
        <f>IF([3]Entry!$G$267="","",[3]Entry!$G$267)</f>
        <v/>
      </c>
      <c r="AK264">
        <f>IF([3]Entry!$K$267="","",[3]Entry!$K$267)</f>
        <v/>
      </c>
      <c r="AL264">
        <f>IF([3]Entry!$L$267="","",[3]Entry!$L$267)</f>
        <v/>
      </c>
      <c r="AM264">
        <f>IF([3]Entry!$M$267="","",[3]Entry!$M$267)</f>
        <v/>
      </c>
      <c r="AN264">
        <f>IF([3]Entry!$N$267="","",[3]Entry!$N$267)</f>
        <v/>
      </c>
      <c r="AO264">
        <f>IF([3]Entry!$R$267="","",[3]Entry!$R$267)</f>
        <v/>
      </c>
      <c r="AQ264">
        <f>IF(AND($D264&lt;&gt;"",$A264&lt;&gt;""),1,0)</f>
        <v/>
      </c>
      <c r="AR264">
        <f>SUM($AQ$6:$AQ264)</f>
        <v/>
      </c>
      <c r="AS264">
        <f>IFERROR(INDEX($A$6:$A$565,MATCH(ROW()-5,$AR$6:$AR$565,0)),"")</f>
        <v/>
      </c>
    </row>
    <row r="265">
      <c r="A265">
        <f>IF([1]Accounts!$D$266="","",[1]Accounts!$A$266)</f>
        <v/>
      </c>
      <c r="B265">
        <f>IF([1]Accounts!$D$266="","",[1]Accounts!$B$266)</f>
        <v/>
      </c>
      <c r="C265">
        <f>IF([1]Accounts!$D$266="","",[1]Accounts!$C$266)</f>
        <v/>
      </c>
      <c r="D265">
        <f>IF([1]Accounts!$D$266="","",[1]Accounts!$D$266)</f>
        <v/>
      </c>
      <c r="E265">
        <f>IF([1]Accounts!$D$266="","",[1]Accounts!$J$266)</f>
        <v/>
      </c>
      <c r="F265">
        <f>IF([1]Accounts!$D$266="","",[1]Accounts!$K$266)</f>
        <v/>
      </c>
      <c r="U265">
        <f>IF([2]Baskol!$B$268="","",[2]Baskol!$B$268)</f>
        <v/>
      </c>
      <c r="V265">
        <f>IF([2]Baskol!$C$268="","",[2]Baskol!$C$268)</f>
        <v/>
      </c>
      <c r="W265">
        <f>IF([2]Baskol!$D$268="","",[2]Baskol!$D$268)</f>
        <v/>
      </c>
      <c r="X265">
        <f>IF([2]Baskol!$E$268="","",[2]Baskol!$E$268)</f>
        <v/>
      </c>
      <c r="Y265">
        <f>IF([2]Baskol!$G$268="","",[2]Baskol!$G$268)</f>
        <v/>
      </c>
      <c r="Z265">
        <f>IF([2]Baskol!$I$268="","",[2]Baskol!$I$268)</f>
        <v/>
      </c>
      <c r="AA265">
        <f>IF([2]Baskol!$J$268="","",[2]Baskol!$J$268)</f>
        <v/>
      </c>
      <c r="AB265">
        <f>IF([2]Baskol!$K$268="","",[2]Baskol!$K$268)</f>
        <v/>
      </c>
      <c r="AC265">
        <f>IF([2]Baskol!$L$268="","",[2]Baskol!$L$268)</f>
        <v/>
      </c>
      <c r="AD265">
        <f>IF([2]Baskol!$N$268="","",[2]Baskol!$N$268)</f>
        <v/>
      </c>
      <c r="AE265">
        <f>IF([2]Baskol!$O$268="","",[2]Baskol!$O$268)</f>
        <v/>
      </c>
      <c r="AG265">
        <f>IF([3]Entry!$C$268="","",[3]Entry!$C$268)</f>
        <v/>
      </c>
      <c r="AH265">
        <f>IF([3]Entry!$D$268="","",[3]Entry!$D$268)</f>
        <v/>
      </c>
      <c r="AI265">
        <f>IF([3]Entry!$E$268="","",[3]Entry!$E$268)</f>
        <v/>
      </c>
      <c r="AJ265">
        <f>IF([3]Entry!$G$268="","",[3]Entry!$G$268)</f>
        <v/>
      </c>
      <c r="AK265">
        <f>IF([3]Entry!$K$268="","",[3]Entry!$K$268)</f>
        <v/>
      </c>
      <c r="AL265">
        <f>IF([3]Entry!$L$268="","",[3]Entry!$L$268)</f>
        <v/>
      </c>
      <c r="AM265">
        <f>IF([3]Entry!$M$268="","",[3]Entry!$M$268)</f>
        <v/>
      </c>
      <c r="AN265">
        <f>IF([3]Entry!$N$268="","",[3]Entry!$N$268)</f>
        <v/>
      </c>
      <c r="AO265">
        <f>IF([3]Entry!$R$268="","",[3]Entry!$R$268)</f>
        <v/>
      </c>
      <c r="AQ265">
        <f>IF(AND($D265&lt;&gt;"",$A265&lt;&gt;""),1,0)</f>
        <v/>
      </c>
      <c r="AR265">
        <f>SUM($AQ$6:$AQ265)</f>
        <v/>
      </c>
      <c r="AS265">
        <f>IFERROR(INDEX($A$6:$A$565,MATCH(ROW()-5,$AR$6:$AR$565,0)),"")</f>
        <v/>
      </c>
    </row>
    <row r="266">
      <c r="A266">
        <f>IF([1]Accounts!$D$267="","",[1]Accounts!$A$267)</f>
        <v/>
      </c>
      <c r="B266">
        <f>IF([1]Accounts!$D$267="","",[1]Accounts!$B$267)</f>
        <v/>
      </c>
      <c r="C266">
        <f>IF([1]Accounts!$D$267="","",[1]Accounts!$C$267)</f>
        <v/>
      </c>
      <c r="D266">
        <f>IF([1]Accounts!$D$267="","",[1]Accounts!$D$267)</f>
        <v/>
      </c>
      <c r="E266">
        <f>IF([1]Accounts!$D$267="","",[1]Accounts!$J$267)</f>
        <v/>
      </c>
      <c r="F266">
        <f>IF([1]Accounts!$D$267="","",[1]Accounts!$K$267)</f>
        <v/>
      </c>
      <c r="U266">
        <f>IF([2]Baskol!$B$269="","",[2]Baskol!$B$269)</f>
        <v/>
      </c>
      <c r="V266">
        <f>IF([2]Baskol!$C$269="","",[2]Baskol!$C$269)</f>
        <v/>
      </c>
      <c r="W266">
        <f>IF([2]Baskol!$D$269="","",[2]Baskol!$D$269)</f>
        <v/>
      </c>
      <c r="X266">
        <f>IF([2]Baskol!$E$269="","",[2]Baskol!$E$269)</f>
        <v/>
      </c>
      <c r="Y266">
        <f>IF([2]Baskol!$G$269="","",[2]Baskol!$G$269)</f>
        <v/>
      </c>
      <c r="Z266">
        <f>IF([2]Baskol!$I$269="","",[2]Baskol!$I$269)</f>
        <v/>
      </c>
      <c r="AA266">
        <f>IF([2]Baskol!$J$269="","",[2]Baskol!$J$269)</f>
        <v/>
      </c>
      <c r="AB266">
        <f>IF([2]Baskol!$K$269="","",[2]Baskol!$K$269)</f>
        <v/>
      </c>
      <c r="AC266">
        <f>IF([2]Baskol!$L$269="","",[2]Baskol!$L$269)</f>
        <v/>
      </c>
      <c r="AD266">
        <f>IF([2]Baskol!$N$269="","",[2]Baskol!$N$269)</f>
        <v/>
      </c>
      <c r="AE266">
        <f>IF([2]Baskol!$O$269="","",[2]Baskol!$O$269)</f>
        <v/>
      </c>
      <c r="AG266">
        <f>IF([3]Entry!$C$269="","",[3]Entry!$C$269)</f>
        <v/>
      </c>
      <c r="AH266">
        <f>IF([3]Entry!$D$269="","",[3]Entry!$D$269)</f>
        <v/>
      </c>
      <c r="AI266">
        <f>IF([3]Entry!$E$269="","",[3]Entry!$E$269)</f>
        <v/>
      </c>
      <c r="AJ266">
        <f>IF([3]Entry!$G$269="","",[3]Entry!$G$269)</f>
        <v/>
      </c>
      <c r="AK266">
        <f>IF([3]Entry!$K$269="","",[3]Entry!$K$269)</f>
        <v/>
      </c>
      <c r="AL266">
        <f>IF([3]Entry!$L$269="","",[3]Entry!$L$269)</f>
        <v/>
      </c>
      <c r="AM266">
        <f>IF([3]Entry!$M$269="","",[3]Entry!$M$269)</f>
        <v/>
      </c>
      <c r="AN266">
        <f>IF([3]Entry!$N$269="","",[3]Entry!$N$269)</f>
        <v/>
      </c>
      <c r="AO266">
        <f>IF([3]Entry!$R$269="","",[3]Entry!$R$269)</f>
        <v/>
      </c>
      <c r="AQ266">
        <f>IF(AND($D266&lt;&gt;"",$A266&lt;&gt;""),1,0)</f>
        <v/>
      </c>
      <c r="AR266">
        <f>SUM($AQ$6:$AQ266)</f>
        <v/>
      </c>
      <c r="AS266">
        <f>IFERROR(INDEX($A$6:$A$565,MATCH(ROW()-5,$AR$6:$AR$565,0)),"")</f>
        <v/>
      </c>
    </row>
    <row r="267">
      <c r="A267">
        <f>IF([1]Accounts!$D$268="","",[1]Accounts!$A$268)</f>
        <v/>
      </c>
      <c r="B267">
        <f>IF([1]Accounts!$D$268="","",[1]Accounts!$B$268)</f>
        <v/>
      </c>
      <c r="C267">
        <f>IF([1]Accounts!$D$268="","",[1]Accounts!$C$268)</f>
        <v/>
      </c>
      <c r="D267">
        <f>IF([1]Accounts!$D$268="","",[1]Accounts!$D$268)</f>
        <v/>
      </c>
      <c r="E267">
        <f>IF([1]Accounts!$D$268="","",[1]Accounts!$J$268)</f>
        <v/>
      </c>
      <c r="F267">
        <f>IF([1]Accounts!$D$268="","",[1]Accounts!$K$268)</f>
        <v/>
      </c>
      <c r="U267">
        <f>IF([2]Baskol!$B$270="","",[2]Baskol!$B$270)</f>
        <v/>
      </c>
      <c r="V267">
        <f>IF([2]Baskol!$C$270="","",[2]Baskol!$C$270)</f>
        <v/>
      </c>
      <c r="W267">
        <f>IF([2]Baskol!$D$270="","",[2]Baskol!$D$270)</f>
        <v/>
      </c>
      <c r="X267">
        <f>IF([2]Baskol!$E$270="","",[2]Baskol!$E$270)</f>
        <v/>
      </c>
      <c r="Y267">
        <f>IF([2]Baskol!$G$270="","",[2]Baskol!$G$270)</f>
        <v/>
      </c>
      <c r="Z267">
        <f>IF([2]Baskol!$I$270="","",[2]Baskol!$I$270)</f>
        <v/>
      </c>
      <c r="AA267">
        <f>IF([2]Baskol!$J$270="","",[2]Baskol!$J$270)</f>
        <v/>
      </c>
      <c r="AB267">
        <f>IF([2]Baskol!$K$270="","",[2]Baskol!$K$270)</f>
        <v/>
      </c>
      <c r="AC267">
        <f>IF([2]Baskol!$L$270="","",[2]Baskol!$L$270)</f>
        <v/>
      </c>
      <c r="AD267">
        <f>IF([2]Baskol!$N$270="","",[2]Baskol!$N$270)</f>
        <v/>
      </c>
      <c r="AE267">
        <f>IF([2]Baskol!$O$270="","",[2]Baskol!$O$270)</f>
        <v/>
      </c>
      <c r="AG267">
        <f>IF([3]Entry!$C$270="","",[3]Entry!$C$270)</f>
        <v/>
      </c>
      <c r="AH267">
        <f>IF([3]Entry!$D$270="","",[3]Entry!$D$270)</f>
        <v/>
      </c>
      <c r="AI267">
        <f>IF([3]Entry!$E$270="","",[3]Entry!$E$270)</f>
        <v/>
      </c>
      <c r="AJ267">
        <f>IF([3]Entry!$G$270="","",[3]Entry!$G$270)</f>
        <v/>
      </c>
      <c r="AK267">
        <f>IF([3]Entry!$K$270="","",[3]Entry!$K$270)</f>
        <v/>
      </c>
      <c r="AL267">
        <f>IF([3]Entry!$L$270="","",[3]Entry!$L$270)</f>
        <v/>
      </c>
      <c r="AM267">
        <f>IF([3]Entry!$M$270="","",[3]Entry!$M$270)</f>
        <v/>
      </c>
      <c r="AN267">
        <f>IF([3]Entry!$N$270="","",[3]Entry!$N$270)</f>
        <v/>
      </c>
      <c r="AO267">
        <f>IF([3]Entry!$R$270="","",[3]Entry!$R$270)</f>
        <v/>
      </c>
      <c r="AQ267">
        <f>IF(AND($D267&lt;&gt;"",$A267&lt;&gt;""),1,0)</f>
        <v/>
      </c>
      <c r="AR267">
        <f>SUM($AQ$6:$AQ267)</f>
        <v/>
      </c>
      <c r="AS267">
        <f>IFERROR(INDEX($A$6:$A$565,MATCH(ROW()-5,$AR$6:$AR$565,0)),"")</f>
        <v/>
      </c>
    </row>
    <row r="268">
      <c r="A268">
        <f>IF([1]Accounts!$D$269="","",[1]Accounts!$A$269)</f>
        <v/>
      </c>
      <c r="B268">
        <f>IF([1]Accounts!$D$269="","",[1]Accounts!$B$269)</f>
        <v/>
      </c>
      <c r="C268">
        <f>IF([1]Accounts!$D$269="","",[1]Accounts!$C$269)</f>
        <v/>
      </c>
      <c r="D268">
        <f>IF([1]Accounts!$D$269="","",[1]Accounts!$D$269)</f>
        <v/>
      </c>
      <c r="E268">
        <f>IF([1]Accounts!$D$269="","",[1]Accounts!$J$269)</f>
        <v/>
      </c>
      <c r="F268">
        <f>IF([1]Accounts!$D$269="","",[1]Accounts!$K$269)</f>
        <v/>
      </c>
      <c r="U268">
        <f>IF([2]Baskol!$B$271="","",[2]Baskol!$B$271)</f>
        <v/>
      </c>
      <c r="V268">
        <f>IF([2]Baskol!$C$271="","",[2]Baskol!$C$271)</f>
        <v/>
      </c>
      <c r="W268">
        <f>IF([2]Baskol!$D$271="","",[2]Baskol!$D$271)</f>
        <v/>
      </c>
      <c r="X268">
        <f>IF([2]Baskol!$E$271="","",[2]Baskol!$E$271)</f>
        <v/>
      </c>
      <c r="Y268">
        <f>IF([2]Baskol!$G$271="","",[2]Baskol!$G$271)</f>
        <v/>
      </c>
      <c r="Z268">
        <f>IF([2]Baskol!$I$271="","",[2]Baskol!$I$271)</f>
        <v/>
      </c>
      <c r="AA268">
        <f>IF([2]Baskol!$J$271="","",[2]Baskol!$J$271)</f>
        <v/>
      </c>
      <c r="AB268">
        <f>IF([2]Baskol!$K$271="","",[2]Baskol!$K$271)</f>
        <v/>
      </c>
      <c r="AC268">
        <f>IF([2]Baskol!$L$271="","",[2]Baskol!$L$271)</f>
        <v/>
      </c>
      <c r="AD268">
        <f>IF([2]Baskol!$N$271="","",[2]Baskol!$N$271)</f>
        <v/>
      </c>
      <c r="AE268">
        <f>IF([2]Baskol!$O$271="","",[2]Baskol!$O$271)</f>
        <v/>
      </c>
      <c r="AG268">
        <f>IF([3]Entry!$C$271="","",[3]Entry!$C$271)</f>
        <v/>
      </c>
      <c r="AH268">
        <f>IF([3]Entry!$D$271="","",[3]Entry!$D$271)</f>
        <v/>
      </c>
      <c r="AI268">
        <f>IF([3]Entry!$E$271="","",[3]Entry!$E$271)</f>
        <v/>
      </c>
      <c r="AJ268">
        <f>IF([3]Entry!$G$271="","",[3]Entry!$G$271)</f>
        <v/>
      </c>
      <c r="AK268">
        <f>IF([3]Entry!$K$271="","",[3]Entry!$K$271)</f>
        <v/>
      </c>
      <c r="AL268">
        <f>IF([3]Entry!$L$271="","",[3]Entry!$L$271)</f>
        <v/>
      </c>
      <c r="AM268">
        <f>IF([3]Entry!$M$271="","",[3]Entry!$M$271)</f>
        <v/>
      </c>
      <c r="AN268">
        <f>IF([3]Entry!$N$271="","",[3]Entry!$N$271)</f>
        <v/>
      </c>
      <c r="AO268">
        <f>IF([3]Entry!$R$271="","",[3]Entry!$R$271)</f>
        <v/>
      </c>
      <c r="AQ268">
        <f>IF(AND($D268&lt;&gt;"",$A268&lt;&gt;""),1,0)</f>
        <v/>
      </c>
      <c r="AR268">
        <f>SUM($AQ$6:$AQ268)</f>
        <v/>
      </c>
      <c r="AS268">
        <f>IFERROR(INDEX($A$6:$A$565,MATCH(ROW()-5,$AR$6:$AR$565,0)),"")</f>
        <v/>
      </c>
    </row>
    <row r="269">
      <c r="A269">
        <f>IF([1]Accounts!$D$270="","",[1]Accounts!$A$270)</f>
        <v/>
      </c>
      <c r="B269">
        <f>IF([1]Accounts!$D$270="","",[1]Accounts!$B$270)</f>
        <v/>
      </c>
      <c r="C269">
        <f>IF([1]Accounts!$D$270="","",[1]Accounts!$C$270)</f>
        <v/>
      </c>
      <c r="D269">
        <f>IF([1]Accounts!$D$270="","",[1]Accounts!$D$270)</f>
        <v/>
      </c>
      <c r="E269">
        <f>IF([1]Accounts!$D$270="","",[1]Accounts!$J$270)</f>
        <v/>
      </c>
      <c r="F269">
        <f>IF([1]Accounts!$D$270="","",[1]Accounts!$K$270)</f>
        <v/>
      </c>
      <c r="U269">
        <f>IF([2]Baskol!$B$272="","",[2]Baskol!$B$272)</f>
        <v/>
      </c>
      <c r="V269">
        <f>IF([2]Baskol!$C$272="","",[2]Baskol!$C$272)</f>
        <v/>
      </c>
      <c r="W269">
        <f>IF([2]Baskol!$D$272="","",[2]Baskol!$D$272)</f>
        <v/>
      </c>
      <c r="X269">
        <f>IF([2]Baskol!$E$272="","",[2]Baskol!$E$272)</f>
        <v/>
      </c>
      <c r="Y269">
        <f>IF([2]Baskol!$G$272="","",[2]Baskol!$G$272)</f>
        <v/>
      </c>
      <c r="Z269">
        <f>IF([2]Baskol!$I$272="","",[2]Baskol!$I$272)</f>
        <v/>
      </c>
      <c r="AA269">
        <f>IF([2]Baskol!$J$272="","",[2]Baskol!$J$272)</f>
        <v/>
      </c>
      <c r="AB269">
        <f>IF([2]Baskol!$K$272="","",[2]Baskol!$K$272)</f>
        <v/>
      </c>
      <c r="AC269">
        <f>IF([2]Baskol!$L$272="","",[2]Baskol!$L$272)</f>
        <v/>
      </c>
      <c r="AD269">
        <f>IF([2]Baskol!$N$272="","",[2]Baskol!$N$272)</f>
        <v/>
      </c>
      <c r="AE269">
        <f>IF([2]Baskol!$O$272="","",[2]Baskol!$O$272)</f>
        <v/>
      </c>
      <c r="AG269">
        <f>IF([3]Entry!$C$272="","",[3]Entry!$C$272)</f>
        <v/>
      </c>
      <c r="AH269">
        <f>IF([3]Entry!$D$272="","",[3]Entry!$D$272)</f>
        <v/>
      </c>
      <c r="AI269">
        <f>IF([3]Entry!$E$272="","",[3]Entry!$E$272)</f>
        <v/>
      </c>
      <c r="AJ269">
        <f>IF([3]Entry!$G$272="","",[3]Entry!$G$272)</f>
        <v/>
      </c>
      <c r="AK269">
        <f>IF([3]Entry!$K$272="","",[3]Entry!$K$272)</f>
        <v/>
      </c>
      <c r="AL269">
        <f>IF([3]Entry!$L$272="","",[3]Entry!$L$272)</f>
        <v/>
      </c>
      <c r="AM269">
        <f>IF([3]Entry!$M$272="","",[3]Entry!$M$272)</f>
        <v/>
      </c>
      <c r="AN269">
        <f>IF([3]Entry!$N$272="","",[3]Entry!$N$272)</f>
        <v/>
      </c>
      <c r="AO269">
        <f>IF([3]Entry!$R$272="","",[3]Entry!$R$272)</f>
        <v/>
      </c>
      <c r="AQ269">
        <f>IF(AND($D269&lt;&gt;"",$A269&lt;&gt;""),1,0)</f>
        <v/>
      </c>
      <c r="AR269">
        <f>SUM($AQ$6:$AQ269)</f>
        <v/>
      </c>
      <c r="AS269">
        <f>IFERROR(INDEX($A$6:$A$565,MATCH(ROW()-5,$AR$6:$AR$565,0)),"")</f>
        <v/>
      </c>
    </row>
    <row r="270">
      <c r="A270">
        <f>IF([1]Accounts!$D$271="","",[1]Accounts!$A$271)</f>
        <v/>
      </c>
      <c r="B270">
        <f>IF([1]Accounts!$D$271="","",[1]Accounts!$B$271)</f>
        <v/>
      </c>
      <c r="C270">
        <f>IF([1]Accounts!$D$271="","",[1]Accounts!$C$271)</f>
        <v/>
      </c>
      <c r="D270">
        <f>IF([1]Accounts!$D$271="","",[1]Accounts!$D$271)</f>
        <v/>
      </c>
      <c r="E270">
        <f>IF([1]Accounts!$D$271="","",[1]Accounts!$J$271)</f>
        <v/>
      </c>
      <c r="F270">
        <f>IF([1]Accounts!$D$271="","",[1]Accounts!$K$271)</f>
        <v/>
      </c>
      <c r="U270">
        <f>IF([2]Baskol!$B$273="","",[2]Baskol!$B$273)</f>
        <v/>
      </c>
      <c r="V270">
        <f>IF([2]Baskol!$C$273="","",[2]Baskol!$C$273)</f>
        <v/>
      </c>
      <c r="W270">
        <f>IF([2]Baskol!$D$273="","",[2]Baskol!$D$273)</f>
        <v/>
      </c>
      <c r="X270">
        <f>IF([2]Baskol!$E$273="","",[2]Baskol!$E$273)</f>
        <v/>
      </c>
      <c r="Y270">
        <f>IF([2]Baskol!$G$273="","",[2]Baskol!$G$273)</f>
        <v/>
      </c>
      <c r="Z270">
        <f>IF([2]Baskol!$I$273="","",[2]Baskol!$I$273)</f>
        <v/>
      </c>
      <c r="AA270">
        <f>IF([2]Baskol!$J$273="","",[2]Baskol!$J$273)</f>
        <v/>
      </c>
      <c r="AB270">
        <f>IF([2]Baskol!$K$273="","",[2]Baskol!$K$273)</f>
        <v/>
      </c>
      <c r="AC270">
        <f>IF([2]Baskol!$L$273="","",[2]Baskol!$L$273)</f>
        <v/>
      </c>
      <c r="AD270">
        <f>IF([2]Baskol!$N$273="","",[2]Baskol!$N$273)</f>
        <v/>
      </c>
      <c r="AE270">
        <f>IF([2]Baskol!$O$273="","",[2]Baskol!$O$273)</f>
        <v/>
      </c>
      <c r="AG270">
        <f>IF([3]Entry!$C$273="","",[3]Entry!$C$273)</f>
        <v/>
      </c>
      <c r="AH270">
        <f>IF([3]Entry!$D$273="","",[3]Entry!$D$273)</f>
        <v/>
      </c>
      <c r="AI270">
        <f>IF([3]Entry!$E$273="","",[3]Entry!$E$273)</f>
        <v/>
      </c>
      <c r="AJ270">
        <f>IF([3]Entry!$G$273="","",[3]Entry!$G$273)</f>
        <v/>
      </c>
      <c r="AK270">
        <f>IF([3]Entry!$K$273="","",[3]Entry!$K$273)</f>
        <v/>
      </c>
      <c r="AL270">
        <f>IF([3]Entry!$L$273="","",[3]Entry!$L$273)</f>
        <v/>
      </c>
      <c r="AM270">
        <f>IF([3]Entry!$M$273="","",[3]Entry!$M$273)</f>
        <v/>
      </c>
      <c r="AN270">
        <f>IF([3]Entry!$N$273="","",[3]Entry!$N$273)</f>
        <v/>
      </c>
      <c r="AO270">
        <f>IF([3]Entry!$R$273="","",[3]Entry!$R$273)</f>
        <v/>
      </c>
      <c r="AQ270">
        <f>IF(AND($D270&lt;&gt;"",$A270&lt;&gt;""),1,0)</f>
        <v/>
      </c>
      <c r="AR270">
        <f>SUM($AQ$6:$AQ270)</f>
        <v/>
      </c>
      <c r="AS270">
        <f>IFERROR(INDEX($A$6:$A$565,MATCH(ROW()-5,$AR$6:$AR$565,0)),"")</f>
        <v/>
      </c>
    </row>
    <row r="271">
      <c r="A271">
        <f>IF([1]Accounts!$D$272="","",[1]Accounts!$A$272)</f>
        <v/>
      </c>
      <c r="B271">
        <f>IF([1]Accounts!$D$272="","",[1]Accounts!$B$272)</f>
        <v/>
      </c>
      <c r="C271">
        <f>IF([1]Accounts!$D$272="","",[1]Accounts!$C$272)</f>
        <v/>
      </c>
      <c r="D271">
        <f>IF([1]Accounts!$D$272="","",[1]Accounts!$D$272)</f>
        <v/>
      </c>
      <c r="E271">
        <f>IF([1]Accounts!$D$272="","",[1]Accounts!$J$272)</f>
        <v/>
      </c>
      <c r="F271">
        <f>IF([1]Accounts!$D$272="","",[1]Accounts!$K$272)</f>
        <v/>
      </c>
      <c r="U271">
        <f>IF([2]Baskol!$B$274="","",[2]Baskol!$B$274)</f>
        <v/>
      </c>
      <c r="V271">
        <f>IF([2]Baskol!$C$274="","",[2]Baskol!$C$274)</f>
        <v/>
      </c>
      <c r="W271">
        <f>IF([2]Baskol!$D$274="","",[2]Baskol!$D$274)</f>
        <v/>
      </c>
      <c r="X271">
        <f>IF([2]Baskol!$E$274="","",[2]Baskol!$E$274)</f>
        <v/>
      </c>
      <c r="Y271">
        <f>IF([2]Baskol!$G$274="","",[2]Baskol!$G$274)</f>
        <v/>
      </c>
      <c r="Z271">
        <f>IF([2]Baskol!$I$274="","",[2]Baskol!$I$274)</f>
        <v/>
      </c>
      <c r="AA271">
        <f>IF([2]Baskol!$J$274="","",[2]Baskol!$J$274)</f>
        <v/>
      </c>
      <c r="AB271">
        <f>IF([2]Baskol!$K$274="","",[2]Baskol!$K$274)</f>
        <v/>
      </c>
      <c r="AC271">
        <f>IF([2]Baskol!$L$274="","",[2]Baskol!$L$274)</f>
        <v/>
      </c>
      <c r="AD271">
        <f>IF([2]Baskol!$N$274="","",[2]Baskol!$N$274)</f>
        <v/>
      </c>
      <c r="AE271">
        <f>IF([2]Baskol!$O$274="","",[2]Baskol!$O$274)</f>
        <v/>
      </c>
      <c r="AG271">
        <f>IF([3]Entry!$C$274="","",[3]Entry!$C$274)</f>
        <v/>
      </c>
      <c r="AH271">
        <f>IF([3]Entry!$D$274="","",[3]Entry!$D$274)</f>
        <v/>
      </c>
      <c r="AI271">
        <f>IF([3]Entry!$E$274="","",[3]Entry!$E$274)</f>
        <v/>
      </c>
      <c r="AJ271">
        <f>IF([3]Entry!$G$274="","",[3]Entry!$G$274)</f>
        <v/>
      </c>
      <c r="AK271">
        <f>IF([3]Entry!$K$274="","",[3]Entry!$K$274)</f>
        <v/>
      </c>
      <c r="AL271">
        <f>IF([3]Entry!$L$274="","",[3]Entry!$L$274)</f>
        <v/>
      </c>
      <c r="AM271">
        <f>IF([3]Entry!$M$274="","",[3]Entry!$M$274)</f>
        <v/>
      </c>
      <c r="AN271">
        <f>IF([3]Entry!$N$274="","",[3]Entry!$N$274)</f>
        <v/>
      </c>
      <c r="AO271">
        <f>IF([3]Entry!$R$274="","",[3]Entry!$R$274)</f>
        <v/>
      </c>
      <c r="AQ271">
        <f>IF(AND($D271&lt;&gt;"",$A271&lt;&gt;""),1,0)</f>
        <v/>
      </c>
      <c r="AR271">
        <f>SUM($AQ$6:$AQ271)</f>
        <v/>
      </c>
      <c r="AS271">
        <f>IFERROR(INDEX($A$6:$A$565,MATCH(ROW()-5,$AR$6:$AR$565,0)),"")</f>
        <v/>
      </c>
    </row>
    <row r="272">
      <c r="A272">
        <f>IF([1]Accounts!$D$273="","",[1]Accounts!$A$273)</f>
        <v/>
      </c>
      <c r="B272">
        <f>IF([1]Accounts!$D$273="","",[1]Accounts!$B$273)</f>
        <v/>
      </c>
      <c r="C272">
        <f>IF([1]Accounts!$D$273="","",[1]Accounts!$C$273)</f>
        <v/>
      </c>
      <c r="D272">
        <f>IF([1]Accounts!$D$273="","",[1]Accounts!$D$273)</f>
        <v/>
      </c>
      <c r="E272">
        <f>IF([1]Accounts!$D$273="","",[1]Accounts!$J$273)</f>
        <v/>
      </c>
      <c r="F272">
        <f>IF([1]Accounts!$D$273="","",[1]Accounts!$K$273)</f>
        <v/>
      </c>
      <c r="U272">
        <f>IF([2]Baskol!$B$275="","",[2]Baskol!$B$275)</f>
        <v/>
      </c>
      <c r="V272">
        <f>IF([2]Baskol!$C$275="","",[2]Baskol!$C$275)</f>
        <v/>
      </c>
      <c r="W272">
        <f>IF([2]Baskol!$D$275="","",[2]Baskol!$D$275)</f>
        <v/>
      </c>
      <c r="X272">
        <f>IF([2]Baskol!$E$275="","",[2]Baskol!$E$275)</f>
        <v/>
      </c>
      <c r="Y272">
        <f>IF([2]Baskol!$G$275="","",[2]Baskol!$G$275)</f>
        <v/>
      </c>
      <c r="Z272">
        <f>IF([2]Baskol!$I$275="","",[2]Baskol!$I$275)</f>
        <v/>
      </c>
      <c r="AA272">
        <f>IF([2]Baskol!$J$275="","",[2]Baskol!$J$275)</f>
        <v/>
      </c>
      <c r="AB272">
        <f>IF([2]Baskol!$K$275="","",[2]Baskol!$K$275)</f>
        <v/>
      </c>
      <c r="AC272">
        <f>IF([2]Baskol!$L$275="","",[2]Baskol!$L$275)</f>
        <v/>
      </c>
      <c r="AD272">
        <f>IF([2]Baskol!$N$275="","",[2]Baskol!$N$275)</f>
        <v/>
      </c>
      <c r="AE272">
        <f>IF([2]Baskol!$O$275="","",[2]Baskol!$O$275)</f>
        <v/>
      </c>
      <c r="AG272">
        <f>IF([3]Entry!$C$275="","",[3]Entry!$C$275)</f>
        <v/>
      </c>
      <c r="AH272">
        <f>IF([3]Entry!$D$275="","",[3]Entry!$D$275)</f>
        <v/>
      </c>
      <c r="AI272">
        <f>IF([3]Entry!$E$275="","",[3]Entry!$E$275)</f>
        <v/>
      </c>
      <c r="AJ272">
        <f>IF([3]Entry!$G$275="","",[3]Entry!$G$275)</f>
        <v/>
      </c>
      <c r="AK272">
        <f>IF([3]Entry!$K$275="","",[3]Entry!$K$275)</f>
        <v/>
      </c>
      <c r="AL272">
        <f>IF([3]Entry!$L$275="","",[3]Entry!$L$275)</f>
        <v/>
      </c>
      <c r="AM272">
        <f>IF([3]Entry!$M$275="","",[3]Entry!$M$275)</f>
        <v/>
      </c>
      <c r="AN272">
        <f>IF([3]Entry!$N$275="","",[3]Entry!$N$275)</f>
        <v/>
      </c>
      <c r="AO272">
        <f>IF([3]Entry!$R$275="","",[3]Entry!$R$275)</f>
        <v/>
      </c>
      <c r="AQ272">
        <f>IF(AND($D272&lt;&gt;"",$A272&lt;&gt;""),1,0)</f>
        <v/>
      </c>
      <c r="AR272">
        <f>SUM($AQ$6:$AQ272)</f>
        <v/>
      </c>
      <c r="AS272">
        <f>IFERROR(INDEX($A$6:$A$565,MATCH(ROW()-5,$AR$6:$AR$565,0)),"")</f>
        <v/>
      </c>
    </row>
    <row r="273">
      <c r="A273">
        <f>IF([1]Accounts!$D$274="","",[1]Accounts!$A$274)</f>
        <v/>
      </c>
      <c r="B273">
        <f>IF([1]Accounts!$D$274="","",[1]Accounts!$B$274)</f>
        <v/>
      </c>
      <c r="C273">
        <f>IF([1]Accounts!$D$274="","",[1]Accounts!$C$274)</f>
        <v/>
      </c>
      <c r="D273">
        <f>IF([1]Accounts!$D$274="","",[1]Accounts!$D$274)</f>
        <v/>
      </c>
      <c r="E273">
        <f>IF([1]Accounts!$D$274="","",[1]Accounts!$J$274)</f>
        <v/>
      </c>
      <c r="F273">
        <f>IF([1]Accounts!$D$274="","",[1]Accounts!$K$274)</f>
        <v/>
      </c>
      <c r="U273">
        <f>IF([2]Baskol!$B$276="","",[2]Baskol!$B$276)</f>
        <v/>
      </c>
      <c r="V273">
        <f>IF([2]Baskol!$C$276="","",[2]Baskol!$C$276)</f>
        <v/>
      </c>
      <c r="W273">
        <f>IF([2]Baskol!$D$276="","",[2]Baskol!$D$276)</f>
        <v/>
      </c>
      <c r="X273">
        <f>IF([2]Baskol!$E$276="","",[2]Baskol!$E$276)</f>
        <v/>
      </c>
      <c r="Y273">
        <f>IF([2]Baskol!$G$276="","",[2]Baskol!$G$276)</f>
        <v/>
      </c>
      <c r="Z273">
        <f>IF([2]Baskol!$I$276="","",[2]Baskol!$I$276)</f>
        <v/>
      </c>
      <c r="AA273">
        <f>IF([2]Baskol!$J$276="","",[2]Baskol!$J$276)</f>
        <v/>
      </c>
      <c r="AB273">
        <f>IF([2]Baskol!$K$276="","",[2]Baskol!$K$276)</f>
        <v/>
      </c>
      <c r="AC273">
        <f>IF([2]Baskol!$L$276="","",[2]Baskol!$L$276)</f>
        <v/>
      </c>
      <c r="AD273">
        <f>IF([2]Baskol!$N$276="","",[2]Baskol!$N$276)</f>
        <v/>
      </c>
      <c r="AE273">
        <f>IF([2]Baskol!$O$276="","",[2]Baskol!$O$276)</f>
        <v/>
      </c>
      <c r="AG273">
        <f>IF([3]Entry!$C$276="","",[3]Entry!$C$276)</f>
        <v/>
      </c>
      <c r="AH273">
        <f>IF([3]Entry!$D$276="","",[3]Entry!$D$276)</f>
        <v/>
      </c>
      <c r="AI273">
        <f>IF([3]Entry!$E$276="","",[3]Entry!$E$276)</f>
        <v/>
      </c>
      <c r="AJ273">
        <f>IF([3]Entry!$G$276="","",[3]Entry!$G$276)</f>
        <v/>
      </c>
      <c r="AK273">
        <f>IF([3]Entry!$K$276="","",[3]Entry!$K$276)</f>
        <v/>
      </c>
      <c r="AL273">
        <f>IF([3]Entry!$L$276="","",[3]Entry!$L$276)</f>
        <v/>
      </c>
      <c r="AM273">
        <f>IF([3]Entry!$M$276="","",[3]Entry!$M$276)</f>
        <v/>
      </c>
      <c r="AN273">
        <f>IF([3]Entry!$N$276="","",[3]Entry!$N$276)</f>
        <v/>
      </c>
      <c r="AO273">
        <f>IF([3]Entry!$R$276="","",[3]Entry!$R$276)</f>
        <v/>
      </c>
      <c r="AQ273">
        <f>IF(AND($D273&lt;&gt;"",$A273&lt;&gt;""),1,0)</f>
        <v/>
      </c>
      <c r="AR273">
        <f>SUM($AQ$6:$AQ273)</f>
        <v/>
      </c>
      <c r="AS273">
        <f>IFERROR(INDEX($A$6:$A$565,MATCH(ROW()-5,$AR$6:$AR$565,0)),"")</f>
        <v/>
      </c>
    </row>
    <row r="274">
      <c r="A274">
        <f>IF([1]Accounts!$D$275="","",[1]Accounts!$A$275)</f>
        <v/>
      </c>
      <c r="B274">
        <f>IF([1]Accounts!$D$275="","",[1]Accounts!$B$275)</f>
        <v/>
      </c>
      <c r="C274">
        <f>IF([1]Accounts!$D$275="","",[1]Accounts!$C$275)</f>
        <v/>
      </c>
      <c r="D274">
        <f>IF([1]Accounts!$D$275="","",[1]Accounts!$D$275)</f>
        <v/>
      </c>
      <c r="E274">
        <f>IF([1]Accounts!$D$275="","",[1]Accounts!$J$275)</f>
        <v/>
      </c>
      <c r="F274">
        <f>IF([1]Accounts!$D$275="","",[1]Accounts!$K$275)</f>
        <v/>
      </c>
      <c r="U274">
        <f>IF([2]Baskol!$B$277="","",[2]Baskol!$B$277)</f>
        <v/>
      </c>
      <c r="V274">
        <f>IF([2]Baskol!$C$277="","",[2]Baskol!$C$277)</f>
        <v/>
      </c>
      <c r="W274">
        <f>IF([2]Baskol!$D$277="","",[2]Baskol!$D$277)</f>
        <v/>
      </c>
      <c r="X274">
        <f>IF([2]Baskol!$E$277="","",[2]Baskol!$E$277)</f>
        <v/>
      </c>
      <c r="Y274">
        <f>IF([2]Baskol!$G$277="","",[2]Baskol!$G$277)</f>
        <v/>
      </c>
      <c r="Z274">
        <f>IF([2]Baskol!$I$277="","",[2]Baskol!$I$277)</f>
        <v/>
      </c>
      <c r="AA274">
        <f>IF([2]Baskol!$J$277="","",[2]Baskol!$J$277)</f>
        <v/>
      </c>
      <c r="AB274">
        <f>IF([2]Baskol!$K$277="","",[2]Baskol!$K$277)</f>
        <v/>
      </c>
      <c r="AC274">
        <f>IF([2]Baskol!$L$277="","",[2]Baskol!$L$277)</f>
        <v/>
      </c>
      <c r="AD274">
        <f>IF([2]Baskol!$N$277="","",[2]Baskol!$N$277)</f>
        <v/>
      </c>
      <c r="AE274">
        <f>IF([2]Baskol!$O$277="","",[2]Baskol!$O$277)</f>
        <v/>
      </c>
      <c r="AG274">
        <f>IF([3]Entry!$C$277="","",[3]Entry!$C$277)</f>
        <v/>
      </c>
      <c r="AH274">
        <f>IF([3]Entry!$D$277="","",[3]Entry!$D$277)</f>
        <v/>
      </c>
      <c r="AI274">
        <f>IF([3]Entry!$E$277="","",[3]Entry!$E$277)</f>
        <v/>
      </c>
      <c r="AJ274">
        <f>IF([3]Entry!$G$277="","",[3]Entry!$G$277)</f>
        <v/>
      </c>
      <c r="AK274">
        <f>IF([3]Entry!$K$277="","",[3]Entry!$K$277)</f>
        <v/>
      </c>
      <c r="AL274">
        <f>IF([3]Entry!$L$277="","",[3]Entry!$L$277)</f>
        <v/>
      </c>
      <c r="AM274">
        <f>IF([3]Entry!$M$277="","",[3]Entry!$M$277)</f>
        <v/>
      </c>
      <c r="AN274">
        <f>IF([3]Entry!$N$277="","",[3]Entry!$N$277)</f>
        <v/>
      </c>
      <c r="AO274">
        <f>IF([3]Entry!$R$277="","",[3]Entry!$R$277)</f>
        <v/>
      </c>
      <c r="AQ274">
        <f>IF(AND($D274&lt;&gt;"",$A274&lt;&gt;""),1,0)</f>
        <v/>
      </c>
      <c r="AR274">
        <f>SUM($AQ$6:$AQ274)</f>
        <v/>
      </c>
      <c r="AS274">
        <f>IFERROR(INDEX($A$6:$A$565,MATCH(ROW()-5,$AR$6:$AR$565,0)),"")</f>
        <v/>
      </c>
    </row>
    <row r="275">
      <c r="A275">
        <f>IF([1]Accounts!$D$276="","",[1]Accounts!$A$276)</f>
        <v/>
      </c>
      <c r="B275">
        <f>IF([1]Accounts!$D$276="","",[1]Accounts!$B$276)</f>
        <v/>
      </c>
      <c r="C275">
        <f>IF([1]Accounts!$D$276="","",[1]Accounts!$C$276)</f>
        <v/>
      </c>
      <c r="D275">
        <f>IF([1]Accounts!$D$276="","",[1]Accounts!$D$276)</f>
        <v/>
      </c>
      <c r="E275">
        <f>IF([1]Accounts!$D$276="","",[1]Accounts!$J$276)</f>
        <v/>
      </c>
      <c r="F275">
        <f>IF([1]Accounts!$D$276="","",[1]Accounts!$K$276)</f>
        <v/>
      </c>
      <c r="U275">
        <f>IF([2]Baskol!$B$278="","",[2]Baskol!$B$278)</f>
        <v/>
      </c>
      <c r="V275">
        <f>IF([2]Baskol!$C$278="","",[2]Baskol!$C$278)</f>
        <v/>
      </c>
      <c r="W275">
        <f>IF([2]Baskol!$D$278="","",[2]Baskol!$D$278)</f>
        <v/>
      </c>
      <c r="X275">
        <f>IF([2]Baskol!$E$278="","",[2]Baskol!$E$278)</f>
        <v/>
      </c>
      <c r="Y275">
        <f>IF([2]Baskol!$G$278="","",[2]Baskol!$G$278)</f>
        <v/>
      </c>
      <c r="Z275">
        <f>IF([2]Baskol!$I$278="","",[2]Baskol!$I$278)</f>
        <v/>
      </c>
      <c r="AA275">
        <f>IF([2]Baskol!$J$278="","",[2]Baskol!$J$278)</f>
        <v/>
      </c>
      <c r="AB275">
        <f>IF([2]Baskol!$K$278="","",[2]Baskol!$K$278)</f>
        <v/>
      </c>
      <c r="AC275">
        <f>IF([2]Baskol!$L$278="","",[2]Baskol!$L$278)</f>
        <v/>
      </c>
      <c r="AD275">
        <f>IF([2]Baskol!$N$278="","",[2]Baskol!$N$278)</f>
        <v/>
      </c>
      <c r="AE275">
        <f>IF([2]Baskol!$O$278="","",[2]Baskol!$O$278)</f>
        <v/>
      </c>
      <c r="AG275">
        <f>IF([3]Entry!$C$278="","",[3]Entry!$C$278)</f>
        <v/>
      </c>
      <c r="AH275">
        <f>IF([3]Entry!$D$278="","",[3]Entry!$D$278)</f>
        <v/>
      </c>
      <c r="AI275">
        <f>IF([3]Entry!$E$278="","",[3]Entry!$E$278)</f>
        <v/>
      </c>
      <c r="AJ275">
        <f>IF([3]Entry!$G$278="","",[3]Entry!$G$278)</f>
        <v/>
      </c>
      <c r="AK275">
        <f>IF([3]Entry!$K$278="","",[3]Entry!$K$278)</f>
        <v/>
      </c>
      <c r="AL275">
        <f>IF([3]Entry!$L$278="","",[3]Entry!$L$278)</f>
        <v/>
      </c>
      <c r="AM275">
        <f>IF([3]Entry!$M$278="","",[3]Entry!$M$278)</f>
        <v/>
      </c>
      <c r="AN275">
        <f>IF([3]Entry!$N$278="","",[3]Entry!$N$278)</f>
        <v/>
      </c>
      <c r="AO275">
        <f>IF([3]Entry!$R$278="","",[3]Entry!$R$278)</f>
        <v/>
      </c>
      <c r="AQ275">
        <f>IF(AND($D275&lt;&gt;"",$A275&lt;&gt;""),1,0)</f>
        <v/>
      </c>
      <c r="AR275">
        <f>SUM($AQ$6:$AQ275)</f>
        <v/>
      </c>
      <c r="AS275">
        <f>IFERROR(INDEX($A$6:$A$565,MATCH(ROW()-5,$AR$6:$AR$565,0)),"")</f>
        <v/>
      </c>
    </row>
    <row r="276">
      <c r="A276">
        <f>IF([1]Accounts!$D$277="","",[1]Accounts!$A$277)</f>
        <v/>
      </c>
      <c r="B276">
        <f>IF([1]Accounts!$D$277="","",[1]Accounts!$B$277)</f>
        <v/>
      </c>
      <c r="C276">
        <f>IF([1]Accounts!$D$277="","",[1]Accounts!$C$277)</f>
        <v/>
      </c>
      <c r="D276">
        <f>IF([1]Accounts!$D$277="","",[1]Accounts!$D$277)</f>
        <v/>
      </c>
      <c r="E276">
        <f>IF([1]Accounts!$D$277="","",[1]Accounts!$J$277)</f>
        <v/>
      </c>
      <c r="F276">
        <f>IF([1]Accounts!$D$277="","",[1]Accounts!$K$277)</f>
        <v/>
      </c>
      <c r="U276">
        <f>IF([2]Baskol!$B$279="","",[2]Baskol!$B$279)</f>
        <v/>
      </c>
      <c r="V276">
        <f>IF([2]Baskol!$C$279="","",[2]Baskol!$C$279)</f>
        <v/>
      </c>
      <c r="W276">
        <f>IF([2]Baskol!$D$279="","",[2]Baskol!$D$279)</f>
        <v/>
      </c>
      <c r="X276">
        <f>IF([2]Baskol!$E$279="","",[2]Baskol!$E$279)</f>
        <v/>
      </c>
      <c r="Y276">
        <f>IF([2]Baskol!$G$279="","",[2]Baskol!$G$279)</f>
        <v/>
      </c>
      <c r="Z276">
        <f>IF([2]Baskol!$I$279="","",[2]Baskol!$I$279)</f>
        <v/>
      </c>
      <c r="AA276">
        <f>IF([2]Baskol!$J$279="","",[2]Baskol!$J$279)</f>
        <v/>
      </c>
      <c r="AB276">
        <f>IF([2]Baskol!$K$279="","",[2]Baskol!$K$279)</f>
        <v/>
      </c>
      <c r="AC276">
        <f>IF([2]Baskol!$L$279="","",[2]Baskol!$L$279)</f>
        <v/>
      </c>
      <c r="AD276">
        <f>IF([2]Baskol!$N$279="","",[2]Baskol!$N$279)</f>
        <v/>
      </c>
      <c r="AE276">
        <f>IF([2]Baskol!$O$279="","",[2]Baskol!$O$279)</f>
        <v/>
      </c>
      <c r="AG276">
        <f>IF([3]Entry!$C$279="","",[3]Entry!$C$279)</f>
        <v/>
      </c>
      <c r="AH276">
        <f>IF([3]Entry!$D$279="","",[3]Entry!$D$279)</f>
        <v/>
      </c>
      <c r="AI276">
        <f>IF([3]Entry!$E$279="","",[3]Entry!$E$279)</f>
        <v/>
      </c>
      <c r="AJ276">
        <f>IF([3]Entry!$G$279="","",[3]Entry!$G$279)</f>
        <v/>
      </c>
      <c r="AK276">
        <f>IF([3]Entry!$K$279="","",[3]Entry!$K$279)</f>
        <v/>
      </c>
      <c r="AL276">
        <f>IF([3]Entry!$L$279="","",[3]Entry!$L$279)</f>
        <v/>
      </c>
      <c r="AM276">
        <f>IF([3]Entry!$M$279="","",[3]Entry!$M$279)</f>
        <v/>
      </c>
      <c r="AN276">
        <f>IF([3]Entry!$N$279="","",[3]Entry!$N$279)</f>
        <v/>
      </c>
      <c r="AO276">
        <f>IF([3]Entry!$R$279="","",[3]Entry!$R$279)</f>
        <v/>
      </c>
      <c r="AQ276">
        <f>IF(AND($D276&lt;&gt;"",$A276&lt;&gt;""),1,0)</f>
        <v/>
      </c>
      <c r="AR276">
        <f>SUM($AQ$6:$AQ276)</f>
        <v/>
      </c>
      <c r="AS276">
        <f>IFERROR(INDEX($A$6:$A$565,MATCH(ROW()-5,$AR$6:$AR$565,0)),"")</f>
        <v/>
      </c>
    </row>
    <row r="277">
      <c r="A277">
        <f>IF([1]Accounts!$D$278="","",[1]Accounts!$A$278)</f>
        <v/>
      </c>
      <c r="B277">
        <f>IF([1]Accounts!$D$278="","",[1]Accounts!$B$278)</f>
        <v/>
      </c>
      <c r="C277">
        <f>IF([1]Accounts!$D$278="","",[1]Accounts!$C$278)</f>
        <v/>
      </c>
      <c r="D277">
        <f>IF([1]Accounts!$D$278="","",[1]Accounts!$D$278)</f>
        <v/>
      </c>
      <c r="E277">
        <f>IF([1]Accounts!$D$278="","",[1]Accounts!$J$278)</f>
        <v/>
      </c>
      <c r="F277">
        <f>IF([1]Accounts!$D$278="","",[1]Accounts!$K$278)</f>
        <v/>
      </c>
      <c r="U277">
        <f>IF([2]Baskol!$B$280="","",[2]Baskol!$B$280)</f>
        <v/>
      </c>
      <c r="V277">
        <f>IF([2]Baskol!$C$280="","",[2]Baskol!$C$280)</f>
        <v/>
      </c>
      <c r="W277">
        <f>IF([2]Baskol!$D$280="","",[2]Baskol!$D$280)</f>
        <v/>
      </c>
      <c r="X277">
        <f>IF([2]Baskol!$E$280="","",[2]Baskol!$E$280)</f>
        <v/>
      </c>
      <c r="Y277">
        <f>IF([2]Baskol!$G$280="","",[2]Baskol!$G$280)</f>
        <v/>
      </c>
      <c r="Z277">
        <f>IF([2]Baskol!$I$280="","",[2]Baskol!$I$280)</f>
        <v/>
      </c>
      <c r="AA277">
        <f>IF([2]Baskol!$J$280="","",[2]Baskol!$J$280)</f>
        <v/>
      </c>
      <c r="AB277">
        <f>IF([2]Baskol!$K$280="","",[2]Baskol!$K$280)</f>
        <v/>
      </c>
      <c r="AC277">
        <f>IF([2]Baskol!$L$280="","",[2]Baskol!$L$280)</f>
        <v/>
      </c>
      <c r="AD277">
        <f>IF([2]Baskol!$N$280="","",[2]Baskol!$N$280)</f>
        <v/>
      </c>
      <c r="AE277">
        <f>IF([2]Baskol!$O$280="","",[2]Baskol!$O$280)</f>
        <v/>
      </c>
      <c r="AG277">
        <f>IF([3]Entry!$C$280="","",[3]Entry!$C$280)</f>
        <v/>
      </c>
      <c r="AH277">
        <f>IF([3]Entry!$D$280="","",[3]Entry!$D$280)</f>
        <v/>
      </c>
      <c r="AI277">
        <f>IF([3]Entry!$E$280="","",[3]Entry!$E$280)</f>
        <v/>
      </c>
      <c r="AJ277">
        <f>IF([3]Entry!$G$280="","",[3]Entry!$G$280)</f>
        <v/>
      </c>
      <c r="AK277">
        <f>IF([3]Entry!$K$280="","",[3]Entry!$K$280)</f>
        <v/>
      </c>
      <c r="AL277">
        <f>IF([3]Entry!$L$280="","",[3]Entry!$L$280)</f>
        <v/>
      </c>
      <c r="AM277">
        <f>IF([3]Entry!$M$280="","",[3]Entry!$M$280)</f>
        <v/>
      </c>
      <c r="AN277">
        <f>IF([3]Entry!$N$280="","",[3]Entry!$N$280)</f>
        <v/>
      </c>
      <c r="AO277">
        <f>IF([3]Entry!$R$280="","",[3]Entry!$R$280)</f>
        <v/>
      </c>
      <c r="AQ277">
        <f>IF(AND($D277&lt;&gt;"",$A277&lt;&gt;""),1,0)</f>
        <v/>
      </c>
      <c r="AR277">
        <f>SUM($AQ$6:$AQ277)</f>
        <v/>
      </c>
      <c r="AS277">
        <f>IFERROR(INDEX($A$6:$A$565,MATCH(ROW()-5,$AR$6:$AR$565,0)),"")</f>
        <v/>
      </c>
    </row>
    <row r="278">
      <c r="A278">
        <f>IF([1]Accounts!$D$279="","",[1]Accounts!$A$279)</f>
        <v/>
      </c>
      <c r="B278">
        <f>IF([1]Accounts!$D$279="","",[1]Accounts!$B$279)</f>
        <v/>
      </c>
      <c r="C278">
        <f>IF([1]Accounts!$D$279="","",[1]Accounts!$C$279)</f>
        <v/>
      </c>
      <c r="D278">
        <f>IF([1]Accounts!$D$279="","",[1]Accounts!$D$279)</f>
        <v/>
      </c>
      <c r="E278">
        <f>IF([1]Accounts!$D$279="","",[1]Accounts!$J$279)</f>
        <v/>
      </c>
      <c r="F278">
        <f>IF([1]Accounts!$D$279="","",[1]Accounts!$K$279)</f>
        <v/>
      </c>
      <c r="U278">
        <f>IF([2]Baskol!$B$281="","",[2]Baskol!$B$281)</f>
        <v/>
      </c>
      <c r="V278">
        <f>IF([2]Baskol!$C$281="","",[2]Baskol!$C$281)</f>
        <v/>
      </c>
      <c r="W278">
        <f>IF([2]Baskol!$D$281="","",[2]Baskol!$D$281)</f>
        <v/>
      </c>
      <c r="X278">
        <f>IF([2]Baskol!$E$281="","",[2]Baskol!$E$281)</f>
        <v/>
      </c>
      <c r="Y278">
        <f>IF([2]Baskol!$G$281="","",[2]Baskol!$G$281)</f>
        <v/>
      </c>
      <c r="Z278">
        <f>IF([2]Baskol!$I$281="","",[2]Baskol!$I$281)</f>
        <v/>
      </c>
      <c r="AA278">
        <f>IF([2]Baskol!$J$281="","",[2]Baskol!$J$281)</f>
        <v/>
      </c>
      <c r="AB278">
        <f>IF([2]Baskol!$K$281="","",[2]Baskol!$K$281)</f>
        <v/>
      </c>
      <c r="AC278">
        <f>IF([2]Baskol!$L$281="","",[2]Baskol!$L$281)</f>
        <v/>
      </c>
      <c r="AD278">
        <f>IF([2]Baskol!$N$281="","",[2]Baskol!$N$281)</f>
        <v/>
      </c>
      <c r="AE278">
        <f>IF([2]Baskol!$O$281="","",[2]Baskol!$O$281)</f>
        <v/>
      </c>
      <c r="AG278">
        <f>IF([3]Entry!$C$281="","",[3]Entry!$C$281)</f>
        <v/>
      </c>
      <c r="AH278">
        <f>IF([3]Entry!$D$281="","",[3]Entry!$D$281)</f>
        <v/>
      </c>
      <c r="AI278">
        <f>IF([3]Entry!$E$281="","",[3]Entry!$E$281)</f>
        <v/>
      </c>
      <c r="AJ278">
        <f>IF([3]Entry!$G$281="","",[3]Entry!$G$281)</f>
        <v/>
      </c>
      <c r="AK278">
        <f>IF([3]Entry!$K$281="","",[3]Entry!$K$281)</f>
        <v/>
      </c>
      <c r="AL278">
        <f>IF([3]Entry!$L$281="","",[3]Entry!$L$281)</f>
        <v/>
      </c>
      <c r="AM278">
        <f>IF([3]Entry!$M$281="","",[3]Entry!$M$281)</f>
        <v/>
      </c>
      <c r="AN278">
        <f>IF([3]Entry!$N$281="","",[3]Entry!$N$281)</f>
        <v/>
      </c>
      <c r="AO278">
        <f>IF([3]Entry!$R$281="","",[3]Entry!$R$281)</f>
        <v/>
      </c>
      <c r="AQ278">
        <f>IF(AND($D278&lt;&gt;"",$A278&lt;&gt;""),1,0)</f>
        <v/>
      </c>
      <c r="AR278">
        <f>SUM($AQ$6:$AQ278)</f>
        <v/>
      </c>
      <c r="AS278">
        <f>IFERROR(INDEX($A$6:$A$565,MATCH(ROW()-5,$AR$6:$AR$565,0)),"")</f>
        <v/>
      </c>
    </row>
    <row r="279">
      <c r="A279">
        <f>IF([1]Accounts!$D$280="","",[1]Accounts!$A$280)</f>
        <v/>
      </c>
      <c r="B279">
        <f>IF([1]Accounts!$D$280="","",[1]Accounts!$B$280)</f>
        <v/>
      </c>
      <c r="C279">
        <f>IF([1]Accounts!$D$280="","",[1]Accounts!$C$280)</f>
        <v/>
      </c>
      <c r="D279">
        <f>IF([1]Accounts!$D$280="","",[1]Accounts!$D$280)</f>
        <v/>
      </c>
      <c r="E279">
        <f>IF([1]Accounts!$D$280="","",[1]Accounts!$J$280)</f>
        <v/>
      </c>
      <c r="F279">
        <f>IF([1]Accounts!$D$280="","",[1]Accounts!$K$280)</f>
        <v/>
      </c>
      <c r="U279">
        <f>IF([2]Baskol!$B$282="","",[2]Baskol!$B$282)</f>
        <v/>
      </c>
      <c r="V279">
        <f>IF([2]Baskol!$C$282="","",[2]Baskol!$C$282)</f>
        <v/>
      </c>
      <c r="W279">
        <f>IF([2]Baskol!$D$282="","",[2]Baskol!$D$282)</f>
        <v/>
      </c>
      <c r="X279">
        <f>IF([2]Baskol!$E$282="","",[2]Baskol!$E$282)</f>
        <v/>
      </c>
      <c r="Y279">
        <f>IF([2]Baskol!$G$282="","",[2]Baskol!$G$282)</f>
        <v/>
      </c>
      <c r="Z279">
        <f>IF([2]Baskol!$I$282="","",[2]Baskol!$I$282)</f>
        <v/>
      </c>
      <c r="AA279">
        <f>IF([2]Baskol!$J$282="","",[2]Baskol!$J$282)</f>
        <v/>
      </c>
      <c r="AB279">
        <f>IF([2]Baskol!$K$282="","",[2]Baskol!$K$282)</f>
        <v/>
      </c>
      <c r="AC279">
        <f>IF([2]Baskol!$L$282="","",[2]Baskol!$L$282)</f>
        <v/>
      </c>
      <c r="AD279">
        <f>IF([2]Baskol!$N$282="","",[2]Baskol!$N$282)</f>
        <v/>
      </c>
      <c r="AE279">
        <f>IF([2]Baskol!$O$282="","",[2]Baskol!$O$282)</f>
        <v/>
      </c>
      <c r="AG279">
        <f>IF([3]Entry!$C$282="","",[3]Entry!$C$282)</f>
        <v/>
      </c>
      <c r="AH279">
        <f>IF([3]Entry!$D$282="","",[3]Entry!$D$282)</f>
        <v/>
      </c>
      <c r="AI279">
        <f>IF([3]Entry!$E$282="","",[3]Entry!$E$282)</f>
        <v/>
      </c>
      <c r="AJ279">
        <f>IF([3]Entry!$G$282="","",[3]Entry!$G$282)</f>
        <v/>
      </c>
      <c r="AK279">
        <f>IF([3]Entry!$K$282="","",[3]Entry!$K$282)</f>
        <v/>
      </c>
      <c r="AL279">
        <f>IF([3]Entry!$L$282="","",[3]Entry!$L$282)</f>
        <v/>
      </c>
      <c r="AM279">
        <f>IF([3]Entry!$M$282="","",[3]Entry!$M$282)</f>
        <v/>
      </c>
      <c r="AN279">
        <f>IF([3]Entry!$N$282="","",[3]Entry!$N$282)</f>
        <v/>
      </c>
      <c r="AO279">
        <f>IF([3]Entry!$R$282="","",[3]Entry!$R$282)</f>
        <v/>
      </c>
      <c r="AQ279">
        <f>IF(AND($D279&lt;&gt;"",$A279&lt;&gt;""),1,0)</f>
        <v/>
      </c>
      <c r="AR279">
        <f>SUM($AQ$6:$AQ279)</f>
        <v/>
      </c>
      <c r="AS279">
        <f>IFERROR(INDEX($A$6:$A$565,MATCH(ROW()-5,$AR$6:$AR$565,0)),"")</f>
        <v/>
      </c>
    </row>
    <row r="280">
      <c r="A280">
        <f>IF([1]Accounts!$D$281="","",[1]Accounts!$A$281)</f>
        <v/>
      </c>
      <c r="B280">
        <f>IF([1]Accounts!$D$281="","",[1]Accounts!$B$281)</f>
        <v/>
      </c>
      <c r="C280">
        <f>IF([1]Accounts!$D$281="","",[1]Accounts!$C$281)</f>
        <v/>
      </c>
      <c r="D280">
        <f>IF([1]Accounts!$D$281="","",[1]Accounts!$D$281)</f>
        <v/>
      </c>
      <c r="E280">
        <f>IF([1]Accounts!$D$281="","",[1]Accounts!$J$281)</f>
        <v/>
      </c>
      <c r="F280">
        <f>IF([1]Accounts!$D$281="","",[1]Accounts!$K$281)</f>
        <v/>
      </c>
      <c r="U280">
        <f>IF([2]Baskol!$B$283="","",[2]Baskol!$B$283)</f>
        <v/>
      </c>
      <c r="V280">
        <f>IF([2]Baskol!$C$283="","",[2]Baskol!$C$283)</f>
        <v/>
      </c>
      <c r="W280">
        <f>IF([2]Baskol!$D$283="","",[2]Baskol!$D$283)</f>
        <v/>
      </c>
      <c r="X280">
        <f>IF([2]Baskol!$E$283="","",[2]Baskol!$E$283)</f>
        <v/>
      </c>
      <c r="Y280">
        <f>IF([2]Baskol!$G$283="","",[2]Baskol!$G$283)</f>
        <v/>
      </c>
      <c r="Z280">
        <f>IF([2]Baskol!$I$283="","",[2]Baskol!$I$283)</f>
        <v/>
      </c>
      <c r="AA280">
        <f>IF([2]Baskol!$J$283="","",[2]Baskol!$J$283)</f>
        <v/>
      </c>
      <c r="AB280">
        <f>IF([2]Baskol!$K$283="","",[2]Baskol!$K$283)</f>
        <v/>
      </c>
      <c r="AC280">
        <f>IF([2]Baskol!$L$283="","",[2]Baskol!$L$283)</f>
        <v/>
      </c>
      <c r="AD280">
        <f>IF([2]Baskol!$N$283="","",[2]Baskol!$N$283)</f>
        <v/>
      </c>
      <c r="AE280">
        <f>IF([2]Baskol!$O$283="","",[2]Baskol!$O$283)</f>
        <v/>
      </c>
      <c r="AG280">
        <f>IF([3]Entry!$C$283="","",[3]Entry!$C$283)</f>
        <v/>
      </c>
      <c r="AH280">
        <f>IF([3]Entry!$D$283="","",[3]Entry!$D$283)</f>
        <v/>
      </c>
      <c r="AI280">
        <f>IF([3]Entry!$E$283="","",[3]Entry!$E$283)</f>
        <v/>
      </c>
      <c r="AJ280">
        <f>IF([3]Entry!$G$283="","",[3]Entry!$G$283)</f>
        <v/>
      </c>
      <c r="AK280">
        <f>IF([3]Entry!$K$283="","",[3]Entry!$K$283)</f>
        <v/>
      </c>
      <c r="AL280">
        <f>IF([3]Entry!$L$283="","",[3]Entry!$L$283)</f>
        <v/>
      </c>
      <c r="AM280">
        <f>IF([3]Entry!$M$283="","",[3]Entry!$M$283)</f>
        <v/>
      </c>
      <c r="AN280">
        <f>IF([3]Entry!$N$283="","",[3]Entry!$N$283)</f>
        <v/>
      </c>
      <c r="AO280">
        <f>IF([3]Entry!$R$283="","",[3]Entry!$R$283)</f>
        <v/>
      </c>
      <c r="AQ280">
        <f>IF(AND($D280&lt;&gt;"",$A280&lt;&gt;""),1,0)</f>
        <v/>
      </c>
      <c r="AR280">
        <f>SUM($AQ$6:$AQ280)</f>
        <v/>
      </c>
      <c r="AS280">
        <f>IFERROR(INDEX($A$6:$A$565,MATCH(ROW()-5,$AR$6:$AR$565,0)),"")</f>
        <v/>
      </c>
    </row>
    <row r="281">
      <c r="A281">
        <f>IF([1]Accounts!$D$282="","",[1]Accounts!$A$282)</f>
        <v/>
      </c>
      <c r="B281">
        <f>IF([1]Accounts!$D$282="","",[1]Accounts!$B$282)</f>
        <v/>
      </c>
      <c r="C281">
        <f>IF([1]Accounts!$D$282="","",[1]Accounts!$C$282)</f>
        <v/>
      </c>
      <c r="D281">
        <f>IF([1]Accounts!$D$282="","",[1]Accounts!$D$282)</f>
        <v/>
      </c>
      <c r="E281">
        <f>IF([1]Accounts!$D$282="","",[1]Accounts!$J$282)</f>
        <v/>
      </c>
      <c r="F281">
        <f>IF([1]Accounts!$D$282="","",[1]Accounts!$K$282)</f>
        <v/>
      </c>
      <c r="U281">
        <f>IF([2]Baskol!$B$284="","",[2]Baskol!$B$284)</f>
        <v/>
      </c>
      <c r="V281">
        <f>IF([2]Baskol!$C$284="","",[2]Baskol!$C$284)</f>
        <v/>
      </c>
      <c r="W281">
        <f>IF([2]Baskol!$D$284="","",[2]Baskol!$D$284)</f>
        <v/>
      </c>
      <c r="X281">
        <f>IF([2]Baskol!$E$284="","",[2]Baskol!$E$284)</f>
        <v/>
      </c>
      <c r="Y281">
        <f>IF([2]Baskol!$G$284="","",[2]Baskol!$G$284)</f>
        <v/>
      </c>
      <c r="Z281">
        <f>IF([2]Baskol!$I$284="","",[2]Baskol!$I$284)</f>
        <v/>
      </c>
      <c r="AA281">
        <f>IF([2]Baskol!$J$284="","",[2]Baskol!$J$284)</f>
        <v/>
      </c>
      <c r="AB281">
        <f>IF([2]Baskol!$K$284="","",[2]Baskol!$K$284)</f>
        <v/>
      </c>
      <c r="AC281">
        <f>IF([2]Baskol!$L$284="","",[2]Baskol!$L$284)</f>
        <v/>
      </c>
      <c r="AD281">
        <f>IF([2]Baskol!$N$284="","",[2]Baskol!$N$284)</f>
        <v/>
      </c>
      <c r="AE281">
        <f>IF([2]Baskol!$O$284="","",[2]Baskol!$O$284)</f>
        <v/>
      </c>
      <c r="AG281">
        <f>IF([3]Entry!$C$284="","",[3]Entry!$C$284)</f>
        <v/>
      </c>
      <c r="AH281">
        <f>IF([3]Entry!$D$284="","",[3]Entry!$D$284)</f>
        <v/>
      </c>
      <c r="AI281">
        <f>IF([3]Entry!$E$284="","",[3]Entry!$E$284)</f>
        <v/>
      </c>
      <c r="AJ281">
        <f>IF([3]Entry!$G$284="","",[3]Entry!$G$284)</f>
        <v/>
      </c>
      <c r="AK281">
        <f>IF([3]Entry!$K$284="","",[3]Entry!$K$284)</f>
        <v/>
      </c>
      <c r="AL281">
        <f>IF([3]Entry!$L$284="","",[3]Entry!$L$284)</f>
        <v/>
      </c>
      <c r="AM281">
        <f>IF([3]Entry!$M$284="","",[3]Entry!$M$284)</f>
        <v/>
      </c>
      <c r="AN281">
        <f>IF([3]Entry!$N$284="","",[3]Entry!$N$284)</f>
        <v/>
      </c>
      <c r="AO281">
        <f>IF([3]Entry!$R$284="","",[3]Entry!$R$284)</f>
        <v/>
      </c>
      <c r="AQ281">
        <f>IF(AND($D281&lt;&gt;"",$A281&lt;&gt;""),1,0)</f>
        <v/>
      </c>
      <c r="AR281">
        <f>SUM($AQ$6:$AQ281)</f>
        <v/>
      </c>
      <c r="AS281">
        <f>IFERROR(INDEX($A$6:$A$565,MATCH(ROW()-5,$AR$6:$AR$565,0)),"")</f>
        <v/>
      </c>
    </row>
    <row r="282">
      <c r="A282">
        <f>IF([1]Accounts!$D$283="","",[1]Accounts!$A$283)</f>
        <v/>
      </c>
      <c r="B282">
        <f>IF([1]Accounts!$D$283="","",[1]Accounts!$B$283)</f>
        <v/>
      </c>
      <c r="C282">
        <f>IF([1]Accounts!$D$283="","",[1]Accounts!$C$283)</f>
        <v/>
      </c>
      <c r="D282">
        <f>IF([1]Accounts!$D$283="","",[1]Accounts!$D$283)</f>
        <v/>
      </c>
      <c r="E282">
        <f>IF([1]Accounts!$D$283="","",[1]Accounts!$J$283)</f>
        <v/>
      </c>
      <c r="F282">
        <f>IF([1]Accounts!$D$283="","",[1]Accounts!$K$283)</f>
        <v/>
      </c>
      <c r="U282">
        <f>IF([2]Baskol!$B$285="","",[2]Baskol!$B$285)</f>
        <v/>
      </c>
      <c r="V282">
        <f>IF([2]Baskol!$C$285="","",[2]Baskol!$C$285)</f>
        <v/>
      </c>
      <c r="W282">
        <f>IF([2]Baskol!$D$285="","",[2]Baskol!$D$285)</f>
        <v/>
      </c>
      <c r="X282">
        <f>IF([2]Baskol!$E$285="","",[2]Baskol!$E$285)</f>
        <v/>
      </c>
      <c r="Y282">
        <f>IF([2]Baskol!$G$285="","",[2]Baskol!$G$285)</f>
        <v/>
      </c>
      <c r="Z282">
        <f>IF([2]Baskol!$I$285="","",[2]Baskol!$I$285)</f>
        <v/>
      </c>
      <c r="AA282">
        <f>IF([2]Baskol!$J$285="","",[2]Baskol!$J$285)</f>
        <v/>
      </c>
      <c r="AB282">
        <f>IF([2]Baskol!$K$285="","",[2]Baskol!$K$285)</f>
        <v/>
      </c>
      <c r="AC282">
        <f>IF([2]Baskol!$L$285="","",[2]Baskol!$L$285)</f>
        <v/>
      </c>
      <c r="AD282">
        <f>IF([2]Baskol!$N$285="","",[2]Baskol!$N$285)</f>
        <v/>
      </c>
      <c r="AE282">
        <f>IF([2]Baskol!$O$285="","",[2]Baskol!$O$285)</f>
        <v/>
      </c>
      <c r="AG282">
        <f>IF([3]Entry!$C$285="","",[3]Entry!$C$285)</f>
        <v/>
      </c>
      <c r="AH282">
        <f>IF([3]Entry!$D$285="","",[3]Entry!$D$285)</f>
        <v/>
      </c>
      <c r="AI282">
        <f>IF([3]Entry!$E$285="","",[3]Entry!$E$285)</f>
        <v/>
      </c>
      <c r="AJ282">
        <f>IF([3]Entry!$G$285="","",[3]Entry!$G$285)</f>
        <v/>
      </c>
      <c r="AK282">
        <f>IF([3]Entry!$K$285="","",[3]Entry!$K$285)</f>
        <v/>
      </c>
      <c r="AL282">
        <f>IF([3]Entry!$L$285="","",[3]Entry!$L$285)</f>
        <v/>
      </c>
      <c r="AM282">
        <f>IF([3]Entry!$M$285="","",[3]Entry!$M$285)</f>
        <v/>
      </c>
      <c r="AN282">
        <f>IF([3]Entry!$N$285="","",[3]Entry!$N$285)</f>
        <v/>
      </c>
      <c r="AO282">
        <f>IF([3]Entry!$R$285="","",[3]Entry!$R$285)</f>
        <v/>
      </c>
      <c r="AQ282">
        <f>IF(AND($D282&lt;&gt;"",$A282&lt;&gt;""),1,0)</f>
        <v/>
      </c>
      <c r="AR282">
        <f>SUM($AQ$6:$AQ282)</f>
        <v/>
      </c>
      <c r="AS282">
        <f>IFERROR(INDEX($A$6:$A$565,MATCH(ROW()-5,$AR$6:$AR$565,0)),"")</f>
        <v/>
      </c>
    </row>
    <row r="283">
      <c r="A283">
        <f>IF([1]Accounts!$D$284="","",[1]Accounts!$A$284)</f>
        <v/>
      </c>
      <c r="B283">
        <f>IF([1]Accounts!$D$284="","",[1]Accounts!$B$284)</f>
        <v/>
      </c>
      <c r="C283">
        <f>IF([1]Accounts!$D$284="","",[1]Accounts!$C$284)</f>
        <v/>
      </c>
      <c r="D283">
        <f>IF([1]Accounts!$D$284="","",[1]Accounts!$D$284)</f>
        <v/>
      </c>
      <c r="E283">
        <f>IF([1]Accounts!$D$284="","",[1]Accounts!$J$284)</f>
        <v/>
      </c>
      <c r="F283">
        <f>IF([1]Accounts!$D$284="","",[1]Accounts!$K$284)</f>
        <v/>
      </c>
      <c r="U283">
        <f>IF([2]Baskol!$B$286="","",[2]Baskol!$B$286)</f>
        <v/>
      </c>
      <c r="V283">
        <f>IF([2]Baskol!$C$286="","",[2]Baskol!$C$286)</f>
        <v/>
      </c>
      <c r="W283">
        <f>IF([2]Baskol!$D$286="","",[2]Baskol!$D$286)</f>
        <v/>
      </c>
      <c r="X283">
        <f>IF([2]Baskol!$E$286="","",[2]Baskol!$E$286)</f>
        <v/>
      </c>
      <c r="Y283">
        <f>IF([2]Baskol!$G$286="","",[2]Baskol!$G$286)</f>
        <v/>
      </c>
      <c r="Z283">
        <f>IF([2]Baskol!$I$286="","",[2]Baskol!$I$286)</f>
        <v/>
      </c>
      <c r="AA283">
        <f>IF([2]Baskol!$J$286="","",[2]Baskol!$J$286)</f>
        <v/>
      </c>
      <c r="AB283">
        <f>IF([2]Baskol!$K$286="","",[2]Baskol!$K$286)</f>
        <v/>
      </c>
      <c r="AC283">
        <f>IF([2]Baskol!$L$286="","",[2]Baskol!$L$286)</f>
        <v/>
      </c>
      <c r="AD283">
        <f>IF([2]Baskol!$N$286="","",[2]Baskol!$N$286)</f>
        <v/>
      </c>
      <c r="AE283">
        <f>IF([2]Baskol!$O$286="","",[2]Baskol!$O$286)</f>
        <v/>
      </c>
      <c r="AG283">
        <f>IF([3]Entry!$C$286="","",[3]Entry!$C$286)</f>
        <v/>
      </c>
      <c r="AH283">
        <f>IF([3]Entry!$D$286="","",[3]Entry!$D$286)</f>
        <v/>
      </c>
      <c r="AI283">
        <f>IF([3]Entry!$E$286="","",[3]Entry!$E$286)</f>
        <v/>
      </c>
      <c r="AJ283">
        <f>IF([3]Entry!$G$286="","",[3]Entry!$G$286)</f>
        <v/>
      </c>
      <c r="AK283">
        <f>IF([3]Entry!$K$286="","",[3]Entry!$K$286)</f>
        <v/>
      </c>
      <c r="AL283">
        <f>IF([3]Entry!$L$286="","",[3]Entry!$L$286)</f>
        <v/>
      </c>
      <c r="AM283">
        <f>IF([3]Entry!$M$286="","",[3]Entry!$M$286)</f>
        <v/>
      </c>
      <c r="AN283">
        <f>IF([3]Entry!$N$286="","",[3]Entry!$N$286)</f>
        <v/>
      </c>
      <c r="AO283">
        <f>IF([3]Entry!$R$286="","",[3]Entry!$R$286)</f>
        <v/>
      </c>
      <c r="AQ283">
        <f>IF(AND($D283&lt;&gt;"",$A283&lt;&gt;""),1,0)</f>
        <v/>
      </c>
      <c r="AR283">
        <f>SUM($AQ$6:$AQ283)</f>
        <v/>
      </c>
      <c r="AS283">
        <f>IFERROR(INDEX($A$6:$A$565,MATCH(ROW()-5,$AR$6:$AR$565,0)),"")</f>
        <v/>
      </c>
    </row>
    <row r="284">
      <c r="A284">
        <f>IF([1]Accounts!$D$285="","",[1]Accounts!$A$285)</f>
        <v/>
      </c>
      <c r="B284">
        <f>IF([1]Accounts!$D$285="","",[1]Accounts!$B$285)</f>
        <v/>
      </c>
      <c r="C284">
        <f>IF([1]Accounts!$D$285="","",[1]Accounts!$C$285)</f>
        <v/>
      </c>
      <c r="D284">
        <f>IF([1]Accounts!$D$285="","",[1]Accounts!$D$285)</f>
        <v/>
      </c>
      <c r="E284">
        <f>IF([1]Accounts!$D$285="","",[1]Accounts!$J$285)</f>
        <v/>
      </c>
      <c r="F284">
        <f>IF([1]Accounts!$D$285="","",[1]Accounts!$K$285)</f>
        <v/>
      </c>
      <c r="U284">
        <f>IF([2]Baskol!$B$287="","",[2]Baskol!$B$287)</f>
        <v/>
      </c>
      <c r="V284">
        <f>IF([2]Baskol!$C$287="","",[2]Baskol!$C$287)</f>
        <v/>
      </c>
      <c r="W284">
        <f>IF([2]Baskol!$D$287="","",[2]Baskol!$D$287)</f>
        <v/>
      </c>
      <c r="X284">
        <f>IF([2]Baskol!$E$287="","",[2]Baskol!$E$287)</f>
        <v/>
      </c>
      <c r="Y284">
        <f>IF([2]Baskol!$G$287="","",[2]Baskol!$G$287)</f>
        <v/>
      </c>
      <c r="Z284">
        <f>IF([2]Baskol!$I$287="","",[2]Baskol!$I$287)</f>
        <v/>
      </c>
      <c r="AA284">
        <f>IF([2]Baskol!$J$287="","",[2]Baskol!$J$287)</f>
        <v/>
      </c>
      <c r="AB284">
        <f>IF([2]Baskol!$K$287="","",[2]Baskol!$K$287)</f>
        <v/>
      </c>
      <c r="AC284">
        <f>IF([2]Baskol!$L$287="","",[2]Baskol!$L$287)</f>
        <v/>
      </c>
      <c r="AD284">
        <f>IF([2]Baskol!$N$287="","",[2]Baskol!$N$287)</f>
        <v/>
      </c>
      <c r="AE284">
        <f>IF([2]Baskol!$O$287="","",[2]Baskol!$O$287)</f>
        <v/>
      </c>
      <c r="AG284">
        <f>IF([3]Entry!$C$287="","",[3]Entry!$C$287)</f>
        <v/>
      </c>
      <c r="AH284">
        <f>IF([3]Entry!$D$287="","",[3]Entry!$D$287)</f>
        <v/>
      </c>
      <c r="AI284">
        <f>IF([3]Entry!$E$287="","",[3]Entry!$E$287)</f>
        <v/>
      </c>
      <c r="AJ284">
        <f>IF([3]Entry!$G$287="","",[3]Entry!$G$287)</f>
        <v/>
      </c>
      <c r="AK284">
        <f>IF([3]Entry!$K$287="","",[3]Entry!$K$287)</f>
        <v/>
      </c>
      <c r="AL284">
        <f>IF([3]Entry!$L$287="","",[3]Entry!$L$287)</f>
        <v/>
      </c>
      <c r="AM284">
        <f>IF([3]Entry!$M$287="","",[3]Entry!$M$287)</f>
        <v/>
      </c>
      <c r="AN284">
        <f>IF([3]Entry!$N$287="","",[3]Entry!$N$287)</f>
        <v/>
      </c>
      <c r="AO284">
        <f>IF([3]Entry!$R$287="","",[3]Entry!$R$287)</f>
        <v/>
      </c>
      <c r="AQ284">
        <f>IF(AND($D284&lt;&gt;"",$A284&lt;&gt;""),1,0)</f>
        <v/>
      </c>
      <c r="AR284">
        <f>SUM($AQ$6:$AQ284)</f>
        <v/>
      </c>
      <c r="AS284">
        <f>IFERROR(INDEX($A$6:$A$565,MATCH(ROW()-5,$AR$6:$AR$565,0)),"")</f>
        <v/>
      </c>
    </row>
    <row r="285">
      <c r="A285">
        <f>IF([1]Accounts!$D$286="","",[1]Accounts!$A$286)</f>
        <v/>
      </c>
      <c r="B285">
        <f>IF([1]Accounts!$D$286="","",[1]Accounts!$B$286)</f>
        <v/>
      </c>
      <c r="C285">
        <f>IF([1]Accounts!$D$286="","",[1]Accounts!$C$286)</f>
        <v/>
      </c>
      <c r="D285">
        <f>IF([1]Accounts!$D$286="","",[1]Accounts!$D$286)</f>
        <v/>
      </c>
      <c r="E285">
        <f>IF([1]Accounts!$D$286="","",[1]Accounts!$J$286)</f>
        <v/>
      </c>
      <c r="F285">
        <f>IF([1]Accounts!$D$286="","",[1]Accounts!$K$286)</f>
        <v/>
      </c>
      <c r="U285">
        <f>IF([2]Baskol!$B$288="","",[2]Baskol!$B$288)</f>
        <v/>
      </c>
      <c r="V285">
        <f>IF([2]Baskol!$C$288="","",[2]Baskol!$C$288)</f>
        <v/>
      </c>
      <c r="W285">
        <f>IF([2]Baskol!$D$288="","",[2]Baskol!$D$288)</f>
        <v/>
      </c>
      <c r="X285">
        <f>IF([2]Baskol!$E$288="","",[2]Baskol!$E$288)</f>
        <v/>
      </c>
      <c r="Y285">
        <f>IF([2]Baskol!$G$288="","",[2]Baskol!$G$288)</f>
        <v/>
      </c>
      <c r="Z285">
        <f>IF([2]Baskol!$I$288="","",[2]Baskol!$I$288)</f>
        <v/>
      </c>
      <c r="AA285">
        <f>IF([2]Baskol!$J$288="","",[2]Baskol!$J$288)</f>
        <v/>
      </c>
      <c r="AB285">
        <f>IF([2]Baskol!$K$288="","",[2]Baskol!$K$288)</f>
        <v/>
      </c>
      <c r="AC285">
        <f>IF([2]Baskol!$L$288="","",[2]Baskol!$L$288)</f>
        <v/>
      </c>
      <c r="AD285">
        <f>IF([2]Baskol!$N$288="","",[2]Baskol!$N$288)</f>
        <v/>
      </c>
      <c r="AE285">
        <f>IF([2]Baskol!$O$288="","",[2]Baskol!$O$288)</f>
        <v/>
      </c>
      <c r="AG285">
        <f>IF([3]Entry!$C$288="","",[3]Entry!$C$288)</f>
        <v/>
      </c>
      <c r="AH285">
        <f>IF([3]Entry!$D$288="","",[3]Entry!$D$288)</f>
        <v/>
      </c>
      <c r="AI285">
        <f>IF([3]Entry!$E$288="","",[3]Entry!$E$288)</f>
        <v/>
      </c>
      <c r="AJ285">
        <f>IF([3]Entry!$G$288="","",[3]Entry!$G$288)</f>
        <v/>
      </c>
      <c r="AK285">
        <f>IF([3]Entry!$K$288="","",[3]Entry!$K$288)</f>
        <v/>
      </c>
      <c r="AL285">
        <f>IF([3]Entry!$L$288="","",[3]Entry!$L$288)</f>
        <v/>
      </c>
      <c r="AM285">
        <f>IF([3]Entry!$M$288="","",[3]Entry!$M$288)</f>
        <v/>
      </c>
      <c r="AN285">
        <f>IF([3]Entry!$N$288="","",[3]Entry!$N$288)</f>
        <v/>
      </c>
      <c r="AO285">
        <f>IF([3]Entry!$R$288="","",[3]Entry!$R$288)</f>
        <v/>
      </c>
      <c r="AQ285">
        <f>IF(AND($D285&lt;&gt;"",$A285&lt;&gt;""),1,0)</f>
        <v/>
      </c>
      <c r="AR285">
        <f>SUM($AQ$6:$AQ285)</f>
        <v/>
      </c>
      <c r="AS285">
        <f>IFERROR(INDEX($A$6:$A$565,MATCH(ROW()-5,$AR$6:$AR$565,0)),"")</f>
        <v/>
      </c>
    </row>
    <row r="286">
      <c r="A286">
        <f>IF([1]Accounts!$D$287="","",[1]Accounts!$A$287)</f>
        <v/>
      </c>
      <c r="B286">
        <f>IF([1]Accounts!$D$287="","",[1]Accounts!$B$287)</f>
        <v/>
      </c>
      <c r="C286">
        <f>IF([1]Accounts!$D$287="","",[1]Accounts!$C$287)</f>
        <v/>
      </c>
      <c r="D286">
        <f>IF([1]Accounts!$D$287="","",[1]Accounts!$D$287)</f>
        <v/>
      </c>
      <c r="E286">
        <f>IF([1]Accounts!$D$287="","",[1]Accounts!$J$287)</f>
        <v/>
      </c>
      <c r="F286">
        <f>IF([1]Accounts!$D$287="","",[1]Accounts!$K$287)</f>
        <v/>
      </c>
      <c r="U286">
        <f>IF([2]Baskol!$B$289="","",[2]Baskol!$B$289)</f>
        <v/>
      </c>
      <c r="V286">
        <f>IF([2]Baskol!$C$289="","",[2]Baskol!$C$289)</f>
        <v/>
      </c>
      <c r="W286">
        <f>IF([2]Baskol!$D$289="","",[2]Baskol!$D$289)</f>
        <v/>
      </c>
      <c r="X286">
        <f>IF([2]Baskol!$E$289="","",[2]Baskol!$E$289)</f>
        <v/>
      </c>
      <c r="Y286">
        <f>IF([2]Baskol!$G$289="","",[2]Baskol!$G$289)</f>
        <v/>
      </c>
      <c r="Z286">
        <f>IF([2]Baskol!$I$289="","",[2]Baskol!$I$289)</f>
        <v/>
      </c>
      <c r="AA286">
        <f>IF([2]Baskol!$J$289="","",[2]Baskol!$J$289)</f>
        <v/>
      </c>
      <c r="AB286">
        <f>IF([2]Baskol!$K$289="","",[2]Baskol!$K$289)</f>
        <v/>
      </c>
      <c r="AC286">
        <f>IF([2]Baskol!$L$289="","",[2]Baskol!$L$289)</f>
        <v/>
      </c>
      <c r="AD286">
        <f>IF([2]Baskol!$N$289="","",[2]Baskol!$N$289)</f>
        <v/>
      </c>
      <c r="AE286">
        <f>IF([2]Baskol!$O$289="","",[2]Baskol!$O$289)</f>
        <v/>
      </c>
      <c r="AG286">
        <f>IF([3]Entry!$C$289="","",[3]Entry!$C$289)</f>
        <v/>
      </c>
      <c r="AH286">
        <f>IF([3]Entry!$D$289="","",[3]Entry!$D$289)</f>
        <v/>
      </c>
      <c r="AI286">
        <f>IF([3]Entry!$E$289="","",[3]Entry!$E$289)</f>
        <v/>
      </c>
      <c r="AJ286">
        <f>IF([3]Entry!$G$289="","",[3]Entry!$G$289)</f>
        <v/>
      </c>
      <c r="AK286">
        <f>IF([3]Entry!$K$289="","",[3]Entry!$K$289)</f>
        <v/>
      </c>
      <c r="AL286">
        <f>IF([3]Entry!$L$289="","",[3]Entry!$L$289)</f>
        <v/>
      </c>
      <c r="AM286">
        <f>IF([3]Entry!$M$289="","",[3]Entry!$M$289)</f>
        <v/>
      </c>
      <c r="AN286">
        <f>IF([3]Entry!$N$289="","",[3]Entry!$N$289)</f>
        <v/>
      </c>
      <c r="AO286">
        <f>IF([3]Entry!$R$289="","",[3]Entry!$R$289)</f>
        <v/>
      </c>
      <c r="AQ286">
        <f>IF(AND($D286&lt;&gt;"",$A286&lt;&gt;""),1,0)</f>
        <v/>
      </c>
      <c r="AR286">
        <f>SUM($AQ$6:$AQ286)</f>
        <v/>
      </c>
      <c r="AS286">
        <f>IFERROR(INDEX($A$6:$A$565,MATCH(ROW()-5,$AR$6:$AR$565,0)),"")</f>
        <v/>
      </c>
    </row>
    <row r="287">
      <c r="A287">
        <f>IF([1]Accounts!$D$288="","",[1]Accounts!$A$288)</f>
        <v/>
      </c>
      <c r="B287">
        <f>IF([1]Accounts!$D$288="","",[1]Accounts!$B$288)</f>
        <v/>
      </c>
      <c r="C287">
        <f>IF([1]Accounts!$D$288="","",[1]Accounts!$C$288)</f>
        <v/>
      </c>
      <c r="D287">
        <f>IF([1]Accounts!$D$288="","",[1]Accounts!$D$288)</f>
        <v/>
      </c>
      <c r="E287">
        <f>IF([1]Accounts!$D$288="","",[1]Accounts!$J$288)</f>
        <v/>
      </c>
      <c r="F287">
        <f>IF([1]Accounts!$D$288="","",[1]Accounts!$K$288)</f>
        <v/>
      </c>
      <c r="U287">
        <f>IF([2]Baskol!$B$290="","",[2]Baskol!$B$290)</f>
        <v/>
      </c>
      <c r="V287">
        <f>IF([2]Baskol!$C$290="","",[2]Baskol!$C$290)</f>
        <v/>
      </c>
      <c r="W287">
        <f>IF([2]Baskol!$D$290="","",[2]Baskol!$D$290)</f>
        <v/>
      </c>
      <c r="X287">
        <f>IF([2]Baskol!$E$290="","",[2]Baskol!$E$290)</f>
        <v/>
      </c>
      <c r="Y287">
        <f>IF([2]Baskol!$G$290="","",[2]Baskol!$G$290)</f>
        <v/>
      </c>
      <c r="Z287">
        <f>IF([2]Baskol!$I$290="","",[2]Baskol!$I$290)</f>
        <v/>
      </c>
      <c r="AA287">
        <f>IF([2]Baskol!$J$290="","",[2]Baskol!$J$290)</f>
        <v/>
      </c>
      <c r="AB287">
        <f>IF([2]Baskol!$K$290="","",[2]Baskol!$K$290)</f>
        <v/>
      </c>
      <c r="AC287">
        <f>IF([2]Baskol!$L$290="","",[2]Baskol!$L$290)</f>
        <v/>
      </c>
      <c r="AD287">
        <f>IF([2]Baskol!$N$290="","",[2]Baskol!$N$290)</f>
        <v/>
      </c>
      <c r="AE287">
        <f>IF([2]Baskol!$O$290="","",[2]Baskol!$O$290)</f>
        <v/>
      </c>
      <c r="AG287">
        <f>IF([3]Entry!$C$290="","",[3]Entry!$C$290)</f>
        <v/>
      </c>
      <c r="AH287">
        <f>IF([3]Entry!$D$290="","",[3]Entry!$D$290)</f>
        <v/>
      </c>
      <c r="AI287">
        <f>IF([3]Entry!$E$290="","",[3]Entry!$E$290)</f>
        <v/>
      </c>
      <c r="AJ287">
        <f>IF([3]Entry!$G$290="","",[3]Entry!$G$290)</f>
        <v/>
      </c>
      <c r="AK287">
        <f>IF([3]Entry!$K$290="","",[3]Entry!$K$290)</f>
        <v/>
      </c>
      <c r="AL287">
        <f>IF([3]Entry!$L$290="","",[3]Entry!$L$290)</f>
        <v/>
      </c>
      <c r="AM287">
        <f>IF([3]Entry!$M$290="","",[3]Entry!$M$290)</f>
        <v/>
      </c>
      <c r="AN287">
        <f>IF([3]Entry!$N$290="","",[3]Entry!$N$290)</f>
        <v/>
      </c>
      <c r="AO287">
        <f>IF([3]Entry!$R$290="","",[3]Entry!$R$290)</f>
        <v/>
      </c>
      <c r="AQ287">
        <f>IF(AND($D287&lt;&gt;"",$A287&lt;&gt;""),1,0)</f>
        <v/>
      </c>
      <c r="AR287">
        <f>SUM($AQ$6:$AQ287)</f>
        <v/>
      </c>
      <c r="AS287">
        <f>IFERROR(INDEX($A$6:$A$565,MATCH(ROW()-5,$AR$6:$AR$565,0)),"")</f>
        <v/>
      </c>
    </row>
    <row r="288">
      <c r="A288">
        <f>IF([1]Accounts!$D$289="","",[1]Accounts!$A$289)</f>
        <v/>
      </c>
      <c r="B288">
        <f>IF([1]Accounts!$D$289="","",[1]Accounts!$B$289)</f>
        <v/>
      </c>
      <c r="C288">
        <f>IF([1]Accounts!$D$289="","",[1]Accounts!$C$289)</f>
        <v/>
      </c>
      <c r="D288">
        <f>IF([1]Accounts!$D$289="","",[1]Accounts!$D$289)</f>
        <v/>
      </c>
      <c r="E288">
        <f>IF([1]Accounts!$D$289="","",[1]Accounts!$J$289)</f>
        <v/>
      </c>
      <c r="F288">
        <f>IF([1]Accounts!$D$289="","",[1]Accounts!$K$289)</f>
        <v/>
      </c>
      <c r="U288">
        <f>IF([2]Baskol!$B$291="","",[2]Baskol!$B$291)</f>
        <v/>
      </c>
      <c r="V288">
        <f>IF([2]Baskol!$C$291="","",[2]Baskol!$C$291)</f>
        <v/>
      </c>
      <c r="W288">
        <f>IF([2]Baskol!$D$291="","",[2]Baskol!$D$291)</f>
        <v/>
      </c>
      <c r="X288">
        <f>IF([2]Baskol!$E$291="","",[2]Baskol!$E$291)</f>
        <v/>
      </c>
      <c r="Y288">
        <f>IF([2]Baskol!$G$291="","",[2]Baskol!$G$291)</f>
        <v/>
      </c>
      <c r="Z288">
        <f>IF([2]Baskol!$I$291="","",[2]Baskol!$I$291)</f>
        <v/>
      </c>
      <c r="AA288">
        <f>IF([2]Baskol!$J$291="","",[2]Baskol!$J$291)</f>
        <v/>
      </c>
      <c r="AB288">
        <f>IF([2]Baskol!$K$291="","",[2]Baskol!$K$291)</f>
        <v/>
      </c>
      <c r="AC288">
        <f>IF([2]Baskol!$L$291="","",[2]Baskol!$L$291)</f>
        <v/>
      </c>
      <c r="AD288">
        <f>IF([2]Baskol!$N$291="","",[2]Baskol!$N$291)</f>
        <v/>
      </c>
      <c r="AE288">
        <f>IF([2]Baskol!$O$291="","",[2]Baskol!$O$291)</f>
        <v/>
      </c>
      <c r="AG288">
        <f>IF([3]Entry!$C$291="","",[3]Entry!$C$291)</f>
        <v/>
      </c>
      <c r="AH288">
        <f>IF([3]Entry!$D$291="","",[3]Entry!$D$291)</f>
        <v/>
      </c>
      <c r="AI288">
        <f>IF([3]Entry!$E$291="","",[3]Entry!$E$291)</f>
        <v/>
      </c>
      <c r="AJ288">
        <f>IF([3]Entry!$G$291="","",[3]Entry!$G$291)</f>
        <v/>
      </c>
      <c r="AK288">
        <f>IF([3]Entry!$K$291="","",[3]Entry!$K$291)</f>
        <v/>
      </c>
      <c r="AL288">
        <f>IF([3]Entry!$L$291="","",[3]Entry!$L$291)</f>
        <v/>
      </c>
      <c r="AM288">
        <f>IF([3]Entry!$M$291="","",[3]Entry!$M$291)</f>
        <v/>
      </c>
      <c r="AN288">
        <f>IF([3]Entry!$N$291="","",[3]Entry!$N$291)</f>
        <v/>
      </c>
      <c r="AO288">
        <f>IF([3]Entry!$R$291="","",[3]Entry!$R$291)</f>
        <v/>
      </c>
      <c r="AQ288">
        <f>IF(AND($D288&lt;&gt;"",$A288&lt;&gt;""),1,0)</f>
        <v/>
      </c>
      <c r="AR288">
        <f>SUM($AQ$6:$AQ288)</f>
        <v/>
      </c>
      <c r="AS288">
        <f>IFERROR(INDEX($A$6:$A$565,MATCH(ROW()-5,$AR$6:$AR$565,0)),"")</f>
        <v/>
      </c>
    </row>
    <row r="289">
      <c r="A289">
        <f>IF([1]Accounts!$D$290="","",[1]Accounts!$A$290)</f>
        <v/>
      </c>
      <c r="B289">
        <f>IF([1]Accounts!$D$290="","",[1]Accounts!$B$290)</f>
        <v/>
      </c>
      <c r="C289">
        <f>IF([1]Accounts!$D$290="","",[1]Accounts!$C$290)</f>
        <v/>
      </c>
      <c r="D289">
        <f>IF([1]Accounts!$D$290="","",[1]Accounts!$D$290)</f>
        <v/>
      </c>
      <c r="E289">
        <f>IF([1]Accounts!$D$290="","",[1]Accounts!$J$290)</f>
        <v/>
      </c>
      <c r="F289">
        <f>IF([1]Accounts!$D$290="","",[1]Accounts!$K$290)</f>
        <v/>
      </c>
      <c r="U289">
        <f>IF([2]Baskol!$B$292="","",[2]Baskol!$B$292)</f>
        <v/>
      </c>
      <c r="V289">
        <f>IF([2]Baskol!$C$292="","",[2]Baskol!$C$292)</f>
        <v/>
      </c>
      <c r="W289">
        <f>IF([2]Baskol!$D$292="","",[2]Baskol!$D$292)</f>
        <v/>
      </c>
      <c r="X289">
        <f>IF([2]Baskol!$E$292="","",[2]Baskol!$E$292)</f>
        <v/>
      </c>
      <c r="Y289">
        <f>IF([2]Baskol!$G$292="","",[2]Baskol!$G$292)</f>
        <v/>
      </c>
      <c r="Z289">
        <f>IF([2]Baskol!$I$292="","",[2]Baskol!$I$292)</f>
        <v/>
      </c>
      <c r="AA289">
        <f>IF([2]Baskol!$J$292="","",[2]Baskol!$J$292)</f>
        <v/>
      </c>
      <c r="AB289">
        <f>IF([2]Baskol!$K$292="","",[2]Baskol!$K$292)</f>
        <v/>
      </c>
      <c r="AC289">
        <f>IF([2]Baskol!$L$292="","",[2]Baskol!$L$292)</f>
        <v/>
      </c>
      <c r="AD289">
        <f>IF([2]Baskol!$N$292="","",[2]Baskol!$N$292)</f>
        <v/>
      </c>
      <c r="AE289">
        <f>IF([2]Baskol!$O$292="","",[2]Baskol!$O$292)</f>
        <v/>
      </c>
      <c r="AG289">
        <f>IF([3]Entry!$C$292="","",[3]Entry!$C$292)</f>
        <v/>
      </c>
      <c r="AH289">
        <f>IF([3]Entry!$D$292="","",[3]Entry!$D$292)</f>
        <v/>
      </c>
      <c r="AI289">
        <f>IF([3]Entry!$E$292="","",[3]Entry!$E$292)</f>
        <v/>
      </c>
      <c r="AJ289">
        <f>IF([3]Entry!$G$292="","",[3]Entry!$G$292)</f>
        <v/>
      </c>
      <c r="AK289">
        <f>IF([3]Entry!$K$292="","",[3]Entry!$K$292)</f>
        <v/>
      </c>
      <c r="AL289">
        <f>IF([3]Entry!$L$292="","",[3]Entry!$L$292)</f>
        <v/>
      </c>
      <c r="AM289">
        <f>IF([3]Entry!$M$292="","",[3]Entry!$M$292)</f>
        <v/>
      </c>
      <c r="AN289">
        <f>IF([3]Entry!$N$292="","",[3]Entry!$N$292)</f>
        <v/>
      </c>
      <c r="AO289">
        <f>IF([3]Entry!$R$292="","",[3]Entry!$R$292)</f>
        <v/>
      </c>
      <c r="AQ289">
        <f>IF(AND($D289&lt;&gt;"",$A289&lt;&gt;""),1,0)</f>
        <v/>
      </c>
      <c r="AR289">
        <f>SUM($AQ$6:$AQ289)</f>
        <v/>
      </c>
      <c r="AS289">
        <f>IFERROR(INDEX($A$6:$A$565,MATCH(ROW()-5,$AR$6:$AR$565,0)),"")</f>
        <v/>
      </c>
    </row>
    <row r="290">
      <c r="A290">
        <f>IF([1]Accounts!$D$291="","",[1]Accounts!$A$291)</f>
        <v/>
      </c>
      <c r="B290">
        <f>IF([1]Accounts!$D$291="","",[1]Accounts!$B$291)</f>
        <v/>
      </c>
      <c r="C290">
        <f>IF([1]Accounts!$D$291="","",[1]Accounts!$C$291)</f>
        <v/>
      </c>
      <c r="D290">
        <f>IF([1]Accounts!$D$291="","",[1]Accounts!$D$291)</f>
        <v/>
      </c>
      <c r="E290">
        <f>IF([1]Accounts!$D$291="","",[1]Accounts!$J$291)</f>
        <v/>
      </c>
      <c r="F290">
        <f>IF([1]Accounts!$D$291="","",[1]Accounts!$K$291)</f>
        <v/>
      </c>
      <c r="U290">
        <f>IF([2]Baskol!$B$293="","",[2]Baskol!$B$293)</f>
        <v/>
      </c>
      <c r="V290">
        <f>IF([2]Baskol!$C$293="","",[2]Baskol!$C$293)</f>
        <v/>
      </c>
      <c r="W290">
        <f>IF([2]Baskol!$D$293="","",[2]Baskol!$D$293)</f>
        <v/>
      </c>
      <c r="X290">
        <f>IF([2]Baskol!$E$293="","",[2]Baskol!$E$293)</f>
        <v/>
      </c>
      <c r="Y290">
        <f>IF([2]Baskol!$G$293="","",[2]Baskol!$G$293)</f>
        <v/>
      </c>
      <c r="Z290">
        <f>IF([2]Baskol!$I$293="","",[2]Baskol!$I$293)</f>
        <v/>
      </c>
      <c r="AA290">
        <f>IF([2]Baskol!$J$293="","",[2]Baskol!$J$293)</f>
        <v/>
      </c>
      <c r="AB290">
        <f>IF([2]Baskol!$K$293="","",[2]Baskol!$K$293)</f>
        <v/>
      </c>
      <c r="AC290">
        <f>IF([2]Baskol!$L$293="","",[2]Baskol!$L$293)</f>
        <v/>
      </c>
      <c r="AD290">
        <f>IF([2]Baskol!$N$293="","",[2]Baskol!$N$293)</f>
        <v/>
      </c>
      <c r="AE290">
        <f>IF([2]Baskol!$O$293="","",[2]Baskol!$O$293)</f>
        <v/>
      </c>
      <c r="AG290">
        <f>IF([3]Entry!$C$293="","",[3]Entry!$C$293)</f>
        <v/>
      </c>
      <c r="AH290">
        <f>IF([3]Entry!$D$293="","",[3]Entry!$D$293)</f>
        <v/>
      </c>
      <c r="AI290">
        <f>IF([3]Entry!$E$293="","",[3]Entry!$E$293)</f>
        <v/>
      </c>
      <c r="AJ290">
        <f>IF([3]Entry!$G$293="","",[3]Entry!$G$293)</f>
        <v/>
      </c>
      <c r="AK290">
        <f>IF([3]Entry!$K$293="","",[3]Entry!$K$293)</f>
        <v/>
      </c>
      <c r="AL290">
        <f>IF([3]Entry!$L$293="","",[3]Entry!$L$293)</f>
        <v/>
      </c>
      <c r="AM290">
        <f>IF([3]Entry!$M$293="","",[3]Entry!$M$293)</f>
        <v/>
      </c>
      <c r="AN290">
        <f>IF([3]Entry!$N$293="","",[3]Entry!$N$293)</f>
        <v/>
      </c>
      <c r="AO290">
        <f>IF([3]Entry!$R$293="","",[3]Entry!$R$293)</f>
        <v/>
      </c>
      <c r="AQ290">
        <f>IF(AND($D290&lt;&gt;"",$A290&lt;&gt;""),1,0)</f>
        <v/>
      </c>
      <c r="AR290">
        <f>SUM($AQ$6:$AQ290)</f>
        <v/>
      </c>
      <c r="AS290">
        <f>IFERROR(INDEX($A$6:$A$565,MATCH(ROW()-5,$AR$6:$AR$565,0)),"")</f>
        <v/>
      </c>
    </row>
    <row r="291">
      <c r="A291">
        <f>IF([1]Accounts!$D$292="","",[1]Accounts!$A$292)</f>
        <v/>
      </c>
      <c r="B291">
        <f>IF([1]Accounts!$D$292="","",[1]Accounts!$B$292)</f>
        <v/>
      </c>
      <c r="C291">
        <f>IF([1]Accounts!$D$292="","",[1]Accounts!$C$292)</f>
        <v/>
      </c>
      <c r="D291">
        <f>IF([1]Accounts!$D$292="","",[1]Accounts!$D$292)</f>
        <v/>
      </c>
      <c r="E291">
        <f>IF([1]Accounts!$D$292="","",[1]Accounts!$J$292)</f>
        <v/>
      </c>
      <c r="F291">
        <f>IF([1]Accounts!$D$292="","",[1]Accounts!$K$292)</f>
        <v/>
      </c>
      <c r="U291">
        <f>IF([2]Baskol!$B$294="","",[2]Baskol!$B$294)</f>
        <v/>
      </c>
      <c r="V291">
        <f>IF([2]Baskol!$C$294="","",[2]Baskol!$C$294)</f>
        <v/>
      </c>
      <c r="W291">
        <f>IF([2]Baskol!$D$294="","",[2]Baskol!$D$294)</f>
        <v/>
      </c>
      <c r="X291">
        <f>IF([2]Baskol!$E$294="","",[2]Baskol!$E$294)</f>
        <v/>
      </c>
      <c r="Y291">
        <f>IF([2]Baskol!$G$294="","",[2]Baskol!$G$294)</f>
        <v/>
      </c>
      <c r="Z291">
        <f>IF([2]Baskol!$I$294="","",[2]Baskol!$I$294)</f>
        <v/>
      </c>
      <c r="AA291">
        <f>IF([2]Baskol!$J$294="","",[2]Baskol!$J$294)</f>
        <v/>
      </c>
      <c r="AB291">
        <f>IF([2]Baskol!$K$294="","",[2]Baskol!$K$294)</f>
        <v/>
      </c>
      <c r="AC291">
        <f>IF([2]Baskol!$L$294="","",[2]Baskol!$L$294)</f>
        <v/>
      </c>
      <c r="AD291">
        <f>IF([2]Baskol!$N$294="","",[2]Baskol!$N$294)</f>
        <v/>
      </c>
      <c r="AE291">
        <f>IF([2]Baskol!$O$294="","",[2]Baskol!$O$294)</f>
        <v/>
      </c>
      <c r="AG291">
        <f>IF([3]Entry!$C$294="","",[3]Entry!$C$294)</f>
        <v/>
      </c>
      <c r="AH291">
        <f>IF([3]Entry!$D$294="","",[3]Entry!$D$294)</f>
        <v/>
      </c>
      <c r="AI291">
        <f>IF([3]Entry!$E$294="","",[3]Entry!$E$294)</f>
        <v/>
      </c>
      <c r="AJ291">
        <f>IF([3]Entry!$G$294="","",[3]Entry!$G$294)</f>
        <v/>
      </c>
      <c r="AK291">
        <f>IF([3]Entry!$K$294="","",[3]Entry!$K$294)</f>
        <v/>
      </c>
      <c r="AL291">
        <f>IF([3]Entry!$L$294="","",[3]Entry!$L$294)</f>
        <v/>
      </c>
      <c r="AM291">
        <f>IF([3]Entry!$M$294="","",[3]Entry!$M$294)</f>
        <v/>
      </c>
      <c r="AN291">
        <f>IF([3]Entry!$N$294="","",[3]Entry!$N$294)</f>
        <v/>
      </c>
      <c r="AO291">
        <f>IF([3]Entry!$R$294="","",[3]Entry!$R$294)</f>
        <v/>
      </c>
      <c r="AQ291">
        <f>IF(AND($D291&lt;&gt;"",$A291&lt;&gt;""),1,0)</f>
        <v/>
      </c>
      <c r="AR291">
        <f>SUM($AQ$6:$AQ291)</f>
        <v/>
      </c>
      <c r="AS291">
        <f>IFERROR(INDEX($A$6:$A$565,MATCH(ROW()-5,$AR$6:$AR$565,0)),"")</f>
        <v/>
      </c>
    </row>
    <row r="292">
      <c r="A292">
        <f>IF([1]Accounts!$D$293="","",[1]Accounts!$A$293)</f>
        <v/>
      </c>
      <c r="B292">
        <f>IF([1]Accounts!$D$293="","",[1]Accounts!$B$293)</f>
        <v/>
      </c>
      <c r="C292">
        <f>IF([1]Accounts!$D$293="","",[1]Accounts!$C$293)</f>
        <v/>
      </c>
      <c r="D292">
        <f>IF([1]Accounts!$D$293="","",[1]Accounts!$D$293)</f>
        <v/>
      </c>
      <c r="E292">
        <f>IF([1]Accounts!$D$293="","",[1]Accounts!$J$293)</f>
        <v/>
      </c>
      <c r="F292">
        <f>IF([1]Accounts!$D$293="","",[1]Accounts!$K$293)</f>
        <v/>
      </c>
      <c r="U292">
        <f>IF([2]Baskol!$B$295="","",[2]Baskol!$B$295)</f>
        <v/>
      </c>
      <c r="V292">
        <f>IF([2]Baskol!$C$295="","",[2]Baskol!$C$295)</f>
        <v/>
      </c>
      <c r="W292">
        <f>IF([2]Baskol!$D$295="","",[2]Baskol!$D$295)</f>
        <v/>
      </c>
      <c r="X292">
        <f>IF([2]Baskol!$E$295="","",[2]Baskol!$E$295)</f>
        <v/>
      </c>
      <c r="Y292">
        <f>IF([2]Baskol!$G$295="","",[2]Baskol!$G$295)</f>
        <v/>
      </c>
      <c r="Z292">
        <f>IF([2]Baskol!$I$295="","",[2]Baskol!$I$295)</f>
        <v/>
      </c>
      <c r="AA292">
        <f>IF([2]Baskol!$J$295="","",[2]Baskol!$J$295)</f>
        <v/>
      </c>
      <c r="AB292">
        <f>IF([2]Baskol!$K$295="","",[2]Baskol!$K$295)</f>
        <v/>
      </c>
      <c r="AC292">
        <f>IF([2]Baskol!$L$295="","",[2]Baskol!$L$295)</f>
        <v/>
      </c>
      <c r="AD292">
        <f>IF([2]Baskol!$N$295="","",[2]Baskol!$N$295)</f>
        <v/>
      </c>
      <c r="AE292">
        <f>IF([2]Baskol!$O$295="","",[2]Baskol!$O$295)</f>
        <v/>
      </c>
      <c r="AG292">
        <f>IF([3]Entry!$C$295="","",[3]Entry!$C$295)</f>
        <v/>
      </c>
      <c r="AH292">
        <f>IF([3]Entry!$D$295="","",[3]Entry!$D$295)</f>
        <v/>
      </c>
      <c r="AI292">
        <f>IF([3]Entry!$E$295="","",[3]Entry!$E$295)</f>
        <v/>
      </c>
      <c r="AJ292">
        <f>IF([3]Entry!$G$295="","",[3]Entry!$G$295)</f>
        <v/>
      </c>
      <c r="AK292">
        <f>IF([3]Entry!$K$295="","",[3]Entry!$K$295)</f>
        <v/>
      </c>
      <c r="AL292">
        <f>IF([3]Entry!$L$295="","",[3]Entry!$L$295)</f>
        <v/>
      </c>
      <c r="AM292">
        <f>IF([3]Entry!$M$295="","",[3]Entry!$M$295)</f>
        <v/>
      </c>
      <c r="AN292">
        <f>IF([3]Entry!$N$295="","",[3]Entry!$N$295)</f>
        <v/>
      </c>
      <c r="AO292">
        <f>IF([3]Entry!$R$295="","",[3]Entry!$R$295)</f>
        <v/>
      </c>
      <c r="AQ292">
        <f>IF(AND($D292&lt;&gt;"",$A292&lt;&gt;""),1,0)</f>
        <v/>
      </c>
      <c r="AR292">
        <f>SUM($AQ$6:$AQ292)</f>
        <v/>
      </c>
      <c r="AS292">
        <f>IFERROR(INDEX($A$6:$A$565,MATCH(ROW()-5,$AR$6:$AR$565,0)),"")</f>
        <v/>
      </c>
    </row>
    <row r="293">
      <c r="A293">
        <f>IF([1]Accounts!$D$294="","",[1]Accounts!$A$294)</f>
        <v/>
      </c>
      <c r="B293">
        <f>IF([1]Accounts!$D$294="","",[1]Accounts!$B$294)</f>
        <v/>
      </c>
      <c r="C293">
        <f>IF([1]Accounts!$D$294="","",[1]Accounts!$C$294)</f>
        <v/>
      </c>
      <c r="D293">
        <f>IF([1]Accounts!$D$294="","",[1]Accounts!$D$294)</f>
        <v/>
      </c>
      <c r="E293">
        <f>IF([1]Accounts!$D$294="","",[1]Accounts!$J$294)</f>
        <v/>
      </c>
      <c r="F293">
        <f>IF([1]Accounts!$D$294="","",[1]Accounts!$K$294)</f>
        <v/>
      </c>
      <c r="U293">
        <f>IF([2]Baskol!$B$296="","",[2]Baskol!$B$296)</f>
        <v/>
      </c>
      <c r="V293">
        <f>IF([2]Baskol!$C$296="","",[2]Baskol!$C$296)</f>
        <v/>
      </c>
      <c r="W293">
        <f>IF([2]Baskol!$D$296="","",[2]Baskol!$D$296)</f>
        <v/>
      </c>
      <c r="X293">
        <f>IF([2]Baskol!$E$296="","",[2]Baskol!$E$296)</f>
        <v/>
      </c>
      <c r="Y293">
        <f>IF([2]Baskol!$G$296="","",[2]Baskol!$G$296)</f>
        <v/>
      </c>
      <c r="Z293">
        <f>IF([2]Baskol!$I$296="","",[2]Baskol!$I$296)</f>
        <v/>
      </c>
      <c r="AA293">
        <f>IF([2]Baskol!$J$296="","",[2]Baskol!$J$296)</f>
        <v/>
      </c>
      <c r="AB293">
        <f>IF([2]Baskol!$K$296="","",[2]Baskol!$K$296)</f>
        <v/>
      </c>
      <c r="AC293">
        <f>IF([2]Baskol!$L$296="","",[2]Baskol!$L$296)</f>
        <v/>
      </c>
      <c r="AD293">
        <f>IF([2]Baskol!$N$296="","",[2]Baskol!$N$296)</f>
        <v/>
      </c>
      <c r="AE293">
        <f>IF([2]Baskol!$O$296="","",[2]Baskol!$O$296)</f>
        <v/>
      </c>
      <c r="AG293">
        <f>IF([3]Entry!$C$296="","",[3]Entry!$C$296)</f>
        <v/>
      </c>
      <c r="AH293">
        <f>IF([3]Entry!$D$296="","",[3]Entry!$D$296)</f>
        <v/>
      </c>
      <c r="AI293">
        <f>IF([3]Entry!$E$296="","",[3]Entry!$E$296)</f>
        <v/>
      </c>
      <c r="AJ293">
        <f>IF([3]Entry!$G$296="","",[3]Entry!$G$296)</f>
        <v/>
      </c>
      <c r="AK293">
        <f>IF([3]Entry!$K$296="","",[3]Entry!$K$296)</f>
        <v/>
      </c>
      <c r="AL293">
        <f>IF([3]Entry!$L$296="","",[3]Entry!$L$296)</f>
        <v/>
      </c>
      <c r="AM293">
        <f>IF([3]Entry!$M$296="","",[3]Entry!$M$296)</f>
        <v/>
      </c>
      <c r="AN293">
        <f>IF([3]Entry!$N$296="","",[3]Entry!$N$296)</f>
        <v/>
      </c>
      <c r="AO293">
        <f>IF([3]Entry!$R$296="","",[3]Entry!$R$296)</f>
        <v/>
      </c>
      <c r="AQ293">
        <f>IF(AND($D293&lt;&gt;"",$A293&lt;&gt;""),1,0)</f>
        <v/>
      </c>
      <c r="AR293">
        <f>SUM($AQ$6:$AQ293)</f>
        <v/>
      </c>
      <c r="AS293">
        <f>IFERROR(INDEX($A$6:$A$565,MATCH(ROW()-5,$AR$6:$AR$565,0)),"")</f>
        <v/>
      </c>
    </row>
    <row r="294">
      <c r="A294">
        <f>IF([1]Accounts!$D$295="","",[1]Accounts!$A$295)</f>
        <v/>
      </c>
      <c r="B294">
        <f>IF([1]Accounts!$D$295="","",[1]Accounts!$B$295)</f>
        <v/>
      </c>
      <c r="C294">
        <f>IF([1]Accounts!$D$295="","",[1]Accounts!$C$295)</f>
        <v/>
      </c>
      <c r="D294">
        <f>IF([1]Accounts!$D$295="","",[1]Accounts!$D$295)</f>
        <v/>
      </c>
      <c r="E294">
        <f>IF([1]Accounts!$D$295="","",[1]Accounts!$J$295)</f>
        <v/>
      </c>
      <c r="F294">
        <f>IF([1]Accounts!$D$295="","",[1]Accounts!$K$295)</f>
        <v/>
      </c>
      <c r="U294">
        <f>IF([2]Baskol!$B$297="","",[2]Baskol!$B$297)</f>
        <v/>
      </c>
      <c r="V294">
        <f>IF([2]Baskol!$C$297="","",[2]Baskol!$C$297)</f>
        <v/>
      </c>
      <c r="W294">
        <f>IF([2]Baskol!$D$297="","",[2]Baskol!$D$297)</f>
        <v/>
      </c>
      <c r="X294">
        <f>IF([2]Baskol!$E$297="","",[2]Baskol!$E$297)</f>
        <v/>
      </c>
      <c r="Y294">
        <f>IF([2]Baskol!$G$297="","",[2]Baskol!$G$297)</f>
        <v/>
      </c>
      <c r="Z294">
        <f>IF([2]Baskol!$I$297="","",[2]Baskol!$I$297)</f>
        <v/>
      </c>
      <c r="AA294">
        <f>IF([2]Baskol!$J$297="","",[2]Baskol!$J$297)</f>
        <v/>
      </c>
      <c r="AB294">
        <f>IF([2]Baskol!$K$297="","",[2]Baskol!$K$297)</f>
        <v/>
      </c>
      <c r="AC294">
        <f>IF([2]Baskol!$L$297="","",[2]Baskol!$L$297)</f>
        <v/>
      </c>
      <c r="AD294">
        <f>IF([2]Baskol!$N$297="","",[2]Baskol!$N$297)</f>
        <v/>
      </c>
      <c r="AE294">
        <f>IF([2]Baskol!$O$297="","",[2]Baskol!$O$297)</f>
        <v/>
      </c>
      <c r="AG294">
        <f>IF([3]Entry!$C$297="","",[3]Entry!$C$297)</f>
        <v/>
      </c>
      <c r="AH294">
        <f>IF([3]Entry!$D$297="","",[3]Entry!$D$297)</f>
        <v/>
      </c>
      <c r="AI294">
        <f>IF([3]Entry!$E$297="","",[3]Entry!$E$297)</f>
        <v/>
      </c>
      <c r="AJ294">
        <f>IF([3]Entry!$G$297="","",[3]Entry!$G$297)</f>
        <v/>
      </c>
      <c r="AK294">
        <f>IF([3]Entry!$K$297="","",[3]Entry!$K$297)</f>
        <v/>
      </c>
      <c r="AL294">
        <f>IF([3]Entry!$L$297="","",[3]Entry!$L$297)</f>
        <v/>
      </c>
      <c r="AM294">
        <f>IF([3]Entry!$M$297="","",[3]Entry!$M$297)</f>
        <v/>
      </c>
      <c r="AN294">
        <f>IF([3]Entry!$N$297="","",[3]Entry!$N$297)</f>
        <v/>
      </c>
      <c r="AO294">
        <f>IF([3]Entry!$R$297="","",[3]Entry!$R$297)</f>
        <v/>
      </c>
      <c r="AQ294">
        <f>IF(AND($D294&lt;&gt;"",$A294&lt;&gt;""),1,0)</f>
        <v/>
      </c>
      <c r="AR294">
        <f>SUM($AQ$6:$AQ294)</f>
        <v/>
      </c>
      <c r="AS294">
        <f>IFERROR(INDEX($A$6:$A$565,MATCH(ROW()-5,$AR$6:$AR$565,0)),"")</f>
        <v/>
      </c>
    </row>
    <row r="295">
      <c r="A295">
        <f>IF([1]Accounts!$D$296="","",[1]Accounts!$A$296)</f>
        <v/>
      </c>
      <c r="B295">
        <f>IF([1]Accounts!$D$296="","",[1]Accounts!$B$296)</f>
        <v/>
      </c>
      <c r="C295">
        <f>IF([1]Accounts!$D$296="","",[1]Accounts!$C$296)</f>
        <v/>
      </c>
      <c r="D295">
        <f>IF([1]Accounts!$D$296="","",[1]Accounts!$D$296)</f>
        <v/>
      </c>
      <c r="E295">
        <f>IF([1]Accounts!$D$296="","",[1]Accounts!$J$296)</f>
        <v/>
      </c>
      <c r="F295">
        <f>IF([1]Accounts!$D$296="","",[1]Accounts!$K$296)</f>
        <v/>
      </c>
      <c r="U295">
        <f>IF([2]Baskol!$B$298="","",[2]Baskol!$B$298)</f>
        <v/>
      </c>
      <c r="V295">
        <f>IF([2]Baskol!$C$298="","",[2]Baskol!$C$298)</f>
        <v/>
      </c>
      <c r="W295">
        <f>IF([2]Baskol!$D$298="","",[2]Baskol!$D$298)</f>
        <v/>
      </c>
      <c r="X295">
        <f>IF([2]Baskol!$E$298="","",[2]Baskol!$E$298)</f>
        <v/>
      </c>
      <c r="Y295">
        <f>IF([2]Baskol!$G$298="","",[2]Baskol!$G$298)</f>
        <v/>
      </c>
      <c r="Z295">
        <f>IF([2]Baskol!$I$298="","",[2]Baskol!$I$298)</f>
        <v/>
      </c>
      <c r="AA295">
        <f>IF([2]Baskol!$J$298="","",[2]Baskol!$J$298)</f>
        <v/>
      </c>
      <c r="AB295">
        <f>IF([2]Baskol!$K$298="","",[2]Baskol!$K$298)</f>
        <v/>
      </c>
      <c r="AC295">
        <f>IF([2]Baskol!$L$298="","",[2]Baskol!$L$298)</f>
        <v/>
      </c>
      <c r="AD295">
        <f>IF([2]Baskol!$N$298="","",[2]Baskol!$N$298)</f>
        <v/>
      </c>
      <c r="AE295">
        <f>IF([2]Baskol!$O$298="","",[2]Baskol!$O$298)</f>
        <v/>
      </c>
      <c r="AG295">
        <f>IF([3]Entry!$C$298="","",[3]Entry!$C$298)</f>
        <v/>
      </c>
      <c r="AH295">
        <f>IF([3]Entry!$D$298="","",[3]Entry!$D$298)</f>
        <v/>
      </c>
      <c r="AI295">
        <f>IF([3]Entry!$E$298="","",[3]Entry!$E$298)</f>
        <v/>
      </c>
      <c r="AJ295">
        <f>IF([3]Entry!$G$298="","",[3]Entry!$G$298)</f>
        <v/>
      </c>
      <c r="AK295">
        <f>IF([3]Entry!$K$298="","",[3]Entry!$K$298)</f>
        <v/>
      </c>
      <c r="AL295">
        <f>IF([3]Entry!$L$298="","",[3]Entry!$L$298)</f>
        <v/>
      </c>
      <c r="AM295">
        <f>IF([3]Entry!$M$298="","",[3]Entry!$M$298)</f>
        <v/>
      </c>
      <c r="AN295">
        <f>IF([3]Entry!$N$298="","",[3]Entry!$N$298)</f>
        <v/>
      </c>
      <c r="AO295">
        <f>IF([3]Entry!$R$298="","",[3]Entry!$R$298)</f>
        <v/>
      </c>
      <c r="AQ295">
        <f>IF(AND($D295&lt;&gt;"",$A295&lt;&gt;""),1,0)</f>
        <v/>
      </c>
      <c r="AR295">
        <f>SUM($AQ$6:$AQ295)</f>
        <v/>
      </c>
      <c r="AS295">
        <f>IFERROR(INDEX($A$6:$A$565,MATCH(ROW()-5,$AR$6:$AR$565,0)),"")</f>
        <v/>
      </c>
    </row>
    <row r="296">
      <c r="A296">
        <f>IF([1]Accounts!$D$297="","",[1]Accounts!$A$297)</f>
        <v/>
      </c>
      <c r="B296">
        <f>IF([1]Accounts!$D$297="","",[1]Accounts!$B$297)</f>
        <v/>
      </c>
      <c r="C296">
        <f>IF([1]Accounts!$D$297="","",[1]Accounts!$C$297)</f>
        <v/>
      </c>
      <c r="D296">
        <f>IF([1]Accounts!$D$297="","",[1]Accounts!$D$297)</f>
        <v/>
      </c>
      <c r="E296">
        <f>IF([1]Accounts!$D$297="","",[1]Accounts!$J$297)</f>
        <v/>
      </c>
      <c r="F296">
        <f>IF([1]Accounts!$D$297="","",[1]Accounts!$K$297)</f>
        <v/>
      </c>
      <c r="U296">
        <f>IF([2]Baskol!$B$299="","",[2]Baskol!$B$299)</f>
        <v/>
      </c>
      <c r="V296">
        <f>IF([2]Baskol!$C$299="","",[2]Baskol!$C$299)</f>
        <v/>
      </c>
      <c r="W296">
        <f>IF([2]Baskol!$D$299="","",[2]Baskol!$D$299)</f>
        <v/>
      </c>
      <c r="X296">
        <f>IF([2]Baskol!$E$299="","",[2]Baskol!$E$299)</f>
        <v/>
      </c>
      <c r="Y296">
        <f>IF([2]Baskol!$G$299="","",[2]Baskol!$G$299)</f>
        <v/>
      </c>
      <c r="Z296">
        <f>IF([2]Baskol!$I$299="","",[2]Baskol!$I$299)</f>
        <v/>
      </c>
      <c r="AA296">
        <f>IF([2]Baskol!$J$299="","",[2]Baskol!$J$299)</f>
        <v/>
      </c>
      <c r="AB296">
        <f>IF([2]Baskol!$K$299="","",[2]Baskol!$K$299)</f>
        <v/>
      </c>
      <c r="AC296">
        <f>IF([2]Baskol!$L$299="","",[2]Baskol!$L$299)</f>
        <v/>
      </c>
      <c r="AD296">
        <f>IF([2]Baskol!$N$299="","",[2]Baskol!$N$299)</f>
        <v/>
      </c>
      <c r="AE296">
        <f>IF([2]Baskol!$O$299="","",[2]Baskol!$O$299)</f>
        <v/>
      </c>
      <c r="AG296">
        <f>IF([3]Entry!$C$299="","",[3]Entry!$C$299)</f>
        <v/>
      </c>
      <c r="AH296">
        <f>IF([3]Entry!$D$299="","",[3]Entry!$D$299)</f>
        <v/>
      </c>
      <c r="AI296">
        <f>IF([3]Entry!$E$299="","",[3]Entry!$E$299)</f>
        <v/>
      </c>
      <c r="AJ296">
        <f>IF([3]Entry!$G$299="","",[3]Entry!$G$299)</f>
        <v/>
      </c>
      <c r="AK296">
        <f>IF([3]Entry!$K$299="","",[3]Entry!$K$299)</f>
        <v/>
      </c>
      <c r="AL296">
        <f>IF([3]Entry!$L$299="","",[3]Entry!$L$299)</f>
        <v/>
      </c>
      <c r="AM296">
        <f>IF([3]Entry!$M$299="","",[3]Entry!$M$299)</f>
        <v/>
      </c>
      <c r="AN296">
        <f>IF([3]Entry!$N$299="","",[3]Entry!$N$299)</f>
        <v/>
      </c>
      <c r="AO296">
        <f>IF([3]Entry!$R$299="","",[3]Entry!$R$299)</f>
        <v/>
      </c>
      <c r="AQ296">
        <f>IF(AND($D296&lt;&gt;"",$A296&lt;&gt;""),1,0)</f>
        <v/>
      </c>
      <c r="AR296">
        <f>SUM($AQ$6:$AQ296)</f>
        <v/>
      </c>
      <c r="AS296">
        <f>IFERROR(INDEX($A$6:$A$565,MATCH(ROW()-5,$AR$6:$AR$565,0)),"")</f>
        <v/>
      </c>
    </row>
    <row r="297">
      <c r="A297">
        <f>IF([1]Accounts!$D$298="","",[1]Accounts!$A$298)</f>
        <v/>
      </c>
      <c r="B297">
        <f>IF([1]Accounts!$D$298="","",[1]Accounts!$B$298)</f>
        <v/>
      </c>
      <c r="C297">
        <f>IF([1]Accounts!$D$298="","",[1]Accounts!$C$298)</f>
        <v/>
      </c>
      <c r="D297">
        <f>IF([1]Accounts!$D$298="","",[1]Accounts!$D$298)</f>
        <v/>
      </c>
      <c r="E297">
        <f>IF([1]Accounts!$D$298="","",[1]Accounts!$J$298)</f>
        <v/>
      </c>
      <c r="F297">
        <f>IF([1]Accounts!$D$298="","",[1]Accounts!$K$298)</f>
        <v/>
      </c>
      <c r="U297">
        <f>IF([2]Baskol!$B$300="","",[2]Baskol!$B$300)</f>
        <v/>
      </c>
      <c r="V297">
        <f>IF([2]Baskol!$C$300="","",[2]Baskol!$C$300)</f>
        <v/>
      </c>
      <c r="W297">
        <f>IF([2]Baskol!$D$300="","",[2]Baskol!$D$300)</f>
        <v/>
      </c>
      <c r="X297">
        <f>IF([2]Baskol!$E$300="","",[2]Baskol!$E$300)</f>
        <v/>
      </c>
      <c r="Y297">
        <f>IF([2]Baskol!$G$300="","",[2]Baskol!$G$300)</f>
        <v/>
      </c>
      <c r="Z297">
        <f>IF([2]Baskol!$I$300="","",[2]Baskol!$I$300)</f>
        <v/>
      </c>
      <c r="AA297">
        <f>IF([2]Baskol!$J$300="","",[2]Baskol!$J$300)</f>
        <v/>
      </c>
      <c r="AB297">
        <f>IF([2]Baskol!$K$300="","",[2]Baskol!$K$300)</f>
        <v/>
      </c>
      <c r="AC297">
        <f>IF([2]Baskol!$L$300="","",[2]Baskol!$L$300)</f>
        <v/>
      </c>
      <c r="AD297">
        <f>IF([2]Baskol!$N$300="","",[2]Baskol!$N$300)</f>
        <v/>
      </c>
      <c r="AE297">
        <f>IF([2]Baskol!$O$300="","",[2]Baskol!$O$300)</f>
        <v/>
      </c>
      <c r="AG297">
        <f>IF([3]Entry!$C$300="","",[3]Entry!$C$300)</f>
        <v/>
      </c>
      <c r="AH297">
        <f>IF([3]Entry!$D$300="","",[3]Entry!$D$300)</f>
        <v/>
      </c>
      <c r="AI297">
        <f>IF([3]Entry!$E$300="","",[3]Entry!$E$300)</f>
        <v/>
      </c>
      <c r="AJ297">
        <f>IF([3]Entry!$G$300="","",[3]Entry!$G$300)</f>
        <v/>
      </c>
      <c r="AK297">
        <f>IF([3]Entry!$K$300="","",[3]Entry!$K$300)</f>
        <v/>
      </c>
      <c r="AL297">
        <f>IF([3]Entry!$L$300="","",[3]Entry!$L$300)</f>
        <v/>
      </c>
      <c r="AM297">
        <f>IF([3]Entry!$M$300="","",[3]Entry!$M$300)</f>
        <v/>
      </c>
      <c r="AN297">
        <f>IF([3]Entry!$N$300="","",[3]Entry!$N$300)</f>
        <v/>
      </c>
      <c r="AO297">
        <f>IF([3]Entry!$R$300="","",[3]Entry!$R$300)</f>
        <v/>
      </c>
      <c r="AQ297">
        <f>IF(AND($D297&lt;&gt;"",$A297&lt;&gt;""),1,0)</f>
        <v/>
      </c>
      <c r="AR297">
        <f>SUM($AQ$6:$AQ297)</f>
        <v/>
      </c>
      <c r="AS297">
        <f>IFERROR(INDEX($A$6:$A$565,MATCH(ROW()-5,$AR$6:$AR$565,0)),"")</f>
        <v/>
      </c>
    </row>
    <row r="298">
      <c r="A298">
        <f>IF([1]Accounts!$D$299="","",[1]Accounts!$A$299)</f>
        <v/>
      </c>
      <c r="B298">
        <f>IF([1]Accounts!$D$299="","",[1]Accounts!$B$299)</f>
        <v/>
      </c>
      <c r="C298">
        <f>IF([1]Accounts!$D$299="","",[1]Accounts!$C$299)</f>
        <v/>
      </c>
      <c r="D298">
        <f>IF([1]Accounts!$D$299="","",[1]Accounts!$D$299)</f>
        <v/>
      </c>
      <c r="E298">
        <f>IF([1]Accounts!$D$299="","",[1]Accounts!$J$299)</f>
        <v/>
      </c>
      <c r="F298">
        <f>IF([1]Accounts!$D$299="","",[1]Accounts!$K$299)</f>
        <v/>
      </c>
      <c r="U298">
        <f>IF([2]Baskol!$B$301="","",[2]Baskol!$B$301)</f>
        <v/>
      </c>
      <c r="V298">
        <f>IF([2]Baskol!$C$301="","",[2]Baskol!$C$301)</f>
        <v/>
      </c>
      <c r="W298">
        <f>IF([2]Baskol!$D$301="","",[2]Baskol!$D$301)</f>
        <v/>
      </c>
      <c r="X298">
        <f>IF([2]Baskol!$E$301="","",[2]Baskol!$E$301)</f>
        <v/>
      </c>
      <c r="Y298">
        <f>IF([2]Baskol!$G$301="","",[2]Baskol!$G$301)</f>
        <v/>
      </c>
      <c r="Z298">
        <f>IF([2]Baskol!$I$301="","",[2]Baskol!$I$301)</f>
        <v/>
      </c>
      <c r="AA298">
        <f>IF([2]Baskol!$J$301="","",[2]Baskol!$J$301)</f>
        <v/>
      </c>
      <c r="AB298">
        <f>IF([2]Baskol!$K$301="","",[2]Baskol!$K$301)</f>
        <v/>
      </c>
      <c r="AC298">
        <f>IF([2]Baskol!$L$301="","",[2]Baskol!$L$301)</f>
        <v/>
      </c>
      <c r="AD298">
        <f>IF([2]Baskol!$N$301="","",[2]Baskol!$N$301)</f>
        <v/>
      </c>
      <c r="AE298">
        <f>IF([2]Baskol!$O$301="","",[2]Baskol!$O$301)</f>
        <v/>
      </c>
      <c r="AG298">
        <f>IF([3]Entry!$C$301="","",[3]Entry!$C$301)</f>
        <v/>
      </c>
      <c r="AH298">
        <f>IF([3]Entry!$D$301="","",[3]Entry!$D$301)</f>
        <v/>
      </c>
      <c r="AI298">
        <f>IF([3]Entry!$E$301="","",[3]Entry!$E$301)</f>
        <v/>
      </c>
      <c r="AJ298">
        <f>IF([3]Entry!$G$301="","",[3]Entry!$G$301)</f>
        <v/>
      </c>
      <c r="AK298">
        <f>IF([3]Entry!$K$301="","",[3]Entry!$K$301)</f>
        <v/>
      </c>
      <c r="AL298">
        <f>IF([3]Entry!$L$301="","",[3]Entry!$L$301)</f>
        <v/>
      </c>
      <c r="AM298">
        <f>IF([3]Entry!$M$301="","",[3]Entry!$M$301)</f>
        <v/>
      </c>
      <c r="AN298">
        <f>IF([3]Entry!$N$301="","",[3]Entry!$N$301)</f>
        <v/>
      </c>
      <c r="AO298">
        <f>IF([3]Entry!$R$301="","",[3]Entry!$R$301)</f>
        <v/>
      </c>
      <c r="AQ298">
        <f>IF(AND($D298&lt;&gt;"",$A298&lt;&gt;""),1,0)</f>
        <v/>
      </c>
      <c r="AR298">
        <f>SUM($AQ$6:$AQ298)</f>
        <v/>
      </c>
      <c r="AS298">
        <f>IFERROR(INDEX($A$6:$A$565,MATCH(ROW()-5,$AR$6:$AR$565,0)),"")</f>
        <v/>
      </c>
    </row>
    <row r="299">
      <c r="A299">
        <f>IF([1]Accounts!$D$300="","",[1]Accounts!$A$300)</f>
        <v/>
      </c>
      <c r="B299">
        <f>IF([1]Accounts!$D$300="","",[1]Accounts!$B$300)</f>
        <v/>
      </c>
      <c r="C299">
        <f>IF([1]Accounts!$D$300="","",[1]Accounts!$C$300)</f>
        <v/>
      </c>
      <c r="D299">
        <f>IF([1]Accounts!$D$300="","",[1]Accounts!$D$300)</f>
        <v/>
      </c>
      <c r="E299">
        <f>IF([1]Accounts!$D$300="","",[1]Accounts!$J$300)</f>
        <v/>
      </c>
      <c r="F299">
        <f>IF([1]Accounts!$D$300="","",[1]Accounts!$K$300)</f>
        <v/>
      </c>
      <c r="U299">
        <f>IF([2]Baskol!$B$302="","",[2]Baskol!$B$302)</f>
        <v/>
      </c>
      <c r="V299">
        <f>IF([2]Baskol!$C$302="","",[2]Baskol!$C$302)</f>
        <v/>
      </c>
      <c r="W299">
        <f>IF([2]Baskol!$D$302="","",[2]Baskol!$D$302)</f>
        <v/>
      </c>
      <c r="X299">
        <f>IF([2]Baskol!$E$302="","",[2]Baskol!$E$302)</f>
        <v/>
      </c>
      <c r="Y299">
        <f>IF([2]Baskol!$G$302="","",[2]Baskol!$G$302)</f>
        <v/>
      </c>
      <c r="Z299">
        <f>IF([2]Baskol!$I$302="","",[2]Baskol!$I$302)</f>
        <v/>
      </c>
      <c r="AA299">
        <f>IF([2]Baskol!$J$302="","",[2]Baskol!$J$302)</f>
        <v/>
      </c>
      <c r="AB299">
        <f>IF([2]Baskol!$K$302="","",[2]Baskol!$K$302)</f>
        <v/>
      </c>
      <c r="AC299">
        <f>IF([2]Baskol!$L$302="","",[2]Baskol!$L$302)</f>
        <v/>
      </c>
      <c r="AD299">
        <f>IF([2]Baskol!$N$302="","",[2]Baskol!$N$302)</f>
        <v/>
      </c>
      <c r="AE299">
        <f>IF([2]Baskol!$O$302="","",[2]Baskol!$O$302)</f>
        <v/>
      </c>
      <c r="AG299">
        <f>IF([3]Entry!$C$302="","",[3]Entry!$C$302)</f>
        <v/>
      </c>
      <c r="AH299">
        <f>IF([3]Entry!$D$302="","",[3]Entry!$D$302)</f>
        <v/>
      </c>
      <c r="AI299">
        <f>IF([3]Entry!$E$302="","",[3]Entry!$E$302)</f>
        <v/>
      </c>
      <c r="AJ299">
        <f>IF([3]Entry!$G$302="","",[3]Entry!$G$302)</f>
        <v/>
      </c>
      <c r="AK299">
        <f>IF([3]Entry!$K$302="","",[3]Entry!$K$302)</f>
        <v/>
      </c>
      <c r="AL299">
        <f>IF([3]Entry!$L$302="","",[3]Entry!$L$302)</f>
        <v/>
      </c>
      <c r="AM299">
        <f>IF([3]Entry!$M$302="","",[3]Entry!$M$302)</f>
        <v/>
      </c>
      <c r="AN299">
        <f>IF([3]Entry!$N$302="","",[3]Entry!$N$302)</f>
        <v/>
      </c>
      <c r="AO299">
        <f>IF([3]Entry!$R$302="","",[3]Entry!$R$302)</f>
        <v/>
      </c>
      <c r="AQ299">
        <f>IF(AND($D299&lt;&gt;"",$A299&lt;&gt;""),1,0)</f>
        <v/>
      </c>
      <c r="AR299">
        <f>SUM($AQ$6:$AQ299)</f>
        <v/>
      </c>
      <c r="AS299">
        <f>IFERROR(INDEX($A$6:$A$565,MATCH(ROW()-5,$AR$6:$AR$565,0)),"")</f>
        <v/>
      </c>
    </row>
    <row r="300">
      <c r="A300">
        <f>IF([1]Accounts!$D$301="","",[1]Accounts!$A$301)</f>
        <v/>
      </c>
      <c r="B300">
        <f>IF([1]Accounts!$D$301="","",[1]Accounts!$B$301)</f>
        <v/>
      </c>
      <c r="C300">
        <f>IF([1]Accounts!$D$301="","",[1]Accounts!$C$301)</f>
        <v/>
      </c>
      <c r="D300">
        <f>IF([1]Accounts!$D$301="","",[1]Accounts!$D$301)</f>
        <v/>
      </c>
      <c r="E300">
        <f>IF([1]Accounts!$D$301="","",[1]Accounts!$J$301)</f>
        <v/>
      </c>
      <c r="F300">
        <f>IF([1]Accounts!$D$301="","",[1]Accounts!$K$301)</f>
        <v/>
      </c>
      <c r="U300">
        <f>IF([2]Baskol!$B$303="","",[2]Baskol!$B$303)</f>
        <v/>
      </c>
      <c r="V300">
        <f>IF([2]Baskol!$C$303="","",[2]Baskol!$C$303)</f>
        <v/>
      </c>
      <c r="W300">
        <f>IF([2]Baskol!$D$303="","",[2]Baskol!$D$303)</f>
        <v/>
      </c>
      <c r="X300">
        <f>IF([2]Baskol!$E$303="","",[2]Baskol!$E$303)</f>
        <v/>
      </c>
      <c r="Y300">
        <f>IF([2]Baskol!$G$303="","",[2]Baskol!$G$303)</f>
        <v/>
      </c>
      <c r="Z300">
        <f>IF([2]Baskol!$I$303="","",[2]Baskol!$I$303)</f>
        <v/>
      </c>
      <c r="AA300">
        <f>IF([2]Baskol!$J$303="","",[2]Baskol!$J$303)</f>
        <v/>
      </c>
      <c r="AB300">
        <f>IF([2]Baskol!$K$303="","",[2]Baskol!$K$303)</f>
        <v/>
      </c>
      <c r="AC300">
        <f>IF([2]Baskol!$L$303="","",[2]Baskol!$L$303)</f>
        <v/>
      </c>
      <c r="AD300">
        <f>IF([2]Baskol!$N$303="","",[2]Baskol!$N$303)</f>
        <v/>
      </c>
      <c r="AE300">
        <f>IF([2]Baskol!$O$303="","",[2]Baskol!$O$303)</f>
        <v/>
      </c>
      <c r="AG300">
        <f>IF([3]Entry!$C$303="","",[3]Entry!$C$303)</f>
        <v/>
      </c>
      <c r="AH300">
        <f>IF([3]Entry!$D$303="","",[3]Entry!$D$303)</f>
        <v/>
      </c>
      <c r="AI300">
        <f>IF([3]Entry!$E$303="","",[3]Entry!$E$303)</f>
        <v/>
      </c>
      <c r="AJ300">
        <f>IF([3]Entry!$G$303="","",[3]Entry!$G$303)</f>
        <v/>
      </c>
      <c r="AK300">
        <f>IF([3]Entry!$K$303="","",[3]Entry!$K$303)</f>
        <v/>
      </c>
      <c r="AL300">
        <f>IF([3]Entry!$L$303="","",[3]Entry!$L$303)</f>
        <v/>
      </c>
      <c r="AM300">
        <f>IF([3]Entry!$M$303="","",[3]Entry!$M$303)</f>
        <v/>
      </c>
      <c r="AN300">
        <f>IF([3]Entry!$N$303="","",[3]Entry!$N$303)</f>
        <v/>
      </c>
      <c r="AO300">
        <f>IF([3]Entry!$R$303="","",[3]Entry!$R$303)</f>
        <v/>
      </c>
      <c r="AQ300">
        <f>IF(AND($D300&lt;&gt;"",$A300&lt;&gt;""),1,0)</f>
        <v/>
      </c>
      <c r="AR300">
        <f>SUM($AQ$6:$AQ300)</f>
        <v/>
      </c>
      <c r="AS300">
        <f>IFERROR(INDEX($A$6:$A$565,MATCH(ROW()-5,$AR$6:$AR$565,0)),"")</f>
        <v/>
      </c>
    </row>
    <row r="301">
      <c r="A301">
        <f>IF([1]Accounts!$D$302="","",[1]Accounts!$A$302)</f>
        <v/>
      </c>
      <c r="B301">
        <f>IF([1]Accounts!$D$302="","",[1]Accounts!$B$302)</f>
        <v/>
      </c>
      <c r="C301">
        <f>IF([1]Accounts!$D$302="","",[1]Accounts!$C$302)</f>
        <v/>
      </c>
      <c r="D301">
        <f>IF([1]Accounts!$D$302="","",[1]Accounts!$D$302)</f>
        <v/>
      </c>
      <c r="E301">
        <f>IF([1]Accounts!$D$302="","",[1]Accounts!$J$302)</f>
        <v/>
      </c>
      <c r="F301">
        <f>IF([1]Accounts!$D$302="","",[1]Accounts!$K$302)</f>
        <v/>
      </c>
      <c r="U301">
        <f>IF([2]Baskol!$B$304="","",[2]Baskol!$B$304)</f>
        <v/>
      </c>
      <c r="V301">
        <f>IF([2]Baskol!$C$304="","",[2]Baskol!$C$304)</f>
        <v/>
      </c>
      <c r="W301">
        <f>IF([2]Baskol!$D$304="","",[2]Baskol!$D$304)</f>
        <v/>
      </c>
      <c r="X301">
        <f>IF([2]Baskol!$E$304="","",[2]Baskol!$E$304)</f>
        <v/>
      </c>
      <c r="Y301">
        <f>IF([2]Baskol!$G$304="","",[2]Baskol!$G$304)</f>
        <v/>
      </c>
      <c r="Z301">
        <f>IF([2]Baskol!$I$304="","",[2]Baskol!$I$304)</f>
        <v/>
      </c>
      <c r="AA301">
        <f>IF([2]Baskol!$J$304="","",[2]Baskol!$J$304)</f>
        <v/>
      </c>
      <c r="AB301">
        <f>IF([2]Baskol!$K$304="","",[2]Baskol!$K$304)</f>
        <v/>
      </c>
      <c r="AC301">
        <f>IF([2]Baskol!$L$304="","",[2]Baskol!$L$304)</f>
        <v/>
      </c>
      <c r="AD301">
        <f>IF([2]Baskol!$N$304="","",[2]Baskol!$N$304)</f>
        <v/>
      </c>
      <c r="AE301">
        <f>IF([2]Baskol!$O$304="","",[2]Baskol!$O$304)</f>
        <v/>
      </c>
      <c r="AG301">
        <f>IF([3]Entry!$C$304="","",[3]Entry!$C$304)</f>
        <v/>
      </c>
      <c r="AH301">
        <f>IF([3]Entry!$D$304="","",[3]Entry!$D$304)</f>
        <v/>
      </c>
      <c r="AI301">
        <f>IF([3]Entry!$E$304="","",[3]Entry!$E$304)</f>
        <v/>
      </c>
      <c r="AJ301">
        <f>IF([3]Entry!$G$304="","",[3]Entry!$G$304)</f>
        <v/>
      </c>
      <c r="AK301">
        <f>IF([3]Entry!$K$304="","",[3]Entry!$K$304)</f>
        <v/>
      </c>
      <c r="AL301">
        <f>IF([3]Entry!$L$304="","",[3]Entry!$L$304)</f>
        <v/>
      </c>
      <c r="AM301">
        <f>IF([3]Entry!$M$304="","",[3]Entry!$M$304)</f>
        <v/>
      </c>
      <c r="AN301">
        <f>IF([3]Entry!$N$304="","",[3]Entry!$N$304)</f>
        <v/>
      </c>
      <c r="AO301">
        <f>IF([3]Entry!$R$304="","",[3]Entry!$R$304)</f>
        <v/>
      </c>
      <c r="AQ301">
        <f>IF(AND($D301&lt;&gt;"",$A301&lt;&gt;""),1,0)</f>
        <v/>
      </c>
      <c r="AR301">
        <f>SUM($AQ$6:$AQ301)</f>
        <v/>
      </c>
      <c r="AS301">
        <f>IFERROR(INDEX($A$6:$A$565,MATCH(ROW()-5,$AR$6:$AR$565,0)),"")</f>
        <v/>
      </c>
    </row>
    <row r="302">
      <c r="A302">
        <f>IF([1]Accounts!$D$303="","",[1]Accounts!$A$303)</f>
        <v/>
      </c>
      <c r="B302">
        <f>IF([1]Accounts!$D$303="","",[1]Accounts!$B$303)</f>
        <v/>
      </c>
      <c r="C302">
        <f>IF([1]Accounts!$D$303="","",[1]Accounts!$C$303)</f>
        <v/>
      </c>
      <c r="D302">
        <f>IF([1]Accounts!$D$303="","",[1]Accounts!$D$303)</f>
        <v/>
      </c>
      <c r="E302">
        <f>IF([1]Accounts!$D$303="","",[1]Accounts!$J$303)</f>
        <v/>
      </c>
      <c r="F302">
        <f>IF([1]Accounts!$D$303="","",[1]Accounts!$K$303)</f>
        <v/>
      </c>
      <c r="U302">
        <f>IF([2]Baskol!$B$305="","",[2]Baskol!$B$305)</f>
        <v/>
      </c>
      <c r="V302">
        <f>IF([2]Baskol!$C$305="","",[2]Baskol!$C$305)</f>
        <v/>
      </c>
      <c r="W302">
        <f>IF([2]Baskol!$D$305="","",[2]Baskol!$D$305)</f>
        <v/>
      </c>
      <c r="X302">
        <f>IF([2]Baskol!$E$305="","",[2]Baskol!$E$305)</f>
        <v/>
      </c>
      <c r="Y302">
        <f>IF([2]Baskol!$G$305="","",[2]Baskol!$G$305)</f>
        <v/>
      </c>
      <c r="Z302">
        <f>IF([2]Baskol!$I$305="","",[2]Baskol!$I$305)</f>
        <v/>
      </c>
      <c r="AA302">
        <f>IF([2]Baskol!$J$305="","",[2]Baskol!$J$305)</f>
        <v/>
      </c>
      <c r="AB302">
        <f>IF([2]Baskol!$K$305="","",[2]Baskol!$K$305)</f>
        <v/>
      </c>
      <c r="AC302">
        <f>IF([2]Baskol!$L$305="","",[2]Baskol!$L$305)</f>
        <v/>
      </c>
      <c r="AD302">
        <f>IF([2]Baskol!$N$305="","",[2]Baskol!$N$305)</f>
        <v/>
      </c>
      <c r="AE302">
        <f>IF([2]Baskol!$O$305="","",[2]Baskol!$O$305)</f>
        <v/>
      </c>
      <c r="AG302">
        <f>IF([3]Entry!$C$305="","",[3]Entry!$C$305)</f>
        <v/>
      </c>
      <c r="AH302">
        <f>IF([3]Entry!$D$305="","",[3]Entry!$D$305)</f>
        <v/>
      </c>
      <c r="AI302">
        <f>IF([3]Entry!$E$305="","",[3]Entry!$E$305)</f>
        <v/>
      </c>
      <c r="AJ302">
        <f>IF([3]Entry!$G$305="","",[3]Entry!$G$305)</f>
        <v/>
      </c>
      <c r="AK302">
        <f>IF([3]Entry!$K$305="","",[3]Entry!$K$305)</f>
        <v/>
      </c>
      <c r="AL302">
        <f>IF([3]Entry!$L$305="","",[3]Entry!$L$305)</f>
        <v/>
      </c>
      <c r="AM302">
        <f>IF([3]Entry!$M$305="","",[3]Entry!$M$305)</f>
        <v/>
      </c>
      <c r="AN302">
        <f>IF([3]Entry!$N$305="","",[3]Entry!$N$305)</f>
        <v/>
      </c>
      <c r="AO302">
        <f>IF([3]Entry!$R$305="","",[3]Entry!$R$305)</f>
        <v/>
      </c>
      <c r="AQ302">
        <f>IF(AND($D302&lt;&gt;"",$A302&lt;&gt;""),1,0)</f>
        <v/>
      </c>
      <c r="AR302">
        <f>SUM($AQ$6:$AQ302)</f>
        <v/>
      </c>
      <c r="AS302">
        <f>IFERROR(INDEX($A$6:$A$565,MATCH(ROW()-5,$AR$6:$AR$565,0)),"")</f>
        <v/>
      </c>
    </row>
    <row r="303">
      <c r="A303">
        <f>IF([1]Accounts!$D$304="","",[1]Accounts!$A$304)</f>
        <v/>
      </c>
      <c r="B303">
        <f>IF([1]Accounts!$D$304="","",[1]Accounts!$B$304)</f>
        <v/>
      </c>
      <c r="C303">
        <f>IF([1]Accounts!$D$304="","",[1]Accounts!$C$304)</f>
        <v/>
      </c>
      <c r="D303">
        <f>IF([1]Accounts!$D$304="","",[1]Accounts!$D$304)</f>
        <v/>
      </c>
      <c r="E303">
        <f>IF([1]Accounts!$D$304="","",[1]Accounts!$J$304)</f>
        <v/>
      </c>
      <c r="F303">
        <f>IF([1]Accounts!$D$304="","",[1]Accounts!$K$304)</f>
        <v/>
      </c>
      <c r="U303">
        <f>IF([2]Baskol!$B$306="","",[2]Baskol!$B$306)</f>
        <v/>
      </c>
      <c r="V303">
        <f>IF([2]Baskol!$C$306="","",[2]Baskol!$C$306)</f>
        <v/>
      </c>
      <c r="W303">
        <f>IF([2]Baskol!$D$306="","",[2]Baskol!$D$306)</f>
        <v/>
      </c>
      <c r="X303">
        <f>IF([2]Baskol!$E$306="","",[2]Baskol!$E$306)</f>
        <v/>
      </c>
      <c r="Y303">
        <f>IF([2]Baskol!$G$306="","",[2]Baskol!$G$306)</f>
        <v/>
      </c>
      <c r="Z303">
        <f>IF([2]Baskol!$I$306="","",[2]Baskol!$I$306)</f>
        <v/>
      </c>
      <c r="AA303">
        <f>IF([2]Baskol!$J$306="","",[2]Baskol!$J$306)</f>
        <v/>
      </c>
      <c r="AB303">
        <f>IF([2]Baskol!$K$306="","",[2]Baskol!$K$306)</f>
        <v/>
      </c>
      <c r="AC303">
        <f>IF([2]Baskol!$L$306="","",[2]Baskol!$L$306)</f>
        <v/>
      </c>
      <c r="AD303">
        <f>IF([2]Baskol!$N$306="","",[2]Baskol!$N$306)</f>
        <v/>
      </c>
      <c r="AE303">
        <f>IF([2]Baskol!$O$306="","",[2]Baskol!$O$306)</f>
        <v/>
      </c>
      <c r="AG303">
        <f>IF([3]Entry!$C$306="","",[3]Entry!$C$306)</f>
        <v/>
      </c>
      <c r="AH303">
        <f>IF([3]Entry!$D$306="","",[3]Entry!$D$306)</f>
        <v/>
      </c>
      <c r="AI303">
        <f>IF([3]Entry!$E$306="","",[3]Entry!$E$306)</f>
        <v/>
      </c>
      <c r="AJ303">
        <f>IF([3]Entry!$G$306="","",[3]Entry!$G$306)</f>
        <v/>
      </c>
      <c r="AK303">
        <f>IF([3]Entry!$K$306="","",[3]Entry!$K$306)</f>
        <v/>
      </c>
      <c r="AL303">
        <f>IF([3]Entry!$L$306="","",[3]Entry!$L$306)</f>
        <v/>
      </c>
      <c r="AM303">
        <f>IF([3]Entry!$M$306="","",[3]Entry!$M$306)</f>
        <v/>
      </c>
      <c r="AN303">
        <f>IF([3]Entry!$N$306="","",[3]Entry!$N$306)</f>
        <v/>
      </c>
      <c r="AO303">
        <f>IF([3]Entry!$R$306="","",[3]Entry!$R$306)</f>
        <v/>
      </c>
      <c r="AQ303">
        <f>IF(AND($D303&lt;&gt;"",$A303&lt;&gt;""),1,0)</f>
        <v/>
      </c>
      <c r="AR303">
        <f>SUM($AQ$6:$AQ303)</f>
        <v/>
      </c>
      <c r="AS303">
        <f>IFERROR(INDEX($A$6:$A$565,MATCH(ROW()-5,$AR$6:$AR$565,0)),"")</f>
        <v/>
      </c>
    </row>
    <row r="304">
      <c r="A304">
        <f>IF([1]Accounts!$D$305="","",[1]Accounts!$A$305)</f>
        <v/>
      </c>
      <c r="B304">
        <f>IF([1]Accounts!$D$305="","",[1]Accounts!$B$305)</f>
        <v/>
      </c>
      <c r="C304">
        <f>IF([1]Accounts!$D$305="","",[1]Accounts!$C$305)</f>
        <v/>
      </c>
      <c r="D304">
        <f>IF([1]Accounts!$D$305="","",[1]Accounts!$D$305)</f>
        <v/>
      </c>
      <c r="E304">
        <f>IF([1]Accounts!$D$305="","",[1]Accounts!$J$305)</f>
        <v/>
      </c>
      <c r="F304">
        <f>IF([1]Accounts!$D$305="","",[1]Accounts!$K$305)</f>
        <v/>
      </c>
      <c r="U304">
        <f>IF([2]Baskol!$B$307="","",[2]Baskol!$B$307)</f>
        <v/>
      </c>
      <c r="V304">
        <f>IF([2]Baskol!$C$307="","",[2]Baskol!$C$307)</f>
        <v/>
      </c>
      <c r="W304">
        <f>IF([2]Baskol!$D$307="","",[2]Baskol!$D$307)</f>
        <v/>
      </c>
      <c r="X304">
        <f>IF([2]Baskol!$E$307="","",[2]Baskol!$E$307)</f>
        <v/>
      </c>
      <c r="Y304">
        <f>IF([2]Baskol!$G$307="","",[2]Baskol!$G$307)</f>
        <v/>
      </c>
      <c r="Z304">
        <f>IF([2]Baskol!$I$307="","",[2]Baskol!$I$307)</f>
        <v/>
      </c>
      <c r="AA304">
        <f>IF([2]Baskol!$J$307="","",[2]Baskol!$J$307)</f>
        <v/>
      </c>
      <c r="AB304">
        <f>IF([2]Baskol!$K$307="","",[2]Baskol!$K$307)</f>
        <v/>
      </c>
      <c r="AC304">
        <f>IF([2]Baskol!$L$307="","",[2]Baskol!$L$307)</f>
        <v/>
      </c>
      <c r="AD304">
        <f>IF([2]Baskol!$N$307="","",[2]Baskol!$N$307)</f>
        <v/>
      </c>
      <c r="AE304">
        <f>IF([2]Baskol!$O$307="","",[2]Baskol!$O$307)</f>
        <v/>
      </c>
      <c r="AG304">
        <f>IF([3]Entry!$C$307="","",[3]Entry!$C$307)</f>
        <v/>
      </c>
      <c r="AH304">
        <f>IF([3]Entry!$D$307="","",[3]Entry!$D$307)</f>
        <v/>
      </c>
      <c r="AI304">
        <f>IF([3]Entry!$E$307="","",[3]Entry!$E$307)</f>
        <v/>
      </c>
      <c r="AJ304">
        <f>IF([3]Entry!$G$307="","",[3]Entry!$G$307)</f>
        <v/>
      </c>
      <c r="AK304">
        <f>IF([3]Entry!$K$307="","",[3]Entry!$K$307)</f>
        <v/>
      </c>
      <c r="AL304">
        <f>IF([3]Entry!$L$307="","",[3]Entry!$L$307)</f>
        <v/>
      </c>
      <c r="AM304">
        <f>IF([3]Entry!$M$307="","",[3]Entry!$M$307)</f>
        <v/>
      </c>
      <c r="AN304">
        <f>IF([3]Entry!$N$307="","",[3]Entry!$N$307)</f>
        <v/>
      </c>
      <c r="AO304">
        <f>IF([3]Entry!$R$307="","",[3]Entry!$R$307)</f>
        <v/>
      </c>
      <c r="AQ304">
        <f>IF(AND($D304&lt;&gt;"",$A304&lt;&gt;""),1,0)</f>
        <v/>
      </c>
      <c r="AR304">
        <f>SUM($AQ$6:$AQ304)</f>
        <v/>
      </c>
      <c r="AS304">
        <f>IFERROR(INDEX($A$6:$A$565,MATCH(ROW()-5,$AR$6:$AR$565,0)),"")</f>
        <v/>
      </c>
    </row>
    <row r="305">
      <c r="A305">
        <f>IF([1]Accounts!$D$306="","",[1]Accounts!$A$306)</f>
        <v/>
      </c>
      <c r="B305">
        <f>IF([1]Accounts!$D$306="","",[1]Accounts!$B$306)</f>
        <v/>
      </c>
      <c r="C305">
        <f>IF([1]Accounts!$D$306="","",[1]Accounts!$C$306)</f>
        <v/>
      </c>
      <c r="D305">
        <f>IF([1]Accounts!$D$306="","",[1]Accounts!$D$306)</f>
        <v/>
      </c>
      <c r="E305">
        <f>IF([1]Accounts!$D$306="","",[1]Accounts!$J$306)</f>
        <v/>
      </c>
      <c r="F305">
        <f>IF([1]Accounts!$D$306="","",[1]Accounts!$K$306)</f>
        <v/>
      </c>
      <c r="U305">
        <f>IF([2]Baskol!$B$308="","",[2]Baskol!$B$308)</f>
        <v/>
      </c>
      <c r="V305">
        <f>IF([2]Baskol!$C$308="","",[2]Baskol!$C$308)</f>
        <v/>
      </c>
      <c r="W305">
        <f>IF([2]Baskol!$D$308="","",[2]Baskol!$D$308)</f>
        <v/>
      </c>
      <c r="X305">
        <f>IF([2]Baskol!$E$308="","",[2]Baskol!$E$308)</f>
        <v/>
      </c>
      <c r="Y305">
        <f>IF([2]Baskol!$G$308="","",[2]Baskol!$G$308)</f>
        <v/>
      </c>
      <c r="Z305">
        <f>IF([2]Baskol!$I$308="","",[2]Baskol!$I$308)</f>
        <v/>
      </c>
      <c r="AA305">
        <f>IF([2]Baskol!$J$308="","",[2]Baskol!$J$308)</f>
        <v/>
      </c>
      <c r="AB305">
        <f>IF([2]Baskol!$K$308="","",[2]Baskol!$K$308)</f>
        <v/>
      </c>
      <c r="AC305">
        <f>IF([2]Baskol!$L$308="","",[2]Baskol!$L$308)</f>
        <v/>
      </c>
      <c r="AD305">
        <f>IF([2]Baskol!$N$308="","",[2]Baskol!$N$308)</f>
        <v/>
      </c>
      <c r="AE305">
        <f>IF([2]Baskol!$O$308="","",[2]Baskol!$O$308)</f>
        <v/>
      </c>
      <c r="AG305">
        <f>IF([3]Entry!$C$308="","",[3]Entry!$C$308)</f>
        <v/>
      </c>
      <c r="AH305">
        <f>IF([3]Entry!$D$308="","",[3]Entry!$D$308)</f>
        <v/>
      </c>
      <c r="AI305">
        <f>IF([3]Entry!$E$308="","",[3]Entry!$E$308)</f>
        <v/>
      </c>
      <c r="AJ305">
        <f>IF([3]Entry!$G$308="","",[3]Entry!$G$308)</f>
        <v/>
      </c>
      <c r="AK305">
        <f>IF([3]Entry!$K$308="","",[3]Entry!$K$308)</f>
        <v/>
      </c>
      <c r="AL305">
        <f>IF([3]Entry!$L$308="","",[3]Entry!$L$308)</f>
        <v/>
      </c>
      <c r="AM305">
        <f>IF([3]Entry!$M$308="","",[3]Entry!$M$308)</f>
        <v/>
      </c>
      <c r="AN305">
        <f>IF([3]Entry!$N$308="","",[3]Entry!$N$308)</f>
        <v/>
      </c>
      <c r="AO305">
        <f>IF([3]Entry!$R$308="","",[3]Entry!$R$308)</f>
        <v/>
      </c>
      <c r="AQ305">
        <f>IF(AND($D305&lt;&gt;"",$A305&lt;&gt;""),1,0)</f>
        <v/>
      </c>
      <c r="AR305">
        <f>SUM($AQ$6:$AQ305)</f>
        <v/>
      </c>
      <c r="AS305">
        <f>IFERROR(INDEX($A$6:$A$565,MATCH(ROW()-5,$AR$6:$AR$565,0)),"")</f>
        <v/>
      </c>
    </row>
    <row r="306">
      <c r="A306">
        <f>IF([1]Accounts!$D$307="","",[1]Accounts!$A$307)</f>
        <v/>
      </c>
      <c r="B306">
        <f>IF([1]Accounts!$D$307="","",[1]Accounts!$B$307)</f>
        <v/>
      </c>
      <c r="C306">
        <f>IF([1]Accounts!$D$307="","",[1]Accounts!$C$307)</f>
        <v/>
      </c>
      <c r="D306">
        <f>IF([1]Accounts!$D$307="","",[1]Accounts!$D$307)</f>
        <v/>
      </c>
      <c r="E306">
        <f>IF([1]Accounts!$D$307="","",[1]Accounts!$J$307)</f>
        <v/>
      </c>
      <c r="F306">
        <f>IF([1]Accounts!$D$307="","",[1]Accounts!$K$307)</f>
        <v/>
      </c>
      <c r="U306">
        <f>IF([2]Baskol!$B$309="","",[2]Baskol!$B$309)</f>
        <v/>
      </c>
      <c r="V306">
        <f>IF([2]Baskol!$C$309="","",[2]Baskol!$C$309)</f>
        <v/>
      </c>
      <c r="W306">
        <f>IF([2]Baskol!$D$309="","",[2]Baskol!$D$309)</f>
        <v/>
      </c>
      <c r="X306">
        <f>IF([2]Baskol!$E$309="","",[2]Baskol!$E$309)</f>
        <v/>
      </c>
      <c r="Y306">
        <f>IF([2]Baskol!$G$309="","",[2]Baskol!$G$309)</f>
        <v/>
      </c>
      <c r="Z306">
        <f>IF([2]Baskol!$I$309="","",[2]Baskol!$I$309)</f>
        <v/>
      </c>
      <c r="AA306">
        <f>IF([2]Baskol!$J$309="","",[2]Baskol!$J$309)</f>
        <v/>
      </c>
      <c r="AB306">
        <f>IF([2]Baskol!$K$309="","",[2]Baskol!$K$309)</f>
        <v/>
      </c>
      <c r="AC306">
        <f>IF([2]Baskol!$L$309="","",[2]Baskol!$L$309)</f>
        <v/>
      </c>
      <c r="AD306">
        <f>IF([2]Baskol!$N$309="","",[2]Baskol!$N$309)</f>
        <v/>
      </c>
      <c r="AE306">
        <f>IF([2]Baskol!$O$309="","",[2]Baskol!$O$309)</f>
        <v/>
      </c>
      <c r="AG306">
        <f>IF([3]Entry!$C$309="","",[3]Entry!$C$309)</f>
        <v/>
      </c>
      <c r="AH306">
        <f>IF([3]Entry!$D$309="","",[3]Entry!$D$309)</f>
        <v/>
      </c>
      <c r="AI306">
        <f>IF([3]Entry!$E$309="","",[3]Entry!$E$309)</f>
        <v/>
      </c>
      <c r="AJ306">
        <f>IF([3]Entry!$G$309="","",[3]Entry!$G$309)</f>
        <v/>
      </c>
      <c r="AK306">
        <f>IF([3]Entry!$K$309="","",[3]Entry!$K$309)</f>
        <v/>
      </c>
      <c r="AL306">
        <f>IF([3]Entry!$L$309="","",[3]Entry!$L$309)</f>
        <v/>
      </c>
      <c r="AM306">
        <f>IF([3]Entry!$M$309="","",[3]Entry!$M$309)</f>
        <v/>
      </c>
      <c r="AN306">
        <f>IF([3]Entry!$N$309="","",[3]Entry!$N$309)</f>
        <v/>
      </c>
      <c r="AO306">
        <f>IF([3]Entry!$R$309="","",[3]Entry!$R$309)</f>
        <v/>
      </c>
      <c r="AQ306">
        <f>IF(AND($D306&lt;&gt;"",$A306&lt;&gt;""),1,0)</f>
        <v/>
      </c>
      <c r="AR306">
        <f>SUM($AQ$6:$AQ306)</f>
        <v/>
      </c>
      <c r="AS306">
        <f>IFERROR(INDEX($A$6:$A$565,MATCH(ROW()-5,$AR$6:$AR$565,0)),"")</f>
        <v/>
      </c>
    </row>
    <row r="307">
      <c r="A307">
        <f>IF([1]Accounts!$D$308="","",[1]Accounts!$A$308)</f>
        <v/>
      </c>
      <c r="B307">
        <f>IF([1]Accounts!$D$308="","",[1]Accounts!$B$308)</f>
        <v/>
      </c>
      <c r="C307">
        <f>IF([1]Accounts!$D$308="","",[1]Accounts!$C$308)</f>
        <v/>
      </c>
      <c r="D307">
        <f>IF([1]Accounts!$D$308="","",[1]Accounts!$D$308)</f>
        <v/>
      </c>
      <c r="E307">
        <f>IF([1]Accounts!$D$308="","",[1]Accounts!$J$308)</f>
        <v/>
      </c>
      <c r="F307">
        <f>IF([1]Accounts!$D$308="","",[1]Accounts!$K$308)</f>
        <v/>
      </c>
      <c r="U307">
        <f>IF([2]Baskol!$B$310="","",[2]Baskol!$B$310)</f>
        <v/>
      </c>
      <c r="V307">
        <f>IF([2]Baskol!$C$310="","",[2]Baskol!$C$310)</f>
        <v/>
      </c>
      <c r="W307">
        <f>IF([2]Baskol!$D$310="","",[2]Baskol!$D$310)</f>
        <v/>
      </c>
      <c r="X307">
        <f>IF([2]Baskol!$E$310="","",[2]Baskol!$E$310)</f>
        <v/>
      </c>
      <c r="Y307">
        <f>IF([2]Baskol!$G$310="","",[2]Baskol!$G$310)</f>
        <v/>
      </c>
      <c r="Z307">
        <f>IF([2]Baskol!$I$310="","",[2]Baskol!$I$310)</f>
        <v/>
      </c>
      <c r="AA307">
        <f>IF([2]Baskol!$J$310="","",[2]Baskol!$J$310)</f>
        <v/>
      </c>
      <c r="AB307">
        <f>IF([2]Baskol!$K$310="","",[2]Baskol!$K$310)</f>
        <v/>
      </c>
      <c r="AC307">
        <f>IF([2]Baskol!$L$310="","",[2]Baskol!$L$310)</f>
        <v/>
      </c>
      <c r="AD307">
        <f>IF([2]Baskol!$N$310="","",[2]Baskol!$N$310)</f>
        <v/>
      </c>
      <c r="AE307">
        <f>IF([2]Baskol!$O$310="","",[2]Baskol!$O$310)</f>
        <v/>
      </c>
      <c r="AG307">
        <f>IF([3]Entry!$C$310="","",[3]Entry!$C$310)</f>
        <v/>
      </c>
      <c r="AH307">
        <f>IF([3]Entry!$D$310="","",[3]Entry!$D$310)</f>
        <v/>
      </c>
      <c r="AI307">
        <f>IF([3]Entry!$E$310="","",[3]Entry!$E$310)</f>
        <v/>
      </c>
      <c r="AJ307">
        <f>IF([3]Entry!$G$310="","",[3]Entry!$G$310)</f>
        <v/>
      </c>
      <c r="AK307">
        <f>IF([3]Entry!$K$310="","",[3]Entry!$K$310)</f>
        <v/>
      </c>
      <c r="AL307">
        <f>IF([3]Entry!$L$310="","",[3]Entry!$L$310)</f>
        <v/>
      </c>
      <c r="AM307">
        <f>IF([3]Entry!$M$310="","",[3]Entry!$M$310)</f>
        <v/>
      </c>
      <c r="AN307">
        <f>IF([3]Entry!$N$310="","",[3]Entry!$N$310)</f>
        <v/>
      </c>
      <c r="AO307">
        <f>IF([3]Entry!$R$310="","",[3]Entry!$R$310)</f>
        <v/>
      </c>
      <c r="AQ307">
        <f>IF(AND($D307&lt;&gt;"",$A307&lt;&gt;""),1,0)</f>
        <v/>
      </c>
      <c r="AR307">
        <f>SUM($AQ$6:$AQ307)</f>
        <v/>
      </c>
      <c r="AS307">
        <f>IFERROR(INDEX($A$6:$A$565,MATCH(ROW()-5,$AR$6:$AR$565,0)),"")</f>
        <v/>
      </c>
    </row>
    <row r="308">
      <c r="A308">
        <f>IF([1]Accounts!$D$309="","",[1]Accounts!$A$309)</f>
        <v/>
      </c>
      <c r="B308">
        <f>IF([1]Accounts!$D$309="","",[1]Accounts!$B$309)</f>
        <v/>
      </c>
      <c r="C308">
        <f>IF([1]Accounts!$D$309="","",[1]Accounts!$C$309)</f>
        <v/>
      </c>
      <c r="D308">
        <f>IF([1]Accounts!$D$309="","",[1]Accounts!$D$309)</f>
        <v/>
      </c>
      <c r="E308">
        <f>IF([1]Accounts!$D$309="","",[1]Accounts!$J$309)</f>
        <v/>
      </c>
      <c r="F308">
        <f>IF([1]Accounts!$D$309="","",[1]Accounts!$K$309)</f>
        <v/>
      </c>
      <c r="U308">
        <f>IF([2]Baskol!$B$311="","",[2]Baskol!$B$311)</f>
        <v/>
      </c>
      <c r="V308">
        <f>IF([2]Baskol!$C$311="","",[2]Baskol!$C$311)</f>
        <v/>
      </c>
      <c r="W308">
        <f>IF([2]Baskol!$D$311="","",[2]Baskol!$D$311)</f>
        <v/>
      </c>
      <c r="X308">
        <f>IF([2]Baskol!$E$311="","",[2]Baskol!$E$311)</f>
        <v/>
      </c>
      <c r="Y308">
        <f>IF([2]Baskol!$G$311="","",[2]Baskol!$G$311)</f>
        <v/>
      </c>
      <c r="Z308">
        <f>IF([2]Baskol!$I$311="","",[2]Baskol!$I$311)</f>
        <v/>
      </c>
      <c r="AA308">
        <f>IF([2]Baskol!$J$311="","",[2]Baskol!$J$311)</f>
        <v/>
      </c>
      <c r="AB308">
        <f>IF([2]Baskol!$K$311="","",[2]Baskol!$K$311)</f>
        <v/>
      </c>
      <c r="AC308">
        <f>IF([2]Baskol!$L$311="","",[2]Baskol!$L$311)</f>
        <v/>
      </c>
      <c r="AD308">
        <f>IF([2]Baskol!$N$311="","",[2]Baskol!$N$311)</f>
        <v/>
      </c>
      <c r="AE308">
        <f>IF([2]Baskol!$O$311="","",[2]Baskol!$O$311)</f>
        <v/>
      </c>
      <c r="AG308">
        <f>IF([3]Entry!$C$311="","",[3]Entry!$C$311)</f>
        <v/>
      </c>
      <c r="AH308">
        <f>IF([3]Entry!$D$311="","",[3]Entry!$D$311)</f>
        <v/>
      </c>
      <c r="AI308">
        <f>IF([3]Entry!$E$311="","",[3]Entry!$E$311)</f>
        <v/>
      </c>
      <c r="AJ308">
        <f>IF([3]Entry!$G$311="","",[3]Entry!$G$311)</f>
        <v/>
      </c>
      <c r="AK308">
        <f>IF([3]Entry!$K$311="","",[3]Entry!$K$311)</f>
        <v/>
      </c>
      <c r="AL308">
        <f>IF([3]Entry!$L$311="","",[3]Entry!$L$311)</f>
        <v/>
      </c>
      <c r="AM308">
        <f>IF([3]Entry!$M$311="","",[3]Entry!$M$311)</f>
        <v/>
      </c>
      <c r="AN308">
        <f>IF([3]Entry!$N$311="","",[3]Entry!$N$311)</f>
        <v/>
      </c>
      <c r="AO308">
        <f>IF([3]Entry!$R$311="","",[3]Entry!$R$311)</f>
        <v/>
      </c>
      <c r="AQ308">
        <f>IF(AND($D308&lt;&gt;"",$A308&lt;&gt;""),1,0)</f>
        <v/>
      </c>
      <c r="AR308">
        <f>SUM($AQ$6:$AQ308)</f>
        <v/>
      </c>
      <c r="AS308">
        <f>IFERROR(INDEX($A$6:$A$565,MATCH(ROW()-5,$AR$6:$AR$565,0)),"")</f>
        <v/>
      </c>
    </row>
    <row r="309">
      <c r="A309">
        <f>IF([1]Accounts!$D$310="","",[1]Accounts!$A$310)</f>
        <v/>
      </c>
      <c r="B309">
        <f>IF([1]Accounts!$D$310="","",[1]Accounts!$B$310)</f>
        <v/>
      </c>
      <c r="C309">
        <f>IF([1]Accounts!$D$310="","",[1]Accounts!$C$310)</f>
        <v/>
      </c>
      <c r="D309">
        <f>IF([1]Accounts!$D$310="","",[1]Accounts!$D$310)</f>
        <v/>
      </c>
      <c r="E309">
        <f>IF([1]Accounts!$D$310="","",[1]Accounts!$J$310)</f>
        <v/>
      </c>
      <c r="F309">
        <f>IF([1]Accounts!$D$310="","",[1]Accounts!$K$310)</f>
        <v/>
      </c>
      <c r="U309">
        <f>IF([2]Baskol!$B$312="","",[2]Baskol!$B$312)</f>
        <v/>
      </c>
      <c r="V309">
        <f>IF([2]Baskol!$C$312="","",[2]Baskol!$C$312)</f>
        <v/>
      </c>
      <c r="W309">
        <f>IF([2]Baskol!$D$312="","",[2]Baskol!$D$312)</f>
        <v/>
      </c>
      <c r="X309">
        <f>IF([2]Baskol!$E$312="","",[2]Baskol!$E$312)</f>
        <v/>
      </c>
      <c r="Y309">
        <f>IF([2]Baskol!$G$312="","",[2]Baskol!$G$312)</f>
        <v/>
      </c>
      <c r="Z309">
        <f>IF([2]Baskol!$I$312="","",[2]Baskol!$I$312)</f>
        <v/>
      </c>
      <c r="AA309">
        <f>IF([2]Baskol!$J$312="","",[2]Baskol!$J$312)</f>
        <v/>
      </c>
      <c r="AB309">
        <f>IF([2]Baskol!$K$312="","",[2]Baskol!$K$312)</f>
        <v/>
      </c>
      <c r="AC309">
        <f>IF([2]Baskol!$L$312="","",[2]Baskol!$L$312)</f>
        <v/>
      </c>
      <c r="AD309">
        <f>IF([2]Baskol!$N$312="","",[2]Baskol!$N$312)</f>
        <v/>
      </c>
      <c r="AE309">
        <f>IF([2]Baskol!$O$312="","",[2]Baskol!$O$312)</f>
        <v/>
      </c>
      <c r="AG309">
        <f>IF([3]Entry!$C$312="","",[3]Entry!$C$312)</f>
        <v/>
      </c>
      <c r="AH309">
        <f>IF([3]Entry!$D$312="","",[3]Entry!$D$312)</f>
        <v/>
      </c>
      <c r="AI309">
        <f>IF([3]Entry!$E$312="","",[3]Entry!$E$312)</f>
        <v/>
      </c>
      <c r="AJ309">
        <f>IF([3]Entry!$G$312="","",[3]Entry!$G$312)</f>
        <v/>
      </c>
      <c r="AK309">
        <f>IF([3]Entry!$K$312="","",[3]Entry!$K$312)</f>
        <v/>
      </c>
      <c r="AL309">
        <f>IF([3]Entry!$L$312="","",[3]Entry!$L$312)</f>
        <v/>
      </c>
      <c r="AM309">
        <f>IF([3]Entry!$M$312="","",[3]Entry!$M$312)</f>
        <v/>
      </c>
      <c r="AN309">
        <f>IF([3]Entry!$N$312="","",[3]Entry!$N$312)</f>
        <v/>
      </c>
      <c r="AO309">
        <f>IF([3]Entry!$R$312="","",[3]Entry!$R$312)</f>
        <v/>
      </c>
      <c r="AQ309">
        <f>IF(AND($D309&lt;&gt;"",$A309&lt;&gt;""),1,0)</f>
        <v/>
      </c>
      <c r="AR309">
        <f>SUM($AQ$6:$AQ309)</f>
        <v/>
      </c>
      <c r="AS309">
        <f>IFERROR(INDEX($A$6:$A$565,MATCH(ROW()-5,$AR$6:$AR$565,0)),"")</f>
        <v/>
      </c>
    </row>
    <row r="310">
      <c r="A310">
        <f>IF([1]Accounts!$D$311="","",[1]Accounts!$A$311)</f>
        <v/>
      </c>
      <c r="B310">
        <f>IF([1]Accounts!$D$311="","",[1]Accounts!$B$311)</f>
        <v/>
      </c>
      <c r="C310">
        <f>IF([1]Accounts!$D$311="","",[1]Accounts!$C$311)</f>
        <v/>
      </c>
      <c r="D310">
        <f>IF([1]Accounts!$D$311="","",[1]Accounts!$D$311)</f>
        <v/>
      </c>
      <c r="E310">
        <f>IF([1]Accounts!$D$311="","",[1]Accounts!$J$311)</f>
        <v/>
      </c>
      <c r="F310">
        <f>IF([1]Accounts!$D$311="","",[1]Accounts!$K$311)</f>
        <v/>
      </c>
      <c r="U310">
        <f>IF([2]Baskol!$B$313="","",[2]Baskol!$B$313)</f>
        <v/>
      </c>
      <c r="V310">
        <f>IF([2]Baskol!$C$313="","",[2]Baskol!$C$313)</f>
        <v/>
      </c>
      <c r="W310">
        <f>IF([2]Baskol!$D$313="","",[2]Baskol!$D$313)</f>
        <v/>
      </c>
      <c r="X310">
        <f>IF([2]Baskol!$E$313="","",[2]Baskol!$E$313)</f>
        <v/>
      </c>
      <c r="Y310">
        <f>IF([2]Baskol!$G$313="","",[2]Baskol!$G$313)</f>
        <v/>
      </c>
      <c r="Z310">
        <f>IF([2]Baskol!$I$313="","",[2]Baskol!$I$313)</f>
        <v/>
      </c>
      <c r="AA310">
        <f>IF([2]Baskol!$J$313="","",[2]Baskol!$J$313)</f>
        <v/>
      </c>
      <c r="AB310">
        <f>IF([2]Baskol!$K$313="","",[2]Baskol!$K$313)</f>
        <v/>
      </c>
      <c r="AC310">
        <f>IF([2]Baskol!$L$313="","",[2]Baskol!$L$313)</f>
        <v/>
      </c>
      <c r="AD310">
        <f>IF([2]Baskol!$N$313="","",[2]Baskol!$N$313)</f>
        <v/>
      </c>
      <c r="AE310">
        <f>IF([2]Baskol!$O$313="","",[2]Baskol!$O$313)</f>
        <v/>
      </c>
      <c r="AG310">
        <f>IF([3]Entry!$C$313="","",[3]Entry!$C$313)</f>
        <v/>
      </c>
      <c r="AH310">
        <f>IF([3]Entry!$D$313="","",[3]Entry!$D$313)</f>
        <v/>
      </c>
      <c r="AI310">
        <f>IF([3]Entry!$E$313="","",[3]Entry!$E$313)</f>
        <v/>
      </c>
      <c r="AJ310">
        <f>IF([3]Entry!$G$313="","",[3]Entry!$G$313)</f>
        <v/>
      </c>
      <c r="AK310">
        <f>IF([3]Entry!$K$313="","",[3]Entry!$K$313)</f>
        <v/>
      </c>
      <c r="AL310">
        <f>IF([3]Entry!$L$313="","",[3]Entry!$L$313)</f>
        <v/>
      </c>
      <c r="AM310">
        <f>IF([3]Entry!$M$313="","",[3]Entry!$M$313)</f>
        <v/>
      </c>
      <c r="AN310">
        <f>IF([3]Entry!$N$313="","",[3]Entry!$N$313)</f>
        <v/>
      </c>
      <c r="AO310">
        <f>IF([3]Entry!$R$313="","",[3]Entry!$R$313)</f>
        <v/>
      </c>
      <c r="AQ310">
        <f>IF(AND($D310&lt;&gt;"",$A310&lt;&gt;""),1,0)</f>
        <v/>
      </c>
      <c r="AR310">
        <f>SUM($AQ$6:$AQ310)</f>
        <v/>
      </c>
      <c r="AS310">
        <f>IFERROR(INDEX($A$6:$A$565,MATCH(ROW()-5,$AR$6:$AR$565,0)),"")</f>
        <v/>
      </c>
    </row>
    <row r="311">
      <c r="A311">
        <f>IF([1]Accounts!$D$312="","",[1]Accounts!$A$312)</f>
        <v/>
      </c>
      <c r="B311">
        <f>IF([1]Accounts!$D$312="","",[1]Accounts!$B$312)</f>
        <v/>
      </c>
      <c r="C311">
        <f>IF([1]Accounts!$D$312="","",[1]Accounts!$C$312)</f>
        <v/>
      </c>
      <c r="D311">
        <f>IF([1]Accounts!$D$312="","",[1]Accounts!$D$312)</f>
        <v/>
      </c>
      <c r="E311">
        <f>IF([1]Accounts!$D$312="","",[1]Accounts!$J$312)</f>
        <v/>
      </c>
      <c r="F311">
        <f>IF([1]Accounts!$D$312="","",[1]Accounts!$K$312)</f>
        <v/>
      </c>
      <c r="U311">
        <f>IF([2]Baskol!$B$314="","",[2]Baskol!$B$314)</f>
        <v/>
      </c>
      <c r="V311">
        <f>IF([2]Baskol!$C$314="","",[2]Baskol!$C$314)</f>
        <v/>
      </c>
      <c r="W311">
        <f>IF([2]Baskol!$D$314="","",[2]Baskol!$D$314)</f>
        <v/>
      </c>
      <c r="X311">
        <f>IF([2]Baskol!$E$314="","",[2]Baskol!$E$314)</f>
        <v/>
      </c>
      <c r="Y311">
        <f>IF([2]Baskol!$G$314="","",[2]Baskol!$G$314)</f>
        <v/>
      </c>
      <c r="Z311">
        <f>IF([2]Baskol!$I$314="","",[2]Baskol!$I$314)</f>
        <v/>
      </c>
      <c r="AA311">
        <f>IF([2]Baskol!$J$314="","",[2]Baskol!$J$314)</f>
        <v/>
      </c>
      <c r="AB311">
        <f>IF([2]Baskol!$K$314="","",[2]Baskol!$K$314)</f>
        <v/>
      </c>
      <c r="AC311">
        <f>IF([2]Baskol!$L$314="","",[2]Baskol!$L$314)</f>
        <v/>
      </c>
      <c r="AD311">
        <f>IF([2]Baskol!$N$314="","",[2]Baskol!$N$314)</f>
        <v/>
      </c>
      <c r="AE311">
        <f>IF([2]Baskol!$O$314="","",[2]Baskol!$O$314)</f>
        <v/>
      </c>
      <c r="AG311">
        <f>IF([3]Entry!$C$314="","",[3]Entry!$C$314)</f>
        <v/>
      </c>
      <c r="AH311">
        <f>IF([3]Entry!$D$314="","",[3]Entry!$D$314)</f>
        <v/>
      </c>
      <c r="AI311">
        <f>IF([3]Entry!$E$314="","",[3]Entry!$E$314)</f>
        <v/>
      </c>
      <c r="AJ311">
        <f>IF([3]Entry!$G$314="","",[3]Entry!$G$314)</f>
        <v/>
      </c>
      <c r="AK311">
        <f>IF([3]Entry!$K$314="","",[3]Entry!$K$314)</f>
        <v/>
      </c>
      <c r="AL311">
        <f>IF([3]Entry!$L$314="","",[3]Entry!$L$314)</f>
        <v/>
      </c>
      <c r="AM311">
        <f>IF([3]Entry!$M$314="","",[3]Entry!$M$314)</f>
        <v/>
      </c>
      <c r="AN311">
        <f>IF([3]Entry!$N$314="","",[3]Entry!$N$314)</f>
        <v/>
      </c>
      <c r="AO311">
        <f>IF([3]Entry!$R$314="","",[3]Entry!$R$314)</f>
        <v/>
      </c>
      <c r="AQ311">
        <f>IF(AND($D311&lt;&gt;"",$A311&lt;&gt;""),1,0)</f>
        <v/>
      </c>
      <c r="AR311">
        <f>SUM($AQ$6:$AQ311)</f>
        <v/>
      </c>
      <c r="AS311">
        <f>IFERROR(INDEX($A$6:$A$565,MATCH(ROW()-5,$AR$6:$AR$565,0)),"")</f>
        <v/>
      </c>
    </row>
    <row r="312">
      <c r="A312">
        <f>IF([1]Accounts!$D$313="","",[1]Accounts!$A$313)</f>
        <v/>
      </c>
      <c r="B312">
        <f>IF([1]Accounts!$D$313="","",[1]Accounts!$B$313)</f>
        <v/>
      </c>
      <c r="C312">
        <f>IF([1]Accounts!$D$313="","",[1]Accounts!$C$313)</f>
        <v/>
      </c>
      <c r="D312">
        <f>IF([1]Accounts!$D$313="","",[1]Accounts!$D$313)</f>
        <v/>
      </c>
      <c r="E312">
        <f>IF([1]Accounts!$D$313="","",[1]Accounts!$J$313)</f>
        <v/>
      </c>
      <c r="F312">
        <f>IF([1]Accounts!$D$313="","",[1]Accounts!$K$313)</f>
        <v/>
      </c>
      <c r="U312">
        <f>IF([2]Baskol!$B$315="","",[2]Baskol!$B$315)</f>
        <v/>
      </c>
      <c r="V312">
        <f>IF([2]Baskol!$C$315="","",[2]Baskol!$C$315)</f>
        <v/>
      </c>
      <c r="W312">
        <f>IF([2]Baskol!$D$315="","",[2]Baskol!$D$315)</f>
        <v/>
      </c>
      <c r="X312">
        <f>IF([2]Baskol!$E$315="","",[2]Baskol!$E$315)</f>
        <v/>
      </c>
      <c r="Y312">
        <f>IF([2]Baskol!$G$315="","",[2]Baskol!$G$315)</f>
        <v/>
      </c>
      <c r="Z312">
        <f>IF([2]Baskol!$I$315="","",[2]Baskol!$I$315)</f>
        <v/>
      </c>
      <c r="AA312">
        <f>IF([2]Baskol!$J$315="","",[2]Baskol!$J$315)</f>
        <v/>
      </c>
      <c r="AB312">
        <f>IF([2]Baskol!$K$315="","",[2]Baskol!$K$315)</f>
        <v/>
      </c>
      <c r="AC312">
        <f>IF([2]Baskol!$L$315="","",[2]Baskol!$L$315)</f>
        <v/>
      </c>
      <c r="AD312">
        <f>IF([2]Baskol!$N$315="","",[2]Baskol!$N$315)</f>
        <v/>
      </c>
      <c r="AE312">
        <f>IF([2]Baskol!$O$315="","",[2]Baskol!$O$315)</f>
        <v/>
      </c>
      <c r="AG312">
        <f>IF([3]Entry!$C$315="","",[3]Entry!$C$315)</f>
        <v/>
      </c>
      <c r="AH312">
        <f>IF([3]Entry!$D$315="","",[3]Entry!$D$315)</f>
        <v/>
      </c>
      <c r="AI312">
        <f>IF([3]Entry!$E$315="","",[3]Entry!$E$315)</f>
        <v/>
      </c>
      <c r="AJ312">
        <f>IF([3]Entry!$G$315="","",[3]Entry!$G$315)</f>
        <v/>
      </c>
      <c r="AK312">
        <f>IF([3]Entry!$K$315="","",[3]Entry!$K$315)</f>
        <v/>
      </c>
      <c r="AL312">
        <f>IF([3]Entry!$L$315="","",[3]Entry!$L$315)</f>
        <v/>
      </c>
      <c r="AM312">
        <f>IF([3]Entry!$M$315="","",[3]Entry!$M$315)</f>
        <v/>
      </c>
      <c r="AN312">
        <f>IF([3]Entry!$N$315="","",[3]Entry!$N$315)</f>
        <v/>
      </c>
      <c r="AO312">
        <f>IF([3]Entry!$R$315="","",[3]Entry!$R$315)</f>
        <v/>
      </c>
      <c r="AQ312">
        <f>IF(AND($D312&lt;&gt;"",$A312&lt;&gt;""),1,0)</f>
        <v/>
      </c>
      <c r="AR312">
        <f>SUM($AQ$6:$AQ312)</f>
        <v/>
      </c>
      <c r="AS312">
        <f>IFERROR(INDEX($A$6:$A$565,MATCH(ROW()-5,$AR$6:$AR$565,0)),"")</f>
        <v/>
      </c>
    </row>
    <row r="313">
      <c r="A313">
        <f>IF([1]Accounts!$D$314="","",[1]Accounts!$A$314)</f>
        <v/>
      </c>
      <c r="B313">
        <f>IF([1]Accounts!$D$314="","",[1]Accounts!$B$314)</f>
        <v/>
      </c>
      <c r="C313">
        <f>IF([1]Accounts!$D$314="","",[1]Accounts!$C$314)</f>
        <v/>
      </c>
      <c r="D313">
        <f>IF([1]Accounts!$D$314="","",[1]Accounts!$D$314)</f>
        <v/>
      </c>
      <c r="E313">
        <f>IF([1]Accounts!$D$314="","",[1]Accounts!$J$314)</f>
        <v/>
      </c>
      <c r="F313">
        <f>IF([1]Accounts!$D$314="","",[1]Accounts!$K$314)</f>
        <v/>
      </c>
      <c r="U313">
        <f>IF([2]Baskol!$B$316="","",[2]Baskol!$B$316)</f>
        <v/>
      </c>
      <c r="V313">
        <f>IF([2]Baskol!$C$316="","",[2]Baskol!$C$316)</f>
        <v/>
      </c>
      <c r="W313">
        <f>IF([2]Baskol!$D$316="","",[2]Baskol!$D$316)</f>
        <v/>
      </c>
      <c r="X313">
        <f>IF([2]Baskol!$E$316="","",[2]Baskol!$E$316)</f>
        <v/>
      </c>
      <c r="Y313">
        <f>IF([2]Baskol!$G$316="","",[2]Baskol!$G$316)</f>
        <v/>
      </c>
      <c r="Z313">
        <f>IF([2]Baskol!$I$316="","",[2]Baskol!$I$316)</f>
        <v/>
      </c>
      <c r="AA313">
        <f>IF([2]Baskol!$J$316="","",[2]Baskol!$J$316)</f>
        <v/>
      </c>
      <c r="AB313">
        <f>IF([2]Baskol!$K$316="","",[2]Baskol!$K$316)</f>
        <v/>
      </c>
      <c r="AC313">
        <f>IF([2]Baskol!$L$316="","",[2]Baskol!$L$316)</f>
        <v/>
      </c>
      <c r="AD313">
        <f>IF([2]Baskol!$N$316="","",[2]Baskol!$N$316)</f>
        <v/>
      </c>
      <c r="AE313">
        <f>IF([2]Baskol!$O$316="","",[2]Baskol!$O$316)</f>
        <v/>
      </c>
      <c r="AG313">
        <f>IF([3]Entry!$C$316="","",[3]Entry!$C$316)</f>
        <v/>
      </c>
      <c r="AH313">
        <f>IF([3]Entry!$D$316="","",[3]Entry!$D$316)</f>
        <v/>
      </c>
      <c r="AI313">
        <f>IF([3]Entry!$E$316="","",[3]Entry!$E$316)</f>
        <v/>
      </c>
      <c r="AJ313">
        <f>IF([3]Entry!$G$316="","",[3]Entry!$G$316)</f>
        <v/>
      </c>
      <c r="AK313">
        <f>IF([3]Entry!$K$316="","",[3]Entry!$K$316)</f>
        <v/>
      </c>
      <c r="AL313">
        <f>IF([3]Entry!$L$316="","",[3]Entry!$L$316)</f>
        <v/>
      </c>
      <c r="AM313">
        <f>IF([3]Entry!$M$316="","",[3]Entry!$M$316)</f>
        <v/>
      </c>
      <c r="AN313">
        <f>IF([3]Entry!$N$316="","",[3]Entry!$N$316)</f>
        <v/>
      </c>
      <c r="AO313">
        <f>IF([3]Entry!$R$316="","",[3]Entry!$R$316)</f>
        <v/>
      </c>
      <c r="AQ313">
        <f>IF(AND($D313&lt;&gt;"",$A313&lt;&gt;""),1,0)</f>
        <v/>
      </c>
      <c r="AR313">
        <f>SUM($AQ$6:$AQ313)</f>
        <v/>
      </c>
      <c r="AS313">
        <f>IFERROR(INDEX($A$6:$A$565,MATCH(ROW()-5,$AR$6:$AR$565,0)),"")</f>
        <v/>
      </c>
    </row>
    <row r="314">
      <c r="A314">
        <f>IF([1]Accounts!$D$315="","",[1]Accounts!$A$315)</f>
        <v/>
      </c>
      <c r="B314">
        <f>IF([1]Accounts!$D$315="","",[1]Accounts!$B$315)</f>
        <v/>
      </c>
      <c r="C314">
        <f>IF([1]Accounts!$D$315="","",[1]Accounts!$C$315)</f>
        <v/>
      </c>
      <c r="D314">
        <f>IF([1]Accounts!$D$315="","",[1]Accounts!$D$315)</f>
        <v/>
      </c>
      <c r="E314">
        <f>IF([1]Accounts!$D$315="","",[1]Accounts!$J$315)</f>
        <v/>
      </c>
      <c r="F314">
        <f>IF([1]Accounts!$D$315="","",[1]Accounts!$K$315)</f>
        <v/>
      </c>
      <c r="U314">
        <f>IF([2]Baskol!$B$317="","",[2]Baskol!$B$317)</f>
        <v/>
      </c>
      <c r="V314">
        <f>IF([2]Baskol!$C$317="","",[2]Baskol!$C$317)</f>
        <v/>
      </c>
      <c r="W314">
        <f>IF([2]Baskol!$D$317="","",[2]Baskol!$D$317)</f>
        <v/>
      </c>
      <c r="X314">
        <f>IF([2]Baskol!$E$317="","",[2]Baskol!$E$317)</f>
        <v/>
      </c>
      <c r="Y314">
        <f>IF([2]Baskol!$G$317="","",[2]Baskol!$G$317)</f>
        <v/>
      </c>
      <c r="Z314">
        <f>IF([2]Baskol!$I$317="","",[2]Baskol!$I$317)</f>
        <v/>
      </c>
      <c r="AA314">
        <f>IF([2]Baskol!$J$317="","",[2]Baskol!$J$317)</f>
        <v/>
      </c>
      <c r="AB314">
        <f>IF([2]Baskol!$K$317="","",[2]Baskol!$K$317)</f>
        <v/>
      </c>
      <c r="AC314">
        <f>IF([2]Baskol!$L$317="","",[2]Baskol!$L$317)</f>
        <v/>
      </c>
      <c r="AD314">
        <f>IF([2]Baskol!$N$317="","",[2]Baskol!$N$317)</f>
        <v/>
      </c>
      <c r="AE314">
        <f>IF([2]Baskol!$O$317="","",[2]Baskol!$O$317)</f>
        <v/>
      </c>
      <c r="AG314">
        <f>IF([3]Entry!$C$317="","",[3]Entry!$C$317)</f>
        <v/>
      </c>
      <c r="AH314">
        <f>IF([3]Entry!$D$317="","",[3]Entry!$D$317)</f>
        <v/>
      </c>
      <c r="AI314">
        <f>IF([3]Entry!$E$317="","",[3]Entry!$E$317)</f>
        <v/>
      </c>
      <c r="AJ314">
        <f>IF([3]Entry!$G$317="","",[3]Entry!$G$317)</f>
        <v/>
      </c>
      <c r="AK314">
        <f>IF([3]Entry!$K$317="","",[3]Entry!$K$317)</f>
        <v/>
      </c>
      <c r="AL314">
        <f>IF([3]Entry!$L$317="","",[3]Entry!$L$317)</f>
        <v/>
      </c>
      <c r="AM314">
        <f>IF([3]Entry!$M$317="","",[3]Entry!$M$317)</f>
        <v/>
      </c>
      <c r="AN314">
        <f>IF([3]Entry!$N$317="","",[3]Entry!$N$317)</f>
        <v/>
      </c>
      <c r="AO314">
        <f>IF([3]Entry!$R$317="","",[3]Entry!$R$317)</f>
        <v/>
      </c>
      <c r="AQ314">
        <f>IF(AND($D314&lt;&gt;"",$A314&lt;&gt;""),1,0)</f>
        <v/>
      </c>
      <c r="AR314">
        <f>SUM($AQ$6:$AQ314)</f>
        <v/>
      </c>
      <c r="AS314">
        <f>IFERROR(INDEX($A$6:$A$565,MATCH(ROW()-5,$AR$6:$AR$565,0)),"")</f>
        <v/>
      </c>
    </row>
    <row r="315">
      <c r="A315">
        <f>IF([1]Accounts!$D$316="","",[1]Accounts!$A$316)</f>
        <v/>
      </c>
      <c r="B315">
        <f>IF([1]Accounts!$D$316="","",[1]Accounts!$B$316)</f>
        <v/>
      </c>
      <c r="C315">
        <f>IF([1]Accounts!$D$316="","",[1]Accounts!$C$316)</f>
        <v/>
      </c>
      <c r="D315">
        <f>IF([1]Accounts!$D$316="","",[1]Accounts!$D$316)</f>
        <v/>
      </c>
      <c r="E315">
        <f>IF([1]Accounts!$D$316="","",[1]Accounts!$J$316)</f>
        <v/>
      </c>
      <c r="F315">
        <f>IF([1]Accounts!$D$316="","",[1]Accounts!$K$316)</f>
        <v/>
      </c>
      <c r="U315">
        <f>IF([2]Baskol!$B$318="","",[2]Baskol!$B$318)</f>
        <v/>
      </c>
      <c r="V315">
        <f>IF([2]Baskol!$C$318="","",[2]Baskol!$C$318)</f>
        <v/>
      </c>
      <c r="W315">
        <f>IF([2]Baskol!$D$318="","",[2]Baskol!$D$318)</f>
        <v/>
      </c>
      <c r="X315">
        <f>IF([2]Baskol!$E$318="","",[2]Baskol!$E$318)</f>
        <v/>
      </c>
      <c r="Y315">
        <f>IF([2]Baskol!$G$318="","",[2]Baskol!$G$318)</f>
        <v/>
      </c>
      <c r="Z315">
        <f>IF([2]Baskol!$I$318="","",[2]Baskol!$I$318)</f>
        <v/>
      </c>
      <c r="AA315">
        <f>IF([2]Baskol!$J$318="","",[2]Baskol!$J$318)</f>
        <v/>
      </c>
      <c r="AB315">
        <f>IF([2]Baskol!$K$318="","",[2]Baskol!$K$318)</f>
        <v/>
      </c>
      <c r="AC315">
        <f>IF([2]Baskol!$L$318="","",[2]Baskol!$L$318)</f>
        <v/>
      </c>
      <c r="AD315">
        <f>IF([2]Baskol!$N$318="","",[2]Baskol!$N$318)</f>
        <v/>
      </c>
      <c r="AE315">
        <f>IF([2]Baskol!$O$318="","",[2]Baskol!$O$318)</f>
        <v/>
      </c>
      <c r="AG315">
        <f>IF([3]Entry!$C$318="","",[3]Entry!$C$318)</f>
        <v/>
      </c>
      <c r="AH315">
        <f>IF([3]Entry!$D$318="","",[3]Entry!$D$318)</f>
        <v/>
      </c>
      <c r="AI315">
        <f>IF([3]Entry!$E$318="","",[3]Entry!$E$318)</f>
        <v/>
      </c>
      <c r="AJ315">
        <f>IF([3]Entry!$G$318="","",[3]Entry!$G$318)</f>
        <v/>
      </c>
      <c r="AK315">
        <f>IF([3]Entry!$K$318="","",[3]Entry!$K$318)</f>
        <v/>
      </c>
      <c r="AL315">
        <f>IF([3]Entry!$L$318="","",[3]Entry!$L$318)</f>
        <v/>
      </c>
      <c r="AM315">
        <f>IF([3]Entry!$M$318="","",[3]Entry!$M$318)</f>
        <v/>
      </c>
      <c r="AN315">
        <f>IF([3]Entry!$N$318="","",[3]Entry!$N$318)</f>
        <v/>
      </c>
      <c r="AO315">
        <f>IF([3]Entry!$R$318="","",[3]Entry!$R$318)</f>
        <v/>
      </c>
      <c r="AQ315">
        <f>IF(AND($D315&lt;&gt;"",$A315&lt;&gt;""),1,0)</f>
        <v/>
      </c>
      <c r="AR315">
        <f>SUM($AQ$6:$AQ315)</f>
        <v/>
      </c>
      <c r="AS315">
        <f>IFERROR(INDEX($A$6:$A$565,MATCH(ROW()-5,$AR$6:$AR$565,0)),"")</f>
        <v/>
      </c>
    </row>
    <row r="316">
      <c r="A316">
        <f>IF([1]Accounts!$D$317="","",[1]Accounts!$A$317)</f>
        <v/>
      </c>
      <c r="B316">
        <f>IF([1]Accounts!$D$317="","",[1]Accounts!$B$317)</f>
        <v/>
      </c>
      <c r="C316">
        <f>IF([1]Accounts!$D$317="","",[1]Accounts!$C$317)</f>
        <v/>
      </c>
      <c r="D316">
        <f>IF([1]Accounts!$D$317="","",[1]Accounts!$D$317)</f>
        <v/>
      </c>
      <c r="E316">
        <f>IF([1]Accounts!$D$317="","",[1]Accounts!$J$317)</f>
        <v/>
      </c>
      <c r="F316">
        <f>IF([1]Accounts!$D$317="","",[1]Accounts!$K$317)</f>
        <v/>
      </c>
      <c r="U316">
        <f>IF([2]Baskol!$B$319="","",[2]Baskol!$B$319)</f>
        <v/>
      </c>
      <c r="V316">
        <f>IF([2]Baskol!$C$319="","",[2]Baskol!$C$319)</f>
        <v/>
      </c>
      <c r="W316">
        <f>IF([2]Baskol!$D$319="","",[2]Baskol!$D$319)</f>
        <v/>
      </c>
      <c r="X316">
        <f>IF([2]Baskol!$E$319="","",[2]Baskol!$E$319)</f>
        <v/>
      </c>
      <c r="Y316">
        <f>IF([2]Baskol!$G$319="","",[2]Baskol!$G$319)</f>
        <v/>
      </c>
      <c r="Z316">
        <f>IF([2]Baskol!$I$319="","",[2]Baskol!$I$319)</f>
        <v/>
      </c>
      <c r="AA316">
        <f>IF([2]Baskol!$J$319="","",[2]Baskol!$J$319)</f>
        <v/>
      </c>
      <c r="AB316">
        <f>IF([2]Baskol!$K$319="","",[2]Baskol!$K$319)</f>
        <v/>
      </c>
      <c r="AC316">
        <f>IF([2]Baskol!$L$319="","",[2]Baskol!$L$319)</f>
        <v/>
      </c>
      <c r="AD316">
        <f>IF([2]Baskol!$N$319="","",[2]Baskol!$N$319)</f>
        <v/>
      </c>
      <c r="AE316">
        <f>IF([2]Baskol!$O$319="","",[2]Baskol!$O$319)</f>
        <v/>
      </c>
      <c r="AG316">
        <f>IF([3]Entry!$C$319="","",[3]Entry!$C$319)</f>
        <v/>
      </c>
      <c r="AH316">
        <f>IF([3]Entry!$D$319="","",[3]Entry!$D$319)</f>
        <v/>
      </c>
      <c r="AI316">
        <f>IF([3]Entry!$E$319="","",[3]Entry!$E$319)</f>
        <v/>
      </c>
      <c r="AJ316">
        <f>IF([3]Entry!$G$319="","",[3]Entry!$G$319)</f>
        <v/>
      </c>
      <c r="AK316">
        <f>IF([3]Entry!$K$319="","",[3]Entry!$K$319)</f>
        <v/>
      </c>
      <c r="AL316">
        <f>IF([3]Entry!$L$319="","",[3]Entry!$L$319)</f>
        <v/>
      </c>
      <c r="AM316">
        <f>IF([3]Entry!$M$319="","",[3]Entry!$M$319)</f>
        <v/>
      </c>
      <c r="AN316">
        <f>IF([3]Entry!$N$319="","",[3]Entry!$N$319)</f>
        <v/>
      </c>
      <c r="AO316">
        <f>IF([3]Entry!$R$319="","",[3]Entry!$R$319)</f>
        <v/>
      </c>
      <c r="AQ316">
        <f>IF(AND($D316&lt;&gt;"",$A316&lt;&gt;""),1,0)</f>
        <v/>
      </c>
      <c r="AR316">
        <f>SUM($AQ$6:$AQ316)</f>
        <v/>
      </c>
      <c r="AS316">
        <f>IFERROR(INDEX($A$6:$A$565,MATCH(ROW()-5,$AR$6:$AR$565,0)),"")</f>
        <v/>
      </c>
    </row>
    <row r="317">
      <c r="A317">
        <f>IF([1]Accounts!$D$318="","",[1]Accounts!$A$318)</f>
        <v/>
      </c>
      <c r="B317">
        <f>IF([1]Accounts!$D$318="","",[1]Accounts!$B$318)</f>
        <v/>
      </c>
      <c r="C317">
        <f>IF([1]Accounts!$D$318="","",[1]Accounts!$C$318)</f>
        <v/>
      </c>
      <c r="D317">
        <f>IF([1]Accounts!$D$318="","",[1]Accounts!$D$318)</f>
        <v/>
      </c>
      <c r="E317">
        <f>IF([1]Accounts!$D$318="","",[1]Accounts!$J$318)</f>
        <v/>
      </c>
      <c r="F317">
        <f>IF([1]Accounts!$D$318="","",[1]Accounts!$K$318)</f>
        <v/>
      </c>
      <c r="U317">
        <f>IF([2]Baskol!$B$320="","",[2]Baskol!$B$320)</f>
        <v/>
      </c>
      <c r="V317">
        <f>IF([2]Baskol!$C$320="","",[2]Baskol!$C$320)</f>
        <v/>
      </c>
      <c r="W317">
        <f>IF([2]Baskol!$D$320="","",[2]Baskol!$D$320)</f>
        <v/>
      </c>
      <c r="X317">
        <f>IF([2]Baskol!$E$320="","",[2]Baskol!$E$320)</f>
        <v/>
      </c>
      <c r="Y317">
        <f>IF([2]Baskol!$G$320="","",[2]Baskol!$G$320)</f>
        <v/>
      </c>
      <c r="Z317">
        <f>IF([2]Baskol!$I$320="","",[2]Baskol!$I$320)</f>
        <v/>
      </c>
      <c r="AA317">
        <f>IF([2]Baskol!$J$320="","",[2]Baskol!$J$320)</f>
        <v/>
      </c>
      <c r="AB317">
        <f>IF([2]Baskol!$K$320="","",[2]Baskol!$K$320)</f>
        <v/>
      </c>
      <c r="AC317">
        <f>IF([2]Baskol!$L$320="","",[2]Baskol!$L$320)</f>
        <v/>
      </c>
      <c r="AD317">
        <f>IF([2]Baskol!$N$320="","",[2]Baskol!$N$320)</f>
        <v/>
      </c>
      <c r="AE317">
        <f>IF([2]Baskol!$O$320="","",[2]Baskol!$O$320)</f>
        <v/>
      </c>
      <c r="AG317">
        <f>IF([3]Entry!$C$320="","",[3]Entry!$C$320)</f>
        <v/>
      </c>
      <c r="AH317">
        <f>IF([3]Entry!$D$320="","",[3]Entry!$D$320)</f>
        <v/>
      </c>
      <c r="AI317">
        <f>IF([3]Entry!$E$320="","",[3]Entry!$E$320)</f>
        <v/>
      </c>
      <c r="AJ317">
        <f>IF([3]Entry!$G$320="","",[3]Entry!$G$320)</f>
        <v/>
      </c>
      <c r="AK317">
        <f>IF([3]Entry!$K$320="","",[3]Entry!$K$320)</f>
        <v/>
      </c>
      <c r="AL317">
        <f>IF([3]Entry!$L$320="","",[3]Entry!$L$320)</f>
        <v/>
      </c>
      <c r="AM317">
        <f>IF([3]Entry!$M$320="","",[3]Entry!$M$320)</f>
        <v/>
      </c>
      <c r="AN317">
        <f>IF([3]Entry!$N$320="","",[3]Entry!$N$320)</f>
        <v/>
      </c>
      <c r="AO317">
        <f>IF([3]Entry!$R$320="","",[3]Entry!$R$320)</f>
        <v/>
      </c>
      <c r="AQ317">
        <f>IF(AND($D317&lt;&gt;"",$A317&lt;&gt;""),1,0)</f>
        <v/>
      </c>
      <c r="AR317">
        <f>SUM($AQ$6:$AQ317)</f>
        <v/>
      </c>
      <c r="AS317">
        <f>IFERROR(INDEX($A$6:$A$565,MATCH(ROW()-5,$AR$6:$AR$565,0)),"")</f>
        <v/>
      </c>
    </row>
    <row r="318">
      <c r="A318">
        <f>IF([1]Accounts!$D$319="","",[1]Accounts!$A$319)</f>
        <v/>
      </c>
      <c r="B318">
        <f>IF([1]Accounts!$D$319="","",[1]Accounts!$B$319)</f>
        <v/>
      </c>
      <c r="C318">
        <f>IF([1]Accounts!$D$319="","",[1]Accounts!$C$319)</f>
        <v/>
      </c>
      <c r="D318">
        <f>IF([1]Accounts!$D$319="","",[1]Accounts!$D$319)</f>
        <v/>
      </c>
      <c r="E318">
        <f>IF([1]Accounts!$D$319="","",[1]Accounts!$J$319)</f>
        <v/>
      </c>
      <c r="F318">
        <f>IF([1]Accounts!$D$319="","",[1]Accounts!$K$319)</f>
        <v/>
      </c>
      <c r="U318">
        <f>IF([2]Baskol!$B$321="","",[2]Baskol!$B$321)</f>
        <v/>
      </c>
      <c r="V318">
        <f>IF([2]Baskol!$C$321="","",[2]Baskol!$C$321)</f>
        <v/>
      </c>
      <c r="W318">
        <f>IF([2]Baskol!$D$321="","",[2]Baskol!$D$321)</f>
        <v/>
      </c>
      <c r="X318">
        <f>IF([2]Baskol!$E$321="","",[2]Baskol!$E$321)</f>
        <v/>
      </c>
      <c r="Y318">
        <f>IF([2]Baskol!$G$321="","",[2]Baskol!$G$321)</f>
        <v/>
      </c>
      <c r="Z318">
        <f>IF([2]Baskol!$I$321="","",[2]Baskol!$I$321)</f>
        <v/>
      </c>
      <c r="AA318">
        <f>IF([2]Baskol!$J$321="","",[2]Baskol!$J$321)</f>
        <v/>
      </c>
      <c r="AB318">
        <f>IF([2]Baskol!$K$321="","",[2]Baskol!$K$321)</f>
        <v/>
      </c>
      <c r="AC318">
        <f>IF([2]Baskol!$L$321="","",[2]Baskol!$L$321)</f>
        <v/>
      </c>
      <c r="AD318">
        <f>IF([2]Baskol!$N$321="","",[2]Baskol!$N$321)</f>
        <v/>
      </c>
      <c r="AE318">
        <f>IF([2]Baskol!$O$321="","",[2]Baskol!$O$321)</f>
        <v/>
      </c>
      <c r="AG318">
        <f>IF([3]Entry!$C$321="","",[3]Entry!$C$321)</f>
        <v/>
      </c>
      <c r="AH318">
        <f>IF([3]Entry!$D$321="","",[3]Entry!$D$321)</f>
        <v/>
      </c>
      <c r="AI318">
        <f>IF([3]Entry!$E$321="","",[3]Entry!$E$321)</f>
        <v/>
      </c>
      <c r="AJ318">
        <f>IF([3]Entry!$G$321="","",[3]Entry!$G$321)</f>
        <v/>
      </c>
      <c r="AK318">
        <f>IF([3]Entry!$K$321="","",[3]Entry!$K$321)</f>
        <v/>
      </c>
      <c r="AL318">
        <f>IF([3]Entry!$L$321="","",[3]Entry!$L$321)</f>
        <v/>
      </c>
      <c r="AM318">
        <f>IF([3]Entry!$M$321="","",[3]Entry!$M$321)</f>
        <v/>
      </c>
      <c r="AN318">
        <f>IF([3]Entry!$N$321="","",[3]Entry!$N$321)</f>
        <v/>
      </c>
      <c r="AO318">
        <f>IF([3]Entry!$R$321="","",[3]Entry!$R$321)</f>
        <v/>
      </c>
      <c r="AQ318">
        <f>IF(AND($D318&lt;&gt;"",$A318&lt;&gt;""),1,0)</f>
        <v/>
      </c>
      <c r="AR318">
        <f>SUM($AQ$6:$AQ318)</f>
        <v/>
      </c>
      <c r="AS318">
        <f>IFERROR(INDEX($A$6:$A$565,MATCH(ROW()-5,$AR$6:$AR$565,0)),"")</f>
        <v/>
      </c>
    </row>
    <row r="319">
      <c r="A319">
        <f>IF([1]Accounts!$D$320="","",[1]Accounts!$A$320)</f>
        <v/>
      </c>
      <c r="B319">
        <f>IF([1]Accounts!$D$320="","",[1]Accounts!$B$320)</f>
        <v/>
      </c>
      <c r="C319">
        <f>IF([1]Accounts!$D$320="","",[1]Accounts!$C$320)</f>
        <v/>
      </c>
      <c r="D319">
        <f>IF([1]Accounts!$D$320="","",[1]Accounts!$D$320)</f>
        <v/>
      </c>
      <c r="E319">
        <f>IF([1]Accounts!$D$320="","",[1]Accounts!$J$320)</f>
        <v/>
      </c>
      <c r="F319">
        <f>IF([1]Accounts!$D$320="","",[1]Accounts!$K$320)</f>
        <v/>
      </c>
      <c r="U319">
        <f>IF([2]Baskol!$B$322="","",[2]Baskol!$B$322)</f>
        <v/>
      </c>
      <c r="V319">
        <f>IF([2]Baskol!$C$322="","",[2]Baskol!$C$322)</f>
        <v/>
      </c>
      <c r="W319">
        <f>IF([2]Baskol!$D$322="","",[2]Baskol!$D$322)</f>
        <v/>
      </c>
      <c r="X319">
        <f>IF([2]Baskol!$E$322="","",[2]Baskol!$E$322)</f>
        <v/>
      </c>
      <c r="Y319">
        <f>IF([2]Baskol!$G$322="","",[2]Baskol!$G$322)</f>
        <v/>
      </c>
      <c r="Z319">
        <f>IF([2]Baskol!$I$322="","",[2]Baskol!$I$322)</f>
        <v/>
      </c>
      <c r="AA319">
        <f>IF([2]Baskol!$J$322="","",[2]Baskol!$J$322)</f>
        <v/>
      </c>
      <c r="AB319">
        <f>IF([2]Baskol!$K$322="","",[2]Baskol!$K$322)</f>
        <v/>
      </c>
      <c r="AC319">
        <f>IF([2]Baskol!$L$322="","",[2]Baskol!$L$322)</f>
        <v/>
      </c>
      <c r="AD319">
        <f>IF([2]Baskol!$N$322="","",[2]Baskol!$N$322)</f>
        <v/>
      </c>
      <c r="AE319">
        <f>IF([2]Baskol!$O$322="","",[2]Baskol!$O$322)</f>
        <v/>
      </c>
      <c r="AG319">
        <f>IF([3]Entry!$C$322="","",[3]Entry!$C$322)</f>
        <v/>
      </c>
      <c r="AH319">
        <f>IF([3]Entry!$D$322="","",[3]Entry!$D$322)</f>
        <v/>
      </c>
      <c r="AI319">
        <f>IF([3]Entry!$E$322="","",[3]Entry!$E$322)</f>
        <v/>
      </c>
      <c r="AJ319">
        <f>IF([3]Entry!$G$322="","",[3]Entry!$G$322)</f>
        <v/>
      </c>
      <c r="AK319">
        <f>IF([3]Entry!$K$322="","",[3]Entry!$K$322)</f>
        <v/>
      </c>
      <c r="AL319">
        <f>IF([3]Entry!$L$322="","",[3]Entry!$L$322)</f>
        <v/>
      </c>
      <c r="AM319">
        <f>IF([3]Entry!$M$322="","",[3]Entry!$M$322)</f>
        <v/>
      </c>
      <c r="AN319">
        <f>IF([3]Entry!$N$322="","",[3]Entry!$N$322)</f>
        <v/>
      </c>
      <c r="AO319">
        <f>IF([3]Entry!$R$322="","",[3]Entry!$R$322)</f>
        <v/>
      </c>
      <c r="AQ319">
        <f>IF(AND($D319&lt;&gt;"",$A319&lt;&gt;""),1,0)</f>
        <v/>
      </c>
      <c r="AR319">
        <f>SUM($AQ$6:$AQ319)</f>
        <v/>
      </c>
      <c r="AS319">
        <f>IFERROR(INDEX($A$6:$A$565,MATCH(ROW()-5,$AR$6:$AR$565,0)),"")</f>
        <v/>
      </c>
    </row>
    <row r="320">
      <c r="A320">
        <f>IF([1]Accounts!$D$321="","",[1]Accounts!$A$321)</f>
        <v/>
      </c>
      <c r="B320">
        <f>IF([1]Accounts!$D$321="","",[1]Accounts!$B$321)</f>
        <v/>
      </c>
      <c r="C320">
        <f>IF([1]Accounts!$D$321="","",[1]Accounts!$C$321)</f>
        <v/>
      </c>
      <c r="D320">
        <f>IF([1]Accounts!$D$321="","",[1]Accounts!$D$321)</f>
        <v/>
      </c>
      <c r="E320">
        <f>IF([1]Accounts!$D$321="","",[1]Accounts!$J$321)</f>
        <v/>
      </c>
      <c r="F320">
        <f>IF([1]Accounts!$D$321="","",[1]Accounts!$K$321)</f>
        <v/>
      </c>
      <c r="U320">
        <f>IF([2]Baskol!$B$323="","",[2]Baskol!$B$323)</f>
        <v/>
      </c>
      <c r="V320">
        <f>IF([2]Baskol!$C$323="","",[2]Baskol!$C$323)</f>
        <v/>
      </c>
      <c r="W320">
        <f>IF([2]Baskol!$D$323="","",[2]Baskol!$D$323)</f>
        <v/>
      </c>
      <c r="X320">
        <f>IF([2]Baskol!$E$323="","",[2]Baskol!$E$323)</f>
        <v/>
      </c>
      <c r="Y320">
        <f>IF([2]Baskol!$G$323="","",[2]Baskol!$G$323)</f>
        <v/>
      </c>
      <c r="Z320">
        <f>IF([2]Baskol!$I$323="","",[2]Baskol!$I$323)</f>
        <v/>
      </c>
      <c r="AA320">
        <f>IF([2]Baskol!$J$323="","",[2]Baskol!$J$323)</f>
        <v/>
      </c>
      <c r="AB320">
        <f>IF([2]Baskol!$K$323="","",[2]Baskol!$K$323)</f>
        <v/>
      </c>
      <c r="AC320">
        <f>IF([2]Baskol!$L$323="","",[2]Baskol!$L$323)</f>
        <v/>
      </c>
      <c r="AD320">
        <f>IF([2]Baskol!$N$323="","",[2]Baskol!$N$323)</f>
        <v/>
      </c>
      <c r="AE320">
        <f>IF([2]Baskol!$O$323="","",[2]Baskol!$O$323)</f>
        <v/>
      </c>
      <c r="AG320">
        <f>IF([3]Entry!$C$323="","",[3]Entry!$C$323)</f>
        <v/>
      </c>
      <c r="AH320">
        <f>IF([3]Entry!$D$323="","",[3]Entry!$D$323)</f>
        <v/>
      </c>
      <c r="AI320">
        <f>IF([3]Entry!$E$323="","",[3]Entry!$E$323)</f>
        <v/>
      </c>
      <c r="AJ320">
        <f>IF([3]Entry!$G$323="","",[3]Entry!$G$323)</f>
        <v/>
      </c>
      <c r="AK320">
        <f>IF([3]Entry!$K$323="","",[3]Entry!$K$323)</f>
        <v/>
      </c>
      <c r="AL320">
        <f>IF([3]Entry!$L$323="","",[3]Entry!$L$323)</f>
        <v/>
      </c>
      <c r="AM320">
        <f>IF([3]Entry!$M$323="","",[3]Entry!$M$323)</f>
        <v/>
      </c>
      <c r="AN320">
        <f>IF([3]Entry!$N$323="","",[3]Entry!$N$323)</f>
        <v/>
      </c>
      <c r="AO320">
        <f>IF([3]Entry!$R$323="","",[3]Entry!$R$323)</f>
        <v/>
      </c>
      <c r="AQ320">
        <f>IF(AND($D320&lt;&gt;"",$A320&lt;&gt;""),1,0)</f>
        <v/>
      </c>
      <c r="AR320">
        <f>SUM($AQ$6:$AQ320)</f>
        <v/>
      </c>
      <c r="AS320">
        <f>IFERROR(INDEX($A$6:$A$565,MATCH(ROW()-5,$AR$6:$AR$565,0)),"")</f>
        <v/>
      </c>
    </row>
    <row r="321">
      <c r="A321">
        <f>IF([1]Accounts!$D$322="","",[1]Accounts!$A$322)</f>
        <v/>
      </c>
      <c r="B321">
        <f>IF([1]Accounts!$D$322="","",[1]Accounts!$B$322)</f>
        <v/>
      </c>
      <c r="C321">
        <f>IF([1]Accounts!$D$322="","",[1]Accounts!$C$322)</f>
        <v/>
      </c>
      <c r="D321">
        <f>IF([1]Accounts!$D$322="","",[1]Accounts!$D$322)</f>
        <v/>
      </c>
      <c r="E321">
        <f>IF([1]Accounts!$D$322="","",[1]Accounts!$J$322)</f>
        <v/>
      </c>
      <c r="F321">
        <f>IF([1]Accounts!$D$322="","",[1]Accounts!$K$322)</f>
        <v/>
      </c>
      <c r="U321">
        <f>IF([2]Baskol!$B$324="","",[2]Baskol!$B$324)</f>
        <v/>
      </c>
      <c r="V321">
        <f>IF([2]Baskol!$C$324="","",[2]Baskol!$C$324)</f>
        <v/>
      </c>
      <c r="W321">
        <f>IF([2]Baskol!$D$324="","",[2]Baskol!$D$324)</f>
        <v/>
      </c>
      <c r="X321">
        <f>IF([2]Baskol!$E$324="","",[2]Baskol!$E$324)</f>
        <v/>
      </c>
      <c r="Y321">
        <f>IF([2]Baskol!$G$324="","",[2]Baskol!$G$324)</f>
        <v/>
      </c>
      <c r="Z321">
        <f>IF([2]Baskol!$I$324="","",[2]Baskol!$I$324)</f>
        <v/>
      </c>
      <c r="AA321">
        <f>IF([2]Baskol!$J$324="","",[2]Baskol!$J$324)</f>
        <v/>
      </c>
      <c r="AB321">
        <f>IF([2]Baskol!$K$324="","",[2]Baskol!$K$324)</f>
        <v/>
      </c>
      <c r="AC321">
        <f>IF([2]Baskol!$L$324="","",[2]Baskol!$L$324)</f>
        <v/>
      </c>
      <c r="AD321">
        <f>IF([2]Baskol!$N$324="","",[2]Baskol!$N$324)</f>
        <v/>
      </c>
      <c r="AE321">
        <f>IF([2]Baskol!$O$324="","",[2]Baskol!$O$324)</f>
        <v/>
      </c>
      <c r="AG321">
        <f>IF([3]Entry!$C$324="","",[3]Entry!$C$324)</f>
        <v/>
      </c>
      <c r="AH321">
        <f>IF([3]Entry!$D$324="","",[3]Entry!$D$324)</f>
        <v/>
      </c>
      <c r="AI321">
        <f>IF([3]Entry!$E$324="","",[3]Entry!$E$324)</f>
        <v/>
      </c>
      <c r="AJ321">
        <f>IF([3]Entry!$G$324="","",[3]Entry!$G$324)</f>
        <v/>
      </c>
      <c r="AK321">
        <f>IF([3]Entry!$K$324="","",[3]Entry!$K$324)</f>
        <v/>
      </c>
      <c r="AL321">
        <f>IF([3]Entry!$L$324="","",[3]Entry!$L$324)</f>
        <v/>
      </c>
      <c r="AM321">
        <f>IF([3]Entry!$M$324="","",[3]Entry!$M$324)</f>
        <v/>
      </c>
      <c r="AN321">
        <f>IF([3]Entry!$N$324="","",[3]Entry!$N$324)</f>
        <v/>
      </c>
      <c r="AO321">
        <f>IF([3]Entry!$R$324="","",[3]Entry!$R$324)</f>
        <v/>
      </c>
      <c r="AQ321">
        <f>IF(AND($D321&lt;&gt;"",$A321&lt;&gt;""),1,0)</f>
        <v/>
      </c>
      <c r="AR321">
        <f>SUM($AQ$6:$AQ321)</f>
        <v/>
      </c>
      <c r="AS321">
        <f>IFERROR(INDEX($A$6:$A$565,MATCH(ROW()-5,$AR$6:$AR$565,0)),"")</f>
        <v/>
      </c>
    </row>
    <row r="322">
      <c r="A322">
        <f>IF([1]Accounts!$D$323="","",[1]Accounts!$A$323)</f>
        <v/>
      </c>
      <c r="B322">
        <f>IF([1]Accounts!$D$323="","",[1]Accounts!$B$323)</f>
        <v/>
      </c>
      <c r="C322">
        <f>IF([1]Accounts!$D$323="","",[1]Accounts!$C$323)</f>
        <v/>
      </c>
      <c r="D322">
        <f>IF([1]Accounts!$D$323="","",[1]Accounts!$D$323)</f>
        <v/>
      </c>
      <c r="E322">
        <f>IF([1]Accounts!$D$323="","",[1]Accounts!$J$323)</f>
        <v/>
      </c>
      <c r="F322">
        <f>IF([1]Accounts!$D$323="","",[1]Accounts!$K$323)</f>
        <v/>
      </c>
      <c r="U322">
        <f>IF([2]Baskol!$B$325="","",[2]Baskol!$B$325)</f>
        <v/>
      </c>
      <c r="V322">
        <f>IF([2]Baskol!$C$325="","",[2]Baskol!$C$325)</f>
        <v/>
      </c>
      <c r="W322">
        <f>IF([2]Baskol!$D$325="","",[2]Baskol!$D$325)</f>
        <v/>
      </c>
      <c r="X322">
        <f>IF([2]Baskol!$E$325="","",[2]Baskol!$E$325)</f>
        <v/>
      </c>
      <c r="Y322">
        <f>IF([2]Baskol!$G$325="","",[2]Baskol!$G$325)</f>
        <v/>
      </c>
      <c r="Z322">
        <f>IF([2]Baskol!$I$325="","",[2]Baskol!$I$325)</f>
        <v/>
      </c>
      <c r="AA322">
        <f>IF([2]Baskol!$J$325="","",[2]Baskol!$J$325)</f>
        <v/>
      </c>
      <c r="AB322">
        <f>IF([2]Baskol!$K$325="","",[2]Baskol!$K$325)</f>
        <v/>
      </c>
      <c r="AC322">
        <f>IF([2]Baskol!$L$325="","",[2]Baskol!$L$325)</f>
        <v/>
      </c>
      <c r="AD322">
        <f>IF([2]Baskol!$N$325="","",[2]Baskol!$N$325)</f>
        <v/>
      </c>
      <c r="AE322">
        <f>IF([2]Baskol!$O$325="","",[2]Baskol!$O$325)</f>
        <v/>
      </c>
      <c r="AG322">
        <f>IF([3]Entry!$C$325="","",[3]Entry!$C$325)</f>
        <v/>
      </c>
      <c r="AH322">
        <f>IF([3]Entry!$D$325="","",[3]Entry!$D$325)</f>
        <v/>
      </c>
      <c r="AI322">
        <f>IF([3]Entry!$E$325="","",[3]Entry!$E$325)</f>
        <v/>
      </c>
      <c r="AJ322">
        <f>IF([3]Entry!$G$325="","",[3]Entry!$G$325)</f>
        <v/>
      </c>
      <c r="AK322">
        <f>IF([3]Entry!$K$325="","",[3]Entry!$K$325)</f>
        <v/>
      </c>
      <c r="AL322">
        <f>IF([3]Entry!$L$325="","",[3]Entry!$L$325)</f>
        <v/>
      </c>
      <c r="AM322">
        <f>IF([3]Entry!$M$325="","",[3]Entry!$M$325)</f>
        <v/>
      </c>
      <c r="AN322">
        <f>IF([3]Entry!$N$325="","",[3]Entry!$N$325)</f>
        <v/>
      </c>
      <c r="AO322">
        <f>IF([3]Entry!$R$325="","",[3]Entry!$R$325)</f>
        <v/>
      </c>
      <c r="AQ322">
        <f>IF(AND($D322&lt;&gt;"",$A322&lt;&gt;""),1,0)</f>
        <v/>
      </c>
      <c r="AR322">
        <f>SUM($AQ$6:$AQ322)</f>
        <v/>
      </c>
      <c r="AS322">
        <f>IFERROR(INDEX($A$6:$A$565,MATCH(ROW()-5,$AR$6:$AR$565,0)),"")</f>
        <v/>
      </c>
    </row>
    <row r="323">
      <c r="A323">
        <f>IF([1]Accounts!$D$324="","",[1]Accounts!$A$324)</f>
        <v/>
      </c>
      <c r="B323">
        <f>IF([1]Accounts!$D$324="","",[1]Accounts!$B$324)</f>
        <v/>
      </c>
      <c r="C323">
        <f>IF([1]Accounts!$D$324="","",[1]Accounts!$C$324)</f>
        <v/>
      </c>
      <c r="D323">
        <f>IF([1]Accounts!$D$324="","",[1]Accounts!$D$324)</f>
        <v/>
      </c>
      <c r="E323">
        <f>IF([1]Accounts!$D$324="","",[1]Accounts!$J$324)</f>
        <v/>
      </c>
      <c r="F323">
        <f>IF([1]Accounts!$D$324="","",[1]Accounts!$K$324)</f>
        <v/>
      </c>
      <c r="U323">
        <f>IF([2]Baskol!$B$326="","",[2]Baskol!$B$326)</f>
        <v/>
      </c>
      <c r="V323">
        <f>IF([2]Baskol!$C$326="","",[2]Baskol!$C$326)</f>
        <v/>
      </c>
      <c r="W323">
        <f>IF([2]Baskol!$D$326="","",[2]Baskol!$D$326)</f>
        <v/>
      </c>
      <c r="X323">
        <f>IF([2]Baskol!$E$326="","",[2]Baskol!$E$326)</f>
        <v/>
      </c>
      <c r="Y323">
        <f>IF([2]Baskol!$G$326="","",[2]Baskol!$G$326)</f>
        <v/>
      </c>
      <c r="Z323">
        <f>IF([2]Baskol!$I$326="","",[2]Baskol!$I$326)</f>
        <v/>
      </c>
      <c r="AA323">
        <f>IF([2]Baskol!$J$326="","",[2]Baskol!$J$326)</f>
        <v/>
      </c>
      <c r="AB323">
        <f>IF([2]Baskol!$K$326="","",[2]Baskol!$K$326)</f>
        <v/>
      </c>
      <c r="AC323">
        <f>IF([2]Baskol!$L$326="","",[2]Baskol!$L$326)</f>
        <v/>
      </c>
      <c r="AD323">
        <f>IF([2]Baskol!$N$326="","",[2]Baskol!$N$326)</f>
        <v/>
      </c>
      <c r="AE323">
        <f>IF([2]Baskol!$O$326="","",[2]Baskol!$O$326)</f>
        <v/>
      </c>
      <c r="AG323">
        <f>IF([3]Entry!$C$326="","",[3]Entry!$C$326)</f>
        <v/>
      </c>
      <c r="AH323">
        <f>IF([3]Entry!$D$326="","",[3]Entry!$D$326)</f>
        <v/>
      </c>
      <c r="AI323">
        <f>IF([3]Entry!$E$326="","",[3]Entry!$E$326)</f>
        <v/>
      </c>
      <c r="AJ323">
        <f>IF([3]Entry!$G$326="","",[3]Entry!$G$326)</f>
        <v/>
      </c>
      <c r="AK323">
        <f>IF([3]Entry!$K$326="","",[3]Entry!$K$326)</f>
        <v/>
      </c>
      <c r="AL323">
        <f>IF([3]Entry!$L$326="","",[3]Entry!$L$326)</f>
        <v/>
      </c>
      <c r="AM323">
        <f>IF([3]Entry!$M$326="","",[3]Entry!$M$326)</f>
        <v/>
      </c>
      <c r="AN323">
        <f>IF([3]Entry!$N$326="","",[3]Entry!$N$326)</f>
        <v/>
      </c>
      <c r="AO323">
        <f>IF([3]Entry!$R$326="","",[3]Entry!$R$326)</f>
        <v/>
      </c>
      <c r="AQ323">
        <f>IF(AND($D323&lt;&gt;"",$A323&lt;&gt;""),1,0)</f>
        <v/>
      </c>
      <c r="AR323">
        <f>SUM($AQ$6:$AQ323)</f>
        <v/>
      </c>
      <c r="AS323">
        <f>IFERROR(INDEX($A$6:$A$565,MATCH(ROW()-5,$AR$6:$AR$565,0)),"")</f>
        <v/>
      </c>
    </row>
    <row r="324">
      <c r="A324">
        <f>IF([1]Accounts!$D$325="","",[1]Accounts!$A$325)</f>
        <v/>
      </c>
      <c r="B324">
        <f>IF([1]Accounts!$D$325="","",[1]Accounts!$B$325)</f>
        <v/>
      </c>
      <c r="C324">
        <f>IF([1]Accounts!$D$325="","",[1]Accounts!$C$325)</f>
        <v/>
      </c>
      <c r="D324">
        <f>IF([1]Accounts!$D$325="","",[1]Accounts!$D$325)</f>
        <v/>
      </c>
      <c r="E324">
        <f>IF([1]Accounts!$D$325="","",[1]Accounts!$J$325)</f>
        <v/>
      </c>
      <c r="F324">
        <f>IF([1]Accounts!$D$325="","",[1]Accounts!$K$325)</f>
        <v/>
      </c>
      <c r="U324">
        <f>IF([2]Baskol!$B$327="","",[2]Baskol!$B$327)</f>
        <v/>
      </c>
      <c r="V324">
        <f>IF([2]Baskol!$C$327="","",[2]Baskol!$C$327)</f>
        <v/>
      </c>
      <c r="W324">
        <f>IF([2]Baskol!$D$327="","",[2]Baskol!$D$327)</f>
        <v/>
      </c>
      <c r="X324">
        <f>IF([2]Baskol!$E$327="","",[2]Baskol!$E$327)</f>
        <v/>
      </c>
      <c r="Y324">
        <f>IF([2]Baskol!$G$327="","",[2]Baskol!$G$327)</f>
        <v/>
      </c>
      <c r="Z324">
        <f>IF([2]Baskol!$I$327="","",[2]Baskol!$I$327)</f>
        <v/>
      </c>
      <c r="AA324">
        <f>IF([2]Baskol!$J$327="","",[2]Baskol!$J$327)</f>
        <v/>
      </c>
      <c r="AB324">
        <f>IF([2]Baskol!$K$327="","",[2]Baskol!$K$327)</f>
        <v/>
      </c>
      <c r="AC324">
        <f>IF([2]Baskol!$L$327="","",[2]Baskol!$L$327)</f>
        <v/>
      </c>
      <c r="AD324">
        <f>IF([2]Baskol!$N$327="","",[2]Baskol!$N$327)</f>
        <v/>
      </c>
      <c r="AE324">
        <f>IF([2]Baskol!$O$327="","",[2]Baskol!$O$327)</f>
        <v/>
      </c>
      <c r="AG324">
        <f>IF([3]Entry!$C$327="","",[3]Entry!$C$327)</f>
        <v/>
      </c>
      <c r="AH324">
        <f>IF([3]Entry!$D$327="","",[3]Entry!$D$327)</f>
        <v/>
      </c>
      <c r="AI324">
        <f>IF([3]Entry!$E$327="","",[3]Entry!$E$327)</f>
        <v/>
      </c>
      <c r="AJ324">
        <f>IF([3]Entry!$G$327="","",[3]Entry!$G$327)</f>
        <v/>
      </c>
      <c r="AK324">
        <f>IF([3]Entry!$K$327="","",[3]Entry!$K$327)</f>
        <v/>
      </c>
      <c r="AL324">
        <f>IF([3]Entry!$L$327="","",[3]Entry!$L$327)</f>
        <v/>
      </c>
      <c r="AM324">
        <f>IF([3]Entry!$M$327="","",[3]Entry!$M$327)</f>
        <v/>
      </c>
      <c r="AN324">
        <f>IF([3]Entry!$N$327="","",[3]Entry!$N$327)</f>
        <v/>
      </c>
      <c r="AO324">
        <f>IF([3]Entry!$R$327="","",[3]Entry!$R$327)</f>
        <v/>
      </c>
      <c r="AQ324">
        <f>IF(AND($D324&lt;&gt;"",$A324&lt;&gt;""),1,0)</f>
        <v/>
      </c>
      <c r="AR324">
        <f>SUM($AQ$6:$AQ324)</f>
        <v/>
      </c>
      <c r="AS324">
        <f>IFERROR(INDEX($A$6:$A$565,MATCH(ROW()-5,$AR$6:$AR$565,0)),"")</f>
        <v/>
      </c>
    </row>
    <row r="325">
      <c r="A325">
        <f>IF([1]Accounts!$D$326="","",[1]Accounts!$A$326)</f>
        <v/>
      </c>
      <c r="B325">
        <f>IF([1]Accounts!$D$326="","",[1]Accounts!$B$326)</f>
        <v/>
      </c>
      <c r="C325">
        <f>IF([1]Accounts!$D$326="","",[1]Accounts!$C$326)</f>
        <v/>
      </c>
      <c r="D325">
        <f>IF([1]Accounts!$D$326="","",[1]Accounts!$D$326)</f>
        <v/>
      </c>
      <c r="E325">
        <f>IF([1]Accounts!$D$326="","",[1]Accounts!$J$326)</f>
        <v/>
      </c>
      <c r="F325">
        <f>IF([1]Accounts!$D$326="","",[1]Accounts!$K$326)</f>
        <v/>
      </c>
      <c r="U325">
        <f>IF([2]Baskol!$B$328="","",[2]Baskol!$B$328)</f>
        <v/>
      </c>
      <c r="V325">
        <f>IF([2]Baskol!$C$328="","",[2]Baskol!$C$328)</f>
        <v/>
      </c>
      <c r="W325">
        <f>IF([2]Baskol!$D$328="","",[2]Baskol!$D$328)</f>
        <v/>
      </c>
      <c r="X325">
        <f>IF([2]Baskol!$E$328="","",[2]Baskol!$E$328)</f>
        <v/>
      </c>
      <c r="Y325">
        <f>IF([2]Baskol!$G$328="","",[2]Baskol!$G$328)</f>
        <v/>
      </c>
      <c r="Z325">
        <f>IF([2]Baskol!$I$328="","",[2]Baskol!$I$328)</f>
        <v/>
      </c>
      <c r="AA325">
        <f>IF([2]Baskol!$J$328="","",[2]Baskol!$J$328)</f>
        <v/>
      </c>
      <c r="AB325">
        <f>IF([2]Baskol!$K$328="","",[2]Baskol!$K$328)</f>
        <v/>
      </c>
      <c r="AC325">
        <f>IF([2]Baskol!$L$328="","",[2]Baskol!$L$328)</f>
        <v/>
      </c>
      <c r="AD325">
        <f>IF([2]Baskol!$N$328="","",[2]Baskol!$N$328)</f>
        <v/>
      </c>
      <c r="AE325">
        <f>IF([2]Baskol!$O$328="","",[2]Baskol!$O$328)</f>
        <v/>
      </c>
      <c r="AG325">
        <f>IF([3]Entry!$C$328="","",[3]Entry!$C$328)</f>
        <v/>
      </c>
      <c r="AH325">
        <f>IF([3]Entry!$D$328="","",[3]Entry!$D$328)</f>
        <v/>
      </c>
      <c r="AI325">
        <f>IF([3]Entry!$E$328="","",[3]Entry!$E$328)</f>
        <v/>
      </c>
      <c r="AJ325">
        <f>IF([3]Entry!$G$328="","",[3]Entry!$G$328)</f>
        <v/>
      </c>
      <c r="AK325">
        <f>IF([3]Entry!$K$328="","",[3]Entry!$K$328)</f>
        <v/>
      </c>
      <c r="AL325">
        <f>IF([3]Entry!$L$328="","",[3]Entry!$L$328)</f>
        <v/>
      </c>
      <c r="AM325">
        <f>IF([3]Entry!$M$328="","",[3]Entry!$M$328)</f>
        <v/>
      </c>
      <c r="AN325">
        <f>IF([3]Entry!$N$328="","",[3]Entry!$N$328)</f>
        <v/>
      </c>
      <c r="AO325">
        <f>IF([3]Entry!$R$328="","",[3]Entry!$R$328)</f>
        <v/>
      </c>
      <c r="AQ325">
        <f>IF(AND($D325&lt;&gt;"",$A325&lt;&gt;""),1,0)</f>
        <v/>
      </c>
      <c r="AR325">
        <f>SUM($AQ$6:$AQ325)</f>
        <v/>
      </c>
      <c r="AS325">
        <f>IFERROR(INDEX($A$6:$A$565,MATCH(ROW()-5,$AR$6:$AR$565,0)),"")</f>
        <v/>
      </c>
    </row>
    <row r="326">
      <c r="A326">
        <f>IF([1]Accounts!$D$327="","",[1]Accounts!$A$327)</f>
        <v/>
      </c>
      <c r="B326">
        <f>IF([1]Accounts!$D$327="","",[1]Accounts!$B$327)</f>
        <v/>
      </c>
      <c r="C326">
        <f>IF([1]Accounts!$D$327="","",[1]Accounts!$C$327)</f>
        <v/>
      </c>
      <c r="D326">
        <f>IF([1]Accounts!$D$327="","",[1]Accounts!$D$327)</f>
        <v/>
      </c>
      <c r="E326">
        <f>IF([1]Accounts!$D$327="","",[1]Accounts!$J$327)</f>
        <v/>
      </c>
      <c r="F326">
        <f>IF([1]Accounts!$D$327="","",[1]Accounts!$K$327)</f>
        <v/>
      </c>
      <c r="U326">
        <f>IF([2]Baskol!$B$329="","",[2]Baskol!$B$329)</f>
        <v/>
      </c>
      <c r="V326">
        <f>IF([2]Baskol!$C$329="","",[2]Baskol!$C$329)</f>
        <v/>
      </c>
      <c r="W326">
        <f>IF([2]Baskol!$D$329="","",[2]Baskol!$D$329)</f>
        <v/>
      </c>
      <c r="X326">
        <f>IF([2]Baskol!$E$329="","",[2]Baskol!$E$329)</f>
        <v/>
      </c>
      <c r="Y326">
        <f>IF([2]Baskol!$G$329="","",[2]Baskol!$G$329)</f>
        <v/>
      </c>
      <c r="Z326">
        <f>IF([2]Baskol!$I$329="","",[2]Baskol!$I$329)</f>
        <v/>
      </c>
      <c r="AA326">
        <f>IF([2]Baskol!$J$329="","",[2]Baskol!$J$329)</f>
        <v/>
      </c>
      <c r="AB326">
        <f>IF([2]Baskol!$K$329="","",[2]Baskol!$K$329)</f>
        <v/>
      </c>
      <c r="AC326">
        <f>IF([2]Baskol!$L$329="","",[2]Baskol!$L$329)</f>
        <v/>
      </c>
      <c r="AD326">
        <f>IF([2]Baskol!$N$329="","",[2]Baskol!$N$329)</f>
        <v/>
      </c>
      <c r="AE326">
        <f>IF([2]Baskol!$O$329="","",[2]Baskol!$O$329)</f>
        <v/>
      </c>
      <c r="AG326">
        <f>IF([3]Entry!$C$329="","",[3]Entry!$C$329)</f>
        <v/>
      </c>
      <c r="AH326">
        <f>IF([3]Entry!$D$329="","",[3]Entry!$D$329)</f>
        <v/>
      </c>
      <c r="AI326">
        <f>IF([3]Entry!$E$329="","",[3]Entry!$E$329)</f>
        <v/>
      </c>
      <c r="AJ326">
        <f>IF([3]Entry!$G$329="","",[3]Entry!$G$329)</f>
        <v/>
      </c>
      <c r="AK326">
        <f>IF([3]Entry!$K$329="","",[3]Entry!$K$329)</f>
        <v/>
      </c>
      <c r="AL326">
        <f>IF([3]Entry!$L$329="","",[3]Entry!$L$329)</f>
        <v/>
      </c>
      <c r="AM326">
        <f>IF([3]Entry!$M$329="","",[3]Entry!$M$329)</f>
        <v/>
      </c>
      <c r="AN326">
        <f>IF([3]Entry!$N$329="","",[3]Entry!$N$329)</f>
        <v/>
      </c>
      <c r="AO326">
        <f>IF([3]Entry!$R$329="","",[3]Entry!$R$329)</f>
        <v/>
      </c>
      <c r="AQ326">
        <f>IF(AND($D326&lt;&gt;"",$A326&lt;&gt;""),1,0)</f>
        <v/>
      </c>
      <c r="AR326">
        <f>SUM($AQ$6:$AQ326)</f>
        <v/>
      </c>
      <c r="AS326">
        <f>IFERROR(INDEX($A$6:$A$565,MATCH(ROW()-5,$AR$6:$AR$565,0)),"")</f>
        <v/>
      </c>
    </row>
    <row r="327">
      <c r="A327">
        <f>IF([1]Accounts!$D$328="","",[1]Accounts!$A$328)</f>
        <v/>
      </c>
      <c r="B327">
        <f>IF([1]Accounts!$D$328="","",[1]Accounts!$B$328)</f>
        <v/>
      </c>
      <c r="C327">
        <f>IF([1]Accounts!$D$328="","",[1]Accounts!$C$328)</f>
        <v/>
      </c>
      <c r="D327">
        <f>IF([1]Accounts!$D$328="","",[1]Accounts!$D$328)</f>
        <v/>
      </c>
      <c r="E327">
        <f>IF([1]Accounts!$D$328="","",[1]Accounts!$J$328)</f>
        <v/>
      </c>
      <c r="F327">
        <f>IF([1]Accounts!$D$328="","",[1]Accounts!$K$328)</f>
        <v/>
      </c>
      <c r="U327">
        <f>IF([2]Baskol!$B$330="","",[2]Baskol!$B$330)</f>
        <v/>
      </c>
      <c r="V327">
        <f>IF([2]Baskol!$C$330="","",[2]Baskol!$C$330)</f>
        <v/>
      </c>
      <c r="W327">
        <f>IF([2]Baskol!$D$330="","",[2]Baskol!$D$330)</f>
        <v/>
      </c>
      <c r="X327">
        <f>IF([2]Baskol!$E$330="","",[2]Baskol!$E$330)</f>
        <v/>
      </c>
      <c r="Y327">
        <f>IF([2]Baskol!$G$330="","",[2]Baskol!$G$330)</f>
        <v/>
      </c>
      <c r="Z327">
        <f>IF([2]Baskol!$I$330="","",[2]Baskol!$I$330)</f>
        <v/>
      </c>
      <c r="AA327">
        <f>IF([2]Baskol!$J$330="","",[2]Baskol!$J$330)</f>
        <v/>
      </c>
      <c r="AB327">
        <f>IF([2]Baskol!$K$330="","",[2]Baskol!$K$330)</f>
        <v/>
      </c>
      <c r="AC327">
        <f>IF([2]Baskol!$L$330="","",[2]Baskol!$L$330)</f>
        <v/>
      </c>
      <c r="AD327">
        <f>IF([2]Baskol!$N$330="","",[2]Baskol!$N$330)</f>
        <v/>
      </c>
      <c r="AE327">
        <f>IF([2]Baskol!$O$330="","",[2]Baskol!$O$330)</f>
        <v/>
      </c>
      <c r="AG327">
        <f>IF([3]Entry!$C$330="","",[3]Entry!$C$330)</f>
        <v/>
      </c>
      <c r="AH327">
        <f>IF([3]Entry!$D$330="","",[3]Entry!$D$330)</f>
        <v/>
      </c>
      <c r="AI327">
        <f>IF([3]Entry!$E$330="","",[3]Entry!$E$330)</f>
        <v/>
      </c>
      <c r="AJ327">
        <f>IF([3]Entry!$G$330="","",[3]Entry!$G$330)</f>
        <v/>
      </c>
      <c r="AK327">
        <f>IF([3]Entry!$K$330="","",[3]Entry!$K$330)</f>
        <v/>
      </c>
      <c r="AL327">
        <f>IF([3]Entry!$L$330="","",[3]Entry!$L$330)</f>
        <v/>
      </c>
      <c r="AM327">
        <f>IF([3]Entry!$M$330="","",[3]Entry!$M$330)</f>
        <v/>
      </c>
      <c r="AN327">
        <f>IF([3]Entry!$N$330="","",[3]Entry!$N$330)</f>
        <v/>
      </c>
      <c r="AO327">
        <f>IF([3]Entry!$R$330="","",[3]Entry!$R$330)</f>
        <v/>
      </c>
      <c r="AQ327">
        <f>IF(AND($D327&lt;&gt;"",$A327&lt;&gt;""),1,0)</f>
        <v/>
      </c>
      <c r="AR327">
        <f>SUM($AQ$6:$AQ327)</f>
        <v/>
      </c>
      <c r="AS327">
        <f>IFERROR(INDEX($A$6:$A$565,MATCH(ROW()-5,$AR$6:$AR$565,0)),"")</f>
        <v/>
      </c>
    </row>
    <row r="328">
      <c r="A328">
        <f>IF([1]Accounts!$D$329="","",[1]Accounts!$A$329)</f>
        <v/>
      </c>
      <c r="B328">
        <f>IF([1]Accounts!$D$329="","",[1]Accounts!$B$329)</f>
        <v/>
      </c>
      <c r="C328">
        <f>IF([1]Accounts!$D$329="","",[1]Accounts!$C$329)</f>
        <v/>
      </c>
      <c r="D328">
        <f>IF([1]Accounts!$D$329="","",[1]Accounts!$D$329)</f>
        <v/>
      </c>
      <c r="E328">
        <f>IF([1]Accounts!$D$329="","",[1]Accounts!$J$329)</f>
        <v/>
      </c>
      <c r="F328">
        <f>IF([1]Accounts!$D$329="","",[1]Accounts!$K$329)</f>
        <v/>
      </c>
      <c r="U328">
        <f>IF([2]Baskol!$B$331="","",[2]Baskol!$B$331)</f>
        <v/>
      </c>
      <c r="V328">
        <f>IF([2]Baskol!$C$331="","",[2]Baskol!$C$331)</f>
        <v/>
      </c>
      <c r="W328">
        <f>IF([2]Baskol!$D$331="","",[2]Baskol!$D$331)</f>
        <v/>
      </c>
      <c r="X328">
        <f>IF([2]Baskol!$E$331="","",[2]Baskol!$E$331)</f>
        <v/>
      </c>
      <c r="Y328">
        <f>IF([2]Baskol!$G$331="","",[2]Baskol!$G$331)</f>
        <v/>
      </c>
      <c r="Z328">
        <f>IF([2]Baskol!$I$331="","",[2]Baskol!$I$331)</f>
        <v/>
      </c>
      <c r="AA328">
        <f>IF([2]Baskol!$J$331="","",[2]Baskol!$J$331)</f>
        <v/>
      </c>
      <c r="AB328">
        <f>IF([2]Baskol!$K$331="","",[2]Baskol!$K$331)</f>
        <v/>
      </c>
      <c r="AC328">
        <f>IF([2]Baskol!$L$331="","",[2]Baskol!$L$331)</f>
        <v/>
      </c>
      <c r="AD328">
        <f>IF([2]Baskol!$N$331="","",[2]Baskol!$N$331)</f>
        <v/>
      </c>
      <c r="AE328">
        <f>IF([2]Baskol!$O$331="","",[2]Baskol!$O$331)</f>
        <v/>
      </c>
      <c r="AG328">
        <f>IF([3]Entry!$C$331="","",[3]Entry!$C$331)</f>
        <v/>
      </c>
      <c r="AH328">
        <f>IF([3]Entry!$D$331="","",[3]Entry!$D$331)</f>
        <v/>
      </c>
      <c r="AI328">
        <f>IF([3]Entry!$E$331="","",[3]Entry!$E$331)</f>
        <v/>
      </c>
      <c r="AJ328">
        <f>IF([3]Entry!$G$331="","",[3]Entry!$G$331)</f>
        <v/>
      </c>
      <c r="AK328">
        <f>IF([3]Entry!$K$331="","",[3]Entry!$K$331)</f>
        <v/>
      </c>
      <c r="AL328">
        <f>IF([3]Entry!$L$331="","",[3]Entry!$L$331)</f>
        <v/>
      </c>
      <c r="AM328">
        <f>IF([3]Entry!$M$331="","",[3]Entry!$M$331)</f>
        <v/>
      </c>
      <c r="AN328">
        <f>IF([3]Entry!$N$331="","",[3]Entry!$N$331)</f>
        <v/>
      </c>
      <c r="AO328">
        <f>IF([3]Entry!$R$331="","",[3]Entry!$R$331)</f>
        <v/>
      </c>
      <c r="AQ328">
        <f>IF(AND($D328&lt;&gt;"",$A328&lt;&gt;""),1,0)</f>
        <v/>
      </c>
      <c r="AR328">
        <f>SUM($AQ$6:$AQ328)</f>
        <v/>
      </c>
      <c r="AS328">
        <f>IFERROR(INDEX($A$6:$A$565,MATCH(ROW()-5,$AR$6:$AR$565,0)),"")</f>
        <v/>
      </c>
    </row>
    <row r="329">
      <c r="A329">
        <f>IF([1]Accounts!$D$330="","",[1]Accounts!$A$330)</f>
        <v/>
      </c>
      <c r="B329">
        <f>IF([1]Accounts!$D$330="","",[1]Accounts!$B$330)</f>
        <v/>
      </c>
      <c r="C329">
        <f>IF([1]Accounts!$D$330="","",[1]Accounts!$C$330)</f>
        <v/>
      </c>
      <c r="D329">
        <f>IF([1]Accounts!$D$330="","",[1]Accounts!$D$330)</f>
        <v/>
      </c>
      <c r="E329">
        <f>IF([1]Accounts!$D$330="","",[1]Accounts!$J$330)</f>
        <v/>
      </c>
      <c r="F329">
        <f>IF([1]Accounts!$D$330="","",[1]Accounts!$K$330)</f>
        <v/>
      </c>
      <c r="U329">
        <f>IF([2]Baskol!$B$332="","",[2]Baskol!$B$332)</f>
        <v/>
      </c>
      <c r="V329">
        <f>IF([2]Baskol!$C$332="","",[2]Baskol!$C$332)</f>
        <v/>
      </c>
      <c r="W329">
        <f>IF([2]Baskol!$D$332="","",[2]Baskol!$D$332)</f>
        <v/>
      </c>
      <c r="X329">
        <f>IF([2]Baskol!$E$332="","",[2]Baskol!$E$332)</f>
        <v/>
      </c>
      <c r="Y329">
        <f>IF([2]Baskol!$G$332="","",[2]Baskol!$G$332)</f>
        <v/>
      </c>
      <c r="Z329">
        <f>IF([2]Baskol!$I$332="","",[2]Baskol!$I$332)</f>
        <v/>
      </c>
      <c r="AA329">
        <f>IF([2]Baskol!$J$332="","",[2]Baskol!$J$332)</f>
        <v/>
      </c>
      <c r="AB329">
        <f>IF([2]Baskol!$K$332="","",[2]Baskol!$K$332)</f>
        <v/>
      </c>
      <c r="AC329">
        <f>IF([2]Baskol!$L$332="","",[2]Baskol!$L$332)</f>
        <v/>
      </c>
      <c r="AD329">
        <f>IF([2]Baskol!$N$332="","",[2]Baskol!$N$332)</f>
        <v/>
      </c>
      <c r="AE329">
        <f>IF([2]Baskol!$O$332="","",[2]Baskol!$O$332)</f>
        <v/>
      </c>
      <c r="AG329">
        <f>IF([3]Entry!$C$332="","",[3]Entry!$C$332)</f>
        <v/>
      </c>
      <c r="AH329">
        <f>IF([3]Entry!$D$332="","",[3]Entry!$D$332)</f>
        <v/>
      </c>
      <c r="AI329">
        <f>IF([3]Entry!$E$332="","",[3]Entry!$E$332)</f>
        <v/>
      </c>
      <c r="AJ329">
        <f>IF([3]Entry!$G$332="","",[3]Entry!$G$332)</f>
        <v/>
      </c>
      <c r="AK329">
        <f>IF([3]Entry!$K$332="","",[3]Entry!$K$332)</f>
        <v/>
      </c>
      <c r="AL329">
        <f>IF([3]Entry!$L$332="","",[3]Entry!$L$332)</f>
        <v/>
      </c>
      <c r="AM329">
        <f>IF([3]Entry!$M$332="","",[3]Entry!$M$332)</f>
        <v/>
      </c>
      <c r="AN329">
        <f>IF([3]Entry!$N$332="","",[3]Entry!$N$332)</f>
        <v/>
      </c>
      <c r="AO329">
        <f>IF([3]Entry!$R$332="","",[3]Entry!$R$332)</f>
        <v/>
      </c>
      <c r="AQ329">
        <f>IF(AND($D329&lt;&gt;"",$A329&lt;&gt;""),1,0)</f>
        <v/>
      </c>
      <c r="AR329">
        <f>SUM($AQ$6:$AQ329)</f>
        <v/>
      </c>
      <c r="AS329">
        <f>IFERROR(INDEX($A$6:$A$565,MATCH(ROW()-5,$AR$6:$AR$565,0)),"")</f>
        <v/>
      </c>
    </row>
    <row r="330">
      <c r="A330">
        <f>IF([1]Accounts!$D$331="","",[1]Accounts!$A$331)</f>
        <v/>
      </c>
      <c r="B330">
        <f>IF([1]Accounts!$D$331="","",[1]Accounts!$B$331)</f>
        <v/>
      </c>
      <c r="C330">
        <f>IF([1]Accounts!$D$331="","",[1]Accounts!$C$331)</f>
        <v/>
      </c>
      <c r="D330">
        <f>IF([1]Accounts!$D$331="","",[1]Accounts!$D$331)</f>
        <v/>
      </c>
      <c r="E330">
        <f>IF([1]Accounts!$D$331="","",[1]Accounts!$J$331)</f>
        <v/>
      </c>
      <c r="F330">
        <f>IF([1]Accounts!$D$331="","",[1]Accounts!$K$331)</f>
        <v/>
      </c>
      <c r="U330">
        <f>IF([2]Baskol!$B$333="","",[2]Baskol!$B$333)</f>
        <v/>
      </c>
      <c r="V330">
        <f>IF([2]Baskol!$C$333="","",[2]Baskol!$C$333)</f>
        <v/>
      </c>
      <c r="W330">
        <f>IF([2]Baskol!$D$333="","",[2]Baskol!$D$333)</f>
        <v/>
      </c>
      <c r="X330">
        <f>IF([2]Baskol!$E$333="","",[2]Baskol!$E$333)</f>
        <v/>
      </c>
      <c r="Y330">
        <f>IF([2]Baskol!$G$333="","",[2]Baskol!$G$333)</f>
        <v/>
      </c>
      <c r="Z330">
        <f>IF([2]Baskol!$I$333="","",[2]Baskol!$I$333)</f>
        <v/>
      </c>
      <c r="AA330">
        <f>IF([2]Baskol!$J$333="","",[2]Baskol!$J$333)</f>
        <v/>
      </c>
      <c r="AB330">
        <f>IF([2]Baskol!$K$333="","",[2]Baskol!$K$333)</f>
        <v/>
      </c>
      <c r="AC330">
        <f>IF([2]Baskol!$L$333="","",[2]Baskol!$L$333)</f>
        <v/>
      </c>
      <c r="AD330">
        <f>IF([2]Baskol!$N$333="","",[2]Baskol!$N$333)</f>
        <v/>
      </c>
      <c r="AE330">
        <f>IF([2]Baskol!$O$333="","",[2]Baskol!$O$333)</f>
        <v/>
      </c>
      <c r="AG330">
        <f>IF([3]Entry!$C$333="","",[3]Entry!$C$333)</f>
        <v/>
      </c>
      <c r="AH330">
        <f>IF([3]Entry!$D$333="","",[3]Entry!$D$333)</f>
        <v/>
      </c>
      <c r="AI330">
        <f>IF([3]Entry!$E$333="","",[3]Entry!$E$333)</f>
        <v/>
      </c>
      <c r="AJ330">
        <f>IF([3]Entry!$G$333="","",[3]Entry!$G$333)</f>
        <v/>
      </c>
      <c r="AK330">
        <f>IF([3]Entry!$K$333="","",[3]Entry!$K$333)</f>
        <v/>
      </c>
      <c r="AL330">
        <f>IF([3]Entry!$L$333="","",[3]Entry!$L$333)</f>
        <v/>
      </c>
      <c r="AM330">
        <f>IF([3]Entry!$M$333="","",[3]Entry!$M$333)</f>
        <v/>
      </c>
      <c r="AN330">
        <f>IF([3]Entry!$N$333="","",[3]Entry!$N$333)</f>
        <v/>
      </c>
      <c r="AO330">
        <f>IF([3]Entry!$R$333="","",[3]Entry!$R$333)</f>
        <v/>
      </c>
      <c r="AQ330">
        <f>IF(AND($D330&lt;&gt;"",$A330&lt;&gt;""),1,0)</f>
        <v/>
      </c>
      <c r="AR330">
        <f>SUM($AQ$6:$AQ330)</f>
        <v/>
      </c>
      <c r="AS330">
        <f>IFERROR(INDEX($A$6:$A$565,MATCH(ROW()-5,$AR$6:$AR$565,0)),"")</f>
        <v/>
      </c>
    </row>
    <row r="331">
      <c r="A331">
        <f>IF([1]Accounts!$D$332="","",[1]Accounts!$A$332)</f>
        <v/>
      </c>
      <c r="B331">
        <f>IF([1]Accounts!$D$332="","",[1]Accounts!$B$332)</f>
        <v/>
      </c>
      <c r="C331">
        <f>IF([1]Accounts!$D$332="","",[1]Accounts!$C$332)</f>
        <v/>
      </c>
      <c r="D331">
        <f>IF([1]Accounts!$D$332="","",[1]Accounts!$D$332)</f>
        <v/>
      </c>
      <c r="E331">
        <f>IF([1]Accounts!$D$332="","",[1]Accounts!$J$332)</f>
        <v/>
      </c>
      <c r="F331">
        <f>IF([1]Accounts!$D$332="","",[1]Accounts!$K$332)</f>
        <v/>
      </c>
      <c r="U331">
        <f>IF([2]Baskol!$B$334="","",[2]Baskol!$B$334)</f>
        <v/>
      </c>
      <c r="V331">
        <f>IF([2]Baskol!$C$334="","",[2]Baskol!$C$334)</f>
        <v/>
      </c>
      <c r="W331">
        <f>IF([2]Baskol!$D$334="","",[2]Baskol!$D$334)</f>
        <v/>
      </c>
      <c r="X331">
        <f>IF([2]Baskol!$E$334="","",[2]Baskol!$E$334)</f>
        <v/>
      </c>
      <c r="Y331">
        <f>IF([2]Baskol!$G$334="","",[2]Baskol!$G$334)</f>
        <v/>
      </c>
      <c r="Z331">
        <f>IF([2]Baskol!$I$334="","",[2]Baskol!$I$334)</f>
        <v/>
      </c>
      <c r="AA331">
        <f>IF([2]Baskol!$J$334="","",[2]Baskol!$J$334)</f>
        <v/>
      </c>
      <c r="AB331">
        <f>IF([2]Baskol!$K$334="","",[2]Baskol!$K$334)</f>
        <v/>
      </c>
      <c r="AC331">
        <f>IF([2]Baskol!$L$334="","",[2]Baskol!$L$334)</f>
        <v/>
      </c>
      <c r="AD331">
        <f>IF([2]Baskol!$N$334="","",[2]Baskol!$N$334)</f>
        <v/>
      </c>
      <c r="AE331">
        <f>IF([2]Baskol!$O$334="","",[2]Baskol!$O$334)</f>
        <v/>
      </c>
      <c r="AG331">
        <f>IF([3]Entry!$C$334="","",[3]Entry!$C$334)</f>
        <v/>
      </c>
      <c r="AH331">
        <f>IF([3]Entry!$D$334="","",[3]Entry!$D$334)</f>
        <v/>
      </c>
      <c r="AI331">
        <f>IF([3]Entry!$E$334="","",[3]Entry!$E$334)</f>
        <v/>
      </c>
      <c r="AJ331">
        <f>IF([3]Entry!$G$334="","",[3]Entry!$G$334)</f>
        <v/>
      </c>
      <c r="AK331">
        <f>IF([3]Entry!$K$334="","",[3]Entry!$K$334)</f>
        <v/>
      </c>
      <c r="AL331">
        <f>IF([3]Entry!$L$334="","",[3]Entry!$L$334)</f>
        <v/>
      </c>
      <c r="AM331">
        <f>IF([3]Entry!$M$334="","",[3]Entry!$M$334)</f>
        <v/>
      </c>
      <c r="AN331">
        <f>IF([3]Entry!$N$334="","",[3]Entry!$N$334)</f>
        <v/>
      </c>
      <c r="AO331">
        <f>IF([3]Entry!$R$334="","",[3]Entry!$R$334)</f>
        <v/>
      </c>
      <c r="AQ331">
        <f>IF(AND($D331&lt;&gt;"",$A331&lt;&gt;""),1,0)</f>
        <v/>
      </c>
      <c r="AR331">
        <f>SUM($AQ$6:$AQ331)</f>
        <v/>
      </c>
      <c r="AS331">
        <f>IFERROR(INDEX($A$6:$A$565,MATCH(ROW()-5,$AR$6:$AR$565,0)),"")</f>
        <v/>
      </c>
    </row>
    <row r="332">
      <c r="A332">
        <f>IF([1]Accounts!$D$333="","",[1]Accounts!$A$333)</f>
        <v/>
      </c>
      <c r="B332">
        <f>IF([1]Accounts!$D$333="","",[1]Accounts!$B$333)</f>
        <v/>
      </c>
      <c r="C332">
        <f>IF([1]Accounts!$D$333="","",[1]Accounts!$C$333)</f>
        <v/>
      </c>
      <c r="D332">
        <f>IF([1]Accounts!$D$333="","",[1]Accounts!$D$333)</f>
        <v/>
      </c>
      <c r="E332">
        <f>IF([1]Accounts!$D$333="","",[1]Accounts!$J$333)</f>
        <v/>
      </c>
      <c r="F332">
        <f>IF([1]Accounts!$D$333="","",[1]Accounts!$K$333)</f>
        <v/>
      </c>
      <c r="U332">
        <f>IF([2]Baskol!$B$335="","",[2]Baskol!$B$335)</f>
        <v/>
      </c>
      <c r="V332">
        <f>IF([2]Baskol!$C$335="","",[2]Baskol!$C$335)</f>
        <v/>
      </c>
      <c r="W332">
        <f>IF([2]Baskol!$D$335="","",[2]Baskol!$D$335)</f>
        <v/>
      </c>
      <c r="X332">
        <f>IF([2]Baskol!$E$335="","",[2]Baskol!$E$335)</f>
        <v/>
      </c>
      <c r="Y332">
        <f>IF([2]Baskol!$G$335="","",[2]Baskol!$G$335)</f>
        <v/>
      </c>
      <c r="Z332">
        <f>IF([2]Baskol!$I$335="","",[2]Baskol!$I$335)</f>
        <v/>
      </c>
      <c r="AA332">
        <f>IF([2]Baskol!$J$335="","",[2]Baskol!$J$335)</f>
        <v/>
      </c>
      <c r="AB332">
        <f>IF([2]Baskol!$K$335="","",[2]Baskol!$K$335)</f>
        <v/>
      </c>
      <c r="AC332">
        <f>IF([2]Baskol!$L$335="","",[2]Baskol!$L$335)</f>
        <v/>
      </c>
      <c r="AD332">
        <f>IF([2]Baskol!$N$335="","",[2]Baskol!$N$335)</f>
        <v/>
      </c>
      <c r="AE332">
        <f>IF([2]Baskol!$O$335="","",[2]Baskol!$O$335)</f>
        <v/>
      </c>
      <c r="AG332">
        <f>IF([3]Entry!$C$335="","",[3]Entry!$C$335)</f>
        <v/>
      </c>
      <c r="AH332">
        <f>IF([3]Entry!$D$335="","",[3]Entry!$D$335)</f>
        <v/>
      </c>
      <c r="AI332">
        <f>IF([3]Entry!$E$335="","",[3]Entry!$E$335)</f>
        <v/>
      </c>
      <c r="AJ332">
        <f>IF([3]Entry!$G$335="","",[3]Entry!$G$335)</f>
        <v/>
      </c>
      <c r="AK332">
        <f>IF([3]Entry!$K$335="","",[3]Entry!$K$335)</f>
        <v/>
      </c>
      <c r="AL332">
        <f>IF([3]Entry!$L$335="","",[3]Entry!$L$335)</f>
        <v/>
      </c>
      <c r="AM332">
        <f>IF([3]Entry!$M$335="","",[3]Entry!$M$335)</f>
        <v/>
      </c>
      <c r="AN332">
        <f>IF([3]Entry!$N$335="","",[3]Entry!$N$335)</f>
        <v/>
      </c>
      <c r="AO332">
        <f>IF([3]Entry!$R$335="","",[3]Entry!$R$335)</f>
        <v/>
      </c>
      <c r="AQ332">
        <f>IF(AND($D332&lt;&gt;"",$A332&lt;&gt;""),1,0)</f>
        <v/>
      </c>
      <c r="AR332">
        <f>SUM($AQ$6:$AQ332)</f>
        <v/>
      </c>
      <c r="AS332">
        <f>IFERROR(INDEX($A$6:$A$565,MATCH(ROW()-5,$AR$6:$AR$565,0)),"")</f>
        <v/>
      </c>
    </row>
    <row r="333">
      <c r="A333">
        <f>IF([1]Accounts!$D$334="","",[1]Accounts!$A$334)</f>
        <v/>
      </c>
      <c r="B333">
        <f>IF([1]Accounts!$D$334="","",[1]Accounts!$B$334)</f>
        <v/>
      </c>
      <c r="C333">
        <f>IF([1]Accounts!$D$334="","",[1]Accounts!$C$334)</f>
        <v/>
      </c>
      <c r="D333">
        <f>IF([1]Accounts!$D$334="","",[1]Accounts!$D$334)</f>
        <v/>
      </c>
      <c r="E333">
        <f>IF([1]Accounts!$D$334="","",[1]Accounts!$J$334)</f>
        <v/>
      </c>
      <c r="F333">
        <f>IF([1]Accounts!$D$334="","",[1]Accounts!$K$334)</f>
        <v/>
      </c>
      <c r="U333">
        <f>IF([2]Baskol!$B$336="","",[2]Baskol!$B$336)</f>
        <v/>
      </c>
      <c r="V333">
        <f>IF([2]Baskol!$C$336="","",[2]Baskol!$C$336)</f>
        <v/>
      </c>
      <c r="W333">
        <f>IF([2]Baskol!$D$336="","",[2]Baskol!$D$336)</f>
        <v/>
      </c>
      <c r="X333">
        <f>IF([2]Baskol!$E$336="","",[2]Baskol!$E$336)</f>
        <v/>
      </c>
      <c r="Y333">
        <f>IF([2]Baskol!$G$336="","",[2]Baskol!$G$336)</f>
        <v/>
      </c>
      <c r="Z333">
        <f>IF([2]Baskol!$I$336="","",[2]Baskol!$I$336)</f>
        <v/>
      </c>
      <c r="AA333">
        <f>IF([2]Baskol!$J$336="","",[2]Baskol!$J$336)</f>
        <v/>
      </c>
      <c r="AB333">
        <f>IF([2]Baskol!$K$336="","",[2]Baskol!$K$336)</f>
        <v/>
      </c>
      <c r="AC333">
        <f>IF([2]Baskol!$L$336="","",[2]Baskol!$L$336)</f>
        <v/>
      </c>
      <c r="AD333">
        <f>IF([2]Baskol!$N$336="","",[2]Baskol!$N$336)</f>
        <v/>
      </c>
      <c r="AE333">
        <f>IF([2]Baskol!$O$336="","",[2]Baskol!$O$336)</f>
        <v/>
      </c>
      <c r="AG333">
        <f>IF([3]Entry!$C$336="","",[3]Entry!$C$336)</f>
        <v/>
      </c>
      <c r="AH333">
        <f>IF([3]Entry!$D$336="","",[3]Entry!$D$336)</f>
        <v/>
      </c>
      <c r="AI333">
        <f>IF([3]Entry!$E$336="","",[3]Entry!$E$336)</f>
        <v/>
      </c>
      <c r="AJ333">
        <f>IF([3]Entry!$G$336="","",[3]Entry!$G$336)</f>
        <v/>
      </c>
      <c r="AK333">
        <f>IF([3]Entry!$K$336="","",[3]Entry!$K$336)</f>
        <v/>
      </c>
      <c r="AL333">
        <f>IF([3]Entry!$L$336="","",[3]Entry!$L$336)</f>
        <v/>
      </c>
      <c r="AM333">
        <f>IF([3]Entry!$M$336="","",[3]Entry!$M$336)</f>
        <v/>
      </c>
      <c r="AN333">
        <f>IF([3]Entry!$N$336="","",[3]Entry!$N$336)</f>
        <v/>
      </c>
      <c r="AO333">
        <f>IF([3]Entry!$R$336="","",[3]Entry!$R$336)</f>
        <v/>
      </c>
      <c r="AQ333">
        <f>IF(AND($D333&lt;&gt;"",$A333&lt;&gt;""),1,0)</f>
        <v/>
      </c>
      <c r="AR333">
        <f>SUM($AQ$6:$AQ333)</f>
        <v/>
      </c>
      <c r="AS333">
        <f>IFERROR(INDEX($A$6:$A$565,MATCH(ROW()-5,$AR$6:$AR$565,0)),"")</f>
        <v/>
      </c>
    </row>
    <row r="334">
      <c r="A334">
        <f>IF([1]Accounts!$D$335="","",[1]Accounts!$A$335)</f>
        <v/>
      </c>
      <c r="B334">
        <f>IF([1]Accounts!$D$335="","",[1]Accounts!$B$335)</f>
        <v/>
      </c>
      <c r="C334">
        <f>IF([1]Accounts!$D$335="","",[1]Accounts!$C$335)</f>
        <v/>
      </c>
      <c r="D334">
        <f>IF([1]Accounts!$D$335="","",[1]Accounts!$D$335)</f>
        <v/>
      </c>
      <c r="E334">
        <f>IF([1]Accounts!$D$335="","",[1]Accounts!$J$335)</f>
        <v/>
      </c>
      <c r="F334">
        <f>IF([1]Accounts!$D$335="","",[1]Accounts!$K$335)</f>
        <v/>
      </c>
      <c r="U334">
        <f>IF([2]Baskol!$B$337="","",[2]Baskol!$B$337)</f>
        <v/>
      </c>
      <c r="V334">
        <f>IF([2]Baskol!$C$337="","",[2]Baskol!$C$337)</f>
        <v/>
      </c>
      <c r="W334">
        <f>IF([2]Baskol!$D$337="","",[2]Baskol!$D$337)</f>
        <v/>
      </c>
      <c r="X334">
        <f>IF([2]Baskol!$E$337="","",[2]Baskol!$E$337)</f>
        <v/>
      </c>
      <c r="Y334">
        <f>IF([2]Baskol!$G$337="","",[2]Baskol!$G$337)</f>
        <v/>
      </c>
      <c r="Z334">
        <f>IF([2]Baskol!$I$337="","",[2]Baskol!$I$337)</f>
        <v/>
      </c>
      <c r="AA334">
        <f>IF([2]Baskol!$J$337="","",[2]Baskol!$J$337)</f>
        <v/>
      </c>
      <c r="AB334">
        <f>IF([2]Baskol!$K$337="","",[2]Baskol!$K$337)</f>
        <v/>
      </c>
      <c r="AC334">
        <f>IF([2]Baskol!$L$337="","",[2]Baskol!$L$337)</f>
        <v/>
      </c>
      <c r="AD334">
        <f>IF([2]Baskol!$N$337="","",[2]Baskol!$N$337)</f>
        <v/>
      </c>
      <c r="AE334">
        <f>IF([2]Baskol!$O$337="","",[2]Baskol!$O$337)</f>
        <v/>
      </c>
      <c r="AG334">
        <f>IF([3]Entry!$C$337="","",[3]Entry!$C$337)</f>
        <v/>
      </c>
      <c r="AH334">
        <f>IF([3]Entry!$D$337="","",[3]Entry!$D$337)</f>
        <v/>
      </c>
      <c r="AI334">
        <f>IF([3]Entry!$E$337="","",[3]Entry!$E$337)</f>
        <v/>
      </c>
      <c r="AJ334">
        <f>IF([3]Entry!$G$337="","",[3]Entry!$G$337)</f>
        <v/>
      </c>
      <c r="AK334">
        <f>IF([3]Entry!$K$337="","",[3]Entry!$K$337)</f>
        <v/>
      </c>
      <c r="AL334">
        <f>IF([3]Entry!$L$337="","",[3]Entry!$L$337)</f>
        <v/>
      </c>
      <c r="AM334">
        <f>IF([3]Entry!$M$337="","",[3]Entry!$M$337)</f>
        <v/>
      </c>
      <c r="AN334">
        <f>IF([3]Entry!$N$337="","",[3]Entry!$N$337)</f>
        <v/>
      </c>
      <c r="AO334">
        <f>IF([3]Entry!$R$337="","",[3]Entry!$R$337)</f>
        <v/>
      </c>
      <c r="AQ334">
        <f>IF(AND($D334&lt;&gt;"",$A334&lt;&gt;""),1,0)</f>
        <v/>
      </c>
      <c r="AR334">
        <f>SUM($AQ$6:$AQ334)</f>
        <v/>
      </c>
      <c r="AS334">
        <f>IFERROR(INDEX($A$6:$A$565,MATCH(ROW()-5,$AR$6:$AR$565,0)),"")</f>
        <v/>
      </c>
    </row>
    <row r="335">
      <c r="A335">
        <f>IF([1]Accounts!$D$336="","",[1]Accounts!$A$336)</f>
        <v/>
      </c>
      <c r="B335">
        <f>IF([1]Accounts!$D$336="","",[1]Accounts!$B$336)</f>
        <v/>
      </c>
      <c r="C335">
        <f>IF([1]Accounts!$D$336="","",[1]Accounts!$C$336)</f>
        <v/>
      </c>
      <c r="D335">
        <f>IF([1]Accounts!$D$336="","",[1]Accounts!$D$336)</f>
        <v/>
      </c>
      <c r="E335">
        <f>IF([1]Accounts!$D$336="","",[1]Accounts!$J$336)</f>
        <v/>
      </c>
      <c r="F335">
        <f>IF([1]Accounts!$D$336="","",[1]Accounts!$K$336)</f>
        <v/>
      </c>
      <c r="U335">
        <f>IF([2]Baskol!$B$338="","",[2]Baskol!$B$338)</f>
        <v/>
      </c>
      <c r="V335">
        <f>IF([2]Baskol!$C$338="","",[2]Baskol!$C$338)</f>
        <v/>
      </c>
      <c r="W335">
        <f>IF([2]Baskol!$D$338="","",[2]Baskol!$D$338)</f>
        <v/>
      </c>
      <c r="X335">
        <f>IF([2]Baskol!$E$338="","",[2]Baskol!$E$338)</f>
        <v/>
      </c>
      <c r="Y335">
        <f>IF([2]Baskol!$G$338="","",[2]Baskol!$G$338)</f>
        <v/>
      </c>
      <c r="Z335">
        <f>IF([2]Baskol!$I$338="","",[2]Baskol!$I$338)</f>
        <v/>
      </c>
      <c r="AA335">
        <f>IF([2]Baskol!$J$338="","",[2]Baskol!$J$338)</f>
        <v/>
      </c>
      <c r="AB335">
        <f>IF([2]Baskol!$K$338="","",[2]Baskol!$K$338)</f>
        <v/>
      </c>
      <c r="AC335">
        <f>IF([2]Baskol!$L$338="","",[2]Baskol!$L$338)</f>
        <v/>
      </c>
      <c r="AD335">
        <f>IF([2]Baskol!$N$338="","",[2]Baskol!$N$338)</f>
        <v/>
      </c>
      <c r="AE335">
        <f>IF([2]Baskol!$O$338="","",[2]Baskol!$O$338)</f>
        <v/>
      </c>
      <c r="AG335">
        <f>IF([3]Entry!$C$338="","",[3]Entry!$C$338)</f>
        <v/>
      </c>
      <c r="AH335">
        <f>IF([3]Entry!$D$338="","",[3]Entry!$D$338)</f>
        <v/>
      </c>
      <c r="AI335">
        <f>IF([3]Entry!$E$338="","",[3]Entry!$E$338)</f>
        <v/>
      </c>
      <c r="AJ335">
        <f>IF([3]Entry!$G$338="","",[3]Entry!$G$338)</f>
        <v/>
      </c>
      <c r="AK335">
        <f>IF([3]Entry!$K$338="","",[3]Entry!$K$338)</f>
        <v/>
      </c>
      <c r="AL335">
        <f>IF([3]Entry!$L$338="","",[3]Entry!$L$338)</f>
        <v/>
      </c>
      <c r="AM335">
        <f>IF([3]Entry!$M$338="","",[3]Entry!$M$338)</f>
        <v/>
      </c>
      <c r="AN335">
        <f>IF([3]Entry!$N$338="","",[3]Entry!$N$338)</f>
        <v/>
      </c>
      <c r="AO335">
        <f>IF([3]Entry!$R$338="","",[3]Entry!$R$338)</f>
        <v/>
      </c>
      <c r="AQ335">
        <f>IF(AND($D335&lt;&gt;"",$A335&lt;&gt;""),1,0)</f>
        <v/>
      </c>
      <c r="AR335">
        <f>SUM($AQ$6:$AQ335)</f>
        <v/>
      </c>
      <c r="AS335">
        <f>IFERROR(INDEX($A$6:$A$565,MATCH(ROW()-5,$AR$6:$AR$565,0)),"")</f>
        <v/>
      </c>
    </row>
    <row r="336">
      <c r="A336">
        <f>IF([1]Accounts!$D$337="","",[1]Accounts!$A$337)</f>
        <v/>
      </c>
      <c r="B336">
        <f>IF([1]Accounts!$D$337="","",[1]Accounts!$B$337)</f>
        <v/>
      </c>
      <c r="C336">
        <f>IF([1]Accounts!$D$337="","",[1]Accounts!$C$337)</f>
        <v/>
      </c>
      <c r="D336">
        <f>IF([1]Accounts!$D$337="","",[1]Accounts!$D$337)</f>
        <v/>
      </c>
      <c r="E336">
        <f>IF([1]Accounts!$D$337="","",[1]Accounts!$J$337)</f>
        <v/>
      </c>
      <c r="F336">
        <f>IF([1]Accounts!$D$337="","",[1]Accounts!$K$337)</f>
        <v/>
      </c>
      <c r="U336">
        <f>IF([2]Baskol!$B$339="","",[2]Baskol!$B$339)</f>
        <v/>
      </c>
      <c r="V336">
        <f>IF([2]Baskol!$C$339="","",[2]Baskol!$C$339)</f>
        <v/>
      </c>
      <c r="W336">
        <f>IF([2]Baskol!$D$339="","",[2]Baskol!$D$339)</f>
        <v/>
      </c>
      <c r="X336">
        <f>IF([2]Baskol!$E$339="","",[2]Baskol!$E$339)</f>
        <v/>
      </c>
      <c r="Y336">
        <f>IF([2]Baskol!$G$339="","",[2]Baskol!$G$339)</f>
        <v/>
      </c>
      <c r="Z336">
        <f>IF([2]Baskol!$I$339="","",[2]Baskol!$I$339)</f>
        <v/>
      </c>
      <c r="AA336">
        <f>IF([2]Baskol!$J$339="","",[2]Baskol!$J$339)</f>
        <v/>
      </c>
      <c r="AB336">
        <f>IF([2]Baskol!$K$339="","",[2]Baskol!$K$339)</f>
        <v/>
      </c>
      <c r="AC336">
        <f>IF([2]Baskol!$L$339="","",[2]Baskol!$L$339)</f>
        <v/>
      </c>
      <c r="AD336">
        <f>IF([2]Baskol!$N$339="","",[2]Baskol!$N$339)</f>
        <v/>
      </c>
      <c r="AE336">
        <f>IF([2]Baskol!$O$339="","",[2]Baskol!$O$339)</f>
        <v/>
      </c>
      <c r="AG336">
        <f>IF([3]Entry!$C$339="","",[3]Entry!$C$339)</f>
        <v/>
      </c>
      <c r="AH336">
        <f>IF([3]Entry!$D$339="","",[3]Entry!$D$339)</f>
        <v/>
      </c>
      <c r="AI336">
        <f>IF([3]Entry!$E$339="","",[3]Entry!$E$339)</f>
        <v/>
      </c>
      <c r="AJ336">
        <f>IF([3]Entry!$G$339="","",[3]Entry!$G$339)</f>
        <v/>
      </c>
      <c r="AK336">
        <f>IF([3]Entry!$K$339="","",[3]Entry!$K$339)</f>
        <v/>
      </c>
      <c r="AL336">
        <f>IF([3]Entry!$L$339="","",[3]Entry!$L$339)</f>
        <v/>
      </c>
      <c r="AM336">
        <f>IF([3]Entry!$M$339="","",[3]Entry!$M$339)</f>
        <v/>
      </c>
      <c r="AN336">
        <f>IF([3]Entry!$N$339="","",[3]Entry!$N$339)</f>
        <v/>
      </c>
      <c r="AO336">
        <f>IF([3]Entry!$R$339="","",[3]Entry!$R$339)</f>
        <v/>
      </c>
      <c r="AQ336">
        <f>IF(AND($D336&lt;&gt;"",$A336&lt;&gt;""),1,0)</f>
        <v/>
      </c>
      <c r="AR336">
        <f>SUM($AQ$6:$AQ336)</f>
        <v/>
      </c>
      <c r="AS336">
        <f>IFERROR(INDEX($A$6:$A$565,MATCH(ROW()-5,$AR$6:$AR$565,0)),"")</f>
        <v/>
      </c>
    </row>
    <row r="337">
      <c r="A337">
        <f>IF([1]Accounts!$D$338="","",[1]Accounts!$A$338)</f>
        <v/>
      </c>
      <c r="B337">
        <f>IF([1]Accounts!$D$338="","",[1]Accounts!$B$338)</f>
        <v/>
      </c>
      <c r="C337">
        <f>IF([1]Accounts!$D$338="","",[1]Accounts!$C$338)</f>
        <v/>
      </c>
      <c r="D337">
        <f>IF([1]Accounts!$D$338="","",[1]Accounts!$D$338)</f>
        <v/>
      </c>
      <c r="E337">
        <f>IF([1]Accounts!$D$338="","",[1]Accounts!$J$338)</f>
        <v/>
      </c>
      <c r="F337">
        <f>IF([1]Accounts!$D$338="","",[1]Accounts!$K$338)</f>
        <v/>
      </c>
      <c r="U337">
        <f>IF([2]Baskol!$B$340="","",[2]Baskol!$B$340)</f>
        <v/>
      </c>
      <c r="V337">
        <f>IF([2]Baskol!$C$340="","",[2]Baskol!$C$340)</f>
        <v/>
      </c>
      <c r="W337">
        <f>IF([2]Baskol!$D$340="","",[2]Baskol!$D$340)</f>
        <v/>
      </c>
      <c r="X337">
        <f>IF([2]Baskol!$E$340="","",[2]Baskol!$E$340)</f>
        <v/>
      </c>
      <c r="Y337">
        <f>IF([2]Baskol!$G$340="","",[2]Baskol!$G$340)</f>
        <v/>
      </c>
      <c r="Z337">
        <f>IF([2]Baskol!$I$340="","",[2]Baskol!$I$340)</f>
        <v/>
      </c>
      <c r="AA337">
        <f>IF([2]Baskol!$J$340="","",[2]Baskol!$J$340)</f>
        <v/>
      </c>
      <c r="AB337">
        <f>IF([2]Baskol!$K$340="","",[2]Baskol!$K$340)</f>
        <v/>
      </c>
      <c r="AC337">
        <f>IF([2]Baskol!$L$340="","",[2]Baskol!$L$340)</f>
        <v/>
      </c>
      <c r="AD337">
        <f>IF([2]Baskol!$N$340="","",[2]Baskol!$N$340)</f>
        <v/>
      </c>
      <c r="AE337">
        <f>IF([2]Baskol!$O$340="","",[2]Baskol!$O$340)</f>
        <v/>
      </c>
      <c r="AG337">
        <f>IF([3]Entry!$C$340="","",[3]Entry!$C$340)</f>
        <v/>
      </c>
      <c r="AH337">
        <f>IF([3]Entry!$D$340="","",[3]Entry!$D$340)</f>
        <v/>
      </c>
      <c r="AI337">
        <f>IF([3]Entry!$E$340="","",[3]Entry!$E$340)</f>
        <v/>
      </c>
      <c r="AJ337">
        <f>IF([3]Entry!$G$340="","",[3]Entry!$G$340)</f>
        <v/>
      </c>
      <c r="AK337">
        <f>IF([3]Entry!$K$340="","",[3]Entry!$K$340)</f>
        <v/>
      </c>
      <c r="AL337">
        <f>IF([3]Entry!$L$340="","",[3]Entry!$L$340)</f>
        <v/>
      </c>
      <c r="AM337">
        <f>IF([3]Entry!$M$340="","",[3]Entry!$M$340)</f>
        <v/>
      </c>
      <c r="AN337">
        <f>IF([3]Entry!$N$340="","",[3]Entry!$N$340)</f>
        <v/>
      </c>
      <c r="AO337">
        <f>IF([3]Entry!$R$340="","",[3]Entry!$R$340)</f>
        <v/>
      </c>
      <c r="AQ337">
        <f>IF(AND($D337&lt;&gt;"",$A337&lt;&gt;""),1,0)</f>
        <v/>
      </c>
      <c r="AR337">
        <f>SUM($AQ$6:$AQ337)</f>
        <v/>
      </c>
      <c r="AS337">
        <f>IFERROR(INDEX($A$6:$A$565,MATCH(ROW()-5,$AR$6:$AR$565,0)),"")</f>
        <v/>
      </c>
    </row>
    <row r="338">
      <c r="A338">
        <f>IF([1]Accounts!$D$339="","",[1]Accounts!$A$339)</f>
        <v/>
      </c>
      <c r="B338">
        <f>IF([1]Accounts!$D$339="","",[1]Accounts!$B$339)</f>
        <v/>
      </c>
      <c r="C338">
        <f>IF([1]Accounts!$D$339="","",[1]Accounts!$C$339)</f>
        <v/>
      </c>
      <c r="D338">
        <f>IF([1]Accounts!$D$339="","",[1]Accounts!$D$339)</f>
        <v/>
      </c>
      <c r="E338">
        <f>IF([1]Accounts!$D$339="","",[1]Accounts!$J$339)</f>
        <v/>
      </c>
      <c r="F338">
        <f>IF([1]Accounts!$D$339="","",[1]Accounts!$K$339)</f>
        <v/>
      </c>
      <c r="U338">
        <f>IF([2]Baskol!$B$341="","",[2]Baskol!$B$341)</f>
        <v/>
      </c>
      <c r="V338">
        <f>IF([2]Baskol!$C$341="","",[2]Baskol!$C$341)</f>
        <v/>
      </c>
      <c r="W338">
        <f>IF([2]Baskol!$D$341="","",[2]Baskol!$D$341)</f>
        <v/>
      </c>
      <c r="X338">
        <f>IF([2]Baskol!$E$341="","",[2]Baskol!$E$341)</f>
        <v/>
      </c>
      <c r="Y338">
        <f>IF([2]Baskol!$G$341="","",[2]Baskol!$G$341)</f>
        <v/>
      </c>
      <c r="Z338">
        <f>IF([2]Baskol!$I$341="","",[2]Baskol!$I$341)</f>
        <v/>
      </c>
      <c r="AA338">
        <f>IF([2]Baskol!$J$341="","",[2]Baskol!$J$341)</f>
        <v/>
      </c>
      <c r="AB338">
        <f>IF([2]Baskol!$K$341="","",[2]Baskol!$K$341)</f>
        <v/>
      </c>
      <c r="AC338">
        <f>IF([2]Baskol!$L$341="","",[2]Baskol!$L$341)</f>
        <v/>
      </c>
      <c r="AD338">
        <f>IF([2]Baskol!$N$341="","",[2]Baskol!$N$341)</f>
        <v/>
      </c>
      <c r="AE338">
        <f>IF([2]Baskol!$O$341="","",[2]Baskol!$O$341)</f>
        <v/>
      </c>
      <c r="AG338">
        <f>IF([3]Entry!$C$341="","",[3]Entry!$C$341)</f>
        <v/>
      </c>
      <c r="AH338">
        <f>IF([3]Entry!$D$341="","",[3]Entry!$D$341)</f>
        <v/>
      </c>
      <c r="AI338">
        <f>IF([3]Entry!$E$341="","",[3]Entry!$E$341)</f>
        <v/>
      </c>
      <c r="AJ338">
        <f>IF([3]Entry!$G$341="","",[3]Entry!$G$341)</f>
        <v/>
      </c>
      <c r="AK338">
        <f>IF([3]Entry!$K$341="","",[3]Entry!$K$341)</f>
        <v/>
      </c>
      <c r="AL338">
        <f>IF([3]Entry!$L$341="","",[3]Entry!$L$341)</f>
        <v/>
      </c>
      <c r="AM338">
        <f>IF([3]Entry!$M$341="","",[3]Entry!$M$341)</f>
        <v/>
      </c>
      <c r="AN338">
        <f>IF([3]Entry!$N$341="","",[3]Entry!$N$341)</f>
        <v/>
      </c>
      <c r="AO338">
        <f>IF([3]Entry!$R$341="","",[3]Entry!$R$341)</f>
        <v/>
      </c>
      <c r="AQ338">
        <f>IF(AND($D338&lt;&gt;"",$A338&lt;&gt;""),1,0)</f>
        <v/>
      </c>
      <c r="AR338">
        <f>SUM($AQ$6:$AQ338)</f>
        <v/>
      </c>
      <c r="AS338">
        <f>IFERROR(INDEX($A$6:$A$565,MATCH(ROW()-5,$AR$6:$AR$565,0)),"")</f>
        <v/>
      </c>
    </row>
    <row r="339">
      <c r="A339">
        <f>IF([1]Accounts!$D$340="","",[1]Accounts!$A$340)</f>
        <v/>
      </c>
      <c r="B339">
        <f>IF([1]Accounts!$D$340="","",[1]Accounts!$B$340)</f>
        <v/>
      </c>
      <c r="C339">
        <f>IF([1]Accounts!$D$340="","",[1]Accounts!$C$340)</f>
        <v/>
      </c>
      <c r="D339">
        <f>IF([1]Accounts!$D$340="","",[1]Accounts!$D$340)</f>
        <v/>
      </c>
      <c r="E339">
        <f>IF([1]Accounts!$D$340="","",[1]Accounts!$J$340)</f>
        <v/>
      </c>
      <c r="F339">
        <f>IF([1]Accounts!$D$340="","",[1]Accounts!$K$340)</f>
        <v/>
      </c>
      <c r="U339">
        <f>IF([2]Baskol!$B$342="","",[2]Baskol!$B$342)</f>
        <v/>
      </c>
      <c r="V339">
        <f>IF([2]Baskol!$C$342="","",[2]Baskol!$C$342)</f>
        <v/>
      </c>
      <c r="W339">
        <f>IF([2]Baskol!$D$342="","",[2]Baskol!$D$342)</f>
        <v/>
      </c>
      <c r="X339">
        <f>IF([2]Baskol!$E$342="","",[2]Baskol!$E$342)</f>
        <v/>
      </c>
      <c r="Y339">
        <f>IF([2]Baskol!$G$342="","",[2]Baskol!$G$342)</f>
        <v/>
      </c>
      <c r="Z339">
        <f>IF([2]Baskol!$I$342="","",[2]Baskol!$I$342)</f>
        <v/>
      </c>
      <c r="AA339">
        <f>IF([2]Baskol!$J$342="","",[2]Baskol!$J$342)</f>
        <v/>
      </c>
      <c r="AB339">
        <f>IF([2]Baskol!$K$342="","",[2]Baskol!$K$342)</f>
        <v/>
      </c>
      <c r="AC339">
        <f>IF([2]Baskol!$L$342="","",[2]Baskol!$L$342)</f>
        <v/>
      </c>
      <c r="AD339">
        <f>IF([2]Baskol!$N$342="","",[2]Baskol!$N$342)</f>
        <v/>
      </c>
      <c r="AE339">
        <f>IF([2]Baskol!$O$342="","",[2]Baskol!$O$342)</f>
        <v/>
      </c>
      <c r="AG339">
        <f>IF([3]Entry!$C$342="","",[3]Entry!$C$342)</f>
        <v/>
      </c>
      <c r="AH339">
        <f>IF([3]Entry!$D$342="","",[3]Entry!$D$342)</f>
        <v/>
      </c>
      <c r="AI339">
        <f>IF([3]Entry!$E$342="","",[3]Entry!$E$342)</f>
        <v/>
      </c>
      <c r="AJ339">
        <f>IF([3]Entry!$G$342="","",[3]Entry!$G$342)</f>
        <v/>
      </c>
      <c r="AK339">
        <f>IF([3]Entry!$K$342="","",[3]Entry!$K$342)</f>
        <v/>
      </c>
      <c r="AL339">
        <f>IF([3]Entry!$L$342="","",[3]Entry!$L$342)</f>
        <v/>
      </c>
      <c r="AM339">
        <f>IF([3]Entry!$M$342="","",[3]Entry!$M$342)</f>
        <v/>
      </c>
      <c r="AN339">
        <f>IF([3]Entry!$N$342="","",[3]Entry!$N$342)</f>
        <v/>
      </c>
      <c r="AO339">
        <f>IF([3]Entry!$R$342="","",[3]Entry!$R$342)</f>
        <v/>
      </c>
      <c r="AQ339">
        <f>IF(AND($D339&lt;&gt;"",$A339&lt;&gt;""),1,0)</f>
        <v/>
      </c>
      <c r="AR339">
        <f>SUM($AQ$6:$AQ339)</f>
        <v/>
      </c>
      <c r="AS339">
        <f>IFERROR(INDEX($A$6:$A$565,MATCH(ROW()-5,$AR$6:$AR$565,0)),"")</f>
        <v/>
      </c>
    </row>
    <row r="340">
      <c r="A340">
        <f>IF([1]Accounts!$D$341="","",[1]Accounts!$A$341)</f>
        <v/>
      </c>
      <c r="B340">
        <f>IF([1]Accounts!$D$341="","",[1]Accounts!$B$341)</f>
        <v/>
      </c>
      <c r="C340">
        <f>IF([1]Accounts!$D$341="","",[1]Accounts!$C$341)</f>
        <v/>
      </c>
      <c r="D340">
        <f>IF([1]Accounts!$D$341="","",[1]Accounts!$D$341)</f>
        <v/>
      </c>
      <c r="E340">
        <f>IF([1]Accounts!$D$341="","",[1]Accounts!$J$341)</f>
        <v/>
      </c>
      <c r="F340">
        <f>IF([1]Accounts!$D$341="","",[1]Accounts!$K$341)</f>
        <v/>
      </c>
      <c r="U340">
        <f>IF([2]Baskol!$B$343="","",[2]Baskol!$B$343)</f>
        <v/>
      </c>
      <c r="V340">
        <f>IF([2]Baskol!$C$343="","",[2]Baskol!$C$343)</f>
        <v/>
      </c>
      <c r="W340">
        <f>IF([2]Baskol!$D$343="","",[2]Baskol!$D$343)</f>
        <v/>
      </c>
      <c r="X340">
        <f>IF([2]Baskol!$E$343="","",[2]Baskol!$E$343)</f>
        <v/>
      </c>
      <c r="Y340">
        <f>IF([2]Baskol!$G$343="","",[2]Baskol!$G$343)</f>
        <v/>
      </c>
      <c r="Z340">
        <f>IF([2]Baskol!$I$343="","",[2]Baskol!$I$343)</f>
        <v/>
      </c>
      <c r="AA340">
        <f>IF([2]Baskol!$J$343="","",[2]Baskol!$J$343)</f>
        <v/>
      </c>
      <c r="AB340">
        <f>IF([2]Baskol!$K$343="","",[2]Baskol!$K$343)</f>
        <v/>
      </c>
      <c r="AC340">
        <f>IF([2]Baskol!$L$343="","",[2]Baskol!$L$343)</f>
        <v/>
      </c>
      <c r="AD340">
        <f>IF([2]Baskol!$N$343="","",[2]Baskol!$N$343)</f>
        <v/>
      </c>
      <c r="AE340">
        <f>IF([2]Baskol!$O$343="","",[2]Baskol!$O$343)</f>
        <v/>
      </c>
      <c r="AG340">
        <f>IF([3]Entry!$C$343="","",[3]Entry!$C$343)</f>
        <v/>
      </c>
      <c r="AH340">
        <f>IF([3]Entry!$D$343="","",[3]Entry!$D$343)</f>
        <v/>
      </c>
      <c r="AI340">
        <f>IF([3]Entry!$E$343="","",[3]Entry!$E$343)</f>
        <v/>
      </c>
      <c r="AJ340">
        <f>IF([3]Entry!$G$343="","",[3]Entry!$G$343)</f>
        <v/>
      </c>
      <c r="AK340">
        <f>IF([3]Entry!$K$343="","",[3]Entry!$K$343)</f>
        <v/>
      </c>
      <c r="AL340">
        <f>IF([3]Entry!$L$343="","",[3]Entry!$L$343)</f>
        <v/>
      </c>
      <c r="AM340">
        <f>IF([3]Entry!$M$343="","",[3]Entry!$M$343)</f>
        <v/>
      </c>
      <c r="AN340">
        <f>IF([3]Entry!$N$343="","",[3]Entry!$N$343)</f>
        <v/>
      </c>
      <c r="AO340">
        <f>IF([3]Entry!$R$343="","",[3]Entry!$R$343)</f>
        <v/>
      </c>
      <c r="AQ340">
        <f>IF(AND($D340&lt;&gt;"",$A340&lt;&gt;""),1,0)</f>
        <v/>
      </c>
      <c r="AR340">
        <f>SUM($AQ$6:$AQ340)</f>
        <v/>
      </c>
      <c r="AS340">
        <f>IFERROR(INDEX($A$6:$A$565,MATCH(ROW()-5,$AR$6:$AR$565,0)),"")</f>
        <v/>
      </c>
    </row>
    <row r="341">
      <c r="A341">
        <f>IF([1]Accounts!$D$342="","",[1]Accounts!$A$342)</f>
        <v/>
      </c>
      <c r="B341">
        <f>IF([1]Accounts!$D$342="","",[1]Accounts!$B$342)</f>
        <v/>
      </c>
      <c r="C341">
        <f>IF([1]Accounts!$D$342="","",[1]Accounts!$C$342)</f>
        <v/>
      </c>
      <c r="D341">
        <f>IF([1]Accounts!$D$342="","",[1]Accounts!$D$342)</f>
        <v/>
      </c>
      <c r="E341">
        <f>IF([1]Accounts!$D$342="","",[1]Accounts!$J$342)</f>
        <v/>
      </c>
      <c r="F341">
        <f>IF([1]Accounts!$D$342="","",[1]Accounts!$K$342)</f>
        <v/>
      </c>
      <c r="U341">
        <f>IF([2]Baskol!$B$344="","",[2]Baskol!$B$344)</f>
        <v/>
      </c>
      <c r="V341">
        <f>IF([2]Baskol!$C$344="","",[2]Baskol!$C$344)</f>
        <v/>
      </c>
      <c r="W341">
        <f>IF([2]Baskol!$D$344="","",[2]Baskol!$D$344)</f>
        <v/>
      </c>
      <c r="X341">
        <f>IF([2]Baskol!$E$344="","",[2]Baskol!$E$344)</f>
        <v/>
      </c>
      <c r="Y341">
        <f>IF([2]Baskol!$G$344="","",[2]Baskol!$G$344)</f>
        <v/>
      </c>
      <c r="Z341">
        <f>IF([2]Baskol!$I$344="","",[2]Baskol!$I$344)</f>
        <v/>
      </c>
      <c r="AA341">
        <f>IF([2]Baskol!$J$344="","",[2]Baskol!$J$344)</f>
        <v/>
      </c>
      <c r="AB341">
        <f>IF([2]Baskol!$K$344="","",[2]Baskol!$K$344)</f>
        <v/>
      </c>
      <c r="AC341">
        <f>IF([2]Baskol!$L$344="","",[2]Baskol!$L$344)</f>
        <v/>
      </c>
      <c r="AD341">
        <f>IF([2]Baskol!$N$344="","",[2]Baskol!$N$344)</f>
        <v/>
      </c>
      <c r="AE341">
        <f>IF([2]Baskol!$O$344="","",[2]Baskol!$O$344)</f>
        <v/>
      </c>
      <c r="AG341">
        <f>IF([3]Entry!$C$344="","",[3]Entry!$C$344)</f>
        <v/>
      </c>
      <c r="AH341">
        <f>IF([3]Entry!$D$344="","",[3]Entry!$D$344)</f>
        <v/>
      </c>
      <c r="AI341">
        <f>IF([3]Entry!$E$344="","",[3]Entry!$E$344)</f>
        <v/>
      </c>
      <c r="AJ341">
        <f>IF([3]Entry!$G$344="","",[3]Entry!$G$344)</f>
        <v/>
      </c>
      <c r="AK341">
        <f>IF([3]Entry!$K$344="","",[3]Entry!$K$344)</f>
        <v/>
      </c>
      <c r="AL341">
        <f>IF([3]Entry!$L$344="","",[3]Entry!$L$344)</f>
        <v/>
      </c>
      <c r="AM341">
        <f>IF([3]Entry!$M$344="","",[3]Entry!$M$344)</f>
        <v/>
      </c>
      <c r="AN341">
        <f>IF([3]Entry!$N$344="","",[3]Entry!$N$344)</f>
        <v/>
      </c>
      <c r="AO341">
        <f>IF([3]Entry!$R$344="","",[3]Entry!$R$344)</f>
        <v/>
      </c>
      <c r="AQ341">
        <f>IF(AND($D341&lt;&gt;"",$A341&lt;&gt;""),1,0)</f>
        <v/>
      </c>
      <c r="AR341">
        <f>SUM($AQ$6:$AQ341)</f>
        <v/>
      </c>
      <c r="AS341">
        <f>IFERROR(INDEX($A$6:$A$565,MATCH(ROW()-5,$AR$6:$AR$565,0)),"")</f>
        <v/>
      </c>
    </row>
    <row r="342">
      <c r="A342">
        <f>IF([1]Accounts!$D$343="","",[1]Accounts!$A$343)</f>
        <v/>
      </c>
      <c r="B342">
        <f>IF([1]Accounts!$D$343="","",[1]Accounts!$B$343)</f>
        <v/>
      </c>
      <c r="C342">
        <f>IF([1]Accounts!$D$343="","",[1]Accounts!$C$343)</f>
        <v/>
      </c>
      <c r="D342">
        <f>IF([1]Accounts!$D$343="","",[1]Accounts!$D$343)</f>
        <v/>
      </c>
      <c r="E342">
        <f>IF([1]Accounts!$D$343="","",[1]Accounts!$J$343)</f>
        <v/>
      </c>
      <c r="F342">
        <f>IF([1]Accounts!$D$343="","",[1]Accounts!$K$343)</f>
        <v/>
      </c>
      <c r="U342">
        <f>IF([2]Baskol!$B$345="","",[2]Baskol!$B$345)</f>
        <v/>
      </c>
      <c r="V342">
        <f>IF([2]Baskol!$C$345="","",[2]Baskol!$C$345)</f>
        <v/>
      </c>
      <c r="W342">
        <f>IF([2]Baskol!$D$345="","",[2]Baskol!$D$345)</f>
        <v/>
      </c>
      <c r="X342">
        <f>IF([2]Baskol!$E$345="","",[2]Baskol!$E$345)</f>
        <v/>
      </c>
      <c r="Y342">
        <f>IF([2]Baskol!$G$345="","",[2]Baskol!$G$345)</f>
        <v/>
      </c>
      <c r="Z342">
        <f>IF([2]Baskol!$I$345="","",[2]Baskol!$I$345)</f>
        <v/>
      </c>
      <c r="AA342">
        <f>IF([2]Baskol!$J$345="","",[2]Baskol!$J$345)</f>
        <v/>
      </c>
      <c r="AB342">
        <f>IF([2]Baskol!$K$345="","",[2]Baskol!$K$345)</f>
        <v/>
      </c>
      <c r="AC342">
        <f>IF([2]Baskol!$L$345="","",[2]Baskol!$L$345)</f>
        <v/>
      </c>
      <c r="AD342">
        <f>IF([2]Baskol!$N$345="","",[2]Baskol!$N$345)</f>
        <v/>
      </c>
      <c r="AE342">
        <f>IF([2]Baskol!$O$345="","",[2]Baskol!$O$345)</f>
        <v/>
      </c>
      <c r="AG342">
        <f>IF([3]Entry!$C$345="","",[3]Entry!$C$345)</f>
        <v/>
      </c>
      <c r="AH342">
        <f>IF([3]Entry!$D$345="","",[3]Entry!$D$345)</f>
        <v/>
      </c>
      <c r="AI342">
        <f>IF([3]Entry!$E$345="","",[3]Entry!$E$345)</f>
        <v/>
      </c>
      <c r="AJ342">
        <f>IF([3]Entry!$G$345="","",[3]Entry!$G$345)</f>
        <v/>
      </c>
      <c r="AK342">
        <f>IF([3]Entry!$K$345="","",[3]Entry!$K$345)</f>
        <v/>
      </c>
      <c r="AL342">
        <f>IF([3]Entry!$L$345="","",[3]Entry!$L$345)</f>
        <v/>
      </c>
      <c r="AM342">
        <f>IF([3]Entry!$M$345="","",[3]Entry!$M$345)</f>
        <v/>
      </c>
      <c r="AN342">
        <f>IF([3]Entry!$N$345="","",[3]Entry!$N$345)</f>
        <v/>
      </c>
      <c r="AO342">
        <f>IF([3]Entry!$R$345="","",[3]Entry!$R$345)</f>
        <v/>
      </c>
      <c r="AQ342">
        <f>IF(AND($D342&lt;&gt;"",$A342&lt;&gt;""),1,0)</f>
        <v/>
      </c>
      <c r="AR342">
        <f>SUM($AQ$6:$AQ342)</f>
        <v/>
      </c>
      <c r="AS342">
        <f>IFERROR(INDEX($A$6:$A$565,MATCH(ROW()-5,$AR$6:$AR$565,0)),"")</f>
        <v/>
      </c>
    </row>
    <row r="343">
      <c r="A343">
        <f>IF([1]Accounts!$D$344="","",[1]Accounts!$A$344)</f>
        <v/>
      </c>
      <c r="B343">
        <f>IF([1]Accounts!$D$344="","",[1]Accounts!$B$344)</f>
        <v/>
      </c>
      <c r="C343">
        <f>IF([1]Accounts!$D$344="","",[1]Accounts!$C$344)</f>
        <v/>
      </c>
      <c r="D343">
        <f>IF([1]Accounts!$D$344="","",[1]Accounts!$D$344)</f>
        <v/>
      </c>
      <c r="E343">
        <f>IF([1]Accounts!$D$344="","",[1]Accounts!$J$344)</f>
        <v/>
      </c>
      <c r="F343">
        <f>IF([1]Accounts!$D$344="","",[1]Accounts!$K$344)</f>
        <v/>
      </c>
      <c r="U343">
        <f>IF([2]Baskol!$B$346="","",[2]Baskol!$B$346)</f>
        <v/>
      </c>
      <c r="V343">
        <f>IF([2]Baskol!$C$346="","",[2]Baskol!$C$346)</f>
        <v/>
      </c>
      <c r="W343">
        <f>IF([2]Baskol!$D$346="","",[2]Baskol!$D$346)</f>
        <v/>
      </c>
      <c r="X343">
        <f>IF([2]Baskol!$E$346="","",[2]Baskol!$E$346)</f>
        <v/>
      </c>
      <c r="Y343">
        <f>IF([2]Baskol!$G$346="","",[2]Baskol!$G$346)</f>
        <v/>
      </c>
      <c r="Z343">
        <f>IF([2]Baskol!$I$346="","",[2]Baskol!$I$346)</f>
        <v/>
      </c>
      <c r="AA343">
        <f>IF([2]Baskol!$J$346="","",[2]Baskol!$J$346)</f>
        <v/>
      </c>
      <c r="AB343">
        <f>IF([2]Baskol!$K$346="","",[2]Baskol!$K$346)</f>
        <v/>
      </c>
      <c r="AC343">
        <f>IF([2]Baskol!$L$346="","",[2]Baskol!$L$346)</f>
        <v/>
      </c>
      <c r="AD343">
        <f>IF([2]Baskol!$N$346="","",[2]Baskol!$N$346)</f>
        <v/>
      </c>
      <c r="AE343">
        <f>IF([2]Baskol!$O$346="","",[2]Baskol!$O$346)</f>
        <v/>
      </c>
      <c r="AG343">
        <f>IF([3]Entry!$C$346="","",[3]Entry!$C$346)</f>
        <v/>
      </c>
      <c r="AH343">
        <f>IF([3]Entry!$D$346="","",[3]Entry!$D$346)</f>
        <v/>
      </c>
      <c r="AI343">
        <f>IF([3]Entry!$E$346="","",[3]Entry!$E$346)</f>
        <v/>
      </c>
      <c r="AJ343">
        <f>IF([3]Entry!$G$346="","",[3]Entry!$G$346)</f>
        <v/>
      </c>
      <c r="AK343">
        <f>IF([3]Entry!$K$346="","",[3]Entry!$K$346)</f>
        <v/>
      </c>
      <c r="AL343">
        <f>IF([3]Entry!$L$346="","",[3]Entry!$L$346)</f>
        <v/>
      </c>
      <c r="AM343">
        <f>IF([3]Entry!$M$346="","",[3]Entry!$M$346)</f>
        <v/>
      </c>
      <c r="AN343">
        <f>IF([3]Entry!$N$346="","",[3]Entry!$N$346)</f>
        <v/>
      </c>
      <c r="AO343">
        <f>IF([3]Entry!$R$346="","",[3]Entry!$R$346)</f>
        <v/>
      </c>
      <c r="AQ343">
        <f>IF(AND($D343&lt;&gt;"",$A343&lt;&gt;""),1,0)</f>
        <v/>
      </c>
      <c r="AR343">
        <f>SUM($AQ$6:$AQ343)</f>
        <v/>
      </c>
      <c r="AS343">
        <f>IFERROR(INDEX($A$6:$A$565,MATCH(ROW()-5,$AR$6:$AR$565,0)),"")</f>
        <v/>
      </c>
    </row>
    <row r="344">
      <c r="A344">
        <f>IF([1]Accounts!$D$345="","",[1]Accounts!$A$345)</f>
        <v/>
      </c>
      <c r="B344">
        <f>IF([1]Accounts!$D$345="","",[1]Accounts!$B$345)</f>
        <v/>
      </c>
      <c r="C344">
        <f>IF([1]Accounts!$D$345="","",[1]Accounts!$C$345)</f>
        <v/>
      </c>
      <c r="D344">
        <f>IF([1]Accounts!$D$345="","",[1]Accounts!$D$345)</f>
        <v/>
      </c>
      <c r="E344">
        <f>IF([1]Accounts!$D$345="","",[1]Accounts!$J$345)</f>
        <v/>
      </c>
      <c r="F344">
        <f>IF([1]Accounts!$D$345="","",[1]Accounts!$K$345)</f>
        <v/>
      </c>
      <c r="U344">
        <f>IF([2]Baskol!$B$347="","",[2]Baskol!$B$347)</f>
        <v/>
      </c>
      <c r="V344">
        <f>IF([2]Baskol!$C$347="","",[2]Baskol!$C$347)</f>
        <v/>
      </c>
      <c r="W344">
        <f>IF([2]Baskol!$D$347="","",[2]Baskol!$D$347)</f>
        <v/>
      </c>
      <c r="X344">
        <f>IF([2]Baskol!$E$347="","",[2]Baskol!$E$347)</f>
        <v/>
      </c>
      <c r="Y344">
        <f>IF([2]Baskol!$G$347="","",[2]Baskol!$G$347)</f>
        <v/>
      </c>
      <c r="Z344">
        <f>IF([2]Baskol!$I$347="","",[2]Baskol!$I$347)</f>
        <v/>
      </c>
      <c r="AA344">
        <f>IF([2]Baskol!$J$347="","",[2]Baskol!$J$347)</f>
        <v/>
      </c>
      <c r="AB344">
        <f>IF([2]Baskol!$K$347="","",[2]Baskol!$K$347)</f>
        <v/>
      </c>
      <c r="AC344">
        <f>IF([2]Baskol!$L$347="","",[2]Baskol!$L$347)</f>
        <v/>
      </c>
      <c r="AD344">
        <f>IF([2]Baskol!$N$347="","",[2]Baskol!$N$347)</f>
        <v/>
      </c>
      <c r="AE344">
        <f>IF([2]Baskol!$O$347="","",[2]Baskol!$O$347)</f>
        <v/>
      </c>
      <c r="AG344">
        <f>IF([3]Entry!$C$347="","",[3]Entry!$C$347)</f>
        <v/>
      </c>
      <c r="AH344">
        <f>IF([3]Entry!$D$347="","",[3]Entry!$D$347)</f>
        <v/>
      </c>
      <c r="AI344">
        <f>IF([3]Entry!$E$347="","",[3]Entry!$E$347)</f>
        <v/>
      </c>
      <c r="AJ344">
        <f>IF([3]Entry!$G$347="","",[3]Entry!$G$347)</f>
        <v/>
      </c>
      <c r="AK344">
        <f>IF([3]Entry!$K$347="","",[3]Entry!$K$347)</f>
        <v/>
      </c>
      <c r="AL344">
        <f>IF([3]Entry!$L$347="","",[3]Entry!$L$347)</f>
        <v/>
      </c>
      <c r="AM344">
        <f>IF([3]Entry!$M$347="","",[3]Entry!$M$347)</f>
        <v/>
      </c>
      <c r="AN344">
        <f>IF([3]Entry!$N$347="","",[3]Entry!$N$347)</f>
        <v/>
      </c>
      <c r="AO344">
        <f>IF([3]Entry!$R$347="","",[3]Entry!$R$347)</f>
        <v/>
      </c>
      <c r="AQ344">
        <f>IF(AND($D344&lt;&gt;"",$A344&lt;&gt;""),1,0)</f>
        <v/>
      </c>
      <c r="AR344">
        <f>SUM($AQ$6:$AQ344)</f>
        <v/>
      </c>
      <c r="AS344">
        <f>IFERROR(INDEX($A$6:$A$565,MATCH(ROW()-5,$AR$6:$AR$565,0)),"")</f>
        <v/>
      </c>
    </row>
    <row r="345">
      <c r="A345">
        <f>IF([1]Accounts!$D$346="","",[1]Accounts!$A$346)</f>
        <v/>
      </c>
      <c r="B345">
        <f>IF([1]Accounts!$D$346="","",[1]Accounts!$B$346)</f>
        <v/>
      </c>
      <c r="C345">
        <f>IF([1]Accounts!$D$346="","",[1]Accounts!$C$346)</f>
        <v/>
      </c>
      <c r="D345">
        <f>IF([1]Accounts!$D$346="","",[1]Accounts!$D$346)</f>
        <v/>
      </c>
      <c r="E345">
        <f>IF([1]Accounts!$D$346="","",[1]Accounts!$J$346)</f>
        <v/>
      </c>
      <c r="F345">
        <f>IF([1]Accounts!$D$346="","",[1]Accounts!$K$346)</f>
        <v/>
      </c>
      <c r="U345">
        <f>IF([2]Baskol!$B$348="","",[2]Baskol!$B$348)</f>
        <v/>
      </c>
      <c r="V345">
        <f>IF([2]Baskol!$C$348="","",[2]Baskol!$C$348)</f>
        <v/>
      </c>
      <c r="W345">
        <f>IF([2]Baskol!$D$348="","",[2]Baskol!$D$348)</f>
        <v/>
      </c>
      <c r="X345">
        <f>IF([2]Baskol!$E$348="","",[2]Baskol!$E$348)</f>
        <v/>
      </c>
      <c r="Y345">
        <f>IF([2]Baskol!$G$348="","",[2]Baskol!$G$348)</f>
        <v/>
      </c>
      <c r="Z345">
        <f>IF([2]Baskol!$I$348="","",[2]Baskol!$I$348)</f>
        <v/>
      </c>
      <c r="AA345">
        <f>IF([2]Baskol!$J$348="","",[2]Baskol!$J$348)</f>
        <v/>
      </c>
      <c r="AB345">
        <f>IF([2]Baskol!$K$348="","",[2]Baskol!$K$348)</f>
        <v/>
      </c>
      <c r="AC345">
        <f>IF([2]Baskol!$L$348="","",[2]Baskol!$L$348)</f>
        <v/>
      </c>
      <c r="AD345">
        <f>IF([2]Baskol!$N$348="","",[2]Baskol!$N$348)</f>
        <v/>
      </c>
      <c r="AE345">
        <f>IF([2]Baskol!$O$348="","",[2]Baskol!$O$348)</f>
        <v/>
      </c>
      <c r="AG345">
        <f>IF([3]Entry!$C$348="","",[3]Entry!$C$348)</f>
        <v/>
      </c>
      <c r="AH345">
        <f>IF([3]Entry!$D$348="","",[3]Entry!$D$348)</f>
        <v/>
      </c>
      <c r="AI345">
        <f>IF([3]Entry!$E$348="","",[3]Entry!$E$348)</f>
        <v/>
      </c>
      <c r="AJ345">
        <f>IF([3]Entry!$G$348="","",[3]Entry!$G$348)</f>
        <v/>
      </c>
      <c r="AK345">
        <f>IF([3]Entry!$K$348="","",[3]Entry!$K$348)</f>
        <v/>
      </c>
      <c r="AL345">
        <f>IF([3]Entry!$L$348="","",[3]Entry!$L$348)</f>
        <v/>
      </c>
      <c r="AM345">
        <f>IF([3]Entry!$M$348="","",[3]Entry!$M$348)</f>
        <v/>
      </c>
      <c r="AN345">
        <f>IF([3]Entry!$N$348="","",[3]Entry!$N$348)</f>
        <v/>
      </c>
      <c r="AO345">
        <f>IF([3]Entry!$R$348="","",[3]Entry!$R$348)</f>
        <v/>
      </c>
      <c r="AQ345">
        <f>IF(AND($D345&lt;&gt;"",$A345&lt;&gt;""),1,0)</f>
        <v/>
      </c>
      <c r="AR345">
        <f>SUM($AQ$6:$AQ345)</f>
        <v/>
      </c>
      <c r="AS345">
        <f>IFERROR(INDEX($A$6:$A$565,MATCH(ROW()-5,$AR$6:$AR$565,0)),"")</f>
        <v/>
      </c>
    </row>
    <row r="346">
      <c r="A346">
        <f>IF([1]Accounts!$D$347="","",[1]Accounts!$A$347)</f>
        <v/>
      </c>
      <c r="B346">
        <f>IF([1]Accounts!$D$347="","",[1]Accounts!$B$347)</f>
        <v/>
      </c>
      <c r="C346">
        <f>IF([1]Accounts!$D$347="","",[1]Accounts!$C$347)</f>
        <v/>
      </c>
      <c r="D346">
        <f>IF([1]Accounts!$D$347="","",[1]Accounts!$D$347)</f>
        <v/>
      </c>
      <c r="E346">
        <f>IF([1]Accounts!$D$347="","",[1]Accounts!$J$347)</f>
        <v/>
      </c>
      <c r="F346">
        <f>IF([1]Accounts!$D$347="","",[1]Accounts!$K$347)</f>
        <v/>
      </c>
      <c r="U346">
        <f>IF([2]Baskol!$B$349="","",[2]Baskol!$B$349)</f>
        <v/>
      </c>
      <c r="V346">
        <f>IF([2]Baskol!$C$349="","",[2]Baskol!$C$349)</f>
        <v/>
      </c>
      <c r="W346">
        <f>IF([2]Baskol!$D$349="","",[2]Baskol!$D$349)</f>
        <v/>
      </c>
      <c r="X346">
        <f>IF([2]Baskol!$E$349="","",[2]Baskol!$E$349)</f>
        <v/>
      </c>
      <c r="Y346">
        <f>IF([2]Baskol!$G$349="","",[2]Baskol!$G$349)</f>
        <v/>
      </c>
      <c r="Z346">
        <f>IF([2]Baskol!$I$349="","",[2]Baskol!$I$349)</f>
        <v/>
      </c>
      <c r="AA346">
        <f>IF([2]Baskol!$J$349="","",[2]Baskol!$J$349)</f>
        <v/>
      </c>
      <c r="AB346">
        <f>IF([2]Baskol!$K$349="","",[2]Baskol!$K$349)</f>
        <v/>
      </c>
      <c r="AC346">
        <f>IF([2]Baskol!$L$349="","",[2]Baskol!$L$349)</f>
        <v/>
      </c>
      <c r="AD346">
        <f>IF([2]Baskol!$N$349="","",[2]Baskol!$N$349)</f>
        <v/>
      </c>
      <c r="AE346">
        <f>IF([2]Baskol!$O$349="","",[2]Baskol!$O$349)</f>
        <v/>
      </c>
      <c r="AG346">
        <f>IF([3]Entry!$C$349="","",[3]Entry!$C$349)</f>
        <v/>
      </c>
      <c r="AH346">
        <f>IF([3]Entry!$D$349="","",[3]Entry!$D$349)</f>
        <v/>
      </c>
      <c r="AI346">
        <f>IF([3]Entry!$E$349="","",[3]Entry!$E$349)</f>
        <v/>
      </c>
      <c r="AJ346">
        <f>IF([3]Entry!$G$349="","",[3]Entry!$G$349)</f>
        <v/>
      </c>
      <c r="AK346">
        <f>IF([3]Entry!$K$349="","",[3]Entry!$K$349)</f>
        <v/>
      </c>
      <c r="AL346">
        <f>IF([3]Entry!$L$349="","",[3]Entry!$L$349)</f>
        <v/>
      </c>
      <c r="AM346">
        <f>IF([3]Entry!$M$349="","",[3]Entry!$M$349)</f>
        <v/>
      </c>
      <c r="AN346">
        <f>IF([3]Entry!$N$349="","",[3]Entry!$N$349)</f>
        <v/>
      </c>
      <c r="AO346">
        <f>IF([3]Entry!$R$349="","",[3]Entry!$R$349)</f>
        <v/>
      </c>
      <c r="AQ346">
        <f>IF(AND($D346&lt;&gt;"",$A346&lt;&gt;""),1,0)</f>
        <v/>
      </c>
      <c r="AR346">
        <f>SUM($AQ$6:$AQ346)</f>
        <v/>
      </c>
      <c r="AS346">
        <f>IFERROR(INDEX($A$6:$A$565,MATCH(ROW()-5,$AR$6:$AR$565,0)),"")</f>
        <v/>
      </c>
    </row>
    <row r="347">
      <c r="A347">
        <f>IF([1]Accounts!$D$348="","",[1]Accounts!$A$348)</f>
        <v/>
      </c>
      <c r="B347">
        <f>IF([1]Accounts!$D$348="","",[1]Accounts!$B$348)</f>
        <v/>
      </c>
      <c r="C347">
        <f>IF([1]Accounts!$D$348="","",[1]Accounts!$C$348)</f>
        <v/>
      </c>
      <c r="D347">
        <f>IF([1]Accounts!$D$348="","",[1]Accounts!$D$348)</f>
        <v/>
      </c>
      <c r="E347">
        <f>IF([1]Accounts!$D$348="","",[1]Accounts!$J$348)</f>
        <v/>
      </c>
      <c r="F347">
        <f>IF([1]Accounts!$D$348="","",[1]Accounts!$K$348)</f>
        <v/>
      </c>
      <c r="U347">
        <f>IF([2]Baskol!$B$350="","",[2]Baskol!$B$350)</f>
        <v/>
      </c>
      <c r="V347">
        <f>IF([2]Baskol!$C$350="","",[2]Baskol!$C$350)</f>
        <v/>
      </c>
      <c r="W347">
        <f>IF([2]Baskol!$D$350="","",[2]Baskol!$D$350)</f>
        <v/>
      </c>
      <c r="X347">
        <f>IF([2]Baskol!$E$350="","",[2]Baskol!$E$350)</f>
        <v/>
      </c>
      <c r="Y347">
        <f>IF([2]Baskol!$G$350="","",[2]Baskol!$G$350)</f>
        <v/>
      </c>
      <c r="Z347">
        <f>IF([2]Baskol!$I$350="","",[2]Baskol!$I$350)</f>
        <v/>
      </c>
      <c r="AA347">
        <f>IF([2]Baskol!$J$350="","",[2]Baskol!$J$350)</f>
        <v/>
      </c>
      <c r="AB347">
        <f>IF([2]Baskol!$K$350="","",[2]Baskol!$K$350)</f>
        <v/>
      </c>
      <c r="AC347">
        <f>IF([2]Baskol!$L$350="","",[2]Baskol!$L$350)</f>
        <v/>
      </c>
      <c r="AD347">
        <f>IF([2]Baskol!$N$350="","",[2]Baskol!$N$350)</f>
        <v/>
      </c>
      <c r="AE347">
        <f>IF([2]Baskol!$O$350="","",[2]Baskol!$O$350)</f>
        <v/>
      </c>
      <c r="AG347">
        <f>IF([3]Entry!$C$350="","",[3]Entry!$C$350)</f>
        <v/>
      </c>
      <c r="AH347">
        <f>IF([3]Entry!$D$350="","",[3]Entry!$D$350)</f>
        <v/>
      </c>
      <c r="AI347">
        <f>IF([3]Entry!$E$350="","",[3]Entry!$E$350)</f>
        <v/>
      </c>
      <c r="AJ347">
        <f>IF([3]Entry!$G$350="","",[3]Entry!$G$350)</f>
        <v/>
      </c>
      <c r="AK347">
        <f>IF([3]Entry!$K$350="","",[3]Entry!$K$350)</f>
        <v/>
      </c>
      <c r="AL347">
        <f>IF([3]Entry!$L$350="","",[3]Entry!$L$350)</f>
        <v/>
      </c>
      <c r="AM347">
        <f>IF([3]Entry!$M$350="","",[3]Entry!$M$350)</f>
        <v/>
      </c>
      <c r="AN347">
        <f>IF([3]Entry!$N$350="","",[3]Entry!$N$350)</f>
        <v/>
      </c>
      <c r="AO347">
        <f>IF([3]Entry!$R$350="","",[3]Entry!$R$350)</f>
        <v/>
      </c>
      <c r="AQ347">
        <f>IF(AND($D347&lt;&gt;"",$A347&lt;&gt;""),1,0)</f>
        <v/>
      </c>
      <c r="AR347">
        <f>SUM($AQ$6:$AQ347)</f>
        <v/>
      </c>
      <c r="AS347">
        <f>IFERROR(INDEX($A$6:$A$565,MATCH(ROW()-5,$AR$6:$AR$565,0)),"")</f>
        <v/>
      </c>
    </row>
    <row r="348">
      <c r="A348">
        <f>IF([1]Accounts!$D$349="","",[1]Accounts!$A$349)</f>
        <v/>
      </c>
      <c r="B348">
        <f>IF([1]Accounts!$D$349="","",[1]Accounts!$B$349)</f>
        <v/>
      </c>
      <c r="C348">
        <f>IF([1]Accounts!$D$349="","",[1]Accounts!$C$349)</f>
        <v/>
      </c>
      <c r="D348">
        <f>IF([1]Accounts!$D$349="","",[1]Accounts!$D$349)</f>
        <v/>
      </c>
      <c r="E348">
        <f>IF([1]Accounts!$D$349="","",[1]Accounts!$J$349)</f>
        <v/>
      </c>
      <c r="F348">
        <f>IF([1]Accounts!$D$349="","",[1]Accounts!$K$349)</f>
        <v/>
      </c>
      <c r="U348">
        <f>IF([2]Baskol!$B$351="","",[2]Baskol!$B$351)</f>
        <v/>
      </c>
      <c r="V348">
        <f>IF([2]Baskol!$C$351="","",[2]Baskol!$C$351)</f>
        <v/>
      </c>
      <c r="W348">
        <f>IF([2]Baskol!$D$351="","",[2]Baskol!$D$351)</f>
        <v/>
      </c>
      <c r="X348">
        <f>IF([2]Baskol!$E$351="","",[2]Baskol!$E$351)</f>
        <v/>
      </c>
      <c r="Y348">
        <f>IF([2]Baskol!$G$351="","",[2]Baskol!$G$351)</f>
        <v/>
      </c>
      <c r="Z348">
        <f>IF([2]Baskol!$I$351="","",[2]Baskol!$I$351)</f>
        <v/>
      </c>
      <c r="AA348">
        <f>IF([2]Baskol!$J$351="","",[2]Baskol!$J$351)</f>
        <v/>
      </c>
      <c r="AB348">
        <f>IF([2]Baskol!$K$351="","",[2]Baskol!$K$351)</f>
        <v/>
      </c>
      <c r="AC348">
        <f>IF([2]Baskol!$L$351="","",[2]Baskol!$L$351)</f>
        <v/>
      </c>
      <c r="AD348">
        <f>IF([2]Baskol!$N$351="","",[2]Baskol!$N$351)</f>
        <v/>
      </c>
      <c r="AE348">
        <f>IF([2]Baskol!$O$351="","",[2]Baskol!$O$351)</f>
        <v/>
      </c>
      <c r="AG348">
        <f>IF([3]Entry!$C$351="","",[3]Entry!$C$351)</f>
        <v/>
      </c>
      <c r="AH348">
        <f>IF([3]Entry!$D$351="","",[3]Entry!$D$351)</f>
        <v/>
      </c>
      <c r="AI348">
        <f>IF([3]Entry!$E$351="","",[3]Entry!$E$351)</f>
        <v/>
      </c>
      <c r="AJ348">
        <f>IF([3]Entry!$G$351="","",[3]Entry!$G$351)</f>
        <v/>
      </c>
      <c r="AK348">
        <f>IF([3]Entry!$K$351="","",[3]Entry!$K$351)</f>
        <v/>
      </c>
      <c r="AL348">
        <f>IF([3]Entry!$L$351="","",[3]Entry!$L$351)</f>
        <v/>
      </c>
      <c r="AM348">
        <f>IF([3]Entry!$M$351="","",[3]Entry!$M$351)</f>
        <v/>
      </c>
      <c r="AN348">
        <f>IF([3]Entry!$N$351="","",[3]Entry!$N$351)</f>
        <v/>
      </c>
      <c r="AO348">
        <f>IF([3]Entry!$R$351="","",[3]Entry!$R$351)</f>
        <v/>
      </c>
      <c r="AQ348">
        <f>IF(AND($D348&lt;&gt;"",$A348&lt;&gt;""),1,0)</f>
        <v/>
      </c>
      <c r="AR348">
        <f>SUM($AQ$6:$AQ348)</f>
        <v/>
      </c>
      <c r="AS348">
        <f>IFERROR(INDEX($A$6:$A$565,MATCH(ROW()-5,$AR$6:$AR$565,0)),"")</f>
        <v/>
      </c>
    </row>
    <row r="349">
      <c r="A349">
        <f>IF([1]Accounts!$D$350="","",[1]Accounts!$A$350)</f>
        <v/>
      </c>
      <c r="B349">
        <f>IF([1]Accounts!$D$350="","",[1]Accounts!$B$350)</f>
        <v/>
      </c>
      <c r="C349">
        <f>IF([1]Accounts!$D$350="","",[1]Accounts!$C$350)</f>
        <v/>
      </c>
      <c r="D349">
        <f>IF([1]Accounts!$D$350="","",[1]Accounts!$D$350)</f>
        <v/>
      </c>
      <c r="E349">
        <f>IF([1]Accounts!$D$350="","",[1]Accounts!$J$350)</f>
        <v/>
      </c>
      <c r="F349">
        <f>IF([1]Accounts!$D$350="","",[1]Accounts!$K$350)</f>
        <v/>
      </c>
      <c r="U349">
        <f>IF([2]Baskol!$B$352="","",[2]Baskol!$B$352)</f>
        <v/>
      </c>
      <c r="V349">
        <f>IF([2]Baskol!$C$352="","",[2]Baskol!$C$352)</f>
        <v/>
      </c>
      <c r="W349">
        <f>IF([2]Baskol!$D$352="","",[2]Baskol!$D$352)</f>
        <v/>
      </c>
      <c r="X349">
        <f>IF([2]Baskol!$E$352="","",[2]Baskol!$E$352)</f>
        <v/>
      </c>
      <c r="Y349">
        <f>IF([2]Baskol!$G$352="","",[2]Baskol!$G$352)</f>
        <v/>
      </c>
      <c r="Z349">
        <f>IF([2]Baskol!$I$352="","",[2]Baskol!$I$352)</f>
        <v/>
      </c>
      <c r="AA349">
        <f>IF([2]Baskol!$J$352="","",[2]Baskol!$J$352)</f>
        <v/>
      </c>
      <c r="AB349">
        <f>IF([2]Baskol!$K$352="","",[2]Baskol!$K$352)</f>
        <v/>
      </c>
      <c r="AC349">
        <f>IF([2]Baskol!$L$352="","",[2]Baskol!$L$352)</f>
        <v/>
      </c>
      <c r="AD349">
        <f>IF([2]Baskol!$N$352="","",[2]Baskol!$N$352)</f>
        <v/>
      </c>
      <c r="AE349">
        <f>IF([2]Baskol!$O$352="","",[2]Baskol!$O$352)</f>
        <v/>
      </c>
      <c r="AG349">
        <f>IF([3]Entry!$C$352="","",[3]Entry!$C$352)</f>
        <v/>
      </c>
      <c r="AH349">
        <f>IF([3]Entry!$D$352="","",[3]Entry!$D$352)</f>
        <v/>
      </c>
      <c r="AI349">
        <f>IF([3]Entry!$E$352="","",[3]Entry!$E$352)</f>
        <v/>
      </c>
      <c r="AJ349">
        <f>IF([3]Entry!$G$352="","",[3]Entry!$G$352)</f>
        <v/>
      </c>
      <c r="AK349">
        <f>IF([3]Entry!$K$352="","",[3]Entry!$K$352)</f>
        <v/>
      </c>
      <c r="AL349">
        <f>IF([3]Entry!$L$352="","",[3]Entry!$L$352)</f>
        <v/>
      </c>
      <c r="AM349">
        <f>IF([3]Entry!$M$352="","",[3]Entry!$M$352)</f>
        <v/>
      </c>
      <c r="AN349">
        <f>IF([3]Entry!$N$352="","",[3]Entry!$N$352)</f>
        <v/>
      </c>
      <c r="AO349">
        <f>IF([3]Entry!$R$352="","",[3]Entry!$R$352)</f>
        <v/>
      </c>
      <c r="AQ349">
        <f>IF(AND($D349&lt;&gt;"",$A349&lt;&gt;""),1,0)</f>
        <v/>
      </c>
      <c r="AR349">
        <f>SUM($AQ$6:$AQ349)</f>
        <v/>
      </c>
      <c r="AS349">
        <f>IFERROR(INDEX($A$6:$A$565,MATCH(ROW()-5,$AR$6:$AR$565,0)),"")</f>
        <v/>
      </c>
    </row>
    <row r="350">
      <c r="A350">
        <f>IF([1]Accounts!$D$351="","",[1]Accounts!$A$351)</f>
        <v/>
      </c>
      <c r="B350">
        <f>IF([1]Accounts!$D$351="","",[1]Accounts!$B$351)</f>
        <v/>
      </c>
      <c r="C350">
        <f>IF([1]Accounts!$D$351="","",[1]Accounts!$C$351)</f>
        <v/>
      </c>
      <c r="D350">
        <f>IF([1]Accounts!$D$351="","",[1]Accounts!$D$351)</f>
        <v/>
      </c>
      <c r="E350">
        <f>IF([1]Accounts!$D$351="","",[1]Accounts!$J$351)</f>
        <v/>
      </c>
      <c r="F350">
        <f>IF([1]Accounts!$D$351="","",[1]Accounts!$K$351)</f>
        <v/>
      </c>
      <c r="U350">
        <f>IF([2]Baskol!$B$353="","",[2]Baskol!$B$353)</f>
        <v/>
      </c>
      <c r="V350">
        <f>IF([2]Baskol!$C$353="","",[2]Baskol!$C$353)</f>
        <v/>
      </c>
      <c r="W350">
        <f>IF([2]Baskol!$D$353="","",[2]Baskol!$D$353)</f>
        <v/>
      </c>
      <c r="X350">
        <f>IF([2]Baskol!$E$353="","",[2]Baskol!$E$353)</f>
        <v/>
      </c>
      <c r="Y350">
        <f>IF([2]Baskol!$G$353="","",[2]Baskol!$G$353)</f>
        <v/>
      </c>
      <c r="Z350">
        <f>IF([2]Baskol!$I$353="","",[2]Baskol!$I$353)</f>
        <v/>
      </c>
      <c r="AA350">
        <f>IF([2]Baskol!$J$353="","",[2]Baskol!$J$353)</f>
        <v/>
      </c>
      <c r="AB350">
        <f>IF([2]Baskol!$K$353="","",[2]Baskol!$K$353)</f>
        <v/>
      </c>
      <c r="AC350">
        <f>IF([2]Baskol!$L$353="","",[2]Baskol!$L$353)</f>
        <v/>
      </c>
      <c r="AD350">
        <f>IF([2]Baskol!$N$353="","",[2]Baskol!$N$353)</f>
        <v/>
      </c>
      <c r="AE350">
        <f>IF([2]Baskol!$O$353="","",[2]Baskol!$O$353)</f>
        <v/>
      </c>
      <c r="AG350">
        <f>IF([3]Entry!$C$353="","",[3]Entry!$C$353)</f>
        <v/>
      </c>
      <c r="AH350">
        <f>IF([3]Entry!$D$353="","",[3]Entry!$D$353)</f>
        <v/>
      </c>
      <c r="AI350">
        <f>IF([3]Entry!$E$353="","",[3]Entry!$E$353)</f>
        <v/>
      </c>
      <c r="AJ350">
        <f>IF([3]Entry!$G$353="","",[3]Entry!$G$353)</f>
        <v/>
      </c>
      <c r="AK350">
        <f>IF([3]Entry!$K$353="","",[3]Entry!$K$353)</f>
        <v/>
      </c>
      <c r="AL350">
        <f>IF([3]Entry!$L$353="","",[3]Entry!$L$353)</f>
        <v/>
      </c>
      <c r="AM350">
        <f>IF([3]Entry!$M$353="","",[3]Entry!$M$353)</f>
        <v/>
      </c>
      <c r="AN350">
        <f>IF([3]Entry!$N$353="","",[3]Entry!$N$353)</f>
        <v/>
      </c>
      <c r="AO350">
        <f>IF([3]Entry!$R$353="","",[3]Entry!$R$353)</f>
        <v/>
      </c>
      <c r="AQ350">
        <f>IF(AND($D350&lt;&gt;"",$A350&lt;&gt;""),1,0)</f>
        <v/>
      </c>
      <c r="AR350">
        <f>SUM($AQ$6:$AQ350)</f>
        <v/>
      </c>
      <c r="AS350">
        <f>IFERROR(INDEX($A$6:$A$565,MATCH(ROW()-5,$AR$6:$AR$565,0)),"")</f>
        <v/>
      </c>
    </row>
    <row r="351">
      <c r="A351">
        <f>IF([1]Accounts!$D$352="","",[1]Accounts!$A$352)</f>
        <v/>
      </c>
      <c r="B351">
        <f>IF([1]Accounts!$D$352="","",[1]Accounts!$B$352)</f>
        <v/>
      </c>
      <c r="C351">
        <f>IF([1]Accounts!$D$352="","",[1]Accounts!$C$352)</f>
        <v/>
      </c>
      <c r="D351">
        <f>IF([1]Accounts!$D$352="","",[1]Accounts!$D$352)</f>
        <v/>
      </c>
      <c r="E351">
        <f>IF([1]Accounts!$D$352="","",[1]Accounts!$J$352)</f>
        <v/>
      </c>
      <c r="F351">
        <f>IF([1]Accounts!$D$352="","",[1]Accounts!$K$352)</f>
        <v/>
      </c>
      <c r="U351">
        <f>IF([2]Baskol!$B$354="","",[2]Baskol!$B$354)</f>
        <v/>
      </c>
      <c r="V351">
        <f>IF([2]Baskol!$C$354="","",[2]Baskol!$C$354)</f>
        <v/>
      </c>
      <c r="W351">
        <f>IF([2]Baskol!$D$354="","",[2]Baskol!$D$354)</f>
        <v/>
      </c>
      <c r="X351">
        <f>IF([2]Baskol!$E$354="","",[2]Baskol!$E$354)</f>
        <v/>
      </c>
      <c r="Y351">
        <f>IF([2]Baskol!$G$354="","",[2]Baskol!$G$354)</f>
        <v/>
      </c>
      <c r="Z351">
        <f>IF([2]Baskol!$I$354="","",[2]Baskol!$I$354)</f>
        <v/>
      </c>
      <c r="AA351">
        <f>IF([2]Baskol!$J$354="","",[2]Baskol!$J$354)</f>
        <v/>
      </c>
      <c r="AB351">
        <f>IF([2]Baskol!$K$354="","",[2]Baskol!$K$354)</f>
        <v/>
      </c>
      <c r="AC351">
        <f>IF([2]Baskol!$L$354="","",[2]Baskol!$L$354)</f>
        <v/>
      </c>
      <c r="AD351">
        <f>IF([2]Baskol!$N$354="","",[2]Baskol!$N$354)</f>
        <v/>
      </c>
      <c r="AE351">
        <f>IF([2]Baskol!$O$354="","",[2]Baskol!$O$354)</f>
        <v/>
      </c>
      <c r="AG351">
        <f>IF([3]Entry!$C$354="","",[3]Entry!$C$354)</f>
        <v/>
      </c>
      <c r="AH351">
        <f>IF([3]Entry!$D$354="","",[3]Entry!$D$354)</f>
        <v/>
      </c>
      <c r="AI351">
        <f>IF([3]Entry!$E$354="","",[3]Entry!$E$354)</f>
        <v/>
      </c>
      <c r="AJ351">
        <f>IF([3]Entry!$G$354="","",[3]Entry!$G$354)</f>
        <v/>
      </c>
      <c r="AK351">
        <f>IF([3]Entry!$K$354="","",[3]Entry!$K$354)</f>
        <v/>
      </c>
      <c r="AL351">
        <f>IF([3]Entry!$L$354="","",[3]Entry!$L$354)</f>
        <v/>
      </c>
      <c r="AM351">
        <f>IF([3]Entry!$M$354="","",[3]Entry!$M$354)</f>
        <v/>
      </c>
      <c r="AN351">
        <f>IF([3]Entry!$N$354="","",[3]Entry!$N$354)</f>
        <v/>
      </c>
      <c r="AO351">
        <f>IF([3]Entry!$R$354="","",[3]Entry!$R$354)</f>
        <v/>
      </c>
      <c r="AQ351">
        <f>IF(AND($D351&lt;&gt;"",$A351&lt;&gt;""),1,0)</f>
        <v/>
      </c>
      <c r="AR351">
        <f>SUM($AQ$6:$AQ351)</f>
        <v/>
      </c>
      <c r="AS351">
        <f>IFERROR(INDEX($A$6:$A$565,MATCH(ROW()-5,$AR$6:$AR$565,0)),"")</f>
        <v/>
      </c>
    </row>
    <row r="352">
      <c r="A352">
        <f>IF([1]Accounts!$D$353="","",[1]Accounts!$A$353)</f>
        <v/>
      </c>
      <c r="B352">
        <f>IF([1]Accounts!$D$353="","",[1]Accounts!$B$353)</f>
        <v/>
      </c>
      <c r="C352">
        <f>IF([1]Accounts!$D$353="","",[1]Accounts!$C$353)</f>
        <v/>
      </c>
      <c r="D352">
        <f>IF([1]Accounts!$D$353="","",[1]Accounts!$D$353)</f>
        <v/>
      </c>
      <c r="E352">
        <f>IF([1]Accounts!$D$353="","",[1]Accounts!$J$353)</f>
        <v/>
      </c>
      <c r="F352">
        <f>IF([1]Accounts!$D$353="","",[1]Accounts!$K$353)</f>
        <v/>
      </c>
      <c r="U352">
        <f>IF([2]Baskol!$B$355="","",[2]Baskol!$B$355)</f>
        <v/>
      </c>
      <c r="V352">
        <f>IF([2]Baskol!$C$355="","",[2]Baskol!$C$355)</f>
        <v/>
      </c>
      <c r="W352">
        <f>IF([2]Baskol!$D$355="","",[2]Baskol!$D$355)</f>
        <v/>
      </c>
      <c r="X352">
        <f>IF([2]Baskol!$E$355="","",[2]Baskol!$E$355)</f>
        <v/>
      </c>
      <c r="Y352">
        <f>IF([2]Baskol!$G$355="","",[2]Baskol!$G$355)</f>
        <v/>
      </c>
      <c r="Z352">
        <f>IF([2]Baskol!$I$355="","",[2]Baskol!$I$355)</f>
        <v/>
      </c>
      <c r="AA352">
        <f>IF([2]Baskol!$J$355="","",[2]Baskol!$J$355)</f>
        <v/>
      </c>
      <c r="AB352">
        <f>IF([2]Baskol!$K$355="","",[2]Baskol!$K$355)</f>
        <v/>
      </c>
      <c r="AC352">
        <f>IF([2]Baskol!$L$355="","",[2]Baskol!$L$355)</f>
        <v/>
      </c>
      <c r="AD352">
        <f>IF([2]Baskol!$N$355="","",[2]Baskol!$N$355)</f>
        <v/>
      </c>
      <c r="AE352">
        <f>IF([2]Baskol!$O$355="","",[2]Baskol!$O$355)</f>
        <v/>
      </c>
      <c r="AG352">
        <f>IF([3]Entry!$C$355="","",[3]Entry!$C$355)</f>
        <v/>
      </c>
      <c r="AH352">
        <f>IF([3]Entry!$D$355="","",[3]Entry!$D$355)</f>
        <v/>
      </c>
      <c r="AI352">
        <f>IF([3]Entry!$E$355="","",[3]Entry!$E$355)</f>
        <v/>
      </c>
      <c r="AJ352">
        <f>IF([3]Entry!$G$355="","",[3]Entry!$G$355)</f>
        <v/>
      </c>
      <c r="AK352">
        <f>IF([3]Entry!$K$355="","",[3]Entry!$K$355)</f>
        <v/>
      </c>
      <c r="AL352">
        <f>IF([3]Entry!$L$355="","",[3]Entry!$L$355)</f>
        <v/>
      </c>
      <c r="AM352">
        <f>IF([3]Entry!$M$355="","",[3]Entry!$M$355)</f>
        <v/>
      </c>
      <c r="AN352">
        <f>IF([3]Entry!$N$355="","",[3]Entry!$N$355)</f>
        <v/>
      </c>
      <c r="AO352">
        <f>IF([3]Entry!$R$355="","",[3]Entry!$R$355)</f>
        <v/>
      </c>
      <c r="AQ352">
        <f>IF(AND($D352&lt;&gt;"",$A352&lt;&gt;""),1,0)</f>
        <v/>
      </c>
      <c r="AR352">
        <f>SUM($AQ$6:$AQ352)</f>
        <v/>
      </c>
      <c r="AS352">
        <f>IFERROR(INDEX($A$6:$A$565,MATCH(ROW()-5,$AR$6:$AR$565,0)),"")</f>
        <v/>
      </c>
    </row>
    <row r="353">
      <c r="A353">
        <f>IF([1]Accounts!$D$354="","",[1]Accounts!$A$354)</f>
        <v/>
      </c>
      <c r="B353">
        <f>IF([1]Accounts!$D$354="","",[1]Accounts!$B$354)</f>
        <v/>
      </c>
      <c r="C353">
        <f>IF([1]Accounts!$D$354="","",[1]Accounts!$C$354)</f>
        <v/>
      </c>
      <c r="D353">
        <f>IF([1]Accounts!$D$354="","",[1]Accounts!$D$354)</f>
        <v/>
      </c>
      <c r="E353">
        <f>IF([1]Accounts!$D$354="","",[1]Accounts!$J$354)</f>
        <v/>
      </c>
      <c r="F353">
        <f>IF([1]Accounts!$D$354="","",[1]Accounts!$K$354)</f>
        <v/>
      </c>
      <c r="U353">
        <f>IF([2]Baskol!$B$356="","",[2]Baskol!$B$356)</f>
        <v/>
      </c>
      <c r="V353">
        <f>IF([2]Baskol!$C$356="","",[2]Baskol!$C$356)</f>
        <v/>
      </c>
      <c r="W353">
        <f>IF([2]Baskol!$D$356="","",[2]Baskol!$D$356)</f>
        <v/>
      </c>
      <c r="X353">
        <f>IF([2]Baskol!$E$356="","",[2]Baskol!$E$356)</f>
        <v/>
      </c>
      <c r="Y353">
        <f>IF([2]Baskol!$G$356="","",[2]Baskol!$G$356)</f>
        <v/>
      </c>
      <c r="Z353">
        <f>IF([2]Baskol!$I$356="","",[2]Baskol!$I$356)</f>
        <v/>
      </c>
      <c r="AA353">
        <f>IF([2]Baskol!$J$356="","",[2]Baskol!$J$356)</f>
        <v/>
      </c>
      <c r="AB353">
        <f>IF([2]Baskol!$K$356="","",[2]Baskol!$K$356)</f>
        <v/>
      </c>
      <c r="AC353">
        <f>IF([2]Baskol!$L$356="","",[2]Baskol!$L$356)</f>
        <v/>
      </c>
      <c r="AD353">
        <f>IF([2]Baskol!$N$356="","",[2]Baskol!$N$356)</f>
        <v/>
      </c>
      <c r="AE353">
        <f>IF([2]Baskol!$O$356="","",[2]Baskol!$O$356)</f>
        <v/>
      </c>
      <c r="AG353">
        <f>IF([3]Entry!$C$356="","",[3]Entry!$C$356)</f>
        <v/>
      </c>
      <c r="AH353">
        <f>IF([3]Entry!$D$356="","",[3]Entry!$D$356)</f>
        <v/>
      </c>
      <c r="AI353">
        <f>IF([3]Entry!$E$356="","",[3]Entry!$E$356)</f>
        <v/>
      </c>
      <c r="AJ353">
        <f>IF([3]Entry!$G$356="","",[3]Entry!$G$356)</f>
        <v/>
      </c>
      <c r="AK353">
        <f>IF([3]Entry!$K$356="","",[3]Entry!$K$356)</f>
        <v/>
      </c>
      <c r="AL353">
        <f>IF([3]Entry!$L$356="","",[3]Entry!$L$356)</f>
        <v/>
      </c>
      <c r="AM353">
        <f>IF([3]Entry!$M$356="","",[3]Entry!$M$356)</f>
        <v/>
      </c>
      <c r="AN353">
        <f>IF([3]Entry!$N$356="","",[3]Entry!$N$356)</f>
        <v/>
      </c>
      <c r="AO353">
        <f>IF([3]Entry!$R$356="","",[3]Entry!$R$356)</f>
        <v/>
      </c>
      <c r="AQ353">
        <f>IF(AND($D353&lt;&gt;"",$A353&lt;&gt;""),1,0)</f>
        <v/>
      </c>
      <c r="AR353">
        <f>SUM($AQ$6:$AQ353)</f>
        <v/>
      </c>
      <c r="AS353">
        <f>IFERROR(INDEX($A$6:$A$565,MATCH(ROW()-5,$AR$6:$AR$565,0)),"")</f>
        <v/>
      </c>
    </row>
    <row r="354">
      <c r="A354">
        <f>IF([1]Accounts!$D$355="","",[1]Accounts!$A$355)</f>
        <v/>
      </c>
      <c r="B354">
        <f>IF([1]Accounts!$D$355="","",[1]Accounts!$B$355)</f>
        <v/>
      </c>
      <c r="C354">
        <f>IF([1]Accounts!$D$355="","",[1]Accounts!$C$355)</f>
        <v/>
      </c>
      <c r="D354">
        <f>IF([1]Accounts!$D$355="","",[1]Accounts!$D$355)</f>
        <v/>
      </c>
      <c r="E354">
        <f>IF([1]Accounts!$D$355="","",[1]Accounts!$J$355)</f>
        <v/>
      </c>
      <c r="F354">
        <f>IF([1]Accounts!$D$355="","",[1]Accounts!$K$355)</f>
        <v/>
      </c>
      <c r="U354">
        <f>IF([2]Baskol!$B$357="","",[2]Baskol!$B$357)</f>
        <v/>
      </c>
      <c r="V354">
        <f>IF([2]Baskol!$C$357="","",[2]Baskol!$C$357)</f>
        <v/>
      </c>
      <c r="W354">
        <f>IF([2]Baskol!$D$357="","",[2]Baskol!$D$357)</f>
        <v/>
      </c>
      <c r="X354">
        <f>IF([2]Baskol!$E$357="","",[2]Baskol!$E$357)</f>
        <v/>
      </c>
      <c r="Y354">
        <f>IF([2]Baskol!$G$357="","",[2]Baskol!$G$357)</f>
        <v/>
      </c>
      <c r="Z354">
        <f>IF([2]Baskol!$I$357="","",[2]Baskol!$I$357)</f>
        <v/>
      </c>
      <c r="AA354">
        <f>IF([2]Baskol!$J$357="","",[2]Baskol!$J$357)</f>
        <v/>
      </c>
      <c r="AB354">
        <f>IF([2]Baskol!$K$357="","",[2]Baskol!$K$357)</f>
        <v/>
      </c>
      <c r="AC354">
        <f>IF([2]Baskol!$L$357="","",[2]Baskol!$L$357)</f>
        <v/>
      </c>
      <c r="AD354">
        <f>IF([2]Baskol!$N$357="","",[2]Baskol!$N$357)</f>
        <v/>
      </c>
      <c r="AE354">
        <f>IF([2]Baskol!$O$357="","",[2]Baskol!$O$357)</f>
        <v/>
      </c>
      <c r="AG354">
        <f>IF([3]Entry!$C$357="","",[3]Entry!$C$357)</f>
        <v/>
      </c>
      <c r="AH354">
        <f>IF([3]Entry!$D$357="","",[3]Entry!$D$357)</f>
        <v/>
      </c>
      <c r="AI354">
        <f>IF([3]Entry!$E$357="","",[3]Entry!$E$357)</f>
        <v/>
      </c>
      <c r="AJ354">
        <f>IF([3]Entry!$G$357="","",[3]Entry!$G$357)</f>
        <v/>
      </c>
      <c r="AK354">
        <f>IF([3]Entry!$K$357="","",[3]Entry!$K$357)</f>
        <v/>
      </c>
      <c r="AL354">
        <f>IF([3]Entry!$L$357="","",[3]Entry!$L$357)</f>
        <v/>
      </c>
      <c r="AM354">
        <f>IF([3]Entry!$M$357="","",[3]Entry!$M$357)</f>
        <v/>
      </c>
      <c r="AN354">
        <f>IF([3]Entry!$N$357="","",[3]Entry!$N$357)</f>
        <v/>
      </c>
      <c r="AO354">
        <f>IF([3]Entry!$R$357="","",[3]Entry!$R$357)</f>
        <v/>
      </c>
      <c r="AQ354">
        <f>IF(AND($D354&lt;&gt;"",$A354&lt;&gt;""),1,0)</f>
        <v/>
      </c>
      <c r="AR354">
        <f>SUM($AQ$6:$AQ354)</f>
        <v/>
      </c>
      <c r="AS354">
        <f>IFERROR(INDEX($A$6:$A$565,MATCH(ROW()-5,$AR$6:$AR$565,0)),"")</f>
        <v/>
      </c>
    </row>
    <row r="355">
      <c r="A355">
        <f>IF([1]Accounts!$D$356="","",[1]Accounts!$A$356)</f>
        <v/>
      </c>
      <c r="B355">
        <f>IF([1]Accounts!$D$356="","",[1]Accounts!$B$356)</f>
        <v/>
      </c>
      <c r="C355">
        <f>IF([1]Accounts!$D$356="","",[1]Accounts!$C$356)</f>
        <v/>
      </c>
      <c r="D355">
        <f>IF([1]Accounts!$D$356="","",[1]Accounts!$D$356)</f>
        <v/>
      </c>
      <c r="E355">
        <f>IF([1]Accounts!$D$356="","",[1]Accounts!$J$356)</f>
        <v/>
      </c>
      <c r="F355">
        <f>IF([1]Accounts!$D$356="","",[1]Accounts!$K$356)</f>
        <v/>
      </c>
      <c r="U355">
        <f>IF([2]Baskol!$B$358="","",[2]Baskol!$B$358)</f>
        <v/>
      </c>
      <c r="V355">
        <f>IF([2]Baskol!$C$358="","",[2]Baskol!$C$358)</f>
        <v/>
      </c>
      <c r="W355">
        <f>IF([2]Baskol!$D$358="","",[2]Baskol!$D$358)</f>
        <v/>
      </c>
      <c r="X355">
        <f>IF([2]Baskol!$E$358="","",[2]Baskol!$E$358)</f>
        <v/>
      </c>
      <c r="Y355">
        <f>IF([2]Baskol!$G$358="","",[2]Baskol!$G$358)</f>
        <v/>
      </c>
      <c r="Z355">
        <f>IF([2]Baskol!$I$358="","",[2]Baskol!$I$358)</f>
        <v/>
      </c>
      <c r="AA355">
        <f>IF([2]Baskol!$J$358="","",[2]Baskol!$J$358)</f>
        <v/>
      </c>
      <c r="AB355">
        <f>IF([2]Baskol!$K$358="","",[2]Baskol!$K$358)</f>
        <v/>
      </c>
      <c r="AC355">
        <f>IF([2]Baskol!$L$358="","",[2]Baskol!$L$358)</f>
        <v/>
      </c>
      <c r="AD355">
        <f>IF([2]Baskol!$N$358="","",[2]Baskol!$N$358)</f>
        <v/>
      </c>
      <c r="AE355">
        <f>IF([2]Baskol!$O$358="","",[2]Baskol!$O$358)</f>
        <v/>
      </c>
      <c r="AG355">
        <f>IF([3]Entry!$C$358="","",[3]Entry!$C$358)</f>
        <v/>
      </c>
      <c r="AH355">
        <f>IF([3]Entry!$D$358="","",[3]Entry!$D$358)</f>
        <v/>
      </c>
      <c r="AI355">
        <f>IF([3]Entry!$E$358="","",[3]Entry!$E$358)</f>
        <v/>
      </c>
      <c r="AJ355">
        <f>IF([3]Entry!$G$358="","",[3]Entry!$G$358)</f>
        <v/>
      </c>
      <c r="AK355">
        <f>IF([3]Entry!$K$358="","",[3]Entry!$K$358)</f>
        <v/>
      </c>
      <c r="AL355">
        <f>IF([3]Entry!$L$358="","",[3]Entry!$L$358)</f>
        <v/>
      </c>
      <c r="AM355">
        <f>IF([3]Entry!$M$358="","",[3]Entry!$M$358)</f>
        <v/>
      </c>
      <c r="AN355">
        <f>IF([3]Entry!$N$358="","",[3]Entry!$N$358)</f>
        <v/>
      </c>
      <c r="AO355">
        <f>IF([3]Entry!$R$358="","",[3]Entry!$R$358)</f>
        <v/>
      </c>
      <c r="AQ355">
        <f>IF(AND($D355&lt;&gt;"",$A355&lt;&gt;""),1,0)</f>
        <v/>
      </c>
      <c r="AR355">
        <f>SUM($AQ$6:$AQ355)</f>
        <v/>
      </c>
      <c r="AS355">
        <f>IFERROR(INDEX($A$6:$A$565,MATCH(ROW()-5,$AR$6:$AR$565,0)),"")</f>
        <v/>
      </c>
    </row>
    <row r="356">
      <c r="A356">
        <f>IF([1]Accounts!$D$357="","",[1]Accounts!$A$357)</f>
        <v/>
      </c>
      <c r="B356">
        <f>IF([1]Accounts!$D$357="","",[1]Accounts!$B$357)</f>
        <v/>
      </c>
      <c r="C356">
        <f>IF([1]Accounts!$D$357="","",[1]Accounts!$C$357)</f>
        <v/>
      </c>
      <c r="D356">
        <f>IF([1]Accounts!$D$357="","",[1]Accounts!$D$357)</f>
        <v/>
      </c>
      <c r="E356">
        <f>IF([1]Accounts!$D$357="","",[1]Accounts!$J$357)</f>
        <v/>
      </c>
      <c r="F356">
        <f>IF([1]Accounts!$D$357="","",[1]Accounts!$K$357)</f>
        <v/>
      </c>
      <c r="U356">
        <f>IF([2]Baskol!$B$359="","",[2]Baskol!$B$359)</f>
        <v/>
      </c>
      <c r="V356">
        <f>IF([2]Baskol!$C$359="","",[2]Baskol!$C$359)</f>
        <v/>
      </c>
      <c r="W356">
        <f>IF([2]Baskol!$D$359="","",[2]Baskol!$D$359)</f>
        <v/>
      </c>
      <c r="X356">
        <f>IF([2]Baskol!$E$359="","",[2]Baskol!$E$359)</f>
        <v/>
      </c>
      <c r="Y356">
        <f>IF([2]Baskol!$G$359="","",[2]Baskol!$G$359)</f>
        <v/>
      </c>
      <c r="Z356">
        <f>IF([2]Baskol!$I$359="","",[2]Baskol!$I$359)</f>
        <v/>
      </c>
      <c r="AA356">
        <f>IF([2]Baskol!$J$359="","",[2]Baskol!$J$359)</f>
        <v/>
      </c>
      <c r="AB356">
        <f>IF([2]Baskol!$K$359="","",[2]Baskol!$K$359)</f>
        <v/>
      </c>
      <c r="AC356">
        <f>IF([2]Baskol!$L$359="","",[2]Baskol!$L$359)</f>
        <v/>
      </c>
      <c r="AD356">
        <f>IF([2]Baskol!$N$359="","",[2]Baskol!$N$359)</f>
        <v/>
      </c>
      <c r="AE356">
        <f>IF([2]Baskol!$O$359="","",[2]Baskol!$O$359)</f>
        <v/>
      </c>
      <c r="AG356">
        <f>IF([3]Entry!$C$359="","",[3]Entry!$C$359)</f>
        <v/>
      </c>
      <c r="AH356">
        <f>IF([3]Entry!$D$359="","",[3]Entry!$D$359)</f>
        <v/>
      </c>
      <c r="AI356">
        <f>IF([3]Entry!$E$359="","",[3]Entry!$E$359)</f>
        <v/>
      </c>
      <c r="AJ356">
        <f>IF([3]Entry!$G$359="","",[3]Entry!$G$359)</f>
        <v/>
      </c>
      <c r="AK356">
        <f>IF([3]Entry!$K$359="","",[3]Entry!$K$359)</f>
        <v/>
      </c>
      <c r="AL356">
        <f>IF([3]Entry!$L$359="","",[3]Entry!$L$359)</f>
        <v/>
      </c>
      <c r="AM356">
        <f>IF([3]Entry!$M$359="","",[3]Entry!$M$359)</f>
        <v/>
      </c>
      <c r="AN356">
        <f>IF([3]Entry!$N$359="","",[3]Entry!$N$359)</f>
        <v/>
      </c>
      <c r="AO356">
        <f>IF([3]Entry!$R$359="","",[3]Entry!$R$359)</f>
        <v/>
      </c>
      <c r="AQ356">
        <f>IF(AND($D356&lt;&gt;"",$A356&lt;&gt;""),1,0)</f>
        <v/>
      </c>
      <c r="AR356">
        <f>SUM($AQ$6:$AQ356)</f>
        <v/>
      </c>
      <c r="AS356">
        <f>IFERROR(INDEX($A$6:$A$565,MATCH(ROW()-5,$AR$6:$AR$565,0)),"")</f>
        <v/>
      </c>
    </row>
    <row r="357">
      <c r="A357">
        <f>IF([1]Accounts!$D$358="","",[1]Accounts!$A$358)</f>
        <v/>
      </c>
      <c r="B357">
        <f>IF([1]Accounts!$D$358="","",[1]Accounts!$B$358)</f>
        <v/>
      </c>
      <c r="C357">
        <f>IF([1]Accounts!$D$358="","",[1]Accounts!$C$358)</f>
        <v/>
      </c>
      <c r="D357">
        <f>IF([1]Accounts!$D$358="","",[1]Accounts!$D$358)</f>
        <v/>
      </c>
      <c r="E357">
        <f>IF([1]Accounts!$D$358="","",[1]Accounts!$J$358)</f>
        <v/>
      </c>
      <c r="F357">
        <f>IF([1]Accounts!$D$358="","",[1]Accounts!$K$358)</f>
        <v/>
      </c>
      <c r="U357">
        <f>IF([2]Baskol!$B$360="","",[2]Baskol!$B$360)</f>
        <v/>
      </c>
      <c r="V357">
        <f>IF([2]Baskol!$C$360="","",[2]Baskol!$C$360)</f>
        <v/>
      </c>
      <c r="W357">
        <f>IF([2]Baskol!$D$360="","",[2]Baskol!$D$360)</f>
        <v/>
      </c>
      <c r="X357">
        <f>IF([2]Baskol!$E$360="","",[2]Baskol!$E$360)</f>
        <v/>
      </c>
      <c r="Y357">
        <f>IF([2]Baskol!$G$360="","",[2]Baskol!$G$360)</f>
        <v/>
      </c>
      <c r="Z357">
        <f>IF([2]Baskol!$I$360="","",[2]Baskol!$I$360)</f>
        <v/>
      </c>
      <c r="AA357">
        <f>IF([2]Baskol!$J$360="","",[2]Baskol!$J$360)</f>
        <v/>
      </c>
      <c r="AB357">
        <f>IF([2]Baskol!$K$360="","",[2]Baskol!$K$360)</f>
        <v/>
      </c>
      <c r="AC357">
        <f>IF([2]Baskol!$L$360="","",[2]Baskol!$L$360)</f>
        <v/>
      </c>
      <c r="AD357">
        <f>IF([2]Baskol!$N$360="","",[2]Baskol!$N$360)</f>
        <v/>
      </c>
      <c r="AE357">
        <f>IF([2]Baskol!$O$360="","",[2]Baskol!$O$360)</f>
        <v/>
      </c>
      <c r="AG357">
        <f>IF([3]Entry!$C$360="","",[3]Entry!$C$360)</f>
        <v/>
      </c>
      <c r="AH357">
        <f>IF([3]Entry!$D$360="","",[3]Entry!$D$360)</f>
        <v/>
      </c>
      <c r="AI357">
        <f>IF([3]Entry!$E$360="","",[3]Entry!$E$360)</f>
        <v/>
      </c>
      <c r="AJ357">
        <f>IF([3]Entry!$G$360="","",[3]Entry!$G$360)</f>
        <v/>
      </c>
      <c r="AK357">
        <f>IF([3]Entry!$K$360="","",[3]Entry!$K$360)</f>
        <v/>
      </c>
      <c r="AL357">
        <f>IF([3]Entry!$L$360="","",[3]Entry!$L$360)</f>
        <v/>
      </c>
      <c r="AM357">
        <f>IF([3]Entry!$M$360="","",[3]Entry!$M$360)</f>
        <v/>
      </c>
      <c r="AN357">
        <f>IF([3]Entry!$N$360="","",[3]Entry!$N$360)</f>
        <v/>
      </c>
      <c r="AO357">
        <f>IF([3]Entry!$R$360="","",[3]Entry!$R$360)</f>
        <v/>
      </c>
      <c r="AQ357">
        <f>IF(AND($D357&lt;&gt;"",$A357&lt;&gt;""),1,0)</f>
        <v/>
      </c>
      <c r="AR357">
        <f>SUM($AQ$6:$AQ357)</f>
        <v/>
      </c>
      <c r="AS357">
        <f>IFERROR(INDEX($A$6:$A$565,MATCH(ROW()-5,$AR$6:$AR$565,0)),"")</f>
        <v/>
      </c>
    </row>
    <row r="358">
      <c r="A358">
        <f>IF([1]Accounts!$D$359="","",[1]Accounts!$A$359)</f>
        <v/>
      </c>
      <c r="B358">
        <f>IF([1]Accounts!$D$359="","",[1]Accounts!$B$359)</f>
        <v/>
      </c>
      <c r="C358">
        <f>IF([1]Accounts!$D$359="","",[1]Accounts!$C$359)</f>
        <v/>
      </c>
      <c r="D358">
        <f>IF([1]Accounts!$D$359="","",[1]Accounts!$D$359)</f>
        <v/>
      </c>
      <c r="E358">
        <f>IF([1]Accounts!$D$359="","",[1]Accounts!$J$359)</f>
        <v/>
      </c>
      <c r="F358">
        <f>IF([1]Accounts!$D$359="","",[1]Accounts!$K$359)</f>
        <v/>
      </c>
      <c r="U358">
        <f>IF([2]Baskol!$B$361="","",[2]Baskol!$B$361)</f>
        <v/>
      </c>
      <c r="V358">
        <f>IF([2]Baskol!$C$361="","",[2]Baskol!$C$361)</f>
        <v/>
      </c>
      <c r="W358">
        <f>IF([2]Baskol!$D$361="","",[2]Baskol!$D$361)</f>
        <v/>
      </c>
      <c r="X358">
        <f>IF([2]Baskol!$E$361="","",[2]Baskol!$E$361)</f>
        <v/>
      </c>
      <c r="Y358">
        <f>IF([2]Baskol!$G$361="","",[2]Baskol!$G$361)</f>
        <v/>
      </c>
      <c r="Z358">
        <f>IF([2]Baskol!$I$361="","",[2]Baskol!$I$361)</f>
        <v/>
      </c>
      <c r="AA358">
        <f>IF([2]Baskol!$J$361="","",[2]Baskol!$J$361)</f>
        <v/>
      </c>
      <c r="AB358">
        <f>IF([2]Baskol!$K$361="","",[2]Baskol!$K$361)</f>
        <v/>
      </c>
      <c r="AC358">
        <f>IF([2]Baskol!$L$361="","",[2]Baskol!$L$361)</f>
        <v/>
      </c>
      <c r="AD358">
        <f>IF([2]Baskol!$N$361="","",[2]Baskol!$N$361)</f>
        <v/>
      </c>
      <c r="AE358">
        <f>IF([2]Baskol!$O$361="","",[2]Baskol!$O$361)</f>
        <v/>
      </c>
      <c r="AG358">
        <f>IF([3]Entry!$C$361="","",[3]Entry!$C$361)</f>
        <v/>
      </c>
      <c r="AH358">
        <f>IF([3]Entry!$D$361="","",[3]Entry!$D$361)</f>
        <v/>
      </c>
      <c r="AI358">
        <f>IF([3]Entry!$E$361="","",[3]Entry!$E$361)</f>
        <v/>
      </c>
      <c r="AJ358">
        <f>IF([3]Entry!$G$361="","",[3]Entry!$G$361)</f>
        <v/>
      </c>
      <c r="AK358">
        <f>IF([3]Entry!$K$361="","",[3]Entry!$K$361)</f>
        <v/>
      </c>
      <c r="AL358">
        <f>IF([3]Entry!$L$361="","",[3]Entry!$L$361)</f>
        <v/>
      </c>
      <c r="AM358">
        <f>IF([3]Entry!$M$361="","",[3]Entry!$M$361)</f>
        <v/>
      </c>
      <c r="AN358">
        <f>IF([3]Entry!$N$361="","",[3]Entry!$N$361)</f>
        <v/>
      </c>
      <c r="AO358">
        <f>IF([3]Entry!$R$361="","",[3]Entry!$R$361)</f>
        <v/>
      </c>
      <c r="AQ358">
        <f>IF(AND($D358&lt;&gt;"",$A358&lt;&gt;""),1,0)</f>
        <v/>
      </c>
      <c r="AR358">
        <f>SUM($AQ$6:$AQ358)</f>
        <v/>
      </c>
      <c r="AS358">
        <f>IFERROR(INDEX($A$6:$A$565,MATCH(ROW()-5,$AR$6:$AR$565,0)),"")</f>
        <v/>
      </c>
    </row>
    <row r="359">
      <c r="A359">
        <f>IF([1]Accounts!$D$360="","",[1]Accounts!$A$360)</f>
        <v/>
      </c>
      <c r="B359">
        <f>IF([1]Accounts!$D$360="","",[1]Accounts!$B$360)</f>
        <v/>
      </c>
      <c r="C359">
        <f>IF([1]Accounts!$D$360="","",[1]Accounts!$C$360)</f>
        <v/>
      </c>
      <c r="D359">
        <f>IF([1]Accounts!$D$360="","",[1]Accounts!$D$360)</f>
        <v/>
      </c>
      <c r="E359">
        <f>IF([1]Accounts!$D$360="","",[1]Accounts!$J$360)</f>
        <v/>
      </c>
      <c r="F359">
        <f>IF([1]Accounts!$D$360="","",[1]Accounts!$K$360)</f>
        <v/>
      </c>
      <c r="U359">
        <f>IF([2]Baskol!$B$362="","",[2]Baskol!$B$362)</f>
        <v/>
      </c>
      <c r="V359">
        <f>IF([2]Baskol!$C$362="","",[2]Baskol!$C$362)</f>
        <v/>
      </c>
      <c r="W359">
        <f>IF([2]Baskol!$D$362="","",[2]Baskol!$D$362)</f>
        <v/>
      </c>
      <c r="X359">
        <f>IF([2]Baskol!$E$362="","",[2]Baskol!$E$362)</f>
        <v/>
      </c>
      <c r="Y359">
        <f>IF([2]Baskol!$G$362="","",[2]Baskol!$G$362)</f>
        <v/>
      </c>
      <c r="Z359">
        <f>IF([2]Baskol!$I$362="","",[2]Baskol!$I$362)</f>
        <v/>
      </c>
      <c r="AA359">
        <f>IF([2]Baskol!$J$362="","",[2]Baskol!$J$362)</f>
        <v/>
      </c>
      <c r="AB359">
        <f>IF([2]Baskol!$K$362="","",[2]Baskol!$K$362)</f>
        <v/>
      </c>
      <c r="AC359">
        <f>IF([2]Baskol!$L$362="","",[2]Baskol!$L$362)</f>
        <v/>
      </c>
      <c r="AD359">
        <f>IF([2]Baskol!$N$362="","",[2]Baskol!$N$362)</f>
        <v/>
      </c>
      <c r="AE359">
        <f>IF([2]Baskol!$O$362="","",[2]Baskol!$O$362)</f>
        <v/>
      </c>
      <c r="AG359">
        <f>IF([3]Entry!$C$362="","",[3]Entry!$C$362)</f>
        <v/>
      </c>
      <c r="AH359">
        <f>IF([3]Entry!$D$362="","",[3]Entry!$D$362)</f>
        <v/>
      </c>
      <c r="AI359">
        <f>IF([3]Entry!$E$362="","",[3]Entry!$E$362)</f>
        <v/>
      </c>
      <c r="AJ359">
        <f>IF([3]Entry!$G$362="","",[3]Entry!$G$362)</f>
        <v/>
      </c>
      <c r="AK359">
        <f>IF([3]Entry!$K$362="","",[3]Entry!$K$362)</f>
        <v/>
      </c>
      <c r="AL359">
        <f>IF([3]Entry!$L$362="","",[3]Entry!$L$362)</f>
        <v/>
      </c>
      <c r="AM359">
        <f>IF([3]Entry!$M$362="","",[3]Entry!$M$362)</f>
        <v/>
      </c>
      <c r="AN359">
        <f>IF([3]Entry!$N$362="","",[3]Entry!$N$362)</f>
        <v/>
      </c>
      <c r="AO359">
        <f>IF([3]Entry!$R$362="","",[3]Entry!$R$362)</f>
        <v/>
      </c>
      <c r="AQ359">
        <f>IF(AND($D359&lt;&gt;"",$A359&lt;&gt;""),1,0)</f>
        <v/>
      </c>
      <c r="AR359">
        <f>SUM($AQ$6:$AQ359)</f>
        <v/>
      </c>
      <c r="AS359">
        <f>IFERROR(INDEX($A$6:$A$565,MATCH(ROW()-5,$AR$6:$AR$565,0)),"")</f>
        <v/>
      </c>
    </row>
    <row r="360">
      <c r="A360">
        <f>IF([1]Accounts!$D$361="","",[1]Accounts!$A$361)</f>
        <v/>
      </c>
      <c r="B360">
        <f>IF([1]Accounts!$D$361="","",[1]Accounts!$B$361)</f>
        <v/>
      </c>
      <c r="C360">
        <f>IF([1]Accounts!$D$361="","",[1]Accounts!$C$361)</f>
        <v/>
      </c>
      <c r="D360">
        <f>IF([1]Accounts!$D$361="","",[1]Accounts!$D$361)</f>
        <v/>
      </c>
      <c r="E360">
        <f>IF([1]Accounts!$D$361="","",[1]Accounts!$J$361)</f>
        <v/>
      </c>
      <c r="F360">
        <f>IF([1]Accounts!$D$361="","",[1]Accounts!$K$361)</f>
        <v/>
      </c>
      <c r="U360">
        <f>IF([2]Baskol!$B$363="","",[2]Baskol!$B$363)</f>
        <v/>
      </c>
      <c r="V360">
        <f>IF([2]Baskol!$C$363="","",[2]Baskol!$C$363)</f>
        <v/>
      </c>
      <c r="W360">
        <f>IF([2]Baskol!$D$363="","",[2]Baskol!$D$363)</f>
        <v/>
      </c>
      <c r="X360">
        <f>IF([2]Baskol!$E$363="","",[2]Baskol!$E$363)</f>
        <v/>
      </c>
      <c r="Y360">
        <f>IF([2]Baskol!$G$363="","",[2]Baskol!$G$363)</f>
        <v/>
      </c>
      <c r="Z360">
        <f>IF([2]Baskol!$I$363="","",[2]Baskol!$I$363)</f>
        <v/>
      </c>
      <c r="AA360">
        <f>IF([2]Baskol!$J$363="","",[2]Baskol!$J$363)</f>
        <v/>
      </c>
      <c r="AB360">
        <f>IF([2]Baskol!$K$363="","",[2]Baskol!$K$363)</f>
        <v/>
      </c>
      <c r="AC360">
        <f>IF([2]Baskol!$L$363="","",[2]Baskol!$L$363)</f>
        <v/>
      </c>
      <c r="AD360">
        <f>IF([2]Baskol!$N$363="","",[2]Baskol!$N$363)</f>
        <v/>
      </c>
      <c r="AE360">
        <f>IF([2]Baskol!$O$363="","",[2]Baskol!$O$363)</f>
        <v/>
      </c>
      <c r="AG360">
        <f>IF([3]Entry!$C$363="","",[3]Entry!$C$363)</f>
        <v/>
      </c>
      <c r="AH360">
        <f>IF([3]Entry!$D$363="","",[3]Entry!$D$363)</f>
        <v/>
      </c>
      <c r="AI360">
        <f>IF([3]Entry!$E$363="","",[3]Entry!$E$363)</f>
        <v/>
      </c>
      <c r="AJ360">
        <f>IF([3]Entry!$G$363="","",[3]Entry!$G$363)</f>
        <v/>
      </c>
      <c r="AK360">
        <f>IF([3]Entry!$K$363="","",[3]Entry!$K$363)</f>
        <v/>
      </c>
      <c r="AL360">
        <f>IF([3]Entry!$L$363="","",[3]Entry!$L$363)</f>
        <v/>
      </c>
      <c r="AM360">
        <f>IF([3]Entry!$M$363="","",[3]Entry!$M$363)</f>
        <v/>
      </c>
      <c r="AN360">
        <f>IF([3]Entry!$N$363="","",[3]Entry!$N$363)</f>
        <v/>
      </c>
      <c r="AO360">
        <f>IF([3]Entry!$R$363="","",[3]Entry!$R$363)</f>
        <v/>
      </c>
      <c r="AQ360">
        <f>IF(AND($D360&lt;&gt;"",$A360&lt;&gt;""),1,0)</f>
        <v/>
      </c>
      <c r="AR360">
        <f>SUM($AQ$6:$AQ360)</f>
        <v/>
      </c>
      <c r="AS360">
        <f>IFERROR(INDEX($A$6:$A$565,MATCH(ROW()-5,$AR$6:$AR$565,0)),"")</f>
        <v/>
      </c>
    </row>
    <row r="361">
      <c r="A361">
        <f>IF([1]Accounts!$D$362="","",[1]Accounts!$A$362)</f>
        <v/>
      </c>
      <c r="B361">
        <f>IF([1]Accounts!$D$362="","",[1]Accounts!$B$362)</f>
        <v/>
      </c>
      <c r="C361">
        <f>IF([1]Accounts!$D$362="","",[1]Accounts!$C$362)</f>
        <v/>
      </c>
      <c r="D361">
        <f>IF([1]Accounts!$D$362="","",[1]Accounts!$D$362)</f>
        <v/>
      </c>
      <c r="E361">
        <f>IF([1]Accounts!$D$362="","",[1]Accounts!$J$362)</f>
        <v/>
      </c>
      <c r="F361">
        <f>IF([1]Accounts!$D$362="","",[1]Accounts!$K$362)</f>
        <v/>
      </c>
      <c r="U361">
        <f>IF([2]Baskol!$B$364="","",[2]Baskol!$B$364)</f>
        <v/>
      </c>
      <c r="V361">
        <f>IF([2]Baskol!$C$364="","",[2]Baskol!$C$364)</f>
        <v/>
      </c>
      <c r="W361">
        <f>IF([2]Baskol!$D$364="","",[2]Baskol!$D$364)</f>
        <v/>
      </c>
      <c r="X361">
        <f>IF([2]Baskol!$E$364="","",[2]Baskol!$E$364)</f>
        <v/>
      </c>
      <c r="Y361">
        <f>IF([2]Baskol!$G$364="","",[2]Baskol!$G$364)</f>
        <v/>
      </c>
      <c r="Z361">
        <f>IF([2]Baskol!$I$364="","",[2]Baskol!$I$364)</f>
        <v/>
      </c>
      <c r="AA361">
        <f>IF([2]Baskol!$J$364="","",[2]Baskol!$J$364)</f>
        <v/>
      </c>
      <c r="AB361">
        <f>IF([2]Baskol!$K$364="","",[2]Baskol!$K$364)</f>
        <v/>
      </c>
      <c r="AC361">
        <f>IF([2]Baskol!$L$364="","",[2]Baskol!$L$364)</f>
        <v/>
      </c>
      <c r="AD361">
        <f>IF([2]Baskol!$N$364="","",[2]Baskol!$N$364)</f>
        <v/>
      </c>
      <c r="AE361">
        <f>IF([2]Baskol!$O$364="","",[2]Baskol!$O$364)</f>
        <v/>
      </c>
      <c r="AG361">
        <f>IF([3]Entry!$C$364="","",[3]Entry!$C$364)</f>
        <v/>
      </c>
      <c r="AH361">
        <f>IF([3]Entry!$D$364="","",[3]Entry!$D$364)</f>
        <v/>
      </c>
      <c r="AI361">
        <f>IF([3]Entry!$E$364="","",[3]Entry!$E$364)</f>
        <v/>
      </c>
      <c r="AJ361">
        <f>IF([3]Entry!$G$364="","",[3]Entry!$G$364)</f>
        <v/>
      </c>
      <c r="AK361">
        <f>IF([3]Entry!$K$364="","",[3]Entry!$K$364)</f>
        <v/>
      </c>
      <c r="AL361">
        <f>IF([3]Entry!$L$364="","",[3]Entry!$L$364)</f>
        <v/>
      </c>
      <c r="AM361">
        <f>IF([3]Entry!$M$364="","",[3]Entry!$M$364)</f>
        <v/>
      </c>
      <c r="AN361">
        <f>IF([3]Entry!$N$364="","",[3]Entry!$N$364)</f>
        <v/>
      </c>
      <c r="AO361">
        <f>IF([3]Entry!$R$364="","",[3]Entry!$R$364)</f>
        <v/>
      </c>
      <c r="AQ361">
        <f>IF(AND($D361&lt;&gt;"",$A361&lt;&gt;""),1,0)</f>
        <v/>
      </c>
      <c r="AR361">
        <f>SUM($AQ$6:$AQ361)</f>
        <v/>
      </c>
      <c r="AS361">
        <f>IFERROR(INDEX($A$6:$A$565,MATCH(ROW()-5,$AR$6:$AR$565,0)),"")</f>
        <v/>
      </c>
    </row>
    <row r="362">
      <c r="A362">
        <f>IF([1]Accounts!$D$363="","",[1]Accounts!$A$363)</f>
        <v/>
      </c>
      <c r="B362">
        <f>IF([1]Accounts!$D$363="","",[1]Accounts!$B$363)</f>
        <v/>
      </c>
      <c r="C362">
        <f>IF([1]Accounts!$D$363="","",[1]Accounts!$C$363)</f>
        <v/>
      </c>
      <c r="D362">
        <f>IF([1]Accounts!$D$363="","",[1]Accounts!$D$363)</f>
        <v/>
      </c>
      <c r="E362">
        <f>IF([1]Accounts!$D$363="","",[1]Accounts!$J$363)</f>
        <v/>
      </c>
      <c r="F362">
        <f>IF([1]Accounts!$D$363="","",[1]Accounts!$K$363)</f>
        <v/>
      </c>
      <c r="U362">
        <f>IF([2]Baskol!$B$365="","",[2]Baskol!$B$365)</f>
        <v/>
      </c>
      <c r="V362">
        <f>IF([2]Baskol!$C$365="","",[2]Baskol!$C$365)</f>
        <v/>
      </c>
      <c r="W362">
        <f>IF([2]Baskol!$D$365="","",[2]Baskol!$D$365)</f>
        <v/>
      </c>
      <c r="X362">
        <f>IF([2]Baskol!$E$365="","",[2]Baskol!$E$365)</f>
        <v/>
      </c>
      <c r="Y362">
        <f>IF([2]Baskol!$G$365="","",[2]Baskol!$G$365)</f>
        <v/>
      </c>
      <c r="Z362">
        <f>IF([2]Baskol!$I$365="","",[2]Baskol!$I$365)</f>
        <v/>
      </c>
      <c r="AA362">
        <f>IF([2]Baskol!$J$365="","",[2]Baskol!$J$365)</f>
        <v/>
      </c>
      <c r="AB362">
        <f>IF([2]Baskol!$K$365="","",[2]Baskol!$K$365)</f>
        <v/>
      </c>
      <c r="AC362">
        <f>IF([2]Baskol!$L$365="","",[2]Baskol!$L$365)</f>
        <v/>
      </c>
      <c r="AD362">
        <f>IF([2]Baskol!$N$365="","",[2]Baskol!$N$365)</f>
        <v/>
      </c>
      <c r="AE362">
        <f>IF([2]Baskol!$O$365="","",[2]Baskol!$O$365)</f>
        <v/>
      </c>
      <c r="AG362">
        <f>IF([3]Entry!$C$365="","",[3]Entry!$C$365)</f>
        <v/>
      </c>
      <c r="AH362">
        <f>IF([3]Entry!$D$365="","",[3]Entry!$D$365)</f>
        <v/>
      </c>
      <c r="AI362">
        <f>IF([3]Entry!$E$365="","",[3]Entry!$E$365)</f>
        <v/>
      </c>
      <c r="AJ362">
        <f>IF([3]Entry!$G$365="","",[3]Entry!$G$365)</f>
        <v/>
      </c>
      <c r="AK362">
        <f>IF([3]Entry!$K$365="","",[3]Entry!$K$365)</f>
        <v/>
      </c>
      <c r="AL362">
        <f>IF([3]Entry!$L$365="","",[3]Entry!$L$365)</f>
        <v/>
      </c>
      <c r="AM362">
        <f>IF([3]Entry!$M$365="","",[3]Entry!$M$365)</f>
        <v/>
      </c>
      <c r="AN362">
        <f>IF([3]Entry!$N$365="","",[3]Entry!$N$365)</f>
        <v/>
      </c>
      <c r="AO362">
        <f>IF([3]Entry!$R$365="","",[3]Entry!$R$365)</f>
        <v/>
      </c>
      <c r="AQ362">
        <f>IF(AND($D362&lt;&gt;"",$A362&lt;&gt;""),1,0)</f>
        <v/>
      </c>
      <c r="AR362">
        <f>SUM($AQ$6:$AQ362)</f>
        <v/>
      </c>
      <c r="AS362">
        <f>IFERROR(INDEX($A$6:$A$565,MATCH(ROW()-5,$AR$6:$AR$565,0)),"")</f>
        <v/>
      </c>
    </row>
    <row r="363">
      <c r="A363">
        <f>IF([1]Accounts!$D$364="","",[1]Accounts!$A$364)</f>
        <v/>
      </c>
      <c r="B363">
        <f>IF([1]Accounts!$D$364="","",[1]Accounts!$B$364)</f>
        <v/>
      </c>
      <c r="C363">
        <f>IF([1]Accounts!$D$364="","",[1]Accounts!$C$364)</f>
        <v/>
      </c>
      <c r="D363">
        <f>IF([1]Accounts!$D$364="","",[1]Accounts!$D$364)</f>
        <v/>
      </c>
      <c r="E363">
        <f>IF([1]Accounts!$D$364="","",[1]Accounts!$J$364)</f>
        <v/>
      </c>
      <c r="F363">
        <f>IF([1]Accounts!$D$364="","",[1]Accounts!$K$364)</f>
        <v/>
      </c>
      <c r="U363">
        <f>IF([2]Baskol!$B$366="","",[2]Baskol!$B$366)</f>
        <v/>
      </c>
      <c r="V363">
        <f>IF([2]Baskol!$C$366="","",[2]Baskol!$C$366)</f>
        <v/>
      </c>
      <c r="W363">
        <f>IF([2]Baskol!$D$366="","",[2]Baskol!$D$366)</f>
        <v/>
      </c>
      <c r="X363">
        <f>IF([2]Baskol!$E$366="","",[2]Baskol!$E$366)</f>
        <v/>
      </c>
      <c r="Y363">
        <f>IF([2]Baskol!$G$366="","",[2]Baskol!$G$366)</f>
        <v/>
      </c>
      <c r="Z363">
        <f>IF([2]Baskol!$I$366="","",[2]Baskol!$I$366)</f>
        <v/>
      </c>
      <c r="AA363">
        <f>IF([2]Baskol!$J$366="","",[2]Baskol!$J$366)</f>
        <v/>
      </c>
      <c r="AB363">
        <f>IF([2]Baskol!$K$366="","",[2]Baskol!$K$366)</f>
        <v/>
      </c>
      <c r="AC363">
        <f>IF([2]Baskol!$L$366="","",[2]Baskol!$L$366)</f>
        <v/>
      </c>
      <c r="AD363">
        <f>IF([2]Baskol!$N$366="","",[2]Baskol!$N$366)</f>
        <v/>
      </c>
      <c r="AE363">
        <f>IF([2]Baskol!$O$366="","",[2]Baskol!$O$366)</f>
        <v/>
      </c>
      <c r="AG363">
        <f>IF([3]Entry!$C$366="","",[3]Entry!$C$366)</f>
        <v/>
      </c>
      <c r="AH363">
        <f>IF([3]Entry!$D$366="","",[3]Entry!$D$366)</f>
        <v/>
      </c>
      <c r="AI363">
        <f>IF([3]Entry!$E$366="","",[3]Entry!$E$366)</f>
        <v/>
      </c>
      <c r="AJ363">
        <f>IF([3]Entry!$G$366="","",[3]Entry!$G$366)</f>
        <v/>
      </c>
      <c r="AK363">
        <f>IF([3]Entry!$K$366="","",[3]Entry!$K$366)</f>
        <v/>
      </c>
      <c r="AL363">
        <f>IF([3]Entry!$L$366="","",[3]Entry!$L$366)</f>
        <v/>
      </c>
      <c r="AM363">
        <f>IF([3]Entry!$M$366="","",[3]Entry!$M$366)</f>
        <v/>
      </c>
      <c r="AN363">
        <f>IF([3]Entry!$N$366="","",[3]Entry!$N$366)</f>
        <v/>
      </c>
      <c r="AO363">
        <f>IF([3]Entry!$R$366="","",[3]Entry!$R$366)</f>
        <v/>
      </c>
      <c r="AQ363">
        <f>IF(AND($D363&lt;&gt;"",$A363&lt;&gt;""),1,0)</f>
        <v/>
      </c>
      <c r="AR363">
        <f>SUM($AQ$6:$AQ363)</f>
        <v/>
      </c>
      <c r="AS363">
        <f>IFERROR(INDEX($A$6:$A$565,MATCH(ROW()-5,$AR$6:$AR$565,0)),"")</f>
        <v/>
      </c>
    </row>
    <row r="364">
      <c r="A364">
        <f>IF([1]Accounts!$D$365="","",[1]Accounts!$A$365)</f>
        <v/>
      </c>
      <c r="B364">
        <f>IF([1]Accounts!$D$365="","",[1]Accounts!$B$365)</f>
        <v/>
      </c>
      <c r="C364">
        <f>IF([1]Accounts!$D$365="","",[1]Accounts!$C$365)</f>
        <v/>
      </c>
      <c r="D364">
        <f>IF([1]Accounts!$D$365="","",[1]Accounts!$D$365)</f>
        <v/>
      </c>
      <c r="E364">
        <f>IF([1]Accounts!$D$365="","",[1]Accounts!$J$365)</f>
        <v/>
      </c>
      <c r="F364">
        <f>IF([1]Accounts!$D$365="","",[1]Accounts!$K$365)</f>
        <v/>
      </c>
      <c r="U364">
        <f>IF([2]Baskol!$B$367="","",[2]Baskol!$B$367)</f>
        <v/>
      </c>
      <c r="V364">
        <f>IF([2]Baskol!$C$367="","",[2]Baskol!$C$367)</f>
        <v/>
      </c>
      <c r="W364">
        <f>IF([2]Baskol!$D$367="","",[2]Baskol!$D$367)</f>
        <v/>
      </c>
      <c r="X364">
        <f>IF([2]Baskol!$E$367="","",[2]Baskol!$E$367)</f>
        <v/>
      </c>
      <c r="Y364">
        <f>IF([2]Baskol!$G$367="","",[2]Baskol!$G$367)</f>
        <v/>
      </c>
      <c r="Z364">
        <f>IF([2]Baskol!$I$367="","",[2]Baskol!$I$367)</f>
        <v/>
      </c>
      <c r="AA364">
        <f>IF([2]Baskol!$J$367="","",[2]Baskol!$J$367)</f>
        <v/>
      </c>
      <c r="AB364">
        <f>IF([2]Baskol!$K$367="","",[2]Baskol!$K$367)</f>
        <v/>
      </c>
      <c r="AC364">
        <f>IF([2]Baskol!$L$367="","",[2]Baskol!$L$367)</f>
        <v/>
      </c>
      <c r="AD364">
        <f>IF([2]Baskol!$N$367="","",[2]Baskol!$N$367)</f>
        <v/>
      </c>
      <c r="AE364">
        <f>IF([2]Baskol!$O$367="","",[2]Baskol!$O$367)</f>
        <v/>
      </c>
      <c r="AG364">
        <f>IF([3]Entry!$C$367="","",[3]Entry!$C$367)</f>
        <v/>
      </c>
      <c r="AH364">
        <f>IF([3]Entry!$D$367="","",[3]Entry!$D$367)</f>
        <v/>
      </c>
      <c r="AI364">
        <f>IF([3]Entry!$E$367="","",[3]Entry!$E$367)</f>
        <v/>
      </c>
      <c r="AJ364">
        <f>IF([3]Entry!$G$367="","",[3]Entry!$G$367)</f>
        <v/>
      </c>
      <c r="AK364">
        <f>IF([3]Entry!$K$367="","",[3]Entry!$K$367)</f>
        <v/>
      </c>
      <c r="AL364">
        <f>IF([3]Entry!$L$367="","",[3]Entry!$L$367)</f>
        <v/>
      </c>
      <c r="AM364">
        <f>IF([3]Entry!$M$367="","",[3]Entry!$M$367)</f>
        <v/>
      </c>
      <c r="AN364">
        <f>IF([3]Entry!$N$367="","",[3]Entry!$N$367)</f>
        <v/>
      </c>
      <c r="AO364">
        <f>IF([3]Entry!$R$367="","",[3]Entry!$R$367)</f>
        <v/>
      </c>
      <c r="AQ364">
        <f>IF(AND($D364&lt;&gt;"",$A364&lt;&gt;""),1,0)</f>
        <v/>
      </c>
      <c r="AR364">
        <f>SUM($AQ$6:$AQ364)</f>
        <v/>
      </c>
      <c r="AS364">
        <f>IFERROR(INDEX($A$6:$A$565,MATCH(ROW()-5,$AR$6:$AR$565,0)),"")</f>
        <v/>
      </c>
    </row>
    <row r="365">
      <c r="A365">
        <f>IF([1]Accounts!$D$366="","",[1]Accounts!$A$366)</f>
        <v/>
      </c>
      <c r="B365">
        <f>IF([1]Accounts!$D$366="","",[1]Accounts!$B$366)</f>
        <v/>
      </c>
      <c r="C365">
        <f>IF([1]Accounts!$D$366="","",[1]Accounts!$C$366)</f>
        <v/>
      </c>
      <c r="D365">
        <f>IF([1]Accounts!$D$366="","",[1]Accounts!$D$366)</f>
        <v/>
      </c>
      <c r="E365">
        <f>IF([1]Accounts!$D$366="","",[1]Accounts!$J$366)</f>
        <v/>
      </c>
      <c r="F365">
        <f>IF([1]Accounts!$D$366="","",[1]Accounts!$K$366)</f>
        <v/>
      </c>
      <c r="U365">
        <f>IF([2]Baskol!$B$368="","",[2]Baskol!$B$368)</f>
        <v/>
      </c>
      <c r="V365">
        <f>IF([2]Baskol!$C$368="","",[2]Baskol!$C$368)</f>
        <v/>
      </c>
      <c r="W365">
        <f>IF([2]Baskol!$D$368="","",[2]Baskol!$D$368)</f>
        <v/>
      </c>
      <c r="X365">
        <f>IF([2]Baskol!$E$368="","",[2]Baskol!$E$368)</f>
        <v/>
      </c>
      <c r="Y365">
        <f>IF([2]Baskol!$G$368="","",[2]Baskol!$G$368)</f>
        <v/>
      </c>
      <c r="Z365">
        <f>IF([2]Baskol!$I$368="","",[2]Baskol!$I$368)</f>
        <v/>
      </c>
      <c r="AA365">
        <f>IF([2]Baskol!$J$368="","",[2]Baskol!$J$368)</f>
        <v/>
      </c>
      <c r="AB365">
        <f>IF([2]Baskol!$K$368="","",[2]Baskol!$K$368)</f>
        <v/>
      </c>
      <c r="AC365">
        <f>IF([2]Baskol!$L$368="","",[2]Baskol!$L$368)</f>
        <v/>
      </c>
      <c r="AD365">
        <f>IF([2]Baskol!$N$368="","",[2]Baskol!$N$368)</f>
        <v/>
      </c>
      <c r="AE365">
        <f>IF([2]Baskol!$O$368="","",[2]Baskol!$O$368)</f>
        <v/>
      </c>
      <c r="AG365">
        <f>IF([3]Entry!$C$368="","",[3]Entry!$C$368)</f>
        <v/>
      </c>
      <c r="AH365">
        <f>IF([3]Entry!$D$368="","",[3]Entry!$D$368)</f>
        <v/>
      </c>
      <c r="AI365">
        <f>IF([3]Entry!$E$368="","",[3]Entry!$E$368)</f>
        <v/>
      </c>
      <c r="AJ365">
        <f>IF([3]Entry!$G$368="","",[3]Entry!$G$368)</f>
        <v/>
      </c>
      <c r="AK365">
        <f>IF([3]Entry!$K$368="","",[3]Entry!$K$368)</f>
        <v/>
      </c>
      <c r="AL365">
        <f>IF([3]Entry!$L$368="","",[3]Entry!$L$368)</f>
        <v/>
      </c>
      <c r="AM365">
        <f>IF([3]Entry!$M$368="","",[3]Entry!$M$368)</f>
        <v/>
      </c>
      <c r="AN365">
        <f>IF([3]Entry!$N$368="","",[3]Entry!$N$368)</f>
        <v/>
      </c>
      <c r="AO365">
        <f>IF([3]Entry!$R$368="","",[3]Entry!$R$368)</f>
        <v/>
      </c>
      <c r="AQ365">
        <f>IF(AND($D365&lt;&gt;"",$A365&lt;&gt;""),1,0)</f>
        <v/>
      </c>
      <c r="AR365">
        <f>SUM($AQ$6:$AQ365)</f>
        <v/>
      </c>
      <c r="AS365">
        <f>IFERROR(INDEX($A$6:$A$565,MATCH(ROW()-5,$AR$6:$AR$565,0)),"")</f>
        <v/>
      </c>
    </row>
    <row r="366">
      <c r="A366">
        <f>IF([1]Accounts!$D$367="","",[1]Accounts!$A$367)</f>
        <v/>
      </c>
      <c r="B366">
        <f>IF([1]Accounts!$D$367="","",[1]Accounts!$B$367)</f>
        <v/>
      </c>
      <c r="C366">
        <f>IF([1]Accounts!$D$367="","",[1]Accounts!$C$367)</f>
        <v/>
      </c>
      <c r="D366">
        <f>IF([1]Accounts!$D$367="","",[1]Accounts!$D$367)</f>
        <v/>
      </c>
      <c r="E366">
        <f>IF([1]Accounts!$D$367="","",[1]Accounts!$J$367)</f>
        <v/>
      </c>
      <c r="F366">
        <f>IF([1]Accounts!$D$367="","",[1]Accounts!$K$367)</f>
        <v/>
      </c>
      <c r="U366">
        <f>IF([2]Baskol!$B$369="","",[2]Baskol!$B$369)</f>
        <v/>
      </c>
      <c r="V366">
        <f>IF([2]Baskol!$C$369="","",[2]Baskol!$C$369)</f>
        <v/>
      </c>
      <c r="W366">
        <f>IF([2]Baskol!$D$369="","",[2]Baskol!$D$369)</f>
        <v/>
      </c>
      <c r="X366">
        <f>IF([2]Baskol!$E$369="","",[2]Baskol!$E$369)</f>
        <v/>
      </c>
      <c r="Y366">
        <f>IF([2]Baskol!$G$369="","",[2]Baskol!$G$369)</f>
        <v/>
      </c>
      <c r="Z366">
        <f>IF([2]Baskol!$I$369="","",[2]Baskol!$I$369)</f>
        <v/>
      </c>
      <c r="AA366">
        <f>IF([2]Baskol!$J$369="","",[2]Baskol!$J$369)</f>
        <v/>
      </c>
      <c r="AB366">
        <f>IF([2]Baskol!$K$369="","",[2]Baskol!$K$369)</f>
        <v/>
      </c>
      <c r="AC366">
        <f>IF([2]Baskol!$L$369="","",[2]Baskol!$L$369)</f>
        <v/>
      </c>
      <c r="AD366">
        <f>IF([2]Baskol!$N$369="","",[2]Baskol!$N$369)</f>
        <v/>
      </c>
      <c r="AE366">
        <f>IF([2]Baskol!$O$369="","",[2]Baskol!$O$369)</f>
        <v/>
      </c>
      <c r="AG366">
        <f>IF([3]Entry!$C$369="","",[3]Entry!$C$369)</f>
        <v/>
      </c>
      <c r="AH366">
        <f>IF([3]Entry!$D$369="","",[3]Entry!$D$369)</f>
        <v/>
      </c>
      <c r="AI366">
        <f>IF([3]Entry!$E$369="","",[3]Entry!$E$369)</f>
        <v/>
      </c>
      <c r="AJ366">
        <f>IF([3]Entry!$G$369="","",[3]Entry!$G$369)</f>
        <v/>
      </c>
      <c r="AK366">
        <f>IF([3]Entry!$K$369="","",[3]Entry!$K$369)</f>
        <v/>
      </c>
      <c r="AL366">
        <f>IF([3]Entry!$L$369="","",[3]Entry!$L$369)</f>
        <v/>
      </c>
      <c r="AM366">
        <f>IF([3]Entry!$M$369="","",[3]Entry!$M$369)</f>
        <v/>
      </c>
      <c r="AN366">
        <f>IF([3]Entry!$N$369="","",[3]Entry!$N$369)</f>
        <v/>
      </c>
      <c r="AO366">
        <f>IF([3]Entry!$R$369="","",[3]Entry!$R$369)</f>
        <v/>
      </c>
      <c r="AQ366">
        <f>IF(AND($D366&lt;&gt;"",$A366&lt;&gt;""),1,0)</f>
        <v/>
      </c>
      <c r="AR366">
        <f>SUM($AQ$6:$AQ366)</f>
        <v/>
      </c>
      <c r="AS366">
        <f>IFERROR(INDEX($A$6:$A$565,MATCH(ROW()-5,$AR$6:$AR$565,0)),"")</f>
        <v/>
      </c>
    </row>
    <row r="367">
      <c r="A367">
        <f>IF([1]Accounts!$D$368="","",[1]Accounts!$A$368)</f>
        <v/>
      </c>
      <c r="B367">
        <f>IF([1]Accounts!$D$368="","",[1]Accounts!$B$368)</f>
        <v/>
      </c>
      <c r="C367">
        <f>IF([1]Accounts!$D$368="","",[1]Accounts!$C$368)</f>
        <v/>
      </c>
      <c r="D367">
        <f>IF([1]Accounts!$D$368="","",[1]Accounts!$D$368)</f>
        <v/>
      </c>
      <c r="E367">
        <f>IF([1]Accounts!$D$368="","",[1]Accounts!$J$368)</f>
        <v/>
      </c>
      <c r="F367">
        <f>IF([1]Accounts!$D$368="","",[1]Accounts!$K$368)</f>
        <v/>
      </c>
      <c r="U367">
        <f>IF([2]Baskol!$B$370="","",[2]Baskol!$B$370)</f>
        <v/>
      </c>
      <c r="V367">
        <f>IF([2]Baskol!$C$370="","",[2]Baskol!$C$370)</f>
        <v/>
      </c>
      <c r="W367">
        <f>IF([2]Baskol!$D$370="","",[2]Baskol!$D$370)</f>
        <v/>
      </c>
      <c r="X367">
        <f>IF([2]Baskol!$E$370="","",[2]Baskol!$E$370)</f>
        <v/>
      </c>
      <c r="Y367">
        <f>IF([2]Baskol!$G$370="","",[2]Baskol!$G$370)</f>
        <v/>
      </c>
      <c r="Z367">
        <f>IF([2]Baskol!$I$370="","",[2]Baskol!$I$370)</f>
        <v/>
      </c>
      <c r="AA367">
        <f>IF([2]Baskol!$J$370="","",[2]Baskol!$J$370)</f>
        <v/>
      </c>
      <c r="AB367">
        <f>IF([2]Baskol!$K$370="","",[2]Baskol!$K$370)</f>
        <v/>
      </c>
      <c r="AC367">
        <f>IF([2]Baskol!$L$370="","",[2]Baskol!$L$370)</f>
        <v/>
      </c>
      <c r="AD367">
        <f>IF([2]Baskol!$N$370="","",[2]Baskol!$N$370)</f>
        <v/>
      </c>
      <c r="AE367">
        <f>IF([2]Baskol!$O$370="","",[2]Baskol!$O$370)</f>
        <v/>
      </c>
      <c r="AG367">
        <f>IF([3]Entry!$C$370="","",[3]Entry!$C$370)</f>
        <v/>
      </c>
      <c r="AH367">
        <f>IF([3]Entry!$D$370="","",[3]Entry!$D$370)</f>
        <v/>
      </c>
      <c r="AI367">
        <f>IF([3]Entry!$E$370="","",[3]Entry!$E$370)</f>
        <v/>
      </c>
      <c r="AJ367">
        <f>IF([3]Entry!$G$370="","",[3]Entry!$G$370)</f>
        <v/>
      </c>
      <c r="AK367">
        <f>IF([3]Entry!$K$370="","",[3]Entry!$K$370)</f>
        <v/>
      </c>
      <c r="AL367">
        <f>IF([3]Entry!$L$370="","",[3]Entry!$L$370)</f>
        <v/>
      </c>
      <c r="AM367">
        <f>IF([3]Entry!$M$370="","",[3]Entry!$M$370)</f>
        <v/>
      </c>
      <c r="AN367">
        <f>IF([3]Entry!$N$370="","",[3]Entry!$N$370)</f>
        <v/>
      </c>
      <c r="AO367">
        <f>IF([3]Entry!$R$370="","",[3]Entry!$R$370)</f>
        <v/>
      </c>
      <c r="AQ367">
        <f>IF(AND($D367&lt;&gt;"",$A367&lt;&gt;""),1,0)</f>
        <v/>
      </c>
      <c r="AR367">
        <f>SUM($AQ$6:$AQ367)</f>
        <v/>
      </c>
      <c r="AS367">
        <f>IFERROR(INDEX($A$6:$A$565,MATCH(ROW()-5,$AR$6:$AR$565,0)),"")</f>
        <v/>
      </c>
    </row>
    <row r="368">
      <c r="A368">
        <f>IF([1]Accounts!$D$369="","",[1]Accounts!$A$369)</f>
        <v/>
      </c>
      <c r="B368">
        <f>IF([1]Accounts!$D$369="","",[1]Accounts!$B$369)</f>
        <v/>
      </c>
      <c r="C368">
        <f>IF([1]Accounts!$D$369="","",[1]Accounts!$C$369)</f>
        <v/>
      </c>
      <c r="D368">
        <f>IF([1]Accounts!$D$369="","",[1]Accounts!$D$369)</f>
        <v/>
      </c>
      <c r="E368">
        <f>IF([1]Accounts!$D$369="","",[1]Accounts!$J$369)</f>
        <v/>
      </c>
      <c r="F368">
        <f>IF([1]Accounts!$D$369="","",[1]Accounts!$K$369)</f>
        <v/>
      </c>
      <c r="U368">
        <f>IF([2]Baskol!$B$371="","",[2]Baskol!$B$371)</f>
        <v/>
      </c>
      <c r="V368">
        <f>IF([2]Baskol!$C$371="","",[2]Baskol!$C$371)</f>
        <v/>
      </c>
      <c r="W368">
        <f>IF([2]Baskol!$D$371="","",[2]Baskol!$D$371)</f>
        <v/>
      </c>
      <c r="X368">
        <f>IF([2]Baskol!$E$371="","",[2]Baskol!$E$371)</f>
        <v/>
      </c>
      <c r="Y368">
        <f>IF([2]Baskol!$G$371="","",[2]Baskol!$G$371)</f>
        <v/>
      </c>
      <c r="Z368">
        <f>IF([2]Baskol!$I$371="","",[2]Baskol!$I$371)</f>
        <v/>
      </c>
      <c r="AA368">
        <f>IF([2]Baskol!$J$371="","",[2]Baskol!$J$371)</f>
        <v/>
      </c>
      <c r="AB368">
        <f>IF([2]Baskol!$K$371="","",[2]Baskol!$K$371)</f>
        <v/>
      </c>
      <c r="AC368">
        <f>IF([2]Baskol!$L$371="","",[2]Baskol!$L$371)</f>
        <v/>
      </c>
      <c r="AD368">
        <f>IF([2]Baskol!$N$371="","",[2]Baskol!$N$371)</f>
        <v/>
      </c>
      <c r="AE368">
        <f>IF([2]Baskol!$O$371="","",[2]Baskol!$O$371)</f>
        <v/>
      </c>
      <c r="AG368">
        <f>IF([3]Entry!$C$371="","",[3]Entry!$C$371)</f>
        <v/>
      </c>
      <c r="AH368">
        <f>IF([3]Entry!$D$371="","",[3]Entry!$D$371)</f>
        <v/>
      </c>
      <c r="AI368">
        <f>IF([3]Entry!$E$371="","",[3]Entry!$E$371)</f>
        <v/>
      </c>
      <c r="AJ368">
        <f>IF([3]Entry!$G$371="","",[3]Entry!$G$371)</f>
        <v/>
      </c>
      <c r="AK368">
        <f>IF([3]Entry!$K$371="","",[3]Entry!$K$371)</f>
        <v/>
      </c>
      <c r="AL368">
        <f>IF([3]Entry!$L$371="","",[3]Entry!$L$371)</f>
        <v/>
      </c>
      <c r="AM368">
        <f>IF([3]Entry!$M$371="","",[3]Entry!$M$371)</f>
        <v/>
      </c>
      <c r="AN368">
        <f>IF([3]Entry!$N$371="","",[3]Entry!$N$371)</f>
        <v/>
      </c>
      <c r="AO368">
        <f>IF([3]Entry!$R$371="","",[3]Entry!$R$371)</f>
        <v/>
      </c>
      <c r="AQ368">
        <f>IF(AND($D368&lt;&gt;"",$A368&lt;&gt;""),1,0)</f>
        <v/>
      </c>
      <c r="AR368">
        <f>SUM($AQ$6:$AQ368)</f>
        <v/>
      </c>
      <c r="AS368">
        <f>IFERROR(INDEX($A$6:$A$565,MATCH(ROW()-5,$AR$6:$AR$565,0)),"")</f>
        <v/>
      </c>
    </row>
    <row r="369">
      <c r="A369">
        <f>IF([1]Accounts!$D$370="","",[1]Accounts!$A$370)</f>
        <v/>
      </c>
      <c r="B369">
        <f>IF([1]Accounts!$D$370="","",[1]Accounts!$B$370)</f>
        <v/>
      </c>
      <c r="C369">
        <f>IF([1]Accounts!$D$370="","",[1]Accounts!$C$370)</f>
        <v/>
      </c>
      <c r="D369">
        <f>IF([1]Accounts!$D$370="","",[1]Accounts!$D$370)</f>
        <v/>
      </c>
      <c r="E369">
        <f>IF([1]Accounts!$D$370="","",[1]Accounts!$J$370)</f>
        <v/>
      </c>
      <c r="F369">
        <f>IF([1]Accounts!$D$370="","",[1]Accounts!$K$370)</f>
        <v/>
      </c>
      <c r="U369">
        <f>IF([2]Baskol!$B$372="","",[2]Baskol!$B$372)</f>
        <v/>
      </c>
      <c r="V369">
        <f>IF([2]Baskol!$C$372="","",[2]Baskol!$C$372)</f>
        <v/>
      </c>
      <c r="W369">
        <f>IF([2]Baskol!$D$372="","",[2]Baskol!$D$372)</f>
        <v/>
      </c>
      <c r="X369">
        <f>IF([2]Baskol!$E$372="","",[2]Baskol!$E$372)</f>
        <v/>
      </c>
      <c r="Y369">
        <f>IF([2]Baskol!$G$372="","",[2]Baskol!$G$372)</f>
        <v/>
      </c>
      <c r="Z369">
        <f>IF([2]Baskol!$I$372="","",[2]Baskol!$I$372)</f>
        <v/>
      </c>
      <c r="AA369">
        <f>IF([2]Baskol!$J$372="","",[2]Baskol!$J$372)</f>
        <v/>
      </c>
      <c r="AB369">
        <f>IF([2]Baskol!$K$372="","",[2]Baskol!$K$372)</f>
        <v/>
      </c>
      <c r="AC369">
        <f>IF([2]Baskol!$L$372="","",[2]Baskol!$L$372)</f>
        <v/>
      </c>
      <c r="AD369">
        <f>IF([2]Baskol!$N$372="","",[2]Baskol!$N$372)</f>
        <v/>
      </c>
      <c r="AE369">
        <f>IF([2]Baskol!$O$372="","",[2]Baskol!$O$372)</f>
        <v/>
      </c>
      <c r="AG369">
        <f>IF([3]Entry!$C$372="","",[3]Entry!$C$372)</f>
        <v/>
      </c>
      <c r="AH369">
        <f>IF([3]Entry!$D$372="","",[3]Entry!$D$372)</f>
        <v/>
      </c>
      <c r="AI369">
        <f>IF([3]Entry!$E$372="","",[3]Entry!$E$372)</f>
        <v/>
      </c>
      <c r="AJ369">
        <f>IF([3]Entry!$G$372="","",[3]Entry!$G$372)</f>
        <v/>
      </c>
      <c r="AK369">
        <f>IF([3]Entry!$K$372="","",[3]Entry!$K$372)</f>
        <v/>
      </c>
      <c r="AL369">
        <f>IF([3]Entry!$L$372="","",[3]Entry!$L$372)</f>
        <v/>
      </c>
      <c r="AM369">
        <f>IF([3]Entry!$M$372="","",[3]Entry!$M$372)</f>
        <v/>
      </c>
      <c r="AN369">
        <f>IF([3]Entry!$N$372="","",[3]Entry!$N$372)</f>
        <v/>
      </c>
      <c r="AO369">
        <f>IF([3]Entry!$R$372="","",[3]Entry!$R$372)</f>
        <v/>
      </c>
      <c r="AQ369">
        <f>IF(AND($D369&lt;&gt;"",$A369&lt;&gt;""),1,0)</f>
        <v/>
      </c>
      <c r="AR369">
        <f>SUM($AQ$6:$AQ369)</f>
        <v/>
      </c>
      <c r="AS369">
        <f>IFERROR(INDEX($A$6:$A$565,MATCH(ROW()-5,$AR$6:$AR$565,0)),"")</f>
        <v/>
      </c>
    </row>
    <row r="370">
      <c r="A370">
        <f>IF([1]Accounts!$D$371="","",[1]Accounts!$A$371)</f>
        <v/>
      </c>
      <c r="B370">
        <f>IF([1]Accounts!$D$371="","",[1]Accounts!$B$371)</f>
        <v/>
      </c>
      <c r="C370">
        <f>IF([1]Accounts!$D$371="","",[1]Accounts!$C$371)</f>
        <v/>
      </c>
      <c r="D370">
        <f>IF([1]Accounts!$D$371="","",[1]Accounts!$D$371)</f>
        <v/>
      </c>
      <c r="E370">
        <f>IF([1]Accounts!$D$371="","",[1]Accounts!$J$371)</f>
        <v/>
      </c>
      <c r="F370">
        <f>IF([1]Accounts!$D$371="","",[1]Accounts!$K$371)</f>
        <v/>
      </c>
      <c r="U370">
        <f>IF([2]Baskol!$B$373="","",[2]Baskol!$B$373)</f>
        <v/>
      </c>
      <c r="V370">
        <f>IF([2]Baskol!$C$373="","",[2]Baskol!$C$373)</f>
        <v/>
      </c>
      <c r="W370">
        <f>IF([2]Baskol!$D$373="","",[2]Baskol!$D$373)</f>
        <v/>
      </c>
      <c r="X370">
        <f>IF([2]Baskol!$E$373="","",[2]Baskol!$E$373)</f>
        <v/>
      </c>
      <c r="Y370">
        <f>IF([2]Baskol!$G$373="","",[2]Baskol!$G$373)</f>
        <v/>
      </c>
      <c r="Z370">
        <f>IF([2]Baskol!$I$373="","",[2]Baskol!$I$373)</f>
        <v/>
      </c>
      <c r="AA370">
        <f>IF([2]Baskol!$J$373="","",[2]Baskol!$J$373)</f>
        <v/>
      </c>
      <c r="AB370">
        <f>IF([2]Baskol!$K$373="","",[2]Baskol!$K$373)</f>
        <v/>
      </c>
      <c r="AC370">
        <f>IF([2]Baskol!$L$373="","",[2]Baskol!$L$373)</f>
        <v/>
      </c>
      <c r="AD370">
        <f>IF([2]Baskol!$N$373="","",[2]Baskol!$N$373)</f>
        <v/>
      </c>
      <c r="AE370">
        <f>IF([2]Baskol!$O$373="","",[2]Baskol!$O$373)</f>
        <v/>
      </c>
      <c r="AG370">
        <f>IF([3]Entry!$C$373="","",[3]Entry!$C$373)</f>
        <v/>
      </c>
      <c r="AH370">
        <f>IF([3]Entry!$D$373="","",[3]Entry!$D$373)</f>
        <v/>
      </c>
      <c r="AI370">
        <f>IF([3]Entry!$E$373="","",[3]Entry!$E$373)</f>
        <v/>
      </c>
      <c r="AJ370">
        <f>IF([3]Entry!$G$373="","",[3]Entry!$G$373)</f>
        <v/>
      </c>
      <c r="AK370">
        <f>IF([3]Entry!$K$373="","",[3]Entry!$K$373)</f>
        <v/>
      </c>
      <c r="AL370">
        <f>IF([3]Entry!$L$373="","",[3]Entry!$L$373)</f>
        <v/>
      </c>
      <c r="AM370">
        <f>IF([3]Entry!$M$373="","",[3]Entry!$M$373)</f>
        <v/>
      </c>
      <c r="AN370">
        <f>IF([3]Entry!$N$373="","",[3]Entry!$N$373)</f>
        <v/>
      </c>
      <c r="AO370">
        <f>IF([3]Entry!$R$373="","",[3]Entry!$R$373)</f>
        <v/>
      </c>
      <c r="AQ370">
        <f>IF(AND($D370&lt;&gt;"",$A370&lt;&gt;""),1,0)</f>
        <v/>
      </c>
      <c r="AR370">
        <f>SUM($AQ$6:$AQ370)</f>
        <v/>
      </c>
      <c r="AS370">
        <f>IFERROR(INDEX($A$6:$A$565,MATCH(ROW()-5,$AR$6:$AR$565,0)),"")</f>
        <v/>
      </c>
    </row>
    <row r="371">
      <c r="A371">
        <f>IF([1]Accounts!$D$372="","",[1]Accounts!$A$372)</f>
        <v/>
      </c>
      <c r="B371">
        <f>IF([1]Accounts!$D$372="","",[1]Accounts!$B$372)</f>
        <v/>
      </c>
      <c r="C371">
        <f>IF([1]Accounts!$D$372="","",[1]Accounts!$C$372)</f>
        <v/>
      </c>
      <c r="D371">
        <f>IF([1]Accounts!$D$372="","",[1]Accounts!$D$372)</f>
        <v/>
      </c>
      <c r="E371">
        <f>IF([1]Accounts!$D$372="","",[1]Accounts!$J$372)</f>
        <v/>
      </c>
      <c r="F371">
        <f>IF([1]Accounts!$D$372="","",[1]Accounts!$K$372)</f>
        <v/>
      </c>
      <c r="U371">
        <f>IF([2]Baskol!$B$374="","",[2]Baskol!$B$374)</f>
        <v/>
      </c>
      <c r="V371">
        <f>IF([2]Baskol!$C$374="","",[2]Baskol!$C$374)</f>
        <v/>
      </c>
      <c r="W371">
        <f>IF([2]Baskol!$D$374="","",[2]Baskol!$D$374)</f>
        <v/>
      </c>
      <c r="X371">
        <f>IF([2]Baskol!$E$374="","",[2]Baskol!$E$374)</f>
        <v/>
      </c>
      <c r="Y371">
        <f>IF([2]Baskol!$G$374="","",[2]Baskol!$G$374)</f>
        <v/>
      </c>
      <c r="Z371">
        <f>IF([2]Baskol!$I$374="","",[2]Baskol!$I$374)</f>
        <v/>
      </c>
      <c r="AA371">
        <f>IF([2]Baskol!$J$374="","",[2]Baskol!$J$374)</f>
        <v/>
      </c>
      <c r="AB371">
        <f>IF([2]Baskol!$K$374="","",[2]Baskol!$K$374)</f>
        <v/>
      </c>
      <c r="AC371">
        <f>IF([2]Baskol!$L$374="","",[2]Baskol!$L$374)</f>
        <v/>
      </c>
      <c r="AD371">
        <f>IF([2]Baskol!$N$374="","",[2]Baskol!$N$374)</f>
        <v/>
      </c>
      <c r="AE371">
        <f>IF([2]Baskol!$O$374="","",[2]Baskol!$O$374)</f>
        <v/>
      </c>
      <c r="AG371">
        <f>IF([3]Entry!$C$374="","",[3]Entry!$C$374)</f>
        <v/>
      </c>
      <c r="AH371">
        <f>IF([3]Entry!$D$374="","",[3]Entry!$D$374)</f>
        <v/>
      </c>
      <c r="AI371">
        <f>IF([3]Entry!$E$374="","",[3]Entry!$E$374)</f>
        <v/>
      </c>
      <c r="AJ371">
        <f>IF([3]Entry!$G$374="","",[3]Entry!$G$374)</f>
        <v/>
      </c>
      <c r="AK371">
        <f>IF([3]Entry!$K$374="","",[3]Entry!$K$374)</f>
        <v/>
      </c>
      <c r="AL371">
        <f>IF([3]Entry!$L$374="","",[3]Entry!$L$374)</f>
        <v/>
      </c>
      <c r="AM371">
        <f>IF([3]Entry!$M$374="","",[3]Entry!$M$374)</f>
        <v/>
      </c>
      <c r="AN371">
        <f>IF([3]Entry!$N$374="","",[3]Entry!$N$374)</f>
        <v/>
      </c>
      <c r="AO371">
        <f>IF([3]Entry!$R$374="","",[3]Entry!$R$374)</f>
        <v/>
      </c>
      <c r="AQ371">
        <f>IF(AND($D371&lt;&gt;"",$A371&lt;&gt;""),1,0)</f>
        <v/>
      </c>
      <c r="AR371">
        <f>SUM($AQ$6:$AQ371)</f>
        <v/>
      </c>
      <c r="AS371">
        <f>IFERROR(INDEX($A$6:$A$565,MATCH(ROW()-5,$AR$6:$AR$565,0)),"")</f>
        <v/>
      </c>
    </row>
    <row r="372">
      <c r="A372">
        <f>IF([1]Accounts!$D$373="","",[1]Accounts!$A$373)</f>
        <v/>
      </c>
      <c r="B372">
        <f>IF([1]Accounts!$D$373="","",[1]Accounts!$B$373)</f>
        <v/>
      </c>
      <c r="C372">
        <f>IF([1]Accounts!$D$373="","",[1]Accounts!$C$373)</f>
        <v/>
      </c>
      <c r="D372">
        <f>IF([1]Accounts!$D$373="","",[1]Accounts!$D$373)</f>
        <v/>
      </c>
      <c r="E372">
        <f>IF([1]Accounts!$D$373="","",[1]Accounts!$J$373)</f>
        <v/>
      </c>
      <c r="F372">
        <f>IF([1]Accounts!$D$373="","",[1]Accounts!$K$373)</f>
        <v/>
      </c>
      <c r="U372">
        <f>IF([2]Baskol!$B$375="","",[2]Baskol!$B$375)</f>
        <v/>
      </c>
      <c r="V372">
        <f>IF([2]Baskol!$C$375="","",[2]Baskol!$C$375)</f>
        <v/>
      </c>
      <c r="W372">
        <f>IF([2]Baskol!$D$375="","",[2]Baskol!$D$375)</f>
        <v/>
      </c>
      <c r="X372">
        <f>IF([2]Baskol!$E$375="","",[2]Baskol!$E$375)</f>
        <v/>
      </c>
      <c r="Y372">
        <f>IF([2]Baskol!$G$375="","",[2]Baskol!$G$375)</f>
        <v/>
      </c>
      <c r="Z372">
        <f>IF([2]Baskol!$I$375="","",[2]Baskol!$I$375)</f>
        <v/>
      </c>
      <c r="AA372">
        <f>IF([2]Baskol!$J$375="","",[2]Baskol!$J$375)</f>
        <v/>
      </c>
      <c r="AB372">
        <f>IF([2]Baskol!$K$375="","",[2]Baskol!$K$375)</f>
        <v/>
      </c>
      <c r="AC372">
        <f>IF([2]Baskol!$L$375="","",[2]Baskol!$L$375)</f>
        <v/>
      </c>
      <c r="AD372">
        <f>IF([2]Baskol!$N$375="","",[2]Baskol!$N$375)</f>
        <v/>
      </c>
      <c r="AE372">
        <f>IF([2]Baskol!$O$375="","",[2]Baskol!$O$375)</f>
        <v/>
      </c>
      <c r="AG372">
        <f>IF([3]Entry!$C$375="","",[3]Entry!$C$375)</f>
        <v/>
      </c>
      <c r="AH372">
        <f>IF([3]Entry!$D$375="","",[3]Entry!$D$375)</f>
        <v/>
      </c>
      <c r="AI372">
        <f>IF([3]Entry!$E$375="","",[3]Entry!$E$375)</f>
        <v/>
      </c>
      <c r="AJ372">
        <f>IF([3]Entry!$G$375="","",[3]Entry!$G$375)</f>
        <v/>
      </c>
      <c r="AK372">
        <f>IF([3]Entry!$K$375="","",[3]Entry!$K$375)</f>
        <v/>
      </c>
      <c r="AL372">
        <f>IF([3]Entry!$L$375="","",[3]Entry!$L$375)</f>
        <v/>
      </c>
      <c r="AM372">
        <f>IF([3]Entry!$M$375="","",[3]Entry!$M$375)</f>
        <v/>
      </c>
      <c r="AN372">
        <f>IF([3]Entry!$N$375="","",[3]Entry!$N$375)</f>
        <v/>
      </c>
      <c r="AO372">
        <f>IF([3]Entry!$R$375="","",[3]Entry!$R$375)</f>
        <v/>
      </c>
      <c r="AQ372">
        <f>IF(AND($D372&lt;&gt;"",$A372&lt;&gt;""),1,0)</f>
        <v/>
      </c>
      <c r="AR372">
        <f>SUM($AQ$6:$AQ372)</f>
        <v/>
      </c>
      <c r="AS372">
        <f>IFERROR(INDEX($A$6:$A$565,MATCH(ROW()-5,$AR$6:$AR$565,0)),"")</f>
        <v/>
      </c>
    </row>
    <row r="373">
      <c r="A373">
        <f>IF([1]Accounts!$D$374="","",[1]Accounts!$A$374)</f>
        <v/>
      </c>
      <c r="B373">
        <f>IF([1]Accounts!$D$374="","",[1]Accounts!$B$374)</f>
        <v/>
      </c>
      <c r="C373">
        <f>IF([1]Accounts!$D$374="","",[1]Accounts!$C$374)</f>
        <v/>
      </c>
      <c r="D373">
        <f>IF([1]Accounts!$D$374="","",[1]Accounts!$D$374)</f>
        <v/>
      </c>
      <c r="E373">
        <f>IF([1]Accounts!$D$374="","",[1]Accounts!$J$374)</f>
        <v/>
      </c>
      <c r="F373">
        <f>IF([1]Accounts!$D$374="","",[1]Accounts!$K$374)</f>
        <v/>
      </c>
      <c r="U373">
        <f>IF([2]Baskol!$B$376="","",[2]Baskol!$B$376)</f>
        <v/>
      </c>
      <c r="V373">
        <f>IF([2]Baskol!$C$376="","",[2]Baskol!$C$376)</f>
        <v/>
      </c>
      <c r="W373">
        <f>IF([2]Baskol!$D$376="","",[2]Baskol!$D$376)</f>
        <v/>
      </c>
      <c r="X373">
        <f>IF([2]Baskol!$E$376="","",[2]Baskol!$E$376)</f>
        <v/>
      </c>
      <c r="Y373">
        <f>IF([2]Baskol!$G$376="","",[2]Baskol!$G$376)</f>
        <v/>
      </c>
      <c r="Z373">
        <f>IF([2]Baskol!$I$376="","",[2]Baskol!$I$376)</f>
        <v/>
      </c>
      <c r="AA373">
        <f>IF([2]Baskol!$J$376="","",[2]Baskol!$J$376)</f>
        <v/>
      </c>
      <c r="AB373">
        <f>IF([2]Baskol!$K$376="","",[2]Baskol!$K$376)</f>
        <v/>
      </c>
      <c r="AC373">
        <f>IF([2]Baskol!$L$376="","",[2]Baskol!$L$376)</f>
        <v/>
      </c>
      <c r="AD373">
        <f>IF([2]Baskol!$N$376="","",[2]Baskol!$N$376)</f>
        <v/>
      </c>
      <c r="AE373">
        <f>IF([2]Baskol!$O$376="","",[2]Baskol!$O$376)</f>
        <v/>
      </c>
      <c r="AG373">
        <f>IF([3]Entry!$C$376="","",[3]Entry!$C$376)</f>
        <v/>
      </c>
      <c r="AH373">
        <f>IF([3]Entry!$D$376="","",[3]Entry!$D$376)</f>
        <v/>
      </c>
      <c r="AI373">
        <f>IF([3]Entry!$E$376="","",[3]Entry!$E$376)</f>
        <v/>
      </c>
      <c r="AJ373">
        <f>IF([3]Entry!$G$376="","",[3]Entry!$G$376)</f>
        <v/>
      </c>
      <c r="AK373">
        <f>IF([3]Entry!$K$376="","",[3]Entry!$K$376)</f>
        <v/>
      </c>
      <c r="AL373">
        <f>IF([3]Entry!$L$376="","",[3]Entry!$L$376)</f>
        <v/>
      </c>
      <c r="AM373">
        <f>IF([3]Entry!$M$376="","",[3]Entry!$M$376)</f>
        <v/>
      </c>
      <c r="AN373">
        <f>IF([3]Entry!$N$376="","",[3]Entry!$N$376)</f>
        <v/>
      </c>
      <c r="AO373">
        <f>IF([3]Entry!$R$376="","",[3]Entry!$R$376)</f>
        <v/>
      </c>
      <c r="AQ373">
        <f>IF(AND($D373&lt;&gt;"",$A373&lt;&gt;""),1,0)</f>
        <v/>
      </c>
      <c r="AR373">
        <f>SUM($AQ$6:$AQ373)</f>
        <v/>
      </c>
      <c r="AS373">
        <f>IFERROR(INDEX($A$6:$A$565,MATCH(ROW()-5,$AR$6:$AR$565,0)),"")</f>
        <v/>
      </c>
    </row>
    <row r="374">
      <c r="A374">
        <f>IF([1]Accounts!$D$375="","",[1]Accounts!$A$375)</f>
        <v/>
      </c>
      <c r="B374">
        <f>IF([1]Accounts!$D$375="","",[1]Accounts!$B$375)</f>
        <v/>
      </c>
      <c r="C374">
        <f>IF([1]Accounts!$D$375="","",[1]Accounts!$C$375)</f>
        <v/>
      </c>
      <c r="D374">
        <f>IF([1]Accounts!$D$375="","",[1]Accounts!$D$375)</f>
        <v/>
      </c>
      <c r="E374">
        <f>IF([1]Accounts!$D$375="","",[1]Accounts!$J$375)</f>
        <v/>
      </c>
      <c r="F374">
        <f>IF([1]Accounts!$D$375="","",[1]Accounts!$K$375)</f>
        <v/>
      </c>
      <c r="U374">
        <f>IF([2]Baskol!$B$377="","",[2]Baskol!$B$377)</f>
        <v/>
      </c>
      <c r="V374">
        <f>IF([2]Baskol!$C$377="","",[2]Baskol!$C$377)</f>
        <v/>
      </c>
      <c r="W374">
        <f>IF([2]Baskol!$D$377="","",[2]Baskol!$D$377)</f>
        <v/>
      </c>
      <c r="X374">
        <f>IF([2]Baskol!$E$377="","",[2]Baskol!$E$377)</f>
        <v/>
      </c>
      <c r="Y374">
        <f>IF([2]Baskol!$G$377="","",[2]Baskol!$G$377)</f>
        <v/>
      </c>
      <c r="Z374">
        <f>IF([2]Baskol!$I$377="","",[2]Baskol!$I$377)</f>
        <v/>
      </c>
      <c r="AA374">
        <f>IF([2]Baskol!$J$377="","",[2]Baskol!$J$377)</f>
        <v/>
      </c>
      <c r="AB374">
        <f>IF([2]Baskol!$K$377="","",[2]Baskol!$K$377)</f>
        <v/>
      </c>
      <c r="AC374">
        <f>IF([2]Baskol!$L$377="","",[2]Baskol!$L$377)</f>
        <v/>
      </c>
      <c r="AD374">
        <f>IF([2]Baskol!$N$377="","",[2]Baskol!$N$377)</f>
        <v/>
      </c>
      <c r="AE374">
        <f>IF([2]Baskol!$O$377="","",[2]Baskol!$O$377)</f>
        <v/>
      </c>
      <c r="AG374">
        <f>IF([3]Entry!$C$377="","",[3]Entry!$C$377)</f>
        <v/>
      </c>
      <c r="AH374">
        <f>IF([3]Entry!$D$377="","",[3]Entry!$D$377)</f>
        <v/>
      </c>
      <c r="AI374">
        <f>IF([3]Entry!$E$377="","",[3]Entry!$E$377)</f>
        <v/>
      </c>
      <c r="AJ374">
        <f>IF([3]Entry!$G$377="","",[3]Entry!$G$377)</f>
        <v/>
      </c>
      <c r="AK374">
        <f>IF([3]Entry!$K$377="","",[3]Entry!$K$377)</f>
        <v/>
      </c>
      <c r="AL374">
        <f>IF([3]Entry!$L$377="","",[3]Entry!$L$377)</f>
        <v/>
      </c>
      <c r="AM374">
        <f>IF([3]Entry!$M$377="","",[3]Entry!$M$377)</f>
        <v/>
      </c>
      <c r="AN374">
        <f>IF([3]Entry!$N$377="","",[3]Entry!$N$377)</f>
        <v/>
      </c>
      <c r="AO374">
        <f>IF([3]Entry!$R$377="","",[3]Entry!$R$377)</f>
        <v/>
      </c>
      <c r="AQ374">
        <f>IF(AND($D374&lt;&gt;"",$A374&lt;&gt;""),1,0)</f>
        <v/>
      </c>
      <c r="AR374">
        <f>SUM($AQ$6:$AQ374)</f>
        <v/>
      </c>
      <c r="AS374">
        <f>IFERROR(INDEX($A$6:$A$565,MATCH(ROW()-5,$AR$6:$AR$565,0)),"")</f>
        <v/>
      </c>
    </row>
    <row r="375">
      <c r="A375">
        <f>IF([1]Accounts!$D$376="","",[1]Accounts!$A$376)</f>
        <v/>
      </c>
      <c r="B375">
        <f>IF([1]Accounts!$D$376="","",[1]Accounts!$B$376)</f>
        <v/>
      </c>
      <c r="C375">
        <f>IF([1]Accounts!$D$376="","",[1]Accounts!$C$376)</f>
        <v/>
      </c>
      <c r="D375">
        <f>IF([1]Accounts!$D$376="","",[1]Accounts!$D$376)</f>
        <v/>
      </c>
      <c r="E375">
        <f>IF([1]Accounts!$D$376="","",[1]Accounts!$J$376)</f>
        <v/>
      </c>
      <c r="F375">
        <f>IF([1]Accounts!$D$376="","",[1]Accounts!$K$376)</f>
        <v/>
      </c>
      <c r="U375">
        <f>IF([2]Baskol!$B$378="","",[2]Baskol!$B$378)</f>
        <v/>
      </c>
      <c r="V375">
        <f>IF([2]Baskol!$C$378="","",[2]Baskol!$C$378)</f>
        <v/>
      </c>
      <c r="W375">
        <f>IF([2]Baskol!$D$378="","",[2]Baskol!$D$378)</f>
        <v/>
      </c>
      <c r="X375">
        <f>IF([2]Baskol!$E$378="","",[2]Baskol!$E$378)</f>
        <v/>
      </c>
      <c r="Y375">
        <f>IF([2]Baskol!$G$378="","",[2]Baskol!$G$378)</f>
        <v/>
      </c>
      <c r="Z375">
        <f>IF([2]Baskol!$I$378="","",[2]Baskol!$I$378)</f>
        <v/>
      </c>
      <c r="AA375">
        <f>IF([2]Baskol!$J$378="","",[2]Baskol!$J$378)</f>
        <v/>
      </c>
      <c r="AB375">
        <f>IF([2]Baskol!$K$378="","",[2]Baskol!$K$378)</f>
        <v/>
      </c>
      <c r="AC375">
        <f>IF([2]Baskol!$L$378="","",[2]Baskol!$L$378)</f>
        <v/>
      </c>
      <c r="AD375">
        <f>IF([2]Baskol!$N$378="","",[2]Baskol!$N$378)</f>
        <v/>
      </c>
      <c r="AE375">
        <f>IF([2]Baskol!$O$378="","",[2]Baskol!$O$378)</f>
        <v/>
      </c>
      <c r="AG375">
        <f>IF([3]Entry!$C$378="","",[3]Entry!$C$378)</f>
        <v/>
      </c>
      <c r="AH375">
        <f>IF([3]Entry!$D$378="","",[3]Entry!$D$378)</f>
        <v/>
      </c>
      <c r="AI375">
        <f>IF([3]Entry!$E$378="","",[3]Entry!$E$378)</f>
        <v/>
      </c>
      <c r="AJ375">
        <f>IF([3]Entry!$G$378="","",[3]Entry!$G$378)</f>
        <v/>
      </c>
      <c r="AK375">
        <f>IF([3]Entry!$K$378="","",[3]Entry!$K$378)</f>
        <v/>
      </c>
      <c r="AL375">
        <f>IF([3]Entry!$L$378="","",[3]Entry!$L$378)</f>
        <v/>
      </c>
      <c r="AM375">
        <f>IF([3]Entry!$M$378="","",[3]Entry!$M$378)</f>
        <v/>
      </c>
      <c r="AN375">
        <f>IF([3]Entry!$N$378="","",[3]Entry!$N$378)</f>
        <v/>
      </c>
      <c r="AO375">
        <f>IF([3]Entry!$R$378="","",[3]Entry!$R$378)</f>
        <v/>
      </c>
      <c r="AQ375">
        <f>IF(AND($D375&lt;&gt;"",$A375&lt;&gt;""),1,0)</f>
        <v/>
      </c>
      <c r="AR375">
        <f>SUM($AQ$6:$AQ375)</f>
        <v/>
      </c>
      <c r="AS375">
        <f>IFERROR(INDEX($A$6:$A$565,MATCH(ROW()-5,$AR$6:$AR$565,0)),"")</f>
        <v/>
      </c>
    </row>
    <row r="376">
      <c r="A376">
        <f>IF([1]Accounts!$D$377="","",[1]Accounts!$A$377)</f>
        <v/>
      </c>
      <c r="B376">
        <f>IF([1]Accounts!$D$377="","",[1]Accounts!$B$377)</f>
        <v/>
      </c>
      <c r="C376">
        <f>IF([1]Accounts!$D$377="","",[1]Accounts!$C$377)</f>
        <v/>
      </c>
      <c r="D376">
        <f>IF([1]Accounts!$D$377="","",[1]Accounts!$D$377)</f>
        <v/>
      </c>
      <c r="E376">
        <f>IF([1]Accounts!$D$377="","",[1]Accounts!$J$377)</f>
        <v/>
      </c>
      <c r="F376">
        <f>IF([1]Accounts!$D$377="","",[1]Accounts!$K$377)</f>
        <v/>
      </c>
      <c r="U376">
        <f>IF([2]Baskol!$B$379="","",[2]Baskol!$B$379)</f>
        <v/>
      </c>
      <c r="V376">
        <f>IF([2]Baskol!$C$379="","",[2]Baskol!$C$379)</f>
        <v/>
      </c>
      <c r="W376">
        <f>IF([2]Baskol!$D$379="","",[2]Baskol!$D$379)</f>
        <v/>
      </c>
      <c r="X376">
        <f>IF([2]Baskol!$E$379="","",[2]Baskol!$E$379)</f>
        <v/>
      </c>
      <c r="Y376">
        <f>IF([2]Baskol!$G$379="","",[2]Baskol!$G$379)</f>
        <v/>
      </c>
      <c r="Z376">
        <f>IF([2]Baskol!$I$379="","",[2]Baskol!$I$379)</f>
        <v/>
      </c>
      <c r="AA376">
        <f>IF([2]Baskol!$J$379="","",[2]Baskol!$J$379)</f>
        <v/>
      </c>
      <c r="AB376">
        <f>IF([2]Baskol!$K$379="","",[2]Baskol!$K$379)</f>
        <v/>
      </c>
      <c r="AC376">
        <f>IF([2]Baskol!$L$379="","",[2]Baskol!$L$379)</f>
        <v/>
      </c>
      <c r="AD376">
        <f>IF([2]Baskol!$N$379="","",[2]Baskol!$N$379)</f>
        <v/>
      </c>
      <c r="AE376">
        <f>IF([2]Baskol!$O$379="","",[2]Baskol!$O$379)</f>
        <v/>
      </c>
      <c r="AG376">
        <f>IF([3]Entry!$C$379="","",[3]Entry!$C$379)</f>
        <v/>
      </c>
      <c r="AH376">
        <f>IF([3]Entry!$D$379="","",[3]Entry!$D$379)</f>
        <v/>
      </c>
      <c r="AI376">
        <f>IF([3]Entry!$E$379="","",[3]Entry!$E$379)</f>
        <v/>
      </c>
      <c r="AJ376">
        <f>IF([3]Entry!$G$379="","",[3]Entry!$G$379)</f>
        <v/>
      </c>
      <c r="AK376">
        <f>IF([3]Entry!$K$379="","",[3]Entry!$K$379)</f>
        <v/>
      </c>
      <c r="AL376">
        <f>IF([3]Entry!$L$379="","",[3]Entry!$L$379)</f>
        <v/>
      </c>
      <c r="AM376">
        <f>IF([3]Entry!$M$379="","",[3]Entry!$M$379)</f>
        <v/>
      </c>
      <c r="AN376">
        <f>IF([3]Entry!$N$379="","",[3]Entry!$N$379)</f>
        <v/>
      </c>
      <c r="AO376">
        <f>IF([3]Entry!$R$379="","",[3]Entry!$R$379)</f>
        <v/>
      </c>
      <c r="AQ376">
        <f>IF(AND($D376&lt;&gt;"",$A376&lt;&gt;""),1,0)</f>
        <v/>
      </c>
      <c r="AR376">
        <f>SUM($AQ$6:$AQ376)</f>
        <v/>
      </c>
      <c r="AS376">
        <f>IFERROR(INDEX($A$6:$A$565,MATCH(ROW()-5,$AR$6:$AR$565,0)),"")</f>
        <v/>
      </c>
    </row>
    <row r="377">
      <c r="A377">
        <f>IF([1]Accounts!$D$378="","",[1]Accounts!$A$378)</f>
        <v/>
      </c>
      <c r="B377">
        <f>IF([1]Accounts!$D$378="","",[1]Accounts!$B$378)</f>
        <v/>
      </c>
      <c r="C377">
        <f>IF([1]Accounts!$D$378="","",[1]Accounts!$C$378)</f>
        <v/>
      </c>
      <c r="D377">
        <f>IF([1]Accounts!$D$378="","",[1]Accounts!$D$378)</f>
        <v/>
      </c>
      <c r="E377">
        <f>IF([1]Accounts!$D$378="","",[1]Accounts!$J$378)</f>
        <v/>
      </c>
      <c r="F377">
        <f>IF([1]Accounts!$D$378="","",[1]Accounts!$K$378)</f>
        <v/>
      </c>
      <c r="U377">
        <f>IF([2]Baskol!$B$380="","",[2]Baskol!$B$380)</f>
        <v/>
      </c>
      <c r="V377">
        <f>IF([2]Baskol!$C$380="","",[2]Baskol!$C$380)</f>
        <v/>
      </c>
      <c r="W377">
        <f>IF([2]Baskol!$D$380="","",[2]Baskol!$D$380)</f>
        <v/>
      </c>
      <c r="X377">
        <f>IF([2]Baskol!$E$380="","",[2]Baskol!$E$380)</f>
        <v/>
      </c>
      <c r="Y377">
        <f>IF([2]Baskol!$G$380="","",[2]Baskol!$G$380)</f>
        <v/>
      </c>
      <c r="Z377">
        <f>IF([2]Baskol!$I$380="","",[2]Baskol!$I$380)</f>
        <v/>
      </c>
      <c r="AA377">
        <f>IF([2]Baskol!$J$380="","",[2]Baskol!$J$380)</f>
        <v/>
      </c>
      <c r="AB377">
        <f>IF([2]Baskol!$K$380="","",[2]Baskol!$K$380)</f>
        <v/>
      </c>
      <c r="AC377">
        <f>IF([2]Baskol!$L$380="","",[2]Baskol!$L$380)</f>
        <v/>
      </c>
      <c r="AD377">
        <f>IF([2]Baskol!$N$380="","",[2]Baskol!$N$380)</f>
        <v/>
      </c>
      <c r="AE377">
        <f>IF([2]Baskol!$O$380="","",[2]Baskol!$O$380)</f>
        <v/>
      </c>
      <c r="AG377">
        <f>IF([3]Entry!$C$380="","",[3]Entry!$C$380)</f>
        <v/>
      </c>
      <c r="AH377">
        <f>IF([3]Entry!$D$380="","",[3]Entry!$D$380)</f>
        <v/>
      </c>
      <c r="AI377">
        <f>IF([3]Entry!$E$380="","",[3]Entry!$E$380)</f>
        <v/>
      </c>
      <c r="AJ377">
        <f>IF([3]Entry!$G$380="","",[3]Entry!$G$380)</f>
        <v/>
      </c>
      <c r="AK377">
        <f>IF([3]Entry!$K$380="","",[3]Entry!$K$380)</f>
        <v/>
      </c>
      <c r="AL377">
        <f>IF([3]Entry!$L$380="","",[3]Entry!$L$380)</f>
        <v/>
      </c>
      <c r="AM377">
        <f>IF([3]Entry!$M$380="","",[3]Entry!$M$380)</f>
        <v/>
      </c>
      <c r="AN377">
        <f>IF([3]Entry!$N$380="","",[3]Entry!$N$380)</f>
        <v/>
      </c>
      <c r="AO377">
        <f>IF([3]Entry!$R$380="","",[3]Entry!$R$380)</f>
        <v/>
      </c>
      <c r="AQ377">
        <f>IF(AND($D377&lt;&gt;"",$A377&lt;&gt;""),1,0)</f>
        <v/>
      </c>
      <c r="AR377">
        <f>SUM($AQ$6:$AQ377)</f>
        <v/>
      </c>
      <c r="AS377">
        <f>IFERROR(INDEX($A$6:$A$565,MATCH(ROW()-5,$AR$6:$AR$565,0)),"")</f>
        <v/>
      </c>
    </row>
    <row r="378">
      <c r="A378">
        <f>IF([1]Accounts!$D$379="","",[1]Accounts!$A$379)</f>
        <v/>
      </c>
      <c r="B378">
        <f>IF([1]Accounts!$D$379="","",[1]Accounts!$B$379)</f>
        <v/>
      </c>
      <c r="C378">
        <f>IF([1]Accounts!$D$379="","",[1]Accounts!$C$379)</f>
        <v/>
      </c>
      <c r="D378">
        <f>IF([1]Accounts!$D$379="","",[1]Accounts!$D$379)</f>
        <v/>
      </c>
      <c r="E378">
        <f>IF([1]Accounts!$D$379="","",[1]Accounts!$J$379)</f>
        <v/>
      </c>
      <c r="F378">
        <f>IF([1]Accounts!$D$379="","",[1]Accounts!$K$379)</f>
        <v/>
      </c>
      <c r="U378">
        <f>IF([2]Baskol!$B$381="","",[2]Baskol!$B$381)</f>
        <v/>
      </c>
      <c r="V378">
        <f>IF([2]Baskol!$C$381="","",[2]Baskol!$C$381)</f>
        <v/>
      </c>
      <c r="W378">
        <f>IF([2]Baskol!$D$381="","",[2]Baskol!$D$381)</f>
        <v/>
      </c>
      <c r="X378">
        <f>IF([2]Baskol!$E$381="","",[2]Baskol!$E$381)</f>
        <v/>
      </c>
      <c r="Y378">
        <f>IF([2]Baskol!$G$381="","",[2]Baskol!$G$381)</f>
        <v/>
      </c>
      <c r="Z378">
        <f>IF([2]Baskol!$I$381="","",[2]Baskol!$I$381)</f>
        <v/>
      </c>
      <c r="AA378">
        <f>IF([2]Baskol!$J$381="","",[2]Baskol!$J$381)</f>
        <v/>
      </c>
      <c r="AB378">
        <f>IF([2]Baskol!$K$381="","",[2]Baskol!$K$381)</f>
        <v/>
      </c>
      <c r="AC378">
        <f>IF([2]Baskol!$L$381="","",[2]Baskol!$L$381)</f>
        <v/>
      </c>
      <c r="AD378">
        <f>IF([2]Baskol!$N$381="","",[2]Baskol!$N$381)</f>
        <v/>
      </c>
      <c r="AE378">
        <f>IF([2]Baskol!$O$381="","",[2]Baskol!$O$381)</f>
        <v/>
      </c>
      <c r="AG378">
        <f>IF([3]Entry!$C$381="","",[3]Entry!$C$381)</f>
        <v/>
      </c>
      <c r="AH378">
        <f>IF([3]Entry!$D$381="","",[3]Entry!$D$381)</f>
        <v/>
      </c>
      <c r="AI378">
        <f>IF([3]Entry!$E$381="","",[3]Entry!$E$381)</f>
        <v/>
      </c>
      <c r="AJ378">
        <f>IF([3]Entry!$G$381="","",[3]Entry!$G$381)</f>
        <v/>
      </c>
      <c r="AK378">
        <f>IF([3]Entry!$K$381="","",[3]Entry!$K$381)</f>
        <v/>
      </c>
      <c r="AL378">
        <f>IF([3]Entry!$L$381="","",[3]Entry!$L$381)</f>
        <v/>
      </c>
      <c r="AM378">
        <f>IF([3]Entry!$M$381="","",[3]Entry!$M$381)</f>
        <v/>
      </c>
      <c r="AN378">
        <f>IF([3]Entry!$N$381="","",[3]Entry!$N$381)</f>
        <v/>
      </c>
      <c r="AO378">
        <f>IF([3]Entry!$R$381="","",[3]Entry!$R$381)</f>
        <v/>
      </c>
      <c r="AQ378">
        <f>IF(AND($D378&lt;&gt;"",$A378&lt;&gt;""),1,0)</f>
        <v/>
      </c>
      <c r="AR378">
        <f>SUM($AQ$6:$AQ378)</f>
        <v/>
      </c>
      <c r="AS378">
        <f>IFERROR(INDEX($A$6:$A$565,MATCH(ROW()-5,$AR$6:$AR$565,0)),"")</f>
        <v/>
      </c>
    </row>
    <row r="379">
      <c r="A379">
        <f>IF([1]Accounts!$D$380="","",[1]Accounts!$A$380)</f>
        <v/>
      </c>
      <c r="B379">
        <f>IF([1]Accounts!$D$380="","",[1]Accounts!$B$380)</f>
        <v/>
      </c>
      <c r="C379">
        <f>IF([1]Accounts!$D$380="","",[1]Accounts!$C$380)</f>
        <v/>
      </c>
      <c r="D379">
        <f>IF([1]Accounts!$D$380="","",[1]Accounts!$D$380)</f>
        <v/>
      </c>
      <c r="E379">
        <f>IF([1]Accounts!$D$380="","",[1]Accounts!$J$380)</f>
        <v/>
      </c>
      <c r="F379">
        <f>IF([1]Accounts!$D$380="","",[1]Accounts!$K$380)</f>
        <v/>
      </c>
      <c r="U379">
        <f>IF([2]Baskol!$B$382="","",[2]Baskol!$B$382)</f>
        <v/>
      </c>
      <c r="V379">
        <f>IF([2]Baskol!$C$382="","",[2]Baskol!$C$382)</f>
        <v/>
      </c>
      <c r="W379">
        <f>IF([2]Baskol!$D$382="","",[2]Baskol!$D$382)</f>
        <v/>
      </c>
      <c r="X379">
        <f>IF([2]Baskol!$E$382="","",[2]Baskol!$E$382)</f>
        <v/>
      </c>
      <c r="Y379">
        <f>IF([2]Baskol!$G$382="","",[2]Baskol!$G$382)</f>
        <v/>
      </c>
      <c r="Z379">
        <f>IF([2]Baskol!$I$382="","",[2]Baskol!$I$382)</f>
        <v/>
      </c>
      <c r="AA379">
        <f>IF([2]Baskol!$J$382="","",[2]Baskol!$J$382)</f>
        <v/>
      </c>
      <c r="AB379">
        <f>IF([2]Baskol!$K$382="","",[2]Baskol!$K$382)</f>
        <v/>
      </c>
      <c r="AC379">
        <f>IF([2]Baskol!$L$382="","",[2]Baskol!$L$382)</f>
        <v/>
      </c>
      <c r="AD379">
        <f>IF([2]Baskol!$N$382="","",[2]Baskol!$N$382)</f>
        <v/>
      </c>
      <c r="AE379">
        <f>IF([2]Baskol!$O$382="","",[2]Baskol!$O$382)</f>
        <v/>
      </c>
      <c r="AG379">
        <f>IF([3]Entry!$C$382="","",[3]Entry!$C$382)</f>
        <v/>
      </c>
      <c r="AH379">
        <f>IF([3]Entry!$D$382="","",[3]Entry!$D$382)</f>
        <v/>
      </c>
      <c r="AI379">
        <f>IF([3]Entry!$E$382="","",[3]Entry!$E$382)</f>
        <v/>
      </c>
      <c r="AJ379">
        <f>IF([3]Entry!$G$382="","",[3]Entry!$G$382)</f>
        <v/>
      </c>
      <c r="AK379">
        <f>IF([3]Entry!$K$382="","",[3]Entry!$K$382)</f>
        <v/>
      </c>
      <c r="AL379">
        <f>IF([3]Entry!$L$382="","",[3]Entry!$L$382)</f>
        <v/>
      </c>
      <c r="AM379">
        <f>IF([3]Entry!$M$382="","",[3]Entry!$M$382)</f>
        <v/>
      </c>
      <c r="AN379">
        <f>IF([3]Entry!$N$382="","",[3]Entry!$N$382)</f>
        <v/>
      </c>
      <c r="AO379">
        <f>IF([3]Entry!$R$382="","",[3]Entry!$R$382)</f>
        <v/>
      </c>
      <c r="AQ379">
        <f>IF(AND($D379&lt;&gt;"",$A379&lt;&gt;""),1,0)</f>
        <v/>
      </c>
      <c r="AR379">
        <f>SUM($AQ$6:$AQ379)</f>
        <v/>
      </c>
      <c r="AS379">
        <f>IFERROR(INDEX($A$6:$A$565,MATCH(ROW()-5,$AR$6:$AR$565,0)),"")</f>
        <v/>
      </c>
    </row>
    <row r="380">
      <c r="A380">
        <f>IF([1]Accounts!$D$381="","",[1]Accounts!$A$381)</f>
        <v/>
      </c>
      <c r="B380">
        <f>IF([1]Accounts!$D$381="","",[1]Accounts!$B$381)</f>
        <v/>
      </c>
      <c r="C380">
        <f>IF([1]Accounts!$D$381="","",[1]Accounts!$C$381)</f>
        <v/>
      </c>
      <c r="D380">
        <f>IF([1]Accounts!$D$381="","",[1]Accounts!$D$381)</f>
        <v/>
      </c>
      <c r="E380">
        <f>IF([1]Accounts!$D$381="","",[1]Accounts!$J$381)</f>
        <v/>
      </c>
      <c r="F380">
        <f>IF([1]Accounts!$D$381="","",[1]Accounts!$K$381)</f>
        <v/>
      </c>
      <c r="U380">
        <f>IF([2]Baskol!$B$383="","",[2]Baskol!$B$383)</f>
        <v/>
      </c>
      <c r="V380">
        <f>IF([2]Baskol!$C$383="","",[2]Baskol!$C$383)</f>
        <v/>
      </c>
      <c r="W380">
        <f>IF([2]Baskol!$D$383="","",[2]Baskol!$D$383)</f>
        <v/>
      </c>
      <c r="X380">
        <f>IF([2]Baskol!$E$383="","",[2]Baskol!$E$383)</f>
        <v/>
      </c>
      <c r="Y380">
        <f>IF([2]Baskol!$G$383="","",[2]Baskol!$G$383)</f>
        <v/>
      </c>
      <c r="Z380">
        <f>IF([2]Baskol!$I$383="","",[2]Baskol!$I$383)</f>
        <v/>
      </c>
      <c r="AA380">
        <f>IF([2]Baskol!$J$383="","",[2]Baskol!$J$383)</f>
        <v/>
      </c>
      <c r="AB380">
        <f>IF([2]Baskol!$K$383="","",[2]Baskol!$K$383)</f>
        <v/>
      </c>
      <c r="AC380">
        <f>IF([2]Baskol!$L$383="","",[2]Baskol!$L$383)</f>
        <v/>
      </c>
      <c r="AD380">
        <f>IF([2]Baskol!$N$383="","",[2]Baskol!$N$383)</f>
        <v/>
      </c>
      <c r="AE380">
        <f>IF([2]Baskol!$O$383="","",[2]Baskol!$O$383)</f>
        <v/>
      </c>
      <c r="AG380">
        <f>IF([3]Entry!$C$383="","",[3]Entry!$C$383)</f>
        <v/>
      </c>
      <c r="AH380">
        <f>IF([3]Entry!$D$383="","",[3]Entry!$D$383)</f>
        <v/>
      </c>
      <c r="AI380">
        <f>IF([3]Entry!$E$383="","",[3]Entry!$E$383)</f>
        <v/>
      </c>
      <c r="AJ380">
        <f>IF([3]Entry!$G$383="","",[3]Entry!$G$383)</f>
        <v/>
      </c>
      <c r="AK380">
        <f>IF([3]Entry!$K$383="","",[3]Entry!$K$383)</f>
        <v/>
      </c>
      <c r="AL380">
        <f>IF([3]Entry!$L$383="","",[3]Entry!$L$383)</f>
        <v/>
      </c>
      <c r="AM380">
        <f>IF([3]Entry!$M$383="","",[3]Entry!$M$383)</f>
        <v/>
      </c>
      <c r="AN380">
        <f>IF([3]Entry!$N$383="","",[3]Entry!$N$383)</f>
        <v/>
      </c>
      <c r="AO380">
        <f>IF([3]Entry!$R$383="","",[3]Entry!$R$383)</f>
        <v/>
      </c>
      <c r="AQ380">
        <f>IF(AND($D380&lt;&gt;"",$A380&lt;&gt;""),1,0)</f>
        <v/>
      </c>
      <c r="AR380">
        <f>SUM($AQ$6:$AQ380)</f>
        <v/>
      </c>
      <c r="AS380">
        <f>IFERROR(INDEX($A$6:$A$565,MATCH(ROW()-5,$AR$6:$AR$565,0)),"")</f>
        <v/>
      </c>
    </row>
    <row r="381">
      <c r="A381">
        <f>IF([1]Accounts!$D$382="","",[1]Accounts!$A$382)</f>
        <v/>
      </c>
      <c r="B381">
        <f>IF([1]Accounts!$D$382="","",[1]Accounts!$B$382)</f>
        <v/>
      </c>
      <c r="C381">
        <f>IF([1]Accounts!$D$382="","",[1]Accounts!$C$382)</f>
        <v/>
      </c>
      <c r="D381">
        <f>IF([1]Accounts!$D$382="","",[1]Accounts!$D$382)</f>
        <v/>
      </c>
      <c r="E381">
        <f>IF([1]Accounts!$D$382="","",[1]Accounts!$J$382)</f>
        <v/>
      </c>
      <c r="F381">
        <f>IF([1]Accounts!$D$382="","",[1]Accounts!$K$382)</f>
        <v/>
      </c>
      <c r="U381">
        <f>IF([2]Baskol!$B$384="","",[2]Baskol!$B$384)</f>
        <v/>
      </c>
      <c r="V381">
        <f>IF([2]Baskol!$C$384="","",[2]Baskol!$C$384)</f>
        <v/>
      </c>
      <c r="W381">
        <f>IF([2]Baskol!$D$384="","",[2]Baskol!$D$384)</f>
        <v/>
      </c>
      <c r="X381">
        <f>IF([2]Baskol!$E$384="","",[2]Baskol!$E$384)</f>
        <v/>
      </c>
      <c r="Y381">
        <f>IF([2]Baskol!$G$384="","",[2]Baskol!$G$384)</f>
        <v/>
      </c>
      <c r="Z381">
        <f>IF([2]Baskol!$I$384="","",[2]Baskol!$I$384)</f>
        <v/>
      </c>
      <c r="AA381">
        <f>IF([2]Baskol!$J$384="","",[2]Baskol!$J$384)</f>
        <v/>
      </c>
      <c r="AB381">
        <f>IF([2]Baskol!$K$384="","",[2]Baskol!$K$384)</f>
        <v/>
      </c>
      <c r="AC381">
        <f>IF([2]Baskol!$L$384="","",[2]Baskol!$L$384)</f>
        <v/>
      </c>
      <c r="AD381">
        <f>IF([2]Baskol!$N$384="","",[2]Baskol!$N$384)</f>
        <v/>
      </c>
      <c r="AE381">
        <f>IF([2]Baskol!$O$384="","",[2]Baskol!$O$384)</f>
        <v/>
      </c>
      <c r="AG381">
        <f>IF([3]Entry!$C$384="","",[3]Entry!$C$384)</f>
        <v/>
      </c>
      <c r="AH381">
        <f>IF([3]Entry!$D$384="","",[3]Entry!$D$384)</f>
        <v/>
      </c>
      <c r="AI381">
        <f>IF([3]Entry!$E$384="","",[3]Entry!$E$384)</f>
        <v/>
      </c>
      <c r="AJ381">
        <f>IF([3]Entry!$G$384="","",[3]Entry!$G$384)</f>
        <v/>
      </c>
      <c r="AK381">
        <f>IF([3]Entry!$K$384="","",[3]Entry!$K$384)</f>
        <v/>
      </c>
      <c r="AL381">
        <f>IF([3]Entry!$L$384="","",[3]Entry!$L$384)</f>
        <v/>
      </c>
      <c r="AM381">
        <f>IF([3]Entry!$M$384="","",[3]Entry!$M$384)</f>
        <v/>
      </c>
      <c r="AN381">
        <f>IF([3]Entry!$N$384="","",[3]Entry!$N$384)</f>
        <v/>
      </c>
      <c r="AO381">
        <f>IF([3]Entry!$R$384="","",[3]Entry!$R$384)</f>
        <v/>
      </c>
      <c r="AQ381">
        <f>IF(AND($D381&lt;&gt;"",$A381&lt;&gt;""),1,0)</f>
        <v/>
      </c>
      <c r="AR381">
        <f>SUM($AQ$6:$AQ381)</f>
        <v/>
      </c>
      <c r="AS381">
        <f>IFERROR(INDEX($A$6:$A$565,MATCH(ROW()-5,$AR$6:$AR$565,0)),"")</f>
        <v/>
      </c>
    </row>
    <row r="382">
      <c r="A382">
        <f>IF([1]Accounts!$D$383="","",[1]Accounts!$A$383)</f>
        <v/>
      </c>
      <c r="B382">
        <f>IF([1]Accounts!$D$383="","",[1]Accounts!$B$383)</f>
        <v/>
      </c>
      <c r="C382">
        <f>IF([1]Accounts!$D$383="","",[1]Accounts!$C$383)</f>
        <v/>
      </c>
      <c r="D382">
        <f>IF([1]Accounts!$D$383="","",[1]Accounts!$D$383)</f>
        <v/>
      </c>
      <c r="E382">
        <f>IF([1]Accounts!$D$383="","",[1]Accounts!$J$383)</f>
        <v/>
      </c>
      <c r="F382">
        <f>IF([1]Accounts!$D$383="","",[1]Accounts!$K$383)</f>
        <v/>
      </c>
      <c r="U382">
        <f>IF([2]Baskol!$B$385="","",[2]Baskol!$B$385)</f>
        <v/>
      </c>
      <c r="V382">
        <f>IF([2]Baskol!$C$385="","",[2]Baskol!$C$385)</f>
        <v/>
      </c>
      <c r="W382">
        <f>IF([2]Baskol!$D$385="","",[2]Baskol!$D$385)</f>
        <v/>
      </c>
      <c r="X382">
        <f>IF([2]Baskol!$E$385="","",[2]Baskol!$E$385)</f>
        <v/>
      </c>
      <c r="Y382">
        <f>IF([2]Baskol!$G$385="","",[2]Baskol!$G$385)</f>
        <v/>
      </c>
      <c r="Z382">
        <f>IF([2]Baskol!$I$385="","",[2]Baskol!$I$385)</f>
        <v/>
      </c>
      <c r="AA382">
        <f>IF([2]Baskol!$J$385="","",[2]Baskol!$J$385)</f>
        <v/>
      </c>
      <c r="AB382">
        <f>IF([2]Baskol!$K$385="","",[2]Baskol!$K$385)</f>
        <v/>
      </c>
      <c r="AC382">
        <f>IF([2]Baskol!$L$385="","",[2]Baskol!$L$385)</f>
        <v/>
      </c>
      <c r="AD382">
        <f>IF([2]Baskol!$N$385="","",[2]Baskol!$N$385)</f>
        <v/>
      </c>
      <c r="AE382">
        <f>IF([2]Baskol!$O$385="","",[2]Baskol!$O$385)</f>
        <v/>
      </c>
      <c r="AG382">
        <f>IF([3]Entry!$C$385="","",[3]Entry!$C$385)</f>
        <v/>
      </c>
      <c r="AH382">
        <f>IF([3]Entry!$D$385="","",[3]Entry!$D$385)</f>
        <v/>
      </c>
      <c r="AI382">
        <f>IF([3]Entry!$E$385="","",[3]Entry!$E$385)</f>
        <v/>
      </c>
      <c r="AJ382">
        <f>IF([3]Entry!$G$385="","",[3]Entry!$G$385)</f>
        <v/>
      </c>
      <c r="AK382">
        <f>IF([3]Entry!$K$385="","",[3]Entry!$K$385)</f>
        <v/>
      </c>
      <c r="AL382">
        <f>IF([3]Entry!$L$385="","",[3]Entry!$L$385)</f>
        <v/>
      </c>
      <c r="AM382">
        <f>IF([3]Entry!$M$385="","",[3]Entry!$M$385)</f>
        <v/>
      </c>
      <c r="AN382">
        <f>IF([3]Entry!$N$385="","",[3]Entry!$N$385)</f>
        <v/>
      </c>
      <c r="AO382">
        <f>IF([3]Entry!$R$385="","",[3]Entry!$R$385)</f>
        <v/>
      </c>
      <c r="AQ382">
        <f>IF(AND($D382&lt;&gt;"",$A382&lt;&gt;""),1,0)</f>
        <v/>
      </c>
      <c r="AR382">
        <f>SUM($AQ$6:$AQ382)</f>
        <v/>
      </c>
      <c r="AS382">
        <f>IFERROR(INDEX($A$6:$A$565,MATCH(ROW()-5,$AR$6:$AR$565,0)),"")</f>
        <v/>
      </c>
    </row>
    <row r="383">
      <c r="A383">
        <f>IF([1]Accounts!$D$384="","",[1]Accounts!$A$384)</f>
        <v/>
      </c>
      <c r="B383">
        <f>IF([1]Accounts!$D$384="","",[1]Accounts!$B$384)</f>
        <v/>
      </c>
      <c r="C383">
        <f>IF([1]Accounts!$D$384="","",[1]Accounts!$C$384)</f>
        <v/>
      </c>
      <c r="D383">
        <f>IF([1]Accounts!$D$384="","",[1]Accounts!$D$384)</f>
        <v/>
      </c>
      <c r="E383">
        <f>IF([1]Accounts!$D$384="","",[1]Accounts!$J$384)</f>
        <v/>
      </c>
      <c r="F383">
        <f>IF([1]Accounts!$D$384="","",[1]Accounts!$K$384)</f>
        <v/>
      </c>
      <c r="U383">
        <f>IF([2]Baskol!$B$386="","",[2]Baskol!$B$386)</f>
        <v/>
      </c>
      <c r="V383">
        <f>IF([2]Baskol!$C$386="","",[2]Baskol!$C$386)</f>
        <v/>
      </c>
      <c r="W383">
        <f>IF([2]Baskol!$D$386="","",[2]Baskol!$D$386)</f>
        <v/>
      </c>
      <c r="X383">
        <f>IF([2]Baskol!$E$386="","",[2]Baskol!$E$386)</f>
        <v/>
      </c>
      <c r="Y383">
        <f>IF([2]Baskol!$G$386="","",[2]Baskol!$G$386)</f>
        <v/>
      </c>
      <c r="Z383">
        <f>IF([2]Baskol!$I$386="","",[2]Baskol!$I$386)</f>
        <v/>
      </c>
      <c r="AA383">
        <f>IF([2]Baskol!$J$386="","",[2]Baskol!$J$386)</f>
        <v/>
      </c>
      <c r="AB383">
        <f>IF([2]Baskol!$K$386="","",[2]Baskol!$K$386)</f>
        <v/>
      </c>
      <c r="AC383">
        <f>IF([2]Baskol!$L$386="","",[2]Baskol!$L$386)</f>
        <v/>
      </c>
      <c r="AD383">
        <f>IF([2]Baskol!$N$386="","",[2]Baskol!$N$386)</f>
        <v/>
      </c>
      <c r="AE383">
        <f>IF([2]Baskol!$O$386="","",[2]Baskol!$O$386)</f>
        <v/>
      </c>
      <c r="AG383">
        <f>IF([3]Entry!$C$386="","",[3]Entry!$C$386)</f>
        <v/>
      </c>
      <c r="AH383">
        <f>IF([3]Entry!$D$386="","",[3]Entry!$D$386)</f>
        <v/>
      </c>
      <c r="AI383">
        <f>IF([3]Entry!$E$386="","",[3]Entry!$E$386)</f>
        <v/>
      </c>
      <c r="AJ383">
        <f>IF([3]Entry!$G$386="","",[3]Entry!$G$386)</f>
        <v/>
      </c>
      <c r="AK383">
        <f>IF([3]Entry!$K$386="","",[3]Entry!$K$386)</f>
        <v/>
      </c>
      <c r="AL383">
        <f>IF([3]Entry!$L$386="","",[3]Entry!$L$386)</f>
        <v/>
      </c>
      <c r="AM383">
        <f>IF([3]Entry!$M$386="","",[3]Entry!$M$386)</f>
        <v/>
      </c>
      <c r="AN383">
        <f>IF([3]Entry!$N$386="","",[3]Entry!$N$386)</f>
        <v/>
      </c>
      <c r="AO383">
        <f>IF([3]Entry!$R$386="","",[3]Entry!$R$386)</f>
        <v/>
      </c>
      <c r="AQ383">
        <f>IF(AND($D383&lt;&gt;"",$A383&lt;&gt;""),1,0)</f>
        <v/>
      </c>
      <c r="AR383">
        <f>SUM($AQ$6:$AQ383)</f>
        <v/>
      </c>
      <c r="AS383">
        <f>IFERROR(INDEX($A$6:$A$565,MATCH(ROW()-5,$AR$6:$AR$565,0)),"")</f>
        <v/>
      </c>
    </row>
    <row r="384">
      <c r="A384">
        <f>IF([1]Accounts!$D$385="","",[1]Accounts!$A$385)</f>
        <v/>
      </c>
      <c r="B384">
        <f>IF([1]Accounts!$D$385="","",[1]Accounts!$B$385)</f>
        <v/>
      </c>
      <c r="C384">
        <f>IF([1]Accounts!$D$385="","",[1]Accounts!$C$385)</f>
        <v/>
      </c>
      <c r="D384">
        <f>IF([1]Accounts!$D$385="","",[1]Accounts!$D$385)</f>
        <v/>
      </c>
      <c r="E384">
        <f>IF([1]Accounts!$D$385="","",[1]Accounts!$J$385)</f>
        <v/>
      </c>
      <c r="F384">
        <f>IF([1]Accounts!$D$385="","",[1]Accounts!$K$385)</f>
        <v/>
      </c>
      <c r="U384">
        <f>IF([2]Baskol!$B$387="","",[2]Baskol!$B$387)</f>
        <v/>
      </c>
      <c r="V384">
        <f>IF([2]Baskol!$C$387="","",[2]Baskol!$C$387)</f>
        <v/>
      </c>
      <c r="W384">
        <f>IF([2]Baskol!$D$387="","",[2]Baskol!$D$387)</f>
        <v/>
      </c>
      <c r="X384">
        <f>IF([2]Baskol!$E$387="","",[2]Baskol!$E$387)</f>
        <v/>
      </c>
      <c r="Y384">
        <f>IF([2]Baskol!$G$387="","",[2]Baskol!$G$387)</f>
        <v/>
      </c>
      <c r="Z384">
        <f>IF([2]Baskol!$I$387="","",[2]Baskol!$I$387)</f>
        <v/>
      </c>
      <c r="AA384">
        <f>IF([2]Baskol!$J$387="","",[2]Baskol!$J$387)</f>
        <v/>
      </c>
      <c r="AB384">
        <f>IF([2]Baskol!$K$387="","",[2]Baskol!$K$387)</f>
        <v/>
      </c>
      <c r="AC384">
        <f>IF([2]Baskol!$L$387="","",[2]Baskol!$L$387)</f>
        <v/>
      </c>
      <c r="AD384">
        <f>IF([2]Baskol!$N$387="","",[2]Baskol!$N$387)</f>
        <v/>
      </c>
      <c r="AE384">
        <f>IF([2]Baskol!$O$387="","",[2]Baskol!$O$387)</f>
        <v/>
      </c>
      <c r="AG384">
        <f>IF([3]Entry!$C$387="","",[3]Entry!$C$387)</f>
        <v/>
      </c>
      <c r="AH384">
        <f>IF([3]Entry!$D$387="","",[3]Entry!$D$387)</f>
        <v/>
      </c>
      <c r="AI384">
        <f>IF([3]Entry!$E$387="","",[3]Entry!$E$387)</f>
        <v/>
      </c>
      <c r="AJ384">
        <f>IF([3]Entry!$G$387="","",[3]Entry!$G$387)</f>
        <v/>
      </c>
      <c r="AK384">
        <f>IF([3]Entry!$K$387="","",[3]Entry!$K$387)</f>
        <v/>
      </c>
      <c r="AL384">
        <f>IF([3]Entry!$L$387="","",[3]Entry!$L$387)</f>
        <v/>
      </c>
      <c r="AM384">
        <f>IF([3]Entry!$M$387="","",[3]Entry!$M$387)</f>
        <v/>
      </c>
      <c r="AN384">
        <f>IF([3]Entry!$N$387="","",[3]Entry!$N$387)</f>
        <v/>
      </c>
      <c r="AO384">
        <f>IF([3]Entry!$R$387="","",[3]Entry!$R$387)</f>
        <v/>
      </c>
      <c r="AQ384">
        <f>IF(AND($D384&lt;&gt;"",$A384&lt;&gt;""),1,0)</f>
        <v/>
      </c>
      <c r="AR384">
        <f>SUM($AQ$6:$AQ384)</f>
        <v/>
      </c>
      <c r="AS384">
        <f>IFERROR(INDEX($A$6:$A$565,MATCH(ROW()-5,$AR$6:$AR$565,0)),"")</f>
        <v/>
      </c>
    </row>
    <row r="385">
      <c r="A385">
        <f>IF([1]Accounts!$D$386="","",[1]Accounts!$A$386)</f>
        <v/>
      </c>
      <c r="B385">
        <f>IF([1]Accounts!$D$386="","",[1]Accounts!$B$386)</f>
        <v/>
      </c>
      <c r="C385">
        <f>IF([1]Accounts!$D$386="","",[1]Accounts!$C$386)</f>
        <v/>
      </c>
      <c r="D385">
        <f>IF([1]Accounts!$D$386="","",[1]Accounts!$D$386)</f>
        <v/>
      </c>
      <c r="E385">
        <f>IF([1]Accounts!$D$386="","",[1]Accounts!$J$386)</f>
        <v/>
      </c>
      <c r="F385">
        <f>IF([1]Accounts!$D$386="","",[1]Accounts!$K$386)</f>
        <v/>
      </c>
      <c r="U385">
        <f>IF([2]Baskol!$B$388="","",[2]Baskol!$B$388)</f>
        <v/>
      </c>
      <c r="V385">
        <f>IF([2]Baskol!$C$388="","",[2]Baskol!$C$388)</f>
        <v/>
      </c>
      <c r="W385">
        <f>IF([2]Baskol!$D$388="","",[2]Baskol!$D$388)</f>
        <v/>
      </c>
      <c r="X385">
        <f>IF([2]Baskol!$E$388="","",[2]Baskol!$E$388)</f>
        <v/>
      </c>
      <c r="Y385">
        <f>IF([2]Baskol!$G$388="","",[2]Baskol!$G$388)</f>
        <v/>
      </c>
      <c r="Z385">
        <f>IF([2]Baskol!$I$388="","",[2]Baskol!$I$388)</f>
        <v/>
      </c>
      <c r="AA385">
        <f>IF([2]Baskol!$J$388="","",[2]Baskol!$J$388)</f>
        <v/>
      </c>
      <c r="AB385">
        <f>IF([2]Baskol!$K$388="","",[2]Baskol!$K$388)</f>
        <v/>
      </c>
      <c r="AC385">
        <f>IF([2]Baskol!$L$388="","",[2]Baskol!$L$388)</f>
        <v/>
      </c>
      <c r="AD385">
        <f>IF([2]Baskol!$N$388="","",[2]Baskol!$N$388)</f>
        <v/>
      </c>
      <c r="AE385">
        <f>IF([2]Baskol!$O$388="","",[2]Baskol!$O$388)</f>
        <v/>
      </c>
      <c r="AG385">
        <f>IF([3]Entry!$C$388="","",[3]Entry!$C$388)</f>
        <v/>
      </c>
      <c r="AH385">
        <f>IF([3]Entry!$D$388="","",[3]Entry!$D$388)</f>
        <v/>
      </c>
      <c r="AI385">
        <f>IF([3]Entry!$E$388="","",[3]Entry!$E$388)</f>
        <v/>
      </c>
      <c r="AJ385">
        <f>IF([3]Entry!$G$388="","",[3]Entry!$G$388)</f>
        <v/>
      </c>
      <c r="AK385">
        <f>IF([3]Entry!$K$388="","",[3]Entry!$K$388)</f>
        <v/>
      </c>
      <c r="AL385">
        <f>IF([3]Entry!$L$388="","",[3]Entry!$L$388)</f>
        <v/>
      </c>
      <c r="AM385">
        <f>IF([3]Entry!$M$388="","",[3]Entry!$M$388)</f>
        <v/>
      </c>
      <c r="AN385">
        <f>IF([3]Entry!$N$388="","",[3]Entry!$N$388)</f>
        <v/>
      </c>
      <c r="AO385">
        <f>IF([3]Entry!$R$388="","",[3]Entry!$R$388)</f>
        <v/>
      </c>
      <c r="AQ385">
        <f>IF(AND($D385&lt;&gt;"",$A385&lt;&gt;""),1,0)</f>
        <v/>
      </c>
      <c r="AR385">
        <f>SUM($AQ$6:$AQ385)</f>
        <v/>
      </c>
      <c r="AS385">
        <f>IFERROR(INDEX($A$6:$A$565,MATCH(ROW()-5,$AR$6:$AR$565,0)),"")</f>
        <v/>
      </c>
    </row>
    <row r="386">
      <c r="A386">
        <f>IF([1]Accounts!$D$387="","",[1]Accounts!$A$387)</f>
        <v/>
      </c>
      <c r="B386">
        <f>IF([1]Accounts!$D$387="","",[1]Accounts!$B$387)</f>
        <v/>
      </c>
      <c r="C386">
        <f>IF([1]Accounts!$D$387="","",[1]Accounts!$C$387)</f>
        <v/>
      </c>
      <c r="D386">
        <f>IF([1]Accounts!$D$387="","",[1]Accounts!$D$387)</f>
        <v/>
      </c>
      <c r="E386">
        <f>IF([1]Accounts!$D$387="","",[1]Accounts!$J$387)</f>
        <v/>
      </c>
      <c r="F386">
        <f>IF([1]Accounts!$D$387="","",[1]Accounts!$K$387)</f>
        <v/>
      </c>
      <c r="U386">
        <f>IF([2]Baskol!$B$389="","",[2]Baskol!$B$389)</f>
        <v/>
      </c>
      <c r="V386">
        <f>IF([2]Baskol!$C$389="","",[2]Baskol!$C$389)</f>
        <v/>
      </c>
      <c r="W386">
        <f>IF([2]Baskol!$D$389="","",[2]Baskol!$D$389)</f>
        <v/>
      </c>
      <c r="X386">
        <f>IF([2]Baskol!$E$389="","",[2]Baskol!$E$389)</f>
        <v/>
      </c>
      <c r="Y386">
        <f>IF([2]Baskol!$G$389="","",[2]Baskol!$G$389)</f>
        <v/>
      </c>
      <c r="Z386">
        <f>IF([2]Baskol!$I$389="","",[2]Baskol!$I$389)</f>
        <v/>
      </c>
      <c r="AA386">
        <f>IF([2]Baskol!$J$389="","",[2]Baskol!$J$389)</f>
        <v/>
      </c>
      <c r="AB386">
        <f>IF([2]Baskol!$K$389="","",[2]Baskol!$K$389)</f>
        <v/>
      </c>
      <c r="AC386">
        <f>IF([2]Baskol!$L$389="","",[2]Baskol!$L$389)</f>
        <v/>
      </c>
      <c r="AD386">
        <f>IF([2]Baskol!$N$389="","",[2]Baskol!$N$389)</f>
        <v/>
      </c>
      <c r="AE386">
        <f>IF([2]Baskol!$O$389="","",[2]Baskol!$O$389)</f>
        <v/>
      </c>
      <c r="AG386">
        <f>IF([3]Entry!$C$389="","",[3]Entry!$C$389)</f>
        <v/>
      </c>
      <c r="AH386">
        <f>IF([3]Entry!$D$389="","",[3]Entry!$D$389)</f>
        <v/>
      </c>
      <c r="AI386">
        <f>IF([3]Entry!$E$389="","",[3]Entry!$E$389)</f>
        <v/>
      </c>
      <c r="AJ386">
        <f>IF([3]Entry!$G$389="","",[3]Entry!$G$389)</f>
        <v/>
      </c>
      <c r="AK386">
        <f>IF([3]Entry!$K$389="","",[3]Entry!$K$389)</f>
        <v/>
      </c>
      <c r="AL386">
        <f>IF([3]Entry!$L$389="","",[3]Entry!$L$389)</f>
        <v/>
      </c>
      <c r="AM386">
        <f>IF([3]Entry!$M$389="","",[3]Entry!$M$389)</f>
        <v/>
      </c>
      <c r="AN386">
        <f>IF([3]Entry!$N$389="","",[3]Entry!$N$389)</f>
        <v/>
      </c>
      <c r="AO386">
        <f>IF([3]Entry!$R$389="","",[3]Entry!$R$389)</f>
        <v/>
      </c>
      <c r="AQ386">
        <f>IF(AND($D386&lt;&gt;"",$A386&lt;&gt;""),1,0)</f>
        <v/>
      </c>
      <c r="AR386">
        <f>SUM($AQ$6:$AQ386)</f>
        <v/>
      </c>
      <c r="AS386">
        <f>IFERROR(INDEX($A$6:$A$565,MATCH(ROW()-5,$AR$6:$AR$565,0)),"")</f>
        <v/>
      </c>
    </row>
    <row r="387">
      <c r="A387">
        <f>IF([1]Accounts!$D$388="","",[1]Accounts!$A$388)</f>
        <v/>
      </c>
      <c r="B387">
        <f>IF([1]Accounts!$D$388="","",[1]Accounts!$B$388)</f>
        <v/>
      </c>
      <c r="C387">
        <f>IF([1]Accounts!$D$388="","",[1]Accounts!$C$388)</f>
        <v/>
      </c>
      <c r="D387">
        <f>IF([1]Accounts!$D$388="","",[1]Accounts!$D$388)</f>
        <v/>
      </c>
      <c r="E387">
        <f>IF([1]Accounts!$D$388="","",[1]Accounts!$J$388)</f>
        <v/>
      </c>
      <c r="F387">
        <f>IF([1]Accounts!$D$388="","",[1]Accounts!$K$388)</f>
        <v/>
      </c>
      <c r="U387">
        <f>IF([2]Baskol!$B$390="","",[2]Baskol!$B$390)</f>
        <v/>
      </c>
      <c r="V387">
        <f>IF([2]Baskol!$C$390="","",[2]Baskol!$C$390)</f>
        <v/>
      </c>
      <c r="W387">
        <f>IF([2]Baskol!$D$390="","",[2]Baskol!$D$390)</f>
        <v/>
      </c>
      <c r="X387">
        <f>IF([2]Baskol!$E$390="","",[2]Baskol!$E$390)</f>
        <v/>
      </c>
      <c r="Y387">
        <f>IF([2]Baskol!$G$390="","",[2]Baskol!$G$390)</f>
        <v/>
      </c>
      <c r="Z387">
        <f>IF([2]Baskol!$I$390="","",[2]Baskol!$I$390)</f>
        <v/>
      </c>
      <c r="AA387">
        <f>IF([2]Baskol!$J$390="","",[2]Baskol!$J$390)</f>
        <v/>
      </c>
      <c r="AB387">
        <f>IF([2]Baskol!$K$390="","",[2]Baskol!$K$390)</f>
        <v/>
      </c>
      <c r="AC387">
        <f>IF([2]Baskol!$L$390="","",[2]Baskol!$L$390)</f>
        <v/>
      </c>
      <c r="AD387">
        <f>IF([2]Baskol!$N$390="","",[2]Baskol!$N$390)</f>
        <v/>
      </c>
      <c r="AE387">
        <f>IF([2]Baskol!$O$390="","",[2]Baskol!$O$390)</f>
        <v/>
      </c>
      <c r="AG387">
        <f>IF([3]Entry!$C$390="","",[3]Entry!$C$390)</f>
        <v/>
      </c>
      <c r="AH387">
        <f>IF([3]Entry!$D$390="","",[3]Entry!$D$390)</f>
        <v/>
      </c>
      <c r="AI387">
        <f>IF([3]Entry!$E$390="","",[3]Entry!$E$390)</f>
        <v/>
      </c>
      <c r="AJ387">
        <f>IF([3]Entry!$G$390="","",[3]Entry!$G$390)</f>
        <v/>
      </c>
      <c r="AK387">
        <f>IF([3]Entry!$K$390="","",[3]Entry!$K$390)</f>
        <v/>
      </c>
      <c r="AL387">
        <f>IF([3]Entry!$L$390="","",[3]Entry!$L$390)</f>
        <v/>
      </c>
      <c r="AM387">
        <f>IF([3]Entry!$M$390="","",[3]Entry!$M$390)</f>
        <v/>
      </c>
      <c r="AN387">
        <f>IF([3]Entry!$N$390="","",[3]Entry!$N$390)</f>
        <v/>
      </c>
      <c r="AO387">
        <f>IF([3]Entry!$R$390="","",[3]Entry!$R$390)</f>
        <v/>
      </c>
      <c r="AQ387">
        <f>IF(AND($D387&lt;&gt;"",$A387&lt;&gt;""),1,0)</f>
        <v/>
      </c>
      <c r="AR387">
        <f>SUM($AQ$6:$AQ387)</f>
        <v/>
      </c>
      <c r="AS387">
        <f>IFERROR(INDEX($A$6:$A$565,MATCH(ROW()-5,$AR$6:$AR$565,0)),"")</f>
        <v/>
      </c>
    </row>
    <row r="388">
      <c r="A388">
        <f>IF([1]Accounts!$D$389="","",[1]Accounts!$A$389)</f>
        <v/>
      </c>
      <c r="B388">
        <f>IF([1]Accounts!$D$389="","",[1]Accounts!$B$389)</f>
        <v/>
      </c>
      <c r="C388">
        <f>IF([1]Accounts!$D$389="","",[1]Accounts!$C$389)</f>
        <v/>
      </c>
      <c r="D388">
        <f>IF([1]Accounts!$D$389="","",[1]Accounts!$D$389)</f>
        <v/>
      </c>
      <c r="E388">
        <f>IF([1]Accounts!$D$389="","",[1]Accounts!$J$389)</f>
        <v/>
      </c>
      <c r="F388">
        <f>IF([1]Accounts!$D$389="","",[1]Accounts!$K$389)</f>
        <v/>
      </c>
      <c r="U388">
        <f>IF([2]Baskol!$B$391="","",[2]Baskol!$B$391)</f>
        <v/>
      </c>
      <c r="V388">
        <f>IF([2]Baskol!$C$391="","",[2]Baskol!$C$391)</f>
        <v/>
      </c>
      <c r="W388">
        <f>IF([2]Baskol!$D$391="","",[2]Baskol!$D$391)</f>
        <v/>
      </c>
      <c r="X388">
        <f>IF([2]Baskol!$E$391="","",[2]Baskol!$E$391)</f>
        <v/>
      </c>
      <c r="Y388">
        <f>IF([2]Baskol!$G$391="","",[2]Baskol!$G$391)</f>
        <v/>
      </c>
      <c r="Z388">
        <f>IF([2]Baskol!$I$391="","",[2]Baskol!$I$391)</f>
        <v/>
      </c>
      <c r="AA388">
        <f>IF([2]Baskol!$J$391="","",[2]Baskol!$J$391)</f>
        <v/>
      </c>
      <c r="AB388">
        <f>IF([2]Baskol!$K$391="","",[2]Baskol!$K$391)</f>
        <v/>
      </c>
      <c r="AC388">
        <f>IF([2]Baskol!$L$391="","",[2]Baskol!$L$391)</f>
        <v/>
      </c>
      <c r="AD388">
        <f>IF([2]Baskol!$N$391="","",[2]Baskol!$N$391)</f>
        <v/>
      </c>
      <c r="AE388">
        <f>IF([2]Baskol!$O$391="","",[2]Baskol!$O$391)</f>
        <v/>
      </c>
      <c r="AG388">
        <f>IF([3]Entry!$C$391="","",[3]Entry!$C$391)</f>
        <v/>
      </c>
      <c r="AH388">
        <f>IF([3]Entry!$D$391="","",[3]Entry!$D$391)</f>
        <v/>
      </c>
      <c r="AI388">
        <f>IF([3]Entry!$E$391="","",[3]Entry!$E$391)</f>
        <v/>
      </c>
      <c r="AJ388">
        <f>IF([3]Entry!$G$391="","",[3]Entry!$G$391)</f>
        <v/>
      </c>
      <c r="AK388">
        <f>IF([3]Entry!$K$391="","",[3]Entry!$K$391)</f>
        <v/>
      </c>
      <c r="AL388">
        <f>IF([3]Entry!$L$391="","",[3]Entry!$L$391)</f>
        <v/>
      </c>
      <c r="AM388">
        <f>IF([3]Entry!$M$391="","",[3]Entry!$M$391)</f>
        <v/>
      </c>
      <c r="AN388">
        <f>IF([3]Entry!$N$391="","",[3]Entry!$N$391)</f>
        <v/>
      </c>
      <c r="AO388">
        <f>IF([3]Entry!$R$391="","",[3]Entry!$R$391)</f>
        <v/>
      </c>
      <c r="AQ388">
        <f>IF(AND($D388&lt;&gt;"",$A388&lt;&gt;""),1,0)</f>
        <v/>
      </c>
      <c r="AR388">
        <f>SUM($AQ$6:$AQ388)</f>
        <v/>
      </c>
      <c r="AS388">
        <f>IFERROR(INDEX($A$6:$A$565,MATCH(ROW()-5,$AR$6:$AR$565,0)),"")</f>
        <v/>
      </c>
    </row>
    <row r="389">
      <c r="A389">
        <f>IF([1]Accounts!$D$390="","",[1]Accounts!$A$390)</f>
        <v/>
      </c>
      <c r="B389">
        <f>IF([1]Accounts!$D$390="","",[1]Accounts!$B$390)</f>
        <v/>
      </c>
      <c r="C389">
        <f>IF([1]Accounts!$D$390="","",[1]Accounts!$C$390)</f>
        <v/>
      </c>
      <c r="D389">
        <f>IF([1]Accounts!$D$390="","",[1]Accounts!$D$390)</f>
        <v/>
      </c>
      <c r="E389">
        <f>IF([1]Accounts!$D$390="","",[1]Accounts!$J$390)</f>
        <v/>
      </c>
      <c r="F389">
        <f>IF([1]Accounts!$D$390="","",[1]Accounts!$K$390)</f>
        <v/>
      </c>
      <c r="U389">
        <f>IF([2]Baskol!$B$392="","",[2]Baskol!$B$392)</f>
        <v/>
      </c>
      <c r="V389">
        <f>IF([2]Baskol!$C$392="","",[2]Baskol!$C$392)</f>
        <v/>
      </c>
      <c r="W389">
        <f>IF([2]Baskol!$D$392="","",[2]Baskol!$D$392)</f>
        <v/>
      </c>
      <c r="X389">
        <f>IF([2]Baskol!$E$392="","",[2]Baskol!$E$392)</f>
        <v/>
      </c>
      <c r="Y389">
        <f>IF([2]Baskol!$G$392="","",[2]Baskol!$G$392)</f>
        <v/>
      </c>
      <c r="Z389">
        <f>IF([2]Baskol!$I$392="","",[2]Baskol!$I$392)</f>
        <v/>
      </c>
      <c r="AA389">
        <f>IF([2]Baskol!$J$392="","",[2]Baskol!$J$392)</f>
        <v/>
      </c>
      <c r="AB389">
        <f>IF([2]Baskol!$K$392="","",[2]Baskol!$K$392)</f>
        <v/>
      </c>
      <c r="AC389">
        <f>IF([2]Baskol!$L$392="","",[2]Baskol!$L$392)</f>
        <v/>
      </c>
      <c r="AD389">
        <f>IF([2]Baskol!$N$392="","",[2]Baskol!$N$392)</f>
        <v/>
      </c>
      <c r="AE389">
        <f>IF([2]Baskol!$O$392="","",[2]Baskol!$O$392)</f>
        <v/>
      </c>
      <c r="AG389">
        <f>IF([3]Entry!$C$392="","",[3]Entry!$C$392)</f>
        <v/>
      </c>
      <c r="AH389">
        <f>IF([3]Entry!$D$392="","",[3]Entry!$D$392)</f>
        <v/>
      </c>
      <c r="AI389">
        <f>IF([3]Entry!$E$392="","",[3]Entry!$E$392)</f>
        <v/>
      </c>
      <c r="AJ389">
        <f>IF([3]Entry!$G$392="","",[3]Entry!$G$392)</f>
        <v/>
      </c>
      <c r="AK389">
        <f>IF([3]Entry!$K$392="","",[3]Entry!$K$392)</f>
        <v/>
      </c>
      <c r="AL389">
        <f>IF([3]Entry!$L$392="","",[3]Entry!$L$392)</f>
        <v/>
      </c>
      <c r="AM389">
        <f>IF([3]Entry!$M$392="","",[3]Entry!$M$392)</f>
        <v/>
      </c>
      <c r="AN389">
        <f>IF([3]Entry!$N$392="","",[3]Entry!$N$392)</f>
        <v/>
      </c>
      <c r="AO389">
        <f>IF([3]Entry!$R$392="","",[3]Entry!$R$392)</f>
        <v/>
      </c>
      <c r="AQ389">
        <f>IF(AND($D389&lt;&gt;"",$A389&lt;&gt;""),1,0)</f>
        <v/>
      </c>
      <c r="AR389">
        <f>SUM($AQ$6:$AQ389)</f>
        <v/>
      </c>
      <c r="AS389">
        <f>IFERROR(INDEX($A$6:$A$565,MATCH(ROW()-5,$AR$6:$AR$565,0)),"")</f>
        <v/>
      </c>
    </row>
    <row r="390">
      <c r="A390">
        <f>IF([1]Accounts!$D$391="","",[1]Accounts!$A$391)</f>
        <v/>
      </c>
      <c r="B390">
        <f>IF([1]Accounts!$D$391="","",[1]Accounts!$B$391)</f>
        <v/>
      </c>
      <c r="C390">
        <f>IF([1]Accounts!$D$391="","",[1]Accounts!$C$391)</f>
        <v/>
      </c>
      <c r="D390">
        <f>IF([1]Accounts!$D$391="","",[1]Accounts!$D$391)</f>
        <v/>
      </c>
      <c r="E390">
        <f>IF([1]Accounts!$D$391="","",[1]Accounts!$J$391)</f>
        <v/>
      </c>
      <c r="F390">
        <f>IF([1]Accounts!$D$391="","",[1]Accounts!$K$391)</f>
        <v/>
      </c>
      <c r="U390">
        <f>IF([2]Baskol!$B$393="","",[2]Baskol!$B$393)</f>
        <v/>
      </c>
      <c r="V390">
        <f>IF([2]Baskol!$C$393="","",[2]Baskol!$C$393)</f>
        <v/>
      </c>
      <c r="W390">
        <f>IF([2]Baskol!$D$393="","",[2]Baskol!$D$393)</f>
        <v/>
      </c>
      <c r="X390">
        <f>IF([2]Baskol!$E$393="","",[2]Baskol!$E$393)</f>
        <v/>
      </c>
      <c r="Y390">
        <f>IF([2]Baskol!$G$393="","",[2]Baskol!$G$393)</f>
        <v/>
      </c>
      <c r="Z390">
        <f>IF([2]Baskol!$I$393="","",[2]Baskol!$I$393)</f>
        <v/>
      </c>
      <c r="AA390">
        <f>IF([2]Baskol!$J$393="","",[2]Baskol!$J$393)</f>
        <v/>
      </c>
      <c r="AB390">
        <f>IF([2]Baskol!$K$393="","",[2]Baskol!$K$393)</f>
        <v/>
      </c>
      <c r="AC390">
        <f>IF([2]Baskol!$L$393="","",[2]Baskol!$L$393)</f>
        <v/>
      </c>
      <c r="AD390">
        <f>IF([2]Baskol!$N$393="","",[2]Baskol!$N$393)</f>
        <v/>
      </c>
      <c r="AE390">
        <f>IF([2]Baskol!$O$393="","",[2]Baskol!$O$393)</f>
        <v/>
      </c>
      <c r="AG390">
        <f>IF([3]Entry!$C$393="","",[3]Entry!$C$393)</f>
        <v/>
      </c>
      <c r="AH390">
        <f>IF([3]Entry!$D$393="","",[3]Entry!$D$393)</f>
        <v/>
      </c>
      <c r="AI390">
        <f>IF([3]Entry!$E$393="","",[3]Entry!$E$393)</f>
        <v/>
      </c>
      <c r="AJ390">
        <f>IF([3]Entry!$G$393="","",[3]Entry!$G$393)</f>
        <v/>
      </c>
      <c r="AK390">
        <f>IF([3]Entry!$K$393="","",[3]Entry!$K$393)</f>
        <v/>
      </c>
      <c r="AL390">
        <f>IF([3]Entry!$L$393="","",[3]Entry!$L$393)</f>
        <v/>
      </c>
      <c r="AM390">
        <f>IF([3]Entry!$M$393="","",[3]Entry!$M$393)</f>
        <v/>
      </c>
      <c r="AN390">
        <f>IF([3]Entry!$N$393="","",[3]Entry!$N$393)</f>
        <v/>
      </c>
      <c r="AO390">
        <f>IF([3]Entry!$R$393="","",[3]Entry!$R$393)</f>
        <v/>
      </c>
      <c r="AQ390">
        <f>IF(AND($D390&lt;&gt;"",$A390&lt;&gt;""),1,0)</f>
        <v/>
      </c>
      <c r="AR390">
        <f>SUM($AQ$6:$AQ390)</f>
        <v/>
      </c>
      <c r="AS390">
        <f>IFERROR(INDEX($A$6:$A$565,MATCH(ROW()-5,$AR$6:$AR$565,0)),"")</f>
        <v/>
      </c>
    </row>
    <row r="391">
      <c r="A391">
        <f>IF([1]Accounts!$D$392="","",[1]Accounts!$A$392)</f>
        <v/>
      </c>
      <c r="B391">
        <f>IF([1]Accounts!$D$392="","",[1]Accounts!$B$392)</f>
        <v/>
      </c>
      <c r="C391">
        <f>IF([1]Accounts!$D$392="","",[1]Accounts!$C$392)</f>
        <v/>
      </c>
      <c r="D391">
        <f>IF([1]Accounts!$D$392="","",[1]Accounts!$D$392)</f>
        <v/>
      </c>
      <c r="E391">
        <f>IF([1]Accounts!$D$392="","",[1]Accounts!$J$392)</f>
        <v/>
      </c>
      <c r="F391">
        <f>IF([1]Accounts!$D$392="","",[1]Accounts!$K$392)</f>
        <v/>
      </c>
      <c r="U391">
        <f>IF([2]Baskol!$B$394="","",[2]Baskol!$B$394)</f>
        <v/>
      </c>
      <c r="V391">
        <f>IF([2]Baskol!$C$394="","",[2]Baskol!$C$394)</f>
        <v/>
      </c>
      <c r="W391">
        <f>IF([2]Baskol!$D$394="","",[2]Baskol!$D$394)</f>
        <v/>
      </c>
      <c r="X391">
        <f>IF([2]Baskol!$E$394="","",[2]Baskol!$E$394)</f>
        <v/>
      </c>
      <c r="Y391">
        <f>IF([2]Baskol!$G$394="","",[2]Baskol!$G$394)</f>
        <v/>
      </c>
      <c r="Z391">
        <f>IF([2]Baskol!$I$394="","",[2]Baskol!$I$394)</f>
        <v/>
      </c>
      <c r="AA391">
        <f>IF([2]Baskol!$J$394="","",[2]Baskol!$J$394)</f>
        <v/>
      </c>
      <c r="AB391">
        <f>IF([2]Baskol!$K$394="","",[2]Baskol!$K$394)</f>
        <v/>
      </c>
      <c r="AC391">
        <f>IF([2]Baskol!$L$394="","",[2]Baskol!$L$394)</f>
        <v/>
      </c>
      <c r="AD391">
        <f>IF([2]Baskol!$N$394="","",[2]Baskol!$N$394)</f>
        <v/>
      </c>
      <c r="AE391">
        <f>IF([2]Baskol!$O$394="","",[2]Baskol!$O$394)</f>
        <v/>
      </c>
      <c r="AG391">
        <f>IF([3]Entry!$C$394="","",[3]Entry!$C$394)</f>
        <v/>
      </c>
      <c r="AH391">
        <f>IF([3]Entry!$D$394="","",[3]Entry!$D$394)</f>
        <v/>
      </c>
      <c r="AI391">
        <f>IF([3]Entry!$E$394="","",[3]Entry!$E$394)</f>
        <v/>
      </c>
      <c r="AJ391">
        <f>IF([3]Entry!$G$394="","",[3]Entry!$G$394)</f>
        <v/>
      </c>
      <c r="AK391">
        <f>IF([3]Entry!$K$394="","",[3]Entry!$K$394)</f>
        <v/>
      </c>
      <c r="AL391">
        <f>IF([3]Entry!$L$394="","",[3]Entry!$L$394)</f>
        <v/>
      </c>
      <c r="AM391">
        <f>IF([3]Entry!$M$394="","",[3]Entry!$M$394)</f>
        <v/>
      </c>
      <c r="AN391">
        <f>IF([3]Entry!$N$394="","",[3]Entry!$N$394)</f>
        <v/>
      </c>
      <c r="AO391">
        <f>IF([3]Entry!$R$394="","",[3]Entry!$R$394)</f>
        <v/>
      </c>
      <c r="AQ391">
        <f>IF(AND($D391&lt;&gt;"",$A391&lt;&gt;""),1,0)</f>
        <v/>
      </c>
      <c r="AR391">
        <f>SUM($AQ$6:$AQ391)</f>
        <v/>
      </c>
      <c r="AS391">
        <f>IFERROR(INDEX($A$6:$A$565,MATCH(ROW()-5,$AR$6:$AR$565,0)),"")</f>
        <v/>
      </c>
    </row>
    <row r="392">
      <c r="A392">
        <f>IF([1]Accounts!$D$393="","",[1]Accounts!$A$393)</f>
        <v/>
      </c>
      <c r="B392">
        <f>IF([1]Accounts!$D$393="","",[1]Accounts!$B$393)</f>
        <v/>
      </c>
      <c r="C392">
        <f>IF([1]Accounts!$D$393="","",[1]Accounts!$C$393)</f>
        <v/>
      </c>
      <c r="D392">
        <f>IF([1]Accounts!$D$393="","",[1]Accounts!$D$393)</f>
        <v/>
      </c>
      <c r="E392">
        <f>IF([1]Accounts!$D$393="","",[1]Accounts!$J$393)</f>
        <v/>
      </c>
      <c r="F392">
        <f>IF([1]Accounts!$D$393="","",[1]Accounts!$K$393)</f>
        <v/>
      </c>
      <c r="U392">
        <f>IF([2]Baskol!$B$395="","",[2]Baskol!$B$395)</f>
        <v/>
      </c>
      <c r="V392">
        <f>IF([2]Baskol!$C$395="","",[2]Baskol!$C$395)</f>
        <v/>
      </c>
      <c r="W392">
        <f>IF([2]Baskol!$D$395="","",[2]Baskol!$D$395)</f>
        <v/>
      </c>
      <c r="X392">
        <f>IF([2]Baskol!$E$395="","",[2]Baskol!$E$395)</f>
        <v/>
      </c>
      <c r="Y392">
        <f>IF([2]Baskol!$G$395="","",[2]Baskol!$G$395)</f>
        <v/>
      </c>
      <c r="Z392">
        <f>IF([2]Baskol!$I$395="","",[2]Baskol!$I$395)</f>
        <v/>
      </c>
      <c r="AA392">
        <f>IF([2]Baskol!$J$395="","",[2]Baskol!$J$395)</f>
        <v/>
      </c>
      <c r="AB392">
        <f>IF([2]Baskol!$K$395="","",[2]Baskol!$K$395)</f>
        <v/>
      </c>
      <c r="AC392">
        <f>IF([2]Baskol!$L$395="","",[2]Baskol!$L$395)</f>
        <v/>
      </c>
      <c r="AD392">
        <f>IF([2]Baskol!$N$395="","",[2]Baskol!$N$395)</f>
        <v/>
      </c>
      <c r="AE392">
        <f>IF([2]Baskol!$O$395="","",[2]Baskol!$O$395)</f>
        <v/>
      </c>
      <c r="AG392">
        <f>IF([3]Entry!$C$395="","",[3]Entry!$C$395)</f>
        <v/>
      </c>
      <c r="AH392">
        <f>IF([3]Entry!$D$395="","",[3]Entry!$D$395)</f>
        <v/>
      </c>
      <c r="AI392">
        <f>IF([3]Entry!$E$395="","",[3]Entry!$E$395)</f>
        <v/>
      </c>
      <c r="AJ392">
        <f>IF([3]Entry!$G$395="","",[3]Entry!$G$395)</f>
        <v/>
      </c>
      <c r="AK392">
        <f>IF([3]Entry!$K$395="","",[3]Entry!$K$395)</f>
        <v/>
      </c>
      <c r="AL392">
        <f>IF([3]Entry!$L$395="","",[3]Entry!$L$395)</f>
        <v/>
      </c>
      <c r="AM392">
        <f>IF([3]Entry!$M$395="","",[3]Entry!$M$395)</f>
        <v/>
      </c>
      <c r="AN392">
        <f>IF([3]Entry!$N$395="","",[3]Entry!$N$395)</f>
        <v/>
      </c>
      <c r="AO392">
        <f>IF([3]Entry!$R$395="","",[3]Entry!$R$395)</f>
        <v/>
      </c>
      <c r="AQ392">
        <f>IF(AND($D392&lt;&gt;"",$A392&lt;&gt;""),1,0)</f>
        <v/>
      </c>
      <c r="AR392">
        <f>SUM($AQ$6:$AQ392)</f>
        <v/>
      </c>
      <c r="AS392">
        <f>IFERROR(INDEX($A$6:$A$565,MATCH(ROW()-5,$AR$6:$AR$565,0)),"")</f>
        <v/>
      </c>
    </row>
    <row r="393">
      <c r="A393">
        <f>IF([1]Accounts!$D$394="","",[1]Accounts!$A$394)</f>
        <v/>
      </c>
      <c r="B393">
        <f>IF([1]Accounts!$D$394="","",[1]Accounts!$B$394)</f>
        <v/>
      </c>
      <c r="C393">
        <f>IF([1]Accounts!$D$394="","",[1]Accounts!$C$394)</f>
        <v/>
      </c>
      <c r="D393">
        <f>IF([1]Accounts!$D$394="","",[1]Accounts!$D$394)</f>
        <v/>
      </c>
      <c r="E393">
        <f>IF([1]Accounts!$D$394="","",[1]Accounts!$J$394)</f>
        <v/>
      </c>
      <c r="F393">
        <f>IF([1]Accounts!$D$394="","",[1]Accounts!$K$394)</f>
        <v/>
      </c>
      <c r="U393">
        <f>IF([2]Baskol!$B$396="","",[2]Baskol!$B$396)</f>
        <v/>
      </c>
      <c r="V393">
        <f>IF([2]Baskol!$C$396="","",[2]Baskol!$C$396)</f>
        <v/>
      </c>
      <c r="W393">
        <f>IF([2]Baskol!$D$396="","",[2]Baskol!$D$396)</f>
        <v/>
      </c>
      <c r="X393">
        <f>IF([2]Baskol!$E$396="","",[2]Baskol!$E$396)</f>
        <v/>
      </c>
      <c r="Y393">
        <f>IF([2]Baskol!$G$396="","",[2]Baskol!$G$396)</f>
        <v/>
      </c>
      <c r="Z393">
        <f>IF([2]Baskol!$I$396="","",[2]Baskol!$I$396)</f>
        <v/>
      </c>
      <c r="AA393">
        <f>IF([2]Baskol!$J$396="","",[2]Baskol!$J$396)</f>
        <v/>
      </c>
      <c r="AB393">
        <f>IF([2]Baskol!$K$396="","",[2]Baskol!$K$396)</f>
        <v/>
      </c>
      <c r="AC393">
        <f>IF([2]Baskol!$L$396="","",[2]Baskol!$L$396)</f>
        <v/>
      </c>
      <c r="AD393">
        <f>IF([2]Baskol!$N$396="","",[2]Baskol!$N$396)</f>
        <v/>
      </c>
      <c r="AE393">
        <f>IF([2]Baskol!$O$396="","",[2]Baskol!$O$396)</f>
        <v/>
      </c>
      <c r="AG393">
        <f>IF([3]Entry!$C$396="","",[3]Entry!$C$396)</f>
        <v/>
      </c>
      <c r="AH393">
        <f>IF([3]Entry!$D$396="","",[3]Entry!$D$396)</f>
        <v/>
      </c>
      <c r="AI393">
        <f>IF([3]Entry!$E$396="","",[3]Entry!$E$396)</f>
        <v/>
      </c>
      <c r="AJ393">
        <f>IF([3]Entry!$G$396="","",[3]Entry!$G$396)</f>
        <v/>
      </c>
      <c r="AK393">
        <f>IF([3]Entry!$K$396="","",[3]Entry!$K$396)</f>
        <v/>
      </c>
      <c r="AL393">
        <f>IF([3]Entry!$L$396="","",[3]Entry!$L$396)</f>
        <v/>
      </c>
      <c r="AM393">
        <f>IF([3]Entry!$M$396="","",[3]Entry!$M$396)</f>
        <v/>
      </c>
      <c r="AN393">
        <f>IF([3]Entry!$N$396="","",[3]Entry!$N$396)</f>
        <v/>
      </c>
      <c r="AO393">
        <f>IF([3]Entry!$R$396="","",[3]Entry!$R$396)</f>
        <v/>
      </c>
      <c r="AQ393">
        <f>IF(AND($D393&lt;&gt;"",$A393&lt;&gt;""),1,0)</f>
        <v/>
      </c>
      <c r="AR393">
        <f>SUM($AQ$6:$AQ393)</f>
        <v/>
      </c>
      <c r="AS393">
        <f>IFERROR(INDEX($A$6:$A$565,MATCH(ROW()-5,$AR$6:$AR$565,0)),"")</f>
        <v/>
      </c>
    </row>
    <row r="394">
      <c r="A394">
        <f>IF([1]Accounts!$D$395="","",[1]Accounts!$A$395)</f>
        <v/>
      </c>
      <c r="B394">
        <f>IF([1]Accounts!$D$395="","",[1]Accounts!$B$395)</f>
        <v/>
      </c>
      <c r="C394">
        <f>IF([1]Accounts!$D$395="","",[1]Accounts!$C$395)</f>
        <v/>
      </c>
      <c r="D394">
        <f>IF([1]Accounts!$D$395="","",[1]Accounts!$D$395)</f>
        <v/>
      </c>
      <c r="E394">
        <f>IF([1]Accounts!$D$395="","",[1]Accounts!$J$395)</f>
        <v/>
      </c>
      <c r="F394">
        <f>IF([1]Accounts!$D$395="","",[1]Accounts!$K$395)</f>
        <v/>
      </c>
      <c r="U394">
        <f>IF([2]Baskol!$B$397="","",[2]Baskol!$B$397)</f>
        <v/>
      </c>
      <c r="V394">
        <f>IF([2]Baskol!$C$397="","",[2]Baskol!$C$397)</f>
        <v/>
      </c>
      <c r="W394">
        <f>IF([2]Baskol!$D$397="","",[2]Baskol!$D$397)</f>
        <v/>
      </c>
      <c r="X394">
        <f>IF([2]Baskol!$E$397="","",[2]Baskol!$E$397)</f>
        <v/>
      </c>
      <c r="Y394">
        <f>IF([2]Baskol!$G$397="","",[2]Baskol!$G$397)</f>
        <v/>
      </c>
      <c r="Z394">
        <f>IF([2]Baskol!$I$397="","",[2]Baskol!$I$397)</f>
        <v/>
      </c>
      <c r="AA394">
        <f>IF([2]Baskol!$J$397="","",[2]Baskol!$J$397)</f>
        <v/>
      </c>
      <c r="AB394">
        <f>IF([2]Baskol!$K$397="","",[2]Baskol!$K$397)</f>
        <v/>
      </c>
      <c r="AC394">
        <f>IF([2]Baskol!$L$397="","",[2]Baskol!$L$397)</f>
        <v/>
      </c>
      <c r="AD394">
        <f>IF([2]Baskol!$N$397="","",[2]Baskol!$N$397)</f>
        <v/>
      </c>
      <c r="AE394">
        <f>IF([2]Baskol!$O$397="","",[2]Baskol!$O$397)</f>
        <v/>
      </c>
      <c r="AG394">
        <f>IF([3]Entry!$C$397="","",[3]Entry!$C$397)</f>
        <v/>
      </c>
      <c r="AH394">
        <f>IF([3]Entry!$D$397="","",[3]Entry!$D$397)</f>
        <v/>
      </c>
      <c r="AI394">
        <f>IF([3]Entry!$E$397="","",[3]Entry!$E$397)</f>
        <v/>
      </c>
      <c r="AJ394">
        <f>IF([3]Entry!$G$397="","",[3]Entry!$G$397)</f>
        <v/>
      </c>
      <c r="AK394">
        <f>IF([3]Entry!$K$397="","",[3]Entry!$K$397)</f>
        <v/>
      </c>
      <c r="AL394">
        <f>IF([3]Entry!$L$397="","",[3]Entry!$L$397)</f>
        <v/>
      </c>
      <c r="AM394">
        <f>IF([3]Entry!$M$397="","",[3]Entry!$M$397)</f>
        <v/>
      </c>
      <c r="AN394">
        <f>IF([3]Entry!$N$397="","",[3]Entry!$N$397)</f>
        <v/>
      </c>
      <c r="AO394">
        <f>IF([3]Entry!$R$397="","",[3]Entry!$R$397)</f>
        <v/>
      </c>
      <c r="AQ394">
        <f>IF(AND($D394&lt;&gt;"",$A394&lt;&gt;""),1,0)</f>
        <v/>
      </c>
      <c r="AR394">
        <f>SUM($AQ$6:$AQ394)</f>
        <v/>
      </c>
      <c r="AS394">
        <f>IFERROR(INDEX($A$6:$A$565,MATCH(ROW()-5,$AR$6:$AR$565,0)),"")</f>
        <v/>
      </c>
    </row>
    <row r="395">
      <c r="A395">
        <f>IF([1]Accounts!$D$396="","",[1]Accounts!$A$396)</f>
        <v/>
      </c>
      <c r="B395">
        <f>IF([1]Accounts!$D$396="","",[1]Accounts!$B$396)</f>
        <v/>
      </c>
      <c r="C395">
        <f>IF([1]Accounts!$D$396="","",[1]Accounts!$C$396)</f>
        <v/>
      </c>
      <c r="D395">
        <f>IF([1]Accounts!$D$396="","",[1]Accounts!$D$396)</f>
        <v/>
      </c>
      <c r="E395">
        <f>IF([1]Accounts!$D$396="","",[1]Accounts!$J$396)</f>
        <v/>
      </c>
      <c r="F395">
        <f>IF([1]Accounts!$D$396="","",[1]Accounts!$K$396)</f>
        <v/>
      </c>
      <c r="U395">
        <f>IF([2]Baskol!$B$398="","",[2]Baskol!$B$398)</f>
        <v/>
      </c>
      <c r="V395">
        <f>IF([2]Baskol!$C$398="","",[2]Baskol!$C$398)</f>
        <v/>
      </c>
      <c r="W395">
        <f>IF([2]Baskol!$D$398="","",[2]Baskol!$D$398)</f>
        <v/>
      </c>
      <c r="X395">
        <f>IF([2]Baskol!$E$398="","",[2]Baskol!$E$398)</f>
        <v/>
      </c>
      <c r="Y395">
        <f>IF([2]Baskol!$G$398="","",[2]Baskol!$G$398)</f>
        <v/>
      </c>
      <c r="Z395">
        <f>IF([2]Baskol!$I$398="","",[2]Baskol!$I$398)</f>
        <v/>
      </c>
      <c r="AA395">
        <f>IF([2]Baskol!$J$398="","",[2]Baskol!$J$398)</f>
        <v/>
      </c>
      <c r="AB395">
        <f>IF([2]Baskol!$K$398="","",[2]Baskol!$K$398)</f>
        <v/>
      </c>
      <c r="AC395">
        <f>IF([2]Baskol!$L$398="","",[2]Baskol!$L$398)</f>
        <v/>
      </c>
      <c r="AD395">
        <f>IF([2]Baskol!$N$398="","",[2]Baskol!$N$398)</f>
        <v/>
      </c>
      <c r="AE395">
        <f>IF([2]Baskol!$O$398="","",[2]Baskol!$O$398)</f>
        <v/>
      </c>
      <c r="AG395">
        <f>IF([3]Entry!$C$398="","",[3]Entry!$C$398)</f>
        <v/>
      </c>
      <c r="AH395">
        <f>IF([3]Entry!$D$398="","",[3]Entry!$D$398)</f>
        <v/>
      </c>
      <c r="AI395">
        <f>IF([3]Entry!$E$398="","",[3]Entry!$E$398)</f>
        <v/>
      </c>
      <c r="AJ395">
        <f>IF([3]Entry!$G$398="","",[3]Entry!$G$398)</f>
        <v/>
      </c>
      <c r="AK395">
        <f>IF([3]Entry!$K$398="","",[3]Entry!$K$398)</f>
        <v/>
      </c>
      <c r="AL395">
        <f>IF([3]Entry!$L$398="","",[3]Entry!$L$398)</f>
        <v/>
      </c>
      <c r="AM395">
        <f>IF([3]Entry!$M$398="","",[3]Entry!$M$398)</f>
        <v/>
      </c>
      <c r="AN395">
        <f>IF([3]Entry!$N$398="","",[3]Entry!$N$398)</f>
        <v/>
      </c>
      <c r="AO395">
        <f>IF([3]Entry!$R$398="","",[3]Entry!$R$398)</f>
        <v/>
      </c>
      <c r="AQ395">
        <f>IF(AND($D395&lt;&gt;"",$A395&lt;&gt;""),1,0)</f>
        <v/>
      </c>
      <c r="AR395">
        <f>SUM($AQ$6:$AQ395)</f>
        <v/>
      </c>
      <c r="AS395">
        <f>IFERROR(INDEX($A$6:$A$565,MATCH(ROW()-5,$AR$6:$AR$565,0)),"")</f>
        <v/>
      </c>
    </row>
    <row r="396">
      <c r="A396">
        <f>IF([1]Accounts!$D$397="","",[1]Accounts!$A$397)</f>
        <v/>
      </c>
      <c r="B396">
        <f>IF([1]Accounts!$D$397="","",[1]Accounts!$B$397)</f>
        <v/>
      </c>
      <c r="C396">
        <f>IF([1]Accounts!$D$397="","",[1]Accounts!$C$397)</f>
        <v/>
      </c>
      <c r="D396">
        <f>IF([1]Accounts!$D$397="","",[1]Accounts!$D$397)</f>
        <v/>
      </c>
      <c r="E396">
        <f>IF([1]Accounts!$D$397="","",[1]Accounts!$J$397)</f>
        <v/>
      </c>
      <c r="F396">
        <f>IF([1]Accounts!$D$397="","",[1]Accounts!$K$397)</f>
        <v/>
      </c>
      <c r="U396">
        <f>IF([2]Baskol!$B$399="","",[2]Baskol!$B$399)</f>
        <v/>
      </c>
      <c r="V396">
        <f>IF([2]Baskol!$C$399="","",[2]Baskol!$C$399)</f>
        <v/>
      </c>
      <c r="W396">
        <f>IF([2]Baskol!$D$399="","",[2]Baskol!$D$399)</f>
        <v/>
      </c>
      <c r="X396">
        <f>IF([2]Baskol!$E$399="","",[2]Baskol!$E$399)</f>
        <v/>
      </c>
      <c r="Y396">
        <f>IF([2]Baskol!$G$399="","",[2]Baskol!$G$399)</f>
        <v/>
      </c>
      <c r="Z396">
        <f>IF([2]Baskol!$I$399="","",[2]Baskol!$I$399)</f>
        <v/>
      </c>
      <c r="AA396">
        <f>IF([2]Baskol!$J$399="","",[2]Baskol!$J$399)</f>
        <v/>
      </c>
      <c r="AB396">
        <f>IF([2]Baskol!$K$399="","",[2]Baskol!$K$399)</f>
        <v/>
      </c>
      <c r="AC396">
        <f>IF([2]Baskol!$L$399="","",[2]Baskol!$L$399)</f>
        <v/>
      </c>
      <c r="AD396">
        <f>IF([2]Baskol!$N$399="","",[2]Baskol!$N$399)</f>
        <v/>
      </c>
      <c r="AE396">
        <f>IF([2]Baskol!$O$399="","",[2]Baskol!$O$399)</f>
        <v/>
      </c>
      <c r="AG396">
        <f>IF([3]Entry!$C$399="","",[3]Entry!$C$399)</f>
        <v/>
      </c>
      <c r="AH396">
        <f>IF([3]Entry!$D$399="","",[3]Entry!$D$399)</f>
        <v/>
      </c>
      <c r="AI396">
        <f>IF([3]Entry!$E$399="","",[3]Entry!$E$399)</f>
        <v/>
      </c>
      <c r="AJ396">
        <f>IF([3]Entry!$G$399="","",[3]Entry!$G$399)</f>
        <v/>
      </c>
      <c r="AK396">
        <f>IF([3]Entry!$K$399="","",[3]Entry!$K$399)</f>
        <v/>
      </c>
      <c r="AL396">
        <f>IF([3]Entry!$L$399="","",[3]Entry!$L$399)</f>
        <v/>
      </c>
      <c r="AM396">
        <f>IF([3]Entry!$M$399="","",[3]Entry!$M$399)</f>
        <v/>
      </c>
      <c r="AN396">
        <f>IF([3]Entry!$N$399="","",[3]Entry!$N$399)</f>
        <v/>
      </c>
      <c r="AO396">
        <f>IF([3]Entry!$R$399="","",[3]Entry!$R$399)</f>
        <v/>
      </c>
      <c r="AQ396">
        <f>IF(AND($D396&lt;&gt;"",$A396&lt;&gt;""),1,0)</f>
        <v/>
      </c>
      <c r="AR396">
        <f>SUM($AQ$6:$AQ396)</f>
        <v/>
      </c>
      <c r="AS396">
        <f>IFERROR(INDEX($A$6:$A$565,MATCH(ROW()-5,$AR$6:$AR$565,0)),"")</f>
        <v/>
      </c>
    </row>
    <row r="397">
      <c r="A397">
        <f>IF([1]Accounts!$D$398="","",[1]Accounts!$A$398)</f>
        <v/>
      </c>
      <c r="B397">
        <f>IF([1]Accounts!$D$398="","",[1]Accounts!$B$398)</f>
        <v/>
      </c>
      <c r="C397">
        <f>IF([1]Accounts!$D$398="","",[1]Accounts!$C$398)</f>
        <v/>
      </c>
      <c r="D397">
        <f>IF([1]Accounts!$D$398="","",[1]Accounts!$D$398)</f>
        <v/>
      </c>
      <c r="E397">
        <f>IF([1]Accounts!$D$398="","",[1]Accounts!$J$398)</f>
        <v/>
      </c>
      <c r="F397">
        <f>IF([1]Accounts!$D$398="","",[1]Accounts!$K$398)</f>
        <v/>
      </c>
      <c r="U397">
        <f>IF([2]Baskol!$B$400="","",[2]Baskol!$B$400)</f>
        <v/>
      </c>
      <c r="V397">
        <f>IF([2]Baskol!$C$400="","",[2]Baskol!$C$400)</f>
        <v/>
      </c>
      <c r="W397">
        <f>IF([2]Baskol!$D$400="","",[2]Baskol!$D$400)</f>
        <v/>
      </c>
      <c r="X397">
        <f>IF([2]Baskol!$E$400="","",[2]Baskol!$E$400)</f>
        <v/>
      </c>
      <c r="Y397">
        <f>IF([2]Baskol!$G$400="","",[2]Baskol!$G$400)</f>
        <v/>
      </c>
      <c r="Z397">
        <f>IF([2]Baskol!$I$400="","",[2]Baskol!$I$400)</f>
        <v/>
      </c>
      <c r="AA397">
        <f>IF([2]Baskol!$J$400="","",[2]Baskol!$J$400)</f>
        <v/>
      </c>
      <c r="AB397">
        <f>IF([2]Baskol!$K$400="","",[2]Baskol!$K$400)</f>
        <v/>
      </c>
      <c r="AC397">
        <f>IF([2]Baskol!$L$400="","",[2]Baskol!$L$400)</f>
        <v/>
      </c>
      <c r="AD397">
        <f>IF([2]Baskol!$N$400="","",[2]Baskol!$N$400)</f>
        <v/>
      </c>
      <c r="AE397">
        <f>IF([2]Baskol!$O$400="","",[2]Baskol!$O$400)</f>
        <v/>
      </c>
      <c r="AG397">
        <f>IF([3]Entry!$C$400="","",[3]Entry!$C$400)</f>
        <v/>
      </c>
      <c r="AH397">
        <f>IF([3]Entry!$D$400="","",[3]Entry!$D$400)</f>
        <v/>
      </c>
      <c r="AI397">
        <f>IF([3]Entry!$E$400="","",[3]Entry!$E$400)</f>
        <v/>
      </c>
      <c r="AJ397">
        <f>IF([3]Entry!$G$400="","",[3]Entry!$G$400)</f>
        <v/>
      </c>
      <c r="AK397">
        <f>IF([3]Entry!$K$400="","",[3]Entry!$K$400)</f>
        <v/>
      </c>
      <c r="AL397">
        <f>IF([3]Entry!$L$400="","",[3]Entry!$L$400)</f>
        <v/>
      </c>
      <c r="AM397">
        <f>IF([3]Entry!$M$400="","",[3]Entry!$M$400)</f>
        <v/>
      </c>
      <c r="AN397">
        <f>IF([3]Entry!$N$400="","",[3]Entry!$N$400)</f>
        <v/>
      </c>
      <c r="AO397">
        <f>IF([3]Entry!$R$400="","",[3]Entry!$R$400)</f>
        <v/>
      </c>
      <c r="AQ397">
        <f>IF(AND($D397&lt;&gt;"",$A397&lt;&gt;""),1,0)</f>
        <v/>
      </c>
      <c r="AR397">
        <f>SUM($AQ$6:$AQ397)</f>
        <v/>
      </c>
      <c r="AS397">
        <f>IFERROR(INDEX($A$6:$A$565,MATCH(ROW()-5,$AR$6:$AR$565,0)),"")</f>
        <v/>
      </c>
    </row>
    <row r="398">
      <c r="A398">
        <f>IF([1]Accounts!$D$399="","",[1]Accounts!$A$399)</f>
        <v/>
      </c>
      <c r="B398">
        <f>IF([1]Accounts!$D$399="","",[1]Accounts!$B$399)</f>
        <v/>
      </c>
      <c r="C398">
        <f>IF([1]Accounts!$D$399="","",[1]Accounts!$C$399)</f>
        <v/>
      </c>
      <c r="D398">
        <f>IF([1]Accounts!$D$399="","",[1]Accounts!$D$399)</f>
        <v/>
      </c>
      <c r="E398">
        <f>IF([1]Accounts!$D$399="","",[1]Accounts!$J$399)</f>
        <v/>
      </c>
      <c r="F398">
        <f>IF([1]Accounts!$D$399="","",[1]Accounts!$K$399)</f>
        <v/>
      </c>
      <c r="U398">
        <f>IF([2]Baskol!$B$401="","",[2]Baskol!$B$401)</f>
        <v/>
      </c>
      <c r="V398">
        <f>IF([2]Baskol!$C$401="","",[2]Baskol!$C$401)</f>
        <v/>
      </c>
      <c r="W398">
        <f>IF([2]Baskol!$D$401="","",[2]Baskol!$D$401)</f>
        <v/>
      </c>
      <c r="X398">
        <f>IF([2]Baskol!$E$401="","",[2]Baskol!$E$401)</f>
        <v/>
      </c>
      <c r="Y398">
        <f>IF([2]Baskol!$G$401="","",[2]Baskol!$G$401)</f>
        <v/>
      </c>
      <c r="Z398">
        <f>IF([2]Baskol!$I$401="","",[2]Baskol!$I$401)</f>
        <v/>
      </c>
      <c r="AA398">
        <f>IF([2]Baskol!$J$401="","",[2]Baskol!$J$401)</f>
        <v/>
      </c>
      <c r="AB398">
        <f>IF([2]Baskol!$K$401="","",[2]Baskol!$K$401)</f>
        <v/>
      </c>
      <c r="AC398">
        <f>IF([2]Baskol!$L$401="","",[2]Baskol!$L$401)</f>
        <v/>
      </c>
      <c r="AD398">
        <f>IF([2]Baskol!$N$401="","",[2]Baskol!$N$401)</f>
        <v/>
      </c>
      <c r="AE398">
        <f>IF([2]Baskol!$O$401="","",[2]Baskol!$O$401)</f>
        <v/>
      </c>
      <c r="AG398">
        <f>IF([3]Entry!$C$401="","",[3]Entry!$C$401)</f>
        <v/>
      </c>
      <c r="AH398">
        <f>IF([3]Entry!$D$401="","",[3]Entry!$D$401)</f>
        <v/>
      </c>
      <c r="AI398">
        <f>IF([3]Entry!$E$401="","",[3]Entry!$E$401)</f>
        <v/>
      </c>
      <c r="AJ398">
        <f>IF([3]Entry!$G$401="","",[3]Entry!$G$401)</f>
        <v/>
      </c>
      <c r="AK398">
        <f>IF([3]Entry!$K$401="","",[3]Entry!$K$401)</f>
        <v/>
      </c>
      <c r="AL398">
        <f>IF([3]Entry!$L$401="","",[3]Entry!$L$401)</f>
        <v/>
      </c>
      <c r="AM398">
        <f>IF([3]Entry!$M$401="","",[3]Entry!$M$401)</f>
        <v/>
      </c>
      <c r="AN398">
        <f>IF([3]Entry!$N$401="","",[3]Entry!$N$401)</f>
        <v/>
      </c>
      <c r="AO398">
        <f>IF([3]Entry!$R$401="","",[3]Entry!$R$401)</f>
        <v/>
      </c>
      <c r="AQ398">
        <f>IF(AND($D398&lt;&gt;"",$A398&lt;&gt;""),1,0)</f>
        <v/>
      </c>
      <c r="AR398">
        <f>SUM($AQ$6:$AQ398)</f>
        <v/>
      </c>
      <c r="AS398">
        <f>IFERROR(INDEX($A$6:$A$565,MATCH(ROW()-5,$AR$6:$AR$565,0)),"")</f>
        <v/>
      </c>
    </row>
    <row r="399">
      <c r="A399">
        <f>IF([1]Accounts!$D$400="","",[1]Accounts!$A$400)</f>
        <v/>
      </c>
      <c r="B399">
        <f>IF([1]Accounts!$D$400="","",[1]Accounts!$B$400)</f>
        <v/>
      </c>
      <c r="C399">
        <f>IF([1]Accounts!$D$400="","",[1]Accounts!$C$400)</f>
        <v/>
      </c>
      <c r="D399">
        <f>IF([1]Accounts!$D$400="","",[1]Accounts!$D$400)</f>
        <v/>
      </c>
      <c r="E399">
        <f>IF([1]Accounts!$D$400="","",[1]Accounts!$J$400)</f>
        <v/>
      </c>
      <c r="F399">
        <f>IF([1]Accounts!$D$400="","",[1]Accounts!$K$400)</f>
        <v/>
      </c>
      <c r="U399">
        <f>IF([2]Baskol!$B$402="","",[2]Baskol!$B$402)</f>
        <v/>
      </c>
      <c r="V399">
        <f>IF([2]Baskol!$C$402="","",[2]Baskol!$C$402)</f>
        <v/>
      </c>
      <c r="W399">
        <f>IF([2]Baskol!$D$402="","",[2]Baskol!$D$402)</f>
        <v/>
      </c>
      <c r="X399">
        <f>IF([2]Baskol!$E$402="","",[2]Baskol!$E$402)</f>
        <v/>
      </c>
      <c r="Y399">
        <f>IF([2]Baskol!$G$402="","",[2]Baskol!$G$402)</f>
        <v/>
      </c>
      <c r="Z399">
        <f>IF([2]Baskol!$I$402="","",[2]Baskol!$I$402)</f>
        <v/>
      </c>
      <c r="AA399">
        <f>IF([2]Baskol!$J$402="","",[2]Baskol!$J$402)</f>
        <v/>
      </c>
      <c r="AB399">
        <f>IF([2]Baskol!$K$402="","",[2]Baskol!$K$402)</f>
        <v/>
      </c>
      <c r="AC399">
        <f>IF([2]Baskol!$L$402="","",[2]Baskol!$L$402)</f>
        <v/>
      </c>
      <c r="AD399">
        <f>IF([2]Baskol!$N$402="","",[2]Baskol!$N$402)</f>
        <v/>
      </c>
      <c r="AE399">
        <f>IF([2]Baskol!$O$402="","",[2]Baskol!$O$402)</f>
        <v/>
      </c>
      <c r="AG399">
        <f>IF([3]Entry!$C$402="","",[3]Entry!$C$402)</f>
        <v/>
      </c>
      <c r="AH399">
        <f>IF([3]Entry!$D$402="","",[3]Entry!$D$402)</f>
        <v/>
      </c>
      <c r="AI399">
        <f>IF([3]Entry!$E$402="","",[3]Entry!$E$402)</f>
        <v/>
      </c>
      <c r="AJ399">
        <f>IF([3]Entry!$G$402="","",[3]Entry!$G$402)</f>
        <v/>
      </c>
      <c r="AK399">
        <f>IF([3]Entry!$K$402="","",[3]Entry!$K$402)</f>
        <v/>
      </c>
      <c r="AL399">
        <f>IF([3]Entry!$L$402="","",[3]Entry!$L$402)</f>
        <v/>
      </c>
      <c r="AM399">
        <f>IF([3]Entry!$M$402="","",[3]Entry!$M$402)</f>
        <v/>
      </c>
      <c r="AN399">
        <f>IF([3]Entry!$N$402="","",[3]Entry!$N$402)</f>
        <v/>
      </c>
      <c r="AO399">
        <f>IF([3]Entry!$R$402="","",[3]Entry!$R$402)</f>
        <v/>
      </c>
      <c r="AQ399">
        <f>IF(AND($D399&lt;&gt;"",$A399&lt;&gt;""),1,0)</f>
        <v/>
      </c>
      <c r="AR399">
        <f>SUM($AQ$6:$AQ399)</f>
        <v/>
      </c>
      <c r="AS399">
        <f>IFERROR(INDEX($A$6:$A$565,MATCH(ROW()-5,$AR$6:$AR$565,0)),"")</f>
        <v/>
      </c>
    </row>
    <row r="400">
      <c r="A400">
        <f>IF([1]Accounts!$D$401="","",[1]Accounts!$A$401)</f>
        <v/>
      </c>
      <c r="B400">
        <f>IF([1]Accounts!$D$401="","",[1]Accounts!$B$401)</f>
        <v/>
      </c>
      <c r="C400">
        <f>IF([1]Accounts!$D$401="","",[1]Accounts!$C$401)</f>
        <v/>
      </c>
      <c r="D400">
        <f>IF([1]Accounts!$D$401="","",[1]Accounts!$D$401)</f>
        <v/>
      </c>
      <c r="E400">
        <f>IF([1]Accounts!$D$401="","",[1]Accounts!$J$401)</f>
        <v/>
      </c>
      <c r="F400">
        <f>IF([1]Accounts!$D$401="","",[1]Accounts!$K$401)</f>
        <v/>
      </c>
      <c r="U400">
        <f>IF([2]Baskol!$B$403="","",[2]Baskol!$B$403)</f>
        <v/>
      </c>
      <c r="V400">
        <f>IF([2]Baskol!$C$403="","",[2]Baskol!$C$403)</f>
        <v/>
      </c>
      <c r="W400">
        <f>IF([2]Baskol!$D$403="","",[2]Baskol!$D$403)</f>
        <v/>
      </c>
      <c r="X400">
        <f>IF([2]Baskol!$E$403="","",[2]Baskol!$E$403)</f>
        <v/>
      </c>
      <c r="Y400">
        <f>IF([2]Baskol!$G$403="","",[2]Baskol!$G$403)</f>
        <v/>
      </c>
      <c r="Z400">
        <f>IF([2]Baskol!$I$403="","",[2]Baskol!$I$403)</f>
        <v/>
      </c>
      <c r="AA400">
        <f>IF([2]Baskol!$J$403="","",[2]Baskol!$J$403)</f>
        <v/>
      </c>
      <c r="AB400">
        <f>IF([2]Baskol!$K$403="","",[2]Baskol!$K$403)</f>
        <v/>
      </c>
      <c r="AC400">
        <f>IF([2]Baskol!$L$403="","",[2]Baskol!$L$403)</f>
        <v/>
      </c>
      <c r="AD400">
        <f>IF([2]Baskol!$N$403="","",[2]Baskol!$N$403)</f>
        <v/>
      </c>
      <c r="AE400">
        <f>IF([2]Baskol!$O$403="","",[2]Baskol!$O$403)</f>
        <v/>
      </c>
      <c r="AG400">
        <f>IF([3]Entry!$C$403="","",[3]Entry!$C$403)</f>
        <v/>
      </c>
      <c r="AH400">
        <f>IF([3]Entry!$D$403="","",[3]Entry!$D$403)</f>
        <v/>
      </c>
      <c r="AI400">
        <f>IF([3]Entry!$E$403="","",[3]Entry!$E$403)</f>
        <v/>
      </c>
      <c r="AJ400">
        <f>IF([3]Entry!$G$403="","",[3]Entry!$G$403)</f>
        <v/>
      </c>
      <c r="AK400">
        <f>IF([3]Entry!$K$403="","",[3]Entry!$K$403)</f>
        <v/>
      </c>
      <c r="AL400">
        <f>IF([3]Entry!$L$403="","",[3]Entry!$L$403)</f>
        <v/>
      </c>
      <c r="AM400">
        <f>IF([3]Entry!$M$403="","",[3]Entry!$M$403)</f>
        <v/>
      </c>
      <c r="AN400">
        <f>IF([3]Entry!$N$403="","",[3]Entry!$N$403)</f>
        <v/>
      </c>
      <c r="AO400">
        <f>IF([3]Entry!$R$403="","",[3]Entry!$R$403)</f>
        <v/>
      </c>
      <c r="AQ400">
        <f>IF(AND($D400&lt;&gt;"",$A400&lt;&gt;""),1,0)</f>
        <v/>
      </c>
      <c r="AR400">
        <f>SUM($AQ$6:$AQ400)</f>
        <v/>
      </c>
      <c r="AS400">
        <f>IFERROR(INDEX($A$6:$A$565,MATCH(ROW()-5,$AR$6:$AR$565,0)),"")</f>
        <v/>
      </c>
    </row>
    <row r="401">
      <c r="A401">
        <f>IF([1]Accounts!$D$402="","",[1]Accounts!$A$402)</f>
        <v/>
      </c>
      <c r="B401">
        <f>IF([1]Accounts!$D$402="","",[1]Accounts!$B$402)</f>
        <v/>
      </c>
      <c r="C401">
        <f>IF([1]Accounts!$D$402="","",[1]Accounts!$C$402)</f>
        <v/>
      </c>
      <c r="D401">
        <f>IF([1]Accounts!$D$402="","",[1]Accounts!$D$402)</f>
        <v/>
      </c>
      <c r="E401">
        <f>IF([1]Accounts!$D$402="","",[1]Accounts!$J$402)</f>
        <v/>
      </c>
      <c r="F401">
        <f>IF([1]Accounts!$D$402="","",[1]Accounts!$K$402)</f>
        <v/>
      </c>
      <c r="U401">
        <f>IF([2]Baskol!$B$404="","",[2]Baskol!$B$404)</f>
        <v/>
      </c>
      <c r="V401">
        <f>IF([2]Baskol!$C$404="","",[2]Baskol!$C$404)</f>
        <v/>
      </c>
      <c r="W401">
        <f>IF([2]Baskol!$D$404="","",[2]Baskol!$D$404)</f>
        <v/>
      </c>
      <c r="X401">
        <f>IF([2]Baskol!$E$404="","",[2]Baskol!$E$404)</f>
        <v/>
      </c>
      <c r="Y401">
        <f>IF([2]Baskol!$G$404="","",[2]Baskol!$G$404)</f>
        <v/>
      </c>
      <c r="Z401">
        <f>IF([2]Baskol!$I$404="","",[2]Baskol!$I$404)</f>
        <v/>
      </c>
      <c r="AA401">
        <f>IF([2]Baskol!$J$404="","",[2]Baskol!$J$404)</f>
        <v/>
      </c>
      <c r="AB401">
        <f>IF([2]Baskol!$K$404="","",[2]Baskol!$K$404)</f>
        <v/>
      </c>
      <c r="AC401">
        <f>IF([2]Baskol!$L$404="","",[2]Baskol!$L$404)</f>
        <v/>
      </c>
      <c r="AD401">
        <f>IF([2]Baskol!$N$404="","",[2]Baskol!$N$404)</f>
        <v/>
      </c>
      <c r="AE401">
        <f>IF([2]Baskol!$O$404="","",[2]Baskol!$O$404)</f>
        <v/>
      </c>
      <c r="AG401">
        <f>IF([3]Entry!$C$404="","",[3]Entry!$C$404)</f>
        <v/>
      </c>
      <c r="AH401">
        <f>IF([3]Entry!$D$404="","",[3]Entry!$D$404)</f>
        <v/>
      </c>
      <c r="AI401">
        <f>IF([3]Entry!$E$404="","",[3]Entry!$E$404)</f>
        <v/>
      </c>
      <c r="AJ401">
        <f>IF([3]Entry!$G$404="","",[3]Entry!$G$404)</f>
        <v/>
      </c>
      <c r="AK401">
        <f>IF([3]Entry!$K$404="","",[3]Entry!$K$404)</f>
        <v/>
      </c>
      <c r="AL401">
        <f>IF([3]Entry!$L$404="","",[3]Entry!$L$404)</f>
        <v/>
      </c>
      <c r="AM401">
        <f>IF([3]Entry!$M$404="","",[3]Entry!$M$404)</f>
        <v/>
      </c>
      <c r="AN401">
        <f>IF([3]Entry!$N$404="","",[3]Entry!$N$404)</f>
        <v/>
      </c>
      <c r="AO401">
        <f>IF([3]Entry!$R$404="","",[3]Entry!$R$404)</f>
        <v/>
      </c>
      <c r="AQ401">
        <f>IF(AND($D401&lt;&gt;"",$A401&lt;&gt;""),1,0)</f>
        <v/>
      </c>
      <c r="AR401">
        <f>SUM($AQ$6:$AQ401)</f>
        <v/>
      </c>
      <c r="AS401">
        <f>IFERROR(INDEX($A$6:$A$565,MATCH(ROW()-5,$AR$6:$AR$565,0)),"")</f>
        <v/>
      </c>
    </row>
    <row r="402">
      <c r="A402">
        <f>IF([1]Accounts!$D$403="","",[1]Accounts!$A$403)</f>
        <v/>
      </c>
      <c r="B402">
        <f>IF([1]Accounts!$D$403="","",[1]Accounts!$B$403)</f>
        <v/>
      </c>
      <c r="C402">
        <f>IF([1]Accounts!$D$403="","",[1]Accounts!$C$403)</f>
        <v/>
      </c>
      <c r="D402">
        <f>IF([1]Accounts!$D$403="","",[1]Accounts!$D$403)</f>
        <v/>
      </c>
      <c r="E402">
        <f>IF([1]Accounts!$D$403="","",[1]Accounts!$J$403)</f>
        <v/>
      </c>
      <c r="F402">
        <f>IF([1]Accounts!$D$403="","",[1]Accounts!$K$403)</f>
        <v/>
      </c>
      <c r="U402">
        <f>IF([2]Baskol!$B$405="","",[2]Baskol!$B$405)</f>
        <v/>
      </c>
      <c r="V402">
        <f>IF([2]Baskol!$C$405="","",[2]Baskol!$C$405)</f>
        <v/>
      </c>
      <c r="W402">
        <f>IF([2]Baskol!$D$405="","",[2]Baskol!$D$405)</f>
        <v/>
      </c>
      <c r="X402">
        <f>IF([2]Baskol!$E$405="","",[2]Baskol!$E$405)</f>
        <v/>
      </c>
      <c r="Y402">
        <f>IF([2]Baskol!$G$405="","",[2]Baskol!$G$405)</f>
        <v/>
      </c>
      <c r="Z402">
        <f>IF([2]Baskol!$I$405="","",[2]Baskol!$I$405)</f>
        <v/>
      </c>
      <c r="AA402">
        <f>IF([2]Baskol!$J$405="","",[2]Baskol!$J$405)</f>
        <v/>
      </c>
      <c r="AB402">
        <f>IF([2]Baskol!$K$405="","",[2]Baskol!$K$405)</f>
        <v/>
      </c>
      <c r="AC402">
        <f>IF([2]Baskol!$L$405="","",[2]Baskol!$L$405)</f>
        <v/>
      </c>
      <c r="AD402">
        <f>IF([2]Baskol!$N$405="","",[2]Baskol!$N$405)</f>
        <v/>
      </c>
      <c r="AE402">
        <f>IF([2]Baskol!$O$405="","",[2]Baskol!$O$405)</f>
        <v/>
      </c>
      <c r="AG402">
        <f>IF([3]Entry!$C$405="","",[3]Entry!$C$405)</f>
        <v/>
      </c>
      <c r="AH402">
        <f>IF([3]Entry!$D$405="","",[3]Entry!$D$405)</f>
        <v/>
      </c>
      <c r="AI402">
        <f>IF([3]Entry!$E$405="","",[3]Entry!$E$405)</f>
        <v/>
      </c>
      <c r="AJ402">
        <f>IF([3]Entry!$G$405="","",[3]Entry!$G$405)</f>
        <v/>
      </c>
      <c r="AK402">
        <f>IF([3]Entry!$K$405="","",[3]Entry!$K$405)</f>
        <v/>
      </c>
      <c r="AL402">
        <f>IF([3]Entry!$L$405="","",[3]Entry!$L$405)</f>
        <v/>
      </c>
      <c r="AM402">
        <f>IF([3]Entry!$M$405="","",[3]Entry!$M$405)</f>
        <v/>
      </c>
      <c r="AN402">
        <f>IF([3]Entry!$N$405="","",[3]Entry!$N$405)</f>
        <v/>
      </c>
      <c r="AO402">
        <f>IF([3]Entry!$R$405="","",[3]Entry!$R$405)</f>
        <v/>
      </c>
      <c r="AQ402">
        <f>IF(AND($D402&lt;&gt;"",$A402&lt;&gt;""),1,0)</f>
        <v/>
      </c>
      <c r="AR402">
        <f>SUM($AQ$6:$AQ402)</f>
        <v/>
      </c>
      <c r="AS402">
        <f>IFERROR(INDEX($A$6:$A$565,MATCH(ROW()-5,$AR$6:$AR$565,0)),"")</f>
        <v/>
      </c>
    </row>
    <row r="403">
      <c r="A403">
        <f>IF([1]Accounts!$D$404="","",[1]Accounts!$A$404)</f>
        <v/>
      </c>
      <c r="B403">
        <f>IF([1]Accounts!$D$404="","",[1]Accounts!$B$404)</f>
        <v/>
      </c>
      <c r="C403">
        <f>IF([1]Accounts!$D$404="","",[1]Accounts!$C$404)</f>
        <v/>
      </c>
      <c r="D403">
        <f>IF([1]Accounts!$D$404="","",[1]Accounts!$D$404)</f>
        <v/>
      </c>
      <c r="E403">
        <f>IF([1]Accounts!$D$404="","",[1]Accounts!$J$404)</f>
        <v/>
      </c>
      <c r="F403">
        <f>IF([1]Accounts!$D$404="","",[1]Accounts!$K$404)</f>
        <v/>
      </c>
      <c r="U403">
        <f>IF([2]Baskol!$B$406="","",[2]Baskol!$B$406)</f>
        <v/>
      </c>
      <c r="V403">
        <f>IF([2]Baskol!$C$406="","",[2]Baskol!$C$406)</f>
        <v/>
      </c>
      <c r="W403">
        <f>IF([2]Baskol!$D$406="","",[2]Baskol!$D$406)</f>
        <v/>
      </c>
      <c r="X403">
        <f>IF([2]Baskol!$E$406="","",[2]Baskol!$E$406)</f>
        <v/>
      </c>
      <c r="Y403">
        <f>IF([2]Baskol!$G$406="","",[2]Baskol!$G$406)</f>
        <v/>
      </c>
      <c r="Z403">
        <f>IF([2]Baskol!$I$406="","",[2]Baskol!$I$406)</f>
        <v/>
      </c>
      <c r="AA403">
        <f>IF([2]Baskol!$J$406="","",[2]Baskol!$J$406)</f>
        <v/>
      </c>
      <c r="AB403">
        <f>IF([2]Baskol!$K$406="","",[2]Baskol!$K$406)</f>
        <v/>
      </c>
      <c r="AC403">
        <f>IF([2]Baskol!$L$406="","",[2]Baskol!$L$406)</f>
        <v/>
      </c>
      <c r="AD403">
        <f>IF([2]Baskol!$N$406="","",[2]Baskol!$N$406)</f>
        <v/>
      </c>
      <c r="AE403">
        <f>IF([2]Baskol!$O$406="","",[2]Baskol!$O$406)</f>
        <v/>
      </c>
      <c r="AG403">
        <f>IF([3]Entry!$C$406="","",[3]Entry!$C$406)</f>
        <v/>
      </c>
      <c r="AH403">
        <f>IF([3]Entry!$D$406="","",[3]Entry!$D$406)</f>
        <v/>
      </c>
      <c r="AI403">
        <f>IF([3]Entry!$E$406="","",[3]Entry!$E$406)</f>
        <v/>
      </c>
      <c r="AJ403">
        <f>IF([3]Entry!$G$406="","",[3]Entry!$G$406)</f>
        <v/>
      </c>
      <c r="AK403">
        <f>IF([3]Entry!$K$406="","",[3]Entry!$K$406)</f>
        <v/>
      </c>
      <c r="AL403">
        <f>IF([3]Entry!$L$406="","",[3]Entry!$L$406)</f>
        <v/>
      </c>
      <c r="AM403">
        <f>IF([3]Entry!$M$406="","",[3]Entry!$M$406)</f>
        <v/>
      </c>
      <c r="AN403">
        <f>IF([3]Entry!$N$406="","",[3]Entry!$N$406)</f>
        <v/>
      </c>
      <c r="AO403">
        <f>IF([3]Entry!$R$406="","",[3]Entry!$R$406)</f>
        <v/>
      </c>
      <c r="AQ403">
        <f>IF(AND($D403&lt;&gt;"",$A403&lt;&gt;""),1,0)</f>
        <v/>
      </c>
      <c r="AR403">
        <f>SUM($AQ$6:$AQ403)</f>
        <v/>
      </c>
      <c r="AS403">
        <f>IFERROR(INDEX($A$6:$A$565,MATCH(ROW()-5,$AR$6:$AR$565,0)),"")</f>
        <v/>
      </c>
    </row>
    <row r="404">
      <c r="A404">
        <f>IF([1]Accounts!$D$405="","",[1]Accounts!$A$405)</f>
        <v/>
      </c>
      <c r="B404">
        <f>IF([1]Accounts!$D$405="","",[1]Accounts!$B$405)</f>
        <v/>
      </c>
      <c r="C404">
        <f>IF([1]Accounts!$D$405="","",[1]Accounts!$C$405)</f>
        <v/>
      </c>
      <c r="D404">
        <f>IF([1]Accounts!$D$405="","",[1]Accounts!$D$405)</f>
        <v/>
      </c>
      <c r="E404">
        <f>IF([1]Accounts!$D$405="","",[1]Accounts!$J$405)</f>
        <v/>
      </c>
      <c r="F404">
        <f>IF([1]Accounts!$D$405="","",[1]Accounts!$K$405)</f>
        <v/>
      </c>
      <c r="U404">
        <f>IF([2]Baskol!$B$407="","",[2]Baskol!$B$407)</f>
        <v/>
      </c>
      <c r="V404">
        <f>IF([2]Baskol!$C$407="","",[2]Baskol!$C$407)</f>
        <v/>
      </c>
      <c r="W404">
        <f>IF([2]Baskol!$D$407="","",[2]Baskol!$D$407)</f>
        <v/>
      </c>
      <c r="X404">
        <f>IF([2]Baskol!$E$407="","",[2]Baskol!$E$407)</f>
        <v/>
      </c>
      <c r="Y404">
        <f>IF([2]Baskol!$G$407="","",[2]Baskol!$G$407)</f>
        <v/>
      </c>
      <c r="Z404">
        <f>IF([2]Baskol!$I$407="","",[2]Baskol!$I$407)</f>
        <v/>
      </c>
      <c r="AA404">
        <f>IF([2]Baskol!$J$407="","",[2]Baskol!$J$407)</f>
        <v/>
      </c>
      <c r="AB404">
        <f>IF([2]Baskol!$K$407="","",[2]Baskol!$K$407)</f>
        <v/>
      </c>
      <c r="AC404">
        <f>IF([2]Baskol!$L$407="","",[2]Baskol!$L$407)</f>
        <v/>
      </c>
      <c r="AD404">
        <f>IF([2]Baskol!$N$407="","",[2]Baskol!$N$407)</f>
        <v/>
      </c>
      <c r="AE404">
        <f>IF([2]Baskol!$O$407="","",[2]Baskol!$O$407)</f>
        <v/>
      </c>
      <c r="AG404">
        <f>IF([3]Entry!$C$407="","",[3]Entry!$C$407)</f>
        <v/>
      </c>
      <c r="AH404">
        <f>IF([3]Entry!$D$407="","",[3]Entry!$D$407)</f>
        <v/>
      </c>
      <c r="AI404">
        <f>IF([3]Entry!$E$407="","",[3]Entry!$E$407)</f>
        <v/>
      </c>
      <c r="AJ404">
        <f>IF([3]Entry!$G$407="","",[3]Entry!$G$407)</f>
        <v/>
      </c>
      <c r="AK404">
        <f>IF([3]Entry!$K$407="","",[3]Entry!$K$407)</f>
        <v/>
      </c>
      <c r="AL404">
        <f>IF([3]Entry!$L$407="","",[3]Entry!$L$407)</f>
        <v/>
      </c>
      <c r="AM404">
        <f>IF([3]Entry!$M$407="","",[3]Entry!$M$407)</f>
        <v/>
      </c>
      <c r="AN404">
        <f>IF([3]Entry!$N$407="","",[3]Entry!$N$407)</f>
        <v/>
      </c>
      <c r="AO404">
        <f>IF([3]Entry!$R$407="","",[3]Entry!$R$407)</f>
        <v/>
      </c>
      <c r="AQ404">
        <f>IF(AND($D404&lt;&gt;"",$A404&lt;&gt;""),1,0)</f>
        <v/>
      </c>
      <c r="AR404">
        <f>SUM($AQ$6:$AQ404)</f>
        <v/>
      </c>
      <c r="AS404">
        <f>IFERROR(INDEX($A$6:$A$565,MATCH(ROW()-5,$AR$6:$AR$565,0)),"")</f>
        <v/>
      </c>
    </row>
    <row r="405">
      <c r="A405">
        <f>IF([1]Accounts!$D$406="","",[1]Accounts!$A$406)</f>
        <v/>
      </c>
      <c r="B405">
        <f>IF([1]Accounts!$D$406="","",[1]Accounts!$B$406)</f>
        <v/>
      </c>
      <c r="C405">
        <f>IF([1]Accounts!$D$406="","",[1]Accounts!$C$406)</f>
        <v/>
      </c>
      <c r="D405">
        <f>IF([1]Accounts!$D$406="","",[1]Accounts!$D$406)</f>
        <v/>
      </c>
      <c r="E405">
        <f>IF([1]Accounts!$D$406="","",[1]Accounts!$J$406)</f>
        <v/>
      </c>
      <c r="F405">
        <f>IF([1]Accounts!$D$406="","",[1]Accounts!$K$406)</f>
        <v/>
      </c>
      <c r="U405">
        <f>IF([2]Baskol!$B$408="","",[2]Baskol!$B$408)</f>
        <v/>
      </c>
      <c r="V405">
        <f>IF([2]Baskol!$C$408="","",[2]Baskol!$C$408)</f>
        <v/>
      </c>
      <c r="W405">
        <f>IF([2]Baskol!$D$408="","",[2]Baskol!$D$408)</f>
        <v/>
      </c>
      <c r="X405">
        <f>IF([2]Baskol!$E$408="","",[2]Baskol!$E$408)</f>
        <v/>
      </c>
      <c r="Y405">
        <f>IF([2]Baskol!$G$408="","",[2]Baskol!$G$408)</f>
        <v/>
      </c>
      <c r="Z405">
        <f>IF([2]Baskol!$I$408="","",[2]Baskol!$I$408)</f>
        <v/>
      </c>
      <c r="AA405">
        <f>IF([2]Baskol!$J$408="","",[2]Baskol!$J$408)</f>
        <v/>
      </c>
      <c r="AB405">
        <f>IF([2]Baskol!$K$408="","",[2]Baskol!$K$408)</f>
        <v/>
      </c>
      <c r="AC405">
        <f>IF([2]Baskol!$L$408="","",[2]Baskol!$L$408)</f>
        <v/>
      </c>
      <c r="AD405">
        <f>IF([2]Baskol!$N$408="","",[2]Baskol!$N$408)</f>
        <v/>
      </c>
      <c r="AE405">
        <f>IF([2]Baskol!$O$408="","",[2]Baskol!$O$408)</f>
        <v/>
      </c>
      <c r="AG405">
        <f>IF([3]Entry!$C$408="","",[3]Entry!$C$408)</f>
        <v/>
      </c>
      <c r="AH405">
        <f>IF([3]Entry!$D$408="","",[3]Entry!$D$408)</f>
        <v/>
      </c>
      <c r="AI405">
        <f>IF([3]Entry!$E$408="","",[3]Entry!$E$408)</f>
        <v/>
      </c>
      <c r="AJ405">
        <f>IF([3]Entry!$G$408="","",[3]Entry!$G$408)</f>
        <v/>
      </c>
      <c r="AK405">
        <f>IF([3]Entry!$K$408="","",[3]Entry!$K$408)</f>
        <v/>
      </c>
      <c r="AL405">
        <f>IF([3]Entry!$L$408="","",[3]Entry!$L$408)</f>
        <v/>
      </c>
      <c r="AM405">
        <f>IF([3]Entry!$M$408="","",[3]Entry!$M$408)</f>
        <v/>
      </c>
      <c r="AN405">
        <f>IF([3]Entry!$N$408="","",[3]Entry!$N$408)</f>
        <v/>
      </c>
      <c r="AO405">
        <f>IF([3]Entry!$R$408="","",[3]Entry!$R$408)</f>
        <v/>
      </c>
      <c r="AQ405">
        <f>IF(AND($D405&lt;&gt;"",$A405&lt;&gt;""),1,0)</f>
        <v/>
      </c>
      <c r="AR405">
        <f>SUM($AQ$6:$AQ405)</f>
        <v/>
      </c>
      <c r="AS405">
        <f>IFERROR(INDEX($A$6:$A$565,MATCH(ROW()-5,$AR$6:$AR$565,0)),"")</f>
        <v/>
      </c>
    </row>
    <row r="406">
      <c r="A406">
        <f>IF([1]Accounts!$D$407="","",[1]Accounts!$A$407)</f>
        <v/>
      </c>
      <c r="B406">
        <f>IF([1]Accounts!$D$407="","",[1]Accounts!$B$407)</f>
        <v/>
      </c>
      <c r="C406">
        <f>IF([1]Accounts!$D$407="","",[1]Accounts!$C$407)</f>
        <v/>
      </c>
      <c r="D406">
        <f>IF([1]Accounts!$D$407="","",[1]Accounts!$D$407)</f>
        <v/>
      </c>
      <c r="E406">
        <f>IF([1]Accounts!$D$407="","",[1]Accounts!$J$407)</f>
        <v/>
      </c>
      <c r="F406">
        <f>IF([1]Accounts!$D$407="","",[1]Accounts!$K$407)</f>
        <v/>
      </c>
      <c r="U406">
        <f>IF([2]Baskol!$B$409="","",[2]Baskol!$B$409)</f>
        <v/>
      </c>
      <c r="V406">
        <f>IF([2]Baskol!$C$409="","",[2]Baskol!$C$409)</f>
        <v/>
      </c>
      <c r="W406">
        <f>IF([2]Baskol!$D$409="","",[2]Baskol!$D$409)</f>
        <v/>
      </c>
      <c r="X406">
        <f>IF([2]Baskol!$E$409="","",[2]Baskol!$E$409)</f>
        <v/>
      </c>
      <c r="Y406">
        <f>IF([2]Baskol!$G$409="","",[2]Baskol!$G$409)</f>
        <v/>
      </c>
      <c r="Z406">
        <f>IF([2]Baskol!$I$409="","",[2]Baskol!$I$409)</f>
        <v/>
      </c>
      <c r="AA406">
        <f>IF([2]Baskol!$J$409="","",[2]Baskol!$J$409)</f>
        <v/>
      </c>
      <c r="AB406">
        <f>IF([2]Baskol!$K$409="","",[2]Baskol!$K$409)</f>
        <v/>
      </c>
      <c r="AC406">
        <f>IF([2]Baskol!$L$409="","",[2]Baskol!$L$409)</f>
        <v/>
      </c>
      <c r="AD406">
        <f>IF([2]Baskol!$N$409="","",[2]Baskol!$N$409)</f>
        <v/>
      </c>
      <c r="AE406">
        <f>IF([2]Baskol!$O$409="","",[2]Baskol!$O$409)</f>
        <v/>
      </c>
      <c r="AG406">
        <f>IF([3]Entry!$C$409="","",[3]Entry!$C$409)</f>
        <v/>
      </c>
      <c r="AH406">
        <f>IF([3]Entry!$D$409="","",[3]Entry!$D$409)</f>
        <v/>
      </c>
      <c r="AI406">
        <f>IF([3]Entry!$E$409="","",[3]Entry!$E$409)</f>
        <v/>
      </c>
      <c r="AJ406">
        <f>IF([3]Entry!$G$409="","",[3]Entry!$G$409)</f>
        <v/>
      </c>
      <c r="AK406">
        <f>IF([3]Entry!$K$409="","",[3]Entry!$K$409)</f>
        <v/>
      </c>
      <c r="AL406">
        <f>IF([3]Entry!$L$409="","",[3]Entry!$L$409)</f>
        <v/>
      </c>
      <c r="AM406">
        <f>IF([3]Entry!$M$409="","",[3]Entry!$M$409)</f>
        <v/>
      </c>
      <c r="AN406">
        <f>IF([3]Entry!$N$409="","",[3]Entry!$N$409)</f>
        <v/>
      </c>
      <c r="AO406">
        <f>IF([3]Entry!$R$409="","",[3]Entry!$R$409)</f>
        <v/>
      </c>
      <c r="AQ406">
        <f>IF(AND($D406&lt;&gt;"",$A406&lt;&gt;""),1,0)</f>
        <v/>
      </c>
      <c r="AR406">
        <f>SUM($AQ$6:$AQ406)</f>
        <v/>
      </c>
      <c r="AS406">
        <f>IFERROR(INDEX($A$6:$A$565,MATCH(ROW()-5,$AR$6:$AR$565,0)),"")</f>
        <v/>
      </c>
    </row>
    <row r="407">
      <c r="A407">
        <f>IF([1]Accounts!$D$408="","",[1]Accounts!$A$408)</f>
        <v/>
      </c>
      <c r="B407">
        <f>IF([1]Accounts!$D$408="","",[1]Accounts!$B$408)</f>
        <v/>
      </c>
      <c r="C407">
        <f>IF([1]Accounts!$D$408="","",[1]Accounts!$C$408)</f>
        <v/>
      </c>
      <c r="D407">
        <f>IF([1]Accounts!$D$408="","",[1]Accounts!$D$408)</f>
        <v/>
      </c>
      <c r="E407">
        <f>IF([1]Accounts!$D$408="","",[1]Accounts!$J$408)</f>
        <v/>
      </c>
      <c r="F407">
        <f>IF([1]Accounts!$D$408="","",[1]Accounts!$K$408)</f>
        <v/>
      </c>
      <c r="U407">
        <f>IF([2]Baskol!$B$410="","",[2]Baskol!$B$410)</f>
        <v/>
      </c>
      <c r="V407">
        <f>IF([2]Baskol!$C$410="","",[2]Baskol!$C$410)</f>
        <v/>
      </c>
      <c r="W407">
        <f>IF([2]Baskol!$D$410="","",[2]Baskol!$D$410)</f>
        <v/>
      </c>
      <c r="X407">
        <f>IF([2]Baskol!$E$410="","",[2]Baskol!$E$410)</f>
        <v/>
      </c>
      <c r="Y407">
        <f>IF([2]Baskol!$G$410="","",[2]Baskol!$G$410)</f>
        <v/>
      </c>
      <c r="Z407">
        <f>IF([2]Baskol!$I$410="","",[2]Baskol!$I$410)</f>
        <v/>
      </c>
      <c r="AA407">
        <f>IF([2]Baskol!$J$410="","",[2]Baskol!$J$410)</f>
        <v/>
      </c>
      <c r="AB407">
        <f>IF([2]Baskol!$K$410="","",[2]Baskol!$K$410)</f>
        <v/>
      </c>
      <c r="AC407">
        <f>IF([2]Baskol!$L$410="","",[2]Baskol!$L$410)</f>
        <v/>
      </c>
      <c r="AD407">
        <f>IF([2]Baskol!$N$410="","",[2]Baskol!$N$410)</f>
        <v/>
      </c>
      <c r="AE407">
        <f>IF([2]Baskol!$O$410="","",[2]Baskol!$O$410)</f>
        <v/>
      </c>
      <c r="AG407">
        <f>IF([3]Entry!$C$410="","",[3]Entry!$C$410)</f>
        <v/>
      </c>
      <c r="AH407">
        <f>IF([3]Entry!$D$410="","",[3]Entry!$D$410)</f>
        <v/>
      </c>
      <c r="AI407">
        <f>IF([3]Entry!$E$410="","",[3]Entry!$E$410)</f>
        <v/>
      </c>
      <c r="AJ407">
        <f>IF([3]Entry!$G$410="","",[3]Entry!$G$410)</f>
        <v/>
      </c>
      <c r="AK407">
        <f>IF([3]Entry!$K$410="","",[3]Entry!$K$410)</f>
        <v/>
      </c>
      <c r="AL407">
        <f>IF([3]Entry!$L$410="","",[3]Entry!$L$410)</f>
        <v/>
      </c>
      <c r="AM407">
        <f>IF([3]Entry!$M$410="","",[3]Entry!$M$410)</f>
        <v/>
      </c>
      <c r="AN407">
        <f>IF([3]Entry!$N$410="","",[3]Entry!$N$410)</f>
        <v/>
      </c>
      <c r="AO407">
        <f>IF([3]Entry!$R$410="","",[3]Entry!$R$410)</f>
        <v/>
      </c>
      <c r="AQ407">
        <f>IF(AND($D407&lt;&gt;"",$A407&lt;&gt;""),1,0)</f>
        <v/>
      </c>
      <c r="AR407">
        <f>SUM($AQ$6:$AQ407)</f>
        <v/>
      </c>
      <c r="AS407">
        <f>IFERROR(INDEX($A$6:$A$565,MATCH(ROW()-5,$AR$6:$AR$565,0)),"")</f>
        <v/>
      </c>
    </row>
    <row r="408">
      <c r="A408">
        <f>IF([1]Accounts!$D$409="","",[1]Accounts!$A$409)</f>
        <v/>
      </c>
      <c r="B408">
        <f>IF([1]Accounts!$D$409="","",[1]Accounts!$B$409)</f>
        <v/>
      </c>
      <c r="C408">
        <f>IF([1]Accounts!$D$409="","",[1]Accounts!$C$409)</f>
        <v/>
      </c>
      <c r="D408">
        <f>IF([1]Accounts!$D$409="","",[1]Accounts!$D$409)</f>
        <v/>
      </c>
      <c r="E408">
        <f>IF([1]Accounts!$D$409="","",[1]Accounts!$J$409)</f>
        <v/>
      </c>
      <c r="F408">
        <f>IF([1]Accounts!$D$409="","",[1]Accounts!$K$409)</f>
        <v/>
      </c>
      <c r="U408">
        <f>IF([2]Baskol!$B$411="","",[2]Baskol!$B$411)</f>
        <v/>
      </c>
      <c r="V408">
        <f>IF([2]Baskol!$C$411="","",[2]Baskol!$C$411)</f>
        <v/>
      </c>
      <c r="W408">
        <f>IF([2]Baskol!$D$411="","",[2]Baskol!$D$411)</f>
        <v/>
      </c>
      <c r="X408">
        <f>IF([2]Baskol!$E$411="","",[2]Baskol!$E$411)</f>
        <v/>
      </c>
      <c r="Y408">
        <f>IF([2]Baskol!$G$411="","",[2]Baskol!$G$411)</f>
        <v/>
      </c>
      <c r="Z408">
        <f>IF([2]Baskol!$I$411="","",[2]Baskol!$I$411)</f>
        <v/>
      </c>
      <c r="AA408">
        <f>IF([2]Baskol!$J$411="","",[2]Baskol!$J$411)</f>
        <v/>
      </c>
      <c r="AB408">
        <f>IF([2]Baskol!$K$411="","",[2]Baskol!$K$411)</f>
        <v/>
      </c>
      <c r="AC408">
        <f>IF([2]Baskol!$L$411="","",[2]Baskol!$L$411)</f>
        <v/>
      </c>
      <c r="AD408">
        <f>IF([2]Baskol!$N$411="","",[2]Baskol!$N$411)</f>
        <v/>
      </c>
      <c r="AE408">
        <f>IF([2]Baskol!$O$411="","",[2]Baskol!$O$411)</f>
        <v/>
      </c>
      <c r="AG408">
        <f>IF([3]Entry!$C$411="","",[3]Entry!$C$411)</f>
        <v/>
      </c>
      <c r="AH408">
        <f>IF([3]Entry!$D$411="","",[3]Entry!$D$411)</f>
        <v/>
      </c>
      <c r="AI408">
        <f>IF([3]Entry!$E$411="","",[3]Entry!$E$411)</f>
        <v/>
      </c>
      <c r="AJ408">
        <f>IF([3]Entry!$G$411="","",[3]Entry!$G$411)</f>
        <v/>
      </c>
      <c r="AK408">
        <f>IF([3]Entry!$K$411="","",[3]Entry!$K$411)</f>
        <v/>
      </c>
      <c r="AL408">
        <f>IF([3]Entry!$L$411="","",[3]Entry!$L$411)</f>
        <v/>
      </c>
      <c r="AM408">
        <f>IF([3]Entry!$M$411="","",[3]Entry!$M$411)</f>
        <v/>
      </c>
      <c r="AN408">
        <f>IF([3]Entry!$N$411="","",[3]Entry!$N$411)</f>
        <v/>
      </c>
      <c r="AO408">
        <f>IF([3]Entry!$R$411="","",[3]Entry!$R$411)</f>
        <v/>
      </c>
      <c r="AQ408">
        <f>IF(AND($D408&lt;&gt;"",$A408&lt;&gt;""),1,0)</f>
        <v/>
      </c>
      <c r="AR408">
        <f>SUM($AQ$6:$AQ408)</f>
        <v/>
      </c>
      <c r="AS408">
        <f>IFERROR(INDEX($A$6:$A$565,MATCH(ROW()-5,$AR$6:$AR$565,0)),"")</f>
        <v/>
      </c>
    </row>
    <row r="409">
      <c r="A409">
        <f>IF([1]Accounts!$D$410="","",[1]Accounts!$A$410)</f>
        <v/>
      </c>
      <c r="B409">
        <f>IF([1]Accounts!$D$410="","",[1]Accounts!$B$410)</f>
        <v/>
      </c>
      <c r="C409">
        <f>IF([1]Accounts!$D$410="","",[1]Accounts!$C$410)</f>
        <v/>
      </c>
      <c r="D409">
        <f>IF([1]Accounts!$D$410="","",[1]Accounts!$D$410)</f>
        <v/>
      </c>
      <c r="E409">
        <f>IF([1]Accounts!$D$410="","",[1]Accounts!$J$410)</f>
        <v/>
      </c>
      <c r="F409">
        <f>IF([1]Accounts!$D$410="","",[1]Accounts!$K$410)</f>
        <v/>
      </c>
      <c r="U409">
        <f>IF([2]Baskol!$B$412="","",[2]Baskol!$B$412)</f>
        <v/>
      </c>
      <c r="V409">
        <f>IF([2]Baskol!$C$412="","",[2]Baskol!$C$412)</f>
        <v/>
      </c>
      <c r="W409">
        <f>IF([2]Baskol!$D$412="","",[2]Baskol!$D$412)</f>
        <v/>
      </c>
      <c r="X409">
        <f>IF([2]Baskol!$E$412="","",[2]Baskol!$E$412)</f>
        <v/>
      </c>
      <c r="Y409">
        <f>IF([2]Baskol!$G$412="","",[2]Baskol!$G$412)</f>
        <v/>
      </c>
      <c r="Z409">
        <f>IF([2]Baskol!$I$412="","",[2]Baskol!$I$412)</f>
        <v/>
      </c>
      <c r="AA409">
        <f>IF([2]Baskol!$J$412="","",[2]Baskol!$J$412)</f>
        <v/>
      </c>
      <c r="AB409">
        <f>IF([2]Baskol!$K$412="","",[2]Baskol!$K$412)</f>
        <v/>
      </c>
      <c r="AC409">
        <f>IF([2]Baskol!$L$412="","",[2]Baskol!$L$412)</f>
        <v/>
      </c>
      <c r="AD409">
        <f>IF([2]Baskol!$N$412="","",[2]Baskol!$N$412)</f>
        <v/>
      </c>
      <c r="AE409">
        <f>IF([2]Baskol!$O$412="","",[2]Baskol!$O$412)</f>
        <v/>
      </c>
      <c r="AG409">
        <f>IF([3]Entry!$C$412="","",[3]Entry!$C$412)</f>
        <v/>
      </c>
      <c r="AH409">
        <f>IF([3]Entry!$D$412="","",[3]Entry!$D$412)</f>
        <v/>
      </c>
      <c r="AI409">
        <f>IF([3]Entry!$E$412="","",[3]Entry!$E$412)</f>
        <v/>
      </c>
      <c r="AJ409">
        <f>IF([3]Entry!$G$412="","",[3]Entry!$G$412)</f>
        <v/>
      </c>
      <c r="AK409">
        <f>IF([3]Entry!$K$412="","",[3]Entry!$K$412)</f>
        <v/>
      </c>
      <c r="AL409">
        <f>IF([3]Entry!$L$412="","",[3]Entry!$L$412)</f>
        <v/>
      </c>
      <c r="AM409">
        <f>IF([3]Entry!$M$412="","",[3]Entry!$M$412)</f>
        <v/>
      </c>
      <c r="AN409">
        <f>IF([3]Entry!$N$412="","",[3]Entry!$N$412)</f>
        <v/>
      </c>
      <c r="AO409">
        <f>IF([3]Entry!$R$412="","",[3]Entry!$R$412)</f>
        <v/>
      </c>
      <c r="AQ409">
        <f>IF(AND($D409&lt;&gt;"",$A409&lt;&gt;""),1,0)</f>
        <v/>
      </c>
      <c r="AR409">
        <f>SUM($AQ$6:$AQ409)</f>
        <v/>
      </c>
      <c r="AS409">
        <f>IFERROR(INDEX($A$6:$A$565,MATCH(ROW()-5,$AR$6:$AR$565,0)),"")</f>
        <v/>
      </c>
    </row>
    <row r="410">
      <c r="A410">
        <f>IF([1]Accounts!$D$411="","",[1]Accounts!$A$411)</f>
        <v/>
      </c>
      <c r="B410">
        <f>IF([1]Accounts!$D$411="","",[1]Accounts!$B$411)</f>
        <v/>
      </c>
      <c r="C410">
        <f>IF([1]Accounts!$D$411="","",[1]Accounts!$C$411)</f>
        <v/>
      </c>
      <c r="D410">
        <f>IF([1]Accounts!$D$411="","",[1]Accounts!$D$411)</f>
        <v/>
      </c>
      <c r="E410">
        <f>IF([1]Accounts!$D$411="","",[1]Accounts!$J$411)</f>
        <v/>
      </c>
      <c r="F410">
        <f>IF([1]Accounts!$D$411="","",[1]Accounts!$K$411)</f>
        <v/>
      </c>
      <c r="U410">
        <f>IF([2]Baskol!$B$413="","",[2]Baskol!$B$413)</f>
        <v/>
      </c>
      <c r="V410">
        <f>IF([2]Baskol!$C$413="","",[2]Baskol!$C$413)</f>
        <v/>
      </c>
      <c r="W410">
        <f>IF([2]Baskol!$D$413="","",[2]Baskol!$D$413)</f>
        <v/>
      </c>
      <c r="X410">
        <f>IF([2]Baskol!$E$413="","",[2]Baskol!$E$413)</f>
        <v/>
      </c>
      <c r="Y410">
        <f>IF([2]Baskol!$G$413="","",[2]Baskol!$G$413)</f>
        <v/>
      </c>
      <c r="Z410">
        <f>IF([2]Baskol!$I$413="","",[2]Baskol!$I$413)</f>
        <v/>
      </c>
      <c r="AA410">
        <f>IF([2]Baskol!$J$413="","",[2]Baskol!$J$413)</f>
        <v/>
      </c>
      <c r="AB410">
        <f>IF([2]Baskol!$K$413="","",[2]Baskol!$K$413)</f>
        <v/>
      </c>
      <c r="AC410">
        <f>IF([2]Baskol!$L$413="","",[2]Baskol!$L$413)</f>
        <v/>
      </c>
      <c r="AD410">
        <f>IF([2]Baskol!$N$413="","",[2]Baskol!$N$413)</f>
        <v/>
      </c>
      <c r="AE410">
        <f>IF([2]Baskol!$O$413="","",[2]Baskol!$O$413)</f>
        <v/>
      </c>
      <c r="AG410">
        <f>IF([3]Entry!$C$413="","",[3]Entry!$C$413)</f>
        <v/>
      </c>
      <c r="AH410">
        <f>IF([3]Entry!$D$413="","",[3]Entry!$D$413)</f>
        <v/>
      </c>
      <c r="AI410">
        <f>IF([3]Entry!$E$413="","",[3]Entry!$E$413)</f>
        <v/>
      </c>
      <c r="AJ410">
        <f>IF([3]Entry!$G$413="","",[3]Entry!$G$413)</f>
        <v/>
      </c>
      <c r="AK410">
        <f>IF([3]Entry!$K$413="","",[3]Entry!$K$413)</f>
        <v/>
      </c>
      <c r="AL410">
        <f>IF([3]Entry!$L$413="","",[3]Entry!$L$413)</f>
        <v/>
      </c>
      <c r="AM410">
        <f>IF([3]Entry!$M$413="","",[3]Entry!$M$413)</f>
        <v/>
      </c>
      <c r="AN410">
        <f>IF([3]Entry!$N$413="","",[3]Entry!$N$413)</f>
        <v/>
      </c>
      <c r="AO410">
        <f>IF([3]Entry!$R$413="","",[3]Entry!$R$413)</f>
        <v/>
      </c>
      <c r="AQ410">
        <f>IF(AND($D410&lt;&gt;"",$A410&lt;&gt;""),1,0)</f>
        <v/>
      </c>
      <c r="AR410">
        <f>SUM($AQ$6:$AQ410)</f>
        <v/>
      </c>
      <c r="AS410">
        <f>IFERROR(INDEX($A$6:$A$565,MATCH(ROW()-5,$AR$6:$AR$565,0)),"")</f>
        <v/>
      </c>
    </row>
    <row r="411">
      <c r="A411">
        <f>IF([1]Accounts!$D$412="","",[1]Accounts!$A$412)</f>
        <v/>
      </c>
      <c r="B411">
        <f>IF([1]Accounts!$D$412="","",[1]Accounts!$B$412)</f>
        <v/>
      </c>
      <c r="C411">
        <f>IF([1]Accounts!$D$412="","",[1]Accounts!$C$412)</f>
        <v/>
      </c>
      <c r="D411">
        <f>IF([1]Accounts!$D$412="","",[1]Accounts!$D$412)</f>
        <v/>
      </c>
      <c r="E411">
        <f>IF([1]Accounts!$D$412="","",[1]Accounts!$J$412)</f>
        <v/>
      </c>
      <c r="F411">
        <f>IF([1]Accounts!$D$412="","",[1]Accounts!$K$412)</f>
        <v/>
      </c>
      <c r="U411">
        <f>IF([2]Baskol!$B$414="","",[2]Baskol!$B$414)</f>
        <v/>
      </c>
      <c r="V411">
        <f>IF([2]Baskol!$C$414="","",[2]Baskol!$C$414)</f>
        <v/>
      </c>
      <c r="W411">
        <f>IF([2]Baskol!$D$414="","",[2]Baskol!$D$414)</f>
        <v/>
      </c>
      <c r="X411">
        <f>IF([2]Baskol!$E$414="","",[2]Baskol!$E$414)</f>
        <v/>
      </c>
      <c r="Y411">
        <f>IF([2]Baskol!$G$414="","",[2]Baskol!$G$414)</f>
        <v/>
      </c>
      <c r="Z411">
        <f>IF([2]Baskol!$I$414="","",[2]Baskol!$I$414)</f>
        <v/>
      </c>
      <c r="AA411">
        <f>IF([2]Baskol!$J$414="","",[2]Baskol!$J$414)</f>
        <v/>
      </c>
      <c r="AB411">
        <f>IF([2]Baskol!$K$414="","",[2]Baskol!$K$414)</f>
        <v/>
      </c>
      <c r="AC411">
        <f>IF([2]Baskol!$L$414="","",[2]Baskol!$L$414)</f>
        <v/>
      </c>
      <c r="AD411">
        <f>IF([2]Baskol!$N$414="","",[2]Baskol!$N$414)</f>
        <v/>
      </c>
      <c r="AE411">
        <f>IF([2]Baskol!$O$414="","",[2]Baskol!$O$414)</f>
        <v/>
      </c>
      <c r="AG411">
        <f>IF([3]Entry!$C$414="","",[3]Entry!$C$414)</f>
        <v/>
      </c>
      <c r="AH411">
        <f>IF([3]Entry!$D$414="","",[3]Entry!$D$414)</f>
        <v/>
      </c>
      <c r="AI411">
        <f>IF([3]Entry!$E$414="","",[3]Entry!$E$414)</f>
        <v/>
      </c>
      <c r="AJ411">
        <f>IF([3]Entry!$G$414="","",[3]Entry!$G$414)</f>
        <v/>
      </c>
      <c r="AK411">
        <f>IF([3]Entry!$K$414="","",[3]Entry!$K$414)</f>
        <v/>
      </c>
      <c r="AL411">
        <f>IF([3]Entry!$L$414="","",[3]Entry!$L$414)</f>
        <v/>
      </c>
      <c r="AM411">
        <f>IF([3]Entry!$M$414="","",[3]Entry!$M$414)</f>
        <v/>
      </c>
      <c r="AN411">
        <f>IF([3]Entry!$N$414="","",[3]Entry!$N$414)</f>
        <v/>
      </c>
      <c r="AO411">
        <f>IF([3]Entry!$R$414="","",[3]Entry!$R$414)</f>
        <v/>
      </c>
      <c r="AQ411">
        <f>IF(AND($D411&lt;&gt;"",$A411&lt;&gt;""),1,0)</f>
        <v/>
      </c>
      <c r="AR411">
        <f>SUM($AQ$6:$AQ411)</f>
        <v/>
      </c>
      <c r="AS411">
        <f>IFERROR(INDEX($A$6:$A$565,MATCH(ROW()-5,$AR$6:$AR$565,0)),"")</f>
        <v/>
      </c>
    </row>
    <row r="412">
      <c r="A412">
        <f>IF([1]Accounts!$D$413="","",[1]Accounts!$A$413)</f>
        <v/>
      </c>
      <c r="B412">
        <f>IF([1]Accounts!$D$413="","",[1]Accounts!$B$413)</f>
        <v/>
      </c>
      <c r="C412">
        <f>IF([1]Accounts!$D$413="","",[1]Accounts!$C$413)</f>
        <v/>
      </c>
      <c r="D412">
        <f>IF([1]Accounts!$D$413="","",[1]Accounts!$D$413)</f>
        <v/>
      </c>
      <c r="E412">
        <f>IF([1]Accounts!$D$413="","",[1]Accounts!$J$413)</f>
        <v/>
      </c>
      <c r="F412">
        <f>IF([1]Accounts!$D$413="","",[1]Accounts!$K$413)</f>
        <v/>
      </c>
      <c r="U412">
        <f>IF([2]Baskol!$B$415="","",[2]Baskol!$B$415)</f>
        <v/>
      </c>
      <c r="V412">
        <f>IF([2]Baskol!$C$415="","",[2]Baskol!$C$415)</f>
        <v/>
      </c>
      <c r="W412">
        <f>IF([2]Baskol!$D$415="","",[2]Baskol!$D$415)</f>
        <v/>
      </c>
      <c r="X412">
        <f>IF([2]Baskol!$E$415="","",[2]Baskol!$E$415)</f>
        <v/>
      </c>
      <c r="Y412">
        <f>IF([2]Baskol!$G$415="","",[2]Baskol!$G$415)</f>
        <v/>
      </c>
      <c r="Z412">
        <f>IF([2]Baskol!$I$415="","",[2]Baskol!$I$415)</f>
        <v/>
      </c>
      <c r="AA412">
        <f>IF([2]Baskol!$J$415="","",[2]Baskol!$J$415)</f>
        <v/>
      </c>
      <c r="AB412">
        <f>IF([2]Baskol!$K$415="","",[2]Baskol!$K$415)</f>
        <v/>
      </c>
      <c r="AC412">
        <f>IF([2]Baskol!$L$415="","",[2]Baskol!$L$415)</f>
        <v/>
      </c>
      <c r="AD412">
        <f>IF([2]Baskol!$N$415="","",[2]Baskol!$N$415)</f>
        <v/>
      </c>
      <c r="AE412">
        <f>IF([2]Baskol!$O$415="","",[2]Baskol!$O$415)</f>
        <v/>
      </c>
      <c r="AG412">
        <f>IF([3]Entry!$C$415="","",[3]Entry!$C$415)</f>
        <v/>
      </c>
      <c r="AH412">
        <f>IF([3]Entry!$D$415="","",[3]Entry!$D$415)</f>
        <v/>
      </c>
      <c r="AI412">
        <f>IF([3]Entry!$E$415="","",[3]Entry!$E$415)</f>
        <v/>
      </c>
      <c r="AJ412">
        <f>IF([3]Entry!$G$415="","",[3]Entry!$G$415)</f>
        <v/>
      </c>
      <c r="AK412">
        <f>IF([3]Entry!$K$415="","",[3]Entry!$K$415)</f>
        <v/>
      </c>
      <c r="AL412">
        <f>IF([3]Entry!$L$415="","",[3]Entry!$L$415)</f>
        <v/>
      </c>
      <c r="AM412">
        <f>IF([3]Entry!$M$415="","",[3]Entry!$M$415)</f>
        <v/>
      </c>
      <c r="AN412">
        <f>IF([3]Entry!$N$415="","",[3]Entry!$N$415)</f>
        <v/>
      </c>
      <c r="AO412">
        <f>IF([3]Entry!$R$415="","",[3]Entry!$R$415)</f>
        <v/>
      </c>
      <c r="AQ412">
        <f>IF(AND($D412&lt;&gt;"",$A412&lt;&gt;""),1,0)</f>
        <v/>
      </c>
      <c r="AR412">
        <f>SUM($AQ$6:$AQ412)</f>
        <v/>
      </c>
      <c r="AS412">
        <f>IFERROR(INDEX($A$6:$A$565,MATCH(ROW()-5,$AR$6:$AR$565,0)),"")</f>
        <v/>
      </c>
    </row>
    <row r="413">
      <c r="A413">
        <f>IF([1]Accounts!$D$414="","",[1]Accounts!$A$414)</f>
        <v/>
      </c>
      <c r="B413">
        <f>IF([1]Accounts!$D$414="","",[1]Accounts!$B$414)</f>
        <v/>
      </c>
      <c r="C413">
        <f>IF([1]Accounts!$D$414="","",[1]Accounts!$C$414)</f>
        <v/>
      </c>
      <c r="D413">
        <f>IF([1]Accounts!$D$414="","",[1]Accounts!$D$414)</f>
        <v/>
      </c>
      <c r="E413">
        <f>IF([1]Accounts!$D$414="","",[1]Accounts!$J$414)</f>
        <v/>
      </c>
      <c r="F413">
        <f>IF([1]Accounts!$D$414="","",[1]Accounts!$K$414)</f>
        <v/>
      </c>
      <c r="U413">
        <f>IF([2]Baskol!$B$416="","",[2]Baskol!$B$416)</f>
        <v/>
      </c>
      <c r="V413">
        <f>IF([2]Baskol!$C$416="","",[2]Baskol!$C$416)</f>
        <v/>
      </c>
      <c r="W413">
        <f>IF([2]Baskol!$D$416="","",[2]Baskol!$D$416)</f>
        <v/>
      </c>
      <c r="X413">
        <f>IF([2]Baskol!$E$416="","",[2]Baskol!$E$416)</f>
        <v/>
      </c>
      <c r="Y413">
        <f>IF([2]Baskol!$G$416="","",[2]Baskol!$G$416)</f>
        <v/>
      </c>
      <c r="Z413">
        <f>IF([2]Baskol!$I$416="","",[2]Baskol!$I$416)</f>
        <v/>
      </c>
      <c r="AA413">
        <f>IF([2]Baskol!$J$416="","",[2]Baskol!$J$416)</f>
        <v/>
      </c>
      <c r="AB413">
        <f>IF([2]Baskol!$K$416="","",[2]Baskol!$K$416)</f>
        <v/>
      </c>
      <c r="AC413">
        <f>IF([2]Baskol!$L$416="","",[2]Baskol!$L$416)</f>
        <v/>
      </c>
      <c r="AD413">
        <f>IF([2]Baskol!$N$416="","",[2]Baskol!$N$416)</f>
        <v/>
      </c>
      <c r="AE413">
        <f>IF([2]Baskol!$O$416="","",[2]Baskol!$O$416)</f>
        <v/>
      </c>
      <c r="AG413">
        <f>IF([3]Entry!$C$416="","",[3]Entry!$C$416)</f>
        <v/>
      </c>
      <c r="AH413">
        <f>IF([3]Entry!$D$416="","",[3]Entry!$D$416)</f>
        <v/>
      </c>
      <c r="AI413">
        <f>IF([3]Entry!$E$416="","",[3]Entry!$E$416)</f>
        <v/>
      </c>
      <c r="AJ413">
        <f>IF([3]Entry!$G$416="","",[3]Entry!$G$416)</f>
        <v/>
      </c>
      <c r="AK413">
        <f>IF([3]Entry!$K$416="","",[3]Entry!$K$416)</f>
        <v/>
      </c>
      <c r="AL413">
        <f>IF([3]Entry!$L$416="","",[3]Entry!$L$416)</f>
        <v/>
      </c>
      <c r="AM413">
        <f>IF([3]Entry!$M$416="","",[3]Entry!$M$416)</f>
        <v/>
      </c>
      <c r="AN413">
        <f>IF([3]Entry!$N$416="","",[3]Entry!$N$416)</f>
        <v/>
      </c>
      <c r="AO413">
        <f>IF([3]Entry!$R$416="","",[3]Entry!$R$416)</f>
        <v/>
      </c>
      <c r="AQ413">
        <f>IF(AND($D413&lt;&gt;"",$A413&lt;&gt;""),1,0)</f>
        <v/>
      </c>
      <c r="AR413">
        <f>SUM($AQ$6:$AQ413)</f>
        <v/>
      </c>
      <c r="AS413">
        <f>IFERROR(INDEX($A$6:$A$565,MATCH(ROW()-5,$AR$6:$AR$565,0)),"")</f>
        <v/>
      </c>
    </row>
    <row r="414">
      <c r="A414">
        <f>IF([1]Accounts!$D$415="","",[1]Accounts!$A$415)</f>
        <v/>
      </c>
      <c r="B414">
        <f>IF([1]Accounts!$D$415="","",[1]Accounts!$B$415)</f>
        <v/>
      </c>
      <c r="C414">
        <f>IF([1]Accounts!$D$415="","",[1]Accounts!$C$415)</f>
        <v/>
      </c>
      <c r="D414">
        <f>IF([1]Accounts!$D$415="","",[1]Accounts!$D$415)</f>
        <v/>
      </c>
      <c r="E414">
        <f>IF([1]Accounts!$D$415="","",[1]Accounts!$J$415)</f>
        <v/>
      </c>
      <c r="F414">
        <f>IF([1]Accounts!$D$415="","",[1]Accounts!$K$415)</f>
        <v/>
      </c>
      <c r="U414">
        <f>IF([2]Baskol!$B$417="","",[2]Baskol!$B$417)</f>
        <v/>
      </c>
      <c r="V414">
        <f>IF([2]Baskol!$C$417="","",[2]Baskol!$C$417)</f>
        <v/>
      </c>
      <c r="W414">
        <f>IF([2]Baskol!$D$417="","",[2]Baskol!$D$417)</f>
        <v/>
      </c>
      <c r="X414">
        <f>IF([2]Baskol!$E$417="","",[2]Baskol!$E$417)</f>
        <v/>
      </c>
      <c r="Y414">
        <f>IF([2]Baskol!$G$417="","",[2]Baskol!$G$417)</f>
        <v/>
      </c>
      <c r="Z414">
        <f>IF([2]Baskol!$I$417="","",[2]Baskol!$I$417)</f>
        <v/>
      </c>
      <c r="AA414">
        <f>IF([2]Baskol!$J$417="","",[2]Baskol!$J$417)</f>
        <v/>
      </c>
      <c r="AB414">
        <f>IF([2]Baskol!$K$417="","",[2]Baskol!$K$417)</f>
        <v/>
      </c>
      <c r="AC414">
        <f>IF([2]Baskol!$L$417="","",[2]Baskol!$L$417)</f>
        <v/>
      </c>
      <c r="AD414">
        <f>IF([2]Baskol!$N$417="","",[2]Baskol!$N$417)</f>
        <v/>
      </c>
      <c r="AE414">
        <f>IF([2]Baskol!$O$417="","",[2]Baskol!$O$417)</f>
        <v/>
      </c>
      <c r="AG414">
        <f>IF([3]Entry!$C$417="","",[3]Entry!$C$417)</f>
        <v/>
      </c>
      <c r="AH414">
        <f>IF([3]Entry!$D$417="","",[3]Entry!$D$417)</f>
        <v/>
      </c>
      <c r="AI414">
        <f>IF([3]Entry!$E$417="","",[3]Entry!$E$417)</f>
        <v/>
      </c>
      <c r="AJ414">
        <f>IF([3]Entry!$G$417="","",[3]Entry!$G$417)</f>
        <v/>
      </c>
      <c r="AK414">
        <f>IF([3]Entry!$K$417="","",[3]Entry!$K$417)</f>
        <v/>
      </c>
      <c r="AL414">
        <f>IF([3]Entry!$L$417="","",[3]Entry!$L$417)</f>
        <v/>
      </c>
      <c r="AM414">
        <f>IF([3]Entry!$M$417="","",[3]Entry!$M$417)</f>
        <v/>
      </c>
      <c r="AN414">
        <f>IF([3]Entry!$N$417="","",[3]Entry!$N$417)</f>
        <v/>
      </c>
      <c r="AO414">
        <f>IF([3]Entry!$R$417="","",[3]Entry!$R$417)</f>
        <v/>
      </c>
      <c r="AQ414">
        <f>IF(AND($D414&lt;&gt;"",$A414&lt;&gt;""),1,0)</f>
        <v/>
      </c>
      <c r="AR414">
        <f>SUM($AQ$6:$AQ414)</f>
        <v/>
      </c>
      <c r="AS414">
        <f>IFERROR(INDEX($A$6:$A$565,MATCH(ROW()-5,$AR$6:$AR$565,0)),"")</f>
        <v/>
      </c>
    </row>
    <row r="415">
      <c r="A415">
        <f>IF([1]Accounts!$D$416="","",[1]Accounts!$A$416)</f>
        <v/>
      </c>
      <c r="B415">
        <f>IF([1]Accounts!$D$416="","",[1]Accounts!$B$416)</f>
        <v/>
      </c>
      <c r="C415">
        <f>IF([1]Accounts!$D$416="","",[1]Accounts!$C$416)</f>
        <v/>
      </c>
      <c r="D415">
        <f>IF([1]Accounts!$D$416="","",[1]Accounts!$D$416)</f>
        <v/>
      </c>
      <c r="E415">
        <f>IF([1]Accounts!$D$416="","",[1]Accounts!$J$416)</f>
        <v/>
      </c>
      <c r="F415">
        <f>IF([1]Accounts!$D$416="","",[1]Accounts!$K$416)</f>
        <v/>
      </c>
      <c r="U415">
        <f>IF([2]Baskol!$B$418="","",[2]Baskol!$B$418)</f>
        <v/>
      </c>
      <c r="V415">
        <f>IF([2]Baskol!$C$418="","",[2]Baskol!$C$418)</f>
        <v/>
      </c>
      <c r="W415">
        <f>IF([2]Baskol!$D$418="","",[2]Baskol!$D$418)</f>
        <v/>
      </c>
      <c r="X415">
        <f>IF([2]Baskol!$E$418="","",[2]Baskol!$E$418)</f>
        <v/>
      </c>
      <c r="Y415">
        <f>IF([2]Baskol!$G$418="","",[2]Baskol!$G$418)</f>
        <v/>
      </c>
      <c r="Z415">
        <f>IF([2]Baskol!$I$418="","",[2]Baskol!$I$418)</f>
        <v/>
      </c>
      <c r="AA415">
        <f>IF([2]Baskol!$J$418="","",[2]Baskol!$J$418)</f>
        <v/>
      </c>
      <c r="AB415">
        <f>IF([2]Baskol!$K$418="","",[2]Baskol!$K$418)</f>
        <v/>
      </c>
      <c r="AC415">
        <f>IF([2]Baskol!$L$418="","",[2]Baskol!$L$418)</f>
        <v/>
      </c>
      <c r="AD415">
        <f>IF([2]Baskol!$N$418="","",[2]Baskol!$N$418)</f>
        <v/>
      </c>
      <c r="AE415">
        <f>IF([2]Baskol!$O$418="","",[2]Baskol!$O$418)</f>
        <v/>
      </c>
      <c r="AG415">
        <f>IF([3]Entry!$C$418="","",[3]Entry!$C$418)</f>
        <v/>
      </c>
      <c r="AH415">
        <f>IF([3]Entry!$D$418="","",[3]Entry!$D$418)</f>
        <v/>
      </c>
      <c r="AI415">
        <f>IF([3]Entry!$E$418="","",[3]Entry!$E$418)</f>
        <v/>
      </c>
      <c r="AJ415">
        <f>IF([3]Entry!$G$418="","",[3]Entry!$G$418)</f>
        <v/>
      </c>
      <c r="AK415">
        <f>IF([3]Entry!$K$418="","",[3]Entry!$K$418)</f>
        <v/>
      </c>
      <c r="AL415">
        <f>IF([3]Entry!$L$418="","",[3]Entry!$L$418)</f>
        <v/>
      </c>
      <c r="AM415">
        <f>IF([3]Entry!$M$418="","",[3]Entry!$M$418)</f>
        <v/>
      </c>
      <c r="AN415">
        <f>IF([3]Entry!$N$418="","",[3]Entry!$N$418)</f>
        <v/>
      </c>
      <c r="AO415">
        <f>IF([3]Entry!$R$418="","",[3]Entry!$R$418)</f>
        <v/>
      </c>
      <c r="AQ415">
        <f>IF(AND($D415&lt;&gt;"",$A415&lt;&gt;""),1,0)</f>
        <v/>
      </c>
      <c r="AR415">
        <f>SUM($AQ$6:$AQ415)</f>
        <v/>
      </c>
      <c r="AS415">
        <f>IFERROR(INDEX($A$6:$A$565,MATCH(ROW()-5,$AR$6:$AR$565,0)),"")</f>
        <v/>
      </c>
    </row>
    <row r="416">
      <c r="A416">
        <f>IF([1]Accounts!$D$417="","",[1]Accounts!$A$417)</f>
        <v/>
      </c>
      <c r="B416">
        <f>IF([1]Accounts!$D$417="","",[1]Accounts!$B$417)</f>
        <v/>
      </c>
      <c r="C416">
        <f>IF([1]Accounts!$D$417="","",[1]Accounts!$C$417)</f>
        <v/>
      </c>
      <c r="D416">
        <f>IF([1]Accounts!$D$417="","",[1]Accounts!$D$417)</f>
        <v/>
      </c>
      <c r="E416">
        <f>IF([1]Accounts!$D$417="","",[1]Accounts!$J$417)</f>
        <v/>
      </c>
      <c r="F416">
        <f>IF([1]Accounts!$D$417="","",[1]Accounts!$K$417)</f>
        <v/>
      </c>
      <c r="U416">
        <f>IF([2]Baskol!$B$419="","",[2]Baskol!$B$419)</f>
        <v/>
      </c>
      <c r="V416">
        <f>IF([2]Baskol!$C$419="","",[2]Baskol!$C$419)</f>
        <v/>
      </c>
      <c r="W416">
        <f>IF([2]Baskol!$D$419="","",[2]Baskol!$D$419)</f>
        <v/>
      </c>
      <c r="X416">
        <f>IF([2]Baskol!$E$419="","",[2]Baskol!$E$419)</f>
        <v/>
      </c>
      <c r="Y416">
        <f>IF([2]Baskol!$G$419="","",[2]Baskol!$G$419)</f>
        <v/>
      </c>
      <c r="Z416">
        <f>IF([2]Baskol!$I$419="","",[2]Baskol!$I$419)</f>
        <v/>
      </c>
      <c r="AA416">
        <f>IF([2]Baskol!$J$419="","",[2]Baskol!$J$419)</f>
        <v/>
      </c>
      <c r="AB416">
        <f>IF([2]Baskol!$K$419="","",[2]Baskol!$K$419)</f>
        <v/>
      </c>
      <c r="AC416">
        <f>IF([2]Baskol!$L$419="","",[2]Baskol!$L$419)</f>
        <v/>
      </c>
      <c r="AD416">
        <f>IF([2]Baskol!$N$419="","",[2]Baskol!$N$419)</f>
        <v/>
      </c>
      <c r="AE416">
        <f>IF([2]Baskol!$O$419="","",[2]Baskol!$O$419)</f>
        <v/>
      </c>
      <c r="AG416">
        <f>IF([3]Entry!$C$419="","",[3]Entry!$C$419)</f>
        <v/>
      </c>
      <c r="AH416">
        <f>IF([3]Entry!$D$419="","",[3]Entry!$D$419)</f>
        <v/>
      </c>
      <c r="AI416">
        <f>IF([3]Entry!$E$419="","",[3]Entry!$E$419)</f>
        <v/>
      </c>
      <c r="AJ416">
        <f>IF([3]Entry!$G$419="","",[3]Entry!$G$419)</f>
        <v/>
      </c>
      <c r="AK416">
        <f>IF([3]Entry!$K$419="","",[3]Entry!$K$419)</f>
        <v/>
      </c>
      <c r="AL416">
        <f>IF([3]Entry!$L$419="","",[3]Entry!$L$419)</f>
        <v/>
      </c>
      <c r="AM416">
        <f>IF([3]Entry!$M$419="","",[3]Entry!$M$419)</f>
        <v/>
      </c>
      <c r="AN416">
        <f>IF([3]Entry!$N$419="","",[3]Entry!$N$419)</f>
        <v/>
      </c>
      <c r="AO416">
        <f>IF([3]Entry!$R$419="","",[3]Entry!$R$419)</f>
        <v/>
      </c>
      <c r="AQ416">
        <f>IF(AND($D416&lt;&gt;"",$A416&lt;&gt;""),1,0)</f>
        <v/>
      </c>
      <c r="AR416">
        <f>SUM($AQ$6:$AQ416)</f>
        <v/>
      </c>
      <c r="AS416">
        <f>IFERROR(INDEX($A$6:$A$565,MATCH(ROW()-5,$AR$6:$AR$565,0)),"")</f>
        <v/>
      </c>
    </row>
    <row r="417">
      <c r="A417">
        <f>IF([1]Accounts!$D$418="","",[1]Accounts!$A$418)</f>
        <v/>
      </c>
      <c r="B417">
        <f>IF([1]Accounts!$D$418="","",[1]Accounts!$B$418)</f>
        <v/>
      </c>
      <c r="C417">
        <f>IF([1]Accounts!$D$418="","",[1]Accounts!$C$418)</f>
        <v/>
      </c>
      <c r="D417">
        <f>IF([1]Accounts!$D$418="","",[1]Accounts!$D$418)</f>
        <v/>
      </c>
      <c r="E417">
        <f>IF([1]Accounts!$D$418="","",[1]Accounts!$J$418)</f>
        <v/>
      </c>
      <c r="F417">
        <f>IF([1]Accounts!$D$418="","",[1]Accounts!$K$418)</f>
        <v/>
      </c>
      <c r="U417">
        <f>IF([2]Baskol!$B$420="","",[2]Baskol!$B$420)</f>
        <v/>
      </c>
      <c r="V417">
        <f>IF([2]Baskol!$C$420="","",[2]Baskol!$C$420)</f>
        <v/>
      </c>
      <c r="W417">
        <f>IF([2]Baskol!$D$420="","",[2]Baskol!$D$420)</f>
        <v/>
      </c>
      <c r="X417">
        <f>IF([2]Baskol!$E$420="","",[2]Baskol!$E$420)</f>
        <v/>
      </c>
      <c r="Y417">
        <f>IF([2]Baskol!$G$420="","",[2]Baskol!$G$420)</f>
        <v/>
      </c>
      <c r="Z417">
        <f>IF([2]Baskol!$I$420="","",[2]Baskol!$I$420)</f>
        <v/>
      </c>
      <c r="AA417">
        <f>IF([2]Baskol!$J$420="","",[2]Baskol!$J$420)</f>
        <v/>
      </c>
      <c r="AB417">
        <f>IF([2]Baskol!$K$420="","",[2]Baskol!$K$420)</f>
        <v/>
      </c>
      <c r="AC417">
        <f>IF([2]Baskol!$L$420="","",[2]Baskol!$L$420)</f>
        <v/>
      </c>
      <c r="AD417">
        <f>IF([2]Baskol!$N$420="","",[2]Baskol!$N$420)</f>
        <v/>
      </c>
      <c r="AE417">
        <f>IF([2]Baskol!$O$420="","",[2]Baskol!$O$420)</f>
        <v/>
      </c>
      <c r="AG417">
        <f>IF([3]Entry!$C$420="","",[3]Entry!$C$420)</f>
        <v/>
      </c>
      <c r="AH417">
        <f>IF([3]Entry!$D$420="","",[3]Entry!$D$420)</f>
        <v/>
      </c>
      <c r="AI417">
        <f>IF([3]Entry!$E$420="","",[3]Entry!$E$420)</f>
        <v/>
      </c>
      <c r="AJ417">
        <f>IF([3]Entry!$G$420="","",[3]Entry!$G$420)</f>
        <v/>
      </c>
      <c r="AK417">
        <f>IF([3]Entry!$K$420="","",[3]Entry!$K$420)</f>
        <v/>
      </c>
      <c r="AL417">
        <f>IF([3]Entry!$L$420="","",[3]Entry!$L$420)</f>
        <v/>
      </c>
      <c r="AM417">
        <f>IF([3]Entry!$M$420="","",[3]Entry!$M$420)</f>
        <v/>
      </c>
      <c r="AN417">
        <f>IF([3]Entry!$N$420="","",[3]Entry!$N$420)</f>
        <v/>
      </c>
      <c r="AO417">
        <f>IF([3]Entry!$R$420="","",[3]Entry!$R$420)</f>
        <v/>
      </c>
      <c r="AQ417">
        <f>IF(AND($D417&lt;&gt;"",$A417&lt;&gt;""),1,0)</f>
        <v/>
      </c>
      <c r="AR417">
        <f>SUM($AQ$6:$AQ417)</f>
        <v/>
      </c>
      <c r="AS417">
        <f>IFERROR(INDEX($A$6:$A$565,MATCH(ROW()-5,$AR$6:$AR$565,0)),"")</f>
        <v/>
      </c>
    </row>
    <row r="418">
      <c r="A418">
        <f>IF([1]Accounts!$D$419="","",[1]Accounts!$A$419)</f>
        <v/>
      </c>
      <c r="B418">
        <f>IF([1]Accounts!$D$419="","",[1]Accounts!$B$419)</f>
        <v/>
      </c>
      <c r="C418">
        <f>IF([1]Accounts!$D$419="","",[1]Accounts!$C$419)</f>
        <v/>
      </c>
      <c r="D418">
        <f>IF([1]Accounts!$D$419="","",[1]Accounts!$D$419)</f>
        <v/>
      </c>
      <c r="E418">
        <f>IF([1]Accounts!$D$419="","",[1]Accounts!$J$419)</f>
        <v/>
      </c>
      <c r="F418">
        <f>IF([1]Accounts!$D$419="","",[1]Accounts!$K$419)</f>
        <v/>
      </c>
      <c r="U418">
        <f>IF([2]Baskol!$B$421="","",[2]Baskol!$B$421)</f>
        <v/>
      </c>
      <c r="V418">
        <f>IF([2]Baskol!$C$421="","",[2]Baskol!$C$421)</f>
        <v/>
      </c>
      <c r="W418">
        <f>IF([2]Baskol!$D$421="","",[2]Baskol!$D$421)</f>
        <v/>
      </c>
      <c r="X418">
        <f>IF([2]Baskol!$E$421="","",[2]Baskol!$E$421)</f>
        <v/>
      </c>
      <c r="Y418">
        <f>IF([2]Baskol!$G$421="","",[2]Baskol!$G$421)</f>
        <v/>
      </c>
      <c r="Z418">
        <f>IF([2]Baskol!$I$421="","",[2]Baskol!$I$421)</f>
        <v/>
      </c>
      <c r="AA418">
        <f>IF([2]Baskol!$J$421="","",[2]Baskol!$J$421)</f>
        <v/>
      </c>
      <c r="AB418">
        <f>IF([2]Baskol!$K$421="","",[2]Baskol!$K$421)</f>
        <v/>
      </c>
      <c r="AC418">
        <f>IF([2]Baskol!$L$421="","",[2]Baskol!$L$421)</f>
        <v/>
      </c>
      <c r="AD418">
        <f>IF([2]Baskol!$N$421="","",[2]Baskol!$N$421)</f>
        <v/>
      </c>
      <c r="AE418">
        <f>IF([2]Baskol!$O$421="","",[2]Baskol!$O$421)</f>
        <v/>
      </c>
      <c r="AG418">
        <f>IF([3]Entry!$C$421="","",[3]Entry!$C$421)</f>
        <v/>
      </c>
      <c r="AH418">
        <f>IF([3]Entry!$D$421="","",[3]Entry!$D$421)</f>
        <v/>
      </c>
      <c r="AI418">
        <f>IF([3]Entry!$E$421="","",[3]Entry!$E$421)</f>
        <v/>
      </c>
      <c r="AJ418">
        <f>IF([3]Entry!$G$421="","",[3]Entry!$G$421)</f>
        <v/>
      </c>
      <c r="AK418">
        <f>IF([3]Entry!$K$421="","",[3]Entry!$K$421)</f>
        <v/>
      </c>
      <c r="AL418">
        <f>IF([3]Entry!$L$421="","",[3]Entry!$L$421)</f>
        <v/>
      </c>
      <c r="AM418">
        <f>IF([3]Entry!$M$421="","",[3]Entry!$M$421)</f>
        <v/>
      </c>
      <c r="AN418">
        <f>IF([3]Entry!$N$421="","",[3]Entry!$N$421)</f>
        <v/>
      </c>
      <c r="AO418">
        <f>IF([3]Entry!$R$421="","",[3]Entry!$R$421)</f>
        <v/>
      </c>
      <c r="AQ418">
        <f>IF(AND($D418&lt;&gt;"",$A418&lt;&gt;""),1,0)</f>
        <v/>
      </c>
      <c r="AR418">
        <f>SUM($AQ$6:$AQ418)</f>
        <v/>
      </c>
      <c r="AS418">
        <f>IFERROR(INDEX($A$6:$A$565,MATCH(ROW()-5,$AR$6:$AR$565,0)),"")</f>
        <v/>
      </c>
    </row>
    <row r="419">
      <c r="A419">
        <f>IF([1]Accounts!$D$420="","",[1]Accounts!$A$420)</f>
        <v/>
      </c>
      <c r="B419">
        <f>IF([1]Accounts!$D$420="","",[1]Accounts!$B$420)</f>
        <v/>
      </c>
      <c r="C419">
        <f>IF([1]Accounts!$D$420="","",[1]Accounts!$C$420)</f>
        <v/>
      </c>
      <c r="D419">
        <f>IF([1]Accounts!$D$420="","",[1]Accounts!$D$420)</f>
        <v/>
      </c>
      <c r="E419">
        <f>IF([1]Accounts!$D$420="","",[1]Accounts!$J$420)</f>
        <v/>
      </c>
      <c r="F419">
        <f>IF([1]Accounts!$D$420="","",[1]Accounts!$K$420)</f>
        <v/>
      </c>
      <c r="U419">
        <f>IF([2]Baskol!$B$422="","",[2]Baskol!$B$422)</f>
        <v/>
      </c>
      <c r="V419">
        <f>IF([2]Baskol!$C$422="","",[2]Baskol!$C$422)</f>
        <v/>
      </c>
      <c r="W419">
        <f>IF([2]Baskol!$D$422="","",[2]Baskol!$D$422)</f>
        <v/>
      </c>
      <c r="X419">
        <f>IF([2]Baskol!$E$422="","",[2]Baskol!$E$422)</f>
        <v/>
      </c>
      <c r="Y419">
        <f>IF([2]Baskol!$G$422="","",[2]Baskol!$G$422)</f>
        <v/>
      </c>
      <c r="Z419">
        <f>IF([2]Baskol!$I$422="","",[2]Baskol!$I$422)</f>
        <v/>
      </c>
      <c r="AA419">
        <f>IF([2]Baskol!$J$422="","",[2]Baskol!$J$422)</f>
        <v/>
      </c>
      <c r="AB419">
        <f>IF([2]Baskol!$K$422="","",[2]Baskol!$K$422)</f>
        <v/>
      </c>
      <c r="AC419">
        <f>IF([2]Baskol!$L$422="","",[2]Baskol!$L$422)</f>
        <v/>
      </c>
      <c r="AD419">
        <f>IF([2]Baskol!$N$422="","",[2]Baskol!$N$422)</f>
        <v/>
      </c>
      <c r="AE419">
        <f>IF([2]Baskol!$O$422="","",[2]Baskol!$O$422)</f>
        <v/>
      </c>
      <c r="AG419">
        <f>IF([3]Entry!$C$422="","",[3]Entry!$C$422)</f>
        <v/>
      </c>
      <c r="AH419">
        <f>IF([3]Entry!$D$422="","",[3]Entry!$D$422)</f>
        <v/>
      </c>
      <c r="AI419">
        <f>IF([3]Entry!$E$422="","",[3]Entry!$E$422)</f>
        <v/>
      </c>
      <c r="AJ419">
        <f>IF([3]Entry!$G$422="","",[3]Entry!$G$422)</f>
        <v/>
      </c>
      <c r="AK419">
        <f>IF([3]Entry!$K$422="","",[3]Entry!$K$422)</f>
        <v/>
      </c>
      <c r="AL419">
        <f>IF([3]Entry!$L$422="","",[3]Entry!$L$422)</f>
        <v/>
      </c>
      <c r="AM419">
        <f>IF([3]Entry!$M$422="","",[3]Entry!$M$422)</f>
        <v/>
      </c>
      <c r="AN419">
        <f>IF([3]Entry!$N$422="","",[3]Entry!$N$422)</f>
        <v/>
      </c>
      <c r="AO419">
        <f>IF([3]Entry!$R$422="","",[3]Entry!$R$422)</f>
        <v/>
      </c>
      <c r="AQ419">
        <f>IF(AND($D419&lt;&gt;"",$A419&lt;&gt;""),1,0)</f>
        <v/>
      </c>
      <c r="AR419">
        <f>SUM($AQ$6:$AQ419)</f>
        <v/>
      </c>
      <c r="AS419">
        <f>IFERROR(INDEX($A$6:$A$565,MATCH(ROW()-5,$AR$6:$AR$565,0)),"")</f>
        <v/>
      </c>
    </row>
    <row r="420">
      <c r="A420">
        <f>IF([1]Accounts!$D$421="","",[1]Accounts!$A$421)</f>
        <v/>
      </c>
      <c r="B420">
        <f>IF([1]Accounts!$D$421="","",[1]Accounts!$B$421)</f>
        <v/>
      </c>
      <c r="C420">
        <f>IF([1]Accounts!$D$421="","",[1]Accounts!$C$421)</f>
        <v/>
      </c>
      <c r="D420">
        <f>IF([1]Accounts!$D$421="","",[1]Accounts!$D$421)</f>
        <v/>
      </c>
      <c r="E420">
        <f>IF([1]Accounts!$D$421="","",[1]Accounts!$J$421)</f>
        <v/>
      </c>
      <c r="F420">
        <f>IF([1]Accounts!$D$421="","",[1]Accounts!$K$421)</f>
        <v/>
      </c>
      <c r="U420">
        <f>IF([2]Baskol!$B$423="","",[2]Baskol!$B$423)</f>
        <v/>
      </c>
      <c r="V420">
        <f>IF([2]Baskol!$C$423="","",[2]Baskol!$C$423)</f>
        <v/>
      </c>
      <c r="W420">
        <f>IF([2]Baskol!$D$423="","",[2]Baskol!$D$423)</f>
        <v/>
      </c>
      <c r="X420">
        <f>IF([2]Baskol!$E$423="","",[2]Baskol!$E$423)</f>
        <v/>
      </c>
      <c r="Y420">
        <f>IF([2]Baskol!$G$423="","",[2]Baskol!$G$423)</f>
        <v/>
      </c>
      <c r="Z420">
        <f>IF([2]Baskol!$I$423="","",[2]Baskol!$I$423)</f>
        <v/>
      </c>
      <c r="AA420">
        <f>IF([2]Baskol!$J$423="","",[2]Baskol!$J$423)</f>
        <v/>
      </c>
      <c r="AB420">
        <f>IF([2]Baskol!$K$423="","",[2]Baskol!$K$423)</f>
        <v/>
      </c>
      <c r="AC420">
        <f>IF([2]Baskol!$L$423="","",[2]Baskol!$L$423)</f>
        <v/>
      </c>
      <c r="AD420">
        <f>IF([2]Baskol!$N$423="","",[2]Baskol!$N$423)</f>
        <v/>
      </c>
      <c r="AE420">
        <f>IF([2]Baskol!$O$423="","",[2]Baskol!$O$423)</f>
        <v/>
      </c>
      <c r="AG420">
        <f>IF([3]Entry!$C$423="","",[3]Entry!$C$423)</f>
        <v/>
      </c>
      <c r="AH420">
        <f>IF([3]Entry!$D$423="","",[3]Entry!$D$423)</f>
        <v/>
      </c>
      <c r="AI420">
        <f>IF([3]Entry!$E$423="","",[3]Entry!$E$423)</f>
        <v/>
      </c>
      <c r="AJ420">
        <f>IF([3]Entry!$G$423="","",[3]Entry!$G$423)</f>
        <v/>
      </c>
      <c r="AK420">
        <f>IF([3]Entry!$K$423="","",[3]Entry!$K$423)</f>
        <v/>
      </c>
      <c r="AL420">
        <f>IF([3]Entry!$L$423="","",[3]Entry!$L$423)</f>
        <v/>
      </c>
      <c r="AM420">
        <f>IF([3]Entry!$M$423="","",[3]Entry!$M$423)</f>
        <v/>
      </c>
      <c r="AN420">
        <f>IF([3]Entry!$N$423="","",[3]Entry!$N$423)</f>
        <v/>
      </c>
      <c r="AO420">
        <f>IF([3]Entry!$R$423="","",[3]Entry!$R$423)</f>
        <v/>
      </c>
      <c r="AQ420">
        <f>IF(AND($D420&lt;&gt;"",$A420&lt;&gt;""),1,0)</f>
        <v/>
      </c>
      <c r="AR420">
        <f>SUM($AQ$6:$AQ420)</f>
        <v/>
      </c>
      <c r="AS420">
        <f>IFERROR(INDEX($A$6:$A$565,MATCH(ROW()-5,$AR$6:$AR$565,0)),"")</f>
        <v/>
      </c>
    </row>
    <row r="421">
      <c r="A421">
        <f>IF([1]Accounts!$D$422="","",[1]Accounts!$A$422)</f>
        <v/>
      </c>
      <c r="B421">
        <f>IF([1]Accounts!$D$422="","",[1]Accounts!$B$422)</f>
        <v/>
      </c>
      <c r="C421">
        <f>IF([1]Accounts!$D$422="","",[1]Accounts!$C$422)</f>
        <v/>
      </c>
      <c r="D421">
        <f>IF([1]Accounts!$D$422="","",[1]Accounts!$D$422)</f>
        <v/>
      </c>
      <c r="E421">
        <f>IF([1]Accounts!$D$422="","",[1]Accounts!$J$422)</f>
        <v/>
      </c>
      <c r="F421">
        <f>IF([1]Accounts!$D$422="","",[1]Accounts!$K$422)</f>
        <v/>
      </c>
      <c r="U421">
        <f>IF([2]Baskol!$B$424="","",[2]Baskol!$B$424)</f>
        <v/>
      </c>
      <c r="V421">
        <f>IF([2]Baskol!$C$424="","",[2]Baskol!$C$424)</f>
        <v/>
      </c>
      <c r="W421">
        <f>IF([2]Baskol!$D$424="","",[2]Baskol!$D$424)</f>
        <v/>
      </c>
      <c r="X421">
        <f>IF([2]Baskol!$E$424="","",[2]Baskol!$E$424)</f>
        <v/>
      </c>
      <c r="Y421">
        <f>IF([2]Baskol!$G$424="","",[2]Baskol!$G$424)</f>
        <v/>
      </c>
      <c r="Z421">
        <f>IF([2]Baskol!$I$424="","",[2]Baskol!$I$424)</f>
        <v/>
      </c>
      <c r="AA421">
        <f>IF([2]Baskol!$J$424="","",[2]Baskol!$J$424)</f>
        <v/>
      </c>
      <c r="AB421">
        <f>IF([2]Baskol!$K$424="","",[2]Baskol!$K$424)</f>
        <v/>
      </c>
      <c r="AC421">
        <f>IF([2]Baskol!$L$424="","",[2]Baskol!$L$424)</f>
        <v/>
      </c>
      <c r="AD421">
        <f>IF([2]Baskol!$N$424="","",[2]Baskol!$N$424)</f>
        <v/>
      </c>
      <c r="AE421">
        <f>IF([2]Baskol!$O$424="","",[2]Baskol!$O$424)</f>
        <v/>
      </c>
      <c r="AG421">
        <f>IF([3]Entry!$C$424="","",[3]Entry!$C$424)</f>
        <v/>
      </c>
      <c r="AH421">
        <f>IF([3]Entry!$D$424="","",[3]Entry!$D$424)</f>
        <v/>
      </c>
      <c r="AI421">
        <f>IF([3]Entry!$E$424="","",[3]Entry!$E$424)</f>
        <v/>
      </c>
      <c r="AJ421">
        <f>IF([3]Entry!$G$424="","",[3]Entry!$G$424)</f>
        <v/>
      </c>
      <c r="AK421">
        <f>IF([3]Entry!$K$424="","",[3]Entry!$K$424)</f>
        <v/>
      </c>
      <c r="AL421">
        <f>IF([3]Entry!$L$424="","",[3]Entry!$L$424)</f>
        <v/>
      </c>
      <c r="AM421">
        <f>IF([3]Entry!$M$424="","",[3]Entry!$M$424)</f>
        <v/>
      </c>
      <c r="AN421">
        <f>IF([3]Entry!$N$424="","",[3]Entry!$N$424)</f>
        <v/>
      </c>
      <c r="AO421">
        <f>IF([3]Entry!$R$424="","",[3]Entry!$R$424)</f>
        <v/>
      </c>
      <c r="AQ421">
        <f>IF(AND($D421&lt;&gt;"",$A421&lt;&gt;""),1,0)</f>
        <v/>
      </c>
      <c r="AR421">
        <f>SUM($AQ$6:$AQ421)</f>
        <v/>
      </c>
      <c r="AS421">
        <f>IFERROR(INDEX($A$6:$A$565,MATCH(ROW()-5,$AR$6:$AR$565,0)),"")</f>
        <v/>
      </c>
    </row>
    <row r="422">
      <c r="A422">
        <f>IF([1]Accounts!$D$423="","",[1]Accounts!$A$423)</f>
        <v/>
      </c>
      <c r="B422">
        <f>IF([1]Accounts!$D$423="","",[1]Accounts!$B$423)</f>
        <v/>
      </c>
      <c r="C422">
        <f>IF([1]Accounts!$D$423="","",[1]Accounts!$C$423)</f>
        <v/>
      </c>
      <c r="D422">
        <f>IF([1]Accounts!$D$423="","",[1]Accounts!$D$423)</f>
        <v/>
      </c>
      <c r="E422">
        <f>IF([1]Accounts!$D$423="","",[1]Accounts!$J$423)</f>
        <v/>
      </c>
      <c r="F422">
        <f>IF([1]Accounts!$D$423="","",[1]Accounts!$K$423)</f>
        <v/>
      </c>
      <c r="U422">
        <f>IF([2]Baskol!$B$425="","",[2]Baskol!$B$425)</f>
        <v/>
      </c>
      <c r="V422">
        <f>IF([2]Baskol!$C$425="","",[2]Baskol!$C$425)</f>
        <v/>
      </c>
      <c r="W422">
        <f>IF([2]Baskol!$D$425="","",[2]Baskol!$D$425)</f>
        <v/>
      </c>
      <c r="X422">
        <f>IF([2]Baskol!$E$425="","",[2]Baskol!$E$425)</f>
        <v/>
      </c>
      <c r="Y422">
        <f>IF([2]Baskol!$G$425="","",[2]Baskol!$G$425)</f>
        <v/>
      </c>
      <c r="Z422">
        <f>IF([2]Baskol!$I$425="","",[2]Baskol!$I$425)</f>
        <v/>
      </c>
      <c r="AA422">
        <f>IF([2]Baskol!$J$425="","",[2]Baskol!$J$425)</f>
        <v/>
      </c>
      <c r="AB422">
        <f>IF([2]Baskol!$K$425="","",[2]Baskol!$K$425)</f>
        <v/>
      </c>
      <c r="AC422">
        <f>IF([2]Baskol!$L$425="","",[2]Baskol!$L$425)</f>
        <v/>
      </c>
      <c r="AD422">
        <f>IF([2]Baskol!$N$425="","",[2]Baskol!$N$425)</f>
        <v/>
      </c>
      <c r="AE422">
        <f>IF([2]Baskol!$O$425="","",[2]Baskol!$O$425)</f>
        <v/>
      </c>
      <c r="AG422">
        <f>IF([3]Entry!$C$425="","",[3]Entry!$C$425)</f>
        <v/>
      </c>
      <c r="AH422">
        <f>IF([3]Entry!$D$425="","",[3]Entry!$D$425)</f>
        <v/>
      </c>
      <c r="AI422">
        <f>IF([3]Entry!$E$425="","",[3]Entry!$E$425)</f>
        <v/>
      </c>
      <c r="AJ422">
        <f>IF([3]Entry!$G$425="","",[3]Entry!$G$425)</f>
        <v/>
      </c>
      <c r="AK422">
        <f>IF([3]Entry!$K$425="","",[3]Entry!$K$425)</f>
        <v/>
      </c>
      <c r="AL422">
        <f>IF([3]Entry!$L$425="","",[3]Entry!$L$425)</f>
        <v/>
      </c>
      <c r="AM422">
        <f>IF([3]Entry!$M$425="","",[3]Entry!$M$425)</f>
        <v/>
      </c>
      <c r="AN422">
        <f>IF([3]Entry!$N$425="","",[3]Entry!$N$425)</f>
        <v/>
      </c>
      <c r="AO422">
        <f>IF([3]Entry!$R$425="","",[3]Entry!$R$425)</f>
        <v/>
      </c>
      <c r="AQ422">
        <f>IF(AND($D422&lt;&gt;"",$A422&lt;&gt;""),1,0)</f>
        <v/>
      </c>
      <c r="AR422">
        <f>SUM($AQ$6:$AQ422)</f>
        <v/>
      </c>
      <c r="AS422">
        <f>IFERROR(INDEX($A$6:$A$565,MATCH(ROW()-5,$AR$6:$AR$565,0)),"")</f>
        <v/>
      </c>
    </row>
    <row r="423">
      <c r="A423">
        <f>IF([1]Accounts!$D$424="","",[1]Accounts!$A$424)</f>
        <v/>
      </c>
      <c r="B423">
        <f>IF([1]Accounts!$D$424="","",[1]Accounts!$B$424)</f>
        <v/>
      </c>
      <c r="C423">
        <f>IF([1]Accounts!$D$424="","",[1]Accounts!$C$424)</f>
        <v/>
      </c>
      <c r="D423">
        <f>IF([1]Accounts!$D$424="","",[1]Accounts!$D$424)</f>
        <v/>
      </c>
      <c r="E423">
        <f>IF([1]Accounts!$D$424="","",[1]Accounts!$J$424)</f>
        <v/>
      </c>
      <c r="F423">
        <f>IF([1]Accounts!$D$424="","",[1]Accounts!$K$424)</f>
        <v/>
      </c>
      <c r="U423">
        <f>IF([2]Baskol!$B$426="","",[2]Baskol!$B$426)</f>
        <v/>
      </c>
      <c r="V423">
        <f>IF([2]Baskol!$C$426="","",[2]Baskol!$C$426)</f>
        <v/>
      </c>
      <c r="W423">
        <f>IF([2]Baskol!$D$426="","",[2]Baskol!$D$426)</f>
        <v/>
      </c>
      <c r="X423">
        <f>IF([2]Baskol!$E$426="","",[2]Baskol!$E$426)</f>
        <v/>
      </c>
      <c r="Y423">
        <f>IF([2]Baskol!$G$426="","",[2]Baskol!$G$426)</f>
        <v/>
      </c>
      <c r="Z423">
        <f>IF([2]Baskol!$I$426="","",[2]Baskol!$I$426)</f>
        <v/>
      </c>
      <c r="AA423">
        <f>IF([2]Baskol!$J$426="","",[2]Baskol!$J$426)</f>
        <v/>
      </c>
      <c r="AB423">
        <f>IF([2]Baskol!$K$426="","",[2]Baskol!$K$426)</f>
        <v/>
      </c>
      <c r="AC423">
        <f>IF([2]Baskol!$L$426="","",[2]Baskol!$L$426)</f>
        <v/>
      </c>
      <c r="AD423">
        <f>IF([2]Baskol!$N$426="","",[2]Baskol!$N$426)</f>
        <v/>
      </c>
      <c r="AE423">
        <f>IF([2]Baskol!$O$426="","",[2]Baskol!$O$426)</f>
        <v/>
      </c>
      <c r="AG423">
        <f>IF([3]Entry!$C$426="","",[3]Entry!$C$426)</f>
        <v/>
      </c>
      <c r="AH423">
        <f>IF([3]Entry!$D$426="","",[3]Entry!$D$426)</f>
        <v/>
      </c>
      <c r="AI423">
        <f>IF([3]Entry!$E$426="","",[3]Entry!$E$426)</f>
        <v/>
      </c>
      <c r="AJ423">
        <f>IF([3]Entry!$G$426="","",[3]Entry!$G$426)</f>
        <v/>
      </c>
      <c r="AK423">
        <f>IF([3]Entry!$K$426="","",[3]Entry!$K$426)</f>
        <v/>
      </c>
      <c r="AL423">
        <f>IF([3]Entry!$L$426="","",[3]Entry!$L$426)</f>
        <v/>
      </c>
      <c r="AM423">
        <f>IF([3]Entry!$M$426="","",[3]Entry!$M$426)</f>
        <v/>
      </c>
      <c r="AN423">
        <f>IF([3]Entry!$N$426="","",[3]Entry!$N$426)</f>
        <v/>
      </c>
      <c r="AO423">
        <f>IF([3]Entry!$R$426="","",[3]Entry!$R$426)</f>
        <v/>
      </c>
      <c r="AQ423">
        <f>IF(AND($D423&lt;&gt;"",$A423&lt;&gt;""),1,0)</f>
        <v/>
      </c>
      <c r="AR423">
        <f>SUM($AQ$6:$AQ423)</f>
        <v/>
      </c>
      <c r="AS423">
        <f>IFERROR(INDEX($A$6:$A$565,MATCH(ROW()-5,$AR$6:$AR$565,0)),"")</f>
        <v/>
      </c>
    </row>
    <row r="424">
      <c r="A424">
        <f>IF([1]Accounts!$D$425="","",[1]Accounts!$A$425)</f>
        <v/>
      </c>
      <c r="B424">
        <f>IF([1]Accounts!$D$425="","",[1]Accounts!$B$425)</f>
        <v/>
      </c>
      <c r="C424">
        <f>IF([1]Accounts!$D$425="","",[1]Accounts!$C$425)</f>
        <v/>
      </c>
      <c r="D424">
        <f>IF([1]Accounts!$D$425="","",[1]Accounts!$D$425)</f>
        <v/>
      </c>
      <c r="E424">
        <f>IF([1]Accounts!$D$425="","",[1]Accounts!$J$425)</f>
        <v/>
      </c>
      <c r="F424">
        <f>IF([1]Accounts!$D$425="","",[1]Accounts!$K$425)</f>
        <v/>
      </c>
      <c r="U424">
        <f>IF([2]Baskol!$B$427="","",[2]Baskol!$B$427)</f>
        <v/>
      </c>
      <c r="V424">
        <f>IF([2]Baskol!$C$427="","",[2]Baskol!$C$427)</f>
        <v/>
      </c>
      <c r="W424">
        <f>IF([2]Baskol!$D$427="","",[2]Baskol!$D$427)</f>
        <v/>
      </c>
      <c r="X424">
        <f>IF([2]Baskol!$E$427="","",[2]Baskol!$E$427)</f>
        <v/>
      </c>
      <c r="Y424">
        <f>IF([2]Baskol!$G$427="","",[2]Baskol!$G$427)</f>
        <v/>
      </c>
      <c r="Z424">
        <f>IF([2]Baskol!$I$427="","",[2]Baskol!$I$427)</f>
        <v/>
      </c>
      <c r="AA424">
        <f>IF([2]Baskol!$J$427="","",[2]Baskol!$J$427)</f>
        <v/>
      </c>
      <c r="AB424">
        <f>IF([2]Baskol!$K$427="","",[2]Baskol!$K$427)</f>
        <v/>
      </c>
      <c r="AC424">
        <f>IF([2]Baskol!$L$427="","",[2]Baskol!$L$427)</f>
        <v/>
      </c>
      <c r="AD424">
        <f>IF([2]Baskol!$N$427="","",[2]Baskol!$N$427)</f>
        <v/>
      </c>
      <c r="AE424">
        <f>IF([2]Baskol!$O$427="","",[2]Baskol!$O$427)</f>
        <v/>
      </c>
      <c r="AG424">
        <f>IF([3]Entry!$C$427="","",[3]Entry!$C$427)</f>
        <v/>
      </c>
      <c r="AH424">
        <f>IF([3]Entry!$D$427="","",[3]Entry!$D$427)</f>
        <v/>
      </c>
      <c r="AI424">
        <f>IF([3]Entry!$E$427="","",[3]Entry!$E$427)</f>
        <v/>
      </c>
      <c r="AJ424">
        <f>IF([3]Entry!$G$427="","",[3]Entry!$G$427)</f>
        <v/>
      </c>
      <c r="AK424">
        <f>IF([3]Entry!$K$427="","",[3]Entry!$K$427)</f>
        <v/>
      </c>
      <c r="AL424">
        <f>IF([3]Entry!$L$427="","",[3]Entry!$L$427)</f>
        <v/>
      </c>
      <c r="AM424">
        <f>IF([3]Entry!$M$427="","",[3]Entry!$M$427)</f>
        <v/>
      </c>
      <c r="AN424">
        <f>IF([3]Entry!$N$427="","",[3]Entry!$N$427)</f>
        <v/>
      </c>
      <c r="AO424">
        <f>IF([3]Entry!$R$427="","",[3]Entry!$R$427)</f>
        <v/>
      </c>
      <c r="AQ424">
        <f>IF(AND($D424&lt;&gt;"",$A424&lt;&gt;""),1,0)</f>
        <v/>
      </c>
      <c r="AR424">
        <f>SUM($AQ$6:$AQ424)</f>
        <v/>
      </c>
      <c r="AS424">
        <f>IFERROR(INDEX($A$6:$A$565,MATCH(ROW()-5,$AR$6:$AR$565,0)),"")</f>
        <v/>
      </c>
    </row>
    <row r="425">
      <c r="A425">
        <f>IF([1]Accounts!$D$426="","",[1]Accounts!$A$426)</f>
        <v/>
      </c>
      <c r="B425">
        <f>IF([1]Accounts!$D$426="","",[1]Accounts!$B$426)</f>
        <v/>
      </c>
      <c r="C425">
        <f>IF([1]Accounts!$D$426="","",[1]Accounts!$C$426)</f>
        <v/>
      </c>
      <c r="D425">
        <f>IF([1]Accounts!$D$426="","",[1]Accounts!$D$426)</f>
        <v/>
      </c>
      <c r="E425">
        <f>IF([1]Accounts!$D$426="","",[1]Accounts!$J$426)</f>
        <v/>
      </c>
      <c r="F425">
        <f>IF([1]Accounts!$D$426="","",[1]Accounts!$K$426)</f>
        <v/>
      </c>
      <c r="U425">
        <f>IF([2]Baskol!$B$428="","",[2]Baskol!$B$428)</f>
        <v/>
      </c>
      <c r="V425">
        <f>IF([2]Baskol!$C$428="","",[2]Baskol!$C$428)</f>
        <v/>
      </c>
      <c r="W425">
        <f>IF([2]Baskol!$D$428="","",[2]Baskol!$D$428)</f>
        <v/>
      </c>
      <c r="X425">
        <f>IF([2]Baskol!$E$428="","",[2]Baskol!$E$428)</f>
        <v/>
      </c>
      <c r="Y425">
        <f>IF([2]Baskol!$G$428="","",[2]Baskol!$G$428)</f>
        <v/>
      </c>
      <c r="Z425">
        <f>IF([2]Baskol!$I$428="","",[2]Baskol!$I$428)</f>
        <v/>
      </c>
      <c r="AA425">
        <f>IF([2]Baskol!$J$428="","",[2]Baskol!$J$428)</f>
        <v/>
      </c>
      <c r="AB425">
        <f>IF([2]Baskol!$K$428="","",[2]Baskol!$K$428)</f>
        <v/>
      </c>
      <c r="AC425">
        <f>IF([2]Baskol!$L$428="","",[2]Baskol!$L$428)</f>
        <v/>
      </c>
      <c r="AD425">
        <f>IF([2]Baskol!$N$428="","",[2]Baskol!$N$428)</f>
        <v/>
      </c>
      <c r="AE425">
        <f>IF([2]Baskol!$O$428="","",[2]Baskol!$O$428)</f>
        <v/>
      </c>
      <c r="AG425">
        <f>IF([3]Entry!$C$428="","",[3]Entry!$C$428)</f>
        <v/>
      </c>
      <c r="AH425">
        <f>IF([3]Entry!$D$428="","",[3]Entry!$D$428)</f>
        <v/>
      </c>
      <c r="AI425">
        <f>IF([3]Entry!$E$428="","",[3]Entry!$E$428)</f>
        <v/>
      </c>
      <c r="AJ425">
        <f>IF([3]Entry!$G$428="","",[3]Entry!$G$428)</f>
        <v/>
      </c>
      <c r="AK425">
        <f>IF([3]Entry!$K$428="","",[3]Entry!$K$428)</f>
        <v/>
      </c>
      <c r="AL425">
        <f>IF([3]Entry!$L$428="","",[3]Entry!$L$428)</f>
        <v/>
      </c>
      <c r="AM425">
        <f>IF([3]Entry!$M$428="","",[3]Entry!$M$428)</f>
        <v/>
      </c>
      <c r="AN425">
        <f>IF([3]Entry!$N$428="","",[3]Entry!$N$428)</f>
        <v/>
      </c>
      <c r="AO425">
        <f>IF([3]Entry!$R$428="","",[3]Entry!$R$428)</f>
        <v/>
      </c>
      <c r="AQ425">
        <f>IF(AND($D425&lt;&gt;"",$A425&lt;&gt;""),1,0)</f>
        <v/>
      </c>
      <c r="AR425">
        <f>SUM($AQ$6:$AQ425)</f>
        <v/>
      </c>
      <c r="AS425">
        <f>IFERROR(INDEX($A$6:$A$565,MATCH(ROW()-5,$AR$6:$AR$565,0)),"")</f>
        <v/>
      </c>
    </row>
    <row r="426">
      <c r="A426">
        <f>IF([1]Accounts!$D$427="","",[1]Accounts!$A$427)</f>
        <v/>
      </c>
      <c r="B426">
        <f>IF([1]Accounts!$D$427="","",[1]Accounts!$B$427)</f>
        <v/>
      </c>
      <c r="C426">
        <f>IF([1]Accounts!$D$427="","",[1]Accounts!$C$427)</f>
        <v/>
      </c>
      <c r="D426">
        <f>IF([1]Accounts!$D$427="","",[1]Accounts!$D$427)</f>
        <v/>
      </c>
      <c r="E426">
        <f>IF([1]Accounts!$D$427="","",[1]Accounts!$J$427)</f>
        <v/>
      </c>
      <c r="F426">
        <f>IF([1]Accounts!$D$427="","",[1]Accounts!$K$427)</f>
        <v/>
      </c>
      <c r="U426">
        <f>IF([2]Baskol!$B$429="","",[2]Baskol!$B$429)</f>
        <v/>
      </c>
      <c r="V426">
        <f>IF([2]Baskol!$C$429="","",[2]Baskol!$C$429)</f>
        <v/>
      </c>
      <c r="W426">
        <f>IF([2]Baskol!$D$429="","",[2]Baskol!$D$429)</f>
        <v/>
      </c>
      <c r="X426">
        <f>IF([2]Baskol!$E$429="","",[2]Baskol!$E$429)</f>
        <v/>
      </c>
      <c r="Y426">
        <f>IF([2]Baskol!$G$429="","",[2]Baskol!$G$429)</f>
        <v/>
      </c>
      <c r="Z426">
        <f>IF([2]Baskol!$I$429="","",[2]Baskol!$I$429)</f>
        <v/>
      </c>
      <c r="AA426">
        <f>IF([2]Baskol!$J$429="","",[2]Baskol!$J$429)</f>
        <v/>
      </c>
      <c r="AB426">
        <f>IF([2]Baskol!$K$429="","",[2]Baskol!$K$429)</f>
        <v/>
      </c>
      <c r="AC426">
        <f>IF([2]Baskol!$L$429="","",[2]Baskol!$L$429)</f>
        <v/>
      </c>
      <c r="AD426">
        <f>IF([2]Baskol!$N$429="","",[2]Baskol!$N$429)</f>
        <v/>
      </c>
      <c r="AE426">
        <f>IF([2]Baskol!$O$429="","",[2]Baskol!$O$429)</f>
        <v/>
      </c>
      <c r="AG426">
        <f>IF([3]Entry!$C$429="","",[3]Entry!$C$429)</f>
        <v/>
      </c>
      <c r="AH426">
        <f>IF([3]Entry!$D$429="","",[3]Entry!$D$429)</f>
        <v/>
      </c>
      <c r="AI426">
        <f>IF([3]Entry!$E$429="","",[3]Entry!$E$429)</f>
        <v/>
      </c>
      <c r="AJ426">
        <f>IF([3]Entry!$G$429="","",[3]Entry!$G$429)</f>
        <v/>
      </c>
      <c r="AK426">
        <f>IF([3]Entry!$K$429="","",[3]Entry!$K$429)</f>
        <v/>
      </c>
      <c r="AL426">
        <f>IF([3]Entry!$L$429="","",[3]Entry!$L$429)</f>
        <v/>
      </c>
      <c r="AM426">
        <f>IF([3]Entry!$M$429="","",[3]Entry!$M$429)</f>
        <v/>
      </c>
      <c r="AN426">
        <f>IF([3]Entry!$N$429="","",[3]Entry!$N$429)</f>
        <v/>
      </c>
      <c r="AO426">
        <f>IF([3]Entry!$R$429="","",[3]Entry!$R$429)</f>
        <v/>
      </c>
      <c r="AQ426">
        <f>IF(AND($D426&lt;&gt;"",$A426&lt;&gt;""),1,0)</f>
        <v/>
      </c>
      <c r="AR426">
        <f>SUM($AQ$6:$AQ426)</f>
        <v/>
      </c>
      <c r="AS426">
        <f>IFERROR(INDEX($A$6:$A$565,MATCH(ROW()-5,$AR$6:$AR$565,0)),"")</f>
        <v/>
      </c>
    </row>
    <row r="427">
      <c r="A427">
        <f>IF([1]Accounts!$D$428="","",[1]Accounts!$A$428)</f>
        <v/>
      </c>
      <c r="B427">
        <f>IF([1]Accounts!$D$428="","",[1]Accounts!$B$428)</f>
        <v/>
      </c>
      <c r="C427">
        <f>IF([1]Accounts!$D$428="","",[1]Accounts!$C$428)</f>
        <v/>
      </c>
      <c r="D427">
        <f>IF([1]Accounts!$D$428="","",[1]Accounts!$D$428)</f>
        <v/>
      </c>
      <c r="E427">
        <f>IF([1]Accounts!$D$428="","",[1]Accounts!$J$428)</f>
        <v/>
      </c>
      <c r="F427">
        <f>IF([1]Accounts!$D$428="","",[1]Accounts!$K$428)</f>
        <v/>
      </c>
      <c r="U427">
        <f>IF([2]Baskol!$B$430="","",[2]Baskol!$B$430)</f>
        <v/>
      </c>
      <c r="V427">
        <f>IF([2]Baskol!$C$430="","",[2]Baskol!$C$430)</f>
        <v/>
      </c>
      <c r="W427">
        <f>IF([2]Baskol!$D$430="","",[2]Baskol!$D$430)</f>
        <v/>
      </c>
      <c r="X427">
        <f>IF([2]Baskol!$E$430="","",[2]Baskol!$E$430)</f>
        <v/>
      </c>
      <c r="Y427">
        <f>IF([2]Baskol!$G$430="","",[2]Baskol!$G$430)</f>
        <v/>
      </c>
      <c r="Z427">
        <f>IF([2]Baskol!$I$430="","",[2]Baskol!$I$430)</f>
        <v/>
      </c>
      <c r="AA427">
        <f>IF([2]Baskol!$J$430="","",[2]Baskol!$J$430)</f>
        <v/>
      </c>
      <c r="AB427">
        <f>IF([2]Baskol!$K$430="","",[2]Baskol!$K$430)</f>
        <v/>
      </c>
      <c r="AC427">
        <f>IF([2]Baskol!$L$430="","",[2]Baskol!$L$430)</f>
        <v/>
      </c>
      <c r="AD427">
        <f>IF([2]Baskol!$N$430="","",[2]Baskol!$N$430)</f>
        <v/>
      </c>
      <c r="AE427">
        <f>IF([2]Baskol!$O$430="","",[2]Baskol!$O$430)</f>
        <v/>
      </c>
      <c r="AG427">
        <f>IF([3]Entry!$C$430="","",[3]Entry!$C$430)</f>
        <v/>
      </c>
      <c r="AH427">
        <f>IF([3]Entry!$D$430="","",[3]Entry!$D$430)</f>
        <v/>
      </c>
      <c r="AI427">
        <f>IF([3]Entry!$E$430="","",[3]Entry!$E$430)</f>
        <v/>
      </c>
      <c r="AJ427">
        <f>IF([3]Entry!$G$430="","",[3]Entry!$G$430)</f>
        <v/>
      </c>
      <c r="AK427">
        <f>IF([3]Entry!$K$430="","",[3]Entry!$K$430)</f>
        <v/>
      </c>
      <c r="AL427">
        <f>IF([3]Entry!$L$430="","",[3]Entry!$L$430)</f>
        <v/>
      </c>
      <c r="AM427">
        <f>IF([3]Entry!$M$430="","",[3]Entry!$M$430)</f>
        <v/>
      </c>
      <c r="AN427">
        <f>IF([3]Entry!$N$430="","",[3]Entry!$N$430)</f>
        <v/>
      </c>
      <c r="AO427">
        <f>IF([3]Entry!$R$430="","",[3]Entry!$R$430)</f>
        <v/>
      </c>
      <c r="AQ427">
        <f>IF(AND($D427&lt;&gt;"",$A427&lt;&gt;""),1,0)</f>
        <v/>
      </c>
      <c r="AR427">
        <f>SUM($AQ$6:$AQ427)</f>
        <v/>
      </c>
      <c r="AS427">
        <f>IFERROR(INDEX($A$6:$A$565,MATCH(ROW()-5,$AR$6:$AR$565,0)),"")</f>
        <v/>
      </c>
    </row>
    <row r="428">
      <c r="A428">
        <f>IF([1]Accounts!$D$429="","",[1]Accounts!$A$429)</f>
        <v/>
      </c>
      <c r="B428">
        <f>IF([1]Accounts!$D$429="","",[1]Accounts!$B$429)</f>
        <v/>
      </c>
      <c r="C428">
        <f>IF([1]Accounts!$D$429="","",[1]Accounts!$C$429)</f>
        <v/>
      </c>
      <c r="D428">
        <f>IF([1]Accounts!$D$429="","",[1]Accounts!$D$429)</f>
        <v/>
      </c>
      <c r="E428">
        <f>IF([1]Accounts!$D$429="","",[1]Accounts!$J$429)</f>
        <v/>
      </c>
      <c r="F428">
        <f>IF([1]Accounts!$D$429="","",[1]Accounts!$K$429)</f>
        <v/>
      </c>
      <c r="U428">
        <f>IF([2]Baskol!$B$431="","",[2]Baskol!$B$431)</f>
        <v/>
      </c>
      <c r="V428">
        <f>IF([2]Baskol!$C$431="","",[2]Baskol!$C$431)</f>
        <v/>
      </c>
      <c r="W428">
        <f>IF([2]Baskol!$D$431="","",[2]Baskol!$D$431)</f>
        <v/>
      </c>
      <c r="X428">
        <f>IF([2]Baskol!$E$431="","",[2]Baskol!$E$431)</f>
        <v/>
      </c>
      <c r="Y428">
        <f>IF([2]Baskol!$G$431="","",[2]Baskol!$G$431)</f>
        <v/>
      </c>
      <c r="Z428">
        <f>IF([2]Baskol!$I$431="","",[2]Baskol!$I$431)</f>
        <v/>
      </c>
      <c r="AA428">
        <f>IF([2]Baskol!$J$431="","",[2]Baskol!$J$431)</f>
        <v/>
      </c>
      <c r="AB428">
        <f>IF([2]Baskol!$K$431="","",[2]Baskol!$K$431)</f>
        <v/>
      </c>
      <c r="AC428">
        <f>IF([2]Baskol!$L$431="","",[2]Baskol!$L$431)</f>
        <v/>
      </c>
      <c r="AD428">
        <f>IF([2]Baskol!$N$431="","",[2]Baskol!$N$431)</f>
        <v/>
      </c>
      <c r="AE428">
        <f>IF([2]Baskol!$O$431="","",[2]Baskol!$O$431)</f>
        <v/>
      </c>
      <c r="AG428">
        <f>IF([3]Entry!$C$431="","",[3]Entry!$C$431)</f>
        <v/>
      </c>
      <c r="AH428">
        <f>IF([3]Entry!$D$431="","",[3]Entry!$D$431)</f>
        <v/>
      </c>
      <c r="AI428">
        <f>IF([3]Entry!$E$431="","",[3]Entry!$E$431)</f>
        <v/>
      </c>
      <c r="AJ428">
        <f>IF([3]Entry!$G$431="","",[3]Entry!$G$431)</f>
        <v/>
      </c>
      <c r="AK428">
        <f>IF([3]Entry!$K$431="","",[3]Entry!$K$431)</f>
        <v/>
      </c>
      <c r="AL428">
        <f>IF([3]Entry!$L$431="","",[3]Entry!$L$431)</f>
        <v/>
      </c>
      <c r="AM428">
        <f>IF([3]Entry!$M$431="","",[3]Entry!$M$431)</f>
        <v/>
      </c>
      <c r="AN428">
        <f>IF([3]Entry!$N$431="","",[3]Entry!$N$431)</f>
        <v/>
      </c>
      <c r="AO428">
        <f>IF([3]Entry!$R$431="","",[3]Entry!$R$431)</f>
        <v/>
      </c>
      <c r="AQ428">
        <f>IF(AND($D428&lt;&gt;"",$A428&lt;&gt;""),1,0)</f>
        <v/>
      </c>
      <c r="AR428">
        <f>SUM($AQ$6:$AQ428)</f>
        <v/>
      </c>
      <c r="AS428">
        <f>IFERROR(INDEX($A$6:$A$565,MATCH(ROW()-5,$AR$6:$AR$565,0)),"")</f>
        <v/>
      </c>
    </row>
    <row r="429">
      <c r="A429">
        <f>IF([1]Accounts!$D$430="","",[1]Accounts!$A$430)</f>
        <v/>
      </c>
      <c r="B429">
        <f>IF([1]Accounts!$D$430="","",[1]Accounts!$B$430)</f>
        <v/>
      </c>
      <c r="C429">
        <f>IF([1]Accounts!$D$430="","",[1]Accounts!$C$430)</f>
        <v/>
      </c>
      <c r="D429">
        <f>IF([1]Accounts!$D$430="","",[1]Accounts!$D$430)</f>
        <v/>
      </c>
      <c r="E429">
        <f>IF([1]Accounts!$D$430="","",[1]Accounts!$J$430)</f>
        <v/>
      </c>
      <c r="F429">
        <f>IF([1]Accounts!$D$430="","",[1]Accounts!$K$430)</f>
        <v/>
      </c>
      <c r="U429">
        <f>IF([2]Baskol!$B$432="","",[2]Baskol!$B$432)</f>
        <v/>
      </c>
      <c r="V429">
        <f>IF([2]Baskol!$C$432="","",[2]Baskol!$C$432)</f>
        <v/>
      </c>
      <c r="W429">
        <f>IF([2]Baskol!$D$432="","",[2]Baskol!$D$432)</f>
        <v/>
      </c>
      <c r="X429">
        <f>IF([2]Baskol!$E$432="","",[2]Baskol!$E$432)</f>
        <v/>
      </c>
      <c r="Y429">
        <f>IF([2]Baskol!$G$432="","",[2]Baskol!$G$432)</f>
        <v/>
      </c>
      <c r="Z429">
        <f>IF([2]Baskol!$I$432="","",[2]Baskol!$I$432)</f>
        <v/>
      </c>
      <c r="AA429">
        <f>IF([2]Baskol!$J$432="","",[2]Baskol!$J$432)</f>
        <v/>
      </c>
      <c r="AB429">
        <f>IF([2]Baskol!$K$432="","",[2]Baskol!$K$432)</f>
        <v/>
      </c>
      <c r="AC429">
        <f>IF([2]Baskol!$L$432="","",[2]Baskol!$L$432)</f>
        <v/>
      </c>
      <c r="AD429">
        <f>IF([2]Baskol!$N$432="","",[2]Baskol!$N$432)</f>
        <v/>
      </c>
      <c r="AE429">
        <f>IF([2]Baskol!$O$432="","",[2]Baskol!$O$432)</f>
        <v/>
      </c>
      <c r="AG429">
        <f>IF([3]Entry!$C$432="","",[3]Entry!$C$432)</f>
        <v/>
      </c>
      <c r="AH429">
        <f>IF([3]Entry!$D$432="","",[3]Entry!$D$432)</f>
        <v/>
      </c>
      <c r="AI429">
        <f>IF([3]Entry!$E$432="","",[3]Entry!$E$432)</f>
        <v/>
      </c>
      <c r="AJ429">
        <f>IF([3]Entry!$G$432="","",[3]Entry!$G$432)</f>
        <v/>
      </c>
      <c r="AK429">
        <f>IF([3]Entry!$K$432="","",[3]Entry!$K$432)</f>
        <v/>
      </c>
      <c r="AL429">
        <f>IF([3]Entry!$L$432="","",[3]Entry!$L$432)</f>
        <v/>
      </c>
      <c r="AM429">
        <f>IF([3]Entry!$M$432="","",[3]Entry!$M$432)</f>
        <v/>
      </c>
      <c r="AN429">
        <f>IF([3]Entry!$N$432="","",[3]Entry!$N$432)</f>
        <v/>
      </c>
      <c r="AO429">
        <f>IF([3]Entry!$R$432="","",[3]Entry!$R$432)</f>
        <v/>
      </c>
      <c r="AQ429">
        <f>IF(AND($D429&lt;&gt;"",$A429&lt;&gt;""),1,0)</f>
        <v/>
      </c>
      <c r="AR429">
        <f>SUM($AQ$6:$AQ429)</f>
        <v/>
      </c>
      <c r="AS429">
        <f>IFERROR(INDEX($A$6:$A$565,MATCH(ROW()-5,$AR$6:$AR$565,0)),"")</f>
        <v/>
      </c>
    </row>
    <row r="430">
      <c r="A430">
        <f>IF([1]Accounts!$D$431="","",[1]Accounts!$A$431)</f>
        <v/>
      </c>
      <c r="B430">
        <f>IF([1]Accounts!$D$431="","",[1]Accounts!$B$431)</f>
        <v/>
      </c>
      <c r="C430">
        <f>IF([1]Accounts!$D$431="","",[1]Accounts!$C$431)</f>
        <v/>
      </c>
      <c r="D430">
        <f>IF([1]Accounts!$D$431="","",[1]Accounts!$D$431)</f>
        <v/>
      </c>
      <c r="E430">
        <f>IF([1]Accounts!$D$431="","",[1]Accounts!$J$431)</f>
        <v/>
      </c>
      <c r="F430">
        <f>IF([1]Accounts!$D$431="","",[1]Accounts!$K$431)</f>
        <v/>
      </c>
      <c r="U430">
        <f>IF([2]Baskol!$B$433="","",[2]Baskol!$B$433)</f>
        <v/>
      </c>
      <c r="V430">
        <f>IF([2]Baskol!$C$433="","",[2]Baskol!$C$433)</f>
        <v/>
      </c>
      <c r="W430">
        <f>IF([2]Baskol!$D$433="","",[2]Baskol!$D$433)</f>
        <v/>
      </c>
      <c r="X430">
        <f>IF([2]Baskol!$E$433="","",[2]Baskol!$E$433)</f>
        <v/>
      </c>
      <c r="Y430">
        <f>IF([2]Baskol!$G$433="","",[2]Baskol!$G$433)</f>
        <v/>
      </c>
      <c r="Z430">
        <f>IF([2]Baskol!$I$433="","",[2]Baskol!$I$433)</f>
        <v/>
      </c>
      <c r="AA430">
        <f>IF([2]Baskol!$J$433="","",[2]Baskol!$J$433)</f>
        <v/>
      </c>
      <c r="AB430">
        <f>IF([2]Baskol!$K$433="","",[2]Baskol!$K$433)</f>
        <v/>
      </c>
      <c r="AC430">
        <f>IF([2]Baskol!$L$433="","",[2]Baskol!$L$433)</f>
        <v/>
      </c>
      <c r="AD430">
        <f>IF([2]Baskol!$N$433="","",[2]Baskol!$N$433)</f>
        <v/>
      </c>
      <c r="AE430">
        <f>IF([2]Baskol!$O$433="","",[2]Baskol!$O$433)</f>
        <v/>
      </c>
      <c r="AG430">
        <f>IF([3]Entry!$C$433="","",[3]Entry!$C$433)</f>
        <v/>
      </c>
      <c r="AH430">
        <f>IF([3]Entry!$D$433="","",[3]Entry!$D$433)</f>
        <v/>
      </c>
      <c r="AI430">
        <f>IF([3]Entry!$E$433="","",[3]Entry!$E$433)</f>
        <v/>
      </c>
      <c r="AJ430">
        <f>IF([3]Entry!$G$433="","",[3]Entry!$G$433)</f>
        <v/>
      </c>
      <c r="AK430">
        <f>IF([3]Entry!$K$433="","",[3]Entry!$K$433)</f>
        <v/>
      </c>
      <c r="AL430">
        <f>IF([3]Entry!$L$433="","",[3]Entry!$L$433)</f>
        <v/>
      </c>
      <c r="AM430">
        <f>IF([3]Entry!$M$433="","",[3]Entry!$M$433)</f>
        <v/>
      </c>
      <c r="AN430">
        <f>IF([3]Entry!$N$433="","",[3]Entry!$N$433)</f>
        <v/>
      </c>
      <c r="AO430">
        <f>IF([3]Entry!$R$433="","",[3]Entry!$R$433)</f>
        <v/>
      </c>
      <c r="AQ430">
        <f>IF(AND($D430&lt;&gt;"",$A430&lt;&gt;""),1,0)</f>
        <v/>
      </c>
      <c r="AR430">
        <f>SUM($AQ$6:$AQ430)</f>
        <v/>
      </c>
      <c r="AS430">
        <f>IFERROR(INDEX($A$6:$A$565,MATCH(ROW()-5,$AR$6:$AR$565,0)),"")</f>
        <v/>
      </c>
    </row>
    <row r="431">
      <c r="A431">
        <f>IF([1]Accounts!$D$432="","",[1]Accounts!$A$432)</f>
        <v/>
      </c>
      <c r="B431">
        <f>IF([1]Accounts!$D$432="","",[1]Accounts!$B$432)</f>
        <v/>
      </c>
      <c r="C431">
        <f>IF([1]Accounts!$D$432="","",[1]Accounts!$C$432)</f>
        <v/>
      </c>
      <c r="D431">
        <f>IF([1]Accounts!$D$432="","",[1]Accounts!$D$432)</f>
        <v/>
      </c>
      <c r="E431">
        <f>IF([1]Accounts!$D$432="","",[1]Accounts!$J$432)</f>
        <v/>
      </c>
      <c r="F431">
        <f>IF([1]Accounts!$D$432="","",[1]Accounts!$K$432)</f>
        <v/>
      </c>
      <c r="U431">
        <f>IF([2]Baskol!$B$434="","",[2]Baskol!$B$434)</f>
        <v/>
      </c>
      <c r="V431">
        <f>IF([2]Baskol!$C$434="","",[2]Baskol!$C$434)</f>
        <v/>
      </c>
      <c r="W431">
        <f>IF([2]Baskol!$D$434="","",[2]Baskol!$D$434)</f>
        <v/>
      </c>
      <c r="X431">
        <f>IF([2]Baskol!$E$434="","",[2]Baskol!$E$434)</f>
        <v/>
      </c>
      <c r="Y431">
        <f>IF([2]Baskol!$G$434="","",[2]Baskol!$G$434)</f>
        <v/>
      </c>
      <c r="Z431">
        <f>IF([2]Baskol!$I$434="","",[2]Baskol!$I$434)</f>
        <v/>
      </c>
      <c r="AA431">
        <f>IF([2]Baskol!$J$434="","",[2]Baskol!$J$434)</f>
        <v/>
      </c>
      <c r="AB431">
        <f>IF([2]Baskol!$K$434="","",[2]Baskol!$K$434)</f>
        <v/>
      </c>
      <c r="AC431">
        <f>IF([2]Baskol!$L$434="","",[2]Baskol!$L$434)</f>
        <v/>
      </c>
      <c r="AD431">
        <f>IF([2]Baskol!$N$434="","",[2]Baskol!$N$434)</f>
        <v/>
      </c>
      <c r="AE431">
        <f>IF([2]Baskol!$O$434="","",[2]Baskol!$O$434)</f>
        <v/>
      </c>
      <c r="AG431">
        <f>IF([3]Entry!$C$434="","",[3]Entry!$C$434)</f>
        <v/>
      </c>
      <c r="AH431">
        <f>IF([3]Entry!$D$434="","",[3]Entry!$D$434)</f>
        <v/>
      </c>
      <c r="AI431">
        <f>IF([3]Entry!$E$434="","",[3]Entry!$E$434)</f>
        <v/>
      </c>
      <c r="AJ431">
        <f>IF([3]Entry!$G$434="","",[3]Entry!$G$434)</f>
        <v/>
      </c>
      <c r="AK431">
        <f>IF([3]Entry!$K$434="","",[3]Entry!$K$434)</f>
        <v/>
      </c>
      <c r="AL431">
        <f>IF([3]Entry!$L$434="","",[3]Entry!$L$434)</f>
        <v/>
      </c>
      <c r="AM431">
        <f>IF([3]Entry!$M$434="","",[3]Entry!$M$434)</f>
        <v/>
      </c>
      <c r="AN431">
        <f>IF([3]Entry!$N$434="","",[3]Entry!$N$434)</f>
        <v/>
      </c>
      <c r="AO431">
        <f>IF([3]Entry!$R$434="","",[3]Entry!$R$434)</f>
        <v/>
      </c>
      <c r="AQ431">
        <f>IF(AND($D431&lt;&gt;"",$A431&lt;&gt;""),1,0)</f>
        <v/>
      </c>
      <c r="AR431">
        <f>SUM($AQ$6:$AQ431)</f>
        <v/>
      </c>
      <c r="AS431">
        <f>IFERROR(INDEX($A$6:$A$565,MATCH(ROW()-5,$AR$6:$AR$565,0)),"")</f>
        <v/>
      </c>
    </row>
    <row r="432">
      <c r="A432">
        <f>IF([1]Accounts!$D$433="","",[1]Accounts!$A$433)</f>
        <v/>
      </c>
      <c r="B432">
        <f>IF([1]Accounts!$D$433="","",[1]Accounts!$B$433)</f>
        <v/>
      </c>
      <c r="C432">
        <f>IF([1]Accounts!$D$433="","",[1]Accounts!$C$433)</f>
        <v/>
      </c>
      <c r="D432">
        <f>IF([1]Accounts!$D$433="","",[1]Accounts!$D$433)</f>
        <v/>
      </c>
      <c r="E432">
        <f>IF([1]Accounts!$D$433="","",[1]Accounts!$J$433)</f>
        <v/>
      </c>
      <c r="F432">
        <f>IF([1]Accounts!$D$433="","",[1]Accounts!$K$433)</f>
        <v/>
      </c>
      <c r="U432">
        <f>IF([2]Baskol!$B$435="","",[2]Baskol!$B$435)</f>
        <v/>
      </c>
      <c r="V432">
        <f>IF([2]Baskol!$C$435="","",[2]Baskol!$C$435)</f>
        <v/>
      </c>
      <c r="W432">
        <f>IF([2]Baskol!$D$435="","",[2]Baskol!$D$435)</f>
        <v/>
      </c>
      <c r="X432">
        <f>IF([2]Baskol!$E$435="","",[2]Baskol!$E$435)</f>
        <v/>
      </c>
      <c r="Y432">
        <f>IF([2]Baskol!$G$435="","",[2]Baskol!$G$435)</f>
        <v/>
      </c>
      <c r="Z432">
        <f>IF([2]Baskol!$I$435="","",[2]Baskol!$I$435)</f>
        <v/>
      </c>
      <c r="AA432">
        <f>IF([2]Baskol!$J$435="","",[2]Baskol!$J$435)</f>
        <v/>
      </c>
      <c r="AB432">
        <f>IF([2]Baskol!$K$435="","",[2]Baskol!$K$435)</f>
        <v/>
      </c>
      <c r="AC432">
        <f>IF([2]Baskol!$L$435="","",[2]Baskol!$L$435)</f>
        <v/>
      </c>
      <c r="AD432">
        <f>IF([2]Baskol!$N$435="","",[2]Baskol!$N$435)</f>
        <v/>
      </c>
      <c r="AE432">
        <f>IF([2]Baskol!$O$435="","",[2]Baskol!$O$435)</f>
        <v/>
      </c>
      <c r="AG432">
        <f>IF([3]Entry!$C$435="","",[3]Entry!$C$435)</f>
        <v/>
      </c>
      <c r="AH432">
        <f>IF([3]Entry!$D$435="","",[3]Entry!$D$435)</f>
        <v/>
      </c>
      <c r="AI432">
        <f>IF([3]Entry!$E$435="","",[3]Entry!$E$435)</f>
        <v/>
      </c>
      <c r="AJ432">
        <f>IF([3]Entry!$G$435="","",[3]Entry!$G$435)</f>
        <v/>
      </c>
      <c r="AK432">
        <f>IF([3]Entry!$K$435="","",[3]Entry!$K$435)</f>
        <v/>
      </c>
      <c r="AL432">
        <f>IF([3]Entry!$L$435="","",[3]Entry!$L$435)</f>
        <v/>
      </c>
      <c r="AM432">
        <f>IF([3]Entry!$M$435="","",[3]Entry!$M$435)</f>
        <v/>
      </c>
      <c r="AN432">
        <f>IF([3]Entry!$N$435="","",[3]Entry!$N$435)</f>
        <v/>
      </c>
      <c r="AO432">
        <f>IF([3]Entry!$R$435="","",[3]Entry!$R$435)</f>
        <v/>
      </c>
      <c r="AQ432">
        <f>IF(AND($D432&lt;&gt;"",$A432&lt;&gt;""),1,0)</f>
        <v/>
      </c>
      <c r="AR432">
        <f>SUM($AQ$6:$AQ432)</f>
        <v/>
      </c>
      <c r="AS432">
        <f>IFERROR(INDEX($A$6:$A$565,MATCH(ROW()-5,$AR$6:$AR$565,0)),"")</f>
        <v/>
      </c>
    </row>
    <row r="433">
      <c r="A433">
        <f>IF([1]Accounts!$D$434="","",[1]Accounts!$A$434)</f>
        <v/>
      </c>
      <c r="B433">
        <f>IF([1]Accounts!$D$434="","",[1]Accounts!$B$434)</f>
        <v/>
      </c>
      <c r="C433">
        <f>IF([1]Accounts!$D$434="","",[1]Accounts!$C$434)</f>
        <v/>
      </c>
      <c r="D433">
        <f>IF([1]Accounts!$D$434="","",[1]Accounts!$D$434)</f>
        <v/>
      </c>
      <c r="E433">
        <f>IF([1]Accounts!$D$434="","",[1]Accounts!$J$434)</f>
        <v/>
      </c>
      <c r="F433">
        <f>IF([1]Accounts!$D$434="","",[1]Accounts!$K$434)</f>
        <v/>
      </c>
      <c r="U433">
        <f>IF([2]Baskol!$B$436="","",[2]Baskol!$B$436)</f>
        <v/>
      </c>
      <c r="V433">
        <f>IF([2]Baskol!$C$436="","",[2]Baskol!$C$436)</f>
        <v/>
      </c>
      <c r="W433">
        <f>IF([2]Baskol!$D$436="","",[2]Baskol!$D$436)</f>
        <v/>
      </c>
      <c r="X433">
        <f>IF([2]Baskol!$E$436="","",[2]Baskol!$E$436)</f>
        <v/>
      </c>
      <c r="Y433">
        <f>IF([2]Baskol!$G$436="","",[2]Baskol!$G$436)</f>
        <v/>
      </c>
      <c r="Z433">
        <f>IF([2]Baskol!$I$436="","",[2]Baskol!$I$436)</f>
        <v/>
      </c>
      <c r="AA433">
        <f>IF([2]Baskol!$J$436="","",[2]Baskol!$J$436)</f>
        <v/>
      </c>
      <c r="AB433">
        <f>IF([2]Baskol!$K$436="","",[2]Baskol!$K$436)</f>
        <v/>
      </c>
      <c r="AC433">
        <f>IF([2]Baskol!$L$436="","",[2]Baskol!$L$436)</f>
        <v/>
      </c>
      <c r="AD433">
        <f>IF([2]Baskol!$N$436="","",[2]Baskol!$N$436)</f>
        <v/>
      </c>
      <c r="AE433">
        <f>IF([2]Baskol!$O$436="","",[2]Baskol!$O$436)</f>
        <v/>
      </c>
      <c r="AG433">
        <f>IF([3]Entry!$C$436="","",[3]Entry!$C$436)</f>
        <v/>
      </c>
      <c r="AH433">
        <f>IF([3]Entry!$D$436="","",[3]Entry!$D$436)</f>
        <v/>
      </c>
      <c r="AI433">
        <f>IF([3]Entry!$E$436="","",[3]Entry!$E$436)</f>
        <v/>
      </c>
      <c r="AJ433">
        <f>IF([3]Entry!$G$436="","",[3]Entry!$G$436)</f>
        <v/>
      </c>
      <c r="AK433">
        <f>IF([3]Entry!$K$436="","",[3]Entry!$K$436)</f>
        <v/>
      </c>
      <c r="AL433">
        <f>IF([3]Entry!$L$436="","",[3]Entry!$L$436)</f>
        <v/>
      </c>
      <c r="AM433">
        <f>IF([3]Entry!$M$436="","",[3]Entry!$M$436)</f>
        <v/>
      </c>
      <c r="AN433">
        <f>IF([3]Entry!$N$436="","",[3]Entry!$N$436)</f>
        <v/>
      </c>
      <c r="AO433">
        <f>IF([3]Entry!$R$436="","",[3]Entry!$R$436)</f>
        <v/>
      </c>
      <c r="AQ433">
        <f>IF(AND($D433&lt;&gt;"",$A433&lt;&gt;""),1,0)</f>
        <v/>
      </c>
      <c r="AR433">
        <f>SUM($AQ$6:$AQ433)</f>
        <v/>
      </c>
      <c r="AS433">
        <f>IFERROR(INDEX($A$6:$A$565,MATCH(ROW()-5,$AR$6:$AR$565,0)),"")</f>
        <v/>
      </c>
    </row>
    <row r="434">
      <c r="A434">
        <f>IF([1]Accounts!$D$435="","",[1]Accounts!$A$435)</f>
        <v/>
      </c>
      <c r="B434">
        <f>IF([1]Accounts!$D$435="","",[1]Accounts!$B$435)</f>
        <v/>
      </c>
      <c r="C434">
        <f>IF([1]Accounts!$D$435="","",[1]Accounts!$C$435)</f>
        <v/>
      </c>
      <c r="D434">
        <f>IF([1]Accounts!$D$435="","",[1]Accounts!$D$435)</f>
        <v/>
      </c>
      <c r="E434">
        <f>IF([1]Accounts!$D$435="","",[1]Accounts!$J$435)</f>
        <v/>
      </c>
      <c r="F434">
        <f>IF([1]Accounts!$D$435="","",[1]Accounts!$K$435)</f>
        <v/>
      </c>
      <c r="U434">
        <f>IF([2]Baskol!$B$437="","",[2]Baskol!$B$437)</f>
        <v/>
      </c>
      <c r="V434">
        <f>IF([2]Baskol!$C$437="","",[2]Baskol!$C$437)</f>
        <v/>
      </c>
      <c r="W434">
        <f>IF([2]Baskol!$D$437="","",[2]Baskol!$D$437)</f>
        <v/>
      </c>
      <c r="X434">
        <f>IF([2]Baskol!$E$437="","",[2]Baskol!$E$437)</f>
        <v/>
      </c>
      <c r="Y434">
        <f>IF([2]Baskol!$G$437="","",[2]Baskol!$G$437)</f>
        <v/>
      </c>
      <c r="Z434">
        <f>IF([2]Baskol!$I$437="","",[2]Baskol!$I$437)</f>
        <v/>
      </c>
      <c r="AA434">
        <f>IF([2]Baskol!$J$437="","",[2]Baskol!$J$437)</f>
        <v/>
      </c>
      <c r="AB434">
        <f>IF([2]Baskol!$K$437="","",[2]Baskol!$K$437)</f>
        <v/>
      </c>
      <c r="AC434">
        <f>IF([2]Baskol!$L$437="","",[2]Baskol!$L$437)</f>
        <v/>
      </c>
      <c r="AD434">
        <f>IF([2]Baskol!$N$437="","",[2]Baskol!$N$437)</f>
        <v/>
      </c>
      <c r="AE434">
        <f>IF([2]Baskol!$O$437="","",[2]Baskol!$O$437)</f>
        <v/>
      </c>
      <c r="AG434">
        <f>IF([3]Entry!$C$437="","",[3]Entry!$C$437)</f>
        <v/>
      </c>
      <c r="AH434">
        <f>IF([3]Entry!$D$437="","",[3]Entry!$D$437)</f>
        <v/>
      </c>
      <c r="AI434">
        <f>IF([3]Entry!$E$437="","",[3]Entry!$E$437)</f>
        <v/>
      </c>
      <c r="AJ434">
        <f>IF([3]Entry!$G$437="","",[3]Entry!$G$437)</f>
        <v/>
      </c>
      <c r="AK434">
        <f>IF([3]Entry!$K$437="","",[3]Entry!$K$437)</f>
        <v/>
      </c>
      <c r="AL434">
        <f>IF([3]Entry!$L$437="","",[3]Entry!$L$437)</f>
        <v/>
      </c>
      <c r="AM434">
        <f>IF([3]Entry!$M$437="","",[3]Entry!$M$437)</f>
        <v/>
      </c>
      <c r="AN434">
        <f>IF([3]Entry!$N$437="","",[3]Entry!$N$437)</f>
        <v/>
      </c>
      <c r="AO434">
        <f>IF([3]Entry!$R$437="","",[3]Entry!$R$437)</f>
        <v/>
      </c>
      <c r="AQ434">
        <f>IF(AND($D434&lt;&gt;"",$A434&lt;&gt;""),1,0)</f>
        <v/>
      </c>
      <c r="AR434">
        <f>SUM($AQ$6:$AQ434)</f>
        <v/>
      </c>
      <c r="AS434">
        <f>IFERROR(INDEX($A$6:$A$565,MATCH(ROW()-5,$AR$6:$AR$565,0)),"")</f>
        <v/>
      </c>
    </row>
    <row r="435">
      <c r="A435">
        <f>IF([1]Accounts!$D$436="","",[1]Accounts!$A$436)</f>
        <v/>
      </c>
      <c r="B435">
        <f>IF([1]Accounts!$D$436="","",[1]Accounts!$B$436)</f>
        <v/>
      </c>
      <c r="C435">
        <f>IF([1]Accounts!$D$436="","",[1]Accounts!$C$436)</f>
        <v/>
      </c>
      <c r="D435">
        <f>IF([1]Accounts!$D$436="","",[1]Accounts!$D$436)</f>
        <v/>
      </c>
      <c r="E435">
        <f>IF([1]Accounts!$D$436="","",[1]Accounts!$J$436)</f>
        <v/>
      </c>
      <c r="F435">
        <f>IF([1]Accounts!$D$436="","",[1]Accounts!$K$436)</f>
        <v/>
      </c>
      <c r="U435">
        <f>IF([2]Baskol!$B$438="","",[2]Baskol!$B$438)</f>
        <v/>
      </c>
      <c r="V435">
        <f>IF([2]Baskol!$C$438="","",[2]Baskol!$C$438)</f>
        <v/>
      </c>
      <c r="W435">
        <f>IF([2]Baskol!$D$438="","",[2]Baskol!$D$438)</f>
        <v/>
      </c>
      <c r="X435">
        <f>IF([2]Baskol!$E$438="","",[2]Baskol!$E$438)</f>
        <v/>
      </c>
      <c r="Y435">
        <f>IF([2]Baskol!$G$438="","",[2]Baskol!$G$438)</f>
        <v/>
      </c>
      <c r="Z435">
        <f>IF([2]Baskol!$I$438="","",[2]Baskol!$I$438)</f>
        <v/>
      </c>
      <c r="AA435">
        <f>IF([2]Baskol!$J$438="","",[2]Baskol!$J$438)</f>
        <v/>
      </c>
      <c r="AB435">
        <f>IF([2]Baskol!$K$438="","",[2]Baskol!$K$438)</f>
        <v/>
      </c>
      <c r="AC435">
        <f>IF([2]Baskol!$L$438="","",[2]Baskol!$L$438)</f>
        <v/>
      </c>
      <c r="AD435">
        <f>IF([2]Baskol!$N$438="","",[2]Baskol!$N$438)</f>
        <v/>
      </c>
      <c r="AE435">
        <f>IF([2]Baskol!$O$438="","",[2]Baskol!$O$438)</f>
        <v/>
      </c>
      <c r="AG435">
        <f>IF([3]Entry!$C$438="","",[3]Entry!$C$438)</f>
        <v/>
      </c>
      <c r="AH435">
        <f>IF([3]Entry!$D$438="","",[3]Entry!$D$438)</f>
        <v/>
      </c>
      <c r="AI435">
        <f>IF([3]Entry!$E$438="","",[3]Entry!$E$438)</f>
        <v/>
      </c>
      <c r="AJ435">
        <f>IF([3]Entry!$G$438="","",[3]Entry!$G$438)</f>
        <v/>
      </c>
      <c r="AK435">
        <f>IF([3]Entry!$K$438="","",[3]Entry!$K$438)</f>
        <v/>
      </c>
      <c r="AL435">
        <f>IF([3]Entry!$L$438="","",[3]Entry!$L$438)</f>
        <v/>
      </c>
      <c r="AM435">
        <f>IF([3]Entry!$M$438="","",[3]Entry!$M$438)</f>
        <v/>
      </c>
      <c r="AN435">
        <f>IF([3]Entry!$N$438="","",[3]Entry!$N$438)</f>
        <v/>
      </c>
      <c r="AO435">
        <f>IF([3]Entry!$R$438="","",[3]Entry!$R$438)</f>
        <v/>
      </c>
      <c r="AQ435">
        <f>IF(AND($D435&lt;&gt;"",$A435&lt;&gt;""),1,0)</f>
        <v/>
      </c>
      <c r="AR435">
        <f>SUM($AQ$6:$AQ435)</f>
        <v/>
      </c>
      <c r="AS435">
        <f>IFERROR(INDEX($A$6:$A$565,MATCH(ROW()-5,$AR$6:$AR$565,0)),"")</f>
        <v/>
      </c>
    </row>
    <row r="436">
      <c r="A436">
        <f>IF([1]Accounts!$D$437="","",[1]Accounts!$A$437)</f>
        <v/>
      </c>
      <c r="B436">
        <f>IF([1]Accounts!$D$437="","",[1]Accounts!$B$437)</f>
        <v/>
      </c>
      <c r="C436">
        <f>IF([1]Accounts!$D$437="","",[1]Accounts!$C$437)</f>
        <v/>
      </c>
      <c r="D436">
        <f>IF([1]Accounts!$D$437="","",[1]Accounts!$D$437)</f>
        <v/>
      </c>
      <c r="E436">
        <f>IF([1]Accounts!$D$437="","",[1]Accounts!$J$437)</f>
        <v/>
      </c>
      <c r="F436">
        <f>IF([1]Accounts!$D$437="","",[1]Accounts!$K$437)</f>
        <v/>
      </c>
      <c r="U436">
        <f>IF([2]Baskol!$B$439="","",[2]Baskol!$B$439)</f>
        <v/>
      </c>
      <c r="V436">
        <f>IF([2]Baskol!$C$439="","",[2]Baskol!$C$439)</f>
        <v/>
      </c>
      <c r="W436">
        <f>IF([2]Baskol!$D$439="","",[2]Baskol!$D$439)</f>
        <v/>
      </c>
      <c r="X436">
        <f>IF([2]Baskol!$E$439="","",[2]Baskol!$E$439)</f>
        <v/>
      </c>
      <c r="Y436">
        <f>IF([2]Baskol!$G$439="","",[2]Baskol!$G$439)</f>
        <v/>
      </c>
      <c r="Z436">
        <f>IF([2]Baskol!$I$439="","",[2]Baskol!$I$439)</f>
        <v/>
      </c>
      <c r="AA436">
        <f>IF([2]Baskol!$J$439="","",[2]Baskol!$J$439)</f>
        <v/>
      </c>
      <c r="AB436">
        <f>IF([2]Baskol!$K$439="","",[2]Baskol!$K$439)</f>
        <v/>
      </c>
      <c r="AC436">
        <f>IF([2]Baskol!$L$439="","",[2]Baskol!$L$439)</f>
        <v/>
      </c>
      <c r="AD436">
        <f>IF([2]Baskol!$N$439="","",[2]Baskol!$N$439)</f>
        <v/>
      </c>
      <c r="AE436">
        <f>IF([2]Baskol!$O$439="","",[2]Baskol!$O$439)</f>
        <v/>
      </c>
      <c r="AG436">
        <f>IF([3]Entry!$C$439="","",[3]Entry!$C$439)</f>
        <v/>
      </c>
      <c r="AH436">
        <f>IF([3]Entry!$D$439="","",[3]Entry!$D$439)</f>
        <v/>
      </c>
      <c r="AI436">
        <f>IF([3]Entry!$E$439="","",[3]Entry!$E$439)</f>
        <v/>
      </c>
      <c r="AJ436">
        <f>IF([3]Entry!$G$439="","",[3]Entry!$G$439)</f>
        <v/>
      </c>
      <c r="AK436">
        <f>IF([3]Entry!$K$439="","",[3]Entry!$K$439)</f>
        <v/>
      </c>
      <c r="AL436">
        <f>IF([3]Entry!$L$439="","",[3]Entry!$L$439)</f>
        <v/>
      </c>
      <c r="AM436">
        <f>IF([3]Entry!$M$439="","",[3]Entry!$M$439)</f>
        <v/>
      </c>
      <c r="AN436">
        <f>IF([3]Entry!$N$439="","",[3]Entry!$N$439)</f>
        <v/>
      </c>
      <c r="AO436">
        <f>IF([3]Entry!$R$439="","",[3]Entry!$R$439)</f>
        <v/>
      </c>
      <c r="AQ436">
        <f>IF(AND($D436&lt;&gt;"",$A436&lt;&gt;""),1,0)</f>
        <v/>
      </c>
      <c r="AR436">
        <f>SUM($AQ$6:$AQ436)</f>
        <v/>
      </c>
      <c r="AS436">
        <f>IFERROR(INDEX($A$6:$A$565,MATCH(ROW()-5,$AR$6:$AR$565,0)),"")</f>
        <v/>
      </c>
    </row>
    <row r="437">
      <c r="A437">
        <f>IF([1]Accounts!$D$438="","",[1]Accounts!$A$438)</f>
        <v/>
      </c>
      <c r="B437">
        <f>IF([1]Accounts!$D$438="","",[1]Accounts!$B$438)</f>
        <v/>
      </c>
      <c r="C437">
        <f>IF([1]Accounts!$D$438="","",[1]Accounts!$C$438)</f>
        <v/>
      </c>
      <c r="D437">
        <f>IF([1]Accounts!$D$438="","",[1]Accounts!$D$438)</f>
        <v/>
      </c>
      <c r="E437">
        <f>IF([1]Accounts!$D$438="","",[1]Accounts!$J$438)</f>
        <v/>
      </c>
      <c r="F437">
        <f>IF([1]Accounts!$D$438="","",[1]Accounts!$K$438)</f>
        <v/>
      </c>
      <c r="U437">
        <f>IF([2]Baskol!$B$440="","",[2]Baskol!$B$440)</f>
        <v/>
      </c>
      <c r="V437">
        <f>IF([2]Baskol!$C$440="","",[2]Baskol!$C$440)</f>
        <v/>
      </c>
      <c r="W437">
        <f>IF([2]Baskol!$D$440="","",[2]Baskol!$D$440)</f>
        <v/>
      </c>
      <c r="X437">
        <f>IF([2]Baskol!$E$440="","",[2]Baskol!$E$440)</f>
        <v/>
      </c>
      <c r="Y437">
        <f>IF([2]Baskol!$G$440="","",[2]Baskol!$G$440)</f>
        <v/>
      </c>
      <c r="Z437">
        <f>IF([2]Baskol!$I$440="","",[2]Baskol!$I$440)</f>
        <v/>
      </c>
      <c r="AA437">
        <f>IF([2]Baskol!$J$440="","",[2]Baskol!$J$440)</f>
        <v/>
      </c>
      <c r="AB437">
        <f>IF([2]Baskol!$K$440="","",[2]Baskol!$K$440)</f>
        <v/>
      </c>
      <c r="AC437">
        <f>IF([2]Baskol!$L$440="","",[2]Baskol!$L$440)</f>
        <v/>
      </c>
      <c r="AD437">
        <f>IF([2]Baskol!$N$440="","",[2]Baskol!$N$440)</f>
        <v/>
      </c>
      <c r="AE437">
        <f>IF([2]Baskol!$O$440="","",[2]Baskol!$O$440)</f>
        <v/>
      </c>
      <c r="AG437">
        <f>IF([3]Entry!$C$440="","",[3]Entry!$C$440)</f>
        <v/>
      </c>
      <c r="AH437">
        <f>IF([3]Entry!$D$440="","",[3]Entry!$D$440)</f>
        <v/>
      </c>
      <c r="AI437">
        <f>IF([3]Entry!$E$440="","",[3]Entry!$E$440)</f>
        <v/>
      </c>
      <c r="AJ437">
        <f>IF([3]Entry!$G$440="","",[3]Entry!$G$440)</f>
        <v/>
      </c>
      <c r="AK437">
        <f>IF([3]Entry!$K$440="","",[3]Entry!$K$440)</f>
        <v/>
      </c>
      <c r="AL437">
        <f>IF([3]Entry!$L$440="","",[3]Entry!$L$440)</f>
        <v/>
      </c>
      <c r="AM437">
        <f>IF([3]Entry!$M$440="","",[3]Entry!$M$440)</f>
        <v/>
      </c>
      <c r="AN437">
        <f>IF([3]Entry!$N$440="","",[3]Entry!$N$440)</f>
        <v/>
      </c>
      <c r="AO437">
        <f>IF([3]Entry!$R$440="","",[3]Entry!$R$440)</f>
        <v/>
      </c>
      <c r="AQ437">
        <f>IF(AND($D437&lt;&gt;"",$A437&lt;&gt;""),1,0)</f>
        <v/>
      </c>
      <c r="AR437">
        <f>SUM($AQ$6:$AQ437)</f>
        <v/>
      </c>
      <c r="AS437">
        <f>IFERROR(INDEX($A$6:$A$565,MATCH(ROW()-5,$AR$6:$AR$565,0)),"")</f>
        <v/>
      </c>
    </row>
    <row r="438">
      <c r="A438">
        <f>IF([1]Accounts!$D$439="","",[1]Accounts!$A$439)</f>
        <v/>
      </c>
      <c r="B438">
        <f>IF([1]Accounts!$D$439="","",[1]Accounts!$B$439)</f>
        <v/>
      </c>
      <c r="C438">
        <f>IF([1]Accounts!$D$439="","",[1]Accounts!$C$439)</f>
        <v/>
      </c>
      <c r="D438">
        <f>IF([1]Accounts!$D$439="","",[1]Accounts!$D$439)</f>
        <v/>
      </c>
      <c r="E438">
        <f>IF([1]Accounts!$D$439="","",[1]Accounts!$J$439)</f>
        <v/>
      </c>
      <c r="F438">
        <f>IF([1]Accounts!$D$439="","",[1]Accounts!$K$439)</f>
        <v/>
      </c>
      <c r="U438">
        <f>IF([2]Baskol!$B$441="","",[2]Baskol!$B$441)</f>
        <v/>
      </c>
      <c r="V438">
        <f>IF([2]Baskol!$C$441="","",[2]Baskol!$C$441)</f>
        <v/>
      </c>
      <c r="W438">
        <f>IF([2]Baskol!$D$441="","",[2]Baskol!$D$441)</f>
        <v/>
      </c>
      <c r="X438">
        <f>IF([2]Baskol!$E$441="","",[2]Baskol!$E$441)</f>
        <v/>
      </c>
      <c r="Y438">
        <f>IF([2]Baskol!$G$441="","",[2]Baskol!$G$441)</f>
        <v/>
      </c>
      <c r="Z438">
        <f>IF([2]Baskol!$I$441="","",[2]Baskol!$I$441)</f>
        <v/>
      </c>
      <c r="AA438">
        <f>IF([2]Baskol!$J$441="","",[2]Baskol!$J$441)</f>
        <v/>
      </c>
      <c r="AB438">
        <f>IF([2]Baskol!$K$441="","",[2]Baskol!$K$441)</f>
        <v/>
      </c>
      <c r="AC438">
        <f>IF([2]Baskol!$L$441="","",[2]Baskol!$L$441)</f>
        <v/>
      </c>
      <c r="AD438">
        <f>IF([2]Baskol!$N$441="","",[2]Baskol!$N$441)</f>
        <v/>
      </c>
      <c r="AE438">
        <f>IF([2]Baskol!$O$441="","",[2]Baskol!$O$441)</f>
        <v/>
      </c>
      <c r="AG438">
        <f>IF([3]Entry!$C$441="","",[3]Entry!$C$441)</f>
        <v/>
      </c>
      <c r="AH438">
        <f>IF([3]Entry!$D$441="","",[3]Entry!$D$441)</f>
        <v/>
      </c>
      <c r="AI438">
        <f>IF([3]Entry!$E$441="","",[3]Entry!$E$441)</f>
        <v/>
      </c>
      <c r="AJ438">
        <f>IF([3]Entry!$G$441="","",[3]Entry!$G$441)</f>
        <v/>
      </c>
      <c r="AK438">
        <f>IF([3]Entry!$K$441="","",[3]Entry!$K$441)</f>
        <v/>
      </c>
      <c r="AL438">
        <f>IF([3]Entry!$L$441="","",[3]Entry!$L$441)</f>
        <v/>
      </c>
      <c r="AM438">
        <f>IF([3]Entry!$M$441="","",[3]Entry!$M$441)</f>
        <v/>
      </c>
      <c r="AN438">
        <f>IF([3]Entry!$N$441="","",[3]Entry!$N$441)</f>
        <v/>
      </c>
      <c r="AO438">
        <f>IF([3]Entry!$R$441="","",[3]Entry!$R$441)</f>
        <v/>
      </c>
      <c r="AQ438">
        <f>IF(AND($D438&lt;&gt;"",$A438&lt;&gt;""),1,0)</f>
        <v/>
      </c>
      <c r="AR438">
        <f>SUM($AQ$6:$AQ438)</f>
        <v/>
      </c>
      <c r="AS438">
        <f>IFERROR(INDEX($A$6:$A$565,MATCH(ROW()-5,$AR$6:$AR$565,0)),"")</f>
        <v/>
      </c>
    </row>
    <row r="439">
      <c r="A439">
        <f>IF([1]Accounts!$D$440="","",[1]Accounts!$A$440)</f>
        <v/>
      </c>
      <c r="B439">
        <f>IF([1]Accounts!$D$440="","",[1]Accounts!$B$440)</f>
        <v/>
      </c>
      <c r="C439">
        <f>IF([1]Accounts!$D$440="","",[1]Accounts!$C$440)</f>
        <v/>
      </c>
      <c r="D439">
        <f>IF([1]Accounts!$D$440="","",[1]Accounts!$D$440)</f>
        <v/>
      </c>
      <c r="E439">
        <f>IF([1]Accounts!$D$440="","",[1]Accounts!$J$440)</f>
        <v/>
      </c>
      <c r="F439">
        <f>IF([1]Accounts!$D$440="","",[1]Accounts!$K$440)</f>
        <v/>
      </c>
      <c r="U439">
        <f>IF([2]Baskol!$B$442="","",[2]Baskol!$B$442)</f>
        <v/>
      </c>
      <c r="V439">
        <f>IF([2]Baskol!$C$442="","",[2]Baskol!$C$442)</f>
        <v/>
      </c>
      <c r="W439">
        <f>IF([2]Baskol!$D$442="","",[2]Baskol!$D$442)</f>
        <v/>
      </c>
      <c r="X439">
        <f>IF([2]Baskol!$E$442="","",[2]Baskol!$E$442)</f>
        <v/>
      </c>
      <c r="Y439">
        <f>IF([2]Baskol!$G$442="","",[2]Baskol!$G$442)</f>
        <v/>
      </c>
      <c r="Z439">
        <f>IF([2]Baskol!$I$442="","",[2]Baskol!$I$442)</f>
        <v/>
      </c>
      <c r="AA439">
        <f>IF([2]Baskol!$J$442="","",[2]Baskol!$J$442)</f>
        <v/>
      </c>
      <c r="AB439">
        <f>IF([2]Baskol!$K$442="","",[2]Baskol!$K$442)</f>
        <v/>
      </c>
      <c r="AC439">
        <f>IF([2]Baskol!$L$442="","",[2]Baskol!$L$442)</f>
        <v/>
      </c>
      <c r="AD439">
        <f>IF([2]Baskol!$N$442="","",[2]Baskol!$N$442)</f>
        <v/>
      </c>
      <c r="AE439">
        <f>IF([2]Baskol!$O$442="","",[2]Baskol!$O$442)</f>
        <v/>
      </c>
      <c r="AG439">
        <f>IF([3]Entry!$C$442="","",[3]Entry!$C$442)</f>
        <v/>
      </c>
      <c r="AH439">
        <f>IF([3]Entry!$D$442="","",[3]Entry!$D$442)</f>
        <v/>
      </c>
      <c r="AI439">
        <f>IF([3]Entry!$E$442="","",[3]Entry!$E$442)</f>
        <v/>
      </c>
      <c r="AJ439">
        <f>IF([3]Entry!$G$442="","",[3]Entry!$G$442)</f>
        <v/>
      </c>
      <c r="AK439">
        <f>IF([3]Entry!$K$442="","",[3]Entry!$K$442)</f>
        <v/>
      </c>
      <c r="AL439">
        <f>IF([3]Entry!$L$442="","",[3]Entry!$L$442)</f>
        <v/>
      </c>
      <c r="AM439">
        <f>IF([3]Entry!$M$442="","",[3]Entry!$M$442)</f>
        <v/>
      </c>
      <c r="AN439">
        <f>IF([3]Entry!$N$442="","",[3]Entry!$N$442)</f>
        <v/>
      </c>
      <c r="AO439">
        <f>IF([3]Entry!$R$442="","",[3]Entry!$R$442)</f>
        <v/>
      </c>
      <c r="AQ439">
        <f>IF(AND($D439&lt;&gt;"",$A439&lt;&gt;""),1,0)</f>
        <v/>
      </c>
      <c r="AR439">
        <f>SUM($AQ$6:$AQ439)</f>
        <v/>
      </c>
      <c r="AS439">
        <f>IFERROR(INDEX($A$6:$A$565,MATCH(ROW()-5,$AR$6:$AR$565,0)),"")</f>
        <v/>
      </c>
    </row>
    <row r="440">
      <c r="A440">
        <f>IF([1]Accounts!$D$441="","",[1]Accounts!$A$441)</f>
        <v/>
      </c>
      <c r="B440">
        <f>IF([1]Accounts!$D$441="","",[1]Accounts!$B$441)</f>
        <v/>
      </c>
      <c r="C440">
        <f>IF([1]Accounts!$D$441="","",[1]Accounts!$C$441)</f>
        <v/>
      </c>
      <c r="D440">
        <f>IF([1]Accounts!$D$441="","",[1]Accounts!$D$441)</f>
        <v/>
      </c>
      <c r="E440">
        <f>IF([1]Accounts!$D$441="","",[1]Accounts!$J$441)</f>
        <v/>
      </c>
      <c r="F440">
        <f>IF([1]Accounts!$D$441="","",[1]Accounts!$K$441)</f>
        <v/>
      </c>
      <c r="U440">
        <f>IF([2]Baskol!$B$443="","",[2]Baskol!$B$443)</f>
        <v/>
      </c>
      <c r="V440">
        <f>IF([2]Baskol!$C$443="","",[2]Baskol!$C$443)</f>
        <v/>
      </c>
      <c r="W440">
        <f>IF([2]Baskol!$D$443="","",[2]Baskol!$D$443)</f>
        <v/>
      </c>
      <c r="X440">
        <f>IF([2]Baskol!$E$443="","",[2]Baskol!$E$443)</f>
        <v/>
      </c>
      <c r="Y440">
        <f>IF([2]Baskol!$G$443="","",[2]Baskol!$G$443)</f>
        <v/>
      </c>
      <c r="Z440">
        <f>IF([2]Baskol!$I$443="","",[2]Baskol!$I$443)</f>
        <v/>
      </c>
      <c r="AA440">
        <f>IF([2]Baskol!$J$443="","",[2]Baskol!$J$443)</f>
        <v/>
      </c>
      <c r="AB440">
        <f>IF([2]Baskol!$K$443="","",[2]Baskol!$K$443)</f>
        <v/>
      </c>
      <c r="AC440">
        <f>IF([2]Baskol!$L$443="","",[2]Baskol!$L$443)</f>
        <v/>
      </c>
      <c r="AD440">
        <f>IF([2]Baskol!$N$443="","",[2]Baskol!$N$443)</f>
        <v/>
      </c>
      <c r="AE440">
        <f>IF([2]Baskol!$O$443="","",[2]Baskol!$O$443)</f>
        <v/>
      </c>
      <c r="AG440">
        <f>IF([3]Entry!$C$443="","",[3]Entry!$C$443)</f>
        <v/>
      </c>
      <c r="AH440">
        <f>IF([3]Entry!$D$443="","",[3]Entry!$D$443)</f>
        <v/>
      </c>
      <c r="AI440">
        <f>IF([3]Entry!$E$443="","",[3]Entry!$E$443)</f>
        <v/>
      </c>
      <c r="AJ440">
        <f>IF([3]Entry!$G$443="","",[3]Entry!$G$443)</f>
        <v/>
      </c>
      <c r="AK440">
        <f>IF([3]Entry!$K$443="","",[3]Entry!$K$443)</f>
        <v/>
      </c>
      <c r="AL440">
        <f>IF([3]Entry!$L$443="","",[3]Entry!$L$443)</f>
        <v/>
      </c>
      <c r="AM440">
        <f>IF([3]Entry!$M$443="","",[3]Entry!$M$443)</f>
        <v/>
      </c>
      <c r="AN440">
        <f>IF([3]Entry!$N$443="","",[3]Entry!$N$443)</f>
        <v/>
      </c>
      <c r="AO440">
        <f>IF([3]Entry!$R$443="","",[3]Entry!$R$443)</f>
        <v/>
      </c>
      <c r="AQ440">
        <f>IF(AND($D440&lt;&gt;"",$A440&lt;&gt;""),1,0)</f>
        <v/>
      </c>
      <c r="AR440">
        <f>SUM($AQ$6:$AQ440)</f>
        <v/>
      </c>
      <c r="AS440">
        <f>IFERROR(INDEX($A$6:$A$565,MATCH(ROW()-5,$AR$6:$AR$565,0)),"")</f>
        <v/>
      </c>
    </row>
    <row r="441">
      <c r="A441">
        <f>IF([1]Accounts!$D$442="","",[1]Accounts!$A$442)</f>
        <v/>
      </c>
      <c r="B441">
        <f>IF([1]Accounts!$D$442="","",[1]Accounts!$B$442)</f>
        <v/>
      </c>
      <c r="C441">
        <f>IF([1]Accounts!$D$442="","",[1]Accounts!$C$442)</f>
        <v/>
      </c>
      <c r="D441">
        <f>IF([1]Accounts!$D$442="","",[1]Accounts!$D$442)</f>
        <v/>
      </c>
      <c r="E441">
        <f>IF([1]Accounts!$D$442="","",[1]Accounts!$J$442)</f>
        <v/>
      </c>
      <c r="F441">
        <f>IF([1]Accounts!$D$442="","",[1]Accounts!$K$442)</f>
        <v/>
      </c>
      <c r="U441">
        <f>IF([2]Baskol!$B$444="","",[2]Baskol!$B$444)</f>
        <v/>
      </c>
      <c r="V441">
        <f>IF([2]Baskol!$C$444="","",[2]Baskol!$C$444)</f>
        <v/>
      </c>
      <c r="W441">
        <f>IF([2]Baskol!$D$444="","",[2]Baskol!$D$444)</f>
        <v/>
      </c>
      <c r="X441">
        <f>IF([2]Baskol!$E$444="","",[2]Baskol!$E$444)</f>
        <v/>
      </c>
      <c r="Y441">
        <f>IF([2]Baskol!$G$444="","",[2]Baskol!$G$444)</f>
        <v/>
      </c>
      <c r="Z441">
        <f>IF([2]Baskol!$I$444="","",[2]Baskol!$I$444)</f>
        <v/>
      </c>
      <c r="AA441">
        <f>IF([2]Baskol!$J$444="","",[2]Baskol!$J$444)</f>
        <v/>
      </c>
      <c r="AB441">
        <f>IF([2]Baskol!$K$444="","",[2]Baskol!$K$444)</f>
        <v/>
      </c>
      <c r="AC441">
        <f>IF([2]Baskol!$L$444="","",[2]Baskol!$L$444)</f>
        <v/>
      </c>
      <c r="AD441">
        <f>IF([2]Baskol!$N$444="","",[2]Baskol!$N$444)</f>
        <v/>
      </c>
      <c r="AE441">
        <f>IF([2]Baskol!$O$444="","",[2]Baskol!$O$444)</f>
        <v/>
      </c>
      <c r="AG441">
        <f>IF([3]Entry!$C$444="","",[3]Entry!$C$444)</f>
        <v/>
      </c>
      <c r="AH441">
        <f>IF([3]Entry!$D$444="","",[3]Entry!$D$444)</f>
        <v/>
      </c>
      <c r="AI441">
        <f>IF([3]Entry!$E$444="","",[3]Entry!$E$444)</f>
        <v/>
      </c>
      <c r="AJ441">
        <f>IF([3]Entry!$G$444="","",[3]Entry!$G$444)</f>
        <v/>
      </c>
      <c r="AK441">
        <f>IF([3]Entry!$K$444="","",[3]Entry!$K$444)</f>
        <v/>
      </c>
      <c r="AL441">
        <f>IF([3]Entry!$L$444="","",[3]Entry!$L$444)</f>
        <v/>
      </c>
      <c r="AM441">
        <f>IF([3]Entry!$M$444="","",[3]Entry!$M$444)</f>
        <v/>
      </c>
      <c r="AN441">
        <f>IF([3]Entry!$N$444="","",[3]Entry!$N$444)</f>
        <v/>
      </c>
      <c r="AO441">
        <f>IF([3]Entry!$R$444="","",[3]Entry!$R$444)</f>
        <v/>
      </c>
      <c r="AQ441">
        <f>IF(AND($D441&lt;&gt;"",$A441&lt;&gt;""),1,0)</f>
        <v/>
      </c>
      <c r="AR441">
        <f>SUM($AQ$6:$AQ441)</f>
        <v/>
      </c>
      <c r="AS441">
        <f>IFERROR(INDEX($A$6:$A$565,MATCH(ROW()-5,$AR$6:$AR$565,0)),"")</f>
        <v/>
      </c>
    </row>
    <row r="442">
      <c r="A442">
        <f>IF([1]Accounts!$D$443="","",[1]Accounts!$A$443)</f>
        <v/>
      </c>
      <c r="B442">
        <f>IF([1]Accounts!$D$443="","",[1]Accounts!$B$443)</f>
        <v/>
      </c>
      <c r="C442">
        <f>IF([1]Accounts!$D$443="","",[1]Accounts!$C$443)</f>
        <v/>
      </c>
      <c r="D442">
        <f>IF([1]Accounts!$D$443="","",[1]Accounts!$D$443)</f>
        <v/>
      </c>
      <c r="E442">
        <f>IF([1]Accounts!$D$443="","",[1]Accounts!$J$443)</f>
        <v/>
      </c>
      <c r="F442">
        <f>IF([1]Accounts!$D$443="","",[1]Accounts!$K$443)</f>
        <v/>
      </c>
      <c r="U442">
        <f>IF([2]Baskol!$B$445="","",[2]Baskol!$B$445)</f>
        <v/>
      </c>
      <c r="V442">
        <f>IF([2]Baskol!$C$445="","",[2]Baskol!$C$445)</f>
        <v/>
      </c>
      <c r="W442">
        <f>IF([2]Baskol!$D$445="","",[2]Baskol!$D$445)</f>
        <v/>
      </c>
      <c r="X442">
        <f>IF([2]Baskol!$E$445="","",[2]Baskol!$E$445)</f>
        <v/>
      </c>
      <c r="Y442">
        <f>IF([2]Baskol!$G$445="","",[2]Baskol!$G$445)</f>
        <v/>
      </c>
      <c r="Z442">
        <f>IF([2]Baskol!$I$445="","",[2]Baskol!$I$445)</f>
        <v/>
      </c>
      <c r="AA442">
        <f>IF([2]Baskol!$J$445="","",[2]Baskol!$J$445)</f>
        <v/>
      </c>
      <c r="AB442">
        <f>IF([2]Baskol!$K$445="","",[2]Baskol!$K$445)</f>
        <v/>
      </c>
      <c r="AC442">
        <f>IF([2]Baskol!$L$445="","",[2]Baskol!$L$445)</f>
        <v/>
      </c>
      <c r="AD442">
        <f>IF([2]Baskol!$N$445="","",[2]Baskol!$N$445)</f>
        <v/>
      </c>
      <c r="AE442">
        <f>IF([2]Baskol!$O$445="","",[2]Baskol!$O$445)</f>
        <v/>
      </c>
      <c r="AG442">
        <f>IF([3]Entry!$C$445="","",[3]Entry!$C$445)</f>
        <v/>
      </c>
      <c r="AH442">
        <f>IF([3]Entry!$D$445="","",[3]Entry!$D$445)</f>
        <v/>
      </c>
      <c r="AI442">
        <f>IF([3]Entry!$E$445="","",[3]Entry!$E$445)</f>
        <v/>
      </c>
      <c r="AJ442">
        <f>IF([3]Entry!$G$445="","",[3]Entry!$G$445)</f>
        <v/>
      </c>
      <c r="AK442">
        <f>IF([3]Entry!$K$445="","",[3]Entry!$K$445)</f>
        <v/>
      </c>
      <c r="AL442">
        <f>IF([3]Entry!$L$445="","",[3]Entry!$L$445)</f>
        <v/>
      </c>
      <c r="AM442">
        <f>IF([3]Entry!$M$445="","",[3]Entry!$M$445)</f>
        <v/>
      </c>
      <c r="AN442">
        <f>IF([3]Entry!$N$445="","",[3]Entry!$N$445)</f>
        <v/>
      </c>
      <c r="AO442">
        <f>IF([3]Entry!$R$445="","",[3]Entry!$R$445)</f>
        <v/>
      </c>
      <c r="AQ442">
        <f>IF(AND($D442&lt;&gt;"",$A442&lt;&gt;""),1,0)</f>
        <v/>
      </c>
      <c r="AR442">
        <f>SUM($AQ$6:$AQ442)</f>
        <v/>
      </c>
      <c r="AS442">
        <f>IFERROR(INDEX($A$6:$A$565,MATCH(ROW()-5,$AR$6:$AR$565,0)),"")</f>
        <v/>
      </c>
    </row>
    <row r="443">
      <c r="A443">
        <f>IF([1]Accounts!$D$444="","",[1]Accounts!$A$444)</f>
        <v/>
      </c>
      <c r="B443">
        <f>IF([1]Accounts!$D$444="","",[1]Accounts!$B$444)</f>
        <v/>
      </c>
      <c r="C443">
        <f>IF([1]Accounts!$D$444="","",[1]Accounts!$C$444)</f>
        <v/>
      </c>
      <c r="D443">
        <f>IF([1]Accounts!$D$444="","",[1]Accounts!$D$444)</f>
        <v/>
      </c>
      <c r="E443">
        <f>IF([1]Accounts!$D$444="","",[1]Accounts!$J$444)</f>
        <v/>
      </c>
      <c r="F443">
        <f>IF([1]Accounts!$D$444="","",[1]Accounts!$K$444)</f>
        <v/>
      </c>
      <c r="U443">
        <f>IF([2]Baskol!$B$446="","",[2]Baskol!$B$446)</f>
        <v/>
      </c>
      <c r="V443">
        <f>IF([2]Baskol!$C$446="","",[2]Baskol!$C$446)</f>
        <v/>
      </c>
      <c r="W443">
        <f>IF([2]Baskol!$D$446="","",[2]Baskol!$D$446)</f>
        <v/>
      </c>
      <c r="X443">
        <f>IF([2]Baskol!$E$446="","",[2]Baskol!$E$446)</f>
        <v/>
      </c>
      <c r="Y443">
        <f>IF([2]Baskol!$G$446="","",[2]Baskol!$G$446)</f>
        <v/>
      </c>
      <c r="Z443">
        <f>IF([2]Baskol!$I$446="","",[2]Baskol!$I$446)</f>
        <v/>
      </c>
      <c r="AA443">
        <f>IF([2]Baskol!$J$446="","",[2]Baskol!$J$446)</f>
        <v/>
      </c>
      <c r="AB443">
        <f>IF([2]Baskol!$K$446="","",[2]Baskol!$K$446)</f>
        <v/>
      </c>
      <c r="AC443">
        <f>IF([2]Baskol!$L$446="","",[2]Baskol!$L$446)</f>
        <v/>
      </c>
      <c r="AD443">
        <f>IF([2]Baskol!$N$446="","",[2]Baskol!$N$446)</f>
        <v/>
      </c>
      <c r="AE443">
        <f>IF([2]Baskol!$O$446="","",[2]Baskol!$O$446)</f>
        <v/>
      </c>
      <c r="AG443">
        <f>IF([3]Entry!$C$446="","",[3]Entry!$C$446)</f>
        <v/>
      </c>
      <c r="AH443">
        <f>IF([3]Entry!$D$446="","",[3]Entry!$D$446)</f>
        <v/>
      </c>
      <c r="AI443">
        <f>IF([3]Entry!$E$446="","",[3]Entry!$E$446)</f>
        <v/>
      </c>
      <c r="AJ443">
        <f>IF([3]Entry!$G$446="","",[3]Entry!$G$446)</f>
        <v/>
      </c>
      <c r="AK443">
        <f>IF([3]Entry!$K$446="","",[3]Entry!$K$446)</f>
        <v/>
      </c>
      <c r="AL443">
        <f>IF([3]Entry!$L$446="","",[3]Entry!$L$446)</f>
        <v/>
      </c>
      <c r="AM443">
        <f>IF([3]Entry!$M$446="","",[3]Entry!$M$446)</f>
        <v/>
      </c>
      <c r="AN443">
        <f>IF([3]Entry!$N$446="","",[3]Entry!$N$446)</f>
        <v/>
      </c>
      <c r="AO443">
        <f>IF([3]Entry!$R$446="","",[3]Entry!$R$446)</f>
        <v/>
      </c>
      <c r="AQ443">
        <f>IF(AND($D443&lt;&gt;"",$A443&lt;&gt;""),1,0)</f>
        <v/>
      </c>
      <c r="AR443">
        <f>SUM($AQ$6:$AQ443)</f>
        <v/>
      </c>
      <c r="AS443">
        <f>IFERROR(INDEX($A$6:$A$565,MATCH(ROW()-5,$AR$6:$AR$565,0)),"")</f>
        <v/>
      </c>
    </row>
    <row r="444">
      <c r="A444">
        <f>IF([1]Accounts!$D$445="","",[1]Accounts!$A$445)</f>
        <v/>
      </c>
      <c r="B444">
        <f>IF([1]Accounts!$D$445="","",[1]Accounts!$B$445)</f>
        <v/>
      </c>
      <c r="C444">
        <f>IF([1]Accounts!$D$445="","",[1]Accounts!$C$445)</f>
        <v/>
      </c>
      <c r="D444">
        <f>IF([1]Accounts!$D$445="","",[1]Accounts!$D$445)</f>
        <v/>
      </c>
      <c r="E444">
        <f>IF([1]Accounts!$D$445="","",[1]Accounts!$J$445)</f>
        <v/>
      </c>
      <c r="F444">
        <f>IF([1]Accounts!$D$445="","",[1]Accounts!$K$445)</f>
        <v/>
      </c>
      <c r="U444">
        <f>IF([2]Baskol!$B$447="","",[2]Baskol!$B$447)</f>
        <v/>
      </c>
      <c r="V444">
        <f>IF([2]Baskol!$C$447="","",[2]Baskol!$C$447)</f>
        <v/>
      </c>
      <c r="W444">
        <f>IF([2]Baskol!$D$447="","",[2]Baskol!$D$447)</f>
        <v/>
      </c>
      <c r="X444">
        <f>IF([2]Baskol!$E$447="","",[2]Baskol!$E$447)</f>
        <v/>
      </c>
      <c r="Y444">
        <f>IF([2]Baskol!$G$447="","",[2]Baskol!$G$447)</f>
        <v/>
      </c>
      <c r="Z444">
        <f>IF([2]Baskol!$I$447="","",[2]Baskol!$I$447)</f>
        <v/>
      </c>
      <c r="AA444">
        <f>IF([2]Baskol!$J$447="","",[2]Baskol!$J$447)</f>
        <v/>
      </c>
      <c r="AB444">
        <f>IF([2]Baskol!$K$447="","",[2]Baskol!$K$447)</f>
        <v/>
      </c>
      <c r="AC444">
        <f>IF([2]Baskol!$L$447="","",[2]Baskol!$L$447)</f>
        <v/>
      </c>
      <c r="AD444">
        <f>IF([2]Baskol!$N$447="","",[2]Baskol!$N$447)</f>
        <v/>
      </c>
      <c r="AE444">
        <f>IF([2]Baskol!$O$447="","",[2]Baskol!$O$447)</f>
        <v/>
      </c>
      <c r="AG444">
        <f>IF([3]Entry!$C$447="","",[3]Entry!$C$447)</f>
        <v/>
      </c>
      <c r="AH444">
        <f>IF([3]Entry!$D$447="","",[3]Entry!$D$447)</f>
        <v/>
      </c>
      <c r="AI444">
        <f>IF([3]Entry!$E$447="","",[3]Entry!$E$447)</f>
        <v/>
      </c>
      <c r="AJ444">
        <f>IF([3]Entry!$G$447="","",[3]Entry!$G$447)</f>
        <v/>
      </c>
      <c r="AK444">
        <f>IF([3]Entry!$K$447="","",[3]Entry!$K$447)</f>
        <v/>
      </c>
      <c r="AL444">
        <f>IF([3]Entry!$L$447="","",[3]Entry!$L$447)</f>
        <v/>
      </c>
      <c r="AM444">
        <f>IF([3]Entry!$M$447="","",[3]Entry!$M$447)</f>
        <v/>
      </c>
      <c r="AN444">
        <f>IF([3]Entry!$N$447="","",[3]Entry!$N$447)</f>
        <v/>
      </c>
      <c r="AO444">
        <f>IF([3]Entry!$R$447="","",[3]Entry!$R$447)</f>
        <v/>
      </c>
      <c r="AQ444">
        <f>IF(AND($D444&lt;&gt;"",$A444&lt;&gt;""),1,0)</f>
        <v/>
      </c>
      <c r="AR444">
        <f>SUM($AQ$6:$AQ444)</f>
        <v/>
      </c>
      <c r="AS444">
        <f>IFERROR(INDEX($A$6:$A$565,MATCH(ROW()-5,$AR$6:$AR$565,0)),"")</f>
        <v/>
      </c>
    </row>
    <row r="445">
      <c r="A445">
        <f>IF([1]Accounts!$D$446="","",[1]Accounts!$A$446)</f>
        <v/>
      </c>
      <c r="B445">
        <f>IF([1]Accounts!$D$446="","",[1]Accounts!$B$446)</f>
        <v/>
      </c>
      <c r="C445">
        <f>IF([1]Accounts!$D$446="","",[1]Accounts!$C$446)</f>
        <v/>
      </c>
      <c r="D445">
        <f>IF([1]Accounts!$D$446="","",[1]Accounts!$D$446)</f>
        <v/>
      </c>
      <c r="E445">
        <f>IF([1]Accounts!$D$446="","",[1]Accounts!$J$446)</f>
        <v/>
      </c>
      <c r="F445">
        <f>IF([1]Accounts!$D$446="","",[1]Accounts!$K$446)</f>
        <v/>
      </c>
      <c r="U445">
        <f>IF([2]Baskol!$B$448="","",[2]Baskol!$B$448)</f>
        <v/>
      </c>
      <c r="V445">
        <f>IF([2]Baskol!$C$448="","",[2]Baskol!$C$448)</f>
        <v/>
      </c>
      <c r="W445">
        <f>IF([2]Baskol!$D$448="","",[2]Baskol!$D$448)</f>
        <v/>
      </c>
      <c r="X445">
        <f>IF([2]Baskol!$E$448="","",[2]Baskol!$E$448)</f>
        <v/>
      </c>
      <c r="Y445">
        <f>IF([2]Baskol!$G$448="","",[2]Baskol!$G$448)</f>
        <v/>
      </c>
      <c r="Z445">
        <f>IF([2]Baskol!$I$448="","",[2]Baskol!$I$448)</f>
        <v/>
      </c>
      <c r="AA445">
        <f>IF([2]Baskol!$J$448="","",[2]Baskol!$J$448)</f>
        <v/>
      </c>
      <c r="AB445">
        <f>IF([2]Baskol!$K$448="","",[2]Baskol!$K$448)</f>
        <v/>
      </c>
      <c r="AC445">
        <f>IF([2]Baskol!$L$448="","",[2]Baskol!$L$448)</f>
        <v/>
      </c>
      <c r="AD445">
        <f>IF([2]Baskol!$N$448="","",[2]Baskol!$N$448)</f>
        <v/>
      </c>
      <c r="AE445">
        <f>IF([2]Baskol!$O$448="","",[2]Baskol!$O$448)</f>
        <v/>
      </c>
      <c r="AG445">
        <f>IF([3]Entry!$C$448="","",[3]Entry!$C$448)</f>
        <v/>
      </c>
      <c r="AH445">
        <f>IF([3]Entry!$D$448="","",[3]Entry!$D$448)</f>
        <v/>
      </c>
      <c r="AI445">
        <f>IF([3]Entry!$E$448="","",[3]Entry!$E$448)</f>
        <v/>
      </c>
      <c r="AJ445">
        <f>IF([3]Entry!$G$448="","",[3]Entry!$G$448)</f>
        <v/>
      </c>
      <c r="AK445">
        <f>IF([3]Entry!$K$448="","",[3]Entry!$K$448)</f>
        <v/>
      </c>
      <c r="AL445">
        <f>IF([3]Entry!$L$448="","",[3]Entry!$L$448)</f>
        <v/>
      </c>
      <c r="AM445">
        <f>IF([3]Entry!$M$448="","",[3]Entry!$M$448)</f>
        <v/>
      </c>
      <c r="AN445">
        <f>IF([3]Entry!$N$448="","",[3]Entry!$N$448)</f>
        <v/>
      </c>
      <c r="AO445">
        <f>IF([3]Entry!$R$448="","",[3]Entry!$R$448)</f>
        <v/>
      </c>
      <c r="AQ445">
        <f>IF(AND($D445&lt;&gt;"",$A445&lt;&gt;""),1,0)</f>
        <v/>
      </c>
      <c r="AR445">
        <f>SUM($AQ$6:$AQ445)</f>
        <v/>
      </c>
      <c r="AS445">
        <f>IFERROR(INDEX($A$6:$A$565,MATCH(ROW()-5,$AR$6:$AR$565,0)),"")</f>
        <v/>
      </c>
    </row>
    <row r="446">
      <c r="A446">
        <f>IF([1]Accounts!$D$447="","",[1]Accounts!$A$447)</f>
        <v/>
      </c>
      <c r="B446">
        <f>IF([1]Accounts!$D$447="","",[1]Accounts!$B$447)</f>
        <v/>
      </c>
      <c r="C446">
        <f>IF([1]Accounts!$D$447="","",[1]Accounts!$C$447)</f>
        <v/>
      </c>
      <c r="D446">
        <f>IF([1]Accounts!$D$447="","",[1]Accounts!$D$447)</f>
        <v/>
      </c>
      <c r="E446">
        <f>IF([1]Accounts!$D$447="","",[1]Accounts!$J$447)</f>
        <v/>
      </c>
      <c r="F446">
        <f>IF([1]Accounts!$D$447="","",[1]Accounts!$K$447)</f>
        <v/>
      </c>
      <c r="U446">
        <f>IF([2]Baskol!$B$449="","",[2]Baskol!$B$449)</f>
        <v/>
      </c>
      <c r="V446">
        <f>IF([2]Baskol!$C$449="","",[2]Baskol!$C$449)</f>
        <v/>
      </c>
      <c r="W446">
        <f>IF([2]Baskol!$D$449="","",[2]Baskol!$D$449)</f>
        <v/>
      </c>
      <c r="X446">
        <f>IF([2]Baskol!$E$449="","",[2]Baskol!$E$449)</f>
        <v/>
      </c>
      <c r="Y446">
        <f>IF([2]Baskol!$G$449="","",[2]Baskol!$G$449)</f>
        <v/>
      </c>
      <c r="Z446">
        <f>IF([2]Baskol!$I$449="","",[2]Baskol!$I$449)</f>
        <v/>
      </c>
      <c r="AA446">
        <f>IF([2]Baskol!$J$449="","",[2]Baskol!$J$449)</f>
        <v/>
      </c>
      <c r="AB446">
        <f>IF([2]Baskol!$K$449="","",[2]Baskol!$K$449)</f>
        <v/>
      </c>
      <c r="AC446">
        <f>IF([2]Baskol!$L$449="","",[2]Baskol!$L$449)</f>
        <v/>
      </c>
      <c r="AD446">
        <f>IF([2]Baskol!$N$449="","",[2]Baskol!$N$449)</f>
        <v/>
      </c>
      <c r="AE446">
        <f>IF([2]Baskol!$O$449="","",[2]Baskol!$O$449)</f>
        <v/>
      </c>
      <c r="AG446">
        <f>IF([3]Entry!$C$449="","",[3]Entry!$C$449)</f>
        <v/>
      </c>
      <c r="AH446">
        <f>IF([3]Entry!$D$449="","",[3]Entry!$D$449)</f>
        <v/>
      </c>
      <c r="AI446">
        <f>IF([3]Entry!$E$449="","",[3]Entry!$E$449)</f>
        <v/>
      </c>
      <c r="AJ446">
        <f>IF([3]Entry!$G$449="","",[3]Entry!$G$449)</f>
        <v/>
      </c>
      <c r="AK446">
        <f>IF([3]Entry!$K$449="","",[3]Entry!$K$449)</f>
        <v/>
      </c>
      <c r="AL446">
        <f>IF([3]Entry!$L$449="","",[3]Entry!$L$449)</f>
        <v/>
      </c>
      <c r="AM446">
        <f>IF([3]Entry!$M$449="","",[3]Entry!$M$449)</f>
        <v/>
      </c>
      <c r="AN446">
        <f>IF([3]Entry!$N$449="","",[3]Entry!$N$449)</f>
        <v/>
      </c>
      <c r="AO446">
        <f>IF([3]Entry!$R$449="","",[3]Entry!$R$449)</f>
        <v/>
      </c>
      <c r="AQ446">
        <f>IF(AND($D446&lt;&gt;"",$A446&lt;&gt;""),1,0)</f>
        <v/>
      </c>
      <c r="AR446">
        <f>SUM($AQ$6:$AQ446)</f>
        <v/>
      </c>
      <c r="AS446">
        <f>IFERROR(INDEX($A$6:$A$565,MATCH(ROW()-5,$AR$6:$AR$565,0)),"")</f>
        <v/>
      </c>
    </row>
    <row r="447">
      <c r="A447">
        <f>IF([1]Accounts!$D$448="","",[1]Accounts!$A$448)</f>
        <v/>
      </c>
      <c r="B447">
        <f>IF([1]Accounts!$D$448="","",[1]Accounts!$B$448)</f>
        <v/>
      </c>
      <c r="C447">
        <f>IF([1]Accounts!$D$448="","",[1]Accounts!$C$448)</f>
        <v/>
      </c>
      <c r="D447">
        <f>IF([1]Accounts!$D$448="","",[1]Accounts!$D$448)</f>
        <v/>
      </c>
      <c r="E447">
        <f>IF([1]Accounts!$D$448="","",[1]Accounts!$J$448)</f>
        <v/>
      </c>
      <c r="F447">
        <f>IF([1]Accounts!$D$448="","",[1]Accounts!$K$448)</f>
        <v/>
      </c>
      <c r="U447">
        <f>IF([2]Baskol!$B$450="","",[2]Baskol!$B$450)</f>
        <v/>
      </c>
      <c r="V447">
        <f>IF([2]Baskol!$C$450="","",[2]Baskol!$C$450)</f>
        <v/>
      </c>
      <c r="W447">
        <f>IF([2]Baskol!$D$450="","",[2]Baskol!$D$450)</f>
        <v/>
      </c>
      <c r="X447">
        <f>IF([2]Baskol!$E$450="","",[2]Baskol!$E$450)</f>
        <v/>
      </c>
      <c r="Y447">
        <f>IF([2]Baskol!$G$450="","",[2]Baskol!$G$450)</f>
        <v/>
      </c>
      <c r="Z447">
        <f>IF([2]Baskol!$I$450="","",[2]Baskol!$I$450)</f>
        <v/>
      </c>
      <c r="AA447">
        <f>IF([2]Baskol!$J$450="","",[2]Baskol!$J$450)</f>
        <v/>
      </c>
      <c r="AB447">
        <f>IF([2]Baskol!$K$450="","",[2]Baskol!$K$450)</f>
        <v/>
      </c>
      <c r="AC447">
        <f>IF([2]Baskol!$L$450="","",[2]Baskol!$L$450)</f>
        <v/>
      </c>
      <c r="AD447">
        <f>IF([2]Baskol!$N$450="","",[2]Baskol!$N$450)</f>
        <v/>
      </c>
      <c r="AE447">
        <f>IF([2]Baskol!$O$450="","",[2]Baskol!$O$450)</f>
        <v/>
      </c>
      <c r="AG447">
        <f>IF([3]Entry!$C$450="","",[3]Entry!$C$450)</f>
        <v/>
      </c>
      <c r="AH447">
        <f>IF([3]Entry!$D$450="","",[3]Entry!$D$450)</f>
        <v/>
      </c>
      <c r="AI447">
        <f>IF([3]Entry!$E$450="","",[3]Entry!$E$450)</f>
        <v/>
      </c>
      <c r="AJ447">
        <f>IF([3]Entry!$G$450="","",[3]Entry!$G$450)</f>
        <v/>
      </c>
      <c r="AK447">
        <f>IF([3]Entry!$K$450="","",[3]Entry!$K$450)</f>
        <v/>
      </c>
      <c r="AL447">
        <f>IF([3]Entry!$L$450="","",[3]Entry!$L$450)</f>
        <v/>
      </c>
      <c r="AM447">
        <f>IF([3]Entry!$M$450="","",[3]Entry!$M$450)</f>
        <v/>
      </c>
      <c r="AN447">
        <f>IF([3]Entry!$N$450="","",[3]Entry!$N$450)</f>
        <v/>
      </c>
      <c r="AO447">
        <f>IF([3]Entry!$R$450="","",[3]Entry!$R$450)</f>
        <v/>
      </c>
      <c r="AQ447">
        <f>IF(AND($D447&lt;&gt;"",$A447&lt;&gt;""),1,0)</f>
        <v/>
      </c>
      <c r="AR447">
        <f>SUM($AQ$6:$AQ447)</f>
        <v/>
      </c>
      <c r="AS447">
        <f>IFERROR(INDEX($A$6:$A$565,MATCH(ROW()-5,$AR$6:$AR$565,0)),"")</f>
        <v/>
      </c>
    </row>
    <row r="448">
      <c r="A448">
        <f>IF([1]Accounts!$D$449="","",[1]Accounts!$A$449)</f>
        <v/>
      </c>
      <c r="B448">
        <f>IF([1]Accounts!$D$449="","",[1]Accounts!$B$449)</f>
        <v/>
      </c>
      <c r="C448">
        <f>IF([1]Accounts!$D$449="","",[1]Accounts!$C$449)</f>
        <v/>
      </c>
      <c r="D448">
        <f>IF([1]Accounts!$D$449="","",[1]Accounts!$D$449)</f>
        <v/>
      </c>
      <c r="E448">
        <f>IF([1]Accounts!$D$449="","",[1]Accounts!$J$449)</f>
        <v/>
      </c>
      <c r="F448">
        <f>IF([1]Accounts!$D$449="","",[1]Accounts!$K$449)</f>
        <v/>
      </c>
      <c r="U448">
        <f>IF([2]Baskol!$B$451="","",[2]Baskol!$B$451)</f>
        <v/>
      </c>
      <c r="V448">
        <f>IF([2]Baskol!$C$451="","",[2]Baskol!$C$451)</f>
        <v/>
      </c>
      <c r="W448">
        <f>IF([2]Baskol!$D$451="","",[2]Baskol!$D$451)</f>
        <v/>
      </c>
      <c r="X448">
        <f>IF([2]Baskol!$E$451="","",[2]Baskol!$E$451)</f>
        <v/>
      </c>
      <c r="Y448">
        <f>IF([2]Baskol!$G$451="","",[2]Baskol!$G$451)</f>
        <v/>
      </c>
      <c r="Z448">
        <f>IF([2]Baskol!$I$451="","",[2]Baskol!$I$451)</f>
        <v/>
      </c>
      <c r="AA448">
        <f>IF([2]Baskol!$J$451="","",[2]Baskol!$J$451)</f>
        <v/>
      </c>
      <c r="AB448">
        <f>IF([2]Baskol!$K$451="","",[2]Baskol!$K$451)</f>
        <v/>
      </c>
      <c r="AC448">
        <f>IF([2]Baskol!$L$451="","",[2]Baskol!$L$451)</f>
        <v/>
      </c>
      <c r="AD448">
        <f>IF([2]Baskol!$N$451="","",[2]Baskol!$N$451)</f>
        <v/>
      </c>
      <c r="AE448">
        <f>IF([2]Baskol!$O$451="","",[2]Baskol!$O$451)</f>
        <v/>
      </c>
      <c r="AG448">
        <f>IF([3]Entry!$C$451="","",[3]Entry!$C$451)</f>
        <v/>
      </c>
      <c r="AH448">
        <f>IF([3]Entry!$D$451="","",[3]Entry!$D$451)</f>
        <v/>
      </c>
      <c r="AI448">
        <f>IF([3]Entry!$E$451="","",[3]Entry!$E$451)</f>
        <v/>
      </c>
      <c r="AJ448">
        <f>IF([3]Entry!$G$451="","",[3]Entry!$G$451)</f>
        <v/>
      </c>
      <c r="AK448">
        <f>IF([3]Entry!$K$451="","",[3]Entry!$K$451)</f>
        <v/>
      </c>
      <c r="AL448">
        <f>IF([3]Entry!$L$451="","",[3]Entry!$L$451)</f>
        <v/>
      </c>
      <c r="AM448">
        <f>IF([3]Entry!$M$451="","",[3]Entry!$M$451)</f>
        <v/>
      </c>
      <c r="AN448">
        <f>IF([3]Entry!$N$451="","",[3]Entry!$N$451)</f>
        <v/>
      </c>
      <c r="AO448">
        <f>IF([3]Entry!$R$451="","",[3]Entry!$R$451)</f>
        <v/>
      </c>
      <c r="AQ448">
        <f>IF(AND($D448&lt;&gt;"",$A448&lt;&gt;""),1,0)</f>
        <v/>
      </c>
      <c r="AR448">
        <f>SUM($AQ$6:$AQ448)</f>
        <v/>
      </c>
      <c r="AS448">
        <f>IFERROR(INDEX($A$6:$A$565,MATCH(ROW()-5,$AR$6:$AR$565,0)),"")</f>
        <v/>
      </c>
    </row>
    <row r="449">
      <c r="A449">
        <f>IF([1]Accounts!$D$450="","",[1]Accounts!$A$450)</f>
        <v/>
      </c>
      <c r="B449">
        <f>IF([1]Accounts!$D$450="","",[1]Accounts!$B$450)</f>
        <v/>
      </c>
      <c r="C449">
        <f>IF([1]Accounts!$D$450="","",[1]Accounts!$C$450)</f>
        <v/>
      </c>
      <c r="D449">
        <f>IF([1]Accounts!$D$450="","",[1]Accounts!$D$450)</f>
        <v/>
      </c>
      <c r="E449">
        <f>IF([1]Accounts!$D$450="","",[1]Accounts!$J$450)</f>
        <v/>
      </c>
      <c r="F449">
        <f>IF([1]Accounts!$D$450="","",[1]Accounts!$K$450)</f>
        <v/>
      </c>
      <c r="U449">
        <f>IF([2]Baskol!$B$452="","",[2]Baskol!$B$452)</f>
        <v/>
      </c>
      <c r="V449">
        <f>IF([2]Baskol!$C$452="","",[2]Baskol!$C$452)</f>
        <v/>
      </c>
      <c r="W449">
        <f>IF([2]Baskol!$D$452="","",[2]Baskol!$D$452)</f>
        <v/>
      </c>
      <c r="X449">
        <f>IF([2]Baskol!$E$452="","",[2]Baskol!$E$452)</f>
        <v/>
      </c>
      <c r="Y449">
        <f>IF([2]Baskol!$G$452="","",[2]Baskol!$G$452)</f>
        <v/>
      </c>
      <c r="Z449">
        <f>IF([2]Baskol!$I$452="","",[2]Baskol!$I$452)</f>
        <v/>
      </c>
      <c r="AA449">
        <f>IF([2]Baskol!$J$452="","",[2]Baskol!$J$452)</f>
        <v/>
      </c>
      <c r="AB449">
        <f>IF([2]Baskol!$K$452="","",[2]Baskol!$K$452)</f>
        <v/>
      </c>
      <c r="AC449">
        <f>IF([2]Baskol!$L$452="","",[2]Baskol!$L$452)</f>
        <v/>
      </c>
      <c r="AD449">
        <f>IF([2]Baskol!$N$452="","",[2]Baskol!$N$452)</f>
        <v/>
      </c>
      <c r="AE449">
        <f>IF([2]Baskol!$O$452="","",[2]Baskol!$O$452)</f>
        <v/>
      </c>
      <c r="AG449">
        <f>IF([3]Entry!$C$452="","",[3]Entry!$C$452)</f>
        <v/>
      </c>
      <c r="AH449">
        <f>IF([3]Entry!$D$452="","",[3]Entry!$D$452)</f>
        <v/>
      </c>
      <c r="AI449">
        <f>IF([3]Entry!$E$452="","",[3]Entry!$E$452)</f>
        <v/>
      </c>
      <c r="AJ449">
        <f>IF([3]Entry!$G$452="","",[3]Entry!$G$452)</f>
        <v/>
      </c>
      <c r="AK449">
        <f>IF([3]Entry!$K$452="","",[3]Entry!$K$452)</f>
        <v/>
      </c>
      <c r="AL449">
        <f>IF([3]Entry!$L$452="","",[3]Entry!$L$452)</f>
        <v/>
      </c>
      <c r="AM449">
        <f>IF([3]Entry!$M$452="","",[3]Entry!$M$452)</f>
        <v/>
      </c>
      <c r="AN449">
        <f>IF([3]Entry!$N$452="","",[3]Entry!$N$452)</f>
        <v/>
      </c>
      <c r="AO449">
        <f>IF([3]Entry!$R$452="","",[3]Entry!$R$452)</f>
        <v/>
      </c>
      <c r="AQ449">
        <f>IF(AND($D449&lt;&gt;"",$A449&lt;&gt;""),1,0)</f>
        <v/>
      </c>
      <c r="AR449">
        <f>SUM($AQ$6:$AQ449)</f>
        <v/>
      </c>
      <c r="AS449">
        <f>IFERROR(INDEX($A$6:$A$565,MATCH(ROW()-5,$AR$6:$AR$565,0)),"")</f>
        <v/>
      </c>
    </row>
    <row r="450">
      <c r="A450">
        <f>IF([1]Accounts!$D$451="","",[1]Accounts!$A$451)</f>
        <v/>
      </c>
      <c r="B450">
        <f>IF([1]Accounts!$D$451="","",[1]Accounts!$B$451)</f>
        <v/>
      </c>
      <c r="C450">
        <f>IF([1]Accounts!$D$451="","",[1]Accounts!$C$451)</f>
        <v/>
      </c>
      <c r="D450">
        <f>IF([1]Accounts!$D$451="","",[1]Accounts!$D$451)</f>
        <v/>
      </c>
      <c r="E450">
        <f>IF([1]Accounts!$D$451="","",[1]Accounts!$J$451)</f>
        <v/>
      </c>
      <c r="F450">
        <f>IF([1]Accounts!$D$451="","",[1]Accounts!$K$451)</f>
        <v/>
      </c>
      <c r="U450">
        <f>IF([2]Baskol!$B$453="","",[2]Baskol!$B$453)</f>
        <v/>
      </c>
      <c r="V450">
        <f>IF([2]Baskol!$C$453="","",[2]Baskol!$C$453)</f>
        <v/>
      </c>
      <c r="W450">
        <f>IF([2]Baskol!$D$453="","",[2]Baskol!$D$453)</f>
        <v/>
      </c>
      <c r="X450">
        <f>IF([2]Baskol!$E$453="","",[2]Baskol!$E$453)</f>
        <v/>
      </c>
      <c r="Y450">
        <f>IF([2]Baskol!$G$453="","",[2]Baskol!$G$453)</f>
        <v/>
      </c>
      <c r="Z450">
        <f>IF([2]Baskol!$I$453="","",[2]Baskol!$I$453)</f>
        <v/>
      </c>
      <c r="AA450">
        <f>IF([2]Baskol!$J$453="","",[2]Baskol!$J$453)</f>
        <v/>
      </c>
      <c r="AB450">
        <f>IF([2]Baskol!$K$453="","",[2]Baskol!$K$453)</f>
        <v/>
      </c>
      <c r="AC450">
        <f>IF([2]Baskol!$L$453="","",[2]Baskol!$L$453)</f>
        <v/>
      </c>
      <c r="AD450">
        <f>IF([2]Baskol!$N$453="","",[2]Baskol!$N$453)</f>
        <v/>
      </c>
      <c r="AE450">
        <f>IF([2]Baskol!$O$453="","",[2]Baskol!$O$453)</f>
        <v/>
      </c>
      <c r="AG450">
        <f>IF([3]Entry!$C$453="","",[3]Entry!$C$453)</f>
        <v/>
      </c>
      <c r="AH450">
        <f>IF([3]Entry!$D$453="","",[3]Entry!$D$453)</f>
        <v/>
      </c>
      <c r="AI450">
        <f>IF([3]Entry!$E$453="","",[3]Entry!$E$453)</f>
        <v/>
      </c>
      <c r="AJ450">
        <f>IF([3]Entry!$G$453="","",[3]Entry!$G$453)</f>
        <v/>
      </c>
      <c r="AK450">
        <f>IF([3]Entry!$K$453="","",[3]Entry!$K$453)</f>
        <v/>
      </c>
      <c r="AL450">
        <f>IF([3]Entry!$L$453="","",[3]Entry!$L$453)</f>
        <v/>
      </c>
      <c r="AM450">
        <f>IF([3]Entry!$M$453="","",[3]Entry!$M$453)</f>
        <v/>
      </c>
      <c r="AN450">
        <f>IF([3]Entry!$N$453="","",[3]Entry!$N$453)</f>
        <v/>
      </c>
      <c r="AO450">
        <f>IF([3]Entry!$R$453="","",[3]Entry!$R$453)</f>
        <v/>
      </c>
      <c r="AQ450">
        <f>IF(AND($D450&lt;&gt;"",$A450&lt;&gt;""),1,0)</f>
        <v/>
      </c>
      <c r="AR450">
        <f>SUM($AQ$6:$AQ450)</f>
        <v/>
      </c>
      <c r="AS450">
        <f>IFERROR(INDEX($A$6:$A$565,MATCH(ROW()-5,$AR$6:$AR$565,0)),"")</f>
        <v/>
      </c>
    </row>
    <row r="451">
      <c r="A451">
        <f>IF([1]Accounts!$D$452="","",[1]Accounts!$A$452)</f>
        <v/>
      </c>
      <c r="B451">
        <f>IF([1]Accounts!$D$452="","",[1]Accounts!$B$452)</f>
        <v/>
      </c>
      <c r="C451">
        <f>IF([1]Accounts!$D$452="","",[1]Accounts!$C$452)</f>
        <v/>
      </c>
      <c r="D451">
        <f>IF([1]Accounts!$D$452="","",[1]Accounts!$D$452)</f>
        <v/>
      </c>
      <c r="E451">
        <f>IF([1]Accounts!$D$452="","",[1]Accounts!$J$452)</f>
        <v/>
      </c>
      <c r="F451">
        <f>IF([1]Accounts!$D$452="","",[1]Accounts!$K$452)</f>
        <v/>
      </c>
      <c r="U451">
        <f>IF([2]Baskol!$B$454="","",[2]Baskol!$B$454)</f>
        <v/>
      </c>
      <c r="V451">
        <f>IF([2]Baskol!$C$454="","",[2]Baskol!$C$454)</f>
        <v/>
      </c>
      <c r="W451">
        <f>IF([2]Baskol!$D$454="","",[2]Baskol!$D$454)</f>
        <v/>
      </c>
      <c r="X451">
        <f>IF([2]Baskol!$E$454="","",[2]Baskol!$E$454)</f>
        <v/>
      </c>
      <c r="Y451">
        <f>IF([2]Baskol!$G$454="","",[2]Baskol!$G$454)</f>
        <v/>
      </c>
      <c r="Z451">
        <f>IF([2]Baskol!$I$454="","",[2]Baskol!$I$454)</f>
        <v/>
      </c>
      <c r="AA451">
        <f>IF([2]Baskol!$J$454="","",[2]Baskol!$J$454)</f>
        <v/>
      </c>
      <c r="AB451">
        <f>IF([2]Baskol!$K$454="","",[2]Baskol!$K$454)</f>
        <v/>
      </c>
      <c r="AC451">
        <f>IF([2]Baskol!$L$454="","",[2]Baskol!$L$454)</f>
        <v/>
      </c>
      <c r="AD451">
        <f>IF([2]Baskol!$N$454="","",[2]Baskol!$N$454)</f>
        <v/>
      </c>
      <c r="AE451">
        <f>IF([2]Baskol!$O$454="","",[2]Baskol!$O$454)</f>
        <v/>
      </c>
      <c r="AG451">
        <f>IF([3]Entry!$C$454="","",[3]Entry!$C$454)</f>
        <v/>
      </c>
      <c r="AH451">
        <f>IF([3]Entry!$D$454="","",[3]Entry!$D$454)</f>
        <v/>
      </c>
      <c r="AI451">
        <f>IF([3]Entry!$E$454="","",[3]Entry!$E$454)</f>
        <v/>
      </c>
      <c r="AJ451">
        <f>IF([3]Entry!$G$454="","",[3]Entry!$G$454)</f>
        <v/>
      </c>
      <c r="AK451">
        <f>IF([3]Entry!$K$454="","",[3]Entry!$K$454)</f>
        <v/>
      </c>
      <c r="AL451">
        <f>IF([3]Entry!$L$454="","",[3]Entry!$L$454)</f>
        <v/>
      </c>
      <c r="AM451">
        <f>IF([3]Entry!$M$454="","",[3]Entry!$M$454)</f>
        <v/>
      </c>
      <c r="AN451">
        <f>IF([3]Entry!$N$454="","",[3]Entry!$N$454)</f>
        <v/>
      </c>
      <c r="AO451">
        <f>IF([3]Entry!$R$454="","",[3]Entry!$R$454)</f>
        <v/>
      </c>
      <c r="AQ451">
        <f>IF(AND($D451&lt;&gt;"",$A451&lt;&gt;""),1,0)</f>
        <v/>
      </c>
      <c r="AR451">
        <f>SUM($AQ$6:$AQ451)</f>
        <v/>
      </c>
      <c r="AS451">
        <f>IFERROR(INDEX($A$6:$A$565,MATCH(ROW()-5,$AR$6:$AR$565,0)),"")</f>
        <v/>
      </c>
    </row>
    <row r="452">
      <c r="A452">
        <f>IF([1]Accounts!$D$453="","",[1]Accounts!$A$453)</f>
        <v/>
      </c>
      <c r="B452">
        <f>IF([1]Accounts!$D$453="","",[1]Accounts!$B$453)</f>
        <v/>
      </c>
      <c r="C452">
        <f>IF([1]Accounts!$D$453="","",[1]Accounts!$C$453)</f>
        <v/>
      </c>
      <c r="D452">
        <f>IF([1]Accounts!$D$453="","",[1]Accounts!$D$453)</f>
        <v/>
      </c>
      <c r="E452">
        <f>IF([1]Accounts!$D$453="","",[1]Accounts!$J$453)</f>
        <v/>
      </c>
      <c r="F452">
        <f>IF([1]Accounts!$D$453="","",[1]Accounts!$K$453)</f>
        <v/>
      </c>
      <c r="U452">
        <f>IF([2]Baskol!$B$455="","",[2]Baskol!$B$455)</f>
        <v/>
      </c>
      <c r="V452">
        <f>IF([2]Baskol!$C$455="","",[2]Baskol!$C$455)</f>
        <v/>
      </c>
      <c r="W452">
        <f>IF([2]Baskol!$D$455="","",[2]Baskol!$D$455)</f>
        <v/>
      </c>
      <c r="X452">
        <f>IF([2]Baskol!$E$455="","",[2]Baskol!$E$455)</f>
        <v/>
      </c>
      <c r="Y452">
        <f>IF([2]Baskol!$G$455="","",[2]Baskol!$G$455)</f>
        <v/>
      </c>
      <c r="Z452">
        <f>IF([2]Baskol!$I$455="","",[2]Baskol!$I$455)</f>
        <v/>
      </c>
      <c r="AA452">
        <f>IF([2]Baskol!$J$455="","",[2]Baskol!$J$455)</f>
        <v/>
      </c>
      <c r="AB452">
        <f>IF([2]Baskol!$K$455="","",[2]Baskol!$K$455)</f>
        <v/>
      </c>
      <c r="AC452">
        <f>IF([2]Baskol!$L$455="","",[2]Baskol!$L$455)</f>
        <v/>
      </c>
      <c r="AD452">
        <f>IF([2]Baskol!$N$455="","",[2]Baskol!$N$455)</f>
        <v/>
      </c>
      <c r="AE452">
        <f>IF([2]Baskol!$O$455="","",[2]Baskol!$O$455)</f>
        <v/>
      </c>
      <c r="AG452">
        <f>IF([3]Entry!$C$455="","",[3]Entry!$C$455)</f>
        <v/>
      </c>
      <c r="AH452">
        <f>IF([3]Entry!$D$455="","",[3]Entry!$D$455)</f>
        <v/>
      </c>
      <c r="AI452">
        <f>IF([3]Entry!$E$455="","",[3]Entry!$E$455)</f>
        <v/>
      </c>
      <c r="AJ452">
        <f>IF([3]Entry!$G$455="","",[3]Entry!$G$455)</f>
        <v/>
      </c>
      <c r="AK452">
        <f>IF([3]Entry!$K$455="","",[3]Entry!$K$455)</f>
        <v/>
      </c>
      <c r="AL452">
        <f>IF([3]Entry!$L$455="","",[3]Entry!$L$455)</f>
        <v/>
      </c>
      <c r="AM452">
        <f>IF([3]Entry!$M$455="","",[3]Entry!$M$455)</f>
        <v/>
      </c>
      <c r="AN452">
        <f>IF([3]Entry!$N$455="","",[3]Entry!$N$455)</f>
        <v/>
      </c>
      <c r="AO452">
        <f>IF([3]Entry!$R$455="","",[3]Entry!$R$455)</f>
        <v/>
      </c>
      <c r="AQ452">
        <f>IF(AND($D452&lt;&gt;"",$A452&lt;&gt;""),1,0)</f>
        <v/>
      </c>
      <c r="AR452">
        <f>SUM($AQ$6:$AQ452)</f>
        <v/>
      </c>
      <c r="AS452">
        <f>IFERROR(INDEX($A$6:$A$565,MATCH(ROW()-5,$AR$6:$AR$565,0)),"")</f>
        <v/>
      </c>
    </row>
    <row r="453">
      <c r="A453">
        <f>IF([1]Accounts!$D$454="","",[1]Accounts!$A$454)</f>
        <v/>
      </c>
      <c r="B453">
        <f>IF([1]Accounts!$D$454="","",[1]Accounts!$B$454)</f>
        <v/>
      </c>
      <c r="C453">
        <f>IF([1]Accounts!$D$454="","",[1]Accounts!$C$454)</f>
        <v/>
      </c>
      <c r="D453">
        <f>IF([1]Accounts!$D$454="","",[1]Accounts!$D$454)</f>
        <v/>
      </c>
      <c r="E453">
        <f>IF([1]Accounts!$D$454="","",[1]Accounts!$J$454)</f>
        <v/>
      </c>
      <c r="F453">
        <f>IF([1]Accounts!$D$454="","",[1]Accounts!$K$454)</f>
        <v/>
      </c>
      <c r="U453">
        <f>IF([2]Baskol!$B$456="","",[2]Baskol!$B$456)</f>
        <v/>
      </c>
      <c r="V453">
        <f>IF([2]Baskol!$C$456="","",[2]Baskol!$C$456)</f>
        <v/>
      </c>
      <c r="W453">
        <f>IF([2]Baskol!$D$456="","",[2]Baskol!$D$456)</f>
        <v/>
      </c>
      <c r="X453">
        <f>IF([2]Baskol!$E$456="","",[2]Baskol!$E$456)</f>
        <v/>
      </c>
      <c r="Y453">
        <f>IF([2]Baskol!$G$456="","",[2]Baskol!$G$456)</f>
        <v/>
      </c>
      <c r="Z453">
        <f>IF([2]Baskol!$I$456="","",[2]Baskol!$I$456)</f>
        <v/>
      </c>
      <c r="AA453">
        <f>IF([2]Baskol!$J$456="","",[2]Baskol!$J$456)</f>
        <v/>
      </c>
      <c r="AB453">
        <f>IF([2]Baskol!$K$456="","",[2]Baskol!$K$456)</f>
        <v/>
      </c>
      <c r="AC453">
        <f>IF([2]Baskol!$L$456="","",[2]Baskol!$L$456)</f>
        <v/>
      </c>
      <c r="AD453">
        <f>IF([2]Baskol!$N$456="","",[2]Baskol!$N$456)</f>
        <v/>
      </c>
      <c r="AE453">
        <f>IF([2]Baskol!$O$456="","",[2]Baskol!$O$456)</f>
        <v/>
      </c>
      <c r="AG453">
        <f>IF([3]Entry!$C$456="","",[3]Entry!$C$456)</f>
        <v/>
      </c>
      <c r="AH453">
        <f>IF([3]Entry!$D$456="","",[3]Entry!$D$456)</f>
        <v/>
      </c>
      <c r="AI453">
        <f>IF([3]Entry!$E$456="","",[3]Entry!$E$456)</f>
        <v/>
      </c>
      <c r="AJ453">
        <f>IF([3]Entry!$G$456="","",[3]Entry!$G$456)</f>
        <v/>
      </c>
      <c r="AK453">
        <f>IF([3]Entry!$K$456="","",[3]Entry!$K$456)</f>
        <v/>
      </c>
      <c r="AL453">
        <f>IF([3]Entry!$L$456="","",[3]Entry!$L$456)</f>
        <v/>
      </c>
      <c r="AM453">
        <f>IF([3]Entry!$M$456="","",[3]Entry!$M$456)</f>
        <v/>
      </c>
      <c r="AN453">
        <f>IF([3]Entry!$N$456="","",[3]Entry!$N$456)</f>
        <v/>
      </c>
      <c r="AO453">
        <f>IF([3]Entry!$R$456="","",[3]Entry!$R$456)</f>
        <v/>
      </c>
      <c r="AQ453">
        <f>IF(AND($D453&lt;&gt;"",$A453&lt;&gt;""),1,0)</f>
        <v/>
      </c>
      <c r="AR453">
        <f>SUM($AQ$6:$AQ453)</f>
        <v/>
      </c>
      <c r="AS453">
        <f>IFERROR(INDEX($A$6:$A$565,MATCH(ROW()-5,$AR$6:$AR$565,0)),"")</f>
        <v/>
      </c>
    </row>
    <row r="454">
      <c r="A454">
        <f>IF([1]Accounts!$D$455="","",[1]Accounts!$A$455)</f>
        <v/>
      </c>
      <c r="B454">
        <f>IF([1]Accounts!$D$455="","",[1]Accounts!$B$455)</f>
        <v/>
      </c>
      <c r="C454">
        <f>IF([1]Accounts!$D$455="","",[1]Accounts!$C$455)</f>
        <v/>
      </c>
      <c r="D454">
        <f>IF([1]Accounts!$D$455="","",[1]Accounts!$D$455)</f>
        <v/>
      </c>
      <c r="E454">
        <f>IF([1]Accounts!$D$455="","",[1]Accounts!$J$455)</f>
        <v/>
      </c>
      <c r="F454">
        <f>IF([1]Accounts!$D$455="","",[1]Accounts!$K$455)</f>
        <v/>
      </c>
      <c r="U454">
        <f>IF([2]Baskol!$B$457="","",[2]Baskol!$B$457)</f>
        <v/>
      </c>
      <c r="V454">
        <f>IF([2]Baskol!$C$457="","",[2]Baskol!$C$457)</f>
        <v/>
      </c>
      <c r="W454">
        <f>IF([2]Baskol!$D$457="","",[2]Baskol!$D$457)</f>
        <v/>
      </c>
      <c r="X454">
        <f>IF([2]Baskol!$E$457="","",[2]Baskol!$E$457)</f>
        <v/>
      </c>
      <c r="Y454">
        <f>IF([2]Baskol!$G$457="","",[2]Baskol!$G$457)</f>
        <v/>
      </c>
      <c r="Z454">
        <f>IF([2]Baskol!$I$457="","",[2]Baskol!$I$457)</f>
        <v/>
      </c>
      <c r="AA454">
        <f>IF([2]Baskol!$J$457="","",[2]Baskol!$J$457)</f>
        <v/>
      </c>
      <c r="AB454">
        <f>IF([2]Baskol!$K$457="","",[2]Baskol!$K$457)</f>
        <v/>
      </c>
      <c r="AC454">
        <f>IF([2]Baskol!$L$457="","",[2]Baskol!$L$457)</f>
        <v/>
      </c>
      <c r="AD454">
        <f>IF([2]Baskol!$N$457="","",[2]Baskol!$N$457)</f>
        <v/>
      </c>
      <c r="AE454">
        <f>IF([2]Baskol!$O$457="","",[2]Baskol!$O$457)</f>
        <v/>
      </c>
      <c r="AG454">
        <f>IF([3]Entry!$C$457="","",[3]Entry!$C$457)</f>
        <v/>
      </c>
      <c r="AH454">
        <f>IF([3]Entry!$D$457="","",[3]Entry!$D$457)</f>
        <v/>
      </c>
      <c r="AI454">
        <f>IF([3]Entry!$E$457="","",[3]Entry!$E$457)</f>
        <v/>
      </c>
      <c r="AJ454">
        <f>IF([3]Entry!$G$457="","",[3]Entry!$G$457)</f>
        <v/>
      </c>
      <c r="AK454">
        <f>IF([3]Entry!$K$457="","",[3]Entry!$K$457)</f>
        <v/>
      </c>
      <c r="AL454">
        <f>IF([3]Entry!$L$457="","",[3]Entry!$L$457)</f>
        <v/>
      </c>
      <c r="AM454">
        <f>IF([3]Entry!$M$457="","",[3]Entry!$M$457)</f>
        <v/>
      </c>
      <c r="AN454">
        <f>IF([3]Entry!$N$457="","",[3]Entry!$N$457)</f>
        <v/>
      </c>
      <c r="AO454">
        <f>IF([3]Entry!$R$457="","",[3]Entry!$R$457)</f>
        <v/>
      </c>
      <c r="AQ454">
        <f>IF(AND($D454&lt;&gt;"",$A454&lt;&gt;""),1,0)</f>
        <v/>
      </c>
      <c r="AR454">
        <f>SUM($AQ$6:$AQ454)</f>
        <v/>
      </c>
      <c r="AS454">
        <f>IFERROR(INDEX($A$6:$A$565,MATCH(ROW()-5,$AR$6:$AR$565,0)),"")</f>
        <v/>
      </c>
    </row>
    <row r="455">
      <c r="A455">
        <f>IF([1]Accounts!$D$456="","",[1]Accounts!$A$456)</f>
        <v/>
      </c>
      <c r="B455">
        <f>IF([1]Accounts!$D$456="","",[1]Accounts!$B$456)</f>
        <v/>
      </c>
      <c r="C455">
        <f>IF([1]Accounts!$D$456="","",[1]Accounts!$C$456)</f>
        <v/>
      </c>
      <c r="D455">
        <f>IF([1]Accounts!$D$456="","",[1]Accounts!$D$456)</f>
        <v/>
      </c>
      <c r="E455">
        <f>IF([1]Accounts!$D$456="","",[1]Accounts!$J$456)</f>
        <v/>
      </c>
      <c r="F455">
        <f>IF([1]Accounts!$D$456="","",[1]Accounts!$K$456)</f>
        <v/>
      </c>
      <c r="U455">
        <f>IF([2]Baskol!$B$458="","",[2]Baskol!$B$458)</f>
        <v/>
      </c>
      <c r="V455">
        <f>IF([2]Baskol!$C$458="","",[2]Baskol!$C$458)</f>
        <v/>
      </c>
      <c r="W455">
        <f>IF([2]Baskol!$D$458="","",[2]Baskol!$D$458)</f>
        <v/>
      </c>
      <c r="X455">
        <f>IF([2]Baskol!$E$458="","",[2]Baskol!$E$458)</f>
        <v/>
      </c>
      <c r="Y455">
        <f>IF([2]Baskol!$G$458="","",[2]Baskol!$G$458)</f>
        <v/>
      </c>
      <c r="Z455">
        <f>IF([2]Baskol!$I$458="","",[2]Baskol!$I$458)</f>
        <v/>
      </c>
      <c r="AA455">
        <f>IF([2]Baskol!$J$458="","",[2]Baskol!$J$458)</f>
        <v/>
      </c>
      <c r="AB455">
        <f>IF([2]Baskol!$K$458="","",[2]Baskol!$K$458)</f>
        <v/>
      </c>
      <c r="AC455">
        <f>IF([2]Baskol!$L$458="","",[2]Baskol!$L$458)</f>
        <v/>
      </c>
      <c r="AD455">
        <f>IF([2]Baskol!$N$458="","",[2]Baskol!$N$458)</f>
        <v/>
      </c>
      <c r="AE455">
        <f>IF([2]Baskol!$O$458="","",[2]Baskol!$O$458)</f>
        <v/>
      </c>
      <c r="AG455">
        <f>IF([3]Entry!$C$458="","",[3]Entry!$C$458)</f>
        <v/>
      </c>
      <c r="AH455">
        <f>IF([3]Entry!$D$458="","",[3]Entry!$D$458)</f>
        <v/>
      </c>
      <c r="AI455">
        <f>IF([3]Entry!$E$458="","",[3]Entry!$E$458)</f>
        <v/>
      </c>
      <c r="AJ455">
        <f>IF([3]Entry!$G$458="","",[3]Entry!$G$458)</f>
        <v/>
      </c>
      <c r="AK455">
        <f>IF([3]Entry!$K$458="","",[3]Entry!$K$458)</f>
        <v/>
      </c>
      <c r="AL455">
        <f>IF([3]Entry!$L$458="","",[3]Entry!$L$458)</f>
        <v/>
      </c>
      <c r="AM455">
        <f>IF([3]Entry!$M$458="","",[3]Entry!$M$458)</f>
        <v/>
      </c>
      <c r="AN455">
        <f>IF([3]Entry!$N$458="","",[3]Entry!$N$458)</f>
        <v/>
      </c>
      <c r="AO455">
        <f>IF([3]Entry!$R$458="","",[3]Entry!$R$458)</f>
        <v/>
      </c>
      <c r="AQ455">
        <f>IF(AND($D455&lt;&gt;"",$A455&lt;&gt;""),1,0)</f>
        <v/>
      </c>
      <c r="AR455">
        <f>SUM($AQ$6:$AQ455)</f>
        <v/>
      </c>
      <c r="AS455">
        <f>IFERROR(INDEX($A$6:$A$565,MATCH(ROW()-5,$AR$6:$AR$565,0)),"")</f>
        <v/>
      </c>
    </row>
    <row r="456">
      <c r="A456">
        <f>IF([1]Accounts!$D$457="","",[1]Accounts!$A$457)</f>
        <v/>
      </c>
      <c r="B456">
        <f>IF([1]Accounts!$D$457="","",[1]Accounts!$B$457)</f>
        <v/>
      </c>
      <c r="C456">
        <f>IF([1]Accounts!$D$457="","",[1]Accounts!$C$457)</f>
        <v/>
      </c>
      <c r="D456">
        <f>IF([1]Accounts!$D$457="","",[1]Accounts!$D$457)</f>
        <v/>
      </c>
      <c r="E456">
        <f>IF([1]Accounts!$D$457="","",[1]Accounts!$J$457)</f>
        <v/>
      </c>
      <c r="F456">
        <f>IF([1]Accounts!$D$457="","",[1]Accounts!$K$457)</f>
        <v/>
      </c>
      <c r="U456">
        <f>IF([2]Baskol!$B$459="","",[2]Baskol!$B$459)</f>
        <v/>
      </c>
      <c r="V456">
        <f>IF([2]Baskol!$C$459="","",[2]Baskol!$C$459)</f>
        <v/>
      </c>
      <c r="W456">
        <f>IF([2]Baskol!$D$459="","",[2]Baskol!$D$459)</f>
        <v/>
      </c>
      <c r="X456">
        <f>IF([2]Baskol!$E$459="","",[2]Baskol!$E$459)</f>
        <v/>
      </c>
      <c r="Y456">
        <f>IF([2]Baskol!$G$459="","",[2]Baskol!$G$459)</f>
        <v/>
      </c>
      <c r="Z456">
        <f>IF([2]Baskol!$I$459="","",[2]Baskol!$I$459)</f>
        <v/>
      </c>
      <c r="AA456">
        <f>IF([2]Baskol!$J$459="","",[2]Baskol!$J$459)</f>
        <v/>
      </c>
      <c r="AB456">
        <f>IF([2]Baskol!$K$459="","",[2]Baskol!$K$459)</f>
        <v/>
      </c>
      <c r="AC456">
        <f>IF([2]Baskol!$L$459="","",[2]Baskol!$L$459)</f>
        <v/>
      </c>
      <c r="AD456">
        <f>IF([2]Baskol!$N$459="","",[2]Baskol!$N$459)</f>
        <v/>
      </c>
      <c r="AE456">
        <f>IF([2]Baskol!$O$459="","",[2]Baskol!$O$459)</f>
        <v/>
      </c>
      <c r="AG456">
        <f>IF([3]Entry!$C$459="","",[3]Entry!$C$459)</f>
        <v/>
      </c>
      <c r="AH456">
        <f>IF([3]Entry!$D$459="","",[3]Entry!$D$459)</f>
        <v/>
      </c>
      <c r="AI456">
        <f>IF([3]Entry!$E$459="","",[3]Entry!$E$459)</f>
        <v/>
      </c>
      <c r="AJ456">
        <f>IF([3]Entry!$G$459="","",[3]Entry!$G$459)</f>
        <v/>
      </c>
      <c r="AK456">
        <f>IF([3]Entry!$K$459="","",[3]Entry!$K$459)</f>
        <v/>
      </c>
      <c r="AL456">
        <f>IF([3]Entry!$L$459="","",[3]Entry!$L$459)</f>
        <v/>
      </c>
      <c r="AM456">
        <f>IF([3]Entry!$M$459="","",[3]Entry!$M$459)</f>
        <v/>
      </c>
      <c r="AN456">
        <f>IF([3]Entry!$N$459="","",[3]Entry!$N$459)</f>
        <v/>
      </c>
      <c r="AO456">
        <f>IF([3]Entry!$R$459="","",[3]Entry!$R$459)</f>
        <v/>
      </c>
      <c r="AQ456">
        <f>IF(AND($D456&lt;&gt;"",$A456&lt;&gt;""),1,0)</f>
        <v/>
      </c>
      <c r="AR456">
        <f>SUM($AQ$6:$AQ456)</f>
        <v/>
      </c>
      <c r="AS456">
        <f>IFERROR(INDEX($A$6:$A$565,MATCH(ROW()-5,$AR$6:$AR$565,0)),"")</f>
        <v/>
      </c>
    </row>
    <row r="457">
      <c r="A457">
        <f>IF([1]Accounts!$D$458="","",[1]Accounts!$A$458)</f>
        <v/>
      </c>
      <c r="B457">
        <f>IF([1]Accounts!$D$458="","",[1]Accounts!$B$458)</f>
        <v/>
      </c>
      <c r="C457">
        <f>IF([1]Accounts!$D$458="","",[1]Accounts!$C$458)</f>
        <v/>
      </c>
      <c r="D457">
        <f>IF([1]Accounts!$D$458="","",[1]Accounts!$D$458)</f>
        <v/>
      </c>
      <c r="E457">
        <f>IF([1]Accounts!$D$458="","",[1]Accounts!$J$458)</f>
        <v/>
      </c>
      <c r="F457">
        <f>IF([1]Accounts!$D$458="","",[1]Accounts!$K$458)</f>
        <v/>
      </c>
      <c r="U457">
        <f>IF([2]Baskol!$B$460="","",[2]Baskol!$B$460)</f>
        <v/>
      </c>
      <c r="V457">
        <f>IF([2]Baskol!$C$460="","",[2]Baskol!$C$460)</f>
        <v/>
      </c>
      <c r="W457">
        <f>IF([2]Baskol!$D$460="","",[2]Baskol!$D$460)</f>
        <v/>
      </c>
      <c r="X457">
        <f>IF([2]Baskol!$E$460="","",[2]Baskol!$E$460)</f>
        <v/>
      </c>
      <c r="Y457">
        <f>IF([2]Baskol!$G$460="","",[2]Baskol!$G$460)</f>
        <v/>
      </c>
      <c r="Z457">
        <f>IF([2]Baskol!$I$460="","",[2]Baskol!$I$460)</f>
        <v/>
      </c>
      <c r="AA457">
        <f>IF([2]Baskol!$J$460="","",[2]Baskol!$J$460)</f>
        <v/>
      </c>
      <c r="AB457">
        <f>IF([2]Baskol!$K$460="","",[2]Baskol!$K$460)</f>
        <v/>
      </c>
      <c r="AC457">
        <f>IF([2]Baskol!$L$460="","",[2]Baskol!$L$460)</f>
        <v/>
      </c>
      <c r="AD457">
        <f>IF([2]Baskol!$N$460="","",[2]Baskol!$N$460)</f>
        <v/>
      </c>
      <c r="AE457">
        <f>IF([2]Baskol!$O$460="","",[2]Baskol!$O$460)</f>
        <v/>
      </c>
      <c r="AG457">
        <f>IF([3]Entry!$C$460="","",[3]Entry!$C$460)</f>
        <v/>
      </c>
      <c r="AH457">
        <f>IF([3]Entry!$D$460="","",[3]Entry!$D$460)</f>
        <v/>
      </c>
      <c r="AI457">
        <f>IF([3]Entry!$E$460="","",[3]Entry!$E$460)</f>
        <v/>
      </c>
      <c r="AJ457">
        <f>IF([3]Entry!$G$460="","",[3]Entry!$G$460)</f>
        <v/>
      </c>
      <c r="AK457">
        <f>IF([3]Entry!$K$460="","",[3]Entry!$K$460)</f>
        <v/>
      </c>
      <c r="AL457">
        <f>IF([3]Entry!$L$460="","",[3]Entry!$L$460)</f>
        <v/>
      </c>
      <c r="AM457">
        <f>IF([3]Entry!$M$460="","",[3]Entry!$M$460)</f>
        <v/>
      </c>
      <c r="AN457">
        <f>IF([3]Entry!$N$460="","",[3]Entry!$N$460)</f>
        <v/>
      </c>
      <c r="AO457">
        <f>IF([3]Entry!$R$460="","",[3]Entry!$R$460)</f>
        <v/>
      </c>
      <c r="AQ457">
        <f>IF(AND($D457&lt;&gt;"",$A457&lt;&gt;""),1,0)</f>
        <v/>
      </c>
      <c r="AR457">
        <f>SUM($AQ$6:$AQ457)</f>
        <v/>
      </c>
      <c r="AS457">
        <f>IFERROR(INDEX($A$6:$A$565,MATCH(ROW()-5,$AR$6:$AR$565,0)),"")</f>
        <v/>
      </c>
    </row>
    <row r="458">
      <c r="A458">
        <f>IF([1]Accounts!$D$459="","",[1]Accounts!$A$459)</f>
        <v/>
      </c>
      <c r="B458">
        <f>IF([1]Accounts!$D$459="","",[1]Accounts!$B$459)</f>
        <v/>
      </c>
      <c r="C458">
        <f>IF([1]Accounts!$D$459="","",[1]Accounts!$C$459)</f>
        <v/>
      </c>
      <c r="D458">
        <f>IF([1]Accounts!$D$459="","",[1]Accounts!$D$459)</f>
        <v/>
      </c>
      <c r="E458">
        <f>IF([1]Accounts!$D$459="","",[1]Accounts!$J$459)</f>
        <v/>
      </c>
      <c r="F458">
        <f>IF([1]Accounts!$D$459="","",[1]Accounts!$K$459)</f>
        <v/>
      </c>
      <c r="U458">
        <f>IF([2]Baskol!$B$461="","",[2]Baskol!$B$461)</f>
        <v/>
      </c>
      <c r="V458">
        <f>IF([2]Baskol!$C$461="","",[2]Baskol!$C$461)</f>
        <v/>
      </c>
      <c r="W458">
        <f>IF([2]Baskol!$D$461="","",[2]Baskol!$D$461)</f>
        <v/>
      </c>
      <c r="X458">
        <f>IF([2]Baskol!$E$461="","",[2]Baskol!$E$461)</f>
        <v/>
      </c>
      <c r="Y458">
        <f>IF([2]Baskol!$G$461="","",[2]Baskol!$G$461)</f>
        <v/>
      </c>
      <c r="Z458">
        <f>IF([2]Baskol!$I$461="","",[2]Baskol!$I$461)</f>
        <v/>
      </c>
      <c r="AA458">
        <f>IF([2]Baskol!$J$461="","",[2]Baskol!$J$461)</f>
        <v/>
      </c>
      <c r="AB458">
        <f>IF([2]Baskol!$K$461="","",[2]Baskol!$K$461)</f>
        <v/>
      </c>
      <c r="AC458">
        <f>IF([2]Baskol!$L$461="","",[2]Baskol!$L$461)</f>
        <v/>
      </c>
      <c r="AD458">
        <f>IF([2]Baskol!$N$461="","",[2]Baskol!$N$461)</f>
        <v/>
      </c>
      <c r="AE458">
        <f>IF([2]Baskol!$O$461="","",[2]Baskol!$O$461)</f>
        <v/>
      </c>
      <c r="AG458">
        <f>IF([3]Entry!$C$461="","",[3]Entry!$C$461)</f>
        <v/>
      </c>
      <c r="AH458">
        <f>IF([3]Entry!$D$461="","",[3]Entry!$D$461)</f>
        <v/>
      </c>
      <c r="AI458">
        <f>IF([3]Entry!$E$461="","",[3]Entry!$E$461)</f>
        <v/>
      </c>
      <c r="AJ458">
        <f>IF([3]Entry!$G$461="","",[3]Entry!$G$461)</f>
        <v/>
      </c>
      <c r="AK458">
        <f>IF([3]Entry!$K$461="","",[3]Entry!$K$461)</f>
        <v/>
      </c>
      <c r="AL458">
        <f>IF([3]Entry!$L$461="","",[3]Entry!$L$461)</f>
        <v/>
      </c>
      <c r="AM458">
        <f>IF([3]Entry!$M$461="","",[3]Entry!$M$461)</f>
        <v/>
      </c>
      <c r="AN458">
        <f>IF([3]Entry!$N$461="","",[3]Entry!$N$461)</f>
        <v/>
      </c>
      <c r="AO458">
        <f>IF([3]Entry!$R$461="","",[3]Entry!$R$461)</f>
        <v/>
      </c>
      <c r="AQ458">
        <f>IF(AND($D458&lt;&gt;"",$A458&lt;&gt;""),1,0)</f>
        <v/>
      </c>
      <c r="AR458">
        <f>SUM($AQ$6:$AQ458)</f>
        <v/>
      </c>
      <c r="AS458">
        <f>IFERROR(INDEX($A$6:$A$565,MATCH(ROW()-5,$AR$6:$AR$565,0)),"")</f>
        <v/>
      </c>
    </row>
    <row r="459">
      <c r="A459">
        <f>IF([1]Accounts!$D$460="","",[1]Accounts!$A$460)</f>
        <v/>
      </c>
      <c r="B459">
        <f>IF([1]Accounts!$D$460="","",[1]Accounts!$B$460)</f>
        <v/>
      </c>
      <c r="C459">
        <f>IF([1]Accounts!$D$460="","",[1]Accounts!$C$460)</f>
        <v/>
      </c>
      <c r="D459">
        <f>IF([1]Accounts!$D$460="","",[1]Accounts!$D$460)</f>
        <v/>
      </c>
      <c r="E459">
        <f>IF([1]Accounts!$D$460="","",[1]Accounts!$J$460)</f>
        <v/>
      </c>
      <c r="F459">
        <f>IF([1]Accounts!$D$460="","",[1]Accounts!$K$460)</f>
        <v/>
      </c>
      <c r="U459">
        <f>IF([2]Baskol!$B$462="","",[2]Baskol!$B$462)</f>
        <v/>
      </c>
      <c r="V459">
        <f>IF([2]Baskol!$C$462="","",[2]Baskol!$C$462)</f>
        <v/>
      </c>
      <c r="W459">
        <f>IF([2]Baskol!$D$462="","",[2]Baskol!$D$462)</f>
        <v/>
      </c>
      <c r="X459">
        <f>IF([2]Baskol!$E$462="","",[2]Baskol!$E$462)</f>
        <v/>
      </c>
      <c r="Y459">
        <f>IF([2]Baskol!$G$462="","",[2]Baskol!$G$462)</f>
        <v/>
      </c>
      <c r="Z459">
        <f>IF([2]Baskol!$I$462="","",[2]Baskol!$I$462)</f>
        <v/>
      </c>
      <c r="AA459">
        <f>IF([2]Baskol!$J$462="","",[2]Baskol!$J$462)</f>
        <v/>
      </c>
      <c r="AB459">
        <f>IF([2]Baskol!$K$462="","",[2]Baskol!$K$462)</f>
        <v/>
      </c>
      <c r="AC459">
        <f>IF([2]Baskol!$L$462="","",[2]Baskol!$L$462)</f>
        <v/>
      </c>
      <c r="AD459">
        <f>IF([2]Baskol!$N$462="","",[2]Baskol!$N$462)</f>
        <v/>
      </c>
      <c r="AE459">
        <f>IF([2]Baskol!$O$462="","",[2]Baskol!$O$462)</f>
        <v/>
      </c>
      <c r="AG459">
        <f>IF([3]Entry!$C$462="","",[3]Entry!$C$462)</f>
        <v/>
      </c>
      <c r="AH459">
        <f>IF([3]Entry!$D$462="","",[3]Entry!$D$462)</f>
        <v/>
      </c>
      <c r="AI459">
        <f>IF([3]Entry!$E$462="","",[3]Entry!$E$462)</f>
        <v/>
      </c>
      <c r="AJ459">
        <f>IF([3]Entry!$G$462="","",[3]Entry!$G$462)</f>
        <v/>
      </c>
      <c r="AK459">
        <f>IF([3]Entry!$K$462="","",[3]Entry!$K$462)</f>
        <v/>
      </c>
      <c r="AL459">
        <f>IF([3]Entry!$L$462="","",[3]Entry!$L$462)</f>
        <v/>
      </c>
      <c r="AM459">
        <f>IF([3]Entry!$M$462="","",[3]Entry!$M$462)</f>
        <v/>
      </c>
      <c r="AN459">
        <f>IF([3]Entry!$N$462="","",[3]Entry!$N$462)</f>
        <v/>
      </c>
      <c r="AO459">
        <f>IF([3]Entry!$R$462="","",[3]Entry!$R$462)</f>
        <v/>
      </c>
      <c r="AQ459">
        <f>IF(AND($D459&lt;&gt;"",$A459&lt;&gt;""),1,0)</f>
        <v/>
      </c>
      <c r="AR459">
        <f>SUM($AQ$6:$AQ459)</f>
        <v/>
      </c>
      <c r="AS459">
        <f>IFERROR(INDEX($A$6:$A$565,MATCH(ROW()-5,$AR$6:$AR$565,0)),"")</f>
        <v/>
      </c>
    </row>
    <row r="460">
      <c r="A460">
        <f>IF([1]Accounts!$D$461="","",[1]Accounts!$A$461)</f>
        <v/>
      </c>
      <c r="B460">
        <f>IF([1]Accounts!$D$461="","",[1]Accounts!$B$461)</f>
        <v/>
      </c>
      <c r="C460">
        <f>IF([1]Accounts!$D$461="","",[1]Accounts!$C$461)</f>
        <v/>
      </c>
      <c r="D460">
        <f>IF([1]Accounts!$D$461="","",[1]Accounts!$D$461)</f>
        <v/>
      </c>
      <c r="E460">
        <f>IF([1]Accounts!$D$461="","",[1]Accounts!$J$461)</f>
        <v/>
      </c>
      <c r="F460">
        <f>IF([1]Accounts!$D$461="","",[1]Accounts!$K$461)</f>
        <v/>
      </c>
      <c r="U460">
        <f>IF([2]Baskol!$B$463="","",[2]Baskol!$B$463)</f>
        <v/>
      </c>
      <c r="V460">
        <f>IF([2]Baskol!$C$463="","",[2]Baskol!$C$463)</f>
        <v/>
      </c>
      <c r="W460">
        <f>IF([2]Baskol!$D$463="","",[2]Baskol!$D$463)</f>
        <v/>
      </c>
      <c r="X460">
        <f>IF([2]Baskol!$E$463="","",[2]Baskol!$E$463)</f>
        <v/>
      </c>
      <c r="Y460">
        <f>IF([2]Baskol!$G$463="","",[2]Baskol!$G$463)</f>
        <v/>
      </c>
      <c r="Z460">
        <f>IF([2]Baskol!$I$463="","",[2]Baskol!$I$463)</f>
        <v/>
      </c>
      <c r="AA460">
        <f>IF([2]Baskol!$J$463="","",[2]Baskol!$J$463)</f>
        <v/>
      </c>
      <c r="AB460">
        <f>IF([2]Baskol!$K$463="","",[2]Baskol!$K$463)</f>
        <v/>
      </c>
      <c r="AC460">
        <f>IF([2]Baskol!$L$463="","",[2]Baskol!$L$463)</f>
        <v/>
      </c>
      <c r="AD460">
        <f>IF([2]Baskol!$N$463="","",[2]Baskol!$N$463)</f>
        <v/>
      </c>
      <c r="AE460">
        <f>IF([2]Baskol!$O$463="","",[2]Baskol!$O$463)</f>
        <v/>
      </c>
      <c r="AG460">
        <f>IF([3]Entry!$C$463="","",[3]Entry!$C$463)</f>
        <v/>
      </c>
      <c r="AH460">
        <f>IF([3]Entry!$D$463="","",[3]Entry!$D$463)</f>
        <v/>
      </c>
      <c r="AI460">
        <f>IF([3]Entry!$E$463="","",[3]Entry!$E$463)</f>
        <v/>
      </c>
      <c r="AJ460">
        <f>IF([3]Entry!$G$463="","",[3]Entry!$G$463)</f>
        <v/>
      </c>
      <c r="AK460">
        <f>IF([3]Entry!$K$463="","",[3]Entry!$K$463)</f>
        <v/>
      </c>
      <c r="AL460">
        <f>IF([3]Entry!$L$463="","",[3]Entry!$L$463)</f>
        <v/>
      </c>
      <c r="AM460">
        <f>IF([3]Entry!$M$463="","",[3]Entry!$M$463)</f>
        <v/>
      </c>
      <c r="AN460">
        <f>IF([3]Entry!$N$463="","",[3]Entry!$N$463)</f>
        <v/>
      </c>
      <c r="AO460">
        <f>IF([3]Entry!$R$463="","",[3]Entry!$R$463)</f>
        <v/>
      </c>
      <c r="AQ460">
        <f>IF(AND($D460&lt;&gt;"",$A460&lt;&gt;""),1,0)</f>
        <v/>
      </c>
      <c r="AR460">
        <f>SUM($AQ$6:$AQ460)</f>
        <v/>
      </c>
      <c r="AS460">
        <f>IFERROR(INDEX($A$6:$A$565,MATCH(ROW()-5,$AR$6:$AR$565,0)),"")</f>
        <v/>
      </c>
    </row>
    <row r="461">
      <c r="A461">
        <f>IF([1]Accounts!$D$462="","",[1]Accounts!$A$462)</f>
        <v/>
      </c>
      <c r="B461">
        <f>IF([1]Accounts!$D$462="","",[1]Accounts!$B$462)</f>
        <v/>
      </c>
      <c r="C461">
        <f>IF([1]Accounts!$D$462="","",[1]Accounts!$C$462)</f>
        <v/>
      </c>
      <c r="D461">
        <f>IF([1]Accounts!$D$462="","",[1]Accounts!$D$462)</f>
        <v/>
      </c>
      <c r="E461">
        <f>IF([1]Accounts!$D$462="","",[1]Accounts!$J$462)</f>
        <v/>
      </c>
      <c r="F461">
        <f>IF([1]Accounts!$D$462="","",[1]Accounts!$K$462)</f>
        <v/>
      </c>
      <c r="U461">
        <f>IF([2]Baskol!$B$464="","",[2]Baskol!$B$464)</f>
        <v/>
      </c>
      <c r="V461">
        <f>IF([2]Baskol!$C$464="","",[2]Baskol!$C$464)</f>
        <v/>
      </c>
      <c r="W461">
        <f>IF([2]Baskol!$D$464="","",[2]Baskol!$D$464)</f>
        <v/>
      </c>
      <c r="X461">
        <f>IF([2]Baskol!$E$464="","",[2]Baskol!$E$464)</f>
        <v/>
      </c>
      <c r="Y461">
        <f>IF([2]Baskol!$G$464="","",[2]Baskol!$G$464)</f>
        <v/>
      </c>
      <c r="Z461">
        <f>IF([2]Baskol!$I$464="","",[2]Baskol!$I$464)</f>
        <v/>
      </c>
      <c r="AA461">
        <f>IF([2]Baskol!$J$464="","",[2]Baskol!$J$464)</f>
        <v/>
      </c>
      <c r="AB461">
        <f>IF([2]Baskol!$K$464="","",[2]Baskol!$K$464)</f>
        <v/>
      </c>
      <c r="AC461">
        <f>IF([2]Baskol!$L$464="","",[2]Baskol!$L$464)</f>
        <v/>
      </c>
      <c r="AD461">
        <f>IF([2]Baskol!$N$464="","",[2]Baskol!$N$464)</f>
        <v/>
      </c>
      <c r="AE461">
        <f>IF([2]Baskol!$O$464="","",[2]Baskol!$O$464)</f>
        <v/>
      </c>
      <c r="AG461">
        <f>IF([3]Entry!$C$464="","",[3]Entry!$C$464)</f>
        <v/>
      </c>
      <c r="AH461">
        <f>IF([3]Entry!$D$464="","",[3]Entry!$D$464)</f>
        <v/>
      </c>
      <c r="AI461">
        <f>IF([3]Entry!$E$464="","",[3]Entry!$E$464)</f>
        <v/>
      </c>
      <c r="AJ461">
        <f>IF([3]Entry!$G$464="","",[3]Entry!$G$464)</f>
        <v/>
      </c>
      <c r="AK461">
        <f>IF([3]Entry!$K$464="","",[3]Entry!$K$464)</f>
        <v/>
      </c>
      <c r="AL461">
        <f>IF([3]Entry!$L$464="","",[3]Entry!$L$464)</f>
        <v/>
      </c>
      <c r="AM461">
        <f>IF([3]Entry!$M$464="","",[3]Entry!$M$464)</f>
        <v/>
      </c>
      <c r="AN461">
        <f>IF([3]Entry!$N$464="","",[3]Entry!$N$464)</f>
        <v/>
      </c>
      <c r="AO461">
        <f>IF([3]Entry!$R$464="","",[3]Entry!$R$464)</f>
        <v/>
      </c>
      <c r="AQ461">
        <f>IF(AND($D461&lt;&gt;"",$A461&lt;&gt;""),1,0)</f>
        <v/>
      </c>
      <c r="AR461">
        <f>SUM($AQ$6:$AQ461)</f>
        <v/>
      </c>
      <c r="AS461">
        <f>IFERROR(INDEX($A$6:$A$565,MATCH(ROW()-5,$AR$6:$AR$565,0)),"")</f>
        <v/>
      </c>
    </row>
    <row r="462">
      <c r="A462">
        <f>IF([1]Accounts!$D$463="","",[1]Accounts!$A$463)</f>
        <v/>
      </c>
      <c r="B462">
        <f>IF([1]Accounts!$D$463="","",[1]Accounts!$B$463)</f>
        <v/>
      </c>
      <c r="C462">
        <f>IF([1]Accounts!$D$463="","",[1]Accounts!$C$463)</f>
        <v/>
      </c>
      <c r="D462">
        <f>IF([1]Accounts!$D$463="","",[1]Accounts!$D$463)</f>
        <v/>
      </c>
      <c r="E462">
        <f>IF([1]Accounts!$D$463="","",[1]Accounts!$J$463)</f>
        <v/>
      </c>
      <c r="F462">
        <f>IF([1]Accounts!$D$463="","",[1]Accounts!$K$463)</f>
        <v/>
      </c>
      <c r="U462">
        <f>IF([2]Baskol!$B$465="","",[2]Baskol!$B$465)</f>
        <v/>
      </c>
      <c r="V462">
        <f>IF([2]Baskol!$C$465="","",[2]Baskol!$C$465)</f>
        <v/>
      </c>
      <c r="W462">
        <f>IF([2]Baskol!$D$465="","",[2]Baskol!$D$465)</f>
        <v/>
      </c>
      <c r="X462">
        <f>IF([2]Baskol!$E$465="","",[2]Baskol!$E$465)</f>
        <v/>
      </c>
      <c r="Y462">
        <f>IF([2]Baskol!$G$465="","",[2]Baskol!$G$465)</f>
        <v/>
      </c>
      <c r="Z462">
        <f>IF([2]Baskol!$I$465="","",[2]Baskol!$I$465)</f>
        <v/>
      </c>
      <c r="AA462">
        <f>IF([2]Baskol!$J$465="","",[2]Baskol!$J$465)</f>
        <v/>
      </c>
      <c r="AB462">
        <f>IF([2]Baskol!$K$465="","",[2]Baskol!$K$465)</f>
        <v/>
      </c>
      <c r="AC462">
        <f>IF([2]Baskol!$L$465="","",[2]Baskol!$L$465)</f>
        <v/>
      </c>
      <c r="AD462">
        <f>IF([2]Baskol!$N$465="","",[2]Baskol!$N$465)</f>
        <v/>
      </c>
      <c r="AE462">
        <f>IF([2]Baskol!$O$465="","",[2]Baskol!$O$465)</f>
        <v/>
      </c>
      <c r="AG462">
        <f>IF([3]Entry!$C$465="","",[3]Entry!$C$465)</f>
        <v/>
      </c>
      <c r="AH462">
        <f>IF([3]Entry!$D$465="","",[3]Entry!$D$465)</f>
        <v/>
      </c>
      <c r="AI462">
        <f>IF([3]Entry!$E$465="","",[3]Entry!$E$465)</f>
        <v/>
      </c>
      <c r="AJ462">
        <f>IF([3]Entry!$G$465="","",[3]Entry!$G$465)</f>
        <v/>
      </c>
      <c r="AK462">
        <f>IF([3]Entry!$K$465="","",[3]Entry!$K$465)</f>
        <v/>
      </c>
      <c r="AL462">
        <f>IF([3]Entry!$L$465="","",[3]Entry!$L$465)</f>
        <v/>
      </c>
      <c r="AM462">
        <f>IF([3]Entry!$M$465="","",[3]Entry!$M$465)</f>
        <v/>
      </c>
      <c r="AN462">
        <f>IF([3]Entry!$N$465="","",[3]Entry!$N$465)</f>
        <v/>
      </c>
      <c r="AO462">
        <f>IF([3]Entry!$R$465="","",[3]Entry!$R$465)</f>
        <v/>
      </c>
      <c r="AQ462">
        <f>IF(AND($D462&lt;&gt;"",$A462&lt;&gt;""),1,0)</f>
        <v/>
      </c>
      <c r="AR462">
        <f>SUM($AQ$6:$AQ462)</f>
        <v/>
      </c>
      <c r="AS462">
        <f>IFERROR(INDEX($A$6:$A$565,MATCH(ROW()-5,$AR$6:$AR$565,0)),"")</f>
        <v/>
      </c>
    </row>
    <row r="463">
      <c r="A463">
        <f>IF([1]Accounts!$D$464="","",[1]Accounts!$A$464)</f>
        <v/>
      </c>
      <c r="B463">
        <f>IF([1]Accounts!$D$464="","",[1]Accounts!$B$464)</f>
        <v/>
      </c>
      <c r="C463">
        <f>IF([1]Accounts!$D$464="","",[1]Accounts!$C$464)</f>
        <v/>
      </c>
      <c r="D463">
        <f>IF([1]Accounts!$D$464="","",[1]Accounts!$D$464)</f>
        <v/>
      </c>
      <c r="E463">
        <f>IF([1]Accounts!$D$464="","",[1]Accounts!$J$464)</f>
        <v/>
      </c>
      <c r="F463">
        <f>IF([1]Accounts!$D$464="","",[1]Accounts!$K$464)</f>
        <v/>
      </c>
      <c r="U463">
        <f>IF([2]Baskol!$B$466="","",[2]Baskol!$B$466)</f>
        <v/>
      </c>
      <c r="V463">
        <f>IF([2]Baskol!$C$466="","",[2]Baskol!$C$466)</f>
        <v/>
      </c>
      <c r="W463">
        <f>IF([2]Baskol!$D$466="","",[2]Baskol!$D$466)</f>
        <v/>
      </c>
      <c r="X463">
        <f>IF([2]Baskol!$E$466="","",[2]Baskol!$E$466)</f>
        <v/>
      </c>
      <c r="Y463">
        <f>IF([2]Baskol!$G$466="","",[2]Baskol!$G$466)</f>
        <v/>
      </c>
      <c r="Z463">
        <f>IF([2]Baskol!$I$466="","",[2]Baskol!$I$466)</f>
        <v/>
      </c>
      <c r="AA463">
        <f>IF([2]Baskol!$J$466="","",[2]Baskol!$J$466)</f>
        <v/>
      </c>
      <c r="AB463">
        <f>IF([2]Baskol!$K$466="","",[2]Baskol!$K$466)</f>
        <v/>
      </c>
      <c r="AC463">
        <f>IF([2]Baskol!$L$466="","",[2]Baskol!$L$466)</f>
        <v/>
      </c>
      <c r="AD463">
        <f>IF([2]Baskol!$N$466="","",[2]Baskol!$N$466)</f>
        <v/>
      </c>
      <c r="AE463">
        <f>IF([2]Baskol!$O$466="","",[2]Baskol!$O$466)</f>
        <v/>
      </c>
      <c r="AG463">
        <f>IF([3]Entry!$C$466="","",[3]Entry!$C$466)</f>
        <v/>
      </c>
      <c r="AH463">
        <f>IF([3]Entry!$D$466="","",[3]Entry!$D$466)</f>
        <v/>
      </c>
      <c r="AI463">
        <f>IF([3]Entry!$E$466="","",[3]Entry!$E$466)</f>
        <v/>
      </c>
      <c r="AJ463">
        <f>IF([3]Entry!$G$466="","",[3]Entry!$G$466)</f>
        <v/>
      </c>
      <c r="AK463">
        <f>IF([3]Entry!$K$466="","",[3]Entry!$K$466)</f>
        <v/>
      </c>
      <c r="AL463">
        <f>IF([3]Entry!$L$466="","",[3]Entry!$L$466)</f>
        <v/>
      </c>
      <c r="AM463">
        <f>IF([3]Entry!$M$466="","",[3]Entry!$M$466)</f>
        <v/>
      </c>
      <c r="AN463">
        <f>IF([3]Entry!$N$466="","",[3]Entry!$N$466)</f>
        <v/>
      </c>
      <c r="AO463">
        <f>IF([3]Entry!$R$466="","",[3]Entry!$R$466)</f>
        <v/>
      </c>
      <c r="AQ463">
        <f>IF(AND($D463&lt;&gt;"",$A463&lt;&gt;""),1,0)</f>
        <v/>
      </c>
      <c r="AR463">
        <f>SUM($AQ$6:$AQ463)</f>
        <v/>
      </c>
      <c r="AS463">
        <f>IFERROR(INDEX($A$6:$A$565,MATCH(ROW()-5,$AR$6:$AR$565,0)),"")</f>
        <v/>
      </c>
    </row>
    <row r="464">
      <c r="A464">
        <f>IF([1]Accounts!$D$465="","",[1]Accounts!$A$465)</f>
        <v/>
      </c>
      <c r="B464">
        <f>IF([1]Accounts!$D$465="","",[1]Accounts!$B$465)</f>
        <v/>
      </c>
      <c r="C464">
        <f>IF([1]Accounts!$D$465="","",[1]Accounts!$C$465)</f>
        <v/>
      </c>
      <c r="D464">
        <f>IF([1]Accounts!$D$465="","",[1]Accounts!$D$465)</f>
        <v/>
      </c>
      <c r="E464">
        <f>IF([1]Accounts!$D$465="","",[1]Accounts!$J$465)</f>
        <v/>
      </c>
      <c r="F464">
        <f>IF([1]Accounts!$D$465="","",[1]Accounts!$K$465)</f>
        <v/>
      </c>
      <c r="U464">
        <f>IF([2]Baskol!$B$467="","",[2]Baskol!$B$467)</f>
        <v/>
      </c>
      <c r="V464">
        <f>IF([2]Baskol!$C$467="","",[2]Baskol!$C$467)</f>
        <v/>
      </c>
      <c r="W464">
        <f>IF([2]Baskol!$D$467="","",[2]Baskol!$D$467)</f>
        <v/>
      </c>
      <c r="X464">
        <f>IF([2]Baskol!$E$467="","",[2]Baskol!$E$467)</f>
        <v/>
      </c>
      <c r="Y464">
        <f>IF([2]Baskol!$G$467="","",[2]Baskol!$G$467)</f>
        <v/>
      </c>
      <c r="Z464">
        <f>IF([2]Baskol!$I$467="","",[2]Baskol!$I$467)</f>
        <v/>
      </c>
      <c r="AA464">
        <f>IF([2]Baskol!$J$467="","",[2]Baskol!$J$467)</f>
        <v/>
      </c>
      <c r="AB464">
        <f>IF([2]Baskol!$K$467="","",[2]Baskol!$K$467)</f>
        <v/>
      </c>
      <c r="AC464">
        <f>IF([2]Baskol!$L$467="","",[2]Baskol!$L$467)</f>
        <v/>
      </c>
      <c r="AD464">
        <f>IF([2]Baskol!$N$467="","",[2]Baskol!$N$467)</f>
        <v/>
      </c>
      <c r="AE464">
        <f>IF([2]Baskol!$O$467="","",[2]Baskol!$O$467)</f>
        <v/>
      </c>
      <c r="AG464">
        <f>IF([3]Entry!$C$467="","",[3]Entry!$C$467)</f>
        <v/>
      </c>
      <c r="AH464">
        <f>IF([3]Entry!$D$467="","",[3]Entry!$D$467)</f>
        <v/>
      </c>
      <c r="AI464">
        <f>IF([3]Entry!$E$467="","",[3]Entry!$E$467)</f>
        <v/>
      </c>
      <c r="AJ464">
        <f>IF([3]Entry!$G$467="","",[3]Entry!$G$467)</f>
        <v/>
      </c>
      <c r="AK464">
        <f>IF([3]Entry!$K$467="","",[3]Entry!$K$467)</f>
        <v/>
      </c>
      <c r="AL464">
        <f>IF([3]Entry!$L$467="","",[3]Entry!$L$467)</f>
        <v/>
      </c>
      <c r="AM464">
        <f>IF([3]Entry!$M$467="","",[3]Entry!$M$467)</f>
        <v/>
      </c>
      <c r="AN464">
        <f>IF([3]Entry!$N$467="","",[3]Entry!$N$467)</f>
        <v/>
      </c>
      <c r="AO464">
        <f>IF([3]Entry!$R$467="","",[3]Entry!$R$467)</f>
        <v/>
      </c>
      <c r="AQ464">
        <f>IF(AND($D464&lt;&gt;"",$A464&lt;&gt;""),1,0)</f>
        <v/>
      </c>
      <c r="AR464">
        <f>SUM($AQ$6:$AQ464)</f>
        <v/>
      </c>
      <c r="AS464">
        <f>IFERROR(INDEX($A$6:$A$565,MATCH(ROW()-5,$AR$6:$AR$565,0)),"")</f>
        <v/>
      </c>
    </row>
    <row r="465">
      <c r="A465">
        <f>IF([1]Accounts!$D$466="","",[1]Accounts!$A$466)</f>
        <v/>
      </c>
      <c r="B465">
        <f>IF([1]Accounts!$D$466="","",[1]Accounts!$B$466)</f>
        <v/>
      </c>
      <c r="C465">
        <f>IF([1]Accounts!$D$466="","",[1]Accounts!$C$466)</f>
        <v/>
      </c>
      <c r="D465">
        <f>IF([1]Accounts!$D$466="","",[1]Accounts!$D$466)</f>
        <v/>
      </c>
      <c r="E465">
        <f>IF([1]Accounts!$D$466="","",[1]Accounts!$J$466)</f>
        <v/>
      </c>
      <c r="F465">
        <f>IF([1]Accounts!$D$466="","",[1]Accounts!$K$466)</f>
        <v/>
      </c>
      <c r="U465">
        <f>IF([2]Baskol!$B$468="","",[2]Baskol!$B$468)</f>
        <v/>
      </c>
      <c r="V465">
        <f>IF([2]Baskol!$C$468="","",[2]Baskol!$C$468)</f>
        <v/>
      </c>
      <c r="W465">
        <f>IF([2]Baskol!$D$468="","",[2]Baskol!$D$468)</f>
        <v/>
      </c>
      <c r="X465">
        <f>IF([2]Baskol!$E$468="","",[2]Baskol!$E$468)</f>
        <v/>
      </c>
      <c r="Y465">
        <f>IF([2]Baskol!$G$468="","",[2]Baskol!$G$468)</f>
        <v/>
      </c>
      <c r="Z465">
        <f>IF([2]Baskol!$I$468="","",[2]Baskol!$I$468)</f>
        <v/>
      </c>
      <c r="AA465">
        <f>IF([2]Baskol!$J$468="","",[2]Baskol!$J$468)</f>
        <v/>
      </c>
      <c r="AB465">
        <f>IF([2]Baskol!$K$468="","",[2]Baskol!$K$468)</f>
        <v/>
      </c>
      <c r="AC465">
        <f>IF([2]Baskol!$L$468="","",[2]Baskol!$L$468)</f>
        <v/>
      </c>
      <c r="AD465">
        <f>IF([2]Baskol!$N$468="","",[2]Baskol!$N$468)</f>
        <v/>
      </c>
      <c r="AE465">
        <f>IF([2]Baskol!$O$468="","",[2]Baskol!$O$468)</f>
        <v/>
      </c>
      <c r="AG465">
        <f>IF([3]Entry!$C$468="","",[3]Entry!$C$468)</f>
        <v/>
      </c>
      <c r="AH465">
        <f>IF([3]Entry!$D$468="","",[3]Entry!$D$468)</f>
        <v/>
      </c>
      <c r="AI465">
        <f>IF([3]Entry!$E$468="","",[3]Entry!$E$468)</f>
        <v/>
      </c>
      <c r="AJ465">
        <f>IF([3]Entry!$G$468="","",[3]Entry!$G$468)</f>
        <v/>
      </c>
      <c r="AK465">
        <f>IF([3]Entry!$K$468="","",[3]Entry!$K$468)</f>
        <v/>
      </c>
      <c r="AL465">
        <f>IF([3]Entry!$L$468="","",[3]Entry!$L$468)</f>
        <v/>
      </c>
      <c r="AM465">
        <f>IF([3]Entry!$M$468="","",[3]Entry!$M$468)</f>
        <v/>
      </c>
      <c r="AN465">
        <f>IF([3]Entry!$N$468="","",[3]Entry!$N$468)</f>
        <v/>
      </c>
      <c r="AO465">
        <f>IF([3]Entry!$R$468="","",[3]Entry!$R$468)</f>
        <v/>
      </c>
      <c r="AQ465">
        <f>IF(AND($D465&lt;&gt;"",$A465&lt;&gt;""),1,0)</f>
        <v/>
      </c>
      <c r="AR465">
        <f>SUM($AQ$6:$AQ465)</f>
        <v/>
      </c>
      <c r="AS465">
        <f>IFERROR(INDEX($A$6:$A$565,MATCH(ROW()-5,$AR$6:$AR$565,0)),"")</f>
        <v/>
      </c>
    </row>
    <row r="466">
      <c r="A466">
        <f>IF([1]Accounts!$D$467="","",[1]Accounts!$A$467)</f>
        <v/>
      </c>
      <c r="B466">
        <f>IF([1]Accounts!$D$467="","",[1]Accounts!$B$467)</f>
        <v/>
      </c>
      <c r="C466">
        <f>IF([1]Accounts!$D$467="","",[1]Accounts!$C$467)</f>
        <v/>
      </c>
      <c r="D466">
        <f>IF([1]Accounts!$D$467="","",[1]Accounts!$D$467)</f>
        <v/>
      </c>
      <c r="E466">
        <f>IF([1]Accounts!$D$467="","",[1]Accounts!$J$467)</f>
        <v/>
      </c>
      <c r="F466">
        <f>IF([1]Accounts!$D$467="","",[1]Accounts!$K$467)</f>
        <v/>
      </c>
      <c r="U466">
        <f>IF([2]Baskol!$B$469="","",[2]Baskol!$B$469)</f>
        <v/>
      </c>
      <c r="V466">
        <f>IF([2]Baskol!$C$469="","",[2]Baskol!$C$469)</f>
        <v/>
      </c>
      <c r="W466">
        <f>IF([2]Baskol!$D$469="","",[2]Baskol!$D$469)</f>
        <v/>
      </c>
      <c r="X466">
        <f>IF([2]Baskol!$E$469="","",[2]Baskol!$E$469)</f>
        <v/>
      </c>
      <c r="Y466">
        <f>IF([2]Baskol!$G$469="","",[2]Baskol!$G$469)</f>
        <v/>
      </c>
      <c r="Z466">
        <f>IF([2]Baskol!$I$469="","",[2]Baskol!$I$469)</f>
        <v/>
      </c>
      <c r="AA466">
        <f>IF([2]Baskol!$J$469="","",[2]Baskol!$J$469)</f>
        <v/>
      </c>
      <c r="AB466">
        <f>IF([2]Baskol!$K$469="","",[2]Baskol!$K$469)</f>
        <v/>
      </c>
      <c r="AC466">
        <f>IF([2]Baskol!$L$469="","",[2]Baskol!$L$469)</f>
        <v/>
      </c>
      <c r="AD466">
        <f>IF([2]Baskol!$N$469="","",[2]Baskol!$N$469)</f>
        <v/>
      </c>
      <c r="AE466">
        <f>IF([2]Baskol!$O$469="","",[2]Baskol!$O$469)</f>
        <v/>
      </c>
      <c r="AG466">
        <f>IF([3]Entry!$C$469="","",[3]Entry!$C$469)</f>
        <v/>
      </c>
      <c r="AH466">
        <f>IF([3]Entry!$D$469="","",[3]Entry!$D$469)</f>
        <v/>
      </c>
      <c r="AI466">
        <f>IF([3]Entry!$E$469="","",[3]Entry!$E$469)</f>
        <v/>
      </c>
      <c r="AJ466">
        <f>IF([3]Entry!$G$469="","",[3]Entry!$G$469)</f>
        <v/>
      </c>
      <c r="AK466">
        <f>IF([3]Entry!$K$469="","",[3]Entry!$K$469)</f>
        <v/>
      </c>
      <c r="AL466">
        <f>IF([3]Entry!$L$469="","",[3]Entry!$L$469)</f>
        <v/>
      </c>
      <c r="AM466">
        <f>IF([3]Entry!$M$469="","",[3]Entry!$M$469)</f>
        <v/>
      </c>
      <c r="AN466">
        <f>IF([3]Entry!$N$469="","",[3]Entry!$N$469)</f>
        <v/>
      </c>
      <c r="AO466">
        <f>IF([3]Entry!$R$469="","",[3]Entry!$R$469)</f>
        <v/>
      </c>
      <c r="AQ466">
        <f>IF(AND($D466&lt;&gt;"",$A466&lt;&gt;""),1,0)</f>
        <v/>
      </c>
      <c r="AR466">
        <f>SUM($AQ$6:$AQ466)</f>
        <v/>
      </c>
      <c r="AS466">
        <f>IFERROR(INDEX($A$6:$A$565,MATCH(ROW()-5,$AR$6:$AR$565,0)),"")</f>
        <v/>
      </c>
    </row>
    <row r="467">
      <c r="A467">
        <f>IF([1]Accounts!$D$468="","",[1]Accounts!$A$468)</f>
        <v/>
      </c>
      <c r="B467">
        <f>IF([1]Accounts!$D$468="","",[1]Accounts!$B$468)</f>
        <v/>
      </c>
      <c r="C467">
        <f>IF([1]Accounts!$D$468="","",[1]Accounts!$C$468)</f>
        <v/>
      </c>
      <c r="D467">
        <f>IF([1]Accounts!$D$468="","",[1]Accounts!$D$468)</f>
        <v/>
      </c>
      <c r="E467">
        <f>IF([1]Accounts!$D$468="","",[1]Accounts!$J$468)</f>
        <v/>
      </c>
      <c r="F467">
        <f>IF([1]Accounts!$D$468="","",[1]Accounts!$K$468)</f>
        <v/>
      </c>
      <c r="U467">
        <f>IF([2]Baskol!$B$470="","",[2]Baskol!$B$470)</f>
        <v/>
      </c>
      <c r="V467">
        <f>IF([2]Baskol!$C$470="","",[2]Baskol!$C$470)</f>
        <v/>
      </c>
      <c r="W467">
        <f>IF([2]Baskol!$D$470="","",[2]Baskol!$D$470)</f>
        <v/>
      </c>
      <c r="X467">
        <f>IF([2]Baskol!$E$470="","",[2]Baskol!$E$470)</f>
        <v/>
      </c>
      <c r="Y467">
        <f>IF([2]Baskol!$G$470="","",[2]Baskol!$G$470)</f>
        <v/>
      </c>
      <c r="Z467">
        <f>IF([2]Baskol!$I$470="","",[2]Baskol!$I$470)</f>
        <v/>
      </c>
      <c r="AA467">
        <f>IF([2]Baskol!$J$470="","",[2]Baskol!$J$470)</f>
        <v/>
      </c>
      <c r="AB467">
        <f>IF([2]Baskol!$K$470="","",[2]Baskol!$K$470)</f>
        <v/>
      </c>
      <c r="AC467">
        <f>IF([2]Baskol!$L$470="","",[2]Baskol!$L$470)</f>
        <v/>
      </c>
      <c r="AD467">
        <f>IF([2]Baskol!$N$470="","",[2]Baskol!$N$470)</f>
        <v/>
      </c>
      <c r="AE467">
        <f>IF([2]Baskol!$O$470="","",[2]Baskol!$O$470)</f>
        <v/>
      </c>
      <c r="AG467">
        <f>IF([3]Entry!$C$470="","",[3]Entry!$C$470)</f>
        <v/>
      </c>
      <c r="AH467">
        <f>IF([3]Entry!$D$470="","",[3]Entry!$D$470)</f>
        <v/>
      </c>
      <c r="AI467">
        <f>IF([3]Entry!$E$470="","",[3]Entry!$E$470)</f>
        <v/>
      </c>
      <c r="AJ467">
        <f>IF([3]Entry!$G$470="","",[3]Entry!$G$470)</f>
        <v/>
      </c>
      <c r="AK467">
        <f>IF([3]Entry!$K$470="","",[3]Entry!$K$470)</f>
        <v/>
      </c>
      <c r="AL467">
        <f>IF([3]Entry!$L$470="","",[3]Entry!$L$470)</f>
        <v/>
      </c>
      <c r="AM467">
        <f>IF([3]Entry!$M$470="","",[3]Entry!$M$470)</f>
        <v/>
      </c>
      <c r="AN467">
        <f>IF([3]Entry!$N$470="","",[3]Entry!$N$470)</f>
        <v/>
      </c>
      <c r="AO467">
        <f>IF([3]Entry!$R$470="","",[3]Entry!$R$470)</f>
        <v/>
      </c>
      <c r="AQ467">
        <f>IF(AND($D467&lt;&gt;"",$A467&lt;&gt;""),1,0)</f>
        <v/>
      </c>
      <c r="AR467">
        <f>SUM($AQ$6:$AQ467)</f>
        <v/>
      </c>
      <c r="AS467">
        <f>IFERROR(INDEX($A$6:$A$565,MATCH(ROW()-5,$AR$6:$AR$565,0)),"")</f>
        <v/>
      </c>
    </row>
    <row r="468">
      <c r="A468">
        <f>IF([1]Accounts!$D$469="","",[1]Accounts!$A$469)</f>
        <v/>
      </c>
      <c r="B468">
        <f>IF([1]Accounts!$D$469="","",[1]Accounts!$B$469)</f>
        <v/>
      </c>
      <c r="C468">
        <f>IF([1]Accounts!$D$469="","",[1]Accounts!$C$469)</f>
        <v/>
      </c>
      <c r="D468">
        <f>IF([1]Accounts!$D$469="","",[1]Accounts!$D$469)</f>
        <v/>
      </c>
      <c r="E468">
        <f>IF([1]Accounts!$D$469="","",[1]Accounts!$J$469)</f>
        <v/>
      </c>
      <c r="F468">
        <f>IF([1]Accounts!$D$469="","",[1]Accounts!$K$469)</f>
        <v/>
      </c>
      <c r="U468">
        <f>IF([2]Baskol!$B$471="","",[2]Baskol!$B$471)</f>
        <v/>
      </c>
      <c r="V468">
        <f>IF([2]Baskol!$C$471="","",[2]Baskol!$C$471)</f>
        <v/>
      </c>
      <c r="W468">
        <f>IF([2]Baskol!$D$471="","",[2]Baskol!$D$471)</f>
        <v/>
      </c>
      <c r="X468">
        <f>IF([2]Baskol!$E$471="","",[2]Baskol!$E$471)</f>
        <v/>
      </c>
      <c r="Y468">
        <f>IF([2]Baskol!$G$471="","",[2]Baskol!$G$471)</f>
        <v/>
      </c>
      <c r="Z468">
        <f>IF([2]Baskol!$I$471="","",[2]Baskol!$I$471)</f>
        <v/>
      </c>
      <c r="AA468">
        <f>IF([2]Baskol!$J$471="","",[2]Baskol!$J$471)</f>
        <v/>
      </c>
      <c r="AB468">
        <f>IF([2]Baskol!$K$471="","",[2]Baskol!$K$471)</f>
        <v/>
      </c>
      <c r="AC468">
        <f>IF([2]Baskol!$L$471="","",[2]Baskol!$L$471)</f>
        <v/>
      </c>
      <c r="AD468">
        <f>IF([2]Baskol!$N$471="","",[2]Baskol!$N$471)</f>
        <v/>
      </c>
      <c r="AE468">
        <f>IF([2]Baskol!$O$471="","",[2]Baskol!$O$471)</f>
        <v/>
      </c>
      <c r="AG468">
        <f>IF([3]Entry!$C$471="","",[3]Entry!$C$471)</f>
        <v/>
      </c>
      <c r="AH468">
        <f>IF([3]Entry!$D$471="","",[3]Entry!$D$471)</f>
        <v/>
      </c>
      <c r="AI468">
        <f>IF([3]Entry!$E$471="","",[3]Entry!$E$471)</f>
        <v/>
      </c>
      <c r="AJ468">
        <f>IF([3]Entry!$G$471="","",[3]Entry!$G$471)</f>
        <v/>
      </c>
      <c r="AK468">
        <f>IF([3]Entry!$K$471="","",[3]Entry!$K$471)</f>
        <v/>
      </c>
      <c r="AL468">
        <f>IF([3]Entry!$L$471="","",[3]Entry!$L$471)</f>
        <v/>
      </c>
      <c r="AM468">
        <f>IF([3]Entry!$M$471="","",[3]Entry!$M$471)</f>
        <v/>
      </c>
      <c r="AN468">
        <f>IF([3]Entry!$N$471="","",[3]Entry!$N$471)</f>
        <v/>
      </c>
      <c r="AO468">
        <f>IF([3]Entry!$R$471="","",[3]Entry!$R$471)</f>
        <v/>
      </c>
      <c r="AQ468">
        <f>IF(AND($D468&lt;&gt;"",$A468&lt;&gt;""),1,0)</f>
        <v/>
      </c>
      <c r="AR468">
        <f>SUM($AQ$6:$AQ468)</f>
        <v/>
      </c>
      <c r="AS468">
        <f>IFERROR(INDEX($A$6:$A$565,MATCH(ROW()-5,$AR$6:$AR$565,0)),"")</f>
        <v/>
      </c>
    </row>
    <row r="469">
      <c r="A469">
        <f>IF([1]Accounts!$D$470="","",[1]Accounts!$A$470)</f>
        <v/>
      </c>
      <c r="B469">
        <f>IF([1]Accounts!$D$470="","",[1]Accounts!$B$470)</f>
        <v/>
      </c>
      <c r="C469">
        <f>IF([1]Accounts!$D$470="","",[1]Accounts!$C$470)</f>
        <v/>
      </c>
      <c r="D469">
        <f>IF([1]Accounts!$D$470="","",[1]Accounts!$D$470)</f>
        <v/>
      </c>
      <c r="E469">
        <f>IF([1]Accounts!$D$470="","",[1]Accounts!$J$470)</f>
        <v/>
      </c>
      <c r="F469">
        <f>IF([1]Accounts!$D$470="","",[1]Accounts!$K$470)</f>
        <v/>
      </c>
      <c r="U469">
        <f>IF([2]Baskol!$B$472="","",[2]Baskol!$B$472)</f>
        <v/>
      </c>
      <c r="V469">
        <f>IF([2]Baskol!$C$472="","",[2]Baskol!$C$472)</f>
        <v/>
      </c>
      <c r="W469">
        <f>IF([2]Baskol!$D$472="","",[2]Baskol!$D$472)</f>
        <v/>
      </c>
      <c r="X469">
        <f>IF([2]Baskol!$E$472="","",[2]Baskol!$E$472)</f>
        <v/>
      </c>
      <c r="Y469">
        <f>IF([2]Baskol!$G$472="","",[2]Baskol!$G$472)</f>
        <v/>
      </c>
      <c r="Z469">
        <f>IF([2]Baskol!$I$472="","",[2]Baskol!$I$472)</f>
        <v/>
      </c>
      <c r="AA469">
        <f>IF([2]Baskol!$J$472="","",[2]Baskol!$J$472)</f>
        <v/>
      </c>
      <c r="AB469">
        <f>IF([2]Baskol!$K$472="","",[2]Baskol!$K$472)</f>
        <v/>
      </c>
      <c r="AC469">
        <f>IF([2]Baskol!$L$472="","",[2]Baskol!$L$472)</f>
        <v/>
      </c>
      <c r="AD469">
        <f>IF([2]Baskol!$N$472="","",[2]Baskol!$N$472)</f>
        <v/>
      </c>
      <c r="AE469">
        <f>IF([2]Baskol!$O$472="","",[2]Baskol!$O$472)</f>
        <v/>
      </c>
      <c r="AG469">
        <f>IF([3]Entry!$C$472="","",[3]Entry!$C$472)</f>
        <v/>
      </c>
      <c r="AH469">
        <f>IF([3]Entry!$D$472="","",[3]Entry!$D$472)</f>
        <v/>
      </c>
      <c r="AI469">
        <f>IF([3]Entry!$E$472="","",[3]Entry!$E$472)</f>
        <v/>
      </c>
      <c r="AJ469">
        <f>IF([3]Entry!$G$472="","",[3]Entry!$G$472)</f>
        <v/>
      </c>
      <c r="AK469">
        <f>IF([3]Entry!$K$472="","",[3]Entry!$K$472)</f>
        <v/>
      </c>
      <c r="AL469">
        <f>IF([3]Entry!$L$472="","",[3]Entry!$L$472)</f>
        <v/>
      </c>
      <c r="AM469">
        <f>IF([3]Entry!$M$472="","",[3]Entry!$M$472)</f>
        <v/>
      </c>
      <c r="AN469">
        <f>IF([3]Entry!$N$472="","",[3]Entry!$N$472)</f>
        <v/>
      </c>
      <c r="AO469">
        <f>IF([3]Entry!$R$472="","",[3]Entry!$R$472)</f>
        <v/>
      </c>
      <c r="AQ469">
        <f>IF(AND($D469&lt;&gt;"",$A469&lt;&gt;""),1,0)</f>
        <v/>
      </c>
      <c r="AR469">
        <f>SUM($AQ$6:$AQ469)</f>
        <v/>
      </c>
      <c r="AS469">
        <f>IFERROR(INDEX($A$6:$A$565,MATCH(ROW()-5,$AR$6:$AR$565,0)),"")</f>
        <v/>
      </c>
    </row>
    <row r="470">
      <c r="A470">
        <f>IF([1]Accounts!$D$471="","",[1]Accounts!$A$471)</f>
        <v/>
      </c>
      <c r="B470">
        <f>IF([1]Accounts!$D$471="","",[1]Accounts!$B$471)</f>
        <v/>
      </c>
      <c r="C470">
        <f>IF([1]Accounts!$D$471="","",[1]Accounts!$C$471)</f>
        <v/>
      </c>
      <c r="D470">
        <f>IF([1]Accounts!$D$471="","",[1]Accounts!$D$471)</f>
        <v/>
      </c>
      <c r="E470">
        <f>IF([1]Accounts!$D$471="","",[1]Accounts!$J$471)</f>
        <v/>
      </c>
      <c r="F470">
        <f>IF([1]Accounts!$D$471="","",[1]Accounts!$K$471)</f>
        <v/>
      </c>
      <c r="U470">
        <f>IF([2]Baskol!$B$473="","",[2]Baskol!$B$473)</f>
        <v/>
      </c>
      <c r="V470">
        <f>IF([2]Baskol!$C$473="","",[2]Baskol!$C$473)</f>
        <v/>
      </c>
      <c r="W470">
        <f>IF([2]Baskol!$D$473="","",[2]Baskol!$D$473)</f>
        <v/>
      </c>
      <c r="X470">
        <f>IF([2]Baskol!$E$473="","",[2]Baskol!$E$473)</f>
        <v/>
      </c>
      <c r="Y470">
        <f>IF([2]Baskol!$G$473="","",[2]Baskol!$G$473)</f>
        <v/>
      </c>
      <c r="Z470">
        <f>IF([2]Baskol!$I$473="","",[2]Baskol!$I$473)</f>
        <v/>
      </c>
      <c r="AA470">
        <f>IF([2]Baskol!$J$473="","",[2]Baskol!$J$473)</f>
        <v/>
      </c>
      <c r="AB470">
        <f>IF([2]Baskol!$K$473="","",[2]Baskol!$K$473)</f>
        <v/>
      </c>
      <c r="AC470">
        <f>IF([2]Baskol!$L$473="","",[2]Baskol!$L$473)</f>
        <v/>
      </c>
      <c r="AD470">
        <f>IF([2]Baskol!$N$473="","",[2]Baskol!$N$473)</f>
        <v/>
      </c>
      <c r="AE470">
        <f>IF([2]Baskol!$O$473="","",[2]Baskol!$O$473)</f>
        <v/>
      </c>
      <c r="AG470">
        <f>IF([3]Entry!$C$473="","",[3]Entry!$C$473)</f>
        <v/>
      </c>
      <c r="AH470">
        <f>IF([3]Entry!$D$473="","",[3]Entry!$D$473)</f>
        <v/>
      </c>
      <c r="AI470">
        <f>IF([3]Entry!$E$473="","",[3]Entry!$E$473)</f>
        <v/>
      </c>
      <c r="AJ470">
        <f>IF([3]Entry!$G$473="","",[3]Entry!$G$473)</f>
        <v/>
      </c>
      <c r="AK470">
        <f>IF([3]Entry!$K$473="","",[3]Entry!$K$473)</f>
        <v/>
      </c>
      <c r="AL470">
        <f>IF([3]Entry!$L$473="","",[3]Entry!$L$473)</f>
        <v/>
      </c>
      <c r="AM470">
        <f>IF([3]Entry!$M$473="","",[3]Entry!$M$473)</f>
        <v/>
      </c>
      <c r="AN470">
        <f>IF([3]Entry!$N$473="","",[3]Entry!$N$473)</f>
        <v/>
      </c>
      <c r="AO470">
        <f>IF([3]Entry!$R$473="","",[3]Entry!$R$473)</f>
        <v/>
      </c>
      <c r="AQ470">
        <f>IF(AND($D470&lt;&gt;"",$A470&lt;&gt;""),1,0)</f>
        <v/>
      </c>
      <c r="AR470">
        <f>SUM($AQ$6:$AQ470)</f>
        <v/>
      </c>
      <c r="AS470">
        <f>IFERROR(INDEX($A$6:$A$565,MATCH(ROW()-5,$AR$6:$AR$565,0)),"")</f>
        <v/>
      </c>
    </row>
    <row r="471">
      <c r="A471">
        <f>IF([1]Accounts!$D$472="","",[1]Accounts!$A$472)</f>
        <v/>
      </c>
      <c r="B471">
        <f>IF([1]Accounts!$D$472="","",[1]Accounts!$B$472)</f>
        <v/>
      </c>
      <c r="C471">
        <f>IF([1]Accounts!$D$472="","",[1]Accounts!$C$472)</f>
        <v/>
      </c>
      <c r="D471">
        <f>IF([1]Accounts!$D$472="","",[1]Accounts!$D$472)</f>
        <v/>
      </c>
      <c r="E471">
        <f>IF([1]Accounts!$D$472="","",[1]Accounts!$J$472)</f>
        <v/>
      </c>
      <c r="F471">
        <f>IF([1]Accounts!$D$472="","",[1]Accounts!$K$472)</f>
        <v/>
      </c>
      <c r="U471">
        <f>IF([2]Baskol!$B$474="","",[2]Baskol!$B$474)</f>
        <v/>
      </c>
      <c r="V471">
        <f>IF([2]Baskol!$C$474="","",[2]Baskol!$C$474)</f>
        <v/>
      </c>
      <c r="W471">
        <f>IF([2]Baskol!$D$474="","",[2]Baskol!$D$474)</f>
        <v/>
      </c>
      <c r="X471">
        <f>IF([2]Baskol!$E$474="","",[2]Baskol!$E$474)</f>
        <v/>
      </c>
      <c r="Y471">
        <f>IF([2]Baskol!$G$474="","",[2]Baskol!$G$474)</f>
        <v/>
      </c>
      <c r="Z471">
        <f>IF([2]Baskol!$I$474="","",[2]Baskol!$I$474)</f>
        <v/>
      </c>
      <c r="AA471">
        <f>IF([2]Baskol!$J$474="","",[2]Baskol!$J$474)</f>
        <v/>
      </c>
      <c r="AB471">
        <f>IF([2]Baskol!$K$474="","",[2]Baskol!$K$474)</f>
        <v/>
      </c>
      <c r="AC471">
        <f>IF([2]Baskol!$L$474="","",[2]Baskol!$L$474)</f>
        <v/>
      </c>
      <c r="AD471">
        <f>IF([2]Baskol!$N$474="","",[2]Baskol!$N$474)</f>
        <v/>
      </c>
      <c r="AE471">
        <f>IF([2]Baskol!$O$474="","",[2]Baskol!$O$474)</f>
        <v/>
      </c>
      <c r="AG471">
        <f>IF([3]Entry!$C$474="","",[3]Entry!$C$474)</f>
        <v/>
      </c>
      <c r="AH471">
        <f>IF([3]Entry!$D$474="","",[3]Entry!$D$474)</f>
        <v/>
      </c>
      <c r="AI471">
        <f>IF([3]Entry!$E$474="","",[3]Entry!$E$474)</f>
        <v/>
      </c>
      <c r="AJ471">
        <f>IF([3]Entry!$G$474="","",[3]Entry!$G$474)</f>
        <v/>
      </c>
      <c r="AK471">
        <f>IF([3]Entry!$K$474="","",[3]Entry!$K$474)</f>
        <v/>
      </c>
      <c r="AL471">
        <f>IF([3]Entry!$L$474="","",[3]Entry!$L$474)</f>
        <v/>
      </c>
      <c r="AM471">
        <f>IF([3]Entry!$M$474="","",[3]Entry!$M$474)</f>
        <v/>
      </c>
      <c r="AN471">
        <f>IF([3]Entry!$N$474="","",[3]Entry!$N$474)</f>
        <v/>
      </c>
      <c r="AO471">
        <f>IF([3]Entry!$R$474="","",[3]Entry!$R$474)</f>
        <v/>
      </c>
      <c r="AQ471">
        <f>IF(AND($D471&lt;&gt;"",$A471&lt;&gt;""),1,0)</f>
        <v/>
      </c>
      <c r="AR471">
        <f>SUM($AQ$6:$AQ471)</f>
        <v/>
      </c>
      <c r="AS471">
        <f>IFERROR(INDEX($A$6:$A$565,MATCH(ROW()-5,$AR$6:$AR$565,0)),"")</f>
        <v/>
      </c>
    </row>
    <row r="472">
      <c r="A472">
        <f>IF([1]Accounts!$D$473="","",[1]Accounts!$A$473)</f>
        <v/>
      </c>
      <c r="B472">
        <f>IF([1]Accounts!$D$473="","",[1]Accounts!$B$473)</f>
        <v/>
      </c>
      <c r="C472">
        <f>IF([1]Accounts!$D$473="","",[1]Accounts!$C$473)</f>
        <v/>
      </c>
      <c r="D472">
        <f>IF([1]Accounts!$D$473="","",[1]Accounts!$D$473)</f>
        <v/>
      </c>
      <c r="E472">
        <f>IF([1]Accounts!$D$473="","",[1]Accounts!$J$473)</f>
        <v/>
      </c>
      <c r="F472">
        <f>IF([1]Accounts!$D$473="","",[1]Accounts!$K$473)</f>
        <v/>
      </c>
      <c r="U472">
        <f>IF([2]Baskol!$B$475="","",[2]Baskol!$B$475)</f>
        <v/>
      </c>
      <c r="V472">
        <f>IF([2]Baskol!$C$475="","",[2]Baskol!$C$475)</f>
        <v/>
      </c>
      <c r="W472">
        <f>IF([2]Baskol!$D$475="","",[2]Baskol!$D$475)</f>
        <v/>
      </c>
      <c r="X472">
        <f>IF([2]Baskol!$E$475="","",[2]Baskol!$E$475)</f>
        <v/>
      </c>
      <c r="Y472">
        <f>IF([2]Baskol!$G$475="","",[2]Baskol!$G$475)</f>
        <v/>
      </c>
      <c r="Z472">
        <f>IF([2]Baskol!$I$475="","",[2]Baskol!$I$475)</f>
        <v/>
      </c>
      <c r="AA472">
        <f>IF([2]Baskol!$J$475="","",[2]Baskol!$J$475)</f>
        <v/>
      </c>
      <c r="AB472">
        <f>IF([2]Baskol!$K$475="","",[2]Baskol!$K$475)</f>
        <v/>
      </c>
      <c r="AC472">
        <f>IF([2]Baskol!$L$475="","",[2]Baskol!$L$475)</f>
        <v/>
      </c>
      <c r="AD472">
        <f>IF([2]Baskol!$N$475="","",[2]Baskol!$N$475)</f>
        <v/>
      </c>
      <c r="AE472">
        <f>IF([2]Baskol!$O$475="","",[2]Baskol!$O$475)</f>
        <v/>
      </c>
      <c r="AG472">
        <f>IF([3]Entry!$C$475="","",[3]Entry!$C$475)</f>
        <v/>
      </c>
      <c r="AH472">
        <f>IF([3]Entry!$D$475="","",[3]Entry!$D$475)</f>
        <v/>
      </c>
      <c r="AI472">
        <f>IF([3]Entry!$E$475="","",[3]Entry!$E$475)</f>
        <v/>
      </c>
      <c r="AJ472">
        <f>IF([3]Entry!$G$475="","",[3]Entry!$G$475)</f>
        <v/>
      </c>
      <c r="AK472">
        <f>IF([3]Entry!$K$475="","",[3]Entry!$K$475)</f>
        <v/>
      </c>
      <c r="AL472">
        <f>IF([3]Entry!$L$475="","",[3]Entry!$L$475)</f>
        <v/>
      </c>
      <c r="AM472">
        <f>IF([3]Entry!$M$475="","",[3]Entry!$M$475)</f>
        <v/>
      </c>
      <c r="AN472">
        <f>IF([3]Entry!$N$475="","",[3]Entry!$N$475)</f>
        <v/>
      </c>
      <c r="AO472">
        <f>IF([3]Entry!$R$475="","",[3]Entry!$R$475)</f>
        <v/>
      </c>
      <c r="AQ472">
        <f>IF(AND($D472&lt;&gt;"",$A472&lt;&gt;""),1,0)</f>
        <v/>
      </c>
      <c r="AR472">
        <f>SUM($AQ$6:$AQ472)</f>
        <v/>
      </c>
      <c r="AS472">
        <f>IFERROR(INDEX($A$6:$A$565,MATCH(ROW()-5,$AR$6:$AR$565,0)),"")</f>
        <v/>
      </c>
    </row>
    <row r="473">
      <c r="A473">
        <f>IF([1]Accounts!$D$474="","",[1]Accounts!$A$474)</f>
        <v/>
      </c>
      <c r="B473">
        <f>IF([1]Accounts!$D$474="","",[1]Accounts!$B$474)</f>
        <v/>
      </c>
      <c r="C473">
        <f>IF([1]Accounts!$D$474="","",[1]Accounts!$C$474)</f>
        <v/>
      </c>
      <c r="D473">
        <f>IF([1]Accounts!$D$474="","",[1]Accounts!$D$474)</f>
        <v/>
      </c>
      <c r="E473">
        <f>IF([1]Accounts!$D$474="","",[1]Accounts!$J$474)</f>
        <v/>
      </c>
      <c r="F473">
        <f>IF([1]Accounts!$D$474="","",[1]Accounts!$K$474)</f>
        <v/>
      </c>
      <c r="U473">
        <f>IF([2]Baskol!$B$476="","",[2]Baskol!$B$476)</f>
        <v/>
      </c>
      <c r="V473">
        <f>IF([2]Baskol!$C$476="","",[2]Baskol!$C$476)</f>
        <v/>
      </c>
      <c r="W473">
        <f>IF([2]Baskol!$D$476="","",[2]Baskol!$D$476)</f>
        <v/>
      </c>
      <c r="X473">
        <f>IF([2]Baskol!$E$476="","",[2]Baskol!$E$476)</f>
        <v/>
      </c>
      <c r="Y473">
        <f>IF([2]Baskol!$G$476="","",[2]Baskol!$G$476)</f>
        <v/>
      </c>
      <c r="Z473">
        <f>IF([2]Baskol!$I$476="","",[2]Baskol!$I$476)</f>
        <v/>
      </c>
      <c r="AA473">
        <f>IF([2]Baskol!$J$476="","",[2]Baskol!$J$476)</f>
        <v/>
      </c>
      <c r="AB473">
        <f>IF([2]Baskol!$K$476="","",[2]Baskol!$K$476)</f>
        <v/>
      </c>
      <c r="AC473">
        <f>IF([2]Baskol!$L$476="","",[2]Baskol!$L$476)</f>
        <v/>
      </c>
      <c r="AD473">
        <f>IF([2]Baskol!$N$476="","",[2]Baskol!$N$476)</f>
        <v/>
      </c>
      <c r="AE473">
        <f>IF([2]Baskol!$O$476="","",[2]Baskol!$O$476)</f>
        <v/>
      </c>
      <c r="AG473">
        <f>IF([3]Entry!$C$476="","",[3]Entry!$C$476)</f>
        <v/>
      </c>
      <c r="AH473">
        <f>IF([3]Entry!$D$476="","",[3]Entry!$D$476)</f>
        <v/>
      </c>
      <c r="AI473">
        <f>IF([3]Entry!$E$476="","",[3]Entry!$E$476)</f>
        <v/>
      </c>
      <c r="AJ473">
        <f>IF([3]Entry!$G$476="","",[3]Entry!$G$476)</f>
        <v/>
      </c>
      <c r="AK473">
        <f>IF([3]Entry!$K$476="","",[3]Entry!$K$476)</f>
        <v/>
      </c>
      <c r="AL473">
        <f>IF([3]Entry!$L$476="","",[3]Entry!$L$476)</f>
        <v/>
      </c>
      <c r="AM473">
        <f>IF([3]Entry!$M$476="","",[3]Entry!$M$476)</f>
        <v/>
      </c>
      <c r="AN473">
        <f>IF([3]Entry!$N$476="","",[3]Entry!$N$476)</f>
        <v/>
      </c>
      <c r="AO473">
        <f>IF([3]Entry!$R$476="","",[3]Entry!$R$476)</f>
        <v/>
      </c>
      <c r="AQ473">
        <f>IF(AND($D473&lt;&gt;"",$A473&lt;&gt;""),1,0)</f>
        <v/>
      </c>
      <c r="AR473">
        <f>SUM($AQ$6:$AQ473)</f>
        <v/>
      </c>
      <c r="AS473">
        <f>IFERROR(INDEX($A$6:$A$565,MATCH(ROW()-5,$AR$6:$AR$565,0)),"")</f>
        <v/>
      </c>
    </row>
    <row r="474">
      <c r="A474">
        <f>IF([1]Accounts!$D$475="","",[1]Accounts!$A$475)</f>
        <v/>
      </c>
      <c r="B474">
        <f>IF([1]Accounts!$D$475="","",[1]Accounts!$B$475)</f>
        <v/>
      </c>
      <c r="C474">
        <f>IF([1]Accounts!$D$475="","",[1]Accounts!$C$475)</f>
        <v/>
      </c>
      <c r="D474">
        <f>IF([1]Accounts!$D$475="","",[1]Accounts!$D$475)</f>
        <v/>
      </c>
      <c r="E474">
        <f>IF([1]Accounts!$D$475="","",[1]Accounts!$J$475)</f>
        <v/>
      </c>
      <c r="F474">
        <f>IF([1]Accounts!$D$475="","",[1]Accounts!$K$475)</f>
        <v/>
      </c>
      <c r="U474">
        <f>IF([2]Baskol!$B$477="","",[2]Baskol!$B$477)</f>
        <v/>
      </c>
      <c r="V474">
        <f>IF([2]Baskol!$C$477="","",[2]Baskol!$C$477)</f>
        <v/>
      </c>
      <c r="W474">
        <f>IF([2]Baskol!$D$477="","",[2]Baskol!$D$477)</f>
        <v/>
      </c>
      <c r="X474">
        <f>IF([2]Baskol!$E$477="","",[2]Baskol!$E$477)</f>
        <v/>
      </c>
      <c r="Y474">
        <f>IF([2]Baskol!$G$477="","",[2]Baskol!$G$477)</f>
        <v/>
      </c>
      <c r="Z474">
        <f>IF([2]Baskol!$I$477="","",[2]Baskol!$I$477)</f>
        <v/>
      </c>
      <c r="AA474">
        <f>IF([2]Baskol!$J$477="","",[2]Baskol!$J$477)</f>
        <v/>
      </c>
      <c r="AB474">
        <f>IF([2]Baskol!$K$477="","",[2]Baskol!$K$477)</f>
        <v/>
      </c>
      <c r="AC474">
        <f>IF([2]Baskol!$L$477="","",[2]Baskol!$L$477)</f>
        <v/>
      </c>
      <c r="AD474">
        <f>IF([2]Baskol!$N$477="","",[2]Baskol!$N$477)</f>
        <v/>
      </c>
      <c r="AE474">
        <f>IF([2]Baskol!$O$477="","",[2]Baskol!$O$477)</f>
        <v/>
      </c>
      <c r="AG474">
        <f>IF([3]Entry!$C$477="","",[3]Entry!$C$477)</f>
        <v/>
      </c>
      <c r="AH474">
        <f>IF([3]Entry!$D$477="","",[3]Entry!$D$477)</f>
        <v/>
      </c>
      <c r="AI474">
        <f>IF([3]Entry!$E$477="","",[3]Entry!$E$477)</f>
        <v/>
      </c>
      <c r="AJ474">
        <f>IF([3]Entry!$G$477="","",[3]Entry!$G$477)</f>
        <v/>
      </c>
      <c r="AK474">
        <f>IF([3]Entry!$K$477="","",[3]Entry!$K$477)</f>
        <v/>
      </c>
      <c r="AL474">
        <f>IF([3]Entry!$L$477="","",[3]Entry!$L$477)</f>
        <v/>
      </c>
      <c r="AM474">
        <f>IF([3]Entry!$M$477="","",[3]Entry!$M$477)</f>
        <v/>
      </c>
      <c r="AN474">
        <f>IF([3]Entry!$N$477="","",[3]Entry!$N$477)</f>
        <v/>
      </c>
      <c r="AO474">
        <f>IF([3]Entry!$R$477="","",[3]Entry!$R$477)</f>
        <v/>
      </c>
      <c r="AQ474">
        <f>IF(AND($D474&lt;&gt;"",$A474&lt;&gt;""),1,0)</f>
        <v/>
      </c>
      <c r="AR474">
        <f>SUM($AQ$6:$AQ474)</f>
        <v/>
      </c>
      <c r="AS474">
        <f>IFERROR(INDEX($A$6:$A$565,MATCH(ROW()-5,$AR$6:$AR$565,0)),"")</f>
        <v/>
      </c>
    </row>
    <row r="475">
      <c r="A475">
        <f>IF([1]Accounts!$D$476="","",[1]Accounts!$A$476)</f>
        <v/>
      </c>
      <c r="B475">
        <f>IF([1]Accounts!$D$476="","",[1]Accounts!$B$476)</f>
        <v/>
      </c>
      <c r="C475">
        <f>IF([1]Accounts!$D$476="","",[1]Accounts!$C$476)</f>
        <v/>
      </c>
      <c r="D475">
        <f>IF([1]Accounts!$D$476="","",[1]Accounts!$D$476)</f>
        <v/>
      </c>
      <c r="E475">
        <f>IF([1]Accounts!$D$476="","",[1]Accounts!$J$476)</f>
        <v/>
      </c>
      <c r="F475">
        <f>IF([1]Accounts!$D$476="","",[1]Accounts!$K$476)</f>
        <v/>
      </c>
      <c r="U475">
        <f>IF([2]Baskol!$B$478="","",[2]Baskol!$B$478)</f>
        <v/>
      </c>
      <c r="V475">
        <f>IF([2]Baskol!$C$478="","",[2]Baskol!$C$478)</f>
        <v/>
      </c>
      <c r="W475">
        <f>IF([2]Baskol!$D$478="","",[2]Baskol!$D$478)</f>
        <v/>
      </c>
      <c r="X475">
        <f>IF([2]Baskol!$E$478="","",[2]Baskol!$E$478)</f>
        <v/>
      </c>
      <c r="Y475">
        <f>IF([2]Baskol!$G$478="","",[2]Baskol!$G$478)</f>
        <v/>
      </c>
      <c r="Z475">
        <f>IF([2]Baskol!$I$478="","",[2]Baskol!$I$478)</f>
        <v/>
      </c>
      <c r="AA475">
        <f>IF([2]Baskol!$J$478="","",[2]Baskol!$J$478)</f>
        <v/>
      </c>
      <c r="AB475">
        <f>IF([2]Baskol!$K$478="","",[2]Baskol!$K$478)</f>
        <v/>
      </c>
      <c r="AC475">
        <f>IF([2]Baskol!$L$478="","",[2]Baskol!$L$478)</f>
        <v/>
      </c>
      <c r="AD475">
        <f>IF([2]Baskol!$N$478="","",[2]Baskol!$N$478)</f>
        <v/>
      </c>
      <c r="AE475">
        <f>IF([2]Baskol!$O$478="","",[2]Baskol!$O$478)</f>
        <v/>
      </c>
      <c r="AG475">
        <f>IF([3]Entry!$C$478="","",[3]Entry!$C$478)</f>
        <v/>
      </c>
      <c r="AH475">
        <f>IF([3]Entry!$D$478="","",[3]Entry!$D$478)</f>
        <v/>
      </c>
      <c r="AI475">
        <f>IF([3]Entry!$E$478="","",[3]Entry!$E$478)</f>
        <v/>
      </c>
      <c r="AJ475">
        <f>IF([3]Entry!$G$478="","",[3]Entry!$G$478)</f>
        <v/>
      </c>
      <c r="AK475">
        <f>IF([3]Entry!$K$478="","",[3]Entry!$K$478)</f>
        <v/>
      </c>
      <c r="AL475">
        <f>IF([3]Entry!$L$478="","",[3]Entry!$L$478)</f>
        <v/>
      </c>
      <c r="AM475">
        <f>IF([3]Entry!$M$478="","",[3]Entry!$M$478)</f>
        <v/>
      </c>
      <c r="AN475">
        <f>IF([3]Entry!$N$478="","",[3]Entry!$N$478)</f>
        <v/>
      </c>
      <c r="AO475">
        <f>IF([3]Entry!$R$478="","",[3]Entry!$R$478)</f>
        <v/>
      </c>
      <c r="AQ475">
        <f>IF(AND($D475&lt;&gt;"",$A475&lt;&gt;""),1,0)</f>
        <v/>
      </c>
      <c r="AR475">
        <f>SUM($AQ$6:$AQ475)</f>
        <v/>
      </c>
      <c r="AS475">
        <f>IFERROR(INDEX($A$6:$A$565,MATCH(ROW()-5,$AR$6:$AR$565,0)),"")</f>
        <v/>
      </c>
    </row>
    <row r="476">
      <c r="A476">
        <f>IF([1]Accounts!$D$477="","",[1]Accounts!$A$477)</f>
        <v/>
      </c>
      <c r="B476">
        <f>IF([1]Accounts!$D$477="","",[1]Accounts!$B$477)</f>
        <v/>
      </c>
      <c r="C476">
        <f>IF([1]Accounts!$D$477="","",[1]Accounts!$C$477)</f>
        <v/>
      </c>
      <c r="D476">
        <f>IF([1]Accounts!$D$477="","",[1]Accounts!$D$477)</f>
        <v/>
      </c>
      <c r="E476">
        <f>IF([1]Accounts!$D$477="","",[1]Accounts!$J$477)</f>
        <v/>
      </c>
      <c r="F476">
        <f>IF([1]Accounts!$D$477="","",[1]Accounts!$K$477)</f>
        <v/>
      </c>
      <c r="U476">
        <f>IF([2]Baskol!$B$479="","",[2]Baskol!$B$479)</f>
        <v/>
      </c>
      <c r="V476">
        <f>IF([2]Baskol!$C$479="","",[2]Baskol!$C$479)</f>
        <v/>
      </c>
      <c r="W476">
        <f>IF([2]Baskol!$D$479="","",[2]Baskol!$D$479)</f>
        <v/>
      </c>
      <c r="X476">
        <f>IF([2]Baskol!$E$479="","",[2]Baskol!$E$479)</f>
        <v/>
      </c>
      <c r="Y476">
        <f>IF([2]Baskol!$G$479="","",[2]Baskol!$G$479)</f>
        <v/>
      </c>
      <c r="Z476">
        <f>IF([2]Baskol!$I$479="","",[2]Baskol!$I$479)</f>
        <v/>
      </c>
      <c r="AA476">
        <f>IF([2]Baskol!$J$479="","",[2]Baskol!$J$479)</f>
        <v/>
      </c>
      <c r="AB476">
        <f>IF([2]Baskol!$K$479="","",[2]Baskol!$K$479)</f>
        <v/>
      </c>
      <c r="AC476">
        <f>IF([2]Baskol!$L$479="","",[2]Baskol!$L$479)</f>
        <v/>
      </c>
      <c r="AD476">
        <f>IF([2]Baskol!$N$479="","",[2]Baskol!$N$479)</f>
        <v/>
      </c>
      <c r="AE476">
        <f>IF([2]Baskol!$O$479="","",[2]Baskol!$O$479)</f>
        <v/>
      </c>
      <c r="AG476">
        <f>IF([3]Entry!$C$479="","",[3]Entry!$C$479)</f>
        <v/>
      </c>
      <c r="AH476">
        <f>IF([3]Entry!$D$479="","",[3]Entry!$D$479)</f>
        <v/>
      </c>
      <c r="AI476">
        <f>IF([3]Entry!$E$479="","",[3]Entry!$E$479)</f>
        <v/>
      </c>
      <c r="AJ476">
        <f>IF([3]Entry!$G$479="","",[3]Entry!$G$479)</f>
        <v/>
      </c>
      <c r="AK476">
        <f>IF([3]Entry!$K$479="","",[3]Entry!$K$479)</f>
        <v/>
      </c>
      <c r="AL476">
        <f>IF([3]Entry!$L$479="","",[3]Entry!$L$479)</f>
        <v/>
      </c>
      <c r="AM476">
        <f>IF([3]Entry!$M$479="","",[3]Entry!$M$479)</f>
        <v/>
      </c>
      <c r="AN476">
        <f>IF([3]Entry!$N$479="","",[3]Entry!$N$479)</f>
        <v/>
      </c>
      <c r="AO476">
        <f>IF([3]Entry!$R$479="","",[3]Entry!$R$479)</f>
        <v/>
      </c>
      <c r="AQ476">
        <f>IF(AND($D476&lt;&gt;"",$A476&lt;&gt;""),1,0)</f>
        <v/>
      </c>
      <c r="AR476">
        <f>SUM($AQ$6:$AQ476)</f>
        <v/>
      </c>
      <c r="AS476">
        <f>IFERROR(INDEX($A$6:$A$565,MATCH(ROW()-5,$AR$6:$AR$565,0)),"")</f>
        <v/>
      </c>
    </row>
    <row r="477">
      <c r="A477">
        <f>IF([1]Accounts!$D$478="","",[1]Accounts!$A$478)</f>
        <v/>
      </c>
      <c r="B477">
        <f>IF([1]Accounts!$D$478="","",[1]Accounts!$B$478)</f>
        <v/>
      </c>
      <c r="C477">
        <f>IF([1]Accounts!$D$478="","",[1]Accounts!$C$478)</f>
        <v/>
      </c>
      <c r="D477">
        <f>IF([1]Accounts!$D$478="","",[1]Accounts!$D$478)</f>
        <v/>
      </c>
      <c r="E477">
        <f>IF([1]Accounts!$D$478="","",[1]Accounts!$J$478)</f>
        <v/>
      </c>
      <c r="F477">
        <f>IF([1]Accounts!$D$478="","",[1]Accounts!$K$478)</f>
        <v/>
      </c>
      <c r="U477">
        <f>IF([2]Baskol!$B$480="","",[2]Baskol!$B$480)</f>
        <v/>
      </c>
      <c r="V477">
        <f>IF([2]Baskol!$C$480="","",[2]Baskol!$C$480)</f>
        <v/>
      </c>
      <c r="W477">
        <f>IF([2]Baskol!$D$480="","",[2]Baskol!$D$480)</f>
        <v/>
      </c>
      <c r="X477">
        <f>IF([2]Baskol!$E$480="","",[2]Baskol!$E$480)</f>
        <v/>
      </c>
      <c r="Y477">
        <f>IF([2]Baskol!$G$480="","",[2]Baskol!$G$480)</f>
        <v/>
      </c>
      <c r="Z477">
        <f>IF([2]Baskol!$I$480="","",[2]Baskol!$I$480)</f>
        <v/>
      </c>
      <c r="AA477">
        <f>IF([2]Baskol!$J$480="","",[2]Baskol!$J$480)</f>
        <v/>
      </c>
      <c r="AB477">
        <f>IF([2]Baskol!$K$480="","",[2]Baskol!$K$480)</f>
        <v/>
      </c>
      <c r="AC477">
        <f>IF([2]Baskol!$L$480="","",[2]Baskol!$L$480)</f>
        <v/>
      </c>
      <c r="AD477">
        <f>IF([2]Baskol!$N$480="","",[2]Baskol!$N$480)</f>
        <v/>
      </c>
      <c r="AE477">
        <f>IF([2]Baskol!$O$480="","",[2]Baskol!$O$480)</f>
        <v/>
      </c>
      <c r="AG477">
        <f>IF([3]Entry!$C$480="","",[3]Entry!$C$480)</f>
        <v/>
      </c>
      <c r="AH477">
        <f>IF([3]Entry!$D$480="","",[3]Entry!$D$480)</f>
        <v/>
      </c>
      <c r="AI477">
        <f>IF([3]Entry!$E$480="","",[3]Entry!$E$480)</f>
        <v/>
      </c>
      <c r="AJ477">
        <f>IF([3]Entry!$G$480="","",[3]Entry!$G$480)</f>
        <v/>
      </c>
      <c r="AK477">
        <f>IF([3]Entry!$K$480="","",[3]Entry!$K$480)</f>
        <v/>
      </c>
      <c r="AL477">
        <f>IF([3]Entry!$L$480="","",[3]Entry!$L$480)</f>
        <v/>
      </c>
      <c r="AM477">
        <f>IF([3]Entry!$M$480="","",[3]Entry!$M$480)</f>
        <v/>
      </c>
      <c r="AN477">
        <f>IF([3]Entry!$N$480="","",[3]Entry!$N$480)</f>
        <v/>
      </c>
      <c r="AO477">
        <f>IF([3]Entry!$R$480="","",[3]Entry!$R$480)</f>
        <v/>
      </c>
      <c r="AQ477">
        <f>IF(AND($D477&lt;&gt;"",$A477&lt;&gt;""),1,0)</f>
        <v/>
      </c>
      <c r="AR477">
        <f>SUM($AQ$6:$AQ477)</f>
        <v/>
      </c>
      <c r="AS477">
        <f>IFERROR(INDEX($A$6:$A$565,MATCH(ROW()-5,$AR$6:$AR$565,0)),"")</f>
        <v/>
      </c>
    </row>
    <row r="478">
      <c r="A478">
        <f>IF([1]Accounts!$D$479="","",[1]Accounts!$A$479)</f>
        <v/>
      </c>
      <c r="B478">
        <f>IF([1]Accounts!$D$479="","",[1]Accounts!$B$479)</f>
        <v/>
      </c>
      <c r="C478">
        <f>IF([1]Accounts!$D$479="","",[1]Accounts!$C$479)</f>
        <v/>
      </c>
      <c r="D478">
        <f>IF([1]Accounts!$D$479="","",[1]Accounts!$D$479)</f>
        <v/>
      </c>
      <c r="E478">
        <f>IF([1]Accounts!$D$479="","",[1]Accounts!$J$479)</f>
        <v/>
      </c>
      <c r="F478">
        <f>IF([1]Accounts!$D$479="","",[1]Accounts!$K$479)</f>
        <v/>
      </c>
      <c r="U478">
        <f>IF([2]Baskol!$B$481="","",[2]Baskol!$B$481)</f>
        <v/>
      </c>
      <c r="V478">
        <f>IF([2]Baskol!$C$481="","",[2]Baskol!$C$481)</f>
        <v/>
      </c>
      <c r="W478">
        <f>IF([2]Baskol!$D$481="","",[2]Baskol!$D$481)</f>
        <v/>
      </c>
      <c r="X478">
        <f>IF([2]Baskol!$E$481="","",[2]Baskol!$E$481)</f>
        <v/>
      </c>
      <c r="Y478">
        <f>IF([2]Baskol!$G$481="","",[2]Baskol!$G$481)</f>
        <v/>
      </c>
      <c r="Z478">
        <f>IF([2]Baskol!$I$481="","",[2]Baskol!$I$481)</f>
        <v/>
      </c>
      <c r="AA478">
        <f>IF([2]Baskol!$J$481="","",[2]Baskol!$J$481)</f>
        <v/>
      </c>
      <c r="AB478">
        <f>IF([2]Baskol!$K$481="","",[2]Baskol!$K$481)</f>
        <v/>
      </c>
      <c r="AC478">
        <f>IF([2]Baskol!$L$481="","",[2]Baskol!$L$481)</f>
        <v/>
      </c>
      <c r="AD478">
        <f>IF([2]Baskol!$N$481="","",[2]Baskol!$N$481)</f>
        <v/>
      </c>
      <c r="AE478">
        <f>IF([2]Baskol!$O$481="","",[2]Baskol!$O$481)</f>
        <v/>
      </c>
      <c r="AG478">
        <f>IF([3]Entry!$C$481="","",[3]Entry!$C$481)</f>
        <v/>
      </c>
      <c r="AH478">
        <f>IF([3]Entry!$D$481="","",[3]Entry!$D$481)</f>
        <v/>
      </c>
      <c r="AI478">
        <f>IF([3]Entry!$E$481="","",[3]Entry!$E$481)</f>
        <v/>
      </c>
      <c r="AJ478">
        <f>IF([3]Entry!$G$481="","",[3]Entry!$G$481)</f>
        <v/>
      </c>
      <c r="AK478">
        <f>IF([3]Entry!$K$481="","",[3]Entry!$K$481)</f>
        <v/>
      </c>
      <c r="AL478">
        <f>IF([3]Entry!$L$481="","",[3]Entry!$L$481)</f>
        <v/>
      </c>
      <c r="AM478">
        <f>IF([3]Entry!$M$481="","",[3]Entry!$M$481)</f>
        <v/>
      </c>
      <c r="AN478">
        <f>IF([3]Entry!$N$481="","",[3]Entry!$N$481)</f>
        <v/>
      </c>
      <c r="AO478">
        <f>IF([3]Entry!$R$481="","",[3]Entry!$R$481)</f>
        <v/>
      </c>
      <c r="AQ478">
        <f>IF(AND($D478&lt;&gt;"",$A478&lt;&gt;""),1,0)</f>
        <v/>
      </c>
      <c r="AR478">
        <f>SUM($AQ$6:$AQ478)</f>
        <v/>
      </c>
      <c r="AS478">
        <f>IFERROR(INDEX($A$6:$A$565,MATCH(ROW()-5,$AR$6:$AR$565,0)),"")</f>
        <v/>
      </c>
    </row>
    <row r="479">
      <c r="A479">
        <f>IF([1]Accounts!$D$480="","",[1]Accounts!$A$480)</f>
        <v/>
      </c>
      <c r="B479">
        <f>IF([1]Accounts!$D$480="","",[1]Accounts!$B$480)</f>
        <v/>
      </c>
      <c r="C479">
        <f>IF([1]Accounts!$D$480="","",[1]Accounts!$C$480)</f>
        <v/>
      </c>
      <c r="D479">
        <f>IF([1]Accounts!$D$480="","",[1]Accounts!$D$480)</f>
        <v/>
      </c>
      <c r="E479">
        <f>IF([1]Accounts!$D$480="","",[1]Accounts!$J$480)</f>
        <v/>
      </c>
      <c r="F479">
        <f>IF([1]Accounts!$D$480="","",[1]Accounts!$K$480)</f>
        <v/>
      </c>
      <c r="U479">
        <f>IF([2]Baskol!$B$482="","",[2]Baskol!$B$482)</f>
        <v/>
      </c>
      <c r="V479">
        <f>IF([2]Baskol!$C$482="","",[2]Baskol!$C$482)</f>
        <v/>
      </c>
      <c r="W479">
        <f>IF([2]Baskol!$D$482="","",[2]Baskol!$D$482)</f>
        <v/>
      </c>
      <c r="X479">
        <f>IF([2]Baskol!$E$482="","",[2]Baskol!$E$482)</f>
        <v/>
      </c>
      <c r="Y479">
        <f>IF([2]Baskol!$G$482="","",[2]Baskol!$G$482)</f>
        <v/>
      </c>
      <c r="Z479">
        <f>IF([2]Baskol!$I$482="","",[2]Baskol!$I$482)</f>
        <v/>
      </c>
      <c r="AA479">
        <f>IF([2]Baskol!$J$482="","",[2]Baskol!$J$482)</f>
        <v/>
      </c>
      <c r="AB479">
        <f>IF([2]Baskol!$K$482="","",[2]Baskol!$K$482)</f>
        <v/>
      </c>
      <c r="AC479">
        <f>IF([2]Baskol!$L$482="","",[2]Baskol!$L$482)</f>
        <v/>
      </c>
      <c r="AD479">
        <f>IF([2]Baskol!$N$482="","",[2]Baskol!$N$482)</f>
        <v/>
      </c>
      <c r="AE479">
        <f>IF([2]Baskol!$O$482="","",[2]Baskol!$O$482)</f>
        <v/>
      </c>
      <c r="AG479">
        <f>IF([3]Entry!$C$482="","",[3]Entry!$C$482)</f>
        <v/>
      </c>
      <c r="AH479">
        <f>IF([3]Entry!$D$482="","",[3]Entry!$D$482)</f>
        <v/>
      </c>
      <c r="AI479">
        <f>IF([3]Entry!$E$482="","",[3]Entry!$E$482)</f>
        <v/>
      </c>
      <c r="AJ479">
        <f>IF([3]Entry!$G$482="","",[3]Entry!$G$482)</f>
        <v/>
      </c>
      <c r="AK479">
        <f>IF([3]Entry!$K$482="","",[3]Entry!$K$482)</f>
        <v/>
      </c>
      <c r="AL479">
        <f>IF([3]Entry!$L$482="","",[3]Entry!$L$482)</f>
        <v/>
      </c>
      <c r="AM479">
        <f>IF([3]Entry!$M$482="","",[3]Entry!$M$482)</f>
        <v/>
      </c>
      <c r="AN479">
        <f>IF([3]Entry!$N$482="","",[3]Entry!$N$482)</f>
        <v/>
      </c>
      <c r="AO479">
        <f>IF([3]Entry!$R$482="","",[3]Entry!$R$482)</f>
        <v/>
      </c>
      <c r="AQ479">
        <f>IF(AND($D479&lt;&gt;"",$A479&lt;&gt;""),1,0)</f>
        <v/>
      </c>
      <c r="AR479">
        <f>SUM($AQ$6:$AQ479)</f>
        <v/>
      </c>
      <c r="AS479">
        <f>IFERROR(INDEX($A$6:$A$565,MATCH(ROW()-5,$AR$6:$AR$565,0)),"")</f>
        <v/>
      </c>
    </row>
    <row r="480">
      <c r="A480">
        <f>IF([1]Accounts!$D$481="","",[1]Accounts!$A$481)</f>
        <v/>
      </c>
      <c r="B480">
        <f>IF([1]Accounts!$D$481="","",[1]Accounts!$B$481)</f>
        <v/>
      </c>
      <c r="C480">
        <f>IF([1]Accounts!$D$481="","",[1]Accounts!$C$481)</f>
        <v/>
      </c>
      <c r="D480">
        <f>IF([1]Accounts!$D$481="","",[1]Accounts!$D$481)</f>
        <v/>
      </c>
      <c r="E480">
        <f>IF([1]Accounts!$D$481="","",[1]Accounts!$J$481)</f>
        <v/>
      </c>
      <c r="F480">
        <f>IF([1]Accounts!$D$481="","",[1]Accounts!$K$481)</f>
        <v/>
      </c>
      <c r="U480">
        <f>IF([2]Baskol!$B$483="","",[2]Baskol!$B$483)</f>
        <v/>
      </c>
      <c r="V480">
        <f>IF([2]Baskol!$C$483="","",[2]Baskol!$C$483)</f>
        <v/>
      </c>
      <c r="W480">
        <f>IF([2]Baskol!$D$483="","",[2]Baskol!$D$483)</f>
        <v/>
      </c>
      <c r="X480">
        <f>IF([2]Baskol!$E$483="","",[2]Baskol!$E$483)</f>
        <v/>
      </c>
      <c r="Y480">
        <f>IF([2]Baskol!$G$483="","",[2]Baskol!$G$483)</f>
        <v/>
      </c>
      <c r="Z480">
        <f>IF([2]Baskol!$I$483="","",[2]Baskol!$I$483)</f>
        <v/>
      </c>
      <c r="AA480">
        <f>IF([2]Baskol!$J$483="","",[2]Baskol!$J$483)</f>
        <v/>
      </c>
      <c r="AB480">
        <f>IF([2]Baskol!$K$483="","",[2]Baskol!$K$483)</f>
        <v/>
      </c>
      <c r="AC480">
        <f>IF([2]Baskol!$L$483="","",[2]Baskol!$L$483)</f>
        <v/>
      </c>
      <c r="AD480">
        <f>IF([2]Baskol!$N$483="","",[2]Baskol!$N$483)</f>
        <v/>
      </c>
      <c r="AE480">
        <f>IF([2]Baskol!$O$483="","",[2]Baskol!$O$483)</f>
        <v/>
      </c>
      <c r="AG480">
        <f>IF([3]Entry!$C$483="","",[3]Entry!$C$483)</f>
        <v/>
      </c>
      <c r="AH480">
        <f>IF([3]Entry!$D$483="","",[3]Entry!$D$483)</f>
        <v/>
      </c>
      <c r="AI480">
        <f>IF([3]Entry!$E$483="","",[3]Entry!$E$483)</f>
        <v/>
      </c>
      <c r="AJ480">
        <f>IF([3]Entry!$G$483="","",[3]Entry!$G$483)</f>
        <v/>
      </c>
      <c r="AK480">
        <f>IF([3]Entry!$K$483="","",[3]Entry!$K$483)</f>
        <v/>
      </c>
      <c r="AL480">
        <f>IF([3]Entry!$L$483="","",[3]Entry!$L$483)</f>
        <v/>
      </c>
      <c r="AM480">
        <f>IF([3]Entry!$M$483="","",[3]Entry!$M$483)</f>
        <v/>
      </c>
      <c r="AN480">
        <f>IF([3]Entry!$N$483="","",[3]Entry!$N$483)</f>
        <v/>
      </c>
      <c r="AO480">
        <f>IF([3]Entry!$R$483="","",[3]Entry!$R$483)</f>
        <v/>
      </c>
      <c r="AQ480">
        <f>IF(AND($D480&lt;&gt;"",$A480&lt;&gt;""),1,0)</f>
        <v/>
      </c>
      <c r="AR480">
        <f>SUM($AQ$6:$AQ480)</f>
        <v/>
      </c>
      <c r="AS480">
        <f>IFERROR(INDEX($A$6:$A$565,MATCH(ROW()-5,$AR$6:$AR$565,0)),"")</f>
        <v/>
      </c>
    </row>
    <row r="481">
      <c r="A481">
        <f>IF([1]Accounts!$D$482="","",[1]Accounts!$A$482)</f>
        <v/>
      </c>
      <c r="B481">
        <f>IF([1]Accounts!$D$482="","",[1]Accounts!$B$482)</f>
        <v/>
      </c>
      <c r="C481">
        <f>IF([1]Accounts!$D$482="","",[1]Accounts!$C$482)</f>
        <v/>
      </c>
      <c r="D481">
        <f>IF([1]Accounts!$D$482="","",[1]Accounts!$D$482)</f>
        <v/>
      </c>
      <c r="E481">
        <f>IF([1]Accounts!$D$482="","",[1]Accounts!$J$482)</f>
        <v/>
      </c>
      <c r="F481">
        <f>IF([1]Accounts!$D$482="","",[1]Accounts!$K$482)</f>
        <v/>
      </c>
      <c r="U481">
        <f>IF([2]Baskol!$B$484="","",[2]Baskol!$B$484)</f>
        <v/>
      </c>
      <c r="V481">
        <f>IF([2]Baskol!$C$484="","",[2]Baskol!$C$484)</f>
        <v/>
      </c>
      <c r="W481">
        <f>IF([2]Baskol!$D$484="","",[2]Baskol!$D$484)</f>
        <v/>
      </c>
      <c r="X481">
        <f>IF([2]Baskol!$E$484="","",[2]Baskol!$E$484)</f>
        <v/>
      </c>
      <c r="Y481">
        <f>IF([2]Baskol!$G$484="","",[2]Baskol!$G$484)</f>
        <v/>
      </c>
      <c r="Z481">
        <f>IF([2]Baskol!$I$484="","",[2]Baskol!$I$484)</f>
        <v/>
      </c>
      <c r="AA481">
        <f>IF([2]Baskol!$J$484="","",[2]Baskol!$J$484)</f>
        <v/>
      </c>
      <c r="AB481">
        <f>IF([2]Baskol!$K$484="","",[2]Baskol!$K$484)</f>
        <v/>
      </c>
      <c r="AC481">
        <f>IF([2]Baskol!$L$484="","",[2]Baskol!$L$484)</f>
        <v/>
      </c>
      <c r="AD481">
        <f>IF([2]Baskol!$N$484="","",[2]Baskol!$N$484)</f>
        <v/>
      </c>
      <c r="AE481">
        <f>IF([2]Baskol!$O$484="","",[2]Baskol!$O$484)</f>
        <v/>
      </c>
      <c r="AG481">
        <f>IF([3]Entry!$C$484="","",[3]Entry!$C$484)</f>
        <v/>
      </c>
      <c r="AH481">
        <f>IF([3]Entry!$D$484="","",[3]Entry!$D$484)</f>
        <v/>
      </c>
      <c r="AI481">
        <f>IF([3]Entry!$E$484="","",[3]Entry!$E$484)</f>
        <v/>
      </c>
      <c r="AJ481">
        <f>IF([3]Entry!$G$484="","",[3]Entry!$G$484)</f>
        <v/>
      </c>
      <c r="AK481">
        <f>IF([3]Entry!$K$484="","",[3]Entry!$K$484)</f>
        <v/>
      </c>
      <c r="AL481">
        <f>IF([3]Entry!$L$484="","",[3]Entry!$L$484)</f>
        <v/>
      </c>
      <c r="AM481">
        <f>IF([3]Entry!$M$484="","",[3]Entry!$M$484)</f>
        <v/>
      </c>
      <c r="AN481">
        <f>IF([3]Entry!$N$484="","",[3]Entry!$N$484)</f>
        <v/>
      </c>
      <c r="AO481">
        <f>IF([3]Entry!$R$484="","",[3]Entry!$R$484)</f>
        <v/>
      </c>
      <c r="AQ481">
        <f>IF(AND($D481&lt;&gt;"",$A481&lt;&gt;""),1,0)</f>
        <v/>
      </c>
      <c r="AR481">
        <f>SUM($AQ$6:$AQ481)</f>
        <v/>
      </c>
      <c r="AS481">
        <f>IFERROR(INDEX($A$6:$A$565,MATCH(ROW()-5,$AR$6:$AR$565,0)),"")</f>
        <v/>
      </c>
    </row>
    <row r="482">
      <c r="A482">
        <f>IF([1]Accounts!$D$483="","",[1]Accounts!$A$483)</f>
        <v/>
      </c>
      <c r="B482">
        <f>IF([1]Accounts!$D$483="","",[1]Accounts!$B$483)</f>
        <v/>
      </c>
      <c r="C482">
        <f>IF([1]Accounts!$D$483="","",[1]Accounts!$C$483)</f>
        <v/>
      </c>
      <c r="D482">
        <f>IF([1]Accounts!$D$483="","",[1]Accounts!$D$483)</f>
        <v/>
      </c>
      <c r="E482">
        <f>IF([1]Accounts!$D$483="","",[1]Accounts!$J$483)</f>
        <v/>
      </c>
      <c r="F482">
        <f>IF([1]Accounts!$D$483="","",[1]Accounts!$K$483)</f>
        <v/>
      </c>
      <c r="U482">
        <f>IF([2]Baskol!$B$485="","",[2]Baskol!$B$485)</f>
        <v/>
      </c>
      <c r="V482">
        <f>IF([2]Baskol!$C$485="","",[2]Baskol!$C$485)</f>
        <v/>
      </c>
      <c r="W482">
        <f>IF([2]Baskol!$D$485="","",[2]Baskol!$D$485)</f>
        <v/>
      </c>
      <c r="X482">
        <f>IF([2]Baskol!$E$485="","",[2]Baskol!$E$485)</f>
        <v/>
      </c>
      <c r="Y482">
        <f>IF([2]Baskol!$G$485="","",[2]Baskol!$G$485)</f>
        <v/>
      </c>
      <c r="Z482">
        <f>IF([2]Baskol!$I$485="","",[2]Baskol!$I$485)</f>
        <v/>
      </c>
      <c r="AA482">
        <f>IF([2]Baskol!$J$485="","",[2]Baskol!$J$485)</f>
        <v/>
      </c>
      <c r="AB482">
        <f>IF([2]Baskol!$K$485="","",[2]Baskol!$K$485)</f>
        <v/>
      </c>
      <c r="AC482">
        <f>IF([2]Baskol!$L$485="","",[2]Baskol!$L$485)</f>
        <v/>
      </c>
      <c r="AD482">
        <f>IF([2]Baskol!$N$485="","",[2]Baskol!$N$485)</f>
        <v/>
      </c>
      <c r="AE482">
        <f>IF([2]Baskol!$O$485="","",[2]Baskol!$O$485)</f>
        <v/>
      </c>
      <c r="AG482">
        <f>IF([3]Entry!$C$485="","",[3]Entry!$C$485)</f>
        <v/>
      </c>
      <c r="AH482">
        <f>IF([3]Entry!$D$485="","",[3]Entry!$D$485)</f>
        <v/>
      </c>
      <c r="AI482">
        <f>IF([3]Entry!$E$485="","",[3]Entry!$E$485)</f>
        <v/>
      </c>
      <c r="AJ482">
        <f>IF([3]Entry!$G$485="","",[3]Entry!$G$485)</f>
        <v/>
      </c>
      <c r="AK482">
        <f>IF([3]Entry!$K$485="","",[3]Entry!$K$485)</f>
        <v/>
      </c>
      <c r="AL482">
        <f>IF([3]Entry!$L$485="","",[3]Entry!$L$485)</f>
        <v/>
      </c>
      <c r="AM482">
        <f>IF([3]Entry!$M$485="","",[3]Entry!$M$485)</f>
        <v/>
      </c>
      <c r="AN482">
        <f>IF([3]Entry!$N$485="","",[3]Entry!$N$485)</f>
        <v/>
      </c>
      <c r="AO482">
        <f>IF([3]Entry!$R$485="","",[3]Entry!$R$485)</f>
        <v/>
      </c>
      <c r="AQ482">
        <f>IF(AND($D482&lt;&gt;"",$A482&lt;&gt;""),1,0)</f>
        <v/>
      </c>
      <c r="AR482">
        <f>SUM($AQ$6:$AQ482)</f>
        <v/>
      </c>
      <c r="AS482">
        <f>IFERROR(INDEX($A$6:$A$565,MATCH(ROW()-5,$AR$6:$AR$565,0)),"")</f>
        <v/>
      </c>
    </row>
    <row r="483">
      <c r="A483">
        <f>IF([1]Accounts!$D$484="","",[1]Accounts!$A$484)</f>
        <v/>
      </c>
      <c r="B483">
        <f>IF([1]Accounts!$D$484="","",[1]Accounts!$B$484)</f>
        <v/>
      </c>
      <c r="C483">
        <f>IF([1]Accounts!$D$484="","",[1]Accounts!$C$484)</f>
        <v/>
      </c>
      <c r="D483">
        <f>IF([1]Accounts!$D$484="","",[1]Accounts!$D$484)</f>
        <v/>
      </c>
      <c r="E483">
        <f>IF([1]Accounts!$D$484="","",[1]Accounts!$J$484)</f>
        <v/>
      </c>
      <c r="F483">
        <f>IF([1]Accounts!$D$484="","",[1]Accounts!$K$484)</f>
        <v/>
      </c>
      <c r="U483">
        <f>IF([2]Baskol!$B$486="","",[2]Baskol!$B$486)</f>
        <v/>
      </c>
      <c r="V483">
        <f>IF([2]Baskol!$C$486="","",[2]Baskol!$C$486)</f>
        <v/>
      </c>
      <c r="W483">
        <f>IF([2]Baskol!$D$486="","",[2]Baskol!$D$486)</f>
        <v/>
      </c>
      <c r="X483">
        <f>IF([2]Baskol!$E$486="","",[2]Baskol!$E$486)</f>
        <v/>
      </c>
      <c r="Y483">
        <f>IF([2]Baskol!$G$486="","",[2]Baskol!$G$486)</f>
        <v/>
      </c>
      <c r="Z483">
        <f>IF([2]Baskol!$I$486="","",[2]Baskol!$I$486)</f>
        <v/>
      </c>
      <c r="AA483">
        <f>IF([2]Baskol!$J$486="","",[2]Baskol!$J$486)</f>
        <v/>
      </c>
      <c r="AB483">
        <f>IF([2]Baskol!$K$486="","",[2]Baskol!$K$486)</f>
        <v/>
      </c>
      <c r="AC483">
        <f>IF([2]Baskol!$L$486="","",[2]Baskol!$L$486)</f>
        <v/>
      </c>
      <c r="AD483">
        <f>IF([2]Baskol!$N$486="","",[2]Baskol!$N$486)</f>
        <v/>
      </c>
      <c r="AE483">
        <f>IF([2]Baskol!$O$486="","",[2]Baskol!$O$486)</f>
        <v/>
      </c>
      <c r="AG483">
        <f>IF([3]Entry!$C$486="","",[3]Entry!$C$486)</f>
        <v/>
      </c>
      <c r="AH483">
        <f>IF([3]Entry!$D$486="","",[3]Entry!$D$486)</f>
        <v/>
      </c>
      <c r="AI483">
        <f>IF([3]Entry!$E$486="","",[3]Entry!$E$486)</f>
        <v/>
      </c>
      <c r="AJ483">
        <f>IF([3]Entry!$G$486="","",[3]Entry!$G$486)</f>
        <v/>
      </c>
      <c r="AK483">
        <f>IF([3]Entry!$K$486="","",[3]Entry!$K$486)</f>
        <v/>
      </c>
      <c r="AL483">
        <f>IF([3]Entry!$L$486="","",[3]Entry!$L$486)</f>
        <v/>
      </c>
      <c r="AM483">
        <f>IF([3]Entry!$M$486="","",[3]Entry!$M$486)</f>
        <v/>
      </c>
      <c r="AN483">
        <f>IF([3]Entry!$N$486="","",[3]Entry!$N$486)</f>
        <v/>
      </c>
      <c r="AO483">
        <f>IF([3]Entry!$R$486="","",[3]Entry!$R$486)</f>
        <v/>
      </c>
      <c r="AQ483">
        <f>IF(AND($D483&lt;&gt;"",$A483&lt;&gt;""),1,0)</f>
        <v/>
      </c>
      <c r="AR483">
        <f>SUM($AQ$6:$AQ483)</f>
        <v/>
      </c>
      <c r="AS483">
        <f>IFERROR(INDEX($A$6:$A$565,MATCH(ROW()-5,$AR$6:$AR$565,0)),"")</f>
        <v/>
      </c>
    </row>
    <row r="484">
      <c r="A484">
        <f>IF([1]Accounts!$D$485="","",[1]Accounts!$A$485)</f>
        <v/>
      </c>
      <c r="B484">
        <f>IF([1]Accounts!$D$485="","",[1]Accounts!$B$485)</f>
        <v/>
      </c>
      <c r="C484">
        <f>IF([1]Accounts!$D$485="","",[1]Accounts!$C$485)</f>
        <v/>
      </c>
      <c r="D484">
        <f>IF([1]Accounts!$D$485="","",[1]Accounts!$D$485)</f>
        <v/>
      </c>
      <c r="E484">
        <f>IF([1]Accounts!$D$485="","",[1]Accounts!$J$485)</f>
        <v/>
      </c>
      <c r="F484">
        <f>IF([1]Accounts!$D$485="","",[1]Accounts!$K$485)</f>
        <v/>
      </c>
      <c r="U484">
        <f>IF([2]Baskol!$B$487="","",[2]Baskol!$B$487)</f>
        <v/>
      </c>
      <c r="V484">
        <f>IF([2]Baskol!$C$487="","",[2]Baskol!$C$487)</f>
        <v/>
      </c>
      <c r="W484">
        <f>IF([2]Baskol!$D$487="","",[2]Baskol!$D$487)</f>
        <v/>
      </c>
      <c r="X484">
        <f>IF([2]Baskol!$E$487="","",[2]Baskol!$E$487)</f>
        <v/>
      </c>
      <c r="Y484">
        <f>IF([2]Baskol!$G$487="","",[2]Baskol!$G$487)</f>
        <v/>
      </c>
      <c r="Z484">
        <f>IF([2]Baskol!$I$487="","",[2]Baskol!$I$487)</f>
        <v/>
      </c>
      <c r="AA484">
        <f>IF([2]Baskol!$J$487="","",[2]Baskol!$J$487)</f>
        <v/>
      </c>
      <c r="AB484">
        <f>IF([2]Baskol!$K$487="","",[2]Baskol!$K$487)</f>
        <v/>
      </c>
      <c r="AC484">
        <f>IF([2]Baskol!$L$487="","",[2]Baskol!$L$487)</f>
        <v/>
      </c>
      <c r="AD484">
        <f>IF([2]Baskol!$N$487="","",[2]Baskol!$N$487)</f>
        <v/>
      </c>
      <c r="AE484">
        <f>IF([2]Baskol!$O$487="","",[2]Baskol!$O$487)</f>
        <v/>
      </c>
      <c r="AG484">
        <f>IF([3]Entry!$C$487="","",[3]Entry!$C$487)</f>
        <v/>
      </c>
      <c r="AH484">
        <f>IF([3]Entry!$D$487="","",[3]Entry!$D$487)</f>
        <v/>
      </c>
      <c r="AI484">
        <f>IF([3]Entry!$E$487="","",[3]Entry!$E$487)</f>
        <v/>
      </c>
      <c r="AJ484">
        <f>IF([3]Entry!$G$487="","",[3]Entry!$G$487)</f>
        <v/>
      </c>
      <c r="AK484">
        <f>IF([3]Entry!$K$487="","",[3]Entry!$K$487)</f>
        <v/>
      </c>
      <c r="AL484">
        <f>IF([3]Entry!$L$487="","",[3]Entry!$L$487)</f>
        <v/>
      </c>
      <c r="AM484">
        <f>IF([3]Entry!$M$487="","",[3]Entry!$M$487)</f>
        <v/>
      </c>
      <c r="AN484">
        <f>IF([3]Entry!$N$487="","",[3]Entry!$N$487)</f>
        <v/>
      </c>
      <c r="AO484">
        <f>IF([3]Entry!$R$487="","",[3]Entry!$R$487)</f>
        <v/>
      </c>
      <c r="AQ484">
        <f>IF(AND($D484&lt;&gt;"",$A484&lt;&gt;""),1,0)</f>
        <v/>
      </c>
      <c r="AR484">
        <f>SUM($AQ$6:$AQ484)</f>
        <v/>
      </c>
      <c r="AS484">
        <f>IFERROR(INDEX($A$6:$A$565,MATCH(ROW()-5,$AR$6:$AR$565,0)),"")</f>
        <v/>
      </c>
    </row>
    <row r="485">
      <c r="A485">
        <f>IF([1]Accounts!$D$486="","",[1]Accounts!$A$486)</f>
        <v/>
      </c>
      <c r="B485">
        <f>IF([1]Accounts!$D$486="","",[1]Accounts!$B$486)</f>
        <v/>
      </c>
      <c r="C485">
        <f>IF([1]Accounts!$D$486="","",[1]Accounts!$C$486)</f>
        <v/>
      </c>
      <c r="D485">
        <f>IF([1]Accounts!$D$486="","",[1]Accounts!$D$486)</f>
        <v/>
      </c>
      <c r="E485">
        <f>IF([1]Accounts!$D$486="","",[1]Accounts!$J$486)</f>
        <v/>
      </c>
      <c r="F485">
        <f>IF([1]Accounts!$D$486="","",[1]Accounts!$K$486)</f>
        <v/>
      </c>
      <c r="U485">
        <f>IF([2]Baskol!$B$488="","",[2]Baskol!$B$488)</f>
        <v/>
      </c>
      <c r="V485">
        <f>IF([2]Baskol!$C$488="","",[2]Baskol!$C$488)</f>
        <v/>
      </c>
      <c r="W485">
        <f>IF([2]Baskol!$D$488="","",[2]Baskol!$D$488)</f>
        <v/>
      </c>
      <c r="X485">
        <f>IF([2]Baskol!$E$488="","",[2]Baskol!$E$488)</f>
        <v/>
      </c>
      <c r="Y485">
        <f>IF([2]Baskol!$G$488="","",[2]Baskol!$G$488)</f>
        <v/>
      </c>
      <c r="Z485">
        <f>IF([2]Baskol!$I$488="","",[2]Baskol!$I$488)</f>
        <v/>
      </c>
      <c r="AA485">
        <f>IF([2]Baskol!$J$488="","",[2]Baskol!$J$488)</f>
        <v/>
      </c>
      <c r="AB485">
        <f>IF([2]Baskol!$K$488="","",[2]Baskol!$K$488)</f>
        <v/>
      </c>
      <c r="AC485">
        <f>IF([2]Baskol!$L$488="","",[2]Baskol!$L$488)</f>
        <v/>
      </c>
      <c r="AD485">
        <f>IF([2]Baskol!$N$488="","",[2]Baskol!$N$488)</f>
        <v/>
      </c>
      <c r="AE485">
        <f>IF([2]Baskol!$O$488="","",[2]Baskol!$O$488)</f>
        <v/>
      </c>
      <c r="AG485">
        <f>IF([3]Entry!$C$488="","",[3]Entry!$C$488)</f>
        <v/>
      </c>
      <c r="AH485">
        <f>IF([3]Entry!$D$488="","",[3]Entry!$D$488)</f>
        <v/>
      </c>
      <c r="AI485">
        <f>IF([3]Entry!$E$488="","",[3]Entry!$E$488)</f>
        <v/>
      </c>
      <c r="AJ485">
        <f>IF([3]Entry!$G$488="","",[3]Entry!$G$488)</f>
        <v/>
      </c>
      <c r="AK485">
        <f>IF([3]Entry!$K$488="","",[3]Entry!$K$488)</f>
        <v/>
      </c>
      <c r="AL485">
        <f>IF([3]Entry!$L$488="","",[3]Entry!$L$488)</f>
        <v/>
      </c>
      <c r="AM485">
        <f>IF([3]Entry!$M$488="","",[3]Entry!$M$488)</f>
        <v/>
      </c>
      <c r="AN485">
        <f>IF([3]Entry!$N$488="","",[3]Entry!$N$488)</f>
        <v/>
      </c>
      <c r="AO485">
        <f>IF([3]Entry!$R$488="","",[3]Entry!$R$488)</f>
        <v/>
      </c>
      <c r="AQ485">
        <f>IF(AND($D485&lt;&gt;"",$A485&lt;&gt;""),1,0)</f>
        <v/>
      </c>
      <c r="AR485">
        <f>SUM($AQ$6:$AQ485)</f>
        <v/>
      </c>
      <c r="AS485">
        <f>IFERROR(INDEX($A$6:$A$565,MATCH(ROW()-5,$AR$6:$AR$565,0)),"")</f>
        <v/>
      </c>
    </row>
    <row r="486">
      <c r="A486">
        <f>IF([1]Accounts!$D$487="","",[1]Accounts!$A$487)</f>
        <v/>
      </c>
      <c r="B486">
        <f>IF([1]Accounts!$D$487="","",[1]Accounts!$B$487)</f>
        <v/>
      </c>
      <c r="C486">
        <f>IF([1]Accounts!$D$487="","",[1]Accounts!$C$487)</f>
        <v/>
      </c>
      <c r="D486">
        <f>IF([1]Accounts!$D$487="","",[1]Accounts!$D$487)</f>
        <v/>
      </c>
      <c r="E486">
        <f>IF([1]Accounts!$D$487="","",[1]Accounts!$J$487)</f>
        <v/>
      </c>
      <c r="F486">
        <f>IF([1]Accounts!$D$487="","",[1]Accounts!$K$487)</f>
        <v/>
      </c>
      <c r="U486">
        <f>IF([2]Baskol!$B$489="","",[2]Baskol!$B$489)</f>
        <v/>
      </c>
      <c r="V486">
        <f>IF([2]Baskol!$C$489="","",[2]Baskol!$C$489)</f>
        <v/>
      </c>
      <c r="W486">
        <f>IF([2]Baskol!$D$489="","",[2]Baskol!$D$489)</f>
        <v/>
      </c>
      <c r="X486">
        <f>IF([2]Baskol!$E$489="","",[2]Baskol!$E$489)</f>
        <v/>
      </c>
      <c r="Y486">
        <f>IF([2]Baskol!$G$489="","",[2]Baskol!$G$489)</f>
        <v/>
      </c>
      <c r="Z486">
        <f>IF([2]Baskol!$I$489="","",[2]Baskol!$I$489)</f>
        <v/>
      </c>
      <c r="AA486">
        <f>IF([2]Baskol!$J$489="","",[2]Baskol!$J$489)</f>
        <v/>
      </c>
      <c r="AB486">
        <f>IF([2]Baskol!$K$489="","",[2]Baskol!$K$489)</f>
        <v/>
      </c>
      <c r="AC486">
        <f>IF([2]Baskol!$L$489="","",[2]Baskol!$L$489)</f>
        <v/>
      </c>
      <c r="AD486">
        <f>IF([2]Baskol!$N$489="","",[2]Baskol!$N$489)</f>
        <v/>
      </c>
      <c r="AE486">
        <f>IF([2]Baskol!$O$489="","",[2]Baskol!$O$489)</f>
        <v/>
      </c>
      <c r="AG486">
        <f>IF([3]Entry!$C$489="","",[3]Entry!$C$489)</f>
        <v/>
      </c>
      <c r="AH486">
        <f>IF([3]Entry!$D$489="","",[3]Entry!$D$489)</f>
        <v/>
      </c>
      <c r="AI486">
        <f>IF([3]Entry!$E$489="","",[3]Entry!$E$489)</f>
        <v/>
      </c>
      <c r="AJ486">
        <f>IF([3]Entry!$G$489="","",[3]Entry!$G$489)</f>
        <v/>
      </c>
      <c r="AK486">
        <f>IF([3]Entry!$K$489="","",[3]Entry!$K$489)</f>
        <v/>
      </c>
      <c r="AL486">
        <f>IF([3]Entry!$L$489="","",[3]Entry!$L$489)</f>
        <v/>
      </c>
      <c r="AM486">
        <f>IF([3]Entry!$M$489="","",[3]Entry!$M$489)</f>
        <v/>
      </c>
      <c r="AN486">
        <f>IF([3]Entry!$N$489="","",[3]Entry!$N$489)</f>
        <v/>
      </c>
      <c r="AO486">
        <f>IF([3]Entry!$R$489="","",[3]Entry!$R$489)</f>
        <v/>
      </c>
      <c r="AQ486">
        <f>IF(AND($D486&lt;&gt;"",$A486&lt;&gt;""),1,0)</f>
        <v/>
      </c>
      <c r="AR486">
        <f>SUM($AQ$6:$AQ486)</f>
        <v/>
      </c>
      <c r="AS486">
        <f>IFERROR(INDEX($A$6:$A$565,MATCH(ROW()-5,$AR$6:$AR$565,0)),"")</f>
        <v/>
      </c>
    </row>
    <row r="487">
      <c r="A487">
        <f>IF([1]Accounts!$D$488="","",[1]Accounts!$A$488)</f>
        <v/>
      </c>
      <c r="B487">
        <f>IF([1]Accounts!$D$488="","",[1]Accounts!$B$488)</f>
        <v/>
      </c>
      <c r="C487">
        <f>IF([1]Accounts!$D$488="","",[1]Accounts!$C$488)</f>
        <v/>
      </c>
      <c r="D487">
        <f>IF([1]Accounts!$D$488="","",[1]Accounts!$D$488)</f>
        <v/>
      </c>
      <c r="E487">
        <f>IF([1]Accounts!$D$488="","",[1]Accounts!$J$488)</f>
        <v/>
      </c>
      <c r="F487">
        <f>IF([1]Accounts!$D$488="","",[1]Accounts!$K$488)</f>
        <v/>
      </c>
      <c r="U487">
        <f>IF([2]Baskol!$B$490="","",[2]Baskol!$B$490)</f>
        <v/>
      </c>
      <c r="V487">
        <f>IF([2]Baskol!$C$490="","",[2]Baskol!$C$490)</f>
        <v/>
      </c>
      <c r="W487">
        <f>IF([2]Baskol!$D$490="","",[2]Baskol!$D$490)</f>
        <v/>
      </c>
      <c r="X487">
        <f>IF([2]Baskol!$E$490="","",[2]Baskol!$E$490)</f>
        <v/>
      </c>
      <c r="Y487">
        <f>IF([2]Baskol!$G$490="","",[2]Baskol!$G$490)</f>
        <v/>
      </c>
      <c r="Z487">
        <f>IF([2]Baskol!$I$490="","",[2]Baskol!$I$490)</f>
        <v/>
      </c>
      <c r="AA487">
        <f>IF([2]Baskol!$J$490="","",[2]Baskol!$J$490)</f>
        <v/>
      </c>
      <c r="AB487">
        <f>IF([2]Baskol!$K$490="","",[2]Baskol!$K$490)</f>
        <v/>
      </c>
      <c r="AC487">
        <f>IF([2]Baskol!$L$490="","",[2]Baskol!$L$490)</f>
        <v/>
      </c>
      <c r="AD487">
        <f>IF([2]Baskol!$N$490="","",[2]Baskol!$N$490)</f>
        <v/>
      </c>
      <c r="AE487">
        <f>IF([2]Baskol!$O$490="","",[2]Baskol!$O$490)</f>
        <v/>
      </c>
      <c r="AG487">
        <f>IF([3]Entry!$C$490="","",[3]Entry!$C$490)</f>
        <v/>
      </c>
      <c r="AH487">
        <f>IF([3]Entry!$D$490="","",[3]Entry!$D$490)</f>
        <v/>
      </c>
      <c r="AI487">
        <f>IF([3]Entry!$E$490="","",[3]Entry!$E$490)</f>
        <v/>
      </c>
      <c r="AJ487">
        <f>IF([3]Entry!$G$490="","",[3]Entry!$G$490)</f>
        <v/>
      </c>
      <c r="AK487">
        <f>IF([3]Entry!$K$490="","",[3]Entry!$K$490)</f>
        <v/>
      </c>
      <c r="AL487">
        <f>IF([3]Entry!$L$490="","",[3]Entry!$L$490)</f>
        <v/>
      </c>
      <c r="AM487">
        <f>IF([3]Entry!$M$490="","",[3]Entry!$M$490)</f>
        <v/>
      </c>
      <c r="AN487">
        <f>IF([3]Entry!$N$490="","",[3]Entry!$N$490)</f>
        <v/>
      </c>
      <c r="AO487">
        <f>IF([3]Entry!$R$490="","",[3]Entry!$R$490)</f>
        <v/>
      </c>
      <c r="AQ487">
        <f>IF(AND($D487&lt;&gt;"",$A487&lt;&gt;""),1,0)</f>
        <v/>
      </c>
      <c r="AR487">
        <f>SUM($AQ$6:$AQ487)</f>
        <v/>
      </c>
      <c r="AS487">
        <f>IFERROR(INDEX($A$6:$A$565,MATCH(ROW()-5,$AR$6:$AR$565,0)),"")</f>
        <v/>
      </c>
    </row>
    <row r="488">
      <c r="A488">
        <f>IF([1]Accounts!$D$489="","",[1]Accounts!$A$489)</f>
        <v/>
      </c>
      <c r="B488">
        <f>IF([1]Accounts!$D$489="","",[1]Accounts!$B$489)</f>
        <v/>
      </c>
      <c r="C488">
        <f>IF([1]Accounts!$D$489="","",[1]Accounts!$C$489)</f>
        <v/>
      </c>
      <c r="D488">
        <f>IF([1]Accounts!$D$489="","",[1]Accounts!$D$489)</f>
        <v/>
      </c>
      <c r="E488">
        <f>IF([1]Accounts!$D$489="","",[1]Accounts!$J$489)</f>
        <v/>
      </c>
      <c r="F488">
        <f>IF([1]Accounts!$D$489="","",[1]Accounts!$K$489)</f>
        <v/>
      </c>
      <c r="U488">
        <f>IF([2]Baskol!$B$491="","",[2]Baskol!$B$491)</f>
        <v/>
      </c>
      <c r="V488">
        <f>IF([2]Baskol!$C$491="","",[2]Baskol!$C$491)</f>
        <v/>
      </c>
      <c r="W488">
        <f>IF([2]Baskol!$D$491="","",[2]Baskol!$D$491)</f>
        <v/>
      </c>
      <c r="X488">
        <f>IF([2]Baskol!$E$491="","",[2]Baskol!$E$491)</f>
        <v/>
      </c>
      <c r="Y488">
        <f>IF([2]Baskol!$G$491="","",[2]Baskol!$G$491)</f>
        <v/>
      </c>
      <c r="Z488">
        <f>IF([2]Baskol!$I$491="","",[2]Baskol!$I$491)</f>
        <v/>
      </c>
      <c r="AA488">
        <f>IF([2]Baskol!$J$491="","",[2]Baskol!$J$491)</f>
        <v/>
      </c>
      <c r="AB488">
        <f>IF([2]Baskol!$K$491="","",[2]Baskol!$K$491)</f>
        <v/>
      </c>
      <c r="AC488">
        <f>IF([2]Baskol!$L$491="","",[2]Baskol!$L$491)</f>
        <v/>
      </c>
      <c r="AD488">
        <f>IF([2]Baskol!$N$491="","",[2]Baskol!$N$491)</f>
        <v/>
      </c>
      <c r="AE488">
        <f>IF([2]Baskol!$O$491="","",[2]Baskol!$O$491)</f>
        <v/>
      </c>
      <c r="AG488">
        <f>IF([3]Entry!$C$491="","",[3]Entry!$C$491)</f>
        <v/>
      </c>
      <c r="AH488">
        <f>IF([3]Entry!$D$491="","",[3]Entry!$D$491)</f>
        <v/>
      </c>
      <c r="AI488">
        <f>IF([3]Entry!$E$491="","",[3]Entry!$E$491)</f>
        <v/>
      </c>
      <c r="AJ488">
        <f>IF([3]Entry!$G$491="","",[3]Entry!$G$491)</f>
        <v/>
      </c>
      <c r="AK488">
        <f>IF([3]Entry!$K$491="","",[3]Entry!$K$491)</f>
        <v/>
      </c>
      <c r="AL488">
        <f>IF([3]Entry!$L$491="","",[3]Entry!$L$491)</f>
        <v/>
      </c>
      <c r="AM488">
        <f>IF([3]Entry!$M$491="","",[3]Entry!$M$491)</f>
        <v/>
      </c>
      <c r="AN488">
        <f>IF([3]Entry!$N$491="","",[3]Entry!$N$491)</f>
        <v/>
      </c>
      <c r="AO488">
        <f>IF([3]Entry!$R$491="","",[3]Entry!$R$491)</f>
        <v/>
      </c>
      <c r="AQ488">
        <f>IF(AND($D488&lt;&gt;"",$A488&lt;&gt;""),1,0)</f>
        <v/>
      </c>
      <c r="AR488">
        <f>SUM($AQ$6:$AQ488)</f>
        <v/>
      </c>
      <c r="AS488">
        <f>IFERROR(INDEX($A$6:$A$565,MATCH(ROW()-5,$AR$6:$AR$565,0)),"")</f>
        <v/>
      </c>
    </row>
    <row r="489">
      <c r="A489">
        <f>IF([1]Accounts!$D$490="","",[1]Accounts!$A$490)</f>
        <v/>
      </c>
      <c r="B489">
        <f>IF([1]Accounts!$D$490="","",[1]Accounts!$B$490)</f>
        <v/>
      </c>
      <c r="C489">
        <f>IF([1]Accounts!$D$490="","",[1]Accounts!$C$490)</f>
        <v/>
      </c>
      <c r="D489">
        <f>IF([1]Accounts!$D$490="","",[1]Accounts!$D$490)</f>
        <v/>
      </c>
      <c r="E489">
        <f>IF([1]Accounts!$D$490="","",[1]Accounts!$J$490)</f>
        <v/>
      </c>
      <c r="F489">
        <f>IF([1]Accounts!$D$490="","",[1]Accounts!$K$490)</f>
        <v/>
      </c>
      <c r="U489">
        <f>IF([2]Baskol!$B$492="","",[2]Baskol!$B$492)</f>
        <v/>
      </c>
      <c r="V489">
        <f>IF([2]Baskol!$C$492="","",[2]Baskol!$C$492)</f>
        <v/>
      </c>
      <c r="W489">
        <f>IF([2]Baskol!$D$492="","",[2]Baskol!$D$492)</f>
        <v/>
      </c>
      <c r="X489">
        <f>IF([2]Baskol!$E$492="","",[2]Baskol!$E$492)</f>
        <v/>
      </c>
      <c r="Y489">
        <f>IF([2]Baskol!$G$492="","",[2]Baskol!$G$492)</f>
        <v/>
      </c>
      <c r="Z489">
        <f>IF([2]Baskol!$I$492="","",[2]Baskol!$I$492)</f>
        <v/>
      </c>
      <c r="AA489">
        <f>IF([2]Baskol!$J$492="","",[2]Baskol!$J$492)</f>
        <v/>
      </c>
      <c r="AB489">
        <f>IF([2]Baskol!$K$492="","",[2]Baskol!$K$492)</f>
        <v/>
      </c>
      <c r="AC489">
        <f>IF([2]Baskol!$L$492="","",[2]Baskol!$L$492)</f>
        <v/>
      </c>
      <c r="AD489">
        <f>IF([2]Baskol!$N$492="","",[2]Baskol!$N$492)</f>
        <v/>
      </c>
      <c r="AE489">
        <f>IF([2]Baskol!$O$492="","",[2]Baskol!$O$492)</f>
        <v/>
      </c>
      <c r="AG489">
        <f>IF([3]Entry!$C$492="","",[3]Entry!$C$492)</f>
        <v/>
      </c>
      <c r="AH489">
        <f>IF([3]Entry!$D$492="","",[3]Entry!$D$492)</f>
        <v/>
      </c>
      <c r="AI489">
        <f>IF([3]Entry!$E$492="","",[3]Entry!$E$492)</f>
        <v/>
      </c>
      <c r="AJ489">
        <f>IF([3]Entry!$G$492="","",[3]Entry!$G$492)</f>
        <v/>
      </c>
      <c r="AK489">
        <f>IF([3]Entry!$K$492="","",[3]Entry!$K$492)</f>
        <v/>
      </c>
      <c r="AL489">
        <f>IF([3]Entry!$L$492="","",[3]Entry!$L$492)</f>
        <v/>
      </c>
      <c r="AM489">
        <f>IF([3]Entry!$M$492="","",[3]Entry!$M$492)</f>
        <v/>
      </c>
      <c r="AN489">
        <f>IF([3]Entry!$N$492="","",[3]Entry!$N$492)</f>
        <v/>
      </c>
      <c r="AO489">
        <f>IF([3]Entry!$R$492="","",[3]Entry!$R$492)</f>
        <v/>
      </c>
      <c r="AQ489">
        <f>IF(AND($D489&lt;&gt;"",$A489&lt;&gt;""),1,0)</f>
        <v/>
      </c>
      <c r="AR489">
        <f>SUM($AQ$6:$AQ489)</f>
        <v/>
      </c>
      <c r="AS489">
        <f>IFERROR(INDEX($A$6:$A$565,MATCH(ROW()-5,$AR$6:$AR$565,0)),"")</f>
        <v/>
      </c>
    </row>
    <row r="490">
      <c r="A490">
        <f>IF([1]Accounts!$D$491="","",[1]Accounts!$A$491)</f>
        <v/>
      </c>
      <c r="B490">
        <f>IF([1]Accounts!$D$491="","",[1]Accounts!$B$491)</f>
        <v/>
      </c>
      <c r="C490">
        <f>IF([1]Accounts!$D$491="","",[1]Accounts!$C$491)</f>
        <v/>
      </c>
      <c r="D490">
        <f>IF([1]Accounts!$D$491="","",[1]Accounts!$D$491)</f>
        <v/>
      </c>
      <c r="E490">
        <f>IF([1]Accounts!$D$491="","",[1]Accounts!$J$491)</f>
        <v/>
      </c>
      <c r="F490">
        <f>IF([1]Accounts!$D$491="","",[1]Accounts!$K$491)</f>
        <v/>
      </c>
      <c r="U490">
        <f>IF([2]Baskol!$B$493="","",[2]Baskol!$B$493)</f>
        <v/>
      </c>
      <c r="V490">
        <f>IF([2]Baskol!$C$493="","",[2]Baskol!$C$493)</f>
        <v/>
      </c>
      <c r="W490">
        <f>IF([2]Baskol!$D$493="","",[2]Baskol!$D$493)</f>
        <v/>
      </c>
      <c r="X490">
        <f>IF([2]Baskol!$E$493="","",[2]Baskol!$E$493)</f>
        <v/>
      </c>
      <c r="Y490">
        <f>IF([2]Baskol!$G$493="","",[2]Baskol!$G$493)</f>
        <v/>
      </c>
      <c r="Z490">
        <f>IF([2]Baskol!$I$493="","",[2]Baskol!$I$493)</f>
        <v/>
      </c>
      <c r="AA490">
        <f>IF([2]Baskol!$J$493="","",[2]Baskol!$J$493)</f>
        <v/>
      </c>
      <c r="AB490">
        <f>IF([2]Baskol!$K$493="","",[2]Baskol!$K$493)</f>
        <v/>
      </c>
      <c r="AC490">
        <f>IF([2]Baskol!$L$493="","",[2]Baskol!$L$493)</f>
        <v/>
      </c>
      <c r="AD490">
        <f>IF([2]Baskol!$N$493="","",[2]Baskol!$N$493)</f>
        <v/>
      </c>
      <c r="AE490">
        <f>IF([2]Baskol!$O$493="","",[2]Baskol!$O$493)</f>
        <v/>
      </c>
      <c r="AG490">
        <f>IF([3]Entry!$C$493="","",[3]Entry!$C$493)</f>
        <v/>
      </c>
      <c r="AH490">
        <f>IF([3]Entry!$D$493="","",[3]Entry!$D$493)</f>
        <v/>
      </c>
      <c r="AI490">
        <f>IF([3]Entry!$E$493="","",[3]Entry!$E$493)</f>
        <v/>
      </c>
      <c r="AJ490">
        <f>IF([3]Entry!$G$493="","",[3]Entry!$G$493)</f>
        <v/>
      </c>
      <c r="AK490">
        <f>IF([3]Entry!$K$493="","",[3]Entry!$K$493)</f>
        <v/>
      </c>
      <c r="AL490">
        <f>IF([3]Entry!$L$493="","",[3]Entry!$L$493)</f>
        <v/>
      </c>
      <c r="AM490">
        <f>IF([3]Entry!$M$493="","",[3]Entry!$M$493)</f>
        <v/>
      </c>
      <c r="AN490">
        <f>IF([3]Entry!$N$493="","",[3]Entry!$N$493)</f>
        <v/>
      </c>
      <c r="AO490">
        <f>IF([3]Entry!$R$493="","",[3]Entry!$R$493)</f>
        <v/>
      </c>
      <c r="AQ490">
        <f>IF(AND($D490&lt;&gt;"",$A490&lt;&gt;""),1,0)</f>
        <v/>
      </c>
      <c r="AR490">
        <f>SUM($AQ$6:$AQ490)</f>
        <v/>
      </c>
      <c r="AS490">
        <f>IFERROR(INDEX($A$6:$A$565,MATCH(ROW()-5,$AR$6:$AR$565,0)),"")</f>
        <v/>
      </c>
    </row>
    <row r="491">
      <c r="A491">
        <f>IF([1]Accounts!$D$492="","",[1]Accounts!$A$492)</f>
        <v/>
      </c>
      <c r="B491">
        <f>IF([1]Accounts!$D$492="","",[1]Accounts!$B$492)</f>
        <v/>
      </c>
      <c r="C491">
        <f>IF([1]Accounts!$D$492="","",[1]Accounts!$C$492)</f>
        <v/>
      </c>
      <c r="D491">
        <f>IF([1]Accounts!$D$492="","",[1]Accounts!$D$492)</f>
        <v/>
      </c>
      <c r="E491">
        <f>IF([1]Accounts!$D$492="","",[1]Accounts!$J$492)</f>
        <v/>
      </c>
      <c r="F491">
        <f>IF([1]Accounts!$D$492="","",[1]Accounts!$K$492)</f>
        <v/>
      </c>
      <c r="U491">
        <f>IF([2]Baskol!$B$494="","",[2]Baskol!$B$494)</f>
        <v/>
      </c>
      <c r="V491">
        <f>IF([2]Baskol!$C$494="","",[2]Baskol!$C$494)</f>
        <v/>
      </c>
      <c r="W491">
        <f>IF([2]Baskol!$D$494="","",[2]Baskol!$D$494)</f>
        <v/>
      </c>
      <c r="X491">
        <f>IF([2]Baskol!$E$494="","",[2]Baskol!$E$494)</f>
        <v/>
      </c>
      <c r="Y491">
        <f>IF([2]Baskol!$G$494="","",[2]Baskol!$G$494)</f>
        <v/>
      </c>
      <c r="Z491">
        <f>IF([2]Baskol!$I$494="","",[2]Baskol!$I$494)</f>
        <v/>
      </c>
      <c r="AA491">
        <f>IF([2]Baskol!$J$494="","",[2]Baskol!$J$494)</f>
        <v/>
      </c>
      <c r="AB491">
        <f>IF([2]Baskol!$K$494="","",[2]Baskol!$K$494)</f>
        <v/>
      </c>
      <c r="AC491">
        <f>IF([2]Baskol!$L$494="","",[2]Baskol!$L$494)</f>
        <v/>
      </c>
      <c r="AD491">
        <f>IF([2]Baskol!$N$494="","",[2]Baskol!$N$494)</f>
        <v/>
      </c>
      <c r="AE491">
        <f>IF([2]Baskol!$O$494="","",[2]Baskol!$O$494)</f>
        <v/>
      </c>
      <c r="AG491">
        <f>IF([3]Entry!$C$494="","",[3]Entry!$C$494)</f>
        <v/>
      </c>
      <c r="AH491">
        <f>IF([3]Entry!$D$494="","",[3]Entry!$D$494)</f>
        <v/>
      </c>
      <c r="AI491">
        <f>IF([3]Entry!$E$494="","",[3]Entry!$E$494)</f>
        <v/>
      </c>
      <c r="AJ491">
        <f>IF([3]Entry!$G$494="","",[3]Entry!$G$494)</f>
        <v/>
      </c>
      <c r="AK491">
        <f>IF([3]Entry!$K$494="","",[3]Entry!$K$494)</f>
        <v/>
      </c>
      <c r="AL491">
        <f>IF([3]Entry!$L$494="","",[3]Entry!$L$494)</f>
        <v/>
      </c>
      <c r="AM491">
        <f>IF([3]Entry!$M$494="","",[3]Entry!$M$494)</f>
        <v/>
      </c>
      <c r="AN491">
        <f>IF([3]Entry!$N$494="","",[3]Entry!$N$494)</f>
        <v/>
      </c>
      <c r="AO491">
        <f>IF([3]Entry!$R$494="","",[3]Entry!$R$494)</f>
        <v/>
      </c>
      <c r="AQ491">
        <f>IF(AND($D491&lt;&gt;"",$A491&lt;&gt;""),1,0)</f>
        <v/>
      </c>
      <c r="AR491">
        <f>SUM($AQ$6:$AQ491)</f>
        <v/>
      </c>
      <c r="AS491">
        <f>IFERROR(INDEX($A$6:$A$565,MATCH(ROW()-5,$AR$6:$AR$565,0)),"")</f>
        <v/>
      </c>
    </row>
    <row r="492">
      <c r="A492">
        <f>IF([1]Accounts!$D$493="","",[1]Accounts!$A$493)</f>
        <v/>
      </c>
      <c r="B492">
        <f>IF([1]Accounts!$D$493="","",[1]Accounts!$B$493)</f>
        <v/>
      </c>
      <c r="C492">
        <f>IF([1]Accounts!$D$493="","",[1]Accounts!$C$493)</f>
        <v/>
      </c>
      <c r="D492">
        <f>IF([1]Accounts!$D$493="","",[1]Accounts!$D$493)</f>
        <v/>
      </c>
      <c r="E492">
        <f>IF([1]Accounts!$D$493="","",[1]Accounts!$J$493)</f>
        <v/>
      </c>
      <c r="F492">
        <f>IF([1]Accounts!$D$493="","",[1]Accounts!$K$493)</f>
        <v/>
      </c>
      <c r="U492">
        <f>IF([2]Baskol!$B$495="","",[2]Baskol!$B$495)</f>
        <v/>
      </c>
      <c r="V492">
        <f>IF([2]Baskol!$C$495="","",[2]Baskol!$C$495)</f>
        <v/>
      </c>
      <c r="W492">
        <f>IF([2]Baskol!$D$495="","",[2]Baskol!$D$495)</f>
        <v/>
      </c>
      <c r="X492">
        <f>IF([2]Baskol!$E$495="","",[2]Baskol!$E$495)</f>
        <v/>
      </c>
      <c r="Y492">
        <f>IF([2]Baskol!$G$495="","",[2]Baskol!$G$495)</f>
        <v/>
      </c>
      <c r="Z492">
        <f>IF([2]Baskol!$I$495="","",[2]Baskol!$I$495)</f>
        <v/>
      </c>
      <c r="AA492">
        <f>IF([2]Baskol!$J$495="","",[2]Baskol!$J$495)</f>
        <v/>
      </c>
      <c r="AB492">
        <f>IF([2]Baskol!$K$495="","",[2]Baskol!$K$495)</f>
        <v/>
      </c>
      <c r="AC492">
        <f>IF([2]Baskol!$L$495="","",[2]Baskol!$L$495)</f>
        <v/>
      </c>
      <c r="AD492">
        <f>IF([2]Baskol!$N$495="","",[2]Baskol!$N$495)</f>
        <v/>
      </c>
      <c r="AE492">
        <f>IF([2]Baskol!$O$495="","",[2]Baskol!$O$495)</f>
        <v/>
      </c>
      <c r="AG492">
        <f>IF([3]Entry!$C$495="","",[3]Entry!$C$495)</f>
        <v/>
      </c>
      <c r="AH492">
        <f>IF([3]Entry!$D$495="","",[3]Entry!$D$495)</f>
        <v/>
      </c>
      <c r="AI492">
        <f>IF([3]Entry!$E$495="","",[3]Entry!$E$495)</f>
        <v/>
      </c>
      <c r="AJ492">
        <f>IF([3]Entry!$G$495="","",[3]Entry!$G$495)</f>
        <v/>
      </c>
      <c r="AK492">
        <f>IF([3]Entry!$K$495="","",[3]Entry!$K$495)</f>
        <v/>
      </c>
      <c r="AL492">
        <f>IF([3]Entry!$L$495="","",[3]Entry!$L$495)</f>
        <v/>
      </c>
      <c r="AM492">
        <f>IF([3]Entry!$M$495="","",[3]Entry!$M$495)</f>
        <v/>
      </c>
      <c r="AN492">
        <f>IF([3]Entry!$N$495="","",[3]Entry!$N$495)</f>
        <v/>
      </c>
      <c r="AO492">
        <f>IF([3]Entry!$R$495="","",[3]Entry!$R$495)</f>
        <v/>
      </c>
      <c r="AQ492">
        <f>IF(AND($D492&lt;&gt;"",$A492&lt;&gt;""),1,0)</f>
        <v/>
      </c>
      <c r="AR492">
        <f>SUM($AQ$6:$AQ492)</f>
        <v/>
      </c>
      <c r="AS492">
        <f>IFERROR(INDEX($A$6:$A$565,MATCH(ROW()-5,$AR$6:$AR$565,0)),"")</f>
        <v/>
      </c>
    </row>
    <row r="493">
      <c r="A493">
        <f>IF([1]Accounts!$D$494="","",[1]Accounts!$A$494)</f>
        <v/>
      </c>
      <c r="B493">
        <f>IF([1]Accounts!$D$494="","",[1]Accounts!$B$494)</f>
        <v/>
      </c>
      <c r="C493">
        <f>IF([1]Accounts!$D$494="","",[1]Accounts!$C$494)</f>
        <v/>
      </c>
      <c r="D493">
        <f>IF([1]Accounts!$D$494="","",[1]Accounts!$D$494)</f>
        <v/>
      </c>
      <c r="E493">
        <f>IF([1]Accounts!$D$494="","",[1]Accounts!$J$494)</f>
        <v/>
      </c>
      <c r="F493">
        <f>IF([1]Accounts!$D$494="","",[1]Accounts!$K$494)</f>
        <v/>
      </c>
      <c r="U493">
        <f>IF([2]Baskol!$B$496="","",[2]Baskol!$B$496)</f>
        <v/>
      </c>
      <c r="V493">
        <f>IF([2]Baskol!$C$496="","",[2]Baskol!$C$496)</f>
        <v/>
      </c>
      <c r="W493">
        <f>IF([2]Baskol!$D$496="","",[2]Baskol!$D$496)</f>
        <v/>
      </c>
      <c r="X493">
        <f>IF([2]Baskol!$E$496="","",[2]Baskol!$E$496)</f>
        <v/>
      </c>
      <c r="Y493">
        <f>IF([2]Baskol!$G$496="","",[2]Baskol!$G$496)</f>
        <v/>
      </c>
      <c r="Z493">
        <f>IF([2]Baskol!$I$496="","",[2]Baskol!$I$496)</f>
        <v/>
      </c>
      <c r="AA493">
        <f>IF([2]Baskol!$J$496="","",[2]Baskol!$J$496)</f>
        <v/>
      </c>
      <c r="AB493">
        <f>IF([2]Baskol!$K$496="","",[2]Baskol!$K$496)</f>
        <v/>
      </c>
      <c r="AC493">
        <f>IF([2]Baskol!$L$496="","",[2]Baskol!$L$496)</f>
        <v/>
      </c>
      <c r="AD493">
        <f>IF([2]Baskol!$N$496="","",[2]Baskol!$N$496)</f>
        <v/>
      </c>
      <c r="AE493">
        <f>IF([2]Baskol!$O$496="","",[2]Baskol!$O$496)</f>
        <v/>
      </c>
      <c r="AG493">
        <f>IF([3]Entry!$C$496="","",[3]Entry!$C$496)</f>
        <v/>
      </c>
      <c r="AH493">
        <f>IF([3]Entry!$D$496="","",[3]Entry!$D$496)</f>
        <v/>
      </c>
      <c r="AI493">
        <f>IF([3]Entry!$E$496="","",[3]Entry!$E$496)</f>
        <v/>
      </c>
      <c r="AJ493">
        <f>IF([3]Entry!$G$496="","",[3]Entry!$G$496)</f>
        <v/>
      </c>
      <c r="AK493">
        <f>IF([3]Entry!$K$496="","",[3]Entry!$K$496)</f>
        <v/>
      </c>
      <c r="AL493">
        <f>IF([3]Entry!$L$496="","",[3]Entry!$L$496)</f>
        <v/>
      </c>
      <c r="AM493">
        <f>IF([3]Entry!$M$496="","",[3]Entry!$M$496)</f>
        <v/>
      </c>
      <c r="AN493">
        <f>IF([3]Entry!$N$496="","",[3]Entry!$N$496)</f>
        <v/>
      </c>
      <c r="AO493">
        <f>IF([3]Entry!$R$496="","",[3]Entry!$R$496)</f>
        <v/>
      </c>
      <c r="AQ493">
        <f>IF(AND($D493&lt;&gt;"",$A493&lt;&gt;""),1,0)</f>
        <v/>
      </c>
      <c r="AR493">
        <f>SUM($AQ$6:$AQ493)</f>
        <v/>
      </c>
      <c r="AS493">
        <f>IFERROR(INDEX($A$6:$A$565,MATCH(ROW()-5,$AR$6:$AR$565,0)),"")</f>
        <v/>
      </c>
    </row>
    <row r="494">
      <c r="A494">
        <f>IF([1]Accounts!$D$495="","",[1]Accounts!$A$495)</f>
        <v/>
      </c>
      <c r="B494">
        <f>IF([1]Accounts!$D$495="","",[1]Accounts!$B$495)</f>
        <v/>
      </c>
      <c r="C494">
        <f>IF([1]Accounts!$D$495="","",[1]Accounts!$C$495)</f>
        <v/>
      </c>
      <c r="D494">
        <f>IF([1]Accounts!$D$495="","",[1]Accounts!$D$495)</f>
        <v/>
      </c>
      <c r="E494">
        <f>IF([1]Accounts!$D$495="","",[1]Accounts!$J$495)</f>
        <v/>
      </c>
      <c r="F494">
        <f>IF([1]Accounts!$D$495="","",[1]Accounts!$K$495)</f>
        <v/>
      </c>
      <c r="U494">
        <f>IF([2]Baskol!$B$497="","",[2]Baskol!$B$497)</f>
        <v/>
      </c>
      <c r="V494">
        <f>IF([2]Baskol!$C$497="","",[2]Baskol!$C$497)</f>
        <v/>
      </c>
      <c r="W494">
        <f>IF([2]Baskol!$D$497="","",[2]Baskol!$D$497)</f>
        <v/>
      </c>
      <c r="X494">
        <f>IF([2]Baskol!$E$497="","",[2]Baskol!$E$497)</f>
        <v/>
      </c>
      <c r="Y494">
        <f>IF([2]Baskol!$G$497="","",[2]Baskol!$G$497)</f>
        <v/>
      </c>
      <c r="Z494">
        <f>IF([2]Baskol!$I$497="","",[2]Baskol!$I$497)</f>
        <v/>
      </c>
      <c r="AA494">
        <f>IF([2]Baskol!$J$497="","",[2]Baskol!$J$497)</f>
        <v/>
      </c>
      <c r="AB494">
        <f>IF([2]Baskol!$K$497="","",[2]Baskol!$K$497)</f>
        <v/>
      </c>
      <c r="AC494">
        <f>IF([2]Baskol!$L$497="","",[2]Baskol!$L$497)</f>
        <v/>
      </c>
      <c r="AD494">
        <f>IF([2]Baskol!$N$497="","",[2]Baskol!$N$497)</f>
        <v/>
      </c>
      <c r="AE494">
        <f>IF([2]Baskol!$O$497="","",[2]Baskol!$O$497)</f>
        <v/>
      </c>
      <c r="AG494">
        <f>IF([3]Entry!$C$497="","",[3]Entry!$C$497)</f>
        <v/>
      </c>
      <c r="AH494">
        <f>IF([3]Entry!$D$497="","",[3]Entry!$D$497)</f>
        <v/>
      </c>
      <c r="AI494">
        <f>IF([3]Entry!$E$497="","",[3]Entry!$E$497)</f>
        <v/>
      </c>
      <c r="AJ494">
        <f>IF([3]Entry!$G$497="","",[3]Entry!$G$497)</f>
        <v/>
      </c>
      <c r="AK494">
        <f>IF([3]Entry!$K$497="","",[3]Entry!$K$497)</f>
        <v/>
      </c>
      <c r="AL494">
        <f>IF([3]Entry!$L$497="","",[3]Entry!$L$497)</f>
        <v/>
      </c>
      <c r="AM494">
        <f>IF([3]Entry!$M$497="","",[3]Entry!$M$497)</f>
        <v/>
      </c>
      <c r="AN494">
        <f>IF([3]Entry!$N$497="","",[3]Entry!$N$497)</f>
        <v/>
      </c>
      <c r="AO494">
        <f>IF([3]Entry!$R$497="","",[3]Entry!$R$497)</f>
        <v/>
      </c>
      <c r="AQ494">
        <f>IF(AND($D494&lt;&gt;"",$A494&lt;&gt;""),1,0)</f>
        <v/>
      </c>
      <c r="AR494">
        <f>SUM($AQ$6:$AQ494)</f>
        <v/>
      </c>
      <c r="AS494">
        <f>IFERROR(INDEX($A$6:$A$565,MATCH(ROW()-5,$AR$6:$AR$565,0)),"")</f>
        <v/>
      </c>
    </row>
    <row r="495">
      <c r="A495">
        <f>IF([1]Accounts!$D$496="","",[1]Accounts!$A$496)</f>
        <v/>
      </c>
      <c r="B495">
        <f>IF([1]Accounts!$D$496="","",[1]Accounts!$B$496)</f>
        <v/>
      </c>
      <c r="C495">
        <f>IF([1]Accounts!$D$496="","",[1]Accounts!$C$496)</f>
        <v/>
      </c>
      <c r="D495">
        <f>IF([1]Accounts!$D$496="","",[1]Accounts!$D$496)</f>
        <v/>
      </c>
      <c r="E495">
        <f>IF([1]Accounts!$D$496="","",[1]Accounts!$J$496)</f>
        <v/>
      </c>
      <c r="F495">
        <f>IF([1]Accounts!$D$496="","",[1]Accounts!$K$496)</f>
        <v/>
      </c>
      <c r="U495">
        <f>IF([2]Baskol!$B$498="","",[2]Baskol!$B$498)</f>
        <v/>
      </c>
      <c r="V495">
        <f>IF([2]Baskol!$C$498="","",[2]Baskol!$C$498)</f>
        <v/>
      </c>
      <c r="W495">
        <f>IF([2]Baskol!$D$498="","",[2]Baskol!$D$498)</f>
        <v/>
      </c>
      <c r="X495">
        <f>IF([2]Baskol!$E$498="","",[2]Baskol!$E$498)</f>
        <v/>
      </c>
      <c r="Y495">
        <f>IF([2]Baskol!$G$498="","",[2]Baskol!$G$498)</f>
        <v/>
      </c>
      <c r="Z495">
        <f>IF([2]Baskol!$I$498="","",[2]Baskol!$I$498)</f>
        <v/>
      </c>
      <c r="AA495">
        <f>IF([2]Baskol!$J$498="","",[2]Baskol!$J$498)</f>
        <v/>
      </c>
      <c r="AB495">
        <f>IF([2]Baskol!$K$498="","",[2]Baskol!$K$498)</f>
        <v/>
      </c>
      <c r="AC495">
        <f>IF([2]Baskol!$L$498="","",[2]Baskol!$L$498)</f>
        <v/>
      </c>
      <c r="AD495">
        <f>IF([2]Baskol!$N$498="","",[2]Baskol!$N$498)</f>
        <v/>
      </c>
      <c r="AE495">
        <f>IF([2]Baskol!$O$498="","",[2]Baskol!$O$498)</f>
        <v/>
      </c>
      <c r="AG495">
        <f>IF([3]Entry!$C$498="","",[3]Entry!$C$498)</f>
        <v/>
      </c>
      <c r="AH495">
        <f>IF([3]Entry!$D$498="","",[3]Entry!$D$498)</f>
        <v/>
      </c>
      <c r="AI495">
        <f>IF([3]Entry!$E$498="","",[3]Entry!$E$498)</f>
        <v/>
      </c>
      <c r="AJ495">
        <f>IF([3]Entry!$G$498="","",[3]Entry!$G$498)</f>
        <v/>
      </c>
      <c r="AK495">
        <f>IF([3]Entry!$K$498="","",[3]Entry!$K$498)</f>
        <v/>
      </c>
      <c r="AL495">
        <f>IF([3]Entry!$L$498="","",[3]Entry!$L$498)</f>
        <v/>
      </c>
      <c r="AM495">
        <f>IF([3]Entry!$M$498="","",[3]Entry!$M$498)</f>
        <v/>
      </c>
      <c r="AN495">
        <f>IF([3]Entry!$N$498="","",[3]Entry!$N$498)</f>
        <v/>
      </c>
      <c r="AO495">
        <f>IF([3]Entry!$R$498="","",[3]Entry!$R$498)</f>
        <v/>
      </c>
      <c r="AQ495">
        <f>IF(AND($D495&lt;&gt;"",$A495&lt;&gt;""),1,0)</f>
        <v/>
      </c>
      <c r="AR495">
        <f>SUM($AQ$6:$AQ495)</f>
        <v/>
      </c>
      <c r="AS495">
        <f>IFERROR(INDEX($A$6:$A$565,MATCH(ROW()-5,$AR$6:$AR$565,0)),"")</f>
        <v/>
      </c>
    </row>
    <row r="496">
      <c r="A496">
        <f>IF([1]Accounts!$D$497="","",[1]Accounts!$A$497)</f>
        <v/>
      </c>
      <c r="B496">
        <f>IF([1]Accounts!$D$497="","",[1]Accounts!$B$497)</f>
        <v/>
      </c>
      <c r="C496">
        <f>IF([1]Accounts!$D$497="","",[1]Accounts!$C$497)</f>
        <v/>
      </c>
      <c r="D496">
        <f>IF([1]Accounts!$D$497="","",[1]Accounts!$D$497)</f>
        <v/>
      </c>
      <c r="E496">
        <f>IF([1]Accounts!$D$497="","",[1]Accounts!$J$497)</f>
        <v/>
      </c>
      <c r="F496">
        <f>IF([1]Accounts!$D$497="","",[1]Accounts!$K$497)</f>
        <v/>
      </c>
      <c r="U496">
        <f>IF([2]Baskol!$B$499="","",[2]Baskol!$B$499)</f>
        <v/>
      </c>
      <c r="V496">
        <f>IF([2]Baskol!$C$499="","",[2]Baskol!$C$499)</f>
        <v/>
      </c>
      <c r="W496">
        <f>IF([2]Baskol!$D$499="","",[2]Baskol!$D$499)</f>
        <v/>
      </c>
      <c r="X496">
        <f>IF([2]Baskol!$E$499="","",[2]Baskol!$E$499)</f>
        <v/>
      </c>
      <c r="Y496">
        <f>IF([2]Baskol!$G$499="","",[2]Baskol!$G$499)</f>
        <v/>
      </c>
      <c r="Z496">
        <f>IF([2]Baskol!$I$499="","",[2]Baskol!$I$499)</f>
        <v/>
      </c>
      <c r="AA496">
        <f>IF([2]Baskol!$J$499="","",[2]Baskol!$J$499)</f>
        <v/>
      </c>
      <c r="AB496">
        <f>IF([2]Baskol!$K$499="","",[2]Baskol!$K$499)</f>
        <v/>
      </c>
      <c r="AC496">
        <f>IF([2]Baskol!$L$499="","",[2]Baskol!$L$499)</f>
        <v/>
      </c>
      <c r="AD496">
        <f>IF([2]Baskol!$N$499="","",[2]Baskol!$N$499)</f>
        <v/>
      </c>
      <c r="AE496">
        <f>IF([2]Baskol!$O$499="","",[2]Baskol!$O$499)</f>
        <v/>
      </c>
      <c r="AG496">
        <f>IF([3]Entry!$C$499="","",[3]Entry!$C$499)</f>
        <v/>
      </c>
      <c r="AH496">
        <f>IF([3]Entry!$D$499="","",[3]Entry!$D$499)</f>
        <v/>
      </c>
      <c r="AI496">
        <f>IF([3]Entry!$E$499="","",[3]Entry!$E$499)</f>
        <v/>
      </c>
      <c r="AJ496">
        <f>IF([3]Entry!$G$499="","",[3]Entry!$G$499)</f>
        <v/>
      </c>
      <c r="AK496">
        <f>IF([3]Entry!$K$499="","",[3]Entry!$K$499)</f>
        <v/>
      </c>
      <c r="AL496">
        <f>IF([3]Entry!$L$499="","",[3]Entry!$L$499)</f>
        <v/>
      </c>
      <c r="AM496">
        <f>IF([3]Entry!$M$499="","",[3]Entry!$M$499)</f>
        <v/>
      </c>
      <c r="AN496">
        <f>IF([3]Entry!$N$499="","",[3]Entry!$N$499)</f>
        <v/>
      </c>
      <c r="AO496">
        <f>IF([3]Entry!$R$499="","",[3]Entry!$R$499)</f>
        <v/>
      </c>
      <c r="AQ496">
        <f>IF(AND($D496&lt;&gt;"",$A496&lt;&gt;""),1,0)</f>
        <v/>
      </c>
      <c r="AR496">
        <f>SUM($AQ$6:$AQ496)</f>
        <v/>
      </c>
      <c r="AS496">
        <f>IFERROR(INDEX($A$6:$A$565,MATCH(ROW()-5,$AR$6:$AR$565,0)),"")</f>
        <v/>
      </c>
    </row>
    <row r="497">
      <c r="A497">
        <f>IF([1]Accounts!$D$498="","",[1]Accounts!$A$498)</f>
        <v/>
      </c>
      <c r="B497">
        <f>IF([1]Accounts!$D$498="","",[1]Accounts!$B$498)</f>
        <v/>
      </c>
      <c r="C497">
        <f>IF([1]Accounts!$D$498="","",[1]Accounts!$C$498)</f>
        <v/>
      </c>
      <c r="D497">
        <f>IF([1]Accounts!$D$498="","",[1]Accounts!$D$498)</f>
        <v/>
      </c>
      <c r="E497">
        <f>IF([1]Accounts!$D$498="","",[1]Accounts!$J$498)</f>
        <v/>
      </c>
      <c r="F497">
        <f>IF([1]Accounts!$D$498="","",[1]Accounts!$K$498)</f>
        <v/>
      </c>
      <c r="U497">
        <f>IF([2]Baskol!$B$500="","",[2]Baskol!$B$500)</f>
        <v/>
      </c>
      <c r="V497">
        <f>IF([2]Baskol!$C$500="","",[2]Baskol!$C$500)</f>
        <v/>
      </c>
      <c r="W497">
        <f>IF([2]Baskol!$D$500="","",[2]Baskol!$D$500)</f>
        <v/>
      </c>
      <c r="X497">
        <f>IF([2]Baskol!$E$500="","",[2]Baskol!$E$500)</f>
        <v/>
      </c>
      <c r="Y497">
        <f>IF([2]Baskol!$G$500="","",[2]Baskol!$G$500)</f>
        <v/>
      </c>
      <c r="Z497">
        <f>IF([2]Baskol!$I$500="","",[2]Baskol!$I$500)</f>
        <v/>
      </c>
      <c r="AA497">
        <f>IF([2]Baskol!$J$500="","",[2]Baskol!$J$500)</f>
        <v/>
      </c>
      <c r="AB497">
        <f>IF([2]Baskol!$K$500="","",[2]Baskol!$K$500)</f>
        <v/>
      </c>
      <c r="AC497">
        <f>IF([2]Baskol!$L$500="","",[2]Baskol!$L$500)</f>
        <v/>
      </c>
      <c r="AD497">
        <f>IF([2]Baskol!$N$500="","",[2]Baskol!$N$500)</f>
        <v/>
      </c>
      <c r="AE497">
        <f>IF([2]Baskol!$O$500="","",[2]Baskol!$O$500)</f>
        <v/>
      </c>
      <c r="AG497">
        <f>IF([3]Entry!$C$500="","",[3]Entry!$C$500)</f>
        <v/>
      </c>
      <c r="AH497">
        <f>IF([3]Entry!$D$500="","",[3]Entry!$D$500)</f>
        <v/>
      </c>
      <c r="AI497">
        <f>IF([3]Entry!$E$500="","",[3]Entry!$E$500)</f>
        <v/>
      </c>
      <c r="AJ497">
        <f>IF([3]Entry!$G$500="","",[3]Entry!$G$500)</f>
        <v/>
      </c>
      <c r="AK497">
        <f>IF([3]Entry!$K$500="","",[3]Entry!$K$500)</f>
        <v/>
      </c>
      <c r="AL497">
        <f>IF([3]Entry!$L$500="","",[3]Entry!$L$500)</f>
        <v/>
      </c>
      <c r="AM497">
        <f>IF([3]Entry!$M$500="","",[3]Entry!$M$500)</f>
        <v/>
      </c>
      <c r="AN497">
        <f>IF([3]Entry!$N$500="","",[3]Entry!$N$500)</f>
        <v/>
      </c>
      <c r="AO497">
        <f>IF([3]Entry!$R$500="","",[3]Entry!$R$500)</f>
        <v/>
      </c>
      <c r="AQ497">
        <f>IF(AND($D497&lt;&gt;"",$A497&lt;&gt;""),1,0)</f>
        <v/>
      </c>
      <c r="AR497">
        <f>SUM($AQ$6:$AQ497)</f>
        <v/>
      </c>
      <c r="AS497">
        <f>IFERROR(INDEX($A$6:$A$565,MATCH(ROW()-5,$AR$6:$AR$565,0)),"")</f>
        <v/>
      </c>
    </row>
    <row r="498">
      <c r="A498">
        <f>IF([1]Accounts!$D$499="","",[1]Accounts!$A$499)</f>
        <v/>
      </c>
      <c r="B498">
        <f>IF([1]Accounts!$D$499="","",[1]Accounts!$B$499)</f>
        <v/>
      </c>
      <c r="C498">
        <f>IF([1]Accounts!$D$499="","",[1]Accounts!$C$499)</f>
        <v/>
      </c>
      <c r="D498">
        <f>IF([1]Accounts!$D$499="","",[1]Accounts!$D$499)</f>
        <v/>
      </c>
      <c r="E498">
        <f>IF([1]Accounts!$D$499="","",[1]Accounts!$J$499)</f>
        <v/>
      </c>
      <c r="F498">
        <f>IF([1]Accounts!$D$499="","",[1]Accounts!$K$499)</f>
        <v/>
      </c>
      <c r="U498">
        <f>IF([2]Baskol!$B$501="","",[2]Baskol!$B$501)</f>
        <v/>
      </c>
      <c r="V498">
        <f>IF([2]Baskol!$C$501="","",[2]Baskol!$C$501)</f>
        <v/>
      </c>
      <c r="W498">
        <f>IF([2]Baskol!$D$501="","",[2]Baskol!$D$501)</f>
        <v/>
      </c>
      <c r="X498">
        <f>IF([2]Baskol!$E$501="","",[2]Baskol!$E$501)</f>
        <v/>
      </c>
      <c r="Y498">
        <f>IF([2]Baskol!$G$501="","",[2]Baskol!$G$501)</f>
        <v/>
      </c>
      <c r="Z498">
        <f>IF([2]Baskol!$I$501="","",[2]Baskol!$I$501)</f>
        <v/>
      </c>
      <c r="AA498">
        <f>IF([2]Baskol!$J$501="","",[2]Baskol!$J$501)</f>
        <v/>
      </c>
      <c r="AB498">
        <f>IF([2]Baskol!$K$501="","",[2]Baskol!$K$501)</f>
        <v/>
      </c>
      <c r="AC498">
        <f>IF([2]Baskol!$L$501="","",[2]Baskol!$L$501)</f>
        <v/>
      </c>
      <c r="AD498">
        <f>IF([2]Baskol!$N$501="","",[2]Baskol!$N$501)</f>
        <v/>
      </c>
      <c r="AE498">
        <f>IF([2]Baskol!$O$501="","",[2]Baskol!$O$501)</f>
        <v/>
      </c>
      <c r="AG498">
        <f>IF([3]Entry!$C$501="","",[3]Entry!$C$501)</f>
        <v/>
      </c>
      <c r="AH498">
        <f>IF([3]Entry!$D$501="","",[3]Entry!$D$501)</f>
        <v/>
      </c>
      <c r="AI498">
        <f>IF([3]Entry!$E$501="","",[3]Entry!$E$501)</f>
        <v/>
      </c>
      <c r="AJ498">
        <f>IF([3]Entry!$G$501="","",[3]Entry!$G$501)</f>
        <v/>
      </c>
      <c r="AK498">
        <f>IF([3]Entry!$K$501="","",[3]Entry!$K$501)</f>
        <v/>
      </c>
      <c r="AL498">
        <f>IF([3]Entry!$L$501="","",[3]Entry!$L$501)</f>
        <v/>
      </c>
      <c r="AM498">
        <f>IF([3]Entry!$M$501="","",[3]Entry!$M$501)</f>
        <v/>
      </c>
      <c r="AN498">
        <f>IF([3]Entry!$N$501="","",[3]Entry!$N$501)</f>
        <v/>
      </c>
      <c r="AO498">
        <f>IF([3]Entry!$R$501="","",[3]Entry!$R$501)</f>
        <v/>
      </c>
      <c r="AQ498">
        <f>IF(AND($D498&lt;&gt;"",$A498&lt;&gt;""),1,0)</f>
        <v/>
      </c>
      <c r="AR498">
        <f>SUM($AQ$6:$AQ498)</f>
        <v/>
      </c>
      <c r="AS498">
        <f>IFERROR(INDEX($A$6:$A$565,MATCH(ROW()-5,$AR$6:$AR$565,0)),"")</f>
        <v/>
      </c>
    </row>
    <row r="499">
      <c r="A499">
        <f>IF([1]Accounts!$D$500="","",[1]Accounts!$A$500)</f>
        <v/>
      </c>
      <c r="B499">
        <f>IF([1]Accounts!$D$500="","",[1]Accounts!$B$500)</f>
        <v/>
      </c>
      <c r="C499">
        <f>IF([1]Accounts!$D$500="","",[1]Accounts!$C$500)</f>
        <v/>
      </c>
      <c r="D499">
        <f>IF([1]Accounts!$D$500="","",[1]Accounts!$D$500)</f>
        <v/>
      </c>
      <c r="E499">
        <f>IF([1]Accounts!$D$500="","",[1]Accounts!$J$500)</f>
        <v/>
      </c>
      <c r="F499">
        <f>IF([1]Accounts!$D$500="","",[1]Accounts!$K$500)</f>
        <v/>
      </c>
      <c r="U499">
        <f>IF([2]Baskol!$B$502="","",[2]Baskol!$B$502)</f>
        <v/>
      </c>
      <c r="V499">
        <f>IF([2]Baskol!$C$502="","",[2]Baskol!$C$502)</f>
        <v/>
      </c>
      <c r="W499">
        <f>IF([2]Baskol!$D$502="","",[2]Baskol!$D$502)</f>
        <v/>
      </c>
      <c r="X499">
        <f>IF([2]Baskol!$E$502="","",[2]Baskol!$E$502)</f>
        <v/>
      </c>
      <c r="Y499">
        <f>IF([2]Baskol!$G$502="","",[2]Baskol!$G$502)</f>
        <v/>
      </c>
      <c r="Z499">
        <f>IF([2]Baskol!$I$502="","",[2]Baskol!$I$502)</f>
        <v/>
      </c>
      <c r="AA499">
        <f>IF([2]Baskol!$J$502="","",[2]Baskol!$J$502)</f>
        <v/>
      </c>
      <c r="AB499">
        <f>IF([2]Baskol!$K$502="","",[2]Baskol!$K$502)</f>
        <v/>
      </c>
      <c r="AC499">
        <f>IF([2]Baskol!$L$502="","",[2]Baskol!$L$502)</f>
        <v/>
      </c>
      <c r="AD499">
        <f>IF([2]Baskol!$N$502="","",[2]Baskol!$N$502)</f>
        <v/>
      </c>
      <c r="AE499">
        <f>IF([2]Baskol!$O$502="","",[2]Baskol!$O$502)</f>
        <v/>
      </c>
      <c r="AG499">
        <f>IF([3]Entry!$C$502="","",[3]Entry!$C$502)</f>
        <v/>
      </c>
      <c r="AH499">
        <f>IF([3]Entry!$D$502="","",[3]Entry!$D$502)</f>
        <v/>
      </c>
      <c r="AI499">
        <f>IF([3]Entry!$E$502="","",[3]Entry!$E$502)</f>
        <v/>
      </c>
      <c r="AJ499">
        <f>IF([3]Entry!$G$502="","",[3]Entry!$G$502)</f>
        <v/>
      </c>
      <c r="AK499">
        <f>IF([3]Entry!$K$502="","",[3]Entry!$K$502)</f>
        <v/>
      </c>
      <c r="AL499">
        <f>IF([3]Entry!$L$502="","",[3]Entry!$L$502)</f>
        <v/>
      </c>
      <c r="AM499">
        <f>IF([3]Entry!$M$502="","",[3]Entry!$M$502)</f>
        <v/>
      </c>
      <c r="AN499">
        <f>IF([3]Entry!$N$502="","",[3]Entry!$N$502)</f>
        <v/>
      </c>
      <c r="AO499">
        <f>IF([3]Entry!$R$502="","",[3]Entry!$R$502)</f>
        <v/>
      </c>
      <c r="AQ499">
        <f>IF(AND($D499&lt;&gt;"",$A499&lt;&gt;""),1,0)</f>
        <v/>
      </c>
      <c r="AR499">
        <f>SUM($AQ$6:$AQ499)</f>
        <v/>
      </c>
      <c r="AS499">
        <f>IFERROR(INDEX($A$6:$A$565,MATCH(ROW()-5,$AR$6:$AR$565,0)),"")</f>
        <v/>
      </c>
    </row>
    <row r="500">
      <c r="A500">
        <f>IF([1]Accounts!$D$501="","",[1]Accounts!$A$501)</f>
        <v/>
      </c>
      <c r="B500">
        <f>IF([1]Accounts!$D$501="","",[1]Accounts!$B$501)</f>
        <v/>
      </c>
      <c r="C500">
        <f>IF([1]Accounts!$D$501="","",[1]Accounts!$C$501)</f>
        <v/>
      </c>
      <c r="D500">
        <f>IF([1]Accounts!$D$501="","",[1]Accounts!$D$501)</f>
        <v/>
      </c>
      <c r="E500">
        <f>IF([1]Accounts!$D$501="","",[1]Accounts!$J$501)</f>
        <v/>
      </c>
      <c r="F500">
        <f>IF([1]Accounts!$D$501="","",[1]Accounts!$K$501)</f>
        <v/>
      </c>
      <c r="U500">
        <f>IF([2]Baskol!$B$503="","",[2]Baskol!$B$503)</f>
        <v/>
      </c>
      <c r="V500">
        <f>IF([2]Baskol!$C$503="","",[2]Baskol!$C$503)</f>
        <v/>
      </c>
      <c r="W500">
        <f>IF([2]Baskol!$D$503="","",[2]Baskol!$D$503)</f>
        <v/>
      </c>
      <c r="X500">
        <f>IF([2]Baskol!$E$503="","",[2]Baskol!$E$503)</f>
        <v/>
      </c>
      <c r="Y500">
        <f>IF([2]Baskol!$G$503="","",[2]Baskol!$G$503)</f>
        <v/>
      </c>
      <c r="Z500">
        <f>IF([2]Baskol!$I$503="","",[2]Baskol!$I$503)</f>
        <v/>
      </c>
      <c r="AA500">
        <f>IF([2]Baskol!$J$503="","",[2]Baskol!$J$503)</f>
        <v/>
      </c>
      <c r="AB500">
        <f>IF([2]Baskol!$K$503="","",[2]Baskol!$K$503)</f>
        <v/>
      </c>
      <c r="AC500">
        <f>IF([2]Baskol!$L$503="","",[2]Baskol!$L$503)</f>
        <v/>
      </c>
      <c r="AD500">
        <f>IF([2]Baskol!$N$503="","",[2]Baskol!$N$503)</f>
        <v/>
      </c>
      <c r="AE500">
        <f>IF([2]Baskol!$O$503="","",[2]Baskol!$O$503)</f>
        <v/>
      </c>
      <c r="AG500">
        <f>IF([3]Entry!$C$503="","",[3]Entry!$C$503)</f>
        <v/>
      </c>
      <c r="AH500">
        <f>IF([3]Entry!$D$503="","",[3]Entry!$D$503)</f>
        <v/>
      </c>
      <c r="AI500">
        <f>IF([3]Entry!$E$503="","",[3]Entry!$E$503)</f>
        <v/>
      </c>
      <c r="AJ500">
        <f>IF([3]Entry!$G$503="","",[3]Entry!$G$503)</f>
        <v/>
      </c>
      <c r="AK500">
        <f>IF([3]Entry!$K$503="","",[3]Entry!$K$503)</f>
        <v/>
      </c>
      <c r="AL500">
        <f>IF([3]Entry!$L$503="","",[3]Entry!$L$503)</f>
        <v/>
      </c>
      <c r="AM500">
        <f>IF([3]Entry!$M$503="","",[3]Entry!$M$503)</f>
        <v/>
      </c>
      <c r="AN500">
        <f>IF([3]Entry!$N$503="","",[3]Entry!$N$503)</f>
        <v/>
      </c>
      <c r="AO500">
        <f>IF([3]Entry!$R$503="","",[3]Entry!$R$503)</f>
        <v/>
      </c>
      <c r="AQ500">
        <f>IF(AND($D500&lt;&gt;"",$A500&lt;&gt;""),1,0)</f>
        <v/>
      </c>
      <c r="AR500">
        <f>SUM($AQ$6:$AQ500)</f>
        <v/>
      </c>
      <c r="AS500">
        <f>IFERROR(INDEX($A$6:$A$565,MATCH(ROW()-5,$AR$6:$AR$565,0)),"")</f>
        <v/>
      </c>
    </row>
    <row r="501">
      <c r="A501">
        <f>IF([1]Accounts!$D$502="","",[1]Accounts!$A$502)</f>
        <v/>
      </c>
      <c r="B501">
        <f>IF([1]Accounts!$D$502="","",[1]Accounts!$B$502)</f>
        <v/>
      </c>
      <c r="C501">
        <f>IF([1]Accounts!$D$502="","",[1]Accounts!$C$502)</f>
        <v/>
      </c>
      <c r="D501">
        <f>IF([1]Accounts!$D$502="","",[1]Accounts!$D$502)</f>
        <v/>
      </c>
      <c r="E501">
        <f>IF([1]Accounts!$D$502="","",[1]Accounts!$J$502)</f>
        <v/>
      </c>
      <c r="F501">
        <f>IF([1]Accounts!$D$502="","",[1]Accounts!$K$502)</f>
        <v/>
      </c>
      <c r="U501">
        <f>IF([2]Baskol!$B$504="","",[2]Baskol!$B$504)</f>
        <v/>
      </c>
      <c r="V501">
        <f>IF([2]Baskol!$C$504="","",[2]Baskol!$C$504)</f>
        <v/>
      </c>
      <c r="W501">
        <f>IF([2]Baskol!$D$504="","",[2]Baskol!$D$504)</f>
        <v/>
      </c>
      <c r="X501">
        <f>IF([2]Baskol!$E$504="","",[2]Baskol!$E$504)</f>
        <v/>
      </c>
      <c r="Y501">
        <f>IF([2]Baskol!$G$504="","",[2]Baskol!$G$504)</f>
        <v/>
      </c>
      <c r="Z501">
        <f>IF([2]Baskol!$I$504="","",[2]Baskol!$I$504)</f>
        <v/>
      </c>
      <c r="AA501">
        <f>IF([2]Baskol!$J$504="","",[2]Baskol!$J$504)</f>
        <v/>
      </c>
      <c r="AB501">
        <f>IF([2]Baskol!$K$504="","",[2]Baskol!$K$504)</f>
        <v/>
      </c>
      <c r="AC501">
        <f>IF([2]Baskol!$L$504="","",[2]Baskol!$L$504)</f>
        <v/>
      </c>
      <c r="AD501">
        <f>IF([2]Baskol!$N$504="","",[2]Baskol!$N$504)</f>
        <v/>
      </c>
      <c r="AE501">
        <f>IF([2]Baskol!$O$504="","",[2]Baskol!$O$504)</f>
        <v/>
      </c>
      <c r="AG501">
        <f>IF([3]Entry!$C$504="","",[3]Entry!$C$504)</f>
        <v/>
      </c>
      <c r="AH501">
        <f>IF([3]Entry!$D$504="","",[3]Entry!$D$504)</f>
        <v/>
      </c>
      <c r="AI501">
        <f>IF([3]Entry!$E$504="","",[3]Entry!$E$504)</f>
        <v/>
      </c>
      <c r="AJ501">
        <f>IF([3]Entry!$G$504="","",[3]Entry!$G$504)</f>
        <v/>
      </c>
      <c r="AK501">
        <f>IF([3]Entry!$K$504="","",[3]Entry!$K$504)</f>
        <v/>
      </c>
      <c r="AL501">
        <f>IF([3]Entry!$L$504="","",[3]Entry!$L$504)</f>
        <v/>
      </c>
      <c r="AM501">
        <f>IF([3]Entry!$M$504="","",[3]Entry!$M$504)</f>
        <v/>
      </c>
      <c r="AN501">
        <f>IF([3]Entry!$N$504="","",[3]Entry!$N$504)</f>
        <v/>
      </c>
      <c r="AO501">
        <f>IF([3]Entry!$R$504="","",[3]Entry!$R$504)</f>
        <v/>
      </c>
      <c r="AQ501">
        <f>IF(AND($D501&lt;&gt;"",$A501&lt;&gt;""),1,0)</f>
        <v/>
      </c>
      <c r="AR501">
        <f>SUM($AQ$6:$AQ501)</f>
        <v/>
      </c>
      <c r="AS501">
        <f>IFERROR(INDEX($A$6:$A$565,MATCH(ROW()-5,$AR$6:$AR$565,0)),"")</f>
        <v/>
      </c>
    </row>
    <row r="502">
      <c r="A502">
        <f>IF([1]Accounts!$D$503="","",[1]Accounts!$A$503)</f>
        <v/>
      </c>
      <c r="B502">
        <f>IF([1]Accounts!$D$503="","",[1]Accounts!$B$503)</f>
        <v/>
      </c>
      <c r="C502">
        <f>IF([1]Accounts!$D$503="","",[1]Accounts!$C$503)</f>
        <v/>
      </c>
      <c r="D502">
        <f>IF([1]Accounts!$D$503="","",[1]Accounts!$D$503)</f>
        <v/>
      </c>
      <c r="E502">
        <f>IF([1]Accounts!$D$503="","",[1]Accounts!$J$503)</f>
        <v/>
      </c>
      <c r="F502">
        <f>IF([1]Accounts!$D$503="","",[1]Accounts!$K$503)</f>
        <v/>
      </c>
      <c r="U502">
        <f>IF([2]Baskol!$B$505="","",[2]Baskol!$B$505)</f>
        <v/>
      </c>
      <c r="V502">
        <f>IF([2]Baskol!$C$505="","",[2]Baskol!$C$505)</f>
        <v/>
      </c>
      <c r="W502">
        <f>IF([2]Baskol!$D$505="","",[2]Baskol!$D$505)</f>
        <v/>
      </c>
      <c r="X502">
        <f>IF([2]Baskol!$E$505="","",[2]Baskol!$E$505)</f>
        <v/>
      </c>
      <c r="Y502">
        <f>IF([2]Baskol!$G$505="","",[2]Baskol!$G$505)</f>
        <v/>
      </c>
      <c r="Z502">
        <f>IF([2]Baskol!$I$505="","",[2]Baskol!$I$505)</f>
        <v/>
      </c>
      <c r="AA502">
        <f>IF([2]Baskol!$J$505="","",[2]Baskol!$J$505)</f>
        <v/>
      </c>
      <c r="AB502">
        <f>IF([2]Baskol!$K$505="","",[2]Baskol!$K$505)</f>
        <v/>
      </c>
      <c r="AC502">
        <f>IF([2]Baskol!$L$505="","",[2]Baskol!$L$505)</f>
        <v/>
      </c>
      <c r="AD502">
        <f>IF([2]Baskol!$N$505="","",[2]Baskol!$N$505)</f>
        <v/>
      </c>
      <c r="AE502">
        <f>IF([2]Baskol!$O$505="","",[2]Baskol!$O$505)</f>
        <v/>
      </c>
      <c r="AG502">
        <f>IF([3]Entry!$C$505="","",[3]Entry!$C$505)</f>
        <v/>
      </c>
      <c r="AH502">
        <f>IF([3]Entry!$D$505="","",[3]Entry!$D$505)</f>
        <v/>
      </c>
      <c r="AI502">
        <f>IF([3]Entry!$E$505="","",[3]Entry!$E$505)</f>
        <v/>
      </c>
      <c r="AJ502">
        <f>IF([3]Entry!$G$505="","",[3]Entry!$G$505)</f>
        <v/>
      </c>
      <c r="AK502">
        <f>IF([3]Entry!$K$505="","",[3]Entry!$K$505)</f>
        <v/>
      </c>
      <c r="AL502">
        <f>IF([3]Entry!$L$505="","",[3]Entry!$L$505)</f>
        <v/>
      </c>
      <c r="AM502">
        <f>IF([3]Entry!$M$505="","",[3]Entry!$M$505)</f>
        <v/>
      </c>
      <c r="AN502">
        <f>IF([3]Entry!$N$505="","",[3]Entry!$N$505)</f>
        <v/>
      </c>
      <c r="AO502">
        <f>IF([3]Entry!$R$505="","",[3]Entry!$R$505)</f>
        <v/>
      </c>
      <c r="AQ502">
        <f>IF(AND($D502&lt;&gt;"",$A502&lt;&gt;""),1,0)</f>
        <v/>
      </c>
      <c r="AR502">
        <f>SUM($AQ$6:$AQ502)</f>
        <v/>
      </c>
      <c r="AS502">
        <f>IFERROR(INDEX($A$6:$A$565,MATCH(ROW()-5,$AR$6:$AR$565,0)),"")</f>
        <v/>
      </c>
    </row>
    <row r="503">
      <c r="A503">
        <f>IF([1]Accounts!$D$504="","",[1]Accounts!$A$504)</f>
        <v/>
      </c>
      <c r="B503">
        <f>IF([1]Accounts!$D$504="","",[1]Accounts!$B$504)</f>
        <v/>
      </c>
      <c r="C503">
        <f>IF([1]Accounts!$D$504="","",[1]Accounts!$C$504)</f>
        <v/>
      </c>
      <c r="D503">
        <f>IF([1]Accounts!$D$504="","",[1]Accounts!$D$504)</f>
        <v/>
      </c>
      <c r="E503">
        <f>IF([1]Accounts!$D$504="","",[1]Accounts!$J$504)</f>
        <v/>
      </c>
      <c r="F503">
        <f>IF([1]Accounts!$D$504="","",[1]Accounts!$K$504)</f>
        <v/>
      </c>
      <c r="U503">
        <f>IF([2]Baskol!$B$506="","",[2]Baskol!$B$506)</f>
        <v/>
      </c>
      <c r="V503">
        <f>IF([2]Baskol!$C$506="","",[2]Baskol!$C$506)</f>
        <v/>
      </c>
      <c r="W503">
        <f>IF([2]Baskol!$D$506="","",[2]Baskol!$D$506)</f>
        <v/>
      </c>
      <c r="X503">
        <f>IF([2]Baskol!$E$506="","",[2]Baskol!$E$506)</f>
        <v/>
      </c>
      <c r="Y503">
        <f>IF([2]Baskol!$G$506="","",[2]Baskol!$G$506)</f>
        <v/>
      </c>
      <c r="Z503">
        <f>IF([2]Baskol!$I$506="","",[2]Baskol!$I$506)</f>
        <v/>
      </c>
      <c r="AA503">
        <f>IF([2]Baskol!$J$506="","",[2]Baskol!$J$506)</f>
        <v/>
      </c>
      <c r="AB503">
        <f>IF([2]Baskol!$K$506="","",[2]Baskol!$K$506)</f>
        <v/>
      </c>
      <c r="AC503">
        <f>IF([2]Baskol!$L$506="","",[2]Baskol!$L$506)</f>
        <v/>
      </c>
      <c r="AD503">
        <f>IF([2]Baskol!$N$506="","",[2]Baskol!$N$506)</f>
        <v/>
      </c>
      <c r="AE503">
        <f>IF([2]Baskol!$O$506="","",[2]Baskol!$O$506)</f>
        <v/>
      </c>
      <c r="AG503">
        <f>IF([3]Entry!$C$506="","",[3]Entry!$C$506)</f>
        <v/>
      </c>
      <c r="AH503">
        <f>IF([3]Entry!$D$506="","",[3]Entry!$D$506)</f>
        <v/>
      </c>
      <c r="AI503">
        <f>IF([3]Entry!$E$506="","",[3]Entry!$E$506)</f>
        <v/>
      </c>
      <c r="AJ503">
        <f>IF([3]Entry!$G$506="","",[3]Entry!$G$506)</f>
        <v/>
      </c>
      <c r="AK503">
        <f>IF([3]Entry!$K$506="","",[3]Entry!$K$506)</f>
        <v/>
      </c>
      <c r="AL503">
        <f>IF([3]Entry!$L$506="","",[3]Entry!$L$506)</f>
        <v/>
      </c>
      <c r="AM503">
        <f>IF([3]Entry!$M$506="","",[3]Entry!$M$506)</f>
        <v/>
      </c>
      <c r="AN503">
        <f>IF([3]Entry!$N$506="","",[3]Entry!$N$506)</f>
        <v/>
      </c>
      <c r="AO503">
        <f>IF([3]Entry!$R$506="","",[3]Entry!$R$506)</f>
        <v/>
      </c>
      <c r="AQ503">
        <f>IF(AND($D503&lt;&gt;"",$A503&lt;&gt;""),1,0)</f>
        <v/>
      </c>
      <c r="AR503">
        <f>SUM($AQ$6:$AQ503)</f>
        <v/>
      </c>
      <c r="AS503">
        <f>IFERROR(INDEX($A$6:$A$565,MATCH(ROW()-5,$AR$6:$AR$565,0)),"")</f>
        <v/>
      </c>
    </row>
    <row r="504">
      <c r="A504">
        <f>IF([1]Accounts!$D$505="","",[1]Accounts!$A$505)</f>
        <v/>
      </c>
      <c r="B504">
        <f>IF([1]Accounts!$D$505="","",[1]Accounts!$B$505)</f>
        <v/>
      </c>
      <c r="C504">
        <f>IF([1]Accounts!$D$505="","",[1]Accounts!$C$505)</f>
        <v/>
      </c>
      <c r="D504">
        <f>IF([1]Accounts!$D$505="","",[1]Accounts!$D$505)</f>
        <v/>
      </c>
      <c r="E504">
        <f>IF([1]Accounts!$D$505="","",[1]Accounts!$J$505)</f>
        <v/>
      </c>
      <c r="F504">
        <f>IF([1]Accounts!$D$505="","",[1]Accounts!$K$505)</f>
        <v/>
      </c>
      <c r="U504">
        <f>IF([2]Baskol!$B$507="","",[2]Baskol!$B$507)</f>
        <v/>
      </c>
      <c r="V504">
        <f>IF([2]Baskol!$C$507="","",[2]Baskol!$C$507)</f>
        <v/>
      </c>
      <c r="W504">
        <f>IF([2]Baskol!$D$507="","",[2]Baskol!$D$507)</f>
        <v/>
      </c>
      <c r="X504">
        <f>IF([2]Baskol!$E$507="","",[2]Baskol!$E$507)</f>
        <v/>
      </c>
      <c r="Y504">
        <f>IF([2]Baskol!$G$507="","",[2]Baskol!$G$507)</f>
        <v/>
      </c>
      <c r="Z504">
        <f>IF([2]Baskol!$I$507="","",[2]Baskol!$I$507)</f>
        <v/>
      </c>
      <c r="AA504">
        <f>IF([2]Baskol!$J$507="","",[2]Baskol!$J$507)</f>
        <v/>
      </c>
      <c r="AB504">
        <f>IF([2]Baskol!$K$507="","",[2]Baskol!$K$507)</f>
        <v/>
      </c>
      <c r="AC504">
        <f>IF([2]Baskol!$L$507="","",[2]Baskol!$L$507)</f>
        <v/>
      </c>
      <c r="AD504">
        <f>IF([2]Baskol!$N$507="","",[2]Baskol!$N$507)</f>
        <v/>
      </c>
      <c r="AE504">
        <f>IF([2]Baskol!$O$507="","",[2]Baskol!$O$507)</f>
        <v/>
      </c>
      <c r="AG504">
        <f>IF([3]Entry!$C$507="","",[3]Entry!$C$507)</f>
        <v/>
      </c>
      <c r="AH504">
        <f>IF([3]Entry!$D$507="","",[3]Entry!$D$507)</f>
        <v/>
      </c>
      <c r="AI504">
        <f>IF([3]Entry!$E$507="","",[3]Entry!$E$507)</f>
        <v/>
      </c>
      <c r="AJ504">
        <f>IF([3]Entry!$G$507="","",[3]Entry!$G$507)</f>
        <v/>
      </c>
      <c r="AK504">
        <f>IF([3]Entry!$K$507="","",[3]Entry!$K$507)</f>
        <v/>
      </c>
      <c r="AL504">
        <f>IF([3]Entry!$L$507="","",[3]Entry!$L$507)</f>
        <v/>
      </c>
      <c r="AM504">
        <f>IF([3]Entry!$M$507="","",[3]Entry!$M$507)</f>
        <v/>
      </c>
      <c r="AN504">
        <f>IF([3]Entry!$N$507="","",[3]Entry!$N$507)</f>
        <v/>
      </c>
      <c r="AO504">
        <f>IF([3]Entry!$R$507="","",[3]Entry!$R$507)</f>
        <v/>
      </c>
      <c r="AQ504">
        <f>IF(AND($D504&lt;&gt;"",$A504&lt;&gt;""),1,0)</f>
        <v/>
      </c>
      <c r="AR504">
        <f>SUM($AQ$6:$AQ504)</f>
        <v/>
      </c>
      <c r="AS504">
        <f>IFERROR(INDEX($A$6:$A$565,MATCH(ROW()-5,$AR$6:$AR$565,0)),"")</f>
        <v/>
      </c>
    </row>
    <row r="505">
      <c r="A505">
        <f>IF([1]Accounts!$D$506="","",[1]Accounts!$A$506)</f>
        <v/>
      </c>
      <c r="B505">
        <f>IF([1]Accounts!$D$506="","",[1]Accounts!$B$506)</f>
        <v/>
      </c>
      <c r="C505">
        <f>IF([1]Accounts!$D$506="","",[1]Accounts!$C$506)</f>
        <v/>
      </c>
      <c r="D505">
        <f>IF([1]Accounts!$D$506="","",[1]Accounts!$D$506)</f>
        <v/>
      </c>
      <c r="E505">
        <f>IF([1]Accounts!$D$506="","",[1]Accounts!$J$506)</f>
        <v/>
      </c>
      <c r="F505">
        <f>IF([1]Accounts!$D$506="","",[1]Accounts!$K$506)</f>
        <v/>
      </c>
      <c r="U505">
        <f>IF([2]Baskol!$B$508="","",[2]Baskol!$B$508)</f>
        <v/>
      </c>
      <c r="V505">
        <f>IF([2]Baskol!$C$508="","",[2]Baskol!$C$508)</f>
        <v/>
      </c>
      <c r="W505">
        <f>IF([2]Baskol!$D$508="","",[2]Baskol!$D$508)</f>
        <v/>
      </c>
      <c r="X505">
        <f>IF([2]Baskol!$E$508="","",[2]Baskol!$E$508)</f>
        <v/>
      </c>
      <c r="Y505">
        <f>IF([2]Baskol!$G$508="","",[2]Baskol!$G$508)</f>
        <v/>
      </c>
      <c r="Z505">
        <f>IF([2]Baskol!$I$508="","",[2]Baskol!$I$508)</f>
        <v/>
      </c>
      <c r="AA505">
        <f>IF([2]Baskol!$J$508="","",[2]Baskol!$J$508)</f>
        <v/>
      </c>
      <c r="AB505">
        <f>IF([2]Baskol!$K$508="","",[2]Baskol!$K$508)</f>
        <v/>
      </c>
      <c r="AC505">
        <f>IF([2]Baskol!$L$508="","",[2]Baskol!$L$508)</f>
        <v/>
      </c>
      <c r="AD505">
        <f>IF([2]Baskol!$N$508="","",[2]Baskol!$N$508)</f>
        <v/>
      </c>
      <c r="AE505">
        <f>IF([2]Baskol!$O$508="","",[2]Baskol!$O$508)</f>
        <v/>
      </c>
      <c r="AG505">
        <f>IF([3]Entry!$C$508="","",[3]Entry!$C$508)</f>
        <v/>
      </c>
      <c r="AH505">
        <f>IF([3]Entry!$D$508="","",[3]Entry!$D$508)</f>
        <v/>
      </c>
      <c r="AI505">
        <f>IF([3]Entry!$E$508="","",[3]Entry!$E$508)</f>
        <v/>
      </c>
      <c r="AJ505">
        <f>IF([3]Entry!$G$508="","",[3]Entry!$G$508)</f>
        <v/>
      </c>
      <c r="AK505">
        <f>IF([3]Entry!$K$508="","",[3]Entry!$K$508)</f>
        <v/>
      </c>
      <c r="AL505">
        <f>IF([3]Entry!$L$508="","",[3]Entry!$L$508)</f>
        <v/>
      </c>
      <c r="AM505">
        <f>IF([3]Entry!$M$508="","",[3]Entry!$M$508)</f>
        <v/>
      </c>
      <c r="AN505">
        <f>IF([3]Entry!$N$508="","",[3]Entry!$N$508)</f>
        <v/>
      </c>
      <c r="AO505">
        <f>IF([3]Entry!$R$508="","",[3]Entry!$R$508)</f>
        <v/>
      </c>
      <c r="AQ505">
        <f>IF(AND($D505&lt;&gt;"",$A505&lt;&gt;""),1,0)</f>
        <v/>
      </c>
      <c r="AR505">
        <f>SUM($AQ$6:$AQ505)</f>
        <v/>
      </c>
      <c r="AS505">
        <f>IFERROR(INDEX($A$6:$A$565,MATCH(ROW()-5,$AR$6:$AR$565,0)),"")</f>
        <v/>
      </c>
    </row>
    <row r="506">
      <c r="A506">
        <f>IF([1]Accounts!$D$507="","",[1]Accounts!$A$507)</f>
        <v/>
      </c>
      <c r="B506">
        <f>IF([1]Accounts!$D$507="","",[1]Accounts!$B$507)</f>
        <v/>
      </c>
      <c r="C506">
        <f>IF([1]Accounts!$D$507="","",[1]Accounts!$C$507)</f>
        <v/>
      </c>
      <c r="D506">
        <f>IF([1]Accounts!$D$507="","",[1]Accounts!$D$507)</f>
        <v/>
      </c>
      <c r="E506">
        <f>IF([1]Accounts!$D$507="","",[1]Accounts!$J$507)</f>
        <v/>
      </c>
      <c r="F506">
        <f>IF([1]Accounts!$D$507="","",[1]Accounts!$K$507)</f>
        <v/>
      </c>
      <c r="U506">
        <f>IF([2]Baskol!$B$509="","",[2]Baskol!$B$509)</f>
        <v/>
      </c>
      <c r="V506">
        <f>IF([2]Baskol!$C$509="","",[2]Baskol!$C$509)</f>
        <v/>
      </c>
      <c r="W506">
        <f>IF([2]Baskol!$D$509="","",[2]Baskol!$D$509)</f>
        <v/>
      </c>
      <c r="X506">
        <f>IF([2]Baskol!$E$509="","",[2]Baskol!$E$509)</f>
        <v/>
      </c>
      <c r="Y506">
        <f>IF([2]Baskol!$G$509="","",[2]Baskol!$G$509)</f>
        <v/>
      </c>
      <c r="Z506">
        <f>IF([2]Baskol!$I$509="","",[2]Baskol!$I$509)</f>
        <v/>
      </c>
      <c r="AA506">
        <f>IF([2]Baskol!$J$509="","",[2]Baskol!$J$509)</f>
        <v/>
      </c>
      <c r="AB506">
        <f>IF([2]Baskol!$K$509="","",[2]Baskol!$K$509)</f>
        <v/>
      </c>
      <c r="AC506">
        <f>IF([2]Baskol!$L$509="","",[2]Baskol!$L$509)</f>
        <v/>
      </c>
      <c r="AD506">
        <f>IF([2]Baskol!$N$509="","",[2]Baskol!$N$509)</f>
        <v/>
      </c>
      <c r="AE506">
        <f>IF([2]Baskol!$O$509="","",[2]Baskol!$O$509)</f>
        <v/>
      </c>
      <c r="AG506">
        <f>IF([3]Entry!$C$509="","",[3]Entry!$C$509)</f>
        <v/>
      </c>
      <c r="AH506">
        <f>IF([3]Entry!$D$509="","",[3]Entry!$D$509)</f>
        <v/>
      </c>
      <c r="AI506">
        <f>IF([3]Entry!$E$509="","",[3]Entry!$E$509)</f>
        <v/>
      </c>
      <c r="AJ506">
        <f>IF([3]Entry!$G$509="","",[3]Entry!$G$509)</f>
        <v/>
      </c>
      <c r="AK506">
        <f>IF([3]Entry!$K$509="","",[3]Entry!$K$509)</f>
        <v/>
      </c>
      <c r="AL506">
        <f>IF([3]Entry!$L$509="","",[3]Entry!$L$509)</f>
        <v/>
      </c>
      <c r="AM506">
        <f>IF([3]Entry!$M$509="","",[3]Entry!$M$509)</f>
        <v/>
      </c>
      <c r="AN506">
        <f>IF([3]Entry!$N$509="","",[3]Entry!$N$509)</f>
        <v/>
      </c>
      <c r="AO506">
        <f>IF([3]Entry!$R$509="","",[3]Entry!$R$509)</f>
        <v/>
      </c>
      <c r="AQ506">
        <f>IF(AND($D506&lt;&gt;"",$A506&lt;&gt;""),1,0)</f>
        <v/>
      </c>
      <c r="AR506">
        <f>SUM($AQ$6:$AQ506)</f>
        <v/>
      </c>
      <c r="AS506">
        <f>IFERROR(INDEX($A$6:$A$565,MATCH(ROW()-5,$AR$6:$AR$565,0)),"")</f>
        <v/>
      </c>
    </row>
    <row r="507">
      <c r="A507">
        <f>IF([1]Accounts!$D$508="","",[1]Accounts!$A$508)</f>
        <v/>
      </c>
      <c r="B507">
        <f>IF([1]Accounts!$D$508="","",[1]Accounts!$B$508)</f>
        <v/>
      </c>
      <c r="C507">
        <f>IF([1]Accounts!$D$508="","",[1]Accounts!$C$508)</f>
        <v/>
      </c>
      <c r="D507">
        <f>IF([1]Accounts!$D$508="","",[1]Accounts!$D$508)</f>
        <v/>
      </c>
      <c r="E507">
        <f>IF([1]Accounts!$D$508="","",[1]Accounts!$J$508)</f>
        <v/>
      </c>
      <c r="F507">
        <f>IF([1]Accounts!$D$508="","",[1]Accounts!$K$508)</f>
        <v/>
      </c>
      <c r="U507">
        <f>IF([2]Baskol!$B$510="","",[2]Baskol!$B$510)</f>
        <v/>
      </c>
      <c r="V507">
        <f>IF([2]Baskol!$C$510="","",[2]Baskol!$C$510)</f>
        <v/>
      </c>
      <c r="W507">
        <f>IF([2]Baskol!$D$510="","",[2]Baskol!$D$510)</f>
        <v/>
      </c>
      <c r="X507">
        <f>IF([2]Baskol!$E$510="","",[2]Baskol!$E$510)</f>
        <v/>
      </c>
      <c r="Y507">
        <f>IF([2]Baskol!$G$510="","",[2]Baskol!$G$510)</f>
        <v/>
      </c>
      <c r="Z507">
        <f>IF([2]Baskol!$I$510="","",[2]Baskol!$I$510)</f>
        <v/>
      </c>
      <c r="AA507">
        <f>IF([2]Baskol!$J$510="","",[2]Baskol!$J$510)</f>
        <v/>
      </c>
      <c r="AB507">
        <f>IF([2]Baskol!$K$510="","",[2]Baskol!$K$510)</f>
        <v/>
      </c>
      <c r="AC507">
        <f>IF([2]Baskol!$L$510="","",[2]Baskol!$L$510)</f>
        <v/>
      </c>
      <c r="AD507">
        <f>IF([2]Baskol!$N$510="","",[2]Baskol!$N$510)</f>
        <v/>
      </c>
      <c r="AE507">
        <f>IF([2]Baskol!$O$510="","",[2]Baskol!$O$510)</f>
        <v/>
      </c>
      <c r="AG507">
        <f>IF([3]Entry!$C$510="","",[3]Entry!$C$510)</f>
        <v/>
      </c>
      <c r="AH507">
        <f>IF([3]Entry!$D$510="","",[3]Entry!$D$510)</f>
        <v/>
      </c>
      <c r="AI507">
        <f>IF([3]Entry!$E$510="","",[3]Entry!$E$510)</f>
        <v/>
      </c>
      <c r="AJ507">
        <f>IF([3]Entry!$G$510="","",[3]Entry!$G$510)</f>
        <v/>
      </c>
      <c r="AK507">
        <f>IF([3]Entry!$K$510="","",[3]Entry!$K$510)</f>
        <v/>
      </c>
      <c r="AL507">
        <f>IF([3]Entry!$L$510="","",[3]Entry!$L$510)</f>
        <v/>
      </c>
      <c r="AM507">
        <f>IF([3]Entry!$M$510="","",[3]Entry!$M$510)</f>
        <v/>
      </c>
      <c r="AN507">
        <f>IF([3]Entry!$N$510="","",[3]Entry!$N$510)</f>
        <v/>
      </c>
      <c r="AO507">
        <f>IF([3]Entry!$R$510="","",[3]Entry!$R$510)</f>
        <v/>
      </c>
      <c r="AQ507">
        <f>IF(AND($D507&lt;&gt;"",$A507&lt;&gt;""),1,0)</f>
        <v/>
      </c>
      <c r="AR507">
        <f>SUM($AQ$6:$AQ507)</f>
        <v/>
      </c>
      <c r="AS507">
        <f>IFERROR(INDEX($A$6:$A$565,MATCH(ROW()-5,$AR$6:$AR$565,0)),"")</f>
        <v/>
      </c>
    </row>
    <row r="508">
      <c r="A508">
        <f>IF([1]Accounts!$D$509="","",[1]Accounts!$A$509)</f>
        <v/>
      </c>
      <c r="B508">
        <f>IF([1]Accounts!$D$509="","",[1]Accounts!$B$509)</f>
        <v/>
      </c>
      <c r="C508">
        <f>IF([1]Accounts!$D$509="","",[1]Accounts!$C$509)</f>
        <v/>
      </c>
      <c r="D508">
        <f>IF([1]Accounts!$D$509="","",[1]Accounts!$D$509)</f>
        <v/>
      </c>
      <c r="E508">
        <f>IF([1]Accounts!$D$509="","",[1]Accounts!$J$509)</f>
        <v/>
      </c>
      <c r="F508">
        <f>IF([1]Accounts!$D$509="","",[1]Accounts!$K$509)</f>
        <v/>
      </c>
      <c r="U508">
        <f>IF([2]Baskol!$B$511="","",[2]Baskol!$B$511)</f>
        <v/>
      </c>
      <c r="V508">
        <f>IF([2]Baskol!$C$511="","",[2]Baskol!$C$511)</f>
        <v/>
      </c>
      <c r="W508">
        <f>IF([2]Baskol!$D$511="","",[2]Baskol!$D$511)</f>
        <v/>
      </c>
      <c r="X508">
        <f>IF([2]Baskol!$E$511="","",[2]Baskol!$E$511)</f>
        <v/>
      </c>
      <c r="Y508">
        <f>IF([2]Baskol!$G$511="","",[2]Baskol!$G$511)</f>
        <v/>
      </c>
      <c r="Z508">
        <f>IF([2]Baskol!$I$511="","",[2]Baskol!$I$511)</f>
        <v/>
      </c>
      <c r="AA508">
        <f>IF([2]Baskol!$J$511="","",[2]Baskol!$J$511)</f>
        <v/>
      </c>
      <c r="AB508">
        <f>IF([2]Baskol!$K$511="","",[2]Baskol!$K$511)</f>
        <v/>
      </c>
      <c r="AC508">
        <f>IF([2]Baskol!$L$511="","",[2]Baskol!$L$511)</f>
        <v/>
      </c>
      <c r="AD508">
        <f>IF([2]Baskol!$N$511="","",[2]Baskol!$N$511)</f>
        <v/>
      </c>
      <c r="AE508">
        <f>IF([2]Baskol!$O$511="","",[2]Baskol!$O$511)</f>
        <v/>
      </c>
      <c r="AG508">
        <f>IF([3]Entry!$C$511="","",[3]Entry!$C$511)</f>
        <v/>
      </c>
      <c r="AH508">
        <f>IF([3]Entry!$D$511="","",[3]Entry!$D$511)</f>
        <v/>
      </c>
      <c r="AI508">
        <f>IF([3]Entry!$E$511="","",[3]Entry!$E$511)</f>
        <v/>
      </c>
      <c r="AJ508">
        <f>IF([3]Entry!$G$511="","",[3]Entry!$G$511)</f>
        <v/>
      </c>
      <c r="AK508">
        <f>IF([3]Entry!$K$511="","",[3]Entry!$K$511)</f>
        <v/>
      </c>
      <c r="AL508">
        <f>IF([3]Entry!$L$511="","",[3]Entry!$L$511)</f>
        <v/>
      </c>
      <c r="AM508">
        <f>IF([3]Entry!$M$511="","",[3]Entry!$M$511)</f>
        <v/>
      </c>
      <c r="AN508">
        <f>IF([3]Entry!$N$511="","",[3]Entry!$N$511)</f>
        <v/>
      </c>
      <c r="AO508">
        <f>IF([3]Entry!$R$511="","",[3]Entry!$R$511)</f>
        <v/>
      </c>
      <c r="AQ508">
        <f>IF(AND($D508&lt;&gt;"",$A508&lt;&gt;""),1,0)</f>
        <v/>
      </c>
      <c r="AR508">
        <f>SUM($AQ$6:$AQ508)</f>
        <v/>
      </c>
      <c r="AS508">
        <f>IFERROR(INDEX($A$6:$A$565,MATCH(ROW()-5,$AR$6:$AR$565,0)),"")</f>
        <v/>
      </c>
    </row>
    <row r="509">
      <c r="A509">
        <f>IF([1]Accounts!$D$510="","",[1]Accounts!$A$510)</f>
        <v/>
      </c>
      <c r="B509">
        <f>IF([1]Accounts!$D$510="","",[1]Accounts!$B$510)</f>
        <v/>
      </c>
      <c r="C509">
        <f>IF([1]Accounts!$D$510="","",[1]Accounts!$C$510)</f>
        <v/>
      </c>
      <c r="D509">
        <f>IF([1]Accounts!$D$510="","",[1]Accounts!$D$510)</f>
        <v/>
      </c>
      <c r="E509">
        <f>IF([1]Accounts!$D$510="","",[1]Accounts!$J$510)</f>
        <v/>
      </c>
      <c r="F509">
        <f>IF([1]Accounts!$D$510="","",[1]Accounts!$K$510)</f>
        <v/>
      </c>
      <c r="U509">
        <f>IF([2]Baskol!$B$512="","",[2]Baskol!$B$512)</f>
        <v/>
      </c>
      <c r="V509">
        <f>IF([2]Baskol!$C$512="","",[2]Baskol!$C$512)</f>
        <v/>
      </c>
      <c r="W509">
        <f>IF([2]Baskol!$D$512="","",[2]Baskol!$D$512)</f>
        <v/>
      </c>
      <c r="X509">
        <f>IF([2]Baskol!$E$512="","",[2]Baskol!$E$512)</f>
        <v/>
      </c>
      <c r="Y509">
        <f>IF([2]Baskol!$G$512="","",[2]Baskol!$G$512)</f>
        <v/>
      </c>
      <c r="Z509">
        <f>IF([2]Baskol!$I$512="","",[2]Baskol!$I$512)</f>
        <v/>
      </c>
      <c r="AA509">
        <f>IF([2]Baskol!$J$512="","",[2]Baskol!$J$512)</f>
        <v/>
      </c>
      <c r="AB509">
        <f>IF([2]Baskol!$K$512="","",[2]Baskol!$K$512)</f>
        <v/>
      </c>
      <c r="AC509">
        <f>IF([2]Baskol!$L$512="","",[2]Baskol!$L$512)</f>
        <v/>
      </c>
      <c r="AD509">
        <f>IF([2]Baskol!$N$512="","",[2]Baskol!$N$512)</f>
        <v/>
      </c>
      <c r="AE509">
        <f>IF([2]Baskol!$O$512="","",[2]Baskol!$O$512)</f>
        <v/>
      </c>
      <c r="AG509">
        <f>IF([3]Entry!$C$512="","",[3]Entry!$C$512)</f>
        <v/>
      </c>
      <c r="AH509">
        <f>IF([3]Entry!$D$512="","",[3]Entry!$D$512)</f>
        <v/>
      </c>
      <c r="AI509">
        <f>IF([3]Entry!$E$512="","",[3]Entry!$E$512)</f>
        <v/>
      </c>
      <c r="AJ509">
        <f>IF([3]Entry!$G$512="","",[3]Entry!$G$512)</f>
        <v/>
      </c>
      <c r="AK509">
        <f>IF([3]Entry!$K$512="","",[3]Entry!$K$512)</f>
        <v/>
      </c>
      <c r="AL509">
        <f>IF([3]Entry!$L$512="","",[3]Entry!$L$512)</f>
        <v/>
      </c>
      <c r="AM509">
        <f>IF([3]Entry!$M$512="","",[3]Entry!$M$512)</f>
        <v/>
      </c>
      <c r="AN509">
        <f>IF([3]Entry!$N$512="","",[3]Entry!$N$512)</f>
        <v/>
      </c>
      <c r="AO509">
        <f>IF([3]Entry!$R$512="","",[3]Entry!$R$512)</f>
        <v/>
      </c>
      <c r="AQ509">
        <f>IF(AND($D509&lt;&gt;"",$A509&lt;&gt;""),1,0)</f>
        <v/>
      </c>
      <c r="AR509">
        <f>SUM($AQ$6:$AQ509)</f>
        <v/>
      </c>
      <c r="AS509">
        <f>IFERROR(INDEX($A$6:$A$565,MATCH(ROW()-5,$AR$6:$AR$565,0)),"")</f>
        <v/>
      </c>
    </row>
    <row r="510">
      <c r="A510">
        <f>IF([1]Accounts!$D$511="","",[1]Accounts!$A$511)</f>
        <v/>
      </c>
      <c r="B510">
        <f>IF([1]Accounts!$D$511="","",[1]Accounts!$B$511)</f>
        <v/>
      </c>
      <c r="C510">
        <f>IF([1]Accounts!$D$511="","",[1]Accounts!$C$511)</f>
        <v/>
      </c>
      <c r="D510">
        <f>IF([1]Accounts!$D$511="","",[1]Accounts!$D$511)</f>
        <v/>
      </c>
      <c r="E510">
        <f>IF([1]Accounts!$D$511="","",[1]Accounts!$J$511)</f>
        <v/>
      </c>
      <c r="F510">
        <f>IF([1]Accounts!$D$511="","",[1]Accounts!$K$511)</f>
        <v/>
      </c>
      <c r="U510">
        <f>IF([2]Baskol!$B$513="","",[2]Baskol!$B$513)</f>
        <v/>
      </c>
      <c r="V510">
        <f>IF([2]Baskol!$C$513="","",[2]Baskol!$C$513)</f>
        <v/>
      </c>
      <c r="W510">
        <f>IF([2]Baskol!$D$513="","",[2]Baskol!$D$513)</f>
        <v/>
      </c>
      <c r="X510">
        <f>IF([2]Baskol!$E$513="","",[2]Baskol!$E$513)</f>
        <v/>
      </c>
      <c r="Y510">
        <f>IF([2]Baskol!$G$513="","",[2]Baskol!$G$513)</f>
        <v/>
      </c>
      <c r="Z510">
        <f>IF([2]Baskol!$I$513="","",[2]Baskol!$I$513)</f>
        <v/>
      </c>
      <c r="AA510">
        <f>IF([2]Baskol!$J$513="","",[2]Baskol!$J$513)</f>
        <v/>
      </c>
      <c r="AB510">
        <f>IF([2]Baskol!$K$513="","",[2]Baskol!$K$513)</f>
        <v/>
      </c>
      <c r="AC510">
        <f>IF([2]Baskol!$L$513="","",[2]Baskol!$L$513)</f>
        <v/>
      </c>
      <c r="AD510">
        <f>IF([2]Baskol!$N$513="","",[2]Baskol!$N$513)</f>
        <v/>
      </c>
      <c r="AE510">
        <f>IF([2]Baskol!$O$513="","",[2]Baskol!$O$513)</f>
        <v/>
      </c>
      <c r="AG510">
        <f>IF([3]Entry!$C$513="","",[3]Entry!$C$513)</f>
        <v/>
      </c>
      <c r="AH510">
        <f>IF([3]Entry!$D$513="","",[3]Entry!$D$513)</f>
        <v/>
      </c>
      <c r="AI510">
        <f>IF([3]Entry!$E$513="","",[3]Entry!$E$513)</f>
        <v/>
      </c>
      <c r="AJ510">
        <f>IF([3]Entry!$G$513="","",[3]Entry!$G$513)</f>
        <v/>
      </c>
      <c r="AK510">
        <f>IF([3]Entry!$K$513="","",[3]Entry!$K$513)</f>
        <v/>
      </c>
      <c r="AL510">
        <f>IF([3]Entry!$L$513="","",[3]Entry!$L$513)</f>
        <v/>
      </c>
      <c r="AM510">
        <f>IF([3]Entry!$M$513="","",[3]Entry!$M$513)</f>
        <v/>
      </c>
      <c r="AN510">
        <f>IF([3]Entry!$N$513="","",[3]Entry!$N$513)</f>
        <v/>
      </c>
      <c r="AO510">
        <f>IF([3]Entry!$R$513="","",[3]Entry!$R$513)</f>
        <v/>
      </c>
      <c r="AQ510">
        <f>IF(AND($D510&lt;&gt;"",$A510&lt;&gt;""),1,0)</f>
        <v/>
      </c>
      <c r="AR510">
        <f>SUM($AQ$6:$AQ510)</f>
        <v/>
      </c>
      <c r="AS510">
        <f>IFERROR(INDEX($A$6:$A$565,MATCH(ROW()-5,$AR$6:$AR$565,0)),"")</f>
        <v/>
      </c>
    </row>
    <row r="511">
      <c r="A511">
        <f>IF([1]Accounts!$D$512="","",[1]Accounts!$A$512)</f>
        <v/>
      </c>
      <c r="B511">
        <f>IF([1]Accounts!$D$512="","",[1]Accounts!$B$512)</f>
        <v/>
      </c>
      <c r="C511">
        <f>IF([1]Accounts!$D$512="","",[1]Accounts!$C$512)</f>
        <v/>
      </c>
      <c r="D511">
        <f>IF([1]Accounts!$D$512="","",[1]Accounts!$D$512)</f>
        <v/>
      </c>
      <c r="E511">
        <f>IF([1]Accounts!$D$512="","",[1]Accounts!$J$512)</f>
        <v/>
      </c>
      <c r="F511">
        <f>IF([1]Accounts!$D$512="","",[1]Accounts!$K$512)</f>
        <v/>
      </c>
      <c r="U511">
        <f>IF([2]Baskol!$B$514="","",[2]Baskol!$B$514)</f>
        <v/>
      </c>
      <c r="V511">
        <f>IF([2]Baskol!$C$514="","",[2]Baskol!$C$514)</f>
        <v/>
      </c>
      <c r="W511">
        <f>IF([2]Baskol!$D$514="","",[2]Baskol!$D$514)</f>
        <v/>
      </c>
      <c r="X511">
        <f>IF([2]Baskol!$E$514="","",[2]Baskol!$E$514)</f>
        <v/>
      </c>
      <c r="Y511">
        <f>IF([2]Baskol!$G$514="","",[2]Baskol!$G$514)</f>
        <v/>
      </c>
      <c r="Z511">
        <f>IF([2]Baskol!$I$514="","",[2]Baskol!$I$514)</f>
        <v/>
      </c>
      <c r="AA511">
        <f>IF([2]Baskol!$J$514="","",[2]Baskol!$J$514)</f>
        <v/>
      </c>
      <c r="AB511">
        <f>IF([2]Baskol!$K$514="","",[2]Baskol!$K$514)</f>
        <v/>
      </c>
      <c r="AC511">
        <f>IF([2]Baskol!$L$514="","",[2]Baskol!$L$514)</f>
        <v/>
      </c>
      <c r="AD511">
        <f>IF([2]Baskol!$N$514="","",[2]Baskol!$N$514)</f>
        <v/>
      </c>
      <c r="AE511">
        <f>IF([2]Baskol!$O$514="","",[2]Baskol!$O$514)</f>
        <v/>
      </c>
      <c r="AG511">
        <f>IF([3]Entry!$C$514="","",[3]Entry!$C$514)</f>
        <v/>
      </c>
      <c r="AH511">
        <f>IF([3]Entry!$D$514="","",[3]Entry!$D$514)</f>
        <v/>
      </c>
      <c r="AI511">
        <f>IF([3]Entry!$E$514="","",[3]Entry!$E$514)</f>
        <v/>
      </c>
      <c r="AJ511">
        <f>IF([3]Entry!$G$514="","",[3]Entry!$G$514)</f>
        <v/>
      </c>
      <c r="AK511">
        <f>IF([3]Entry!$K$514="","",[3]Entry!$K$514)</f>
        <v/>
      </c>
      <c r="AL511">
        <f>IF([3]Entry!$L$514="","",[3]Entry!$L$514)</f>
        <v/>
      </c>
      <c r="AM511">
        <f>IF([3]Entry!$M$514="","",[3]Entry!$M$514)</f>
        <v/>
      </c>
      <c r="AN511">
        <f>IF([3]Entry!$N$514="","",[3]Entry!$N$514)</f>
        <v/>
      </c>
      <c r="AO511">
        <f>IF([3]Entry!$R$514="","",[3]Entry!$R$514)</f>
        <v/>
      </c>
      <c r="AQ511">
        <f>IF(AND($D511&lt;&gt;"",$A511&lt;&gt;""),1,0)</f>
        <v/>
      </c>
      <c r="AR511">
        <f>SUM($AQ$6:$AQ511)</f>
        <v/>
      </c>
      <c r="AS511">
        <f>IFERROR(INDEX($A$6:$A$565,MATCH(ROW()-5,$AR$6:$AR$565,0)),"")</f>
        <v/>
      </c>
    </row>
    <row r="512">
      <c r="A512">
        <f>IF([1]Accounts!$D$513="","",[1]Accounts!$A$513)</f>
        <v/>
      </c>
      <c r="B512">
        <f>IF([1]Accounts!$D$513="","",[1]Accounts!$B$513)</f>
        <v/>
      </c>
      <c r="C512">
        <f>IF([1]Accounts!$D$513="","",[1]Accounts!$C$513)</f>
        <v/>
      </c>
      <c r="D512">
        <f>IF([1]Accounts!$D$513="","",[1]Accounts!$D$513)</f>
        <v/>
      </c>
      <c r="E512">
        <f>IF([1]Accounts!$D$513="","",[1]Accounts!$J$513)</f>
        <v/>
      </c>
      <c r="F512">
        <f>IF([1]Accounts!$D$513="","",[1]Accounts!$K$513)</f>
        <v/>
      </c>
      <c r="U512">
        <f>IF([2]Baskol!$B$515="","",[2]Baskol!$B$515)</f>
        <v/>
      </c>
      <c r="V512">
        <f>IF([2]Baskol!$C$515="","",[2]Baskol!$C$515)</f>
        <v/>
      </c>
      <c r="W512">
        <f>IF([2]Baskol!$D$515="","",[2]Baskol!$D$515)</f>
        <v/>
      </c>
      <c r="X512">
        <f>IF([2]Baskol!$E$515="","",[2]Baskol!$E$515)</f>
        <v/>
      </c>
      <c r="Y512">
        <f>IF([2]Baskol!$G$515="","",[2]Baskol!$G$515)</f>
        <v/>
      </c>
      <c r="Z512">
        <f>IF([2]Baskol!$I$515="","",[2]Baskol!$I$515)</f>
        <v/>
      </c>
      <c r="AA512">
        <f>IF([2]Baskol!$J$515="","",[2]Baskol!$J$515)</f>
        <v/>
      </c>
      <c r="AB512">
        <f>IF([2]Baskol!$K$515="","",[2]Baskol!$K$515)</f>
        <v/>
      </c>
      <c r="AC512">
        <f>IF([2]Baskol!$L$515="","",[2]Baskol!$L$515)</f>
        <v/>
      </c>
      <c r="AD512">
        <f>IF([2]Baskol!$N$515="","",[2]Baskol!$N$515)</f>
        <v/>
      </c>
      <c r="AE512">
        <f>IF([2]Baskol!$O$515="","",[2]Baskol!$O$515)</f>
        <v/>
      </c>
      <c r="AG512">
        <f>IF([3]Entry!$C$515="","",[3]Entry!$C$515)</f>
        <v/>
      </c>
      <c r="AH512">
        <f>IF([3]Entry!$D$515="","",[3]Entry!$D$515)</f>
        <v/>
      </c>
      <c r="AI512">
        <f>IF([3]Entry!$E$515="","",[3]Entry!$E$515)</f>
        <v/>
      </c>
      <c r="AJ512">
        <f>IF([3]Entry!$G$515="","",[3]Entry!$G$515)</f>
        <v/>
      </c>
      <c r="AK512">
        <f>IF([3]Entry!$K$515="","",[3]Entry!$K$515)</f>
        <v/>
      </c>
      <c r="AL512">
        <f>IF([3]Entry!$L$515="","",[3]Entry!$L$515)</f>
        <v/>
      </c>
      <c r="AM512">
        <f>IF([3]Entry!$M$515="","",[3]Entry!$M$515)</f>
        <v/>
      </c>
      <c r="AN512">
        <f>IF([3]Entry!$N$515="","",[3]Entry!$N$515)</f>
        <v/>
      </c>
      <c r="AO512">
        <f>IF([3]Entry!$R$515="","",[3]Entry!$R$515)</f>
        <v/>
      </c>
      <c r="AQ512">
        <f>IF(AND($D512&lt;&gt;"",$A512&lt;&gt;""),1,0)</f>
        <v/>
      </c>
      <c r="AR512">
        <f>SUM($AQ$6:$AQ512)</f>
        <v/>
      </c>
      <c r="AS512">
        <f>IFERROR(INDEX($A$6:$A$565,MATCH(ROW()-5,$AR$6:$AR$565,0)),"")</f>
        <v/>
      </c>
    </row>
    <row r="513">
      <c r="A513">
        <f>IF([1]Accounts!$D$514="","",[1]Accounts!$A$514)</f>
        <v/>
      </c>
      <c r="B513">
        <f>IF([1]Accounts!$D$514="","",[1]Accounts!$B$514)</f>
        <v/>
      </c>
      <c r="C513">
        <f>IF([1]Accounts!$D$514="","",[1]Accounts!$C$514)</f>
        <v/>
      </c>
      <c r="D513">
        <f>IF([1]Accounts!$D$514="","",[1]Accounts!$D$514)</f>
        <v/>
      </c>
      <c r="E513">
        <f>IF([1]Accounts!$D$514="","",[1]Accounts!$J$514)</f>
        <v/>
      </c>
      <c r="F513">
        <f>IF([1]Accounts!$D$514="","",[1]Accounts!$K$514)</f>
        <v/>
      </c>
      <c r="U513">
        <f>IF([2]Baskol!$B$516="","",[2]Baskol!$B$516)</f>
        <v/>
      </c>
      <c r="V513">
        <f>IF([2]Baskol!$C$516="","",[2]Baskol!$C$516)</f>
        <v/>
      </c>
      <c r="W513">
        <f>IF([2]Baskol!$D$516="","",[2]Baskol!$D$516)</f>
        <v/>
      </c>
      <c r="X513">
        <f>IF([2]Baskol!$E$516="","",[2]Baskol!$E$516)</f>
        <v/>
      </c>
      <c r="Y513">
        <f>IF([2]Baskol!$G$516="","",[2]Baskol!$G$516)</f>
        <v/>
      </c>
      <c r="Z513">
        <f>IF([2]Baskol!$I$516="","",[2]Baskol!$I$516)</f>
        <v/>
      </c>
      <c r="AA513">
        <f>IF([2]Baskol!$J$516="","",[2]Baskol!$J$516)</f>
        <v/>
      </c>
      <c r="AB513">
        <f>IF([2]Baskol!$K$516="","",[2]Baskol!$K$516)</f>
        <v/>
      </c>
      <c r="AC513">
        <f>IF([2]Baskol!$L$516="","",[2]Baskol!$L$516)</f>
        <v/>
      </c>
      <c r="AD513">
        <f>IF([2]Baskol!$N$516="","",[2]Baskol!$N$516)</f>
        <v/>
      </c>
      <c r="AE513">
        <f>IF([2]Baskol!$O$516="","",[2]Baskol!$O$516)</f>
        <v/>
      </c>
      <c r="AG513">
        <f>IF([3]Entry!$C$516="","",[3]Entry!$C$516)</f>
        <v/>
      </c>
      <c r="AH513">
        <f>IF([3]Entry!$D$516="","",[3]Entry!$D$516)</f>
        <v/>
      </c>
      <c r="AI513">
        <f>IF([3]Entry!$E$516="","",[3]Entry!$E$516)</f>
        <v/>
      </c>
      <c r="AJ513">
        <f>IF([3]Entry!$G$516="","",[3]Entry!$G$516)</f>
        <v/>
      </c>
      <c r="AK513">
        <f>IF([3]Entry!$K$516="","",[3]Entry!$K$516)</f>
        <v/>
      </c>
      <c r="AL513">
        <f>IF([3]Entry!$L$516="","",[3]Entry!$L$516)</f>
        <v/>
      </c>
      <c r="AM513">
        <f>IF([3]Entry!$M$516="","",[3]Entry!$M$516)</f>
        <v/>
      </c>
      <c r="AN513">
        <f>IF([3]Entry!$N$516="","",[3]Entry!$N$516)</f>
        <v/>
      </c>
      <c r="AO513">
        <f>IF([3]Entry!$R$516="","",[3]Entry!$R$516)</f>
        <v/>
      </c>
      <c r="AQ513">
        <f>IF(AND($D513&lt;&gt;"",$A513&lt;&gt;""),1,0)</f>
        <v/>
      </c>
      <c r="AR513">
        <f>SUM($AQ$6:$AQ513)</f>
        <v/>
      </c>
      <c r="AS513">
        <f>IFERROR(INDEX($A$6:$A$565,MATCH(ROW()-5,$AR$6:$AR$565,0)),"")</f>
        <v/>
      </c>
    </row>
    <row r="514">
      <c r="A514">
        <f>IF([1]Accounts!$D$515="","",[1]Accounts!$A$515)</f>
        <v/>
      </c>
      <c r="B514">
        <f>IF([1]Accounts!$D$515="","",[1]Accounts!$B$515)</f>
        <v/>
      </c>
      <c r="C514">
        <f>IF([1]Accounts!$D$515="","",[1]Accounts!$C$515)</f>
        <v/>
      </c>
      <c r="D514">
        <f>IF([1]Accounts!$D$515="","",[1]Accounts!$D$515)</f>
        <v/>
      </c>
      <c r="E514">
        <f>IF([1]Accounts!$D$515="","",[1]Accounts!$J$515)</f>
        <v/>
      </c>
      <c r="F514">
        <f>IF([1]Accounts!$D$515="","",[1]Accounts!$K$515)</f>
        <v/>
      </c>
      <c r="U514">
        <f>IF([2]Baskol!$B$517="","",[2]Baskol!$B$517)</f>
        <v/>
      </c>
      <c r="V514">
        <f>IF([2]Baskol!$C$517="","",[2]Baskol!$C$517)</f>
        <v/>
      </c>
      <c r="W514">
        <f>IF([2]Baskol!$D$517="","",[2]Baskol!$D$517)</f>
        <v/>
      </c>
      <c r="X514">
        <f>IF([2]Baskol!$E$517="","",[2]Baskol!$E$517)</f>
        <v/>
      </c>
      <c r="Y514">
        <f>IF([2]Baskol!$G$517="","",[2]Baskol!$G$517)</f>
        <v/>
      </c>
      <c r="Z514">
        <f>IF([2]Baskol!$I$517="","",[2]Baskol!$I$517)</f>
        <v/>
      </c>
      <c r="AA514">
        <f>IF([2]Baskol!$J$517="","",[2]Baskol!$J$517)</f>
        <v/>
      </c>
      <c r="AB514">
        <f>IF([2]Baskol!$K$517="","",[2]Baskol!$K$517)</f>
        <v/>
      </c>
      <c r="AC514">
        <f>IF([2]Baskol!$L$517="","",[2]Baskol!$L$517)</f>
        <v/>
      </c>
      <c r="AD514">
        <f>IF([2]Baskol!$N$517="","",[2]Baskol!$N$517)</f>
        <v/>
      </c>
      <c r="AE514">
        <f>IF([2]Baskol!$O$517="","",[2]Baskol!$O$517)</f>
        <v/>
      </c>
      <c r="AG514">
        <f>IF([3]Entry!$C$517="","",[3]Entry!$C$517)</f>
        <v/>
      </c>
      <c r="AH514">
        <f>IF([3]Entry!$D$517="","",[3]Entry!$D$517)</f>
        <v/>
      </c>
      <c r="AI514">
        <f>IF([3]Entry!$E$517="","",[3]Entry!$E$517)</f>
        <v/>
      </c>
      <c r="AJ514">
        <f>IF([3]Entry!$G$517="","",[3]Entry!$G$517)</f>
        <v/>
      </c>
      <c r="AK514">
        <f>IF([3]Entry!$K$517="","",[3]Entry!$K$517)</f>
        <v/>
      </c>
      <c r="AL514">
        <f>IF([3]Entry!$L$517="","",[3]Entry!$L$517)</f>
        <v/>
      </c>
      <c r="AM514">
        <f>IF([3]Entry!$M$517="","",[3]Entry!$M$517)</f>
        <v/>
      </c>
      <c r="AN514">
        <f>IF([3]Entry!$N$517="","",[3]Entry!$N$517)</f>
        <v/>
      </c>
      <c r="AO514">
        <f>IF([3]Entry!$R$517="","",[3]Entry!$R$517)</f>
        <v/>
      </c>
      <c r="AQ514">
        <f>IF(AND($D514&lt;&gt;"",$A514&lt;&gt;""),1,0)</f>
        <v/>
      </c>
      <c r="AR514">
        <f>SUM($AQ$6:$AQ514)</f>
        <v/>
      </c>
      <c r="AS514">
        <f>IFERROR(INDEX($A$6:$A$565,MATCH(ROW()-5,$AR$6:$AR$565,0)),"")</f>
        <v/>
      </c>
    </row>
    <row r="515">
      <c r="A515">
        <f>IF([1]Accounts!$D$516="","",[1]Accounts!$A$516)</f>
        <v/>
      </c>
      <c r="B515">
        <f>IF([1]Accounts!$D$516="","",[1]Accounts!$B$516)</f>
        <v/>
      </c>
      <c r="C515">
        <f>IF([1]Accounts!$D$516="","",[1]Accounts!$C$516)</f>
        <v/>
      </c>
      <c r="D515">
        <f>IF([1]Accounts!$D$516="","",[1]Accounts!$D$516)</f>
        <v/>
      </c>
      <c r="E515">
        <f>IF([1]Accounts!$D$516="","",[1]Accounts!$J$516)</f>
        <v/>
      </c>
      <c r="F515">
        <f>IF([1]Accounts!$D$516="","",[1]Accounts!$K$516)</f>
        <v/>
      </c>
      <c r="U515">
        <f>IF([2]Baskol!$B$518="","",[2]Baskol!$B$518)</f>
        <v/>
      </c>
      <c r="V515">
        <f>IF([2]Baskol!$C$518="","",[2]Baskol!$C$518)</f>
        <v/>
      </c>
      <c r="W515">
        <f>IF([2]Baskol!$D$518="","",[2]Baskol!$D$518)</f>
        <v/>
      </c>
      <c r="X515">
        <f>IF([2]Baskol!$E$518="","",[2]Baskol!$E$518)</f>
        <v/>
      </c>
      <c r="Y515">
        <f>IF([2]Baskol!$G$518="","",[2]Baskol!$G$518)</f>
        <v/>
      </c>
      <c r="Z515">
        <f>IF([2]Baskol!$I$518="","",[2]Baskol!$I$518)</f>
        <v/>
      </c>
      <c r="AA515">
        <f>IF([2]Baskol!$J$518="","",[2]Baskol!$J$518)</f>
        <v/>
      </c>
      <c r="AB515">
        <f>IF([2]Baskol!$K$518="","",[2]Baskol!$K$518)</f>
        <v/>
      </c>
      <c r="AC515">
        <f>IF([2]Baskol!$L$518="","",[2]Baskol!$L$518)</f>
        <v/>
      </c>
      <c r="AD515">
        <f>IF([2]Baskol!$N$518="","",[2]Baskol!$N$518)</f>
        <v/>
      </c>
      <c r="AE515">
        <f>IF([2]Baskol!$O$518="","",[2]Baskol!$O$518)</f>
        <v/>
      </c>
      <c r="AG515">
        <f>IF([3]Entry!$C$518="","",[3]Entry!$C$518)</f>
        <v/>
      </c>
      <c r="AH515">
        <f>IF([3]Entry!$D$518="","",[3]Entry!$D$518)</f>
        <v/>
      </c>
      <c r="AI515">
        <f>IF([3]Entry!$E$518="","",[3]Entry!$E$518)</f>
        <v/>
      </c>
      <c r="AJ515">
        <f>IF([3]Entry!$G$518="","",[3]Entry!$G$518)</f>
        <v/>
      </c>
      <c r="AK515">
        <f>IF([3]Entry!$K$518="","",[3]Entry!$K$518)</f>
        <v/>
      </c>
      <c r="AL515">
        <f>IF([3]Entry!$L$518="","",[3]Entry!$L$518)</f>
        <v/>
      </c>
      <c r="AM515">
        <f>IF([3]Entry!$M$518="","",[3]Entry!$M$518)</f>
        <v/>
      </c>
      <c r="AN515">
        <f>IF([3]Entry!$N$518="","",[3]Entry!$N$518)</f>
        <v/>
      </c>
      <c r="AO515">
        <f>IF([3]Entry!$R$518="","",[3]Entry!$R$518)</f>
        <v/>
      </c>
      <c r="AQ515">
        <f>IF(AND($D515&lt;&gt;"",$A515&lt;&gt;""),1,0)</f>
        <v/>
      </c>
      <c r="AR515">
        <f>SUM($AQ$6:$AQ515)</f>
        <v/>
      </c>
      <c r="AS515">
        <f>IFERROR(INDEX($A$6:$A$565,MATCH(ROW()-5,$AR$6:$AR$565,0)),"")</f>
        <v/>
      </c>
    </row>
    <row r="516">
      <c r="A516">
        <f>IF([1]Accounts!$D$517="","",[1]Accounts!$A$517)</f>
        <v/>
      </c>
      <c r="B516">
        <f>IF([1]Accounts!$D$517="","",[1]Accounts!$B$517)</f>
        <v/>
      </c>
      <c r="C516">
        <f>IF([1]Accounts!$D$517="","",[1]Accounts!$C$517)</f>
        <v/>
      </c>
      <c r="D516">
        <f>IF([1]Accounts!$D$517="","",[1]Accounts!$D$517)</f>
        <v/>
      </c>
      <c r="E516">
        <f>IF([1]Accounts!$D$517="","",[1]Accounts!$J$517)</f>
        <v/>
      </c>
      <c r="F516">
        <f>IF([1]Accounts!$D$517="","",[1]Accounts!$K$517)</f>
        <v/>
      </c>
      <c r="U516">
        <f>IF([2]Baskol!$B$519="","",[2]Baskol!$B$519)</f>
        <v/>
      </c>
      <c r="V516">
        <f>IF([2]Baskol!$C$519="","",[2]Baskol!$C$519)</f>
        <v/>
      </c>
      <c r="W516">
        <f>IF([2]Baskol!$D$519="","",[2]Baskol!$D$519)</f>
        <v/>
      </c>
      <c r="X516">
        <f>IF([2]Baskol!$E$519="","",[2]Baskol!$E$519)</f>
        <v/>
      </c>
      <c r="Y516">
        <f>IF([2]Baskol!$G$519="","",[2]Baskol!$G$519)</f>
        <v/>
      </c>
      <c r="Z516">
        <f>IF([2]Baskol!$I$519="","",[2]Baskol!$I$519)</f>
        <v/>
      </c>
      <c r="AA516">
        <f>IF([2]Baskol!$J$519="","",[2]Baskol!$J$519)</f>
        <v/>
      </c>
      <c r="AB516">
        <f>IF([2]Baskol!$K$519="","",[2]Baskol!$K$519)</f>
        <v/>
      </c>
      <c r="AC516">
        <f>IF([2]Baskol!$L$519="","",[2]Baskol!$L$519)</f>
        <v/>
      </c>
      <c r="AD516">
        <f>IF([2]Baskol!$N$519="","",[2]Baskol!$N$519)</f>
        <v/>
      </c>
      <c r="AE516">
        <f>IF([2]Baskol!$O$519="","",[2]Baskol!$O$519)</f>
        <v/>
      </c>
      <c r="AG516">
        <f>IF([3]Entry!$C$519="","",[3]Entry!$C$519)</f>
        <v/>
      </c>
      <c r="AH516">
        <f>IF([3]Entry!$D$519="","",[3]Entry!$D$519)</f>
        <v/>
      </c>
      <c r="AI516">
        <f>IF([3]Entry!$E$519="","",[3]Entry!$E$519)</f>
        <v/>
      </c>
      <c r="AJ516">
        <f>IF([3]Entry!$G$519="","",[3]Entry!$G$519)</f>
        <v/>
      </c>
      <c r="AK516">
        <f>IF([3]Entry!$K$519="","",[3]Entry!$K$519)</f>
        <v/>
      </c>
      <c r="AL516">
        <f>IF([3]Entry!$L$519="","",[3]Entry!$L$519)</f>
        <v/>
      </c>
      <c r="AM516">
        <f>IF([3]Entry!$M$519="","",[3]Entry!$M$519)</f>
        <v/>
      </c>
      <c r="AN516">
        <f>IF([3]Entry!$N$519="","",[3]Entry!$N$519)</f>
        <v/>
      </c>
      <c r="AO516">
        <f>IF([3]Entry!$R$519="","",[3]Entry!$R$519)</f>
        <v/>
      </c>
      <c r="AQ516">
        <f>IF(AND($D516&lt;&gt;"",$A516&lt;&gt;""),1,0)</f>
        <v/>
      </c>
      <c r="AR516">
        <f>SUM($AQ$6:$AQ516)</f>
        <v/>
      </c>
      <c r="AS516">
        <f>IFERROR(INDEX($A$6:$A$565,MATCH(ROW()-5,$AR$6:$AR$565,0)),"")</f>
        <v/>
      </c>
    </row>
    <row r="517">
      <c r="A517">
        <f>IF([1]Accounts!$D$518="","",[1]Accounts!$A$518)</f>
        <v/>
      </c>
      <c r="B517">
        <f>IF([1]Accounts!$D$518="","",[1]Accounts!$B$518)</f>
        <v/>
      </c>
      <c r="C517">
        <f>IF([1]Accounts!$D$518="","",[1]Accounts!$C$518)</f>
        <v/>
      </c>
      <c r="D517">
        <f>IF([1]Accounts!$D$518="","",[1]Accounts!$D$518)</f>
        <v/>
      </c>
      <c r="E517">
        <f>IF([1]Accounts!$D$518="","",[1]Accounts!$J$518)</f>
        <v/>
      </c>
      <c r="F517">
        <f>IF([1]Accounts!$D$518="","",[1]Accounts!$K$518)</f>
        <v/>
      </c>
      <c r="U517">
        <f>IF([2]Baskol!$B$520="","",[2]Baskol!$B$520)</f>
        <v/>
      </c>
      <c r="V517">
        <f>IF([2]Baskol!$C$520="","",[2]Baskol!$C$520)</f>
        <v/>
      </c>
      <c r="W517">
        <f>IF([2]Baskol!$D$520="","",[2]Baskol!$D$520)</f>
        <v/>
      </c>
      <c r="X517">
        <f>IF([2]Baskol!$E$520="","",[2]Baskol!$E$520)</f>
        <v/>
      </c>
      <c r="Y517">
        <f>IF([2]Baskol!$G$520="","",[2]Baskol!$G$520)</f>
        <v/>
      </c>
      <c r="Z517">
        <f>IF([2]Baskol!$I$520="","",[2]Baskol!$I$520)</f>
        <v/>
      </c>
      <c r="AA517">
        <f>IF([2]Baskol!$J$520="","",[2]Baskol!$J$520)</f>
        <v/>
      </c>
      <c r="AB517">
        <f>IF([2]Baskol!$K$520="","",[2]Baskol!$K$520)</f>
        <v/>
      </c>
      <c r="AC517">
        <f>IF([2]Baskol!$L$520="","",[2]Baskol!$L$520)</f>
        <v/>
      </c>
      <c r="AD517">
        <f>IF([2]Baskol!$N$520="","",[2]Baskol!$N$520)</f>
        <v/>
      </c>
      <c r="AE517">
        <f>IF([2]Baskol!$O$520="","",[2]Baskol!$O$520)</f>
        <v/>
      </c>
      <c r="AG517">
        <f>IF([3]Entry!$C$520="","",[3]Entry!$C$520)</f>
        <v/>
      </c>
      <c r="AH517">
        <f>IF([3]Entry!$D$520="","",[3]Entry!$D$520)</f>
        <v/>
      </c>
      <c r="AI517">
        <f>IF([3]Entry!$E$520="","",[3]Entry!$E$520)</f>
        <v/>
      </c>
      <c r="AJ517">
        <f>IF([3]Entry!$G$520="","",[3]Entry!$G$520)</f>
        <v/>
      </c>
      <c r="AK517">
        <f>IF([3]Entry!$K$520="","",[3]Entry!$K$520)</f>
        <v/>
      </c>
      <c r="AL517">
        <f>IF([3]Entry!$L$520="","",[3]Entry!$L$520)</f>
        <v/>
      </c>
      <c r="AM517">
        <f>IF([3]Entry!$M$520="","",[3]Entry!$M$520)</f>
        <v/>
      </c>
      <c r="AN517">
        <f>IF([3]Entry!$N$520="","",[3]Entry!$N$520)</f>
        <v/>
      </c>
      <c r="AO517">
        <f>IF([3]Entry!$R$520="","",[3]Entry!$R$520)</f>
        <v/>
      </c>
      <c r="AQ517">
        <f>IF(AND($D517&lt;&gt;"",$A517&lt;&gt;""),1,0)</f>
        <v/>
      </c>
      <c r="AR517">
        <f>SUM($AQ$6:$AQ517)</f>
        <v/>
      </c>
      <c r="AS517">
        <f>IFERROR(INDEX($A$6:$A$565,MATCH(ROW()-5,$AR$6:$AR$565,0)),"")</f>
        <v/>
      </c>
    </row>
    <row r="518">
      <c r="A518">
        <f>IF([1]Accounts!$D$519="","",[1]Accounts!$A$519)</f>
        <v/>
      </c>
      <c r="B518">
        <f>IF([1]Accounts!$D$519="","",[1]Accounts!$B$519)</f>
        <v/>
      </c>
      <c r="C518">
        <f>IF([1]Accounts!$D$519="","",[1]Accounts!$C$519)</f>
        <v/>
      </c>
      <c r="D518">
        <f>IF([1]Accounts!$D$519="","",[1]Accounts!$D$519)</f>
        <v/>
      </c>
      <c r="E518">
        <f>IF([1]Accounts!$D$519="","",[1]Accounts!$J$519)</f>
        <v/>
      </c>
      <c r="F518">
        <f>IF([1]Accounts!$D$519="","",[1]Accounts!$K$519)</f>
        <v/>
      </c>
      <c r="U518">
        <f>IF([2]Baskol!$B$521="","",[2]Baskol!$B$521)</f>
        <v/>
      </c>
      <c r="V518">
        <f>IF([2]Baskol!$C$521="","",[2]Baskol!$C$521)</f>
        <v/>
      </c>
      <c r="W518">
        <f>IF([2]Baskol!$D$521="","",[2]Baskol!$D$521)</f>
        <v/>
      </c>
      <c r="X518">
        <f>IF([2]Baskol!$E$521="","",[2]Baskol!$E$521)</f>
        <v/>
      </c>
      <c r="Y518">
        <f>IF([2]Baskol!$G$521="","",[2]Baskol!$G$521)</f>
        <v/>
      </c>
      <c r="Z518">
        <f>IF([2]Baskol!$I$521="","",[2]Baskol!$I$521)</f>
        <v/>
      </c>
      <c r="AA518">
        <f>IF([2]Baskol!$J$521="","",[2]Baskol!$J$521)</f>
        <v/>
      </c>
      <c r="AB518">
        <f>IF([2]Baskol!$K$521="","",[2]Baskol!$K$521)</f>
        <v/>
      </c>
      <c r="AC518">
        <f>IF([2]Baskol!$L$521="","",[2]Baskol!$L$521)</f>
        <v/>
      </c>
      <c r="AD518">
        <f>IF([2]Baskol!$N$521="","",[2]Baskol!$N$521)</f>
        <v/>
      </c>
      <c r="AE518">
        <f>IF([2]Baskol!$O$521="","",[2]Baskol!$O$521)</f>
        <v/>
      </c>
      <c r="AG518">
        <f>IF([3]Entry!$C$521="","",[3]Entry!$C$521)</f>
        <v/>
      </c>
      <c r="AH518">
        <f>IF([3]Entry!$D$521="","",[3]Entry!$D$521)</f>
        <v/>
      </c>
      <c r="AI518">
        <f>IF([3]Entry!$E$521="","",[3]Entry!$E$521)</f>
        <v/>
      </c>
      <c r="AJ518">
        <f>IF([3]Entry!$G$521="","",[3]Entry!$G$521)</f>
        <v/>
      </c>
      <c r="AK518">
        <f>IF([3]Entry!$K$521="","",[3]Entry!$K$521)</f>
        <v/>
      </c>
      <c r="AL518">
        <f>IF([3]Entry!$L$521="","",[3]Entry!$L$521)</f>
        <v/>
      </c>
      <c r="AM518">
        <f>IF([3]Entry!$M$521="","",[3]Entry!$M$521)</f>
        <v/>
      </c>
      <c r="AN518">
        <f>IF([3]Entry!$N$521="","",[3]Entry!$N$521)</f>
        <v/>
      </c>
      <c r="AO518">
        <f>IF([3]Entry!$R$521="","",[3]Entry!$R$521)</f>
        <v/>
      </c>
      <c r="AQ518">
        <f>IF(AND($D518&lt;&gt;"",$A518&lt;&gt;""),1,0)</f>
        <v/>
      </c>
      <c r="AR518">
        <f>SUM($AQ$6:$AQ518)</f>
        <v/>
      </c>
      <c r="AS518">
        <f>IFERROR(INDEX($A$6:$A$565,MATCH(ROW()-5,$AR$6:$AR$565,0)),"")</f>
        <v/>
      </c>
    </row>
    <row r="519">
      <c r="A519">
        <f>IF([1]Accounts!$D$520="","",[1]Accounts!$A$520)</f>
        <v/>
      </c>
      <c r="B519">
        <f>IF([1]Accounts!$D$520="","",[1]Accounts!$B$520)</f>
        <v/>
      </c>
      <c r="C519">
        <f>IF([1]Accounts!$D$520="","",[1]Accounts!$C$520)</f>
        <v/>
      </c>
      <c r="D519">
        <f>IF([1]Accounts!$D$520="","",[1]Accounts!$D$520)</f>
        <v/>
      </c>
      <c r="E519">
        <f>IF([1]Accounts!$D$520="","",[1]Accounts!$J$520)</f>
        <v/>
      </c>
      <c r="F519">
        <f>IF([1]Accounts!$D$520="","",[1]Accounts!$K$520)</f>
        <v/>
      </c>
      <c r="U519">
        <f>IF([2]Baskol!$B$522="","",[2]Baskol!$B$522)</f>
        <v/>
      </c>
      <c r="V519">
        <f>IF([2]Baskol!$C$522="","",[2]Baskol!$C$522)</f>
        <v/>
      </c>
      <c r="W519">
        <f>IF([2]Baskol!$D$522="","",[2]Baskol!$D$522)</f>
        <v/>
      </c>
      <c r="X519">
        <f>IF([2]Baskol!$E$522="","",[2]Baskol!$E$522)</f>
        <v/>
      </c>
      <c r="Y519">
        <f>IF([2]Baskol!$G$522="","",[2]Baskol!$G$522)</f>
        <v/>
      </c>
      <c r="Z519">
        <f>IF([2]Baskol!$I$522="","",[2]Baskol!$I$522)</f>
        <v/>
      </c>
      <c r="AA519">
        <f>IF([2]Baskol!$J$522="","",[2]Baskol!$J$522)</f>
        <v/>
      </c>
      <c r="AB519">
        <f>IF([2]Baskol!$K$522="","",[2]Baskol!$K$522)</f>
        <v/>
      </c>
      <c r="AC519">
        <f>IF([2]Baskol!$L$522="","",[2]Baskol!$L$522)</f>
        <v/>
      </c>
      <c r="AD519">
        <f>IF([2]Baskol!$N$522="","",[2]Baskol!$N$522)</f>
        <v/>
      </c>
      <c r="AE519">
        <f>IF([2]Baskol!$O$522="","",[2]Baskol!$O$522)</f>
        <v/>
      </c>
      <c r="AG519">
        <f>IF([3]Entry!$C$522="","",[3]Entry!$C$522)</f>
        <v/>
      </c>
      <c r="AH519">
        <f>IF([3]Entry!$D$522="","",[3]Entry!$D$522)</f>
        <v/>
      </c>
      <c r="AI519">
        <f>IF([3]Entry!$E$522="","",[3]Entry!$E$522)</f>
        <v/>
      </c>
      <c r="AJ519">
        <f>IF([3]Entry!$G$522="","",[3]Entry!$G$522)</f>
        <v/>
      </c>
      <c r="AK519">
        <f>IF([3]Entry!$K$522="","",[3]Entry!$K$522)</f>
        <v/>
      </c>
      <c r="AL519">
        <f>IF([3]Entry!$L$522="","",[3]Entry!$L$522)</f>
        <v/>
      </c>
      <c r="AM519">
        <f>IF([3]Entry!$M$522="","",[3]Entry!$M$522)</f>
        <v/>
      </c>
      <c r="AN519">
        <f>IF([3]Entry!$N$522="","",[3]Entry!$N$522)</f>
        <v/>
      </c>
      <c r="AO519">
        <f>IF([3]Entry!$R$522="","",[3]Entry!$R$522)</f>
        <v/>
      </c>
      <c r="AQ519">
        <f>IF(AND($D519&lt;&gt;"",$A519&lt;&gt;""),1,0)</f>
        <v/>
      </c>
      <c r="AR519">
        <f>SUM($AQ$6:$AQ519)</f>
        <v/>
      </c>
      <c r="AS519">
        <f>IFERROR(INDEX($A$6:$A$565,MATCH(ROW()-5,$AR$6:$AR$565,0)),"")</f>
        <v/>
      </c>
    </row>
    <row r="520">
      <c r="A520">
        <f>IF([1]Accounts!$D$521="","",[1]Accounts!$A$521)</f>
        <v/>
      </c>
      <c r="B520">
        <f>IF([1]Accounts!$D$521="","",[1]Accounts!$B$521)</f>
        <v/>
      </c>
      <c r="C520">
        <f>IF([1]Accounts!$D$521="","",[1]Accounts!$C$521)</f>
        <v/>
      </c>
      <c r="D520">
        <f>IF([1]Accounts!$D$521="","",[1]Accounts!$D$521)</f>
        <v/>
      </c>
      <c r="E520">
        <f>IF([1]Accounts!$D$521="","",[1]Accounts!$J$521)</f>
        <v/>
      </c>
      <c r="F520">
        <f>IF([1]Accounts!$D$521="","",[1]Accounts!$K$521)</f>
        <v/>
      </c>
      <c r="U520">
        <f>IF([2]Baskol!$B$523="","",[2]Baskol!$B$523)</f>
        <v/>
      </c>
      <c r="V520">
        <f>IF([2]Baskol!$C$523="","",[2]Baskol!$C$523)</f>
        <v/>
      </c>
      <c r="W520">
        <f>IF([2]Baskol!$D$523="","",[2]Baskol!$D$523)</f>
        <v/>
      </c>
      <c r="X520">
        <f>IF([2]Baskol!$E$523="","",[2]Baskol!$E$523)</f>
        <v/>
      </c>
      <c r="Y520">
        <f>IF([2]Baskol!$G$523="","",[2]Baskol!$G$523)</f>
        <v/>
      </c>
      <c r="Z520">
        <f>IF([2]Baskol!$I$523="","",[2]Baskol!$I$523)</f>
        <v/>
      </c>
      <c r="AA520">
        <f>IF([2]Baskol!$J$523="","",[2]Baskol!$J$523)</f>
        <v/>
      </c>
      <c r="AB520">
        <f>IF([2]Baskol!$K$523="","",[2]Baskol!$K$523)</f>
        <v/>
      </c>
      <c r="AC520">
        <f>IF([2]Baskol!$L$523="","",[2]Baskol!$L$523)</f>
        <v/>
      </c>
      <c r="AD520">
        <f>IF([2]Baskol!$N$523="","",[2]Baskol!$N$523)</f>
        <v/>
      </c>
      <c r="AE520">
        <f>IF([2]Baskol!$O$523="","",[2]Baskol!$O$523)</f>
        <v/>
      </c>
      <c r="AG520">
        <f>IF([3]Entry!$C$523="","",[3]Entry!$C$523)</f>
        <v/>
      </c>
      <c r="AH520">
        <f>IF([3]Entry!$D$523="","",[3]Entry!$D$523)</f>
        <v/>
      </c>
      <c r="AI520">
        <f>IF([3]Entry!$E$523="","",[3]Entry!$E$523)</f>
        <v/>
      </c>
      <c r="AJ520">
        <f>IF([3]Entry!$G$523="","",[3]Entry!$G$523)</f>
        <v/>
      </c>
      <c r="AK520">
        <f>IF([3]Entry!$K$523="","",[3]Entry!$K$523)</f>
        <v/>
      </c>
      <c r="AL520">
        <f>IF([3]Entry!$L$523="","",[3]Entry!$L$523)</f>
        <v/>
      </c>
      <c r="AM520">
        <f>IF([3]Entry!$M$523="","",[3]Entry!$M$523)</f>
        <v/>
      </c>
      <c r="AN520">
        <f>IF([3]Entry!$N$523="","",[3]Entry!$N$523)</f>
        <v/>
      </c>
      <c r="AO520">
        <f>IF([3]Entry!$R$523="","",[3]Entry!$R$523)</f>
        <v/>
      </c>
      <c r="AQ520">
        <f>IF(AND($D520&lt;&gt;"",$A520&lt;&gt;""),1,0)</f>
        <v/>
      </c>
      <c r="AR520">
        <f>SUM($AQ$6:$AQ520)</f>
        <v/>
      </c>
      <c r="AS520">
        <f>IFERROR(INDEX($A$6:$A$565,MATCH(ROW()-5,$AR$6:$AR$565,0)),"")</f>
        <v/>
      </c>
    </row>
    <row r="521">
      <c r="A521">
        <f>IF([1]Accounts!$D$522="","",[1]Accounts!$A$522)</f>
        <v/>
      </c>
      <c r="B521">
        <f>IF([1]Accounts!$D$522="","",[1]Accounts!$B$522)</f>
        <v/>
      </c>
      <c r="C521">
        <f>IF([1]Accounts!$D$522="","",[1]Accounts!$C$522)</f>
        <v/>
      </c>
      <c r="D521">
        <f>IF([1]Accounts!$D$522="","",[1]Accounts!$D$522)</f>
        <v/>
      </c>
      <c r="E521">
        <f>IF([1]Accounts!$D$522="","",[1]Accounts!$J$522)</f>
        <v/>
      </c>
      <c r="F521">
        <f>IF([1]Accounts!$D$522="","",[1]Accounts!$K$522)</f>
        <v/>
      </c>
      <c r="U521">
        <f>IF([2]Baskol!$B$524="","",[2]Baskol!$B$524)</f>
        <v/>
      </c>
      <c r="V521">
        <f>IF([2]Baskol!$C$524="","",[2]Baskol!$C$524)</f>
        <v/>
      </c>
      <c r="W521">
        <f>IF([2]Baskol!$D$524="","",[2]Baskol!$D$524)</f>
        <v/>
      </c>
      <c r="X521">
        <f>IF([2]Baskol!$E$524="","",[2]Baskol!$E$524)</f>
        <v/>
      </c>
      <c r="Y521">
        <f>IF([2]Baskol!$G$524="","",[2]Baskol!$G$524)</f>
        <v/>
      </c>
      <c r="Z521">
        <f>IF([2]Baskol!$I$524="","",[2]Baskol!$I$524)</f>
        <v/>
      </c>
      <c r="AA521">
        <f>IF([2]Baskol!$J$524="","",[2]Baskol!$J$524)</f>
        <v/>
      </c>
      <c r="AB521">
        <f>IF([2]Baskol!$K$524="","",[2]Baskol!$K$524)</f>
        <v/>
      </c>
      <c r="AC521">
        <f>IF([2]Baskol!$L$524="","",[2]Baskol!$L$524)</f>
        <v/>
      </c>
      <c r="AD521">
        <f>IF([2]Baskol!$N$524="","",[2]Baskol!$N$524)</f>
        <v/>
      </c>
      <c r="AE521">
        <f>IF([2]Baskol!$O$524="","",[2]Baskol!$O$524)</f>
        <v/>
      </c>
      <c r="AG521">
        <f>IF([3]Entry!$C$524="","",[3]Entry!$C$524)</f>
        <v/>
      </c>
      <c r="AH521">
        <f>IF([3]Entry!$D$524="","",[3]Entry!$D$524)</f>
        <v/>
      </c>
      <c r="AI521">
        <f>IF([3]Entry!$E$524="","",[3]Entry!$E$524)</f>
        <v/>
      </c>
      <c r="AJ521">
        <f>IF([3]Entry!$G$524="","",[3]Entry!$G$524)</f>
        <v/>
      </c>
      <c r="AK521">
        <f>IF([3]Entry!$K$524="","",[3]Entry!$K$524)</f>
        <v/>
      </c>
      <c r="AL521">
        <f>IF([3]Entry!$L$524="","",[3]Entry!$L$524)</f>
        <v/>
      </c>
      <c r="AM521">
        <f>IF([3]Entry!$M$524="","",[3]Entry!$M$524)</f>
        <v/>
      </c>
      <c r="AN521">
        <f>IF([3]Entry!$N$524="","",[3]Entry!$N$524)</f>
        <v/>
      </c>
      <c r="AO521">
        <f>IF([3]Entry!$R$524="","",[3]Entry!$R$524)</f>
        <v/>
      </c>
      <c r="AQ521">
        <f>IF(AND($D521&lt;&gt;"",$A521&lt;&gt;""),1,0)</f>
        <v/>
      </c>
      <c r="AR521">
        <f>SUM($AQ$6:$AQ521)</f>
        <v/>
      </c>
      <c r="AS521">
        <f>IFERROR(INDEX($A$6:$A$565,MATCH(ROW()-5,$AR$6:$AR$565,0)),"")</f>
        <v/>
      </c>
    </row>
    <row r="522">
      <c r="A522">
        <f>IF([1]Accounts!$D$523="","",[1]Accounts!$A$523)</f>
        <v/>
      </c>
      <c r="B522">
        <f>IF([1]Accounts!$D$523="","",[1]Accounts!$B$523)</f>
        <v/>
      </c>
      <c r="C522">
        <f>IF([1]Accounts!$D$523="","",[1]Accounts!$C$523)</f>
        <v/>
      </c>
      <c r="D522">
        <f>IF([1]Accounts!$D$523="","",[1]Accounts!$D$523)</f>
        <v/>
      </c>
      <c r="E522">
        <f>IF([1]Accounts!$D$523="","",[1]Accounts!$J$523)</f>
        <v/>
      </c>
      <c r="F522">
        <f>IF([1]Accounts!$D$523="","",[1]Accounts!$K$523)</f>
        <v/>
      </c>
      <c r="U522">
        <f>IF([2]Baskol!$B$525="","",[2]Baskol!$B$525)</f>
        <v/>
      </c>
      <c r="V522">
        <f>IF([2]Baskol!$C$525="","",[2]Baskol!$C$525)</f>
        <v/>
      </c>
      <c r="W522">
        <f>IF([2]Baskol!$D$525="","",[2]Baskol!$D$525)</f>
        <v/>
      </c>
      <c r="X522">
        <f>IF([2]Baskol!$E$525="","",[2]Baskol!$E$525)</f>
        <v/>
      </c>
      <c r="Y522">
        <f>IF([2]Baskol!$G$525="","",[2]Baskol!$G$525)</f>
        <v/>
      </c>
      <c r="Z522">
        <f>IF([2]Baskol!$I$525="","",[2]Baskol!$I$525)</f>
        <v/>
      </c>
      <c r="AA522">
        <f>IF([2]Baskol!$J$525="","",[2]Baskol!$J$525)</f>
        <v/>
      </c>
      <c r="AB522">
        <f>IF([2]Baskol!$K$525="","",[2]Baskol!$K$525)</f>
        <v/>
      </c>
      <c r="AC522">
        <f>IF([2]Baskol!$L$525="","",[2]Baskol!$L$525)</f>
        <v/>
      </c>
      <c r="AD522">
        <f>IF([2]Baskol!$N$525="","",[2]Baskol!$N$525)</f>
        <v/>
      </c>
      <c r="AE522">
        <f>IF([2]Baskol!$O$525="","",[2]Baskol!$O$525)</f>
        <v/>
      </c>
      <c r="AG522">
        <f>IF([3]Entry!$C$525="","",[3]Entry!$C$525)</f>
        <v/>
      </c>
      <c r="AH522">
        <f>IF([3]Entry!$D$525="","",[3]Entry!$D$525)</f>
        <v/>
      </c>
      <c r="AI522">
        <f>IF([3]Entry!$E$525="","",[3]Entry!$E$525)</f>
        <v/>
      </c>
      <c r="AJ522">
        <f>IF([3]Entry!$G$525="","",[3]Entry!$G$525)</f>
        <v/>
      </c>
      <c r="AK522">
        <f>IF([3]Entry!$K$525="","",[3]Entry!$K$525)</f>
        <v/>
      </c>
      <c r="AL522">
        <f>IF([3]Entry!$L$525="","",[3]Entry!$L$525)</f>
        <v/>
      </c>
      <c r="AM522">
        <f>IF([3]Entry!$M$525="","",[3]Entry!$M$525)</f>
        <v/>
      </c>
      <c r="AN522">
        <f>IF([3]Entry!$N$525="","",[3]Entry!$N$525)</f>
        <v/>
      </c>
      <c r="AO522">
        <f>IF([3]Entry!$R$525="","",[3]Entry!$R$525)</f>
        <v/>
      </c>
      <c r="AQ522">
        <f>IF(AND($D522&lt;&gt;"",$A522&lt;&gt;""),1,0)</f>
        <v/>
      </c>
      <c r="AR522">
        <f>SUM($AQ$6:$AQ522)</f>
        <v/>
      </c>
      <c r="AS522">
        <f>IFERROR(INDEX($A$6:$A$565,MATCH(ROW()-5,$AR$6:$AR$565,0)),"")</f>
        <v/>
      </c>
    </row>
    <row r="523">
      <c r="A523">
        <f>IF([1]Accounts!$D$524="","",[1]Accounts!$A$524)</f>
        <v/>
      </c>
      <c r="B523">
        <f>IF([1]Accounts!$D$524="","",[1]Accounts!$B$524)</f>
        <v/>
      </c>
      <c r="C523">
        <f>IF([1]Accounts!$D$524="","",[1]Accounts!$C$524)</f>
        <v/>
      </c>
      <c r="D523">
        <f>IF([1]Accounts!$D$524="","",[1]Accounts!$D$524)</f>
        <v/>
      </c>
      <c r="E523">
        <f>IF([1]Accounts!$D$524="","",[1]Accounts!$J$524)</f>
        <v/>
      </c>
      <c r="F523">
        <f>IF([1]Accounts!$D$524="","",[1]Accounts!$K$524)</f>
        <v/>
      </c>
      <c r="U523">
        <f>IF([2]Baskol!$B$526="","",[2]Baskol!$B$526)</f>
        <v/>
      </c>
      <c r="V523">
        <f>IF([2]Baskol!$C$526="","",[2]Baskol!$C$526)</f>
        <v/>
      </c>
      <c r="W523">
        <f>IF([2]Baskol!$D$526="","",[2]Baskol!$D$526)</f>
        <v/>
      </c>
      <c r="X523">
        <f>IF([2]Baskol!$E$526="","",[2]Baskol!$E$526)</f>
        <v/>
      </c>
      <c r="Y523">
        <f>IF([2]Baskol!$G$526="","",[2]Baskol!$G$526)</f>
        <v/>
      </c>
      <c r="Z523">
        <f>IF([2]Baskol!$I$526="","",[2]Baskol!$I$526)</f>
        <v/>
      </c>
      <c r="AA523">
        <f>IF([2]Baskol!$J$526="","",[2]Baskol!$J$526)</f>
        <v/>
      </c>
      <c r="AB523">
        <f>IF([2]Baskol!$K$526="","",[2]Baskol!$K$526)</f>
        <v/>
      </c>
      <c r="AC523">
        <f>IF([2]Baskol!$L$526="","",[2]Baskol!$L$526)</f>
        <v/>
      </c>
      <c r="AD523">
        <f>IF([2]Baskol!$N$526="","",[2]Baskol!$N$526)</f>
        <v/>
      </c>
      <c r="AE523">
        <f>IF([2]Baskol!$O$526="","",[2]Baskol!$O$526)</f>
        <v/>
      </c>
      <c r="AG523">
        <f>IF([3]Entry!$C$526="","",[3]Entry!$C$526)</f>
        <v/>
      </c>
      <c r="AH523">
        <f>IF([3]Entry!$D$526="","",[3]Entry!$D$526)</f>
        <v/>
      </c>
      <c r="AI523">
        <f>IF([3]Entry!$E$526="","",[3]Entry!$E$526)</f>
        <v/>
      </c>
      <c r="AJ523">
        <f>IF([3]Entry!$G$526="","",[3]Entry!$G$526)</f>
        <v/>
      </c>
      <c r="AK523">
        <f>IF([3]Entry!$K$526="","",[3]Entry!$K$526)</f>
        <v/>
      </c>
      <c r="AL523">
        <f>IF([3]Entry!$L$526="","",[3]Entry!$L$526)</f>
        <v/>
      </c>
      <c r="AM523">
        <f>IF([3]Entry!$M$526="","",[3]Entry!$M$526)</f>
        <v/>
      </c>
      <c r="AN523">
        <f>IF([3]Entry!$N$526="","",[3]Entry!$N$526)</f>
        <v/>
      </c>
      <c r="AO523">
        <f>IF([3]Entry!$R$526="","",[3]Entry!$R$526)</f>
        <v/>
      </c>
      <c r="AQ523">
        <f>IF(AND($D523&lt;&gt;"",$A523&lt;&gt;""),1,0)</f>
        <v/>
      </c>
      <c r="AR523">
        <f>SUM($AQ$6:$AQ523)</f>
        <v/>
      </c>
      <c r="AS523">
        <f>IFERROR(INDEX($A$6:$A$565,MATCH(ROW()-5,$AR$6:$AR$565,0)),"")</f>
        <v/>
      </c>
    </row>
    <row r="524">
      <c r="A524">
        <f>IF([1]Accounts!$D$525="","",[1]Accounts!$A$525)</f>
        <v/>
      </c>
      <c r="B524">
        <f>IF([1]Accounts!$D$525="","",[1]Accounts!$B$525)</f>
        <v/>
      </c>
      <c r="C524">
        <f>IF([1]Accounts!$D$525="","",[1]Accounts!$C$525)</f>
        <v/>
      </c>
      <c r="D524">
        <f>IF([1]Accounts!$D$525="","",[1]Accounts!$D$525)</f>
        <v/>
      </c>
      <c r="E524">
        <f>IF([1]Accounts!$D$525="","",[1]Accounts!$J$525)</f>
        <v/>
      </c>
      <c r="F524">
        <f>IF([1]Accounts!$D$525="","",[1]Accounts!$K$525)</f>
        <v/>
      </c>
      <c r="U524">
        <f>IF([2]Baskol!$B$527="","",[2]Baskol!$B$527)</f>
        <v/>
      </c>
      <c r="V524">
        <f>IF([2]Baskol!$C$527="","",[2]Baskol!$C$527)</f>
        <v/>
      </c>
      <c r="W524">
        <f>IF([2]Baskol!$D$527="","",[2]Baskol!$D$527)</f>
        <v/>
      </c>
      <c r="X524">
        <f>IF([2]Baskol!$E$527="","",[2]Baskol!$E$527)</f>
        <v/>
      </c>
      <c r="Y524">
        <f>IF([2]Baskol!$G$527="","",[2]Baskol!$G$527)</f>
        <v/>
      </c>
      <c r="Z524">
        <f>IF([2]Baskol!$I$527="","",[2]Baskol!$I$527)</f>
        <v/>
      </c>
      <c r="AA524">
        <f>IF([2]Baskol!$J$527="","",[2]Baskol!$J$527)</f>
        <v/>
      </c>
      <c r="AB524">
        <f>IF([2]Baskol!$K$527="","",[2]Baskol!$K$527)</f>
        <v/>
      </c>
      <c r="AC524">
        <f>IF([2]Baskol!$L$527="","",[2]Baskol!$L$527)</f>
        <v/>
      </c>
      <c r="AD524">
        <f>IF([2]Baskol!$N$527="","",[2]Baskol!$N$527)</f>
        <v/>
      </c>
      <c r="AE524">
        <f>IF([2]Baskol!$O$527="","",[2]Baskol!$O$527)</f>
        <v/>
      </c>
      <c r="AG524">
        <f>IF([3]Entry!$C$527="","",[3]Entry!$C$527)</f>
        <v/>
      </c>
      <c r="AH524">
        <f>IF([3]Entry!$D$527="","",[3]Entry!$D$527)</f>
        <v/>
      </c>
      <c r="AI524">
        <f>IF([3]Entry!$E$527="","",[3]Entry!$E$527)</f>
        <v/>
      </c>
      <c r="AJ524">
        <f>IF([3]Entry!$G$527="","",[3]Entry!$G$527)</f>
        <v/>
      </c>
      <c r="AK524">
        <f>IF([3]Entry!$K$527="","",[3]Entry!$K$527)</f>
        <v/>
      </c>
      <c r="AL524">
        <f>IF([3]Entry!$L$527="","",[3]Entry!$L$527)</f>
        <v/>
      </c>
      <c r="AM524">
        <f>IF([3]Entry!$M$527="","",[3]Entry!$M$527)</f>
        <v/>
      </c>
      <c r="AN524">
        <f>IF([3]Entry!$N$527="","",[3]Entry!$N$527)</f>
        <v/>
      </c>
      <c r="AO524">
        <f>IF([3]Entry!$R$527="","",[3]Entry!$R$527)</f>
        <v/>
      </c>
      <c r="AQ524">
        <f>IF(AND($D524&lt;&gt;"",$A524&lt;&gt;""),1,0)</f>
        <v/>
      </c>
      <c r="AR524">
        <f>SUM($AQ$6:$AQ524)</f>
        <v/>
      </c>
      <c r="AS524">
        <f>IFERROR(INDEX($A$6:$A$565,MATCH(ROW()-5,$AR$6:$AR$565,0)),"")</f>
        <v/>
      </c>
    </row>
    <row r="525">
      <c r="A525">
        <f>IF([1]Accounts!$D$526="","",[1]Accounts!$A$526)</f>
        <v/>
      </c>
      <c r="B525">
        <f>IF([1]Accounts!$D$526="","",[1]Accounts!$B$526)</f>
        <v/>
      </c>
      <c r="C525">
        <f>IF([1]Accounts!$D$526="","",[1]Accounts!$C$526)</f>
        <v/>
      </c>
      <c r="D525">
        <f>IF([1]Accounts!$D$526="","",[1]Accounts!$D$526)</f>
        <v/>
      </c>
      <c r="E525">
        <f>IF([1]Accounts!$D$526="","",[1]Accounts!$J$526)</f>
        <v/>
      </c>
      <c r="F525">
        <f>IF([1]Accounts!$D$526="","",[1]Accounts!$K$526)</f>
        <v/>
      </c>
      <c r="U525">
        <f>IF([2]Baskol!$B$528="","",[2]Baskol!$B$528)</f>
        <v/>
      </c>
      <c r="V525">
        <f>IF([2]Baskol!$C$528="","",[2]Baskol!$C$528)</f>
        <v/>
      </c>
      <c r="W525">
        <f>IF([2]Baskol!$D$528="","",[2]Baskol!$D$528)</f>
        <v/>
      </c>
      <c r="X525">
        <f>IF([2]Baskol!$E$528="","",[2]Baskol!$E$528)</f>
        <v/>
      </c>
      <c r="Y525">
        <f>IF([2]Baskol!$G$528="","",[2]Baskol!$G$528)</f>
        <v/>
      </c>
      <c r="Z525">
        <f>IF([2]Baskol!$I$528="","",[2]Baskol!$I$528)</f>
        <v/>
      </c>
      <c r="AA525">
        <f>IF([2]Baskol!$J$528="","",[2]Baskol!$J$528)</f>
        <v/>
      </c>
      <c r="AB525">
        <f>IF([2]Baskol!$K$528="","",[2]Baskol!$K$528)</f>
        <v/>
      </c>
      <c r="AC525">
        <f>IF([2]Baskol!$L$528="","",[2]Baskol!$L$528)</f>
        <v/>
      </c>
      <c r="AD525">
        <f>IF([2]Baskol!$N$528="","",[2]Baskol!$N$528)</f>
        <v/>
      </c>
      <c r="AE525">
        <f>IF([2]Baskol!$O$528="","",[2]Baskol!$O$528)</f>
        <v/>
      </c>
      <c r="AG525">
        <f>IF([3]Entry!$C$528="","",[3]Entry!$C$528)</f>
        <v/>
      </c>
      <c r="AH525">
        <f>IF([3]Entry!$D$528="","",[3]Entry!$D$528)</f>
        <v/>
      </c>
      <c r="AI525">
        <f>IF([3]Entry!$E$528="","",[3]Entry!$E$528)</f>
        <v/>
      </c>
      <c r="AJ525">
        <f>IF([3]Entry!$G$528="","",[3]Entry!$G$528)</f>
        <v/>
      </c>
      <c r="AK525">
        <f>IF([3]Entry!$K$528="","",[3]Entry!$K$528)</f>
        <v/>
      </c>
      <c r="AL525">
        <f>IF([3]Entry!$L$528="","",[3]Entry!$L$528)</f>
        <v/>
      </c>
      <c r="AM525">
        <f>IF([3]Entry!$M$528="","",[3]Entry!$M$528)</f>
        <v/>
      </c>
      <c r="AN525">
        <f>IF([3]Entry!$N$528="","",[3]Entry!$N$528)</f>
        <v/>
      </c>
      <c r="AO525">
        <f>IF([3]Entry!$R$528="","",[3]Entry!$R$528)</f>
        <v/>
      </c>
      <c r="AQ525">
        <f>IF(AND($D525&lt;&gt;"",$A525&lt;&gt;""),1,0)</f>
        <v/>
      </c>
      <c r="AR525">
        <f>SUM($AQ$6:$AQ525)</f>
        <v/>
      </c>
      <c r="AS525">
        <f>IFERROR(INDEX($A$6:$A$565,MATCH(ROW()-5,$AR$6:$AR$565,0)),"")</f>
        <v/>
      </c>
    </row>
    <row r="526">
      <c r="A526">
        <f>IF([1]Accounts!$D$527="","",[1]Accounts!$A$527)</f>
        <v/>
      </c>
      <c r="B526">
        <f>IF([1]Accounts!$D$527="","",[1]Accounts!$B$527)</f>
        <v/>
      </c>
      <c r="C526">
        <f>IF([1]Accounts!$D$527="","",[1]Accounts!$C$527)</f>
        <v/>
      </c>
      <c r="D526">
        <f>IF([1]Accounts!$D$527="","",[1]Accounts!$D$527)</f>
        <v/>
      </c>
      <c r="E526">
        <f>IF([1]Accounts!$D$527="","",[1]Accounts!$J$527)</f>
        <v/>
      </c>
      <c r="F526">
        <f>IF([1]Accounts!$D$527="","",[1]Accounts!$K$527)</f>
        <v/>
      </c>
      <c r="U526">
        <f>IF([2]Baskol!$B$529="","",[2]Baskol!$B$529)</f>
        <v/>
      </c>
      <c r="V526">
        <f>IF([2]Baskol!$C$529="","",[2]Baskol!$C$529)</f>
        <v/>
      </c>
      <c r="W526">
        <f>IF([2]Baskol!$D$529="","",[2]Baskol!$D$529)</f>
        <v/>
      </c>
      <c r="X526">
        <f>IF([2]Baskol!$E$529="","",[2]Baskol!$E$529)</f>
        <v/>
      </c>
      <c r="Y526">
        <f>IF([2]Baskol!$G$529="","",[2]Baskol!$G$529)</f>
        <v/>
      </c>
      <c r="Z526">
        <f>IF([2]Baskol!$I$529="","",[2]Baskol!$I$529)</f>
        <v/>
      </c>
      <c r="AA526">
        <f>IF([2]Baskol!$J$529="","",[2]Baskol!$J$529)</f>
        <v/>
      </c>
      <c r="AB526">
        <f>IF([2]Baskol!$K$529="","",[2]Baskol!$K$529)</f>
        <v/>
      </c>
      <c r="AC526">
        <f>IF([2]Baskol!$L$529="","",[2]Baskol!$L$529)</f>
        <v/>
      </c>
      <c r="AD526">
        <f>IF([2]Baskol!$N$529="","",[2]Baskol!$N$529)</f>
        <v/>
      </c>
      <c r="AE526">
        <f>IF([2]Baskol!$O$529="","",[2]Baskol!$O$529)</f>
        <v/>
      </c>
      <c r="AG526">
        <f>IF([3]Entry!$C$529="","",[3]Entry!$C$529)</f>
        <v/>
      </c>
      <c r="AH526">
        <f>IF([3]Entry!$D$529="","",[3]Entry!$D$529)</f>
        <v/>
      </c>
      <c r="AI526">
        <f>IF([3]Entry!$E$529="","",[3]Entry!$E$529)</f>
        <v/>
      </c>
      <c r="AJ526">
        <f>IF([3]Entry!$G$529="","",[3]Entry!$G$529)</f>
        <v/>
      </c>
      <c r="AK526">
        <f>IF([3]Entry!$K$529="","",[3]Entry!$K$529)</f>
        <v/>
      </c>
      <c r="AL526">
        <f>IF([3]Entry!$L$529="","",[3]Entry!$L$529)</f>
        <v/>
      </c>
      <c r="AM526">
        <f>IF([3]Entry!$M$529="","",[3]Entry!$M$529)</f>
        <v/>
      </c>
      <c r="AN526">
        <f>IF([3]Entry!$N$529="","",[3]Entry!$N$529)</f>
        <v/>
      </c>
      <c r="AO526">
        <f>IF([3]Entry!$R$529="","",[3]Entry!$R$529)</f>
        <v/>
      </c>
      <c r="AQ526">
        <f>IF(AND($D526&lt;&gt;"",$A526&lt;&gt;""),1,0)</f>
        <v/>
      </c>
      <c r="AR526">
        <f>SUM($AQ$6:$AQ526)</f>
        <v/>
      </c>
      <c r="AS526">
        <f>IFERROR(INDEX($A$6:$A$565,MATCH(ROW()-5,$AR$6:$AR$565,0)),"")</f>
        <v/>
      </c>
    </row>
    <row r="527">
      <c r="A527">
        <f>IF([1]Accounts!$D$528="","",[1]Accounts!$A$528)</f>
        <v/>
      </c>
      <c r="B527">
        <f>IF([1]Accounts!$D$528="","",[1]Accounts!$B$528)</f>
        <v/>
      </c>
      <c r="C527">
        <f>IF([1]Accounts!$D$528="","",[1]Accounts!$C$528)</f>
        <v/>
      </c>
      <c r="D527">
        <f>IF([1]Accounts!$D$528="","",[1]Accounts!$D$528)</f>
        <v/>
      </c>
      <c r="E527">
        <f>IF([1]Accounts!$D$528="","",[1]Accounts!$J$528)</f>
        <v/>
      </c>
      <c r="F527">
        <f>IF([1]Accounts!$D$528="","",[1]Accounts!$K$528)</f>
        <v/>
      </c>
      <c r="U527">
        <f>IF([2]Baskol!$B$530="","",[2]Baskol!$B$530)</f>
        <v/>
      </c>
      <c r="V527">
        <f>IF([2]Baskol!$C$530="","",[2]Baskol!$C$530)</f>
        <v/>
      </c>
      <c r="W527">
        <f>IF([2]Baskol!$D$530="","",[2]Baskol!$D$530)</f>
        <v/>
      </c>
      <c r="X527">
        <f>IF([2]Baskol!$E$530="","",[2]Baskol!$E$530)</f>
        <v/>
      </c>
      <c r="Y527">
        <f>IF([2]Baskol!$G$530="","",[2]Baskol!$G$530)</f>
        <v/>
      </c>
      <c r="Z527">
        <f>IF([2]Baskol!$I$530="","",[2]Baskol!$I$530)</f>
        <v/>
      </c>
      <c r="AA527">
        <f>IF([2]Baskol!$J$530="","",[2]Baskol!$J$530)</f>
        <v/>
      </c>
      <c r="AB527">
        <f>IF([2]Baskol!$K$530="","",[2]Baskol!$K$530)</f>
        <v/>
      </c>
      <c r="AC527">
        <f>IF([2]Baskol!$L$530="","",[2]Baskol!$L$530)</f>
        <v/>
      </c>
      <c r="AD527">
        <f>IF([2]Baskol!$N$530="","",[2]Baskol!$N$530)</f>
        <v/>
      </c>
      <c r="AE527">
        <f>IF([2]Baskol!$O$530="","",[2]Baskol!$O$530)</f>
        <v/>
      </c>
      <c r="AG527">
        <f>IF([3]Entry!$C$530="","",[3]Entry!$C$530)</f>
        <v/>
      </c>
      <c r="AH527">
        <f>IF([3]Entry!$D$530="","",[3]Entry!$D$530)</f>
        <v/>
      </c>
      <c r="AI527">
        <f>IF([3]Entry!$E$530="","",[3]Entry!$E$530)</f>
        <v/>
      </c>
      <c r="AJ527">
        <f>IF([3]Entry!$G$530="","",[3]Entry!$G$530)</f>
        <v/>
      </c>
      <c r="AK527">
        <f>IF([3]Entry!$K$530="","",[3]Entry!$K$530)</f>
        <v/>
      </c>
      <c r="AL527">
        <f>IF([3]Entry!$L$530="","",[3]Entry!$L$530)</f>
        <v/>
      </c>
      <c r="AM527">
        <f>IF([3]Entry!$M$530="","",[3]Entry!$M$530)</f>
        <v/>
      </c>
      <c r="AN527">
        <f>IF([3]Entry!$N$530="","",[3]Entry!$N$530)</f>
        <v/>
      </c>
      <c r="AO527">
        <f>IF([3]Entry!$R$530="","",[3]Entry!$R$530)</f>
        <v/>
      </c>
      <c r="AQ527">
        <f>IF(AND($D527&lt;&gt;"",$A527&lt;&gt;""),1,0)</f>
        <v/>
      </c>
      <c r="AR527">
        <f>SUM($AQ$6:$AQ527)</f>
        <v/>
      </c>
      <c r="AS527">
        <f>IFERROR(INDEX($A$6:$A$565,MATCH(ROW()-5,$AR$6:$AR$565,0)),"")</f>
        <v/>
      </c>
    </row>
    <row r="528">
      <c r="A528">
        <f>IF([1]Accounts!$D$529="","",[1]Accounts!$A$529)</f>
        <v/>
      </c>
      <c r="B528">
        <f>IF([1]Accounts!$D$529="","",[1]Accounts!$B$529)</f>
        <v/>
      </c>
      <c r="C528">
        <f>IF([1]Accounts!$D$529="","",[1]Accounts!$C$529)</f>
        <v/>
      </c>
      <c r="D528">
        <f>IF([1]Accounts!$D$529="","",[1]Accounts!$D$529)</f>
        <v/>
      </c>
      <c r="E528">
        <f>IF([1]Accounts!$D$529="","",[1]Accounts!$J$529)</f>
        <v/>
      </c>
      <c r="F528">
        <f>IF([1]Accounts!$D$529="","",[1]Accounts!$K$529)</f>
        <v/>
      </c>
      <c r="U528">
        <f>IF([2]Baskol!$B$531="","",[2]Baskol!$B$531)</f>
        <v/>
      </c>
      <c r="V528">
        <f>IF([2]Baskol!$C$531="","",[2]Baskol!$C$531)</f>
        <v/>
      </c>
      <c r="W528">
        <f>IF([2]Baskol!$D$531="","",[2]Baskol!$D$531)</f>
        <v/>
      </c>
      <c r="X528">
        <f>IF([2]Baskol!$E$531="","",[2]Baskol!$E$531)</f>
        <v/>
      </c>
      <c r="Y528">
        <f>IF([2]Baskol!$G$531="","",[2]Baskol!$G$531)</f>
        <v/>
      </c>
      <c r="Z528">
        <f>IF([2]Baskol!$I$531="","",[2]Baskol!$I$531)</f>
        <v/>
      </c>
      <c r="AA528">
        <f>IF([2]Baskol!$J$531="","",[2]Baskol!$J$531)</f>
        <v/>
      </c>
      <c r="AB528">
        <f>IF([2]Baskol!$K$531="","",[2]Baskol!$K$531)</f>
        <v/>
      </c>
      <c r="AC528">
        <f>IF([2]Baskol!$L$531="","",[2]Baskol!$L$531)</f>
        <v/>
      </c>
      <c r="AD528">
        <f>IF([2]Baskol!$N$531="","",[2]Baskol!$N$531)</f>
        <v/>
      </c>
      <c r="AE528">
        <f>IF([2]Baskol!$O$531="","",[2]Baskol!$O$531)</f>
        <v/>
      </c>
      <c r="AG528">
        <f>IF([3]Entry!$C$531="","",[3]Entry!$C$531)</f>
        <v/>
      </c>
      <c r="AH528">
        <f>IF([3]Entry!$D$531="","",[3]Entry!$D$531)</f>
        <v/>
      </c>
      <c r="AI528">
        <f>IF([3]Entry!$E$531="","",[3]Entry!$E$531)</f>
        <v/>
      </c>
      <c r="AJ528">
        <f>IF([3]Entry!$G$531="","",[3]Entry!$G$531)</f>
        <v/>
      </c>
      <c r="AK528">
        <f>IF([3]Entry!$K$531="","",[3]Entry!$K$531)</f>
        <v/>
      </c>
      <c r="AL528">
        <f>IF([3]Entry!$L$531="","",[3]Entry!$L$531)</f>
        <v/>
      </c>
      <c r="AM528">
        <f>IF([3]Entry!$M$531="","",[3]Entry!$M$531)</f>
        <v/>
      </c>
      <c r="AN528">
        <f>IF([3]Entry!$N$531="","",[3]Entry!$N$531)</f>
        <v/>
      </c>
      <c r="AO528">
        <f>IF([3]Entry!$R$531="","",[3]Entry!$R$531)</f>
        <v/>
      </c>
      <c r="AQ528">
        <f>IF(AND($D528&lt;&gt;"",$A528&lt;&gt;""),1,0)</f>
        <v/>
      </c>
      <c r="AR528">
        <f>SUM($AQ$6:$AQ528)</f>
        <v/>
      </c>
      <c r="AS528">
        <f>IFERROR(INDEX($A$6:$A$565,MATCH(ROW()-5,$AR$6:$AR$565,0)),"")</f>
        <v/>
      </c>
    </row>
    <row r="529">
      <c r="A529">
        <f>IF([1]Accounts!$D$530="","",[1]Accounts!$A$530)</f>
        <v/>
      </c>
      <c r="B529">
        <f>IF([1]Accounts!$D$530="","",[1]Accounts!$B$530)</f>
        <v/>
      </c>
      <c r="C529">
        <f>IF([1]Accounts!$D$530="","",[1]Accounts!$C$530)</f>
        <v/>
      </c>
      <c r="D529">
        <f>IF([1]Accounts!$D$530="","",[1]Accounts!$D$530)</f>
        <v/>
      </c>
      <c r="E529">
        <f>IF([1]Accounts!$D$530="","",[1]Accounts!$J$530)</f>
        <v/>
      </c>
      <c r="F529">
        <f>IF([1]Accounts!$D$530="","",[1]Accounts!$K$530)</f>
        <v/>
      </c>
      <c r="U529">
        <f>IF([2]Baskol!$B$532="","",[2]Baskol!$B$532)</f>
        <v/>
      </c>
      <c r="V529">
        <f>IF([2]Baskol!$C$532="","",[2]Baskol!$C$532)</f>
        <v/>
      </c>
      <c r="W529">
        <f>IF([2]Baskol!$D$532="","",[2]Baskol!$D$532)</f>
        <v/>
      </c>
      <c r="X529">
        <f>IF([2]Baskol!$E$532="","",[2]Baskol!$E$532)</f>
        <v/>
      </c>
      <c r="Y529">
        <f>IF([2]Baskol!$G$532="","",[2]Baskol!$G$532)</f>
        <v/>
      </c>
      <c r="Z529">
        <f>IF([2]Baskol!$I$532="","",[2]Baskol!$I$532)</f>
        <v/>
      </c>
      <c r="AA529">
        <f>IF([2]Baskol!$J$532="","",[2]Baskol!$J$532)</f>
        <v/>
      </c>
      <c r="AB529">
        <f>IF([2]Baskol!$K$532="","",[2]Baskol!$K$532)</f>
        <v/>
      </c>
      <c r="AC529">
        <f>IF([2]Baskol!$L$532="","",[2]Baskol!$L$532)</f>
        <v/>
      </c>
      <c r="AD529">
        <f>IF([2]Baskol!$N$532="","",[2]Baskol!$N$532)</f>
        <v/>
      </c>
      <c r="AE529">
        <f>IF([2]Baskol!$O$532="","",[2]Baskol!$O$532)</f>
        <v/>
      </c>
      <c r="AG529">
        <f>IF([3]Entry!$C$532="","",[3]Entry!$C$532)</f>
        <v/>
      </c>
      <c r="AH529">
        <f>IF([3]Entry!$D$532="","",[3]Entry!$D$532)</f>
        <v/>
      </c>
      <c r="AI529">
        <f>IF([3]Entry!$E$532="","",[3]Entry!$E$532)</f>
        <v/>
      </c>
      <c r="AJ529">
        <f>IF([3]Entry!$G$532="","",[3]Entry!$G$532)</f>
        <v/>
      </c>
      <c r="AK529">
        <f>IF([3]Entry!$K$532="","",[3]Entry!$K$532)</f>
        <v/>
      </c>
      <c r="AL529">
        <f>IF([3]Entry!$L$532="","",[3]Entry!$L$532)</f>
        <v/>
      </c>
      <c r="AM529">
        <f>IF([3]Entry!$M$532="","",[3]Entry!$M$532)</f>
        <v/>
      </c>
      <c r="AN529">
        <f>IF([3]Entry!$N$532="","",[3]Entry!$N$532)</f>
        <v/>
      </c>
      <c r="AO529">
        <f>IF([3]Entry!$R$532="","",[3]Entry!$R$532)</f>
        <v/>
      </c>
      <c r="AQ529">
        <f>IF(AND($D529&lt;&gt;"",$A529&lt;&gt;""),1,0)</f>
        <v/>
      </c>
      <c r="AR529">
        <f>SUM($AQ$6:$AQ529)</f>
        <v/>
      </c>
      <c r="AS529">
        <f>IFERROR(INDEX($A$6:$A$565,MATCH(ROW()-5,$AR$6:$AR$565,0)),"")</f>
        <v/>
      </c>
    </row>
    <row r="530">
      <c r="A530">
        <f>IF([1]Accounts!$D$531="","",[1]Accounts!$A$531)</f>
        <v/>
      </c>
      <c r="B530">
        <f>IF([1]Accounts!$D$531="","",[1]Accounts!$B$531)</f>
        <v/>
      </c>
      <c r="C530">
        <f>IF([1]Accounts!$D$531="","",[1]Accounts!$C$531)</f>
        <v/>
      </c>
      <c r="D530">
        <f>IF([1]Accounts!$D$531="","",[1]Accounts!$D$531)</f>
        <v/>
      </c>
      <c r="E530">
        <f>IF([1]Accounts!$D$531="","",[1]Accounts!$J$531)</f>
        <v/>
      </c>
      <c r="F530">
        <f>IF([1]Accounts!$D$531="","",[1]Accounts!$K$531)</f>
        <v/>
      </c>
      <c r="U530">
        <f>IF([2]Baskol!$B$533="","",[2]Baskol!$B$533)</f>
        <v/>
      </c>
      <c r="V530">
        <f>IF([2]Baskol!$C$533="","",[2]Baskol!$C$533)</f>
        <v/>
      </c>
      <c r="W530">
        <f>IF([2]Baskol!$D$533="","",[2]Baskol!$D$533)</f>
        <v/>
      </c>
      <c r="X530">
        <f>IF([2]Baskol!$E$533="","",[2]Baskol!$E$533)</f>
        <v/>
      </c>
      <c r="Y530">
        <f>IF([2]Baskol!$G$533="","",[2]Baskol!$G$533)</f>
        <v/>
      </c>
      <c r="Z530">
        <f>IF([2]Baskol!$I$533="","",[2]Baskol!$I$533)</f>
        <v/>
      </c>
      <c r="AA530">
        <f>IF([2]Baskol!$J$533="","",[2]Baskol!$J$533)</f>
        <v/>
      </c>
      <c r="AB530">
        <f>IF([2]Baskol!$K$533="","",[2]Baskol!$K$533)</f>
        <v/>
      </c>
      <c r="AC530">
        <f>IF([2]Baskol!$L$533="","",[2]Baskol!$L$533)</f>
        <v/>
      </c>
      <c r="AD530">
        <f>IF([2]Baskol!$N$533="","",[2]Baskol!$N$533)</f>
        <v/>
      </c>
      <c r="AE530">
        <f>IF([2]Baskol!$O$533="","",[2]Baskol!$O$533)</f>
        <v/>
      </c>
      <c r="AG530">
        <f>IF([3]Entry!$C$533="","",[3]Entry!$C$533)</f>
        <v/>
      </c>
      <c r="AH530">
        <f>IF([3]Entry!$D$533="","",[3]Entry!$D$533)</f>
        <v/>
      </c>
      <c r="AI530">
        <f>IF([3]Entry!$E$533="","",[3]Entry!$E$533)</f>
        <v/>
      </c>
      <c r="AJ530">
        <f>IF([3]Entry!$G$533="","",[3]Entry!$G$533)</f>
        <v/>
      </c>
      <c r="AK530">
        <f>IF([3]Entry!$K$533="","",[3]Entry!$K$533)</f>
        <v/>
      </c>
      <c r="AL530">
        <f>IF([3]Entry!$L$533="","",[3]Entry!$L$533)</f>
        <v/>
      </c>
      <c r="AM530">
        <f>IF([3]Entry!$M$533="","",[3]Entry!$M$533)</f>
        <v/>
      </c>
      <c r="AN530">
        <f>IF([3]Entry!$N$533="","",[3]Entry!$N$533)</f>
        <v/>
      </c>
      <c r="AO530">
        <f>IF([3]Entry!$R$533="","",[3]Entry!$R$533)</f>
        <v/>
      </c>
      <c r="AQ530">
        <f>IF(AND($D530&lt;&gt;"",$A530&lt;&gt;""),1,0)</f>
        <v/>
      </c>
      <c r="AR530">
        <f>SUM($AQ$6:$AQ530)</f>
        <v/>
      </c>
      <c r="AS530">
        <f>IFERROR(INDEX($A$6:$A$565,MATCH(ROW()-5,$AR$6:$AR$565,0)),"")</f>
        <v/>
      </c>
    </row>
    <row r="531">
      <c r="A531">
        <f>IF([1]Accounts!$D$532="","",[1]Accounts!$A$532)</f>
        <v/>
      </c>
      <c r="B531">
        <f>IF([1]Accounts!$D$532="","",[1]Accounts!$B$532)</f>
        <v/>
      </c>
      <c r="C531">
        <f>IF([1]Accounts!$D$532="","",[1]Accounts!$C$532)</f>
        <v/>
      </c>
      <c r="D531">
        <f>IF([1]Accounts!$D$532="","",[1]Accounts!$D$532)</f>
        <v/>
      </c>
      <c r="E531">
        <f>IF([1]Accounts!$D$532="","",[1]Accounts!$J$532)</f>
        <v/>
      </c>
      <c r="F531">
        <f>IF([1]Accounts!$D$532="","",[1]Accounts!$K$532)</f>
        <v/>
      </c>
      <c r="U531">
        <f>IF([2]Baskol!$B$534="","",[2]Baskol!$B$534)</f>
        <v/>
      </c>
      <c r="V531">
        <f>IF([2]Baskol!$C$534="","",[2]Baskol!$C$534)</f>
        <v/>
      </c>
      <c r="W531">
        <f>IF([2]Baskol!$D$534="","",[2]Baskol!$D$534)</f>
        <v/>
      </c>
      <c r="X531">
        <f>IF([2]Baskol!$E$534="","",[2]Baskol!$E$534)</f>
        <v/>
      </c>
      <c r="Y531">
        <f>IF([2]Baskol!$G$534="","",[2]Baskol!$G$534)</f>
        <v/>
      </c>
      <c r="Z531">
        <f>IF([2]Baskol!$I$534="","",[2]Baskol!$I$534)</f>
        <v/>
      </c>
      <c r="AA531">
        <f>IF([2]Baskol!$J$534="","",[2]Baskol!$J$534)</f>
        <v/>
      </c>
      <c r="AB531">
        <f>IF([2]Baskol!$K$534="","",[2]Baskol!$K$534)</f>
        <v/>
      </c>
      <c r="AC531">
        <f>IF([2]Baskol!$L$534="","",[2]Baskol!$L$534)</f>
        <v/>
      </c>
      <c r="AD531">
        <f>IF([2]Baskol!$N$534="","",[2]Baskol!$N$534)</f>
        <v/>
      </c>
      <c r="AE531">
        <f>IF([2]Baskol!$O$534="","",[2]Baskol!$O$534)</f>
        <v/>
      </c>
      <c r="AG531">
        <f>IF([3]Entry!$C$534="","",[3]Entry!$C$534)</f>
        <v/>
      </c>
      <c r="AH531">
        <f>IF([3]Entry!$D$534="","",[3]Entry!$D$534)</f>
        <v/>
      </c>
      <c r="AI531">
        <f>IF([3]Entry!$E$534="","",[3]Entry!$E$534)</f>
        <v/>
      </c>
      <c r="AJ531">
        <f>IF([3]Entry!$G$534="","",[3]Entry!$G$534)</f>
        <v/>
      </c>
      <c r="AK531">
        <f>IF([3]Entry!$K$534="","",[3]Entry!$K$534)</f>
        <v/>
      </c>
      <c r="AL531">
        <f>IF([3]Entry!$L$534="","",[3]Entry!$L$534)</f>
        <v/>
      </c>
      <c r="AM531">
        <f>IF([3]Entry!$M$534="","",[3]Entry!$M$534)</f>
        <v/>
      </c>
      <c r="AN531">
        <f>IF([3]Entry!$N$534="","",[3]Entry!$N$534)</f>
        <v/>
      </c>
      <c r="AO531">
        <f>IF([3]Entry!$R$534="","",[3]Entry!$R$534)</f>
        <v/>
      </c>
      <c r="AQ531">
        <f>IF(AND($D531&lt;&gt;"",$A531&lt;&gt;""),1,0)</f>
        <v/>
      </c>
      <c r="AR531">
        <f>SUM($AQ$6:$AQ531)</f>
        <v/>
      </c>
      <c r="AS531">
        <f>IFERROR(INDEX($A$6:$A$565,MATCH(ROW()-5,$AR$6:$AR$565,0)),"")</f>
        <v/>
      </c>
    </row>
    <row r="532">
      <c r="A532">
        <f>IF([1]Accounts!$D$533="","",[1]Accounts!$A$533)</f>
        <v/>
      </c>
      <c r="B532">
        <f>IF([1]Accounts!$D$533="","",[1]Accounts!$B$533)</f>
        <v/>
      </c>
      <c r="C532">
        <f>IF([1]Accounts!$D$533="","",[1]Accounts!$C$533)</f>
        <v/>
      </c>
      <c r="D532">
        <f>IF([1]Accounts!$D$533="","",[1]Accounts!$D$533)</f>
        <v/>
      </c>
      <c r="E532">
        <f>IF([1]Accounts!$D$533="","",[1]Accounts!$J$533)</f>
        <v/>
      </c>
      <c r="F532">
        <f>IF([1]Accounts!$D$533="","",[1]Accounts!$K$533)</f>
        <v/>
      </c>
      <c r="U532">
        <f>IF([2]Baskol!$B$535="","",[2]Baskol!$B$535)</f>
        <v/>
      </c>
      <c r="V532">
        <f>IF([2]Baskol!$C$535="","",[2]Baskol!$C$535)</f>
        <v/>
      </c>
      <c r="W532">
        <f>IF([2]Baskol!$D$535="","",[2]Baskol!$D$535)</f>
        <v/>
      </c>
      <c r="X532">
        <f>IF([2]Baskol!$E$535="","",[2]Baskol!$E$535)</f>
        <v/>
      </c>
      <c r="Y532">
        <f>IF([2]Baskol!$G$535="","",[2]Baskol!$G$535)</f>
        <v/>
      </c>
      <c r="Z532">
        <f>IF([2]Baskol!$I$535="","",[2]Baskol!$I$535)</f>
        <v/>
      </c>
      <c r="AA532">
        <f>IF([2]Baskol!$J$535="","",[2]Baskol!$J$535)</f>
        <v/>
      </c>
      <c r="AB532">
        <f>IF([2]Baskol!$K$535="","",[2]Baskol!$K$535)</f>
        <v/>
      </c>
      <c r="AC532">
        <f>IF([2]Baskol!$L$535="","",[2]Baskol!$L$535)</f>
        <v/>
      </c>
      <c r="AD532">
        <f>IF([2]Baskol!$N$535="","",[2]Baskol!$N$535)</f>
        <v/>
      </c>
      <c r="AE532">
        <f>IF([2]Baskol!$O$535="","",[2]Baskol!$O$535)</f>
        <v/>
      </c>
      <c r="AG532">
        <f>IF([3]Entry!$C$535="","",[3]Entry!$C$535)</f>
        <v/>
      </c>
      <c r="AH532">
        <f>IF([3]Entry!$D$535="","",[3]Entry!$D$535)</f>
        <v/>
      </c>
      <c r="AI532">
        <f>IF([3]Entry!$E$535="","",[3]Entry!$E$535)</f>
        <v/>
      </c>
      <c r="AJ532">
        <f>IF([3]Entry!$G$535="","",[3]Entry!$G$535)</f>
        <v/>
      </c>
      <c r="AK532">
        <f>IF([3]Entry!$K$535="","",[3]Entry!$K$535)</f>
        <v/>
      </c>
      <c r="AL532">
        <f>IF([3]Entry!$L$535="","",[3]Entry!$L$535)</f>
        <v/>
      </c>
      <c r="AM532">
        <f>IF([3]Entry!$M$535="","",[3]Entry!$M$535)</f>
        <v/>
      </c>
      <c r="AN532">
        <f>IF([3]Entry!$N$535="","",[3]Entry!$N$535)</f>
        <v/>
      </c>
      <c r="AO532">
        <f>IF([3]Entry!$R$535="","",[3]Entry!$R$535)</f>
        <v/>
      </c>
      <c r="AQ532">
        <f>IF(AND($D532&lt;&gt;"",$A532&lt;&gt;""),1,0)</f>
        <v/>
      </c>
      <c r="AR532">
        <f>SUM($AQ$6:$AQ532)</f>
        <v/>
      </c>
      <c r="AS532">
        <f>IFERROR(INDEX($A$6:$A$565,MATCH(ROW()-5,$AR$6:$AR$565,0)),"")</f>
        <v/>
      </c>
    </row>
    <row r="533">
      <c r="A533">
        <f>IF([1]Accounts!$D$534="","",[1]Accounts!$A$534)</f>
        <v/>
      </c>
      <c r="B533">
        <f>IF([1]Accounts!$D$534="","",[1]Accounts!$B$534)</f>
        <v/>
      </c>
      <c r="C533">
        <f>IF([1]Accounts!$D$534="","",[1]Accounts!$C$534)</f>
        <v/>
      </c>
      <c r="D533">
        <f>IF([1]Accounts!$D$534="","",[1]Accounts!$D$534)</f>
        <v/>
      </c>
      <c r="E533">
        <f>IF([1]Accounts!$D$534="","",[1]Accounts!$J$534)</f>
        <v/>
      </c>
      <c r="F533">
        <f>IF([1]Accounts!$D$534="","",[1]Accounts!$K$534)</f>
        <v/>
      </c>
      <c r="U533">
        <f>IF([2]Baskol!$B$536="","",[2]Baskol!$B$536)</f>
        <v/>
      </c>
      <c r="V533">
        <f>IF([2]Baskol!$C$536="","",[2]Baskol!$C$536)</f>
        <v/>
      </c>
      <c r="W533">
        <f>IF([2]Baskol!$D$536="","",[2]Baskol!$D$536)</f>
        <v/>
      </c>
      <c r="X533">
        <f>IF([2]Baskol!$E$536="","",[2]Baskol!$E$536)</f>
        <v/>
      </c>
      <c r="Y533">
        <f>IF([2]Baskol!$G$536="","",[2]Baskol!$G$536)</f>
        <v/>
      </c>
      <c r="Z533">
        <f>IF([2]Baskol!$I$536="","",[2]Baskol!$I$536)</f>
        <v/>
      </c>
      <c r="AA533">
        <f>IF([2]Baskol!$J$536="","",[2]Baskol!$J$536)</f>
        <v/>
      </c>
      <c r="AB533">
        <f>IF([2]Baskol!$K$536="","",[2]Baskol!$K$536)</f>
        <v/>
      </c>
      <c r="AC533">
        <f>IF([2]Baskol!$L$536="","",[2]Baskol!$L$536)</f>
        <v/>
      </c>
      <c r="AD533">
        <f>IF([2]Baskol!$N$536="","",[2]Baskol!$N$536)</f>
        <v/>
      </c>
      <c r="AE533">
        <f>IF([2]Baskol!$O$536="","",[2]Baskol!$O$536)</f>
        <v/>
      </c>
      <c r="AG533">
        <f>IF([3]Entry!$C$536="","",[3]Entry!$C$536)</f>
        <v/>
      </c>
      <c r="AH533">
        <f>IF([3]Entry!$D$536="","",[3]Entry!$D$536)</f>
        <v/>
      </c>
      <c r="AI533">
        <f>IF([3]Entry!$E$536="","",[3]Entry!$E$536)</f>
        <v/>
      </c>
      <c r="AJ533">
        <f>IF([3]Entry!$G$536="","",[3]Entry!$G$536)</f>
        <v/>
      </c>
      <c r="AK533">
        <f>IF([3]Entry!$K$536="","",[3]Entry!$K$536)</f>
        <v/>
      </c>
      <c r="AL533">
        <f>IF([3]Entry!$L$536="","",[3]Entry!$L$536)</f>
        <v/>
      </c>
      <c r="AM533">
        <f>IF([3]Entry!$M$536="","",[3]Entry!$M$536)</f>
        <v/>
      </c>
      <c r="AN533">
        <f>IF([3]Entry!$N$536="","",[3]Entry!$N$536)</f>
        <v/>
      </c>
      <c r="AO533">
        <f>IF([3]Entry!$R$536="","",[3]Entry!$R$536)</f>
        <v/>
      </c>
      <c r="AQ533">
        <f>IF(AND($D533&lt;&gt;"",$A533&lt;&gt;""),1,0)</f>
        <v/>
      </c>
      <c r="AR533">
        <f>SUM($AQ$6:$AQ533)</f>
        <v/>
      </c>
      <c r="AS533">
        <f>IFERROR(INDEX($A$6:$A$565,MATCH(ROW()-5,$AR$6:$AR$565,0)),"")</f>
        <v/>
      </c>
    </row>
    <row r="534">
      <c r="A534">
        <f>IF([1]Accounts!$D$535="","",[1]Accounts!$A$535)</f>
        <v/>
      </c>
      <c r="B534">
        <f>IF([1]Accounts!$D$535="","",[1]Accounts!$B$535)</f>
        <v/>
      </c>
      <c r="C534">
        <f>IF([1]Accounts!$D$535="","",[1]Accounts!$C$535)</f>
        <v/>
      </c>
      <c r="D534">
        <f>IF([1]Accounts!$D$535="","",[1]Accounts!$D$535)</f>
        <v/>
      </c>
      <c r="E534">
        <f>IF([1]Accounts!$D$535="","",[1]Accounts!$J$535)</f>
        <v/>
      </c>
      <c r="F534">
        <f>IF([1]Accounts!$D$535="","",[1]Accounts!$K$535)</f>
        <v/>
      </c>
      <c r="U534">
        <f>IF([2]Baskol!$B$537="","",[2]Baskol!$B$537)</f>
        <v/>
      </c>
      <c r="V534">
        <f>IF([2]Baskol!$C$537="","",[2]Baskol!$C$537)</f>
        <v/>
      </c>
      <c r="W534">
        <f>IF([2]Baskol!$D$537="","",[2]Baskol!$D$537)</f>
        <v/>
      </c>
      <c r="X534">
        <f>IF([2]Baskol!$E$537="","",[2]Baskol!$E$537)</f>
        <v/>
      </c>
      <c r="Y534">
        <f>IF([2]Baskol!$G$537="","",[2]Baskol!$G$537)</f>
        <v/>
      </c>
      <c r="Z534">
        <f>IF([2]Baskol!$I$537="","",[2]Baskol!$I$537)</f>
        <v/>
      </c>
      <c r="AA534">
        <f>IF([2]Baskol!$J$537="","",[2]Baskol!$J$537)</f>
        <v/>
      </c>
      <c r="AB534">
        <f>IF([2]Baskol!$K$537="","",[2]Baskol!$K$537)</f>
        <v/>
      </c>
      <c r="AC534">
        <f>IF([2]Baskol!$L$537="","",[2]Baskol!$L$537)</f>
        <v/>
      </c>
      <c r="AD534">
        <f>IF([2]Baskol!$N$537="","",[2]Baskol!$N$537)</f>
        <v/>
      </c>
      <c r="AE534">
        <f>IF([2]Baskol!$O$537="","",[2]Baskol!$O$537)</f>
        <v/>
      </c>
      <c r="AG534">
        <f>IF([3]Entry!$C$537="","",[3]Entry!$C$537)</f>
        <v/>
      </c>
      <c r="AH534">
        <f>IF([3]Entry!$D$537="","",[3]Entry!$D$537)</f>
        <v/>
      </c>
      <c r="AI534">
        <f>IF([3]Entry!$E$537="","",[3]Entry!$E$537)</f>
        <v/>
      </c>
      <c r="AJ534">
        <f>IF([3]Entry!$G$537="","",[3]Entry!$G$537)</f>
        <v/>
      </c>
      <c r="AK534">
        <f>IF([3]Entry!$K$537="","",[3]Entry!$K$537)</f>
        <v/>
      </c>
      <c r="AL534">
        <f>IF([3]Entry!$L$537="","",[3]Entry!$L$537)</f>
        <v/>
      </c>
      <c r="AM534">
        <f>IF([3]Entry!$M$537="","",[3]Entry!$M$537)</f>
        <v/>
      </c>
      <c r="AN534">
        <f>IF([3]Entry!$N$537="","",[3]Entry!$N$537)</f>
        <v/>
      </c>
      <c r="AO534">
        <f>IF([3]Entry!$R$537="","",[3]Entry!$R$537)</f>
        <v/>
      </c>
      <c r="AQ534">
        <f>IF(AND($D534&lt;&gt;"",$A534&lt;&gt;""),1,0)</f>
        <v/>
      </c>
      <c r="AR534">
        <f>SUM($AQ$6:$AQ534)</f>
        <v/>
      </c>
      <c r="AS534">
        <f>IFERROR(INDEX($A$6:$A$565,MATCH(ROW()-5,$AR$6:$AR$565,0)),"")</f>
        <v/>
      </c>
    </row>
    <row r="535">
      <c r="A535">
        <f>IF([1]Accounts!$D$536="","",[1]Accounts!$A$536)</f>
        <v/>
      </c>
      <c r="B535">
        <f>IF([1]Accounts!$D$536="","",[1]Accounts!$B$536)</f>
        <v/>
      </c>
      <c r="C535">
        <f>IF([1]Accounts!$D$536="","",[1]Accounts!$C$536)</f>
        <v/>
      </c>
      <c r="D535">
        <f>IF([1]Accounts!$D$536="","",[1]Accounts!$D$536)</f>
        <v/>
      </c>
      <c r="E535">
        <f>IF([1]Accounts!$D$536="","",[1]Accounts!$J$536)</f>
        <v/>
      </c>
      <c r="F535">
        <f>IF([1]Accounts!$D$536="","",[1]Accounts!$K$536)</f>
        <v/>
      </c>
      <c r="U535">
        <f>IF([2]Baskol!$B$538="","",[2]Baskol!$B$538)</f>
        <v/>
      </c>
      <c r="V535">
        <f>IF([2]Baskol!$C$538="","",[2]Baskol!$C$538)</f>
        <v/>
      </c>
      <c r="W535">
        <f>IF([2]Baskol!$D$538="","",[2]Baskol!$D$538)</f>
        <v/>
      </c>
      <c r="X535">
        <f>IF([2]Baskol!$E$538="","",[2]Baskol!$E$538)</f>
        <v/>
      </c>
      <c r="Y535">
        <f>IF([2]Baskol!$G$538="","",[2]Baskol!$G$538)</f>
        <v/>
      </c>
      <c r="Z535">
        <f>IF([2]Baskol!$I$538="","",[2]Baskol!$I$538)</f>
        <v/>
      </c>
      <c r="AA535">
        <f>IF([2]Baskol!$J$538="","",[2]Baskol!$J$538)</f>
        <v/>
      </c>
      <c r="AB535">
        <f>IF([2]Baskol!$K$538="","",[2]Baskol!$K$538)</f>
        <v/>
      </c>
      <c r="AC535">
        <f>IF([2]Baskol!$L$538="","",[2]Baskol!$L$538)</f>
        <v/>
      </c>
      <c r="AD535">
        <f>IF([2]Baskol!$N$538="","",[2]Baskol!$N$538)</f>
        <v/>
      </c>
      <c r="AE535">
        <f>IF([2]Baskol!$O$538="","",[2]Baskol!$O$538)</f>
        <v/>
      </c>
      <c r="AG535">
        <f>IF([3]Entry!$C$538="","",[3]Entry!$C$538)</f>
        <v/>
      </c>
      <c r="AH535">
        <f>IF([3]Entry!$D$538="","",[3]Entry!$D$538)</f>
        <v/>
      </c>
      <c r="AI535">
        <f>IF([3]Entry!$E$538="","",[3]Entry!$E$538)</f>
        <v/>
      </c>
      <c r="AJ535">
        <f>IF([3]Entry!$G$538="","",[3]Entry!$G$538)</f>
        <v/>
      </c>
      <c r="AK535">
        <f>IF([3]Entry!$K$538="","",[3]Entry!$K$538)</f>
        <v/>
      </c>
      <c r="AL535">
        <f>IF([3]Entry!$L$538="","",[3]Entry!$L$538)</f>
        <v/>
      </c>
      <c r="AM535">
        <f>IF([3]Entry!$M$538="","",[3]Entry!$M$538)</f>
        <v/>
      </c>
      <c r="AN535">
        <f>IF([3]Entry!$N$538="","",[3]Entry!$N$538)</f>
        <v/>
      </c>
      <c r="AO535">
        <f>IF([3]Entry!$R$538="","",[3]Entry!$R$538)</f>
        <v/>
      </c>
      <c r="AQ535">
        <f>IF(AND($D535&lt;&gt;"",$A535&lt;&gt;""),1,0)</f>
        <v/>
      </c>
      <c r="AR535">
        <f>SUM($AQ$6:$AQ535)</f>
        <v/>
      </c>
      <c r="AS535">
        <f>IFERROR(INDEX($A$6:$A$565,MATCH(ROW()-5,$AR$6:$AR$565,0)),"")</f>
        <v/>
      </c>
    </row>
    <row r="536">
      <c r="A536">
        <f>IF([1]Accounts!$D$537="","",[1]Accounts!$A$537)</f>
        <v/>
      </c>
      <c r="B536">
        <f>IF([1]Accounts!$D$537="","",[1]Accounts!$B$537)</f>
        <v/>
      </c>
      <c r="C536">
        <f>IF([1]Accounts!$D$537="","",[1]Accounts!$C$537)</f>
        <v/>
      </c>
      <c r="D536">
        <f>IF([1]Accounts!$D$537="","",[1]Accounts!$D$537)</f>
        <v/>
      </c>
      <c r="E536">
        <f>IF([1]Accounts!$D$537="","",[1]Accounts!$J$537)</f>
        <v/>
      </c>
      <c r="F536">
        <f>IF([1]Accounts!$D$537="","",[1]Accounts!$K$537)</f>
        <v/>
      </c>
      <c r="U536">
        <f>IF([2]Baskol!$B$539="","",[2]Baskol!$B$539)</f>
        <v/>
      </c>
      <c r="V536">
        <f>IF([2]Baskol!$C$539="","",[2]Baskol!$C$539)</f>
        <v/>
      </c>
      <c r="W536">
        <f>IF([2]Baskol!$D$539="","",[2]Baskol!$D$539)</f>
        <v/>
      </c>
      <c r="X536">
        <f>IF([2]Baskol!$E$539="","",[2]Baskol!$E$539)</f>
        <v/>
      </c>
      <c r="Y536">
        <f>IF([2]Baskol!$G$539="","",[2]Baskol!$G$539)</f>
        <v/>
      </c>
      <c r="Z536">
        <f>IF([2]Baskol!$I$539="","",[2]Baskol!$I$539)</f>
        <v/>
      </c>
      <c r="AA536">
        <f>IF([2]Baskol!$J$539="","",[2]Baskol!$J$539)</f>
        <v/>
      </c>
      <c r="AB536">
        <f>IF([2]Baskol!$K$539="","",[2]Baskol!$K$539)</f>
        <v/>
      </c>
      <c r="AC536">
        <f>IF([2]Baskol!$L$539="","",[2]Baskol!$L$539)</f>
        <v/>
      </c>
      <c r="AD536">
        <f>IF([2]Baskol!$N$539="","",[2]Baskol!$N$539)</f>
        <v/>
      </c>
      <c r="AE536">
        <f>IF([2]Baskol!$O$539="","",[2]Baskol!$O$539)</f>
        <v/>
      </c>
      <c r="AG536">
        <f>IF([3]Entry!$C$539="","",[3]Entry!$C$539)</f>
        <v/>
      </c>
      <c r="AH536">
        <f>IF([3]Entry!$D$539="","",[3]Entry!$D$539)</f>
        <v/>
      </c>
      <c r="AI536">
        <f>IF([3]Entry!$E$539="","",[3]Entry!$E$539)</f>
        <v/>
      </c>
      <c r="AJ536">
        <f>IF([3]Entry!$G$539="","",[3]Entry!$G$539)</f>
        <v/>
      </c>
      <c r="AK536">
        <f>IF([3]Entry!$K$539="","",[3]Entry!$K$539)</f>
        <v/>
      </c>
      <c r="AL536">
        <f>IF([3]Entry!$L$539="","",[3]Entry!$L$539)</f>
        <v/>
      </c>
      <c r="AM536">
        <f>IF([3]Entry!$M$539="","",[3]Entry!$M$539)</f>
        <v/>
      </c>
      <c r="AN536">
        <f>IF([3]Entry!$N$539="","",[3]Entry!$N$539)</f>
        <v/>
      </c>
      <c r="AO536">
        <f>IF([3]Entry!$R$539="","",[3]Entry!$R$539)</f>
        <v/>
      </c>
      <c r="AQ536">
        <f>IF(AND($D536&lt;&gt;"",$A536&lt;&gt;""),1,0)</f>
        <v/>
      </c>
      <c r="AR536">
        <f>SUM($AQ$6:$AQ536)</f>
        <v/>
      </c>
      <c r="AS536">
        <f>IFERROR(INDEX($A$6:$A$565,MATCH(ROW()-5,$AR$6:$AR$565,0)),"")</f>
        <v/>
      </c>
    </row>
    <row r="537">
      <c r="A537">
        <f>IF([1]Accounts!$D$538="","",[1]Accounts!$A$538)</f>
        <v/>
      </c>
      <c r="B537">
        <f>IF([1]Accounts!$D$538="","",[1]Accounts!$B$538)</f>
        <v/>
      </c>
      <c r="C537">
        <f>IF([1]Accounts!$D$538="","",[1]Accounts!$C$538)</f>
        <v/>
      </c>
      <c r="D537">
        <f>IF([1]Accounts!$D$538="","",[1]Accounts!$D$538)</f>
        <v/>
      </c>
      <c r="E537">
        <f>IF([1]Accounts!$D$538="","",[1]Accounts!$J$538)</f>
        <v/>
      </c>
      <c r="F537">
        <f>IF([1]Accounts!$D$538="","",[1]Accounts!$K$538)</f>
        <v/>
      </c>
      <c r="U537">
        <f>IF([2]Baskol!$B$540="","",[2]Baskol!$B$540)</f>
        <v/>
      </c>
      <c r="V537">
        <f>IF([2]Baskol!$C$540="","",[2]Baskol!$C$540)</f>
        <v/>
      </c>
      <c r="W537">
        <f>IF([2]Baskol!$D$540="","",[2]Baskol!$D$540)</f>
        <v/>
      </c>
      <c r="X537">
        <f>IF([2]Baskol!$E$540="","",[2]Baskol!$E$540)</f>
        <v/>
      </c>
      <c r="Y537">
        <f>IF([2]Baskol!$G$540="","",[2]Baskol!$G$540)</f>
        <v/>
      </c>
      <c r="Z537">
        <f>IF([2]Baskol!$I$540="","",[2]Baskol!$I$540)</f>
        <v/>
      </c>
      <c r="AA537">
        <f>IF([2]Baskol!$J$540="","",[2]Baskol!$J$540)</f>
        <v/>
      </c>
      <c r="AB537">
        <f>IF([2]Baskol!$K$540="","",[2]Baskol!$K$540)</f>
        <v/>
      </c>
      <c r="AC537">
        <f>IF([2]Baskol!$L$540="","",[2]Baskol!$L$540)</f>
        <v/>
      </c>
      <c r="AD537">
        <f>IF([2]Baskol!$N$540="","",[2]Baskol!$N$540)</f>
        <v/>
      </c>
      <c r="AE537">
        <f>IF([2]Baskol!$O$540="","",[2]Baskol!$O$540)</f>
        <v/>
      </c>
      <c r="AG537">
        <f>IF([3]Entry!$C$540="","",[3]Entry!$C$540)</f>
        <v/>
      </c>
      <c r="AH537">
        <f>IF([3]Entry!$D$540="","",[3]Entry!$D$540)</f>
        <v/>
      </c>
      <c r="AI537">
        <f>IF([3]Entry!$E$540="","",[3]Entry!$E$540)</f>
        <v/>
      </c>
      <c r="AJ537">
        <f>IF([3]Entry!$G$540="","",[3]Entry!$G$540)</f>
        <v/>
      </c>
      <c r="AK537">
        <f>IF([3]Entry!$K$540="","",[3]Entry!$K$540)</f>
        <v/>
      </c>
      <c r="AL537">
        <f>IF([3]Entry!$L$540="","",[3]Entry!$L$540)</f>
        <v/>
      </c>
      <c r="AM537">
        <f>IF([3]Entry!$M$540="","",[3]Entry!$M$540)</f>
        <v/>
      </c>
      <c r="AN537">
        <f>IF([3]Entry!$N$540="","",[3]Entry!$N$540)</f>
        <v/>
      </c>
      <c r="AO537">
        <f>IF([3]Entry!$R$540="","",[3]Entry!$R$540)</f>
        <v/>
      </c>
      <c r="AQ537">
        <f>IF(AND($D537&lt;&gt;"",$A537&lt;&gt;""),1,0)</f>
        <v/>
      </c>
      <c r="AR537">
        <f>SUM($AQ$6:$AQ537)</f>
        <v/>
      </c>
      <c r="AS537">
        <f>IFERROR(INDEX($A$6:$A$565,MATCH(ROW()-5,$AR$6:$AR$565,0)),"")</f>
        <v/>
      </c>
    </row>
    <row r="538">
      <c r="A538">
        <f>IF([1]Accounts!$D$539="","",[1]Accounts!$A$539)</f>
        <v/>
      </c>
      <c r="B538">
        <f>IF([1]Accounts!$D$539="","",[1]Accounts!$B$539)</f>
        <v/>
      </c>
      <c r="C538">
        <f>IF([1]Accounts!$D$539="","",[1]Accounts!$C$539)</f>
        <v/>
      </c>
      <c r="D538">
        <f>IF([1]Accounts!$D$539="","",[1]Accounts!$D$539)</f>
        <v/>
      </c>
      <c r="E538">
        <f>IF([1]Accounts!$D$539="","",[1]Accounts!$J$539)</f>
        <v/>
      </c>
      <c r="F538">
        <f>IF([1]Accounts!$D$539="","",[1]Accounts!$K$539)</f>
        <v/>
      </c>
      <c r="U538">
        <f>IF([2]Baskol!$B$541="","",[2]Baskol!$B$541)</f>
        <v/>
      </c>
      <c r="V538">
        <f>IF([2]Baskol!$C$541="","",[2]Baskol!$C$541)</f>
        <v/>
      </c>
      <c r="W538">
        <f>IF([2]Baskol!$D$541="","",[2]Baskol!$D$541)</f>
        <v/>
      </c>
      <c r="X538">
        <f>IF([2]Baskol!$E$541="","",[2]Baskol!$E$541)</f>
        <v/>
      </c>
      <c r="Y538">
        <f>IF([2]Baskol!$G$541="","",[2]Baskol!$G$541)</f>
        <v/>
      </c>
      <c r="Z538">
        <f>IF([2]Baskol!$I$541="","",[2]Baskol!$I$541)</f>
        <v/>
      </c>
      <c r="AA538">
        <f>IF([2]Baskol!$J$541="","",[2]Baskol!$J$541)</f>
        <v/>
      </c>
      <c r="AB538">
        <f>IF([2]Baskol!$K$541="","",[2]Baskol!$K$541)</f>
        <v/>
      </c>
      <c r="AC538">
        <f>IF([2]Baskol!$L$541="","",[2]Baskol!$L$541)</f>
        <v/>
      </c>
      <c r="AD538">
        <f>IF([2]Baskol!$N$541="","",[2]Baskol!$N$541)</f>
        <v/>
      </c>
      <c r="AE538">
        <f>IF([2]Baskol!$O$541="","",[2]Baskol!$O$541)</f>
        <v/>
      </c>
      <c r="AG538">
        <f>IF([3]Entry!$C$541="","",[3]Entry!$C$541)</f>
        <v/>
      </c>
      <c r="AH538">
        <f>IF([3]Entry!$D$541="","",[3]Entry!$D$541)</f>
        <v/>
      </c>
      <c r="AI538">
        <f>IF([3]Entry!$E$541="","",[3]Entry!$E$541)</f>
        <v/>
      </c>
      <c r="AJ538">
        <f>IF([3]Entry!$G$541="","",[3]Entry!$G$541)</f>
        <v/>
      </c>
      <c r="AK538">
        <f>IF([3]Entry!$K$541="","",[3]Entry!$K$541)</f>
        <v/>
      </c>
      <c r="AL538">
        <f>IF([3]Entry!$L$541="","",[3]Entry!$L$541)</f>
        <v/>
      </c>
      <c r="AM538">
        <f>IF([3]Entry!$M$541="","",[3]Entry!$M$541)</f>
        <v/>
      </c>
      <c r="AN538">
        <f>IF([3]Entry!$N$541="","",[3]Entry!$N$541)</f>
        <v/>
      </c>
      <c r="AO538">
        <f>IF([3]Entry!$R$541="","",[3]Entry!$R$541)</f>
        <v/>
      </c>
      <c r="AQ538">
        <f>IF(AND($D538&lt;&gt;"",$A538&lt;&gt;""),1,0)</f>
        <v/>
      </c>
      <c r="AR538">
        <f>SUM($AQ$6:$AQ538)</f>
        <v/>
      </c>
      <c r="AS538">
        <f>IFERROR(INDEX($A$6:$A$565,MATCH(ROW()-5,$AR$6:$AR$565,0)),"")</f>
        <v/>
      </c>
    </row>
    <row r="539">
      <c r="A539">
        <f>IF([1]Accounts!$D$540="","",[1]Accounts!$A$540)</f>
        <v/>
      </c>
      <c r="B539">
        <f>IF([1]Accounts!$D$540="","",[1]Accounts!$B$540)</f>
        <v/>
      </c>
      <c r="C539">
        <f>IF([1]Accounts!$D$540="","",[1]Accounts!$C$540)</f>
        <v/>
      </c>
      <c r="D539">
        <f>IF([1]Accounts!$D$540="","",[1]Accounts!$D$540)</f>
        <v/>
      </c>
      <c r="E539">
        <f>IF([1]Accounts!$D$540="","",[1]Accounts!$J$540)</f>
        <v/>
      </c>
      <c r="F539">
        <f>IF([1]Accounts!$D$540="","",[1]Accounts!$K$540)</f>
        <v/>
      </c>
      <c r="U539">
        <f>IF([2]Baskol!$B$542="","",[2]Baskol!$B$542)</f>
        <v/>
      </c>
      <c r="V539">
        <f>IF([2]Baskol!$C$542="","",[2]Baskol!$C$542)</f>
        <v/>
      </c>
      <c r="W539">
        <f>IF([2]Baskol!$D$542="","",[2]Baskol!$D$542)</f>
        <v/>
      </c>
      <c r="X539">
        <f>IF([2]Baskol!$E$542="","",[2]Baskol!$E$542)</f>
        <v/>
      </c>
      <c r="Y539">
        <f>IF([2]Baskol!$G$542="","",[2]Baskol!$G$542)</f>
        <v/>
      </c>
      <c r="Z539">
        <f>IF([2]Baskol!$I$542="","",[2]Baskol!$I$542)</f>
        <v/>
      </c>
      <c r="AA539">
        <f>IF([2]Baskol!$J$542="","",[2]Baskol!$J$542)</f>
        <v/>
      </c>
      <c r="AB539">
        <f>IF([2]Baskol!$K$542="","",[2]Baskol!$K$542)</f>
        <v/>
      </c>
      <c r="AC539">
        <f>IF([2]Baskol!$L$542="","",[2]Baskol!$L$542)</f>
        <v/>
      </c>
      <c r="AD539">
        <f>IF([2]Baskol!$N$542="","",[2]Baskol!$N$542)</f>
        <v/>
      </c>
      <c r="AE539">
        <f>IF([2]Baskol!$O$542="","",[2]Baskol!$O$542)</f>
        <v/>
      </c>
      <c r="AG539">
        <f>IF([3]Entry!$C$542="","",[3]Entry!$C$542)</f>
        <v/>
      </c>
      <c r="AH539">
        <f>IF([3]Entry!$D$542="","",[3]Entry!$D$542)</f>
        <v/>
      </c>
      <c r="AI539">
        <f>IF([3]Entry!$E$542="","",[3]Entry!$E$542)</f>
        <v/>
      </c>
      <c r="AJ539">
        <f>IF([3]Entry!$G$542="","",[3]Entry!$G$542)</f>
        <v/>
      </c>
      <c r="AK539">
        <f>IF([3]Entry!$K$542="","",[3]Entry!$K$542)</f>
        <v/>
      </c>
      <c r="AL539">
        <f>IF([3]Entry!$L$542="","",[3]Entry!$L$542)</f>
        <v/>
      </c>
      <c r="AM539">
        <f>IF([3]Entry!$M$542="","",[3]Entry!$M$542)</f>
        <v/>
      </c>
      <c r="AN539">
        <f>IF([3]Entry!$N$542="","",[3]Entry!$N$542)</f>
        <v/>
      </c>
      <c r="AO539">
        <f>IF([3]Entry!$R$542="","",[3]Entry!$R$542)</f>
        <v/>
      </c>
      <c r="AQ539">
        <f>IF(AND($D539&lt;&gt;"",$A539&lt;&gt;""),1,0)</f>
        <v/>
      </c>
      <c r="AR539">
        <f>SUM($AQ$6:$AQ539)</f>
        <v/>
      </c>
      <c r="AS539">
        <f>IFERROR(INDEX($A$6:$A$565,MATCH(ROW()-5,$AR$6:$AR$565,0)),"")</f>
        <v/>
      </c>
    </row>
    <row r="540">
      <c r="A540">
        <f>IF([1]Accounts!$D$541="","",[1]Accounts!$A$541)</f>
        <v/>
      </c>
      <c r="B540">
        <f>IF([1]Accounts!$D$541="","",[1]Accounts!$B$541)</f>
        <v/>
      </c>
      <c r="C540">
        <f>IF([1]Accounts!$D$541="","",[1]Accounts!$C$541)</f>
        <v/>
      </c>
      <c r="D540">
        <f>IF([1]Accounts!$D$541="","",[1]Accounts!$D$541)</f>
        <v/>
      </c>
      <c r="E540">
        <f>IF([1]Accounts!$D$541="","",[1]Accounts!$J$541)</f>
        <v/>
      </c>
      <c r="F540">
        <f>IF([1]Accounts!$D$541="","",[1]Accounts!$K$541)</f>
        <v/>
      </c>
      <c r="U540">
        <f>IF([2]Baskol!$B$543="","",[2]Baskol!$B$543)</f>
        <v/>
      </c>
      <c r="V540">
        <f>IF([2]Baskol!$C$543="","",[2]Baskol!$C$543)</f>
        <v/>
      </c>
      <c r="W540">
        <f>IF([2]Baskol!$D$543="","",[2]Baskol!$D$543)</f>
        <v/>
      </c>
      <c r="X540">
        <f>IF([2]Baskol!$E$543="","",[2]Baskol!$E$543)</f>
        <v/>
      </c>
      <c r="Y540">
        <f>IF([2]Baskol!$G$543="","",[2]Baskol!$G$543)</f>
        <v/>
      </c>
      <c r="Z540">
        <f>IF([2]Baskol!$I$543="","",[2]Baskol!$I$543)</f>
        <v/>
      </c>
      <c r="AA540">
        <f>IF([2]Baskol!$J$543="","",[2]Baskol!$J$543)</f>
        <v/>
      </c>
      <c r="AB540">
        <f>IF([2]Baskol!$K$543="","",[2]Baskol!$K$543)</f>
        <v/>
      </c>
      <c r="AC540">
        <f>IF([2]Baskol!$L$543="","",[2]Baskol!$L$543)</f>
        <v/>
      </c>
      <c r="AD540">
        <f>IF([2]Baskol!$N$543="","",[2]Baskol!$N$543)</f>
        <v/>
      </c>
      <c r="AE540">
        <f>IF([2]Baskol!$O$543="","",[2]Baskol!$O$543)</f>
        <v/>
      </c>
      <c r="AG540">
        <f>IF([3]Entry!$C$543="","",[3]Entry!$C$543)</f>
        <v/>
      </c>
      <c r="AH540">
        <f>IF([3]Entry!$D$543="","",[3]Entry!$D$543)</f>
        <v/>
      </c>
      <c r="AI540">
        <f>IF([3]Entry!$E$543="","",[3]Entry!$E$543)</f>
        <v/>
      </c>
      <c r="AJ540">
        <f>IF([3]Entry!$G$543="","",[3]Entry!$G$543)</f>
        <v/>
      </c>
      <c r="AK540">
        <f>IF([3]Entry!$K$543="","",[3]Entry!$K$543)</f>
        <v/>
      </c>
      <c r="AL540">
        <f>IF([3]Entry!$L$543="","",[3]Entry!$L$543)</f>
        <v/>
      </c>
      <c r="AM540">
        <f>IF([3]Entry!$M$543="","",[3]Entry!$M$543)</f>
        <v/>
      </c>
      <c r="AN540">
        <f>IF([3]Entry!$N$543="","",[3]Entry!$N$543)</f>
        <v/>
      </c>
      <c r="AO540">
        <f>IF([3]Entry!$R$543="","",[3]Entry!$R$543)</f>
        <v/>
      </c>
      <c r="AQ540">
        <f>IF(AND($D540&lt;&gt;"",$A540&lt;&gt;""),1,0)</f>
        <v/>
      </c>
      <c r="AR540">
        <f>SUM($AQ$6:$AQ540)</f>
        <v/>
      </c>
      <c r="AS540">
        <f>IFERROR(INDEX($A$6:$A$565,MATCH(ROW()-5,$AR$6:$AR$565,0)),"")</f>
        <v/>
      </c>
    </row>
    <row r="541">
      <c r="A541">
        <f>IF([1]Accounts!$D$542="","",[1]Accounts!$A$542)</f>
        <v/>
      </c>
      <c r="B541">
        <f>IF([1]Accounts!$D$542="","",[1]Accounts!$B$542)</f>
        <v/>
      </c>
      <c r="C541">
        <f>IF([1]Accounts!$D$542="","",[1]Accounts!$C$542)</f>
        <v/>
      </c>
      <c r="D541">
        <f>IF([1]Accounts!$D$542="","",[1]Accounts!$D$542)</f>
        <v/>
      </c>
      <c r="E541">
        <f>IF([1]Accounts!$D$542="","",[1]Accounts!$J$542)</f>
        <v/>
      </c>
      <c r="F541">
        <f>IF([1]Accounts!$D$542="","",[1]Accounts!$K$542)</f>
        <v/>
      </c>
      <c r="U541">
        <f>IF([2]Baskol!$B$544="","",[2]Baskol!$B$544)</f>
        <v/>
      </c>
      <c r="V541">
        <f>IF([2]Baskol!$C$544="","",[2]Baskol!$C$544)</f>
        <v/>
      </c>
      <c r="W541">
        <f>IF([2]Baskol!$D$544="","",[2]Baskol!$D$544)</f>
        <v/>
      </c>
      <c r="X541">
        <f>IF([2]Baskol!$E$544="","",[2]Baskol!$E$544)</f>
        <v/>
      </c>
      <c r="Y541">
        <f>IF([2]Baskol!$G$544="","",[2]Baskol!$G$544)</f>
        <v/>
      </c>
      <c r="Z541">
        <f>IF([2]Baskol!$I$544="","",[2]Baskol!$I$544)</f>
        <v/>
      </c>
      <c r="AA541">
        <f>IF([2]Baskol!$J$544="","",[2]Baskol!$J$544)</f>
        <v/>
      </c>
      <c r="AB541">
        <f>IF([2]Baskol!$K$544="","",[2]Baskol!$K$544)</f>
        <v/>
      </c>
      <c r="AC541">
        <f>IF([2]Baskol!$L$544="","",[2]Baskol!$L$544)</f>
        <v/>
      </c>
      <c r="AD541">
        <f>IF([2]Baskol!$N$544="","",[2]Baskol!$N$544)</f>
        <v/>
      </c>
      <c r="AE541">
        <f>IF([2]Baskol!$O$544="","",[2]Baskol!$O$544)</f>
        <v/>
      </c>
      <c r="AG541">
        <f>IF([3]Entry!$C$544="","",[3]Entry!$C$544)</f>
        <v/>
      </c>
      <c r="AH541">
        <f>IF([3]Entry!$D$544="","",[3]Entry!$D$544)</f>
        <v/>
      </c>
      <c r="AI541">
        <f>IF([3]Entry!$E$544="","",[3]Entry!$E$544)</f>
        <v/>
      </c>
      <c r="AJ541">
        <f>IF([3]Entry!$G$544="","",[3]Entry!$G$544)</f>
        <v/>
      </c>
      <c r="AK541">
        <f>IF([3]Entry!$K$544="","",[3]Entry!$K$544)</f>
        <v/>
      </c>
      <c r="AL541">
        <f>IF([3]Entry!$L$544="","",[3]Entry!$L$544)</f>
        <v/>
      </c>
      <c r="AM541">
        <f>IF([3]Entry!$M$544="","",[3]Entry!$M$544)</f>
        <v/>
      </c>
      <c r="AN541">
        <f>IF([3]Entry!$N$544="","",[3]Entry!$N$544)</f>
        <v/>
      </c>
      <c r="AO541">
        <f>IF([3]Entry!$R$544="","",[3]Entry!$R$544)</f>
        <v/>
      </c>
      <c r="AQ541">
        <f>IF(AND($D541&lt;&gt;"",$A541&lt;&gt;""),1,0)</f>
        <v/>
      </c>
      <c r="AR541">
        <f>SUM($AQ$6:$AQ541)</f>
        <v/>
      </c>
      <c r="AS541">
        <f>IFERROR(INDEX($A$6:$A$565,MATCH(ROW()-5,$AR$6:$AR$565,0)),"")</f>
        <v/>
      </c>
    </row>
    <row r="542">
      <c r="A542">
        <f>IF([1]Accounts!$D$543="","",[1]Accounts!$A$543)</f>
        <v/>
      </c>
      <c r="B542">
        <f>IF([1]Accounts!$D$543="","",[1]Accounts!$B$543)</f>
        <v/>
      </c>
      <c r="C542">
        <f>IF([1]Accounts!$D$543="","",[1]Accounts!$C$543)</f>
        <v/>
      </c>
      <c r="D542">
        <f>IF([1]Accounts!$D$543="","",[1]Accounts!$D$543)</f>
        <v/>
      </c>
      <c r="E542">
        <f>IF([1]Accounts!$D$543="","",[1]Accounts!$J$543)</f>
        <v/>
      </c>
      <c r="F542">
        <f>IF([1]Accounts!$D$543="","",[1]Accounts!$K$543)</f>
        <v/>
      </c>
      <c r="U542">
        <f>IF([2]Baskol!$B$545="","",[2]Baskol!$B$545)</f>
        <v/>
      </c>
      <c r="V542">
        <f>IF([2]Baskol!$C$545="","",[2]Baskol!$C$545)</f>
        <v/>
      </c>
      <c r="W542">
        <f>IF([2]Baskol!$D$545="","",[2]Baskol!$D$545)</f>
        <v/>
      </c>
      <c r="X542">
        <f>IF([2]Baskol!$E$545="","",[2]Baskol!$E$545)</f>
        <v/>
      </c>
      <c r="Y542">
        <f>IF([2]Baskol!$G$545="","",[2]Baskol!$G$545)</f>
        <v/>
      </c>
      <c r="Z542">
        <f>IF([2]Baskol!$I$545="","",[2]Baskol!$I$545)</f>
        <v/>
      </c>
      <c r="AA542">
        <f>IF([2]Baskol!$J$545="","",[2]Baskol!$J$545)</f>
        <v/>
      </c>
      <c r="AB542">
        <f>IF([2]Baskol!$K$545="","",[2]Baskol!$K$545)</f>
        <v/>
      </c>
      <c r="AC542">
        <f>IF([2]Baskol!$L$545="","",[2]Baskol!$L$545)</f>
        <v/>
      </c>
      <c r="AD542">
        <f>IF([2]Baskol!$N$545="","",[2]Baskol!$N$545)</f>
        <v/>
      </c>
      <c r="AE542">
        <f>IF([2]Baskol!$O$545="","",[2]Baskol!$O$545)</f>
        <v/>
      </c>
      <c r="AG542">
        <f>IF([3]Entry!$C$545="","",[3]Entry!$C$545)</f>
        <v/>
      </c>
      <c r="AH542">
        <f>IF([3]Entry!$D$545="","",[3]Entry!$D$545)</f>
        <v/>
      </c>
      <c r="AI542">
        <f>IF([3]Entry!$E$545="","",[3]Entry!$E$545)</f>
        <v/>
      </c>
      <c r="AJ542">
        <f>IF([3]Entry!$G$545="","",[3]Entry!$G$545)</f>
        <v/>
      </c>
      <c r="AK542">
        <f>IF([3]Entry!$K$545="","",[3]Entry!$K$545)</f>
        <v/>
      </c>
      <c r="AL542">
        <f>IF([3]Entry!$L$545="","",[3]Entry!$L$545)</f>
        <v/>
      </c>
      <c r="AM542">
        <f>IF([3]Entry!$M$545="","",[3]Entry!$M$545)</f>
        <v/>
      </c>
      <c r="AN542">
        <f>IF([3]Entry!$N$545="","",[3]Entry!$N$545)</f>
        <v/>
      </c>
      <c r="AO542">
        <f>IF([3]Entry!$R$545="","",[3]Entry!$R$545)</f>
        <v/>
      </c>
      <c r="AQ542">
        <f>IF(AND($D542&lt;&gt;"",$A542&lt;&gt;""),1,0)</f>
        <v/>
      </c>
      <c r="AR542">
        <f>SUM($AQ$6:$AQ542)</f>
        <v/>
      </c>
      <c r="AS542">
        <f>IFERROR(INDEX($A$6:$A$565,MATCH(ROW()-5,$AR$6:$AR$565,0)),"")</f>
        <v/>
      </c>
    </row>
    <row r="543">
      <c r="A543">
        <f>IF([1]Accounts!$D$544="","",[1]Accounts!$A$544)</f>
        <v/>
      </c>
      <c r="B543">
        <f>IF([1]Accounts!$D$544="","",[1]Accounts!$B$544)</f>
        <v/>
      </c>
      <c r="C543">
        <f>IF([1]Accounts!$D$544="","",[1]Accounts!$C$544)</f>
        <v/>
      </c>
      <c r="D543">
        <f>IF([1]Accounts!$D$544="","",[1]Accounts!$D$544)</f>
        <v/>
      </c>
      <c r="E543">
        <f>IF([1]Accounts!$D$544="","",[1]Accounts!$J$544)</f>
        <v/>
      </c>
      <c r="F543">
        <f>IF([1]Accounts!$D$544="","",[1]Accounts!$K$544)</f>
        <v/>
      </c>
      <c r="U543">
        <f>IF([2]Baskol!$B$546="","",[2]Baskol!$B$546)</f>
        <v/>
      </c>
      <c r="V543">
        <f>IF([2]Baskol!$C$546="","",[2]Baskol!$C$546)</f>
        <v/>
      </c>
      <c r="W543">
        <f>IF([2]Baskol!$D$546="","",[2]Baskol!$D$546)</f>
        <v/>
      </c>
      <c r="X543">
        <f>IF([2]Baskol!$E$546="","",[2]Baskol!$E$546)</f>
        <v/>
      </c>
      <c r="Y543">
        <f>IF([2]Baskol!$G$546="","",[2]Baskol!$G$546)</f>
        <v/>
      </c>
      <c r="Z543">
        <f>IF([2]Baskol!$I$546="","",[2]Baskol!$I$546)</f>
        <v/>
      </c>
      <c r="AA543">
        <f>IF([2]Baskol!$J$546="","",[2]Baskol!$J$546)</f>
        <v/>
      </c>
      <c r="AB543">
        <f>IF([2]Baskol!$K$546="","",[2]Baskol!$K$546)</f>
        <v/>
      </c>
      <c r="AC543">
        <f>IF([2]Baskol!$L$546="","",[2]Baskol!$L$546)</f>
        <v/>
      </c>
      <c r="AD543">
        <f>IF([2]Baskol!$N$546="","",[2]Baskol!$N$546)</f>
        <v/>
      </c>
      <c r="AE543">
        <f>IF([2]Baskol!$O$546="","",[2]Baskol!$O$546)</f>
        <v/>
      </c>
      <c r="AG543">
        <f>IF([3]Entry!$C$546="","",[3]Entry!$C$546)</f>
        <v/>
      </c>
      <c r="AH543">
        <f>IF([3]Entry!$D$546="","",[3]Entry!$D$546)</f>
        <v/>
      </c>
      <c r="AI543">
        <f>IF([3]Entry!$E$546="","",[3]Entry!$E$546)</f>
        <v/>
      </c>
      <c r="AJ543">
        <f>IF([3]Entry!$G$546="","",[3]Entry!$G$546)</f>
        <v/>
      </c>
      <c r="AK543">
        <f>IF([3]Entry!$K$546="","",[3]Entry!$K$546)</f>
        <v/>
      </c>
      <c r="AL543">
        <f>IF([3]Entry!$L$546="","",[3]Entry!$L$546)</f>
        <v/>
      </c>
      <c r="AM543">
        <f>IF([3]Entry!$M$546="","",[3]Entry!$M$546)</f>
        <v/>
      </c>
      <c r="AN543">
        <f>IF([3]Entry!$N$546="","",[3]Entry!$N$546)</f>
        <v/>
      </c>
      <c r="AO543">
        <f>IF([3]Entry!$R$546="","",[3]Entry!$R$546)</f>
        <v/>
      </c>
      <c r="AQ543">
        <f>IF(AND($D543&lt;&gt;"",$A543&lt;&gt;""),1,0)</f>
        <v/>
      </c>
      <c r="AR543">
        <f>SUM($AQ$6:$AQ543)</f>
        <v/>
      </c>
      <c r="AS543">
        <f>IFERROR(INDEX($A$6:$A$565,MATCH(ROW()-5,$AR$6:$AR$565,0)),"")</f>
        <v/>
      </c>
    </row>
    <row r="544">
      <c r="A544">
        <f>IF([1]Accounts!$D$545="","",[1]Accounts!$A$545)</f>
        <v/>
      </c>
      <c r="B544">
        <f>IF([1]Accounts!$D$545="","",[1]Accounts!$B$545)</f>
        <v/>
      </c>
      <c r="C544">
        <f>IF([1]Accounts!$D$545="","",[1]Accounts!$C$545)</f>
        <v/>
      </c>
      <c r="D544">
        <f>IF([1]Accounts!$D$545="","",[1]Accounts!$D$545)</f>
        <v/>
      </c>
      <c r="E544">
        <f>IF([1]Accounts!$D$545="","",[1]Accounts!$J$545)</f>
        <v/>
      </c>
      <c r="F544">
        <f>IF([1]Accounts!$D$545="","",[1]Accounts!$K$545)</f>
        <v/>
      </c>
      <c r="U544">
        <f>IF([2]Baskol!$B$547="","",[2]Baskol!$B$547)</f>
        <v/>
      </c>
      <c r="V544">
        <f>IF([2]Baskol!$C$547="","",[2]Baskol!$C$547)</f>
        <v/>
      </c>
      <c r="W544">
        <f>IF([2]Baskol!$D$547="","",[2]Baskol!$D$547)</f>
        <v/>
      </c>
      <c r="X544">
        <f>IF([2]Baskol!$E$547="","",[2]Baskol!$E$547)</f>
        <v/>
      </c>
      <c r="Y544">
        <f>IF([2]Baskol!$G$547="","",[2]Baskol!$G$547)</f>
        <v/>
      </c>
      <c r="Z544">
        <f>IF([2]Baskol!$I$547="","",[2]Baskol!$I$547)</f>
        <v/>
      </c>
      <c r="AA544">
        <f>IF([2]Baskol!$J$547="","",[2]Baskol!$J$547)</f>
        <v/>
      </c>
      <c r="AB544">
        <f>IF([2]Baskol!$K$547="","",[2]Baskol!$K$547)</f>
        <v/>
      </c>
      <c r="AC544">
        <f>IF([2]Baskol!$L$547="","",[2]Baskol!$L$547)</f>
        <v/>
      </c>
      <c r="AD544">
        <f>IF([2]Baskol!$N$547="","",[2]Baskol!$N$547)</f>
        <v/>
      </c>
      <c r="AE544">
        <f>IF([2]Baskol!$O$547="","",[2]Baskol!$O$547)</f>
        <v/>
      </c>
      <c r="AG544">
        <f>IF([3]Entry!$C$547="","",[3]Entry!$C$547)</f>
        <v/>
      </c>
      <c r="AH544">
        <f>IF([3]Entry!$D$547="","",[3]Entry!$D$547)</f>
        <v/>
      </c>
      <c r="AI544">
        <f>IF([3]Entry!$E$547="","",[3]Entry!$E$547)</f>
        <v/>
      </c>
      <c r="AJ544">
        <f>IF([3]Entry!$G$547="","",[3]Entry!$G$547)</f>
        <v/>
      </c>
      <c r="AK544">
        <f>IF([3]Entry!$K$547="","",[3]Entry!$K$547)</f>
        <v/>
      </c>
      <c r="AL544">
        <f>IF([3]Entry!$L$547="","",[3]Entry!$L$547)</f>
        <v/>
      </c>
      <c r="AM544">
        <f>IF([3]Entry!$M$547="","",[3]Entry!$M$547)</f>
        <v/>
      </c>
      <c r="AN544">
        <f>IF([3]Entry!$N$547="","",[3]Entry!$N$547)</f>
        <v/>
      </c>
      <c r="AO544">
        <f>IF([3]Entry!$R$547="","",[3]Entry!$R$547)</f>
        <v/>
      </c>
      <c r="AQ544">
        <f>IF(AND($D544&lt;&gt;"",$A544&lt;&gt;""),1,0)</f>
        <v/>
      </c>
      <c r="AR544">
        <f>SUM($AQ$6:$AQ544)</f>
        <v/>
      </c>
      <c r="AS544">
        <f>IFERROR(INDEX($A$6:$A$565,MATCH(ROW()-5,$AR$6:$AR$565,0)),"")</f>
        <v/>
      </c>
    </row>
    <row r="545">
      <c r="A545">
        <f>IF([1]Accounts!$D$546="","",[1]Accounts!$A$546)</f>
        <v/>
      </c>
      <c r="B545">
        <f>IF([1]Accounts!$D$546="","",[1]Accounts!$B$546)</f>
        <v/>
      </c>
      <c r="C545">
        <f>IF([1]Accounts!$D$546="","",[1]Accounts!$C$546)</f>
        <v/>
      </c>
      <c r="D545">
        <f>IF([1]Accounts!$D$546="","",[1]Accounts!$D$546)</f>
        <v/>
      </c>
      <c r="E545">
        <f>IF([1]Accounts!$D$546="","",[1]Accounts!$J$546)</f>
        <v/>
      </c>
      <c r="F545">
        <f>IF([1]Accounts!$D$546="","",[1]Accounts!$K$546)</f>
        <v/>
      </c>
      <c r="U545">
        <f>IF([2]Baskol!$B$548="","",[2]Baskol!$B$548)</f>
        <v/>
      </c>
      <c r="V545">
        <f>IF([2]Baskol!$C$548="","",[2]Baskol!$C$548)</f>
        <v/>
      </c>
      <c r="W545">
        <f>IF([2]Baskol!$D$548="","",[2]Baskol!$D$548)</f>
        <v/>
      </c>
      <c r="X545">
        <f>IF([2]Baskol!$E$548="","",[2]Baskol!$E$548)</f>
        <v/>
      </c>
      <c r="Y545">
        <f>IF([2]Baskol!$G$548="","",[2]Baskol!$G$548)</f>
        <v/>
      </c>
      <c r="Z545">
        <f>IF([2]Baskol!$I$548="","",[2]Baskol!$I$548)</f>
        <v/>
      </c>
      <c r="AA545">
        <f>IF([2]Baskol!$J$548="","",[2]Baskol!$J$548)</f>
        <v/>
      </c>
      <c r="AB545">
        <f>IF([2]Baskol!$K$548="","",[2]Baskol!$K$548)</f>
        <v/>
      </c>
      <c r="AC545">
        <f>IF([2]Baskol!$L$548="","",[2]Baskol!$L$548)</f>
        <v/>
      </c>
      <c r="AD545">
        <f>IF([2]Baskol!$N$548="","",[2]Baskol!$N$548)</f>
        <v/>
      </c>
      <c r="AE545">
        <f>IF([2]Baskol!$O$548="","",[2]Baskol!$O$548)</f>
        <v/>
      </c>
      <c r="AG545">
        <f>IF([3]Entry!$C$548="","",[3]Entry!$C$548)</f>
        <v/>
      </c>
      <c r="AH545">
        <f>IF([3]Entry!$D$548="","",[3]Entry!$D$548)</f>
        <v/>
      </c>
      <c r="AI545">
        <f>IF([3]Entry!$E$548="","",[3]Entry!$E$548)</f>
        <v/>
      </c>
      <c r="AJ545">
        <f>IF([3]Entry!$G$548="","",[3]Entry!$G$548)</f>
        <v/>
      </c>
      <c r="AK545">
        <f>IF([3]Entry!$K$548="","",[3]Entry!$K$548)</f>
        <v/>
      </c>
      <c r="AL545">
        <f>IF([3]Entry!$L$548="","",[3]Entry!$L$548)</f>
        <v/>
      </c>
      <c r="AM545">
        <f>IF([3]Entry!$M$548="","",[3]Entry!$M$548)</f>
        <v/>
      </c>
      <c r="AN545">
        <f>IF([3]Entry!$N$548="","",[3]Entry!$N$548)</f>
        <v/>
      </c>
      <c r="AO545">
        <f>IF([3]Entry!$R$548="","",[3]Entry!$R$548)</f>
        <v/>
      </c>
      <c r="AQ545">
        <f>IF(AND($D545&lt;&gt;"",$A545&lt;&gt;""),1,0)</f>
        <v/>
      </c>
      <c r="AR545">
        <f>SUM($AQ$6:$AQ545)</f>
        <v/>
      </c>
      <c r="AS545">
        <f>IFERROR(INDEX($A$6:$A$565,MATCH(ROW()-5,$AR$6:$AR$565,0)),"")</f>
        <v/>
      </c>
    </row>
    <row r="546">
      <c r="A546">
        <f>IF([1]Accounts!$D$547="","",[1]Accounts!$A$547)</f>
        <v/>
      </c>
      <c r="B546">
        <f>IF([1]Accounts!$D$547="","",[1]Accounts!$B$547)</f>
        <v/>
      </c>
      <c r="C546">
        <f>IF([1]Accounts!$D$547="","",[1]Accounts!$C$547)</f>
        <v/>
      </c>
      <c r="D546">
        <f>IF([1]Accounts!$D$547="","",[1]Accounts!$D$547)</f>
        <v/>
      </c>
      <c r="E546">
        <f>IF([1]Accounts!$D$547="","",[1]Accounts!$J$547)</f>
        <v/>
      </c>
      <c r="F546">
        <f>IF([1]Accounts!$D$547="","",[1]Accounts!$K$547)</f>
        <v/>
      </c>
      <c r="U546">
        <f>IF([2]Baskol!$B$549="","",[2]Baskol!$B$549)</f>
        <v/>
      </c>
      <c r="V546">
        <f>IF([2]Baskol!$C$549="","",[2]Baskol!$C$549)</f>
        <v/>
      </c>
      <c r="W546">
        <f>IF([2]Baskol!$D$549="","",[2]Baskol!$D$549)</f>
        <v/>
      </c>
      <c r="X546">
        <f>IF([2]Baskol!$E$549="","",[2]Baskol!$E$549)</f>
        <v/>
      </c>
      <c r="Y546">
        <f>IF([2]Baskol!$G$549="","",[2]Baskol!$G$549)</f>
        <v/>
      </c>
      <c r="Z546">
        <f>IF([2]Baskol!$I$549="","",[2]Baskol!$I$549)</f>
        <v/>
      </c>
      <c r="AA546">
        <f>IF([2]Baskol!$J$549="","",[2]Baskol!$J$549)</f>
        <v/>
      </c>
      <c r="AB546">
        <f>IF([2]Baskol!$K$549="","",[2]Baskol!$K$549)</f>
        <v/>
      </c>
      <c r="AC546">
        <f>IF([2]Baskol!$L$549="","",[2]Baskol!$L$549)</f>
        <v/>
      </c>
      <c r="AD546">
        <f>IF([2]Baskol!$N$549="","",[2]Baskol!$N$549)</f>
        <v/>
      </c>
      <c r="AE546">
        <f>IF([2]Baskol!$O$549="","",[2]Baskol!$O$549)</f>
        <v/>
      </c>
      <c r="AG546">
        <f>IF([3]Entry!$C$549="","",[3]Entry!$C$549)</f>
        <v/>
      </c>
      <c r="AH546">
        <f>IF([3]Entry!$D$549="","",[3]Entry!$D$549)</f>
        <v/>
      </c>
      <c r="AI546">
        <f>IF([3]Entry!$E$549="","",[3]Entry!$E$549)</f>
        <v/>
      </c>
      <c r="AJ546">
        <f>IF([3]Entry!$G$549="","",[3]Entry!$G$549)</f>
        <v/>
      </c>
      <c r="AK546">
        <f>IF([3]Entry!$K$549="","",[3]Entry!$K$549)</f>
        <v/>
      </c>
      <c r="AL546">
        <f>IF([3]Entry!$L$549="","",[3]Entry!$L$549)</f>
        <v/>
      </c>
      <c r="AM546">
        <f>IF([3]Entry!$M$549="","",[3]Entry!$M$549)</f>
        <v/>
      </c>
      <c r="AN546">
        <f>IF([3]Entry!$N$549="","",[3]Entry!$N$549)</f>
        <v/>
      </c>
      <c r="AO546">
        <f>IF([3]Entry!$R$549="","",[3]Entry!$R$549)</f>
        <v/>
      </c>
      <c r="AQ546">
        <f>IF(AND($D546&lt;&gt;"",$A546&lt;&gt;""),1,0)</f>
        <v/>
      </c>
      <c r="AR546">
        <f>SUM($AQ$6:$AQ546)</f>
        <v/>
      </c>
      <c r="AS546">
        <f>IFERROR(INDEX($A$6:$A$565,MATCH(ROW()-5,$AR$6:$AR$565,0)),"")</f>
        <v/>
      </c>
    </row>
    <row r="547">
      <c r="A547">
        <f>IF([1]Accounts!$D$548="","",[1]Accounts!$A$548)</f>
        <v/>
      </c>
      <c r="B547">
        <f>IF([1]Accounts!$D$548="","",[1]Accounts!$B$548)</f>
        <v/>
      </c>
      <c r="C547">
        <f>IF([1]Accounts!$D$548="","",[1]Accounts!$C$548)</f>
        <v/>
      </c>
      <c r="D547">
        <f>IF([1]Accounts!$D$548="","",[1]Accounts!$D$548)</f>
        <v/>
      </c>
      <c r="E547">
        <f>IF([1]Accounts!$D$548="","",[1]Accounts!$J$548)</f>
        <v/>
      </c>
      <c r="F547">
        <f>IF([1]Accounts!$D$548="","",[1]Accounts!$K$548)</f>
        <v/>
      </c>
      <c r="U547">
        <f>IF([2]Baskol!$B$550="","",[2]Baskol!$B$550)</f>
        <v/>
      </c>
      <c r="V547">
        <f>IF([2]Baskol!$C$550="","",[2]Baskol!$C$550)</f>
        <v/>
      </c>
      <c r="W547">
        <f>IF([2]Baskol!$D$550="","",[2]Baskol!$D$550)</f>
        <v/>
      </c>
      <c r="X547">
        <f>IF([2]Baskol!$E$550="","",[2]Baskol!$E$550)</f>
        <v/>
      </c>
      <c r="Y547">
        <f>IF([2]Baskol!$G$550="","",[2]Baskol!$G$550)</f>
        <v/>
      </c>
      <c r="Z547">
        <f>IF([2]Baskol!$I$550="","",[2]Baskol!$I$550)</f>
        <v/>
      </c>
      <c r="AA547">
        <f>IF([2]Baskol!$J$550="","",[2]Baskol!$J$550)</f>
        <v/>
      </c>
      <c r="AB547">
        <f>IF([2]Baskol!$K$550="","",[2]Baskol!$K$550)</f>
        <v/>
      </c>
      <c r="AC547">
        <f>IF([2]Baskol!$L$550="","",[2]Baskol!$L$550)</f>
        <v/>
      </c>
      <c r="AD547">
        <f>IF([2]Baskol!$N$550="","",[2]Baskol!$N$550)</f>
        <v/>
      </c>
      <c r="AE547">
        <f>IF([2]Baskol!$O$550="","",[2]Baskol!$O$550)</f>
        <v/>
      </c>
      <c r="AG547">
        <f>IF([3]Entry!$C$550="","",[3]Entry!$C$550)</f>
        <v/>
      </c>
      <c r="AH547">
        <f>IF([3]Entry!$D$550="","",[3]Entry!$D$550)</f>
        <v/>
      </c>
      <c r="AI547">
        <f>IF([3]Entry!$E$550="","",[3]Entry!$E$550)</f>
        <v/>
      </c>
      <c r="AJ547">
        <f>IF([3]Entry!$G$550="","",[3]Entry!$G$550)</f>
        <v/>
      </c>
      <c r="AK547">
        <f>IF([3]Entry!$K$550="","",[3]Entry!$K$550)</f>
        <v/>
      </c>
      <c r="AL547">
        <f>IF([3]Entry!$L$550="","",[3]Entry!$L$550)</f>
        <v/>
      </c>
      <c r="AM547">
        <f>IF([3]Entry!$M$550="","",[3]Entry!$M$550)</f>
        <v/>
      </c>
      <c r="AN547">
        <f>IF([3]Entry!$N$550="","",[3]Entry!$N$550)</f>
        <v/>
      </c>
      <c r="AO547">
        <f>IF([3]Entry!$R$550="","",[3]Entry!$R$550)</f>
        <v/>
      </c>
      <c r="AQ547">
        <f>IF(AND($D547&lt;&gt;"",$A547&lt;&gt;""),1,0)</f>
        <v/>
      </c>
      <c r="AR547">
        <f>SUM($AQ$6:$AQ547)</f>
        <v/>
      </c>
      <c r="AS547">
        <f>IFERROR(INDEX($A$6:$A$565,MATCH(ROW()-5,$AR$6:$AR$565,0)),"")</f>
        <v/>
      </c>
    </row>
    <row r="548">
      <c r="A548">
        <f>IF([1]Accounts!$D$549="","",[1]Accounts!$A$549)</f>
        <v/>
      </c>
      <c r="B548">
        <f>IF([1]Accounts!$D$549="","",[1]Accounts!$B$549)</f>
        <v/>
      </c>
      <c r="C548">
        <f>IF([1]Accounts!$D$549="","",[1]Accounts!$C$549)</f>
        <v/>
      </c>
      <c r="D548">
        <f>IF([1]Accounts!$D$549="","",[1]Accounts!$D$549)</f>
        <v/>
      </c>
      <c r="E548">
        <f>IF([1]Accounts!$D$549="","",[1]Accounts!$J$549)</f>
        <v/>
      </c>
      <c r="F548">
        <f>IF([1]Accounts!$D$549="","",[1]Accounts!$K$549)</f>
        <v/>
      </c>
      <c r="U548">
        <f>IF([2]Baskol!$B$551="","",[2]Baskol!$B$551)</f>
        <v/>
      </c>
      <c r="V548">
        <f>IF([2]Baskol!$C$551="","",[2]Baskol!$C$551)</f>
        <v/>
      </c>
      <c r="W548">
        <f>IF([2]Baskol!$D$551="","",[2]Baskol!$D$551)</f>
        <v/>
      </c>
      <c r="X548">
        <f>IF([2]Baskol!$E$551="","",[2]Baskol!$E$551)</f>
        <v/>
      </c>
      <c r="Y548">
        <f>IF([2]Baskol!$G$551="","",[2]Baskol!$G$551)</f>
        <v/>
      </c>
      <c r="Z548">
        <f>IF([2]Baskol!$I$551="","",[2]Baskol!$I$551)</f>
        <v/>
      </c>
      <c r="AA548">
        <f>IF([2]Baskol!$J$551="","",[2]Baskol!$J$551)</f>
        <v/>
      </c>
      <c r="AB548">
        <f>IF([2]Baskol!$K$551="","",[2]Baskol!$K$551)</f>
        <v/>
      </c>
      <c r="AC548">
        <f>IF([2]Baskol!$L$551="","",[2]Baskol!$L$551)</f>
        <v/>
      </c>
      <c r="AD548">
        <f>IF([2]Baskol!$N$551="","",[2]Baskol!$N$551)</f>
        <v/>
      </c>
      <c r="AE548">
        <f>IF([2]Baskol!$O$551="","",[2]Baskol!$O$551)</f>
        <v/>
      </c>
      <c r="AG548">
        <f>IF([3]Entry!$C$551="","",[3]Entry!$C$551)</f>
        <v/>
      </c>
      <c r="AH548">
        <f>IF([3]Entry!$D$551="","",[3]Entry!$D$551)</f>
        <v/>
      </c>
      <c r="AI548">
        <f>IF([3]Entry!$E$551="","",[3]Entry!$E$551)</f>
        <v/>
      </c>
      <c r="AJ548">
        <f>IF([3]Entry!$G$551="","",[3]Entry!$G$551)</f>
        <v/>
      </c>
      <c r="AK548">
        <f>IF([3]Entry!$K$551="","",[3]Entry!$K$551)</f>
        <v/>
      </c>
      <c r="AL548">
        <f>IF([3]Entry!$L$551="","",[3]Entry!$L$551)</f>
        <v/>
      </c>
      <c r="AM548">
        <f>IF([3]Entry!$M$551="","",[3]Entry!$M$551)</f>
        <v/>
      </c>
      <c r="AN548">
        <f>IF([3]Entry!$N$551="","",[3]Entry!$N$551)</f>
        <v/>
      </c>
      <c r="AO548">
        <f>IF([3]Entry!$R$551="","",[3]Entry!$R$551)</f>
        <v/>
      </c>
      <c r="AQ548">
        <f>IF(AND($D548&lt;&gt;"",$A548&lt;&gt;""),1,0)</f>
        <v/>
      </c>
      <c r="AR548">
        <f>SUM($AQ$6:$AQ548)</f>
        <v/>
      </c>
      <c r="AS548">
        <f>IFERROR(INDEX($A$6:$A$565,MATCH(ROW()-5,$AR$6:$AR$565,0)),"")</f>
        <v/>
      </c>
    </row>
    <row r="549">
      <c r="A549">
        <f>IF([1]Accounts!$D$550="","",[1]Accounts!$A$550)</f>
        <v/>
      </c>
      <c r="B549">
        <f>IF([1]Accounts!$D$550="","",[1]Accounts!$B$550)</f>
        <v/>
      </c>
      <c r="C549">
        <f>IF([1]Accounts!$D$550="","",[1]Accounts!$C$550)</f>
        <v/>
      </c>
      <c r="D549">
        <f>IF([1]Accounts!$D$550="","",[1]Accounts!$D$550)</f>
        <v/>
      </c>
      <c r="E549">
        <f>IF([1]Accounts!$D$550="","",[1]Accounts!$J$550)</f>
        <v/>
      </c>
      <c r="F549">
        <f>IF([1]Accounts!$D$550="","",[1]Accounts!$K$550)</f>
        <v/>
      </c>
      <c r="U549">
        <f>IF([2]Baskol!$B$552="","",[2]Baskol!$B$552)</f>
        <v/>
      </c>
      <c r="V549">
        <f>IF([2]Baskol!$C$552="","",[2]Baskol!$C$552)</f>
        <v/>
      </c>
      <c r="W549">
        <f>IF([2]Baskol!$D$552="","",[2]Baskol!$D$552)</f>
        <v/>
      </c>
      <c r="X549">
        <f>IF([2]Baskol!$E$552="","",[2]Baskol!$E$552)</f>
        <v/>
      </c>
      <c r="Y549">
        <f>IF([2]Baskol!$G$552="","",[2]Baskol!$G$552)</f>
        <v/>
      </c>
      <c r="Z549">
        <f>IF([2]Baskol!$I$552="","",[2]Baskol!$I$552)</f>
        <v/>
      </c>
      <c r="AA549">
        <f>IF([2]Baskol!$J$552="","",[2]Baskol!$J$552)</f>
        <v/>
      </c>
      <c r="AB549">
        <f>IF([2]Baskol!$K$552="","",[2]Baskol!$K$552)</f>
        <v/>
      </c>
      <c r="AC549">
        <f>IF([2]Baskol!$L$552="","",[2]Baskol!$L$552)</f>
        <v/>
      </c>
      <c r="AD549">
        <f>IF([2]Baskol!$N$552="","",[2]Baskol!$N$552)</f>
        <v/>
      </c>
      <c r="AE549">
        <f>IF([2]Baskol!$O$552="","",[2]Baskol!$O$552)</f>
        <v/>
      </c>
      <c r="AG549">
        <f>IF([3]Entry!$C$552="","",[3]Entry!$C$552)</f>
        <v/>
      </c>
      <c r="AH549">
        <f>IF([3]Entry!$D$552="","",[3]Entry!$D$552)</f>
        <v/>
      </c>
      <c r="AI549">
        <f>IF([3]Entry!$E$552="","",[3]Entry!$E$552)</f>
        <v/>
      </c>
      <c r="AJ549">
        <f>IF([3]Entry!$G$552="","",[3]Entry!$G$552)</f>
        <v/>
      </c>
      <c r="AK549">
        <f>IF([3]Entry!$K$552="","",[3]Entry!$K$552)</f>
        <v/>
      </c>
      <c r="AL549">
        <f>IF([3]Entry!$L$552="","",[3]Entry!$L$552)</f>
        <v/>
      </c>
      <c r="AM549">
        <f>IF([3]Entry!$M$552="","",[3]Entry!$M$552)</f>
        <v/>
      </c>
      <c r="AN549">
        <f>IF([3]Entry!$N$552="","",[3]Entry!$N$552)</f>
        <v/>
      </c>
      <c r="AO549">
        <f>IF([3]Entry!$R$552="","",[3]Entry!$R$552)</f>
        <v/>
      </c>
      <c r="AQ549">
        <f>IF(AND($D549&lt;&gt;"",$A549&lt;&gt;""),1,0)</f>
        <v/>
      </c>
      <c r="AR549">
        <f>SUM($AQ$6:$AQ549)</f>
        <v/>
      </c>
      <c r="AS549">
        <f>IFERROR(INDEX($A$6:$A$565,MATCH(ROW()-5,$AR$6:$AR$565,0)),"")</f>
        <v/>
      </c>
    </row>
    <row r="550">
      <c r="A550">
        <f>IF([1]Accounts!$D$551="","",[1]Accounts!$A$551)</f>
        <v/>
      </c>
      <c r="B550">
        <f>IF([1]Accounts!$D$551="","",[1]Accounts!$B$551)</f>
        <v/>
      </c>
      <c r="C550">
        <f>IF([1]Accounts!$D$551="","",[1]Accounts!$C$551)</f>
        <v/>
      </c>
      <c r="D550">
        <f>IF([1]Accounts!$D$551="","",[1]Accounts!$D$551)</f>
        <v/>
      </c>
      <c r="E550">
        <f>IF([1]Accounts!$D$551="","",[1]Accounts!$J$551)</f>
        <v/>
      </c>
      <c r="F550">
        <f>IF([1]Accounts!$D$551="","",[1]Accounts!$K$551)</f>
        <v/>
      </c>
      <c r="U550">
        <f>IF([2]Baskol!$B$553="","",[2]Baskol!$B$553)</f>
        <v/>
      </c>
      <c r="V550">
        <f>IF([2]Baskol!$C$553="","",[2]Baskol!$C$553)</f>
        <v/>
      </c>
      <c r="W550">
        <f>IF([2]Baskol!$D$553="","",[2]Baskol!$D$553)</f>
        <v/>
      </c>
      <c r="X550">
        <f>IF([2]Baskol!$E$553="","",[2]Baskol!$E$553)</f>
        <v/>
      </c>
      <c r="Y550">
        <f>IF([2]Baskol!$G$553="","",[2]Baskol!$G$553)</f>
        <v/>
      </c>
      <c r="Z550">
        <f>IF([2]Baskol!$I$553="","",[2]Baskol!$I$553)</f>
        <v/>
      </c>
      <c r="AA550">
        <f>IF([2]Baskol!$J$553="","",[2]Baskol!$J$553)</f>
        <v/>
      </c>
      <c r="AB550">
        <f>IF([2]Baskol!$K$553="","",[2]Baskol!$K$553)</f>
        <v/>
      </c>
      <c r="AC550">
        <f>IF([2]Baskol!$L$553="","",[2]Baskol!$L$553)</f>
        <v/>
      </c>
      <c r="AD550">
        <f>IF([2]Baskol!$N$553="","",[2]Baskol!$N$553)</f>
        <v/>
      </c>
      <c r="AE550">
        <f>IF([2]Baskol!$O$553="","",[2]Baskol!$O$553)</f>
        <v/>
      </c>
      <c r="AG550">
        <f>IF([3]Entry!$C$553="","",[3]Entry!$C$553)</f>
        <v/>
      </c>
      <c r="AH550">
        <f>IF([3]Entry!$D$553="","",[3]Entry!$D$553)</f>
        <v/>
      </c>
      <c r="AI550">
        <f>IF([3]Entry!$E$553="","",[3]Entry!$E$553)</f>
        <v/>
      </c>
      <c r="AJ550">
        <f>IF([3]Entry!$G$553="","",[3]Entry!$G$553)</f>
        <v/>
      </c>
      <c r="AK550">
        <f>IF([3]Entry!$K$553="","",[3]Entry!$K$553)</f>
        <v/>
      </c>
      <c r="AL550">
        <f>IF([3]Entry!$L$553="","",[3]Entry!$L$553)</f>
        <v/>
      </c>
      <c r="AM550">
        <f>IF([3]Entry!$M$553="","",[3]Entry!$M$553)</f>
        <v/>
      </c>
      <c r="AN550">
        <f>IF([3]Entry!$N$553="","",[3]Entry!$N$553)</f>
        <v/>
      </c>
      <c r="AO550">
        <f>IF([3]Entry!$R$553="","",[3]Entry!$R$553)</f>
        <v/>
      </c>
      <c r="AQ550">
        <f>IF(AND($D550&lt;&gt;"",$A550&lt;&gt;""),1,0)</f>
        <v/>
      </c>
      <c r="AR550">
        <f>SUM($AQ$6:$AQ550)</f>
        <v/>
      </c>
      <c r="AS550">
        <f>IFERROR(INDEX($A$6:$A$565,MATCH(ROW()-5,$AR$6:$AR$565,0)),"")</f>
        <v/>
      </c>
    </row>
    <row r="551">
      <c r="A551">
        <f>IF([1]Accounts!$D$552="","",[1]Accounts!$A$552)</f>
        <v/>
      </c>
      <c r="B551">
        <f>IF([1]Accounts!$D$552="","",[1]Accounts!$B$552)</f>
        <v/>
      </c>
      <c r="C551">
        <f>IF([1]Accounts!$D$552="","",[1]Accounts!$C$552)</f>
        <v/>
      </c>
      <c r="D551">
        <f>IF([1]Accounts!$D$552="","",[1]Accounts!$D$552)</f>
        <v/>
      </c>
      <c r="E551">
        <f>IF([1]Accounts!$D$552="","",[1]Accounts!$J$552)</f>
        <v/>
      </c>
      <c r="F551">
        <f>IF([1]Accounts!$D$552="","",[1]Accounts!$K$552)</f>
        <v/>
      </c>
      <c r="U551">
        <f>IF([2]Baskol!$B$554="","",[2]Baskol!$B$554)</f>
        <v/>
      </c>
      <c r="V551">
        <f>IF([2]Baskol!$C$554="","",[2]Baskol!$C$554)</f>
        <v/>
      </c>
      <c r="W551">
        <f>IF([2]Baskol!$D$554="","",[2]Baskol!$D$554)</f>
        <v/>
      </c>
      <c r="X551">
        <f>IF([2]Baskol!$E$554="","",[2]Baskol!$E$554)</f>
        <v/>
      </c>
      <c r="Y551">
        <f>IF([2]Baskol!$G$554="","",[2]Baskol!$G$554)</f>
        <v/>
      </c>
      <c r="Z551">
        <f>IF([2]Baskol!$I$554="","",[2]Baskol!$I$554)</f>
        <v/>
      </c>
      <c r="AA551">
        <f>IF([2]Baskol!$J$554="","",[2]Baskol!$J$554)</f>
        <v/>
      </c>
      <c r="AB551">
        <f>IF([2]Baskol!$K$554="","",[2]Baskol!$K$554)</f>
        <v/>
      </c>
      <c r="AC551">
        <f>IF([2]Baskol!$L$554="","",[2]Baskol!$L$554)</f>
        <v/>
      </c>
      <c r="AD551">
        <f>IF([2]Baskol!$N$554="","",[2]Baskol!$N$554)</f>
        <v/>
      </c>
      <c r="AE551">
        <f>IF([2]Baskol!$O$554="","",[2]Baskol!$O$554)</f>
        <v/>
      </c>
      <c r="AG551">
        <f>IF([3]Entry!$C$554="","",[3]Entry!$C$554)</f>
        <v/>
      </c>
      <c r="AH551">
        <f>IF([3]Entry!$D$554="","",[3]Entry!$D$554)</f>
        <v/>
      </c>
      <c r="AI551">
        <f>IF([3]Entry!$E$554="","",[3]Entry!$E$554)</f>
        <v/>
      </c>
      <c r="AJ551">
        <f>IF([3]Entry!$G$554="","",[3]Entry!$G$554)</f>
        <v/>
      </c>
      <c r="AK551">
        <f>IF([3]Entry!$K$554="","",[3]Entry!$K$554)</f>
        <v/>
      </c>
      <c r="AL551">
        <f>IF([3]Entry!$L$554="","",[3]Entry!$L$554)</f>
        <v/>
      </c>
      <c r="AM551">
        <f>IF([3]Entry!$M$554="","",[3]Entry!$M$554)</f>
        <v/>
      </c>
      <c r="AN551">
        <f>IF([3]Entry!$N$554="","",[3]Entry!$N$554)</f>
        <v/>
      </c>
      <c r="AO551">
        <f>IF([3]Entry!$R$554="","",[3]Entry!$R$554)</f>
        <v/>
      </c>
      <c r="AQ551">
        <f>IF(AND($D551&lt;&gt;"",$A551&lt;&gt;""),1,0)</f>
        <v/>
      </c>
      <c r="AR551">
        <f>SUM($AQ$6:$AQ551)</f>
        <v/>
      </c>
      <c r="AS551">
        <f>IFERROR(INDEX($A$6:$A$565,MATCH(ROW()-5,$AR$6:$AR$565,0)),"")</f>
        <v/>
      </c>
    </row>
    <row r="552">
      <c r="A552">
        <f>IF([1]Accounts!$D$553="","",[1]Accounts!$A$553)</f>
        <v/>
      </c>
      <c r="B552">
        <f>IF([1]Accounts!$D$553="","",[1]Accounts!$B$553)</f>
        <v/>
      </c>
      <c r="C552">
        <f>IF([1]Accounts!$D$553="","",[1]Accounts!$C$553)</f>
        <v/>
      </c>
      <c r="D552">
        <f>IF([1]Accounts!$D$553="","",[1]Accounts!$D$553)</f>
        <v/>
      </c>
      <c r="E552">
        <f>IF([1]Accounts!$D$553="","",[1]Accounts!$J$553)</f>
        <v/>
      </c>
      <c r="F552">
        <f>IF([1]Accounts!$D$553="","",[1]Accounts!$K$553)</f>
        <v/>
      </c>
      <c r="U552">
        <f>IF([2]Baskol!$B$555="","",[2]Baskol!$B$555)</f>
        <v/>
      </c>
      <c r="V552">
        <f>IF([2]Baskol!$C$555="","",[2]Baskol!$C$555)</f>
        <v/>
      </c>
      <c r="W552">
        <f>IF([2]Baskol!$D$555="","",[2]Baskol!$D$555)</f>
        <v/>
      </c>
      <c r="X552">
        <f>IF([2]Baskol!$E$555="","",[2]Baskol!$E$555)</f>
        <v/>
      </c>
      <c r="Y552">
        <f>IF([2]Baskol!$G$555="","",[2]Baskol!$G$555)</f>
        <v/>
      </c>
      <c r="Z552">
        <f>IF([2]Baskol!$I$555="","",[2]Baskol!$I$555)</f>
        <v/>
      </c>
      <c r="AA552">
        <f>IF([2]Baskol!$J$555="","",[2]Baskol!$J$555)</f>
        <v/>
      </c>
      <c r="AB552">
        <f>IF([2]Baskol!$K$555="","",[2]Baskol!$K$555)</f>
        <v/>
      </c>
      <c r="AC552">
        <f>IF([2]Baskol!$L$555="","",[2]Baskol!$L$555)</f>
        <v/>
      </c>
      <c r="AD552">
        <f>IF([2]Baskol!$N$555="","",[2]Baskol!$N$555)</f>
        <v/>
      </c>
      <c r="AE552">
        <f>IF([2]Baskol!$O$555="","",[2]Baskol!$O$555)</f>
        <v/>
      </c>
      <c r="AG552">
        <f>IF([3]Entry!$C$555="","",[3]Entry!$C$555)</f>
        <v/>
      </c>
      <c r="AH552">
        <f>IF([3]Entry!$D$555="","",[3]Entry!$D$555)</f>
        <v/>
      </c>
      <c r="AI552">
        <f>IF([3]Entry!$E$555="","",[3]Entry!$E$555)</f>
        <v/>
      </c>
      <c r="AJ552">
        <f>IF([3]Entry!$G$555="","",[3]Entry!$G$555)</f>
        <v/>
      </c>
      <c r="AK552">
        <f>IF([3]Entry!$K$555="","",[3]Entry!$K$555)</f>
        <v/>
      </c>
      <c r="AL552">
        <f>IF([3]Entry!$L$555="","",[3]Entry!$L$555)</f>
        <v/>
      </c>
      <c r="AM552">
        <f>IF([3]Entry!$M$555="","",[3]Entry!$M$555)</f>
        <v/>
      </c>
      <c r="AN552">
        <f>IF([3]Entry!$N$555="","",[3]Entry!$N$555)</f>
        <v/>
      </c>
      <c r="AO552">
        <f>IF([3]Entry!$R$555="","",[3]Entry!$R$555)</f>
        <v/>
      </c>
      <c r="AQ552">
        <f>IF(AND($D552&lt;&gt;"",$A552&lt;&gt;""),1,0)</f>
        <v/>
      </c>
      <c r="AR552">
        <f>SUM($AQ$6:$AQ552)</f>
        <v/>
      </c>
      <c r="AS552">
        <f>IFERROR(INDEX($A$6:$A$565,MATCH(ROW()-5,$AR$6:$AR$565,0)),"")</f>
        <v/>
      </c>
    </row>
    <row r="553">
      <c r="A553">
        <f>IF([1]Accounts!$D$554="","",[1]Accounts!$A$554)</f>
        <v/>
      </c>
      <c r="B553">
        <f>IF([1]Accounts!$D$554="","",[1]Accounts!$B$554)</f>
        <v/>
      </c>
      <c r="C553">
        <f>IF([1]Accounts!$D$554="","",[1]Accounts!$C$554)</f>
        <v/>
      </c>
      <c r="D553">
        <f>IF([1]Accounts!$D$554="","",[1]Accounts!$D$554)</f>
        <v/>
      </c>
      <c r="E553">
        <f>IF([1]Accounts!$D$554="","",[1]Accounts!$J$554)</f>
        <v/>
      </c>
      <c r="F553">
        <f>IF([1]Accounts!$D$554="","",[1]Accounts!$K$554)</f>
        <v/>
      </c>
      <c r="U553">
        <f>IF([2]Baskol!$B$556="","",[2]Baskol!$B$556)</f>
        <v/>
      </c>
      <c r="V553">
        <f>IF([2]Baskol!$C$556="","",[2]Baskol!$C$556)</f>
        <v/>
      </c>
      <c r="W553">
        <f>IF([2]Baskol!$D$556="","",[2]Baskol!$D$556)</f>
        <v/>
      </c>
      <c r="X553">
        <f>IF([2]Baskol!$E$556="","",[2]Baskol!$E$556)</f>
        <v/>
      </c>
      <c r="Y553">
        <f>IF([2]Baskol!$G$556="","",[2]Baskol!$G$556)</f>
        <v/>
      </c>
      <c r="Z553">
        <f>IF([2]Baskol!$I$556="","",[2]Baskol!$I$556)</f>
        <v/>
      </c>
      <c r="AA553">
        <f>IF([2]Baskol!$J$556="","",[2]Baskol!$J$556)</f>
        <v/>
      </c>
      <c r="AB553">
        <f>IF([2]Baskol!$K$556="","",[2]Baskol!$K$556)</f>
        <v/>
      </c>
      <c r="AC553">
        <f>IF([2]Baskol!$L$556="","",[2]Baskol!$L$556)</f>
        <v/>
      </c>
      <c r="AD553">
        <f>IF([2]Baskol!$N$556="","",[2]Baskol!$N$556)</f>
        <v/>
      </c>
      <c r="AE553">
        <f>IF([2]Baskol!$O$556="","",[2]Baskol!$O$556)</f>
        <v/>
      </c>
      <c r="AG553">
        <f>IF([3]Entry!$C$556="","",[3]Entry!$C$556)</f>
        <v/>
      </c>
      <c r="AH553">
        <f>IF([3]Entry!$D$556="","",[3]Entry!$D$556)</f>
        <v/>
      </c>
      <c r="AI553">
        <f>IF([3]Entry!$E$556="","",[3]Entry!$E$556)</f>
        <v/>
      </c>
      <c r="AJ553">
        <f>IF([3]Entry!$G$556="","",[3]Entry!$G$556)</f>
        <v/>
      </c>
      <c r="AK553">
        <f>IF([3]Entry!$K$556="","",[3]Entry!$K$556)</f>
        <v/>
      </c>
      <c r="AL553">
        <f>IF([3]Entry!$L$556="","",[3]Entry!$L$556)</f>
        <v/>
      </c>
      <c r="AM553">
        <f>IF([3]Entry!$M$556="","",[3]Entry!$M$556)</f>
        <v/>
      </c>
      <c r="AN553">
        <f>IF([3]Entry!$N$556="","",[3]Entry!$N$556)</f>
        <v/>
      </c>
      <c r="AO553">
        <f>IF([3]Entry!$R$556="","",[3]Entry!$R$556)</f>
        <v/>
      </c>
      <c r="AQ553">
        <f>IF(AND($D553&lt;&gt;"",$A553&lt;&gt;""),1,0)</f>
        <v/>
      </c>
      <c r="AR553">
        <f>SUM($AQ$6:$AQ553)</f>
        <v/>
      </c>
      <c r="AS553">
        <f>IFERROR(INDEX($A$6:$A$565,MATCH(ROW()-5,$AR$6:$AR$565,0)),"")</f>
        <v/>
      </c>
    </row>
    <row r="554">
      <c r="A554">
        <f>IF([1]Accounts!$D$555="","",[1]Accounts!$A$555)</f>
        <v/>
      </c>
      <c r="B554">
        <f>IF([1]Accounts!$D$555="","",[1]Accounts!$B$555)</f>
        <v/>
      </c>
      <c r="C554">
        <f>IF([1]Accounts!$D$555="","",[1]Accounts!$C$555)</f>
        <v/>
      </c>
      <c r="D554">
        <f>IF([1]Accounts!$D$555="","",[1]Accounts!$D$555)</f>
        <v/>
      </c>
      <c r="E554">
        <f>IF([1]Accounts!$D$555="","",[1]Accounts!$J$555)</f>
        <v/>
      </c>
      <c r="F554">
        <f>IF([1]Accounts!$D$555="","",[1]Accounts!$K$555)</f>
        <v/>
      </c>
      <c r="U554">
        <f>IF([2]Baskol!$B$557="","",[2]Baskol!$B$557)</f>
        <v/>
      </c>
      <c r="V554">
        <f>IF([2]Baskol!$C$557="","",[2]Baskol!$C$557)</f>
        <v/>
      </c>
      <c r="W554">
        <f>IF([2]Baskol!$D$557="","",[2]Baskol!$D$557)</f>
        <v/>
      </c>
      <c r="X554">
        <f>IF([2]Baskol!$E$557="","",[2]Baskol!$E$557)</f>
        <v/>
      </c>
      <c r="Y554">
        <f>IF([2]Baskol!$G$557="","",[2]Baskol!$G$557)</f>
        <v/>
      </c>
      <c r="Z554">
        <f>IF([2]Baskol!$I$557="","",[2]Baskol!$I$557)</f>
        <v/>
      </c>
      <c r="AA554">
        <f>IF([2]Baskol!$J$557="","",[2]Baskol!$J$557)</f>
        <v/>
      </c>
      <c r="AB554">
        <f>IF([2]Baskol!$K$557="","",[2]Baskol!$K$557)</f>
        <v/>
      </c>
      <c r="AC554">
        <f>IF([2]Baskol!$L$557="","",[2]Baskol!$L$557)</f>
        <v/>
      </c>
      <c r="AD554">
        <f>IF([2]Baskol!$N$557="","",[2]Baskol!$N$557)</f>
        <v/>
      </c>
      <c r="AE554">
        <f>IF([2]Baskol!$O$557="","",[2]Baskol!$O$557)</f>
        <v/>
      </c>
      <c r="AG554">
        <f>IF([3]Entry!$C$557="","",[3]Entry!$C$557)</f>
        <v/>
      </c>
      <c r="AH554">
        <f>IF([3]Entry!$D$557="","",[3]Entry!$D$557)</f>
        <v/>
      </c>
      <c r="AI554">
        <f>IF([3]Entry!$E$557="","",[3]Entry!$E$557)</f>
        <v/>
      </c>
      <c r="AJ554">
        <f>IF([3]Entry!$G$557="","",[3]Entry!$G$557)</f>
        <v/>
      </c>
      <c r="AK554">
        <f>IF([3]Entry!$K$557="","",[3]Entry!$K$557)</f>
        <v/>
      </c>
      <c r="AL554">
        <f>IF([3]Entry!$L$557="","",[3]Entry!$L$557)</f>
        <v/>
      </c>
      <c r="AM554">
        <f>IF([3]Entry!$M$557="","",[3]Entry!$M$557)</f>
        <v/>
      </c>
      <c r="AN554">
        <f>IF([3]Entry!$N$557="","",[3]Entry!$N$557)</f>
        <v/>
      </c>
      <c r="AO554">
        <f>IF([3]Entry!$R$557="","",[3]Entry!$R$557)</f>
        <v/>
      </c>
      <c r="AQ554">
        <f>IF(AND($D554&lt;&gt;"",$A554&lt;&gt;""),1,0)</f>
        <v/>
      </c>
      <c r="AR554">
        <f>SUM($AQ$6:$AQ554)</f>
        <v/>
      </c>
      <c r="AS554">
        <f>IFERROR(INDEX($A$6:$A$565,MATCH(ROW()-5,$AR$6:$AR$565,0)),"")</f>
        <v/>
      </c>
    </row>
    <row r="555">
      <c r="A555">
        <f>IF([1]Accounts!$D$556="","",[1]Accounts!$A$556)</f>
        <v/>
      </c>
      <c r="B555">
        <f>IF([1]Accounts!$D$556="","",[1]Accounts!$B$556)</f>
        <v/>
      </c>
      <c r="C555">
        <f>IF([1]Accounts!$D$556="","",[1]Accounts!$C$556)</f>
        <v/>
      </c>
      <c r="D555">
        <f>IF([1]Accounts!$D$556="","",[1]Accounts!$D$556)</f>
        <v/>
      </c>
      <c r="E555">
        <f>IF([1]Accounts!$D$556="","",[1]Accounts!$J$556)</f>
        <v/>
      </c>
      <c r="F555">
        <f>IF([1]Accounts!$D$556="","",[1]Accounts!$K$556)</f>
        <v/>
      </c>
      <c r="U555">
        <f>IF([2]Baskol!$B$558="","",[2]Baskol!$B$558)</f>
        <v/>
      </c>
      <c r="V555">
        <f>IF([2]Baskol!$C$558="","",[2]Baskol!$C$558)</f>
        <v/>
      </c>
      <c r="W555">
        <f>IF([2]Baskol!$D$558="","",[2]Baskol!$D$558)</f>
        <v/>
      </c>
      <c r="X555">
        <f>IF([2]Baskol!$E$558="","",[2]Baskol!$E$558)</f>
        <v/>
      </c>
      <c r="Y555">
        <f>IF([2]Baskol!$G$558="","",[2]Baskol!$G$558)</f>
        <v/>
      </c>
      <c r="Z555">
        <f>IF([2]Baskol!$I$558="","",[2]Baskol!$I$558)</f>
        <v/>
      </c>
      <c r="AA555">
        <f>IF([2]Baskol!$J$558="","",[2]Baskol!$J$558)</f>
        <v/>
      </c>
      <c r="AB555">
        <f>IF([2]Baskol!$K$558="","",[2]Baskol!$K$558)</f>
        <v/>
      </c>
      <c r="AC555">
        <f>IF([2]Baskol!$L$558="","",[2]Baskol!$L$558)</f>
        <v/>
      </c>
      <c r="AD555">
        <f>IF([2]Baskol!$N$558="","",[2]Baskol!$N$558)</f>
        <v/>
      </c>
      <c r="AE555">
        <f>IF([2]Baskol!$O$558="","",[2]Baskol!$O$558)</f>
        <v/>
      </c>
      <c r="AG555">
        <f>IF([3]Entry!$C$558="","",[3]Entry!$C$558)</f>
        <v/>
      </c>
      <c r="AH555">
        <f>IF([3]Entry!$D$558="","",[3]Entry!$D$558)</f>
        <v/>
      </c>
      <c r="AI555">
        <f>IF([3]Entry!$E$558="","",[3]Entry!$E$558)</f>
        <v/>
      </c>
      <c r="AJ555">
        <f>IF([3]Entry!$G$558="","",[3]Entry!$G$558)</f>
        <v/>
      </c>
      <c r="AK555">
        <f>IF([3]Entry!$K$558="","",[3]Entry!$K$558)</f>
        <v/>
      </c>
      <c r="AL555">
        <f>IF([3]Entry!$L$558="","",[3]Entry!$L$558)</f>
        <v/>
      </c>
      <c r="AM555">
        <f>IF([3]Entry!$M$558="","",[3]Entry!$M$558)</f>
        <v/>
      </c>
      <c r="AN555">
        <f>IF([3]Entry!$N$558="","",[3]Entry!$N$558)</f>
        <v/>
      </c>
      <c r="AO555">
        <f>IF([3]Entry!$R$558="","",[3]Entry!$R$558)</f>
        <v/>
      </c>
      <c r="AQ555">
        <f>IF(AND($D555&lt;&gt;"",$A555&lt;&gt;""),1,0)</f>
        <v/>
      </c>
      <c r="AR555">
        <f>SUM($AQ$6:$AQ555)</f>
        <v/>
      </c>
      <c r="AS555">
        <f>IFERROR(INDEX($A$6:$A$565,MATCH(ROW()-5,$AR$6:$AR$565,0)),"")</f>
        <v/>
      </c>
    </row>
    <row r="556">
      <c r="A556">
        <f>IF([1]Accounts!$D$557="","",[1]Accounts!$A$557)</f>
        <v/>
      </c>
      <c r="B556">
        <f>IF([1]Accounts!$D$557="","",[1]Accounts!$B$557)</f>
        <v/>
      </c>
      <c r="C556">
        <f>IF([1]Accounts!$D$557="","",[1]Accounts!$C$557)</f>
        <v/>
      </c>
      <c r="D556">
        <f>IF([1]Accounts!$D$557="","",[1]Accounts!$D$557)</f>
        <v/>
      </c>
      <c r="E556">
        <f>IF([1]Accounts!$D$557="","",[1]Accounts!$J$557)</f>
        <v/>
      </c>
      <c r="F556">
        <f>IF([1]Accounts!$D$557="","",[1]Accounts!$K$557)</f>
        <v/>
      </c>
      <c r="U556">
        <f>IF([2]Baskol!$B$559="","",[2]Baskol!$B$559)</f>
        <v/>
      </c>
      <c r="V556">
        <f>IF([2]Baskol!$C$559="","",[2]Baskol!$C$559)</f>
        <v/>
      </c>
      <c r="W556">
        <f>IF([2]Baskol!$D$559="","",[2]Baskol!$D$559)</f>
        <v/>
      </c>
      <c r="X556">
        <f>IF([2]Baskol!$E$559="","",[2]Baskol!$E$559)</f>
        <v/>
      </c>
      <c r="Y556">
        <f>IF([2]Baskol!$G$559="","",[2]Baskol!$G$559)</f>
        <v/>
      </c>
      <c r="Z556">
        <f>IF([2]Baskol!$I$559="","",[2]Baskol!$I$559)</f>
        <v/>
      </c>
      <c r="AA556">
        <f>IF([2]Baskol!$J$559="","",[2]Baskol!$J$559)</f>
        <v/>
      </c>
      <c r="AB556">
        <f>IF([2]Baskol!$K$559="","",[2]Baskol!$K$559)</f>
        <v/>
      </c>
      <c r="AC556">
        <f>IF([2]Baskol!$L$559="","",[2]Baskol!$L$559)</f>
        <v/>
      </c>
      <c r="AD556">
        <f>IF([2]Baskol!$N$559="","",[2]Baskol!$N$559)</f>
        <v/>
      </c>
      <c r="AE556">
        <f>IF([2]Baskol!$O$559="","",[2]Baskol!$O$559)</f>
        <v/>
      </c>
      <c r="AG556">
        <f>IF([3]Entry!$C$559="","",[3]Entry!$C$559)</f>
        <v/>
      </c>
      <c r="AH556">
        <f>IF([3]Entry!$D$559="","",[3]Entry!$D$559)</f>
        <v/>
      </c>
      <c r="AI556">
        <f>IF([3]Entry!$E$559="","",[3]Entry!$E$559)</f>
        <v/>
      </c>
      <c r="AJ556">
        <f>IF([3]Entry!$G$559="","",[3]Entry!$G$559)</f>
        <v/>
      </c>
      <c r="AK556">
        <f>IF([3]Entry!$K$559="","",[3]Entry!$K$559)</f>
        <v/>
      </c>
      <c r="AL556">
        <f>IF([3]Entry!$L$559="","",[3]Entry!$L$559)</f>
        <v/>
      </c>
      <c r="AM556">
        <f>IF([3]Entry!$M$559="","",[3]Entry!$M$559)</f>
        <v/>
      </c>
      <c r="AN556">
        <f>IF([3]Entry!$N$559="","",[3]Entry!$N$559)</f>
        <v/>
      </c>
      <c r="AO556">
        <f>IF([3]Entry!$R$559="","",[3]Entry!$R$559)</f>
        <v/>
      </c>
      <c r="AQ556">
        <f>IF(AND($D556&lt;&gt;"",$A556&lt;&gt;""),1,0)</f>
        <v/>
      </c>
      <c r="AR556">
        <f>SUM($AQ$6:$AQ556)</f>
        <v/>
      </c>
      <c r="AS556">
        <f>IFERROR(INDEX($A$6:$A$565,MATCH(ROW()-5,$AR$6:$AR$565,0)),"")</f>
        <v/>
      </c>
    </row>
    <row r="557">
      <c r="A557">
        <f>IF([1]Accounts!$D$558="","",[1]Accounts!$A$558)</f>
        <v/>
      </c>
      <c r="B557">
        <f>IF([1]Accounts!$D$558="","",[1]Accounts!$B$558)</f>
        <v/>
      </c>
      <c r="C557">
        <f>IF([1]Accounts!$D$558="","",[1]Accounts!$C$558)</f>
        <v/>
      </c>
      <c r="D557">
        <f>IF([1]Accounts!$D$558="","",[1]Accounts!$D$558)</f>
        <v/>
      </c>
      <c r="E557">
        <f>IF([1]Accounts!$D$558="","",[1]Accounts!$J$558)</f>
        <v/>
      </c>
      <c r="F557">
        <f>IF([1]Accounts!$D$558="","",[1]Accounts!$K$558)</f>
        <v/>
      </c>
      <c r="U557">
        <f>IF([2]Baskol!$B$560="","",[2]Baskol!$B$560)</f>
        <v/>
      </c>
      <c r="V557">
        <f>IF([2]Baskol!$C$560="","",[2]Baskol!$C$560)</f>
        <v/>
      </c>
      <c r="W557">
        <f>IF([2]Baskol!$D$560="","",[2]Baskol!$D$560)</f>
        <v/>
      </c>
      <c r="X557">
        <f>IF([2]Baskol!$E$560="","",[2]Baskol!$E$560)</f>
        <v/>
      </c>
      <c r="Y557">
        <f>IF([2]Baskol!$G$560="","",[2]Baskol!$G$560)</f>
        <v/>
      </c>
      <c r="Z557">
        <f>IF([2]Baskol!$I$560="","",[2]Baskol!$I$560)</f>
        <v/>
      </c>
      <c r="AA557">
        <f>IF([2]Baskol!$J$560="","",[2]Baskol!$J$560)</f>
        <v/>
      </c>
      <c r="AB557">
        <f>IF([2]Baskol!$K$560="","",[2]Baskol!$K$560)</f>
        <v/>
      </c>
      <c r="AC557">
        <f>IF([2]Baskol!$L$560="","",[2]Baskol!$L$560)</f>
        <v/>
      </c>
      <c r="AD557">
        <f>IF([2]Baskol!$N$560="","",[2]Baskol!$N$560)</f>
        <v/>
      </c>
      <c r="AE557">
        <f>IF([2]Baskol!$O$560="","",[2]Baskol!$O$560)</f>
        <v/>
      </c>
      <c r="AG557">
        <f>IF([3]Entry!$C$560="","",[3]Entry!$C$560)</f>
        <v/>
      </c>
      <c r="AH557">
        <f>IF([3]Entry!$D$560="","",[3]Entry!$D$560)</f>
        <v/>
      </c>
      <c r="AI557">
        <f>IF([3]Entry!$E$560="","",[3]Entry!$E$560)</f>
        <v/>
      </c>
      <c r="AJ557">
        <f>IF([3]Entry!$G$560="","",[3]Entry!$G$560)</f>
        <v/>
      </c>
      <c r="AK557">
        <f>IF([3]Entry!$K$560="","",[3]Entry!$K$560)</f>
        <v/>
      </c>
      <c r="AL557">
        <f>IF([3]Entry!$L$560="","",[3]Entry!$L$560)</f>
        <v/>
      </c>
      <c r="AM557">
        <f>IF([3]Entry!$M$560="","",[3]Entry!$M$560)</f>
        <v/>
      </c>
      <c r="AN557">
        <f>IF([3]Entry!$N$560="","",[3]Entry!$N$560)</f>
        <v/>
      </c>
      <c r="AO557">
        <f>IF([3]Entry!$R$560="","",[3]Entry!$R$560)</f>
        <v/>
      </c>
      <c r="AQ557">
        <f>IF(AND($D557&lt;&gt;"",$A557&lt;&gt;""),1,0)</f>
        <v/>
      </c>
      <c r="AR557">
        <f>SUM($AQ$6:$AQ557)</f>
        <v/>
      </c>
      <c r="AS557">
        <f>IFERROR(INDEX($A$6:$A$565,MATCH(ROW()-5,$AR$6:$AR$565,0)),"")</f>
        <v/>
      </c>
    </row>
    <row r="558">
      <c r="A558">
        <f>IF([1]Accounts!$D$559="","",[1]Accounts!$A$559)</f>
        <v/>
      </c>
      <c r="B558">
        <f>IF([1]Accounts!$D$559="","",[1]Accounts!$B$559)</f>
        <v/>
      </c>
      <c r="C558">
        <f>IF([1]Accounts!$D$559="","",[1]Accounts!$C$559)</f>
        <v/>
      </c>
      <c r="D558">
        <f>IF([1]Accounts!$D$559="","",[1]Accounts!$D$559)</f>
        <v/>
      </c>
      <c r="E558">
        <f>IF([1]Accounts!$D$559="","",[1]Accounts!$J$559)</f>
        <v/>
      </c>
      <c r="F558">
        <f>IF([1]Accounts!$D$559="","",[1]Accounts!$K$559)</f>
        <v/>
      </c>
      <c r="U558">
        <f>IF([2]Baskol!$B$561="","",[2]Baskol!$B$561)</f>
        <v/>
      </c>
      <c r="V558">
        <f>IF([2]Baskol!$C$561="","",[2]Baskol!$C$561)</f>
        <v/>
      </c>
      <c r="W558">
        <f>IF([2]Baskol!$D$561="","",[2]Baskol!$D$561)</f>
        <v/>
      </c>
      <c r="X558">
        <f>IF([2]Baskol!$E$561="","",[2]Baskol!$E$561)</f>
        <v/>
      </c>
      <c r="Y558">
        <f>IF([2]Baskol!$G$561="","",[2]Baskol!$G$561)</f>
        <v/>
      </c>
      <c r="Z558">
        <f>IF([2]Baskol!$I$561="","",[2]Baskol!$I$561)</f>
        <v/>
      </c>
      <c r="AA558">
        <f>IF([2]Baskol!$J$561="","",[2]Baskol!$J$561)</f>
        <v/>
      </c>
      <c r="AB558">
        <f>IF([2]Baskol!$K$561="","",[2]Baskol!$K$561)</f>
        <v/>
      </c>
      <c r="AC558">
        <f>IF([2]Baskol!$L$561="","",[2]Baskol!$L$561)</f>
        <v/>
      </c>
      <c r="AD558">
        <f>IF([2]Baskol!$N$561="","",[2]Baskol!$N$561)</f>
        <v/>
      </c>
      <c r="AE558">
        <f>IF([2]Baskol!$O$561="","",[2]Baskol!$O$561)</f>
        <v/>
      </c>
      <c r="AG558">
        <f>IF([3]Entry!$C$561="","",[3]Entry!$C$561)</f>
        <v/>
      </c>
      <c r="AH558">
        <f>IF([3]Entry!$D$561="","",[3]Entry!$D$561)</f>
        <v/>
      </c>
      <c r="AI558">
        <f>IF([3]Entry!$E$561="","",[3]Entry!$E$561)</f>
        <v/>
      </c>
      <c r="AJ558">
        <f>IF([3]Entry!$G$561="","",[3]Entry!$G$561)</f>
        <v/>
      </c>
      <c r="AK558">
        <f>IF([3]Entry!$K$561="","",[3]Entry!$K$561)</f>
        <v/>
      </c>
      <c r="AL558">
        <f>IF([3]Entry!$L$561="","",[3]Entry!$L$561)</f>
        <v/>
      </c>
      <c r="AM558">
        <f>IF([3]Entry!$M$561="","",[3]Entry!$M$561)</f>
        <v/>
      </c>
      <c r="AN558">
        <f>IF([3]Entry!$N$561="","",[3]Entry!$N$561)</f>
        <v/>
      </c>
      <c r="AO558">
        <f>IF([3]Entry!$R$561="","",[3]Entry!$R$561)</f>
        <v/>
      </c>
      <c r="AQ558">
        <f>IF(AND($D558&lt;&gt;"",$A558&lt;&gt;""),1,0)</f>
        <v/>
      </c>
      <c r="AR558">
        <f>SUM($AQ$6:$AQ558)</f>
        <v/>
      </c>
      <c r="AS558">
        <f>IFERROR(INDEX($A$6:$A$565,MATCH(ROW()-5,$AR$6:$AR$565,0)),"")</f>
        <v/>
      </c>
    </row>
    <row r="559">
      <c r="A559">
        <f>IF([1]Accounts!$D$560="","",[1]Accounts!$A$560)</f>
        <v/>
      </c>
      <c r="B559">
        <f>IF([1]Accounts!$D$560="","",[1]Accounts!$B$560)</f>
        <v/>
      </c>
      <c r="C559">
        <f>IF([1]Accounts!$D$560="","",[1]Accounts!$C$560)</f>
        <v/>
      </c>
      <c r="D559">
        <f>IF([1]Accounts!$D$560="","",[1]Accounts!$D$560)</f>
        <v/>
      </c>
      <c r="E559">
        <f>IF([1]Accounts!$D$560="","",[1]Accounts!$J$560)</f>
        <v/>
      </c>
      <c r="F559">
        <f>IF([1]Accounts!$D$560="","",[1]Accounts!$K$560)</f>
        <v/>
      </c>
      <c r="U559">
        <f>IF([2]Baskol!$B$562="","",[2]Baskol!$B$562)</f>
        <v/>
      </c>
      <c r="V559">
        <f>IF([2]Baskol!$C$562="","",[2]Baskol!$C$562)</f>
        <v/>
      </c>
      <c r="W559">
        <f>IF([2]Baskol!$D$562="","",[2]Baskol!$D$562)</f>
        <v/>
      </c>
      <c r="X559">
        <f>IF([2]Baskol!$E$562="","",[2]Baskol!$E$562)</f>
        <v/>
      </c>
      <c r="Y559">
        <f>IF([2]Baskol!$G$562="","",[2]Baskol!$G$562)</f>
        <v/>
      </c>
      <c r="Z559">
        <f>IF([2]Baskol!$I$562="","",[2]Baskol!$I$562)</f>
        <v/>
      </c>
      <c r="AA559">
        <f>IF([2]Baskol!$J$562="","",[2]Baskol!$J$562)</f>
        <v/>
      </c>
      <c r="AB559">
        <f>IF([2]Baskol!$K$562="","",[2]Baskol!$K$562)</f>
        <v/>
      </c>
      <c r="AC559">
        <f>IF([2]Baskol!$L$562="","",[2]Baskol!$L$562)</f>
        <v/>
      </c>
      <c r="AD559">
        <f>IF([2]Baskol!$N$562="","",[2]Baskol!$N$562)</f>
        <v/>
      </c>
      <c r="AE559">
        <f>IF([2]Baskol!$O$562="","",[2]Baskol!$O$562)</f>
        <v/>
      </c>
      <c r="AG559">
        <f>IF([3]Entry!$C$562="","",[3]Entry!$C$562)</f>
        <v/>
      </c>
      <c r="AH559">
        <f>IF([3]Entry!$D$562="","",[3]Entry!$D$562)</f>
        <v/>
      </c>
      <c r="AI559">
        <f>IF([3]Entry!$E$562="","",[3]Entry!$E$562)</f>
        <v/>
      </c>
      <c r="AJ559">
        <f>IF([3]Entry!$G$562="","",[3]Entry!$G$562)</f>
        <v/>
      </c>
      <c r="AK559">
        <f>IF([3]Entry!$K$562="","",[3]Entry!$K$562)</f>
        <v/>
      </c>
      <c r="AL559">
        <f>IF([3]Entry!$L$562="","",[3]Entry!$L$562)</f>
        <v/>
      </c>
      <c r="AM559">
        <f>IF([3]Entry!$M$562="","",[3]Entry!$M$562)</f>
        <v/>
      </c>
      <c r="AN559">
        <f>IF([3]Entry!$N$562="","",[3]Entry!$N$562)</f>
        <v/>
      </c>
      <c r="AO559">
        <f>IF([3]Entry!$R$562="","",[3]Entry!$R$562)</f>
        <v/>
      </c>
      <c r="AQ559">
        <f>IF(AND($D559&lt;&gt;"",$A559&lt;&gt;""),1,0)</f>
        <v/>
      </c>
      <c r="AR559">
        <f>SUM($AQ$6:$AQ559)</f>
        <v/>
      </c>
      <c r="AS559">
        <f>IFERROR(INDEX($A$6:$A$565,MATCH(ROW()-5,$AR$6:$AR$565,0)),"")</f>
        <v/>
      </c>
    </row>
    <row r="560">
      <c r="A560">
        <f>IF([1]Accounts!$D$561="","",[1]Accounts!$A$561)</f>
        <v/>
      </c>
      <c r="B560">
        <f>IF([1]Accounts!$D$561="","",[1]Accounts!$B$561)</f>
        <v/>
      </c>
      <c r="C560">
        <f>IF([1]Accounts!$D$561="","",[1]Accounts!$C$561)</f>
        <v/>
      </c>
      <c r="D560">
        <f>IF([1]Accounts!$D$561="","",[1]Accounts!$D$561)</f>
        <v/>
      </c>
      <c r="E560">
        <f>IF([1]Accounts!$D$561="","",[1]Accounts!$J$561)</f>
        <v/>
      </c>
      <c r="F560">
        <f>IF([1]Accounts!$D$561="","",[1]Accounts!$K$561)</f>
        <v/>
      </c>
      <c r="U560">
        <f>IF([2]Baskol!$B$563="","",[2]Baskol!$B$563)</f>
        <v/>
      </c>
      <c r="V560">
        <f>IF([2]Baskol!$C$563="","",[2]Baskol!$C$563)</f>
        <v/>
      </c>
      <c r="W560">
        <f>IF([2]Baskol!$D$563="","",[2]Baskol!$D$563)</f>
        <v/>
      </c>
      <c r="X560">
        <f>IF([2]Baskol!$E$563="","",[2]Baskol!$E$563)</f>
        <v/>
      </c>
      <c r="Y560">
        <f>IF([2]Baskol!$G$563="","",[2]Baskol!$G$563)</f>
        <v/>
      </c>
      <c r="Z560">
        <f>IF([2]Baskol!$I$563="","",[2]Baskol!$I$563)</f>
        <v/>
      </c>
      <c r="AA560">
        <f>IF([2]Baskol!$J$563="","",[2]Baskol!$J$563)</f>
        <v/>
      </c>
      <c r="AB560">
        <f>IF([2]Baskol!$K$563="","",[2]Baskol!$K$563)</f>
        <v/>
      </c>
      <c r="AC560">
        <f>IF([2]Baskol!$L$563="","",[2]Baskol!$L$563)</f>
        <v/>
      </c>
      <c r="AD560">
        <f>IF([2]Baskol!$N$563="","",[2]Baskol!$N$563)</f>
        <v/>
      </c>
      <c r="AE560">
        <f>IF([2]Baskol!$O$563="","",[2]Baskol!$O$563)</f>
        <v/>
      </c>
      <c r="AG560">
        <f>IF([3]Entry!$C$563="","",[3]Entry!$C$563)</f>
        <v/>
      </c>
      <c r="AH560">
        <f>IF([3]Entry!$D$563="","",[3]Entry!$D$563)</f>
        <v/>
      </c>
      <c r="AI560">
        <f>IF([3]Entry!$E$563="","",[3]Entry!$E$563)</f>
        <v/>
      </c>
      <c r="AJ560">
        <f>IF([3]Entry!$G$563="","",[3]Entry!$G$563)</f>
        <v/>
      </c>
      <c r="AK560">
        <f>IF([3]Entry!$K$563="","",[3]Entry!$K$563)</f>
        <v/>
      </c>
      <c r="AL560">
        <f>IF([3]Entry!$L$563="","",[3]Entry!$L$563)</f>
        <v/>
      </c>
      <c r="AM560">
        <f>IF([3]Entry!$M$563="","",[3]Entry!$M$563)</f>
        <v/>
      </c>
      <c r="AN560">
        <f>IF([3]Entry!$N$563="","",[3]Entry!$N$563)</f>
        <v/>
      </c>
      <c r="AO560">
        <f>IF([3]Entry!$R$563="","",[3]Entry!$R$563)</f>
        <v/>
      </c>
      <c r="AQ560">
        <f>IF(AND($D560&lt;&gt;"",$A560&lt;&gt;""),1,0)</f>
        <v/>
      </c>
      <c r="AR560">
        <f>SUM($AQ$6:$AQ560)</f>
        <v/>
      </c>
      <c r="AS560">
        <f>IFERROR(INDEX($A$6:$A$565,MATCH(ROW()-5,$AR$6:$AR$565,0)),"")</f>
        <v/>
      </c>
    </row>
    <row r="561">
      <c r="A561">
        <f>IF([1]Accounts!$D$562="","",[1]Accounts!$A$562)</f>
        <v/>
      </c>
      <c r="B561">
        <f>IF([1]Accounts!$D$562="","",[1]Accounts!$B$562)</f>
        <v/>
      </c>
      <c r="C561">
        <f>IF([1]Accounts!$D$562="","",[1]Accounts!$C$562)</f>
        <v/>
      </c>
      <c r="D561">
        <f>IF([1]Accounts!$D$562="","",[1]Accounts!$D$562)</f>
        <v/>
      </c>
      <c r="E561">
        <f>IF([1]Accounts!$D$562="","",[1]Accounts!$J$562)</f>
        <v/>
      </c>
      <c r="F561">
        <f>IF([1]Accounts!$D$562="","",[1]Accounts!$K$562)</f>
        <v/>
      </c>
      <c r="U561">
        <f>IF([2]Baskol!$B$564="","",[2]Baskol!$B$564)</f>
        <v/>
      </c>
      <c r="V561">
        <f>IF([2]Baskol!$C$564="","",[2]Baskol!$C$564)</f>
        <v/>
      </c>
      <c r="W561">
        <f>IF([2]Baskol!$D$564="","",[2]Baskol!$D$564)</f>
        <v/>
      </c>
      <c r="X561">
        <f>IF([2]Baskol!$E$564="","",[2]Baskol!$E$564)</f>
        <v/>
      </c>
      <c r="Y561">
        <f>IF([2]Baskol!$G$564="","",[2]Baskol!$G$564)</f>
        <v/>
      </c>
      <c r="Z561">
        <f>IF([2]Baskol!$I$564="","",[2]Baskol!$I$564)</f>
        <v/>
      </c>
      <c r="AA561">
        <f>IF([2]Baskol!$J$564="","",[2]Baskol!$J$564)</f>
        <v/>
      </c>
      <c r="AB561">
        <f>IF([2]Baskol!$K$564="","",[2]Baskol!$K$564)</f>
        <v/>
      </c>
      <c r="AC561">
        <f>IF([2]Baskol!$L$564="","",[2]Baskol!$L$564)</f>
        <v/>
      </c>
      <c r="AD561">
        <f>IF([2]Baskol!$N$564="","",[2]Baskol!$N$564)</f>
        <v/>
      </c>
      <c r="AE561">
        <f>IF([2]Baskol!$O$564="","",[2]Baskol!$O$564)</f>
        <v/>
      </c>
      <c r="AG561">
        <f>IF([3]Entry!$C$564="","",[3]Entry!$C$564)</f>
        <v/>
      </c>
      <c r="AH561">
        <f>IF([3]Entry!$D$564="","",[3]Entry!$D$564)</f>
        <v/>
      </c>
      <c r="AI561">
        <f>IF([3]Entry!$E$564="","",[3]Entry!$E$564)</f>
        <v/>
      </c>
      <c r="AJ561">
        <f>IF([3]Entry!$G$564="","",[3]Entry!$G$564)</f>
        <v/>
      </c>
      <c r="AK561">
        <f>IF([3]Entry!$K$564="","",[3]Entry!$K$564)</f>
        <v/>
      </c>
      <c r="AL561">
        <f>IF([3]Entry!$L$564="","",[3]Entry!$L$564)</f>
        <v/>
      </c>
      <c r="AM561">
        <f>IF([3]Entry!$M$564="","",[3]Entry!$M$564)</f>
        <v/>
      </c>
      <c r="AN561">
        <f>IF([3]Entry!$N$564="","",[3]Entry!$N$564)</f>
        <v/>
      </c>
      <c r="AO561">
        <f>IF([3]Entry!$R$564="","",[3]Entry!$R$564)</f>
        <v/>
      </c>
      <c r="AQ561">
        <f>IF(AND($D561&lt;&gt;"",$A561&lt;&gt;""),1,0)</f>
        <v/>
      </c>
      <c r="AR561">
        <f>SUM($AQ$6:$AQ561)</f>
        <v/>
      </c>
      <c r="AS561">
        <f>IFERROR(INDEX($A$6:$A$565,MATCH(ROW()-5,$AR$6:$AR$565,0)),"")</f>
        <v/>
      </c>
    </row>
    <row r="562">
      <c r="A562">
        <f>IF([1]Accounts!$D$563="","",[1]Accounts!$A$563)</f>
        <v/>
      </c>
      <c r="B562">
        <f>IF([1]Accounts!$D$563="","",[1]Accounts!$B$563)</f>
        <v/>
      </c>
      <c r="C562">
        <f>IF([1]Accounts!$D$563="","",[1]Accounts!$C$563)</f>
        <v/>
      </c>
      <c r="D562">
        <f>IF([1]Accounts!$D$563="","",[1]Accounts!$D$563)</f>
        <v/>
      </c>
      <c r="E562">
        <f>IF([1]Accounts!$D$563="","",[1]Accounts!$J$563)</f>
        <v/>
      </c>
      <c r="F562">
        <f>IF([1]Accounts!$D$563="","",[1]Accounts!$K$563)</f>
        <v/>
      </c>
      <c r="U562">
        <f>IF([2]Baskol!$B$565="","",[2]Baskol!$B$565)</f>
        <v/>
      </c>
      <c r="V562">
        <f>IF([2]Baskol!$C$565="","",[2]Baskol!$C$565)</f>
        <v/>
      </c>
      <c r="W562">
        <f>IF([2]Baskol!$D$565="","",[2]Baskol!$D$565)</f>
        <v/>
      </c>
      <c r="X562">
        <f>IF([2]Baskol!$E$565="","",[2]Baskol!$E$565)</f>
        <v/>
      </c>
      <c r="Y562">
        <f>IF([2]Baskol!$G$565="","",[2]Baskol!$G$565)</f>
        <v/>
      </c>
      <c r="Z562">
        <f>IF([2]Baskol!$I$565="","",[2]Baskol!$I$565)</f>
        <v/>
      </c>
      <c r="AA562">
        <f>IF([2]Baskol!$J$565="","",[2]Baskol!$J$565)</f>
        <v/>
      </c>
      <c r="AB562">
        <f>IF([2]Baskol!$K$565="","",[2]Baskol!$K$565)</f>
        <v/>
      </c>
      <c r="AC562">
        <f>IF([2]Baskol!$L$565="","",[2]Baskol!$L$565)</f>
        <v/>
      </c>
      <c r="AD562">
        <f>IF([2]Baskol!$N$565="","",[2]Baskol!$N$565)</f>
        <v/>
      </c>
      <c r="AE562">
        <f>IF([2]Baskol!$O$565="","",[2]Baskol!$O$565)</f>
        <v/>
      </c>
      <c r="AG562">
        <f>IF([3]Entry!$C$565="","",[3]Entry!$C$565)</f>
        <v/>
      </c>
      <c r="AH562">
        <f>IF([3]Entry!$D$565="","",[3]Entry!$D$565)</f>
        <v/>
      </c>
      <c r="AI562">
        <f>IF([3]Entry!$E$565="","",[3]Entry!$E$565)</f>
        <v/>
      </c>
      <c r="AJ562">
        <f>IF([3]Entry!$G$565="","",[3]Entry!$G$565)</f>
        <v/>
      </c>
      <c r="AK562">
        <f>IF([3]Entry!$K$565="","",[3]Entry!$K$565)</f>
        <v/>
      </c>
      <c r="AL562">
        <f>IF([3]Entry!$L$565="","",[3]Entry!$L$565)</f>
        <v/>
      </c>
      <c r="AM562">
        <f>IF([3]Entry!$M$565="","",[3]Entry!$M$565)</f>
        <v/>
      </c>
      <c r="AN562">
        <f>IF([3]Entry!$N$565="","",[3]Entry!$N$565)</f>
        <v/>
      </c>
      <c r="AO562">
        <f>IF([3]Entry!$R$565="","",[3]Entry!$R$565)</f>
        <v/>
      </c>
      <c r="AQ562">
        <f>IF(AND($D562&lt;&gt;"",$A562&lt;&gt;""),1,0)</f>
        <v/>
      </c>
      <c r="AR562">
        <f>SUM($AQ$6:$AQ562)</f>
        <v/>
      </c>
      <c r="AS562">
        <f>IFERROR(INDEX($A$6:$A$565,MATCH(ROW()-5,$AR$6:$AR$565,0)),"")</f>
        <v/>
      </c>
    </row>
    <row r="563">
      <c r="A563">
        <f>IF([1]Accounts!$D$564="","",[1]Accounts!$A$564)</f>
        <v/>
      </c>
      <c r="B563">
        <f>IF([1]Accounts!$D$564="","",[1]Accounts!$B$564)</f>
        <v/>
      </c>
      <c r="C563">
        <f>IF([1]Accounts!$D$564="","",[1]Accounts!$C$564)</f>
        <v/>
      </c>
      <c r="D563">
        <f>IF([1]Accounts!$D$564="","",[1]Accounts!$D$564)</f>
        <v/>
      </c>
      <c r="E563">
        <f>IF([1]Accounts!$D$564="","",[1]Accounts!$J$564)</f>
        <v/>
      </c>
      <c r="F563">
        <f>IF([1]Accounts!$D$564="","",[1]Accounts!$K$564)</f>
        <v/>
      </c>
      <c r="U563">
        <f>IF([2]Baskol!$B$566="","",[2]Baskol!$B$566)</f>
        <v/>
      </c>
      <c r="V563">
        <f>IF([2]Baskol!$C$566="","",[2]Baskol!$C$566)</f>
        <v/>
      </c>
      <c r="W563">
        <f>IF([2]Baskol!$D$566="","",[2]Baskol!$D$566)</f>
        <v/>
      </c>
      <c r="X563">
        <f>IF([2]Baskol!$E$566="","",[2]Baskol!$E$566)</f>
        <v/>
      </c>
      <c r="Y563">
        <f>IF([2]Baskol!$G$566="","",[2]Baskol!$G$566)</f>
        <v/>
      </c>
      <c r="Z563">
        <f>IF([2]Baskol!$I$566="","",[2]Baskol!$I$566)</f>
        <v/>
      </c>
      <c r="AA563">
        <f>IF([2]Baskol!$J$566="","",[2]Baskol!$J$566)</f>
        <v/>
      </c>
      <c r="AB563">
        <f>IF([2]Baskol!$K$566="","",[2]Baskol!$K$566)</f>
        <v/>
      </c>
      <c r="AC563">
        <f>IF([2]Baskol!$L$566="","",[2]Baskol!$L$566)</f>
        <v/>
      </c>
      <c r="AD563">
        <f>IF([2]Baskol!$N$566="","",[2]Baskol!$N$566)</f>
        <v/>
      </c>
      <c r="AE563">
        <f>IF([2]Baskol!$O$566="","",[2]Baskol!$O$566)</f>
        <v/>
      </c>
      <c r="AG563">
        <f>IF([3]Entry!$C$566="","",[3]Entry!$C$566)</f>
        <v/>
      </c>
      <c r="AH563">
        <f>IF([3]Entry!$D$566="","",[3]Entry!$D$566)</f>
        <v/>
      </c>
      <c r="AI563">
        <f>IF([3]Entry!$E$566="","",[3]Entry!$E$566)</f>
        <v/>
      </c>
      <c r="AJ563">
        <f>IF([3]Entry!$G$566="","",[3]Entry!$G$566)</f>
        <v/>
      </c>
      <c r="AK563">
        <f>IF([3]Entry!$K$566="","",[3]Entry!$K$566)</f>
        <v/>
      </c>
      <c r="AL563">
        <f>IF([3]Entry!$L$566="","",[3]Entry!$L$566)</f>
        <v/>
      </c>
      <c r="AM563">
        <f>IF([3]Entry!$M$566="","",[3]Entry!$M$566)</f>
        <v/>
      </c>
      <c r="AN563">
        <f>IF([3]Entry!$N$566="","",[3]Entry!$N$566)</f>
        <v/>
      </c>
      <c r="AO563">
        <f>IF([3]Entry!$R$566="","",[3]Entry!$R$566)</f>
        <v/>
      </c>
      <c r="AQ563">
        <f>IF(AND($D563&lt;&gt;"",$A563&lt;&gt;""),1,0)</f>
        <v/>
      </c>
      <c r="AR563">
        <f>SUM($AQ$6:$AQ563)</f>
        <v/>
      </c>
      <c r="AS563">
        <f>IFERROR(INDEX($A$6:$A$565,MATCH(ROW()-5,$AR$6:$AR$565,0)),"")</f>
        <v/>
      </c>
    </row>
    <row r="564">
      <c r="A564">
        <f>IF([1]Accounts!$D$565="","",[1]Accounts!$A$565)</f>
        <v/>
      </c>
      <c r="B564">
        <f>IF([1]Accounts!$D$565="","",[1]Accounts!$B$565)</f>
        <v/>
      </c>
      <c r="C564">
        <f>IF([1]Accounts!$D$565="","",[1]Accounts!$C$565)</f>
        <v/>
      </c>
      <c r="D564">
        <f>IF([1]Accounts!$D$565="","",[1]Accounts!$D$565)</f>
        <v/>
      </c>
      <c r="E564">
        <f>IF([1]Accounts!$D$565="","",[1]Accounts!$J$565)</f>
        <v/>
      </c>
      <c r="F564">
        <f>IF([1]Accounts!$D$565="","",[1]Accounts!$K$565)</f>
        <v/>
      </c>
      <c r="U564">
        <f>IF([2]Baskol!$B$567="","",[2]Baskol!$B$567)</f>
        <v/>
      </c>
      <c r="V564">
        <f>IF([2]Baskol!$C$567="","",[2]Baskol!$C$567)</f>
        <v/>
      </c>
      <c r="W564">
        <f>IF([2]Baskol!$D$567="","",[2]Baskol!$D$567)</f>
        <v/>
      </c>
      <c r="X564">
        <f>IF([2]Baskol!$E$567="","",[2]Baskol!$E$567)</f>
        <v/>
      </c>
      <c r="Y564">
        <f>IF([2]Baskol!$G$567="","",[2]Baskol!$G$567)</f>
        <v/>
      </c>
      <c r="Z564">
        <f>IF([2]Baskol!$I$567="","",[2]Baskol!$I$567)</f>
        <v/>
      </c>
      <c r="AA564">
        <f>IF([2]Baskol!$J$567="","",[2]Baskol!$J$567)</f>
        <v/>
      </c>
      <c r="AB564">
        <f>IF([2]Baskol!$K$567="","",[2]Baskol!$K$567)</f>
        <v/>
      </c>
      <c r="AC564">
        <f>IF([2]Baskol!$L$567="","",[2]Baskol!$L$567)</f>
        <v/>
      </c>
      <c r="AD564">
        <f>IF([2]Baskol!$N$567="","",[2]Baskol!$N$567)</f>
        <v/>
      </c>
      <c r="AE564">
        <f>IF([2]Baskol!$O$567="","",[2]Baskol!$O$567)</f>
        <v/>
      </c>
      <c r="AG564">
        <f>IF([3]Entry!$C$567="","",[3]Entry!$C$567)</f>
        <v/>
      </c>
      <c r="AH564">
        <f>IF([3]Entry!$D$567="","",[3]Entry!$D$567)</f>
        <v/>
      </c>
      <c r="AI564">
        <f>IF([3]Entry!$E$567="","",[3]Entry!$E$567)</f>
        <v/>
      </c>
      <c r="AJ564">
        <f>IF([3]Entry!$G$567="","",[3]Entry!$G$567)</f>
        <v/>
      </c>
      <c r="AK564">
        <f>IF([3]Entry!$K$567="","",[3]Entry!$K$567)</f>
        <v/>
      </c>
      <c r="AL564">
        <f>IF([3]Entry!$L$567="","",[3]Entry!$L$567)</f>
        <v/>
      </c>
      <c r="AM564">
        <f>IF([3]Entry!$M$567="","",[3]Entry!$M$567)</f>
        <v/>
      </c>
      <c r="AN564">
        <f>IF([3]Entry!$N$567="","",[3]Entry!$N$567)</f>
        <v/>
      </c>
      <c r="AO564">
        <f>IF([3]Entry!$R$567="","",[3]Entry!$R$567)</f>
        <v/>
      </c>
      <c r="AQ564">
        <f>IF(AND($D564&lt;&gt;"",$A564&lt;&gt;""),1,0)</f>
        <v/>
      </c>
      <c r="AR564">
        <f>SUM($AQ$6:$AQ564)</f>
        <v/>
      </c>
      <c r="AS564">
        <f>IFERROR(INDEX($A$6:$A$565,MATCH(ROW()-5,$AR$6:$AR$565,0)),"")</f>
        <v/>
      </c>
    </row>
    <row r="565">
      <c r="A565">
        <f>IF([1]Accounts!$D$566="","",[1]Accounts!$A$566)</f>
        <v/>
      </c>
      <c r="B565">
        <f>IF([1]Accounts!$D$566="","",[1]Accounts!$B$566)</f>
        <v/>
      </c>
      <c r="C565">
        <f>IF([1]Accounts!$D$566="","",[1]Accounts!$C$566)</f>
        <v/>
      </c>
      <c r="D565">
        <f>IF([1]Accounts!$D$566="","",[1]Accounts!$D$566)</f>
        <v/>
      </c>
      <c r="E565">
        <f>IF([1]Accounts!$D$566="","",[1]Accounts!$J$566)</f>
        <v/>
      </c>
      <c r="F565">
        <f>IF([1]Accounts!$D$566="","",[1]Accounts!$K$566)</f>
        <v/>
      </c>
      <c r="U565">
        <f>IF([2]Baskol!$B$568="","",[2]Baskol!$B$568)</f>
        <v/>
      </c>
      <c r="V565">
        <f>IF([2]Baskol!$C$568="","",[2]Baskol!$C$568)</f>
        <v/>
      </c>
      <c r="W565">
        <f>IF([2]Baskol!$D$568="","",[2]Baskol!$D$568)</f>
        <v/>
      </c>
      <c r="X565">
        <f>IF([2]Baskol!$E$568="","",[2]Baskol!$E$568)</f>
        <v/>
      </c>
      <c r="Y565">
        <f>IF([2]Baskol!$G$568="","",[2]Baskol!$G$568)</f>
        <v/>
      </c>
      <c r="Z565">
        <f>IF([2]Baskol!$I$568="","",[2]Baskol!$I$568)</f>
        <v/>
      </c>
      <c r="AA565">
        <f>IF([2]Baskol!$J$568="","",[2]Baskol!$J$568)</f>
        <v/>
      </c>
      <c r="AB565">
        <f>IF([2]Baskol!$K$568="","",[2]Baskol!$K$568)</f>
        <v/>
      </c>
      <c r="AC565">
        <f>IF([2]Baskol!$L$568="","",[2]Baskol!$L$568)</f>
        <v/>
      </c>
      <c r="AD565">
        <f>IF([2]Baskol!$N$568="","",[2]Baskol!$N$568)</f>
        <v/>
      </c>
      <c r="AE565">
        <f>IF([2]Baskol!$O$568="","",[2]Baskol!$O$568)</f>
        <v/>
      </c>
      <c r="AG565">
        <f>IF([3]Entry!$C$568="","",[3]Entry!$C$568)</f>
        <v/>
      </c>
      <c r="AH565">
        <f>IF([3]Entry!$D$568="","",[3]Entry!$D$568)</f>
        <v/>
      </c>
      <c r="AI565">
        <f>IF([3]Entry!$E$568="","",[3]Entry!$E$568)</f>
        <v/>
      </c>
      <c r="AJ565">
        <f>IF([3]Entry!$G$568="","",[3]Entry!$G$568)</f>
        <v/>
      </c>
      <c r="AK565">
        <f>IF([3]Entry!$K$568="","",[3]Entry!$K$568)</f>
        <v/>
      </c>
      <c r="AL565">
        <f>IF([3]Entry!$L$568="","",[3]Entry!$L$568)</f>
        <v/>
      </c>
      <c r="AM565">
        <f>IF([3]Entry!$M$568="","",[3]Entry!$M$568)</f>
        <v/>
      </c>
      <c r="AN565">
        <f>IF([3]Entry!$N$568="","",[3]Entry!$N$568)</f>
        <v/>
      </c>
      <c r="AO565">
        <f>IF([3]Entry!$R$568="","",[3]Entry!$R$568)</f>
        <v/>
      </c>
      <c r="AQ565">
        <f>IF(AND($D565&lt;&gt;"",$A565&lt;&gt;""),1,0)</f>
        <v/>
      </c>
      <c r="AR565">
        <f>SUM($AQ$6:$AQ565)</f>
        <v/>
      </c>
      <c r="AS565">
        <f>IFERROR(INDEX($A$6:$A$565,MATCH(ROW()-5,$AR$6:$AR$565,0)),"")</f>
        <v/>
      </c>
    </row>
    <row r="566">
      <c r="U566">
        <f>IF([2]Baskol!$B$569="","",[2]Baskol!$B$569)</f>
        <v/>
      </c>
      <c r="V566">
        <f>IF([2]Baskol!$C$569="","",[2]Baskol!$C$569)</f>
        <v/>
      </c>
      <c r="W566">
        <f>IF([2]Baskol!$D$569="","",[2]Baskol!$D$569)</f>
        <v/>
      </c>
      <c r="X566">
        <f>IF([2]Baskol!$E$569="","",[2]Baskol!$E$569)</f>
        <v/>
      </c>
      <c r="Y566">
        <f>IF([2]Baskol!$G$569="","",[2]Baskol!$G$569)</f>
        <v/>
      </c>
      <c r="Z566">
        <f>IF([2]Baskol!$I$569="","",[2]Baskol!$I$569)</f>
        <v/>
      </c>
      <c r="AA566">
        <f>IF([2]Baskol!$J$569="","",[2]Baskol!$J$569)</f>
        <v/>
      </c>
      <c r="AB566">
        <f>IF([2]Baskol!$K$569="","",[2]Baskol!$K$569)</f>
        <v/>
      </c>
      <c r="AC566">
        <f>IF([2]Baskol!$L$569="","",[2]Baskol!$L$569)</f>
        <v/>
      </c>
      <c r="AD566">
        <f>IF([2]Baskol!$N$569="","",[2]Baskol!$N$569)</f>
        <v/>
      </c>
      <c r="AE566">
        <f>IF([2]Baskol!$O$569="","",[2]Baskol!$O$569)</f>
        <v/>
      </c>
      <c r="AG566">
        <f>IF([3]Entry!$C$569="","",[3]Entry!$C$569)</f>
        <v/>
      </c>
      <c r="AH566">
        <f>IF([3]Entry!$D$569="","",[3]Entry!$D$569)</f>
        <v/>
      </c>
      <c r="AI566">
        <f>IF([3]Entry!$E$569="","",[3]Entry!$E$569)</f>
        <v/>
      </c>
      <c r="AJ566">
        <f>IF([3]Entry!$G$569="","",[3]Entry!$G$569)</f>
        <v/>
      </c>
      <c r="AK566">
        <f>IF([3]Entry!$K$569="","",[3]Entry!$K$569)</f>
        <v/>
      </c>
      <c r="AL566">
        <f>IF([3]Entry!$L$569="","",[3]Entry!$L$569)</f>
        <v/>
      </c>
      <c r="AM566">
        <f>IF([3]Entry!$M$569="","",[3]Entry!$M$569)</f>
        <v/>
      </c>
      <c r="AN566">
        <f>IF([3]Entry!$N$569="","",[3]Entry!$N$569)</f>
        <v/>
      </c>
      <c r="AO566">
        <f>IF([3]Entry!$R$569="","",[3]Entry!$R$569)</f>
        <v/>
      </c>
    </row>
    <row r="567">
      <c r="U567">
        <f>IF([2]Baskol!$B$570="","",[2]Baskol!$B$570)</f>
        <v/>
      </c>
      <c r="V567">
        <f>IF([2]Baskol!$C$570="","",[2]Baskol!$C$570)</f>
        <v/>
      </c>
      <c r="W567">
        <f>IF([2]Baskol!$D$570="","",[2]Baskol!$D$570)</f>
        <v/>
      </c>
      <c r="X567">
        <f>IF([2]Baskol!$E$570="","",[2]Baskol!$E$570)</f>
        <v/>
      </c>
      <c r="Y567">
        <f>IF([2]Baskol!$G$570="","",[2]Baskol!$G$570)</f>
        <v/>
      </c>
      <c r="Z567">
        <f>IF([2]Baskol!$I$570="","",[2]Baskol!$I$570)</f>
        <v/>
      </c>
      <c r="AA567">
        <f>IF([2]Baskol!$J$570="","",[2]Baskol!$J$570)</f>
        <v/>
      </c>
      <c r="AB567">
        <f>IF([2]Baskol!$K$570="","",[2]Baskol!$K$570)</f>
        <v/>
      </c>
      <c r="AC567">
        <f>IF([2]Baskol!$L$570="","",[2]Baskol!$L$570)</f>
        <v/>
      </c>
      <c r="AD567">
        <f>IF([2]Baskol!$N$570="","",[2]Baskol!$N$570)</f>
        <v/>
      </c>
      <c r="AE567">
        <f>IF([2]Baskol!$O$570="","",[2]Baskol!$O$570)</f>
        <v/>
      </c>
      <c r="AG567">
        <f>IF([3]Entry!$C$570="","",[3]Entry!$C$570)</f>
        <v/>
      </c>
      <c r="AH567">
        <f>IF([3]Entry!$D$570="","",[3]Entry!$D$570)</f>
        <v/>
      </c>
      <c r="AI567">
        <f>IF([3]Entry!$E$570="","",[3]Entry!$E$570)</f>
        <v/>
      </c>
      <c r="AJ567">
        <f>IF([3]Entry!$G$570="","",[3]Entry!$G$570)</f>
        <v/>
      </c>
      <c r="AK567">
        <f>IF([3]Entry!$K$570="","",[3]Entry!$K$570)</f>
        <v/>
      </c>
      <c r="AL567">
        <f>IF([3]Entry!$L$570="","",[3]Entry!$L$570)</f>
        <v/>
      </c>
      <c r="AM567">
        <f>IF([3]Entry!$M$570="","",[3]Entry!$M$570)</f>
        <v/>
      </c>
      <c r="AN567">
        <f>IF([3]Entry!$N$570="","",[3]Entry!$N$570)</f>
        <v/>
      </c>
      <c r="AO567">
        <f>IF([3]Entry!$R$570="","",[3]Entry!$R$570)</f>
        <v/>
      </c>
    </row>
    <row r="568">
      <c r="U568">
        <f>IF([2]Baskol!$B$571="","",[2]Baskol!$B$571)</f>
        <v/>
      </c>
      <c r="V568">
        <f>IF([2]Baskol!$C$571="","",[2]Baskol!$C$571)</f>
        <v/>
      </c>
      <c r="W568">
        <f>IF([2]Baskol!$D$571="","",[2]Baskol!$D$571)</f>
        <v/>
      </c>
      <c r="X568">
        <f>IF([2]Baskol!$E$571="","",[2]Baskol!$E$571)</f>
        <v/>
      </c>
      <c r="Y568">
        <f>IF([2]Baskol!$G$571="","",[2]Baskol!$G$571)</f>
        <v/>
      </c>
      <c r="Z568">
        <f>IF([2]Baskol!$I$571="","",[2]Baskol!$I$571)</f>
        <v/>
      </c>
      <c r="AA568">
        <f>IF([2]Baskol!$J$571="","",[2]Baskol!$J$571)</f>
        <v/>
      </c>
      <c r="AB568">
        <f>IF([2]Baskol!$K$571="","",[2]Baskol!$K$571)</f>
        <v/>
      </c>
      <c r="AC568">
        <f>IF([2]Baskol!$L$571="","",[2]Baskol!$L$571)</f>
        <v/>
      </c>
      <c r="AD568">
        <f>IF([2]Baskol!$N$571="","",[2]Baskol!$N$571)</f>
        <v/>
      </c>
      <c r="AE568">
        <f>IF([2]Baskol!$O$571="","",[2]Baskol!$O$571)</f>
        <v/>
      </c>
      <c r="AG568">
        <f>IF([3]Entry!$C$571="","",[3]Entry!$C$571)</f>
        <v/>
      </c>
      <c r="AH568">
        <f>IF([3]Entry!$D$571="","",[3]Entry!$D$571)</f>
        <v/>
      </c>
      <c r="AI568">
        <f>IF([3]Entry!$E$571="","",[3]Entry!$E$571)</f>
        <v/>
      </c>
      <c r="AJ568">
        <f>IF([3]Entry!$G$571="","",[3]Entry!$G$571)</f>
        <v/>
      </c>
      <c r="AK568">
        <f>IF([3]Entry!$K$571="","",[3]Entry!$K$571)</f>
        <v/>
      </c>
      <c r="AL568">
        <f>IF([3]Entry!$L$571="","",[3]Entry!$L$571)</f>
        <v/>
      </c>
      <c r="AM568">
        <f>IF([3]Entry!$M$571="","",[3]Entry!$M$571)</f>
        <v/>
      </c>
      <c r="AN568">
        <f>IF([3]Entry!$N$571="","",[3]Entry!$N$571)</f>
        <v/>
      </c>
      <c r="AO568">
        <f>IF([3]Entry!$R$571="","",[3]Entry!$R$571)</f>
        <v/>
      </c>
    </row>
    <row r="569">
      <c r="U569">
        <f>IF([2]Baskol!$B$572="","",[2]Baskol!$B$572)</f>
        <v/>
      </c>
      <c r="V569">
        <f>IF([2]Baskol!$C$572="","",[2]Baskol!$C$572)</f>
        <v/>
      </c>
      <c r="W569">
        <f>IF([2]Baskol!$D$572="","",[2]Baskol!$D$572)</f>
        <v/>
      </c>
      <c r="X569">
        <f>IF([2]Baskol!$E$572="","",[2]Baskol!$E$572)</f>
        <v/>
      </c>
      <c r="Y569">
        <f>IF([2]Baskol!$G$572="","",[2]Baskol!$G$572)</f>
        <v/>
      </c>
      <c r="Z569">
        <f>IF([2]Baskol!$I$572="","",[2]Baskol!$I$572)</f>
        <v/>
      </c>
      <c r="AA569">
        <f>IF([2]Baskol!$J$572="","",[2]Baskol!$J$572)</f>
        <v/>
      </c>
      <c r="AB569">
        <f>IF([2]Baskol!$K$572="","",[2]Baskol!$K$572)</f>
        <v/>
      </c>
      <c r="AC569">
        <f>IF([2]Baskol!$L$572="","",[2]Baskol!$L$572)</f>
        <v/>
      </c>
      <c r="AD569">
        <f>IF([2]Baskol!$N$572="","",[2]Baskol!$N$572)</f>
        <v/>
      </c>
      <c r="AE569">
        <f>IF([2]Baskol!$O$572="","",[2]Baskol!$O$572)</f>
        <v/>
      </c>
      <c r="AG569">
        <f>IF([3]Entry!$C$572="","",[3]Entry!$C$572)</f>
        <v/>
      </c>
      <c r="AH569">
        <f>IF([3]Entry!$D$572="","",[3]Entry!$D$572)</f>
        <v/>
      </c>
      <c r="AI569">
        <f>IF([3]Entry!$E$572="","",[3]Entry!$E$572)</f>
        <v/>
      </c>
      <c r="AJ569">
        <f>IF([3]Entry!$G$572="","",[3]Entry!$G$572)</f>
        <v/>
      </c>
      <c r="AK569">
        <f>IF([3]Entry!$K$572="","",[3]Entry!$K$572)</f>
        <v/>
      </c>
      <c r="AL569">
        <f>IF([3]Entry!$L$572="","",[3]Entry!$L$572)</f>
        <v/>
      </c>
      <c r="AM569">
        <f>IF([3]Entry!$M$572="","",[3]Entry!$M$572)</f>
        <v/>
      </c>
      <c r="AN569">
        <f>IF([3]Entry!$N$572="","",[3]Entry!$N$572)</f>
        <v/>
      </c>
      <c r="AO569">
        <f>IF([3]Entry!$R$572="","",[3]Entry!$R$572)</f>
        <v/>
      </c>
    </row>
    <row r="570">
      <c r="U570">
        <f>IF([2]Baskol!$B$573="","",[2]Baskol!$B$573)</f>
        <v/>
      </c>
      <c r="V570">
        <f>IF([2]Baskol!$C$573="","",[2]Baskol!$C$573)</f>
        <v/>
      </c>
      <c r="W570">
        <f>IF([2]Baskol!$D$573="","",[2]Baskol!$D$573)</f>
        <v/>
      </c>
      <c r="X570">
        <f>IF([2]Baskol!$E$573="","",[2]Baskol!$E$573)</f>
        <v/>
      </c>
      <c r="Y570">
        <f>IF([2]Baskol!$G$573="","",[2]Baskol!$G$573)</f>
        <v/>
      </c>
      <c r="Z570">
        <f>IF([2]Baskol!$I$573="","",[2]Baskol!$I$573)</f>
        <v/>
      </c>
      <c r="AA570">
        <f>IF([2]Baskol!$J$573="","",[2]Baskol!$J$573)</f>
        <v/>
      </c>
      <c r="AB570">
        <f>IF([2]Baskol!$K$573="","",[2]Baskol!$K$573)</f>
        <v/>
      </c>
      <c r="AC570">
        <f>IF([2]Baskol!$L$573="","",[2]Baskol!$L$573)</f>
        <v/>
      </c>
      <c r="AD570">
        <f>IF([2]Baskol!$N$573="","",[2]Baskol!$N$573)</f>
        <v/>
      </c>
      <c r="AE570">
        <f>IF([2]Baskol!$O$573="","",[2]Baskol!$O$573)</f>
        <v/>
      </c>
      <c r="AG570">
        <f>IF([3]Entry!$C$573="","",[3]Entry!$C$573)</f>
        <v/>
      </c>
      <c r="AH570">
        <f>IF([3]Entry!$D$573="","",[3]Entry!$D$573)</f>
        <v/>
      </c>
      <c r="AI570">
        <f>IF([3]Entry!$E$573="","",[3]Entry!$E$573)</f>
        <v/>
      </c>
      <c r="AJ570">
        <f>IF([3]Entry!$G$573="","",[3]Entry!$G$573)</f>
        <v/>
      </c>
      <c r="AK570">
        <f>IF([3]Entry!$K$573="","",[3]Entry!$K$573)</f>
        <v/>
      </c>
      <c r="AL570">
        <f>IF([3]Entry!$L$573="","",[3]Entry!$L$573)</f>
        <v/>
      </c>
      <c r="AM570">
        <f>IF([3]Entry!$M$573="","",[3]Entry!$M$573)</f>
        <v/>
      </c>
      <c r="AN570">
        <f>IF([3]Entry!$N$573="","",[3]Entry!$N$573)</f>
        <v/>
      </c>
      <c r="AO570">
        <f>IF([3]Entry!$R$573="","",[3]Entry!$R$573)</f>
        <v/>
      </c>
    </row>
    <row r="571">
      <c r="U571">
        <f>IF([2]Baskol!$B$574="","",[2]Baskol!$B$574)</f>
        <v/>
      </c>
      <c r="V571">
        <f>IF([2]Baskol!$C$574="","",[2]Baskol!$C$574)</f>
        <v/>
      </c>
      <c r="W571">
        <f>IF([2]Baskol!$D$574="","",[2]Baskol!$D$574)</f>
        <v/>
      </c>
      <c r="X571">
        <f>IF([2]Baskol!$E$574="","",[2]Baskol!$E$574)</f>
        <v/>
      </c>
      <c r="Y571">
        <f>IF([2]Baskol!$G$574="","",[2]Baskol!$G$574)</f>
        <v/>
      </c>
      <c r="Z571">
        <f>IF([2]Baskol!$I$574="","",[2]Baskol!$I$574)</f>
        <v/>
      </c>
      <c r="AA571">
        <f>IF([2]Baskol!$J$574="","",[2]Baskol!$J$574)</f>
        <v/>
      </c>
      <c r="AB571">
        <f>IF([2]Baskol!$K$574="","",[2]Baskol!$K$574)</f>
        <v/>
      </c>
      <c r="AC571">
        <f>IF([2]Baskol!$L$574="","",[2]Baskol!$L$574)</f>
        <v/>
      </c>
      <c r="AD571">
        <f>IF([2]Baskol!$N$574="","",[2]Baskol!$N$574)</f>
        <v/>
      </c>
      <c r="AE571">
        <f>IF([2]Baskol!$O$574="","",[2]Baskol!$O$574)</f>
        <v/>
      </c>
      <c r="AG571">
        <f>IF([3]Entry!$C$574="","",[3]Entry!$C$574)</f>
        <v/>
      </c>
      <c r="AH571">
        <f>IF([3]Entry!$D$574="","",[3]Entry!$D$574)</f>
        <v/>
      </c>
      <c r="AI571">
        <f>IF([3]Entry!$E$574="","",[3]Entry!$E$574)</f>
        <v/>
      </c>
      <c r="AJ571">
        <f>IF([3]Entry!$G$574="","",[3]Entry!$G$574)</f>
        <v/>
      </c>
      <c r="AK571">
        <f>IF([3]Entry!$K$574="","",[3]Entry!$K$574)</f>
        <v/>
      </c>
      <c r="AL571">
        <f>IF([3]Entry!$L$574="","",[3]Entry!$L$574)</f>
        <v/>
      </c>
      <c r="AM571">
        <f>IF([3]Entry!$M$574="","",[3]Entry!$M$574)</f>
        <v/>
      </c>
      <c r="AN571">
        <f>IF([3]Entry!$N$574="","",[3]Entry!$N$574)</f>
        <v/>
      </c>
      <c r="AO571">
        <f>IF([3]Entry!$R$574="","",[3]Entry!$R$574)</f>
        <v/>
      </c>
    </row>
    <row r="572">
      <c r="U572">
        <f>IF([2]Baskol!$B$575="","",[2]Baskol!$B$575)</f>
        <v/>
      </c>
      <c r="V572">
        <f>IF([2]Baskol!$C$575="","",[2]Baskol!$C$575)</f>
        <v/>
      </c>
      <c r="W572">
        <f>IF([2]Baskol!$D$575="","",[2]Baskol!$D$575)</f>
        <v/>
      </c>
      <c r="X572">
        <f>IF([2]Baskol!$E$575="","",[2]Baskol!$E$575)</f>
        <v/>
      </c>
      <c r="Y572">
        <f>IF([2]Baskol!$G$575="","",[2]Baskol!$G$575)</f>
        <v/>
      </c>
      <c r="Z572">
        <f>IF([2]Baskol!$I$575="","",[2]Baskol!$I$575)</f>
        <v/>
      </c>
      <c r="AA572">
        <f>IF([2]Baskol!$J$575="","",[2]Baskol!$J$575)</f>
        <v/>
      </c>
      <c r="AB572">
        <f>IF([2]Baskol!$K$575="","",[2]Baskol!$K$575)</f>
        <v/>
      </c>
      <c r="AC572">
        <f>IF([2]Baskol!$L$575="","",[2]Baskol!$L$575)</f>
        <v/>
      </c>
      <c r="AD572">
        <f>IF([2]Baskol!$N$575="","",[2]Baskol!$N$575)</f>
        <v/>
      </c>
      <c r="AE572">
        <f>IF([2]Baskol!$O$575="","",[2]Baskol!$O$575)</f>
        <v/>
      </c>
      <c r="AG572">
        <f>IF([3]Entry!$C$575="","",[3]Entry!$C$575)</f>
        <v/>
      </c>
      <c r="AH572">
        <f>IF([3]Entry!$D$575="","",[3]Entry!$D$575)</f>
        <v/>
      </c>
      <c r="AI572">
        <f>IF([3]Entry!$E$575="","",[3]Entry!$E$575)</f>
        <v/>
      </c>
      <c r="AJ572">
        <f>IF([3]Entry!$G$575="","",[3]Entry!$G$575)</f>
        <v/>
      </c>
      <c r="AK572">
        <f>IF([3]Entry!$K$575="","",[3]Entry!$K$575)</f>
        <v/>
      </c>
      <c r="AL572">
        <f>IF([3]Entry!$L$575="","",[3]Entry!$L$575)</f>
        <v/>
      </c>
      <c r="AM572">
        <f>IF([3]Entry!$M$575="","",[3]Entry!$M$575)</f>
        <v/>
      </c>
      <c r="AN572">
        <f>IF([3]Entry!$N$575="","",[3]Entry!$N$575)</f>
        <v/>
      </c>
      <c r="AO572">
        <f>IF([3]Entry!$R$575="","",[3]Entry!$R$575)</f>
        <v/>
      </c>
    </row>
    <row r="573">
      <c r="U573">
        <f>IF([2]Baskol!$B$576="","",[2]Baskol!$B$576)</f>
        <v/>
      </c>
      <c r="V573">
        <f>IF([2]Baskol!$C$576="","",[2]Baskol!$C$576)</f>
        <v/>
      </c>
      <c r="W573">
        <f>IF([2]Baskol!$D$576="","",[2]Baskol!$D$576)</f>
        <v/>
      </c>
      <c r="X573">
        <f>IF([2]Baskol!$E$576="","",[2]Baskol!$E$576)</f>
        <v/>
      </c>
      <c r="Y573">
        <f>IF([2]Baskol!$G$576="","",[2]Baskol!$G$576)</f>
        <v/>
      </c>
      <c r="Z573">
        <f>IF([2]Baskol!$I$576="","",[2]Baskol!$I$576)</f>
        <v/>
      </c>
      <c r="AA573">
        <f>IF([2]Baskol!$J$576="","",[2]Baskol!$J$576)</f>
        <v/>
      </c>
      <c r="AB573">
        <f>IF([2]Baskol!$K$576="","",[2]Baskol!$K$576)</f>
        <v/>
      </c>
      <c r="AC573">
        <f>IF([2]Baskol!$L$576="","",[2]Baskol!$L$576)</f>
        <v/>
      </c>
      <c r="AD573">
        <f>IF([2]Baskol!$N$576="","",[2]Baskol!$N$576)</f>
        <v/>
      </c>
      <c r="AE573">
        <f>IF([2]Baskol!$O$576="","",[2]Baskol!$O$576)</f>
        <v/>
      </c>
      <c r="AG573">
        <f>IF([3]Entry!$C$576="","",[3]Entry!$C$576)</f>
        <v/>
      </c>
      <c r="AH573">
        <f>IF([3]Entry!$D$576="","",[3]Entry!$D$576)</f>
        <v/>
      </c>
      <c r="AI573">
        <f>IF([3]Entry!$E$576="","",[3]Entry!$E$576)</f>
        <v/>
      </c>
      <c r="AJ573">
        <f>IF([3]Entry!$G$576="","",[3]Entry!$G$576)</f>
        <v/>
      </c>
      <c r="AK573">
        <f>IF([3]Entry!$K$576="","",[3]Entry!$K$576)</f>
        <v/>
      </c>
      <c r="AL573">
        <f>IF([3]Entry!$L$576="","",[3]Entry!$L$576)</f>
        <v/>
      </c>
      <c r="AM573">
        <f>IF([3]Entry!$M$576="","",[3]Entry!$M$576)</f>
        <v/>
      </c>
      <c r="AN573">
        <f>IF([3]Entry!$N$576="","",[3]Entry!$N$576)</f>
        <v/>
      </c>
      <c r="AO573">
        <f>IF([3]Entry!$R$576="","",[3]Entry!$R$576)</f>
        <v/>
      </c>
    </row>
    <row r="574">
      <c r="U574">
        <f>IF([2]Baskol!$B$577="","",[2]Baskol!$B$577)</f>
        <v/>
      </c>
      <c r="V574">
        <f>IF([2]Baskol!$C$577="","",[2]Baskol!$C$577)</f>
        <v/>
      </c>
      <c r="W574">
        <f>IF([2]Baskol!$D$577="","",[2]Baskol!$D$577)</f>
        <v/>
      </c>
      <c r="X574">
        <f>IF([2]Baskol!$E$577="","",[2]Baskol!$E$577)</f>
        <v/>
      </c>
      <c r="Y574">
        <f>IF([2]Baskol!$G$577="","",[2]Baskol!$G$577)</f>
        <v/>
      </c>
      <c r="Z574">
        <f>IF([2]Baskol!$I$577="","",[2]Baskol!$I$577)</f>
        <v/>
      </c>
      <c r="AA574">
        <f>IF([2]Baskol!$J$577="","",[2]Baskol!$J$577)</f>
        <v/>
      </c>
      <c r="AB574">
        <f>IF([2]Baskol!$K$577="","",[2]Baskol!$K$577)</f>
        <v/>
      </c>
      <c r="AC574">
        <f>IF([2]Baskol!$L$577="","",[2]Baskol!$L$577)</f>
        <v/>
      </c>
      <c r="AD574">
        <f>IF([2]Baskol!$N$577="","",[2]Baskol!$N$577)</f>
        <v/>
      </c>
      <c r="AE574">
        <f>IF([2]Baskol!$O$577="","",[2]Baskol!$O$577)</f>
        <v/>
      </c>
      <c r="AG574">
        <f>IF([3]Entry!$C$577="","",[3]Entry!$C$577)</f>
        <v/>
      </c>
      <c r="AH574">
        <f>IF([3]Entry!$D$577="","",[3]Entry!$D$577)</f>
        <v/>
      </c>
      <c r="AI574">
        <f>IF([3]Entry!$E$577="","",[3]Entry!$E$577)</f>
        <v/>
      </c>
      <c r="AJ574">
        <f>IF([3]Entry!$G$577="","",[3]Entry!$G$577)</f>
        <v/>
      </c>
      <c r="AK574">
        <f>IF([3]Entry!$K$577="","",[3]Entry!$K$577)</f>
        <v/>
      </c>
      <c r="AL574">
        <f>IF([3]Entry!$L$577="","",[3]Entry!$L$577)</f>
        <v/>
      </c>
      <c r="AM574">
        <f>IF([3]Entry!$M$577="","",[3]Entry!$M$577)</f>
        <v/>
      </c>
      <c r="AN574">
        <f>IF([3]Entry!$N$577="","",[3]Entry!$N$577)</f>
        <v/>
      </c>
      <c r="AO574">
        <f>IF([3]Entry!$R$577="","",[3]Entry!$R$577)</f>
        <v/>
      </c>
    </row>
    <row r="575">
      <c r="U575">
        <f>IF([2]Baskol!$B$578="","",[2]Baskol!$B$578)</f>
        <v/>
      </c>
      <c r="V575">
        <f>IF([2]Baskol!$C$578="","",[2]Baskol!$C$578)</f>
        <v/>
      </c>
      <c r="W575">
        <f>IF([2]Baskol!$D$578="","",[2]Baskol!$D$578)</f>
        <v/>
      </c>
      <c r="X575">
        <f>IF([2]Baskol!$E$578="","",[2]Baskol!$E$578)</f>
        <v/>
      </c>
      <c r="Y575">
        <f>IF([2]Baskol!$G$578="","",[2]Baskol!$G$578)</f>
        <v/>
      </c>
      <c r="Z575">
        <f>IF([2]Baskol!$I$578="","",[2]Baskol!$I$578)</f>
        <v/>
      </c>
      <c r="AA575">
        <f>IF([2]Baskol!$J$578="","",[2]Baskol!$J$578)</f>
        <v/>
      </c>
      <c r="AB575">
        <f>IF([2]Baskol!$K$578="","",[2]Baskol!$K$578)</f>
        <v/>
      </c>
      <c r="AC575">
        <f>IF([2]Baskol!$L$578="","",[2]Baskol!$L$578)</f>
        <v/>
      </c>
      <c r="AD575">
        <f>IF([2]Baskol!$N$578="","",[2]Baskol!$N$578)</f>
        <v/>
      </c>
      <c r="AE575">
        <f>IF([2]Baskol!$O$578="","",[2]Baskol!$O$578)</f>
        <v/>
      </c>
      <c r="AG575">
        <f>IF([3]Entry!$C$578="","",[3]Entry!$C$578)</f>
        <v/>
      </c>
      <c r="AH575">
        <f>IF([3]Entry!$D$578="","",[3]Entry!$D$578)</f>
        <v/>
      </c>
      <c r="AI575">
        <f>IF([3]Entry!$E$578="","",[3]Entry!$E$578)</f>
        <v/>
      </c>
      <c r="AJ575">
        <f>IF([3]Entry!$G$578="","",[3]Entry!$G$578)</f>
        <v/>
      </c>
      <c r="AK575">
        <f>IF([3]Entry!$K$578="","",[3]Entry!$K$578)</f>
        <v/>
      </c>
      <c r="AL575">
        <f>IF([3]Entry!$L$578="","",[3]Entry!$L$578)</f>
        <v/>
      </c>
      <c r="AM575">
        <f>IF([3]Entry!$M$578="","",[3]Entry!$M$578)</f>
        <v/>
      </c>
      <c r="AN575">
        <f>IF([3]Entry!$N$578="","",[3]Entry!$N$578)</f>
        <v/>
      </c>
      <c r="AO575">
        <f>IF([3]Entry!$R$578="","",[3]Entry!$R$578)</f>
        <v/>
      </c>
    </row>
    <row r="576">
      <c r="U576">
        <f>IF([2]Baskol!$B$579="","",[2]Baskol!$B$579)</f>
        <v/>
      </c>
      <c r="V576">
        <f>IF([2]Baskol!$C$579="","",[2]Baskol!$C$579)</f>
        <v/>
      </c>
      <c r="W576">
        <f>IF([2]Baskol!$D$579="","",[2]Baskol!$D$579)</f>
        <v/>
      </c>
      <c r="X576">
        <f>IF([2]Baskol!$E$579="","",[2]Baskol!$E$579)</f>
        <v/>
      </c>
      <c r="Y576">
        <f>IF([2]Baskol!$G$579="","",[2]Baskol!$G$579)</f>
        <v/>
      </c>
      <c r="Z576">
        <f>IF([2]Baskol!$I$579="","",[2]Baskol!$I$579)</f>
        <v/>
      </c>
      <c r="AA576">
        <f>IF([2]Baskol!$J$579="","",[2]Baskol!$J$579)</f>
        <v/>
      </c>
      <c r="AB576">
        <f>IF([2]Baskol!$K$579="","",[2]Baskol!$K$579)</f>
        <v/>
      </c>
      <c r="AC576">
        <f>IF([2]Baskol!$L$579="","",[2]Baskol!$L$579)</f>
        <v/>
      </c>
      <c r="AD576">
        <f>IF([2]Baskol!$N$579="","",[2]Baskol!$N$579)</f>
        <v/>
      </c>
      <c r="AE576">
        <f>IF([2]Baskol!$O$579="","",[2]Baskol!$O$579)</f>
        <v/>
      </c>
      <c r="AG576">
        <f>IF([3]Entry!$C$579="","",[3]Entry!$C$579)</f>
        <v/>
      </c>
      <c r="AH576">
        <f>IF([3]Entry!$D$579="","",[3]Entry!$D$579)</f>
        <v/>
      </c>
      <c r="AI576">
        <f>IF([3]Entry!$E$579="","",[3]Entry!$E$579)</f>
        <v/>
      </c>
      <c r="AJ576">
        <f>IF([3]Entry!$G$579="","",[3]Entry!$G$579)</f>
        <v/>
      </c>
      <c r="AK576">
        <f>IF([3]Entry!$K$579="","",[3]Entry!$K$579)</f>
        <v/>
      </c>
      <c r="AL576">
        <f>IF([3]Entry!$L$579="","",[3]Entry!$L$579)</f>
        <v/>
      </c>
      <c r="AM576">
        <f>IF([3]Entry!$M$579="","",[3]Entry!$M$579)</f>
        <v/>
      </c>
      <c r="AN576">
        <f>IF([3]Entry!$N$579="","",[3]Entry!$N$579)</f>
        <v/>
      </c>
      <c r="AO576">
        <f>IF([3]Entry!$R$579="","",[3]Entry!$R$579)</f>
        <v/>
      </c>
    </row>
    <row r="577">
      <c r="U577">
        <f>IF([2]Baskol!$B$580="","",[2]Baskol!$B$580)</f>
        <v/>
      </c>
      <c r="V577">
        <f>IF([2]Baskol!$C$580="","",[2]Baskol!$C$580)</f>
        <v/>
      </c>
      <c r="W577">
        <f>IF([2]Baskol!$D$580="","",[2]Baskol!$D$580)</f>
        <v/>
      </c>
      <c r="X577">
        <f>IF([2]Baskol!$E$580="","",[2]Baskol!$E$580)</f>
        <v/>
      </c>
      <c r="Y577">
        <f>IF([2]Baskol!$G$580="","",[2]Baskol!$G$580)</f>
        <v/>
      </c>
      <c r="Z577">
        <f>IF([2]Baskol!$I$580="","",[2]Baskol!$I$580)</f>
        <v/>
      </c>
      <c r="AA577">
        <f>IF([2]Baskol!$J$580="","",[2]Baskol!$J$580)</f>
        <v/>
      </c>
      <c r="AB577">
        <f>IF([2]Baskol!$K$580="","",[2]Baskol!$K$580)</f>
        <v/>
      </c>
      <c r="AC577">
        <f>IF([2]Baskol!$L$580="","",[2]Baskol!$L$580)</f>
        <v/>
      </c>
      <c r="AD577">
        <f>IF([2]Baskol!$N$580="","",[2]Baskol!$N$580)</f>
        <v/>
      </c>
      <c r="AE577">
        <f>IF([2]Baskol!$O$580="","",[2]Baskol!$O$580)</f>
        <v/>
      </c>
      <c r="AG577">
        <f>IF([3]Entry!$C$580="","",[3]Entry!$C$580)</f>
        <v/>
      </c>
      <c r="AH577">
        <f>IF([3]Entry!$D$580="","",[3]Entry!$D$580)</f>
        <v/>
      </c>
      <c r="AI577">
        <f>IF([3]Entry!$E$580="","",[3]Entry!$E$580)</f>
        <v/>
      </c>
      <c r="AJ577">
        <f>IF([3]Entry!$G$580="","",[3]Entry!$G$580)</f>
        <v/>
      </c>
      <c r="AK577">
        <f>IF([3]Entry!$K$580="","",[3]Entry!$K$580)</f>
        <v/>
      </c>
      <c r="AL577">
        <f>IF([3]Entry!$L$580="","",[3]Entry!$L$580)</f>
        <v/>
      </c>
      <c r="AM577">
        <f>IF([3]Entry!$M$580="","",[3]Entry!$M$580)</f>
        <v/>
      </c>
      <c r="AN577">
        <f>IF([3]Entry!$N$580="","",[3]Entry!$N$580)</f>
        <v/>
      </c>
      <c r="AO577">
        <f>IF([3]Entry!$R$580="","",[3]Entry!$R$580)</f>
        <v/>
      </c>
    </row>
    <row r="578">
      <c r="U578">
        <f>IF([2]Baskol!$B$581="","",[2]Baskol!$B$581)</f>
        <v/>
      </c>
      <c r="V578">
        <f>IF([2]Baskol!$C$581="","",[2]Baskol!$C$581)</f>
        <v/>
      </c>
      <c r="W578">
        <f>IF([2]Baskol!$D$581="","",[2]Baskol!$D$581)</f>
        <v/>
      </c>
      <c r="X578">
        <f>IF([2]Baskol!$E$581="","",[2]Baskol!$E$581)</f>
        <v/>
      </c>
      <c r="Y578">
        <f>IF([2]Baskol!$G$581="","",[2]Baskol!$G$581)</f>
        <v/>
      </c>
      <c r="Z578">
        <f>IF([2]Baskol!$I$581="","",[2]Baskol!$I$581)</f>
        <v/>
      </c>
      <c r="AA578">
        <f>IF([2]Baskol!$J$581="","",[2]Baskol!$J$581)</f>
        <v/>
      </c>
      <c r="AB578">
        <f>IF([2]Baskol!$K$581="","",[2]Baskol!$K$581)</f>
        <v/>
      </c>
      <c r="AC578">
        <f>IF([2]Baskol!$L$581="","",[2]Baskol!$L$581)</f>
        <v/>
      </c>
      <c r="AD578">
        <f>IF([2]Baskol!$N$581="","",[2]Baskol!$N$581)</f>
        <v/>
      </c>
      <c r="AE578">
        <f>IF([2]Baskol!$O$581="","",[2]Baskol!$O$581)</f>
        <v/>
      </c>
      <c r="AG578">
        <f>IF([3]Entry!$C$581="","",[3]Entry!$C$581)</f>
        <v/>
      </c>
      <c r="AH578">
        <f>IF([3]Entry!$D$581="","",[3]Entry!$D$581)</f>
        <v/>
      </c>
      <c r="AI578">
        <f>IF([3]Entry!$E$581="","",[3]Entry!$E$581)</f>
        <v/>
      </c>
      <c r="AJ578">
        <f>IF([3]Entry!$G$581="","",[3]Entry!$G$581)</f>
        <v/>
      </c>
      <c r="AK578">
        <f>IF([3]Entry!$K$581="","",[3]Entry!$K$581)</f>
        <v/>
      </c>
      <c r="AL578">
        <f>IF([3]Entry!$L$581="","",[3]Entry!$L$581)</f>
        <v/>
      </c>
      <c r="AM578">
        <f>IF([3]Entry!$M$581="","",[3]Entry!$M$581)</f>
        <v/>
      </c>
      <c r="AN578">
        <f>IF([3]Entry!$N$581="","",[3]Entry!$N$581)</f>
        <v/>
      </c>
      <c r="AO578">
        <f>IF([3]Entry!$R$581="","",[3]Entry!$R$581)</f>
        <v/>
      </c>
    </row>
    <row r="579">
      <c r="U579">
        <f>IF([2]Baskol!$B$582="","",[2]Baskol!$B$582)</f>
        <v/>
      </c>
      <c r="V579">
        <f>IF([2]Baskol!$C$582="","",[2]Baskol!$C$582)</f>
        <v/>
      </c>
      <c r="W579">
        <f>IF([2]Baskol!$D$582="","",[2]Baskol!$D$582)</f>
        <v/>
      </c>
      <c r="X579">
        <f>IF([2]Baskol!$E$582="","",[2]Baskol!$E$582)</f>
        <v/>
      </c>
      <c r="Y579">
        <f>IF([2]Baskol!$G$582="","",[2]Baskol!$G$582)</f>
        <v/>
      </c>
      <c r="Z579">
        <f>IF([2]Baskol!$I$582="","",[2]Baskol!$I$582)</f>
        <v/>
      </c>
      <c r="AA579">
        <f>IF([2]Baskol!$J$582="","",[2]Baskol!$J$582)</f>
        <v/>
      </c>
      <c r="AB579">
        <f>IF([2]Baskol!$K$582="","",[2]Baskol!$K$582)</f>
        <v/>
      </c>
      <c r="AC579">
        <f>IF([2]Baskol!$L$582="","",[2]Baskol!$L$582)</f>
        <v/>
      </c>
      <c r="AD579">
        <f>IF([2]Baskol!$N$582="","",[2]Baskol!$N$582)</f>
        <v/>
      </c>
      <c r="AE579">
        <f>IF([2]Baskol!$O$582="","",[2]Baskol!$O$582)</f>
        <v/>
      </c>
      <c r="AG579">
        <f>IF([3]Entry!$C$582="","",[3]Entry!$C$582)</f>
        <v/>
      </c>
      <c r="AH579">
        <f>IF([3]Entry!$D$582="","",[3]Entry!$D$582)</f>
        <v/>
      </c>
      <c r="AI579">
        <f>IF([3]Entry!$E$582="","",[3]Entry!$E$582)</f>
        <v/>
      </c>
      <c r="AJ579">
        <f>IF([3]Entry!$G$582="","",[3]Entry!$G$582)</f>
        <v/>
      </c>
      <c r="AK579">
        <f>IF([3]Entry!$K$582="","",[3]Entry!$K$582)</f>
        <v/>
      </c>
      <c r="AL579">
        <f>IF([3]Entry!$L$582="","",[3]Entry!$L$582)</f>
        <v/>
      </c>
      <c r="AM579">
        <f>IF([3]Entry!$M$582="","",[3]Entry!$M$582)</f>
        <v/>
      </c>
      <c r="AN579">
        <f>IF([3]Entry!$N$582="","",[3]Entry!$N$582)</f>
        <v/>
      </c>
      <c r="AO579">
        <f>IF([3]Entry!$R$582="","",[3]Entry!$R$582)</f>
        <v/>
      </c>
    </row>
    <row r="580">
      <c r="U580">
        <f>IF([2]Baskol!$B$583="","",[2]Baskol!$B$583)</f>
        <v/>
      </c>
      <c r="V580">
        <f>IF([2]Baskol!$C$583="","",[2]Baskol!$C$583)</f>
        <v/>
      </c>
      <c r="W580">
        <f>IF([2]Baskol!$D$583="","",[2]Baskol!$D$583)</f>
        <v/>
      </c>
      <c r="X580">
        <f>IF([2]Baskol!$E$583="","",[2]Baskol!$E$583)</f>
        <v/>
      </c>
      <c r="Y580">
        <f>IF([2]Baskol!$G$583="","",[2]Baskol!$G$583)</f>
        <v/>
      </c>
      <c r="Z580">
        <f>IF([2]Baskol!$I$583="","",[2]Baskol!$I$583)</f>
        <v/>
      </c>
      <c r="AA580">
        <f>IF([2]Baskol!$J$583="","",[2]Baskol!$J$583)</f>
        <v/>
      </c>
      <c r="AB580">
        <f>IF([2]Baskol!$K$583="","",[2]Baskol!$K$583)</f>
        <v/>
      </c>
      <c r="AC580">
        <f>IF([2]Baskol!$L$583="","",[2]Baskol!$L$583)</f>
        <v/>
      </c>
      <c r="AD580">
        <f>IF([2]Baskol!$N$583="","",[2]Baskol!$N$583)</f>
        <v/>
      </c>
      <c r="AE580">
        <f>IF([2]Baskol!$O$583="","",[2]Baskol!$O$583)</f>
        <v/>
      </c>
      <c r="AG580">
        <f>IF([3]Entry!$C$583="","",[3]Entry!$C$583)</f>
        <v/>
      </c>
      <c r="AH580">
        <f>IF([3]Entry!$D$583="","",[3]Entry!$D$583)</f>
        <v/>
      </c>
      <c r="AI580">
        <f>IF([3]Entry!$E$583="","",[3]Entry!$E$583)</f>
        <v/>
      </c>
      <c r="AJ580">
        <f>IF([3]Entry!$G$583="","",[3]Entry!$G$583)</f>
        <v/>
      </c>
      <c r="AK580">
        <f>IF([3]Entry!$K$583="","",[3]Entry!$K$583)</f>
        <v/>
      </c>
      <c r="AL580">
        <f>IF([3]Entry!$L$583="","",[3]Entry!$L$583)</f>
        <v/>
      </c>
      <c r="AM580">
        <f>IF([3]Entry!$M$583="","",[3]Entry!$M$583)</f>
        <v/>
      </c>
      <c r="AN580">
        <f>IF([3]Entry!$N$583="","",[3]Entry!$N$583)</f>
        <v/>
      </c>
      <c r="AO580">
        <f>IF([3]Entry!$R$583="","",[3]Entry!$R$583)</f>
        <v/>
      </c>
    </row>
    <row r="581">
      <c r="U581">
        <f>IF([2]Baskol!$B$584="","",[2]Baskol!$B$584)</f>
        <v/>
      </c>
      <c r="V581">
        <f>IF([2]Baskol!$C$584="","",[2]Baskol!$C$584)</f>
        <v/>
      </c>
      <c r="W581">
        <f>IF([2]Baskol!$D$584="","",[2]Baskol!$D$584)</f>
        <v/>
      </c>
      <c r="X581">
        <f>IF([2]Baskol!$E$584="","",[2]Baskol!$E$584)</f>
        <v/>
      </c>
      <c r="Y581">
        <f>IF([2]Baskol!$G$584="","",[2]Baskol!$G$584)</f>
        <v/>
      </c>
      <c r="Z581">
        <f>IF([2]Baskol!$I$584="","",[2]Baskol!$I$584)</f>
        <v/>
      </c>
      <c r="AA581">
        <f>IF([2]Baskol!$J$584="","",[2]Baskol!$J$584)</f>
        <v/>
      </c>
      <c r="AB581">
        <f>IF([2]Baskol!$K$584="","",[2]Baskol!$K$584)</f>
        <v/>
      </c>
      <c r="AC581">
        <f>IF([2]Baskol!$L$584="","",[2]Baskol!$L$584)</f>
        <v/>
      </c>
      <c r="AD581">
        <f>IF([2]Baskol!$N$584="","",[2]Baskol!$N$584)</f>
        <v/>
      </c>
      <c r="AE581">
        <f>IF([2]Baskol!$O$584="","",[2]Baskol!$O$584)</f>
        <v/>
      </c>
      <c r="AG581">
        <f>IF([3]Entry!$C$584="","",[3]Entry!$C$584)</f>
        <v/>
      </c>
      <c r="AH581">
        <f>IF([3]Entry!$D$584="","",[3]Entry!$D$584)</f>
        <v/>
      </c>
      <c r="AI581">
        <f>IF([3]Entry!$E$584="","",[3]Entry!$E$584)</f>
        <v/>
      </c>
      <c r="AJ581">
        <f>IF([3]Entry!$G$584="","",[3]Entry!$G$584)</f>
        <v/>
      </c>
      <c r="AK581">
        <f>IF([3]Entry!$K$584="","",[3]Entry!$K$584)</f>
        <v/>
      </c>
      <c r="AL581">
        <f>IF([3]Entry!$L$584="","",[3]Entry!$L$584)</f>
        <v/>
      </c>
      <c r="AM581">
        <f>IF([3]Entry!$M$584="","",[3]Entry!$M$584)</f>
        <v/>
      </c>
      <c r="AN581">
        <f>IF([3]Entry!$N$584="","",[3]Entry!$N$584)</f>
        <v/>
      </c>
      <c r="AO581">
        <f>IF([3]Entry!$R$584="","",[3]Entry!$R$584)</f>
        <v/>
      </c>
    </row>
    <row r="582">
      <c r="U582">
        <f>IF([2]Baskol!$B$585="","",[2]Baskol!$B$585)</f>
        <v/>
      </c>
      <c r="V582">
        <f>IF([2]Baskol!$C$585="","",[2]Baskol!$C$585)</f>
        <v/>
      </c>
      <c r="W582">
        <f>IF([2]Baskol!$D$585="","",[2]Baskol!$D$585)</f>
        <v/>
      </c>
      <c r="X582">
        <f>IF([2]Baskol!$E$585="","",[2]Baskol!$E$585)</f>
        <v/>
      </c>
      <c r="Y582">
        <f>IF([2]Baskol!$G$585="","",[2]Baskol!$G$585)</f>
        <v/>
      </c>
      <c r="Z582">
        <f>IF([2]Baskol!$I$585="","",[2]Baskol!$I$585)</f>
        <v/>
      </c>
      <c r="AA582">
        <f>IF([2]Baskol!$J$585="","",[2]Baskol!$J$585)</f>
        <v/>
      </c>
      <c r="AB582">
        <f>IF([2]Baskol!$K$585="","",[2]Baskol!$K$585)</f>
        <v/>
      </c>
      <c r="AC582">
        <f>IF([2]Baskol!$L$585="","",[2]Baskol!$L$585)</f>
        <v/>
      </c>
      <c r="AD582">
        <f>IF([2]Baskol!$N$585="","",[2]Baskol!$N$585)</f>
        <v/>
      </c>
      <c r="AE582">
        <f>IF([2]Baskol!$O$585="","",[2]Baskol!$O$585)</f>
        <v/>
      </c>
      <c r="AG582">
        <f>IF([3]Entry!$C$585="","",[3]Entry!$C$585)</f>
        <v/>
      </c>
      <c r="AH582">
        <f>IF([3]Entry!$D$585="","",[3]Entry!$D$585)</f>
        <v/>
      </c>
      <c r="AI582">
        <f>IF([3]Entry!$E$585="","",[3]Entry!$E$585)</f>
        <v/>
      </c>
      <c r="AJ582">
        <f>IF([3]Entry!$G$585="","",[3]Entry!$G$585)</f>
        <v/>
      </c>
      <c r="AK582">
        <f>IF([3]Entry!$K$585="","",[3]Entry!$K$585)</f>
        <v/>
      </c>
      <c r="AL582">
        <f>IF([3]Entry!$L$585="","",[3]Entry!$L$585)</f>
        <v/>
      </c>
      <c r="AM582">
        <f>IF([3]Entry!$M$585="","",[3]Entry!$M$585)</f>
        <v/>
      </c>
      <c r="AN582">
        <f>IF([3]Entry!$N$585="","",[3]Entry!$N$585)</f>
        <v/>
      </c>
      <c r="AO582">
        <f>IF([3]Entry!$R$585="","",[3]Entry!$R$585)</f>
        <v/>
      </c>
    </row>
    <row r="583">
      <c r="U583">
        <f>IF([2]Baskol!$B$586="","",[2]Baskol!$B$586)</f>
        <v/>
      </c>
      <c r="V583">
        <f>IF([2]Baskol!$C$586="","",[2]Baskol!$C$586)</f>
        <v/>
      </c>
      <c r="W583">
        <f>IF([2]Baskol!$D$586="","",[2]Baskol!$D$586)</f>
        <v/>
      </c>
      <c r="X583">
        <f>IF([2]Baskol!$E$586="","",[2]Baskol!$E$586)</f>
        <v/>
      </c>
      <c r="Y583">
        <f>IF([2]Baskol!$G$586="","",[2]Baskol!$G$586)</f>
        <v/>
      </c>
      <c r="Z583">
        <f>IF([2]Baskol!$I$586="","",[2]Baskol!$I$586)</f>
        <v/>
      </c>
      <c r="AA583">
        <f>IF([2]Baskol!$J$586="","",[2]Baskol!$J$586)</f>
        <v/>
      </c>
      <c r="AB583">
        <f>IF([2]Baskol!$K$586="","",[2]Baskol!$K$586)</f>
        <v/>
      </c>
      <c r="AC583">
        <f>IF([2]Baskol!$L$586="","",[2]Baskol!$L$586)</f>
        <v/>
      </c>
      <c r="AD583">
        <f>IF([2]Baskol!$N$586="","",[2]Baskol!$N$586)</f>
        <v/>
      </c>
      <c r="AE583">
        <f>IF([2]Baskol!$O$586="","",[2]Baskol!$O$586)</f>
        <v/>
      </c>
      <c r="AG583">
        <f>IF([3]Entry!$C$586="","",[3]Entry!$C$586)</f>
        <v/>
      </c>
      <c r="AH583">
        <f>IF([3]Entry!$D$586="","",[3]Entry!$D$586)</f>
        <v/>
      </c>
      <c r="AI583">
        <f>IF([3]Entry!$E$586="","",[3]Entry!$E$586)</f>
        <v/>
      </c>
      <c r="AJ583">
        <f>IF([3]Entry!$G$586="","",[3]Entry!$G$586)</f>
        <v/>
      </c>
      <c r="AK583">
        <f>IF([3]Entry!$K$586="","",[3]Entry!$K$586)</f>
        <v/>
      </c>
      <c r="AL583">
        <f>IF([3]Entry!$L$586="","",[3]Entry!$L$586)</f>
        <v/>
      </c>
      <c r="AM583">
        <f>IF([3]Entry!$M$586="","",[3]Entry!$M$586)</f>
        <v/>
      </c>
      <c r="AN583">
        <f>IF([3]Entry!$N$586="","",[3]Entry!$N$586)</f>
        <v/>
      </c>
      <c r="AO583">
        <f>IF([3]Entry!$R$586="","",[3]Entry!$R$586)</f>
        <v/>
      </c>
    </row>
    <row r="584">
      <c r="U584">
        <f>IF([2]Baskol!$B$587="","",[2]Baskol!$B$587)</f>
        <v/>
      </c>
      <c r="V584">
        <f>IF([2]Baskol!$C$587="","",[2]Baskol!$C$587)</f>
        <v/>
      </c>
      <c r="W584">
        <f>IF([2]Baskol!$D$587="","",[2]Baskol!$D$587)</f>
        <v/>
      </c>
      <c r="X584">
        <f>IF([2]Baskol!$E$587="","",[2]Baskol!$E$587)</f>
        <v/>
      </c>
      <c r="Y584">
        <f>IF([2]Baskol!$G$587="","",[2]Baskol!$G$587)</f>
        <v/>
      </c>
      <c r="Z584">
        <f>IF([2]Baskol!$I$587="","",[2]Baskol!$I$587)</f>
        <v/>
      </c>
      <c r="AA584">
        <f>IF([2]Baskol!$J$587="","",[2]Baskol!$J$587)</f>
        <v/>
      </c>
      <c r="AB584">
        <f>IF([2]Baskol!$K$587="","",[2]Baskol!$K$587)</f>
        <v/>
      </c>
      <c r="AC584">
        <f>IF([2]Baskol!$L$587="","",[2]Baskol!$L$587)</f>
        <v/>
      </c>
      <c r="AD584">
        <f>IF([2]Baskol!$N$587="","",[2]Baskol!$N$587)</f>
        <v/>
      </c>
      <c r="AE584">
        <f>IF([2]Baskol!$O$587="","",[2]Baskol!$O$587)</f>
        <v/>
      </c>
      <c r="AG584">
        <f>IF([3]Entry!$C$587="","",[3]Entry!$C$587)</f>
        <v/>
      </c>
      <c r="AH584">
        <f>IF([3]Entry!$D$587="","",[3]Entry!$D$587)</f>
        <v/>
      </c>
      <c r="AI584">
        <f>IF([3]Entry!$E$587="","",[3]Entry!$E$587)</f>
        <v/>
      </c>
      <c r="AJ584">
        <f>IF([3]Entry!$G$587="","",[3]Entry!$G$587)</f>
        <v/>
      </c>
      <c r="AK584">
        <f>IF([3]Entry!$K$587="","",[3]Entry!$K$587)</f>
        <v/>
      </c>
      <c r="AL584">
        <f>IF([3]Entry!$L$587="","",[3]Entry!$L$587)</f>
        <v/>
      </c>
      <c r="AM584">
        <f>IF([3]Entry!$M$587="","",[3]Entry!$M$587)</f>
        <v/>
      </c>
      <c r="AN584">
        <f>IF([3]Entry!$N$587="","",[3]Entry!$N$587)</f>
        <v/>
      </c>
      <c r="AO584">
        <f>IF([3]Entry!$R$587="","",[3]Entry!$R$587)</f>
        <v/>
      </c>
    </row>
    <row r="585">
      <c r="U585">
        <f>IF([2]Baskol!$B$588="","",[2]Baskol!$B$588)</f>
        <v/>
      </c>
      <c r="V585">
        <f>IF([2]Baskol!$C$588="","",[2]Baskol!$C$588)</f>
        <v/>
      </c>
      <c r="W585">
        <f>IF([2]Baskol!$D$588="","",[2]Baskol!$D$588)</f>
        <v/>
      </c>
      <c r="X585">
        <f>IF([2]Baskol!$E$588="","",[2]Baskol!$E$588)</f>
        <v/>
      </c>
      <c r="Y585">
        <f>IF([2]Baskol!$G$588="","",[2]Baskol!$G$588)</f>
        <v/>
      </c>
      <c r="Z585">
        <f>IF([2]Baskol!$I$588="","",[2]Baskol!$I$588)</f>
        <v/>
      </c>
      <c r="AA585">
        <f>IF([2]Baskol!$J$588="","",[2]Baskol!$J$588)</f>
        <v/>
      </c>
      <c r="AB585">
        <f>IF([2]Baskol!$K$588="","",[2]Baskol!$K$588)</f>
        <v/>
      </c>
      <c r="AC585">
        <f>IF([2]Baskol!$L$588="","",[2]Baskol!$L$588)</f>
        <v/>
      </c>
      <c r="AD585">
        <f>IF([2]Baskol!$N$588="","",[2]Baskol!$N$588)</f>
        <v/>
      </c>
      <c r="AE585">
        <f>IF([2]Baskol!$O$588="","",[2]Baskol!$O$588)</f>
        <v/>
      </c>
      <c r="AG585">
        <f>IF([3]Entry!$C$588="","",[3]Entry!$C$588)</f>
        <v/>
      </c>
      <c r="AH585">
        <f>IF([3]Entry!$D$588="","",[3]Entry!$D$588)</f>
        <v/>
      </c>
      <c r="AI585">
        <f>IF([3]Entry!$E$588="","",[3]Entry!$E$588)</f>
        <v/>
      </c>
      <c r="AJ585">
        <f>IF([3]Entry!$G$588="","",[3]Entry!$G$588)</f>
        <v/>
      </c>
      <c r="AK585">
        <f>IF([3]Entry!$K$588="","",[3]Entry!$K$588)</f>
        <v/>
      </c>
      <c r="AL585">
        <f>IF([3]Entry!$L$588="","",[3]Entry!$L$588)</f>
        <v/>
      </c>
      <c r="AM585">
        <f>IF([3]Entry!$M$588="","",[3]Entry!$M$588)</f>
        <v/>
      </c>
      <c r="AN585">
        <f>IF([3]Entry!$N$588="","",[3]Entry!$N$588)</f>
        <v/>
      </c>
      <c r="AO585">
        <f>IF([3]Entry!$R$588="","",[3]Entry!$R$588)</f>
        <v/>
      </c>
    </row>
    <row r="586">
      <c r="U586">
        <f>IF([2]Baskol!$B$589="","",[2]Baskol!$B$589)</f>
        <v/>
      </c>
      <c r="V586">
        <f>IF([2]Baskol!$C$589="","",[2]Baskol!$C$589)</f>
        <v/>
      </c>
      <c r="W586">
        <f>IF([2]Baskol!$D$589="","",[2]Baskol!$D$589)</f>
        <v/>
      </c>
      <c r="X586">
        <f>IF([2]Baskol!$E$589="","",[2]Baskol!$E$589)</f>
        <v/>
      </c>
      <c r="Y586">
        <f>IF([2]Baskol!$G$589="","",[2]Baskol!$G$589)</f>
        <v/>
      </c>
      <c r="Z586">
        <f>IF([2]Baskol!$I$589="","",[2]Baskol!$I$589)</f>
        <v/>
      </c>
      <c r="AA586">
        <f>IF([2]Baskol!$J$589="","",[2]Baskol!$J$589)</f>
        <v/>
      </c>
      <c r="AB586">
        <f>IF([2]Baskol!$K$589="","",[2]Baskol!$K$589)</f>
        <v/>
      </c>
      <c r="AC586">
        <f>IF([2]Baskol!$L$589="","",[2]Baskol!$L$589)</f>
        <v/>
      </c>
      <c r="AD586">
        <f>IF([2]Baskol!$N$589="","",[2]Baskol!$N$589)</f>
        <v/>
      </c>
      <c r="AE586">
        <f>IF([2]Baskol!$O$589="","",[2]Baskol!$O$589)</f>
        <v/>
      </c>
      <c r="AG586">
        <f>IF([3]Entry!$C$589="","",[3]Entry!$C$589)</f>
        <v/>
      </c>
      <c r="AH586">
        <f>IF([3]Entry!$D$589="","",[3]Entry!$D$589)</f>
        <v/>
      </c>
      <c r="AI586">
        <f>IF([3]Entry!$E$589="","",[3]Entry!$E$589)</f>
        <v/>
      </c>
      <c r="AJ586">
        <f>IF([3]Entry!$G$589="","",[3]Entry!$G$589)</f>
        <v/>
      </c>
      <c r="AK586">
        <f>IF([3]Entry!$K$589="","",[3]Entry!$K$589)</f>
        <v/>
      </c>
      <c r="AL586">
        <f>IF([3]Entry!$L$589="","",[3]Entry!$L$589)</f>
        <v/>
      </c>
      <c r="AM586">
        <f>IF([3]Entry!$M$589="","",[3]Entry!$M$589)</f>
        <v/>
      </c>
      <c r="AN586">
        <f>IF([3]Entry!$N$589="","",[3]Entry!$N$589)</f>
        <v/>
      </c>
      <c r="AO586">
        <f>IF([3]Entry!$R$589="","",[3]Entry!$R$589)</f>
        <v/>
      </c>
    </row>
    <row r="587">
      <c r="U587">
        <f>IF([2]Baskol!$B$590="","",[2]Baskol!$B$590)</f>
        <v/>
      </c>
      <c r="V587">
        <f>IF([2]Baskol!$C$590="","",[2]Baskol!$C$590)</f>
        <v/>
      </c>
      <c r="W587">
        <f>IF([2]Baskol!$D$590="","",[2]Baskol!$D$590)</f>
        <v/>
      </c>
      <c r="X587">
        <f>IF([2]Baskol!$E$590="","",[2]Baskol!$E$590)</f>
        <v/>
      </c>
      <c r="Y587">
        <f>IF([2]Baskol!$G$590="","",[2]Baskol!$G$590)</f>
        <v/>
      </c>
      <c r="Z587">
        <f>IF([2]Baskol!$I$590="","",[2]Baskol!$I$590)</f>
        <v/>
      </c>
      <c r="AA587">
        <f>IF([2]Baskol!$J$590="","",[2]Baskol!$J$590)</f>
        <v/>
      </c>
      <c r="AB587">
        <f>IF([2]Baskol!$K$590="","",[2]Baskol!$K$590)</f>
        <v/>
      </c>
      <c r="AC587">
        <f>IF([2]Baskol!$L$590="","",[2]Baskol!$L$590)</f>
        <v/>
      </c>
      <c r="AD587">
        <f>IF([2]Baskol!$N$590="","",[2]Baskol!$N$590)</f>
        <v/>
      </c>
      <c r="AE587">
        <f>IF([2]Baskol!$O$590="","",[2]Baskol!$O$590)</f>
        <v/>
      </c>
      <c r="AG587">
        <f>IF([3]Entry!$C$590="","",[3]Entry!$C$590)</f>
        <v/>
      </c>
      <c r="AH587">
        <f>IF([3]Entry!$D$590="","",[3]Entry!$D$590)</f>
        <v/>
      </c>
      <c r="AI587">
        <f>IF([3]Entry!$E$590="","",[3]Entry!$E$590)</f>
        <v/>
      </c>
      <c r="AJ587">
        <f>IF([3]Entry!$G$590="","",[3]Entry!$G$590)</f>
        <v/>
      </c>
      <c r="AK587">
        <f>IF([3]Entry!$K$590="","",[3]Entry!$K$590)</f>
        <v/>
      </c>
      <c r="AL587">
        <f>IF([3]Entry!$L$590="","",[3]Entry!$L$590)</f>
        <v/>
      </c>
      <c r="AM587">
        <f>IF([3]Entry!$M$590="","",[3]Entry!$M$590)</f>
        <v/>
      </c>
      <c r="AN587">
        <f>IF([3]Entry!$N$590="","",[3]Entry!$N$590)</f>
        <v/>
      </c>
      <c r="AO587">
        <f>IF([3]Entry!$R$590="","",[3]Entry!$R$590)</f>
        <v/>
      </c>
    </row>
    <row r="588">
      <c r="U588">
        <f>IF([2]Baskol!$B$591="","",[2]Baskol!$B$591)</f>
        <v/>
      </c>
      <c r="V588">
        <f>IF([2]Baskol!$C$591="","",[2]Baskol!$C$591)</f>
        <v/>
      </c>
      <c r="W588">
        <f>IF([2]Baskol!$D$591="","",[2]Baskol!$D$591)</f>
        <v/>
      </c>
      <c r="X588">
        <f>IF([2]Baskol!$E$591="","",[2]Baskol!$E$591)</f>
        <v/>
      </c>
      <c r="Y588">
        <f>IF([2]Baskol!$G$591="","",[2]Baskol!$G$591)</f>
        <v/>
      </c>
      <c r="Z588">
        <f>IF([2]Baskol!$I$591="","",[2]Baskol!$I$591)</f>
        <v/>
      </c>
      <c r="AA588">
        <f>IF([2]Baskol!$J$591="","",[2]Baskol!$J$591)</f>
        <v/>
      </c>
      <c r="AB588">
        <f>IF([2]Baskol!$K$591="","",[2]Baskol!$K$591)</f>
        <v/>
      </c>
      <c r="AC588">
        <f>IF([2]Baskol!$L$591="","",[2]Baskol!$L$591)</f>
        <v/>
      </c>
      <c r="AD588">
        <f>IF([2]Baskol!$N$591="","",[2]Baskol!$N$591)</f>
        <v/>
      </c>
      <c r="AE588">
        <f>IF([2]Baskol!$O$591="","",[2]Baskol!$O$591)</f>
        <v/>
      </c>
      <c r="AG588">
        <f>IF([3]Entry!$C$591="","",[3]Entry!$C$591)</f>
        <v/>
      </c>
      <c r="AH588">
        <f>IF([3]Entry!$D$591="","",[3]Entry!$D$591)</f>
        <v/>
      </c>
      <c r="AI588">
        <f>IF([3]Entry!$E$591="","",[3]Entry!$E$591)</f>
        <v/>
      </c>
      <c r="AJ588">
        <f>IF([3]Entry!$G$591="","",[3]Entry!$G$591)</f>
        <v/>
      </c>
      <c r="AK588">
        <f>IF([3]Entry!$K$591="","",[3]Entry!$K$591)</f>
        <v/>
      </c>
      <c r="AL588">
        <f>IF([3]Entry!$L$591="","",[3]Entry!$L$591)</f>
        <v/>
      </c>
      <c r="AM588">
        <f>IF([3]Entry!$M$591="","",[3]Entry!$M$591)</f>
        <v/>
      </c>
      <c r="AN588">
        <f>IF([3]Entry!$N$591="","",[3]Entry!$N$591)</f>
        <v/>
      </c>
      <c r="AO588">
        <f>IF([3]Entry!$R$591="","",[3]Entry!$R$591)</f>
        <v/>
      </c>
    </row>
    <row r="589">
      <c r="U589">
        <f>IF([2]Baskol!$B$592="","",[2]Baskol!$B$592)</f>
        <v/>
      </c>
      <c r="V589">
        <f>IF([2]Baskol!$C$592="","",[2]Baskol!$C$592)</f>
        <v/>
      </c>
      <c r="W589">
        <f>IF([2]Baskol!$D$592="","",[2]Baskol!$D$592)</f>
        <v/>
      </c>
      <c r="X589">
        <f>IF([2]Baskol!$E$592="","",[2]Baskol!$E$592)</f>
        <v/>
      </c>
      <c r="Y589">
        <f>IF([2]Baskol!$G$592="","",[2]Baskol!$G$592)</f>
        <v/>
      </c>
      <c r="Z589">
        <f>IF([2]Baskol!$I$592="","",[2]Baskol!$I$592)</f>
        <v/>
      </c>
      <c r="AA589">
        <f>IF([2]Baskol!$J$592="","",[2]Baskol!$J$592)</f>
        <v/>
      </c>
      <c r="AB589">
        <f>IF([2]Baskol!$K$592="","",[2]Baskol!$K$592)</f>
        <v/>
      </c>
      <c r="AC589">
        <f>IF([2]Baskol!$L$592="","",[2]Baskol!$L$592)</f>
        <v/>
      </c>
      <c r="AD589">
        <f>IF([2]Baskol!$N$592="","",[2]Baskol!$N$592)</f>
        <v/>
      </c>
      <c r="AE589">
        <f>IF([2]Baskol!$O$592="","",[2]Baskol!$O$592)</f>
        <v/>
      </c>
      <c r="AG589">
        <f>IF([3]Entry!$C$592="","",[3]Entry!$C$592)</f>
        <v/>
      </c>
      <c r="AH589">
        <f>IF([3]Entry!$D$592="","",[3]Entry!$D$592)</f>
        <v/>
      </c>
      <c r="AI589">
        <f>IF([3]Entry!$E$592="","",[3]Entry!$E$592)</f>
        <v/>
      </c>
      <c r="AJ589">
        <f>IF([3]Entry!$G$592="","",[3]Entry!$G$592)</f>
        <v/>
      </c>
      <c r="AK589">
        <f>IF([3]Entry!$K$592="","",[3]Entry!$K$592)</f>
        <v/>
      </c>
      <c r="AL589">
        <f>IF([3]Entry!$L$592="","",[3]Entry!$L$592)</f>
        <v/>
      </c>
      <c r="AM589">
        <f>IF([3]Entry!$M$592="","",[3]Entry!$M$592)</f>
        <v/>
      </c>
      <c r="AN589">
        <f>IF([3]Entry!$N$592="","",[3]Entry!$N$592)</f>
        <v/>
      </c>
      <c r="AO589">
        <f>IF([3]Entry!$R$592="","",[3]Entry!$R$592)</f>
        <v/>
      </c>
    </row>
    <row r="590">
      <c r="U590">
        <f>IF([2]Baskol!$B$593="","",[2]Baskol!$B$593)</f>
        <v/>
      </c>
      <c r="V590">
        <f>IF([2]Baskol!$C$593="","",[2]Baskol!$C$593)</f>
        <v/>
      </c>
      <c r="W590">
        <f>IF([2]Baskol!$D$593="","",[2]Baskol!$D$593)</f>
        <v/>
      </c>
      <c r="X590">
        <f>IF([2]Baskol!$E$593="","",[2]Baskol!$E$593)</f>
        <v/>
      </c>
      <c r="Y590">
        <f>IF([2]Baskol!$G$593="","",[2]Baskol!$G$593)</f>
        <v/>
      </c>
      <c r="Z590">
        <f>IF([2]Baskol!$I$593="","",[2]Baskol!$I$593)</f>
        <v/>
      </c>
      <c r="AA590">
        <f>IF([2]Baskol!$J$593="","",[2]Baskol!$J$593)</f>
        <v/>
      </c>
      <c r="AB590">
        <f>IF([2]Baskol!$K$593="","",[2]Baskol!$K$593)</f>
        <v/>
      </c>
      <c r="AC590">
        <f>IF([2]Baskol!$L$593="","",[2]Baskol!$L$593)</f>
        <v/>
      </c>
      <c r="AD590">
        <f>IF([2]Baskol!$N$593="","",[2]Baskol!$N$593)</f>
        <v/>
      </c>
      <c r="AE590">
        <f>IF([2]Baskol!$O$593="","",[2]Baskol!$O$593)</f>
        <v/>
      </c>
      <c r="AG590">
        <f>IF([3]Entry!$C$593="","",[3]Entry!$C$593)</f>
        <v/>
      </c>
      <c r="AH590">
        <f>IF([3]Entry!$D$593="","",[3]Entry!$D$593)</f>
        <v/>
      </c>
      <c r="AI590">
        <f>IF([3]Entry!$E$593="","",[3]Entry!$E$593)</f>
        <v/>
      </c>
      <c r="AJ590">
        <f>IF([3]Entry!$G$593="","",[3]Entry!$G$593)</f>
        <v/>
      </c>
      <c r="AK590">
        <f>IF([3]Entry!$K$593="","",[3]Entry!$K$593)</f>
        <v/>
      </c>
      <c r="AL590">
        <f>IF([3]Entry!$L$593="","",[3]Entry!$L$593)</f>
        <v/>
      </c>
      <c r="AM590">
        <f>IF([3]Entry!$M$593="","",[3]Entry!$M$593)</f>
        <v/>
      </c>
      <c r="AN590">
        <f>IF([3]Entry!$N$593="","",[3]Entry!$N$593)</f>
        <v/>
      </c>
      <c r="AO590">
        <f>IF([3]Entry!$R$593="","",[3]Entry!$R$593)</f>
        <v/>
      </c>
    </row>
    <row r="591">
      <c r="U591">
        <f>IF([2]Baskol!$B$594="","",[2]Baskol!$B$594)</f>
        <v/>
      </c>
      <c r="V591">
        <f>IF([2]Baskol!$C$594="","",[2]Baskol!$C$594)</f>
        <v/>
      </c>
      <c r="W591">
        <f>IF([2]Baskol!$D$594="","",[2]Baskol!$D$594)</f>
        <v/>
      </c>
      <c r="X591">
        <f>IF([2]Baskol!$E$594="","",[2]Baskol!$E$594)</f>
        <v/>
      </c>
      <c r="Y591">
        <f>IF([2]Baskol!$G$594="","",[2]Baskol!$G$594)</f>
        <v/>
      </c>
      <c r="Z591">
        <f>IF([2]Baskol!$I$594="","",[2]Baskol!$I$594)</f>
        <v/>
      </c>
      <c r="AA591">
        <f>IF([2]Baskol!$J$594="","",[2]Baskol!$J$594)</f>
        <v/>
      </c>
      <c r="AB591">
        <f>IF([2]Baskol!$K$594="","",[2]Baskol!$K$594)</f>
        <v/>
      </c>
      <c r="AC591">
        <f>IF([2]Baskol!$L$594="","",[2]Baskol!$L$594)</f>
        <v/>
      </c>
      <c r="AD591">
        <f>IF([2]Baskol!$N$594="","",[2]Baskol!$N$594)</f>
        <v/>
      </c>
      <c r="AE591">
        <f>IF([2]Baskol!$O$594="","",[2]Baskol!$O$594)</f>
        <v/>
      </c>
      <c r="AG591">
        <f>IF([3]Entry!$C$594="","",[3]Entry!$C$594)</f>
        <v/>
      </c>
      <c r="AH591">
        <f>IF([3]Entry!$D$594="","",[3]Entry!$D$594)</f>
        <v/>
      </c>
      <c r="AI591">
        <f>IF([3]Entry!$E$594="","",[3]Entry!$E$594)</f>
        <v/>
      </c>
      <c r="AJ591">
        <f>IF([3]Entry!$G$594="","",[3]Entry!$G$594)</f>
        <v/>
      </c>
      <c r="AK591">
        <f>IF([3]Entry!$K$594="","",[3]Entry!$K$594)</f>
        <v/>
      </c>
      <c r="AL591">
        <f>IF([3]Entry!$L$594="","",[3]Entry!$L$594)</f>
        <v/>
      </c>
      <c r="AM591">
        <f>IF([3]Entry!$M$594="","",[3]Entry!$M$594)</f>
        <v/>
      </c>
      <c r="AN591">
        <f>IF([3]Entry!$N$594="","",[3]Entry!$N$594)</f>
        <v/>
      </c>
      <c r="AO591">
        <f>IF([3]Entry!$R$594="","",[3]Entry!$R$594)</f>
        <v/>
      </c>
    </row>
    <row r="592">
      <c r="U592">
        <f>IF([2]Baskol!$B$595="","",[2]Baskol!$B$595)</f>
        <v/>
      </c>
      <c r="V592">
        <f>IF([2]Baskol!$C$595="","",[2]Baskol!$C$595)</f>
        <v/>
      </c>
      <c r="W592">
        <f>IF([2]Baskol!$D$595="","",[2]Baskol!$D$595)</f>
        <v/>
      </c>
      <c r="X592">
        <f>IF([2]Baskol!$E$595="","",[2]Baskol!$E$595)</f>
        <v/>
      </c>
      <c r="Y592">
        <f>IF([2]Baskol!$G$595="","",[2]Baskol!$G$595)</f>
        <v/>
      </c>
      <c r="Z592">
        <f>IF([2]Baskol!$I$595="","",[2]Baskol!$I$595)</f>
        <v/>
      </c>
      <c r="AA592">
        <f>IF([2]Baskol!$J$595="","",[2]Baskol!$J$595)</f>
        <v/>
      </c>
      <c r="AB592">
        <f>IF([2]Baskol!$K$595="","",[2]Baskol!$K$595)</f>
        <v/>
      </c>
      <c r="AC592">
        <f>IF([2]Baskol!$L$595="","",[2]Baskol!$L$595)</f>
        <v/>
      </c>
      <c r="AD592">
        <f>IF([2]Baskol!$N$595="","",[2]Baskol!$N$595)</f>
        <v/>
      </c>
      <c r="AE592">
        <f>IF([2]Baskol!$O$595="","",[2]Baskol!$O$595)</f>
        <v/>
      </c>
      <c r="AG592">
        <f>IF([3]Entry!$C$595="","",[3]Entry!$C$595)</f>
        <v/>
      </c>
      <c r="AH592">
        <f>IF([3]Entry!$D$595="","",[3]Entry!$D$595)</f>
        <v/>
      </c>
      <c r="AI592">
        <f>IF([3]Entry!$E$595="","",[3]Entry!$E$595)</f>
        <v/>
      </c>
      <c r="AJ592">
        <f>IF([3]Entry!$G$595="","",[3]Entry!$G$595)</f>
        <v/>
      </c>
      <c r="AK592">
        <f>IF([3]Entry!$K$595="","",[3]Entry!$K$595)</f>
        <v/>
      </c>
      <c r="AL592">
        <f>IF([3]Entry!$L$595="","",[3]Entry!$L$595)</f>
        <v/>
      </c>
      <c r="AM592">
        <f>IF([3]Entry!$M$595="","",[3]Entry!$M$595)</f>
        <v/>
      </c>
      <c r="AN592">
        <f>IF([3]Entry!$N$595="","",[3]Entry!$N$595)</f>
        <v/>
      </c>
      <c r="AO592">
        <f>IF([3]Entry!$R$595="","",[3]Entry!$R$595)</f>
        <v/>
      </c>
    </row>
    <row r="593">
      <c r="U593">
        <f>IF([2]Baskol!$B$596="","",[2]Baskol!$B$596)</f>
        <v/>
      </c>
      <c r="V593">
        <f>IF([2]Baskol!$C$596="","",[2]Baskol!$C$596)</f>
        <v/>
      </c>
      <c r="W593">
        <f>IF([2]Baskol!$D$596="","",[2]Baskol!$D$596)</f>
        <v/>
      </c>
      <c r="X593">
        <f>IF([2]Baskol!$E$596="","",[2]Baskol!$E$596)</f>
        <v/>
      </c>
      <c r="Y593">
        <f>IF([2]Baskol!$G$596="","",[2]Baskol!$G$596)</f>
        <v/>
      </c>
      <c r="Z593">
        <f>IF([2]Baskol!$I$596="","",[2]Baskol!$I$596)</f>
        <v/>
      </c>
      <c r="AA593">
        <f>IF([2]Baskol!$J$596="","",[2]Baskol!$J$596)</f>
        <v/>
      </c>
      <c r="AB593">
        <f>IF([2]Baskol!$K$596="","",[2]Baskol!$K$596)</f>
        <v/>
      </c>
      <c r="AC593">
        <f>IF([2]Baskol!$L$596="","",[2]Baskol!$L$596)</f>
        <v/>
      </c>
      <c r="AD593">
        <f>IF([2]Baskol!$N$596="","",[2]Baskol!$N$596)</f>
        <v/>
      </c>
      <c r="AE593">
        <f>IF([2]Baskol!$O$596="","",[2]Baskol!$O$596)</f>
        <v/>
      </c>
      <c r="AG593">
        <f>IF([3]Entry!$C$596="","",[3]Entry!$C$596)</f>
        <v/>
      </c>
      <c r="AH593">
        <f>IF([3]Entry!$D$596="","",[3]Entry!$D$596)</f>
        <v/>
      </c>
      <c r="AI593">
        <f>IF([3]Entry!$E$596="","",[3]Entry!$E$596)</f>
        <v/>
      </c>
      <c r="AJ593">
        <f>IF([3]Entry!$G$596="","",[3]Entry!$G$596)</f>
        <v/>
      </c>
      <c r="AK593">
        <f>IF([3]Entry!$K$596="","",[3]Entry!$K$596)</f>
        <v/>
      </c>
      <c r="AL593">
        <f>IF([3]Entry!$L$596="","",[3]Entry!$L$596)</f>
        <v/>
      </c>
      <c r="AM593">
        <f>IF([3]Entry!$M$596="","",[3]Entry!$M$596)</f>
        <v/>
      </c>
      <c r="AN593">
        <f>IF([3]Entry!$N$596="","",[3]Entry!$N$596)</f>
        <v/>
      </c>
      <c r="AO593">
        <f>IF([3]Entry!$R$596="","",[3]Entry!$R$596)</f>
        <v/>
      </c>
    </row>
    <row r="594">
      <c r="U594">
        <f>IF([2]Baskol!$B$597="","",[2]Baskol!$B$597)</f>
        <v/>
      </c>
      <c r="V594">
        <f>IF([2]Baskol!$C$597="","",[2]Baskol!$C$597)</f>
        <v/>
      </c>
      <c r="W594">
        <f>IF([2]Baskol!$D$597="","",[2]Baskol!$D$597)</f>
        <v/>
      </c>
      <c r="X594">
        <f>IF([2]Baskol!$E$597="","",[2]Baskol!$E$597)</f>
        <v/>
      </c>
      <c r="Y594">
        <f>IF([2]Baskol!$G$597="","",[2]Baskol!$G$597)</f>
        <v/>
      </c>
      <c r="Z594">
        <f>IF([2]Baskol!$I$597="","",[2]Baskol!$I$597)</f>
        <v/>
      </c>
      <c r="AA594">
        <f>IF([2]Baskol!$J$597="","",[2]Baskol!$J$597)</f>
        <v/>
      </c>
      <c r="AB594">
        <f>IF([2]Baskol!$K$597="","",[2]Baskol!$K$597)</f>
        <v/>
      </c>
      <c r="AC594">
        <f>IF([2]Baskol!$L$597="","",[2]Baskol!$L$597)</f>
        <v/>
      </c>
      <c r="AD594">
        <f>IF([2]Baskol!$N$597="","",[2]Baskol!$N$597)</f>
        <v/>
      </c>
      <c r="AE594">
        <f>IF([2]Baskol!$O$597="","",[2]Baskol!$O$597)</f>
        <v/>
      </c>
      <c r="AG594">
        <f>IF([3]Entry!$C$597="","",[3]Entry!$C$597)</f>
        <v/>
      </c>
      <c r="AH594">
        <f>IF([3]Entry!$D$597="","",[3]Entry!$D$597)</f>
        <v/>
      </c>
      <c r="AI594">
        <f>IF([3]Entry!$E$597="","",[3]Entry!$E$597)</f>
        <v/>
      </c>
      <c r="AJ594">
        <f>IF([3]Entry!$G$597="","",[3]Entry!$G$597)</f>
        <v/>
      </c>
      <c r="AK594">
        <f>IF([3]Entry!$K$597="","",[3]Entry!$K$597)</f>
        <v/>
      </c>
      <c r="AL594">
        <f>IF([3]Entry!$L$597="","",[3]Entry!$L$597)</f>
        <v/>
      </c>
      <c r="AM594">
        <f>IF([3]Entry!$M$597="","",[3]Entry!$M$597)</f>
        <v/>
      </c>
      <c r="AN594">
        <f>IF([3]Entry!$N$597="","",[3]Entry!$N$597)</f>
        <v/>
      </c>
      <c r="AO594">
        <f>IF([3]Entry!$R$597="","",[3]Entry!$R$597)</f>
        <v/>
      </c>
    </row>
    <row r="595">
      <c r="U595">
        <f>IF([2]Baskol!$B$598="","",[2]Baskol!$B$598)</f>
        <v/>
      </c>
      <c r="V595">
        <f>IF([2]Baskol!$C$598="","",[2]Baskol!$C$598)</f>
        <v/>
      </c>
      <c r="W595">
        <f>IF([2]Baskol!$D$598="","",[2]Baskol!$D$598)</f>
        <v/>
      </c>
      <c r="X595">
        <f>IF([2]Baskol!$E$598="","",[2]Baskol!$E$598)</f>
        <v/>
      </c>
      <c r="Y595">
        <f>IF([2]Baskol!$G$598="","",[2]Baskol!$G$598)</f>
        <v/>
      </c>
      <c r="Z595">
        <f>IF([2]Baskol!$I$598="","",[2]Baskol!$I$598)</f>
        <v/>
      </c>
      <c r="AA595">
        <f>IF([2]Baskol!$J$598="","",[2]Baskol!$J$598)</f>
        <v/>
      </c>
      <c r="AB595">
        <f>IF([2]Baskol!$K$598="","",[2]Baskol!$K$598)</f>
        <v/>
      </c>
      <c r="AC595">
        <f>IF([2]Baskol!$L$598="","",[2]Baskol!$L$598)</f>
        <v/>
      </c>
      <c r="AD595">
        <f>IF([2]Baskol!$N$598="","",[2]Baskol!$N$598)</f>
        <v/>
      </c>
      <c r="AE595">
        <f>IF([2]Baskol!$O$598="","",[2]Baskol!$O$598)</f>
        <v/>
      </c>
      <c r="AG595">
        <f>IF([3]Entry!$C$598="","",[3]Entry!$C$598)</f>
        <v/>
      </c>
      <c r="AH595">
        <f>IF([3]Entry!$D$598="","",[3]Entry!$D$598)</f>
        <v/>
      </c>
      <c r="AI595">
        <f>IF([3]Entry!$E$598="","",[3]Entry!$E$598)</f>
        <v/>
      </c>
      <c r="AJ595">
        <f>IF([3]Entry!$G$598="","",[3]Entry!$G$598)</f>
        <v/>
      </c>
      <c r="AK595">
        <f>IF([3]Entry!$K$598="","",[3]Entry!$K$598)</f>
        <v/>
      </c>
      <c r="AL595">
        <f>IF([3]Entry!$L$598="","",[3]Entry!$L$598)</f>
        <v/>
      </c>
      <c r="AM595">
        <f>IF([3]Entry!$M$598="","",[3]Entry!$M$598)</f>
        <v/>
      </c>
      <c r="AN595">
        <f>IF([3]Entry!$N$598="","",[3]Entry!$N$598)</f>
        <v/>
      </c>
      <c r="AO595">
        <f>IF([3]Entry!$R$598="","",[3]Entry!$R$598)</f>
        <v/>
      </c>
    </row>
    <row r="596">
      <c r="U596">
        <f>IF([2]Baskol!$B$599="","",[2]Baskol!$B$599)</f>
        <v/>
      </c>
      <c r="V596">
        <f>IF([2]Baskol!$C$599="","",[2]Baskol!$C$599)</f>
        <v/>
      </c>
      <c r="W596">
        <f>IF([2]Baskol!$D$599="","",[2]Baskol!$D$599)</f>
        <v/>
      </c>
      <c r="X596">
        <f>IF([2]Baskol!$E$599="","",[2]Baskol!$E$599)</f>
        <v/>
      </c>
      <c r="Y596">
        <f>IF([2]Baskol!$G$599="","",[2]Baskol!$G$599)</f>
        <v/>
      </c>
      <c r="Z596">
        <f>IF([2]Baskol!$I$599="","",[2]Baskol!$I$599)</f>
        <v/>
      </c>
      <c r="AA596">
        <f>IF([2]Baskol!$J$599="","",[2]Baskol!$J$599)</f>
        <v/>
      </c>
      <c r="AB596">
        <f>IF([2]Baskol!$K$599="","",[2]Baskol!$K$599)</f>
        <v/>
      </c>
      <c r="AC596">
        <f>IF([2]Baskol!$L$599="","",[2]Baskol!$L$599)</f>
        <v/>
      </c>
      <c r="AD596">
        <f>IF([2]Baskol!$N$599="","",[2]Baskol!$N$599)</f>
        <v/>
      </c>
      <c r="AE596">
        <f>IF([2]Baskol!$O$599="","",[2]Baskol!$O$599)</f>
        <v/>
      </c>
      <c r="AG596">
        <f>IF([3]Entry!$C$599="","",[3]Entry!$C$599)</f>
        <v/>
      </c>
      <c r="AH596">
        <f>IF([3]Entry!$D$599="","",[3]Entry!$D$599)</f>
        <v/>
      </c>
      <c r="AI596">
        <f>IF([3]Entry!$E$599="","",[3]Entry!$E$599)</f>
        <v/>
      </c>
      <c r="AJ596">
        <f>IF([3]Entry!$G$599="","",[3]Entry!$G$599)</f>
        <v/>
      </c>
      <c r="AK596">
        <f>IF([3]Entry!$K$599="","",[3]Entry!$K$599)</f>
        <v/>
      </c>
      <c r="AL596">
        <f>IF([3]Entry!$L$599="","",[3]Entry!$L$599)</f>
        <v/>
      </c>
      <c r="AM596">
        <f>IF([3]Entry!$M$599="","",[3]Entry!$M$599)</f>
        <v/>
      </c>
      <c r="AN596">
        <f>IF([3]Entry!$N$599="","",[3]Entry!$N$599)</f>
        <v/>
      </c>
      <c r="AO596">
        <f>IF([3]Entry!$R$599="","",[3]Entry!$R$599)</f>
        <v/>
      </c>
    </row>
    <row r="597">
      <c r="U597">
        <f>IF([2]Baskol!$B$600="","",[2]Baskol!$B$600)</f>
        <v/>
      </c>
      <c r="V597">
        <f>IF([2]Baskol!$C$600="","",[2]Baskol!$C$600)</f>
        <v/>
      </c>
      <c r="W597">
        <f>IF([2]Baskol!$D$600="","",[2]Baskol!$D$600)</f>
        <v/>
      </c>
      <c r="X597">
        <f>IF([2]Baskol!$E$600="","",[2]Baskol!$E$600)</f>
        <v/>
      </c>
      <c r="Y597">
        <f>IF([2]Baskol!$G$600="","",[2]Baskol!$G$600)</f>
        <v/>
      </c>
      <c r="Z597">
        <f>IF([2]Baskol!$I$600="","",[2]Baskol!$I$600)</f>
        <v/>
      </c>
      <c r="AA597">
        <f>IF([2]Baskol!$J$600="","",[2]Baskol!$J$600)</f>
        <v/>
      </c>
      <c r="AB597">
        <f>IF([2]Baskol!$K$600="","",[2]Baskol!$K$600)</f>
        <v/>
      </c>
      <c r="AC597">
        <f>IF([2]Baskol!$L$600="","",[2]Baskol!$L$600)</f>
        <v/>
      </c>
      <c r="AD597">
        <f>IF([2]Baskol!$N$600="","",[2]Baskol!$N$600)</f>
        <v/>
      </c>
      <c r="AE597">
        <f>IF([2]Baskol!$O$600="","",[2]Baskol!$O$600)</f>
        <v/>
      </c>
      <c r="AG597">
        <f>IF([3]Entry!$C$600="","",[3]Entry!$C$600)</f>
        <v/>
      </c>
      <c r="AH597">
        <f>IF([3]Entry!$D$600="","",[3]Entry!$D$600)</f>
        <v/>
      </c>
      <c r="AI597">
        <f>IF([3]Entry!$E$600="","",[3]Entry!$E$600)</f>
        <v/>
      </c>
      <c r="AJ597">
        <f>IF([3]Entry!$G$600="","",[3]Entry!$G$600)</f>
        <v/>
      </c>
      <c r="AK597">
        <f>IF([3]Entry!$K$600="","",[3]Entry!$K$600)</f>
        <v/>
      </c>
      <c r="AL597">
        <f>IF([3]Entry!$L$600="","",[3]Entry!$L$600)</f>
        <v/>
      </c>
      <c r="AM597">
        <f>IF([3]Entry!$M$600="","",[3]Entry!$M$600)</f>
        <v/>
      </c>
      <c r="AN597">
        <f>IF([3]Entry!$N$600="","",[3]Entry!$N$600)</f>
        <v/>
      </c>
      <c r="AO597">
        <f>IF([3]Entry!$R$600="","",[3]Entry!$R$600)</f>
        <v/>
      </c>
    </row>
    <row r="598">
      <c r="U598">
        <f>IF([2]Baskol!$B$601="","",[2]Baskol!$B$601)</f>
        <v/>
      </c>
      <c r="V598">
        <f>IF([2]Baskol!$C$601="","",[2]Baskol!$C$601)</f>
        <v/>
      </c>
      <c r="W598">
        <f>IF([2]Baskol!$D$601="","",[2]Baskol!$D$601)</f>
        <v/>
      </c>
      <c r="X598">
        <f>IF([2]Baskol!$E$601="","",[2]Baskol!$E$601)</f>
        <v/>
      </c>
      <c r="Y598">
        <f>IF([2]Baskol!$G$601="","",[2]Baskol!$G$601)</f>
        <v/>
      </c>
      <c r="Z598">
        <f>IF([2]Baskol!$I$601="","",[2]Baskol!$I$601)</f>
        <v/>
      </c>
      <c r="AA598">
        <f>IF([2]Baskol!$J$601="","",[2]Baskol!$J$601)</f>
        <v/>
      </c>
      <c r="AB598">
        <f>IF([2]Baskol!$K$601="","",[2]Baskol!$K$601)</f>
        <v/>
      </c>
      <c r="AC598">
        <f>IF([2]Baskol!$L$601="","",[2]Baskol!$L$601)</f>
        <v/>
      </c>
      <c r="AD598">
        <f>IF([2]Baskol!$N$601="","",[2]Baskol!$N$601)</f>
        <v/>
      </c>
      <c r="AE598">
        <f>IF([2]Baskol!$O$601="","",[2]Baskol!$O$601)</f>
        <v/>
      </c>
      <c r="AG598">
        <f>IF([3]Entry!$C$601="","",[3]Entry!$C$601)</f>
        <v/>
      </c>
      <c r="AH598">
        <f>IF([3]Entry!$D$601="","",[3]Entry!$D$601)</f>
        <v/>
      </c>
      <c r="AI598">
        <f>IF([3]Entry!$E$601="","",[3]Entry!$E$601)</f>
        <v/>
      </c>
      <c r="AJ598">
        <f>IF([3]Entry!$G$601="","",[3]Entry!$G$601)</f>
        <v/>
      </c>
      <c r="AK598">
        <f>IF([3]Entry!$K$601="","",[3]Entry!$K$601)</f>
        <v/>
      </c>
      <c r="AL598">
        <f>IF([3]Entry!$L$601="","",[3]Entry!$L$601)</f>
        <v/>
      </c>
      <c r="AM598">
        <f>IF([3]Entry!$M$601="","",[3]Entry!$M$601)</f>
        <v/>
      </c>
      <c r="AN598">
        <f>IF([3]Entry!$N$601="","",[3]Entry!$N$601)</f>
        <v/>
      </c>
      <c r="AO598">
        <f>IF([3]Entry!$R$601="","",[3]Entry!$R$601)</f>
        <v/>
      </c>
    </row>
    <row r="599">
      <c r="U599">
        <f>IF([2]Baskol!$B$602="","",[2]Baskol!$B$602)</f>
        <v/>
      </c>
      <c r="V599">
        <f>IF([2]Baskol!$C$602="","",[2]Baskol!$C$602)</f>
        <v/>
      </c>
      <c r="W599">
        <f>IF([2]Baskol!$D$602="","",[2]Baskol!$D$602)</f>
        <v/>
      </c>
      <c r="X599">
        <f>IF([2]Baskol!$E$602="","",[2]Baskol!$E$602)</f>
        <v/>
      </c>
      <c r="Y599">
        <f>IF([2]Baskol!$G$602="","",[2]Baskol!$G$602)</f>
        <v/>
      </c>
      <c r="Z599">
        <f>IF([2]Baskol!$I$602="","",[2]Baskol!$I$602)</f>
        <v/>
      </c>
      <c r="AA599">
        <f>IF([2]Baskol!$J$602="","",[2]Baskol!$J$602)</f>
        <v/>
      </c>
      <c r="AB599">
        <f>IF([2]Baskol!$K$602="","",[2]Baskol!$K$602)</f>
        <v/>
      </c>
      <c r="AC599">
        <f>IF([2]Baskol!$L$602="","",[2]Baskol!$L$602)</f>
        <v/>
      </c>
      <c r="AD599">
        <f>IF([2]Baskol!$N$602="","",[2]Baskol!$N$602)</f>
        <v/>
      </c>
      <c r="AE599">
        <f>IF([2]Baskol!$O$602="","",[2]Baskol!$O$602)</f>
        <v/>
      </c>
      <c r="AG599">
        <f>IF([3]Entry!$C$602="","",[3]Entry!$C$602)</f>
        <v/>
      </c>
      <c r="AH599">
        <f>IF([3]Entry!$D$602="","",[3]Entry!$D$602)</f>
        <v/>
      </c>
      <c r="AI599">
        <f>IF([3]Entry!$E$602="","",[3]Entry!$E$602)</f>
        <v/>
      </c>
      <c r="AJ599">
        <f>IF([3]Entry!$G$602="","",[3]Entry!$G$602)</f>
        <v/>
      </c>
      <c r="AK599">
        <f>IF([3]Entry!$K$602="","",[3]Entry!$K$602)</f>
        <v/>
      </c>
      <c r="AL599">
        <f>IF([3]Entry!$L$602="","",[3]Entry!$L$602)</f>
        <v/>
      </c>
      <c r="AM599">
        <f>IF([3]Entry!$M$602="","",[3]Entry!$M$602)</f>
        <v/>
      </c>
      <c r="AN599">
        <f>IF([3]Entry!$N$602="","",[3]Entry!$N$602)</f>
        <v/>
      </c>
      <c r="AO599">
        <f>IF([3]Entry!$R$602="","",[3]Entry!$R$602)</f>
        <v/>
      </c>
    </row>
    <row r="600">
      <c r="U600">
        <f>IF([2]Baskol!$B$603="","",[2]Baskol!$B$603)</f>
        <v/>
      </c>
      <c r="V600">
        <f>IF([2]Baskol!$C$603="","",[2]Baskol!$C$603)</f>
        <v/>
      </c>
      <c r="W600">
        <f>IF([2]Baskol!$D$603="","",[2]Baskol!$D$603)</f>
        <v/>
      </c>
      <c r="X600">
        <f>IF([2]Baskol!$E$603="","",[2]Baskol!$E$603)</f>
        <v/>
      </c>
      <c r="Y600">
        <f>IF([2]Baskol!$G$603="","",[2]Baskol!$G$603)</f>
        <v/>
      </c>
      <c r="Z600">
        <f>IF([2]Baskol!$I$603="","",[2]Baskol!$I$603)</f>
        <v/>
      </c>
      <c r="AA600">
        <f>IF([2]Baskol!$J$603="","",[2]Baskol!$J$603)</f>
        <v/>
      </c>
      <c r="AB600">
        <f>IF([2]Baskol!$K$603="","",[2]Baskol!$K$603)</f>
        <v/>
      </c>
      <c r="AC600">
        <f>IF([2]Baskol!$L$603="","",[2]Baskol!$L$603)</f>
        <v/>
      </c>
      <c r="AD600">
        <f>IF([2]Baskol!$N$603="","",[2]Baskol!$N$603)</f>
        <v/>
      </c>
      <c r="AE600">
        <f>IF([2]Baskol!$O$603="","",[2]Baskol!$O$603)</f>
        <v/>
      </c>
      <c r="AG600">
        <f>IF([3]Entry!$C$603="","",[3]Entry!$C$603)</f>
        <v/>
      </c>
      <c r="AH600">
        <f>IF([3]Entry!$D$603="","",[3]Entry!$D$603)</f>
        <v/>
      </c>
      <c r="AI600">
        <f>IF([3]Entry!$E$603="","",[3]Entry!$E$603)</f>
        <v/>
      </c>
      <c r="AJ600">
        <f>IF([3]Entry!$G$603="","",[3]Entry!$G$603)</f>
        <v/>
      </c>
      <c r="AK600">
        <f>IF([3]Entry!$K$603="","",[3]Entry!$K$603)</f>
        <v/>
      </c>
      <c r="AL600">
        <f>IF([3]Entry!$L$603="","",[3]Entry!$L$603)</f>
        <v/>
      </c>
      <c r="AM600">
        <f>IF([3]Entry!$M$603="","",[3]Entry!$M$603)</f>
        <v/>
      </c>
      <c r="AN600">
        <f>IF([3]Entry!$N$603="","",[3]Entry!$N$603)</f>
        <v/>
      </c>
      <c r="AO600">
        <f>IF([3]Entry!$R$603="","",[3]Entry!$R$603)</f>
        <v/>
      </c>
    </row>
    <row r="601">
      <c r="U601">
        <f>IF([2]Baskol!$B$604="","",[2]Baskol!$B$604)</f>
        <v/>
      </c>
      <c r="V601">
        <f>IF([2]Baskol!$C$604="","",[2]Baskol!$C$604)</f>
        <v/>
      </c>
      <c r="W601">
        <f>IF([2]Baskol!$D$604="","",[2]Baskol!$D$604)</f>
        <v/>
      </c>
      <c r="X601">
        <f>IF([2]Baskol!$E$604="","",[2]Baskol!$E$604)</f>
        <v/>
      </c>
      <c r="Y601">
        <f>IF([2]Baskol!$G$604="","",[2]Baskol!$G$604)</f>
        <v/>
      </c>
      <c r="Z601">
        <f>IF([2]Baskol!$I$604="","",[2]Baskol!$I$604)</f>
        <v/>
      </c>
      <c r="AA601">
        <f>IF([2]Baskol!$J$604="","",[2]Baskol!$J$604)</f>
        <v/>
      </c>
      <c r="AB601">
        <f>IF([2]Baskol!$K$604="","",[2]Baskol!$K$604)</f>
        <v/>
      </c>
      <c r="AC601">
        <f>IF([2]Baskol!$L$604="","",[2]Baskol!$L$604)</f>
        <v/>
      </c>
      <c r="AD601">
        <f>IF([2]Baskol!$N$604="","",[2]Baskol!$N$604)</f>
        <v/>
      </c>
      <c r="AE601">
        <f>IF([2]Baskol!$O$604="","",[2]Baskol!$O$604)</f>
        <v/>
      </c>
      <c r="AG601">
        <f>IF([3]Entry!$C$604="","",[3]Entry!$C$604)</f>
        <v/>
      </c>
      <c r="AH601">
        <f>IF([3]Entry!$D$604="","",[3]Entry!$D$604)</f>
        <v/>
      </c>
      <c r="AI601">
        <f>IF([3]Entry!$E$604="","",[3]Entry!$E$604)</f>
        <v/>
      </c>
      <c r="AJ601">
        <f>IF([3]Entry!$G$604="","",[3]Entry!$G$604)</f>
        <v/>
      </c>
      <c r="AK601">
        <f>IF([3]Entry!$K$604="","",[3]Entry!$K$604)</f>
        <v/>
      </c>
      <c r="AL601">
        <f>IF([3]Entry!$L$604="","",[3]Entry!$L$604)</f>
        <v/>
      </c>
      <c r="AM601">
        <f>IF([3]Entry!$M$604="","",[3]Entry!$M$604)</f>
        <v/>
      </c>
      <c r="AN601">
        <f>IF([3]Entry!$N$604="","",[3]Entry!$N$604)</f>
        <v/>
      </c>
      <c r="AO601">
        <f>IF([3]Entry!$R$604="","",[3]Entry!$R$604)</f>
        <v/>
      </c>
    </row>
    <row r="602">
      <c r="U602">
        <f>IF([2]Baskol!$B$605="","",[2]Baskol!$B$605)</f>
        <v/>
      </c>
      <c r="V602">
        <f>IF([2]Baskol!$C$605="","",[2]Baskol!$C$605)</f>
        <v/>
      </c>
      <c r="W602">
        <f>IF([2]Baskol!$D$605="","",[2]Baskol!$D$605)</f>
        <v/>
      </c>
      <c r="X602">
        <f>IF([2]Baskol!$E$605="","",[2]Baskol!$E$605)</f>
        <v/>
      </c>
      <c r="Y602">
        <f>IF([2]Baskol!$G$605="","",[2]Baskol!$G$605)</f>
        <v/>
      </c>
      <c r="Z602">
        <f>IF([2]Baskol!$I$605="","",[2]Baskol!$I$605)</f>
        <v/>
      </c>
      <c r="AA602">
        <f>IF([2]Baskol!$J$605="","",[2]Baskol!$J$605)</f>
        <v/>
      </c>
      <c r="AB602">
        <f>IF([2]Baskol!$K$605="","",[2]Baskol!$K$605)</f>
        <v/>
      </c>
      <c r="AC602">
        <f>IF([2]Baskol!$L$605="","",[2]Baskol!$L$605)</f>
        <v/>
      </c>
      <c r="AD602">
        <f>IF([2]Baskol!$N$605="","",[2]Baskol!$N$605)</f>
        <v/>
      </c>
      <c r="AE602">
        <f>IF([2]Baskol!$O$605="","",[2]Baskol!$O$605)</f>
        <v/>
      </c>
      <c r="AG602">
        <f>IF([3]Entry!$C$605="","",[3]Entry!$C$605)</f>
        <v/>
      </c>
      <c r="AH602">
        <f>IF([3]Entry!$D$605="","",[3]Entry!$D$605)</f>
        <v/>
      </c>
      <c r="AI602">
        <f>IF([3]Entry!$E$605="","",[3]Entry!$E$605)</f>
        <v/>
      </c>
      <c r="AJ602">
        <f>IF([3]Entry!$G$605="","",[3]Entry!$G$605)</f>
        <v/>
      </c>
      <c r="AK602">
        <f>IF([3]Entry!$K$605="","",[3]Entry!$K$605)</f>
        <v/>
      </c>
      <c r="AL602">
        <f>IF([3]Entry!$L$605="","",[3]Entry!$L$605)</f>
        <v/>
      </c>
      <c r="AM602">
        <f>IF([3]Entry!$M$605="","",[3]Entry!$M$605)</f>
        <v/>
      </c>
      <c r="AN602">
        <f>IF([3]Entry!$N$605="","",[3]Entry!$N$605)</f>
        <v/>
      </c>
      <c r="AO602">
        <f>IF([3]Entry!$R$605="","",[3]Entry!$R$605)</f>
        <v/>
      </c>
    </row>
    <row r="603">
      <c r="U603">
        <f>IF([2]Baskol!$B$606="","",[2]Baskol!$B$606)</f>
        <v/>
      </c>
      <c r="V603">
        <f>IF([2]Baskol!$C$606="","",[2]Baskol!$C$606)</f>
        <v/>
      </c>
      <c r="W603">
        <f>IF([2]Baskol!$D$606="","",[2]Baskol!$D$606)</f>
        <v/>
      </c>
      <c r="X603">
        <f>IF([2]Baskol!$E$606="","",[2]Baskol!$E$606)</f>
        <v/>
      </c>
      <c r="Y603">
        <f>IF([2]Baskol!$G$606="","",[2]Baskol!$G$606)</f>
        <v/>
      </c>
      <c r="Z603">
        <f>IF([2]Baskol!$I$606="","",[2]Baskol!$I$606)</f>
        <v/>
      </c>
      <c r="AA603">
        <f>IF([2]Baskol!$J$606="","",[2]Baskol!$J$606)</f>
        <v/>
      </c>
      <c r="AB603">
        <f>IF([2]Baskol!$K$606="","",[2]Baskol!$K$606)</f>
        <v/>
      </c>
      <c r="AC603">
        <f>IF([2]Baskol!$L$606="","",[2]Baskol!$L$606)</f>
        <v/>
      </c>
      <c r="AD603">
        <f>IF([2]Baskol!$N$606="","",[2]Baskol!$N$606)</f>
        <v/>
      </c>
      <c r="AE603">
        <f>IF([2]Baskol!$O$606="","",[2]Baskol!$O$606)</f>
        <v/>
      </c>
      <c r="AG603">
        <f>IF([3]Entry!$C$606="","",[3]Entry!$C$606)</f>
        <v/>
      </c>
      <c r="AH603">
        <f>IF([3]Entry!$D$606="","",[3]Entry!$D$606)</f>
        <v/>
      </c>
      <c r="AI603">
        <f>IF([3]Entry!$E$606="","",[3]Entry!$E$606)</f>
        <v/>
      </c>
      <c r="AJ603">
        <f>IF([3]Entry!$G$606="","",[3]Entry!$G$606)</f>
        <v/>
      </c>
      <c r="AK603">
        <f>IF([3]Entry!$K$606="","",[3]Entry!$K$606)</f>
        <v/>
      </c>
      <c r="AL603">
        <f>IF([3]Entry!$L$606="","",[3]Entry!$L$606)</f>
        <v/>
      </c>
      <c r="AM603">
        <f>IF([3]Entry!$M$606="","",[3]Entry!$M$606)</f>
        <v/>
      </c>
      <c r="AN603">
        <f>IF([3]Entry!$N$606="","",[3]Entry!$N$606)</f>
        <v/>
      </c>
      <c r="AO603">
        <f>IF([3]Entry!$R$606="","",[3]Entry!$R$606)</f>
        <v/>
      </c>
    </row>
    <row r="604">
      <c r="U604">
        <f>IF([2]Baskol!$B$607="","",[2]Baskol!$B$607)</f>
        <v/>
      </c>
      <c r="V604">
        <f>IF([2]Baskol!$C$607="","",[2]Baskol!$C$607)</f>
        <v/>
      </c>
      <c r="W604">
        <f>IF([2]Baskol!$D$607="","",[2]Baskol!$D$607)</f>
        <v/>
      </c>
      <c r="X604">
        <f>IF([2]Baskol!$E$607="","",[2]Baskol!$E$607)</f>
        <v/>
      </c>
      <c r="Y604">
        <f>IF([2]Baskol!$G$607="","",[2]Baskol!$G$607)</f>
        <v/>
      </c>
      <c r="Z604">
        <f>IF([2]Baskol!$I$607="","",[2]Baskol!$I$607)</f>
        <v/>
      </c>
      <c r="AA604">
        <f>IF([2]Baskol!$J$607="","",[2]Baskol!$J$607)</f>
        <v/>
      </c>
      <c r="AB604">
        <f>IF([2]Baskol!$K$607="","",[2]Baskol!$K$607)</f>
        <v/>
      </c>
      <c r="AC604">
        <f>IF([2]Baskol!$L$607="","",[2]Baskol!$L$607)</f>
        <v/>
      </c>
      <c r="AD604">
        <f>IF([2]Baskol!$N$607="","",[2]Baskol!$N$607)</f>
        <v/>
      </c>
      <c r="AE604">
        <f>IF([2]Baskol!$O$607="","",[2]Baskol!$O$607)</f>
        <v/>
      </c>
      <c r="AG604">
        <f>IF([3]Entry!$C$607="","",[3]Entry!$C$607)</f>
        <v/>
      </c>
      <c r="AH604">
        <f>IF([3]Entry!$D$607="","",[3]Entry!$D$607)</f>
        <v/>
      </c>
      <c r="AI604">
        <f>IF([3]Entry!$E$607="","",[3]Entry!$E$607)</f>
        <v/>
      </c>
      <c r="AJ604">
        <f>IF([3]Entry!$G$607="","",[3]Entry!$G$607)</f>
        <v/>
      </c>
      <c r="AK604">
        <f>IF([3]Entry!$K$607="","",[3]Entry!$K$607)</f>
        <v/>
      </c>
      <c r="AL604">
        <f>IF([3]Entry!$L$607="","",[3]Entry!$L$607)</f>
        <v/>
      </c>
      <c r="AM604">
        <f>IF([3]Entry!$M$607="","",[3]Entry!$M$607)</f>
        <v/>
      </c>
      <c r="AN604">
        <f>IF([3]Entry!$N$607="","",[3]Entry!$N$607)</f>
        <v/>
      </c>
      <c r="AO604">
        <f>IF([3]Entry!$R$607="","",[3]Entry!$R$607)</f>
        <v/>
      </c>
    </row>
    <row r="605">
      <c r="U605">
        <f>IF([2]Baskol!$B$608="","",[2]Baskol!$B$608)</f>
        <v/>
      </c>
      <c r="V605">
        <f>IF([2]Baskol!$C$608="","",[2]Baskol!$C$608)</f>
        <v/>
      </c>
      <c r="W605">
        <f>IF([2]Baskol!$D$608="","",[2]Baskol!$D$608)</f>
        <v/>
      </c>
      <c r="X605">
        <f>IF([2]Baskol!$E$608="","",[2]Baskol!$E$608)</f>
        <v/>
      </c>
      <c r="Y605">
        <f>IF([2]Baskol!$G$608="","",[2]Baskol!$G$608)</f>
        <v/>
      </c>
      <c r="Z605">
        <f>IF([2]Baskol!$I$608="","",[2]Baskol!$I$608)</f>
        <v/>
      </c>
      <c r="AA605">
        <f>IF([2]Baskol!$J$608="","",[2]Baskol!$J$608)</f>
        <v/>
      </c>
      <c r="AB605">
        <f>IF([2]Baskol!$K$608="","",[2]Baskol!$K$608)</f>
        <v/>
      </c>
      <c r="AC605">
        <f>IF([2]Baskol!$L$608="","",[2]Baskol!$L$608)</f>
        <v/>
      </c>
      <c r="AD605">
        <f>IF([2]Baskol!$N$608="","",[2]Baskol!$N$608)</f>
        <v/>
      </c>
      <c r="AE605">
        <f>IF([2]Baskol!$O$608="","",[2]Baskol!$O$608)</f>
        <v/>
      </c>
      <c r="AG605">
        <f>IF([3]Entry!$C$608="","",[3]Entry!$C$608)</f>
        <v/>
      </c>
      <c r="AH605">
        <f>IF([3]Entry!$D$608="","",[3]Entry!$D$608)</f>
        <v/>
      </c>
      <c r="AI605">
        <f>IF([3]Entry!$E$608="","",[3]Entry!$E$608)</f>
        <v/>
      </c>
      <c r="AJ605">
        <f>IF([3]Entry!$G$608="","",[3]Entry!$G$608)</f>
        <v/>
      </c>
      <c r="AK605">
        <f>IF([3]Entry!$K$608="","",[3]Entry!$K$608)</f>
        <v/>
      </c>
      <c r="AL605">
        <f>IF([3]Entry!$L$608="","",[3]Entry!$L$608)</f>
        <v/>
      </c>
      <c r="AM605">
        <f>IF([3]Entry!$M$608="","",[3]Entry!$M$608)</f>
        <v/>
      </c>
      <c r="AN605">
        <f>IF([3]Entry!$N$608="","",[3]Entry!$N$608)</f>
        <v/>
      </c>
      <c r="AO605">
        <f>IF([3]Entry!$R$608="","",[3]Entry!$R$608)</f>
        <v/>
      </c>
    </row>
    <row r="606">
      <c r="U606">
        <f>IF([2]Baskol!$B$609="","",[2]Baskol!$B$609)</f>
        <v/>
      </c>
      <c r="V606">
        <f>IF([2]Baskol!$C$609="","",[2]Baskol!$C$609)</f>
        <v/>
      </c>
      <c r="W606">
        <f>IF([2]Baskol!$D$609="","",[2]Baskol!$D$609)</f>
        <v/>
      </c>
      <c r="X606">
        <f>IF([2]Baskol!$E$609="","",[2]Baskol!$E$609)</f>
        <v/>
      </c>
      <c r="Y606">
        <f>IF([2]Baskol!$G$609="","",[2]Baskol!$G$609)</f>
        <v/>
      </c>
      <c r="Z606">
        <f>IF([2]Baskol!$I$609="","",[2]Baskol!$I$609)</f>
        <v/>
      </c>
      <c r="AA606">
        <f>IF([2]Baskol!$J$609="","",[2]Baskol!$J$609)</f>
        <v/>
      </c>
      <c r="AB606">
        <f>IF([2]Baskol!$K$609="","",[2]Baskol!$K$609)</f>
        <v/>
      </c>
      <c r="AC606">
        <f>IF([2]Baskol!$L$609="","",[2]Baskol!$L$609)</f>
        <v/>
      </c>
      <c r="AD606">
        <f>IF([2]Baskol!$N$609="","",[2]Baskol!$N$609)</f>
        <v/>
      </c>
      <c r="AE606">
        <f>IF([2]Baskol!$O$609="","",[2]Baskol!$O$609)</f>
        <v/>
      </c>
      <c r="AG606">
        <f>IF([3]Entry!$C$609="","",[3]Entry!$C$609)</f>
        <v/>
      </c>
      <c r="AH606">
        <f>IF([3]Entry!$D$609="","",[3]Entry!$D$609)</f>
        <v/>
      </c>
      <c r="AI606">
        <f>IF([3]Entry!$E$609="","",[3]Entry!$E$609)</f>
        <v/>
      </c>
      <c r="AJ606">
        <f>IF([3]Entry!$G$609="","",[3]Entry!$G$609)</f>
        <v/>
      </c>
      <c r="AK606">
        <f>IF([3]Entry!$K$609="","",[3]Entry!$K$609)</f>
        <v/>
      </c>
      <c r="AL606">
        <f>IF([3]Entry!$L$609="","",[3]Entry!$L$609)</f>
        <v/>
      </c>
      <c r="AM606">
        <f>IF([3]Entry!$M$609="","",[3]Entry!$M$609)</f>
        <v/>
      </c>
      <c r="AN606">
        <f>IF([3]Entry!$N$609="","",[3]Entry!$N$609)</f>
        <v/>
      </c>
      <c r="AO606">
        <f>IF([3]Entry!$R$609="","",[3]Entry!$R$609)</f>
        <v/>
      </c>
    </row>
    <row r="607">
      <c r="U607">
        <f>IF([2]Baskol!$B$610="","",[2]Baskol!$B$610)</f>
        <v/>
      </c>
      <c r="V607">
        <f>IF([2]Baskol!$C$610="","",[2]Baskol!$C$610)</f>
        <v/>
      </c>
      <c r="W607">
        <f>IF([2]Baskol!$D$610="","",[2]Baskol!$D$610)</f>
        <v/>
      </c>
      <c r="X607">
        <f>IF([2]Baskol!$E$610="","",[2]Baskol!$E$610)</f>
        <v/>
      </c>
      <c r="Y607">
        <f>IF([2]Baskol!$G$610="","",[2]Baskol!$G$610)</f>
        <v/>
      </c>
      <c r="Z607">
        <f>IF([2]Baskol!$I$610="","",[2]Baskol!$I$610)</f>
        <v/>
      </c>
      <c r="AA607">
        <f>IF([2]Baskol!$J$610="","",[2]Baskol!$J$610)</f>
        <v/>
      </c>
      <c r="AB607">
        <f>IF([2]Baskol!$K$610="","",[2]Baskol!$K$610)</f>
        <v/>
      </c>
      <c r="AC607">
        <f>IF([2]Baskol!$L$610="","",[2]Baskol!$L$610)</f>
        <v/>
      </c>
      <c r="AD607">
        <f>IF([2]Baskol!$N$610="","",[2]Baskol!$N$610)</f>
        <v/>
      </c>
      <c r="AE607">
        <f>IF([2]Baskol!$O$610="","",[2]Baskol!$O$610)</f>
        <v/>
      </c>
      <c r="AG607">
        <f>IF([3]Entry!$C$610="","",[3]Entry!$C$610)</f>
        <v/>
      </c>
      <c r="AH607">
        <f>IF([3]Entry!$D$610="","",[3]Entry!$D$610)</f>
        <v/>
      </c>
      <c r="AI607">
        <f>IF([3]Entry!$E$610="","",[3]Entry!$E$610)</f>
        <v/>
      </c>
      <c r="AJ607">
        <f>IF([3]Entry!$G$610="","",[3]Entry!$G$610)</f>
        <v/>
      </c>
      <c r="AK607">
        <f>IF([3]Entry!$K$610="","",[3]Entry!$K$610)</f>
        <v/>
      </c>
      <c r="AL607">
        <f>IF([3]Entry!$L$610="","",[3]Entry!$L$610)</f>
        <v/>
      </c>
      <c r="AM607">
        <f>IF([3]Entry!$M$610="","",[3]Entry!$M$610)</f>
        <v/>
      </c>
      <c r="AN607">
        <f>IF([3]Entry!$N$610="","",[3]Entry!$N$610)</f>
        <v/>
      </c>
      <c r="AO607">
        <f>IF([3]Entry!$R$610="","",[3]Entry!$R$610)</f>
        <v/>
      </c>
    </row>
    <row r="608">
      <c r="U608">
        <f>IF([2]Baskol!$B$611="","",[2]Baskol!$B$611)</f>
        <v/>
      </c>
      <c r="V608">
        <f>IF([2]Baskol!$C$611="","",[2]Baskol!$C$611)</f>
        <v/>
      </c>
      <c r="W608">
        <f>IF([2]Baskol!$D$611="","",[2]Baskol!$D$611)</f>
        <v/>
      </c>
      <c r="X608">
        <f>IF([2]Baskol!$E$611="","",[2]Baskol!$E$611)</f>
        <v/>
      </c>
      <c r="Y608">
        <f>IF([2]Baskol!$G$611="","",[2]Baskol!$G$611)</f>
        <v/>
      </c>
      <c r="Z608">
        <f>IF([2]Baskol!$I$611="","",[2]Baskol!$I$611)</f>
        <v/>
      </c>
      <c r="AA608">
        <f>IF([2]Baskol!$J$611="","",[2]Baskol!$J$611)</f>
        <v/>
      </c>
      <c r="AB608">
        <f>IF([2]Baskol!$K$611="","",[2]Baskol!$K$611)</f>
        <v/>
      </c>
      <c r="AC608">
        <f>IF([2]Baskol!$L$611="","",[2]Baskol!$L$611)</f>
        <v/>
      </c>
      <c r="AD608">
        <f>IF([2]Baskol!$N$611="","",[2]Baskol!$N$611)</f>
        <v/>
      </c>
      <c r="AE608">
        <f>IF([2]Baskol!$O$611="","",[2]Baskol!$O$611)</f>
        <v/>
      </c>
      <c r="AG608">
        <f>IF([3]Entry!$C$611="","",[3]Entry!$C$611)</f>
        <v/>
      </c>
      <c r="AH608">
        <f>IF([3]Entry!$D$611="","",[3]Entry!$D$611)</f>
        <v/>
      </c>
      <c r="AI608">
        <f>IF([3]Entry!$E$611="","",[3]Entry!$E$611)</f>
        <v/>
      </c>
      <c r="AJ608">
        <f>IF([3]Entry!$G$611="","",[3]Entry!$G$611)</f>
        <v/>
      </c>
      <c r="AK608">
        <f>IF([3]Entry!$K$611="","",[3]Entry!$K$611)</f>
        <v/>
      </c>
      <c r="AL608">
        <f>IF([3]Entry!$L$611="","",[3]Entry!$L$611)</f>
        <v/>
      </c>
      <c r="AM608">
        <f>IF([3]Entry!$M$611="","",[3]Entry!$M$611)</f>
        <v/>
      </c>
      <c r="AN608">
        <f>IF([3]Entry!$N$611="","",[3]Entry!$N$611)</f>
        <v/>
      </c>
      <c r="AO608">
        <f>IF([3]Entry!$R$611="","",[3]Entry!$R$611)</f>
        <v/>
      </c>
    </row>
    <row r="609">
      <c r="U609">
        <f>IF([2]Baskol!$B$612="","",[2]Baskol!$B$612)</f>
        <v/>
      </c>
      <c r="V609">
        <f>IF([2]Baskol!$C$612="","",[2]Baskol!$C$612)</f>
        <v/>
      </c>
      <c r="W609">
        <f>IF([2]Baskol!$D$612="","",[2]Baskol!$D$612)</f>
        <v/>
      </c>
      <c r="X609">
        <f>IF([2]Baskol!$E$612="","",[2]Baskol!$E$612)</f>
        <v/>
      </c>
      <c r="Y609">
        <f>IF([2]Baskol!$G$612="","",[2]Baskol!$G$612)</f>
        <v/>
      </c>
      <c r="Z609">
        <f>IF([2]Baskol!$I$612="","",[2]Baskol!$I$612)</f>
        <v/>
      </c>
      <c r="AA609">
        <f>IF([2]Baskol!$J$612="","",[2]Baskol!$J$612)</f>
        <v/>
      </c>
      <c r="AB609">
        <f>IF([2]Baskol!$K$612="","",[2]Baskol!$K$612)</f>
        <v/>
      </c>
      <c r="AC609">
        <f>IF([2]Baskol!$L$612="","",[2]Baskol!$L$612)</f>
        <v/>
      </c>
      <c r="AD609">
        <f>IF([2]Baskol!$N$612="","",[2]Baskol!$N$612)</f>
        <v/>
      </c>
      <c r="AE609">
        <f>IF([2]Baskol!$O$612="","",[2]Baskol!$O$612)</f>
        <v/>
      </c>
      <c r="AG609">
        <f>IF([3]Entry!$C$612="","",[3]Entry!$C$612)</f>
        <v/>
      </c>
      <c r="AH609">
        <f>IF([3]Entry!$D$612="","",[3]Entry!$D$612)</f>
        <v/>
      </c>
      <c r="AI609">
        <f>IF([3]Entry!$E$612="","",[3]Entry!$E$612)</f>
        <v/>
      </c>
      <c r="AJ609">
        <f>IF([3]Entry!$G$612="","",[3]Entry!$G$612)</f>
        <v/>
      </c>
      <c r="AK609">
        <f>IF([3]Entry!$K$612="","",[3]Entry!$K$612)</f>
        <v/>
      </c>
      <c r="AL609">
        <f>IF([3]Entry!$L$612="","",[3]Entry!$L$612)</f>
        <v/>
      </c>
      <c r="AM609">
        <f>IF([3]Entry!$M$612="","",[3]Entry!$M$612)</f>
        <v/>
      </c>
      <c r="AN609">
        <f>IF([3]Entry!$N$612="","",[3]Entry!$N$612)</f>
        <v/>
      </c>
      <c r="AO609">
        <f>IF([3]Entry!$R$612="","",[3]Entry!$R$612)</f>
        <v/>
      </c>
    </row>
    <row r="610">
      <c r="U610">
        <f>IF([2]Baskol!$B$613="","",[2]Baskol!$B$613)</f>
        <v/>
      </c>
      <c r="V610">
        <f>IF([2]Baskol!$C$613="","",[2]Baskol!$C$613)</f>
        <v/>
      </c>
      <c r="W610">
        <f>IF([2]Baskol!$D$613="","",[2]Baskol!$D$613)</f>
        <v/>
      </c>
      <c r="X610">
        <f>IF([2]Baskol!$E$613="","",[2]Baskol!$E$613)</f>
        <v/>
      </c>
      <c r="Y610">
        <f>IF([2]Baskol!$G$613="","",[2]Baskol!$G$613)</f>
        <v/>
      </c>
      <c r="Z610">
        <f>IF([2]Baskol!$I$613="","",[2]Baskol!$I$613)</f>
        <v/>
      </c>
      <c r="AA610">
        <f>IF([2]Baskol!$J$613="","",[2]Baskol!$J$613)</f>
        <v/>
      </c>
      <c r="AB610">
        <f>IF([2]Baskol!$K$613="","",[2]Baskol!$K$613)</f>
        <v/>
      </c>
      <c r="AC610">
        <f>IF([2]Baskol!$L$613="","",[2]Baskol!$L$613)</f>
        <v/>
      </c>
      <c r="AD610">
        <f>IF([2]Baskol!$N$613="","",[2]Baskol!$N$613)</f>
        <v/>
      </c>
      <c r="AE610">
        <f>IF([2]Baskol!$O$613="","",[2]Baskol!$O$613)</f>
        <v/>
      </c>
      <c r="AG610">
        <f>IF([3]Entry!$C$613="","",[3]Entry!$C$613)</f>
        <v/>
      </c>
      <c r="AH610">
        <f>IF([3]Entry!$D$613="","",[3]Entry!$D$613)</f>
        <v/>
      </c>
      <c r="AI610">
        <f>IF([3]Entry!$E$613="","",[3]Entry!$E$613)</f>
        <v/>
      </c>
      <c r="AJ610">
        <f>IF([3]Entry!$G$613="","",[3]Entry!$G$613)</f>
        <v/>
      </c>
      <c r="AK610">
        <f>IF([3]Entry!$K$613="","",[3]Entry!$K$613)</f>
        <v/>
      </c>
      <c r="AL610">
        <f>IF([3]Entry!$L$613="","",[3]Entry!$L$613)</f>
        <v/>
      </c>
      <c r="AM610">
        <f>IF([3]Entry!$M$613="","",[3]Entry!$M$613)</f>
        <v/>
      </c>
      <c r="AN610">
        <f>IF([3]Entry!$N$613="","",[3]Entry!$N$613)</f>
        <v/>
      </c>
      <c r="AO610">
        <f>IF([3]Entry!$R$613="","",[3]Entry!$R$613)</f>
        <v/>
      </c>
    </row>
    <row r="611">
      <c r="U611">
        <f>IF([2]Baskol!$B$614="","",[2]Baskol!$B$614)</f>
        <v/>
      </c>
      <c r="V611">
        <f>IF([2]Baskol!$C$614="","",[2]Baskol!$C$614)</f>
        <v/>
      </c>
      <c r="W611">
        <f>IF([2]Baskol!$D$614="","",[2]Baskol!$D$614)</f>
        <v/>
      </c>
      <c r="X611">
        <f>IF([2]Baskol!$E$614="","",[2]Baskol!$E$614)</f>
        <v/>
      </c>
      <c r="Y611">
        <f>IF([2]Baskol!$G$614="","",[2]Baskol!$G$614)</f>
        <v/>
      </c>
      <c r="Z611">
        <f>IF([2]Baskol!$I$614="","",[2]Baskol!$I$614)</f>
        <v/>
      </c>
      <c r="AA611">
        <f>IF([2]Baskol!$J$614="","",[2]Baskol!$J$614)</f>
        <v/>
      </c>
      <c r="AB611">
        <f>IF([2]Baskol!$K$614="","",[2]Baskol!$K$614)</f>
        <v/>
      </c>
      <c r="AC611">
        <f>IF([2]Baskol!$L$614="","",[2]Baskol!$L$614)</f>
        <v/>
      </c>
      <c r="AD611">
        <f>IF([2]Baskol!$N$614="","",[2]Baskol!$N$614)</f>
        <v/>
      </c>
      <c r="AE611">
        <f>IF([2]Baskol!$O$614="","",[2]Baskol!$O$614)</f>
        <v/>
      </c>
      <c r="AG611">
        <f>IF([3]Entry!$C$614="","",[3]Entry!$C$614)</f>
        <v/>
      </c>
      <c r="AH611">
        <f>IF([3]Entry!$D$614="","",[3]Entry!$D$614)</f>
        <v/>
      </c>
      <c r="AI611">
        <f>IF([3]Entry!$E$614="","",[3]Entry!$E$614)</f>
        <v/>
      </c>
      <c r="AJ611">
        <f>IF([3]Entry!$G$614="","",[3]Entry!$G$614)</f>
        <v/>
      </c>
      <c r="AK611">
        <f>IF([3]Entry!$K$614="","",[3]Entry!$K$614)</f>
        <v/>
      </c>
      <c r="AL611">
        <f>IF([3]Entry!$L$614="","",[3]Entry!$L$614)</f>
        <v/>
      </c>
      <c r="AM611">
        <f>IF([3]Entry!$M$614="","",[3]Entry!$M$614)</f>
        <v/>
      </c>
      <c r="AN611">
        <f>IF([3]Entry!$N$614="","",[3]Entry!$N$614)</f>
        <v/>
      </c>
      <c r="AO611">
        <f>IF([3]Entry!$R$614="","",[3]Entry!$R$614)</f>
        <v/>
      </c>
    </row>
    <row r="612">
      <c r="U612">
        <f>IF([2]Baskol!$B$615="","",[2]Baskol!$B$615)</f>
        <v/>
      </c>
      <c r="V612">
        <f>IF([2]Baskol!$C$615="","",[2]Baskol!$C$615)</f>
        <v/>
      </c>
      <c r="W612">
        <f>IF([2]Baskol!$D$615="","",[2]Baskol!$D$615)</f>
        <v/>
      </c>
      <c r="X612">
        <f>IF([2]Baskol!$E$615="","",[2]Baskol!$E$615)</f>
        <v/>
      </c>
      <c r="Y612">
        <f>IF([2]Baskol!$G$615="","",[2]Baskol!$G$615)</f>
        <v/>
      </c>
      <c r="Z612">
        <f>IF([2]Baskol!$I$615="","",[2]Baskol!$I$615)</f>
        <v/>
      </c>
      <c r="AA612">
        <f>IF([2]Baskol!$J$615="","",[2]Baskol!$J$615)</f>
        <v/>
      </c>
      <c r="AB612">
        <f>IF([2]Baskol!$K$615="","",[2]Baskol!$K$615)</f>
        <v/>
      </c>
      <c r="AC612">
        <f>IF([2]Baskol!$L$615="","",[2]Baskol!$L$615)</f>
        <v/>
      </c>
      <c r="AD612">
        <f>IF([2]Baskol!$N$615="","",[2]Baskol!$N$615)</f>
        <v/>
      </c>
      <c r="AE612">
        <f>IF([2]Baskol!$O$615="","",[2]Baskol!$O$615)</f>
        <v/>
      </c>
      <c r="AG612">
        <f>IF([3]Entry!$C$615="","",[3]Entry!$C$615)</f>
        <v/>
      </c>
      <c r="AH612">
        <f>IF([3]Entry!$D$615="","",[3]Entry!$D$615)</f>
        <v/>
      </c>
      <c r="AI612">
        <f>IF([3]Entry!$E$615="","",[3]Entry!$E$615)</f>
        <v/>
      </c>
      <c r="AJ612">
        <f>IF([3]Entry!$G$615="","",[3]Entry!$G$615)</f>
        <v/>
      </c>
      <c r="AK612">
        <f>IF([3]Entry!$K$615="","",[3]Entry!$K$615)</f>
        <v/>
      </c>
      <c r="AL612">
        <f>IF([3]Entry!$L$615="","",[3]Entry!$L$615)</f>
        <v/>
      </c>
      <c r="AM612">
        <f>IF([3]Entry!$M$615="","",[3]Entry!$M$615)</f>
        <v/>
      </c>
      <c r="AN612">
        <f>IF([3]Entry!$N$615="","",[3]Entry!$N$615)</f>
        <v/>
      </c>
      <c r="AO612">
        <f>IF([3]Entry!$R$615="","",[3]Entry!$R$615)</f>
        <v/>
      </c>
    </row>
    <row r="613">
      <c r="U613">
        <f>IF([2]Baskol!$B$616="","",[2]Baskol!$B$616)</f>
        <v/>
      </c>
      <c r="V613">
        <f>IF([2]Baskol!$C$616="","",[2]Baskol!$C$616)</f>
        <v/>
      </c>
      <c r="W613">
        <f>IF([2]Baskol!$D$616="","",[2]Baskol!$D$616)</f>
        <v/>
      </c>
      <c r="X613">
        <f>IF([2]Baskol!$E$616="","",[2]Baskol!$E$616)</f>
        <v/>
      </c>
      <c r="Y613">
        <f>IF([2]Baskol!$G$616="","",[2]Baskol!$G$616)</f>
        <v/>
      </c>
      <c r="Z613">
        <f>IF([2]Baskol!$I$616="","",[2]Baskol!$I$616)</f>
        <v/>
      </c>
      <c r="AA613">
        <f>IF([2]Baskol!$J$616="","",[2]Baskol!$J$616)</f>
        <v/>
      </c>
      <c r="AB613">
        <f>IF([2]Baskol!$K$616="","",[2]Baskol!$K$616)</f>
        <v/>
      </c>
      <c r="AC613">
        <f>IF([2]Baskol!$L$616="","",[2]Baskol!$L$616)</f>
        <v/>
      </c>
      <c r="AD613">
        <f>IF([2]Baskol!$N$616="","",[2]Baskol!$N$616)</f>
        <v/>
      </c>
      <c r="AE613">
        <f>IF([2]Baskol!$O$616="","",[2]Baskol!$O$616)</f>
        <v/>
      </c>
      <c r="AG613">
        <f>IF([3]Entry!$C$616="","",[3]Entry!$C$616)</f>
        <v/>
      </c>
      <c r="AH613">
        <f>IF([3]Entry!$D$616="","",[3]Entry!$D$616)</f>
        <v/>
      </c>
      <c r="AI613">
        <f>IF([3]Entry!$E$616="","",[3]Entry!$E$616)</f>
        <v/>
      </c>
      <c r="AJ613">
        <f>IF([3]Entry!$G$616="","",[3]Entry!$G$616)</f>
        <v/>
      </c>
      <c r="AK613">
        <f>IF([3]Entry!$K$616="","",[3]Entry!$K$616)</f>
        <v/>
      </c>
      <c r="AL613">
        <f>IF([3]Entry!$L$616="","",[3]Entry!$L$616)</f>
        <v/>
      </c>
      <c r="AM613">
        <f>IF([3]Entry!$M$616="","",[3]Entry!$M$616)</f>
        <v/>
      </c>
      <c r="AN613">
        <f>IF([3]Entry!$N$616="","",[3]Entry!$N$616)</f>
        <v/>
      </c>
      <c r="AO613">
        <f>IF([3]Entry!$R$616="","",[3]Entry!$R$616)</f>
        <v/>
      </c>
    </row>
    <row r="614">
      <c r="U614">
        <f>IF([2]Baskol!$B$617="","",[2]Baskol!$B$617)</f>
        <v/>
      </c>
      <c r="V614">
        <f>IF([2]Baskol!$C$617="","",[2]Baskol!$C$617)</f>
        <v/>
      </c>
      <c r="W614">
        <f>IF([2]Baskol!$D$617="","",[2]Baskol!$D$617)</f>
        <v/>
      </c>
      <c r="X614">
        <f>IF([2]Baskol!$E$617="","",[2]Baskol!$E$617)</f>
        <v/>
      </c>
      <c r="Y614">
        <f>IF([2]Baskol!$G$617="","",[2]Baskol!$G$617)</f>
        <v/>
      </c>
      <c r="Z614">
        <f>IF([2]Baskol!$I$617="","",[2]Baskol!$I$617)</f>
        <v/>
      </c>
      <c r="AA614">
        <f>IF([2]Baskol!$J$617="","",[2]Baskol!$J$617)</f>
        <v/>
      </c>
      <c r="AB614">
        <f>IF([2]Baskol!$K$617="","",[2]Baskol!$K$617)</f>
        <v/>
      </c>
      <c r="AC614">
        <f>IF([2]Baskol!$L$617="","",[2]Baskol!$L$617)</f>
        <v/>
      </c>
      <c r="AD614">
        <f>IF([2]Baskol!$N$617="","",[2]Baskol!$N$617)</f>
        <v/>
      </c>
      <c r="AE614">
        <f>IF([2]Baskol!$O$617="","",[2]Baskol!$O$617)</f>
        <v/>
      </c>
      <c r="AG614">
        <f>IF([3]Entry!$C$617="","",[3]Entry!$C$617)</f>
        <v/>
      </c>
      <c r="AH614">
        <f>IF([3]Entry!$D$617="","",[3]Entry!$D$617)</f>
        <v/>
      </c>
      <c r="AI614">
        <f>IF([3]Entry!$E$617="","",[3]Entry!$E$617)</f>
        <v/>
      </c>
      <c r="AJ614">
        <f>IF([3]Entry!$G$617="","",[3]Entry!$G$617)</f>
        <v/>
      </c>
      <c r="AK614">
        <f>IF([3]Entry!$K$617="","",[3]Entry!$K$617)</f>
        <v/>
      </c>
      <c r="AL614">
        <f>IF([3]Entry!$L$617="","",[3]Entry!$L$617)</f>
        <v/>
      </c>
      <c r="AM614">
        <f>IF([3]Entry!$M$617="","",[3]Entry!$M$617)</f>
        <v/>
      </c>
      <c r="AN614">
        <f>IF([3]Entry!$N$617="","",[3]Entry!$N$617)</f>
        <v/>
      </c>
      <c r="AO614">
        <f>IF([3]Entry!$R$617="","",[3]Entry!$R$617)</f>
        <v/>
      </c>
    </row>
    <row r="615">
      <c r="U615">
        <f>IF([2]Baskol!$B$618="","",[2]Baskol!$B$618)</f>
        <v/>
      </c>
      <c r="V615">
        <f>IF([2]Baskol!$C$618="","",[2]Baskol!$C$618)</f>
        <v/>
      </c>
      <c r="W615">
        <f>IF([2]Baskol!$D$618="","",[2]Baskol!$D$618)</f>
        <v/>
      </c>
      <c r="X615">
        <f>IF([2]Baskol!$E$618="","",[2]Baskol!$E$618)</f>
        <v/>
      </c>
      <c r="Y615">
        <f>IF([2]Baskol!$G$618="","",[2]Baskol!$G$618)</f>
        <v/>
      </c>
      <c r="Z615">
        <f>IF([2]Baskol!$I$618="","",[2]Baskol!$I$618)</f>
        <v/>
      </c>
      <c r="AA615">
        <f>IF([2]Baskol!$J$618="","",[2]Baskol!$J$618)</f>
        <v/>
      </c>
      <c r="AB615">
        <f>IF([2]Baskol!$K$618="","",[2]Baskol!$K$618)</f>
        <v/>
      </c>
      <c r="AC615">
        <f>IF([2]Baskol!$L$618="","",[2]Baskol!$L$618)</f>
        <v/>
      </c>
      <c r="AD615">
        <f>IF([2]Baskol!$N$618="","",[2]Baskol!$N$618)</f>
        <v/>
      </c>
      <c r="AE615">
        <f>IF([2]Baskol!$O$618="","",[2]Baskol!$O$618)</f>
        <v/>
      </c>
      <c r="AG615">
        <f>IF([3]Entry!$C$618="","",[3]Entry!$C$618)</f>
        <v/>
      </c>
      <c r="AH615">
        <f>IF([3]Entry!$D$618="","",[3]Entry!$D$618)</f>
        <v/>
      </c>
      <c r="AI615">
        <f>IF([3]Entry!$E$618="","",[3]Entry!$E$618)</f>
        <v/>
      </c>
      <c r="AJ615">
        <f>IF([3]Entry!$G$618="","",[3]Entry!$G$618)</f>
        <v/>
      </c>
      <c r="AK615">
        <f>IF([3]Entry!$K$618="","",[3]Entry!$K$618)</f>
        <v/>
      </c>
      <c r="AL615">
        <f>IF([3]Entry!$L$618="","",[3]Entry!$L$618)</f>
        <v/>
      </c>
      <c r="AM615">
        <f>IF([3]Entry!$M$618="","",[3]Entry!$M$618)</f>
        <v/>
      </c>
      <c r="AN615">
        <f>IF([3]Entry!$N$618="","",[3]Entry!$N$618)</f>
        <v/>
      </c>
      <c r="AO615">
        <f>IF([3]Entry!$R$618="","",[3]Entry!$R$618)</f>
        <v/>
      </c>
    </row>
    <row r="616">
      <c r="U616">
        <f>IF([2]Baskol!$B$619="","",[2]Baskol!$B$619)</f>
        <v/>
      </c>
      <c r="V616">
        <f>IF([2]Baskol!$C$619="","",[2]Baskol!$C$619)</f>
        <v/>
      </c>
      <c r="W616">
        <f>IF([2]Baskol!$D$619="","",[2]Baskol!$D$619)</f>
        <v/>
      </c>
      <c r="X616">
        <f>IF([2]Baskol!$E$619="","",[2]Baskol!$E$619)</f>
        <v/>
      </c>
      <c r="Y616">
        <f>IF([2]Baskol!$G$619="","",[2]Baskol!$G$619)</f>
        <v/>
      </c>
      <c r="Z616">
        <f>IF([2]Baskol!$I$619="","",[2]Baskol!$I$619)</f>
        <v/>
      </c>
      <c r="AA616">
        <f>IF([2]Baskol!$J$619="","",[2]Baskol!$J$619)</f>
        <v/>
      </c>
      <c r="AB616">
        <f>IF([2]Baskol!$K$619="","",[2]Baskol!$K$619)</f>
        <v/>
      </c>
      <c r="AC616">
        <f>IF([2]Baskol!$L$619="","",[2]Baskol!$L$619)</f>
        <v/>
      </c>
      <c r="AD616">
        <f>IF([2]Baskol!$N$619="","",[2]Baskol!$N$619)</f>
        <v/>
      </c>
      <c r="AE616">
        <f>IF([2]Baskol!$O$619="","",[2]Baskol!$O$619)</f>
        <v/>
      </c>
      <c r="AG616">
        <f>IF([3]Entry!$C$619="","",[3]Entry!$C$619)</f>
        <v/>
      </c>
      <c r="AH616">
        <f>IF([3]Entry!$D$619="","",[3]Entry!$D$619)</f>
        <v/>
      </c>
      <c r="AI616">
        <f>IF([3]Entry!$E$619="","",[3]Entry!$E$619)</f>
        <v/>
      </c>
      <c r="AJ616">
        <f>IF([3]Entry!$G$619="","",[3]Entry!$G$619)</f>
        <v/>
      </c>
      <c r="AK616">
        <f>IF([3]Entry!$K$619="","",[3]Entry!$K$619)</f>
        <v/>
      </c>
      <c r="AL616">
        <f>IF([3]Entry!$L$619="","",[3]Entry!$L$619)</f>
        <v/>
      </c>
      <c r="AM616">
        <f>IF([3]Entry!$M$619="","",[3]Entry!$M$619)</f>
        <v/>
      </c>
      <c r="AN616">
        <f>IF([3]Entry!$N$619="","",[3]Entry!$N$619)</f>
        <v/>
      </c>
      <c r="AO616">
        <f>IF([3]Entry!$R$619="","",[3]Entry!$R$619)</f>
        <v/>
      </c>
    </row>
    <row r="617">
      <c r="U617">
        <f>IF([2]Baskol!$B$620="","",[2]Baskol!$B$620)</f>
        <v/>
      </c>
      <c r="V617">
        <f>IF([2]Baskol!$C$620="","",[2]Baskol!$C$620)</f>
        <v/>
      </c>
      <c r="W617">
        <f>IF([2]Baskol!$D$620="","",[2]Baskol!$D$620)</f>
        <v/>
      </c>
      <c r="X617">
        <f>IF([2]Baskol!$E$620="","",[2]Baskol!$E$620)</f>
        <v/>
      </c>
      <c r="Y617">
        <f>IF([2]Baskol!$G$620="","",[2]Baskol!$G$620)</f>
        <v/>
      </c>
      <c r="Z617">
        <f>IF([2]Baskol!$I$620="","",[2]Baskol!$I$620)</f>
        <v/>
      </c>
      <c r="AA617">
        <f>IF([2]Baskol!$J$620="","",[2]Baskol!$J$620)</f>
        <v/>
      </c>
      <c r="AB617">
        <f>IF([2]Baskol!$K$620="","",[2]Baskol!$K$620)</f>
        <v/>
      </c>
      <c r="AC617">
        <f>IF([2]Baskol!$L$620="","",[2]Baskol!$L$620)</f>
        <v/>
      </c>
      <c r="AD617">
        <f>IF([2]Baskol!$N$620="","",[2]Baskol!$N$620)</f>
        <v/>
      </c>
      <c r="AE617">
        <f>IF([2]Baskol!$O$620="","",[2]Baskol!$O$620)</f>
        <v/>
      </c>
      <c r="AG617">
        <f>IF([3]Entry!$C$620="","",[3]Entry!$C$620)</f>
        <v/>
      </c>
      <c r="AH617">
        <f>IF([3]Entry!$D$620="","",[3]Entry!$D$620)</f>
        <v/>
      </c>
      <c r="AI617">
        <f>IF([3]Entry!$E$620="","",[3]Entry!$E$620)</f>
        <v/>
      </c>
      <c r="AJ617">
        <f>IF([3]Entry!$G$620="","",[3]Entry!$G$620)</f>
        <v/>
      </c>
      <c r="AK617">
        <f>IF([3]Entry!$K$620="","",[3]Entry!$K$620)</f>
        <v/>
      </c>
      <c r="AL617">
        <f>IF([3]Entry!$L$620="","",[3]Entry!$L$620)</f>
        <v/>
      </c>
      <c r="AM617">
        <f>IF([3]Entry!$M$620="","",[3]Entry!$M$620)</f>
        <v/>
      </c>
      <c r="AN617">
        <f>IF([3]Entry!$N$620="","",[3]Entry!$N$620)</f>
        <v/>
      </c>
      <c r="AO617">
        <f>IF([3]Entry!$R$620="","",[3]Entry!$R$620)</f>
        <v/>
      </c>
    </row>
    <row r="618">
      <c r="U618">
        <f>IF([2]Baskol!$B$621="","",[2]Baskol!$B$621)</f>
        <v/>
      </c>
      <c r="V618">
        <f>IF([2]Baskol!$C$621="","",[2]Baskol!$C$621)</f>
        <v/>
      </c>
      <c r="W618">
        <f>IF([2]Baskol!$D$621="","",[2]Baskol!$D$621)</f>
        <v/>
      </c>
      <c r="X618">
        <f>IF([2]Baskol!$E$621="","",[2]Baskol!$E$621)</f>
        <v/>
      </c>
      <c r="Y618">
        <f>IF([2]Baskol!$G$621="","",[2]Baskol!$G$621)</f>
        <v/>
      </c>
      <c r="Z618">
        <f>IF([2]Baskol!$I$621="","",[2]Baskol!$I$621)</f>
        <v/>
      </c>
      <c r="AA618">
        <f>IF([2]Baskol!$J$621="","",[2]Baskol!$J$621)</f>
        <v/>
      </c>
      <c r="AB618">
        <f>IF([2]Baskol!$K$621="","",[2]Baskol!$K$621)</f>
        <v/>
      </c>
      <c r="AC618">
        <f>IF([2]Baskol!$L$621="","",[2]Baskol!$L$621)</f>
        <v/>
      </c>
      <c r="AD618">
        <f>IF([2]Baskol!$N$621="","",[2]Baskol!$N$621)</f>
        <v/>
      </c>
      <c r="AE618">
        <f>IF([2]Baskol!$O$621="","",[2]Baskol!$O$621)</f>
        <v/>
      </c>
      <c r="AG618">
        <f>IF([3]Entry!$C$621="","",[3]Entry!$C$621)</f>
        <v/>
      </c>
      <c r="AH618">
        <f>IF([3]Entry!$D$621="","",[3]Entry!$D$621)</f>
        <v/>
      </c>
      <c r="AI618">
        <f>IF([3]Entry!$E$621="","",[3]Entry!$E$621)</f>
        <v/>
      </c>
      <c r="AJ618">
        <f>IF([3]Entry!$G$621="","",[3]Entry!$G$621)</f>
        <v/>
      </c>
      <c r="AK618">
        <f>IF([3]Entry!$K$621="","",[3]Entry!$K$621)</f>
        <v/>
      </c>
      <c r="AL618">
        <f>IF([3]Entry!$L$621="","",[3]Entry!$L$621)</f>
        <v/>
      </c>
      <c r="AM618">
        <f>IF([3]Entry!$M$621="","",[3]Entry!$M$621)</f>
        <v/>
      </c>
      <c r="AN618">
        <f>IF([3]Entry!$N$621="","",[3]Entry!$N$621)</f>
        <v/>
      </c>
      <c r="AO618">
        <f>IF([3]Entry!$R$621="","",[3]Entry!$R$621)</f>
        <v/>
      </c>
    </row>
    <row r="619">
      <c r="U619">
        <f>IF([2]Baskol!$B$622="","",[2]Baskol!$B$622)</f>
        <v/>
      </c>
      <c r="V619">
        <f>IF([2]Baskol!$C$622="","",[2]Baskol!$C$622)</f>
        <v/>
      </c>
      <c r="W619">
        <f>IF([2]Baskol!$D$622="","",[2]Baskol!$D$622)</f>
        <v/>
      </c>
      <c r="X619">
        <f>IF([2]Baskol!$E$622="","",[2]Baskol!$E$622)</f>
        <v/>
      </c>
      <c r="Y619">
        <f>IF([2]Baskol!$G$622="","",[2]Baskol!$G$622)</f>
        <v/>
      </c>
      <c r="Z619">
        <f>IF([2]Baskol!$I$622="","",[2]Baskol!$I$622)</f>
        <v/>
      </c>
      <c r="AA619">
        <f>IF([2]Baskol!$J$622="","",[2]Baskol!$J$622)</f>
        <v/>
      </c>
      <c r="AB619">
        <f>IF([2]Baskol!$K$622="","",[2]Baskol!$K$622)</f>
        <v/>
      </c>
      <c r="AC619">
        <f>IF([2]Baskol!$L$622="","",[2]Baskol!$L$622)</f>
        <v/>
      </c>
      <c r="AD619">
        <f>IF([2]Baskol!$N$622="","",[2]Baskol!$N$622)</f>
        <v/>
      </c>
      <c r="AE619">
        <f>IF([2]Baskol!$O$622="","",[2]Baskol!$O$622)</f>
        <v/>
      </c>
      <c r="AG619">
        <f>IF([3]Entry!$C$622="","",[3]Entry!$C$622)</f>
        <v/>
      </c>
      <c r="AH619">
        <f>IF([3]Entry!$D$622="","",[3]Entry!$D$622)</f>
        <v/>
      </c>
      <c r="AI619">
        <f>IF([3]Entry!$E$622="","",[3]Entry!$E$622)</f>
        <v/>
      </c>
      <c r="AJ619">
        <f>IF([3]Entry!$G$622="","",[3]Entry!$G$622)</f>
        <v/>
      </c>
      <c r="AK619">
        <f>IF([3]Entry!$K$622="","",[3]Entry!$K$622)</f>
        <v/>
      </c>
      <c r="AL619">
        <f>IF([3]Entry!$L$622="","",[3]Entry!$L$622)</f>
        <v/>
      </c>
      <c r="AM619">
        <f>IF([3]Entry!$M$622="","",[3]Entry!$M$622)</f>
        <v/>
      </c>
      <c r="AN619">
        <f>IF([3]Entry!$N$622="","",[3]Entry!$N$622)</f>
        <v/>
      </c>
      <c r="AO619">
        <f>IF([3]Entry!$R$622="","",[3]Entry!$R$622)</f>
        <v/>
      </c>
    </row>
    <row r="620">
      <c r="U620">
        <f>IF([2]Baskol!$B$623="","",[2]Baskol!$B$623)</f>
        <v/>
      </c>
      <c r="V620">
        <f>IF([2]Baskol!$C$623="","",[2]Baskol!$C$623)</f>
        <v/>
      </c>
      <c r="W620">
        <f>IF([2]Baskol!$D$623="","",[2]Baskol!$D$623)</f>
        <v/>
      </c>
      <c r="X620">
        <f>IF([2]Baskol!$E$623="","",[2]Baskol!$E$623)</f>
        <v/>
      </c>
      <c r="Y620">
        <f>IF([2]Baskol!$G$623="","",[2]Baskol!$G$623)</f>
        <v/>
      </c>
      <c r="Z620">
        <f>IF([2]Baskol!$I$623="","",[2]Baskol!$I$623)</f>
        <v/>
      </c>
      <c r="AA620">
        <f>IF([2]Baskol!$J$623="","",[2]Baskol!$J$623)</f>
        <v/>
      </c>
      <c r="AB620">
        <f>IF([2]Baskol!$K$623="","",[2]Baskol!$K$623)</f>
        <v/>
      </c>
      <c r="AC620">
        <f>IF([2]Baskol!$L$623="","",[2]Baskol!$L$623)</f>
        <v/>
      </c>
      <c r="AD620">
        <f>IF([2]Baskol!$N$623="","",[2]Baskol!$N$623)</f>
        <v/>
      </c>
      <c r="AE620">
        <f>IF([2]Baskol!$O$623="","",[2]Baskol!$O$623)</f>
        <v/>
      </c>
      <c r="AG620">
        <f>IF([3]Entry!$C$623="","",[3]Entry!$C$623)</f>
        <v/>
      </c>
      <c r="AH620">
        <f>IF([3]Entry!$D$623="","",[3]Entry!$D$623)</f>
        <v/>
      </c>
      <c r="AI620">
        <f>IF([3]Entry!$E$623="","",[3]Entry!$E$623)</f>
        <v/>
      </c>
      <c r="AJ620">
        <f>IF([3]Entry!$G$623="","",[3]Entry!$G$623)</f>
        <v/>
      </c>
      <c r="AK620">
        <f>IF([3]Entry!$K$623="","",[3]Entry!$K$623)</f>
        <v/>
      </c>
      <c r="AL620">
        <f>IF([3]Entry!$L$623="","",[3]Entry!$L$623)</f>
        <v/>
      </c>
      <c r="AM620">
        <f>IF([3]Entry!$M$623="","",[3]Entry!$M$623)</f>
        <v/>
      </c>
      <c r="AN620">
        <f>IF([3]Entry!$N$623="","",[3]Entry!$N$623)</f>
        <v/>
      </c>
      <c r="AO620">
        <f>IF([3]Entry!$R$623="","",[3]Entry!$R$623)</f>
        <v/>
      </c>
    </row>
    <row r="621">
      <c r="U621">
        <f>IF([2]Baskol!$B$624="","",[2]Baskol!$B$624)</f>
        <v/>
      </c>
      <c r="V621">
        <f>IF([2]Baskol!$C$624="","",[2]Baskol!$C$624)</f>
        <v/>
      </c>
      <c r="W621">
        <f>IF([2]Baskol!$D$624="","",[2]Baskol!$D$624)</f>
        <v/>
      </c>
      <c r="X621">
        <f>IF([2]Baskol!$E$624="","",[2]Baskol!$E$624)</f>
        <v/>
      </c>
      <c r="Y621">
        <f>IF([2]Baskol!$G$624="","",[2]Baskol!$G$624)</f>
        <v/>
      </c>
      <c r="Z621">
        <f>IF([2]Baskol!$I$624="","",[2]Baskol!$I$624)</f>
        <v/>
      </c>
      <c r="AA621">
        <f>IF([2]Baskol!$J$624="","",[2]Baskol!$J$624)</f>
        <v/>
      </c>
      <c r="AB621">
        <f>IF([2]Baskol!$K$624="","",[2]Baskol!$K$624)</f>
        <v/>
      </c>
      <c r="AC621">
        <f>IF([2]Baskol!$L$624="","",[2]Baskol!$L$624)</f>
        <v/>
      </c>
      <c r="AD621">
        <f>IF([2]Baskol!$N$624="","",[2]Baskol!$N$624)</f>
        <v/>
      </c>
      <c r="AE621">
        <f>IF([2]Baskol!$O$624="","",[2]Baskol!$O$624)</f>
        <v/>
      </c>
      <c r="AG621">
        <f>IF([3]Entry!$C$624="","",[3]Entry!$C$624)</f>
        <v/>
      </c>
      <c r="AH621">
        <f>IF([3]Entry!$D$624="","",[3]Entry!$D$624)</f>
        <v/>
      </c>
      <c r="AI621">
        <f>IF([3]Entry!$E$624="","",[3]Entry!$E$624)</f>
        <v/>
      </c>
      <c r="AJ621">
        <f>IF([3]Entry!$G$624="","",[3]Entry!$G$624)</f>
        <v/>
      </c>
      <c r="AK621">
        <f>IF([3]Entry!$K$624="","",[3]Entry!$K$624)</f>
        <v/>
      </c>
      <c r="AL621">
        <f>IF([3]Entry!$L$624="","",[3]Entry!$L$624)</f>
        <v/>
      </c>
      <c r="AM621">
        <f>IF([3]Entry!$M$624="","",[3]Entry!$M$624)</f>
        <v/>
      </c>
      <c r="AN621">
        <f>IF([3]Entry!$N$624="","",[3]Entry!$N$624)</f>
        <v/>
      </c>
      <c r="AO621">
        <f>IF([3]Entry!$R$624="","",[3]Entry!$R$624)</f>
        <v/>
      </c>
    </row>
    <row r="622">
      <c r="U622">
        <f>IF([2]Baskol!$B$625="","",[2]Baskol!$B$625)</f>
        <v/>
      </c>
      <c r="V622">
        <f>IF([2]Baskol!$C$625="","",[2]Baskol!$C$625)</f>
        <v/>
      </c>
      <c r="W622">
        <f>IF([2]Baskol!$D$625="","",[2]Baskol!$D$625)</f>
        <v/>
      </c>
      <c r="X622">
        <f>IF([2]Baskol!$E$625="","",[2]Baskol!$E$625)</f>
        <v/>
      </c>
      <c r="Y622">
        <f>IF([2]Baskol!$G$625="","",[2]Baskol!$G$625)</f>
        <v/>
      </c>
      <c r="Z622">
        <f>IF([2]Baskol!$I$625="","",[2]Baskol!$I$625)</f>
        <v/>
      </c>
      <c r="AA622">
        <f>IF([2]Baskol!$J$625="","",[2]Baskol!$J$625)</f>
        <v/>
      </c>
      <c r="AB622">
        <f>IF([2]Baskol!$K$625="","",[2]Baskol!$K$625)</f>
        <v/>
      </c>
      <c r="AC622">
        <f>IF([2]Baskol!$L$625="","",[2]Baskol!$L$625)</f>
        <v/>
      </c>
      <c r="AD622">
        <f>IF([2]Baskol!$N$625="","",[2]Baskol!$N$625)</f>
        <v/>
      </c>
      <c r="AE622">
        <f>IF([2]Baskol!$O$625="","",[2]Baskol!$O$625)</f>
        <v/>
      </c>
      <c r="AG622">
        <f>IF([3]Entry!$C$625="","",[3]Entry!$C$625)</f>
        <v/>
      </c>
      <c r="AH622">
        <f>IF([3]Entry!$D$625="","",[3]Entry!$D$625)</f>
        <v/>
      </c>
      <c r="AI622">
        <f>IF([3]Entry!$E$625="","",[3]Entry!$E$625)</f>
        <v/>
      </c>
      <c r="AJ622">
        <f>IF([3]Entry!$G$625="","",[3]Entry!$G$625)</f>
        <v/>
      </c>
      <c r="AK622">
        <f>IF([3]Entry!$K$625="","",[3]Entry!$K$625)</f>
        <v/>
      </c>
      <c r="AL622">
        <f>IF([3]Entry!$L$625="","",[3]Entry!$L$625)</f>
        <v/>
      </c>
      <c r="AM622">
        <f>IF([3]Entry!$M$625="","",[3]Entry!$M$625)</f>
        <v/>
      </c>
      <c r="AN622">
        <f>IF([3]Entry!$N$625="","",[3]Entry!$N$625)</f>
        <v/>
      </c>
      <c r="AO622">
        <f>IF([3]Entry!$R$625="","",[3]Entry!$R$625)</f>
        <v/>
      </c>
    </row>
    <row r="623">
      <c r="U623">
        <f>IF([2]Baskol!$B$626="","",[2]Baskol!$B$626)</f>
        <v/>
      </c>
      <c r="V623">
        <f>IF([2]Baskol!$C$626="","",[2]Baskol!$C$626)</f>
        <v/>
      </c>
      <c r="W623">
        <f>IF([2]Baskol!$D$626="","",[2]Baskol!$D$626)</f>
        <v/>
      </c>
      <c r="X623">
        <f>IF([2]Baskol!$E$626="","",[2]Baskol!$E$626)</f>
        <v/>
      </c>
      <c r="Y623">
        <f>IF([2]Baskol!$G$626="","",[2]Baskol!$G$626)</f>
        <v/>
      </c>
      <c r="Z623">
        <f>IF([2]Baskol!$I$626="","",[2]Baskol!$I$626)</f>
        <v/>
      </c>
      <c r="AA623">
        <f>IF([2]Baskol!$J$626="","",[2]Baskol!$J$626)</f>
        <v/>
      </c>
      <c r="AB623">
        <f>IF([2]Baskol!$K$626="","",[2]Baskol!$K$626)</f>
        <v/>
      </c>
      <c r="AC623">
        <f>IF([2]Baskol!$L$626="","",[2]Baskol!$L$626)</f>
        <v/>
      </c>
      <c r="AD623">
        <f>IF([2]Baskol!$N$626="","",[2]Baskol!$N$626)</f>
        <v/>
      </c>
      <c r="AE623">
        <f>IF([2]Baskol!$O$626="","",[2]Baskol!$O$626)</f>
        <v/>
      </c>
      <c r="AG623">
        <f>IF([3]Entry!$C$626="","",[3]Entry!$C$626)</f>
        <v/>
      </c>
      <c r="AH623">
        <f>IF([3]Entry!$D$626="","",[3]Entry!$D$626)</f>
        <v/>
      </c>
      <c r="AI623">
        <f>IF([3]Entry!$E$626="","",[3]Entry!$E$626)</f>
        <v/>
      </c>
      <c r="AJ623">
        <f>IF([3]Entry!$G$626="","",[3]Entry!$G$626)</f>
        <v/>
      </c>
      <c r="AK623">
        <f>IF([3]Entry!$K$626="","",[3]Entry!$K$626)</f>
        <v/>
      </c>
      <c r="AL623">
        <f>IF([3]Entry!$L$626="","",[3]Entry!$L$626)</f>
        <v/>
      </c>
      <c r="AM623">
        <f>IF([3]Entry!$M$626="","",[3]Entry!$M$626)</f>
        <v/>
      </c>
      <c r="AN623">
        <f>IF([3]Entry!$N$626="","",[3]Entry!$N$626)</f>
        <v/>
      </c>
      <c r="AO623">
        <f>IF([3]Entry!$R$626="","",[3]Entry!$R$626)</f>
        <v/>
      </c>
    </row>
    <row r="624">
      <c r="U624">
        <f>IF([2]Baskol!$B$627="","",[2]Baskol!$B$627)</f>
        <v/>
      </c>
      <c r="V624">
        <f>IF([2]Baskol!$C$627="","",[2]Baskol!$C$627)</f>
        <v/>
      </c>
      <c r="W624">
        <f>IF([2]Baskol!$D$627="","",[2]Baskol!$D$627)</f>
        <v/>
      </c>
      <c r="X624">
        <f>IF([2]Baskol!$E$627="","",[2]Baskol!$E$627)</f>
        <v/>
      </c>
      <c r="Y624">
        <f>IF([2]Baskol!$G$627="","",[2]Baskol!$G$627)</f>
        <v/>
      </c>
      <c r="Z624">
        <f>IF([2]Baskol!$I$627="","",[2]Baskol!$I$627)</f>
        <v/>
      </c>
      <c r="AA624">
        <f>IF([2]Baskol!$J$627="","",[2]Baskol!$J$627)</f>
        <v/>
      </c>
      <c r="AB624">
        <f>IF([2]Baskol!$K$627="","",[2]Baskol!$K$627)</f>
        <v/>
      </c>
      <c r="AC624">
        <f>IF([2]Baskol!$L$627="","",[2]Baskol!$L$627)</f>
        <v/>
      </c>
      <c r="AD624">
        <f>IF([2]Baskol!$N$627="","",[2]Baskol!$N$627)</f>
        <v/>
      </c>
      <c r="AE624">
        <f>IF([2]Baskol!$O$627="","",[2]Baskol!$O$627)</f>
        <v/>
      </c>
      <c r="AG624">
        <f>IF([3]Entry!$C$627="","",[3]Entry!$C$627)</f>
        <v/>
      </c>
      <c r="AH624">
        <f>IF([3]Entry!$D$627="","",[3]Entry!$D$627)</f>
        <v/>
      </c>
      <c r="AI624">
        <f>IF([3]Entry!$E$627="","",[3]Entry!$E$627)</f>
        <v/>
      </c>
      <c r="AJ624">
        <f>IF([3]Entry!$G$627="","",[3]Entry!$G$627)</f>
        <v/>
      </c>
      <c r="AK624">
        <f>IF([3]Entry!$K$627="","",[3]Entry!$K$627)</f>
        <v/>
      </c>
      <c r="AL624">
        <f>IF([3]Entry!$L$627="","",[3]Entry!$L$627)</f>
        <v/>
      </c>
      <c r="AM624">
        <f>IF([3]Entry!$M$627="","",[3]Entry!$M$627)</f>
        <v/>
      </c>
      <c r="AN624">
        <f>IF([3]Entry!$N$627="","",[3]Entry!$N$627)</f>
        <v/>
      </c>
      <c r="AO624">
        <f>IF([3]Entry!$R$627="","",[3]Entry!$R$627)</f>
        <v/>
      </c>
    </row>
    <row r="625">
      <c r="U625">
        <f>IF([2]Baskol!$B$628="","",[2]Baskol!$B$628)</f>
        <v/>
      </c>
      <c r="V625">
        <f>IF([2]Baskol!$C$628="","",[2]Baskol!$C$628)</f>
        <v/>
      </c>
      <c r="W625">
        <f>IF([2]Baskol!$D$628="","",[2]Baskol!$D$628)</f>
        <v/>
      </c>
      <c r="X625">
        <f>IF([2]Baskol!$E$628="","",[2]Baskol!$E$628)</f>
        <v/>
      </c>
      <c r="Y625">
        <f>IF([2]Baskol!$G$628="","",[2]Baskol!$G$628)</f>
        <v/>
      </c>
      <c r="Z625">
        <f>IF([2]Baskol!$I$628="","",[2]Baskol!$I$628)</f>
        <v/>
      </c>
      <c r="AA625">
        <f>IF([2]Baskol!$J$628="","",[2]Baskol!$J$628)</f>
        <v/>
      </c>
      <c r="AB625">
        <f>IF([2]Baskol!$K$628="","",[2]Baskol!$K$628)</f>
        <v/>
      </c>
      <c r="AC625">
        <f>IF([2]Baskol!$L$628="","",[2]Baskol!$L$628)</f>
        <v/>
      </c>
      <c r="AD625">
        <f>IF([2]Baskol!$N$628="","",[2]Baskol!$N$628)</f>
        <v/>
      </c>
      <c r="AE625">
        <f>IF([2]Baskol!$O$628="","",[2]Baskol!$O$628)</f>
        <v/>
      </c>
      <c r="AG625">
        <f>IF([3]Entry!$C$628="","",[3]Entry!$C$628)</f>
        <v/>
      </c>
      <c r="AH625">
        <f>IF([3]Entry!$D$628="","",[3]Entry!$D$628)</f>
        <v/>
      </c>
      <c r="AI625">
        <f>IF([3]Entry!$E$628="","",[3]Entry!$E$628)</f>
        <v/>
      </c>
      <c r="AJ625">
        <f>IF([3]Entry!$G$628="","",[3]Entry!$G$628)</f>
        <v/>
      </c>
      <c r="AK625">
        <f>IF([3]Entry!$K$628="","",[3]Entry!$K$628)</f>
        <v/>
      </c>
      <c r="AL625">
        <f>IF([3]Entry!$L$628="","",[3]Entry!$L$628)</f>
        <v/>
      </c>
      <c r="AM625">
        <f>IF([3]Entry!$M$628="","",[3]Entry!$M$628)</f>
        <v/>
      </c>
      <c r="AN625">
        <f>IF([3]Entry!$N$628="","",[3]Entry!$N$628)</f>
        <v/>
      </c>
      <c r="AO625">
        <f>IF([3]Entry!$R$628="","",[3]Entry!$R$628)</f>
        <v/>
      </c>
    </row>
    <row r="626">
      <c r="U626">
        <f>IF([2]Baskol!$B$629="","",[2]Baskol!$B$629)</f>
        <v/>
      </c>
      <c r="V626">
        <f>IF([2]Baskol!$C$629="","",[2]Baskol!$C$629)</f>
        <v/>
      </c>
      <c r="W626">
        <f>IF([2]Baskol!$D$629="","",[2]Baskol!$D$629)</f>
        <v/>
      </c>
      <c r="X626">
        <f>IF([2]Baskol!$E$629="","",[2]Baskol!$E$629)</f>
        <v/>
      </c>
      <c r="Y626">
        <f>IF([2]Baskol!$G$629="","",[2]Baskol!$G$629)</f>
        <v/>
      </c>
      <c r="Z626">
        <f>IF([2]Baskol!$I$629="","",[2]Baskol!$I$629)</f>
        <v/>
      </c>
      <c r="AA626">
        <f>IF([2]Baskol!$J$629="","",[2]Baskol!$J$629)</f>
        <v/>
      </c>
      <c r="AB626">
        <f>IF([2]Baskol!$K$629="","",[2]Baskol!$K$629)</f>
        <v/>
      </c>
      <c r="AC626">
        <f>IF([2]Baskol!$L$629="","",[2]Baskol!$L$629)</f>
        <v/>
      </c>
      <c r="AD626">
        <f>IF([2]Baskol!$N$629="","",[2]Baskol!$N$629)</f>
        <v/>
      </c>
      <c r="AE626">
        <f>IF([2]Baskol!$O$629="","",[2]Baskol!$O$629)</f>
        <v/>
      </c>
      <c r="AG626">
        <f>IF([3]Entry!$C$629="","",[3]Entry!$C$629)</f>
        <v/>
      </c>
      <c r="AH626">
        <f>IF([3]Entry!$D$629="","",[3]Entry!$D$629)</f>
        <v/>
      </c>
      <c r="AI626">
        <f>IF([3]Entry!$E$629="","",[3]Entry!$E$629)</f>
        <v/>
      </c>
      <c r="AJ626">
        <f>IF([3]Entry!$G$629="","",[3]Entry!$G$629)</f>
        <v/>
      </c>
      <c r="AK626">
        <f>IF([3]Entry!$K$629="","",[3]Entry!$K$629)</f>
        <v/>
      </c>
      <c r="AL626">
        <f>IF([3]Entry!$L$629="","",[3]Entry!$L$629)</f>
        <v/>
      </c>
      <c r="AM626">
        <f>IF([3]Entry!$M$629="","",[3]Entry!$M$629)</f>
        <v/>
      </c>
      <c r="AN626">
        <f>IF([3]Entry!$N$629="","",[3]Entry!$N$629)</f>
        <v/>
      </c>
      <c r="AO626">
        <f>IF([3]Entry!$R$629="","",[3]Entry!$R$629)</f>
        <v/>
      </c>
    </row>
    <row r="627">
      <c r="U627">
        <f>IF([2]Baskol!$B$630="","",[2]Baskol!$B$630)</f>
        <v/>
      </c>
      <c r="V627">
        <f>IF([2]Baskol!$C$630="","",[2]Baskol!$C$630)</f>
        <v/>
      </c>
      <c r="W627">
        <f>IF([2]Baskol!$D$630="","",[2]Baskol!$D$630)</f>
        <v/>
      </c>
      <c r="X627">
        <f>IF([2]Baskol!$E$630="","",[2]Baskol!$E$630)</f>
        <v/>
      </c>
      <c r="Y627">
        <f>IF([2]Baskol!$G$630="","",[2]Baskol!$G$630)</f>
        <v/>
      </c>
      <c r="Z627">
        <f>IF([2]Baskol!$I$630="","",[2]Baskol!$I$630)</f>
        <v/>
      </c>
      <c r="AA627">
        <f>IF([2]Baskol!$J$630="","",[2]Baskol!$J$630)</f>
        <v/>
      </c>
      <c r="AB627">
        <f>IF([2]Baskol!$K$630="","",[2]Baskol!$K$630)</f>
        <v/>
      </c>
      <c r="AC627">
        <f>IF([2]Baskol!$L$630="","",[2]Baskol!$L$630)</f>
        <v/>
      </c>
      <c r="AD627">
        <f>IF([2]Baskol!$N$630="","",[2]Baskol!$N$630)</f>
        <v/>
      </c>
      <c r="AE627">
        <f>IF([2]Baskol!$O$630="","",[2]Baskol!$O$630)</f>
        <v/>
      </c>
      <c r="AG627">
        <f>IF([3]Entry!$C$630="","",[3]Entry!$C$630)</f>
        <v/>
      </c>
      <c r="AH627">
        <f>IF([3]Entry!$D$630="","",[3]Entry!$D$630)</f>
        <v/>
      </c>
      <c r="AI627">
        <f>IF([3]Entry!$E$630="","",[3]Entry!$E$630)</f>
        <v/>
      </c>
      <c r="AJ627">
        <f>IF([3]Entry!$G$630="","",[3]Entry!$G$630)</f>
        <v/>
      </c>
      <c r="AK627">
        <f>IF([3]Entry!$K$630="","",[3]Entry!$K$630)</f>
        <v/>
      </c>
      <c r="AL627">
        <f>IF([3]Entry!$L$630="","",[3]Entry!$L$630)</f>
        <v/>
      </c>
      <c r="AM627">
        <f>IF([3]Entry!$M$630="","",[3]Entry!$M$630)</f>
        <v/>
      </c>
      <c r="AN627">
        <f>IF([3]Entry!$N$630="","",[3]Entry!$N$630)</f>
        <v/>
      </c>
      <c r="AO627">
        <f>IF([3]Entry!$R$630="","",[3]Entry!$R$630)</f>
        <v/>
      </c>
    </row>
    <row r="628">
      <c r="U628">
        <f>IF([2]Baskol!$B$631="","",[2]Baskol!$B$631)</f>
        <v/>
      </c>
      <c r="V628">
        <f>IF([2]Baskol!$C$631="","",[2]Baskol!$C$631)</f>
        <v/>
      </c>
      <c r="W628">
        <f>IF([2]Baskol!$D$631="","",[2]Baskol!$D$631)</f>
        <v/>
      </c>
      <c r="X628">
        <f>IF([2]Baskol!$E$631="","",[2]Baskol!$E$631)</f>
        <v/>
      </c>
      <c r="Y628">
        <f>IF([2]Baskol!$G$631="","",[2]Baskol!$G$631)</f>
        <v/>
      </c>
      <c r="Z628">
        <f>IF([2]Baskol!$I$631="","",[2]Baskol!$I$631)</f>
        <v/>
      </c>
      <c r="AA628">
        <f>IF([2]Baskol!$J$631="","",[2]Baskol!$J$631)</f>
        <v/>
      </c>
      <c r="AB628">
        <f>IF([2]Baskol!$K$631="","",[2]Baskol!$K$631)</f>
        <v/>
      </c>
      <c r="AC628">
        <f>IF([2]Baskol!$L$631="","",[2]Baskol!$L$631)</f>
        <v/>
      </c>
      <c r="AD628">
        <f>IF([2]Baskol!$N$631="","",[2]Baskol!$N$631)</f>
        <v/>
      </c>
      <c r="AE628">
        <f>IF([2]Baskol!$O$631="","",[2]Baskol!$O$631)</f>
        <v/>
      </c>
      <c r="AG628">
        <f>IF([3]Entry!$C$631="","",[3]Entry!$C$631)</f>
        <v/>
      </c>
      <c r="AH628">
        <f>IF([3]Entry!$D$631="","",[3]Entry!$D$631)</f>
        <v/>
      </c>
      <c r="AI628">
        <f>IF([3]Entry!$E$631="","",[3]Entry!$E$631)</f>
        <v/>
      </c>
      <c r="AJ628">
        <f>IF([3]Entry!$G$631="","",[3]Entry!$G$631)</f>
        <v/>
      </c>
      <c r="AK628">
        <f>IF([3]Entry!$K$631="","",[3]Entry!$K$631)</f>
        <v/>
      </c>
      <c r="AL628">
        <f>IF([3]Entry!$L$631="","",[3]Entry!$L$631)</f>
        <v/>
      </c>
      <c r="AM628">
        <f>IF([3]Entry!$M$631="","",[3]Entry!$M$631)</f>
        <v/>
      </c>
      <c r="AN628">
        <f>IF([3]Entry!$N$631="","",[3]Entry!$N$631)</f>
        <v/>
      </c>
      <c r="AO628">
        <f>IF([3]Entry!$R$631="","",[3]Entry!$R$631)</f>
        <v/>
      </c>
    </row>
    <row r="629">
      <c r="U629">
        <f>IF([2]Baskol!$B$632="","",[2]Baskol!$B$632)</f>
        <v/>
      </c>
      <c r="V629">
        <f>IF([2]Baskol!$C$632="","",[2]Baskol!$C$632)</f>
        <v/>
      </c>
      <c r="W629">
        <f>IF([2]Baskol!$D$632="","",[2]Baskol!$D$632)</f>
        <v/>
      </c>
      <c r="X629">
        <f>IF([2]Baskol!$E$632="","",[2]Baskol!$E$632)</f>
        <v/>
      </c>
      <c r="Y629">
        <f>IF([2]Baskol!$G$632="","",[2]Baskol!$G$632)</f>
        <v/>
      </c>
      <c r="Z629">
        <f>IF([2]Baskol!$I$632="","",[2]Baskol!$I$632)</f>
        <v/>
      </c>
      <c r="AA629">
        <f>IF([2]Baskol!$J$632="","",[2]Baskol!$J$632)</f>
        <v/>
      </c>
      <c r="AB629">
        <f>IF([2]Baskol!$K$632="","",[2]Baskol!$K$632)</f>
        <v/>
      </c>
      <c r="AC629">
        <f>IF([2]Baskol!$L$632="","",[2]Baskol!$L$632)</f>
        <v/>
      </c>
      <c r="AD629">
        <f>IF([2]Baskol!$N$632="","",[2]Baskol!$N$632)</f>
        <v/>
      </c>
      <c r="AE629">
        <f>IF([2]Baskol!$O$632="","",[2]Baskol!$O$632)</f>
        <v/>
      </c>
      <c r="AG629">
        <f>IF([3]Entry!$C$632="","",[3]Entry!$C$632)</f>
        <v/>
      </c>
      <c r="AH629">
        <f>IF([3]Entry!$D$632="","",[3]Entry!$D$632)</f>
        <v/>
      </c>
      <c r="AI629">
        <f>IF([3]Entry!$E$632="","",[3]Entry!$E$632)</f>
        <v/>
      </c>
      <c r="AJ629">
        <f>IF([3]Entry!$G$632="","",[3]Entry!$G$632)</f>
        <v/>
      </c>
      <c r="AK629">
        <f>IF([3]Entry!$K$632="","",[3]Entry!$K$632)</f>
        <v/>
      </c>
      <c r="AL629">
        <f>IF([3]Entry!$L$632="","",[3]Entry!$L$632)</f>
        <v/>
      </c>
      <c r="AM629">
        <f>IF([3]Entry!$M$632="","",[3]Entry!$M$632)</f>
        <v/>
      </c>
      <c r="AN629">
        <f>IF([3]Entry!$N$632="","",[3]Entry!$N$632)</f>
        <v/>
      </c>
      <c r="AO629">
        <f>IF([3]Entry!$R$632="","",[3]Entry!$R$632)</f>
        <v/>
      </c>
    </row>
    <row r="630">
      <c r="U630">
        <f>IF([2]Baskol!$B$633="","",[2]Baskol!$B$633)</f>
        <v/>
      </c>
      <c r="V630">
        <f>IF([2]Baskol!$C$633="","",[2]Baskol!$C$633)</f>
        <v/>
      </c>
      <c r="W630">
        <f>IF([2]Baskol!$D$633="","",[2]Baskol!$D$633)</f>
        <v/>
      </c>
      <c r="X630">
        <f>IF([2]Baskol!$E$633="","",[2]Baskol!$E$633)</f>
        <v/>
      </c>
      <c r="Y630">
        <f>IF([2]Baskol!$G$633="","",[2]Baskol!$G$633)</f>
        <v/>
      </c>
      <c r="Z630">
        <f>IF([2]Baskol!$I$633="","",[2]Baskol!$I$633)</f>
        <v/>
      </c>
      <c r="AA630">
        <f>IF([2]Baskol!$J$633="","",[2]Baskol!$J$633)</f>
        <v/>
      </c>
      <c r="AB630">
        <f>IF([2]Baskol!$K$633="","",[2]Baskol!$K$633)</f>
        <v/>
      </c>
      <c r="AC630">
        <f>IF([2]Baskol!$L$633="","",[2]Baskol!$L$633)</f>
        <v/>
      </c>
      <c r="AD630">
        <f>IF([2]Baskol!$N$633="","",[2]Baskol!$N$633)</f>
        <v/>
      </c>
      <c r="AE630">
        <f>IF([2]Baskol!$O$633="","",[2]Baskol!$O$633)</f>
        <v/>
      </c>
      <c r="AG630">
        <f>IF([3]Entry!$C$633="","",[3]Entry!$C$633)</f>
        <v/>
      </c>
      <c r="AH630">
        <f>IF([3]Entry!$D$633="","",[3]Entry!$D$633)</f>
        <v/>
      </c>
      <c r="AI630">
        <f>IF([3]Entry!$E$633="","",[3]Entry!$E$633)</f>
        <v/>
      </c>
      <c r="AJ630">
        <f>IF([3]Entry!$G$633="","",[3]Entry!$G$633)</f>
        <v/>
      </c>
      <c r="AK630">
        <f>IF([3]Entry!$K$633="","",[3]Entry!$K$633)</f>
        <v/>
      </c>
      <c r="AL630">
        <f>IF([3]Entry!$L$633="","",[3]Entry!$L$633)</f>
        <v/>
      </c>
      <c r="AM630">
        <f>IF([3]Entry!$M$633="","",[3]Entry!$M$633)</f>
        <v/>
      </c>
      <c r="AN630">
        <f>IF([3]Entry!$N$633="","",[3]Entry!$N$633)</f>
        <v/>
      </c>
      <c r="AO630">
        <f>IF([3]Entry!$R$633="","",[3]Entry!$R$633)</f>
        <v/>
      </c>
    </row>
    <row r="631">
      <c r="U631">
        <f>IF([2]Baskol!$B$634="","",[2]Baskol!$B$634)</f>
        <v/>
      </c>
      <c r="V631">
        <f>IF([2]Baskol!$C$634="","",[2]Baskol!$C$634)</f>
        <v/>
      </c>
      <c r="W631">
        <f>IF([2]Baskol!$D$634="","",[2]Baskol!$D$634)</f>
        <v/>
      </c>
      <c r="X631">
        <f>IF([2]Baskol!$E$634="","",[2]Baskol!$E$634)</f>
        <v/>
      </c>
      <c r="Y631">
        <f>IF([2]Baskol!$G$634="","",[2]Baskol!$G$634)</f>
        <v/>
      </c>
      <c r="Z631">
        <f>IF([2]Baskol!$I$634="","",[2]Baskol!$I$634)</f>
        <v/>
      </c>
      <c r="AA631">
        <f>IF([2]Baskol!$J$634="","",[2]Baskol!$J$634)</f>
        <v/>
      </c>
      <c r="AB631">
        <f>IF([2]Baskol!$K$634="","",[2]Baskol!$K$634)</f>
        <v/>
      </c>
      <c r="AC631">
        <f>IF([2]Baskol!$L$634="","",[2]Baskol!$L$634)</f>
        <v/>
      </c>
      <c r="AD631">
        <f>IF([2]Baskol!$N$634="","",[2]Baskol!$N$634)</f>
        <v/>
      </c>
      <c r="AE631">
        <f>IF([2]Baskol!$O$634="","",[2]Baskol!$O$634)</f>
        <v/>
      </c>
      <c r="AG631">
        <f>IF([3]Entry!$C$634="","",[3]Entry!$C$634)</f>
        <v/>
      </c>
      <c r="AH631">
        <f>IF([3]Entry!$D$634="","",[3]Entry!$D$634)</f>
        <v/>
      </c>
      <c r="AI631">
        <f>IF([3]Entry!$E$634="","",[3]Entry!$E$634)</f>
        <v/>
      </c>
      <c r="AJ631">
        <f>IF([3]Entry!$G$634="","",[3]Entry!$G$634)</f>
        <v/>
      </c>
      <c r="AK631">
        <f>IF([3]Entry!$K$634="","",[3]Entry!$K$634)</f>
        <v/>
      </c>
      <c r="AL631">
        <f>IF([3]Entry!$L$634="","",[3]Entry!$L$634)</f>
        <v/>
      </c>
      <c r="AM631">
        <f>IF([3]Entry!$M$634="","",[3]Entry!$M$634)</f>
        <v/>
      </c>
      <c r="AN631">
        <f>IF([3]Entry!$N$634="","",[3]Entry!$N$634)</f>
        <v/>
      </c>
      <c r="AO631">
        <f>IF([3]Entry!$R$634="","",[3]Entry!$R$634)</f>
        <v/>
      </c>
    </row>
    <row r="632">
      <c r="U632">
        <f>IF([2]Baskol!$B$635="","",[2]Baskol!$B$635)</f>
        <v/>
      </c>
      <c r="V632">
        <f>IF([2]Baskol!$C$635="","",[2]Baskol!$C$635)</f>
        <v/>
      </c>
      <c r="W632">
        <f>IF([2]Baskol!$D$635="","",[2]Baskol!$D$635)</f>
        <v/>
      </c>
      <c r="X632">
        <f>IF([2]Baskol!$E$635="","",[2]Baskol!$E$635)</f>
        <v/>
      </c>
      <c r="Y632">
        <f>IF([2]Baskol!$G$635="","",[2]Baskol!$G$635)</f>
        <v/>
      </c>
      <c r="Z632">
        <f>IF([2]Baskol!$I$635="","",[2]Baskol!$I$635)</f>
        <v/>
      </c>
      <c r="AA632">
        <f>IF([2]Baskol!$J$635="","",[2]Baskol!$J$635)</f>
        <v/>
      </c>
      <c r="AB632">
        <f>IF([2]Baskol!$K$635="","",[2]Baskol!$K$635)</f>
        <v/>
      </c>
      <c r="AC632">
        <f>IF([2]Baskol!$L$635="","",[2]Baskol!$L$635)</f>
        <v/>
      </c>
      <c r="AD632">
        <f>IF([2]Baskol!$N$635="","",[2]Baskol!$N$635)</f>
        <v/>
      </c>
      <c r="AE632">
        <f>IF([2]Baskol!$O$635="","",[2]Baskol!$O$635)</f>
        <v/>
      </c>
      <c r="AG632">
        <f>IF([3]Entry!$C$635="","",[3]Entry!$C$635)</f>
        <v/>
      </c>
      <c r="AH632">
        <f>IF([3]Entry!$D$635="","",[3]Entry!$D$635)</f>
        <v/>
      </c>
      <c r="AI632">
        <f>IF([3]Entry!$E$635="","",[3]Entry!$E$635)</f>
        <v/>
      </c>
      <c r="AJ632">
        <f>IF([3]Entry!$G$635="","",[3]Entry!$G$635)</f>
        <v/>
      </c>
      <c r="AK632">
        <f>IF([3]Entry!$K$635="","",[3]Entry!$K$635)</f>
        <v/>
      </c>
      <c r="AL632">
        <f>IF([3]Entry!$L$635="","",[3]Entry!$L$635)</f>
        <v/>
      </c>
      <c r="AM632">
        <f>IF([3]Entry!$M$635="","",[3]Entry!$M$635)</f>
        <v/>
      </c>
      <c r="AN632">
        <f>IF([3]Entry!$N$635="","",[3]Entry!$N$635)</f>
        <v/>
      </c>
      <c r="AO632">
        <f>IF([3]Entry!$R$635="","",[3]Entry!$R$635)</f>
        <v/>
      </c>
    </row>
    <row r="633">
      <c r="U633">
        <f>IF([2]Baskol!$B$636="","",[2]Baskol!$B$636)</f>
        <v/>
      </c>
      <c r="V633">
        <f>IF([2]Baskol!$C$636="","",[2]Baskol!$C$636)</f>
        <v/>
      </c>
      <c r="W633">
        <f>IF([2]Baskol!$D$636="","",[2]Baskol!$D$636)</f>
        <v/>
      </c>
      <c r="X633">
        <f>IF([2]Baskol!$E$636="","",[2]Baskol!$E$636)</f>
        <v/>
      </c>
      <c r="Y633">
        <f>IF([2]Baskol!$G$636="","",[2]Baskol!$G$636)</f>
        <v/>
      </c>
      <c r="Z633">
        <f>IF([2]Baskol!$I$636="","",[2]Baskol!$I$636)</f>
        <v/>
      </c>
      <c r="AA633">
        <f>IF([2]Baskol!$J$636="","",[2]Baskol!$J$636)</f>
        <v/>
      </c>
      <c r="AB633">
        <f>IF([2]Baskol!$K$636="","",[2]Baskol!$K$636)</f>
        <v/>
      </c>
      <c r="AC633">
        <f>IF([2]Baskol!$L$636="","",[2]Baskol!$L$636)</f>
        <v/>
      </c>
      <c r="AD633">
        <f>IF([2]Baskol!$N$636="","",[2]Baskol!$N$636)</f>
        <v/>
      </c>
      <c r="AE633">
        <f>IF([2]Baskol!$O$636="","",[2]Baskol!$O$636)</f>
        <v/>
      </c>
      <c r="AG633">
        <f>IF([3]Entry!$C$636="","",[3]Entry!$C$636)</f>
        <v/>
      </c>
      <c r="AH633">
        <f>IF([3]Entry!$D$636="","",[3]Entry!$D$636)</f>
        <v/>
      </c>
      <c r="AI633">
        <f>IF([3]Entry!$E$636="","",[3]Entry!$E$636)</f>
        <v/>
      </c>
      <c r="AJ633">
        <f>IF([3]Entry!$G$636="","",[3]Entry!$G$636)</f>
        <v/>
      </c>
      <c r="AK633">
        <f>IF([3]Entry!$K$636="","",[3]Entry!$K$636)</f>
        <v/>
      </c>
      <c r="AL633">
        <f>IF([3]Entry!$L$636="","",[3]Entry!$L$636)</f>
        <v/>
      </c>
      <c r="AM633">
        <f>IF([3]Entry!$M$636="","",[3]Entry!$M$636)</f>
        <v/>
      </c>
      <c r="AN633">
        <f>IF([3]Entry!$N$636="","",[3]Entry!$N$636)</f>
        <v/>
      </c>
      <c r="AO633">
        <f>IF([3]Entry!$R$636="","",[3]Entry!$R$636)</f>
        <v/>
      </c>
    </row>
    <row r="634">
      <c r="U634">
        <f>IF([2]Baskol!$B$637="","",[2]Baskol!$B$637)</f>
        <v/>
      </c>
      <c r="V634">
        <f>IF([2]Baskol!$C$637="","",[2]Baskol!$C$637)</f>
        <v/>
      </c>
      <c r="W634">
        <f>IF([2]Baskol!$D$637="","",[2]Baskol!$D$637)</f>
        <v/>
      </c>
      <c r="X634">
        <f>IF([2]Baskol!$E$637="","",[2]Baskol!$E$637)</f>
        <v/>
      </c>
      <c r="Y634">
        <f>IF([2]Baskol!$G$637="","",[2]Baskol!$G$637)</f>
        <v/>
      </c>
      <c r="Z634">
        <f>IF([2]Baskol!$I$637="","",[2]Baskol!$I$637)</f>
        <v/>
      </c>
      <c r="AA634">
        <f>IF([2]Baskol!$J$637="","",[2]Baskol!$J$637)</f>
        <v/>
      </c>
      <c r="AB634">
        <f>IF([2]Baskol!$K$637="","",[2]Baskol!$K$637)</f>
        <v/>
      </c>
      <c r="AC634">
        <f>IF([2]Baskol!$L$637="","",[2]Baskol!$L$637)</f>
        <v/>
      </c>
      <c r="AD634">
        <f>IF([2]Baskol!$N$637="","",[2]Baskol!$N$637)</f>
        <v/>
      </c>
      <c r="AE634">
        <f>IF([2]Baskol!$O$637="","",[2]Baskol!$O$637)</f>
        <v/>
      </c>
      <c r="AG634">
        <f>IF([3]Entry!$C$637="","",[3]Entry!$C$637)</f>
        <v/>
      </c>
      <c r="AH634">
        <f>IF([3]Entry!$D$637="","",[3]Entry!$D$637)</f>
        <v/>
      </c>
      <c r="AI634">
        <f>IF([3]Entry!$E$637="","",[3]Entry!$E$637)</f>
        <v/>
      </c>
      <c r="AJ634">
        <f>IF([3]Entry!$G$637="","",[3]Entry!$G$637)</f>
        <v/>
      </c>
      <c r="AK634">
        <f>IF([3]Entry!$K$637="","",[3]Entry!$K$637)</f>
        <v/>
      </c>
      <c r="AL634">
        <f>IF([3]Entry!$L$637="","",[3]Entry!$L$637)</f>
        <v/>
      </c>
      <c r="AM634">
        <f>IF([3]Entry!$M$637="","",[3]Entry!$M$637)</f>
        <v/>
      </c>
      <c r="AN634">
        <f>IF([3]Entry!$N$637="","",[3]Entry!$N$637)</f>
        <v/>
      </c>
      <c r="AO634">
        <f>IF([3]Entry!$R$637="","",[3]Entry!$R$637)</f>
        <v/>
      </c>
    </row>
    <row r="635">
      <c r="U635">
        <f>IF([2]Baskol!$B$638="","",[2]Baskol!$B$638)</f>
        <v/>
      </c>
      <c r="V635">
        <f>IF([2]Baskol!$C$638="","",[2]Baskol!$C$638)</f>
        <v/>
      </c>
      <c r="W635">
        <f>IF([2]Baskol!$D$638="","",[2]Baskol!$D$638)</f>
        <v/>
      </c>
      <c r="X635">
        <f>IF([2]Baskol!$E$638="","",[2]Baskol!$E$638)</f>
        <v/>
      </c>
      <c r="Y635">
        <f>IF([2]Baskol!$G$638="","",[2]Baskol!$G$638)</f>
        <v/>
      </c>
      <c r="Z635">
        <f>IF([2]Baskol!$I$638="","",[2]Baskol!$I$638)</f>
        <v/>
      </c>
      <c r="AA635">
        <f>IF([2]Baskol!$J$638="","",[2]Baskol!$J$638)</f>
        <v/>
      </c>
      <c r="AB635">
        <f>IF([2]Baskol!$K$638="","",[2]Baskol!$K$638)</f>
        <v/>
      </c>
      <c r="AC635">
        <f>IF([2]Baskol!$L$638="","",[2]Baskol!$L$638)</f>
        <v/>
      </c>
      <c r="AD635">
        <f>IF([2]Baskol!$N$638="","",[2]Baskol!$N$638)</f>
        <v/>
      </c>
      <c r="AE635">
        <f>IF([2]Baskol!$O$638="","",[2]Baskol!$O$638)</f>
        <v/>
      </c>
      <c r="AG635">
        <f>IF([3]Entry!$C$638="","",[3]Entry!$C$638)</f>
        <v/>
      </c>
      <c r="AH635">
        <f>IF([3]Entry!$D$638="","",[3]Entry!$D$638)</f>
        <v/>
      </c>
      <c r="AI635">
        <f>IF([3]Entry!$E$638="","",[3]Entry!$E$638)</f>
        <v/>
      </c>
      <c r="AJ635">
        <f>IF([3]Entry!$G$638="","",[3]Entry!$G$638)</f>
        <v/>
      </c>
      <c r="AK635">
        <f>IF([3]Entry!$K$638="","",[3]Entry!$K$638)</f>
        <v/>
      </c>
      <c r="AL635">
        <f>IF([3]Entry!$L$638="","",[3]Entry!$L$638)</f>
        <v/>
      </c>
      <c r="AM635">
        <f>IF([3]Entry!$M$638="","",[3]Entry!$M$638)</f>
        <v/>
      </c>
      <c r="AN635">
        <f>IF([3]Entry!$N$638="","",[3]Entry!$N$638)</f>
        <v/>
      </c>
      <c r="AO635">
        <f>IF([3]Entry!$R$638="","",[3]Entry!$R$638)</f>
        <v/>
      </c>
    </row>
    <row r="636">
      <c r="U636">
        <f>IF([2]Baskol!$B$639="","",[2]Baskol!$B$639)</f>
        <v/>
      </c>
      <c r="V636">
        <f>IF([2]Baskol!$C$639="","",[2]Baskol!$C$639)</f>
        <v/>
      </c>
      <c r="W636">
        <f>IF([2]Baskol!$D$639="","",[2]Baskol!$D$639)</f>
        <v/>
      </c>
      <c r="X636">
        <f>IF([2]Baskol!$E$639="","",[2]Baskol!$E$639)</f>
        <v/>
      </c>
      <c r="Y636">
        <f>IF([2]Baskol!$G$639="","",[2]Baskol!$G$639)</f>
        <v/>
      </c>
      <c r="Z636">
        <f>IF([2]Baskol!$I$639="","",[2]Baskol!$I$639)</f>
        <v/>
      </c>
      <c r="AA636">
        <f>IF([2]Baskol!$J$639="","",[2]Baskol!$J$639)</f>
        <v/>
      </c>
      <c r="AB636">
        <f>IF([2]Baskol!$K$639="","",[2]Baskol!$K$639)</f>
        <v/>
      </c>
      <c r="AC636">
        <f>IF([2]Baskol!$L$639="","",[2]Baskol!$L$639)</f>
        <v/>
      </c>
      <c r="AD636">
        <f>IF([2]Baskol!$N$639="","",[2]Baskol!$N$639)</f>
        <v/>
      </c>
      <c r="AE636">
        <f>IF([2]Baskol!$O$639="","",[2]Baskol!$O$639)</f>
        <v/>
      </c>
      <c r="AG636">
        <f>IF([3]Entry!$C$639="","",[3]Entry!$C$639)</f>
        <v/>
      </c>
      <c r="AH636">
        <f>IF([3]Entry!$D$639="","",[3]Entry!$D$639)</f>
        <v/>
      </c>
      <c r="AI636">
        <f>IF([3]Entry!$E$639="","",[3]Entry!$E$639)</f>
        <v/>
      </c>
      <c r="AJ636">
        <f>IF([3]Entry!$G$639="","",[3]Entry!$G$639)</f>
        <v/>
      </c>
      <c r="AK636">
        <f>IF([3]Entry!$K$639="","",[3]Entry!$K$639)</f>
        <v/>
      </c>
      <c r="AL636">
        <f>IF([3]Entry!$L$639="","",[3]Entry!$L$639)</f>
        <v/>
      </c>
      <c r="AM636">
        <f>IF([3]Entry!$M$639="","",[3]Entry!$M$639)</f>
        <v/>
      </c>
      <c r="AN636">
        <f>IF([3]Entry!$N$639="","",[3]Entry!$N$639)</f>
        <v/>
      </c>
      <c r="AO636">
        <f>IF([3]Entry!$R$639="","",[3]Entry!$R$639)</f>
        <v/>
      </c>
    </row>
    <row r="637">
      <c r="U637">
        <f>IF([2]Baskol!$B$640="","",[2]Baskol!$B$640)</f>
        <v/>
      </c>
      <c r="V637">
        <f>IF([2]Baskol!$C$640="","",[2]Baskol!$C$640)</f>
        <v/>
      </c>
      <c r="W637">
        <f>IF([2]Baskol!$D$640="","",[2]Baskol!$D$640)</f>
        <v/>
      </c>
      <c r="X637">
        <f>IF([2]Baskol!$E$640="","",[2]Baskol!$E$640)</f>
        <v/>
      </c>
      <c r="Y637">
        <f>IF([2]Baskol!$G$640="","",[2]Baskol!$G$640)</f>
        <v/>
      </c>
      <c r="Z637">
        <f>IF([2]Baskol!$I$640="","",[2]Baskol!$I$640)</f>
        <v/>
      </c>
      <c r="AA637">
        <f>IF([2]Baskol!$J$640="","",[2]Baskol!$J$640)</f>
        <v/>
      </c>
      <c r="AB637">
        <f>IF([2]Baskol!$K$640="","",[2]Baskol!$K$640)</f>
        <v/>
      </c>
      <c r="AC637">
        <f>IF([2]Baskol!$L$640="","",[2]Baskol!$L$640)</f>
        <v/>
      </c>
      <c r="AD637">
        <f>IF([2]Baskol!$N$640="","",[2]Baskol!$N$640)</f>
        <v/>
      </c>
      <c r="AE637">
        <f>IF([2]Baskol!$O$640="","",[2]Baskol!$O$640)</f>
        <v/>
      </c>
      <c r="AG637">
        <f>IF([3]Entry!$C$640="","",[3]Entry!$C$640)</f>
        <v/>
      </c>
      <c r="AH637">
        <f>IF([3]Entry!$D$640="","",[3]Entry!$D$640)</f>
        <v/>
      </c>
      <c r="AI637">
        <f>IF([3]Entry!$E$640="","",[3]Entry!$E$640)</f>
        <v/>
      </c>
      <c r="AJ637">
        <f>IF([3]Entry!$G$640="","",[3]Entry!$G$640)</f>
        <v/>
      </c>
      <c r="AK637">
        <f>IF([3]Entry!$K$640="","",[3]Entry!$K$640)</f>
        <v/>
      </c>
      <c r="AL637">
        <f>IF([3]Entry!$L$640="","",[3]Entry!$L$640)</f>
        <v/>
      </c>
      <c r="AM637">
        <f>IF([3]Entry!$M$640="","",[3]Entry!$M$640)</f>
        <v/>
      </c>
      <c r="AN637">
        <f>IF([3]Entry!$N$640="","",[3]Entry!$N$640)</f>
        <v/>
      </c>
      <c r="AO637">
        <f>IF([3]Entry!$R$640="","",[3]Entry!$R$640)</f>
        <v/>
      </c>
    </row>
    <row r="638">
      <c r="U638">
        <f>IF([2]Baskol!$B$641="","",[2]Baskol!$B$641)</f>
        <v/>
      </c>
      <c r="V638">
        <f>IF([2]Baskol!$C$641="","",[2]Baskol!$C$641)</f>
        <v/>
      </c>
      <c r="W638">
        <f>IF([2]Baskol!$D$641="","",[2]Baskol!$D$641)</f>
        <v/>
      </c>
      <c r="X638">
        <f>IF([2]Baskol!$E$641="","",[2]Baskol!$E$641)</f>
        <v/>
      </c>
      <c r="Y638">
        <f>IF([2]Baskol!$G$641="","",[2]Baskol!$G$641)</f>
        <v/>
      </c>
      <c r="Z638">
        <f>IF([2]Baskol!$I$641="","",[2]Baskol!$I$641)</f>
        <v/>
      </c>
      <c r="AA638">
        <f>IF([2]Baskol!$J$641="","",[2]Baskol!$J$641)</f>
        <v/>
      </c>
      <c r="AB638">
        <f>IF([2]Baskol!$K$641="","",[2]Baskol!$K$641)</f>
        <v/>
      </c>
      <c r="AC638">
        <f>IF([2]Baskol!$L$641="","",[2]Baskol!$L$641)</f>
        <v/>
      </c>
      <c r="AD638">
        <f>IF([2]Baskol!$N$641="","",[2]Baskol!$N$641)</f>
        <v/>
      </c>
      <c r="AE638">
        <f>IF([2]Baskol!$O$641="","",[2]Baskol!$O$641)</f>
        <v/>
      </c>
      <c r="AG638">
        <f>IF([3]Entry!$C$641="","",[3]Entry!$C$641)</f>
        <v/>
      </c>
      <c r="AH638">
        <f>IF([3]Entry!$D$641="","",[3]Entry!$D$641)</f>
        <v/>
      </c>
      <c r="AI638">
        <f>IF([3]Entry!$E$641="","",[3]Entry!$E$641)</f>
        <v/>
      </c>
      <c r="AJ638">
        <f>IF([3]Entry!$G$641="","",[3]Entry!$G$641)</f>
        <v/>
      </c>
      <c r="AK638">
        <f>IF([3]Entry!$K$641="","",[3]Entry!$K$641)</f>
        <v/>
      </c>
      <c r="AL638">
        <f>IF([3]Entry!$L$641="","",[3]Entry!$L$641)</f>
        <v/>
      </c>
      <c r="AM638">
        <f>IF([3]Entry!$M$641="","",[3]Entry!$M$641)</f>
        <v/>
      </c>
      <c r="AN638">
        <f>IF([3]Entry!$N$641="","",[3]Entry!$N$641)</f>
        <v/>
      </c>
      <c r="AO638">
        <f>IF([3]Entry!$R$641="","",[3]Entry!$R$641)</f>
        <v/>
      </c>
    </row>
    <row r="639">
      <c r="U639">
        <f>IF([2]Baskol!$B$642="","",[2]Baskol!$B$642)</f>
        <v/>
      </c>
      <c r="V639">
        <f>IF([2]Baskol!$C$642="","",[2]Baskol!$C$642)</f>
        <v/>
      </c>
      <c r="W639">
        <f>IF([2]Baskol!$D$642="","",[2]Baskol!$D$642)</f>
        <v/>
      </c>
      <c r="X639">
        <f>IF([2]Baskol!$E$642="","",[2]Baskol!$E$642)</f>
        <v/>
      </c>
      <c r="Y639">
        <f>IF([2]Baskol!$G$642="","",[2]Baskol!$G$642)</f>
        <v/>
      </c>
      <c r="Z639">
        <f>IF([2]Baskol!$I$642="","",[2]Baskol!$I$642)</f>
        <v/>
      </c>
      <c r="AA639">
        <f>IF([2]Baskol!$J$642="","",[2]Baskol!$J$642)</f>
        <v/>
      </c>
      <c r="AB639">
        <f>IF([2]Baskol!$K$642="","",[2]Baskol!$K$642)</f>
        <v/>
      </c>
      <c r="AC639">
        <f>IF([2]Baskol!$L$642="","",[2]Baskol!$L$642)</f>
        <v/>
      </c>
      <c r="AD639">
        <f>IF([2]Baskol!$N$642="","",[2]Baskol!$N$642)</f>
        <v/>
      </c>
      <c r="AE639">
        <f>IF([2]Baskol!$O$642="","",[2]Baskol!$O$642)</f>
        <v/>
      </c>
      <c r="AG639">
        <f>IF([3]Entry!$C$642="","",[3]Entry!$C$642)</f>
        <v/>
      </c>
      <c r="AH639">
        <f>IF([3]Entry!$D$642="","",[3]Entry!$D$642)</f>
        <v/>
      </c>
      <c r="AI639">
        <f>IF([3]Entry!$E$642="","",[3]Entry!$E$642)</f>
        <v/>
      </c>
      <c r="AJ639">
        <f>IF([3]Entry!$G$642="","",[3]Entry!$G$642)</f>
        <v/>
      </c>
      <c r="AK639">
        <f>IF([3]Entry!$K$642="","",[3]Entry!$K$642)</f>
        <v/>
      </c>
      <c r="AL639">
        <f>IF([3]Entry!$L$642="","",[3]Entry!$L$642)</f>
        <v/>
      </c>
      <c r="AM639">
        <f>IF([3]Entry!$M$642="","",[3]Entry!$M$642)</f>
        <v/>
      </c>
      <c r="AN639">
        <f>IF([3]Entry!$N$642="","",[3]Entry!$N$642)</f>
        <v/>
      </c>
      <c r="AO639">
        <f>IF([3]Entry!$R$642="","",[3]Entry!$R$642)</f>
        <v/>
      </c>
    </row>
    <row r="640">
      <c r="U640">
        <f>IF([2]Baskol!$B$643="","",[2]Baskol!$B$643)</f>
        <v/>
      </c>
      <c r="V640">
        <f>IF([2]Baskol!$C$643="","",[2]Baskol!$C$643)</f>
        <v/>
      </c>
      <c r="W640">
        <f>IF([2]Baskol!$D$643="","",[2]Baskol!$D$643)</f>
        <v/>
      </c>
      <c r="X640">
        <f>IF([2]Baskol!$E$643="","",[2]Baskol!$E$643)</f>
        <v/>
      </c>
      <c r="Y640">
        <f>IF([2]Baskol!$G$643="","",[2]Baskol!$G$643)</f>
        <v/>
      </c>
      <c r="Z640">
        <f>IF([2]Baskol!$I$643="","",[2]Baskol!$I$643)</f>
        <v/>
      </c>
      <c r="AA640">
        <f>IF([2]Baskol!$J$643="","",[2]Baskol!$J$643)</f>
        <v/>
      </c>
      <c r="AB640">
        <f>IF([2]Baskol!$K$643="","",[2]Baskol!$K$643)</f>
        <v/>
      </c>
      <c r="AC640">
        <f>IF([2]Baskol!$L$643="","",[2]Baskol!$L$643)</f>
        <v/>
      </c>
      <c r="AD640">
        <f>IF([2]Baskol!$N$643="","",[2]Baskol!$N$643)</f>
        <v/>
      </c>
      <c r="AE640">
        <f>IF([2]Baskol!$O$643="","",[2]Baskol!$O$643)</f>
        <v/>
      </c>
      <c r="AG640">
        <f>IF([3]Entry!$C$643="","",[3]Entry!$C$643)</f>
        <v/>
      </c>
      <c r="AH640">
        <f>IF([3]Entry!$D$643="","",[3]Entry!$D$643)</f>
        <v/>
      </c>
      <c r="AI640">
        <f>IF([3]Entry!$E$643="","",[3]Entry!$E$643)</f>
        <v/>
      </c>
      <c r="AJ640">
        <f>IF([3]Entry!$G$643="","",[3]Entry!$G$643)</f>
        <v/>
      </c>
      <c r="AK640">
        <f>IF([3]Entry!$K$643="","",[3]Entry!$K$643)</f>
        <v/>
      </c>
      <c r="AL640">
        <f>IF([3]Entry!$L$643="","",[3]Entry!$L$643)</f>
        <v/>
      </c>
      <c r="AM640">
        <f>IF([3]Entry!$M$643="","",[3]Entry!$M$643)</f>
        <v/>
      </c>
      <c r="AN640">
        <f>IF([3]Entry!$N$643="","",[3]Entry!$N$643)</f>
        <v/>
      </c>
      <c r="AO640">
        <f>IF([3]Entry!$R$643="","",[3]Entry!$R$643)</f>
        <v/>
      </c>
    </row>
    <row r="641">
      <c r="U641">
        <f>IF([2]Baskol!$B$644="","",[2]Baskol!$B$644)</f>
        <v/>
      </c>
      <c r="V641">
        <f>IF([2]Baskol!$C$644="","",[2]Baskol!$C$644)</f>
        <v/>
      </c>
      <c r="W641">
        <f>IF([2]Baskol!$D$644="","",[2]Baskol!$D$644)</f>
        <v/>
      </c>
      <c r="X641">
        <f>IF([2]Baskol!$E$644="","",[2]Baskol!$E$644)</f>
        <v/>
      </c>
      <c r="Y641">
        <f>IF([2]Baskol!$G$644="","",[2]Baskol!$G$644)</f>
        <v/>
      </c>
      <c r="Z641">
        <f>IF([2]Baskol!$I$644="","",[2]Baskol!$I$644)</f>
        <v/>
      </c>
      <c r="AA641">
        <f>IF([2]Baskol!$J$644="","",[2]Baskol!$J$644)</f>
        <v/>
      </c>
      <c r="AB641">
        <f>IF([2]Baskol!$K$644="","",[2]Baskol!$K$644)</f>
        <v/>
      </c>
      <c r="AC641">
        <f>IF([2]Baskol!$L$644="","",[2]Baskol!$L$644)</f>
        <v/>
      </c>
      <c r="AD641">
        <f>IF([2]Baskol!$N$644="","",[2]Baskol!$N$644)</f>
        <v/>
      </c>
      <c r="AE641">
        <f>IF([2]Baskol!$O$644="","",[2]Baskol!$O$644)</f>
        <v/>
      </c>
      <c r="AG641">
        <f>IF([3]Entry!$C$644="","",[3]Entry!$C$644)</f>
        <v/>
      </c>
      <c r="AH641">
        <f>IF([3]Entry!$D$644="","",[3]Entry!$D$644)</f>
        <v/>
      </c>
      <c r="AI641">
        <f>IF([3]Entry!$E$644="","",[3]Entry!$E$644)</f>
        <v/>
      </c>
      <c r="AJ641">
        <f>IF([3]Entry!$G$644="","",[3]Entry!$G$644)</f>
        <v/>
      </c>
      <c r="AK641">
        <f>IF([3]Entry!$K$644="","",[3]Entry!$K$644)</f>
        <v/>
      </c>
      <c r="AL641">
        <f>IF([3]Entry!$L$644="","",[3]Entry!$L$644)</f>
        <v/>
      </c>
      <c r="AM641">
        <f>IF([3]Entry!$M$644="","",[3]Entry!$M$644)</f>
        <v/>
      </c>
      <c r="AN641">
        <f>IF([3]Entry!$N$644="","",[3]Entry!$N$644)</f>
        <v/>
      </c>
      <c r="AO641">
        <f>IF([3]Entry!$R$644="","",[3]Entry!$R$644)</f>
        <v/>
      </c>
    </row>
    <row r="642">
      <c r="U642">
        <f>IF([2]Baskol!$B$645="","",[2]Baskol!$B$645)</f>
        <v/>
      </c>
      <c r="V642">
        <f>IF([2]Baskol!$C$645="","",[2]Baskol!$C$645)</f>
        <v/>
      </c>
      <c r="W642">
        <f>IF([2]Baskol!$D$645="","",[2]Baskol!$D$645)</f>
        <v/>
      </c>
      <c r="X642">
        <f>IF([2]Baskol!$E$645="","",[2]Baskol!$E$645)</f>
        <v/>
      </c>
      <c r="Y642">
        <f>IF([2]Baskol!$G$645="","",[2]Baskol!$G$645)</f>
        <v/>
      </c>
      <c r="Z642">
        <f>IF([2]Baskol!$I$645="","",[2]Baskol!$I$645)</f>
        <v/>
      </c>
      <c r="AA642">
        <f>IF([2]Baskol!$J$645="","",[2]Baskol!$J$645)</f>
        <v/>
      </c>
      <c r="AB642">
        <f>IF([2]Baskol!$K$645="","",[2]Baskol!$K$645)</f>
        <v/>
      </c>
      <c r="AC642">
        <f>IF([2]Baskol!$L$645="","",[2]Baskol!$L$645)</f>
        <v/>
      </c>
      <c r="AD642">
        <f>IF([2]Baskol!$N$645="","",[2]Baskol!$N$645)</f>
        <v/>
      </c>
      <c r="AE642">
        <f>IF([2]Baskol!$O$645="","",[2]Baskol!$O$645)</f>
        <v/>
      </c>
      <c r="AG642">
        <f>IF([3]Entry!$C$645="","",[3]Entry!$C$645)</f>
        <v/>
      </c>
      <c r="AH642">
        <f>IF([3]Entry!$D$645="","",[3]Entry!$D$645)</f>
        <v/>
      </c>
      <c r="AI642">
        <f>IF([3]Entry!$E$645="","",[3]Entry!$E$645)</f>
        <v/>
      </c>
      <c r="AJ642">
        <f>IF([3]Entry!$G$645="","",[3]Entry!$G$645)</f>
        <v/>
      </c>
      <c r="AK642">
        <f>IF([3]Entry!$K$645="","",[3]Entry!$K$645)</f>
        <v/>
      </c>
      <c r="AL642">
        <f>IF([3]Entry!$L$645="","",[3]Entry!$L$645)</f>
        <v/>
      </c>
      <c r="AM642">
        <f>IF([3]Entry!$M$645="","",[3]Entry!$M$645)</f>
        <v/>
      </c>
      <c r="AN642">
        <f>IF([3]Entry!$N$645="","",[3]Entry!$N$645)</f>
        <v/>
      </c>
      <c r="AO642">
        <f>IF([3]Entry!$R$645="","",[3]Entry!$R$645)</f>
        <v/>
      </c>
    </row>
    <row r="643">
      <c r="U643">
        <f>IF([2]Baskol!$B$646="","",[2]Baskol!$B$646)</f>
        <v/>
      </c>
      <c r="V643">
        <f>IF([2]Baskol!$C$646="","",[2]Baskol!$C$646)</f>
        <v/>
      </c>
      <c r="W643">
        <f>IF([2]Baskol!$D$646="","",[2]Baskol!$D$646)</f>
        <v/>
      </c>
      <c r="X643">
        <f>IF([2]Baskol!$E$646="","",[2]Baskol!$E$646)</f>
        <v/>
      </c>
      <c r="Y643">
        <f>IF([2]Baskol!$G$646="","",[2]Baskol!$G$646)</f>
        <v/>
      </c>
      <c r="Z643">
        <f>IF([2]Baskol!$I$646="","",[2]Baskol!$I$646)</f>
        <v/>
      </c>
      <c r="AA643">
        <f>IF([2]Baskol!$J$646="","",[2]Baskol!$J$646)</f>
        <v/>
      </c>
      <c r="AB643">
        <f>IF([2]Baskol!$K$646="","",[2]Baskol!$K$646)</f>
        <v/>
      </c>
      <c r="AC643">
        <f>IF([2]Baskol!$L$646="","",[2]Baskol!$L$646)</f>
        <v/>
      </c>
      <c r="AD643">
        <f>IF([2]Baskol!$N$646="","",[2]Baskol!$N$646)</f>
        <v/>
      </c>
      <c r="AE643">
        <f>IF([2]Baskol!$O$646="","",[2]Baskol!$O$646)</f>
        <v/>
      </c>
      <c r="AG643">
        <f>IF([3]Entry!$C$646="","",[3]Entry!$C$646)</f>
        <v/>
      </c>
      <c r="AH643">
        <f>IF([3]Entry!$D$646="","",[3]Entry!$D$646)</f>
        <v/>
      </c>
      <c r="AI643">
        <f>IF([3]Entry!$E$646="","",[3]Entry!$E$646)</f>
        <v/>
      </c>
      <c r="AJ643">
        <f>IF([3]Entry!$G$646="","",[3]Entry!$G$646)</f>
        <v/>
      </c>
      <c r="AK643">
        <f>IF([3]Entry!$K$646="","",[3]Entry!$K$646)</f>
        <v/>
      </c>
      <c r="AL643">
        <f>IF([3]Entry!$L$646="","",[3]Entry!$L$646)</f>
        <v/>
      </c>
      <c r="AM643">
        <f>IF([3]Entry!$M$646="","",[3]Entry!$M$646)</f>
        <v/>
      </c>
      <c r="AN643">
        <f>IF([3]Entry!$N$646="","",[3]Entry!$N$646)</f>
        <v/>
      </c>
      <c r="AO643">
        <f>IF([3]Entry!$R$646="","",[3]Entry!$R$646)</f>
        <v/>
      </c>
    </row>
    <row r="644">
      <c r="U644">
        <f>IF([2]Baskol!$B$647="","",[2]Baskol!$B$647)</f>
        <v/>
      </c>
      <c r="V644">
        <f>IF([2]Baskol!$C$647="","",[2]Baskol!$C$647)</f>
        <v/>
      </c>
      <c r="W644">
        <f>IF([2]Baskol!$D$647="","",[2]Baskol!$D$647)</f>
        <v/>
      </c>
      <c r="X644">
        <f>IF([2]Baskol!$E$647="","",[2]Baskol!$E$647)</f>
        <v/>
      </c>
      <c r="Y644">
        <f>IF([2]Baskol!$G$647="","",[2]Baskol!$G$647)</f>
        <v/>
      </c>
      <c r="Z644">
        <f>IF([2]Baskol!$I$647="","",[2]Baskol!$I$647)</f>
        <v/>
      </c>
      <c r="AA644">
        <f>IF([2]Baskol!$J$647="","",[2]Baskol!$J$647)</f>
        <v/>
      </c>
      <c r="AB644">
        <f>IF([2]Baskol!$K$647="","",[2]Baskol!$K$647)</f>
        <v/>
      </c>
      <c r="AC644">
        <f>IF([2]Baskol!$L$647="","",[2]Baskol!$L$647)</f>
        <v/>
      </c>
      <c r="AD644">
        <f>IF([2]Baskol!$N$647="","",[2]Baskol!$N$647)</f>
        <v/>
      </c>
      <c r="AE644">
        <f>IF([2]Baskol!$O$647="","",[2]Baskol!$O$647)</f>
        <v/>
      </c>
      <c r="AG644">
        <f>IF([3]Entry!$C$647="","",[3]Entry!$C$647)</f>
        <v/>
      </c>
      <c r="AH644">
        <f>IF([3]Entry!$D$647="","",[3]Entry!$D$647)</f>
        <v/>
      </c>
      <c r="AI644">
        <f>IF([3]Entry!$E$647="","",[3]Entry!$E$647)</f>
        <v/>
      </c>
      <c r="AJ644">
        <f>IF([3]Entry!$G$647="","",[3]Entry!$G$647)</f>
        <v/>
      </c>
      <c r="AK644">
        <f>IF([3]Entry!$K$647="","",[3]Entry!$K$647)</f>
        <v/>
      </c>
      <c r="AL644">
        <f>IF([3]Entry!$L$647="","",[3]Entry!$L$647)</f>
        <v/>
      </c>
      <c r="AM644">
        <f>IF([3]Entry!$M$647="","",[3]Entry!$M$647)</f>
        <v/>
      </c>
      <c r="AN644">
        <f>IF([3]Entry!$N$647="","",[3]Entry!$N$647)</f>
        <v/>
      </c>
      <c r="AO644">
        <f>IF([3]Entry!$R$647="","",[3]Entry!$R$647)</f>
        <v/>
      </c>
    </row>
    <row r="645">
      <c r="U645">
        <f>IF([2]Baskol!$B$648="","",[2]Baskol!$B$648)</f>
        <v/>
      </c>
      <c r="V645">
        <f>IF([2]Baskol!$C$648="","",[2]Baskol!$C$648)</f>
        <v/>
      </c>
      <c r="W645">
        <f>IF([2]Baskol!$D$648="","",[2]Baskol!$D$648)</f>
        <v/>
      </c>
      <c r="X645">
        <f>IF([2]Baskol!$E$648="","",[2]Baskol!$E$648)</f>
        <v/>
      </c>
      <c r="Y645">
        <f>IF([2]Baskol!$G$648="","",[2]Baskol!$G$648)</f>
        <v/>
      </c>
      <c r="Z645">
        <f>IF([2]Baskol!$I$648="","",[2]Baskol!$I$648)</f>
        <v/>
      </c>
      <c r="AA645">
        <f>IF([2]Baskol!$J$648="","",[2]Baskol!$J$648)</f>
        <v/>
      </c>
      <c r="AB645">
        <f>IF([2]Baskol!$K$648="","",[2]Baskol!$K$648)</f>
        <v/>
      </c>
      <c r="AC645">
        <f>IF([2]Baskol!$L$648="","",[2]Baskol!$L$648)</f>
        <v/>
      </c>
      <c r="AD645">
        <f>IF([2]Baskol!$N$648="","",[2]Baskol!$N$648)</f>
        <v/>
      </c>
      <c r="AE645">
        <f>IF([2]Baskol!$O$648="","",[2]Baskol!$O$648)</f>
        <v/>
      </c>
      <c r="AG645">
        <f>IF([3]Entry!$C$648="","",[3]Entry!$C$648)</f>
        <v/>
      </c>
      <c r="AH645">
        <f>IF([3]Entry!$D$648="","",[3]Entry!$D$648)</f>
        <v/>
      </c>
      <c r="AI645">
        <f>IF([3]Entry!$E$648="","",[3]Entry!$E$648)</f>
        <v/>
      </c>
      <c r="AJ645">
        <f>IF([3]Entry!$G$648="","",[3]Entry!$G$648)</f>
        <v/>
      </c>
      <c r="AK645">
        <f>IF([3]Entry!$K$648="","",[3]Entry!$K$648)</f>
        <v/>
      </c>
      <c r="AL645">
        <f>IF([3]Entry!$L$648="","",[3]Entry!$L$648)</f>
        <v/>
      </c>
      <c r="AM645">
        <f>IF([3]Entry!$M$648="","",[3]Entry!$M$648)</f>
        <v/>
      </c>
      <c r="AN645">
        <f>IF([3]Entry!$N$648="","",[3]Entry!$N$648)</f>
        <v/>
      </c>
      <c r="AO645">
        <f>IF([3]Entry!$R$648="","",[3]Entry!$R$648)</f>
        <v/>
      </c>
    </row>
    <row r="646">
      <c r="U646">
        <f>IF([2]Baskol!$B$649="","",[2]Baskol!$B$649)</f>
        <v/>
      </c>
      <c r="V646">
        <f>IF([2]Baskol!$C$649="","",[2]Baskol!$C$649)</f>
        <v/>
      </c>
      <c r="W646">
        <f>IF([2]Baskol!$D$649="","",[2]Baskol!$D$649)</f>
        <v/>
      </c>
      <c r="X646">
        <f>IF([2]Baskol!$E$649="","",[2]Baskol!$E$649)</f>
        <v/>
      </c>
      <c r="Y646">
        <f>IF([2]Baskol!$G$649="","",[2]Baskol!$G$649)</f>
        <v/>
      </c>
      <c r="Z646">
        <f>IF([2]Baskol!$I$649="","",[2]Baskol!$I$649)</f>
        <v/>
      </c>
      <c r="AA646">
        <f>IF([2]Baskol!$J$649="","",[2]Baskol!$J$649)</f>
        <v/>
      </c>
      <c r="AB646">
        <f>IF([2]Baskol!$K$649="","",[2]Baskol!$K$649)</f>
        <v/>
      </c>
      <c r="AC646">
        <f>IF([2]Baskol!$L$649="","",[2]Baskol!$L$649)</f>
        <v/>
      </c>
      <c r="AD646">
        <f>IF([2]Baskol!$N$649="","",[2]Baskol!$N$649)</f>
        <v/>
      </c>
      <c r="AE646">
        <f>IF([2]Baskol!$O$649="","",[2]Baskol!$O$649)</f>
        <v/>
      </c>
      <c r="AG646">
        <f>IF([3]Entry!$C$649="","",[3]Entry!$C$649)</f>
        <v/>
      </c>
      <c r="AH646">
        <f>IF([3]Entry!$D$649="","",[3]Entry!$D$649)</f>
        <v/>
      </c>
      <c r="AI646">
        <f>IF([3]Entry!$E$649="","",[3]Entry!$E$649)</f>
        <v/>
      </c>
      <c r="AJ646">
        <f>IF([3]Entry!$G$649="","",[3]Entry!$G$649)</f>
        <v/>
      </c>
      <c r="AK646">
        <f>IF([3]Entry!$K$649="","",[3]Entry!$K$649)</f>
        <v/>
      </c>
      <c r="AL646">
        <f>IF([3]Entry!$L$649="","",[3]Entry!$L$649)</f>
        <v/>
      </c>
      <c r="AM646">
        <f>IF([3]Entry!$M$649="","",[3]Entry!$M$649)</f>
        <v/>
      </c>
      <c r="AN646">
        <f>IF([3]Entry!$N$649="","",[3]Entry!$N$649)</f>
        <v/>
      </c>
      <c r="AO646">
        <f>IF([3]Entry!$R$649="","",[3]Entry!$R$649)</f>
        <v/>
      </c>
    </row>
    <row r="647">
      <c r="U647">
        <f>IF([2]Baskol!$B$650="","",[2]Baskol!$B$650)</f>
        <v/>
      </c>
      <c r="V647">
        <f>IF([2]Baskol!$C$650="","",[2]Baskol!$C$650)</f>
        <v/>
      </c>
      <c r="W647">
        <f>IF([2]Baskol!$D$650="","",[2]Baskol!$D$650)</f>
        <v/>
      </c>
      <c r="X647">
        <f>IF([2]Baskol!$E$650="","",[2]Baskol!$E$650)</f>
        <v/>
      </c>
      <c r="Y647">
        <f>IF([2]Baskol!$G$650="","",[2]Baskol!$G$650)</f>
        <v/>
      </c>
      <c r="Z647">
        <f>IF([2]Baskol!$I$650="","",[2]Baskol!$I$650)</f>
        <v/>
      </c>
      <c r="AA647">
        <f>IF([2]Baskol!$J$650="","",[2]Baskol!$J$650)</f>
        <v/>
      </c>
      <c r="AB647">
        <f>IF([2]Baskol!$K$650="","",[2]Baskol!$K$650)</f>
        <v/>
      </c>
      <c r="AC647">
        <f>IF([2]Baskol!$L$650="","",[2]Baskol!$L$650)</f>
        <v/>
      </c>
      <c r="AD647">
        <f>IF([2]Baskol!$N$650="","",[2]Baskol!$N$650)</f>
        <v/>
      </c>
      <c r="AE647">
        <f>IF([2]Baskol!$O$650="","",[2]Baskol!$O$650)</f>
        <v/>
      </c>
      <c r="AG647">
        <f>IF([3]Entry!$C$650="","",[3]Entry!$C$650)</f>
        <v/>
      </c>
      <c r="AH647">
        <f>IF([3]Entry!$D$650="","",[3]Entry!$D$650)</f>
        <v/>
      </c>
      <c r="AI647">
        <f>IF([3]Entry!$E$650="","",[3]Entry!$E$650)</f>
        <v/>
      </c>
      <c r="AJ647">
        <f>IF([3]Entry!$G$650="","",[3]Entry!$G$650)</f>
        <v/>
      </c>
      <c r="AK647">
        <f>IF([3]Entry!$K$650="","",[3]Entry!$K$650)</f>
        <v/>
      </c>
      <c r="AL647">
        <f>IF([3]Entry!$L$650="","",[3]Entry!$L$650)</f>
        <v/>
      </c>
      <c r="AM647">
        <f>IF([3]Entry!$M$650="","",[3]Entry!$M$650)</f>
        <v/>
      </c>
      <c r="AN647">
        <f>IF([3]Entry!$N$650="","",[3]Entry!$N$650)</f>
        <v/>
      </c>
      <c r="AO647">
        <f>IF([3]Entry!$R$650="","",[3]Entry!$R$650)</f>
        <v/>
      </c>
    </row>
    <row r="648">
      <c r="U648">
        <f>IF([2]Baskol!$B$651="","",[2]Baskol!$B$651)</f>
        <v/>
      </c>
      <c r="V648">
        <f>IF([2]Baskol!$C$651="","",[2]Baskol!$C$651)</f>
        <v/>
      </c>
      <c r="W648">
        <f>IF([2]Baskol!$D$651="","",[2]Baskol!$D$651)</f>
        <v/>
      </c>
      <c r="X648">
        <f>IF([2]Baskol!$E$651="","",[2]Baskol!$E$651)</f>
        <v/>
      </c>
      <c r="Y648">
        <f>IF([2]Baskol!$G$651="","",[2]Baskol!$G$651)</f>
        <v/>
      </c>
      <c r="Z648">
        <f>IF([2]Baskol!$I$651="","",[2]Baskol!$I$651)</f>
        <v/>
      </c>
      <c r="AA648">
        <f>IF([2]Baskol!$J$651="","",[2]Baskol!$J$651)</f>
        <v/>
      </c>
      <c r="AB648">
        <f>IF([2]Baskol!$K$651="","",[2]Baskol!$K$651)</f>
        <v/>
      </c>
      <c r="AC648">
        <f>IF([2]Baskol!$L$651="","",[2]Baskol!$L$651)</f>
        <v/>
      </c>
      <c r="AD648">
        <f>IF([2]Baskol!$N$651="","",[2]Baskol!$N$651)</f>
        <v/>
      </c>
      <c r="AE648">
        <f>IF([2]Baskol!$O$651="","",[2]Baskol!$O$651)</f>
        <v/>
      </c>
      <c r="AG648">
        <f>IF([3]Entry!$C$651="","",[3]Entry!$C$651)</f>
        <v/>
      </c>
      <c r="AH648">
        <f>IF([3]Entry!$D$651="","",[3]Entry!$D$651)</f>
        <v/>
      </c>
      <c r="AI648">
        <f>IF([3]Entry!$E$651="","",[3]Entry!$E$651)</f>
        <v/>
      </c>
      <c r="AJ648">
        <f>IF([3]Entry!$G$651="","",[3]Entry!$G$651)</f>
        <v/>
      </c>
      <c r="AK648">
        <f>IF([3]Entry!$K$651="","",[3]Entry!$K$651)</f>
        <v/>
      </c>
      <c r="AL648">
        <f>IF([3]Entry!$L$651="","",[3]Entry!$L$651)</f>
        <v/>
      </c>
      <c r="AM648">
        <f>IF([3]Entry!$M$651="","",[3]Entry!$M$651)</f>
        <v/>
      </c>
      <c r="AN648">
        <f>IF([3]Entry!$N$651="","",[3]Entry!$N$651)</f>
        <v/>
      </c>
      <c r="AO648">
        <f>IF([3]Entry!$R$651="","",[3]Entry!$R$651)</f>
        <v/>
      </c>
    </row>
    <row r="649">
      <c r="U649">
        <f>IF([2]Baskol!$B$652="","",[2]Baskol!$B$652)</f>
        <v/>
      </c>
      <c r="V649">
        <f>IF([2]Baskol!$C$652="","",[2]Baskol!$C$652)</f>
        <v/>
      </c>
      <c r="W649">
        <f>IF([2]Baskol!$D$652="","",[2]Baskol!$D$652)</f>
        <v/>
      </c>
      <c r="X649">
        <f>IF([2]Baskol!$E$652="","",[2]Baskol!$E$652)</f>
        <v/>
      </c>
      <c r="Y649">
        <f>IF([2]Baskol!$G$652="","",[2]Baskol!$G$652)</f>
        <v/>
      </c>
      <c r="Z649">
        <f>IF([2]Baskol!$I$652="","",[2]Baskol!$I$652)</f>
        <v/>
      </c>
      <c r="AA649">
        <f>IF([2]Baskol!$J$652="","",[2]Baskol!$J$652)</f>
        <v/>
      </c>
      <c r="AB649">
        <f>IF([2]Baskol!$K$652="","",[2]Baskol!$K$652)</f>
        <v/>
      </c>
      <c r="AC649">
        <f>IF([2]Baskol!$L$652="","",[2]Baskol!$L$652)</f>
        <v/>
      </c>
      <c r="AD649">
        <f>IF([2]Baskol!$N$652="","",[2]Baskol!$N$652)</f>
        <v/>
      </c>
      <c r="AE649">
        <f>IF([2]Baskol!$O$652="","",[2]Baskol!$O$652)</f>
        <v/>
      </c>
      <c r="AG649">
        <f>IF([3]Entry!$C$652="","",[3]Entry!$C$652)</f>
        <v/>
      </c>
      <c r="AH649">
        <f>IF([3]Entry!$D$652="","",[3]Entry!$D$652)</f>
        <v/>
      </c>
      <c r="AI649">
        <f>IF([3]Entry!$E$652="","",[3]Entry!$E$652)</f>
        <v/>
      </c>
      <c r="AJ649">
        <f>IF([3]Entry!$G$652="","",[3]Entry!$G$652)</f>
        <v/>
      </c>
      <c r="AK649">
        <f>IF([3]Entry!$K$652="","",[3]Entry!$K$652)</f>
        <v/>
      </c>
      <c r="AL649">
        <f>IF([3]Entry!$L$652="","",[3]Entry!$L$652)</f>
        <v/>
      </c>
      <c r="AM649">
        <f>IF([3]Entry!$M$652="","",[3]Entry!$M$652)</f>
        <v/>
      </c>
      <c r="AN649">
        <f>IF([3]Entry!$N$652="","",[3]Entry!$N$652)</f>
        <v/>
      </c>
      <c r="AO649">
        <f>IF([3]Entry!$R$652="","",[3]Entry!$R$652)</f>
        <v/>
      </c>
    </row>
    <row r="650">
      <c r="U650">
        <f>IF([2]Baskol!$B$653="","",[2]Baskol!$B$653)</f>
        <v/>
      </c>
      <c r="V650">
        <f>IF([2]Baskol!$C$653="","",[2]Baskol!$C$653)</f>
        <v/>
      </c>
      <c r="W650">
        <f>IF([2]Baskol!$D$653="","",[2]Baskol!$D$653)</f>
        <v/>
      </c>
      <c r="X650">
        <f>IF([2]Baskol!$E$653="","",[2]Baskol!$E$653)</f>
        <v/>
      </c>
      <c r="Y650">
        <f>IF([2]Baskol!$G$653="","",[2]Baskol!$G$653)</f>
        <v/>
      </c>
      <c r="Z650">
        <f>IF([2]Baskol!$I$653="","",[2]Baskol!$I$653)</f>
        <v/>
      </c>
      <c r="AA650">
        <f>IF([2]Baskol!$J$653="","",[2]Baskol!$J$653)</f>
        <v/>
      </c>
      <c r="AB650">
        <f>IF([2]Baskol!$K$653="","",[2]Baskol!$K$653)</f>
        <v/>
      </c>
      <c r="AC650">
        <f>IF([2]Baskol!$L$653="","",[2]Baskol!$L$653)</f>
        <v/>
      </c>
      <c r="AD650">
        <f>IF([2]Baskol!$N$653="","",[2]Baskol!$N$653)</f>
        <v/>
      </c>
      <c r="AE650">
        <f>IF([2]Baskol!$O$653="","",[2]Baskol!$O$653)</f>
        <v/>
      </c>
      <c r="AG650">
        <f>IF([3]Entry!$C$653="","",[3]Entry!$C$653)</f>
        <v/>
      </c>
      <c r="AH650">
        <f>IF([3]Entry!$D$653="","",[3]Entry!$D$653)</f>
        <v/>
      </c>
      <c r="AI650">
        <f>IF([3]Entry!$E$653="","",[3]Entry!$E$653)</f>
        <v/>
      </c>
      <c r="AJ650">
        <f>IF([3]Entry!$G$653="","",[3]Entry!$G$653)</f>
        <v/>
      </c>
      <c r="AK650">
        <f>IF([3]Entry!$K$653="","",[3]Entry!$K$653)</f>
        <v/>
      </c>
      <c r="AL650">
        <f>IF([3]Entry!$L$653="","",[3]Entry!$L$653)</f>
        <v/>
      </c>
      <c r="AM650">
        <f>IF([3]Entry!$M$653="","",[3]Entry!$M$653)</f>
        <v/>
      </c>
      <c r="AN650">
        <f>IF([3]Entry!$N$653="","",[3]Entry!$N$653)</f>
        <v/>
      </c>
      <c r="AO650">
        <f>IF([3]Entry!$R$653="","",[3]Entry!$R$653)</f>
        <v/>
      </c>
    </row>
    <row r="651">
      <c r="U651">
        <f>IF([2]Baskol!$B$654="","",[2]Baskol!$B$654)</f>
        <v/>
      </c>
      <c r="V651">
        <f>IF([2]Baskol!$C$654="","",[2]Baskol!$C$654)</f>
        <v/>
      </c>
      <c r="W651">
        <f>IF([2]Baskol!$D$654="","",[2]Baskol!$D$654)</f>
        <v/>
      </c>
      <c r="X651">
        <f>IF([2]Baskol!$E$654="","",[2]Baskol!$E$654)</f>
        <v/>
      </c>
      <c r="Y651">
        <f>IF([2]Baskol!$G$654="","",[2]Baskol!$G$654)</f>
        <v/>
      </c>
      <c r="Z651">
        <f>IF([2]Baskol!$I$654="","",[2]Baskol!$I$654)</f>
        <v/>
      </c>
      <c r="AA651">
        <f>IF([2]Baskol!$J$654="","",[2]Baskol!$J$654)</f>
        <v/>
      </c>
      <c r="AB651">
        <f>IF([2]Baskol!$K$654="","",[2]Baskol!$K$654)</f>
        <v/>
      </c>
      <c r="AC651">
        <f>IF([2]Baskol!$L$654="","",[2]Baskol!$L$654)</f>
        <v/>
      </c>
      <c r="AD651">
        <f>IF([2]Baskol!$N$654="","",[2]Baskol!$N$654)</f>
        <v/>
      </c>
      <c r="AE651">
        <f>IF([2]Baskol!$O$654="","",[2]Baskol!$O$654)</f>
        <v/>
      </c>
      <c r="AG651">
        <f>IF([3]Entry!$C$654="","",[3]Entry!$C$654)</f>
        <v/>
      </c>
      <c r="AH651">
        <f>IF([3]Entry!$D$654="","",[3]Entry!$D$654)</f>
        <v/>
      </c>
      <c r="AI651">
        <f>IF([3]Entry!$E$654="","",[3]Entry!$E$654)</f>
        <v/>
      </c>
      <c r="AJ651">
        <f>IF([3]Entry!$G$654="","",[3]Entry!$G$654)</f>
        <v/>
      </c>
      <c r="AK651">
        <f>IF([3]Entry!$K$654="","",[3]Entry!$K$654)</f>
        <v/>
      </c>
      <c r="AL651">
        <f>IF([3]Entry!$L$654="","",[3]Entry!$L$654)</f>
        <v/>
      </c>
      <c r="AM651">
        <f>IF([3]Entry!$M$654="","",[3]Entry!$M$654)</f>
        <v/>
      </c>
      <c r="AN651">
        <f>IF([3]Entry!$N$654="","",[3]Entry!$N$654)</f>
        <v/>
      </c>
      <c r="AO651">
        <f>IF([3]Entry!$R$654="","",[3]Entry!$R$654)</f>
        <v/>
      </c>
    </row>
    <row r="652">
      <c r="U652">
        <f>IF([2]Baskol!$B$655="","",[2]Baskol!$B$655)</f>
        <v/>
      </c>
      <c r="V652">
        <f>IF([2]Baskol!$C$655="","",[2]Baskol!$C$655)</f>
        <v/>
      </c>
      <c r="W652">
        <f>IF([2]Baskol!$D$655="","",[2]Baskol!$D$655)</f>
        <v/>
      </c>
      <c r="X652">
        <f>IF([2]Baskol!$E$655="","",[2]Baskol!$E$655)</f>
        <v/>
      </c>
      <c r="Y652">
        <f>IF([2]Baskol!$G$655="","",[2]Baskol!$G$655)</f>
        <v/>
      </c>
      <c r="Z652">
        <f>IF([2]Baskol!$I$655="","",[2]Baskol!$I$655)</f>
        <v/>
      </c>
      <c r="AA652">
        <f>IF([2]Baskol!$J$655="","",[2]Baskol!$J$655)</f>
        <v/>
      </c>
      <c r="AB652">
        <f>IF([2]Baskol!$K$655="","",[2]Baskol!$K$655)</f>
        <v/>
      </c>
      <c r="AC652">
        <f>IF([2]Baskol!$L$655="","",[2]Baskol!$L$655)</f>
        <v/>
      </c>
      <c r="AD652">
        <f>IF([2]Baskol!$N$655="","",[2]Baskol!$N$655)</f>
        <v/>
      </c>
      <c r="AE652">
        <f>IF([2]Baskol!$O$655="","",[2]Baskol!$O$655)</f>
        <v/>
      </c>
      <c r="AG652">
        <f>IF([3]Entry!$C$655="","",[3]Entry!$C$655)</f>
        <v/>
      </c>
      <c r="AH652">
        <f>IF([3]Entry!$D$655="","",[3]Entry!$D$655)</f>
        <v/>
      </c>
      <c r="AI652">
        <f>IF([3]Entry!$E$655="","",[3]Entry!$E$655)</f>
        <v/>
      </c>
      <c r="AJ652">
        <f>IF([3]Entry!$G$655="","",[3]Entry!$G$655)</f>
        <v/>
      </c>
      <c r="AK652">
        <f>IF([3]Entry!$K$655="","",[3]Entry!$K$655)</f>
        <v/>
      </c>
      <c r="AL652">
        <f>IF([3]Entry!$L$655="","",[3]Entry!$L$655)</f>
        <v/>
      </c>
      <c r="AM652">
        <f>IF([3]Entry!$M$655="","",[3]Entry!$M$655)</f>
        <v/>
      </c>
      <c r="AN652">
        <f>IF([3]Entry!$N$655="","",[3]Entry!$N$655)</f>
        <v/>
      </c>
      <c r="AO652">
        <f>IF([3]Entry!$R$655="","",[3]Entry!$R$655)</f>
        <v/>
      </c>
    </row>
    <row r="653">
      <c r="U653">
        <f>IF([2]Baskol!$B$656="","",[2]Baskol!$B$656)</f>
        <v/>
      </c>
      <c r="V653">
        <f>IF([2]Baskol!$C$656="","",[2]Baskol!$C$656)</f>
        <v/>
      </c>
      <c r="W653">
        <f>IF([2]Baskol!$D$656="","",[2]Baskol!$D$656)</f>
        <v/>
      </c>
      <c r="X653">
        <f>IF([2]Baskol!$E$656="","",[2]Baskol!$E$656)</f>
        <v/>
      </c>
      <c r="Y653">
        <f>IF([2]Baskol!$G$656="","",[2]Baskol!$G$656)</f>
        <v/>
      </c>
      <c r="Z653">
        <f>IF([2]Baskol!$I$656="","",[2]Baskol!$I$656)</f>
        <v/>
      </c>
      <c r="AA653">
        <f>IF([2]Baskol!$J$656="","",[2]Baskol!$J$656)</f>
        <v/>
      </c>
      <c r="AB653">
        <f>IF([2]Baskol!$K$656="","",[2]Baskol!$K$656)</f>
        <v/>
      </c>
      <c r="AC653">
        <f>IF([2]Baskol!$L$656="","",[2]Baskol!$L$656)</f>
        <v/>
      </c>
      <c r="AD653">
        <f>IF([2]Baskol!$N$656="","",[2]Baskol!$N$656)</f>
        <v/>
      </c>
      <c r="AE653">
        <f>IF([2]Baskol!$O$656="","",[2]Baskol!$O$656)</f>
        <v/>
      </c>
      <c r="AG653">
        <f>IF([3]Entry!$C$656="","",[3]Entry!$C$656)</f>
        <v/>
      </c>
      <c r="AH653">
        <f>IF([3]Entry!$D$656="","",[3]Entry!$D$656)</f>
        <v/>
      </c>
      <c r="AI653">
        <f>IF([3]Entry!$E$656="","",[3]Entry!$E$656)</f>
        <v/>
      </c>
      <c r="AJ653">
        <f>IF([3]Entry!$G$656="","",[3]Entry!$G$656)</f>
        <v/>
      </c>
      <c r="AK653">
        <f>IF([3]Entry!$K$656="","",[3]Entry!$K$656)</f>
        <v/>
      </c>
      <c r="AL653">
        <f>IF([3]Entry!$L$656="","",[3]Entry!$L$656)</f>
        <v/>
      </c>
      <c r="AM653">
        <f>IF([3]Entry!$M$656="","",[3]Entry!$M$656)</f>
        <v/>
      </c>
      <c r="AN653">
        <f>IF([3]Entry!$N$656="","",[3]Entry!$N$656)</f>
        <v/>
      </c>
      <c r="AO653">
        <f>IF([3]Entry!$R$656="","",[3]Entry!$R$656)</f>
        <v/>
      </c>
    </row>
    <row r="654">
      <c r="U654">
        <f>IF([2]Baskol!$B$657="","",[2]Baskol!$B$657)</f>
        <v/>
      </c>
      <c r="V654">
        <f>IF([2]Baskol!$C$657="","",[2]Baskol!$C$657)</f>
        <v/>
      </c>
      <c r="W654">
        <f>IF([2]Baskol!$D$657="","",[2]Baskol!$D$657)</f>
        <v/>
      </c>
      <c r="X654">
        <f>IF([2]Baskol!$E$657="","",[2]Baskol!$E$657)</f>
        <v/>
      </c>
      <c r="Y654">
        <f>IF([2]Baskol!$G$657="","",[2]Baskol!$G$657)</f>
        <v/>
      </c>
      <c r="Z654">
        <f>IF([2]Baskol!$I$657="","",[2]Baskol!$I$657)</f>
        <v/>
      </c>
      <c r="AA654">
        <f>IF([2]Baskol!$J$657="","",[2]Baskol!$J$657)</f>
        <v/>
      </c>
      <c r="AB654">
        <f>IF([2]Baskol!$K$657="","",[2]Baskol!$K$657)</f>
        <v/>
      </c>
      <c r="AC654">
        <f>IF([2]Baskol!$L$657="","",[2]Baskol!$L$657)</f>
        <v/>
      </c>
      <c r="AD654">
        <f>IF([2]Baskol!$N$657="","",[2]Baskol!$N$657)</f>
        <v/>
      </c>
      <c r="AE654">
        <f>IF([2]Baskol!$O$657="","",[2]Baskol!$O$657)</f>
        <v/>
      </c>
      <c r="AG654">
        <f>IF([3]Entry!$C$657="","",[3]Entry!$C$657)</f>
        <v/>
      </c>
      <c r="AH654">
        <f>IF([3]Entry!$D$657="","",[3]Entry!$D$657)</f>
        <v/>
      </c>
      <c r="AI654">
        <f>IF([3]Entry!$E$657="","",[3]Entry!$E$657)</f>
        <v/>
      </c>
      <c r="AJ654">
        <f>IF([3]Entry!$G$657="","",[3]Entry!$G$657)</f>
        <v/>
      </c>
      <c r="AK654">
        <f>IF([3]Entry!$K$657="","",[3]Entry!$K$657)</f>
        <v/>
      </c>
      <c r="AL654">
        <f>IF([3]Entry!$L$657="","",[3]Entry!$L$657)</f>
        <v/>
      </c>
      <c r="AM654">
        <f>IF([3]Entry!$M$657="","",[3]Entry!$M$657)</f>
        <v/>
      </c>
      <c r="AN654">
        <f>IF([3]Entry!$N$657="","",[3]Entry!$N$657)</f>
        <v/>
      </c>
      <c r="AO654">
        <f>IF([3]Entry!$R$657="","",[3]Entry!$R$657)</f>
        <v/>
      </c>
    </row>
    <row r="655">
      <c r="U655">
        <f>IF([2]Baskol!$B$658="","",[2]Baskol!$B$658)</f>
        <v/>
      </c>
      <c r="V655">
        <f>IF([2]Baskol!$C$658="","",[2]Baskol!$C$658)</f>
        <v/>
      </c>
      <c r="W655">
        <f>IF([2]Baskol!$D$658="","",[2]Baskol!$D$658)</f>
        <v/>
      </c>
      <c r="X655">
        <f>IF([2]Baskol!$E$658="","",[2]Baskol!$E$658)</f>
        <v/>
      </c>
      <c r="Y655">
        <f>IF([2]Baskol!$G$658="","",[2]Baskol!$G$658)</f>
        <v/>
      </c>
      <c r="Z655">
        <f>IF([2]Baskol!$I$658="","",[2]Baskol!$I$658)</f>
        <v/>
      </c>
      <c r="AA655">
        <f>IF([2]Baskol!$J$658="","",[2]Baskol!$J$658)</f>
        <v/>
      </c>
      <c r="AB655">
        <f>IF([2]Baskol!$K$658="","",[2]Baskol!$K$658)</f>
        <v/>
      </c>
      <c r="AC655">
        <f>IF([2]Baskol!$L$658="","",[2]Baskol!$L$658)</f>
        <v/>
      </c>
      <c r="AD655">
        <f>IF([2]Baskol!$N$658="","",[2]Baskol!$N$658)</f>
        <v/>
      </c>
      <c r="AE655">
        <f>IF([2]Baskol!$O$658="","",[2]Baskol!$O$658)</f>
        <v/>
      </c>
      <c r="AG655">
        <f>IF([3]Entry!$C$658="","",[3]Entry!$C$658)</f>
        <v/>
      </c>
      <c r="AH655">
        <f>IF([3]Entry!$D$658="","",[3]Entry!$D$658)</f>
        <v/>
      </c>
      <c r="AI655">
        <f>IF([3]Entry!$E$658="","",[3]Entry!$E$658)</f>
        <v/>
      </c>
      <c r="AJ655">
        <f>IF([3]Entry!$G$658="","",[3]Entry!$G$658)</f>
        <v/>
      </c>
      <c r="AK655">
        <f>IF([3]Entry!$K$658="","",[3]Entry!$K$658)</f>
        <v/>
      </c>
      <c r="AL655">
        <f>IF([3]Entry!$L$658="","",[3]Entry!$L$658)</f>
        <v/>
      </c>
      <c r="AM655">
        <f>IF([3]Entry!$M$658="","",[3]Entry!$M$658)</f>
        <v/>
      </c>
      <c r="AN655">
        <f>IF([3]Entry!$N$658="","",[3]Entry!$N$658)</f>
        <v/>
      </c>
      <c r="AO655">
        <f>IF([3]Entry!$R$658="","",[3]Entry!$R$658)</f>
        <v/>
      </c>
    </row>
    <row r="656">
      <c r="U656">
        <f>IF([2]Baskol!$B$659="","",[2]Baskol!$B$659)</f>
        <v/>
      </c>
      <c r="V656">
        <f>IF([2]Baskol!$C$659="","",[2]Baskol!$C$659)</f>
        <v/>
      </c>
      <c r="W656">
        <f>IF([2]Baskol!$D$659="","",[2]Baskol!$D$659)</f>
        <v/>
      </c>
      <c r="X656">
        <f>IF([2]Baskol!$E$659="","",[2]Baskol!$E$659)</f>
        <v/>
      </c>
      <c r="Y656">
        <f>IF([2]Baskol!$G$659="","",[2]Baskol!$G$659)</f>
        <v/>
      </c>
      <c r="Z656">
        <f>IF([2]Baskol!$I$659="","",[2]Baskol!$I$659)</f>
        <v/>
      </c>
      <c r="AA656">
        <f>IF([2]Baskol!$J$659="","",[2]Baskol!$J$659)</f>
        <v/>
      </c>
      <c r="AB656">
        <f>IF([2]Baskol!$K$659="","",[2]Baskol!$K$659)</f>
        <v/>
      </c>
      <c r="AC656">
        <f>IF([2]Baskol!$L$659="","",[2]Baskol!$L$659)</f>
        <v/>
      </c>
      <c r="AD656">
        <f>IF([2]Baskol!$N$659="","",[2]Baskol!$N$659)</f>
        <v/>
      </c>
      <c r="AE656">
        <f>IF([2]Baskol!$O$659="","",[2]Baskol!$O$659)</f>
        <v/>
      </c>
      <c r="AG656">
        <f>IF([3]Entry!$C$659="","",[3]Entry!$C$659)</f>
        <v/>
      </c>
      <c r="AH656">
        <f>IF([3]Entry!$D$659="","",[3]Entry!$D$659)</f>
        <v/>
      </c>
      <c r="AI656">
        <f>IF([3]Entry!$E$659="","",[3]Entry!$E$659)</f>
        <v/>
      </c>
      <c r="AJ656">
        <f>IF([3]Entry!$G$659="","",[3]Entry!$G$659)</f>
        <v/>
      </c>
      <c r="AK656">
        <f>IF([3]Entry!$K$659="","",[3]Entry!$K$659)</f>
        <v/>
      </c>
      <c r="AL656">
        <f>IF([3]Entry!$L$659="","",[3]Entry!$L$659)</f>
        <v/>
      </c>
      <c r="AM656">
        <f>IF([3]Entry!$M$659="","",[3]Entry!$M$659)</f>
        <v/>
      </c>
      <c r="AN656">
        <f>IF([3]Entry!$N$659="","",[3]Entry!$N$659)</f>
        <v/>
      </c>
      <c r="AO656">
        <f>IF([3]Entry!$R$659="","",[3]Entry!$R$659)</f>
        <v/>
      </c>
    </row>
    <row r="657">
      <c r="U657">
        <f>IF([2]Baskol!$B$660="","",[2]Baskol!$B$660)</f>
        <v/>
      </c>
      <c r="V657">
        <f>IF([2]Baskol!$C$660="","",[2]Baskol!$C$660)</f>
        <v/>
      </c>
      <c r="W657">
        <f>IF([2]Baskol!$D$660="","",[2]Baskol!$D$660)</f>
        <v/>
      </c>
      <c r="X657">
        <f>IF([2]Baskol!$E$660="","",[2]Baskol!$E$660)</f>
        <v/>
      </c>
      <c r="Y657">
        <f>IF([2]Baskol!$G$660="","",[2]Baskol!$G$660)</f>
        <v/>
      </c>
      <c r="Z657">
        <f>IF([2]Baskol!$I$660="","",[2]Baskol!$I$660)</f>
        <v/>
      </c>
      <c r="AA657">
        <f>IF([2]Baskol!$J$660="","",[2]Baskol!$J$660)</f>
        <v/>
      </c>
      <c r="AB657">
        <f>IF([2]Baskol!$K$660="","",[2]Baskol!$K$660)</f>
        <v/>
      </c>
      <c r="AC657">
        <f>IF([2]Baskol!$L$660="","",[2]Baskol!$L$660)</f>
        <v/>
      </c>
      <c r="AD657">
        <f>IF([2]Baskol!$N$660="","",[2]Baskol!$N$660)</f>
        <v/>
      </c>
      <c r="AE657">
        <f>IF([2]Baskol!$O$660="","",[2]Baskol!$O$660)</f>
        <v/>
      </c>
      <c r="AG657">
        <f>IF([3]Entry!$C$660="","",[3]Entry!$C$660)</f>
        <v/>
      </c>
      <c r="AH657">
        <f>IF([3]Entry!$D$660="","",[3]Entry!$D$660)</f>
        <v/>
      </c>
      <c r="AI657">
        <f>IF([3]Entry!$E$660="","",[3]Entry!$E$660)</f>
        <v/>
      </c>
      <c r="AJ657">
        <f>IF([3]Entry!$G$660="","",[3]Entry!$G$660)</f>
        <v/>
      </c>
      <c r="AK657">
        <f>IF([3]Entry!$K$660="","",[3]Entry!$K$660)</f>
        <v/>
      </c>
      <c r="AL657">
        <f>IF([3]Entry!$L$660="","",[3]Entry!$L$660)</f>
        <v/>
      </c>
      <c r="AM657">
        <f>IF([3]Entry!$M$660="","",[3]Entry!$M$660)</f>
        <v/>
      </c>
      <c r="AN657">
        <f>IF([3]Entry!$N$660="","",[3]Entry!$N$660)</f>
        <v/>
      </c>
      <c r="AO657">
        <f>IF([3]Entry!$R$660="","",[3]Entry!$R$660)</f>
        <v/>
      </c>
    </row>
    <row r="658">
      <c r="U658">
        <f>IF([2]Baskol!$B$661="","",[2]Baskol!$B$661)</f>
        <v/>
      </c>
      <c r="V658">
        <f>IF([2]Baskol!$C$661="","",[2]Baskol!$C$661)</f>
        <v/>
      </c>
      <c r="W658">
        <f>IF([2]Baskol!$D$661="","",[2]Baskol!$D$661)</f>
        <v/>
      </c>
      <c r="X658">
        <f>IF([2]Baskol!$E$661="","",[2]Baskol!$E$661)</f>
        <v/>
      </c>
      <c r="Y658">
        <f>IF([2]Baskol!$G$661="","",[2]Baskol!$G$661)</f>
        <v/>
      </c>
      <c r="Z658">
        <f>IF([2]Baskol!$I$661="","",[2]Baskol!$I$661)</f>
        <v/>
      </c>
      <c r="AA658">
        <f>IF([2]Baskol!$J$661="","",[2]Baskol!$J$661)</f>
        <v/>
      </c>
      <c r="AB658">
        <f>IF([2]Baskol!$K$661="","",[2]Baskol!$K$661)</f>
        <v/>
      </c>
      <c r="AC658">
        <f>IF([2]Baskol!$L$661="","",[2]Baskol!$L$661)</f>
        <v/>
      </c>
      <c r="AD658">
        <f>IF([2]Baskol!$N$661="","",[2]Baskol!$N$661)</f>
        <v/>
      </c>
      <c r="AE658">
        <f>IF([2]Baskol!$O$661="","",[2]Baskol!$O$661)</f>
        <v/>
      </c>
      <c r="AG658">
        <f>IF([3]Entry!$C$661="","",[3]Entry!$C$661)</f>
        <v/>
      </c>
      <c r="AH658">
        <f>IF([3]Entry!$D$661="","",[3]Entry!$D$661)</f>
        <v/>
      </c>
      <c r="AI658">
        <f>IF([3]Entry!$E$661="","",[3]Entry!$E$661)</f>
        <v/>
      </c>
      <c r="AJ658">
        <f>IF([3]Entry!$G$661="","",[3]Entry!$G$661)</f>
        <v/>
      </c>
      <c r="AK658">
        <f>IF([3]Entry!$K$661="","",[3]Entry!$K$661)</f>
        <v/>
      </c>
      <c r="AL658">
        <f>IF([3]Entry!$L$661="","",[3]Entry!$L$661)</f>
        <v/>
      </c>
      <c r="AM658">
        <f>IF([3]Entry!$M$661="","",[3]Entry!$M$661)</f>
        <v/>
      </c>
      <c r="AN658">
        <f>IF([3]Entry!$N$661="","",[3]Entry!$N$661)</f>
        <v/>
      </c>
      <c r="AO658">
        <f>IF([3]Entry!$R$661="","",[3]Entry!$R$661)</f>
        <v/>
      </c>
    </row>
    <row r="659">
      <c r="U659">
        <f>IF([2]Baskol!$B$662="","",[2]Baskol!$B$662)</f>
        <v/>
      </c>
      <c r="V659">
        <f>IF([2]Baskol!$C$662="","",[2]Baskol!$C$662)</f>
        <v/>
      </c>
      <c r="W659">
        <f>IF([2]Baskol!$D$662="","",[2]Baskol!$D$662)</f>
        <v/>
      </c>
      <c r="X659">
        <f>IF([2]Baskol!$E$662="","",[2]Baskol!$E$662)</f>
        <v/>
      </c>
      <c r="Y659">
        <f>IF([2]Baskol!$G$662="","",[2]Baskol!$G$662)</f>
        <v/>
      </c>
      <c r="Z659">
        <f>IF([2]Baskol!$I$662="","",[2]Baskol!$I$662)</f>
        <v/>
      </c>
      <c r="AA659">
        <f>IF([2]Baskol!$J$662="","",[2]Baskol!$J$662)</f>
        <v/>
      </c>
      <c r="AB659">
        <f>IF([2]Baskol!$K$662="","",[2]Baskol!$K$662)</f>
        <v/>
      </c>
      <c r="AC659">
        <f>IF([2]Baskol!$L$662="","",[2]Baskol!$L$662)</f>
        <v/>
      </c>
      <c r="AD659">
        <f>IF([2]Baskol!$N$662="","",[2]Baskol!$N$662)</f>
        <v/>
      </c>
      <c r="AE659">
        <f>IF([2]Baskol!$O$662="","",[2]Baskol!$O$662)</f>
        <v/>
      </c>
      <c r="AG659">
        <f>IF([3]Entry!$C$662="","",[3]Entry!$C$662)</f>
        <v/>
      </c>
      <c r="AH659">
        <f>IF([3]Entry!$D$662="","",[3]Entry!$D$662)</f>
        <v/>
      </c>
      <c r="AI659">
        <f>IF([3]Entry!$E$662="","",[3]Entry!$E$662)</f>
        <v/>
      </c>
      <c r="AJ659">
        <f>IF([3]Entry!$G$662="","",[3]Entry!$G$662)</f>
        <v/>
      </c>
      <c r="AK659">
        <f>IF([3]Entry!$K$662="","",[3]Entry!$K$662)</f>
        <v/>
      </c>
      <c r="AL659">
        <f>IF([3]Entry!$L$662="","",[3]Entry!$L$662)</f>
        <v/>
      </c>
      <c r="AM659">
        <f>IF([3]Entry!$M$662="","",[3]Entry!$M$662)</f>
        <v/>
      </c>
      <c r="AN659">
        <f>IF([3]Entry!$N$662="","",[3]Entry!$N$662)</f>
        <v/>
      </c>
      <c r="AO659">
        <f>IF([3]Entry!$R$662="","",[3]Entry!$R$662)</f>
        <v/>
      </c>
    </row>
    <row r="660">
      <c r="U660">
        <f>IF([2]Baskol!$B$663="","",[2]Baskol!$B$663)</f>
        <v/>
      </c>
      <c r="V660">
        <f>IF([2]Baskol!$C$663="","",[2]Baskol!$C$663)</f>
        <v/>
      </c>
      <c r="W660">
        <f>IF([2]Baskol!$D$663="","",[2]Baskol!$D$663)</f>
        <v/>
      </c>
      <c r="X660">
        <f>IF([2]Baskol!$E$663="","",[2]Baskol!$E$663)</f>
        <v/>
      </c>
      <c r="Y660">
        <f>IF([2]Baskol!$G$663="","",[2]Baskol!$G$663)</f>
        <v/>
      </c>
      <c r="Z660">
        <f>IF([2]Baskol!$I$663="","",[2]Baskol!$I$663)</f>
        <v/>
      </c>
      <c r="AA660">
        <f>IF([2]Baskol!$J$663="","",[2]Baskol!$J$663)</f>
        <v/>
      </c>
      <c r="AB660">
        <f>IF([2]Baskol!$K$663="","",[2]Baskol!$K$663)</f>
        <v/>
      </c>
      <c r="AC660">
        <f>IF([2]Baskol!$L$663="","",[2]Baskol!$L$663)</f>
        <v/>
      </c>
      <c r="AD660">
        <f>IF([2]Baskol!$N$663="","",[2]Baskol!$N$663)</f>
        <v/>
      </c>
      <c r="AE660">
        <f>IF([2]Baskol!$O$663="","",[2]Baskol!$O$663)</f>
        <v/>
      </c>
      <c r="AG660">
        <f>IF([3]Entry!$C$663="","",[3]Entry!$C$663)</f>
        <v/>
      </c>
      <c r="AH660">
        <f>IF([3]Entry!$D$663="","",[3]Entry!$D$663)</f>
        <v/>
      </c>
      <c r="AI660">
        <f>IF([3]Entry!$E$663="","",[3]Entry!$E$663)</f>
        <v/>
      </c>
      <c r="AJ660">
        <f>IF([3]Entry!$G$663="","",[3]Entry!$G$663)</f>
        <v/>
      </c>
      <c r="AK660">
        <f>IF([3]Entry!$K$663="","",[3]Entry!$K$663)</f>
        <v/>
      </c>
      <c r="AL660">
        <f>IF([3]Entry!$L$663="","",[3]Entry!$L$663)</f>
        <v/>
      </c>
      <c r="AM660">
        <f>IF([3]Entry!$M$663="","",[3]Entry!$M$663)</f>
        <v/>
      </c>
      <c r="AN660">
        <f>IF([3]Entry!$N$663="","",[3]Entry!$N$663)</f>
        <v/>
      </c>
      <c r="AO660">
        <f>IF([3]Entry!$R$663="","",[3]Entry!$R$663)</f>
        <v/>
      </c>
    </row>
    <row r="661">
      <c r="U661">
        <f>IF([2]Baskol!$B$664="","",[2]Baskol!$B$664)</f>
        <v/>
      </c>
      <c r="V661">
        <f>IF([2]Baskol!$C$664="","",[2]Baskol!$C$664)</f>
        <v/>
      </c>
      <c r="W661">
        <f>IF([2]Baskol!$D$664="","",[2]Baskol!$D$664)</f>
        <v/>
      </c>
      <c r="X661">
        <f>IF([2]Baskol!$E$664="","",[2]Baskol!$E$664)</f>
        <v/>
      </c>
      <c r="Y661">
        <f>IF([2]Baskol!$G$664="","",[2]Baskol!$G$664)</f>
        <v/>
      </c>
      <c r="Z661">
        <f>IF([2]Baskol!$I$664="","",[2]Baskol!$I$664)</f>
        <v/>
      </c>
      <c r="AA661">
        <f>IF([2]Baskol!$J$664="","",[2]Baskol!$J$664)</f>
        <v/>
      </c>
      <c r="AB661">
        <f>IF([2]Baskol!$K$664="","",[2]Baskol!$K$664)</f>
        <v/>
      </c>
      <c r="AC661">
        <f>IF([2]Baskol!$L$664="","",[2]Baskol!$L$664)</f>
        <v/>
      </c>
      <c r="AD661">
        <f>IF([2]Baskol!$N$664="","",[2]Baskol!$N$664)</f>
        <v/>
      </c>
      <c r="AE661">
        <f>IF([2]Baskol!$O$664="","",[2]Baskol!$O$664)</f>
        <v/>
      </c>
      <c r="AG661">
        <f>IF([3]Entry!$C$664="","",[3]Entry!$C$664)</f>
        <v/>
      </c>
      <c r="AH661">
        <f>IF([3]Entry!$D$664="","",[3]Entry!$D$664)</f>
        <v/>
      </c>
      <c r="AI661">
        <f>IF([3]Entry!$E$664="","",[3]Entry!$E$664)</f>
        <v/>
      </c>
      <c r="AJ661">
        <f>IF([3]Entry!$G$664="","",[3]Entry!$G$664)</f>
        <v/>
      </c>
      <c r="AK661">
        <f>IF([3]Entry!$K$664="","",[3]Entry!$K$664)</f>
        <v/>
      </c>
      <c r="AL661">
        <f>IF([3]Entry!$L$664="","",[3]Entry!$L$664)</f>
        <v/>
      </c>
      <c r="AM661">
        <f>IF([3]Entry!$M$664="","",[3]Entry!$M$664)</f>
        <v/>
      </c>
      <c r="AN661">
        <f>IF([3]Entry!$N$664="","",[3]Entry!$N$664)</f>
        <v/>
      </c>
      <c r="AO661">
        <f>IF([3]Entry!$R$664="","",[3]Entry!$R$664)</f>
        <v/>
      </c>
    </row>
    <row r="662">
      <c r="U662">
        <f>IF([2]Baskol!$B$665="","",[2]Baskol!$B$665)</f>
        <v/>
      </c>
      <c r="V662">
        <f>IF([2]Baskol!$C$665="","",[2]Baskol!$C$665)</f>
        <v/>
      </c>
      <c r="W662">
        <f>IF([2]Baskol!$D$665="","",[2]Baskol!$D$665)</f>
        <v/>
      </c>
      <c r="X662">
        <f>IF([2]Baskol!$E$665="","",[2]Baskol!$E$665)</f>
        <v/>
      </c>
      <c r="Y662">
        <f>IF([2]Baskol!$G$665="","",[2]Baskol!$G$665)</f>
        <v/>
      </c>
      <c r="Z662">
        <f>IF([2]Baskol!$I$665="","",[2]Baskol!$I$665)</f>
        <v/>
      </c>
      <c r="AA662">
        <f>IF([2]Baskol!$J$665="","",[2]Baskol!$J$665)</f>
        <v/>
      </c>
      <c r="AB662">
        <f>IF([2]Baskol!$K$665="","",[2]Baskol!$K$665)</f>
        <v/>
      </c>
      <c r="AC662">
        <f>IF([2]Baskol!$L$665="","",[2]Baskol!$L$665)</f>
        <v/>
      </c>
      <c r="AD662">
        <f>IF([2]Baskol!$N$665="","",[2]Baskol!$N$665)</f>
        <v/>
      </c>
      <c r="AE662">
        <f>IF([2]Baskol!$O$665="","",[2]Baskol!$O$665)</f>
        <v/>
      </c>
      <c r="AG662">
        <f>IF([3]Entry!$C$665="","",[3]Entry!$C$665)</f>
        <v/>
      </c>
      <c r="AH662">
        <f>IF([3]Entry!$D$665="","",[3]Entry!$D$665)</f>
        <v/>
      </c>
      <c r="AI662">
        <f>IF([3]Entry!$E$665="","",[3]Entry!$E$665)</f>
        <v/>
      </c>
      <c r="AJ662">
        <f>IF([3]Entry!$G$665="","",[3]Entry!$G$665)</f>
        <v/>
      </c>
      <c r="AK662">
        <f>IF([3]Entry!$K$665="","",[3]Entry!$K$665)</f>
        <v/>
      </c>
      <c r="AL662">
        <f>IF([3]Entry!$L$665="","",[3]Entry!$L$665)</f>
        <v/>
      </c>
      <c r="AM662">
        <f>IF([3]Entry!$M$665="","",[3]Entry!$M$665)</f>
        <v/>
      </c>
      <c r="AN662">
        <f>IF([3]Entry!$N$665="","",[3]Entry!$N$665)</f>
        <v/>
      </c>
      <c r="AO662">
        <f>IF([3]Entry!$R$665="","",[3]Entry!$R$665)</f>
        <v/>
      </c>
    </row>
    <row r="663">
      <c r="U663">
        <f>IF([2]Baskol!$B$666="","",[2]Baskol!$B$666)</f>
        <v/>
      </c>
      <c r="V663">
        <f>IF([2]Baskol!$C$666="","",[2]Baskol!$C$666)</f>
        <v/>
      </c>
      <c r="W663">
        <f>IF([2]Baskol!$D$666="","",[2]Baskol!$D$666)</f>
        <v/>
      </c>
      <c r="X663">
        <f>IF([2]Baskol!$E$666="","",[2]Baskol!$E$666)</f>
        <v/>
      </c>
      <c r="Y663">
        <f>IF([2]Baskol!$G$666="","",[2]Baskol!$G$666)</f>
        <v/>
      </c>
      <c r="Z663">
        <f>IF([2]Baskol!$I$666="","",[2]Baskol!$I$666)</f>
        <v/>
      </c>
      <c r="AA663">
        <f>IF([2]Baskol!$J$666="","",[2]Baskol!$J$666)</f>
        <v/>
      </c>
      <c r="AB663">
        <f>IF([2]Baskol!$K$666="","",[2]Baskol!$K$666)</f>
        <v/>
      </c>
      <c r="AC663">
        <f>IF([2]Baskol!$L$666="","",[2]Baskol!$L$666)</f>
        <v/>
      </c>
      <c r="AD663">
        <f>IF([2]Baskol!$N$666="","",[2]Baskol!$N$666)</f>
        <v/>
      </c>
      <c r="AE663">
        <f>IF([2]Baskol!$O$666="","",[2]Baskol!$O$666)</f>
        <v/>
      </c>
      <c r="AG663">
        <f>IF([3]Entry!$C$666="","",[3]Entry!$C$666)</f>
        <v/>
      </c>
      <c r="AH663">
        <f>IF([3]Entry!$D$666="","",[3]Entry!$D$666)</f>
        <v/>
      </c>
      <c r="AI663">
        <f>IF([3]Entry!$E$666="","",[3]Entry!$E$666)</f>
        <v/>
      </c>
      <c r="AJ663">
        <f>IF([3]Entry!$G$666="","",[3]Entry!$G$666)</f>
        <v/>
      </c>
      <c r="AK663">
        <f>IF([3]Entry!$K$666="","",[3]Entry!$K$666)</f>
        <v/>
      </c>
      <c r="AL663">
        <f>IF([3]Entry!$L$666="","",[3]Entry!$L$666)</f>
        <v/>
      </c>
      <c r="AM663">
        <f>IF([3]Entry!$M$666="","",[3]Entry!$M$666)</f>
        <v/>
      </c>
      <c r="AN663">
        <f>IF([3]Entry!$N$666="","",[3]Entry!$N$666)</f>
        <v/>
      </c>
      <c r="AO663">
        <f>IF([3]Entry!$R$666="","",[3]Entry!$R$666)</f>
        <v/>
      </c>
    </row>
    <row r="664">
      <c r="U664">
        <f>IF([2]Baskol!$B$667="","",[2]Baskol!$B$667)</f>
        <v/>
      </c>
      <c r="V664">
        <f>IF([2]Baskol!$C$667="","",[2]Baskol!$C$667)</f>
        <v/>
      </c>
      <c r="W664">
        <f>IF([2]Baskol!$D$667="","",[2]Baskol!$D$667)</f>
        <v/>
      </c>
      <c r="X664">
        <f>IF([2]Baskol!$E$667="","",[2]Baskol!$E$667)</f>
        <v/>
      </c>
      <c r="Y664">
        <f>IF([2]Baskol!$G$667="","",[2]Baskol!$G$667)</f>
        <v/>
      </c>
      <c r="Z664">
        <f>IF([2]Baskol!$I$667="","",[2]Baskol!$I$667)</f>
        <v/>
      </c>
      <c r="AA664">
        <f>IF([2]Baskol!$J$667="","",[2]Baskol!$J$667)</f>
        <v/>
      </c>
      <c r="AB664">
        <f>IF([2]Baskol!$K$667="","",[2]Baskol!$K$667)</f>
        <v/>
      </c>
      <c r="AC664">
        <f>IF([2]Baskol!$L$667="","",[2]Baskol!$L$667)</f>
        <v/>
      </c>
      <c r="AD664">
        <f>IF([2]Baskol!$N$667="","",[2]Baskol!$N$667)</f>
        <v/>
      </c>
      <c r="AE664">
        <f>IF([2]Baskol!$O$667="","",[2]Baskol!$O$667)</f>
        <v/>
      </c>
      <c r="AG664">
        <f>IF([3]Entry!$C$667="","",[3]Entry!$C$667)</f>
        <v/>
      </c>
      <c r="AH664">
        <f>IF([3]Entry!$D$667="","",[3]Entry!$D$667)</f>
        <v/>
      </c>
      <c r="AI664">
        <f>IF([3]Entry!$E$667="","",[3]Entry!$E$667)</f>
        <v/>
      </c>
      <c r="AJ664">
        <f>IF([3]Entry!$G$667="","",[3]Entry!$G$667)</f>
        <v/>
      </c>
      <c r="AK664">
        <f>IF([3]Entry!$K$667="","",[3]Entry!$K$667)</f>
        <v/>
      </c>
      <c r="AL664">
        <f>IF([3]Entry!$L$667="","",[3]Entry!$L$667)</f>
        <v/>
      </c>
      <c r="AM664">
        <f>IF([3]Entry!$M$667="","",[3]Entry!$M$667)</f>
        <v/>
      </c>
      <c r="AN664">
        <f>IF([3]Entry!$N$667="","",[3]Entry!$N$667)</f>
        <v/>
      </c>
      <c r="AO664">
        <f>IF([3]Entry!$R$667="","",[3]Entry!$R$667)</f>
        <v/>
      </c>
    </row>
    <row r="665">
      <c r="U665">
        <f>IF([2]Baskol!$B$668="","",[2]Baskol!$B$668)</f>
        <v/>
      </c>
      <c r="V665">
        <f>IF([2]Baskol!$C$668="","",[2]Baskol!$C$668)</f>
        <v/>
      </c>
      <c r="W665">
        <f>IF([2]Baskol!$D$668="","",[2]Baskol!$D$668)</f>
        <v/>
      </c>
      <c r="X665">
        <f>IF([2]Baskol!$E$668="","",[2]Baskol!$E$668)</f>
        <v/>
      </c>
      <c r="Y665">
        <f>IF([2]Baskol!$G$668="","",[2]Baskol!$G$668)</f>
        <v/>
      </c>
      <c r="Z665">
        <f>IF([2]Baskol!$I$668="","",[2]Baskol!$I$668)</f>
        <v/>
      </c>
      <c r="AA665">
        <f>IF([2]Baskol!$J$668="","",[2]Baskol!$J$668)</f>
        <v/>
      </c>
      <c r="AB665">
        <f>IF([2]Baskol!$K$668="","",[2]Baskol!$K$668)</f>
        <v/>
      </c>
      <c r="AC665">
        <f>IF([2]Baskol!$L$668="","",[2]Baskol!$L$668)</f>
        <v/>
      </c>
      <c r="AD665">
        <f>IF([2]Baskol!$N$668="","",[2]Baskol!$N$668)</f>
        <v/>
      </c>
      <c r="AE665">
        <f>IF([2]Baskol!$O$668="","",[2]Baskol!$O$668)</f>
        <v/>
      </c>
      <c r="AG665">
        <f>IF([3]Entry!$C$668="","",[3]Entry!$C$668)</f>
        <v/>
      </c>
      <c r="AH665">
        <f>IF([3]Entry!$D$668="","",[3]Entry!$D$668)</f>
        <v/>
      </c>
      <c r="AI665">
        <f>IF([3]Entry!$E$668="","",[3]Entry!$E$668)</f>
        <v/>
      </c>
      <c r="AJ665">
        <f>IF([3]Entry!$G$668="","",[3]Entry!$G$668)</f>
        <v/>
      </c>
      <c r="AK665">
        <f>IF([3]Entry!$K$668="","",[3]Entry!$K$668)</f>
        <v/>
      </c>
      <c r="AL665">
        <f>IF([3]Entry!$L$668="","",[3]Entry!$L$668)</f>
        <v/>
      </c>
      <c r="AM665">
        <f>IF([3]Entry!$M$668="","",[3]Entry!$M$668)</f>
        <v/>
      </c>
      <c r="AN665">
        <f>IF([3]Entry!$N$668="","",[3]Entry!$N$668)</f>
        <v/>
      </c>
      <c r="AO665">
        <f>IF([3]Entry!$R$668="","",[3]Entry!$R$668)</f>
        <v/>
      </c>
    </row>
    <row r="666">
      <c r="U666">
        <f>IF([2]Baskol!$B$669="","",[2]Baskol!$B$669)</f>
        <v/>
      </c>
      <c r="V666">
        <f>IF([2]Baskol!$C$669="","",[2]Baskol!$C$669)</f>
        <v/>
      </c>
      <c r="W666">
        <f>IF([2]Baskol!$D$669="","",[2]Baskol!$D$669)</f>
        <v/>
      </c>
      <c r="X666">
        <f>IF([2]Baskol!$E$669="","",[2]Baskol!$E$669)</f>
        <v/>
      </c>
      <c r="Y666">
        <f>IF([2]Baskol!$G$669="","",[2]Baskol!$G$669)</f>
        <v/>
      </c>
      <c r="Z666">
        <f>IF([2]Baskol!$I$669="","",[2]Baskol!$I$669)</f>
        <v/>
      </c>
      <c r="AA666">
        <f>IF([2]Baskol!$J$669="","",[2]Baskol!$J$669)</f>
        <v/>
      </c>
      <c r="AB666">
        <f>IF([2]Baskol!$K$669="","",[2]Baskol!$K$669)</f>
        <v/>
      </c>
      <c r="AC666">
        <f>IF([2]Baskol!$L$669="","",[2]Baskol!$L$669)</f>
        <v/>
      </c>
      <c r="AD666">
        <f>IF([2]Baskol!$N$669="","",[2]Baskol!$N$669)</f>
        <v/>
      </c>
      <c r="AE666">
        <f>IF([2]Baskol!$O$669="","",[2]Baskol!$O$669)</f>
        <v/>
      </c>
      <c r="AG666">
        <f>IF([3]Entry!$C$669="","",[3]Entry!$C$669)</f>
        <v/>
      </c>
      <c r="AH666">
        <f>IF([3]Entry!$D$669="","",[3]Entry!$D$669)</f>
        <v/>
      </c>
      <c r="AI666">
        <f>IF([3]Entry!$E$669="","",[3]Entry!$E$669)</f>
        <v/>
      </c>
      <c r="AJ666">
        <f>IF([3]Entry!$G$669="","",[3]Entry!$G$669)</f>
        <v/>
      </c>
      <c r="AK666">
        <f>IF([3]Entry!$K$669="","",[3]Entry!$K$669)</f>
        <v/>
      </c>
      <c r="AL666">
        <f>IF([3]Entry!$L$669="","",[3]Entry!$L$669)</f>
        <v/>
      </c>
      <c r="AM666">
        <f>IF([3]Entry!$M$669="","",[3]Entry!$M$669)</f>
        <v/>
      </c>
      <c r="AN666">
        <f>IF([3]Entry!$N$669="","",[3]Entry!$N$669)</f>
        <v/>
      </c>
      <c r="AO666">
        <f>IF([3]Entry!$R$669="","",[3]Entry!$R$669)</f>
        <v/>
      </c>
    </row>
    <row r="667">
      <c r="U667">
        <f>IF([2]Baskol!$B$670="","",[2]Baskol!$B$670)</f>
        <v/>
      </c>
      <c r="V667">
        <f>IF([2]Baskol!$C$670="","",[2]Baskol!$C$670)</f>
        <v/>
      </c>
      <c r="W667">
        <f>IF([2]Baskol!$D$670="","",[2]Baskol!$D$670)</f>
        <v/>
      </c>
      <c r="X667">
        <f>IF([2]Baskol!$E$670="","",[2]Baskol!$E$670)</f>
        <v/>
      </c>
      <c r="Y667">
        <f>IF([2]Baskol!$G$670="","",[2]Baskol!$G$670)</f>
        <v/>
      </c>
      <c r="Z667">
        <f>IF([2]Baskol!$I$670="","",[2]Baskol!$I$670)</f>
        <v/>
      </c>
      <c r="AA667">
        <f>IF([2]Baskol!$J$670="","",[2]Baskol!$J$670)</f>
        <v/>
      </c>
      <c r="AB667">
        <f>IF([2]Baskol!$K$670="","",[2]Baskol!$K$670)</f>
        <v/>
      </c>
      <c r="AC667">
        <f>IF([2]Baskol!$L$670="","",[2]Baskol!$L$670)</f>
        <v/>
      </c>
      <c r="AD667">
        <f>IF([2]Baskol!$N$670="","",[2]Baskol!$N$670)</f>
        <v/>
      </c>
      <c r="AE667">
        <f>IF([2]Baskol!$O$670="","",[2]Baskol!$O$670)</f>
        <v/>
      </c>
      <c r="AG667">
        <f>IF([3]Entry!$C$670="","",[3]Entry!$C$670)</f>
        <v/>
      </c>
      <c r="AH667">
        <f>IF([3]Entry!$D$670="","",[3]Entry!$D$670)</f>
        <v/>
      </c>
      <c r="AI667">
        <f>IF([3]Entry!$E$670="","",[3]Entry!$E$670)</f>
        <v/>
      </c>
      <c r="AJ667">
        <f>IF([3]Entry!$G$670="","",[3]Entry!$G$670)</f>
        <v/>
      </c>
      <c r="AK667">
        <f>IF([3]Entry!$K$670="","",[3]Entry!$K$670)</f>
        <v/>
      </c>
      <c r="AL667">
        <f>IF([3]Entry!$L$670="","",[3]Entry!$L$670)</f>
        <v/>
      </c>
      <c r="AM667">
        <f>IF([3]Entry!$M$670="","",[3]Entry!$M$670)</f>
        <v/>
      </c>
      <c r="AN667">
        <f>IF([3]Entry!$N$670="","",[3]Entry!$N$670)</f>
        <v/>
      </c>
      <c r="AO667">
        <f>IF([3]Entry!$R$670="","",[3]Entry!$R$670)</f>
        <v/>
      </c>
    </row>
    <row r="668">
      <c r="U668">
        <f>IF([2]Baskol!$B$671="","",[2]Baskol!$B$671)</f>
        <v/>
      </c>
      <c r="V668">
        <f>IF([2]Baskol!$C$671="","",[2]Baskol!$C$671)</f>
        <v/>
      </c>
      <c r="W668">
        <f>IF([2]Baskol!$D$671="","",[2]Baskol!$D$671)</f>
        <v/>
      </c>
      <c r="X668">
        <f>IF([2]Baskol!$E$671="","",[2]Baskol!$E$671)</f>
        <v/>
      </c>
      <c r="Y668">
        <f>IF([2]Baskol!$G$671="","",[2]Baskol!$G$671)</f>
        <v/>
      </c>
      <c r="Z668">
        <f>IF([2]Baskol!$I$671="","",[2]Baskol!$I$671)</f>
        <v/>
      </c>
      <c r="AA668">
        <f>IF([2]Baskol!$J$671="","",[2]Baskol!$J$671)</f>
        <v/>
      </c>
      <c r="AB668">
        <f>IF([2]Baskol!$K$671="","",[2]Baskol!$K$671)</f>
        <v/>
      </c>
      <c r="AC668">
        <f>IF([2]Baskol!$L$671="","",[2]Baskol!$L$671)</f>
        <v/>
      </c>
      <c r="AD668">
        <f>IF([2]Baskol!$N$671="","",[2]Baskol!$N$671)</f>
        <v/>
      </c>
      <c r="AE668">
        <f>IF([2]Baskol!$O$671="","",[2]Baskol!$O$671)</f>
        <v/>
      </c>
      <c r="AG668">
        <f>IF([3]Entry!$C$671="","",[3]Entry!$C$671)</f>
        <v/>
      </c>
      <c r="AH668">
        <f>IF([3]Entry!$D$671="","",[3]Entry!$D$671)</f>
        <v/>
      </c>
      <c r="AI668">
        <f>IF([3]Entry!$E$671="","",[3]Entry!$E$671)</f>
        <v/>
      </c>
      <c r="AJ668">
        <f>IF([3]Entry!$G$671="","",[3]Entry!$G$671)</f>
        <v/>
      </c>
      <c r="AK668">
        <f>IF([3]Entry!$K$671="","",[3]Entry!$K$671)</f>
        <v/>
      </c>
      <c r="AL668">
        <f>IF([3]Entry!$L$671="","",[3]Entry!$L$671)</f>
        <v/>
      </c>
      <c r="AM668">
        <f>IF([3]Entry!$M$671="","",[3]Entry!$M$671)</f>
        <v/>
      </c>
      <c r="AN668">
        <f>IF([3]Entry!$N$671="","",[3]Entry!$N$671)</f>
        <v/>
      </c>
      <c r="AO668">
        <f>IF([3]Entry!$R$671="","",[3]Entry!$R$671)</f>
        <v/>
      </c>
    </row>
    <row r="669">
      <c r="U669">
        <f>IF([2]Baskol!$B$672="","",[2]Baskol!$B$672)</f>
        <v/>
      </c>
      <c r="V669">
        <f>IF([2]Baskol!$C$672="","",[2]Baskol!$C$672)</f>
        <v/>
      </c>
      <c r="W669">
        <f>IF([2]Baskol!$D$672="","",[2]Baskol!$D$672)</f>
        <v/>
      </c>
      <c r="X669">
        <f>IF([2]Baskol!$E$672="","",[2]Baskol!$E$672)</f>
        <v/>
      </c>
      <c r="Y669">
        <f>IF([2]Baskol!$G$672="","",[2]Baskol!$G$672)</f>
        <v/>
      </c>
      <c r="Z669">
        <f>IF([2]Baskol!$I$672="","",[2]Baskol!$I$672)</f>
        <v/>
      </c>
      <c r="AA669">
        <f>IF([2]Baskol!$J$672="","",[2]Baskol!$J$672)</f>
        <v/>
      </c>
      <c r="AB669">
        <f>IF([2]Baskol!$K$672="","",[2]Baskol!$K$672)</f>
        <v/>
      </c>
      <c r="AC669">
        <f>IF([2]Baskol!$L$672="","",[2]Baskol!$L$672)</f>
        <v/>
      </c>
      <c r="AD669">
        <f>IF([2]Baskol!$N$672="","",[2]Baskol!$N$672)</f>
        <v/>
      </c>
      <c r="AE669">
        <f>IF([2]Baskol!$O$672="","",[2]Baskol!$O$672)</f>
        <v/>
      </c>
      <c r="AG669">
        <f>IF([3]Entry!$C$672="","",[3]Entry!$C$672)</f>
        <v/>
      </c>
      <c r="AH669">
        <f>IF([3]Entry!$D$672="","",[3]Entry!$D$672)</f>
        <v/>
      </c>
      <c r="AI669">
        <f>IF([3]Entry!$E$672="","",[3]Entry!$E$672)</f>
        <v/>
      </c>
      <c r="AJ669">
        <f>IF([3]Entry!$G$672="","",[3]Entry!$G$672)</f>
        <v/>
      </c>
      <c r="AK669">
        <f>IF([3]Entry!$K$672="","",[3]Entry!$K$672)</f>
        <v/>
      </c>
      <c r="AL669">
        <f>IF([3]Entry!$L$672="","",[3]Entry!$L$672)</f>
        <v/>
      </c>
      <c r="AM669">
        <f>IF([3]Entry!$M$672="","",[3]Entry!$M$672)</f>
        <v/>
      </c>
      <c r="AN669">
        <f>IF([3]Entry!$N$672="","",[3]Entry!$N$672)</f>
        <v/>
      </c>
      <c r="AO669">
        <f>IF([3]Entry!$R$672="","",[3]Entry!$R$672)</f>
        <v/>
      </c>
    </row>
    <row r="670">
      <c r="U670">
        <f>IF([2]Baskol!$B$673="","",[2]Baskol!$B$673)</f>
        <v/>
      </c>
      <c r="V670">
        <f>IF([2]Baskol!$C$673="","",[2]Baskol!$C$673)</f>
        <v/>
      </c>
      <c r="W670">
        <f>IF([2]Baskol!$D$673="","",[2]Baskol!$D$673)</f>
        <v/>
      </c>
      <c r="X670">
        <f>IF([2]Baskol!$E$673="","",[2]Baskol!$E$673)</f>
        <v/>
      </c>
      <c r="Y670">
        <f>IF([2]Baskol!$G$673="","",[2]Baskol!$G$673)</f>
        <v/>
      </c>
      <c r="Z670">
        <f>IF([2]Baskol!$I$673="","",[2]Baskol!$I$673)</f>
        <v/>
      </c>
      <c r="AA670">
        <f>IF([2]Baskol!$J$673="","",[2]Baskol!$J$673)</f>
        <v/>
      </c>
      <c r="AB670">
        <f>IF([2]Baskol!$K$673="","",[2]Baskol!$K$673)</f>
        <v/>
      </c>
      <c r="AC670">
        <f>IF([2]Baskol!$L$673="","",[2]Baskol!$L$673)</f>
        <v/>
      </c>
      <c r="AD670">
        <f>IF([2]Baskol!$N$673="","",[2]Baskol!$N$673)</f>
        <v/>
      </c>
      <c r="AE670">
        <f>IF([2]Baskol!$O$673="","",[2]Baskol!$O$673)</f>
        <v/>
      </c>
      <c r="AG670">
        <f>IF([3]Entry!$C$673="","",[3]Entry!$C$673)</f>
        <v/>
      </c>
      <c r="AH670">
        <f>IF([3]Entry!$D$673="","",[3]Entry!$D$673)</f>
        <v/>
      </c>
      <c r="AI670">
        <f>IF([3]Entry!$E$673="","",[3]Entry!$E$673)</f>
        <v/>
      </c>
      <c r="AJ670">
        <f>IF([3]Entry!$G$673="","",[3]Entry!$G$673)</f>
        <v/>
      </c>
      <c r="AK670">
        <f>IF([3]Entry!$K$673="","",[3]Entry!$K$673)</f>
        <v/>
      </c>
      <c r="AL670">
        <f>IF([3]Entry!$L$673="","",[3]Entry!$L$673)</f>
        <v/>
      </c>
      <c r="AM670">
        <f>IF([3]Entry!$M$673="","",[3]Entry!$M$673)</f>
        <v/>
      </c>
      <c r="AN670">
        <f>IF([3]Entry!$N$673="","",[3]Entry!$N$673)</f>
        <v/>
      </c>
      <c r="AO670">
        <f>IF([3]Entry!$R$673="","",[3]Entry!$R$673)</f>
        <v/>
      </c>
    </row>
    <row r="671">
      <c r="U671">
        <f>IF([2]Baskol!$B$674="","",[2]Baskol!$B$674)</f>
        <v/>
      </c>
      <c r="V671">
        <f>IF([2]Baskol!$C$674="","",[2]Baskol!$C$674)</f>
        <v/>
      </c>
      <c r="W671">
        <f>IF([2]Baskol!$D$674="","",[2]Baskol!$D$674)</f>
        <v/>
      </c>
      <c r="X671">
        <f>IF([2]Baskol!$E$674="","",[2]Baskol!$E$674)</f>
        <v/>
      </c>
      <c r="Y671">
        <f>IF([2]Baskol!$G$674="","",[2]Baskol!$G$674)</f>
        <v/>
      </c>
      <c r="Z671">
        <f>IF([2]Baskol!$I$674="","",[2]Baskol!$I$674)</f>
        <v/>
      </c>
      <c r="AA671">
        <f>IF([2]Baskol!$J$674="","",[2]Baskol!$J$674)</f>
        <v/>
      </c>
      <c r="AB671">
        <f>IF([2]Baskol!$K$674="","",[2]Baskol!$K$674)</f>
        <v/>
      </c>
      <c r="AC671">
        <f>IF([2]Baskol!$L$674="","",[2]Baskol!$L$674)</f>
        <v/>
      </c>
      <c r="AD671">
        <f>IF([2]Baskol!$N$674="","",[2]Baskol!$N$674)</f>
        <v/>
      </c>
      <c r="AE671">
        <f>IF([2]Baskol!$O$674="","",[2]Baskol!$O$674)</f>
        <v/>
      </c>
      <c r="AG671">
        <f>IF([3]Entry!$C$674="","",[3]Entry!$C$674)</f>
        <v/>
      </c>
      <c r="AH671">
        <f>IF([3]Entry!$D$674="","",[3]Entry!$D$674)</f>
        <v/>
      </c>
      <c r="AI671">
        <f>IF([3]Entry!$E$674="","",[3]Entry!$E$674)</f>
        <v/>
      </c>
      <c r="AJ671">
        <f>IF([3]Entry!$G$674="","",[3]Entry!$G$674)</f>
        <v/>
      </c>
      <c r="AK671">
        <f>IF([3]Entry!$K$674="","",[3]Entry!$K$674)</f>
        <v/>
      </c>
      <c r="AL671">
        <f>IF([3]Entry!$L$674="","",[3]Entry!$L$674)</f>
        <v/>
      </c>
      <c r="AM671">
        <f>IF([3]Entry!$M$674="","",[3]Entry!$M$674)</f>
        <v/>
      </c>
      <c r="AN671">
        <f>IF([3]Entry!$N$674="","",[3]Entry!$N$674)</f>
        <v/>
      </c>
      <c r="AO671">
        <f>IF([3]Entry!$R$674="","",[3]Entry!$R$674)</f>
        <v/>
      </c>
    </row>
    <row r="672">
      <c r="U672">
        <f>IF([2]Baskol!$B$675="","",[2]Baskol!$B$675)</f>
        <v/>
      </c>
      <c r="V672">
        <f>IF([2]Baskol!$C$675="","",[2]Baskol!$C$675)</f>
        <v/>
      </c>
      <c r="W672">
        <f>IF([2]Baskol!$D$675="","",[2]Baskol!$D$675)</f>
        <v/>
      </c>
      <c r="X672">
        <f>IF([2]Baskol!$E$675="","",[2]Baskol!$E$675)</f>
        <v/>
      </c>
      <c r="Y672">
        <f>IF([2]Baskol!$G$675="","",[2]Baskol!$G$675)</f>
        <v/>
      </c>
      <c r="Z672">
        <f>IF([2]Baskol!$I$675="","",[2]Baskol!$I$675)</f>
        <v/>
      </c>
      <c r="AA672">
        <f>IF([2]Baskol!$J$675="","",[2]Baskol!$J$675)</f>
        <v/>
      </c>
      <c r="AB672">
        <f>IF([2]Baskol!$K$675="","",[2]Baskol!$K$675)</f>
        <v/>
      </c>
      <c r="AC672">
        <f>IF([2]Baskol!$L$675="","",[2]Baskol!$L$675)</f>
        <v/>
      </c>
      <c r="AD672">
        <f>IF([2]Baskol!$N$675="","",[2]Baskol!$N$675)</f>
        <v/>
      </c>
      <c r="AE672">
        <f>IF([2]Baskol!$O$675="","",[2]Baskol!$O$675)</f>
        <v/>
      </c>
      <c r="AG672">
        <f>IF([3]Entry!$C$675="","",[3]Entry!$C$675)</f>
        <v/>
      </c>
      <c r="AH672">
        <f>IF([3]Entry!$D$675="","",[3]Entry!$D$675)</f>
        <v/>
      </c>
      <c r="AI672">
        <f>IF([3]Entry!$E$675="","",[3]Entry!$E$675)</f>
        <v/>
      </c>
      <c r="AJ672">
        <f>IF([3]Entry!$G$675="","",[3]Entry!$G$675)</f>
        <v/>
      </c>
      <c r="AK672">
        <f>IF([3]Entry!$K$675="","",[3]Entry!$K$675)</f>
        <v/>
      </c>
      <c r="AL672">
        <f>IF([3]Entry!$L$675="","",[3]Entry!$L$675)</f>
        <v/>
      </c>
      <c r="AM672">
        <f>IF([3]Entry!$M$675="","",[3]Entry!$M$675)</f>
        <v/>
      </c>
      <c r="AN672">
        <f>IF([3]Entry!$N$675="","",[3]Entry!$N$675)</f>
        <v/>
      </c>
      <c r="AO672">
        <f>IF([3]Entry!$R$675="","",[3]Entry!$R$675)</f>
        <v/>
      </c>
    </row>
    <row r="673">
      <c r="U673">
        <f>IF([2]Baskol!$B$676="","",[2]Baskol!$B$676)</f>
        <v/>
      </c>
      <c r="V673">
        <f>IF([2]Baskol!$C$676="","",[2]Baskol!$C$676)</f>
        <v/>
      </c>
      <c r="W673">
        <f>IF([2]Baskol!$D$676="","",[2]Baskol!$D$676)</f>
        <v/>
      </c>
      <c r="X673">
        <f>IF([2]Baskol!$E$676="","",[2]Baskol!$E$676)</f>
        <v/>
      </c>
      <c r="Y673">
        <f>IF([2]Baskol!$G$676="","",[2]Baskol!$G$676)</f>
        <v/>
      </c>
      <c r="Z673">
        <f>IF([2]Baskol!$I$676="","",[2]Baskol!$I$676)</f>
        <v/>
      </c>
      <c r="AA673">
        <f>IF([2]Baskol!$J$676="","",[2]Baskol!$J$676)</f>
        <v/>
      </c>
      <c r="AB673">
        <f>IF([2]Baskol!$K$676="","",[2]Baskol!$K$676)</f>
        <v/>
      </c>
      <c r="AC673">
        <f>IF([2]Baskol!$L$676="","",[2]Baskol!$L$676)</f>
        <v/>
      </c>
      <c r="AD673">
        <f>IF([2]Baskol!$N$676="","",[2]Baskol!$N$676)</f>
        <v/>
      </c>
      <c r="AE673">
        <f>IF([2]Baskol!$O$676="","",[2]Baskol!$O$676)</f>
        <v/>
      </c>
      <c r="AG673">
        <f>IF([3]Entry!$C$676="","",[3]Entry!$C$676)</f>
        <v/>
      </c>
      <c r="AH673">
        <f>IF([3]Entry!$D$676="","",[3]Entry!$D$676)</f>
        <v/>
      </c>
      <c r="AI673">
        <f>IF([3]Entry!$E$676="","",[3]Entry!$E$676)</f>
        <v/>
      </c>
      <c r="AJ673">
        <f>IF([3]Entry!$G$676="","",[3]Entry!$G$676)</f>
        <v/>
      </c>
      <c r="AK673">
        <f>IF([3]Entry!$K$676="","",[3]Entry!$K$676)</f>
        <v/>
      </c>
      <c r="AL673">
        <f>IF([3]Entry!$L$676="","",[3]Entry!$L$676)</f>
        <v/>
      </c>
      <c r="AM673">
        <f>IF([3]Entry!$M$676="","",[3]Entry!$M$676)</f>
        <v/>
      </c>
      <c r="AN673">
        <f>IF([3]Entry!$N$676="","",[3]Entry!$N$676)</f>
        <v/>
      </c>
      <c r="AO673">
        <f>IF([3]Entry!$R$676="","",[3]Entry!$R$676)</f>
        <v/>
      </c>
    </row>
    <row r="674">
      <c r="U674">
        <f>IF([2]Baskol!$B$677="","",[2]Baskol!$B$677)</f>
        <v/>
      </c>
      <c r="V674">
        <f>IF([2]Baskol!$C$677="","",[2]Baskol!$C$677)</f>
        <v/>
      </c>
      <c r="W674">
        <f>IF([2]Baskol!$D$677="","",[2]Baskol!$D$677)</f>
        <v/>
      </c>
      <c r="X674">
        <f>IF([2]Baskol!$E$677="","",[2]Baskol!$E$677)</f>
        <v/>
      </c>
      <c r="Y674">
        <f>IF([2]Baskol!$G$677="","",[2]Baskol!$G$677)</f>
        <v/>
      </c>
      <c r="Z674">
        <f>IF([2]Baskol!$I$677="","",[2]Baskol!$I$677)</f>
        <v/>
      </c>
      <c r="AA674">
        <f>IF([2]Baskol!$J$677="","",[2]Baskol!$J$677)</f>
        <v/>
      </c>
      <c r="AB674">
        <f>IF([2]Baskol!$K$677="","",[2]Baskol!$K$677)</f>
        <v/>
      </c>
      <c r="AC674">
        <f>IF([2]Baskol!$L$677="","",[2]Baskol!$L$677)</f>
        <v/>
      </c>
      <c r="AD674">
        <f>IF([2]Baskol!$N$677="","",[2]Baskol!$N$677)</f>
        <v/>
      </c>
      <c r="AE674">
        <f>IF([2]Baskol!$O$677="","",[2]Baskol!$O$677)</f>
        <v/>
      </c>
      <c r="AG674">
        <f>IF([3]Entry!$C$677="","",[3]Entry!$C$677)</f>
        <v/>
      </c>
      <c r="AH674">
        <f>IF([3]Entry!$D$677="","",[3]Entry!$D$677)</f>
        <v/>
      </c>
      <c r="AI674">
        <f>IF([3]Entry!$E$677="","",[3]Entry!$E$677)</f>
        <v/>
      </c>
      <c r="AJ674">
        <f>IF([3]Entry!$G$677="","",[3]Entry!$G$677)</f>
        <v/>
      </c>
      <c r="AK674">
        <f>IF([3]Entry!$K$677="","",[3]Entry!$K$677)</f>
        <v/>
      </c>
      <c r="AL674">
        <f>IF([3]Entry!$L$677="","",[3]Entry!$L$677)</f>
        <v/>
      </c>
      <c r="AM674">
        <f>IF([3]Entry!$M$677="","",[3]Entry!$M$677)</f>
        <v/>
      </c>
      <c r="AN674">
        <f>IF([3]Entry!$N$677="","",[3]Entry!$N$677)</f>
        <v/>
      </c>
      <c r="AO674">
        <f>IF([3]Entry!$R$677="","",[3]Entry!$R$677)</f>
        <v/>
      </c>
    </row>
    <row r="675">
      <c r="U675">
        <f>IF([2]Baskol!$B$678="","",[2]Baskol!$B$678)</f>
        <v/>
      </c>
      <c r="V675">
        <f>IF([2]Baskol!$C$678="","",[2]Baskol!$C$678)</f>
        <v/>
      </c>
      <c r="W675">
        <f>IF([2]Baskol!$D$678="","",[2]Baskol!$D$678)</f>
        <v/>
      </c>
      <c r="X675">
        <f>IF([2]Baskol!$E$678="","",[2]Baskol!$E$678)</f>
        <v/>
      </c>
      <c r="Y675">
        <f>IF([2]Baskol!$G$678="","",[2]Baskol!$G$678)</f>
        <v/>
      </c>
      <c r="Z675">
        <f>IF([2]Baskol!$I$678="","",[2]Baskol!$I$678)</f>
        <v/>
      </c>
      <c r="AA675">
        <f>IF([2]Baskol!$J$678="","",[2]Baskol!$J$678)</f>
        <v/>
      </c>
      <c r="AB675">
        <f>IF([2]Baskol!$K$678="","",[2]Baskol!$K$678)</f>
        <v/>
      </c>
      <c r="AC675">
        <f>IF([2]Baskol!$L$678="","",[2]Baskol!$L$678)</f>
        <v/>
      </c>
      <c r="AD675">
        <f>IF([2]Baskol!$N$678="","",[2]Baskol!$N$678)</f>
        <v/>
      </c>
      <c r="AE675">
        <f>IF([2]Baskol!$O$678="","",[2]Baskol!$O$678)</f>
        <v/>
      </c>
      <c r="AG675">
        <f>IF([3]Entry!$C$678="","",[3]Entry!$C$678)</f>
        <v/>
      </c>
      <c r="AH675">
        <f>IF([3]Entry!$D$678="","",[3]Entry!$D$678)</f>
        <v/>
      </c>
      <c r="AI675">
        <f>IF([3]Entry!$E$678="","",[3]Entry!$E$678)</f>
        <v/>
      </c>
      <c r="AJ675">
        <f>IF([3]Entry!$G$678="","",[3]Entry!$G$678)</f>
        <v/>
      </c>
      <c r="AK675">
        <f>IF([3]Entry!$K$678="","",[3]Entry!$K$678)</f>
        <v/>
      </c>
      <c r="AL675">
        <f>IF([3]Entry!$L$678="","",[3]Entry!$L$678)</f>
        <v/>
      </c>
      <c r="AM675">
        <f>IF([3]Entry!$M$678="","",[3]Entry!$M$678)</f>
        <v/>
      </c>
      <c r="AN675">
        <f>IF([3]Entry!$N$678="","",[3]Entry!$N$678)</f>
        <v/>
      </c>
      <c r="AO675">
        <f>IF([3]Entry!$R$678="","",[3]Entry!$R$678)</f>
        <v/>
      </c>
    </row>
    <row r="676">
      <c r="U676">
        <f>IF([2]Baskol!$B$679="","",[2]Baskol!$B$679)</f>
        <v/>
      </c>
      <c r="V676">
        <f>IF([2]Baskol!$C$679="","",[2]Baskol!$C$679)</f>
        <v/>
      </c>
      <c r="W676">
        <f>IF([2]Baskol!$D$679="","",[2]Baskol!$D$679)</f>
        <v/>
      </c>
      <c r="X676">
        <f>IF([2]Baskol!$E$679="","",[2]Baskol!$E$679)</f>
        <v/>
      </c>
      <c r="Y676">
        <f>IF([2]Baskol!$G$679="","",[2]Baskol!$G$679)</f>
        <v/>
      </c>
      <c r="Z676">
        <f>IF([2]Baskol!$I$679="","",[2]Baskol!$I$679)</f>
        <v/>
      </c>
      <c r="AA676">
        <f>IF([2]Baskol!$J$679="","",[2]Baskol!$J$679)</f>
        <v/>
      </c>
      <c r="AB676">
        <f>IF([2]Baskol!$K$679="","",[2]Baskol!$K$679)</f>
        <v/>
      </c>
      <c r="AC676">
        <f>IF([2]Baskol!$L$679="","",[2]Baskol!$L$679)</f>
        <v/>
      </c>
      <c r="AD676">
        <f>IF([2]Baskol!$N$679="","",[2]Baskol!$N$679)</f>
        <v/>
      </c>
      <c r="AE676">
        <f>IF([2]Baskol!$O$679="","",[2]Baskol!$O$679)</f>
        <v/>
      </c>
      <c r="AG676">
        <f>IF([3]Entry!$C$679="","",[3]Entry!$C$679)</f>
        <v/>
      </c>
      <c r="AH676">
        <f>IF([3]Entry!$D$679="","",[3]Entry!$D$679)</f>
        <v/>
      </c>
      <c r="AI676">
        <f>IF([3]Entry!$E$679="","",[3]Entry!$E$679)</f>
        <v/>
      </c>
      <c r="AJ676">
        <f>IF([3]Entry!$G$679="","",[3]Entry!$G$679)</f>
        <v/>
      </c>
      <c r="AK676">
        <f>IF([3]Entry!$K$679="","",[3]Entry!$K$679)</f>
        <v/>
      </c>
      <c r="AL676">
        <f>IF([3]Entry!$L$679="","",[3]Entry!$L$679)</f>
        <v/>
      </c>
      <c r="AM676">
        <f>IF([3]Entry!$M$679="","",[3]Entry!$M$679)</f>
        <v/>
      </c>
      <c r="AN676">
        <f>IF([3]Entry!$N$679="","",[3]Entry!$N$679)</f>
        <v/>
      </c>
      <c r="AO676">
        <f>IF([3]Entry!$R$679="","",[3]Entry!$R$679)</f>
        <v/>
      </c>
    </row>
    <row r="677">
      <c r="U677">
        <f>IF([2]Baskol!$B$680="","",[2]Baskol!$B$680)</f>
        <v/>
      </c>
      <c r="V677">
        <f>IF([2]Baskol!$C$680="","",[2]Baskol!$C$680)</f>
        <v/>
      </c>
      <c r="W677">
        <f>IF([2]Baskol!$D$680="","",[2]Baskol!$D$680)</f>
        <v/>
      </c>
      <c r="X677">
        <f>IF([2]Baskol!$E$680="","",[2]Baskol!$E$680)</f>
        <v/>
      </c>
      <c r="Y677">
        <f>IF([2]Baskol!$G$680="","",[2]Baskol!$G$680)</f>
        <v/>
      </c>
      <c r="Z677">
        <f>IF([2]Baskol!$I$680="","",[2]Baskol!$I$680)</f>
        <v/>
      </c>
      <c r="AA677">
        <f>IF([2]Baskol!$J$680="","",[2]Baskol!$J$680)</f>
        <v/>
      </c>
      <c r="AB677">
        <f>IF([2]Baskol!$K$680="","",[2]Baskol!$K$680)</f>
        <v/>
      </c>
      <c r="AC677">
        <f>IF([2]Baskol!$L$680="","",[2]Baskol!$L$680)</f>
        <v/>
      </c>
      <c r="AD677">
        <f>IF([2]Baskol!$N$680="","",[2]Baskol!$N$680)</f>
        <v/>
      </c>
      <c r="AE677">
        <f>IF([2]Baskol!$O$680="","",[2]Baskol!$O$680)</f>
        <v/>
      </c>
      <c r="AG677">
        <f>IF([3]Entry!$C$680="","",[3]Entry!$C$680)</f>
        <v/>
      </c>
      <c r="AH677">
        <f>IF([3]Entry!$D$680="","",[3]Entry!$D$680)</f>
        <v/>
      </c>
      <c r="AI677">
        <f>IF([3]Entry!$E$680="","",[3]Entry!$E$680)</f>
        <v/>
      </c>
      <c r="AJ677">
        <f>IF([3]Entry!$G$680="","",[3]Entry!$G$680)</f>
        <v/>
      </c>
      <c r="AK677">
        <f>IF([3]Entry!$K$680="","",[3]Entry!$K$680)</f>
        <v/>
      </c>
      <c r="AL677">
        <f>IF([3]Entry!$L$680="","",[3]Entry!$L$680)</f>
        <v/>
      </c>
      <c r="AM677">
        <f>IF([3]Entry!$M$680="","",[3]Entry!$M$680)</f>
        <v/>
      </c>
      <c r="AN677">
        <f>IF([3]Entry!$N$680="","",[3]Entry!$N$680)</f>
        <v/>
      </c>
      <c r="AO677">
        <f>IF([3]Entry!$R$680="","",[3]Entry!$R$680)</f>
        <v/>
      </c>
    </row>
    <row r="678">
      <c r="U678">
        <f>IF([2]Baskol!$B$681="","",[2]Baskol!$B$681)</f>
        <v/>
      </c>
      <c r="V678">
        <f>IF([2]Baskol!$C$681="","",[2]Baskol!$C$681)</f>
        <v/>
      </c>
      <c r="W678">
        <f>IF([2]Baskol!$D$681="","",[2]Baskol!$D$681)</f>
        <v/>
      </c>
      <c r="X678">
        <f>IF([2]Baskol!$E$681="","",[2]Baskol!$E$681)</f>
        <v/>
      </c>
      <c r="Y678">
        <f>IF([2]Baskol!$G$681="","",[2]Baskol!$G$681)</f>
        <v/>
      </c>
      <c r="Z678">
        <f>IF([2]Baskol!$I$681="","",[2]Baskol!$I$681)</f>
        <v/>
      </c>
      <c r="AA678">
        <f>IF([2]Baskol!$J$681="","",[2]Baskol!$J$681)</f>
        <v/>
      </c>
      <c r="AB678">
        <f>IF([2]Baskol!$K$681="","",[2]Baskol!$K$681)</f>
        <v/>
      </c>
      <c r="AC678">
        <f>IF([2]Baskol!$L$681="","",[2]Baskol!$L$681)</f>
        <v/>
      </c>
      <c r="AD678">
        <f>IF([2]Baskol!$N$681="","",[2]Baskol!$N$681)</f>
        <v/>
      </c>
      <c r="AE678">
        <f>IF([2]Baskol!$O$681="","",[2]Baskol!$O$681)</f>
        <v/>
      </c>
      <c r="AG678">
        <f>IF([3]Entry!$C$681="","",[3]Entry!$C$681)</f>
        <v/>
      </c>
      <c r="AH678">
        <f>IF([3]Entry!$D$681="","",[3]Entry!$D$681)</f>
        <v/>
      </c>
      <c r="AI678">
        <f>IF([3]Entry!$E$681="","",[3]Entry!$E$681)</f>
        <v/>
      </c>
      <c r="AJ678">
        <f>IF([3]Entry!$G$681="","",[3]Entry!$G$681)</f>
        <v/>
      </c>
      <c r="AK678">
        <f>IF([3]Entry!$K$681="","",[3]Entry!$K$681)</f>
        <v/>
      </c>
      <c r="AL678">
        <f>IF([3]Entry!$L$681="","",[3]Entry!$L$681)</f>
        <v/>
      </c>
      <c r="AM678">
        <f>IF([3]Entry!$M$681="","",[3]Entry!$M$681)</f>
        <v/>
      </c>
      <c r="AN678">
        <f>IF([3]Entry!$N$681="","",[3]Entry!$N$681)</f>
        <v/>
      </c>
      <c r="AO678">
        <f>IF([3]Entry!$R$681="","",[3]Entry!$R$681)</f>
        <v/>
      </c>
    </row>
    <row r="679">
      <c r="U679">
        <f>IF([2]Baskol!$B$682="","",[2]Baskol!$B$682)</f>
        <v/>
      </c>
      <c r="V679">
        <f>IF([2]Baskol!$C$682="","",[2]Baskol!$C$682)</f>
        <v/>
      </c>
      <c r="W679">
        <f>IF([2]Baskol!$D$682="","",[2]Baskol!$D$682)</f>
        <v/>
      </c>
      <c r="X679">
        <f>IF([2]Baskol!$E$682="","",[2]Baskol!$E$682)</f>
        <v/>
      </c>
      <c r="Y679">
        <f>IF([2]Baskol!$G$682="","",[2]Baskol!$G$682)</f>
        <v/>
      </c>
      <c r="Z679">
        <f>IF([2]Baskol!$I$682="","",[2]Baskol!$I$682)</f>
        <v/>
      </c>
      <c r="AA679">
        <f>IF([2]Baskol!$J$682="","",[2]Baskol!$J$682)</f>
        <v/>
      </c>
      <c r="AB679">
        <f>IF([2]Baskol!$K$682="","",[2]Baskol!$K$682)</f>
        <v/>
      </c>
      <c r="AC679">
        <f>IF([2]Baskol!$L$682="","",[2]Baskol!$L$682)</f>
        <v/>
      </c>
      <c r="AD679">
        <f>IF([2]Baskol!$N$682="","",[2]Baskol!$N$682)</f>
        <v/>
      </c>
      <c r="AE679">
        <f>IF([2]Baskol!$O$682="","",[2]Baskol!$O$682)</f>
        <v/>
      </c>
      <c r="AG679">
        <f>IF([3]Entry!$C$682="","",[3]Entry!$C$682)</f>
        <v/>
      </c>
      <c r="AH679">
        <f>IF([3]Entry!$D$682="","",[3]Entry!$D$682)</f>
        <v/>
      </c>
      <c r="AI679">
        <f>IF([3]Entry!$E$682="","",[3]Entry!$E$682)</f>
        <v/>
      </c>
      <c r="AJ679">
        <f>IF([3]Entry!$G$682="","",[3]Entry!$G$682)</f>
        <v/>
      </c>
      <c r="AK679">
        <f>IF([3]Entry!$K$682="","",[3]Entry!$K$682)</f>
        <v/>
      </c>
      <c r="AL679">
        <f>IF([3]Entry!$L$682="","",[3]Entry!$L$682)</f>
        <v/>
      </c>
      <c r="AM679">
        <f>IF([3]Entry!$M$682="","",[3]Entry!$M$682)</f>
        <v/>
      </c>
      <c r="AN679">
        <f>IF([3]Entry!$N$682="","",[3]Entry!$N$682)</f>
        <v/>
      </c>
      <c r="AO679">
        <f>IF([3]Entry!$R$682="","",[3]Entry!$R$682)</f>
        <v/>
      </c>
    </row>
    <row r="680">
      <c r="U680">
        <f>IF([2]Baskol!$B$683="","",[2]Baskol!$B$683)</f>
        <v/>
      </c>
      <c r="V680">
        <f>IF([2]Baskol!$C$683="","",[2]Baskol!$C$683)</f>
        <v/>
      </c>
      <c r="W680">
        <f>IF([2]Baskol!$D$683="","",[2]Baskol!$D$683)</f>
        <v/>
      </c>
      <c r="X680">
        <f>IF([2]Baskol!$E$683="","",[2]Baskol!$E$683)</f>
        <v/>
      </c>
      <c r="Y680">
        <f>IF([2]Baskol!$G$683="","",[2]Baskol!$G$683)</f>
        <v/>
      </c>
      <c r="Z680">
        <f>IF([2]Baskol!$I$683="","",[2]Baskol!$I$683)</f>
        <v/>
      </c>
      <c r="AA680">
        <f>IF([2]Baskol!$J$683="","",[2]Baskol!$J$683)</f>
        <v/>
      </c>
      <c r="AB680">
        <f>IF([2]Baskol!$K$683="","",[2]Baskol!$K$683)</f>
        <v/>
      </c>
      <c r="AC680">
        <f>IF([2]Baskol!$L$683="","",[2]Baskol!$L$683)</f>
        <v/>
      </c>
      <c r="AD680">
        <f>IF([2]Baskol!$N$683="","",[2]Baskol!$N$683)</f>
        <v/>
      </c>
      <c r="AE680">
        <f>IF([2]Baskol!$O$683="","",[2]Baskol!$O$683)</f>
        <v/>
      </c>
      <c r="AG680">
        <f>IF([3]Entry!$C$683="","",[3]Entry!$C$683)</f>
        <v/>
      </c>
      <c r="AH680">
        <f>IF([3]Entry!$D$683="","",[3]Entry!$D$683)</f>
        <v/>
      </c>
      <c r="AI680">
        <f>IF([3]Entry!$E$683="","",[3]Entry!$E$683)</f>
        <v/>
      </c>
      <c r="AJ680">
        <f>IF([3]Entry!$G$683="","",[3]Entry!$G$683)</f>
        <v/>
      </c>
      <c r="AK680">
        <f>IF([3]Entry!$K$683="","",[3]Entry!$K$683)</f>
        <v/>
      </c>
      <c r="AL680">
        <f>IF([3]Entry!$L$683="","",[3]Entry!$L$683)</f>
        <v/>
      </c>
      <c r="AM680">
        <f>IF([3]Entry!$M$683="","",[3]Entry!$M$683)</f>
        <v/>
      </c>
      <c r="AN680">
        <f>IF([3]Entry!$N$683="","",[3]Entry!$N$683)</f>
        <v/>
      </c>
      <c r="AO680">
        <f>IF([3]Entry!$R$683="","",[3]Entry!$R$683)</f>
        <v/>
      </c>
    </row>
    <row r="681">
      <c r="U681">
        <f>IF([2]Baskol!$B$684="","",[2]Baskol!$B$684)</f>
        <v/>
      </c>
      <c r="V681">
        <f>IF([2]Baskol!$C$684="","",[2]Baskol!$C$684)</f>
        <v/>
      </c>
      <c r="W681">
        <f>IF([2]Baskol!$D$684="","",[2]Baskol!$D$684)</f>
        <v/>
      </c>
      <c r="X681">
        <f>IF([2]Baskol!$E$684="","",[2]Baskol!$E$684)</f>
        <v/>
      </c>
      <c r="Y681">
        <f>IF([2]Baskol!$G$684="","",[2]Baskol!$G$684)</f>
        <v/>
      </c>
      <c r="Z681">
        <f>IF([2]Baskol!$I$684="","",[2]Baskol!$I$684)</f>
        <v/>
      </c>
      <c r="AA681">
        <f>IF([2]Baskol!$J$684="","",[2]Baskol!$J$684)</f>
        <v/>
      </c>
      <c r="AB681">
        <f>IF([2]Baskol!$K$684="","",[2]Baskol!$K$684)</f>
        <v/>
      </c>
      <c r="AC681">
        <f>IF([2]Baskol!$L$684="","",[2]Baskol!$L$684)</f>
        <v/>
      </c>
      <c r="AD681">
        <f>IF([2]Baskol!$N$684="","",[2]Baskol!$N$684)</f>
        <v/>
      </c>
      <c r="AE681">
        <f>IF([2]Baskol!$O$684="","",[2]Baskol!$O$684)</f>
        <v/>
      </c>
      <c r="AG681">
        <f>IF([3]Entry!$C$684="","",[3]Entry!$C$684)</f>
        <v/>
      </c>
      <c r="AH681">
        <f>IF([3]Entry!$D$684="","",[3]Entry!$D$684)</f>
        <v/>
      </c>
      <c r="AI681">
        <f>IF([3]Entry!$E$684="","",[3]Entry!$E$684)</f>
        <v/>
      </c>
      <c r="AJ681">
        <f>IF([3]Entry!$G$684="","",[3]Entry!$G$684)</f>
        <v/>
      </c>
      <c r="AK681">
        <f>IF([3]Entry!$K$684="","",[3]Entry!$K$684)</f>
        <v/>
      </c>
      <c r="AL681">
        <f>IF([3]Entry!$L$684="","",[3]Entry!$L$684)</f>
        <v/>
      </c>
      <c r="AM681">
        <f>IF([3]Entry!$M$684="","",[3]Entry!$M$684)</f>
        <v/>
      </c>
      <c r="AN681">
        <f>IF([3]Entry!$N$684="","",[3]Entry!$N$684)</f>
        <v/>
      </c>
      <c r="AO681">
        <f>IF([3]Entry!$R$684="","",[3]Entry!$R$684)</f>
        <v/>
      </c>
    </row>
    <row r="682">
      <c r="U682">
        <f>IF([2]Baskol!$B$685="","",[2]Baskol!$B$685)</f>
        <v/>
      </c>
      <c r="V682">
        <f>IF([2]Baskol!$C$685="","",[2]Baskol!$C$685)</f>
        <v/>
      </c>
      <c r="W682">
        <f>IF([2]Baskol!$D$685="","",[2]Baskol!$D$685)</f>
        <v/>
      </c>
      <c r="X682">
        <f>IF([2]Baskol!$E$685="","",[2]Baskol!$E$685)</f>
        <v/>
      </c>
      <c r="Y682">
        <f>IF([2]Baskol!$G$685="","",[2]Baskol!$G$685)</f>
        <v/>
      </c>
      <c r="Z682">
        <f>IF([2]Baskol!$I$685="","",[2]Baskol!$I$685)</f>
        <v/>
      </c>
      <c r="AA682">
        <f>IF([2]Baskol!$J$685="","",[2]Baskol!$J$685)</f>
        <v/>
      </c>
      <c r="AB682">
        <f>IF([2]Baskol!$K$685="","",[2]Baskol!$K$685)</f>
        <v/>
      </c>
      <c r="AC682">
        <f>IF([2]Baskol!$L$685="","",[2]Baskol!$L$685)</f>
        <v/>
      </c>
      <c r="AD682">
        <f>IF([2]Baskol!$N$685="","",[2]Baskol!$N$685)</f>
        <v/>
      </c>
      <c r="AE682">
        <f>IF([2]Baskol!$O$685="","",[2]Baskol!$O$685)</f>
        <v/>
      </c>
      <c r="AG682">
        <f>IF([3]Entry!$C$685="","",[3]Entry!$C$685)</f>
        <v/>
      </c>
      <c r="AH682">
        <f>IF([3]Entry!$D$685="","",[3]Entry!$D$685)</f>
        <v/>
      </c>
      <c r="AI682">
        <f>IF([3]Entry!$E$685="","",[3]Entry!$E$685)</f>
        <v/>
      </c>
      <c r="AJ682">
        <f>IF([3]Entry!$G$685="","",[3]Entry!$G$685)</f>
        <v/>
      </c>
      <c r="AK682">
        <f>IF([3]Entry!$K$685="","",[3]Entry!$K$685)</f>
        <v/>
      </c>
      <c r="AL682">
        <f>IF([3]Entry!$L$685="","",[3]Entry!$L$685)</f>
        <v/>
      </c>
      <c r="AM682">
        <f>IF([3]Entry!$M$685="","",[3]Entry!$M$685)</f>
        <v/>
      </c>
      <c r="AN682">
        <f>IF([3]Entry!$N$685="","",[3]Entry!$N$685)</f>
        <v/>
      </c>
      <c r="AO682">
        <f>IF([3]Entry!$R$685="","",[3]Entry!$R$685)</f>
        <v/>
      </c>
    </row>
    <row r="683">
      <c r="U683">
        <f>IF([2]Baskol!$B$686="","",[2]Baskol!$B$686)</f>
        <v/>
      </c>
      <c r="V683">
        <f>IF([2]Baskol!$C$686="","",[2]Baskol!$C$686)</f>
        <v/>
      </c>
      <c r="W683">
        <f>IF([2]Baskol!$D$686="","",[2]Baskol!$D$686)</f>
        <v/>
      </c>
      <c r="X683">
        <f>IF([2]Baskol!$E$686="","",[2]Baskol!$E$686)</f>
        <v/>
      </c>
      <c r="Y683">
        <f>IF([2]Baskol!$G$686="","",[2]Baskol!$G$686)</f>
        <v/>
      </c>
      <c r="Z683">
        <f>IF([2]Baskol!$I$686="","",[2]Baskol!$I$686)</f>
        <v/>
      </c>
      <c r="AA683">
        <f>IF([2]Baskol!$J$686="","",[2]Baskol!$J$686)</f>
        <v/>
      </c>
      <c r="AB683">
        <f>IF([2]Baskol!$K$686="","",[2]Baskol!$K$686)</f>
        <v/>
      </c>
      <c r="AC683">
        <f>IF([2]Baskol!$L$686="","",[2]Baskol!$L$686)</f>
        <v/>
      </c>
      <c r="AD683">
        <f>IF([2]Baskol!$N$686="","",[2]Baskol!$N$686)</f>
        <v/>
      </c>
      <c r="AE683">
        <f>IF([2]Baskol!$O$686="","",[2]Baskol!$O$686)</f>
        <v/>
      </c>
      <c r="AG683">
        <f>IF([3]Entry!$C$686="","",[3]Entry!$C$686)</f>
        <v/>
      </c>
      <c r="AH683">
        <f>IF([3]Entry!$D$686="","",[3]Entry!$D$686)</f>
        <v/>
      </c>
      <c r="AI683">
        <f>IF([3]Entry!$E$686="","",[3]Entry!$E$686)</f>
        <v/>
      </c>
      <c r="AJ683">
        <f>IF([3]Entry!$G$686="","",[3]Entry!$G$686)</f>
        <v/>
      </c>
      <c r="AK683">
        <f>IF([3]Entry!$K$686="","",[3]Entry!$K$686)</f>
        <v/>
      </c>
      <c r="AL683">
        <f>IF([3]Entry!$L$686="","",[3]Entry!$L$686)</f>
        <v/>
      </c>
      <c r="AM683">
        <f>IF([3]Entry!$M$686="","",[3]Entry!$M$686)</f>
        <v/>
      </c>
      <c r="AN683">
        <f>IF([3]Entry!$N$686="","",[3]Entry!$N$686)</f>
        <v/>
      </c>
      <c r="AO683">
        <f>IF([3]Entry!$R$686="","",[3]Entry!$R$686)</f>
        <v/>
      </c>
    </row>
    <row r="684">
      <c r="U684">
        <f>IF([2]Baskol!$B$687="","",[2]Baskol!$B$687)</f>
        <v/>
      </c>
      <c r="V684">
        <f>IF([2]Baskol!$C$687="","",[2]Baskol!$C$687)</f>
        <v/>
      </c>
      <c r="W684">
        <f>IF([2]Baskol!$D$687="","",[2]Baskol!$D$687)</f>
        <v/>
      </c>
      <c r="X684">
        <f>IF([2]Baskol!$E$687="","",[2]Baskol!$E$687)</f>
        <v/>
      </c>
      <c r="Y684">
        <f>IF([2]Baskol!$G$687="","",[2]Baskol!$G$687)</f>
        <v/>
      </c>
      <c r="Z684">
        <f>IF([2]Baskol!$I$687="","",[2]Baskol!$I$687)</f>
        <v/>
      </c>
      <c r="AA684">
        <f>IF([2]Baskol!$J$687="","",[2]Baskol!$J$687)</f>
        <v/>
      </c>
      <c r="AB684">
        <f>IF([2]Baskol!$K$687="","",[2]Baskol!$K$687)</f>
        <v/>
      </c>
      <c r="AC684">
        <f>IF([2]Baskol!$L$687="","",[2]Baskol!$L$687)</f>
        <v/>
      </c>
      <c r="AD684">
        <f>IF([2]Baskol!$N$687="","",[2]Baskol!$N$687)</f>
        <v/>
      </c>
      <c r="AE684">
        <f>IF([2]Baskol!$O$687="","",[2]Baskol!$O$687)</f>
        <v/>
      </c>
      <c r="AG684">
        <f>IF([3]Entry!$C$687="","",[3]Entry!$C$687)</f>
        <v/>
      </c>
      <c r="AH684">
        <f>IF([3]Entry!$D$687="","",[3]Entry!$D$687)</f>
        <v/>
      </c>
      <c r="AI684">
        <f>IF([3]Entry!$E$687="","",[3]Entry!$E$687)</f>
        <v/>
      </c>
      <c r="AJ684">
        <f>IF([3]Entry!$G$687="","",[3]Entry!$G$687)</f>
        <v/>
      </c>
      <c r="AK684">
        <f>IF([3]Entry!$K$687="","",[3]Entry!$K$687)</f>
        <v/>
      </c>
      <c r="AL684">
        <f>IF([3]Entry!$L$687="","",[3]Entry!$L$687)</f>
        <v/>
      </c>
      <c r="AM684">
        <f>IF([3]Entry!$M$687="","",[3]Entry!$M$687)</f>
        <v/>
      </c>
      <c r="AN684">
        <f>IF([3]Entry!$N$687="","",[3]Entry!$N$687)</f>
        <v/>
      </c>
      <c r="AO684">
        <f>IF([3]Entry!$R$687="","",[3]Entry!$R$687)</f>
        <v/>
      </c>
    </row>
    <row r="685">
      <c r="U685">
        <f>IF([2]Baskol!$B$688="","",[2]Baskol!$B$688)</f>
        <v/>
      </c>
      <c r="V685">
        <f>IF([2]Baskol!$C$688="","",[2]Baskol!$C$688)</f>
        <v/>
      </c>
      <c r="W685">
        <f>IF([2]Baskol!$D$688="","",[2]Baskol!$D$688)</f>
        <v/>
      </c>
      <c r="X685">
        <f>IF([2]Baskol!$E$688="","",[2]Baskol!$E$688)</f>
        <v/>
      </c>
      <c r="Y685">
        <f>IF([2]Baskol!$G$688="","",[2]Baskol!$G$688)</f>
        <v/>
      </c>
      <c r="Z685">
        <f>IF([2]Baskol!$I$688="","",[2]Baskol!$I$688)</f>
        <v/>
      </c>
      <c r="AA685">
        <f>IF([2]Baskol!$J$688="","",[2]Baskol!$J$688)</f>
        <v/>
      </c>
      <c r="AB685">
        <f>IF([2]Baskol!$K$688="","",[2]Baskol!$K$688)</f>
        <v/>
      </c>
      <c r="AC685">
        <f>IF([2]Baskol!$L$688="","",[2]Baskol!$L$688)</f>
        <v/>
      </c>
      <c r="AD685">
        <f>IF([2]Baskol!$N$688="","",[2]Baskol!$N$688)</f>
        <v/>
      </c>
      <c r="AE685">
        <f>IF([2]Baskol!$O$688="","",[2]Baskol!$O$688)</f>
        <v/>
      </c>
      <c r="AG685">
        <f>IF([3]Entry!$C$688="","",[3]Entry!$C$688)</f>
        <v/>
      </c>
      <c r="AH685">
        <f>IF([3]Entry!$D$688="","",[3]Entry!$D$688)</f>
        <v/>
      </c>
      <c r="AI685">
        <f>IF([3]Entry!$E$688="","",[3]Entry!$E$688)</f>
        <v/>
      </c>
      <c r="AJ685">
        <f>IF([3]Entry!$G$688="","",[3]Entry!$G$688)</f>
        <v/>
      </c>
      <c r="AK685">
        <f>IF([3]Entry!$K$688="","",[3]Entry!$K$688)</f>
        <v/>
      </c>
      <c r="AL685">
        <f>IF([3]Entry!$L$688="","",[3]Entry!$L$688)</f>
        <v/>
      </c>
      <c r="AM685">
        <f>IF([3]Entry!$M$688="","",[3]Entry!$M$688)</f>
        <v/>
      </c>
      <c r="AN685">
        <f>IF([3]Entry!$N$688="","",[3]Entry!$N$688)</f>
        <v/>
      </c>
      <c r="AO685">
        <f>IF([3]Entry!$R$688="","",[3]Entry!$R$688)</f>
        <v/>
      </c>
    </row>
    <row r="686">
      <c r="U686">
        <f>IF([2]Baskol!$B$689="","",[2]Baskol!$B$689)</f>
        <v/>
      </c>
      <c r="V686">
        <f>IF([2]Baskol!$C$689="","",[2]Baskol!$C$689)</f>
        <v/>
      </c>
      <c r="W686">
        <f>IF([2]Baskol!$D$689="","",[2]Baskol!$D$689)</f>
        <v/>
      </c>
      <c r="X686">
        <f>IF([2]Baskol!$E$689="","",[2]Baskol!$E$689)</f>
        <v/>
      </c>
      <c r="Y686">
        <f>IF([2]Baskol!$G$689="","",[2]Baskol!$G$689)</f>
        <v/>
      </c>
      <c r="Z686">
        <f>IF([2]Baskol!$I$689="","",[2]Baskol!$I$689)</f>
        <v/>
      </c>
      <c r="AA686">
        <f>IF([2]Baskol!$J$689="","",[2]Baskol!$J$689)</f>
        <v/>
      </c>
      <c r="AB686">
        <f>IF([2]Baskol!$K$689="","",[2]Baskol!$K$689)</f>
        <v/>
      </c>
      <c r="AC686">
        <f>IF([2]Baskol!$L$689="","",[2]Baskol!$L$689)</f>
        <v/>
      </c>
      <c r="AD686">
        <f>IF([2]Baskol!$N$689="","",[2]Baskol!$N$689)</f>
        <v/>
      </c>
      <c r="AE686">
        <f>IF([2]Baskol!$O$689="","",[2]Baskol!$O$689)</f>
        <v/>
      </c>
      <c r="AG686">
        <f>IF([3]Entry!$C$689="","",[3]Entry!$C$689)</f>
        <v/>
      </c>
      <c r="AH686">
        <f>IF([3]Entry!$D$689="","",[3]Entry!$D$689)</f>
        <v/>
      </c>
      <c r="AI686">
        <f>IF([3]Entry!$E$689="","",[3]Entry!$E$689)</f>
        <v/>
      </c>
      <c r="AJ686">
        <f>IF([3]Entry!$G$689="","",[3]Entry!$G$689)</f>
        <v/>
      </c>
      <c r="AK686">
        <f>IF([3]Entry!$K$689="","",[3]Entry!$K$689)</f>
        <v/>
      </c>
      <c r="AL686">
        <f>IF([3]Entry!$L$689="","",[3]Entry!$L$689)</f>
        <v/>
      </c>
      <c r="AM686">
        <f>IF([3]Entry!$M$689="","",[3]Entry!$M$689)</f>
        <v/>
      </c>
      <c r="AN686">
        <f>IF([3]Entry!$N$689="","",[3]Entry!$N$689)</f>
        <v/>
      </c>
      <c r="AO686">
        <f>IF([3]Entry!$R$689="","",[3]Entry!$R$689)</f>
        <v/>
      </c>
    </row>
    <row r="687">
      <c r="U687">
        <f>IF([2]Baskol!$B$690="","",[2]Baskol!$B$690)</f>
        <v/>
      </c>
      <c r="V687">
        <f>IF([2]Baskol!$C$690="","",[2]Baskol!$C$690)</f>
        <v/>
      </c>
      <c r="W687">
        <f>IF([2]Baskol!$D$690="","",[2]Baskol!$D$690)</f>
        <v/>
      </c>
      <c r="X687">
        <f>IF([2]Baskol!$E$690="","",[2]Baskol!$E$690)</f>
        <v/>
      </c>
      <c r="Y687">
        <f>IF([2]Baskol!$G$690="","",[2]Baskol!$G$690)</f>
        <v/>
      </c>
      <c r="Z687">
        <f>IF([2]Baskol!$I$690="","",[2]Baskol!$I$690)</f>
        <v/>
      </c>
      <c r="AA687">
        <f>IF([2]Baskol!$J$690="","",[2]Baskol!$J$690)</f>
        <v/>
      </c>
      <c r="AB687">
        <f>IF([2]Baskol!$K$690="","",[2]Baskol!$K$690)</f>
        <v/>
      </c>
      <c r="AC687">
        <f>IF([2]Baskol!$L$690="","",[2]Baskol!$L$690)</f>
        <v/>
      </c>
      <c r="AD687">
        <f>IF([2]Baskol!$N$690="","",[2]Baskol!$N$690)</f>
        <v/>
      </c>
      <c r="AE687">
        <f>IF([2]Baskol!$O$690="","",[2]Baskol!$O$690)</f>
        <v/>
      </c>
      <c r="AG687">
        <f>IF([3]Entry!$C$690="","",[3]Entry!$C$690)</f>
        <v/>
      </c>
      <c r="AH687">
        <f>IF([3]Entry!$D$690="","",[3]Entry!$D$690)</f>
        <v/>
      </c>
      <c r="AI687">
        <f>IF([3]Entry!$E$690="","",[3]Entry!$E$690)</f>
        <v/>
      </c>
      <c r="AJ687">
        <f>IF([3]Entry!$G$690="","",[3]Entry!$G$690)</f>
        <v/>
      </c>
      <c r="AK687">
        <f>IF([3]Entry!$K$690="","",[3]Entry!$K$690)</f>
        <v/>
      </c>
      <c r="AL687">
        <f>IF([3]Entry!$L$690="","",[3]Entry!$L$690)</f>
        <v/>
      </c>
      <c r="AM687">
        <f>IF([3]Entry!$M$690="","",[3]Entry!$M$690)</f>
        <v/>
      </c>
      <c r="AN687">
        <f>IF([3]Entry!$N$690="","",[3]Entry!$N$690)</f>
        <v/>
      </c>
      <c r="AO687">
        <f>IF([3]Entry!$R$690="","",[3]Entry!$R$690)</f>
        <v/>
      </c>
    </row>
    <row r="688">
      <c r="U688">
        <f>IF([2]Baskol!$B$691="","",[2]Baskol!$B$691)</f>
        <v/>
      </c>
      <c r="V688">
        <f>IF([2]Baskol!$C$691="","",[2]Baskol!$C$691)</f>
        <v/>
      </c>
      <c r="W688">
        <f>IF([2]Baskol!$D$691="","",[2]Baskol!$D$691)</f>
        <v/>
      </c>
      <c r="X688">
        <f>IF([2]Baskol!$E$691="","",[2]Baskol!$E$691)</f>
        <v/>
      </c>
      <c r="Y688">
        <f>IF([2]Baskol!$G$691="","",[2]Baskol!$G$691)</f>
        <v/>
      </c>
      <c r="Z688">
        <f>IF([2]Baskol!$I$691="","",[2]Baskol!$I$691)</f>
        <v/>
      </c>
      <c r="AA688">
        <f>IF([2]Baskol!$J$691="","",[2]Baskol!$J$691)</f>
        <v/>
      </c>
      <c r="AB688">
        <f>IF([2]Baskol!$K$691="","",[2]Baskol!$K$691)</f>
        <v/>
      </c>
      <c r="AC688">
        <f>IF([2]Baskol!$L$691="","",[2]Baskol!$L$691)</f>
        <v/>
      </c>
      <c r="AD688">
        <f>IF([2]Baskol!$N$691="","",[2]Baskol!$N$691)</f>
        <v/>
      </c>
      <c r="AE688">
        <f>IF([2]Baskol!$O$691="","",[2]Baskol!$O$691)</f>
        <v/>
      </c>
      <c r="AG688">
        <f>IF([3]Entry!$C$691="","",[3]Entry!$C$691)</f>
        <v/>
      </c>
      <c r="AH688">
        <f>IF([3]Entry!$D$691="","",[3]Entry!$D$691)</f>
        <v/>
      </c>
      <c r="AI688">
        <f>IF([3]Entry!$E$691="","",[3]Entry!$E$691)</f>
        <v/>
      </c>
      <c r="AJ688">
        <f>IF([3]Entry!$G$691="","",[3]Entry!$G$691)</f>
        <v/>
      </c>
      <c r="AK688">
        <f>IF([3]Entry!$K$691="","",[3]Entry!$K$691)</f>
        <v/>
      </c>
      <c r="AL688">
        <f>IF([3]Entry!$L$691="","",[3]Entry!$L$691)</f>
        <v/>
      </c>
      <c r="AM688">
        <f>IF([3]Entry!$M$691="","",[3]Entry!$M$691)</f>
        <v/>
      </c>
      <c r="AN688">
        <f>IF([3]Entry!$N$691="","",[3]Entry!$N$691)</f>
        <v/>
      </c>
      <c r="AO688">
        <f>IF([3]Entry!$R$691="","",[3]Entry!$R$691)</f>
        <v/>
      </c>
    </row>
    <row r="689">
      <c r="U689">
        <f>IF([2]Baskol!$B$692="","",[2]Baskol!$B$692)</f>
        <v/>
      </c>
      <c r="V689">
        <f>IF([2]Baskol!$C$692="","",[2]Baskol!$C$692)</f>
        <v/>
      </c>
      <c r="W689">
        <f>IF([2]Baskol!$D$692="","",[2]Baskol!$D$692)</f>
        <v/>
      </c>
      <c r="X689">
        <f>IF([2]Baskol!$E$692="","",[2]Baskol!$E$692)</f>
        <v/>
      </c>
      <c r="Y689">
        <f>IF([2]Baskol!$G$692="","",[2]Baskol!$G$692)</f>
        <v/>
      </c>
      <c r="Z689">
        <f>IF([2]Baskol!$I$692="","",[2]Baskol!$I$692)</f>
        <v/>
      </c>
      <c r="AA689">
        <f>IF([2]Baskol!$J$692="","",[2]Baskol!$J$692)</f>
        <v/>
      </c>
      <c r="AB689">
        <f>IF([2]Baskol!$K$692="","",[2]Baskol!$K$692)</f>
        <v/>
      </c>
      <c r="AC689">
        <f>IF([2]Baskol!$L$692="","",[2]Baskol!$L$692)</f>
        <v/>
      </c>
      <c r="AD689">
        <f>IF([2]Baskol!$N$692="","",[2]Baskol!$N$692)</f>
        <v/>
      </c>
      <c r="AE689">
        <f>IF([2]Baskol!$O$692="","",[2]Baskol!$O$692)</f>
        <v/>
      </c>
      <c r="AG689">
        <f>IF([3]Entry!$C$692="","",[3]Entry!$C$692)</f>
        <v/>
      </c>
      <c r="AH689">
        <f>IF([3]Entry!$D$692="","",[3]Entry!$D$692)</f>
        <v/>
      </c>
      <c r="AI689">
        <f>IF([3]Entry!$E$692="","",[3]Entry!$E$692)</f>
        <v/>
      </c>
      <c r="AJ689">
        <f>IF([3]Entry!$G$692="","",[3]Entry!$G$692)</f>
        <v/>
      </c>
      <c r="AK689">
        <f>IF([3]Entry!$K$692="","",[3]Entry!$K$692)</f>
        <v/>
      </c>
      <c r="AL689">
        <f>IF([3]Entry!$L$692="","",[3]Entry!$L$692)</f>
        <v/>
      </c>
      <c r="AM689">
        <f>IF([3]Entry!$M$692="","",[3]Entry!$M$692)</f>
        <v/>
      </c>
      <c r="AN689">
        <f>IF([3]Entry!$N$692="","",[3]Entry!$N$692)</f>
        <v/>
      </c>
      <c r="AO689">
        <f>IF([3]Entry!$R$692="","",[3]Entry!$R$692)</f>
        <v/>
      </c>
    </row>
    <row r="690">
      <c r="U690">
        <f>IF([2]Baskol!$B$693="","",[2]Baskol!$B$693)</f>
        <v/>
      </c>
      <c r="V690">
        <f>IF([2]Baskol!$C$693="","",[2]Baskol!$C$693)</f>
        <v/>
      </c>
      <c r="W690">
        <f>IF([2]Baskol!$D$693="","",[2]Baskol!$D$693)</f>
        <v/>
      </c>
      <c r="X690">
        <f>IF([2]Baskol!$E$693="","",[2]Baskol!$E$693)</f>
        <v/>
      </c>
      <c r="Y690">
        <f>IF([2]Baskol!$G$693="","",[2]Baskol!$G$693)</f>
        <v/>
      </c>
      <c r="Z690">
        <f>IF([2]Baskol!$I$693="","",[2]Baskol!$I$693)</f>
        <v/>
      </c>
      <c r="AA690">
        <f>IF([2]Baskol!$J$693="","",[2]Baskol!$J$693)</f>
        <v/>
      </c>
      <c r="AB690">
        <f>IF([2]Baskol!$K$693="","",[2]Baskol!$K$693)</f>
        <v/>
      </c>
      <c r="AC690">
        <f>IF([2]Baskol!$L$693="","",[2]Baskol!$L$693)</f>
        <v/>
      </c>
      <c r="AD690">
        <f>IF([2]Baskol!$N$693="","",[2]Baskol!$N$693)</f>
        <v/>
      </c>
      <c r="AE690">
        <f>IF([2]Baskol!$O$693="","",[2]Baskol!$O$693)</f>
        <v/>
      </c>
      <c r="AG690">
        <f>IF([3]Entry!$C$693="","",[3]Entry!$C$693)</f>
        <v/>
      </c>
      <c r="AH690">
        <f>IF([3]Entry!$D$693="","",[3]Entry!$D$693)</f>
        <v/>
      </c>
      <c r="AI690">
        <f>IF([3]Entry!$E$693="","",[3]Entry!$E$693)</f>
        <v/>
      </c>
      <c r="AJ690">
        <f>IF([3]Entry!$G$693="","",[3]Entry!$G$693)</f>
        <v/>
      </c>
      <c r="AK690">
        <f>IF([3]Entry!$K$693="","",[3]Entry!$K$693)</f>
        <v/>
      </c>
      <c r="AL690">
        <f>IF([3]Entry!$L$693="","",[3]Entry!$L$693)</f>
        <v/>
      </c>
      <c r="AM690">
        <f>IF([3]Entry!$M$693="","",[3]Entry!$M$693)</f>
        <v/>
      </c>
      <c r="AN690">
        <f>IF([3]Entry!$N$693="","",[3]Entry!$N$693)</f>
        <v/>
      </c>
      <c r="AO690">
        <f>IF([3]Entry!$R$693="","",[3]Entry!$R$693)</f>
        <v/>
      </c>
    </row>
    <row r="691">
      <c r="U691">
        <f>IF([2]Baskol!$B$694="","",[2]Baskol!$B$694)</f>
        <v/>
      </c>
      <c r="V691">
        <f>IF([2]Baskol!$C$694="","",[2]Baskol!$C$694)</f>
        <v/>
      </c>
      <c r="W691">
        <f>IF([2]Baskol!$D$694="","",[2]Baskol!$D$694)</f>
        <v/>
      </c>
      <c r="X691">
        <f>IF([2]Baskol!$E$694="","",[2]Baskol!$E$694)</f>
        <v/>
      </c>
      <c r="Y691">
        <f>IF([2]Baskol!$G$694="","",[2]Baskol!$G$694)</f>
        <v/>
      </c>
      <c r="Z691">
        <f>IF([2]Baskol!$I$694="","",[2]Baskol!$I$694)</f>
        <v/>
      </c>
      <c r="AA691">
        <f>IF([2]Baskol!$J$694="","",[2]Baskol!$J$694)</f>
        <v/>
      </c>
      <c r="AB691">
        <f>IF([2]Baskol!$K$694="","",[2]Baskol!$K$694)</f>
        <v/>
      </c>
      <c r="AC691">
        <f>IF([2]Baskol!$L$694="","",[2]Baskol!$L$694)</f>
        <v/>
      </c>
      <c r="AD691">
        <f>IF([2]Baskol!$N$694="","",[2]Baskol!$N$694)</f>
        <v/>
      </c>
      <c r="AE691">
        <f>IF([2]Baskol!$O$694="","",[2]Baskol!$O$694)</f>
        <v/>
      </c>
      <c r="AG691">
        <f>IF([3]Entry!$C$694="","",[3]Entry!$C$694)</f>
        <v/>
      </c>
      <c r="AH691">
        <f>IF([3]Entry!$D$694="","",[3]Entry!$D$694)</f>
        <v/>
      </c>
      <c r="AI691">
        <f>IF([3]Entry!$E$694="","",[3]Entry!$E$694)</f>
        <v/>
      </c>
      <c r="AJ691">
        <f>IF([3]Entry!$G$694="","",[3]Entry!$G$694)</f>
        <v/>
      </c>
      <c r="AK691">
        <f>IF([3]Entry!$K$694="","",[3]Entry!$K$694)</f>
        <v/>
      </c>
      <c r="AL691">
        <f>IF([3]Entry!$L$694="","",[3]Entry!$L$694)</f>
        <v/>
      </c>
      <c r="AM691">
        <f>IF([3]Entry!$M$694="","",[3]Entry!$M$694)</f>
        <v/>
      </c>
      <c r="AN691">
        <f>IF([3]Entry!$N$694="","",[3]Entry!$N$694)</f>
        <v/>
      </c>
      <c r="AO691">
        <f>IF([3]Entry!$R$694="","",[3]Entry!$R$694)</f>
        <v/>
      </c>
    </row>
    <row r="692">
      <c r="U692">
        <f>IF([2]Baskol!$B$695="","",[2]Baskol!$B$695)</f>
        <v/>
      </c>
      <c r="V692">
        <f>IF([2]Baskol!$C$695="","",[2]Baskol!$C$695)</f>
        <v/>
      </c>
      <c r="W692">
        <f>IF([2]Baskol!$D$695="","",[2]Baskol!$D$695)</f>
        <v/>
      </c>
      <c r="X692">
        <f>IF([2]Baskol!$E$695="","",[2]Baskol!$E$695)</f>
        <v/>
      </c>
      <c r="Y692">
        <f>IF([2]Baskol!$G$695="","",[2]Baskol!$G$695)</f>
        <v/>
      </c>
      <c r="Z692">
        <f>IF([2]Baskol!$I$695="","",[2]Baskol!$I$695)</f>
        <v/>
      </c>
      <c r="AA692">
        <f>IF([2]Baskol!$J$695="","",[2]Baskol!$J$695)</f>
        <v/>
      </c>
      <c r="AB692">
        <f>IF([2]Baskol!$K$695="","",[2]Baskol!$K$695)</f>
        <v/>
      </c>
      <c r="AC692">
        <f>IF([2]Baskol!$L$695="","",[2]Baskol!$L$695)</f>
        <v/>
      </c>
      <c r="AD692">
        <f>IF([2]Baskol!$N$695="","",[2]Baskol!$N$695)</f>
        <v/>
      </c>
      <c r="AE692">
        <f>IF([2]Baskol!$O$695="","",[2]Baskol!$O$695)</f>
        <v/>
      </c>
      <c r="AG692">
        <f>IF([3]Entry!$C$695="","",[3]Entry!$C$695)</f>
        <v/>
      </c>
      <c r="AH692">
        <f>IF([3]Entry!$D$695="","",[3]Entry!$D$695)</f>
        <v/>
      </c>
      <c r="AI692">
        <f>IF([3]Entry!$E$695="","",[3]Entry!$E$695)</f>
        <v/>
      </c>
      <c r="AJ692">
        <f>IF([3]Entry!$G$695="","",[3]Entry!$G$695)</f>
        <v/>
      </c>
      <c r="AK692">
        <f>IF([3]Entry!$K$695="","",[3]Entry!$K$695)</f>
        <v/>
      </c>
      <c r="AL692">
        <f>IF([3]Entry!$L$695="","",[3]Entry!$L$695)</f>
        <v/>
      </c>
      <c r="AM692">
        <f>IF([3]Entry!$M$695="","",[3]Entry!$M$695)</f>
        <v/>
      </c>
      <c r="AN692">
        <f>IF([3]Entry!$N$695="","",[3]Entry!$N$695)</f>
        <v/>
      </c>
      <c r="AO692">
        <f>IF([3]Entry!$R$695="","",[3]Entry!$R$695)</f>
        <v/>
      </c>
    </row>
    <row r="693">
      <c r="U693">
        <f>IF([2]Baskol!$B$696="","",[2]Baskol!$B$696)</f>
        <v/>
      </c>
      <c r="V693">
        <f>IF([2]Baskol!$C$696="","",[2]Baskol!$C$696)</f>
        <v/>
      </c>
      <c r="W693">
        <f>IF([2]Baskol!$D$696="","",[2]Baskol!$D$696)</f>
        <v/>
      </c>
      <c r="X693">
        <f>IF([2]Baskol!$E$696="","",[2]Baskol!$E$696)</f>
        <v/>
      </c>
      <c r="Y693">
        <f>IF([2]Baskol!$G$696="","",[2]Baskol!$G$696)</f>
        <v/>
      </c>
      <c r="Z693">
        <f>IF([2]Baskol!$I$696="","",[2]Baskol!$I$696)</f>
        <v/>
      </c>
      <c r="AA693">
        <f>IF([2]Baskol!$J$696="","",[2]Baskol!$J$696)</f>
        <v/>
      </c>
      <c r="AB693">
        <f>IF([2]Baskol!$K$696="","",[2]Baskol!$K$696)</f>
        <v/>
      </c>
      <c r="AC693">
        <f>IF([2]Baskol!$L$696="","",[2]Baskol!$L$696)</f>
        <v/>
      </c>
      <c r="AD693">
        <f>IF([2]Baskol!$N$696="","",[2]Baskol!$N$696)</f>
        <v/>
      </c>
      <c r="AE693">
        <f>IF([2]Baskol!$O$696="","",[2]Baskol!$O$696)</f>
        <v/>
      </c>
      <c r="AG693">
        <f>IF([3]Entry!$C$696="","",[3]Entry!$C$696)</f>
        <v/>
      </c>
      <c r="AH693">
        <f>IF([3]Entry!$D$696="","",[3]Entry!$D$696)</f>
        <v/>
      </c>
      <c r="AI693">
        <f>IF([3]Entry!$E$696="","",[3]Entry!$E$696)</f>
        <v/>
      </c>
      <c r="AJ693">
        <f>IF([3]Entry!$G$696="","",[3]Entry!$G$696)</f>
        <v/>
      </c>
      <c r="AK693">
        <f>IF([3]Entry!$K$696="","",[3]Entry!$K$696)</f>
        <v/>
      </c>
      <c r="AL693">
        <f>IF([3]Entry!$L$696="","",[3]Entry!$L$696)</f>
        <v/>
      </c>
      <c r="AM693">
        <f>IF([3]Entry!$M$696="","",[3]Entry!$M$696)</f>
        <v/>
      </c>
      <c r="AN693">
        <f>IF([3]Entry!$N$696="","",[3]Entry!$N$696)</f>
        <v/>
      </c>
      <c r="AO693">
        <f>IF([3]Entry!$R$696="","",[3]Entry!$R$696)</f>
        <v/>
      </c>
    </row>
    <row r="694">
      <c r="U694">
        <f>IF([2]Baskol!$B$697="","",[2]Baskol!$B$697)</f>
        <v/>
      </c>
      <c r="V694">
        <f>IF([2]Baskol!$C$697="","",[2]Baskol!$C$697)</f>
        <v/>
      </c>
      <c r="W694">
        <f>IF([2]Baskol!$D$697="","",[2]Baskol!$D$697)</f>
        <v/>
      </c>
      <c r="X694">
        <f>IF([2]Baskol!$E$697="","",[2]Baskol!$E$697)</f>
        <v/>
      </c>
      <c r="Y694">
        <f>IF([2]Baskol!$G$697="","",[2]Baskol!$G$697)</f>
        <v/>
      </c>
      <c r="Z694">
        <f>IF([2]Baskol!$I$697="","",[2]Baskol!$I$697)</f>
        <v/>
      </c>
      <c r="AA694">
        <f>IF([2]Baskol!$J$697="","",[2]Baskol!$J$697)</f>
        <v/>
      </c>
      <c r="AB694">
        <f>IF([2]Baskol!$K$697="","",[2]Baskol!$K$697)</f>
        <v/>
      </c>
      <c r="AC694">
        <f>IF([2]Baskol!$L$697="","",[2]Baskol!$L$697)</f>
        <v/>
      </c>
      <c r="AD694">
        <f>IF([2]Baskol!$N$697="","",[2]Baskol!$N$697)</f>
        <v/>
      </c>
      <c r="AE694">
        <f>IF([2]Baskol!$O$697="","",[2]Baskol!$O$697)</f>
        <v/>
      </c>
      <c r="AG694">
        <f>IF([3]Entry!$C$697="","",[3]Entry!$C$697)</f>
        <v/>
      </c>
      <c r="AH694">
        <f>IF([3]Entry!$D$697="","",[3]Entry!$D$697)</f>
        <v/>
      </c>
      <c r="AI694">
        <f>IF([3]Entry!$E$697="","",[3]Entry!$E$697)</f>
        <v/>
      </c>
      <c r="AJ694">
        <f>IF([3]Entry!$G$697="","",[3]Entry!$G$697)</f>
        <v/>
      </c>
      <c r="AK694">
        <f>IF([3]Entry!$K$697="","",[3]Entry!$K$697)</f>
        <v/>
      </c>
      <c r="AL694">
        <f>IF([3]Entry!$L$697="","",[3]Entry!$L$697)</f>
        <v/>
      </c>
      <c r="AM694">
        <f>IF([3]Entry!$M$697="","",[3]Entry!$M$697)</f>
        <v/>
      </c>
      <c r="AN694">
        <f>IF([3]Entry!$N$697="","",[3]Entry!$N$697)</f>
        <v/>
      </c>
      <c r="AO694">
        <f>IF([3]Entry!$R$697="","",[3]Entry!$R$697)</f>
        <v/>
      </c>
    </row>
    <row r="695">
      <c r="U695">
        <f>IF([2]Baskol!$B$698="","",[2]Baskol!$B$698)</f>
        <v/>
      </c>
      <c r="V695">
        <f>IF([2]Baskol!$C$698="","",[2]Baskol!$C$698)</f>
        <v/>
      </c>
      <c r="W695">
        <f>IF([2]Baskol!$D$698="","",[2]Baskol!$D$698)</f>
        <v/>
      </c>
      <c r="X695">
        <f>IF([2]Baskol!$E$698="","",[2]Baskol!$E$698)</f>
        <v/>
      </c>
      <c r="Y695">
        <f>IF([2]Baskol!$G$698="","",[2]Baskol!$G$698)</f>
        <v/>
      </c>
      <c r="Z695">
        <f>IF([2]Baskol!$I$698="","",[2]Baskol!$I$698)</f>
        <v/>
      </c>
      <c r="AA695">
        <f>IF([2]Baskol!$J$698="","",[2]Baskol!$J$698)</f>
        <v/>
      </c>
      <c r="AB695">
        <f>IF([2]Baskol!$K$698="","",[2]Baskol!$K$698)</f>
        <v/>
      </c>
      <c r="AC695">
        <f>IF([2]Baskol!$L$698="","",[2]Baskol!$L$698)</f>
        <v/>
      </c>
      <c r="AD695">
        <f>IF([2]Baskol!$N$698="","",[2]Baskol!$N$698)</f>
        <v/>
      </c>
      <c r="AE695">
        <f>IF([2]Baskol!$O$698="","",[2]Baskol!$O$698)</f>
        <v/>
      </c>
      <c r="AG695">
        <f>IF([3]Entry!$C$698="","",[3]Entry!$C$698)</f>
        <v/>
      </c>
      <c r="AH695">
        <f>IF([3]Entry!$D$698="","",[3]Entry!$D$698)</f>
        <v/>
      </c>
      <c r="AI695">
        <f>IF([3]Entry!$E$698="","",[3]Entry!$E$698)</f>
        <v/>
      </c>
      <c r="AJ695">
        <f>IF([3]Entry!$G$698="","",[3]Entry!$G$698)</f>
        <v/>
      </c>
      <c r="AK695">
        <f>IF([3]Entry!$K$698="","",[3]Entry!$K$698)</f>
        <v/>
      </c>
      <c r="AL695">
        <f>IF([3]Entry!$L$698="","",[3]Entry!$L$698)</f>
        <v/>
      </c>
      <c r="AM695">
        <f>IF([3]Entry!$M$698="","",[3]Entry!$M$698)</f>
        <v/>
      </c>
      <c r="AN695">
        <f>IF([3]Entry!$N$698="","",[3]Entry!$N$698)</f>
        <v/>
      </c>
      <c r="AO695">
        <f>IF([3]Entry!$R$698="","",[3]Entry!$R$698)</f>
        <v/>
      </c>
    </row>
    <row r="696">
      <c r="U696">
        <f>IF([2]Baskol!$B$699="","",[2]Baskol!$B$699)</f>
        <v/>
      </c>
      <c r="V696">
        <f>IF([2]Baskol!$C$699="","",[2]Baskol!$C$699)</f>
        <v/>
      </c>
      <c r="W696">
        <f>IF([2]Baskol!$D$699="","",[2]Baskol!$D$699)</f>
        <v/>
      </c>
      <c r="X696">
        <f>IF([2]Baskol!$E$699="","",[2]Baskol!$E$699)</f>
        <v/>
      </c>
      <c r="Y696">
        <f>IF([2]Baskol!$G$699="","",[2]Baskol!$G$699)</f>
        <v/>
      </c>
      <c r="Z696">
        <f>IF([2]Baskol!$I$699="","",[2]Baskol!$I$699)</f>
        <v/>
      </c>
      <c r="AA696">
        <f>IF([2]Baskol!$J$699="","",[2]Baskol!$J$699)</f>
        <v/>
      </c>
      <c r="AB696">
        <f>IF([2]Baskol!$K$699="","",[2]Baskol!$K$699)</f>
        <v/>
      </c>
      <c r="AC696">
        <f>IF([2]Baskol!$L$699="","",[2]Baskol!$L$699)</f>
        <v/>
      </c>
      <c r="AD696">
        <f>IF([2]Baskol!$N$699="","",[2]Baskol!$N$699)</f>
        <v/>
      </c>
      <c r="AE696">
        <f>IF([2]Baskol!$O$699="","",[2]Baskol!$O$699)</f>
        <v/>
      </c>
      <c r="AG696">
        <f>IF([3]Entry!$C$699="","",[3]Entry!$C$699)</f>
        <v/>
      </c>
      <c r="AH696">
        <f>IF([3]Entry!$D$699="","",[3]Entry!$D$699)</f>
        <v/>
      </c>
      <c r="AI696">
        <f>IF([3]Entry!$E$699="","",[3]Entry!$E$699)</f>
        <v/>
      </c>
      <c r="AJ696">
        <f>IF([3]Entry!$G$699="","",[3]Entry!$G$699)</f>
        <v/>
      </c>
      <c r="AK696">
        <f>IF([3]Entry!$K$699="","",[3]Entry!$K$699)</f>
        <v/>
      </c>
      <c r="AL696">
        <f>IF([3]Entry!$L$699="","",[3]Entry!$L$699)</f>
        <v/>
      </c>
      <c r="AM696">
        <f>IF([3]Entry!$M$699="","",[3]Entry!$M$699)</f>
        <v/>
      </c>
      <c r="AN696">
        <f>IF([3]Entry!$N$699="","",[3]Entry!$N$699)</f>
        <v/>
      </c>
      <c r="AO696">
        <f>IF([3]Entry!$R$699="","",[3]Entry!$R$699)</f>
        <v/>
      </c>
    </row>
    <row r="697">
      <c r="U697">
        <f>IF([2]Baskol!$B$700="","",[2]Baskol!$B$700)</f>
        <v/>
      </c>
      <c r="V697">
        <f>IF([2]Baskol!$C$700="","",[2]Baskol!$C$700)</f>
        <v/>
      </c>
      <c r="W697">
        <f>IF([2]Baskol!$D$700="","",[2]Baskol!$D$700)</f>
        <v/>
      </c>
      <c r="X697">
        <f>IF([2]Baskol!$E$700="","",[2]Baskol!$E$700)</f>
        <v/>
      </c>
      <c r="Y697">
        <f>IF([2]Baskol!$G$700="","",[2]Baskol!$G$700)</f>
        <v/>
      </c>
      <c r="Z697">
        <f>IF([2]Baskol!$I$700="","",[2]Baskol!$I$700)</f>
        <v/>
      </c>
      <c r="AA697">
        <f>IF([2]Baskol!$J$700="","",[2]Baskol!$J$700)</f>
        <v/>
      </c>
      <c r="AB697">
        <f>IF([2]Baskol!$K$700="","",[2]Baskol!$K$700)</f>
        <v/>
      </c>
      <c r="AC697">
        <f>IF([2]Baskol!$L$700="","",[2]Baskol!$L$700)</f>
        <v/>
      </c>
      <c r="AD697">
        <f>IF([2]Baskol!$N$700="","",[2]Baskol!$N$700)</f>
        <v/>
      </c>
      <c r="AE697">
        <f>IF([2]Baskol!$O$700="","",[2]Baskol!$O$700)</f>
        <v/>
      </c>
      <c r="AG697">
        <f>IF([3]Entry!$C$700="","",[3]Entry!$C$700)</f>
        <v/>
      </c>
      <c r="AH697">
        <f>IF([3]Entry!$D$700="","",[3]Entry!$D$700)</f>
        <v/>
      </c>
      <c r="AI697">
        <f>IF([3]Entry!$E$700="","",[3]Entry!$E$700)</f>
        <v/>
      </c>
      <c r="AJ697">
        <f>IF([3]Entry!$G$700="","",[3]Entry!$G$700)</f>
        <v/>
      </c>
      <c r="AK697">
        <f>IF([3]Entry!$K$700="","",[3]Entry!$K$700)</f>
        <v/>
      </c>
      <c r="AL697">
        <f>IF([3]Entry!$L$700="","",[3]Entry!$L$700)</f>
        <v/>
      </c>
      <c r="AM697">
        <f>IF([3]Entry!$M$700="","",[3]Entry!$M$700)</f>
        <v/>
      </c>
      <c r="AN697">
        <f>IF([3]Entry!$N$700="","",[3]Entry!$N$700)</f>
        <v/>
      </c>
      <c r="AO697">
        <f>IF([3]Entry!$R$700="","",[3]Entry!$R$700)</f>
        <v/>
      </c>
    </row>
    <row r="698">
      <c r="U698">
        <f>IF([2]Baskol!$B$701="","",[2]Baskol!$B$701)</f>
        <v/>
      </c>
      <c r="V698">
        <f>IF([2]Baskol!$C$701="","",[2]Baskol!$C$701)</f>
        <v/>
      </c>
      <c r="W698">
        <f>IF([2]Baskol!$D$701="","",[2]Baskol!$D$701)</f>
        <v/>
      </c>
      <c r="X698">
        <f>IF([2]Baskol!$E$701="","",[2]Baskol!$E$701)</f>
        <v/>
      </c>
      <c r="Y698">
        <f>IF([2]Baskol!$G$701="","",[2]Baskol!$G$701)</f>
        <v/>
      </c>
      <c r="Z698">
        <f>IF([2]Baskol!$I$701="","",[2]Baskol!$I$701)</f>
        <v/>
      </c>
      <c r="AA698">
        <f>IF([2]Baskol!$J$701="","",[2]Baskol!$J$701)</f>
        <v/>
      </c>
      <c r="AB698">
        <f>IF([2]Baskol!$K$701="","",[2]Baskol!$K$701)</f>
        <v/>
      </c>
      <c r="AC698">
        <f>IF([2]Baskol!$L$701="","",[2]Baskol!$L$701)</f>
        <v/>
      </c>
      <c r="AD698">
        <f>IF([2]Baskol!$N$701="","",[2]Baskol!$N$701)</f>
        <v/>
      </c>
      <c r="AE698">
        <f>IF([2]Baskol!$O$701="","",[2]Baskol!$O$701)</f>
        <v/>
      </c>
      <c r="AG698">
        <f>IF([3]Entry!$C$701="","",[3]Entry!$C$701)</f>
        <v/>
      </c>
      <c r="AH698">
        <f>IF([3]Entry!$D$701="","",[3]Entry!$D$701)</f>
        <v/>
      </c>
      <c r="AI698">
        <f>IF([3]Entry!$E$701="","",[3]Entry!$E$701)</f>
        <v/>
      </c>
      <c r="AJ698">
        <f>IF([3]Entry!$G$701="","",[3]Entry!$G$701)</f>
        <v/>
      </c>
      <c r="AK698">
        <f>IF([3]Entry!$K$701="","",[3]Entry!$K$701)</f>
        <v/>
      </c>
      <c r="AL698">
        <f>IF([3]Entry!$L$701="","",[3]Entry!$L$701)</f>
        <v/>
      </c>
      <c r="AM698">
        <f>IF([3]Entry!$M$701="","",[3]Entry!$M$701)</f>
        <v/>
      </c>
      <c r="AN698">
        <f>IF([3]Entry!$N$701="","",[3]Entry!$N$701)</f>
        <v/>
      </c>
      <c r="AO698">
        <f>IF([3]Entry!$R$701="","",[3]Entry!$R$701)</f>
        <v/>
      </c>
    </row>
    <row r="699">
      <c r="U699">
        <f>IF([2]Baskol!$B$702="","",[2]Baskol!$B$702)</f>
        <v/>
      </c>
      <c r="V699">
        <f>IF([2]Baskol!$C$702="","",[2]Baskol!$C$702)</f>
        <v/>
      </c>
      <c r="W699">
        <f>IF([2]Baskol!$D$702="","",[2]Baskol!$D$702)</f>
        <v/>
      </c>
      <c r="X699">
        <f>IF([2]Baskol!$E$702="","",[2]Baskol!$E$702)</f>
        <v/>
      </c>
      <c r="Y699">
        <f>IF([2]Baskol!$G$702="","",[2]Baskol!$G$702)</f>
        <v/>
      </c>
      <c r="Z699">
        <f>IF([2]Baskol!$I$702="","",[2]Baskol!$I$702)</f>
        <v/>
      </c>
      <c r="AA699">
        <f>IF([2]Baskol!$J$702="","",[2]Baskol!$J$702)</f>
        <v/>
      </c>
      <c r="AB699">
        <f>IF([2]Baskol!$K$702="","",[2]Baskol!$K$702)</f>
        <v/>
      </c>
      <c r="AC699">
        <f>IF([2]Baskol!$L$702="","",[2]Baskol!$L$702)</f>
        <v/>
      </c>
      <c r="AD699">
        <f>IF([2]Baskol!$N$702="","",[2]Baskol!$N$702)</f>
        <v/>
      </c>
      <c r="AE699">
        <f>IF([2]Baskol!$O$702="","",[2]Baskol!$O$702)</f>
        <v/>
      </c>
      <c r="AG699">
        <f>IF([3]Entry!$C$702="","",[3]Entry!$C$702)</f>
        <v/>
      </c>
      <c r="AH699">
        <f>IF([3]Entry!$D$702="","",[3]Entry!$D$702)</f>
        <v/>
      </c>
      <c r="AI699">
        <f>IF([3]Entry!$E$702="","",[3]Entry!$E$702)</f>
        <v/>
      </c>
      <c r="AJ699">
        <f>IF([3]Entry!$G$702="","",[3]Entry!$G$702)</f>
        <v/>
      </c>
      <c r="AK699">
        <f>IF([3]Entry!$K$702="","",[3]Entry!$K$702)</f>
        <v/>
      </c>
      <c r="AL699">
        <f>IF([3]Entry!$L$702="","",[3]Entry!$L$702)</f>
        <v/>
      </c>
      <c r="AM699">
        <f>IF([3]Entry!$M$702="","",[3]Entry!$M$702)</f>
        <v/>
      </c>
      <c r="AN699">
        <f>IF([3]Entry!$N$702="","",[3]Entry!$N$702)</f>
        <v/>
      </c>
      <c r="AO699">
        <f>IF([3]Entry!$R$702="","",[3]Entry!$R$702)</f>
        <v/>
      </c>
    </row>
    <row r="700">
      <c r="U700">
        <f>IF([2]Baskol!$B$703="","",[2]Baskol!$B$703)</f>
        <v/>
      </c>
      <c r="V700">
        <f>IF([2]Baskol!$C$703="","",[2]Baskol!$C$703)</f>
        <v/>
      </c>
      <c r="W700">
        <f>IF([2]Baskol!$D$703="","",[2]Baskol!$D$703)</f>
        <v/>
      </c>
      <c r="X700">
        <f>IF([2]Baskol!$E$703="","",[2]Baskol!$E$703)</f>
        <v/>
      </c>
      <c r="Y700">
        <f>IF([2]Baskol!$G$703="","",[2]Baskol!$G$703)</f>
        <v/>
      </c>
      <c r="Z700">
        <f>IF([2]Baskol!$I$703="","",[2]Baskol!$I$703)</f>
        <v/>
      </c>
      <c r="AA700">
        <f>IF([2]Baskol!$J$703="","",[2]Baskol!$J$703)</f>
        <v/>
      </c>
      <c r="AB700">
        <f>IF([2]Baskol!$K$703="","",[2]Baskol!$K$703)</f>
        <v/>
      </c>
      <c r="AC700">
        <f>IF([2]Baskol!$L$703="","",[2]Baskol!$L$703)</f>
        <v/>
      </c>
      <c r="AD700">
        <f>IF([2]Baskol!$N$703="","",[2]Baskol!$N$703)</f>
        <v/>
      </c>
      <c r="AE700">
        <f>IF([2]Baskol!$O$703="","",[2]Baskol!$O$703)</f>
        <v/>
      </c>
      <c r="AG700">
        <f>IF([3]Entry!$C$703="","",[3]Entry!$C$703)</f>
        <v/>
      </c>
      <c r="AH700">
        <f>IF([3]Entry!$D$703="","",[3]Entry!$D$703)</f>
        <v/>
      </c>
      <c r="AI700">
        <f>IF([3]Entry!$E$703="","",[3]Entry!$E$703)</f>
        <v/>
      </c>
      <c r="AJ700">
        <f>IF([3]Entry!$G$703="","",[3]Entry!$G$703)</f>
        <v/>
      </c>
      <c r="AK700">
        <f>IF([3]Entry!$K$703="","",[3]Entry!$K$703)</f>
        <v/>
      </c>
      <c r="AL700">
        <f>IF([3]Entry!$L$703="","",[3]Entry!$L$703)</f>
        <v/>
      </c>
      <c r="AM700">
        <f>IF([3]Entry!$M$703="","",[3]Entry!$M$703)</f>
        <v/>
      </c>
      <c r="AN700">
        <f>IF([3]Entry!$N$703="","",[3]Entry!$N$703)</f>
        <v/>
      </c>
      <c r="AO700">
        <f>IF([3]Entry!$R$703="","",[3]Entry!$R$703)</f>
        <v/>
      </c>
    </row>
    <row r="701">
      <c r="U701">
        <f>IF([2]Baskol!$B$704="","",[2]Baskol!$B$704)</f>
        <v/>
      </c>
      <c r="V701">
        <f>IF([2]Baskol!$C$704="","",[2]Baskol!$C$704)</f>
        <v/>
      </c>
      <c r="W701">
        <f>IF([2]Baskol!$D$704="","",[2]Baskol!$D$704)</f>
        <v/>
      </c>
      <c r="X701">
        <f>IF([2]Baskol!$E$704="","",[2]Baskol!$E$704)</f>
        <v/>
      </c>
      <c r="Y701">
        <f>IF([2]Baskol!$G$704="","",[2]Baskol!$G$704)</f>
        <v/>
      </c>
      <c r="Z701">
        <f>IF([2]Baskol!$I$704="","",[2]Baskol!$I$704)</f>
        <v/>
      </c>
      <c r="AA701">
        <f>IF([2]Baskol!$J$704="","",[2]Baskol!$J$704)</f>
        <v/>
      </c>
      <c r="AB701">
        <f>IF([2]Baskol!$K$704="","",[2]Baskol!$K$704)</f>
        <v/>
      </c>
      <c r="AC701">
        <f>IF([2]Baskol!$L$704="","",[2]Baskol!$L$704)</f>
        <v/>
      </c>
      <c r="AD701">
        <f>IF([2]Baskol!$N$704="","",[2]Baskol!$N$704)</f>
        <v/>
      </c>
      <c r="AE701">
        <f>IF([2]Baskol!$O$704="","",[2]Baskol!$O$704)</f>
        <v/>
      </c>
      <c r="AG701">
        <f>IF([3]Entry!$C$704="","",[3]Entry!$C$704)</f>
        <v/>
      </c>
      <c r="AH701">
        <f>IF([3]Entry!$D$704="","",[3]Entry!$D$704)</f>
        <v/>
      </c>
      <c r="AI701">
        <f>IF([3]Entry!$E$704="","",[3]Entry!$E$704)</f>
        <v/>
      </c>
      <c r="AJ701">
        <f>IF([3]Entry!$G$704="","",[3]Entry!$G$704)</f>
        <v/>
      </c>
      <c r="AK701">
        <f>IF([3]Entry!$K$704="","",[3]Entry!$K$704)</f>
        <v/>
      </c>
      <c r="AL701">
        <f>IF([3]Entry!$L$704="","",[3]Entry!$L$704)</f>
        <v/>
      </c>
      <c r="AM701">
        <f>IF([3]Entry!$M$704="","",[3]Entry!$M$704)</f>
        <v/>
      </c>
      <c r="AN701">
        <f>IF([3]Entry!$N$704="","",[3]Entry!$N$704)</f>
        <v/>
      </c>
      <c r="AO701">
        <f>IF([3]Entry!$R$704="","",[3]Entry!$R$704)</f>
        <v/>
      </c>
    </row>
    <row r="702">
      <c r="U702">
        <f>IF([2]Baskol!$B$705="","",[2]Baskol!$B$705)</f>
        <v/>
      </c>
      <c r="V702">
        <f>IF([2]Baskol!$C$705="","",[2]Baskol!$C$705)</f>
        <v/>
      </c>
      <c r="W702">
        <f>IF([2]Baskol!$D$705="","",[2]Baskol!$D$705)</f>
        <v/>
      </c>
      <c r="X702">
        <f>IF([2]Baskol!$E$705="","",[2]Baskol!$E$705)</f>
        <v/>
      </c>
      <c r="Y702">
        <f>IF([2]Baskol!$G$705="","",[2]Baskol!$G$705)</f>
        <v/>
      </c>
      <c r="Z702">
        <f>IF([2]Baskol!$I$705="","",[2]Baskol!$I$705)</f>
        <v/>
      </c>
      <c r="AA702">
        <f>IF([2]Baskol!$J$705="","",[2]Baskol!$J$705)</f>
        <v/>
      </c>
      <c r="AB702">
        <f>IF([2]Baskol!$K$705="","",[2]Baskol!$K$705)</f>
        <v/>
      </c>
      <c r="AC702">
        <f>IF([2]Baskol!$L$705="","",[2]Baskol!$L$705)</f>
        <v/>
      </c>
      <c r="AD702">
        <f>IF([2]Baskol!$N$705="","",[2]Baskol!$N$705)</f>
        <v/>
      </c>
      <c r="AE702">
        <f>IF([2]Baskol!$O$705="","",[2]Baskol!$O$705)</f>
        <v/>
      </c>
      <c r="AG702">
        <f>IF([3]Entry!$C$705="","",[3]Entry!$C$705)</f>
        <v/>
      </c>
      <c r="AH702">
        <f>IF([3]Entry!$D$705="","",[3]Entry!$D$705)</f>
        <v/>
      </c>
      <c r="AI702">
        <f>IF([3]Entry!$E$705="","",[3]Entry!$E$705)</f>
        <v/>
      </c>
      <c r="AJ702">
        <f>IF([3]Entry!$G$705="","",[3]Entry!$G$705)</f>
        <v/>
      </c>
      <c r="AK702">
        <f>IF([3]Entry!$K$705="","",[3]Entry!$K$705)</f>
        <v/>
      </c>
      <c r="AL702">
        <f>IF([3]Entry!$L$705="","",[3]Entry!$L$705)</f>
        <v/>
      </c>
      <c r="AM702">
        <f>IF([3]Entry!$M$705="","",[3]Entry!$M$705)</f>
        <v/>
      </c>
      <c r="AN702">
        <f>IF([3]Entry!$N$705="","",[3]Entry!$N$705)</f>
        <v/>
      </c>
      <c r="AO702">
        <f>IF([3]Entry!$R$705="","",[3]Entry!$R$705)</f>
        <v/>
      </c>
    </row>
    <row r="703">
      <c r="U703">
        <f>IF([2]Baskol!$B$706="","",[2]Baskol!$B$706)</f>
        <v/>
      </c>
      <c r="V703">
        <f>IF([2]Baskol!$C$706="","",[2]Baskol!$C$706)</f>
        <v/>
      </c>
      <c r="W703">
        <f>IF([2]Baskol!$D$706="","",[2]Baskol!$D$706)</f>
        <v/>
      </c>
      <c r="X703">
        <f>IF([2]Baskol!$E$706="","",[2]Baskol!$E$706)</f>
        <v/>
      </c>
      <c r="Y703">
        <f>IF([2]Baskol!$G$706="","",[2]Baskol!$G$706)</f>
        <v/>
      </c>
      <c r="Z703">
        <f>IF([2]Baskol!$I$706="","",[2]Baskol!$I$706)</f>
        <v/>
      </c>
      <c r="AA703">
        <f>IF([2]Baskol!$J$706="","",[2]Baskol!$J$706)</f>
        <v/>
      </c>
      <c r="AB703">
        <f>IF([2]Baskol!$K$706="","",[2]Baskol!$K$706)</f>
        <v/>
      </c>
      <c r="AC703">
        <f>IF([2]Baskol!$L$706="","",[2]Baskol!$L$706)</f>
        <v/>
      </c>
      <c r="AD703">
        <f>IF([2]Baskol!$N$706="","",[2]Baskol!$N$706)</f>
        <v/>
      </c>
      <c r="AE703">
        <f>IF([2]Baskol!$O$706="","",[2]Baskol!$O$706)</f>
        <v/>
      </c>
      <c r="AG703">
        <f>IF([3]Entry!$C$706="","",[3]Entry!$C$706)</f>
        <v/>
      </c>
      <c r="AH703">
        <f>IF([3]Entry!$D$706="","",[3]Entry!$D$706)</f>
        <v/>
      </c>
      <c r="AI703">
        <f>IF([3]Entry!$E$706="","",[3]Entry!$E$706)</f>
        <v/>
      </c>
      <c r="AJ703">
        <f>IF([3]Entry!$G$706="","",[3]Entry!$G$706)</f>
        <v/>
      </c>
      <c r="AK703">
        <f>IF([3]Entry!$K$706="","",[3]Entry!$K$706)</f>
        <v/>
      </c>
      <c r="AL703">
        <f>IF([3]Entry!$L$706="","",[3]Entry!$L$706)</f>
        <v/>
      </c>
      <c r="AM703">
        <f>IF([3]Entry!$M$706="","",[3]Entry!$M$706)</f>
        <v/>
      </c>
      <c r="AN703">
        <f>IF([3]Entry!$N$706="","",[3]Entry!$N$706)</f>
        <v/>
      </c>
      <c r="AO703">
        <f>IF([3]Entry!$R$706="","",[3]Entry!$R$706)</f>
        <v/>
      </c>
    </row>
    <row r="704">
      <c r="U704">
        <f>IF([2]Baskol!$B$707="","",[2]Baskol!$B$707)</f>
        <v/>
      </c>
      <c r="V704">
        <f>IF([2]Baskol!$C$707="","",[2]Baskol!$C$707)</f>
        <v/>
      </c>
      <c r="W704">
        <f>IF([2]Baskol!$D$707="","",[2]Baskol!$D$707)</f>
        <v/>
      </c>
      <c r="X704">
        <f>IF([2]Baskol!$E$707="","",[2]Baskol!$E$707)</f>
        <v/>
      </c>
      <c r="Y704">
        <f>IF([2]Baskol!$G$707="","",[2]Baskol!$G$707)</f>
        <v/>
      </c>
      <c r="Z704">
        <f>IF([2]Baskol!$I$707="","",[2]Baskol!$I$707)</f>
        <v/>
      </c>
      <c r="AA704">
        <f>IF([2]Baskol!$J$707="","",[2]Baskol!$J$707)</f>
        <v/>
      </c>
      <c r="AB704">
        <f>IF([2]Baskol!$K$707="","",[2]Baskol!$K$707)</f>
        <v/>
      </c>
      <c r="AC704">
        <f>IF([2]Baskol!$L$707="","",[2]Baskol!$L$707)</f>
        <v/>
      </c>
      <c r="AD704">
        <f>IF([2]Baskol!$N$707="","",[2]Baskol!$N$707)</f>
        <v/>
      </c>
      <c r="AE704">
        <f>IF([2]Baskol!$O$707="","",[2]Baskol!$O$707)</f>
        <v/>
      </c>
      <c r="AG704">
        <f>IF([3]Entry!$C$707="","",[3]Entry!$C$707)</f>
        <v/>
      </c>
      <c r="AH704">
        <f>IF([3]Entry!$D$707="","",[3]Entry!$D$707)</f>
        <v/>
      </c>
      <c r="AI704">
        <f>IF([3]Entry!$E$707="","",[3]Entry!$E$707)</f>
        <v/>
      </c>
      <c r="AJ704">
        <f>IF([3]Entry!$G$707="","",[3]Entry!$G$707)</f>
        <v/>
      </c>
      <c r="AK704">
        <f>IF([3]Entry!$K$707="","",[3]Entry!$K$707)</f>
        <v/>
      </c>
      <c r="AL704">
        <f>IF([3]Entry!$L$707="","",[3]Entry!$L$707)</f>
        <v/>
      </c>
      <c r="AM704">
        <f>IF([3]Entry!$M$707="","",[3]Entry!$M$707)</f>
        <v/>
      </c>
      <c r="AN704">
        <f>IF([3]Entry!$N$707="","",[3]Entry!$N$707)</f>
        <v/>
      </c>
      <c r="AO704">
        <f>IF([3]Entry!$R$707="","",[3]Entry!$R$707)</f>
        <v/>
      </c>
    </row>
    <row r="705">
      <c r="U705">
        <f>IF([2]Baskol!$B$708="","",[2]Baskol!$B$708)</f>
        <v/>
      </c>
      <c r="V705">
        <f>IF([2]Baskol!$C$708="","",[2]Baskol!$C$708)</f>
        <v/>
      </c>
      <c r="W705">
        <f>IF([2]Baskol!$D$708="","",[2]Baskol!$D$708)</f>
        <v/>
      </c>
      <c r="X705">
        <f>IF([2]Baskol!$E$708="","",[2]Baskol!$E$708)</f>
        <v/>
      </c>
      <c r="Y705">
        <f>IF([2]Baskol!$G$708="","",[2]Baskol!$G$708)</f>
        <v/>
      </c>
      <c r="Z705">
        <f>IF([2]Baskol!$I$708="","",[2]Baskol!$I$708)</f>
        <v/>
      </c>
      <c r="AA705">
        <f>IF([2]Baskol!$J$708="","",[2]Baskol!$J$708)</f>
        <v/>
      </c>
      <c r="AB705">
        <f>IF([2]Baskol!$K$708="","",[2]Baskol!$K$708)</f>
        <v/>
      </c>
      <c r="AC705">
        <f>IF([2]Baskol!$L$708="","",[2]Baskol!$L$708)</f>
        <v/>
      </c>
      <c r="AD705">
        <f>IF([2]Baskol!$N$708="","",[2]Baskol!$N$708)</f>
        <v/>
      </c>
      <c r="AE705">
        <f>IF([2]Baskol!$O$708="","",[2]Baskol!$O$708)</f>
        <v/>
      </c>
      <c r="AG705">
        <f>IF([3]Entry!$C$708="","",[3]Entry!$C$708)</f>
        <v/>
      </c>
      <c r="AH705">
        <f>IF([3]Entry!$D$708="","",[3]Entry!$D$708)</f>
        <v/>
      </c>
      <c r="AI705">
        <f>IF([3]Entry!$E$708="","",[3]Entry!$E$708)</f>
        <v/>
      </c>
      <c r="AJ705">
        <f>IF([3]Entry!$G$708="","",[3]Entry!$G$708)</f>
        <v/>
      </c>
      <c r="AK705">
        <f>IF([3]Entry!$K$708="","",[3]Entry!$K$708)</f>
        <v/>
      </c>
      <c r="AL705">
        <f>IF([3]Entry!$L$708="","",[3]Entry!$L$708)</f>
        <v/>
      </c>
      <c r="AM705">
        <f>IF([3]Entry!$M$708="","",[3]Entry!$M$708)</f>
        <v/>
      </c>
      <c r="AN705">
        <f>IF([3]Entry!$N$708="","",[3]Entry!$N$708)</f>
        <v/>
      </c>
      <c r="AO705">
        <f>IF([3]Entry!$R$708="","",[3]Entry!$R$708)</f>
        <v/>
      </c>
    </row>
    <row r="706">
      <c r="U706">
        <f>IF([2]Baskol!$B$709="","",[2]Baskol!$B$709)</f>
        <v/>
      </c>
      <c r="V706">
        <f>IF([2]Baskol!$C$709="","",[2]Baskol!$C$709)</f>
        <v/>
      </c>
      <c r="W706">
        <f>IF([2]Baskol!$D$709="","",[2]Baskol!$D$709)</f>
        <v/>
      </c>
      <c r="X706">
        <f>IF([2]Baskol!$E$709="","",[2]Baskol!$E$709)</f>
        <v/>
      </c>
      <c r="Y706">
        <f>IF([2]Baskol!$G$709="","",[2]Baskol!$G$709)</f>
        <v/>
      </c>
      <c r="Z706">
        <f>IF([2]Baskol!$I$709="","",[2]Baskol!$I$709)</f>
        <v/>
      </c>
      <c r="AA706">
        <f>IF([2]Baskol!$J$709="","",[2]Baskol!$J$709)</f>
        <v/>
      </c>
      <c r="AB706">
        <f>IF([2]Baskol!$K$709="","",[2]Baskol!$K$709)</f>
        <v/>
      </c>
      <c r="AC706">
        <f>IF([2]Baskol!$L$709="","",[2]Baskol!$L$709)</f>
        <v/>
      </c>
      <c r="AD706">
        <f>IF([2]Baskol!$N$709="","",[2]Baskol!$N$709)</f>
        <v/>
      </c>
      <c r="AE706">
        <f>IF([2]Baskol!$O$709="","",[2]Baskol!$O$709)</f>
        <v/>
      </c>
      <c r="AG706">
        <f>IF([3]Entry!$C$709="","",[3]Entry!$C$709)</f>
        <v/>
      </c>
      <c r="AH706">
        <f>IF([3]Entry!$D$709="","",[3]Entry!$D$709)</f>
        <v/>
      </c>
      <c r="AI706">
        <f>IF([3]Entry!$E$709="","",[3]Entry!$E$709)</f>
        <v/>
      </c>
      <c r="AJ706">
        <f>IF([3]Entry!$G$709="","",[3]Entry!$G$709)</f>
        <v/>
      </c>
      <c r="AK706">
        <f>IF([3]Entry!$K$709="","",[3]Entry!$K$709)</f>
        <v/>
      </c>
      <c r="AL706">
        <f>IF([3]Entry!$L$709="","",[3]Entry!$L$709)</f>
        <v/>
      </c>
      <c r="AM706">
        <f>IF([3]Entry!$M$709="","",[3]Entry!$M$709)</f>
        <v/>
      </c>
      <c r="AN706">
        <f>IF([3]Entry!$N$709="","",[3]Entry!$N$709)</f>
        <v/>
      </c>
      <c r="AO706">
        <f>IF([3]Entry!$R$709="","",[3]Entry!$R$709)</f>
        <v/>
      </c>
    </row>
    <row r="707">
      <c r="U707">
        <f>IF([2]Baskol!$B$710="","",[2]Baskol!$B$710)</f>
        <v/>
      </c>
      <c r="V707">
        <f>IF([2]Baskol!$C$710="","",[2]Baskol!$C$710)</f>
        <v/>
      </c>
      <c r="W707">
        <f>IF([2]Baskol!$D$710="","",[2]Baskol!$D$710)</f>
        <v/>
      </c>
      <c r="X707">
        <f>IF([2]Baskol!$E$710="","",[2]Baskol!$E$710)</f>
        <v/>
      </c>
      <c r="Y707">
        <f>IF([2]Baskol!$G$710="","",[2]Baskol!$G$710)</f>
        <v/>
      </c>
      <c r="Z707">
        <f>IF([2]Baskol!$I$710="","",[2]Baskol!$I$710)</f>
        <v/>
      </c>
      <c r="AA707">
        <f>IF([2]Baskol!$J$710="","",[2]Baskol!$J$710)</f>
        <v/>
      </c>
      <c r="AB707">
        <f>IF([2]Baskol!$K$710="","",[2]Baskol!$K$710)</f>
        <v/>
      </c>
      <c r="AC707">
        <f>IF([2]Baskol!$L$710="","",[2]Baskol!$L$710)</f>
        <v/>
      </c>
      <c r="AD707">
        <f>IF([2]Baskol!$N$710="","",[2]Baskol!$N$710)</f>
        <v/>
      </c>
      <c r="AE707">
        <f>IF([2]Baskol!$O$710="","",[2]Baskol!$O$710)</f>
        <v/>
      </c>
      <c r="AG707">
        <f>IF([3]Entry!$C$710="","",[3]Entry!$C$710)</f>
        <v/>
      </c>
      <c r="AH707">
        <f>IF([3]Entry!$D$710="","",[3]Entry!$D$710)</f>
        <v/>
      </c>
      <c r="AI707">
        <f>IF([3]Entry!$E$710="","",[3]Entry!$E$710)</f>
        <v/>
      </c>
      <c r="AJ707">
        <f>IF([3]Entry!$G$710="","",[3]Entry!$G$710)</f>
        <v/>
      </c>
      <c r="AK707">
        <f>IF([3]Entry!$K$710="","",[3]Entry!$K$710)</f>
        <v/>
      </c>
      <c r="AL707">
        <f>IF([3]Entry!$L$710="","",[3]Entry!$L$710)</f>
        <v/>
      </c>
      <c r="AM707">
        <f>IF([3]Entry!$M$710="","",[3]Entry!$M$710)</f>
        <v/>
      </c>
      <c r="AN707">
        <f>IF([3]Entry!$N$710="","",[3]Entry!$N$710)</f>
        <v/>
      </c>
      <c r="AO707">
        <f>IF([3]Entry!$R$710="","",[3]Entry!$R$710)</f>
        <v/>
      </c>
    </row>
    <row r="708">
      <c r="U708">
        <f>IF([2]Baskol!$B$711="","",[2]Baskol!$B$711)</f>
        <v/>
      </c>
      <c r="V708">
        <f>IF([2]Baskol!$C$711="","",[2]Baskol!$C$711)</f>
        <v/>
      </c>
      <c r="W708">
        <f>IF([2]Baskol!$D$711="","",[2]Baskol!$D$711)</f>
        <v/>
      </c>
      <c r="X708">
        <f>IF([2]Baskol!$E$711="","",[2]Baskol!$E$711)</f>
        <v/>
      </c>
      <c r="Y708">
        <f>IF([2]Baskol!$G$711="","",[2]Baskol!$G$711)</f>
        <v/>
      </c>
      <c r="Z708">
        <f>IF([2]Baskol!$I$711="","",[2]Baskol!$I$711)</f>
        <v/>
      </c>
      <c r="AA708">
        <f>IF([2]Baskol!$J$711="","",[2]Baskol!$J$711)</f>
        <v/>
      </c>
      <c r="AB708">
        <f>IF([2]Baskol!$K$711="","",[2]Baskol!$K$711)</f>
        <v/>
      </c>
      <c r="AC708">
        <f>IF([2]Baskol!$L$711="","",[2]Baskol!$L$711)</f>
        <v/>
      </c>
      <c r="AD708">
        <f>IF([2]Baskol!$N$711="","",[2]Baskol!$N$711)</f>
        <v/>
      </c>
      <c r="AE708">
        <f>IF([2]Baskol!$O$711="","",[2]Baskol!$O$711)</f>
        <v/>
      </c>
      <c r="AG708">
        <f>IF([3]Entry!$C$711="","",[3]Entry!$C$711)</f>
        <v/>
      </c>
      <c r="AH708">
        <f>IF([3]Entry!$D$711="","",[3]Entry!$D$711)</f>
        <v/>
      </c>
      <c r="AI708">
        <f>IF([3]Entry!$E$711="","",[3]Entry!$E$711)</f>
        <v/>
      </c>
      <c r="AJ708">
        <f>IF([3]Entry!$G$711="","",[3]Entry!$G$711)</f>
        <v/>
      </c>
      <c r="AK708">
        <f>IF([3]Entry!$K$711="","",[3]Entry!$K$711)</f>
        <v/>
      </c>
      <c r="AL708">
        <f>IF([3]Entry!$L$711="","",[3]Entry!$L$711)</f>
        <v/>
      </c>
      <c r="AM708">
        <f>IF([3]Entry!$M$711="","",[3]Entry!$M$711)</f>
        <v/>
      </c>
      <c r="AN708">
        <f>IF([3]Entry!$N$711="","",[3]Entry!$N$711)</f>
        <v/>
      </c>
      <c r="AO708">
        <f>IF([3]Entry!$R$711="","",[3]Entry!$R$711)</f>
        <v/>
      </c>
    </row>
    <row r="709">
      <c r="U709">
        <f>IF([2]Baskol!$B$712="","",[2]Baskol!$B$712)</f>
        <v/>
      </c>
      <c r="V709">
        <f>IF([2]Baskol!$C$712="","",[2]Baskol!$C$712)</f>
        <v/>
      </c>
      <c r="W709">
        <f>IF([2]Baskol!$D$712="","",[2]Baskol!$D$712)</f>
        <v/>
      </c>
      <c r="X709">
        <f>IF([2]Baskol!$E$712="","",[2]Baskol!$E$712)</f>
        <v/>
      </c>
      <c r="Y709">
        <f>IF([2]Baskol!$G$712="","",[2]Baskol!$G$712)</f>
        <v/>
      </c>
      <c r="Z709">
        <f>IF([2]Baskol!$I$712="","",[2]Baskol!$I$712)</f>
        <v/>
      </c>
      <c r="AA709">
        <f>IF([2]Baskol!$J$712="","",[2]Baskol!$J$712)</f>
        <v/>
      </c>
      <c r="AB709">
        <f>IF([2]Baskol!$K$712="","",[2]Baskol!$K$712)</f>
        <v/>
      </c>
      <c r="AC709">
        <f>IF([2]Baskol!$L$712="","",[2]Baskol!$L$712)</f>
        <v/>
      </c>
      <c r="AD709">
        <f>IF([2]Baskol!$N$712="","",[2]Baskol!$N$712)</f>
        <v/>
      </c>
      <c r="AE709">
        <f>IF([2]Baskol!$O$712="","",[2]Baskol!$O$712)</f>
        <v/>
      </c>
      <c r="AG709">
        <f>IF([3]Entry!$C$712="","",[3]Entry!$C$712)</f>
        <v/>
      </c>
      <c r="AH709">
        <f>IF([3]Entry!$D$712="","",[3]Entry!$D$712)</f>
        <v/>
      </c>
      <c r="AI709">
        <f>IF([3]Entry!$E$712="","",[3]Entry!$E$712)</f>
        <v/>
      </c>
      <c r="AJ709">
        <f>IF([3]Entry!$G$712="","",[3]Entry!$G$712)</f>
        <v/>
      </c>
      <c r="AK709">
        <f>IF([3]Entry!$K$712="","",[3]Entry!$K$712)</f>
        <v/>
      </c>
      <c r="AL709">
        <f>IF([3]Entry!$L$712="","",[3]Entry!$L$712)</f>
        <v/>
      </c>
      <c r="AM709">
        <f>IF([3]Entry!$M$712="","",[3]Entry!$M$712)</f>
        <v/>
      </c>
      <c r="AN709">
        <f>IF([3]Entry!$N$712="","",[3]Entry!$N$712)</f>
        <v/>
      </c>
      <c r="AO709">
        <f>IF([3]Entry!$R$712="","",[3]Entry!$R$712)</f>
        <v/>
      </c>
    </row>
    <row r="710">
      <c r="U710">
        <f>IF([2]Baskol!$B$713="","",[2]Baskol!$B$713)</f>
        <v/>
      </c>
      <c r="V710">
        <f>IF([2]Baskol!$C$713="","",[2]Baskol!$C$713)</f>
        <v/>
      </c>
      <c r="W710">
        <f>IF([2]Baskol!$D$713="","",[2]Baskol!$D$713)</f>
        <v/>
      </c>
      <c r="X710">
        <f>IF([2]Baskol!$E$713="","",[2]Baskol!$E$713)</f>
        <v/>
      </c>
      <c r="Y710">
        <f>IF([2]Baskol!$G$713="","",[2]Baskol!$G$713)</f>
        <v/>
      </c>
      <c r="Z710">
        <f>IF([2]Baskol!$I$713="","",[2]Baskol!$I$713)</f>
        <v/>
      </c>
      <c r="AA710">
        <f>IF([2]Baskol!$J$713="","",[2]Baskol!$J$713)</f>
        <v/>
      </c>
      <c r="AB710">
        <f>IF([2]Baskol!$K$713="","",[2]Baskol!$K$713)</f>
        <v/>
      </c>
      <c r="AC710">
        <f>IF([2]Baskol!$L$713="","",[2]Baskol!$L$713)</f>
        <v/>
      </c>
      <c r="AD710">
        <f>IF([2]Baskol!$N$713="","",[2]Baskol!$N$713)</f>
        <v/>
      </c>
      <c r="AE710">
        <f>IF([2]Baskol!$O$713="","",[2]Baskol!$O$713)</f>
        <v/>
      </c>
      <c r="AG710">
        <f>IF([3]Entry!$C$713="","",[3]Entry!$C$713)</f>
        <v/>
      </c>
      <c r="AH710">
        <f>IF([3]Entry!$D$713="","",[3]Entry!$D$713)</f>
        <v/>
      </c>
      <c r="AI710">
        <f>IF([3]Entry!$E$713="","",[3]Entry!$E$713)</f>
        <v/>
      </c>
      <c r="AJ710">
        <f>IF([3]Entry!$G$713="","",[3]Entry!$G$713)</f>
        <v/>
      </c>
      <c r="AK710">
        <f>IF([3]Entry!$K$713="","",[3]Entry!$K$713)</f>
        <v/>
      </c>
      <c r="AL710">
        <f>IF([3]Entry!$L$713="","",[3]Entry!$L$713)</f>
        <v/>
      </c>
      <c r="AM710">
        <f>IF([3]Entry!$M$713="","",[3]Entry!$M$713)</f>
        <v/>
      </c>
      <c r="AN710">
        <f>IF([3]Entry!$N$713="","",[3]Entry!$N$713)</f>
        <v/>
      </c>
      <c r="AO710">
        <f>IF([3]Entry!$R$713="","",[3]Entry!$R$713)</f>
        <v/>
      </c>
    </row>
    <row r="711">
      <c r="U711">
        <f>IF([2]Baskol!$B$714="","",[2]Baskol!$B$714)</f>
        <v/>
      </c>
      <c r="V711">
        <f>IF([2]Baskol!$C$714="","",[2]Baskol!$C$714)</f>
        <v/>
      </c>
      <c r="W711">
        <f>IF([2]Baskol!$D$714="","",[2]Baskol!$D$714)</f>
        <v/>
      </c>
      <c r="X711">
        <f>IF([2]Baskol!$E$714="","",[2]Baskol!$E$714)</f>
        <v/>
      </c>
      <c r="Y711">
        <f>IF([2]Baskol!$G$714="","",[2]Baskol!$G$714)</f>
        <v/>
      </c>
      <c r="Z711">
        <f>IF([2]Baskol!$I$714="","",[2]Baskol!$I$714)</f>
        <v/>
      </c>
      <c r="AA711">
        <f>IF([2]Baskol!$J$714="","",[2]Baskol!$J$714)</f>
        <v/>
      </c>
      <c r="AB711">
        <f>IF([2]Baskol!$K$714="","",[2]Baskol!$K$714)</f>
        <v/>
      </c>
      <c r="AC711">
        <f>IF([2]Baskol!$L$714="","",[2]Baskol!$L$714)</f>
        <v/>
      </c>
      <c r="AD711">
        <f>IF([2]Baskol!$N$714="","",[2]Baskol!$N$714)</f>
        <v/>
      </c>
      <c r="AE711">
        <f>IF([2]Baskol!$O$714="","",[2]Baskol!$O$714)</f>
        <v/>
      </c>
      <c r="AG711">
        <f>IF([3]Entry!$C$714="","",[3]Entry!$C$714)</f>
        <v/>
      </c>
      <c r="AH711">
        <f>IF([3]Entry!$D$714="","",[3]Entry!$D$714)</f>
        <v/>
      </c>
      <c r="AI711">
        <f>IF([3]Entry!$E$714="","",[3]Entry!$E$714)</f>
        <v/>
      </c>
      <c r="AJ711">
        <f>IF([3]Entry!$G$714="","",[3]Entry!$G$714)</f>
        <v/>
      </c>
      <c r="AK711">
        <f>IF([3]Entry!$K$714="","",[3]Entry!$K$714)</f>
        <v/>
      </c>
      <c r="AL711">
        <f>IF([3]Entry!$L$714="","",[3]Entry!$L$714)</f>
        <v/>
      </c>
      <c r="AM711">
        <f>IF([3]Entry!$M$714="","",[3]Entry!$M$714)</f>
        <v/>
      </c>
      <c r="AN711">
        <f>IF([3]Entry!$N$714="","",[3]Entry!$N$714)</f>
        <v/>
      </c>
      <c r="AO711">
        <f>IF([3]Entry!$R$714="","",[3]Entry!$R$714)</f>
        <v/>
      </c>
    </row>
    <row r="712">
      <c r="U712">
        <f>IF([2]Baskol!$B$715="","",[2]Baskol!$B$715)</f>
        <v/>
      </c>
      <c r="V712">
        <f>IF([2]Baskol!$C$715="","",[2]Baskol!$C$715)</f>
        <v/>
      </c>
      <c r="W712">
        <f>IF([2]Baskol!$D$715="","",[2]Baskol!$D$715)</f>
        <v/>
      </c>
      <c r="X712">
        <f>IF([2]Baskol!$E$715="","",[2]Baskol!$E$715)</f>
        <v/>
      </c>
      <c r="Y712">
        <f>IF([2]Baskol!$G$715="","",[2]Baskol!$G$715)</f>
        <v/>
      </c>
      <c r="Z712">
        <f>IF([2]Baskol!$I$715="","",[2]Baskol!$I$715)</f>
        <v/>
      </c>
      <c r="AA712">
        <f>IF([2]Baskol!$J$715="","",[2]Baskol!$J$715)</f>
        <v/>
      </c>
      <c r="AB712">
        <f>IF([2]Baskol!$K$715="","",[2]Baskol!$K$715)</f>
        <v/>
      </c>
      <c r="AC712">
        <f>IF([2]Baskol!$L$715="","",[2]Baskol!$L$715)</f>
        <v/>
      </c>
      <c r="AD712">
        <f>IF([2]Baskol!$N$715="","",[2]Baskol!$N$715)</f>
        <v/>
      </c>
      <c r="AE712">
        <f>IF([2]Baskol!$O$715="","",[2]Baskol!$O$715)</f>
        <v/>
      </c>
      <c r="AG712">
        <f>IF([3]Entry!$C$715="","",[3]Entry!$C$715)</f>
        <v/>
      </c>
      <c r="AH712">
        <f>IF([3]Entry!$D$715="","",[3]Entry!$D$715)</f>
        <v/>
      </c>
      <c r="AI712">
        <f>IF([3]Entry!$E$715="","",[3]Entry!$E$715)</f>
        <v/>
      </c>
      <c r="AJ712">
        <f>IF([3]Entry!$G$715="","",[3]Entry!$G$715)</f>
        <v/>
      </c>
      <c r="AK712">
        <f>IF([3]Entry!$K$715="","",[3]Entry!$K$715)</f>
        <v/>
      </c>
      <c r="AL712">
        <f>IF([3]Entry!$L$715="","",[3]Entry!$L$715)</f>
        <v/>
      </c>
      <c r="AM712">
        <f>IF([3]Entry!$M$715="","",[3]Entry!$M$715)</f>
        <v/>
      </c>
      <c r="AN712">
        <f>IF([3]Entry!$N$715="","",[3]Entry!$N$715)</f>
        <v/>
      </c>
      <c r="AO712">
        <f>IF([3]Entry!$R$715="","",[3]Entry!$R$715)</f>
        <v/>
      </c>
    </row>
    <row r="713">
      <c r="U713">
        <f>IF([2]Baskol!$B$716="","",[2]Baskol!$B$716)</f>
        <v/>
      </c>
      <c r="V713">
        <f>IF([2]Baskol!$C$716="","",[2]Baskol!$C$716)</f>
        <v/>
      </c>
      <c r="W713">
        <f>IF([2]Baskol!$D$716="","",[2]Baskol!$D$716)</f>
        <v/>
      </c>
      <c r="X713">
        <f>IF([2]Baskol!$E$716="","",[2]Baskol!$E$716)</f>
        <v/>
      </c>
      <c r="Y713">
        <f>IF([2]Baskol!$G$716="","",[2]Baskol!$G$716)</f>
        <v/>
      </c>
      <c r="Z713">
        <f>IF([2]Baskol!$I$716="","",[2]Baskol!$I$716)</f>
        <v/>
      </c>
      <c r="AA713">
        <f>IF([2]Baskol!$J$716="","",[2]Baskol!$J$716)</f>
        <v/>
      </c>
      <c r="AB713">
        <f>IF([2]Baskol!$K$716="","",[2]Baskol!$K$716)</f>
        <v/>
      </c>
      <c r="AC713">
        <f>IF([2]Baskol!$L$716="","",[2]Baskol!$L$716)</f>
        <v/>
      </c>
      <c r="AD713">
        <f>IF([2]Baskol!$N$716="","",[2]Baskol!$N$716)</f>
        <v/>
      </c>
      <c r="AE713">
        <f>IF([2]Baskol!$O$716="","",[2]Baskol!$O$716)</f>
        <v/>
      </c>
      <c r="AG713">
        <f>IF([3]Entry!$C$716="","",[3]Entry!$C$716)</f>
        <v/>
      </c>
      <c r="AH713">
        <f>IF([3]Entry!$D$716="","",[3]Entry!$D$716)</f>
        <v/>
      </c>
      <c r="AI713">
        <f>IF([3]Entry!$E$716="","",[3]Entry!$E$716)</f>
        <v/>
      </c>
      <c r="AJ713">
        <f>IF([3]Entry!$G$716="","",[3]Entry!$G$716)</f>
        <v/>
      </c>
      <c r="AK713">
        <f>IF([3]Entry!$K$716="","",[3]Entry!$K$716)</f>
        <v/>
      </c>
      <c r="AL713">
        <f>IF([3]Entry!$L$716="","",[3]Entry!$L$716)</f>
        <v/>
      </c>
      <c r="AM713">
        <f>IF([3]Entry!$M$716="","",[3]Entry!$M$716)</f>
        <v/>
      </c>
      <c r="AN713">
        <f>IF([3]Entry!$N$716="","",[3]Entry!$N$716)</f>
        <v/>
      </c>
      <c r="AO713">
        <f>IF([3]Entry!$R$716="","",[3]Entry!$R$716)</f>
        <v/>
      </c>
    </row>
    <row r="714">
      <c r="U714">
        <f>IF([2]Baskol!$B$717="","",[2]Baskol!$B$717)</f>
        <v/>
      </c>
      <c r="V714">
        <f>IF([2]Baskol!$C$717="","",[2]Baskol!$C$717)</f>
        <v/>
      </c>
      <c r="W714">
        <f>IF([2]Baskol!$D$717="","",[2]Baskol!$D$717)</f>
        <v/>
      </c>
      <c r="X714">
        <f>IF([2]Baskol!$E$717="","",[2]Baskol!$E$717)</f>
        <v/>
      </c>
      <c r="Y714">
        <f>IF([2]Baskol!$G$717="","",[2]Baskol!$G$717)</f>
        <v/>
      </c>
      <c r="Z714">
        <f>IF([2]Baskol!$I$717="","",[2]Baskol!$I$717)</f>
        <v/>
      </c>
      <c r="AA714">
        <f>IF([2]Baskol!$J$717="","",[2]Baskol!$J$717)</f>
        <v/>
      </c>
      <c r="AB714">
        <f>IF([2]Baskol!$K$717="","",[2]Baskol!$K$717)</f>
        <v/>
      </c>
      <c r="AC714">
        <f>IF([2]Baskol!$L$717="","",[2]Baskol!$L$717)</f>
        <v/>
      </c>
      <c r="AD714">
        <f>IF([2]Baskol!$N$717="","",[2]Baskol!$N$717)</f>
        <v/>
      </c>
      <c r="AE714">
        <f>IF([2]Baskol!$O$717="","",[2]Baskol!$O$717)</f>
        <v/>
      </c>
      <c r="AG714">
        <f>IF([3]Entry!$C$717="","",[3]Entry!$C$717)</f>
        <v/>
      </c>
      <c r="AH714">
        <f>IF([3]Entry!$D$717="","",[3]Entry!$D$717)</f>
        <v/>
      </c>
      <c r="AI714">
        <f>IF([3]Entry!$E$717="","",[3]Entry!$E$717)</f>
        <v/>
      </c>
      <c r="AJ714">
        <f>IF([3]Entry!$G$717="","",[3]Entry!$G$717)</f>
        <v/>
      </c>
      <c r="AK714">
        <f>IF([3]Entry!$K$717="","",[3]Entry!$K$717)</f>
        <v/>
      </c>
      <c r="AL714">
        <f>IF([3]Entry!$L$717="","",[3]Entry!$L$717)</f>
        <v/>
      </c>
      <c r="AM714">
        <f>IF([3]Entry!$M$717="","",[3]Entry!$M$717)</f>
        <v/>
      </c>
      <c r="AN714">
        <f>IF([3]Entry!$N$717="","",[3]Entry!$N$717)</f>
        <v/>
      </c>
      <c r="AO714">
        <f>IF([3]Entry!$R$717="","",[3]Entry!$R$717)</f>
        <v/>
      </c>
    </row>
    <row r="715">
      <c r="U715">
        <f>IF([2]Baskol!$B$718="","",[2]Baskol!$B$718)</f>
        <v/>
      </c>
      <c r="V715">
        <f>IF([2]Baskol!$C$718="","",[2]Baskol!$C$718)</f>
        <v/>
      </c>
      <c r="W715">
        <f>IF([2]Baskol!$D$718="","",[2]Baskol!$D$718)</f>
        <v/>
      </c>
      <c r="X715">
        <f>IF([2]Baskol!$E$718="","",[2]Baskol!$E$718)</f>
        <v/>
      </c>
      <c r="Y715">
        <f>IF([2]Baskol!$G$718="","",[2]Baskol!$G$718)</f>
        <v/>
      </c>
      <c r="Z715">
        <f>IF([2]Baskol!$I$718="","",[2]Baskol!$I$718)</f>
        <v/>
      </c>
      <c r="AA715">
        <f>IF([2]Baskol!$J$718="","",[2]Baskol!$J$718)</f>
        <v/>
      </c>
      <c r="AB715">
        <f>IF([2]Baskol!$K$718="","",[2]Baskol!$K$718)</f>
        <v/>
      </c>
      <c r="AC715">
        <f>IF([2]Baskol!$L$718="","",[2]Baskol!$L$718)</f>
        <v/>
      </c>
      <c r="AD715">
        <f>IF([2]Baskol!$N$718="","",[2]Baskol!$N$718)</f>
        <v/>
      </c>
      <c r="AE715">
        <f>IF([2]Baskol!$O$718="","",[2]Baskol!$O$718)</f>
        <v/>
      </c>
      <c r="AG715">
        <f>IF([3]Entry!$C$718="","",[3]Entry!$C$718)</f>
        <v/>
      </c>
      <c r="AH715">
        <f>IF([3]Entry!$D$718="","",[3]Entry!$D$718)</f>
        <v/>
      </c>
      <c r="AI715">
        <f>IF([3]Entry!$E$718="","",[3]Entry!$E$718)</f>
        <v/>
      </c>
      <c r="AJ715">
        <f>IF([3]Entry!$G$718="","",[3]Entry!$G$718)</f>
        <v/>
      </c>
      <c r="AK715">
        <f>IF([3]Entry!$K$718="","",[3]Entry!$K$718)</f>
        <v/>
      </c>
      <c r="AL715">
        <f>IF([3]Entry!$L$718="","",[3]Entry!$L$718)</f>
        <v/>
      </c>
      <c r="AM715">
        <f>IF([3]Entry!$M$718="","",[3]Entry!$M$718)</f>
        <v/>
      </c>
      <c r="AN715">
        <f>IF([3]Entry!$N$718="","",[3]Entry!$N$718)</f>
        <v/>
      </c>
      <c r="AO715">
        <f>IF([3]Entry!$R$718="","",[3]Entry!$R$718)</f>
        <v/>
      </c>
    </row>
    <row r="716">
      <c r="U716">
        <f>IF([2]Baskol!$B$719="","",[2]Baskol!$B$719)</f>
        <v/>
      </c>
      <c r="V716">
        <f>IF([2]Baskol!$C$719="","",[2]Baskol!$C$719)</f>
        <v/>
      </c>
      <c r="W716">
        <f>IF([2]Baskol!$D$719="","",[2]Baskol!$D$719)</f>
        <v/>
      </c>
      <c r="X716">
        <f>IF([2]Baskol!$E$719="","",[2]Baskol!$E$719)</f>
        <v/>
      </c>
      <c r="Y716">
        <f>IF([2]Baskol!$G$719="","",[2]Baskol!$G$719)</f>
        <v/>
      </c>
      <c r="Z716">
        <f>IF([2]Baskol!$I$719="","",[2]Baskol!$I$719)</f>
        <v/>
      </c>
      <c r="AA716">
        <f>IF([2]Baskol!$J$719="","",[2]Baskol!$J$719)</f>
        <v/>
      </c>
      <c r="AB716">
        <f>IF([2]Baskol!$K$719="","",[2]Baskol!$K$719)</f>
        <v/>
      </c>
      <c r="AC716">
        <f>IF([2]Baskol!$L$719="","",[2]Baskol!$L$719)</f>
        <v/>
      </c>
      <c r="AD716">
        <f>IF([2]Baskol!$N$719="","",[2]Baskol!$N$719)</f>
        <v/>
      </c>
      <c r="AE716">
        <f>IF([2]Baskol!$O$719="","",[2]Baskol!$O$719)</f>
        <v/>
      </c>
      <c r="AG716">
        <f>IF([3]Entry!$C$719="","",[3]Entry!$C$719)</f>
        <v/>
      </c>
      <c r="AH716">
        <f>IF([3]Entry!$D$719="","",[3]Entry!$D$719)</f>
        <v/>
      </c>
      <c r="AI716">
        <f>IF([3]Entry!$E$719="","",[3]Entry!$E$719)</f>
        <v/>
      </c>
      <c r="AJ716">
        <f>IF([3]Entry!$G$719="","",[3]Entry!$G$719)</f>
        <v/>
      </c>
      <c r="AK716">
        <f>IF([3]Entry!$K$719="","",[3]Entry!$K$719)</f>
        <v/>
      </c>
      <c r="AL716">
        <f>IF([3]Entry!$L$719="","",[3]Entry!$L$719)</f>
        <v/>
      </c>
      <c r="AM716">
        <f>IF([3]Entry!$M$719="","",[3]Entry!$M$719)</f>
        <v/>
      </c>
      <c r="AN716">
        <f>IF([3]Entry!$N$719="","",[3]Entry!$N$719)</f>
        <v/>
      </c>
      <c r="AO716">
        <f>IF([3]Entry!$R$719="","",[3]Entry!$R$719)</f>
        <v/>
      </c>
    </row>
    <row r="717">
      <c r="U717">
        <f>IF([2]Baskol!$B$720="","",[2]Baskol!$B$720)</f>
        <v/>
      </c>
      <c r="V717">
        <f>IF([2]Baskol!$C$720="","",[2]Baskol!$C$720)</f>
        <v/>
      </c>
      <c r="W717">
        <f>IF([2]Baskol!$D$720="","",[2]Baskol!$D$720)</f>
        <v/>
      </c>
      <c r="X717">
        <f>IF([2]Baskol!$E$720="","",[2]Baskol!$E$720)</f>
        <v/>
      </c>
      <c r="Y717">
        <f>IF([2]Baskol!$G$720="","",[2]Baskol!$G$720)</f>
        <v/>
      </c>
      <c r="Z717">
        <f>IF([2]Baskol!$I$720="","",[2]Baskol!$I$720)</f>
        <v/>
      </c>
      <c r="AA717">
        <f>IF([2]Baskol!$J$720="","",[2]Baskol!$J$720)</f>
        <v/>
      </c>
      <c r="AB717">
        <f>IF([2]Baskol!$K$720="","",[2]Baskol!$K$720)</f>
        <v/>
      </c>
      <c r="AC717">
        <f>IF([2]Baskol!$L$720="","",[2]Baskol!$L$720)</f>
        <v/>
      </c>
      <c r="AD717">
        <f>IF([2]Baskol!$N$720="","",[2]Baskol!$N$720)</f>
        <v/>
      </c>
      <c r="AE717">
        <f>IF([2]Baskol!$O$720="","",[2]Baskol!$O$720)</f>
        <v/>
      </c>
      <c r="AG717">
        <f>IF([3]Entry!$C$720="","",[3]Entry!$C$720)</f>
        <v/>
      </c>
      <c r="AH717">
        <f>IF([3]Entry!$D$720="","",[3]Entry!$D$720)</f>
        <v/>
      </c>
      <c r="AI717">
        <f>IF([3]Entry!$E$720="","",[3]Entry!$E$720)</f>
        <v/>
      </c>
      <c r="AJ717">
        <f>IF([3]Entry!$G$720="","",[3]Entry!$G$720)</f>
        <v/>
      </c>
      <c r="AK717">
        <f>IF([3]Entry!$K$720="","",[3]Entry!$K$720)</f>
        <v/>
      </c>
      <c r="AL717">
        <f>IF([3]Entry!$L$720="","",[3]Entry!$L$720)</f>
        <v/>
      </c>
      <c r="AM717">
        <f>IF([3]Entry!$M$720="","",[3]Entry!$M$720)</f>
        <v/>
      </c>
      <c r="AN717">
        <f>IF([3]Entry!$N$720="","",[3]Entry!$N$720)</f>
        <v/>
      </c>
      <c r="AO717">
        <f>IF([3]Entry!$R$720="","",[3]Entry!$R$720)</f>
        <v/>
      </c>
    </row>
    <row r="718">
      <c r="U718">
        <f>IF([2]Baskol!$B$721="","",[2]Baskol!$B$721)</f>
        <v/>
      </c>
      <c r="V718">
        <f>IF([2]Baskol!$C$721="","",[2]Baskol!$C$721)</f>
        <v/>
      </c>
      <c r="W718">
        <f>IF([2]Baskol!$D$721="","",[2]Baskol!$D$721)</f>
        <v/>
      </c>
      <c r="X718">
        <f>IF([2]Baskol!$E$721="","",[2]Baskol!$E$721)</f>
        <v/>
      </c>
      <c r="Y718">
        <f>IF([2]Baskol!$G$721="","",[2]Baskol!$G$721)</f>
        <v/>
      </c>
      <c r="Z718">
        <f>IF([2]Baskol!$I$721="","",[2]Baskol!$I$721)</f>
        <v/>
      </c>
      <c r="AA718">
        <f>IF([2]Baskol!$J$721="","",[2]Baskol!$J$721)</f>
        <v/>
      </c>
      <c r="AB718">
        <f>IF([2]Baskol!$K$721="","",[2]Baskol!$K$721)</f>
        <v/>
      </c>
      <c r="AC718">
        <f>IF([2]Baskol!$L$721="","",[2]Baskol!$L$721)</f>
        <v/>
      </c>
      <c r="AD718">
        <f>IF([2]Baskol!$N$721="","",[2]Baskol!$N$721)</f>
        <v/>
      </c>
      <c r="AE718">
        <f>IF([2]Baskol!$O$721="","",[2]Baskol!$O$721)</f>
        <v/>
      </c>
      <c r="AG718">
        <f>IF([3]Entry!$C$721="","",[3]Entry!$C$721)</f>
        <v/>
      </c>
      <c r="AH718">
        <f>IF([3]Entry!$D$721="","",[3]Entry!$D$721)</f>
        <v/>
      </c>
      <c r="AI718">
        <f>IF([3]Entry!$E$721="","",[3]Entry!$E$721)</f>
        <v/>
      </c>
      <c r="AJ718">
        <f>IF([3]Entry!$G$721="","",[3]Entry!$G$721)</f>
        <v/>
      </c>
      <c r="AK718">
        <f>IF([3]Entry!$K$721="","",[3]Entry!$K$721)</f>
        <v/>
      </c>
      <c r="AL718">
        <f>IF([3]Entry!$L$721="","",[3]Entry!$L$721)</f>
        <v/>
      </c>
      <c r="AM718">
        <f>IF([3]Entry!$M$721="","",[3]Entry!$M$721)</f>
        <v/>
      </c>
      <c r="AN718">
        <f>IF([3]Entry!$N$721="","",[3]Entry!$N$721)</f>
        <v/>
      </c>
      <c r="AO718">
        <f>IF([3]Entry!$R$721="","",[3]Entry!$R$721)</f>
        <v/>
      </c>
    </row>
    <row r="719">
      <c r="U719">
        <f>IF([2]Baskol!$B$722="","",[2]Baskol!$B$722)</f>
        <v/>
      </c>
      <c r="V719">
        <f>IF([2]Baskol!$C$722="","",[2]Baskol!$C$722)</f>
        <v/>
      </c>
      <c r="W719">
        <f>IF([2]Baskol!$D$722="","",[2]Baskol!$D$722)</f>
        <v/>
      </c>
      <c r="X719">
        <f>IF([2]Baskol!$E$722="","",[2]Baskol!$E$722)</f>
        <v/>
      </c>
      <c r="Y719">
        <f>IF([2]Baskol!$G$722="","",[2]Baskol!$G$722)</f>
        <v/>
      </c>
      <c r="Z719">
        <f>IF([2]Baskol!$I$722="","",[2]Baskol!$I$722)</f>
        <v/>
      </c>
      <c r="AA719">
        <f>IF([2]Baskol!$J$722="","",[2]Baskol!$J$722)</f>
        <v/>
      </c>
      <c r="AB719">
        <f>IF([2]Baskol!$K$722="","",[2]Baskol!$K$722)</f>
        <v/>
      </c>
      <c r="AC719">
        <f>IF([2]Baskol!$L$722="","",[2]Baskol!$L$722)</f>
        <v/>
      </c>
      <c r="AD719">
        <f>IF([2]Baskol!$N$722="","",[2]Baskol!$N$722)</f>
        <v/>
      </c>
      <c r="AE719">
        <f>IF([2]Baskol!$O$722="","",[2]Baskol!$O$722)</f>
        <v/>
      </c>
      <c r="AG719">
        <f>IF([3]Entry!$C$722="","",[3]Entry!$C$722)</f>
        <v/>
      </c>
      <c r="AH719">
        <f>IF([3]Entry!$D$722="","",[3]Entry!$D$722)</f>
        <v/>
      </c>
      <c r="AI719">
        <f>IF([3]Entry!$E$722="","",[3]Entry!$E$722)</f>
        <v/>
      </c>
      <c r="AJ719">
        <f>IF([3]Entry!$G$722="","",[3]Entry!$G$722)</f>
        <v/>
      </c>
      <c r="AK719">
        <f>IF([3]Entry!$K$722="","",[3]Entry!$K$722)</f>
        <v/>
      </c>
      <c r="AL719">
        <f>IF([3]Entry!$L$722="","",[3]Entry!$L$722)</f>
        <v/>
      </c>
      <c r="AM719">
        <f>IF([3]Entry!$M$722="","",[3]Entry!$M$722)</f>
        <v/>
      </c>
      <c r="AN719">
        <f>IF([3]Entry!$N$722="","",[3]Entry!$N$722)</f>
        <v/>
      </c>
      <c r="AO719">
        <f>IF([3]Entry!$R$722="","",[3]Entry!$R$722)</f>
        <v/>
      </c>
    </row>
    <row r="720">
      <c r="U720">
        <f>IF([2]Baskol!$B$723="","",[2]Baskol!$B$723)</f>
        <v/>
      </c>
      <c r="V720">
        <f>IF([2]Baskol!$C$723="","",[2]Baskol!$C$723)</f>
        <v/>
      </c>
      <c r="W720">
        <f>IF([2]Baskol!$D$723="","",[2]Baskol!$D$723)</f>
        <v/>
      </c>
      <c r="X720">
        <f>IF([2]Baskol!$E$723="","",[2]Baskol!$E$723)</f>
        <v/>
      </c>
      <c r="Y720">
        <f>IF([2]Baskol!$G$723="","",[2]Baskol!$G$723)</f>
        <v/>
      </c>
      <c r="Z720">
        <f>IF([2]Baskol!$I$723="","",[2]Baskol!$I$723)</f>
        <v/>
      </c>
      <c r="AA720">
        <f>IF([2]Baskol!$J$723="","",[2]Baskol!$J$723)</f>
        <v/>
      </c>
      <c r="AB720">
        <f>IF([2]Baskol!$K$723="","",[2]Baskol!$K$723)</f>
        <v/>
      </c>
      <c r="AC720">
        <f>IF([2]Baskol!$L$723="","",[2]Baskol!$L$723)</f>
        <v/>
      </c>
      <c r="AD720">
        <f>IF([2]Baskol!$N$723="","",[2]Baskol!$N$723)</f>
        <v/>
      </c>
      <c r="AE720">
        <f>IF([2]Baskol!$O$723="","",[2]Baskol!$O$723)</f>
        <v/>
      </c>
      <c r="AG720">
        <f>IF([3]Entry!$C$723="","",[3]Entry!$C$723)</f>
        <v/>
      </c>
      <c r="AH720">
        <f>IF([3]Entry!$D$723="","",[3]Entry!$D$723)</f>
        <v/>
      </c>
      <c r="AI720">
        <f>IF([3]Entry!$E$723="","",[3]Entry!$E$723)</f>
        <v/>
      </c>
      <c r="AJ720">
        <f>IF([3]Entry!$G$723="","",[3]Entry!$G$723)</f>
        <v/>
      </c>
      <c r="AK720">
        <f>IF([3]Entry!$K$723="","",[3]Entry!$K$723)</f>
        <v/>
      </c>
      <c r="AL720">
        <f>IF([3]Entry!$L$723="","",[3]Entry!$L$723)</f>
        <v/>
      </c>
      <c r="AM720">
        <f>IF([3]Entry!$M$723="","",[3]Entry!$M$723)</f>
        <v/>
      </c>
      <c r="AN720">
        <f>IF([3]Entry!$N$723="","",[3]Entry!$N$723)</f>
        <v/>
      </c>
      <c r="AO720">
        <f>IF([3]Entry!$R$723="","",[3]Entry!$R$723)</f>
        <v/>
      </c>
    </row>
    <row r="721">
      <c r="U721">
        <f>IF([2]Baskol!$B$724="","",[2]Baskol!$B$724)</f>
        <v/>
      </c>
      <c r="V721">
        <f>IF([2]Baskol!$C$724="","",[2]Baskol!$C$724)</f>
        <v/>
      </c>
      <c r="W721">
        <f>IF([2]Baskol!$D$724="","",[2]Baskol!$D$724)</f>
        <v/>
      </c>
      <c r="X721">
        <f>IF([2]Baskol!$E$724="","",[2]Baskol!$E$724)</f>
        <v/>
      </c>
      <c r="Y721">
        <f>IF([2]Baskol!$G$724="","",[2]Baskol!$G$724)</f>
        <v/>
      </c>
      <c r="Z721">
        <f>IF([2]Baskol!$I$724="","",[2]Baskol!$I$724)</f>
        <v/>
      </c>
      <c r="AA721">
        <f>IF([2]Baskol!$J$724="","",[2]Baskol!$J$724)</f>
        <v/>
      </c>
      <c r="AB721">
        <f>IF([2]Baskol!$K$724="","",[2]Baskol!$K$724)</f>
        <v/>
      </c>
      <c r="AC721">
        <f>IF([2]Baskol!$L$724="","",[2]Baskol!$L$724)</f>
        <v/>
      </c>
      <c r="AD721">
        <f>IF([2]Baskol!$N$724="","",[2]Baskol!$N$724)</f>
        <v/>
      </c>
      <c r="AE721">
        <f>IF([2]Baskol!$O$724="","",[2]Baskol!$O$724)</f>
        <v/>
      </c>
      <c r="AG721">
        <f>IF([3]Entry!$C$724="","",[3]Entry!$C$724)</f>
        <v/>
      </c>
      <c r="AH721">
        <f>IF([3]Entry!$D$724="","",[3]Entry!$D$724)</f>
        <v/>
      </c>
      <c r="AI721">
        <f>IF([3]Entry!$E$724="","",[3]Entry!$E$724)</f>
        <v/>
      </c>
      <c r="AJ721">
        <f>IF([3]Entry!$G$724="","",[3]Entry!$G$724)</f>
        <v/>
      </c>
      <c r="AK721">
        <f>IF([3]Entry!$K$724="","",[3]Entry!$K$724)</f>
        <v/>
      </c>
      <c r="AL721">
        <f>IF([3]Entry!$L$724="","",[3]Entry!$L$724)</f>
        <v/>
      </c>
      <c r="AM721">
        <f>IF([3]Entry!$M$724="","",[3]Entry!$M$724)</f>
        <v/>
      </c>
      <c r="AN721">
        <f>IF([3]Entry!$N$724="","",[3]Entry!$N$724)</f>
        <v/>
      </c>
      <c r="AO721">
        <f>IF([3]Entry!$R$724="","",[3]Entry!$R$724)</f>
        <v/>
      </c>
    </row>
    <row r="722">
      <c r="U722">
        <f>IF([2]Baskol!$B$725="","",[2]Baskol!$B$725)</f>
        <v/>
      </c>
      <c r="V722">
        <f>IF([2]Baskol!$C$725="","",[2]Baskol!$C$725)</f>
        <v/>
      </c>
      <c r="W722">
        <f>IF([2]Baskol!$D$725="","",[2]Baskol!$D$725)</f>
        <v/>
      </c>
      <c r="X722">
        <f>IF([2]Baskol!$E$725="","",[2]Baskol!$E$725)</f>
        <v/>
      </c>
      <c r="Y722">
        <f>IF([2]Baskol!$G$725="","",[2]Baskol!$G$725)</f>
        <v/>
      </c>
      <c r="Z722">
        <f>IF([2]Baskol!$I$725="","",[2]Baskol!$I$725)</f>
        <v/>
      </c>
      <c r="AA722">
        <f>IF([2]Baskol!$J$725="","",[2]Baskol!$J$725)</f>
        <v/>
      </c>
      <c r="AB722">
        <f>IF([2]Baskol!$K$725="","",[2]Baskol!$K$725)</f>
        <v/>
      </c>
      <c r="AC722">
        <f>IF([2]Baskol!$L$725="","",[2]Baskol!$L$725)</f>
        <v/>
      </c>
      <c r="AD722">
        <f>IF([2]Baskol!$N$725="","",[2]Baskol!$N$725)</f>
        <v/>
      </c>
      <c r="AE722">
        <f>IF([2]Baskol!$O$725="","",[2]Baskol!$O$725)</f>
        <v/>
      </c>
      <c r="AG722">
        <f>IF([3]Entry!$C$725="","",[3]Entry!$C$725)</f>
        <v/>
      </c>
      <c r="AH722">
        <f>IF([3]Entry!$D$725="","",[3]Entry!$D$725)</f>
        <v/>
      </c>
      <c r="AI722">
        <f>IF([3]Entry!$E$725="","",[3]Entry!$E$725)</f>
        <v/>
      </c>
      <c r="AJ722">
        <f>IF([3]Entry!$G$725="","",[3]Entry!$G$725)</f>
        <v/>
      </c>
      <c r="AK722">
        <f>IF([3]Entry!$K$725="","",[3]Entry!$K$725)</f>
        <v/>
      </c>
      <c r="AL722">
        <f>IF([3]Entry!$L$725="","",[3]Entry!$L$725)</f>
        <v/>
      </c>
      <c r="AM722">
        <f>IF([3]Entry!$M$725="","",[3]Entry!$M$725)</f>
        <v/>
      </c>
      <c r="AN722">
        <f>IF([3]Entry!$N$725="","",[3]Entry!$N$725)</f>
        <v/>
      </c>
      <c r="AO722">
        <f>IF([3]Entry!$R$725="","",[3]Entry!$R$725)</f>
        <v/>
      </c>
    </row>
    <row r="723">
      <c r="U723">
        <f>IF([2]Baskol!$B$726="","",[2]Baskol!$B$726)</f>
        <v/>
      </c>
      <c r="V723">
        <f>IF([2]Baskol!$C$726="","",[2]Baskol!$C$726)</f>
        <v/>
      </c>
      <c r="W723">
        <f>IF([2]Baskol!$D$726="","",[2]Baskol!$D$726)</f>
        <v/>
      </c>
      <c r="X723">
        <f>IF([2]Baskol!$E$726="","",[2]Baskol!$E$726)</f>
        <v/>
      </c>
      <c r="Y723">
        <f>IF([2]Baskol!$G$726="","",[2]Baskol!$G$726)</f>
        <v/>
      </c>
      <c r="Z723">
        <f>IF([2]Baskol!$I$726="","",[2]Baskol!$I$726)</f>
        <v/>
      </c>
      <c r="AA723">
        <f>IF([2]Baskol!$J$726="","",[2]Baskol!$J$726)</f>
        <v/>
      </c>
      <c r="AB723">
        <f>IF([2]Baskol!$K$726="","",[2]Baskol!$K$726)</f>
        <v/>
      </c>
      <c r="AC723">
        <f>IF([2]Baskol!$L$726="","",[2]Baskol!$L$726)</f>
        <v/>
      </c>
      <c r="AD723">
        <f>IF([2]Baskol!$N$726="","",[2]Baskol!$N$726)</f>
        <v/>
      </c>
      <c r="AE723">
        <f>IF([2]Baskol!$O$726="","",[2]Baskol!$O$726)</f>
        <v/>
      </c>
      <c r="AG723">
        <f>IF([3]Entry!$C$726="","",[3]Entry!$C$726)</f>
        <v/>
      </c>
      <c r="AH723">
        <f>IF([3]Entry!$D$726="","",[3]Entry!$D$726)</f>
        <v/>
      </c>
      <c r="AI723">
        <f>IF([3]Entry!$E$726="","",[3]Entry!$E$726)</f>
        <v/>
      </c>
      <c r="AJ723">
        <f>IF([3]Entry!$G$726="","",[3]Entry!$G$726)</f>
        <v/>
      </c>
      <c r="AK723">
        <f>IF([3]Entry!$K$726="","",[3]Entry!$K$726)</f>
        <v/>
      </c>
      <c r="AL723">
        <f>IF([3]Entry!$L$726="","",[3]Entry!$L$726)</f>
        <v/>
      </c>
      <c r="AM723">
        <f>IF([3]Entry!$M$726="","",[3]Entry!$M$726)</f>
        <v/>
      </c>
      <c r="AN723">
        <f>IF([3]Entry!$N$726="","",[3]Entry!$N$726)</f>
        <v/>
      </c>
      <c r="AO723">
        <f>IF([3]Entry!$R$726="","",[3]Entry!$R$726)</f>
        <v/>
      </c>
    </row>
    <row r="724">
      <c r="U724">
        <f>IF([2]Baskol!$B$727="","",[2]Baskol!$B$727)</f>
        <v/>
      </c>
      <c r="V724">
        <f>IF([2]Baskol!$C$727="","",[2]Baskol!$C$727)</f>
        <v/>
      </c>
      <c r="W724">
        <f>IF([2]Baskol!$D$727="","",[2]Baskol!$D$727)</f>
        <v/>
      </c>
      <c r="X724">
        <f>IF([2]Baskol!$E$727="","",[2]Baskol!$E$727)</f>
        <v/>
      </c>
      <c r="Y724">
        <f>IF([2]Baskol!$G$727="","",[2]Baskol!$G$727)</f>
        <v/>
      </c>
      <c r="Z724">
        <f>IF([2]Baskol!$I$727="","",[2]Baskol!$I$727)</f>
        <v/>
      </c>
      <c r="AA724">
        <f>IF([2]Baskol!$J$727="","",[2]Baskol!$J$727)</f>
        <v/>
      </c>
      <c r="AB724">
        <f>IF([2]Baskol!$K$727="","",[2]Baskol!$K$727)</f>
        <v/>
      </c>
      <c r="AC724">
        <f>IF([2]Baskol!$L$727="","",[2]Baskol!$L$727)</f>
        <v/>
      </c>
      <c r="AD724">
        <f>IF([2]Baskol!$N$727="","",[2]Baskol!$N$727)</f>
        <v/>
      </c>
      <c r="AE724">
        <f>IF([2]Baskol!$O$727="","",[2]Baskol!$O$727)</f>
        <v/>
      </c>
      <c r="AG724">
        <f>IF([3]Entry!$C$727="","",[3]Entry!$C$727)</f>
        <v/>
      </c>
      <c r="AH724">
        <f>IF([3]Entry!$D$727="","",[3]Entry!$D$727)</f>
        <v/>
      </c>
      <c r="AI724">
        <f>IF([3]Entry!$E$727="","",[3]Entry!$E$727)</f>
        <v/>
      </c>
      <c r="AJ724">
        <f>IF([3]Entry!$G$727="","",[3]Entry!$G$727)</f>
        <v/>
      </c>
      <c r="AK724">
        <f>IF([3]Entry!$K$727="","",[3]Entry!$K$727)</f>
        <v/>
      </c>
      <c r="AL724">
        <f>IF([3]Entry!$L$727="","",[3]Entry!$L$727)</f>
        <v/>
      </c>
      <c r="AM724">
        <f>IF([3]Entry!$M$727="","",[3]Entry!$M$727)</f>
        <v/>
      </c>
      <c r="AN724">
        <f>IF([3]Entry!$N$727="","",[3]Entry!$N$727)</f>
        <v/>
      </c>
      <c r="AO724">
        <f>IF([3]Entry!$R$727="","",[3]Entry!$R$727)</f>
        <v/>
      </c>
    </row>
    <row r="725">
      <c r="U725">
        <f>IF([2]Baskol!$B$728="","",[2]Baskol!$B$728)</f>
        <v/>
      </c>
      <c r="V725">
        <f>IF([2]Baskol!$C$728="","",[2]Baskol!$C$728)</f>
        <v/>
      </c>
      <c r="W725">
        <f>IF([2]Baskol!$D$728="","",[2]Baskol!$D$728)</f>
        <v/>
      </c>
      <c r="X725">
        <f>IF([2]Baskol!$E$728="","",[2]Baskol!$E$728)</f>
        <v/>
      </c>
      <c r="Y725">
        <f>IF([2]Baskol!$G$728="","",[2]Baskol!$G$728)</f>
        <v/>
      </c>
      <c r="Z725">
        <f>IF([2]Baskol!$I$728="","",[2]Baskol!$I$728)</f>
        <v/>
      </c>
      <c r="AA725">
        <f>IF([2]Baskol!$J$728="","",[2]Baskol!$J$728)</f>
        <v/>
      </c>
      <c r="AB725">
        <f>IF([2]Baskol!$K$728="","",[2]Baskol!$K$728)</f>
        <v/>
      </c>
      <c r="AC725">
        <f>IF([2]Baskol!$L$728="","",[2]Baskol!$L$728)</f>
        <v/>
      </c>
      <c r="AD725">
        <f>IF([2]Baskol!$N$728="","",[2]Baskol!$N$728)</f>
        <v/>
      </c>
      <c r="AE725">
        <f>IF([2]Baskol!$O$728="","",[2]Baskol!$O$728)</f>
        <v/>
      </c>
      <c r="AG725">
        <f>IF([3]Entry!$C$728="","",[3]Entry!$C$728)</f>
        <v/>
      </c>
      <c r="AH725">
        <f>IF([3]Entry!$D$728="","",[3]Entry!$D$728)</f>
        <v/>
      </c>
      <c r="AI725">
        <f>IF([3]Entry!$E$728="","",[3]Entry!$E$728)</f>
        <v/>
      </c>
      <c r="AJ725">
        <f>IF([3]Entry!$G$728="","",[3]Entry!$G$728)</f>
        <v/>
      </c>
      <c r="AK725">
        <f>IF([3]Entry!$K$728="","",[3]Entry!$K$728)</f>
        <v/>
      </c>
      <c r="AL725">
        <f>IF([3]Entry!$L$728="","",[3]Entry!$L$728)</f>
        <v/>
      </c>
      <c r="AM725">
        <f>IF([3]Entry!$M$728="","",[3]Entry!$M$728)</f>
        <v/>
      </c>
      <c r="AN725">
        <f>IF([3]Entry!$N$728="","",[3]Entry!$N$728)</f>
        <v/>
      </c>
      <c r="AO725">
        <f>IF([3]Entry!$R$728="","",[3]Entry!$R$728)</f>
        <v/>
      </c>
    </row>
    <row r="726">
      <c r="U726">
        <f>IF([2]Baskol!$B$729="","",[2]Baskol!$B$729)</f>
        <v/>
      </c>
      <c r="V726">
        <f>IF([2]Baskol!$C$729="","",[2]Baskol!$C$729)</f>
        <v/>
      </c>
      <c r="W726">
        <f>IF([2]Baskol!$D$729="","",[2]Baskol!$D$729)</f>
        <v/>
      </c>
      <c r="X726">
        <f>IF([2]Baskol!$E$729="","",[2]Baskol!$E$729)</f>
        <v/>
      </c>
      <c r="Y726">
        <f>IF([2]Baskol!$G$729="","",[2]Baskol!$G$729)</f>
        <v/>
      </c>
      <c r="Z726">
        <f>IF([2]Baskol!$I$729="","",[2]Baskol!$I$729)</f>
        <v/>
      </c>
      <c r="AA726">
        <f>IF([2]Baskol!$J$729="","",[2]Baskol!$J$729)</f>
        <v/>
      </c>
      <c r="AB726">
        <f>IF([2]Baskol!$K$729="","",[2]Baskol!$K$729)</f>
        <v/>
      </c>
      <c r="AC726">
        <f>IF([2]Baskol!$L$729="","",[2]Baskol!$L$729)</f>
        <v/>
      </c>
      <c r="AD726">
        <f>IF([2]Baskol!$N$729="","",[2]Baskol!$N$729)</f>
        <v/>
      </c>
      <c r="AE726">
        <f>IF([2]Baskol!$O$729="","",[2]Baskol!$O$729)</f>
        <v/>
      </c>
      <c r="AG726">
        <f>IF([3]Entry!$C$729="","",[3]Entry!$C$729)</f>
        <v/>
      </c>
      <c r="AH726">
        <f>IF([3]Entry!$D$729="","",[3]Entry!$D$729)</f>
        <v/>
      </c>
      <c r="AI726">
        <f>IF([3]Entry!$E$729="","",[3]Entry!$E$729)</f>
        <v/>
      </c>
      <c r="AJ726">
        <f>IF([3]Entry!$G$729="","",[3]Entry!$G$729)</f>
        <v/>
      </c>
      <c r="AK726">
        <f>IF([3]Entry!$K$729="","",[3]Entry!$K$729)</f>
        <v/>
      </c>
      <c r="AL726">
        <f>IF([3]Entry!$L$729="","",[3]Entry!$L$729)</f>
        <v/>
      </c>
      <c r="AM726">
        <f>IF([3]Entry!$M$729="","",[3]Entry!$M$729)</f>
        <v/>
      </c>
      <c r="AN726">
        <f>IF([3]Entry!$N$729="","",[3]Entry!$N$729)</f>
        <v/>
      </c>
      <c r="AO726">
        <f>IF([3]Entry!$R$729="","",[3]Entry!$R$729)</f>
        <v/>
      </c>
    </row>
    <row r="727">
      <c r="U727">
        <f>IF([2]Baskol!$B$730="","",[2]Baskol!$B$730)</f>
        <v/>
      </c>
      <c r="V727">
        <f>IF([2]Baskol!$C$730="","",[2]Baskol!$C$730)</f>
        <v/>
      </c>
      <c r="W727">
        <f>IF([2]Baskol!$D$730="","",[2]Baskol!$D$730)</f>
        <v/>
      </c>
      <c r="X727">
        <f>IF([2]Baskol!$E$730="","",[2]Baskol!$E$730)</f>
        <v/>
      </c>
      <c r="Y727">
        <f>IF([2]Baskol!$G$730="","",[2]Baskol!$G$730)</f>
        <v/>
      </c>
      <c r="Z727">
        <f>IF([2]Baskol!$I$730="","",[2]Baskol!$I$730)</f>
        <v/>
      </c>
      <c r="AA727">
        <f>IF([2]Baskol!$J$730="","",[2]Baskol!$J$730)</f>
        <v/>
      </c>
      <c r="AB727">
        <f>IF([2]Baskol!$K$730="","",[2]Baskol!$K$730)</f>
        <v/>
      </c>
      <c r="AC727">
        <f>IF([2]Baskol!$L$730="","",[2]Baskol!$L$730)</f>
        <v/>
      </c>
      <c r="AD727">
        <f>IF([2]Baskol!$N$730="","",[2]Baskol!$N$730)</f>
        <v/>
      </c>
      <c r="AE727">
        <f>IF([2]Baskol!$O$730="","",[2]Baskol!$O$730)</f>
        <v/>
      </c>
      <c r="AG727">
        <f>IF([3]Entry!$C$730="","",[3]Entry!$C$730)</f>
        <v/>
      </c>
      <c r="AH727">
        <f>IF([3]Entry!$D$730="","",[3]Entry!$D$730)</f>
        <v/>
      </c>
      <c r="AI727">
        <f>IF([3]Entry!$E$730="","",[3]Entry!$E$730)</f>
        <v/>
      </c>
      <c r="AJ727">
        <f>IF([3]Entry!$G$730="","",[3]Entry!$G$730)</f>
        <v/>
      </c>
      <c r="AK727">
        <f>IF([3]Entry!$K$730="","",[3]Entry!$K$730)</f>
        <v/>
      </c>
      <c r="AL727">
        <f>IF([3]Entry!$L$730="","",[3]Entry!$L$730)</f>
        <v/>
      </c>
      <c r="AM727">
        <f>IF([3]Entry!$M$730="","",[3]Entry!$M$730)</f>
        <v/>
      </c>
      <c r="AN727">
        <f>IF([3]Entry!$N$730="","",[3]Entry!$N$730)</f>
        <v/>
      </c>
      <c r="AO727">
        <f>IF([3]Entry!$R$730="","",[3]Entry!$R$730)</f>
        <v/>
      </c>
    </row>
    <row r="728">
      <c r="U728">
        <f>IF([2]Baskol!$B$731="","",[2]Baskol!$B$731)</f>
        <v/>
      </c>
      <c r="V728">
        <f>IF([2]Baskol!$C$731="","",[2]Baskol!$C$731)</f>
        <v/>
      </c>
      <c r="W728">
        <f>IF([2]Baskol!$D$731="","",[2]Baskol!$D$731)</f>
        <v/>
      </c>
      <c r="X728">
        <f>IF([2]Baskol!$E$731="","",[2]Baskol!$E$731)</f>
        <v/>
      </c>
      <c r="Y728">
        <f>IF([2]Baskol!$G$731="","",[2]Baskol!$G$731)</f>
        <v/>
      </c>
      <c r="Z728">
        <f>IF([2]Baskol!$I$731="","",[2]Baskol!$I$731)</f>
        <v/>
      </c>
      <c r="AA728">
        <f>IF([2]Baskol!$J$731="","",[2]Baskol!$J$731)</f>
        <v/>
      </c>
      <c r="AB728">
        <f>IF([2]Baskol!$K$731="","",[2]Baskol!$K$731)</f>
        <v/>
      </c>
      <c r="AC728">
        <f>IF([2]Baskol!$L$731="","",[2]Baskol!$L$731)</f>
        <v/>
      </c>
      <c r="AD728">
        <f>IF([2]Baskol!$N$731="","",[2]Baskol!$N$731)</f>
        <v/>
      </c>
      <c r="AE728">
        <f>IF([2]Baskol!$O$731="","",[2]Baskol!$O$731)</f>
        <v/>
      </c>
      <c r="AG728">
        <f>IF([3]Entry!$C$731="","",[3]Entry!$C$731)</f>
        <v/>
      </c>
      <c r="AH728">
        <f>IF([3]Entry!$D$731="","",[3]Entry!$D$731)</f>
        <v/>
      </c>
      <c r="AI728">
        <f>IF([3]Entry!$E$731="","",[3]Entry!$E$731)</f>
        <v/>
      </c>
      <c r="AJ728">
        <f>IF([3]Entry!$G$731="","",[3]Entry!$G$731)</f>
        <v/>
      </c>
      <c r="AK728">
        <f>IF([3]Entry!$K$731="","",[3]Entry!$K$731)</f>
        <v/>
      </c>
      <c r="AL728">
        <f>IF([3]Entry!$L$731="","",[3]Entry!$L$731)</f>
        <v/>
      </c>
      <c r="AM728">
        <f>IF([3]Entry!$M$731="","",[3]Entry!$M$731)</f>
        <v/>
      </c>
      <c r="AN728">
        <f>IF([3]Entry!$N$731="","",[3]Entry!$N$731)</f>
        <v/>
      </c>
      <c r="AO728">
        <f>IF([3]Entry!$R$731="","",[3]Entry!$R$731)</f>
        <v/>
      </c>
    </row>
    <row r="729">
      <c r="U729">
        <f>IF([2]Baskol!$B$732="","",[2]Baskol!$B$732)</f>
        <v/>
      </c>
      <c r="V729">
        <f>IF([2]Baskol!$C$732="","",[2]Baskol!$C$732)</f>
        <v/>
      </c>
      <c r="W729">
        <f>IF([2]Baskol!$D$732="","",[2]Baskol!$D$732)</f>
        <v/>
      </c>
      <c r="X729">
        <f>IF([2]Baskol!$E$732="","",[2]Baskol!$E$732)</f>
        <v/>
      </c>
      <c r="Y729">
        <f>IF([2]Baskol!$G$732="","",[2]Baskol!$G$732)</f>
        <v/>
      </c>
      <c r="Z729">
        <f>IF([2]Baskol!$I$732="","",[2]Baskol!$I$732)</f>
        <v/>
      </c>
      <c r="AA729">
        <f>IF([2]Baskol!$J$732="","",[2]Baskol!$J$732)</f>
        <v/>
      </c>
      <c r="AB729">
        <f>IF([2]Baskol!$K$732="","",[2]Baskol!$K$732)</f>
        <v/>
      </c>
      <c r="AC729">
        <f>IF([2]Baskol!$L$732="","",[2]Baskol!$L$732)</f>
        <v/>
      </c>
      <c r="AD729">
        <f>IF([2]Baskol!$N$732="","",[2]Baskol!$N$732)</f>
        <v/>
      </c>
      <c r="AE729">
        <f>IF([2]Baskol!$O$732="","",[2]Baskol!$O$732)</f>
        <v/>
      </c>
      <c r="AG729">
        <f>IF([3]Entry!$C$732="","",[3]Entry!$C$732)</f>
        <v/>
      </c>
      <c r="AH729">
        <f>IF([3]Entry!$D$732="","",[3]Entry!$D$732)</f>
        <v/>
      </c>
      <c r="AI729">
        <f>IF([3]Entry!$E$732="","",[3]Entry!$E$732)</f>
        <v/>
      </c>
      <c r="AJ729">
        <f>IF([3]Entry!$G$732="","",[3]Entry!$G$732)</f>
        <v/>
      </c>
      <c r="AK729">
        <f>IF([3]Entry!$K$732="","",[3]Entry!$K$732)</f>
        <v/>
      </c>
      <c r="AL729">
        <f>IF([3]Entry!$L$732="","",[3]Entry!$L$732)</f>
        <v/>
      </c>
      <c r="AM729">
        <f>IF([3]Entry!$M$732="","",[3]Entry!$M$732)</f>
        <v/>
      </c>
      <c r="AN729">
        <f>IF([3]Entry!$N$732="","",[3]Entry!$N$732)</f>
        <v/>
      </c>
      <c r="AO729">
        <f>IF([3]Entry!$R$732="","",[3]Entry!$R$732)</f>
        <v/>
      </c>
    </row>
    <row r="730">
      <c r="U730">
        <f>IF([2]Baskol!$B$733="","",[2]Baskol!$B$733)</f>
        <v/>
      </c>
      <c r="V730">
        <f>IF([2]Baskol!$C$733="","",[2]Baskol!$C$733)</f>
        <v/>
      </c>
      <c r="W730">
        <f>IF([2]Baskol!$D$733="","",[2]Baskol!$D$733)</f>
        <v/>
      </c>
      <c r="X730">
        <f>IF([2]Baskol!$E$733="","",[2]Baskol!$E$733)</f>
        <v/>
      </c>
      <c r="Y730">
        <f>IF([2]Baskol!$G$733="","",[2]Baskol!$G$733)</f>
        <v/>
      </c>
      <c r="Z730">
        <f>IF([2]Baskol!$I$733="","",[2]Baskol!$I$733)</f>
        <v/>
      </c>
      <c r="AA730">
        <f>IF([2]Baskol!$J$733="","",[2]Baskol!$J$733)</f>
        <v/>
      </c>
      <c r="AB730">
        <f>IF([2]Baskol!$K$733="","",[2]Baskol!$K$733)</f>
        <v/>
      </c>
      <c r="AC730">
        <f>IF([2]Baskol!$L$733="","",[2]Baskol!$L$733)</f>
        <v/>
      </c>
      <c r="AD730">
        <f>IF([2]Baskol!$N$733="","",[2]Baskol!$N$733)</f>
        <v/>
      </c>
      <c r="AE730">
        <f>IF([2]Baskol!$O$733="","",[2]Baskol!$O$733)</f>
        <v/>
      </c>
      <c r="AG730">
        <f>IF([3]Entry!$C$733="","",[3]Entry!$C$733)</f>
        <v/>
      </c>
      <c r="AH730">
        <f>IF([3]Entry!$D$733="","",[3]Entry!$D$733)</f>
        <v/>
      </c>
      <c r="AI730">
        <f>IF([3]Entry!$E$733="","",[3]Entry!$E$733)</f>
        <v/>
      </c>
      <c r="AJ730">
        <f>IF([3]Entry!$G$733="","",[3]Entry!$G$733)</f>
        <v/>
      </c>
      <c r="AK730">
        <f>IF([3]Entry!$K$733="","",[3]Entry!$K$733)</f>
        <v/>
      </c>
      <c r="AL730">
        <f>IF([3]Entry!$L$733="","",[3]Entry!$L$733)</f>
        <v/>
      </c>
      <c r="AM730">
        <f>IF([3]Entry!$M$733="","",[3]Entry!$M$733)</f>
        <v/>
      </c>
      <c r="AN730">
        <f>IF([3]Entry!$N$733="","",[3]Entry!$N$733)</f>
        <v/>
      </c>
      <c r="AO730">
        <f>IF([3]Entry!$R$733="","",[3]Entry!$R$733)</f>
        <v/>
      </c>
    </row>
    <row r="731">
      <c r="U731">
        <f>IF([2]Baskol!$B$734="","",[2]Baskol!$B$734)</f>
        <v/>
      </c>
      <c r="V731">
        <f>IF([2]Baskol!$C$734="","",[2]Baskol!$C$734)</f>
        <v/>
      </c>
      <c r="W731">
        <f>IF([2]Baskol!$D$734="","",[2]Baskol!$D$734)</f>
        <v/>
      </c>
      <c r="X731">
        <f>IF([2]Baskol!$E$734="","",[2]Baskol!$E$734)</f>
        <v/>
      </c>
      <c r="Y731">
        <f>IF([2]Baskol!$G$734="","",[2]Baskol!$G$734)</f>
        <v/>
      </c>
      <c r="Z731">
        <f>IF([2]Baskol!$I$734="","",[2]Baskol!$I$734)</f>
        <v/>
      </c>
      <c r="AA731">
        <f>IF([2]Baskol!$J$734="","",[2]Baskol!$J$734)</f>
        <v/>
      </c>
      <c r="AB731">
        <f>IF([2]Baskol!$K$734="","",[2]Baskol!$K$734)</f>
        <v/>
      </c>
      <c r="AC731">
        <f>IF([2]Baskol!$L$734="","",[2]Baskol!$L$734)</f>
        <v/>
      </c>
      <c r="AD731">
        <f>IF([2]Baskol!$N$734="","",[2]Baskol!$N$734)</f>
        <v/>
      </c>
      <c r="AE731">
        <f>IF([2]Baskol!$O$734="","",[2]Baskol!$O$734)</f>
        <v/>
      </c>
      <c r="AG731">
        <f>IF([3]Entry!$C$734="","",[3]Entry!$C$734)</f>
        <v/>
      </c>
      <c r="AH731">
        <f>IF([3]Entry!$D$734="","",[3]Entry!$D$734)</f>
        <v/>
      </c>
      <c r="AI731">
        <f>IF([3]Entry!$E$734="","",[3]Entry!$E$734)</f>
        <v/>
      </c>
      <c r="AJ731">
        <f>IF([3]Entry!$G$734="","",[3]Entry!$G$734)</f>
        <v/>
      </c>
      <c r="AK731">
        <f>IF([3]Entry!$K$734="","",[3]Entry!$K$734)</f>
        <v/>
      </c>
      <c r="AL731">
        <f>IF([3]Entry!$L$734="","",[3]Entry!$L$734)</f>
        <v/>
      </c>
      <c r="AM731">
        <f>IF([3]Entry!$M$734="","",[3]Entry!$M$734)</f>
        <v/>
      </c>
      <c r="AN731">
        <f>IF([3]Entry!$N$734="","",[3]Entry!$N$734)</f>
        <v/>
      </c>
      <c r="AO731">
        <f>IF([3]Entry!$R$734="","",[3]Entry!$R$734)</f>
        <v/>
      </c>
    </row>
    <row r="732">
      <c r="U732">
        <f>IF([2]Baskol!$B$735="","",[2]Baskol!$B$735)</f>
        <v/>
      </c>
      <c r="V732">
        <f>IF([2]Baskol!$C$735="","",[2]Baskol!$C$735)</f>
        <v/>
      </c>
      <c r="W732">
        <f>IF([2]Baskol!$D$735="","",[2]Baskol!$D$735)</f>
        <v/>
      </c>
      <c r="X732">
        <f>IF([2]Baskol!$E$735="","",[2]Baskol!$E$735)</f>
        <v/>
      </c>
      <c r="Y732">
        <f>IF([2]Baskol!$G$735="","",[2]Baskol!$G$735)</f>
        <v/>
      </c>
      <c r="Z732">
        <f>IF([2]Baskol!$I$735="","",[2]Baskol!$I$735)</f>
        <v/>
      </c>
      <c r="AA732">
        <f>IF([2]Baskol!$J$735="","",[2]Baskol!$J$735)</f>
        <v/>
      </c>
      <c r="AB732">
        <f>IF([2]Baskol!$K$735="","",[2]Baskol!$K$735)</f>
        <v/>
      </c>
      <c r="AC732">
        <f>IF([2]Baskol!$L$735="","",[2]Baskol!$L$735)</f>
        <v/>
      </c>
      <c r="AD732">
        <f>IF([2]Baskol!$N$735="","",[2]Baskol!$N$735)</f>
        <v/>
      </c>
      <c r="AE732">
        <f>IF([2]Baskol!$O$735="","",[2]Baskol!$O$735)</f>
        <v/>
      </c>
      <c r="AG732">
        <f>IF([3]Entry!$C$735="","",[3]Entry!$C$735)</f>
        <v/>
      </c>
      <c r="AH732">
        <f>IF([3]Entry!$D$735="","",[3]Entry!$D$735)</f>
        <v/>
      </c>
      <c r="AI732">
        <f>IF([3]Entry!$E$735="","",[3]Entry!$E$735)</f>
        <v/>
      </c>
      <c r="AJ732">
        <f>IF([3]Entry!$G$735="","",[3]Entry!$G$735)</f>
        <v/>
      </c>
      <c r="AK732">
        <f>IF([3]Entry!$K$735="","",[3]Entry!$K$735)</f>
        <v/>
      </c>
      <c r="AL732">
        <f>IF([3]Entry!$L$735="","",[3]Entry!$L$735)</f>
        <v/>
      </c>
      <c r="AM732">
        <f>IF([3]Entry!$M$735="","",[3]Entry!$M$735)</f>
        <v/>
      </c>
      <c r="AN732">
        <f>IF([3]Entry!$N$735="","",[3]Entry!$N$735)</f>
        <v/>
      </c>
      <c r="AO732">
        <f>IF([3]Entry!$R$735="","",[3]Entry!$R$735)</f>
        <v/>
      </c>
    </row>
    <row r="733">
      <c r="U733">
        <f>IF([2]Baskol!$B$736="","",[2]Baskol!$B$736)</f>
        <v/>
      </c>
      <c r="V733">
        <f>IF([2]Baskol!$C$736="","",[2]Baskol!$C$736)</f>
        <v/>
      </c>
      <c r="W733">
        <f>IF([2]Baskol!$D$736="","",[2]Baskol!$D$736)</f>
        <v/>
      </c>
      <c r="X733">
        <f>IF([2]Baskol!$E$736="","",[2]Baskol!$E$736)</f>
        <v/>
      </c>
      <c r="Y733">
        <f>IF([2]Baskol!$G$736="","",[2]Baskol!$G$736)</f>
        <v/>
      </c>
      <c r="Z733">
        <f>IF([2]Baskol!$I$736="","",[2]Baskol!$I$736)</f>
        <v/>
      </c>
      <c r="AA733">
        <f>IF([2]Baskol!$J$736="","",[2]Baskol!$J$736)</f>
        <v/>
      </c>
      <c r="AB733">
        <f>IF([2]Baskol!$K$736="","",[2]Baskol!$K$736)</f>
        <v/>
      </c>
      <c r="AC733">
        <f>IF([2]Baskol!$L$736="","",[2]Baskol!$L$736)</f>
        <v/>
      </c>
      <c r="AD733">
        <f>IF([2]Baskol!$N$736="","",[2]Baskol!$N$736)</f>
        <v/>
      </c>
      <c r="AE733">
        <f>IF([2]Baskol!$O$736="","",[2]Baskol!$O$736)</f>
        <v/>
      </c>
      <c r="AG733">
        <f>IF([3]Entry!$C$736="","",[3]Entry!$C$736)</f>
        <v/>
      </c>
      <c r="AH733">
        <f>IF([3]Entry!$D$736="","",[3]Entry!$D$736)</f>
        <v/>
      </c>
      <c r="AI733">
        <f>IF([3]Entry!$E$736="","",[3]Entry!$E$736)</f>
        <v/>
      </c>
      <c r="AJ733">
        <f>IF([3]Entry!$G$736="","",[3]Entry!$G$736)</f>
        <v/>
      </c>
      <c r="AK733">
        <f>IF([3]Entry!$K$736="","",[3]Entry!$K$736)</f>
        <v/>
      </c>
      <c r="AL733">
        <f>IF([3]Entry!$L$736="","",[3]Entry!$L$736)</f>
        <v/>
      </c>
      <c r="AM733">
        <f>IF([3]Entry!$M$736="","",[3]Entry!$M$736)</f>
        <v/>
      </c>
      <c r="AN733">
        <f>IF([3]Entry!$N$736="","",[3]Entry!$N$736)</f>
        <v/>
      </c>
      <c r="AO733">
        <f>IF([3]Entry!$R$736="","",[3]Entry!$R$736)</f>
        <v/>
      </c>
    </row>
    <row r="734">
      <c r="U734">
        <f>IF([2]Baskol!$B$737="","",[2]Baskol!$B$737)</f>
        <v/>
      </c>
      <c r="V734">
        <f>IF([2]Baskol!$C$737="","",[2]Baskol!$C$737)</f>
        <v/>
      </c>
      <c r="W734">
        <f>IF([2]Baskol!$D$737="","",[2]Baskol!$D$737)</f>
        <v/>
      </c>
      <c r="X734">
        <f>IF([2]Baskol!$E$737="","",[2]Baskol!$E$737)</f>
        <v/>
      </c>
      <c r="Y734">
        <f>IF([2]Baskol!$G$737="","",[2]Baskol!$G$737)</f>
        <v/>
      </c>
      <c r="Z734">
        <f>IF([2]Baskol!$I$737="","",[2]Baskol!$I$737)</f>
        <v/>
      </c>
      <c r="AA734">
        <f>IF([2]Baskol!$J$737="","",[2]Baskol!$J$737)</f>
        <v/>
      </c>
      <c r="AB734">
        <f>IF([2]Baskol!$K$737="","",[2]Baskol!$K$737)</f>
        <v/>
      </c>
      <c r="AC734">
        <f>IF([2]Baskol!$L$737="","",[2]Baskol!$L$737)</f>
        <v/>
      </c>
      <c r="AD734">
        <f>IF([2]Baskol!$N$737="","",[2]Baskol!$N$737)</f>
        <v/>
      </c>
      <c r="AE734">
        <f>IF([2]Baskol!$O$737="","",[2]Baskol!$O$737)</f>
        <v/>
      </c>
      <c r="AG734">
        <f>IF([3]Entry!$C$737="","",[3]Entry!$C$737)</f>
        <v/>
      </c>
      <c r="AH734">
        <f>IF([3]Entry!$D$737="","",[3]Entry!$D$737)</f>
        <v/>
      </c>
      <c r="AI734">
        <f>IF([3]Entry!$E$737="","",[3]Entry!$E$737)</f>
        <v/>
      </c>
      <c r="AJ734">
        <f>IF([3]Entry!$G$737="","",[3]Entry!$G$737)</f>
        <v/>
      </c>
      <c r="AK734">
        <f>IF([3]Entry!$K$737="","",[3]Entry!$K$737)</f>
        <v/>
      </c>
      <c r="AL734">
        <f>IF([3]Entry!$L$737="","",[3]Entry!$L$737)</f>
        <v/>
      </c>
      <c r="AM734">
        <f>IF([3]Entry!$M$737="","",[3]Entry!$M$737)</f>
        <v/>
      </c>
      <c r="AN734">
        <f>IF([3]Entry!$N$737="","",[3]Entry!$N$737)</f>
        <v/>
      </c>
      <c r="AO734">
        <f>IF([3]Entry!$R$737="","",[3]Entry!$R$737)</f>
        <v/>
      </c>
    </row>
    <row r="735">
      <c r="U735">
        <f>IF([2]Baskol!$B$738="","",[2]Baskol!$B$738)</f>
        <v/>
      </c>
      <c r="V735">
        <f>IF([2]Baskol!$C$738="","",[2]Baskol!$C$738)</f>
        <v/>
      </c>
      <c r="W735">
        <f>IF([2]Baskol!$D$738="","",[2]Baskol!$D$738)</f>
        <v/>
      </c>
      <c r="X735">
        <f>IF([2]Baskol!$E$738="","",[2]Baskol!$E$738)</f>
        <v/>
      </c>
      <c r="Y735">
        <f>IF([2]Baskol!$G$738="","",[2]Baskol!$G$738)</f>
        <v/>
      </c>
      <c r="Z735">
        <f>IF([2]Baskol!$I$738="","",[2]Baskol!$I$738)</f>
        <v/>
      </c>
      <c r="AA735">
        <f>IF([2]Baskol!$J$738="","",[2]Baskol!$J$738)</f>
        <v/>
      </c>
      <c r="AB735">
        <f>IF([2]Baskol!$K$738="","",[2]Baskol!$K$738)</f>
        <v/>
      </c>
      <c r="AC735">
        <f>IF([2]Baskol!$L$738="","",[2]Baskol!$L$738)</f>
        <v/>
      </c>
      <c r="AD735">
        <f>IF([2]Baskol!$N$738="","",[2]Baskol!$N$738)</f>
        <v/>
      </c>
      <c r="AE735">
        <f>IF([2]Baskol!$O$738="","",[2]Baskol!$O$738)</f>
        <v/>
      </c>
      <c r="AG735">
        <f>IF([3]Entry!$C$738="","",[3]Entry!$C$738)</f>
        <v/>
      </c>
      <c r="AH735">
        <f>IF([3]Entry!$D$738="","",[3]Entry!$D$738)</f>
        <v/>
      </c>
      <c r="AI735">
        <f>IF([3]Entry!$E$738="","",[3]Entry!$E$738)</f>
        <v/>
      </c>
      <c r="AJ735">
        <f>IF([3]Entry!$G$738="","",[3]Entry!$G$738)</f>
        <v/>
      </c>
      <c r="AK735">
        <f>IF([3]Entry!$K$738="","",[3]Entry!$K$738)</f>
        <v/>
      </c>
      <c r="AL735">
        <f>IF([3]Entry!$L$738="","",[3]Entry!$L$738)</f>
        <v/>
      </c>
      <c r="AM735">
        <f>IF([3]Entry!$M$738="","",[3]Entry!$M$738)</f>
        <v/>
      </c>
      <c r="AN735">
        <f>IF([3]Entry!$N$738="","",[3]Entry!$N$738)</f>
        <v/>
      </c>
      <c r="AO735">
        <f>IF([3]Entry!$R$738="","",[3]Entry!$R$738)</f>
        <v/>
      </c>
    </row>
    <row r="736">
      <c r="U736">
        <f>IF([2]Baskol!$B$739="","",[2]Baskol!$B$739)</f>
        <v/>
      </c>
      <c r="V736">
        <f>IF([2]Baskol!$C$739="","",[2]Baskol!$C$739)</f>
        <v/>
      </c>
      <c r="W736">
        <f>IF([2]Baskol!$D$739="","",[2]Baskol!$D$739)</f>
        <v/>
      </c>
      <c r="X736">
        <f>IF([2]Baskol!$E$739="","",[2]Baskol!$E$739)</f>
        <v/>
      </c>
      <c r="Y736">
        <f>IF([2]Baskol!$G$739="","",[2]Baskol!$G$739)</f>
        <v/>
      </c>
      <c r="Z736">
        <f>IF([2]Baskol!$I$739="","",[2]Baskol!$I$739)</f>
        <v/>
      </c>
      <c r="AA736">
        <f>IF([2]Baskol!$J$739="","",[2]Baskol!$J$739)</f>
        <v/>
      </c>
      <c r="AB736">
        <f>IF([2]Baskol!$K$739="","",[2]Baskol!$K$739)</f>
        <v/>
      </c>
      <c r="AC736">
        <f>IF([2]Baskol!$L$739="","",[2]Baskol!$L$739)</f>
        <v/>
      </c>
      <c r="AD736">
        <f>IF([2]Baskol!$N$739="","",[2]Baskol!$N$739)</f>
        <v/>
      </c>
      <c r="AE736">
        <f>IF([2]Baskol!$O$739="","",[2]Baskol!$O$739)</f>
        <v/>
      </c>
      <c r="AG736">
        <f>IF([3]Entry!$C$739="","",[3]Entry!$C$739)</f>
        <v/>
      </c>
      <c r="AH736">
        <f>IF([3]Entry!$D$739="","",[3]Entry!$D$739)</f>
        <v/>
      </c>
      <c r="AI736">
        <f>IF([3]Entry!$E$739="","",[3]Entry!$E$739)</f>
        <v/>
      </c>
      <c r="AJ736">
        <f>IF([3]Entry!$G$739="","",[3]Entry!$G$739)</f>
        <v/>
      </c>
      <c r="AK736">
        <f>IF([3]Entry!$K$739="","",[3]Entry!$K$739)</f>
        <v/>
      </c>
      <c r="AL736">
        <f>IF([3]Entry!$L$739="","",[3]Entry!$L$739)</f>
        <v/>
      </c>
      <c r="AM736">
        <f>IF([3]Entry!$M$739="","",[3]Entry!$M$739)</f>
        <v/>
      </c>
      <c r="AN736">
        <f>IF([3]Entry!$N$739="","",[3]Entry!$N$739)</f>
        <v/>
      </c>
      <c r="AO736">
        <f>IF([3]Entry!$R$739="","",[3]Entry!$R$739)</f>
        <v/>
      </c>
    </row>
    <row r="737">
      <c r="U737">
        <f>IF([2]Baskol!$B$740="","",[2]Baskol!$B$740)</f>
        <v/>
      </c>
      <c r="V737">
        <f>IF([2]Baskol!$C$740="","",[2]Baskol!$C$740)</f>
        <v/>
      </c>
      <c r="W737">
        <f>IF([2]Baskol!$D$740="","",[2]Baskol!$D$740)</f>
        <v/>
      </c>
      <c r="X737">
        <f>IF([2]Baskol!$E$740="","",[2]Baskol!$E$740)</f>
        <v/>
      </c>
      <c r="Y737">
        <f>IF([2]Baskol!$G$740="","",[2]Baskol!$G$740)</f>
        <v/>
      </c>
      <c r="Z737">
        <f>IF([2]Baskol!$I$740="","",[2]Baskol!$I$740)</f>
        <v/>
      </c>
      <c r="AA737">
        <f>IF([2]Baskol!$J$740="","",[2]Baskol!$J$740)</f>
        <v/>
      </c>
      <c r="AB737">
        <f>IF([2]Baskol!$K$740="","",[2]Baskol!$K$740)</f>
        <v/>
      </c>
      <c r="AC737">
        <f>IF([2]Baskol!$L$740="","",[2]Baskol!$L$740)</f>
        <v/>
      </c>
      <c r="AD737">
        <f>IF([2]Baskol!$N$740="","",[2]Baskol!$N$740)</f>
        <v/>
      </c>
      <c r="AE737">
        <f>IF([2]Baskol!$O$740="","",[2]Baskol!$O$740)</f>
        <v/>
      </c>
      <c r="AG737">
        <f>IF([3]Entry!$C$740="","",[3]Entry!$C$740)</f>
        <v/>
      </c>
      <c r="AH737">
        <f>IF([3]Entry!$D$740="","",[3]Entry!$D$740)</f>
        <v/>
      </c>
      <c r="AI737">
        <f>IF([3]Entry!$E$740="","",[3]Entry!$E$740)</f>
        <v/>
      </c>
      <c r="AJ737">
        <f>IF([3]Entry!$G$740="","",[3]Entry!$G$740)</f>
        <v/>
      </c>
      <c r="AK737">
        <f>IF([3]Entry!$K$740="","",[3]Entry!$K$740)</f>
        <v/>
      </c>
      <c r="AL737">
        <f>IF([3]Entry!$L$740="","",[3]Entry!$L$740)</f>
        <v/>
      </c>
      <c r="AM737">
        <f>IF([3]Entry!$M$740="","",[3]Entry!$M$740)</f>
        <v/>
      </c>
      <c r="AN737">
        <f>IF([3]Entry!$N$740="","",[3]Entry!$N$740)</f>
        <v/>
      </c>
      <c r="AO737">
        <f>IF([3]Entry!$R$740="","",[3]Entry!$R$740)</f>
        <v/>
      </c>
    </row>
    <row r="738">
      <c r="U738">
        <f>IF([2]Baskol!$B$741="","",[2]Baskol!$B$741)</f>
        <v/>
      </c>
      <c r="V738">
        <f>IF([2]Baskol!$C$741="","",[2]Baskol!$C$741)</f>
        <v/>
      </c>
      <c r="W738">
        <f>IF([2]Baskol!$D$741="","",[2]Baskol!$D$741)</f>
        <v/>
      </c>
      <c r="X738">
        <f>IF([2]Baskol!$E$741="","",[2]Baskol!$E$741)</f>
        <v/>
      </c>
      <c r="Y738">
        <f>IF([2]Baskol!$G$741="","",[2]Baskol!$G$741)</f>
        <v/>
      </c>
      <c r="Z738">
        <f>IF([2]Baskol!$I$741="","",[2]Baskol!$I$741)</f>
        <v/>
      </c>
      <c r="AA738">
        <f>IF([2]Baskol!$J$741="","",[2]Baskol!$J$741)</f>
        <v/>
      </c>
      <c r="AB738">
        <f>IF([2]Baskol!$K$741="","",[2]Baskol!$K$741)</f>
        <v/>
      </c>
      <c r="AC738">
        <f>IF([2]Baskol!$L$741="","",[2]Baskol!$L$741)</f>
        <v/>
      </c>
      <c r="AD738">
        <f>IF([2]Baskol!$N$741="","",[2]Baskol!$N$741)</f>
        <v/>
      </c>
      <c r="AE738">
        <f>IF([2]Baskol!$O$741="","",[2]Baskol!$O$741)</f>
        <v/>
      </c>
      <c r="AG738">
        <f>IF([3]Entry!$C$741="","",[3]Entry!$C$741)</f>
        <v/>
      </c>
      <c r="AH738">
        <f>IF([3]Entry!$D$741="","",[3]Entry!$D$741)</f>
        <v/>
      </c>
      <c r="AI738">
        <f>IF([3]Entry!$E$741="","",[3]Entry!$E$741)</f>
        <v/>
      </c>
      <c r="AJ738">
        <f>IF([3]Entry!$G$741="","",[3]Entry!$G$741)</f>
        <v/>
      </c>
      <c r="AK738">
        <f>IF([3]Entry!$K$741="","",[3]Entry!$K$741)</f>
        <v/>
      </c>
      <c r="AL738">
        <f>IF([3]Entry!$L$741="","",[3]Entry!$L$741)</f>
        <v/>
      </c>
      <c r="AM738">
        <f>IF([3]Entry!$M$741="","",[3]Entry!$M$741)</f>
        <v/>
      </c>
      <c r="AN738">
        <f>IF([3]Entry!$N$741="","",[3]Entry!$N$741)</f>
        <v/>
      </c>
      <c r="AO738">
        <f>IF([3]Entry!$R$741="","",[3]Entry!$R$741)</f>
        <v/>
      </c>
    </row>
    <row r="739">
      <c r="U739">
        <f>IF([2]Baskol!$B$742="","",[2]Baskol!$B$742)</f>
        <v/>
      </c>
      <c r="V739">
        <f>IF([2]Baskol!$C$742="","",[2]Baskol!$C$742)</f>
        <v/>
      </c>
      <c r="W739">
        <f>IF([2]Baskol!$D$742="","",[2]Baskol!$D$742)</f>
        <v/>
      </c>
      <c r="X739">
        <f>IF([2]Baskol!$E$742="","",[2]Baskol!$E$742)</f>
        <v/>
      </c>
      <c r="Y739">
        <f>IF([2]Baskol!$G$742="","",[2]Baskol!$G$742)</f>
        <v/>
      </c>
      <c r="Z739">
        <f>IF([2]Baskol!$I$742="","",[2]Baskol!$I$742)</f>
        <v/>
      </c>
      <c r="AA739">
        <f>IF([2]Baskol!$J$742="","",[2]Baskol!$J$742)</f>
        <v/>
      </c>
      <c r="AB739">
        <f>IF([2]Baskol!$K$742="","",[2]Baskol!$K$742)</f>
        <v/>
      </c>
      <c r="AC739">
        <f>IF([2]Baskol!$L$742="","",[2]Baskol!$L$742)</f>
        <v/>
      </c>
      <c r="AD739">
        <f>IF([2]Baskol!$N$742="","",[2]Baskol!$N$742)</f>
        <v/>
      </c>
      <c r="AE739">
        <f>IF([2]Baskol!$O$742="","",[2]Baskol!$O$742)</f>
        <v/>
      </c>
      <c r="AG739">
        <f>IF([3]Entry!$C$742="","",[3]Entry!$C$742)</f>
        <v/>
      </c>
      <c r="AH739">
        <f>IF([3]Entry!$D$742="","",[3]Entry!$D$742)</f>
        <v/>
      </c>
      <c r="AI739">
        <f>IF([3]Entry!$E$742="","",[3]Entry!$E$742)</f>
        <v/>
      </c>
      <c r="AJ739">
        <f>IF([3]Entry!$G$742="","",[3]Entry!$G$742)</f>
        <v/>
      </c>
      <c r="AK739">
        <f>IF([3]Entry!$K$742="","",[3]Entry!$K$742)</f>
        <v/>
      </c>
      <c r="AL739">
        <f>IF([3]Entry!$L$742="","",[3]Entry!$L$742)</f>
        <v/>
      </c>
      <c r="AM739">
        <f>IF([3]Entry!$M$742="","",[3]Entry!$M$742)</f>
        <v/>
      </c>
      <c r="AN739">
        <f>IF([3]Entry!$N$742="","",[3]Entry!$N$742)</f>
        <v/>
      </c>
      <c r="AO739">
        <f>IF([3]Entry!$R$742="","",[3]Entry!$R$742)</f>
        <v/>
      </c>
    </row>
    <row r="740">
      <c r="U740">
        <f>IF([2]Baskol!$B$743="","",[2]Baskol!$B$743)</f>
        <v/>
      </c>
      <c r="V740">
        <f>IF([2]Baskol!$C$743="","",[2]Baskol!$C$743)</f>
        <v/>
      </c>
      <c r="W740">
        <f>IF([2]Baskol!$D$743="","",[2]Baskol!$D$743)</f>
        <v/>
      </c>
      <c r="X740">
        <f>IF([2]Baskol!$E$743="","",[2]Baskol!$E$743)</f>
        <v/>
      </c>
      <c r="Y740">
        <f>IF([2]Baskol!$G$743="","",[2]Baskol!$G$743)</f>
        <v/>
      </c>
      <c r="Z740">
        <f>IF([2]Baskol!$I$743="","",[2]Baskol!$I$743)</f>
        <v/>
      </c>
      <c r="AA740">
        <f>IF([2]Baskol!$J$743="","",[2]Baskol!$J$743)</f>
        <v/>
      </c>
      <c r="AB740">
        <f>IF([2]Baskol!$K$743="","",[2]Baskol!$K$743)</f>
        <v/>
      </c>
      <c r="AC740">
        <f>IF([2]Baskol!$L$743="","",[2]Baskol!$L$743)</f>
        <v/>
      </c>
      <c r="AD740">
        <f>IF([2]Baskol!$N$743="","",[2]Baskol!$N$743)</f>
        <v/>
      </c>
      <c r="AE740">
        <f>IF([2]Baskol!$O$743="","",[2]Baskol!$O$743)</f>
        <v/>
      </c>
      <c r="AG740">
        <f>IF([3]Entry!$C$743="","",[3]Entry!$C$743)</f>
        <v/>
      </c>
      <c r="AH740">
        <f>IF([3]Entry!$D$743="","",[3]Entry!$D$743)</f>
        <v/>
      </c>
      <c r="AI740">
        <f>IF([3]Entry!$E$743="","",[3]Entry!$E$743)</f>
        <v/>
      </c>
      <c r="AJ740">
        <f>IF([3]Entry!$G$743="","",[3]Entry!$G$743)</f>
        <v/>
      </c>
      <c r="AK740">
        <f>IF([3]Entry!$K$743="","",[3]Entry!$K$743)</f>
        <v/>
      </c>
      <c r="AL740">
        <f>IF([3]Entry!$L$743="","",[3]Entry!$L$743)</f>
        <v/>
      </c>
      <c r="AM740">
        <f>IF([3]Entry!$M$743="","",[3]Entry!$M$743)</f>
        <v/>
      </c>
      <c r="AN740">
        <f>IF([3]Entry!$N$743="","",[3]Entry!$N$743)</f>
        <v/>
      </c>
      <c r="AO740">
        <f>IF([3]Entry!$R$743="","",[3]Entry!$R$743)</f>
        <v/>
      </c>
    </row>
    <row r="741">
      <c r="U741">
        <f>IF([2]Baskol!$B$744="","",[2]Baskol!$B$744)</f>
        <v/>
      </c>
      <c r="V741">
        <f>IF([2]Baskol!$C$744="","",[2]Baskol!$C$744)</f>
        <v/>
      </c>
      <c r="W741">
        <f>IF([2]Baskol!$D$744="","",[2]Baskol!$D$744)</f>
        <v/>
      </c>
      <c r="X741">
        <f>IF([2]Baskol!$E$744="","",[2]Baskol!$E$744)</f>
        <v/>
      </c>
      <c r="Y741">
        <f>IF([2]Baskol!$G$744="","",[2]Baskol!$G$744)</f>
        <v/>
      </c>
      <c r="Z741">
        <f>IF([2]Baskol!$I$744="","",[2]Baskol!$I$744)</f>
        <v/>
      </c>
      <c r="AA741">
        <f>IF([2]Baskol!$J$744="","",[2]Baskol!$J$744)</f>
        <v/>
      </c>
      <c r="AB741">
        <f>IF([2]Baskol!$K$744="","",[2]Baskol!$K$744)</f>
        <v/>
      </c>
      <c r="AC741">
        <f>IF([2]Baskol!$L$744="","",[2]Baskol!$L$744)</f>
        <v/>
      </c>
      <c r="AD741">
        <f>IF([2]Baskol!$N$744="","",[2]Baskol!$N$744)</f>
        <v/>
      </c>
      <c r="AE741">
        <f>IF([2]Baskol!$O$744="","",[2]Baskol!$O$744)</f>
        <v/>
      </c>
      <c r="AG741">
        <f>IF([3]Entry!$C$744="","",[3]Entry!$C$744)</f>
        <v/>
      </c>
      <c r="AH741">
        <f>IF([3]Entry!$D$744="","",[3]Entry!$D$744)</f>
        <v/>
      </c>
      <c r="AI741">
        <f>IF([3]Entry!$E$744="","",[3]Entry!$E$744)</f>
        <v/>
      </c>
      <c r="AJ741">
        <f>IF([3]Entry!$G$744="","",[3]Entry!$G$744)</f>
        <v/>
      </c>
      <c r="AK741">
        <f>IF([3]Entry!$K$744="","",[3]Entry!$K$744)</f>
        <v/>
      </c>
      <c r="AL741">
        <f>IF([3]Entry!$L$744="","",[3]Entry!$L$744)</f>
        <v/>
      </c>
      <c r="AM741">
        <f>IF([3]Entry!$M$744="","",[3]Entry!$M$744)</f>
        <v/>
      </c>
      <c r="AN741">
        <f>IF([3]Entry!$N$744="","",[3]Entry!$N$744)</f>
        <v/>
      </c>
      <c r="AO741">
        <f>IF([3]Entry!$R$744="","",[3]Entry!$R$744)</f>
        <v/>
      </c>
    </row>
    <row r="742">
      <c r="U742">
        <f>IF([2]Baskol!$B$745="","",[2]Baskol!$B$745)</f>
        <v/>
      </c>
      <c r="V742">
        <f>IF([2]Baskol!$C$745="","",[2]Baskol!$C$745)</f>
        <v/>
      </c>
      <c r="W742">
        <f>IF([2]Baskol!$D$745="","",[2]Baskol!$D$745)</f>
        <v/>
      </c>
      <c r="X742">
        <f>IF([2]Baskol!$E$745="","",[2]Baskol!$E$745)</f>
        <v/>
      </c>
      <c r="Y742">
        <f>IF([2]Baskol!$G$745="","",[2]Baskol!$G$745)</f>
        <v/>
      </c>
      <c r="Z742">
        <f>IF([2]Baskol!$I$745="","",[2]Baskol!$I$745)</f>
        <v/>
      </c>
      <c r="AA742">
        <f>IF([2]Baskol!$J$745="","",[2]Baskol!$J$745)</f>
        <v/>
      </c>
      <c r="AB742">
        <f>IF([2]Baskol!$K$745="","",[2]Baskol!$K$745)</f>
        <v/>
      </c>
      <c r="AC742">
        <f>IF([2]Baskol!$L$745="","",[2]Baskol!$L$745)</f>
        <v/>
      </c>
      <c r="AD742">
        <f>IF([2]Baskol!$N$745="","",[2]Baskol!$N$745)</f>
        <v/>
      </c>
      <c r="AE742">
        <f>IF([2]Baskol!$O$745="","",[2]Baskol!$O$745)</f>
        <v/>
      </c>
      <c r="AG742">
        <f>IF([3]Entry!$C$745="","",[3]Entry!$C$745)</f>
        <v/>
      </c>
      <c r="AH742">
        <f>IF([3]Entry!$D$745="","",[3]Entry!$D$745)</f>
        <v/>
      </c>
      <c r="AI742">
        <f>IF([3]Entry!$E$745="","",[3]Entry!$E$745)</f>
        <v/>
      </c>
      <c r="AJ742">
        <f>IF([3]Entry!$G$745="","",[3]Entry!$G$745)</f>
        <v/>
      </c>
      <c r="AK742">
        <f>IF([3]Entry!$K$745="","",[3]Entry!$K$745)</f>
        <v/>
      </c>
      <c r="AL742">
        <f>IF([3]Entry!$L$745="","",[3]Entry!$L$745)</f>
        <v/>
      </c>
      <c r="AM742">
        <f>IF([3]Entry!$M$745="","",[3]Entry!$M$745)</f>
        <v/>
      </c>
      <c r="AN742">
        <f>IF([3]Entry!$N$745="","",[3]Entry!$N$745)</f>
        <v/>
      </c>
      <c r="AO742">
        <f>IF([3]Entry!$R$745="","",[3]Entry!$R$745)</f>
        <v/>
      </c>
    </row>
    <row r="743">
      <c r="U743">
        <f>IF([2]Baskol!$B$746="","",[2]Baskol!$B$746)</f>
        <v/>
      </c>
      <c r="V743">
        <f>IF([2]Baskol!$C$746="","",[2]Baskol!$C$746)</f>
        <v/>
      </c>
      <c r="W743">
        <f>IF([2]Baskol!$D$746="","",[2]Baskol!$D$746)</f>
        <v/>
      </c>
      <c r="X743">
        <f>IF([2]Baskol!$E$746="","",[2]Baskol!$E$746)</f>
        <v/>
      </c>
      <c r="Y743">
        <f>IF([2]Baskol!$G$746="","",[2]Baskol!$G$746)</f>
        <v/>
      </c>
      <c r="Z743">
        <f>IF([2]Baskol!$I$746="","",[2]Baskol!$I$746)</f>
        <v/>
      </c>
      <c r="AA743">
        <f>IF([2]Baskol!$J$746="","",[2]Baskol!$J$746)</f>
        <v/>
      </c>
      <c r="AB743">
        <f>IF([2]Baskol!$K$746="","",[2]Baskol!$K$746)</f>
        <v/>
      </c>
      <c r="AC743">
        <f>IF([2]Baskol!$L$746="","",[2]Baskol!$L$746)</f>
        <v/>
      </c>
      <c r="AD743">
        <f>IF([2]Baskol!$N$746="","",[2]Baskol!$N$746)</f>
        <v/>
      </c>
      <c r="AE743">
        <f>IF([2]Baskol!$O$746="","",[2]Baskol!$O$746)</f>
        <v/>
      </c>
      <c r="AG743">
        <f>IF([3]Entry!$C$746="","",[3]Entry!$C$746)</f>
        <v/>
      </c>
      <c r="AH743">
        <f>IF([3]Entry!$D$746="","",[3]Entry!$D$746)</f>
        <v/>
      </c>
      <c r="AI743">
        <f>IF([3]Entry!$E$746="","",[3]Entry!$E$746)</f>
        <v/>
      </c>
      <c r="AJ743">
        <f>IF([3]Entry!$G$746="","",[3]Entry!$G$746)</f>
        <v/>
      </c>
      <c r="AK743">
        <f>IF([3]Entry!$K$746="","",[3]Entry!$K$746)</f>
        <v/>
      </c>
      <c r="AL743">
        <f>IF([3]Entry!$L$746="","",[3]Entry!$L$746)</f>
        <v/>
      </c>
      <c r="AM743">
        <f>IF([3]Entry!$M$746="","",[3]Entry!$M$746)</f>
        <v/>
      </c>
      <c r="AN743">
        <f>IF([3]Entry!$N$746="","",[3]Entry!$N$746)</f>
        <v/>
      </c>
      <c r="AO743">
        <f>IF([3]Entry!$R$746="","",[3]Entry!$R$746)</f>
        <v/>
      </c>
    </row>
    <row r="744">
      <c r="U744">
        <f>IF([2]Baskol!$B$747="","",[2]Baskol!$B$747)</f>
        <v/>
      </c>
      <c r="V744">
        <f>IF([2]Baskol!$C$747="","",[2]Baskol!$C$747)</f>
        <v/>
      </c>
      <c r="W744">
        <f>IF([2]Baskol!$D$747="","",[2]Baskol!$D$747)</f>
        <v/>
      </c>
      <c r="X744">
        <f>IF([2]Baskol!$E$747="","",[2]Baskol!$E$747)</f>
        <v/>
      </c>
      <c r="Y744">
        <f>IF([2]Baskol!$G$747="","",[2]Baskol!$G$747)</f>
        <v/>
      </c>
      <c r="Z744">
        <f>IF([2]Baskol!$I$747="","",[2]Baskol!$I$747)</f>
        <v/>
      </c>
      <c r="AA744">
        <f>IF([2]Baskol!$J$747="","",[2]Baskol!$J$747)</f>
        <v/>
      </c>
      <c r="AB744">
        <f>IF([2]Baskol!$K$747="","",[2]Baskol!$K$747)</f>
        <v/>
      </c>
      <c r="AC744">
        <f>IF([2]Baskol!$L$747="","",[2]Baskol!$L$747)</f>
        <v/>
      </c>
      <c r="AD744">
        <f>IF([2]Baskol!$N$747="","",[2]Baskol!$N$747)</f>
        <v/>
      </c>
      <c r="AE744">
        <f>IF([2]Baskol!$O$747="","",[2]Baskol!$O$747)</f>
        <v/>
      </c>
      <c r="AG744">
        <f>IF([3]Entry!$C$747="","",[3]Entry!$C$747)</f>
        <v/>
      </c>
      <c r="AH744">
        <f>IF([3]Entry!$D$747="","",[3]Entry!$D$747)</f>
        <v/>
      </c>
      <c r="AI744">
        <f>IF([3]Entry!$E$747="","",[3]Entry!$E$747)</f>
        <v/>
      </c>
      <c r="AJ744">
        <f>IF([3]Entry!$G$747="","",[3]Entry!$G$747)</f>
        <v/>
      </c>
      <c r="AK744">
        <f>IF([3]Entry!$K$747="","",[3]Entry!$K$747)</f>
        <v/>
      </c>
      <c r="AL744">
        <f>IF([3]Entry!$L$747="","",[3]Entry!$L$747)</f>
        <v/>
      </c>
      <c r="AM744">
        <f>IF([3]Entry!$M$747="","",[3]Entry!$M$747)</f>
        <v/>
      </c>
      <c r="AN744">
        <f>IF([3]Entry!$N$747="","",[3]Entry!$N$747)</f>
        <v/>
      </c>
      <c r="AO744">
        <f>IF([3]Entry!$R$747="","",[3]Entry!$R$747)</f>
        <v/>
      </c>
    </row>
    <row r="745">
      <c r="U745">
        <f>IF([2]Baskol!$B$748="","",[2]Baskol!$B$748)</f>
        <v/>
      </c>
      <c r="V745">
        <f>IF([2]Baskol!$C$748="","",[2]Baskol!$C$748)</f>
        <v/>
      </c>
      <c r="W745">
        <f>IF([2]Baskol!$D$748="","",[2]Baskol!$D$748)</f>
        <v/>
      </c>
      <c r="X745">
        <f>IF([2]Baskol!$E$748="","",[2]Baskol!$E$748)</f>
        <v/>
      </c>
      <c r="Y745">
        <f>IF([2]Baskol!$G$748="","",[2]Baskol!$G$748)</f>
        <v/>
      </c>
      <c r="Z745">
        <f>IF([2]Baskol!$I$748="","",[2]Baskol!$I$748)</f>
        <v/>
      </c>
      <c r="AA745">
        <f>IF([2]Baskol!$J$748="","",[2]Baskol!$J$748)</f>
        <v/>
      </c>
      <c r="AB745">
        <f>IF([2]Baskol!$K$748="","",[2]Baskol!$K$748)</f>
        <v/>
      </c>
      <c r="AC745">
        <f>IF([2]Baskol!$L$748="","",[2]Baskol!$L$748)</f>
        <v/>
      </c>
      <c r="AD745">
        <f>IF([2]Baskol!$N$748="","",[2]Baskol!$N$748)</f>
        <v/>
      </c>
      <c r="AE745">
        <f>IF([2]Baskol!$O$748="","",[2]Baskol!$O$748)</f>
        <v/>
      </c>
      <c r="AG745">
        <f>IF([3]Entry!$C$748="","",[3]Entry!$C$748)</f>
        <v/>
      </c>
      <c r="AH745">
        <f>IF([3]Entry!$D$748="","",[3]Entry!$D$748)</f>
        <v/>
      </c>
      <c r="AI745">
        <f>IF([3]Entry!$E$748="","",[3]Entry!$E$748)</f>
        <v/>
      </c>
      <c r="AJ745">
        <f>IF([3]Entry!$G$748="","",[3]Entry!$G$748)</f>
        <v/>
      </c>
      <c r="AK745">
        <f>IF([3]Entry!$K$748="","",[3]Entry!$K$748)</f>
        <v/>
      </c>
      <c r="AL745">
        <f>IF([3]Entry!$L$748="","",[3]Entry!$L$748)</f>
        <v/>
      </c>
      <c r="AM745">
        <f>IF([3]Entry!$M$748="","",[3]Entry!$M$748)</f>
        <v/>
      </c>
      <c r="AN745">
        <f>IF([3]Entry!$N$748="","",[3]Entry!$N$748)</f>
        <v/>
      </c>
      <c r="AO745">
        <f>IF([3]Entry!$R$748="","",[3]Entry!$R$748)</f>
        <v/>
      </c>
    </row>
    <row r="746">
      <c r="U746">
        <f>IF([2]Baskol!$B$749="","",[2]Baskol!$B$749)</f>
        <v/>
      </c>
      <c r="V746">
        <f>IF([2]Baskol!$C$749="","",[2]Baskol!$C$749)</f>
        <v/>
      </c>
      <c r="W746">
        <f>IF([2]Baskol!$D$749="","",[2]Baskol!$D$749)</f>
        <v/>
      </c>
      <c r="X746">
        <f>IF([2]Baskol!$E$749="","",[2]Baskol!$E$749)</f>
        <v/>
      </c>
      <c r="Y746">
        <f>IF([2]Baskol!$G$749="","",[2]Baskol!$G$749)</f>
        <v/>
      </c>
      <c r="Z746">
        <f>IF([2]Baskol!$I$749="","",[2]Baskol!$I$749)</f>
        <v/>
      </c>
      <c r="AA746">
        <f>IF([2]Baskol!$J$749="","",[2]Baskol!$J$749)</f>
        <v/>
      </c>
      <c r="AB746">
        <f>IF([2]Baskol!$K$749="","",[2]Baskol!$K$749)</f>
        <v/>
      </c>
      <c r="AC746">
        <f>IF([2]Baskol!$L$749="","",[2]Baskol!$L$749)</f>
        <v/>
      </c>
      <c r="AD746">
        <f>IF([2]Baskol!$N$749="","",[2]Baskol!$N$749)</f>
        <v/>
      </c>
      <c r="AE746">
        <f>IF([2]Baskol!$O$749="","",[2]Baskol!$O$749)</f>
        <v/>
      </c>
      <c r="AG746">
        <f>IF([3]Entry!$C$749="","",[3]Entry!$C$749)</f>
        <v/>
      </c>
      <c r="AH746">
        <f>IF([3]Entry!$D$749="","",[3]Entry!$D$749)</f>
        <v/>
      </c>
      <c r="AI746">
        <f>IF([3]Entry!$E$749="","",[3]Entry!$E$749)</f>
        <v/>
      </c>
      <c r="AJ746">
        <f>IF([3]Entry!$G$749="","",[3]Entry!$G$749)</f>
        <v/>
      </c>
      <c r="AK746">
        <f>IF([3]Entry!$K$749="","",[3]Entry!$K$749)</f>
        <v/>
      </c>
      <c r="AL746">
        <f>IF([3]Entry!$L$749="","",[3]Entry!$L$749)</f>
        <v/>
      </c>
      <c r="AM746">
        <f>IF([3]Entry!$M$749="","",[3]Entry!$M$749)</f>
        <v/>
      </c>
      <c r="AN746">
        <f>IF([3]Entry!$N$749="","",[3]Entry!$N$749)</f>
        <v/>
      </c>
      <c r="AO746">
        <f>IF([3]Entry!$R$749="","",[3]Entry!$R$749)</f>
        <v/>
      </c>
    </row>
    <row r="747">
      <c r="U747">
        <f>IF([2]Baskol!$B$750="","",[2]Baskol!$B$750)</f>
        <v/>
      </c>
      <c r="V747">
        <f>IF([2]Baskol!$C$750="","",[2]Baskol!$C$750)</f>
        <v/>
      </c>
      <c r="W747">
        <f>IF([2]Baskol!$D$750="","",[2]Baskol!$D$750)</f>
        <v/>
      </c>
      <c r="X747">
        <f>IF([2]Baskol!$E$750="","",[2]Baskol!$E$750)</f>
        <v/>
      </c>
      <c r="Y747">
        <f>IF([2]Baskol!$G$750="","",[2]Baskol!$G$750)</f>
        <v/>
      </c>
      <c r="Z747">
        <f>IF([2]Baskol!$I$750="","",[2]Baskol!$I$750)</f>
        <v/>
      </c>
      <c r="AA747">
        <f>IF([2]Baskol!$J$750="","",[2]Baskol!$J$750)</f>
        <v/>
      </c>
      <c r="AB747">
        <f>IF([2]Baskol!$K$750="","",[2]Baskol!$K$750)</f>
        <v/>
      </c>
      <c r="AC747">
        <f>IF([2]Baskol!$L$750="","",[2]Baskol!$L$750)</f>
        <v/>
      </c>
      <c r="AD747">
        <f>IF([2]Baskol!$N$750="","",[2]Baskol!$N$750)</f>
        <v/>
      </c>
      <c r="AE747">
        <f>IF([2]Baskol!$O$750="","",[2]Baskol!$O$750)</f>
        <v/>
      </c>
      <c r="AG747">
        <f>IF([3]Entry!$C$750="","",[3]Entry!$C$750)</f>
        <v/>
      </c>
      <c r="AH747">
        <f>IF([3]Entry!$D$750="","",[3]Entry!$D$750)</f>
        <v/>
      </c>
      <c r="AI747">
        <f>IF([3]Entry!$E$750="","",[3]Entry!$E$750)</f>
        <v/>
      </c>
      <c r="AJ747">
        <f>IF([3]Entry!$G$750="","",[3]Entry!$G$750)</f>
        <v/>
      </c>
      <c r="AK747">
        <f>IF([3]Entry!$K$750="","",[3]Entry!$K$750)</f>
        <v/>
      </c>
      <c r="AL747">
        <f>IF([3]Entry!$L$750="","",[3]Entry!$L$750)</f>
        <v/>
      </c>
      <c r="AM747">
        <f>IF([3]Entry!$M$750="","",[3]Entry!$M$750)</f>
        <v/>
      </c>
      <c r="AN747">
        <f>IF([3]Entry!$N$750="","",[3]Entry!$N$750)</f>
        <v/>
      </c>
      <c r="AO747">
        <f>IF([3]Entry!$R$750="","",[3]Entry!$R$750)</f>
        <v/>
      </c>
    </row>
    <row r="748">
      <c r="U748">
        <f>IF([2]Baskol!$B$751="","",[2]Baskol!$B$751)</f>
        <v/>
      </c>
      <c r="V748">
        <f>IF([2]Baskol!$C$751="","",[2]Baskol!$C$751)</f>
        <v/>
      </c>
      <c r="W748">
        <f>IF([2]Baskol!$D$751="","",[2]Baskol!$D$751)</f>
        <v/>
      </c>
      <c r="X748">
        <f>IF([2]Baskol!$E$751="","",[2]Baskol!$E$751)</f>
        <v/>
      </c>
      <c r="Y748">
        <f>IF([2]Baskol!$G$751="","",[2]Baskol!$G$751)</f>
        <v/>
      </c>
      <c r="Z748">
        <f>IF([2]Baskol!$I$751="","",[2]Baskol!$I$751)</f>
        <v/>
      </c>
      <c r="AA748">
        <f>IF([2]Baskol!$J$751="","",[2]Baskol!$J$751)</f>
        <v/>
      </c>
      <c r="AB748">
        <f>IF([2]Baskol!$K$751="","",[2]Baskol!$K$751)</f>
        <v/>
      </c>
      <c r="AC748">
        <f>IF([2]Baskol!$L$751="","",[2]Baskol!$L$751)</f>
        <v/>
      </c>
      <c r="AD748">
        <f>IF([2]Baskol!$N$751="","",[2]Baskol!$N$751)</f>
        <v/>
      </c>
      <c r="AE748">
        <f>IF([2]Baskol!$O$751="","",[2]Baskol!$O$751)</f>
        <v/>
      </c>
      <c r="AG748">
        <f>IF([3]Entry!$C$751="","",[3]Entry!$C$751)</f>
        <v/>
      </c>
      <c r="AH748">
        <f>IF([3]Entry!$D$751="","",[3]Entry!$D$751)</f>
        <v/>
      </c>
      <c r="AI748">
        <f>IF([3]Entry!$E$751="","",[3]Entry!$E$751)</f>
        <v/>
      </c>
      <c r="AJ748">
        <f>IF([3]Entry!$G$751="","",[3]Entry!$G$751)</f>
        <v/>
      </c>
      <c r="AK748">
        <f>IF([3]Entry!$K$751="","",[3]Entry!$K$751)</f>
        <v/>
      </c>
      <c r="AL748">
        <f>IF([3]Entry!$L$751="","",[3]Entry!$L$751)</f>
        <v/>
      </c>
      <c r="AM748">
        <f>IF([3]Entry!$M$751="","",[3]Entry!$M$751)</f>
        <v/>
      </c>
      <c r="AN748">
        <f>IF([3]Entry!$N$751="","",[3]Entry!$N$751)</f>
        <v/>
      </c>
      <c r="AO748">
        <f>IF([3]Entry!$R$751="","",[3]Entry!$R$751)</f>
        <v/>
      </c>
    </row>
    <row r="749">
      <c r="U749">
        <f>IF([2]Baskol!$B$752="","",[2]Baskol!$B$752)</f>
        <v/>
      </c>
      <c r="V749">
        <f>IF([2]Baskol!$C$752="","",[2]Baskol!$C$752)</f>
        <v/>
      </c>
      <c r="W749">
        <f>IF([2]Baskol!$D$752="","",[2]Baskol!$D$752)</f>
        <v/>
      </c>
      <c r="X749">
        <f>IF([2]Baskol!$E$752="","",[2]Baskol!$E$752)</f>
        <v/>
      </c>
      <c r="Y749">
        <f>IF([2]Baskol!$G$752="","",[2]Baskol!$G$752)</f>
        <v/>
      </c>
      <c r="Z749">
        <f>IF([2]Baskol!$I$752="","",[2]Baskol!$I$752)</f>
        <v/>
      </c>
      <c r="AA749">
        <f>IF([2]Baskol!$J$752="","",[2]Baskol!$J$752)</f>
        <v/>
      </c>
      <c r="AB749">
        <f>IF([2]Baskol!$K$752="","",[2]Baskol!$K$752)</f>
        <v/>
      </c>
      <c r="AC749">
        <f>IF([2]Baskol!$L$752="","",[2]Baskol!$L$752)</f>
        <v/>
      </c>
      <c r="AD749">
        <f>IF([2]Baskol!$N$752="","",[2]Baskol!$N$752)</f>
        <v/>
      </c>
      <c r="AE749">
        <f>IF([2]Baskol!$O$752="","",[2]Baskol!$O$752)</f>
        <v/>
      </c>
      <c r="AG749">
        <f>IF([3]Entry!$C$752="","",[3]Entry!$C$752)</f>
        <v/>
      </c>
      <c r="AH749">
        <f>IF([3]Entry!$D$752="","",[3]Entry!$D$752)</f>
        <v/>
      </c>
      <c r="AI749">
        <f>IF([3]Entry!$E$752="","",[3]Entry!$E$752)</f>
        <v/>
      </c>
      <c r="AJ749">
        <f>IF([3]Entry!$G$752="","",[3]Entry!$G$752)</f>
        <v/>
      </c>
      <c r="AK749">
        <f>IF([3]Entry!$K$752="","",[3]Entry!$K$752)</f>
        <v/>
      </c>
      <c r="AL749">
        <f>IF([3]Entry!$L$752="","",[3]Entry!$L$752)</f>
        <v/>
      </c>
      <c r="AM749">
        <f>IF([3]Entry!$M$752="","",[3]Entry!$M$752)</f>
        <v/>
      </c>
      <c r="AN749">
        <f>IF([3]Entry!$N$752="","",[3]Entry!$N$752)</f>
        <v/>
      </c>
      <c r="AO749">
        <f>IF([3]Entry!$R$752="","",[3]Entry!$R$752)</f>
        <v/>
      </c>
    </row>
    <row r="750">
      <c r="U750">
        <f>IF([2]Baskol!$B$753="","",[2]Baskol!$B$753)</f>
        <v/>
      </c>
      <c r="V750">
        <f>IF([2]Baskol!$C$753="","",[2]Baskol!$C$753)</f>
        <v/>
      </c>
      <c r="W750">
        <f>IF([2]Baskol!$D$753="","",[2]Baskol!$D$753)</f>
        <v/>
      </c>
      <c r="X750">
        <f>IF([2]Baskol!$E$753="","",[2]Baskol!$E$753)</f>
        <v/>
      </c>
      <c r="Y750">
        <f>IF([2]Baskol!$G$753="","",[2]Baskol!$G$753)</f>
        <v/>
      </c>
      <c r="Z750">
        <f>IF([2]Baskol!$I$753="","",[2]Baskol!$I$753)</f>
        <v/>
      </c>
      <c r="AA750">
        <f>IF([2]Baskol!$J$753="","",[2]Baskol!$J$753)</f>
        <v/>
      </c>
      <c r="AB750">
        <f>IF([2]Baskol!$K$753="","",[2]Baskol!$K$753)</f>
        <v/>
      </c>
      <c r="AC750">
        <f>IF([2]Baskol!$L$753="","",[2]Baskol!$L$753)</f>
        <v/>
      </c>
      <c r="AD750">
        <f>IF([2]Baskol!$N$753="","",[2]Baskol!$N$753)</f>
        <v/>
      </c>
      <c r="AE750">
        <f>IF([2]Baskol!$O$753="","",[2]Baskol!$O$753)</f>
        <v/>
      </c>
      <c r="AG750">
        <f>IF([3]Entry!$C$753="","",[3]Entry!$C$753)</f>
        <v/>
      </c>
      <c r="AH750">
        <f>IF([3]Entry!$D$753="","",[3]Entry!$D$753)</f>
        <v/>
      </c>
      <c r="AI750">
        <f>IF([3]Entry!$E$753="","",[3]Entry!$E$753)</f>
        <v/>
      </c>
      <c r="AJ750">
        <f>IF([3]Entry!$G$753="","",[3]Entry!$G$753)</f>
        <v/>
      </c>
      <c r="AK750">
        <f>IF([3]Entry!$K$753="","",[3]Entry!$K$753)</f>
        <v/>
      </c>
      <c r="AL750">
        <f>IF([3]Entry!$L$753="","",[3]Entry!$L$753)</f>
        <v/>
      </c>
      <c r="AM750">
        <f>IF([3]Entry!$M$753="","",[3]Entry!$M$753)</f>
        <v/>
      </c>
      <c r="AN750">
        <f>IF([3]Entry!$N$753="","",[3]Entry!$N$753)</f>
        <v/>
      </c>
      <c r="AO750">
        <f>IF([3]Entry!$R$753="","",[3]Entry!$R$753)</f>
        <v/>
      </c>
    </row>
    <row r="751">
      <c r="U751">
        <f>IF([2]Baskol!$B$754="","",[2]Baskol!$B$754)</f>
        <v/>
      </c>
      <c r="V751">
        <f>IF([2]Baskol!$C$754="","",[2]Baskol!$C$754)</f>
        <v/>
      </c>
      <c r="W751">
        <f>IF([2]Baskol!$D$754="","",[2]Baskol!$D$754)</f>
        <v/>
      </c>
      <c r="X751">
        <f>IF([2]Baskol!$E$754="","",[2]Baskol!$E$754)</f>
        <v/>
      </c>
      <c r="Y751">
        <f>IF([2]Baskol!$G$754="","",[2]Baskol!$G$754)</f>
        <v/>
      </c>
      <c r="Z751">
        <f>IF([2]Baskol!$I$754="","",[2]Baskol!$I$754)</f>
        <v/>
      </c>
      <c r="AA751">
        <f>IF([2]Baskol!$J$754="","",[2]Baskol!$J$754)</f>
        <v/>
      </c>
      <c r="AB751">
        <f>IF([2]Baskol!$K$754="","",[2]Baskol!$K$754)</f>
        <v/>
      </c>
      <c r="AC751">
        <f>IF([2]Baskol!$L$754="","",[2]Baskol!$L$754)</f>
        <v/>
      </c>
      <c r="AD751">
        <f>IF([2]Baskol!$N$754="","",[2]Baskol!$N$754)</f>
        <v/>
      </c>
      <c r="AE751">
        <f>IF([2]Baskol!$O$754="","",[2]Baskol!$O$754)</f>
        <v/>
      </c>
      <c r="AG751">
        <f>IF([3]Entry!$C$754="","",[3]Entry!$C$754)</f>
        <v/>
      </c>
      <c r="AH751">
        <f>IF([3]Entry!$D$754="","",[3]Entry!$D$754)</f>
        <v/>
      </c>
      <c r="AI751">
        <f>IF([3]Entry!$E$754="","",[3]Entry!$E$754)</f>
        <v/>
      </c>
      <c r="AJ751">
        <f>IF([3]Entry!$G$754="","",[3]Entry!$G$754)</f>
        <v/>
      </c>
      <c r="AK751">
        <f>IF([3]Entry!$K$754="","",[3]Entry!$K$754)</f>
        <v/>
      </c>
      <c r="AL751">
        <f>IF([3]Entry!$L$754="","",[3]Entry!$L$754)</f>
        <v/>
      </c>
      <c r="AM751">
        <f>IF([3]Entry!$M$754="","",[3]Entry!$M$754)</f>
        <v/>
      </c>
      <c r="AN751">
        <f>IF([3]Entry!$N$754="","",[3]Entry!$N$754)</f>
        <v/>
      </c>
      <c r="AO751">
        <f>IF([3]Entry!$R$754="","",[3]Entry!$R$754)</f>
        <v/>
      </c>
    </row>
    <row r="752">
      <c r="U752">
        <f>IF([2]Baskol!$B$755="","",[2]Baskol!$B$755)</f>
        <v/>
      </c>
      <c r="V752">
        <f>IF([2]Baskol!$C$755="","",[2]Baskol!$C$755)</f>
        <v/>
      </c>
      <c r="W752">
        <f>IF([2]Baskol!$D$755="","",[2]Baskol!$D$755)</f>
        <v/>
      </c>
      <c r="X752">
        <f>IF([2]Baskol!$E$755="","",[2]Baskol!$E$755)</f>
        <v/>
      </c>
      <c r="Y752">
        <f>IF([2]Baskol!$G$755="","",[2]Baskol!$G$755)</f>
        <v/>
      </c>
      <c r="Z752">
        <f>IF([2]Baskol!$I$755="","",[2]Baskol!$I$755)</f>
        <v/>
      </c>
      <c r="AA752">
        <f>IF([2]Baskol!$J$755="","",[2]Baskol!$J$755)</f>
        <v/>
      </c>
      <c r="AB752">
        <f>IF([2]Baskol!$K$755="","",[2]Baskol!$K$755)</f>
        <v/>
      </c>
      <c r="AC752">
        <f>IF([2]Baskol!$L$755="","",[2]Baskol!$L$755)</f>
        <v/>
      </c>
      <c r="AD752">
        <f>IF([2]Baskol!$N$755="","",[2]Baskol!$N$755)</f>
        <v/>
      </c>
      <c r="AE752">
        <f>IF([2]Baskol!$O$755="","",[2]Baskol!$O$755)</f>
        <v/>
      </c>
      <c r="AG752">
        <f>IF([3]Entry!$C$755="","",[3]Entry!$C$755)</f>
        <v/>
      </c>
      <c r="AH752">
        <f>IF([3]Entry!$D$755="","",[3]Entry!$D$755)</f>
        <v/>
      </c>
      <c r="AI752">
        <f>IF([3]Entry!$E$755="","",[3]Entry!$E$755)</f>
        <v/>
      </c>
      <c r="AJ752">
        <f>IF([3]Entry!$G$755="","",[3]Entry!$G$755)</f>
        <v/>
      </c>
      <c r="AK752">
        <f>IF([3]Entry!$K$755="","",[3]Entry!$K$755)</f>
        <v/>
      </c>
      <c r="AL752">
        <f>IF([3]Entry!$L$755="","",[3]Entry!$L$755)</f>
        <v/>
      </c>
      <c r="AM752">
        <f>IF([3]Entry!$M$755="","",[3]Entry!$M$755)</f>
        <v/>
      </c>
      <c r="AN752">
        <f>IF([3]Entry!$N$755="","",[3]Entry!$N$755)</f>
        <v/>
      </c>
      <c r="AO752">
        <f>IF([3]Entry!$R$755="","",[3]Entry!$R$755)</f>
        <v/>
      </c>
    </row>
    <row r="753">
      <c r="U753">
        <f>IF([2]Baskol!$B$756="","",[2]Baskol!$B$756)</f>
        <v/>
      </c>
      <c r="V753">
        <f>IF([2]Baskol!$C$756="","",[2]Baskol!$C$756)</f>
        <v/>
      </c>
      <c r="W753">
        <f>IF([2]Baskol!$D$756="","",[2]Baskol!$D$756)</f>
        <v/>
      </c>
      <c r="X753">
        <f>IF([2]Baskol!$E$756="","",[2]Baskol!$E$756)</f>
        <v/>
      </c>
      <c r="Y753">
        <f>IF([2]Baskol!$G$756="","",[2]Baskol!$G$756)</f>
        <v/>
      </c>
      <c r="Z753">
        <f>IF([2]Baskol!$I$756="","",[2]Baskol!$I$756)</f>
        <v/>
      </c>
      <c r="AA753">
        <f>IF([2]Baskol!$J$756="","",[2]Baskol!$J$756)</f>
        <v/>
      </c>
      <c r="AB753">
        <f>IF([2]Baskol!$K$756="","",[2]Baskol!$K$756)</f>
        <v/>
      </c>
      <c r="AC753">
        <f>IF([2]Baskol!$L$756="","",[2]Baskol!$L$756)</f>
        <v/>
      </c>
      <c r="AD753">
        <f>IF([2]Baskol!$N$756="","",[2]Baskol!$N$756)</f>
        <v/>
      </c>
      <c r="AE753">
        <f>IF([2]Baskol!$O$756="","",[2]Baskol!$O$756)</f>
        <v/>
      </c>
      <c r="AG753">
        <f>IF([3]Entry!$C$756="","",[3]Entry!$C$756)</f>
        <v/>
      </c>
      <c r="AH753">
        <f>IF([3]Entry!$D$756="","",[3]Entry!$D$756)</f>
        <v/>
      </c>
      <c r="AI753">
        <f>IF([3]Entry!$E$756="","",[3]Entry!$E$756)</f>
        <v/>
      </c>
      <c r="AJ753">
        <f>IF([3]Entry!$G$756="","",[3]Entry!$G$756)</f>
        <v/>
      </c>
      <c r="AK753">
        <f>IF([3]Entry!$K$756="","",[3]Entry!$K$756)</f>
        <v/>
      </c>
      <c r="AL753">
        <f>IF([3]Entry!$L$756="","",[3]Entry!$L$756)</f>
        <v/>
      </c>
      <c r="AM753">
        <f>IF([3]Entry!$M$756="","",[3]Entry!$M$756)</f>
        <v/>
      </c>
      <c r="AN753">
        <f>IF([3]Entry!$N$756="","",[3]Entry!$N$756)</f>
        <v/>
      </c>
      <c r="AO753">
        <f>IF([3]Entry!$R$756="","",[3]Entry!$R$756)</f>
        <v/>
      </c>
    </row>
    <row r="754">
      <c r="U754">
        <f>IF([2]Baskol!$B$757="","",[2]Baskol!$B$757)</f>
        <v/>
      </c>
      <c r="V754">
        <f>IF([2]Baskol!$C$757="","",[2]Baskol!$C$757)</f>
        <v/>
      </c>
      <c r="W754">
        <f>IF([2]Baskol!$D$757="","",[2]Baskol!$D$757)</f>
        <v/>
      </c>
      <c r="X754">
        <f>IF([2]Baskol!$E$757="","",[2]Baskol!$E$757)</f>
        <v/>
      </c>
      <c r="Y754">
        <f>IF([2]Baskol!$G$757="","",[2]Baskol!$G$757)</f>
        <v/>
      </c>
      <c r="Z754">
        <f>IF([2]Baskol!$I$757="","",[2]Baskol!$I$757)</f>
        <v/>
      </c>
      <c r="AA754">
        <f>IF([2]Baskol!$J$757="","",[2]Baskol!$J$757)</f>
        <v/>
      </c>
      <c r="AB754">
        <f>IF([2]Baskol!$K$757="","",[2]Baskol!$K$757)</f>
        <v/>
      </c>
      <c r="AC754">
        <f>IF([2]Baskol!$L$757="","",[2]Baskol!$L$757)</f>
        <v/>
      </c>
      <c r="AD754">
        <f>IF([2]Baskol!$N$757="","",[2]Baskol!$N$757)</f>
        <v/>
      </c>
      <c r="AE754">
        <f>IF([2]Baskol!$O$757="","",[2]Baskol!$O$757)</f>
        <v/>
      </c>
      <c r="AG754">
        <f>IF([3]Entry!$C$757="","",[3]Entry!$C$757)</f>
        <v/>
      </c>
      <c r="AH754">
        <f>IF([3]Entry!$D$757="","",[3]Entry!$D$757)</f>
        <v/>
      </c>
      <c r="AI754">
        <f>IF([3]Entry!$E$757="","",[3]Entry!$E$757)</f>
        <v/>
      </c>
      <c r="AJ754">
        <f>IF([3]Entry!$G$757="","",[3]Entry!$G$757)</f>
        <v/>
      </c>
      <c r="AK754">
        <f>IF([3]Entry!$K$757="","",[3]Entry!$K$757)</f>
        <v/>
      </c>
      <c r="AL754">
        <f>IF([3]Entry!$L$757="","",[3]Entry!$L$757)</f>
        <v/>
      </c>
      <c r="AM754">
        <f>IF([3]Entry!$M$757="","",[3]Entry!$M$757)</f>
        <v/>
      </c>
      <c r="AN754">
        <f>IF([3]Entry!$N$757="","",[3]Entry!$N$757)</f>
        <v/>
      </c>
      <c r="AO754">
        <f>IF([3]Entry!$R$757="","",[3]Entry!$R$757)</f>
        <v/>
      </c>
    </row>
    <row r="755">
      <c r="U755">
        <f>IF([2]Baskol!$B$758="","",[2]Baskol!$B$758)</f>
        <v/>
      </c>
      <c r="V755">
        <f>IF([2]Baskol!$C$758="","",[2]Baskol!$C$758)</f>
        <v/>
      </c>
      <c r="W755">
        <f>IF([2]Baskol!$D$758="","",[2]Baskol!$D$758)</f>
        <v/>
      </c>
      <c r="X755">
        <f>IF([2]Baskol!$E$758="","",[2]Baskol!$E$758)</f>
        <v/>
      </c>
      <c r="Y755">
        <f>IF([2]Baskol!$G$758="","",[2]Baskol!$G$758)</f>
        <v/>
      </c>
      <c r="Z755">
        <f>IF([2]Baskol!$I$758="","",[2]Baskol!$I$758)</f>
        <v/>
      </c>
      <c r="AA755">
        <f>IF([2]Baskol!$J$758="","",[2]Baskol!$J$758)</f>
        <v/>
      </c>
      <c r="AB755">
        <f>IF([2]Baskol!$K$758="","",[2]Baskol!$K$758)</f>
        <v/>
      </c>
      <c r="AC755">
        <f>IF([2]Baskol!$L$758="","",[2]Baskol!$L$758)</f>
        <v/>
      </c>
      <c r="AD755">
        <f>IF([2]Baskol!$N$758="","",[2]Baskol!$N$758)</f>
        <v/>
      </c>
      <c r="AE755">
        <f>IF([2]Baskol!$O$758="","",[2]Baskol!$O$758)</f>
        <v/>
      </c>
      <c r="AG755">
        <f>IF([3]Entry!$C$758="","",[3]Entry!$C$758)</f>
        <v/>
      </c>
      <c r="AH755">
        <f>IF([3]Entry!$D$758="","",[3]Entry!$D$758)</f>
        <v/>
      </c>
      <c r="AI755">
        <f>IF([3]Entry!$E$758="","",[3]Entry!$E$758)</f>
        <v/>
      </c>
      <c r="AJ755">
        <f>IF([3]Entry!$G$758="","",[3]Entry!$G$758)</f>
        <v/>
      </c>
      <c r="AK755">
        <f>IF([3]Entry!$K$758="","",[3]Entry!$K$758)</f>
        <v/>
      </c>
      <c r="AL755">
        <f>IF([3]Entry!$L$758="","",[3]Entry!$L$758)</f>
        <v/>
      </c>
      <c r="AM755">
        <f>IF([3]Entry!$M$758="","",[3]Entry!$M$758)</f>
        <v/>
      </c>
      <c r="AN755">
        <f>IF([3]Entry!$N$758="","",[3]Entry!$N$758)</f>
        <v/>
      </c>
      <c r="AO755">
        <f>IF([3]Entry!$R$758="","",[3]Entry!$R$758)</f>
        <v/>
      </c>
    </row>
    <row r="756">
      <c r="U756">
        <f>IF([2]Baskol!$B$759="","",[2]Baskol!$B$759)</f>
        <v/>
      </c>
      <c r="V756">
        <f>IF([2]Baskol!$C$759="","",[2]Baskol!$C$759)</f>
        <v/>
      </c>
      <c r="W756">
        <f>IF([2]Baskol!$D$759="","",[2]Baskol!$D$759)</f>
        <v/>
      </c>
      <c r="X756">
        <f>IF([2]Baskol!$E$759="","",[2]Baskol!$E$759)</f>
        <v/>
      </c>
      <c r="Y756">
        <f>IF([2]Baskol!$G$759="","",[2]Baskol!$G$759)</f>
        <v/>
      </c>
      <c r="Z756">
        <f>IF([2]Baskol!$I$759="","",[2]Baskol!$I$759)</f>
        <v/>
      </c>
      <c r="AA756">
        <f>IF([2]Baskol!$J$759="","",[2]Baskol!$J$759)</f>
        <v/>
      </c>
      <c r="AB756">
        <f>IF([2]Baskol!$K$759="","",[2]Baskol!$K$759)</f>
        <v/>
      </c>
      <c r="AC756">
        <f>IF([2]Baskol!$L$759="","",[2]Baskol!$L$759)</f>
        <v/>
      </c>
      <c r="AD756">
        <f>IF([2]Baskol!$N$759="","",[2]Baskol!$N$759)</f>
        <v/>
      </c>
      <c r="AE756">
        <f>IF([2]Baskol!$O$759="","",[2]Baskol!$O$759)</f>
        <v/>
      </c>
      <c r="AG756">
        <f>IF([3]Entry!$C$759="","",[3]Entry!$C$759)</f>
        <v/>
      </c>
      <c r="AH756">
        <f>IF([3]Entry!$D$759="","",[3]Entry!$D$759)</f>
        <v/>
      </c>
      <c r="AI756">
        <f>IF([3]Entry!$E$759="","",[3]Entry!$E$759)</f>
        <v/>
      </c>
      <c r="AJ756">
        <f>IF([3]Entry!$G$759="","",[3]Entry!$G$759)</f>
        <v/>
      </c>
      <c r="AK756">
        <f>IF([3]Entry!$K$759="","",[3]Entry!$K$759)</f>
        <v/>
      </c>
      <c r="AL756">
        <f>IF([3]Entry!$L$759="","",[3]Entry!$L$759)</f>
        <v/>
      </c>
      <c r="AM756">
        <f>IF([3]Entry!$M$759="","",[3]Entry!$M$759)</f>
        <v/>
      </c>
      <c r="AN756">
        <f>IF([3]Entry!$N$759="","",[3]Entry!$N$759)</f>
        <v/>
      </c>
      <c r="AO756">
        <f>IF([3]Entry!$R$759="","",[3]Entry!$R$759)</f>
        <v/>
      </c>
    </row>
    <row r="757">
      <c r="U757">
        <f>IF([2]Baskol!$B$760="","",[2]Baskol!$B$760)</f>
        <v/>
      </c>
      <c r="V757">
        <f>IF([2]Baskol!$C$760="","",[2]Baskol!$C$760)</f>
        <v/>
      </c>
      <c r="W757">
        <f>IF([2]Baskol!$D$760="","",[2]Baskol!$D$760)</f>
        <v/>
      </c>
      <c r="X757">
        <f>IF([2]Baskol!$E$760="","",[2]Baskol!$E$760)</f>
        <v/>
      </c>
      <c r="Y757">
        <f>IF([2]Baskol!$G$760="","",[2]Baskol!$G$760)</f>
        <v/>
      </c>
      <c r="Z757">
        <f>IF([2]Baskol!$I$760="","",[2]Baskol!$I$760)</f>
        <v/>
      </c>
      <c r="AA757">
        <f>IF([2]Baskol!$J$760="","",[2]Baskol!$J$760)</f>
        <v/>
      </c>
      <c r="AB757">
        <f>IF([2]Baskol!$K$760="","",[2]Baskol!$K$760)</f>
        <v/>
      </c>
      <c r="AC757">
        <f>IF([2]Baskol!$L$760="","",[2]Baskol!$L$760)</f>
        <v/>
      </c>
      <c r="AD757">
        <f>IF([2]Baskol!$N$760="","",[2]Baskol!$N$760)</f>
        <v/>
      </c>
      <c r="AE757">
        <f>IF([2]Baskol!$O$760="","",[2]Baskol!$O$760)</f>
        <v/>
      </c>
      <c r="AG757">
        <f>IF([3]Entry!$C$760="","",[3]Entry!$C$760)</f>
        <v/>
      </c>
      <c r="AH757">
        <f>IF([3]Entry!$D$760="","",[3]Entry!$D$760)</f>
        <v/>
      </c>
      <c r="AI757">
        <f>IF([3]Entry!$E$760="","",[3]Entry!$E$760)</f>
        <v/>
      </c>
      <c r="AJ757">
        <f>IF([3]Entry!$G$760="","",[3]Entry!$G$760)</f>
        <v/>
      </c>
      <c r="AK757">
        <f>IF([3]Entry!$K$760="","",[3]Entry!$K$760)</f>
        <v/>
      </c>
      <c r="AL757">
        <f>IF([3]Entry!$L$760="","",[3]Entry!$L$760)</f>
        <v/>
      </c>
      <c r="AM757">
        <f>IF([3]Entry!$M$760="","",[3]Entry!$M$760)</f>
        <v/>
      </c>
      <c r="AN757">
        <f>IF([3]Entry!$N$760="","",[3]Entry!$N$760)</f>
        <v/>
      </c>
      <c r="AO757">
        <f>IF([3]Entry!$R$760="","",[3]Entry!$R$760)</f>
        <v/>
      </c>
    </row>
    <row r="758">
      <c r="U758">
        <f>IF([2]Baskol!$B$761="","",[2]Baskol!$B$761)</f>
        <v/>
      </c>
      <c r="V758">
        <f>IF([2]Baskol!$C$761="","",[2]Baskol!$C$761)</f>
        <v/>
      </c>
      <c r="W758">
        <f>IF([2]Baskol!$D$761="","",[2]Baskol!$D$761)</f>
        <v/>
      </c>
      <c r="X758">
        <f>IF([2]Baskol!$E$761="","",[2]Baskol!$E$761)</f>
        <v/>
      </c>
      <c r="Y758">
        <f>IF([2]Baskol!$G$761="","",[2]Baskol!$G$761)</f>
        <v/>
      </c>
      <c r="Z758">
        <f>IF([2]Baskol!$I$761="","",[2]Baskol!$I$761)</f>
        <v/>
      </c>
      <c r="AA758">
        <f>IF([2]Baskol!$J$761="","",[2]Baskol!$J$761)</f>
        <v/>
      </c>
      <c r="AB758">
        <f>IF([2]Baskol!$K$761="","",[2]Baskol!$K$761)</f>
        <v/>
      </c>
      <c r="AC758">
        <f>IF([2]Baskol!$L$761="","",[2]Baskol!$L$761)</f>
        <v/>
      </c>
      <c r="AD758">
        <f>IF([2]Baskol!$N$761="","",[2]Baskol!$N$761)</f>
        <v/>
      </c>
      <c r="AE758">
        <f>IF([2]Baskol!$O$761="","",[2]Baskol!$O$761)</f>
        <v/>
      </c>
      <c r="AG758">
        <f>IF([3]Entry!$C$761="","",[3]Entry!$C$761)</f>
        <v/>
      </c>
      <c r="AH758">
        <f>IF([3]Entry!$D$761="","",[3]Entry!$D$761)</f>
        <v/>
      </c>
      <c r="AI758">
        <f>IF([3]Entry!$E$761="","",[3]Entry!$E$761)</f>
        <v/>
      </c>
      <c r="AJ758">
        <f>IF([3]Entry!$G$761="","",[3]Entry!$G$761)</f>
        <v/>
      </c>
      <c r="AK758">
        <f>IF([3]Entry!$K$761="","",[3]Entry!$K$761)</f>
        <v/>
      </c>
      <c r="AL758">
        <f>IF([3]Entry!$L$761="","",[3]Entry!$L$761)</f>
        <v/>
      </c>
      <c r="AM758">
        <f>IF([3]Entry!$M$761="","",[3]Entry!$M$761)</f>
        <v/>
      </c>
      <c r="AN758">
        <f>IF([3]Entry!$N$761="","",[3]Entry!$N$761)</f>
        <v/>
      </c>
      <c r="AO758">
        <f>IF([3]Entry!$R$761="","",[3]Entry!$R$761)</f>
        <v/>
      </c>
    </row>
    <row r="759">
      <c r="U759">
        <f>IF([2]Baskol!$B$762="","",[2]Baskol!$B$762)</f>
        <v/>
      </c>
      <c r="V759">
        <f>IF([2]Baskol!$C$762="","",[2]Baskol!$C$762)</f>
        <v/>
      </c>
      <c r="W759">
        <f>IF([2]Baskol!$D$762="","",[2]Baskol!$D$762)</f>
        <v/>
      </c>
      <c r="X759">
        <f>IF([2]Baskol!$E$762="","",[2]Baskol!$E$762)</f>
        <v/>
      </c>
      <c r="Y759">
        <f>IF([2]Baskol!$G$762="","",[2]Baskol!$G$762)</f>
        <v/>
      </c>
      <c r="Z759">
        <f>IF([2]Baskol!$I$762="","",[2]Baskol!$I$762)</f>
        <v/>
      </c>
      <c r="AA759">
        <f>IF([2]Baskol!$J$762="","",[2]Baskol!$J$762)</f>
        <v/>
      </c>
      <c r="AB759">
        <f>IF([2]Baskol!$K$762="","",[2]Baskol!$K$762)</f>
        <v/>
      </c>
      <c r="AC759">
        <f>IF([2]Baskol!$L$762="","",[2]Baskol!$L$762)</f>
        <v/>
      </c>
      <c r="AD759">
        <f>IF([2]Baskol!$N$762="","",[2]Baskol!$N$762)</f>
        <v/>
      </c>
      <c r="AE759">
        <f>IF([2]Baskol!$O$762="","",[2]Baskol!$O$762)</f>
        <v/>
      </c>
      <c r="AG759">
        <f>IF([3]Entry!$C$762="","",[3]Entry!$C$762)</f>
        <v/>
      </c>
      <c r="AH759">
        <f>IF([3]Entry!$D$762="","",[3]Entry!$D$762)</f>
        <v/>
      </c>
      <c r="AI759">
        <f>IF([3]Entry!$E$762="","",[3]Entry!$E$762)</f>
        <v/>
      </c>
      <c r="AJ759">
        <f>IF([3]Entry!$G$762="","",[3]Entry!$G$762)</f>
        <v/>
      </c>
      <c r="AK759">
        <f>IF([3]Entry!$K$762="","",[3]Entry!$K$762)</f>
        <v/>
      </c>
      <c r="AL759">
        <f>IF([3]Entry!$L$762="","",[3]Entry!$L$762)</f>
        <v/>
      </c>
      <c r="AM759">
        <f>IF([3]Entry!$M$762="","",[3]Entry!$M$762)</f>
        <v/>
      </c>
      <c r="AN759">
        <f>IF([3]Entry!$N$762="","",[3]Entry!$N$762)</f>
        <v/>
      </c>
      <c r="AO759">
        <f>IF([3]Entry!$R$762="","",[3]Entry!$R$762)</f>
        <v/>
      </c>
    </row>
    <row r="760">
      <c r="U760">
        <f>IF([2]Baskol!$B$763="","",[2]Baskol!$B$763)</f>
        <v/>
      </c>
      <c r="V760">
        <f>IF([2]Baskol!$C$763="","",[2]Baskol!$C$763)</f>
        <v/>
      </c>
      <c r="W760">
        <f>IF([2]Baskol!$D$763="","",[2]Baskol!$D$763)</f>
        <v/>
      </c>
      <c r="X760">
        <f>IF([2]Baskol!$E$763="","",[2]Baskol!$E$763)</f>
        <v/>
      </c>
      <c r="Y760">
        <f>IF([2]Baskol!$G$763="","",[2]Baskol!$G$763)</f>
        <v/>
      </c>
      <c r="Z760">
        <f>IF([2]Baskol!$I$763="","",[2]Baskol!$I$763)</f>
        <v/>
      </c>
      <c r="AA760">
        <f>IF([2]Baskol!$J$763="","",[2]Baskol!$J$763)</f>
        <v/>
      </c>
      <c r="AB760">
        <f>IF([2]Baskol!$K$763="","",[2]Baskol!$K$763)</f>
        <v/>
      </c>
      <c r="AC760">
        <f>IF([2]Baskol!$L$763="","",[2]Baskol!$L$763)</f>
        <v/>
      </c>
      <c r="AD760">
        <f>IF([2]Baskol!$N$763="","",[2]Baskol!$N$763)</f>
        <v/>
      </c>
      <c r="AE760">
        <f>IF([2]Baskol!$O$763="","",[2]Baskol!$O$763)</f>
        <v/>
      </c>
      <c r="AG760">
        <f>IF([3]Entry!$C$763="","",[3]Entry!$C$763)</f>
        <v/>
      </c>
      <c r="AH760">
        <f>IF([3]Entry!$D$763="","",[3]Entry!$D$763)</f>
        <v/>
      </c>
      <c r="AI760">
        <f>IF([3]Entry!$E$763="","",[3]Entry!$E$763)</f>
        <v/>
      </c>
      <c r="AJ760">
        <f>IF([3]Entry!$G$763="","",[3]Entry!$G$763)</f>
        <v/>
      </c>
      <c r="AK760">
        <f>IF([3]Entry!$K$763="","",[3]Entry!$K$763)</f>
        <v/>
      </c>
      <c r="AL760">
        <f>IF([3]Entry!$L$763="","",[3]Entry!$L$763)</f>
        <v/>
      </c>
      <c r="AM760">
        <f>IF([3]Entry!$M$763="","",[3]Entry!$M$763)</f>
        <v/>
      </c>
      <c r="AN760">
        <f>IF([3]Entry!$N$763="","",[3]Entry!$N$763)</f>
        <v/>
      </c>
      <c r="AO760">
        <f>IF([3]Entry!$R$763="","",[3]Entry!$R$763)</f>
        <v/>
      </c>
    </row>
    <row r="761">
      <c r="U761">
        <f>IF([2]Baskol!$B$764="","",[2]Baskol!$B$764)</f>
        <v/>
      </c>
      <c r="V761">
        <f>IF([2]Baskol!$C$764="","",[2]Baskol!$C$764)</f>
        <v/>
      </c>
      <c r="W761">
        <f>IF([2]Baskol!$D$764="","",[2]Baskol!$D$764)</f>
        <v/>
      </c>
      <c r="X761">
        <f>IF([2]Baskol!$E$764="","",[2]Baskol!$E$764)</f>
        <v/>
      </c>
      <c r="Y761">
        <f>IF([2]Baskol!$G$764="","",[2]Baskol!$G$764)</f>
        <v/>
      </c>
      <c r="Z761">
        <f>IF([2]Baskol!$I$764="","",[2]Baskol!$I$764)</f>
        <v/>
      </c>
      <c r="AA761">
        <f>IF([2]Baskol!$J$764="","",[2]Baskol!$J$764)</f>
        <v/>
      </c>
      <c r="AB761">
        <f>IF([2]Baskol!$K$764="","",[2]Baskol!$K$764)</f>
        <v/>
      </c>
      <c r="AC761">
        <f>IF([2]Baskol!$L$764="","",[2]Baskol!$L$764)</f>
        <v/>
      </c>
      <c r="AD761">
        <f>IF([2]Baskol!$N$764="","",[2]Baskol!$N$764)</f>
        <v/>
      </c>
      <c r="AE761">
        <f>IF([2]Baskol!$O$764="","",[2]Baskol!$O$764)</f>
        <v/>
      </c>
      <c r="AG761">
        <f>IF([3]Entry!$C$764="","",[3]Entry!$C$764)</f>
        <v/>
      </c>
      <c r="AH761">
        <f>IF([3]Entry!$D$764="","",[3]Entry!$D$764)</f>
        <v/>
      </c>
      <c r="AI761">
        <f>IF([3]Entry!$E$764="","",[3]Entry!$E$764)</f>
        <v/>
      </c>
      <c r="AJ761">
        <f>IF([3]Entry!$G$764="","",[3]Entry!$G$764)</f>
        <v/>
      </c>
      <c r="AK761">
        <f>IF([3]Entry!$K$764="","",[3]Entry!$K$764)</f>
        <v/>
      </c>
      <c r="AL761">
        <f>IF([3]Entry!$L$764="","",[3]Entry!$L$764)</f>
        <v/>
      </c>
      <c r="AM761">
        <f>IF([3]Entry!$M$764="","",[3]Entry!$M$764)</f>
        <v/>
      </c>
      <c r="AN761">
        <f>IF([3]Entry!$N$764="","",[3]Entry!$N$764)</f>
        <v/>
      </c>
      <c r="AO761">
        <f>IF([3]Entry!$R$764="","",[3]Entry!$R$764)</f>
        <v/>
      </c>
    </row>
    <row r="762">
      <c r="U762">
        <f>IF([2]Baskol!$B$765="","",[2]Baskol!$B$765)</f>
        <v/>
      </c>
      <c r="V762">
        <f>IF([2]Baskol!$C$765="","",[2]Baskol!$C$765)</f>
        <v/>
      </c>
      <c r="W762">
        <f>IF([2]Baskol!$D$765="","",[2]Baskol!$D$765)</f>
        <v/>
      </c>
      <c r="X762">
        <f>IF([2]Baskol!$E$765="","",[2]Baskol!$E$765)</f>
        <v/>
      </c>
      <c r="Y762">
        <f>IF([2]Baskol!$G$765="","",[2]Baskol!$G$765)</f>
        <v/>
      </c>
      <c r="Z762">
        <f>IF([2]Baskol!$I$765="","",[2]Baskol!$I$765)</f>
        <v/>
      </c>
      <c r="AA762">
        <f>IF([2]Baskol!$J$765="","",[2]Baskol!$J$765)</f>
        <v/>
      </c>
      <c r="AB762">
        <f>IF([2]Baskol!$K$765="","",[2]Baskol!$K$765)</f>
        <v/>
      </c>
      <c r="AC762">
        <f>IF([2]Baskol!$L$765="","",[2]Baskol!$L$765)</f>
        <v/>
      </c>
      <c r="AD762">
        <f>IF([2]Baskol!$N$765="","",[2]Baskol!$N$765)</f>
        <v/>
      </c>
      <c r="AE762">
        <f>IF([2]Baskol!$O$765="","",[2]Baskol!$O$765)</f>
        <v/>
      </c>
      <c r="AG762">
        <f>IF([3]Entry!$C$765="","",[3]Entry!$C$765)</f>
        <v/>
      </c>
      <c r="AH762">
        <f>IF([3]Entry!$D$765="","",[3]Entry!$D$765)</f>
        <v/>
      </c>
      <c r="AI762">
        <f>IF([3]Entry!$E$765="","",[3]Entry!$E$765)</f>
        <v/>
      </c>
      <c r="AJ762">
        <f>IF([3]Entry!$G$765="","",[3]Entry!$G$765)</f>
        <v/>
      </c>
      <c r="AK762">
        <f>IF([3]Entry!$K$765="","",[3]Entry!$K$765)</f>
        <v/>
      </c>
      <c r="AL762">
        <f>IF([3]Entry!$L$765="","",[3]Entry!$L$765)</f>
        <v/>
      </c>
      <c r="AM762">
        <f>IF([3]Entry!$M$765="","",[3]Entry!$M$765)</f>
        <v/>
      </c>
      <c r="AN762">
        <f>IF([3]Entry!$N$765="","",[3]Entry!$N$765)</f>
        <v/>
      </c>
      <c r="AO762">
        <f>IF([3]Entry!$R$765="","",[3]Entry!$R$765)</f>
        <v/>
      </c>
    </row>
    <row r="763">
      <c r="U763">
        <f>IF([2]Baskol!$B$766="","",[2]Baskol!$B$766)</f>
        <v/>
      </c>
      <c r="V763">
        <f>IF([2]Baskol!$C$766="","",[2]Baskol!$C$766)</f>
        <v/>
      </c>
      <c r="W763">
        <f>IF([2]Baskol!$D$766="","",[2]Baskol!$D$766)</f>
        <v/>
      </c>
      <c r="X763">
        <f>IF([2]Baskol!$E$766="","",[2]Baskol!$E$766)</f>
        <v/>
      </c>
      <c r="Y763">
        <f>IF([2]Baskol!$G$766="","",[2]Baskol!$G$766)</f>
        <v/>
      </c>
      <c r="Z763">
        <f>IF([2]Baskol!$I$766="","",[2]Baskol!$I$766)</f>
        <v/>
      </c>
      <c r="AA763">
        <f>IF([2]Baskol!$J$766="","",[2]Baskol!$J$766)</f>
        <v/>
      </c>
      <c r="AB763">
        <f>IF([2]Baskol!$K$766="","",[2]Baskol!$K$766)</f>
        <v/>
      </c>
      <c r="AC763">
        <f>IF([2]Baskol!$L$766="","",[2]Baskol!$L$766)</f>
        <v/>
      </c>
      <c r="AD763">
        <f>IF([2]Baskol!$N$766="","",[2]Baskol!$N$766)</f>
        <v/>
      </c>
      <c r="AE763">
        <f>IF([2]Baskol!$O$766="","",[2]Baskol!$O$766)</f>
        <v/>
      </c>
      <c r="AG763">
        <f>IF([3]Entry!$C$766="","",[3]Entry!$C$766)</f>
        <v/>
      </c>
      <c r="AH763">
        <f>IF([3]Entry!$D$766="","",[3]Entry!$D$766)</f>
        <v/>
      </c>
      <c r="AI763">
        <f>IF([3]Entry!$E$766="","",[3]Entry!$E$766)</f>
        <v/>
      </c>
      <c r="AJ763">
        <f>IF([3]Entry!$G$766="","",[3]Entry!$G$766)</f>
        <v/>
      </c>
      <c r="AK763">
        <f>IF([3]Entry!$K$766="","",[3]Entry!$K$766)</f>
        <v/>
      </c>
      <c r="AL763">
        <f>IF([3]Entry!$L$766="","",[3]Entry!$L$766)</f>
        <v/>
      </c>
      <c r="AM763">
        <f>IF([3]Entry!$M$766="","",[3]Entry!$M$766)</f>
        <v/>
      </c>
      <c r="AN763">
        <f>IF([3]Entry!$N$766="","",[3]Entry!$N$766)</f>
        <v/>
      </c>
      <c r="AO763">
        <f>IF([3]Entry!$R$766="","",[3]Entry!$R$766)</f>
        <v/>
      </c>
    </row>
    <row r="764">
      <c r="U764">
        <f>IF([2]Baskol!$B$767="","",[2]Baskol!$B$767)</f>
        <v/>
      </c>
      <c r="V764">
        <f>IF([2]Baskol!$C$767="","",[2]Baskol!$C$767)</f>
        <v/>
      </c>
      <c r="W764">
        <f>IF([2]Baskol!$D$767="","",[2]Baskol!$D$767)</f>
        <v/>
      </c>
      <c r="X764">
        <f>IF([2]Baskol!$E$767="","",[2]Baskol!$E$767)</f>
        <v/>
      </c>
      <c r="Y764">
        <f>IF([2]Baskol!$G$767="","",[2]Baskol!$G$767)</f>
        <v/>
      </c>
      <c r="Z764">
        <f>IF([2]Baskol!$I$767="","",[2]Baskol!$I$767)</f>
        <v/>
      </c>
      <c r="AA764">
        <f>IF([2]Baskol!$J$767="","",[2]Baskol!$J$767)</f>
        <v/>
      </c>
      <c r="AB764">
        <f>IF([2]Baskol!$K$767="","",[2]Baskol!$K$767)</f>
        <v/>
      </c>
      <c r="AC764">
        <f>IF([2]Baskol!$L$767="","",[2]Baskol!$L$767)</f>
        <v/>
      </c>
      <c r="AD764">
        <f>IF([2]Baskol!$N$767="","",[2]Baskol!$N$767)</f>
        <v/>
      </c>
      <c r="AE764">
        <f>IF([2]Baskol!$O$767="","",[2]Baskol!$O$767)</f>
        <v/>
      </c>
      <c r="AG764">
        <f>IF([3]Entry!$C$767="","",[3]Entry!$C$767)</f>
        <v/>
      </c>
      <c r="AH764">
        <f>IF([3]Entry!$D$767="","",[3]Entry!$D$767)</f>
        <v/>
      </c>
      <c r="AI764">
        <f>IF([3]Entry!$E$767="","",[3]Entry!$E$767)</f>
        <v/>
      </c>
      <c r="AJ764">
        <f>IF([3]Entry!$G$767="","",[3]Entry!$G$767)</f>
        <v/>
      </c>
      <c r="AK764">
        <f>IF([3]Entry!$K$767="","",[3]Entry!$K$767)</f>
        <v/>
      </c>
      <c r="AL764">
        <f>IF([3]Entry!$L$767="","",[3]Entry!$L$767)</f>
        <v/>
      </c>
      <c r="AM764">
        <f>IF([3]Entry!$M$767="","",[3]Entry!$M$767)</f>
        <v/>
      </c>
      <c r="AN764">
        <f>IF([3]Entry!$N$767="","",[3]Entry!$N$767)</f>
        <v/>
      </c>
      <c r="AO764">
        <f>IF([3]Entry!$R$767="","",[3]Entry!$R$767)</f>
        <v/>
      </c>
    </row>
    <row r="765">
      <c r="U765">
        <f>IF([2]Baskol!$B$768="","",[2]Baskol!$B$768)</f>
        <v/>
      </c>
      <c r="V765">
        <f>IF([2]Baskol!$C$768="","",[2]Baskol!$C$768)</f>
        <v/>
      </c>
      <c r="W765">
        <f>IF([2]Baskol!$D$768="","",[2]Baskol!$D$768)</f>
        <v/>
      </c>
      <c r="X765">
        <f>IF([2]Baskol!$E$768="","",[2]Baskol!$E$768)</f>
        <v/>
      </c>
      <c r="Y765">
        <f>IF([2]Baskol!$G$768="","",[2]Baskol!$G$768)</f>
        <v/>
      </c>
      <c r="Z765">
        <f>IF([2]Baskol!$I$768="","",[2]Baskol!$I$768)</f>
        <v/>
      </c>
      <c r="AA765">
        <f>IF([2]Baskol!$J$768="","",[2]Baskol!$J$768)</f>
        <v/>
      </c>
      <c r="AB765">
        <f>IF([2]Baskol!$K$768="","",[2]Baskol!$K$768)</f>
        <v/>
      </c>
      <c r="AC765">
        <f>IF([2]Baskol!$L$768="","",[2]Baskol!$L$768)</f>
        <v/>
      </c>
      <c r="AD765">
        <f>IF([2]Baskol!$N$768="","",[2]Baskol!$N$768)</f>
        <v/>
      </c>
      <c r="AE765">
        <f>IF([2]Baskol!$O$768="","",[2]Baskol!$O$768)</f>
        <v/>
      </c>
      <c r="AG765">
        <f>IF([3]Entry!$C$768="","",[3]Entry!$C$768)</f>
        <v/>
      </c>
      <c r="AH765">
        <f>IF([3]Entry!$D$768="","",[3]Entry!$D$768)</f>
        <v/>
      </c>
      <c r="AI765">
        <f>IF([3]Entry!$E$768="","",[3]Entry!$E$768)</f>
        <v/>
      </c>
      <c r="AJ765">
        <f>IF([3]Entry!$G$768="","",[3]Entry!$G$768)</f>
        <v/>
      </c>
      <c r="AK765">
        <f>IF([3]Entry!$K$768="","",[3]Entry!$K$768)</f>
        <v/>
      </c>
      <c r="AL765">
        <f>IF([3]Entry!$L$768="","",[3]Entry!$L$768)</f>
        <v/>
      </c>
      <c r="AM765">
        <f>IF([3]Entry!$M$768="","",[3]Entry!$M$768)</f>
        <v/>
      </c>
      <c r="AN765">
        <f>IF([3]Entry!$N$768="","",[3]Entry!$N$768)</f>
        <v/>
      </c>
      <c r="AO765">
        <f>IF([3]Entry!$R$768="","",[3]Entry!$R$768)</f>
        <v/>
      </c>
    </row>
    <row r="766">
      <c r="U766">
        <f>IF([2]Baskol!$B$769="","",[2]Baskol!$B$769)</f>
        <v/>
      </c>
      <c r="V766">
        <f>IF([2]Baskol!$C$769="","",[2]Baskol!$C$769)</f>
        <v/>
      </c>
      <c r="W766">
        <f>IF([2]Baskol!$D$769="","",[2]Baskol!$D$769)</f>
        <v/>
      </c>
      <c r="X766">
        <f>IF([2]Baskol!$E$769="","",[2]Baskol!$E$769)</f>
        <v/>
      </c>
      <c r="Y766">
        <f>IF([2]Baskol!$G$769="","",[2]Baskol!$G$769)</f>
        <v/>
      </c>
      <c r="Z766">
        <f>IF([2]Baskol!$I$769="","",[2]Baskol!$I$769)</f>
        <v/>
      </c>
      <c r="AA766">
        <f>IF([2]Baskol!$J$769="","",[2]Baskol!$J$769)</f>
        <v/>
      </c>
      <c r="AB766">
        <f>IF([2]Baskol!$K$769="","",[2]Baskol!$K$769)</f>
        <v/>
      </c>
      <c r="AC766">
        <f>IF([2]Baskol!$L$769="","",[2]Baskol!$L$769)</f>
        <v/>
      </c>
      <c r="AD766">
        <f>IF([2]Baskol!$N$769="","",[2]Baskol!$N$769)</f>
        <v/>
      </c>
      <c r="AE766">
        <f>IF([2]Baskol!$O$769="","",[2]Baskol!$O$769)</f>
        <v/>
      </c>
      <c r="AG766">
        <f>IF([3]Entry!$C$769="","",[3]Entry!$C$769)</f>
        <v/>
      </c>
      <c r="AH766">
        <f>IF([3]Entry!$D$769="","",[3]Entry!$D$769)</f>
        <v/>
      </c>
      <c r="AI766">
        <f>IF([3]Entry!$E$769="","",[3]Entry!$E$769)</f>
        <v/>
      </c>
      <c r="AJ766">
        <f>IF([3]Entry!$G$769="","",[3]Entry!$G$769)</f>
        <v/>
      </c>
      <c r="AK766">
        <f>IF([3]Entry!$K$769="","",[3]Entry!$K$769)</f>
        <v/>
      </c>
      <c r="AL766">
        <f>IF([3]Entry!$L$769="","",[3]Entry!$L$769)</f>
        <v/>
      </c>
      <c r="AM766">
        <f>IF([3]Entry!$M$769="","",[3]Entry!$M$769)</f>
        <v/>
      </c>
      <c r="AN766">
        <f>IF([3]Entry!$N$769="","",[3]Entry!$N$769)</f>
        <v/>
      </c>
      <c r="AO766">
        <f>IF([3]Entry!$R$769="","",[3]Entry!$R$769)</f>
        <v/>
      </c>
    </row>
    <row r="767">
      <c r="U767">
        <f>IF([2]Baskol!$B$770="","",[2]Baskol!$B$770)</f>
        <v/>
      </c>
      <c r="V767">
        <f>IF([2]Baskol!$C$770="","",[2]Baskol!$C$770)</f>
        <v/>
      </c>
      <c r="W767">
        <f>IF([2]Baskol!$D$770="","",[2]Baskol!$D$770)</f>
        <v/>
      </c>
      <c r="X767">
        <f>IF([2]Baskol!$E$770="","",[2]Baskol!$E$770)</f>
        <v/>
      </c>
      <c r="Y767">
        <f>IF([2]Baskol!$G$770="","",[2]Baskol!$G$770)</f>
        <v/>
      </c>
      <c r="Z767">
        <f>IF([2]Baskol!$I$770="","",[2]Baskol!$I$770)</f>
        <v/>
      </c>
      <c r="AA767">
        <f>IF([2]Baskol!$J$770="","",[2]Baskol!$J$770)</f>
        <v/>
      </c>
      <c r="AB767">
        <f>IF([2]Baskol!$K$770="","",[2]Baskol!$K$770)</f>
        <v/>
      </c>
      <c r="AC767">
        <f>IF([2]Baskol!$L$770="","",[2]Baskol!$L$770)</f>
        <v/>
      </c>
      <c r="AD767">
        <f>IF([2]Baskol!$N$770="","",[2]Baskol!$N$770)</f>
        <v/>
      </c>
      <c r="AE767">
        <f>IF([2]Baskol!$O$770="","",[2]Baskol!$O$770)</f>
        <v/>
      </c>
      <c r="AG767">
        <f>IF([3]Entry!$C$770="","",[3]Entry!$C$770)</f>
        <v/>
      </c>
      <c r="AH767">
        <f>IF([3]Entry!$D$770="","",[3]Entry!$D$770)</f>
        <v/>
      </c>
      <c r="AI767">
        <f>IF([3]Entry!$E$770="","",[3]Entry!$E$770)</f>
        <v/>
      </c>
      <c r="AJ767">
        <f>IF([3]Entry!$G$770="","",[3]Entry!$G$770)</f>
        <v/>
      </c>
      <c r="AK767">
        <f>IF([3]Entry!$K$770="","",[3]Entry!$K$770)</f>
        <v/>
      </c>
      <c r="AL767">
        <f>IF([3]Entry!$L$770="","",[3]Entry!$L$770)</f>
        <v/>
      </c>
      <c r="AM767">
        <f>IF([3]Entry!$M$770="","",[3]Entry!$M$770)</f>
        <v/>
      </c>
      <c r="AN767">
        <f>IF([3]Entry!$N$770="","",[3]Entry!$N$770)</f>
        <v/>
      </c>
      <c r="AO767">
        <f>IF([3]Entry!$R$770="","",[3]Entry!$R$770)</f>
        <v/>
      </c>
    </row>
    <row r="768">
      <c r="U768">
        <f>IF([2]Baskol!$B$771="","",[2]Baskol!$B$771)</f>
        <v/>
      </c>
      <c r="V768">
        <f>IF([2]Baskol!$C$771="","",[2]Baskol!$C$771)</f>
        <v/>
      </c>
      <c r="W768">
        <f>IF([2]Baskol!$D$771="","",[2]Baskol!$D$771)</f>
        <v/>
      </c>
      <c r="X768">
        <f>IF([2]Baskol!$E$771="","",[2]Baskol!$E$771)</f>
        <v/>
      </c>
      <c r="Y768">
        <f>IF([2]Baskol!$G$771="","",[2]Baskol!$G$771)</f>
        <v/>
      </c>
      <c r="Z768">
        <f>IF([2]Baskol!$I$771="","",[2]Baskol!$I$771)</f>
        <v/>
      </c>
      <c r="AA768">
        <f>IF([2]Baskol!$J$771="","",[2]Baskol!$J$771)</f>
        <v/>
      </c>
      <c r="AB768">
        <f>IF([2]Baskol!$K$771="","",[2]Baskol!$K$771)</f>
        <v/>
      </c>
      <c r="AC768">
        <f>IF([2]Baskol!$L$771="","",[2]Baskol!$L$771)</f>
        <v/>
      </c>
      <c r="AD768">
        <f>IF([2]Baskol!$N$771="","",[2]Baskol!$N$771)</f>
        <v/>
      </c>
      <c r="AE768">
        <f>IF([2]Baskol!$O$771="","",[2]Baskol!$O$771)</f>
        <v/>
      </c>
      <c r="AG768">
        <f>IF([3]Entry!$C$771="","",[3]Entry!$C$771)</f>
        <v/>
      </c>
      <c r="AH768">
        <f>IF([3]Entry!$D$771="","",[3]Entry!$D$771)</f>
        <v/>
      </c>
      <c r="AI768">
        <f>IF([3]Entry!$E$771="","",[3]Entry!$E$771)</f>
        <v/>
      </c>
      <c r="AJ768">
        <f>IF([3]Entry!$G$771="","",[3]Entry!$G$771)</f>
        <v/>
      </c>
      <c r="AK768">
        <f>IF([3]Entry!$K$771="","",[3]Entry!$K$771)</f>
        <v/>
      </c>
      <c r="AL768">
        <f>IF([3]Entry!$L$771="","",[3]Entry!$L$771)</f>
        <v/>
      </c>
      <c r="AM768">
        <f>IF([3]Entry!$M$771="","",[3]Entry!$M$771)</f>
        <v/>
      </c>
      <c r="AN768">
        <f>IF([3]Entry!$N$771="","",[3]Entry!$N$771)</f>
        <v/>
      </c>
      <c r="AO768">
        <f>IF([3]Entry!$R$771="","",[3]Entry!$R$771)</f>
        <v/>
      </c>
    </row>
    <row r="769">
      <c r="U769">
        <f>IF([2]Baskol!$B$772="","",[2]Baskol!$B$772)</f>
        <v/>
      </c>
      <c r="V769">
        <f>IF([2]Baskol!$C$772="","",[2]Baskol!$C$772)</f>
        <v/>
      </c>
      <c r="W769">
        <f>IF([2]Baskol!$D$772="","",[2]Baskol!$D$772)</f>
        <v/>
      </c>
      <c r="X769">
        <f>IF([2]Baskol!$E$772="","",[2]Baskol!$E$772)</f>
        <v/>
      </c>
      <c r="Y769">
        <f>IF([2]Baskol!$G$772="","",[2]Baskol!$G$772)</f>
        <v/>
      </c>
      <c r="Z769">
        <f>IF([2]Baskol!$I$772="","",[2]Baskol!$I$772)</f>
        <v/>
      </c>
      <c r="AA769">
        <f>IF([2]Baskol!$J$772="","",[2]Baskol!$J$772)</f>
        <v/>
      </c>
      <c r="AB769">
        <f>IF([2]Baskol!$K$772="","",[2]Baskol!$K$772)</f>
        <v/>
      </c>
      <c r="AC769">
        <f>IF([2]Baskol!$L$772="","",[2]Baskol!$L$772)</f>
        <v/>
      </c>
      <c r="AD769">
        <f>IF([2]Baskol!$N$772="","",[2]Baskol!$N$772)</f>
        <v/>
      </c>
      <c r="AE769">
        <f>IF([2]Baskol!$O$772="","",[2]Baskol!$O$772)</f>
        <v/>
      </c>
      <c r="AG769">
        <f>IF([3]Entry!$C$772="","",[3]Entry!$C$772)</f>
        <v/>
      </c>
      <c r="AH769">
        <f>IF([3]Entry!$D$772="","",[3]Entry!$D$772)</f>
        <v/>
      </c>
      <c r="AI769">
        <f>IF([3]Entry!$E$772="","",[3]Entry!$E$772)</f>
        <v/>
      </c>
      <c r="AJ769">
        <f>IF([3]Entry!$G$772="","",[3]Entry!$G$772)</f>
        <v/>
      </c>
      <c r="AK769">
        <f>IF([3]Entry!$K$772="","",[3]Entry!$K$772)</f>
        <v/>
      </c>
      <c r="AL769">
        <f>IF([3]Entry!$L$772="","",[3]Entry!$L$772)</f>
        <v/>
      </c>
      <c r="AM769">
        <f>IF([3]Entry!$M$772="","",[3]Entry!$M$772)</f>
        <v/>
      </c>
      <c r="AN769">
        <f>IF([3]Entry!$N$772="","",[3]Entry!$N$772)</f>
        <v/>
      </c>
      <c r="AO769">
        <f>IF([3]Entry!$R$772="","",[3]Entry!$R$772)</f>
        <v/>
      </c>
    </row>
    <row r="770">
      <c r="U770">
        <f>IF([2]Baskol!$B$773="","",[2]Baskol!$B$773)</f>
        <v/>
      </c>
      <c r="V770">
        <f>IF([2]Baskol!$C$773="","",[2]Baskol!$C$773)</f>
        <v/>
      </c>
      <c r="W770">
        <f>IF([2]Baskol!$D$773="","",[2]Baskol!$D$773)</f>
        <v/>
      </c>
      <c r="X770">
        <f>IF([2]Baskol!$E$773="","",[2]Baskol!$E$773)</f>
        <v/>
      </c>
      <c r="Y770">
        <f>IF([2]Baskol!$G$773="","",[2]Baskol!$G$773)</f>
        <v/>
      </c>
      <c r="Z770">
        <f>IF([2]Baskol!$I$773="","",[2]Baskol!$I$773)</f>
        <v/>
      </c>
      <c r="AA770">
        <f>IF([2]Baskol!$J$773="","",[2]Baskol!$J$773)</f>
        <v/>
      </c>
      <c r="AB770">
        <f>IF([2]Baskol!$K$773="","",[2]Baskol!$K$773)</f>
        <v/>
      </c>
      <c r="AC770">
        <f>IF([2]Baskol!$L$773="","",[2]Baskol!$L$773)</f>
        <v/>
      </c>
      <c r="AD770">
        <f>IF([2]Baskol!$N$773="","",[2]Baskol!$N$773)</f>
        <v/>
      </c>
      <c r="AE770">
        <f>IF([2]Baskol!$O$773="","",[2]Baskol!$O$773)</f>
        <v/>
      </c>
      <c r="AG770">
        <f>IF([3]Entry!$C$773="","",[3]Entry!$C$773)</f>
        <v/>
      </c>
      <c r="AH770">
        <f>IF([3]Entry!$D$773="","",[3]Entry!$D$773)</f>
        <v/>
      </c>
      <c r="AI770">
        <f>IF([3]Entry!$E$773="","",[3]Entry!$E$773)</f>
        <v/>
      </c>
      <c r="AJ770">
        <f>IF([3]Entry!$G$773="","",[3]Entry!$G$773)</f>
        <v/>
      </c>
      <c r="AK770">
        <f>IF([3]Entry!$K$773="","",[3]Entry!$K$773)</f>
        <v/>
      </c>
      <c r="AL770">
        <f>IF([3]Entry!$L$773="","",[3]Entry!$L$773)</f>
        <v/>
      </c>
      <c r="AM770">
        <f>IF([3]Entry!$M$773="","",[3]Entry!$M$773)</f>
        <v/>
      </c>
      <c r="AN770">
        <f>IF([3]Entry!$N$773="","",[3]Entry!$N$773)</f>
        <v/>
      </c>
      <c r="AO770">
        <f>IF([3]Entry!$R$773="","",[3]Entry!$R$773)</f>
        <v/>
      </c>
    </row>
    <row r="771">
      <c r="U771">
        <f>IF([2]Baskol!$B$774="","",[2]Baskol!$B$774)</f>
        <v/>
      </c>
      <c r="V771">
        <f>IF([2]Baskol!$C$774="","",[2]Baskol!$C$774)</f>
        <v/>
      </c>
      <c r="W771">
        <f>IF([2]Baskol!$D$774="","",[2]Baskol!$D$774)</f>
        <v/>
      </c>
      <c r="X771">
        <f>IF([2]Baskol!$E$774="","",[2]Baskol!$E$774)</f>
        <v/>
      </c>
      <c r="Y771">
        <f>IF([2]Baskol!$G$774="","",[2]Baskol!$G$774)</f>
        <v/>
      </c>
      <c r="Z771">
        <f>IF([2]Baskol!$I$774="","",[2]Baskol!$I$774)</f>
        <v/>
      </c>
      <c r="AA771">
        <f>IF([2]Baskol!$J$774="","",[2]Baskol!$J$774)</f>
        <v/>
      </c>
      <c r="AB771">
        <f>IF([2]Baskol!$K$774="","",[2]Baskol!$K$774)</f>
        <v/>
      </c>
      <c r="AC771">
        <f>IF([2]Baskol!$L$774="","",[2]Baskol!$L$774)</f>
        <v/>
      </c>
      <c r="AD771">
        <f>IF([2]Baskol!$N$774="","",[2]Baskol!$N$774)</f>
        <v/>
      </c>
      <c r="AE771">
        <f>IF([2]Baskol!$O$774="","",[2]Baskol!$O$774)</f>
        <v/>
      </c>
      <c r="AG771">
        <f>IF([3]Entry!$C$774="","",[3]Entry!$C$774)</f>
        <v/>
      </c>
      <c r="AH771">
        <f>IF([3]Entry!$D$774="","",[3]Entry!$D$774)</f>
        <v/>
      </c>
      <c r="AI771">
        <f>IF([3]Entry!$E$774="","",[3]Entry!$E$774)</f>
        <v/>
      </c>
      <c r="AJ771">
        <f>IF([3]Entry!$G$774="","",[3]Entry!$G$774)</f>
        <v/>
      </c>
      <c r="AK771">
        <f>IF([3]Entry!$K$774="","",[3]Entry!$K$774)</f>
        <v/>
      </c>
      <c r="AL771">
        <f>IF([3]Entry!$L$774="","",[3]Entry!$L$774)</f>
        <v/>
      </c>
      <c r="AM771">
        <f>IF([3]Entry!$M$774="","",[3]Entry!$M$774)</f>
        <v/>
      </c>
      <c r="AN771">
        <f>IF([3]Entry!$N$774="","",[3]Entry!$N$774)</f>
        <v/>
      </c>
      <c r="AO771">
        <f>IF([3]Entry!$R$774="","",[3]Entry!$R$774)</f>
        <v/>
      </c>
    </row>
    <row r="772">
      <c r="U772">
        <f>IF([2]Baskol!$B$775="","",[2]Baskol!$B$775)</f>
        <v/>
      </c>
      <c r="V772">
        <f>IF([2]Baskol!$C$775="","",[2]Baskol!$C$775)</f>
        <v/>
      </c>
      <c r="W772">
        <f>IF([2]Baskol!$D$775="","",[2]Baskol!$D$775)</f>
        <v/>
      </c>
      <c r="X772">
        <f>IF([2]Baskol!$E$775="","",[2]Baskol!$E$775)</f>
        <v/>
      </c>
      <c r="Y772">
        <f>IF([2]Baskol!$G$775="","",[2]Baskol!$G$775)</f>
        <v/>
      </c>
      <c r="Z772">
        <f>IF([2]Baskol!$I$775="","",[2]Baskol!$I$775)</f>
        <v/>
      </c>
      <c r="AA772">
        <f>IF([2]Baskol!$J$775="","",[2]Baskol!$J$775)</f>
        <v/>
      </c>
      <c r="AB772">
        <f>IF([2]Baskol!$K$775="","",[2]Baskol!$K$775)</f>
        <v/>
      </c>
      <c r="AC772">
        <f>IF([2]Baskol!$L$775="","",[2]Baskol!$L$775)</f>
        <v/>
      </c>
      <c r="AD772">
        <f>IF([2]Baskol!$N$775="","",[2]Baskol!$N$775)</f>
        <v/>
      </c>
      <c r="AE772">
        <f>IF([2]Baskol!$O$775="","",[2]Baskol!$O$775)</f>
        <v/>
      </c>
      <c r="AG772">
        <f>IF([3]Entry!$C$775="","",[3]Entry!$C$775)</f>
        <v/>
      </c>
      <c r="AH772">
        <f>IF([3]Entry!$D$775="","",[3]Entry!$D$775)</f>
        <v/>
      </c>
      <c r="AI772">
        <f>IF([3]Entry!$E$775="","",[3]Entry!$E$775)</f>
        <v/>
      </c>
      <c r="AJ772">
        <f>IF([3]Entry!$G$775="","",[3]Entry!$G$775)</f>
        <v/>
      </c>
      <c r="AK772">
        <f>IF([3]Entry!$K$775="","",[3]Entry!$K$775)</f>
        <v/>
      </c>
      <c r="AL772">
        <f>IF([3]Entry!$L$775="","",[3]Entry!$L$775)</f>
        <v/>
      </c>
      <c r="AM772">
        <f>IF([3]Entry!$M$775="","",[3]Entry!$M$775)</f>
        <v/>
      </c>
      <c r="AN772">
        <f>IF([3]Entry!$N$775="","",[3]Entry!$N$775)</f>
        <v/>
      </c>
      <c r="AO772">
        <f>IF([3]Entry!$R$775="","",[3]Entry!$R$775)</f>
        <v/>
      </c>
    </row>
    <row r="773">
      <c r="U773">
        <f>IF([2]Baskol!$B$776="","",[2]Baskol!$B$776)</f>
        <v/>
      </c>
      <c r="V773">
        <f>IF([2]Baskol!$C$776="","",[2]Baskol!$C$776)</f>
        <v/>
      </c>
      <c r="W773">
        <f>IF([2]Baskol!$D$776="","",[2]Baskol!$D$776)</f>
        <v/>
      </c>
      <c r="X773">
        <f>IF([2]Baskol!$E$776="","",[2]Baskol!$E$776)</f>
        <v/>
      </c>
      <c r="Y773">
        <f>IF([2]Baskol!$G$776="","",[2]Baskol!$G$776)</f>
        <v/>
      </c>
      <c r="Z773">
        <f>IF([2]Baskol!$I$776="","",[2]Baskol!$I$776)</f>
        <v/>
      </c>
      <c r="AA773">
        <f>IF([2]Baskol!$J$776="","",[2]Baskol!$J$776)</f>
        <v/>
      </c>
      <c r="AB773">
        <f>IF([2]Baskol!$K$776="","",[2]Baskol!$K$776)</f>
        <v/>
      </c>
      <c r="AC773">
        <f>IF([2]Baskol!$L$776="","",[2]Baskol!$L$776)</f>
        <v/>
      </c>
      <c r="AD773">
        <f>IF([2]Baskol!$N$776="","",[2]Baskol!$N$776)</f>
        <v/>
      </c>
      <c r="AE773">
        <f>IF([2]Baskol!$O$776="","",[2]Baskol!$O$776)</f>
        <v/>
      </c>
      <c r="AG773">
        <f>IF([3]Entry!$C$776="","",[3]Entry!$C$776)</f>
        <v/>
      </c>
      <c r="AH773">
        <f>IF([3]Entry!$D$776="","",[3]Entry!$D$776)</f>
        <v/>
      </c>
      <c r="AI773">
        <f>IF([3]Entry!$E$776="","",[3]Entry!$E$776)</f>
        <v/>
      </c>
      <c r="AJ773">
        <f>IF([3]Entry!$G$776="","",[3]Entry!$G$776)</f>
        <v/>
      </c>
      <c r="AK773">
        <f>IF([3]Entry!$K$776="","",[3]Entry!$K$776)</f>
        <v/>
      </c>
      <c r="AL773">
        <f>IF([3]Entry!$L$776="","",[3]Entry!$L$776)</f>
        <v/>
      </c>
      <c r="AM773">
        <f>IF([3]Entry!$M$776="","",[3]Entry!$M$776)</f>
        <v/>
      </c>
      <c r="AN773">
        <f>IF([3]Entry!$N$776="","",[3]Entry!$N$776)</f>
        <v/>
      </c>
      <c r="AO773">
        <f>IF([3]Entry!$R$776="","",[3]Entry!$R$776)</f>
        <v/>
      </c>
    </row>
    <row r="774">
      <c r="U774">
        <f>IF([2]Baskol!$B$777="","",[2]Baskol!$B$777)</f>
        <v/>
      </c>
      <c r="V774">
        <f>IF([2]Baskol!$C$777="","",[2]Baskol!$C$777)</f>
        <v/>
      </c>
      <c r="W774">
        <f>IF([2]Baskol!$D$777="","",[2]Baskol!$D$777)</f>
        <v/>
      </c>
      <c r="X774">
        <f>IF([2]Baskol!$E$777="","",[2]Baskol!$E$777)</f>
        <v/>
      </c>
      <c r="Y774">
        <f>IF([2]Baskol!$G$777="","",[2]Baskol!$G$777)</f>
        <v/>
      </c>
      <c r="Z774">
        <f>IF([2]Baskol!$I$777="","",[2]Baskol!$I$777)</f>
        <v/>
      </c>
      <c r="AA774">
        <f>IF([2]Baskol!$J$777="","",[2]Baskol!$J$777)</f>
        <v/>
      </c>
      <c r="AB774">
        <f>IF([2]Baskol!$K$777="","",[2]Baskol!$K$777)</f>
        <v/>
      </c>
      <c r="AC774">
        <f>IF([2]Baskol!$L$777="","",[2]Baskol!$L$777)</f>
        <v/>
      </c>
      <c r="AD774">
        <f>IF([2]Baskol!$N$777="","",[2]Baskol!$N$777)</f>
        <v/>
      </c>
      <c r="AE774">
        <f>IF([2]Baskol!$O$777="","",[2]Baskol!$O$777)</f>
        <v/>
      </c>
      <c r="AG774">
        <f>IF([3]Entry!$C$777="","",[3]Entry!$C$777)</f>
        <v/>
      </c>
      <c r="AH774">
        <f>IF([3]Entry!$D$777="","",[3]Entry!$D$777)</f>
        <v/>
      </c>
      <c r="AI774">
        <f>IF([3]Entry!$E$777="","",[3]Entry!$E$777)</f>
        <v/>
      </c>
      <c r="AJ774">
        <f>IF([3]Entry!$G$777="","",[3]Entry!$G$777)</f>
        <v/>
      </c>
      <c r="AK774">
        <f>IF([3]Entry!$K$777="","",[3]Entry!$K$777)</f>
        <v/>
      </c>
      <c r="AL774">
        <f>IF([3]Entry!$L$777="","",[3]Entry!$L$777)</f>
        <v/>
      </c>
      <c r="AM774">
        <f>IF([3]Entry!$M$777="","",[3]Entry!$M$777)</f>
        <v/>
      </c>
      <c r="AN774">
        <f>IF([3]Entry!$N$777="","",[3]Entry!$N$777)</f>
        <v/>
      </c>
      <c r="AO774">
        <f>IF([3]Entry!$R$777="","",[3]Entry!$R$777)</f>
        <v/>
      </c>
    </row>
    <row r="775">
      <c r="U775">
        <f>IF([2]Baskol!$B$778="","",[2]Baskol!$B$778)</f>
        <v/>
      </c>
      <c r="V775">
        <f>IF([2]Baskol!$C$778="","",[2]Baskol!$C$778)</f>
        <v/>
      </c>
      <c r="W775">
        <f>IF([2]Baskol!$D$778="","",[2]Baskol!$D$778)</f>
        <v/>
      </c>
      <c r="X775">
        <f>IF([2]Baskol!$E$778="","",[2]Baskol!$E$778)</f>
        <v/>
      </c>
      <c r="Y775">
        <f>IF([2]Baskol!$G$778="","",[2]Baskol!$G$778)</f>
        <v/>
      </c>
      <c r="Z775">
        <f>IF([2]Baskol!$I$778="","",[2]Baskol!$I$778)</f>
        <v/>
      </c>
      <c r="AA775">
        <f>IF([2]Baskol!$J$778="","",[2]Baskol!$J$778)</f>
        <v/>
      </c>
      <c r="AB775">
        <f>IF([2]Baskol!$K$778="","",[2]Baskol!$K$778)</f>
        <v/>
      </c>
      <c r="AC775">
        <f>IF([2]Baskol!$L$778="","",[2]Baskol!$L$778)</f>
        <v/>
      </c>
      <c r="AD775">
        <f>IF([2]Baskol!$N$778="","",[2]Baskol!$N$778)</f>
        <v/>
      </c>
      <c r="AE775">
        <f>IF([2]Baskol!$O$778="","",[2]Baskol!$O$778)</f>
        <v/>
      </c>
      <c r="AG775">
        <f>IF([3]Entry!$C$778="","",[3]Entry!$C$778)</f>
        <v/>
      </c>
      <c r="AH775">
        <f>IF([3]Entry!$D$778="","",[3]Entry!$D$778)</f>
        <v/>
      </c>
      <c r="AI775">
        <f>IF([3]Entry!$E$778="","",[3]Entry!$E$778)</f>
        <v/>
      </c>
      <c r="AJ775">
        <f>IF([3]Entry!$G$778="","",[3]Entry!$G$778)</f>
        <v/>
      </c>
      <c r="AK775">
        <f>IF([3]Entry!$K$778="","",[3]Entry!$K$778)</f>
        <v/>
      </c>
      <c r="AL775">
        <f>IF([3]Entry!$L$778="","",[3]Entry!$L$778)</f>
        <v/>
      </c>
      <c r="AM775">
        <f>IF([3]Entry!$M$778="","",[3]Entry!$M$778)</f>
        <v/>
      </c>
      <c r="AN775">
        <f>IF([3]Entry!$N$778="","",[3]Entry!$N$778)</f>
        <v/>
      </c>
      <c r="AO775">
        <f>IF([3]Entry!$R$778="","",[3]Entry!$R$778)</f>
        <v/>
      </c>
    </row>
    <row r="776">
      <c r="U776">
        <f>IF([2]Baskol!$B$779="","",[2]Baskol!$B$779)</f>
        <v/>
      </c>
      <c r="V776">
        <f>IF([2]Baskol!$C$779="","",[2]Baskol!$C$779)</f>
        <v/>
      </c>
      <c r="W776">
        <f>IF([2]Baskol!$D$779="","",[2]Baskol!$D$779)</f>
        <v/>
      </c>
      <c r="X776">
        <f>IF([2]Baskol!$E$779="","",[2]Baskol!$E$779)</f>
        <v/>
      </c>
      <c r="Y776">
        <f>IF([2]Baskol!$G$779="","",[2]Baskol!$G$779)</f>
        <v/>
      </c>
      <c r="Z776">
        <f>IF([2]Baskol!$I$779="","",[2]Baskol!$I$779)</f>
        <v/>
      </c>
      <c r="AA776">
        <f>IF([2]Baskol!$J$779="","",[2]Baskol!$J$779)</f>
        <v/>
      </c>
      <c r="AB776">
        <f>IF([2]Baskol!$K$779="","",[2]Baskol!$K$779)</f>
        <v/>
      </c>
      <c r="AC776">
        <f>IF([2]Baskol!$L$779="","",[2]Baskol!$L$779)</f>
        <v/>
      </c>
      <c r="AD776">
        <f>IF([2]Baskol!$N$779="","",[2]Baskol!$N$779)</f>
        <v/>
      </c>
      <c r="AE776">
        <f>IF([2]Baskol!$O$779="","",[2]Baskol!$O$779)</f>
        <v/>
      </c>
      <c r="AG776">
        <f>IF([3]Entry!$C$779="","",[3]Entry!$C$779)</f>
        <v/>
      </c>
      <c r="AH776">
        <f>IF([3]Entry!$D$779="","",[3]Entry!$D$779)</f>
        <v/>
      </c>
      <c r="AI776">
        <f>IF([3]Entry!$E$779="","",[3]Entry!$E$779)</f>
        <v/>
      </c>
      <c r="AJ776">
        <f>IF([3]Entry!$G$779="","",[3]Entry!$G$779)</f>
        <v/>
      </c>
      <c r="AK776">
        <f>IF([3]Entry!$K$779="","",[3]Entry!$K$779)</f>
        <v/>
      </c>
      <c r="AL776">
        <f>IF([3]Entry!$L$779="","",[3]Entry!$L$779)</f>
        <v/>
      </c>
      <c r="AM776">
        <f>IF([3]Entry!$M$779="","",[3]Entry!$M$779)</f>
        <v/>
      </c>
      <c r="AN776">
        <f>IF([3]Entry!$N$779="","",[3]Entry!$N$779)</f>
        <v/>
      </c>
      <c r="AO776">
        <f>IF([3]Entry!$R$779="","",[3]Entry!$R$779)</f>
        <v/>
      </c>
    </row>
    <row r="777">
      <c r="U777">
        <f>IF([2]Baskol!$B$780="","",[2]Baskol!$B$780)</f>
        <v/>
      </c>
      <c r="V777">
        <f>IF([2]Baskol!$C$780="","",[2]Baskol!$C$780)</f>
        <v/>
      </c>
      <c r="W777">
        <f>IF([2]Baskol!$D$780="","",[2]Baskol!$D$780)</f>
        <v/>
      </c>
      <c r="X777">
        <f>IF([2]Baskol!$E$780="","",[2]Baskol!$E$780)</f>
        <v/>
      </c>
      <c r="Y777">
        <f>IF([2]Baskol!$G$780="","",[2]Baskol!$G$780)</f>
        <v/>
      </c>
      <c r="Z777">
        <f>IF([2]Baskol!$I$780="","",[2]Baskol!$I$780)</f>
        <v/>
      </c>
      <c r="AA777">
        <f>IF([2]Baskol!$J$780="","",[2]Baskol!$J$780)</f>
        <v/>
      </c>
      <c r="AB777">
        <f>IF([2]Baskol!$K$780="","",[2]Baskol!$K$780)</f>
        <v/>
      </c>
      <c r="AC777">
        <f>IF([2]Baskol!$L$780="","",[2]Baskol!$L$780)</f>
        <v/>
      </c>
      <c r="AD777">
        <f>IF([2]Baskol!$N$780="","",[2]Baskol!$N$780)</f>
        <v/>
      </c>
      <c r="AE777">
        <f>IF([2]Baskol!$O$780="","",[2]Baskol!$O$780)</f>
        <v/>
      </c>
      <c r="AG777">
        <f>IF([3]Entry!$C$780="","",[3]Entry!$C$780)</f>
        <v/>
      </c>
      <c r="AH777">
        <f>IF([3]Entry!$D$780="","",[3]Entry!$D$780)</f>
        <v/>
      </c>
      <c r="AI777">
        <f>IF([3]Entry!$E$780="","",[3]Entry!$E$780)</f>
        <v/>
      </c>
      <c r="AJ777">
        <f>IF([3]Entry!$G$780="","",[3]Entry!$G$780)</f>
        <v/>
      </c>
      <c r="AK777">
        <f>IF([3]Entry!$K$780="","",[3]Entry!$K$780)</f>
        <v/>
      </c>
      <c r="AL777">
        <f>IF([3]Entry!$L$780="","",[3]Entry!$L$780)</f>
        <v/>
      </c>
      <c r="AM777">
        <f>IF([3]Entry!$M$780="","",[3]Entry!$M$780)</f>
        <v/>
      </c>
      <c r="AN777">
        <f>IF([3]Entry!$N$780="","",[3]Entry!$N$780)</f>
        <v/>
      </c>
      <c r="AO777">
        <f>IF([3]Entry!$R$780="","",[3]Entry!$R$780)</f>
        <v/>
      </c>
    </row>
    <row r="778">
      <c r="U778">
        <f>IF([2]Baskol!$B$781="","",[2]Baskol!$B$781)</f>
        <v/>
      </c>
      <c r="V778">
        <f>IF([2]Baskol!$C$781="","",[2]Baskol!$C$781)</f>
        <v/>
      </c>
      <c r="W778">
        <f>IF([2]Baskol!$D$781="","",[2]Baskol!$D$781)</f>
        <v/>
      </c>
      <c r="X778">
        <f>IF([2]Baskol!$E$781="","",[2]Baskol!$E$781)</f>
        <v/>
      </c>
      <c r="Y778">
        <f>IF([2]Baskol!$G$781="","",[2]Baskol!$G$781)</f>
        <v/>
      </c>
      <c r="Z778">
        <f>IF([2]Baskol!$I$781="","",[2]Baskol!$I$781)</f>
        <v/>
      </c>
      <c r="AA778">
        <f>IF([2]Baskol!$J$781="","",[2]Baskol!$J$781)</f>
        <v/>
      </c>
      <c r="AB778">
        <f>IF([2]Baskol!$K$781="","",[2]Baskol!$K$781)</f>
        <v/>
      </c>
      <c r="AC778">
        <f>IF([2]Baskol!$L$781="","",[2]Baskol!$L$781)</f>
        <v/>
      </c>
      <c r="AD778">
        <f>IF([2]Baskol!$N$781="","",[2]Baskol!$N$781)</f>
        <v/>
      </c>
      <c r="AE778">
        <f>IF([2]Baskol!$O$781="","",[2]Baskol!$O$781)</f>
        <v/>
      </c>
      <c r="AG778">
        <f>IF([3]Entry!$C$781="","",[3]Entry!$C$781)</f>
        <v/>
      </c>
      <c r="AH778">
        <f>IF([3]Entry!$D$781="","",[3]Entry!$D$781)</f>
        <v/>
      </c>
      <c r="AI778">
        <f>IF([3]Entry!$E$781="","",[3]Entry!$E$781)</f>
        <v/>
      </c>
      <c r="AJ778">
        <f>IF([3]Entry!$G$781="","",[3]Entry!$G$781)</f>
        <v/>
      </c>
      <c r="AK778">
        <f>IF([3]Entry!$K$781="","",[3]Entry!$K$781)</f>
        <v/>
      </c>
      <c r="AL778">
        <f>IF([3]Entry!$L$781="","",[3]Entry!$L$781)</f>
        <v/>
      </c>
      <c r="AM778">
        <f>IF([3]Entry!$M$781="","",[3]Entry!$M$781)</f>
        <v/>
      </c>
      <c r="AN778">
        <f>IF([3]Entry!$N$781="","",[3]Entry!$N$781)</f>
        <v/>
      </c>
      <c r="AO778">
        <f>IF([3]Entry!$R$781="","",[3]Entry!$R$781)</f>
        <v/>
      </c>
    </row>
    <row r="779">
      <c r="U779">
        <f>IF([2]Baskol!$B$782="","",[2]Baskol!$B$782)</f>
        <v/>
      </c>
      <c r="V779">
        <f>IF([2]Baskol!$C$782="","",[2]Baskol!$C$782)</f>
        <v/>
      </c>
      <c r="W779">
        <f>IF([2]Baskol!$D$782="","",[2]Baskol!$D$782)</f>
        <v/>
      </c>
      <c r="X779">
        <f>IF([2]Baskol!$E$782="","",[2]Baskol!$E$782)</f>
        <v/>
      </c>
      <c r="Y779">
        <f>IF([2]Baskol!$G$782="","",[2]Baskol!$G$782)</f>
        <v/>
      </c>
      <c r="Z779">
        <f>IF([2]Baskol!$I$782="","",[2]Baskol!$I$782)</f>
        <v/>
      </c>
      <c r="AA779">
        <f>IF([2]Baskol!$J$782="","",[2]Baskol!$J$782)</f>
        <v/>
      </c>
      <c r="AB779">
        <f>IF([2]Baskol!$K$782="","",[2]Baskol!$K$782)</f>
        <v/>
      </c>
      <c r="AC779">
        <f>IF([2]Baskol!$L$782="","",[2]Baskol!$L$782)</f>
        <v/>
      </c>
      <c r="AD779">
        <f>IF([2]Baskol!$N$782="","",[2]Baskol!$N$782)</f>
        <v/>
      </c>
      <c r="AE779">
        <f>IF([2]Baskol!$O$782="","",[2]Baskol!$O$782)</f>
        <v/>
      </c>
      <c r="AG779">
        <f>IF([3]Entry!$C$782="","",[3]Entry!$C$782)</f>
        <v/>
      </c>
      <c r="AH779">
        <f>IF([3]Entry!$D$782="","",[3]Entry!$D$782)</f>
        <v/>
      </c>
      <c r="AI779">
        <f>IF([3]Entry!$E$782="","",[3]Entry!$E$782)</f>
        <v/>
      </c>
      <c r="AJ779">
        <f>IF([3]Entry!$G$782="","",[3]Entry!$G$782)</f>
        <v/>
      </c>
      <c r="AK779">
        <f>IF([3]Entry!$K$782="","",[3]Entry!$K$782)</f>
        <v/>
      </c>
      <c r="AL779">
        <f>IF([3]Entry!$L$782="","",[3]Entry!$L$782)</f>
        <v/>
      </c>
      <c r="AM779">
        <f>IF([3]Entry!$M$782="","",[3]Entry!$M$782)</f>
        <v/>
      </c>
      <c r="AN779">
        <f>IF([3]Entry!$N$782="","",[3]Entry!$N$782)</f>
        <v/>
      </c>
      <c r="AO779">
        <f>IF([3]Entry!$R$782="","",[3]Entry!$R$782)</f>
        <v/>
      </c>
    </row>
    <row r="780">
      <c r="U780">
        <f>IF([2]Baskol!$B$783="","",[2]Baskol!$B$783)</f>
        <v/>
      </c>
      <c r="V780">
        <f>IF([2]Baskol!$C$783="","",[2]Baskol!$C$783)</f>
        <v/>
      </c>
      <c r="W780">
        <f>IF([2]Baskol!$D$783="","",[2]Baskol!$D$783)</f>
        <v/>
      </c>
      <c r="X780">
        <f>IF([2]Baskol!$E$783="","",[2]Baskol!$E$783)</f>
        <v/>
      </c>
      <c r="Y780">
        <f>IF([2]Baskol!$G$783="","",[2]Baskol!$G$783)</f>
        <v/>
      </c>
      <c r="Z780">
        <f>IF([2]Baskol!$I$783="","",[2]Baskol!$I$783)</f>
        <v/>
      </c>
      <c r="AA780">
        <f>IF([2]Baskol!$J$783="","",[2]Baskol!$J$783)</f>
        <v/>
      </c>
      <c r="AB780">
        <f>IF([2]Baskol!$K$783="","",[2]Baskol!$K$783)</f>
        <v/>
      </c>
      <c r="AC780">
        <f>IF([2]Baskol!$L$783="","",[2]Baskol!$L$783)</f>
        <v/>
      </c>
      <c r="AD780">
        <f>IF([2]Baskol!$N$783="","",[2]Baskol!$N$783)</f>
        <v/>
      </c>
      <c r="AE780">
        <f>IF([2]Baskol!$O$783="","",[2]Baskol!$O$783)</f>
        <v/>
      </c>
      <c r="AG780">
        <f>IF([3]Entry!$C$783="","",[3]Entry!$C$783)</f>
        <v/>
      </c>
      <c r="AH780">
        <f>IF([3]Entry!$D$783="","",[3]Entry!$D$783)</f>
        <v/>
      </c>
      <c r="AI780">
        <f>IF([3]Entry!$E$783="","",[3]Entry!$E$783)</f>
        <v/>
      </c>
      <c r="AJ780">
        <f>IF([3]Entry!$G$783="","",[3]Entry!$G$783)</f>
        <v/>
      </c>
      <c r="AK780">
        <f>IF([3]Entry!$K$783="","",[3]Entry!$K$783)</f>
        <v/>
      </c>
      <c r="AL780">
        <f>IF([3]Entry!$L$783="","",[3]Entry!$L$783)</f>
        <v/>
      </c>
      <c r="AM780">
        <f>IF([3]Entry!$M$783="","",[3]Entry!$M$783)</f>
        <v/>
      </c>
      <c r="AN780">
        <f>IF([3]Entry!$N$783="","",[3]Entry!$N$783)</f>
        <v/>
      </c>
      <c r="AO780">
        <f>IF([3]Entry!$R$783="","",[3]Entry!$R$783)</f>
        <v/>
      </c>
    </row>
    <row r="781">
      <c r="U781">
        <f>IF([2]Baskol!$B$784="","",[2]Baskol!$B$784)</f>
        <v/>
      </c>
      <c r="V781">
        <f>IF([2]Baskol!$C$784="","",[2]Baskol!$C$784)</f>
        <v/>
      </c>
      <c r="W781">
        <f>IF([2]Baskol!$D$784="","",[2]Baskol!$D$784)</f>
        <v/>
      </c>
      <c r="X781">
        <f>IF([2]Baskol!$E$784="","",[2]Baskol!$E$784)</f>
        <v/>
      </c>
      <c r="Y781">
        <f>IF([2]Baskol!$G$784="","",[2]Baskol!$G$784)</f>
        <v/>
      </c>
      <c r="Z781">
        <f>IF([2]Baskol!$I$784="","",[2]Baskol!$I$784)</f>
        <v/>
      </c>
      <c r="AA781">
        <f>IF([2]Baskol!$J$784="","",[2]Baskol!$J$784)</f>
        <v/>
      </c>
      <c r="AB781">
        <f>IF([2]Baskol!$K$784="","",[2]Baskol!$K$784)</f>
        <v/>
      </c>
      <c r="AC781">
        <f>IF([2]Baskol!$L$784="","",[2]Baskol!$L$784)</f>
        <v/>
      </c>
      <c r="AD781">
        <f>IF([2]Baskol!$N$784="","",[2]Baskol!$N$784)</f>
        <v/>
      </c>
      <c r="AE781">
        <f>IF([2]Baskol!$O$784="","",[2]Baskol!$O$784)</f>
        <v/>
      </c>
      <c r="AG781">
        <f>IF([3]Entry!$C$784="","",[3]Entry!$C$784)</f>
        <v/>
      </c>
      <c r="AH781">
        <f>IF([3]Entry!$D$784="","",[3]Entry!$D$784)</f>
        <v/>
      </c>
      <c r="AI781">
        <f>IF([3]Entry!$E$784="","",[3]Entry!$E$784)</f>
        <v/>
      </c>
      <c r="AJ781">
        <f>IF([3]Entry!$G$784="","",[3]Entry!$G$784)</f>
        <v/>
      </c>
      <c r="AK781">
        <f>IF([3]Entry!$K$784="","",[3]Entry!$K$784)</f>
        <v/>
      </c>
      <c r="AL781">
        <f>IF([3]Entry!$L$784="","",[3]Entry!$L$784)</f>
        <v/>
      </c>
      <c r="AM781">
        <f>IF([3]Entry!$M$784="","",[3]Entry!$M$784)</f>
        <v/>
      </c>
      <c r="AN781">
        <f>IF([3]Entry!$N$784="","",[3]Entry!$N$784)</f>
        <v/>
      </c>
      <c r="AO781">
        <f>IF([3]Entry!$R$784="","",[3]Entry!$R$784)</f>
        <v/>
      </c>
    </row>
    <row r="782">
      <c r="U782">
        <f>IF([2]Baskol!$B$785="","",[2]Baskol!$B$785)</f>
        <v/>
      </c>
      <c r="V782">
        <f>IF([2]Baskol!$C$785="","",[2]Baskol!$C$785)</f>
        <v/>
      </c>
      <c r="W782">
        <f>IF([2]Baskol!$D$785="","",[2]Baskol!$D$785)</f>
        <v/>
      </c>
      <c r="X782">
        <f>IF([2]Baskol!$E$785="","",[2]Baskol!$E$785)</f>
        <v/>
      </c>
      <c r="Y782">
        <f>IF([2]Baskol!$G$785="","",[2]Baskol!$G$785)</f>
        <v/>
      </c>
      <c r="Z782">
        <f>IF([2]Baskol!$I$785="","",[2]Baskol!$I$785)</f>
        <v/>
      </c>
      <c r="AA782">
        <f>IF([2]Baskol!$J$785="","",[2]Baskol!$J$785)</f>
        <v/>
      </c>
      <c r="AB782">
        <f>IF([2]Baskol!$K$785="","",[2]Baskol!$K$785)</f>
        <v/>
      </c>
      <c r="AC782">
        <f>IF([2]Baskol!$L$785="","",[2]Baskol!$L$785)</f>
        <v/>
      </c>
      <c r="AD782">
        <f>IF([2]Baskol!$N$785="","",[2]Baskol!$N$785)</f>
        <v/>
      </c>
      <c r="AE782">
        <f>IF([2]Baskol!$O$785="","",[2]Baskol!$O$785)</f>
        <v/>
      </c>
      <c r="AG782">
        <f>IF([3]Entry!$C$785="","",[3]Entry!$C$785)</f>
        <v/>
      </c>
      <c r="AH782">
        <f>IF([3]Entry!$D$785="","",[3]Entry!$D$785)</f>
        <v/>
      </c>
      <c r="AI782">
        <f>IF([3]Entry!$E$785="","",[3]Entry!$E$785)</f>
        <v/>
      </c>
      <c r="AJ782">
        <f>IF([3]Entry!$G$785="","",[3]Entry!$G$785)</f>
        <v/>
      </c>
      <c r="AK782">
        <f>IF([3]Entry!$K$785="","",[3]Entry!$K$785)</f>
        <v/>
      </c>
      <c r="AL782">
        <f>IF([3]Entry!$L$785="","",[3]Entry!$L$785)</f>
        <v/>
      </c>
      <c r="AM782">
        <f>IF([3]Entry!$M$785="","",[3]Entry!$M$785)</f>
        <v/>
      </c>
      <c r="AN782">
        <f>IF([3]Entry!$N$785="","",[3]Entry!$N$785)</f>
        <v/>
      </c>
      <c r="AO782">
        <f>IF([3]Entry!$R$785="","",[3]Entry!$R$785)</f>
        <v/>
      </c>
    </row>
    <row r="783">
      <c r="U783">
        <f>IF([2]Baskol!$B$786="","",[2]Baskol!$B$786)</f>
        <v/>
      </c>
      <c r="V783">
        <f>IF([2]Baskol!$C$786="","",[2]Baskol!$C$786)</f>
        <v/>
      </c>
      <c r="W783">
        <f>IF([2]Baskol!$D$786="","",[2]Baskol!$D$786)</f>
        <v/>
      </c>
      <c r="X783">
        <f>IF([2]Baskol!$E$786="","",[2]Baskol!$E$786)</f>
        <v/>
      </c>
      <c r="Y783">
        <f>IF([2]Baskol!$G$786="","",[2]Baskol!$G$786)</f>
        <v/>
      </c>
      <c r="Z783">
        <f>IF([2]Baskol!$I$786="","",[2]Baskol!$I$786)</f>
        <v/>
      </c>
      <c r="AA783">
        <f>IF([2]Baskol!$J$786="","",[2]Baskol!$J$786)</f>
        <v/>
      </c>
      <c r="AB783">
        <f>IF([2]Baskol!$K$786="","",[2]Baskol!$K$786)</f>
        <v/>
      </c>
      <c r="AC783">
        <f>IF([2]Baskol!$L$786="","",[2]Baskol!$L$786)</f>
        <v/>
      </c>
      <c r="AD783">
        <f>IF([2]Baskol!$N$786="","",[2]Baskol!$N$786)</f>
        <v/>
      </c>
      <c r="AE783">
        <f>IF([2]Baskol!$O$786="","",[2]Baskol!$O$786)</f>
        <v/>
      </c>
      <c r="AG783">
        <f>IF([3]Entry!$C$786="","",[3]Entry!$C$786)</f>
        <v/>
      </c>
      <c r="AH783">
        <f>IF([3]Entry!$D$786="","",[3]Entry!$D$786)</f>
        <v/>
      </c>
      <c r="AI783">
        <f>IF([3]Entry!$E$786="","",[3]Entry!$E$786)</f>
        <v/>
      </c>
      <c r="AJ783">
        <f>IF([3]Entry!$G$786="","",[3]Entry!$G$786)</f>
        <v/>
      </c>
      <c r="AK783">
        <f>IF([3]Entry!$K$786="","",[3]Entry!$K$786)</f>
        <v/>
      </c>
      <c r="AL783">
        <f>IF([3]Entry!$L$786="","",[3]Entry!$L$786)</f>
        <v/>
      </c>
      <c r="AM783">
        <f>IF([3]Entry!$M$786="","",[3]Entry!$M$786)</f>
        <v/>
      </c>
      <c r="AN783">
        <f>IF([3]Entry!$N$786="","",[3]Entry!$N$786)</f>
        <v/>
      </c>
      <c r="AO783">
        <f>IF([3]Entry!$R$786="","",[3]Entry!$R$786)</f>
        <v/>
      </c>
    </row>
    <row r="784">
      <c r="U784">
        <f>IF([2]Baskol!$B$787="","",[2]Baskol!$B$787)</f>
        <v/>
      </c>
      <c r="V784">
        <f>IF([2]Baskol!$C$787="","",[2]Baskol!$C$787)</f>
        <v/>
      </c>
      <c r="W784">
        <f>IF([2]Baskol!$D$787="","",[2]Baskol!$D$787)</f>
        <v/>
      </c>
      <c r="X784">
        <f>IF([2]Baskol!$E$787="","",[2]Baskol!$E$787)</f>
        <v/>
      </c>
      <c r="Y784">
        <f>IF([2]Baskol!$G$787="","",[2]Baskol!$G$787)</f>
        <v/>
      </c>
      <c r="Z784">
        <f>IF([2]Baskol!$I$787="","",[2]Baskol!$I$787)</f>
        <v/>
      </c>
      <c r="AA784">
        <f>IF([2]Baskol!$J$787="","",[2]Baskol!$J$787)</f>
        <v/>
      </c>
      <c r="AB784">
        <f>IF([2]Baskol!$K$787="","",[2]Baskol!$K$787)</f>
        <v/>
      </c>
      <c r="AC784">
        <f>IF([2]Baskol!$L$787="","",[2]Baskol!$L$787)</f>
        <v/>
      </c>
      <c r="AD784">
        <f>IF([2]Baskol!$N$787="","",[2]Baskol!$N$787)</f>
        <v/>
      </c>
      <c r="AE784">
        <f>IF([2]Baskol!$O$787="","",[2]Baskol!$O$787)</f>
        <v/>
      </c>
      <c r="AG784">
        <f>IF([3]Entry!$C$787="","",[3]Entry!$C$787)</f>
        <v/>
      </c>
      <c r="AH784">
        <f>IF([3]Entry!$D$787="","",[3]Entry!$D$787)</f>
        <v/>
      </c>
      <c r="AI784">
        <f>IF([3]Entry!$E$787="","",[3]Entry!$E$787)</f>
        <v/>
      </c>
      <c r="AJ784">
        <f>IF([3]Entry!$G$787="","",[3]Entry!$G$787)</f>
        <v/>
      </c>
      <c r="AK784">
        <f>IF([3]Entry!$K$787="","",[3]Entry!$K$787)</f>
        <v/>
      </c>
      <c r="AL784">
        <f>IF([3]Entry!$L$787="","",[3]Entry!$L$787)</f>
        <v/>
      </c>
      <c r="AM784">
        <f>IF([3]Entry!$M$787="","",[3]Entry!$M$787)</f>
        <v/>
      </c>
      <c r="AN784">
        <f>IF([3]Entry!$N$787="","",[3]Entry!$N$787)</f>
        <v/>
      </c>
      <c r="AO784">
        <f>IF([3]Entry!$R$787="","",[3]Entry!$R$787)</f>
        <v/>
      </c>
    </row>
    <row r="785">
      <c r="U785">
        <f>IF([2]Baskol!$B$788="","",[2]Baskol!$B$788)</f>
        <v/>
      </c>
      <c r="V785">
        <f>IF([2]Baskol!$C$788="","",[2]Baskol!$C$788)</f>
        <v/>
      </c>
      <c r="W785">
        <f>IF([2]Baskol!$D$788="","",[2]Baskol!$D$788)</f>
        <v/>
      </c>
      <c r="X785">
        <f>IF([2]Baskol!$E$788="","",[2]Baskol!$E$788)</f>
        <v/>
      </c>
      <c r="Y785">
        <f>IF([2]Baskol!$G$788="","",[2]Baskol!$G$788)</f>
        <v/>
      </c>
      <c r="Z785">
        <f>IF([2]Baskol!$I$788="","",[2]Baskol!$I$788)</f>
        <v/>
      </c>
      <c r="AA785">
        <f>IF([2]Baskol!$J$788="","",[2]Baskol!$J$788)</f>
        <v/>
      </c>
      <c r="AB785">
        <f>IF([2]Baskol!$K$788="","",[2]Baskol!$K$788)</f>
        <v/>
      </c>
      <c r="AC785">
        <f>IF([2]Baskol!$L$788="","",[2]Baskol!$L$788)</f>
        <v/>
      </c>
      <c r="AD785">
        <f>IF([2]Baskol!$N$788="","",[2]Baskol!$N$788)</f>
        <v/>
      </c>
      <c r="AE785">
        <f>IF([2]Baskol!$O$788="","",[2]Baskol!$O$788)</f>
        <v/>
      </c>
      <c r="AG785">
        <f>IF([3]Entry!$C$788="","",[3]Entry!$C$788)</f>
        <v/>
      </c>
      <c r="AH785">
        <f>IF([3]Entry!$D$788="","",[3]Entry!$D$788)</f>
        <v/>
      </c>
      <c r="AI785">
        <f>IF([3]Entry!$E$788="","",[3]Entry!$E$788)</f>
        <v/>
      </c>
      <c r="AJ785">
        <f>IF([3]Entry!$G$788="","",[3]Entry!$G$788)</f>
        <v/>
      </c>
      <c r="AK785">
        <f>IF([3]Entry!$K$788="","",[3]Entry!$K$788)</f>
        <v/>
      </c>
      <c r="AL785">
        <f>IF([3]Entry!$L$788="","",[3]Entry!$L$788)</f>
        <v/>
      </c>
      <c r="AM785">
        <f>IF([3]Entry!$M$788="","",[3]Entry!$M$788)</f>
        <v/>
      </c>
      <c r="AN785">
        <f>IF([3]Entry!$N$788="","",[3]Entry!$N$788)</f>
        <v/>
      </c>
      <c r="AO785">
        <f>IF([3]Entry!$R$788="","",[3]Entry!$R$788)</f>
        <v/>
      </c>
    </row>
    <row r="786">
      <c r="U786">
        <f>IF([2]Baskol!$B$789="","",[2]Baskol!$B$789)</f>
        <v/>
      </c>
      <c r="V786">
        <f>IF([2]Baskol!$C$789="","",[2]Baskol!$C$789)</f>
        <v/>
      </c>
      <c r="W786">
        <f>IF([2]Baskol!$D$789="","",[2]Baskol!$D$789)</f>
        <v/>
      </c>
      <c r="X786">
        <f>IF([2]Baskol!$E$789="","",[2]Baskol!$E$789)</f>
        <v/>
      </c>
      <c r="Y786">
        <f>IF([2]Baskol!$G$789="","",[2]Baskol!$G$789)</f>
        <v/>
      </c>
      <c r="Z786">
        <f>IF([2]Baskol!$I$789="","",[2]Baskol!$I$789)</f>
        <v/>
      </c>
      <c r="AA786">
        <f>IF([2]Baskol!$J$789="","",[2]Baskol!$J$789)</f>
        <v/>
      </c>
      <c r="AB786">
        <f>IF([2]Baskol!$K$789="","",[2]Baskol!$K$789)</f>
        <v/>
      </c>
      <c r="AC786">
        <f>IF([2]Baskol!$L$789="","",[2]Baskol!$L$789)</f>
        <v/>
      </c>
      <c r="AD786">
        <f>IF([2]Baskol!$N$789="","",[2]Baskol!$N$789)</f>
        <v/>
      </c>
      <c r="AE786">
        <f>IF([2]Baskol!$O$789="","",[2]Baskol!$O$789)</f>
        <v/>
      </c>
      <c r="AG786">
        <f>IF([3]Entry!$C$789="","",[3]Entry!$C$789)</f>
        <v/>
      </c>
      <c r="AH786">
        <f>IF([3]Entry!$D$789="","",[3]Entry!$D$789)</f>
        <v/>
      </c>
      <c r="AI786">
        <f>IF([3]Entry!$E$789="","",[3]Entry!$E$789)</f>
        <v/>
      </c>
      <c r="AJ786">
        <f>IF([3]Entry!$G$789="","",[3]Entry!$G$789)</f>
        <v/>
      </c>
      <c r="AK786">
        <f>IF([3]Entry!$K$789="","",[3]Entry!$K$789)</f>
        <v/>
      </c>
      <c r="AL786">
        <f>IF([3]Entry!$L$789="","",[3]Entry!$L$789)</f>
        <v/>
      </c>
      <c r="AM786">
        <f>IF([3]Entry!$M$789="","",[3]Entry!$M$789)</f>
        <v/>
      </c>
      <c r="AN786">
        <f>IF([3]Entry!$N$789="","",[3]Entry!$N$789)</f>
        <v/>
      </c>
      <c r="AO786">
        <f>IF([3]Entry!$R$789="","",[3]Entry!$R$789)</f>
        <v/>
      </c>
    </row>
    <row r="787">
      <c r="U787">
        <f>IF([2]Baskol!$B$790="","",[2]Baskol!$B$790)</f>
        <v/>
      </c>
      <c r="V787">
        <f>IF([2]Baskol!$C$790="","",[2]Baskol!$C$790)</f>
        <v/>
      </c>
      <c r="W787">
        <f>IF([2]Baskol!$D$790="","",[2]Baskol!$D$790)</f>
        <v/>
      </c>
      <c r="X787">
        <f>IF([2]Baskol!$E$790="","",[2]Baskol!$E$790)</f>
        <v/>
      </c>
      <c r="Y787">
        <f>IF([2]Baskol!$G$790="","",[2]Baskol!$G$790)</f>
        <v/>
      </c>
      <c r="Z787">
        <f>IF([2]Baskol!$I$790="","",[2]Baskol!$I$790)</f>
        <v/>
      </c>
      <c r="AA787">
        <f>IF([2]Baskol!$J$790="","",[2]Baskol!$J$790)</f>
        <v/>
      </c>
      <c r="AB787">
        <f>IF([2]Baskol!$K$790="","",[2]Baskol!$K$790)</f>
        <v/>
      </c>
      <c r="AC787">
        <f>IF([2]Baskol!$L$790="","",[2]Baskol!$L$790)</f>
        <v/>
      </c>
      <c r="AD787">
        <f>IF([2]Baskol!$N$790="","",[2]Baskol!$N$790)</f>
        <v/>
      </c>
      <c r="AE787">
        <f>IF([2]Baskol!$O$790="","",[2]Baskol!$O$790)</f>
        <v/>
      </c>
      <c r="AG787">
        <f>IF([3]Entry!$C$790="","",[3]Entry!$C$790)</f>
        <v/>
      </c>
      <c r="AH787">
        <f>IF([3]Entry!$D$790="","",[3]Entry!$D$790)</f>
        <v/>
      </c>
      <c r="AI787">
        <f>IF([3]Entry!$E$790="","",[3]Entry!$E$790)</f>
        <v/>
      </c>
      <c r="AJ787">
        <f>IF([3]Entry!$G$790="","",[3]Entry!$G$790)</f>
        <v/>
      </c>
      <c r="AK787">
        <f>IF([3]Entry!$K$790="","",[3]Entry!$K$790)</f>
        <v/>
      </c>
      <c r="AL787">
        <f>IF([3]Entry!$L$790="","",[3]Entry!$L$790)</f>
        <v/>
      </c>
      <c r="AM787">
        <f>IF([3]Entry!$M$790="","",[3]Entry!$M$790)</f>
        <v/>
      </c>
      <c r="AN787">
        <f>IF([3]Entry!$N$790="","",[3]Entry!$N$790)</f>
        <v/>
      </c>
      <c r="AO787">
        <f>IF([3]Entry!$R$790="","",[3]Entry!$R$790)</f>
        <v/>
      </c>
    </row>
    <row r="788">
      <c r="U788">
        <f>IF([2]Baskol!$B$791="","",[2]Baskol!$B$791)</f>
        <v/>
      </c>
      <c r="V788">
        <f>IF([2]Baskol!$C$791="","",[2]Baskol!$C$791)</f>
        <v/>
      </c>
      <c r="W788">
        <f>IF([2]Baskol!$D$791="","",[2]Baskol!$D$791)</f>
        <v/>
      </c>
      <c r="X788">
        <f>IF([2]Baskol!$E$791="","",[2]Baskol!$E$791)</f>
        <v/>
      </c>
      <c r="Y788">
        <f>IF([2]Baskol!$G$791="","",[2]Baskol!$G$791)</f>
        <v/>
      </c>
      <c r="Z788">
        <f>IF([2]Baskol!$I$791="","",[2]Baskol!$I$791)</f>
        <v/>
      </c>
      <c r="AA788">
        <f>IF([2]Baskol!$J$791="","",[2]Baskol!$J$791)</f>
        <v/>
      </c>
      <c r="AB788">
        <f>IF([2]Baskol!$K$791="","",[2]Baskol!$K$791)</f>
        <v/>
      </c>
      <c r="AC788">
        <f>IF([2]Baskol!$L$791="","",[2]Baskol!$L$791)</f>
        <v/>
      </c>
      <c r="AD788">
        <f>IF([2]Baskol!$N$791="","",[2]Baskol!$N$791)</f>
        <v/>
      </c>
      <c r="AE788">
        <f>IF([2]Baskol!$O$791="","",[2]Baskol!$O$791)</f>
        <v/>
      </c>
      <c r="AG788">
        <f>IF([3]Entry!$C$791="","",[3]Entry!$C$791)</f>
        <v/>
      </c>
      <c r="AH788">
        <f>IF([3]Entry!$D$791="","",[3]Entry!$D$791)</f>
        <v/>
      </c>
      <c r="AI788">
        <f>IF([3]Entry!$E$791="","",[3]Entry!$E$791)</f>
        <v/>
      </c>
      <c r="AJ788">
        <f>IF([3]Entry!$G$791="","",[3]Entry!$G$791)</f>
        <v/>
      </c>
      <c r="AK788">
        <f>IF([3]Entry!$K$791="","",[3]Entry!$K$791)</f>
        <v/>
      </c>
      <c r="AL788">
        <f>IF([3]Entry!$L$791="","",[3]Entry!$L$791)</f>
        <v/>
      </c>
      <c r="AM788">
        <f>IF([3]Entry!$M$791="","",[3]Entry!$M$791)</f>
        <v/>
      </c>
      <c r="AN788">
        <f>IF([3]Entry!$N$791="","",[3]Entry!$N$791)</f>
        <v/>
      </c>
      <c r="AO788">
        <f>IF([3]Entry!$R$791="","",[3]Entry!$R$791)</f>
        <v/>
      </c>
    </row>
    <row r="789">
      <c r="U789">
        <f>IF([2]Baskol!$B$792="","",[2]Baskol!$B$792)</f>
        <v/>
      </c>
      <c r="V789">
        <f>IF([2]Baskol!$C$792="","",[2]Baskol!$C$792)</f>
        <v/>
      </c>
      <c r="W789">
        <f>IF([2]Baskol!$D$792="","",[2]Baskol!$D$792)</f>
        <v/>
      </c>
      <c r="X789">
        <f>IF([2]Baskol!$E$792="","",[2]Baskol!$E$792)</f>
        <v/>
      </c>
      <c r="Y789">
        <f>IF([2]Baskol!$G$792="","",[2]Baskol!$G$792)</f>
        <v/>
      </c>
      <c r="Z789">
        <f>IF([2]Baskol!$I$792="","",[2]Baskol!$I$792)</f>
        <v/>
      </c>
      <c r="AA789">
        <f>IF([2]Baskol!$J$792="","",[2]Baskol!$J$792)</f>
        <v/>
      </c>
      <c r="AB789">
        <f>IF([2]Baskol!$K$792="","",[2]Baskol!$K$792)</f>
        <v/>
      </c>
      <c r="AC789">
        <f>IF([2]Baskol!$L$792="","",[2]Baskol!$L$792)</f>
        <v/>
      </c>
      <c r="AD789">
        <f>IF([2]Baskol!$N$792="","",[2]Baskol!$N$792)</f>
        <v/>
      </c>
      <c r="AE789">
        <f>IF([2]Baskol!$O$792="","",[2]Baskol!$O$792)</f>
        <v/>
      </c>
      <c r="AG789">
        <f>IF([3]Entry!$C$792="","",[3]Entry!$C$792)</f>
        <v/>
      </c>
      <c r="AH789">
        <f>IF([3]Entry!$D$792="","",[3]Entry!$D$792)</f>
        <v/>
      </c>
      <c r="AI789">
        <f>IF([3]Entry!$E$792="","",[3]Entry!$E$792)</f>
        <v/>
      </c>
      <c r="AJ789">
        <f>IF([3]Entry!$G$792="","",[3]Entry!$G$792)</f>
        <v/>
      </c>
      <c r="AK789">
        <f>IF([3]Entry!$K$792="","",[3]Entry!$K$792)</f>
        <v/>
      </c>
      <c r="AL789">
        <f>IF([3]Entry!$L$792="","",[3]Entry!$L$792)</f>
        <v/>
      </c>
      <c r="AM789">
        <f>IF([3]Entry!$M$792="","",[3]Entry!$M$792)</f>
        <v/>
      </c>
      <c r="AN789">
        <f>IF([3]Entry!$N$792="","",[3]Entry!$N$792)</f>
        <v/>
      </c>
      <c r="AO789">
        <f>IF([3]Entry!$R$792="","",[3]Entry!$R$792)</f>
        <v/>
      </c>
    </row>
    <row r="790">
      <c r="U790">
        <f>IF([2]Baskol!$B$793="","",[2]Baskol!$B$793)</f>
        <v/>
      </c>
      <c r="V790">
        <f>IF([2]Baskol!$C$793="","",[2]Baskol!$C$793)</f>
        <v/>
      </c>
      <c r="W790">
        <f>IF([2]Baskol!$D$793="","",[2]Baskol!$D$793)</f>
        <v/>
      </c>
      <c r="X790">
        <f>IF([2]Baskol!$E$793="","",[2]Baskol!$E$793)</f>
        <v/>
      </c>
      <c r="Y790">
        <f>IF([2]Baskol!$G$793="","",[2]Baskol!$G$793)</f>
        <v/>
      </c>
      <c r="Z790">
        <f>IF([2]Baskol!$I$793="","",[2]Baskol!$I$793)</f>
        <v/>
      </c>
      <c r="AA790">
        <f>IF([2]Baskol!$J$793="","",[2]Baskol!$J$793)</f>
        <v/>
      </c>
      <c r="AB790">
        <f>IF([2]Baskol!$K$793="","",[2]Baskol!$K$793)</f>
        <v/>
      </c>
      <c r="AC790">
        <f>IF([2]Baskol!$L$793="","",[2]Baskol!$L$793)</f>
        <v/>
      </c>
      <c r="AD790">
        <f>IF([2]Baskol!$N$793="","",[2]Baskol!$N$793)</f>
        <v/>
      </c>
      <c r="AE790">
        <f>IF([2]Baskol!$O$793="","",[2]Baskol!$O$793)</f>
        <v/>
      </c>
      <c r="AG790">
        <f>IF([3]Entry!$C$793="","",[3]Entry!$C$793)</f>
        <v/>
      </c>
      <c r="AH790">
        <f>IF([3]Entry!$D$793="","",[3]Entry!$D$793)</f>
        <v/>
      </c>
      <c r="AI790">
        <f>IF([3]Entry!$E$793="","",[3]Entry!$E$793)</f>
        <v/>
      </c>
      <c r="AJ790">
        <f>IF([3]Entry!$G$793="","",[3]Entry!$G$793)</f>
        <v/>
      </c>
      <c r="AK790">
        <f>IF([3]Entry!$K$793="","",[3]Entry!$K$793)</f>
        <v/>
      </c>
      <c r="AL790">
        <f>IF([3]Entry!$L$793="","",[3]Entry!$L$793)</f>
        <v/>
      </c>
      <c r="AM790">
        <f>IF([3]Entry!$M$793="","",[3]Entry!$M$793)</f>
        <v/>
      </c>
      <c r="AN790">
        <f>IF([3]Entry!$N$793="","",[3]Entry!$N$793)</f>
        <v/>
      </c>
      <c r="AO790">
        <f>IF([3]Entry!$R$793="","",[3]Entry!$R$793)</f>
        <v/>
      </c>
    </row>
    <row r="791">
      <c r="U791">
        <f>IF([2]Baskol!$B$794="","",[2]Baskol!$B$794)</f>
        <v/>
      </c>
      <c r="V791">
        <f>IF([2]Baskol!$C$794="","",[2]Baskol!$C$794)</f>
        <v/>
      </c>
      <c r="W791">
        <f>IF([2]Baskol!$D$794="","",[2]Baskol!$D$794)</f>
        <v/>
      </c>
      <c r="X791">
        <f>IF([2]Baskol!$E$794="","",[2]Baskol!$E$794)</f>
        <v/>
      </c>
      <c r="Y791">
        <f>IF([2]Baskol!$G$794="","",[2]Baskol!$G$794)</f>
        <v/>
      </c>
      <c r="Z791">
        <f>IF([2]Baskol!$I$794="","",[2]Baskol!$I$794)</f>
        <v/>
      </c>
      <c r="AA791">
        <f>IF([2]Baskol!$J$794="","",[2]Baskol!$J$794)</f>
        <v/>
      </c>
      <c r="AB791">
        <f>IF([2]Baskol!$K$794="","",[2]Baskol!$K$794)</f>
        <v/>
      </c>
      <c r="AC791">
        <f>IF([2]Baskol!$L$794="","",[2]Baskol!$L$794)</f>
        <v/>
      </c>
      <c r="AD791">
        <f>IF([2]Baskol!$N$794="","",[2]Baskol!$N$794)</f>
        <v/>
      </c>
      <c r="AE791">
        <f>IF([2]Baskol!$O$794="","",[2]Baskol!$O$794)</f>
        <v/>
      </c>
      <c r="AG791">
        <f>IF([3]Entry!$C$794="","",[3]Entry!$C$794)</f>
        <v/>
      </c>
      <c r="AH791">
        <f>IF([3]Entry!$D$794="","",[3]Entry!$D$794)</f>
        <v/>
      </c>
      <c r="AI791">
        <f>IF([3]Entry!$E$794="","",[3]Entry!$E$794)</f>
        <v/>
      </c>
      <c r="AJ791">
        <f>IF([3]Entry!$G$794="","",[3]Entry!$G$794)</f>
        <v/>
      </c>
      <c r="AK791">
        <f>IF([3]Entry!$K$794="","",[3]Entry!$K$794)</f>
        <v/>
      </c>
      <c r="AL791">
        <f>IF([3]Entry!$L$794="","",[3]Entry!$L$794)</f>
        <v/>
      </c>
      <c r="AM791">
        <f>IF([3]Entry!$M$794="","",[3]Entry!$M$794)</f>
        <v/>
      </c>
      <c r="AN791">
        <f>IF([3]Entry!$N$794="","",[3]Entry!$N$794)</f>
        <v/>
      </c>
      <c r="AO791">
        <f>IF([3]Entry!$R$794="","",[3]Entry!$R$794)</f>
        <v/>
      </c>
    </row>
    <row r="792">
      <c r="U792">
        <f>IF([2]Baskol!$B$795="","",[2]Baskol!$B$795)</f>
        <v/>
      </c>
      <c r="V792">
        <f>IF([2]Baskol!$C$795="","",[2]Baskol!$C$795)</f>
        <v/>
      </c>
      <c r="W792">
        <f>IF([2]Baskol!$D$795="","",[2]Baskol!$D$795)</f>
        <v/>
      </c>
      <c r="X792">
        <f>IF([2]Baskol!$E$795="","",[2]Baskol!$E$795)</f>
        <v/>
      </c>
      <c r="Y792">
        <f>IF([2]Baskol!$G$795="","",[2]Baskol!$G$795)</f>
        <v/>
      </c>
      <c r="Z792">
        <f>IF([2]Baskol!$I$795="","",[2]Baskol!$I$795)</f>
        <v/>
      </c>
      <c r="AA792">
        <f>IF([2]Baskol!$J$795="","",[2]Baskol!$J$795)</f>
        <v/>
      </c>
      <c r="AB792">
        <f>IF([2]Baskol!$K$795="","",[2]Baskol!$K$795)</f>
        <v/>
      </c>
      <c r="AC792">
        <f>IF([2]Baskol!$L$795="","",[2]Baskol!$L$795)</f>
        <v/>
      </c>
      <c r="AD792">
        <f>IF([2]Baskol!$N$795="","",[2]Baskol!$N$795)</f>
        <v/>
      </c>
      <c r="AE792">
        <f>IF([2]Baskol!$O$795="","",[2]Baskol!$O$795)</f>
        <v/>
      </c>
      <c r="AG792">
        <f>IF([3]Entry!$C$795="","",[3]Entry!$C$795)</f>
        <v/>
      </c>
      <c r="AH792">
        <f>IF([3]Entry!$D$795="","",[3]Entry!$D$795)</f>
        <v/>
      </c>
      <c r="AI792">
        <f>IF([3]Entry!$E$795="","",[3]Entry!$E$795)</f>
        <v/>
      </c>
      <c r="AJ792">
        <f>IF([3]Entry!$G$795="","",[3]Entry!$G$795)</f>
        <v/>
      </c>
      <c r="AK792">
        <f>IF([3]Entry!$K$795="","",[3]Entry!$K$795)</f>
        <v/>
      </c>
      <c r="AL792">
        <f>IF([3]Entry!$L$795="","",[3]Entry!$L$795)</f>
        <v/>
      </c>
      <c r="AM792">
        <f>IF([3]Entry!$M$795="","",[3]Entry!$M$795)</f>
        <v/>
      </c>
      <c r="AN792">
        <f>IF([3]Entry!$N$795="","",[3]Entry!$N$795)</f>
        <v/>
      </c>
      <c r="AO792">
        <f>IF([3]Entry!$R$795="","",[3]Entry!$R$795)</f>
        <v/>
      </c>
    </row>
    <row r="793">
      <c r="U793">
        <f>IF([2]Baskol!$B$796="","",[2]Baskol!$B$796)</f>
        <v/>
      </c>
      <c r="V793">
        <f>IF([2]Baskol!$C$796="","",[2]Baskol!$C$796)</f>
        <v/>
      </c>
      <c r="W793">
        <f>IF([2]Baskol!$D$796="","",[2]Baskol!$D$796)</f>
        <v/>
      </c>
      <c r="X793">
        <f>IF([2]Baskol!$E$796="","",[2]Baskol!$E$796)</f>
        <v/>
      </c>
      <c r="Y793">
        <f>IF([2]Baskol!$G$796="","",[2]Baskol!$G$796)</f>
        <v/>
      </c>
      <c r="Z793">
        <f>IF([2]Baskol!$I$796="","",[2]Baskol!$I$796)</f>
        <v/>
      </c>
      <c r="AA793">
        <f>IF([2]Baskol!$J$796="","",[2]Baskol!$J$796)</f>
        <v/>
      </c>
      <c r="AB793">
        <f>IF([2]Baskol!$K$796="","",[2]Baskol!$K$796)</f>
        <v/>
      </c>
      <c r="AC793">
        <f>IF([2]Baskol!$L$796="","",[2]Baskol!$L$796)</f>
        <v/>
      </c>
      <c r="AD793">
        <f>IF([2]Baskol!$N$796="","",[2]Baskol!$N$796)</f>
        <v/>
      </c>
      <c r="AE793">
        <f>IF([2]Baskol!$O$796="","",[2]Baskol!$O$796)</f>
        <v/>
      </c>
      <c r="AG793">
        <f>IF([3]Entry!$C$796="","",[3]Entry!$C$796)</f>
        <v/>
      </c>
      <c r="AH793">
        <f>IF([3]Entry!$D$796="","",[3]Entry!$D$796)</f>
        <v/>
      </c>
      <c r="AI793">
        <f>IF([3]Entry!$E$796="","",[3]Entry!$E$796)</f>
        <v/>
      </c>
      <c r="AJ793">
        <f>IF([3]Entry!$G$796="","",[3]Entry!$G$796)</f>
        <v/>
      </c>
      <c r="AK793">
        <f>IF([3]Entry!$K$796="","",[3]Entry!$K$796)</f>
        <v/>
      </c>
      <c r="AL793">
        <f>IF([3]Entry!$L$796="","",[3]Entry!$L$796)</f>
        <v/>
      </c>
      <c r="AM793">
        <f>IF([3]Entry!$M$796="","",[3]Entry!$M$796)</f>
        <v/>
      </c>
      <c r="AN793">
        <f>IF([3]Entry!$N$796="","",[3]Entry!$N$796)</f>
        <v/>
      </c>
      <c r="AO793">
        <f>IF([3]Entry!$R$796="","",[3]Entry!$R$796)</f>
        <v/>
      </c>
    </row>
    <row r="794">
      <c r="U794">
        <f>IF([2]Baskol!$B$797="","",[2]Baskol!$B$797)</f>
        <v/>
      </c>
      <c r="V794">
        <f>IF([2]Baskol!$C$797="","",[2]Baskol!$C$797)</f>
        <v/>
      </c>
      <c r="W794">
        <f>IF([2]Baskol!$D$797="","",[2]Baskol!$D$797)</f>
        <v/>
      </c>
      <c r="X794">
        <f>IF([2]Baskol!$E$797="","",[2]Baskol!$E$797)</f>
        <v/>
      </c>
      <c r="Y794">
        <f>IF([2]Baskol!$G$797="","",[2]Baskol!$G$797)</f>
        <v/>
      </c>
      <c r="Z794">
        <f>IF([2]Baskol!$I$797="","",[2]Baskol!$I$797)</f>
        <v/>
      </c>
      <c r="AA794">
        <f>IF([2]Baskol!$J$797="","",[2]Baskol!$J$797)</f>
        <v/>
      </c>
      <c r="AB794">
        <f>IF([2]Baskol!$K$797="","",[2]Baskol!$K$797)</f>
        <v/>
      </c>
      <c r="AC794">
        <f>IF([2]Baskol!$L$797="","",[2]Baskol!$L$797)</f>
        <v/>
      </c>
      <c r="AD794">
        <f>IF([2]Baskol!$N$797="","",[2]Baskol!$N$797)</f>
        <v/>
      </c>
      <c r="AE794">
        <f>IF([2]Baskol!$O$797="","",[2]Baskol!$O$797)</f>
        <v/>
      </c>
      <c r="AG794">
        <f>IF([3]Entry!$C$797="","",[3]Entry!$C$797)</f>
        <v/>
      </c>
      <c r="AH794">
        <f>IF([3]Entry!$D$797="","",[3]Entry!$D$797)</f>
        <v/>
      </c>
      <c r="AI794">
        <f>IF([3]Entry!$E$797="","",[3]Entry!$E$797)</f>
        <v/>
      </c>
      <c r="AJ794">
        <f>IF([3]Entry!$G$797="","",[3]Entry!$G$797)</f>
        <v/>
      </c>
      <c r="AK794">
        <f>IF([3]Entry!$K$797="","",[3]Entry!$K$797)</f>
        <v/>
      </c>
      <c r="AL794">
        <f>IF([3]Entry!$L$797="","",[3]Entry!$L$797)</f>
        <v/>
      </c>
      <c r="AM794">
        <f>IF([3]Entry!$M$797="","",[3]Entry!$M$797)</f>
        <v/>
      </c>
      <c r="AN794">
        <f>IF([3]Entry!$N$797="","",[3]Entry!$N$797)</f>
        <v/>
      </c>
      <c r="AO794">
        <f>IF([3]Entry!$R$797="","",[3]Entry!$R$797)</f>
        <v/>
      </c>
    </row>
    <row r="795">
      <c r="U795">
        <f>IF([2]Baskol!$B$798="","",[2]Baskol!$B$798)</f>
        <v/>
      </c>
      <c r="V795">
        <f>IF([2]Baskol!$C$798="","",[2]Baskol!$C$798)</f>
        <v/>
      </c>
      <c r="W795">
        <f>IF([2]Baskol!$D$798="","",[2]Baskol!$D$798)</f>
        <v/>
      </c>
      <c r="X795">
        <f>IF([2]Baskol!$E$798="","",[2]Baskol!$E$798)</f>
        <v/>
      </c>
      <c r="Y795">
        <f>IF([2]Baskol!$G$798="","",[2]Baskol!$G$798)</f>
        <v/>
      </c>
      <c r="Z795">
        <f>IF([2]Baskol!$I$798="","",[2]Baskol!$I$798)</f>
        <v/>
      </c>
      <c r="AA795">
        <f>IF([2]Baskol!$J$798="","",[2]Baskol!$J$798)</f>
        <v/>
      </c>
      <c r="AB795">
        <f>IF([2]Baskol!$K$798="","",[2]Baskol!$K$798)</f>
        <v/>
      </c>
      <c r="AC795">
        <f>IF([2]Baskol!$L$798="","",[2]Baskol!$L$798)</f>
        <v/>
      </c>
      <c r="AD795">
        <f>IF([2]Baskol!$N$798="","",[2]Baskol!$N$798)</f>
        <v/>
      </c>
      <c r="AE795">
        <f>IF([2]Baskol!$O$798="","",[2]Baskol!$O$798)</f>
        <v/>
      </c>
      <c r="AG795">
        <f>IF([3]Entry!$C$798="","",[3]Entry!$C$798)</f>
        <v/>
      </c>
      <c r="AH795">
        <f>IF([3]Entry!$D$798="","",[3]Entry!$D$798)</f>
        <v/>
      </c>
      <c r="AI795">
        <f>IF([3]Entry!$E$798="","",[3]Entry!$E$798)</f>
        <v/>
      </c>
      <c r="AJ795">
        <f>IF([3]Entry!$G$798="","",[3]Entry!$G$798)</f>
        <v/>
      </c>
      <c r="AK795">
        <f>IF([3]Entry!$K$798="","",[3]Entry!$K$798)</f>
        <v/>
      </c>
      <c r="AL795">
        <f>IF([3]Entry!$L$798="","",[3]Entry!$L$798)</f>
        <v/>
      </c>
      <c r="AM795">
        <f>IF([3]Entry!$M$798="","",[3]Entry!$M$798)</f>
        <v/>
      </c>
      <c r="AN795">
        <f>IF([3]Entry!$N$798="","",[3]Entry!$N$798)</f>
        <v/>
      </c>
      <c r="AO795">
        <f>IF([3]Entry!$R$798="","",[3]Entry!$R$798)</f>
        <v/>
      </c>
    </row>
    <row r="796">
      <c r="U796">
        <f>IF([2]Baskol!$B$799="","",[2]Baskol!$B$799)</f>
        <v/>
      </c>
      <c r="V796">
        <f>IF([2]Baskol!$C$799="","",[2]Baskol!$C$799)</f>
        <v/>
      </c>
      <c r="W796">
        <f>IF([2]Baskol!$D$799="","",[2]Baskol!$D$799)</f>
        <v/>
      </c>
      <c r="X796">
        <f>IF([2]Baskol!$E$799="","",[2]Baskol!$E$799)</f>
        <v/>
      </c>
      <c r="Y796">
        <f>IF([2]Baskol!$G$799="","",[2]Baskol!$G$799)</f>
        <v/>
      </c>
      <c r="Z796">
        <f>IF([2]Baskol!$I$799="","",[2]Baskol!$I$799)</f>
        <v/>
      </c>
      <c r="AA796">
        <f>IF([2]Baskol!$J$799="","",[2]Baskol!$J$799)</f>
        <v/>
      </c>
      <c r="AB796">
        <f>IF([2]Baskol!$K$799="","",[2]Baskol!$K$799)</f>
        <v/>
      </c>
      <c r="AC796">
        <f>IF([2]Baskol!$L$799="","",[2]Baskol!$L$799)</f>
        <v/>
      </c>
      <c r="AD796">
        <f>IF([2]Baskol!$N$799="","",[2]Baskol!$N$799)</f>
        <v/>
      </c>
      <c r="AE796">
        <f>IF([2]Baskol!$O$799="","",[2]Baskol!$O$799)</f>
        <v/>
      </c>
      <c r="AG796">
        <f>IF([3]Entry!$C$799="","",[3]Entry!$C$799)</f>
        <v/>
      </c>
      <c r="AH796">
        <f>IF([3]Entry!$D$799="","",[3]Entry!$D$799)</f>
        <v/>
      </c>
      <c r="AI796">
        <f>IF([3]Entry!$E$799="","",[3]Entry!$E$799)</f>
        <v/>
      </c>
      <c r="AJ796">
        <f>IF([3]Entry!$G$799="","",[3]Entry!$G$799)</f>
        <v/>
      </c>
      <c r="AK796">
        <f>IF([3]Entry!$K$799="","",[3]Entry!$K$799)</f>
        <v/>
      </c>
      <c r="AL796">
        <f>IF([3]Entry!$L$799="","",[3]Entry!$L$799)</f>
        <v/>
      </c>
      <c r="AM796">
        <f>IF([3]Entry!$M$799="","",[3]Entry!$M$799)</f>
        <v/>
      </c>
      <c r="AN796">
        <f>IF([3]Entry!$N$799="","",[3]Entry!$N$799)</f>
        <v/>
      </c>
      <c r="AO796">
        <f>IF([3]Entry!$R$799="","",[3]Entry!$R$799)</f>
        <v/>
      </c>
    </row>
    <row r="797">
      <c r="U797">
        <f>IF([2]Baskol!$B$800="","",[2]Baskol!$B$800)</f>
        <v/>
      </c>
      <c r="V797">
        <f>IF([2]Baskol!$C$800="","",[2]Baskol!$C$800)</f>
        <v/>
      </c>
      <c r="W797">
        <f>IF([2]Baskol!$D$800="","",[2]Baskol!$D$800)</f>
        <v/>
      </c>
      <c r="X797">
        <f>IF([2]Baskol!$E$800="","",[2]Baskol!$E$800)</f>
        <v/>
      </c>
      <c r="Y797">
        <f>IF([2]Baskol!$G$800="","",[2]Baskol!$G$800)</f>
        <v/>
      </c>
      <c r="Z797">
        <f>IF([2]Baskol!$I$800="","",[2]Baskol!$I$800)</f>
        <v/>
      </c>
      <c r="AA797">
        <f>IF([2]Baskol!$J$800="","",[2]Baskol!$J$800)</f>
        <v/>
      </c>
      <c r="AB797">
        <f>IF([2]Baskol!$K$800="","",[2]Baskol!$K$800)</f>
        <v/>
      </c>
      <c r="AC797">
        <f>IF([2]Baskol!$L$800="","",[2]Baskol!$L$800)</f>
        <v/>
      </c>
      <c r="AD797">
        <f>IF([2]Baskol!$N$800="","",[2]Baskol!$N$800)</f>
        <v/>
      </c>
      <c r="AE797">
        <f>IF([2]Baskol!$O$800="","",[2]Baskol!$O$800)</f>
        <v/>
      </c>
      <c r="AG797">
        <f>IF([3]Entry!$C$800="","",[3]Entry!$C$800)</f>
        <v/>
      </c>
      <c r="AH797">
        <f>IF([3]Entry!$D$800="","",[3]Entry!$D$800)</f>
        <v/>
      </c>
      <c r="AI797">
        <f>IF([3]Entry!$E$800="","",[3]Entry!$E$800)</f>
        <v/>
      </c>
      <c r="AJ797">
        <f>IF([3]Entry!$G$800="","",[3]Entry!$G$800)</f>
        <v/>
      </c>
      <c r="AK797">
        <f>IF([3]Entry!$K$800="","",[3]Entry!$K$800)</f>
        <v/>
      </c>
      <c r="AL797">
        <f>IF([3]Entry!$L$800="","",[3]Entry!$L$800)</f>
        <v/>
      </c>
      <c r="AM797">
        <f>IF([3]Entry!$M$800="","",[3]Entry!$M$800)</f>
        <v/>
      </c>
      <c r="AN797">
        <f>IF([3]Entry!$N$800="","",[3]Entry!$N$800)</f>
        <v/>
      </c>
      <c r="AO797">
        <f>IF([3]Entry!$R$800="","",[3]Entry!$R$800)</f>
        <v/>
      </c>
    </row>
    <row r="798">
      <c r="U798">
        <f>IF([2]Baskol!$B$801="","",[2]Baskol!$B$801)</f>
        <v/>
      </c>
      <c r="V798">
        <f>IF([2]Baskol!$C$801="","",[2]Baskol!$C$801)</f>
        <v/>
      </c>
      <c r="W798">
        <f>IF([2]Baskol!$D$801="","",[2]Baskol!$D$801)</f>
        <v/>
      </c>
      <c r="X798">
        <f>IF([2]Baskol!$E$801="","",[2]Baskol!$E$801)</f>
        <v/>
      </c>
      <c r="Y798">
        <f>IF([2]Baskol!$G$801="","",[2]Baskol!$G$801)</f>
        <v/>
      </c>
      <c r="Z798">
        <f>IF([2]Baskol!$I$801="","",[2]Baskol!$I$801)</f>
        <v/>
      </c>
      <c r="AA798">
        <f>IF([2]Baskol!$J$801="","",[2]Baskol!$J$801)</f>
        <v/>
      </c>
      <c r="AB798">
        <f>IF([2]Baskol!$K$801="","",[2]Baskol!$K$801)</f>
        <v/>
      </c>
      <c r="AC798">
        <f>IF([2]Baskol!$L$801="","",[2]Baskol!$L$801)</f>
        <v/>
      </c>
      <c r="AD798">
        <f>IF([2]Baskol!$N$801="","",[2]Baskol!$N$801)</f>
        <v/>
      </c>
      <c r="AE798">
        <f>IF([2]Baskol!$O$801="","",[2]Baskol!$O$801)</f>
        <v/>
      </c>
      <c r="AG798">
        <f>IF([3]Entry!$C$801="","",[3]Entry!$C$801)</f>
        <v/>
      </c>
      <c r="AH798">
        <f>IF([3]Entry!$D$801="","",[3]Entry!$D$801)</f>
        <v/>
      </c>
      <c r="AI798">
        <f>IF([3]Entry!$E$801="","",[3]Entry!$E$801)</f>
        <v/>
      </c>
      <c r="AJ798">
        <f>IF([3]Entry!$G$801="","",[3]Entry!$G$801)</f>
        <v/>
      </c>
      <c r="AK798">
        <f>IF([3]Entry!$K$801="","",[3]Entry!$K$801)</f>
        <v/>
      </c>
      <c r="AL798">
        <f>IF([3]Entry!$L$801="","",[3]Entry!$L$801)</f>
        <v/>
      </c>
      <c r="AM798">
        <f>IF([3]Entry!$M$801="","",[3]Entry!$M$801)</f>
        <v/>
      </c>
      <c r="AN798">
        <f>IF([3]Entry!$N$801="","",[3]Entry!$N$801)</f>
        <v/>
      </c>
      <c r="AO798">
        <f>IF([3]Entry!$R$801="","",[3]Entry!$R$801)</f>
        <v/>
      </c>
    </row>
    <row r="799">
      <c r="U799">
        <f>IF([2]Baskol!$B$802="","",[2]Baskol!$B$802)</f>
        <v/>
      </c>
      <c r="V799">
        <f>IF([2]Baskol!$C$802="","",[2]Baskol!$C$802)</f>
        <v/>
      </c>
      <c r="W799">
        <f>IF([2]Baskol!$D$802="","",[2]Baskol!$D$802)</f>
        <v/>
      </c>
      <c r="X799">
        <f>IF([2]Baskol!$E$802="","",[2]Baskol!$E$802)</f>
        <v/>
      </c>
      <c r="Y799">
        <f>IF([2]Baskol!$G$802="","",[2]Baskol!$G$802)</f>
        <v/>
      </c>
      <c r="Z799">
        <f>IF([2]Baskol!$I$802="","",[2]Baskol!$I$802)</f>
        <v/>
      </c>
      <c r="AA799">
        <f>IF([2]Baskol!$J$802="","",[2]Baskol!$J$802)</f>
        <v/>
      </c>
      <c r="AB799">
        <f>IF([2]Baskol!$K$802="","",[2]Baskol!$K$802)</f>
        <v/>
      </c>
      <c r="AC799">
        <f>IF([2]Baskol!$L$802="","",[2]Baskol!$L$802)</f>
        <v/>
      </c>
      <c r="AD799">
        <f>IF([2]Baskol!$N$802="","",[2]Baskol!$N$802)</f>
        <v/>
      </c>
      <c r="AE799">
        <f>IF([2]Baskol!$O$802="","",[2]Baskol!$O$802)</f>
        <v/>
      </c>
      <c r="AG799">
        <f>IF([3]Entry!$C$802="","",[3]Entry!$C$802)</f>
        <v/>
      </c>
      <c r="AH799">
        <f>IF([3]Entry!$D$802="","",[3]Entry!$D$802)</f>
        <v/>
      </c>
      <c r="AI799">
        <f>IF([3]Entry!$E$802="","",[3]Entry!$E$802)</f>
        <v/>
      </c>
      <c r="AJ799">
        <f>IF([3]Entry!$G$802="","",[3]Entry!$G$802)</f>
        <v/>
      </c>
      <c r="AK799">
        <f>IF([3]Entry!$K$802="","",[3]Entry!$K$802)</f>
        <v/>
      </c>
      <c r="AL799">
        <f>IF([3]Entry!$L$802="","",[3]Entry!$L$802)</f>
        <v/>
      </c>
      <c r="AM799">
        <f>IF([3]Entry!$M$802="","",[3]Entry!$M$802)</f>
        <v/>
      </c>
      <c r="AN799">
        <f>IF([3]Entry!$N$802="","",[3]Entry!$N$802)</f>
        <v/>
      </c>
      <c r="AO799">
        <f>IF([3]Entry!$R$802="","",[3]Entry!$R$802)</f>
        <v/>
      </c>
    </row>
    <row r="800">
      <c r="U800">
        <f>IF([2]Baskol!$B$803="","",[2]Baskol!$B$803)</f>
        <v/>
      </c>
      <c r="V800">
        <f>IF([2]Baskol!$C$803="","",[2]Baskol!$C$803)</f>
        <v/>
      </c>
      <c r="W800">
        <f>IF([2]Baskol!$D$803="","",[2]Baskol!$D$803)</f>
        <v/>
      </c>
      <c r="X800">
        <f>IF([2]Baskol!$E$803="","",[2]Baskol!$E$803)</f>
        <v/>
      </c>
      <c r="Y800">
        <f>IF([2]Baskol!$G$803="","",[2]Baskol!$G$803)</f>
        <v/>
      </c>
      <c r="Z800">
        <f>IF([2]Baskol!$I$803="","",[2]Baskol!$I$803)</f>
        <v/>
      </c>
      <c r="AA800">
        <f>IF([2]Baskol!$J$803="","",[2]Baskol!$J$803)</f>
        <v/>
      </c>
      <c r="AB800">
        <f>IF([2]Baskol!$K$803="","",[2]Baskol!$K$803)</f>
        <v/>
      </c>
      <c r="AC800">
        <f>IF([2]Baskol!$L$803="","",[2]Baskol!$L$803)</f>
        <v/>
      </c>
      <c r="AD800">
        <f>IF([2]Baskol!$N$803="","",[2]Baskol!$N$803)</f>
        <v/>
      </c>
      <c r="AE800">
        <f>IF([2]Baskol!$O$803="","",[2]Baskol!$O$803)</f>
        <v/>
      </c>
      <c r="AG800">
        <f>IF([3]Entry!$C$803="","",[3]Entry!$C$803)</f>
        <v/>
      </c>
      <c r="AH800">
        <f>IF([3]Entry!$D$803="","",[3]Entry!$D$803)</f>
        <v/>
      </c>
      <c r="AI800">
        <f>IF([3]Entry!$E$803="","",[3]Entry!$E$803)</f>
        <v/>
      </c>
      <c r="AJ800">
        <f>IF([3]Entry!$G$803="","",[3]Entry!$G$803)</f>
        <v/>
      </c>
      <c r="AK800">
        <f>IF([3]Entry!$K$803="","",[3]Entry!$K$803)</f>
        <v/>
      </c>
      <c r="AL800">
        <f>IF([3]Entry!$L$803="","",[3]Entry!$L$803)</f>
        <v/>
      </c>
      <c r="AM800">
        <f>IF([3]Entry!$M$803="","",[3]Entry!$M$803)</f>
        <v/>
      </c>
      <c r="AN800">
        <f>IF([3]Entry!$N$803="","",[3]Entry!$N$803)</f>
        <v/>
      </c>
      <c r="AO800">
        <f>IF([3]Entry!$R$803="","",[3]Entry!$R$803)</f>
        <v/>
      </c>
    </row>
    <row r="801">
      <c r="U801">
        <f>IF([2]Baskol!$B$804="","",[2]Baskol!$B$804)</f>
        <v/>
      </c>
      <c r="V801">
        <f>IF([2]Baskol!$C$804="","",[2]Baskol!$C$804)</f>
        <v/>
      </c>
      <c r="W801">
        <f>IF([2]Baskol!$D$804="","",[2]Baskol!$D$804)</f>
        <v/>
      </c>
      <c r="X801">
        <f>IF([2]Baskol!$E$804="","",[2]Baskol!$E$804)</f>
        <v/>
      </c>
      <c r="Y801">
        <f>IF([2]Baskol!$G$804="","",[2]Baskol!$G$804)</f>
        <v/>
      </c>
      <c r="Z801">
        <f>IF([2]Baskol!$I$804="","",[2]Baskol!$I$804)</f>
        <v/>
      </c>
      <c r="AA801">
        <f>IF([2]Baskol!$J$804="","",[2]Baskol!$J$804)</f>
        <v/>
      </c>
      <c r="AB801">
        <f>IF([2]Baskol!$K$804="","",[2]Baskol!$K$804)</f>
        <v/>
      </c>
      <c r="AC801">
        <f>IF([2]Baskol!$L$804="","",[2]Baskol!$L$804)</f>
        <v/>
      </c>
      <c r="AD801">
        <f>IF([2]Baskol!$N$804="","",[2]Baskol!$N$804)</f>
        <v/>
      </c>
      <c r="AE801">
        <f>IF([2]Baskol!$O$804="","",[2]Baskol!$O$804)</f>
        <v/>
      </c>
      <c r="AG801">
        <f>IF([3]Entry!$C$804="","",[3]Entry!$C$804)</f>
        <v/>
      </c>
      <c r="AH801">
        <f>IF([3]Entry!$D$804="","",[3]Entry!$D$804)</f>
        <v/>
      </c>
      <c r="AI801">
        <f>IF([3]Entry!$E$804="","",[3]Entry!$E$804)</f>
        <v/>
      </c>
      <c r="AJ801">
        <f>IF([3]Entry!$G$804="","",[3]Entry!$G$804)</f>
        <v/>
      </c>
      <c r="AK801">
        <f>IF([3]Entry!$K$804="","",[3]Entry!$K$804)</f>
        <v/>
      </c>
      <c r="AL801">
        <f>IF([3]Entry!$L$804="","",[3]Entry!$L$804)</f>
        <v/>
      </c>
      <c r="AM801">
        <f>IF([3]Entry!$M$804="","",[3]Entry!$M$804)</f>
        <v/>
      </c>
      <c r="AN801">
        <f>IF([3]Entry!$N$804="","",[3]Entry!$N$804)</f>
        <v/>
      </c>
      <c r="AO801">
        <f>IF([3]Entry!$R$804="","",[3]Entry!$R$804)</f>
        <v/>
      </c>
    </row>
    <row r="802">
      <c r="U802">
        <f>IF([2]Baskol!$B$805="","",[2]Baskol!$B$805)</f>
        <v/>
      </c>
      <c r="V802">
        <f>IF([2]Baskol!$C$805="","",[2]Baskol!$C$805)</f>
        <v/>
      </c>
      <c r="W802">
        <f>IF([2]Baskol!$D$805="","",[2]Baskol!$D$805)</f>
        <v/>
      </c>
      <c r="X802">
        <f>IF([2]Baskol!$E$805="","",[2]Baskol!$E$805)</f>
        <v/>
      </c>
      <c r="Y802">
        <f>IF([2]Baskol!$G$805="","",[2]Baskol!$G$805)</f>
        <v/>
      </c>
      <c r="Z802">
        <f>IF([2]Baskol!$I$805="","",[2]Baskol!$I$805)</f>
        <v/>
      </c>
      <c r="AA802">
        <f>IF([2]Baskol!$J$805="","",[2]Baskol!$J$805)</f>
        <v/>
      </c>
      <c r="AB802">
        <f>IF([2]Baskol!$K$805="","",[2]Baskol!$K$805)</f>
        <v/>
      </c>
      <c r="AC802">
        <f>IF([2]Baskol!$L$805="","",[2]Baskol!$L$805)</f>
        <v/>
      </c>
      <c r="AD802">
        <f>IF([2]Baskol!$N$805="","",[2]Baskol!$N$805)</f>
        <v/>
      </c>
      <c r="AE802">
        <f>IF([2]Baskol!$O$805="","",[2]Baskol!$O$805)</f>
        <v/>
      </c>
      <c r="AG802">
        <f>IF([3]Entry!$C$805="","",[3]Entry!$C$805)</f>
        <v/>
      </c>
      <c r="AH802">
        <f>IF([3]Entry!$D$805="","",[3]Entry!$D$805)</f>
        <v/>
      </c>
      <c r="AI802">
        <f>IF([3]Entry!$E$805="","",[3]Entry!$E$805)</f>
        <v/>
      </c>
      <c r="AJ802">
        <f>IF([3]Entry!$G$805="","",[3]Entry!$G$805)</f>
        <v/>
      </c>
      <c r="AK802">
        <f>IF([3]Entry!$K$805="","",[3]Entry!$K$805)</f>
        <v/>
      </c>
      <c r="AL802">
        <f>IF([3]Entry!$L$805="","",[3]Entry!$L$805)</f>
        <v/>
      </c>
      <c r="AM802">
        <f>IF([3]Entry!$M$805="","",[3]Entry!$M$805)</f>
        <v/>
      </c>
      <c r="AN802">
        <f>IF([3]Entry!$N$805="","",[3]Entry!$N$805)</f>
        <v/>
      </c>
      <c r="AO802">
        <f>IF([3]Entry!$R$805="","",[3]Entry!$R$805)</f>
        <v/>
      </c>
    </row>
    <row r="803">
      <c r="U803">
        <f>IF([2]Baskol!$B$806="","",[2]Baskol!$B$806)</f>
        <v/>
      </c>
      <c r="V803">
        <f>IF([2]Baskol!$C$806="","",[2]Baskol!$C$806)</f>
        <v/>
      </c>
      <c r="W803">
        <f>IF([2]Baskol!$D$806="","",[2]Baskol!$D$806)</f>
        <v/>
      </c>
      <c r="X803">
        <f>IF([2]Baskol!$E$806="","",[2]Baskol!$E$806)</f>
        <v/>
      </c>
      <c r="Y803">
        <f>IF([2]Baskol!$G$806="","",[2]Baskol!$G$806)</f>
        <v/>
      </c>
      <c r="Z803">
        <f>IF([2]Baskol!$I$806="","",[2]Baskol!$I$806)</f>
        <v/>
      </c>
      <c r="AA803">
        <f>IF([2]Baskol!$J$806="","",[2]Baskol!$J$806)</f>
        <v/>
      </c>
      <c r="AB803">
        <f>IF([2]Baskol!$K$806="","",[2]Baskol!$K$806)</f>
        <v/>
      </c>
      <c r="AC803">
        <f>IF([2]Baskol!$L$806="","",[2]Baskol!$L$806)</f>
        <v/>
      </c>
      <c r="AD803">
        <f>IF([2]Baskol!$N$806="","",[2]Baskol!$N$806)</f>
        <v/>
      </c>
      <c r="AE803">
        <f>IF([2]Baskol!$O$806="","",[2]Baskol!$O$806)</f>
        <v/>
      </c>
      <c r="AG803">
        <f>IF([3]Entry!$C$806="","",[3]Entry!$C$806)</f>
        <v/>
      </c>
      <c r="AH803">
        <f>IF([3]Entry!$D$806="","",[3]Entry!$D$806)</f>
        <v/>
      </c>
      <c r="AI803">
        <f>IF([3]Entry!$E$806="","",[3]Entry!$E$806)</f>
        <v/>
      </c>
      <c r="AJ803">
        <f>IF([3]Entry!$G$806="","",[3]Entry!$G$806)</f>
        <v/>
      </c>
      <c r="AK803">
        <f>IF([3]Entry!$K$806="","",[3]Entry!$K$806)</f>
        <v/>
      </c>
      <c r="AL803">
        <f>IF([3]Entry!$L$806="","",[3]Entry!$L$806)</f>
        <v/>
      </c>
      <c r="AM803">
        <f>IF([3]Entry!$M$806="","",[3]Entry!$M$806)</f>
        <v/>
      </c>
      <c r="AN803">
        <f>IF([3]Entry!$N$806="","",[3]Entry!$N$806)</f>
        <v/>
      </c>
      <c r="AO803">
        <f>IF([3]Entry!$R$806="","",[3]Entry!$R$806)</f>
        <v/>
      </c>
    </row>
    <row r="804">
      <c r="U804">
        <f>IF([2]Baskol!$B$807="","",[2]Baskol!$B$807)</f>
        <v/>
      </c>
      <c r="V804">
        <f>IF([2]Baskol!$C$807="","",[2]Baskol!$C$807)</f>
        <v/>
      </c>
      <c r="W804">
        <f>IF([2]Baskol!$D$807="","",[2]Baskol!$D$807)</f>
        <v/>
      </c>
      <c r="X804">
        <f>IF([2]Baskol!$E$807="","",[2]Baskol!$E$807)</f>
        <v/>
      </c>
      <c r="Y804">
        <f>IF([2]Baskol!$G$807="","",[2]Baskol!$G$807)</f>
        <v/>
      </c>
      <c r="Z804">
        <f>IF([2]Baskol!$I$807="","",[2]Baskol!$I$807)</f>
        <v/>
      </c>
      <c r="AA804">
        <f>IF([2]Baskol!$J$807="","",[2]Baskol!$J$807)</f>
        <v/>
      </c>
      <c r="AB804">
        <f>IF([2]Baskol!$K$807="","",[2]Baskol!$K$807)</f>
        <v/>
      </c>
      <c r="AC804">
        <f>IF([2]Baskol!$L$807="","",[2]Baskol!$L$807)</f>
        <v/>
      </c>
      <c r="AD804">
        <f>IF([2]Baskol!$N$807="","",[2]Baskol!$N$807)</f>
        <v/>
      </c>
      <c r="AE804">
        <f>IF([2]Baskol!$O$807="","",[2]Baskol!$O$807)</f>
        <v/>
      </c>
      <c r="AG804">
        <f>IF([3]Entry!$C$807="","",[3]Entry!$C$807)</f>
        <v/>
      </c>
      <c r="AH804">
        <f>IF([3]Entry!$D$807="","",[3]Entry!$D$807)</f>
        <v/>
      </c>
      <c r="AI804">
        <f>IF([3]Entry!$E$807="","",[3]Entry!$E$807)</f>
        <v/>
      </c>
      <c r="AJ804">
        <f>IF([3]Entry!$G$807="","",[3]Entry!$G$807)</f>
        <v/>
      </c>
      <c r="AK804">
        <f>IF([3]Entry!$K$807="","",[3]Entry!$K$807)</f>
        <v/>
      </c>
      <c r="AL804">
        <f>IF([3]Entry!$L$807="","",[3]Entry!$L$807)</f>
        <v/>
      </c>
      <c r="AM804">
        <f>IF([3]Entry!$M$807="","",[3]Entry!$M$807)</f>
        <v/>
      </c>
      <c r="AN804">
        <f>IF([3]Entry!$N$807="","",[3]Entry!$N$807)</f>
        <v/>
      </c>
      <c r="AO804">
        <f>IF([3]Entry!$R$807="","",[3]Entry!$R$807)</f>
        <v/>
      </c>
    </row>
    <row r="805">
      <c r="U805">
        <f>IF([2]Baskol!$B$808="","",[2]Baskol!$B$808)</f>
        <v/>
      </c>
      <c r="V805">
        <f>IF([2]Baskol!$C$808="","",[2]Baskol!$C$808)</f>
        <v/>
      </c>
      <c r="W805">
        <f>IF([2]Baskol!$D$808="","",[2]Baskol!$D$808)</f>
        <v/>
      </c>
      <c r="X805">
        <f>IF([2]Baskol!$E$808="","",[2]Baskol!$E$808)</f>
        <v/>
      </c>
      <c r="Y805">
        <f>IF([2]Baskol!$G$808="","",[2]Baskol!$G$808)</f>
        <v/>
      </c>
      <c r="Z805">
        <f>IF([2]Baskol!$I$808="","",[2]Baskol!$I$808)</f>
        <v/>
      </c>
      <c r="AA805">
        <f>IF([2]Baskol!$J$808="","",[2]Baskol!$J$808)</f>
        <v/>
      </c>
      <c r="AB805">
        <f>IF([2]Baskol!$K$808="","",[2]Baskol!$K$808)</f>
        <v/>
      </c>
      <c r="AC805">
        <f>IF([2]Baskol!$L$808="","",[2]Baskol!$L$808)</f>
        <v/>
      </c>
      <c r="AD805">
        <f>IF([2]Baskol!$N$808="","",[2]Baskol!$N$808)</f>
        <v/>
      </c>
      <c r="AE805">
        <f>IF([2]Baskol!$O$808="","",[2]Baskol!$O$808)</f>
        <v/>
      </c>
      <c r="AG805">
        <f>IF([3]Entry!$C$808="","",[3]Entry!$C$808)</f>
        <v/>
      </c>
      <c r="AH805">
        <f>IF([3]Entry!$D$808="","",[3]Entry!$D$808)</f>
        <v/>
      </c>
      <c r="AI805">
        <f>IF([3]Entry!$E$808="","",[3]Entry!$E$808)</f>
        <v/>
      </c>
      <c r="AJ805">
        <f>IF([3]Entry!$G$808="","",[3]Entry!$G$808)</f>
        <v/>
      </c>
      <c r="AK805">
        <f>IF([3]Entry!$K$808="","",[3]Entry!$K$808)</f>
        <v/>
      </c>
      <c r="AL805">
        <f>IF([3]Entry!$L$808="","",[3]Entry!$L$808)</f>
        <v/>
      </c>
      <c r="AM805">
        <f>IF([3]Entry!$M$808="","",[3]Entry!$M$808)</f>
        <v/>
      </c>
      <c r="AN805">
        <f>IF([3]Entry!$N$808="","",[3]Entry!$N$808)</f>
        <v/>
      </c>
      <c r="AO805">
        <f>IF([3]Entry!$R$808="","",[3]Entry!$R$808)</f>
        <v/>
      </c>
    </row>
    <row r="806">
      <c r="U806">
        <f>IF([2]Baskol!$B$809="","",[2]Baskol!$B$809)</f>
        <v/>
      </c>
      <c r="V806">
        <f>IF([2]Baskol!$C$809="","",[2]Baskol!$C$809)</f>
        <v/>
      </c>
      <c r="W806">
        <f>IF([2]Baskol!$D$809="","",[2]Baskol!$D$809)</f>
        <v/>
      </c>
      <c r="X806">
        <f>IF([2]Baskol!$E$809="","",[2]Baskol!$E$809)</f>
        <v/>
      </c>
      <c r="Y806">
        <f>IF([2]Baskol!$G$809="","",[2]Baskol!$G$809)</f>
        <v/>
      </c>
      <c r="Z806">
        <f>IF([2]Baskol!$I$809="","",[2]Baskol!$I$809)</f>
        <v/>
      </c>
      <c r="AA806">
        <f>IF([2]Baskol!$J$809="","",[2]Baskol!$J$809)</f>
        <v/>
      </c>
      <c r="AB806">
        <f>IF([2]Baskol!$K$809="","",[2]Baskol!$K$809)</f>
        <v/>
      </c>
      <c r="AC806">
        <f>IF([2]Baskol!$L$809="","",[2]Baskol!$L$809)</f>
        <v/>
      </c>
      <c r="AD806">
        <f>IF([2]Baskol!$N$809="","",[2]Baskol!$N$809)</f>
        <v/>
      </c>
      <c r="AE806">
        <f>IF([2]Baskol!$O$809="","",[2]Baskol!$O$809)</f>
        <v/>
      </c>
      <c r="AG806">
        <f>IF([3]Entry!$C$809="","",[3]Entry!$C$809)</f>
        <v/>
      </c>
      <c r="AH806">
        <f>IF([3]Entry!$D$809="","",[3]Entry!$D$809)</f>
        <v/>
      </c>
      <c r="AI806">
        <f>IF([3]Entry!$E$809="","",[3]Entry!$E$809)</f>
        <v/>
      </c>
      <c r="AJ806">
        <f>IF([3]Entry!$G$809="","",[3]Entry!$G$809)</f>
        <v/>
      </c>
      <c r="AK806">
        <f>IF([3]Entry!$K$809="","",[3]Entry!$K$809)</f>
        <v/>
      </c>
      <c r="AL806">
        <f>IF([3]Entry!$L$809="","",[3]Entry!$L$809)</f>
        <v/>
      </c>
      <c r="AM806">
        <f>IF([3]Entry!$M$809="","",[3]Entry!$M$809)</f>
        <v/>
      </c>
      <c r="AN806">
        <f>IF([3]Entry!$N$809="","",[3]Entry!$N$809)</f>
        <v/>
      </c>
      <c r="AO806">
        <f>IF([3]Entry!$R$809="","",[3]Entry!$R$809)</f>
        <v/>
      </c>
    </row>
    <row r="807">
      <c r="U807">
        <f>IF([2]Baskol!$B$810="","",[2]Baskol!$B$810)</f>
        <v/>
      </c>
      <c r="V807">
        <f>IF([2]Baskol!$C$810="","",[2]Baskol!$C$810)</f>
        <v/>
      </c>
      <c r="W807">
        <f>IF([2]Baskol!$D$810="","",[2]Baskol!$D$810)</f>
        <v/>
      </c>
      <c r="X807">
        <f>IF([2]Baskol!$E$810="","",[2]Baskol!$E$810)</f>
        <v/>
      </c>
      <c r="Y807">
        <f>IF([2]Baskol!$G$810="","",[2]Baskol!$G$810)</f>
        <v/>
      </c>
      <c r="Z807">
        <f>IF([2]Baskol!$I$810="","",[2]Baskol!$I$810)</f>
        <v/>
      </c>
      <c r="AA807">
        <f>IF([2]Baskol!$J$810="","",[2]Baskol!$J$810)</f>
        <v/>
      </c>
      <c r="AB807">
        <f>IF([2]Baskol!$K$810="","",[2]Baskol!$K$810)</f>
        <v/>
      </c>
      <c r="AC807">
        <f>IF([2]Baskol!$L$810="","",[2]Baskol!$L$810)</f>
        <v/>
      </c>
      <c r="AD807">
        <f>IF([2]Baskol!$N$810="","",[2]Baskol!$N$810)</f>
        <v/>
      </c>
      <c r="AE807">
        <f>IF([2]Baskol!$O$810="","",[2]Baskol!$O$810)</f>
        <v/>
      </c>
      <c r="AG807">
        <f>IF([3]Entry!$C$810="","",[3]Entry!$C$810)</f>
        <v/>
      </c>
      <c r="AH807">
        <f>IF([3]Entry!$D$810="","",[3]Entry!$D$810)</f>
        <v/>
      </c>
      <c r="AI807">
        <f>IF([3]Entry!$E$810="","",[3]Entry!$E$810)</f>
        <v/>
      </c>
      <c r="AJ807">
        <f>IF([3]Entry!$G$810="","",[3]Entry!$G$810)</f>
        <v/>
      </c>
      <c r="AK807">
        <f>IF([3]Entry!$K$810="","",[3]Entry!$K$810)</f>
        <v/>
      </c>
      <c r="AL807">
        <f>IF([3]Entry!$L$810="","",[3]Entry!$L$810)</f>
        <v/>
      </c>
      <c r="AM807">
        <f>IF([3]Entry!$M$810="","",[3]Entry!$M$810)</f>
        <v/>
      </c>
      <c r="AN807">
        <f>IF([3]Entry!$N$810="","",[3]Entry!$N$810)</f>
        <v/>
      </c>
      <c r="AO807">
        <f>IF([3]Entry!$R$810="","",[3]Entry!$R$810)</f>
        <v/>
      </c>
    </row>
    <row r="808">
      <c r="U808">
        <f>IF([2]Baskol!$B$811="","",[2]Baskol!$B$811)</f>
        <v/>
      </c>
      <c r="V808">
        <f>IF([2]Baskol!$C$811="","",[2]Baskol!$C$811)</f>
        <v/>
      </c>
      <c r="W808">
        <f>IF([2]Baskol!$D$811="","",[2]Baskol!$D$811)</f>
        <v/>
      </c>
      <c r="X808">
        <f>IF([2]Baskol!$E$811="","",[2]Baskol!$E$811)</f>
        <v/>
      </c>
      <c r="Y808">
        <f>IF([2]Baskol!$G$811="","",[2]Baskol!$G$811)</f>
        <v/>
      </c>
      <c r="Z808">
        <f>IF([2]Baskol!$I$811="","",[2]Baskol!$I$811)</f>
        <v/>
      </c>
      <c r="AA808">
        <f>IF([2]Baskol!$J$811="","",[2]Baskol!$J$811)</f>
        <v/>
      </c>
      <c r="AB808">
        <f>IF([2]Baskol!$K$811="","",[2]Baskol!$K$811)</f>
        <v/>
      </c>
      <c r="AC808">
        <f>IF([2]Baskol!$L$811="","",[2]Baskol!$L$811)</f>
        <v/>
      </c>
      <c r="AD808">
        <f>IF([2]Baskol!$N$811="","",[2]Baskol!$N$811)</f>
        <v/>
      </c>
      <c r="AE808">
        <f>IF([2]Baskol!$O$811="","",[2]Baskol!$O$811)</f>
        <v/>
      </c>
      <c r="AG808">
        <f>IF([3]Entry!$C$811="","",[3]Entry!$C$811)</f>
        <v/>
      </c>
      <c r="AH808">
        <f>IF([3]Entry!$D$811="","",[3]Entry!$D$811)</f>
        <v/>
      </c>
      <c r="AI808">
        <f>IF([3]Entry!$E$811="","",[3]Entry!$E$811)</f>
        <v/>
      </c>
      <c r="AJ808">
        <f>IF([3]Entry!$G$811="","",[3]Entry!$G$811)</f>
        <v/>
      </c>
      <c r="AK808">
        <f>IF([3]Entry!$K$811="","",[3]Entry!$K$811)</f>
        <v/>
      </c>
      <c r="AL808">
        <f>IF([3]Entry!$L$811="","",[3]Entry!$L$811)</f>
        <v/>
      </c>
      <c r="AM808">
        <f>IF([3]Entry!$M$811="","",[3]Entry!$M$811)</f>
        <v/>
      </c>
      <c r="AN808">
        <f>IF([3]Entry!$N$811="","",[3]Entry!$N$811)</f>
        <v/>
      </c>
      <c r="AO808">
        <f>IF([3]Entry!$R$811="","",[3]Entry!$R$811)</f>
        <v/>
      </c>
    </row>
    <row r="809">
      <c r="U809">
        <f>IF([2]Baskol!$B$812="","",[2]Baskol!$B$812)</f>
        <v/>
      </c>
      <c r="V809">
        <f>IF([2]Baskol!$C$812="","",[2]Baskol!$C$812)</f>
        <v/>
      </c>
      <c r="W809">
        <f>IF([2]Baskol!$D$812="","",[2]Baskol!$D$812)</f>
        <v/>
      </c>
      <c r="X809">
        <f>IF([2]Baskol!$E$812="","",[2]Baskol!$E$812)</f>
        <v/>
      </c>
      <c r="Y809">
        <f>IF([2]Baskol!$G$812="","",[2]Baskol!$G$812)</f>
        <v/>
      </c>
      <c r="Z809">
        <f>IF([2]Baskol!$I$812="","",[2]Baskol!$I$812)</f>
        <v/>
      </c>
      <c r="AA809">
        <f>IF([2]Baskol!$J$812="","",[2]Baskol!$J$812)</f>
        <v/>
      </c>
      <c r="AB809">
        <f>IF([2]Baskol!$K$812="","",[2]Baskol!$K$812)</f>
        <v/>
      </c>
      <c r="AC809">
        <f>IF([2]Baskol!$L$812="","",[2]Baskol!$L$812)</f>
        <v/>
      </c>
      <c r="AD809">
        <f>IF([2]Baskol!$N$812="","",[2]Baskol!$N$812)</f>
        <v/>
      </c>
      <c r="AE809">
        <f>IF([2]Baskol!$O$812="","",[2]Baskol!$O$812)</f>
        <v/>
      </c>
      <c r="AG809">
        <f>IF([3]Entry!$C$812="","",[3]Entry!$C$812)</f>
        <v/>
      </c>
      <c r="AH809">
        <f>IF([3]Entry!$D$812="","",[3]Entry!$D$812)</f>
        <v/>
      </c>
      <c r="AI809">
        <f>IF([3]Entry!$E$812="","",[3]Entry!$E$812)</f>
        <v/>
      </c>
      <c r="AJ809">
        <f>IF([3]Entry!$G$812="","",[3]Entry!$G$812)</f>
        <v/>
      </c>
      <c r="AK809">
        <f>IF([3]Entry!$K$812="","",[3]Entry!$K$812)</f>
        <v/>
      </c>
      <c r="AL809">
        <f>IF([3]Entry!$L$812="","",[3]Entry!$L$812)</f>
        <v/>
      </c>
      <c r="AM809">
        <f>IF([3]Entry!$M$812="","",[3]Entry!$M$812)</f>
        <v/>
      </c>
      <c r="AN809">
        <f>IF([3]Entry!$N$812="","",[3]Entry!$N$812)</f>
        <v/>
      </c>
      <c r="AO809">
        <f>IF([3]Entry!$R$812="","",[3]Entry!$R$812)</f>
        <v/>
      </c>
    </row>
    <row r="810">
      <c r="U810">
        <f>IF([2]Baskol!$B$813="","",[2]Baskol!$B$813)</f>
        <v/>
      </c>
      <c r="V810">
        <f>IF([2]Baskol!$C$813="","",[2]Baskol!$C$813)</f>
        <v/>
      </c>
      <c r="W810">
        <f>IF([2]Baskol!$D$813="","",[2]Baskol!$D$813)</f>
        <v/>
      </c>
      <c r="X810">
        <f>IF([2]Baskol!$E$813="","",[2]Baskol!$E$813)</f>
        <v/>
      </c>
      <c r="Y810">
        <f>IF([2]Baskol!$G$813="","",[2]Baskol!$G$813)</f>
        <v/>
      </c>
      <c r="Z810">
        <f>IF([2]Baskol!$I$813="","",[2]Baskol!$I$813)</f>
        <v/>
      </c>
      <c r="AA810">
        <f>IF([2]Baskol!$J$813="","",[2]Baskol!$J$813)</f>
        <v/>
      </c>
      <c r="AB810">
        <f>IF([2]Baskol!$K$813="","",[2]Baskol!$K$813)</f>
        <v/>
      </c>
      <c r="AC810">
        <f>IF([2]Baskol!$L$813="","",[2]Baskol!$L$813)</f>
        <v/>
      </c>
      <c r="AD810">
        <f>IF([2]Baskol!$N$813="","",[2]Baskol!$N$813)</f>
        <v/>
      </c>
      <c r="AE810">
        <f>IF([2]Baskol!$O$813="","",[2]Baskol!$O$813)</f>
        <v/>
      </c>
      <c r="AG810">
        <f>IF([3]Entry!$C$813="","",[3]Entry!$C$813)</f>
        <v/>
      </c>
      <c r="AH810">
        <f>IF([3]Entry!$D$813="","",[3]Entry!$D$813)</f>
        <v/>
      </c>
      <c r="AI810">
        <f>IF([3]Entry!$E$813="","",[3]Entry!$E$813)</f>
        <v/>
      </c>
      <c r="AJ810">
        <f>IF([3]Entry!$G$813="","",[3]Entry!$G$813)</f>
        <v/>
      </c>
      <c r="AK810">
        <f>IF([3]Entry!$K$813="","",[3]Entry!$K$813)</f>
        <v/>
      </c>
      <c r="AL810">
        <f>IF([3]Entry!$L$813="","",[3]Entry!$L$813)</f>
        <v/>
      </c>
      <c r="AM810">
        <f>IF([3]Entry!$M$813="","",[3]Entry!$M$813)</f>
        <v/>
      </c>
      <c r="AN810">
        <f>IF([3]Entry!$N$813="","",[3]Entry!$N$813)</f>
        <v/>
      </c>
      <c r="AO810">
        <f>IF([3]Entry!$R$813="","",[3]Entry!$R$813)</f>
        <v/>
      </c>
    </row>
    <row r="811">
      <c r="U811">
        <f>IF([2]Baskol!$B$814="","",[2]Baskol!$B$814)</f>
        <v/>
      </c>
      <c r="V811">
        <f>IF([2]Baskol!$C$814="","",[2]Baskol!$C$814)</f>
        <v/>
      </c>
      <c r="W811">
        <f>IF([2]Baskol!$D$814="","",[2]Baskol!$D$814)</f>
        <v/>
      </c>
      <c r="X811">
        <f>IF([2]Baskol!$E$814="","",[2]Baskol!$E$814)</f>
        <v/>
      </c>
      <c r="Y811">
        <f>IF([2]Baskol!$G$814="","",[2]Baskol!$G$814)</f>
        <v/>
      </c>
      <c r="Z811">
        <f>IF([2]Baskol!$I$814="","",[2]Baskol!$I$814)</f>
        <v/>
      </c>
      <c r="AA811">
        <f>IF([2]Baskol!$J$814="","",[2]Baskol!$J$814)</f>
        <v/>
      </c>
      <c r="AB811">
        <f>IF([2]Baskol!$K$814="","",[2]Baskol!$K$814)</f>
        <v/>
      </c>
      <c r="AC811">
        <f>IF([2]Baskol!$L$814="","",[2]Baskol!$L$814)</f>
        <v/>
      </c>
      <c r="AD811">
        <f>IF([2]Baskol!$N$814="","",[2]Baskol!$N$814)</f>
        <v/>
      </c>
      <c r="AE811">
        <f>IF([2]Baskol!$O$814="","",[2]Baskol!$O$814)</f>
        <v/>
      </c>
      <c r="AG811">
        <f>IF([3]Entry!$C$814="","",[3]Entry!$C$814)</f>
        <v/>
      </c>
      <c r="AH811">
        <f>IF([3]Entry!$D$814="","",[3]Entry!$D$814)</f>
        <v/>
      </c>
      <c r="AI811">
        <f>IF([3]Entry!$E$814="","",[3]Entry!$E$814)</f>
        <v/>
      </c>
      <c r="AJ811">
        <f>IF([3]Entry!$G$814="","",[3]Entry!$G$814)</f>
        <v/>
      </c>
      <c r="AK811">
        <f>IF([3]Entry!$K$814="","",[3]Entry!$K$814)</f>
        <v/>
      </c>
      <c r="AL811">
        <f>IF([3]Entry!$L$814="","",[3]Entry!$L$814)</f>
        <v/>
      </c>
      <c r="AM811">
        <f>IF([3]Entry!$M$814="","",[3]Entry!$M$814)</f>
        <v/>
      </c>
      <c r="AN811">
        <f>IF([3]Entry!$N$814="","",[3]Entry!$N$814)</f>
        <v/>
      </c>
      <c r="AO811">
        <f>IF([3]Entry!$R$814="","",[3]Entry!$R$814)</f>
        <v/>
      </c>
    </row>
    <row r="812">
      <c r="U812">
        <f>IF([2]Baskol!$B$815="","",[2]Baskol!$B$815)</f>
        <v/>
      </c>
      <c r="V812">
        <f>IF([2]Baskol!$C$815="","",[2]Baskol!$C$815)</f>
        <v/>
      </c>
      <c r="W812">
        <f>IF([2]Baskol!$D$815="","",[2]Baskol!$D$815)</f>
        <v/>
      </c>
      <c r="X812">
        <f>IF([2]Baskol!$E$815="","",[2]Baskol!$E$815)</f>
        <v/>
      </c>
      <c r="Y812">
        <f>IF([2]Baskol!$G$815="","",[2]Baskol!$G$815)</f>
        <v/>
      </c>
      <c r="Z812">
        <f>IF([2]Baskol!$I$815="","",[2]Baskol!$I$815)</f>
        <v/>
      </c>
      <c r="AA812">
        <f>IF([2]Baskol!$J$815="","",[2]Baskol!$J$815)</f>
        <v/>
      </c>
      <c r="AB812">
        <f>IF([2]Baskol!$K$815="","",[2]Baskol!$K$815)</f>
        <v/>
      </c>
      <c r="AC812">
        <f>IF([2]Baskol!$L$815="","",[2]Baskol!$L$815)</f>
        <v/>
      </c>
      <c r="AD812">
        <f>IF([2]Baskol!$N$815="","",[2]Baskol!$N$815)</f>
        <v/>
      </c>
      <c r="AE812">
        <f>IF([2]Baskol!$O$815="","",[2]Baskol!$O$815)</f>
        <v/>
      </c>
      <c r="AG812">
        <f>IF([3]Entry!$C$815="","",[3]Entry!$C$815)</f>
        <v/>
      </c>
      <c r="AH812">
        <f>IF([3]Entry!$D$815="","",[3]Entry!$D$815)</f>
        <v/>
      </c>
      <c r="AI812">
        <f>IF([3]Entry!$E$815="","",[3]Entry!$E$815)</f>
        <v/>
      </c>
      <c r="AJ812">
        <f>IF([3]Entry!$G$815="","",[3]Entry!$G$815)</f>
        <v/>
      </c>
      <c r="AK812">
        <f>IF([3]Entry!$K$815="","",[3]Entry!$K$815)</f>
        <v/>
      </c>
      <c r="AL812">
        <f>IF([3]Entry!$L$815="","",[3]Entry!$L$815)</f>
        <v/>
      </c>
      <c r="AM812">
        <f>IF([3]Entry!$M$815="","",[3]Entry!$M$815)</f>
        <v/>
      </c>
      <c r="AN812">
        <f>IF([3]Entry!$N$815="","",[3]Entry!$N$815)</f>
        <v/>
      </c>
      <c r="AO812">
        <f>IF([3]Entry!$R$815="","",[3]Entry!$R$815)</f>
        <v/>
      </c>
    </row>
    <row r="813">
      <c r="U813">
        <f>IF([2]Baskol!$B$816="","",[2]Baskol!$B$816)</f>
        <v/>
      </c>
      <c r="V813">
        <f>IF([2]Baskol!$C$816="","",[2]Baskol!$C$816)</f>
        <v/>
      </c>
      <c r="W813">
        <f>IF([2]Baskol!$D$816="","",[2]Baskol!$D$816)</f>
        <v/>
      </c>
      <c r="X813">
        <f>IF([2]Baskol!$E$816="","",[2]Baskol!$E$816)</f>
        <v/>
      </c>
      <c r="Y813">
        <f>IF([2]Baskol!$G$816="","",[2]Baskol!$G$816)</f>
        <v/>
      </c>
      <c r="Z813">
        <f>IF([2]Baskol!$I$816="","",[2]Baskol!$I$816)</f>
        <v/>
      </c>
      <c r="AA813">
        <f>IF([2]Baskol!$J$816="","",[2]Baskol!$J$816)</f>
        <v/>
      </c>
      <c r="AB813">
        <f>IF([2]Baskol!$K$816="","",[2]Baskol!$K$816)</f>
        <v/>
      </c>
      <c r="AC813">
        <f>IF([2]Baskol!$L$816="","",[2]Baskol!$L$816)</f>
        <v/>
      </c>
      <c r="AD813">
        <f>IF([2]Baskol!$N$816="","",[2]Baskol!$N$816)</f>
        <v/>
      </c>
      <c r="AE813">
        <f>IF([2]Baskol!$O$816="","",[2]Baskol!$O$816)</f>
        <v/>
      </c>
      <c r="AG813">
        <f>IF([3]Entry!$C$816="","",[3]Entry!$C$816)</f>
        <v/>
      </c>
      <c r="AH813">
        <f>IF([3]Entry!$D$816="","",[3]Entry!$D$816)</f>
        <v/>
      </c>
      <c r="AI813">
        <f>IF([3]Entry!$E$816="","",[3]Entry!$E$816)</f>
        <v/>
      </c>
      <c r="AJ813">
        <f>IF([3]Entry!$G$816="","",[3]Entry!$G$816)</f>
        <v/>
      </c>
      <c r="AK813">
        <f>IF([3]Entry!$K$816="","",[3]Entry!$K$816)</f>
        <v/>
      </c>
      <c r="AL813">
        <f>IF([3]Entry!$L$816="","",[3]Entry!$L$816)</f>
        <v/>
      </c>
      <c r="AM813">
        <f>IF([3]Entry!$M$816="","",[3]Entry!$M$816)</f>
        <v/>
      </c>
      <c r="AN813">
        <f>IF([3]Entry!$N$816="","",[3]Entry!$N$816)</f>
        <v/>
      </c>
      <c r="AO813">
        <f>IF([3]Entry!$R$816="","",[3]Entry!$R$816)</f>
        <v/>
      </c>
    </row>
    <row r="814">
      <c r="U814">
        <f>IF([2]Baskol!$B$817="","",[2]Baskol!$B$817)</f>
        <v/>
      </c>
      <c r="V814">
        <f>IF([2]Baskol!$C$817="","",[2]Baskol!$C$817)</f>
        <v/>
      </c>
      <c r="W814">
        <f>IF([2]Baskol!$D$817="","",[2]Baskol!$D$817)</f>
        <v/>
      </c>
      <c r="X814">
        <f>IF([2]Baskol!$E$817="","",[2]Baskol!$E$817)</f>
        <v/>
      </c>
      <c r="Y814">
        <f>IF([2]Baskol!$G$817="","",[2]Baskol!$G$817)</f>
        <v/>
      </c>
      <c r="Z814">
        <f>IF([2]Baskol!$I$817="","",[2]Baskol!$I$817)</f>
        <v/>
      </c>
      <c r="AA814">
        <f>IF([2]Baskol!$J$817="","",[2]Baskol!$J$817)</f>
        <v/>
      </c>
      <c r="AB814">
        <f>IF([2]Baskol!$K$817="","",[2]Baskol!$K$817)</f>
        <v/>
      </c>
      <c r="AC814">
        <f>IF([2]Baskol!$L$817="","",[2]Baskol!$L$817)</f>
        <v/>
      </c>
      <c r="AD814">
        <f>IF([2]Baskol!$N$817="","",[2]Baskol!$N$817)</f>
        <v/>
      </c>
      <c r="AE814">
        <f>IF([2]Baskol!$O$817="","",[2]Baskol!$O$817)</f>
        <v/>
      </c>
      <c r="AG814">
        <f>IF([3]Entry!$C$817="","",[3]Entry!$C$817)</f>
        <v/>
      </c>
      <c r="AH814">
        <f>IF([3]Entry!$D$817="","",[3]Entry!$D$817)</f>
        <v/>
      </c>
      <c r="AI814">
        <f>IF([3]Entry!$E$817="","",[3]Entry!$E$817)</f>
        <v/>
      </c>
      <c r="AJ814">
        <f>IF([3]Entry!$G$817="","",[3]Entry!$G$817)</f>
        <v/>
      </c>
      <c r="AK814">
        <f>IF([3]Entry!$K$817="","",[3]Entry!$K$817)</f>
        <v/>
      </c>
      <c r="AL814">
        <f>IF([3]Entry!$L$817="","",[3]Entry!$L$817)</f>
        <v/>
      </c>
      <c r="AM814">
        <f>IF([3]Entry!$M$817="","",[3]Entry!$M$817)</f>
        <v/>
      </c>
      <c r="AN814">
        <f>IF([3]Entry!$N$817="","",[3]Entry!$N$817)</f>
        <v/>
      </c>
      <c r="AO814">
        <f>IF([3]Entry!$R$817="","",[3]Entry!$R$817)</f>
        <v/>
      </c>
    </row>
    <row r="815">
      <c r="U815">
        <f>IF([2]Baskol!$B$818="","",[2]Baskol!$B$818)</f>
        <v/>
      </c>
      <c r="V815">
        <f>IF([2]Baskol!$C$818="","",[2]Baskol!$C$818)</f>
        <v/>
      </c>
      <c r="W815">
        <f>IF([2]Baskol!$D$818="","",[2]Baskol!$D$818)</f>
        <v/>
      </c>
      <c r="X815">
        <f>IF([2]Baskol!$E$818="","",[2]Baskol!$E$818)</f>
        <v/>
      </c>
      <c r="Y815">
        <f>IF([2]Baskol!$G$818="","",[2]Baskol!$G$818)</f>
        <v/>
      </c>
      <c r="Z815">
        <f>IF([2]Baskol!$I$818="","",[2]Baskol!$I$818)</f>
        <v/>
      </c>
      <c r="AA815">
        <f>IF([2]Baskol!$J$818="","",[2]Baskol!$J$818)</f>
        <v/>
      </c>
      <c r="AB815">
        <f>IF([2]Baskol!$K$818="","",[2]Baskol!$K$818)</f>
        <v/>
      </c>
      <c r="AC815">
        <f>IF([2]Baskol!$L$818="","",[2]Baskol!$L$818)</f>
        <v/>
      </c>
      <c r="AD815">
        <f>IF([2]Baskol!$N$818="","",[2]Baskol!$N$818)</f>
        <v/>
      </c>
      <c r="AE815">
        <f>IF([2]Baskol!$O$818="","",[2]Baskol!$O$818)</f>
        <v/>
      </c>
      <c r="AG815">
        <f>IF([3]Entry!$C$818="","",[3]Entry!$C$818)</f>
        <v/>
      </c>
      <c r="AH815">
        <f>IF([3]Entry!$D$818="","",[3]Entry!$D$818)</f>
        <v/>
      </c>
      <c r="AI815">
        <f>IF([3]Entry!$E$818="","",[3]Entry!$E$818)</f>
        <v/>
      </c>
      <c r="AJ815">
        <f>IF([3]Entry!$G$818="","",[3]Entry!$G$818)</f>
        <v/>
      </c>
      <c r="AK815">
        <f>IF([3]Entry!$K$818="","",[3]Entry!$K$818)</f>
        <v/>
      </c>
      <c r="AL815">
        <f>IF([3]Entry!$L$818="","",[3]Entry!$L$818)</f>
        <v/>
      </c>
      <c r="AM815">
        <f>IF([3]Entry!$M$818="","",[3]Entry!$M$818)</f>
        <v/>
      </c>
      <c r="AN815">
        <f>IF([3]Entry!$N$818="","",[3]Entry!$N$818)</f>
        <v/>
      </c>
      <c r="AO815">
        <f>IF([3]Entry!$R$818="","",[3]Entry!$R$818)</f>
        <v/>
      </c>
    </row>
    <row r="816">
      <c r="U816">
        <f>IF([2]Baskol!$B$819="","",[2]Baskol!$B$819)</f>
        <v/>
      </c>
      <c r="V816">
        <f>IF([2]Baskol!$C$819="","",[2]Baskol!$C$819)</f>
        <v/>
      </c>
      <c r="W816">
        <f>IF([2]Baskol!$D$819="","",[2]Baskol!$D$819)</f>
        <v/>
      </c>
      <c r="X816">
        <f>IF([2]Baskol!$E$819="","",[2]Baskol!$E$819)</f>
        <v/>
      </c>
      <c r="Y816">
        <f>IF([2]Baskol!$G$819="","",[2]Baskol!$G$819)</f>
        <v/>
      </c>
      <c r="Z816">
        <f>IF([2]Baskol!$I$819="","",[2]Baskol!$I$819)</f>
        <v/>
      </c>
      <c r="AA816">
        <f>IF([2]Baskol!$J$819="","",[2]Baskol!$J$819)</f>
        <v/>
      </c>
      <c r="AB816">
        <f>IF([2]Baskol!$K$819="","",[2]Baskol!$K$819)</f>
        <v/>
      </c>
      <c r="AC816">
        <f>IF([2]Baskol!$L$819="","",[2]Baskol!$L$819)</f>
        <v/>
      </c>
      <c r="AD816">
        <f>IF([2]Baskol!$N$819="","",[2]Baskol!$N$819)</f>
        <v/>
      </c>
      <c r="AE816">
        <f>IF([2]Baskol!$O$819="","",[2]Baskol!$O$819)</f>
        <v/>
      </c>
      <c r="AG816">
        <f>IF([3]Entry!$C$819="","",[3]Entry!$C$819)</f>
        <v/>
      </c>
      <c r="AH816">
        <f>IF([3]Entry!$D$819="","",[3]Entry!$D$819)</f>
        <v/>
      </c>
      <c r="AI816">
        <f>IF([3]Entry!$E$819="","",[3]Entry!$E$819)</f>
        <v/>
      </c>
      <c r="AJ816">
        <f>IF([3]Entry!$G$819="","",[3]Entry!$G$819)</f>
        <v/>
      </c>
      <c r="AK816">
        <f>IF([3]Entry!$K$819="","",[3]Entry!$K$819)</f>
        <v/>
      </c>
      <c r="AL816">
        <f>IF([3]Entry!$L$819="","",[3]Entry!$L$819)</f>
        <v/>
      </c>
      <c r="AM816">
        <f>IF([3]Entry!$M$819="","",[3]Entry!$M$819)</f>
        <v/>
      </c>
      <c r="AN816">
        <f>IF([3]Entry!$N$819="","",[3]Entry!$N$819)</f>
        <v/>
      </c>
      <c r="AO816">
        <f>IF([3]Entry!$R$819="","",[3]Entry!$R$819)</f>
        <v/>
      </c>
    </row>
    <row r="817">
      <c r="U817">
        <f>IF([2]Baskol!$B$820="","",[2]Baskol!$B$820)</f>
        <v/>
      </c>
      <c r="V817">
        <f>IF([2]Baskol!$C$820="","",[2]Baskol!$C$820)</f>
        <v/>
      </c>
      <c r="W817">
        <f>IF([2]Baskol!$D$820="","",[2]Baskol!$D$820)</f>
        <v/>
      </c>
      <c r="X817">
        <f>IF([2]Baskol!$E$820="","",[2]Baskol!$E$820)</f>
        <v/>
      </c>
      <c r="Y817">
        <f>IF([2]Baskol!$G$820="","",[2]Baskol!$G$820)</f>
        <v/>
      </c>
      <c r="Z817">
        <f>IF([2]Baskol!$I$820="","",[2]Baskol!$I$820)</f>
        <v/>
      </c>
      <c r="AA817">
        <f>IF([2]Baskol!$J$820="","",[2]Baskol!$J$820)</f>
        <v/>
      </c>
      <c r="AB817">
        <f>IF([2]Baskol!$K$820="","",[2]Baskol!$K$820)</f>
        <v/>
      </c>
      <c r="AC817">
        <f>IF([2]Baskol!$L$820="","",[2]Baskol!$L$820)</f>
        <v/>
      </c>
      <c r="AD817">
        <f>IF([2]Baskol!$N$820="","",[2]Baskol!$N$820)</f>
        <v/>
      </c>
      <c r="AE817">
        <f>IF([2]Baskol!$O$820="","",[2]Baskol!$O$820)</f>
        <v/>
      </c>
      <c r="AG817">
        <f>IF([3]Entry!$C$820="","",[3]Entry!$C$820)</f>
        <v/>
      </c>
      <c r="AH817">
        <f>IF([3]Entry!$D$820="","",[3]Entry!$D$820)</f>
        <v/>
      </c>
      <c r="AI817">
        <f>IF([3]Entry!$E$820="","",[3]Entry!$E$820)</f>
        <v/>
      </c>
      <c r="AJ817">
        <f>IF([3]Entry!$G$820="","",[3]Entry!$G$820)</f>
        <v/>
      </c>
      <c r="AK817">
        <f>IF([3]Entry!$K$820="","",[3]Entry!$K$820)</f>
        <v/>
      </c>
      <c r="AL817">
        <f>IF([3]Entry!$L$820="","",[3]Entry!$L$820)</f>
        <v/>
      </c>
      <c r="AM817">
        <f>IF([3]Entry!$M$820="","",[3]Entry!$M$820)</f>
        <v/>
      </c>
      <c r="AN817">
        <f>IF([3]Entry!$N$820="","",[3]Entry!$N$820)</f>
        <v/>
      </c>
      <c r="AO817">
        <f>IF([3]Entry!$R$820="","",[3]Entry!$R$820)</f>
        <v/>
      </c>
    </row>
    <row r="818">
      <c r="U818">
        <f>IF([2]Baskol!$B$821="","",[2]Baskol!$B$821)</f>
        <v/>
      </c>
      <c r="V818">
        <f>IF([2]Baskol!$C$821="","",[2]Baskol!$C$821)</f>
        <v/>
      </c>
      <c r="W818">
        <f>IF([2]Baskol!$D$821="","",[2]Baskol!$D$821)</f>
        <v/>
      </c>
      <c r="X818">
        <f>IF([2]Baskol!$E$821="","",[2]Baskol!$E$821)</f>
        <v/>
      </c>
      <c r="Y818">
        <f>IF([2]Baskol!$G$821="","",[2]Baskol!$G$821)</f>
        <v/>
      </c>
      <c r="Z818">
        <f>IF([2]Baskol!$I$821="","",[2]Baskol!$I$821)</f>
        <v/>
      </c>
      <c r="AA818">
        <f>IF([2]Baskol!$J$821="","",[2]Baskol!$J$821)</f>
        <v/>
      </c>
      <c r="AB818">
        <f>IF([2]Baskol!$K$821="","",[2]Baskol!$K$821)</f>
        <v/>
      </c>
      <c r="AC818">
        <f>IF([2]Baskol!$L$821="","",[2]Baskol!$L$821)</f>
        <v/>
      </c>
      <c r="AD818">
        <f>IF([2]Baskol!$N$821="","",[2]Baskol!$N$821)</f>
        <v/>
      </c>
      <c r="AE818">
        <f>IF([2]Baskol!$O$821="","",[2]Baskol!$O$821)</f>
        <v/>
      </c>
      <c r="AG818">
        <f>IF([3]Entry!$C$821="","",[3]Entry!$C$821)</f>
        <v/>
      </c>
      <c r="AH818">
        <f>IF([3]Entry!$D$821="","",[3]Entry!$D$821)</f>
        <v/>
      </c>
      <c r="AI818">
        <f>IF([3]Entry!$E$821="","",[3]Entry!$E$821)</f>
        <v/>
      </c>
      <c r="AJ818">
        <f>IF([3]Entry!$G$821="","",[3]Entry!$G$821)</f>
        <v/>
      </c>
      <c r="AK818">
        <f>IF([3]Entry!$K$821="","",[3]Entry!$K$821)</f>
        <v/>
      </c>
      <c r="AL818">
        <f>IF([3]Entry!$L$821="","",[3]Entry!$L$821)</f>
        <v/>
      </c>
      <c r="AM818">
        <f>IF([3]Entry!$M$821="","",[3]Entry!$M$821)</f>
        <v/>
      </c>
      <c r="AN818">
        <f>IF([3]Entry!$N$821="","",[3]Entry!$N$821)</f>
        <v/>
      </c>
      <c r="AO818">
        <f>IF([3]Entry!$R$821="","",[3]Entry!$R$821)</f>
        <v/>
      </c>
    </row>
    <row r="819">
      <c r="U819">
        <f>IF([2]Baskol!$B$822="","",[2]Baskol!$B$822)</f>
        <v/>
      </c>
      <c r="V819">
        <f>IF([2]Baskol!$C$822="","",[2]Baskol!$C$822)</f>
        <v/>
      </c>
      <c r="W819">
        <f>IF([2]Baskol!$D$822="","",[2]Baskol!$D$822)</f>
        <v/>
      </c>
      <c r="X819">
        <f>IF([2]Baskol!$E$822="","",[2]Baskol!$E$822)</f>
        <v/>
      </c>
      <c r="Y819">
        <f>IF([2]Baskol!$G$822="","",[2]Baskol!$G$822)</f>
        <v/>
      </c>
      <c r="Z819">
        <f>IF([2]Baskol!$I$822="","",[2]Baskol!$I$822)</f>
        <v/>
      </c>
      <c r="AA819">
        <f>IF([2]Baskol!$J$822="","",[2]Baskol!$J$822)</f>
        <v/>
      </c>
      <c r="AB819">
        <f>IF([2]Baskol!$K$822="","",[2]Baskol!$K$822)</f>
        <v/>
      </c>
      <c r="AC819">
        <f>IF([2]Baskol!$L$822="","",[2]Baskol!$L$822)</f>
        <v/>
      </c>
      <c r="AD819">
        <f>IF([2]Baskol!$N$822="","",[2]Baskol!$N$822)</f>
        <v/>
      </c>
      <c r="AE819">
        <f>IF([2]Baskol!$O$822="","",[2]Baskol!$O$822)</f>
        <v/>
      </c>
      <c r="AG819">
        <f>IF([3]Entry!$C$822="","",[3]Entry!$C$822)</f>
        <v/>
      </c>
      <c r="AH819">
        <f>IF([3]Entry!$D$822="","",[3]Entry!$D$822)</f>
        <v/>
      </c>
      <c r="AI819">
        <f>IF([3]Entry!$E$822="","",[3]Entry!$E$822)</f>
        <v/>
      </c>
      <c r="AJ819">
        <f>IF([3]Entry!$G$822="","",[3]Entry!$G$822)</f>
        <v/>
      </c>
      <c r="AK819">
        <f>IF([3]Entry!$K$822="","",[3]Entry!$K$822)</f>
        <v/>
      </c>
      <c r="AL819">
        <f>IF([3]Entry!$L$822="","",[3]Entry!$L$822)</f>
        <v/>
      </c>
      <c r="AM819">
        <f>IF([3]Entry!$M$822="","",[3]Entry!$M$822)</f>
        <v/>
      </c>
      <c r="AN819">
        <f>IF([3]Entry!$N$822="","",[3]Entry!$N$822)</f>
        <v/>
      </c>
      <c r="AO819">
        <f>IF([3]Entry!$R$822="","",[3]Entry!$R$822)</f>
        <v/>
      </c>
    </row>
    <row r="820">
      <c r="U820">
        <f>IF([2]Baskol!$B$823="","",[2]Baskol!$B$823)</f>
        <v/>
      </c>
      <c r="V820">
        <f>IF([2]Baskol!$C$823="","",[2]Baskol!$C$823)</f>
        <v/>
      </c>
      <c r="W820">
        <f>IF([2]Baskol!$D$823="","",[2]Baskol!$D$823)</f>
        <v/>
      </c>
      <c r="X820">
        <f>IF([2]Baskol!$E$823="","",[2]Baskol!$E$823)</f>
        <v/>
      </c>
      <c r="Y820">
        <f>IF([2]Baskol!$G$823="","",[2]Baskol!$G$823)</f>
        <v/>
      </c>
      <c r="Z820">
        <f>IF([2]Baskol!$I$823="","",[2]Baskol!$I$823)</f>
        <v/>
      </c>
      <c r="AA820">
        <f>IF([2]Baskol!$J$823="","",[2]Baskol!$J$823)</f>
        <v/>
      </c>
      <c r="AB820">
        <f>IF([2]Baskol!$K$823="","",[2]Baskol!$K$823)</f>
        <v/>
      </c>
      <c r="AC820">
        <f>IF([2]Baskol!$L$823="","",[2]Baskol!$L$823)</f>
        <v/>
      </c>
      <c r="AD820">
        <f>IF([2]Baskol!$N$823="","",[2]Baskol!$N$823)</f>
        <v/>
      </c>
      <c r="AE820">
        <f>IF([2]Baskol!$O$823="","",[2]Baskol!$O$823)</f>
        <v/>
      </c>
      <c r="AG820">
        <f>IF([3]Entry!$C$823="","",[3]Entry!$C$823)</f>
        <v/>
      </c>
      <c r="AH820">
        <f>IF([3]Entry!$D$823="","",[3]Entry!$D$823)</f>
        <v/>
      </c>
      <c r="AI820">
        <f>IF([3]Entry!$E$823="","",[3]Entry!$E$823)</f>
        <v/>
      </c>
      <c r="AJ820">
        <f>IF([3]Entry!$G$823="","",[3]Entry!$G$823)</f>
        <v/>
      </c>
      <c r="AK820">
        <f>IF([3]Entry!$K$823="","",[3]Entry!$K$823)</f>
        <v/>
      </c>
      <c r="AL820">
        <f>IF([3]Entry!$L$823="","",[3]Entry!$L$823)</f>
        <v/>
      </c>
      <c r="AM820">
        <f>IF([3]Entry!$M$823="","",[3]Entry!$M$823)</f>
        <v/>
      </c>
      <c r="AN820">
        <f>IF([3]Entry!$N$823="","",[3]Entry!$N$823)</f>
        <v/>
      </c>
      <c r="AO820">
        <f>IF([3]Entry!$R$823="","",[3]Entry!$R$823)</f>
        <v/>
      </c>
    </row>
    <row r="821">
      <c r="U821">
        <f>IF([2]Baskol!$B$824="","",[2]Baskol!$B$824)</f>
        <v/>
      </c>
      <c r="V821">
        <f>IF([2]Baskol!$C$824="","",[2]Baskol!$C$824)</f>
        <v/>
      </c>
      <c r="W821">
        <f>IF([2]Baskol!$D$824="","",[2]Baskol!$D$824)</f>
        <v/>
      </c>
      <c r="X821">
        <f>IF([2]Baskol!$E$824="","",[2]Baskol!$E$824)</f>
        <v/>
      </c>
      <c r="Y821">
        <f>IF([2]Baskol!$G$824="","",[2]Baskol!$G$824)</f>
        <v/>
      </c>
      <c r="Z821">
        <f>IF([2]Baskol!$I$824="","",[2]Baskol!$I$824)</f>
        <v/>
      </c>
      <c r="AA821">
        <f>IF([2]Baskol!$J$824="","",[2]Baskol!$J$824)</f>
        <v/>
      </c>
      <c r="AB821">
        <f>IF([2]Baskol!$K$824="","",[2]Baskol!$K$824)</f>
        <v/>
      </c>
      <c r="AC821">
        <f>IF([2]Baskol!$L$824="","",[2]Baskol!$L$824)</f>
        <v/>
      </c>
      <c r="AD821">
        <f>IF([2]Baskol!$N$824="","",[2]Baskol!$N$824)</f>
        <v/>
      </c>
      <c r="AE821">
        <f>IF([2]Baskol!$O$824="","",[2]Baskol!$O$824)</f>
        <v/>
      </c>
      <c r="AG821">
        <f>IF([3]Entry!$C$824="","",[3]Entry!$C$824)</f>
        <v/>
      </c>
      <c r="AH821">
        <f>IF([3]Entry!$D$824="","",[3]Entry!$D$824)</f>
        <v/>
      </c>
      <c r="AI821">
        <f>IF([3]Entry!$E$824="","",[3]Entry!$E$824)</f>
        <v/>
      </c>
      <c r="AJ821">
        <f>IF([3]Entry!$G$824="","",[3]Entry!$G$824)</f>
        <v/>
      </c>
      <c r="AK821">
        <f>IF([3]Entry!$K$824="","",[3]Entry!$K$824)</f>
        <v/>
      </c>
      <c r="AL821">
        <f>IF([3]Entry!$L$824="","",[3]Entry!$L$824)</f>
        <v/>
      </c>
      <c r="AM821">
        <f>IF([3]Entry!$M$824="","",[3]Entry!$M$824)</f>
        <v/>
      </c>
      <c r="AN821">
        <f>IF([3]Entry!$N$824="","",[3]Entry!$N$824)</f>
        <v/>
      </c>
      <c r="AO821">
        <f>IF([3]Entry!$R$824="","",[3]Entry!$R$824)</f>
        <v/>
      </c>
    </row>
    <row r="822">
      <c r="U822">
        <f>IF([2]Baskol!$B$825="","",[2]Baskol!$B$825)</f>
        <v/>
      </c>
      <c r="V822">
        <f>IF([2]Baskol!$C$825="","",[2]Baskol!$C$825)</f>
        <v/>
      </c>
      <c r="W822">
        <f>IF([2]Baskol!$D$825="","",[2]Baskol!$D$825)</f>
        <v/>
      </c>
      <c r="X822">
        <f>IF([2]Baskol!$E$825="","",[2]Baskol!$E$825)</f>
        <v/>
      </c>
      <c r="Y822">
        <f>IF([2]Baskol!$G$825="","",[2]Baskol!$G$825)</f>
        <v/>
      </c>
      <c r="Z822">
        <f>IF([2]Baskol!$I$825="","",[2]Baskol!$I$825)</f>
        <v/>
      </c>
      <c r="AA822">
        <f>IF([2]Baskol!$J$825="","",[2]Baskol!$J$825)</f>
        <v/>
      </c>
      <c r="AB822">
        <f>IF([2]Baskol!$K$825="","",[2]Baskol!$K$825)</f>
        <v/>
      </c>
      <c r="AC822">
        <f>IF([2]Baskol!$L$825="","",[2]Baskol!$L$825)</f>
        <v/>
      </c>
      <c r="AD822">
        <f>IF([2]Baskol!$N$825="","",[2]Baskol!$N$825)</f>
        <v/>
      </c>
      <c r="AE822">
        <f>IF([2]Baskol!$O$825="","",[2]Baskol!$O$825)</f>
        <v/>
      </c>
      <c r="AG822">
        <f>IF([3]Entry!$C$825="","",[3]Entry!$C$825)</f>
        <v/>
      </c>
      <c r="AH822">
        <f>IF([3]Entry!$D$825="","",[3]Entry!$D$825)</f>
        <v/>
      </c>
      <c r="AI822">
        <f>IF([3]Entry!$E$825="","",[3]Entry!$E$825)</f>
        <v/>
      </c>
      <c r="AJ822">
        <f>IF([3]Entry!$G$825="","",[3]Entry!$G$825)</f>
        <v/>
      </c>
      <c r="AK822">
        <f>IF([3]Entry!$K$825="","",[3]Entry!$K$825)</f>
        <v/>
      </c>
      <c r="AL822">
        <f>IF([3]Entry!$L$825="","",[3]Entry!$L$825)</f>
        <v/>
      </c>
      <c r="AM822">
        <f>IF([3]Entry!$M$825="","",[3]Entry!$M$825)</f>
        <v/>
      </c>
      <c r="AN822">
        <f>IF([3]Entry!$N$825="","",[3]Entry!$N$825)</f>
        <v/>
      </c>
      <c r="AO822">
        <f>IF([3]Entry!$R$825="","",[3]Entry!$R$825)</f>
        <v/>
      </c>
    </row>
    <row r="823">
      <c r="U823">
        <f>IF([2]Baskol!$B$826="","",[2]Baskol!$B$826)</f>
        <v/>
      </c>
      <c r="V823">
        <f>IF([2]Baskol!$C$826="","",[2]Baskol!$C$826)</f>
        <v/>
      </c>
      <c r="W823">
        <f>IF([2]Baskol!$D$826="","",[2]Baskol!$D$826)</f>
        <v/>
      </c>
      <c r="X823">
        <f>IF([2]Baskol!$E$826="","",[2]Baskol!$E$826)</f>
        <v/>
      </c>
      <c r="Y823">
        <f>IF([2]Baskol!$G$826="","",[2]Baskol!$G$826)</f>
        <v/>
      </c>
      <c r="Z823">
        <f>IF([2]Baskol!$I$826="","",[2]Baskol!$I$826)</f>
        <v/>
      </c>
      <c r="AA823">
        <f>IF([2]Baskol!$J$826="","",[2]Baskol!$J$826)</f>
        <v/>
      </c>
      <c r="AB823">
        <f>IF([2]Baskol!$K$826="","",[2]Baskol!$K$826)</f>
        <v/>
      </c>
      <c r="AC823">
        <f>IF([2]Baskol!$L$826="","",[2]Baskol!$L$826)</f>
        <v/>
      </c>
      <c r="AD823">
        <f>IF([2]Baskol!$N$826="","",[2]Baskol!$N$826)</f>
        <v/>
      </c>
      <c r="AE823">
        <f>IF([2]Baskol!$O$826="","",[2]Baskol!$O$826)</f>
        <v/>
      </c>
      <c r="AG823">
        <f>IF([3]Entry!$C$826="","",[3]Entry!$C$826)</f>
        <v/>
      </c>
      <c r="AH823">
        <f>IF([3]Entry!$D$826="","",[3]Entry!$D$826)</f>
        <v/>
      </c>
      <c r="AI823">
        <f>IF([3]Entry!$E$826="","",[3]Entry!$E$826)</f>
        <v/>
      </c>
      <c r="AJ823">
        <f>IF([3]Entry!$G$826="","",[3]Entry!$G$826)</f>
        <v/>
      </c>
      <c r="AK823">
        <f>IF([3]Entry!$K$826="","",[3]Entry!$K$826)</f>
        <v/>
      </c>
      <c r="AL823">
        <f>IF([3]Entry!$L$826="","",[3]Entry!$L$826)</f>
        <v/>
      </c>
      <c r="AM823">
        <f>IF([3]Entry!$M$826="","",[3]Entry!$M$826)</f>
        <v/>
      </c>
      <c r="AN823">
        <f>IF([3]Entry!$N$826="","",[3]Entry!$N$826)</f>
        <v/>
      </c>
      <c r="AO823">
        <f>IF([3]Entry!$R$826="","",[3]Entry!$R$826)</f>
        <v/>
      </c>
    </row>
    <row r="824">
      <c r="U824">
        <f>IF([2]Baskol!$B$827="","",[2]Baskol!$B$827)</f>
        <v/>
      </c>
      <c r="V824">
        <f>IF([2]Baskol!$C$827="","",[2]Baskol!$C$827)</f>
        <v/>
      </c>
      <c r="W824">
        <f>IF([2]Baskol!$D$827="","",[2]Baskol!$D$827)</f>
        <v/>
      </c>
      <c r="X824">
        <f>IF([2]Baskol!$E$827="","",[2]Baskol!$E$827)</f>
        <v/>
      </c>
      <c r="Y824">
        <f>IF([2]Baskol!$G$827="","",[2]Baskol!$G$827)</f>
        <v/>
      </c>
      <c r="Z824">
        <f>IF([2]Baskol!$I$827="","",[2]Baskol!$I$827)</f>
        <v/>
      </c>
      <c r="AA824">
        <f>IF([2]Baskol!$J$827="","",[2]Baskol!$J$827)</f>
        <v/>
      </c>
      <c r="AB824">
        <f>IF([2]Baskol!$K$827="","",[2]Baskol!$K$827)</f>
        <v/>
      </c>
      <c r="AC824">
        <f>IF([2]Baskol!$L$827="","",[2]Baskol!$L$827)</f>
        <v/>
      </c>
      <c r="AD824">
        <f>IF([2]Baskol!$N$827="","",[2]Baskol!$N$827)</f>
        <v/>
      </c>
      <c r="AE824">
        <f>IF([2]Baskol!$O$827="","",[2]Baskol!$O$827)</f>
        <v/>
      </c>
      <c r="AG824">
        <f>IF([3]Entry!$C$827="","",[3]Entry!$C$827)</f>
        <v/>
      </c>
      <c r="AH824">
        <f>IF([3]Entry!$D$827="","",[3]Entry!$D$827)</f>
        <v/>
      </c>
      <c r="AI824">
        <f>IF([3]Entry!$E$827="","",[3]Entry!$E$827)</f>
        <v/>
      </c>
      <c r="AJ824">
        <f>IF([3]Entry!$G$827="","",[3]Entry!$G$827)</f>
        <v/>
      </c>
      <c r="AK824">
        <f>IF([3]Entry!$K$827="","",[3]Entry!$K$827)</f>
        <v/>
      </c>
      <c r="AL824">
        <f>IF([3]Entry!$L$827="","",[3]Entry!$L$827)</f>
        <v/>
      </c>
      <c r="AM824">
        <f>IF([3]Entry!$M$827="","",[3]Entry!$M$827)</f>
        <v/>
      </c>
      <c r="AN824">
        <f>IF([3]Entry!$N$827="","",[3]Entry!$N$827)</f>
        <v/>
      </c>
      <c r="AO824">
        <f>IF([3]Entry!$R$827="","",[3]Entry!$R$827)</f>
        <v/>
      </c>
    </row>
    <row r="825">
      <c r="U825">
        <f>IF([2]Baskol!$B$828="","",[2]Baskol!$B$828)</f>
        <v/>
      </c>
      <c r="V825">
        <f>IF([2]Baskol!$C$828="","",[2]Baskol!$C$828)</f>
        <v/>
      </c>
      <c r="W825">
        <f>IF([2]Baskol!$D$828="","",[2]Baskol!$D$828)</f>
        <v/>
      </c>
      <c r="X825">
        <f>IF([2]Baskol!$E$828="","",[2]Baskol!$E$828)</f>
        <v/>
      </c>
      <c r="Y825">
        <f>IF([2]Baskol!$G$828="","",[2]Baskol!$G$828)</f>
        <v/>
      </c>
      <c r="Z825">
        <f>IF([2]Baskol!$I$828="","",[2]Baskol!$I$828)</f>
        <v/>
      </c>
      <c r="AA825">
        <f>IF([2]Baskol!$J$828="","",[2]Baskol!$J$828)</f>
        <v/>
      </c>
      <c r="AB825">
        <f>IF([2]Baskol!$K$828="","",[2]Baskol!$K$828)</f>
        <v/>
      </c>
      <c r="AC825">
        <f>IF([2]Baskol!$L$828="","",[2]Baskol!$L$828)</f>
        <v/>
      </c>
      <c r="AD825">
        <f>IF([2]Baskol!$N$828="","",[2]Baskol!$N$828)</f>
        <v/>
      </c>
      <c r="AE825">
        <f>IF([2]Baskol!$O$828="","",[2]Baskol!$O$828)</f>
        <v/>
      </c>
      <c r="AG825">
        <f>IF([3]Entry!$C$828="","",[3]Entry!$C$828)</f>
        <v/>
      </c>
      <c r="AH825">
        <f>IF([3]Entry!$D$828="","",[3]Entry!$D$828)</f>
        <v/>
      </c>
      <c r="AI825">
        <f>IF([3]Entry!$E$828="","",[3]Entry!$E$828)</f>
        <v/>
      </c>
      <c r="AJ825">
        <f>IF([3]Entry!$G$828="","",[3]Entry!$G$828)</f>
        <v/>
      </c>
      <c r="AK825">
        <f>IF([3]Entry!$K$828="","",[3]Entry!$K$828)</f>
        <v/>
      </c>
      <c r="AL825">
        <f>IF([3]Entry!$L$828="","",[3]Entry!$L$828)</f>
        <v/>
      </c>
      <c r="AM825">
        <f>IF([3]Entry!$M$828="","",[3]Entry!$M$828)</f>
        <v/>
      </c>
      <c r="AN825">
        <f>IF([3]Entry!$N$828="","",[3]Entry!$N$828)</f>
        <v/>
      </c>
      <c r="AO825">
        <f>IF([3]Entry!$R$828="","",[3]Entry!$R$828)</f>
        <v/>
      </c>
    </row>
    <row r="826">
      <c r="U826">
        <f>IF([2]Baskol!$B$829="","",[2]Baskol!$B$829)</f>
        <v/>
      </c>
      <c r="V826">
        <f>IF([2]Baskol!$C$829="","",[2]Baskol!$C$829)</f>
        <v/>
      </c>
      <c r="W826">
        <f>IF([2]Baskol!$D$829="","",[2]Baskol!$D$829)</f>
        <v/>
      </c>
      <c r="X826">
        <f>IF([2]Baskol!$E$829="","",[2]Baskol!$E$829)</f>
        <v/>
      </c>
      <c r="Y826">
        <f>IF([2]Baskol!$G$829="","",[2]Baskol!$G$829)</f>
        <v/>
      </c>
      <c r="Z826">
        <f>IF([2]Baskol!$I$829="","",[2]Baskol!$I$829)</f>
        <v/>
      </c>
      <c r="AA826">
        <f>IF([2]Baskol!$J$829="","",[2]Baskol!$J$829)</f>
        <v/>
      </c>
      <c r="AB826">
        <f>IF([2]Baskol!$K$829="","",[2]Baskol!$K$829)</f>
        <v/>
      </c>
      <c r="AC826">
        <f>IF([2]Baskol!$L$829="","",[2]Baskol!$L$829)</f>
        <v/>
      </c>
      <c r="AD826">
        <f>IF([2]Baskol!$N$829="","",[2]Baskol!$N$829)</f>
        <v/>
      </c>
      <c r="AE826">
        <f>IF([2]Baskol!$O$829="","",[2]Baskol!$O$829)</f>
        <v/>
      </c>
      <c r="AG826">
        <f>IF([3]Entry!$C$829="","",[3]Entry!$C$829)</f>
        <v/>
      </c>
      <c r="AH826">
        <f>IF([3]Entry!$D$829="","",[3]Entry!$D$829)</f>
        <v/>
      </c>
      <c r="AI826">
        <f>IF([3]Entry!$E$829="","",[3]Entry!$E$829)</f>
        <v/>
      </c>
      <c r="AJ826">
        <f>IF([3]Entry!$G$829="","",[3]Entry!$G$829)</f>
        <v/>
      </c>
      <c r="AK826">
        <f>IF([3]Entry!$K$829="","",[3]Entry!$K$829)</f>
        <v/>
      </c>
      <c r="AL826">
        <f>IF([3]Entry!$L$829="","",[3]Entry!$L$829)</f>
        <v/>
      </c>
      <c r="AM826">
        <f>IF([3]Entry!$M$829="","",[3]Entry!$M$829)</f>
        <v/>
      </c>
      <c r="AN826">
        <f>IF([3]Entry!$N$829="","",[3]Entry!$N$829)</f>
        <v/>
      </c>
      <c r="AO826">
        <f>IF([3]Entry!$R$829="","",[3]Entry!$R$829)</f>
        <v/>
      </c>
    </row>
    <row r="827">
      <c r="U827">
        <f>IF([2]Baskol!$B$830="","",[2]Baskol!$B$830)</f>
        <v/>
      </c>
      <c r="V827">
        <f>IF([2]Baskol!$C$830="","",[2]Baskol!$C$830)</f>
        <v/>
      </c>
      <c r="W827">
        <f>IF([2]Baskol!$D$830="","",[2]Baskol!$D$830)</f>
        <v/>
      </c>
      <c r="X827">
        <f>IF([2]Baskol!$E$830="","",[2]Baskol!$E$830)</f>
        <v/>
      </c>
      <c r="Y827">
        <f>IF([2]Baskol!$G$830="","",[2]Baskol!$G$830)</f>
        <v/>
      </c>
      <c r="Z827">
        <f>IF([2]Baskol!$I$830="","",[2]Baskol!$I$830)</f>
        <v/>
      </c>
      <c r="AA827">
        <f>IF([2]Baskol!$J$830="","",[2]Baskol!$J$830)</f>
        <v/>
      </c>
      <c r="AB827">
        <f>IF([2]Baskol!$K$830="","",[2]Baskol!$K$830)</f>
        <v/>
      </c>
      <c r="AC827">
        <f>IF([2]Baskol!$L$830="","",[2]Baskol!$L$830)</f>
        <v/>
      </c>
      <c r="AD827">
        <f>IF([2]Baskol!$N$830="","",[2]Baskol!$N$830)</f>
        <v/>
      </c>
      <c r="AE827">
        <f>IF([2]Baskol!$O$830="","",[2]Baskol!$O$830)</f>
        <v/>
      </c>
      <c r="AG827">
        <f>IF([3]Entry!$C$830="","",[3]Entry!$C$830)</f>
        <v/>
      </c>
      <c r="AH827">
        <f>IF([3]Entry!$D$830="","",[3]Entry!$D$830)</f>
        <v/>
      </c>
      <c r="AI827">
        <f>IF([3]Entry!$E$830="","",[3]Entry!$E$830)</f>
        <v/>
      </c>
      <c r="AJ827">
        <f>IF([3]Entry!$G$830="","",[3]Entry!$G$830)</f>
        <v/>
      </c>
      <c r="AK827">
        <f>IF([3]Entry!$K$830="","",[3]Entry!$K$830)</f>
        <v/>
      </c>
      <c r="AL827">
        <f>IF([3]Entry!$L$830="","",[3]Entry!$L$830)</f>
        <v/>
      </c>
      <c r="AM827">
        <f>IF([3]Entry!$M$830="","",[3]Entry!$M$830)</f>
        <v/>
      </c>
      <c r="AN827">
        <f>IF([3]Entry!$N$830="","",[3]Entry!$N$830)</f>
        <v/>
      </c>
      <c r="AO827">
        <f>IF([3]Entry!$R$830="","",[3]Entry!$R$830)</f>
        <v/>
      </c>
    </row>
    <row r="828">
      <c r="U828">
        <f>IF([2]Baskol!$B$831="","",[2]Baskol!$B$831)</f>
        <v/>
      </c>
      <c r="V828">
        <f>IF([2]Baskol!$C$831="","",[2]Baskol!$C$831)</f>
        <v/>
      </c>
      <c r="W828">
        <f>IF([2]Baskol!$D$831="","",[2]Baskol!$D$831)</f>
        <v/>
      </c>
      <c r="X828">
        <f>IF([2]Baskol!$E$831="","",[2]Baskol!$E$831)</f>
        <v/>
      </c>
      <c r="Y828">
        <f>IF([2]Baskol!$G$831="","",[2]Baskol!$G$831)</f>
        <v/>
      </c>
      <c r="Z828">
        <f>IF([2]Baskol!$I$831="","",[2]Baskol!$I$831)</f>
        <v/>
      </c>
      <c r="AA828">
        <f>IF([2]Baskol!$J$831="","",[2]Baskol!$J$831)</f>
        <v/>
      </c>
      <c r="AB828">
        <f>IF([2]Baskol!$K$831="","",[2]Baskol!$K$831)</f>
        <v/>
      </c>
      <c r="AC828">
        <f>IF([2]Baskol!$L$831="","",[2]Baskol!$L$831)</f>
        <v/>
      </c>
      <c r="AD828">
        <f>IF([2]Baskol!$N$831="","",[2]Baskol!$N$831)</f>
        <v/>
      </c>
      <c r="AE828">
        <f>IF([2]Baskol!$O$831="","",[2]Baskol!$O$831)</f>
        <v/>
      </c>
      <c r="AG828">
        <f>IF([3]Entry!$C$831="","",[3]Entry!$C$831)</f>
        <v/>
      </c>
      <c r="AH828">
        <f>IF([3]Entry!$D$831="","",[3]Entry!$D$831)</f>
        <v/>
      </c>
      <c r="AI828">
        <f>IF([3]Entry!$E$831="","",[3]Entry!$E$831)</f>
        <v/>
      </c>
      <c r="AJ828">
        <f>IF([3]Entry!$G$831="","",[3]Entry!$G$831)</f>
        <v/>
      </c>
      <c r="AK828">
        <f>IF([3]Entry!$K$831="","",[3]Entry!$K$831)</f>
        <v/>
      </c>
      <c r="AL828">
        <f>IF([3]Entry!$L$831="","",[3]Entry!$L$831)</f>
        <v/>
      </c>
      <c r="AM828">
        <f>IF([3]Entry!$M$831="","",[3]Entry!$M$831)</f>
        <v/>
      </c>
      <c r="AN828">
        <f>IF([3]Entry!$N$831="","",[3]Entry!$N$831)</f>
        <v/>
      </c>
      <c r="AO828">
        <f>IF([3]Entry!$R$831="","",[3]Entry!$R$831)</f>
        <v/>
      </c>
    </row>
    <row r="829">
      <c r="U829">
        <f>IF([2]Baskol!$B$832="","",[2]Baskol!$B$832)</f>
        <v/>
      </c>
      <c r="V829">
        <f>IF([2]Baskol!$C$832="","",[2]Baskol!$C$832)</f>
        <v/>
      </c>
      <c r="W829">
        <f>IF([2]Baskol!$D$832="","",[2]Baskol!$D$832)</f>
        <v/>
      </c>
      <c r="X829">
        <f>IF([2]Baskol!$E$832="","",[2]Baskol!$E$832)</f>
        <v/>
      </c>
      <c r="Y829">
        <f>IF([2]Baskol!$G$832="","",[2]Baskol!$G$832)</f>
        <v/>
      </c>
      <c r="Z829">
        <f>IF([2]Baskol!$I$832="","",[2]Baskol!$I$832)</f>
        <v/>
      </c>
      <c r="AA829">
        <f>IF([2]Baskol!$J$832="","",[2]Baskol!$J$832)</f>
        <v/>
      </c>
      <c r="AB829">
        <f>IF([2]Baskol!$K$832="","",[2]Baskol!$K$832)</f>
        <v/>
      </c>
      <c r="AC829">
        <f>IF([2]Baskol!$L$832="","",[2]Baskol!$L$832)</f>
        <v/>
      </c>
      <c r="AD829">
        <f>IF([2]Baskol!$N$832="","",[2]Baskol!$N$832)</f>
        <v/>
      </c>
      <c r="AE829">
        <f>IF([2]Baskol!$O$832="","",[2]Baskol!$O$832)</f>
        <v/>
      </c>
      <c r="AG829">
        <f>IF([3]Entry!$C$832="","",[3]Entry!$C$832)</f>
        <v/>
      </c>
      <c r="AH829">
        <f>IF([3]Entry!$D$832="","",[3]Entry!$D$832)</f>
        <v/>
      </c>
      <c r="AI829">
        <f>IF([3]Entry!$E$832="","",[3]Entry!$E$832)</f>
        <v/>
      </c>
      <c r="AJ829">
        <f>IF([3]Entry!$G$832="","",[3]Entry!$G$832)</f>
        <v/>
      </c>
      <c r="AK829">
        <f>IF([3]Entry!$K$832="","",[3]Entry!$K$832)</f>
        <v/>
      </c>
      <c r="AL829">
        <f>IF([3]Entry!$L$832="","",[3]Entry!$L$832)</f>
        <v/>
      </c>
      <c r="AM829">
        <f>IF([3]Entry!$M$832="","",[3]Entry!$M$832)</f>
        <v/>
      </c>
      <c r="AN829">
        <f>IF([3]Entry!$N$832="","",[3]Entry!$N$832)</f>
        <v/>
      </c>
      <c r="AO829">
        <f>IF([3]Entry!$R$832="","",[3]Entry!$R$832)</f>
        <v/>
      </c>
    </row>
    <row r="830">
      <c r="U830">
        <f>IF([2]Baskol!$B$833="","",[2]Baskol!$B$833)</f>
        <v/>
      </c>
      <c r="V830">
        <f>IF([2]Baskol!$C$833="","",[2]Baskol!$C$833)</f>
        <v/>
      </c>
      <c r="W830">
        <f>IF([2]Baskol!$D$833="","",[2]Baskol!$D$833)</f>
        <v/>
      </c>
      <c r="X830">
        <f>IF([2]Baskol!$E$833="","",[2]Baskol!$E$833)</f>
        <v/>
      </c>
      <c r="Y830">
        <f>IF([2]Baskol!$G$833="","",[2]Baskol!$G$833)</f>
        <v/>
      </c>
      <c r="Z830">
        <f>IF([2]Baskol!$I$833="","",[2]Baskol!$I$833)</f>
        <v/>
      </c>
      <c r="AA830">
        <f>IF([2]Baskol!$J$833="","",[2]Baskol!$J$833)</f>
        <v/>
      </c>
      <c r="AB830">
        <f>IF([2]Baskol!$K$833="","",[2]Baskol!$K$833)</f>
        <v/>
      </c>
      <c r="AC830">
        <f>IF([2]Baskol!$L$833="","",[2]Baskol!$L$833)</f>
        <v/>
      </c>
      <c r="AD830">
        <f>IF([2]Baskol!$N$833="","",[2]Baskol!$N$833)</f>
        <v/>
      </c>
      <c r="AE830">
        <f>IF([2]Baskol!$O$833="","",[2]Baskol!$O$833)</f>
        <v/>
      </c>
      <c r="AG830">
        <f>IF([3]Entry!$C$833="","",[3]Entry!$C$833)</f>
        <v/>
      </c>
      <c r="AH830">
        <f>IF([3]Entry!$D$833="","",[3]Entry!$D$833)</f>
        <v/>
      </c>
      <c r="AI830">
        <f>IF([3]Entry!$E$833="","",[3]Entry!$E$833)</f>
        <v/>
      </c>
      <c r="AJ830">
        <f>IF([3]Entry!$G$833="","",[3]Entry!$G$833)</f>
        <v/>
      </c>
      <c r="AK830">
        <f>IF([3]Entry!$K$833="","",[3]Entry!$K$833)</f>
        <v/>
      </c>
      <c r="AL830">
        <f>IF([3]Entry!$L$833="","",[3]Entry!$L$833)</f>
        <v/>
      </c>
      <c r="AM830">
        <f>IF([3]Entry!$M$833="","",[3]Entry!$M$833)</f>
        <v/>
      </c>
      <c r="AN830">
        <f>IF([3]Entry!$N$833="","",[3]Entry!$N$833)</f>
        <v/>
      </c>
      <c r="AO830">
        <f>IF([3]Entry!$R$833="","",[3]Entry!$R$833)</f>
        <v/>
      </c>
    </row>
    <row r="831">
      <c r="U831">
        <f>IF([2]Baskol!$B$834="","",[2]Baskol!$B$834)</f>
        <v/>
      </c>
      <c r="V831">
        <f>IF([2]Baskol!$C$834="","",[2]Baskol!$C$834)</f>
        <v/>
      </c>
      <c r="W831">
        <f>IF([2]Baskol!$D$834="","",[2]Baskol!$D$834)</f>
        <v/>
      </c>
      <c r="X831">
        <f>IF([2]Baskol!$E$834="","",[2]Baskol!$E$834)</f>
        <v/>
      </c>
      <c r="Y831">
        <f>IF([2]Baskol!$G$834="","",[2]Baskol!$G$834)</f>
        <v/>
      </c>
      <c r="Z831">
        <f>IF([2]Baskol!$I$834="","",[2]Baskol!$I$834)</f>
        <v/>
      </c>
      <c r="AA831">
        <f>IF([2]Baskol!$J$834="","",[2]Baskol!$J$834)</f>
        <v/>
      </c>
      <c r="AB831">
        <f>IF([2]Baskol!$K$834="","",[2]Baskol!$K$834)</f>
        <v/>
      </c>
      <c r="AC831">
        <f>IF([2]Baskol!$L$834="","",[2]Baskol!$L$834)</f>
        <v/>
      </c>
      <c r="AD831">
        <f>IF([2]Baskol!$N$834="","",[2]Baskol!$N$834)</f>
        <v/>
      </c>
      <c r="AE831">
        <f>IF([2]Baskol!$O$834="","",[2]Baskol!$O$834)</f>
        <v/>
      </c>
      <c r="AG831">
        <f>IF([3]Entry!$C$834="","",[3]Entry!$C$834)</f>
        <v/>
      </c>
      <c r="AH831">
        <f>IF([3]Entry!$D$834="","",[3]Entry!$D$834)</f>
        <v/>
      </c>
      <c r="AI831">
        <f>IF([3]Entry!$E$834="","",[3]Entry!$E$834)</f>
        <v/>
      </c>
      <c r="AJ831">
        <f>IF([3]Entry!$G$834="","",[3]Entry!$G$834)</f>
        <v/>
      </c>
      <c r="AK831">
        <f>IF([3]Entry!$K$834="","",[3]Entry!$K$834)</f>
        <v/>
      </c>
      <c r="AL831">
        <f>IF([3]Entry!$L$834="","",[3]Entry!$L$834)</f>
        <v/>
      </c>
      <c r="AM831">
        <f>IF([3]Entry!$M$834="","",[3]Entry!$M$834)</f>
        <v/>
      </c>
      <c r="AN831">
        <f>IF([3]Entry!$N$834="","",[3]Entry!$N$834)</f>
        <v/>
      </c>
      <c r="AO831">
        <f>IF([3]Entry!$R$834="","",[3]Entry!$R$834)</f>
        <v/>
      </c>
    </row>
    <row r="832">
      <c r="U832">
        <f>IF([2]Baskol!$B$835="","",[2]Baskol!$B$835)</f>
        <v/>
      </c>
      <c r="V832">
        <f>IF([2]Baskol!$C$835="","",[2]Baskol!$C$835)</f>
        <v/>
      </c>
      <c r="W832">
        <f>IF([2]Baskol!$D$835="","",[2]Baskol!$D$835)</f>
        <v/>
      </c>
      <c r="X832">
        <f>IF([2]Baskol!$E$835="","",[2]Baskol!$E$835)</f>
        <v/>
      </c>
      <c r="Y832">
        <f>IF([2]Baskol!$G$835="","",[2]Baskol!$G$835)</f>
        <v/>
      </c>
      <c r="Z832">
        <f>IF([2]Baskol!$I$835="","",[2]Baskol!$I$835)</f>
        <v/>
      </c>
      <c r="AA832">
        <f>IF([2]Baskol!$J$835="","",[2]Baskol!$J$835)</f>
        <v/>
      </c>
      <c r="AB832">
        <f>IF([2]Baskol!$K$835="","",[2]Baskol!$K$835)</f>
        <v/>
      </c>
      <c r="AC832">
        <f>IF([2]Baskol!$L$835="","",[2]Baskol!$L$835)</f>
        <v/>
      </c>
      <c r="AD832">
        <f>IF([2]Baskol!$N$835="","",[2]Baskol!$N$835)</f>
        <v/>
      </c>
      <c r="AE832">
        <f>IF([2]Baskol!$O$835="","",[2]Baskol!$O$835)</f>
        <v/>
      </c>
      <c r="AG832">
        <f>IF([3]Entry!$C$835="","",[3]Entry!$C$835)</f>
        <v/>
      </c>
      <c r="AH832">
        <f>IF([3]Entry!$D$835="","",[3]Entry!$D$835)</f>
        <v/>
      </c>
      <c r="AI832">
        <f>IF([3]Entry!$E$835="","",[3]Entry!$E$835)</f>
        <v/>
      </c>
      <c r="AJ832">
        <f>IF([3]Entry!$G$835="","",[3]Entry!$G$835)</f>
        <v/>
      </c>
      <c r="AK832">
        <f>IF([3]Entry!$K$835="","",[3]Entry!$K$835)</f>
        <v/>
      </c>
      <c r="AL832">
        <f>IF([3]Entry!$L$835="","",[3]Entry!$L$835)</f>
        <v/>
      </c>
      <c r="AM832">
        <f>IF([3]Entry!$M$835="","",[3]Entry!$M$835)</f>
        <v/>
      </c>
      <c r="AN832">
        <f>IF([3]Entry!$N$835="","",[3]Entry!$N$835)</f>
        <v/>
      </c>
      <c r="AO832">
        <f>IF([3]Entry!$R$835="","",[3]Entry!$R$835)</f>
        <v/>
      </c>
    </row>
    <row r="833">
      <c r="U833">
        <f>IF([2]Baskol!$B$836="","",[2]Baskol!$B$836)</f>
        <v/>
      </c>
      <c r="V833">
        <f>IF([2]Baskol!$C$836="","",[2]Baskol!$C$836)</f>
        <v/>
      </c>
      <c r="W833">
        <f>IF([2]Baskol!$D$836="","",[2]Baskol!$D$836)</f>
        <v/>
      </c>
      <c r="X833">
        <f>IF([2]Baskol!$E$836="","",[2]Baskol!$E$836)</f>
        <v/>
      </c>
      <c r="Y833">
        <f>IF([2]Baskol!$G$836="","",[2]Baskol!$G$836)</f>
        <v/>
      </c>
      <c r="Z833">
        <f>IF([2]Baskol!$I$836="","",[2]Baskol!$I$836)</f>
        <v/>
      </c>
      <c r="AA833">
        <f>IF([2]Baskol!$J$836="","",[2]Baskol!$J$836)</f>
        <v/>
      </c>
      <c r="AB833">
        <f>IF([2]Baskol!$K$836="","",[2]Baskol!$K$836)</f>
        <v/>
      </c>
      <c r="AC833">
        <f>IF([2]Baskol!$L$836="","",[2]Baskol!$L$836)</f>
        <v/>
      </c>
      <c r="AD833">
        <f>IF([2]Baskol!$N$836="","",[2]Baskol!$N$836)</f>
        <v/>
      </c>
      <c r="AE833">
        <f>IF([2]Baskol!$O$836="","",[2]Baskol!$O$836)</f>
        <v/>
      </c>
      <c r="AG833">
        <f>IF([3]Entry!$C$836="","",[3]Entry!$C$836)</f>
        <v/>
      </c>
      <c r="AH833">
        <f>IF([3]Entry!$D$836="","",[3]Entry!$D$836)</f>
        <v/>
      </c>
      <c r="AI833">
        <f>IF([3]Entry!$E$836="","",[3]Entry!$E$836)</f>
        <v/>
      </c>
      <c r="AJ833">
        <f>IF([3]Entry!$G$836="","",[3]Entry!$G$836)</f>
        <v/>
      </c>
      <c r="AK833">
        <f>IF([3]Entry!$K$836="","",[3]Entry!$K$836)</f>
        <v/>
      </c>
      <c r="AL833">
        <f>IF([3]Entry!$L$836="","",[3]Entry!$L$836)</f>
        <v/>
      </c>
      <c r="AM833">
        <f>IF([3]Entry!$M$836="","",[3]Entry!$M$836)</f>
        <v/>
      </c>
      <c r="AN833">
        <f>IF([3]Entry!$N$836="","",[3]Entry!$N$836)</f>
        <v/>
      </c>
      <c r="AO833">
        <f>IF([3]Entry!$R$836="","",[3]Entry!$R$836)</f>
        <v/>
      </c>
    </row>
    <row r="834">
      <c r="U834">
        <f>IF([2]Baskol!$B$837="","",[2]Baskol!$B$837)</f>
        <v/>
      </c>
      <c r="V834">
        <f>IF([2]Baskol!$C$837="","",[2]Baskol!$C$837)</f>
        <v/>
      </c>
      <c r="W834">
        <f>IF([2]Baskol!$D$837="","",[2]Baskol!$D$837)</f>
        <v/>
      </c>
      <c r="X834">
        <f>IF([2]Baskol!$E$837="","",[2]Baskol!$E$837)</f>
        <v/>
      </c>
      <c r="Y834">
        <f>IF([2]Baskol!$G$837="","",[2]Baskol!$G$837)</f>
        <v/>
      </c>
      <c r="Z834">
        <f>IF([2]Baskol!$I$837="","",[2]Baskol!$I$837)</f>
        <v/>
      </c>
      <c r="AA834">
        <f>IF([2]Baskol!$J$837="","",[2]Baskol!$J$837)</f>
        <v/>
      </c>
      <c r="AB834">
        <f>IF([2]Baskol!$K$837="","",[2]Baskol!$K$837)</f>
        <v/>
      </c>
      <c r="AC834">
        <f>IF([2]Baskol!$L$837="","",[2]Baskol!$L$837)</f>
        <v/>
      </c>
      <c r="AD834">
        <f>IF([2]Baskol!$N$837="","",[2]Baskol!$N$837)</f>
        <v/>
      </c>
      <c r="AE834">
        <f>IF([2]Baskol!$O$837="","",[2]Baskol!$O$837)</f>
        <v/>
      </c>
      <c r="AG834">
        <f>IF([3]Entry!$C$837="","",[3]Entry!$C$837)</f>
        <v/>
      </c>
      <c r="AH834">
        <f>IF([3]Entry!$D$837="","",[3]Entry!$D$837)</f>
        <v/>
      </c>
      <c r="AI834">
        <f>IF([3]Entry!$E$837="","",[3]Entry!$E$837)</f>
        <v/>
      </c>
      <c r="AJ834">
        <f>IF([3]Entry!$G$837="","",[3]Entry!$G$837)</f>
        <v/>
      </c>
      <c r="AK834">
        <f>IF([3]Entry!$K$837="","",[3]Entry!$K$837)</f>
        <v/>
      </c>
      <c r="AL834">
        <f>IF([3]Entry!$L$837="","",[3]Entry!$L$837)</f>
        <v/>
      </c>
      <c r="AM834">
        <f>IF([3]Entry!$M$837="","",[3]Entry!$M$837)</f>
        <v/>
      </c>
      <c r="AN834">
        <f>IF([3]Entry!$N$837="","",[3]Entry!$N$837)</f>
        <v/>
      </c>
      <c r="AO834">
        <f>IF([3]Entry!$R$837="","",[3]Entry!$R$837)</f>
        <v/>
      </c>
    </row>
    <row r="835">
      <c r="U835">
        <f>IF([2]Baskol!$B$838="","",[2]Baskol!$B$838)</f>
        <v/>
      </c>
      <c r="V835">
        <f>IF([2]Baskol!$C$838="","",[2]Baskol!$C$838)</f>
        <v/>
      </c>
      <c r="W835">
        <f>IF([2]Baskol!$D$838="","",[2]Baskol!$D$838)</f>
        <v/>
      </c>
      <c r="X835">
        <f>IF([2]Baskol!$E$838="","",[2]Baskol!$E$838)</f>
        <v/>
      </c>
      <c r="Y835">
        <f>IF([2]Baskol!$G$838="","",[2]Baskol!$G$838)</f>
        <v/>
      </c>
      <c r="Z835">
        <f>IF([2]Baskol!$I$838="","",[2]Baskol!$I$838)</f>
        <v/>
      </c>
      <c r="AA835">
        <f>IF([2]Baskol!$J$838="","",[2]Baskol!$J$838)</f>
        <v/>
      </c>
      <c r="AB835">
        <f>IF([2]Baskol!$K$838="","",[2]Baskol!$K$838)</f>
        <v/>
      </c>
      <c r="AC835">
        <f>IF([2]Baskol!$L$838="","",[2]Baskol!$L$838)</f>
        <v/>
      </c>
      <c r="AD835">
        <f>IF([2]Baskol!$N$838="","",[2]Baskol!$N$838)</f>
        <v/>
      </c>
      <c r="AE835">
        <f>IF([2]Baskol!$O$838="","",[2]Baskol!$O$838)</f>
        <v/>
      </c>
      <c r="AG835">
        <f>IF([3]Entry!$C$838="","",[3]Entry!$C$838)</f>
        <v/>
      </c>
      <c r="AH835">
        <f>IF([3]Entry!$D$838="","",[3]Entry!$D$838)</f>
        <v/>
      </c>
      <c r="AI835">
        <f>IF([3]Entry!$E$838="","",[3]Entry!$E$838)</f>
        <v/>
      </c>
      <c r="AJ835">
        <f>IF([3]Entry!$G$838="","",[3]Entry!$G$838)</f>
        <v/>
      </c>
      <c r="AK835">
        <f>IF([3]Entry!$K$838="","",[3]Entry!$K$838)</f>
        <v/>
      </c>
      <c r="AL835">
        <f>IF([3]Entry!$L$838="","",[3]Entry!$L$838)</f>
        <v/>
      </c>
      <c r="AM835">
        <f>IF([3]Entry!$M$838="","",[3]Entry!$M$838)</f>
        <v/>
      </c>
      <c r="AN835">
        <f>IF([3]Entry!$N$838="","",[3]Entry!$N$838)</f>
        <v/>
      </c>
      <c r="AO835">
        <f>IF([3]Entry!$R$838="","",[3]Entry!$R$838)</f>
        <v/>
      </c>
    </row>
    <row r="836">
      <c r="U836">
        <f>IF([2]Baskol!$B$839="","",[2]Baskol!$B$839)</f>
        <v/>
      </c>
      <c r="V836">
        <f>IF([2]Baskol!$C$839="","",[2]Baskol!$C$839)</f>
        <v/>
      </c>
      <c r="W836">
        <f>IF([2]Baskol!$D$839="","",[2]Baskol!$D$839)</f>
        <v/>
      </c>
      <c r="X836">
        <f>IF([2]Baskol!$E$839="","",[2]Baskol!$E$839)</f>
        <v/>
      </c>
      <c r="Y836">
        <f>IF([2]Baskol!$G$839="","",[2]Baskol!$G$839)</f>
        <v/>
      </c>
      <c r="Z836">
        <f>IF([2]Baskol!$I$839="","",[2]Baskol!$I$839)</f>
        <v/>
      </c>
      <c r="AA836">
        <f>IF([2]Baskol!$J$839="","",[2]Baskol!$J$839)</f>
        <v/>
      </c>
      <c r="AB836">
        <f>IF([2]Baskol!$K$839="","",[2]Baskol!$K$839)</f>
        <v/>
      </c>
      <c r="AC836">
        <f>IF([2]Baskol!$L$839="","",[2]Baskol!$L$839)</f>
        <v/>
      </c>
      <c r="AD836">
        <f>IF([2]Baskol!$N$839="","",[2]Baskol!$N$839)</f>
        <v/>
      </c>
      <c r="AE836">
        <f>IF([2]Baskol!$O$839="","",[2]Baskol!$O$839)</f>
        <v/>
      </c>
      <c r="AG836">
        <f>IF([3]Entry!$C$839="","",[3]Entry!$C$839)</f>
        <v/>
      </c>
      <c r="AH836">
        <f>IF([3]Entry!$D$839="","",[3]Entry!$D$839)</f>
        <v/>
      </c>
      <c r="AI836">
        <f>IF([3]Entry!$E$839="","",[3]Entry!$E$839)</f>
        <v/>
      </c>
      <c r="AJ836">
        <f>IF([3]Entry!$G$839="","",[3]Entry!$G$839)</f>
        <v/>
      </c>
      <c r="AK836">
        <f>IF([3]Entry!$K$839="","",[3]Entry!$K$839)</f>
        <v/>
      </c>
      <c r="AL836">
        <f>IF([3]Entry!$L$839="","",[3]Entry!$L$839)</f>
        <v/>
      </c>
      <c r="AM836">
        <f>IF([3]Entry!$M$839="","",[3]Entry!$M$839)</f>
        <v/>
      </c>
      <c r="AN836">
        <f>IF([3]Entry!$N$839="","",[3]Entry!$N$839)</f>
        <v/>
      </c>
      <c r="AO836">
        <f>IF([3]Entry!$R$839="","",[3]Entry!$R$839)</f>
        <v/>
      </c>
    </row>
    <row r="837">
      <c r="U837">
        <f>IF([2]Baskol!$B$840="","",[2]Baskol!$B$840)</f>
        <v/>
      </c>
      <c r="V837">
        <f>IF([2]Baskol!$C$840="","",[2]Baskol!$C$840)</f>
        <v/>
      </c>
      <c r="W837">
        <f>IF([2]Baskol!$D$840="","",[2]Baskol!$D$840)</f>
        <v/>
      </c>
      <c r="X837">
        <f>IF([2]Baskol!$E$840="","",[2]Baskol!$E$840)</f>
        <v/>
      </c>
      <c r="Y837">
        <f>IF([2]Baskol!$G$840="","",[2]Baskol!$G$840)</f>
        <v/>
      </c>
      <c r="Z837">
        <f>IF([2]Baskol!$I$840="","",[2]Baskol!$I$840)</f>
        <v/>
      </c>
      <c r="AA837">
        <f>IF([2]Baskol!$J$840="","",[2]Baskol!$J$840)</f>
        <v/>
      </c>
      <c r="AB837">
        <f>IF([2]Baskol!$K$840="","",[2]Baskol!$K$840)</f>
        <v/>
      </c>
      <c r="AC837">
        <f>IF([2]Baskol!$L$840="","",[2]Baskol!$L$840)</f>
        <v/>
      </c>
      <c r="AD837">
        <f>IF([2]Baskol!$N$840="","",[2]Baskol!$N$840)</f>
        <v/>
      </c>
      <c r="AE837">
        <f>IF([2]Baskol!$O$840="","",[2]Baskol!$O$840)</f>
        <v/>
      </c>
      <c r="AG837">
        <f>IF([3]Entry!$C$840="","",[3]Entry!$C$840)</f>
        <v/>
      </c>
      <c r="AH837">
        <f>IF([3]Entry!$D$840="","",[3]Entry!$D$840)</f>
        <v/>
      </c>
      <c r="AI837">
        <f>IF([3]Entry!$E$840="","",[3]Entry!$E$840)</f>
        <v/>
      </c>
      <c r="AJ837">
        <f>IF([3]Entry!$G$840="","",[3]Entry!$G$840)</f>
        <v/>
      </c>
      <c r="AK837">
        <f>IF([3]Entry!$K$840="","",[3]Entry!$K$840)</f>
        <v/>
      </c>
      <c r="AL837">
        <f>IF([3]Entry!$L$840="","",[3]Entry!$L$840)</f>
        <v/>
      </c>
      <c r="AM837">
        <f>IF([3]Entry!$M$840="","",[3]Entry!$M$840)</f>
        <v/>
      </c>
      <c r="AN837">
        <f>IF([3]Entry!$N$840="","",[3]Entry!$N$840)</f>
        <v/>
      </c>
      <c r="AO837">
        <f>IF([3]Entry!$R$840="","",[3]Entry!$R$840)</f>
        <v/>
      </c>
    </row>
    <row r="838">
      <c r="U838">
        <f>IF([2]Baskol!$B$841="","",[2]Baskol!$B$841)</f>
        <v/>
      </c>
      <c r="V838">
        <f>IF([2]Baskol!$C$841="","",[2]Baskol!$C$841)</f>
        <v/>
      </c>
      <c r="W838">
        <f>IF([2]Baskol!$D$841="","",[2]Baskol!$D$841)</f>
        <v/>
      </c>
      <c r="X838">
        <f>IF([2]Baskol!$E$841="","",[2]Baskol!$E$841)</f>
        <v/>
      </c>
      <c r="Y838">
        <f>IF([2]Baskol!$G$841="","",[2]Baskol!$G$841)</f>
        <v/>
      </c>
      <c r="Z838">
        <f>IF([2]Baskol!$I$841="","",[2]Baskol!$I$841)</f>
        <v/>
      </c>
      <c r="AA838">
        <f>IF([2]Baskol!$J$841="","",[2]Baskol!$J$841)</f>
        <v/>
      </c>
      <c r="AB838">
        <f>IF([2]Baskol!$K$841="","",[2]Baskol!$K$841)</f>
        <v/>
      </c>
      <c r="AC838">
        <f>IF([2]Baskol!$L$841="","",[2]Baskol!$L$841)</f>
        <v/>
      </c>
      <c r="AD838">
        <f>IF([2]Baskol!$N$841="","",[2]Baskol!$N$841)</f>
        <v/>
      </c>
      <c r="AE838">
        <f>IF([2]Baskol!$O$841="","",[2]Baskol!$O$841)</f>
        <v/>
      </c>
      <c r="AG838">
        <f>IF([3]Entry!$C$841="","",[3]Entry!$C$841)</f>
        <v/>
      </c>
      <c r="AH838">
        <f>IF([3]Entry!$D$841="","",[3]Entry!$D$841)</f>
        <v/>
      </c>
      <c r="AI838">
        <f>IF([3]Entry!$E$841="","",[3]Entry!$E$841)</f>
        <v/>
      </c>
      <c r="AJ838">
        <f>IF([3]Entry!$G$841="","",[3]Entry!$G$841)</f>
        <v/>
      </c>
      <c r="AK838">
        <f>IF([3]Entry!$K$841="","",[3]Entry!$K$841)</f>
        <v/>
      </c>
      <c r="AL838">
        <f>IF([3]Entry!$L$841="","",[3]Entry!$L$841)</f>
        <v/>
      </c>
      <c r="AM838">
        <f>IF([3]Entry!$M$841="","",[3]Entry!$M$841)</f>
        <v/>
      </c>
      <c r="AN838">
        <f>IF([3]Entry!$N$841="","",[3]Entry!$N$841)</f>
        <v/>
      </c>
      <c r="AO838">
        <f>IF([3]Entry!$R$841="","",[3]Entry!$R$841)</f>
        <v/>
      </c>
    </row>
    <row r="839">
      <c r="U839">
        <f>IF([2]Baskol!$B$842="","",[2]Baskol!$B$842)</f>
        <v/>
      </c>
      <c r="V839">
        <f>IF([2]Baskol!$C$842="","",[2]Baskol!$C$842)</f>
        <v/>
      </c>
      <c r="W839">
        <f>IF([2]Baskol!$D$842="","",[2]Baskol!$D$842)</f>
        <v/>
      </c>
      <c r="X839">
        <f>IF([2]Baskol!$E$842="","",[2]Baskol!$E$842)</f>
        <v/>
      </c>
      <c r="Y839">
        <f>IF([2]Baskol!$G$842="","",[2]Baskol!$G$842)</f>
        <v/>
      </c>
      <c r="Z839">
        <f>IF([2]Baskol!$I$842="","",[2]Baskol!$I$842)</f>
        <v/>
      </c>
      <c r="AA839">
        <f>IF([2]Baskol!$J$842="","",[2]Baskol!$J$842)</f>
        <v/>
      </c>
      <c r="AB839">
        <f>IF([2]Baskol!$K$842="","",[2]Baskol!$K$842)</f>
        <v/>
      </c>
      <c r="AC839">
        <f>IF([2]Baskol!$L$842="","",[2]Baskol!$L$842)</f>
        <v/>
      </c>
      <c r="AD839">
        <f>IF([2]Baskol!$N$842="","",[2]Baskol!$N$842)</f>
        <v/>
      </c>
      <c r="AE839">
        <f>IF([2]Baskol!$O$842="","",[2]Baskol!$O$842)</f>
        <v/>
      </c>
      <c r="AG839">
        <f>IF([3]Entry!$C$842="","",[3]Entry!$C$842)</f>
        <v/>
      </c>
      <c r="AH839">
        <f>IF([3]Entry!$D$842="","",[3]Entry!$D$842)</f>
        <v/>
      </c>
      <c r="AI839">
        <f>IF([3]Entry!$E$842="","",[3]Entry!$E$842)</f>
        <v/>
      </c>
      <c r="AJ839">
        <f>IF([3]Entry!$G$842="","",[3]Entry!$G$842)</f>
        <v/>
      </c>
      <c r="AK839">
        <f>IF([3]Entry!$K$842="","",[3]Entry!$K$842)</f>
        <v/>
      </c>
      <c r="AL839">
        <f>IF([3]Entry!$L$842="","",[3]Entry!$L$842)</f>
        <v/>
      </c>
      <c r="AM839">
        <f>IF([3]Entry!$M$842="","",[3]Entry!$M$842)</f>
        <v/>
      </c>
      <c r="AN839">
        <f>IF([3]Entry!$N$842="","",[3]Entry!$N$842)</f>
        <v/>
      </c>
      <c r="AO839">
        <f>IF([3]Entry!$R$842="","",[3]Entry!$R$842)</f>
        <v/>
      </c>
    </row>
    <row r="840">
      <c r="U840">
        <f>IF([2]Baskol!$B$843="","",[2]Baskol!$B$843)</f>
        <v/>
      </c>
      <c r="V840">
        <f>IF([2]Baskol!$C$843="","",[2]Baskol!$C$843)</f>
        <v/>
      </c>
      <c r="W840">
        <f>IF([2]Baskol!$D$843="","",[2]Baskol!$D$843)</f>
        <v/>
      </c>
      <c r="X840">
        <f>IF([2]Baskol!$E$843="","",[2]Baskol!$E$843)</f>
        <v/>
      </c>
      <c r="Y840">
        <f>IF([2]Baskol!$G$843="","",[2]Baskol!$G$843)</f>
        <v/>
      </c>
      <c r="Z840">
        <f>IF([2]Baskol!$I$843="","",[2]Baskol!$I$843)</f>
        <v/>
      </c>
      <c r="AA840">
        <f>IF([2]Baskol!$J$843="","",[2]Baskol!$J$843)</f>
        <v/>
      </c>
      <c r="AB840">
        <f>IF([2]Baskol!$K$843="","",[2]Baskol!$K$843)</f>
        <v/>
      </c>
      <c r="AC840">
        <f>IF([2]Baskol!$L$843="","",[2]Baskol!$L$843)</f>
        <v/>
      </c>
      <c r="AD840">
        <f>IF([2]Baskol!$N$843="","",[2]Baskol!$N$843)</f>
        <v/>
      </c>
      <c r="AE840">
        <f>IF([2]Baskol!$O$843="","",[2]Baskol!$O$843)</f>
        <v/>
      </c>
      <c r="AG840">
        <f>IF([3]Entry!$C$843="","",[3]Entry!$C$843)</f>
        <v/>
      </c>
      <c r="AH840">
        <f>IF([3]Entry!$D$843="","",[3]Entry!$D$843)</f>
        <v/>
      </c>
      <c r="AI840">
        <f>IF([3]Entry!$E$843="","",[3]Entry!$E$843)</f>
        <v/>
      </c>
      <c r="AJ840">
        <f>IF([3]Entry!$G$843="","",[3]Entry!$G$843)</f>
        <v/>
      </c>
      <c r="AK840">
        <f>IF([3]Entry!$K$843="","",[3]Entry!$K$843)</f>
        <v/>
      </c>
      <c r="AL840">
        <f>IF([3]Entry!$L$843="","",[3]Entry!$L$843)</f>
        <v/>
      </c>
      <c r="AM840">
        <f>IF([3]Entry!$M$843="","",[3]Entry!$M$843)</f>
        <v/>
      </c>
      <c r="AN840">
        <f>IF([3]Entry!$N$843="","",[3]Entry!$N$843)</f>
        <v/>
      </c>
      <c r="AO840">
        <f>IF([3]Entry!$R$843="","",[3]Entry!$R$843)</f>
        <v/>
      </c>
    </row>
    <row r="841">
      <c r="U841">
        <f>IF([2]Baskol!$B$844="","",[2]Baskol!$B$844)</f>
        <v/>
      </c>
      <c r="V841">
        <f>IF([2]Baskol!$C$844="","",[2]Baskol!$C$844)</f>
        <v/>
      </c>
      <c r="W841">
        <f>IF([2]Baskol!$D$844="","",[2]Baskol!$D$844)</f>
        <v/>
      </c>
      <c r="X841">
        <f>IF([2]Baskol!$E$844="","",[2]Baskol!$E$844)</f>
        <v/>
      </c>
      <c r="Y841">
        <f>IF([2]Baskol!$G$844="","",[2]Baskol!$G$844)</f>
        <v/>
      </c>
      <c r="Z841">
        <f>IF([2]Baskol!$I$844="","",[2]Baskol!$I$844)</f>
        <v/>
      </c>
      <c r="AA841">
        <f>IF([2]Baskol!$J$844="","",[2]Baskol!$J$844)</f>
        <v/>
      </c>
      <c r="AB841">
        <f>IF([2]Baskol!$K$844="","",[2]Baskol!$K$844)</f>
        <v/>
      </c>
      <c r="AC841">
        <f>IF([2]Baskol!$L$844="","",[2]Baskol!$L$844)</f>
        <v/>
      </c>
      <c r="AD841">
        <f>IF([2]Baskol!$N$844="","",[2]Baskol!$N$844)</f>
        <v/>
      </c>
      <c r="AE841">
        <f>IF([2]Baskol!$O$844="","",[2]Baskol!$O$844)</f>
        <v/>
      </c>
      <c r="AG841">
        <f>IF([3]Entry!$C$844="","",[3]Entry!$C$844)</f>
        <v/>
      </c>
      <c r="AH841">
        <f>IF([3]Entry!$D$844="","",[3]Entry!$D$844)</f>
        <v/>
      </c>
      <c r="AI841">
        <f>IF([3]Entry!$E$844="","",[3]Entry!$E$844)</f>
        <v/>
      </c>
      <c r="AJ841">
        <f>IF([3]Entry!$G$844="","",[3]Entry!$G$844)</f>
        <v/>
      </c>
      <c r="AK841">
        <f>IF([3]Entry!$K$844="","",[3]Entry!$K$844)</f>
        <v/>
      </c>
      <c r="AL841">
        <f>IF([3]Entry!$L$844="","",[3]Entry!$L$844)</f>
        <v/>
      </c>
      <c r="AM841">
        <f>IF([3]Entry!$M$844="","",[3]Entry!$M$844)</f>
        <v/>
      </c>
      <c r="AN841">
        <f>IF([3]Entry!$N$844="","",[3]Entry!$N$844)</f>
        <v/>
      </c>
      <c r="AO841">
        <f>IF([3]Entry!$R$844="","",[3]Entry!$R$844)</f>
        <v/>
      </c>
    </row>
    <row r="842">
      <c r="U842">
        <f>IF([2]Baskol!$B$845="","",[2]Baskol!$B$845)</f>
        <v/>
      </c>
      <c r="V842">
        <f>IF([2]Baskol!$C$845="","",[2]Baskol!$C$845)</f>
        <v/>
      </c>
      <c r="W842">
        <f>IF([2]Baskol!$D$845="","",[2]Baskol!$D$845)</f>
        <v/>
      </c>
      <c r="X842">
        <f>IF([2]Baskol!$E$845="","",[2]Baskol!$E$845)</f>
        <v/>
      </c>
      <c r="Y842">
        <f>IF([2]Baskol!$G$845="","",[2]Baskol!$G$845)</f>
        <v/>
      </c>
      <c r="Z842">
        <f>IF([2]Baskol!$I$845="","",[2]Baskol!$I$845)</f>
        <v/>
      </c>
      <c r="AA842">
        <f>IF([2]Baskol!$J$845="","",[2]Baskol!$J$845)</f>
        <v/>
      </c>
      <c r="AB842">
        <f>IF([2]Baskol!$K$845="","",[2]Baskol!$K$845)</f>
        <v/>
      </c>
      <c r="AC842">
        <f>IF([2]Baskol!$L$845="","",[2]Baskol!$L$845)</f>
        <v/>
      </c>
      <c r="AD842">
        <f>IF([2]Baskol!$N$845="","",[2]Baskol!$N$845)</f>
        <v/>
      </c>
      <c r="AE842">
        <f>IF([2]Baskol!$O$845="","",[2]Baskol!$O$845)</f>
        <v/>
      </c>
      <c r="AG842">
        <f>IF([3]Entry!$C$845="","",[3]Entry!$C$845)</f>
        <v/>
      </c>
      <c r="AH842">
        <f>IF([3]Entry!$D$845="","",[3]Entry!$D$845)</f>
        <v/>
      </c>
      <c r="AI842">
        <f>IF([3]Entry!$E$845="","",[3]Entry!$E$845)</f>
        <v/>
      </c>
      <c r="AJ842">
        <f>IF([3]Entry!$G$845="","",[3]Entry!$G$845)</f>
        <v/>
      </c>
      <c r="AK842">
        <f>IF([3]Entry!$K$845="","",[3]Entry!$K$845)</f>
        <v/>
      </c>
      <c r="AL842">
        <f>IF([3]Entry!$L$845="","",[3]Entry!$L$845)</f>
        <v/>
      </c>
      <c r="AM842">
        <f>IF([3]Entry!$M$845="","",[3]Entry!$M$845)</f>
        <v/>
      </c>
      <c r="AN842">
        <f>IF([3]Entry!$N$845="","",[3]Entry!$N$845)</f>
        <v/>
      </c>
      <c r="AO842">
        <f>IF([3]Entry!$R$845="","",[3]Entry!$R$845)</f>
        <v/>
      </c>
    </row>
    <row r="843">
      <c r="U843">
        <f>IF([2]Baskol!$B$846="","",[2]Baskol!$B$846)</f>
        <v/>
      </c>
      <c r="V843">
        <f>IF([2]Baskol!$C$846="","",[2]Baskol!$C$846)</f>
        <v/>
      </c>
      <c r="W843">
        <f>IF([2]Baskol!$D$846="","",[2]Baskol!$D$846)</f>
        <v/>
      </c>
      <c r="X843">
        <f>IF([2]Baskol!$E$846="","",[2]Baskol!$E$846)</f>
        <v/>
      </c>
      <c r="Y843">
        <f>IF([2]Baskol!$G$846="","",[2]Baskol!$G$846)</f>
        <v/>
      </c>
      <c r="Z843">
        <f>IF([2]Baskol!$I$846="","",[2]Baskol!$I$846)</f>
        <v/>
      </c>
      <c r="AA843">
        <f>IF([2]Baskol!$J$846="","",[2]Baskol!$J$846)</f>
        <v/>
      </c>
      <c r="AB843">
        <f>IF([2]Baskol!$K$846="","",[2]Baskol!$K$846)</f>
        <v/>
      </c>
      <c r="AC843">
        <f>IF([2]Baskol!$L$846="","",[2]Baskol!$L$846)</f>
        <v/>
      </c>
      <c r="AD843">
        <f>IF([2]Baskol!$N$846="","",[2]Baskol!$N$846)</f>
        <v/>
      </c>
      <c r="AE843">
        <f>IF([2]Baskol!$O$846="","",[2]Baskol!$O$846)</f>
        <v/>
      </c>
      <c r="AG843">
        <f>IF([3]Entry!$C$846="","",[3]Entry!$C$846)</f>
        <v/>
      </c>
      <c r="AH843">
        <f>IF([3]Entry!$D$846="","",[3]Entry!$D$846)</f>
        <v/>
      </c>
      <c r="AI843">
        <f>IF([3]Entry!$E$846="","",[3]Entry!$E$846)</f>
        <v/>
      </c>
      <c r="AJ843">
        <f>IF([3]Entry!$G$846="","",[3]Entry!$G$846)</f>
        <v/>
      </c>
      <c r="AK843">
        <f>IF([3]Entry!$K$846="","",[3]Entry!$K$846)</f>
        <v/>
      </c>
      <c r="AL843">
        <f>IF([3]Entry!$L$846="","",[3]Entry!$L$846)</f>
        <v/>
      </c>
      <c r="AM843">
        <f>IF([3]Entry!$M$846="","",[3]Entry!$M$846)</f>
        <v/>
      </c>
      <c r="AN843">
        <f>IF([3]Entry!$N$846="","",[3]Entry!$N$846)</f>
        <v/>
      </c>
      <c r="AO843">
        <f>IF([3]Entry!$R$846="","",[3]Entry!$R$846)</f>
        <v/>
      </c>
    </row>
    <row r="844">
      <c r="U844">
        <f>IF([2]Baskol!$B$847="","",[2]Baskol!$B$847)</f>
        <v/>
      </c>
      <c r="V844">
        <f>IF([2]Baskol!$C$847="","",[2]Baskol!$C$847)</f>
        <v/>
      </c>
      <c r="W844">
        <f>IF([2]Baskol!$D$847="","",[2]Baskol!$D$847)</f>
        <v/>
      </c>
      <c r="X844">
        <f>IF([2]Baskol!$E$847="","",[2]Baskol!$E$847)</f>
        <v/>
      </c>
      <c r="Y844">
        <f>IF([2]Baskol!$G$847="","",[2]Baskol!$G$847)</f>
        <v/>
      </c>
      <c r="Z844">
        <f>IF([2]Baskol!$I$847="","",[2]Baskol!$I$847)</f>
        <v/>
      </c>
      <c r="AA844">
        <f>IF([2]Baskol!$J$847="","",[2]Baskol!$J$847)</f>
        <v/>
      </c>
      <c r="AB844">
        <f>IF([2]Baskol!$K$847="","",[2]Baskol!$K$847)</f>
        <v/>
      </c>
      <c r="AC844">
        <f>IF([2]Baskol!$L$847="","",[2]Baskol!$L$847)</f>
        <v/>
      </c>
      <c r="AD844">
        <f>IF([2]Baskol!$N$847="","",[2]Baskol!$N$847)</f>
        <v/>
      </c>
      <c r="AE844">
        <f>IF([2]Baskol!$O$847="","",[2]Baskol!$O$847)</f>
        <v/>
      </c>
      <c r="AG844">
        <f>IF([3]Entry!$C$847="","",[3]Entry!$C$847)</f>
        <v/>
      </c>
      <c r="AH844">
        <f>IF([3]Entry!$D$847="","",[3]Entry!$D$847)</f>
        <v/>
      </c>
      <c r="AI844">
        <f>IF([3]Entry!$E$847="","",[3]Entry!$E$847)</f>
        <v/>
      </c>
      <c r="AJ844">
        <f>IF([3]Entry!$G$847="","",[3]Entry!$G$847)</f>
        <v/>
      </c>
      <c r="AK844">
        <f>IF([3]Entry!$K$847="","",[3]Entry!$K$847)</f>
        <v/>
      </c>
      <c r="AL844">
        <f>IF([3]Entry!$L$847="","",[3]Entry!$L$847)</f>
        <v/>
      </c>
      <c r="AM844">
        <f>IF([3]Entry!$M$847="","",[3]Entry!$M$847)</f>
        <v/>
      </c>
      <c r="AN844">
        <f>IF([3]Entry!$N$847="","",[3]Entry!$N$847)</f>
        <v/>
      </c>
      <c r="AO844">
        <f>IF([3]Entry!$R$847="","",[3]Entry!$R$847)</f>
        <v/>
      </c>
    </row>
    <row r="845">
      <c r="U845">
        <f>IF([2]Baskol!$B$848="","",[2]Baskol!$B$848)</f>
        <v/>
      </c>
      <c r="V845">
        <f>IF([2]Baskol!$C$848="","",[2]Baskol!$C$848)</f>
        <v/>
      </c>
      <c r="W845">
        <f>IF([2]Baskol!$D$848="","",[2]Baskol!$D$848)</f>
        <v/>
      </c>
      <c r="X845">
        <f>IF([2]Baskol!$E$848="","",[2]Baskol!$E$848)</f>
        <v/>
      </c>
      <c r="Y845">
        <f>IF([2]Baskol!$G$848="","",[2]Baskol!$G$848)</f>
        <v/>
      </c>
      <c r="Z845">
        <f>IF([2]Baskol!$I$848="","",[2]Baskol!$I$848)</f>
        <v/>
      </c>
      <c r="AA845">
        <f>IF([2]Baskol!$J$848="","",[2]Baskol!$J$848)</f>
        <v/>
      </c>
      <c r="AB845">
        <f>IF([2]Baskol!$K$848="","",[2]Baskol!$K$848)</f>
        <v/>
      </c>
      <c r="AC845">
        <f>IF([2]Baskol!$L$848="","",[2]Baskol!$L$848)</f>
        <v/>
      </c>
      <c r="AD845">
        <f>IF([2]Baskol!$N$848="","",[2]Baskol!$N$848)</f>
        <v/>
      </c>
      <c r="AE845">
        <f>IF([2]Baskol!$O$848="","",[2]Baskol!$O$848)</f>
        <v/>
      </c>
      <c r="AG845">
        <f>IF([3]Entry!$C$848="","",[3]Entry!$C$848)</f>
        <v/>
      </c>
      <c r="AH845">
        <f>IF([3]Entry!$D$848="","",[3]Entry!$D$848)</f>
        <v/>
      </c>
      <c r="AI845">
        <f>IF([3]Entry!$E$848="","",[3]Entry!$E$848)</f>
        <v/>
      </c>
      <c r="AJ845">
        <f>IF([3]Entry!$G$848="","",[3]Entry!$G$848)</f>
        <v/>
      </c>
      <c r="AK845">
        <f>IF([3]Entry!$K$848="","",[3]Entry!$K$848)</f>
        <v/>
      </c>
      <c r="AL845">
        <f>IF([3]Entry!$L$848="","",[3]Entry!$L$848)</f>
        <v/>
      </c>
      <c r="AM845">
        <f>IF([3]Entry!$M$848="","",[3]Entry!$M$848)</f>
        <v/>
      </c>
      <c r="AN845">
        <f>IF([3]Entry!$N$848="","",[3]Entry!$N$848)</f>
        <v/>
      </c>
      <c r="AO845">
        <f>IF([3]Entry!$R$848="","",[3]Entry!$R$848)</f>
        <v/>
      </c>
    </row>
    <row r="846">
      <c r="U846">
        <f>IF([2]Baskol!$B$849="","",[2]Baskol!$B$849)</f>
        <v/>
      </c>
      <c r="V846">
        <f>IF([2]Baskol!$C$849="","",[2]Baskol!$C$849)</f>
        <v/>
      </c>
      <c r="W846">
        <f>IF([2]Baskol!$D$849="","",[2]Baskol!$D$849)</f>
        <v/>
      </c>
      <c r="X846">
        <f>IF([2]Baskol!$E$849="","",[2]Baskol!$E$849)</f>
        <v/>
      </c>
      <c r="Y846">
        <f>IF([2]Baskol!$G$849="","",[2]Baskol!$G$849)</f>
        <v/>
      </c>
      <c r="Z846">
        <f>IF([2]Baskol!$I$849="","",[2]Baskol!$I$849)</f>
        <v/>
      </c>
      <c r="AA846">
        <f>IF([2]Baskol!$J$849="","",[2]Baskol!$J$849)</f>
        <v/>
      </c>
      <c r="AB846">
        <f>IF([2]Baskol!$K$849="","",[2]Baskol!$K$849)</f>
        <v/>
      </c>
      <c r="AC846">
        <f>IF([2]Baskol!$L$849="","",[2]Baskol!$L$849)</f>
        <v/>
      </c>
      <c r="AD846">
        <f>IF([2]Baskol!$N$849="","",[2]Baskol!$N$849)</f>
        <v/>
      </c>
      <c r="AE846">
        <f>IF([2]Baskol!$O$849="","",[2]Baskol!$O$849)</f>
        <v/>
      </c>
      <c r="AG846">
        <f>IF([3]Entry!$C$849="","",[3]Entry!$C$849)</f>
        <v/>
      </c>
      <c r="AH846">
        <f>IF([3]Entry!$D$849="","",[3]Entry!$D$849)</f>
        <v/>
      </c>
      <c r="AI846">
        <f>IF([3]Entry!$E$849="","",[3]Entry!$E$849)</f>
        <v/>
      </c>
      <c r="AJ846">
        <f>IF([3]Entry!$G$849="","",[3]Entry!$G$849)</f>
        <v/>
      </c>
      <c r="AK846">
        <f>IF([3]Entry!$K$849="","",[3]Entry!$K$849)</f>
        <v/>
      </c>
      <c r="AL846">
        <f>IF([3]Entry!$L$849="","",[3]Entry!$L$849)</f>
        <v/>
      </c>
      <c r="AM846">
        <f>IF([3]Entry!$M$849="","",[3]Entry!$M$849)</f>
        <v/>
      </c>
      <c r="AN846">
        <f>IF([3]Entry!$N$849="","",[3]Entry!$N$849)</f>
        <v/>
      </c>
      <c r="AO846">
        <f>IF([3]Entry!$R$849="","",[3]Entry!$R$849)</f>
        <v/>
      </c>
    </row>
    <row r="847">
      <c r="U847">
        <f>IF([2]Baskol!$B$850="","",[2]Baskol!$B$850)</f>
        <v/>
      </c>
      <c r="V847">
        <f>IF([2]Baskol!$C$850="","",[2]Baskol!$C$850)</f>
        <v/>
      </c>
      <c r="W847">
        <f>IF([2]Baskol!$D$850="","",[2]Baskol!$D$850)</f>
        <v/>
      </c>
      <c r="X847">
        <f>IF([2]Baskol!$E$850="","",[2]Baskol!$E$850)</f>
        <v/>
      </c>
      <c r="Y847">
        <f>IF([2]Baskol!$G$850="","",[2]Baskol!$G$850)</f>
        <v/>
      </c>
      <c r="Z847">
        <f>IF([2]Baskol!$I$850="","",[2]Baskol!$I$850)</f>
        <v/>
      </c>
      <c r="AA847">
        <f>IF([2]Baskol!$J$850="","",[2]Baskol!$J$850)</f>
        <v/>
      </c>
      <c r="AB847">
        <f>IF([2]Baskol!$K$850="","",[2]Baskol!$K$850)</f>
        <v/>
      </c>
      <c r="AC847">
        <f>IF([2]Baskol!$L$850="","",[2]Baskol!$L$850)</f>
        <v/>
      </c>
      <c r="AD847">
        <f>IF([2]Baskol!$N$850="","",[2]Baskol!$N$850)</f>
        <v/>
      </c>
      <c r="AE847">
        <f>IF([2]Baskol!$O$850="","",[2]Baskol!$O$850)</f>
        <v/>
      </c>
      <c r="AG847">
        <f>IF([3]Entry!$C$850="","",[3]Entry!$C$850)</f>
        <v/>
      </c>
      <c r="AH847">
        <f>IF([3]Entry!$D$850="","",[3]Entry!$D$850)</f>
        <v/>
      </c>
      <c r="AI847">
        <f>IF([3]Entry!$E$850="","",[3]Entry!$E$850)</f>
        <v/>
      </c>
      <c r="AJ847">
        <f>IF([3]Entry!$G$850="","",[3]Entry!$G$850)</f>
        <v/>
      </c>
      <c r="AK847">
        <f>IF([3]Entry!$K$850="","",[3]Entry!$K$850)</f>
        <v/>
      </c>
      <c r="AL847">
        <f>IF([3]Entry!$L$850="","",[3]Entry!$L$850)</f>
        <v/>
      </c>
      <c r="AM847">
        <f>IF([3]Entry!$M$850="","",[3]Entry!$M$850)</f>
        <v/>
      </c>
      <c r="AN847">
        <f>IF([3]Entry!$N$850="","",[3]Entry!$N$850)</f>
        <v/>
      </c>
      <c r="AO847">
        <f>IF([3]Entry!$R$850="","",[3]Entry!$R$850)</f>
        <v/>
      </c>
    </row>
    <row r="848">
      <c r="U848">
        <f>IF([2]Baskol!$B$851="","",[2]Baskol!$B$851)</f>
        <v/>
      </c>
      <c r="V848">
        <f>IF([2]Baskol!$C$851="","",[2]Baskol!$C$851)</f>
        <v/>
      </c>
      <c r="W848">
        <f>IF([2]Baskol!$D$851="","",[2]Baskol!$D$851)</f>
        <v/>
      </c>
      <c r="X848">
        <f>IF([2]Baskol!$E$851="","",[2]Baskol!$E$851)</f>
        <v/>
      </c>
      <c r="Y848">
        <f>IF([2]Baskol!$G$851="","",[2]Baskol!$G$851)</f>
        <v/>
      </c>
      <c r="Z848">
        <f>IF([2]Baskol!$I$851="","",[2]Baskol!$I$851)</f>
        <v/>
      </c>
      <c r="AA848">
        <f>IF([2]Baskol!$J$851="","",[2]Baskol!$J$851)</f>
        <v/>
      </c>
      <c r="AB848">
        <f>IF([2]Baskol!$K$851="","",[2]Baskol!$K$851)</f>
        <v/>
      </c>
      <c r="AC848">
        <f>IF([2]Baskol!$L$851="","",[2]Baskol!$L$851)</f>
        <v/>
      </c>
      <c r="AD848">
        <f>IF([2]Baskol!$N$851="","",[2]Baskol!$N$851)</f>
        <v/>
      </c>
      <c r="AE848">
        <f>IF([2]Baskol!$O$851="","",[2]Baskol!$O$851)</f>
        <v/>
      </c>
      <c r="AG848">
        <f>IF([3]Entry!$C$851="","",[3]Entry!$C$851)</f>
        <v/>
      </c>
      <c r="AH848">
        <f>IF([3]Entry!$D$851="","",[3]Entry!$D$851)</f>
        <v/>
      </c>
      <c r="AI848">
        <f>IF([3]Entry!$E$851="","",[3]Entry!$E$851)</f>
        <v/>
      </c>
      <c r="AJ848">
        <f>IF([3]Entry!$G$851="","",[3]Entry!$G$851)</f>
        <v/>
      </c>
      <c r="AK848">
        <f>IF([3]Entry!$K$851="","",[3]Entry!$K$851)</f>
        <v/>
      </c>
      <c r="AL848">
        <f>IF([3]Entry!$L$851="","",[3]Entry!$L$851)</f>
        <v/>
      </c>
      <c r="AM848">
        <f>IF([3]Entry!$M$851="","",[3]Entry!$M$851)</f>
        <v/>
      </c>
      <c r="AN848">
        <f>IF([3]Entry!$N$851="","",[3]Entry!$N$851)</f>
        <v/>
      </c>
      <c r="AO848">
        <f>IF([3]Entry!$R$851="","",[3]Entry!$R$851)</f>
        <v/>
      </c>
    </row>
    <row r="849">
      <c r="U849">
        <f>IF([2]Baskol!$B$852="","",[2]Baskol!$B$852)</f>
        <v/>
      </c>
      <c r="V849">
        <f>IF([2]Baskol!$C$852="","",[2]Baskol!$C$852)</f>
        <v/>
      </c>
      <c r="W849">
        <f>IF([2]Baskol!$D$852="","",[2]Baskol!$D$852)</f>
        <v/>
      </c>
      <c r="X849">
        <f>IF([2]Baskol!$E$852="","",[2]Baskol!$E$852)</f>
        <v/>
      </c>
      <c r="Y849">
        <f>IF([2]Baskol!$G$852="","",[2]Baskol!$G$852)</f>
        <v/>
      </c>
      <c r="Z849">
        <f>IF([2]Baskol!$I$852="","",[2]Baskol!$I$852)</f>
        <v/>
      </c>
      <c r="AA849">
        <f>IF([2]Baskol!$J$852="","",[2]Baskol!$J$852)</f>
        <v/>
      </c>
      <c r="AB849">
        <f>IF([2]Baskol!$K$852="","",[2]Baskol!$K$852)</f>
        <v/>
      </c>
      <c r="AC849">
        <f>IF([2]Baskol!$L$852="","",[2]Baskol!$L$852)</f>
        <v/>
      </c>
      <c r="AD849">
        <f>IF([2]Baskol!$N$852="","",[2]Baskol!$N$852)</f>
        <v/>
      </c>
      <c r="AE849">
        <f>IF([2]Baskol!$O$852="","",[2]Baskol!$O$852)</f>
        <v/>
      </c>
      <c r="AG849">
        <f>IF([3]Entry!$C$852="","",[3]Entry!$C$852)</f>
        <v/>
      </c>
      <c r="AH849">
        <f>IF([3]Entry!$D$852="","",[3]Entry!$D$852)</f>
        <v/>
      </c>
      <c r="AI849">
        <f>IF([3]Entry!$E$852="","",[3]Entry!$E$852)</f>
        <v/>
      </c>
      <c r="AJ849">
        <f>IF([3]Entry!$G$852="","",[3]Entry!$G$852)</f>
        <v/>
      </c>
      <c r="AK849">
        <f>IF([3]Entry!$K$852="","",[3]Entry!$K$852)</f>
        <v/>
      </c>
      <c r="AL849">
        <f>IF([3]Entry!$L$852="","",[3]Entry!$L$852)</f>
        <v/>
      </c>
      <c r="AM849">
        <f>IF([3]Entry!$M$852="","",[3]Entry!$M$852)</f>
        <v/>
      </c>
      <c r="AN849">
        <f>IF([3]Entry!$N$852="","",[3]Entry!$N$852)</f>
        <v/>
      </c>
      <c r="AO849">
        <f>IF([3]Entry!$R$852="","",[3]Entry!$R$852)</f>
        <v/>
      </c>
    </row>
    <row r="850">
      <c r="U850">
        <f>IF([2]Baskol!$B$853="","",[2]Baskol!$B$853)</f>
        <v/>
      </c>
      <c r="V850">
        <f>IF([2]Baskol!$C$853="","",[2]Baskol!$C$853)</f>
        <v/>
      </c>
      <c r="W850">
        <f>IF([2]Baskol!$D$853="","",[2]Baskol!$D$853)</f>
        <v/>
      </c>
      <c r="X850">
        <f>IF([2]Baskol!$E$853="","",[2]Baskol!$E$853)</f>
        <v/>
      </c>
      <c r="Y850">
        <f>IF([2]Baskol!$G$853="","",[2]Baskol!$G$853)</f>
        <v/>
      </c>
      <c r="Z850">
        <f>IF([2]Baskol!$I$853="","",[2]Baskol!$I$853)</f>
        <v/>
      </c>
      <c r="AA850">
        <f>IF([2]Baskol!$J$853="","",[2]Baskol!$J$853)</f>
        <v/>
      </c>
      <c r="AB850">
        <f>IF([2]Baskol!$K$853="","",[2]Baskol!$K$853)</f>
        <v/>
      </c>
      <c r="AC850">
        <f>IF([2]Baskol!$L$853="","",[2]Baskol!$L$853)</f>
        <v/>
      </c>
      <c r="AD850">
        <f>IF([2]Baskol!$N$853="","",[2]Baskol!$N$853)</f>
        <v/>
      </c>
      <c r="AE850">
        <f>IF([2]Baskol!$O$853="","",[2]Baskol!$O$853)</f>
        <v/>
      </c>
      <c r="AG850">
        <f>IF([3]Entry!$C$853="","",[3]Entry!$C$853)</f>
        <v/>
      </c>
      <c r="AH850">
        <f>IF([3]Entry!$D$853="","",[3]Entry!$D$853)</f>
        <v/>
      </c>
      <c r="AI850">
        <f>IF([3]Entry!$E$853="","",[3]Entry!$E$853)</f>
        <v/>
      </c>
      <c r="AJ850">
        <f>IF([3]Entry!$G$853="","",[3]Entry!$G$853)</f>
        <v/>
      </c>
      <c r="AK850">
        <f>IF([3]Entry!$K$853="","",[3]Entry!$K$853)</f>
        <v/>
      </c>
      <c r="AL850">
        <f>IF([3]Entry!$L$853="","",[3]Entry!$L$853)</f>
        <v/>
      </c>
      <c r="AM850">
        <f>IF([3]Entry!$M$853="","",[3]Entry!$M$853)</f>
        <v/>
      </c>
      <c r="AN850">
        <f>IF([3]Entry!$N$853="","",[3]Entry!$N$853)</f>
        <v/>
      </c>
      <c r="AO850">
        <f>IF([3]Entry!$R$853="","",[3]Entry!$R$853)</f>
        <v/>
      </c>
    </row>
    <row r="851">
      <c r="U851">
        <f>IF([2]Baskol!$B$854="","",[2]Baskol!$B$854)</f>
        <v/>
      </c>
      <c r="V851">
        <f>IF([2]Baskol!$C$854="","",[2]Baskol!$C$854)</f>
        <v/>
      </c>
      <c r="W851">
        <f>IF([2]Baskol!$D$854="","",[2]Baskol!$D$854)</f>
        <v/>
      </c>
      <c r="X851">
        <f>IF([2]Baskol!$E$854="","",[2]Baskol!$E$854)</f>
        <v/>
      </c>
      <c r="Y851">
        <f>IF([2]Baskol!$G$854="","",[2]Baskol!$G$854)</f>
        <v/>
      </c>
      <c r="Z851">
        <f>IF([2]Baskol!$I$854="","",[2]Baskol!$I$854)</f>
        <v/>
      </c>
      <c r="AA851">
        <f>IF([2]Baskol!$J$854="","",[2]Baskol!$J$854)</f>
        <v/>
      </c>
      <c r="AB851">
        <f>IF([2]Baskol!$K$854="","",[2]Baskol!$K$854)</f>
        <v/>
      </c>
      <c r="AC851">
        <f>IF([2]Baskol!$L$854="","",[2]Baskol!$L$854)</f>
        <v/>
      </c>
      <c r="AD851">
        <f>IF([2]Baskol!$N$854="","",[2]Baskol!$N$854)</f>
        <v/>
      </c>
      <c r="AE851">
        <f>IF([2]Baskol!$O$854="","",[2]Baskol!$O$854)</f>
        <v/>
      </c>
      <c r="AG851">
        <f>IF([3]Entry!$C$854="","",[3]Entry!$C$854)</f>
        <v/>
      </c>
      <c r="AH851">
        <f>IF([3]Entry!$D$854="","",[3]Entry!$D$854)</f>
        <v/>
      </c>
      <c r="AI851">
        <f>IF([3]Entry!$E$854="","",[3]Entry!$E$854)</f>
        <v/>
      </c>
      <c r="AJ851">
        <f>IF([3]Entry!$G$854="","",[3]Entry!$G$854)</f>
        <v/>
      </c>
      <c r="AK851">
        <f>IF([3]Entry!$K$854="","",[3]Entry!$K$854)</f>
        <v/>
      </c>
      <c r="AL851">
        <f>IF([3]Entry!$L$854="","",[3]Entry!$L$854)</f>
        <v/>
      </c>
      <c r="AM851">
        <f>IF([3]Entry!$M$854="","",[3]Entry!$M$854)</f>
        <v/>
      </c>
      <c r="AN851">
        <f>IF([3]Entry!$N$854="","",[3]Entry!$N$854)</f>
        <v/>
      </c>
      <c r="AO851">
        <f>IF([3]Entry!$R$854="","",[3]Entry!$R$854)</f>
        <v/>
      </c>
    </row>
    <row r="852">
      <c r="U852">
        <f>IF([2]Baskol!$B$855="","",[2]Baskol!$B$855)</f>
        <v/>
      </c>
      <c r="V852">
        <f>IF([2]Baskol!$C$855="","",[2]Baskol!$C$855)</f>
        <v/>
      </c>
      <c r="W852">
        <f>IF([2]Baskol!$D$855="","",[2]Baskol!$D$855)</f>
        <v/>
      </c>
      <c r="X852">
        <f>IF([2]Baskol!$E$855="","",[2]Baskol!$E$855)</f>
        <v/>
      </c>
      <c r="Y852">
        <f>IF([2]Baskol!$G$855="","",[2]Baskol!$G$855)</f>
        <v/>
      </c>
      <c r="Z852">
        <f>IF([2]Baskol!$I$855="","",[2]Baskol!$I$855)</f>
        <v/>
      </c>
      <c r="AA852">
        <f>IF([2]Baskol!$J$855="","",[2]Baskol!$J$855)</f>
        <v/>
      </c>
      <c r="AB852">
        <f>IF([2]Baskol!$K$855="","",[2]Baskol!$K$855)</f>
        <v/>
      </c>
      <c r="AC852">
        <f>IF([2]Baskol!$L$855="","",[2]Baskol!$L$855)</f>
        <v/>
      </c>
      <c r="AD852">
        <f>IF([2]Baskol!$N$855="","",[2]Baskol!$N$855)</f>
        <v/>
      </c>
      <c r="AE852">
        <f>IF([2]Baskol!$O$855="","",[2]Baskol!$O$855)</f>
        <v/>
      </c>
      <c r="AG852">
        <f>IF([3]Entry!$C$855="","",[3]Entry!$C$855)</f>
        <v/>
      </c>
      <c r="AH852">
        <f>IF([3]Entry!$D$855="","",[3]Entry!$D$855)</f>
        <v/>
      </c>
      <c r="AI852">
        <f>IF([3]Entry!$E$855="","",[3]Entry!$E$855)</f>
        <v/>
      </c>
      <c r="AJ852">
        <f>IF([3]Entry!$G$855="","",[3]Entry!$G$855)</f>
        <v/>
      </c>
      <c r="AK852">
        <f>IF([3]Entry!$K$855="","",[3]Entry!$K$855)</f>
        <v/>
      </c>
      <c r="AL852">
        <f>IF([3]Entry!$L$855="","",[3]Entry!$L$855)</f>
        <v/>
      </c>
      <c r="AM852">
        <f>IF([3]Entry!$M$855="","",[3]Entry!$M$855)</f>
        <v/>
      </c>
      <c r="AN852">
        <f>IF([3]Entry!$N$855="","",[3]Entry!$N$855)</f>
        <v/>
      </c>
      <c r="AO852">
        <f>IF([3]Entry!$R$855="","",[3]Entry!$R$855)</f>
        <v/>
      </c>
    </row>
    <row r="853">
      <c r="U853">
        <f>IF([2]Baskol!$B$856="","",[2]Baskol!$B$856)</f>
        <v/>
      </c>
      <c r="V853">
        <f>IF([2]Baskol!$C$856="","",[2]Baskol!$C$856)</f>
        <v/>
      </c>
      <c r="W853">
        <f>IF([2]Baskol!$D$856="","",[2]Baskol!$D$856)</f>
        <v/>
      </c>
      <c r="X853">
        <f>IF([2]Baskol!$E$856="","",[2]Baskol!$E$856)</f>
        <v/>
      </c>
      <c r="Y853">
        <f>IF([2]Baskol!$G$856="","",[2]Baskol!$G$856)</f>
        <v/>
      </c>
      <c r="Z853">
        <f>IF([2]Baskol!$I$856="","",[2]Baskol!$I$856)</f>
        <v/>
      </c>
      <c r="AA853">
        <f>IF([2]Baskol!$J$856="","",[2]Baskol!$J$856)</f>
        <v/>
      </c>
      <c r="AB853">
        <f>IF([2]Baskol!$K$856="","",[2]Baskol!$K$856)</f>
        <v/>
      </c>
      <c r="AC853">
        <f>IF([2]Baskol!$L$856="","",[2]Baskol!$L$856)</f>
        <v/>
      </c>
      <c r="AD853">
        <f>IF([2]Baskol!$N$856="","",[2]Baskol!$N$856)</f>
        <v/>
      </c>
      <c r="AE853">
        <f>IF([2]Baskol!$O$856="","",[2]Baskol!$O$856)</f>
        <v/>
      </c>
      <c r="AG853">
        <f>IF([3]Entry!$C$856="","",[3]Entry!$C$856)</f>
        <v/>
      </c>
      <c r="AH853">
        <f>IF([3]Entry!$D$856="","",[3]Entry!$D$856)</f>
        <v/>
      </c>
      <c r="AI853">
        <f>IF([3]Entry!$E$856="","",[3]Entry!$E$856)</f>
        <v/>
      </c>
      <c r="AJ853">
        <f>IF([3]Entry!$G$856="","",[3]Entry!$G$856)</f>
        <v/>
      </c>
      <c r="AK853">
        <f>IF([3]Entry!$K$856="","",[3]Entry!$K$856)</f>
        <v/>
      </c>
      <c r="AL853">
        <f>IF([3]Entry!$L$856="","",[3]Entry!$L$856)</f>
        <v/>
      </c>
      <c r="AM853">
        <f>IF([3]Entry!$M$856="","",[3]Entry!$M$856)</f>
        <v/>
      </c>
      <c r="AN853">
        <f>IF([3]Entry!$N$856="","",[3]Entry!$N$856)</f>
        <v/>
      </c>
      <c r="AO853">
        <f>IF([3]Entry!$R$856="","",[3]Entry!$R$856)</f>
        <v/>
      </c>
    </row>
    <row r="854">
      <c r="U854">
        <f>IF([2]Baskol!$B$857="","",[2]Baskol!$B$857)</f>
        <v/>
      </c>
      <c r="V854">
        <f>IF([2]Baskol!$C$857="","",[2]Baskol!$C$857)</f>
        <v/>
      </c>
      <c r="W854">
        <f>IF([2]Baskol!$D$857="","",[2]Baskol!$D$857)</f>
        <v/>
      </c>
      <c r="X854">
        <f>IF([2]Baskol!$E$857="","",[2]Baskol!$E$857)</f>
        <v/>
      </c>
      <c r="Y854">
        <f>IF([2]Baskol!$G$857="","",[2]Baskol!$G$857)</f>
        <v/>
      </c>
      <c r="Z854">
        <f>IF([2]Baskol!$I$857="","",[2]Baskol!$I$857)</f>
        <v/>
      </c>
      <c r="AA854">
        <f>IF([2]Baskol!$J$857="","",[2]Baskol!$J$857)</f>
        <v/>
      </c>
      <c r="AB854">
        <f>IF([2]Baskol!$K$857="","",[2]Baskol!$K$857)</f>
        <v/>
      </c>
      <c r="AC854">
        <f>IF([2]Baskol!$L$857="","",[2]Baskol!$L$857)</f>
        <v/>
      </c>
      <c r="AD854">
        <f>IF([2]Baskol!$N$857="","",[2]Baskol!$N$857)</f>
        <v/>
      </c>
      <c r="AE854">
        <f>IF([2]Baskol!$O$857="","",[2]Baskol!$O$857)</f>
        <v/>
      </c>
      <c r="AG854">
        <f>IF([3]Entry!$C$857="","",[3]Entry!$C$857)</f>
        <v/>
      </c>
      <c r="AH854">
        <f>IF([3]Entry!$D$857="","",[3]Entry!$D$857)</f>
        <v/>
      </c>
      <c r="AI854">
        <f>IF([3]Entry!$E$857="","",[3]Entry!$E$857)</f>
        <v/>
      </c>
      <c r="AJ854">
        <f>IF([3]Entry!$G$857="","",[3]Entry!$G$857)</f>
        <v/>
      </c>
      <c r="AK854">
        <f>IF([3]Entry!$K$857="","",[3]Entry!$K$857)</f>
        <v/>
      </c>
      <c r="AL854">
        <f>IF([3]Entry!$L$857="","",[3]Entry!$L$857)</f>
        <v/>
      </c>
      <c r="AM854">
        <f>IF([3]Entry!$M$857="","",[3]Entry!$M$857)</f>
        <v/>
      </c>
      <c r="AN854">
        <f>IF([3]Entry!$N$857="","",[3]Entry!$N$857)</f>
        <v/>
      </c>
      <c r="AO854">
        <f>IF([3]Entry!$R$857="","",[3]Entry!$R$857)</f>
        <v/>
      </c>
    </row>
    <row r="855">
      <c r="U855">
        <f>IF([2]Baskol!$B$858="","",[2]Baskol!$B$858)</f>
        <v/>
      </c>
      <c r="V855">
        <f>IF([2]Baskol!$C$858="","",[2]Baskol!$C$858)</f>
        <v/>
      </c>
      <c r="W855">
        <f>IF([2]Baskol!$D$858="","",[2]Baskol!$D$858)</f>
        <v/>
      </c>
      <c r="X855">
        <f>IF([2]Baskol!$E$858="","",[2]Baskol!$E$858)</f>
        <v/>
      </c>
      <c r="Y855">
        <f>IF([2]Baskol!$G$858="","",[2]Baskol!$G$858)</f>
        <v/>
      </c>
      <c r="Z855">
        <f>IF([2]Baskol!$I$858="","",[2]Baskol!$I$858)</f>
        <v/>
      </c>
      <c r="AA855">
        <f>IF([2]Baskol!$J$858="","",[2]Baskol!$J$858)</f>
        <v/>
      </c>
      <c r="AB855">
        <f>IF([2]Baskol!$K$858="","",[2]Baskol!$K$858)</f>
        <v/>
      </c>
      <c r="AC855">
        <f>IF([2]Baskol!$L$858="","",[2]Baskol!$L$858)</f>
        <v/>
      </c>
      <c r="AD855">
        <f>IF([2]Baskol!$N$858="","",[2]Baskol!$N$858)</f>
        <v/>
      </c>
      <c r="AE855">
        <f>IF([2]Baskol!$O$858="","",[2]Baskol!$O$858)</f>
        <v/>
      </c>
      <c r="AG855">
        <f>IF([3]Entry!$C$858="","",[3]Entry!$C$858)</f>
        <v/>
      </c>
      <c r="AH855">
        <f>IF([3]Entry!$D$858="","",[3]Entry!$D$858)</f>
        <v/>
      </c>
      <c r="AI855">
        <f>IF([3]Entry!$E$858="","",[3]Entry!$E$858)</f>
        <v/>
      </c>
      <c r="AJ855">
        <f>IF([3]Entry!$G$858="","",[3]Entry!$G$858)</f>
        <v/>
      </c>
      <c r="AK855">
        <f>IF([3]Entry!$K$858="","",[3]Entry!$K$858)</f>
        <v/>
      </c>
      <c r="AL855">
        <f>IF([3]Entry!$L$858="","",[3]Entry!$L$858)</f>
        <v/>
      </c>
      <c r="AM855">
        <f>IF([3]Entry!$M$858="","",[3]Entry!$M$858)</f>
        <v/>
      </c>
      <c r="AN855">
        <f>IF([3]Entry!$N$858="","",[3]Entry!$N$858)</f>
        <v/>
      </c>
      <c r="AO855">
        <f>IF([3]Entry!$R$858="","",[3]Entry!$R$858)</f>
        <v/>
      </c>
    </row>
    <row r="856">
      <c r="U856">
        <f>IF([2]Baskol!$B$859="","",[2]Baskol!$B$859)</f>
        <v/>
      </c>
      <c r="V856">
        <f>IF([2]Baskol!$C$859="","",[2]Baskol!$C$859)</f>
        <v/>
      </c>
      <c r="W856">
        <f>IF([2]Baskol!$D$859="","",[2]Baskol!$D$859)</f>
        <v/>
      </c>
      <c r="X856">
        <f>IF([2]Baskol!$E$859="","",[2]Baskol!$E$859)</f>
        <v/>
      </c>
      <c r="Y856">
        <f>IF([2]Baskol!$G$859="","",[2]Baskol!$G$859)</f>
        <v/>
      </c>
      <c r="Z856">
        <f>IF([2]Baskol!$I$859="","",[2]Baskol!$I$859)</f>
        <v/>
      </c>
      <c r="AA856">
        <f>IF([2]Baskol!$J$859="","",[2]Baskol!$J$859)</f>
        <v/>
      </c>
      <c r="AB856">
        <f>IF([2]Baskol!$K$859="","",[2]Baskol!$K$859)</f>
        <v/>
      </c>
      <c r="AC856">
        <f>IF([2]Baskol!$L$859="","",[2]Baskol!$L$859)</f>
        <v/>
      </c>
      <c r="AD856">
        <f>IF([2]Baskol!$N$859="","",[2]Baskol!$N$859)</f>
        <v/>
      </c>
      <c r="AE856">
        <f>IF([2]Baskol!$O$859="","",[2]Baskol!$O$859)</f>
        <v/>
      </c>
      <c r="AG856">
        <f>IF([3]Entry!$C$859="","",[3]Entry!$C$859)</f>
        <v/>
      </c>
      <c r="AH856">
        <f>IF([3]Entry!$D$859="","",[3]Entry!$D$859)</f>
        <v/>
      </c>
      <c r="AI856">
        <f>IF([3]Entry!$E$859="","",[3]Entry!$E$859)</f>
        <v/>
      </c>
      <c r="AJ856">
        <f>IF([3]Entry!$G$859="","",[3]Entry!$G$859)</f>
        <v/>
      </c>
      <c r="AK856">
        <f>IF([3]Entry!$K$859="","",[3]Entry!$K$859)</f>
        <v/>
      </c>
      <c r="AL856">
        <f>IF([3]Entry!$L$859="","",[3]Entry!$L$859)</f>
        <v/>
      </c>
      <c r="AM856">
        <f>IF([3]Entry!$M$859="","",[3]Entry!$M$859)</f>
        <v/>
      </c>
      <c r="AN856">
        <f>IF([3]Entry!$N$859="","",[3]Entry!$N$859)</f>
        <v/>
      </c>
      <c r="AO856">
        <f>IF([3]Entry!$R$859="","",[3]Entry!$R$859)</f>
        <v/>
      </c>
    </row>
    <row r="857">
      <c r="U857">
        <f>IF([2]Baskol!$B$860="","",[2]Baskol!$B$860)</f>
        <v/>
      </c>
      <c r="V857">
        <f>IF([2]Baskol!$C$860="","",[2]Baskol!$C$860)</f>
        <v/>
      </c>
      <c r="W857">
        <f>IF([2]Baskol!$D$860="","",[2]Baskol!$D$860)</f>
        <v/>
      </c>
      <c r="X857">
        <f>IF([2]Baskol!$E$860="","",[2]Baskol!$E$860)</f>
        <v/>
      </c>
      <c r="Y857">
        <f>IF([2]Baskol!$G$860="","",[2]Baskol!$G$860)</f>
        <v/>
      </c>
      <c r="Z857">
        <f>IF([2]Baskol!$I$860="","",[2]Baskol!$I$860)</f>
        <v/>
      </c>
      <c r="AA857">
        <f>IF([2]Baskol!$J$860="","",[2]Baskol!$J$860)</f>
        <v/>
      </c>
      <c r="AB857">
        <f>IF([2]Baskol!$K$860="","",[2]Baskol!$K$860)</f>
        <v/>
      </c>
      <c r="AC857">
        <f>IF([2]Baskol!$L$860="","",[2]Baskol!$L$860)</f>
        <v/>
      </c>
      <c r="AD857">
        <f>IF([2]Baskol!$N$860="","",[2]Baskol!$N$860)</f>
        <v/>
      </c>
      <c r="AE857">
        <f>IF([2]Baskol!$O$860="","",[2]Baskol!$O$860)</f>
        <v/>
      </c>
      <c r="AG857">
        <f>IF([3]Entry!$C$860="","",[3]Entry!$C$860)</f>
        <v/>
      </c>
      <c r="AH857">
        <f>IF([3]Entry!$D$860="","",[3]Entry!$D$860)</f>
        <v/>
      </c>
      <c r="AI857">
        <f>IF([3]Entry!$E$860="","",[3]Entry!$E$860)</f>
        <v/>
      </c>
      <c r="AJ857">
        <f>IF([3]Entry!$G$860="","",[3]Entry!$G$860)</f>
        <v/>
      </c>
      <c r="AK857">
        <f>IF([3]Entry!$K$860="","",[3]Entry!$K$860)</f>
        <v/>
      </c>
      <c r="AL857">
        <f>IF([3]Entry!$L$860="","",[3]Entry!$L$860)</f>
        <v/>
      </c>
      <c r="AM857">
        <f>IF([3]Entry!$M$860="","",[3]Entry!$M$860)</f>
        <v/>
      </c>
      <c r="AN857">
        <f>IF([3]Entry!$N$860="","",[3]Entry!$N$860)</f>
        <v/>
      </c>
      <c r="AO857">
        <f>IF([3]Entry!$R$860="","",[3]Entry!$R$860)</f>
        <v/>
      </c>
    </row>
    <row r="858">
      <c r="U858">
        <f>IF([2]Baskol!$B$861="","",[2]Baskol!$B$861)</f>
        <v/>
      </c>
      <c r="V858">
        <f>IF([2]Baskol!$C$861="","",[2]Baskol!$C$861)</f>
        <v/>
      </c>
      <c r="W858">
        <f>IF([2]Baskol!$D$861="","",[2]Baskol!$D$861)</f>
        <v/>
      </c>
      <c r="X858">
        <f>IF([2]Baskol!$E$861="","",[2]Baskol!$E$861)</f>
        <v/>
      </c>
      <c r="Y858">
        <f>IF([2]Baskol!$G$861="","",[2]Baskol!$G$861)</f>
        <v/>
      </c>
      <c r="Z858">
        <f>IF([2]Baskol!$I$861="","",[2]Baskol!$I$861)</f>
        <v/>
      </c>
      <c r="AA858">
        <f>IF([2]Baskol!$J$861="","",[2]Baskol!$J$861)</f>
        <v/>
      </c>
      <c r="AB858">
        <f>IF([2]Baskol!$K$861="","",[2]Baskol!$K$861)</f>
        <v/>
      </c>
      <c r="AC858">
        <f>IF([2]Baskol!$L$861="","",[2]Baskol!$L$861)</f>
        <v/>
      </c>
      <c r="AD858">
        <f>IF([2]Baskol!$N$861="","",[2]Baskol!$N$861)</f>
        <v/>
      </c>
      <c r="AE858">
        <f>IF([2]Baskol!$O$861="","",[2]Baskol!$O$861)</f>
        <v/>
      </c>
      <c r="AG858">
        <f>IF([3]Entry!$C$861="","",[3]Entry!$C$861)</f>
        <v/>
      </c>
      <c r="AH858">
        <f>IF([3]Entry!$D$861="","",[3]Entry!$D$861)</f>
        <v/>
      </c>
      <c r="AI858">
        <f>IF([3]Entry!$E$861="","",[3]Entry!$E$861)</f>
        <v/>
      </c>
      <c r="AJ858">
        <f>IF([3]Entry!$G$861="","",[3]Entry!$G$861)</f>
        <v/>
      </c>
      <c r="AK858">
        <f>IF([3]Entry!$K$861="","",[3]Entry!$K$861)</f>
        <v/>
      </c>
      <c r="AL858">
        <f>IF([3]Entry!$L$861="","",[3]Entry!$L$861)</f>
        <v/>
      </c>
      <c r="AM858">
        <f>IF([3]Entry!$M$861="","",[3]Entry!$M$861)</f>
        <v/>
      </c>
      <c r="AN858">
        <f>IF([3]Entry!$N$861="","",[3]Entry!$N$861)</f>
        <v/>
      </c>
      <c r="AO858">
        <f>IF([3]Entry!$R$861="","",[3]Entry!$R$861)</f>
        <v/>
      </c>
    </row>
    <row r="859">
      <c r="U859">
        <f>IF([2]Baskol!$B$862="","",[2]Baskol!$B$862)</f>
        <v/>
      </c>
      <c r="V859">
        <f>IF([2]Baskol!$C$862="","",[2]Baskol!$C$862)</f>
        <v/>
      </c>
      <c r="W859">
        <f>IF([2]Baskol!$D$862="","",[2]Baskol!$D$862)</f>
        <v/>
      </c>
      <c r="X859">
        <f>IF([2]Baskol!$E$862="","",[2]Baskol!$E$862)</f>
        <v/>
      </c>
      <c r="Y859">
        <f>IF([2]Baskol!$G$862="","",[2]Baskol!$G$862)</f>
        <v/>
      </c>
      <c r="Z859">
        <f>IF([2]Baskol!$I$862="","",[2]Baskol!$I$862)</f>
        <v/>
      </c>
      <c r="AA859">
        <f>IF([2]Baskol!$J$862="","",[2]Baskol!$J$862)</f>
        <v/>
      </c>
      <c r="AB859">
        <f>IF([2]Baskol!$K$862="","",[2]Baskol!$K$862)</f>
        <v/>
      </c>
      <c r="AC859">
        <f>IF([2]Baskol!$L$862="","",[2]Baskol!$L$862)</f>
        <v/>
      </c>
      <c r="AD859">
        <f>IF([2]Baskol!$N$862="","",[2]Baskol!$N$862)</f>
        <v/>
      </c>
      <c r="AE859">
        <f>IF([2]Baskol!$O$862="","",[2]Baskol!$O$862)</f>
        <v/>
      </c>
      <c r="AG859">
        <f>IF([3]Entry!$C$862="","",[3]Entry!$C$862)</f>
        <v/>
      </c>
      <c r="AH859">
        <f>IF([3]Entry!$D$862="","",[3]Entry!$D$862)</f>
        <v/>
      </c>
      <c r="AI859">
        <f>IF([3]Entry!$E$862="","",[3]Entry!$E$862)</f>
        <v/>
      </c>
      <c r="AJ859">
        <f>IF([3]Entry!$G$862="","",[3]Entry!$G$862)</f>
        <v/>
      </c>
      <c r="AK859">
        <f>IF([3]Entry!$K$862="","",[3]Entry!$K$862)</f>
        <v/>
      </c>
      <c r="AL859">
        <f>IF([3]Entry!$L$862="","",[3]Entry!$L$862)</f>
        <v/>
      </c>
      <c r="AM859">
        <f>IF([3]Entry!$M$862="","",[3]Entry!$M$862)</f>
        <v/>
      </c>
      <c r="AN859">
        <f>IF([3]Entry!$N$862="","",[3]Entry!$N$862)</f>
        <v/>
      </c>
      <c r="AO859">
        <f>IF([3]Entry!$R$862="","",[3]Entry!$R$862)</f>
        <v/>
      </c>
    </row>
    <row r="860">
      <c r="U860">
        <f>IF([2]Baskol!$B$863="","",[2]Baskol!$B$863)</f>
        <v/>
      </c>
      <c r="V860">
        <f>IF([2]Baskol!$C$863="","",[2]Baskol!$C$863)</f>
        <v/>
      </c>
      <c r="W860">
        <f>IF([2]Baskol!$D$863="","",[2]Baskol!$D$863)</f>
        <v/>
      </c>
      <c r="X860">
        <f>IF([2]Baskol!$E$863="","",[2]Baskol!$E$863)</f>
        <v/>
      </c>
      <c r="Y860">
        <f>IF([2]Baskol!$G$863="","",[2]Baskol!$G$863)</f>
        <v/>
      </c>
      <c r="Z860">
        <f>IF([2]Baskol!$I$863="","",[2]Baskol!$I$863)</f>
        <v/>
      </c>
      <c r="AA860">
        <f>IF([2]Baskol!$J$863="","",[2]Baskol!$J$863)</f>
        <v/>
      </c>
      <c r="AB860">
        <f>IF([2]Baskol!$K$863="","",[2]Baskol!$K$863)</f>
        <v/>
      </c>
      <c r="AC860">
        <f>IF([2]Baskol!$L$863="","",[2]Baskol!$L$863)</f>
        <v/>
      </c>
      <c r="AD860">
        <f>IF([2]Baskol!$N$863="","",[2]Baskol!$N$863)</f>
        <v/>
      </c>
      <c r="AE860">
        <f>IF([2]Baskol!$O$863="","",[2]Baskol!$O$863)</f>
        <v/>
      </c>
      <c r="AG860">
        <f>IF([3]Entry!$C$863="","",[3]Entry!$C$863)</f>
        <v/>
      </c>
      <c r="AH860">
        <f>IF([3]Entry!$D$863="","",[3]Entry!$D$863)</f>
        <v/>
      </c>
      <c r="AI860">
        <f>IF([3]Entry!$E$863="","",[3]Entry!$E$863)</f>
        <v/>
      </c>
      <c r="AJ860">
        <f>IF([3]Entry!$G$863="","",[3]Entry!$G$863)</f>
        <v/>
      </c>
      <c r="AK860">
        <f>IF([3]Entry!$K$863="","",[3]Entry!$K$863)</f>
        <v/>
      </c>
      <c r="AL860">
        <f>IF([3]Entry!$L$863="","",[3]Entry!$L$863)</f>
        <v/>
      </c>
      <c r="AM860">
        <f>IF([3]Entry!$M$863="","",[3]Entry!$M$863)</f>
        <v/>
      </c>
      <c r="AN860">
        <f>IF([3]Entry!$N$863="","",[3]Entry!$N$863)</f>
        <v/>
      </c>
      <c r="AO860">
        <f>IF([3]Entry!$R$863="","",[3]Entry!$R$863)</f>
        <v/>
      </c>
    </row>
    <row r="861">
      <c r="U861">
        <f>IF([2]Baskol!$B$864="","",[2]Baskol!$B$864)</f>
        <v/>
      </c>
      <c r="V861">
        <f>IF([2]Baskol!$C$864="","",[2]Baskol!$C$864)</f>
        <v/>
      </c>
      <c r="W861">
        <f>IF([2]Baskol!$D$864="","",[2]Baskol!$D$864)</f>
        <v/>
      </c>
      <c r="X861">
        <f>IF([2]Baskol!$E$864="","",[2]Baskol!$E$864)</f>
        <v/>
      </c>
      <c r="Y861">
        <f>IF([2]Baskol!$G$864="","",[2]Baskol!$G$864)</f>
        <v/>
      </c>
      <c r="Z861">
        <f>IF([2]Baskol!$I$864="","",[2]Baskol!$I$864)</f>
        <v/>
      </c>
      <c r="AA861">
        <f>IF([2]Baskol!$J$864="","",[2]Baskol!$J$864)</f>
        <v/>
      </c>
      <c r="AB861">
        <f>IF([2]Baskol!$K$864="","",[2]Baskol!$K$864)</f>
        <v/>
      </c>
      <c r="AC861">
        <f>IF([2]Baskol!$L$864="","",[2]Baskol!$L$864)</f>
        <v/>
      </c>
      <c r="AD861">
        <f>IF([2]Baskol!$N$864="","",[2]Baskol!$N$864)</f>
        <v/>
      </c>
      <c r="AE861">
        <f>IF([2]Baskol!$O$864="","",[2]Baskol!$O$864)</f>
        <v/>
      </c>
      <c r="AG861">
        <f>IF([3]Entry!$C$864="","",[3]Entry!$C$864)</f>
        <v/>
      </c>
      <c r="AH861">
        <f>IF([3]Entry!$D$864="","",[3]Entry!$D$864)</f>
        <v/>
      </c>
      <c r="AI861">
        <f>IF([3]Entry!$E$864="","",[3]Entry!$E$864)</f>
        <v/>
      </c>
      <c r="AJ861">
        <f>IF([3]Entry!$G$864="","",[3]Entry!$G$864)</f>
        <v/>
      </c>
      <c r="AK861">
        <f>IF([3]Entry!$K$864="","",[3]Entry!$K$864)</f>
        <v/>
      </c>
      <c r="AL861">
        <f>IF([3]Entry!$L$864="","",[3]Entry!$L$864)</f>
        <v/>
      </c>
      <c r="AM861">
        <f>IF([3]Entry!$M$864="","",[3]Entry!$M$864)</f>
        <v/>
      </c>
      <c r="AN861">
        <f>IF([3]Entry!$N$864="","",[3]Entry!$N$864)</f>
        <v/>
      </c>
      <c r="AO861">
        <f>IF([3]Entry!$R$864="","",[3]Entry!$R$864)</f>
        <v/>
      </c>
    </row>
    <row r="862">
      <c r="U862">
        <f>IF([2]Baskol!$B$865="","",[2]Baskol!$B$865)</f>
        <v/>
      </c>
      <c r="V862">
        <f>IF([2]Baskol!$C$865="","",[2]Baskol!$C$865)</f>
        <v/>
      </c>
      <c r="W862">
        <f>IF([2]Baskol!$D$865="","",[2]Baskol!$D$865)</f>
        <v/>
      </c>
      <c r="X862">
        <f>IF([2]Baskol!$E$865="","",[2]Baskol!$E$865)</f>
        <v/>
      </c>
      <c r="Y862">
        <f>IF([2]Baskol!$G$865="","",[2]Baskol!$G$865)</f>
        <v/>
      </c>
      <c r="Z862">
        <f>IF([2]Baskol!$I$865="","",[2]Baskol!$I$865)</f>
        <v/>
      </c>
      <c r="AA862">
        <f>IF([2]Baskol!$J$865="","",[2]Baskol!$J$865)</f>
        <v/>
      </c>
      <c r="AB862">
        <f>IF([2]Baskol!$K$865="","",[2]Baskol!$K$865)</f>
        <v/>
      </c>
      <c r="AC862">
        <f>IF([2]Baskol!$L$865="","",[2]Baskol!$L$865)</f>
        <v/>
      </c>
      <c r="AD862">
        <f>IF([2]Baskol!$N$865="","",[2]Baskol!$N$865)</f>
        <v/>
      </c>
      <c r="AE862">
        <f>IF([2]Baskol!$O$865="","",[2]Baskol!$O$865)</f>
        <v/>
      </c>
      <c r="AG862">
        <f>IF([3]Entry!$C$865="","",[3]Entry!$C$865)</f>
        <v/>
      </c>
      <c r="AH862">
        <f>IF([3]Entry!$D$865="","",[3]Entry!$D$865)</f>
        <v/>
      </c>
      <c r="AI862">
        <f>IF([3]Entry!$E$865="","",[3]Entry!$E$865)</f>
        <v/>
      </c>
      <c r="AJ862">
        <f>IF([3]Entry!$G$865="","",[3]Entry!$G$865)</f>
        <v/>
      </c>
      <c r="AK862">
        <f>IF([3]Entry!$K$865="","",[3]Entry!$K$865)</f>
        <v/>
      </c>
      <c r="AL862">
        <f>IF([3]Entry!$L$865="","",[3]Entry!$L$865)</f>
        <v/>
      </c>
      <c r="AM862">
        <f>IF([3]Entry!$M$865="","",[3]Entry!$M$865)</f>
        <v/>
      </c>
      <c r="AN862">
        <f>IF([3]Entry!$N$865="","",[3]Entry!$N$865)</f>
        <v/>
      </c>
      <c r="AO862">
        <f>IF([3]Entry!$R$865="","",[3]Entry!$R$865)</f>
        <v/>
      </c>
    </row>
    <row r="863">
      <c r="U863">
        <f>IF([2]Baskol!$B$866="","",[2]Baskol!$B$866)</f>
        <v/>
      </c>
      <c r="V863">
        <f>IF([2]Baskol!$C$866="","",[2]Baskol!$C$866)</f>
        <v/>
      </c>
      <c r="W863">
        <f>IF([2]Baskol!$D$866="","",[2]Baskol!$D$866)</f>
        <v/>
      </c>
      <c r="X863">
        <f>IF([2]Baskol!$E$866="","",[2]Baskol!$E$866)</f>
        <v/>
      </c>
      <c r="Y863">
        <f>IF([2]Baskol!$G$866="","",[2]Baskol!$G$866)</f>
        <v/>
      </c>
      <c r="Z863">
        <f>IF([2]Baskol!$I$866="","",[2]Baskol!$I$866)</f>
        <v/>
      </c>
      <c r="AA863">
        <f>IF([2]Baskol!$J$866="","",[2]Baskol!$J$866)</f>
        <v/>
      </c>
      <c r="AB863">
        <f>IF([2]Baskol!$K$866="","",[2]Baskol!$K$866)</f>
        <v/>
      </c>
      <c r="AC863">
        <f>IF([2]Baskol!$L$866="","",[2]Baskol!$L$866)</f>
        <v/>
      </c>
      <c r="AD863">
        <f>IF([2]Baskol!$N$866="","",[2]Baskol!$N$866)</f>
        <v/>
      </c>
      <c r="AE863">
        <f>IF([2]Baskol!$O$866="","",[2]Baskol!$O$866)</f>
        <v/>
      </c>
      <c r="AG863">
        <f>IF([3]Entry!$C$866="","",[3]Entry!$C$866)</f>
        <v/>
      </c>
      <c r="AH863">
        <f>IF([3]Entry!$D$866="","",[3]Entry!$D$866)</f>
        <v/>
      </c>
      <c r="AI863">
        <f>IF([3]Entry!$E$866="","",[3]Entry!$E$866)</f>
        <v/>
      </c>
      <c r="AJ863">
        <f>IF([3]Entry!$G$866="","",[3]Entry!$G$866)</f>
        <v/>
      </c>
      <c r="AK863">
        <f>IF([3]Entry!$K$866="","",[3]Entry!$K$866)</f>
        <v/>
      </c>
      <c r="AL863">
        <f>IF([3]Entry!$L$866="","",[3]Entry!$L$866)</f>
        <v/>
      </c>
      <c r="AM863">
        <f>IF([3]Entry!$M$866="","",[3]Entry!$M$866)</f>
        <v/>
      </c>
      <c r="AN863">
        <f>IF([3]Entry!$N$866="","",[3]Entry!$N$866)</f>
        <v/>
      </c>
      <c r="AO863">
        <f>IF([3]Entry!$R$866="","",[3]Entry!$R$866)</f>
        <v/>
      </c>
    </row>
    <row r="864">
      <c r="U864">
        <f>IF([2]Baskol!$B$867="","",[2]Baskol!$B$867)</f>
        <v/>
      </c>
      <c r="V864">
        <f>IF([2]Baskol!$C$867="","",[2]Baskol!$C$867)</f>
        <v/>
      </c>
      <c r="W864">
        <f>IF([2]Baskol!$D$867="","",[2]Baskol!$D$867)</f>
        <v/>
      </c>
      <c r="X864">
        <f>IF([2]Baskol!$E$867="","",[2]Baskol!$E$867)</f>
        <v/>
      </c>
      <c r="Y864">
        <f>IF([2]Baskol!$G$867="","",[2]Baskol!$G$867)</f>
        <v/>
      </c>
      <c r="Z864">
        <f>IF([2]Baskol!$I$867="","",[2]Baskol!$I$867)</f>
        <v/>
      </c>
      <c r="AA864">
        <f>IF([2]Baskol!$J$867="","",[2]Baskol!$J$867)</f>
        <v/>
      </c>
      <c r="AB864">
        <f>IF([2]Baskol!$K$867="","",[2]Baskol!$K$867)</f>
        <v/>
      </c>
      <c r="AC864">
        <f>IF([2]Baskol!$L$867="","",[2]Baskol!$L$867)</f>
        <v/>
      </c>
      <c r="AD864">
        <f>IF([2]Baskol!$N$867="","",[2]Baskol!$N$867)</f>
        <v/>
      </c>
      <c r="AE864">
        <f>IF([2]Baskol!$O$867="","",[2]Baskol!$O$867)</f>
        <v/>
      </c>
      <c r="AG864">
        <f>IF([3]Entry!$C$867="","",[3]Entry!$C$867)</f>
        <v/>
      </c>
      <c r="AH864">
        <f>IF([3]Entry!$D$867="","",[3]Entry!$D$867)</f>
        <v/>
      </c>
      <c r="AI864">
        <f>IF([3]Entry!$E$867="","",[3]Entry!$E$867)</f>
        <v/>
      </c>
      <c r="AJ864">
        <f>IF([3]Entry!$G$867="","",[3]Entry!$G$867)</f>
        <v/>
      </c>
      <c r="AK864">
        <f>IF([3]Entry!$K$867="","",[3]Entry!$K$867)</f>
        <v/>
      </c>
      <c r="AL864">
        <f>IF([3]Entry!$L$867="","",[3]Entry!$L$867)</f>
        <v/>
      </c>
      <c r="AM864">
        <f>IF([3]Entry!$M$867="","",[3]Entry!$M$867)</f>
        <v/>
      </c>
      <c r="AN864">
        <f>IF([3]Entry!$N$867="","",[3]Entry!$N$867)</f>
        <v/>
      </c>
      <c r="AO864">
        <f>IF([3]Entry!$R$867="","",[3]Entry!$R$867)</f>
        <v/>
      </c>
    </row>
    <row r="865">
      <c r="U865">
        <f>IF([2]Baskol!$B$868="","",[2]Baskol!$B$868)</f>
        <v/>
      </c>
      <c r="V865">
        <f>IF([2]Baskol!$C$868="","",[2]Baskol!$C$868)</f>
        <v/>
      </c>
      <c r="W865">
        <f>IF([2]Baskol!$D$868="","",[2]Baskol!$D$868)</f>
        <v/>
      </c>
      <c r="X865">
        <f>IF([2]Baskol!$E$868="","",[2]Baskol!$E$868)</f>
        <v/>
      </c>
      <c r="Y865">
        <f>IF([2]Baskol!$G$868="","",[2]Baskol!$G$868)</f>
        <v/>
      </c>
      <c r="Z865">
        <f>IF([2]Baskol!$I$868="","",[2]Baskol!$I$868)</f>
        <v/>
      </c>
      <c r="AA865">
        <f>IF([2]Baskol!$J$868="","",[2]Baskol!$J$868)</f>
        <v/>
      </c>
      <c r="AB865">
        <f>IF([2]Baskol!$K$868="","",[2]Baskol!$K$868)</f>
        <v/>
      </c>
      <c r="AC865">
        <f>IF([2]Baskol!$L$868="","",[2]Baskol!$L$868)</f>
        <v/>
      </c>
      <c r="AD865">
        <f>IF([2]Baskol!$N$868="","",[2]Baskol!$N$868)</f>
        <v/>
      </c>
      <c r="AE865">
        <f>IF([2]Baskol!$O$868="","",[2]Baskol!$O$868)</f>
        <v/>
      </c>
      <c r="AG865">
        <f>IF([3]Entry!$C$868="","",[3]Entry!$C$868)</f>
        <v/>
      </c>
      <c r="AH865">
        <f>IF([3]Entry!$D$868="","",[3]Entry!$D$868)</f>
        <v/>
      </c>
      <c r="AI865">
        <f>IF([3]Entry!$E$868="","",[3]Entry!$E$868)</f>
        <v/>
      </c>
      <c r="AJ865">
        <f>IF([3]Entry!$G$868="","",[3]Entry!$G$868)</f>
        <v/>
      </c>
      <c r="AK865">
        <f>IF([3]Entry!$K$868="","",[3]Entry!$K$868)</f>
        <v/>
      </c>
      <c r="AL865">
        <f>IF([3]Entry!$L$868="","",[3]Entry!$L$868)</f>
        <v/>
      </c>
      <c r="AM865">
        <f>IF([3]Entry!$M$868="","",[3]Entry!$M$868)</f>
        <v/>
      </c>
      <c r="AN865">
        <f>IF([3]Entry!$N$868="","",[3]Entry!$N$868)</f>
        <v/>
      </c>
      <c r="AO865">
        <f>IF([3]Entry!$R$868="","",[3]Entry!$R$868)</f>
        <v/>
      </c>
    </row>
    <row r="866">
      <c r="U866">
        <f>IF([2]Baskol!$B$869="","",[2]Baskol!$B$869)</f>
        <v/>
      </c>
      <c r="V866">
        <f>IF([2]Baskol!$C$869="","",[2]Baskol!$C$869)</f>
        <v/>
      </c>
      <c r="W866">
        <f>IF([2]Baskol!$D$869="","",[2]Baskol!$D$869)</f>
        <v/>
      </c>
      <c r="X866">
        <f>IF([2]Baskol!$E$869="","",[2]Baskol!$E$869)</f>
        <v/>
      </c>
      <c r="Y866">
        <f>IF([2]Baskol!$G$869="","",[2]Baskol!$G$869)</f>
        <v/>
      </c>
      <c r="Z866">
        <f>IF([2]Baskol!$I$869="","",[2]Baskol!$I$869)</f>
        <v/>
      </c>
      <c r="AA866">
        <f>IF([2]Baskol!$J$869="","",[2]Baskol!$J$869)</f>
        <v/>
      </c>
      <c r="AB866">
        <f>IF([2]Baskol!$K$869="","",[2]Baskol!$K$869)</f>
        <v/>
      </c>
      <c r="AC866">
        <f>IF([2]Baskol!$L$869="","",[2]Baskol!$L$869)</f>
        <v/>
      </c>
      <c r="AD866">
        <f>IF([2]Baskol!$N$869="","",[2]Baskol!$N$869)</f>
        <v/>
      </c>
      <c r="AE866">
        <f>IF([2]Baskol!$O$869="","",[2]Baskol!$O$869)</f>
        <v/>
      </c>
      <c r="AG866">
        <f>IF([3]Entry!$C$869="","",[3]Entry!$C$869)</f>
        <v/>
      </c>
      <c r="AH866">
        <f>IF([3]Entry!$D$869="","",[3]Entry!$D$869)</f>
        <v/>
      </c>
      <c r="AI866">
        <f>IF([3]Entry!$E$869="","",[3]Entry!$E$869)</f>
        <v/>
      </c>
      <c r="AJ866">
        <f>IF([3]Entry!$G$869="","",[3]Entry!$G$869)</f>
        <v/>
      </c>
      <c r="AK866">
        <f>IF([3]Entry!$K$869="","",[3]Entry!$K$869)</f>
        <v/>
      </c>
      <c r="AL866">
        <f>IF([3]Entry!$L$869="","",[3]Entry!$L$869)</f>
        <v/>
      </c>
      <c r="AM866">
        <f>IF([3]Entry!$M$869="","",[3]Entry!$M$869)</f>
        <v/>
      </c>
      <c r="AN866">
        <f>IF([3]Entry!$N$869="","",[3]Entry!$N$869)</f>
        <v/>
      </c>
      <c r="AO866">
        <f>IF([3]Entry!$R$869="","",[3]Entry!$R$869)</f>
        <v/>
      </c>
    </row>
    <row r="867">
      <c r="U867">
        <f>IF([2]Baskol!$B$870="","",[2]Baskol!$B$870)</f>
        <v/>
      </c>
      <c r="V867">
        <f>IF([2]Baskol!$C$870="","",[2]Baskol!$C$870)</f>
        <v/>
      </c>
      <c r="W867">
        <f>IF([2]Baskol!$D$870="","",[2]Baskol!$D$870)</f>
        <v/>
      </c>
      <c r="X867">
        <f>IF([2]Baskol!$E$870="","",[2]Baskol!$E$870)</f>
        <v/>
      </c>
      <c r="Y867">
        <f>IF([2]Baskol!$G$870="","",[2]Baskol!$G$870)</f>
        <v/>
      </c>
      <c r="Z867">
        <f>IF([2]Baskol!$I$870="","",[2]Baskol!$I$870)</f>
        <v/>
      </c>
      <c r="AA867">
        <f>IF([2]Baskol!$J$870="","",[2]Baskol!$J$870)</f>
        <v/>
      </c>
      <c r="AB867">
        <f>IF([2]Baskol!$K$870="","",[2]Baskol!$K$870)</f>
        <v/>
      </c>
      <c r="AC867">
        <f>IF([2]Baskol!$L$870="","",[2]Baskol!$L$870)</f>
        <v/>
      </c>
      <c r="AD867">
        <f>IF([2]Baskol!$N$870="","",[2]Baskol!$N$870)</f>
        <v/>
      </c>
      <c r="AE867">
        <f>IF([2]Baskol!$O$870="","",[2]Baskol!$O$870)</f>
        <v/>
      </c>
      <c r="AG867">
        <f>IF([3]Entry!$C$870="","",[3]Entry!$C$870)</f>
        <v/>
      </c>
      <c r="AH867">
        <f>IF([3]Entry!$D$870="","",[3]Entry!$D$870)</f>
        <v/>
      </c>
      <c r="AI867">
        <f>IF([3]Entry!$E$870="","",[3]Entry!$E$870)</f>
        <v/>
      </c>
      <c r="AJ867">
        <f>IF([3]Entry!$G$870="","",[3]Entry!$G$870)</f>
        <v/>
      </c>
      <c r="AK867">
        <f>IF([3]Entry!$K$870="","",[3]Entry!$K$870)</f>
        <v/>
      </c>
      <c r="AL867">
        <f>IF([3]Entry!$L$870="","",[3]Entry!$L$870)</f>
        <v/>
      </c>
      <c r="AM867">
        <f>IF([3]Entry!$M$870="","",[3]Entry!$M$870)</f>
        <v/>
      </c>
      <c r="AN867">
        <f>IF([3]Entry!$N$870="","",[3]Entry!$N$870)</f>
        <v/>
      </c>
      <c r="AO867">
        <f>IF([3]Entry!$R$870="","",[3]Entry!$R$870)</f>
        <v/>
      </c>
    </row>
    <row r="868">
      <c r="U868">
        <f>IF([2]Baskol!$B$871="","",[2]Baskol!$B$871)</f>
        <v/>
      </c>
      <c r="V868">
        <f>IF([2]Baskol!$C$871="","",[2]Baskol!$C$871)</f>
        <v/>
      </c>
      <c r="W868">
        <f>IF([2]Baskol!$D$871="","",[2]Baskol!$D$871)</f>
        <v/>
      </c>
      <c r="X868">
        <f>IF([2]Baskol!$E$871="","",[2]Baskol!$E$871)</f>
        <v/>
      </c>
      <c r="Y868">
        <f>IF([2]Baskol!$G$871="","",[2]Baskol!$G$871)</f>
        <v/>
      </c>
      <c r="Z868">
        <f>IF([2]Baskol!$I$871="","",[2]Baskol!$I$871)</f>
        <v/>
      </c>
      <c r="AA868">
        <f>IF([2]Baskol!$J$871="","",[2]Baskol!$J$871)</f>
        <v/>
      </c>
      <c r="AB868">
        <f>IF([2]Baskol!$K$871="","",[2]Baskol!$K$871)</f>
        <v/>
      </c>
      <c r="AC868">
        <f>IF([2]Baskol!$L$871="","",[2]Baskol!$L$871)</f>
        <v/>
      </c>
      <c r="AD868">
        <f>IF([2]Baskol!$N$871="","",[2]Baskol!$N$871)</f>
        <v/>
      </c>
      <c r="AE868">
        <f>IF([2]Baskol!$O$871="","",[2]Baskol!$O$871)</f>
        <v/>
      </c>
      <c r="AG868">
        <f>IF([3]Entry!$C$871="","",[3]Entry!$C$871)</f>
        <v/>
      </c>
      <c r="AH868">
        <f>IF([3]Entry!$D$871="","",[3]Entry!$D$871)</f>
        <v/>
      </c>
      <c r="AI868">
        <f>IF([3]Entry!$E$871="","",[3]Entry!$E$871)</f>
        <v/>
      </c>
      <c r="AJ868">
        <f>IF([3]Entry!$G$871="","",[3]Entry!$G$871)</f>
        <v/>
      </c>
      <c r="AK868">
        <f>IF([3]Entry!$K$871="","",[3]Entry!$K$871)</f>
        <v/>
      </c>
      <c r="AL868">
        <f>IF([3]Entry!$L$871="","",[3]Entry!$L$871)</f>
        <v/>
      </c>
      <c r="AM868">
        <f>IF([3]Entry!$M$871="","",[3]Entry!$M$871)</f>
        <v/>
      </c>
      <c r="AN868">
        <f>IF([3]Entry!$N$871="","",[3]Entry!$N$871)</f>
        <v/>
      </c>
      <c r="AO868">
        <f>IF([3]Entry!$R$871="","",[3]Entry!$R$871)</f>
        <v/>
      </c>
    </row>
    <row r="869">
      <c r="U869">
        <f>IF([2]Baskol!$B$872="","",[2]Baskol!$B$872)</f>
        <v/>
      </c>
      <c r="V869">
        <f>IF([2]Baskol!$C$872="","",[2]Baskol!$C$872)</f>
        <v/>
      </c>
      <c r="W869">
        <f>IF([2]Baskol!$D$872="","",[2]Baskol!$D$872)</f>
        <v/>
      </c>
      <c r="X869">
        <f>IF([2]Baskol!$E$872="","",[2]Baskol!$E$872)</f>
        <v/>
      </c>
      <c r="Y869">
        <f>IF([2]Baskol!$G$872="","",[2]Baskol!$G$872)</f>
        <v/>
      </c>
      <c r="Z869">
        <f>IF([2]Baskol!$I$872="","",[2]Baskol!$I$872)</f>
        <v/>
      </c>
      <c r="AA869">
        <f>IF([2]Baskol!$J$872="","",[2]Baskol!$J$872)</f>
        <v/>
      </c>
      <c r="AB869">
        <f>IF([2]Baskol!$K$872="","",[2]Baskol!$K$872)</f>
        <v/>
      </c>
      <c r="AC869">
        <f>IF([2]Baskol!$L$872="","",[2]Baskol!$L$872)</f>
        <v/>
      </c>
      <c r="AD869">
        <f>IF([2]Baskol!$N$872="","",[2]Baskol!$N$872)</f>
        <v/>
      </c>
      <c r="AE869">
        <f>IF([2]Baskol!$O$872="","",[2]Baskol!$O$872)</f>
        <v/>
      </c>
      <c r="AG869">
        <f>IF([3]Entry!$C$872="","",[3]Entry!$C$872)</f>
        <v/>
      </c>
      <c r="AH869">
        <f>IF([3]Entry!$D$872="","",[3]Entry!$D$872)</f>
        <v/>
      </c>
      <c r="AI869">
        <f>IF([3]Entry!$E$872="","",[3]Entry!$E$872)</f>
        <v/>
      </c>
      <c r="AJ869">
        <f>IF([3]Entry!$G$872="","",[3]Entry!$G$872)</f>
        <v/>
      </c>
      <c r="AK869">
        <f>IF([3]Entry!$K$872="","",[3]Entry!$K$872)</f>
        <v/>
      </c>
      <c r="AL869">
        <f>IF([3]Entry!$L$872="","",[3]Entry!$L$872)</f>
        <v/>
      </c>
      <c r="AM869">
        <f>IF([3]Entry!$M$872="","",[3]Entry!$M$872)</f>
        <v/>
      </c>
      <c r="AN869">
        <f>IF([3]Entry!$N$872="","",[3]Entry!$N$872)</f>
        <v/>
      </c>
      <c r="AO869">
        <f>IF([3]Entry!$R$872="","",[3]Entry!$R$872)</f>
        <v/>
      </c>
    </row>
    <row r="870">
      <c r="U870">
        <f>IF([2]Baskol!$B$873="","",[2]Baskol!$B$873)</f>
        <v/>
      </c>
      <c r="V870">
        <f>IF([2]Baskol!$C$873="","",[2]Baskol!$C$873)</f>
        <v/>
      </c>
      <c r="W870">
        <f>IF([2]Baskol!$D$873="","",[2]Baskol!$D$873)</f>
        <v/>
      </c>
      <c r="X870">
        <f>IF([2]Baskol!$E$873="","",[2]Baskol!$E$873)</f>
        <v/>
      </c>
      <c r="Y870">
        <f>IF([2]Baskol!$G$873="","",[2]Baskol!$G$873)</f>
        <v/>
      </c>
      <c r="Z870">
        <f>IF([2]Baskol!$I$873="","",[2]Baskol!$I$873)</f>
        <v/>
      </c>
      <c r="AA870">
        <f>IF([2]Baskol!$J$873="","",[2]Baskol!$J$873)</f>
        <v/>
      </c>
      <c r="AB870">
        <f>IF([2]Baskol!$K$873="","",[2]Baskol!$K$873)</f>
        <v/>
      </c>
      <c r="AC870">
        <f>IF([2]Baskol!$L$873="","",[2]Baskol!$L$873)</f>
        <v/>
      </c>
      <c r="AD870">
        <f>IF([2]Baskol!$N$873="","",[2]Baskol!$N$873)</f>
        <v/>
      </c>
      <c r="AE870">
        <f>IF([2]Baskol!$O$873="","",[2]Baskol!$O$873)</f>
        <v/>
      </c>
      <c r="AG870">
        <f>IF([3]Entry!$C$873="","",[3]Entry!$C$873)</f>
        <v/>
      </c>
      <c r="AH870">
        <f>IF([3]Entry!$D$873="","",[3]Entry!$D$873)</f>
        <v/>
      </c>
      <c r="AI870">
        <f>IF([3]Entry!$E$873="","",[3]Entry!$E$873)</f>
        <v/>
      </c>
      <c r="AJ870">
        <f>IF([3]Entry!$G$873="","",[3]Entry!$G$873)</f>
        <v/>
      </c>
      <c r="AK870">
        <f>IF([3]Entry!$K$873="","",[3]Entry!$K$873)</f>
        <v/>
      </c>
      <c r="AL870">
        <f>IF([3]Entry!$L$873="","",[3]Entry!$L$873)</f>
        <v/>
      </c>
      <c r="AM870">
        <f>IF([3]Entry!$M$873="","",[3]Entry!$M$873)</f>
        <v/>
      </c>
      <c r="AN870">
        <f>IF([3]Entry!$N$873="","",[3]Entry!$N$873)</f>
        <v/>
      </c>
      <c r="AO870">
        <f>IF([3]Entry!$R$873="","",[3]Entry!$R$873)</f>
        <v/>
      </c>
    </row>
    <row r="871">
      <c r="U871">
        <f>IF([2]Baskol!$B$874="","",[2]Baskol!$B$874)</f>
        <v/>
      </c>
      <c r="V871">
        <f>IF([2]Baskol!$C$874="","",[2]Baskol!$C$874)</f>
        <v/>
      </c>
      <c r="W871">
        <f>IF([2]Baskol!$D$874="","",[2]Baskol!$D$874)</f>
        <v/>
      </c>
      <c r="X871">
        <f>IF([2]Baskol!$E$874="","",[2]Baskol!$E$874)</f>
        <v/>
      </c>
      <c r="Y871">
        <f>IF([2]Baskol!$G$874="","",[2]Baskol!$G$874)</f>
        <v/>
      </c>
      <c r="Z871">
        <f>IF([2]Baskol!$I$874="","",[2]Baskol!$I$874)</f>
        <v/>
      </c>
      <c r="AA871">
        <f>IF([2]Baskol!$J$874="","",[2]Baskol!$J$874)</f>
        <v/>
      </c>
      <c r="AB871">
        <f>IF([2]Baskol!$K$874="","",[2]Baskol!$K$874)</f>
        <v/>
      </c>
      <c r="AC871">
        <f>IF([2]Baskol!$L$874="","",[2]Baskol!$L$874)</f>
        <v/>
      </c>
      <c r="AD871">
        <f>IF([2]Baskol!$N$874="","",[2]Baskol!$N$874)</f>
        <v/>
      </c>
      <c r="AE871">
        <f>IF([2]Baskol!$O$874="","",[2]Baskol!$O$874)</f>
        <v/>
      </c>
      <c r="AG871">
        <f>IF([3]Entry!$C$874="","",[3]Entry!$C$874)</f>
        <v/>
      </c>
      <c r="AH871">
        <f>IF([3]Entry!$D$874="","",[3]Entry!$D$874)</f>
        <v/>
      </c>
      <c r="AI871">
        <f>IF([3]Entry!$E$874="","",[3]Entry!$E$874)</f>
        <v/>
      </c>
      <c r="AJ871">
        <f>IF([3]Entry!$G$874="","",[3]Entry!$G$874)</f>
        <v/>
      </c>
      <c r="AK871">
        <f>IF([3]Entry!$K$874="","",[3]Entry!$K$874)</f>
        <v/>
      </c>
      <c r="AL871">
        <f>IF([3]Entry!$L$874="","",[3]Entry!$L$874)</f>
        <v/>
      </c>
      <c r="AM871">
        <f>IF([3]Entry!$M$874="","",[3]Entry!$M$874)</f>
        <v/>
      </c>
      <c r="AN871">
        <f>IF([3]Entry!$N$874="","",[3]Entry!$N$874)</f>
        <v/>
      </c>
      <c r="AO871">
        <f>IF([3]Entry!$R$874="","",[3]Entry!$R$874)</f>
        <v/>
      </c>
    </row>
    <row r="872">
      <c r="U872">
        <f>IF([2]Baskol!$B$875="","",[2]Baskol!$B$875)</f>
        <v/>
      </c>
      <c r="V872">
        <f>IF([2]Baskol!$C$875="","",[2]Baskol!$C$875)</f>
        <v/>
      </c>
      <c r="W872">
        <f>IF([2]Baskol!$D$875="","",[2]Baskol!$D$875)</f>
        <v/>
      </c>
      <c r="X872">
        <f>IF([2]Baskol!$E$875="","",[2]Baskol!$E$875)</f>
        <v/>
      </c>
      <c r="Y872">
        <f>IF([2]Baskol!$G$875="","",[2]Baskol!$G$875)</f>
        <v/>
      </c>
      <c r="Z872">
        <f>IF([2]Baskol!$I$875="","",[2]Baskol!$I$875)</f>
        <v/>
      </c>
      <c r="AA872">
        <f>IF([2]Baskol!$J$875="","",[2]Baskol!$J$875)</f>
        <v/>
      </c>
      <c r="AB872">
        <f>IF([2]Baskol!$K$875="","",[2]Baskol!$K$875)</f>
        <v/>
      </c>
      <c r="AC872">
        <f>IF([2]Baskol!$L$875="","",[2]Baskol!$L$875)</f>
        <v/>
      </c>
      <c r="AD872">
        <f>IF([2]Baskol!$N$875="","",[2]Baskol!$N$875)</f>
        <v/>
      </c>
      <c r="AE872">
        <f>IF([2]Baskol!$O$875="","",[2]Baskol!$O$875)</f>
        <v/>
      </c>
      <c r="AG872">
        <f>IF([3]Entry!$C$875="","",[3]Entry!$C$875)</f>
        <v/>
      </c>
      <c r="AH872">
        <f>IF([3]Entry!$D$875="","",[3]Entry!$D$875)</f>
        <v/>
      </c>
      <c r="AI872">
        <f>IF([3]Entry!$E$875="","",[3]Entry!$E$875)</f>
        <v/>
      </c>
      <c r="AJ872">
        <f>IF([3]Entry!$G$875="","",[3]Entry!$G$875)</f>
        <v/>
      </c>
      <c r="AK872">
        <f>IF([3]Entry!$K$875="","",[3]Entry!$K$875)</f>
        <v/>
      </c>
      <c r="AL872">
        <f>IF([3]Entry!$L$875="","",[3]Entry!$L$875)</f>
        <v/>
      </c>
      <c r="AM872">
        <f>IF([3]Entry!$M$875="","",[3]Entry!$M$875)</f>
        <v/>
      </c>
      <c r="AN872">
        <f>IF([3]Entry!$N$875="","",[3]Entry!$N$875)</f>
        <v/>
      </c>
      <c r="AO872">
        <f>IF([3]Entry!$R$875="","",[3]Entry!$R$875)</f>
        <v/>
      </c>
    </row>
    <row r="873">
      <c r="U873">
        <f>IF([2]Baskol!$B$876="","",[2]Baskol!$B$876)</f>
        <v/>
      </c>
      <c r="V873">
        <f>IF([2]Baskol!$C$876="","",[2]Baskol!$C$876)</f>
        <v/>
      </c>
      <c r="W873">
        <f>IF([2]Baskol!$D$876="","",[2]Baskol!$D$876)</f>
        <v/>
      </c>
      <c r="X873">
        <f>IF([2]Baskol!$E$876="","",[2]Baskol!$E$876)</f>
        <v/>
      </c>
      <c r="Y873">
        <f>IF([2]Baskol!$G$876="","",[2]Baskol!$G$876)</f>
        <v/>
      </c>
      <c r="Z873">
        <f>IF([2]Baskol!$I$876="","",[2]Baskol!$I$876)</f>
        <v/>
      </c>
      <c r="AA873">
        <f>IF([2]Baskol!$J$876="","",[2]Baskol!$J$876)</f>
        <v/>
      </c>
      <c r="AB873">
        <f>IF([2]Baskol!$K$876="","",[2]Baskol!$K$876)</f>
        <v/>
      </c>
      <c r="AC873">
        <f>IF([2]Baskol!$L$876="","",[2]Baskol!$L$876)</f>
        <v/>
      </c>
      <c r="AD873">
        <f>IF([2]Baskol!$N$876="","",[2]Baskol!$N$876)</f>
        <v/>
      </c>
      <c r="AE873">
        <f>IF([2]Baskol!$O$876="","",[2]Baskol!$O$876)</f>
        <v/>
      </c>
      <c r="AG873">
        <f>IF([3]Entry!$C$876="","",[3]Entry!$C$876)</f>
        <v/>
      </c>
      <c r="AH873">
        <f>IF([3]Entry!$D$876="","",[3]Entry!$D$876)</f>
        <v/>
      </c>
      <c r="AI873">
        <f>IF([3]Entry!$E$876="","",[3]Entry!$E$876)</f>
        <v/>
      </c>
      <c r="AJ873">
        <f>IF([3]Entry!$G$876="","",[3]Entry!$G$876)</f>
        <v/>
      </c>
      <c r="AK873">
        <f>IF([3]Entry!$K$876="","",[3]Entry!$K$876)</f>
        <v/>
      </c>
      <c r="AL873">
        <f>IF([3]Entry!$L$876="","",[3]Entry!$L$876)</f>
        <v/>
      </c>
      <c r="AM873">
        <f>IF([3]Entry!$M$876="","",[3]Entry!$M$876)</f>
        <v/>
      </c>
      <c r="AN873">
        <f>IF([3]Entry!$N$876="","",[3]Entry!$N$876)</f>
        <v/>
      </c>
      <c r="AO873">
        <f>IF([3]Entry!$R$876="","",[3]Entry!$R$876)</f>
        <v/>
      </c>
    </row>
    <row r="874">
      <c r="U874">
        <f>IF([2]Baskol!$B$877="","",[2]Baskol!$B$877)</f>
        <v/>
      </c>
      <c r="V874">
        <f>IF([2]Baskol!$C$877="","",[2]Baskol!$C$877)</f>
        <v/>
      </c>
      <c r="W874">
        <f>IF([2]Baskol!$D$877="","",[2]Baskol!$D$877)</f>
        <v/>
      </c>
      <c r="X874">
        <f>IF([2]Baskol!$E$877="","",[2]Baskol!$E$877)</f>
        <v/>
      </c>
      <c r="Y874">
        <f>IF([2]Baskol!$G$877="","",[2]Baskol!$G$877)</f>
        <v/>
      </c>
      <c r="Z874">
        <f>IF([2]Baskol!$I$877="","",[2]Baskol!$I$877)</f>
        <v/>
      </c>
      <c r="AA874">
        <f>IF([2]Baskol!$J$877="","",[2]Baskol!$J$877)</f>
        <v/>
      </c>
      <c r="AB874">
        <f>IF([2]Baskol!$K$877="","",[2]Baskol!$K$877)</f>
        <v/>
      </c>
      <c r="AC874">
        <f>IF([2]Baskol!$L$877="","",[2]Baskol!$L$877)</f>
        <v/>
      </c>
      <c r="AD874">
        <f>IF([2]Baskol!$N$877="","",[2]Baskol!$N$877)</f>
        <v/>
      </c>
      <c r="AE874">
        <f>IF([2]Baskol!$O$877="","",[2]Baskol!$O$877)</f>
        <v/>
      </c>
      <c r="AG874">
        <f>IF([3]Entry!$C$877="","",[3]Entry!$C$877)</f>
        <v/>
      </c>
      <c r="AH874">
        <f>IF([3]Entry!$D$877="","",[3]Entry!$D$877)</f>
        <v/>
      </c>
      <c r="AI874">
        <f>IF([3]Entry!$E$877="","",[3]Entry!$E$877)</f>
        <v/>
      </c>
      <c r="AJ874">
        <f>IF([3]Entry!$G$877="","",[3]Entry!$G$877)</f>
        <v/>
      </c>
      <c r="AK874">
        <f>IF([3]Entry!$K$877="","",[3]Entry!$K$877)</f>
        <v/>
      </c>
      <c r="AL874">
        <f>IF([3]Entry!$L$877="","",[3]Entry!$L$877)</f>
        <v/>
      </c>
      <c r="AM874">
        <f>IF([3]Entry!$M$877="","",[3]Entry!$M$877)</f>
        <v/>
      </c>
      <c r="AN874">
        <f>IF([3]Entry!$N$877="","",[3]Entry!$N$877)</f>
        <v/>
      </c>
      <c r="AO874">
        <f>IF([3]Entry!$R$877="","",[3]Entry!$R$877)</f>
        <v/>
      </c>
    </row>
    <row r="875">
      <c r="U875">
        <f>IF([2]Baskol!$B$878="","",[2]Baskol!$B$878)</f>
        <v/>
      </c>
      <c r="V875">
        <f>IF([2]Baskol!$C$878="","",[2]Baskol!$C$878)</f>
        <v/>
      </c>
      <c r="W875">
        <f>IF([2]Baskol!$D$878="","",[2]Baskol!$D$878)</f>
        <v/>
      </c>
      <c r="X875">
        <f>IF([2]Baskol!$E$878="","",[2]Baskol!$E$878)</f>
        <v/>
      </c>
      <c r="Y875">
        <f>IF([2]Baskol!$G$878="","",[2]Baskol!$G$878)</f>
        <v/>
      </c>
      <c r="Z875">
        <f>IF([2]Baskol!$I$878="","",[2]Baskol!$I$878)</f>
        <v/>
      </c>
      <c r="AA875">
        <f>IF([2]Baskol!$J$878="","",[2]Baskol!$J$878)</f>
        <v/>
      </c>
      <c r="AB875">
        <f>IF([2]Baskol!$K$878="","",[2]Baskol!$K$878)</f>
        <v/>
      </c>
      <c r="AC875">
        <f>IF([2]Baskol!$L$878="","",[2]Baskol!$L$878)</f>
        <v/>
      </c>
      <c r="AD875">
        <f>IF([2]Baskol!$N$878="","",[2]Baskol!$N$878)</f>
        <v/>
      </c>
      <c r="AE875">
        <f>IF([2]Baskol!$O$878="","",[2]Baskol!$O$878)</f>
        <v/>
      </c>
      <c r="AG875">
        <f>IF([3]Entry!$C$878="","",[3]Entry!$C$878)</f>
        <v/>
      </c>
      <c r="AH875">
        <f>IF([3]Entry!$D$878="","",[3]Entry!$D$878)</f>
        <v/>
      </c>
      <c r="AI875">
        <f>IF([3]Entry!$E$878="","",[3]Entry!$E$878)</f>
        <v/>
      </c>
      <c r="AJ875">
        <f>IF([3]Entry!$G$878="","",[3]Entry!$G$878)</f>
        <v/>
      </c>
      <c r="AK875">
        <f>IF([3]Entry!$K$878="","",[3]Entry!$K$878)</f>
        <v/>
      </c>
      <c r="AL875">
        <f>IF([3]Entry!$L$878="","",[3]Entry!$L$878)</f>
        <v/>
      </c>
      <c r="AM875">
        <f>IF([3]Entry!$M$878="","",[3]Entry!$M$878)</f>
        <v/>
      </c>
      <c r="AN875">
        <f>IF([3]Entry!$N$878="","",[3]Entry!$N$878)</f>
        <v/>
      </c>
      <c r="AO875">
        <f>IF([3]Entry!$R$878="","",[3]Entry!$R$878)</f>
        <v/>
      </c>
    </row>
    <row r="876">
      <c r="U876">
        <f>IF([2]Baskol!$B$879="","",[2]Baskol!$B$879)</f>
        <v/>
      </c>
      <c r="V876">
        <f>IF([2]Baskol!$C$879="","",[2]Baskol!$C$879)</f>
        <v/>
      </c>
      <c r="W876">
        <f>IF([2]Baskol!$D$879="","",[2]Baskol!$D$879)</f>
        <v/>
      </c>
      <c r="X876">
        <f>IF([2]Baskol!$E$879="","",[2]Baskol!$E$879)</f>
        <v/>
      </c>
      <c r="Y876">
        <f>IF([2]Baskol!$G$879="","",[2]Baskol!$G$879)</f>
        <v/>
      </c>
      <c r="Z876">
        <f>IF([2]Baskol!$I$879="","",[2]Baskol!$I$879)</f>
        <v/>
      </c>
      <c r="AA876">
        <f>IF([2]Baskol!$J$879="","",[2]Baskol!$J$879)</f>
        <v/>
      </c>
      <c r="AB876">
        <f>IF([2]Baskol!$K$879="","",[2]Baskol!$K$879)</f>
        <v/>
      </c>
      <c r="AC876">
        <f>IF([2]Baskol!$L$879="","",[2]Baskol!$L$879)</f>
        <v/>
      </c>
      <c r="AD876">
        <f>IF([2]Baskol!$N$879="","",[2]Baskol!$N$879)</f>
        <v/>
      </c>
      <c r="AE876">
        <f>IF([2]Baskol!$O$879="","",[2]Baskol!$O$879)</f>
        <v/>
      </c>
      <c r="AG876">
        <f>IF([3]Entry!$C$879="","",[3]Entry!$C$879)</f>
        <v/>
      </c>
      <c r="AH876">
        <f>IF([3]Entry!$D$879="","",[3]Entry!$D$879)</f>
        <v/>
      </c>
      <c r="AI876">
        <f>IF([3]Entry!$E$879="","",[3]Entry!$E$879)</f>
        <v/>
      </c>
      <c r="AJ876">
        <f>IF([3]Entry!$G$879="","",[3]Entry!$G$879)</f>
        <v/>
      </c>
      <c r="AK876">
        <f>IF([3]Entry!$K$879="","",[3]Entry!$K$879)</f>
        <v/>
      </c>
      <c r="AL876">
        <f>IF([3]Entry!$L$879="","",[3]Entry!$L$879)</f>
        <v/>
      </c>
      <c r="AM876">
        <f>IF([3]Entry!$M$879="","",[3]Entry!$M$879)</f>
        <v/>
      </c>
      <c r="AN876">
        <f>IF([3]Entry!$N$879="","",[3]Entry!$N$879)</f>
        <v/>
      </c>
      <c r="AO876">
        <f>IF([3]Entry!$R$879="","",[3]Entry!$R$879)</f>
        <v/>
      </c>
    </row>
    <row r="877">
      <c r="U877">
        <f>IF([2]Baskol!$B$880="","",[2]Baskol!$B$880)</f>
        <v/>
      </c>
      <c r="V877">
        <f>IF([2]Baskol!$C$880="","",[2]Baskol!$C$880)</f>
        <v/>
      </c>
      <c r="W877">
        <f>IF([2]Baskol!$D$880="","",[2]Baskol!$D$880)</f>
        <v/>
      </c>
      <c r="X877">
        <f>IF([2]Baskol!$E$880="","",[2]Baskol!$E$880)</f>
        <v/>
      </c>
      <c r="Y877">
        <f>IF([2]Baskol!$G$880="","",[2]Baskol!$G$880)</f>
        <v/>
      </c>
      <c r="Z877">
        <f>IF([2]Baskol!$I$880="","",[2]Baskol!$I$880)</f>
        <v/>
      </c>
      <c r="AA877">
        <f>IF([2]Baskol!$J$880="","",[2]Baskol!$J$880)</f>
        <v/>
      </c>
      <c r="AB877">
        <f>IF([2]Baskol!$K$880="","",[2]Baskol!$K$880)</f>
        <v/>
      </c>
      <c r="AC877">
        <f>IF([2]Baskol!$L$880="","",[2]Baskol!$L$880)</f>
        <v/>
      </c>
      <c r="AD877">
        <f>IF([2]Baskol!$N$880="","",[2]Baskol!$N$880)</f>
        <v/>
      </c>
      <c r="AE877">
        <f>IF([2]Baskol!$O$880="","",[2]Baskol!$O$880)</f>
        <v/>
      </c>
      <c r="AG877">
        <f>IF([3]Entry!$C$880="","",[3]Entry!$C$880)</f>
        <v/>
      </c>
      <c r="AH877">
        <f>IF([3]Entry!$D$880="","",[3]Entry!$D$880)</f>
        <v/>
      </c>
      <c r="AI877">
        <f>IF([3]Entry!$E$880="","",[3]Entry!$E$880)</f>
        <v/>
      </c>
      <c r="AJ877">
        <f>IF([3]Entry!$G$880="","",[3]Entry!$G$880)</f>
        <v/>
      </c>
      <c r="AK877">
        <f>IF([3]Entry!$K$880="","",[3]Entry!$K$880)</f>
        <v/>
      </c>
      <c r="AL877">
        <f>IF([3]Entry!$L$880="","",[3]Entry!$L$880)</f>
        <v/>
      </c>
      <c r="AM877">
        <f>IF([3]Entry!$M$880="","",[3]Entry!$M$880)</f>
        <v/>
      </c>
      <c r="AN877">
        <f>IF([3]Entry!$N$880="","",[3]Entry!$N$880)</f>
        <v/>
      </c>
      <c r="AO877">
        <f>IF([3]Entry!$R$880="","",[3]Entry!$R$880)</f>
        <v/>
      </c>
    </row>
    <row r="878">
      <c r="U878">
        <f>IF([2]Baskol!$B$881="","",[2]Baskol!$B$881)</f>
        <v/>
      </c>
      <c r="V878">
        <f>IF([2]Baskol!$C$881="","",[2]Baskol!$C$881)</f>
        <v/>
      </c>
      <c r="W878">
        <f>IF([2]Baskol!$D$881="","",[2]Baskol!$D$881)</f>
        <v/>
      </c>
      <c r="X878">
        <f>IF([2]Baskol!$E$881="","",[2]Baskol!$E$881)</f>
        <v/>
      </c>
      <c r="Y878">
        <f>IF([2]Baskol!$G$881="","",[2]Baskol!$G$881)</f>
        <v/>
      </c>
      <c r="Z878">
        <f>IF([2]Baskol!$I$881="","",[2]Baskol!$I$881)</f>
        <v/>
      </c>
      <c r="AA878">
        <f>IF([2]Baskol!$J$881="","",[2]Baskol!$J$881)</f>
        <v/>
      </c>
      <c r="AB878">
        <f>IF([2]Baskol!$K$881="","",[2]Baskol!$K$881)</f>
        <v/>
      </c>
      <c r="AC878">
        <f>IF([2]Baskol!$L$881="","",[2]Baskol!$L$881)</f>
        <v/>
      </c>
      <c r="AD878">
        <f>IF([2]Baskol!$N$881="","",[2]Baskol!$N$881)</f>
        <v/>
      </c>
      <c r="AE878">
        <f>IF([2]Baskol!$O$881="","",[2]Baskol!$O$881)</f>
        <v/>
      </c>
      <c r="AG878">
        <f>IF([3]Entry!$C$881="","",[3]Entry!$C$881)</f>
        <v/>
      </c>
      <c r="AH878">
        <f>IF([3]Entry!$D$881="","",[3]Entry!$D$881)</f>
        <v/>
      </c>
      <c r="AI878">
        <f>IF([3]Entry!$E$881="","",[3]Entry!$E$881)</f>
        <v/>
      </c>
      <c r="AJ878">
        <f>IF([3]Entry!$G$881="","",[3]Entry!$G$881)</f>
        <v/>
      </c>
      <c r="AK878">
        <f>IF([3]Entry!$K$881="","",[3]Entry!$K$881)</f>
        <v/>
      </c>
      <c r="AL878">
        <f>IF([3]Entry!$L$881="","",[3]Entry!$L$881)</f>
        <v/>
      </c>
      <c r="AM878">
        <f>IF([3]Entry!$M$881="","",[3]Entry!$M$881)</f>
        <v/>
      </c>
      <c r="AN878">
        <f>IF([3]Entry!$N$881="","",[3]Entry!$N$881)</f>
        <v/>
      </c>
      <c r="AO878">
        <f>IF([3]Entry!$R$881="","",[3]Entry!$R$881)</f>
        <v/>
      </c>
    </row>
    <row r="879">
      <c r="U879">
        <f>IF([2]Baskol!$B$882="","",[2]Baskol!$B$882)</f>
        <v/>
      </c>
      <c r="V879">
        <f>IF([2]Baskol!$C$882="","",[2]Baskol!$C$882)</f>
        <v/>
      </c>
      <c r="W879">
        <f>IF([2]Baskol!$D$882="","",[2]Baskol!$D$882)</f>
        <v/>
      </c>
      <c r="X879">
        <f>IF([2]Baskol!$E$882="","",[2]Baskol!$E$882)</f>
        <v/>
      </c>
      <c r="Y879">
        <f>IF([2]Baskol!$G$882="","",[2]Baskol!$G$882)</f>
        <v/>
      </c>
      <c r="Z879">
        <f>IF([2]Baskol!$I$882="","",[2]Baskol!$I$882)</f>
        <v/>
      </c>
      <c r="AA879">
        <f>IF([2]Baskol!$J$882="","",[2]Baskol!$J$882)</f>
        <v/>
      </c>
      <c r="AB879">
        <f>IF([2]Baskol!$K$882="","",[2]Baskol!$K$882)</f>
        <v/>
      </c>
      <c r="AC879">
        <f>IF([2]Baskol!$L$882="","",[2]Baskol!$L$882)</f>
        <v/>
      </c>
      <c r="AD879">
        <f>IF([2]Baskol!$N$882="","",[2]Baskol!$N$882)</f>
        <v/>
      </c>
      <c r="AE879">
        <f>IF([2]Baskol!$O$882="","",[2]Baskol!$O$882)</f>
        <v/>
      </c>
      <c r="AG879">
        <f>IF([3]Entry!$C$882="","",[3]Entry!$C$882)</f>
        <v/>
      </c>
      <c r="AH879">
        <f>IF([3]Entry!$D$882="","",[3]Entry!$D$882)</f>
        <v/>
      </c>
      <c r="AI879">
        <f>IF([3]Entry!$E$882="","",[3]Entry!$E$882)</f>
        <v/>
      </c>
      <c r="AJ879">
        <f>IF([3]Entry!$G$882="","",[3]Entry!$G$882)</f>
        <v/>
      </c>
      <c r="AK879">
        <f>IF([3]Entry!$K$882="","",[3]Entry!$K$882)</f>
        <v/>
      </c>
      <c r="AL879">
        <f>IF([3]Entry!$L$882="","",[3]Entry!$L$882)</f>
        <v/>
      </c>
      <c r="AM879">
        <f>IF([3]Entry!$M$882="","",[3]Entry!$M$882)</f>
        <v/>
      </c>
      <c r="AN879">
        <f>IF([3]Entry!$N$882="","",[3]Entry!$N$882)</f>
        <v/>
      </c>
      <c r="AO879">
        <f>IF([3]Entry!$R$882="","",[3]Entry!$R$882)</f>
        <v/>
      </c>
    </row>
    <row r="880">
      <c r="U880">
        <f>IF([2]Baskol!$B$883="","",[2]Baskol!$B$883)</f>
        <v/>
      </c>
      <c r="V880">
        <f>IF([2]Baskol!$C$883="","",[2]Baskol!$C$883)</f>
        <v/>
      </c>
      <c r="W880">
        <f>IF([2]Baskol!$D$883="","",[2]Baskol!$D$883)</f>
        <v/>
      </c>
      <c r="X880">
        <f>IF([2]Baskol!$E$883="","",[2]Baskol!$E$883)</f>
        <v/>
      </c>
      <c r="Y880">
        <f>IF([2]Baskol!$G$883="","",[2]Baskol!$G$883)</f>
        <v/>
      </c>
      <c r="Z880">
        <f>IF([2]Baskol!$I$883="","",[2]Baskol!$I$883)</f>
        <v/>
      </c>
      <c r="AA880">
        <f>IF([2]Baskol!$J$883="","",[2]Baskol!$J$883)</f>
        <v/>
      </c>
      <c r="AB880">
        <f>IF([2]Baskol!$K$883="","",[2]Baskol!$K$883)</f>
        <v/>
      </c>
      <c r="AC880">
        <f>IF([2]Baskol!$L$883="","",[2]Baskol!$L$883)</f>
        <v/>
      </c>
      <c r="AD880">
        <f>IF([2]Baskol!$N$883="","",[2]Baskol!$N$883)</f>
        <v/>
      </c>
      <c r="AE880">
        <f>IF([2]Baskol!$O$883="","",[2]Baskol!$O$883)</f>
        <v/>
      </c>
      <c r="AG880">
        <f>IF([3]Entry!$C$883="","",[3]Entry!$C$883)</f>
        <v/>
      </c>
      <c r="AH880">
        <f>IF([3]Entry!$D$883="","",[3]Entry!$D$883)</f>
        <v/>
      </c>
      <c r="AI880">
        <f>IF([3]Entry!$E$883="","",[3]Entry!$E$883)</f>
        <v/>
      </c>
      <c r="AJ880">
        <f>IF([3]Entry!$G$883="","",[3]Entry!$G$883)</f>
        <v/>
      </c>
      <c r="AK880">
        <f>IF([3]Entry!$K$883="","",[3]Entry!$K$883)</f>
        <v/>
      </c>
      <c r="AL880">
        <f>IF([3]Entry!$L$883="","",[3]Entry!$L$883)</f>
        <v/>
      </c>
      <c r="AM880">
        <f>IF([3]Entry!$M$883="","",[3]Entry!$M$883)</f>
        <v/>
      </c>
      <c r="AN880">
        <f>IF([3]Entry!$N$883="","",[3]Entry!$N$883)</f>
        <v/>
      </c>
      <c r="AO880">
        <f>IF([3]Entry!$R$883="","",[3]Entry!$R$883)</f>
        <v/>
      </c>
    </row>
    <row r="881">
      <c r="U881">
        <f>IF([2]Baskol!$B$884="","",[2]Baskol!$B$884)</f>
        <v/>
      </c>
      <c r="V881">
        <f>IF([2]Baskol!$C$884="","",[2]Baskol!$C$884)</f>
        <v/>
      </c>
      <c r="W881">
        <f>IF([2]Baskol!$D$884="","",[2]Baskol!$D$884)</f>
        <v/>
      </c>
      <c r="X881">
        <f>IF([2]Baskol!$E$884="","",[2]Baskol!$E$884)</f>
        <v/>
      </c>
      <c r="Y881">
        <f>IF([2]Baskol!$G$884="","",[2]Baskol!$G$884)</f>
        <v/>
      </c>
      <c r="Z881">
        <f>IF([2]Baskol!$I$884="","",[2]Baskol!$I$884)</f>
        <v/>
      </c>
      <c r="AA881">
        <f>IF([2]Baskol!$J$884="","",[2]Baskol!$J$884)</f>
        <v/>
      </c>
      <c r="AB881">
        <f>IF([2]Baskol!$K$884="","",[2]Baskol!$K$884)</f>
        <v/>
      </c>
      <c r="AC881">
        <f>IF([2]Baskol!$L$884="","",[2]Baskol!$L$884)</f>
        <v/>
      </c>
      <c r="AD881">
        <f>IF([2]Baskol!$N$884="","",[2]Baskol!$N$884)</f>
        <v/>
      </c>
      <c r="AE881">
        <f>IF([2]Baskol!$O$884="","",[2]Baskol!$O$884)</f>
        <v/>
      </c>
      <c r="AG881">
        <f>IF([3]Entry!$C$884="","",[3]Entry!$C$884)</f>
        <v/>
      </c>
      <c r="AH881">
        <f>IF([3]Entry!$D$884="","",[3]Entry!$D$884)</f>
        <v/>
      </c>
      <c r="AI881">
        <f>IF([3]Entry!$E$884="","",[3]Entry!$E$884)</f>
        <v/>
      </c>
      <c r="AJ881">
        <f>IF([3]Entry!$G$884="","",[3]Entry!$G$884)</f>
        <v/>
      </c>
      <c r="AK881">
        <f>IF([3]Entry!$K$884="","",[3]Entry!$K$884)</f>
        <v/>
      </c>
      <c r="AL881">
        <f>IF([3]Entry!$L$884="","",[3]Entry!$L$884)</f>
        <v/>
      </c>
      <c r="AM881">
        <f>IF([3]Entry!$M$884="","",[3]Entry!$M$884)</f>
        <v/>
      </c>
      <c r="AN881">
        <f>IF([3]Entry!$N$884="","",[3]Entry!$N$884)</f>
        <v/>
      </c>
      <c r="AO881">
        <f>IF([3]Entry!$R$884="","",[3]Entry!$R$884)</f>
        <v/>
      </c>
    </row>
    <row r="882">
      <c r="U882">
        <f>IF([2]Baskol!$B$885="","",[2]Baskol!$B$885)</f>
        <v/>
      </c>
      <c r="V882">
        <f>IF([2]Baskol!$C$885="","",[2]Baskol!$C$885)</f>
        <v/>
      </c>
      <c r="W882">
        <f>IF([2]Baskol!$D$885="","",[2]Baskol!$D$885)</f>
        <v/>
      </c>
      <c r="X882">
        <f>IF([2]Baskol!$E$885="","",[2]Baskol!$E$885)</f>
        <v/>
      </c>
      <c r="Y882">
        <f>IF([2]Baskol!$G$885="","",[2]Baskol!$G$885)</f>
        <v/>
      </c>
      <c r="Z882">
        <f>IF([2]Baskol!$I$885="","",[2]Baskol!$I$885)</f>
        <v/>
      </c>
      <c r="AA882">
        <f>IF([2]Baskol!$J$885="","",[2]Baskol!$J$885)</f>
        <v/>
      </c>
      <c r="AB882">
        <f>IF([2]Baskol!$K$885="","",[2]Baskol!$K$885)</f>
        <v/>
      </c>
      <c r="AC882">
        <f>IF([2]Baskol!$L$885="","",[2]Baskol!$L$885)</f>
        <v/>
      </c>
      <c r="AD882">
        <f>IF([2]Baskol!$N$885="","",[2]Baskol!$N$885)</f>
        <v/>
      </c>
      <c r="AE882">
        <f>IF([2]Baskol!$O$885="","",[2]Baskol!$O$885)</f>
        <v/>
      </c>
      <c r="AG882">
        <f>IF([3]Entry!$C$885="","",[3]Entry!$C$885)</f>
        <v/>
      </c>
      <c r="AH882">
        <f>IF([3]Entry!$D$885="","",[3]Entry!$D$885)</f>
        <v/>
      </c>
      <c r="AI882">
        <f>IF([3]Entry!$E$885="","",[3]Entry!$E$885)</f>
        <v/>
      </c>
      <c r="AJ882">
        <f>IF([3]Entry!$G$885="","",[3]Entry!$G$885)</f>
        <v/>
      </c>
      <c r="AK882">
        <f>IF([3]Entry!$K$885="","",[3]Entry!$K$885)</f>
        <v/>
      </c>
      <c r="AL882">
        <f>IF([3]Entry!$L$885="","",[3]Entry!$L$885)</f>
        <v/>
      </c>
      <c r="AM882">
        <f>IF([3]Entry!$M$885="","",[3]Entry!$M$885)</f>
        <v/>
      </c>
      <c r="AN882">
        <f>IF([3]Entry!$N$885="","",[3]Entry!$N$885)</f>
        <v/>
      </c>
      <c r="AO882">
        <f>IF([3]Entry!$R$885="","",[3]Entry!$R$885)</f>
        <v/>
      </c>
    </row>
    <row r="883">
      <c r="U883">
        <f>IF([2]Baskol!$B$886="","",[2]Baskol!$B$886)</f>
        <v/>
      </c>
      <c r="V883">
        <f>IF([2]Baskol!$C$886="","",[2]Baskol!$C$886)</f>
        <v/>
      </c>
      <c r="W883">
        <f>IF([2]Baskol!$D$886="","",[2]Baskol!$D$886)</f>
        <v/>
      </c>
      <c r="X883">
        <f>IF([2]Baskol!$E$886="","",[2]Baskol!$E$886)</f>
        <v/>
      </c>
      <c r="Y883">
        <f>IF([2]Baskol!$G$886="","",[2]Baskol!$G$886)</f>
        <v/>
      </c>
      <c r="Z883">
        <f>IF([2]Baskol!$I$886="","",[2]Baskol!$I$886)</f>
        <v/>
      </c>
      <c r="AA883">
        <f>IF([2]Baskol!$J$886="","",[2]Baskol!$J$886)</f>
        <v/>
      </c>
      <c r="AB883">
        <f>IF([2]Baskol!$K$886="","",[2]Baskol!$K$886)</f>
        <v/>
      </c>
      <c r="AC883">
        <f>IF([2]Baskol!$L$886="","",[2]Baskol!$L$886)</f>
        <v/>
      </c>
      <c r="AD883">
        <f>IF([2]Baskol!$N$886="","",[2]Baskol!$N$886)</f>
        <v/>
      </c>
      <c r="AE883">
        <f>IF([2]Baskol!$O$886="","",[2]Baskol!$O$886)</f>
        <v/>
      </c>
      <c r="AG883">
        <f>IF([3]Entry!$C$886="","",[3]Entry!$C$886)</f>
        <v/>
      </c>
      <c r="AH883">
        <f>IF([3]Entry!$D$886="","",[3]Entry!$D$886)</f>
        <v/>
      </c>
      <c r="AI883">
        <f>IF([3]Entry!$E$886="","",[3]Entry!$E$886)</f>
        <v/>
      </c>
      <c r="AJ883">
        <f>IF([3]Entry!$G$886="","",[3]Entry!$G$886)</f>
        <v/>
      </c>
      <c r="AK883">
        <f>IF([3]Entry!$K$886="","",[3]Entry!$K$886)</f>
        <v/>
      </c>
      <c r="AL883">
        <f>IF([3]Entry!$L$886="","",[3]Entry!$L$886)</f>
        <v/>
      </c>
      <c r="AM883">
        <f>IF([3]Entry!$M$886="","",[3]Entry!$M$886)</f>
        <v/>
      </c>
      <c r="AN883">
        <f>IF([3]Entry!$N$886="","",[3]Entry!$N$886)</f>
        <v/>
      </c>
      <c r="AO883">
        <f>IF([3]Entry!$R$886="","",[3]Entry!$R$886)</f>
        <v/>
      </c>
    </row>
    <row r="884">
      <c r="U884">
        <f>IF([2]Baskol!$B$887="","",[2]Baskol!$B$887)</f>
        <v/>
      </c>
      <c r="V884">
        <f>IF([2]Baskol!$C$887="","",[2]Baskol!$C$887)</f>
        <v/>
      </c>
      <c r="W884">
        <f>IF([2]Baskol!$D$887="","",[2]Baskol!$D$887)</f>
        <v/>
      </c>
      <c r="X884">
        <f>IF([2]Baskol!$E$887="","",[2]Baskol!$E$887)</f>
        <v/>
      </c>
      <c r="Y884">
        <f>IF([2]Baskol!$G$887="","",[2]Baskol!$G$887)</f>
        <v/>
      </c>
      <c r="Z884">
        <f>IF([2]Baskol!$I$887="","",[2]Baskol!$I$887)</f>
        <v/>
      </c>
      <c r="AA884">
        <f>IF([2]Baskol!$J$887="","",[2]Baskol!$J$887)</f>
        <v/>
      </c>
      <c r="AB884">
        <f>IF([2]Baskol!$K$887="","",[2]Baskol!$K$887)</f>
        <v/>
      </c>
      <c r="AC884">
        <f>IF([2]Baskol!$L$887="","",[2]Baskol!$L$887)</f>
        <v/>
      </c>
      <c r="AD884">
        <f>IF([2]Baskol!$N$887="","",[2]Baskol!$N$887)</f>
        <v/>
      </c>
      <c r="AE884">
        <f>IF([2]Baskol!$O$887="","",[2]Baskol!$O$887)</f>
        <v/>
      </c>
      <c r="AG884">
        <f>IF([3]Entry!$C$887="","",[3]Entry!$C$887)</f>
        <v/>
      </c>
      <c r="AH884">
        <f>IF([3]Entry!$D$887="","",[3]Entry!$D$887)</f>
        <v/>
      </c>
      <c r="AI884">
        <f>IF([3]Entry!$E$887="","",[3]Entry!$E$887)</f>
        <v/>
      </c>
      <c r="AJ884">
        <f>IF([3]Entry!$G$887="","",[3]Entry!$G$887)</f>
        <v/>
      </c>
      <c r="AK884">
        <f>IF([3]Entry!$K$887="","",[3]Entry!$K$887)</f>
        <v/>
      </c>
      <c r="AL884">
        <f>IF([3]Entry!$L$887="","",[3]Entry!$L$887)</f>
        <v/>
      </c>
      <c r="AM884">
        <f>IF([3]Entry!$M$887="","",[3]Entry!$M$887)</f>
        <v/>
      </c>
      <c r="AN884">
        <f>IF([3]Entry!$N$887="","",[3]Entry!$N$887)</f>
        <v/>
      </c>
      <c r="AO884">
        <f>IF([3]Entry!$R$887="","",[3]Entry!$R$887)</f>
        <v/>
      </c>
    </row>
    <row r="885">
      <c r="U885">
        <f>IF([2]Baskol!$B$888="","",[2]Baskol!$B$888)</f>
        <v/>
      </c>
      <c r="V885">
        <f>IF([2]Baskol!$C$888="","",[2]Baskol!$C$888)</f>
        <v/>
      </c>
      <c r="W885">
        <f>IF([2]Baskol!$D$888="","",[2]Baskol!$D$888)</f>
        <v/>
      </c>
      <c r="X885">
        <f>IF([2]Baskol!$E$888="","",[2]Baskol!$E$888)</f>
        <v/>
      </c>
      <c r="Y885">
        <f>IF([2]Baskol!$G$888="","",[2]Baskol!$G$888)</f>
        <v/>
      </c>
      <c r="Z885">
        <f>IF([2]Baskol!$I$888="","",[2]Baskol!$I$888)</f>
        <v/>
      </c>
      <c r="AA885">
        <f>IF([2]Baskol!$J$888="","",[2]Baskol!$J$888)</f>
        <v/>
      </c>
      <c r="AB885">
        <f>IF([2]Baskol!$K$888="","",[2]Baskol!$K$888)</f>
        <v/>
      </c>
      <c r="AC885">
        <f>IF([2]Baskol!$L$888="","",[2]Baskol!$L$888)</f>
        <v/>
      </c>
      <c r="AD885">
        <f>IF([2]Baskol!$N$888="","",[2]Baskol!$N$888)</f>
        <v/>
      </c>
      <c r="AE885">
        <f>IF([2]Baskol!$O$888="","",[2]Baskol!$O$888)</f>
        <v/>
      </c>
      <c r="AG885">
        <f>IF([3]Entry!$C$888="","",[3]Entry!$C$888)</f>
        <v/>
      </c>
      <c r="AH885">
        <f>IF([3]Entry!$D$888="","",[3]Entry!$D$888)</f>
        <v/>
      </c>
      <c r="AI885">
        <f>IF([3]Entry!$E$888="","",[3]Entry!$E$888)</f>
        <v/>
      </c>
      <c r="AJ885">
        <f>IF([3]Entry!$G$888="","",[3]Entry!$G$888)</f>
        <v/>
      </c>
      <c r="AK885">
        <f>IF([3]Entry!$K$888="","",[3]Entry!$K$888)</f>
        <v/>
      </c>
      <c r="AL885">
        <f>IF([3]Entry!$L$888="","",[3]Entry!$L$888)</f>
        <v/>
      </c>
      <c r="AM885">
        <f>IF([3]Entry!$M$888="","",[3]Entry!$M$888)</f>
        <v/>
      </c>
      <c r="AN885">
        <f>IF([3]Entry!$N$888="","",[3]Entry!$N$888)</f>
        <v/>
      </c>
      <c r="AO885">
        <f>IF([3]Entry!$R$888="","",[3]Entry!$R$888)</f>
        <v/>
      </c>
    </row>
    <row r="886">
      <c r="U886">
        <f>IF([2]Baskol!$B$889="","",[2]Baskol!$B$889)</f>
        <v/>
      </c>
      <c r="V886">
        <f>IF([2]Baskol!$C$889="","",[2]Baskol!$C$889)</f>
        <v/>
      </c>
      <c r="W886">
        <f>IF([2]Baskol!$D$889="","",[2]Baskol!$D$889)</f>
        <v/>
      </c>
      <c r="X886">
        <f>IF([2]Baskol!$E$889="","",[2]Baskol!$E$889)</f>
        <v/>
      </c>
      <c r="Y886">
        <f>IF([2]Baskol!$G$889="","",[2]Baskol!$G$889)</f>
        <v/>
      </c>
      <c r="Z886">
        <f>IF([2]Baskol!$I$889="","",[2]Baskol!$I$889)</f>
        <v/>
      </c>
      <c r="AA886">
        <f>IF([2]Baskol!$J$889="","",[2]Baskol!$J$889)</f>
        <v/>
      </c>
      <c r="AB886">
        <f>IF([2]Baskol!$K$889="","",[2]Baskol!$K$889)</f>
        <v/>
      </c>
      <c r="AC886">
        <f>IF([2]Baskol!$L$889="","",[2]Baskol!$L$889)</f>
        <v/>
      </c>
      <c r="AD886">
        <f>IF([2]Baskol!$N$889="","",[2]Baskol!$N$889)</f>
        <v/>
      </c>
      <c r="AE886">
        <f>IF([2]Baskol!$O$889="","",[2]Baskol!$O$889)</f>
        <v/>
      </c>
      <c r="AG886">
        <f>IF([3]Entry!$C$889="","",[3]Entry!$C$889)</f>
        <v/>
      </c>
      <c r="AH886">
        <f>IF([3]Entry!$D$889="","",[3]Entry!$D$889)</f>
        <v/>
      </c>
      <c r="AI886">
        <f>IF([3]Entry!$E$889="","",[3]Entry!$E$889)</f>
        <v/>
      </c>
      <c r="AJ886">
        <f>IF([3]Entry!$G$889="","",[3]Entry!$G$889)</f>
        <v/>
      </c>
      <c r="AK886">
        <f>IF([3]Entry!$K$889="","",[3]Entry!$K$889)</f>
        <v/>
      </c>
      <c r="AL886">
        <f>IF([3]Entry!$L$889="","",[3]Entry!$L$889)</f>
        <v/>
      </c>
      <c r="AM886">
        <f>IF([3]Entry!$M$889="","",[3]Entry!$M$889)</f>
        <v/>
      </c>
      <c r="AN886">
        <f>IF([3]Entry!$N$889="","",[3]Entry!$N$889)</f>
        <v/>
      </c>
      <c r="AO886">
        <f>IF([3]Entry!$R$889="","",[3]Entry!$R$889)</f>
        <v/>
      </c>
    </row>
    <row r="887">
      <c r="U887">
        <f>IF([2]Baskol!$B$890="","",[2]Baskol!$B$890)</f>
        <v/>
      </c>
      <c r="V887">
        <f>IF([2]Baskol!$C$890="","",[2]Baskol!$C$890)</f>
        <v/>
      </c>
      <c r="W887">
        <f>IF([2]Baskol!$D$890="","",[2]Baskol!$D$890)</f>
        <v/>
      </c>
      <c r="X887">
        <f>IF([2]Baskol!$E$890="","",[2]Baskol!$E$890)</f>
        <v/>
      </c>
      <c r="Y887">
        <f>IF([2]Baskol!$G$890="","",[2]Baskol!$G$890)</f>
        <v/>
      </c>
      <c r="Z887">
        <f>IF([2]Baskol!$I$890="","",[2]Baskol!$I$890)</f>
        <v/>
      </c>
      <c r="AA887">
        <f>IF([2]Baskol!$J$890="","",[2]Baskol!$J$890)</f>
        <v/>
      </c>
      <c r="AB887">
        <f>IF([2]Baskol!$K$890="","",[2]Baskol!$K$890)</f>
        <v/>
      </c>
      <c r="AC887">
        <f>IF([2]Baskol!$L$890="","",[2]Baskol!$L$890)</f>
        <v/>
      </c>
      <c r="AD887">
        <f>IF([2]Baskol!$N$890="","",[2]Baskol!$N$890)</f>
        <v/>
      </c>
      <c r="AE887">
        <f>IF([2]Baskol!$O$890="","",[2]Baskol!$O$890)</f>
        <v/>
      </c>
      <c r="AG887">
        <f>IF([3]Entry!$C$890="","",[3]Entry!$C$890)</f>
        <v/>
      </c>
      <c r="AH887">
        <f>IF([3]Entry!$D$890="","",[3]Entry!$D$890)</f>
        <v/>
      </c>
      <c r="AI887">
        <f>IF([3]Entry!$E$890="","",[3]Entry!$E$890)</f>
        <v/>
      </c>
      <c r="AJ887">
        <f>IF([3]Entry!$G$890="","",[3]Entry!$G$890)</f>
        <v/>
      </c>
      <c r="AK887">
        <f>IF([3]Entry!$K$890="","",[3]Entry!$K$890)</f>
        <v/>
      </c>
      <c r="AL887">
        <f>IF([3]Entry!$L$890="","",[3]Entry!$L$890)</f>
        <v/>
      </c>
      <c r="AM887">
        <f>IF([3]Entry!$M$890="","",[3]Entry!$M$890)</f>
        <v/>
      </c>
      <c r="AN887">
        <f>IF([3]Entry!$N$890="","",[3]Entry!$N$890)</f>
        <v/>
      </c>
      <c r="AO887">
        <f>IF([3]Entry!$R$890="","",[3]Entry!$R$890)</f>
        <v/>
      </c>
    </row>
    <row r="888">
      <c r="U888">
        <f>IF([2]Baskol!$B$891="","",[2]Baskol!$B$891)</f>
        <v/>
      </c>
      <c r="V888">
        <f>IF([2]Baskol!$C$891="","",[2]Baskol!$C$891)</f>
        <v/>
      </c>
      <c r="W888">
        <f>IF([2]Baskol!$D$891="","",[2]Baskol!$D$891)</f>
        <v/>
      </c>
      <c r="X888">
        <f>IF([2]Baskol!$E$891="","",[2]Baskol!$E$891)</f>
        <v/>
      </c>
      <c r="Y888">
        <f>IF([2]Baskol!$G$891="","",[2]Baskol!$G$891)</f>
        <v/>
      </c>
      <c r="Z888">
        <f>IF([2]Baskol!$I$891="","",[2]Baskol!$I$891)</f>
        <v/>
      </c>
      <c r="AA888">
        <f>IF([2]Baskol!$J$891="","",[2]Baskol!$J$891)</f>
        <v/>
      </c>
      <c r="AB888">
        <f>IF([2]Baskol!$K$891="","",[2]Baskol!$K$891)</f>
        <v/>
      </c>
      <c r="AC888">
        <f>IF([2]Baskol!$L$891="","",[2]Baskol!$L$891)</f>
        <v/>
      </c>
      <c r="AD888">
        <f>IF([2]Baskol!$N$891="","",[2]Baskol!$N$891)</f>
        <v/>
      </c>
      <c r="AE888">
        <f>IF([2]Baskol!$O$891="","",[2]Baskol!$O$891)</f>
        <v/>
      </c>
      <c r="AG888">
        <f>IF([3]Entry!$C$891="","",[3]Entry!$C$891)</f>
        <v/>
      </c>
      <c r="AH888">
        <f>IF([3]Entry!$D$891="","",[3]Entry!$D$891)</f>
        <v/>
      </c>
      <c r="AI888">
        <f>IF([3]Entry!$E$891="","",[3]Entry!$E$891)</f>
        <v/>
      </c>
      <c r="AJ888">
        <f>IF([3]Entry!$G$891="","",[3]Entry!$G$891)</f>
        <v/>
      </c>
      <c r="AK888">
        <f>IF([3]Entry!$K$891="","",[3]Entry!$K$891)</f>
        <v/>
      </c>
      <c r="AL888">
        <f>IF([3]Entry!$L$891="","",[3]Entry!$L$891)</f>
        <v/>
      </c>
      <c r="AM888">
        <f>IF([3]Entry!$M$891="","",[3]Entry!$M$891)</f>
        <v/>
      </c>
      <c r="AN888">
        <f>IF([3]Entry!$N$891="","",[3]Entry!$N$891)</f>
        <v/>
      </c>
      <c r="AO888">
        <f>IF([3]Entry!$R$891="","",[3]Entry!$R$891)</f>
        <v/>
      </c>
    </row>
    <row r="889">
      <c r="U889">
        <f>IF([2]Baskol!$B$892="","",[2]Baskol!$B$892)</f>
        <v/>
      </c>
      <c r="V889">
        <f>IF([2]Baskol!$C$892="","",[2]Baskol!$C$892)</f>
        <v/>
      </c>
      <c r="W889">
        <f>IF([2]Baskol!$D$892="","",[2]Baskol!$D$892)</f>
        <v/>
      </c>
      <c r="X889">
        <f>IF([2]Baskol!$E$892="","",[2]Baskol!$E$892)</f>
        <v/>
      </c>
      <c r="Y889">
        <f>IF([2]Baskol!$G$892="","",[2]Baskol!$G$892)</f>
        <v/>
      </c>
      <c r="Z889">
        <f>IF([2]Baskol!$I$892="","",[2]Baskol!$I$892)</f>
        <v/>
      </c>
      <c r="AA889">
        <f>IF([2]Baskol!$J$892="","",[2]Baskol!$J$892)</f>
        <v/>
      </c>
      <c r="AB889">
        <f>IF([2]Baskol!$K$892="","",[2]Baskol!$K$892)</f>
        <v/>
      </c>
      <c r="AC889">
        <f>IF([2]Baskol!$L$892="","",[2]Baskol!$L$892)</f>
        <v/>
      </c>
      <c r="AD889">
        <f>IF([2]Baskol!$N$892="","",[2]Baskol!$N$892)</f>
        <v/>
      </c>
      <c r="AE889">
        <f>IF([2]Baskol!$O$892="","",[2]Baskol!$O$892)</f>
        <v/>
      </c>
      <c r="AG889">
        <f>IF([3]Entry!$C$892="","",[3]Entry!$C$892)</f>
        <v/>
      </c>
      <c r="AH889">
        <f>IF([3]Entry!$D$892="","",[3]Entry!$D$892)</f>
        <v/>
      </c>
      <c r="AI889">
        <f>IF([3]Entry!$E$892="","",[3]Entry!$E$892)</f>
        <v/>
      </c>
      <c r="AJ889">
        <f>IF([3]Entry!$G$892="","",[3]Entry!$G$892)</f>
        <v/>
      </c>
      <c r="AK889">
        <f>IF([3]Entry!$K$892="","",[3]Entry!$K$892)</f>
        <v/>
      </c>
      <c r="AL889">
        <f>IF([3]Entry!$L$892="","",[3]Entry!$L$892)</f>
        <v/>
      </c>
      <c r="AM889">
        <f>IF([3]Entry!$M$892="","",[3]Entry!$M$892)</f>
        <v/>
      </c>
      <c r="AN889">
        <f>IF([3]Entry!$N$892="","",[3]Entry!$N$892)</f>
        <v/>
      </c>
      <c r="AO889">
        <f>IF([3]Entry!$R$892="","",[3]Entry!$R$892)</f>
        <v/>
      </c>
    </row>
    <row r="890">
      <c r="U890">
        <f>IF([2]Baskol!$B$893="","",[2]Baskol!$B$893)</f>
        <v/>
      </c>
      <c r="V890">
        <f>IF([2]Baskol!$C$893="","",[2]Baskol!$C$893)</f>
        <v/>
      </c>
      <c r="W890">
        <f>IF([2]Baskol!$D$893="","",[2]Baskol!$D$893)</f>
        <v/>
      </c>
      <c r="X890">
        <f>IF([2]Baskol!$E$893="","",[2]Baskol!$E$893)</f>
        <v/>
      </c>
      <c r="Y890">
        <f>IF([2]Baskol!$G$893="","",[2]Baskol!$G$893)</f>
        <v/>
      </c>
      <c r="Z890">
        <f>IF([2]Baskol!$I$893="","",[2]Baskol!$I$893)</f>
        <v/>
      </c>
      <c r="AA890">
        <f>IF([2]Baskol!$J$893="","",[2]Baskol!$J$893)</f>
        <v/>
      </c>
      <c r="AB890">
        <f>IF([2]Baskol!$K$893="","",[2]Baskol!$K$893)</f>
        <v/>
      </c>
      <c r="AC890">
        <f>IF([2]Baskol!$L$893="","",[2]Baskol!$L$893)</f>
        <v/>
      </c>
      <c r="AD890">
        <f>IF([2]Baskol!$N$893="","",[2]Baskol!$N$893)</f>
        <v/>
      </c>
      <c r="AE890">
        <f>IF([2]Baskol!$O$893="","",[2]Baskol!$O$893)</f>
        <v/>
      </c>
      <c r="AG890">
        <f>IF([3]Entry!$C$893="","",[3]Entry!$C$893)</f>
        <v/>
      </c>
      <c r="AH890">
        <f>IF([3]Entry!$D$893="","",[3]Entry!$D$893)</f>
        <v/>
      </c>
      <c r="AI890">
        <f>IF([3]Entry!$E$893="","",[3]Entry!$E$893)</f>
        <v/>
      </c>
      <c r="AJ890">
        <f>IF([3]Entry!$G$893="","",[3]Entry!$G$893)</f>
        <v/>
      </c>
      <c r="AK890">
        <f>IF([3]Entry!$K$893="","",[3]Entry!$K$893)</f>
        <v/>
      </c>
      <c r="AL890">
        <f>IF([3]Entry!$L$893="","",[3]Entry!$L$893)</f>
        <v/>
      </c>
      <c r="AM890">
        <f>IF([3]Entry!$M$893="","",[3]Entry!$M$893)</f>
        <v/>
      </c>
      <c r="AN890">
        <f>IF([3]Entry!$N$893="","",[3]Entry!$N$893)</f>
        <v/>
      </c>
      <c r="AO890">
        <f>IF([3]Entry!$R$893="","",[3]Entry!$R$893)</f>
        <v/>
      </c>
    </row>
    <row r="891">
      <c r="U891">
        <f>IF([2]Baskol!$B$894="","",[2]Baskol!$B$894)</f>
        <v/>
      </c>
      <c r="V891">
        <f>IF([2]Baskol!$C$894="","",[2]Baskol!$C$894)</f>
        <v/>
      </c>
      <c r="W891">
        <f>IF([2]Baskol!$D$894="","",[2]Baskol!$D$894)</f>
        <v/>
      </c>
      <c r="X891">
        <f>IF([2]Baskol!$E$894="","",[2]Baskol!$E$894)</f>
        <v/>
      </c>
      <c r="Y891">
        <f>IF([2]Baskol!$G$894="","",[2]Baskol!$G$894)</f>
        <v/>
      </c>
      <c r="Z891">
        <f>IF([2]Baskol!$I$894="","",[2]Baskol!$I$894)</f>
        <v/>
      </c>
      <c r="AA891">
        <f>IF([2]Baskol!$J$894="","",[2]Baskol!$J$894)</f>
        <v/>
      </c>
      <c r="AB891">
        <f>IF([2]Baskol!$K$894="","",[2]Baskol!$K$894)</f>
        <v/>
      </c>
      <c r="AC891">
        <f>IF([2]Baskol!$L$894="","",[2]Baskol!$L$894)</f>
        <v/>
      </c>
      <c r="AD891">
        <f>IF([2]Baskol!$N$894="","",[2]Baskol!$N$894)</f>
        <v/>
      </c>
      <c r="AE891">
        <f>IF([2]Baskol!$O$894="","",[2]Baskol!$O$894)</f>
        <v/>
      </c>
      <c r="AG891">
        <f>IF([3]Entry!$C$894="","",[3]Entry!$C$894)</f>
        <v/>
      </c>
      <c r="AH891">
        <f>IF([3]Entry!$D$894="","",[3]Entry!$D$894)</f>
        <v/>
      </c>
      <c r="AI891">
        <f>IF([3]Entry!$E$894="","",[3]Entry!$E$894)</f>
        <v/>
      </c>
      <c r="AJ891">
        <f>IF([3]Entry!$G$894="","",[3]Entry!$G$894)</f>
        <v/>
      </c>
      <c r="AK891">
        <f>IF([3]Entry!$K$894="","",[3]Entry!$K$894)</f>
        <v/>
      </c>
      <c r="AL891">
        <f>IF([3]Entry!$L$894="","",[3]Entry!$L$894)</f>
        <v/>
      </c>
      <c r="AM891">
        <f>IF([3]Entry!$M$894="","",[3]Entry!$M$894)</f>
        <v/>
      </c>
      <c r="AN891">
        <f>IF([3]Entry!$N$894="","",[3]Entry!$N$894)</f>
        <v/>
      </c>
      <c r="AO891">
        <f>IF([3]Entry!$R$894="","",[3]Entry!$R$894)</f>
        <v/>
      </c>
    </row>
    <row r="892">
      <c r="U892">
        <f>IF([2]Baskol!$B$895="","",[2]Baskol!$B$895)</f>
        <v/>
      </c>
      <c r="V892">
        <f>IF([2]Baskol!$C$895="","",[2]Baskol!$C$895)</f>
        <v/>
      </c>
      <c r="W892">
        <f>IF([2]Baskol!$D$895="","",[2]Baskol!$D$895)</f>
        <v/>
      </c>
      <c r="X892">
        <f>IF([2]Baskol!$E$895="","",[2]Baskol!$E$895)</f>
        <v/>
      </c>
      <c r="Y892">
        <f>IF([2]Baskol!$G$895="","",[2]Baskol!$G$895)</f>
        <v/>
      </c>
      <c r="Z892">
        <f>IF([2]Baskol!$I$895="","",[2]Baskol!$I$895)</f>
        <v/>
      </c>
      <c r="AA892">
        <f>IF([2]Baskol!$J$895="","",[2]Baskol!$J$895)</f>
        <v/>
      </c>
      <c r="AB892">
        <f>IF([2]Baskol!$K$895="","",[2]Baskol!$K$895)</f>
        <v/>
      </c>
      <c r="AC892">
        <f>IF([2]Baskol!$L$895="","",[2]Baskol!$L$895)</f>
        <v/>
      </c>
      <c r="AD892">
        <f>IF([2]Baskol!$N$895="","",[2]Baskol!$N$895)</f>
        <v/>
      </c>
      <c r="AE892">
        <f>IF([2]Baskol!$O$895="","",[2]Baskol!$O$895)</f>
        <v/>
      </c>
      <c r="AG892">
        <f>IF([3]Entry!$C$895="","",[3]Entry!$C$895)</f>
        <v/>
      </c>
      <c r="AH892">
        <f>IF([3]Entry!$D$895="","",[3]Entry!$D$895)</f>
        <v/>
      </c>
      <c r="AI892">
        <f>IF([3]Entry!$E$895="","",[3]Entry!$E$895)</f>
        <v/>
      </c>
      <c r="AJ892">
        <f>IF([3]Entry!$G$895="","",[3]Entry!$G$895)</f>
        <v/>
      </c>
      <c r="AK892">
        <f>IF([3]Entry!$K$895="","",[3]Entry!$K$895)</f>
        <v/>
      </c>
      <c r="AL892">
        <f>IF([3]Entry!$L$895="","",[3]Entry!$L$895)</f>
        <v/>
      </c>
      <c r="AM892">
        <f>IF([3]Entry!$M$895="","",[3]Entry!$M$895)</f>
        <v/>
      </c>
      <c r="AN892">
        <f>IF([3]Entry!$N$895="","",[3]Entry!$N$895)</f>
        <v/>
      </c>
      <c r="AO892">
        <f>IF([3]Entry!$R$895="","",[3]Entry!$R$895)</f>
        <v/>
      </c>
    </row>
    <row r="893">
      <c r="U893">
        <f>IF([2]Baskol!$B$896="","",[2]Baskol!$B$896)</f>
        <v/>
      </c>
      <c r="V893">
        <f>IF([2]Baskol!$C$896="","",[2]Baskol!$C$896)</f>
        <v/>
      </c>
      <c r="W893">
        <f>IF([2]Baskol!$D$896="","",[2]Baskol!$D$896)</f>
        <v/>
      </c>
      <c r="X893">
        <f>IF([2]Baskol!$E$896="","",[2]Baskol!$E$896)</f>
        <v/>
      </c>
      <c r="Y893">
        <f>IF([2]Baskol!$G$896="","",[2]Baskol!$G$896)</f>
        <v/>
      </c>
      <c r="Z893">
        <f>IF([2]Baskol!$I$896="","",[2]Baskol!$I$896)</f>
        <v/>
      </c>
      <c r="AA893">
        <f>IF([2]Baskol!$J$896="","",[2]Baskol!$J$896)</f>
        <v/>
      </c>
      <c r="AB893">
        <f>IF([2]Baskol!$K$896="","",[2]Baskol!$K$896)</f>
        <v/>
      </c>
      <c r="AC893">
        <f>IF([2]Baskol!$L$896="","",[2]Baskol!$L$896)</f>
        <v/>
      </c>
      <c r="AD893">
        <f>IF([2]Baskol!$N$896="","",[2]Baskol!$N$896)</f>
        <v/>
      </c>
      <c r="AE893">
        <f>IF([2]Baskol!$O$896="","",[2]Baskol!$O$896)</f>
        <v/>
      </c>
      <c r="AG893">
        <f>IF([3]Entry!$C$896="","",[3]Entry!$C$896)</f>
        <v/>
      </c>
      <c r="AH893">
        <f>IF([3]Entry!$D$896="","",[3]Entry!$D$896)</f>
        <v/>
      </c>
      <c r="AI893">
        <f>IF([3]Entry!$E$896="","",[3]Entry!$E$896)</f>
        <v/>
      </c>
      <c r="AJ893">
        <f>IF([3]Entry!$G$896="","",[3]Entry!$G$896)</f>
        <v/>
      </c>
      <c r="AK893">
        <f>IF([3]Entry!$K$896="","",[3]Entry!$K$896)</f>
        <v/>
      </c>
      <c r="AL893">
        <f>IF([3]Entry!$L$896="","",[3]Entry!$L$896)</f>
        <v/>
      </c>
      <c r="AM893">
        <f>IF([3]Entry!$M$896="","",[3]Entry!$M$896)</f>
        <v/>
      </c>
      <c r="AN893">
        <f>IF([3]Entry!$N$896="","",[3]Entry!$N$896)</f>
        <v/>
      </c>
      <c r="AO893">
        <f>IF([3]Entry!$R$896="","",[3]Entry!$R$896)</f>
        <v/>
      </c>
    </row>
    <row r="894">
      <c r="U894">
        <f>IF([2]Baskol!$B$897="","",[2]Baskol!$B$897)</f>
        <v/>
      </c>
      <c r="V894">
        <f>IF([2]Baskol!$C$897="","",[2]Baskol!$C$897)</f>
        <v/>
      </c>
      <c r="W894">
        <f>IF([2]Baskol!$D$897="","",[2]Baskol!$D$897)</f>
        <v/>
      </c>
      <c r="X894">
        <f>IF([2]Baskol!$E$897="","",[2]Baskol!$E$897)</f>
        <v/>
      </c>
      <c r="Y894">
        <f>IF([2]Baskol!$G$897="","",[2]Baskol!$G$897)</f>
        <v/>
      </c>
      <c r="Z894">
        <f>IF([2]Baskol!$I$897="","",[2]Baskol!$I$897)</f>
        <v/>
      </c>
      <c r="AA894">
        <f>IF([2]Baskol!$J$897="","",[2]Baskol!$J$897)</f>
        <v/>
      </c>
      <c r="AB894">
        <f>IF([2]Baskol!$K$897="","",[2]Baskol!$K$897)</f>
        <v/>
      </c>
      <c r="AC894">
        <f>IF([2]Baskol!$L$897="","",[2]Baskol!$L$897)</f>
        <v/>
      </c>
      <c r="AD894">
        <f>IF([2]Baskol!$N$897="","",[2]Baskol!$N$897)</f>
        <v/>
      </c>
      <c r="AE894">
        <f>IF([2]Baskol!$O$897="","",[2]Baskol!$O$897)</f>
        <v/>
      </c>
      <c r="AG894">
        <f>IF([3]Entry!$C$897="","",[3]Entry!$C$897)</f>
        <v/>
      </c>
      <c r="AH894">
        <f>IF([3]Entry!$D$897="","",[3]Entry!$D$897)</f>
        <v/>
      </c>
      <c r="AI894">
        <f>IF([3]Entry!$E$897="","",[3]Entry!$E$897)</f>
        <v/>
      </c>
      <c r="AJ894">
        <f>IF([3]Entry!$G$897="","",[3]Entry!$G$897)</f>
        <v/>
      </c>
      <c r="AK894">
        <f>IF([3]Entry!$K$897="","",[3]Entry!$K$897)</f>
        <v/>
      </c>
      <c r="AL894">
        <f>IF([3]Entry!$L$897="","",[3]Entry!$L$897)</f>
        <v/>
      </c>
      <c r="AM894">
        <f>IF([3]Entry!$M$897="","",[3]Entry!$M$897)</f>
        <v/>
      </c>
      <c r="AN894">
        <f>IF([3]Entry!$N$897="","",[3]Entry!$N$897)</f>
        <v/>
      </c>
      <c r="AO894">
        <f>IF([3]Entry!$R$897="","",[3]Entry!$R$897)</f>
        <v/>
      </c>
    </row>
    <row r="895">
      <c r="U895">
        <f>IF([2]Baskol!$B$898="","",[2]Baskol!$B$898)</f>
        <v/>
      </c>
      <c r="V895">
        <f>IF([2]Baskol!$C$898="","",[2]Baskol!$C$898)</f>
        <v/>
      </c>
      <c r="W895">
        <f>IF([2]Baskol!$D$898="","",[2]Baskol!$D$898)</f>
        <v/>
      </c>
      <c r="X895">
        <f>IF([2]Baskol!$E$898="","",[2]Baskol!$E$898)</f>
        <v/>
      </c>
      <c r="Y895">
        <f>IF([2]Baskol!$G$898="","",[2]Baskol!$G$898)</f>
        <v/>
      </c>
      <c r="Z895">
        <f>IF([2]Baskol!$I$898="","",[2]Baskol!$I$898)</f>
        <v/>
      </c>
      <c r="AA895">
        <f>IF([2]Baskol!$J$898="","",[2]Baskol!$J$898)</f>
        <v/>
      </c>
      <c r="AB895">
        <f>IF([2]Baskol!$K$898="","",[2]Baskol!$K$898)</f>
        <v/>
      </c>
      <c r="AC895">
        <f>IF([2]Baskol!$L$898="","",[2]Baskol!$L$898)</f>
        <v/>
      </c>
      <c r="AD895">
        <f>IF([2]Baskol!$N$898="","",[2]Baskol!$N$898)</f>
        <v/>
      </c>
      <c r="AE895">
        <f>IF([2]Baskol!$O$898="","",[2]Baskol!$O$898)</f>
        <v/>
      </c>
      <c r="AG895">
        <f>IF([3]Entry!$C$898="","",[3]Entry!$C$898)</f>
        <v/>
      </c>
      <c r="AH895">
        <f>IF([3]Entry!$D$898="","",[3]Entry!$D$898)</f>
        <v/>
      </c>
      <c r="AI895">
        <f>IF([3]Entry!$E$898="","",[3]Entry!$E$898)</f>
        <v/>
      </c>
      <c r="AJ895">
        <f>IF([3]Entry!$G$898="","",[3]Entry!$G$898)</f>
        <v/>
      </c>
      <c r="AK895">
        <f>IF([3]Entry!$K$898="","",[3]Entry!$K$898)</f>
        <v/>
      </c>
      <c r="AL895">
        <f>IF([3]Entry!$L$898="","",[3]Entry!$L$898)</f>
        <v/>
      </c>
      <c r="AM895">
        <f>IF([3]Entry!$M$898="","",[3]Entry!$M$898)</f>
        <v/>
      </c>
      <c r="AN895">
        <f>IF([3]Entry!$N$898="","",[3]Entry!$N$898)</f>
        <v/>
      </c>
      <c r="AO895">
        <f>IF([3]Entry!$R$898="","",[3]Entry!$R$898)</f>
        <v/>
      </c>
    </row>
    <row r="896">
      <c r="U896">
        <f>IF([2]Baskol!$B$899="","",[2]Baskol!$B$899)</f>
        <v/>
      </c>
      <c r="V896">
        <f>IF([2]Baskol!$C$899="","",[2]Baskol!$C$899)</f>
        <v/>
      </c>
      <c r="W896">
        <f>IF([2]Baskol!$D$899="","",[2]Baskol!$D$899)</f>
        <v/>
      </c>
      <c r="X896">
        <f>IF([2]Baskol!$E$899="","",[2]Baskol!$E$899)</f>
        <v/>
      </c>
      <c r="Y896">
        <f>IF([2]Baskol!$G$899="","",[2]Baskol!$G$899)</f>
        <v/>
      </c>
      <c r="Z896">
        <f>IF([2]Baskol!$I$899="","",[2]Baskol!$I$899)</f>
        <v/>
      </c>
      <c r="AA896">
        <f>IF([2]Baskol!$J$899="","",[2]Baskol!$J$899)</f>
        <v/>
      </c>
      <c r="AB896">
        <f>IF([2]Baskol!$K$899="","",[2]Baskol!$K$899)</f>
        <v/>
      </c>
      <c r="AC896">
        <f>IF([2]Baskol!$L$899="","",[2]Baskol!$L$899)</f>
        <v/>
      </c>
      <c r="AD896">
        <f>IF([2]Baskol!$N$899="","",[2]Baskol!$N$899)</f>
        <v/>
      </c>
      <c r="AE896">
        <f>IF([2]Baskol!$O$899="","",[2]Baskol!$O$899)</f>
        <v/>
      </c>
      <c r="AG896">
        <f>IF([3]Entry!$C$899="","",[3]Entry!$C$899)</f>
        <v/>
      </c>
      <c r="AH896">
        <f>IF([3]Entry!$D$899="","",[3]Entry!$D$899)</f>
        <v/>
      </c>
      <c r="AI896">
        <f>IF([3]Entry!$E$899="","",[3]Entry!$E$899)</f>
        <v/>
      </c>
      <c r="AJ896">
        <f>IF([3]Entry!$G$899="","",[3]Entry!$G$899)</f>
        <v/>
      </c>
      <c r="AK896">
        <f>IF([3]Entry!$K$899="","",[3]Entry!$K$899)</f>
        <v/>
      </c>
      <c r="AL896">
        <f>IF([3]Entry!$L$899="","",[3]Entry!$L$899)</f>
        <v/>
      </c>
      <c r="AM896">
        <f>IF([3]Entry!$M$899="","",[3]Entry!$M$899)</f>
        <v/>
      </c>
      <c r="AN896">
        <f>IF([3]Entry!$N$899="","",[3]Entry!$N$899)</f>
        <v/>
      </c>
      <c r="AO896">
        <f>IF([3]Entry!$R$899="","",[3]Entry!$R$899)</f>
        <v/>
      </c>
    </row>
    <row r="897">
      <c r="U897">
        <f>IF([2]Baskol!$B$900="","",[2]Baskol!$B$900)</f>
        <v/>
      </c>
      <c r="V897">
        <f>IF([2]Baskol!$C$900="","",[2]Baskol!$C$900)</f>
        <v/>
      </c>
      <c r="W897">
        <f>IF([2]Baskol!$D$900="","",[2]Baskol!$D$900)</f>
        <v/>
      </c>
      <c r="X897">
        <f>IF([2]Baskol!$E$900="","",[2]Baskol!$E$900)</f>
        <v/>
      </c>
      <c r="Y897">
        <f>IF([2]Baskol!$G$900="","",[2]Baskol!$G$900)</f>
        <v/>
      </c>
      <c r="Z897">
        <f>IF([2]Baskol!$I$900="","",[2]Baskol!$I$900)</f>
        <v/>
      </c>
      <c r="AA897">
        <f>IF([2]Baskol!$J$900="","",[2]Baskol!$J$900)</f>
        <v/>
      </c>
      <c r="AB897">
        <f>IF([2]Baskol!$K$900="","",[2]Baskol!$K$900)</f>
        <v/>
      </c>
      <c r="AC897">
        <f>IF([2]Baskol!$L$900="","",[2]Baskol!$L$900)</f>
        <v/>
      </c>
      <c r="AD897">
        <f>IF([2]Baskol!$N$900="","",[2]Baskol!$N$900)</f>
        <v/>
      </c>
      <c r="AE897">
        <f>IF([2]Baskol!$O$900="","",[2]Baskol!$O$900)</f>
        <v/>
      </c>
      <c r="AG897">
        <f>IF([3]Entry!$C$900="","",[3]Entry!$C$900)</f>
        <v/>
      </c>
      <c r="AH897">
        <f>IF([3]Entry!$D$900="","",[3]Entry!$D$900)</f>
        <v/>
      </c>
      <c r="AI897">
        <f>IF([3]Entry!$E$900="","",[3]Entry!$E$900)</f>
        <v/>
      </c>
      <c r="AJ897">
        <f>IF([3]Entry!$G$900="","",[3]Entry!$G$900)</f>
        <v/>
      </c>
      <c r="AK897">
        <f>IF([3]Entry!$K$900="","",[3]Entry!$K$900)</f>
        <v/>
      </c>
      <c r="AL897">
        <f>IF([3]Entry!$L$900="","",[3]Entry!$L$900)</f>
        <v/>
      </c>
      <c r="AM897">
        <f>IF([3]Entry!$M$900="","",[3]Entry!$M$900)</f>
        <v/>
      </c>
      <c r="AN897">
        <f>IF([3]Entry!$N$900="","",[3]Entry!$N$900)</f>
        <v/>
      </c>
      <c r="AO897">
        <f>IF([3]Entry!$R$900="","",[3]Entry!$R$900)</f>
        <v/>
      </c>
    </row>
    <row r="898">
      <c r="U898">
        <f>IF([2]Baskol!$B$901="","",[2]Baskol!$B$901)</f>
        <v/>
      </c>
      <c r="V898">
        <f>IF([2]Baskol!$C$901="","",[2]Baskol!$C$901)</f>
        <v/>
      </c>
      <c r="W898">
        <f>IF([2]Baskol!$D$901="","",[2]Baskol!$D$901)</f>
        <v/>
      </c>
      <c r="X898">
        <f>IF([2]Baskol!$E$901="","",[2]Baskol!$E$901)</f>
        <v/>
      </c>
      <c r="Y898">
        <f>IF([2]Baskol!$G$901="","",[2]Baskol!$G$901)</f>
        <v/>
      </c>
      <c r="Z898">
        <f>IF([2]Baskol!$I$901="","",[2]Baskol!$I$901)</f>
        <v/>
      </c>
      <c r="AA898">
        <f>IF([2]Baskol!$J$901="","",[2]Baskol!$J$901)</f>
        <v/>
      </c>
      <c r="AB898">
        <f>IF([2]Baskol!$K$901="","",[2]Baskol!$K$901)</f>
        <v/>
      </c>
      <c r="AC898">
        <f>IF([2]Baskol!$L$901="","",[2]Baskol!$L$901)</f>
        <v/>
      </c>
      <c r="AD898">
        <f>IF([2]Baskol!$N$901="","",[2]Baskol!$N$901)</f>
        <v/>
      </c>
      <c r="AE898">
        <f>IF([2]Baskol!$O$901="","",[2]Baskol!$O$901)</f>
        <v/>
      </c>
      <c r="AG898">
        <f>IF([3]Entry!$C$901="","",[3]Entry!$C$901)</f>
        <v/>
      </c>
      <c r="AH898">
        <f>IF([3]Entry!$D$901="","",[3]Entry!$D$901)</f>
        <v/>
      </c>
      <c r="AI898">
        <f>IF([3]Entry!$E$901="","",[3]Entry!$E$901)</f>
        <v/>
      </c>
      <c r="AJ898">
        <f>IF([3]Entry!$G$901="","",[3]Entry!$G$901)</f>
        <v/>
      </c>
      <c r="AK898">
        <f>IF([3]Entry!$K$901="","",[3]Entry!$K$901)</f>
        <v/>
      </c>
      <c r="AL898">
        <f>IF([3]Entry!$L$901="","",[3]Entry!$L$901)</f>
        <v/>
      </c>
      <c r="AM898">
        <f>IF([3]Entry!$M$901="","",[3]Entry!$M$901)</f>
        <v/>
      </c>
      <c r="AN898">
        <f>IF([3]Entry!$N$901="","",[3]Entry!$N$901)</f>
        <v/>
      </c>
      <c r="AO898">
        <f>IF([3]Entry!$R$901="","",[3]Entry!$R$901)</f>
        <v/>
      </c>
    </row>
    <row r="899">
      <c r="U899">
        <f>IF([2]Baskol!$B$902="","",[2]Baskol!$B$902)</f>
        <v/>
      </c>
      <c r="V899">
        <f>IF([2]Baskol!$C$902="","",[2]Baskol!$C$902)</f>
        <v/>
      </c>
      <c r="W899">
        <f>IF([2]Baskol!$D$902="","",[2]Baskol!$D$902)</f>
        <v/>
      </c>
      <c r="X899">
        <f>IF([2]Baskol!$E$902="","",[2]Baskol!$E$902)</f>
        <v/>
      </c>
      <c r="Y899">
        <f>IF([2]Baskol!$G$902="","",[2]Baskol!$G$902)</f>
        <v/>
      </c>
      <c r="Z899">
        <f>IF([2]Baskol!$I$902="","",[2]Baskol!$I$902)</f>
        <v/>
      </c>
      <c r="AA899">
        <f>IF([2]Baskol!$J$902="","",[2]Baskol!$J$902)</f>
        <v/>
      </c>
      <c r="AB899">
        <f>IF([2]Baskol!$K$902="","",[2]Baskol!$K$902)</f>
        <v/>
      </c>
      <c r="AC899">
        <f>IF([2]Baskol!$L$902="","",[2]Baskol!$L$902)</f>
        <v/>
      </c>
      <c r="AD899">
        <f>IF([2]Baskol!$N$902="","",[2]Baskol!$N$902)</f>
        <v/>
      </c>
      <c r="AE899">
        <f>IF([2]Baskol!$O$902="","",[2]Baskol!$O$902)</f>
        <v/>
      </c>
      <c r="AG899">
        <f>IF([3]Entry!$C$902="","",[3]Entry!$C$902)</f>
        <v/>
      </c>
      <c r="AH899">
        <f>IF([3]Entry!$D$902="","",[3]Entry!$D$902)</f>
        <v/>
      </c>
      <c r="AI899">
        <f>IF([3]Entry!$E$902="","",[3]Entry!$E$902)</f>
        <v/>
      </c>
      <c r="AJ899">
        <f>IF([3]Entry!$G$902="","",[3]Entry!$G$902)</f>
        <v/>
      </c>
      <c r="AK899">
        <f>IF([3]Entry!$K$902="","",[3]Entry!$K$902)</f>
        <v/>
      </c>
      <c r="AL899">
        <f>IF([3]Entry!$L$902="","",[3]Entry!$L$902)</f>
        <v/>
      </c>
      <c r="AM899">
        <f>IF([3]Entry!$M$902="","",[3]Entry!$M$902)</f>
        <v/>
      </c>
      <c r="AN899">
        <f>IF([3]Entry!$N$902="","",[3]Entry!$N$902)</f>
        <v/>
      </c>
      <c r="AO899">
        <f>IF([3]Entry!$R$902="","",[3]Entry!$R$902)</f>
        <v/>
      </c>
    </row>
    <row r="900">
      <c r="U900">
        <f>IF([2]Baskol!$B$903="","",[2]Baskol!$B$903)</f>
        <v/>
      </c>
      <c r="V900">
        <f>IF([2]Baskol!$C$903="","",[2]Baskol!$C$903)</f>
        <v/>
      </c>
      <c r="W900">
        <f>IF([2]Baskol!$D$903="","",[2]Baskol!$D$903)</f>
        <v/>
      </c>
      <c r="X900">
        <f>IF([2]Baskol!$E$903="","",[2]Baskol!$E$903)</f>
        <v/>
      </c>
      <c r="Y900">
        <f>IF([2]Baskol!$G$903="","",[2]Baskol!$G$903)</f>
        <v/>
      </c>
      <c r="Z900">
        <f>IF([2]Baskol!$I$903="","",[2]Baskol!$I$903)</f>
        <v/>
      </c>
      <c r="AA900">
        <f>IF([2]Baskol!$J$903="","",[2]Baskol!$J$903)</f>
        <v/>
      </c>
      <c r="AB900">
        <f>IF([2]Baskol!$K$903="","",[2]Baskol!$K$903)</f>
        <v/>
      </c>
      <c r="AC900">
        <f>IF([2]Baskol!$L$903="","",[2]Baskol!$L$903)</f>
        <v/>
      </c>
      <c r="AD900">
        <f>IF([2]Baskol!$N$903="","",[2]Baskol!$N$903)</f>
        <v/>
      </c>
      <c r="AE900">
        <f>IF([2]Baskol!$O$903="","",[2]Baskol!$O$903)</f>
        <v/>
      </c>
      <c r="AG900">
        <f>IF([3]Entry!$C$903="","",[3]Entry!$C$903)</f>
        <v/>
      </c>
      <c r="AH900">
        <f>IF([3]Entry!$D$903="","",[3]Entry!$D$903)</f>
        <v/>
      </c>
      <c r="AI900">
        <f>IF([3]Entry!$E$903="","",[3]Entry!$E$903)</f>
        <v/>
      </c>
      <c r="AJ900">
        <f>IF([3]Entry!$G$903="","",[3]Entry!$G$903)</f>
        <v/>
      </c>
      <c r="AK900">
        <f>IF([3]Entry!$K$903="","",[3]Entry!$K$903)</f>
        <v/>
      </c>
      <c r="AL900">
        <f>IF([3]Entry!$L$903="","",[3]Entry!$L$903)</f>
        <v/>
      </c>
      <c r="AM900">
        <f>IF([3]Entry!$M$903="","",[3]Entry!$M$903)</f>
        <v/>
      </c>
      <c r="AN900">
        <f>IF([3]Entry!$N$903="","",[3]Entry!$N$903)</f>
        <v/>
      </c>
      <c r="AO900">
        <f>IF([3]Entry!$R$903="","",[3]Entry!$R$903)</f>
        <v/>
      </c>
    </row>
    <row r="901">
      <c r="U901">
        <f>IF([2]Baskol!$B$904="","",[2]Baskol!$B$904)</f>
        <v/>
      </c>
      <c r="V901">
        <f>IF([2]Baskol!$C$904="","",[2]Baskol!$C$904)</f>
        <v/>
      </c>
      <c r="W901">
        <f>IF([2]Baskol!$D$904="","",[2]Baskol!$D$904)</f>
        <v/>
      </c>
      <c r="X901">
        <f>IF([2]Baskol!$E$904="","",[2]Baskol!$E$904)</f>
        <v/>
      </c>
      <c r="Y901">
        <f>IF([2]Baskol!$G$904="","",[2]Baskol!$G$904)</f>
        <v/>
      </c>
      <c r="Z901">
        <f>IF([2]Baskol!$I$904="","",[2]Baskol!$I$904)</f>
        <v/>
      </c>
      <c r="AA901">
        <f>IF([2]Baskol!$J$904="","",[2]Baskol!$J$904)</f>
        <v/>
      </c>
      <c r="AB901">
        <f>IF([2]Baskol!$K$904="","",[2]Baskol!$K$904)</f>
        <v/>
      </c>
      <c r="AC901">
        <f>IF([2]Baskol!$L$904="","",[2]Baskol!$L$904)</f>
        <v/>
      </c>
      <c r="AD901">
        <f>IF([2]Baskol!$N$904="","",[2]Baskol!$N$904)</f>
        <v/>
      </c>
      <c r="AE901">
        <f>IF([2]Baskol!$O$904="","",[2]Baskol!$O$904)</f>
        <v/>
      </c>
      <c r="AG901">
        <f>IF([3]Entry!$C$904="","",[3]Entry!$C$904)</f>
        <v/>
      </c>
      <c r="AH901">
        <f>IF([3]Entry!$D$904="","",[3]Entry!$D$904)</f>
        <v/>
      </c>
      <c r="AI901">
        <f>IF([3]Entry!$E$904="","",[3]Entry!$E$904)</f>
        <v/>
      </c>
      <c r="AJ901">
        <f>IF([3]Entry!$G$904="","",[3]Entry!$G$904)</f>
        <v/>
      </c>
      <c r="AK901">
        <f>IF([3]Entry!$K$904="","",[3]Entry!$K$904)</f>
        <v/>
      </c>
      <c r="AL901">
        <f>IF([3]Entry!$L$904="","",[3]Entry!$L$904)</f>
        <v/>
      </c>
      <c r="AM901">
        <f>IF([3]Entry!$M$904="","",[3]Entry!$M$904)</f>
        <v/>
      </c>
      <c r="AN901">
        <f>IF([3]Entry!$N$904="","",[3]Entry!$N$904)</f>
        <v/>
      </c>
      <c r="AO901">
        <f>IF([3]Entry!$R$904="","",[3]Entry!$R$904)</f>
        <v/>
      </c>
    </row>
    <row r="902">
      <c r="U902">
        <f>IF([2]Baskol!$B$905="","",[2]Baskol!$B$905)</f>
        <v/>
      </c>
      <c r="V902">
        <f>IF([2]Baskol!$C$905="","",[2]Baskol!$C$905)</f>
        <v/>
      </c>
      <c r="W902">
        <f>IF([2]Baskol!$D$905="","",[2]Baskol!$D$905)</f>
        <v/>
      </c>
      <c r="X902">
        <f>IF([2]Baskol!$E$905="","",[2]Baskol!$E$905)</f>
        <v/>
      </c>
      <c r="Y902">
        <f>IF([2]Baskol!$G$905="","",[2]Baskol!$G$905)</f>
        <v/>
      </c>
      <c r="Z902">
        <f>IF([2]Baskol!$I$905="","",[2]Baskol!$I$905)</f>
        <v/>
      </c>
      <c r="AA902">
        <f>IF([2]Baskol!$J$905="","",[2]Baskol!$J$905)</f>
        <v/>
      </c>
      <c r="AB902">
        <f>IF([2]Baskol!$K$905="","",[2]Baskol!$K$905)</f>
        <v/>
      </c>
      <c r="AC902">
        <f>IF([2]Baskol!$L$905="","",[2]Baskol!$L$905)</f>
        <v/>
      </c>
      <c r="AD902">
        <f>IF([2]Baskol!$N$905="","",[2]Baskol!$N$905)</f>
        <v/>
      </c>
      <c r="AE902">
        <f>IF([2]Baskol!$O$905="","",[2]Baskol!$O$905)</f>
        <v/>
      </c>
      <c r="AG902">
        <f>IF([3]Entry!$C$905="","",[3]Entry!$C$905)</f>
        <v/>
      </c>
      <c r="AH902">
        <f>IF([3]Entry!$D$905="","",[3]Entry!$D$905)</f>
        <v/>
      </c>
      <c r="AI902">
        <f>IF([3]Entry!$E$905="","",[3]Entry!$E$905)</f>
        <v/>
      </c>
      <c r="AJ902">
        <f>IF([3]Entry!$G$905="","",[3]Entry!$G$905)</f>
        <v/>
      </c>
      <c r="AK902">
        <f>IF([3]Entry!$K$905="","",[3]Entry!$K$905)</f>
        <v/>
      </c>
      <c r="AL902">
        <f>IF([3]Entry!$L$905="","",[3]Entry!$L$905)</f>
        <v/>
      </c>
      <c r="AM902">
        <f>IF([3]Entry!$M$905="","",[3]Entry!$M$905)</f>
        <v/>
      </c>
      <c r="AN902">
        <f>IF([3]Entry!$N$905="","",[3]Entry!$N$905)</f>
        <v/>
      </c>
      <c r="AO902">
        <f>IF([3]Entry!$R$905="","",[3]Entry!$R$905)</f>
        <v/>
      </c>
    </row>
    <row r="903">
      <c r="U903">
        <f>IF([2]Baskol!$B$906="","",[2]Baskol!$B$906)</f>
        <v/>
      </c>
      <c r="V903">
        <f>IF([2]Baskol!$C$906="","",[2]Baskol!$C$906)</f>
        <v/>
      </c>
      <c r="W903">
        <f>IF([2]Baskol!$D$906="","",[2]Baskol!$D$906)</f>
        <v/>
      </c>
      <c r="X903">
        <f>IF([2]Baskol!$E$906="","",[2]Baskol!$E$906)</f>
        <v/>
      </c>
      <c r="Y903">
        <f>IF([2]Baskol!$G$906="","",[2]Baskol!$G$906)</f>
        <v/>
      </c>
      <c r="Z903">
        <f>IF([2]Baskol!$I$906="","",[2]Baskol!$I$906)</f>
        <v/>
      </c>
      <c r="AA903">
        <f>IF([2]Baskol!$J$906="","",[2]Baskol!$J$906)</f>
        <v/>
      </c>
      <c r="AB903">
        <f>IF([2]Baskol!$K$906="","",[2]Baskol!$K$906)</f>
        <v/>
      </c>
      <c r="AC903">
        <f>IF([2]Baskol!$L$906="","",[2]Baskol!$L$906)</f>
        <v/>
      </c>
      <c r="AD903">
        <f>IF([2]Baskol!$N$906="","",[2]Baskol!$N$906)</f>
        <v/>
      </c>
      <c r="AE903">
        <f>IF([2]Baskol!$O$906="","",[2]Baskol!$O$906)</f>
        <v/>
      </c>
      <c r="AG903">
        <f>IF([3]Entry!$C$906="","",[3]Entry!$C$906)</f>
        <v/>
      </c>
      <c r="AH903">
        <f>IF([3]Entry!$D$906="","",[3]Entry!$D$906)</f>
        <v/>
      </c>
      <c r="AI903">
        <f>IF([3]Entry!$E$906="","",[3]Entry!$E$906)</f>
        <v/>
      </c>
      <c r="AJ903">
        <f>IF([3]Entry!$G$906="","",[3]Entry!$G$906)</f>
        <v/>
      </c>
      <c r="AK903">
        <f>IF([3]Entry!$K$906="","",[3]Entry!$K$906)</f>
        <v/>
      </c>
      <c r="AL903">
        <f>IF([3]Entry!$L$906="","",[3]Entry!$L$906)</f>
        <v/>
      </c>
      <c r="AM903">
        <f>IF([3]Entry!$M$906="","",[3]Entry!$M$906)</f>
        <v/>
      </c>
      <c r="AN903">
        <f>IF([3]Entry!$N$906="","",[3]Entry!$N$906)</f>
        <v/>
      </c>
      <c r="AO903">
        <f>IF([3]Entry!$R$906="","",[3]Entry!$R$906)</f>
        <v/>
      </c>
    </row>
    <row r="904">
      <c r="U904">
        <f>IF([2]Baskol!$B$907="","",[2]Baskol!$B$907)</f>
        <v/>
      </c>
      <c r="V904">
        <f>IF([2]Baskol!$C$907="","",[2]Baskol!$C$907)</f>
        <v/>
      </c>
      <c r="W904">
        <f>IF([2]Baskol!$D$907="","",[2]Baskol!$D$907)</f>
        <v/>
      </c>
      <c r="X904">
        <f>IF([2]Baskol!$E$907="","",[2]Baskol!$E$907)</f>
        <v/>
      </c>
      <c r="Y904">
        <f>IF([2]Baskol!$G$907="","",[2]Baskol!$G$907)</f>
        <v/>
      </c>
      <c r="Z904">
        <f>IF([2]Baskol!$I$907="","",[2]Baskol!$I$907)</f>
        <v/>
      </c>
      <c r="AA904">
        <f>IF([2]Baskol!$J$907="","",[2]Baskol!$J$907)</f>
        <v/>
      </c>
      <c r="AB904">
        <f>IF([2]Baskol!$K$907="","",[2]Baskol!$K$907)</f>
        <v/>
      </c>
      <c r="AC904">
        <f>IF([2]Baskol!$L$907="","",[2]Baskol!$L$907)</f>
        <v/>
      </c>
      <c r="AD904">
        <f>IF([2]Baskol!$N$907="","",[2]Baskol!$N$907)</f>
        <v/>
      </c>
      <c r="AE904">
        <f>IF([2]Baskol!$O$907="","",[2]Baskol!$O$907)</f>
        <v/>
      </c>
      <c r="AG904">
        <f>IF([3]Entry!$C$907="","",[3]Entry!$C$907)</f>
        <v/>
      </c>
      <c r="AH904">
        <f>IF([3]Entry!$D$907="","",[3]Entry!$D$907)</f>
        <v/>
      </c>
      <c r="AI904">
        <f>IF([3]Entry!$E$907="","",[3]Entry!$E$907)</f>
        <v/>
      </c>
      <c r="AJ904">
        <f>IF([3]Entry!$G$907="","",[3]Entry!$G$907)</f>
        <v/>
      </c>
      <c r="AK904">
        <f>IF([3]Entry!$K$907="","",[3]Entry!$K$907)</f>
        <v/>
      </c>
      <c r="AL904">
        <f>IF([3]Entry!$L$907="","",[3]Entry!$L$907)</f>
        <v/>
      </c>
      <c r="AM904">
        <f>IF([3]Entry!$M$907="","",[3]Entry!$M$907)</f>
        <v/>
      </c>
      <c r="AN904">
        <f>IF([3]Entry!$N$907="","",[3]Entry!$N$907)</f>
        <v/>
      </c>
      <c r="AO904">
        <f>IF([3]Entry!$R$907="","",[3]Entry!$R$907)</f>
        <v/>
      </c>
    </row>
    <row r="905">
      <c r="U905">
        <f>IF([2]Baskol!$B$908="","",[2]Baskol!$B$908)</f>
        <v/>
      </c>
      <c r="V905">
        <f>IF([2]Baskol!$C$908="","",[2]Baskol!$C$908)</f>
        <v/>
      </c>
      <c r="W905">
        <f>IF([2]Baskol!$D$908="","",[2]Baskol!$D$908)</f>
        <v/>
      </c>
      <c r="X905">
        <f>IF([2]Baskol!$E$908="","",[2]Baskol!$E$908)</f>
        <v/>
      </c>
      <c r="Y905">
        <f>IF([2]Baskol!$G$908="","",[2]Baskol!$G$908)</f>
        <v/>
      </c>
      <c r="Z905">
        <f>IF([2]Baskol!$I$908="","",[2]Baskol!$I$908)</f>
        <v/>
      </c>
      <c r="AA905">
        <f>IF([2]Baskol!$J$908="","",[2]Baskol!$J$908)</f>
        <v/>
      </c>
      <c r="AB905">
        <f>IF([2]Baskol!$K$908="","",[2]Baskol!$K$908)</f>
        <v/>
      </c>
      <c r="AC905">
        <f>IF([2]Baskol!$L$908="","",[2]Baskol!$L$908)</f>
        <v/>
      </c>
      <c r="AD905">
        <f>IF([2]Baskol!$N$908="","",[2]Baskol!$N$908)</f>
        <v/>
      </c>
      <c r="AE905">
        <f>IF([2]Baskol!$O$908="","",[2]Baskol!$O$908)</f>
        <v/>
      </c>
      <c r="AG905">
        <f>IF([3]Entry!$C$908="","",[3]Entry!$C$908)</f>
        <v/>
      </c>
      <c r="AH905">
        <f>IF([3]Entry!$D$908="","",[3]Entry!$D$908)</f>
        <v/>
      </c>
      <c r="AI905">
        <f>IF([3]Entry!$E$908="","",[3]Entry!$E$908)</f>
        <v/>
      </c>
      <c r="AJ905">
        <f>IF([3]Entry!$G$908="","",[3]Entry!$G$908)</f>
        <v/>
      </c>
      <c r="AK905">
        <f>IF([3]Entry!$K$908="","",[3]Entry!$K$908)</f>
        <v/>
      </c>
      <c r="AL905">
        <f>IF([3]Entry!$L$908="","",[3]Entry!$L$908)</f>
        <v/>
      </c>
      <c r="AM905">
        <f>IF([3]Entry!$M$908="","",[3]Entry!$M$908)</f>
        <v/>
      </c>
      <c r="AN905">
        <f>IF([3]Entry!$N$908="","",[3]Entry!$N$908)</f>
        <v/>
      </c>
      <c r="AO905">
        <f>IF([3]Entry!$R$908="","",[3]Entry!$R$908)</f>
        <v/>
      </c>
    </row>
    <row r="906">
      <c r="U906">
        <f>IF([2]Baskol!$B$909="","",[2]Baskol!$B$909)</f>
        <v/>
      </c>
      <c r="V906">
        <f>IF([2]Baskol!$C$909="","",[2]Baskol!$C$909)</f>
        <v/>
      </c>
      <c r="W906">
        <f>IF([2]Baskol!$D$909="","",[2]Baskol!$D$909)</f>
        <v/>
      </c>
      <c r="X906">
        <f>IF([2]Baskol!$E$909="","",[2]Baskol!$E$909)</f>
        <v/>
      </c>
      <c r="Y906">
        <f>IF([2]Baskol!$G$909="","",[2]Baskol!$G$909)</f>
        <v/>
      </c>
      <c r="Z906">
        <f>IF([2]Baskol!$I$909="","",[2]Baskol!$I$909)</f>
        <v/>
      </c>
      <c r="AA906">
        <f>IF([2]Baskol!$J$909="","",[2]Baskol!$J$909)</f>
        <v/>
      </c>
      <c r="AB906">
        <f>IF([2]Baskol!$K$909="","",[2]Baskol!$K$909)</f>
        <v/>
      </c>
      <c r="AC906">
        <f>IF([2]Baskol!$L$909="","",[2]Baskol!$L$909)</f>
        <v/>
      </c>
      <c r="AD906">
        <f>IF([2]Baskol!$N$909="","",[2]Baskol!$N$909)</f>
        <v/>
      </c>
      <c r="AE906">
        <f>IF([2]Baskol!$O$909="","",[2]Baskol!$O$909)</f>
        <v/>
      </c>
      <c r="AG906">
        <f>IF([3]Entry!$C$909="","",[3]Entry!$C$909)</f>
        <v/>
      </c>
      <c r="AH906">
        <f>IF([3]Entry!$D$909="","",[3]Entry!$D$909)</f>
        <v/>
      </c>
      <c r="AI906">
        <f>IF([3]Entry!$E$909="","",[3]Entry!$E$909)</f>
        <v/>
      </c>
      <c r="AJ906">
        <f>IF([3]Entry!$G$909="","",[3]Entry!$G$909)</f>
        <v/>
      </c>
      <c r="AK906">
        <f>IF([3]Entry!$K$909="","",[3]Entry!$K$909)</f>
        <v/>
      </c>
      <c r="AL906">
        <f>IF([3]Entry!$L$909="","",[3]Entry!$L$909)</f>
        <v/>
      </c>
      <c r="AM906">
        <f>IF([3]Entry!$M$909="","",[3]Entry!$M$909)</f>
        <v/>
      </c>
      <c r="AN906">
        <f>IF([3]Entry!$N$909="","",[3]Entry!$N$909)</f>
        <v/>
      </c>
      <c r="AO906">
        <f>IF([3]Entry!$R$909="","",[3]Entry!$R$909)</f>
        <v/>
      </c>
    </row>
    <row r="907">
      <c r="U907">
        <f>IF([2]Baskol!$B$910="","",[2]Baskol!$B$910)</f>
        <v/>
      </c>
      <c r="V907">
        <f>IF([2]Baskol!$C$910="","",[2]Baskol!$C$910)</f>
        <v/>
      </c>
      <c r="W907">
        <f>IF([2]Baskol!$D$910="","",[2]Baskol!$D$910)</f>
        <v/>
      </c>
      <c r="X907">
        <f>IF([2]Baskol!$E$910="","",[2]Baskol!$E$910)</f>
        <v/>
      </c>
      <c r="Y907">
        <f>IF([2]Baskol!$G$910="","",[2]Baskol!$G$910)</f>
        <v/>
      </c>
      <c r="Z907">
        <f>IF([2]Baskol!$I$910="","",[2]Baskol!$I$910)</f>
        <v/>
      </c>
      <c r="AA907">
        <f>IF([2]Baskol!$J$910="","",[2]Baskol!$J$910)</f>
        <v/>
      </c>
      <c r="AB907">
        <f>IF([2]Baskol!$K$910="","",[2]Baskol!$K$910)</f>
        <v/>
      </c>
      <c r="AC907">
        <f>IF([2]Baskol!$L$910="","",[2]Baskol!$L$910)</f>
        <v/>
      </c>
      <c r="AD907">
        <f>IF([2]Baskol!$N$910="","",[2]Baskol!$N$910)</f>
        <v/>
      </c>
      <c r="AE907">
        <f>IF([2]Baskol!$O$910="","",[2]Baskol!$O$910)</f>
        <v/>
      </c>
      <c r="AG907">
        <f>IF([3]Entry!$C$910="","",[3]Entry!$C$910)</f>
        <v/>
      </c>
      <c r="AH907">
        <f>IF([3]Entry!$D$910="","",[3]Entry!$D$910)</f>
        <v/>
      </c>
      <c r="AI907">
        <f>IF([3]Entry!$E$910="","",[3]Entry!$E$910)</f>
        <v/>
      </c>
      <c r="AJ907">
        <f>IF([3]Entry!$G$910="","",[3]Entry!$G$910)</f>
        <v/>
      </c>
      <c r="AK907">
        <f>IF([3]Entry!$K$910="","",[3]Entry!$K$910)</f>
        <v/>
      </c>
      <c r="AL907">
        <f>IF([3]Entry!$L$910="","",[3]Entry!$L$910)</f>
        <v/>
      </c>
      <c r="AM907">
        <f>IF([3]Entry!$M$910="","",[3]Entry!$M$910)</f>
        <v/>
      </c>
      <c r="AN907">
        <f>IF([3]Entry!$N$910="","",[3]Entry!$N$910)</f>
        <v/>
      </c>
      <c r="AO907">
        <f>IF([3]Entry!$R$910="","",[3]Entry!$R$910)</f>
        <v/>
      </c>
    </row>
    <row r="908">
      <c r="U908">
        <f>IF([2]Baskol!$B$911="","",[2]Baskol!$B$911)</f>
        <v/>
      </c>
      <c r="V908">
        <f>IF([2]Baskol!$C$911="","",[2]Baskol!$C$911)</f>
        <v/>
      </c>
      <c r="W908">
        <f>IF([2]Baskol!$D$911="","",[2]Baskol!$D$911)</f>
        <v/>
      </c>
      <c r="X908">
        <f>IF([2]Baskol!$E$911="","",[2]Baskol!$E$911)</f>
        <v/>
      </c>
      <c r="Y908">
        <f>IF([2]Baskol!$G$911="","",[2]Baskol!$G$911)</f>
        <v/>
      </c>
      <c r="Z908">
        <f>IF([2]Baskol!$I$911="","",[2]Baskol!$I$911)</f>
        <v/>
      </c>
      <c r="AA908">
        <f>IF([2]Baskol!$J$911="","",[2]Baskol!$J$911)</f>
        <v/>
      </c>
      <c r="AB908">
        <f>IF([2]Baskol!$K$911="","",[2]Baskol!$K$911)</f>
        <v/>
      </c>
      <c r="AC908">
        <f>IF([2]Baskol!$L$911="","",[2]Baskol!$L$911)</f>
        <v/>
      </c>
      <c r="AD908">
        <f>IF([2]Baskol!$N$911="","",[2]Baskol!$N$911)</f>
        <v/>
      </c>
      <c r="AE908">
        <f>IF([2]Baskol!$O$911="","",[2]Baskol!$O$911)</f>
        <v/>
      </c>
      <c r="AG908">
        <f>IF([3]Entry!$C$911="","",[3]Entry!$C$911)</f>
        <v/>
      </c>
      <c r="AH908">
        <f>IF([3]Entry!$D$911="","",[3]Entry!$D$911)</f>
        <v/>
      </c>
      <c r="AI908">
        <f>IF([3]Entry!$E$911="","",[3]Entry!$E$911)</f>
        <v/>
      </c>
      <c r="AJ908">
        <f>IF([3]Entry!$G$911="","",[3]Entry!$G$911)</f>
        <v/>
      </c>
      <c r="AK908">
        <f>IF([3]Entry!$K$911="","",[3]Entry!$K$911)</f>
        <v/>
      </c>
      <c r="AL908">
        <f>IF([3]Entry!$L$911="","",[3]Entry!$L$911)</f>
        <v/>
      </c>
      <c r="AM908">
        <f>IF([3]Entry!$M$911="","",[3]Entry!$M$911)</f>
        <v/>
      </c>
      <c r="AN908">
        <f>IF([3]Entry!$N$911="","",[3]Entry!$N$911)</f>
        <v/>
      </c>
      <c r="AO908">
        <f>IF([3]Entry!$R$911="","",[3]Entry!$R$911)</f>
        <v/>
      </c>
    </row>
    <row r="909">
      <c r="U909">
        <f>IF([2]Baskol!$B$912="","",[2]Baskol!$B$912)</f>
        <v/>
      </c>
      <c r="V909">
        <f>IF([2]Baskol!$C$912="","",[2]Baskol!$C$912)</f>
        <v/>
      </c>
      <c r="W909">
        <f>IF([2]Baskol!$D$912="","",[2]Baskol!$D$912)</f>
        <v/>
      </c>
      <c r="X909">
        <f>IF([2]Baskol!$E$912="","",[2]Baskol!$E$912)</f>
        <v/>
      </c>
      <c r="Y909">
        <f>IF([2]Baskol!$G$912="","",[2]Baskol!$G$912)</f>
        <v/>
      </c>
      <c r="Z909">
        <f>IF([2]Baskol!$I$912="","",[2]Baskol!$I$912)</f>
        <v/>
      </c>
      <c r="AA909">
        <f>IF([2]Baskol!$J$912="","",[2]Baskol!$J$912)</f>
        <v/>
      </c>
      <c r="AB909">
        <f>IF([2]Baskol!$K$912="","",[2]Baskol!$K$912)</f>
        <v/>
      </c>
      <c r="AC909">
        <f>IF([2]Baskol!$L$912="","",[2]Baskol!$L$912)</f>
        <v/>
      </c>
      <c r="AD909">
        <f>IF([2]Baskol!$N$912="","",[2]Baskol!$N$912)</f>
        <v/>
      </c>
      <c r="AE909">
        <f>IF([2]Baskol!$O$912="","",[2]Baskol!$O$912)</f>
        <v/>
      </c>
      <c r="AG909">
        <f>IF([3]Entry!$C$912="","",[3]Entry!$C$912)</f>
        <v/>
      </c>
      <c r="AH909">
        <f>IF([3]Entry!$D$912="","",[3]Entry!$D$912)</f>
        <v/>
      </c>
      <c r="AI909">
        <f>IF([3]Entry!$E$912="","",[3]Entry!$E$912)</f>
        <v/>
      </c>
      <c r="AJ909">
        <f>IF([3]Entry!$G$912="","",[3]Entry!$G$912)</f>
        <v/>
      </c>
      <c r="AK909">
        <f>IF([3]Entry!$K$912="","",[3]Entry!$K$912)</f>
        <v/>
      </c>
      <c r="AL909">
        <f>IF([3]Entry!$L$912="","",[3]Entry!$L$912)</f>
        <v/>
      </c>
      <c r="AM909">
        <f>IF([3]Entry!$M$912="","",[3]Entry!$M$912)</f>
        <v/>
      </c>
      <c r="AN909">
        <f>IF([3]Entry!$N$912="","",[3]Entry!$N$912)</f>
        <v/>
      </c>
      <c r="AO909">
        <f>IF([3]Entry!$R$912="","",[3]Entry!$R$912)</f>
        <v/>
      </c>
    </row>
    <row r="910">
      <c r="U910">
        <f>IF([2]Baskol!$B$913="","",[2]Baskol!$B$913)</f>
        <v/>
      </c>
      <c r="V910">
        <f>IF([2]Baskol!$C$913="","",[2]Baskol!$C$913)</f>
        <v/>
      </c>
      <c r="W910">
        <f>IF([2]Baskol!$D$913="","",[2]Baskol!$D$913)</f>
        <v/>
      </c>
      <c r="X910">
        <f>IF([2]Baskol!$E$913="","",[2]Baskol!$E$913)</f>
        <v/>
      </c>
      <c r="Y910">
        <f>IF([2]Baskol!$G$913="","",[2]Baskol!$G$913)</f>
        <v/>
      </c>
      <c r="Z910">
        <f>IF([2]Baskol!$I$913="","",[2]Baskol!$I$913)</f>
        <v/>
      </c>
      <c r="AA910">
        <f>IF([2]Baskol!$J$913="","",[2]Baskol!$J$913)</f>
        <v/>
      </c>
      <c r="AB910">
        <f>IF([2]Baskol!$K$913="","",[2]Baskol!$K$913)</f>
        <v/>
      </c>
      <c r="AC910">
        <f>IF([2]Baskol!$L$913="","",[2]Baskol!$L$913)</f>
        <v/>
      </c>
      <c r="AD910">
        <f>IF([2]Baskol!$N$913="","",[2]Baskol!$N$913)</f>
        <v/>
      </c>
      <c r="AE910">
        <f>IF([2]Baskol!$O$913="","",[2]Baskol!$O$913)</f>
        <v/>
      </c>
      <c r="AG910">
        <f>IF([3]Entry!$C$913="","",[3]Entry!$C$913)</f>
        <v/>
      </c>
      <c r="AH910">
        <f>IF([3]Entry!$D$913="","",[3]Entry!$D$913)</f>
        <v/>
      </c>
      <c r="AI910">
        <f>IF([3]Entry!$E$913="","",[3]Entry!$E$913)</f>
        <v/>
      </c>
      <c r="AJ910">
        <f>IF([3]Entry!$G$913="","",[3]Entry!$G$913)</f>
        <v/>
      </c>
      <c r="AK910">
        <f>IF([3]Entry!$K$913="","",[3]Entry!$K$913)</f>
        <v/>
      </c>
      <c r="AL910">
        <f>IF([3]Entry!$L$913="","",[3]Entry!$L$913)</f>
        <v/>
      </c>
      <c r="AM910">
        <f>IF([3]Entry!$M$913="","",[3]Entry!$M$913)</f>
        <v/>
      </c>
      <c r="AN910">
        <f>IF([3]Entry!$N$913="","",[3]Entry!$N$913)</f>
        <v/>
      </c>
      <c r="AO910">
        <f>IF([3]Entry!$R$913="","",[3]Entry!$R$913)</f>
        <v/>
      </c>
    </row>
    <row r="911">
      <c r="U911">
        <f>IF([2]Baskol!$B$914="","",[2]Baskol!$B$914)</f>
        <v/>
      </c>
      <c r="V911">
        <f>IF([2]Baskol!$C$914="","",[2]Baskol!$C$914)</f>
        <v/>
      </c>
      <c r="W911">
        <f>IF([2]Baskol!$D$914="","",[2]Baskol!$D$914)</f>
        <v/>
      </c>
      <c r="X911">
        <f>IF([2]Baskol!$E$914="","",[2]Baskol!$E$914)</f>
        <v/>
      </c>
      <c r="Y911">
        <f>IF([2]Baskol!$G$914="","",[2]Baskol!$G$914)</f>
        <v/>
      </c>
      <c r="Z911">
        <f>IF([2]Baskol!$I$914="","",[2]Baskol!$I$914)</f>
        <v/>
      </c>
      <c r="AA911">
        <f>IF([2]Baskol!$J$914="","",[2]Baskol!$J$914)</f>
        <v/>
      </c>
      <c r="AB911">
        <f>IF([2]Baskol!$K$914="","",[2]Baskol!$K$914)</f>
        <v/>
      </c>
      <c r="AC911">
        <f>IF([2]Baskol!$L$914="","",[2]Baskol!$L$914)</f>
        <v/>
      </c>
      <c r="AD911">
        <f>IF([2]Baskol!$N$914="","",[2]Baskol!$N$914)</f>
        <v/>
      </c>
      <c r="AE911">
        <f>IF([2]Baskol!$O$914="","",[2]Baskol!$O$914)</f>
        <v/>
      </c>
      <c r="AG911">
        <f>IF([3]Entry!$C$914="","",[3]Entry!$C$914)</f>
        <v/>
      </c>
      <c r="AH911">
        <f>IF([3]Entry!$D$914="","",[3]Entry!$D$914)</f>
        <v/>
      </c>
      <c r="AI911">
        <f>IF([3]Entry!$E$914="","",[3]Entry!$E$914)</f>
        <v/>
      </c>
      <c r="AJ911">
        <f>IF([3]Entry!$G$914="","",[3]Entry!$G$914)</f>
        <v/>
      </c>
      <c r="AK911">
        <f>IF([3]Entry!$K$914="","",[3]Entry!$K$914)</f>
        <v/>
      </c>
      <c r="AL911">
        <f>IF([3]Entry!$L$914="","",[3]Entry!$L$914)</f>
        <v/>
      </c>
      <c r="AM911">
        <f>IF([3]Entry!$M$914="","",[3]Entry!$M$914)</f>
        <v/>
      </c>
      <c r="AN911">
        <f>IF([3]Entry!$N$914="","",[3]Entry!$N$914)</f>
        <v/>
      </c>
      <c r="AO911">
        <f>IF([3]Entry!$R$914="","",[3]Entry!$R$914)</f>
        <v/>
      </c>
    </row>
    <row r="912">
      <c r="U912">
        <f>IF([2]Baskol!$B$915="","",[2]Baskol!$B$915)</f>
        <v/>
      </c>
      <c r="V912">
        <f>IF([2]Baskol!$C$915="","",[2]Baskol!$C$915)</f>
        <v/>
      </c>
      <c r="W912">
        <f>IF([2]Baskol!$D$915="","",[2]Baskol!$D$915)</f>
        <v/>
      </c>
      <c r="X912">
        <f>IF([2]Baskol!$E$915="","",[2]Baskol!$E$915)</f>
        <v/>
      </c>
      <c r="Y912">
        <f>IF([2]Baskol!$G$915="","",[2]Baskol!$G$915)</f>
        <v/>
      </c>
      <c r="Z912">
        <f>IF([2]Baskol!$I$915="","",[2]Baskol!$I$915)</f>
        <v/>
      </c>
      <c r="AA912">
        <f>IF([2]Baskol!$J$915="","",[2]Baskol!$J$915)</f>
        <v/>
      </c>
      <c r="AB912">
        <f>IF([2]Baskol!$K$915="","",[2]Baskol!$K$915)</f>
        <v/>
      </c>
      <c r="AC912">
        <f>IF([2]Baskol!$L$915="","",[2]Baskol!$L$915)</f>
        <v/>
      </c>
      <c r="AD912">
        <f>IF([2]Baskol!$N$915="","",[2]Baskol!$N$915)</f>
        <v/>
      </c>
      <c r="AE912">
        <f>IF([2]Baskol!$O$915="","",[2]Baskol!$O$915)</f>
        <v/>
      </c>
      <c r="AG912">
        <f>IF([3]Entry!$C$915="","",[3]Entry!$C$915)</f>
        <v/>
      </c>
      <c r="AH912">
        <f>IF([3]Entry!$D$915="","",[3]Entry!$D$915)</f>
        <v/>
      </c>
      <c r="AI912">
        <f>IF([3]Entry!$E$915="","",[3]Entry!$E$915)</f>
        <v/>
      </c>
      <c r="AJ912">
        <f>IF([3]Entry!$G$915="","",[3]Entry!$G$915)</f>
        <v/>
      </c>
      <c r="AK912">
        <f>IF([3]Entry!$K$915="","",[3]Entry!$K$915)</f>
        <v/>
      </c>
      <c r="AL912">
        <f>IF([3]Entry!$L$915="","",[3]Entry!$L$915)</f>
        <v/>
      </c>
      <c r="AM912">
        <f>IF([3]Entry!$M$915="","",[3]Entry!$M$915)</f>
        <v/>
      </c>
      <c r="AN912">
        <f>IF([3]Entry!$N$915="","",[3]Entry!$N$915)</f>
        <v/>
      </c>
      <c r="AO912">
        <f>IF([3]Entry!$R$915="","",[3]Entry!$R$915)</f>
        <v/>
      </c>
    </row>
    <row r="913">
      <c r="U913">
        <f>IF([2]Baskol!$B$916="","",[2]Baskol!$B$916)</f>
        <v/>
      </c>
      <c r="V913">
        <f>IF([2]Baskol!$C$916="","",[2]Baskol!$C$916)</f>
        <v/>
      </c>
      <c r="W913">
        <f>IF([2]Baskol!$D$916="","",[2]Baskol!$D$916)</f>
        <v/>
      </c>
      <c r="X913">
        <f>IF([2]Baskol!$E$916="","",[2]Baskol!$E$916)</f>
        <v/>
      </c>
      <c r="Y913">
        <f>IF([2]Baskol!$G$916="","",[2]Baskol!$G$916)</f>
        <v/>
      </c>
      <c r="Z913">
        <f>IF([2]Baskol!$I$916="","",[2]Baskol!$I$916)</f>
        <v/>
      </c>
      <c r="AA913">
        <f>IF([2]Baskol!$J$916="","",[2]Baskol!$J$916)</f>
        <v/>
      </c>
      <c r="AB913">
        <f>IF([2]Baskol!$K$916="","",[2]Baskol!$K$916)</f>
        <v/>
      </c>
      <c r="AC913">
        <f>IF([2]Baskol!$L$916="","",[2]Baskol!$L$916)</f>
        <v/>
      </c>
      <c r="AD913">
        <f>IF([2]Baskol!$N$916="","",[2]Baskol!$N$916)</f>
        <v/>
      </c>
      <c r="AE913">
        <f>IF([2]Baskol!$O$916="","",[2]Baskol!$O$916)</f>
        <v/>
      </c>
      <c r="AG913">
        <f>IF([3]Entry!$C$916="","",[3]Entry!$C$916)</f>
        <v/>
      </c>
      <c r="AH913">
        <f>IF([3]Entry!$D$916="","",[3]Entry!$D$916)</f>
        <v/>
      </c>
      <c r="AI913">
        <f>IF([3]Entry!$E$916="","",[3]Entry!$E$916)</f>
        <v/>
      </c>
      <c r="AJ913">
        <f>IF([3]Entry!$G$916="","",[3]Entry!$G$916)</f>
        <v/>
      </c>
      <c r="AK913">
        <f>IF([3]Entry!$K$916="","",[3]Entry!$K$916)</f>
        <v/>
      </c>
      <c r="AL913">
        <f>IF([3]Entry!$L$916="","",[3]Entry!$L$916)</f>
        <v/>
      </c>
      <c r="AM913">
        <f>IF([3]Entry!$M$916="","",[3]Entry!$M$916)</f>
        <v/>
      </c>
      <c r="AN913">
        <f>IF([3]Entry!$N$916="","",[3]Entry!$N$916)</f>
        <v/>
      </c>
      <c r="AO913">
        <f>IF([3]Entry!$R$916="","",[3]Entry!$R$916)</f>
        <v/>
      </c>
    </row>
    <row r="914">
      <c r="U914">
        <f>IF([2]Baskol!$B$917="","",[2]Baskol!$B$917)</f>
        <v/>
      </c>
      <c r="V914">
        <f>IF([2]Baskol!$C$917="","",[2]Baskol!$C$917)</f>
        <v/>
      </c>
      <c r="W914">
        <f>IF([2]Baskol!$D$917="","",[2]Baskol!$D$917)</f>
        <v/>
      </c>
      <c r="X914">
        <f>IF([2]Baskol!$E$917="","",[2]Baskol!$E$917)</f>
        <v/>
      </c>
      <c r="Y914">
        <f>IF([2]Baskol!$G$917="","",[2]Baskol!$G$917)</f>
        <v/>
      </c>
      <c r="Z914">
        <f>IF([2]Baskol!$I$917="","",[2]Baskol!$I$917)</f>
        <v/>
      </c>
      <c r="AA914">
        <f>IF([2]Baskol!$J$917="","",[2]Baskol!$J$917)</f>
        <v/>
      </c>
      <c r="AB914">
        <f>IF([2]Baskol!$K$917="","",[2]Baskol!$K$917)</f>
        <v/>
      </c>
      <c r="AC914">
        <f>IF([2]Baskol!$L$917="","",[2]Baskol!$L$917)</f>
        <v/>
      </c>
      <c r="AD914">
        <f>IF([2]Baskol!$N$917="","",[2]Baskol!$N$917)</f>
        <v/>
      </c>
      <c r="AE914">
        <f>IF([2]Baskol!$O$917="","",[2]Baskol!$O$917)</f>
        <v/>
      </c>
      <c r="AG914">
        <f>IF([3]Entry!$C$917="","",[3]Entry!$C$917)</f>
        <v/>
      </c>
      <c r="AH914">
        <f>IF([3]Entry!$D$917="","",[3]Entry!$D$917)</f>
        <v/>
      </c>
      <c r="AI914">
        <f>IF([3]Entry!$E$917="","",[3]Entry!$E$917)</f>
        <v/>
      </c>
      <c r="AJ914">
        <f>IF([3]Entry!$G$917="","",[3]Entry!$G$917)</f>
        <v/>
      </c>
      <c r="AK914">
        <f>IF([3]Entry!$K$917="","",[3]Entry!$K$917)</f>
        <v/>
      </c>
      <c r="AL914">
        <f>IF([3]Entry!$L$917="","",[3]Entry!$L$917)</f>
        <v/>
      </c>
      <c r="AM914">
        <f>IF([3]Entry!$M$917="","",[3]Entry!$M$917)</f>
        <v/>
      </c>
      <c r="AN914">
        <f>IF([3]Entry!$N$917="","",[3]Entry!$N$917)</f>
        <v/>
      </c>
      <c r="AO914">
        <f>IF([3]Entry!$R$917="","",[3]Entry!$R$917)</f>
        <v/>
      </c>
    </row>
    <row r="915">
      <c r="U915">
        <f>IF([2]Baskol!$B$918="","",[2]Baskol!$B$918)</f>
        <v/>
      </c>
      <c r="V915">
        <f>IF([2]Baskol!$C$918="","",[2]Baskol!$C$918)</f>
        <v/>
      </c>
      <c r="W915">
        <f>IF([2]Baskol!$D$918="","",[2]Baskol!$D$918)</f>
        <v/>
      </c>
      <c r="X915">
        <f>IF([2]Baskol!$E$918="","",[2]Baskol!$E$918)</f>
        <v/>
      </c>
      <c r="Y915">
        <f>IF([2]Baskol!$G$918="","",[2]Baskol!$G$918)</f>
        <v/>
      </c>
      <c r="Z915">
        <f>IF([2]Baskol!$I$918="","",[2]Baskol!$I$918)</f>
        <v/>
      </c>
      <c r="AA915">
        <f>IF([2]Baskol!$J$918="","",[2]Baskol!$J$918)</f>
        <v/>
      </c>
      <c r="AB915">
        <f>IF([2]Baskol!$K$918="","",[2]Baskol!$K$918)</f>
        <v/>
      </c>
      <c r="AC915">
        <f>IF([2]Baskol!$L$918="","",[2]Baskol!$L$918)</f>
        <v/>
      </c>
      <c r="AD915">
        <f>IF([2]Baskol!$N$918="","",[2]Baskol!$N$918)</f>
        <v/>
      </c>
      <c r="AE915">
        <f>IF([2]Baskol!$O$918="","",[2]Baskol!$O$918)</f>
        <v/>
      </c>
      <c r="AG915">
        <f>IF([3]Entry!$C$918="","",[3]Entry!$C$918)</f>
        <v/>
      </c>
      <c r="AH915">
        <f>IF([3]Entry!$D$918="","",[3]Entry!$D$918)</f>
        <v/>
      </c>
      <c r="AI915">
        <f>IF([3]Entry!$E$918="","",[3]Entry!$E$918)</f>
        <v/>
      </c>
      <c r="AJ915">
        <f>IF([3]Entry!$G$918="","",[3]Entry!$G$918)</f>
        <v/>
      </c>
      <c r="AK915">
        <f>IF([3]Entry!$K$918="","",[3]Entry!$K$918)</f>
        <v/>
      </c>
      <c r="AL915">
        <f>IF([3]Entry!$L$918="","",[3]Entry!$L$918)</f>
        <v/>
      </c>
      <c r="AM915">
        <f>IF([3]Entry!$M$918="","",[3]Entry!$M$918)</f>
        <v/>
      </c>
      <c r="AN915">
        <f>IF([3]Entry!$N$918="","",[3]Entry!$N$918)</f>
        <v/>
      </c>
      <c r="AO915">
        <f>IF([3]Entry!$R$918="","",[3]Entry!$R$918)</f>
        <v/>
      </c>
    </row>
    <row r="916">
      <c r="U916">
        <f>IF([2]Baskol!$B$919="","",[2]Baskol!$B$919)</f>
        <v/>
      </c>
      <c r="V916">
        <f>IF([2]Baskol!$C$919="","",[2]Baskol!$C$919)</f>
        <v/>
      </c>
      <c r="W916">
        <f>IF([2]Baskol!$D$919="","",[2]Baskol!$D$919)</f>
        <v/>
      </c>
      <c r="X916">
        <f>IF([2]Baskol!$E$919="","",[2]Baskol!$E$919)</f>
        <v/>
      </c>
      <c r="Y916">
        <f>IF([2]Baskol!$G$919="","",[2]Baskol!$G$919)</f>
        <v/>
      </c>
      <c r="Z916">
        <f>IF([2]Baskol!$I$919="","",[2]Baskol!$I$919)</f>
        <v/>
      </c>
      <c r="AA916">
        <f>IF([2]Baskol!$J$919="","",[2]Baskol!$J$919)</f>
        <v/>
      </c>
      <c r="AB916">
        <f>IF([2]Baskol!$K$919="","",[2]Baskol!$K$919)</f>
        <v/>
      </c>
      <c r="AC916">
        <f>IF([2]Baskol!$L$919="","",[2]Baskol!$L$919)</f>
        <v/>
      </c>
      <c r="AD916">
        <f>IF([2]Baskol!$N$919="","",[2]Baskol!$N$919)</f>
        <v/>
      </c>
      <c r="AE916">
        <f>IF([2]Baskol!$O$919="","",[2]Baskol!$O$919)</f>
        <v/>
      </c>
      <c r="AG916">
        <f>IF([3]Entry!$C$919="","",[3]Entry!$C$919)</f>
        <v/>
      </c>
      <c r="AH916">
        <f>IF([3]Entry!$D$919="","",[3]Entry!$D$919)</f>
        <v/>
      </c>
      <c r="AI916">
        <f>IF([3]Entry!$E$919="","",[3]Entry!$E$919)</f>
        <v/>
      </c>
      <c r="AJ916">
        <f>IF([3]Entry!$G$919="","",[3]Entry!$G$919)</f>
        <v/>
      </c>
      <c r="AK916">
        <f>IF([3]Entry!$K$919="","",[3]Entry!$K$919)</f>
        <v/>
      </c>
      <c r="AL916">
        <f>IF([3]Entry!$L$919="","",[3]Entry!$L$919)</f>
        <v/>
      </c>
      <c r="AM916">
        <f>IF([3]Entry!$M$919="","",[3]Entry!$M$919)</f>
        <v/>
      </c>
      <c r="AN916">
        <f>IF([3]Entry!$N$919="","",[3]Entry!$N$919)</f>
        <v/>
      </c>
      <c r="AO916">
        <f>IF([3]Entry!$R$919="","",[3]Entry!$R$919)</f>
        <v/>
      </c>
    </row>
    <row r="917">
      <c r="U917">
        <f>IF([2]Baskol!$B$920="","",[2]Baskol!$B$920)</f>
        <v/>
      </c>
      <c r="V917">
        <f>IF([2]Baskol!$C$920="","",[2]Baskol!$C$920)</f>
        <v/>
      </c>
      <c r="W917">
        <f>IF([2]Baskol!$D$920="","",[2]Baskol!$D$920)</f>
        <v/>
      </c>
      <c r="X917">
        <f>IF([2]Baskol!$E$920="","",[2]Baskol!$E$920)</f>
        <v/>
      </c>
      <c r="Y917">
        <f>IF([2]Baskol!$G$920="","",[2]Baskol!$G$920)</f>
        <v/>
      </c>
      <c r="Z917">
        <f>IF([2]Baskol!$I$920="","",[2]Baskol!$I$920)</f>
        <v/>
      </c>
      <c r="AA917">
        <f>IF([2]Baskol!$J$920="","",[2]Baskol!$J$920)</f>
        <v/>
      </c>
      <c r="AB917">
        <f>IF([2]Baskol!$K$920="","",[2]Baskol!$K$920)</f>
        <v/>
      </c>
      <c r="AC917">
        <f>IF([2]Baskol!$L$920="","",[2]Baskol!$L$920)</f>
        <v/>
      </c>
      <c r="AD917">
        <f>IF([2]Baskol!$N$920="","",[2]Baskol!$N$920)</f>
        <v/>
      </c>
      <c r="AE917">
        <f>IF([2]Baskol!$O$920="","",[2]Baskol!$O$920)</f>
        <v/>
      </c>
      <c r="AG917">
        <f>IF([3]Entry!$C$920="","",[3]Entry!$C$920)</f>
        <v/>
      </c>
      <c r="AH917">
        <f>IF([3]Entry!$D$920="","",[3]Entry!$D$920)</f>
        <v/>
      </c>
      <c r="AI917">
        <f>IF([3]Entry!$E$920="","",[3]Entry!$E$920)</f>
        <v/>
      </c>
      <c r="AJ917">
        <f>IF([3]Entry!$G$920="","",[3]Entry!$G$920)</f>
        <v/>
      </c>
      <c r="AK917">
        <f>IF([3]Entry!$K$920="","",[3]Entry!$K$920)</f>
        <v/>
      </c>
      <c r="AL917">
        <f>IF([3]Entry!$L$920="","",[3]Entry!$L$920)</f>
        <v/>
      </c>
      <c r="AM917">
        <f>IF([3]Entry!$M$920="","",[3]Entry!$M$920)</f>
        <v/>
      </c>
      <c r="AN917">
        <f>IF([3]Entry!$N$920="","",[3]Entry!$N$920)</f>
        <v/>
      </c>
      <c r="AO917">
        <f>IF([3]Entry!$R$920="","",[3]Entry!$R$920)</f>
        <v/>
      </c>
    </row>
    <row r="918">
      <c r="U918">
        <f>IF([2]Baskol!$B$921="","",[2]Baskol!$B$921)</f>
        <v/>
      </c>
      <c r="V918">
        <f>IF([2]Baskol!$C$921="","",[2]Baskol!$C$921)</f>
        <v/>
      </c>
      <c r="W918">
        <f>IF([2]Baskol!$D$921="","",[2]Baskol!$D$921)</f>
        <v/>
      </c>
      <c r="X918">
        <f>IF([2]Baskol!$E$921="","",[2]Baskol!$E$921)</f>
        <v/>
      </c>
      <c r="Y918">
        <f>IF([2]Baskol!$G$921="","",[2]Baskol!$G$921)</f>
        <v/>
      </c>
      <c r="Z918">
        <f>IF([2]Baskol!$I$921="","",[2]Baskol!$I$921)</f>
        <v/>
      </c>
      <c r="AA918">
        <f>IF([2]Baskol!$J$921="","",[2]Baskol!$J$921)</f>
        <v/>
      </c>
      <c r="AB918">
        <f>IF([2]Baskol!$K$921="","",[2]Baskol!$K$921)</f>
        <v/>
      </c>
      <c r="AC918">
        <f>IF([2]Baskol!$L$921="","",[2]Baskol!$L$921)</f>
        <v/>
      </c>
      <c r="AD918">
        <f>IF([2]Baskol!$N$921="","",[2]Baskol!$N$921)</f>
        <v/>
      </c>
      <c r="AE918">
        <f>IF([2]Baskol!$O$921="","",[2]Baskol!$O$921)</f>
        <v/>
      </c>
      <c r="AG918">
        <f>IF([3]Entry!$C$921="","",[3]Entry!$C$921)</f>
        <v/>
      </c>
      <c r="AH918">
        <f>IF([3]Entry!$D$921="","",[3]Entry!$D$921)</f>
        <v/>
      </c>
      <c r="AI918">
        <f>IF([3]Entry!$E$921="","",[3]Entry!$E$921)</f>
        <v/>
      </c>
      <c r="AJ918">
        <f>IF([3]Entry!$G$921="","",[3]Entry!$G$921)</f>
        <v/>
      </c>
      <c r="AK918">
        <f>IF([3]Entry!$K$921="","",[3]Entry!$K$921)</f>
        <v/>
      </c>
      <c r="AL918">
        <f>IF([3]Entry!$L$921="","",[3]Entry!$L$921)</f>
        <v/>
      </c>
      <c r="AM918">
        <f>IF([3]Entry!$M$921="","",[3]Entry!$M$921)</f>
        <v/>
      </c>
      <c r="AN918">
        <f>IF([3]Entry!$N$921="","",[3]Entry!$N$921)</f>
        <v/>
      </c>
      <c r="AO918">
        <f>IF([3]Entry!$R$921="","",[3]Entry!$R$921)</f>
        <v/>
      </c>
    </row>
    <row r="919">
      <c r="U919">
        <f>IF([2]Baskol!$B$922="","",[2]Baskol!$B$922)</f>
        <v/>
      </c>
      <c r="V919">
        <f>IF([2]Baskol!$C$922="","",[2]Baskol!$C$922)</f>
        <v/>
      </c>
      <c r="W919">
        <f>IF([2]Baskol!$D$922="","",[2]Baskol!$D$922)</f>
        <v/>
      </c>
      <c r="X919">
        <f>IF([2]Baskol!$E$922="","",[2]Baskol!$E$922)</f>
        <v/>
      </c>
      <c r="Y919">
        <f>IF([2]Baskol!$G$922="","",[2]Baskol!$G$922)</f>
        <v/>
      </c>
      <c r="Z919">
        <f>IF([2]Baskol!$I$922="","",[2]Baskol!$I$922)</f>
        <v/>
      </c>
      <c r="AA919">
        <f>IF([2]Baskol!$J$922="","",[2]Baskol!$J$922)</f>
        <v/>
      </c>
      <c r="AB919">
        <f>IF([2]Baskol!$K$922="","",[2]Baskol!$K$922)</f>
        <v/>
      </c>
      <c r="AC919">
        <f>IF([2]Baskol!$L$922="","",[2]Baskol!$L$922)</f>
        <v/>
      </c>
      <c r="AD919">
        <f>IF([2]Baskol!$N$922="","",[2]Baskol!$N$922)</f>
        <v/>
      </c>
      <c r="AE919">
        <f>IF([2]Baskol!$O$922="","",[2]Baskol!$O$922)</f>
        <v/>
      </c>
      <c r="AG919">
        <f>IF([3]Entry!$C$922="","",[3]Entry!$C$922)</f>
        <v/>
      </c>
      <c r="AH919">
        <f>IF([3]Entry!$D$922="","",[3]Entry!$D$922)</f>
        <v/>
      </c>
      <c r="AI919">
        <f>IF([3]Entry!$E$922="","",[3]Entry!$E$922)</f>
        <v/>
      </c>
      <c r="AJ919">
        <f>IF([3]Entry!$G$922="","",[3]Entry!$G$922)</f>
        <v/>
      </c>
      <c r="AK919">
        <f>IF([3]Entry!$K$922="","",[3]Entry!$K$922)</f>
        <v/>
      </c>
      <c r="AL919">
        <f>IF([3]Entry!$L$922="","",[3]Entry!$L$922)</f>
        <v/>
      </c>
      <c r="AM919">
        <f>IF([3]Entry!$M$922="","",[3]Entry!$M$922)</f>
        <v/>
      </c>
      <c r="AN919">
        <f>IF([3]Entry!$N$922="","",[3]Entry!$N$922)</f>
        <v/>
      </c>
      <c r="AO919">
        <f>IF([3]Entry!$R$922="","",[3]Entry!$R$922)</f>
        <v/>
      </c>
    </row>
    <row r="920">
      <c r="U920">
        <f>IF([2]Baskol!$B$923="","",[2]Baskol!$B$923)</f>
        <v/>
      </c>
      <c r="V920">
        <f>IF([2]Baskol!$C$923="","",[2]Baskol!$C$923)</f>
        <v/>
      </c>
      <c r="W920">
        <f>IF([2]Baskol!$D$923="","",[2]Baskol!$D$923)</f>
        <v/>
      </c>
      <c r="X920">
        <f>IF([2]Baskol!$E$923="","",[2]Baskol!$E$923)</f>
        <v/>
      </c>
      <c r="Y920">
        <f>IF([2]Baskol!$G$923="","",[2]Baskol!$G$923)</f>
        <v/>
      </c>
      <c r="Z920">
        <f>IF([2]Baskol!$I$923="","",[2]Baskol!$I$923)</f>
        <v/>
      </c>
      <c r="AA920">
        <f>IF([2]Baskol!$J$923="","",[2]Baskol!$J$923)</f>
        <v/>
      </c>
      <c r="AB920">
        <f>IF([2]Baskol!$K$923="","",[2]Baskol!$K$923)</f>
        <v/>
      </c>
      <c r="AC920">
        <f>IF([2]Baskol!$L$923="","",[2]Baskol!$L$923)</f>
        <v/>
      </c>
      <c r="AD920">
        <f>IF([2]Baskol!$N$923="","",[2]Baskol!$N$923)</f>
        <v/>
      </c>
      <c r="AE920">
        <f>IF([2]Baskol!$O$923="","",[2]Baskol!$O$923)</f>
        <v/>
      </c>
      <c r="AG920">
        <f>IF([3]Entry!$C$923="","",[3]Entry!$C$923)</f>
        <v/>
      </c>
      <c r="AH920">
        <f>IF([3]Entry!$D$923="","",[3]Entry!$D$923)</f>
        <v/>
      </c>
      <c r="AI920">
        <f>IF([3]Entry!$E$923="","",[3]Entry!$E$923)</f>
        <v/>
      </c>
      <c r="AJ920">
        <f>IF([3]Entry!$G$923="","",[3]Entry!$G$923)</f>
        <v/>
      </c>
      <c r="AK920">
        <f>IF([3]Entry!$K$923="","",[3]Entry!$K$923)</f>
        <v/>
      </c>
      <c r="AL920">
        <f>IF([3]Entry!$L$923="","",[3]Entry!$L$923)</f>
        <v/>
      </c>
      <c r="AM920">
        <f>IF([3]Entry!$M$923="","",[3]Entry!$M$923)</f>
        <v/>
      </c>
      <c r="AN920">
        <f>IF([3]Entry!$N$923="","",[3]Entry!$N$923)</f>
        <v/>
      </c>
      <c r="AO920">
        <f>IF([3]Entry!$R$923="","",[3]Entry!$R$923)</f>
        <v/>
      </c>
    </row>
    <row r="921">
      <c r="U921">
        <f>IF([2]Baskol!$B$924="","",[2]Baskol!$B$924)</f>
        <v/>
      </c>
      <c r="V921">
        <f>IF([2]Baskol!$C$924="","",[2]Baskol!$C$924)</f>
        <v/>
      </c>
      <c r="W921">
        <f>IF([2]Baskol!$D$924="","",[2]Baskol!$D$924)</f>
        <v/>
      </c>
      <c r="X921">
        <f>IF([2]Baskol!$E$924="","",[2]Baskol!$E$924)</f>
        <v/>
      </c>
      <c r="Y921">
        <f>IF([2]Baskol!$G$924="","",[2]Baskol!$G$924)</f>
        <v/>
      </c>
      <c r="Z921">
        <f>IF([2]Baskol!$I$924="","",[2]Baskol!$I$924)</f>
        <v/>
      </c>
      <c r="AA921">
        <f>IF([2]Baskol!$J$924="","",[2]Baskol!$J$924)</f>
        <v/>
      </c>
      <c r="AB921">
        <f>IF([2]Baskol!$K$924="","",[2]Baskol!$K$924)</f>
        <v/>
      </c>
      <c r="AC921">
        <f>IF([2]Baskol!$L$924="","",[2]Baskol!$L$924)</f>
        <v/>
      </c>
      <c r="AD921">
        <f>IF([2]Baskol!$N$924="","",[2]Baskol!$N$924)</f>
        <v/>
      </c>
      <c r="AE921">
        <f>IF([2]Baskol!$O$924="","",[2]Baskol!$O$924)</f>
        <v/>
      </c>
      <c r="AG921">
        <f>IF([3]Entry!$C$924="","",[3]Entry!$C$924)</f>
        <v/>
      </c>
      <c r="AH921">
        <f>IF([3]Entry!$D$924="","",[3]Entry!$D$924)</f>
        <v/>
      </c>
      <c r="AI921">
        <f>IF([3]Entry!$E$924="","",[3]Entry!$E$924)</f>
        <v/>
      </c>
      <c r="AJ921">
        <f>IF([3]Entry!$G$924="","",[3]Entry!$G$924)</f>
        <v/>
      </c>
      <c r="AK921">
        <f>IF([3]Entry!$K$924="","",[3]Entry!$K$924)</f>
        <v/>
      </c>
      <c r="AL921">
        <f>IF([3]Entry!$L$924="","",[3]Entry!$L$924)</f>
        <v/>
      </c>
      <c r="AM921">
        <f>IF([3]Entry!$M$924="","",[3]Entry!$M$924)</f>
        <v/>
      </c>
      <c r="AN921">
        <f>IF([3]Entry!$N$924="","",[3]Entry!$N$924)</f>
        <v/>
      </c>
      <c r="AO921">
        <f>IF([3]Entry!$R$924="","",[3]Entry!$R$924)</f>
        <v/>
      </c>
    </row>
    <row r="922">
      <c r="U922">
        <f>IF([2]Baskol!$B$925="","",[2]Baskol!$B$925)</f>
        <v/>
      </c>
      <c r="V922">
        <f>IF([2]Baskol!$C$925="","",[2]Baskol!$C$925)</f>
        <v/>
      </c>
      <c r="W922">
        <f>IF([2]Baskol!$D$925="","",[2]Baskol!$D$925)</f>
        <v/>
      </c>
      <c r="X922">
        <f>IF([2]Baskol!$E$925="","",[2]Baskol!$E$925)</f>
        <v/>
      </c>
      <c r="Y922">
        <f>IF([2]Baskol!$G$925="","",[2]Baskol!$G$925)</f>
        <v/>
      </c>
      <c r="Z922">
        <f>IF([2]Baskol!$I$925="","",[2]Baskol!$I$925)</f>
        <v/>
      </c>
      <c r="AA922">
        <f>IF([2]Baskol!$J$925="","",[2]Baskol!$J$925)</f>
        <v/>
      </c>
      <c r="AB922">
        <f>IF([2]Baskol!$K$925="","",[2]Baskol!$K$925)</f>
        <v/>
      </c>
      <c r="AC922">
        <f>IF([2]Baskol!$L$925="","",[2]Baskol!$L$925)</f>
        <v/>
      </c>
      <c r="AD922">
        <f>IF([2]Baskol!$N$925="","",[2]Baskol!$N$925)</f>
        <v/>
      </c>
      <c r="AE922">
        <f>IF([2]Baskol!$O$925="","",[2]Baskol!$O$925)</f>
        <v/>
      </c>
      <c r="AG922">
        <f>IF([3]Entry!$C$925="","",[3]Entry!$C$925)</f>
        <v/>
      </c>
      <c r="AH922">
        <f>IF([3]Entry!$D$925="","",[3]Entry!$D$925)</f>
        <v/>
      </c>
      <c r="AI922">
        <f>IF([3]Entry!$E$925="","",[3]Entry!$E$925)</f>
        <v/>
      </c>
      <c r="AJ922">
        <f>IF([3]Entry!$G$925="","",[3]Entry!$G$925)</f>
        <v/>
      </c>
      <c r="AK922">
        <f>IF([3]Entry!$K$925="","",[3]Entry!$K$925)</f>
        <v/>
      </c>
      <c r="AL922">
        <f>IF([3]Entry!$L$925="","",[3]Entry!$L$925)</f>
        <v/>
      </c>
      <c r="AM922">
        <f>IF([3]Entry!$M$925="","",[3]Entry!$M$925)</f>
        <v/>
      </c>
      <c r="AN922">
        <f>IF([3]Entry!$N$925="","",[3]Entry!$N$925)</f>
        <v/>
      </c>
      <c r="AO922">
        <f>IF([3]Entry!$R$925="","",[3]Entry!$R$925)</f>
        <v/>
      </c>
    </row>
    <row r="923">
      <c r="U923">
        <f>IF([2]Baskol!$B$926="","",[2]Baskol!$B$926)</f>
        <v/>
      </c>
      <c r="V923">
        <f>IF([2]Baskol!$C$926="","",[2]Baskol!$C$926)</f>
        <v/>
      </c>
      <c r="W923">
        <f>IF([2]Baskol!$D$926="","",[2]Baskol!$D$926)</f>
        <v/>
      </c>
      <c r="X923">
        <f>IF([2]Baskol!$E$926="","",[2]Baskol!$E$926)</f>
        <v/>
      </c>
      <c r="Y923">
        <f>IF([2]Baskol!$G$926="","",[2]Baskol!$G$926)</f>
        <v/>
      </c>
      <c r="Z923">
        <f>IF([2]Baskol!$I$926="","",[2]Baskol!$I$926)</f>
        <v/>
      </c>
      <c r="AA923">
        <f>IF([2]Baskol!$J$926="","",[2]Baskol!$J$926)</f>
        <v/>
      </c>
      <c r="AB923">
        <f>IF([2]Baskol!$K$926="","",[2]Baskol!$K$926)</f>
        <v/>
      </c>
      <c r="AC923">
        <f>IF([2]Baskol!$L$926="","",[2]Baskol!$L$926)</f>
        <v/>
      </c>
      <c r="AD923">
        <f>IF([2]Baskol!$N$926="","",[2]Baskol!$N$926)</f>
        <v/>
      </c>
      <c r="AE923">
        <f>IF([2]Baskol!$O$926="","",[2]Baskol!$O$926)</f>
        <v/>
      </c>
      <c r="AG923">
        <f>IF([3]Entry!$C$926="","",[3]Entry!$C$926)</f>
        <v/>
      </c>
      <c r="AH923">
        <f>IF([3]Entry!$D$926="","",[3]Entry!$D$926)</f>
        <v/>
      </c>
      <c r="AI923">
        <f>IF([3]Entry!$E$926="","",[3]Entry!$E$926)</f>
        <v/>
      </c>
      <c r="AJ923">
        <f>IF([3]Entry!$G$926="","",[3]Entry!$G$926)</f>
        <v/>
      </c>
      <c r="AK923">
        <f>IF([3]Entry!$K$926="","",[3]Entry!$K$926)</f>
        <v/>
      </c>
      <c r="AL923">
        <f>IF([3]Entry!$L$926="","",[3]Entry!$L$926)</f>
        <v/>
      </c>
      <c r="AM923">
        <f>IF([3]Entry!$M$926="","",[3]Entry!$M$926)</f>
        <v/>
      </c>
      <c r="AN923">
        <f>IF([3]Entry!$N$926="","",[3]Entry!$N$926)</f>
        <v/>
      </c>
      <c r="AO923">
        <f>IF([3]Entry!$R$926="","",[3]Entry!$R$926)</f>
        <v/>
      </c>
    </row>
    <row r="924">
      <c r="U924">
        <f>IF([2]Baskol!$B$927="","",[2]Baskol!$B$927)</f>
        <v/>
      </c>
      <c r="V924">
        <f>IF([2]Baskol!$C$927="","",[2]Baskol!$C$927)</f>
        <v/>
      </c>
      <c r="W924">
        <f>IF([2]Baskol!$D$927="","",[2]Baskol!$D$927)</f>
        <v/>
      </c>
      <c r="X924">
        <f>IF([2]Baskol!$E$927="","",[2]Baskol!$E$927)</f>
        <v/>
      </c>
      <c r="Y924">
        <f>IF([2]Baskol!$G$927="","",[2]Baskol!$G$927)</f>
        <v/>
      </c>
      <c r="Z924">
        <f>IF([2]Baskol!$I$927="","",[2]Baskol!$I$927)</f>
        <v/>
      </c>
      <c r="AA924">
        <f>IF([2]Baskol!$J$927="","",[2]Baskol!$J$927)</f>
        <v/>
      </c>
      <c r="AB924">
        <f>IF([2]Baskol!$K$927="","",[2]Baskol!$K$927)</f>
        <v/>
      </c>
      <c r="AC924">
        <f>IF([2]Baskol!$L$927="","",[2]Baskol!$L$927)</f>
        <v/>
      </c>
      <c r="AD924">
        <f>IF([2]Baskol!$N$927="","",[2]Baskol!$N$927)</f>
        <v/>
      </c>
      <c r="AE924">
        <f>IF([2]Baskol!$O$927="","",[2]Baskol!$O$927)</f>
        <v/>
      </c>
      <c r="AG924">
        <f>IF([3]Entry!$C$927="","",[3]Entry!$C$927)</f>
        <v/>
      </c>
      <c r="AH924">
        <f>IF([3]Entry!$D$927="","",[3]Entry!$D$927)</f>
        <v/>
      </c>
      <c r="AI924">
        <f>IF([3]Entry!$E$927="","",[3]Entry!$E$927)</f>
        <v/>
      </c>
      <c r="AJ924">
        <f>IF([3]Entry!$G$927="","",[3]Entry!$G$927)</f>
        <v/>
      </c>
      <c r="AK924">
        <f>IF([3]Entry!$K$927="","",[3]Entry!$K$927)</f>
        <v/>
      </c>
      <c r="AL924">
        <f>IF([3]Entry!$L$927="","",[3]Entry!$L$927)</f>
        <v/>
      </c>
      <c r="AM924">
        <f>IF([3]Entry!$M$927="","",[3]Entry!$M$927)</f>
        <v/>
      </c>
      <c r="AN924">
        <f>IF([3]Entry!$N$927="","",[3]Entry!$N$927)</f>
        <v/>
      </c>
      <c r="AO924">
        <f>IF([3]Entry!$R$927="","",[3]Entry!$R$927)</f>
        <v/>
      </c>
    </row>
    <row r="925">
      <c r="U925">
        <f>IF([2]Baskol!$B$928="","",[2]Baskol!$B$928)</f>
        <v/>
      </c>
      <c r="V925">
        <f>IF([2]Baskol!$C$928="","",[2]Baskol!$C$928)</f>
        <v/>
      </c>
      <c r="W925">
        <f>IF([2]Baskol!$D$928="","",[2]Baskol!$D$928)</f>
        <v/>
      </c>
      <c r="X925">
        <f>IF([2]Baskol!$E$928="","",[2]Baskol!$E$928)</f>
        <v/>
      </c>
      <c r="Y925">
        <f>IF([2]Baskol!$G$928="","",[2]Baskol!$G$928)</f>
        <v/>
      </c>
      <c r="Z925">
        <f>IF([2]Baskol!$I$928="","",[2]Baskol!$I$928)</f>
        <v/>
      </c>
      <c r="AA925">
        <f>IF([2]Baskol!$J$928="","",[2]Baskol!$J$928)</f>
        <v/>
      </c>
      <c r="AB925">
        <f>IF([2]Baskol!$K$928="","",[2]Baskol!$K$928)</f>
        <v/>
      </c>
      <c r="AC925">
        <f>IF([2]Baskol!$L$928="","",[2]Baskol!$L$928)</f>
        <v/>
      </c>
      <c r="AD925">
        <f>IF([2]Baskol!$N$928="","",[2]Baskol!$N$928)</f>
        <v/>
      </c>
      <c r="AE925">
        <f>IF([2]Baskol!$O$928="","",[2]Baskol!$O$928)</f>
        <v/>
      </c>
      <c r="AG925">
        <f>IF([3]Entry!$C$928="","",[3]Entry!$C$928)</f>
        <v/>
      </c>
      <c r="AH925">
        <f>IF([3]Entry!$D$928="","",[3]Entry!$D$928)</f>
        <v/>
      </c>
      <c r="AI925">
        <f>IF([3]Entry!$E$928="","",[3]Entry!$E$928)</f>
        <v/>
      </c>
      <c r="AJ925">
        <f>IF([3]Entry!$G$928="","",[3]Entry!$G$928)</f>
        <v/>
      </c>
      <c r="AK925">
        <f>IF([3]Entry!$K$928="","",[3]Entry!$K$928)</f>
        <v/>
      </c>
      <c r="AL925">
        <f>IF([3]Entry!$L$928="","",[3]Entry!$L$928)</f>
        <v/>
      </c>
      <c r="AM925">
        <f>IF([3]Entry!$M$928="","",[3]Entry!$M$928)</f>
        <v/>
      </c>
      <c r="AN925">
        <f>IF([3]Entry!$N$928="","",[3]Entry!$N$928)</f>
        <v/>
      </c>
      <c r="AO925">
        <f>IF([3]Entry!$R$928="","",[3]Entry!$R$928)</f>
        <v/>
      </c>
    </row>
    <row r="926">
      <c r="U926">
        <f>IF([2]Baskol!$B$929="","",[2]Baskol!$B$929)</f>
        <v/>
      </c>
      <c r="V926">
        <f>IF([2]Baskol!$C$929="","",[2]Baskol!$C$929)</f>
        <v/>
      </c>
      <c r="W926">
        <f>IF([2]Baskol!$D$929="","",[2]Baskol!$D$929)</f>
        <v/>
      </c>
      <c r="X926">
        <f>IF([2]Baskol!$E$929="","",[2]Baskol!$E$929)</f>
        <v/>
      </c>
      <c r="Y926">
        <f>IF([2]Baskol!$G$929="","",[2]Baskol!$G$929)</f>
        <v/>
      </c>
      <c r="Z926">
        <f>IF([2]Baskol!$I$929="","",[2]Baskol!$I$929)</f>
        <v/>
      </c>
      <c r="AA926">
        <f>IF([2]Baskol!$J$929="","",[2]Baskol!$J$929)</f>
        <v/>
      </c>
      <c r="AB926">
        <f>IF([2]Baskol!$K$929="","",[2]Baskol!$K$929)</f>
        <v/>
      </c>
      <c r="AC926">
        <f>IF([2]Baskol!$L$929="","",[2]Baskol!$L$929)</f>
        <v/>
      </c>
      <c r="AD926">
        <f>IF([2]Baskol!$N$929="","",[2]Baskol!$N$929)</f>
        <v/>
      </c>
      <c r="AE926">
        <f>IF([2]Baskol!$O$929="","",[2]Baskol!$O$929)</f>
        <v/>
      </c>
      <c r="AG926">
        <f>IF([3]Entry!$C$929="","",[3]Entry!$C$929)</f>
        <v/>
      </c>
      <c r="AH926">
        <f>IF([3]Entry!$D$929="","",[3]Entry!$D$929)</f>
        <v/>
      </c>
      <c r="AI926">
        <f>IF([3]Entry!$E$929="","",[3]Entry!$E$929)</f>
        <v/>
      </c>
      <c r="AJ926">
        <f>IF([3]Entry!$G$929="","",[3]Entry!$G$929)</f>
        <v/>
      </c>
      <c r="AK926">
        <f>IF([3]Entry!$K$929="","",[3]Entry!$K$929)</f>
        <v/>
      </c>
      <c r="AL926">
        <f>IF([3]Entry!$L$929="","",[3]Entry!$L$929)</f>
        <v/>
      </c>
      <c r="AM926">
        <f>IF([3]Entry!$M$929="","",[3]Entry!$M$929)</f>
        <v/>
      </c>
      <c r="AN926">
        <f>IF([3]Entry!$N$929="","",[3]Entry!$N$929)</f>
        <v/>
      </c>
      <c r="AO926">
        <f>IF([3]Entry!$R$929="","",[3]Entry!$R$929)</f>
        <v/>
      </c>
    </row>
    <row r="927">
      <c r="U927">
        <f>IF([2]Baskol!$B$930="","",[2]Baskol!$B$930)</f>
        <v/>
      </c>
      <c r="V927">
        <f>IF([2]Baskol!$C$930="","",[2]Baskol!$C$930)</f>
        <v/>
      </c>
      <c r="W927">
        <f>IF([2]Baskol!$D$930="","",[2]Baskol!$D$930)</f>
        <v/>
      </c>
      <c r="X927">
        <f>IF([2]Baskol!$E$930="","",[2]Baskol!$E$930)</f>
        <v/>
      </c>
      <c r="Y927">
        <f>IF([2]Baskol!$G$930="","",[2]Baskol!$G$930)</f>
        <v/>
      </c>
      <c r="Z927">
        <f>IF([2]Baskol!$I$930="","",[2]Baskol!$I$930)</f>
        <v/>
      </c>
      <c r="AA927">
        <f>IF([2]Baskol!$J$930="","",[2]Baskol!$J$930)</f>
        <v/>
      </c>
      <c r="AB927">
        <f>IF([2]Baskol!$K$930="","",[2]Baskol!$K$930)</f>
        <v/>
      </c>
      <c r="AC927">
        <f>IF([2]Baskol!$L$930="","",[2]Baskol!$L$930)</f>
        <v/>
      </c>
      <c r="AD927">
        <f>IF([2]Baskol!$N$930="","",[2]Baskol!$N$930)</f>
        <v/>
      </c>
      <c r="AE927">
        <f>IF([2]Baskol!$O$930="","",[2]Baskol!$O$930)</f>
        <v/>
      </c>
      <c r="AG927">
        <f>IF([3]Entry!$C$930="","",[3]Entry!$C$930)</f>
        <v/>
      </c>
      <c r="AH927">
        <f>IF([3]Entry!$D$930="","",[3]Entry!$D$930)</f>
        <v/>
      </c>
      <c r="AI927">
        <f>IF([3]Entry!$E$930="","",[3]Entry!$E$930)</f>
        <v/>
      </c>
      <c r="AJ927">
        <f>IF([3]Entry!$G$930="","",[3]Entry!$G$930)</f>
        <v/>
      </c>
      <c r="AK927">
        <f>IF([3]Entry!$K$930="","",[3]Entry!$K$930)</f>
        <v/>
      </c>
      <c r="AL927">
        <f>IF([3]Entry!$L$930="","",[3]Entry!$L$930)</f>
        <v/>
      </c>
      <c r="AM927">
        <f>IF([3]Entry!$M$930="","",[3]Entry!$M$930)</f>
        <v/>
      </c>
      <c r="AN927">
        <f>IF([3]Entry!$N$930="","",[3]Entry!$N$930)</f>
        <v/>
      </c>
      <c r="AO927">
        <f>IF([3]Entry!$R$930="","",[3]Entry!$R$930)</f>
        <v/>
      </c>
    </row>
    <row r="928">
      <c r="U928">
        <f>IF([2]Baskol!$B$931="","",[2]Baskol!$B$931)</f>
        <v/>
      </c>
      <c r="V928">
        <f>IF([2]Baskol!$C$931="","",[2]Baskol!$C$931)</f>
        <v/>
      </c>
      <c r="W928">
        <f>IF([2]Baskol!$D$931="","",[2]Baskol!$D$931)</f>
        <v/>
      </c>
      <c r="X928">
        <f>IF([2]Baskol!$E$931="","",[2]Baskol!$E$931)</f>
        <v/>
      </c>
      <c r="Y928">
        <f>IF([2]Baskol!$G$931="","",[2]Baskol!$G$931)</f>
        <v/>
      </c>
      <c r="Z928">
        <f>IF([2]Baskol!$I$931="","",[2]Baskol!$I$931)</f>
        <v/>
      </c>
      <c r="AA928">
        <f>IF([2]Baskol!$J$931="","",[2]Baskol!$J$931)</f>
        <v/>
      </c>
      <c r="AB928">
        <f>IF([2]Baskol!$K$931="","",[2]Baskol!$K$931)</f>
        <v/>
      </c>
      <c r="AC928">
        <f>IF([2]Baskol!$L$931="","",[2]Baskol!$L$931)</f>
        <v/>
      </c>
      <c r="AD928">
        <f>IF([2]Baskol!$N$931="","",[2]Baskol!$N$931)</f>
        <v/>
      </c>
      <c r="AE928">
        <f>IF([2]Baskol!$O$931="","",[2]Baskol!$O$931)</f>
        <v/>
      </c>
      <c r="AG928">
        <f>IF([3]Entry!$C$931="","",[3]Entry!$C$931)</f>
        <v/>
      </c>
      <c r="AH928">
        <f>IF([3]Entry!$D$931="","",[3]Entry!$D$931)</f>
        <v/>
      </c>
      <c r="AI928">
        <f>IF([3]Entry!$E$931="","",[3]Entry!$E$931)</f>
        <v/>
      </c>
      <c r="AJ928">
        <f>IF([3]Entry!$G$931="","",[3]Entry!$G$931)</f>
        <v/>
      </c>
      <c r="AK928">
        <f>IF([3]Entry!$K$931="","",[3]Entry!$K$931)</f>
        <v/>
      </c>
      <c r="AL928">
        <f>IF([3]Entry!$L$931="","",[3]Entry!$L$931)</f>
        <v/>
      </c>
      <c r="AM928">
        <f>IF([3]Entry!$M$931="","",[3]Entry!$M$931)</f>
        <v/>
      </c>
      <c r="AN928">
        <f>IF([3]Entry!$N$931="","",[3]Entry!$N$931)</f>
        <v/>
      </c>
      <c r="AO928">
        <f>IF([3]Entry!$R$931="","",[3]Entry!$R$931)</f>
        <v/>
      </c>
    </row>
    <row r="929">
      <c r="U929">
        <f>IF([2]Baskol!$B$932="","",[2]Baskol!$B$932)</f>
        <v/>
      </c>
      <c r="V929">
        <f>IF([2]Baskol!$C$932="","",[2]Baskol!$C$932)</f>
        <v/>
      </c>
      <c r="W929">
        <f>IF([2]Baskol!$D$932="","",[2]Baskol!$D$932)</f>
        <v/>
      </c>
      <c r="X929">
        <f>IF([2]Baskol!$E$932="","",[2]Baskol!$E$932)</f>
        <v/>
      </c>
      <c r="Y929">
        <f>IF([2]Baskol!$G$932="","",[2]Baskol!$G$932)</f>
        <v/>
      </c>
      <c r="Z929">
        <f>IF([2]Baskol!$I$932="","",[2]Baskol!$I$932)</f>
        <v/>
      </c>
      <c r="AA929">
        <f>IF([2]Baskol!$J$932="","",[2]Baskol!$J$932)</f>
        <v/>
      </c>
      <c r="AB929">
        <f>IF([2]Baskol!$K$932="","",[2]Baskol!$K$932)</f>
        <v/>
      </c>
      <c r="AC929">
        <f>IF([2]Baskol!$L$932="","",[2]Baskol!$L$932)</f>
        <v/>
      </c>
      <c r="AD929">
        <f>IF([2]Baskol!$N$932="","",[2]Baskol!$N$932)</f>
        <v/>
      </c>
      <c r="AE929">
        <f>IF([2]Baskol!$O$932="","",[2]Baskol!$O$932)</f>
        <v/>
      </c>
      <c r="AG929">
        <f>IF([3]Entry!$C$932="","",[3]Entry!$C$932)</f>
        <v/>
      </c>
      <c r="AH929">
        <f>IF([3]Entry!$D$932="","",[3]Entry!$D$932)</f>
        <v/>
      </c>
      <c r="AI929">
        <f>IF([3]Entry!$E$932="","",[3]Entry!$E$932)</f>
        <v/>
      </c>
      <c r="AJ929">
        <f>IF([3]Entry!$G$932="","",[3]Entry!$G$932)</f>
        <v/>
      </c>
      <c r="AK929">
        <f>IF([3]Entry!$K$932="","",[3]Entry!$K$932)</f>
        <v/>
      </c>
      <c r="AL929">
        <f>IF([3]Entry!$L$932="","",[3]Entry!$L$932)</f>
        <v/>
      </c>
      <c r="AM929">
        <f>IF([3]Entry!$M$932="","",[3]Entry!$M$932)</f>
        <v/>
      </c>
      <c r="AN929">
        <f>IF([3]Entry!$N$932="","",[3]Entry!$N$932)</f>
        <v/>
      </c>
      <c r="AO929">
        <f>IF([3]Entry!$R$932="","",[3]Entry!$R$932)</f>
        <v/>
      </c>
    </row>
    <row r="930">
      <c r="U930">
        <f>IF([2]Baskol!$B$933="","",[2]Baskol!$B$933)</f>
        <v/>
      </c>
      <c r="V930">
        <f>IF([2]Baskol!$C$933="","",[2]Baskol!$C$933)</f>
        <v/>
      </c>
      <c r="W930">
        <f>IF([2]Baskol!$D$933="","",[2]Baskol!$D$933)</f>
        <v/>
      </c>
      <c r="X930">
        <f>IF([2]Baskol!$E$933="","",[2]Baskol!$E$933)</f>
        <v/>
      </c>
      <c r="Y930">
        <f>IF([2]Baskol!$G$933="","",[2]Baskol!$G$933)</f>
        <v/>
      </c>
      <c r="Z930">
        <f>IF([2]Baskol!$I$933="","",[2]Baskol!$I$933)</f>
        <v/>
      </c>
      <c r="AA930">
        <f>IF([2]Baskol!$J$933="","",[2]Baskol!$J$933)</f>
        <v/>
      </c>
      <c r="AB930">
        <f>IF([2]Baskol!$K$933="","",[2]Baskol!$K$933)</f>
        <v/>
      </c>
      <c r="AC930">
        <f>IF([2]Baskol!$L$933="","",[2]Baskol!$L$933)</f>
        <v/>
      </c>
      <c r="AD930">
        <f>IF([2]Baskol!$N$933="","",[2]Baskol!$N$933)</f>
        <v/>
      </c>
      <c r="AE930">
        <f>IF([2]Baskol!$O$933="","",[2]Baskol!$O$933)</f>
        <v/>
      </c>
      <c r="AG930">
        <f>IF([3]Entry!$C$933="","",[3]Entry!$C$933)</f>
        <v/>
      </c>
      <c r="AH930">
        <f>IF([3]Entry!$D$933="","",[3]Entry!$D$933)</f>
        <v/>
      </c>
      <c r="AI930">
        <f>IF([3]Entry!$E$933="","",[3]Entry!$E$933)</f>
        <v/>
      </c>
      <c r="AJ930">
        <f>IF([3]Entry!$G$933="","",[3]Entry!$G$933)</f>
        <v/>
      </c>
      <c r="AK930">
        <f>IF([3]Entry!$K$933="","",[3]Entry!$K$933)</f>
        <v/>
      </c>
      <c r="AL930">
        <f>IF([3]Entry!$L$933="","",[3]Entry!$L$933)</f>
        <v/>
      </c>
      <c r="AM930">
        <f>IF([3]Entry!$M$933="","",[3]Entry!$M$933)</f>
        <v/>
      </c>
      <c r="AN930">
        <f>IF([3]Entry!$N$933="","",[3]Entry!$N$933)</f>
        <v/>
      </c>
      <c r="AO930">
        <f>IF([3]Entry!$R$933="","",[3]Entry!$R$933)</f>
        <v/>
      </c>
    </row>
    <row r="931">
      <c r="U931">
        <f>IF([2]Baskol!$B$934="","",[2]Baskol!$B$934)</f>
        <v/>
      </c>
      <c r="V931">
        <f>IF([2]Baskol!$C$934="","",[2]Baskol!$C$934)</f>
        <v/>
      </c>
      <c r="W931">
        <f>IF([2]Baskol!$D$934="","",[2]Baskol!$D$934)</f>
        <v/>
      </c>
      <c r="X931">
        <f>IF([2]Baskol!$E$934="","",[2]Baskol!$E$934)</f>
        <v/>
      </c>
      <c r="Y931">
        <f>IF([2]Baskol!$G$934="","",[2]Baskol!$G$934)</f>
        <v/>
      </c>
      <c r="Z931">
        <f>IF([2]Baskol!$I$934="","",[2]Baskol!$I$934)</f>
        <v/>
      </c>
      <c r="AA931">
        <f>IF([2]Baskol!$J$934="","",[2]Baskol!$J$934)</f>
        <v/>
      </c>
      <c r="AB931">
        <f>IF([2]Baskol!$K$934="","",[2]Baskol!$K$934)</f>
        <v/>
      </c>
      <c r="AC931">
        <f>IF([2]Baskol!$L$934="","",[2]Baskol!$L$934)</f>
        <v/>
      </c>
      <c r="AD931">
        <f>IF([2]Baskol!$N$934="","",[2]Baskol!$N$934)</f>
        <v/>
      </c>
      <c r="AE931">
        <f>IF([2]Baskol!$O$934="","",[2]Baskol!$O$934)</f>
        <v/>
      </c>
      <c r="AG931">
        <f>IF([3]Entry!$C$934="","",[3]Entry!$C$934)</f>
        <v/>
      </c>
      <c r="AH931">
        <f>IF([3]Entry!$D$934="","",[3]Entry!$D$934)</f>
        <v/>
      </c>
      <c r="AI931">
        <f>IF([3]Entry!$E$934="","",[3]Entry!$E$934)</f>
        <v/>
      </c>
      <c r="AJ931">
        <f>IF([3]Entry!$G$934="","",[3]Entry!$G$934)</f>
        <v/>
      </c>
      <c r="AK931">
        <f>IF([3]Entry!$K$934="","",[3]Entry!$K$934)</f>
        <v/>
      </c>
      <c r="AL931">
        <f>IF([3]Entry!$L$934="","",[3]Entry!$L$934)</f>
        <v/>
      </c>
      <c r="AM931">
        <f>IF([3]Entry!$M$934="","",[3]Entry!$M$934)</f>
        <v/>
      </c>
      <c r="AN931">
        <f>IF([3]Entry!$N$934="","",[3]Entry!$N$934)</f>
        <v/>
      </c>
      <c r="AO931">
        <f>IF([3]Entry!$R$934="","",[3]Entry!$R$934)</f>
        <v/>
      </c>
    </row>
    <row r="932">
      <c r="U932">
        <f>IF([2]Baskol!$B$935="","",[2]Baskol!$B$935)</f>
        <v/>
      </c>
      <c r="V932">
        <f>IF([2]Baskol!$C$935="","",[2]Baskol!$C$935)</f>
        <v/>
      </c>
      <c r="W932">
        <f>IF([2]Baskol!$D$935="","",[2]Baskol!$D$935)</f>
        <v/>
      </c>
      <c r="X932">
        <f>IF([2]Baskol!$E$935="","",[2]Baskol!$E$935)</f>
        <v/>
      </c>
      <c r="Y932">
        <f>IF([2]Baskol!$G$935="","",[2]Baskol!$G$935)</f>
        <v/>
      </c>
      <c r="Z932">
        <f>IF([2]Baskol!$I$935="","",[2]Baskol!$I$935)</f>
        <v/>
      </c>
      <c r="AA932">
        <f>IF([2]Baskol!$J$935="","",[2]Baskol!$J$935)</f>
        <v/>
      </c>
      <c r="AB932">
        <f>IF([2]Baskol!$K$935="","",[2]Baskol!$K$935)</f>
        <v/>
      </c>
      <c r="AC932">
        <f>IF([2]Baskol!$L$935="","",[2]Baskol!$L$935)</f>
        <v/>
      </c>
      <c r="AD932">
        <f>IF([2]Baskol!$N$935="","",[2]Baskol!$N$935)</f>
        <v/>
      </c>
      <c r="AE932">
        <f>IF([2]Baskol!$O$935="","",[2]Baskol!$O$935)</f>
        <v/>
      </c>
      <c r="AG932">
        <f>IF([3]Entry!$C$935="","",[3]Entry!$C$935)</f>
        <v/>
      </c>
      <c r="AH932">
        <f>IF([3]Entry!$D$935="","",[3]Entry!$D$935)</f>
        <v/>
      </c>
      <c r="AI932">
        <f>IF([3]Entry!$E$935="","",[3]Entry!$E$935)</f>
        <v/>
      </c>
      <c r="AJ932">
        <f>IF([3]Entry!$G$935="","",[3]Entry!$G$935)</f>
        <v/>
      </c>
      <c r="AK932">
        <f>IF([3]Entry!$K$935="","",[3]Entry!$K$935)</f>
        <v/>
      </c>
      <c r="AL932">
        <f>IF([3]Entry!$L$935="","",[3]Entry!$L$935)</f>
        <v/>
      </c>
      <c r="AM932">
        <f>IF([3]Entry!$M$935="","",[3]Entry!$M$935)</f>
        <v/>
      </c>
      <c r="AN932">
        <f>IF([3]Entry!$N$935="","",[3]Entry!$N$935)</f>
        <v/>
      </c>
      <c r="AO932">
        <f>IF([3]Entry!$R$935="","",[3]Entry!$R$935)</f>
        <v/>
      </c>
    </row>
    <row r="933">
      <c r="U933">
        <f>IF([2]Baskol!$B$936="","",[2]Baskol!$B$936)</f>
        <v/>
      </c>
      <c r="V933">
        <f>IF([2]Baskol!$C$936="","",[2]Baskol!$C$936)</f>
        <v/>
      </c>
      <c r="W933">
        <f>IF([2]Baskol!$D$936="","",[2]Baskol!$D$936)</f>
        <v/>
      </c>
      <c r="X933">
        <f>IF([2]Baskol!$E$936="","",[2]Baskol!$E$936)</f>
        <v/>
      </c>
      <c r="Y933">
        <f>IF([2]Baskol!$G$936="","",[2]Baskol!$G$936)</f>
        <v/>
      </c>
      <c r="Z933">
        <f>IF([2]Baskol!$I$936="","",[2]Baskol!$I$936)</f>
        <v/>
      </c>
      <c r="AA933">
        <f>IF([2]Baskol!$J$936="","",[2]Baskol!$J$936)</f>
        <v/>
      </c>
      <c r="AB933">
        <f>IF([2]Baskol!$K$936="","",[2]Baskol!$K$936)</f>
        <v/>
      </c>
      <c r="AC933">
        <f>IF([2]Baskol!$L$936="","",[2]Baskol!$L$936)</f>
        <v/>
      </c>
      <c r="AD933">
        <f>IF([2]Baskol!$N$936="","",[2]Baskol!$N$936)</f>
        <v/>
      </c>
      <c r="AE933">
        <f>IF([2]Baskol!$O$936="","",[2]Baskol!$O$936)</f>
        <v/>
      </c>
      <c r="AG933">
        <f>IF([3]Entry!$C$936="","",[3]Entry!$C$936)</f>
        <v/>
      </c>
      <c r="AH933">
        <f>IF([3]Entry!$D$936="","",[3]Entry!$D$936)</f>
        <v/>
      </c>
      <c r="AI933">
        <f>IF([3]Entry!$E$936="","",[3]Entry!$E$936)</f>
        <v/>
      </c>
      <c r="AJ933">
        <f>IF([3]Entry!$G$936="","",[3]Entry!$G$936)</f>
        <v/>
      </c>
      <c r="AK933">
        <f>IF([3]Entry!$K$936="","",[3]Entry!$K$936)</f>
        <v/>
      </c>
      <c r="AL933">
        <f>IF([3]Entry!$L$936="","",[3]Entry!$L$936)</f>
        <v/>
      </c>
      <c r="AM933">
        <f>IF([3]Entry!$M$936="","",[3]Entry!$M$936)</f>
        <v/>
      </c>
      <c r="AN933">
        <f>IF([3]Entry!$N$936="","",[3]Entry!$N$936)</f>
        <v/>
      </c>
      <c r="AO933">
        <f>IF([3]Entry!$R$936="","",[3]Entry!$R$936)</f>
        <v/>
      </c>
    </row>
    <row r="934">
      <c r="U934">
        <f>IF([2]Baskol!$B$937="","",[2]Baskol!$B$937)</f>
        <v/>
      </c>
      <c r="V934">
        <f>IF([2]Baskol!$C$937="","",[2]Baskol!$C$937)</f>
        <v/>
      </c>
      <c r="W934">
        <f>IF([2]Baskol!$D$937="","",[2]Baskol!$D$937)</f>
        <v/>
      </c>
      <c r="X934">
        <f>IF([2]Baskol!$E$937="","",[2]Baskol!$E$937)</f>
        <v/>
      </c>
      <c r="Y934">
        <f>IF([2]Baskol!$G$937="","",[2]Baskol!$G$937)</f>
        <v/>
      </c>
      <c r="Z934">
        <f>IF([2]Baskol!$I$937="","",[2]Baskol!$I$937)</f>
        <v/>
      </c>
      <c r="AA934">
        <f>IF([2]Baskol!$J$937="","",[2]Baskol!$J$937)</f>
        <v/>
      </c>
      <c r="AB934">
        <f>IF([2]Baskol!$K$937="","",[2]Baskol!$K$937)</f>
        <v/>
      </c>
      <c r="AC934">
        <f>IF([2]Baskol!$L$937="","",[2]Baskol!$L$937)</f>
        <v/>
      </c>
      <c r="AD934">
        <f>IF([2]Baskol!$N$937="","",[2]Baskol!$N$937)</f>
        <v/>
      </c>
      <c r="AE934">
        <f>IF([2]Baskol!$O$937="","",[2]Baskol!$O$937)</f>
        <v/>
      </c>
      <c r="AG934">
        <f>IF([3]Entry!$C$937="","",[3]Entry!$C$937)</f>
        <v/>
      </c>
      <c r="AH934">
        <f>IF([3]Entry!$D$937="","",[3]Entry!$D$937)</f>
        <v/>
      </c>
      <c r="AI934">
        <f>IF([3]Entry!$E$937="","",[3]Entry!$E$937)</f>
        <v/>
      </c>
      <c r="AJ934">
        <f>IF([3]Entry!$G$937="","",[3]Entry!$G$937)</f>
        <v/>
      </c>
      <c r="AK934">
        <f>IF([3]Entry!$K$937="","",[3]Entry!$K$937)</f>
        <v/>
      </c>
      <c r="AL934">
        <f>IF([3]Entry!$L$937="","",[3]Entry!$L$937)</f>
        <v/>
      </c>
      <c r="AM934">
        <f>IF([3]Entry!$M$937="","",[3]Entry!$M$937)</f>
        <v/>
      </c>
      <c r="AN934">
        <f>IF([3]Entry!$N$937="","",[3]Entry!$N$937)</f>
        <v/>
      </c>
      <c r="AO934">
        <f>IF([3]Entry!$R$937="","",[3]Entry!$R$937)</f>
        <v/>
      </c>
    </row>
    <row r="935">
      <c r="U935">
        <f>IF([2]Baskol!$B$938="","",[2]Baskol!$B$938)</f>
        <v/>
      </c>
      <c r="V935">
        <f>IF([2]Baskol!$C$938="","",[2]Baskol!$C$938)</f>
        <v/>
      </c>
      <c r="W935">
        <f>IF([2]Baskol!$D$938="","",[2]Baskol!$D$938)</f>
        <v/>
      </c>
      <c r="X935">
        <f>IF([2]Baskol!$E$938="","",[2]Baskol!$E$938)</f>
        <v/>
      </c>
      <c r="Y935">
        <f>IF([2]Baskol!$G$938="","",[2]Baskol!$G$938)</f>
        <v/>
      </c>
      <c r="Z935">
        <f>IF([2]Baskol!$I$938="","",[2]Baskol!$I$938)</f>
        <v/>
      </c>
      <c r="AA935">
        <f>IF([2]Baskol!$J$938="","",[2]Baskol!$J$938)</f>
        <v/>
      </c>
      <c r="AB935">
        <f>IF([2]Baskol!$K$938="","",[2]Baskol!$K$938)</f>
        <v/>
      </c>
      <c r="AC935">
        <f>IF([2]Baskol!$L$938="","",[2]Baskol!$L$938)</f>
        <v/>
      </c>
      <c r="AD935">
        <f>IF([2]Baskol!$N$938="","",[2]Baskol!$N$938)</f>
        <v/>
      </c>
      <c r="AE935">
        <f>IF([2]Baskol!$O$938="","",[2]Baskol!$O$938)</f>
        <v/>
      </c>
      <c r="AG935">
        <f>IF([3]Entry!$C$938="","",[3]Entry!$C$938)</f>
        <v/>
      </c>
      <c r="AH935">
        <f>IF([3]Entry!$D$938="","",[3]Entry!$D$938)</f>
        <v/>
      </c>
      <c r="AI935">
        <f>IF([3]Entry!$E$938="","",[3]Entry!$E$938)</f>
        <v/>
      </c>
      <c r="AJ935">
        <f>IF([3]Entry!$G$938="","",[3]Entry!$G$938)</f>
        <v/>
      </c>
      <c r="AK935">
        <f>IF([3]Entry!$K$938="","",[3]Entry!$K$938)</f>
        <v/>
      </c>
      <c r="AL935">
        <f>IF([3]Entry!$L$938="","",[3]Entry!$L$938)</f>
        <v/>
      </c>
      <c r="AM935">
        <f>IF([3]Entry!$M$938="","",[3]Entry!$M$938)</f>
        <v/>
      </c>
      <c r="AN935">
        <f>IF([3]Entry!$N$938="","",[3]Entry!$N$938)</f>
        <v/>
      </c>
      <c r="AO935">
        <f>IF([3]Entry!$R$938="","",[3]Entry!$R$938)</f>
        <v/>
      </c>
    </row>
    <row r="936">
      <c r="U936">
        <f>IF([2]Baskol!$B$939="","",[2]Baskol!$B$939)</f>
        <v/>
      </c>
      <c r="V936">
        <f>IF([2]Baskol!$C$939="","",[2]Baskol!$C$939)</f>
        <v/>
      </c>
      <c r="W936">
        <f>IF([2]Baskol!$D$939="","",[2]Baskol!$D$939)</f>
        <v/>
      </c>
      <c r="X936">
        <f>IF([2]Baskol!$E$939="","",[2]Baskol!$E$939)</f>
        <v/>
      </c>
      <c r="Y936">
        <f>IF([2]Baskol!$G$939="","",[2]Baskol!$G$939)</f>
        <v/>
      </c>
      <c r="Z936">
        <f>IF([2]Baskol!$I$939="","",[2]Baskol!$I$939)</f>
        <v/>
      </c>
      <c r="AA936">
        <f>IF([2]Baskol!$J$939="","",[2]Baskol!$J$939)</f>
        <v/>
      </c>
      <c r="AB936">
        <f>IF([2]Baskol!$K$939="","",[2]Baskol!$K$939)</f>
        <v/>
      </c>
      <c r="AC936">
        <f>IF([2]Baskol!$L$939="","",[2]Baskol!$L$939)</f>
        <v/>
      </c>
      <c r="AD936">
        <f>IF([2]Baskol!$N$939="","",[2]Baskol!$N$939)</f>
        <v/>
      </c>
      <c r="AE936">
        <f>IF([2]Baskol!$O$939="","",[2]Baskol!$O$939)</f>
        <v/>
      </c>
      <c r="AG936">
        <f>IF([3]Entry!$C$939="","",[3]Entry!$C$939)</f>
        <v/>
      </c>
      <c r="AH936">
        <f>IF([3]Entry!$D$939="","",[3]Entry!$D$939)</f>
        <v/>
      </c>
      <c r="AI936">
        <f>IF([3]Entry!$E$939="","",[3]Entry!$E$939)</f>
        <v/>
      </c>
      <c r="AJ936">
        <f>IF([3]Entry!$G$939="","",[3]Entry!$G$939)</f>
        <v/>
      </c>
      <c r="AK936">
        <f>IF([3]Entry!$K$939="","",[3]Entry!$K$939)</f>
        <v/>
      </c>
      <c r="AL936">
        <f>IF([3]Entry!$L$939="","",[3]Entry!$L$939)</f>
        <v/>
      </c>
      <c r="AM936">
        <f>IF([3]Entry!$M$939="","",[3]Entry!$M$939)</f>
        <v/>
      </c>
      <c r="AN936">
        <f>IF([3]Entry!$N$939="","",[3]Entry!$N$939)</f>
        <v/>
      </c>
      <c r="AO936">
        <f>IF([3]Entry!$R$939="","",[3]Entry!$R$939)</f>
        <v/>
      </c>
    </row>
    <row r="937">
      <c r="U937">
        <f>IF([2]Baskol!$B$940="","",[2]Baskol!$B$940)</f>
        <v/>
      </c>
      <c r="V937">
        <f>IF([2]Baskol!$C$940="","",[2]Baskol!$C$940)</f>
        <v/>
      </c>
      <c r="W937">
        <f>IF([2]Baskol!$D$940="","",[2]Baskol!$D$940)</f>
        <v/>
      </c>
      <c r="X937">
        <f>IF([2]Baskol!$E$940="","",[2]Baskol!$E$940)</f>
        <v/>
      </c>
      <c r="Y937">
        <f>IF([2]Baskol!$G$940="","",[2]Baskol!$G$940)</f>
        <v/>
      </c>
      <c r="Z937">
        <f>IF([2]Baskol!$I$940="","",[2]Baskol!$I$940)</f>
        <v/>
      </c>
      <c r="AA937">
        <f>IF([2]Baskol!$J$940="","",[2]Baskol!$J$940)</f>
        <v/>
      </c>
      <c r="AB937">
        <f>IF([2]Baskol!$K$940="","",[2]Baskol!$K$940)</f>
        <v/>
      </c>
      <c r="AC937">
        <f>IF([2]Baskol!$L$940="","",[2]Baskol!$L$940)</f>
        <v/>
      </c>
      <c r="AD937">
        <f>IF([2]Baskol!$N$940="","",[2]Baskol!$N$940)</f>
        <v/>
      </c>
      <c r="AE937">
        <f>IF([2]Baskol!$O$940="","",[2]Baskol!$O$940)</f>
        <v/>
      </c>
      <c r="AG937">
        <f>IF([3]Entry!$C$940="","",[3]Entry!$C$940)</f>
        <v/>
      </c>
      <c r="AH937">
        <f>IF([3]Entry!$D$940="","",[3]Entry!$D$940)</f>
        <v/>
      </c>
      <c r="AI937">
        <f>IF([3]Entry!$E$940="","",[3]Entry!$E$940)</f>
        <v/>
      </c>
      <c r="AJ937">
        <f>IF([3]Entry!$G$940="","",[3]Entry!$G$940)</f>
        <v/>
      </c>
      <c r="AK937">
        <f>IF([3]Entry!$K$940="","",[3]Entry!$K$940)</f>
        <v/>
      </c>
      <c r="AL937">
        <f>IF([3]Entry!$L$940="","",[3]Entry!$L$940)</f>
        <v/>
      </c>
      <c r="AM937">
        <f>IF([3]Entry!$M$940="","",[3]Entry!$M$940)</f>
        <v/>
      </c>
      <c r="AN937">
        <f>IF([3]Entry!$N$940="","",[3]Entry!$N$940)</f>
        <v/>
      </c>
      <c r="AO937">
        <f>IF([3]Entry!$R$940="","",[3]Entry!$R$940)</f>
        <v/>
      </c>
    </row>
    <row r="938">
      <c r="U938">
        <f>IF([2]Baskol!$B$941="","",[2]Baskol!$B$941)</f>
        <v/>
      </c>
      <c r="V938">
        <f>IF([2]Baskol!$C$941="","",[2]Baskol!$C$941)</f>
        <v/>
      </c>
      <c r="W938">
        <f>IF([2]Baskol!$D$941="","",[2]Baskol!$D$941)</f>
        <v/>
      </c>
      <c r="X938">
        <f>IF([2]Baskol!$E$941="","",[2]Baskol!$E$941)</f>
        <v/>
      </c>
      <c r="Y938">
        <f>IF([2]Baskol!$G$941="","",[2]Baskol!$G$941)</f>
        <v/>
      </c>
      <c r="Z938">
        <f>IF([2]Baskol!$I$941="","",[2]Baskol!$I$941)</f>
        <v/>
      </c>
      <c r="AA938">
        <f>IF([2]Baskol!$J$941="","",[2]Baskol!$J$941)</f>
        <v/>
      </c>
      <c r="AB938">
        <f>IF([2]Baskol!$K$941="","",[2]Baskol!$K$941)</f>
        <v/>
      </c>
      <c r="AC938">
        <f>IF([2]Baskol!$L$941="","",[2]Baskol!$L$941)</f>
        <v/>
      </c>
      <c r="AD938">
        <f>IF([2]Baskol!$N$941="","",[2]Baskol!$N$941)</f>
        <v/>
      </c>
      <c r="AE938">
        <f>IF([2]Baskol!$O$941="","",[2]Baskol!$O$941)</f>
        <v/>
      </c>
      <c r="AG938">
        <f>IF([3]Entry!$C$941="","",[3]Entry!$C$941)</f>
        <v/>
      </c>
      <c r="AH938">
        <f>IF([3]Entry!$D$941="","",[3]Entry!$D$941)</f>
        <v/>
      </c>
      <c r="AI938">
        <f>IF([3]Entry!$E$941="","",[3]Entry!$E$941)</f>
        <v/>
      </c>
      <c r="AJ938">
        <f>IF([3]Entry!$G$941="","",[3]Entry!$G$941)</f>
        <v/>
      </c>
      <c r="AK938">
        <f>IF([3]Entry!$K$941="","",[3]Entry!$K$941)</f>
        <v/>
      </c>
      <c r="AL938">
        <f>IF([3]Entry!$L$941="","",[3]Entry!$L$941)</f>
        <v/>
      </c>
      <c r="AM938">
        <f>IF([3]Entry!$M$941="","",[3]Entry!$M$941)</f>
        <v/>
      </c>
      <c r="AN938">
        <f>IF([3]Entry!$N$941="","",[3]Entry!$N$941)</f>
        <v/>
      </c>
      <c r="AO938">
        <f>IF([3]Entry!$R$941="","",[3]Entry!$R$941)</f>
        <v/>
      </c>
    </row>
    <row r="939">
      <c r="U939">
        <f>IF([2]Baskol!$B$942="","",[2]Baskol!$B$942)</f>
        <v/>
      </c>
      <c r="V939">
        <f>IF([2]Baskol!$C$942="","",[2]Baskol!$C$942)</f>
        <v/>
      </c>
      <c r="W939">
        <f>IF([2]Baskol!$D$942="","",[2]Baskol!$D$942)</f>
        <v/>
      </c>
      <c r="X939">
        <f>IF([2]Baskol!$E$942="","",[2]Baskol!$E$942)</f>
        <v/>
      </c>
      <c r="Y939">
        <f>IF([2]Baskol!$G$942="","",[2]Baskol!$G$942)</f>
        <v/>
      </c>
      <c r="Z939">
        <f>IF([2]Baskol!$I$942="","",[2]Baskol!$I$942)</f>
        <v/>
      </c>
      <c r="AA939">
        <f>IF([2]Baskol!$J$942="","",[2]Baskol!$J$942)</f>
        <v/>
      </c>
      <c r="AB939">
        <f>IF([2]Baskol!$K$942="","",[2]Baskol!$K$942)</f>
        <v/>
      </c>
      <c r="AC939">
        <f>IF([2]Baskol!$L$942="","",[2]Baskol!$L$942)</f>
        <v/>
      </c>
      <c r="AD939">
        <f>IF([2]Baskol!$N$942="","",[2]Baskol!$N$942)</f>
        <v/>
      </c>
      <c r="AE939">
        <f>IF([2]Baskol!$O$942="","",[2]Baskol!$O$942)</f>
        <v/>
      </c>
      <c r="AG939">
        <f>IF([3]Entry!$C$942="","",[3]Entry!$C$942)</f>
        <v/>
      </c>
      <c r="AH939">
        <f>IF([3]Entry!$D$942="","",[3]Entry!$D$942)</f>
        <v/>
      </c>
      <c r="AI939">
        <f>IF([3]Entry!$E$942="","",[3]Entry!$E$942)</f>
        <v/>
      </c>
      <c r="AJ939">
        <f>IF([3]Entry!$G$942="","",[3]Entry!$G$942)</f>
        <v/>
      </c>
      <c r="AK939">
        <f>IF([3]Entry!$K$942="","",[3]Entry!$K$942)</f>
        <v/>
      </c>
      <c r="AL939">
        <f>IF([3]Entry!$L$942="","",[3]Entry!$L$942)</f>
        <v/>
      </c>
      <c r="AM939">
        <f>IF([3]Entry!$M$942="","",[3]Entry!$M$942)</f>
        <v/>
      </c>
      <c r="AN939">
        <f>IF([3]Entry!$N$942="","",[3]Entry!$N$942)</f>
        <v/>
      </c>
      <c r="AO939">
        <f>IF([3]Entry!$R$942="","",[3]Entry!$R$942)</f>
        <v/>
      </c>
    </row>
    <row r="940">
      <c r="U940">
        <f>IF([2]Baskol!$B$943="","",[2]Baskol!$B$943)</f>
        <v/>
      </c>
      <c r="V940">
        <f>IF([2]Baskol!$C$943="","",[2]Baskol!$C$943)</f>
        <v/>
      </c>
      <c r="W940">
        <f>IF([2]Baskol!$D$943="","",[2]Baskol!$D$943)</f>
        <v/>
      </c>
      <c r="X940">
        <f>IF([2]Baskol!$E$943="","",[2]Baskol!$E$943)</f>
        <v/>
      </c>
      <c r="Y940">
        <f>IF([2]Baskol!$G$943="","",[2]Baskol!$G$943)</f>
        <v/>
      </c>
      <c r="Z940">
        <f>IF([2]Baskol!$I$943="","",[2]Baskol!$I$943)</f>
        <v/>
      </c>
      <c r="AA940">
        <f>IF([2]Baskol!$J$943="","",[2]Baskol!$J$943)</f>
        <v/>
      </c>
      <c r="AB940">
        <f>IF([2]Baskol!$K$943="","",[2]Baskol!$K$943)</f>
        <v/>
      </c>
      <c r="AC940">
        <f>IF([2]Baskol!$L$943="","",[2]Baskol!$L$943)</f>
        <v/>
      </c>
      <c r="AD940">
        <f>IF([2]Baskol!$N$943="","",[2]Baskol!$N$943)</f>
        <v/>
      </c>
      <c r="AE940">
        <f>IF([2]Baskol!$O$943="","",[2]Baskol!$O$943)</f>
        <v/>
      </c>
      <c r="AG940">
        <f>IF([3]Entry!$C$943="","",[3]Entry!$C$943)</f>
        <v/>
      </c>
      <c r="AH940">
        <f>IF([3]Entry!$D$943="","",[3]Entry!$D$943)</f>
        <v/>
      </c>
      <c r="AI940">
        <f>IF([3]Entry!$E$943="","",[3]Entry!$E$943)</f>
        <v/>
      </c>
      <c r="AJ940">
        <f>IF([3]Entry!$G$943="","",[3]Entry!$G$943)</f>
        <v/>
      </c>
      <c r="AK940">
        <f>IF([3]Entry!$K$943="","",[3]Entry!$K$943)</f>
        <v/>
      </c>
      <c r="AL940">
        <f>IF([3]Entry!$L$943="","",[3]Entry!$L$943)</f>
        <v/>
      </c>
      <c r="AM940">
        <f>IF([3]Entry!$M$943="","",[3]Entry!$M$943)</f>
        <v/>
      </c>
      <c r="AN940">
        <f>IF([3]Entry!$N$943="","",[3]Entry!$N$943)</f>
        <v/>
      </c>
      <c r="AO940">
        <f>IF([3]Entry!$R$943="","",[3]Entry!$R$943)</f>
        <v/>
      </c>
    </row>
    <row r="941">
      <c r="U941">
        <f>IF([2]Baskol!$B$944="","",[2]Baskol!$B$944)</f>
        <v/>
      </c>
      <c r="V941">
        <f>IF([2]Baskol!$C$944="","",[2]Baskol!$C$944)</f>
        <v/>
      </c>
      <c r="W941">
        <f>IF([2]Baskol!$D$944="","",[2]Baskol!$D$944)</f>
        <v/>
      </c>
      <c r="X941">
        <f>IF([2]Baskol!$E$944="","",[2]Baskol!$E$944)</f>
        <v/>
      </c>
      <c r="Y941">
        <f>IF([2]Baskol!$G$944="","",[2]Baskol!$G$944)</f>
        <v/>
      </c>
      <c r="Z941">
        <f>IF([2]Baskol!$I$944="","",[2]Baskol!$I$944)</f>
        <v/>
      </c>
      <c r="AA941">
        <f>IF([2]Baskol!$J$944="","",[2]Baskol!$J$944)</f>
        <v/>
      </c>
      <c r="AB941">
        <f>IF([2]Baskol!$K$944="","",[2]Baskol!$K$944)</f>
        <v/>
      </c>
      <c r="AC941">
        <f>IF([2]Baskol!$L$944="","",[2]Baskol!$L$944)</f>
        <v/>
      </c>
      <c r="AD941">
        <f>IF([2]Baskol!$N$944="","",[2]Baskol!$N$944)</f>
        <v/>
      </c>
      <c r="AE941">
        <f>IF([2]Baskol!$O$944="","",[2]Baskol!$O$944)</f>
        <v/>
      </c>
      <c r="AG941">
        <f>IF([3]Entry!$C$944="","",[3]Entry!$C$944)</f>
        <v/>
      </c>
      <c r="AH941">
        <f>IF([3]Entry!$D$944="","",[3]Entry!$D$944)</f>
        <v/>
      </c>
      <c r="AI941">
        <f>IF([3]Entry!$E$944="","",[3]Entry!$E$944)</f>
        <v/>
      </c>
      <c r="AJ941">
        <f>IF([3]Entry!$G$944="","",[3]Entry!$G$944)</f>
        <v/>
      </c>
      <c r="AK941">
        <f>IF([3]Entry!$K$944="","",[3]Entry!$K$944)</f>
        <v/>
      </c>
      <c r="AL941">
        <f>IF([3]Entry!$L$944="","",[3]Entry!$L$944)</f>
        <v/>
      </c>
      <c r="AM941">
        <f>IF([3]Entry!$M$944="","",[3]Entry!$M$944)</f>
        <v/>
      </c>
      <c r="AN941">
        <f>IF([3]Entry!$N$944="","",[3]Entry!$N$944)</f>
        <v/>
      </c>
      <c r="AO941">
        <f>IF([3]Entry!$R$944="","",[3]Entry!$R$944)</f>
        <v/>
      </c>
    </row>
    <row r="942">
      <c r="U942">
        <f>IF([2]Baskol!$B$945="","",[2]Baskol!$B$945)</f>
        <v/>
      </c>
      <c r="V942">
        <f>IF([2]Baskol!$C$945="","",[2]Baskol!$C$945)</f>
        <v/>
      </c>
      <c r="W942">
        <f>IF([2]Baskol!$D$945="","",[2]Baskol!$D$945)</f>
        <v/>
      </c>
      <c r="X942">
        <f>IF([2]Baskol!$E$945="","",[2]Baskol!$E$945)</f>
        <v/>
      </c>
      <c r="Y942">
        <f>IF([2]Baskol!$G$945="","",[2]Baskol!$G$945)</f>
        <v/>
      </c>
      <c r="Z942">
        <f>IF([2]Baskol!$I$945="","",[2]Baskol!$I$945)</f>
        <v/>
      </c>
      <c r="AA942">
        <f>IF([2]Baskol!$J$945="","",[2]Baskol!$J$945)</f>
        <v/>
      </c>
      <c r="AB942">
        <f>IF([2]Baskol!$K$945="","",[2]Baskol!$K$945)</f>
        <v/>
      </c>
      <c r="AC942">
        <f>IF([2]Baskol!$L$945="","",[2]Baskol!$L$945)</f>
        <v/>
      </c>
      <c r="AD942">
        <f>IF([2]Baskol!$N$945="","",[2]Baskol!$N$945)</f>
        <v/>
      </c>
      <c r="AE942">
        <f>IF([2]Baskol!$O$945="","",[2]Baskol!$O$945)</f>
        <v/>
      </c>
      <c r="AG942">
        <f>IF([3]Entry!$C$945="","",[3]Entry!$C$945)</f>
        <v/>
      </c>
      <c r="AH942">
        <f>IF([3]Entry!$D$945="","",[3]Entry!$D$945)</f>
        <v/>
      </c>
      <c r="AI942">
        <f>IF([3]Entry!$E$945="","",[3]Entry!$E$945)</f>
        <v/>
      </c>
      <c r="AJ942">
        <f>IF([3]Entry!$G$945="","",[3]Entry!$G$945)</f>
        <v/>
      </c>
      <c r="AK942">
        <f>IF([3]Entry!$K$945="","",[3]Entry!$K$945)</f>
        <v/>
      </c>
      <c r="AL942">
        <f>IF([3]Entry!$L$945="","",[3]Entry!$L$945)</f>
        <v/>
      </c>
      <c r="AM942">
        <f>IF([3]Entry!$M$945="","",[3]Entry!$M$945)</f>
        <v/>
      </c>
      <c r="AN942">
        <f>IF([3]Entry!$N$945="","",[3]Entry!$N$945)</f>
        <v/>
      </c>
      <c r="AO942">
        <f>IF([3]Entry!$R$945="","",[3]Entry!$R$945)</f>
        <v/>
      </c>
    </row>
    <row r="943">
      <c r="U943">
        <f>IF([2]Baskol!$B$946="","",[2]Baskol!$B$946)</f>
        <v/>
      </c>
      <c r="V943">
        <f>IF([2]Baskol!$C$946="","",[2]Baskol!$C$946)</f>
        <v/>
      </c>
      <c r="W943">
        <f>IF([2]Baskol!$D$946="","",[2]Baskol!$D$946)</f>
        <v/>
      </c>
      <c r="X943">
        <f>IF([2]Baskol!$E$946="","",[2]Baskol!$E$946)</f>
        <v/>
      </c>
      <c r="Y943">
        <f>IF([2]Baskol!$G$946="","",[2]Baskol!$G$946)</f>
        <v/>
      </c>
      <c r="Z943">
        <f>IF([2]Baskol!$I$946="","",[2]Baskol!$I$946)</f>
        <v/>
      </c>
      <c r="AA943">
        <f>IF([2]Baskol!$J$946="","",[2]Baskol!$J$946)</f>
        <v/>
      </c>
      <c r="AB943">
        <f>IF([2]Baskol!$K$946="","",[2]Baskol!$K$946)</f>
        <v/>
      </c>
      <c r="AC943">
        <f>IF([2]Baskol!$L$946="","",[2]Baskol!$L$946)</f>
        <v/>
      </c>
      <c r="AD943">
        <f>IF([2]Baskol!$N$946="","",[2]Baskol!$N$946)</f>
        <v/>
      </c>
      <c r="AE943">
        <f>IF([2]Baskol!$O$946="","",[2]Baskol!$O$946)</f>
        <v/>
      </c>
      <c r="AG943">
        <f>IF([3]Entry!$C$946="","",[3]Entry!$C$946)</f>
        <v/>
      </c>
      <c r="AH943">
        <f>IF([3]Entry!$D$946="","",[3]Entry!$D$946)</f>
        <v/>
      </c>
      <c r="AI943">
        <f>IF([3]Entry!$E$946="","",[3]Entry!$E$946)</f>
        <v/>
      </c>
      <c r="AJ943">
        <f>IF([3]Entry!$G$946="","",[3]Entry!$G$946)</f>
        <v/>
      </c>
      <c r="AK943">
        <f>IF([3]Entry!$K$946="","",[3]Entry!$K$946)</f>
        <v/>
      </c>
      <c r="AL943">
        <f>IF([3]Entry!$L$946="","",[3]Entry!$L$946)</f>
        <v/>
      </c>
      <c r="AM943">
        <f>IF([3]Entry!$M$946="","",[3]Entry!$M$946)</f>
        <v/>
      </c>
      <c r="AN943">
        <f>IF([3]Entry!$N$946="","",[3]Entry!$N$946)</f>
        <v/>
      </c>
      <c r="AO943">
        <f>IF([3]Entry!$R$946="","",[3]Entry!$R$946)</f>
        <v/>
      </c>
    </row>
    <row r="944">
      <c r="U944">
        <f>IF([2]Baskol!$B$947="","",[2]Baskol!$B$947)</f>
        <v/>
      </c>
      <c r="V944">
        <f>IF([2]Baskol!$C$947="","",[2]Baskol!$C$947)</f>
        <v/>
      </c>
      <c r="W944">
        <f>IF([2]Baskol!$D$947="","",[2]Baskol!$D$947)</f>
        <v/>
      </c>
      <c r="X944">
        <f>IF([2]Baskol!$E$947="","",[2]Baskol!$E$947)</f>
        <v/>
      </c>
      <c r="Y944">
        <f>IF([2]Baskol!$G$947="","",[2]Baskol!$G$947)</f>
        <v/>
      </c>
      <c r="Z944">
        <f>IF([2]Baskol!$I$947="","",[2]Baskol!$I$947)</f>
        <v/>
      </c>
      <c r="AA944">
        <f>IF([2]Baskol!$J$947="","",[2]Baskol!$J$947)</f>
        <v/>
      </c>
      <c r="AB944">
        <f>IF([2]Baskol!$K$947="","",[2]Baskol!$K$947)</f>
        <v/>
      </c>
      <c r="AC944">
        <f>IF([2]Baskol!$L$947="","",[2]Baskol!$L$947)</f>
        <v/>
      </c>
      <c r="AD944">
        <f>IF([2]Baskol!$N$947="","",[2]Baskol!$N$947)</f>
        <v/>
      </c>
      <c r="AE944">
        <f>IF([2]Baskol!$O$947="","",[2]Baskol!$O$947)</f>
        <v/>
      </c>
      <c r="AG944">
        <f>IF([3]Entry!$C$947="","",[3]Entry!$C$947)</f>
        <v/>
      </c>
      <c r="AH944">
        <f>IF([3]Entry!$D$947="","",[3]Entry!$D$947)</f>
        <v/>
      </c>
      <c r="AI944">
        <f>IF([3]Entry!$E$947="","",[3]Entry!$E$947)</f>
        <v/>
      </c>
      <c r="AJ944">
        <f>IF([3]Entry!$G$947="","",[3]Entry!$G$947)</f>
        <v/>
      </c>
      <c r="AK944">
        <f>IF([3]Entry!$K$947="","",[3]Entry!$K$947)</f>
        <v/>
      </c>
      <c r="AL944">
        <f>IF([3]Entry!$L$947="","",[3]Entry!$L$947)</f>
        <v/>
      </c>
      <c r="AM944">
        <f>IF([3]Entry!$M$947="","",[3]Entry!$M$947)</f>
        <v/>
      </c>
      <c r="AN944">
        <f>IF([3]Entry!$N$947="","",[3]Entry!$N$947)</f>
        <v/>
      </c>
      <c r="AO944">
        <f>IF([3]Entry!$R$947="","",[3]Entry!$R$947)</f>
        <v/>
      </c>
    </row>
    <row r="945">
      <c r="U945">
        <f>IF([2]Baskol!$B$948="","",[2]Baskol!$B$948)</f>
        <v/>
      </c>
      <c r="V945">
        <f>IF([2]Baskol!$C$948="","",[2]Baskol!$C$948)</f>
        <v/>
      </c>
      <c r="W945">
        <f>IF([2]Baskol!$D$948="","",[2]Baskol!$D$948)</f>
        <v/>
      </c>
      <c r="X945">
        <f>IF([2]Baskol!$E$948="","",[2]Baskol!$E$948)</f>
        <v/>
      </c>
      <c r="Y945">
        <f>IF([2]Baskol!$G$948="","",[2]Baskol!$G$948)</f>
        <v/>
      </c>
      <c r="Z945">
        <f>IF([2]Baskol!$I$948="","",[2]Baskol!$I$948)</f>
        <v/>
      </c>
      <c r="AA945">
        <f>IF([2]Baskol!$J$948="","",[2]Baskol!$J$948)</f>
        <v/>
      </c>
      <c r="AB945">
        <f>IF([2]Baskol!$K$948="","",[2]Baskol!$K$948)</f>
        <v/>
      </c>
      <c r="AC945">
        <f>IF([2]Baskol!$L$948="","",[2]Baskol!$L$948)</f>
        <v/>
      </c>
      <c r="AD945">
        <f>IF([2]Baskol!$N$948="","",[2]Baskol!$N$948)</f>
        <v/>
      </c>
      <c r="AE945">
        <f>IF([2]Baskol!$O$948="","",[2]Baskol!$O$948)</f>
        <v/>
      </c>
      <c r="AG945">
        <f>IF([3]Entry!$C$948="","",[3]Entry!$C$948)</f>
        <v/>
      </c>
      <c r="AH945">
        <f>IF([3]Entry!$D$948="","",[3]Entry!$D$948)</f>
        <v/>
      </c>
      <c r="AI945">
        <f>IF([3]Entry!$E$948="","",[3]Entry!$E$948)</f>
        <v/>
      </c>
      <c r="AJ945">
        <f>IF([3]Entry!$G$948="","",[3]Entry!$G$948)</f>
        <v/>
      </c>
      <c r="AK945">
        <f>IF([3]Entry!$K$948="","",[3]Entry!$K$948)</f>
        <v/>
      </c>
      <c r="AL945">
        <f>IF([3]Entry!$L$948="","",[3]Entry!$L$948)</f>
        <v/>
      </c>
      <c r="AM945">
        <f>IF([3]Entry!$M$948="","",[3]Entry!$M$948)</f>
        <v/>
      </c>
      <c r="AN945">
        <f>IF([3]Entry!$N$948="","",[3]Entry!$N$948)</f>
        <v/>
      </c>
      <c r="AO945">
        <f>IF([3]Entry!$R$948="","",[3]Entry!$R$948)</f>
        <v/>
      </c>
    </row>
    <row r="946">
      <c r="U946">
        <f>IF([2]Baskol!$B$949="","",[2]Baskol!$B$949)</f>
        <v/>
      </c>
      <c r="V946">
        <f>IF([2]Baskol!$C$949="","",[2]Baskol!$C$949)</f>
        <v/>
      </c>
      <c r="W946">
        <f>IF([2]Baskol!$D$949="","",[2]Baskol!$D$949)</f>
        <v/>
      </c>
      <c r="X946">
        <f>IF([2]Baskol!$E$949="","",[2]Baskol!$E$949)</f>
        <v/>
      </c>
      <c r="Y946">
        <f>IF([2]Baskol!$G$949="","",[2]Baskol!$G$949)</f>
        <v/>
      </c>
      <c r="Z946">
        <f>IF([2]Baskol!$I$949="","",[2]Baskol!$I$949)</f>
        <v/>
      </c>
      <c r="AA946">
        <f>IF([2]Baskol!$J$949="","",[2]Baskol!$J$949)</f>
        <v/>
      </c>
      <c r="AB946">
        <f>IF([2]Baskol!$K$949="","",[2]Baskol!$K$949)</f>
        <v/>
      </c>
      <c r="AC946">
        <f>IF([2]Baskol!$L$949="","",[2]Baskol!$L$949)</f>
        <v/>
      </c>
      <c r="AD946">
        <f>IF([2]Baskol!$N$949="","",[2]Baskol!$N$949)</f>
        <v/>
      </c>
      <c r="AE946">
        <f>IF([2]Baskol!$O$949="","",[2]Baskol!$O$949)</f>
        <v/>
      </c>
      <c r="AG946">
        <f>IF([3]Entry!$C$949="","",[3]Entry!$C$949)</f>
        <v/>
      </c>
      <c r="AH946">
        <f>IF([3]Entry!$D$949="","",[3]Entry!$D$949)</f>
        <v/>
      </c>
      <c r="AI946">
        <f>IF([3]Entry!$E$949="","",[3]Entry!$E$949)</f>
        <v/>
      </c>
      <c r="AJ946">
        <f>IF([3]Entry!$G$949="","",[3]Entry!$G$949)</f>
        <v/>
      </c>
      <c r="AK946">
        <f>IF([3]Entry!$K$949="","",[3]Entry!$K$949)</f>
        <v/>
      </c>
      <c r="AL946">
        <f>IF([3]Entry!$L$949="","",[3]Entry!$L$949)</f>
        <v/>
      </c>
      <c r="AM946">
        <f>IF([3]Entry!$M$949="","",[3]Entry!$M$949)</f>
        <v/>
      </c>
      <c r="AN946">
        <f>IF([3]Entry!$N$949="","",[3]Entry!$N$949)</f>
        <v/>
      </c>
      <c r="AO946">
        <f>IF([3]Entry!$R$949="","",[3]Entry!$R$949)</f>
        <v/>
      </c>
    </row>
    <row r="947">
      <c r="U947">
        <f>IF([2]Baskol!$B$950="","",[2]Baskol!$B$950)</f>
        <v/>
      </c>
      <c r="V947">
        <f>IF([2]Baskol!$C$950="","",[2]Baskol!$C$950)</f>
        <v/>
      </c>
      <c r="W947">
        <f>IF([2]Baskol!$D$950="","",[2]Baskol!$D$950)</f>
        <v/>
      </c>
      <c r="X947">
        <f>IF([2]Baskol!$E$950="","",[2]Baskol!$E$950)</f>
        <v/>
      </c>
      <c r="Y947">
        <f>IF([2]Baskol!$G$950="","",[2]Baskol!$G$950)</f>
        <v/>
      </c>
      <c r="Z947">
        <f>IF([2]Baskol!$I$950="","",[2]Baskol!$I$950)</f>
        <v/>
      </c>
      <c r="AA947">
        <f>IF([2]Baskol!$J$950="","",[2]Baskol!$J$950)</f>
        <v/>
      </c>
      <c r="AB947">
        <f>IF([2]Baskol!$K$950="","",[2]Baskol!$K$950)</f>
        <v/>
      </c>
      <c r="AC947">
        <f>IF([2]Baskol!$L$950="","",[2]Baskol!$L$950)</f>
        <v/>
      </c>
      <c r="AD947">
        <f>IF([2]Baskol!$N$950="","",[2]Baskol!$N$950)</f>
        <v/>
      </c>
      <c r="AE947">
        <f>IF([2]Baskol!$O$950="","",[2]Baskol!$O$950)</f>
        <v/>
      </c>
      <c r="AG947">
        <f>IF([3]Entry!$C$950="","",[3]Entry!$C$950)</f>
        <v/>
      </c>
      <c r="AH947">
        <f>IF([3]Entry!$D$950="","",[3]Entry!$D$950)</f>
        <v/>
      </c>
      <c r="AI947">
        <f>IF([3]Entry!$E$950="","",[3]Entry!$E$950)</f>
        <v/>
      </c>
      <c r="AJ947">
        <f>IF([3]Entry!$G$950="","",[3]Entry!$G$950)</f>
        <v/>
      </c>
      <c r="AK947">
        <f>IF([3]Entry!$K$950="","",[3]Entry!$K$950)</f>
        <v/>
      </c>
      <c r="AL947">
        <f>IF([3]Entry!$L$950="","",[3]Entry!$L$950)</f>
        <v/>
      </c>
      <c r="AM947">
        <f>IF([3]Entry!$M$950="","",[3]Entry!$M$950)</f>
        <v/>
      </c>
      <c r="AN947">
        <f>IF([3]Entry!$N$950="","",[3]Entry!$N$950)</f>
        <v/>
      </c>
      <c r="AO947">
        <f>IF([3]Entry!$R$950="","",[3]Entry!$R$950)</f>
        <v/>
      </c>
    </row>
    <row r="948">
      <c r="U948">
        <f>IF([2]Baskol!$B$951="","",[2]Baskol!$B$951)</f>
        <v/>
      </c>
      <c r="V948">
        <f>IF([2]Baskol!$C$951="","",[2]Baskol!$C$951)</f>
        <v/>
      </c>
      <c r="W948">
        <f>IF([2]Baskol!$D$951="","",[2]Baskol!$D$951)</f>
        <v/>
      </c>
      <c r="X948">
        <f>IF([2]Baskol!$E$951="","",[2]Baskol!$E$951)</f>
        <v/>
      </c>
      <c r="Y948">
        <f>IF([2]Baskol!$G$951="","",[2]Baskol!$G$951)</f>
        <v/>
      </c>
      <c r="Z948">
        <f>IF([2]Baskol!$I$951="","",[2]Baskol!$I$951)</f>
        <v/>
      </c>
      <c r="AA948">
        <f>IF([2]Baskol!$J$951="","",[2]Baskol!$J$951)</f>
        <v/>
      </c>
      <c r="AB948">
        <f>IF([2]Baskol!$K$951="","",[2]Baskol!$K$951)</f>
        <v/>
      </c>
      <c r="AC948">
        <f>IF([2]Baskol!$L$951="","",[2]Baskol!$L$951)</f>
        <v/>
      </c>
      <c r="AD948">
        <f>IF([2]Baskol!$N$951="","",[2]Baskol!$N$951)</f>
        <v/>
      </c>
      <c r="AE948">
        <f>IF([2]Baskol!$O$951="","",[2]Baskol!$O$951)</f>
        <v/>
      </c>
      <c r="AG948">
        <f>IF([3]Entry!$C$951="","",[3]Entry!$C$951)</f>
        <v/>
      </c>
      <c r="AH948">
        <f>IF([3]Entry!$D$951="","",[3]Entry!$D$951)</f>
        <v/>
      </c>
      <c r="AI948">
        <f>IF([3]Entry!$E$951="","",[3]Entry!$E$951)</f>
        <v/>
      </c>
      <c r="AJ948">
        <f>IF([3]Entry!$G$951="","",[3]Entry!$G$951)</f>
        <v/>
      </c>
      <c r="AK948">
        <f>IF([3]Entry!$K$951="","",[3]Entry!$K$951)</f>
        <v/>
      </c>
      <c r="AL948">
        <f>IF([3]Entry!$L$951="","",[3]Entry!$L$951)</f>
        <v/>
      </c>
      <c r="AM948">
        <f>IF([3]Entry!$M$951="","",[3]Entry!$M$951)</f>
        <v/>
      </c>
      <c r="AN948">
        <f>IF([3]Entry!$N$951="","",[3]Entry!$N$951)</f>
        <v/>
      </c>
      <c r="AO948">
        <f>IF([3]Entry!$R$951="","",[3]Entry!$R$951)</f>
        <v/>
      </c>
    </row>
    <row r="949">
      <c r="U949">
        <f>IF([2]Baskol!$B$952="","",[2]Baskol!$B$952)</f>
        <v/>
      </c>
      <c r="V949">
        <f>IF([2]Baskol!$C$952="","",[2]Baskol!$C$952)</f>
        <v/>
      </c>
      <c r="W949">
        <f>IF([2]Baskol!$D$952="","",[2]Baskol!$D$952)</f>
        <v/>
      </c>
      <c r="X949">
        <f>IF([2]Baskol!$E$952="","",[2]Baskol!$E$952)</f>
        <v/>
      </c>
      <c r="Y949">
        <f>IF([2]Baskol!$G$952="","",[2]Baskol!$G$952)</f>
        <v/>
      </c>
      <c r="Z949">
        <f>IF([2]Baskol!$I$952="","",[2]Baskol!$I$952)</f>
        <v/>
      </c>
      <c r="AA949">
        <f>IF([2]Baskol!$J$952="","",[2]Baskol!$J$952)</f>
        <v/>
      </c>
      <c r="AB949">
        <f>IF([2]Baskol!$K$952="","",[2]Baskol!$K$952)</f>
        <v/>
      </c>
      <c r="AC949">
        <f>IF([2]Baskol!$L$952="","",[2]Baskol!$L$952)</f>
        <v/>
      </c>
      <c r="AD949">
        <f>IF([2]Baskol!$N$952="","",[2]Baskol!$N$952)</f>
        <v/>
      </c>
      <c r="AE949">
        <f>IF([2]Baskol!$O$952="","",[2]Baskol!$O$952)</f>
        <v/>
      </c>
      <c r="AG949">
        <f>IF([3]Entry!$C$952="","",[3]Entry!$C$952)</f>
        <v/>
      </c>
      <c r="AH949">
        <f>IF([3]Entry!$D$952="","",[3]Entry!$D$952)</f>
        <v/>
      </c>
      <c r="AI949">
        <f>IF([3]Entry!$E$952="","",[3]Entry!$E$952)</f>
        <v/>
      </c>
      <c r="AJ949">
        <f>IF([3]Entry!$G$952="","",[3]Entry!$G$952)</f>
        <v/>
      </c>
      <c r="AK949">
        <f>IF([3]Entry!$K$952="","",[3]Entry!$K$952)</f>
        <v/>
      </c>
      <c r="AL949">
        <f>IF([3]Entry!$L$952="","",[3]Entry!$L$952)</f>
        <v/>
      </c>
      <c r="AM949">
        <f>IF([3]Entry!$M$952="","",[3]Entry!$M$952)</f>
        <v/>
      </c>
      <c r="AN949">
        <f>IF([3]Entry!$N$952="","",[3]Entry!$N$952)</f>
        <v/>
      </c>
      <c r="AO949">
        <f>IF([3]Entry!$R$952="","",[3]Entry!$R$952)</f>
        <v/>
      </c>
    </row>
    <row r="950">
      <c r="U950">
        <f>IF([2]Baskol!$B$953="","",[2]Baskol!$B$953)</f>
        <v/>
      </c>
      <c r="V950">
        <f>IF([2]Baskol!$C$953="","",[2]Baskol!$C$953)</f>
        <v/>
      </c>
      <c r="W950">
        <f>IF([2]Baskol!$D$953="","",[2]Baskol!$D$953)</f>
        <v/>
      </c>
      <c r="X950">
        <f>IF([2]Baskol!$E$953="","",[2]Baskol!$E$953)</f>
        <v/>
      </c>
      <c r="Y950">
        <f>IF([2]Baskol!$G$953="","",[2]Baskol!$G$953)</f>
        <v/>
      </c>
      <c r="Z950">
        <f>IF([2]Baskol!$I$953="","",[2]Baskol!$I$953)</f>
        <v/>
      </c>
      <c r="AA950">
        <f>IF([2]Baskol!$J$953="","",[2]Baskol!$J$953)</f>
        <v/>
      </c>
      <c r="AB950">
        <f>IF([2]Baskol!$K$953="","",[2]Baskol!$K$953)</f>
        <v/>
      </c>
      <c r="AC950">
        <f>IF([2]Baskol!$L$953="","",[2]Baskol!$L$953)</f>
        <v/>
      </c>
      <c r="AD950">
        <f>IF([2]Baskol!$N$953="","",[2]Baskol!$N$953)</f>
        <v/>
      </c>
      <c r="AE950">
        <f>IF([2]Baskol!$O$953="","",[2]Baskol!$O$953)</f>
        <v/>
      </c>
      <c r="AG950">
        <f>IF([3]Entry!$C$953="","",[3]Entry!$C$953)</f>
        <v/>
      </c>
      <c r="AH950">
        <f>IF([3]Entry!$D$953="","",[3]Entry!$D$953)</f>
        <v/>
      </c>
      <c r="AI950">
        <f>IF([3]Entry!$E$953="","",[3]Entry!$E$953)</f>
        <v/>
      </c>
      <c r="AJ950">
        <f>IF([3]Entry!$G$953="","",[3]Entry!$G$953)</f>
        <v/>
      </c>
      <c r="AK950">
        <f>IF([3]Entry!$K$953="","",[3]Entry!$K$953)</f>
        <v/>
      </c>
      <c r="AL950">
        <f>IF([3]Entry!$L$953="","",[3]Entry!$L$953)</f>
        <v/>
      </c>
      <c r="AM950">
        <f>IF([3]Entry!$M$953="","",[3]Entry!$M$953)</f>
        <v/>
      </c>
      <c r="AN950">
        <f>IF([3]Entry!$N$953="","",[3]Entry!$N$953)</f>
        <v/>
      </c>
      <c r="AO950">
        <f>IF([3]Entry!$R$953="","",[3]Entry!$R$953)</f>
        <v/>
      </c>
    </row>
    <row r="951">
      <c r="U951">
        <f>IF([2]Baskol!$B$954="","",[2]Baskol!$B$954)</f>
        <v/>
      </c>
      <c r="V951">
        <f>IF([2]Baskol!$C$954="","",[2]Baskol!$C$954)</f>
        <v/>
      </c>
      <c r="W951">
        <f>IF([2]Baskol!$D$954="","",[2]Baskol!$D$954)</f>
        <v/>
      </c>
      <c r="X951">
        <f>IF([2]Baskol!$E$954="","",[2]Baskol!$E$954)</f>
        <v/>
      </c>
      <c r="Y951">
        <f>IF([2]Baskol!$G$954="","",[2]Baskol!$G$954)</f>
        <v/>
      </c>
      <c r="Z951">
        <f>IF([2]Baskol!$I$954="","",[2]Baskol!$I$954)</f>
        <v/>
      </c>
      <c r="AA951">
        <f>IF([2]Baskol!$J$954="","",[2]Baskol!$J$954)</f>
        <v/>
      </c>
      <c r="AB951">
        <f>IF([2]Baskol!$K$954="","",[2]Baskol!$K$954)</f>
        <v/>
      </c>
      <c r="AC951">
        <f>IF([2]Baskol!$L$954="","",[2]Baskol!$L$954)</f>
        <v/>
      </c>
      <c r="AD951">
        <f>IF([2]Baskol!$N$954="","",[2]Baskol!$N$954)</f>
        <v/>
      </c>
      <c r="AE951">
        <f>IF([2]Baskol!$O$954="","",[2]Baskol!$O$954)</f>
        <v/>
      </c>
      <c r="AG951">
        <f>IF([3]Entry!$C$954="","",[3]Entry!$C$954)</f>
        <v/>
      </c>
      <c r="AH951">
        <f>IF([3]Entry!$D$954="","",[3]Entry!$D$954)</f>
        <v/>
      </c>
      <c r="AI951">
        <f>IF([3]Entry!$E$954="","",[3]Entry!$E$954)</f>
        <v/>
      </c>
      <c r="AJ951">
        <f>IF([3]Entry!$G$954="","",[3]Entry!$G$954)</f>
        <v/>
      </c>
      <c r="AK951">
        <f>IF([3]Entry!$K$954="","",[3]Entry!$K$954)</f>
        <v/>
      </c>
      <c r="AL951">
        <f>IF([3]Entry!$L$954="","",[3]Entry!$L$954)</f>
        <v/>
      </c>
      <c r="AM951">
        <f>IF([3]Entry!$M$954="","",[3]Entry!$M$954)</f>
        <v/>
      </c>
      <c r="AN951">
        <f>IF([3]Entry!$N$954="","",[3]Entry!$N$954)</f>
        <v/>
      </c>
      <c r="AO951">
        <f>IF([3]Entry!$R$954="","",[3]Entry!$R$954)</f>
        <v/>
      </c>
    </row>
    <row r="952">
      <c r="U952">
        <f>IF([2]Baskol!$B$955="","",[2]Baskol!$B$955)</f>
        <v/>
      </c>
      <c r="V952">
        <f>IF([2]Baskol!$C$955="","",[2]Baskol!$C$955)</f>
        <v/>
      </c>
      <c r="W952">
        <f>IF([2]Baskol!$D$955="","",[2]Baskol!$D$955)</f>
        <v/>
      </c>
      <c r="X952">
        <f>IF([2]Baskol!$E$955="","",[2]Baskol!$E$955)</f>
        <v/>
      </c>
      <c r="Y952">
        <f>IF([2]Baskol!$G$955="","",[2]Baskol!$G$955)</f>
        <v/>
      </c>
      <c r="Z952">
        <f>IF([2]Baskol!$I$955="","",[2]Baskol!$I$955)</f>
        <v/>
      </c>
      <c r="AA952">
        <f>IF([2]Baskol!$J$955="","",[2]Baskol!$J$955)</f>
        <v/>
      </c>
      <c r="AB952">
        <f>IF([2]Baskol!$K$955="","",[2]Baskol!$K$955)</f>
        <v/>
      </c>
      <c r="AC952">
        <f>IF([2]Baskol!$L$955="","",[2]Baskol!$L$955)</f>
        <v/>
      </c>
      <c r="AD952">
        <f>IF([2]Baskol!$N$955="","",[2]Baskol!$N$955)</f>
        <v/>
      </c>
      <c r="AE952">
        <f>IF([2]Baskol!$O$955="","",[2]Baskol!$O$955)</f>
        <v/>
      </c>
      <c r="AG952">
        <f>IF([3]Entry!$C$955="","",[3]Entry!$C$955)</f>
        <v/>
      </c>
      <c r="AH952">
        <f>IF([3]Entry!$D$955="","",[3]Entry!$D$955)</f>
        <v/>
      </c>
      <c r="AI952">
        <f>IF([3]Entry!$E$955="","",[3]Entry!$E$955)</f>
        <v/>
      </c>
      <c r="AJ952">
        <f>IF([3]Entry!$G$955="","",[3]Entry!$G$955)</f>
        <v/>
      </c>
      <c r="AK952">
        <f>IF([3]Entry!$K$955="","",[3]Entry!$K$955)</f>
        <v/>
      </c>
      <c r="AL952">
        <f>IF([3]Entry!$L$955="","",[3]Entry!$L$955)</f>
        <v/>
      </c>
      <c r="AM952">
        <f>IF([3]Entry!$M$955="","",[3]Entry!$M$955)</f>
        <v/>
      </c>
      <c r="AN952">
        <f>IF([3]Entry!$N$955="","",[3]Entry!$N$955)</f>
        <v/>
      </c>
      <c r="AO952">
        <f>IF([3]Entry!$R$955="","",[3]Entry!$R$955)</f>
        <v/>
      </c>
    </row>
    <row r="953">
      <c r="U953">
        <f>IF([2]Baskol!$B$956="","",[2]Baskol!$B$956)</f>
        <v/>
      </c>
      <c r="V953">
        <f>IF([2]Baskol!$C$956="","",[2]Baskol!$C$956)</f>
        <v/>
      </c>
      <c r="W953">
        <f>IF([2]Baskol!$D$956="","",[2]Baskol!$D$956)</f>
        <v/>
      </c>
      <c r="X953">
        <f>IF([2]Baskol!$E$956="","",[2]Baskol!$E$956)</f>
        <v/>
      </c>
      <c r="Y953">
        <f>IF([2]Baskol!$G$956="","",[2]Baskol!$G$956)</f>
        <v/>
      </c>
      <c r="Z953">
        <f>IF([2]Baskol!$I$956="","",[2]Baskol!$I$956)</f>
        <v/>
      </c>
      <c r="AA953">
        <f>IF([2]Baskol!$J$956="","",[2]Baskol!$J$956)</f>
        <v/>
      </c>
      <c r="AB953">
        <f>IF([2]Baskol!$K$956="","",[2]Baskol!$K$956)</f>
        <v/>
      </c>
      <c r="AC953">
        <f>IF([2]Baskol!$L$956="","",[2]Baskol!$L$956)</f>
        <v/>
      </c>
      <c r="AD953">
        <f>IF([2]Baskol!$N$956="","",[2]Baskol!$N$956)</f>
        <v/>
      </c>
      <c r="AE953">
        <f>IF([2]Baskol!$O$956="","",[2]Baskol!$O$956)</f>
        <v/>
      </c>
      <c r="AG953">
        <f>IF([3]Entry!$C$956="","",[3]Entry!$C$956)</f>
        <v/>
      </c>
      <c r="AH953">
        <f>IF([3]Entry!$D$956="","",[3]Entry!$D$956)</f>
        <v/>
      </c>
      <c r="AI953">
        <f>IF([3]Entry!$E$956="","",[3]Entry!$E$956)</f>
        <v/>
      </c>
      <c r="AJ953">
        <f>IF([3]Entry!$G$956="","",[3]Entry!$G$956)</f>
        <v/>
      </c>
      <c r="AK953">
        <f>IF([3]Entry!$K$956="","",[3]Entry!$K$956)</f>
        <v/>
      </c>
      <c r="AL953">
        <f>IF([3]Entry!$L$956="","",[3]Entry!$L$956)</f>
        <v/>
      </c>
      <c r="AM953">
        <f>IF([3]Entry!$M$956="","",[3]Entry!$M$956)</f>
        <v/>
      </c>
      <c r="AN953">
        <f>IF([3]Entry!$N$956="","",[3]Entry!$N$956)</f>
        <v/>
      </c>
      <c r="AO953">
        <f>IF([3]Entry!$R$956="","",[3]Entry!$R$956)</f>
        <v/>
      </c>
    </row>
    <row r="954">
      <c r="U954">
        <f>IF([2]Baskol!$B$957="","",[2]Baskol!$B$957)</f>
        <v/>
      </c>
      <c r="V954">
        <f>IF([2]Baskol!$C$957="","",[2]Baskol!$C$957)</f>
        <v/>
      </c>
      <c r="W954">
        <f>IF([2]Baskol!$D$957="","",[2]Baskol!$D$957)</f>
        <v/>
      </c>
      <c r="X954">
        <f>IF([2]Baskol!$E$957="","",[2]Baskol!$E$957)</f>
        <v/>
      </c>
      <c r="Y954">
        <f>IF([2]Baskol!$G$957="","",[2]Baskol!$G$957)</f>
        <v/>
      </c>
      <c r="Z954">
        <f>IF([2]Baskol!$I$957="","",[2]Baskol!$I$957)</f>
        <v/>
      </c>
      <c r="AA954">
        <f>IF([2]Baskol!$J$957="","",[2]Baskol!$J$957)</f>
        <v/>
      </c>
      <c r="AB954">
        <f>IF([2]Baskol!$K$957="","",[2]Baskol!$K$957)</f>
        <v/>
      </c>
      <c r="AC954">
        <f>IF([2]Baskol!$L$957="","",[2]Baskol!$L$957)</f>
        <v/>
      </c>
      <c r="AD954">
        <f>IF([2]Baskol!$N$957="","",[2]Baskol!$N$957)</f>
        <v/>
      </c>
      <c r="AE954">
        <f>IF([2]Baskol!$O$957="","",[2]Baskol!$O$957)</f>
        <v/>
      </c>
      <c r="AG954">
        <f>IF([3]Entry!$C$957="","",[3]Entry!$C$957)</f>
        <v/>
      </c>
      <c r="AH954">
        <f>IF([3]Entry!$D$957="","",[3]Entry!$D$957)</f>
        <v/>
      </c>
      <c r="AI954">
        <f>IF([3]Entry!$E$957="","",[3]Entry!$E$957)</f>
        <v/>
      </c>
      <c r="AJ954">
        <f>IF([3]Entry!$G$957="","",[3]Entry!$G$957)</f>
        <v/>
      </c>
      <c r="AK954">
        <f>IF([3]Entry!$K$957="","",[3]Entry!$K$957)</f>
        <v/>
      </c>
      <c r="AL954">
        <f>IF([3]Entry!$L$957="","",[3]Entry!$L$957)</f>
        <v/>
      </c>
      <c r="AM954">
        <f>IF([3]Entry!$M$957="","",[3]Entry!$M$957)</f>
        <v/>
      </c>
      <c r="AN954">
        <f>IF([3]Entry!$N$957="","",[3]Entry!$N$957)</f>
        <v/>
      </c>
      <c r="AO954">
        <f>IF([3]Entry!$R$957="","",[3]Entry!$R$957)</f>
        <v/>
      </c>
    </row>
    <row r="955">
      <c r="U955">
        <f>IF([2]Baskol!$B$958="","",[2]Baskol!$B$958)</f>
        <v/>
      </c>
      <c r="V955">
        <f>IF([2]Baskol!$C$958="","",[2]Baskol!$C$958)</f>
        <v/>
      </c>
      <c r="W955">
        <f>IF([2]Baskol!$D$958="","",[2]Baskol!$D$958)</f>
        <v/>
      </c>
      <c r="X955">
        <f>IF([2]Baskol!$E$958="","",[2]Baskol!$E$958)</f>
        <v/>
      </c>
      <c r="Y955">
        <f>IF([2]Baskol!$G$958="","",[2]Baskol!$G$958)</f>
        <v/>
      </c>
      <c r="Z955">
        <f>IF([2]Baskol!$I$958="","",[2]Baskol!$I$958)</f>
        <v/>
      </c>
      <c r="AA955">
        <f>IF([2]Baskol!$J$958="","",[2]Baskol!$J$958)</f>
        <v/>
      </c>
      <c r="AB955">
        <f>IF([2]Baskol!$K$958="","",[2]Baskol!$K$958)</f>
        <v/>
      </c>
      <c r="AC955">
        <f>IF([2]Baskol!$L$958="","",[2]Baskol!$L$958)</f>
        <v/>
      </c>
      <c r="AD955">
        <f>IF([2]Baskol!$N$958="","",[2]Baskol!$N$958)</f>
        <v/>
      </c>
      <c r="AE955">
        <f>IF([2]Baskol!$O$958="","",[2]Baskol!$O$958)</f>
        <v/>
      </c>
      <c r="AG955">
        <f>IF([3]Entry!$C$958="","",[3]Entry!$C$958)</f>
        <v/>
      </c>
      <c r="AH955">
        <f>IF([3]Entry!$D$958="","",[3]Entry!$D$958)</f>
        <v/>
      </c>
      <c r="AI955">
        <f>IF([3]Entry!$E$958="","",[3]Entry!$E$958)</f>
        <v/>
      </c>
      <c r="AJ955">
        <f>IF([3]Entry!$G$958="","",[3]Entry!$G$958)</f>
        <v/>
      </c>
      <c r="AK955">
        <f>IF([3]Entry!$K$958="","",[3]Entry!$K$958)</f>
        <v/>
      </c>
      <c r="AL955">
        <f>IF([3]Entry!$L$958="","",[3]Entry!$L$958)</f>
        <v/>
      </c>
      <c r="AM955">
        <f>IF([3]Entry!$M$958="","",[3]Entry!$M$958)</f>
        <v/>
      </c>
      <c r="AN955">
        <f>IF([3]Entry!$N$958="","",[3]Entry!$N$958)</f>
        <v/>
      </c>
      <c r="AO955">
        <f>IF([3]Entry!$R$958="","",[3]Entry!$R$958)</f>
        <v/>
      </c>
    </row>
    <row r="956">
      <c r="U956">
        <f>IF([2]Baskol!$B$959="","",[2]Baskol!$B$959)</f>
        <v/>
      </c>
      <c r="V956">
        <f>IF([2]Baskol!$C$959="","",[2]Baskol!$C$959)</f>
        <v/>
      </c>
      <c r="W956">
        <f>IF([2]Baskol!$D$959="","",[2]Baskol!$D$959)</f>
        <v/>
      </c>
      <c r="X956">
        <f>IF([2]Baskol!$E$959="","",[2]Baskol!$E$959)</f>
        <v/>
      </c>
      <c r="Y956">
        <f>IF([2]Baskol!$G$959="","",[2]Baskol!$G$959)</f>
        <v/>
      </c>
      <c r="Z956">
        <f>IF([2]Baskol!$I$959="","",[2]Baskol!$I$959)</f>
        <v/>
      </c>
      <c r="AA956">
        <f>IF([2]Baskol!$J$959="","",[2]Baskol!$J$959)</f>
        <v/>
      </c>
      <c r="AB956">
        <f>IF([2]Baskol!$K$959="","",[2]Baskol!$K$959)</f>
        <v/>
      </c>
      <c r="AC956">
        <f>IF([2]Baskol!$L$959="","",[2]Baskol!$L$959)</f>
        <v/>
      </c>
      <c r="AD956">
        <f>IF([2]Baskol!$N$959="","",[2]Baskol!$N$959)</f>
        <v/>
      </c>
      <c r="AE956">
        <f>IF([2]Baskol!$O$959="","",[2]Baskol!$O$959)</f>
        <v/>
      </c>
      <c r="AG956">
        <f>IF([3]Entry!$C$959="","",[3]Entry!$C$959)</f>
        <v/>
      </c>
      <c r="AH956">
        <f>IF([3]Entry!$D$959="","",[3]Entry!$D$959)</f>
        <v/>
      </c>
      <c r="AI956">
        <f>IF([3]Entry!$E$959="","",[3]Entry!$E$959)</f>
        <v/>
      </c>
      <c r="AJ956">
        <f>IF([3]Entry!$G$959="","",[3]Entry!$G$959)</f>
        <v/>
      </c>
      <c r="AK956">
        <f>IF([3]Entry!$K$959="","",[3]Entry!$K$959)</f>
        <v/>
      </c>
      <c r="AL956">
        <f>IF([3]Entry!$L$959="","",[3]Entry!$L$959)</f>
        <v/>
      </c>
      <c r="AM956">
        <f>IF([3]Entry!$M$959="","",[3]Entry!$M$959)</f>
        <v/>
      </c>
      <c r="AN956">
        <f>IF([3]Entry!$N$959="","",[3]Entry!$N$959)</f>
        <v/>
      </c>
      <c r="AO956">
        <f>IF([3]Entry!$R$959="","",[3]Entry!$R$959)</f>
        <v/>
      </c>
    </row>
    <row r="957">
      <c r="U957">
        <f>IF([2]Baskol!$B$960="","",[2]Baskol!$B$960)</f>
        <v/>
      </c>
      <c r="V957">
        <f>IF([2]Baskol!$C$960="","",[2]Baskol!$C$960)</f>
        <v/>
      </c>
      <c r="W957">
        <f>IF([2]Baskol!$D$960="","",[2]Baskol!$D$960)</f>
        <v/>
      </c>
      <c r="X957">
        <f>IF([2]Baskol!$E$960="","",[2]Baskol!$E$960)</f>
        <v/>
      </c>
      <c r="Y957">
        <f>IF([2]Baskol!$G$960="","",[2]Baskol!$G$960)</f>
        <v/>
      </c>
      <c r="Z957">
        <f>IF([2]Baskol!$I$960="","",[2]Baskol!$I$960)</f>
        <v/>
      </c>
      <c r="AA957">
        <f>IF([2]Baskol!$J$960="","",[2]Baskol!$J$960)</f>
        <v/>
      </c>
      <c r="AB957">
        <f>IF([2]Baskol!$K$960="","",[2]Baskol!$K$960)</f>
        <v/>
      </c>
      <c r="AC957">
        <f>IF([2]Baskol!$L$960="","",[2]Baskol!$L$960)</f>
        <v/>
      </c>
      <c r="AD957">
        <f>IF([2]Baskol!$N$960="","",[2]Baskol!$N$960)</f>
        <v/>
      </c>
      <c r="AE957">
        <f>IF([2]Baskol!$O$960="","",[2]Baskol!$O$960)</f>
        <v/>
      </c>
      <c r="AG957">
        <f>IF([3]Entry!$C$960="","",[3]Entry!$C$960)</f>
        <v/>
      </c>
      <c r="AH957">
        <f>IF([3]Entry!$D$960="","",[3]Entry!$D$960)</f>
        <v/>
      </c>
      <c r="AI957">
        <f>IF([3]Entry!$E$960="","",[3]Entry!$E$960)</f>
        <v/>
      </c>
      <c r="AJ957">
        <f>IF([3]Entry!$G$960="","",[3]Entry!$G$960)</f>
        <v/>
      </c>
      <c r="AK957">
        <f>IF([3]Entry!$K$960="","",[3]Entry!$K$960)</f>
        <v/>
      </c>
      <c r="AL957">
        <f>IF([3]Entry!$L$960="","",[3]Entry!$L$960)</f>
        <v/>
      </c>
      <c r="AM957">
        <f>IF([3]Entry!$M$960="","",[3]Entry!$M$960)</f>
        <v/>
      </c>
      <c r="AN957">
        <f>IF([3]Entry!$N$960="","",[3]Entry!$N$960)</f>
        <v/>
      </c>
      <c r="AO957">
        <f>IF([3]Entry!$R$960="","",[3]Entry!$R$960)</f>
        <v/>
      </c>
    </row>
    <row r="958">
      <c r="U958">
        <f>IF([2]Baskol!$B$961="","",[2]Baskol!$B$961)</f>
        <v/>
      </c>
      <c r="V958">
        <f>IF([2]Baskol!$C$961="","",[2]Baskol!$C$961)</f>
        <v/>
      </c>
      <c r="W958">
        <f>IF([2]Baskol!$D$961="","",[2]Baskol!$D$961)</f>
        <v/>
      </c>
      <c r="X958">
        <f>IF([2]Baskol!$E$961="","",[2]Baskol!$E$961)</f>
        <v/>
      </c>
      <c r="Y958">
        <f>IF([2]Baskol!$G$961="","",[2]Baskol!$G$961)</f>
        <v/>
      </c>
      <c r="Z958">
        <f>IF([2]Baskol!$I$961="","",[2]Baskol!$I$961)</f>
        <v/>
      </c>
      <c r="AA958">
        <f>IF([2]Baskol!$J$961="","",[2]Baskol!$J$961)</f>
        <v/>
      </c>
      <c r="AB958">
        <f>IF([2]Baskol!$K$961="","",[2]Baskol!$K$961)</f>
        <v/>
      </c>
      <c r="AC958">
        <f>IF([2]Baskol!$L$961="","",[2]Baskol!$L$961)</f>
        <v/>
      </c>
      <c r="AD958">
        <f>IF([2]Baskol!$N$961="","",[2]Baskol!$N$961)</f>
        <v/>
      </c>
      <c r="AE958">
        <f>IF([2]Baskol!$O$961="","",[2]Baskol!$O$961)</f>
        <v/>
      </c>
      <c r="AG958">
        <f>IF([3]Entry!$C$961="","",[3]Entry!$C$961)</f>
        <v/>
      </c>
      <c r="AH958">
        <f>IF([3]Entry!$D$961="","",[3]Entry!$D$961)</f>
        <v/>
      </c>
      <c r="AI958">
        <f>IF([3]Entry!$E$961="","",[3]Entry!$E$961)</f>
        <v/>
      </c>
      <c r="AJ958">
        <f>IF([3]Entry!$G$961="","",[3]Entry!$G$961)</f>
        <v/>
      </c>
      <c r="AK958">
        <f>IF([3]Entry!$K$961="","",[3]Entry!$K$961)</f>
        <v/>
      </c>
      <c r="AL958">
        <f>IF([3]Entry!$L$961="","",[3]Entry!$L$961)</f>
        <v/>
      </c>
      <c r="AM958">
        <f>IF([3]Entry!$M$961="","",[3]Entry!$M$961)</f>
        <v/>
      </c>
      <c r="AN958">
        <f>IF([3]Entry!$N$961="","",[3]Entry!$N$961)</f>
        <v/>
      </c>
      <c r="AO958">
        <f>IF([3]Entry!$R$961="","",[3]Entry!$R$961)</f>
        <v/>
      </c>
    </row>
    <row r="959">
      <c r="U959">
        <f>IF([2]Baskol!$B$962="","",[2]Baskol!$B$962)</f>
        <v/>
      </c>
      <c r="V959">
        <f>IF([2]Baskol!$C$962="","",[2]Baskol!$C$962)</f>
        <v/>
      </c>
      <c r="W959">
        <f>IF([2]Baskol!$D$962="","",[2]Baskol!$D$962)</f>
        <v/>
      </c>
      <c r="X959">
        <f>IF([2]Baskol!$E$962="","",[2]Baskol!$E$962)</f>
        <v/>
      </c>
      <c r="Y959">
        <f>IF([2]Baskol!$G$962="","",[2]Baskol!$G$962)</f>
        <v/>
      </c>
      <c r="Z959">
        <f>IF([2]Baskol!$I$962="","",[2]Baskol!$I$962)</f>
        <v/>
      </c>
      <c r="AA959">
        <f>IF([2]Baskol!$J$962="","",[2]Baskol!$J$962)</f>
        <v/>
      </c>
      <c r="AB959">
        <f>IF([2]Baskol!$K$962="","",[2]Baskol!$K$962)</f>
        <v/>
      </c>
      <c r="AC959">
        <f>IF([2]Baskol!$L$962="","",[2]Baskol!$L$962)</f>
        <v/>
      </c>
      <c r="AD959">
        <f>IF([2]Baskol!$N$962="","",[2]Baskol!$N$962)</f>
        <v/>
      </c>
      <c r="AE959">
        <f>IF([2]Baskol!$O$962="","",[2]Baskol!$O$962)</f>
        <v/>
      </c>
      <c r="AG959">
        <f>IF([3]Entry!$C$962="","",[3]Entry!$C$962)</f>
        <v/>
      </c>
      <c r="AH959">
        <f>IF([3]Entry!$D$962="","",[3]Entry!$D$962)</f>
        <v/>
      </c>
      <c r="AI959">
        <f>IF([3]Entry!$E$962="","",[3]Entry!$E$962)</f>
        <v/>
      </c>
      <c r="AJ959">
        <f>IF([3]Entry!$G$962="","",[3]Entry!$G$962)</f>
        <v/>
      </c>
      <c r="AK959">
        <f>IF([3]Entry!$K$962="","",[3]Entry!$K$962)</f>
        <v/>
      </c>
      <c r="AL959">
        <f>IF([3]Entry!$L$962="","",[3]Entry!$L$962)</f>
        <v/>
      </c>
      <c r="AM959">
        <f>IF([3]Entry!$M$962="","",[3]Entry!$M$962)</f>
        <v/>
      </c>
      <c r="AN959">
        <f>IF([3]Entry!$N$962="","",[3]Entry!$N$962)</f>
        <v/>
      </c>
      <c r="AO959">
        <f>IF([3]Entry!$R$962="","",[3]Entry!$R$962)</f>
        <v/>
      </c>
    </row>
    <row r="960">
      <c r="U960">
        <f>IF([2]Baskol!$B$963="","",[2]Baskol!$B$963)</f>
        <v/>
      </c>
      <c r="V960">
        <f>IF([2]Baskol!$C$963="","",[2]Baskol!$C$963)</f>
        <v/>
      </c>
      <c r="W960">
        <f>IF([2]Baskol!$D$963="","",[2]Baskol!$D$963)</f>
        <v/>
      </c>
      <c r="X960">
        <f>IF([2]Baskol!$E$963="","",[2]Baskol!$E$963)</f>
        <v/>
      </c>
      <c r="Y960">
        <f>IF([2]Baskol!$G$963="","",[2]Baskol!$G$963)</f>
        <v/>
      </c>
      <c r="Z960">
        <f>IF([2]Baskol!$I$963="","",[2]Baskol!$I$963)</f>
        <v/>
      </c>
      <c r="AA960">
        <f>IF([2]Baskol!$J$963="","",[2]Baskol!$J$963)</f>
        <v/>
      </c>
      <c r="AB960">
        <f>IF([2]Baskol!$K$963="","",[2]Baskol!$K$963)</f>
        <v/>
      </c>
      <c r="AC960">
        <f>IF([2]Baskol!$L$963="","",[2]Baskol!$L$963)</f>
        <v/>
      </c>
      <c r="AD960">
        <f>IF([2]Baskol!$N$963="","",[2]Baskol!$N$963)</f>
        <v/>
      </c>
      <c r="AE960">
        <f>IF([2]Baskol!$O$963="","",[2]Baskol!$O$963)</f>
        <v/>
      </c>
      <c r="AG960">
        <f>IF([3]Entry!$C$963="","",[3]Entry!$C$963)</f>
        <v/>
      </c>
      <c r="AH960">
        <f>IF([3]Entry!$D$963="","",[3]Entry!$D$963)</f>
        <v/>
      </c>
      <c r="AI960">
        <f>IF([3]Entry!$E$963="","",[3]Entry!$E$963)</f>
        <v/>
      </c>
      <c r="AJ960">
        <f>IF([3]Entry!$G$963="","",[3]Entry!$G$963)</f>
        <v/>
      </c>
      <c r="AK960">
        <f>IF([3]Entry!$K$963="","",[3]Entry!$K$963)</f>
        <v/>
      </c>
      <c r="AL960">
        <f>IF([3]Entry!$L$963="","",[3]Entry!$L$963)</f>
        <v/>
      </c>
      <c r="AM960">
        <f>IF([3]Entry!$M$963="","",[3]Entry!$M$963)</f>
        <v/>
      </c>
      <c r="AN960">
        <f>IF([3]Entry!$N$963="","",[3]Entry!$N$963)</f>
        <v/>
      </c>
      <c r="AO960">
        <f>IF([3]Entry!$R$963="","",[3]Entry!$R$963)</f>
        <v/>
      </c>
    </row>
    <row r="961">
      <c r="U961">
        <f>IF([2]Baskol!$B$964="","",[2]Baskol!$B$964)</f>
        <v/>
      </c>
      <c r="V961">
        <f>IF([2]Baskol!$C$964="","",[2]Baskol!$C$964)</f>
        <v/>
      </c>
      <c r="W961">
        <f>IF([2]Baskol!$D$964="","",[2]Baskol!$D$964)</f>
        <v/>
      </c>
      <c r="X961">
        <f>IF([2]Baskol!$E$964="","",[2]Baskol!$E$964)</f>
        <v/>
      </c>
      <c r="Y961">
        <f>IF([2]Baskol!$G$964="","",[2]Baskol!$G$964)</f>
        <v/>
      </c>
      <c r="Z961">
        <f>IF([2]Baskol!$I$964="","",[2]Baskol!$I$964)</f>
        <v/>
      </c>
      <c r="AA961">
        <f>IF([2]Baskol!$J$964="","",[2]Baskol!$J$964)</f>
        <v/>
      </c>
      <c r="AB961">
        <f>IF([2]Baskol!$K$964="","",[2]Baskol!$K$964)</f>
        <v/>
      </c>
      <c r="AC961">
        <f>IF([2]Baskol!$L$964="","",[2]Baskol!$L$964)</f>
        <v/>
      </c>
      <c r="AD961">
        <f>IF([2]Baskol!$N$964="","",[2]Baskol!$N$964)</f>
        <v/>
      </c>
      <c r="AE961">
        <f>IF([2]Baskol!$O$964="","",[2]Baskol!$O$964)</f>
        <v/>
      </c>
      <c r="AG961">
        <f>IF([3]Entry!$C$964="","",[3]Entry!$C$964)</f>
        <v/>
      </c>
      <c r="AH961">
        <f>IF([3]Entry!$D$964="","",[3]Entry!$D$964)</f>
        <v/>
      </c>
      <c r="AI961">
        <f>IF([3]Entry!$E$964="","",[3]Entry!$E$964)</f>
        <v/>
      </c>
      <c r="AJ961">
        <f>IF([3]Entry!$G$964="","",[3]Entry!$G$964)</f>
        <v/>
      </c>
      <c r="AK961">
        <f>IF([3]Entry!$K$964="","",[3]Entry!$K$964)</f>
        <v/>
      </c>
      <c r="AL961">
        <f>IF([3]Entry!$L$964="","",[3]Entry!$L$964)</f>
        <v/>
      </c>
      <c r="AM961">
        <f>IF([3]Entry!$M$964="","",[3]Entry!$M$964)</f>
        <v/>
      </c>
      <c r="AN961">
        <f>IF([3]Entry!$N$964="","",[3]Entry!$N$964)</f>
        <v/>
      </c>
      <c r="AO961">
        <f>IF([3]Entry!$R$964="","",[3]Entry!$R$964)</f>
        <v/>
      </c>
    </row>
    <row r="962">
      <c r="U962">
        <f>IF([2]Baskol!$B$965="","",[2]Baskol!$B$965)</f>
        <v/>
      </c>
      <c r="V962">
        <f>IF([2]Baskol!$C$965="","",[2]Baskol!$C$965)</f>
        <v/>
      </c>
      <c r="W962">
        <f>IF([2]Baskol!$D$965="","",[2]Baskol!$D$965)</f>
        <v/>
      </c>
      <c r="X962">
        <f>IF([2]Baskol!$E$965="","",[2]Baskol!$E$965)</f>
        <v/>
      </c>
      <c r="Y962">
        <f>IF([2]Baskol!$G$965="","",[2]Baskol!$G$965)</f>
        <v/>
      </c>
      <c r="Z962">
        <f>IF([2]Baskol!$I$965="","",[2]Baskol!$I$965)</f>
        <v/>
      </c>
      <c r="AA962">
        <f>IF([2]Baskol!$J$965="","",[2]Baskol!$J$965)</f>
        <v/>
      </c>
      <c r="AB962">
        <f>IF([2]Baskol!$K$965="","",[2]Baskol!$K$965)</f>
        <v/>
      </c>
      <c r="AC962">
        <f>IF([2]Baskol!$L$965="","",[2]Baskol!$L$965)</f>
        <v/>
      </c>
      <c r="AD962">
        <f>IF([2]Baskol!$N$965="","",[2]Baskol!$N$965)</f>
        <v/>
      </c>
      <c r="AE962">
        <f>IF([2]Baskol!$O$965="","",[2]Baskol!$O$965)</f>
        <v/>
      </c>
      <c r="AG962">
        <f>IF([3]Entry!$C$965="","",[3]Entry!$C$965)</f>
        <v/>
      </c>
      <c r="AH962">
        <f>IF([3]Entry!$D$965="","",[3]Entry!$D$965)</f>
        <v/>
      </c>
      <c r="AI962">
        <f>IF([3]Entry!$E$965="","",[3]Entry!$E$965)</f>
        <v/>
      </c>
      <c r="AJ962">
        <f>IF([3]Entry!$G$965="","",[3]Entry!$G$965)</f>
        <v/>
      </c>
      <c r="AK962">
        <f>IF([3]Entry!$K$965="","",[3]Entry!$K$965)</f>
        <v/>
      </c>
      <c r="AL962">
        <f>IF([3]Entry!$L$965="","",[3]Entry!$L$965)</f>
        <v/>
      </c>
      <c r="AM962">
        <f>IF([3]Entry!$M$965="","",[3]Entry!$M$965)</f>
        <v/>
      </c>
      <c r="AN962">
        <f>IF([3]Entry!$N$965="","",[3]Entry!$N$965)</f>
        <v/>
      </c>
      <c r="AO962">
        <f>IF([3]Entry!$R$965="","",[3]Entry!$R$965)</f>
        <v/>
      </c>
    </row>
    <row r="963">
      <c r="U963">
        <f>IF([2]Baskol!$B$966="","",[2]Baskol!$B$966)</f>
        <v/>
      </c>
      <c r="V963">
        <f>IF([2]Baskol!$C$966="","",[2]Baskol!$C$966)</f>
        <v/>
      </c>
      <c r="W963">
        <f>IF([2]Baskol!$D$966="","",[2]Baskol!$D$966)</f>
        <v/>
      </c>
      <c r="X963">
        <f>IF([2]Baskol!$E$966="","",[2]Baskol!$E$966)</f>
        <v/>
      </c>
      <c r="Y963">
        <f>IF([2]Baskol!$G$966="","",[2]Baskol!$G$966)</f>
        <v/>
      </c>
      <c r="Z963">
        <f>IF([2]Baskol!$I$966="","",[2]Baskol!$I$966)</f>
        <v/>
      </c>
      <c r="AA963">
        <f>IF([2]Baskol!$J$966="","",[2]Baskol!$J$966)</f>
        <v/>
      </c>
      <c r="AB963">
        <f>IF([2]Baskol!$K$966="","",[2]Baskol!$K$966)</f>
        <v/>
      </c>
      <c r="AC963">
        <f>IF([2]Baskol!$L$966="","",[2]Baskol!$L$966)</f>
        <v/>
      </c>
      <c r="AD963">
        <f>IF([2]Baskol!$N$966="","",[2]Baskol!$N$966)</f>
        <v/>
      </c>
      <c r="AE963">
        <f>IF([2]Baskol!$O$966="","",[2]Baskol!$O$966)</f>
        <v/>
      </c>
      <c r="AG963">
        <f>IF([3]Entry!$C$966="","",[3]Entry!$C$966)</f>
        <v/>
      </c>
      <c r="AH963">
        <f>IF([3]Entry!$D$966="","",[3]Entry!$D$966)</f>
        <v/>
      </c>
      <c r="AI963">
        <f>IF([3]Entry!$E$966="","",[3]Entry!$E$966)</f>
        <v/>
      </c>
      <c r="AJ963">
        <f>IF([3]Entry!$G$966="","",[3]Entry!$G$966)</f>
        <v/>
      </c>
      <c r="AK963">
        <f>IF([3]Entry!$K$966="","",[3]Entry!$K$966)</f>
        <v/>
      </c>
      <c r="AL963">
        <f>IF([3]Entry!$L$966="","",[3]Entry!$L$966)</f>
        <v/>
      </c>
      <c r="AM963">
        <f>IF([3]Entry!$M$966="","",[3]Entry!$M$966)</f>
        <v/>
      </c>
      <c r="AN963">
        <f>IF([3]Entry!$N$966="","",[3]Entry!$N$966)</f>
        <v/>
      </c>
      <c r="AO963">
        <f>IF([3]Entry!$R$966="","",[3]Entry!$R$966)</f>
        <v/>
      </c>
    </row>
    <row r="964">
      <c r="U964">
        <f>IF([2]Baskol!$B$967="","",[2]Baskol!$B$967)</f>
        <v/>
      </c>
      <c r="V964">
        <f>IF([2]Baskol!$C$967="","",[2]Baskol!$C$967)</f>
        <v/>
      </c>
      <c r="W964">
        <f>IF([2]Baskol!$D$967="","",[2]Baskol!$D$967)</f>
        <v/>
      </c>
      <c r="X964">
        <f>IF([2]Baskol!$E$967="","",[2]Baskol!$E$967)</f>
        <v/>
      </c>
      <c r="Y964">
        <f>IF([2]Baskol!$G$967="","",[2]Baskol!$G$967)</f>
        <v/>
      </c>
      <c r="Z964">
        <f>IF([2]Baskol!$I$967="","",[2]Baskol!$I$967)</f>
        <v/>
      </c>
      <c r="AA964">
        <f>IF([2]Baskol!$J$967="","",[2]Baskol!$J$967)</f>
        <v/>
      </c>
      <c r="AB964">
        <f>IF([2]Baskol!$K$967="","",[2]Baskol!$K$967)</f>
        <v/>
      </c>
      <c r="AC964">
        <f>IF([2]Baskol!$L$967="","",[2]Baskol!$L$967)</f>
        <v/>
      </c>
      <c r="AD964">
        <f>IF([2]Baskol!$N$967="","",[2]Baskol!$N$967)</f>
        <v/>
      </c>
      <c r="AE964">
        <f>IF([2]Baskol!$O$967="","",[2]Baskol!$O$967)</f>
        <v/>
      </c>
      <c r="AG964">
        <f>IF([3]Entry!$C$967="","",[3]Entry!$C$967)</f>
        <v/>
      </c>
      <c r="AH964">
        <f>IF([3]Entry!$D$967="","",[3]Entry!$D$967)</f>
        <v/>
      </c>
      <c r="AI964">
        <f>IF([3]Entry!$E$967="","",[3]Entry!$E$967)</f>
        <v/>
      </c>
      <c r="AJ964">
        <f>IF([3]Entry!$G$967="","",[3]Entry!$G$967)</f>
        <v/>
      </c>
      <c r="AK964">
        <f>IF([3]Entry!$K$967="","",[3]Entry!$K$967)</f>
        <v/>
      </c>
      <c r="AL964">
        <f>IF([3]Entry!$L$967="","",[3]Entry!$L$967)</f>
        <v/>
      </c>
      <c r="AM964">
        <f>IF([3]Entry!$M$967="","",[3]Entry!$M$967)</f>
        <v/>
      </c>
      <c r="AN964">
        <f>IF([3]Entry!$N$967="","",[3]Entry!$N$967)</f>
        <v/>
      </c>
      <c r="AO964">
        <f>IF([3]Entry!$R$967="","",[3]Entry!$R$967)</f>
        <v/>
      </c>
    </row>
    <row r="965">
      <c r="U965">
        <f>IF([2]Baskol!$B$968="","",[2]Baskol!$B$968)</f>
        <v/>
      </c>
      <c r="V965">
        <f>IF([2]Baskol!$C$968="","",[2]Baskol!$C$968)</f>
        <v/>
      </c>
      <c r="W965">
        <f>IF([2]Baskol!$D$968="","",[2]Baskol!$D$968)</f>
        <v/>
      </c>
      <c r="X965">
        <f>IF([2]Baskol!$E$968="","",[2]Baskol!$E$968)</f>
        <v/>
      </c>
      <c r="Y965">
        <f>IF([2]Baskol!$G$968="","",[2]Baskol!$G$968)</f>
        <v/>
      </c>
      <c r="Z965">
        <f>IF([2]Baskol!$I$968="","",[2]Baskol!$I$968)</f>
        <v/>
      </c>
      <c r="AA965">
        <f>IF([2]Baskol!$J$968="","",[2]Baskol!$J$968)</f>
        <v/>
      </c>
      <c r="AB965">
        <f>IF([2]Baskol!$K$968="","",[2]Baskol!$K$968)</f>
        <v/>
      </c>
      <c r="AC965">
        <f>IF([2]Baskol!$L$968="","",[2]Baskol!$L$968)</f>
        <v/>
      </c>
      <c r="AD965">
        <f>IF([2]Baskol!$N$968="","",[2]Baskol!$N$968)</f>
        <v/>
      </c>
      <c r="AE965">
        <f>IF([2]Baskol!$O$968="","",[2]Baskol!$O$968)</f>
        <v/>
      </c>
      <c r="AG965">
        <f>IF([3]Entry!$C$968="","",[3]Entry!$C$968)</f>
        <v/>
      </c>
      <c r="AH965">
        <f>IF([3]Entry!$D$968="","",[3]Entry!$D$968)</f>
        <v/>
      </c>
      <c r="AI965">
        <f>IF([3]Entry!$E$968="","",[3]Entry!$E$968)</f>
        <v/>
      </c>
      <c r="AJ965">
        <f>IF([3]Entry!$G$968="","",[3]Entry!$G$968)</f>
        <v/>
      </c>
      <c r="AK965">
        <f>IF([3]Entry!$K$968="","",[3]Entry!$K$968)</f>
        <v/>
      </c>
      <c r="AL965">
        <f>IF([3]Entry!$L$968="","",[3]Entry!$L$968)</f>
        <v/>
      </c>
      <c r="AM965">
        <f>IF([3]Entry!$M$968="","",[3]Entry!$M$968)</f>
        <v/>
      </c>
      <c r="AN965">
        <f>IF([3]Entry!$N$968="","",[3]Entry!$N$968)</f>
        <v/>
      </c>
      <c r="AO965">
        <f>IF([3]Entry!$R$968="","",[3]Entry!$R$968)</f>
        <v/>
      </c>
    </row>
    <row r="966">
      <c r="U966">
        <f>IF([2]Baskol!$B$969="","",[2]Baskol!$B$969)</f>
        <v/>
      </c>
      <c r="V966">
        <f>IF([2]Baskol!$C$969="","",[2]Baskol!$C$969)</f>
        <v/>
      </c>
      <c r="W966">
        <f>IF([2]Baskol!$D$969="","",[2]Baskol!$D$969)</f>
        <v/>
      </c>
      <c r="X966">
        <f>IF([2]Baskol!$E$969="","",[2]Baskol!$E$969)</f>
        <v/>
      </c>
      <c r="Y966">
        <f>IF([2]Baskol!$G$969="","",[2]Baskol!$G$969)</f>
        <v/>
      </c>
      <c r="Z966">
        <f>IF([2]Baskol!$I$969="","",[2]Baskol!$I$969)</f>
        <v/>
      </c>
      <c r="AA966">
        <f>IF([2]Baskol!$J$969="","",[2]Baskol!$J$969)</f>
        <v/>
      </c>
      <c r="AB966">
        <f>IF([2]Baskol!$K$969="","",[2]Baskol!$K$969)</f>
        <v/>
      </c>
      <c r="AC966">
        <f>IF([2]Baskol!$L$969="","",[2]Baskol!$L$969)</f>
        <v/>
      </c>
      <c r="AD966">
        <f>IF([2]Baskol!$N$969="","",[2]Baskol!$N$969)</f>
        <v/>
      </c>
      <c r="AE966">
        <f>IF([2]Baskol!$O$969="","",[2]Baskol!$O$969)</f>
        <v/>
      </c>
      <c r="AG966">
        <f>IF([3]Entry!$C$969="","",[3]Entry!$C$969)</f>
        <v/>
      </c>
      <c r="AH966">
        <f>IF([3]Entry!$D$969="","",[3]Entry!$D$969)</f>
        <v/>
      </c>
      <c r="AI966">
        <f>IF([3]Entry!$E$969="","",[3]Entry!$E$969)</f>
        <v/>
      </c>
      <c r="AJ966">
        <f>IF([3]Entry!$G$969="","",[3]Entry!$G$969)</f>
        <v/>
      </c>
      <c r="AK966">
        <f>IF([3]Entry!$K$969="","",[3]Entry!$K$969)</f>
        <v/>
      </c>
      <c r="AL966">
        <f>IF([3]Entry!$L$969="","",[3]Entry!$L$969)</f>
        <v/>
      </c>
      <c r="AM966">
        <f>IF([3]Entry!$M$969="","",[3]Entry!$M$969)</f>
        <v/>
      </c>
      <c r="AN966">
        <f>IF([3]Entry!$N$969="","",[3]Entry!$N$969)</f>
        <v/>
      </c>
      <c r="AO966">
        <f>IF([3]Entry!$R$969="","",[3]Entry!$R$969)</f>
        <v/>
      </c>
    </row>
    <row r="967">
      <c r="U967">
        <f>IF([2]Baskol!$B$970="","",[2]Baskol!$B$970)</f>
        <v/>
      </c>
      <c r="V967">
        <f>IF([2]Baskol!$C$970="","",[2]Baskol!$C$970)</f>
        <v/>
      </c>
      <c r="W967">
        <f>IF([2]Baskol!$D$970="","",[2]Baskol!$D$970)</f>
        <v/>
      </c>
      <c r="X967">
        <f>IF([2]Baskol!$E$970="","",[2]Baskol!$E$970)</f>
        <v/>
      </c>
      <c r="Y967">
        <f>IF([2]Baskol!$G$970="","",[2]Baskol!$G$970)</f>
        <v/>
      </c>
      <c r="Z967">
        <f>IF([2]Baskol!$I$970="","",[2]Baskol!$I$970)</f>
        <v/>
      </c>
      <c r="AA967">
        <f>IF([2]Baskol!$J$970="","",[2]Baskol!$J$970)</f>
        <v/>
      </c>
      <c r="AB967">
        <f>IF([2]Baskol!$K$970="","",[2]Baskol!$K$970)</f>
        <v/>
      </c>
      <c r="AC967">
        <f>IF([2]Baskol!$L$970="","",[2]Baskol!$L$970)</f>
        <v/>
      </c>
      <c r="AD967">
        <f>IF([2]Baskol!$N$970="","",[2]Baskol!$N$970)</f>
        <v/>
      </c>
      <c r="AE967">
        <f>IF([2]Baskol!$O$970="","",[2]Baskol!$O$970)</f>
        <v/>
      </c>
      <c r="AG967">
        <f>IF([3]Entry!$C$970="","",[3]Entry!$C$970)</f>
        <v/>
      </c>
      <c r="AH967">
        <f>IF([3]Entry!$D$970="","",[3]Entry!$D$970)</f>
        <v/>
      </c>
      <c r="AI967">
        <f>IF([3]Entry!$E$970="","",[3]Entry!$E$970)</f>
        <v/>
      </c>
      <c r="AJ967">
        <f>IF([3]Entry!$G$970="","",[3]Entry!$G$970)</f>
        <v/>
      </c>
      <c r="AK967">
        <f>IF([3]Entry!$K$970="","",[3]Entry!$K$970)</f>
        <v/>
      </c>
      <c r="AL967">
        <f>IF([3]Entry!$L$970="","",[3]Entry!$L$970)</f>
        <v/>
      </c>
      <c r="AM967">
        <f>IF([3]Entry!$M$970="","",[3]Entry!$M$970)</f>
        <v/>
      </c>
      <c r="AN967">
        <f>IF([3]Entry!$N$970="","",[3]Entry!$N$970)</f>
        <v/>
      </c>
      <c r="AO967">
        <f>IF([3]Entry!$R$970="","",[3]Entry!$R$970)</f>
        <v/>
      </c>
    </row>
    <row r="968">
      <c r="U968">
        <f>IF([2]Baskol!$B$971="","",[2]Baskol!$B$971)</f>
        <v/>
      </c>
      <c r="V968">
        <f>IF([2]Baskol!$C$971="","",[2]Baskol!$C$971)</f>
        <v/>
      </c>
      <c r="W968">
        <f>IF([2]Baskol!$D$971="","",[2]Baskol!$D$971)</f>
        <v/>
      </c>
      <c r="X968">
        <f>IF([2]Baskol!$E$971="","",[2]Baskol!$E$971)</f>
        <v/>
      </c>
      <c r="Y968">
        <f>IF([2]Baskol!$G$971="","",[2]Baskol!$G$971)</f>
        <v/>
      </c>
      <c r="Z968">
        <f>IF([2]Baskol!$I$971="","",[2]Baskol!$I$971)</f>
        <v/>
      </c>
      <c r="AA968">
        <f>IF([2]Baskol!$J$971="","",[2]Baskol!$J$971)</f>
        <v/>
      </c>
      <c r="AB968">
        <f>IF([2]Baskol!$K$971="","",[2]Baskol!$K$971)</f>
        <v/>
      </c>
      <c r="AC968">
        <f>IF([2]Baskol!$L$971="","",[2]Baskol!$L$971)</f>
        <v/>
      </c>
      <c r="AD968">
        <f>IF([2]Baskol!$N$971="","",[2]Baskol!$N$971)</f>
        <v/>
      </c>
      <c r="AE968">
        <f>IF([2]Baskol!$O$971="","",[2]Baskol!$O$971)</f>
        <v/>
      </c>
      <c r="AG968">
        <f>IF([3]Entry!$C$971="","",[3]Entry!$C$971)</f>
        <v/>
      </c>
      <c r="AH968">
        <f>IF([3]Entry!$D$971="","",[3]Entry!$D$971)</f>
        <v/>
      </c>
      <c r="AI968">
        <f>IF([3]Entry!$E$971="","",[3]Entry!$E$971)</f>
        <v/>
      </c>
      <c r="AJ968">
        <f>IF([3]Entry!$G$971="","",[3]Entry!$G$971)</f>
        <v/>
      </c>
      <c r="AK968">
        <f>IF([3]Entry!$K$971="","",[3]Entry!$K$971)</f>
        <v/>
      </c>
      <c r="AL968">
        <f>IF([3]Entry!$L$971="","",[3]Entry!$L$971)</f>
        <v/>
      </c>
      <c r="AM968">
        <f>IF([3]Entry!$M$971="","",[3]Entry!$M$971)</f>
        <v/>
      </c>
      <c r="AN968">
        <f>IF([3]Entry!$N$971="","",[3]Entry!$N$971)</f>
        <v/>
      </c>
      <c r="AO968">
        <f>IF([3]Entry!$R$971="","",[3]Entry!$R$971)</f>
        <v/>
      </c>
    </row>
    <row r="969">
      <c r="U969">
        <f>IF([2]Baskol!$B$972="","",[2]Baskol!$B$972)</f>
        <v/>
      </c>
      <c r="V969">
        <f>IF([2]Baskol!$C$972="","",[2]Baskol!$C$972)</f>
        <v/>
      </c>
      <c r="W969">
        <f>IF([2]Baskol!$D$972="","",[2]Baskol!$D$972)</f>
        <v/>
      </c>
      <c r="X969">
        <f>IF([2]Baskol!$E$972="","",[2]Baskol!$E$972)</f>
        <v/>
      </c>
      <c r="Y969">
        <f>IF([2]Baskol!$G$972="","",[2]Baskol!$G$972)</f>
        <v/>
      </c>
      <c r="Z969">
        <f>IF([2]Baskol!$I$972="","",[2]Baskol!$I$972)</f>
        <v/>
      </c>
      <c r="AA969">
        <f>IF([2]Baskol!$J$972="","",[2]Baskol!$J$972)</f>
        <v/>
      </c>
      <c r="AB969">
        <f>IF([2]Baskol!$K$972="","",[2]Baskol!$K$972)</f>
        <v/>
      </c>
      <c r="AC969">
        <f>IF([2]Baskol!$L$972="","",[2]Baskol!$L$972)</f>
        <v/>
      </c>
      <c r="AD969">
        <f>IF([2]Baskol!$N$972="","",[2]Baskol!$N$972)</f>
        <v/>
      </c>
      <c r="AE969">
        <f>IF([2]Baskol!$O$972="","",[2]Baskol!$O$972)</f>
        <v/>
      </c>
      <c r="AG969">
        <f>IF([3]Entry!$C$972="","",[3]Entry!$C$972)</f>
        <v/>
      </c>
      <c r="AH969">
        <f>IF([3]Entry!$D$972="","",[3]Entry!$D$972)</f>
        <v/>
      </c>
      <c r="AI969">
        <f>IF([3]Entry!$E$972="","",[3]Entry!$E$972)</f>
        <v/>
      </c>
      <c r="AJ969">
        <f>IF([3]Entry!$G$972="","",[3]Entry!$G$972)</f>
        <v/>
      </c>
      <c r="AK969">
        <f>IF([3]Entry!$K$972="","",[3]Entry!$K$972)</f>
        <v/>
      </c>
      <c r="AL969">
        <f>IF([3]Entry!$L$972="","",[3]Entry!$L$972)</f>
        <v/>
      </c>
      <c r="AM969">
        <f>IF([3]Entry!$M$972="","",[3]Entry!$M$972)</f>
        <v/>
      </c>
      <c r="AN969">
        <f>IF([3]Entry!$N$972="","",[3]Entry!$N$972)</f>
        <v/>
      </c>
      <c r="AO969">
        <f>IF([3]Entry!$R$972="","",[3]Entry!$R$972)</f>
        <v/>
      </c>
    </row>
    <row r="970">
      <c r="U970">
        <f>IF([2]Baskol!$B$973="","",[2]Baskol!$B$973)</f>
        <v/>
      </c>
      <c r="V970">
        <f>IF([2]Baskol!$C$973="","",[2]Baskol!$C$973)</f>
        <v/>
      </c>
      <c r="W970">
        <f>IF([2]Baskol!$D$973="","",[2]Baskol!$D$973)</f>
        <v/>
      </c>
      <c r="X970">
        <f>IF([2]Baskol!$E$973="","",[2]Baskol!$E$973)</f>
        <v/>
      </c>
      <c r="Y970">
        <f>IF([2]Baskol!$G$973="","",[2]Baskol!$G$973)</f>
        <v/>
      </c>
      <c r="Z970">
        <f>IF([2]Baskol!$I$973="","",[2]Baskol!$I$973)</f>
        <v/>
      </c>
      <c r="AA970">
        <f>IF([2]Baskol!$J$973="","",[2]Baskol!$J$973)</f>
        <v/>
      </c>
      <c r="AB970">
        <f>IF([2]Baskol!$K$973="","",[2]Baskol!$K$973)</f>
        <v/>
      </c>
      <c r="AC970">
        <f>IF([2]Baskol!$L$973="","",[2]Baskol!$L$973)</f>
        <v/>
      </c>
      <c r="AD970">
        <f>IF([2]Baskol!$N$973="","",[2]Baskol!$N$973)</f>
        <v/>
      </c>
      <c r="AE970">
        <f>IF([2]Baskol!$O$973="","",[2]Baskol!$O$973)</f>
        <v/>
      </c>
      <c r="AG970">
        <f>IF([3]Entry!$C$973="","",[3]Entry!$C$973)</f>
        <v/>
      </c>
      <c r="AH970">
        <f>IF([3]Entry!$D$973="","",[3]Entry!$D$973)</f>
        <v/>
      </c>
      <c r="AI970">
        <f>IF([3]Entry!$E$973="","",[3]Entry!$E$973)</f>
        <v/>
      </c>
      <c r="AJ970">
        <f>IF([3]Entry!$G$973="","",[3]Entry!$G$973)</f>
        <v/>
      </c>
      <c r="AK970">
        <f>IF([3]Entry!$K$973="","",[3]Entry!$K$973)</f>
        <v/>
      </c>
      <c r="AL970">
        <f>IF([3]Entry!$L$973="","",[3]Entry!$L$973)</f>
        <v/>
      </c>
      <c r="AM970">
        <f>IF([3]Entry!$M$973="","",[3]Entry!$M$973)</f>
        <v/>
      </c>
      <c r="AN970">
        <f>IF([3]Entry!$N$973="","",[3]Entry!$N$973)</f>
        <v/>
      </c>
      <c r="AO970">
        <f>IF([3]Entry!$R$973="","",[3]Entry!$R$973)</f>
        <v/>
      </c>
    </row>
    <row r="971">
      <c r="U971">
        <f>IF([2]Baskol!$B$974="","",[2]Baskol!$B$974)</f>
        <v/>
      </c>
      <c r="V971">
        <f>IF([2]Baskol!$C$974="","",[2]Baskol!$C$974)</f>
        <v/>
      </c>
      <c r="W971">
        <f>IF([2]Baskol!$D$974="","",[2]Baskol!$D$974)</f>
        <v/>
      </c>
      <c r="X971">
        <f>IF([2]Baskol!$E$974="","",[2]Baskol!$E$974)</f>
        <v/>
      </c>
      <c r="Y971">
        <f>IF([2]Baskol!$G$974="","",[2]Baskol!$G$974)</f>
        <v/>
      </c>
      <c r="Z971">
        <f>IF([2]Baskol!$I$974="","",[2]Baskol!$I$974)</f>
        <v/>
      </c>
      <c r="AA971">
        <f>IF([2]Baskol!$J$974="","",[2]Baskol!$J$974)</f>
        <v/>
      </c>
      <c r="AB971">
        <f>IF([2]Baskol!$K$974="","",[2]Baskol!$K$974)</f>
        <v/>
      </c>
      <c r="AC971">
        <f>IF([2]Baskol!$L$974="","",[2]Baskol!$L$974)</f>
        <v/>
      </c>
      <c r="AD971">
        <f>IF([2]Baskol!$N$974="","",[2]Baskol!$N$974)</f>
        <v/>
      </c>
      <c r="AE971">
        <f>IF([2]Baskol!$O$974="","",[2]Baskol!$O$974)</f>
        <v/>
      </c>
      <c r="AG971">
        <f>IF([3]Entry!$C$974="","",[3]Entry!$C$974)</f>
        <v/>
      </c>
      <c r="AH971">
        <f>IF([3]Entry!$D$974="","",[3]Entry!$D$974)</f>
        <v/>
      </c>
      <c r="AI971">
        <f>IF([3]Entry!$E$974="","",[3]Entry!$E$974)</f>
        <v/>
      </c>
      <c r="AJ971">
        <f>IF([3]Entry!$G$974="","",[3]Entry!$G$974)</f>
        <v/>
      </c>
      <c r="AK971">
        <f>IF([3]Entry!$K$974="","",[3]Entry!$K$974)</f>
        <v/>
      </c>
      <c r="AL971">
        <f>IF([3]Entry!$L$974="","",[3]Entry!$L$974)</f>
        <v/>
      </c>
      <c r="AM971">
        <f>IF([3]Entry!$M$974="","",[3]Entry!$M$974)</f>
        <v/>
      </c>
      <c r="AN971">
        <f>IF([3]Entry!$N$974="","",[3]Entry!$N$974)</f>
        <v/>
      </c>
      <c r="AO971">
        <f>IF([3]Entry!$R$974="","",[3]Entry!$R$974)</f>
        <v/>
      </c>
    </row>
    <row r="972">
      <c r="U972">
        <f>IF([2]Baskol!$B$975="","",[2]Baskol!$B$975)</f>
        <v/>
      </c>
      <c r="V972">
        <f>IF([2]Baskol!$C$975="","",[2]Baskol!$C$975)</f>
        <v/>
      </c>
      <c r="W972">
        <f>IF([2]Baskol!$D$975="","",[2]Baskol!$D$975)</f>
        <v/>
      </c>
      <c r="X972">
        <f>IF([2]Baskol!$E$975="","",[2]Baskol!$E$975)</f>
        <v/>
      </c>
      <c r="Y972">
        <f>IF([2]Baskol!$G$975="","",[2]Baskol!$G$975)</f>
        <v/>
      </c>
      <c r="Z972">
        <f>IF([2]Baskol!$I$975="","",[2]Baskol!$I$975)</f>
        <v/>
      </c>
      <c r="AA972">
        <f>IF([2]Baskol!$J$975="","",[2]Baskol!$J$975)</f>
        <v/>
      </c>
      <c r="AB972">
        <f>IF([2]Baskol!$K$975="","",[2]Baskol!$K$975)</f>
        <v/>
      </c>
      <c r="AC972">
        <f>IF([2]Baskol!$L$975="","",[2]Baskol!$L$975)</f>
        <v/>
      </c>
      <c r="AD972">
        <f>IF([2]Baskol!$N$975="","",[2]Baskol!$N$975)</f>
        <v/>
      </c>
      <c r="AE972">
        <f>IF([2]Baskol!$O$975="","",[2]Baskol!$O$975)</f>
        <v/>
      </c>
      <c r="AG972">
        <f>IF([3]Entry!$C$975="","",[3]Entry!$C$975)</f>
        <v/>
      </c>
      <c r="AH972">
        <f>IF([3]Entry!$D$975="","",[3]Entry!$D$975)</f>
        <v/>
      </c>
      <c r="AI972">
        <f>IF([3]Entry!$E$975="","",[3]Entry!$E$975)</f>
        <v/>
      </c>
      <c r="AJ972">
        <f>IF([3]Entry!$G$975="","",[3]Entry!$G$975)</f>
        <v/>
      </c>
      <c r="AK972">
        <f>IF([3]Entry!$K$975="","",[3]Entry!$K$975)</f>
        <v/>
      </c>
      <c r="AL972">
        <f>IF([3]Entry!$L$975="","",[3]Entry!$L$975)</f>
        <v/>
      </c>
      <c r="AM972">
        <f>IF([3]Entry!$M$975="","",[3]Entry!$M$975)</f>
        <v/>
      </c>
      <c r="AN972">
        <f>IF([3]Entry!$N$975="","",[3]Entry!$N$975)</f>
        <v/>
      </c>
      <c r="AO972">
        <f>IF([3]Entry!$R$975="","",[3]Entry!$R$975)</f>
        <v/>
      </c>
    </row>
    <row r="973">
      <c r="U973">
        <f>IF([2]Baskol!$B$976="","",[2]Baskol!$B$976)</f>
        <v/>
      </c>
      <c r="V973">
        <f>IF([2]Baskol!$C$976="","",[2]Baskol!$C$976)</f>
        <v/>
      </c>
      <c r="W973">
        <f>IF([2]Baskol!$D$976="","",[2]Baskol!$D$976)</f>
        <v/>
      </c>
      <c r="X973">
        <f>IF([2]Baskol!$E$976="","",[2]Baskol!$E$976)</f>
        <v/>
      </c>
      <c r="Y973">
        <f>IF([2]Baskol!$G$976="","",[2]Baskol!$G$976)</f>
        <v/>
      </c>
      <c r="Z973">
        <f>IF([2]Baskol!$I$976="","",[2]Baskol!$I$976)</f>
        <v/>
      </c>
      <c r="AA973">
        <f>IF([2]Baskol!$J$976="","",[2]Baskol!$J$976)</f>
        <v/>
      </c>
      <c r="AB973">
        <f>IF([2]Baskol!$K$976="","",[2]Baskol!$K$976)</f>
        <v/>
      </c>
      <c r="AC973">
        <f>IF([2]Baskol!$L$976="","",[2]Baskol!$L$976)</f>
        <v/>
      </c>
      <c r="AD973">
        <f>IF([2]Baskol!$N$976="","",[2]Baskol!$N$976)</f>
        <v/>
      </c>
      <c r="AE973">
        <f>IF([2]Baskol!$O$976="","",[2]Baskol!$O$976)</f>
        <v/>
      </c>
      <c r="AG973">
        <f>IF([3]Entry!$C$976="","",[3]Entry!$C$976)</f>
        <v/>
      </c>
      <c r="AH973">
        <f>IF([3]Entry!$D$976="","",[3]Entry!$D$976)</f>
        <v/>
      </c>
      <c r="AI973">
        <f>IF([3]Entry!$E$976="","",[3]Entry!$E$976)</f>
        <v/>
      </c>
      <c r="AJ973">
        <f>IF([3]Entry!$G$976="","",[3]Entry!$G$976)</f>
        <v/>
      </c>
      <c r="AK973">
        <f>IF([3]Entry!$K$976="","",[3]Entry!$K$976)</f>
        <v/>
      </c>
      <c r="AL973">
        <f>IF([3]Entry!$L$976="","",[3]Entry!$L$976)</f>
        <v/>
      </c>
      <c r="AM973">
        <f>IF([3]Entry!$M$976="","",[3]Entry!$M$976)</f>
        <v/>
      </c>
      <c r="AN973">
        <f>IF([3]Entry!$N$976="","",[3]Entry!$N$976)</f>
        <v/>
      </c>
      <c r="AO973">
        <f>IF([3]Entry!$R$976="","",[3]Entry!$R$976)</f>
        <v/>
      </c>
    </row>
    <row r="974">
      <c r="U974">
        <f>IF([2]Baskol!$B$977="","",[2]Baskol!$B$977)</f>
        <v/>
      </c>
      <c r="V974">
        <f>IF([2]Baskol!$C$977="","",[2]Baskol!$C$977)</f>
        <v/>
      </c>
      <c r="W974">
        <f>IF([2]Baskol!$D$977="","",[2]Baskol!$D$977)</f>
        <v/>
      </c>
      <c r="X974">
        <f>IF([2]Baskol!$E$977="","",[2]Baskol!$E$977)</f>
        <v/>
      </c>
      <c r="Y974">
        <f>IF([2]Baskol!$G$977="","",[2]Baskol!$G$977)</f>
        <v/>
      </c>
      <c r="Z974">
        <f>IF([2]Baskol!$I$977="","",[2]Baskol!$I$977)</f>
        <v/>
      </c>
      <c r="AA974">
        <f>IF([2]Baskol!$J$977="","",[2]Baskol!$J$977)</f>
        <v/>
      </c>
      <c r="AB974">
        <f>IF([2]Baskol!$K$977="","",[2]Baskol!$K$977)</f>
        <v/>
      </c>
      <c r="AC974">
        <f>IF([2]Baskol!$L$977="","",[2]Baskol!$L$977)</f>
        <v/>
      </c>
      <c r="AD974">
        <f>IF([2]Baskol!$N$977="","",[2]Baskol!$N$977)</f>
        <v/>
      </c>
      <c r="AE974">
        <f>IF([2]Baskol!$O$977="","",[2]Baskol!$O$977)</f>
        <v/>
      </c>
      <c r="AG974">
        <f>IF([3]Entry!$C$977="","",[3]Entry!$C$977)</f>
        <v/>
      </c>
      <c r="AH974">
        <f>IF([3]Entry!$D$977="","",[3]Entry!$D$977)</f>
        <v/>
      </c>
      <c r="AI974">
        <f>IF([3]Entry!$E$977="","",[3]Entry!$E$977)</f>
        <v/>
      </c>
      <c r="AJ974">
        <f>IF([3]Entry!$G$977="","",[3]Entry!$G$977)</f>
        <v/>
      </c>
      <c r="AK974">
        <f>IF([3]Entry!$K$977="","",[3]Entry!$K$977)</f>
        <v/>
      </c>
      <c r="AL974">
        <f>IF([3]Entry!$L$977="","",[3]Entry!$L$977)</f>
        <v/>
      </c>
      <c r="AM974">
        <f>IF([3]Entry!$M$977="","",[3]Entry!$M$977)</f>
        <v/>
      </c>
      <c r="AN974">
        <f>IF([3]Entry!$N$977="","",[3]Entry!$N$977)</f>
        <v/>
      </c>
      <c r="AO974">
        <f>IF([3]Entry!$R$977="","",[3]Entry!$R$977)</f>
        <v/>
      </c>
    </row>
    <row r="975">
      <c r="U975">
        <f>IF([2]Baskol!$B$978="","",[2]Baskol!$B$978)</f>
        <v/>
      </c>
      <c r="V975">
        <f>IF([2]Baskol!$C$978="","",[2]Baskol!$C$978)</f>
        <v/>
      </c>
      <c r="W975">
        <f>IF([2]Baskol!$D$978="","",[2]Baskol!$D$978)</f>
        <v/>
      </c>
      <c r="X975">
        <f>IF([2]Baskol!$E$978="","",[2]Baskol!$E$978)</f>
        <v/>
      </c>
      <c r="Y975">
        <f>IF([2]Baskol!$G$978="","",[2]Baskol!$G$978)</f>
        <v/>
      </c>
      <c r="Z975">
        <f>IF([2]Baskol!$I$978="","",[2]Baskol!$I$978)</f>
        <v/>
      </c>
      <c r="AA975">
        <f>IF([2]Baskol!$J$978="","",[2]Baskol!$J$978)</f>
        <v/>
      </c>
      <c r="AB975">
        <f>IF([2]Baskol!$K$978="","",[2]Baskol!$K$978)</f>
        <v/>
      </c>
      <c r="AC975">
        <f>IF([2]Baskol!$L$978="","",[2]Baskol!$L$978)</f>
        <v/>
      </c>
      <c r="AD975">
        <f>IF([2]Baskol!$N$978="","",[2]Baskol!$N$978)</f>
        <v/>
      </c>
      <c r="AE975">
        <f>IF([2]Baskol!$O$978="","",[2]Baskol!$O$978)</f>
        <v/>
      </c>
      <c r="AG975">
        <f>IF([3]Entry!$C$978="","",[3]Entry!$C$978)</f>
        <v/>
      </c>
      <c r="AH975">
        <f>IF([3]Entry!$D$978="","",[3]Entry!$D$978)</f>
        <v/>
      </c>
      <c r="AI975">
        <f>IF([3]Entry!$E$978="","",[3]Entry!$E$978)</f>
        <v/>
      </c>
      <c r="AJ975">
        <f>IF([3]Entry!$G$978="","",[3]Entry!$G$978)</f>
        <v/>
      </c>
      <c r="AK975">
        <f>IF([3]Entry!$K$978="","",[3]Entry!$K$978)</f>
        <v/>
      </c>
      <c r="AL975">
        <f>IF([3]Entry!$L$978="","",[3]Entry!$L$978)</f>
        <v/>
      </c>
      <c r="AM975">
        <f>IF([3]Entry!$M$978="","",[3]Entry!$M$978)</f>
        <v/>
      </c>
      <c r="AN975">
        <f>IF([3]Entry!$N$978="","",[3]Entry!$N$978)</f>
        <v/>
      </c>
      <c r="AO975">
        <f>IF([3]Entry!$R$978="","",[3]Entry!$R$978)</f>
        <v/>
      </c>
    </row>
    <row r="976">
      <c r="U976">
        <f>IF([2]Baskol!$B$979="","",[2]Baskol!$B$979)</f>
        <v/>
      </c>
      <c r="V976">
        <f>IF([2]Baskol!$C$979="","",[2]Baskol!$C$979)</f>
        <v/>
      </c>
      <c r="W976">
        <f>IF([2]Baskol!$D$979="","",[2]Baskol!$D$979)</f>
        <v/>
      </c>
      <c r="X976">
        <f>IF([2]Baskol!$E$979="","",[2]Baskol!$E$979)</f>
        <v/>
      </c>
      <c r="Y976">
        <f>IF([2]Baskol!$G$979="","",[2]Baskol!$G$979)</f>
        <v/>
      </c>
      <c r="Z976">
        <f>IF([2]Baskol!$I$979="","",[2]Baskol!$I$979)</f>
        <v/>
      </c>
      <c r="AA976">
        <f>IF([2]Baskol!$J$979="","",[2]Baskol!$J$979)</f>
        <v/>
      </c>
      <c r="AB976">
        <f>IF([2]Baskol!$K$979="","",[2]Baskol!$K$979)</f>
        <v/>
      </c>
      <c r="AC976">
        <f>IF([2]Baskol!$L$979="","",[2]Baskol!$L$979)</f>
        <v/>
      </c>
      <c r="AD976">
        <f>IF([2]Baskol!$N$979="","",[2]Baskol!$N$979)</f>
        <v/>
      </c>
      <c r="AE976">
        <f>IF([2]Baskol!$O$979="","",[2]Baskol!$O$979)</f>
        <v/>
      </c>
      <c r="AG976">
        <f>IF([3]Entry!$C$979="","",[3]Entry!$C$979)</f>
        <v/>
      </c>
      <c r="AH976">
        <f>IF([3]Entry!$D$979="","",[3]Entry!$D$979)</f>
        <v/>
      </c>
      <c r="AI976">
        <f>IF([3]Entry!$E$979="","",[3]Entry!$E$979)</f>
        <v/>
      </c>
      <c r="AJ976">
        <f>IF([3]Entry!$G$979="","",[3]Entry!$G$979)</f>
        <v/>
      </c>
      <c r="AK976">
        <f>IF([3]Entry!$K$979="","",[3]Entry!$K$979)</f>
        <v/>
      </c>
      <c r="AL976">
        <f>IF([3]Entry!$L$979="","",[3]Entry!$L$979)</f>
        <v/>
      </c>
      <c r="AM976">
        <f>IF([3]Entry!$M$979="","",[3]Entry!$M$979)</f>
        <v/>
      </c>
      <c r="AN976">
        <f>IF([3]Entry!$N$979="","",[3]Entry!$N$979)</f>
        <v/>
      </c>
      <c r="AO976">
        <f>IF([3]Entry!$R$979="","",[3]Entry!$R$979)</f>
        <v/>
      </c>
    </row>
    <row r="977">
      <c r="U977">
        <f>IF([2]Baskol!$B$980="","",[2]Baskol!$B$980)</f>
        <v/>
      </c>
      <c r="V977">
        <f>IF([2]Baskol!$C$980="","",[2]Baskol!$C$980)</f>
        <v/>
      </c>
      <c r="W977">
        <f>IF([2]Baskol!$D$980="","",[2]Baskol!$D$980)</f>
        <v/>
      </c>
      <c r="X977">
        <f>IF([2]Baskol!$E$980="","",[2]Baskol!$E$980)</f>
        <v/>
      </c>
      <c r="Y977">
        <f>IF([2]Baskol!$G$980="","",[2]Baskol!$G$980)</f>
        <v/>
      </c>
      <c r="Z977">
        <f>IF([2]Baskol!$I$980="","",[2]Baskol!$I$980)</f>
        <v/>
      </c>
      <c r="AA977">
        <f>IF([2]Baskol!$J$980="","",[2]Baskol!$J$980)</f>
        <v/>
      </c>
      <c r="AB977">
        <f>IF([2]Baskol!$K$980="","",[2]Baskol!$K$980)</f>
        <v/>
      </c>
      <c r="AC977">
        <f>IF([2]Baskol!$L$980="","",[2]Baskol!$L$980)</f>
        <v/>
      </c>
      <c r="AD977">
        <f>IF([2]Baskol!$N$980="","",[2]Baskol!$N$980)</f>
        <v/>
      </c>
      <c r="AE977">
        <f>IF([2]Baskol!$O$980="","",[2]Baskol!$O$980)</f>
        <v/>
      </c>
      <c r="AG977">
        <f>IF([3]Entry!$C$980="","",[3]Entry!$C$980)</f>
        <v/>
      </c>
      <c r="AH977">
        <f>IF([3]Entry!$D$980="","",[3]Entry!$D$980)</f>
        <v/>
      </c>
      <c r="AI977">
        <f>IF([3]Entry!$E$980="","",[3]Entry!$E$980)</f>
        <v/>
      </c>
      <c r="AJ977">
        <f>IF([3]Entry!$G$980="","",[3]Entry!$G$980)</f>
        <v/>
      </c>
      <c r="AK977">
        <f>IF([3]Entry!$K$980="","",[3]Entry!$K$980)</f>
        <v/>
      </c>
      <c r="AL977">
        <f>IF([3]Entry!$L$980="","",[3]Entry!$L$980)</f>
        <v/>
      </c>
      <c r="AM977">
        <f>IF([3]Entry!$M$980="","",[3]Entry!$M$980)</f>
        <v/>
      </c>
      <c r="AN977">
        <f>IF([3]Entry!$N$980="","",[3]Entry!$N$980)</f>
        <v/>
      </c>
      <c r="AO977">
        <f>IF([3]Entry!$R$980="","",[3]Entry!$R$980)</f>
        <v/>
      </c>
    </row>
    <row r="978">
      <c r="U978">
        <f>IF([2]Baskol!$B$981="","",[2]Baskol!$B$981)</f>
        <v/>
      </c>
      <c r="V978">
        <f>IF([2]Baskol!$C$981="","",[2]Baskol!$C$981)</f>
        <v/>
      </c>
      <c r="W978">
        <f>IF([2]Baskol!$D$981="","",[2]Baskol!$D$981)</f>
        <v/>
      </c>
      <c r="X978">
        <f>IF([2]Baskol!$E$981="","",[2]Baskol!$E$981)</f>
        <v/>
      </c>
      <c r="Y978">
        <f>IF([2]Baskol!$G$981="","",[2]Baskol!$G$981)</f>
        <v/>
      </c>
      <c r="Z978">
        <f>IF([2]Baskol!$I$981="","",[2]Baskol!$I$981)</f>
        <v/>
      </c>
      <c r="AA978">
        <f>IF([2]Baskol!$J$981="","",[2]Baskol!$J$981)</f>
        <v/>
      </c>
      <c r="AB978">
        <f>IF([2]Baskol!$K$981="","",[2]Baskol!$K$981)</f>
        <v/>
      </c>
      <c r="AC978">
        <f>IF([2]Baskol!$L$981="","",[2]Baskol!$L$981)</f>
        <v/>
      </c>
      <c r="AD978">
        <f>IF([2]Baskol!$N$981="","",[2]Baskol!$N$981)</f>
        <v/>
      </c>
      <c r="AE978">
        <f>IF([2]Baskol!$O$981="","",[2]Baskol!$O$981)</f>
        <v/>
      </c>
      <c r="AG978">
        <f>IF([3]Entry!$C$981="","",[3]Entry!$C$981)</f>
        <v/>
      </c>
      <c r="AH978">
        <f>IF([3]Entry!$D$981="","",[3]Entry!$D$981)</f>
        <v/>
      </c>
      <c r="AI978">
        <f>IF([3]Entry!$E$981="","",[3]Entry!$E$981)</f>
        <v/>
      </c>
      <c r="AJ978">
        <f>IF([3]Entry!$G$981="","",[3]Entry!$G$981)</f>
        <v/>
      </c>
      <c r="AK978">
        <f>IF([3]Entry!$K$981="","",[3]Entry!$K$981)</f>
        <v/>
      </c>
      <c r="AL978">
        <f>IF([3]Entry!$L$981="","",[3]Entry!$L$981)</f>
        <v/>
      </c>
      <c r="AM978">
        <f>IF([3]Entry!$M$981="","",[3]Entry!$M$981)</f>
        <v/>
      </c>
      <c r="AN978">
        <f>IF([3]Entry!$N$981="","",[3]Entry!$N$981)</f>
        <v/>
      </c>
      <c r="AO978">
        <f>IF([3]Entry!$R$981="","",[3]Entry!$R$981)</f>
        <v/>
      </c>
    </row>
    <row r="979">
      <c r="U979">
        <f>IF([2]Baskol!$B$982="","",[2]Baskol!$B$982)</f>
        <v/>
      </c>
      <c r="V979">
        <f>IF([2]Baskol!$C$982="","",[2]Baskol!$C$982)</f>
        <v/>
      </c>
      <c r="W979">
        <f>IF([2]Baskol!$D$982="","",[2]Baskol!$D$982)</f>
        <v/>
      </c>
      <c r="X979">
        <f>IF([2]Baskol!$E$982="","",[2]Baskol!$E$982)</f>
        <v/>
      </c>
      <c r="Y979">
        <f>IF([2]Baskol!$G$982="","",[2]Baskol!$G$982)</f>
        <v/>
      </c>
      <c r="Z979">
        <f>IF([2]Baskol!$I$982="","",[2]Baskol!$I$982)</f>
        <v/>
      </c>
      <c r="AA979">
        <f>IF([2]Baskol!$J$982="","",[2]Baskol!$J$982)</f>
        <v/>
      </c>
      <c r="AB979">
        <f>IF([2]Baskol!$K$982="","",[2]Baskol!$K$982)</f>
        <v/>
      </c>
      <c r="AC979">
        <f>IF([2]Baskol!$L$982="","",[2]Baskol!$L$982)</f>
        <v/>
      </c>
      <c r="AD979">
        <f>IF([2]Baskol!$N$982="","",[2]Baskol!$N$982)</f>
        <v/>
      </c>
      <c r="AE979">
        <f>IF([2]Baskol!$O$982="","",[2]Baskol!$O$982)</f>
        <v/>
      </c>
      <c r="AG979">
        <f>IF([3]Entry!$C$982="","",[3]Entry!$C$982)</f>
        <v/>
      </c>
      <c r="AH979">
        <f>IF([3]Entry!$D$982="","",[3]Entry!$D$982)</f>
        <v/>
      </c>
      <c r="AI979">
        <f>IF([3]Entry!$E$982="","",[3]Entry!$E$982)</f>
        <v/>
      </c>
      <c r="AJ979">
        <f>IF([3]Entry!$G$982="","",[3]Entry!$G$982)</f>
        <v/>
      </c>
      <c r="AK979">
        <f>IF([3]Entry!$K$982="","",[3]Entry!$K$982)</f>
        <v/>
      </c>
      <c r="AL979">
        <f>IF([3]Entry!$L$982="","",[3]Entry!$L$982)</f>
        <v/>
      </c>
      <c r="AM979">
        <f>IF([3]Entry!$M$982="","",[3]Entry!$M$982)</f>
        <v/>
      </c>
      <c r="AN979">
        <f>IF([3]Entry!$N$982="","",[3]Entry!$N$982)</f>
        <v/>
      </c>
      <c r="AO979">
        <f>IF([3]Entry!$R$982="","",[3]Entry!$R$982)</f>
        <v/>
      </c>
    </row>
    <row r="980">
      <c r="U980">
        <f>IF([2]Baskol!$B$983="","",[2]Baskol!$B$983)</f>
        <v/>
      </c>
      <c r="V980">
        <f>IF([2]Baskol!$C$983="","",[2]Baskol!$C$983)</f>
        <v/>
      </c>
      <c r="W980">
        <f>IF([2]Baskol!$D$983="","",[2]Baskol!$D$983)</f>
        <v/>
      </c>
      <c r="X980">
        <f>IF([2]Baskol!$E$983="","",[2]Baskol!$E$983)</f>
        <v/>
      </c>
      <c r="Y980">
        <f>IF([2]Baskol!$G$983="","",[2]Baskol!$G$983)</f>
        <v/>
      </c>
      <c r="Z980">
        <f>IF([2]Baskol!$I$983="","",[2]Baskol!$I$983)</f>
        <v/>
      </c>
      <c r="AA980">
        <f>IF([2]Baskol!$J$983="","",[2]Baskol!$J$983)</f>
        <v/>
      </c>
      <c r="AB980">
        <f>IF([2]Baskol!$K$983="","",[2]Baskol!$K$983)</f>
        <v/>
      </c>
      <c r="AC980">
        <f>IF([2]Baskol!$L$983="","",[2]Baskol!$L$983)</f>
        <v/>
      </c>
      <c r="AD980">
        <f>IF([2]Baskol!$N$983="","",[2]Baskol!$N$983)</f>
        <v/>
      </c>
      <c r="AE980">
        <f>IF([2]Baskol!$O$983="","",[2]Baskol!$O$983)</f>
        <v/>
      </c>
      <c r="AG980">
        <f>IF([3]Entry!$C$983="","",[3]Entry!$C$983)</f>
        <v/>
      </c>
      <c r="AH980">
        <f>IF([3]Entry!$D$983="","",[3]Entry!$D$983)</f>
        <v/>
      </c>
      <c r="AI980">
        <f>IF([3]Entry!$E$983="","",[3]Entry!$E$983)</f>
        <v/>
      </c>
      <c r="AJ980">
        <f>IF([3]Entry!$G$983="","",[3]Entry!$G$983)</f>
        <v/>
      </c>
      <c r="AK980">
        <f>IF([3]Entry!$K$983="","",[3]Entry!$K$983)</f>
        <v/>
      </c>
      <c r="AL980">
        <f>IF([3]Entry!$L$983="","",[3]Entry!$L$983)</f>
        <v/>
      </c>
      <c r="AM980">
        <f>IF([3]Entry!$M$983="","",[3]Entry!$M$983)</f>
        <v/>
      </c>
      <c r="AN980">
        <f>IF([3]Entry!$N$983="","",[3]Entry!$N$983)</f>
        <v/>
      </c>
      <c r="AO980">
        <f>IF([3]Entry!$R$983="","",[3]Entry!$R$983)</f>
        <v/>
      </c>
    </row>
    <row r="981">
      <c r="U981">
        <f>IF([2]Baskol!$B$984="","",[2]Baskol!$B$984)</f>
        <v/>
      </c>
      <c r="V981">
        <f>IF([2]Baskol!$C$984="","",[2]Baskol!$C$984)</f>
        <v/>
      </c>
      <c r="W981">
        <f>IF([2]Baskol!$D$984="","",[2]Baskol!$D$984)</f>
        <v/>
      </c>
      <c r="X981">
        <f>IF([2]Baskol!$E$984="","",[2]Baskol!$E$984)</f>
        <v/>
      </c>
      <c r="Y981">
        <f>IF([2]Baskol!$G$984="","",[2]Baskol!$G$984)</f>
        <v/>
      </c>
      <c r="Z981">
        <f>IF([2]Baskol!$I$984="","",[2]Baskol!$I$984)</f>
        <v/>
      </c>
      <c r="AA981">
        <f>IF([2]Baskol!$J$984="","",[2]Baskol!$J$984)</f>
        <v/>
      </c>
      <c r="AB981">
        <f>IF([2]Baskol!$K$984="","",[2]Baskol!$K$984)</f>
        <v/>
      </c>
      <c r="AC981">
        <f>IF([2]Baskol!$L$984="","",[2]Baskol!$L$984)</f>
        <v/>
      </c>
      <c r="AD981">
        <f>IF([2]Baskol!$N$984="","",[2]Baskol!$N$984)</f>
        <v/>
      </c>
      <c r="AE981">
        <f>IF([2]Baskol!$O$984="","",[2]Baskol!$O$984)</f>
        <v/>
      </c>
      <c r="AG981">
        <f>IF([3]Entry!$C$984="","",[3]Entry!$C$984)</f>
        <v/>
      </c>
      <c r="AH981">
        <f>IF([3]Entry!$D$984="","",[3]Entry!$D$984)</f>
        <v/>
      </c>
      <c r="AI981">
        <f>IF([3]Entry!$E$984="","",[3]Entry!$E$984)</f>
        <v/>
      </c>
      <c r="AJ981">
        <f>IF([3]Entry!$G$984="","",[3]Entry!$G$984)</f>
        <v/>
      </c>
      <c r="AK981">
        <f>IF([3]Entry!$K$984="","",[3]Entry!$K$984)</f>
        <v/>
      </c>
      <c r="AL981">
        <f>IF([3]Entry!$L$984="","",[3]Entry!$L$984)</f>
        <v/>
      </c>
      <c r="AM981">
        <f>IF([3]Entry!$M$984="","",[3]Entry!$M$984)</f>
        <v/>
      </c>
      <c r="AN981">
        <f>IF([3]Entry!$N$984="","",[3]Entry!$N$984)</f>
        <v/>
      </c>
      <c r="AO981">
        <f>IF([3]Entry!$R$984="","",[3]Entry!$R$984)</f>
        <v/>
      </c>
    </row>
    <row r="982">
      <c r="U982">
        <f>IF([2]Baskol!$B$985="","",[2]Baskol!$B$985)</f>
        <v/>
      </c>
      <c r="V982">
        <f>IF([2]Baskol!$C$985="","",[2]Baskol!$C$985)</f>
        <v/>
      </c>
      <c r="W982">
        <f>IF([2]Baskol!$D$985="","",[2]Baskol!$D$985)</f>
        <v/>
      </c>
      <c r="X982">
        <f>IF([2]Baskol!$E$985="","",[2]Baskol!$E$985)</f>
        <v/>
      </c>
      <c r="Y982">
        <f>IF([2]Baskol!$G$985="","",[2]Baskol!$G$985)</f>
        <v/>
      </c>
      <c r="Z982">
        <f>IF([2]Baskol!$I$985="","",[2]Baskol!$I$985)</f>
        <v/>
      </c>
      <c r="AA982">
        <f>IF([2]Baskol!$J$985="","",[2]Baskol!$J$985)</f>
        <v/>
      </c>
      <c r="AB982">
        <f>IF([2]Baskol!$K$985="","",[2]Baskol!$K$985)</f>
        <v/>
      </c>
      <c r="AC982">
        <f>IF([2]Baskol!$L$985="","",[2]Baskol!$L$985)</f>
        <v/>
      </c>
      <c r="AD982">
        <f>IF([2]Baskol!$N$985="","",[2]Baskol!$N$985)</f>
        <v/>
      </c>
      <c r="AE982">
        <f>IF([2]Baskol!$O$985="","",[2]Baskol!$O$985)</f>
        <v/>
      </c>
      <c r="AG982">
        <f>IF([3]Entry!$C$985="","",[3]Entry!$C$985)</f>
        <v/>
      </c>
      <c r="AH982">
        <f>IF([3]Entry!$D$985="","",[3]Entry!$D$985)</f>
        <v/>
      </c>
      <c r="AI982">
        <f>IF([3]Entry!$E$985="","",[3]Entry!$E$985)</f>
        <v/>
      </c>
      <c r="AJ982">
        <f>IF([3]Entry!$G$985="","",[3]Entry!$G$985)</f>
        <v/>
      </c>
      <c r="AK982">
        <f>IF([3]Entry!$K$985="","",[3]Entry!$K$985)</f>
        <v/>
      </c>
      <c r="AL982">
        <f>IF([3]Entry!$L$985="","",[3]Entry!$L$985)</f>
        <v/>
      </c>
      <c r="AM982">
        <f>IF([3]Entry!$M$985="","",[3]Entry!$M$985)</f>
        <v/>
      </c>
      <c r="AN982">
        <f>IF([3]Entry!$N$985="","",[3]Entry!$N$985)</f>
        <v/>
      </c>
      <c r="AO982">
        <f>IF([3]Entry!$R$985="","",[3]Entry!$R$985)</f>
        <v/>
      </c>
    </row>
    <row r="983">
      <c r="U983">
        <f>IF([2]Baskol!$B$986="","",[2]Baskol!$B$986)</f>
        <v/>
      </c>
      <c r="V983">
        <f>IF([2]Baskol!$C$986="","",[2]Baskol!$C$986)</f>
        <v/>
      </c>
      <c r="W983">
        <f>IF([2]Baskol!$D$986="","",[2]Baskol!$D$986)</f>
        <v/>
      </c>
      <c r="X983">
        <f>IF([2]Baskol!$E$986="","",[2]Baskol!$E$986)</f>
        <v/>
      </c>
      <c r="Y983">
        <f>IF([2]Baskol!$G$986="","",[2]Baskol!$G$986)</f>
        <v/>
      </c>
      <c r="Z983">
        <f>IF([2]Baskol!$I$986="","",[2]Baskol!$I$986)</f>
        <v/>
      </c>
      <c r="AA983">
        <f>IF([2]Baskol!$J$986="","",[2]Baskol!$J$986)</f>
        <v/>
      </c>
      <c r="AB983">
        <f>IF([2]Baskol!$K$986="","",[2]Baskol!$K$986)</f>
        <v/>
      </c>
      <c r="AC983">
        <f>IF([2]Baskol!$L$986="","",[2]Baskol!$L$986)</f>
        <v/>
      </c>
      <c r="AD983">
        <f>IF([2]Baskol!$N$986="","",[2]Baskol!$N$986)</f>
        <v/>
      </c>
      <c r="AE983">
        <f>IF([2]Baskol!$O$986="","",[2]Baskol!$O$986)</f>
        <v/>
      </c>
      <c r="AG983">
        <f>IF([3]Entry!$C$986="","",[3]Entry!$C$986)</f>
        <v/>
      </c>
      <c r="AH983">
        <f>IF([3]Entry!$D$986="","",[3]Entry!$D$986)</f>
        <v/>
      </c>
      <c r="AI983">
        <f>IF([3]Entry!$E$986="","",[3]Entry!$E$986)</f>
        <v/>
      </c>
      <c r="AJ983">
        <f>IF([3]Entry!$G$986="","",[3]Entry!$G$986)</f>
        <v/>
      </c>
      <c r="AK983">
        <f>IF([3]Entry!$K$986="","",[3]Entry!$K$986)</f>
        <v/>
      </c>
      <c r="AL983">
        <f>IF([3]Entry!$L$986="","",[3]Entry!$L$986)</f>
        <v/>
      </c>
      <c r="AM983">
        <f>IF([3]Entry!$M$986="","",[3]Entry!$M$986)</f>
        <v/>
      </c>
      <c r="AN983">
        <f>IF([3]Entry!$N$986="","",[3]Entry!$N$986)</f>
        <v/>
      </c>
      <c r="AO983">
        <f>IF([3]Entry!$R$986="","",[3]Entry!$R$986)</f>
        <v/>
      </c>
    </row>
    <row r="984">
      <c r="U984">
        <f>IF([2]Baskol!$B$987="","",[2]Baskol!$B$987)</f>
        <v/>
      </c>
      <c r="V984">
        <f>IF([2]Baskol!$C$987="","",[2]Baskol!$C$987)</f>
        <v/>
      </c>
      <c r="W984">
        <f>IF([2]Baskol!$D$987="","",[2]Baskol!$D$987)</f>
        <v/>
      </c>
      <c r="X984">
        <f>IF([2]Baskol!$E$987="","",[2]Baskol!$E$987)</f>
        <v/>
      </c>
      <c r="Y984">
        <f>IF([2]Baskol!$G$987="","",[2]Baskol!$G$987)</f>
        <v/>
      </c>
      <c r="Z984">
        <f>IF([2]Baskol!$I$987="","",[2]Baskol!$I$987)</f>
        <v/>
      </c>
      <c r="AA984">
        <f>IF([2]Baskol!$J$987="","",[2]Baskol!$J$987)</f>
        <v/>
      </c>
      <c r="AB984">
        <f>IF([2]Baskol!$K$987="","",[2]Baskol!$K$987)</f>
        <v/>
      </c>
      <c r="AC984">
        <f>IF([2]Baskol!$L$987="","",[2]Baskol!$L$987)</f>
        <v/>
      </c>
      <c r="AD984">
        <f>IF([2]Baskol!$N$987="","",[2]Baskol!$N$987)</f>
        <v/>
      </c>
      <c r="AE984">
        <f>IF([2]Baskol!$O$987="","",[2]Baskol!$O$987)</f>
        <v/>
      </c>
      <c r="AG984">
        <f>IF([3]Entry!$C$987="","",[3]Entry!$C$987)</f>
        <v/>
      </c>
      <c r="AH984">
        <f>IF([3]Entry!$D$987="","",[3]Entry!$D$987)</f>
        <v/>
      </c>
      <c r="AI984">
        <f>IF([3]Entry!$E$987="","",[3]Entry!$E$987)</f>
        <v/>
      </c>
      <c r="AJ984">
        <f>IF([3]Entry!$G$987="","",[3]Entry!$G$987)</f>
        <v/>
      </c>
      <c r="AK984">
        <f>IF([3]Entry!$K$987="","",[3]Entry!$K$987)</f>
        <v/>
      </c>
      <c r="AL984">
        <f>IF([3]Entry!$L$987="","",[3]Entry!$L$987)</f>
        <v/>
      </c>
      <c r="AM984">
        <f>IF([3]Entry!$M$987="","",[3]Entry!$M$987)</f>
        <v/>
      </c>
      <c r="AN984">
        <f>IF([3]Entry!$N$987="","",[3]Entry!$N$987)</f>
        <v/>
      </c>
      <c r="AO984">
        <f>IF([3]Entry!$R$987="","",[3]Entry!$R$987)</f>
        <v/>
      </c>
    </row>
    <row r="985">
      <c r="U985">
        <f>IF([2]Baskol!$B$988="","",[2]Baskol!$B$988)</f>
        <v/>
      </c>
      <c r="V985">
        <f>IF([2]Baskol!$C$988="","",[2]Baskol!$C$988)</f>
        <v/>
      </c>
      <c r="W985">
        <f>IF([2]Baskol!$D$988="","",[2]Baskol!$D$988)</f>
        <v/>
      </c>
      <c r="X985">
        <f>IF([2]Baskol!$E$988="","",[2]Baskol!$E$988)</f>
        <v/>
      </c>
      <c r="Y985">
        <f>IF([2]Baskol!$G$988="","",[2]Baskol!$G$988)</f>
        <v/>
      </c>
      <c r="Z985">
        <f>IF([2]Baskol!$I$988="","",[2]Baskol!$I$988)</f>
        <v/>
      </c>
      <c r="AA985">
        <f>IF([2]Baskol!$J$988="","",[2]Baskol!$J$988)</f>
        <v/>
      </c>
      <c r="AB985">
        <f>IF([2]Baskol!$K$988="","",[2]Baskol!$K$988)</f>
        <v/>
      </c>
      <c r="AC985">
        <f>IF([2]Baskol!$L$988="","",[2]Baskol!$L$988)</f>
        <v/>
      </c>
      <c r="AD985">
        <f>IF([2]Baskol!$N$988="","",[2]Baskol!$N$988)</f>
        <v/>
      </c>
      <c r="AE985">
        <f>IF([2]Baskol!$O$988="","",[2]Baskol!$O$988)</f>
        <v/>
      </c>
      <c r="AG985">
        <f>IF([3]Entry!$C$988="","",[3]Entry!$C$988)</f>
        <v/>
      </c>
      <c r="AH985">
        <f>IF([3]Entry!$D$988="","",[3]Entry!$D$988)</f>
        <v/>
      </c>
      <c r="AI985">
        <f>IF([3]Entry!$E$988="","",[3]Entry!$E$988)</f>
        <v/>
      </c>
      <c r="AJ985">
        <f>IF([3]Entry!$G$988="","",[3]Entry!$G$988)</f>
        <v/>
      </c>
      <c r="AK985">
        <f>IF([3]Entry!$K$988="","",[3]Entry!$K$988)</f>
        <v/>
      </c>
      <c r="AL985">
        <f>IF([3]Entry!$L$988="","",[3]Entry!$L$988)</f>
        <v/>
      </c>
      <c r="AM985">
        <f>IF([3]Entry!$M$988="","",[3]Entry!$M$988)</f>
        <v/>
      </c>
      <c r="AN985">
        <f>IF([3]Entry!$N$988="","",[3]Entry!$N$988)</f>
        <v/>
      </c>
      <c r="AO985">
        <f>IF([3]Entry!$R$988="","",[3]Entry!$R$988)</f>
        <v/>
      </c>
    </row>
    <row r="986">
      <c r="U986">
        <f>IF([2]Baskol!$B$989="","",[2]Baskol!$B$989)</f>
        <v/>
      </c>
      <c r="V986">
        <f>IF([2]Baskol!$C$989="","",[2]Baskol!$C$989)</f>
        <v/>
      </c>
      <c r="W986">
        <f>IF([2]Baskol!$D$989="","",[2]Baskol!$D$989)</f>
        <v/>
      </c>
      <c r="X986">
        <f>IF([2]Baskol!$E$989="","",[2]Baskol!$E$989)</f>
        <v/>
      </c>
      <c r="Y986">
        <f>IF([2]Baskol!$G$989="","",[2]Baskol!$G$989)</f>
        <v/>
      </c>
      <c r="Z986">
        <f>IF([2]Baskol!$I$989="","",[2]Baskol!$I$989)</f>
        <v/>
      </c>
      <c r="AA986">
        <f>IF([2]Baskol!$J$989="","",[2]Baskol!$J$989)</f>
        <v/>
      </c>
      <c r="AB986">
        <f>IF([2]Baskol!$K$989="","",[2]Baskol!$K$989)</f>
        <v/>
      </c>
      <c r="AC986">
        <f>IF([2]Baskol!$L$989="","",[2]Baskol!$L$989)</f>
        <v/>
      </c>
      <c r="AD986">
        <f>IF([2]Baskol!$N$989="","",[2]Baskol!$N$989)</f>
        <v/>
      </c>
      <c r="AE986">
        <f>IF([2]Baskol!$O$989="","",[2]Baskol!$O$989)</f>
        <v/>
      </c>
      <c r="AG986">
        <f>IF([3]Entry!$C$989="","",[3]Entry!$C$989)</f>
        <v/>
      </c>
      <c r="AH986">
        <f>IF([3]Entry!$D$989="","",[3]Entry!$D$989)</f>
        <v/>
      </c>
      <c r="AI986">
        <f>IF([3]Entry!$E$989="","",[3]Entry!$E$989)</f>
        <v/>
      </c>
      <c r="AJ986">
        <f>IF([3]Entry!$G$989="","",[3]Entry!$G$989)</f>
        <v/>
      </c>
      <c r="AK986">
        <f>IF([3]Entry!$K$989="","",[3]Entry!$K$989)</f>
        <v/>
      </c>
      <c r="AL986">
        <f>IF([3]Entry!$L$989="","",[3]Entry!$L$989)</f>
        <v/>
      </c>
      <c r="AM986">
        <f>IF([3]Entry!$M$989="","",[3]Entry!$M$989)</f>
        <v/>
      </c>
      <c r="AN986">
        <f>IF([3]Entry!$N$989="","",[3]Entry!$N$989)</f>
        <v/>
      </c>
      <c r="AO986">
        <f>IF([3]Entry!$R$989="","",[3]Entry!$R$989)</f>
        <v/>
      </c>
    </row>
    <row r="987">
      <c r="U987">
        <f>IF([2]Baskol!$B$990="","",[2]Baskol!$B$990)</f>
        <v/>
      </c>
      <c r="V987">
        <f>IF([2]Baskol!$C$990="","",[2]Baskol!$C$990)</f>
        <v/>
      </c>
      <c r="W987">
        <f>IF([2]Baskol!$D$990="","",[2]Baskol!$D$990)</f>
        <v/>
      </c>
      <c r="X987">
        <f>IF([2]Baskol!$E$990="","",[2]Baskol!$E$990)</f>
        <v/>
      </c>
      <c r="Y987">
        <f>IF([2]Baskol!$G$990="","",[2]Baskol!$G$990)</f>
        <v/>
      </c>
      <c r="Z987">
        <f>IF([2]Baskol!$I$990="","",[2]Baskol!$I$990)</f>
        <v/>
      </c>
      <c r="AA987">
        <f>IF([2]Baskol!$J$990="","",[2]Baskol!$J$990)</f>
        <v/>
      </c>
      <c r="AB987">
        <f>IF([2]Baskol!$K$990="","",[2]Baskol!$K$990)</f>
        <v/>
      </c>
      <c r="AC987">
        <f>IF([2]Baskol!$L$990="","",[2]Baskol!$L$990)</f>
        <v/>
      </c>
      <c r="AD987">
        <f>IF([2]Baskol!$N$990="","",[2]Baskol!$N$990)</f>
        <v/>
      </c>
      <c r="AE987">
        <f>IF([2]Baskol!$O$990="","",[2]Baskol!$O$990)</f>
        <v/>
      </c>
      <c r="AG987">
        <f>IF([3]Entry!$C$990="","",[3]Entry!$C$990)</f>
        <v/>
      </c>
      <c r="AH987">
        <f>IF([3]Entry!$D$990="","",[3]Entry!$D$990)</f>
        <v/>
      </c>
      <c r="AI987">
        <f>IF([3]Entry!$E$990="","",[3]Entry!$E$990)</f>
        <v/>
      </c>
      <c r="AJ987">
        <f>IF([3]Entry!$G$990="","",[3]Entry!$G$990)</f>
        <v/>
      </c>
      <c r="AK987">
        <f>IF([3]Entry!$K$990="","",[3]Entry!$K$990)</f>
        <v/>
      </c>
      <c r="AL987">
        <f>IF([3]Entry!$L$990="","",[3]Entry!$L$990)</f>
        <v/>
      </c>
      <c r="AM987">
        <f>IF([3]Entry!$M$990="","",[3]Entry!$M$990)</f>
        <v/>
      </c>
      <c r="AN987">
        <f>IF([3]Entry!$N$990="","",[3]Entry!$N$990)</f>
        <v/>
      </c>
      <c r="AO987">
        <f>IF([3]Entry!$R$990="","",[3]Entry!$R$990)</f>
        <v/>
      </c>
    </row>
    <row r="988">
      <c r="U988">
        <f>IF([2]Baskol!$B$991="","",[2]Baskol!$B$991)</f>
        <v/>
      </c>
      <c r="V988">
        <f>IF([2]Baskol!$C$991="","",[2]Baskol!$C$991)</f>
        <v/>
      </c>
      <c r="W988">
        <f>IF([2]Baskol!$D$991="","",[2]Baskol!$D$991)</f>
        <v/>
      </c>
      <c r="X988">
        <f>IF([2]Baskol!$E$991="","",[2]Baskol!$E$991)</f>
        <v/>
      </c>
      <c r="Y988">
        <f>IF([2]Baskol!$G$991="","",[2]Baskol!$G$991)</f>
        <v/>
      </c>
      <c r="Z988">
        <f>IF([2]Baskol!$I$991="","",[2]Baskol!$I$991)</f>
        <v/>
      </c>
      <c r="AA988">
        <f>IF([2]Baskol!$J$991="","",[2]Baskol!$J$991)</f>
        <v/>
      </c>
      <c r="AB988">
        <f>IF([2]Baskol!$K$991="","",[2]Baskol!$K$991)</f>
        <v/>
      </c>
      <c r="AC988">
        <f>IF([2]Baskol!$L$991="","",[2]Baskol!$L$991)</f>
        <v/>
      </c>
      <c r="AD988">
        <f>IF([2]Baskol!$N$991="","",[2]Baskol!$N$991)</f>
        <v/>
      </c>
      <c r="AE988">
        <f>IF([2]Baskol!$O$991="","",[2]Baskol!$O$991)</f>
        <v/>
      </c>
      <c r="AG988">
        <f>IF([3]Entry!$C$991="","",[3]Entry!$C$991)</f>
        <v/>
      </c>
      <c r="AH988">
        <f>IF([3]Entry!$D$991="","",[3]Entry!$D$991)</f>
        <v/>
      </c>
      <c r="AI988">
        <f>IF([3]Entry!$E$991="","",[3]Entry!$E$991)</f>
        <v/>
      </c>
      <c r="AJ988">
        <f>IF([3]Entry!$G$991="","",[3]Entry!$G$991)</f>
        <v/>
      </c>
      <c r="AK988">
        <f>IF([3]Entry!$K$991="","",[3]Entry!$K$991)</f>
        <v/>
      </c>
      <c r="AL988">
        <f>IF([3]Entry!$L$991="","",[3]Entry!$L$991)</f>
        <v/>
      </c>
      <c r="AM988">
        <f>IF([3]Entry!$M$991="","",[3]Entry!$M$991)</f>
        <v/>
      </c>
      <c r="AN988">
        <f>IF([3]Entry!$N$991="","",[3]Entry!$N$991)</f>
        <v/>
      </c>
      <c r="AO988">
        <f>IF([3]Entry!$R$991="","",[3]Entry!$R$991)</f>
        <v/>
      </c>
    </row>
    <row r="989">
      <c r="U989">
        <f>IF([2]Baskol!$B$992="","",[2]Baskol!$B$992)</f>
        <v/>
      </c>
      <c r="V989">
        <f>IF([2]Baskol!$C$992="","",[2]Baskol!$C$992)</f>
        <v/>
      </c>
      <c r="W989">
        <f>IF([2]Baskol!$D$992="","",[2]Baskol!$D$992)</f>
        <v/>
      </c>
      <c r="X989">
        <f>IF([2]Baskol!$E$992="","",[2]Baskol!$E$992)</f>
        <v/>
      </c>
      <c r="Y989">
        <f>IF([2]Baskol!$G$992="","",[2]Baskol!$G$992)</f>
        <v/>
      </c>
      <c r="Z989">
        <f>IF([2]Baskol!$I$992="","",[2]Baskol!$I$992)</f>
        <v/>
      </c>
      <c r="AA989">
        <f>IF([2]Baskol!$J$992="","",[2]Baskol!$J$992)</f>
        <v/>
      </c>
      <c r="AB989">
        <f>IF([2]Baskol!$K$992="","",[2]Baskol!$K$992)</f>
        <v/>
      </c>
      <c r="AC989">
        <f>IF([2]Baskol!$L$992="","",[2]Baskol!$L$992)</f>
        <v/>
      </c>
      <c r="AD989">
        <f>IF([2]Baskol!$N$992="","",[2]Baskol!$N$992)</f>
        <v/>
      </c>
      <c r="AE989">
        <f>IF([2]Baskol!$O$992="","",[2]Baskol!$O$992)</f>
        <v/>
      </c>
      <c r="AG989">
        <f>IF([3]Entry!$C$992="","",[3]Entry!$C$992)</f>
        <v/>
      </c>
      <c r="AH989">
        <f>IF([3]Entry!$D$992="","",[3]Entry!$D$992)</f>
        <v/>
      </c>
      <c r="AI989">
        <f>IF([3]Entry!$E$992="","",[3]Entry!$E$992)</f>
        <v/>
      </c>
      <c r="AJ989">
        <f>IF([3]Entry!$G$992="","",[3]Entry!$G$992)</f>
        <v/>
      </c>
      <c r="AK989">
        <f>IF([3]Entry!$K$992="","",[3]Entry!$K$992)</f>
        <v/>
      </c>
      <c r="AL989">
        <f>IF([3]Entry!$L$992="","",[3]Entry!$L$992)</f>
        <v/>
      </c>
      <c r="AM989">
        <f>IF([3]Entry!$M$992="","",[3]Entry!$M$992)</f>
        <v/>
      </c>
      <c r="AN989">
        <f>IF([3]Entry!$N$992="","",[3]Entry!$N$992)</f>
        <v/>
      </c>
      <c r="AO989">
        <f>IF([3]Entry!$R$992="","",[3]Entry!$R$992)</f>
        <v/>
      </c>
    </row>
    <row r="990">
      <c r="U990">
        <f>IF([2]Baskol!$B$993="","",[2]Baskol!$B$993)</f>
        <v/>
      </c>
      <c r="V990">
        <f>IF([2]Baskol!$C$993="","",[2]Baskol!$C$993)</f>
        <v/>
      </c>
      <c r="W990">
        <f>IF([2]Baskol!$D$993="","",[2]Baskol!$D$993)</f>
        <v/>
      </c>
      <c r="X990">
        <f>IF([2]Baskol!$E$993="","",[2]Baskol!$E$993)</f>
        <v/>
      </c>
      <c r="Y990">
        <f>IF([2]Baskol!$G$993="","",[2]Baskol!$G$993)</f>
        <v/>
      </c>
      <c r="Z990">
        <f>IF([2]Baskol!$I$993="","",[2]Baskol!$I$993)</f>
        <v/>
      </c>
      <c r="AA990">
        <f>IF([2]Baskol!$J$993="","",[2]Baskol!$J$993)</f>
        <v/>
      </c>
      <c r="AB990">
        <f>IF([2]Baskol!$K$993="","",[2]Baskol!$K$993)</f>
        <v/>
      </c>
      <c r="AC990">
        <f>IF([2]Baskol!$L$993="","",[2]Baskol!$L$993)</f>
        <v/>
      </c>
      <c r="AD990">
        <f>IF([2]Baskol!$N$993="","",[2]Baskol!$N$993)</f>
        <v/>
      </c>
      <c r="AE990">
        <f>IF([2]Baskol!$O$993="","",[2]Baskol!$O$993)</f>
        <v/>
      </c>
      <c r="AG990">
        <f>IF([3]Entry!$C$993="","",[3]Entry!$C$993)</f>
        <v/>
      </c>
      <c r="AH990">
        <f>IF([3]Entry!$D$993="","",[3]Entry!$D$993)</f>
        <v/>
      </c>
      <c r="AI990">
        <f>IF([3]Entry!$E$993="","",[3]Entry!$E$993)</f>
        <v/>
      </c>
      <c r="AJ990">
        <f>IF([3]Entry!$G$993="","",[3]Entry!$G$993)</f>
        <v/>
      </c>
      <c r="AK990">
        <f>IF([3]Entry!$K$993="","",[3]Entry!$K$993)</f>
        <v/>
      </c>
      <c r="AL990">
        <f>IF([3]Entry!$L$993="","",[3]Entry!$L$993)</f>
        <v/>
      </c>
      <c r="AM990">
        <f>IF([3]Entry!$M$993="","",[3]Entry!$M$993)</f>
        <v/>
      </c>
      <c r="AN990">
        <f>IF([3]Entry!$N$993="","",[3]Entry!$N$993)</f>
        <v/>
      </c>
      <c r="AO990">
        <f>IF([3]Entry!$R$993="","",[3]Entry!$R$993)</f>
        <v/>
      </c>
    </row>
    <row r="991">
      <c r="U991">
        <f>IF([2]Baskol!$B$994="","",[2]Baskol!$B$994)</f>
        <v/>
      </c>
      <c r="V991">
        <f>IF([2]Baskol!$C$994="","",[2]Baskol!$C$994)</f>
        <v/>
      </c>
      <c r="W991">
        <f>IF([2]Baskol!$D$994="","",[2]Baskol!$D$994)</f>
        <v/>
      </c>
      <c r="X991">
        <f>IF([2]Baskol!$E$994="","",[2]Baskol!$E$994)</f>
        <v/>
      </c>
      <c r="Y991">
        <f>IF([2]Baskol!$G$994="","",[2]Baskol!$G$994)</f>
        <v/>
      </c>
      <c r="Z991">
        <f>IF([2]Baskol!$I$994="","",[2]Baskol!$I$994)</f>
        <v/>
      </c>
      <c r="AA991">
        <f>IF([2]Baskol!$J$994="","",[2]Baskol!$J$994)</f>
        <v/>
      </c>
      <c r="AB991">
        <f>IF([2]Baskol!$K$994="","",[2]Baskol!$K$994)</f>
        <v/>
      </c>
      <c r="AC991">
        <f>IF([2]Baskol!$L$994="","",[2]Baskol!$L$994)</f>
        <v/>
      </c>
      <c r="AD991">
        <f>IF([2]Baskol!$N$994="","",[2]Baskol!$N$994)</f>
        <v/>
      </c>
      <c r="AE991">
        <f>IF([2]Baskol!$O$994="","",[2]Baskol!$O$994)</f>
        <v/>
      </c>
      <c r="AG991">
        <f>IF([3]Entry!$C$994="","",[3]Entry!$C$994)</f>
        <v/>
      </c>
      <c r="AH991">
        <f>IF([3]Entry!$D$994="","",[3]Entry!$D$994)</f>
        <v/>
      </c>
      <c r="AI991">
        <f>IF([3]Entry!$E$994="","",[3]Entry!$E$994)</f>
        <v/>
      </c>
      <c r="AJ991">
        <f>IF([3]Entry!$G$994="","",[3]Entry!$G$994)</f>
        <v/>
      </c>
      <c r="AK991">
        <f>IF([3]Entry!$K$994="","",[3]Entry!$K$994)</f>
        <v/>
      </c>
      <c r="AL991">
        <f>IF([3]Entry!$L$994="","",[3]Entry!$L$994)</f>
        <v/>
      </c>
      <c r="AM991">
        <f>IF([3]Entry!$M$994="","",[3]Entry!$M$994)</f>
        <v/>
      </c>
      <c r="AN991">
        <f>IF([3]Entry!$N$994="","",[3]Entry!$N$994)</f>
        <v/>
      </c>
      <c r="AO991">
        <f>IF([3]Entry!$R$994="","",[3]Entry!$R$994)</f>
        <v/>
      </c>
    </row>
    <row r="992">
      <c r="U992">
        <f>IF([2]Baskol!$B$995="","",[2]Baskol!$B$995)</f>
        <v/>
      </c>
      <c r="V992">
        <f>IF([2]Baskol!$C$995="","",[2]Baskol!$C$995)</f>
        <v/>
      </c>
      <c r="W992">
        <f>IF([2]Baskol!$D$995="","",[2]Baskol!$D$995)</f>
        <v/>
      </c>
      <c r="X992">
        <f>IF([2]Baskol!$E$995="","",[2]Baskol!$E$995)</f>
        <v/>
      </c>
      <c r="Y992">
        <f>IF([2]Baskol!$G$995="","",[2]Baskol!$G$995)</f>
        <v/>
      </c>
      <c r="Z992">
        <f>IF([2]Baskol!$I$995="","",[2]Baskol!$I$995)</f>
        <v/>
      </c>
      <c r="AA992">
        <f>IF([2]Baskol!$J$995="","",[2]Baskol!$J$995)</f>
        <v/>
      </c>
      <c r="AB992">
        <f>IF([2]Baskol!$K$995="","",[2]Baskol!$K$995)</f>
        <v/>
      </c>
      <c r="AC992">
        <f>IF([2]Baskol!$L$995="","",[2]Baskol!$L$995)</f>
        <v/>
      </c>
      <c r="AD992">
        <f>IF([2]Baskol!$N$995="","",[2]Baskol!$N$995)</f>
        <v/>
      </c>
      <c r="AE992">
        <f>IF([2]Baskol!$O$995="","",[2]Baskol!$O$995)</f>
        <v/>
      </c>
      <c r="AG992">
        <f>IF([3]Entry!$C$995="","",[3]Entry!$C$995)</f>
        <v/>
      </c>
      <c r="AH992">
        <f>IF([3]Entry!$D$995="","",[3]Entry!$D$995)</f>
        <v/>
      </c>
      <c r="AI992">
        <f>IF([3]Entry!$E$995="","",[3]Entry!$E$995)</f>
        <v/>
      </c>
      <c r="AJ992">
        <f>IF([3]Entry!$G$995="","",[3]Entry!$G$995)</f>
        <v/>
      </c>
      <c r="AK992">
        <f>IF([3]Entry!$K$995="","",[3]Entry!$K$995)</f>
        <v/>
      </c>
      <c r="AL992">
        <f>IF([3]Entry!$L$995="","",[3]Entry!$L$995)</f>
        <v/>
      </c>
      <c r="AM992">
        <f>IF([3]Entry!$M$995="","",[3]Entry!$M$995)</f>
        <v/>
      </c>
      <c r="AN992">
        <f>IF([3]Entry!$N$995="","",[3]Entry!$N$995)</f>
        <v/>
      </c>
      <c r="AO992">
        <f>IF([3]Entry!$R$995="","",[3]Entry!$R$995)</f>
        <v/>
      </c>
    </row>
    <row r="993">
      <c r="U993">
        <f>IF([2]Baskol!$B$996="","",[2]Baskol!$B$996)</f>
        <v/>
      </c>
      <c r="V993">
        <f>IF([2]Baskol!$C$996="","",[2]Baskol!$C$996)</f>
        <v/>
      </c>
      <c r="W993">
        <f>IF([2]Baskol!$D$996="","",[2]Baskol!$D$996)</f>
        <v/>
      </c>
      <c r="X993">
        <f>IF([2]Baskol!$E$996="","",[2]Baskol!$E$996)</f>
        <v/>
      </c>
      <c r="Y993">
        <f>IF([2]Baskol!$G$996="","",[2]Baskol!$G$996)</f>
        <v/>
      </c>
      <c r="Z993">
        <f>IF([2]Baskol!$I$996="","",[2]Baskol!$I$996)</f>
        <v/>
      </c>
      <c r="AA993">
        <f>IF([2]Baskol!$J$996="","",[2]Baskol!$J$996)</f>
        <v/>
      </c>
      <c r="AB993">
        <f>IF([2]Baskol!$K$996="","",[2]Baskol!$K$996)</f>
        <v/>
      </c>
      <c r="AC993">
        <f>IF([2]Baskol!$L$996="","",[2]Baskol!$L$996)</f>
        <v/>
      </c>
      <c r="AD993">
        <f>IF([2]Baskol!$N$996="","",[2]Baskol!$N$996)</f>
        <v/>
      </c>
      <c r="AE993">
        <f>IF([2]Baskol!$O$996="","",[2]Baskol!$O$996)</f>
        <v/>
      </c>
      <c r="AG993">
        <f>IF([3]Entry!$C$996="","",[3]Entry!$C$996)</f>
        <v/>
      </c>
      <c r="AH993">
        <f>IF([3]Entry!$D$996="","",[3]Entry!$D$996)</f>
        <v/>
      </c>
      <c r="AI993">
        <f>IF([3]Entry!$E$996="","",[3]Entry!$E$996)</f>
        <v/>
      </c>
      <c r="AJ993">
        <f>IF([3]Entry!$G$996="","",[3]Entry!$G$996)</f>
        <v/>
      </c>
      <c r="AK993">
        <f>IF([3]Entry!$K$996="","",[3]Entry!$K$996)</f>
        <v/>
      </c>
      <c r="AL993">
        <f>IF([3]Entry!$L$996="","",[3]Entry!$L$996)</f>
        <v/>
      </c>
      <c r="AM993">
        <f>IF([3]Entry!$M$996="","",[3]Entry!$M$996)</f>
        <v/>
      </c>
      <c r="AN993">
        <f>IF([3]Entry!$N$996="","",[3]Entry!$N$996)</f>
        <v/>
      </c>
      <c r="AO993">
        <f>IF([3]Entry!$R$996="","",[3]Entry!$R$996)</f>
        <v/>
      </c>
    </row>
    <row r="994">
      <c r="U994">
        <f>IF([2]Baskol!$B$997="","",[2]Baskol!$B$997)</f>
        <v/>
      </c>
      <c r="V994">
        <f>IF([2]Baskol!$C$997="","",[2]Baskol!$C$997)</f>
        <v/>
      </c>
      <c r="W994">
        <f>IF([2]Baskol!$D$997="","",[2]Baskol!$D$997)</f>
        <v/>
      </c>
      <c r="X994">
        <f>IF([2]Baskol!$E$997="","",[2]Baskol!$E$997)</f>
        <v/>
      </c>
      <c r="Y994">
        <f>IF([2]Baskol!$G$997="","",[2]Baskol!$G$997)</f>
        <v/>
      </c>
      <c r="Z994">
        <f>IF([2]Baskol!$I$997="","",[2]Baskol!$I$997)</f>
        <v/>
      </c>
      <c r="AA994">
        <f>IF([2]Baskol!$J$997="","",[2]Baskol!$J$997)</f>
        <v/>
      </c>
      <c r="AB994">
        <f>IF([2]Baskol!$K$997="","",[2]Baskol!$K$997)</f>
        <v/>
      </c>
      <c r="AC994">
        <f>IF([2]Baskol!$L$997="","",[2]Baskol!$L$997)</f>
        <v/>
      </c>
      <c r="AD994">
        <f>IF([2]Baskol!$N$997="","",[2]Baskol!$N$997)</f>
        <v/>
      </c>
      <c r="AE994">
        <f>IF([2]Baskol!$O$997="","",[2]Baskol!$O$997)</f>
        <v/>
      </c>
      <c r="AG994">
        <f>IF([3]Entry!$C$997="","",[3]Entry!$C$997)</f>
        <v/>
      </c>
      <c r="AH994">
        <f>IF([3]Entry!$D$997="","",[3]Entry!$D$997)</f>
        <v/>
      </c>
      <c r="AI994">
        <f>IF([3]Entry!$E$997="","",[3]Entry!$E$997)</f>
        <v/>
      </c>
      <c r="AJ994">
        <f>IF([3]Entry!$G$997="","",[3]Entry!$G$997)</f>
        <v/>
      </c>
      <c r="AK994">
        <f>IF([3]Entry!$K$997="","",[3]Entry!$K$997)</f>
        <v/>
      </c>
      <c r="AL994">
        <f>IF([3]Entry!$L$997="","",[3]Entry!$L$997)</f>
        <v/>
      </c>
      <c r="AM994">
        <f>IF([3]Entry!$M$997="","",[3]Entry!$M$997)</f>
        <v/>
      </c>
      <c r="AN994">
        <f>IF([3]Entry!$N$997="","",[3]Entry!$N$997)</f>
        <v/>
      </c>
      <c r="AO994">
        <f>IF([3]Entry!$R$997="","",[3]Entry!$R$997)</f>
        <v/>
      </c>
    </row>
    <row r="995">
      <c r="U995">
        <f>IF([2]Baskol!$B$998="","",[2]Baskol!$B$998)</f>
        <v/>
      </c>
      <c r="V995">
        <f>IF([2]Baskol!$C$998="","",[2]Baskol!$C$998)</f>
        <v/>
      </c>
      <c r="W995">
        <f>IF([2]Baskol!$D$998="","",[2]Baskol!$D$998)</f>
        <v/>
      </c>
      <c r="X995">
        <f>IF([2]Baskol!$E$998="","",[2]Baskol!$E$998)</f>
        <v/>
      </c>
      <c r="Y995">
        <f>IF([2]Baskol!$G$998="","",[2]Baskol!$G$998)</f>
        <v/>
      </c>
      <c r="Z995">
        <f>IF([2]Baskol!$I$998="","",[2]Baskol!$I$998)</f>
        <v/>
      </c>
      <c r="AA995">
        <f>IF([2]Baskol!$J$998="","",[2]Baskol!$J$998)</f>
        <v/>
      </c>
      <c r="AB995">
        <f>IF([2]Baskol!$K$998="","",[2]Baskol!$K$998)</f>
        <v/>
      </c>
      <c r="AC995">
        <f>IF([2]Baskol!$L$998="","",[2]Baskol!$L$998)</f>
        <v/>
      </c>
      <c r="AD995">
        <f>IF([2]Baskol!$N$998="","",[2]Baskol!$N$998)</f>
        <v/>
      </c>
      <c r="AE995">
        <f>IF([2]Baskol!$O$998="","",[2]Baskol!$O$998)</f>
        <v/>
      </c>
      <c r="AG995">
        <f>IF([3]Entry!$C$998="","",[3]Entry!$C$998)</f>
        <v/>
      </c>
      <c r="AH995">
        <f>IF([3]Entry!$D$998="","",[3]Entry!$D$998)</f>
        <v/>
      </c>
      <c r="AI995">
        <f>IF([3]Entry!$E$998="","",[3]Entry!$E$998)</f>
        <v/>
      </c>
      <c r="AJ995">
        <f>IF([3]Entry!$G$998="","",[3]Entry!$G$998)</f>
        <v/>
      </c>
      <c r="AK995">
        <f>IF([3]Entry!$K$998="","",[3]Entry!$K$998)</f>
        <v/>
      </c>
      <c r="AL995">
        <f>IF([3]Entry!$L$998="","",[3]Entry!$L$998)</f>
        <v/>
      </c>
      <c r="AM995">
        <f>IF([3]Entry!$M$998="","",[3]Entry!$M$998)</f>
        <v/>
      </c>
      <c r="AN995">
        <f>IF([3]Entry!$N$998="","",[3]Entry!$N$998)</f>
        <v/>
      </c>
      <c r="AO995">
        <f>IF([3]Entry!$R$998="","",[3]Entry!$R$998)</f>
        <v/>
      </c>
    </row>
    <row r="996">
      <c r="U996">
        <f>IF([2]Baskol!$B$999="","",[2]Baskol!$B$999)</f>
        <v/>
      </c>
      <c r="V996">
        <f>IF([2]Baskol!$C$999="","",[2]Baskol!$C$999)</f>
        <v/>
      </c>
      <c r="W996">
        <f>IF([2]Baskol!$D$999="","",[2]Baskol!$D$999)</f>
        <v/>
      </c>
      <c r="X996">
        <f>IF([2]Baskol!$E$999="","",[2]Baskol!$E$999)</f>
        <v/>
      </c>
      <c r="Y996">
        <f>IF([2]Baskol!$G$999="","",[2]Baskol!$G$999)</f>
        <v/>
      </c>
      <c r="Z996">
        <f>IF([2]Baskol!$I$999="","",[2]Baskol!$I$999)</f>
        <v/>
      </c>
      <c r="AA996">
        <f>IF([2]Baskol!$J$999="","",[2]Baskol!$J$999)</f>
        <v/>
      </c>
      <c r="AB996">
        <f>IF([2]Baskol!$K$999="","",[2]Baskol!$K$999)</f>
        <v/>
      </c>
      <c r="AC996">
        <f>IF([2]Baskol!$L$999="","",[2]Baskol!$L$999)</f>
        <v/>
      </c>
      <c r="AD996">
        <f>IF([2]Baskol!$N$999="","",[2]Baskol!$N$999)</f>
        <v/>
      </c>
      <c r="AE996">
        <f>IF([2]Baskol!$O$999="","",[2]Baskol!$O$999)</f>
        <v/>
      </c>
      <c r="AG996">
        <f>IF([3]Entry!$C$999="","",[3]Entry!$C$999)</f>
        <v/>
      </c>
      <c r="AH996">
        <f>IF([3]Entry!$D$999="","",[3]Entry!$D$999)</f>
        <v/>
      </c>
      <c r="AI996">
        <f>IF([3]Entry!$E$999="","",[3]Entry!$E$999)</f>
        <v/>
      </c>
      <c r="AJ996">
        <f>IF([3]Entry!$G$999="","",[3]Entry!$G$999)</f>
        <v/>
      </c>
      <c r="AK996">
        <f>IF([3]Entry!$K$999="","",[3]Entry!$K$999)</f>
        <v/>
      </c>
      <c r="AL996">
        <f>IF([3]Entry!$L$999="","",[3]Entry!$L$999)</f>
        <v/>
      </c>
      <c r="AM996">
        <f>IF([3]Entry!$M$999="","",[3]Entry!$M$999)</f>
        <v/>
      </c>
      <c r="AN996">
        <f>IF([3]Entry!$N$999="","",[3]Entry!$N$999)</f>
        <v/>
      </c>
      <c r="AO996">
        <f>IF([3]Entry!$R$999="","",[3]Entry!$R$999)</f>
        <v/>
      </c>
    </row>
    <row r="997">
      <c r="U997">
        <f>IF([2]Baskol!$B$1000="","",[2]Baskol!$B$1000)</f>
        <v/>
      </c>
      <c r="V997">
        <f>IF([2]Baskol!$C$1000="","",[2]Baskol!$C$1000)</f>
        <v/>
      </c>
      <c r="W997">
        <f>IF([2]Baskol!$D$1000="","",[2]Baskol!$D$1000)</f>
        <v/>
      </c>
      <c r="X997">
        <f>IF([2]Baskol!$E$1000="","",[2]Baskol!$E$1000)</f>
        <v/>
      </c>
      <c r="Y997">
        <f>IF([2]Baskol!$G$1000="","",[2]Baskol!$G$1000)</f>
        <v/>
      </c>
      <c r="Z997">
        <f>IF([2]Baskol!$I$1000="","",[2]Baskol!$I$1000)</f>
        <v/>
      </c>
      <c r="AA997">
        <f>IF([2]Baskol!$J$1000="","",[2]Baskol!$J$1000)</f>
        <v/>
      </c>
      <c r="AB997">
        <f>IF([2]Baskol!$K$1000="","",[2]Baskol!$K$1000)</f>
        <v/>
      </c>
      <c r="AC997">
        <f>IF([2]Baskol!$L$1000="","",[2]Baskol!$L$1000)</f>
        <v/>
      </c>
      <c r="AD997">
        <f>IF([2]Baskol!$N$1000="","",[2]Baskol!$N$1000)</f>
        <v/>
      </c>
      <c r="AE997">
        <f>IF([2]Baskol!$O$1000="","",[2]Baskol!$O$1000)</f>
        <v/>
      </c>
      <c r="AG997">
        <f>IF([3]Entry!$C$1000="","",[3]Entry!$C$1000)</f>
        <v/>
      </c>
      <c r="AH997">
        <f>IF([3]Entry!$D$1000="","",[3]Entry!$D$1000)</f>
        <v/>
      </c>
      <c r="AI997">
        <f>IF([3]Entry!$E$1000="","",[3]Entry!$E$1000)</f>
        <v/>
      </c>
      <c r="AJ997">
        <f>IF([3]Entry!$G$1000="","",[3]Entry!$G$1000)</f>
        <v/>
      </c>
      <c r="AK997">
        <f>IF([3]Entry!$K$1000="","",[3]Entry!$K$1000)</f>
        <v/>
      </c>
      <c r="AL997">
        <f>IF([3]Entry!$L$1000="","",[3]Entry!$L$1000)</f>
        <v/>
      </c>
      <c r="AM997">
        <f>IF([3]Entry!$M$1000="","",[3]Entry!$M$1000)</f>
        <v/>
      </c>
      <c r="AN997">
        <f>IF([3]Entry!$N$1000="","",[3]Entry!$N$1000)</f>
        <v/>
      </c>
      <c r="AO997">
        <f>IF([3]Entry!$R$1000="","",[3]Entry!$R$1000)</f>
        <v/>
      </c>
    </row>
    <row r="998">
      <c r="U998">
        <f>IF([2]Baskol!$B$1001="","",[2]Baskol!$B$1001)</f>
        <v/>
      </c>
      <c r="V998">
        <f>IF([2]Baskol!$C$1001="","",[2]Baskol!$C$1001)</f>
        <v/>
      </c>
      <c r="W998">
        <f>IF([2]Baskol!$D$1001="","",[2]Baskol!$D$1001)</f>
        <v/>
      </c>
      <c r="X998">
        <f>IF([2]Baskol!$E$1001="","",[2]Baskol!$E$1001)</f>
        <v/>
      </c>
      <c r="Y998">
        <f>IF([2]Baskol!$G$1001="","",[2]Baskol!$G$1001)</f>
        <v/>
      </c>
      <c r="Z998">
        <f>IF([2]Baskol!$I$1001="","",[2]Baskol!$I$1001)</f>
        <v/>
      </c>
      <c r="AA998">
        <f>IF([2]Baskol!$J$1001="","",[2]Baskol!$J$1001)</f>
        <v/>
      </c>
      <c r="AB998">
        <f>IF([2]Baskol!$K$1001="","",[2]Baskol!$K$1001)</f>
        <v/>
      </c>
      <c r="AC998">
        <f>IF([2]Baskol!$L$1001="","",[2]Baskol!$L$1001)</f>
        <v/>
      </c>
      <c r="AD998">
        <f>IF([2]Baskol!$N$1001="","",[2]Baskol!$N$1001)</f>
        <v/>
      </c>
      <c r="AE998">
        <f>IF([2]Baskol!$O$1001="","",[2]Baskol!$O$1001)</f>
        <v/>
      </c>
      <c r="AG998">
        <f>IF([3]Entry!$C$1001="","",[3]Entry!$C$1001)</f>
        <v/>
      </c>
      <c r="AH998">
        <f>IF([3]Entry!$D$1001="","",[3]Entry!$D$1001)</f>
        <v/>
      </c>
      <c r="AI998">
        <f>IF([3]Entry!$E$1001="","",[3]Entry!$E$1001)</f>
        <v/>
      </c>
      <c r="AJ998">
        <f>IF([3]Entry!$G$1001="","",[3]Entry!$G$1001)</f>
        <v/>
      </c>
      <c r="AK998">
        <f>IF([3]Entry!$K$1001="","",[3]Entry!$K$1001)</f>
        <v/>
      </c>
      <c r="AL998">
        <f>IF([3]Entry!$L$1001="","",[3]Entry!$L$1001)</f>
        <v/>
      </c>
      <c r="AM998">
        <f>IF([3]Entry!$M$1001="","",[3]Entry!$M$1001)</f>
        <v/>
      </c>
      <c r="AN998">
        <f>IF([3]Entry!$N$1001="","",[3]Entry!$N$1001)</f>
        <v/>
      </c>
      <c r="AO998">
        <f>IF([3]Entry!$R$1001="","",[3]Entry!$R$1001)</f>
        <v/>
      </c>
    </row>
    <row r="999">
      <c r="U999">
        <f>IF([2]Baskol!$B$1002="","",[2]Baskol!$B$1002)</f>
        <v/>
      </c>
      <c r="V999">
        <f>IF([2]Baskol!$C$1002="","",[2]Baskol!$C$1002)</f>
        <v/>
      </c>
      <c r="W999">
        <f>IF([2]Baskol!$D$1002="","",[2]Baskol!$D$1002)</f>
        <v/>
      </c>
      <c r="X999">
        <f>IF([2]Baskol!$E$1002="","",[2]Baskol!$E$1002)</f>
        <v/>
      </c>
      <c r="Y999">
        <f>IF([2]Baskol!$G$1002="","",[2]Baskol!$G$1002)</f>
        <v/>
      </c>
      <c r="Z999">
        <f>IF([2]Baskol!$I$1002="","",[2]Baskol!$I$1002)</f>
        <v/>
      </c>
      <c r="AA999">
        <f>IF([2]Baskol!$J$1002="","",[2]Baskol!$J$1002)</f>
        <v/>
      </c>
      <c r="AB999">
        <f>IF([2]Baskol!$K$1002="","",[2]Baskol!$K$1002)</f>
        <v/>
      </c>
      <c r="AC999">
        <f>IF([2]Baskol!$L$1002="","",[2]Baskol!$L$1002)</f>
        <v/>
      </c>
      <c r="AD999">
        <f>IF([2]Baskol!$N$1002="","",[2]Baskol!$N$1002)</f>
        <v/>
      </c>
      <c r="AE999">
        <f>IF([2]Baskol!$O$1002="","",[2]Baskol!$O$1002)</f>
        <v/>
      </c>
      <c r="AG999">
        <f>IF([3]Entry!$C$1002="","",[3]Entry!$C$1002)</f>
        <v/>
      </c>
      <c r="AH999">
        <f>IF([3]Entry!$D$1002="","",[3]Entry!$D$1002)</f>
        <v/>
      </c>
      <c r="AI999">
        <f>IF([3]Entry!$E$1002="","",[3]Entry!$E$1002)</f>
        <v/>
      </c>
      <c r="AJ999">
        <f>IF([3]Entry!$G$1002="","",[3]Entry!$G$1002)</f>
        <v/>
      </c>
      <c r="AK999">
        <f>IF([3]Entry!$K$1002="","",[3]Entry!$K$1002)</f>
        <v/>
      </c>
      <c r="AL999">
        <f>IF([3]Entry!$L$1002="","",[3]Entry!$L$1002)</f>
        <v/>
      </c>
      <c r="AM999">
        <f>IF([3]Entry!$M$1002="","",[3]Entry!$M$1002)</f>
        <v/>
      </c>
      <c r="AN999">
        <f>IF([3]Entry!$N$1002="","",[3]Entry!$N$1002)</f>
        <v/>
      </c>
      <c r="AO999">
        <f>IF([3]Entry!$R$1002="","",[3]Entry!$R$1002)</f>
        <v/>
      </c>
    </row>
    <row r="1000">
      <c r="U1000">
        <f>IF([2]Baskol!$B$1003="","",[2]Baskol!$B$1003)</f>
        <v/>
      </c>
      <c r="V1000">
        <f>IF([2]Baskol!$C$1003="","",[2]Baskol!$C$1003)</f>
        <v/>
      </c>
      <c r="W1000">
        <f>IF([2]Baskol!$D$1003="","",[2]Baskol!$D$1003)</f>
        <v/>
      </c>
      <c r="X1000">
        <f>IF([2]Baskol!$E$1003="","",[2]Baskol!$E$1003)</f>
        <v/>
      </c>
      <c r="Y1000">
        <f>IF([2]Baskol!$G$1003="","",[2]Baskol!$G$1003)</f>
        <v/>
      </c>
      <c r="Z1000">
        <f>IF([2]Baskol!$I$1003="","",[2]Baskol!$I$1003)</f>
        <v/>
      </c>
      <c r="AA1000">
        <f>IF([2]Baskol!$J$1003="","",[2]Baskol!$J$1003)</f>
        <v/>
      </c>
      <c r="AB1000">
        <f>IF([2]Baskol!$K$1003="","",[2]Baskol!$K$1003)</f>
        <v/>
      </c>
      <c r="AC1000">
        <f>IF([2]Baskol!$L$1003="","",[2]Baskol!$L$1003)</f>
        <v/>
      </c>
      <c r="AD1000">
        <f>IF([2]Baskol!$N$1003="","",[2]Baskol!$N$1003)</f>
        <v/>
      </c>
      <c r="AE1000">
        <f>IF([2]Baskol!$O$1003="","",[2]Baskol!$O$1003)</f>
        <v/>
      </c>
      <c r="AG1000">
        <f>IF([3]Entry!$C$1003="","",[3]Entry!$C$1003)</f>
        <v/>
      </c>
      <c r="AH1000">
        <f>IF([3]Entry!$D$1003="","",[3]Entry!$D$1003)</f>
        <v/>
      </c>
      <c r="AI1000">
        <f>IF([3]Entry!$E$1003="","",[3]Entry!$E$1003)</f>
        <v/>
      </c>
      <c r="AJ1000">
        <f>IF([3]Entry!$G$1003="","",[3]Entry!$G$1003)</f>
        <v/>
      </c>
      <c r="AK1000">
        <f>IF([3]Entry!$K$1003="","",[3]Entry!$K$1003)</f>
        <v/>
      </c>
      <c r="AL1000">
        <f>IF([3]Entry!$L$1003="","",[3]Entry!$L$1003)</f>
        <v/>
      </c>
      <c r="AM1000">
        <f>IF([3]Entry!$M$1003="","",[3]Entry!$M$1003)</f>
        <v/>
      </c>
      <c r="AN1000">
        <f>IF([3]Entry!$N$1003="","",[3]Entry!$N$1003)</f>
        <v/>
      </c>
      <c r="AO1000">
        <f>IF([3]Entry!$R$1003="","",[3]Entry!$R$1003)</f>
        <v/>
      </c>
    </row>
    <row r="1001">
      <c r="U1001">
        <f>IF([2]Baskol!$B$1004="","",[2]Baskol!$B$1004)</f>
        <v/>
      </c>
      <c r="V1001">
        <f>IF([2]Baskol!$C$1004="","",[2]Baskol!$C$1004)</f>
        <v/>
      </c>
      <c r="W1001">
        <f>IF([2]Baskol!$D$1004="","",[2]Baskol!$D$1004)</f>
        <v/>
      </c>
      <c r="X1001">
        <f>IF([2]Baskol!$E$1004="","",[2]Baskol!$E$1004)</f>
        <v/>
      </c>
      <c r="Y1001">
        <f>IF([2]Baskol!$G$1004="","",[2]Baskol!$G$1004)</f>
        <v/>
      </c>
      <c r="Z1001">
        <f>IF([2]Baskol!$I$1004="","",[2]Baskol!$I$1004)</f>
        <v/>
      </c>
      <c r="AA1001">
        <f>IF([2]Baskol!$J$1004="","",[2]Baskol!$J$1004)</f>
        <v/>
      </c>
      <c r="AB1001">
        <f>IF([2]Baskol!$K$1004="","",[2]Baskol!$K$1004)</f>
        <v/>
      </c>
      <c r="AC1001">
        <f>IF([2]Baskol!$L$1004="","",[2]Baskol!$L$1004)</f>
        <v/>
      </c>
      <c r="AD1001">
        <f>IF([2]Baskol!$N$1004="","",[2]Baskol!$N$1004)</f>
        <v/>
      </c>
      <c r="AE1001">
        <f>IF([2]Baskol!$O$1004="","",[2]Baskol!$O$1004)</f>
        <v/>
      </c>
      <c r="AG1001">
        <f>IF([3]Entry!$C$1004="","",[3]Entry!$C$1004)</f>
        <v/>
      </c>
      <c r="AH1001">
        <f>IF([3]Entry!$D$1004="","",[3]Entry!$D$1004)</f>
        <v/>
      </c>
      <c r="AI1001">
        <f>IF([3]Entry!$E$1004="","",[3]Entry!$E$1004)</f>
        <v/>
      </c>
      <c r="AJ1001">
        <f>IF([3]Entry!$G$1004="","",[3]Entry!$G$1004)</f>
        <v/>
      </c>
      <c r="AK1001">
        <f>IF([3]Entry!$K$1004="","",[3]Entry!$K$1004)</f>
        <v/>
      </c>
      <c r="AL1001">
        <f>IF([3]Entry!$L$1004="","",[3]Entry!$L$1004)</f>
        <v/>
      </c>
      <c r="AM1001">
        <f>IF([3]Entry!$M$1004="","",[3]Entry!$M$1004)</f>
        <v/>
      </c>
      <c r="AN1001">
        <f>IF([3]Entry!$N$1004="","",[3]Entry!$N$1004)</f>
        <v/>
      </c>
      <c r="AO1001">
        <f>IF([3]Entry!$R$1004="","",[3]Entry!$R$1004)</f>
        <v/>
      </c>
    </row>
    <row r="1002">
      <c r="U1002">
        <f>IF([2]Baskol!$B$1005="","",[2]Baskol!$B$1005)</f>
        <v/>
      </c>
      <c r="V1002">
        <f>IF([2]Baskol!$C$1005="","",[2]Baskol!$C$1005)</f>
        <v/>
      </c>
      <c r="W1002">
        <f>IF([2]Baskol!$D$1005="","",[2]Baskol!$D$1005)</f>
        <v/>
      </c>
      <c r="X1002">
        <f>IF([2]Baskol!$E$1005="","",[2]Baskol!$E$1005)</f>
        <v/>
      </c>
      <c r="Y1002">
        <f>IF([2]Baskol!$G$1005="","",[2]Baskol!$G$1005)</f>
        <v/>
      </c>
      <c r="Z1002">
        <f>IF([2]Baskol!$I$1005="","",[2]Baskol!$I$1005)</f>
        <v/>
      </c>
      <c r="AA1002">
        <f>IF([2]Baskol!$J$1005="","",[2]Baskol!$J$1005)</f>
        <v/>
      </c>
      <c r="AB1002">
        <f>IF([2]Baskol!$K$1005="","",[2]Baskol!$K$1005)</f>
        <v/>
      </c>
      <c r="AC1002">
        <f>IF([2]Baskol!$L$1005="","",[2]Baskol!$L$1005)</f>
        <v/>
      </c>
      <c r="AD1002">
        <f>IF([2]Baskol!$N$1005="","",[2]Baskol!$N$1005)</f>
        <v/>
      </c>
      <c r="AE1002">
        <f>IF([2]Baskol!$O$1005="","",[2]Baskol!$O$1005)</f>
        <v/>
      </c>
      <c r="AG1002">
        <f>IF([3]Entry!$C$1005="","",[3]Entry!$C$1005)</f>
        <v/>
      </c>
      <c r="AH1002">
        <f>IF([3]Entry!$D$1005="","",[3]Entry!$D$1005)</f>
        <v/>
      </c>
      <c r="AI1002">
        <f>IF([3]Entry!$E$1005="","",[3]Entry!$E$1005)</f>
        <v/>
      </c>
      <c r="AJ1002">
        <f>IF([3]Entry!$G$1005="","",[3]Entry!$G$1005)</f>
        <v/>
      </c>
      <c r="AK1002">
        <f>IF([3]Entry!$K$1005="","",[3]Entry!$K$1005)</f>
        <v/>
      </c>
      <c r="AL1002">
        <f>IF([3]Entry!$L$1005="","",[3]Entry!$L$1005)</f>
        <v/>
      </c>
      <c r="AM1002">
        <f>IF([3]Entry!$M$1005="","",[3]Entry!$M$1005)</f>
        <v/>
      </c>
      <c r="AN1002">
        <f>IF([3]Entry!$N$1005="","",[3]Entry!$N$1005)</f>
        <v/>
      </c>
      <c r="AO1002">
        <f>IF([3]Entry!$R$1005="","",[3]Entry!$R$1005)</f>
        <v/>
      </c>
    </row>
    <row r="1003">
      <c r="U1003">
        <f>IF([2]Baskol!$B$1006="","",[2]Baskol!$B$1006)</f>
        <v/>
      </c>
      <c r="V1003">
        <f>IF([2]Baskol!$C$1006="","",[2]Baskol!$C$1006)</f>
        <v/>
      </c>
      <c r="W1003">
        <f>IF([2]Baskol!$D$1006="","",[2]Baskol!$D$1006)</f>
        <v/>
      </c>
      <c r="X1003">
        <f>IF([2]Baskol!$E$1006="","",[2]Baskol!$E$1006)</f>
        <v/>
      </c>
      <c r="Y1003">
        <f>IF([2]Baskol!$G$1006="","",[2]Baskol!$G$1006)</f>
        <v/>
      </c>
      <c r="Z1003">
        <f>IF([2]Baskol!$I$1006="","",[2]Baskol!$I$1006)</f>
        <v/>
      </c>
      <c r="AA1003">
        <f>IF([2]Baskol!$J$1006="","",[2]Baskol!$J$1006)</f>
        <v/>
      </c>
      <c r="AB1003">
        <f>IF([2]Baskol!$K$1006="","",[2]Baskol!$K$1006)</f>
        <v/>
      </c>
      <c r="AC1003">
        <f>IF([2]Baskol!$L$1006="","",[2]Baskol!$L$1006)</f>
        <v/>
      </c>
      <c r="AD1003">
        <f>IF([2]Baskol!$N$1006="","",[2]Baskol!$N$1006)</f>
        <v/>
      </c>
      <c r="AE1003">
        <f>IF([2]Baskol!$O$1006="","",[2]Baskol!$O$1006)</f>
        <v/>
      </c>
      <c r="AG1003">
        <f>IF([3]Entry!$C$1006="","",[3]Entry!$C$1006)</f>
        <v/>
      </c>
      <c r="AH1003">
        <f>IF([3]Entry!$D$1006="","",[3]Entry!$D$1006)</f>
        <v/>
      </c>
      <c r="AI1003">
        <f>IF([3]Entry!$E$1006="","",[3]Entry!$E$1006)</f>
        <v/>
      </c>
      <c r="AJ1003">
        <f>IF([3]Entry!$G$1006="","",[3]Entry!$G$1006)</f>
        <v/>
      </c>
      <c r="AK1003">
        <f>IF([3]Entry!$K$1006="","",[3]Entry!$K$1006)</f>
        <v/>
      </c>
      <c r="AL1003">
        <f>IF([3]Entry!$L$1006="","",[3]Entry!$L$1006)</f>
        <v/>
      </c>
      <c r="AM1003">
        <f>IF([3]Entry!$M$1006="","",[3]Entry!$M$1006)</f>
        <v/>
      </c>
      <c r="AN1003">
        <f>IF([3]Entry!$N$1006="","",[3]Entry!$N$1006)</f>
        <v/>
      </c>
      <c r="AO1003">
        <f>IF([3]Entry!$R$1006="","",[3]Entry!$R$1006)</f>
        <v/>
      </c>
    </row>
    <row r="1004">
      <c r="U1004">
        <f>IF([2]Baskol!$B$1007="","",[2]Baskol!$B$1007)</f>
        <v/>
      </c>
      <c r="V1004">
        <f>IF([2]Baskol!$C$1007="","",[2]Baskol!$C$1007)</f>
        <v/>
      </c>
      <c r="W1004">
        <f>IF([2]Baskol!$D$1007="","",[2]Baskol!$D$1007)</f>
        <v/>
      </c>
      <c r="X1004">
        <f>IF([2]Baskol!$E$1007="","",[2]Baskol!$E$1007)</f>
        <v/>
      </c>
      <c r="Y1004">
        <f>IF([2]Baskol!$G$1007="","",[2]Baskol!$G$1007)</f>
        <v/>
      </c>
      <c r="Z1004">
        <f>IF([2]Baskol!$I$1007="","",[2]Baskol!$I$1007)</f>
        <v/>
      </c>
      <c r="AA1004">
        <f>IF([2]Baskol!$J$1007="","",[2]Baskol!$J$1007)</f>
        <v/>
      </c>
      <c r="AB1004">
        <f>IF([2]Baskol!$K$1007="","",[2]Baskol!$K$1007)</f>
        <v/>
      </c>
      <c r="AC1004">
        <f>IF([2]Baskol!$L$1007="","",[2]Baskol!$L$1007)</f>
        <v/>
      </c>
      <c r="AD1004">
        <f>IF([2]Baskol!$N$1007="","",[2]Baskol!$N$1007)</f>
        <v/>
      </c>
      <c r="AE1004">
        <f>IF([2]Baskol!$O$1007="","",[2]Baskol!$O$1007)</f>
        <v/>
      </c>
      <c r="AG1004">
        <f>IF([3]Entry!$C$1007="","",[3]Entry!$C$1007)</f>
        <v/>
      </c>
      <c r="AH1004">
        <f>IF([3]Entry!$D$1007="","",[3]Entry!$D$1007)</f>
        <v/>
      </c>
      <c r="AI1004">
        <f>IF([3]Entry!$E$1007="","",[3]Entry!$E$1007)</f>
        <v/>
      </c>
      <c r="AJ1004">
        <f>IF([3]Entry!$G$1007="","",[3]Entry!$G$1007)</f>
        <v/>
      </c>
      <c r="AK1004">
        <f>IF([3]Entry!$K$1007="","",[3]Entry!$K$1007)</f>
        <v/>
      </c>
      <c r="AL1004">
        <f>IF([3]Entry!$L$1007="","",[3]Entry!$L$1007)</f>
        <v/>
      </c>
      <c r="AM1004">
        <f>IF([3]Entry!$M$1007="","",[3]Entry!$M$1007)</f>
        <v/>
      </c>
      <c r="AN1004">
        <f>IF([3]Entry!$N$1007="","",[3]Entry!$N$1007)</f>
        <v/>
      </c>
      <c r="AO1004">
        <f>IF([3]Entry!$R$1007="","",[3]Entry!$R$1007)</f>
        <v/>
      </c>
    </row>
    <row r="1005">
      <c r="U1005">
        <f>IF([2]Baskol!$B$1008="","",[2]Baskol!$B$1008)</f>
        <v/>
      </c>
      <c r="V1005">
        <f>IF([2]Baskol!$C$1008="","",[2]Baskol!$C$1008)</f>
        <v/>
      </c>
      <c r="W1005">
        <f>IF([2]Baskol!$D$1008="","",[2]Baskol!$D$1008)</f>
        <v/>
      </c>
      <c r="X1005">
        <f>IF([2]Baskol!$E$1008="","",[2]Baskol!$E$1008)</f>
        <v/>
      </c>
      <c r="Y1005">
        <f>IF([2]Baskol!$G$1008="","",[2]Baskol!$G$1008)</f>
        <v/>
      </c>
      <c r="Z1005">
        <f>IF([2]Baskol!$I$1008="","",[2]Baskol!$I$1008)</f>
        <v/>
      </c>
      <c r="AA1005">
        <f>IF([2]Baskol!$J$1008="","",[2]Baskol!$J$1008)</f>
        <v/>
      </c>
      <c r="AB1005">
        <f>IF([2]Baskol!$K$1008="","",[2]Baskol!$K$1008)</f>
        <v/>
      </c>
      <c r="AC1005">
        <f>IF([2]Baskol!$L$1008="","",[2]Baskol!$L$1008)</f>
        <v/>
      </c>
      <c r="AD1005">
        <f>IF([2]Baskol!$N$1008="","",[2]Baskol!$N$1008)</f>
        <v/>
      </c>
      <c r="AE1005">
        <f>IF([2]Baskol!$O$1008="","",[2]Baskol!$O$1008)</f>
        <v/>
      </c>
      <c r="AG1005">
        <f>IF([3]Entry!$C$1008="","",[3]Entry!$C$1008)</f>
        <v/>
      </c>
      <c r="AH1005">
        <f>IF([3]Entry!$D$1008="","",[3]Entry!$D$1008)</f>
        <v/>
      </c>
      <c r="AI1005">
        <f>IF([3]Entry!$E$1008="","",[3]Entry!$E$1008)</f>
        <v/>
      </c>
      <c r="AJ1005">
        <f>IF([3]Entry!$G$1008="","",[3]Entry!$G$1008)</f>
        <v/>
      </c>
      <c r="AK1005">
        <f>IF([3]Entry!$K$1008="","",[3]Entry!$K$1008)</f>
        <v/>
      </c>
      <c r="AL1005">
        <f>IF([3]Entry!$L$1008="","",[3]Entry!$L$1008)</f>
        <v/>
      </c>
      <c r="AM1005">
        <f>IF([3]Entry!$M$1008="","",[3]Entry!$M$1008)</f>
        <v/>
      </c>
      <c r="AN1005">
        <f>IF([3]Entry!$N$1008="","",[3]Entry!$N$1008)</f>
        <v/>
      </c>
      <c r="AO1005">
        <f>IF([3]Entry!$R$1008="","",[3]Entry!$R$1008)</f>
        <v/>
      </c>
    </row>
    <row r="1006">
      <c r="U1006">
        <f>IF([2]Baskol!$B$1009="","",[2]Baskol!$B$1009)</f>
        <v/>
      </c>
      <c r="V1006">
        <f>IF([2]Baskol!$C$1009="","",[2]Baskol!$C$1009)</f>
        <v/>
      </c>
      <c r="W1006">
        <f>IF([2]Baskol!$D$1009="","",[2]Baskol!$D$1009)</f>
        <v/>
      </c>
      <c r="X1006">
        <f>IF([2]Baskol!$E$1009="","",[2]Baskol!$E$1009)</f>
        <v/>
      </c>
      <c r="Y1006">
        <f>IF([2]Baskol!$G$1009="","",[2]Baskol!$G$1009)</f>
        <v/>
      </c>
      <c r="Z1006">
        <f>IF([2]Baskol!$I$1009="","",[2]Baskol!$I$1009)</f>
        <v/>
      </c>
      <c r="AA1006">
        <f>IF([2]Baskol!$J$1009="","",[2]Baskol!$J$1009)</f>
        <v/>
      </c>
      <c r="AB1006">
        <f>IF([2]Baskol!$K$1009="","",[2]Baskol!$K$1009)</f>
        <v/>
      </c>
      <c r="AC1006">
        <f>IF([2]Baskol!$L$1009="","",[2]Baskol!$L$1009)</f>
        <v/>
      </c>
      <c r="AD1006">
        <f>IF([2]Baskol!$N$1009="","",[2]Baskol!$N$1009)</f>
        <v/>
      </c>
      <c r="AE1006">
        <f>IF([2]Baskol!$O$1009="","",[2]Baskol!$O$1009)</f>
        <v/>
      </c>
      <c r="AG1006">
        <f>IF([3]Entry!$C$1009="","",[3]Entry!$C$1009)</f>
        <v/>
      </c>
      <c r="AH1006">
        <f>IF([3]Entry!$D$1009="","",[3]Entry!$D$1009)</f>
        <v/>
      </c>
      <c r="AI1006">
        <f>IF([3]Entry!$E$1009="","",[3]Entry!$E$1009)</f>
        <v/>
      </c>
      <c r="AJ1006">
        <f>IF([3]Entry!$G$1009="","",[3]Entry!$G$1009)</f>
        <v/>
      </c>
      <c r="AK1006">
        <f>IF([3]Entry!$K$1009="","",[3]Entry!$K$1009)</f>
        <v/>
      </c>
      <c r="AL1006">
        <f>IF([3]Entry!$L$1009="","",[3]Entry!$L$1009)</f>
        <v/>
      </c>
      <c r="AM1006">
        <f>IF([3]Entry!$M$1009="","",[3]Entry!$M$1009)</f>
        <v/>
      </c>
      <c r="AN1006">
        <f>IF([3]Entry!$N$1009="","",[3]Entry!$N$1009)</f>
        <v/>
      </c>
      <c r="AO1006">
        <f>IF([3]Entry!$R$1009="","",[3]Entry!$R$1009)</f>
        <v/>
      </c>
    </row>
    <row r="1007">
      <c r="U1007">
        <f>IF([2]Baskol!$B$1010="","",[2]Baskol!$B$1010)</f>
        <v/>
      </c>
      <c r="V1007">
        <f>IF([2]Baskol!$C$1010="","",[2]Baskol!$C$1010)</f>
        <v/>
      </c>
      <c r="W1007">
        <f>IF([2]Baskol!$D$1010="","",[2]Baskol!$D$1010)</f>
        <v/>
      </c>
      <c r="X1007">
        <f>IF([2]Baskol!$E$1010="","",[2]Baskol!$E$1010)</f>
        <v/>
      </c>
      <c r="Y1007">
        <f>IF([2]Baskol!$G$1010="","",[2]Baskol!$G$1010)</f>
        <v/>
      </c>
      <c r="Z1007">
        <f>IF([2]Baskol!$I$1010="","",[2]Baskol!$I$1010)</f>
        <v/>
      </c>
      <c r="AA1007">
        <f>IF([2]Baskol!$J$1010="","",[2]Baskol!$J$1010)</f>
        <v/>
      </c>
      <c r="AB1007">
        <f>IF([2]Baskol!$K$1010="","",[2]Baskol!$K$1010)</f>
        <v/>
      </c>
      <c r="AC1007">
        <f>IF([2]Baskol!$L$1010="","",[2]Baskol!$L$1010)</f>
        <v/>
      </c>
      <c r="AD1007">
        <f>IF([2]Baskol!$N$1010="","",[2]Baskol!$N$1010)</f>
        <v/>
      </c>
      <c r="AE1007">
        <f>IF([2]Baskol!$O$1010="","",[2]Baskol!$O$1010)</f>
        <v/>
      </c>
      <c r="AG1007">
        <f>IF([3]Entry!$C$1010="","",[3]Entry!$C$1010)</f>
        <v/>
      </c>
      <c r="AH1007">
        <f>IF([3]Entry!$D$1010="","",[3]Entry!$D$1010)</f>
        <v/>
      </c>
      <c r="AI1007">
        <f>IF([3]Entry!$E$1010="","",[3]Entry!$E$1010)</f>
        <v/>
      </c>
      <c r="AJ1007">
        <f>IF([3]Entry!$G$1010="","",[3]Entry!$G$1010)</f>
        <v/>
      </c>
      <c r="AK1007">
        <f>IF([3]Entry!$K$1010="","",[3]Entry!$K$1010)</f>
        <v/>
      </c>
      <c r="AL1007">
        <f>IF([3]Entry!$L$1010="","",[3]Entry!$L$1010)</f>
        <v/>
      </c>
      <c r="AM1007">
        <f>IF([3]Entry!$M$1010="","",[3]Entry!$M$1010)</f>
        <v/>
      </c>
      <c r="AN1007">
        <f>IF([3]Entry!$N$1010="","",[3]Entry!$N$1010)</f>
        <v/>
      </c>
      <c r="AO1007">
        <f>IF([3]Entry!$R$1010="","",[3]Entry!$R$1010)</f>
        <v/>
      </c>
    </row>
    <row r="1008">
      <c r="U1008">
        <f>IF([2]Baskol!$B$1011="","",[2]Baskol!$B$1011)</f>
        <v/>
      </c>
      <c r="V1008">
        <f>IF([2]Baskol!$C$1011="","",[2]Baskol!$C$1011)</f>
        <v/>
      </c>
      <c r="W1008">
        <f>IF([2]Baskol!$D$1011="","",[2]Baskol!$D$1011)</f>
        <v/>
      </c>
      <c r="X1008">
        <f>IF([2]Baskol!$E$1011="","",[2]Baskol!$E$1011)</f>
        <v/>
      </c>
      <c r="Y1008">
        <f>IF([2]Baskol!$G$1011="","",[2]Baskol!$G$1011)</f>
        <v/>
      </c>
      <c r="Z1008">
        <f>IF([2]Baskol!$I$1011="","",[2]Baskol!$I$1011)</f>
        <v/>
      </c>
      <c r="AA1008">
        <f>IF([2]Baskol!$J$1011="","",[2]Baskol!$J$1011)</f>
        <v/>
      </c>
      <c r="AB1008">
        <f>IF([2]Baskol!$K$1011="","",[2]Baskol!$K$1011)</f>
        <v/>
      </c>
      <c r="AC1008">
        <f>IF([2]Baskol!$L$1011="","",[2]Baskol!$L$1011)</f>
        <v/>
      </c>
      <c r="AD1008">
        <f>IF([2]Baskol!$N$1011="","",[2]Baskol!$N$1011)</f>
        <v/>
      </c>
      <c r="AE1008">
        <f>IF([2]Baskol!$O$1011="","",[2]Baskol!$O$1011)</f>
        <v/>
      </c>
      <c r="AG1008">
        <f>IF([3]Entry!$C$1011="","",[3]Entry!$C$1011)</f>
        <v/>
      </c>
      <c r="AH1008">
        <f>IF([3]Entry!$D$1011="","",[3]Entry!$D$1011)</f>
        <v/>
      </c>
      <c r="AI1008">
        <f>IF([3]Entry!$E$1011="","",[3]Entry!$E$1011)</f>
        <v/>
      </c>
      <c r="AJ1008">
        <f>IF([3]Entry!$G$1011="","",[3]Entry!$G$1011)</f>
        <v/>
      </c>
      <c r="AK1008">
        <f>IF([3]Entry!$K$1011="","",[3]Entry!$K$1011)</f>
        <v/>
      </c>
      <c r="AL1008">
        <f>IF([3]Entry!$L$1011="","",[3]Entry!$L$1011)</f>
        <v/>
      </c>
      <c r="AM1008">
        <f>IF([3]Entry!$M$1011="","",[3]Entry!$M$1011)</f>
        <v/>
      </c>
      <c r="AN1008">
        <f>IF([3]Entry!$N$1011="","",[3]Entry!$N$1011)</f>
        <v/>
      </c>
      <c r="AO1008">
        <f>IF([3]Entry!$R$1011="","",[3]Entry!$R$1011)</f>
        <v/>
      </c>
    </row>
    <row r="1009">
      <c r="U1009">
        <f>IF([2]Baskol!$B$1012="","",[2]Baskol!$B$1012)</f>
        <v/>
      </c>
      <c r="V1009">
        <f>IF([2]Baskol!$C$1012="","",[2]Baskol!$C$1012)</f>
        <v/>
      </c>
      <c r="W1009">
        <f>IF([2]Baskol!$D$1012="","",[2]Baskol!$D$1012)</f>
        <v/>
      </c>
      <c r="X1009">
        <f>IF([2]Baskol!$E$1012="","",[2]Baskol!$E$1012)</f>
        <v/>
      </c>
      <c r="Y1009">
        <f>IF([2]Baskol!$G$1012="","",[2]Baskol!$G$1012)</f>
        <v/>
      </c>
      <c r="Z1009">
        <f>IF([2]Baskol!$I$1012="","",[2]Baskol!$I$1012)</f>
        <v/>
      </c>
      <c r="AA1009">
        <f>IF([2]Baskol!$J$1012="","",[2]Baskol!$J$1012)</f>
        <v/>
      </c>
      <c r="AB1009">
        <f>IF([2]Baskol!$K$1012="","",[2]Baskol!$K$1012)</f>
        <v/>
      </c>
      <c r="AC1009">
        <f>IF([2]Baskol!$L$1012="","",[2]Baskol!$L$1012)</f>
        <v/>
      </c>
      <c r="AD1009">
        <f>IF([2]Baskol!$N$1012="","",[2]Baskol!$N$1012)</f>
        <v/>
      </c>
      <c r="AE1009">
        <f>IF([2]Baskol!$O$1012="","",[2]Baskol!$O$1012)</f>
        <v/>
      </c>
      <c r="AG1009">
        <f>IF([3]Entry!$C$1012="","",[3]Entry!$C$1012)</f>
        <v/>
      </c>
      <c r="AH1009">
        <f>IF([3]Entry!$D$1012="","",[3]Entry!$D$1012)</f>
        <v/>
      </c>
      <c r="AI1009">
        <f>IF([3]Entry!$E$1012="","",[3]Entry!$E$1012)</f>
        <v/>
      </c>
      <c r="AJ1009">
        <f>IF([3]Entry!$G$1012="","",[3]Entry!$G$1012)</f>
        <v/>
      </c>
      <c r="AK1009">
        <f>IF([3]Entry!$K$1012="","",[3]Entry!$K$1012)</f>
        <v/>
      </c>
      <c r="AL1009">
        <f>IF([3]Entry!$L$1012="","",[3]Entry!$L$1012)</f>
        <v/>
      </c>
      <c r="AM1009">
        <f>IF([3]Entry!$M$1012="","",[3]Entry!$M$1012)</f>
        <v/>
      </c>
      <c r="AN1009">
        <f>IF([3]Entry!$N$1012="","",[3]Entry!$N$1012)</f>
        <v/>
      </c>
      <c r="AO1009">
        <f>IF([3]Entry!$R$1012="","",[3]Entry!$R$1012)</f>
        <v/>
      </c>
    </row>
    <row r="1010">
      <c r="U1010">
        <f>IF([2]Baskol!$B$1013="","",[2]Baskol!$B$1013)</f>
        <v/>
      </c>
      <c r="V1010">
        <f>IF([2]Baskol!$C$1013="","",[2]Baskol!$C$1013)</f>
        <v/>
      </c>
      <c r="W1010">
        <f>IF([2]Baskol!$D$1013="","",[2]Baskol!$D$1013)</f>
        <v/>
      </c>
      <c r="X1010">
        <f>IF([2]Baskol!$E$1013="","",[2]Baskol!$E$1013)</f>
        <v/>
      </c>
      <c r="Y1010">
        <f>IF([2]Baskol!$G$1013="","",[2]Baskol!$G$1013)</f>
        <v/>
      </c>
      <c r="Z1010">
        <f>IF([2]Baskol!$I$1013="","",[2]Baskol!$I$1013)</f>
        <v/>
      </c>
      <c r="AA1010">
        <f>IF([2]Baskol!$J$1013="","",[2]Baskol!$J$1013)</f>
        <v/>
      </c>
      <c r="AB1010">
        <f>IF([2]Baskol!$K$1013="","",[2]Baskol!$K$1013)</f>
        <v/>
      </c>
      <c r="AC1010">
        <f>IF([2]Baskol!$L$1013="","",[2]Baskol!$L$1013)</f>
        <v/>
      </c>
      <c r="AD1010">
        <f>IF([2]Baskol!$N$1013="","",[2]Baskol!$N$1013)</f>
        <v/>
      </c>
      <c r="AE1010">
        <f>IF([2]Baskol!$O$1013="","",[2]Baskol!$O$1013)</f>
        <v/>
      </c>
      <c r="AG1010">
        <f>IF([3]Entry!$C$1013="","",[3]Entry!$C$1013)</f>
        <v/>
      </c>
      <c r="AH1010">
        <f>IF([3]Entry!$D$1013="","",[3]Entry!$D$1013)</f>
        <v/>
      </c>
      <c r="AI1010">
        <f>IF([3]Entry!$E$1013="","",[3]Entry!$E$1013)</f>
        <v/>
      </c>
      <c r="AJ1010">
        <f>IF([3]Entry!$G$1013="","",[3]Entry!$G$1013)</f>
        <v/>
      </c>
      <c r="AK1010">
        <f>IF([3]Entry!$K$1013="","",[3]Entry!$K$1013)</f>
        <v/>
      </c>
      <c r="AL1010">
        <f>IF([3]Entry!$L$1013="","",[3]Entry!$L$1013)</f>
        <v/>
      </c>
      <c r="AM1010">
        <f>IF([3]Entry!$M$1013="","",[3]Entry!$M$1013)</f>
        <v/>
      </c>
      <c r="AN1010">
        <f>IF([3]Entry!$N$1013="","",[3]Entry!$N$1013)</f>
        <v/>
      </c>
      <c r="AO1010">
        <f>IF([3]Entry!$R$1013="","",[3]Entry!$R$1013)</f>
        <v/>
      </c>
    </row>
    <row r="1011">
      <c r="U1011">
        <f>IF([2]Baskol!$B$1014="","",[2]Baskol!$B$1014)</f>
        <v/>
      </c>
      <c r="V1011">
        <f>IF([2]Baskol!$C$1014="","",[2]Baskol!$C$1014)</f>
        <v/>
      </c>
      <c r="W1011">
        <f>IF([2]Baskol!$D$1014="","",[2]Baskol!$D$1014)</f>
        <v/>
      </c>
      <c r="X1011">
        <f>IF([2]Baskol!$E$1014="","",[2]Baskol!$E$1014)</f>
        <v/>
      </c>
      <c r="Y1011">
        <f>IF([2]Baskol!$G$1014="","",[2]Baskol!$G$1014)</f>
        <v/>
      </c>
      <c r="Z1011">
        <f>IF([2]Baskol!$I$1014="","",[2]Baskol!$I$1014)</f>
        <v/>
      </c>
      <c r="AA1011">
        <f>IF([2]Baskol!$J$1014="","",[2]Baskol!$J$1014)</f>
        <v/>
      </c>
      <c r="AB1011">
        <f>IF([2]Baskol!$K$1014="","",[2]Baskol!$K$1014)</f>
        <v/>
      </c>
      <c r="AC1011">
        <f>IF([2]Baskol!$L$1014="","",[2]Baskol!$L$1014)</f>
        <v/>
      </c>
      <c r="AD1011">
        <f>IF([2]Baskol!$N$1014="","",[2]Baskol!$N$1014)</f>
        <v/>
      </c>
      <c r="AE1011">
        <f>IF([2]Baskol!$O$1014="","",[2]Baskol!$O$1014)</f>
        <v/>
      </c>
      <c r="AG1011">
        <f>IF([3]Entry!$C$1014="","",[3]Entry!$C$1014)</f>
        <v/>
      </c>
      <c r="AH1011">
        <f>IF([3]Entry!$D$1014="","",[3]Entry!$D$1014)</f>
        <v/>
      </c>
      <c r="AI1011">
        <f>IF([3]Entry!$E$1014="","",[3]Entry!$E$1014)</f>
        <v/>
      </c>
      <c r="AJ1011">
        <f>IF([3]Entry!$G$1014="","",[3]Entry!$G$1014)</f>
        <v/>
      </c>
      <c r="AK1011">
        <f>IF([3]Entry!$K$1014="","",[3]Entry!$K$1014)</f>
        <v/>
      </c>
      <c r="AL1011">
        <f>IF([3]Entry!$L$1014="","",[3]Entry!$L$1014)</f>
        <v/>
      </c>
      <c r="AM1011">
        <f>IF([3]Entry!$M$1014="","",[3]Entry!$M$1014)</f>
        <v/>
      </c>
      <c r="AN1011">
        <f>IF([3]Entry!$N$1014="","",[3]Entry!$N$1014)</f>
        <v/>
      </c>
      <c r="AO1011">
        <f>IF([3]Entry!$R$1014="","",[3]Entry!$R$1014)</f>
        <v/>
      </c>
    </row>
    <row r="1012">
      <c r="U1012">
        <f>IF([2]Baskol!$B$1015="","",[2]Baskol!$B$1015)</f>
        <v/>
      </c>
      <c r="V1012">
        <f>IF([2]Baskol!$C$1015="","",[2]Baskol!$C$1015)</f>
        <v/>
      </c>
      <c r="W1012">
        <f>IF([2]Baskol!$D$1015="","",[2]Baskol!$D$1015)</f>
        <v/>
      </c>
      <c r="X1012">
        <f>IF([2]Baskol!$E$1015="","",[2]Baskol!$E$1015)</f>
        <v/>
      </c>
      <c r="Y1012">
        <f>IF([2]Baskol!$G$1015="","",[2]Baskol!$G$1015)</f>
        <v/>
      </c>
      <c r="Z1012">
        <f>IF([2]Baskol!$I$1015="","",[2]Baskol!$I$1015)</f>
        <v/>
      </c>
      <c r="AA1012">
        <f>IF([2]Baskol!$J$1015="","",[2]Baskol!$J$1015)</f>
        <v/>
      </c>
      <c r="AB1012">
        <f>IF([2]Baskol!$K$1015="","",[2]Baskol!$K$1015)</f>
        <v/>
      </c>
      <c r="AC1012">
        <f>IF([2]Baskol!$L$1015="","",[2]Baskol!$L$1015)</f>
        <v/>
      </c>
      <c r="AD1012">
        <f>IF([2]Baskol!$N$1015="","",[2]Baskol!$N$1015)</f>
        <v/>
      </c>
      <c r="AE1012">
        <f>IF([2]Baskol!$O$1015="","",[2]Baskol!$O$1015)</f>
        <v/>
      </c>
      <c r="AG1012">
        <f>IF([3]Entry!$C$1015="","",[3]Entry!$C$1015)</f>
        <v/>
      </c>
      <c r="AH1012">
        <f>IF([3]Entry!$D$1015="","",[3]Entry!$D$1015)</f>
        <v/>
      </c>
      <c r="AI1012">
        <f>IF([3]Entry!$E$1015="","",[3]Entry!$E$1015)</f>
        <v/>
      </c>
      <c r="AJ1012">
        <f>IF([3]Entry!$G$1015="","",[3]Entry!$G$1015)</f>
        <v/>
      </c>
      <c r="AK1012">
        <f>IF([3]Entry!$K$1015="","",[3]Entry!$K$1015)</f>
        <v/>
      </c>
      <c r="AL1012">
        <f>IF([3]Entry!$L$1015="","",[3]Entry!$L$1015)</f>
        <v/>
      </c>
      <c r="AM1012">
        <f>IF([3]Entry!$M$1015="","",[3]Entry!$M$1015)</f>
        <v/>
      </c>
      <c r="AN1012">
        <f>IF([3]Entry!$N$1015="","",[3]Entry!$N$1015)</f>
        <v/>
      </c>
      <c r="AO1012">
        <f>IF([3]Entry!$R$1015="","",[3]Entry!$R$1015)</f>
        <v/>
      </c>
    </row>
    <row r="1013">
      <c r="U1013">
        <f>IF([2]Baskol!$B$1016="","",[2]Baskol!$B$1016)</f>
        <v/>
      </c>
      <c r="V1013">
        <f>IF([2]Baskol!$C$1016="","",[2]Baskol!$C$1016)</f>
        <v/>
      </c>
      <c r="W1013">
        <f>IF([2]Baskol!$D$1016="","",[2]Baskol!$D$1016)</f>
        <v/>
      </c>
      <c r="X1013">
        <f>IF([2]Baskol!$E$1016="","",[2]Baskol!$E$1016)</f>
        <v/>
      </c>
      <c r="Y1013">
        <f>IF([2]Baskol!$G$1016="","",[2]Baskol!$G$1016)</f>
        <v/>
      </c>
      <c r="Z1013">
        <f>IF([2]Baskol!$I$1016="","",[2]Baskol!$I$1016)</f>
        <v/>
      </c>
      <c r="AA1013">
        <f>IF([2]Baskol!$J$1016="","",[2]Baskol!$J$1016)</f>
        <v/>
      </c>
      <c r="AB1013">
        <f>IF([2]Baskol!$K$1016="","",[2]Baskol!$K$1016)</f>
        <v/>
      </c>
      <c r="AC1013">
        <f>IF([2]Baskol!$L$1016="","",[2]Baskol!$L$1016)</f>
        <v/>
      </c>
      <c r="AD1013">
        <f>IF([2]Baskol!$N$1016="","",[2]Baskol!$N$1016)</f>
        <v/>
      </c>
      <c r="AE1013">
        <f>IF([2]Baskol!$O$1016="","",[2]Baskol!$O$1016)</f>
        <v/>
      </c>
      <c r="AG1013">
        <f>IF([3]Entry!$C$1016="","",[3]Entry!$C$1016)</f>
        <v/>
      </c>
      <c r="AH1013">
        <f>IF([3]Entry!$D$1016="","",[3]Entry!$D$1016)</f>
        <v/>
      </c>
      <c r="AI1013">
        <f>IF([3]Entry!$E$1016="","",[3]Entry!$E$1016)</f>
        <v/>
      </c>
      <c r="AJ1013">
        <f>IF([3]Entry!$G$1016="","",[3]Entry!$G$1016)</f>
        <v/>
      </c>
      <c r="AK1013">
        <f>IF([3]Entry!$K$1016="","",[3]Entry!$K$1016)</f>
        <v/>
      </c>
      <c r="AL1013">
        <f>IF([3]Entry!$L$1016="","",[3]Entry!$L$1016)</f>
        <v/>
      </c>
      <c r="AM1013">
        <f>IF([3]Entry!$M$1016="","",[3]Entry!$M$1016)</f>
        <v/>
      </c>
      <c r="AN1013">
        <f>IF([3]Entry!$N$1016="","",[3]Entry!$N$1016)</f>
        <v/>
      </c>
      <c r="AO1013">
        <f>IF([3]Entry!$R$1016="","",[3]Entry!$R$1016)</f>
        <v/>
      </c>
    </row>
    <row r="1014">
      <c r="U1014">
        <f>IF([2]Baskol!$B$1017="","",[2]Baskol!$B$1017)</f>
        <v/>
      </c>
      <c r="V1014">
        <f>IF([2]Baskol!$C$1017="","",[2]Baskol!$C$1017)</f>
        <v/>
      </c>
      <c r="W1014">
        <f>IF([2]Baskol!$D$1017="","",[2]Baskol!$D$1017)</f>
        <v/>
      </c>
      <c r="X1014">
        <f>IF([2]Baskol!$E$1017="","",[2]Baskol!$E$1017)</f>
        <v/>
      </c>
      <c r="Y1014">
        <f>IF([2]Baskol!$G$1017="","",[2]Baskol!$G$1017)</f>
        <v/>
      </c>
      <c r="Z1014">
        <f>IF([2]Baskol!$I$1017="","",[2]Baskol!$I$1017)</f>
        <v/>
      </c>
      <c r="AA1014">
        <f>IF([2]Baskol!$J$1017="","",[2]Baskol!$J$1017)</f>
        <v/>
      </c>
      <c r="AB1014">
        <f>IF([2]Baskol!$K$1017="","",[2]Baskol!$K$1017)</f>
        <v/>
      </c>
      <c r="AC1014">
        <f>IF([2]Baskol!$L$1017="","",[2]Baskol!$L$1017)</f>
        <v/>
      </c>
      <c r="AD1014">
        <f>IF([2]Baskol!$N$1017="","",[2]Baskol!$N$1017)</f>
        <v/>
      </c>
      <c r="AE1014">
        <f>IF([2]Baskol!$O$1017="","",[2]Baskol!$O$1017)</f>
        <v/>
      </c>
      <c r="AG1014">
        <f>IF([3]Entry!$C$1017="","",[3]Entry!$C$1017)</f>
        <v/>
      </c>
      <c r="AH1014">
        <f>IF([3]Entry!$D$1017="","",[3]Entry!$D$1017)</f>
        <v/>
      </c>
      <c r="AI1014">
        <f>IF([3]Entry!$E$1017="","",[3]Entry!$E$1017)</f>
        <v/>
      </c>
      <c r="AJ1014">
        <f>IF([3]Entry!$G$1017="","",[3]Entry!$G$1017)</f>
        <v/>
      </c>
      <c r="AK1014">
        <f>IF([3]Entry!$K$1017="","",[3]Entry!$K$1017)</f>
        <v/>
      </c>
      <c r="AL1014">
        <f>IF([3]Entry!$L$1017="","",[3]Entry!$L$1017)</f>
        <v/>
      </c>
      <c r="AM1014">
        <f>IF([3]Entry!$M$1017="","",[3]Entry!$M$1017)</f>
        <v/>
      </c>
      <c r="AN1014">
        <f>IF([3]Entry!$N$1017="","",[3]Entry!$N$1017)</f>
        <v/>
      </c>
      <c r="AO1014">
        <f>IF([3]Entry!$R$1017="","",[3]Entry!$R$1017)</f>
        <v/>
      </c>
    </row>
    <row r="1015">
      <c r="U1015">
        <f>IF([2]Baskol!$B$1018="","",[2]Baskol!$B$1018)</f>
        <v/>
      </c>
      <c r="V1015">
        <f>IF([2]Baskol!$C$1018="","",[2]Baskol!$C$1018)</f>
        <v/>
      </c>
      <c r="W1015">
        <f>IF([2]Baskol!$D$1018="","",[2]Baskol!$D$1018)</f>
        <v/>
      </c>
      <c r="X1015">
        <f>IF([2]Baskol!$E$1018="","",[2]Baskol!$E$1018)</f>
        <v/>
      </c>
      <c r="Y1015">
        <f>IF([2]Baskol!$G$1018="","",[2]Baskol!$G$1018)</f>
        <v/>
      </c>
      <c r="Z1015">
        <f>IF([2]Baskol!$I$1018="","",[2]Baskol!$I$1018)</f>
        <v/>
      </c>
      <c r="AA1015">
        <f>IF([2]Baskol!$J$1018="","",[2]Baskol!$J$1018)</f>
        <v/>
      </c>
      <c r="AB1015">
        <f>IF([2]Baskol!$K$1018="","",[2]Baskol!$K$1018)</f>
        <v/>
      </c>
      <c r="AC1015">
        <f>IF([2]Baskol!$L$1018="","",[2]Baskol!$L$1018)</f>
        <v/>
      </c>
      <c r="AD1015">
        <f>IF([2]Baskol!$N$1018="","",[2]Baskol!$N$1018)</f>
        <v/>
      </c>
      <c r="AE1015">
        <f>IF([2]Baskol!$O$1018="","",[2]Baskol!$O$1018)</f>
        <v/>
      </c>
      <c r="AG1015">
        <f>IF([3]Entry!$C$1018="","",[3]Entry!$C$1018)</f>
        <v/>
      </c>
      <c r="AH1015">
        <f>IF([3]Entry!$D$1018="","",[3]Entry!$D$1018)</f>
        <v/>
      </c>
      <c r="AI1015">
        <f>IF([3]Entry!$E$1018="","",[3]Entry!$E$1018)</f>
        <v/>
      </c>
      <c r="AJ1015">
        <f>IF([3]Entry!$G$1018="","",[3]Entry!$G$1018)</f>
        <v/>
      </c>
      <c r="AK1015">
        <f>IF([3]Entry!$K$1018="","",[3]Entry!$K$1018)</f>
        <v/>
      </c>
      <c r="AL1015">
        <f>IF([3]Entry!$L$1018="","",[3]Entry!$L$1018)</f>
        <v/>
      </c>
      <c r="AM1015">
        <f>IF([3]Entry!$M$1018="","",[3]Entry!$M$1018)</f>
        <v/>
      </c>
      <c r="AN1015">
        <f>IF([3]Entry!$N$1018="","",[3]Entry!$N$1018)</f>
        <v/>
      </c>
      <c r="AO1015">
        <f>IF([3]Entry!$R$1018="","",[3]Entry!$R$1018)</f>
        <v/>
      </c>
    </row>
    <row r="1016">
      <c r="U1016">
        <f>IF([2]Baskol!$B$1019="","",[2]Baskol!$B$1019)</f>
        <v/>
      </c>
      <c r="V1016">
        <f>IF([2]Baskol!$C$1019="","",[2]Baskol!$C$1019)</f>
        <v/>
      </c>
      <c r="W1016">
        <f>IF([2]Baskol!$D$1019="","",[2]Baskol!$D$1019)</f>
        <v/>
      </c>
      <c r="X1016">
        <f>IF([2]Baskol!$E$1019="","",[2]Baskol!$E$1019)</f>
        <v/>
      </c>
      <c r="Y1016">
        <f>IF([2]Baskol!$G$1019="","",[2]Baskol!$G$1019)</f>
        <v/>
      </c>
      <c r="Z1016">
        <f>IF([2]Baskol!$I$1019="","",[2]Baskol!$I$1019)</f>
        <v/>
      </c>
      <c r="AA1016">
        <f>IF([2]Baskol!$J$1019="","",[2]Baskol!$J$1019)</f>
        <v/>
      </c>
      <c r="AB1016">
        <f>IF([2]Baskol!$K$1019="","",[2]Baskol!$K$1019)</f>
        <v/>
      </c>
      <c r="AC1016">
        <f>IF([2]Baskol!$L$1019="","",[2]Baskol!$L$1019)</f>
        <v/>
      </c>
      <c r="AD1016">
        <f>IF([2]Baskol!$N$1019="","",[2]Baskol!$N$1019)</f>
        <v/>
      </c>
      <c r="AE1016">
        <f>IF([2]Baskol!$O$1019="","",[2]Baskol!$O$1019)</f>
        <v/>
      </c>
      <c r="AG1016">
        <f>IF([3]Entry!$C$1019="","",[3]Entry!$C$1019)</f>
        <v/>
      </c>
      <c r="AH1016">
        <f>IF([3]Entry!$D$1019="","",[3]Entry!$D$1019)</f>
        <v/>
      </c>
      <c r="AI1016">
        <f>IF([3]Entry!$E$1019="","",[3]Entry!$E$1019)</f>
        <v/>
      </c>
      <c r="AJ1016">
        <f>IF([3]Entry!$G$1019="","",[3]Entry!$G$1019)</f>
        <v/>
      </c>
      <c r="AK1016">
        <f>IF([3]Entry!$K$1019="","",[3]Entry!$K$1019)</f>
        <v/>
      </c>
      <c r="AL1016">
        <f>IF([3]Entry!$L$1019="","",[3]Entry!$L$1019)</f>
        <v/>
      </c>
      <c r="AM1016">
        <f>IF([3]Entry!$M$1019="","",[3]Entry!$M$1019)</f>
        <v/>
      </c>
      <c r="AN1016">
        <f>IF([3]Entry!$N$1019="","",[3]Entry!$N$1019)</f>
        <v/>
      </c>
      <c r="AO1016">
        <f>IF([3]Entry!$R$1019="","",[3]Entry!$R$1019)</f>
        <v/>
      </c>
    </row>
    <row r="1017">
      <c r="U1017">
        <f>IF([2]Baskol!$B$1020="","",[2]Baskol!$B$1020)</f>
        <v/>
      </c>
      <c r="V1017">
        <f>IF([2]Baskol!$C$1020="","",[2]Baskol!$C$1020)</f>
        <v/>
      </c>
      <c r="W1017">
        <f>IF([2]Baskol!$D$1020="","",[2]Baskol!$D$1020)</f>
        <v/>
      </c>
      <c r="X1017">
        <f>IF([2]Baskol!$E$1020="","",[2]Baskol!$E$1020)</f>
        <v/>
      </c>
      <c r="Y1017">
        <f>IF([2]Baskol!$G$1020="","",[2]Baskol!$G$1020)</f>
        <v/>
      </c>
      <c r="Z1017">
        <f>IF([2]Baskol!$I$1020="","",[2]Baskol!$I$1020)</f>
        <v/>
      </c>
      <c r="AA1017">
        <f>IF([2]Baskol!$J$1020="","",[2]Baskol!$J$1020)</f>
        <v/>
      </c>
      <c r="AB1017">
        <f>IF([2]Baskol!$K$1020="","",[2]Baskol!$K$1020)</f>
        <v/>
      </c>
      <c r="AC1017">
        <f>IF([2]Baskol!$L$1020="","",[2]Baskol!$L$1020)</f>
        <v/>
      </c>
      <c r="AD1017">
        <f>IF([2]Baskol!$N$1020="","",[2]Baskol!$N$1020)</f>
        <v/>
      </c>
      <c r="AE1017">
        <f>IF([2]Baskol!$O$1020="","",[2]Baskol!$O$1020)</f>
        <v/>
      </c>
      <c r="AG1017">
        <f>IF([3]Entry!$C$1020="","",[3]Entry!$C$1020)</f>
        <v/>
      </c>
      <c r="AH1017">
        <f>IF([3]Entry!$D$1020="","",[3]Entry!$D$1020)</f>
        <v/>
      </c>
      <c r="AI1017">
        <f>IF([3]Entry!$E$1020="","",[3]Entry!$E$1020)</f>
        <v/>
      </c>
      <c r="AJ1017">
        <f>IF([3]Entry!$G$1020="","",[3]Entry!$G$1020)</f>
        <v/>
      </c>
      <c r="AK1017">
        <f>IF([3]Entry!$K$1020="","",[3]Entry!$K$1020)</f>
        <v/>
      </c>
      <c r="AL1017">
        <f>IF([3]Entry!$L$1020="","",[3]Entry!$L$1020)</f>
        <v/>
      </c>
      <c r="AM1017">
        <f>IF([3]Entry!$M$1020="","",[3]Entry!$M$1020)</f>
        <v/>
      </c>
      <c r="AN1017">
        <f>IF([3]Entry!$N$1020="","",[3]Entry!$N$1020)</f>
        <v/>
      </c>
      <c r="AO1017">
        <f>IF([3]Entry!$R$1020="","",[3]Entry!$R$1020)</f>
        <v/>
      </c>
    </row>
    <row r="1018">
      <c r="U1018">
        <f>IF([2]Baskol!$B$1021="","",[2]Baskol!$B$1021)</f>
        <v/>
      </c>
      <c r="V1018">
        <f>IF([2]Baskol!$C$1021="","",[2]Baskol!$C$1021)</f>
        <v/>
      </c>
      <c r="W1018">
        <f>IF([2]Baskol!$D$1021="","",[2]Baskol!$D$1021)</f>
        <v/>
      </c>
      <c r="X1018">
        <f>IF([2]Baskol!$E$1021="","",[2]Baskol!$E$1021)</f>
        <v/>
      </c>
      <c r="Y1018">
        <f>IF([2]Baskol!$G$1021="","",[2]Baskol!$G$1021)</f>
        <v/>
      </c>
      <c r="Z1018">
        <f>IF([2]Baskol!$I$1021="","",[2]Baskol!$I$1021)</f>
        <v/>
      </c>
      <c r="AA1018">
        <f>IF([2]Baskol!$J$1021="","",[2]Baskol!$J$1021)</f>
        <v/>
      </c>
      <c r="AB1018">
        <f>IF([2]Baskol!$K$1021="","",[2]Baskol!$K$1021)</f>
        <v/>
      </c>
      <c r="AC1018">
        <f>IF([2]Baskol!$L$1021="","",[2]Baskol!$L$1021)</f>
        <v/>
      </c>
      <c r="AD1018">
        <f>IF([2]Baskol!$N$1021="","",[2]Baskol!$N$1021)</f>
        <v/>
      </c>
      <c r="AE1018">
        <f>IF([2]Baskol!$O$1021="","",[2]Baskol!$O$1021)</f>
        <v/>
      </c>
      <c r="AG1018">
        <f>IF([3]Entry!$C$1021="","",[3]Entry!$C$1021)</f>
        <v/>
      </c>
      <c r="AH1018">
        <f>IF([3]Entry!$D$1021="","",[3]Entry!$D$1021)</f>
        <v/>
      </c>
      <c r="AI1018">
        <f>IF([3]Entry!$E$1021="","",[3]Entry!$E$1021)</f>
        <v/>
      </c>
      <c r="AJ1018">
        <f>IF([3]Entry!$G$1021="","",[3]Entry!$G$1021)</f>
        <v/>
      </c>
      <c r="AK1018">
        <f>IF([3]Entry!$K$1021="","",[3]Entry!$K$1021)</f>
        <v/>
      </c>
      <c r="AL1018">
        <f>IF([3]Entry!$L$1021="","",[3]Entry!$L$1021)</f>
        <v/>
      </c>
      <c r="AM1018">
        <f>IF([3]Entry!$M$1021="","",[3]Entry!$M$1021)</f>
        <v/>
      </c>
      <c r="AN1018">
        <f>IF([3]Entry!$N$1021="","",[3]Entry!$N$1021)</f>
        <v/>
      </c>
      <c r="AO1018">
        <f>IF([3]Entry!$R$1021="","",[3]Entry!$R$1021)</f>
        <v/>
      </c>
    </row>
    <row r="1019">
      <c r="U1019">
        <f>IF([2]Baskol!$B$1022="","",[2]Baskol!$B$1022)</f>
        <v/>
      </c>
      <c r="V1019">
        <f>IF([2]Baskol!$C$1022="","",[2]Baskol!$C$1022)</f>
        <v/>
      </c>
      <c r="W1019">
        <f>IF([2]Baskol!$D$1022="","",[2]Baskol!$D$1022)</f>
        <v/>
      </c>
      <c r="X1019">
        <f>IF([2]Baskol!$E$1022="","",[2]Baskol!$E$1022)</f>
        <v/>
      </c>
      <c r="Y1019">
        <f>IF([2]Baskol!$G$1022="","",[2]Baskol!$G$1022)</f>
        <v/>
      </c>
      <c r="Z1019">
        <f>IF([2]Baskol!$I$1022="","",[2]Baskol!$I$1022)</f>
        <v/>
      </c>
      <c r="AA1019">
        <f>IF([2]Baskol!$J$1022="","",[2]Baskol!$J$1022)</f>
        <v/>
      </c>
      <c r="AB1019">
        <f>IF([2]Baskol!$K$1022="","",[2]Baskol!$K$1022)</f>
        <v/>
      </c>
      <c r="AC1019">
        <f>IF([2]Baskol!$L$1022="","",[2]Baskol!$L$1022)</f>
        <v/>
      </c>
      <c r="AD1019">
        <f>IF([2]Baskol!$N$1022="","",[2]Baskol!$N$1022)</f>
        <v/>
      </c>
      <c r="AE1019">
        <f>IF([2]Baskol!$O$1022="","",[2]Baskol!$O$1022)</f>
        <v/>
      </c>
      <c r="AG1019">
        <f>IF([3]Entry!$C$1022="","",[3]Entry!$C$1022)</f>
        <v/>
      </c>
      <c r="AH1019">
        <f>IF([3]Entry!$D$1022="","",[3]Entry!$D$1022)</f>
        <v/>
      </c>
      <c r="AI1019">
        <f>IF([3]Entry!$E$1022="","",[3]Entry!$E$1022)</f>
        <v/>
      </c>
      <c r="AJ1019">
        <f>IF([3]Entry!$G$1022="","",[3]Entry!$G$1022)</f>
        <v/>
      </c>
      <c r="AK1019">
        <f>IF([3]Entry!$K$1022="","",[3]Entry!$K$1022)</f>
        <v/>
      </c>
      <c r="AL1019">
        <f>IF([3]Entry!$L$1022="","",[3]Entry!$L$1022)</f>
        <v/>
      </c>
      <c r="AM1019">
        <f>IF([3]Entry!$M$1022="","",[3]Entry!$M$1022)</f>
        <v/>
      </c>
      <c r="AN1019">
        <f>IF([3]Entry!$N$1022="","",[3]Entry!$N$1022)</f>
        <v/>
      </c>
      <c r="AO1019">
        <f>IF([3]Entry!$R$1022="","",[3]Entry!$R$1022)</f>
        <v/>
      </c>
    </row>
    <row r="1020">
      <c r="U1020">
        <f>IF([2]Baskol!$B$1023="","",[2]Baskol!$B$1023)</f>
        <v/>
      </c>
      <c r="V1020">
        <f>IF([2]Baskol!$C$1023="","",[2]Baskol!$C$1023)</f>
        <v/>
      </c>
      <c r="W1020">
        <f>IF([2]Baskol!$D$1023="","",[2]Baskol!$D$1023)</f>
        <v/>
      </c>
      <c r="X1020">
        <f>IF([2]Baskol!$E$1023="","",[2]Baskol!$E$1023)</f>
        <v/>
      </c>
      <c r="Y1020">
        <f>IF([2]Baskol!$G$1023="","",[2]Baskol!$G$1023)</f>
        <v/>
      </c>
      <c r="Z1020">
        <f>IF([2]Baskol!$I$1023="","",[2]Baskol!$I$1023)</f>
        <v/>
      </c>
      <c r="AA1020">
        <f>IF([2]Baskol!$J$1023="","",[2]Baskol!$J$1023)</f>
        <v/>
      </c>
      <c r="AB1020">
        <f>IF([2]Baskol!$K$1023="","",[2]Baskol!$K$1023)</f>
        <v/>
      </c>
      <c r="AC1020">
        <f>IF([2]Baskol!$L$1023="","",[2]Baskol!$L$1023)</f>
        <v/>
      </c>
      <c r="AD1020">
        <f>IF([2]Baskol!$N$1023="","",[2]Baskol!$N$1023)</f>
        <v/>
      </c>
      <c r="AE1020">
        <f>IF([2]Baskol!$O$1023="","",[2]Baskol!$O$1023)</f>
        <v/>
      </c>
      <c r="AG1020">
        <f>IF([3]Entry!$C$1023="","",[3]Entry!$C$1023)</f>
        <v/>
      </c>
      <c r="AH1020">
        <f>IF([3]Entry!$D$1023="","",[3]Entry!$D$1023)</f>
        <v/>
      </c>
      <c r="AI1020">
        <f>IF([3]Entry!$E$1023="","",[3]Entry!$E$1023)</f>
        <v/>
      </c>
      <c r="AJ1020">
        <f>IF([3]Entry!$G$1023="","",[3]Entry!$G$1023)</f>
        <v/>
      </c>
      <c r="AK1020">
        <f>IF([3]Entry!$K$1023="","",[3]Entry!$K$1023)</f>
        <v/>
      </c>
      <c r="AL1020">
        <f>IF([3]Entry!$L$1023="","",[3]Entry!$L$1023)</f>
        <v/>
      </c>
      <c r="AM1020">
        <f>IF([3]Entry!$M$1023="","",[3]Entry!$M$1023)</f>
        <v/>
      </c>
      <c r="AN1020">
        <f>IF([3]Entry!$N$1023="","",[3]Entry!$N$1023)</f>
        <v/>
      </c>
      <c r="AO1020">
        <f>IF([3]Entry!$R$1023="","",[3]Entry!$R$1023)</f>
        <v/>
      </c>
    </row>
    <row r="1021">
      <c r="U1021">
        <f>IF([2]Baskol!$B$1024="","",[2]Baskol!$B$1024)</f>
        <v/>
      </c>
      <c r="V1021">
        <f>IF([2]Baskol!$C$1024="","",[2]Baskol!$C$1024)</f>
        <v/>
      </c>
      <c r="W1021">
        <f>IF([2]Baskol!$D$1024="","",[2]Baskol!$D$1024)</f>
        <v/>
      </c>
      <c r="X1021">
        <f>IF([2]Baskol!$E$1024="","",[2]Baskol!$E$1024)</f>
        <v/>
      </c>
      <c r="Y1021">
        <f>IF([2]Baskol!$G$1024="","",[2]Baskol!$G$1024)</f>
        <v/>
      </c>
      <c r="Z1021">
        <f>IF([2]Baskol!$I$1024="","",[2]Baskol!$I$1024)</f>
        <v/>
      </c>
      <c r="AA1021">
        <f>IF([2]Baskol!$J$1024="","",[2]Baskol!$J$1024)</f>
        <v/>
      </c>
      <c r="AB1021">
        <f>IF([2]Baskol!$K$1024="","",[2]Baskol!$K$1024)</f>
        <v/>
      </c>
      <c r="AC1021">
        <f>IF([2]Baskol!$L$1024="","",[2]Baskol!$L$1024)</f>
        <v/>
      </c>
      <c r="AD1021">
        <f>IF([2]Baskol!$N$1024="","",[2]Baskol!$N$1024)</f>
        <v/>
      </c>
      <c r="AE1021">
        <f>IF([2]Baskol!$O$1024="","",[2]Baskol!$O$1024)</f>
        <v/>
      </c>
      <c r="AG1021">
        <f>IF([3]Entry!$C$1024="","",[3]Entry!$C$1024)</f>
        <v/>
      </c>
      <c r="AH1021">
        <f>IF([3]Entry!$D$1024="","",[3]Entry!$D$1024)</f>
        <v/>
      </c>
      <c r="AI1021">
        <f>IF([3]Entry!$E$1024="","",[3]Entry!$E$1024)</f>
        <v/>
      </c>
      <c r="AJ1021">
        <f>IF([3]Entry!$G$1024="","",[3]Entry!$G$1024)</f>
        <v/>
      </c>
      <c r="AK1021">
        <f>IF([3]Entry!$K$1024="","",[3]Entry!$K$1024)</f>
        <v/>
      </c>
      <c r="AL1021">
        <f>IF([3]Entry!$L$1024="","",[3]Entry!$L$1024)</f>
        <v/>
      </c>
      <c r="AM1021">
        <f>IF([3]Entry!$M$1024="","",[3]Entry!$M$1024)</f>
        <v/>
      </c>
      <c r="AN1021">
        <f>IF([3]Entry!$N$1024="","",[3]Entry!$N$1024)</f>
        <v/>
      </c>
      <c r="AO1021">
        <f>IF([3]Entry!$R$1024="","",[3]Entry!$R$1024)</f>
        <v/>
      </c>
    </row>
    <row r="1022">
      <c r="U1022">
        <f>IF([2]Baskol!$B$1025="","",[2]Baskol!$B$1025)</f>
        <v/>
      </c>
      <c r="V1022">
        <f>IF([2]Baskol!$C$1025="","",[2]Baskol!$C$1025)</f>
        <v/>
      </c>
      <c r="W1022">
        <f>IF([2]Baskol!$D$1025="","",[2]Baskol!$D$1025)</f>
        <v/>
      </c>
      <c r="X1022">
        <f>IF([2]Baskol!$E$1025="","",[2]Baskol!$E$1025)</f>
        <v/>
      </c>
      <c r="Y1022">
        <f>IF([2]Baskol!$G$1025="","",[2]Baskol!$G$1025)</f>
        <v/>
      </c>
      <c r="Z1022">
        <f>IF([2]Baskol!$I$1025="","",[2]Baskol!$I$1025)</f>
        <v/>
      </c>
      <c r="AA1022">
        <f>IF([2]Baskol!$J$1025="","",[2]Baskol!$J$1025)</f>
        <v/>
      </c>
      <c r="AB1022">
        <f>IF([2]Baskol!$K$1025="","",[2]Baskol!$K$1025)</f>
        <v/>
      </c>
      <c r="AC1022">
        <f>IF([2]Baskol!$L$1025="","",[2]Baskol!$L$1025)</f>
        <v/>
      </c>
      <c r="AD1022">
        <f>IF([2]Baskol!$N$1025="","",[2]Baskol!$N$1025)</f>
        <v/>
      </c>
      <c r="AE1022">
        <f>IF([2]Baskol!$O$1025="","",[2]Baskol!$O$1025)</f>
        <v/>
      </c>
      <c r="AG1022">
        <f>IF([3]Entry!$C$1025="","",[3]Entry!$C$1025)</f>
        <v/>
      </c>
      <c r="AH1022">
        <f>IF([3]Entry!$D$1025="","",[3]Entry!$D$1025)</f>
        <v/>
      </c>
      <c r="AI1022">
        <f>IF([3]Entry!$E$1025="","",[3]Entry!$E$1025)</f>
        <v/>
      </c>
      <c r="AJ1022">
        <f>IF([3]Entry!$G$1025="","",[3]Entry!$G$1025)</f>
        <v/>
      </c>
      <c r="AK1022">
        <f>IF([3]Entry!$K$1025="","",[3]Entry!$K$1025)</f>
        <v/>
      </c>
      <c r="AL1022">
        <f>IF([3]Entry!$L$1025="","",[3]Entry!$L$1025)</f>
        <v/>
      </c>
      <c r="AM1022">
        <f>IF([3]Entry!$M$1025="","",[3]Entry!$M$1025)</f>
        <v/>
      </c>
      <c r="AN1022">
        <f>IF([3]Entry!$N$1025="","",[3]Entry!$N$1025)</f>
        <v/>
      </c>
      <c r="AO1022">
        <f>IF([3]Entry!$R$1025="","",[3]Entry!$R$1025)</f>
        <v/>
      </c>
    </row>
    <row r="1023">
      <c r="U1023">
        <f>IF([2]Baskol!$B$1026="","",[2]Baskol!$B$1026)</f>
        <v/>
      </c>
      <c r="V1023">
        <f>IF([2]Baskol!$C$1026="","",[2]Baskol!$C$1026)</f>
        <v/>
      </c>
      <c r="W1023">
        <f>IF([2]Baskol!$D$1026="","",[2]Baskol!$D$1026)</f>
        <v/>
      </c>
      <c r="X1023">
        <f>IF([2]Baskol!$E$1026="","",[2]Baskol!$E$1026)</f>
        <v/>
      </c>
      <c r="Y1023">
        <f>IF([2]Baskol!$G$1026="","",[2]Baskol!$G$1026)</f>
        <v/>
      </c>
      <c r="Z1023">
        <f>IF([2]Baskol!$I$1026="","",[2]Baskol!$I$1026)</f>
        <v/>
      </c>
      <c r="AA1023">
        <f>IF([2]Baskol!$J$1026="","",[2]Baskol!$J$1026)</f>
        <v/>
      </c>
      <c r="AB1023">
        <f>IF([2]Baskol!$K$1026="","",[2]Baskol!$K$1026)</f>
        <v/>
      </c>
      <c r="AC1023">
        <f>IF([2]Baskol!$L$1026="","",[2]Baskol!$L$1026)</f>
        <v/>
      </c>
      <c r="AD1023">
        <f>IF([2]Baskol!$N$1026="","",[2]Baskol!$N$1026)</f>
        <v/>
      </c>
      <c r="AE1023">
        <f>IF([2]Baskol!$O$1026="","",[2]Baskol!$O$1026)</f>
        <v/>
      </c>
      <c r="AG1023">
        <f>IF([3]Entry!$C$1026="","",[3]Entry!$C$1026)</f>
        <v/>
      </c>
      <c r="AH1023">
        <f>IF([3]Entry!$D$1026="","",[3]Entry!$D$1026)</f>
        <v/>
      </c>
      <c r="AI1023">
        <f>IF([3]Entry!$E$1026="","",[3]Entry!$E$1026)</f>
        <v/>
      </c>
      <c r="AJ1023">
        <f>IF([3]Entry!$G$1026="","",[3]Entry!$G$1026)</f>
        <v/>
      </c>
      <c r="AK1023">
        <f>IF([3]Entry!$K$1026="","",[3]Entry!$K$1026)</f>
        <v/>
      </c>
      <c r="AL1023">
        <f>IF([3]Entry!$L$1026="","",[3]Entry!$L$1026)</f>
        <v/>
      </c>
      <c r="AM1023">
        <f>IF([3]Entry!$M$1026="","",[3]Entry!$M$1026)</f>
        <v/>
      </c>
      <c r="AN1023">
        <f>IF([3]Entry!$N$1026="","",[3]Entry!$N$1026)</f>
        <v/>
      </c>
      <c r="AO1023">
        <f>IF([3]Entry!$R$1026="","",[3]Entry!$R$1026)</f>
        <v/>
      </c>
    </row>
    <row r="1024">
      <c r="U1024">
        <f>IF([2]Baskol!$B$1027="","",[2]Baskol!$B$1027)</f>
        <v/>
      </c>
      <c r="V1024">
        <f>IF([2]Baskol!$C$1027="","",[2]Baskol!$C$1027)</f>
        <v/>
      </c>
      <c r="W1024">
        <f>IF([2]Baskol!$D$1027="","",[2]Baskol!$D$1027)</f>
        <v/>
      </c>
      <c r="X1024">
        <f>IF([2]Baskol!$E$1027="","",[2]Baskol!$E$1027)</f>
        <v/>
      </c>
      <c r="Y1024">
        <f>IF([2]Baskol!$G$1027="","",[2]Baskol!$G$1027)</f>
        <v/>
      </c>
      <c r="Z1024">
        <f>IF([2]Baskol!$I$1027="","",[2]Baskol!$I$1027)</f>
        <v/>
      </c>
      <c r="AA1024">
        <f>IF([2]Baskol!$J$1027="","",[2]Baskol!$J$1027)</f>
        <v/>
      </c>
      <c r="AB1024">
        <f>IF([2]Baskol!$K$1027="","",[2]Baskol!$K$1027)</f>
        <v/>
      </c>
      <c r="AC1024">
        <f>IF([2]Baskol!$L$1027="","",[2]Baskol!$L$1027)</f>
        <v/>
      </c>
      <c r="AD1024">
        <f>IF([2]Baskol!$N$1027="","",[2]Baskol!$N$1027)</f>
        <v/>
      </c>
      <c r="AE1024">
        <f>IF([2]Baskol!$O$1027="","",[2]Baskol!$O$1027)</f>
        <v/>
      </c>
      <c r="AG1024">
        <f>IF([3]Entry!$C$1027="","",[3]Entry!$C$1027)</f>
        <v/>
      </c>
      <c r="AH1024">
        <f>IF([3]Entry!$D$1027="","",[3]Entry!$D$1027)</f>
        <v/>
      </c>
      <c r="AI1024">
        <f>IF([3]Entry!$E$1027="","",[3]Entry!$E$1027)</f>
        <v/>
      </c>
      <c r="AJ1024">
        <f>IF([3]Entry!$G$1027="","",[3]Entry!$G$1027)</f>
        <v/>
      </c>
      <c r="AK1024">
        <f>IF([3]Entry!$K$1027="","",[3]Entry!$K$1027)</f>
        <v/>
      </c>
      <c r="AL1024">
        <f>IF([3]Entry!$L$1027="","",[3]Entry!$L$1027)</f>
        <v/>
      </c>
      <c r="AM1024">
        <f>IF([3]Entry!$M$1027="","",[3]Entry!$M$1027)</f>
        <v/>
      </c>
      <c r="AN1024">
        <f>IF([3]Entry!$N$1027="","",[3]Entry!$N$1027)</f>
        <v/>
      </c>
      <c r="AO1024">
        <f>IF([3]Entry!$R$1027="","",[3]Entry!$R$1027)</f>
        <v/>
      </c>
    </row>
    <row r="1025">
      <c r="U1025">
        <f>IF([2]Baskol!$B$1028="","",[2]Baskol!$B$1028)</f>
        <v/>
      </c>
      <c r="V1025">
        <f>IF([2]Baskol!$C$1028="","",[2]Baskol!$C$1028)</f>
        <v/>
      </c>
      <c r="W1025">
        <f>IF([2]Baskol!$D$1028="","",[2]Baskol!$D$1028)</f>
        <v/>
      </c>
      <c r="X1025">
        <f>IF([2]Baskol!$E$1028="","",[2]Baskol!$E$1028)</f>
        <v/>
      </c>
      <c r="Y1025">
        <f>IF([2]Baskol!$G$1028="","",[2]Baskol!$G$1028)</f>
        <v/>
      </c>
      <c r="Z1025">
        <f>IF([2]Baskol!$I$1028="","",[2]Baskol!$I$1028)</f>
        <v/>
      </c>
      <c r="AA1025">
        <f>IF([2]Baskol!$J$1028="","",[2]Baskol!$J$1028)</f>
        <v/>
      </c>
      <c r="AB1025">
        <f>IF([2]Baskol!$K$1028="","",[2]Baskol!$K$1028)</f>
        <v/>
      </c>
      <c r="AC1025">
        <f>IF([2]Baskol!$L$1028="","",[2]Baskol!$L$1028)</f>
        <v/>
      </c>
      <c r="AD1025">
        <f>IF([2]Baskol!$N$1028="","",[2]Baskol!$N$1028)</f>
        <v/>
      </c>
      <c r="AE1025">
        <f>IF([2]Baskol!$O$1028="","",[2]Baskol!$O$1028)</f>
        <v/>
      </c>
      <c r="AG1025">
        <f>IF([3]Entry!$C$1028="","",[3]Entry!$C$1028)</f>
        <v/>
      </c>
      <c r="AH1025">
        <f>IF([3]Entry!$D$1028="","",[3]Entry!$D$1028)</f>
        <v/>
      </c>
      <c r="AI1025">
        <f>IF([3]Entry!$E$1028="","",[3]Entry!$E$1028)</f>
        <v/>
      </c>
      <c r="AJ1025">
        <f>IF([3]Entry!$G$1028="","",[3]Entry!$G$1028)</f>
        <v/>
      </c>
      <c r="AK1025">
        <f>IF([3]Entry!$K$1028="","",[3]Entry!$K$1028)</f>
        <v/>
      </c>
      <c r="AL1025">
        <f>IF([3]Entry!$L$1028="","",[3]Entry!$L$1028)</f>
        <v/>
      </c>
      <c r="AM1025">
        <f>IF([3]Entry!$M$1028="","",[3]Entry!$M$1028)</f>
        <v/>
      </c>
      <c r="AN1025">
        <f>IF([3]Entry!$N$1028="","",[3]Entry!$N$1028)</f>
        <v/>
      </c>
      <c r="AO1025">
        <f>IF([3]Entry!$R$1028="","",[3]Entry!$R$1028)</f>
        <v/>
      </c>
    </row>
    <row r="1026">
      <c r="U1026">
        <f>IF([2]Baskol!$B$1029="","",[2]Baskol!$B$1029)</f>
        <v/>
      </c>
      <c r="V1026">
        <f>IF([2]Baskol!$C$1029="","",[2]Baskol!$C$1029)</f>
        <v/>
      </c>
      <c r="W1026">
        <f>IF([2]Baskol!$D$1029="","",[2]Baskol!$D$1029)</f>
        <v/>
      </c>
      <c r="X1026">
        <f>IF([2]Baskol!$E$1029="","",[2]Baskol!$E$1029)</f>
        <v/>
      </c>
      <c r="Y1026">
        <f>IF([2]Baskol!$G$1029="","",[2]Baskol!$G$1029)</f>
        <v/>
      </c>
      <c r="Z1026">
        <f>IF([2]Baskol!$I$1029="","",[2]Baskol!$I$1029)</f>
        <v/>
      </c>
      <c r="AA1026">
        <f>IF([2]Baskol!$J$1029="","",[2]Baskol!$J$1029)</f>
        <v/>
      </c>
      <c r="AB1026">
        <f>IF([2]Baskol!$K$1029="","",[2]Baskol!$K$1029)</f>
        <v/>
      </c>
      <c r="AC1026">
        <f>IF([2]Baskol!$L$1029="","",[2]Baskol!$L$1029)</f>
        <v/>
      </c>
      <c r="AD1026">
        <f>IF([2]Baskol!$N$1029="","",[2]Baskol!$N$1029)</f>
        <v/>
      </c>
      <c r="AE1026">
        <f>IF([2]Baskol!$O$1029="","",[2]Baskol!$O$1029)</f>
        <v/>
      </c>
      <c r="AG1026">
        <f>IF([3]Entry!$C$1029="","",[3]Entry!$C$1029)</f>
        <v/>
      </c>
      <c r="AH1026">
        <f>IF([3]Entry!$D$1029="","",[3]Entry!$D$1029)</f>
        <v/>
      </c>
      <c r="AI1026">
        <f>IF([3]Entry!$E$1029="","",[3]Entry!$E$1029)</f>
        <v/>
      </c>
      <c r="AJ1026">
        <f>IF([3]Entry!$G$1029="","",[3]Entry!$G$1029)</f>
        <v/>
      </c>
      <c r="AK1026">
        <f>IF([3]Entry!$K$1029="","",[3]Entry!$K$1029)</f>
        <v/>
      </c>
      <c r="AL1026">
        <f>IF([3]Entry!$L$1029="","",[3]Entry!$L$1029)</f>
        <v/>
      </c>
      <c r="AM1026">
        <f>IF([3]Entry!$M$1029="","",[3]Entry!$M$1029)</f>
        <v/>
      </c>
      <c r="AN1026">
        <f>IF([3]Entry!$N$1029="","",[3]Entry!$N$1029)</f>
        <v/>
      </c>
      <c r="AO1026">
        <f>IF([3]Entry!$R$1029="","",[3]Entry!$R$1029)</f>
        <v/>
      </c>
    </row>
    <row r="1027">
      <c r="U1027">
        <f>IF([2]Baskol!$B$1030="","",[2]Baskol!$B$1030)</f>
        <v/>
      </c>
      <c r="V1027">
        <f>IF([2]Baskol!$C$1030="","",[2]Baskol!$C$1030)</f>
        <v/>
      </c>
      <c r="W1027">
        <f>IF([2]Baskol!$D$1030="","",[2]Baskol!$D$1030)</f>
        <v/>
      </c>
      <c r="X1027">
        <f>IF([2]Baskol!$E$1030="","",[2]Baskol!$E$1030)</f>
        <v/>
      </c>
      <c r="Y1027">
        <f>IF([2]Baskol!$G$1030="","",[2]Baskol!$G$1030)</f>
        <v/>
      </c>
      <c r="Z1027">
        <f>IF([2]Baskol!$I$1030="","",[2]Baskol!$I$1030)</f>
        <v/>
      </c>
      <c r="AA1027">
        <f>IF([2]Baskol!$J$1030="","",[2]Baskol!$J$1030)</f>
        <v/>
      </c>
      <c r="AB1027">
        <f>IF([2]Baskol!$K$1030="","",[2]Baskol!$K$1030)</f>
        <v/>
      </c>
      <c r="AC1027">
        <f>IF([2]Baskol!$L$1030="","",[2]Baskol!$L$1030)</f>
        <v/>
      </c>
      <c r="AD1027">
        <f>IF([2]Baskol!$N$1030="","",[2]Baskol!$N$1030)</f>
        <v/>
      </c>
      <c r="AE1027">
        <f>IF([2]Baskol!$O$1030="","",[2]Baskol!$O$1030)</f>
        <v/>
      </c>
      <c r="AG1027">
        <f>IF([3]Entry!$C$1030="","",[3]Entry!$C$1030)</f>
        <v/>
      </c>
      <c r="AH1027">
        <f>IF([3]Entry!$D$1030="","",[3]Entry!$D$1030)</f>
        <v/>
      </c>
      <c r="AI1027">
        <f>IF([3]Entry!$E$1030="","",[3]Entry!$E$1030)</f>
        <v/>
      </c>
      <c r="AJ1027">
        <f>IF([3]Entry!$G$1030="","",[3]Entry!$G$1030)</f>
        <v/>
      </c>
      <c r="AK1027">
        <f>IF([3]Entry!$K$1030="","",[3]Entry!$K$1030)</f>
        <v/>
      </c>
      <c r="AL1027">
        <f>IF([3]Entry!$L$1030="","",[3]Entry!$L$1030)</f>
        <v/>
      </c>
      <c r="AM1027">
        <f>IF([3]Entry!$M$1030="","",[3]Entry!$M$1030)</f>
        <v/>
      </c>
      <c r="AN1027">
        <f>IF([3]Entry!$N$1030="","",[3]Entry!$N$1030)</f>
        <v/>
      </c>
      <c r="AO1027">
        <f>IF([3]Entry!$R$1030="","",[3]Entry!$R$1030)</f>
        <v/>
      </c>
    </row>
    <row r="1028">
      <c r="U1028">
        <f>IF([2]Baskol!$B$1031="","",[2]Baskol!$B$1031)</f>
        <v/>
      </c>
      <c r="V1028">
        <f>IF([2]Baskol!$C$1031="","",[2]Baskol!$C$1031)</f>
        <v/>
      </c>
      <c r="W1028">
        <f>IF([2]Baskol!$D$1031="","",[2]Baskol!$D$1031)</f>
        <v/>
      </c>
      <c r="X1028">
        <f>IF([2]Baskol!$E$1031="","",[2]Baskol!$E$1031)</f>
        <v/>
      </c>
      <c r="Y1028">
        <f>IF([2]Baskol!$G$1031="","",[2]Baskol!$G$1031)</f>
        <v/>
      </c>
      <c r="Z1028">
        <f>IF([2]Baskol!$I$1031="","",[2]Baskol!$I$1031)</f>
        <v/>
      </c>
      <c r="AA1028">
        <f>IF([2]Baskol!$J$1031="","",[2]Baskol!$J$1031)</f>
        <v/>
      </c>
      <c r="AB1028">
        <f>IF([2]Baskol!$K$1031="","",[2]Baskol!$K$1031)</f>
        <v/>
      </c>
      <c r="AC1028">
        <f>IF([2]Baskol!$L$1031="","",[2]Baskol!$L$1031)</f>
        <v/>
      </c>
      <c r="AD1028">
        <f>IF([2]Baskol!$N$1031="","",[2]Baskol!$N$1031)</f>
        <v/>
      </c>
      <c r="AE1028">
        <f>IF([2]Baskol!$O$1031="","",[2]Baskol!$O$1031)</f>
        <v/>
      </c>
      <c r="AG1028">
        <f>IF([3]Entry!$C$1031="","",[3]Entry!$C$1031)</f>
        <v/>
      </c>
      <c r="AH1028">
        <f>IF([3]Entry!$D$1031="","",[3]Entry!$D$1031)</f>
        <v/>
      </c>
      <c r="AI1028">
        <f>IF([3]Entry!$E$1031="","",[3]Entry!$E$1031)</f>
        <v/>
      </c>
      <c r="AJ1028">
        <f>IF([3]Entry!$G$1031="","",[3]Entry!$G$1031)</f>
        <v/>
      </c>
      <c r="AK1028">
        <f>IF([3]Entry!$K$1031="","",[3]Entry!$K$1031)</f>
        <v/>
      </c>
      <c r="AL1028">
        <f>IF([3]Entry!$L$1031="","",[3]Entry!$L$1031)</f>
        <v/>
      </c>
      <c r="AM1028">
        <f>IF([3]Entry!$M$1031="","",[3]Entry!$M$1031)</f>
        <v/>
      </c>
      <c r="AN1028">
        <f>IF([3]Entry!$N$1031="","",[3]Entry!$N$1031)</f>
        <v/>
      </c>
      <c r="AO1028">
        <f>IF([3]Entry!$R$1031="","",[3]Entry!$R$1031)</f>
        <v/>
      </c>
    </row>
    <row r="1029">
      <c r="U1029">
        <f>IF([2]Baskol!$B$1032="","",[2]Baskol!$B$1032)</f>
        <v/>
      </c>
      <c r="V1029">
        <f>IF([2]Baskol!$C$1032="","",[2]Baskol!$C$1032)</f>
        <v/>
      </c>
      <c r="W1029">
        <f>IF([2]Baskol!$D$1032="","",[2]Baskol!$D$1032)</f>
        <v/>
      </c>
      <c r="X1029">
        <f>IF([2]Baskol!$E$1032="","",[2]Baskol!$E$1032)</f>
        <v/>
      </c>
      <c r="Y1029">
        <f>IF([2]Baskol!$G$1032="","",[2]Baskol!$G$1032)</f>
        <v/>
      </c>
      <c r="Z1029">
        <f>IF([2]Baskol!$I$1032="","",[2]Baskol!$I$1032)</f>
        <v/>
      </c>
      <c r="AA1029">
        <f>IF([2]Baskol!$J$1032="","",[2]Baskol!$J$1032)</f>
        <v/>
      </c>
      <c r="AB1029">
        <f>IF([2]Baskol!$K$1032="","",[2]Baskol!$K$1032)</f>
        <v/>
      </c>
      <c r="AC1029">
        <f>IF([2]Baskol!$L$1032="","",[2]Baskol!$L$1032)</f>
        <v/>
      </c>
      <c r="AD1029">
        <f>IF([2]Baskol!$N$1032="","",[2]Baskol!$N$1032)</f>
        <v/>
      </c>
      <c r="AE1029">
        <f>IF([2]Baskol!$O$1032="","",[2]Baskol!$O$1032)</f>
        <v/>
      </c>
      <c r="AG1029">
        <f>IF([3]Entry!$C$1032="","",[3]Entry!$C$1032)</f>
        <v/>
      </c>
      <c r="AH1029">
        <f>IF([3]Entry!$D$1032="","",[3]Entry!$D$1032)</f>
        <v/>
      </c>
      <c r="AI1029">
        <f>IF([3]Entry!$E$1032="","",[3]Entry!$E$1032)</f>
        <v/>
      </c>
      <c r="AJ1029">
        <f>IF([3]Entry!$G$1032="","",[3]Entry!$G$1032)</f>
        <v/>
      </c>
      <c r="AK1029">
        <f>IF([3]Entry!$K$1032="","",[3]Entry!$K$1032)</f>
        <v/>
      </c>
      <c r="AL1029">
        <f>IF([3]Entry!$L$1032="","",[3]Entry!$L$1032)</f>
        <v/>
      </c>
      <c r="AM1029">
        <f>IF([3]Entry!$M$1032="","",[3]Entry!$M$1032)</f>
        <v/>
      </c>
      <c r="AN1029">
        <f>IF([3]Entry!$N$1032="","",[3]Entry!$N$1032)</f>
        <v/>
      </c>
      <c r="AO1029">
        <f>IF([3]Entry!$R$1032="","",[3]Entry!$R$1032)</f>
        <v/>
      </c>
    </row>
    <row r="1030">
      <c r="U1030">
        <f>IF([2]Baskol!$B$1033="","",[2]Baskol!$B$1033)</f>
        <v/>
      </c>
      <c r="V1030">
        <f>IF([2]Baskol!$C$1033="","",[2]Baskol!$C$1033)</f>
        <v/>
      </c>
      <c r="W1030">
        <f>IF([2]Baskol!$D$1033="","",[2]Baskol!$D$1033)</f>
        <v/>
      </c>
      <c r="X1030">
        <f>IF([2]Baskol!$E$1033="","",[2]Baskol!$E$1033)</f>
        <v/>
      </c>
      <c r="Y1030">
        <f>IF([2]Baskol!$G$1033="","",[2]Baskol!$G$1033)</f>
        <v/>
      </c>
      <c r="Z1030">
        <f>IF([2]Baskol!$I$1033="","",[2]Baskol!$I$1033)</f>
        <v/>
      </c>
      <c r="AA1030">
        <f>IF([2]Baskol!$J$1033="","",[2]Baskol!$J$1033)</f>
        <v/>
      </c>
      <c r="AB1030">
        <f>IF([2]Baskol!$K$1033="","",[2]Baskol!$K$1033)</f>
        <v/>
      </c>
      <c r="AC1030">
        <f>IF([2]Baskol!$L$1033="","",[2]Baskol!$L$1033)</f>
        <v/>
      </c>
      <c r="AD1030">
        <f>IF([2]Baskol!$N$1033="","",[2]Baskol!$N$1033)</f>
        <v/>
      </c>
      <c r="AE1030">
        <f>IF([2]Baskol!$O$1033="","",[2]Baskol!$O$1033)</f>
        <v/>
      </c>
      <c r="AG1030">
        <f>IF([3]Entry!$C$1033="","",[3]Entry!$C$1033)</f>
        <v/>
      </c>
      <c r="AH1030">
        <f>IF([3]Entry!$D$1033="","",[3]Entry!$D$1033)</f>
        <v/>
      </c>
      <c r="AI1030">
        <f>IF([3]Entry!$E$1033="","",[3]Entry!$E$1033)</f>
        <v/>
      </c>
      <c r="AJ1030">
        <f>IF([3]Entry!$G$1033="","",[3]Entry!$G$1033)</f>
        <v/>
      </c>
      <c r="AK1030">
        <f>IF([3]Entry!$K$1033="","",[3]Entry!$K$1033)</f>
        <v/>
      </c>
      <c r="AL1030">
        <f>IF([3]Entry!$L$1033="","",[3]Entry!$L$1033)</f>
        <v/>
      </c>
      <c r="AM1030">
        <f>IF([3]Entry!$M$1033="","",[3]Entry!$M$1033)</f>
        <v/>
      </c>
      <c r="AN1030">
        <f>IF([3]Entry!$N$1033="","",[3]Entry!$N$1033)</f>
        <v/>
      </c>
      <c r="AO1030">
        <f>IF([3]Entry!$R$1033="","",[3]Entry!$R$1033)</f>
        <v/>
      </c>
    </row>
    <row r="1031">
      <c r="U1031">
        <f>IF([2]Baskol!$B$1034="","",[2]Baskol!$B$1034)</f>
        <v/>
      </c>
      <c r="V1031">
        <f>IF([2]Baskol!$C$1034="","",[2]Baskol!$C$1034)</f>
        <v/>
      </c>
      <c r="W1031">
        <f>IF([2]Baskol!$D$1034="","",[2]Baskol!$D$1034)</f>
        <v/>
      </c>
      <c r="X1031">
        <f>IF([2]Baskol!$E$1034="","",[2]Baskol!$E$1034)</f>
        <v/>
      </c>
      <c r="Y1031">
        <f>IF([2]Baskol!$G$1034="","",[2]Baskol!$G$1034)</f>
        <v/>
      </c>
      <c r="Z1031">
        <f>IF([2]Baskol!$I$1034="","",[2]Baskol!$I$1034)</f>
        <v/>
      </c>
      <c r="AA1031">
        <f>IF([2]Baskol!$J$1034="","",[2]Baskol!$J$1034)</f>
        <v/>
      </c>
      <c r="AB1031">
        <f>IF([2]Baskol!$K$1034="","",[2]Baskol!$K$1034)</f>
        <v/>
      </c>
      <c r="AC1031">
        <f>IF([2]Baskol!$L$1034="","",[2]Baskol!$L$1034)</f>
        <v/>
      </c>
      <c r="AD1031">
        <f>IF([2]Baskol!$N$1034="","",[2]Baskol!$N$1034)</f>
        <v/>
      </c>
      <c r="AE1031">
        <f>IF([2]Baskol!$O$1034="","",[2]Baskol!$O$1034)</f>
        <v/>
      </c>
      <c r="AG1031">
        <f>IF([3]Entry!$C$1034="","",[3]Entry!$C$1034)</f>
        <v/>
      </c>
      <c r="AH1031">
        <f>IF([3]Entry!$D$1034="","",[3]Entry!$D$1034)</f>
        <v/>
      </c>
      <c r="AI1031">
        <f>IF([3]Entry!$E$1034="","",[3]Entry!$E$1034)</f>
        <v/>
      </c>
      <c r="AJ1031">
        <f>IF([3]Entry!$G$1034="","",[3]Entry!$G$1034)</f>
        <v/>
      </c>
      <c r="AK1031">
        <f>IF([3]Entry!$K$1034="","",[3]Entry!$K$1034)</f>
        <v/>
      </c>
      <c r="AL1031">
        <f>IF([3]Entry!$L$1034="","",[3]Entry!$L$1034)</f>
        <v/>
      </c>
      <c r="AM1031">
        <f>IF([3]Entry!$M$1034="","",[3]Entry!$M$1034)</f>
        <v/>
      </c>
      <c r="AN1031">
        <f>IF([3]Entry!$N$1034="","",[3]Entry!$N$1034)</f>
        <v/>
      </c>
      <c r="AO1031">
        <f>IF([3]Entry!$R$1034="","",[3]Entry!$R$1034)</f>
        <v/>
      </c>
    </row>
    <row r="1032">
      <c r="U1032">
        <f>IF([2]Baskol!$B$1035="","",[2]Baskol!$B$1035)</f>
        <v/>
      </c>
      <c r="V1032">
        <f>IF([2]Baskol!$C$1035="","",[2]Baskol!$C$1035)</f>
        <v/>
      </c>
      <c r="W1032">
        <f>IF([2]Baskol!$D$1035="","",[2]Baskol!$D$1035)</f>
        <v/>
      </c>
      <c r="X1032">
        <f>IF([2]Baskol!$E$1035="","",[2]Baskol!$E$1035)</f>
        <v/>
      </c>
      <c r="Y1032">
        <f>IF([2]Baskol!$G$1035="","",[2]Baskol!$G$1035)</f>
        <v/>
      </c>
      <c r="Z1032">
        <f>IF([2]Baskol!$I$1035="","",[2]Baskol!$I$1035)</f>
        <v/>
      </c>
      <c r="AA1032">
        <f>IF([2]Baskol!$J$1035="","",[2]Baskol!$J$1035)</f>
        <v/>
      </c>
      <c r="AB1032">
        <f>IF([2]Baskol!$K$1035="","",[2]Baskol!$K$1035)</f>
        <v/>
      </c>
      <c r="AC1032">
        <f>IF([2]Baskol!$L$1035="","",[2]Baskol!$L$1035)</f>
        <v/>
      </c>
      <c r="AD1032">
        <f>IF([2]Baskol!$N$1035="","",[2]Baskol!$N$1035)</f>
        <v/>
      </c>
      <c r="AE1032">
        <f>IF([2]Baskol!$O$1035="","",[2]Baskol!$O$1035)</f>
        <v/>
      </c>
      <c r="AG1032">
        <f>IF([3]Entry!$C$1035="","",[3]Entry!$C$1035)</f>
        <v/>
      </c>
      <c r="AH1032">
        <f>IF([3]Entry!$D$1035="","",[3]Entry!$D$1035)</f>
        <v/>
      </c>
      <c r="AI1032">
        <f>IF([3]Entry!$E$1035="","",[3]Entry!$E$1035)</f>
        <v/>
      </c>
      <c r="AJ1032">
        <f>IF([3]Entry!$G$1035="","",[3]Entry!$G$1035)</f>
        <v/>
      </c>
      <c r="AK1032">
        <f>IF([3]Entry!$K$1035="","",[3]Entry!$K$1035)</f>
        <v/>
      </c>
      <c r="AL1032">
        <f>IF([3]Entry!$L$1035="","",[3]Entry!$L$1035)</f>
        <v/>
      </c>
      <c r="AM1032">
        <f>IF([3]Entry!$M$1035="","",[3]Entry!$M$1035)</f>
        <v/>
      </c>
      <c r="AN1032">
        <f>IF([3]Entry!$N$1035="","",[3]Entry!$N$1035)</f>
        <v/>
      </c>
      <c r="AO1032">
        <f>IF([3]Entry!$R$1035="","",[3]Entry!$R$1035)</f>
        <v/>
      </c>
    </row>
    <row r="1033">
      <c r="U1033">
        <f>IF([2]Baskol!$B$1036="","",[2]Baskol!$B$1036)</f>
        <v/>
      </c>
      <c r="V1033">
        <f>IF([2]Baskol!$C$1036="","",[2]Baskol!$C$1036)</f>
        <v/>
      </c>
      <c r="W1033">
        <f>IF([2]Baskol!$D$1036="","",[2]Baskol!$D$1036)</f>
        <v/>
      </c>
      <c r="X1033">
        <f>IF([2]Baskol!$E$1036="","",[2]Baskol!$E$1036)</f>
        <v/>
      </c>
      <c r="Y1033">
        <f>IF([2]Baskol!$G$1036="","",[2]Baskol!$G$1036)</f>
        <v/>
      </c>
      <c r="Z1033">
        <f>IF([2]Baskol!$I$1036="","",[2]Baskol!$I$1036)</f>
        <v/>
      </c>
      <c r="AA1033">
        <f>IF([2]Baskol!$J$1036="","",[2]Baskol!$J$1036)</f>
        <v/>
      </c>
      <c r="AB1033">
        <f>IF([2]Baskol!$K$1036="","",[2]Baskol!$K$1036)</f>
        <v/>
      </c>
      <c r="AC1033">
        <f>IF([2]Baskol!$L$1036="","",[2]Baskol!$L$1036)</f>
        <v/>
      </c>
      <c r="AD1033">
        <f>IF([2]Baskol!$N$1036="","",[2]Baskol!$N$1036)</f>
        <v/>
      </c>
      <c r="AE1033">
        <f>IF([2]Baskol!$O$1036="","",[2]Baskol!$O$1036)</f>
        <v/>
      </c>
      <c r="AG1033">
        <f>IF([3]Entry!$C$1036="","",[3]Entry!$C$1036)</f>
        <v/>
      </c>
      <c r="AH1033">
        <f>IF([3]Entry!$D$1036="","",[3]Entry!$D$1036)</f>
        <v/>
      </c>
      <c r="AI1033">
        <f>IF([3]Entry!$E$1036="","",[3]Entry!$E$1036)</f>
        <v/>
      </c>
      <c r="AJ1033">
        <f>IF([3]Entry!$G$1036="","",[3]Entry!$G$1036)</f>
        <v/>
      </c>
      <c r="AK1033">
        <f>IF([3]Entry!$K$1036="","",[3]Entry!$K$1036)</f>
        <v/>
      </c>
      <c r="AL1033">
        <f>IF([3]Entry!$L$1036="","",[3]Entry!$L$1036)</f>
        <v/>
      </c>
      <c r="AM1033">
        <f>IF([3]Entry!$M$1036="","",[3]Entry!$M$1036)</f>
        <v/>
      </c>
      <c r="AN1033">
        <f>IF([3]Entry!$N$1036="","",[3]Entry!$N$1036)</f>
        <v/>
      </c>
      <c r="AO1033">
        <f>IF([3]Entry!$R$1036="","",[3]Entry!$R$1036)</f>
        <v/>
      </c>
    </row>
    <row r="1034">
      <c r="U1034">
        <f>IF([2]Baskol!$B$1037="","",[2]Baskol!$B$1037)</f>
        <v/>
      </c>
      <c r="V1034">
        <f>IF([2]Baskol!$C$1037="","",[2]Baskol!$C$1037)</f>
        <v/>
      </c>
      <c r="W1034">
        <f>IF([2]Baskol!$D$1037="","",[2]Baskol!$D$1037)</f>
        <v/>
      </c>
      <c r="X1034">
        <f>IF([2]Baskol!$E$1037="","",[2]Baskol!$E$1037)</f>
        <v/>
      </c>
      <c r="Y1034">
        <f>IF([2]Baskol!$G$1037="","",[2]Baskol!$G$1037)</f>
        <v/>
      </c>
      <c r="Z1034">
        <f>IF([2]Baskol!$I$1037="","",[2]Baskol!$I$1037)</f>
        <v/>
      </c>
      <c r="AA1034">
        <f>IF([2]Baskol!$J$1037="","",[2]Baskol!$J$1037)</f>
        <v/>
      </c>
      <c r="AB1034">
        <f>IF([2]Baskol!$K$1037="","",[2]Baskol!$K$1037)</f>
        <v/>
      </c>
      <c r="AC1034">
        <f>IF([2]Baskol!$L$1037="","",[2]Baskol!$L$1037)</f>
        <v/>
      </c>
      <c r="AD1034">
        <f>IF([2]Baskol!$N$1037="","",[2]Baskol!$N$1037)</f>
        <v/>
      </c>
      <c r="AE1034">
        <f>IF([2]Baskol!$O$1037="","",[2]Baskol!$O$1037)</f>
        <v/>
      </c>
      <c r="AG1034">
        <f>IF([3]Entry!$C$1037="","",[3]Entry!$C$1037)</f>
        <v/>
      </c>
      <c r="AH1034">
        <f>IF([3]Entry!$D$1037="","",[3]Entry!$D$1037)</f>
        <v/>
      </c>
      <c r="AI1034">
        <f>IF([3]Entry!$E$1037="","",[3]Entry!$E$1037)</f>
        <v/>
      </c>
      <c r="AJ1034">
        <f>IF([3]Entry!$G$1037="","",[3]Entry!$G$1037)</f>
        <v/>
      </c>
      <c r="AK1034">
        <f>IF([3]Entry!$K$1037="","",[3]Entry!$K$1037)</f>
        <v/>
      </c>
      <c r="AL1034">
        <f>IF([3]Entry!$L$1037="","",[3]Entry!$L$1037)</f>
        <v/>
      </c>
      <c r="AM1034">
        <f>IF([3]Entry!$M$1037="","",[3]Entry!$M$1037)</f>
        <v/>
      </c>
      <c r="AN1034">
        <f>IF([3]Entry!$N$1037="","",[3]Entry!$N$1037)</f>
        <v/>
      </c>
      <c r="AO1034">
        <f>IF([3]Entry!$R$1037="","",[3]Entry!$R$1037)</f>
        <v/>
      </c>
    </row>
    <row r="1035">
      <c r="U1035">
        <f>IF([2]Baskol!$B$1038="","",[2]Baskol!$B$1038)</f>
        <v/>
      </c>
      <c r="V1035">
        <f>IF([2]Baskol!$C$1038="","",[2]Baskol!$C$1038)</f>
        <v/>
      </c>
      <c r="W1035">
        <f>IF([2]Baskol!$D$1038="","",[2]Baskol!$D$1038)</f>
        <v/>
      </c>
      <c r="X1035">
        <f>IF([2]Baskol!$E$1038="","",[2]Baskol!$E$1038)</f>
        <v/>
      </c>
      <c r="Y1035">
        <f>IF([2]Baskol!$G$1038="","",[2]Baskol!$G$1038)</f>
        <v/>
      </c>
      <c r="Z1035">
        <f>IF([2]Baskol!$I$1038="","",[2]Baskol!$I$1038)</f>
        <v/>
      </c>
      <c r="AA1035">
        <f>IF([2]Baskol!$J$1038="","",[2]Baskol!$J$1038)</f>
        <v/>
      </c>
      <c r="AB1035">
        <f>IF([2]Baskol!$K$1038="","",[2]Baskol!$K$1038)</f>
        <v/>
      </c>
      <c r="AC1035">
        <f>IF([2]Baskol!$L$1038="","",[2]Baskol!$L$1038)</f>
        <v/>
      </c>
      <c r="AD1035">
        <f>IF([2]Baskol!$N$1038="","",[2]Baskol!$N$1038)</f>
        <v/>
      </c>
      <c r="AE1035">
        <f>IF([2]Baskol!$O$1038="","",[2]Baskol!$O$1038)</f>
        <v/>
      </c>
      <c r="AG1035">
        <f>IF([3]Entry!$C$1038="","",[3]Entry!$C$1038)</f>
        <v/>
      </c>
      <c r="AH1035">
        <f>IF([3]Entry!$D$1038="","",[3]Entry!$D$1038)</f>
        <v/>
      </c>
      <c r="AI1035">
        <f>IF([3]Entry!$E$1038="","",[3]Entry!$E$1038)</f>
        <v/>
      </c>
      <c r="AJ1035">
        <f>IF([3]Entry!$G$1038="","",[3]Entry!$G$1038)</f>
        <v/>
      </c>
      <c r="AK1035">
        <f>IF([3]Entry!$K$1038="","",[3]Entry!$K$1038)</f>
        <v/>
      </c>
      <c r="AL1035">
        <f>IF([3]Entry!$L$1038="","",[3]Entry!$L$1038)</f>
        <v/>
      </c>
      <c r="AM1035">
        <f>IF([3]Entry!$M$1038="","",[3]Entry!$M$1038)</f>
        <v/>
      </c>
      <c r="AN1035">
        <f>IF([3]Entry!$N$1038="","",[3]Entry!$N$1038)</f>
        <v/>
      </c>
      <c r="AO1035">
        <f>IF([3]Entry!$R$1038="","",[3]Entry!$R$1038)</f>
        <v/>
      </c>
    </row>
    <row r="1036">
      <c r="U1036">
        <f>IF([2]Baskol!$B$1039="","",[2]Baskol!$B$1039)</f>
        <v/>
      </c>
      <c r="V1036">
        <f>IF([2]Baskol!$C$1039="","",[2]Baskol!$C$1039)</f>
        <v/>
      </c>
      <c r="W1036">
        <f>IF([2]Baskol!$D$1039="","",[2]Baskol!$D$1039)</f>
        <v/>
      </c>
      <c r="X1036">
        <f>IF([2]Baskol!$E$1039="","",[2]Baskol!$E$1039)</f>
        <v/>
      </c>
      <c r="Y1036">
        <f>IF([2]Baskol!$G$1039="","",[2]Baskol!$G$1039)</f>
        <v/>
      </c>
      <c r="Z1036">
        <f>IF([2]Baskol!$I$1039="","",[2]Baskol!$I$1039)</f>
        <v/>
      </c>
      <c r="AA1036">
        <f>IF([2]Baskol!$J$1039="","",[2]Baskol!$J$1039)</f>
        <v/>
      </c>
      <c r="AB1036">
        <f>IF([2]Baskol!$K$1039="","",[2]Baskol!$K$1039)</f>
        <v/>
      </c>
      <c r="AC1036">
        <f>IF([2]Baskol!$L$1039="","",[2]Baskol!$L$1039)</f>
        <v/>
      </c>
      <c r="AD1036">
        <f>IF([2]Baskol!$N$1039="","",[2]Baskol!$N$1039)</f>
        <v/>
      </c>
      <c r="AE1036">
        <f>IF([2]Baskol!$O$1039="","",[2]Baskol!$O$1039)</f>
        <v/>
      </c>
      <c r="AG1036">
        <f>IF([3]Entry!$C$1039="","",[3]Entry!$C$1039)</f>
        <v/>
      </c>
      <c r="AH1036">
        <f>IF([3]Entry!$D$1039="","",[3]Entry!$D$1039)</f>
        <v/>
      </c>
      <c r="AI1036">
        <f>IF([3]Entry!$E$1039="","",[3]Entry!$E$1039)</f>
        <v/>
      </c>
      <c r="AJ1036">
        <f>IF([3]Entry!$G$1039="","",[3]Entry!$G$1039)</f>
        <v/>
      </c>
      <c r="AK1036">
        <f>IF([3]Entry!$K$1039="","",[3]Entry!$K$1039)</f>
        <v/>
      </c>
      <c r="AL1036">
        <f>IF([3]Entry!$L$1039="","",[3]Entry!$L$1039)</f>
        <v/>
      </c>
      <c r="AM1036">
        <f>IF([3]Entry!$M$1039="","",[3]Entry!$M$1039)</f>
        <v/>
      </c>
      <c r="AN1036">
        <f>IF([3]Entry!$N$1039="","",[3]Entry!$N$1039)</f>
        <v/>
      </c>
      <c r="AO1036">
        <f>IF([3]Entry!$R$1039="","",[3]Entry!$R$1039)</f>
        <v/>
      </c>
    </row>
    <row r="1037">
      <c r="U1037">
        <f>IF([2]Baskol!$B$1040="","",[2]Baskol!$B$1040)</f>
        <v/>
      </c>
      <c r="V1037">
        <f>IF([2]Baskol!$C$1040="","",[2]Baskol!$C$1040)</f>
        <v/>
      </c>
      <c r="W1037">
        <f>IF([2]Baskol!$D$1040="","",[2]Baskol!$D$1040)</f>
        <v/>
      </c>
      <c r="X1037">
        <f>IF([2]Baskol!$E$1040="","",[2]Baskol!$E$1040)</f>
        <v/>
      </c>
      <c r="Y1037">
        <f>IF([2]Baskol!$G$1040="","",[2]Baskol!$G$1040)</f>
        <v/>
      </c>
      <c r="Z1037">
        <f>IF([2]Baskol!$I$1040="","",[2]Baskol!$I$1040)</f>
        <v/>
      </c>
      <c r="AA1037">
        <f>IF([2]Baskol!$J$1040="","",[2]Baskol!$J$1040)</f>
        <v/>
      </c>
      <c r="AB1037">
        <f>IF([2]Baskol!$K$1040="","",[2]Baskol!$K$1040)</f>
        <v/>
      </c>
      <c r="AC1037">
        <f>IF([2]Baskol!$L$1040="","",[2]Baskol!$L$1040)</f>
        <v/>
      </c>
      <c r="AD1037">
        <f>IF([2]Baskol!$N$1040="","",[2]Baskol!$N$1040)</f>
        <v/>
      </c>
      <c r="AE1037">
        <f>IF([2]Baskol!$O$1040="","",[2]Baskol!$O$1040)</f>
        <v/>
      </c>
      <c r="AG1037">
        <f>IF([3]Entry!$C$1040="","",[3]Entry!$C$1040)</f>
        <v/>
      </c>
      <c r="AH1037">
        <f>IF([3]Entry!$D$1040="","",[3]Entry!$D$1040)</f>
        <v/>
      </c>
      <c r="AI1037">
        <f>IF([3]Entry!$E$1040="","",[3]Entry!$E$1040)</f>
        <v/>
      </c>
      <c r="AJ1037">
        <f>IF([3]Entry!$G$1040="","",[3]Entry!$G$1040)</f>
        <v/>
      </c>
      <c r="AK1037">
        <f>IF([3]Entry!$K$1040="","",[3]Entry!$K$1040)</f>
        <v/>
      </c>
      <c r="AL1037">
        <f>IF([3]Entry!$L$1040="","",[3]Entry!$L$1040)</f>
        <v/>
      </c>
      <c r="AM1037">
        <f>IF([3]Entry!$M$1040="","",[3]Entry!$M$1040)</f>
        <v/>
      </c>
      <c r="AN1037">
        <f>IF([3]Entry!$N$1040="","",[3]Entry!$N$1040)</f>
        <v/>
      </c>
      <c r="AO1037">
        <f>IF([3]Entry!$R$1040="","",[3]Entry!$R$1040)</f>
        <v/>
      </c>
    </row>
    <row r="1038">
      <c r="U1038">
        <f>IF([2]Baskol!$B$1041="","",[2]Baskol!$B$1041)</f>
        <v/>
      </c>
      <c r="V1038">
        <f>IF([2]Baskol!$C$1041="","",[2]Baskol!$C$1041)</f>
        <v/>
      </c>
      <c r="W1038">
        <f>IF([2]Baskol!$D$1041="","",[2]Baskol!$D$1041)</f>
        <v/>
      </c>
      <c r="X1038">
        <f>IF([2]Baskol!$E$1041="","",[2]Baskol!$E$1041)</f>
        <v/>
      </c>
      <c r="Y1038">
        <f>IF([2]Baskol!$G$1041="","",[2]Baskol!$G$1041)</f>
        <v/>
      </c>
      <c r="Z1038">
        <f>IF([2]Baskol!$I$1041="","",[2]Baskol!$I$1041)</f>
        <v/>
      </c>
      <c r="AA1038">
        <f>IF([2]Baskol!$J$1041="","",[2]Baskol!$J$1041)</f>
        <v/>
      </c>
      <c r="AB1038">
        <f>IF([2]Baskol!$K$1041="","",[2]Baskol!$K$1041)</f>
        <v/>
      </c>
      <c r="AC1038">
        <f>IF([2]Baskol!$L$1041="","",[2]Baskol!$L$1041)</f>
        <v/>
      </c>
      <c r="AD1038">
        <f>IF([2]Baskol!$N$1041="","",[2]Baskol!$N$1041)</f>
        <v/>
      </c>
      <c r="AE1038">
        <f>IF([2]Baskol!$O$1041="","",[2]Baskol!$O$1041)</f>
        <v/>
      </c>
      <c r="AG1038">
        <f>IF([3]Entry!$C$1041="","",[3]Entry!$C$1041)</f>
        <v/>
      </c>
      <c r="AH1038">
        <f>IF([3]Entry!$D$1041="","",[3]Entry!$D$1041)</f>
        <v/>
      </c>
      <c r="AI1038">
        <f>IF([3]Entry!$E$1041="","",[3]Entry!$E$1041)</f>
        <v/>
      </c>
      <c r="AJ1038">
        <f>IF([3]Entry!$G$1041="","",[3]Entry!$G$1041)</f>
        <v/>
      </c>
      <c r="AK1038">
        <f>IF([3]Entry!$K$1041="","",[3]Entry!$K$1041)</f>
        <v/>
      </c>
      <c r="AL1038">
        <f>IF([3]Entry!$L$1041="","",[3]Entry!$L$1041)</f>
        <v/>
      </c>
      <c r="AM1038">
        <f>IF([3]Entry!$M$1041="","",[3]Entry!$M$1041)</f>
        <v/>
      </c>
      <c r="AN1038">
        <f>IF([3]Entry!$N$1041="","",[3]Entry!$N$1041)</f>
        <v/>
      </c>
      <c r="AO1038">
        <f>IF([3]Entry!$R$1041="","",[3]Entry!$R$1041)</f>
        <v/>
      </c>
    </row>
    <row r="1039">
      <c r="U1039">
        <f>IF([2]Baskol!$B$1042="","",[2]Baskol!$B$1042)</f>
        <v/>
      </c>
      <c r="V1039">
        <f>IF([2]Baskol!$C$1042="","",[2]Baskol!$C$1042)</f>
        <v/>
      </c>
      <c r="W1039">
        <f>IF([2]Baskol!$D$1042="","",[2]Baskol!$D$1042)</f>
        <v/>
      </c>
      <c r="X1039">
        <f>IF([2]Baskol!$E$1042="","",[2]Baskol!$E$1042)</f>
        <v/>
      </c>
      <c r="Y1039">
        <f>IF([2]Baskol!$G$1042="","",[2]Baskol!$G$1042)</f>
        <v/>
      </c>
      <c r="Z1039">
        <f>IF([2]Baskol!$I$1042="","",[2]Baskol!$I$1042)</f>
        <v/>
      </c>
      <c r="AA1039">
        <f>IF([2]Baskol!$J$1042="","",[2]Baskol!$J$1042)</f>
        <v/>
      </c>
      <c r="AB1039">
        <f>IF([2]Baskol!$K$1042="","",[2]Baskol!$K$1042)</f>
        <v/>
      </c>
      <c r="AC1039">
        <f>IF([2]Baskol!$L$1042="","",[2]Baskol!$L$1042)</f>
        <v/>
      </c>
      <c r="AD1039">
        <f>IF([2]Baskol!$N$1042="","",[2]Baskol!$N$1042)</f>
        <v/>
      </c>
      <c r="AE1039">
        <f>IF([2]Baskol!$O$1042="","",[2]Baskol!$O$1042)</f>
        <v/>
      </c>
      <c r="AG1039">
        <f>IF([3]Entry!$C$1042="","",[3]Entry!$C$1042)</f>
        <v/>
      </c>
      <c r="AH1039">
        <f>IF([3]Entry!$D$1042="","",[3]Entry!$D$1042)</f>
        <v/>
      </c>
      <c r="AI1039">
        <f>IF([3]Entry!$E$1042="","",[3]Entry!$E$1042)</f>
        <v/>
      </c>
      <c r="AJ1039">
        <f>IF([3]Entry!$G$1042="","",[3]Entry!$G$1042)</f>
        <v/>
      </c>
      <c r="AK1039">
        <f>IF([3]Entry!$K$1042="","",[3]Entry!$K$1042)</f>
        <v/>
      </c>
      <c r="AL1039">
        <f>IF([3]Entry!$L$1042="","",[3]Entry!$L$1042)</f>
        <v/>
      </c>
      <c r="AM1039">
        <f>IF([3]Entry!$M$1042="","",[3]Entry!$M$1042)</f>
        <v/>
      </c>
      <c r="AN1039">
        <f>IF([3]Entry!$N$1042="","",[3]Entry!$N$1042)</f>
        <v/>
      </c>
      <c r="AO1039">
        <f>IF([3]Entry!$R$1042="","",[3]Entry!$R$1042)</f>
        <v/>
      </c>
    </row>
    <row r="1040">
      <c r="U1040">
        <f>IF([2]Baskol!$B$1043="","",[2]Baskol!$B$1043)</f>
        <v/>
      </c>
      <c r="V1040">
        <f>IF([2]Baskol!$C$1043="","",[2]Baskol!$C$1043)</f>
        <v/>
      </c>
      <c r="W1040">
        <f>IF([2]Baskol!$D$1043="","",[2]Baskol!$D$1043)</f>
        <v/>
      </c>
      <c r="X1040">
        <f>IF([2]Baskol!$E$1043="","",[2]Baskol!$E$1043)</f>
        <v/>
      </c>
      <c r="Y1040">
        <f>IF([2]Baskol!$G$1043="","",[2]Baskol!$G$1043)</f>
        <v/>
      </c>
      <c r="Z1040">
        <f>IF([2]Baskol!$I$1043="","",[2]Baskol!$I$1043)</f>
        <v/>
      </c>
      <c r="AA1040">
        <f>IF([2]Baskol!$J$1043="","",[2]Baskol!$J$1043)</f>
        <v/>
      </c>
      <c r="AB1040">
        <f>IF([2]Baskol!$K$1043="","",[2]Baskol!$K$1043)</f>
        <v/>
      </c>
      <c r="AC1040">
        <f>IF([2]Baskol!$L$1043="","",[2]Baskol!$L$1043)</f>
        <v/>
      </c>
      <c r="AD1040">
        <f>IF([2]Baskol!$N$1043="","",[2]Baskol!$N$1043)</f>
        <v/>
      </c>
      <c r="AE1040">
        <f>IF([2]Baskol!$O$1043="","",[2]Baskol!$O$1043)</f>
        <v/>
      </c>
      <c r="AG1040">
        <f>IF([3]Entry!$C$1043="","",[3]Entry!$C$1043)</f>
        <v/>
      </c>
      <c r="AH1040">
        <f>IF([3]Entry!$D$1043="","",[3]Entry!$D$1043)</f>
        <v/>
      </c>
      <c r="AI1040">
        <f>IF([3]Entry!$E$1043="","",[3]Entry!$E$1043)</f>
        <v/>
      </c>
      <c r="AJ1040">
        <f>IF([3]Entry!$G$1043="","",[3]Entry!$G$1043)</f>
        <v/>
      </c>
      <c r="AK1040">
        <f>IF([3]Entry!$K$1043="","",[3]Entry!$K$1043)</f>
        <v/>
      </c>
      <c r="AL1040">
        <f>IF([3]Entry!$L$1043="","",[3]Entry!$L$1043)</f>
        <v/>
      </c>
      <c r="AM1040">
        <f>IF([3]Entry!$M$1043="","",[3]Entry!$M$1043)</f>
        <v/>
      </c>
      <c r="AN1040">
        <f>IF([3]Entry!$N$1043="","",[3]Entry!$N$1043)</f>
        <v/>
      </c>
      <c r="AO1040">
        <f>IF([3]Entry!$R$1043="","",[3]Entry!$R$1043)</f>
        <v/>
      </c>
    </row>
    <row r="1041">
      <c r="U1041">
        <f>IF([2]Baskol!$B$1044="","",[2]Baskol!$B$1044)</f>
        <v/>
      </c>
      <c r="V1041">
        <f>IF([2]Baskol!$C$1044="","",[2]Baskol!$C$1044)</f>
        <v/>
      </c>
      <c r="W1041">
        <f>IF([2]Baskol!$D$1044="","",[2]Baskol!$D$1044)</f>
        <v/>
      </c>
      <c r="X1041">
        <f>IF([2]Baskol!$E$1044="","",[2]Baskol!$E$1044)</f>
        <v/>
      </c>
      <c r="Y1041">
        <f>IF([2]Baskol!$G$1044="","",[2]Baskol!$G$1044)</f>
        <v/>
      </c>
      <c r="Z1041">
        <f>IF([2]Baskol!$I$1044="","",[2]Baskol!$I$1044)</f>
        <v/>
      </c>
      <c r="AA1041">
        <f>IF([2]Baskol!$J$1044="","",[2]Baskol!$J$1044)</f>
        <v/>
      </c>
      <c r="AB1041">
        <f>IF([2]Baskol!$K$1044="","",[2]Baskol!$K$1044)</f>
        <v/>
      </c>
      <c r="AC1041">
        <f>IF([2]Baskol!$L$1044="","",[2]Baskol!$L$1044)</f>
        <v/>
      </c>
      <c r="AD1041">
        <f>IF([2]Baskol!$N$1044="","",[2]Baskol!$N$1044)</f>
        <v/>
      </c>
      <c r="AE1041">
        <f>IF([2]Baskol!$O$1044="","",[2]Baskol!$O$1044)</f>
        <v/>
      </c>
      <c r="AG1041">
        <f>IF([3]Entry!$C$1044="","",[3]Entry!$C$1044)</f>
        <v/>
      </c>
      <c r="AH1041">
        <f>IF([3]Entry!$D$1044="","",[3]Entry!$D$1044)</f>
        <v/>
      </c>
      <c r="AI1041">
        <f>IF([3]Entry!$E$1044="","",[3]Entry!$E$1044)</f>
        <v/>
      </c>
      <c r="AJ1041">
        <f>IF([3]Entry!$G$1044="","",[3]Entry!$G$1044)</f>
        <v/>
      </c>
      <c r="AK1041">
        <f>IF([3]Entry!$K$1044="","",[3]Entry!$K$1044)</f>
        <v/>
      </c>
      <c r="AL1041">
        <f>IF([3]Entry!$L$1044="","",[3]Entry!$L$1044)</f>
        <v/>
      </c>
      <c r="AM1041">
        <f>IF([3]Entry!$M$1044="","",[3]Entry!$M$1044)</f>
        <v/>
      </c>
      <c r="AN1041">
        <f>IF([3]Entry!$N$1044="","",[3]Entry!$N$1044)</f>
        <v/>
      </c>
      <c r="AO1041">
        <f>IF([3]Entry!$R$1044="","",[3]Entry!$R$1044)</f>
        <v/>
      </c>
    </row>
    <row r="1042">
      <c r="U1042">
        <f>IF([2]Baskol!$B$1045="","",[2]Baskol!$B$1045)</f>
        <v/>
      </c>
      <c r="V1042">
        <f>IF([2]Baskol!$C$1045="","",[2]Baskol!$C$1045)</f>
        <v/>
      </c>
      <c r="W1042">
        <f>IF([2]Baskol!$D$1045="","",[2]Baskol!$D$1045)</f>
        <v/>
      </c>
      <c r="X1042">
        <f>IF([2]Baskol!$E$1045="","",[2]Baskol!$E$1045)</f>
        <v/>
      </c>
      <c r="Y1042">
        <f>IF([2]Baskol!$G$1045="","",[2]Baskol!$G$1045)</f>
        <v/>
      </c>
      <c r="Z1042">
        <f>IF([2]Baskol!$I$1045="","",[2]Baskol!$I$1045)</f>
        <v/>
      </c>
      <c r="AA1042">
        <f>IF([2]Baskol!$J$1045="","",[2]Baskol!$J$1045)</f>
        <v/>
      </c>
      <c r="AB1042">
        <f>IF([2]Baskol!$K$1045="","",[2]Baskol!$K$1045)</f>
        <v/>
      </c>
      <c r="AC1042">
        <f>IF([2]Baskol!$L$1045="","",[2]Baskol!$L$1045)</f>
        <v/>
      </c>
      <c r="AD1042">
        <f>IF([2]Baskol!$N$1045="","",[2]Baskol!$N$1045)</f>
        <v/>
      </c>
      <c r="AE1042">
        <f>IF([2]Baskol!$O$1045="","",[2]Baskol!$O$1045)</f>
        <v/>
      </c>
      <c r="AG1042">
        <f>IF([3]Entry!$C$1045="","",[3]Entry!$C$1045)</f>
        <v/>
      </c>
      <c r="AH1042">
        <f>IF([3]Entry!$D$1045="","",[3]Entry!$D$1045)</f>
        <v/>
      </c>
      <c r="AI1042">
        <f>IF([3]Entry!$E$1045="","",[3]Entry!$E$1045)</f>
        <v/>
      </c>
      <c r="AJ1042">
        <f>IF([3]Entry!$G$1045="","",[3]Entry!$G$1045)</f>
        <v/>
      </c>
      <c r="AK1042">
        <f>IF([3]Entry!$K$1045="","",[3]Entry!$K$1045)</f>
        <v/>
      </c>
      <c r="AL1042">
        <f>IF([3]Entry!$L$1045="","",[3]Entry!$L$1045)</f>
        <v/>
      </c>
      <c r="AM1042">
        <f>IF([3]Entry!$M$1045="","",[3]Entry!$M$1045)</f>
        <v/>
      </c>
      <c r="AN1042">
        <f>IF([3]Entry!$N$1045="","",[3]Entry!$N$1045)</f>
        <v/>
      </c>
      <c r="AO1042">
        <f>IF([3]Entry!$R$1045="","",[3]Entry!$R$1045)</f>
        <v/>
      </c>
    </row>
    <row r="1043">
      <c r="U1043">
        <f>IF([2]Baskol!$B$1046="","",[2]Baskol!$B$1046)</f>
        <v/>
      </c>
      <c r="V1043">
        <f>IF([2]Baskol!$C$1046="","",[2]Baskol!$C$1046)</f>
        <v/>
      </c>
      <c r="W1043">
        <f>IF([2]Baskol!$D$1046="","",[2]Baskol!$D$1046)</f>
        <v/>
      </c>
      <c r="X1043">
        <f>IF([2]Baskol!$E$1046="","",[2]Baskol!$E$1046)</f>
        <v/>
      </c>
      <c r="Y1043">
        <f>IF([2]Baskol!$G$1046="","",[2]Baskol!$G$1046)</f>
        <v/>
      </c>
      <c r="Z1043">
        <f>IF([2]Baskol!$I$1046="","",[2]Baskol!$I$1046)</f>
        <v/>
      </c>
      <c r="AA1043">
        <f>IF([2]Baskol!$J$1046="","",[2]Baskol!$J$1046)</f>
        <v/>
      </c>
      <c r="AB1043">
        <f>IF([2]Baskol!$K$1046="","",[2]Baskol!$K$1046)</f>
        <v/>
      </c>
      <c r="AC1043">
        <f>IF([2]Baskol!$L$1046="","",[2]Baskol!$L$1046)</f>
        <v/>
      </c>
      <c r="AD1043">
        <f>IF([2]Baskol!$N$1046="","",[2]Baskol!$N$1046)</f>
        <v/>
      </c>
      <c r="AE1043">
        <f>IF([2]Baskol!$O$1046="","",[2]Baskol!$O$1046)</f>
        <v/>
      </c>
      <c r="AG1043">
        <f>IF([3]Entry!$C$1046="","",[3]Entry!$C$1046)</f>
        <v/>
      </c>
      <c r="AH1043">
        <f>IF([3]Entry!$D$1046="","",[3]Entry!$D$1046)</f>
        <v/>
      </c>
      <c r="AI1043">
        <f>IF([3]Entry!$E$1046="","",[3]Entry!$E$1046)</f>
        <v/>
      </c>
      <c r="AJ1043">
        <f>IF([3]Entry!$G$1046="","",[3]Entry!$G$1046)</f>
        <v/>
      </c>
      <c r="AK1043">
        <f>IF([3]Entry!$K$1046="","",[3]Entry!$K$1046)</f>
        <v/>
      </c>
      <c r="AL1043">
        <f>IF([3]Entry!$L$1046="","",[3]Entry!$L$1046)</f>
        <v/>
      </c>
      <c r="AM1043">
        <f>IF([3]Entry!$M$1046="","",[3]Entry!$M$1046)</f>
        <v/>
      </c>
      <c r="AN1043">
        <f>IF([3]Entry!$N$1046="","",[3]Entry!$N$1046)</f>
        <v/>
      </c>
      <c r="AO1043">
        <f>IF([3]Entry!$R$1046="","",[3]Entry!$R$1046)</f>
        <v/>
      </c>
    </row>
    <row r="1044">
      <c r="U1044">
        <f>IF([2]Baskol!$B$1047="","",[2]Baskol!$B$1047)</f>
        <v/>
      </c>
      <c r="V1044">
        <f>IF([2]Baskol!$C$1047="","",[2]Baskol!$C$1047)</f>
        <v/>
      </c>
      <c r="W1044">
        <f>IF([2]Baskol!$D$1047="","",[2]Baskol!$D$1047)</f>
        <v/>
      </c>
      <c r="X1044">
        <f>IF([2]Baskol!$E$1047="","",[2]Baskol!$E$1047)</f>
        <v/>
      </c>
      <c r="Y1044">
        <f>IF([2]Baskol!$G$1047="","",[2]Baskol!$G$1047)</f>
        <v/>
      </c>
      <c r="Z1044">
        <f>IF([2]Baskol!$I$1047="","",[2]Baskol!$I$1047)</f>
        <v/>
      </c>
      <c r="AA1044">
        <f>IF([2]Baskol!$J$1047="","",[2]Baskol!$J$1047)</f>
        <v/>
      </c>
      <c r="AB1044">
        <f>IF([2]Baskol!$K$1047="","",[2]Baskol!$K$1047)</f>
        <v/>
      </c>
      <c r="AC1044">
        <f>IF([2]Baskol!$L$1047="","",[2]Baskol!$L$1047)</f>
        <v/>
      </c>
      <c r="AD1044">
        <f>IF([2]Baskol!$N$1047="","",[2]Baskol!$N$1047)</f>
        <v/>
      </c>
      <c r="AE1044">
        <f>IF([2]Baskol!$O$1047="","",[2]Baskol!$O$1047)</f>
        <v/>
      </c>
      <c r="AG1044">
        <f>IF([3]Entry!$C$1047="","",[3]Entry!$C$1047)</f>
        <v/>
      </c>
      <c r="AH1044">
        <f>IF([3]Entry!$D$1047="","",[3]Entry!$D$1047)</f>
        <v/>
      </c>
      <c r="AI1044">
        <f>IF([3]Entry!$E$1047="","",[3]Entry!$E$1047)</f>
        <v/>
      </c>
      <c r="AJ1044">
        <f>IF([3]Entry!$G$1047="","",[3]Entry!$G$1047)</f>
        <v/>
      </c>
      <c r="AK1044">
        <f>IF([3]Entry!$K$1047="","",[3]Entry!$K$1047)</f>
        <v/>
      </c>
      <c r="AL1044">
        <f>IF([3]Entry!$L$1047="","",[3]Entry!$L$1047)</f>
        <v/>
      </c>
      <c r="AM1044">
        <f>IF([3]Entry!$M$1047="","",[3]Entry!$M$1047)</f>
        <v/>
      </c>
      <c r="AN1044">
        <f>IF([3]Entry!$N$1047="","",[3]Entry!$N$1047)</f>
        <v/>
      </c>
      <c r="AO1044">
        <f>IF([3]Entry!$R$1047="","",[3]Entry!$R$1047)</f>
        <v/>
      </c>
    </row>
    <row r="1045">
      <c r="U1045">
        <f>IF([2]Baskol!$B$1048="","",[2]Baskol!$B$1048)</f>
        <v/>
      </c>
      <c r="V1045">
        <f>IF([2]Baskol!$C$1048="","",[2]Baskol!$C$1048)</f>
        <v/>
      </c>
      <c r="W1045">
        <f>IF([2]Baskol!$D$1048="","",[2]Baskol!$D$1048)</f>
        <v/>
      </c>
      <c r="X1045">
        <f>IF([2]Baskol!$E$1048="","",[2]Baskol!$E$1048)</f>
        <v/>
      </c>
      <c r="Y1045">
        <f>IF([2]Baskol!$G$1048="","",[2]Baskol!$G$1048)</f>
        <v/>
      </c>
      <c r="Z1045">
        <f>IF([2]Baskol!$I$1048="","",[2]Baskol!$I$1048)</f>
        <v/>
      </c>
      <c r="AA1045">
        <f>IF([2]Baskol!$J$1048="","",[2]Baskol!$J$1048)</f>
        <v/>
      </c>
      <c r="AB1045">
        <f>IF([2]Baskol!$K$1048="","",[2]Baskol!$K$1048)</f>
        <v/>
      </c>
      <c r="AC1045">
        <f>IF([2]Baskol!$L$1048="","",[2]Baskol!$L$1048)</f>
        <v/>
      </c>
      <c r="AD1045">
        <f>IF([2]Baskol!$N$1048="","",[2]Baskol!$N$1048)</f>
        <v/>
      </c>
      <c r="AE1045">
        <f>IF([2]Baskol!$O$1048="","",[2]Baskol!$O$1048)</f>
        <v/>
      </c>
      <c r="AG1045">
        <f>IF([3]Entry!$C$1048="","",[3]Entry!$C$1048)</f>
        <v/>
      </c>
      <c r="AH1045">
        <f>IF([3]Entry!$D$1048="","",[3]Entry!$D$1048)</f>
        <v/>
      </c>
      <c r="AI1045">
        <f>IF([3]Entry!$E$1048="","",[3]Entry!$E$1048)</f>
        <v/>
      </c>
      <c r="AJ1045">
        <f>IF([3]Entry!$G$1048="","",[3]Entry!$G$1048)</f>
        <v/>
      </c>
      <c r="AK1045">
        <f>IF([3]Entry!$K$1048="","",[3]Entry!$K$1048)</f>
        <v/>
      </c>
      <c r="AL1045">
        <f>IF([3]Entry!$L$1048="","",[3]Entry!$L$1048)</f>
        <v/>
      </c>
      <c r="AM1045">
        <f>IF([3]Entry!$M$1048="","",[3]Entry!$M$1048)</f>
        <v/>
      </c>
      <c r="AN1045">
        <f>IF([3]Entry!$N$1048="","",[3]Entry!$N$1048)</f>
        <v/>
      </c>
      <c r="AO1045">
        <f>IF([3]Entry!$R$1048="","",[3]Entry!$R$1048)</f>
        <v/>
      </c>
    </row>
    <row r="1046">
      <c r="U1046">
        <f>IF([2]Baskol!$B$1049="","",[2]Baskol!$B$1049)</f>
        <v/>
      </c>
      <c r="V1046">
        <f>IF([2]Baskol!$C$1049="","",[2]Baskol!$C$1049)</f>
        <v/>
      </c>
      <c r="W1046">
        <f>IF([2]Baskol!$D$1049="","",[2]Baskol!$D$1049)</f>
        <v/>
      </c>
      <c r="X1046">
        <f>IF([2]Baskol!$E$1049="","",[2]Baskol!$E$1049)</f>
        <v/>
      </c>
      <c r="Y1046">
        <f>IF([2]Baskol!$G$1049="","",[2]Baskol!$G$1049)</f>
        <v/>
      </c>
      <c r="Z1046">
        <f>IF([2]Baskol!$I$1049="","",[2]Baskol!$I$1049)</f>
        <v/>
      </c>
      <c r="AA1046">
        <f>IF([2]Baskol!$J$1049="","",[2]Baskol!$J$1049)</f>
        <v/>
      </c>
      <c r="AB1046">
        <f>IF([2]Baskol!$K$1049="","",[2]Baskol!$K$1049)</f>
        <v/>
      </c>
      <c r="AC1046">
        <f>IF([2]Baskol!$L$1049="","",[2]Baskol!$L$1049)</f>
        <v/>
      </c>
      <c r="AD1046">
        <f>IF([2]Baskol!$N$1049="","",[2]Baskol!$N$1049)</f>
        <v/>
      </c>
      <c r="AE1046">
        <f>IF([2]Baskol!$O$1049="","",[2]Baskol!$O$1049)</f>
        <v/>
      </c>
      <c r="AG1046">
        <f>IF([3]Entry!$C$1049="","",[3]Entry!$C$1049)</f>
        <v/>
      </c>
      <c r="AH1046">
        <f>IF([3]Entry!$D$1049="","",[3]Entry!$D$1049)</f>
        <v/>
      </c>
      <c r="AI1046">
        <f>IF([3]Entry!$E$1049="","",[3]Entry!$E$1049)</f>
        <v/>
      </c>
      <c r="AJ1046">
        <f>IF([3]Entry!$G$1049="","",[3]Entry!$G$1049)</f>
        <v/>
      </c>
      <c r="AK1046">
        <f>IF([3]Entry!$K$1049="","",[3]Entry!$K$1049)</f>
        <v/>
      </c>
      <c r="AL1046">
        <f>IF([3]Entry!$L$1049="","",[3]Entry!$L$1049)</f>
        <v/>
      </c>
      <c r="AM1046">
        <f>IF([3]Entry!$M$1049="","",[3]Entry!$M$1049)</f>
        <v/>
      </c>
      <c r="AN1046">
        <f>IF([3]Entry!$N$1049="","",[3]Entry!$N$1049)</f>
        <v/>
      </c>
      <c r="AO1046">
        <f>IF([3]Entry!$R$1049="","",[3]Entry!$R$1049)</f>
        <v/>
      </c>
    </row>
    <row r="1047">
      <c r="U1047">
        <f>IF([2]Baskol!$B$1050="","",[2]Baskol!$B$1050)</f>
        <v/>
      </c>
      <c r="V1047">
        <f>IF([2]Baskol!$C$1050="","",[2]Baskol!$C$1050)</f>
        <v/>
      </c>
      <c r="W1047">
        <f>IF([2]Baskol!$D$1050="","",[2]Baskol!$D$1050)</f>
        <v/>
      </c>
      <c r="X1047">
        <f>IF([2]Baskol!$E$1050="","",[2]Baskol!$E$1050)</f>
        <v/>
      </c>
      <c r="Y1047">
        <f>IF([2]Baskol!$G$1050="","",[2]Baskol!$G$1050)</f>
        <v/>
      </c>
      <c r="Z1047">
        <f>IF([2]Baskol!$I$1050="","",[2]Baskol!$I$1050)</f>
        <v/>
      </c>
      <c r="AA1047">
        <f>IF([2]Baskol!$J$1050="","",[2]Baskol!$J$1050)</f>
        <v/>
      </c>
      <c r="AB1047">
        <f>IF([2]Baskol!$K$1050="","",[2]Baskol!$K$1050)</f>
        <v/>
      </c>
      <c r="AC1047">
        <f>IF([2]Baskol!$L$1050="","",[2]Baskol!$L$1050)</f>
        <v/>
      </c>
      <c r="AD1047">
        <f>IF([2]Baskol!$N$1050="","",[2]Baskol!$N$1050)</f>
        <v/>
      </c>
      <c r="AE1047">
        <f>IF([2]Baskol!$O$1050="","",[2]Baskol!$O$1050)</f>
        <v/>
      </c>
      <c r="AG1047">
        <f>IF([3]Entry!$C$1050="","",[3]Entry!$C$1050)</f>
        <v/>
      </c>
      <c r="AH1047">
        <f>IF([3]Entry!$D$1050="","",[3]Entry!$D$1050)</f>
        <v/>
      </c>
      <c r="AI1047">
        <f>IF([3]Entry!$E$1050="","",[3]Entry!$E$1050)</f>
        <v/>
      </c>
      <c r="AJ1047">
        <f>IF([3]Entry!$G$1050="","",[3]Entry!$G$1050)</f>
        <v/>
      </c>
      <c r="AK1047">
        <f>IF([3]Entry!$K$1050="","",[3]Entry!$K$1050)</f>
        <v/>
      </c>
      <c r="AL1047">
        <f>IF([3]Entry!$L$1050="","",[3]Entry!$L$1050)</f>
        <v/>
      </c>
      <c r="AM1047">
        <f>IF([3]Entry!$M$1050="","",[3]Entry!$M$1050)</f>
        <v/>
      </c>
      <c r="AN1047">
        <f>IF([3]Entry!$N$1050="","",[3]Entry!$N$1050)</f>
        <v/>
      </c>
      <c r="AO1047">
        <f>IF([3]Entry!$R$1050="","",[3]Entry!$R$1050)</f>
        <v/>
      </c>
    </row>
    <row r="1048">
      <c r="U1048">
        <f>IF([2]Baskol!$B$1051="","",[2]Baskol!$B$1051)</f>
        <v/>
      </c>
      <c r="V1048">
        <f>IF([2]Baskol!$C$1051="","",[2]Baskol!$C$1051)</f>
        <v/>
      </c>
      <c r="W1048">
        <f>IF([2]Baskol!$D$1051="","",[2]Baskol!$D$1051)</f>
        <v/>
      </c>
      <c r="X1048">
        <f>IF([2]Baskol!$E$1051="","",[2]Baskol!$E$1051)</f>
        <v/>
      </c>
      <c r="Y1048">
        <f>IF([2]Baskol!$G$1051="","",[2]Baskol!$G$1051)</f>
        <v/>
      </c>
      <c r="Z1048">
        <f>IF([2]Baskol!$I$1051="","",[2]Baskol!$I$1051)</f>
        <v/>
      </c>
      <c r="AA1048">
        <f>IF([2]Baskol!$J$1051="","",[2]Baskol!$J$1051)</f>
        <v/>
      </c>
      <c r="AB1048">
        <f>IF([2]Baskol!$K$1051="","",[2]Baskol!$K$1051)</f>
        <v/>
      </c>
      <c r="AC1048">
        <f>IF([2]Baskol!$L$1051="","",[2]Baskol!$L$1051)</f>
        <v/>
      </c>
      <c r="AD1048">
        <f>IF([2]Baskol!$N$1051="","",[2]Baskol!$N$1051)</f>
        <v/>
      </c>
      <c r="AE1048">
        <f>IF([2]Baskol!$O$1051="","",[2]Baskol!$O$1051)</f>
        <v/>
      </c>
      <c r="AG1048">
        <f>IF([3]Entry!$C$1051="","",[3]Entry!$C$1051)</f>
        <v/>
      </c>
      <c r="AH1048">
        <f>IF([3]Entry!$D$1051="","",[3]Entry!$D$1051)</f>
        <v/>
      </c>
      <c r="AI1048">
        <f>IF([3]Entry!$E$1051="","",[3]Entry!$E$1051)</f>
        <v/>
      </c>
      <c r="AJ1048">
        <f>IF([3]Entry!$G$1051="","",[3]Entry!$G$1051)</f>
        <v/>
      </c>
      <c r="AK1048">
        <f>IF([3]Entry!$K$1051="","",[3]Entry!$K$1051)</f>
        <v/>
      </c>
      <c r="AL1048">
        <f>IF([3]Entry!$L$1051="","",[3]Entry!$L$1051)</f>
        <v/>
      </c>
      <c r="AM1048">
        <f>IF([3]Entry!$M$1051="","",[3]Entry!$M$1051)</f>
        <v/>
      </c>
      <c r="AN1048">
        <f>IF([3]Entry!$N$1051="","",[3]Entry!$N$1051)</f>
        <v/>
      </c>
      <c r="AO1048">
        <f>IF([3]Entry!$R$1051="","",[3]Entry!$R$1051)</f>
        <v/>
      </c>
    </row>
    <row r="1049">
      <c r="U1049">
        <f>IF([2]Baskol!$B$1052="","",[2]Baskol!$B$1052)</f>
        <v/>
      </c>
      <c r="V1049">
        <f>IF([2]Baskol!$C$1052="","",[2]Baskol!$C$1052)</f>
        <v/>
      </c>
      <c r="W1049">
        <f>IF([2]Baskol!$D$1052="","",[2]Baskol!$D$1052)</f>
        <v/>
      </c>
      <c r="X1049">
        <f>IF([2]Baskol!$E$1052="","",[2]Baskol!$E$1052)</f>
        <v/>
      </c>
      <c r="Y1049">
        <f>IF([2]Baskol!$G$1052="","",[2]Baskol!$G$1052)</f>
        <v/>
      </c>
      <c r="Z1049">
        <f>IF([2]Baskol!$I$1052="","",[2]Baskol!$I$1052)</f>
        <v/>
      </c>
      <c r="AA1049">
        <f>IF([2]Baskol!$J$1052="","",[2]Baskol!$J$1052)</f>
        <v/>
      </c>
      <c r="AB1049">
        <f>IF([2]Baskol!$K$1052="","",[2]Baskol!$K$1052)</f>
        <v/>
      </c>
      <c r="AC1049">
        <f>IF([2]Baskol!$L$1052="","",[2]Baskol!$L$1052)</f>
        <v/>
      </c>
      <c r="AD1049">
        <f>IF([2]Baskol!$N$1052="","",[2]Baskol!$N$1052)</f>
        <v/>
      </c>
      <c r="AE1049">
        <f>IF([2]Baskol!$O$1052="","",[2]Baskol!$O$1052)</f>
        <v/>
      </c>
      <c r="AG1049">
        <f>IF([3]Entry!$C$1052="","",[3]Entry!$C$1052)</f>
        <v/>
      </c>
      <c r="AH1049">
        <f>IF([3]Entry!$D$1052="","",[3]Entry!$D$1052)</f>
        <v/>
      </c>
      <c r="AI1049">
        <f>IF([3]Entry!$E$1052="","",[3]Entry!$E$1052)</f>
        <v/>
      </c>
      <c r="AJ1049">
        <f>IF([3]Entry!$G$1052="","",[3]Entry!$G$1052)</f>
        <v/>
      </c>
      <c r="AK1049">
        <f>IF([3]Entry!$K$1052="","",[3]Entry!$K$1052)</f>
        <v/>
      </c>
      <c r="AL1049">
        <f>IF([3]Entry!$L$1052="","",[3]Entry!$L$1052)</f>
        <v/>
      </c>
      <c r="AM1049">
        <f>IF([3]Entry!$M$1052="","",[3]Entry!$M$1052)</f>
        <v/>
      </c>
      <c r="AN1049">
        <f>IF([3]Entry!$N$1052="","",[3]Entry!$N$1052)</f>
        <v/>
      </c>
      <c r="AO1049">
        <f>IF([3]Entry!$R$1052="","",[3]Entry!$R$1052)</f>
        <v/>
      </c>
    </row>
    <row r="1050">
      <c r="U1050">
        <f>IF([2]Baskol!$B$1053="","",[2]Baskol!$B$1053)</f>
        <v/>
      </c>
      <c r="V1050">
        <f>IF([2]Baskol!$C$1053="","",[2]Baskol!$C$1053)</f>
        <v/>
      </c>
      <c r="W1050">
        <f>IF([2]Baskol!$D$1053="","",[2]Baskol!$D$1053)</f>
        <v/>
      </c>
      <c r="X1050">
        <f>IF([2]Baskol!$E$1053="","",[2]Baskol!$E$1053)</f>
        <v/>
      </c>
      <c r="Y1050">
        <f>IF([2]Baskol!$G$1053="","",[2]Baskol!$G$1053)</f>
        <v/>
      </c>
      <c r="Z1050">
        <f>IF([2]Baskol!$I$1053="","",[2]Baskol!$I$1053)</f>
        <v/>
      </c>
      <c r="AA1050">
        <f>IF([2]Baskol!$J$1053="","",[2]Baskol!$J$1053)</f>
        <v/>
      </c>
      <c r="AB1050">
        <f>IF([2]Baskol!$K$1053="","",[2]Baskol!$K$1053)</f>
        <v/>
      </c>
      <c r="AC1050">
        <f>IF([2]Baskol!$L$1053="","",[2]Baskol!$L$1053)</f>
        <v/>
      </c>
      <c r="AD1050">
        <f>IF([2]Baskol!$N$1053="","",[2]Baskol!$N$1053)</f>
        <v/>
      </c>
      <c r="AE1050">
        <f>IF([2]Baskol!$O$1053="","",[2]Baskol!$O$1053)</f>
        <v/>
      </c>
      <c r="AG1050">
        <f>IF([3]Entry!$C$1053="","",[3]Entry!$C$1053)</f>
        <v/>
      </c>
      <c r="AH1050">
        <f>IF([3]Entry!$D$1053="","",[3]Entry!$D$1053)</f>
        <v/>
      </c>
      <c r="AI1050">
        <f>IF([3]Entry!$E$1053="","",[3]Entry!$E$1053)</f>
        <v/>
      </c>
      <c r="AJ1050">
        <f>IF([3]Entry!$G$1053="","",[3]Entry!$G$1053)</f>
        <v/>
      </c>
      <c r="AK1050">
        <f>IF([3]Entry!$K$1053="","",[3]Entry!$K$1053)</f>
        <v/>
      </c>
      <c r="AL1050">
        <f>IF([3]Entry!$L$1053="","",[3]Entry!$L$1053)</f>
        <v/>
      </c>
      <c r="AM1050">
        <f>IF([3]Entry!$M$1053="","",[3]Entry!$M$1053)</f>
        <v/>
      </c>
      <c r="AN1050">
        <f>IF([3]Entry!$N$1053="","",[3]Entry!$N$1053)</f>
        <v/>
      </c>
      <c r="AO1050">
        <f>IF([3]Entry!$R$1053="","",[3]Entry!$R$1053)</f>
        <v/>
      </c>
    </row>
    <row r="1051">
      <c r="U1051">
        <f>IF([2]Baskol!$B$1054="","",[2]Baskol!$B$1054)</f>
        <v/>
      </c>
      <c r="V1051">
        <f>IF([2]Baskol!$C$1054="","",[2]Baskol!$C$1054)</f>
        <v/>
      </c>
      <c r="W1051">
        <f>IF([2]Baskol!$D$1054="","",[2]Baskol!$D$1054)</f>
        <v/>
      </c>
      <c r="X1051">
        <f>IF([2]Baskol!$E$1054="","",[2]Baskol!$E$1054)</f>
        <v/>
      </c>
      <c r="Y1051">
        <f>IF([2]Baskol!$G$1054="","",[2]Baskol!$G$1054)</f>
        <v/>
      </c>
      <c r="Z1051">
        <f>IF([2]Baskol!$I$1054="","",[2]Baskol!$I$1054)</f>
        <v/>
      </c>
      <c r="AA1051">
        <f>IF([2]Baskol!$J$1054="","",[2]Baskol!$J$1054)</f>
        <v/>
      </c>
      <c r="AB1051">
        <f>IF([2]Baskol!$K$1054="","",[2]Baskol!$K$1054)</f>
        <v/>
      </c>
      <c r="AC1051">
        <f>IF([2]Baskol!$L$1054="","",[2]Baskol!$L$1054)</f>
        <v/>
      </c>
      <c r="AD1051">
        <f>IF([2]Baskol!$N$1054="","",[2]Baskol!$N$1054)</f>
        <v/>
      </c>
      <c r="AE1051">
        <f>IF([2]Baskol!$O$1054="","",[2]Baskol!$O$1054)</f>
        <v/>
      </c>
      <c r="AG1051">
        <f>IF([3]Entry!$C$1054="","",[3]Entry!$C$1054)</f>
        <v/>
      </c>
      <c r="AH1051">
        <f>IF([3]Entry!$D$1054="","",[3]Entry!$D$1054)</f>
        <v/>
      </c>
      <c r="AI1051">
        <f>IF([3]Entry!$E$1054="","",[3]Entry!$E$1054)</f>
        <v/>
      </c>
      <c r="AJ1051">
        <f>IF([3]Entry!$G$1054="","",[3]Entry!$G$1054)</f>
        <v/>
      </c>
      <c r="AK1051">
        <f>IF([3]Entry!$K$1054="","",[3]Entry!$K$1054)</f>
        <v/>
      </c>
      <c r="AL1051">
        <f>IF([3]Entry!$L$1054="","",[3]Entry!$L$1054)</f>
        <v/>
      </c>
      <c r="AM1051">
        <f>IF([3]Entry!$M$1054="","",[3]Entry!$M$1054)</f>
        <v/>
      </c>
      <c r="AN1051">
        <f>IF([3]Entry!$N$1054="","",[3]Entry!$N$1054)</f>
        <v/>
      </c>
      <c r="AO1051">
        <f>IF([3]Entry!$R$1054="","",[3]Entry!$R$1054)</f>
        <v/>
      </c>
    </row>
    <row r="1052">
      <c r="U1052">
        <f>IF([2]Baskol!$B$1055="","",[2]Baskol!$B$1055)</f>
        <v/>
      </c>
      <c r="V1052">
        <f>IF([2]Baskol!$C$1055="","",[2]Baskol!$C$1055)</f>
        <v/>
      </c>
      <c r="W1052">
        <f>IF([2]Baskol!$D$1055="","",[2]Baskol!$D$1055)</f>
        <v/>
      </c>
      <c r="X1052">
        <f>IF([2]Baskol!$E$1055="","",[2]Baskol!$E$1055)</f>
        <v/>
      </c>
      <c r="Y1052">
        <f>IF([2]Baskol!$G$1055="","",[2]Baskol!$G$1055)</f>
        <v/>
      </c>
      <c r="Z1052">
        <f>IF([2]Baskol!$I$1055="","",[2]Baskol!$I$1055)</f>
        <v/>
      </c>
      <c r="AA1052">
        <f>IF([2]Baskol!$J$1055="","",[2]Baskol!$J$1055)</f>
        <v/>
      </c>
      <c r="AB1052">
        <f>IF([2]Baskol!$K$1055="","",[2]Baskol!$K$1055)</f>
        <v/>
      </c>
      <c r="AC1052">
        <f>IF([2]Baskol!$L$1055="","",[2]Baskol!$L$1055)</f>
        <v/>
      </c>
      <c r="AD1052">
        <f>IF([2]Baskol!$N$1055="","",[2]Baskol!$N$1055)</f>
        <v/>
      </c>
      <c r="AE1052">
        <f>IF([2]Baskol!$O$1055="","",[2]Baskol!$O$1055)</f>
        <v/>
      </c>
      <c r="AG1052">
        <f>IF([3]Entry!$C$1055="","",[3]Entry!$C$1055)</f>
        <v/>
      </c>
      <c r="AH1052">
        <f>IF([3]Entry!$D$1055="","",[3]Entry!$D$1055)</f>
        <v/>
      </c>
      <c r="AI1052">
        <f>IF([3]Entry!$E$1055="","",[3]Entry!$E$1055)</f>
        <v/>
      </c>
      <c r="AJ1052">
        <f>IF([3]Entry!$G$1055="","",[3]Entry!$G$1055)</f>
        <v/>
      </c>
      <c r="AK1052">
        <f>IF([3]Entry!$K$1055="","",[3]Entry!$K$1055)</f>
        <v/>
      </c>
      <c r="AL1052">
        <f>IF([3]Entry!$L$1055="","",[3]Entry!$L$1055)</f>
        <v/>
      </c>
      <c r="AM1052">
        <f>IF([3]Entry!$M$1055="","",[3]Entry!$M$1055)</f>
        <v/>
      </c>
      <c r="AN1052">
        <f>IF([3]Entry!$N$1055="","",[3]Entry!$N$1055)</f>
        <v/>
      </c>
      <c r="AO1052">
        <f>IF([3]Entry!$R$1055="","",[3]Entry!$R$1055)</f>
        <v/>
      </c>
    </row>
    <row r="1053">
      <c r="U1053">
        <f>IF([2]Baskol!$B$1056="","",[2]Baskol!$B$1056)</f>
        <v/>
      </c>
      <c r="V1053">
        <f>IF([2]Baskol!$C$1056="","",[2]Baskol!$C$1056)</f>
        <v/>
      </c>
      <c r="W1053">
        <f>IF([2]Baskol!$D$1056="","",[2]Baskol!$D$1056)</f>
        <v/>
      </c>
      <c r="X1053">
        <f>IF([2]Baskol!$E$1056="","",[2]Baskol!$E$1056)</f>
        <v/>
      </c>
      <c r="Y1053">
        <f>IF([2]Baskol!$G$1056="","",[2]Baskol!$G$1056)</f>
        <v/>
      </c>
      <c r="Z1053">
        <f>IF([2]Baskol!$I$1056="","",[2]Baskol!$I$1056)</f>
        <v/>
      </c>
      <c r="AA1053">
        <f>IF([2]Baskol!$J$1056="","",[2]Baskol!$J$1056)</f>
        <v/>
      </c>
      <c r="AB1053">
        <f>IF([2]Baskol!$K$1056="","",[2]Baskol!$K$1056)</f>
        <v/>
      </c>
      <c r="AC1053">
        <f>IF([2]Baskol!$L$1056="","",[2]Baskol!$L$1056)</f>
        <v/>
      </c>
      <c r="AD1053">
        <f>IF([2]Baskol!$N$1056="","",[2]Baskol!$N$1056)</f>
        <v/>
      </c>
      <c r="AE1053">
        <f>IF([2]Baskol!$O$1056="","",[2]Baskol!$O$1056)</f>
        <v/>
      </c>
      <c r="AG1053">
        <f>IF([3]Entry!$C$1056="","",[3]Entry!$C$1056)</f>
        <v/>
      </c>
      <c r="AH1053">
        <f>IF([3]Entry!$D$1056="","",[3]Entry!$D$1056)</f>
        <v/>
      </c>
      <c r="AI1053">
        <f>IF([3]Entry!$E$1056="","",[3]Entry!$E$1056)</f>
        <v/>
      </c>
      <c r="AJ1053">
        <f>IF([3]Entry!$G$1056="","",[3]Entry!$G$1056)</f>
        <v/>
      </c>
      <c r="AK1053">
        <f>IF([3]Entry!$K$1056="","",[3]Entry!$K$1056)</f>
        <v/>
      </c>
      <c r="AL1053">
        <f>IF([3]Entry!$L$1056="","",[3]Entry!$L$1056)</f>
        <v/>
      </c>
      <c r="AM1053">
        <f>IF([3]Entry!$M$1056="","",[3]Entry!$M$1056)</f>
        <v/>
      </c>
      <c r="AN1053">
        <f>IF([3]Entry!$N$1056="","",[3]Entry!$N$1056)</f>
        <v/>
      </c>
      <c r="AO1053">
        <f>IF([3]Entry!$R$1056="","",[3]Entry!$R$1056)</f>
        <v/>
      </c>
    </row>
    <row r="1054">
      <c r="U1054">
        <f>IF([2]Baskol!$B$1057="","",[2]Baskol!$B$1057)</f>
        <v/>
      </c>
      <c r="V1054">
        <f>IF([2]Baskol!$C$1057="","",[2]Baskol!$C$1057)</f>
        <v/>
      </c>
      <c r="W1054">
        <f>IF([2]Baskol!$D$1057="","",[2]Baskol!$D$1057)</f>
        <v/>
      </c>
      <c r="X1054">
        <f>IF([2]Baskol!$E$1057="","",[2]Baskol!$E$1057)</f>
        <v/>
      </c>
      <c r="Y1054">
        <f>IF([2]Baskol!$G$1057="","",[2]Baskol!$G$1057)</f>
        <v/>
      </c>
      <c r="Z1054">
        <f>IF([2]Baskol!$I$1057="","",[2]Baskol!$I$1057)</f>
        <v/>
      </c>
      <c r="AA1054">
        <f>IF([2]Baskol!$J$1057="","",[2]Baskol!$J$1057)</f>
        <v/>
      </c>
      <c r="AB1054">
        <f>IF([2]Baskol!$K$1057="","",[2]Baskol!$K$1057)</f>
        <v/>
      </c>
      <c r="AC1054">
        <f>IF([2]Baskol!$L$1057="","",[2]Baskol!$L$1057)</f>
        <v/>
      </c>
      <c r="AD1054">
        <f>IF([2]Baskol!$N$1057="","",[2]Baskol!$N$1057)</f>
        <v/>
      </c>
      <c r="AE1054">
        <f>IF([2]Baskol!$O$1057="","",[2]Baskol!$O$1057)</f>
        <v/>
      </c>
      <c r="AG1054">
        <f>IF([3]Entry!$C$1057="","",[3]Entry!$C$1057)</f>
        <v/>
      </c>
      <c r="AH1054">
        <f>IF([3]Entry!$D$1057="","",[3]Entry!$D$1057)</f>
        <v/>
      </c>
      <c r="AI1054">
        <f>IF([3]Entry!$E$1057="","",[3]Entry!$E$1057)</f>
        <v/>
      </c>
      <c r="AJ1054">
        <f>IF([3]Entry!$G$1057="","",[3]Entry!$G$1057)</f>
        <v/>
      </c>
      <c r="AK1054">
        <f>IF([3]Entry!$K$1057="","",[3]Entry!$K$1057)</f>
        <v/>
      </c>
      <c r="AL1054">
        <f>IF([3]Entry!$L$1057="","",[3]Entry!$L$1057)</f>
        <v/>
      </c>
      <c r="AM1054">
        <f>IF([3]Entry!$M$1057="","",[3]Entry!$M$1057)</f>
        <v/>
      </c>
      <c r="AN1054">
        <f>IF([3]Entry!$N$1057="","",[3]Entry!$N$1057)</f>
        <v/>
      </c>
      <c r="AO1054">
        <f>IF([3]Entry!$R$1057="","",[3]Entry!$R$1057)</f>
        <v/>
      </c>
    </row>
    <row r="1055">
      <c r="U1055">
        <f>IF([2]Baskol!$B$1058="","",[2]Baskol!$B$1058)</f>
        <v/>
      </c>
      <c r="V1055">
        <f>IF([2]Baskol!$C$1058="","",[2]Baskol!$C$1058)</f>
        <v/>
      </c>
      <c r="W1055">
        <f>IF([2]Baskol!$D$1058="","",[2]Baskol!$D$1058)</f>
        <v/>
      </c>
      <c r="X1055">
        <f>IF([2]Baskol!$E$1058="","",[2]Baskol!$E$1058)</f>
        <v/>
      </c>
      <c r="Y1055">
        <f>IF([2]Baskol!$G$1058="","",[2]Baskol!$G$1058)</f>
        <v/>
      </c>
      <c r="Z1055">
        <f>IF([2]Baskol!$I$1058="","",[2]Baskol!$I$1058)</f>
        <v/>
      </c>
      <c r="AA1055">
        <f>IF([2]Baskol!$J$1058="","",[2]Baskol!$J$1058)</f>
        <v/>
      </c>
      <c r="AB1055">
        <f>IF([2]Baskol!$K$1058="","",[2]Baskol!$K$1058)</f>
        <v/>
      </c>
      <c r="AC1055">
        <f>IF([2]Baskol!$L$1058="","",[2]Baskol!$L$1058)</f>
        <v/>
      </c>
      <c r="AD1055">
        <f>IF([2]Baskol!$N$1058="","",[2]Baskol!$N$1058)</f>
        <v/>
      </c>
      <c r="AE1055">
        <f>IF([2]Baskol!$O$1058="","",[2]Baskol!$O$1058)</f>
        <v/>
      </c>
      <c r="AG1055">
        <f>IF([3]Entry!$C$1058="","",[3]Entry!$C$1058)</f>
        <v/>
      </c>
      <c r="AH1055">
        <f>IF([3]Entry!$D$1058="","",[3]Entry!$D$1058)</f>
        <v/>
      </c>
      <c r="AI1055">
        <f>IF([3]Entry!$E$1058="","",[3]Entry!$E$1058)</f>
        <v/>
      </c>
      <c r="AJ1055">
        <f>IF([3]Entry!$G$1058="","",[3]Entry!$G$1058)</f>
        <v/>
      </c>
      <c r="AK1055">
        <f>IF([3]Entry!$K$1058="","",[3]Entry!$K$1058)</f>
        <v/>
      </c>
      <c r="AL1055">
        <f>IF([3]Entry!$L$1058="","",[3]Entry!$L$1058)</f>
        <v/>
      </c>
      <c r="AM1055">
        <f>IF([3]Entry!$M$1058="","",[3]Entry!$M$1058)</f>
        <v/>
      </c>
      <c r="AN1055">
        <f>IF([3]Entry!$N$1058="","",[3]Entry!$N$1058)</f>
        <v/>
      </c>
      <c r="AO1055">
        <f>IF([3]Entry!$R$1058="","",[3]Entry!$R$1058)</f>
        <v/>
      </c>
    </row>
    <row r="1056">
      <c r="U1056">
        <f>IF([2]Baskol!$B$1059="","",[2]Baskol!$B$1059)</f>
        <v/>
      </c>
      <c r="V1056">
        <f>IF([2]Baskol!$C$1059="","",[2]Baskol!$C$1059)</f>
        <v/>
      </c>
      <c r="W1056">
        <f>IF([2]Baskol!$D$1059="","",[2]Baskol!$D$1059)</f>
        <v/>
      </c>
      <c r="X1056">
        <f>IF([2]Baskol!$E$1059="","",[2]Baskol!$E$1059)</f>
        <v/>
      </c>
      <c r="Y1056">
        <f>IF([2]Baskol!$G$1059="","",[2]Baskol!$G$1059)</f>
        <v/>
      </c>
      <c r="Z1056">
        <f>IF([2]Baskol!$I$1059="","",[2]Baskol!$I$1059)</f>
        <v/>
      </c>
      <c r="AA1056">
        <f>IF([2]Baskol!$J$1059="","",[2]Baskol!$J$1059)</f>
        <v/>
      </c>
      <c r="AB1056">
        <f>IF([2]Baskol!$K$1059="","",[2]Baskol!$K$1059)</f>
        <v/>
      </c>
      <c r="AC1056">
        <f>IF([2]Baskol!$L$1059="","",[2]Baskol!$L$1059)</f>
        <v/>
      </c>
      <c r="AD1056">
        <f>IF([2]Baskol!$N$1059="","",[2]Baskol!$N$1059)</f>
        <v/>
      </c>
      <c r="AE1056">
        <f>IF([2]Baskol!$O$1059="","",[2]Baskol!$O$1059)</f>
        <v/>
      </c>
      <c r="AG1056">
        <f>IF([3]Entry!$C$1059="","",[3]Entry!$C$1059)</f>
        <v/>
      </c>
      <c r="AH1056">
        <f>IF([3]Entry!$D$1059="","",[3]Entry!$D$1059)</f>
        <v/>
      </c>
      <c r="AI1056">
        <f>IF([3]Entry!$E$1059="","",[3]Entry!$E$1059)</f>
        <v/>
      </c>
      <c r="AJ1056">
        <f>IF([3]Entry!$G$1059="","",[3]Entry!$G$1059)</f>
        <v/>
      </c>
      <c r="AK1056">
        <f>IF([3]Entry!$K$1059="","",[3]Entry!$K$1059)</f>
        <v/>
      </c>
      <c r="AL1056">
        <f>IF([3]Entry!$L$1059="","",[3]Entry!$L$1059)</f>
        <v/>
      </c>
      <c r="AM1056">
        <f>IF([3]Entry!$M$1059="","",[3]Entry!$M$1059)</f>
        <v/>
      </c>
      <c r="AN1056">
        <f>IF([3]Entry!$N$1059="","",[3]Entry!$N$1059)</f>
        <v/>
      </c>
      <c r="AO1056">
        <f>IF([3]Entry!$R$1059="","",[3]Entry!$R$1059)</f>
        <v/>
      </c>
    </row>
    <row r="1057">
      <c r="U1057">
        <f>IF([2]Baskol!$B$1060="","",[2]Baskol!$B$1060)</f>
        <v/>
      </c>
      <c r="V1057">
        <f>IF([2]Baskol!$C$1060="","",[2]Baskol!$C$1060)</f>
        <v/>
      </c>
      <c r="W1057">
        <f>IF([2]Baskol!$D$1060="","",[2]Baskol!$D$1060)</f>
        <v/>
      </c>
      <c r="X1057">
        <f>IF([2]Baskol!$E$1060="","",[2]Baskol!$E$1060)</f>
        <v/>
      </c>
      <c r="Y1057">
        <f>IF([2]Baskol!$G$1060="","",[2]Baskol!$G$1060)</f>
        <v/>
      </c>
      <c r="Z1057">
        <f>IF([2]Baskol!$I$1060="","",[2]Baskol!$I$1060)</f>
        <v/>
      </c>
      <c r="AA1057">
        <f>IF([2]Baskol!$J$1060="","",[2]Baskol!$J$1060)</f>
        <v/>
      </c>
      <c r="AB1057">
        <f>IF([2]Baskol!$K$1060="","",[2]Baskol!$K$1060)</f>
        <v/>
      </c>
      <c r="AC1057">
        <f>IF([2]Baskol!$L$1060="","",[2]Baskol!$L$1060)</f>
        <v/>
      </c>
      <c r="AD1057">
        <f>IF([2]Baskol!$N$1060="","",[2]Baskol!$N$1060)</f>
        <v/>
      </c>
      <c r="AE1057">
        <f>IF([2]Baskol!$O$1060="","",[2]Baskol!$O$1060)</f>
        <v/>
      </c>
      <c r="AG1057">
        <f>IF([3]Entry!$C$1060="","",[3]Entry!$C$1060)</f>
        <v/>
      </c>
      <c r="AH1057">
        <f>IF([3]Entry!$D$1060="","",[3]Entry!$D$1060)</f>
        <v/>
      </c>
      <c r="AI1057">
        <f>IF([3]Entry!$E$1060="","",[3]Entry!$E$1060)</f>
        <v/>
      </c>
      <c r="AJ1057">
        <f>IF([3]Entry!$G$1060="","",[3]Entry!$G$1060)</f>
        <v/>
      </c>
      <c r="AK1057">
        <f>IF([3]Entry!$K$1060="","",[3]Entry!$K$1060)</f>
        <v/>
      </c>
      <c r="AL1057">
        <f>IF([3]Entry!$L$1060="","",[3]Entry!$L$1060)</f>
        <v/>
      </c>
      <c r="AM1057">
        <f>IF([3]Entry!$M$1060="","",[3]Entry!$M$1060)</f>
        <v/>
      </c>
      <c r="AN1057">
        <f>IF([3]Entry!$N$1060="","",[3]Entry!$N$1060)</f>
        <v/>
      </c>
      <c r="AO1057">
        <f>IF([3]Entry!$R$1060="","",[3]Entry!$R$1060)</f>
        <v/>
      </c>
    </row>
    <row r="1058">
      <c r="U1058">
        <f>IF([2]Baskol!$B$1061="","",[2]Baskol!$B$1061)</f>
        <v/>
      </c>
      <c r="V1058">
        <f>IF([2]Baskol!$C$1061="","",[2]Baskol!$C$1061)</f>
        <v/>
      </c>
      <c r="W1058">
        <f>IF([2]Baskol!$D$1061="","",[2]Baskol!$D$1061)</f>
        <v/>
      </c>
      <c r="X1058">
        <f>IF([2]Baskol!$E$1061="","",[2]Baskol!$E$1061)</f>
        <v/>
      </c>
      <c r="Y1058">
        <f>IF([2]Baskol!$G$1061="","",[2]Baskol!$G$1061)</f>
        <v/>
      </c>
      <c r="Z1058">
        <f>IF([2]Baskol!$I$1061="","",[2]Baskol!$I$1061)</f>
        <v/>
      </c>
      <c r="AA1058">
        <f>IF([2]Baskol!$J$1061="","",[2]Baskol!$J$1061)</f>
        <v/>
      </c>
      <c r="AB1058">
        <f>IF([2]Baskol!$K$1061="","",[2]Baskol!$K$1061)</f>
        <v/>
      </c>
      <c r="AC1058">
        <f>IF([2]Baskol!$L$1061="","",[2]Baskol!$L$1061)</f>
        <v/>
      </c>
      <c r="AD1058">
        <f>IF([2]Baskol!$N$1061="","",[2]Baskol!$N$1061)</f>
        <v/>
      </c>
      <c r="AE1058">
        <f>IF([2]Baskol!$O$1061="","",[2]Baskol!$O$1061)</f>
        <v/>
      </c>
      <c r="AG1058">
        <f>IF([3]Entry!$C$1061="","",[3]Entry!$C$1061)</f>
        <v/>
      </c>
      <c r="AH1058">
        <f>IF([3]Entry!$D$1061="","",[3]Entry!$D$1061)</f>
        <v/>
      </c>
      <c r="AI1058">
        <f>IF([3]Entry!$E$1061="","",[3]Entry!$E$1061)</f>
        <v/>
      </c>
      <c r="AJ1058">
        <f>IF([3]Entry!$G$1061="","",[3]Entry!$G$1061)</f>
        <v/>
      </c>
      <c r="AK1058">
        <f>IF([3]Entry!$K$1061="","",[3]Entry!$K$1061)</f>
        <v/>
      </c>
      <c r="AL1058">
        <f>IF([3]Entry!$L$1061="","",[3]Entry!$L$1061)</f>
        <v/>
      </c>
      <c r="AM1058">
        <f>IF([3]Entry!$M$1061="","",[3]Entry!$M$1061)</f>
        <v/>
      </c>
      <c r="AN1058">
        <f>IF([3]Entry!$N$1061="","",[3]Entry!$N$1061)</f>
        <v/>
      </c>
      <c r="AO1058">
        <f>IF([3]Entry!$R$1061="","",[3]Entry!$R$1061)</f>
        <v/>
      </c>
    </row>
    <row r="1059">
      <c r="U1059">
        <f>IF([2]Baskol!$B$1062="","",[2]Baskol!$B$1062)</f>
        <v/>
      </c>
      <c r="V1059">
        <f>IF([2]Baskol!$C$1062="","",[2]Baskol!$C$1062)</f>
        <v/>
      </c>
      <c r="W1059">
        <f>IF([2]Baskol!$D$1062="","",[2]Baskol!$D$1062)</f>
        <v/>
      </c>
      <c r="X1059">
        <f>IF([2]Baskol!$E$1062="","",[2]Baskol!$E$1062)</f>
        <v/>
      </c>
      <c r="Y1059">
        <f>IF([2]Baskol!$G$1062="","",[2]Baskol!$G$1062)</f>
        <v/>
      </c>
      <c r="Z1059">
        <f>IF([2]Baskol!$I$1062="","",[2]Baskol!$I$1062)</f>
        <v/>
      </c>
      <c r="AA1059">
        <f>IF([2]Baskol!$J$1062="","",[2]Baskol!$J$1062)</f>
        <v/>
      </c>
      <c r="AB1059">
        <f>IF([2]Baskol!$K$1062="","",[2]Baskol!$K$1062)</f>
        <v/>
      </c>
      <c r="AC1059">
        <f>IF([2]Baskol!$L$1062="","",[2]Baskol!$L$1062)</f>
        <v/>
      </c>
      <c r="AD1059">
        <f>IF([2]Baskol!$N$1062="","",[2]Baskol!$N$1062)</f>
        <v/>
      </c>
      <c r="AE1059">
        <f>IF([2]Baskol!$O$1062="","",[2]Baskol!$O$1062)</f>
        <v/>
      </c>
      <c r="AG1059">
        <f>IF([3]Entry!$C$1062="","",[3]Entry!$C$1062)</f>
        <v/>
      </c>
      <c r="AH1059">
        <f>IF([3]Entry!$D$1062="","",[3]Entry!$D$1062)</f>
        <v/>
      </c>
      <c r="AI1059">
        <f>IF([3]Entry!$E$1062="","",[3]Entry!$E$1062)</f>
        <v/>
      </c>
      <c r="AJ1059">
        <f>IF([3]Entry!$G$1062="","",[3]Entry!$G$1062)</f>
        <v/>
      </c>
      <c r="AK1059">
        <f>IF([3]Entry!$K$1062="","",[3]Entry!$K$1062)</f>
        <v/>
      </c>
      <c r="AL1059">
        <f>IF([3]Entry!$L$1062="","",[3]Entry!$L$1062)</f>
        <v/>
      </c>
      <c r="AM1059">
        <f>IF([3]Entry!$M$1062="","",[3]Entry!$M$1062)</f>
        <v/>
      </c>
      <c r="AN1059">
        <f>IF([3]Entry!$N$1062="","",[3]Entry!$N$1062)</f>
        <v/>
      </c>
      <c r="AO1059">
        <f>IF([3]Entry!$R$1062="","",[3]Entry!$R$1062)</f>
        <v/>
      </c>
    </row>
    <row r="1060">
      <c r="U1060">
        <f>IF([2]Baskol!$B$1063="","",[2]Baskol!$B$1063)</f>
        <v/>
      </c>
      <c r="V1060">
        <f>IF([2]Baskol!$C$1063="","",[2]Baskol!$C$1063)</f>
        <v/>
      </c>
      <c r="W1060">
        <f>IF([2]Baskol!$D$1063="","",[2]Baskol!$D$1063)</f>
        <v/>
      </c>
      <c r="X1060">
        <f>IF([2]Baskol!$E$1063="","",[2]Baskol!$E$1063)</f>
        <v/>
      </c>
      <c r="Y1060">
        <f>IF([2]Baskol!$G$1063="","",[2]Baskol!$G$1063)</f>
        <v/>
      </c>
      <c r="Z1060">
        <f>IF([2]Baskol!$I$1063="","",[2]Baskol!$I$1063)</f>
        <v/>
      </c>
      <c r="AA1060">
        <f>IF([2]Baskol!$J$1063="","",[2]Baskol!$J$1063)</f>
        <v/>
      </c>
      <c r="AB1060">
        <f>IF([2]Baskol!$K$1063="","",[2]Baskol!$K$1063)</f>
        <v/>
      </c>
      <c r="AC1060">
        <f>IF([2]Baskol!$L$1063="","",[2]Baskol!$L$1063)</f>
        <v/>
      </c>
      <c r="AD1060">
        <f>IF([2]Baskol!$N$1063="","",[2]Baskol!$N$1063)</f>
        <v/>
      </c>
      <c r="AE1060">
        <f>IF([2]Baskol!$O$1063="","",[2]Baskol!$O$1063)</f>
        <v/>
      </c>
      <c r="AG1060">
        <f>IF([3]Entry!$C$1063="","",[3]Entry!$C$1063)</f>
        <v/>
      </c>
      <c r="AH1060">
        <f>IF([3]Entry!$D$1063="","",[3]Entry!$D$1063)</f>
        <v/>
      </c>
      <c r="AI1060">
        <f>IF([3]Entry!$E$1063="","",[3]Entry!$E$1063)</f>
        <v/>
      </c>
      <c r="AJ1060">
        <f>IF([3]Entry!$G$1063="","",[3]Entry!$G$1063)</f>
        <v/>
      </c>
      <c r="AK1060">
        <f>IF([3]Entry!$K$1063="","",[3]Entry!$K$1063)</f>
        <v/>
      </c>
      <c r="AL1060">
        <f>IF([3]Entry!$L$1063="","",[3]Entry!$L$1063)</f>
        <v/>
      </c>
      <c r="AM1060">
        <f>IF([3]Entry!$M$1063="","",[3]Entry!$M$1063)</f>
        <v/>
      </c>
      <c r="AN1060">
        <f>IF([3]Entry!$N$1063="","",[3]Entry!$N$1063)</f>
        <v/>
      </c>
      <c r="AO1060">
        <f>IF([3]Entry!$R$1063="","",[3]Entry!$R$1063)</f>
        <v/>
      </c>
    </row>
    <row r="1061">
      <c r="U1061">
        <f>IF([2]Baskol!$B$1064="","",[2]Baskol!$B$1064)</f>
        <v/>
      </c>
      <c r="V1061">
        <f>IF([2]Baskol!$C$1064="","",[2]Baskol!$C$1064)</f>
        <v/>
      </c>
      <c r="W1061">
        <f>IF([2]Baskol!$D$1064="","",[2]Baskol!$D$1064)</f>
        <v/>
      </c>
      <c r="X1061">
        <f>IF([2]Baskol!$E$1064="","",[2]Baskol!$E$1064)</f>
        <v/>
      </c>
      <c r="Y1061">
        <f>IF([2]Baskol!$G$1064="","",[2]Baskol!$G$1064)</f>
        <v/>
      </c>
      <c r="Z1061">
        <f>IF([2]Baskol!$I$1064="","",[2]Baskol!$I$1064)</f>
        <v/>
      </c>
      <c r="AA1061">
        <f>IF([2]Baskol!$J$1064="","",[2]Baskol!$J$1064)</f>
        <v/>
      </c>
      <c r="AB1061">
        <f>IF([2]Baskol!$K$1064="","",[2]Baskol!$K$1064)</f>
        <v/>
      </c>
      <c r="AC1061">
        <f>IF([2]Baskol!$L$1064="","",[2]Baskol!$L$1064)</f>
        <v/>
      </c>
      <c r="AD1061">
        <f>IF([2]Baskol!$N$1064="","",[2]Baskol!$N$1064)</f>
        <v/>
      </c>
      <c r="AE1061">
        <f>IF([2]Baskol!$O$1064="","",[2]Baskol!$O$1064)</f>
        <v/>
      </c>
      <c r="AG1061">
        <f>IF([3]Entry!$C$1064="","",[3]Entry!$C$1064)</f>
        <v/>
      </c>
      <c r="AH1061">
        <f>IF([3]Entry!$D$1064="","",[3]Entry!$D$1064)</f>
        <v/>
      </c>
      <c r="AI1061">
        <f>IF([3]Entry!$E$1064="","",[3]Entry!$E$1064)</f>
        <v/>
      </c>
      <c r="AJ1061">
        <f>IF([3]Entry!$G$1064="","",[3]Entry!$G$1064)</f>
        <v/>
      </c>
      <c r="AK1061">
        <f>IF([3]Entry!$K$1064="","",[3]Entry!$K$1064)</f>
        <v/>
      </c>
      <c r="AL1061">
        <f>IF([3]Entry!$L$1064="","",[3]Entry!$L$1064)</f>
        <v/>
      </c>
      <c r="AM1061">
        <f>IF([3]Entry!$M$1064="","",[3]Entry!$M$1064)</f>
        <v/>
      </c>
      <c r="AN1061">
        <f>IF([3]Entry!$N$1064="","",[3]Entry!$N$1064)</f>
        <v/>
      </c>
      <c r="AO1061">
        <f>IF([3]Entry!$R$1064="","",[3]Entry!$R$1064)</f>
        <v/>
      </c>
    </row>
    <row r="1062">
      <c r="U1062">
        <f>IF([2]Baskol!$B$1065="","",[2]Baskol!$B$1065)</f>
        <v/>
      </c>
      <c r="V1062">
        <f>IF([2]Baskol!$C$1065="","",[2]Baskol!$C$1065)</f>
        <v/>
      </c>
      <c r="W1062">
        <f>IF([2]Baskol!$D$1065="","",[2]Baskol!$D$1065)</f>
        <v/>
      </c>
      <c r="X1062">
        <f>IF([2]Baskol!$E$1065="","",[2]Baskol!$E$1065)</f>
        <v/>
      </c>
      <c r="Y1062">
        <f>IF([2]Baskol!$G$1065="","",[2]Baskol!$G$1065)</f>
        <v/>
      </c>
      <c r="Z1062">
        <f>IF([2]Baskol!$I$1065="","",[2]Baskol!$I$1065)</f>
        <v/>
      </c>
      <c r="AA1062">
        <f>IF([2]Baskol!$J$1065="","",[2]Baskol!$J$1065)</f>
        <v/>
      </c>
      <c r="AB1062">
        <f>IF([2]Baskol!$K$1065="","",[2]Baskol!$K$1065)</f>
        <v/>
      </c>
      <c r="AC1062">
        <f>IF([2]Baskol!$L$1065="","",[2]Baskol!$L$1065)</f>
        <v/>
      </c>
      <c r="AD1062">
        <f>IF([2]Baskol!$N$1065="","",[2]Baskol!$N$1065)</f>
        <v/>
      </c>
      <c r="AE1062">
        <f>IF([2]Baskol!$O$1065="","",[2]Baskol!$O$1065)</f>
        <v/>
      </c>
      <c r="AG1062">
        <f>IF([3]Entry!$C$1065="","",[3]Entry!$C$1065)</f>
        <v/>
      </c>
      <c r="AH1062">
        <f>IF([3]Entry!$D$1065="","",[3]Entry!$D$1065)</f>
        <v/>
      </c>
      <c r="AI1062">
        <f>IF([3]Entry!$E$1065="","",[3]Entry!$E$1065)</f>
        <v/>
      </c>
      <c r="AJ1062">
        <f>IF([3]Entry!$G$1065="","",[3]Entry!$G$1065)</f>
        <v/>
      </c>
      <c r="AK1062">
        <f>IF([3]Entry!$K$1065="","",[3]Entry!$K$1065)</f>
        <v/>
      </c>
      <c r="AL1062">
        <f>IF([3]Entry!$L$1065="","",[3]Entry!$L$1065)</f>
        <v/>
      </c>
      <c r="AM1062">
        <f>IF([3]Entry!$M$1065="","",[3]Entry!$M$1065)</f>
        <v/>
      </c>
      <c r="AN1062">
        <f>IF([3]Entry!$N$1065="","",[3]Entry!$N$1065)</f>
        <v/>
      </c>
      <c r="AO1062">
        <f>IF([3]Entry!$R$1065="","",[3]Entry!$R$1065)</f>
        <v/>
      </c>
    </row>
    <row r="1063">
      <c r="U1063">
        <f>IF([2]Baskol!$B$1066="","",[2]Baskol!$B$1066)</f>
        <v/>
      </c>
      <c r="V1063">
        <f>IF([2]Baskol!$C$1066="","",[2]Baskol!$C$1066)</f>
        <v/>
      </c>
      <c r="W1063">
        <f>IF([2]Baskol!$D$1066="","",[2]Baskol!$D$1066)</f>
        <v/>
      </c>
      <c r="X1063">
        <f>IF([2]Baskol!$E$1066="","",[2]Baskol!$E$1066)</f>
        <v/>
      </c>
      <c r="Y1063">
        <f>IF([2]Baskol!$G$1066="","",[2]Baskol!$G$1066)</f>
        <v/>
      </c>
      <c r="Z1063">
        <f>IF([2]Baskol!$I$1066="","",[2]Baskol!$I$1066)</f>
        <v/>
      </c>
      <c r="AA1063">
        <f>IF([2]Baskol!$J$1066="","",[2]Baskol!$J$1066)</f>
        <v/>
      </c>
      <c r="AB1063">
        <f>IF([2]Baskol!$K$1066="","",[2]Baskol!$K$1066)</f>
        <v/>
      </c>
      <c r="AC1063">
        <f>IF([2]Baskol!$L$1066="","",[2]Baskol!$L$1066)</f>
        <v/>
      </c>
      <c r="AD1063">
        <f>IF([2]Baskol!$N$1066="","",[2]Baskol!$N$1066)</f>
        <v/>
      </c>
      <c r="AE1063">
        <f>IF([2]Baskol!$O$1066="","",[2]Baskol!$O$1066)</f>
        <v/>
      </c>
      <c r="AG1063">
        <f>IF([3]Entry!$C$1066="","",[3]Entry!$C$1066)</f>
        <v/>
      </c>
      <c r="AH1063">
        <f>IF([3]Entry!$D$1066="","",[3]Entry!$D$1066)</f>
        <v/>
      </c>
      <c r="AI1063">
        <f>IF([3]Entry!$E$1066="","",[3]Entry!$E$1066)</f>
        <v/>
      </c>
      <c r="AJ1063">
        <f>IF([3]Entry!$G$1066="","",[3]Entry!$G$1066)</f>
        <v/>
      </c>
      <c r="AK1063">
        <f>IF([3]Entry!$K$1066="","",[3]Entry!$K$1066)</f>
        <v/>
      </c>
      <c r="AL1063">
        <f>IF([3]Entry!$L$1066="","",[3]Entry!$L$1066)</f>
        <v/>
      </c>
      <c r="AM1063">
        <f>IF([3]Entry!$M$1066="","",[3]Entry!$M$1066)</f>
        <v/>
      </c>
      <c r="AN1063">
        <f>IF([3]Entry!$N$1066="","",[3]Entry!$N$1066)</f>
        <v/>
      </c>
      <c r="AO1063">
        <f>IF([3]Entry!$R$1066="","",[3]Entry!$R$1066)</f>
        <v/>
      </c>
    </row>
    <row r="1064">
      <c r="U1064">
        <f>IF([2]Baskol!$B$1067="","",[2]Baskol!$B$1067)</f>
        <v/>
      </c>
      <c r="V1064">
        <f>IF([2]Baskol!$C$1067="","",[2]Baskol!$C$1067)</f>
        <v/>
      </c>
      <c r="W1064">
        <f>IF([2]Baskol!$D$1067="","",[2]Baskol!$D$1067)</f>
        <v/>
      </c>
      <c r="X1064">
        <f>IF([2]Baskol!$E$1067="","",[2]Baskol!$E$1067)</f>
        <v/>
      </c>
      <c r="Y1064">
        <f>IF([2]Baskol!$G$1067="","",[2]Baskol!$G$1067)</f>
        <v/>
      </c>
      <c r="Z1064">
        <f>IF([2]Baskol!$I$1067="","",[2]Baskol!$I$1067)</f>
        <v/>
      </c>
      <c r="AA1064">
        <f>IF([2]Baskol!$J$1067="","",[2]Baskol!$J$1067)</f>
        <v/>
      </c>
      <c r="AB1064">
        <f>IF([2]Baskol!$K$1067="","",[2]Baskol!$K$1067)</f>
        <v/>
      </c>
      <c r="AC1064">
        <f>IF([2]Baskol!$L$1067="","",[2]Baskol!$L$1067)</f>
        <v/>
      </c>
      <c r="AD1064">
        <f>IF([2]Baskol!$N$1067="","",[2]Baskol!$N$1067)</f>
        <v/>
      </c>
      <c r="AE1064">
        <f>IF([2]Baskol!$O$1067="","",[2]Baskol!$O$1067)</f>
        <v/>
      </c>
      <c r="AG1064">
        <f>IF([3]Entry!$C$1067="","",[3]Entry!$C$1067)</f>
        <v/>
      </c>
      <c r="AH1064">
        <f>IF([3]Entry!$D$1067="","",[3]Entry!$D$1067)</f>
        <v/>
      </c>
      <c r="AI1064">
        <f>IF([3]Entry!$E$1067="","",[3]Entry!$E$1067)</f>
        <v/>
      </c>
      <c r="AJ1064">
        <f>IF([3]Entry!$G$1067="","",[3]Entry!$G$1067)</f>
        <v/>
      </c>
      <c r="AK1064">
        <f>IF([3]Entry!$K$1067="","",[3]Entry!$K$1067)</f>
        <v/>
      </c>
      <c r="AL1064">
        <f>IF([3]Entry!$L$1067="","",[3]Entry!$L$1067)</f>
        <v/>
      </c>
      <c r="AM1064">
        <f>IF([3]Entry!$M$1067="","",[3]Entry!$M$1067)</f>
        <v/>
      </c>
      <c r="AN1064">
        <f>IF([3]Entry!$N$1067="","",[3]Entry!$N$1067)</f>
        <v/>
      </c>
      <c r="AO1064">
        <f>IF([3]Entry!$R$1067="","",[3]Entry!$R$1067)</f>
        <v/>
      </c>
    </row>
    <row r="1065">
      <c r="U1065">
        <f>IF([2]Baskol!$B$1068="","",[2]Baskol!$B$1068)</f>
        <v/>
      </c>
      <c r="V1065">
        <f>IF([2]Baskol!$C$1068="","",[2]Baskol!$C$1068)</f>
        <v/>
      </c>
      <c r="W1065">
        <f>IF([2]Baskol!$D$1068="","",[2]Baskol!$D$1068)</f>
        <v/>
      </c>
      <c r="X1065">
        <f>IF([2]Baskol!$E$1068="","",[2]Baskol!$E$1068)</f>
        <v/>
      </c>
      <c r="Y1065">
        <f>IF([2]Baskol!$G$1068="","",[2]Baskol!$G$1068)</f>
        <v/>
      </c>
      <c r="Z1065">
        <f>IF([2]Baskol!$I$1068="","",[2]Baskol!$I$1068)</f>
        <v/>
      </c>
      <c r="AA1065">
        <f>IF([2]Baskol!$J$1068="","",[2]Baskol!$J$1068)</f>
        <v/>
      </c>
      <c r="AB1065">
        <f>IF([2]Baskol!$K$1068="","",[2]Baskol!$K$1068)</f>
        <v/>
      </c>
      <c r="AC1065">
        <f>IF([2]Baskol!$L$1068="","",[2]Baskol!$L$1068)</f>
        <v/>
      </c>
      <c r="AD1065">
        <f>IF([2]Baskol!$N$1068="","",[2]Baskol!$N$1068)</f>
        <v/>
      </c>
      <c r="AE1065">
        <f>IF([2]Baskol!$O$1068="","",[2]Baskol!$O$1068)</f>
        <v/>
      </c>
      <c r="AG1065">
        <f>IF([3]Entry!$C$1068="","",[3]Entry!$C$1068)</f>
        <v/>
      </c>
      <c r="AH1065">
        <f>IF([3]Entry!$D$1068="","",[3]Entry!$D$1068)</f>
        <v/>
      </c>
      <c r="AI1065">
        <f>IF([3]Entry!$E$1068="","",[3]Entry!$E$1068)</f>
        <v/>
      </c>
      <c r="AJ1065">
        <f>IF([3]Entry!$G$1068="","",[3]Entry!$G$1068)</f>
        <v/>
      </c>
      <c r="AK1065">
        <f>IF([3]Entry!$K$1068="","",[3]Entry!$K$1068)</f>
        <v/>
      </c>
      <c r="AL1065">
        <f>IF([3]Entry!$L$1068="","",[3]Entry!$L$1068)</f>
        <v/>
      </c>
      <c r="AM1065">
        <f>IF([3]Entry!$M$1068="","",[3]Entry!$M$1068)</f>
        <v/>
      </c>
      <c r="AN1065">
        <f>IF([3]Entry!$N$1068="","",[3]Entry!$N$1068)</f>
        <v/>
      </c>
      <c r="AO1065">
        <f>IF([3]Entry!$R$1068="","",[3]Entry!$R$1068)</f>
        <v/>
      </c>
    </row>
    <row r="1066">
      <c r="U1066">
        <f>IF([2]Baskol!$B$1069="","",[2]Baskol!$B$1069)</f>
        <v/>
      </c>
      <c r="V1066">
        <f>IF([2]Baskol!$C$1069="","",[2]Baskol!$C$1069)</f>
        <v/>
      </c>
      <c r="W1066">
        <f>IF([2]Baskol!$D$1069="","",[2]Baskol!$D$1069)</f>
        <v/>
      </c>
      <c r="X1066">
        <f>IF([2]Baskol!$E$1069="","",[2]Baskol!$E$1069)</f>
        <v/>
      </c>
      <c r="Y1066">
        <f>IF([2]Baskol!$G$1069="","",[2]Baskol!$G$1069)</f>
        <v/>
      </c>
      <c r="Z1066">
        <f>IF([2]Baskol!$I$1069="","",[2]Baskol!$I$1069)</f>
        <v/>
      </c>
      <c r="AA1066">
        <f>IF([2]Baskol!$J$1069="","",[2]Baskol!$J$1069)</f>
        <v/>
      </c>
      <c r="AB1066">
        <f>IF([2]Baskol!$K$1069="","",[2]Baskol!$K$1069)</f>
        <v/>
      </c>
      <c r="AC1066">
        <f>IF([2]Baskol!$L$1069="","",[2]Baskol!$L$1069)</f>
        <v/>
      </c>
      <c r="AD1066">
        <f>IF([2]Baskol!$N$1069="","",[2]Baskol!$N$1069)</f>
        <v/>
      </c>
      <c r="AE1066">
        <f>IF([2]Baskol!$O$1069="","",[2]Baskol!$O$1069)</f>
        <v/>
      </c>
      <c r="AG1066">
        <f>IF([3]Entry!$C$1069="","",[3]Entry!$C$1069)</f>
        <v/>
      </c>
      <c r="AH1066">
        <f>IF([3]Entry!$D$1069="","",[3]Entry!$D$1069)</f>
        <v/>
      </c>
      <c r="AI1066">
        <f>IF([3]Entry!$E$1069="","",[3]Entry!$E$1069)</f>
        <v/>
      </c>
      <c r="AJ1066">
        <f>IF([3]Entry!$G$1069="","",[3]Entry!$G$1069)</f>
        <v/>
      </c>
      <c r="AK1066">
        <f>IF([3]Entry!$K$1069="","",[3]Entry!$K$1069)</f>
        <v/>
      </c>
      <c r="AL1066">
        <f>IF([3]Entry!$L$1069="","",[3]Entry!$L$1069)</f>
        <v/>
      </c>
      <c r="AM1066">
        <f>IF([3]Entry!$M$1069="","",[3]Entry!$M$1069)</f>
        <v/>
      </c>
      <c r="AN1066">
        <f>IF([3]Entry!$N$1069="","",[3]Entry!$N$1069)</f>
        <v/>
      </c>
      <c r="AO1066">
        <f>IF([3]Entry!$R$1069="","",[3]Entry!$R$1069)</f>
        <v/>
      </c>
    </row>
    <row r="1067">
      <c r="U1067">
        <f>IF([2]Baskol!$B$1070="","",[2]Baskol!$B$1070)</f>
        <v/>
      </c>
      <c r="V1067">
        <f>IF([2]Baskol!$C$1070="","",[2]Baskol!$C$1070)</f>
        <v/>
      </c>
      <c r="W1067">
        <f>IF([2]Baskol!$D$1070="","",[2]Baskol!$D$1070)</f>
        <v/>
      </c>
      <c r="X1067">
        <f>IF([2]Baskol!$E$1070="","",[2]Baskol!$E$1070)</f>
        <v/>
      </c>
      <c r="Y1067">
        <f>IF([2]Baskol!$G$1070="","",[2]Baskol!$G$1070)</f>
        <v/>
      </c>
      <c r="Z1067">
        <f>IF([2]Baskol!$I$1070="","",[2]Baskol!$I$1070)</f>
        <v/>
      </c>
      <c r="AA1067">
        <f>IF([2]Baskol!$J$1070="","",[2]Baskol!$J$1070)</f>
        <v/>
      </c>
      <c r="AB1067">
        <f>IF([2]Baskol!$K$1070="","",[2]Baskol!$K$1070)</f>
        <v/>
      </c>
      <c r="AC1067">
        <f>IF([2]Baskol!$L$1070="","",[2]Baskol!$L$1070)</f>
        <v/>
      </c>
      <c r="AD1067">
        <f>IF([2]Baskol!$N$1070="","",[2]Baskol!$N$1070)</f>
        <v/>
      </c>
      <c r="AE1067">
        <f>IF([2]Baskol!$O$1070="","",[2]Baskol!$O$1070)</f>
        <v/>
      </c>
      <c r="AG1067">
        <f>IF([3]Entry!$C$1070="","",[3]Entry!$C$1070)</f>
        <v/>
      </c>
      <c r="AH1067">
        <f>IF([3]Entry!$D$1070="","",[3]Entry!$D$1070)</f>
        <v/>
      </c>
      <c r="AI1067">
        <f>IF([3]Entry!$E$1070="","",[3]Entry!$E$1070)</f>
        <v/>
      </c>
      <c r="AJ1067">
        <f>IF([3]Entry!$G$1070="","",[3]Entry!$G$1070)</f>
        <v/>
      </c>
      <c r="AK1067">
        <f>IF([3]Entry!$K$1070="","",[3]Entry!$K$1070)</f>
        <v/>
      </c>
      <c r="AL1067">
        <f>IF([3]Entry!$L$1070="","",[3]Entry!$L$1070)</f>
        <v/>
      </c>
      <c r="AM1067">
        <f>IF([3]Entry!$M$1070="","",[3]Entry!$M$1070)</f>
        <v/>
      </c>
      <c r="AN1067">
        <f>IF([3]Entry!$N$1070="","",[3]Entry!$N$1070)</f>
        <v/>
      </c>
      <c r="AO1067">
        <f>IF([3]Entry!$R$1070="","",[3]Entry!$R$1070)</f>
        <v/>
      </c>
    </row>
    <row r="1068">
      <c r="U1068">
        <f>IF([2]Baskol!$B$1071="","",[2]Baskol!$B$1071)</f>
        <v/>
      </c>
      <c r="V1068">
        <f>IF([2]Baskol!$C$1071="","",[2]Baskol!$C$1071)</f>
        <v/>
      </c>
      <c r="W1068">
        <f>IF([2]Baskol!$D$1071="","",[2]Baskol!$D$1071)</f>
        <v/>
      </c>
      <c r="X1068">
        <f>IF([2]Baskol!$E$1071="","",[2]Baskol!$E$1071)</f>
        <v/>
      </c>
      <c r="Y1068">
        <f>IF([2]Baskol!$G$1071="","",[2]Baskol!$G$1071)</f>
        <v/>
      </c>
      <c r="Z1068">
        <f>IF([2]Baskol!$I$1071="","",[2]Baskol!$I$1071)</f>
        <v/>
      </c>
      <c r="AA1068">
        <f>IF([2]Baskol!$J$1071="","",[2]Baskol!$J$1071)</f>
        <v/>
      </c>
      <c r="AB1068">
        <f>IF([2]Baskol!$K$1071="","",[2]Baskol!$K$1071)</f>
        <v/>
      </c>
      <c r="AC1068">
        <f>IF([2]Baskol!$L$1071="","",[2]Baskol!$L$1071)</f>
        <v/>
      </c>
      <c r="AD1068">
        <f>IF([2]Baskol!$N$1071="","",[2]Baskol!$N$1071)</f>
        <v/>
      </c>
      <c r="AE1068">
        <f>IF([2]Baskol!$O$1071="","",[2]Baskol!$O$1071)</f>
        <v/>
      </c>
      <c r="AG1068">
        <f>IF([3]Entry!$C$1071="","",[3]Entry!$C$1071)</f>
        <v/>
      </c>
      <c r="AH1068">
        <f>IF([3]Entry!$D$1071="","",[3]Entry!$D$1071)</f>
        <v/>
      </c>
      <c r="AI1068">
        <f>IF([3]Entry!$E$1071="","",[3]Entry!$E$1071)</f>
        <v/>
      </c>
      <c r="AJ1068">
        <f>IF([3]Entry!$G$1071="","",[3]Entry!$G$1071)</f>
        <v/>
      </c>
      <c r="AK1068">
        <f>IF([3]Entry!$K$1071="","",[3]Entry!$K$1071)</f>
        <v/>
      </c>
      <c r="AL1068">
        <f>IF([3]Entry!$L$1071="","",[3]Entry!$L$1071)</f>
        <v/>
      </c>
      <c r="AM1068">
        <f>IF([3]Entry!$M$1071="","",[3]Entry!$M$1071)</f>
        <v/>
      </c>
      <c r="AN1068">
        <f>IF([3]Entry!$N$1071="","",[3]Entry!$N$1071)</f>
        <v/>
      </c>
      <c r="AO1068">
        <f>IF([3]Entry!$R$1071="","",[3]Entry!$R$1071)</f>
        <v/>
      </c>
    </row>
    <row r="1069">
      <c r="U1069">
        <f>IF([2]Baskol!$B$1072="","",[2]Baskol!$B$1072)</f>
        <v/>
      </c>
      <c r="V1069">
        <f>IF([2]Baskol!$C$1072="","",[2]Baskol!$C$1072)</f>
        <v/>
      </c>
      <c r="W1069">
        <f>IF([2]Baskol!$D$1072="","",[2]Baskol!$D$1072)</f>
        <v/>
      </c>
      <c r="X1069">
        <f>IF([2]Baskol!$E$1072="","",[2]Baskol!$E$1072)</f>
        <v/>
      </c>
      <c r="Y1069">
        <f>IF([2]Baskol!$G$1072="","",[2]Baskol!$G$1072)</f>
        <v/>
      </c>
      <c r="Z1069">
        <f>IF([2]Baskol!$I$1072="","",[2]Baskol!$I$1072)</f>
        <v/>
      </c>
      <c r="AA1069">
        <f>IF([2]Baskol!$J$1072="","",[2]Baskol!$J$1072)</f>
        <v/>
      </c>
      <c r="AB1069">
        <f>IF([2]Baskol!$K$1072="","",[2]Baskol!$K$1072)</f>
        <v/>
      </c>
      <c r="AC1069">
        <f>IF([2]Baskol!$L$1072="","",[2]Baskol!$L$1072)</f>
        <v/>
      </c>
      <c r="AD1069">
        <f>IF([2]Baskol!$N$1072="","",[2]Baskol!$N$1072)</f>
        <v/>
      </c>
      <c r="AE1069">
        <f>IF([2]Baskol!$O$1072="","",[2]Baskol!$O$1072)</f>
        <v/>
      </c>
      <c r="AG1069">
        <f>IF([3]Entry!$C$1072="","",[3]Entry!$C$1072)</f>
        <v/>
      </c>
      <c r="AH1069">
        <f>IF([3]Entry!$D$1072="","",[3]Entry!$D$1072)</f>
        <v/>
      </c>
      <c r="AI1069">
        <f>IF([3]Entry!$E$1072="","",[3]Entry!$E$1072)</f>
        <v/>
      </c>
      <c r="AJ1069">
        <f>IF([3]Entry!$G$1072="","",[3]Entry!$G$1072)</f>
        <v/>
      </c>
      <c r="AK1069">
        <f>IF([3]Entry!$K$1072="","",[3]Entry!$K$1072)</f>
        <v/>
      </c>
      <c r="AL1069">
        <f>IF([3]Entry!$L$1072="","",[3]Entry!$L$1072)</f>
        <v/>
      </c>
      <c r="AM1069">
        <f>IF([3]Entry!$M$1072="","",[3]Entry!$M$1072)</f>
        <v/>
      </c>
      <c r="AN1069">
        <f>IF([3]Entry!$N$1072="","",[3]Entry!$N$1072)</f>
        <v/>
      </c>
      <c r="AO1069">
        <f>IF([3]Entry!$R$1072="","",[3]Entry!$R$1072)</f>
        <v/>
      </c>
    </row>
    <row r="1070">
      <c r="U1070">
        <f>IF([2]Baskol!$B$1073="","",[2]Baskol!$B$1073)</f>
        <v/>
      </c>
      <c r="V1070">
        <f>IF([2]Baskol!$C$1073="","",[2]Baskol!$C$1073)</f>
        <v/>
      </c>
      <c r="W1070">
        <f>IF([2]Baskol!$D$1073="","",[2]Baskol!$D$1073)</f>
        <v/>
      </c>
      <c r="X1070">
        <f>IF([2]Baskol!$E$1073="","",[2]Baskol!$E$1073)</f>
        <v/>
      </c>
      <c r="Y1070">
        <f>IF([2]Baskol!$G$1073="","",[2]Baskol!$G$1073)</f>
        <v/>
      </c>
      <c r="Z1070">
        <f>IF([2]Baskol!$I$1073="","",[2]Baskol!$I$1073)</f>
        <v/>
      </c>
      <c r="AA1070">
        <f>IF([2]Baskol!$J$1073="","",[2]Baskol!$J$1073)</f>
        <v/>
      </c>
      <c r="AB1070">
        <f>IF([2]Baskol!$K$1073="","",[2]Baskol!$K$1073)</f>
        <v/>
      </c>
      <c r="AC1070">
        <f>IF([2]Baskol!$L$1073="","",[2]Baskol!$L$1073)</f>
        <v/>
      </c>
      <c r="AD1070">
        <f>IF([2]Baskol!$N$1073="","",[2]Baskol!$N$1073)</f>
        <v/>
      </c>
      <c r="AE1070">
        <f>IF([2]Baskol!$O$1073="","",[2]Baskol!$O$1073)</f>
        <v/>
      </c>
      <c r="AG1070">
        <f>IF([3]Entry!$C$1073="","",[3]Entry!$C$1073)</f>
        <v/>
      </c>
      <c r="AH1070">
        <f>IF([3]Entry!$D$1073="","",[3]Entry!$D$1073)</f>
        <v/>
      </c>
      <c r="AI1070">
        <f>IF([3]Entry!$E$1073="","",[3]Entry!$E$1073)</f>
        <v/>
      </c>
      <c r="AJ1070">
        <f>IF([3]Entry!$G$1073="","",[3]Entry!$G$1073)</f>
        <v/>
      </c>
      <c r="AK1070">
        <f>IF([3]Entry!$K$1073="","",[3]Entry!$K$1073)</f>
        <v/>
      </c>
      <c r="AL1070">
        <f>IF([3]Entry!$L$1073="","",[3]Entry!$L$1073)</f>
        <v/>
      </c>
      <c r="AM1070">
        <f>IF([3]Entry!$M$1073="","",[3]Entry!$M$1073)</f>
        <v/>
      </c>
      <c r="AN1070">
        <f>IF([3]Entry!$N$1073="","",[3]Entry!$N$1073)</f>
        <v/>
      </c>
      <c r="AO1070">
        <f>IF([3]Entry!$R$1073="","",[3]Entry!$R$1073)</f>
        <v/>
      </c>
    </row>
    <row r="1071">
      <c r="U1071">
        <f>IF([2]Baskol!$B$1074="","",[2]Baskol!$B$1074)</f>
        <v/>
      </c>
      <c r="V1071">
        <f>IF([2]Baskol!$C$1074="","",[2]Baskol!$C$1074)</f>
        <v/>
      </c>
      <c r="W1071">
        <f>IF([2]Baskol!$D$1074="","",[2]Baskol!$D$1074)</f>
        <v/>
      </c>
      <c r="X1071">
        <f>IF([2]Baskol!$E$1074="","",[2]Baskol!$E$1074)</f>
        <v/>
      </c>
      <c r="Y1071">
        <f>IF([2]Baskol!$G$1074="","",[2]Baskol!$G$1074)</f>
        <v/>
      </c>
      <c r="Z1071">
        <f>IF([2]Baskol!$I$1074="","",[2]Baskol!$I$1074)</f>
        <v/>
      </c>
      <c r="AA1071">
        <f>IF([2]Baskol!$J$1074="","",[2]Baskol!$J$1074)</f>
        <v/>
      </c>
      <c r="AB1071">
        <f>IF([2]Baskol!$K$1074="","",[2]Baskol!$K$1074)</f>
        <v/>
      </c>
      <c r="AC1071">
        <f>IF([2]Baskol!$L$1074="","",[2]Baskol!$L$1074)</f>
        <v/>
      </c>
      <c r="AD1071">
        <f>IF([2]Baskol!$N$1074="","",[2]Baskol!$N$1074)</f>
        <v/>
      </c>
      <c r="AE1071">
        <f>IF([2]Baskol!$O$1074="","",[2]Baskol!$O$1074)</f>
        <v/>
      </c>
      <c r="AG1071">
        <f>IF([3]Entry!$C$1074="","",[3]Entry!$C$1074)</f>
        <v/>
      </c>
      <c r="AH1071">
        <f>IF([3]Entry!$D$1074="","",[3]Entry!$D$1074)</f>
        <v/>
      </c>
      <c r="AI1071">
        <f>IF([3]Entry!$E$1074="","",[3]Entry!$E$1074)</f>
        <v/>
      </c>
      <c r="AJ1071">
        <f>IF([3]Entry!$G$1074="","",[3]Entry!$G$1074)</f>
        <v/>
      </c>
      <c r="AK1071">
        <f>IF([3]Entry!$K$1074="","",[3]Entry!$K$1074)</f>
        <v/>
      </c>
      <c r="AL1071">
        <f>IF([3]Entry!$L$1074="","",[3]Entry!$L$1074)</f>
        <v/>
      </c>
      <c r="AM1071">
        <f>IF([3]Entry!$M$1074="","",[3]Entry!$M$1074)</f>
        <v/>
      </c>
      <c r="AN1071">
        <f>IF([3]Entry!$N$1074="","",[3]Entry!$N$1074)</f>
        <v/>
      </c>
      <c r="AO1071">
        <f>IF([3]Entry!$R$1074="","",[3]Entry!$R$1074)</f>
        <v/>
      </c>
    </row>
    <row r="1072">
      <c r="U1072">
        <f>IF([2]Baskol!$B$1075="","",[2]Baskol!$B$1075)</f>
        <v/>
      </c>
      <c r="V1072">
        <f>IF([2]Baskol!$C$1075="","",[2]Baskol!$C$1075)</f>
        <v/>
      </c>
      <c r="W1072">
        <f>IF([2]Baskol!$D$1075="","",[2]Baskol!$D$1075)</f>
        <v/>
      </c>
      <c r="X1072">
        <f>IF([2]Baskol!$E$1075="","",[2]Baskol!$E$1075)</f>
        <v/>
      </c>
      <c r="Y1072">
        <f>IF([2]Baskol!$G$1075="","",[2]Baskol!$G$1075)</f>
        <v/>
      </c>
      <c r="Z1072">
        <f>IF([2]Baskol!$I$1075="","",[2]Baskol!$I$1075)</f>
        <v/>
      </c>
      <c r="AA1072">
        <f>IF([2]Baskol!$J$1075="","",[2]Baskol!$J$1075)</f>
        <v/>
      </c>
      <c r="AB1072">
        <f>IF([2]Baskol!$K$1075="","",[2]Baskol!$K$1075)</f>
        <v/>
      </c>
      <c r="AC1072">
        <f>IF([2]Baskol!$L$1075="","",[2]Baskol!$L$1075)</f>
        <v/>
      </c>
      <c r="AD1072">
        <f>IF([2]Baskol!$N$1075="","",[2]Baskol!$N$1075)</f>
        <v/>
      </c>
      <c r="AE1072">
        <f>IF([2]Baskol!$O$1075="","",[2]Baskol!$O$1075)</f>
        <v/>
      </c>
      <c r="AG1072">
        <f>IF([3]Entry!$C$1075="","",[3]Entry!$C$1075)</f>
        <v/>
      </c>
      <c r="AH1072">
        <f>IF([3]Entry!$D$1075="","",[3]Entry!$D$1075)</f>
        <v/>
      </c>
      <c r="AI1072">
        <f>IF([3]Entry!$E$1075="","",[3]Entry!$E$1075)</f>
        <v/>
      </c>
      <c r="AJ1072">
        <f>IF([3]Entry!$G$1075="","",[3]Entry!$G$1075)</f>
        <v/>
      </c>
      <c r="AK1072">
        <f>IF([3]Entry!$K$1075="","",[3]Entry!$K$1075)</f>
        <v/>
      </c>
      <c r="AL1072">
        <f>IF([3]Entry!$L$1075="","",[3]Entry!$L$1075)</f>
        <v/>
      </c>
      <c r="AM1072">
        <f>IF([3]Entry!$M$1075="","",[3]Entry!$M$1075)</f>
        <v/>
      </c>
      <c r="AN1072">
        <f>IF([3]Entry!$N$1075="","",[3]Entry!$N$1075)</f>
        <v/>
      </c>
      <c r="AO1072">
        <f>IF([3]Entry!$R$1075="","",[3]Entry!$R$1075)</f>
        <v/>
      </c>
    </row>
    <row r="1073">
      <c r="U1073">
        <f>IF([2]Baskol!$B$1076="","",[2]Baskol!$B$1076)</f>
        <v/>
      </c>
      <c r="V1073">
        <f>IF([2]Baskol!$C$1076="","",[2]Baskol!$C$1076)</f>
        <v/>
      </c>
      <c r="W1073">
        <f>IF([2]Baskol!$D$1076="","",[2]Baskol!$D$1076)</f>
        <v/>
      </c>
      <c r="X1073">
        <f>IF([2]Baskol!$E$1076="","",[2]Baskol!$E$1076)</f>
        <v/>
      </c>
      <c r="Y1073">
        <f>IF([2]Baskol!$G$1076="","",[2]Baskol!$G$1076)</f>
        <v/>
      </c>
      <c r="Z1073">
        <f>IF([2]Baskol!$I$1076="","",[2]Baskol!$I$1076)</f>
        <v/>
      </c>
      <c r="AA1073">
        <f>IF([2]Baskol!$J$1076="","",[2]Baskol!$J$1076)</f>
        <v/>
      </c>
      <c r="AB1073">
        <f>IF([2]Baskol!$K$1076="","",[2]Baskol!$K$1076)</f>
        <v/>
      </c>
      <c r="AC1073">
        <f>IF([2]Baskol!$L$1076="","",[2]Baskol!$L$1076)</f>
        <v/>
      </c>
      <c r="AD1073">
        <f>IF([2]Baskol!$N$1076="","",[2]Baskol!$N$1076)</f>
        <v/>
      </c>
      <c r="AE1073">
        <f>IF([2]Baskol!$O$1076="","",[2]Baskol!$O$1076)</f>
        <v/>
      </c>
      <c r="AG1073">
        <f>IF([3]Entry!$C$1076="","",[3]Entry!$C$1076)</f>
        <v/>
      </c>
      <c r="AH1073">
        <f>IF([3]Entry!$D$1076="","",[3]Entry!$D$1076)</f>
        <v/>
      </c>
      <c r="AI1073">
        <f>IF([3]Entry!$E$1076="","",[3]Entry!$E$1076)</f>
        <v/>
      </c>
      <c r="AJ1073">
        <f>IF([3]Entry!$G$1076="","",[3]Entry!$G$1076)</f>
        <v/>
      </c>
      <c r="AK1073">
        <f>IF([3]Entry!$K$1076="","",[3]Entry!$K$1076)</f>
        <v/>
      </c>
      <c r="AL1073">
        <f>IF([3]Entry!$L$1076="","",[3]Entry!$L$1076)</f>
        <v/>
      </c>
      <c r="AM1073">
        <f>IF([3]Entry!$M$1076="","",[3]Entry!$M$1076)</f>
        <v/>
      </c>
      <c r="AN1073">
        <f>IF([3]Entry!$N$1076="","",[3]Entry!$N$1076)</f>
        <v/>
      </c>
      <c r="AO1073">
        <f>IF([3]Entry!$R$1076="","",[3]Entry!$R$1076)</f>
        <v/>
      </c>
    </row>
    <row r="1074">
      <c r="U1074">
        <f>IF([2]Baskol!$B$1077="","",[2]Baskol!$B$1077)</f>
        <v/>
      </c>
      <c r="V1074">
        <f>IF([2]Baskol!$C$1077="","",[2]Baskol!$C$1077)</f>
        <v/>
      </c>
      <c r="W1074">
        <f>IF([2]Baskol!$D$1077="","",[2]Baskol!$D$1077)</f>
        <v/>
      </c>
      <c r="X1074">
        <f>IF([2]Baskol!$E$1077="","",[2]Baskol!$E$1077)</f>
        <v/>
      </c>
      <c r="Y1074">
        <f>IF([2]Baskol!$G$1077="","",[2]Baskol!$G$1077)</f>
        <v/>
      </c>
      <c r="Z1074">
        <f>IF([2]Baskol!$I$1077="","",[2]Baskol!$I$1077)</f>
        <v/>
      </c>
      <c r="AA1074">
        <f>IF([2]Baskol!$J$1077="","",[2]Baskol!$J$1077)</f>
        <v/>
      </c>
      <c r="AB1074">
        <f>IF([2]Baskol!$K$1077="","",[2]Baskol!$K$1077)</f>
        <v/>
      </c>
      <c r="AC1074">
        <f>IF([2]Baskol!$L$1077="","",[2]Baskol!$L$1077)</f>
        <v/>
      </c>
      <c r="AD1074">
        <f>IF([2]Baskol!$N$1077="","",[2]Baskol!$N$1077)</f>
        <v/>
      </c>
      <c r="AE1074">
        <f>IF([2]Baskol!$O$1077="","",[2]Baskol!$O$1077)</f>
        <v/>
      </c>
      <c r="AG1074">
        <f>IF([3]Entry!$C$1077="","",[3]Entry!$C$1077)</f>
        <v/>
      </c>
      <c r="AH1074">
        <f>IF([3]Entry!$D$1077="","",[3]Entry!$D$1077)</f>
        <v/>
      </c>
      <c r="AI1074">
        <f>IF([3]Entry!$E$1077="","",[3]Entry!$E$1077)</f>
        <v/>
      </c>
      <c r="AJ1074">
        <f>IF([3]Entry!$G$1077="","",[3]Entry!$G$1077)</f>
        <v/>
      </c>
      <c r="AK1074">
        <f>IF([3]Entry!$K$1077="","",[3]Entry!$K$1077)</f>
        <v/>
      </c>
      <c r="AL1074">
        <f>IF([3]Entry!$L$1077="","",[3]Entry!$L$1077)</f>
        <v/>
      </c>
      <c r="AM1074">
        <f>IF([3]Entry!$M$1077="","",[3]Entry!$M$1077)</f>
        <v/>
      </c>
      <c r="AN1074">
        <f>IF([3]Entry!$N$1077="","",[3]Entry!$N$1077)</f>
        <v/>
      </c>
      <c r="AO1074">
        <f>IF([3]Entry!$R$1077="","",[3]Entry!$R$1077)</f>
        <v/>
      </c>
    </row>
    <row r="1075">
      <c r="U1075">
        <f>IF([2]Baskol!$B$1078="","",[2]Baskol!$B$1078)</f>
        <v/>
      </c>
      <c r="V1075">
        <f>IF([2]Baskol!$C$1078="","",[2]Baskol!$C$1078)</f>
        <v/>
      </c>
      <c r="W1075">
        <f>IF([2]Baskol!$D$1078="","",[2]Baskol!$D$1078)</f>
        <v/>
      </c>
      <c r="X1075">
        <f>IF([2]Baskol!$E$1078="","",[2]Baskol!$E$1078)</f>
        <v/>
      </c>
      <c r="Y1075">
        <f>IF([2]Baskol!$G$1078="","",[2]Baskol!$G$1078)</f>
        <v/>
      </c>
      <c r="Z1075">
        <f>IF([2]Baskol!$I$1078="","",[2]Baskol!$I$1078)</f>
        <v/>
      </c>
      <c r="AA1075">
        <f>IF([2]Baskol!$J$1078="","",[2]Baskol!$J$1078)</f>
        <v/>
      </c>
      <c r="AB1075">
        <f>IF([2]Baskol!$K$1078="","",[2]Baskol!$K$1078)</f>
        <v/>
      </c>
      <c r="AC1075">
        <f>IF([2]Baskol!$L$1078="","",[2]Baskol!$L$1078)</f>
        <v/>
      </c>
      <c r="AD1075">
        <f>IF([2]Baskol!$N$1078="","",[2]Baskol!$N$1078)</f>
        <v/>
      </c>
      <c r="AE1075">
        <f>IF([2]Baskol!$O$1078="","",[2]Baskol!$O$1078)</f>
        <v/>
      </c>
      <c r="AG1075">
        <f>IF([3]Entry!$C$1078="","",[3]Entry!$C$1078)</f>
        <v/>
      </c>
      <c r="AH1075">
        <f>IF([3]Entry!$D$1078="","",[3]Entry!$D$1078)</f>
        <v/>
      </c>
      <c r="AI1075">
        <f>IF([3]Entry!$E$1078="","",[3]Entry!$E$1078)</f>
        <v/>
      </c>
      <c r="AJ1075">
        <f>IF([3]Entry!$G$1078="","",[3]Entry!$G$1078)</f>
        <v/>
      </c>
      <c r="AK1075">
        <f>IF([3]Entry!$K$1078="","",[3]Entry!$K$1078)</f>
        <v/>
      </c>
      <c r="AL1075">
        <f>IF([3]Entry!$L$1078="","",[3]Entry!$L$1078)</f>
        <v/>
      </c>
      <c r="AM1075">
        <f>IF([3]Entry!$M$1078="","",[3]Entry!$M$1078)</f>
        <v/>
      </c>
      <c r="AN1075">
        <f>IF([3]Entry!$N$1078="","",[3]Entry!$N$1078)</f>
        <v/>
      </c>
      <c r="AO1075">
        <f>IF([3]Entry!$R$1078="","",[3]Entry!$R$1078)</f>
        <v/>
      </c>
    </row>
    <row r="1076">
      <c r="U1076">
        <f>IF([2]Baskol!$B$1079="","",[2]Baskol!$B$1079)</f>
        <v/>
      </c>
      <c r="V1076">
        <f>IF([2]Baskol!$C$1079="","",[2]Baskol!$C$1079)</f>
        <v/>
      </c>
      <c r="W1076">
        <f>IF([2]Baskol!$D$1079="","",[2]Baskol!$D$1079)</f>
        <v/>
      </c>
      <c r="X1076">
        <f>IF([2]Baskol!$E$1079="","",[2]Baskol!$E$1079)</f>
        <v/>
      </c>
      <c r="Y1076">
        <f>IF([2]Baskol!$G$1079="","",[2]Baskol!$G$1079)</f>
        <v/>
      </c>
      <c r="Z1076">
        <f>IF([2]Baskol!$I$1079="","",[2]Baskol!$I$1079)</f>
        <v/>
      </c>
      <c r="AA1076">
        <f>IF([2]Baskol!$J$1079="","",[2]Baskol!$J$1079)</f>
        <v/>
      </c>
      <c r="AB1076">
        <f>IF([2]Baskol!$K$1079="","",[2]Baskol!$K$1079)</f>
        <v/>
      </c>
      <c r="AC1076">
        <f>IF([2]Baskol!$L$1079="","",[2]Baskol!$L$1079)</f>
        <v/>
      </c>
      <c r="AD1076">
        <f>IF([2]Baskol!$N$1079="","",[2]Baskol!$N$1079)</f>
        <v/>
      </c>
      <c r="AE1076">
        <f>IF([2]Baskol!$O$1079="","",[2]Baskol!$O$1079)</f>
        <v/>
      </c>
      <c r="AG1076">
        <f>IF([3]Entry!$C$1079="","",[3]Entry!$C$1079)</f>
        <v/>
      </c>
      <c r="AH1076">
        <f>IF([3]Entry!$D$1079="","",[3]Entry!$D$1079)</f>
        <v/>
      </c>
      <c r="AI1076">
        <f>IF([3]Entry!$E$1079="","",[3]Entry!$E$1079)</f>
        <v/>
      </c>
      <c r="AJ1076">
        <f>IF([3]Entry!$G$1079="","",[3]Entry!$G$1079)</f>
        <v/>
      </c>
      <c r="AK1076">
        <f>IF([3]Entry!$K$1079="","",[3]Entry!$K$1079)</f>
        <v/>
      </c>
      <c r="AL1076">
        <f>IF([3]Entry!$L$1079="","",[3]Entry!$L$1079)</f>
        <v/>
      </c>
      <c r="AM1076">
        <f>IF([3]Entry!$M$1079="","",[3]Entry!$M$1079)</f>
        <v/>
      </c>
      <c r="AN1076">
        <f>IF([3]Entry!$N$1079="","",[3]Entry!$N$1079)</f>
        <v/>
      </c>
      <c r="AO1076">
        <f>IF([3]Entry!$R$1079="","",[3]Entry!$R$1079)</f>
        <v/>
      </c>
    </row>
    <row r="1077">
      <c r="U1077">
        <f>IF([2]Baskol!$B$1080="","",[2]Baskol!$B$1080)</f>
        <v/>
      </c>
      <c r="V1077">
        <f>IF([2]Baskol!$C$1080="","",[2]Baskol!$C$1080)</f>
        <v/>
      </c>
      <c r="W1077">
        <f>IF([2]Baskol!$D$1080="","",[2]Baskol!$D$1080)</f>
        <v/>
      </c>
      <c r="X1077">
        <f>IF([2]Baskol!$E$1080="","",[2]Baskol!$E$1080)</f>
        <v/>
      </c>
      <c r="Y1077">
        <f>IF([2]Baskol!$G$1080="","",[2]Baskol!$G$1080)</f>
        <v/>
      </c>
      <c r="Z1077">
        <f>IF([2]Baskol!$I$1080="","",[2]Baskol!$I$1080)</f>
        <v/>
      </c>
      <c r="AA1077">
        <f>IF([2]Baskol!$J$1080="","",[2]Baskol!$J$1080)</f>
        <v/>
      </c>
      <c r="AB1077">
        <f>IF([2]Baskol!$K$1080="","",[2]Baskol!$K$1080)</f>
        <v/>
      </c>
      <c r="AC1077">
        <f>IF([2]Baskol!$L$1080="","",[2]Baskol!$L$1080)</f>
        <v/>
      </c>
      <c r="AD1077">
        <f>IF([2]Baskol!$N$1080="","",[2]Baskol!$N$1080)</f>
        <v/>
      </c>
      <c r="AE1077">
        <f>IF([2]Baskol!$O$1080="","",[2]Baskol!$O$1080)</f>
        <v/>
      </c>
      <c r="AG1077">
        <f>IF([3]Entry!$C$1080="","",[3]Entry!$C$1080)</f>
        <v/>
      </c>
      <c r="AH1077">
        <f>IF([3]Entry!$D$1080="","",[3]Entry!$D$1080)</f>
        <v/>
      </c>
      <c r="AI1077">
        <f>IF([3]Entry!$E$1080="","",[3]Entry!$E$1080)</f>
        <v/>
      </c>
      <c r="AJ1077">
        <f>IF([3]Entry!$G$1080="","",[3]Entry!$G$1080)</f>
        <v/>
      </c>
      <c r="AK1077">
        <f>IF([3]Entry!$K$1080="","",[3]Entry!$K$1080)</f>
        <v/>
      </c>
      <c r="AL1077">
        <f>IF([3]Entry!$L$1080="","",[3]Entry!$L$1080)</f>
        <v/>
      </c>
      <c r="AM1077">
        <f>IF([3]Entry!$M$1080="","",[3]Entry!$M$1080)</f>
        <v/>
      </c>
      <c r="AN1077">
        <f>IF([3]Entry!$N$1080="","",[3]Entry!$N$1080)</f>
        <v/>
      </c>
      <c r="AO1077">
        <f>IF([3]Entry!$R$1080="","",[3]Entry!$R$1080)</f>
        <v/>
      </c>
    </row>
    <row r="1078">
      <c r="U1078">
        <f>IF([2]Baskol!$B$1081="","",[2]Baskol!$B$1081)</f>
        <v/>
      </c>
      <c r="V1078">
        <f>IF([2]Baskol!$C$1081="","",[2]Baskol!$C$1081)</f>
        <v/>
      </c>
      <c r="W1078">
        <f>IF([2]Baskol!$D$1081="","",[2]Baskol!$D$1081)</f>
        <v/>
      </c>
      <c r="X1078">
        <f>IF([2]Baskol!$E$1081="","",[2]Baskol!$E$1081)</f>
        <v/>
      </c>
      <c r="Y1078">
        <f>IF([2]Baskol!$G$1081="","",[2]Baskol!$G$1081)</f>
        <v/>
      </c>
      <c r="Z1078">
        <f>IF([2]Baskol!$I$1081="","",[2]Baskol!$I$1081)</f>
        <v/>
      </c>
      <c r="AA1078">
        <f>IF([2]Baskol!$J$1081="","",[2]Baskol!$J$1081)</f>
        <v/>
      </c>
      <c r="AB1078">
        <f>IF([2]Baskol!$K$1081="","",[2]Baskol!$K$1081)</f>
        <v/>
      </c>
      <c r="AC1078">
        <f>IF([2]Baskol!$L$1081="","",[2]Baskol!$L$1081)</f>
        <v/>
      </c>
      <c r="AD1078">
        <f>IF([2]Baskol!$N$1081="","",[2]Baskol!$N$1081)</f>
        <v/>
      </c>
      <c r="AE1078">
        <f>IF([2]Baskol!$O$1081="","",[2]Baskol!$O$1081)</f>
        <v/>
      </c>
      <c r="AG1078">
        <f>IF([3]Entry!$C$1081="","",[3]Entry!$C$1081)</f>
        <v/>
      </c>
      <c r="AH1078">
        <f>IF([3]Entry!$D$1081="","",[3]Entry!$D$1081)</f>
        <v/>
      </c>
      <c r="AI1078">
        <f>IF([3]Entry!$E$1081="","",[3]Entry!$E$1081)</f>
        <v/>
      </c>
      <c r="AJ1078">
        <f>IF([3]Entry!$G$1081="","",[3]Entry!$G$1081)</f>
        <v/>
      </c>
      <c r="AK1078">
        <f>IF([3]Entry!$K$1081="","",[3]Entry!$K$1081)</f>
        <v/>
      </c>
      <c r="AL1078">
        <f>IF([3]Entry!$L$1081="","",[3]Entry!$L$1081)</f>
        <v/>
      </c>
      <c r="AM1078">
        <f>IF([3]Entry!$M$1081="","",[3]Entry!$M$1081)</f>
        <v/>
      </c>
      <c r="AN1078">
        <f>IF([3]Entry!$N$1081="","",[3]Entry!$N$1081)</f>
        <v/>
      </c>
      <c r="AO1078">
        <f>IF([3]Entry!$R$1081="","",[3]Entry!$R$1081)</f>
        <v/>
      </c>
    </row>
    <row r="1079">
      <c r="U1079">
        <f>IF([2]Baskol!$B$1082="","",[2]Baskol!$B$1082)</f>
        <v/>
      </c>
      <c r="V1079">
        <f>IF([2]Baskol!$C$1082="","",[2]Baskol!$C$1082)</f>
        <v/>
      </c>
      <c r="W1079">
        <f>IF([2]Baskol!$D$1082="","",[2]Baskol!$D$1082)</f>
        <v/>
      </c>
      <c r="X1079">
        <f>IF([2]Baskol!$E$1082="","",[2]Baskol!$E$1082)</f>
        <v/>
      </c>
      <c r="Y1079">
        <f>IF([2]Baskol!$G$1082="","",[2]Baskol!$G$1082)</f>
        <v/>
      </c>
      <c r="Z1079">
        <f>IF([2]Baskol!$I$1082="","",[2]Baskol!$I$1082)</f>
        <v/>
      </c>
      <c r="AA1079">
        <f>IF([2]Baskol!$J$1082="","",[2]Baskol!$J$1082)</f>
        <v/>
      </c>
      <c r="AB1079">
        <f>IF([2]Baskol!$K$1082="","",[2]Baskol!$K$1082)</f>
        <v/>
      </c>
      <c r="AC1079">
        <f>IF([2]Baskol!$L$1082="","",[2]Baskol!$L$1082)</f>
        <v/>
      </c>
      <c r="AD1079">
        <f>IF([2]Baskol!$N$1082="","",[2]Baskol!$N$1082)</f>
        <v/>
      </c>
      <c r="AE1079">
        <f>IF([2]Baskol!$O$1082="","",[2]Baskol!$O$1082)</f>
        <v/>
      </c>
      <c r="AG1079">
        <f>IF([3]Entry!$C$1082="","",[3]Entry!$C$1082)</f>
        <v/>
      </c>
      <c r="AH1079">
        <f>IF([3]Entry!$D$1082="","",[3]Entry!$D$1082)</f>
        <v/>
      </c>
      <c r="AI1079">
        <f>IF([3]Entry!$E$1082="","",[3]Entry!$E$1082)</f>
        <v/>
      </c>
      <c r="AJ1079">
        <f>IF([3]Entry!$G$1082="","",[3]Entry!$G$1082)</f>
        <v/>
      </c>
      <c r="AK1079">
        <f>IF([3]Entry!$K$1082="","",[3]Entry!$K$1082)</f>
        <v/>
      </c>
      <c r="AL1079">
        <f>IF([3]Entry!$L$1082="","",[3]Entry!$L$1082)</f>
        <v/>
      </c>
      <c r="AM1079">
        <f>IF([3]Entry!$M$1082="","",[3]Entry!$M$1082)</f>
        <v/>
      </c>
      <c r="AN1079">
        <f>IF([3]Entry!$N$1082="","",[3]Entry!$N$1082)</f>
        <v/>
      </c>
      <c r="AO1079">
        <f>IF([3]Entry!$R$1082="","",[3]Entry!$R$1082)</f>
        <v/>
      </c>
    </row>
    <row r="1080">
      <c r="U1080">
        <f>IF([2]Baskol!$B$1083="","",[2]Baskol!$B$1083)</f>
        <v/>
      </c>
      <c r="V1080">
        <f>IF([2]Baskol!$C$1083="","",[2]Baskol!$C$1083)</f>
        <v/>
      </c>
      <c r="W1080">
        <f>IF([2]Baskol!$D$1083="","",[2]Baskol!$D$1083)</f>
        <v/>
      </c>
      <c r="X1080">
        <f>IF([2]Baskol!$E$1083="","",[2]Baskol!$E$1083)</f>
        <v/>
      </c>
      <c r="Y1080">
        <f>IF([2]Baskol!$G$1083="","",[2]Baskol!$G$1083)</f>
        <v/>
      </c>
      <c r="Z1080">
        <f>IF([2]Baskol!$I$1083="","",[2]Baskol!$I$1083)</f>
        <v/>
      </c>
      <c r="AA1080">
        <f>IF([2]Baskol!$J$1083="","",[2]Baskol!$J$1083)</f>
        <v/>
      </c>
      <c r="AB1080">
        <f>IF([2]Baskol!$K$1083="","",[2]Baskol!$K$1083)</f>
        <v/>
      </c>
      <c r="AC1080">
        <f>IF([2]Baskol!$L$1083="","",[2]Baskol!$L$1083)</f>
        <v/>
      </c>
      <c r="AD1080">
        <f>IF([2]Baskol!$N$1083="","",[2]Baskol!$N$1083)</f>
        <v/>
      </c>
      <c r="AE1080">
        <f>IF([2]Baskol!$O$1083="","",[2]Baskol!$O$1083)</f>
        <v/>
      </c>
      <c r="AG1080">
        <f>IF([3]Entry!$C$1083="","",[3]Entry!$C$1083)</f>
        <v/>
      </c>
      <c r="AH1080">
        <f>IF([3]Entry!$D$1083="","",[3]Entry!$D$1083)</f>
        <v/>
      </c>
      <c r="AI1080">
        <f>IF([3]Entry!$E$1083="","",[3]Entry!$E$1083)</f>
        <v/>
      </c>
      <c r="AJ1080">
        <f>IF([3]Entry!$G$1083="","",[3]Entry!$G$1083)</f>
        <v/>
      </c>
      <c r="AK1080">
        <f>IF([3]Entry!$K$1083="","",[3]Entry!$K$1083)</f>
        <v/>
      </c>
      <c r="AL1080">
        <f>IF([3]Entry!$L$1083="","",[3]Entry!$L$1083)</f>
        <v/>
      </c>
      <c r="AM1080">
        <f>IF([3]Entry!$M$1083="","",[3]Entry!$M$1083)</f>
        <v/>
      </c>
      <c r="AN1080">
        <f>IF([3]Entry!$N$1083="","",[3]Entry!$N$1083)</f>
        <v/>
      </c>
      <c r="AO1080">
        <f>IF([3]Entry!$R$1083="","",[3]Entry!$R$1083)</f>
        <v/>
      </c>
    </row>
    <row r="1081">
      <c r="U1081">
        <f>IF([2]Baskol!$B$1084="","",[2]Baskol!$B$1084)</f>
        <v/>
      </c>
      <c r="V1081">
        <f>IF([2]Baskol!$C$1084="","",[2]Baskol!$C$1084)</f>
        <v/>
      </c>
      <c r="W1081">
        <f>IF([2]Baskol!$D$1084="","",[2]Baskol!$D$1084)</f>
        <v/>
      </c>
      <c r="X1081">
        <f>IF([2]Baskol!$E$1084="","",[2]Baskol!$E$1084)</f>
        <v/>
      </c>
      <c r="Y1081">
        <f>IF([2]Baskol!$G$1084="","",[2]Baskol!$G$1084)</f>
        <v/>
      </c>
      <c r="Z1081">
        <f>IF([2]Baskol!$I$1084="","",[2]Baskol!$I$1084)</f>
        <v/>
      </c>
      <c r="AA1081">
        <f>IF([2]Baskol!$J$1084="","",[2]Baskol!$J$1084)</f>
        <v/>
      </c>
      <c r="AB1081">
        <f>IF([2]Baskol!$K$1084="","",[2]Baskol!$K$1084)</f>
        <v/>
      </c>
      <c r="AC1081">
        <f>IF([2]Baskol!$L$1084="","",[2]Baskol!$L$1084)</f>
        <v/>
      </c>
      <c r="AD1081">
        <f>IF([2]Baskol!$N$1084="","",[2]Baskol!$N$1084)</f>
        <v/>
      </c>
      <c r="AE1081">
        <f>IF([2]Baskol!$O$1084="","",[2]Baskol!$O$1084)</f>
        <v/>
      </c>
      <c r="AG1081">
        <f>IF([3]Entry!$C$1084="","",[3]Entry!$C$1084)</f>
        <v/>
      </c>
      <c r="AH1081">
        <f>IF([3]Entry!$D$1084="","",[3]Entry!$D$1084)</f>
        <v/>
      </c>
      <c r="AI1081">
        <f>IF([3]Entry!$E$1084="","",[3]Entry!$E$1084)</f>
        <v/>
      </c>
      <c r="AJ1081">
        <f>IF([3]Entry!$G$1084="","",[3]Entry!$G$1084)</f>
        <v/>
      </c>
      <c r="AK1081">
        <f>IF([3]Entry!$K$1084="","",[3]Entry!$K$1084)</f>
        <v/>
      </c>
      <c r="AL1081">
        <f>IF([3]Entry!$L$1084="","",[3]Entry!$L$1084)</f>
        <v/>
      </c>
      <c r="AM1081">
        <f>IF([3]Entry!$M$1084="","",[3]Entry!$M$1084)</f>
        <v/>
      </c>
      <c r="AN1081">
        <f>IF([3]Entry!$N$1084="","",[3]Entry!$N$1084)</f>
        <v/>
      </c>
      <c r="AO1081">
        <f>IF([3]Entry!$R$1084="","",[3]Entry!$R$1084)</f>
        <v/>
      </c>
    </row>
    <row r="1082">
      <c r="U1082">
        <f>IF([2]Baskol!$B$1085="","",[2]Baskol!$B$1085)</f>
        <v/>
      </c>
      <c r="V1082">
        <f>IF([2]Baskol!$C$1085="","",[2]Baskol!$C$1085)</f>
        <v/>
      </c>
      <c r="W1082">
        <f>IF([2]Baskol!$D$1085="","",[2]Baskol!$D$1085)</f>
        <v/>
      </c>
      <c r="X1082">
        <f>IF([2]Baskol!$E$1085="","",[2]Baskol!$E$1085)</f>
        <v/>
      </c>
      <c r="Y1082">
        <f>IF([2]Baskol!$G$1085="","",[2]Baskol!$G$1085)</f>
        <v/>
      </c>
      <c r="Z1082">
        <f>IF([2]Baskol!$I$1085="","",[2]Baskol!$I$1085)</f>
        <v/>
      </c>
      <c r="AA1082">
        <f>IF([2]Baskol!$J$1085="","",[2]Baskol!$J$1085)</f>
        <v/>
      </c>
      <c r="AB1082">
        <f>IF([2]Baskol!$K$1085="","",[2]Baskol!$K$1085)</f>
        <v/>
      </c>
      <c r="AC1082">
        <f>IF([2]Baskol!$L$1085="","",[2]Baskol!$L$1085)</f>
        <v/>
      </c>
      <c r="AD1082">
        <f>IF([2]Baskol!$N$1085="","",[2]Baskol!$N$1085)</f>
        <v/>
      </c>
      <c r="AE1082">
        <f>IF([2]Baskol!$O$1085="","",[2]Baskol!$O$1085)</f>
        <v/>
      </c>
      <c r="AG1082">
        <f>IF([3]Entry!$C$1085="","",[3]Entry!$C$1085)</f>
        <v/>
      </c>
      <c r="AH1082">
        <f>IF([3]Entry!$D$1085="","",[3]Entry!$D$1085)</f>
        <v/>
      </c>
      <c r="AI1082">
        <f>IF([3]Entry!$E$1085="","",[3]Entry!$E$1085)</f>
        <v/>
      </c>
      <c r="AJ1082">
        <f>IF([3]Entry!$G$1085="","",[3]Entry!$G$1085)</f>
        <v/>
      </c>
      <c r="AK1082">
        <f>IF([3]Entry!$K$1085="","",[3]Entry!$K$1085)</f>
        <v/>
      </c>
      <c r="AL1082">
        <f>IF([3]Entry!$L$1085="","",[3]Entry!$L$1085)</f>
        <v/>
      </c>
      <c r="AM1082">
        <f>IF([3]Entry!$M$1085="","",[3]Entry!$M$1085)</f>
        <v/>
      </c>
      <c r="AN1082">
        <f>IF([3]Entry!$N$1085="","",[3]Entry!$N$1085)</f>
        <v/>
      </c>
      <c r="AO1082">
        <f>IF([3]Entry!$R$1085="","",[3]Entry!$R$1085)</f>
        <v/>
      </c>
    </row>
    <row r="1083">
      <c r="U1083">
        <f>IF([2]Baskol!$B$1086="","",[2]Baskol!$B$1086)</f>
        <v/>
      </c>
      <c r="V1083">
        <f>IF([2]Baskol!$C$1086="","",[2]Baskol!$C$1086)</f>
        <v/>
      </c>
      <c r="W1083">
        <f>IF([2]Baskol!$D$1086="","",[2]Baskol!$D$1086)</f>
        <v/>
      </c>
      <c r="X1083">
        <f>IF([2]Baskol!$E$1086="","",[2]Baskol!$E$1086)</f>
        <v/>
      </c>
      <c r="Y1083">
        <f>IF([2]Baskol!$G$1086="","",[2]Baskol!$G$1086)</f>
        <v/>
      </c>
      <c r="Z1083">
        <f>IF([2]Baskol!$I$1086="","",[2]Baskol!$I$1086)</f>
        <v/>
      </c>
      <c r="AA1083">
        <f>IF([2]Baskol!$J$1086="","",[2]Baskol!$J$1086)</f>
        <v/>
      </c>
      <c r="AB1083">
        <f>IF([2]Baskol!$K$1086="","",[2]Baskol!$K$1086)</f>
        <v/>
      </c>
      <c r="AC1083">
        <f>IF([2]Baskol!$L$1086="","",[2]Baskol!$L$1086)</f>
        <v/>
      </c>
      <c r="AD1083">
        <f>IF([2]Baskol!$N$1086="","",[2]Baskol!$N$1086)</f>
        <v/>
      </c>
      <c r="AE1083">
        <f>IF([2]Baskol!$O$1086="","",[2]Baskol!$O$1086)</f>
        <v/>
      </c>
      <c r="AG1083">
        <f>IF([3]Entry!$C$1086="","",[3]Entry!$C$1086)</f>
        <v/>
      </c>
      <c r="AH1083">
        <f>IF([3]Entry!$D$1086="","",[3]Entry!$D$1086)</f>
        <v/>
      </c>
      <c r="AI1083">
        <f>IF([3]Entry!$E$1086="","",[3]Entry!$E$1086)</f>
        <v/>
      </c>
      <c r="AJ1083">
        <f>IF([3]Entry!$G$1086="","",[3]Entry!$G$1086)</f>
        <v/>
      </c>
      <c r="AK1083">
        <f>IF([3]Entry!$K$1086="","",[3]Entry!$K$1086)</f>
        <v/>
      </c>
      <c r="AL1083">
        <f>IF([3]Entry!$L$1086="","",[3]Entry!$L$1086)</f>
        <v/>
      </c>
      <c r="AM1083">
        <f>IF([3]Entry!$M$1086="","",[3]Entry!$M$1086)</f>
        <v/>
      </c>
      <c r="AN1083">
        <f>IF([3]Entry!$N$1086="","",[3]Entry!$N$1086)</f>
        <v/>
      </c>
      <c r="AO1083">
        <f>IF([3]Entry!$R$1086="","",[3]Entry!$R$1086)</f>
        <v/>
      </c>
    </row>
    <row r="1084">
      <c r="U1084">
        <f>IF([2]Baskol!$B$1087="","",[2]Baskol!$B$1087)</f>
        <v/>
      </c>
      <c r="V1084">
        <f>IF([2]Baskol!$C$1087="","",[2]Baskol!$C$1087)</f>
        <v/>
      </c>
      <c r="W1084">
        <f>IF([2]Baskol!$D$1087="","",[2]Baskol!$D$1087)</f>
        <v/>
      </c>
      <c r="X1084">
        <f>IF([2]Baskol!$E$1087="","",[2]Baskol!$E$1087)</f>
        <v/>
      </c>
      <c r="Y1084">
        <f>IF([2]Baskol!$G$1087="","",[2]Baskol!$G$1087)</f>
        <v/>
      </c>
      <c r="Z1084">
        <f>IF([2]Baskol!$I$1087="","",[2]Baskol!$I$1087)</f>
        <v/>
      </c>
      <c r="AA1084">
        <f>IF([2]Baskol!$J$1087="","",[2]Baskol!$J$1087)</f>
        <v/>
      </c>
      <c r="AB1084">
        <f>IF([2]Baskol!$K$1087="","",[2]Baskol!$K$1087)</f>
        <v/>
      </c>
      <c r="AC1084">
        <f>IF([2]Baskol!$L$1087="","",[2]Baskol!$L$1087)</f>
        <v/>
      </c>
      <c r="AD1084">
        <f>IF([2]Baskol!$N$1087="","",[2]Baskol!$N$1087)</f>
        <v/>
      </c>
      <c r="AE1084">
        <f>IF([2]Baskol!$O$1087="","",[2]Baskol!$O$1087)</f>
        <v/>
      </c>
      <c r="AG1084">
        <f>IF([3]Entry!$C$1087="","",[3]Entry!$C$1087)</f>
        <v/>
      </c>
      <c r="AH1084">
        <f>IF([3]Entry!$D$1087="","",[3]Entry!$D$1087)</f>
        <v/>
      </c>
      <c r="AI1084">
        <f>IF([3]Entry!$E$1087="","",[3]Entry!$E$1087)</f>
        <v/>
      </c>
      <c r="AJ1084">
        <f>IF([3]Entry!$G$1087="","",[3]Entry!$G$1087)</f>
        <v/>
      </c>
      <c r="AK1084">
        <f>IF([3]Entry!$K$1087="","",[3]Entry!$K$1087)</f>
        <v/>
      </c>
      <c r="AL1084">
        <f>IF([3]Entry!$L$1087="","",[3]Entry!$L$1087)</f>
        <v/>
      </c>
      <c r="AM1084">
        <f>IF([3]Entry!$M$1087="","",[3]Entry!$M$1087)</f>
        <v/>
      </c>
      <c r="AN1084">
        <f>IF([3]Entry!$N$1087="","",[3]Entry!$N$1087)</f>
        <v/>
      </c>
      <c r="AO1084">
        <f>IF([3]Entry!$R$1087="","",[3]Entry!$R$1087)</f>
        <v/>
      </c>
    </row>
    <row r="1085">
      <c r="U1085">
        <f>IF([2]Baskol!$B$1088="","",[2]Baskol!$B$1088)</f>
        <v/>
      </c>
      <c r="V1085">
        <f>IF([2]Baskol!$C$1088="","",[2]Baskol!$C$1088)</f>
        <v/>
      </c>
      <c r="W1085">
        <f>IF([2]Baskol!$D$1088="","",[2]Baskol!$D$1088)</f>
        <v/>
      </c>
      <c r="X1085">
        <f>IF([2]Baskol!$E$1088="","",[2]Baskol!$E$1088)</f>
        <v/>
      </c>
      <c r="Y1085">
        <f>IF([2]Baskol!$G$1088="","",[2]Baskol!$G$1088)</f>
        <v/>
      </c>
      <c r="Z1085">
        <f>IF([2]Baskol!$I$1088="","",[2]Baskol!$I$1088)</f>
        <v/>
      </c>
      <c r="AA1085">
        <f>IF([2]Baskol!$J$1088="","",[2]Baskol!$J$1088)</f>
        <v/>
      </c>
      <c r="AB1085">
        <f>IF([2]Baskol!$K$1088="","",[2]Baskol!$K$1088)</f>
        <v/>
      </c>
      <c r="AC1085">
        <f>IF([2]Baskol!$L$1088="","",[2]Baskol!$L$1088)</f>
        <v/>
      </c>
      <c r="AD1085">
        <f>IF([2]Baskol!$N$1088="","",[2]Baskol!$N$1088)</f>
        <v/>
      </c>
      <c r="AE1085">
        <f>IF([2]Baskol!$O$1088="","",[2]Baskol!$O$1088)</f>
        <v/>
      </c>
      <c r="AG1085">
        <f>IF([3]Entry!$C$1088="","",[3]Entry!$C$1088)</f>
        <v/>
      </c>
      <c r="AH1085">
        <f>IF([3]Entry!$D$1088="","",[3]Entry!$D$1088)</f>
        <v/>
      </c>
      <c r="AI1085">
        <f>IF([3]Entry!$E$1088="","",[3]Entry!$E$1088)</f>
        <v/>
      </c>
      <c r="AJ1085">
        <f>IF([3]Entry!$G$1088="","",[3]Entry!$G$1088)</f>
        <v/>
      </c>
      <c r="AK1085">
        <f>IF([3]Entry!$K$1088="","",[3]Entry!$K$1088)</f>
        <v/>
      </c>
      <c r="AL1085">
        <f>IF([3]Entry!$L$1088="","",[3]Entry!$L$1088)</f>
        <v/>
      </c>
      <c r="AM1085">
        <f>IF([3]Entry!$M$1088="","",[3]Entry!$M$1088)</f>
        <v/>
      </c>
      <c r="AN1085">
        <f>IF([3]Entry!$N$1088="","",[3]Entry!$N$1088)</f>
        <v/>
      </c>
      <c r="AO1085">
        <f>IF([3]Entry!$R$1088="","",[3]Entry!$R$1088)</f>
        <v/>
      </c>
    </row>
    <row r="1086">
      <c r="U1086">
        <f>IF([2]Baskol!$B$1089="","",[2]Baskol!$B$1089)</f>
        <v/>
      </c>
      <c r="V1086">
        <f>IF([2]Baskol!$C$1089="","",[2]Baskol!$C$1089)</f>
        <v/>
      </c>
      <c r="W1086">
        <f>IF([2]Baskol!$D$1089="","",[2]Baskol!$D$1089)</f>
        <v/>
      </c>
      <c r="X1086">
        <f>IF([2]Baskol!$E$1089="","",[2]Baskol!$E$1089)</f>
        <v/>
      </c>
      <c r="Y1086">
        <f>IF([2]Baskol!$G$1089="","",[2]Baskol!$G$1089)</f>
        <v/>
      </c>
      <c r="Z1086">
        <f>IF([2]Baskol!$I$1089="","",[2]Baskol!$I$1089)</f>
        <v/>
      </c>
      <c r="AA1086">
        <f>IF([2]Baskol!$J$1089="","",[2]Baskol!$J$1089)</f>
        <v/>
      </c>
      <c r="AB1086">
        <f>IF([2]Baskol!$K$1089="","",[2]Baskol!$K$1089)</f>
        <v/>
      </c>
      <c r="AC1086">
        <f>IF([2]Baskol!$L$1089="","",[2]Baskol!$L$1089)</f>
        <v/>
      </c>
      <c r="AD1086">
        <f>IF([2]Baskol!$N$1089="","",[2]Baskol!$N$1089)</f>
        <v/>
      </c>
      <c r="AE1086">
        <f>IF([2]Baskol!$O$1089="","",[2]Baskol!$O$1089)</f>
        <v/>
      </c>
      <c r="AG1086">
        <f>IF([3]Entry!$C$1089="","",[3]Entry!$C$1089)</f>
        <v/>
      </c>
      <c r="AH1086">
        <f>IF([3]Entry!$D$1089="","",[3]Entry!$D$1089)</f>
        <v/>
      </c>
      <c r="AI1086">
        <f>IF([3]Entry!$E$1089="","",[3]Entry!$E$1089)</f>
        <v/>
      </c>
      <c r="AJ1086">
        <f>IF([3]Entry!$G$1089="","",[3]Entry!$G$1089)</f>
        <v/>
      </c>
      <c r="AK1086">
        <f>IF([3]Entry!$K$1089="","",[3]Entry!$K$1089)</f>
        <v/>
      </c>
      <c r="AL1086">
        <f>IF([3]Entry!$L$1089="","",[3]Entry!$L$1089)</f>
        <v/>
      </c>
      <c r="AM1086">
        <f>IF([3]Entry!$M$1089="","",[3]Entry!$M$1089)</f>
        <v/>
      </c>
      <c r="AN1086">
        <f>IF([3]Entry!$N$1089="","",[3]Entry!$N$1089)</f>
        <v/>
      </c>
      <c r="AO1086">
        <f>IF([3]Entry!$R$1089="","",[3]Entry!$R$1089)</f>
        <v/>
      </c>
    </row>
    <row r="1087">
      <c r="U1087">
        <f>IF([2]Baskol!$B$1090="","",[2]Baskol!$B$1090)</f>
        <v/>
      </c>
      <c r="V1087">
        <f>IF([2]Baskol!$C$1090="","",[2]Baskol!$C$1090)</f>
        <v/>
      </c>
      <c r="W1087">
        <f>IF([2]Baskol!$D$1090="","",[2]Baskol!$D$1090)</f>
        <v/>
      </c>
      <c r="X1087">
        <f>IF([2]Baskol!$E$1090="","",[2]Baskol!$E$1090)</f>
        <v/>
      </c>
      <c r="Y1087">
        <f>IF([2]Baskol!$G$1090="","",[2]Baskol!$G$1090)</f>
        <v/>
      </c>
      <c r="Z1087">
        <f>IF([2]Baskol!$I$1090="","",[2]Baskol!$I$1090)</f>
        <v/>
      </c>
      <c r="AA1087">
        <f>IF([2]Baskol!$J$1090="","",[2]Baskol!$J$1090)</f>
        <v/>
      </c>
      <c r="AB1087">
        <f>IF([2]Baskol!$K$1090="","",[2]Baskol!$K$1090)</f>
        <v/>
      </c>
      <c r="AC1087">
        <f>IF([2]Baskol!$L$1090="","",[2]Baskol!$L$1090)</f>
        <v/>
      </c>
      <c r="AD1087">
        <f>IF([2]Baskol!$N$1090="","",[2]Baskol!$N$1090)</f>
        <v/>
      </c>
      <c r="AE1087">
        <f>IF([2]Baskol!$O$1090="","",[2]Baskol!$O$1090)</f>
        <v/>
      </c>
      <c r="AG1087">
        <f>IF([3]Entry!$C$1090="","",[3]Entry!$C$1090)</f>
        <v/>
      </c>
      <c r="AH1087">
        <f>IF([3]Entry!$D$1090="","",[3]Entry!$D$1090)</f>
        <v/>
      </c>
      <c r="AI1087">
        <f>IF([3]Entry!$E$1090="","",[3]Entry!$E$1090)</f>
        <v/>
      </c>
      <c r="AJ1087">
        <f>IF([3]Entry!$G$1090="","",[3]Entry!$G$1090)</f>
        <v/>
      </c>
      <c r="AK1087">
        <f>IF([3]Entry!$K$1090="","",[3]Entry!$K$1090)</f>
        <v/>
      </c>
      <c r="AL1087">
        <f>IF([3]Entry!$L$1090="","",[3]Entry!$L$1090)</f>
        <v/>
      </c>
      <c r="AM1087">
        <f>IF([3]Entry!$M$1090="","",[3]Entry!$M$1090)</f>
        <v/>
      </c>
      <c r="AN1087">
        <f>IF([3]Entry!$N$1090="","",[3]Entry!$N$1090)</f>
        <v/>
      </c>
      <c r="AO1087">
        <f>IF([3]Entry!$R$1090="","",[3]Entry!$R$1090)</f>
        <v/>
      </c>
    </row>
    <row r="1088">
      <c r="U1088">
        <f>IF([2]Baskol!$B$1091="","",[2]Baskol!$B$1091)</f>
        <v/>
      </c>
      <c r="V1088">
        <f>IF([2]Baskol!$C$1091="","",[2]Baskol!$C$1091)</f>
        <v/>
      </c>
      <c r="W1088">
        <f>IF([2]Baskol!$D$1091="","",[2]Baskol!$D$1091)</f>
        <v/>
      </c>
      <c r="X1088">
        <f>IF([2]Baskol!$E$1091="","",[2]Baskol!$E$1091)</f>
        <v/>
      </c>
      <c r="Y1088">
        <f>IF([2]Baskol!$G$1091="","",[2]Baskol!$G$1091)</f>
        <v/>
      </c>
      <c r="Z1088">
        <f>IF([2]Baskol!$I$1091="","",[2]Baskol!$I$1091)</f>
        <v/>
      </c>
      <c r="AA1088">
        <f>IF([2]Baskol!$J$1091="","",[2]Baskol!$J$1091)</f>
        <v/>
      </c>
      <c r="AB1088">
        <f>IF([2]Baskol!$K$1091="","",[2]Baskol!$K$1091)</f>
        <v/>
      </c>
      <c r="AC1088">
        <f>IF([2]Baskol!$L$1091="","",[2]Baskol!$L$1091)</f>
        <v/>
      </c>
      <c r="AD1088">
        <f>IF([2]Baskol!$N$1091="","",[2]Baskol!$N$1091)</f>
        <v/>
      </c>
      <c r="AE1088">
        <f>IF([2]Baskol!$O$1091="","",[2]Baskol!$O$1091)</f>
        <v/>
      </c>
      <c r="AG1088">
        <f>IF([3]Entry!$C$1091="","",[3]Entry!$C$1091)</f>
        <v/>
      </c>
      <c r="AH1088">
        <f>IF([3]Entry!$D$1091="","",[3]Entry!$D$1091)</f>
        <v/>
      </c>
      <c r="AI1088">
        <f>IF([3]Entry!$E$1091="","",[3]Entry!$E$1091)</f>
        <v/>
      </c>
      <c r="AJ1088">
        <f>IF([3]Entry!$G$1091="","",[3]Entry!$G$1091)</f>
        <v/>
      </c>
      <c r="AK1088">
        <f>IF([3]Entry!$K$1091="","",[3]Entry!$K$1091)</f>
        <v/>
      </c>
      <c r="AL1088">
        <f>IF([3]Entry!$L$1091="","",[3]Entry!$L$1091)</f>
        <v/>
      </c>
      <c r="AM1088">
        <f>IF([3]Entry!$M$1091="","",[3]Entry!$M$1091)</f>
        <v/>
      </c>
      <c r="AN1088">
        <f>IF([3]Entry!$N$1091="","",[3]Entry!$N$1091)</f>
        <v/>
      </c>
      <c r="AO1088">
        <f>IF([3]Entry!$R$1091="","",[3]Entry!$R$1091)</f>
        <v/>
      </c>
    </row>
    <row r="1089">
      <c r="U1089">
        <f>IF([2]Baskol!$B$1092="","",[2]Baskol!$B$1092)</f>
        <v/>
      </c>
      <c r="V1089">
        <f>IF([2]Baskol!$C$1092="","",[2]Baskol!$C$1092)</f>
        <v/>
      </c>
      <c r="W1089">
        <f>IF([2]Baskol!$D$1092="","",[2]Baskol!$D$1092)</f>
        <v/>
      </c>
      <c r="X1089">
        <f>IF([2]Baskol!$E$1092="","",[2]Baskol!$E$1092)</f>
        <v/>
      </c>
      <c r="Y1089">
        <f>IF([2]Baskol!$G$1092="","",[2]Baskol!$G$1092)</f>
        <v/>
      </c>
      <c r="Z1089">
        <f>IF([2]Baskol!$I$1092="","",[2]Baskol!$I$1092)</f>
        <v/>
      </c>
      <c r="AA1089">
        <f>IF([2]Baskol!$J$1092="","",[2]Baskol!$J$1092)</f>
        <v/>
      </c>
      <c r="AB1089">
        <f>IF([2]Baskol!$K$1092="","",[2]Baskol!$K$1092)</f>
        <v/>
      </c>
      <c r="AC1089">
        <f>IF([2]Baskol!$L$1092="","",[2]Baskol!$L$1092)</f>
        <v/>
      </c>
      <c r="AD1089">
        <f>IF([2]Baskol!$N$1092="","",[2]Baskol!$N$1092)</f>
        <v/>
      </c>
      <c r="AE1089">
        <f>IF([2]Baskol!$O$1092="","",[2]Baskol!$O$1092)</f>
        <v/>
      </c>
      <c r="AG1089">
        <f>IF([3]Entry!$C$1092="","",[3]Entry!$C$1092)</f>
        <v/>
      </c>
      <c r="AH1089">
        <f>IF([3]Entry!$D$1092="","",[3]Entry!$D$1092)</f>
        <v/>
      </c>
      <c r="AI1089">
        <f>IF([3]Entry!$E$1092="","",[3]Entry!$E$1092)</f>
        <v/>
      </c>
      <c r="AJ1089">
        <f>IF([3]Entry!$G$1092="","",[3]Entry!$G$1092)</f>
        <v/>
      </c>
      <c r="AK1089">
        <f>IF([3]Entry!$K$1092="","",[3]Entry!$K$1092)</f>
        <v/>
      </c>
      <c r="AL1089">
        <f>IF([3]Entry!$L$1092="","",[3]Entry!$L$1092)</f>
        <v/>
      </c>
      <c r="AM1089">
        <f>IF([3]Entry!$M$1092="","",[3]Entry!$M$1092)</f>
        <v/>
      </c>
      <c r="AN1089">
        <f>IF([3]Entry!$N$1092="","",[3]Entry!$N$1092)</f>
        <v/>
      </c>
      <c r="AO1089">
        <f>IF([3]Entry!$R$1092="","",[3]Entry!$R$1092)</f>
        <v/>
      </c>
    </row>
    <row r="1090">
      <c r="U1090">
        <f>IF([2]Baskol!$B$1093="","",[2]Baskol!$B$1093)</f>
        <v/>
      </c>
      <c r="V1090">
        <f>IF([2]Baskol!$C$1093="","",[2]Baskol!$C$1093)</f>
        <v/>
      </c>
      <c r="W1090">
        <f>IF([2]Baskol!$D$1093="","",[2]Baskol!$D$1093)</f>
        <v/>
      </c>
      <c r="X1090">
        <f>IF([2]Baskol!$E$1093="","",[2]Baskol!$E$1093)</f>
        <v/>
      </c>
      <c r="Y1090">
        <f>IF([2]Baskol!$G$1093="","",[2]Baskol!$G$1093)</f>
        <v/>
      </c>
      <c r="Z1090">
        <f>IF([2]Baskol!$I$1093="","",[2]Baskol!$I$1093)</f>
        <v/>
      </c>
      <c r="AA1090">
        <f>IF([2]Baskol!$J$1093="","",[2]Baskol!$J$1093)</f>
        <v/>
      </c>
      <c r="AB1090">
        <f>IF([2]Baskol!$K$1093="","",[2]Baskol!$K$1093)</f>
        <v/>
      </c>
      <c r="AC1090">
        <f>IF([2]Baskol!$L$1093="","",[2]Baskol!$L$1093)</f>
        <v/>
      </c>
      <c r="AD1090">
        <f>IF([2]Baskol!$N$1093="","",[2]Baskol!$N$1093)</f>
        <v/>
      </c>
      <c r="AE1090">
        <f>IF([2]Baskol!$O$1093="","",[2]Baskol!$O$1093)</f>
        <v/>
      </c>
      <c r="AG1090">
        <f>IF([3]Entry!$C$1093="","",[3]Entry!$C$1093)</f>
        <v/>
      </c>
      <c r="AH1090">
        <f>IF([3]Entry!$D$1093="","",[3]Entry!$D$1093)</f>
        <v/>
      </c>
      <c r="AI1090">
        <f>IF([3]Entry!$E$1093="","",[3]Entry!$E$1093)</f>
        <v/>
      </c>
      <c r="AJ1090">
        <f>IF([3]Entry!$G$1093="","",[3]Entry!$G$1093)</f>
        <v/>
      </c>
      <c r="AK1090">
        <f>IF([3]Entry!$K$1093="","",[3]Entry!$K$1093)</f>
        <v/>
      </c>
      <c r="AL1090">
        <f>IF([3]Entry!$L$1093="","",[3]Entry!$L$1093)</f>
        <v/>
      </c>
      <c r="AM1090">
        <f>IF([3]Entry!$M$1093="","",[3]Entry!$M$1093)</f>
        <v/>
      </c>
      <c r="AN1090">
        <f>IF([3]Entry!$N$1093="","",[3]Entry!$N$1093)</f>
        <v/>
      </c>
      <c r="AO1090">
        <f>IF([3]Entry!$R$1093="","",[3]Entry!$R$1093)</f>
        <v/>
      </c>
    </row>
    <row r="1091">
      <c r="U1091">
        <f>IF([2]Baskol!$B$1094="","",[2]Baskol!$B$1094)</f>
        <v/>
      </c>
      <c r="V1091">
        <f>IF([2]Baskol!$C$1094="","",[2]Baskol!$C$1094)</f>
        <v/>
      </c>
      <c r="W1091">
        <f>IF([2]Baskol!$D$1094="","",[2]Baskol!$D$1094)</f>
        <v/>
      </c>
      <c r="X1091">
        <f>IF([2]Baskol!$E$1094="","",[2]Baskol!$E$1094)</f>
        <v/>
      </c>
      <c r="Y1091">
        <f>IF([2]Baskol!$G$1094="","",[2]Baskol!$G$1094)</f>
        <v/>
      </c>
      <c r="Z1091">
        <f>IF([2]Baskol!$I$1094="","",[2]Baskol!$I$1094)</f>
        <v/>
      </c>
      <c r="AA1091">
        <f>IF([2]Baskol!$J$1094="","",[2]Baskol!$J$1094)</f>
        <v/>
      </c>
      <c r="AB1091">
        <f>IF([2]Baskol!$K$1094="","",[2]Baskol!$K$1094)</f>
        <v/>
      </c>
      <c r="AC1091">
        <f>IF([2]Baskol!$L$1094="","",[2]Baskol!$L$1094)</f>
        <v/>
      </c>
      <c r="AD1091">
        <f>IF([2]Baskol!$N$1094="","",[2]Baskol!$N$1094)</f>
        <v/>
      </c>
      <c r="AE1091">
        <f>IF([2]Baskol!$O$1094="","",[2]Baskol!$O$1094)</f>
        <v/>
      </c>
      <c r="AG1091">
        <f>IF([3]Entry!$C$1094="","",[3]Entry!$C$1094)</f>
        <v/>
      </c>
      <c r="AH1091">
        <f>IF([3]Entry!$D$1094="","",[3]Entry!$D$1094)</f>
        <v/>
      </c>
      <c r="AI1091">
        <f>IF([3]Entry!$E$1094="","",[3]Entry!$E$1094)</f>
        <v/>
      </c>
      <c r="AJ1091">
        <f>IF([3]Entry!$G$1094="","",[3]Entry!$G$1094)</f>
        <v/>
      </c>
      <c r="AK1091">
        <f>IF([3]Entry!$K$1094="","",[3]Entry!$K$1094)</f>
        <v/>
      </c>
      <c r="AL1091">
        <f>IF([3]Entry!$L$1094="","",[3]Entry!$L$1094)</f>
        <v/>
      </c>
      <c r="AM1091">
        <f>IF([3]Entry!$M$1094="","",[3]Entry!$M$1094)</f>
        <v/>
      </c>
      <c r="AN1091">
        <f>IF([3]Entry!$N$1094="","",[3]Entry!$N$1094)</f>
        <v/>
      </c>
      <c r="AO1091">
        <f>IF([3]Entry!$R$1094="","",[3]Entry!$R$1094)</f>
        <v/>
      </c>
    </row>
    <row r="1092">
      <c r="U1092">
        <f>IF([2]Baskol!$B$1095="","",[2]Baskol!$B$1095)</f>
        <v/>
      </c>
      <c r="V1092">
        <f>IF([2]Baskol!$C$1095="","",[2]Baskol!$C$1095)</f>
        <v/>
      </c>
      <c r="W1092">
        <f>IF([2]Baskol!$D$1095="","",[2]Baskol!$D$1095)</f>
        <v/>
      </c>
      <c r="X1092">
        <f>IF([2]Baskol!$E$1095="","",[2]Baskol!$E$1095)</f>
        <v/>
      </c>
      <c r="Y1092">
        <f>IF([2]Baskol!$G$1095="","",[2]Baskol!$G$1095)</f>
        <v/>
      </c>
      <c r="Z1092">
        <f>IF([2]Baskol!$I$1095="","",[2]Baskol!$I$1095)</f>
        <v/>
      </c>
      <c r="AA1092">
        <f>IF([2]Baskol!$J$1095="","",[2]Baskol!$J$1095)</f>
        <v/>
      </c>
      <c r="AB1092">
        <f>IF([2]Baskol!$K$1095="","",[2]Baskol!$K$1095)</f>
        <v/>
      </c>
      <c r="AC1092">
        <f>IF([2]Baskol!$L$1095="","",[2]Baskol!$L$1095)</f>
        <v/>
      </c>
      <c r="AD1092">
        <f>IF([2]Baskol!$N$1095="","",[2]Baskol!$N$1095)</f>
        <v/>
      </c>
      <c r="AE1092">
        <f>IF([2]Baskol!$O$1095="","",[2]Baskol!$O$1095)</f>
        <v/>
      </c>
      <c r="AG1092">
        <f>IF([3]Entry!$C$1095="","",[3]Entry!$C$1095)</f>
        <v/>
      </c>
      <c r="AH1092">
        <f>IF([3]Entry!$D$1095="","",[3]Entry!$D$1095)</f>
        <v/>
      </c>
      <c r="AI1092">
        <f>IF([3]Entry!$E$1095="","",[3]Entry!$E$1095)</f>
        <v/>
      </c>
      <c r="AJ1092">
        <f>IF([3]Entry!$G$1095="","",[3]Entry!$G$1095)</f>
        <v/>
      </c>
      <c r="AK1092">
        <f>IF([3]Entry!$K$1095="","",[3]Entry!$K$1095)</f>
        <v/>
      </c>
      <c r="AL1092">
        <f>IF([3]Entry!$L$1095="","",[3]Entry!$L$1095)</f>
        <v/>
      </c>
      <c r="AM1092">
        <f>IF([3]Entry!$M$1095="","",[3]Entry!$M$1095)</f>
        <v/>
      </c>
      <c r="AN1092">
        <f>IF([3]Entry!$N$1095="","",[3]Entry!$N$1095)</f>
        <v/>
      </c>
      <c r="AO1092">
        <f>IF([3]Entry!$R$1095="","",[3]Entry!$R$1095)</f>
        <v/>
      </c>
    </row>
    <row r="1093">
      <c r="U1093">
        <f>IF([2]Baskol!$B$1096="","",[2]Baskol!$B$1096)</f>
        <v/>
      </c>
      <c r="V1093">
        <f>IF([2]Baskol!$C$1096="","",[2]Baskol!$C$1096)</f>
        <v/>
      </c>
      <c r="W1093">
        <f>IF([2]Baskol!$D$1096="","",[2]Baskol!$D$1096)</f>
        <v/>
      </c>
      <c r="X1093">
        <f>IF([2]Baskol!$E$1096="","",[2]Baskol!$E$1096)</f>
        <v/>
      </c>
      <c r="Y1093">
        <f>IF([2]Baskol!$G$1096="","",[2]Baskol!$G$1096)</f>
        <v/>
      </c>
      <c r="Z1093">
        <f>IF([2]Baskol!$I$1096="","",[2]Baskol!$I$1096)</f>
        <v/>
      </c>
      <c r="AA1093">
        <f>IF([2]Baskol!$J$1096="","",[2]Baskol!$J$1096)</f>
        <v/>
      </c>
      <c r="AB1093">
        <f>IF([2]Baskol!$K$1096="","",[2]Baskol!$K$1096)</f>
        <v/>
      </c>
      <c r="AC1093">
        <f>IF([2]Baskol!$L$1096="","",[2]Baskol!$L$1096)</f>
        <v/>
      </c>
      <c r="AD1093">
        <f>IF([2]Baskol!$N$1096="","",[2]Baskol!$N$1096)</f>
        <v/>
      </c>
      <c r="AE1093">
        <f>IF([2]Baskol!$O$1096="","",[2]Baskol!$O$1096)</f>
        <v/>
      </c>
      <c r="AG1093">
        <f>IF([3]Entry!$C$1096="","",[3]Entry!$C$1096)</f>
        <v/>
      </c>
      <c r="AH1093">
        <f>IF([3]Entry!$D$1096="","",[3]Entry!$D$1096)</f>
        <v/>
      </c>
      <c r="AI1093">
        <f>IF([3]Entry!$E$1096="","",[3]Entry!$E$1096)</f>
        <v/>
      </c>
      <c r="AJ1093">
        <f>IF([3]Entry!$G$1096="","",[3]Entry!$G$1096)</f>
        <v/>
      </c>
      <c r="AK1093">
        <f>IF([3]Entry!$K$1096="","",[3]Entry!$K$1096)</f>
        <v/>
      </c>
      <c r="AL1093">
        <f>IF([3]Entry!$L$1096="","",[3]Entry!$L$1096)</f>
        <v/>
      </c>
      <c r="AM1093">
        <f>IF([3]Entry!$M$1096="","",[3]Entry!$M$1096)</f>
        <v/>
      </c>
      <c r="AN1093">
        <f>IF([3]Entry!$N$1096="","",[3]Entry!$N$1096)</f>
        <v/>
      </c>
      <c r="AO1093">
        <f>IF([3]Entry!$R$1096="","",[3]Entry!$R$1096)</f>
        <v/>
      </c>
    </row>
    <row r="1094">
      <c r="U1094">
        <f>IF([2]Baskol!$B$1097="","",[2]Baskol!$B$1097)</f>
        <v/>
      </c>
      <c r="V1094">
        <f>IF([2]Baskol!$C$1097="","",[2]Baskol!$C$1097)</f>
        <v/>
      </c>
      <c r="W1094">
        <f>IF([2]Baskol!$D$1097="","",[2]Baskol!$D$1097)</f>
        <v/>
      </c>
      <c r="X1094">
        <f>IF([2]Baskol!$E$1097="","",[2]Baskol!$E$1097)</f>
        <v/>
      </c>
      <c r="Y1094">
        <f>IF([2]Baskol!$G$1097="","",[2]Baskol!$G$1097)</f>
        <v/>
      </c>
      <c r="Z1094">
        <f>IF([2]Baskol!$I$1097="","",[2]Baskol!$I$1097)</f>
        <v/>
      </c>
      <c r="AA1094">
        <f>IF([2]Baskol!$J$1097="","",[2]Baskol!$J$1097)</f>
        <v/>
      </c>
      <c r="AB1094">
        <f>IF([2]Baskol!$K$1097="","",[2]Baskol!$K$1097)</f>
        <v/>
      </c>
      <c r="AC1094">
        <f>IF([2]Baskol!$L$1097="","",[2]Baskol!$L$1097)</f>
        <v/>
      </c>
      <c r="AD1094">
        <f>IF([2]Baskol!$N$1097="","",[2]Baskol!$N$1097)</f>
        <v/>
      </c>
      <c r="AE1094">
        <f>IF([2]Baskol!$O$1097="","",[2]Baskol!$O$1097)</f>
        <v/>
      </c>
      <c r="AG1094">
        <f>IF([3]Entry!$C$1097="","",[3]Entry!$C$1097)</f>
        <v/>
      </c>
      <c r="AH1094">
        <f>IF([3]Entry!$D$1097="","",[3]Entry!$D$1097)</f>
        <v/>
      </c>
      <c r="AI1094">
        <f>IF([3]Entry!$E$1097="","",[3]Entry!$E$1097)</f>
        <v/>
      </c>
      <c r="AJ1094">
        <f>IF([3]Entry!$G$1097="","",[3]Entry!$G$1097)</f>
        <v/>
      </c>
      <c r="AK1094">
        <f>IF([3]Entry!$K$1097="","",[3]Entry!$K$1097)</f>
        <v/>
      </c>
      <c r="AL1094">
        <f>IF([3]Entry!$L$1097="","",[3]Entry!$L$1097)</f>
        <v/>
      </c>
      <c r="AM1094">
        <f>IF([3]Entry!$M$1097="","",[3]Entry!$M$1097)</f>
        <v/>
      </c>
      <c r="AN1094">
        <f>IF([3]Entry!$N$1097="","",[3]Entry!$N$1097)</f>
        <v/>
      </c>
      <c r="AO1094">
        <f>IF([3]Entry!$R$1097="","",[3]Entry!$R$1097)</f>
        <v/>
      </c>
    </row>
    <row r="1095">
      <c r="U1095">
        <f>IF([2]Baskol!$B$1098="","",[2]Baskol!$B$1098)</f>
        <v/>
      </c>
      <c r="V1095">
        <f>IF([2]Baskol!$C$1098="","",[2]Baskol!$C$1098)</f>
        <v/>
      </c>
      <c r="W1095">
        <f>IF([2]Baskol!$D$1098="","",[2]Baskol!$D$1098)</f>
        <v/>
      </c>
      <c r="X1095">
        <f>IF([2]Baskol!$E$1098="","",[2]Baskol!$E$1098)</f>
        <v/>
      </c>
      <c r="Y1095">
        <f>IF([2]Baskol!$G$1098="","",[2]Baskol!$G$1098)</f>
        <v/>
      </c>
      <c r="Z1095">
        <f>IF([2]Baskol!$I$1098="","",[2]Baskol!$I$1098)</f>
        <v/>
      </c>
      <c r="AA1095">
        <f>IF([2]Baskol!$J$1098="","",[2]Baskol!$J$1098)</f>
        <v/>
      </c>
      <c r="AB1095">
        <f>IF([2]Baskol!$K$1098="","",[2]Baskol!$K$1098)</f>
        <v/>
      </c>
      <c r="AC1095">
        <f>IF([2]Baskol!$L$1098="","",[2]Baskol!$L$1098)</f>
        <v/>
      </c>
      <c r="AD1095">
        <f>IF([2]Baskol!$N$1098="","",[2]Baskol!$N$1098)</f>
        <v/>
      </c>
      <c r="AE1095">
        <f>IF([2]Baskol!$O$1098="","",[2]Baskol!$O$1098)</f>
        <v/>
      </c>
      <c r="AG1095">
        <f>IF([3]Entry!$C$1098="","",[3]Entry!$C$1098)</f>
        <v/>
      </c>
      <c r="AH1095">
        <f>IF([3]Entry!$D$1098="","",[3]Entry!$D$1098)</f>
        <v/>
      </c>
      <c r="AI1095">
        <f>IF([3]Entry!$E$1098="","",[3]Entry!$E$1098)</f>
        <v/>
      </c>
      <c r="AJ1095">
        <f>IF([3]Entry!$G$1098="","",[3]Entry!$G$1098)</f>
        <v/>
      </c>
      <c r="AK1095">
        <f>IF([3]Entry!$K$1098="","",[3]Entry!$K$1098)</f>
        <v/>
      </c>
      <c r="AL1095">
        <f>IF([3]Entry!$L$1098="","",[3]Entry!$L$1098)</f>
        <v/>
      </c>
      <c r="AM1095">
        <f>IF([3]Entry!$M$1098="","",[3]Entry!$M$1098)</f>
        <v/>
      </c>
      <c r="AN1095">
        <f>IF([3]Entry!$N$1098="","",[3]Entry!$N$1098)</f>
        <v/>
      </c>
      <c r="AO1095">
        <f>IF([3]Entry!$R$1098="","",[3]Entry!$R$1098)</f>
        <v/>
      </c>
    </row>
    <row r="1096">
      <c r="U1096">
        <f>IF([2]Baskol!$B$1099="","",[2]Baskol!$B$1099)</f>
        <v/>
      </c>
      <c r="V1096">
        <f>IF([2]Baskol!$C$1099="","",[2]Baskol!$C$1099)</f>
        <v/>
      </c>
      <c r="W1096">
        <f>IF([2]Baskol!$D$1099="","",[2]Baskol!$D$1099)</f>
        <v/>
      </c>
      <c r="X1096">
        <f>IF([2]Baskol!$E$1099="","",[2]Baskol!$E$1099)</f>
        <v/>
      </c>
      <c r="Y1096">
        <f>IF([2]Baskol!$G$1099="","",[2]Baskol!$G$1099)</f>
        <v/>
      </c>
      <c r="Z1096">
        <f>IF([2]Baskol!$I$1099="","",[2]Baskol!$I$1099)</f>
        <v/>
      </c>
      <c r="AA1096">
        <f>IF([2]Baskol!$J$1099="","",[2]Baskol!$J$1099)</f>
        <v/>
      </c>
      <c r="AB1096">
        <f>IF([2]Baskol!$K$1099="","",[2]Baskol!$K$1099)</f>
        <v/>
      </c>
      <c r="AC1096">
        <f>IF([2]Baskol!$L$1099="","",[2]Baskol!$L$1099)</f>
        <v/>
      </c>
      <c r="AD1096">
        <f>IF([2]Baskol!$N$1099="","",[2]Baskol!$N$1099)</f>
        <v/>
      </c>
      <c r="AE1096">
        <f>IF([2]Baskol!$O$1099="","",[2]Baskol!$O$1099)</f>
        <v/>
      </c>
      <c r="AG1096">
        <f>IF([3]Entry!$C$1099="","",[3]Entry!$C$1099)</f>
        <v/>
      </c>
      <c r="AH1096">
        <f>IF([3]Entry!$D$1099="","",[3]Entry!$D$1099)</f>
        <v/>
      </c>
      <c r="AI1096">
        <f>IF([3]Entry!$E$1099="","",[3]Entry!$E$1099)</f>
        <v/>
      </c>
      <c r="AJ1096">
        <f>IF([3]Entry!$G$1099="","",[3]Entry!$G$1099)</f>
        <v/>
      </c>
      <c r="AK1096">
        <f>IF([3]Entry!$K$1099="","",[3]Entry!$K$1099)</f>
        <v/>
      </c>
      <c r="AL1096">
        <f>IF([3]Entry!$L$1099="","",[3]Entry!$L$1099)</f>
        <v/>
      </c>
      <c r="AM1096">
        <f>IF([3]Entry!$M$1099="","",[3]Entry!$M$1099)</f>
        <v/>
      </c>
      <c r="AN1096">
        <f>IF([3]Entry!$N$1099="","",[3]Entry!$N$1099)</f>
        <v/>
      </c>
      <c r="AO1096">
        <f>IF([3]Entry!$R$1099="","",[3]Entry!$R$1099)</f>
        <v/>
      </c>
    </row>
    <row r="1097">
      <c r="U1097">
        <f>IF([2]Baskol!$B$1100="","",[2]Baskol!$B$1100)</f>
        <v/>
      </c>
      <c r="V1097">
        <f>IF([2]Baskol!$C$1100="","",[2]Baskol!$C$1100)</f>
        <v/>
      </c>
      <c r="W1097">
        <f>IF([2]Baskol!$D$1100="","",[2]Baskol!$D$1100)</f>
        <v/>
      </c>
      <c r="X1097">
        <f>IF([2]Baskol!$E$1100="","",[2]Baskol!$E$1100)</f>
        <v/>
      </c>
      <c r="Y1097">
        <f>IF([2]Baskol!$G$1100="","",[2]Baskol!$G$1100)</f>
        <v/>
      </c>
      <c r="Z1097">
        <f>IF([2]Baskol!$I$1100="","",[2]Baskol!$I$1100)</f>
        <v/>
      </c>
      <c r="AA1097">
        <f>IF([2]Baskol!$J$1100="","",[2]Baskol!$J$1100)</f>
        <v/>
      </c>
      <c r="AB1097">
        <f>IF([2]Baskol!$K$1100="","",[2]Baskol!$K$1100)</f>
        <v/>
      </c>
      <c r="AC1097">
        <f>IF([2]Baskol!$L$1100="","",[2]Baskol!$L$1100)</f>
        <v/>
      </c>
      <c r="AD1097">
        <f>IF([2]Baskol!$N$1100="","",[2]Baskol!$N$1100)</f>
        <v/>
      </c>
      <c r="AE1097">
        <f>IF([2]Baskol!$O$1100="","",[2]Baskol!$O$1100)</f>
        <v/>
      </c>
      <c r="AG1097">
        <f>IF([3]Entry!$C$1100="","",[3]Entry!$C$1100)</f>
        <v/>
      </c>
      <c r="AH1097">
        <f>IF([3]Entry!$D$1100="","",[3]Entry!$D$1100)</f>
        <v/>
      </c>
      <c r="AI1097">
        <f>IF([3]Entry!$E$1100="","",[3]Entry!$E$1100)</f>
        <v/>
      </c>
      <c r="AJ1097">
        <f>IF([3]Entry!$G$1100="","",[3]Entry!$G$1100)</f>
        <v/>
      </c>
      <c r="AK1097">
        <f>IF([3]Entry!$K$1100="","",[3]Entry!$K$1100)</f>
        <v/>
      </c>
      <c r="AL1097">
        <f>IF([3]Entry!$L$1100="","",[3]Entry!$L$1100)</f>
        <v/>
      </c>
      <c r="AM1097">
        <f>IF([3]Entry!$M$1100="","",[3]Entry!$M$1100)</f>
        <v/>
      </c>
      <c r="AN1097">
        <f>IF([3]Entry!$N$1100="","",[3]Entry!$N$1100)</f>
        <v/>
      </c>
      <c r="AO1097">
        <f>IF([3]Entry!$R$1100="","",[3]Entry!$R$1100)</f>
        <v/>
      </c>
    </row>
    <row r="1098">
      <c r="U1098">
        <f>IF([2]Baskol!$B$1101="","",[2]Baskol!$B$1101)</f>
        <v/>
      </c>
      <c r="V1098">
        <f>IF([2]Baskol!$C$1101="","",[2]Baskol!$C$1101)</f>
        <v/>
      </c>
      <c r="W1098">
        <f>IF([2]Baskol!$D$1101="","",[2]Baskol!$D$1101)</f>
        <v/>
      </c>
      <c r="X1098">
        <f>IF([2]Baskol!$E$1101="","",[2]Baskol!$E$1101)</f>
        <v/>
      </c>
      <c r="Y1098">
        <f>IF([2]Baskol!$G$1101="","",[2]Baskol!$G$1101)</f>
        <v/>
      </c>
      <c r="Z1098">
        <f>IF([2]Baskol!$I$1101="","",[2]Baskol!$I$1101)</f>
        <v/>
      </c>
      <c r="AA1098">
        <f>IF([2]Baskol!$J$1101="","",[2]Baskol!$J$1101)</f>
        <v/>
      </c>
      <c r="AB1098">
        <f>IF([2]Baskol!$K$1101="","",[2]Baskol!$K$1101)</f>
        <v/>
      </c>
      <c r="AC1098">
        <f>IF([2]Baskol!$L$1101="","",[2]Baskol!$L$1101)</f>
        <v/>
      </c>
      <c r="AD1098">
        <f>IF([2]Baskol!$N$1101="","",[2]Baskol!$N$1101)</f>
        <v/>
      </c>
      <c r="AE1098">
        <f>IF([2]Baskol!$O$1101="","",[2]Baskol!$O$1101)</f>
        <v/>
      </c>
      <c r="AG1098">
        <f>IF([3]Entry!$C$1101="","",[3]Entry!$C$1101)</f>
        <v/>
      </c>
      <c r="AH1098">
        <f>IF([3]Entry!$D$1101="","",[3]Entry!$D$1101)</f>
        <v/>
      </c>
      <c r="AI1098">
        <f>IF([3]Entry!$E$1101="","",[3]Entry!$E$1101)</f>
        <v/>
      </c>
      <c r="AJ1098">
        <f>IF([3]Entry!$G$1101="","",[3]Entry!$G$1101)</f>
        <v/>
      </c>
      <c r="AK1098">
        <f>IF([3]Entry!$K$1101="","",[3]Entry!$K$1101)</f>
        <v/>
      </c>
      <c r="AL1098">
        <f>IF([3]Entry!$L$1101="","",[3]Entry!$L$1101)</f>
        <v/>
      </c>
      <c r="AM1098">
        <f>IF([3]Entry!$M$1101="","",[3]Entry!$M$1101)</f>
        <v/>
      </c>
      <c r="AN1098">
        <f>IF([3]Entry!$N$1101="","",[3]Entry!$N$1101)</f>
        <v/>
      </c>
      <c r="AO1098">
        <f>IF([3]Entry!$R$1101="","",[3]Entry!$R$1101)</f>
        <v/>
      </c>
    </row>
    <row r="1099">
      <c r="U1099">
        <f>IF([2]Baskol!$B$1102="","",[2]Baskol!$B$1102)</f>
        <v/>
      </c>
      <c r="V1099">
        <f>IF([2]Baskol!$C$1102="","",[2]Baskol!$C$1102)</f>
        <v/>
      </c>
      <c r="W1099">
        <f>IF([2]Baskol!$D$1102="","",[2]Baskol!$D$1102)</f>
        <v/>
      </c>
      <c r="X1099">
        <f>IF([2]Baskol!$E$1102="","",[2]Baskol!$E$1102)</f>
        <v/>
      </c>
      <c r="Y1099">
        <f>IF([2]Baskol!$G$1102="","",[2]Baskol!$G$1102)</f>
        <v/>
      </c>
      <c r="Z1099">
        <f>IF([2]Baskol!$I$1102="","",[2]Baskol!$I$1102)</f>
        <v/>
      </c>
      <c r="AA1099">
        <f>IF([2]Baskol!$J$1102="","",[2]Baskol!$J$1102)</f>
        <v/>
      </c>
      <c r="AB1099">
        <f>IF([2]Baskol!$K$1102="","",[2]Baskol!$K$1102)</f>
        <v/>
      </c>
      <c r="AC1099">
        <f>IF([2]Baskol!$L$1102="","",[2]Baskol!$L$1102)</f>
        <v/>
      </c>
      <c r="AD1099">
        <f>IF([2]Baskol!$N$1102="","",[2]Baskol!$N$1102)</f>
        <v/>
      </c>
      <c r="AE1099">
        <f>IF([2]Baskol!$O$1102="","",[2]Baskol!$O$1102)</f>
        <v/>
      </c>
      <c r="AG1099">
        <f>IF([3]Entry!$C$1102="","",[3]Entry!$C$1102)</f>
        <v/>
      </c>
      <c r="AH1099">
        <f>IF([3]Entry!$D$1102="","",[3]Entry!$D$1102)</f>
        <v/>
      </c>
      <c r="AI1099">
        <f>IF([3]Entry!$E$1102="","",[3]Entry!$E$1102)</f>
        <v/>
      </c>
      <c r="AJ1099">
        <f>IF([3]Entry!$G$1102="","",[3]Entry!$G$1102)</f>
        <v/>
      </c>
      <c r="AK1099">
        <f>IF([3]Entry!$K$1102="","",[3]Entry!$K$1102)</f>
        <v/>
      </c>
      <c r="AL1099">
        <f>IF([3]Entry!$L$1102="","",[3]Entry!$L$1102)</f>
        <v/>
      </c>
      <c r="AM1099">
        <f>IF([3]Entry!$M$1102="","",[3]Entry!$M$1102)</f>
        <v/>
      </c>
      <c r="AN1099">
        <f>IF([3]Entry!$N$1102="","",[3]Entry!$N$1102)</f>
        <v/>
      </c>
      <c r="AO1099">
        <f>IF([3]Entry!$R$1102="","",[3]Entry!$R$1102)</f>
        <v/>
      </c>
    </row>
    <row r="1100">
      <c r="U1100">
        <f>IF([2]Baskol!$B$1103="","",[2]Baskol!$B$1103)</f>
        <v/>
      </c>
      <c r="V1100">
        <f>IF([2]Baskol!$C$1103="","",[2]Baskol!$C$1103)</f>
        <v/>
      </c>
      <c r="W1100">
        <f>IF([2]Baskol!$D$1103="","",[2]Baskol!$D$1103)</f>
        <v/>
      </c>
      <c r="X1100">
        <f>IF([2]Baskol!$E$1103="","",[2]Baskol!$E$1103)</f>
        <v/>
      </c>
      <c r="Y1100">
        <f>IF([2]Baskol!$G$1103="","",[2]Baskol!$G$1103)</f>
        <v/>
      </c>
      <c r="Z1100">
        <f>IF([2]Baskol!$I$1103="","",[2]Baskol!$I$1103)</f>
        <v/>
      </c>
      <c r="AA1100">
        <f>IF([2]Baskol!$J$1103="","",[2]Baskol!$J$1103)</f>
        <v/>
      </c>
      <c r="AB1100">
        <f>IF([2]Baskol!$K$1103="","",[2]Baskol!$K$1103)</f>
        <v/>
      </c>
      <c r="AC1100">
        <f>IF([2]Baskol!$L$1103="","",[2]Baskol!$L$1103)</f>
        <v/>
      </c>
      <c r="AD1100">
        <f>IF([2]Baskol!$N$1103="","",[2]Baskol!$N$1103)</f>
        <v/>
      </c>
      <c r="AE1100">
        <f>IF([2]Baskol!$O$1103="","",[2]Baskol!$O$1103)</f>
        <v/>
      </c>
      <c r="AG1100">
        <f>IF([3]Entry!$C$1103="","",[3]Entry!$C$1103)</f>
        <v/>
      </c>
      <c r="AH1100">
        <f>IF([3]Entry!$D$1103="","",[3]Entry!$D$1103)</f>
        <v/>
      </c>
      <c r="AI1100">
        <f>IF([3]Entry!$E$1103="","",[3]Entry!$E$1103)</f>
        <v/>
      </c>
      <c r="AJ1100">
        <f>IF([3]Entry!$G$1103="","",[3]Entry!$G$1103)</f>
        <v/>
      </c>
      <c r="AK1100">
        <f>IF([3]Entry!$K$1103="","",[3]Entry!$K$1103)</f>
        <v/>
      </c>
      <c r="AL1100">
        <f>IF([3]Entry!$L$1103="","",[3]Entry!$L$1103)</f>
        <v/>
      </c>
      <c r="AM1100">
        <f>IF([3]Entry!$M$1103="","",[3]Entry!$M$1103)</f>
        <v/>
      </c>
      <c r="AN1100">
        <f>IF([3]Entry!$N$1103="","",[3]Entry!$N$1103)</f>
        <v/>
      </c>
      <c r="AO1100">
        <f>IF([3]Entry!$R$1103="","",[3]Entry!$R$1103)</f>
        <v/>
      </c>
    </row>
    <row r="1101">
      <c r="U1101">
        <f>IF([2]Baskol!$B$1104="","",[2]Baskol!$B$1104)</f>
        <v/>
      </c>
      <c r="V1101">
        <f>IF([2]Baskol!$C$1104="","",[2]Baskol!$C$1104)</f>
        <v/>
      </c>
      <c r="W1101">
        <f>IF([2]Baskol!$D$1104="","",[2]Baskol!$D$1104)</f>
        <v/>
      </c>
      <c r="X1101">
        <f>IF([2]Baskol!$E$1104="","",[2]Baskol!$E$1104)</f>
        <v/>
      </c>
      <c r="Y1101">
        <f>IF([2]Baskol!$G$1104="","",[2]Baskol!$G$1104)</f>
        <v/>
      </c>
      <c r="Z1101">
        <f>IF([2]Baskol!$I$1104="","",[2]Baskol!$I$1104)</f>
        <v/>
      </c>
      <c r="AA1101">
        <f>IF([2]Baskol!$J$1104="","",[2]Baskol!$J$1104)</f>
        <v/>
      </c>
      <c r="AB1101">
        <f>IF([2]Baskol!$K$1104="","",[2]Baskol!$K$1104)</f>
        <v/>
      </c>
      <c r="AC1101">
        <f>IF([2]Baskol!$L$1104="","",[2]Baskol!$L$1104)</f>
        <v/>
      </c>
      <c r="AD1101">
        <f>IF([2]Baskol!$N$1104="","",[2]Baskol!$N$1104)</f>
        <v/>
      </c>
      <c r="AE1101">
        <f>IF([2]Baskol!$O$1104="","",[2]Baskol!$O$1104)</f>
        <v/>
      </c>
      <c r="AG1101">
        <f>IF([3]Entry!$C$1104="","",[3]Entry!$C$1104)</f>
        <v/>
      </c>
      <c r="AH1101">
        <f>IF([3]Entry!$D$1104="","",[3]Entry!$D$1104)</f>
        <v/>
      </c>
      <c r="AI1101">
        <f>IF([3]Entry!$E$1104="","",[3]Entry!$E$1104)</f>
        <v/>
      </c>
      <c r="AJ1101">
        <f>IF([3]Entry!$G$1104="","",[3]Entry!$G$1104)</f>
        <v/>
      </c>
      <c r="AK1101">
        <f>IF([3]Entry!$K$1104="","",[3]Entry!$K$1104)</f>
        <v/>
      </c>
      <c r="AL1101">
        <f>IF([3]Entry!$L$1104="","",[3]Entry!$L$1104)</f>
        <v/>
      </c>
      <c r="AM1101">
        <f>IF([3]Entry!$M$1104="","",[3]Entry!$M$1104)</f>
        <v/>
      </c>
      <c r="AN1101">
        <f>IF([3]Entry!$N$1104="","",[3]Entry!$N$1104)</f>
        <v/>
      </c>
      <c r="AO1101">
        <f>IF([3]Entry!$R$1104="","",[3]Entry!$R$1104)</f>
        <v/>
      </c>
    </row>
    <row r="1102">
      <c r="U1102">
        <f>IF([2]Baskol!$B$1105="","",[2]Baskol!$B$1105)</f>
        <v/>
      </c>
      <c r="V1102">
        <f>IF([2]Baskol!$C$1105="","",[2]Baskol!$C$1105)</f>
        <v/>
      </c>
      <c r="W1102">
        <f>IF([2]Baskol!$D$1105="","",[2]Baskol!$D$1105)</f>
        <v/>
      </c>
      <c r="X1102">
        <f>IF([2]Baskol!$E$1105="","",[2]Baskol!$E$1105)</f>
        <v/>
      </c>
      <c r="Y1102">
        <f>IF([2]Baskol!$G$1105="","",[2]Baskol!$G$1105)</f>
        <v/>
      </c>
      <c r="Z1102">
        <f>IF([2]Baskol!$I$1105="","",[2]Baskol!$I$1105)</f>
        <v/>
      </c>
      <c r="AA1102">
        <f>IF([2]Baskol!$J$1105="","",[2]Baskol!$J$1105)</f>
        <v/>
      </c>
      <c r="AB1102">
        <f>IF([2]Baskol!$K$1105="","",[2]Baskol!$K$1105)</f>
        <v/>
      </c>
      <c r="AC1102">
        <f>IF([2]Baskol!$L$1105="","",[2]Baskol!$L$1105)</f>
        <v/>
      </c>
      <c r="AD1102">
        <f>IF([2]Baskol!$N$1105="","",[2]Baskol!$N$1105)</f>
        <v/>
      </c>
      <c r="AE1102">
        <f>IF([2]Baskol!$O$1105="","",[2]Baskol!$O$1105)</f>
        <v/>
      </c>
      <c r="AG1102">
        <f>IF([3]Entry!$C$1105="","",[3]Entry!$C$1105)</f>
        <v/>
      </c>
      <c r="AH1102">
        <f>IF([3]Entry!$D$1105="","",[3]Entry!$D$1105)</f>
        <v/>
      </c>
      <c r="AI1102">
        <f>IF([3]Entry!$E$1105="","",[3]Entry!$E$1105)</f>
        <v/>
      </c>
      <c r="AJ1102">
        <f>IF([3]Entry!$G$1105="","",[3]Entry!$G$1105)</f>
        <v/>
      </c>
      <c r="AK1102">
        <f>IF([3]Entry!$K$1105="","",[3]Entry!$K$1105)</f>
        <v/>
      </c>
      <c r="AL1102">
        <f>IF([3]Entry!$L$1105="","",[3]Entry!$L$1105)</f>
        <v/>
      </c>
      <c r="AM1102">
        <f>IF([3]Entry!$M$1105="","",[3]Entry!$M$1105)</f>
        <v/>
      </c>
      <c r="AN1102">
        <f>IF([3]Entry!$N$1105="","",[3]Entry!$N$1105)</f>
        <v/>
      </c>
      <c r="AO1102">
        <f>IF([3]Entry!$R$1105="","",[3]Entry!$R$1105)</f>
        <v/>
      </c>
    </row>
    <row r="1103">
      <c r="U1103">
        <f>IF([2]Baskol!$B$1106="","",[2]Baskol!$B$1106)</f>
        <v/>
      </c>
      <c r="V1103">
        <f>IF([2]Baskol!$C$1106="","",[2]Baskol!$C$1106)</f>
        <v/>
      </c>
      <c r="W1103">
        <f>IF([2]Baskol!$D$1106="","",[2]Baskol!$D$1106)</f>
        <v/>
      </c>
      <c r="X1103">
        <f>IF([2]Baskol!$E$1106="","",[2]Baskol!$E$1106)</f>
        <v/>
      </c>
      <c r="Y1103">
        <f>IF([2]Baskol!$G$1106="","",[2]Baskol!$G$1106)</f>
        <v/>
      </c>
      <c r="Z1103">
        <f>IF([2]Baskol!$I$1106="","",[2]Baskol!$I$1106)</f>
        <v/>
      </c>
      <c r="AA1103">
        <f>IF([2]Baskol!$J$1106="","",[2]Baskol!$J$1106)</f>
        <v/>
      </c>
      <c r="AB1103">
        <f>IF([2]Baskol!$K$1106="","",[2]Baskol!$K$1106)</f>
        <v/>
      </c>
      <c r="AC1103">
        <f>IF([2]Baskol!$L$1106="","",[2]Baskol!$L$1106)</f>
        <v/>
      </c>
      <c r="AD1103">
        <f>IF([2]Baskol!$N$1106="","",[2]Baskol!$N$1106)</f>
        <v/>
      </c>
      <c r="AE1103">
        <f>IF([2]Baskol!$O$1106="","",[2]Baskol!$O$1106)</f>
        <v/>
      </c>
      <c r="AG1103">
        <f>IF([3]Entry!$C$1106="","",[3]Entry!$C$1106)</f>
        <v/>
      </c>
      <c r="AH1103">
        <f>IF([3]Entry!$D$1106="","",[3]Entry!$D$1106)</f>
        <v/>
      </c>
      <c r="AI1103">
        <f>IF([3]Entry!$E$1106="","",[3]Entry!$E$1106)</f>
        <v/>
      </c>
      <c r="AJ1103">
        <f>IF([3]Entry!$G$1106="","",[3]Entry!$G$1106)</f>
        <v/>
      </c>
      <c r="AK1103">
        <f>IF([3]Entry!$K$1106="","",[3]Entry!$K$1106)</f>
        <v/>
      </c>
      <c r="AL1103">
        <f>IF([3]Entry!$L$1106="","",[3]Entry!$L$1106)</f>
        <v/>
      </c>
      <c r="AM1103">
        <f>IF([3]Entry!$M$1106="","",[3]Entry!$M$1106)</f>
        <v/>
      </c>
      <c r="AN1103">
        <f>IF([3]Entry!$N$1106="","",[3]Entry!$N$1106)</f>
        <v/>
      </c>
      <c r="AO1103">
        <f>IF([3]Entry!$R$1106="","",[3]Entry!$R$1106)</f>
        <v/>
      </c>
    </row>
    <row r="1104">
      <c r="U1104">
        <f>IF([2]Baskol!$B$1107="","",[2]Baskol!$B$1107)</f>
        <v/>
      </c>
      <c r="V1104">
        <f>IF([2]Baskol!$C$1107="","",[2]Baskol!$C$1107)</f>
        <v/>
      </c>
      <c r="W1104">
        <f>IF([2]Baskol!$D$1107="","",[2]Baskol!$D$1107)</f>
        <v/>
      </c>
      <c r="X1104">
        <f>IF([2]Baskol!$E$1107="","",[2]Baskol!$E$1107)</f>
        <v/>
      </c>
      <c r="Y1104">
        <f>IF([2]Baskol!$G$1107="","",[2]Baskol!$G$1107)</f>
        <v/>
      </c>
      <c r="Z1104">
        <f>IF([2]Baskol!$I$1107="","",[2]Baskol!$I$1107)</f>
        <v/>
      </c>
      <c r="AA1104">
        <f>IF([2]Baskol!$J$1107="","",[2]Baskol!$J$1107)</f>
        <v/>
      </c>
      <c r="AB1104">
        <f>IF([2]Baskol!$K$1107="","",[2]Baskol!$K$1107)</f>
        <v/>
      </c>
      <c r="AC1104">
        <f>IF([2]Baskol!$L$1107="","",[2]Baskol!$L$1107)</f>
        <v/>
      </c>
      <c r="AD1104">
        <f>IF([2]Baskol!$N$1107="","",[2]Baskol!$N$1107)</f>
        <v/>
      </c>
      <c r="AE1104">
        <f>IF([2]Baskol!$O$1107="","",[2]Baskol!$O$1107)</f>
        <v/>
      </c>
      <c r="AG1104">
        <f>IF([3]Entry!$C$1107="","",[3]Entry!$C$1107)</f>
        <v/>
      </c>
      <c r="AH1104">
        <f>IF([3]Entry!$D$1107="","",[3]Entry!$D$1107)</f>
        <v/>
      </c>
      <c r="AI1104">
        <f>IF([3]Entry!$E$1107="","",[3]Entry!$E$1107)</f>
        <v/>
      </c>
      <c r="AJ1104">
        <f>IF([3]Entry!$G$1107="","",[3]Entry!$G$1107)</f>
        <v/>
      </c>
      <c r="AK1104">
        <f>IF([3]Entry!$K$1107="","",[3]Entry!$K$1107)</f>
        <v/>
      </c>
      <c r="AL1104">
        <f>IF([3]Entry!$L$1107="","",[3]Entry!$L$1107)</f>
        <v/>
      </c>
      <c r="AM1104">
        <f>IF([3]Entry!$M$1107="","",[3]Entry!$M$1107)</f>
        <v/>
      </c>
      <c r="AN1104">
        <f>IF([3]Entry!$N$1107="","",[3]Entry!$N$1107)</f>
        <v/>
      </c>
      <c r="AO1104">
        <f>IF([3]Entry!$R$1107="","",[3]Entry!$R$1107)</f>
        <v/>
      </c>
    </row>
    <row r="1105">
      <c r="U1105">
        <f>IF([2]Baskol!$B$1108="","",[2]Baskol!$B$1108)</f>
        <v/>
      </c>
      <c r="V1105">
        <f>IF([2]Baskol!$C$1108="","",[2]Baskol!$C$1108)</f>
        <v/>
      </c>
      <c r="W1105">
        <f>IF([2]Baskol!$D$1108="","",[2]Baskol!$D$1108)</f>
        <v/>
      </c>
      <c r="X1105">
        <f>IF([2]Baskol!$E$1108="","",[2]Baskol!$E$1108)</f>
        <v/>
      </c>
      <c r="Y1105">
        <f>IF([2]Baskol!$G$1108="","",[2]Baskol!$G$1108)</f>
        <v/>
      </c>
      <c r="Z1105">
        <f>IF([2]Baskol!$I$1108="","",[2]Baskol!$I$1108)</f>
        <v/>
      </c>
      <c r="AA1105">
        <f>IF([2]Baskol!$J$1108="","",[2]Baskol!$J$1108)</f>
        <v/>
      </c>
      <c r="AB1105">
        <f>IF([2]Baskol!$K$1108="","",[2]Baskol!$K$1108)</f>
        <v/>
      </c>
      <c r="AC1105">
        <f>IF([2]Baskol!$L$1108="","",[2]Baskol!$L$1108)</f>
        <v/>
      </c>
      <c r="AD1105">
        <f>IF([2]Baskol!$N$1108="","",[2]Baskol!$N$1108)</f>
        <v/>
      </c>
      <c r="AE1105">
        <f>IF([2]Baskol!$O$1108="","",[2]Baskol!$O$1108)</f>
        <v/>
      </c>
      <c r="AG1105">
        <f>IF([3]Entry!$C$1108="","",[3]Entry!$C$1108)</f>
        <v/>
      </c>
      <c r="AH1105">
        <f>IF([3]Entry!$D$1108="","",[3]Entry!$D$1108)</f>
        <v/>
      </c>
      <c r="AI1105">
        <f>IF([3]Entry!$E$1108="","",[3]Entry!$E$1108)</f>
        <v/>
      </c>
      <c r="AJ1105">
        <f>IF([3]Entry!$G$1108="","",[3]Entry!$G$1108)</f>
        <v/>
      </c>
      <c r="AK1105">
        <f>IF([3]Entry!$K$1108="","",[3]Entry!$K$1108)</f>
        <v/>
      </c>
      <c r="AL1105">
        <f>IF([3]Entry!$L$1108="","",[3]Entry!$L$1108)</f>
        <v/>
      </c>
      <c r="AM1105">
        <f>IF([3]Entry!$M$1108="","",[3]Entry!$M$1108)</f>
        <v/>
      </c>
      <c r="AN1105">
        <f>IF([3]Entry!$N$1108="","",[3]Entry!$N$1108)</f>
        <v/>
      </c>
      <c r="AO1105">
        <f>IF([3]Entry!$R$1108="","",[3]Entry!$R$1108)</f>
        <v/>
      </c>
    </row>
    <row r="1106">
      <c r="U1106">
        <f>IF([2]Baskol!$B$1109="","",[2]Baskol!$B$1109)</f>
        <v/>
      </c>
      <c r="V1106">
        <f>IF([2]Baskol!$C$1109="","",[2]Baskol!$C$1109)</f>
        <v/>
      </c>
      <c r="W1106">
        <f>IF([2]Baskol!$D$1109="","",[2]Baskol!$D$1109)</f>
        <v/>
      </c>
      <c r="X1106">
        <f>IF([2]Baskol!$E$1109="","",[2]Baskol!$E$1109)</f>
        <v/>
      </c>
      <c r="Y1106">
        <f>IF([2]Baskol!$G$1109="","",[2]Baskol!$G$1109)</f>
        <v/>
      </c>
      <c r="Z1106">
        <f>IF([2]Baskol!$I$1109="","",[2]Baskol!$I$1109)</f>
        <v/>
      </c>
      <c r="AA1106">
        <f>IF([2]Baskol!$J$1109="","",[2]Baskol!$J$1109)</f>
        <v/>
      </c>
      <c r="AB1106">
        <f>IF([2]Baskol!$K$1109="","",[2]Baskol!$K$1109)</f>
        <v/>
      </c>
      <c r="AC1106">
        <f>IF([2]Baskol!$L$1109="","",[2]Baskol!$L$1109)</f>
        <v/>
      </c>
      <c r="AD1106">
        <f>IF([2]Baskol!$N$1109="","",[2]Baskol!$N$1109)</f>
        <v/>
      </c>
      <c r="AE1106">
        <f>IF([2]Baskol!$O$1109="","",[2]Baskol!$O$1109)</f>
        <v/>
      </c>
      <c r="AG1106">
        <f>IF([3]Entry!$C$1109="","",[3]Entry!$C$1109)</f>
        <v/>
      </c>
      <c r="AH1106">
        <f>IF([3]Entry!$D$1109="","",[3]Entry!$D$1109)</f>
        <v/>
      </c>
      <c r="AI1106">
        <f>IF([3]Entry!$E$1109="","",[3]Entry!$E$1109)</f>
        <v/>
      </c>
      <c r="AJ1106">
        <f>IF([3]Entry!$G$1109="","",[3]Entry!$G$1109)</f>
        <v/>
      </c>
      <c r="AK1106">
        <f>IF([3]Entry!$K$1109="","",[3]Entry!$K$1109)</f>
        <v/>
      </c>
      <c r="AL1106">
        <f>IF([3]Entry!$L$1109="","",[3]Entry!$L$1109)</f>
        <v/>
      </c>
      <c r="AM1106">
        <f>IF([3]Entry!$M$1109="","",[3]Entry!$M$1109)</f>
        <v/>
      </c>
      <c r="AN1106">
        <f>IF([3]Entry!$N$1109="","",[3]Entry!$N$1109)</f>
        <v/>
      </c>
      <c r="AO1106">
        <f>IF([3]Entry!$R$1109="","",[3]Entry!$R$1109)</f>
        <v/>
      </c>
    </row>
    <row r="1107">
      <c r="U1107">
        <f>IF([2]Baskol!$B$1110="","",[2]Baskol!$B$1110)</f>
        <v/>
      </c>
      <c r="V1107">
        <f>IF([2]Baskol!$C$1110="","",[2]Baskol!$C$1110)</f>
        <v/>
      </c>
      <c r="W1107">
        <f>IF([2]Baskol!$D$1110="","",[2]Baskol!$D$1110)</f>
        <v/>
      </c>
      <c r="X1107">
        <f>IF([2]Baskol!$E$1110="","",[2]Baskol!$E$1110)</f>
        <v/>
      </c>
      <c r="Y1107">
        <f>IF([2]Baskol!$G$1110="","",[2]Baskol!$G$1110)</f>
        <v/>
      </c>
      <c r="Z1107">
        <f>IF([2]Baskol!$I$1110="","",[2]Baskol!$I$1110)</f>
        <v/>
      </c>
      <c r="AA1107">
        <f>IF([2]Baskol!$J$1110="","",[2]Baskol!$J$1110)</f>
        <v/>
      </c>
      <c r="AB1107">
        <f>IF([2]Baskol!$K$1110="","",[2]Baskol!$K$1110)</f>
        <v/>
      </c>
      <c r="AC1107">
        <f>IF([2]Baskol!$L$1110="","",[2]Baskol!$L$1110)</f>
        <v/>
      </c>
      <c r="AD1107">
        <f>IF([2]Baskol!$N$1110="","",[2]Baskol!$N$1110)</f>
        <v/>
      </c>
      <c r="AE1107">
        <f>IF([2]Baskol!$O$1110="","",[2]Baskol!$O$1110)</f>
        <v/>
      </c>
      <c r="AG1107">
        <f>IF([3]Entry!$C$1110="","",[3]Entry!$C$1110)</f>
        <v/>
      </c>
      <c r="AH1107">
        <f>IF([3]Entry!$D$1110="","",[3]Entry!$D$1110)</f>
        <v/>
      </c>
      <c r="AI1107">
        <f>IF([3]Entry!$E$1110="","",[3]Entry!$E$1110)</f>
        <v/>
      </c>
      <c r="AJ1107">
        <f>IF([3]Entry!$G$1110="","",[3]Entry!$G$1110)</f>
        <v/>
      </c>
      <c r="AK1107">
        <f>IF([3]Entry!$K$1110="","",[3]Entry!$K$1110)</f>
        <v/>
      </c>
      <c r="AL1107">
        <f>IF([3]Entry!$L$1110="","",[3]Entry!$L$1110)</f>
        <v/>
      </c>
      <c r="AM1107">
        <f>IF([3]Entry!$M$1110="","",[3]Entry!$M$1110)</f>
        <v/>
      </c>
      <c r="AN1107">
        <f>IF([3]Entry!$N$1110="","",[3]Entry!$N$1110)</f>
        <v/>
      </c>
      <c r="AO1107">
        <f>IF([3]Entry!$R$1110="","",[3]Entry!$R$1110)</f>
        <v/>
      </c>
    </row>
    <row r="1108">
      <c r="U1108">
        <f>IF([2]Baskol!$B$1111="","",[2]Baskol!$B$1111)</f>
        <v/>
      </c>
      <c r="V1108">
        <f>IF([2]Baskol!$C$1111="","",[2]Baskol!$C$1111)</f>
        <v/>
      </c>
      <c r="W1108">
        <f>IF([2]Baskol!$D$1111="","",[2]Baskol!$D$1111)</f>
        <v/>
      </c>
      <c r="X1108">
        <f>IF([2]Baskol!$E$1111="","",[2]Baskol!$E$1111)</f>
        <v/>
      </c>
      <c r="Y1108">
        <f>IF([2]Baskol!$G$1111="","",[2]Baskol!$G$1111)</f>
        <v/>
      </c>
      <c r="Z1108">
        <f>IF([2]Baskol!$I$1111="","",[2]Baskol!$I$1111)</f>
        <v/>
      </c>
      <c r="AA1108">
        <f>IF([2]Baskol!$J$1111="","",[2]Baskol!$J$1111)</f>
        <v/>
      </c>
      <c r="AB1108">
        <f>IF([2]Baskol!$K$1111="","",[2]Baskol!$K$1111)</f>
        <v/>
      </c>
      <c r="AC1108">
        <f>IF([2]Baskol!$L$1111="","",[2]Baskol!$L$1111)</f>
        <v/>
      </c>
      <c r="AD1108">
        <f>IF([2]Baskol!$N$1111="","",[2]Baskol!$N$1111)</f>
        <v/>
      </c>
      <c r="AE1108">
        <f>IF([2]Baskol!$O$1111="","",[2]Baskol!$O$1111)</f>
        <v/>
      </c>
      <c r="AG1108">
        <f>IF([3]Entry!$C$1111="","",[3]Entry!$C$1111)</f>
        <v/>
      </c>
      <c r="AH1108">
        <f>IF([3]Entry!$D$1111="","",[3]Entry!$D$1111)</f>
        <v/>
      </c>
      <c r="AI1108">
        <f>IF([3]Entry!$E$1111="","",[3]Entry!$E$1111)</f>
        <v/>
      </c>
      <c r="AJ1108">
        <f>IF([3]Entry!$G$1111="","",[3]Entry!$G$1111)</f>
        <v/>
      </c>
      <c r="AK1108">
        <f>IF([3]Entry!$K$1111="","",[3]Entry!$K$1111)</f>
        <v/>
      </c>
      <c r="AL1108">
        <f>IF([3]Entry!$L$1111="","",[3]Entry!$L$1111)</f>
        <v/>
      </c>
      <c r="AM1108">
        <f>IF([3]Entry!$M$1111="","",[3]Entry!$M$1111)</f>
        <v/>
      </c>
      <c r="AN1108">
        <f>IF([3]Entry!$N$1111="","",[3]Entry!$N$1111)</f>
        <v/>
      </c>
      <c r="AO1108">
        <f>IF([3]Entry!$R$1111="","",[3]Entry!$R$1111)</f>
        <v/>
      </c>
    </row>
    <row r="1109">
      <c r="U1109">
        <f>IF([2]Baskol!$B$1112="","",[2]Baskol!$B$1112)</f>
        <v/>
      </c>
      <c r="V1109">
        <f>IF([2]Baskol!$C$1112="","",[2]Baskol!$C$1112)</f>
        <v/>
      </c>
      <c r="W1109">
        <f>IF([2]Baskol!$D$1112="","",[2]Baskol!$D$1112)</f>
        <v/>
      </c>
      <c r="X1109">
        <f>IF([2]Baskol!$E$1112="","",[2]Baskol!$E$1112)</f>
        <v/>
      </c>
      <c r="Y1109">
        <f>IF([2]Baskol!$G$1112="","",[2]Baskol!$G$1112)</f>
        <v/>
      </c>
      <c r="Z1109">
        <f>IF([2]Baskol!$I$1112="","",[2]Baskol!$I$1112)</f>
        <v/>
      </c>
      <c r="AA1109">
        <f>IF([2]Baskol!$J$1112="","",[2]Baskol!$J$1112)</f>
        <v/>
      </c>
      <c r="AB1109">
        <f>IF([2]Baskol!$K$1112="","",[2]Baskol!$K$1112)</f>
        <v/>
      </c>
      <c r="AC1109">
        <f>IF([2]Baskol!$L$1112="","",[2]Baskol!$L$1112)</f>
        <v/>
      </c>
      <c r="AD1109">
        <f>IF([2]Baskol!$N$1112="","",[2]Baskol!$N$1112)</f>
        <v/>
      </c>
      <c r="AE1109">
        <f>IF([2]Baskol!$O$1112="","",[2]Baskol!$O$1112)</f>
        <v/>
      </c>
      <c r="AG1109">
        <f>IF([3]Entry!$C$1112="","",[3]Entry!$C$1112)</f>
        <v/>
      </c>
      <c r="AH1109">
        <f>IF([3]Entry!$D$1112="","",[3]Entry!$D$1112)</f>
        <v/>
      </c>
      <c r="AI1109">
        <f>IF([3]Entry!$E$1112="","",[3]Entry!$E$1112)</f>
        <v/>
      </c>
      <c r="AJ1109">
        <f>IF([3]Entry!$G$1112="","",[3]Entry!$G$1112)</f>
        <v/>
      </c>
      <c r="AK1109">
        <f>IF([3]Entry!$K$1112="","",[3]Entry!$K$1112)</f>
        <v/>
      </c>
      <c r="AL1109">
        <f>IF([3]Entry!$L$1112="","",[3]Entry!$L$1112)</f>
        <v/>
      </c>
      <c r="AM1109">
        <f>IF([3]Entry!$M$1112="","",[3]Entry!$M$1112)</f>
        <v/>
      </c>
      <c r="AN1109">
        <f>IF([3]Entry!$N$1112="","",[3]Entry!$N$1112)</f>
        <v/>
      </c>
      <c r="AO1109">
        <f>IF([3]Entry!$R$1112="","",[3]Entry!$R$1112)</f>
        <v/>
      </c>
    </row>
    <row r="1110">
      <c r="U1110">
        <f>IF([2]Baskol!$B$1113="","",[2]Baskol!$B$1113)</f>
        <v/>
      </c>
      <c r="V1110">
        <f>IF([2]Baskol!$C$1113="","",[2]Baskol!$C$1113)</f>
        <v/>
      </c>
      <c r="W1110">
        <f>IF([2]Baskol!$D$1113="","",[2]Baskol!$D$1113)</f>
        <v/>
      </c>
      <c r="X1110">
        <f>IF([2]Baskol!$E$1113="","",[2]Baskol!$E$1113)</f>
        <v/>
      </c>
      <c r="Y1110">
        <f>IF([2]Baskol!$G$1113="","",[2]Baskol!$G$1113)</f>
        <v/>
      </c>
      <c r="Z1110">
        <f>IF([2]Baskol!$I$1113="","",[2]Baskol!$I$1113)</f>
        <v/>
      </c>
      <c r="AA1110">
        <f>IF([2]Baskol!$J$1113="","",[2]Baskol!$J$1113)</f>
        <v/>
      </c>
      <c r="AB1110">
        <f>IF([2]Baskol!$K$1113="","",[2]Baskol!$K$1113)</f>
        <v/>
      </c>
      <c r="AC1110">
        <f>IF([2]Baskol!$L$1113="","",[2]Baskol!$L$1113)</f>
        <v/>
      </c>
      <c r="AD1110">
        <f>IF([2]Baskol!$N$1113="","",[2]Baskol!$N$1113)</f>
        <v/>
      </c>
      <c r="AE1110">
        <f>IF([2]Baskol!$O$1113="","",[2]Baskol!$O$1113)</f>
        <v/>
      </c>
      <c r="AG1110">
        <f>IF([3]Entry!$C$1113="","",[3]Entry!$C$1113)</f>
        <v/>
      </c>
      <c r="AH1110">
        <f>IF([3]Entry!$D$1113="","",[3]Entry!$D$1113)</f>
        <v/>
      </c>
      <c r="AI1110">
        <f>IF([3]Entry!$E$1113="","",[3]Entry!$E$1113)</f>
        <v/>
      </c>
      <c r="AJ1110">
        <f>IF([3]Entry!$G$1113="","",[3]Entry!$G$1113)</f>
        <v/>
      </c>
      <c r="AK1110">
        <f>IF([3]Entry!$K$1113="","",[3]Entry!$K$1113)</f>
        <v/>
      </c>
      <c r="AL1110">
        <f>IF([3]Entry!$L$1113="","",[3]Entry!$L$1113)</f>
        <v/>
      </c>
      <c r="AM1110">
        <f>IF([3]Entry!$M$1113="","",[3]Entry!$M$1113)</f>
        <v/>
      </c>
      <c r="AN1110">
        <f>IF([3]Entry!$N$1113="","",[3]Entry!$N$1113)</f>
        <v/>
      </c>
      <c r="AO1110">
        <f>IF([3]Entry!$R$1113="","",[3]Entry!$R$1113)</f>
        <v/>
      </c>
    </row>
    <row r="1111">
      <c r="U1111">
        <f>IF([2]Baskol!$B$1114="","",[2]Baskol!$B$1114)</f>
        <v/>
      </c>
      <c r="V1111">
        <f>IF([2]Baskol!$C$1114="","",[2]Baskol!$C$1114)</f>
        <v/>
      </c>
      <c r="W1111">
        <f>IF([2]Baskol!$D$1114="","",[2]Baskol!$D$1114)</f>
        <v/>
      </c>
      <c r="X1111">
        <f>IF([2]Baskol!$E$1114="","",[2]Baskol!$E$1114)</f>
        <v/>
      </c>
      <c r="Y1111">
        <f>IF([2]Baskol!$G$1114="","",[2]Baskol!$G$1114)</f>
        <v/>
      </c>
      <c r="Z1111">
        <f>IF([2]Baskol!$I$1114="","",[2]Baskol!$I$1114)</f>
        <v/>
      </c>
      <c r="AA1111">
        <f>IF([2]Baskol!$J$1114="","",[2]Baskol!$J$1114)</f>
        <v/>
      </c>
      <c r="AB1111">
        <f>IF([2]Baskol!$K$1114="","",[2]Baskol!$K$1114)</f>
        <v/>
      </c>
      <c r="AC1111">
        <f>IF([2]Baskol!$L$1114="","",[2]Baskol!$L$1114)</f>
        <v/>
      </c>
      <c r="AD1111">
        <f>IF([2]Baskol!$N$1114="","",[2]Baskol!$N$1114)</f>
        <v/>
      </c>
      <c r="AE1111">
        <f>IF([2]Baskol!$O$1114="","",[2]Baskol!$O$1114)</f>
        <v/>
      </c>
      <c r="AG1111">
        <f>IF([3]Entry!$C$1114="","",[3]Entry!$C$1114)</f>
        <v/>
      </c>
      <c r="AH1111">
        <f>IF([3]Entry!$D$1114="","",[3]Entry!$D$1114)</f>
        <v/>
      </c>
      <c r="AI1111">
        <f>IF([3]Entry!$E$1114="","",[3]Entry!$E$1114)</f>
        <v/>
      </c>
      <c r="AJ1111">
        <f>IF([3]Entry!$G$1114="","",[3]Entry!$G$1114)</f>
        <v/>
      </c>
      <c r="AK1111">
        <f>IF([3]Entry!$K$1114="","",[3]Entry!$K$1114)</f>
        <v/>
      </c>
      <c r="AL1111">
        <f>IF([3]Entry!$L$1114="","",[3]Entry!$L$1114)</f>
        <v/>
      </c>
      <c r="AM1111">
        <f>IF([3]Entry!$M$1114="","",[3]Entry!$M$1114)</f>
        <v/>
      </c>
      <c r="AN1111">
        <f>IF([3]Entry!$N$1114="","",[3]Entry!$N$1114)</f>
        <v/>
      </c>
      <c r="AO1111">
        <f>IF([3]Entry!$R$1114="","",[3]Entry!$R$1114)</f>
        <v/>
      </c>
    </row>
    <row r="1112">
      <c r="U1112">
        <f>IF([2]Baskol!$B$1115="","",[2]Baskol!$B$1115)</f>
        <v/>
      </c>
      <c r="V1112">
        <f>IF([2]Baskol!$C$1115="","",[2]Baskol!$C$1115)</f>
        <v/>
      </c>
      <c r="W1112">
        <f>IF([2]Baskol!$D$1115="","",[2]Baskol!$D$1115)</f>
        <v/>
      </c>
      <c r="X1112">
        <f>IF([2]Baskol!$E$1115="","",[2]Baskol!$E$1115)</f>
        <v/>
      </c>
      <c r="Y1112">
        <f>IF([2]Baskol!$G$1115="","",[2]Baskol!$G$1115)</f>
        <v/>
      </c>
      <c r="Z1112">
        <f>IF([2]Baskol!$I$1115="","",[2]Baskol!$I$1115)</f>
        <v/>
      </c>
      <c r="AA1112">
        <f>IF([2]Baskol!$J$1115="","",[2]Baskol!$J$1115)</f>
        <v/>
      </c>
      <c r="AB1112">
        <f>IF([2]Baskol!$K$1115="","",[2]Baskol!$K$1115)</f>
        <v/>
      </c>
      <c r="AC1112">
        <f>IF([2]Baskol!$L$1115="","",[2]Baskol!$L$1115)</f>
        <v/>
      </c>
      <c r="AD1112">
        <f>IF([2]Baskol!$N$1115="","",[2]Baskol!$N$1115)</f>
        <v/>
      </c>
      <c r="AE1112">
        <f>IF([2]Baskol!$O$1115="","",[2]Baskol!$O$1115)</f>
        <v/>
      </c>
      <c r="AG1112">
        <f>IF([3]Entry!$C$1115="","",[3]Entry!$C$1115)</f>
        <v/>
      </c>
      <c r="AH1112">
        <f>IF([3]Entry!$D$1115="","",[3]Entry!$D$1115)</f>
        <v/>
      </c>
      <c r="AI1112">
        <f>IF([3]Entry!$E$1115="","",[3]Entry!$E$1115)</f>
        <v/>
      </c>
      <c r="AJ1112">
        <f>IF([3]Entry!$G$1115="","",[3]Entry!$G$1115)</f>
        <v/>
      </c>
      <c r="AK1112">
        <f>IF([3]Entry!$K$1115="","",[3]Entry!$K$1115)</f>
        <v/>
      </c>
      <c r="AL1112">
        <f>IF([3]Entry!$L$1115="","",[3]Entry!$L$1115)</f>
        <v/>
      </c>
      <c r="AM1112">
        <f>IF([3]Entry!$M$1115="","",[3]Entry!$M$1115)</f>
        <v/>
      </c>
      <c r="AN1112">
        <f>IF([3]Entry!$N$1115="","",[3]Entry!$N$1115)</f>
        <v/>
      </c>
      <c r="AO1112">
        <f>IF([3]Entry!$R$1115="","",[3]Entry!$R$1115)</f>
        <v/>
      </c>
    </row>
    <row r="1113">
      <c r="U1113">
        <f>IF([2]Baskol!$B$1116="","",[2]Baskol!$B$1116)</f>
        <v/>
      </c>
      <c r="V1113">
        <f>IF([2]Baskol!$C$1116="","",[2]Baskol!$C$1116)</f>
        <v/>
      </c>
      <c r="W1113">
        <f>IF([2]Baskol!$D$1116="","",[2]Baskol!$D$1116)</f>
        <v/>
      </c>
      <c r="X1113">
        <f>IF([2]Baskol!$E$1116="","",[2]Baskol!$E$1116)</f>
        <v/>
      </c>
      <c r="Y1113">
        <f>IF([2]Baskol!$G$1116="","",[2]Baskol!$G$1116)</f>
        <v/>
      </c>
      <c r="Z1113">
        <f>IF([2]Baskol!$I$1116="","",[2]Baskol!$I$1116)</f>
        <v/>
      </c>
      <c r="AA1113">
        <f>IF([2]Baskol!$J$1116="","",[2]Baskol!$J$1116)</f>
        <v/>
      </c>
      <c r="AB1113">
        <f>IF([2]Baskol!$K$1116="","",[2]Baskol!$K$1116)</f>
        <v/>
      </c>
      <c r="AC1113">
        <f>IF([2]Baskol!$L$1116="","",[2]Baskol!$L$1116)</f>
        <v/>
      </c>
      <c r="AD1113">
        <f>IF([2]Baskol!$N$1116="","",[2]Baskol!$N$1116)</f>
        <v/>
      </c>
      <c r="AE1113">
        <f>IF([2]Baskol!$O$1116="","",[2]Baskol!$O$1116)</f>
        <v/>
      </c>
      <c r="AG1113">
        <f>IF([3]Entry!$C$1116="","",[3]Entry!$C$1116)</f>
        <v/>
      </c>
      <c r="AH1113">
        <f>IF([3]Entry!$D$1116="","",[3]Entry!$D$1116)</f>
        <v/>
      </c>
      <c r="AI1113">
        <f>IF([3]Entry!$E$1116="","",[3]Entry!$E$1116)</f>
        <v/>
      </c>
      <c r="AJ1113">
        <f>IF([3]Entry!$G$1116="","",[3]Entry!$G$1116)</f>
        <v/>
      </c>
      <c r="AK1113">
        <f>IF([3]Entry!$K$1116="","",[3]Entry!$K$1116)</f>
        <v/>
      </c>
      <c r="AL1113">
        <f>IF([3]Entry!$L$1116="","",[3]Entry!$L$1116)</f>
        <v/>
      </c>
      <c r="AM1113">
        <f>IF([3]Entry!$M$1116="","",[3]Entry!$M$1116)</f>
        <v/>
      </c>
      <c r="AN1113">
        <f>IF([3]Entry!$N$1116="","",[3]Entry!$N$1116)</f>
        <v/>
      </c>
      <c r="AO1113">
        <f>IF([3]Entry!$R$1116="","",[3]Entry!$R$1116)</f>
        <v/>
      </c>
    </row>
    <row r="1114">
      <c r="U1114">
        <f>IF([2]Baskol!$B$1117="","",[2]Baskol!$B$1117)</f>
        <v/>
      </c>
      <c r="V1114">
        <f>IF([2]Baskol!$C$1117="","",[2]Baskol!$C$1117)</f>
        <v/>
      </c>
      <c r="W1114">
        <f>IF([2]Baskol!$D$1117="","",[2]Baskol!$D$1117)</f>
        <v/>
      </c>
      <c r="X1114">
        <f>IF([2]Baskol!$E$1117="","",[2]Baskol!$E$1117)</f>
        <v/>
      </c>
      <c r="Y1114">
        <f>IF([2]Baskol!$G$1117="","",[2]Baskol!$G$1117)</f>
        <v/>
      </c>
      <c r="Z1114">
        <f>IF([2]Baskol!$I$1117="","",[2]Baskol!$I$1117)</f>
        <v/>
      </c>
      <c r="AA1114">
        <f>IF([2]Baskol!$J$1117="","",[2]Baskol!$J$1117)</f>
        <v/>
      </c>
      <c r="AB1114">
        <f>IF([2]Baskol!$K$1117="","",[2]Baskol!$K$1117)</f>
        <v/>
      </c>
      <c r="AC1114">
        <f>IF([2]Baskol!$L$1117="","",[2]Baskol!$L$1117)</f>
        <v/>
      </c>
      <c r="AD1114">
        <f>IF([2]Baskol!$N$1117="","",[2]Baskol!$N$1117)</f>
        <v/>
      </c>
      <c r="AE1114">
        <f>IF([2]Baskol!$O$1117="","",[2]Baskol!$O$1117)</f>
        <v/>
      </c>
      <c r="AG1114">
        <f>IF([3]Entry!$C$1117="","",[3]Entry!$C$1117)</f>
        <v/>
      </c>
      <c r="AH1114">
        <f>IF([3]Entry!$D$1117="","",[3]Entry!$D$1117)</f>
        <v/>
      </c>
      <c r="AI1114">
        <f>IF([3]Entry!$E$1117="","",[3]Entry!$E$1117)</f>
        <v/>
      </c>
      <c r="AJ1114">
        <f>IF([3]Entry!$G$1117="","",[3]Entry!$G$1117)</f>
        <v/>
      </c>
      <c r="AK1114">
        <f>IF([3]Entry!$K$1117="","",[3]Entry!$K$1117)</f>
        <v/>
      </c>
      <c r="AL1114">
        <f>IF([3]Entry!$L$1117="","",[3]Entry!$L$1117)</f>
        <v/>
      </c>
      <c r="AM1114">
        <f>IF([3]Entry!$M$1117="","",[3]Entry!$M$1117)</f>
        <v/>
      </c>
      <c r="AN1114">
        <f>IF([3]Entry!$N$1117="","",[3]Entry!$N$1117)</f>
        <v/>
      </c>
      <c r="AO1114">
        <f>IF([3]Entry!$R$1117="","",[3]Entry!$R$1117)</f>
        <v/>
      </c>
    </row>
    <row r="1115">
      <c r="U1115">
        <f>IF([2]Baskol!$B$1118="","",[2]Baskol!$B$1118)</f>
        <v/>
      </c>
      <c r="V1115">
        <f>IF([2]Baskol!$C$1118="","",[2]Baskol!$C$1118)</f>
        <v/>
      </c>
      <c r="W1115">
        <f>IF([2]Baskol!$D$1118="","",[2]Baskol!$D$1118)</f>
        <v/>
      </c>
      <c r="X1115">
        <f>IF([2]Baskol!$E$1118="","",[2]Baskol!$E$1118)</f>
        <v/>
      </c>
      <c r="Y1115">
        <f>IF([2]Baskol!$G$1118="","",[2]Baskol!$G$1118)</f>
        <v/>
      </c>
      <c r="Z1115">
        <f>IF([2]Baskol!$I$1118="","",[2]Baskol!$I$1118)</f>
        <v/>
      </c>
      <c r="AA1115">
        <f>IF([2]Baskol!$J$1118="","",[2]Baskol!$J$1118)</f>
        <v/>
      </c>
      <c r="AB1115">
        <f>IF([2]Baskol!$K$1118="","",[2]Baskol!$K$1118)</f>
        <v/>
      </c>
      <c r="AC1115">
        <f>IF([2]Baskol!$L$1118="","",[2]Baskol!$L$1118)</f>
        <v/>
      </c>
      <c r="AD1115">
        <f>IF([2]Baskol!$N$1118="","",[2]Baskol!$N$1118)</f>
        <v/>
      </c>
      <c r="AE1115">
        <f>IF([2]Baskol!$O$1118="","",[2]Baskol!$O$1118)</f>
        <v/>
      </c>
      <c r="AG1115">
        <f>IF([3]Entry!$C$1118="","",[3]Entry!$C$1118)</f>
        <v/>
      </c>
      <c r="AH1115">
        <f>IF([3]Entry!$D$1118="","",[3]Entry!$D$1118)</f>
        <v/>
      </c>
      <c r="AI1115">
        <f>IF([3]Entry!$E$1118="","",[3]Entry!$E$1118)</f>
        <v/>
      </c>
      <c r="AJ1115">
        <f>IF([3]Entry!$G$1118="","",[3]Entry!$G$1118)</f>
        <v/>
      </c>
      <c r="AK1115">
        <f>IF([3]Entry!$K$1118="","",[3]Entry!$K$1118)</f>
        <v/>
      </c>
      <c r="AL1115">
        <f>IF([3]Entry!$L$1118="","",[3]Entry!$L$1118)</f>
        <v/>
      </c>
      <c r="AM1115">
        <f>IF([3]Entry!$M$1118="","",[3]Entry!$M$1118)</f>
        <v/>
      </c>
      <c r="AN1115">
        <f>IF([3]Entry!$N$1118="","",[3]Entry!$N$1118)</f>
        <v/>
      </c>
      <c r="AO1115">
        <f>IF([3]Entry!$R$1118="","",[3]Entry!$R$1118)</f>
        <v/>
      </c>
    </row>
    <row r="1116">
      <c r="U1116">
        <f>IF([2]Baskol!$B$1119="","",[2]Baskol!$B$1119)</f>
        <v/>
      </c>
      <c r="V1116">
        <f>IF([2]Baskol!$C$1119="","",[2]Baskol!$C$1119)</f>
        <v/>
      </c>
      <c r="W1116">
        <f>IF([2]Baskol!$D$1119="","",[2]Baskol!$D$1119)</f>
        <v/>
      </c>
      <c r="X1116">
        <f>IF([2]Baskol!$E$1119="","",[2]Baskol!$E$1119)</f>
        <v/>
      </c>
      <c r="Y1116">
        <f>IF([2]Baskol!$G$1119="","",[2]Baskol!$G$1119)</f>
        <v/>
      </c>
      <c r="Z1116">
        <f>IF([2]Baskol!$I$1119="","",[2]Baskol!$I$1119)</f>
        <v/>
      </c>
      <c r="AA1116">
        <f>IF([2]Baskol!$J$1119="","",[2]Baskol!$J$1119)</f>
        <v/>
      </c>
      <c r="AB1116">
        <f>IF([2]Baskol!$K$1119="","",[2]Baskol!$K$1119)</f>
        <v/>
      </c>
      <c r="AC1116">
        <f>IF([2]Baskol!$L$1119="","",[2]Baskol!$L$1119)</f>
        <v/>
      </c>
      <c r="AD1116">
        <f>IF([2]Baskol!$N$1119="","",[2]Baskol!$N$1119)</f>
        <v/>
      </c>
      <c r="AE1116">
        <f>IF([2]Baskol!$O$1119="","",[2]Baskol!$O$1119)</f>
        <v/>
      </c>
      <c r="AG1116">
        <f>IF([3]Entry!$C$1119="","",[3]Entry!$C$1119)</f>
        <v/>
      </c>
      <c r="AH1116">
        <f>IF([3]Entry!$D$1119="","",[3]Entry!$D$1119)</f>
        <v/>
      </c>
      <c r="AI1116">
        <f>IF([3]Entry!$E$1119="","",[3]Entry!$E$1119)</f>
        <v/>
      </c>
      <c r="AJ1116">
        <f>IF([3]Entry!$G$1119="","",[3]Entry!$G$1119)</f>
        <v/>
      </c>
      <c r="AK1116">
        <f>IF([3]Entry!$K$1119="","",[3]Entry!$K$1119)</f>
        <v/>
      </c>
      <c r="AL1116">
        <f>IF([3]Entry!$L$1119="","",[3]Entry!$L$1119)</f>
        <v/>
      </c>
      <c r="AM1116">
        <f>IF([3]Entry!$M$1119="","",[3]Entry!$M$1119)</f>
        <v/>
      </c>
      <c r="AN1116">
        <f>IF([3]Entry!$N$1119="","",[3]Entry!$N$1119)</f>
        <v/>
      </c>
      <c r="AO1116">
        <f>IF([3]Entry!$R$1119="","",[3]Entry!$R$1119)</f>
        <v/>
      </c>
    </row>
    <row r="1117">
      <c r="U1117">
        <f>IF([2]Baskol!$B$1120="","",[2]Baskol!$B$1120)</f>
        <v/>
      </c>
      <c r="V1117">
        <f>IF([2]Baskol!$C$1120="","",[2]Baskol!$C$1120)</f>
        <v/>
      </c>
      <c r="W1117">
        <f>IF([2]Baskol!$D$1120="","",[2]Baskol!$D$1120)</f>
        <v/>
      </c>
      <c r="X1117">
        <f>IF([2]Baskol!$E$1120="","",[2]Baskol!$E$1120)</f>
        <v/>
      </c>
      <c r="Y1117">
        <f>IF([2]Baskol!$G$1120="","",[2]Baskol!$G$1120)</f>
        <v/>
      </c>
      <c r="Z1117">
        <f>IF([2]Baskol!$I$1120="","",[2]Baskol!$I$1120)</f>
        <v/>
      </c>
      <c r="AA1117">
        <f>IF([2]Baskol!$J$1120="","",[2]Baskol!$J$1120)</f>
        <v/>
      </c>
      <c r="AB1117">
        <f>IF([2]Baskol!$K$1120="","",[2]Baskol!$K$1120)</f>
        <v/>
      </c>
      <c r="AC1117">
        <f>IF([2]Baskol!$L$1120="","",[2]Baskol!$L$1120)</f>
        <v/>
      </c>
      <c r="AD1117">
        <f>IF([2]Baskol!$N$1120="","",[2]Baskol!$N$1120)</f>
        <v/>
      </c>
      <c r="AE1117">
        <f>IF([2]Baskol!$O$1120="","",[2]Baskol!$O$1120)</f>
        <v/>
      </c>
      <c r="AG1117">
        <f>IF([3]Entry!$C$1120="","",[3]Entry!$C$1120)</f>
        <v/>
      </c>
      <c r="AH1117">
        <f>IF([3]Entry!$D$1120="","",[3]Entry!$D$1120)</f>
        <v/>
      </c>
      <c r="AI1117">
        <f>IF([3]Entry!$E$1120="","",[3]Entry!$E$1120)</f>
        <v/>
      </c>
      <c r="AJ1117">
        <f>IF([3]Entry!$G$1120="","",[3]Entry!$G$1120)</f>
        <v/>
      </c>
      <c r="AK1117">
        <f>IF([3]Entry!$K$1120="","",[3]Entry!$K$1120)</f>
        <v/>
      </c>
      <c r="AL1117">
        <f>IF([3]Entry!$L$1120="","",[3]Entry!$L$1120)</f>
        <v/>
      </c>
      <c r="AM1117">
        <f>IF([3]Entry!$M$1120="","",[3]Entry!$M$1120)</f>
        <v/>
      </c>
      <c r="AN1117">
        <f>IF([3]Entry!$N$1120="","",[3]Entry!$N$1120)</f>
        <v/>
      </c>
      <c r="AO1117">
        <f>IF([3]Entry!$R$1120="","",[3]Entry!$R$1120)</f>
        <v/>
      </c>
    </row>
    <row r="1118">
      <c r="U1118">
        <f>IF([2]Baskol!$B$1121="","",[2]Baskol!$B$1121)</f>
        <v/>
      </c>
      <c r="V1118">
        <f>IF([2]Baskol!$C$1121="","",[2]Baskol!$C$1121)</f>
        <v/>
      </c>
      <c r="W1118">
        <f>IF([2]Baskol!$D$1121="","",[2]Baskol!$D$1121)</f>
        <v/>
      </c>
      <c r="X1118">
        <f>IF([2]Baskol!$E$1121="","",[2]Baskol!$E$1121)</f>
        <v/>
      </c>
      <c r="Y1118">
        <f>IF([2]Baskol!$G$1121="","",[2]Baskol!$G$1121)</f>
        <v/>
      </c>
      <c r="Z1118">
        <f>IF([2]Baskol!$I$1121="","",[2]Baskol!$I$1121)</f>
        <v/>
      </c>
      <c r="AA1118">
        <f>IF([2]Baskol!$J$1121="","",[2]Baskol!$J$1121)</f>
        <v/>
      </c>
      <c r="AB1118">
        <f>IF([2]Baskol!$K$1121="","",[2]Baskol!$K$1121)</f>
        <v/>
      </c>
      <c r="AC1118">
        <f>IF([2]Baskol!$L$1121="","",[2]Baskol!$L$1121)</f>
        <v/>
      </c>
      <c r="AD1118">
        <f>IF([2]Baskol!$N$1121="","",[2]Baskol!$N$1121)</f>
        <v/>
      </c>
      <c r="AE1118">
        <f>IF([2]Baskol!$O$1121="","",[2]Baskol!$O$1121)</f>
        <v/>
      </c>
      <c r="AG1118">
        <f>IF([3]Entry!$C$1121="","",[3]Entry!$C$1121)</f>
        <v/>
      </c>
      <c r="AH1118">
        <f>IF([3]Entry!$D$1121="","",[3]Entry!$D$1121)</f>
        <v/>
      </c>
      <c r="AI1118">
        <f>IF([3]Entry!$E$1121="","",[3]Entry!$E$1121)</f>
        <v/>
      </c>
      <c r="AJ1118">
        <f>IF([3]Entry!$G$1121="","",[3]Entry!$G$1121)</f>
        <v/>
      </c>
      <c r="AK1118">
        <f>IF([3]Entry!$K$1121="","",[3]Entry!$K$1121)</f>
        <v/>
      </c>
      <c r="AL1118">
        <f>IF([3]Entry!$L$1121="","",[3]Entry!$L$1121)</f>
        <v/>
      </c>
      <c r="AM1118">
        <f>IF([3]Entry!$M$1121="","",[3]Entry!$M$1121)</f>
        <v/>
      </c>
      <c r="AN1118">
        <f>IF([3]Entry!$N$1121="","",[3]Entry!$N$1121)</f>
        <v/>
      </c>
      <c r="AO1118">
        <f>IF([3]Entry!$R$1121="","",[3]Entry!$R$1121)</f>
        <v/>
      </c>
    </row>
    <row r="1119">
      <c r="U1119">
        <f>IF([2]Baskol!$B$1122="","",[2]Baskol!$B$1122)</f>
        <v/>
      </c>
      <c r="V1119">
        <f>IF([2]Baskol!$C$1122="","",[2]Baskol!$C$1122)</f>
        <v/>
      </c>
      <c r="W1119">
        <f>IF([2]Baskol!$D$1122="","",[2]Baskol!$D$1122)</f>
        <v/>
      </c>
      <c r="X1119">
        <f>IF([2]Baskol!$E$1122="","",[2]Baskol!$E$1122)</f>
        <v/>
      </c>
      <c r="Y1119">
        <f>IF([2]Baskol!$G$1122="","",[2]Baskol!$G$1122)</f>
        <v/>
      </c>
      <c r="Z1119">
        <f>IF([2]Baskol!$I$1122="","",[2]Baskol!$I$1122)</f>
        <v/>
      </c>
      <c r="AA1119">
        <f>IF([2]Baskol!$J$1122="","",[2]Baskol!$J$1122)</f>
        <v/>
      </c>
      <c r="AB1119">
        <f>IF([2]Baskol!$K$1122="","",[2]Baskol!$K$1122)</f>
        <v/>
      </c>
      <c r="AC1119">
        <f>IF([2]Baskol!$L$1122="","",[2]Baskol!$L$1122)</f>
        <v/>
      </c>
      <c r="AD1119">
        <f>IF([2]Baskol!$N$1122="","",[2]Baskol!$N$1122)</f>
        <v/>
      </c>
      <c r="AE1119">
        <f>IF([2]Baskol!$O$1122="","",[2]Baskol!$O$1122)</f>
        <v/>
      </c>
      <c r="AG1119">
        <f>IF([3]Entry!$C$1122="","",[3]Entry!$C$1122)</f>
        <v/>
      </c>
      <c r="AH1119">
        <f>IF([3]Entry!$D$1122="","",[3]Entry!$D$1122)</f>
        <v/>
      </c>
      <c r="AI1119">
        <f>IF([3]Entry!$E$1122="","",[3]Entry!$E$1122)</f>
        <v/>
      </c>
      <c r="AJ1119">
        <f>IF([3]Entry!$G$1122="","",[3]Entry!$G$1122)</f>
        <v/>
      </c>
      <c r="AK1119">
        <f>IF([3]Entry!$K$1122="","",[3]Entry!$K$1122)</f>
        <v/>
      </c>
      <c r="AL1119">
        <f>IF([3]Entry!$L$1122="","",[3]Entry!$L$1122)</f>
        <v/>
      </c>
      <c r="AM1119">
        <f>IF([3]Entry!$M$1122="","",[3]Entry!$M$1122)</f>
        <v/>
      </c>
      <c r="AN1119">
        <f>IF([3]Entry!$N$1122="","",[3]Entry!$N$1122)</f>
        <v/>
      </c>
      <c r="AO1119">
        <f>IF([3]Entry!$R$1122="","",[3]Entry!$R$1122)</f>
        <v/>
      </c>
    </row>
    <row r="1120">
      <c r="U1120">
        <f>IF([2]Baskol!$B$1123="","",[2]Baskol!$B$1123)</f>
        <v/>
      </c>
      <c r="V1120">
        <f>IF([2]Baskol!$C$1123="","",[2]Baskol!$C$1123)</f>
        <v/>
      </c>
      <c r="W1120">
        <f>IF([2]Baskol!$D$1123="","",[2]Baskol!$D$1123)</f>
        <v/>
      </c>
      <c r="X1120">
        <f>IF([2]Baskol!$E$1123="","",[2]Baskol!$E$1123)</f>
        <v/>
      </c>
      <c r="Y1120">
        <f>IF([2]Baskol!$G$1123="","",[2]Baskol!$G$1123)</f>
        <v/>
      </c>
      <c r="Z1120">
        <f>IF([2]Baskol!$I$1123="","",[2]Baskol!$I$1123)</f>
        <v/>
      </c>
      <c r="AA1120">
        <f>IF([2]Baskol!$J$1123="","",[2]Baskol!$J$1123)</f>
        <v/>
      </c>
      <c r="AB1120">
        <f>IF([2]Baskol!$K$1123="","",[2]Baskol!$K$1123)</f>
        <v/>
      </c>
      <c r="AC1120">
        <f>IF([2]Baskol!$L$1123="","",[2]Baskol!$L$1123)</f>
        <v/>
      </c>
      <c r="AD1120">
        <f>IF([2]Baskol!$N$1123="","",[2]Baskol!$N$1123)</f>
        <v/>
      </c>
      <c r="AE1120">
        <f>IF([2]Baskol!$O$1123="","",[2]Baskol!$O$1123)</f>
        <v/>
      </c>
      <c r="AG1120">
        <f>IF([3]Entry!$C$1123="","",[3]Entry!$C$1123)</f>
        <v/>
      </c>
      <c r="AH1120">
        <f>IF([3]Entry!$D$1123="","",[3]Entry!$D$1123)</f>
        <v/>
      </c>
      <c r="AI1120">
        <f>IF([3]Entry!$E$1123="","",[3]Entry!$E$1123)</f>
        <v/>
      </c>
      <c r="AJ1120">
        <f>IF([3]Entry!$G$1123="","",[3]Entry!$G$1123)</f>
        <v/>
      </c>
      <c r="AK1120">
        <f>IF([3]Entry!$K$1123="","",[3]Entry!$K$1123)</f>
        <v/>
      </c>
      <c r="AL1120">
        <f>IF([3]Entry!$L$1123="","",[3]Entry!$L$1123)</f>
        <v/>
      </c>
      <c r="AM1120">
        <f>IF([3]Entry!$M$1123="","",[3]Entry!$M$1123)</f>
        <v/>
      </c>
      <c r="AN1120">
        <f>IF([3]Entry!$N$1123="","",[3]Entry!$N$1123)</f>
        <v/>
      </c>
      <c r="AO1120">
        <f>IF([3]Entry!$R$1123="","",[3]Entry!$R$1123)</f>
        <v/>
      </c>
    </row>
    <row r="1121">
      <c r="U1121">
        <f>IF([2]Baskol!$B$1124="","",[2]Baskol!$B$1124)</f>
        <v/>
      </c>
      <c r="V1121">
        <f>IF([2]Baskol!$C$1124="","",[2]Baskol!$C$1124)</f>
        <v/>
      </c>
      <c r="W1121">
        <f>IF([2]Baskol!$D$1124="","",[2]Baskol!$D$1124)</f>
        <v/>
      </c>
      <c r="X1121">
        <f>IF([2]Baskol!$E$1124="","",[2]Baskol!$E$1124)</f>
        <v/>
      </c>
      <c r="Y1121">
        <f>IF([2]Baskol!$G$1124="","",[2]Baskol!$G$1124)</f>
        <v/>
      </c>
      <c r="Z1121">
        <f>IF([2]Baskol!$I$1124="","",[2]Baskol!$I$1124)</f>
        <v/>
      </c>
      <c r="AA1121">
        <f>IF([2]Baskol!$J$1124="","",[2]Baskol!$J$1124)</f>
        <v/>
      </c>
      <c r="AB1121">
        <f>IF([2]Baskol!$K$1124="","",[2]Baskol!$K$1124)</f>
        <v/>
      </c>
      <c r="AC1121">
        <f>IF([2]Baskol!$L$1124="","",[2]Baskol!$L$1124)</f>
        <v/>
      </c>
      <c r="AD1121">
        <f>IF([2]Baskol!$N$1124="","",[2]Baskol!$N$1124)</f>
        <v/>
      </c>
      <c r="AE1121">
        <f>IF([2]Baskol!$O$1124="","",[2]Baskol!$O$1124)</f>
        <v/>
      </c>
      <c r="AG1121">
        <f>IF([3]Entry!$C$1124="","",[3]Entry!$C$1124)</f>
        <v/>
      </c>
      <c r="AH1121">
        <f>IF([3]Entry!$D$1124="","",[3]Entry!$D$1124)</f>
        <v/>
      </c>
      <c r="AI1121">
        <f>IF([3]Entry!$E$1124="","",[3]Entry!$E$1124)</f>
        <v/>
      </c>
      <c r="AJ1121">
        <f>IF([3]Entry!$G$1124="","",[3]Entry!$G$1124)</f>
        <v/>
      </c>
      <c r="AK1121">
        <f>IF([3]Entry!$K$1124="","",[3]Entry!$K$1124)</f>
        <v/>
      </c>
      <c r="AL1121">
        <f>IF([3]Entry!$L$1124="","",[3]Entry!$L$1124)</f>
        <v/>
      </c>
      <c r="AM1121">
        <f>IF([3]Entry!$M$1124="","",[3]Entry!$M$1124)</f>
        <v/>
      </c>
      <c r="AN1121">
        <f>IF([3]Entry!$N$1124="","",[3]Entry!$N$1124)</f>
        <v/>
      </c>
      <c r="AO1121">
        <f>IF([3]Entry!$R$1124="","",[3]Entry!$R$1124)</f>
        <v/>
      </c>
    </row>
    <row r="1122">
      <c r="U1122">
        <f>IF([2]Baskol!$B$1125="","",[2]Baskol!$B$1125)</f>
        <v/>
      </c>
      <c r="V1122">
        <f>IF([2]Baskol!$C$1125="","",[2]Baskol!$C$1125)</f>
        <v/>
      </c>
      <c r="W1122">
        <f>IF([2]Baskol!$D$1125="","",[2]Baskol!$D$1125)</f>
        <v/>
      </c>
      <c r="X1122">
        <f>IF([2]Baskol!$E$1125="","",[2]Baskol!$E$1125)</f>
        <v/>
      </c>
      <c r="Y1122">
        <f>IF([2]Baskol!$G$1125="","",[2]Baskol!$G$1125)</f>
        <v/>
      </c>
      <c r="Z1122">
        <f>IF([2]Baskol!$I$1125="","",[2]Baskol!$I$1125)</f>
        <v/>
      </c>
      <c r="AA1122">
        <f>IF([2]Baskol!$J$1125="","",[2]Baskol!$J$1125)</f>
        <v/>
      </c>
      <c r="AB1122">
        <f>IF([2]Baskol!$K$1125="","",[2]Baskol!$K$1125)</f>
        <v/>
      </c>
      <c r="AC1122">
        <f>IF([2]Baskol!$L$1125="","",[2]Baskol!$L$1125)</f>
        <v/>
      </c>
      <c r="AD1122">
        <f>IF([2]Baskol!$N$1125="","",[2]Baskol!$N$1125)</f>
        <v/>
      </c>
      <c r="AE1122">
        <f>IF([2]Baskol!$O$1125="","",[2]Baskol!$O$1125)</f>
        <v/>
      </c>
      <c r="AG1122">
        <f>IF([3]Entry!$C$1125="","",[3]Entry!$C$1125)</f>
        <v/>
      </c>
      <c r="AH1122">
        <f>IF([3]Entry!$D$1125="","",[3]Entry!$D$1125)</f>
        <v/>
      </c>
      <c r="AI1122">
        <f>IF([3]Entry!$E$1125="","",[3]Entry!$E$1125)</f>
        <v/>
      </c>
      <c r="AJ1122">
        <f>IF([3]Entry!$G$1125="","",[3]Entry!$G$1125)</f>
        <v/>
      </c>
      <c r="AK1122">
        <f>IF([3]Entry!$K$1125="","",[3]Entry!$K$1125)</f>
        <v/>
      </c>
      <c r="AL1122">
        <f>IF([3]Entry!$L$1125="","",[3]Entry!$L$1125)</f>
        <v/>
      </c>
      <c r="AM1122">
        <f>IF([3]Entry!$M$1125="","",[3]Entry!$M$1125)</f>
        <v/>
      </c>
      <c r="AN1122">
        <f>IF([3]Entry!$N$1125="","",[3]Entry!$N$1125)</f>
        <v/>
      </c>
      <c r="AO1122">
        <f>IF([3]Entry!$R$1125="","",[3]Entry!$R$1125)</f>
        <v/>
      </c>
    </row>
    <row r="1123">
      <c r="U1123">
        <f>IF([2]Baskol!$B$1126="","",[2]Baskol!$B$1126)</f>
        <v/>
      </c>
      <c r="V1123">
        <f>IF([2]Baskol!$C$1126="","",[2]Baskol!$C$1126)</f>
        <v/>
      </c>
      <c r="W1123">
        <f>IF([2]Baskol!$D$1126="","",[2]Baskol!$D$1126)</f>
        <v/>
      </c>
      <c r="X1123">
        <f>IF([2]Baskol!$E$1126="","",[2]Baskol!$E$1126)</f>
        <v/>
      </c>
      <c r="Y1123">
        <f>IF([2]Baskol!$G$1126="","",[2]Baskol!$G$1126)</f>
        <v/>
      </c>
      <c r="Z1123">
        <f>IF([2]Baskol!$I$1126="","",[2]Baskol!$I$1126)</f>
        <v/>
      </c>
      <c r="AA1123">
        <f>IF([2]Baskol!$J$1126="","",[2]Baskol!$J$1126)</f>
        <v/>
      </c>
      <c r="AB1123">
        <f>IF([2]Baskol!$K$1126="","",[2]Baskol!$K$1126)</f>
        <v/>
      </c>
      <c r="AC1123">
        <f>IF([2]Baskol!$L$1126="","",[2]Baskol!$L$1126)</f>
        <v/>
      </c>
      <c r="AD1123">
        <f>IF([2]Baskol!$N$1126="","",[2]Baskol!$N$1126)</f>
        <v/>
      </c>
      <c r="AE1123">
        <f>IF([2]Baskol!$O$1126="","",[2]Baskol!$O$1126)</f>
        <v/>
      </c>
      <c r="AG1123">
        <f>IF([3]Entry!$C$1126="","",[3]Entry!$C$1126)</f>
        <v/>
      </c>
      <c r="AH1123">
        <f>IF([3]Entry!$D$1126="","",[3]Entry!$D$1126)</f>
        <v/>
      </c>
      <c r="AI1123">
        <f>IF([3]Entry!$E$1126="","",[3]Entry!$E$1126)</f>
        <v/>
      </c>
      <c r="AJ1123">
        <f>IF([3]Entry!$G$1126="","",[3]Entry!$G$1126)</f>
        <v/>
      </c>
      <c r="AK1123">
        <f>IF([3]Entry!$K$1126="","",[3]Entry!$K$1126)</f>
        <v/>
      </c>
      <c r="AL1123">
        <f>IF([3]Entry!$L$1126="","",[3]Entry!$L$1126)</f>
        <v/>
      </c>
      <c r="AM1123">
        <f>IF([3]Entry!$M$1126="","",[3]Entry!$M$1126)</f>
        <v/>
      </c>
      <c r="AN1123">
        <f>IF([3]Entry!$N$1126="","",[3]Entry!$N$1126)</f>
        <v/>
      </c>
      <c r="AO1123">
        <f>IF([3]Entry!$R$1126="","",[3]Entry!$R$1126)</f>
        <v/>
      </c>
    </row>
    <row r="1124">
      <c r="U1124">
        <f>IF([2]Baskol!$B$1127="","",[2]Baskol!$B$1127)</f>
        <v/>
      </c>
      <c r="V1124">
        <f>IF([2]Baskol!$C$1127="","",[2]Baskol!$C$1127)</f>
        <v/>
      </c>
      <c r="W1124">
        <f>IF([2]Baskol!$D$1127="","",[2]Baskol!$D$1127)</f>
        <v/>
      </c>
      <c r="X1124">
        <f>IF([2]Baskol!$E$1127="","",[2]Baskol!$E$1127)</f>
        <v/>
      </c>
      <c r="Y1124">
        <f>IF([2]Baskol!$G$1127="","",[2]Baskol!$G$1127)</f>
        <v/>
      </c>
      <c r="Z1124">
        <f>IF([2]Baskol!$I$1127="","",[2]Baskol!$I$1127)</f>
        <v/>
      </c>
      <c r="AA1124">
        <f>IF([2]Baskol!$J$1127="","",[2]Baskol!$J$1127)</f>
        <v/>
      </c>
      <c r="AB1124">
        <f>IF([2]Baskol!$K$1127="","",[2]Baskol!$K$1127)</f>
        <v/>
      </c>
      <c r="AC1124">
        <f>IF([2]Baskol!$L$1127="","",[2]Baskol!$L$1127)</f>
        <v/>
      </c>
      <c r="AD1124">
        <f>IF([2]Baskol!$N$1127="","",[2]Baskol!$N$1127)</f>
        <v/>
      </c>
      <c r="AE1124">
        <f>IF([2]Baskol!$O$1127="","",[2]Baskol!$O$1127)</f>
        <v/>
      </c>
      <c r="AG1124">
        <f>IF([3]Entry!$C$1127="","",[3]Entry!$C$1127)</f>
        <v/>
      </c>
      <c r="AH1124">
        <f>IF([3]Entry!$D$1127="","",[3]Entry!$D$1127)</f>
        <v/>
      </c>
      <c r="AI1124">
        <f>IF([3]Entry!$E$1127="","",[3]Entry!$E$1127)</f>
        <v/>
      </c>
      <c r="AJ1124">
        <f>IF([3]Entry!$G$1127="","",[3]Entry!$G$1127)</f>
        <v/>
      </c>
      <c r="AK1124">
        <f>IF([3]Entry!$K$1127="","",[3]Entry!$K$1127)</f>
        <v/>
      </c>
      <c r="AL1124">
        <f>IF([3]Entry!$L$1127="","",[3]Entry!$L$1127)</f>
        <v/>
      </c>
      <c r="AM1124">
        <f>IF([3]Entry!$M$1127="","",[3]Entry!$M$1127)</f>
        <v/>
      </c>
      <c r="AN1124">
        <f>IF([3]Entry!$N$1127="","",[3]Entry!$N$1127)</f>
        <v/>
      </c>
      <c r="AO1124">
        <f>IF([3]Entry!$R$1127="","",[3]Entry!$R$1127)</f>
        <v/>
      </c>
    </row>
    <row r="1125">
      <c r="U1125">
        <f>IF([2]Baskol!$B$1128="","",[2]Baskol!$B$1128)</f>
        <v/>
      </c>
      <c r="V1125">
        <f>IF([2]Baskol!$C$1128="","",[2]Baskol!$C$1128)</f>
        <v/>
      </c>
      <c r="W1125">
        <f>IF([2]Baskol!$D$1128="","",[2]Baskol!$D$1128)</f>
        <v/>
      </c>
      <c r="X1125">
        <f>IF([2]Baskol!$E$1128="","",[2]Baskol!$E$1128)</f>
        <v/>
      </c>
      <c r="Y1125">
        <f>IF([2]Baskol!$G$1128="","",[2]Baskol!$G$1128)</f>
        <v/>
      </c>
      <c r="Z1125">
        <f>IF([2]Baskol!$I$1128="","",[2]Baskol!$I$1128)</f>
        <v/>
      </c>
      <c r="AA1125">
        <f>IF([2]Baskol!$J$1128="","",[2]Baskol!$J$1128)</f>
        <v/>
      </c>
      <c r="AB1125">
        <f>IF([2]Baskol!$K$1128="","",[2]Baskol!$K$1128)</f>
        <v/>
      </c>
      <c r="AC1125">
        <f>IF([2]Baskol!$L$1128="","",[2]Baskol!$L$1128)</f>
        <v/>
      </c>
      <c r="AD1125">
        <f>IF([2]Baskol!$N$1128="","",[2]Baskol!$N$1128)</f>
        <v/>
      </c>
      <c r="AE1125">
        <f>IF([2]Baskol!$O$1128="","",[2]Baskol!$O$1128)</f>
        <v/>
      </c>
      <c r="AG1125">
        <f>IF([3]Entry!$C$1128="","",[3]Entry!$C$1128)</f>
        <v/>
      </c>
      <c r="AH1125">
        <f>IF([3]Entry!$D$1128="","",[3]Entry!$D$1128)</f>
        <v/>
      </c>
      <c r="AI1125">
        <f>IF([3]Entry!$E$1128="","",[3]Entry!$E$1128)</f>
        <v/>
      </c>
      <c r="AJ1125">
        <f>IF([3]Entry!$G$1128="","",[3]Entry!$G$1128)</f>
        <v/>
      </c>
      <c r="AK1125">
        <f>IF([3]Entry!$K$1128="","",[3]Entry!$K$1128)</f>
        <v/>
      </c>
      <c r="AL1125">
        <f>IF([3]Entry!$L$1128="","",[3]Entry!$L$1128)</f>
        <v/>
      </c>
      <c r="AM1125">
        <f>IF([3]Entry!$M$1128="","",[3]Entry!$M$1128)</f>
        <v/>
      </c>
      <c r="AN1125">
        <f>IF([3]Entry!$N$1128="","",[3]Entry!$N$1128)</f>
        <v/>
      </c>
      <c r="AO1125">
        <f>IF([3]Entry!$R$1128="","",[3]Entry!$R$1128)</f>
        <v/>
      </c>
    </row>
    <row r="1126">
      <c r="U1126">
        <f>IF([2]Baskol!$B$1129="","",[2]Baskol!$B$1129)</f>
        <v/>
      </c>
      <c r="V1126">
        <f>IF([2]Baskol!$C$1129="","",[2]Baskol!$C$1129)</f>
        <v/>
      </c>
      <c r="W1126">
        <f>IF([2]Baskol!$D$1129="","",[2]Baskol!$D$1129)</f>
        <v/>
      </c>
      <c r="X1126">
        <f>IF([2]Baskol!$E$1129="","",[2]Baskol!$E$1129)</f>
        <v/>
      </c>
      <c r="Y1126">
        <f>IF([2]Baskol!$G$1129="","",[2]Baskol!$G$1129)</f>
        <v/>
      </c>
      <c r="Z1126">
        <f>IF([2]Baskol!$I$1129="","",[2]Baskol!$I$1129)</f>
        <v/>
      </c>
      <c r="AA1126">
        <f>IF([2]Baskol!$J$1129="","",[2]Baskol!$J$1129)</f>
        <v/>
      </c>
      <c r="AB1126">
        <f>IF([2]Baskol!$K$1129="","",[2]Baskol!$K$1129)</f>
        <v/>
      </c>
      <c r="AC1126">
        <f>IF([2]Baskol!$L$1129="","",[2]Baskol!$L$1129)</f>
        <v/>
      </c>
      <c r="AD1126">
        <f>IF([2]Baskol!$N$1129="","",[2]Baskol!$N$1129)</f>
        <v/>
      </c>
      <c r="AE1126">
        <f>IF([2]Baskol!$O$1129="","",[2]Baskol!$O$1129)</f>
        <v/>
      </c>
      <c r="AG1126">
        <f>IF([3]Entry!$C$1129="","",[3]Entry!$C$1129)</f>
        <v/>
      </c>
      <c r="AH1126">
        <f>IF([3]Entry!$D$1129="","",[3]Entry!$D$1129)</f>
        <v/>
      </c>
      <c r="AI1126">
        <f>IF([3]Entry!$E$1129="","",[3]Entry!$E$1129)</f>
        <v/>
      </c>
      <c r="AJ1126">
        <f>IF([3]Entry!$G$1129="","",[3]Entry!$G$1129)</f>
        <v/>
      </c>
      <c r="AK1126">
        <f>IF([3]Entry!$K$1129="","",[3]Entry!$K$1129)</f>
        <v/>
      </c>
      <c r="AL1126">
        <f>IF([3]Entry!$L$1129="","",[3]Entry!$L$1129)</f>
        <v/>
      </c>
      <c r="AM1126">
        <f>IF([3]Entry!$M$1129="","",[3]Entry!$M$1129)</f>
        <v/>
      </c>
      <c r="AN1126">
        <f>IF([3]Entry!$N$1129="","",[3]Entry!$N$1129)</f>
        <v/>
      </c>
      <c r="AO1126">
        <f>IF([3]Entry!$R$1129="","",[3]Entry!$R$1129)</f>
        <v/>
      </c>
    </row>
    <row r="1127">
      <c r="U1127">
        <f>IF([2]Baskol!$B$1130="","",[2]Baskol!$B$1130)</f>
        <v/>
      </c>
      <c r="V1127">
        <f>IF([2]Baskol!$C$1130="","",[2]Baskol!$C$1130)</f>
        <v/>
      </c>
      <c r="W1127">
        <f>IF([2]Baskol!$D$1130="","",[2]Baskol!$D$1130)</f>
        <v/>
      </c>
      <c r="X1127">
        <f>IF([2]Baskol!$E$1130="","",[2]Baskol!$E$1130)</f>
        <v/>
      </c>
      <c r="Y1127">
        <f>IF([2]Baskol!$G$1130="","",[2]Baskol!$G$1130)</f>
        <v/>
      </c>
      <c r="Z1127">
        <f>IF([2]Baskol!$I$1130="","",[2]Baskol!$I$1130)</f>
        <v/>
      </c>
      <c r="AA1127">
        <f>IF([2]Baskol!$J$1130="","",[2]Baskol!$J$1130)</f>
        <v/>
      </c>
      <c r="AB1127">
        <f>IF([2]Baskol!$K$1130="","",[2]Baskol!$K$1130)</f>
        <v/>
      </c>
      <c r="AC1127">
        <f>IF([2]Baskol!$L$1130="","",[2]Baskol!$L$1130)</f>
        <v/>
      </c>
      <c r="AD1127">
        <f>IF([2]Baskol!$N$1130="","",[2]Baskol!$N$1130)</f>
        <v/>
      </c>
      <c r="AE1127">
        <f>IF([2]Baskol!$O$1130="","",[2]Baskol!$O$1130)</f>
        <v/>
      </c>
      <c r="AG1127">
        <f>IF([3]Entry!$C$1130="","",[3]Entry!$C$1130)</f>
        <v/>
      </c>
      <c r="AH1127">
        <f>IF([3]Entry!$D$1130="","",[3]Entry!$D$1130)</f>
        <v/>
      </c>
      <c r="AI1127">
        <f>IF([3]Entry!$E$1130="","",[3]Entry!$E$1130)</f>
        <v/>
      </c>
      <c r="AJ1127">
        <f>IF([3]Entry!$G$1130="","",[3]Entry!$G$1130)</f>
        <v/>
      </c>
      <c r="AK1127">
        <f>IF([3]Entry!$K$1130="","",[3]Entry!$K$1130)</f>
        <v/>
      </c>
      <c r="AL1127">
        <f>IF([3]Entry!$L$1130="","",[3]Entry!$L$1130)</f>
        <v/>
      </c>
      <c r="AM1127">
        <f>IF([3]Entry!$M$1130="","",[3]Entry!$M$1130)</f>
        <v/>
      </c>
      <c r="AN1127">
        <f>IF([3]Entry!$N$1130="","",[3]Entry!$N$1130)</f>
        <v/>
      </c>
      <c r="AO1127">
        <f>IF([3]Entry!$R$1130="","",[3]Entry!$R$1130)</f>
        <v/>
      </c>
    </row>
    <row r="1128">
      <c r="U1128">
        <f>IF([2]Baskol!$B$1131="","",[2]Baskol!$B$1131)</f>
        <v/>
      </c>
      <c r="V1128">
        <f>IF([2]Baskol!$C$1131="","",[2]Baskol!$C$1131)</f>
        <v/>
      </c>
      <c r="W1128">
        <f>IF([2]Baskol!$D$1131="","",[2]Baskol!$D$1131)</f>
        <v/>
      </c>
      <c r="X1128">
        <f>IF([2]Baskol!$E$1131="","",[2]Baskol!$E$1131)</f>
        <v/>
      </c>
      <c r="Y1128">
        <f>IF([2]Baskol!$G$1131="","",[2]Baskol!$G$1131)</f>
        <v/>
      </c>
      <c r="Z1128">
        <f>IF([2]Baskol!$I$1131="","",[2]Baskol!$I$1131)</f>
        <v/>
      </c>
      <c r="AA1128">
        <f>IF([2]Baskol!$J$1131="","",[2]Baskol!$J$1131)</f>
        <v/>
      </c>
      <c r="AB1128">
        <f>IF([2]Baskol!$K$1131="","",[2]Baskol!$K$1131)</f>
        <v/>
      </c>
      <c r="AC1128">
        <f>IF([2]Baskol!$L$1131="","",[2]Baskol!$L$1131)</f>
        <v/>
      </c>
      <c r="AD1128">
        <f>IF([2]Baskol!$N$1131="","",[2]Baskol!$N$1131)</f>
        <v/>
      </c>
      <c r="AE1128">
        <f>IF([2]Baskol!$O$1131="","",[2]Baskol!$O$1131)</f>
        <v/>
      </c>
      <c r="AG1128">
        <f>IF([3]Entry!$C$1131="","",[3]Entry!$C$1131)</f>
        <v/>
      </c>
      <c r="AH1128">
        <f>IF([3]Entry!$D$1131="","",[3]Entry!$D$1131)</f>
        <v/>
      </c>
      <c r="AI1128">
        <f>IF([3]Entry!$E$1131="","",[3]Entry!$E$1131)</f>
        <v/>
      </c>
      <c r="AJ1128">
        <f>IF([3]Entry!$G$1131="","",[3]Entry!$G$1131)</f>
        <v/>
      </c>
      <c r="AK1128">
        <f>IF([3]Entry!$K$1131="","",[3]Entry!$K$1131)</f>
        <v/>
      </c>
      <c r="AL1128">
        <f>IF([3]Entry!$L$1131="","",[3]Entry!$L$1131)</f>
        <v/>
      </c>
      <c r="AM1128">
        <f>IF([3]Entry!$M$1131="","",[3]Entry!$M$1131)</f>
        <v/>
      </c>
      <c r="AN1128">
        <f>IF([3]Entry!$N$1131="","",[3]Entry!$N$1131)</f>
        <v/>
      </c>
      <c r="AO1128">
        <f>IF([3]Entry!$R$1131="","",[3]Entry!$R$1131)</f>
        <v/>
      </c>
    </row>
    <row r="1129">
      <c r="U1129">
        <f>IF([2]Baskol!$B$1132="","",[2]Baskol!$B$1132)</f>
        <v/>
      </c>
      <c r="V1129">
        <f>IF([2]Baskol!$C$1132="","",[2]Baskol!$C$1132)</f>
        <v/>
      </c>
      <c r="W1129">
        <f>IF([2]Baskol!$D$1132="","",[2]Baskol!$D$1132)</f>
        <v/>
      </c>
      <c r="X1129">
        <f>IF([2]Baskol!$E$1132="","",[2]Baskol!$E$1132)</f>
        <v/>
      </c>
      <c r="Y1129">
        <f>IF([2]Baskol!$G$1132="","",[2]Baskol!$G$1132)</f>
        <v/>
      </c>
      <c r="Z1129">
        <f>IF([2]Baskol!$I$1132="","",[2]Baskol!$I$1132)</f>
        <v/>
      </c>
      <c r="AA1129">
        <f>IF([2]Baskol!$J$1132="","",[2]Baskol!$J$1132)</f>
        <v/>
      </c>
      <c r="AB1129">
        <f>IF([2]Baskol!$K$1132="","",[2]Baskol!$K$1132)</f>
        <v/>
      </c>
      <c r="AC1129">
        <f>IF([2]Baskol!$L$1132="","",[2]Baskol!$L$1132)</f>
        <v/>
      </c>
      <c r="AD1129">
        <f>IF([2]Baskol!$N$1132="","",[2]Baskol!$N$1132)</f>
        <v/>
      </c>
      <c r="AE1129">
        <f>IF([2]Baskol!$O$1132="","",[2]Baskol!$O$1132)</f>
        <v/>
      </c>
      <c r="AG1129">
        <f>IF([3]Entry!$C$1132="","",[3]Entry!$C$1132)</f>
        <v/>
      </c>
      <c r="AH1129">
        <f>IF([3]Entry!$D$1132="","",[3]Entry!$D$1132)</f>
        <v/>
      </c>
      <c r="AI1129">
        <f>IF([3]Entry!$E$1132="","",[3]Entry!$E$1132)</f>
        <v/>
      </c>
      <c r="AJ1129">
        <f>IF([3]Entry!$G$1132="","",[3]Entry!$G$1132)</f>
        <v/>
      </c>
      <c r="AK1129">
        <f>IF([3]Entry!$K$1132="","",[3]Entry!$K$1132)</f>
        <v/>
      </c>
      <c r="AL1129">
        <f>IF([3]Entry!$L$1132="","",[3]Entry!$L$1132)</f>
        <v/>
      </c>
      <c r="AM1129">
        <f>IF([3]Entry!$M$1132="","",[3]Entry!$M$1132)</f>
        <v/>
      </c>
      <c r="AN1129">
        <f>IF([3]Entry!$N$1132="","",[3]Entry!$N$1132)</f>
        <v/>
      </c>
      <c r="AO1129">
        <f>IF([3]Entry!$R$1132="","",[3]Entry!$R$1132)</f>
        <v/>
      </c>
    </row>
    <row r="1130">
      <c r="U1130">
        <f>IF([2]Baskol!$B$1133="","",[2]Baskol!$B$1133)</f>
        <v/>
      </c>
      <c r="V1130">
        <f>IF([2]Baskol!$C$1133="","",[2]Baskol!$C$1133)</f>
        <v/>
      </c>
      <c r="W1130">
        <f>IF([2]Baskol!$D$1133="","",[2]Baskol!$D$1133)</f>
        <v/>
      </c>
      <c r="X1130">
        <f>IF([2]Baskol!$E$1133="","",[2]Baskol!$E$1133)</f>
        <v/>
      </c>
      <c r="Y1130">
        <f>IF([2]Baskol!$G$1133="","",[2]Baskol!$G$1133)</f>
        <v/>
      </c>
      <c r="Z1130">
        <f>IF([2]Baskol!$I$1133="","",[2]Baskol!$I$1133)</f>
        <v/>
      </c>
      <c r="AA1130">
        <f>IF([2]Baskol!$J$1133="","",[2]Baskol!$J$1133)</f>
        <v/>
      </c>
      <c r="AB1130">
        <f>IF([2]Baskol!$K$1133="","",[2]Baskol!$K$1133)</f>
        <v/>
      </c>
      <c r="AC1130">
        <f>IF([2]Baskol!$L$1133="","",[2]Baskol!$L$1133)</f>
        <v/>
      </c>
      <c r="AD1130">
        <f>IF([2]Baskol!$N$1133="","",[2]Baskol!$N$1133)</f>
        <v/>
      </c>
      <c r="AE1130">
        <f>IF([2]Baskol!$O$1133="","",[2]Baskol!$O$1133)</f>
        <v/>
      </c>
      <c r="AG1130">
        <f>IF([3]Entry!$C$1133="","",[3]Entry!$C$1133)</f>
        <v/>
      </c>
      <c r="AH1130">
        <f>IF([3]Entry!$D$1133="","",[3]Entry!$D$1133)</f>
        <v/>
      </c>
      <c r="AI1130">
        <f>IF([3]Entry!$E$1133="","",[3]Entry!$E$1133)</f>
        <v/>
      </c>
      <c r="AJ1130">
        <f>IF([3]Entry!$G$1133="","",[3]Entry!$G$1133)</f>
        <v/>
      </c>
      <c r="AK1130">
        <f>IF([3]Entry!$K$1133="","",[3]Entry!$K$1133)</f>
        <v/>
      </c>
      <c r="AL1130">
        <f>IF([3]Entry!$L$1133="","",[3]Entry!$L$1133)</f>
        <v/>
      </c>
      <c r="AM1130">
        <f>IF([3]Entry!$M$1133="","",[3]Entry!$M$1133)</f>
        <v/>
      </c>
      <c r="AN1130">
        <f>IF([3]Entry!$N$1133="","",[3]Entry!$N$1133)</f>
        <v/>
      </c>
      <c r="AO1130">
        <f>IF([3]Entry!$R$1133="","",[3]Entry!$R$1133)</f>
        <v/>
      </c>
    </row>
    <row r="1131">
      <c r="U1131">
        <f>IF([2]Baskol!$B$1134="","",[2]Baskol!$B$1134)</f>
        <v/>
      </c>
      <c r="V1131">
        <f>IF([2]Baskol!$C$1134="","",[2]Baskol!$C$1134)</f>
        <v/>
      </c>
      <c r="W1131">
        <f>IF([2]Baskol!$D$1134="","",[2]Baskol!$D$1134)</f>
        <v/>
      </c>
      <c r="X1131">
        <f>IF([2]Baskol!$E$1134="","",[2]Baskol!$E$1134)</f>
        <v/>
      </c>
      <c r="Y1131">
        <f>IF([2]Baskol!$G$1134="","",[2]Baskol!$G$1134)</f>
        <v/>
      </c>
      <c r="Z1131">
        <f>IF([2]Baskol!$I$1134="","",[2]Baskol!$I$1134)</f>
        <v/>
      </c>
      <c r="AA1131">
        <f>IF([2]Baskol!$J$1134="","",[2]Baskol!$J$1134)</f>
        <v/>
      </c>
      <c r="AB1131">
        <f>IF([2]Baskol!$K$1134="","",[2]Baskol!$K$1134)</f>
        <v/>
      </c>
      <c r="AC1131">
        <f>IF([2]Baskol!$L$1134="","",[2]Baskol!$L$1134)</f>
        <v/>
      </c>
      <c r="AD1131">
        <f>IF([2]Baskol!$N$1134="","",[2]Baskol!$N$1134)</f>
        <v/>
      </c>
      <c r="AE1131">
        <f>IF([2]Baskol!$O$1134="","",[2]Baskol!$O$1134)</f>
        <v/>
      </c>
      <c r="AG1131">
        <f>IF([3]Entry!$C$1134="","",[3]Entry!$C$1134)</f>
        <v/>
      </c>
      <c r="AH1131">
        <f>IF([3]Entry!$D$1134="","",[3]Entry!$D$1134)</f>
        <v/>
      </c>
      <c r="AI1131">
        <f>IF([3]Entry!$E$1134="","",[3]Entry!$E$1134)</f>
        <v/>
      </c>
      <c r="AJ1131">
        <f>IF([3]Entry!$G$1134="","",[3]Entry!$G$1134)</f>
        <v/>
      </c>
      <c r="AK1131">
        <f>IF([3]Entry!$K$1134="","",[3]Entry!$K$1134)</f>
        <v/>
      </c>
      <c r="AL1131">
        <f>IF([3]Entry!$L$1134="","",[3]Entry!$L$1134)</f>
        <v/>
      </c>
      <c r="AM1131">
        <f>IF([3]Entry!$M$1134="","",[3]Entry!$M$1134)</f>
        <v/>
      </c>
      <c r="AN1131">
        <f>IF([3]Entry!$N$1134="","",[3]Entry!$N$1134)</f>
        <v/>
      </c>
      <c r="AO1131">
        <f>IF([3]Entry!$R$1134="","",[3]Entry!$R$1134)</f>
        <v/>
      </c>
    </row>
    <row r="1132">
      <c r="U1132">
        <f>IF([2]Baskol!$B$1135="","",[2]Baskol!$B$1135)</f>
        <v/>
      </c>
      <c r="V1132">
        <f>IF([2]Baskol!$C$1135="","",[2]Baskol!$C$1135)</f>
        <v/>
      </c>
      <c r="W1132">
        <f>IF([2]Baskol!$D$1135="","",[2]Baskol!$D$1135)</f>
        <v/>
      </c>
      <c r="X1132">
        <f>IF([2]Baskol!$E$1135="","",[2]Baskol!$E$1135)</f>
        <v/>
      </c>
      <c r="Y1132">
        <f>IF([2]Baskol!$G$1135="","",[2]Baskol!$G$1135)</f>
        <v/>
      </c>
      <c r="Z1132">
        <f>IF([2]Baskol!$I$1135="","",[2]Baskol!$I$1135)</f>
        <v/>
      </c>
      <c r="AA1132">
        <f>IF([2]Baskol!$J$1135="","",[2]Baskol!$J$1135)</f>
        <v/>
      </c>
      <c r="AB1132">
        <f>IF([2]Baskol!$K$1135="","",[2]Baskol!$K$1135)</f>
        <v/>
      </c>
      <c r="AC1132">
        <f>IF([2]Baskol!$L$1135="","",[2]Baskol!$L$1135)</f>
        <v/>
      </c>
      <c r="AD1132">
        <f>IF([2]Baskol!$N$1135="","",[2]Baskol!$N$1135)</f>
        <v/>
      </c>
      <c r="AE1132">
        <f>IF([2]Baskol!$O$1135="","",[2]Baskol!$O$1135)</f>
        <v/>
      </c>
      <c r="AG1132">
        <f>IF([3]Entry!$C$1135="","",[3]Entry!$C$1135)</f>
        <v/>
      </c>
      <c r="AH1132">
        <f>IF([3]Entry!$D$1135="","",[3]Entry!$D$1135)</f>
        <v/>
      </c>
      <c r="AI1132">
        <f>IF([3]Entry!$E$1135="","",[3]Entry!$E$1135)</f>
        <v/>
      </c>
      <c r="AJ1132">
        <f>IF([3]Entry!$G$1135="","",[3]Entry!$G$1135)</f>
        <v/>
      </c>
      <c r="AK1132">
        <f>IF([3]Entry!$K$1135="","",[3]Entry!$K$1135)</f>
        <v/>
      </c>
      <c r="AL1132">
        <f>IF([3]Entry!$L$1135="","",[3]Entry!$L$1135)</f>
        <v/>
      </c>
      <c r="AM1132">
        <f>IF([3]Entry!$M$1135="","",[3]Entry!$M$1135)</f>
        <v/>
      </c>
      <c r="AN1132">
        <f>IF([3]Entry!$N$1135="","",[3]Entry!$N$1135)</f>
        <v/>
      </c>
      <c r="AO1132">
        <f>IF([3]Entry!$R$1135="","",[3]Entry!$R$1135)</f>
        <v/>
      </c>
    </row>
    <row r="1133">
      <c r="U1133">
        <f>IF([2]Baskol!$B$1136="","",[2]Baskol!$B$1136)</f>
        <v/>
      </c>
      <c r="V1133">
        <f>IF([2]Baskol!$C$1136="","",[2]Baskol!$C$1136)</f>
        <v/>
      </c>
      <c r="W1133">
        <f>IF([2]Baskol!$D$1136="","",[2]Baskol!$D$1136)</f>
        <v/>
      </c>
      <c r="X1133">
        <f>IF([2]Baskol!$E$1136="","",[2]Baskol!$E$1136)</f>
        <v/>
      </c>
      <c r="Y1133">
        <f>IF([2]Baskol!$G$1136="","",[2]Baskol!$G$1136)</f>
        <v/>
      </c>
      <c r="Z1133">
        <f>IF([2]Baskol!$I$1136="","",[2]Baskol!$I$1136)</f>
        <v/>
      </c>
      <c r="AA1133">
        <f>IF([2]Baskol!$J$1136="","",[2]Baskol!$J$1136)</f>
        <v/>
      </c>
      <c r="AB1133">
        <f>IF([2]Baskol!$K$1136="","",[2]Baskol!$K$1136)</f>
        <v/>
      </c>
      <c r="AC1133">
        <f>IF([2]Baskol!$L$1136="","",[2]Baskol!$L$1136)</f>
        <v/>
      </c>
      <c r="AD1133">
        <f>IF([2]Baskol!$N$1136="","",[2]Baskol!$N$1136)</f>
        <v/>
      </c>
      <c r="AE1133">
        <f>IF([2]Baskol!$O$1136="","",[2]Baskol!$O$1136)</f>
        <v/>
      </c>
      <c r="AG1133">
        <f>IF([3]Entry!$C$1136="","",[3]Entry!$C$1136)</f>
        <v/>
      </c>
      <c r="AH1133">
        <f>IF([3]Entry!$D$1136="","",[3]Entry!$D$1136)</f>
        <v/>
      </c>
      <c r="AI1133">
        <f>IF([3]Entry!$E$1136="","",[3]Entry!$E$1136)</f>
        <v/>
      </c>
      <c r="AJ1133">
        <f>IF([3]Entry!$G$1136="","",[3]Entry!$G$1136)</f>
        <v/>
      </c>
      <c r="AK1133">
        <f>IF([3]Entry!$K$1136="","",[3]Entry!$K$1136)</f>
        <v/>
      </c>
      <c r="AL1133">
        <f>IF([3]Entry!$L$1136="","",[3]Entry!$L$1136)</f>
        <v/>
      </c>
      <c r="AM1133">
        <f>IF([3]Entry!$M$1136="","",[3]Entry!$M$1136)</f>
        <v/>
      </c>
      <c r="AN1133">
        <f>IF([3]Entry!$N$1136="","",[3]Entry!$N$1136)</f>
        <v/>
      </c>
      <c r="AO1133">
        <f>IF([3]Entry!$R$1136="","",[3]Entry!$R$1136)</f>
        <v/>
      </c>
    </row>
    <row r="1134">
      <c r="U1134">
        <f>IF([2]Baskol!$B$1137="","",[2]Baskol!$B$1137)</f>
        <v/>
      </c>
      <c r="V1134">
        <f>IF([2]Baskol!$C$1137="","",[2]Baskol!$C$1137)</f>
        <v/>
      </c>
      <c r="W1134">
        <f>IF([2]Baskol!$D$1137="","",[2]Baskol!$D$1137)</f>
        <v/>
      </c>
      <c r="X1134">
        <f>IF([2]Baskol!$E$1137="","",[2]Baskol!$E$1137)</f>
        <v/>
      </c>
      <c r="Y1134">
        <f>IF([2]Baskol!$G$1137="","",[2]Baskol!$G$1137)</f>
        <v/>
      </c>
      <c r="Z1134">
        <f>IF([2]Baskol!$I$1137="","",[2]Baskol!$I$1137)</f>
        <v/>
      </c>
      <c r="AA1134">
        <f>IF([2]Baskol!$J$1137="","",[2]Baskol!$J$1137)</f>
        <v/>
      </c>
      <c r="AB1134">
        <f>IF([2]Baskol!$K$1137="","",[2]Baskol!$K$1137)</f>
        <v/>
      </c>
      <c r="AC1134">
        <f>IF([2]Baskol!$L$1137="","",[2]Baskol!$L$1137)</f>
        <v/>
      </c>
      <c r="AD1134">
        <f>IF([2]Baskol!$N$1137="","",[2]Baskol!$N$1137)</f>
        <v/>
      </c>
      <c r="AE1134">
        <f>IF([2]Baskol!$O$1137="","",[2]Baskol!$O$1137)</f>
        <v/>
      </c>
      <c r="AG1134">
        <f>IF([3]Entry!$C$1137="","",[3]Entry!$C$1137)</f>
        <v/>
      </c>
      <c r="AH1134">
        <f>IF([3]Entry!$D$1137="","",[3]Entry!$D$1137)</f>
        <v/>
      </c>
      <c r="AI1134">
        <f>IF([3]Entry!$E$1137="","",[3]Entry!$E$1137)</f>
        <v/>
      </c>
      <c r="AJ1134">
        <f>IF([3]Entry!$G$1137="","",[3]Entry!$G$1137)</f>
        <v/>
      </c>
      <c r="AK1134">
        <f>IF([3]Entry!$K$1137="","",[3]Entry!$K$1137)</f>
        <v/>
      </c>
      <c r="AL1134">
        <f>IF([3]Entry!$L$1137="","",[3]Entry!$L$1137)</f>
        <v/>
      </c>
      <c r="AM1134">
        <f>IF([3]Entry!$M$1137="","",[3]Entry!$M$1137)</f>
        <v/>
      </c>
      <c r="AN1134">
        <f>IF([3]Entry!$N$1137="","",[3]Entry!$N$1137)</f>
        <v/>
      </c>
      <c r="AO1134">
        <f>IF([3]Entry!$R$1137="","",[3]Entry!$R$1137)</f>
        <v/>
      </c>
    </row>
    <row r="1135">
      <c r="U1135">
        <f>IF([2]Baskol!$B$1138="","",[2]Baskol!$B$1138)</f>
        <v/>
      </c>
      <c r="V1135">
        <f>IF([2]Baskol!$C$1138="","",[2]Baskol!$C$1138)</f>
        <v/>
      </c>
      <c r="W1135">
        <f>IF([2]Baskol!$D$1138="","",[2]Baskol!$D$1138)</f>
        <v/>
      </c>
      <c r="X1135">
        <f>IF([2]Baskol!$E$1138="","",[2]Baskol!$E$1138)</f>
        <v/>
      </c>
      <c r="Y1135">
        <f>IF([2]Baskol!$G$1138="","",[2]Baskol!$G$1138)</f>
        <v/>
      </c>
      <c r="Z1135">
        <f>IF([2]Baskol!$I$1138="","",[2]Baskol!$I$1138)</f>
        <v/>
      </c>
      <c r="AA1135">
        <f>IF([2]Baskol!$J$1138="","",[2]Baskol!$J$1138)</f>
        <v/>
      </c>
      <c r="AB1135">
        <f>IF([2]Baskol!$K$1138="","",[2]Baskol!$K$1138)</f>
        <v/>
      </c>
      <c r="AC1135">
        <f>IF([2]Baskol!$L$1138="","",[2]Baskol!$L$1138)</f>
        <v/>
      </c>
      <c r="AD1135">
        <f>IF([2]Baskol!$N$1138="","",[2]Baskol!$N$1138)</f>
        <v/>
      </c>
      <c r="AE1135">
        <f>IF([2]Baskol!$O$1138="","",[2]Baskol!$O$1138)</f>
        <v/>
      </c>
      <c r="AG1135">
        <f>IF([3]Entry!$C$1138="","",[3]Entry!$C$1138)</f>
        <v/>
      </c>
      <c r="AH1135">
        <f>IF([3]Entry!$D$1138="","",[3]Entry!$D$1138)</f>
        <v/>
      </c>
      <c r="AI1135">
        <f>IF([3]Entry!$E$1138="","",[3]Entry!$E$1138)</f>
        <v/>
      </c>
      <c r="AJ1135">
        <f>IF([3]Entry!$G$1138="","",[3]Entry!$G$1138)</f>
        <v/>
      </c>
      <c r="AK1135">
        <f>IF([3]Entry!$K$1138="","",[3]Entry!$K$1138)</f>
        <v/>
      </c>
      <c r="AL1135">
        <f>IF([3]Entry!$L$1138="","",[3]Entry!$L$1138)</f>
        <v/>
      </c>
      <c r="AM1135">
        <f>IF([3]Entry!$M$1138="","",[3]Entry!$M$1138)</f>
        <v/>
      </c>
      <c r="AN1135">
        <f>IF([3]Entry!$N$1138="","",[3]Entry!$N$1138)</f>
        <v/>
      </c>
      <c r="AO1135">
        <f>IF([3]Entry!$R$1138="","",[3]Entry!$R$1138)</f>
        <v/>
      </c>
    </row>
    <row r="1136">
      <c r="U1136">
        <f>IF([2]Baskol!$B$1139="","",[2]Baskol!$B$1139)</f>
        <v/>
      </c>
      <c r="V1136">
        <f>IF([2]Baskol!$C$1139="","",[2]Baskol!$C$1139)</f>
        <v/>
      </c>
      <c r="W1136">
        <f>IF([2]Baskol!$D$1139="","",[2]Baskol!$D$1139)</f>
        <v/>
      </c>
      <c r="X1136">
        <f>IF([2]Baskol!$E$1139="","",[2]Baskol!$E$1139)</f>
        <v/>
      </c>
      <c r="Y1136">
        <f>IF([2]Baskol!$G$1139="","",[2]Baskol!$G$1139)</f>
        <v/>
      </c>
      <c r="Z1136">
        <f>IF([2]Baskol!$I$1139="","",[2]Baskol!$I$1139)</f>
        <v/>
      </c>
      <c r="AA1136">
        <f>IF([2]Baskol!$J$1139="","",[2]Baskol!$J$1139)</f>
        <v/>
      </c>
      <c r="AB1136">
        <f>IF([2]Baskol!$K$1139="","",[2]Baskol!$K$1139)</f>
        <v/>
      </c>
      <c r="AC1136">
        <f>IF([2]Baskol!$L$1139="","",[2]Baskol!$L$1139)</f>
        <v/>
      </c>
      <c r="AD1136">
        <f>IF([2]Baskol!$N$1139="","",[2]Baskol!$N$1139)</f>
        <v/>
      </c>
      <c r="AE1136">
        <f>IF([2]Baskol!$O$1139="","",[2]Baskol!$O$1139)</f>
        <v/>
      </c>
      <c r="AG1136">
        <f>IF([3]Entry!$C$1139="","",[3]Entry!$C$1139)</f>
        <v/>
      </c>
      <c r="AH1136">
        <f>IF([3]Entry!$D$1139="","",[3]Entry!$D$1139)</f>
        <v/>
      </c>
      <c r="AI1136">
        <f>IF([3]Entry!$E$1139="","",[3]Entry!$E$1139)</f>
        <v/>
      </c>
      <c r="AJ1136">
        <f>IF([3]Entry!$G$1139="","",[3]Entry!$G$1139)</f>
        <v/>
      </c>
      <c r="AK1136">
        <f>IF([3]Entry!$K$1139="","",[3]Entry!$K$1139)</f>
        <v/>
      </c>
      <c r="AL1136">
        <f>IF([3]Entry!$L$1139="","",[3]Entry!$L$1139)</f>
        <v/>
      </c>
      <c r="AM1136">
        <f>IF([3]Entry!$M$1139="","",[3]Entry!$M$1139)</f>
        <v/>
      </c>
      <c r="AN1136">
        <f>IF([3]Entry!$N$1139="","",[3]Entry!$N$1139)</f>
        <v/>
      </c>
      <c r="AO1136">
        <f>IF([3]Entry!$R$1139="","",[3]Entry!$R$1139)</f>
        <v/>
      </c>
    </row>
    <row r="1137">
      <c r="U1137">
        <f>IF([2]Baskol!$B$1140="","",[2]Baskol!$B$1140)</f>
        <v/>
      </c>
      <c r="V1137">
        <f>IF([2]Baskol!$C$1140="","",[2]Baskol!$C$1140)</f>
        <v/>
      </c>
      <c r="W1137">
        <f>IF([2]Baskol!$D$1140="","",[2]Baskol!$D$1140)</f>
        <v/>
      </c>
      <c r="X1137">
        <f>IF([2]Baskol!$E$1140="","",[2]Baskol!$E$1140)</f>
        <v/>
      </c>
      <c r="Y1137">
        <f>IF([2]Baskol!$G$1140="","",[2]Baskol!$G$1140)</f>
        <v/>
      </c>
      <c r="Z1137">
        <f>IF([2]Baskol!$I$1140="","",[2]Baskol!$I$1140)</f>
        <v/>
      </c>
      <c r="AA1137">
        <f>IF([2]Baskol!$J$1140="","",[2]Baskol!$J$1140)</f>
        <v/>
      </c>
      <c r="AB1137">
        <f>IF([2]Baskol!$K$1140="","",[2]Baskol!$K$1140)</f>
        <v/>
      </c>
      <c r="AC1137">
        <f>IF([2]Baskol!$L$1140="","",[2]Baskol!$L$1140)</f>
        <v/>
      </c>
      <c r="AD1137">
        <f>IF([2]Baskol!$N$1140="","",[2]Baskol!$N$1140)</f>
        <v/>
      </c>
      <c r="AE1137">
        <f>IF([2]Baskol!$O$1140="","",[2]Baskol!$O$1140)</f>
        <v/>
      </c>
      <c r="AG1137">
        <f>IF([3]Entry!$C$1140="","",[3]Entry!$C$1140)</f>
        <v/>
      </c>
      <c r="AH1137">
        <f>IF([3]Entry!$D$1140="","",[3]Entry!$D$1140)</f>
        <v/>
      </c>
      <c r="AI1137">
        <f>IF([3]Entry!$E$1140="","",[3]Entry!$E$1140)</f>
        <v/>
      </c>
      <c r="AJ1137">
        <f>IF([3]Entry!$G$1140="","",[3]Entry!$G$1140)</f>
        <v/>
      </c>
      <c r="AK1137">
        <f>IF([3]Entry!$K$1140="","",[3]Entry!$K$1140)</f>
        <v/>
      </c>
      <c r="AL1137">
        <f>IF([3]Entry!$L$1140="","",[3]Entry!$L$1140)</f>
        <v/>
      </c>
      <c r="AM1137">
        <f>IF([3]Entry!$M$1140="","",[3]Entry!$M$1140)</f>
        <v/>
      </c>
      <c r="AN1137">
        <f>IF([3]Entry!$N$1140="","",[3]Entry!$N$1140)</f>
        <v/>
      </c>
      <c r="AO1137">
        <f>IF([3]Entry!$R$1140="","",[3]Entry!$R$1140)</f>
        <v/>
      </c>
    </row>
    <row r="1138">
      <c r="U1138">
        <f>IF([2]Baskol!$B$1141="","",[2]Baskol!$B$1141)</f>
        <v/>
      </c>
      <c r="V1138">
        <f>IF([2]Baskol!$C$1141="","",[2]Baskol!$C$1141)</f>
        <v/>
      </c>
      <c r="W1138">
        <f>IF([2]Baskol!$D$1141="","",[2]Baskol!$D$1141)</f>
        <v/>
      </c>
      <c r="X1138">
        <f>IF([2]Baskol!$E$1141="","",[2]Baskol!$E$1141)</f>
        <v/>
      </c>
      <c r="Y1138">
        <f>IF([2]Baskol!$G$1141="","",[2]Baskol!$G$1141)</f>
        <v/>
      </c>
      <c r="Z1138">
        <f>IF([2]Baskol!$I$1141="","",[2]Baskol!$I$1141)</f>
        <v/>
      </c>
      <c r="AA1138">
        <f>IF([2]Baskol!$J$1141="","",[2]Baskol!$J$1141)</f>
        <v/>
      </c>
      <c r="AB1138">
        <f>IF([2]Baskol!$K$1141="","",[2]Baskol!$K$1141)</f>
        <v/>
      </c>
      <c r="AC1138">
        <f>IF([2]Baskol!$L$1141="","",[2]Baskol!$L$1141)</f>
        <v/>
      </c>
      <c r="AD1138">
        <f>IF([2]Baskol!$N$1141="","",[2]Baskol!$N$1141)</f>
        <v/>
      </c>
      <c r="AE1138">
        <f>IF([2]Baskol!$O$1141="","",[2]Baskol!$O$1141)</f>
        <v/>
      </c>
      <c r="AG1138">
        <f>IF([3]Entry!$C$1141="","",[3]Entry!$C$1141)</f>
        <v/>
      </c>
      <c r="AH1138">
        <f>IF([3]Entry!$D$1141="","",[3]Entry!$D$1141)</f>
        <v/>
      </c>
      <c r="AI1138">
        <f>IF([3]Entry!$E$1141="","",[3]Entry!$E$1141)</f>
        <v/>
      </c>
      <c r="AJ1138">
        <f>IF([3]Entry!$G$1141="","",[3]Entry!$G$1141)</f>
        <v/>
      </c>
      <c r="AK1138">
        <f>IF([3]Entry!$K$1141="","",[3]Entry!$K$1141)</f>
        <v/>
      </c>
      <c r="AL1138">
        <f>IF([3]Entry!$L$1141="","",[3]Entry!$L$1141)</f>
        <v/>
      </c>
      <c r="AM1138">
        <f>IF([3]Entry!$M$1141="","",[3]Entry!$M$1141)</f>
        <v/>
      </c>
      <c r="AN1138">
        <f>IF([3]Entry!$N$1141="","",[3]Entry!$N$1141)</f>
        <v/>
      </c>
      <c r="AO1138">
        <f>IF([3]Entry!$R$1141="","",[3]Entry!$R$1141)</f>
        <v/>
      </c>
    </row>
    <row r="1139">
      <c r="U1139">
        <f>IF([2]Baskol!$B$1142="","",[2]Baskol!$B$1142)</f>
        <v/>
      </c>
      <c r="V1139">
        <f>IF([2]Baskol!$C$1142="","",[2]Baskol!$C$1142)</f>
        <v/>
      </c>
      <c r="W1139">
        <f>IF([2]Baskol!$D$1142="","",[2]Baskol!$D$1142)</f>
        <v/>
      </c>
      <c r="X1139">
        <f>IF([2]Baskol!$E$1142="","",[2]Baskol!$E$1142)</f>
        <v/>
      </c>
      <c r="Y1139">
        <f>IF([2]Baskol!$G$1142="","",[2]Baskol!$G$1142)</f>
        <v/>
      </c>
      <c r="Z1139">
        <f>IF([2]Baskol!$I$1142="","",[2]Baskol!$I$1142)</f>
        <v/>
      </c>
      <c r="AA1139">
        <f>IF([2]Baskol!$J$1142="","",[2]Baskol!$J$1142)</f>
        <v/>
      </c>
      <c r="AB1139">
        <f>IF([2]Baskol!$K$1142="","",[2]Baskol!$K$1142)</f>
        <v/>
      </c>
      <c r="AC1139">
        <f>IF([2]Baskol!$L$1142="","",[2]Baskol!$L$1142)</f>
        <v/>
      </c>
      <c r="AD1139">
        <f>IF([2]Baskol!$N$1142="","",[2]Baskol!$N$1142)</f>
        <v/>
      </c>
      <c r="AE1139">
        <f>IF([2]Baskol!$O$1142="","",[2]Baskol!$O$1142)</f>
        <v/>
      </c>
      <c r="AG1139">
        <f>IF([3]Entry!$C$1142="","",[3]Entry!$C$1142)</f>
        <v/>
      </c>
      <c r="AH1139">
        <f>IF([3]Entry!$D$1142="","",[3]Entry!$D$1142)</f>
        <v/>
      </c>
      <c r="AI1139">
        <f>IF([3]Entry!$E$1142="","",[3]Entry!$E$1142)</f>
        <v/>
      </c>
      <c r="AJ1139">
        <f>IF([3]Entry!$G$1142="","",[3]Entry!$G$1142)</f>
        <v/>
      </c>
      <c r="AK1139">
        <f>IF([3]Entry!$K$1142="","",[3]Entry!$K$1142)</f>
        <v/>
      </c>
      <c r="AL1139">
        <f>IF([3]Entry!$L$1142="","",[3]Entry!$L$1142)</f>
        <v/>
      </c>
      <c r="AM1139">
        <f>IF([3]Entry!$M$1142="","",[3]Entry!$M$1142)</f>
        <v/>
      </c>
      <c r="AN1139">
        <f>IF([3]Entry!$N$1142="","",[3]Entry!$N$1142)</f>
        <v/>
      </c>
      <c r="AO1139">
        <f>IF([3]Entry!$R$1142="","",[3]Entry!$R$1142)</f>
        <v/>
      </c>
    </row>
    <row r="1140">
      <c r="U1140">
        <f>IF([2]Baskol!$B$1143="","",[2]Baskol!$B$1143)</f>
        <v/>
      </c>
      <c r="V1140">
        <f>IF([2]Baskol!$C$1143="","",[2]Baskol!$C$1143)</f>
        <v/>
      </c>
      <c r="W1140">
        <f>IF([2]Baskol!$D$1143="","",[2]Baskol!$D$1143)</f>
        <v/>
      </c>
      <c r="X1140">
        <f>IF([2]Baskol!$E$1143="","",[2]Baskol!$E$1143)</f>
        <v/>
      </c>
      <c r="Y1140">
        <f>IF([2]Baskol!$G$1143="","",[2]Baskol!$G$1143)</f>
        <v/>
      </c>
      <c r="Z1140">
        <f>IF([2]Baskol!$I$1143="","",[2]Baskol!$I$1143)</f>
        <v/>
      </c>
      <c r="AA1140">
        <f>IF([2]Baskol!$J$1143="","",[2]Baskol!$J$1143)</f>
        <v/>
      </c>
      <c r="AB1140">
        <f>IF([2]Baskol!$K$1143="","",[2]Baskol!$K$1143)</f>
        <v/>
      </c>
      <c r="AC1140">
        <f>IF([2]Baskol!$L$1143="","",[2]Baskol!$L$1143)</f>
        <v/>
      </c>
      <c r="AD1140">
        <f>IF([2]Baskol!$N$1143="","",[2]Baskol!$N$1143)</f>
        <v/>
      </c>
      <c r="AE1140">
        <f>IF([2]Baskol!$O$1143="","",[2]Baskol!$O$1143)</f>
        <v/>
      </c>
      <c r="AG1140">
        <f>IF([3]Entry!$C$1143="","",[3]Entry!$C$1143)</f>
        <v/>
      </c>
      <c r="AH1140">
        <f>IF([3]Entry!$D$1143="","",[3]Entry!$D$1143)</f>
        <v/>
      </c>
      <c r="AI1140">
        <f>IF([3]Entry!$E$1143="","",[3]Entry!$E$1143)</f>
        <v/>
      </c>
      <c r="AJ1140">
        <f>IF([3]Entry!$G$1143="","",[3]Entry!$G$1143)</f>
        <v/>
      </c>
      <c r="AK1140">
        <f>IF([3]Entry!$K$1143="","",[3]Entry!$K$1143)</f>
        <v/>
      </c>
      <c r="AL1140">
        <f>IF([3]Entry!$L$1143="","",[3]Entry!$L$1143)</f>
        <v/>
      </c>
      <c r="AM1140">
        <f>IF([3]Entry!$M$1143="","",[3]Entry!$M$1143)</f>
        <v/>
      </c>
      <c r="AN1140">
        <f>IF([3]Entry!$N$1143="","",[3]Entry!$N$1143)</f>
        <v/>
      </c>
      <c r="AO1140">
        <f>IF([3]Entry!$R$1143="","",[3]Entry!$R$1143)</f>
        <v/>
      </c>
    </row>
    <row r="1141">
      <c r="U1141">
        <f>IF([2]Baskol!$B$1144="","",[2]Baskol!$B$1144)</f>
        <v/>
      </c>
      <c r="V1141">
        <f>IF([2]Baskol!$C$1144="","",[2]Baskol!$C$1144)</f>
        <v/>
      </c>
      <c r="W1141">
        <f>IF([2]Baskol!$D$1144="","",[2]Baskol!$D$1144)</f>
        <v/>
      </c>
      <c r="X1141">
        <f>IF([2]Baskol!$E$1144="","",[2]Baskol!$E$1144)</f>
        <v/>
      </c>
      <c r="Y1141">
        <f>IF([2]Baskol!$G$1144="","",[2]Baskol!$G$1144)</f>
        <v/>
      </c>
      <c r="Z1141">
        <f>IF([2]Baskol!$I$1144="","",[2]Baskol!$I$1144)</f>
        <v/>
      </c>
      <c r="AA1141">
        <f>IF([2]Baskol!$J$1144="","",[2]Baskol!$J$1144)</f>
        <v/>
      </c>
      <c r="AB1141">
        <f>IF([2]Baskol!$K$1144="","",[2]Baskol!$K$1144)</f>
        <v/>
      </c>
      <c r="AC1141">
        <f>IF([2]Baskol!$L$1144="","",[2]Baskol!$L$1144)</f>
        <v/>
      </c>
      <c r="AD1141">
        <f>IF([2]Baskol!$N$1144="","",[2]Baskol!$N$1144)</f>
        <v/>
      </c>
      <c r="AE1141">
        <f>IF([2]Baskol!$O$1144="","",[2]Baskol!$O$1144)</f>
        <v/>
      </c>
      <c r="AG1141">
        <f>IF([3]Entry!$C$1144="","",[3]Entry!$C$1144)</f>
        <v/>
      </c>
      <c r="AH1141">
        <f>IF([3]Entry!$D$1144="","",[3]Entry!$D$1144)</f>
        <v/>
      </c>
      <c r="AI1141">
        <f>IF([3]Entry!$E$1144="","",[3]Entry!$E$1144)</f>
        <v/>
      </c>
      <c r="AJ1141">
        <f>IF([3]Entry!$G$1144="","",[3]Entry!$G$1144)</f>
        <v/>
      </c>
      <c r="AK1141">
        <f>IF([3]Entry!$K$1144="","",[3]Entry!$K$1144)</f>
        <v/>
      </c>
      <c r="AL1141">
        <f>IF([3]Entry!$L$1144="","",[3]Entry!$L$1144)</f>
        <v/>
      </c>
      <c r="AM1141">
        <f>IF([3]Entry!$M$1144="","",[3]Entry!$M$1144)</f>
        <v/>
      </c>
      <c r="AN1141">
        <f>IF([3]Entry!$N$1144="","",[3]Entry!$N$1144)</f>
        <v/>
      </c>
      <c r="AO1141">
        <f>IF([3]Entry!$R$1144="","",[3]Entry!$R$1144)</f>
        <v/>
      </c>
    </row>
    <row r="1142">
      <c r="U1142">
        <f>IF([2]Baskol!$B$1145="","",[2]Baskol!$B$1145)</f>
        <v/>
      </c>
      <c r="V1142">
        <f>IF([2]Baskol!$C$1145="","",[2]Baskol!$C$1145)</f>
        <v/>
      </c>
      <c r="W1142">
        <f>IF([2]Baskol!$D$1145="","",[2]Baskol!$D$1145)</f>
        <v/>
      </c>
      <c r="X1142">
        <f>IF([2]Baskol!$E$1145="","",[2]Baskol!$E$1145)</f>
        <v/>
      </c>
      <c r="Y1142">
        <f>IF([2]Baskol!$G$1145="","",[2]Baskol!$G$1145)</f>
        <v/>
      </c>
      <c r="Z1142">
        <f>IF([2]Baskol!$I$1145="","",[2]Baskol!$I$1145)</f>
        <v/>
      </c>
      <c r="AA1142">
        <f>IF([2]Baskol!$J$1145="","",[2]Baskol!$J$1145)</f>
        <v/>
      </c>
      <c r="AB1142">
        <f>IF([2]Baskol!$K$1145="","",[2]Baskol!$K$1145)</f>
        <v/>
      </c>
      <c r="AC1142">
        <f>IF([2]Baskol!$L$1145="","",[2]Baskol!$L$1145)</f>
        <v/>
      </c>
      <c r="AD1142">
        <f>IF([2]Baskol!$N$1145="","",[2]Baskol!$N$1145)</f>
        <v/>
      </c>
      <c r="AE1142">
        <f>IF([2]Baskol!$O$1145="","",[2]Baskol!$O$1145)</f>
        <v/>
      </c>
      <c r="AG1142">
        <f>IF([3]Entry!$C$1145="","",[3]Entry!$C$1145)</f>
        <v/>
      </c>
      <c r="AH1142">
        <f>IF([3]Entry!$D$1145="","",[3]Entry!$D$1145)</f>
        <v/>
      </c>
      <c r="AI1142">
        <f>IF([3]Entry!$E$1145="","",[3]Entry!$E$1145)</f>
        <v/>
      </c>
      <c r="AJ1142">
        <f>IF([3]Entry!$G$1145="","",[3]Entry!$G$1145)</f>
        <v/>
      </c>
      <c r="AK1142">
        <f>IF([3]Entry!$K$1145="","",[3]Entry!$K$1145)</f>
        <v/>
      </c>
      <c r="AL1142">
        <f>IF([3]Entry!$L$1145="","",[3]Entry!$L$1145)</f>
        <v/>
      </c>
      <c r="AM1142">
        <f>IF([3]Entry!$M$1145="","",[3]Entry!$M$1145)</f>
        <v/>
      </c>
      <c r="AN1142">
        <f>IF([3]Entry!$N$1145="","",[3]Entry!$N$1145)</f>
        <v/>
      </c>
      <c r="AO1142">
        <f>IF([3]Entry!$R$1145="","",[3]Entry!$R$1145)</f>
        <v/>
      </c>
    </row>
    <row r="1143">
      <c r="U1143">
        <f>IF([2]Baskol!$B$1146="","",[2]Baskol!$B$1146)</f>
        <v/>
      </c>
      <c r="V1143">
        <f>IF([2]Baskol!$C$1146="","",[2]Baskol!$C$1146)</f>
        <v/>
      </c>
      <c r="W1143">
        <f>IF([2]Baskol!$D$1146="","",[2]Baskol!$D$1146)</f>
        <v/>
      </c>
      <c r="X1143">
        <f>IF([2]Baskol!$E$1146="","",[2]Baskol!$E$1146)</f>
        <v/>
      </c>
      <c r="Y1143">
        <f>IF([2]Baskol!$G$1146="","",[2]Baskol!$G$1146)</f>
        <v/>
      </c>
      <c r="Z1143">
        <f>IF([2]Baskol!$I$1146="","",[2]Baskol!$I$1146)</f>
        <v/>
      </c>
      <c r="AA1143">
        <f>IF([2]Baskol!$J$1146="","",[2]Baskol!$J$1146)</f>
        <v/>
      </c>
      <c r="AB1143">
        <f>IF([2]Baskol!$K$1146="","",[2]Baskol!$K$1146)</f>
        <v/>
      </c>
      <c r="AC1143">
        <f>IF([2]Baskol!$L$1146="","",[2]Baskol!$L$1146)</f>
        <v/>
      </c>
      <c r="AD1143">
        <f>IF([2]Baskol!$N$1146="","",[2]Baskol!$N$1146)</f>
        <v/>
      </c>
      <c r="AE1143">
        <f>IF([2]Baskol!$O$1146="","",[2]Baskol!$O$1146)</f>
        <v/>
      </c>
      <c r="AG1143">
        <f>IF([3]Entry!$C$1146="","",[3]Entry!$C$1146)</f>
        <v/>
      </c>
      <c r="AH1143">
        <f>IF([3]Entry!$D$1146="","",[3]Entry!$D$1146)</f>
        <v/>
      </c>
      <c r="AI1143">
        <f>IF([3]Entry!$E$1146="","",[3]Entry!$E$1146)</f>
        <v/>
      </c>
      <c r="AJ1143">
        <f>IF([3]Entry!$G$1146="","",[3]Entry!$G$1146)</f>
        <v/>
      </c>
      <c r="AK1143">
        <f>IF([3]Entry!$K$1146="","",[3]Entry!$K$1146)</f>
        <v/>
      </c>
      <c r="AL1143">
        <f>IF([3]Entry!$L$1146="","",[3]Entry!$L$1146)</f>
        <v/>
      </c>
      <c r="AM1143">
        <f>IF([3]Entry!$M$1146="","",[3]Entry!$M$1146)</f>
        <v/>
      </c>
      <c r="AN1143">
        <f>IF([3]Entry!$N$1146="","",[3]Entry!$N$1146)</f>
        <v/>
      </c>
      <c r="AO1143">
        <f>IF([3]Entry!$R$1146="","",[3]Entry!$R$1146)</f>
        <v/>
      </c>
    </row>
    <row r="1144">
      <c r="U1144">
        <f>IF([2]Baskol!$B$1147="","",[2]Baskol!$B$1147)</f>
        <v/>
      </c>
      <c r="V1144">
        <f>IF([2]Baskol!$C$1147="","",[2]Baskol!$C$1147)</f>
        <v/>
      </c>
      <c r="W1144">
        <f>IF([2]Baskol!$D$1147="","",[2]Baskol!$D$1147)</f>
        <v/>
      </c>
      <c r="X1144">
        <f>IF([2]Baskol!$E$1147="","",[2]Baskol!$E$1147)</f>
        <v/>
      </c>
      <c r="Y1144">
        <f>IF([2]Baskol!$G$1147="","",[2]Baskol!$G$1147)</f>
        <v/>
      </c>
      <c r="Z1144">
        <f>IF([2]Baskol!$I$1147="","",[2]Baskol!$I$1147)</f>
        <v/>
      </c>
      <c r="AA1144">
        <f>IF([2]Baskol!$J$1147="","",[2]Baskol!$J$1147)</f>
        <v/>
      </c>
      <c r="AB1144">
        <f>IF([2]Baskol!$K$1147="","",[2]Baskol!$K$1147)</f>
        <v/>
      </c>
      <c r="AC1144">
        <f>IF([2]Baskol!$L$1147="","",[2]Baskol!$L$1147)</f>
        <v/>
      </c>
      <c r="AD1144">
        <f>IF([2]Baskol!$N$1147="","",[2]Baskol!$N$1147)</f>
        <v/>
      </c>
      <c r="AE1144">
        <f>IF([2]Baskol!$O$1147="","",[2]Baskol!$O$1147)</f>
        <v/>
      </c>
      <c r="AG1144">
        <f>IF([3]Entry!$C$1147="","",[3]Entry!$C$1147)</f>
        <v/>
      </c>
      <c r="AH1144">
        <f>IF([3]Entry!$D$1147="","",[3]Entry!$D$1147)</f>
        <v/>
      </c>
      <c r="AI1144">
        <f>IF([3]Entry!$E$1147="","",[3]Entry!$E$1147)</f>
        <v/>
      </c>
      <c r="AJ1144">
        <f>IF([3]Entry!$G$1147="","",[3]Entry!$G$1147)</f>
        <v/>
      </c>
      <c r="AK1144">
        <f>IF([3]Entry!$K$1147="","",[3]Entry!$K$1147)</f>
        <v/>
      </c>
      <c r="AL1144">
        <f>IF([3]Entry!$L$1147="","",[3]Entry!$L$1147)</f>
        <v/>
      </c>
      <c r="AM1144">
        <f>IF([3]Entry!$M$1147="","",[3]Entry!$M$1147)</f>
        <v/>
      </c>
      <c r="AN1144">
        <f>IF([3]Entry!$N$1147="","",[3]Entry!$N$1147)</f>
        <v/>
      </c>
      <c r="AO1144">
        <f>IF([3]Entry!$R$1147="","",[3]Entry!$R$1147)</f>
        <v/>
      </c>
    </row>
    <row r="1145">
      <c r="U1145">
        <f>IF([2]Baskol!$B$1148="","",[2]Baskol!$B$1148)</f>
        <v/>
      </c>
      <c r="V1145">
        <f>IF([2]Baskol!$C$1148="","",[2]Baskol!$C$1148)</f>
        <v/>
      </c>
      <c r="W1145">
        <f>IF([2]Baskol!$D$1148="","",[2]Baskol!$D$1148)</f>
        <v/>
      </c>
      <c r="X1145">
        <f>IF([2]Baskol!$E$1148="","",[2]Baskol!$E$1148)</f>
        <v/>
      </c>
      <c r="Y1145">
        <f>IF([2]Baskol!$G$1148="","",[2]Baskol!$G$1148)</f>
        <v/>
      </c>
      <c r="Z1145">
        <f>IF([2]Baskol!$I$1148="","",[2]Baskol!$I$1148)</f>
        <v/>
      </c>
      <c r="AA1145">
        <f>IF([2]Baskol!$J$1148="","",[2]Baskol!$J$1148)</f>
        <v/>
      </c>
      <c r="AB1145">
        <f>IF([2]Baskol!$K$1148="","",[2]Baskol!$K$1148)</f>
        <v/>
      </c>
      <c r="AC1145">
        <f>IF([2]Baskol!$L$1148="","",[2]Baskol!$L$1148)</f>
        <v/>
      </c>
      <c r="AD1145">
        <f>IF([2]Baskol!$N$1148="","",[2]Baskol!$N$1148)</f>
        <v/>
      </c>
      <c r="AE1145">
        <f>IF([2]Baskol!$O$1148="","",[2]Baskol!$O$1148)</f>
        <v/>
      </c>
      <c r="AG1145">
        <f>IF([3]Entry!$C$1148="","",[3]Entry!$C$1148)</f>
        <v/>
      </c>
      <c r="AH1145">
        <f>IF([3]Entry!$D$1148="","",[3]Entry!$D$1148)</f>
        <v/>
      </c>
      <c r="AI1145">
        <f>IF([3]Entry!$E$1148="","",[3]Entry!$E$1148)</f>
        <v/>
      </c>
      <c r="AJ1145">
        <f>IF([3]Entry!$G$1148="","",[3]Entry!$G$1148)</f>
        <v/>
      </c>
      <c r="AK1145">
        <f>IF([3]Entry!$K$1148="","",[3]Entry!$K$1148)</f>
        <v/>
      </c>
      <c r="AL1145">
        <f>IF([3]Entry!$L$1148="","",[3]Entry!$L$1148)</f>
        <v/>
      </c>
      <c r="AM1145">
        <f>IF([3]Entry!$M$1148="","",[3]Entry!$M$1148)</f>
        <v/>
      </c>
      <c r="AN1145">
        <f>IF([3]Entry!$N$1148="","",[3]Entry!$N$1148)</f>
        <v/>
      </c>
      <c r="AO1145">
        <f>IF([3]Entry!$R$1148="","",[3]Entry!$R$1148)</f>
        <v/>
      </c>
    </row>
    <row r="1146">
      <c r="U1146">
        <f>IF([2]Baskol!$B$1149="","",[2]Baskol!$B$1149)</f>
        <v/>
      </c>
      <c r="V1146">
        <f>IF([2]Baskol!$C$1149="","",[2]Baskol!$C$1149)</f>
        <v/>
      </c>
      <c r="W1146">
        <f>IF([2]Baskol!$D$1149="","",[2]Baskol!$D$1149)</f>
        <v/>
      </c>
      <c r="X1146">
        <f>IF([2]Baskol!$E$1149="","",[2]Baskol!$E$1149)</f>
        <v/>
      </c>
      <c r="Y1146">
        <f>IF([2]Baskol!$G$1149="","",[2]Baskol!$G$1149)</f>
        <v/>
      </c>
      <c r="Z1146">
        <f>IF([2]Baskol!$I$1149="","",[2]Baskol!$I$1149)</f>
        <v/>
      </c>
      <c r="AA1146">
        <f>IF([2]Baskol!$J$1149="","",[2]Baskol!$J$1149)</f>
        <v/>
      </c>
      <c r="AB1146">
        <f>IF([2]Baskol!$K$1149="","",[2]Baskol!$K$1149)</f>
        <v/>
      </c>
      <c r="AC1146">
        <f>IF([2]Baskol!$L$1149="","",[2]Baskol!$L$1149)</f>
        <v/>
      </c>
      <c r="AD1146">
        <f>IF([2]Baskol!$N$1149="","",[2]Baskol!$N$1149)</f>
        <v/>
      </c>
      <c r="AE1146">
        <f>IF([2]Baskol!$O$1149="","",[2]Baskol!$O$1149)</f>
        <v/>
      </c>
      <c r="AG1146">
        <f>IF([3]Entry!$C$1149="","",[3]Entry!$C$1149)</f>
        <v/>
      </c>
      <c r="AH1146">
        <f>IF([3]Entry!$D$1149="","",[3]Entry!$D$1149)</f>
        <v/>
      </c>
      <c r="AI1146">
        <f>IF([3]Entry!$E$1149="","",[3]Entry!$E$1149)</f>
        <v/>
      </c>
      <c r="AJ1146">
        <f>IF([3]Entry!$G$1149="","",[3]Entry!$G$1149)</f>
        <v/>
      </c>
      <c r="AK1146">
        <f>IF([3]Entry!$K$1149="","",[3]Entry!$K$1149)</f>
        <v/>
      </c>
      <c r="AL1146">
        <f>IF([3]Entry!$L$1149="","",[3]Entry!$L$1149)</f>
        <v/>
      </c>
      <c r="AM1146">
        <f>IF([3]Entry!$M$1149="","",[3]Entry!$M$1149)</f>
        <v/>
      </c>
      <c r="AN1146">
        <f>IF([3]Entry!$N$1149="","",[3]Entry!$N$1149)</f>
        <v/>
      </c>
      <c r="AO1146">
        <f>IF([3]Entry!$R$1149="","",[3]Entry!$R$1149)</f>
        <v/>
      </c>
    </row>
    <row r="1147">
      <c r="U1147">
        <f>IF([2]Baskol!$B$1150="","",[2]Baskol!$B$1150)</f>
        <v/>
      </c>
      <c r="V1147">
        <f>IF([2]Baskol!$C$1150="","",[2]Baskol!$C$1150)</f>
        <v/>
      </c>
      <c r="W1147">
        <f>IF([2]Baskol!$D$1150="","",[2]Baskol!$D$1150)</f>
        <v/>
      </c>
      <c r="X1147">
        <f>IF([2]Baskol!$E$1150="","",[2]Baskol!$E$1150)</f>
        <v/>
      </c>
      <c r="Y1147">
        <f>IF([2]Baskol!$G$1150="","",[2]Baskol!$G$1150)</f>
        <v/>
      </c>
      <c r="Z1147">
        <f>IF([2]Baskol!$I$1150="","",[2]Baskol!$I$1150)</f>
        <v/>
      </c>
      <c r="AA1147">
        <f>IF([2]Baskol!$J$1150="","",[2]Baskol!$J$1150)</f>
        <v/>
      </c>
      <c r="AB1147">
        <f>IF([2]Baskol!$K$1150="","",[2]Baskol!$K$1150)</f>
        <v/>
      </c>
      <c r="AC1147">
        <f>IF([2]Baskol!$L$1150="","",[2]Baskol!$L$1150)</f>
        <v/>
      </c>
      <c r="AD1147">
        <f>IF([2]Baskol!$N$1150="","",[2]Baskol!$N$1150)</f>
        <v/>
      </c>
      <c r="AE1147">
        <f>IF([2]Baskol!$O$1150="","",[2]Baskol!$O$1150)</f>
        <v/>
      </c>
      <c r="AG1147">
        <f>IF([3]Entry!$C$1150="","",[3]Entry!$C$1150)</f>
        <v/>
      </c>
      <c r="AH1147">
        <f>IF([3]Entry!$D$1150="","",[3]Entry!$D$1150)</f>
        <v/>
      </c>
      <c r="AI1147">
        <f>IF([3]Entry!$E$1150="","",[3]Entry!$E$1150)</f>
        <v/>
      </c>
      <c r="AJ1147">
        <f>IF([3]Entry!$G$1150="","",[3]Entry!$G$1150)</f>
        <v/>
      </c>
      <c r="AK1147">
        <f>IF([3]Entry!$K$1150="","",[3]Entry!$K$1150)</f>
        <v/>
      </c>
      <c r="AL1147">
        <f>IF([3]Entry!$L$1150="","",[3]Entry!$L$1150)</f>
        <v/>
      </c>
      <c r="AM1147">
        <f>IF([3]Entry!$M$1150="","",[3]Entry!$M$1150)</f>
        <v/>
      </c>
      <c r="AN1147">
        <f>IF([3]Entry!$N$1150="","",[3]Entry!$N$1150)</f>
        <v/>
      </c>
      <c r="AO1147">
        <f>IF([3]Entry!$R$1150="","",[3]Entry!$R$1150)</f>
        <v/>
      </c>
    </row>
    <row r="1148">
      <c r="U1148">
        <f>IF([2]Baskol!$B$1151="","",[2]Baskol!$B$1151)</f>
        <v/>
      </c>
      <c r="V1148">
        <f>IF([2]Baskol!$C$1151="","",[2]Baskol!$C$1151)</f>
        <v/>
      </c>
      <c r="W1148">
        <f>IF([2]Baskol!$D$1151="","",[2]Baskol!$D$1151)</f>
        <v/>
      </c>
      <c r="X1148">
        <f>IF([2]Baskol!$E$1151="","",[2]Baskol!$E$1151)</f>
        <v/>
      </c>
      <c r="Y1148">
        <f>IF([2]Baskol!$G$1151="","",[2]Baskol!$G$1151)</f>
        <v/>
      </c>
      <c r="Z1148">
        <f>IF([2]Baskol!$I$1151="","",[2]Baskol!$I$1151)</f>
        <v/>
      </c>
      <c r="AA1148">
        <f>IF([2]Baskol!$J$1151="","",[2]Baskol!$J$1151)</f>
        <v/>
      </c>
      <c r="AB1148">
        <f>IF([2]Baskol!$K$1151="","",[2]Baskol!$K$1151)</f>
        <v/>
      </c>
      <c r="AC1148">
        <f>IF([2]Baskol!$L$1151="","",[2]Baskol!$L$1151)</f>
        <v/>
      </c>
      <c r="AD1148">
        <f>IF([2]Baskol!$N$1151="","",[2]Baskol!$N$1151)</f>
        <v/>
      </c>
      <c r="AE1148">
        <f>IF([2]Baskol!$O$1151="","",[2]Baskol!$O$1151)</f>
        <v/>
      </c>
      <c r="AG1148">
        <f>IF([3]Entry!$C$1151="","",[3]Entry!$C$1151)</f>
        <v/>
      </c>
      <c r="AH1148">
        <f>IF([3]Entry!$D$1151="","",[3]Entry!$D$1151)</f>
        <v/>
      </c>
      <c r="AI1148">
        <f>IF([3]Entry!$E$1151="","",[3]Entry!$E$1151)</f>
        <v/>
      </c>
      <c r="AJ1148">
        <f>IF([3]Entry!$G$1151="","",[3]Entry!$G$1151)</f>
        <v/>
      </c>
      <c r="AK1148">
        <f>IF([3]Entry!$K$1151="","",[3]Entry!$K$1151)</f>
        <v/>
      </c>
      <c r="AL1148">
        <f>IF([3]Entry!$L$1151="","",[3]Entry!$L$1151)</f>
        <v/>
      </c>
      <c r="AM1148">
        <f>IF([3]Entry!$M$1151="","",[3]Entry!$M$1151)</f>
        <v/>
      </c>
      <c r="AN1148">
        <f>IF([3]Entry!$N$1151="","",[3]Entry!$N$1151)</f>
        <v/>
      </c>
      <c r="AO1148">
        <f>IF([3]Entry!$R$1151="","",[3]Entry!$R$1151)</f>
        <v/>
      </c>
    </row>
    <row r="1149">
      <c r="U1149">
        <f>IF([2]Baskol!$B$1152="","",[2]Baskol!$B$1152)</f>
        <v/>
      </c>
      <c r="V1149">
        <f>IF([2]Baskol!$C$1152="","",[2]Baskol!$C$1152)</f>
        <v/>
      </c>
      <c r="W1149">
        <f>IF([2]Baskol!$D$1152="","",[2]Baskol!$D$1152)</f>
        <v/>
      </c>
      <c r="X1149">
        <f>IF([2]Baskol!$E$1152="","",[2]Baskol!$E$1152)</f>
        <v/>
      </c>
      <c r="Y1149">
        <f>IF([2]Baskol!$G$1152="","",[2]Baskol!$G$1152)</f>
        <v/>
      </c>
      <c r="Z1149">
        <f>IF([2]Baskol!$I$1152="","",[2]Baskol!$I$1152)</f>
        <v/>
      </c>
      <c r="AA1149">
        <f>IF([2]Baskol!$J$1152="","",[2]Baskol!$J$1152)</f>
        <v/>
      </c>
      <c r="AB1149">
        <f>IF([2]Baskol!$K$1152="","",[2]Baskol!$K$1152)</f>
        <v/>
      </c>
      <c r="AC1149">
        <f>IF([2]Baskol!$L$1152="","",[2]Baskol!$L$1152)</f>
        <v/>
      </c>
      <c r="AD1149">
        <f>IF([2]Baskol!$N$1152="","",[2]Baskol!$N$1152)</f>
        <v/>
      </c>
      <c r="AE1149">
        <f>IF([2]Baskol!$O$1152="","",[2]Baskol!$O$1152)</f>
        <v/>
      </c>
      <c r="AG1149">
        <f>IF([3]Entry!$C$1152="","",[3]Entry!$C$1152)</f>
        <v/>
      </c>
      <c r="AH1149">
        <f>IF([3]Entry!$D$1152="","",[3]Entry!$D$1152)</f>
        <v/>
      </c>
      <c r="AI1149">
        <f>IF([3]Entry!$E$1152="","",[3]Entry!$E$1152)</f>
        <v/>
      </c>
      <c r="AJ1149">
        <f>IF([3]Entry!$G$1152="","",[3]Entry!$G$1152)</f>
        <v/>
      </c>
      <c r="AK1149">
        <f>IF([3]Entry!$K$1152="","",[3]Entry!$K$1152)</f>
        <v/>
      </c>
      <c r="AL1149">
        <f>IF([3]Entry!$L$1152="","",[3]Entry!$L$1152)</f>
        <v/>
      </c>
      <c r="AM1149">
        <f>IF([3]Entry!$M$1152="","",[3]Entry!$M$1152)</f>
        <v/>
      </c>
      <c r="AN1149">
        <f>IF([3]Entry!$N$1152="","",[3]Entry!$N$1152)</f>
        <v/>
      </c>
      <c r="AO1149">
        <f>IF([3]Entry!$R$1152="","",[3]Entry!$R$1152)</f>
        <v/>
      </c>
    </row>
    <row r="1150">
      <c r="U1150">
        <f>IF([2]Baskol!$B$1153="","",[2]Baskol!$B$1153)</f>
        <v/>
      </c>
      <c r="V1150">
        <f>IF([2]Baskol!$C$1153="","",[2]Baskol!$C$1153)</f>
        <v/>
      </c>
      <c r="W1150">
        <f>IF([2]Baskol!$D$1153="","",[2]Baskol!$D$1153)</f>
        <v/>
      </c>
      <c r="X1150">
        <f>IF([2]Baskol!$E$1153="","",[2]Baskol!$E$1153)</f>
        <v/>
      </c>
      <c r="Y1150">
        <f>IF([2]Baskol!$G$1153="","",[2]Baskol!$G$1153)</f>
        <v/>
      </c>
      <c r="Z1150">
        <f>IF([2]Baskol!$I$1153="","",[2]Baskol!$I$1153)</f>
        <v/>
      </c>
      <c r="AA1150">
        <f>IF([2]Baskol!$J$1153="","",[2]Baskol!$J$1153)</f>
        <v/>
      </c>
      <c r="AB1150">
        <f>IF([2]Baskol!$K$1153="","",[2]Baskol!$K$1153)</f>
        <v/>
      </c>
      <c r="AC1150">
        <f>IF([2]Baskol!$L$1153="","",[2]Baskol!$L$1153)</f>
        <v/>
      </c>
      <c r="AD1150">
        <f>IF([2]Baskol!$N$1153="","",[2]Baskol!$N$1153)</f>
        <v/>
      </c>
      <c r="AE1150">
        <f>IF([2]Baskol!$O$1153="","",[2]Baskol!$O$1153)</f>
        <v/>
      </c>
      <c r="AG1150">
        <f>IF([3]Entry!$C$1153="","",[3]Entry!$C$1153)</f>
        <v/>
      </c>
      <c r="AH1150">
        <f>IF([3]Entry!$D$1153="","",[3]Entry!$D$1153)</f>
        <v/>
      </c>
      <c r="AI1150">
        <f>IF([3]Entry!$E$1153="","",[3]Entry!$E$1153)</f>
        <v/>
      </c>
      <c r="AJ1150">
        <f>IF([3]Entry!$G$1153="","",[3]Entry!$G$1153)</f>
        <v/>
      </c>
      <c r="AK1150">
        <f>IF([3]Entry!$K$1153="","",[3]Entry!$K$1153)</f>
        <v/>
      </c>
      <c r="AL1150">
        <f>IF([3]Entry!$L$1153="","",[3]Entry!$L$1153)</f>
        <v/>
      </c>
      <c r="AM1150">
        <f>IF([3]Entry!$M$1153="","",[3]Entry!$M$1153)</f>
        <v/>
      </c>
      <c r="AN1150">
        <f>IF([3]Entry!$N$1153="","",[3]Entry!$N$1153)</f>
        <v/>
      </c>
      <c r="AO1150">
        <f>IF([3]Entry!$R$1153="","",[3]Entry!$R$1153)</f>
        <v/>
      </c>
    </row>
    <row r="1151">
      <c r="U1151">
        <f>IF([2]Baskol!$B$1154="","",[2]Baskol!$B$1154)</f>
        <v/>
      </c>
      <c r="V1151">
        <f>IF([2]Baskol!$C$1154="","",[2]Baskol!$C$1154)</f>
        <v/>
      </c>
      <c r="W1151">
        <f>IF([2]Baskol!$D$1154="","",[2]Baskol!$D$1154)</f>
        <v/>
      </c>
      <c r="X1151">
        <f>IF([2]Baskol!$E$1154="","",[2]Baskol!$E$1154)</f>
        <v/>
      </c>
      <c r="Y1151">
        <f>IF([2]Baskol!$G$1154="","",[2]Baskol!$G$1154)</f>
        <v/>
      </c>
      <c r="Z1151">
        <f>IF([2]Baskol!$I$1154="","",[2]Baskol!$I$1154)</f>
        <v/>
      </c>
      <c r="AA1151">
        <f>IF([2]Baskol!$J$1154="","",[2]Baskol!$J$1154)</f>
        <v/>
      </c>
      <c r="AB1151">
        <f>IF([2]Baskol!$K$1154="","",[2]Baskol!$K$1154)</f>
        <v/>
      </c>
      <c r="AC1151">
        <f>IF([2]Baskol!$L$1154="","",[2]Baskol!$L$1154)</f>
        <v/>
      </c>
      <c r="AD1151">
        <f>IF([2]Baskol!$N$1154="","",[2]Baskol!$N$1154)</f>
        <v/>
      </c>
      <c r="AE1151">
        <f>IF([2]Baskol!$O$1154="","",[2]Baskol!$O$1154)</f>
        <v/>
      </c>
      <c r="AG1151">
        <f>IF([3]Entry!$C$1154="","",[3]Entry!$C$1154)</f>
        <v/>
      </c>
      <c r="AH1151">
        <f>IF([3]Entry!$D$1154="","",[3]Entry!$D$1154)</f>
        <v/>
      </c>
      <c r="AI1151">
        <f>IF([3]Entry!$E$1154="","",[3]Entry!$E$1154)</f>
        <v/>
      </c>
      <c r="AJ1151">
        <f>IF([3]Entry!$G$1154="","",[3]Entry!$G$1154)</f>
        <v/>
      </c>
      <c r="AK1151">
        <f>IF([3]Entry!$K$1154="","",[3]Entry!$K$1154)</f>
        <v/>
      </c>
      <c r="AL1151">
        <f>IF([3]Entry!$L$1154="","",[3]Entry!$L$1154)</f>
        <v/>
      </c>
      <c r="AM1151">
        <f>IF([3]Entry!$M$1154="","",[3]Entry!$M$1154)</f>
        <v/>
      </c>
      <c r="AN1151">
        <f>IF([3]Entry!$N$1154="","",[3]Entry!$N$1154)</f>
        <v/>
      </c>
      <c r="AO1151">
        <f>IF([3]Entry!$R$1154="","",[3]Entry!$R$1154)</f>
        <v/>
      </c>
    </row>
    <row r="1152">
      <c r="U1152">
        <f>IF([2]Baskol!$B$1155="","",[2]Baskol!$B$1155)</f>
        <v/>
      </c>
      <c r="V1152">
        <f>IF([2]Baskol!$C$1155="","",[2]Baskol!$C$1155)</f>
        <v/>
      </c>
      <c r="W1152">
        <f>IF([2]Baskol!$D$1155="","",[2]Baskol!$D$1155)</f>
        <v/>
      </c>
      <c r="X1152">
        <f>IF([2]Baskol!$E$1155="","",[2]Baskol!$E$1155)</f>
        <v/>
      </c>
      <c r="Y1152">
        <f>IF([2]Baskol!$G$1155="","",[2]Baskol!$G$1155)</f>
        <v/>
      </c>
      <c r="Z1152">
        <f>IF([2]Baskol!$I$1155="","",[2]Baskol!$I$1155)</f>
        <v/>
      </c>
      <c r="AA1152">
        <f>IF([2]Baskol!$J$1155="","",[2]Baskol!$J$1155)</f>
        <v/>
      </c>
      <c r="AB1152">
        <f>IF([2]Baskol!$K$1155="","",[2]Baskol!$K$1155)</f>
        <v/>
      </c>
      <c r="AC1152">
        <f>IF([2]Baskol!$L$1155="","",[2]Baskol!$L$1155)</f>
        <v/>
      </c>
      <c r="AD1152">
        <f>IF([2]Baskol!$N$1155="","",[2]Baskol!$N$1155)</f>
        <v/>
      </c>
      <c r="AE1152">
        <f>IF([2]Baskol!$O$1155="","",[2]Baskol!$O$1155)</f>
        <v/>
      </c>
      <c r="AG1152">
        <f>IF([3]Entry!$C$1155="","",[3]Entry!$C$1155)</f>
        <v/>
      </c>
      <c r="AH1152">
        <f>IF([3]Entry!$D$1155="","",[3]Entry!$D$1155)</f>
        <v/>
      </c>
      <c r="AI1152">
        <f>IF([3]Entry!$E$1155="","",[3]Entry!$E$1155)</f>
        <v/>
      </c>
      <c r="AJ1152">
        <f>IF([3]Entry!$G$1155="","",[3]Entry!$G$1155)</f>
        <v/>
      </c>
      <c r="AK1152">
        <f>IF([3]Entry!$K$1155="","",[3]Entry!$K$1155)</f>
        <v/>
      </c>
      <c r="AL1152">
        <f>IF([3]Entry!$L$1155="","",[3]Entry!$L$1155)</f>
        <v/>
      </c>
      <c r="AM1152">
        <f>IF([3]Entry!$M$1155="","",[3]Entry!$M$1155)</f>
        <v/>
      </c>
      <c r="AN1152">
        <f>IF([3]Entry!$N$1155="","",[3]Entry!$N$1155)</f>
        <v/>
      </c>
      <c r="AO1152">
        <f>IF([3]Entry!$R$1155="","",[3]Entry!$R$1155)</f>
        <v/>
      </c>
    </row>
    <row r="1153">
      <c r="U1153">
        <f>IF([2]Baskol!$B$1156="","",[2]Baskol!$B$1156)</f>
        <v/>
      </c>
      <c r="V1153">
        <f>IF([2]Baskol!$C$1156="","",[2]Baskol!$C$1156)</f>
        <v/>
      </c>
      <c r="W1153">
        <f>IF([2]Baskol!$D$1156="","",[2]Baskol!$D$1156)</f>
        <v/>
      </c>
      <c r="X1153">
        <f>IF([2]Baskol!$E$1156="","",[2]Baskol!$E$1156)</f>
        <v/>
      </c>
      <c r="Y1153">
        <f>IF([2]Baskol!$G$1156="","",[2]Baskol!$G$1156)</f>
        <v/>
      </c>
      <c r="Z1153">
        <f>IF([2]Baskol!$I$1156="","",[2]Baskol!$I$1156)</f>
        <v/>
      </c>
      <c r="AA1153">
        <f>IF([2]Baskol!$J$1156="","",[2]Baskol!$J$1156)</f>
        <v/>
      </c>
      <c r="AB1153">
        <f>IF([2]Baskol!$K$1156="","",[2]Baskol!$K$1156)</f>
        <v/>
      </c>
      <c r="AC1153">
        <f>IF([2]Baskol!$L$1156="","",[2]Baskol!$L$1156)</f>
        <v/>
      </c>
      <c r="AD1153">
        <f>IF([2]Baskol!$N$1156="","",[2]Baskol!$N$1156)</f>
        <v/>
      </c>
      <c r="AE1153">
        <f>IF([2]Baskol!$O$1156="","",[2]Baskol!$O$1156)</f>
        <v/>
      </c>
      <c r="AG1153">
        <f>IF([3]Entry!$C$1156="","",[3]Entry!$C$1156)</f>
        <v/>
      </c>
      <c r="AH1153">
        <f>IF([3]Entry!$D$1156="","",[3]Entry!$D$1156)</f>
        <v/>
      </c>
      <c r="AI1153">
        <f>IF([3]Entry!$E$1156="","",[3]Entry!$E$1156)</f>
        <v/>
      </c>
      <c r="AJ1153">
        <f>IF([3]Entry!$G$1156="","",[3]Entry!$G$1156)</f>
        <v/>
      </c>
      <c r="AK1153">
        <f>IF([3]Entry!$K$1156="","",[3]Entry!$K$1156)</f>
        <v/>
      </c>
      <c r="AL1153">
        <f>IF([3]Entry!$L$1156="","",[3]Entry!$L$1156)</f>
        <v/>
      </c>
      <c r="AM1153">
        <f>IF([3]Entry!$M$1156="","",[3]Entry!$M$1156)</f>
        <v/>
      </c>
      <c r="AN1153">
        <f>IF([3]Entry!$N$1156="","",[3]Entry!$N$1156)</f>
        <v/>
      </c>
      <c r="AO1153">
        <f>IF([3]Entry!$R$1156="","",[3]Entry!$R$1156)</f>
        <v/>
      </c>
    </row>
    <row r="1154">
      <c r="U1154">
        <f>IF([2]Baskol!$B$1157="","",[2]Baskol!$B$1157)</f>
        <v/>
      </c>
      <c r="V1154">
        <f>IF([2]Baskol!$C$1157="","",[2]Baskol!$C$1157)</f>
        <v/>
      </c>
      <c r="W1154">
        <f>IF([2]Baskol!$D$1157="","",[2]Baskol!$D$1157)</f>
        <v/>
      </c>
      <c r="X1154">
        <f>IF([2]Baskol!$E$1157="","",[2]Baskol!$E$1157)</f>
        <v/>
      </c>
      <c r="Y1154">
        <f>IF([2]Baskol!$G$1157="","",[2]Baskol!$G$1157)</f>
        <v/>
      </c>
      <c r="Z1154">
        <f>IF([2]Baskol!$I$1157="","",[2]Baskol!$I$1157)</f>
        <v/>
      </c>
      <c r="AA1154">
        <f>IF([2]Baskol!$J$1157="","",[2]Baskol!$J$1157)</f>
        <v/>
      </c>
      <c r="AB1154">
        <f>IF([2]Baskol!$K$1157="","",[2]Baskol!$K$1157)</f>
        <v/>
      </c>
      <c r="AC1154">
        <f>IF([2]Baskol!$L$1157="","",[2]Baskol!$L$1157)</f>
        <v/>
      </c>
      <c r="AD1154">
        <f>IF([2]Baskol!$N$1157="","",[2]Baskol!$N$1157)</f>
        <v/>
      </c>
      <c r="AE1154">
        <f>IF([2]Baskol!$O$1157="","",[2]Baskol!$O$1157)</f>
        <v/>
      </c>
      <c r="AG1154">
        <f>IF([3]Entry!$C$1157="","",[3]Entry!$C$1157)</f>
        <v/>
      </c>
      <c r="AH1154">
        <f>IF([3]Entry!$D$1157="","",[3]Entry!$D$1157)</f>
        <v/>
      </c>
      <c r="AI1154">
        <f>IF([3]Entry!$E$1157="","",[3]Entry!$E$1157)</f>
        <v/>
      </c>
      <c r="AJ1154">
        <f>IF([3]Entry!$G$1157="","",[3]Entry!$G$1157)</f>
        <v/>
      </c>
      <c r="AK1154">
        <f>IF([3]Entry!$K$1157="","",[3]Entry!$K$1157)</f>
        <v/>
      </c>
      <c r="AL1154">
        <f>IF([3]Entry!$L$1157="","",[3]Entry!$L$1157)</f>
        <v/>
      </c>
      <c r="AM1154">
        <f>IF([3]Entry!$M$1157="","",[3]Entry!$M$1157)</f>
        <v/>
      </c>
      <c r="AN1154">
        <f>IF([3]Entry!$N$1157="","",[3]Entry!$N$1157)</f>
        <v/>
      </c>
      <c r="AO1154">
        <f>IF([3]Entry!$R$1157="","",[3]Entry!$R$1157)</f>
        <v/>
      </c>
    </row>
    <row r="1155">
      <c r="U1155">
        <f>IF([2]Baskol!$B$1158="","",[2]Baskol!$B$1158)</f>
        <v/>
      </c>
      <c r="V1155">
        <f>IF([2]Baskol!$C$1158="","",[2]Baskol!$C$1158)</f>
        <v/>
      </c>
      <c r="W1155">
        <f>IF([2]Baskol!$D$1158="","",[2]Baskol!$D$1158)</f>
        <v/>
      </c>
      <c r="X1155">
        <f>IF([2]Baskol!$E$1158="","",[2]Baskol!$E$1158)</f>
        <v/>
      </c>
      <c r="Y1155">
        <f>IF([2]Baskol!$G$1158="","",[2]Baskol!$G$1158)</f>
        <v/>
      </c>
      <c r="Z1155">
        <f>IF([2]Baskol!$I$1158="","",[2]Baskol!$I$1158)</f>
        <v/>
      </c>
      <c r="AA1155">
        <f>IF([2]Baskol!$J$1158="","",[2]Baskol!$J$1158)</f>
        <v/>
      </c>
      <c r="AB1155">
        <f>IF([2]Baskol!$K$1158="","",[2]Baskol!$K$1158)</f>
        <v/>
      </c>
      <c r="AC1155">
        <f>IF([2]Baskol!$L$1158="","",[2]Baskol!$L$1158)</f>
        <v/>
      </c>
      <c r="AD1155">
        <f>IF([2]Baskol!$N$1158="","",[2]Baskol!$N$1158)</f>
        <v/>
      </c>
      <c r="AE1155">
        <f>IF([2]Baskol!$O$1158="","",[2]Baskol!$O$1158)</f>
        <v/>
      </c>
      <c r="AG1155">
        <f>IF([3]Entry!$C$1158="","",[3]Entry!$C$1158)</f>
        <v/>
      </c>
      <c r="AH1155">
        <f>IF([3]Entry!$D$1158="","",[3]Entry!$D$1158)</f>
        <v/>
      </c>
      <c r="AI1155">
        <f>IF([3]Entry!$E$1158="","",[3]Entry!$E$1158)</f>
        <v/>
      </c>
      <c r="AJ1155">
        <f>IF([3]Entry!$G$1158="","",[3]Entry!$G$1158)</f>
        <v/>
      </c>
      <c r="AK1155">
        <f>IF([3]Entry!$K$1158="","",[3]Entry!$K$1158)</f>
        <v/>
      </c>
      <c r="AL1155">
        <f>IF([3]Entry!$L$1158="","",[3]Entry!$L$1158)</f>
        <v/>
      </c>
      <c r="AM1155">
        <f>IF([3]Entry!$M$1158="","",[3]Entry!$M$1158)</f>
        <v/>
      </c>
      <c r="AN1155">
        <f>IF([3]Entry!$N$1158="","",[3]Entry!$N$1158)</f>
        <v/>
      </c>
      <c r="AO1155">
        <f>IF([3]Entry!$R$1158="","",[3]Entry!$R$1158)</f>
        <v/>
      </c>
    </row>
    <row r="1156">
      <c r="U1156">
        <f>IF([2]Baskol!$B$1159="","",[2]Baskol!$B$1159)</f>
        <v/>
      </c>
      <c r="V1156">
        <f>IF([2]Baskol!$C$1159="","",[2]Baskol!$C$1159)</f>
        <v/>
      </c>
      <c r="W1156">
        <f>IF([2]Baskol!$D$1159="","",[2]Baskol!$D$1159)</f>
        <v/>
      </c>
      <c r="X1156">
        <f>IF([2]Baskol!$E$1159="","",[2]Baskol!$E$1159)</f>
        <v/>
      </c>
      <c r="Y1156">
        <f>IF([2]Baskol!$G$1159="","",[2]Baskol!$G$1159)</f>
        <v/>
      </c>
      <c r="Z1156">
        <f>IF([2]Baskol!$I$1159="","",[2]Baskol!$I$1159)</f>
        <v/>
      </c>
      <c r="AA1156">
        <f>IF([2]Baskol!$J$1159="","",[2]Baskol!$J$1159)</f>
        <v/>
      </c>
      <c r="AB1156">
        <f>IF([2]Baskol!$K$1159="","",[2]Baskol!$K$1159)</f>
        <v/>
      </c>
      <c r="AC1156">
        <f>IF([2]Baskol!$L$1159="","",[2]Baskol!$L$1159)</f>
        <v/>
      </c>
      <c r="AD1156">
        <f>IF([2]Baskol!$N$1159="","",[2]Baskol!$N$1159)</f>
        <v/>
      </c>
      <c r="AE1156">
        <f>IF([2]Baskol!$O$1159="","",[2]Baskol!$O$1159)</f>
        <v/>
      </c>
      <c r="AG1156">
        <f>IF([3]Entry!$C$1159="","",[3]Entry!$C$1159)</f>
        <v/>
      </c>
      <c r="AH1156">
        <f>IF([3]Entry!$D$1159="","",[3]Entry!$D$1159)</f>
        <v/>
      </c>
      <c r="AI1156">
        <f>IF([3]Entry!$E$1159="","",[3]Entry!$E$1159)</f>
        <v/>
      </c>
      <c r="AJ1156">
        <f>IF([3]Entry!$G$1159="","",[3]Entry!$G$1159)</f>
        <v/>
      </c>
      <c r="AK1156">
        <f>IF([3]Entry!$K$1159="","",[3]Entry!$K$1159)</f>
        <v/>
      </c>
      <c r="AL1156">
        <f>IF([3]Entry!$L$1159="","",[3]Entry!$L$1159)</f>
        <v/>
      </c>
      <c r="AM1156">
        <f>IF([3]Entry!$M$1159="","",[3]Entry!$M$1159)</f>
        <v/>
      </c>
      <c r="AN1156">
        <f>IF([3]Entry!$N$1159="","",[3]Entry!$N$1159)</f>
        <v/>
      </c>
      <c r="AO1156">
        <f>IF([3]Entry!$R$1159="","",[3]Entry!$R$1159)</f>
        <v/>
      </c>
    </row>
    <row r="1157">
      <c r="U1157">
        <f>IF([2]Baskol!$B$1160="","",[2]Baskol!$B$1160)</f>
        <v/>
      </c>
      <c r="V1157">
        <f>IF([2]Baskol!$C$1160="","",[2]Baskol!$C$1160)</f>
        <v/>
      </c>
      <c r="W1157">
        <f>IF([2]Baskol!$D$1160="","",[2]Baskol!$D$1160)</f>
        <v/>
      </c>
      <c r="X1157">
        <f>IF([2]Baskol!$E$1160="","",[2]Baskol!$E$1160)</f>
        <v/>
      </c>
      <c r="Y1157">
        <f>IF([2]Baskol!$G$1160="","",[2]Baskol!$G$1160)</f>
        <v/>
      </c>
      <c r="Z1157">
        <f>IF([2]Baskol!$I$1160="","",[2]Baskol!$I$1160)</f>
        <v/>
      </c>
      <c r="AA1157">
        <f>IF([2]Baskol!$J$1160="","",[2]Baskol!$J$1160)</f>
        <v/>
      </c>
      <c r="AB1157">
        <f>IF([2]Baskol!$K$1160="","",[2]Baskol!$K$1160)</f>
        <v/>
      </c>
      <c r="AC1157">
        <f>IF([2]Baskol!$L$1160="","",[2]Baskol!$L$1160)</f>
        <v/>
      </c>
      <c r="AD1157">
        <f>IF([2]Baskol!$N$1160="","",[2]Baskol!$N$1160)</f>
        <v/>
      </c>
      <c r="AE1157">
        <f>IF([2]Baskol!$O$1160="","",[2]Baskol!$O$1160)</f>
        <v/>
      </c>
      <c r="AG1157">
        <f>IF([3]Entry!$C$1160="","",[3]Entry!$C$1160)</f>
        <v/>
      </c>
      <c r="AH1157">
        <f>IF([3]Entry!$D$1160="","",[3]Entry!$D$1160)</f>
        <v/>
      </c>
      <c r="AI1157">
        <f>IF([3]Entry!$E$1160="","",[3]Entry!$E$1160)</f>
        <v/>
      </c>
      <c r="AJ1157">
        <f>IF([3]Entry!$G$1160="","",[3]Entry!$G$1160)</f>
        <v/>
      </c>
      <c r="AK1157">
        <f>IF([3]Entry!$K$1160="","",[3]Entry!$K$1160)</f>
        <v/>
      </c>
      <c r="AL1157">
        <f>IF([3]Entry!$L$1160="","",[3]Entry!$L$1160)</f>
        <v/>
      </c>
      <c r="AM1157">
        <f>IF([3]Entry!$M$1160="","",[3]Entry!$M$1160)</f>
        <v/>
      </c>
      <c r="AN1157">
        <f>IF([3]Entry!$N$1160="","",[3]Entry!$N$1160)</f>
        <v/>
      </c>
      <c r="AO1157">
        <f>IF([3]Entry!$R$1160="","",[3]Entry!$R$1160)</f>
        <v/>
      </c>
    </row>
    <row r="1158">
      <c r="U1158">
        <f>IF([2]Baskol!$B$1161="","",[2]Baskol!$B$1161)</f>
        <v/>
      </c>
      <c r="V1158">
        <f>IF([2]Baskol!$C$1161="","",[2]Baskol!$C$1161)</f>
        <v/>
      </c>
      <c r="W1158">
        <f>IF([2]Baskol!$D$1161="","",[2]Baskol!$D$1161)</f>
        <v/>
      </c>
      <c r="X1158">
        <f>IF([2]Baskol!$E$1161="","",[2]Baskol!$E$1161)</f>
        <v/>
      </c>
      <c r="Y1158">
        <f>IF([2]Baskol!$G$1161="","",[2]Baskol!$G$1161)</f>
        <v/>
      </c>
      <c r="Z1158">
        <f>IF([2]Baskol!$I$1161="","",[2]Baskol!$I$1161)</f>
        <v/>
      </c>
      <c r="AA1158">
        <f>IF([2]Baskol!$J$1161="","",[2]Baskol!$J$1161)</f>
        <v/>
      </c>
      <c r="AB1158">
        <f>IF([2]Baskol!$K$1161="","",[2]Baskol!$K$1161)</f>
        <v/>
      </c>
      <c r="AC1158">
        <f>IF([2]Baskol!$L$1161="","",[2]Baskol!$L$1161)</f>
        <v/>
      </c>
      <c r="AD1158">
        <f>IF([2]Baskol!$N$1161="","",[2]Baskol!$N$1161)</f>
        <v/>
      </c>
      <c r="AE1158">
        <f>IF([2]Baskol!$O$1161="","",[2]Baskol!$O$1161)</f>
        <v/>
      </c>
      <c r="AG1158">
        <f>IF([3]Entry!$C$1161="","",[3]Entry!$C$1161)</f>
        <v/>
      </c>
      <c r="AH1158">
        <f>IF([3]Entry!$D$1161="","",[3]Entry!$D$1161)</f>
        <v/>
      </c>
      <c r="AI1158">
        <f>IF([3]Entry!$E$1161="","",[3]Entry!$E$1161)</f>
        <v/>
      </c>
      <c r="AJ1158">
        <f>IF([3]Entry!$G$1161="","",[3]Entry!$G$1161)</f>
        <v/>
      </c>
      <c r="AK1158">
        <f>IF([3]Entry!$K$1161="","",[3]Entry!$K$1161)</f>
        <v/>
      </c>
      <c r="AL1158">
        <f>IF([3]Entry!$L$1161="","",[3]Entry!$L$1161)</f>
        <v/>
      </c>
      <c r="AM1158">
        <f>IF([3]Entry!$M$1161="","",[3]Entry!$M$1161)</f>
        <v/>
      </c>
      <c r="AN1158">
        <f>IF([3]Entry!$N$1161="","",[3]Entry!$N$1161)</f>
        <v/>
      </c>
      <c r="AO1158">
        <f>IF([3]Entry!$R$1161="","",[3]Entry!$R$1161)</f>
        <v/>
      </c>
    </row>
    <row r="1159">
      <c r="U1159">
        <f>IF([2]Baskol!$B$1162="","",[2]Baskol!$B$1162)</f>
        <v/>
      </c>
      <c r="V1159">
        <f>IF([2]Baskol!$C$1162="","",[2]Baskol!$C$1162)</f>
        <v/>
      </c>
      <c r="W1159">
        <f>IF([2]Baskol!$D$1162="","",[2]Baskol!$D$1162)</f>
        <v/>
      </c>
      <c r="X1159">
        <f>IF([2]Baskol!$E$1162="","",[2]Baskol!$E$1162)</f>
        <v/>
      </c>
      <c r="Y1159">
        <f>IF([2]Baskol!$G$1162="","",[2]Baskol!$G$1162)</f>
        <v/>
      </c>
      <c r="Z1159">
        <f>IF([2]Baskol!$I$1162="","",[2]Baskol!$I$1162)</f>
        <v/>
      </c>
      <c r="AA1159">
        <f>IF([2]Baskol!$J$1162="","",[2]Baskol!$J$1162)</f>
        <v/>
      </c>
      <c r="AB1159">
        <f>IF([2]Baskol!$K$1162="","",[2]Baskol!$K$1162)</f>
        <v/>
      </c>
      <c r="AC1159">
        <f>IF([2]Baskol!$L$1162="","",[2]Baskol!$L$1162)</f>
        <v/>
      </c>
      <c r="AD1159">
        <f>IF([2]Baskol!$N$1162="","",[2]Baskol!$N$1162)</f>
        <v/>
      </c>
      <c r="AE1159">
        <f>IF([2]Baskol!$O$1162="","",[2]Baskol!$O$1162)</f>
        <v/>
      </c>
      <c r="AG1159">
        <f>IF([3]Entry!$C$1162="","",[3]Entry!$C$1162)</f>
        <v/>
      </c>
      <c r="AH1159">
        <f>IF([3]Entry!$D$1162="","",[3]Entry!$D$1162)</f>
        <v/>
      </c>
      <c r="AI1159">
        <f>IF([3]Entry!$E$1162="","",[3]Entry!$E$1162)</f>
        <v/>
      </c>
      <c r="AJ1159">
        <f>IF([3]Entry!$G$1162="","",[3]Entry!$G$1162)</f>
        <v/>
      </c>
      <c r="AK1159">
        <f>IF([3]Entry!$K$1162="","",[3]Entry!$K$1162)</f>
        <v/>
      </c>
      <c r="AL1159">
        <f>IF([3]Entry!$L$1162="","",[3]Entry!$L$1162)</f>
        <v/>
      </c>
      <c r="AM1159">
        <f>IF([3]Entry!$M$1162="","",[3]Entry!$M$1162)</f>
        <v/>
      </c>
      <c r="AN1159">
        <f>IF([3]Entry!$N$1162="","",[3]Entry!$N$1162)</f>
        <v/>
      </c>
      <c r="AO1159">
        <f>IF([3]Entry!$R$1162="","",[3]Entry!$R$1162)</f>
        <v/>
      </c>
    </row>
    <row r="1160">
      <c r="U1160">
        <f>IF([2]Baskol!$B$1163="","",[2]Baskol!$B$1163)</f>
        <v/>
      </c>
      <c r="V1160">
        <f>IF([2]Baskol!$C$1163="","",[2]Baskol!$C$1163)</f>
        <v/>
      </c>
      <c r="W1160">
        <f>IF([2]Baskol!$D$1163="","",[2]Baskol!$D$1163)</f>
        <v/>
      </c>
      <c r="X1160">
        <f>IF([2]Baskol!$E$1163="","",[2]Baskol!$E$1163)</f>
        <v/>
      </c>
      <c r="Y1160">
        <f>IF([2]Baskol!$G$1163="","",[2]Baskol!$G$1163)</f>
        <v/>
      </c>
      <c r="Z1160">
        <f>IF([2]Baskol!$I$1163="","",[2]Baskol!$I$1163)</f>
        <v/>
      </c>
      <c r="AA1160">
        <f>IF([2]Baskol!$J$1163="","",[2]Baskol!$J$1163)</f>
        <v/>
      </c>
      <c r="AB1160">
        <f>IF([2]Baskol!$K$1163="","",[2]Baskol!$K$1163)</f>
        <v/>
      </c>
      <c r="AC1160">
        <f>IF([2]Baskol!$L$1163="","",[2]Baskol!$L$1163)</f>
        <v/>
      </c>
      <c r="AD1160">
        <f>IF([2]Baskol!$N$1163="","",[2]Baskol!$N$1163)</f>
        <v/>
      </c>
      <c r="AE1160">
        <f>IF([2]Baskol!$O$1163="","",[2]Baskol!$O$1163)</f>
        <v/>
      </c>
      <c r="AG1160">
        <f>IF([3]Entry!$C$1163="","",[3]Entry!$C$1163)</f>
        <v/>
      </c>
      <c r="AH1160">
        <f>IF([3]Entry!$D$1163="","",[3]Entry!$D$1163)</f>
        <v/>
      </c>
      <c r="AI1160">
        <f>IF([3]Entry!$E$1163="","",[3]Entry!$E$1163)</f>
        <v/>
      </c>
      <c r="AJ1160">
        <f>IF([3]Entry!$G$1163="","",[3]Entry!$G$1163)</f>
        <v/>
      </c>
      <c r="AK1160">
        <f>IF([3]Entry!$K$1163="","",[3]Entry!$K$1163)</f>
        <v/>
      </c>
      <c r="AL1160">
        <f>IF([3]Entry!$L$1163="","",[3]Entry!$L$1163)</f>
        <v/>
      </c>
      <c r="AM1160">
        <f>IF([3]Entry!$M$1163="","",[3]Entry!$M$1163)</f>
        <v/>
      </c>
      <c r="AN1160">
        <f>IF([3]Entry!$N$1163="","",[3]Entry!$N$1163)</f>
        <v/>
      </c>
      <c r="AO1160">
        <f>IF([3]Entry!$R$1163="","",[3]Entry!$R$1163)</f>
        <v/>
      </c>
    </row>
    <row r="1161">
      <c r="U1161">
        <f>IF([2]Baskol!$B$1164="","",[2]Baskol!$B$1164)</f>
        <v/>
      </c>
      <c r="V1161">
        <f>IF([2]Baskol!$C$1164="","",[2]Baskol!$C$1164)</f>
        <v/>
      </c>
      <c r="W1161">
        <f>IF([2]Baskol!$D$1164="","",[2]Baskol!$D$1164)</f>
        <v/>
      </c>
      <c r="X1161">
        <f>IF([2]Baskol!$E$1164="","",[2]Baskol!$E$1164)</f>
        <v/>
      </c>
      <c r="Y1161">
        <f>IF([2]Baskol!$G$1164="","",[2]Baskol!$G$1164)</f>
        <v/>
      </c>
      <c r="Z1161">
        <f>IF([2]Baskol!$I$1164="","",[2]Baskol!$I$1164)</f>
        <v/>
      </c>
      <c r="AA1161">
        <f>IF([2]Baskol!$J$1164="","",[2]Baskol!$J$1164)</f>
        <v/>
      </c>
      <c r="AB1161">
        <f>IF([2]Baskol!$K$1164="","",[2]Baskol!$K$1164)</f>
        <v/>
      </c>
      <c r="AC1161">
        <f>IF([2]Baskol!$L$1164="","",[2]Baskol!$L$1164)</f>
        <v/>
      </c>
      <c r="AD1161">
        <f>IF([2]Baskol!$N$1164="","",[2]Baskol!$N$1164)</f>
        <v/>
      </c>
      <c r="AE1161">
        <f>IF([2]Baskol!$O$1164="","",[2]Baskol!$O$1164)</f>
        <v/>
      </c>
      <c r="AG1161">
        <f>IF([3]Entry!$C$1164="","",[3]Entry!$C$1164)</f>
        <v/>
      </c>
      <c r="AH1161">
        <f>IF([3]Entry!$D$1164="","",[3]Entry!$D$1164)</f>
        <v/>
      </c>
      <c r="AI1161">
        <f>IF([3]Entry!$E$1164="","",[3]Entry!$E$1164)</f>
        <v/>
      </c>
      <c r="AJ1161">
        <f>IF([3]Entry!$G$1164="","",[3]Entry!$G$1164)</f>
        <v/>
      </c>
      <c r="AK1161">
        <f>IF([3]Entry!$K$1164="","",[3]Entry!$K$1164)</f>
        <v/>
      </c>
      <c r="AL1161">
        <f>IF([3]Entry!$L$1164="","",[3]Entry!$L$1164)</f>
        <v/>
      </c>
      <c r="AM1161">
        <f>IF([3]Entry!$M$1164="","",[3]Entry!$M$1164)</f>
        <v/>
      </c>
      <c r="AN1161">
        <f>IF([3]Entry!$N$1164="","",[3]Entry!$N$1164)</f>
        <v/>
      </c>
      <c r="AO1161">
        <f>IF([3]Entry!$R$1164="","",[3]Entry!$R$1164)</f>
        <v/>
      </c>
    </row>
    <row r="1162">
      <c r="U1162">
        <f>IF([2]Baskol!$B$1165="","",[2]Baskol!$B$1165)</f>
        <v/>
      </c>
      <c r="V1162">
        <f>IF([2]Baskol!$C$1165="","",[2]Baskol!$C$1165)</f>
        <v/>
      </c>
      <c r="W1162">
        <f>IF([2]Baskol!$D$1165="","",[2]Baskol!$D$1165)</f>
        <v/>
      </c>
      <c r="X1162">
        <f>IF([2]Baskol!$E$1165="","",[2]Baskol!$E$1165)</f>
        <v/>
      </c>
      <c r="Y1162">
        <f>IF([2]Baskol!$G$1165="","",[2]Baskol!$G$1165)</f>
        <v/>
      </c>
      <c r="Z1162">
        <f>IF([2]Baskol!$I$1165="","",[2]Baskol!$I$1165)</f>
        <v/>
      </c>
      <c r="AA1162">
        <f>IF([2]Baskol!$J$1165="","",[2]Baskol!$J$1165)</f>
        <v/>
      </c>
      <c r="AB1162">
        <f>IF([2]Baskol!$K$1165="","",[2]Baskol!$K$1165)</f>
        <v/>
      </c>
      <c r="AC1162">
        <f>IF([2]Baskol!$L$1165="","",[2]Baskol!$L$1165)</f>
        <v/>
      </c>
      <c r="AD1162">
        <f>IF([2]Baskol!$N$1165="","",[2]Baskol!$N$1165)</f>
        <v/>
      </c>
      <c r="AE1162">
        <f>IF([2]Baskol!$O$1165="","",[2]Baskol!$O$1165)</f>
        <v/>
      </c>
      <c r="AG1162">
        <f>IF([3]Entry!$C$1165="","",[3]Entry!$C$1165)</f>
        <v/>
      </c>
      <c r="AH1162">
        <f>IF([3]Entry!$D$1165="","",[3]Entry!$D$1165)</f>
        <v/>
      </c>
      <c r="AI1162">
        <f>IF([3]Entry!$E$1165="","",[3]Entry!$E$1165)</f>
        <v/>
      </c>
      <c r="AJ1162">
        <f>IF([3]Entry!$G$1165="","",[3]Entry!$G$1165)</f>
        <v/>
      </c>
      <c r="AK1162">
        <f>IF([3]Entry!$K$1165="","",[3]Entry!$K$1165)</f>
        <v/>
      </c>
      <c r="AL1162">
        <f>IF([3]Entry!$L$1165="","",[3]Entry!$L$1165)</f>
        <v/>
      </c>
      <c r="AM1162">
        <f>IF([3]Entry!$M$1165="","",[3]Entry!$M$1165)</f>
        <v/>
      </c>
      <c r="AN1162">
        <f>IF([3]Entry!$N$1165="","",[3]Entry!$N$1165)</f>
        <v/>
      </c>
      <c r="AO1162">
        <f>IF([3]Entry!$R$1165="","",[3]Entry!$R$1165)</f>
        <v/>
      </c>
    </row>
    <row r="1163">
      <c r="U1163">
        <f>IF([2]Baskol!$B$1166="","",[2]Baskol!$B$1166)</f>
        <v/>
      </c>
      <c r="V1163">
        <f>IF([2]Baskol!$C$1166="","",[2]Baskol!$C$1166)</f>
        <v/>
      </c>
      <c r="W1163">
        <f>IF([2]Baskol!$D$1166="","",[2]Baskol!$D$1166)</f>
        <v/>
      </c>
      <c r="X1163">
        <f>IF([2]Baskol!$E$1166="","",[2]Baskol!$E$1166)</f>
        <v/>
      </c>
      <c r="Y1163">
        <f>IF([2]Baskol!$G$1166="","",[2]Baskol!$G$1166)</f>
        <v/>
      </c>
      <c r="Z1163">
        <f>IF([2]Baskol!$I$1166="","",[2]Baskol!$I$1166)</f>
        <v/>
      </c>
      <c r="AA1163">
        <f>IF([2]Baskol!$J$1166="","",[2]Baskol!$J$1166)</f>
        <v/>
      </c>
      <c r="AB1163">
        <f>IF([2]Baskol!$K$1166="","",[2]Baskol!$K$1166)</f>
        <v/>
      </c>
      <c r="AC1163">
        <f>IF([2]Baskol!$L$1166="","",[2]Baskol!$L$1166)</f>
        <v/>
      </c>
      <c r="AD1163">
        <f>IF([2]Baskol!$N$1166="","",[2]Baskol!$N$1166)</f>
        <v/>
      </c>
      <c r="AE1163">
        <f>IF([2]Baskol!$O$1166="","",[2]Baskol!$O$1166)</f>
        <v/>
      </c>
      <c r="AG1163">
        <f>IF([3]Entry!$C$1166="","",[3]Entry!$C$1166)</f>
        <v/>
      </c>
      <c r="AH1163">
        <f>IF([3]Entry!$D$1166="","",[3]Entry!$D$1166)</f>
        <v/>
      </c>
      <c r="AI1163">
        <f>IF([3]Entry!$E$1166="","",[3]Entry!$E$1166)</f>
        <v/>
      </c>
      <c r="AJ1163">
        <f>IF([3]Entry!$G$1166="","",[3]Entry!$G$1166)</f>
        <v/>
      </c>
      <c r="AK1163">
        <f>IF([3]Entry!$K$1166="","",[3]Entry!$K$1166)</f>
        <v/>
      </c>
      <c r="AL1163">
        <f>IF([3]Entry!$L$1166="","",[3]Entry!$L$1166)</f>
        <v/>
      </c>
      <c r="AM1163">
        <f>IF([3]Entry!$M$1166="","",[3]Entry!$M$1166)</f>
        <v/>
      </c>
      <c r="AN1163">
        <f>IF([3]Entry!$N$1166="","",[3]Entry!$N$1166)</f>
        <v/>
      </c>
      <c r="AO1163">
        <f>IF([3]Entry!$R$1166="","",[3]Entry!$R$1166)</f>
        <v/>
      </c>
    </row>
    <row r="1164">
      <c r="U1164">
        <f>IF([2]Baskol!$B$1167="","",[2]Baskol!$B$1167)</f>
        <v/>
      </c>
      <c r="V1164">
        <f>IF([2]Baskol!$C$1167="","",[2]Baskol!$C$1167)</f>
        <v/>
      </c>
      <c r="W1164">
        <f>IF([2]Baskol!$D$1167="","",[2]Baskol!$D$1167)</f>
        <v/>
      </c>
      <c r="X1164">
        <f>IF([2]Baskol!$E$1167="","",[2]Baskol!$E$1167)</f>
        <v/>
      </c>
      <c r="Y1164">
        <f>IF([2]Baskol!$G$1167="","",[2]Baskol!$G$1167)</f>
        <v/>
      </c>
      <c r="Z1164">
        <f>IF([2]Baskol!$I$1167="","",[2]Baskol!$I$1167)</f>
        <v/>
      </c>
      <c r="AA1164">
        <f>IF([2]Baskol!$J$1167="","",[2]Baskol!$J$1167)</f>
        <v/>
      </c>
      <c r="AB1164">
        <f>IF([2]Baskol!$K$1167="","",[2]Baskol!$K$1167)</f>
        <v/>
      </c>
      <c r="AC1164">
        <f>IF([2]Baskol!$L$1167="","",[2]Baskol!$L$1167)</f>
        <v/>
      </c>
      <c r="AD1164">
        <f>IF([2]Baskol!$N$1167="","",[2]Baskol!$N$1167)</f>
        <v/>
      </c>
      <c r="AE1164">
        <f>IF([2]Baskol!$O$1167="","",[2]Baskol!$O$1167)</f>
        <v/>
      </c>
      <c r="AG1164">
        <f>IF([3]Entry!$C$1167="","",[3]Entry!$C$1167)</f>
        <v/>
      </c>
      <c r="AH1164">
        <f>IF([3]Entry!$D$1167="","",[3]Entry!$D$1167)</f>
        <v/>
      </c>
      <c r="AI1164">
        <f>IF([3]Entry!$E$1167="","",[3]Entry!$E$1167)</f>
        <v/>
      </c>
      <c r="AJ1164">
        <f>IF([3]Entry!$G$1167="","",[3]Entry!$G$1167)</f>
        <v/>
      </c>
      <c r="AK1164">
        <f>IF([3]Entry!$K$1167="","",[3]Entry!$K$1167)</f>
        <v/>
      </c>
      <c r="AL1164">
        <f>IF([3]Entry!$L$1167="","",[3]Entry!$L$1167)</f>
        <v/>
      </c>
      <c r="AM1164">
        <f>IF([3]Entry!$M$1167="","",[3]Entry!$M$1167)</f>
        <v/>
      </c>
      <c r="AN1164">
        <f>IF([3]Entry!$N$1167="","",[3]Entry!$N$1167)</f>
        <v/>
      </c>
      <c r="AO1164">
        <f>IF([3]Entry!$R$1167="","",[3]Entry!$R$1167)</f>
        <v/>
      </c>
    </row>
    <row r="1165">
      <c r="U1165">
        <f>IF([2]Baskol!$B$1168="","",[2]Baskol!$B$1168)</f>
        <v/>
      </c>
      <c r="V1165">
        <f>IF([2]Baskol!$C$1168="","",[2]Baskol!$C$1168)</f>
        <v/>
      </c>
      <c r="W1165">
        <f>IF([2]Baskol!$D$1168="","",[2]Baskol!$D$1168)</f>
        <v/>
      </c>
      <c r="X1165">
        <f>IF([2]Baskol!$E$1168="","",[2]Baskol!$E$1168)</f>
        <v/>
      </c>
      <c r="Y1165">
        <f>IF([2]Baskol!$G$1168="","",[2]Baskol!$G$1168)</f>
        <v/>
      </c>
      <c r="Z1165">
        <f>IF([2]Baskol!$I$1168="","",[2]Baskol!$I$1168)</f>
        <v/>
      </c>
      <c r="AA1165">
        <f>IF([2]Baskol!$J$1168="","",[2]Baskol!$J$1168)</f>
        <v/>
      </c>
      <c r="AB1165">
        <f>IF([2]Baskol!$K$1168="","",[2]Baskol!$K$1168)</f>
        <v/>
      </c>
      <c r="AC1165">
        <f>IF([2]Baskol!$L$1168="","",[2]Baskol!$L$1168)</f>
        <v/>
      </c>
      <c r="AD1165">
        <f>IF([2]Baskol!$N$1168="","",[2]Baskol!$N$1168)</f>
        <v/>
      </c>
      <c r="AE1165">
        <f>IF([2]Baskol!$O$1168="","",[2]Baskol!$O$1168)</f>
        <v/>
      </c>
      <c r="AG1165">
        <f>IF([3]Entry!$C$1168="","",[3]Entry!$C$1168)</f>
        <v/>
      </c>
      <c r="AH1165">
        <f>IF([3]Entry!$D$1168="","",[3]Entry!$D$1168)</f>
        <v/>
      </c>
      <c r="AI1165">
        <f>IF([3]Entry!$E$1168="","",[3]Entry!$E$1168)</f>
        <v/>
      </c>
      <c r="AJ1165">
        <f>IF([3]Entry!$G$1168="","",[3]Entry!$G$1168)</f>
        <v/>
      </c>
      <c r="AK1165">
        <f>IF([3]Entry!$K$1168="","",[3]Entry!$K$1168)</f>
        <v/>
      </c>
      <c r="AL1165">
        <f>IF([3]Entry!$L$1168="","",[3]Entry!$L$1168)</f>
        <v/>
      </c>
      <c r="AM1165">
        <f>IF([3]Entry!$M$1168="","",[3]Entry!$M$1168)</f>
        <v/>
      </c>
      <c r="AN1165">
        <f>IF([3]Entry!$N$1168="","",[3]Entry!$N$1168)</f>
        <v/>
      </c>
      <c r="AO1165">
        <f>IF([3]Entry!$R$1168="","",[3]Entry!$R$1168)</f>
        <v/>
      </c>
    </row>
    <row r="1166">
      <c r="U1166">
        <f>IF([2]Baskol!$B$1169="","",[2]Baskol!$B$1169)</f>
        <v/>
      </c>
      <c r="V1166">
        <f>IF([2]Baskol!$C$1169="","",[2]Baskol!$C$1169)</f>
        <v/>
      </c>
      <c r="W1166">
        <f>IF([2]Baskol!$D$1169="","",[2]Baskol!$D$1169)</f>
        <v/>
      </c>
      <c r="X1166">
        <f>IF([2]Baskol!$E$1169="","",[2]Baskol!$E$1169)</f>
        <v/>
      </c>
      <c r="Y1166">
        <f>IF([2]Baskol!$G$1169="","",[2]Baskol!$G$1169)</f>
        <v/>
      </c>
      <c r="Z1166">
        <f>IF([2]Baskol!$I$1169="","",[2]Baskol!$I$1169)</f>
        <v/>
      </c>
      <c r="AA1166">
        <f>IF([2]Baskol!$J$1169="","",[2]Baskol!$J$1169)</f>
        <v/>
      </c>
      <c r="AB1166">
        <f>IF([2]Baskol!$K$1169="","",[2]Baskol!$K$1169)</f>
        <v/>
      </c>
      <c r="AC1166">
        <f>IF([2]Baskol!$L$1169="","",[2]Baskol!$L$1169)</f>
        <v/>
      </c>
      <c r="AD1166">
        <f>IF([2]Baskol!$N$1169="","",[2]Baskol!$N$1169)</f>
        <v/>
      </c>
      <c r="AE1166">
        <f>IF([2]Baskol!$O$1169="","",[2]Baskol!$O$1169)</f>
        <v/>
      </c>
      <c r="AG1166">
        <f>IF([3]Entry!$C$1169="","",[3]Entry!$C$1169)</f>
        <v/>
      </c>
      <c r="AH1166">
        <f>IF([3]Entry!$D$1169="","",[3]Entry!$D$1169)</f>
        <v/>
      </c>
      <c r="AI1166">
        <f>IF([3]Entry!$E$1169="","",[3]Entry!$E$1169)</f>
        <v/>
      </c>
      <c r="AJ1166">
        <f>IF([3]Entry!$G$1169="","",[3]Entry!$G$1169)</f>
        <v/>
      </c>
      <c r="AK1166">
        <f>IF([3]Entry!$K$1169="","",[3]Entry!$K$1169)</f>
        <v/>
      </c>
      <c r="AL1166">
        <f>IF([3]Entry!$L$1169="","",[3]Entry!$L$1169)</f>
        <v/>
      </c>
      <c r="AM1166">
        <f>IF([3]Entry!$M$1169="","",[3]Entry!$M$1169)</f>
        <v/>
      </c>
      <c r="AN1166">
        <f>IF([3]Entry!$N$1169="","",[3]Entry!$N$1169)</f>
        <v/>
      </c>
      <c r="AO1166">
        <f>IF([3]Entry!$R$1169="","",[3]Entry!$R$1169)</f>
        <v/>
      </c>
    </row>
    <row r="1167">
      <c r="U1167">
        <f>IF([2]Baskol!$B$1170="","",[2]Baskol!$B$1170)</f>
        <v/>
      </c>
      <c r="V1167">
        <f>IF([2]Baskol!$C$1170="","",[2]Baskol!$C$1170)</f>
        <v/>
      </c>
      <c r="W1167">
        <f>IF([2]Baskol!$D$1170="","",[2]Baskol!$D$1170)</f>
        <v/>
      </c>
      <c r="X1167">
        <f>IF([2]Baskol!$E$1170="","",[2]Baskol!$E$1170)</f>
        <v/>
      </c>
      <c r="Y1167">
        <f>IF([2]Baskol!$G$1170="","",[2]Baskol!$G$1170)</f>
        <v/>
      </c>
      <c r="Z1167">
        <f>IF([2]Baskol!$I$1170="","",[2]Baskol!$I$1170)</f>
        <v/>
      </c>
      <c r="AA1167">
        <f>IF([2]Baskol!$J$1170="","",[2]Baskol!$J$1170)</f>
        <v/>
      </c>
      <c r="AB1167">
        <f>IF([2]Baskol!$K$1170="","",[2]Baskol!$K$1170)</f>
        <v/>
      </c>
      <c r="AC1167">
        <f>IF([2]Baskol!$L$1170="","",[2]Baskol!$L$1170)</f>
        <v/>
      </c>
      <c r="AD1167">
        <f>IF([2]Baskol!$N$1170="","",[2]Baskol!$N$1170)</f>
        <v/>
      </c>
      <c r="AE1167">
        <f>IF([2]Baskol!$O$1170="","",[2]Baskol!$O$1170)</f>
        <v/>
      </c>
      <c r="AG1167">
        <f>IF([3]Entry!$C$1170="","",[3]Entry!$C$1170)</f>
        <v/>
      </c>
      <c r="AH1167">
        <f>IF([3]Entry!$D$1170="","",[3]Entry!$D$1170)</f>
        <v/>
      </c>
      <c r="AI1167">
        <f>IF([3]Entry!$E$1170="","",[3]Entry!$E$1170)</f>
        <v/>
      </c>
      <c r="AJ1167">
        <f>IF([3]Entry!$G$1170="","",[3]Entry!$G$1170)</f>
        <v/>
      </c>
      <c r="AK1167">
        <f>IF([3]Entry!$K$1170="","",[3]Entry!$K$1170)</f>
        <v/>
      </c>
      <c r="AL1167">
        <f>IF([3]Entry!$L$1170="","",[3]Entry!$L$1170)</f>
        <v/>
      </c>
      <c r="AM1167">
        <f>IF([3]Entry!$M$1170="","",[3]Entry!$M$1170)</f>
        <v/>
      </c>
      <c r="AN1167">
        <f>IF([3]Entry!$N$1170="","",[3]Entry!$N$1170)</f>
        <v/>
      </c>
      <c r="AO1167">
        <f>IF([3]Entry!$R$1170="","",[3]Entry!$R$1170)</f>
        <v/>
      </c>
    </row>
    <row r="1168">
      <c r="U1168">
        <f>IF([2]Baskol!$B$1171="","",[2]Baskol!$B$1171)</f>
        <v/>
      </c>
      <c r="V1168">
        <f>IF([2]Baskol!$C$1171="","",[2]Baskol!$C$1171)</f>
        <v/>
      </c>
      <c r="W1168">
        <f>IF([2]Baskol!$D$1171="","",[2]Baskol!$D$1171)</f>
        <v/>
      </c>
      <c r="X1168">
        <f>IF([2]Baskol!$E$1171="","",[2]Baskol!$E$1171)</f>
        <v/>
      </c>
      <c r="Y1168">
        <f>IF([2]Baskol!$G$1171="","",[2]Baskol!$G$1171)</f>
        <v/>
      </c>
      <c r="Z1168">
        <f>IF([2]Baskol!$I$1171="","",[2]Baskol!$I$1171)</f>
        <v/>
      </c>
      <c r="AA1168">
        <f>IF([2]Baskol!$J$1171="","",[2]Baskol!$J$1171)</f>
        <v/>
      </c>
      <c r="AB1168">
        <f>IF([2]Baskol!$K$1171="","",[2]Baskol!$K$1171)</f>
        <v/>
      </c>
      <c r="AC1168">
        <f>IF([2]Baskol!$L$1171="","",[2]Baskol!$L$1171)</f>
        <v/>
      </c>
      <c r="AD1168">
        <f>IF([2]Baskol!$N$1171="","",[2]Baskol!$N$1171)</f>
        <v/>
      </c>
      <c r="AE1168">
        <f>IF([2]Baskol!$O$1171="","",[2]Baskol!$O$1171)</f>
        <v/>
      </c>
      <c r="AG1168">
        <f>IF([3]Entry!$C$1171="","",[3]Entry!$C$1171)</f>
        <v/>
      </c>
      <c r="AH1168">
        <f>IF([3]Entry!$D$1171="","",[3]Entry!$D$1171)</f>
        <v/>
      </c>
      <c r="AI1168">
        <f>IF([3]Entry!$E$1171="","",[3]Entry!$E$1171)</f>
        <v/>
      </c>
      <c r="AJ1168">
        <f>IF([3]Entry!$G$1171="","",[3]Entry!$G$1171)</f>
        <v/>
      </c>
      <c r="AK1168">
        <f>IF([3]Entry!$K$1171="","",[3]Entry!$K$1171)</f>
        <v/>
      </c>
      <c r="AL1168">
        <f>IF([3]Entry!$L$1171="","",[3]Entry!$L$1171)</f>
        <v/>
      </c>
      <c r="AM1168">
        <f>IF([3]Entry!$M$1171="","",[3]Entry!$M$1171)</f>
        <v/>
      </c>
      <c r="AN1168">
        <f>IF([3]Entry!$N$1171="","",[3]Entry!$N$1171)</f>
        <v/>
      </c>
      <c r="AO1168">
        <f>IF([3]Entry!$R$1171="","",[3]Entry!$R$1171)</f>
        <v/>
      </c>
    </row>
    <row r="1169">
      <c r="U1169">
        <f>IF([2]Baskol!$B$1172="","",[2]Baskol!$B$1172)</f>
        <v/>
      </c>
      <c r="V1169">
        <f>IF([2]Baskol!$C$1172="","",[2]Baskol!$C$1172)</f>
        <v/>
      </c>
      <c r="W1169">
        <f>IF([2]Baskol!$D$1172="","",[2]Baskol!$D$1172)</f>
        <v/>
      </c>
      <c r="X1169">
        <f>IF([2]Baskol!$E$1172="","",[2]Baskol!$E$1172)</f>
        <v/>
      </c>
      <c r="Y1169">
        <f>IF([2]Baskol!$G$1172="","",[2]Baskol!$G$1172)</f>
        <v/>
      </c>
      <c r="Z1169">
        <f>IF([2]Baskol!$I$1172="","",[2]Baskol!$I$1172)</f>
        <v/>
      </c>
      <c r="AA1169">
        <f>IF([2]Baskol!$J$1172="","",[2]Baskol!$J$1172)</f>
        <v/>
      </c>
      <c r="AB1169">
        <f>IF([2]Baskol!$K$1172="","",[2]Baskol!$K$1172)</f>
        <v/>
      </c>
      <c r="AC1169">
        <f>IF([2]Baskol!$L$1172="","",[2]Baskol!$L$1172)</f>
        <v/>
      </c>
      <c r="AD1169">
        <f>IF([2]Baskol!$N$1172="","",[2]Baskol!$N$1172)</f>
        <v/>
      </c>
      <c r="AE1169">
        <f>IF([2]Baskol!$O$1172="","",[2]Baskol!$O$1172)</f>
        <v/>
      </c>
      <c r="AG1169">
        <f>IF([3]Entry!$C$1172="","",[3]Entry!$C$1172)</f>
        <v/>
      </c>
      <c r="AH1169">
        <f>IF([3]Entry!$D$1172="","",[3]Entry!$D$1172)</f>
        <v/>
      </c>
      <c r="AI1169">
        <f>IF([3]Entry!$E$1172="","",[3]Entry!$E$1172)</f>
        <v/>
      </c>
      <c r="AJ1169">
        <f>IF([3]Entry!$G$1172="","",[3]Entry!$G$1172)</f>
        <v/>
      </c>
      <c r="AK1169">
        <f>IF([3]Entry!$K$1172="","",[3]Entry!$K$1172)</f>
        <v/>
      </c>
      <c r="AL1169">
        <f>IF([3]Entry!$L$1172="","",[3]Entry!$L$1172)</f>
        <v/>
      </c>
      <c r="AM1169">
        <f>IF([3]Entry!$M$1172="","",[3]Entry!$M$1172)</f>
        <v/>
      </c>
      <c r="AN1169">
        <f>IF([3]Entry!$N$1172="","",[3]Entry!$N$1172)</f>
        <v/>
      </c>
      <c r="AO1169">
        <f>IF([3]Entry!$R$1172="","",[3]Entry!$R$1172)</f>
        <v/>
      </c>
    </row>
    <row r="1170">
      <c r="U1170">
        <f>IF([2]Baskol!$B$1173="","",[2]Baskol!$B$1173)</f>
        <v/>
      </c>
      <c r="V1170">
        <f>IF([2]Baskol!$C$1173="","",[2]Baskol!$C$1173)</f>
        <v/>
      </c>
      <c r="W1170">
        <f>IF([2]Baskol!$D$1173="","",[2]Baskol!$D$1173)</f>
        <v/>
      </c>
      <c r="X1170">
        <f>IF([2]Baskol!$E$1173="","",[2]Baskol!$E$1173)</f>
        <v/>
      </c>
      <c r="Y1170">
        <f>IF([2]Baskol!$G$1173="","",[2]Baskol!$G$1173)</f>
        <v/>
      </c>
      <c r="Z1170">
        <f>IF([2]Baskol!$I$1173="","",[2]Baskol!$I$1173)</f>
        <v/>
      </c>
      <c r="AA1170">
        <f>IF([2]Baskol!$J$1173="","",[2]Baskol!$J$1173)</f>
        <v/>
      </c>
      <c r="AB1170">
        <f>IF([2]Baskol!$K$1173="","",[2]Baskol!$K$1173)</f>
        <v/>
      </c>
      <c r="AC1170">
        <f>IF([2]Baskol!$L$1173="","",[2]Baskol!$L$1173)</f>
        <v/>
      </c>
      <c r="AD1170">
        <f>IF([2]Baskol!$N$1173="","",[2]Baskol!$N$1173)</f>
        <v/>
      </c>
      <c r="AE1170">
        <f>IF([2]Baskol!$O$1173="","",[2]Baskol!$O$1173)</f>
        <v/>
      </c>
      <c r="AG1170">
        <f>IF([3]Entry!$C$1173="","",[3]Entry!$C$1173)</f>
        <v/>
      </c>
      <c r="AH1170">
        <f>IF([3]Entry!$D$1173="","",[3]Entry!$D$1173)</f>
        <v/>
      </c>
      <c r="AI1170">
        <f>IF([3]Entry!$E$1173="","",[3]Entry!$E$1173)</f>
        <v/>
      </c>
      <c r="AJ1170">
        <f>IF([3]Entry!$G$1173="","",[3]Entry!$G$1173)</f>
        <v/>
      </c>
      <c r="AK1170">
        <f>IF([3]Entry!$K$1173="","",[3]Entry!$K$1173)</f>
        <v/>
      </c>
      <c r="AL1170">
        <f>IF([3]Entry!$L$1173="","",[3]Entry!$L$1173)</f>
        <v/>
      </c>
      <c r="AM1170">
        <f>IF([3]Entry!$M$1173="","",[3]Entry!$M$1173)</f>
        <v/>
      </c>
      <c r="AN1170">
        <f>IF([3]Entry!$N$1173="","",[3]Entry!$N$1173)</f>
        <v/>
      </c>
      <c r="AO1170">
        <f>IF([3]Entry!$R$1173="","",[3]Entry!$R$1173)</f>
        <v/>
      </c>
    </row>
    <row r="1171">
      <c r="U1171">
        <f>IF([2]Baskol!$B$1174="","",[2]Baskol!$B$1174)</f>
        <v/>
      </c>
      <c r="V1171">
        <f>IF([2]Baskol!$C$1174="","",[2]Baskol!$C$1174)</f>
        <v/>
      </c>
      <c r="W1171">
        <f>IF([2]Baskol!$D$1174="","",[2]Baskol!$D$1174)</f>
        <v/>
      </c>
      <c r="X1171">
        <f>IF([2]Baskol!$E$1174="","",[2]Baskol!$E$1174)</f>
        <v/>
      </c>
      <c r="Y1171">
        <f>IF([2]Baskol!$G$1174="","",[2]Baskol!$G$1174)</f>
        <v/>
      </c>
      <c r="Z1171">
        <f>IF([2]Baskol!$I$1174="","",[2]Baskol!$I$1174)</f>
        <v/>
      </c>
      <c r="AA1171">
        <f>IF([2]Baskol!$J$1174="","",[2]Baskol!$J$1174)</f>
        <v/>
      </c>
      <c r="AB1171">
        <f>IF([2]Baskol!$K$1174="","",[2]Baskol!$K$1174)</f>
        <v/>
      </c>
      <c r="AC1171">
        <f>IF([2]Baskol!$L$1174="","",[2]Baskol!$L$1174)</f>
        <v/>
      </c>
      <c r="AD1171">
        <f>IF([2]Baskol!$N$1174="","",[2]Baskol!$N$1174)</f>
        <v/>
      </c>
      <c r="AE1171">
        <f>IF([2]Baskol!$O$1174="","",[2]Baskol!$O$1174)</f>
        <v/>
      </c>
      <c r="AG1171">
        <f>IF([3]Entry!$C$1174="","",[3]Entry!$C$1174)</f>
        <v/>
      </c>
      <c r="AH1171">
        <f>IF([3]Entry!$D$1174="","",[3]Entry!$D$1174)</f>
        <v/>
      </c>
      <c r="AI1171">
        <f>IF([3]Entry!$E$1174="","",[3]Entry!$E$1174)</f>
        <v/>
      </c>
      <c r="AJ1171">
        <f>IF([3]Entry!$G$1174="","",[3]Entry!$G$1174)</f>
        <v/>
      </c>
      <c r="AK1171">
        <f>IF([3]Entry!$K$1174="","",[3]Entry!$K$1174)</f>
        <v/>
      </c>
      <c r="AL1171">
        <f>IF([3]Entry!$L$1174="","",[3]Entry!$L$1174)</f>
        <v/>
      </c>
      <c r="AM1171">
        <f>IF([3]Entry!$M$1174="","",[3]Entry!$M$1174)</f>
        <v/>
      </c>
      <c r="AN1171">
        <f>IF([3]Entry!$N$1174="","",[3]Entry!$N$1174)</f>
        <v/>
      </c>
      <c r="AO1171">
        <f>IF([3]Entry!$R$1174="","",[3]Entry!$R$1174)</f>
        <v/>
      </c>
    </row>
    <row r="1172">
      <c r="U1172">
        <f>IF([2]Baskol!$B$1175="","",[2]Baskol!$B$1175)</f>
        <v/>
      </c>
      <c r="V1172">
        <f>IF([2]Baskol!$C$1175="","",[2]Baskol!$C$1175)</f>
        <v/>
      </c>
      <c r="W1172">
        <f>IF([2]Baskol!$D$1175="","",[2]Baskol!$D$1175)</f>
        <v/>
      </c>
      <c r="X1172">
        <f>IF([2]Baskol!$E$1175="","",[2]Baskol!$E$1175)</f>
        <v/>
      </c>
      <c r="Y1172">
        <f>IF([2]Baskol!$G$1175="","",[2]Baskol!$G$1175)</f>
        <v/>
      </c>
      <c r="Z1172">
        <f>IF([2]Baskol!$I$1175="","",[2]Baskol!$I$1175)</f>
        <v/>
      </c>
      <c r="AA1172">
        <f>IF([2]Baskol!$J$1175="","",[2]Baskol!$J$1175)</f>
        <v/>
      </c>
      <c r="AB1172">
        <f>IF([2]Baskol!$K$1175="","",[2]Baskol!$K$1175)</f>
        <v/>
      </c>
      <c r="AC1172">
        <f>IF([2]Baskol!$L$1175="","",[2]Baskol!$L$1175)</f>
        <v/>
      </c>
      <c r="AD1172">
        <f>IF([2]Baskol!$N$1175="","",[2]Baskol!$N$1175)</f>
        <v/>
      </c>
      <c r="AE1172">
        <f>IF([2]Baskol!$O$1175="","",[2]Baskol!$O$1175)</f>
        <v/>
      </c>
      <c r="AG1172">
        <f>IF([3]Entry!$C$1175="","",[3]Entry!$C$1175)</f>
        <v/>
      </c>
      <c r="AH1172">
        <f>IF([3]Entry!$D$1175="","",[3]Entry!$D$1175)</f>
        <v/>
      </c>
      <c r="AI1172">
        <f>IF([3]Entry!$E$1175="","",[3]Entry!$E$1175)</f>
        <v/>
      </c>
      <c r="AJ1172">
        <f>IF([3]Entry!$G$1175="","",[3]Entry!$G$1175)</f>
        <v/>
      </c>
      <c r="AK1172">
        <f>IF([3]Entry!$K$1175="","",[3]Entry!$K$1175)</f>
        <v/>
      </c>
      <c r="AL1172">
        <f>IF([3]Entry!$L$1175="","",[3]Entry!$L$1175)</f>
        <v/>
      </c>
      <c r="AM1172">
        <f>IF([3]Entry!$M$1175="","",[3]Entry!$M$1175)</f>
        <v/>
      </c>
      <c r="AN1172">
        <f>IF([3]Entry!$N$1175="","",[3]Entry!$N$1175)</f>
        <v/>
      </c>
      <c r="AO1172">
        <f>IF([3]Entry!$R$1175="","",[3]Entry!$R$1175)</f>
        <v/>
      </c>
    </row>
    <row r="1173">
      <c r="U1173">
        <f>IF([2]Baskol!$B$1176="","",[2]Baskol!$B$1176)</f>
        <v/>
      </c>
      <c r="V1173">
        <f>IF([2]Baskol!$C$1176="","",[2]Baskol!$C$1176)</f>
        <v/>
      </c>
      <c r="W1173">
        <f>IF([2]Baskol!$D$1176="","",[2]Baskol!$D$1176)</f>
        <v/>
      </c>
      <c r="X1173">
        <f>IF([2]Baskol!$E$1176="","",[2]Baskol!$E$1176)</f>
        <v/>
      </c>
      <c r="Y1173">
        <f>IF([2]Baskol!$G$1176="","",[2]Baskol!$G$1176)</f>
        <v/>
      </c>
      <c r="Z1173">
        <f>IF([2]Baskol!$I$1176="","",[2]Baskol!$I$1176)</f>
        <v/>
      </c>
      <c r="AA1173">
        <f>IF([2]Baskol!$J$1176="","",[2]Baskol!$J$1176)</f>
        <v/>
      </c>
      <c r="AB1173">
        <f>IF([2]Baskol!$K$1176="","",[2]Baskol!$K$1176)</f>
        <v/>
      </c>
      <c r="AC1173">
        <f>IF([2]Baskol!$L$1176="","",[2]Baskol!$L$1176)</f>
        <v/>
      </c>
      <c r="AD1173">
        <f>IF([2]Baskol!$N$1176="","",[2]Baskol!$N$1176)</f>
        <v/>
      </c>
      <c r="AE1173">
        <f>IF([2]Baskol!$O$1176="","",[2]Baskol!$O$1176)</f>
        <v/>
      </c>
      <c r="AG1173">
        <f>IF([3]Entry!$C$1176="","",[3]Entry!$C$1176)</f>
        <v/>
      </c>
      <c r="AH1173">
        <f>IF([3]Entry!$D$1176="","",[3]Entry!$D$1176)</f>
        <v/>
      </c>
      <c r="AI1173">
        <f>IF([3]Entry!$E$1176="","",[3]Entry!$E$1176)</f>
        <v/>
      </c>
      <c r="AJ1173">
        <f>IF([3]Entry!$G$1176="","",[3]Entry!$G$1176)</f>
        <v/>
      </c>
      <c r="AK1173">
        <f>IF([3]Entry!$K$1176="","",[3]Entry!$K$1176)</f>
        <v/>
      </c>
      <c r="AL1173">
        <f>IF([3]Entry!$L$1176="","",[3]Entry!$L$1176)</f>
        <v/>
      </c>
      <c r="AM1173">
        <f>IF([3]Entry!$M$1176="","",[3]Entry!$M$1176)</f>
        <v/>
      </c>
      <c r="AN1173">
        <f>IF([3]Entry!$N$1176="","",[3]Entry!$N$1176)</f>
        <v/>
      </c>
      <c r="AO1173">
        <f>IF([3]Entry!$R$1176="","",[3]Entry!$R$1176)</f>
        <v/>
      </c>
    </row>
    <row r="1174">
      <c r="U1174">
        <f>IF([2]Baskol!$B$1177="","",[2]Baskol!$B$1177)</f>
        <v/>
      </c>
      <c r="V1174">
        <f>IF([2]Baskol!$C$1177="","",[2]Baskol!$C$1177)</f>
        <v/>
      </c>
      <c r="W1174">
        <f>IF([2]Baskol!$D$1177="","",[2]Baskol!$D$1177)</f>
        <v/>
      </c>
      <c r="X1174">
        <f>IF([2]Baskol!$E$1177="","",[2]Baskol!$E$1177)</f>
        <v/>
      </c>
      <c r="Y1174">
        <f>IF([2]Baskol!$G$1177="","",[2]Baskol!$G$1177)</f>
        <v/>
      </c>
      <c r="Z1174">
        <f>IF([2]Baskol!$I$1177="","",[2]Baskol!$I$1177)</f>
        <v/>
      </c>
      <c r="AA1174">
        <f>IF([2]Baskol!$J$1177="","",[2]Baskol!$J$1177)</f>
        <v/>
      </c>
      <c r="AB1174">
        <f>IF([2]Baskol!$K$1177="","",[2]Baskol!$K$1177)</f>
        <v/>
      </c>
      <c r="AC1174">
        <f>IF([2]Baskol!$L$1177="","",[2]Baskol!$L$1177)</f>
        <v/>
      </c>
      <c r="AD1174">
        <f>IF([2]Baskol!$N$1177="","",[2]Baskol!$N$1177)</f>
        <v/>
      </c>
      <c r="AE1174">
        <f>IF([2]Baskol!$O$1177="","",[2]Baskol!$O$1177)</f>
        <v/>
      </c>
      <c r="AG1174">
        <f>IF([3]Entry!$C$1177="","",[3]Entry!$C$1177)</f>
        <v/>
      </c>
      <c r="AH1174">
        <f>IF([3]Entry!$D$1177="","",[3]Entry!$D$1177)</f>
        <v/>
      </c>
      <c r="AI1174">
        <f>IF([3]Entry!$E$1177="","",[3]Entry!$E$1177)</f>
        <v/>
      </c>
      <c r="AJ1174">
        <f>IF([3]Entry!$G$1177="","",[3]Entry!$G$1177)</f>
        <v/>
      </c>
      <c r="AK1174">
        <f>IF([3]Entry!$K$1177="","",[3]Entry!$K$1177)</f>
        <v/>
      </c>
      <c r="AL1174">
        <f>IF([3]Entry!$L$1177="","",[3]Entry!$L$1177)</f>
        <v/>
      </c>
      <c r="AM1174">
        <f>IF([3]Entry!$M$1177="","",[3]Entry!$M$1177)</f>
        <v/>
      </c>
      <c r="AN1174">
        <f>IF([3]Entry!$N$1177="","",[3]Entry!$N$1177)</f>
        <v/>
      </c>
      <c r="AO1174">
        <f>IF([3]Entry!$R$1177="","",[3]Entry!$R$1177)</f>
        <v/>
      </c>
    </row>
    <row r="1175">
      <c r="U1175">
        <f>IF([2]Baskol!$B$1178="","",[2]Baskol!$B$1178)</f>
        <v/>
      </c>
      <c r="V1175">
        <f>IF([2]Baskol!$C$1178="","",[2]Baskol!$C$1178)</f>
        <v/>
      </c>
      <c r="W1175">
        <f>IF([2]Baskol!$D$1178="","",[2]Baskol!$D$1178)</f>
        <v/>
      </c>
      <c r="X1175">
        <f>IF([2]Baskol!$E$1178="","",[2]Baskol!$E$1178)</f>
        <v/>
      </c>
      <c r="Y1175">
        <f>IF([2]Baskol!$G$1178="","",[2]Baskol!$G$1178)</f>
        <v/>
      </c>
      <c r="Z1175">
        <f>IF([2]Baskol!$I$1178="","",[2]Baskol!$I$1178)</f>
        <v/>
      </c>
      <c r="AA1175">
        <f>IF([2]Baskol!$J$1178="","",[2]Baskol!$J$1178)</f>
        <v/>
      </c>
      <c r="AB1175">
        <f>IF([2]Baskol!$K$1178="","",[2]Baskol!$K$1178)</f>
        <v/>
      </c>
      <c r="AC1175">
        <f>IF([2]Baskol!$L$1178="","",[2]Baskol!$L$1178)</f>
        <v/>
      </c>
      <c r="AD1175">
        <f>IF([2]Baskol!$N$1178="","",[2]Baskol!$N$1178)</f>
        <v/>
      </c>
      <c r="AE1175">
        <f>IF([2]Baskol!$O$1178="","",[2]Baskol!$O$1178)</f>
        <v/>
      </c>
      <c r="AG1175">
        <f>IF([3]Entry!$C$1178="","",[3]Entry!$C$1178)</f>
        <v/>
      </c>
      <c r="AH1175">
        <f>IF([3]Entry!$D$1178="","",[3]Entry!$D$1178)</f>
        <v/>
      </c>
      <c r="AI1175">
        <f>IF([3]Entry!$E$1178="","",[3]Entry!$E$1178)</f>
        <v/>
      </c>
      <c r="AJ1175">
        <f>IF([3]Entry!$G$1178="","",[3]Entry!$G$1178)</f>
        <v/>
      </c>
      <c r="AK1175">
        <f>IF([3]Entry!$K$1178="","",[3]Entry!$K$1178)</f>
        <v/>
      </c>
      <c r="AL1175">
        <f>IF([3]Entry!$L$1178="","",[3]Entry!$L$1178)</f>
        <v/>
      </c>
      <c r="AM1175">
        <f>IF([3]Entry!$M$1178="","",[3]Entry!$M$1178)</f>
        <v/>
      </c>
      <c r="AN1175">
        <f>IF([3]Entry!$N$1178="","",[3]Entry!$N$1178)</f>
        <v/>
      </c>
      <c r="AO1175">
        <f>IF([3]Entry!$R$1178="","",[3]Entry!$R$1178)</f>
        <v/>
      </c>
    </row>
    <row r="1176">
      <c r="U1176">
        <f>IF([2]Baskol!$B$1179="","",[2]Baskol!$B$1179)</f>
        <v/>
      </c>
      <c r="V1176">
        <f>IF([2]Baskol!$C$1179="","",[2]Baskol!$C$1179)</f>
        <v/>
      </c>
      <c r="W1176">
        <f>IF([2]Baskol!$D$1179="","",[2]Baskol!$D$1179)</f>
        <v/>
      </c>
      <c r="X1176">
        <f>IF([2]Baskol!$E$1179="","",[2]Baskol!$E$1179)</f>
        <v/>
      </c>
      <c r="Y1176">
        <f>IF([2]Baskol!$G$1179="","",[2]Baskol!$G$1179)</f>
        <v/>
      </c>
      <c r="Z1176">
        <f>IF([2]Baskol!$I$1179="","",[2]Baskol!$I$1179)</f>
        <v/>
      </c>
      <c r="AA1176">
        <f>IF([2]Baskol!$J$1179="","",[2]Baskol!$J$1179)</f>
        <v/>
      </c>
      <c r="AB1176">
        <f>IF([2]Baskol!$K$1179="","",[2]Baskol!$K$1179)</f>
        <v/>
      </c>
      <c r="AC1176">
        <f>IF([2]Baskol!$L$1179="","",[2]Baskol!$L$1179)</f>
        <v/>
      </c>
      <c r="AD1176">
        <f>IF([2]Baskol!$N$1179="","",[2]Baskol!$N$1179)</f>
        <v/>
      </c>
      <c r="AE1176">
        <f>IF([2]Baskol!$O$1179="","",[2]Baskol!$O$1179)</f>
        <v/>
      </c>
      <c r="AG1176">
        <f>IF([3]Entry!$C$1179="","",[3]Entry!$C$1179)</f>
        <v/>
      </c>
      <c r="AH1176">
        <f>IF([3]Entry!$D$1179="","",[3]Entry!$D$1179)</f>
        <v/>
      </c>
      <c r="AI1176">
        <f>IF([3]Entry!$E$1179="","",[3]Entry!$E$1179)</f>
        <v/>
      </c>
      <c r="AJ1176">
        <f>IF([3]Entry!$G$1179="","",[3]Entry!$G$1179)</f>
        <v/>
      </c>
      <c r="AK1176">
        <f>IF([3]Entry!$K$1179="","",[3]Entry!$K$1179)</f>
        <v/>
      </c>
      <c r="AL1176">
        <f>IF([3]Entry!$L$1179="","",[3]Entry!$L$1179)</f>
        <v/>
      </c>
      <c r="AM1176">
        <f>IF([3]Entry!$M$1179="","",[3]Entry!$M$1179)</f>
        <v/>
      </c>
      <c r="AN1176">
        <f>IF([3]Entry!$N$1179="","",[3]Entry!$N$1179)</f>
        <v/>
      </c>
      <c r="AO1176">
        <f>IF([3]Entry!$R$1179="","",[3]Entry!$R$1179)</f>
        <v/>
      </c>
    </row>
    <row r="1177">
      <c r="U1177">
        <f>IF([2]Baskol!$B$1180="","",[2]Baskol!$B$1180)</f>
        <v/>
      </c>
      <c r="V1177">
        <f>IF([2]Baskol!$C$1180="","",[2]Baskol!$C$1180)</f>
        <v/>
      </c>
      <c r="W1177">
        <f>IF([2]Baskol!$D$1180="","",[2]Baskol!$D$1180)</f>
        <v/>
      </c>
      <c r="X1177">
        <f>IF([2]Baskol!$E$1180="","",[2]Baskol!$E$1180)</f>
        <v/>
      </c>
      <c r="Y1177">
        <f>IF([2]Baskol!$G$1180="","",[2]Baskol!$G$1180)</f>
        <v/>
      </c>
      <c r="Z1177">
        <f>IF([2]Baskol!$I$1180="","",[2]Baskol!$I$1180)</f>
        <v/>
      </c>
      <c r="AA1177">
        <f>IF([2]Baskol!$J$1180="","",[2]Baskol!$J$1180)</f>
        <v/>
      </c>
      <c r="AB1177">
        <f>IF([2]Baskol!$K$1180="","",[2]Baskol!$K$1180)</f>
        <v/>
      </c>
      <c r="AC1177">
        <f>IF([2]Baskol!$L$1180="","",[2]Baskol!$L$1180)</f>
        <v/>
      </c>
      <c r="AD1177">
        <f>IF([2]Baskol!$N$1180="","",[2]Baskol!$N$1180)</f>
        <v/>
      </c>
      <c r="AE1177">
        <f>IF([2]Baskol!$O$1180="","",[2]Baskol!$O$1180)</f>
        <v/>
      </c>
      <c r="AG1177">
        <f>IF([3]Entry!$C$1180="","",[3]Entry!$C$1180)</f>
        <v/>
      </c>
      <c r="AH1177">
        <f>IF([3]Entry!$D$1180="","",[3]Entry!$D$1180)</f>
        <v/>
      </c>
      <c r="AI1177">
        <f>IF([3]Entry!$E$1180="","",[3]Entry!$E$1180)</f>
        <v/>
      </c>
      <c r="AJ1177">
        <f>IF([3]Entry!$G$1180="","",[3]Entry!$G$1180)</f>
        <v/>
      </c>
      <c r="AK1177">
        <f>IF([3]Entry!$K$1180="","",[3]Entry!$K$1180)</f>
        <v/>
      </c>
      <c r="AL1177">
        <f>IF([3]Entry!$L$1180="","",[3]Entry!$L$1180)</f>
        <v/>
      </c>
      <c r="AM1177">
        <f>IF([3]Entry!$M$1180="","",[3]Entry!$M$1180)</f>
        <v/>
      </c>
      <c r="AN1177">
        <f>IF([3]Entry!$N$1180="","",[3]Entry!$N$1180)</f>
        <v/>
      </c>
      <c r="AO1177">
        <f>IF([3]Entry!$R$1180="","",[3]Entry!$R$1180)</f>
        <v/>
      </c>
    </row>
    <row r="1178">
      <c r="U1178">
        <f>IF([2]Baskol!$B$1181="","",[2]Baskol!$B$1181)</f>
        <v/>
      </c>
      <c r="V1178">
        <f>IF([2]Baskol!$C$1181="","",[2]Baskol!$C$1181)</f>
        <v/>
      </c>
      <c r="W1178">
        <f>IF([2]Baskol!$D$1181="","",[2]Baskol!$D$1181)</f>
        <v/>
      </c>
      <c r="X1178">
        <f>IF([2]Baskol!$E$1181="","",[2]Baskol!$E$1181)</f>
        <v/>
      </c>
      <c r="Y1178">
        <f>IF([2]Baskol!$G$1181="","",[2]Baskol!$G$1181)</f>
        <v/>
      </c>
      <c r="Z1178">
        <f>IF([2]Baskol!$I$1181="","",[2]Baskol!$I$1181)</f>
        <v/>
      </c>
      <c r="AA1178">
        <f>IF([2]Baskol!$J$1181="","",[2]Baskol!$J$1181)</f>
        <v/>
      </c>
      <c r="AB1178">
        <f>IF([2]Baskol!$K$1181="","",[2]Baskol!$K$1181)</f>
        <v/>
      </c>
      <c r="AC1178">
        <f>IF([2]Baskol!$L$1181="","",[2]Baskol!$L$1181)</f>
        <v/>
      </c>
      <c r="AD1178">
        <f>IF([2]Baskol!$N$1181="","",[2]Baskol!$N$1181)</f>
        <v/>
      </c>
      <c r="AE1178">
        <f>IF([2]Baskol!$O$1181="","",[2]Baskol!$O$1181)</f>
        <v/>
      </c>
      <c r="AG1178">
        <f>IF([3]Entry!$C$1181="","",[3]Entry!$C$1181)</f>
        <v/>
      </c>
      <c r="AH1178">
        <f>IF([3]Entry!$D$1181="","",[3]Entry!$D$1181)</f>
        <v/>
      </c>
      <c r="AI1178">
        <f>IF([3]Entry!$E$1181="","",[3]Entry!$E$1181)</f>
        <v/>
      </c>
      <c r="AJ1178">
        <f>IF([3]Entry!$G$1181="","",[3]Entry!$G$1181)</f>
        <v/>
      </c>
      <c r="AK1178">
        <f>IF([3]Entry!$K$1181="","",[3]Entry!$K$1181)</f>
        <v/>
      </c>
      <c r="AL1178">
        <f>IF([3]Entry!$L$1181="","",[3]Entry!$L$1181)</f>
        <v/>
      </c>
      <c r="AM1178">
        <f>IF([3]Entry!$M$1181="","",[3]Entry!$M$1181)</f>
        <v/>
      </c>
      <c r="AN1178">
        <f>IF([3]Entry!$N$1181="","",[3]Entry!$N$1181)</f>
        <v/>
      </c>
      <c r="AO1178">
        <f>IF([3]Entry!$R$1181="","",[3]Entry!$R$1181)</f>
        <v/>
      </c>
    </row>
    <row r="1179">
      <c r="U1179">
        <f>IF([2]Baskol!$B$1182="","",[2]Baskol!$B$1182)</f>
        <v/>
      </c>
      <c r="V1179">
        <f>IF([2]Baskol!$C$1182="","",[2]Baskol!$C$1182)</f>
        <v/>
      </c>
      <c r="W1179">
        <f>IF([2]Baskol!$D$1182="","",[2]Baskol!$D$1182)</f>
        <v/>
      </c>
      <c r="X1179">
        <f>IF([2]Baskol!$E$1182="","",[2]Baskol!$E$1182)</f>
        <v/>
      </c>
      <c r="Y1179">
        <f>IF([2]Baskol!$G$1182="","",[2]Baskol!$G$1182)</f>
        <v/>
      </c>
      <c r="Z1179">
        <f>IF([2]Baskol!$I$1182="","",[2]Baskol!$I$1182)</f>
        <v/>
      </c>
      <c r="AA1179">
        <f>IF([2]Baskol!$J$1182="","",[2]Baskol!$J$1182)</f>
        <v/>
      </c>
      <c r="AB1179">
        <f>IF([2]Baskol!$K$1182="","",[2]Baskol!$K$1182)</f>
        <v/>
      </c>
      <c r="AC1179">
        <f>IF([2]Baskol!$L$1182="","",[2]Baskol!$L$1182)</f>
        <v/>
      </c>
      <c r="AD1179">
        <f>IF([2]Baskol!$N$1182="","",[2]Baskol!$N$1182)</f>
        <v/>
      </c>
      <c r="AE1179">
        <f>IF([2]Baskol!$O$1182="","",[2]Baskol!$O$1182)</f>
        <v/>
      </c>
      <c r="AG1179">
        <f>IF([3]Entry!$C$1182="","",[3]Entry!$C$1182)</f>
        <v/>
      </c>
      <c r="AH1179">
        <f>IF([3]Entry!$D$1182="","",[3]Entry!$D$1182)</f>
        <v/>
      </c>
      <c r="AI1179">
        <f>IF([3]Entry!$E$1182="","",[3]Entry!$E$1182)</f>
        <v/>
      </c>
      <c r="AJ1179">
        <f>IF([3]Entry!$G$1182="","",[3]Entry!$G$1182)</f>
        <v/>
      </c>
      <c r="AK1179">
        <f>IF([3]Entry!$K$1182="","",[3]Entry!$K$1182)</f>
        <v/>
      </c>
      <c r="AL1179">
        <f>IF([3]Entry!$L$1182="","",[3]Entry!$L$1182)</f>
        <v/>
      </c>
      <c r="AM1179">
        <f>IF([3]Entry!$M$1182="","",[3]Entry!$M$1182)</f>
        <v/>
      </c>
      <c r="AN1179">
        <f>IF([3]Entry!$N$1182="","",[3]Entry!$N$1182)</f>
        <v/>
      </c>
      <c r="AO1179">
        <f>IF([3]Entry!$R$1182="","",[3]Entry!$R$1182)</f>
        <v/>
      </c>
    </row>
    <row r="1180">
      <c r="U1180">
        <f>IF([2]Baskol!$B$1183="","",[2]Baskol!$B$1183)</f>
        <v/>
      </c>
      <c r="V1180">
        <f>IF([2]Baskol!$C$1183="","",[2]Baskol!$C$1183)</f>
        <v/>
      </c>
      <c r="W1180">
        <f>IF([2]Baskol!$D$1183="","",[2]Baskol!$D$1183)</f>
        <v/>
      </c>
      <c r="X1180">
        <f>IF([2]Baskol!$E$1183="","",[2]Baskol!$E$1183)</f>
        <v/>
      </c>
      <c r="Y1180">
        <f>IF([2]Baskol!$G$1183="","",[2]Baskol!$G$1183)</f>
        <v/>
      </c>
      <c r="Z1180">
        <f>IF([2]Baskol!$I$1183="","",[2]Baskol!$I$1183)</f>
        <v/>
      </c>
      <c r="AA1180">
        <f>IF([2]Baskol!$J$1183="","",[2]Baskol!$J$1183)</f>
        <v/>
      </c>
      <c r="AB1180">
        <f>IF([2]Baskol!$K$1183="","",[2]Baskol!$K$1183)</f>
        <v/>
      </c>
      <c r="AC1180">
        <f>IF([2]Baskol!$L$1183="","",[2]Baskol!$L$1183)</f>
        <v/>
      </c>
      <c r="AD1180">
        <f>IF([2]Baskol!$N$1183="","",[2]Baskol!$N$1183)</f>
        <v/>
      </c>
      <c r="AE1180">
        <f>IF([2]Baskol!$O$1183="","",[2]Baskol!$O$1183)</f>
        <v/>
      </c>
      <c r="AG1180">
        <f>IF([3]Entry!$C$1183="","",[3]Entry!$C$1183)</f>
        <v/>
      </c>
      <c r="AH1180">
        <f>IF([3]Entry!$D$1183="","",[3]Entry!$D$1183)</f>
        <v/>
      </c>
      <c r="AI1180">
        <f>IF([3]Entry!$E$1183="","",[3]Entry!$E$1183)</f>
        <v/>
      </c>
      <c r="AJ1180">
        <f>IF([3]Entry!$G$1183="","",[3]Entry!$G$1183)</f>
        <v/>
      </c>
      <c r="AK1180">
        <f>IF([3]Entry!$K$1183="","",[3]Entry!$K$1183)</f>
        <v/>
      </c>
      <c r="AL1180">
        <f>IF([3]Entry!$L$1183="","",[3]Entry!$L$1183)</f>
        <v/>
      </c>
      <c r="AM1180">
        <f>IF([3]Entry!$M$1183="","",[3]Entry!$M$1183)</f>
        <v/>
      </c>
      <c r="AN1180">
        <f>IF([3]Entry!$N$1183="","",[3]Entry!$N$1183)</f>
        <v/>
      </c>
      <c r="AO1180">
        <f>IF([3]Entry!$R$1183="","",[3]Entry!$R$1183)</f>
        <v/>
      </c>
    </row>
    <row r="1181">
      <c r="U1181">
        <f>IF([2]Baskol!$B$1184="","",[2]Baskol!$B$1184)</f>
        <v/>
      </c>
      <c r="V1181">
        <f>IF([2]Baskol!$C$1184="","",[2]Baskol!$C$1184)</f>
        <v/>
      </c>
      <c r="W1181">
        <f>IF([2]Baskol!$D$1184="","",[2]Baskol!$D$1184)</f>
        <v/>
      </c>
      <c r="X1181">
        <f>IF([2]Baskol!$E$1184="","",[2]Baskol!$E$1184)</f>
        <v/>
      </c>
      <c r="Y1181">
        <f>IF([2]Baskol!$G$1184="","",[2]Baskol!$G$1184)</f>
        <v/>
      </c>
      <c r="Z1181">
        <f>IF([2]Baskol!$I$1184="","",[2]Baskol!$I$1184)</f>
        <v/>
      </c>
      <c r="AA1181">
        <f>IF([2]Baskol!$J$1184="","",[2]Baskol!$J$1184)</f>
        <v/>
      </c>
      <c r="AB1181">
        <f>IF([2]Baskol!$K$1184="","",[2]Baskol!$K$1184)</f>
        <v/>
      </c>
      <c r="AC1181">
        <f>IF([2]Baskol!$L$1184="","",[2]Baskol!$L$1184)</f>
        <v/>
      </c>
      <c r="AD1181">
        <f>IF([2]Baskol!$N$1184="","",[2]Baskol!$N$1184)</f>
        <v/>
      </c>
      <c r="AE1181">
        <f>IF([2]Baskol!$O$1184="","",[2]Baskol!$O$1184)</f>
        <v/>
      </c>
      <c r="AG1181">
        <f>IF([3]Entry!$C$1184="","",[3]Entry!$C$1184)</f>
        <v/>
      </c>
      <c r="AH1181">
        <f>IF([3]Entry!$D$1184="","",[3]Entry!$D$1184)</f>
        <v/>
      </c>
      <c r="AI1181">
        <f>IF([3]Entry!$E$1184="","",[3]Entry!$E$1184)</f>
        <v/>
      </c>
      <c r="AJ1181">
        <f>IF([3]Entry!$G$1184="","",[3]Entry!$G$1184)</f>
        <v/>
      </c>
      <c r="AK1181">
        <f>IF([3]Entry!$K$1184="","",[3]Entry!$K$1184)</f>
        <v/>
      </c>
      <c r="AL1181">
        <f>IF([3]Entry!$L$1184="","",[3]Entry!$L$1184)</f>
        <v/>
      </c>
      <c r="AM1181">
        <f>IF([3]Entry!$M$1184="","",[3]Entry!$M$1184)</f>
        <v/>
      </c>
      <c r="AN1181">
        <f>IF([3]Entry!$N$1184="","",[3]Entry!$N$1184)</f>
        <v/>
      </c>
      <c r="AO1181">
        <f>IF([3]Entry!$R$1184="","",[3]Entry!$R$1184)</f>
        <v/>
      </c>
    </row>
    <row r="1182">
      <c r="U1182">
        <f>IF([2]Baskol!$B$1185="","",[2]Baskol!$B$1185)</f>
        <v/>
      </c>
      <c r="V1182">
        <f>IF([2]Baskol!$C$1185="","",[2]Baskol!$C$1185)</f>
        <v/>
      </c>
      <c r="W1182">
        <f>IF([2]Baskol!$D$1185="","",[2]Baskol!$D$1185)</f>
        <v/>
      </c>
      <c r="X1182">
        <f>IF([2]Baskol!$E$1185="","",[2]Baskol!$E$1185)</f>
        <v/>
      </c>
      <c r="Y1182">
        <f>IF([2]Baskol!$G$1185="","",[2]Baskol!$G$1185)</f>
        <v/>
      </c>
      <c r="Z1182">
        <f>IF([2]Baskol!$I$1185="","",[2]Baskol!$I$1185)</f>
        <v/>
      </c>
      <c r="AA1182">
        <f>IF([2]Baskol!$J$1185="","",[2]Baskol!$J$1185)</f>
        <v/>
      </c>
      <c r="AB1182">
        <f>IF([2]Baskol!$K$1185="","",[2]Baskol!$K$1185)</f>
        <v/>
      </c>
      <c r="AC1182">
        <f>IF([2]Baskol!$L$1185="","",[2]Baskol!$L$1185)</f>
        <v/>
      </c>
      <c r="AD1182">
        <f>IF([2]Baskol!$N$1185="","",[2]Baskol!$N$1185)</f>
        <v/>
      </c>
      <c r="AE1182">
        <f>IF([2]Baskol!$O$1185="","",[2]Baskol!$O$1185)</f>
        <v/>
      </c>
      <c r="AG1182">
        <f>IF([3]Entry!$C$1185="","",[3]Entry!$C$1185)</f>
        <v/>
      </c>
      <c r="AH1182">
        <f>IF([3]Entry!$D$1185="","",[3]Entry!$D$1185)</f>
        <v/>
      </c>
      <c r="AI1182">
        <f>IF([3]Entry!$E$1185="","",[3]Entry!$E$1185)</f>
        <v/>
      </c>
      <c r="AJ1182">
        <f>IF([3]Entry!$G$1185="","",[3]Entry!$G$1185)</f>
        <v/>
      </c>
      <c r="AK1182">
        <f>IF([3]Entry!$K$1185="","",[3]Entry!$K$1185)</f>
        <v/>
      </c>
      <c r="AL1182">
        <f>IF([3]Entry!$L$1185="","",[3]Entry!$L$1185)</f>
        <v/>
      </c>
      <c r="AM1182">
        <f>IF([3]Entry!$M$1185="","",[3]Entry!$M$1185)</f>
        <v/>
      </c>
      <c r="AN1182">
        <f>IF([3]Entry!$N$1185="","",[3]Entry!$N$1185)</f>
        <v/>
      </c>
      <c r="AO1182">
        <f>IF([3]Entry!$R$1185="","",[3]Entry!$R$1185)</f>
        <v/>
      </c>
    </row>
    <row r="1183">
      <c r="U1183">
        <f>IF([2]Baskol!$B$1186="","",[2]Baskol!$B$1186)</f>
        <v/>
      </c>
      <c r="V1183">
        <f>IF([2]Baskol!$C$1186="","",[2]Baskol!$C$1186)</f>
        <v/>
      </c>
      <c r="W1183">
        <f>IF([2]Baskol!$D$1186="","",[2]Baskol!$D$1186)</f>
        <v/>
      </c>
      <c r="X1183">
        <f>IF([2]Baskol!$E$1186="","",[2]Baskol!$E$1186)</f>
        <v/>
      </c>
      <c r="Y1183">
        <f>IF([2]Baskol!$G$1186="","",[2]Baskol!$G$1186)</f>
        <v/>
      </c>
      <c r="Z1183">
        <f>IF([2]Baskol!$I$1186="","",[2]Baskol!$I$1186)</f>
        <v/>
      </c>
      <c r="AA1183">
        <f>IF([2]Baskol!$J$1186="","",[2]Baskol!$J$1186)</f>
        <v/>
      </c>
      <c r="AB1183">
        <f>IF([2]Baskol!$K$1186="","",[2]Baskol!$K$1186)</f>
        <v/>
      </c>
      <c r="AC1183">
        <f>IF([2]Baskol!$L$1186="","",[2]Baskol!$L$1186)</f>
        <v/>
      </c>
      <c r="AD1183">
        <f>IF([2]Baskol!$N$1186="","",[2]Baskol!$N$1186)</f>
        <v/>
      </c>
      <c r="AE1183">
        <f>IF([2]Baskol!$O$1186="","",[2]Baskol!$O$1186)</f>
        <v/>
      </c>
      <c r="AG1183">
        <f>IF([3]Entry!$C$1186="","",[3]Entry!$C$1186)</f>
        <v/>
      </c>
      <c r="AH1183">
        <f>IF([3]Entry!$D$1186="","",[3]Entry!$D$1186)</f>
        <v/>
      </c>
      <c r="AI1183">
        <f>IF([3]Entry!$E$1186="","",[3]Entry!$E$1186)</f>
        <v/>
      </c>
      <c r="AJ1183">
        <f>IF([3]Entry!$G$1186="","",[3]Entry!$G$1186)</f>
        <v/>
      </c>
      <c r="AK1183">
        <f>IF([3]Entry!$K$1186="","",[3]Entry!$K$1186)</f>
        <v/>
      </c>
      <c r="AL1183">
        <f>IF([3]Entry!$L$1186="","",[3]Entry!$L$1186)</f>
        <v/>
      </c>
      <c r="AM1183">
        <f>IF([3]Entry!$M$1186="","",[3]Entry!$M$1186)</f>
        <v/>
      </c>
      <c r="AN1183">
        <f>IF([3]Entry!$N$1186="","",[3]Entry!$N$1186)</f>
        <v/>
      </c>
      <c r="AO1183">
        <f>IF([3]Entry!$R$1186="","",[3]Entry!$R$1186)</f>
        <v/>
      </c>
    </row>
    <row r="1184">
      <c r="U1184">
        <f>IF([2]Baskol!$B$1187="","",[2]Baskol!$B$1187)</f>
        <v/>
      </c>
      <c r="V1184">
        <f>IF([2]Baskol!$C$1187="","",[2]Baskol!$C$1187)</f>
        <v/>
      </c>
      <c r="W1184">
        <f>IF([2]Baskol!$D$1187="","",[2]Baskol!$D$1187)</f>
        <v/>
      </c>
      <c r="X1184">
        <f>IF([2]Baskol!$E$1187="","",[2]Baskol!$E$1187)</f>
        <v/>
      </c>
      <c r="Y1184">
        <f>IF([2]Baskol!$G$1187="","",[2]Baskol!$G$1187)</f>
        <v/>
      </c>
      <c r="Z1184">
        <f>IF([2]Baskol!$I$1187="","",[2]Baskol!$I$1187)</f>
        <v/>
      </c>
      <c r="AA1184">
        <f>IF([2]Baskol!$J$1187="","",[2]Baskol!$J$1187)</f>
        <v/>
      </c>
      <c r="AB1184">
        <f>IF([2]Baskol!$K$1187="","",[2]Baskol!$K$1187)</f>
        <v/>
      </c>
      <c r="AC1184">
        <f>IF([2]Baskol!$L$1187="","",[2]Baskol!$L$1187)</f>
        <v/>
      </c>
      <c r="AD1184">
        <f>IF([2]Baskol!$N$1187="","",[2]Baskol!$N$1187)</f>
        <v/>
      </c>
      <c r="AE1184">
        <f>IF([2]Baskol!$O$1187="","",[2]Baskol!$O$1187)</f>
        <v/>
      </c>
      <c r="AG1184">
        <f>IF([3]Entry!$C$1187="","",[3]Entry!$C$1187)</f>
        <v/>
      </c>
      <c r="AH1184">
        <f>IF([3]Entry!$D$1187="","",[3]Entry!$D$1187)</f>
        <v/>
      </c>
      <c r="AI1184">
        <f>IF([3]Entry!$E$1187="","",[3]Entry!$E$1187)</f>
        <v/>
      </c>
      <c r="AJ1184">
        <f>IF([3]Entry!$G$1187="","",[3]Entry!$G$1187)</f>
        <v/>
      </c>
      <c r="AK1184">
        <f>IF([3]Entry!$K$1187="","",[3]Entry!$K$1187)</f>
        <v/>
      </c>
      <c r="AL1184">
        <f>IF([3]Entry!$L$1187="","",[3]Entry!$L$1187)</f>
        <v/>
      </c>
      <c r="AM1184">
        <f>IF([3]Entry!$M$1187="","",[3]Entry!$M$1187)</f>
        <v/>
      </c>
      <c r="AN1184">
        <f>IF([3]Entry!$N$1187="","",[3]Entry!$N$1187)</f>
        <v/>
      </c>
      <c r="AO1184">
        <f>IF([3]Entry!$R$1187="","",[3]Entry!$R$1187)</f>
        <v/>
      </c>
    </row>
    <row r="1185">
      <c r="U1185">
        <f>IF([2]Baskol!$B$1188="","",[2]Baskol!$B$1188)</f>
        <v/>
      </c>
      <c r="V1185">
        <f>IF([2]Baskol!$C$1188="","",[2]Baskol!$C$1188)</f>
        <v/>
      </c>
      <c r="W1185">
        <f>IF([2]Baskol!$D$1188="","",[2]Baskol!$D$1188)</f>
        <v/>
      </c>
      <c r="X1185">
        <f>IF([2]Baskol!$E$1188="","",[2]Baskol!$E$1188)</f>
        <v/>
      </c>
      <c r="Y1185">
        <f>IF([2]Baskol!$G$1188="","",[2]Baskol!$G$1188)</f>
        <v/>
      </c>
      <c r="Z1185">
        <f>IF([2]Baskol!$I$1188="","",[2]Baskol!$I$1188)</f>
        <v/>
      </c>
      <c r="AA1185">
        <f>IF([2]Baskol!$J$1188="","",[2]Baskol!$J$1188)</f>
        <v/>
      </c>
      <c r="AB1185">
        <f>IF([2]Baskol!$K$1188="","",[2]Baskol!$K$1188)</f>
        <v/>
      </c>
      <c r="AC1185">
        <f>IF([2]Baskol!$L$1188="","",[2]Baskol!$L$1188)</f>
        <v/>
      </c>
      <c r="AD1185">
        <f>IF([2]Baskol!$N$1188="","",[2]Baskol!$N$1188)</f>
        <v/>
      </c>
      <c r="AE1185">
        <f>IF([2]Baskol!$O$1188="","",[2]Baskol!$O$1188)</f>
        <v/>
      </c>
      <c r="AG1185">
        <f>IF([3]Entry!$C$1188="","",[3]Entry!$C$1188)</f>
        <v/>
      </c>
      <c r="AH1185">
        <f>IF([3]Entry!$D$1188="","",[3]Entry!$D$1188)</f>
        <v/>
      </c>
      <c r="AI1185">
        <f>IF([3]Entry!$E$1188="","",[3]Entry!$E$1188)</f>
        <v/>
      </c>
      <c r="AJ1185">
        <f>IF([3]Entry!$G$1188="","",[3]Entry!$G$1188)</f>
        <v/>
      </c>
      <c r="AK1185">
        <f>IF([3]Entry!$K$1188="","",[3]Entry!$K$1188)</f>
        <v/>
      </c>
      <c r="AL1185">
        <f>IF([3]Entry!$L$1188="","",[3]Entry!$L$1188)</f>
        <v/>
      </c>
      <c r="AM1185">
        <f>IF([3]Entry!$M$1188="","",[3]Entry!$M$1188)</f>
        <v/>
      </c>
      <c r="AN1185">
        <f>IF([3]Entry!$N$1188="","",[3]Entry!$N$1188)</f>
        <v/>
      </c>
      <c r="AO1185">
        <f>IF([3]Entry!$R$1188="","",[3]Entry!$R$1188)</f>
        <v/>
      </c>
    </row>
    <row r="1186">
      <c r="U1186">
        <f>IF([2]Baskol!$B$1189="","",[2]Baskol!$B$1189)</f>
        <v/>
      </c>
      <c r="V1186">
        <f>IF([2]Baskol!$C$1189="","",[2]Baskol!$C$1189)</f>
        <v/>
      </c>
      <c r="W1186">
        <f>IF([2]Baskol!$D$1189="","",[2]Baskol!$D$1189)</f>
        <v/>
      </c>
      <c r="X1186">
        <f>IF([2]Baskol!$E$1189="","",[2]Baskol!$E$1189)</f>
        <v/>
      </c>
      <c r="Y1186">
        <f>IF([2]Baskol!$G$1189="","",[2]Baskol!$G$1189)</f>
        <v/>
      </c>
      <c r="Z1186">
        <f>IF([2]Baskol!$I$1189="","",[2]Baskol!$I$1189)</f>
        <v/>
      </c>
      <c r="AA1186">
        <f>IF([2]Baskol!$J$1189="","",[2]Baskol!$J$1189)</f>
        <v/>
      </c>
      <c r="AB1186">
        <f>IF([2]Baskol!$K$1189="","",[2]Baskol!$K$1189)</f>
        <v/>
      </c>
      <c r="AC1186">
        <f>IF([2]Baskol!$L$1189="","",[2]Baskol!$L$1189)</f>
        <v/>
      </c>
      <c r="AD1186">
        <f>IF([2]Baskol!$N$1189="","",[2]Baskol!$N$1189)</f>
        <v/>
      </c>
      <c r="AE1186">
        <f>IF([2]Baskol!$O$1189="","",[2]Baskol!$O$1189)</f>
        <v/>
      </c>
      <c r="AG1186">
        <f>IF([3]Entry!$C$1189="","",[3]Entry!$C$1189)</f>
        <v/>
      </c>
      <c r="AH1186">
        <f>IF([3]Entry!$D$1189="","",[3]Entry!$D$1189)</f>
        <v/>
      </c>
      <c r="AI1186">
        <f>IF([3]Entry!$E$1189="","",[3]Entry!$E$1189)</f>
        <v/>
      </c>
      <c r="AJ1186">
        <f>IF([3]Entry!$G$1189="","",[3]Entry!$G$1189)</f>
        <v/>
      </c>
      <c r="AK1186">
        <f>IF([3]Entry!$K$1189="","",[3]Entry!$K$1189)</f>
        <v/>
      </c>
      <c r="AL1186">
        <f>IF([3]Entry!$L$1189="","",[3]Entry!$L$1189)</f>
        <v/>
      </c>
      <c r="AM1186">
        <f>IF([3]Entry!$M$1189="","",[3]Entry!$M$1189)</f>
        <v/>
      </c>
      <c r="AN1186">
        <f>IF([3]Entry!$N$1189="","",[3]Entry!$N$1189)</f>
        <v/>
      </c>
      <c r="AO1186">
        <f>IF([3]Entry!$R$1189="","",[3]Entry!$R$1189)</f>
        <v/>
      </c>
    </row>
    <row r="1187">
      <c r="U1187">
        <f>IF([2]Baskol!$B$1190="","",[2]Baskol!$B$1190)</f>
        <v/>
      </c>
      <c r="V1187">
        <f>IF([2]Baskol!$C$1190="","",[2]Baskol!$C$1190)</f>
        <v/>
      </c>
      <c r="W1187">
        <f>IF([2]Baskol!$D$1190="","",[2]Baskol!$D$1190)</f>
        <v/>
      </c>
      <c r="X1187">
        <f>IF([2]Baskol!$E$1190="","",[2]Baskol!$E$1190)</f>
        <v/>
      </c>
      <c r="Y1187">
        <f>IF([2]Baskol!$G$1190="","",[2]Baskol!$G$1190)</f>
        <v/>
      </c>
      <c r="Z1187">
        <f>IF([2]Baskol!$I$1190="","",[2]Baskol!$I$1190)</f>
        <v/>
      </c>
      <c r="AA1187">
        <f>IF([2]Baskol!$J$1190="","",[2]Baskol!$J$1190)</f>
        <v/>
      </c>
      <c r="AB1187">
        <f>IF([2]Baskol!$K$1190="","",[2]Baskol!$K$1190)</f>
        <v/>
      </c>
      <c r="AC1187">
        <f>IF([2]Baskol!$L$1190="","",[2]Baskol!$L$1190)</f>
        <v/>
      </c>
      <c r="AD1187">
        <f>IF([2]Baskol!$N$1190="","",[2]Baskol!$N$1190)</f>
        <v/>
      </c>
      <c r="AE1187">
        <f>IF([2]Baskol!$O$1190="","",[2]Baskol!$O$1190)</f>
        <v/>
      </c>
      <c r="AG1187">
        <f>IF([3]Entry!$C$1190="","",[3]Entry!$C$1190)</f>
        <v/>
      </c>
      <c r="AH1187">
        <f>IF([3]Entry!$D$1190="","",[3]Entry!$D$1190)</f>
        <v/>
      </c>
      <c r="AI1187">
        <f>IF([3]Entry!$E$1190="","",[3]Entry!$E$1190)</f>
        <v/>
      </c>
      <c r="AJ1187">
        <f>IF([3]Entry!$G$1190="","",[3]Entry!$G$1190)</f>
        <v/>
      </c>
      <c r="AK1187">
        <f>IF([3]Entry!$K$1190="","",[3]Entry!$K$1190)</f>
        <v/>
      </c>
      <c r="AL1187">
        <f>IF([3]Entry!$L$1190="","",[3]Entry!$L$1190)</f>
        <v/>
      </c>
      <c r="AM1187">
        <f>IF([3]Entry!$M$1190="","",[3]Entry!$M$1190)</f>
        <v/>
      </c>
      <c r="AN1187">
        <f>IF([3]Entry!$N$1190="","",[3]Entry!$N$1190)</f>
        <v/>
      </c>
      <c r="AO1187">
        <f>IF([3]Entry!$R$1190="","",[3]Entry!$R$1190)</f>
        <v/>
      </c>
    </row>
    <row r="1188">
      <c r="U1188">
        <f>IF([2]Baskol!$B$1191="","",[2]Baskol!$B$1191)</f>
        <v/>
      </c>
      <c r="V1188">
        <f>IF([2]Baskol!$C$1191="","",[2]Baskol!$C$1191)</f>
        <v/>
      </c>
      <c r="W1188">
        <f>IF([2]Baskol!$D$1191="","",[2]Baskol!$D$1191)</f>
        <v/>
      </c>
      <c r="X1188">
        <f>IF([2]Baskol!$E$1191="","",[2]Baskol!$E$1191)</f>
        <v/>
      </c>
      <c r="Y1188">
        <f>IF([2]Baskol!$G$1191="","",[2]Baskol!$G$1191)</f>
        <v/>
      </c>
      <c r="Z1188">
        <f>IF([2]Baskol!$I$1191="","",[2]Baskol!$I$1191)</f>
        <v/>
      </c>
      <c r="AA1188">
        <f>IF([2]Baskol!$J$1191="","",[2]Baskol!$J$1191)</f>
        <v/>
      </c>
      <c r="AB1188">
        <f>IF([2]Baskol!$K$1191="","",[2]Baskol!$K$1191)</f>
        <v/>
      </c>
      <c r="AC1188">
        <f>IF([2]Baskol!$L$1191="","",[2]Baskol!$L$1191)</f>
        <v/>
      </c>
      <c r="AD1188">
        <f>IF([2]Baskol!$N$1191="","",[2]Baskol!$N$1191)</f>
        <v/>
      </c>
      <c r="AE1188">
        <f>IF([2]Baskol!$O$1191="","",[2]Baskol!$O$1191)</f>
        <v/>
      </c>
      <c r="AG1188">
        <f>IF([3]Entry!$C$1191="","",[3]Entry!$C$1191)</f>
        <v/>
      </c>
      <c r="AH1188">
        <f>IF([3]Entry!$D$1191="","",[3]Entry!$D$1191)</f>
        <v/>
      </c>
      <c r="AI1188">
        <f>IF([3]Entry!$E$1191="","",[3]Entry!$E$1191)</f>
        <v/>
      </c>
      <c r="AJ1188">
        <f>IF([3]Entry!$G$1191="","",[3]Entry!$G$1191)</f>
        <v/>
      </c>
      <c r="AK1188">
        <f>IF([3]Entry!$K$1191="","",[3]Entry!$K$1191)</f>
        <v/>
      </c>
      <c r="AL1188">
        <f>IF([3]Entry!$L$1191="","",[3]Entry!$L$1191)</f>
        <v/>
      </c>
      <c r="AM1188">
        <f>IF([3]Entry!$M$1191="","",[3]Entry!$M$1191)</f>
        <v/>
      </c>
      <c r="AN1188">
        <f>IF([3]Entry!$N$1191="","",[3]Entry!$N$1191)</f>
        <v/>
      </c>
      <c r="AO1188">
        <f>IF([3]Entry!$R$1191="","",[3]Entry!$R$1191)</f>
        <v/>
      </c>
    </row>
    <row r="1189">
      <c r="U1189">
        <f>IF([2]Baskol!$B$1192="","",[2]Baskol!$B$1192)</f>
        <v/>
      </c>
      <c r="V1189">
        <f>IF([2]Baskol!$C$1192="","",[2]Baskol!$C$1192)</f>
        <v/>
      </c>
      <c r="W1189">
        <f>IF([2]Baskol!$D$1192="","",[2]Baskol!$D$1192)</f>
        <v/>
      </c>
      <c r="X1189">
        <f>IF([2]Baskol!$E$1192="","",[2]Baskol!$E$1192)</f>
        <v/>
      </c>
      <c r="Y1189">
        <f>IF([2]Baskol!$G$1192="","",[2]Baskol!$G$1192)</f>
        <v/>
      </c>
      <c r="Z1189">
        <f>IF([2]Baskol!$I$1192="","",[2]Baskol!$I$1192)</f>
        <v/>
      </c>
      <c r="AA1189">
        <f>IF([2]Baskol!$J$1192="","",[2]Baskol!$J$1192)</f>
        <v/>
      </c>
      <c r="AB1189">
        <f>IF([2]Baskol!$K$1192="","",[2]Baskol!$K$1192)</f>
        <v/>
      </c>
      <c r="AC1189">
        <f>IF([2]Baskol!$L$1192="","",[2]Baskol!$L$1192)</f>
        <v/>
      </c>
      <c r="AD1189">
        <f>IF([2]Baskol!$N$1192="","",[2]Baskol!$N$1192)</f>
        <v/>
      </c>
      <c r="AE1189">
        <f>IF([2]Baskol!$O$1192="","",[2]Baskol!$O$1192)</f>
        <v/>
      </c>
      <c r="AG1189">
        <f>IF([3]Entry!$C$1192="","",[3]Entry!$C$1192)</f>
        <v/>
      </c>
      <c r="AH1189">
        <f>IF([3]Entry!$D$1192="","",[3]Entry!$D$1192)</f>
        <v/>
      </c>
      <c r="AI1189">
        <f>IF([3]Entry!$E$1192="","",[3]Entry!$E$1192)</f>
        <v/>
      </c>
      <c r="AJ1189">
        <f>IF([3]Entry!$G$1192="","",[3]Entry!$G$1192)</f>
        <v/>
      </c>
      <c r="AK1189">
        <f>IF([3]Entry!$K$1192="","",[3]Entry!$K$1192)</f>
        <v/>
      </c>
      <c r="AL1189">
        <f>IF([3]Entry!$L$1192="","",[3]Entry!$L$1192)</f>
        <v/>
      </c>
      <c r="AM1189">
        <f>IF([3]Entry!$M$1192="","",[3]Entry!$M$1192)</f>
        <v/>
      </c>
      <c r="AN1189">
        <f>IF([3]Entry!$N$1192="","",[3]Entry!$N$1192)</f>
        <v/>
      </c>
      <c r="AO1189">
        <f>IF([3]Entry!$R$1192="","",[3]Entry!$R$1192)</f>
        <v/>
      </c>
    </row>
    <row r="1190">
      <c r="U1190">
        <f>IF([2]Baskol!$B$1193="","",[2]Baskol!$B$1193)</f>
        <v/>
      </c>
      <c r="V1190">
        <f>IF([2]Baskol!$C$1193="","",[2]Baskol!$C$1193)</f>
        <v/>
      </c>
      <c r="W1190">
        <f>IF([2]Baskol!$D$1193="","",[2]Baskol!$D$1193)</f>
        <v/>
      </c>
      <c r="X1190">
        <f>IF([2]Baskol!$E$1193="","",[2]Baskol!$E$1193)</f>
        <v/>
      </c>
      <c r="Y1190">
        <f>IF([2]Baskol!$G$1193="","",[2]Baskol!$G$1193)</f>
        <v/>
      </c>
      <c r="Z1190">
        <f>IF([2]Baskol!$I$1193="","",[2]Baskol!$I$1193)</f>
        <v/>
      </c>
      <c r="AA1190">
        <f>IF([2]Baskol!$J$1193="","",[2]Baskol!$J$1193)</f>
        <v/>
      </c>
      <c r="AB1190">
        <f>IF([2]Baskol!$K$1193="","",[2]Baskol!$K$1193)</f>
        <v/>
      </c>
      <c r="AC1190">
        <f>IF([2]Baskol!$L$1193="","",[2]Baskol!$L$1193)</f>
        <v/>
      </c>
      <c r="AD1190">
        <f>IF([2]Baskol!$N$1193="","",[2]Baskol!$N$1193)</f>
        <v/>
      </c>
      <c r="AE1190">
        <f>IF([2]Baskol!$O$1193="","",[2]Baskol!$O$1193)</f>
        <v/>
      </c>
      <c r="AG1190">
        <f>IF([3]Entry!$C$1193="","",[3]Entry!$C$1193)</f>
        <v/>
      </c>
      <c r="AH1190">
        <f>IF([3]Entry!$D$1193="","",[3]Entry!$D$1193)</f>
        <v/>
      </c>
      <c r="AI1190">
        <f>IF([3]Entry!$E$1193="","",[3]Entry!$E$1193)</f>
        <v/>
      </c>
      <c r="AJ1190">
        <f>IF([3]Entry!$G$1193="","",[3]Entry!$G$1193)</f>
        <v/>
      </c>
      <c r="AK1190">
        <f>IF([3]Entry!$K$1193="","",[3]Entry!$K$1193)</f>
        <v/>
      </c>
      <c r="AL1190">
        <f>IF([3]Entry!$L$1193="","",[3]Entry!$L$1193)</f>
        <v/>
      </c>
      <c r="AM1190">
        <f>IF([3]Entry!$M$1193="","",[3]Entry!$M$1193)</f>
        <v/>
      </c>
      <c r="AN1190">
        <f>IF([3]Entry!$N$1193="","",[3]Entry!$N$1193)</f>
        <v/>
      </c>
      <c r="AO1190">
        <f>IF([3]Entry!$R$1193="","",[3]Entry!$R$1193)</f>
        <v/>
      </c>
    </row>
    <row r="1191">
      <c r="U1191">
        <f>IF([2]Baskol!$B$1194="","",[2]Baskol!$B$1194)</f>
        <v/>
      </c>
      <c r="V1191">
        <f>IF([2]Baskol!$C$1194="","",[2]Baskol!$C$1194)</f>
        <v/>
      </c>
      <c r="W1191">
        <f>IF([2]Baskol!$D$1194="","",[2]Baskol!$D$1194)</f>
        <v/>
      </c>
      <c r="X1191">
        <f>IF([2]Baskol!$E$1194="","",[2]Baskol!$E$1194)</f>
        <v/>
      </c>
      <c r="Y1191">
        <f>IF([2]Baskol!$G$1194="","",[2]Baskol!$G$1194)</f>
        <v/>
      </c>
      <c r="Z1191">
        <f>IF([2]Baskol!$I$1194="","",[2]Baskol!$I$1194)</f>
        <v/>
      </c>
      <c r="AA1191">
        <f>IF([2]Baskol!$J$1194="","",[2]Baskol!$J$1194)</f>
        <v/>
      </c>
      <c r="AB1191">
        <f>IF([2]Baskol!$K$1194="","",[2]Baskol!$K$1194)</f>
        <v/>
      </c>
      <c r="AC1191">
        <f>IF([2]Baskol!$L$1194="","",[2]Baskol!$L$1194)</f>
        <v/>
      </c>
      <c r="AD1191">
        <f>IF([2]Baskol!$N$1194="","",[2]Baskol!$N$1194)</f>
        <v/>
      </c>
      <c r="AE1191">
        <f>IF([2]Baskol!$O$1194="","",[2]Baskol!$O$1194)</f>
        <v/>
      </c>
      <c r="AG1191">
        <f>IF([3]Entry!$C$1194="","",[3]Entry!$C$1194)</f>
        <v/>
      </c>
      <c r="AH1191">
        <f>IF([3]Entry!$D$1194="","",[3]Entry!$D$1194)</f>
        <v/>
      </c>
      <c r="AI1191">
        <f>IF([3]Entry!$E$1194="","",[3]Entry!$E$1194)</f>
        <v/>
      </c>
      <c r="AJ1191">
        <f>IF([3]Entry!$G$1194="","",[3]Entry!$G$1194)</f>
        <v/>
      </c>
      <c r="AK1191">
        <f>IF([3]Entry!$K$1194="","",[3]Entry!$K$1194)</f>
        <v/>
      </c>
      <c r="AL1191">
        <f>IF([3]Entry!$L$1194="","",[3]Entry!$L$1194)</f>
        <v/>
      </c>
      <c r="AM1191">
        <f>IF([3]Entry!$M$1194="","",[3]Entry!$M$1194)</f>
        <v/>
      </c>
      <c r="AN1191">
        <f>IF([3]Entry!$N$1194="","",[3]Entry!$N$1194)</f>
        <v/>
      </c>
      <c r="AO1191">
        <f>IF([3]Entry!$R$1194="","",[3]Entry!$R$1194)</f>
        <v/>
      </c>
    </row>
    <row r="1192">
      <c r="U1192">
        <f>IF([2]Baskol!$B$1195="","",[2]Baskol!$B$1195)</f>
        <v/>
      </c>
      <c r="V1192">
        <f>IF([2]Baskol!$C$1195="","",[2]Baskol!$C$1195)</f>
        <v/>
      </c>
      <c r="W1192">
        <f>IF([2]Baskol!$D$1195="","",[2]Baskol!$D$1195)</f>
        <v/>
      </c>
      <c r="X1192">
        <f>IF([2]Baskol!$E$1195="","",[2]Baskol!$E$1195)</f>
        <v/>
      </c>
      <c r="Y1192">
        <f>IF([2]Baskol!$G$1195="","",[2]Baskol!$G$1195)</f>
        <v/>
      </c>
      <c r="Z1192">
        <f>IF([2]Baskol!$I$1195="","",[2]Baskol!$I$1195)</f>
        <v/>
      </c>
      <c r="AA1192">
        <f>IF([2]Baskol!$J$1195="","",[2]Baskol!$J$1195)</f>
        <v/>
      </c>
      <c r="AB1192">
        <f>IF([2]Baskol!$K$1195="","",[2]Baskol!$K$1195)</f>
        <v/>
      </c>
      <c r="AC1192">
        <f>IF([2]Baskol!$L$1195="","",[2]Baskol!$L$1195)</f>
        <v/>
      </c>
      <c r="AD1192">
        <f>IF([2]Baskol!$N$1195="","",[2]Baskol!$N$1195)</f>
        <v/>
      </c>
      <c r="AE1192">
        <f>IF([2]Baskol!$O$1195="","",[2]Baskol!$O$1195)</f>
        <v/>
      </c>
      <c r="AG1192">
        <f>IF([3]Entry!$C$1195="","",[3]Entry!$C$1195)</f>
        <v/>
      </c>
      <c r="AH1192">
        <f>IF([3]Entry!$D$1195="","",[3]Entry!$D$1195)</f>
        <v/>
      </c>
      <c r="AI1192">
        <f>IF([3]Entry!$E$1195="","",[3]Entry!$E$1195)</f>
        <v/>
      </c>
      <c r="AJ1192">
        <f>IF([3]Entry!$G$1195="","",[3]Entry!$G$1195)</f>
        <v/>
      </c>
      <c r="AK1192">
        <f>IF([3]Entry!$K$1195="","",[3]Entry!$K$1195)</f>
        <v/>
      </c>
      <c r="AL1192">
        <f>IF([3]Entry!$L$1195="","",[3]Entry!$L$1195)</f>
        <v/>
      </c>
      <c r="AM1192">
        <f>IF([3]Entry!$M$1195="","",[3]Entry!$M$1195)</f>
        <v/>
      </c>
      <c r="AN1192">
        <f>IF([3]Entry!$N$1195="","",[3]Entry!$N$1195)</f>
        <v/>
      </c>
      <c r="AO1192">
        <f>IF([3]Entry!$R$1195="","",[3]Entry!$R$1195)</f>
        <v/>
      </c>
    </row>
    <row r="1193">
      <c r="U1193">
        <f>IF([2]Baskol!$B$1196="","",[2]Baskol!$B$1196)</f>
        <v/>
      </c>
      <c r="V1193">
        <f>IF([2]Baskol!$C$1196="","",[2]Baskol!$C$1196)</f>
        <v/>
      </c>
      <c r="W1193">
        <f>IF([2]Baskol!$D$1196="","",[2]Baskol!$D$1196)</f>
        <v/>
      </c>
      <c r="X1193">
        <f>IF([2]Baskol!$E$1196="","",[2]Baskol!$E$1196)</f>
        <v/>
      </c>
      <c r="Y1193">
        <f>IF([2]Baskol!$G$1196="","",[2]Baskol!$G$1196)</f>
        <v/>
      </c>
      <c r="Z1193">
        <f>IF([2]Baskol!$I$1196="","",[2]Baskol!$I$1196)</f>
        <v/>
      </c>
      <c r="AA1193">
        <f>IF([2]Baskol!$J$1196="","",[2]Baskol!$J$1196)</f>
        <v/>
      </c>
      <c r="AB1193">
        <f>IF([2]Baskol!$K$1196="","",[2]Baskol!$K$1196)</f>
        <v/>
      </c>
      <c r="AC1193">
        <f>IF([2]Baskol!$L$1196="","",[2]Baskol!$L$1196)</f>
        <v/>
      </c>
      <c r="AD1193">
        <f>IF([2]Baskol!$N$1196="","",[2]Baskol!$N$1196)</f>
        <v/>
      </c>
      <c r="AE1193">
        <f>IF([2]Baskol!$O$1196="","",[2]Baskol!$O$1196)</f>
        <v/>
      </c>
      <c r="AG1193">
        <f>IF([3]Entry!$C$1196="","",[3]Entry!$C$1196)</f>
        <v/>
      </c>
      <c r="AH1193">
        <f>IF([3]Entry!$D$1196="","",[3]Entry!$D$1196)</f>
        <v/>
      </c>
      <c r="AI1193">
        <f>IF([3]Entry!$E$1196="","",[3]Entry!$E$1196)</f>
        <v/>
      </c>
      <c r="AJ1193">
        <f>IF([3]Entry!$G$1196="","",[3]Entry!$G$1196)</f>
        <v/>
      </c>
      <c r="AK1193">
        <f>IF([3]Entry!$K$1196="","",[3]Entry!$K$1196)</f>
        <v/>
      </c>
      <c r="AL1193">
        <f>IF([3]Entry!$L$1196="","",[3]Entry!$L$1196)</f>
        <v/>
      </c>
      <c r="AM1193">
        <f>IF([3]Entry!$M$1196="","",[3]Entry!$M$1196)</f>
        <v/>
      </c>
      <c r="AN1193">
        <f>IF([3]Entry!$N$1196="","",[3]Entry!$N$1196)</f>
        <v/>
      </c>
      <c r="AO1193">
        <f>IF([3]Entry!$R$1196="","",[3]Entry!$R$1196)</f>
        <v/>
      </c>
    </row>
    <row r="1194">
      <c r="U1194">
        <f>IF([2]Baskol!$B$1197="","",[2]Baskol!$B$1197)</f>
        <v/>
      </c>
      <c r="V1194">
        <f>IF([2]Baskol!$C$1197="","",[2]Baskol!$C$1197)</f>
        <v/>
      </c>
      <c r="W1194">
        <f>IF([2]Baskol!$D$1197="","",[2]Baskol!$D$1197)</f>
        <v/>
      </c>
      <c r="X1194">
        <f>IF([2]Baskol!$E$1197="","",[2]Baskol!$E$1197)</f>
        <v/>
      </c>
      <c r="Y1194">
        <f>IF([2]Baskol!$G$1197="","",[2]Baskol!$G$1197)</f>
        <v/>
      </c>
      <c r="Z1194">
        <f>IF([2]Baskol!$I$1197="","",[2]Baskol!$I$1197)</f>
        <v/>
      </c>
      <c r="AA1194">
        <f>IF([2]Baskol!$J$1197="","",[2]Baskol!$J$1197)</f>
        <v/>
      </c>
      <c r="AB1194">
        <f>IF([2]Baskol!$K$1197="","",[2]Baskol!$K$1197)</f>
        <v/>
      </c>
      <c r="AC1194">
        <f>IF([2]Baskol!$L$1197="","",[2]Baskol!$L$1197)</f>
        <v/>
      </c>
      <c r="AD1194">
        <f>IF([2]Baskol!$N$1197="","",[2]Baskol!$N$1197)</f>
        <v/>
      </c>
      <c r="AE1194">
        <f>IF([2]Baskol!$O$1197="","",[2]Baskol!$O$1197)</f>
        <v/>
      </c>
      <c r="AG1194">
        <f>IF([3]Entry!$C$1197="","",[3]Entry!$C$1197)</f>
        <v/>
      </c>
      <c r="AH1194">
        <f>IF([3]Entry!$D$1197="","",[3]Entry!$D$1197)</f>
        <v/>
      </c>
      <c r="AI1194">
        <f>IF([3]Entry!$E$1197="","",[3]Entry!$E$1197)</f>
        <v/>
      </c>
      <c r="AJ1194">
        <f>IF([3]Entry!$G$1197="","",[3]Entry!$G$1197)</f>
        <v/>
      </c>
      <c r="AK1194">
        <f>IF([3]Entry!$K$1197="","",[3]Entry!$K$1197)</f>
        <v/>
      </c>
      <c r="AL1194">
        <f>IF([3]Entry!$L$1197="","",[3]Entry!$L$1197)</f>
        <v/>
      </c>
      <c r="AM1194">
        <f>IF([3]Entry!$M$1197="","",[3]Entry!$M$1197)</f>
        <v/>
      </c>
      <c r="AN1194">
        <f>IF([3]Entry!$N$1197="","",[3]Entry!$N$1197)</f>
        <v/>
      </c>
      <c r="AO1194">
        <f>IF([3]Entry!$R$1197="","",[3]Entry!$R$1197)</f>
        <v/>
      </c>
    </row>
    <row r="1195">
      <c r="U1195">
        <f>IF([2]Baskol!$B$1198="","",[2]Baskol!$B$1198)</f>
        <v/>
      </c>
      <c r="V1195">
        <f>IF([2]Baskol!$C$1198="","",[2]Baskol!$C$1198)</f>
        <v/>
      </c>
      <c r="W1195">
        <f>IF([2]Baskol!$D$1198="","",[2]Baskol!$D$1198)</f>
        <v/>
      </c>
      <c r="X1195">
        <f>IF([2]Baskol!$E$1198="","",[2]Baskol!$E$1198)</f>
        <v/>
      </c>
      <c r="Y1195">
        <f>IF([2]Baskol!$G$1198="","",[2]Baskol!$G$1198)</f>
        <v/>
      </c>
      <c r="Z1195">
        <f>IF([2]Baskol!$I$1198="","",[2]Baskol!$I$1198)</f>
        <v/>
      </c>
      <c r="AA1195">
        <f>IF([2]Baskol!$J$1198="","",[2]Baskol!$J$1198)</f>
        <v/>
      </c>
      <c r="AB1195">
        <f>IF([2]Baskol!$K$1198="","",[2]Baskol!$K$1198)</f>
        <v/>
      </c>
      <c r="AC1195">
        <f>IF([2]Baskol!$L$1198="","",[2]Baskol!$L$1198)</f>
        <v/>
      </c>
      <c r="AD1195">
        <f>IF([2]Baskol!$N$1198="","",[2]Baskol!$N$1198)</f>
        <v/>
      </c>
      <c r="AE1195">
        <f>IF([2]Baskol!$O$1198="","",[2]Baskol!$O$1198)</f>
        <v/>
      </c>
      <c r="AG1195">
        <f>IF([3]Entry!$C$1198="","",[3]Entry!$C$1198)</f>
        <v/>
      </c>
      <c r="AH1195">
        <f>IF([3]Entry!$D$1198="","",[3]Entry!$D$1198)</f>
        <v/>
      </c>
      <c r="AI1195">
        <f>IF([3]Entry!$E$1198="","",[3]Entry!$E$1198)</f>
        <v/>
      </c>
      <c r="AJ1195">
        <f>IF([3]Entry!$G$1198="","",[3]Entry!$G$1198)</f>
        <v/>
      </c>
      <c r="AK1195">
        <f>IF([3]Entry!$K$1198="","",[3]Entry!$K$1198)</f>
        <v/>
      </c>
      <c r="AL1195">
        <f>IF([3]Entry!$L$1198="","",[3]Entry!$L$1198)</f>
        <v/>
      </c>
      <c r="AM1195">
        <f>IF([3]Entry!$M$1198="","",[3]Entry!$M$1198)</f>
        <v/>
      </c>
      <c r="AN1195">
        <f>IF([3]Entry!$N$1198="","",[3]Entry!$N$1198)</f>
        <v/>
      </c>
      <c r="AO1195">
        <f>IF([3]Entry!$R$1198="","",[3]Entry!$R$1198)</f>
        <v/>
      </c>
    </row>
    <row r="1196">
      <c r="U1196">
        <f>IF([2]Baskol!$B$1199="","",[2]Baskol!$B$1199)</f>
        <v/>
      </c>
      <c r="V1196">
        <f>IF([2]Baskol!$C$1199="","",[2]Baskol!$C$1199)</f>
        <v/>
      </c>
      <c r="W1196">
        <f>IF([2]Baskol!$D$1199="","",[2]Baskol!$D$1199)</f>
        <v/>
      </c>
      <c r="X1196">
        <f>IF([2]Baskol!$E$1199="","",[2]Baskol!$E$1199)</f>
        <v/>
      </c>
      <c r="Y1196">
        <f>IF([2]Baskol!$G$1199="","",[2]Baskol!$G$1199)</f>
        <v/>
      </c>
      <c r="Z1196">
        <f>IF([2]Baskol!$I$1199="","",[2]Baskol!$I$1199)</f>
        <v/>
      </c>
      <c r="AA1196">
        <f>IF([2]Baskol!$J$1199="","",[2]Baskol!$J$1199)</f>
        <v/>
      </c>
      <c r="AB1196">
        <f>IF([2]Baskol!$K$1199="","",[2]Baskol!$K$1199)</f>
        <v/>
      </c>
      <c r="AC1196">
        <f>IF([2]Baskol!$L$1199="","",[2]Baskol!$L$1199)</f>
        <v/>
      </c>
      <c r="AD1196">
        <f>IF([2]Baskol!$N$1199="","",[2]Baskol!$N$1199)</f>
        <v/>
      </c>
      <c r="AE1196">
        <f>IF([2]Baskol!$O$1199="","",[2]Baskol!$O$1199)</f>
        <v/>
      </c>
      <c r="AG1196">
        <f>IF([3]Entry!$C$1199="","",[3]Entry!$C$1199)</f>
        <v/>
      </c>
      <c r="AH1196">
        <f>IF([3]Entry!$D$1199="","",[3]Entry!$D$1199)</f>
        <v/>
      </c>
      <c r="AI1196">
        <f>IF([3]Entry!$E$1199="","",[3]Entry!$E$1199)</f>
        <v/>
      </c>
      <c r="AJ1196">
        <f>IF([3]Entry!$G$1199="","",[3]Entry!$G$1199)</f>
        <v/>
      </c>
      <c r="AK1196">
        <f>IF([3]Entry!$K$1199="","",[3]Entry!$K$1199)</f>
        <v/>
      </c>
      <c r="AL1196">
        <f>IF([3]Entry!$L$1199="","",[3]Entry!$L$1199)</f>
        <v/>
      </c>
      <c r="AM1196">
        <f>IF([3]Entry!$M$1199="","",[3]Entry!$M$1199)</f>
        <v/>
      </c>
      <c r="AN1196">
        <f>IF([3]Entry!$N$1199="","",[3]Entry!$N$1199)</f>
        <v/>
      </c>
      <c r="AO1196">
        <f>IF([3]Entry!$R$1199="","",[3]Entry!$R$1199)</f>
        <v/>
      </c>
    </row>
    <row r="1197">
      <c r="U1197">
        <f>IF([2]Baskol!$B$1200="","",[2]Baskol!$B$1200)</f>
        <v/>
      </c>
      <c r="V1197">
        <f>IF([2]Baskol!$C$1200="","",[2]Baskol!$C$1200)</f>
        <v/>
      </c>
      <c r="W1197">
        <f>IF([2]Baskol!$D$1200="","",[2]Baskol!$D$1200)</f>
        <v/>
      </c>
      <c r="X1197">
        <f>IF([2]Baskol!$E$1200="","",[2]Baskol!$E$1200)</f>
        <v/>
      </c>
      <c r="Y1197">
        <f>IF([2]Baskol!$G$1200="","",[2]Baskol!$G$1200)</f>
        <v/>
      </c>
      <c r="Z1197">
        <f>IF([2]Baskol!$I$1200="","",[2]Baskol!$I$1200)</f>
        <v/>
      </c>
      <c r="AA1197">
        <f>IF([2]Baskol!$J$1200="","",[2]Baskol!$J$1200)</f>
        <v/>
      </c>
      <c r="AB1197">
        <f>IF([2]Baskol!$K$1200="","",[2]Baskol!$K$1200)</f>
        <v/>
      </c>
      <c r="AC1197">
        <f>IF([2]Baskol!$L$1200="","",[2]Baskol!$L$1200)</f>
        <v/>
      </c>
      <c r="AD1197">
        <f>IF([2]Baskol!$N$1200="","",[2]Baskol!$N$1200)</f>
        <v/>
      </c>
      <c r="AE1197">
        <f>IF([2]Baskol!$O$1200="","",[2]Baskol!$O$1200)</f>
        <v/>
      </c>
      <c r="AG1197">
        <f>IF([3]Entry!$C$1200="","",[3]Entry!$C$1200)</f>
        <v/>
      </c>
      <c r="AH1197">
        <f>IF([3]Entry!$D$1200="","",[3]Entry!$D$1200)</f>
        <v/>
      </c>
      <c r="AI1197">
        <f>IF([3]Entry!$E$1200="","",[3]Entry!$E$1200)</f>
        <v/>
      </c>
      <c r="AJ1197">
        <f>IF([3]Entry!$G$1200="","",[3]Entry!$G$1200)</f>
        <v/>
      </c>
      <c r="AK1197">
        <f>IF([3]Entry!$K$1200="","",[3]Entry!$K$1200)</f>
        <v/>
      </c>
      <c r="AL1197">
        <f>IF([3]Entry!$L$1200="","",[3]Entry!$L$1200)</f>
        <v/>
      </c>
      <c r="AM1197">
        <f>IF([3]Entry!$M$1200="","",[3]Entry!$M$1200)</f>
        <v/>
      </c>
      <c r="AN1197">
        <f>IF([3]Entry!$N$1200="","",[3]Entry!$N$1200)</f>
        <v/>
      </c>
      <c r="AO1197">
        <f>IF([3]Entry!$R$1200="","",[3]Entry!$R$1200)</f>
        <v/>
      </c>
    </row>
    <row r="1198">
      <c r="U1198">
        <f>IF([2]Baskol!$B$1201="","",[2]Baskol!$B$1201)</f>
        <v/>
      </c>
      <c r="V1198">
        <f>IF([2]Baskol!$C$1201="","",[2]Baskol!$C$1201)</f>
        <v/>
      </c>
      <c r="W1198">
        <f>IF([2]Baskol!$D$1201="","",[2]Baskol!$D$1201)</f>
        <v/>
      </c>
      <c r="X1198">
        <f>IF([2]Baskol!$E$1201="","",[2]Baskol!$E$1201)</f>
        <v/>
      </c>
      <c r="Y1198">
        <f>IF([2]Baskol!$G$1201="","",[2]Baskol!$G$1201)</f>
        <v/>
      </c>
      <c r="Z1198">
        <f>IF([2]Baskol!$I$1201="","",[2]Baskol!$I$1201)</f>
        <v/>
      </c>
      <c r="AA1198">
        <f>IF([2]Baskol!$J$1201="","",[2]Baskol!$J$1201)</f>
        <v/>
      </c>
      <c r="AB1198">
        <f>IF([2]Baskol!$K$1201="","",[2]Baskol!$K$1201)</f>
        <v/>
      </c>
      <c r="AC1198">
        <f>IF([2]Baskol!$L$1201="","",[2]Baskol!$L$1201)</f>
        <v/>
      </c>
      <c r="AD1198">
        <f>IF([2]Baskol!$N$1201="","",[2]Baskol!$N$1201)</f>
        <v/>
      </c>
      <c r="AE1198">
        <f>IF([2]Baskol!$O$1201="","",[2]Baskol!$O$1201)</f>
        <v/>
      </c>
      <c r="AG1198">
        <f>IF([3]Entry!$C$1201="","",[3]Entry!$C$1201)</f>
        <v/>
      </c>
      <c r="AH1198">
        <f>IF([3]Entry!$D$1201="","",[3]Entry!$D$1201)</f>
        <v/>
      </c>
      <c r="AI1198">
        <f>IF([3]Entry!$E$1201="","",[3]Entry!$E$1201)</f>
        <v/>
      </c>
      <c r="AJ1198">
        <f>IF([3]Entry!$G$1201="","",[3]Entry!$G$1201)</f>
        <v/>
      </c>
      <c r="AK1198">
        <f>IF([3]Entry!$K$1201="","",[3]Entry!$K$1201)</f>
        <v/>
      </c>
      <c r="AL1198">
        <f>IF([3]Entry!$L$1201="","",[3]Entry!$L$1201)</f>
        <v/>
      </c>
      <c r="AM1198">
        <f>IF([3]Entry!$M$1201="","",[3]Entry!$M$1201)</f>
        <v/>
      </c>
      <c r="AN1198">
        <f>IF([3]Entry!$N$1201="","",[3]Entry!$N$1201)</f>
        <v/>
      </c>
      <c r="AO1198">
        <f>IF([3]Entry!$R$1201="","",[3]Entry!$R$1201)</f>
        <v/>
      </c>
    </row>
    <row r="1199">
      <c r="U1199">
        <f>IF([2]Baskol!$B$1202="","",[2]Baskol!$B$1202)</f>
        <v/>
      </c>
      <c r="V1199">
        <f>IF([2]Baskol!$C$1202="","",[2]Baskol!$C$1202)</f>
        <v/>
      </c>
      <c r="W1199">
        <f>IF([2]Baskol!$D$1202="","",[2]Baskol!$D$1202)</f>
        <v/>
      </c>
      <c r="X1199">
        <f>IF([2]Baskol!$E$1202="","",[2]Baskol!$E$1202)</f>
        <v/>
      </c>
      <c r="Y1199">
        <f>IF([2]Baskol!$G$1202="","",[2]Baskol!$G$1202)</f>
        <v/>
      </c>
      <c r="Z1199">
        <f>IF([2]Baskol!$I$1202="","",[2]Baskol!$I$1202)</f>
        <v/>
      </c>
      <c r="AA1199">
        <f>IF([2]Baskol!$J$1202="","",[2]Baskol!$J$1202)</f>
        <v/>
      </c>
      <c r="AB1199">
        <f>IF([2]Baskol!$K$1202="","",[2]Baskol!$K$1202)</f>
        <v/>
      </c>
      <c r="AC1199">
        <f>IF([2]Baskol!$L$1202="","",[2]Baskol!$L$1202)</f>
        <v/>
      </c>
      <c r="AD1199">
        <f>IF([2]Baskol!$N$1202="","",[2]Baskol!$N$1202)</f>
        <v/>
      </c>
      <c r="AE1199">
        <f>IF([2]Baskol!$O$1202="","",[2]Baskol!$O$1202)</f>
        <v/>
      </c>
      <c r="AG1199">
        <f>IF([3]Entry!$C$1202="","",[3]Entry!$C$1202)</f>
        <v/>
      </c>
      <c r="AH1199">
        <f>IF([3]Entry!$D$1202="","",[3]Entry!$D$1202)</f>
        <v/>
      </c>
      <c r="AI1199">
        <f>IF([3]Entry!$E$1202="","",[3]Entry!$E$1202)</f>
        <v/>
      </c>
      <c r="AJ1199">
        <f>IF([3]Entry!$G$1202="","",[3]Entry!$G$1202)</f>
        <v/>
      </c>
      <c r="AK1199">
        <f>IF([3]Entry!$K$1202="","",[3]Entry!$K$1202)</f>
        <v/>
      </c>
      <c r="AL1199">
        <f>IF([3]Entry!$L$1202="","",[3]Entry!$L$1202)</f>
        <v/>
      </c>
      <c r="AM1199">
        <f>IF([3]Entry!$M$1202="","",[3]Entry!$M$1202)</f>
        <v/>
      </c>
      <c r="AN1199">
        <f>IF([3]Entry!$N$1202="","",[3]Entry!$N$1202)</f>
        <v/>
      </c>
      <c r="AO1199">
        <f>IF([3]Entry!$R$1202="","",[3]Entry!$R$1202)</f>
        <v/>
      </c>
    </row>
    <row r="1200">
      <c r="U1200">
        <f>IF([2]Baskol!$B$1203="","",[2]Baskol!$B$1203)</f>
        <v/>
      </c>
      <c r="V1200">
        <f>IF([2]Baskol!$C$1203="","",[2]Baskol!$C$1203)</f>
        <v/>
      </c>
      <c r="W1200">
        <f>IF([2]Baskol!$D$1203="","",[2]Baskol!$D$1203)</f>
        <v/>
      </c>
      <c r="X1200">
        <f>IF([2]Baskol!$E$1203="","",[2]Baskol!$E$1203)</f>
        <v/>
      </c>
      <c r="Y1200">
        <f>IF([2]Baskol!$G$1203="","",[2]Baskol!$G$1203)</f>
        <v/>
      </c>
      <c r="Z1200">
        <f>IF([2]Baskol!$I$1203="","",[2]Baskol!$I$1203)</f>
        <v/>
      </c>
      <c r="AA1200">
        <f>IF([2]Baskol!$J$1203="","",[2]Baskol!$J$1203)</f>
        <v/>
      </c>
      <c r="AB1200">
        <f>IF([2]Baskol!$K$1203="","",[2]Baskol!$K$1203)</f>
        <v/>
      </c>
      <c r="AC1200">
        <f>IF([2]Baskol!$L$1203="","",[2]Baskol!$L$1203)</f>
        <v/>
      </c>
      <c r="AD1200">
        <f>IF([2]Baskol!$N$1203="","",[2]Baskol!$N$1203)</f>
        <v/>
      </c>
      <c r="AE1200">
        <f>IF([2]Baskol!$O$1203="","",[2]Baskol!$O$1203)</f>
        <v/>
      </c>
      <c r="AG1200">
        <f>IF([3]Entry!$C$1203="","",[3]Entry!$C$1203)</f>
        <v/>
      </c>
      <c r="AH1200">
        <f>IF([3]Entry!$D$1203="","",[3]Entry!$D$1203)</f>
        <v/>
      </c>
      <c r="AI1200">
        <f>IF([3]Entry!$E$1203="","",[3]Entry!$E$1203)</f>
        <v/>
      </c>
      <c r="AJ1200">
        <f>IF([3]Entry!$G$1203="","",[3]Entry!$G$1203)</f>
        <v/>
      </c>
      <c r="AK1200">
        <f>IF([3]Entry!$K$1203="","",[3]Entry!$K$1203)</f>
        <v/>
      </c>
      <c r="AL1200">
        <f>IF([3]Entry!$L$1203="","",[3]Entry!$L$1203)</f>
        <v/>
      </c>
      <c r="AM1200">
        <f>IF([3]Entry!$M$1203="","",[3]Entry!$M$1203)</f>
        <v/>
      </c>
      <c r="AN1200">
        <f>IF([3]Entry!$N$1203="","",[3]Entry!$N$1203)</f>
        <v/>
      </c>
      <c r="AO1200">
        <f>IF([3]Entry!$R$1203="","",[3]Entry!$R$1203)</f>
        <v/>
      </c>
    </row>
    <row r="1201">
      <c r="U1201">
        <f>IF([2]Baskol!$B$1204="","",[2]Baskol!$B$1204)</f>
        <v/>
      </c>
      <c r="V1201">
        <f>IF([2]Baskol!$C$1204="","",[2]Baskol!$C$1204)</f>
        <v/>
      </c>
      <c r="W1201">
        <f>IF([2]Baskol!$D$1204="","",[2]Baskol!$D$1204)</f>
        <v/>
      </c>
      <c r="X1201">
        <f>IF([2]Baskol!$E$1204="","",[2]Baskol!$E$1204)</f>
        <v/>
      </c>
      <c r="Y1201">
        <f>IF([2]Baskol!$G$1204="","",[2]Baskol!$G$1204)</f>
        <v/>
      </c>
      <c r="Z1201">
        <f>IF([2]Baskol!$I$1204="","",[2]Baskol!$I$1204)</f>
        <v/>
      </c>
      <c r="AA1201">
        <f>IF([2]Baskol!$J$1204="","",[2]Baskol!$J$1204)</f>
        <v/>
      </c>
      <c r="AB1201">
        <f>IF([2]Baskol!$K$1204="","",[2]Baskol!$K$1204)</f>
        <v/>
      </c>
      <c r="AC1201">
        <f>IF([2]Baskol!$L$1204="","",[2]Baskol!$L$1204)</f>
        <v/>
      </c>
      <c r="AD1201">
        <f>IF([2]Baskol!$N$1204="","",[2]Baskol!$N$1204)</f>
        <v/>
      </c>
      <c r="AE1201">
        <f>IF([2]Baskol!$O$1204="","",[2]Baskol!$O$1204)</f>
        <v/>
      </c>
      <c r="AG1201">
        <f>IF([3]Entry!$C$1204="","",[3]Entry!$C$1204)</f>
        <v/>
      </c>
      <c r="AH1201">
        <f>IF([3]Entry!$D$1204="","",[3]Entry!$D$1204)</f>
        <v/>
      </c>
      <c r="AI1201">
        <f>IF([3]Entry!$E$1204="","",[3]Entry!$E$1204)</f>
        <v/>
      </c>
      <c r="AJ1201">
        <f>IF([3]Entry!$G$1204="","",[3]Entry!$G$1204)</f>
        <v/>
      </c>
      <c r="AK1201">
        <f>IF([3]Entry!$K$1204="","",[3]Entry!$K$1204)</f>
        <v/>
      </c>
      <c r="AL1201">
        <f>IF([3]Entry!$L$1204="","",[3]Entry!$L$1204)</f>
        <v/>
      </c>
      <c r="AM1201">
        <f>IF([3]Entry!$M$1204="","",[3]Entry!$M$1204)</f>
        <v/>
      </c>
      <c r="AN1201">
        <f>IF([3]Entry!$N$1204="","",[3]Entry!$N$1204)</f>
        <v/>
      </c>
      <c r="AO1201">
        <f>IF([3]Entry!$R$1204="","",[3]Entry!$R$1204)</f>
        <v/>
      </c>
    </row>
    <row r="1202">
      <c r="U1202">
        <f>IF([2]Baskol!$B$1205="","",[2]Baskol!$B$1205)</f>
        <v/>
      </c>
      <c r="V1202">
        <f>IF([2]Baskol!$C$1205="","",[2]Baskol!$C$1205)</f>
        <v/>
      </c>
      <c r="W1202">
        <f>IF([2]Baskol!$D$1205="","",[2]Baskol!$D$1205)</f>
        <v/>
      </c>
      <c r="X1202">
        <f>IF([2]Baskol!$E$1205="","",[2]Baskol!$E$1205)</f>
        <v/>
      </c>
      <c r="Y1202">
        <f>IF([2]Baskol!$G$1205="","",[2]Baskol!$G$1205)</f>
        <v/>
      </c>
      <c r="Z1202">
        <f>IF([2]Baskol!$I$1205="","",[2]Baskol!$I$1205)</f>
        <v/>
      </c>
      <c r="AA1202">
        <f>IF([2]Baskol!$J$1205="","",[2]Baskol!$J$1205)</f>
        <v/>
      </c>
      <c r="AB1202">
        <f>IF([2]Baskol!$K$1205="","",[2]Baskol!$K$1205)</f>
        <v/>
      </c>
      <c r="AC1202">
        <f>IF([2]Baskol!$L$1205="","",[2]Baskol!$L$1205)</f>
        <v/>
      </c>
      <c r="AD1202">
        <f>IF([2]Baskol!$N$1205="","",[2]Baskol!$N$1205)</f>
        <v/>
      </c>
      <c r="AE1202">
        <f>IF([2]Baskol!$O$1205="","",[2]Baskol!$O$1205)</f>
        <v/>
      </c>
      <c r="AG1202">
        <f>IF([3]Entry!$C$1205="","",[3]Entry!$C$1205)</f>
        <v/>
      </c>
      <c r="AH1202">
        <f>IF([3]Entry!$D$1205="","",[3]Entry!$D$1205)</f>
        <v/>
      </c>
      <c r="AI1202">
        <f>IF([3]Entry!$E$1205="","",[3]Entry!$E$1205)</f>
        <v/>
      </c>
      <c r="AJ1202">
        <f>IF([3]Entry!$G$1205="","",[3]Entry!$G$1205)</f>
        <v/>
      </c>
      <c r="AK1202">
        <f>IF([3]Entry!$K$1205="","",[3]Entry!$K$1205)</f>
        <v/>
      </c>
      <c r="AL1202">
        <f>IF([3]Entry!$L$1205="","",[3]Entry!$L$1205)</f>
        <v/>
      </c>
      <c r="AM1202">
        <f>IF([3]Entry!$M$1205="","",[3]Entry!$M$1205)</f>
        <v/>
      </c>
      <c r="AN1202">
        <f>IF([3]Entry!$N$1205="","",[3]Entry!$N$1205)</f>
        <v/>
      </c>
      <c r="AO1202">
        <f>IF([3]Entry!$R$1205="","",[3]Entry!$R$1205)</f>
        <v/>
      </c>
    </row>
    <row r="1203">
      <c r="U1203">
        <f>IF([2]Baskol!$B$1206="","",[2]Baskol!$B$1206)</f>
        <v/>
      </c>
      <c r="V1203">
        <f>IF([2]Baskol!$C$1206="","",[2]Baskol!$C$1206)</f>
        <v/>
      </c>
      <c r="W1203">
        <f>IF([2]Baskol!$D$1206="","",[2]Baskol!$D$1206)</f>
        <v/>
      </c>
      <c r="X1203">
        <f>IF([2]Baskol!$E$1206="","",[2]Baskol!$E$1206)</f>
        <v/>
      </c>
      <c r="Y1203">
        <f>IF([2]Baskol!$G$1206="","",[2]Baskol!$G$1206)</f>
        <v/>
      </c>
      <c r="Z1203">
        <f>IF([2]Baskol!$I$1206="","",[2]Baskol!$I$1206)</f>
        <v/>
      </c>
      <c r="AA1203">
        <f>IF([2]Baskol!$J$1206="","",[2]Baskol!$J$1206)</f>
        <v/>
      </c>
      <c r="AB1203">
        <f>IF([2]Baskol!$K$1206="","",[2]Baskol!$K$1206)</f>
        <v/>
      </c>
      <c r="AC1203">
        <f>IF([2]Baskol!$L$1206="","",[2]Baskol!$L$1206)</f>
        <v/>
      </c>
      <c r="AD1203">
        <f>IF([2]Baskol!$N$1206="","",[2]Baskol!$N$1206)</f>
        <v/>
      </c>
      <c r="AE1203">
        <f>IF([2]Baskol!$O$1206="","",[2]Baskol!$O$1206)</f>
        <v/>
      </c>
      <c r="AG1203">
        <f>IF([3]Entry!$C$1206="","",[3]Entry!$C$1206)</f>
        <v/>
      </c>
      <c r="AH1203">
        <f>IF([3]Entry!$D$1206="","",[3]Entry!$D$1206)</f>
        <v/>
      </c>
      <c r="AI1203">
        <f>IF([3]Entry!$E$1206="","",[3]Entry!$E$1206)</f>
        <v/>
      </c>
      <c r="AJ1203">
        <f>IF([3]Entry!$G$1206="","",[3]Entry!$G$1206)</f>
        <v/>
      </c>
      <c r="AK1203">
        <f>IF([3]Entry!$K$1206="","",[3]Entry!$K$1206)</f>
        <v/>
      </c>
      <c r="AL1203">
        <f>IF([3]Entry!$L$1206="","",[3]Entry!$L$1206)</f>
        <v/>
      </c>
      <c r="AM1203">
        <f>IF([3]Entry!$M$1206="","",[3]Entry!$M$1206)</f>
        <v/>
      </c>
      <c r="AN1203">
        <f>IF([3]Entry!$N$1206="","",[3]Entry!$N$1206)</f>
        <v/>
      </c>
      <c r="AO1203">
        <f>IF([3]Entry!$R$1206="","",[3]Entry!$R$1206)</f>
        <v/>
      </c>
    </row>
    <row r="1204">
      <c r="U1204">
        <f>IF([2]Baskol!$B$1207="","",[2]Baskol!$B$1207)</f>
        <v/>
      </c>
      <c r="V1204">
        <f>IF([2]Baskol!$C$1207="","",[2]Baskol!$C$1207)</f>
        <v/>
      </c>
      <c r="W1204">
        <f>IF([2]Baskol!$D$1207="","",[2]Baskol!$D$1207)</f>
        <v/>
      </c>
      <c r="X1204">
        <f>IF([2]Baskol!$E$1207="","",[2]Baskol!$E$1207)</f>
        <v/>
      </c>
      <c r="Y1204">
        <f>IF([2]Baskol!$G$1207="","",[2]Baskol!$G$1207)</f>
        <v/>
      </c>
      <c r="Z1204">
        <f>IF([2]Baskol!$I$1207="","",[2]Baskol!$I$1207)</f>
        <v/>
      </c>
      <c r="AA1204">
        <f>IF([2]Baskol!$J$1207="","",[2]Baskol!$J$1207)</f>
        <v/>
      </c>
      <c r="AB1204">
        <f>IF([2]Baskol!$K$1207="","",[2]Baskol!$K$1207)</f>
        <v/>
      </c>
      <c r="AC1204">
        <f>IF([2]Baskol!$L$1207="","",[2]Baskol!$L$1207)</f>
        <v/>
      </c>
      <c r="AD1204">
        <f>IF([2]Baskol!$N$1207="","",[2]Baskol!$N$1207)</f>
        <v/>
      </c>
      <c r="AE1204">
        <f>IF([2]Baskol!$O$1207="","",[2]Baskol!$O$1207)</f>
        <v/>
      </c>
      <c r="AG1204">
        <f>IF([3]Entry!$C$1207="","",[3]Entry!$C$1207)</f>
        <v/>
      </c>
      <c r="AH1204">
        <f>IF([3]Entry!$D$1207="","",[3]Entry!$D$1207)</f>
        <v/>
      </c>
      <c r="AI1204">
        <f>IF([3]Entry!$E$1207="","",[3]Entry!$E$1207)</f>
        <v/>
      </c>
      <c r="AJ1204">
        <f>IF([3]Entry!$G$1207="","",[3]Entry!$G$1207)</f>
        <v/>
      </c>
      <c r="AK1204">
        <f>IF([3]Entry!$K$1207="","",[3]Entry!$K$1207)</f>
        <v/>
      </c>
      <c r="AL1204">
        <f>IF([3]Entry!$L$1207="","",[3]Entry!$L$1207)</f>
        <v/>
      </c>
      <c r="AM1204">
        <f>IF([3]Entry!$M$1207="","",[3]Entry!$M$1207)</f>
        <v/>
      </c>
      <c r="AN1204">
        <f>IF([3]Entry!$N$1207="","",[3]Entry!$N$1207)</f>
        <v/>
      </c>
      <c r="AO1204">
        <f>IF([3]Entry!$R$1207="","",[3]Entry!$R$1207)</f>
        <v/>
      </c>
    </row>
    <row r="1205">
      <c r="U1205">
        <f>IF([2]Baskol!$B$1208="","",[2]Baskol!$B$1208)</f>
        <v/>
      </c>
      <c r="V1205">
        <f>IF([2]Baskol!$C$1208="","",[2]Baskol!$C$1208)</f>
        <v/>
      </c>
      <c r="W1205">
        <f>IF([2]Baskol!$D$1208="","",[2]Baskol!$D$1208)</f>
        <v/>
      </c>
      <c r="X1205">
        <f>IF([2]Baskol!$E$1208="","",[2]Baskol!$E$1208)</f>
        <v/>
      </c>
      <c r="Y1205">
        <f>IF([2]Baskol!$G$1208="","",[2]Baskol!$G$1208)</f>
        <v/>
      </c>
      <c r="Z1205">
        <f>IF([2]Baskol!$I$1208="","",[2]Baskol!$I$1208)</f>
        <v/>
      </c>
      <c r="AA1205">
        <f>IF([2]Baskol!$J$1208="","",[2]Baskol!$J$1208)</f>
        <v/>
      </c>
      <c r="AB1205">
        <f>IF([2]Baskol!$K$1208="","",[2]Baskol!$K$1208)</f>
        <v/>
      </c>
      <c r="AC1205">
        <f>IF([2]Baskol!$L$1208="","",[2]Baskol!$L$1208)</f>
        <v/>
      </c>
      <c r="AD1205">
        <f>IF([2]Baskol!$N$1208="","",[2]Baskol!$N$1208)</f>
        <v/>
      </c>
      <c r="AE1205">
        <f>IF([2]Baskol!$O$1208="","",[2]Baskol!$O$1208)</f>
        <v/>
      </c>
      <c r="AG1205">
        <f>IF([3]Entry!$C$1208="","",[3]Entry!$C$1208)</f>
        <v/>
      </c>
      <c r="AH1205">
        <f>IF([3]Entry!$D$1208="","",[3]Entry!$D$1208)</f>
        <v/>
      </c>
      <c r="AI1205">
        <f>IF([3]Entry!$E$1208="","",[3]Entry!$E$1208)</f>
        <v/>
      </c>
      <c r="AJ1205">
        <f>IF([3]Entry!$G$1208="","",[3]Entry!$G$1208)</f>
        <v/>
      </c>
      <c r="AK1205">
        <f>IF([3]Entry!$K$1208="","",[3]Entry!$K$1208)</f>
        <v/>
      </c>
      <c r="AL1205">
        <f>IF([3]Entry!$L$1208="","",[3]Entry!$L$1208)</f>
        <v/>
      </c>
      <c r="AM1205">
        <f>IF([3]Entry!$M$1208="","",[3]Entry!$M$1208)</f>
        <v/>
      </c>
      <c r="AN1205">
        <f>IF([3]Entry!$N$1208="","",[3]Entry!$N$1208)</f>
        <v/>
      </c>
      <c r="AO1205">
        <f>IF([3]Entry!$R$1208="","",[3]Entry!$R$1208)</f>
        <v/>
      </c>
    </row>
    <row r="1206">
      <c r="U1206">
        <f>IF([2]Baskol!$B$1209="","",[2]Baskol!$B$1209)</f>
        <v/>
      </c>
      <c r="V1206">
        <f>IF([2]Baskol!$C$1209="","",[2]Baskol!$C$1209)</f>
        <v/>
      </c>
      <c r="W1206">
        <f>IF([2]Baskol!$D$1209="","",[2]Baskol!$D$1209)</f>
        <v/>
      </c>
      <c r="X1206">
        <f>IF([2]Baskol!$E$1209="","",[2]Baskol!$E$1209)</f>
        <v/>
      </c>
      <c r="Y1206">
        <f>IF([2]Baskol!$G$1209="","",[2]Baskol!$G$1209)</f>
        <v/>
      </c>
      <c r="Z1206">
        <f>IF([2]Baskol!$I$1209="","",[2]Baskol!$I$1209)</f>
        <v/>
      </c>
      <c r="AA1206">
        <f>IF([2]Baskol!$J$1209="","",[2]Baskol!$J$1209)</f>
        <v/>
      </c>
      <c r="AB1206">
        <f>IF([2]Baskol!$K$1209="","",[2]Baskol!$K$1209)</f>
        <v/>
      </c>
      <c r="AC1206">
        <f>IF([2]Baskol!$L$1209="","",[2]Baskol!$L$1209)</f>
        <v/>
      </c>
      <c r="AD1206">
        <f>IF([2]Baskol!$N$1209="","",[2]Baskol!$N$1209)</f>
        <v/>
      </c>
      <c r="AE1206">
        <f>IF([2]Baskol!$O$1209="","",[2]Baskol!$O$1209)</f>
        <v/>
      </c>
      <c r="AG1206">
        <f>IF([3]Entry!$C$1209="","",[3]Entry!$C$1209)</f>
        <v/>
      </c>
      <c r="AH1206">
        <f>IF([3]Entry!$D$1209="","",[3]Entry!$D$1209)</f>
        <v/>
      </c>
      <c r="AI1206">
        <f>IF([3]Entry!$E$1209="","",[3]Entry!$E$1209)</f>
        <v/>
      </c>
      <c r="AJ1206">
        <f>IF([3]Entry!$G$1209="","",[3]Entry!$G$1209)</f>
        <v/>
      </c>
      <c r="AK1206">
        <f>IF([3]Entry!$K$1209="","",[3]Entry!$K$1209)</f>
        <v/>
      </c>
      <c r="AL1206">
        <f>IF([3]Entry!$L$1209="","",[3]Entry!$L$1209)</f>
        <v/>
      </c>
      <c r="AM1206">
        <f>IF([3]Entry!$M$1209="","",[3]Entry!$M$1209)</f>
        <v/>
      </c>
      <c r="AN1206">
        <f>IF([3]Entry!$N$1209="","",[3]Entry!$N$1209)</f>
        <v/>
      </c>
      <c r="AO1206">
        <f>IF([3]Entry!$R$1209="","",[3]Entry!$R$1209)</f>
        <v/>
      </c>
    </row>
    <row r="1207">
      <c r="U1207">
        <f>IF([2]Baskol!$B$1210="","",[2]Baskol!$B$1210)</f>
        <v/>
      </c>
      <c r="V1207">
        <f>IF([2]Baskol!$C$1210="","",[2]Baskol!$C$1210)</f>
        <v/>
      </c>
      <c r="W1207">
        <f>IF([2]Baskol!$D$1210="","",[2]Baskol!$D$1210)</f>
        <v/>
      </c>
      <c r="X1207">
        <f>IF([2]Baskol!$E$1210="","",[2]Baskol!$E$1210)</f>
        <v/>
      </c>
      <c r="Y1207">
        <f>IF([2]Baskol!$G$1210="","",[2]Baskol!$G$1210)</f>
        <v/>
      </c>
      <c r="Z1207">
        <f>IF([2]Baskol!$I$1210="","",[2]Baskol!$I$1210)</f>
        <v/>
      </c>
      <c r="AA1207">
        <f>IF([2]Baskol!$J$1210="","",[2]Baskol!$J$1210)</f>
        <v/>
      </c>
      <c r="AB1207">
        <f>IF([2]Baskol!$K$1210="","",[2]Baskol!$K$1210)</f>
        <v/>
      </c>
      <c r="AC1207">
        <f>IF([2]Baskol!$L$1210="","",[2]Baskol!$L$1210)</f>
        <v/>
      </c>
      <c r="AD1207">
        <f>IF([2]Baskol!$N$1210="","",[2]Baskol!$N$1210)</f>
        <v/>
      </c>
      <c r="AE1207">
        <f>IF([2]Baskol!$O$1210="","",[2]Baskol!$O$1210)</f>
        <v/>
      </c>
      <c r="AG1207">
        <f>IF([3]Entry!$C$1210="","",[3]Entry!$C$1210)</f>
        <v/>
      </c>
      <c r="AH1207">
        <f>IF([3]Entry!$D$1210="","",[3]Entry!$D$1210)</f>
        <v/>
      </c>
      <c r="AI1207">
        <f>IF([3]Entry!$E$1210="","",[3]Entry!$E$1210)</f>
        <v/>
      </c>
      <c r="AJ1207">
        <f>IF([3]Entry!$G$1210="","",[3]Entry!$G$1210)</f>
        <v/>
      </c>
      <c r="AK1207">
        <f>IF([3]Entry!$K$1210="","",[3]Entry!$K$1210)</f>
        <v/>
      </c>
      <c r="AL1207">
        <f>IF([3]Entry!$L$1210="","",[3]Entry!$L$1210)</f>
        <v/>
      </c>
      <c r="AM1207">
        <f>IF([3]Entry!$M$1210="","",[3]Entry!$M$1210)</f>
        <v/>
      </c>
      <c r="AN1207">
        <f>IF([3]Entry!$N$1210="","",[3]Entry!$N$1210)</f>
        <v/>
      </c>
      <c r="AO1207">
        <f>IF([3]Entry!$R$1210="","",[3]Entry!$R$1210)</f>
        <v/>
      </c>
    </row>
    <row r="1208">
      <c r="U1208">
        <f>IF([2]Baskol!$B$1211="","",[2]Baskol!$B$1211)</f>
        <v/>
      </c>
      <c r="V1208">
        <f>IF([2]Baskol!$C$1211="","",[2]Baskol!$C$1211)</f>
        <v/>
      </c>
      <c r="W1208">
        <f>IF([2]Baskol!$D$1211="","",[2]Baskol!$D$1211)</f>
        <v/>
      </c>
      <c r="X1208">
        <f>IF([2]Baskol!$E$1211="","",[2]Baskol!$E$1211)</f>
        <v/>
      </c>
      <c r="Y1208">
        <f>IF([2]Baskol!$G$1211="","",[2]Baskol!$G$1211)</f>
        <v/>
      </c>
      <c r="Z1208">
        <f>IF([2]Baskol!$I$1211="","",[2]Baskol!$I$1211)</f>
        <v/>
      </c>
      <c r="AA1208">
        <f>IF([2]Baskol!$J$1211="","",[2]Baskol!$J$1211)</f>
        <v/>
      </c>
      <c r="AB1208">
        <f>IF([2]Baskol!$K$1211="","",[2]Baskol!$K$1211)</f>
        <v/>
      </c>
      <c r="AC1208">
        <f>IF([2]Baskol!$L$1211="","",[2]Baskol!$L$1211)</f>
        <v/>
      </c>
      <c r="AD1208">
        <f>IF([2]Baskol!$N$1211="","",[2]Baskol!$N$1211)</f>
        <v/>
      </c>
      <c r="AE1208">
        <f>IF([2]Baskol!$O$1211="","",[2]Baskol!$O$1211)</f>
        <v/>
      </c>
      <c r="AG1208">
        <f>IF([3]Entry!$C$1211="","",[3]Entry!$C$1211)</f>
        <v/>
      </c>
      <c r="AH1208">
        <f>IF([3]Entry!$D$1211="","",[3]Entry!$D$1211)</f>
        <v/>
      </c>
      <c r="AI1208">
        <f>IF([3]Entry!$E$1211="","",[3]Entry!$E$1211)</f>
        <v/>
      </c>
      <c r="AJ1208">
        <f>IF([3]Entry!$G$1211="","",[3]Entry!$G$1211)</f>
        <v/>
      </c>
      <c r="AK1208">
        <f>IF([3]Entry!$K$1211="","",[3]Entry!$K$1211)</f>
        <v/>
      </c>
      <c r="AL1208">
        <f>IF([3]Entry!$L$1211="","",[3]Entry!$L$1211)</f>
        <v/>
      </c>
      <c r="AM1208">
        <f>IF([3]Entry!$M$1211="","",[3]Entry!$M$1211)</f>
        <v/>
      </c>
      <c r="AN1208">
        <f>IF([3]Entry!$N$1211="","",[3]Entry!$N$1211)</f>
        <v/>
      </c>
      <c r="AO1208">
        <f>IF([3]Entry!$R$1211="","",[3]Entry!$R$1211)</f>
        <v/>
      </c>
    </row>
    <row r="1209">
      <c r="U1209">
        <f>IF([2]Baskol!$B$1212="","",[2]Baskol!$B$1212)</f>
        <v/>
      </c>
      <c r="V1209">
        <f>IF([2]Baskol!$C$1212="","",[2]Baskol!$C$1212)</f>
        <v/>
      </c>
      <c r="W1209">
        <f>IF([2]Baskol!$D$1212="","",[2]Baskol!$D$1212)</f>
        <v/>
      </c>
      <c r="X1209">
        <f>IF([2]Baskol!$E$1212="","",[2]Baskol!$E$1212)</f>
        <v/>
      </c>
      <c r="Y1209">
        <f>IF([2]Baskol!$G$1212="","",[2]Baskol!$G$1212)</f>
        <v/>
      </c>
      <c r="Z1209">
        <f>IF([2]Baskol!$I$1212="","",[2]Baskol!$I$1212)</f>
        <v/>
      </c>
      <c r="AA1209">
        <f>IF([2]Baskol!$J$1212="","",[2]Baskol!$J$1212)</f>
        <v/>
      </c>
      <c r="AB1209">
        <f>IF([2]Baskol!$K$1212="","",[2]Baskol!$K$1212)</f>
        <v/>
      </c>
      <c r="AC1209">
        <f>IF([2]Baskol!$L$1212="","",[2]Baskol!$L$1212)</f>
        <v/>
      </c>
      <c r="AD1209">
        <f>IF([2]Baskol!$N$1212="","",[2]Baskol!$N$1212)</f>
        <v/>
      </c>
      <c r="AE1209">
        <f>IF([2]Baskol!$O$1212="","",[2]Baskol!$O$1212)</f>
        <v/>
      </c>
      <c r="AG1209">
        <f>IF([3]Entry!$C$1212="","",[3]Entry!$C$1212)</f>
        <v/>
      </c>
      <c r="AH1209">
        <f>IF([3]Entry!$D$1212="","",[3]Entry!$D$1212)</f>
        <v/>
      </c>
      <c r="AI1209">
        <f>IF([3]Entry!$E$1212="","",[3]Entry!$E$1212)</f>
        <v/>
      </c>
      <c r="AJ1209">
        <f>IF([3]Entry!$G$1212="","",[3]Entry!$G$1212)</f>
        <v/>
      </c>
      <c r="AK1209">
        <f>IF([3]Entry!$K$1212="","",[3]Entry!$K$1212)</f>
        <v/>
      </c>
      <c r="AL1209">
        <f>IF([3]Entry!$L$1212="","",[3]Entry!$L$1212)</f>
        <v/>
      </c>
      <c r="AM1209">
        <f>IF([3]Entry!$M$1212="","",[3]Entry!$M$1212)</f>
        <v/>
      </c>
      <c r="AN1209">
        <f>IF([3]Entry!$N$1212="","",[3]Entry!$N$1212)</f>
        <v/>
      </c>
      <c r="AO1209">
        <f>IF([3]Entry!$R$1212="","",[3]Entry!$R$1212)</f>
        <v/>
      </c>
    </row>
    <row r="1210">
      <c r="U1210">
        <f>IF([2]Baskol!$B$1213="","",[2]Baskol!$B$1213)</f>
        <v/>
      </c>
      <c r="V1210">
        <f>IF([2]Baskol!$C$1213="","",[2]Baskol!$C$1213)</f>
        <v/>
      </c>
      <c r="W1210">
        <f>IF([2]Baskol!$D$1213="","",[2]Baskol!$D$1213)</f>
        <v/>
      </c>
      <c r="X1210">
        <f>IF([2]Baskol!$E$1213="","",[2]Baskol!$E$1213)</f>
        <v/>
      </c>
      <c r="Y1210">
        <f>IF([2]Baskol!$G$1213="","",[2]Baskol!$G$1213)</f>
        <v/>
      </c>
      <c r="Z1210">
        <f>IF([2]Baskol!$I$1213="","",[2]Baskol!$I$1213)</f>
        <v/>
      </c>
      <c r="AA1210">
        <f>IF([2]Baskol!$J$1213="","",[2]Baskol!$J$1213)</f>
        <v/>
      </c>
      <c r="AB1210">
        <f>IF([2]Baskol!$K$1213="","",[2]Baskol!$K$1213)</f>
        <v/>
      </c>
      <c r="AC1210">
        <f>IF([2]Baskol!$L$1213="","",[2]Baskol!$L$1213)</f>
        <v/>
      </c>
      <c r="AD1210">
        <f>IF([2]Baskol!$N$1213="","",[2]Baskol!$N$1213)</f>
        <v/>
      </c>
      <c r="AE1210">
        <f>IF([2]Baskol!$O$1213="","",[2]Baskol!$O$1213)</f>
        <v/>
      </c>
      <c r="AG1210">
        <f>IF([3]Entry!$C$1213="","",[3]Entry!$C$1213)</f>
        <v/>
      </c>
      <c r="AH1210">
        <f>IF([3]Entry!$D$1213="","",[3]Entry!$D$1213)</f>
        <v/>
      </c>
      <c r="AI1210">
        <f>IF([3]Entry!$E$1213="","",[3]Entry!$E$1213)</f>
        <v/>
      </c>
      <c r="AJ1210">
        <f>IF([3]Entry!$G$1213="","",[3]Entry!$G$1213)</f>
        <v/>
      </c>
      <c r="AK1210">
        <f>IF([3]Entry!$K$1213="","",[3]Entry!$K$1213)</f>
        <v/>
      </c>
      <c r="AL1210">
        <f>IF([3]Entry!$L$1213="","",[3]Entry!$L$1213)</f>
        <v/>
      </c>
      <c r="AM1210">
        <f>IF([3]Entry!$M$1213="","",[3]Entry!$M$1213)</f>
        <v/>
      </c>
      <c r="AN1210">
        <f>IF([3]Entry!$N$1213="","",[3]Entry!$N$1213)</f>
        <v/>
      </c>
      <c r="AO1210">
        <f>IF([3]Entry!$R$1213="","",[3]Entry!$R$1213)</f>
        <v/>
      </c>
    </row>
    <row r="1211">
      <c r="U1211">
        <f>IF([2]Baskol!$B$1214="","",[2]Baskol!$B$1214)</f>
        <v/>
      </c>
      <c r="V1211">
        <f>IF([2]Baskol!$C$1214="","",[2]Baskol!$C$1214)</f>
        <v/>
      </c>
      <c r="W1211">
        <f>IF([2]Baskol!$D$1214="","",[2]Baskol!$D$1214)</f>
        <v/>
      </c>
      <c r="X1211">
        <f>IF([2]Baskol!$E$1214="","",[2]Baskol!$E$1214)</f>
        <v/>
      </c>
      <c r="Y1211">
        <f>IF([2]Baskol!$G$1214="","",[2]Baskol!$G$1214)</f>
        <v/>
      </c>
      <c r="Z1211">
        <f>IF([2]Baskol!$I$1214="","",[2]Baskol!$I$1214)</f>
        <v/>
      </c>
      <c r="AA1211">
        <f>IF([2]Baskol!$J$1214="","",[2]Baskol!$J$1214)</f>
        <v/>
      </c>
      <c r="AB1211">
        <f>IF([2]Baskol!$K$1214="","",[2]Baskol!$K$1214)</f>
        <v/>
      </c>
      <c r="AC1211">
        <f>IF([2]Baskol!$L$1214="","",[2]Baskol!$L$1214)</f>
        <v/>
      </c>
      <c r="AD1211">
        <f>IF([2]Baskol!$N$1214="","",[2]Baskol!$N$1214)</f>
        <v/>
      </c>
      <c r="AE1211">
        <f>IF([2]Baskol!$O$1214="","",[2]Baskol!$O$1214)</f>
        <v/>
      </c>
      <c r="AG1211">
        <f>IF([3]Entry!$C$1214="","",[3]Entry!$C$1214)</f>
        <v/>
      </c>
      <c r="AH1211">
        <f>IF([3]Entry!$D$1214="","",[3]Entry!$D$1214)</f>
        <v/>
      </c>
      <c r="AI1211">
        <f>IF([3]Entry!$E$1214="","",[3]Entry!$E$1214)</f>
        <v/>
      </c>
      <c r="AJ1211">
        <f>IF([3]Entry!$G$1214="","",[3]Entry!$G$1214)</f>
        <v/>
      </c>
      <c r="AK1211">
        <f>IF([3]Entry!$K$1214="","",[3]Entry!$K$1214)</f>
        <v/>
      </c>
      <c r="AL1211">
        <f>IF([3]Entry!$L$1214="","",[3]Entry!$L$1214)</f>
        <v/>
      </c>
      <c r="AM1211">
        <f>IF([3]Entry!$M$1214="","",[3]Entry!$M$1214)</f>
        <v/>
      </c>
      <c r="AN1211">
        <f>IF([3]Entry!$N$1214="","",[3]Entry!$N$1214)</f>
        <v/>
      </c>
      <c r="AO1211">
        <f>IF([3]Entry!$R$1214="","",[3]Entry!$R$1214)</f>
        <v/>
      </c>
    </row>
    <row r="1212">
      <c r="U1212">
        <f>IF([2]Baskol!$B$1215="","",[2]Baskol!$B$1215)</f>
        <v/>
      </c>
      <c r="V1212">
        <f>IF([2]Baskol!$C$1215="","",[2]Baskol!$C$1215)</f>
        <v/>
      </c>
      <c r="W1212">
        <f>IF([2]Baskol!$D$1215="","",[2]Baskol!$D$1215)</f>
        <v/>
      </c>
      <c r="X1212">
        <f>IF([2]Baskol!$E$1215="","",[2]Baskol!$E$1215)</f>
        <v/>
      </c>
      <c r="Y1212">
        <f>IF([2]Baskol!$G$1215="","",[2]Baskol!$G$1215)</f>
        <v/>
      </c>
      <c r="Z1212">
        <f>IF([2]Baskol!$I$1215="","",[2]Baskol!$I$1215)</f>
        <v/>
      </c>
      <c r="AA1212">
        <f>IF([2]Baskol!$J$1215="","",[2]Baskol!$J$1215)</f>
        <v/>
      </c>
      <c r="AB1212">
        <f>IF([2]Baskol!$K$1215="","",[2]Baskol!$K$1215)</f>
        <v/>
      </c>
      <c r="AC1212">
        <f>IF([2]Baskol!$L$1215="","",[2]Baskol!$L$1215)</f>
        <v/>
      </c>
      <c r="AD1212">
        <f>IF([2]Baskol!$N$1215="","",[2]Baskol!$N$1215)</f>
        <v/>
      </c>
      <c r="AE1212">
        <f>IF([2]Baskol!$O$1215="","",[2]Baskol!$O$1215)</f>
        <v/>
      </c>
      <c r="AG1212">
        <f>IF([3]Entry!$C$1215="","",[3]Entry!$C$1215)</f>
        <v/>
      </c>
      <c r="AH1212">
        <f>IF([3]Entry!$D$1215="","",[3]Entry!$D$1215)</f>
        <v/>
      </c>
      <c r="AI1212">
        <f>IF([3]Entry!$E$1215="","",[3]Entry!$E$1215)</f>
        <v/>
      </c>
      <c r="AJ1212">
        <f>IF([3]Entry!$G$1215="","",[3]Entry!$G$1215)</f>
        <v/>
      </c>
      <c r="AK1212">
        <f>IF([3]Entry!$K$1215="","",[3]Entry!$K$1215)</f>
        <v/>
      </c>
      <c r="AL1212">
        <f>IF([3]Entry!$L$1215="","",[3]Entry!$L$1215)</f>
        <v/>
      </c>
      <c r="AM1212">
        <f>IF([3]Entry!$M$1215="","",[3]Entry!$M$1215)</f>
        <v/>
      </c>
      <c r="AN1212">
        <f>IF([3]Entry!$N$1215="","",[3]Entry!$N$1215)</f>
        <v/>
      </c>
      <c r="AO1212">
        <f>IF([3]Entry!$R$1215="","",[3]Entry!$R$1215)</f>
        <v/>
      </c>
    </row>
    <row r="1213">
      <c r="U1213">
        <f>IF([2]Baskol!$B$1216="","",[2]Baskol!$B$1216)</f>
        <v/>
      </c>
      <c r="V1213">
        <f>IF([2]Baskol!$C$1216="","",[2]Baskol!$C$1216)</f>
        <v/>
      </c>
      <c r="W1213">
        <f>IF([2]Baskol!$D$1216="","",[2]Baskol!$D$1216)</f>
        <v/>
      </c>
      <c r="X1213">
        <f>IF([2]Baskol!$E$1216="","",[2]Baskol!$E$1216)</f>
        <v/>
      </c>
      <c r="Y1213">
        <f>IF([2]Baskol!$G$1216="","",[2]Baskol!$G$1216)</f>
        <v/>
      </c>
      <c r="Z1213">
        <f>IF([2]Baskol!$I$1216="","",[2]Baskol!$I$1216)</f>
        <v/>
      </c>
      <c r="AA1213">
        <f>IF([2]Baskol!$J$1216="","",[2]Baskol!$J$1216)</f>
        <v/>
      </c>
      <c r="AB1213">
        <f>IF([2]Baskol!$K$1216="","",[2]Baskol!$K$1216)</f>
        <v/>
      </c>
      <c r="AC1213">
        <f>IF([2]Baskol!$L$1216="","",[2]Baskol!$L$1216)</f>
        <v/>
      </c>
      <c r="AD1213">
        <f>IF([2]Baskol!$N$1216="","",[2]Baskol!$N$1216)</f>
        <v/>
      </c>
      <c r="AE1213">
        <f>IF([2]Baskol!$O$1216="","",[2]Baskol!$O$1216)</f>
        <v/>
      </c>
      <c r="AG1213">
        <f>IF([3]Entry!$C$1216="","",[3]Entry!$C$1216)</f>
        <v/>
      </c>
      <c r="AH1213">
        <f>IF([3]Entry!$D$1216="","",[3]Entry!$D$1216)</f>
        <v/>
      </c>
      <c r="AI1213">
        <f>IF([3]Entry!$E$1216="","",[3]Entry!$E$1216)</f>
        <v/>
      </c>
      <c r="AJ1213">
        <f>IF([3]Entry!$G$1216="","",[3]Entry!$G$1216)</f>
        <v/>
      </c>
      <c r="AK1213">
        <f>IF([3]Entry!$K$1216="","",[3]Entry!$K$1216)</f>
        <v/>
      </c>
      <c r="AL1213">
        <f>IF([3]Entry!$L$1216="","",[3]Entry!$L$1216)</f>
        <v/>
      </c>
      <c r="AM1213">
        <f>IF([3]Entry!$M$1216="","",[3]Entry!$M$1216)</f>
        <v/>
      </c>
      <c r="AN1213">
        <f>IF([3]Entry!$N$1216="","",[3]Entry!$N$1216)</f>
        <v/>
      </c>
      <c r="AO1213">
        <f>IF([3]Entry!$R$1216="","",[3]Entry!$R$1216)</f>
        <v/>
      </c>
    </row>
    <row r="1214">
      <c r="U1214">
        <f>IF([2]Baskol!$B$1217="","",[2]Baskol!$B$1217)</f>
        <v/>
      </c>
      <c r="V1214">
        <f>IF([2]Baskol!$C$1217="","",[2]Baskol!$C$1217)</f>
        <v/>
      </c>
      <c r="W1214">
        <f>IF([2]Baskol!$D$1217="","",[2]Baskol!$D$1217)</f>
        <v/>
      </c>
      <c r="X1214">
        <f>IF([2]Baskol!$E$1217="","",[2]Baskol!$E$1217)</f>
        <v/>
      </c>
      <c r="Y1214">
        <f>IF([2]Baskol!$G$1217="","",[2]Baskol!$G$1217)</f>
        <v/>
      </c>
      <c r="Z1214">
        <f>IF([2]Baskol!$I$1217="","",[2]Baskol!$I$1217)</f>
        <v/>
      </c>
      <c r="AA1214">
        <f>IF([2]Baskol!$J$1217="","",[2]Baskol!$J$1217)</f>
        <v/>
      </c>
      <c r="AB1214">
        <f>IF([2]Baskol!$K$1217="","",[2]Baskol!$K$1217)</f>
        <v/>
      </c>
      <c r="AC1214">
        <f>IF([2]Baskol!$L$1217="","",[2]Baskol!$L$1217)</f>
        <v/>
      </c>
      <c r="AD1214">
        <f>IF([2]Baskol!$N$1217="","",[2]Baskol!$N$1217)</f>
        <v/>
      </c>
      <c r="AE1214">
        <f>IF([2]Baskol!$O$1217="","",[2]Baskol!$O$1217)</f>
        <v/>
      </c>
      <c r="AG1214">
        <f>IF([3]Entry!$C$1217="","",[3]Entry!$C$1217)</f>
        <v/>
      </c>
      <c r="AH1214">
        <f>IF([3]Entry!$D$1217="","",[3]Entry!$D$1217)</f>
        <v/>
      </c>
      <c r="AI1214">
        <f>IF([3]Entry!$E$1217="","",[3]Entry!$E$1217)</f>
        <v/>
      </c>
      <c r="AJ1214">
        <f>IF([3]Entry!$G$1217="","",[3]Entry!$G$1217)</f>
        <v/>
      </c>
      <c r="AK1214">
        <f>IF([3]Entry!$K$1217="","",[3]Entry!$K$1217)</f>
        <v/>
      </c>
      <c r="AL1214">
        <f>IF([3]Entry!$L$1217="","",[3]Entry!$L$1217)</f>
        <v/>
      </c>
      <c r="AM1214">
        <f>IF([3]Entry!$M$1217="","",[3]Entry!$M$1217)</f>
        <v/>
      </c>
      <c r="AN1214">
        <f>IF([3]Entry!$N$1217="","",[3]Entry!$N$1217)</f>
        <v/>
      </c>
      <c r="AO1214">
        <f>IF([3]Entry!$R$1217="","",[3]Entry!$R$1217)</f>
        <v/>
      </c>
    </row>
    <row r="1215">
      <c r="U1215">
        <f>IF([2]Baskol!$B$1218="","",[2]Baskol!$B$1218)</f>
        <v/>
      </c>
      <c r="V1215">
        <f>IF([2]Baskol!$C$1218="","",[2]Baskol!$C$1218)</f>
        <v/>
      </c>
      <c r="W1215">
        <f>IF([2]Baskol!$D$1218="","",[2]Baskol!$D$1218)</f>
        <v/>
      </c>
      <c r="X1215">
        <f>IF([2]Baskol!$E$1218="","",[2]Baskol!$E$1218)</f>
        <v/>
      </c>
      <c r="Y1215">
        <f>IF([2]Baskol!$G$1218="","",[2]Baskol!$G$1218)</f>
        <v/>
      </c>
      <c r="Z1215">
        <f>IF([2]Baskol!$I$1218="","",[2]Baskol!$I$1218)</f>
        <v/>
      </c>
      <c r="AA1215">
        <f>IF([2]Baskol!$J$1218="","",[2]Baskol!$J$1218)</f>
        <v/>
      </c>
      <c r="AB1215">
        <f>IF([2]Baskol!$K$1218="","",[2]Baskol!$K$1218)</f>
        <v/>
      </c>
      <c r="AC1215">
        <f>IF([2]Baskol!$L$1218="","",[2]Baskol!$L$1218)</f>
        <v/>
      </c>
      <c r="AD1215">
        <f>IF([2]Baskol!$N$1218="","",[2]Baskol!$N$1218)</f>
        <v/>
      </c>
      <c r="AE1215">
        <f>IF([2]Baskol!$O$1218="","",[2]Baskol!$O$1218)</f>
        <v/>
      </c>
      <c r="AG1215">
        <f>IF([3]Entry!$C$1218="","",[3]Entry!$C$1218)</f>
        <v/>
      </c>
      <c r="AH1215">
        <f>IF([3]Entry!$D$1218="","",[3]Entry!$D$1218)</f>
        <v/>
      </c>
      <c r="AI1215">
        <f>IF([3]Entry!$E$1218="","",[3]Entry!$E$1218)</f>
        <v/>
      </c>
      <c r="AJ1215">
        <f>IF([3]Entry!$G$1218="","",[3]Entry!$G$1218)</f>
        <v/>
      </c>
      <c r="AK1215">
        <f>IF([3]Entry!$K$1218="","",[3]Entry!$K$1218)</f>
        <v/>
      </c>
      <c r="AL1215">
        <f>IF([3]Entry!$L$1218="","",[3]Entry!$L$1218)</f>
        <v/>
      </c>
      <c r="AM1215">
        <f>IF([3]Entry!$M$1218="","",[3]Entry!$M$1218)</f>
        <v/>
      </c>
      <c r="AN1215">
        <f>IF([3]Entry!$N$1218="","",[3]Entry!$N$1218)</f>
        <v/>
      </c>
      <c r="AO1215">
        <f>IF([3]Entry!$R$1218="","",[3]Entry!$R$1218)</f>
        <v/>
      </c>
    </row>
    <row r="1216">
      <c r="U1216">
        <f>IF([2]Baskol!$B$1219="","",[2]Baskol!$B$1219)</f>
        <v/>
      </c>
      <c r="V1216">
        <f>IF([2]Baskol!$C$1219="","",[2]Baskol!$C$1219)</f>
        <v/>
      </c>
      <c r="W1216">
        <f>IF([2]Baskol!$D$1219="","",[2]Baskol!$D$1219)</f>
        <v/>
      </c>
      <c r="X1216">
        <f>IF([2]Baskol!$E$1219="","",[2]Baskol!$E$1219)</f>
        <v/>
      </c>
      <c r="Y1216">
        <f>IF([2]Baskol!$G$1219="","",[2]Baskol!$G$1219)</f>
        <v/>
      </c>
      <c r="Z1216">
        <f>IF([2]Baskol!$I$1219="","",[2]Baskol!$I$1219)</f>
        <v/>
      </c>
      <c r="AA1216">
        <f>IF([2]Baskol!$J$1219="","",[2]Baskol!$J$1219)</f>
        <v/>
      </c>
      <c r="AB1216">
        <f>IF([2]Baskol!$K$1219="","",[2]Baskol!$K$1219)</f>
        <v/>
      </c>
      <c r="AC1216">
        <f>IF([2]Baskol!$L$1219="","",[2]Baskol!$L$1219)</f>
        <v/>
      </c>
      <c r="AD1216">
        <f>IF([2]Baskol!$N$1219="","",[2]Baskol!$N$1219)</f>
        <v/>
      </c>
      <c r="AE1216">
        <f>IF([2]Baskol!$O$1219="","",[2]Baskol!$O$1219)</f>
        <v/>
      </c>
      <c r="AG1216">
        <f>IF([3]Entry!$C$1219="","",[3]Entry!$C$1219)</f>
        <v/>
      </c>
      <c r="AH1216">
        <f>IF([3]Entry!$D$1219="","",[3]Entry!$D$1219)</f>
        <v/>
      </c>
      <c r="AI1216">
        <f>IF([3]Entry!$E$1219="","",[3]Entry!$E$1219)</f>
        <v/>
      </c>
      <c r="AJ1216">
        <f>IF([3]Entry!$G$1219="","",[3]Entry!$G$1219)</f>
        <v/>
      </c>
      <c r="AK1216">
        <f>IF([3]Entry!$K$1219="","",[3]Entry!$K$1219)</f>
        <v/>
      </c>
      <c r="AL1216">
        <f>IF([3]Entry!$L$1219="","",[3]Entry!$L$1219)</f>
        <v/>
      </c>
      <c r="AM1216">
        <f>IF([3]Entry!$M$1219="","",[3]Entry!$M$1219)</f>
        <v/>
      </c>
      <c r="AN1216">
        <f>IF([3]Entry!$N$1219="","",[3]Entry!$N$1219)</f>
        <v/>
      </c>
      <c r="AO1216">
        <f>IF([3]Entry!$R$1219="","",[3]Entry!$R$1219)</f>
        <v/>
      </c>
    </row>
    <row r="1217">
      <c r="U1217">
        <f>IF([2]Baskol!$B$1220="","",[2]Baskol!$B$1220)</f>
        <v/>
      </c>
      <c r="V1217">
        <f>IF([2]Baskol!$C$1220="","",[2]Baskol!$C$1220)</f>
        <v/>
      </c>
      <c r="W1217">
        <f>IF([2]Baskol!$D$1220="","",[2]Baskol!$D$1220)</f>
        <v/>
      </c>
      <c r="X1217">
        <f>IF([2]Baskol!$E$1220="","",[2]Baskol!$E$1220)</f>
        <v/>
      </c>
      <c r="Y1217">
        <f>IF([2]Baskol!$G$1220="","",[2]Baskol!$G$1220)</f>
        <v/>
      </c>
      <c r="Z1217">
        <f>IF([2]Baskol!$I$1220="","",[2]Baskol!$I$1220)</f>
        <v/>
      </c>
      <c r="AA1217">
        <f>IF([2]Baskol!$J$1220="","",[2]Baskol!$J$1220)</f>
        <v/>
      </c>
      <c r="AB1217">
        <f>IF([2]Baskol!$K$1220="","",[2]Baskol!$K$1220)</f>
        <v/>
      </c>
      <c r="AC1217">
        <f>IF([2]Baskol!$L$1220="","",[2]Baskol!$L$1220)</f>
        <v/>
      </c>
      <c r="AD1217">
        <f>IF([2]Baskol!$N$1220="","",[2]Baskol!$N$1220)</f>
        <v/>
      </c>
      <c r="AE1217">
        <f>IF([2]Baskol!$O$1220="","",[2]Baskol!$O$1220)</f>
        <v/>
      </c>
      <c r="AG1217">
        <f>IF([3]Entry!$C$1220="","",[3]Entry!$C$1220)</f>
        <v/>
      </c>
      <c r="AH1217">
        <f>IF([3]Entry!$D$1220="","",[3]Entry!$D$1220)</f>
        <v/>
      </c>
      <c r="AI1217">
        <f>IF([3]Entry!$E$1220="","",[3]Entry!$E$1220)</f>
        <v/>
      </c>
      <c r="AJ1217">
        <f>IF([3]Entry!$G$1220="","",[3]Entry!$G$1220)</f>
        <v/>
      </c>
      <c r="AK1217">
        <f>IF([3]Entry!$K$1220="","",[3]Entry!$K$1220)</f>
        <v/>
      </c>
      <c r="AL1217">
        <f>IF([3]Entry!$L$1220="","",[3]Entry!$L$1220)</f>
        <v/>
      </c>
      <c r="AM1217">
        <f>IF([3]Entry!$M$1220="","",[3]Entry!$M$1220)</f>
        <v/>
      </c>
      <c r="AN1217">
        <f>IF([3]Entry!$N$1220="","",[3]Entry!$N$1220)</f>
        <v/>
      </c>
      <c r="AO1217">
        <f>IF([3]Entry!$R$1220="","",[3]Entry!$R$1220)</f>
        <v/>
      </c>
    </row>
    <row r="1218">
      <c r="U1218">
        <f>IF([2]Baskol!$B$1221="","",[2]Baskol!$B$1221)</f>
        <v/>
      </c>
      <c r="V1218">
        <f>IF([2]Baskol!$C$1221="","",[2]Baskol!$C$1221)</f>
        <v/>
      </c>
      <c r="W1218">
        <f>IF([2]Baskol!$D$1221="","",[2]Baskol!$D$1221)</f>
        <v/>
      </c>
      <c r="X1218">
        <f>IF([2]Baskol!$E$1221="","",[2]Baskol!$E$1221)</f>
        <v/>
      </c>
      <c r="Y1218">
        <f>IF([2]Baskol!$G$1221="","",[2]Baskol!$G$1221)</f>
        <v/>
      </c>
      <c r="Z1218">
        <f>IF([2]Baskol!$I$1221="","",[2]Baskol!$I$1221)</f>
        <v/>
      </c>
      <c r="AA1218">
        <f>IF([2]Baskol!$J$1221="","",[2]Baskol!$J$1221)</f>
        <v/>
      </c>
      <c r="AB1218">
        <f>IF([2]Baskol!$K$1221="","",[2]Baskol!$K$1221)</f>
        <v/>
      </c>
      <c r="AC1218">
        <f>IF([2]Baskol!$L$1221="","",[2]Baskol!$L$1221)</f>
        <v/>
      </c>
      <c r="AD1218">
        <f>IF([2]Baskol!$N$1221="","",[2]Baskol!$N$1221)</f>
        <v/>
      </c>
      <c r="AE1218">
        <f>IF([2]Baskol!$O$1221="","",[2]Baskol!$O$1221)</f>
        <v/>
      </c>
      <c r="AG1218">
        <f>IF([3]Entry!$C$1221="","",[3]Entry!$C$1221)</f>
        <v/>
      </c>
      <c r="AH1218">
        <f>IF([3]Entry!$D$1221="","",[3]Entry!$D$1221)</f>
        <v/>
      </c>
      <c r="AI1218">
        <f>IF([3]Entry!$E$1221="","",[3]Entry!$E$1221)</f>
        <v/>
      </c>
      <c r="AJ1218">
        <f>IF([3]Entry!$G$1221="","",[3]Entry!$G$1221)</f>
        <v/>
      </c>
      <c r="AK1218">
        <f>IF([3]Entry!$K$1221="","",[3]Entry!$K$1221)</f>
        <v/>
      </c>
      <c r="AL1218">
        <f>IF([3]Entry!$L$1221="","",[3]Entry!$L$1221)</f>
        <v/>
      </c>
      <c r="AM1218">
        <f>IF([3]Entry!$M$1221="","",[3]Entry!$M$1221)</f>
        <v/>
      </c>
      <c r="AN1218">
        <f>IF([3]Entry!$N$1221="","",[3]Entry!$N$1221)</f>
        <v/>
      </c>
      <c r="AO1218">
        <f>IF([3]Entry!$R$1221="","",[3]Entry!$R$1221)</f>
        <v/>
      </c>
    </row>
    <row r="1219">
      <c r="U1219">
        <f>IF([2]Baskol!$B$1222="","",[2]Baskol!$B$1222)</f>
        <v/>
      </c>
      <c r="V1219">
        <f>IF([2]Baskol!$C$1222="","",[2]Baskol!$C$1222)</f>
        <v/>
      </c>
      <c r="W1219">
        <f>IF([2]Baskol!$D$1222="","",[2]Baskol!$D$1222)</f>
        <v/>
      </c>
      <c r="X1219">
        <f>IF([2]Baskol!$E$1222="","",[2]Baskol!$E$1222)</f>
        <v/>
      </c>
      <c r="Y1219">
        <f>IF([2]Baskol!$G$1222="","",[2]Baskol!$G$1222)</f>
        <v/>
      </c>
      <c r="Z1219">
        <f>IF([2]Baskol!$I$1222="","",[2]Baskol!$I$1222)</f>
        <v/>
      </c>
      <c r="AA1219">
        <f>IF([2]Baskol!$J$1222="","",[2]Baskol!$J$1222)</f>
        <v/>
      </c>
      <c r="AB1219">
        <f>IF([2]Baskol!$K$1222="","",[2]Baskol!$K$1222)</f>
        <v/>
      </c>
      <c r="AC1219">
        <f>IF([2]Baskol!$L$1222="","",[2]Baskol!$L$1222)</f>
        <v/>
      </c>
      <c r="AD1219">
        <f>IF([2]Baskol!$N$1222="","",[2]Baskol!$N$1222)</f>
        <v/>
      </c>
      <c r="AE1219">
        <f>IF([2]Baskol!$O$1222="","",[2]Baskol!$O$1222)</f>
        <v/>
      </c>
      <c r="AG1219">
        <f>IF([3]Entry!$C$1222="","",[3]Entry!$C$1222)</f>
        <v/>
      </c>
      <c r="AH1219">
        <f>IF([3]Entry!$D$1222="","",[3]Entry!$D$1222)</f>
        <v/>
      </c>
      <c r="AI1219">
        <f>IF([3]Entry!$E$1222="","",[3]Entry!$E$1222)</f>
        <v/>
      </c>
      <c r="AJ1219">
        <f>IF([3]Entry!$G$1222="","",[3]Entry!$G$1222)</f>
        <v/>
      </c>
      <c r="AK1219">
        <f>IF([3]Entry!$K$1222="","",[3]Entry!$K$1222)</f>
        <v/>
      </c>
      <c r="AL1219">
        <f>IF([3]Entry!$L$1222="","",[3]Entry!$L$1222)</f>
        <v/>
      </c>
      <c r="AM1219">
        <f>IF([3]Entry!$M$1222="","",[3]Entry!$M$1222)</f>
        <v/>
      </c>
      <c r="AN1219">
        <f>IF([3]Entry!$N$1222="","",[3]Entry!$N$1222)</f>
        <v/>
      </c>
      <c r="AO1219">
        <f>IF([3]Entry!$R$1222="","",[3]Entry!$R$1222)</f>
        <v/>
      </c>
    </row>
    <row r="1220">
      <c r="U1220">
        <f>IF([2]Baskol!$B$1223="","",[2]Baskol!$B$1223)</f>
        <v/>
      </c>
      <c r="V1220">
        <f>IF([2]Baskol!$C$1223="","",[2]Baskol!$C$1223)</f>
        <v/>
      </c>
      <c r="W1220">
        <f>IF([2]Baskol!$D$1223="","",[2]Baskol!$D$1223)</f>
        <v/>
      </c>
      <c r="X1220">
        <f>IF([2]Baskol!$E$1223="","",[2]Baskol!$E$1223)</f>
        <v/>
      </c>
      <c r="Y1220">
        <f>IF([2]Baskol!$G$1223="","",[2]Baskol!$G$1223)</f>
        <v/>
      </c>
      <c r="Z1220">
        <f>IF([2]Baskol!$I$1223="","",[2]Baskol!$I$1223)</f>
        <v/>
      </c>
      <c r="AA1220">
        <f>IF([2]Baskol!$J$1223="","",[2]Baskol!$J$1223)</f>
        <v/>
      </c>
      <c r="AB1220">
        <f>IF([2]Baskol!$K$1223="","",[2]Baskol!$K$1223)</f>
        <v/>
      </c>
      <c r="AC1220">
        <f>IF([2]Baskol!$L$1223="","",[2]Baskol!$L$1223)</f>
        <v/>
      </c>
      <c r="AD1220">
        <f>IF([2]Baskol!$N$1223="","",[2]Baskol!$N$1223)</f>
        <v/>
      </c>
      <c r="AE1220">
        <f>IF([2]Baskol!$O$1223="","",[2]Baskol!$O$1223)</f>
        <v/>
      </c>
      <c r="AG1220">
        <f>IF([3]Entry!$C$1223="","",[3]Entry!$C$1223)</f>
        <v/>
      </c>
      <c r="AH1220">
        <f>IF([3]Entry!$D$1223="","",[3]Entry!$D$1223)</f>
        <v/>
      </c>
      <c r="AI1220">
        <f>IF([3]Entry!$E$1223="","",[3]Entry!$E$1223)</f>
        <v/>
      </c>
      <c r="AJ1220">
        <f>IF([3]Entry!$G$1223="","",[3]Entry!$G$1223)</f>
        <v/>
      </c>
      <c r="AK1220">
        <f>IF([3]Entry!$K$1223="","",[3]Entry!$K$1223)</f>
        <v/>
      </c>
      <c r="AL1220">
        <f>IF([3]Entry!$L$1223="","",[3]Entry!$L$1223)</f>
        <v/>
      </c>
      <c r="AM1220">
        <f>IF([3]Entry!$M$1223="","",[3]Entry!$M$1223)</f>
        <v/>
      </c>
      <c r="AN1220">
        <f>IF([3]Entry!$N$1223="","",[3]Entry!$N$1223)</f>
        <v/>
      </c>
      <c r="AO1220">
        <f>IF([3]Entry!$R$1223="","",[3]Entry!$R$1223)</f>
        <v/>
      </c>
    </row>
    <row r="1221">
      <c r="U1221">
        <f>IF([2]Baskol!$B$1224="","",[2]Baskol!$B$1224)</f>
        <v/>
      </c>
      <c r="V1221">
        <f>IF([2]Baskol!$C$1224="","",[2]Baskol!$C$1224)</f>
        <v/>
      </c>
      <c r="W1221">
        <f>IF([2]Baskol!$D$1224="","",[2]Baskol!$D$1224)</f>
        <v/>
      </c>
      <c r="X1221">
        <f>IF([2]Baskol!$E$1224="","",[2]Baskol!$E$1224)</f>
        <v/>
      </c>
      <c r="Y1221">
        <f>IF([2]Baskol!$G$1224="","",[2]Baskol!$G$1224)</f>
        <v/>
      </c>
      <c r="Z1221">
        <f>IF([2]Baskol!$I$1224="","",[2]Baskol!$I$1224)</f>
        <v/>
      </c>
      <c r="AA1221">
        <f>IF([2]Baskol!$J$1224="","",[2]Baskol!$J$1224)</f>
        <v/>
      </c>
      <c r="AB1221">
        <f>IF([2]Baskol!$K$1224="","",[2]Baskol!$K$1224)</f>
        <v/>
      </c>
      <c r="AC1221">
        <f>IF([2]Baskol!$L$1224="","",[2]Baskol!$L$1224)</f>
        <v/>
      </c>
      <c r="AD1221">
        <f>IF([2]Baskol!$N$1224="","",[2]Baskol!$N$1224)</f>
        <v/>
      </c>
      <c r="AE1221">
        <f>IF([2]Baskol!$O$1224="","",[2]Baskol!$O$1224)</f>
        <v/>
      </c>
      <c r="AG1221">
        <f>IF([3]Entry!$C$1224="","",[3]Entry!$C$1224)</f>
        <v/>
      </c>
      <c r="AH1221">
        <f>IF([3]Entry!$D$1224="","",[3]Entry!$D$1224)</f>
        <v/>
      </c>
      <c r="AI1221">
        <f>IF([3]Entry!$E$1224="","",[3]Entry!$E$1224)</f>
        <v/>
      </c>
      <c r="AJ1221">
        <f>IF([3]Entry!$G$1224="","",[3]Entry!$G$1224)</f>
        <v/>
      </c>
      <c r="AK1221">
        <f>IF([3]Entry!$K$1224="","",[3]Entry!$K$1224)</f>
        <v/>
      </c>
      <c r="AL1221">
        <f>IF([3]Entry!$L$1224="","",[3]Entry!$L$1224)</f>
        <v/>
      </c>
      <c r="AM1221">
        <f>IF([3]Entry!$M$1224="","",[3]Entry!$M$1224)</f>
        <v/>
      </c>
      <c r="AN1221">
        <f>IF([3]Entry!$N$1224="","",[3]Entry!$N$1224)</f>
        <v/>
      </c>
      <c r="AO1221">
        <f>IF([3]Entry!$R$1224="","",[3]Entry!$R$1224)</f>
        <v/>
      </c>
    </row>
    <row r="1222">
      <c r="U1222">
        <f>IF([2]Baskol!$B$1225="","",[2]Baskol!$B$1225)</f>
        <v/>
      </c>
      <c r="V1222">
        <f>IF([2]Baskol!$C$1225="","",[2]Baskol!$C$1225)</f>
        <v/>
      </c>
      <c r="W1222">
        <f>IF([2]Baskol!$D$1225="","",[2]Baskol!$D$1225)</f>
        <v/>
      </c>
      <c r="X1222">
        <f>IF([2]Baskol!$E$1225="","",[2]Baskol!$E$1225)</f>
        <v/>
      </c>
      <c r="Y1222">
        <f>IF([2]Baskol!$G$1225="","",[2]Baskol!$G$1225)</f>
        <v/>
      </c>
      <c r="Z1222">
        <f>IF([2]Baskol!$I$1225="","",[2]Baskol!$I$1225)</f>
        <v/>
      </c>
      <c r="AA1222">
        <f>IF([2]Baskol!$J$1225="","",[2]Baskol!$J$1225)</f>
        <v/>
      </c>
      <c r="AB1222">
        <f>IF([2]Baskol!$K$1225="","",[2]Baskol!$K$1225)</f>
        <v/>
      </c>
      <c r="AC1222">
        <f>IF([2]Baskol!$L$1225="","",[2]Baskol!$L$1225)</f>
        <v/>
      </c>
      <c r="AD1222">
        <f>IF([2]Baskol!$N$1225="","",[2]Baskol!$N$1225)</f>
        <v/>
      </c>
      <c r="AE1222">
        <f>IF([2]Baskol!$O$1225="","",[2]Baskol!$O$1225)</f>
        <v/>
      </c>
      <c r="AG1222">
        <f>IF([3]Entry!$C$1225="","",[3]Entry!$C$1225)</f>
        <v/>
      </c>
      <c r="AH1222">
        <f>IF([3]Entry!$D$1225="","",[3]Entry!$D$1225)</f>
        <v/>
      </c>
      <c r="AI1222">
        <f>IF([3]Entry!$E$1225="","",[3]Entry!$E$1225)</f>
        <v/>
      </c>
      <c r="AJ1222">
        <f>IF([3]Entry!$G$1225="","",[3]Entry!$G$1225)</f>
        <v/>
      </c>
      <c r="AK1222">
        <f>IF([3]Entry!$K$1225="","",[3]Entry!$K$1225)</f>
        <v/>
      </c>
      <c r="AL1222">
        <f>IF([3]Entry!$L$1225="","",[3]Entry!$L$1225)</f>
        <v/>
      </c>
      <c r="AM1222">
        <f>IF([3]Entry!$M$1225="","",[3]Entry!$M$1225)</f>
        <v/>
      </c>
      <c r="AN1222">
        <f>IF([3]Entry!$N$1225="","",[3]Entry!$N$1225)</f>
        <v/>
      </c>
      <c r="AO1222">
        <f>IF([3]Entry!$R$1225="","",[3]Entry!$R$1225)</f>
        <v/>
      </c>
    </row>
    <row r="1223">
      <c r="U1223">
        <f>IF([2]Baskol!$B$1226="","",[2]Baskol!$B$1226)</f>
        <v/>
      </c>
      <c r="V1223">
        <f>IF([2]Baskol!$C$1226="","",[2]Baskol!$C$1226)</f>
        <v/>
      </c>
      <c r="W1223">
        <f>IF([2]Baskol!$D$1226="","",[2]Baskol!$D$1226)</f>
        <v/>
      </c>
      <c r="X1223">
        <f>IF([2]Baskol!$E$1226="","",[2]Baskol!$E$1226)</f>
        <v/>
      </c>
      <c r="Y1223">
        <f>IF([2]Baskol!$G$1226="","",[2]Baskol!$G$1226)</f>
        <v/>
      </c>
      <c r="Z1223">
        <f>IF([2]Baskol!$I$1226="","",[2]Baskol!$I$1226)</f>
        <v/>
      </c>
      <c r="AA1223">
        <f>IF([2]Baskol!$J$1226="","",[2]Baskol!$J$1226)</f>
        <v/>
      </c>
      <c r="AB1223">
        <f>IF([2]Baskol!$K$1226="","",[2]Baskol!$K$1226)</f>
        <v/>
      </c>
      <c r="AC1223">
        <f>IF([2]Baskol!$L$1226="","",[2]Baskol!$L$1226)</f>
        <v/>
      </c>
      <c r="AD1223">
        <f>IF([2]Baskol!$N$1226="","",[2]Baskol!$N$1226)</f>
        <v/>
      </c>
      <c r="AE1223">
        <f>IF([2]Baskol!$O$1226="","",[2]Baskol!$O$1226)</f>
        <v/>
      </c>
      <c r="AG1223">
        <f>IF([3]Entry!$C$1226="","",[3]Entry!$C$1226)</f>
        <v/>
      </c>
      <c r="AH1223">
        <f>IF([3]Entry!$D$1226="","",[3]Entry!$D$1226)</f>
        <v/>
      </c>
      <c r="AI1223">
        <f>IF([3]Entry!$E$1226="","",[3]Entry!$E$1226)</f>
        <v/>
      </c>
      <c r="AJ1223">
        <f>IF([3]Entry!$G$1226="","",[3]Entry!$G$1226)</f>
        <v/>
      </c>
      <c r="AK1223">
        <f>IF([3]Entry!$K$1226="","",[3]Entry!$K$1226)</f>
        <v/>
      </c>
      <c r="AL1223">
        <f>IF([3]Entry!$L$1226="","",[3]Entry!$L$1226)</f>
        <v/>
      </c>
      <c r="AM1223">
        <f>IF([3]Entry!$M$1226="","",[3]Entry!$M$1226)</f>
        <v/>
      </c>
      <c r="AN1223">
        <f>IF([3]Entry!$N$1226="","",[3]Entry!$N$1226)</f>
        <v/>
      </c>
      <c r="AO1223">
        <f>IF([3]Entry!$R$1226="","",[3]Entry!$R$1226)</f>
        <v/>
      </c>
    </row>
    <row r="1224">
      <c r="U1224">
        <f>IF([2]Baskol!$B$1227="","",[2]Baskol!$B$1227)</f>
        <v/>
      </c>
      <c r="V1224">
        <f>IF([2]Baskol!$C$1227="","",[2]Baskol!$C$1227)</f>
        <v/>
      </c>
      <c r="W1224">
        <f>IF([2]Baskol!$D$1227="","",[2]Baskol!$D$1227)</f>
        <v/>
      </c>
      <c r="X1224">
        <f>IF([2]Baskol!$E$1227="","",[2]Baskol!$E$1227)</f>
        <v/>
      </c>
      <c r="Y1224">
        <f>IF([2]Baskol!$G$1227="","",[2]Baskol!$G$1227)</f>
        <v/>
      </c>
      <c r="Z1224">
        <f>IF([2]Baskol!$I$1227="","",[2]Baskol!$I$1227)</f>
        <v/>
      </c>
      <c r="AA1224">
        <f>IF([2]Baskol!$J$1227="","",[2]Baskol!$J$1227)</f>
        <v/>
      </c>
      <c r="AB1224">
        <f>IF([2]Baskol!$K$1227="","",[2]Baskol!$K$1227)</f>
        <v/>
      </c>
      <c r="AC1224">
        <f>IF([2]Baskol!$L$1227="","",[2]Baskol!$L$1227)</f>
        <v/>
      </c>
      <c r="AD1224">
        <f>IF([2]Baskol!$N$1227="","",[2]Baskol!$N$1227)</f>
        <v/>
      </c>
      <c r="AE1224">
        <f>IF([2]Baskol!$O$1227="","",[2]Baskol!$O$1227)</f>
        <v/>
      </c>
      <c r="AG1224">
        <f>IF([3]Entry!$C$1227="","",[3]Entry!$C$1227)</f>
        <v/>
      </c>
      <c r="AH1224">
        <f>IF([3]Entry!$D$1227="","",[3]Entry!$D$1227)</f>
        <v/>
      </c>
      <c r="AI1224">
        <f>IF([3]Entry!$E$1227="","",[3]Entry!$E$1227)</f>
        <v/>
      </c>
      <c r="AJ1224">
        <f>IF([3]Entry!$G$1227="","",[3]Entry!$G$1227)</f>
        <v/>
      </c>
      <c r="AK1224">
        <f>IF([3]Entry!$K$1227="","",[3]Entry!$K$1227)</f>
        <v/>
      </c>
      <c r="AL1224">
        <f>IF([3]Entry!$L$1227="","",[3]Entry!$L$1227)</f>
        <v/>
      </c>
      <c r="AM1224">
        <f>IF([3]Entry!$M$1227="","",[3]Entry!$M$1227)</f>
        <v/>
      </c>
      <c r="AN1224">
        <f>IF([3]Entry!$N$1227="","",[3]Entry!$N$1227)</f>
        <v/>
      </c>
      <c r="AO1224">
        <f>IF([3]Entry!$R$1227="","",[3]Entry!$R$1227)</f>
        <v/>
      </c>
    </row>
    <row r="1225">
      <c r="U1225">
        <f>IF([2]Baskol!$B$1228="","",[2]Baskol!$B$1228)</f>
        <v/>
      </c>
      <c r="V1225">
        <f>IF([2]Baskol!$C$1228="","",[2]Baskol!$C$1228)</f>
        <v/>
      </c>
      <c r="W1225">
        <f>IF([2]Baskol!$D$1228="","",[2]Baskol!$D$1228)</f>
        <v/>
      </c>
      <c r="X1225">
        <f>IF([2]Baskol!$E$1228="","",[2]Baskol!$E$1228)</f>
        <v/>
      </c>
      <c r="Y1225">
        <f>IF([2]Baskol!$G$1228="","",[2]Baskol!$G$1228)</f>
        <v/>
      </c>
      <c r="Z1225">
        <f>IF([2]Baskol!$I$1228="","",[2]Baskol!$I$1228)</f>
        <v/>
      </c>
      <c r="AA1225">
        <f>IF([2]Baskol!$J$1228="","",[2]Baskol!$J$1228)</f>
        <v/>
      </c>
      <c r="AB1225">
        <f>IF([2]Baskol!$K$1228="","",[2]Baskol!$K$1228)</f>
        <v/>
      </c>
      <c r="AC1225">
        <f>IF([2]Baskol!$L$1228="","",[2]Baskol!$L$1228)</f>
        <v/>
      </c>
      <c r="AD1225">
        <f>IF([2]Baskol!$N$1228="","",[2]Baskol!$N$1228)</f>
        <v/>
      </c>
      <c r="AE1225">
        <f>IF([2]Baskol!$O$1228="","",[2]Baskol!$O$1228)</f>
        <v/>
      </c>
      <c r="AG1225">
        <f>IF([3]Entry!$C$1228="","",[3]Entry!$C$1228)</f>
        <v/>
      </c>
      <c r="AH1225">
        <f>IF([3]Entry!$D$1228="","",[3]Entry!$D$1228)</f>
        <v/>
      </c>
      <c r="AI1225">
        <f>IF([3]Entry!$E$1228="","",[3]Entry!$E$1228)</f>
        <v/>
      </c>
      <c r="AJ1225">
        <f>IF([3]Entry!$G$1228="","",[3]Entry!$G$1228)</f>
        <v/>
      </c>
      <c r="AK1225">
        <f>IF([3]Entry!$K$1228="","",[3]Entry!$K$1228)</f>
        <v/>
      </c>
      <c r="AL1225">
        <f>IF([3]Entry!$L$1228="","",[3]Entry!$L$1228)</f>
        <v/>
      </c>
      <c r="AM1225">
        <f>IF([3]Entry!$M$1228="","",[3]Entry!$M$1228)</f>
        <v/>
      </c>
      <c r="AN1225">
        <f>IF([3]Entry!$N$1228="","",[3]Entry!$N$1228)</f>
        <v/>
      </c>
      <c r="AO1225">
        <f>IF([3]Entry!$R$1228="","",[3]Entry!$R$1228)</f>
        <v/>
      </c>
    </row>
    <row r="1226">
      <c r="U1226">
        <f>IF([2]Baskol!$B$1229="","",[2]Baskol!$B$1229)</f>
        <v/>
      </c>
      <c r="V1226">
        <f>IF([2]Baskol!$C$1229="","",[2]Baskol!$C$1229)</f>
        <v/>
      </c>
      <c r="W1226">
        <f>IF([2]Baskol!$D$1229="","",[2]Baskol!$D$1229)</f>
        <v/>
      </c>
      <c r="X1226">
        <f>IF([2]Baskol!$E$1229="","",[2]Baskol!$E$1229)</f>
        <v/>
      </c>
      <c r="Y1226">
        <f>IF([2]Baskol!$G$1229="","",[2]Baskol!$G$1229)</f>
        <v/>
      </c>
      <c r="Z1226">
        <f>IF([2]Baskol!$I$1229="","",[2]Baskol!$I$1229)</f>
        <v/>
      </c>
      <c r="AA1226">
        <f>IF([2]Baskol!$J$1229="","",[2]Baskol!$J$1229)</f>
        <v/>
      </c>
      <c r="AB1226">
        <f>IF([2]Baskol!$K$1229="","",[2]Baskol!$K$1229)</f>
        <v/>
      </c>
      <c r="AC1226">
        <f>IF([2]Baskol!$L$1229="","",[2]Baskol!$L$1229)</f>
        <v/>
      </c>
      <c r="AD1226">
        <f>IF([2]Baskol!$N$1229="","",[2]Baskol!$N$1229)</f>
        <v/>
      </c>
      <c r="AE1226">
        <f>IF([2]Baskol!$O$1229="","",[2]Baskol!$O$1229)</f>
        <v/>
      </c>
      <c r="AG1226">
        <f>IF([3]Entry!$C$1229="","",[3]Entry!$C$1229)</f>
        <v/>
      </c>
      <c r="AH1226">
        <f>IF([3]Entry!$D$1229="","",[3]Entry!$D$1229)</f>
        <v/>
      </c>
      <c r="AI1226">
        <f>IF([3]Entry!$E$1229="","",[3]Entry!$E$1229)</f>
        <v/>
      </c>
      <c r="AJ1226">
        <f>IF([3]Entry!$G$1229="","",[3]Entry!$G$1229)</f>
        <v/>
      </c>
      <c r="AK1226">
        <f>IF([3]Entry!$K$1229="","",[3]Entry!$K$1229)</f>
        <v/>
      </c>
      <c r="AL1226">
        <f>IF([3]Entry!$L$1229="","",[3]Entry!$L$1229)</f>
        <v/>
      </c>
      <c r="AM1226">
        <f>IF([3]Entry!$M$1229="","",[3]Entry!$M$1229)</f>
        <v/>
      </c>
      <c r="AN1226">
        <f>IF([3]Entry!$N$1229="","",[3]Entry!$N$1229)</f>
        <v/>
      </c>
      <c r="AO1226">
        <f>IF([3]Entry!$R$1229="","",[3]Entry!$R$1229)</f>
        <v/>
      </c>
    </row>
    <row r="1227">
      <c r="U1227">
        <f>IF([2]Baskol!$B$1230="","",[2]Baskol!$B$1230)</f>
        <v/>
      </c>
      <c r="V1227">
        <f>IF([2]Baskol!$C$1230="","",[2]Baskol!$C$1230)</f>
        <v/>
      </c>
      <c r="W1227">
        <f>IF([2]Baskol!$D$1230="","",[2]Baskol!$D$1230)</f>
        <v/>
      </c>
      <c r="X1227">
        <f>IF([2]Baskol!$E$1230="","",[2]Baskol!$E$1230)</f>
        <v/>
      </c>
      <c r="Y1227">
        <f>IF([2]Baskol!$G$1230="","",[2]Baskol!$G$1230)</f>
        <v/>
      </c>
      <c r="Z1227">
        <f>IF([2]Baskol!$I$1230="","",[2]Baskol!$I$1230)</f>
        <v/>
      </c>
      <c r="AA1227">
        <f>IF([2]Baskol!$J$1230="","",[2]Baskol!$J$1230)</f>
        <v/>
      </c>
      <c r="AB1227">
        <f>IF([2]Baskol!$K$1230="","",[2]Baskol!$K$1230)</f>
        <v/>
      </c>
      <c r="AC1227">
        <f>IF([2]Baskol!$L$1230="","",[2]Baskol!$L$1230)</f>
        <v/>
      </c>
      <c r="AD1227">
        <f>IF([2]Baskol!$N$1230="","",[2]Baskol!$N$1230)</f>
        <v/>
      </c>
      <c r="AE1227">
        <f>IF([2]Baskol!$O$1230="","",[2]Baskol!$O$1230)</f>
        <v/>
      </c>
      <c r="AG1227">
        <f>IF([3]Entry!$C$1230="","",[3]Entry!$C$1230)</f>
        <v/>
      </c>
      <c r="AH1227">
        <f>IF([3]Entry!$D$1230="","",[3]Entry!$D$1230)</f>
        <v/>
      </c>
      <c r="AI1227">
        <f>IF([3]Entry!$E$1230="","",[3]Entry!$E$1230)</f>
        <v/>
      </c>
      <c r="AJ1227">
        <f>IF([3]Entry!$G$1230="","",[3]Entry!$G$1230)</f>
        <v/>
      </c>
      <c r="AK1227">
        <f>IF([3]Entry!$K$1230="","",[3]Entry!$K$1230)</f>
        <v/>
      </c>
      <c r="AL1227">
        <f>IF([3]Entry!$L$1230="","",[3]Entry!$L$1230)</f>
        <v/>
      </c>
      <c r="AM1227">
        <f>IF([3]Entry!$M$1230="","",[3]Entry!$M$1230)</f>
        <v/>
      </c>
      <c r="AN1227">
        <f>IF([3]Entry!$N$1230="","",[3]Entry!$N$1230)</f>
        <v/>
      </c>
      <c r="AO1227">
        <f>IF([3]Entry!$R$1230="","",[3]Entry!$R$1230)</f>
        <v/>
      </c>
    </row>
    <row r="1228">
      <c r="U1228">
        <f>IF([2]Baskol!$B$1231="","",[2]Baskol!$B$1231)</f>
        <v/>
      </c>
      <c r="V1228">
        <f>IF([2]Baskol!$C$1231="","",[2]Baskol!$C$1231)</f>
        <v/>
      </c>
      <c r="W1228">
        <f>IF([2]Baskol!$D$1231="","",[2]Baskol!$D$1231)</f>
        <v/>
      </c>
      <c r="X1228">
        <f>IF([2]Baskol!$E$1231="","",[2]Baskol!$E$1231)</f>
        <v/>
      </c>
      <c r="Y1228">
        <f>IF([2]Baskol!$G$1231="","",[2]Baskol!$G$1231)</f>
        <v/>
      </c>
      <c r="Z1228">
        <f>IF([2]Baskol!$I$1231="","",[2]Baskol!$I$1231)</f>
        <v/>
      </c>
      <c r="AA1228">
        <f>IF([2]Baskol!$J$1231="","",[2]Baskol!$J$1231)</f>
        <v/>
      </c>
      <c r="AB1228">
        <f>IF([2]Baskol!$K$1231="","",[2]Baskol!$K$1231)</f>
        <v/>
      </c>
      <c r="AC1228">
        <f>IF([2]Baskol!$L$1231="","",[2]Baskol!$L$1231)</f>
        <v/>
      </c>
      <c r="AD1228">
        <f>IF([2]Baskol!$N$1231="","",[2]Baskol!$N$1231)</f>
        <v/>
      </c>
      <c r="AE1228">
        <f>IF([2]Baskol!$O$1231="","",[2]Baskol!$O$1231)</f>
        <v/>
      </c>
      <c r="AG1228">
        <f>IF([3]Entry!$C$1231="","",[3]Entry!$C$1231)</f>
        <v/>
      </c>
      <c r="AH1228">
        <f>IF([3]Entry!$D$1231="","",[3]Entry!$D$1231)</f>
        <v/>
      </c>
      <c r="AI1228">
        <f>IF([3]Entry!$E$1231="","",[3]Entry!$E$1231)</f>
        <v/>
      </c>
      <c r="AJ1228">
        <f>IF([3]Entry!$G$1231="","",[3]Entry!$G$1231)</f>
        <v/>
      </c>
      <c r="AK1228">
        <f>IF([3]Entry!$K$1231="","",[3]Entry!$K$1231)</f>
        <v/>
      </c>
      <c r="AL1228">
        <f>IF([3]Entry!$L$1231="","",[3]Entry!$L$1231)</f>
        <v/>
      </c>
      <c r="AM1228">
        <f>IF([3]Entry!$M$1231="","",[3]Entry!$M$1231)</f>
        <v/>
      </c>
      <c r="AN1228">
        <f>IF([3]Entry!$N$1231="","",[3]Entry!$N$1231)</f>
        <v/>
      </c>
      <c r="AO1228">
        <f>IF([3]Entry!$R$1231="","",[3]Entry!$R$1231)</f>
        <v/>
      </c>
    </row>
    <row r="1229">
      <c r="U1229">
        <f>IF([2]Baskol!$B$1232="","",[2]Baskol!$B$1232)</f>
        <v/>
      </c>
      <c r="V1229">
        <f>IF([2]Baskol!$C$1232="","",[2]Baskol!$C$1232)</f>
        <v/>
      </c>
      <c r="W1229">
        <f>IF([2]Baskol!$D$1232="","",[2]Baskol!$D$1232)</f>
        <v/>
      </c>
      <c r="X1229">
        <f>IF([2]Baskol!$E$1232="","",[2]Baskol!$E$1232)</f>
        <v/>
      </c>
      <c r="Y1229">
        <f>IF([2]Baskol!$G$1232="","",[2]Baskol!$G$1232)</f>
        <v/>
      </c>
      <c r="Z1229">
        <f>IF([2]Baskol!$I$1232="","",[2]Baskol!$I$1232)</f>
        <v/>
      </c>
      <c r="AA1229">
        <f>IF([2]Baskol!$J$1232="","",[2]Baskol!$J$1232)</f>
        <v/>
      </c>
      <c r="AB1229">
        <f>IF([2]Baskol!$K$1232="","",[2]Baskol!$K$1232)</f>
        <v/>
      </c>
      <c r="AC1229">
        <f>IF([2]Baskol!$L$1232="","",[2]Baskol!$L$1232)</f>
        <v/>
      </c>
      <c r="AD1229">
        <f>IF([2]Baskol!$N$1232="","",[2]Baskol!$N$1232)</f>
        <v/>
      </c>
      <c r="AE1229">
        <f>IF([2]Baskol!$O$1232="","",[2]Baskol!$O$1232)</f>
        <v/>
      </c>
      <c r="AG1229">
        <f>IF([3]Entry!$C$1232="","",[3]Entry!$C$1232)</f>
        <v/>
      </c>
      <c r="AH1229">
        <f>IF([3]Entry!$D$1232="","",[3]Entry!$D$1232)</f>
        <v/>
      </c>
      <c r="AI1229">
        <f>IF([3]Entry!$E$1232="","",[3]Entry!$E$1232)</f>
        <v/>
      </c>
      <c r="AJ1229">
        <f>IF([3]Entry!$G$1232="","",[3]Entry!$G$1232)</f>
        <v/>
      </c>
      <c r="AK1229">
        <f>IF([3]Entry!$K$1232="","",[3]Entry!$K$1232)</f>
        <v/>
      </c>
      <c r="AL1229">
        <f>IF([3]Entry!$L$1232="","",[3]Entry!$L$1232)</f>
        <v/>
      </c>
      <c r="AM1229">
        <f>IF([3]Entry!$M$1232="","",[3]Entry!$M$1232)</f>
        <v/>
      </c>
      <c r="AN1229">
        <f>IF([3]Entry!$N$1232="","",[3]Entry!$N$1232)</f>
        <v/>
      </c>
      <c r="AO1229">
        <f>IF([3]Entry!$R$1232="","",[3]Entry!$R$1232)</f>
        <v/>
      </c>
    </row>
    <row r="1230">
      <c r="U1230">
        <f>IF([2]Baskol!$B$1233="","",[2]Baskol!$B$1233)</f>
        <v/>
      </c>
      <c r="V1230">
        <f>IF([2]Baskol!$C$1233="","",[2]Baskol!$C$1233)</f>
        <v/>
      </c>
      <c r="W1230">
        <f>IF([2]Baskol!$D$1233="","",[2]Baskol!$D$1233)</f>
        <v/>
      </c>
      <c r="X1230">
        <f>IF([2]Baskol!$E$1233="","",[2]Baskol!$E$1233)</f>
        <v/>
      </c>
      <c r="Y1230">
        <f>IF([2]Baskol!$G$1233="","",[2]Baskol!$G$1233)</f>
        <v/>
      </c>
      <c r="Z1230">
        <f>IF([2]Baskol!$I$1233="","",[2]Baskol!$I$1233)</f>
        <v/>
      </c>
      <c r="AA1230">
        <f>IF([2]Baskol!$J$1233="","",[2]Baskol!$J$1233)</f>
        <v/>
      </c>
      <c r="AB1230">
        <f>IF([2]Baskol!$K$1233="","",[2]Baskol!$K$1233)</f>
        <v/>
      </c>
      <c r="AC1230">
        <f>IF([2]Baskol!$L$1233="","",[2]Baskol!$L$1233)</f>
        <v/>
      </c>
      <c r="AD1230">
        <f>IF([2]Baskol!$N$1233="","",[2]Baskol!$N$1233)</f>
        <v/>
      </c>
      <c r="AE1230">
        <f>IF([2]Baskol!$O$1233="","",[2]Baskol!$O$1233)</f>
        <v/>
      </c>
      <c r="AG1230">
        <f>IF([3]Entry!$C$1233="","",[3]Entry!$C$1233)</f>
        <v/>
      </c>
      <c r="AH1230">
        <f>IF([3]Entry!$D$1233="","",[3]Entry!$D$1233)</f>
        <v/>
      </c>
      <c r="AI1230">
        <f>IF([3]Entry!$E$1233="","",[3]Entry!$E$1233)</f>
        <v/>
      </c>
      <c r="AJ1230">
        <f>IF([3]Entry!$G$1233="","",[3]Entry!$G$1233)</f>
        <v/>
      </c>
      <c r="AK1230">
        <f>IF([3]Entry!$K$1233="","",[3]Entry!$K$1233)</f>
        <v/>
      </c>
      <c r="AL1230">
        <f>IF([3]Entry!$L$1233="","",[3]Entry!$L$1233)</f>
        <v/>
      </c>
      <c r="AM1230">
        <f>IF([3]Entry!$M$1233="","",[3]Entry!$M$1233)</f>
        <v/>
      </c>
      <c r="AN1230">
        <f>IF([3]Entry!$N$1233="","",[3]Entry!$N$1233)</f>
        <v/>
      </c>
      <c r="AO1230">
        <f>IF([3]Entry!$R$1233="","",[3]Entry!$R$1233)</f>
        <v/>
      </c>
    </row>
    <row r="1231">
      <c r="U1231">
        <f>IF([2]Baskol!$B$1234="","",[2]Baskol!$B$1234)</f>
        <v/>
      </c>
      <c r="V1231">
        <f>IF([2]Baskol!$C$1234="","",[2]Baskol!$C$1234)</f>
        <v/>
      </c>
      <c r="W1231">
        <f>IF([2]Baskol!$D$1234="","",[2]Baskol!$D$1234)</f>
        <v/>
      </c>
      <c r="X1231">
        <f>IF([2]Baskol!$E$1234="","",[2]Baskol!$E$1234)</f>
        <v/>
      </c>
      <c r="Y1231">
        <f>IF([2]Baskol!$G$1234="","",[2]Baskol!$G$1234)</f>
        <v/>
      </c>
      <c r="Z1231">
        <f>IF([2]Baskol!$I$1234="","",[2]Baskol!$I$1234)</f>
        <v/>
      </c>
      <c r="AA1231">
        <f>IF([2]Baskol!$J$1234="","",[2]Baskol!$J$1234)</f>
        <v/>
      </c>
      <c r="AB1231">
        <f>IF([2]Baskol!$K$1234="","",[2]Baskol!$K$1234)</f>
        <v/>
      </c>
      <c r="AC1231">
        <f>IF([2]Baskol!$L$1234="","",[2]Baskol!$L$1234)</f>
        <v/>
      </c>
      <c r="AD1231">
        <f>IF([2]Baskol!$N$1234="","",[2]Baskol!$N$1234)</f>
        <v/>
      </c>
      <c r="AE1231">
        <f>IF([2]Baskol!$O$1234="","",[2]Baskol!$O$1234)</f>
        <v/>
      </c>
      <c r="AG1231">
        <f>IF([3]Entry!$C$1234="","",[3]Entry!$C$1234)</f>
        <v/>
      </c>
      <c r="AH1231">
        <f>IF([3]Entry!$D$1234="","",[3]Entry!$D$1234)</f>
        <v/>
      </c>
      <c r="AI1231">
        <f>IF([3]Entry!$E$1234="","",[3]Entry!$E$1234)</f>
        <v/>
      </c>
      <c r="AJ1231">
        <f>IF([3]Entry!$G$1234="","",[3]Entry!$G$1234)</f>
        <v/>
      </c>
      <c r="AK1231">
        <f>IF([3]Entry!$K$1234="","",[3]Entry!$K$1234)</f>
        <v/>
      </c>
      <c r="AL1231">
        <f>IF([3]Entry!$L$1234="","",[3]Entry!$L$1234)</f>
        <v/>
      </c>
      <c r="AM1231">
        <f>IF([3]Entry!$M$1234="","",[3]Entry!$M$1234)</f>
        <v/>
      </c>
      <c r="AN1231">
        <f>IF([3]Entry!$N$1234="","",[3]Entry!$N$1234)</f>
        <v/>
      </c>
      <c r="AO1231">
        <f>IF([3]Entry!$R$1234="","",[3]Entry!$R$1234)</f>
        <v/>
      </c>
    </row>
    <row r="1232">
      <c r="U1232">
        <f>IF([2]Baskol!$B$1235="","",[2]Baskol!$B$1235)</f>
        <v/>
      </c>
      <c r="V1232">
        <f>IF([2]Baskol!$C$1235="","",[2]Baskol!$C$1235)</f>
        <v/>
      </c>
      <c r="W1232">
        <f>IF([2]Baskol!$D$1235="","",[2]Baskol!$D$1235)</f>
        <v/>
      </c>
      <c r="X1232">
        <f>IF([2]Baskol!$E$1235="","",[2]Baskol!$E$1235)</f>
        <v/>
      </c>
      <c r="Y1232">
        <f>IF([2]Baskol!$G$1235="","",[2]Baskol!$G$1235)</f>
        <v/>
      </c>
      <c r="Z1232">
        <f>IF([2]Baskol!$I$1235="","",[2]Baskol!$I$1235)</f>
        <v/>
      </c>
      <c r="AA1232">
        <f>IF([2]Baskol!$J$1235="","",[2]Baskol!$J$1235)</f>
        <v/>
      </c>
      <c r="AB1232">
        <f>IF([2]Baskol!$K$1235="","",[2]Baskol!$K$1235)</f>
        <v/>
      </c>
      <c r="AC1232">
        <f>IF([2]Baskol!$L$1235="","",[2]Baskol!$L$1235)</f>
        <v/>
      </c>
      <c r="AD1232">
        <f>IF([2]Baskol!$N$1235="","",[2]Baskol!$N$1235)</f>
        <v/>
      </c>
      <c r="AE1232">
        <f>IF([2]Baskol!$O$1235="","",[2]Baskol!$O$1235)</f>
        <v/>
      </c>
      <c r="AG1232">
        <f>IF([3]Entry!$C$1235="","",[3]Entry!$C$1235)</f>
        <v/>
      </c>
      <c r="AH1232">
        <f>IF([3]Entry!$D$1235="","",[3]Entry!$D$1235)</f>
        <v/>
      </c>
      <c r="AI1232">
        <f>IF([3]Entry!$E$1235="","",[3]Entry!$E$1235)</f>
        <v/>
      </c>
      <c r="AJ1232">
        <f>IF([3]Entry!$G$1235="","",[3]Entry!$G$1235)</f>
        <v/>
      </c>
      <c r="AK1232">
        <f>IF([3]Entry!$K$1235="","",[3]Entry!$K$1235)</f>
        <v/>
      </c>
      <c r="AL1232">
        <f>IF([3]Entry!$L$1235="","",[3]Entry!$L$1235)</f>
        <v/>
      </c>
      <c r="AM1232">
        <f>IF([3]Entry!$M$1235="","",[3]Entry!$M$1235)</f>
        <v/>
      </c>
      <c r="AN1232">
        <f>IF([3]Entry!$N$1235="","",[3]Entry!$N$1235)</f>
        <v/>
      </c>
      <c r="AO1232">
        <f>IF([3]Entry!$R$1235="","",[3]Entry!$R$1235)</f>
        <v/>
      </c>
    </row>
    <row r="1233">
      <c r="U1233">
        <f>IF([2]Baskol!$B$1236="","",[2]Baskol!$B$1236)</f>
        <v/>
      </c>
      <c r="V1233">
        <f>IF([2]Baskol!$C$1236="","",[2]Baskol!$C$1236)</f>
        <v/>
      </c>
      <c r="W1233">
        <f>IF([2]Baskol!$D$1236="","",[2]Baskol!$D$1236)</f>
        <v/>
      </c>
      <c r="X1233">
        <f>IF([2]Baskol!$E$1236="","",[2]Baskol!$E$1236)</f>
        <v/>
      </c>
      <c r="Y1233">
        <f>IF([2]Baskol!$G$1236="","",[2]Baskol!$G$1236)</f>
        <v/>
      </c>
      <c r="Z1233">
        <f>IF([2]Baskol!$I$1236="","",[2]Baskol!$I$1236)</f>
        <v/>
      </c>
      <c r="AA1233">
        <f>IF([2]Baskol!$J$1236="","",[2]Baskol!$J$1236)</f>
        <v/>
      </c>
      <c r="AB1233">
        <f>IF([2]Baskol!$K$1236="","",[2]Baskol!$K$1236)</f>
        <v/>
      </c>
      <c r="AC1233">
        <f>IF([2]Baskol!$L$1236="","",[2]Baskol!$L$1236)</f>
        <v/>
      </c>
      <c r="AD1233">
        <f>IF([2]Baskol!$N$1236="","",[2]Baskol!$N$1236)</f>
        <v/>
      </c>
      <c r="AE1233">
        <f>IF([2]Baskol!$O$1236="","",[2]Baskol!$O$1236)</f>
        <v/>
      </c>
      <c r="AG1233">
        <f>IF([3]Entry!$C$1236="","",[3]Entry!$C$1236)</f>
        <v/>
      </c>
      <c r="AH1233">
        <f>IF([3]Entry!$D$1236="","",[3]Entry!$D$1236)</f>
        <v/>
      </c>
      <c r="AI1233">
        <f>IF([3]Entry!$E$1236="","",[3]Entry!$E$1236)</f>
        <v/>
      </c>
      <c r="AJ1233">
        <f>IF([3]Entry!$G$1236="","",[3]Entry!$G$1236)</f>
        <v/>
      </c>
      <c r="AK1233">
        <f>IF([3]Entry!$K$1236="","",[3]Entry!$K$1236)</f>
        <v/>
      </c>
      <c r="AL1233">
        <f>IF([3]Entry!$L$1236="","",[3]Entry!$L$1236)</f>
        <v/>
      </c>
      <c r="AM1233">
        <f>IF([3]Entry!$M$1236="","",[3]Entry!$M$1236)</f>
        <v/>
      </c>
      <c r="AN1233">
        <f>IF([3]Entry!$N$1236="","",[3]Entry!$N$1236)</f>
        <v/>
      </c>
      <c r="AO1233">
        <f>IF([3]Entry!$R$1236="","",[3]Entry!$R$1236)</f>
        <v/>
      </c>
    </row>
    <row r="1234">
      <c r="U1234">
        <f>IF([2]Baskol!$B$1237="","",[2]Baskol!$B$1237)</f>
        <v/>
      </c>
      <c r="V1234">
        <f>IF([2]Baskol!$C$1237="","",[2]Baskol!$C$1237)</f>
        <v/>
      </c>
      <c r="W1234">
        <f>IF([2]Baskol!$D$1237="","",[2]Baskol!$D$1237)</f>
        <v/>
      </c>
      <c r="X1234">
        <f>IF([2]Baskol!$E$1237="","",[2]Baskol!$E$1237)</f>
        <v/>
      </c>
      <c r="Y1234">
        <f>IF([2]Baskol!$G$1237="","",[2]Baskol!$G$1237)</f>
        <v/>
      </c>
      <c r="Z1234">
        <f>IF([2]Baskol!$I$1237="","",[2]Baskol!$I$1237)</f>
        <v/>
      </c>
      <c r="AA1234">
        <f>IF([2]Baskol!$J$1237="","",[2]Baskol!$J$1237)</f>
        <v/>
      </c>
      <c r="AB1234">
        <f>IF([2]Baskol!$K$1237="","",[2]Baskol!$K$1237)</f>
        <v/>
      </c>
      <c r="AC1234">
        <f>IF([2]Baskol!$L$1237="","",[2]Baskol!$L$1237)</f>
        <v/>
      </c>
      <c r="AD1234">
        <f>IF([2]Baskol!$N$1237="","",[2]Baskol!$N$1237)</f>
        <v/>
      </c>
      <c r="AE1234">
        <f>IF([2]Baskol!$O$1237="","",[2]Baskol!$O$1237)</f>
        <v/>
      </c>
      <c r="AG1234">
        <f>IF([3]Entry!$C$1237="","",[3]Entry!$C$1237)</f>
        <v/>
      </c>
      <c r="AH1234">
        <f>IF([3]Entry!$D$1237="","",[3]Entry!$D$1237)</f>
        <v/>
      </c>
      <c r="AI1234">
        <f>IF([3]Entry!$E$1237="","",[3]Entry!$E$1237)</f>
        <v/>
      </c>
      <c r="AJ1234">
        <f>IF([3]Entry!$G$1237="","",[3]Entry!$G$1237)</f>
        <v/>
      </c>
      <c r="AK1234">
        <f>IF([3]Entry!$K$1237="","",[3]Entry!$K$1237)</f>
        <v/>
      </c>
      <c r="AL1234">
        <f>IF([3]Entry!$L$1237="","",[3]Entry!$L$1237)</f>
        <v/>
      </c>
      <c r="AM1234">
        <f>IF([3]Entry!$M$1237="","",[3]Entry!$M$1237)</f>
        <v/>
      </c>
      <c r="AN1234">
        <f>IF([3]Entry!$N$1237="","",[3]Entry!$N$1237)</f>
        <v/>
      </c>
      <c r="AO1234">
        <f>IF([3]Entry!$R$1237="","",[3]Entry!$R$1237)</f>
        <v/>
      </c>
    </row>
    <row r="1235">
      <c r="U1235">
        <f>IF([2]Baskol!$B$1238="","",[2]Baskol!$B$1238)</f>
        <v/>
      </c>
      <c r="V1235">
        <f>IF([2]Baskol!$C$1238="","",[2]Baskol!$C$1238)</f>
        <v/>
      </c>
      <c r="W1235">
        <f>IF([2]Baskol!$D$1238="","",[2]Baskol!$D$1238)</f>
        <v/>
      </c>
      <c r="X1235">
        <f>IF([2]Baskol!$E$1238="","",[2]Baskol!$E$1238)</f>
        <v/>
      </c>
      <c r="Y1235">
        <f>IF([2]Baskol!$G$1238="","",[2]Baskol!$G$1238)</f>
        <v/>
      </c>
      <c r="Z1235">
        <f>IF([2]Baskol!$I$1238="","",[2]Baskol!$I$1238)</f>
        <v/>
      </c>
      <c r="AA1235">
        <f>IF([2]Baskol!$J$1238="","",[2]Baskol!$J$1238)</f>
        <v/>
      </c>
      <c r="AB1235">
        <f>IF([2]Baskol!$K$1238="","",[2]Baskol!$K$1238)</f>
        <v/>
      </c>
      <c r="AC1235">
        <f>IF([2]Baskol!$L$1238="","",[2]Baskol!$L$1238)</f>
        <v/>
      </c>
      <c r="AD1235">
        <f>IF([2]Baskol!$N$1238="","",[2]Baskol!$N$1238)</f>
        <v/>
      </c>
      <c r="AE1235">
        <f>IF([2]Baskol!$O$1238="","",[2]Baskol!$O$1238)</f>
        <v/>
      </c>
      <c r="AG1235">
        <f>IF([3]Entry!$C$1238="","",[3]Entry!$C$1238)</f>
        <v/>
      </c>
      <c r="AH1235">
        <f>IF([3]Entry!$D$1238="","",[3]Entry!$D$1238)</f>
        <v/>
      </c>
      <c r="AI1235">
        <f>IF([3]Entry!$E$1238="","",[3]Entry!$E$1238)</f>
        <v/>
      </c>
      <c r="AJ1235">
        <f>IF([3]Entry!$G$1238="","",[3]Entry!$G$1238)</f>
        <v/>
      </c>
      <c r="AK1235">
        <f>IF([3]Entry!$K$1238="","",[3]Entry!$K$1238)</f>
        <v/>
      </c>
      <c r="AL1235">
        <f>IF([3]Entry!$L$1238="","",[3]Entry!$L$1238)</f>
        <v/>
      </c>
      <c r="AM1235">
        <f>IF([3]Entry!$M$1238="","",[3]Entry!$M$1238)</f>
        <v/>
      </c>
      <c r="AN1235">
        <f>IF([3]Entry!$N$1238="","",[3]Entry!$N$1238)</f>
        <v/>
      </c>
      <c r="AO1235">
        <f>IF([3]Entry!$R$1238="","",[3]Entry!$R$1238)</f>
        <v/>
      </c>
    </row>
    <row r="1236">
      <c r="U1236">
        <f>IF([2]Baskol!$B$1239="","",[2]Baskol!$B$1239)</f>
        <v/>
      </c>
      <c r="V1236">
        <f>IF([2]Baskol!$C$1239="","",[2]Baskol!$C$1239)</f>
        <v/>
      </c>
      <c r="W1236">
        <f>IF([2]Baskol!$D$1239="","",[2]Baskol!$D$1239)</f>
        <v/>
      </c>
      <c r="X1236">
        <f>IF([2]Baskol!$E$1239="","",[2]Baskol!$E$1239)</f>
        <v/>
      </c>
      <c r="Y1236">
        <f>IF([2]Baskol!$G$1239="","",[2]Baskol!$G$1239)</f>
        <v/>
      </c>
      <c r="Z1236">
        <f>IF([2]Baskol!$I$1239="","",[2]Baskol!$I$1239)</f>
        <v/>
      </c>
      <c r="AA1236">
        <f>IF([2]Baskol!$J$1239="","",[2]Baskol!$J$1239)</f>
        <v/>
      </c>
      <c r="AB1236">
        <f>IF([2]Baskol!$K$1239="","",[2]Baskol!$K$1239)</f>
        <v/>
      </c>
      <c r="AC1236">
        <f>IF([2]Baskol!$L$1239="","",[2]Baskol!$L$1239)</f>
        <v/>
      </c>
      <c r="AD1236">
        <f>IF([2]Baskol!$N$1239="","",[2]Baskol!$N$1239)</f>
        <v/>
      </c>
      <c r="AE1236">
        <f>IF([2]Baskol!$O$1239="","",[2]Baskol!$O$1239)</f>
        <v/>
      </c>
      <c r="AG1236">
        <f>IF([3]Entry!$C$1239="","",[3]Entry!$C$1239)</f>
        <v/>
      </c>
      <c r="AH1236">
        <f>IF([3]Entry!$D$1239="","",[3]Entry!$D$1239)</f>
        <v/>
      </c>
      <c r="AI1236">
        <f>IF([3]Entry!$E$1239="","",[3]Entry!$E$1239)</f>
        <v/>
      </c>
      <c r="AJ1236">
        <f>IF([3]Entry!$G$1239="","",[3]Entry!$G$1239)</f>
        <v/>
      </c>
      <c r="AK1236">
        <f>IF([3]Entry!$K$1239="","",[3]Entry!$K$1239)</f>
        <v/>
      </c>
      <c r="AL1236">
        <f>IF([3]Entry!$L$1239="","",[3]Entry!$L$1239)</f>
        <v/>
      </c>
      <c r="AM1236">
        <f>IF([3]Entry!$M$1239="","",[3]Entry!$M$1239)</f>
        <v/>
      </c>
      <c r="AN1236">
        <f>IF([3]Entry!$N$1239="","",[3]Entry!$N$1239)</f>
        <v/>
      </c>
      <c r="AO1236">
        <f>IF([3]Entry!$R$1239="","",[3]Entry!$R$1239)</f>
        <v/>
      </c>
    </row>
    <row r="1237">
      <c r="U1237">
        <f>IF([2]Baskol!$B$1240="","",[2]Baskol!$B$1240)</f>
        <v/>
      </c>
      <c r="V1237">
        <f>IF([2]Baskol!$C$1240="","",[2]Baskol!$C$1240)</f>
        <v/>
      </c>
      <c r="W1237">
        <f>IF([2]Baskol!$D$1240="","",[2]Baskol!$D$1240)</f>
        <v/>
      </c>
      <c r="X1237">
        <f>IF([2]Baskol!$E$1240="","",[2]Baskol!$E$1240)</f>
        <v/>
      </c>
      <c r="Y1237">
        <f>IF([2]Baskol!$G$1240="","",[2]Baskol!$G$1240)</f>
        <v/>
      </c>
      <c r="Z1237">
        <f>IF([2]Baskol!$I$1240="","",[2]Baskol!$I$1240)</f>
        <v/>
      </c>
      <c r="AA1237">
        <f>IF([2]Baskol!$J$1240="","",[2]Baskol!$J$1240)</f>
        <v/>
      </c>
      <c r="AB1237">
        <f>IF([2]Baskol!$K$1240="","",[2]Baskol!$K$1240)</f>
        <v/>
      </c>
      <c r="AC1237">
        <f>IF([2]Baskol!$L$1240="","",[2]Baskol!$L$1240)</f>
        <v/>
      </c>
      <c r="AD1237">
        <f>IF([2]Baskol!$N$1240="","",[2]Baskol!$N$1240)</f>
        <v/>
      </c>
      <c r="AE1237">
        <f>IF([2]Baskol!$O$1240="","",[2]Baskol!$O$1240)</f>
        <v/>
      </c>
      <c r="AG1237">
        <f>IF([3]Entry!$C$1240="","",[3]Entry!$C$1240)</f>
        <v/>
      </c>
      <c r="AH1237">
        <f>IF([3]Entry!$D$1240="","",[3]Entry!$D$1240)</f>
        <v/>
      </c>
      <c r="AI1237">
        <f>IF([3]Entry!$E$1240="","",[3]Entry!$E$1240)</f>
        <v/>
      </c>
      <c r="AJ1237">
        <f>IF([3]Entry!$G$1240="","",[3]Entry!$G$1240)</f>
        <v/>
      </c>
      <c r="AK1237">
        <f>IF([3]Entry!$K$1240="","",[3]Entry!$K$1240)</f>
        <v/>
      </c>
      <c r="AL1237">
        <f>IF([3]Entry!$L$1240="","",[3]Entry!$L$1240)</f>
        <v/>
      </c>
      <c r="AM1237">
        <f>IF([3]Entry!$M$1240="","",[3]Entry!$M$1240)</f>
        <v/>
      </c>
      <c r="AN1237">
        <f>IF([3]Entry!$N$1240="","",[3]Entry!$N$1240)</f>
        <v/>
      </c>
      <c r="AO1237">
        <f>IF([3]Entry!$R$1240="","",[3]Entry!$R$1240)</f>
        <v/>
      </c>
    </row>
    <row r="1238">
      <c r="U1238">
        <f>IF([2]Baskol!$B$1241="","",[2]Baskol!$B$1241)</f>
        <v/>
      </c>
      <c r="V1238">
        <f>IF([2]Baskol!$C$1241="","",[2]Baskol!$C$1241)</f>
        <v/>
      </c>
      <c r="W1238">
        <f>IF([2]Baskol!$D$1241="","",[2]Baskol!$D$1241)</f>
        <v/>
      </c>
      <c r="X1238">
        <f>IF([2]Baskol!$E$1241="","",[2]Baskol!$E$1241)</f>
        <v/>
      </c>
      <c r="Y1238">
        <f>IF([2]Baskol!$G$1241="","",[2]Baskol!$G$1241)</f>
        <v/>
      </c>
      <c r="Z1238">
        <f>IF([2]Baskol!$I$1241="","",[2]Baskol!$I$1241)</f>
        <v/>
      </c>
      <c r="AA1238">
        <f>IF([2]Baskol!$J$1241="","",[2]Baskol!$J$1241)</f>
        <v/>
      </c>
      <c r="AB1238">
        <f>IF([2]Baskol!$K$1241="","",[2]Baskol!$K$1241)</f>
        <v/>
      </c>
      <c r="AC1238">
        <f>IF([2]Baskol!$L$1241="","",[2]Baskol!$L$1241)</f>
        <v/>
      </c>
      <c r="AD1238">
        <f>IF([2]Baskol!$N$1241="","",[2]Baskol!$N$1241)</f>
        <v/>
      </c>
      <c r="AE1238">
        <f>IF([2]Baskol!$O$1241="","",[2]Baskol!$O$1241)</f>
        <v/>
      </c>
      <c r="AG1238">
        <f>IF([3]Entry!$C$1241="","",[3]Entry!$C$1241)</f>
        <v/>
      </c>
      <c r="AH1238">
        <f>IF([3]Entry!$D$1241="","",[3]Entry!$D$1241)</f>
        <v/>
      </c>
      <c r="AI1238">
        <f>IF([3]Entry!$E$1241="","",[3]Entry!$E$1241)</f>
        <v/>
      </c>
      <c r="AJ1238">
        <f>IF([3]Entry!$G$1241="","",[3]Entry!$G$1241)</f>
        <v/>
      </c>
      <c r="AK1238">
        <f>IF([3]Entry!$K$1241="","",[3]Entry!$K$1241)</f>
        <v/>
      </c>
      <c r="AL1238">
        <f>IF([3]Entry!$L$1241="","",[3]Entry!$L$1241)</f>
        <v/>
      </c>
      <c r="AM1238">
        <f>IF([3]Entry!$M$1241="","",[3]Entry!$M$1241)</f>
        <v/>
      </c>
      <c r="AN1238">
        <f>IF([3]Entry!$N$1241="","",[3]Entry!$N$1241)</f>
        <v/>
      </c>
      <c r="AO1238">
        <f>IF([3]Entry!$R$1241="","",[3]Entry!$R$1241)</f>
        <v/>
      </c>
    </row>
    <row r="1239">
      <c r="U1239">
        <f>IF([2]Baskol!$B$1242="","",[2]Baskol!$B$1242)</f>
        <v/>
      </c>
      <c r="V1239">
        <f>IF([2]Baskol!$C$1242="","",[2]Baskol!$C$1242)</f>
        <v/>
      </c>
      <c r="W1239">
        <f>IF([2]Baskol!$D$1242="","",[2]Baskol!$D$1242)</f>
        <v/>
      </c>
      <c r="X1239">
        <f>IF([2]Baskol!$E$1242="","",[2]Baskol!$E$1242)</f>
        <v/>
      </c>
      <c r="Y1239">
        <f>IF([2]Baskol!$G$1242="","",[2]Baskol!$G$1242)</f>
        <v/>
      </c>
      <c r="Z1239">
        <f>IF([2]Baskol!$I$1242="","",[2]Baskol!$I$1242)</f>
        <v/>
      </c>
      <c r="AA1239">
        <f>IF([2]Baskol!$J$1242="","",[2]Baskol!$J$1242)</f>
        <v/>
      </c>
      <c r="AB1239">
        <f>IF([2]Baskol!$K$1242="","",[2]Baskol!$K$1242)</f>
        <v/>
      </c>
      <c r="AC1239">
        <f>IF([2]Baskol!$L$1242="","",[2]Baskol!$L$1242)</f>
        <v/>
      </c>
      <c r="AD1239">
        <f>IF([2]Baskol!$N$1242="","",[2]Baskol!$N$1242)</f>
        <v/>
      </c>
      <c r="AE1239">
        <f>IF([2]Baskol!$O$1242="","",[2]Baskol!$O$1242)</f>
        <v/>
      </c>
      <c r="AG1239">
        <f>IF([3]Entry!$C$1242="","",[3]Entry!$C$1242)</f>
        <v/>
      </c>
      <c r="AH1239">
        <f>IF([3]Entry!$D$1242="","",[3]Entry!$D$1242)</f>
        <v/>
      </c>
      <c r="AI1239">
        <f>IF([3]Entry!$E$1242="","",[3]Entry!$E$1242)</f>
        <v/>
      </c>
      <c r="AJ1239">
        <f>IF([3]Entry!$G$1242="","",[3]Entry!$G$1242)</f>
        <v/>
      </c>
      <c r="AK1239">
        <f>IF([3]Entry!$K$1242="","",[3]Entry!$K$1242)</f>
        <v/>
      </c>
      <c r="AL1239">
        <f>IF([3]Entry!$L$1242="","",[3]Entry!$L$1242)</f>
        <v/>
      </c>
      <c r="AM1239">
        <f>IF([3]Entry!$M$1242="","",[3]Entry!$M$1242)</f>
        <v/>
      </c>
      <c r="AN1239">
        <f>IF([3]Entry!$N$1242="","",[3]Entry!$N$1242)</f>
        <v/>
      </c>
      <c r="AO1239">
        <f>IF([3]Entry!$R$1242="","",[3]Entry!$R$1242)</f>
        <v/>
      </c>
    </row>
    <row r="1240">
      <c r="U1240">
        <f>IF([2]Baskol!$B$1243="","",[2]Baskol!$B$1243)</f>
        <v/>
      </c>
      <c r="V1240">
        <f>IF([2]Baskol!$C$1243="","",[2]Baskol!$C$1243)</f>
        <v/>
      </c>
      <c r="W1240">
        <f>IF([2]Baskol!$D$1243="","",[2]Baskol!$D$1243)</f>
        <v/>
      </c>
      <c r="X1240">
        <f>IF([2]Baskol!$E$1243="","",[2]Baskol!$E$1243)</f>
        <v/>
      </c>
      <c r="Y1240">
        <f>IF([2]Baskol!$G$1243="","",[2]Baskol!$G$1243)</f>
        <v/>
      </c>
      <c r="Z1240">
        <f>IF([2]Baskol!$I$1243="","",[2]Baskol!$I$1243)</f>
        <v/>
      </c>
      <c r="AA1240">
        <f>IF([2]Baskol!$J$1243="","",[2]Baskol!$J$1243)</f>
        <v/>
      </c>
      <c r="AB1240">
        <f>IF([2]Baskol!$K$1243="","",[2]Baskol!$K$1243)</f>
        <v/>
      </c>
      <c r="AC1240">
        <f>IF([2]Baskol!$L$1243="","",[2]Baskol!$L$1243)</f>
        <v/>
      </c>
      <c r="AD1240">
        <f>IF([2]Baskol!$N$1243="","",[2]Baskol!$N$1243)</f>
        <v/>
      </c>
      <c r="AE1240">
        <f>IF([2]Baskol!$O$1243="","",[2]Baskol!$O$1243)</f>
        <v/>
      </c>
      <c r="AG1240">
        <f>IF([3]Entry!$C$1243="","",[3]Entry!$C$1243)</f>
        <v/>
      </c>
      <c r="AH1240">
        <f>IF([3]Entry!$D$1243="","",[3]Entry!$D$1243)</f>
        <v/>
      </c>
      <c r="AI1240">
        <f>IF([3]Entry!$E$1243="","",[3]Entry!$E$1243)</f>
        <v/>
      </c>
      <c r="AJ1240">
        <f>IF([3]Entry!$G$1243="","",[3]Entry!$G$1243)</f>
        <v/>
      </c>
      <c r="AK1240">
        <f>IF([3]Entry!$K$1243="","",[3]Entry!$K$1243)</f>
        <v/>
      </c>
      <c r="AL1240">
        <f>IF([3]Entry!$L$1243="","",[3]Entry!$L$1243)</f>
        <v/>
      </c>
      <c r="AM1240">
        <f>IF([3]Entry!$M$1243="","",[3]Entry!$M$1243)</f>
        <v/>
      </c>
      <c r="AN1240">
        <f>IF([3]Entry!$N$1243="","",[3]Entry!$N$1243)</f>
        <v/>
      </c>
      <c r="AO1240">
        <f>IF([3]Entry!$R$1243="","",[3]Entry!$R$1243)</f>
        <v/>
      </c>
    </row>
    <row r="1241">
      <c r="U1241">
        <f>IF([2]Baskol!$B$1244="","",[2]Baskol!$B$1244)</f>
        <v/>
      </c>
      <c r="V1241">
        <f>IF([2]Baskol!$C$1244="","",[2]Baskol!$C$1244)</f>
        <v/>
      </c>
      <c r="W1241">
        <f>IF([2]Baskol!$D$1244="","",[2]Baskol!$D$1244)</f>
        <v/>
      </c>
      <c r="X1241">
        <f>IF([2]Baskol!$E$1244="","",[2]Baskol!$E$1244)</f>
        <v/>
      </c>
      <c r="Y1241">
        <f>IF([2]Baskol!$G$1244="","",[2]Baskol!$G$1244)</f>
        <v/>
      </c>
      <c r="Z1241">
        <f>IF([2]Baskol!$I$1244="","",[2]Baskol!$I$1244)</f>
        <v/>
      </c>
      <c r="AA1241">
        <f>IF([2]Baskol!$J$1244="","",[2]Baskol!$J$1244)</f>
        <v/>
      </c>
      <c r="AB1241">
        <f>IF([2]Baskol!$K$1244="","",[2]Baskol!$K$1244)</f>
        <v/>
      </c>
      <c r="AC1241">
        <f>IF([2]Baskol!$L$1244="","",[2]Baskol!$L$1244)</f>
        <v/>
      </c>
      <c r="AD1241">
        <f>IF([2]Baskol!$N$1244="","",[2]Baskol!$N$1244)</f>
        <v/>
      </c>
      <c r="AE1241">
        <f>IF([2]Baskol!$O$1244="","",[2]Baskol!$O$1244)</f>
        <v/>
      </c>
      <c r="AG1241">
        <f>IF([3]Entry!$C$1244="","",[3]Entry!$C$1244)</f>
        <v/>
      </c>
      <c r="AH1241">
        <f>IF([3]Entry!$D$1244="","",[3]Entry!$D$1244)</f>
        <v/>
      </c>
      <c r="AI1241">
        <f>IF([3]Entry!$E$1244="","",[3]Entry!$E$1244)</f>
        <v/>
      </c>
      <c r="AJ1241">
        <f>IF([3]Entry!$G$1244="","",[3]Entry!$G$1244)</f>
        <v/>
      </c>
      <c r="AK1241">
        <f>IF([3]Entry!$K$1244="","",[3]Entry!$K$1244)</f>
        <v/>
      </c>
      <c r="AL1241">
        <f>IF([3]Entry!$L$1244="","",[3]Entry!$L$1244)</f>
        <v/>
      </c>
      <c r="AM1241">
        <f>IF([3]Entry!$M$1244="","",[3]Entry!$M$1244)</f>
        <v/>
      </c>
      <c r="AN1241">
        <f>IF([3]Entry!$N$1244="","",[3]Entry!$N$1244)</f>
        <v/>
      </c>
      <c r="AO1241">
        <f>IF([3]Entry!$R$1244="","",[3]Entry!$R$1244)</f>
        <v/>
      </c>
    </row>
    <row r="1242">
      <c r="U1242">
        <f>IF([2]Baskol!$B$1245="","",[2]Baskol!$B$1245)</f>
        <v/>
      </c>
      <c r="V1242">
        <f>IF([2]Baskol!$C$1245="","",[2]Baskol!$C$1245)</f>
        <v/>
      </c>
      <c r="W1242">
        <f>IF([2]Baskol!$D$1245="","",[2]Baskol!$D$1245)</f>
        <v/>
      </c>
      <c r="X1242">
        <f>IF([2]Baskol!$E$1245="","",[2]Baskol!$E$1245)</f>
        <v/>
      </c>
      <c r="Y1242">
        <f>IF([2]Baskol!$G$1245="","",[2]Baskol!$G$1245)</f>
        <v/>
      </c>
      <c r="Z1242">
        <f>IF([2]Baskol!$I$1245="","",[2]Baskol!$I$1245)</f>
        <v/>
      </c>
      <c r="AA1242">
        <f>IF([2]Baskol!$J$1245="","",[2]Baskol!$J$1245)</f>
        <v/>
      </c>
      <c r="AB1242">
        <f>IF([2]Baskol!$K$1245="","",[2]Baskol!$K$1245)</f>
        <v/>
      </c>
      <c r="AC1242">
        <f>IF([2]Baskol!$L$1245="","",[2]Baskol!$L$1245)</f>
        <v/>
      </c>
      <c r="AD1242">
        <f>IF([2]Baskol!$N$1245="","",[2]Baskol!$N$1245)</f>
        <v/>
      </c>
      <c r="AE1242">
        <f>IF([2]Baskol!$O$1245="","",[2]Baskol!$O$1245)</f>
        <v/>
      </c>
      <c r="AG1242">
        <f>IF([3]Entry!$C$1245="","",[3]Entry!$C$1245)</f>
        <v/>
      </c>
      <c r="AH1242">
        <f>IF([3]Entry!$D$1245="","",[3]Entry!$D$1245)</f>
        <v/>
      </c>
      <c r="AI1242">
        <f>IF([3]Entry!$E$1245="","",[3]Entry!$E$1245)</f>
        <v/>
      </c>
      <c r="AJ1242">
        <f>IF([3]Entry!$G$1245="","",[3]Entry!$G$1245)</f>
        <v/>
      </c>
      <c r="AK1242">
        <f>IF([3]Entry!$K$1245="","",[3]Entry!$K$1245)</f>
        <v/>
      </c>
      <c r="AL1242">
        <f>IF([3]Entry!$L$1245="","",[3]Entry!$L$1245)</f>
        <v/>
      </c>
      <c r="AM1242">
        <f>IF([3]Entry!$M$1245="","",[3]Entry!$M$1245)</f>
        <v/>
      </c>
      <c r="AN1242">
        <f>IF([3]Entry!$N$1245="","",[3]Entry!$N$1245)</f>
        <v/>
      </c>
      <c r="AO1242">
        <f>IF([3]Entry!$R$1245="","",[3]Entry!$R$1245)</f>
        <v/>
      </c>
    </row>
    <row r="1243">
      <c r="U1243">
        <f>IF([2]Baskol!$B$1246="","",[2]Baskol!$B$1246)</f>
        <v/>
      </c>
      <c r="V1243">
        <f>IF([2]Baskol!$C$1246="","",[2]Baskol!$C$1246)</f>
        <v/>
      </c>
      <c r="W1243">
        <f>IF([2]Baskol!$D$1246="","",[2]Baskol!$D$1246)</f>
        <v/>
      </c>
      <c r="X1243">
        <f>IF([2]Baskol!$E$1246="","",[2]Baskol!$E$1246)</f>
        <v/>
      </c>
      <c r="Y1243">
        <f>IF([2]Baskol!$G$1246="","",[2]Baskol!$G$1246)</f>
        <v/>
      </c>
      <c r="Z1243">
        <f>IF([2]Baskol!$I$1246="","",[2]Baskol!$I$1246)</f>
        <v/>
      </c>
      <c r="AA1243">
        <f>IF([2]Baskol!$J$1246="","",[2]Baskol!$J$1246)</f>
        <v/>
      </c>
      <c r="AB1243">
        <f>IF([2]Baskol!$K$1246="","",[2]Baskol!$K$1246)</f>
        <v/>
      </c>
      <c r="AC1243">
        <f>IF([2]Baskol!$L$1246="","",[2]Baskol!$L$1246)</f>
        <v/>
      </c>
      <c r="AD1243">
        <f>IF([2]Baskol!$N$1246="","",[2]Baskol!$N$1246)</f>
        <v/>
      </c>
      <c r="AE1243">
        <f>IF([2]Baskol!$O$1246="","",[2]Baskol!$O$1246)</f>
        <v/>
      </c>
      <c r="AG1243">
        <f>IF([3]Entry!$C$1246="","",[3]Entry!$C$1246)</f>
        <v/>
      </c>
      <c r="AH1243">
        <f>IF([3]Entry!$D$1246="","",[3]Entry!$D$1246)</f>
        <v/>
      </c>
      <c r="AI1243">
        <f>IF([3]Entry!$E$1246="","",[3]Entry!$E$1246)</f>
        <v/>
      </c>
      <c r="AJ1243">
        <f>IF([3]Entry!$G$1246="","",[3]Entry!$G$1246)</f>
        <v/>
      </c>
      <c r="AK1243">
        <f>IF([3]Entry!$K$1246="","",[3]Entry!$K$1246)</f>
        <v/>
      </c>
      <c r="AL1243">
        <f>IF([3]Entry!$L$1246="","",[3]Entry!$L$1246)</f>
        <v/>
      </c>
      <c r="AM1243">
        <f>IF([3]Entry!$M$1246="","",[3]Entry!$M$1246)</f>
        <v/>
      </c>
      <c r="AN1243">
        <f>IF([3]Entry!$N$1246="","",[3]Entry!$N$1246)</f>
        <v/>
      </c>
      <c r="AO1243">
        <f>IF([3]Entry!$R$1246="","",[3]Entry!$R$1246)</f>
        <v/>
      </c>
    </row>
    <row r="1244">
      <c r="U1244">
        <f>IF([2]Baskol!$B$1247="","",[2]Baskol!$B$1247)</f>
        <v/>
      </c>
      <c r="V1244">
        <f>IF([2]Baskol!$C$1247="","",[2]Baskol!$C$1247)</f>
        <v/>
      </c>
      <c r="W1244">
        <f>IF([2]Baskol!$D$1247="","",[2]Baskol!$D$1247)</f>
        <v/>
      </c>
      <c r="X1244">
        <f>IF([2]Baskol!$E$1247="","",[2]Baskol!$E$1247)</f>
        <v/>
      </c>
      <c r="Y1244">
        <f>IF([2]Baskol!$G$1247="","",[2]Baskol!$G$1247)</f>
        <v/>
      </c>
      <c r="Z1244">
        <f>IF([2]Baskol!$I$1247="","",[2]Baskol!$I$1247)</f>
        <v/>
      </c>
      <c r="AA1244">
        <f>IF([2]Baskol!$J$1247="","",[2]Baskol!$J$1247)</f>
        <v/>
      </c>
      <c r="AB1244">
        <f>IF([2]Baskol!$K$1247="","",[2]Baskol!$K$1247)</f>
        <v/>
      </c>
      <c r="AC1244">
        <f>IF([2]Baskol!$L$1247="","",[2]Baskol!$L$1247)</f>
        <v/>
      </c>
      <c r="AD1244">
        <f>IF([2]Baskol!$N$1247="","",[2]Baskol!$N$1247)</f>
        <v/>
      </c>
      <c r="AE1244">
        <f>IF([2]Baskol!$O$1247="","",[2]Baskol!$O$1247)</f>
        <v/>
      </c>
      <c r="AG1244">
        <f>IF([3]Entry!$C$1247="","",[3]Entry!$C$1247)</f>
        <v/>
      </c>
      <c r="AH1244">
        <f>IF([3]Entry!$D$1247="","",[3]Entry!$D$1247)</f>
        <v/>
      </c>
      <c r="AI1244">
        <f>IF([3]Entry!$E$1247="","",[3]Entry!$E$1247)</f>
        <v/>
      </c>
      <c r="AJ1244">
        <f>IF([3]Entry!$G$1247="","",[3]Entry!$G$1247)</f>
        <v/>
      </c>
      <c r="AK1244">
        <f>IF([3]Entry!$K$1247="","",[3]Entry!$K$1247)</f>
        <v/>
      </c>
      <c r="AL1244">
        <f>IF([3]Entry!$L$1247="","",[3]Entry!$L$1247)</f>
        <v/>
      </c>
      <c r="AM1244">
        <f>IF([3]Entry!$M$1247="","",[3]Entry!$M$1247)</f>
        <v/>
      </c>
      <c r="AN1244">
        <f>IF([3]Entry!$N$1247="","",[3]Entry!$N$1247)</f>
        <v/>
      </c>
      <c r="AO1244">
        <f>IF([3]Entry!$R$1247="","",[3]Entry!$R$1247)</f>
        <v/>
      </c>
    </row>
    <row r="1245">
      <c r="U1245">
        <f>IF([2]Baskol!$B$1248="","",[2]Baskol!$B$1248)</f>
        <v/>
      </c>
      <c r="V1245">
        <f>IF([2]Baskol!$C$1248="","",[2]Baskol!$C$1248)</f>
        <v/>
      </c>
      <c r="W1245">
        <f>IF([2]Baskol!$D$1248="","",[2]Baskol!$D$1248)</f>
        <v/>
      </c>
      <c r="X1245">
        <f>IF([2]Baskol!$E$1248="","",[2]Baskol!$E$1248)</f>
        <v/>
      </c>
      <c r="Y1245">
        <f>IF([2]Baskol!$G$1248="","",[2]Baskol!$G$1248)</f>
        <v/>
      </c>
      <c r="Z1245">
        <f>IF([2]Baskol!$I$1248="","",[2]Baskol!$I$1248)</f>
        <v/>
      </c>
      <c r="AA1245">
        <f>IF([2]Baskol!$J$1248="","",[2]Baskol!$J$1248)</f>
        <v/>
      </c>
      <c r="AB1245">
        <f>IF([2]Baskol!$K$1248="","",[2]Baskol!$K$1248)</f>
        <v/>
      </c>
      <c r="AC1245">
        <f>IF([2]Baskol!$L$1248="","",[2]Baskol!$L$1248)</f>
        <v/>
      </c>
      <c r="AD1245">
        <f>IF([2]Baskol!$N$1248="","",[2]Baskol!$N$1248)</f>
        <v/>
      </c>
      <c r="AE1245">
        <f>IF([2]Baskol!$O$1248="","",[2]Baskol!$O$1248)</f>
        <v/>
      </c>
      <c r="AG1245">
        <f>IF([3]Entry!$C$1248="","",[3]Entry!$C$1248)</f>
        <v/>
      </c>
      <c r="AH1245">
        <f>IF([3]Entry!$D$1248="","",[3]Entry!$D$1248)</f>
        <v/>
      </c>
      <c r="AI1245">
        <f>IF([3]Entry!$E$1248="","",[3]Entry!$E$1248)</f>
        <v/>
      </c>
      <c r="AJ1245">
        <f>IF([3]Entry!$G$1248="","",[3]Entry!$G$1248)</f>
        <v/>
      </c>
      <c r="AK1245">
        <f>IF([3]Entry!$K$1248="","",[3]Entry!$K$1248)</f>
        <v/>
      </c>
      <c r="AL1245">
        <f>IF([3]Entry!$L$1248="","",[3]Entry!$L$1248)</f>
        <v/>
      </c>
      <c r="AM1245">
        <f>IF([3]Entry!$M$1248="","",[3]Entry!$M$1248)</f>
        <v/>
      </c>
      <c r="AN1245">
        <f>IF([3]Entry!$N$1248="","",[3]Entry!$N$1248)</f>
        <v/>
      </c>
      <c r="AO1245">
        <f>IF([3]Entry!$R$1248="","",[3]Entry!$R$1248)</f>
        <v/>
      </c>
    </row>
    <row r="1246">
      <c r="U1246">
        <f>IF([2]Baskol!$B$1249="","",[2]Baskol!$B$1249)</f>
        <v/>
      </c>
      <c r="V1246">
        <f>IF([2]Baskol!$C$1249="","",[2]Baskol!$C$1249)</f>
        <v/>
      </c>
      <c r="W1246">
        <f>IF([2]Baskol!$D$1249="","",[2]Baskol!$D$1249)</f>
        <v/>
      </c>
      <c r="X1246">
        <f>IF([2]Baskol!$E$1249="","",[2]Baskol!$E$1249)</f>
        <v/>
      </c>
      <c r="Y1246">
        <f>IF([2]Baskol!$G$1249="","",[2]Baskol!$G$1249)</f>
        <v/>
      </c>
      <c r="Z1246">
        <f>IF([2]Baskol!$I$1249="","",[2]Baskol!$I$1249)</f>
        <v/>
      </c>
      <c r="AA1246">
        <f>IF([2]Baskol!$J$1249="","",[2]Baskol!$J$1249)</f>
        <v/>
      </c>
      <c r="AB1246">
        <f>IF([2]Baskol!$K$1249="","",[2]Baskol!$K$1249)</f>
        <v/>
      </c>
      <c r="AC1246">
        <f>IF([2]Baskol!$L$1249="","",[2]Baskol!$L$1249)</f>
        <v/>
      </c>
      <c r="AD1246">
        <f>IF([2]Baskol!$N$1249="","",[2]Baskol!$N$1249)</f>
        <v/>
      </c>
      <c r="AE1246">
        <f>IF([2]Baskol!$O$1249="","",[2]Baskol!$O$1249)</f>
        <v/>
      </c>
      <c r="AG1246">
        <f>IF([3]Entry!$C$1249="","",[3]Entry!$C$1249)</f>
        <v/>
      </c>
      <c r="AH1246">
        <f>IF([3]Entry!$D$1249="","",[3]Entry!$D$1249)</f>
        <v/>
      </c>
      <c r="AI1246">
        <f>IF([3]Entry!$E$1249="","",[3]Entry!$E$1249)</f>
        <v/>
      </c>
      <c r="AJ1246">
        <f>IF([3]Entry!$G$1249="","",[3]Entry!$G$1249)</f>
        <v/>
      </c>
      <c r="AK1246">
        <f>IF([3]Entry!$K$1249="","",[3]Entry!$K$1249)</f>
        <v/>
      </c>
      <c r="AL1246">
        <f>IF([3]Entry!$L$1249="","",[3]Entry!$L$1249)</f>
        <v/>
      </c>
      <c r="AM1246">
        <f>IF([3]Entry!$M$1249="","",[3]Entry!$M$1249)</f>
        <v/>
      </c>
      <c r="AN1246">
        <f>IF([3]Entry!$N$1249="","",[3]Entry!$N$1249)</f>
        <v/>
      </c>
      <c r="AO1246">
        <f>IF([3]Entry!$R$1249="","",[3]Entry!$R$1249)</f>
        <v/>
      </c>
    </row>
    <row r="1247">
      <c r="U1247">
        <f>IF([2]Baskol!$B$1250="","",[2]Baskol!$B$1250)</f>
        <v/>
      </c>
      <c r="V1247">
        <f>IF([2]Baskol!$C$1250="","",[2]Baskol!$C$1250)</f>
        <v/>
      </c>
      <c r="W1247">
        <f>IF([2]Baskol!$D$1250="","",[2]Baskol!$D$1250)</f>
        <v/>
      </c>
      <c r="X1247">
        <f>IF([2]Baskol!$E$1250="","",[2]Baskol!$E$1250)</f>
        <v/>
      </c>
      <c r="Y1247">
        <f>IF([2]Baskol!$G$1250="","",[2]Baskol!$G$1250)</f>
        <v/>
      </c>
      <c r="Z1247">
        <f>IF([2]Baskol!$I$1250="","",[2]Baskol!$I$1250)</f>
        <v/>
      </c>
      <c r="AA1247">
        <f>IF([2]Baskol!$J$1250="","",[2]Baskol!$J$1250)</f>
        <v/>
      </c>
      <c r="AB1247">
        <f>IF([2]Baskol!$K$1250="","",[2]Baskol!$K$1250)</f>
        <v/>
      </c>
      <c r="AC1247">
        <f>IF([2]Baskol!$L$1250="","",[2]Baskol!$L$1250)</f>
        <v/>
      </c>
      <c r="AD1247">
        <f>IF([2]Baskol!$N$1250="","",[2]Baskol!$N$1250)</f>
        <v/>
      </c>
      <c r="AE1247">
        <f>IF([2]Baskol!$O$1250="","",[2]Baskol!$O$1250)</f>
        <v/>
      </c>
      <c r="AG1247">
        <f>IF([3]Entry!$C$1250="","",[3]Entry!$C$1250)</f>
        <v/>
      </c>
      <c r="AH1247">
        <f>IF([3]Entry!$D$1250="","",[3]Entry!$D$1250)</f>
        <v/>
      </c>
      <c r="AI1247">
        <f>IF([3]Entry!$E$1250="","",[3]Entry!$E$1250)</f>
        <v/>
      </c>
      <c r="AJ1247">
        <f>IF([3]Entry!$G$1250="","",[3]Entry!$G$1250)</f>
        <v/>
      </c>
      <c r="AK1247">
        <f>IF([3]Entry!$K$1250="","",[3]Entry!$K$1250)</f>
        <v/>
      </c>
      <c r="AL1247">
        <f>IF([3]Entry!$L$1250="","",[3]Entry!$L$1250)</f>
        <v/>
      </c>
      <c r="AM1247">
        <f>IF([3]Entry!$M$1250="","",[3]Entry!$M$1250)</f>
        <v/>
      </c>
      <c r="AN1247">
        <f>IF([3]Entry!$N$1250="","",[3]Entry!$N$1250)</f>
        <v/>
      </c>
      <c r="AO1247">
        <f>IF([3]Entry!$R$1250="","",[3]Entry!$R$1250)</f>
        <v/>
      </c>
    </row>
    <row r="1248">
      <c r="U1248">
        <f>IF([2]Baskol!$B$1251="","",[2]Baskol!$B$1251)</f>
        <v/>
      </c>
      <c r="V1248">
        <f>IF([2]Baskol!$C$1251="","",[2]Baskol!$C$1251)</f>
        <v/>
      </c>
      <c r="W1248">
        <f>IF([2]Baskol!$D$1251="","",[2]Baskol!$D$1251)</f>
        <v/>
      </c>
      <c r="X1248">
        <f>IF([2]Baskol!$E$1251="","",[2]Baskol!$E$1251)</f>
        <v/>
      </c>
      <c r="Y1248">
        <f>IF([2]Baskol!$G$1251="","",[2]Baskol!$G$1251)</f>
        <v/>
      </c>
      <c r="Z1248">
        <f>IF([2]Baskol!$I$1251="","",[2]Baskol!$I$1251)</f>
        <v/>
      </c>
      <c r="AA1248">
        <f>IF([2]Baskol!$J$1251="","",[2]Baskol!$J$1251)</f>
        <v/>
      </c>
      <c r="AB1248">
        <f>IF([2]Baskol!$K$1251="","",[2]Baskol!$K$1251)</f>
        <v/>
      </c>
      <c r="AC1248">
        <f>IF([2]Baskol!$L$1251="","",[2]Baskol!$L$1251)</f>
        <v/>
      </c>
      <c r="AD1248">
        <f>IF([2]Baskol!$N$1251="","",[2]Baskol!$N$1251)</f>
        <v/>
      </c>
      <c r="AE1248">
        <f>IF([2]Baskol!$O$1251="","",[2]Baskol!$O$1251)</f>
        <v/>
      </c>
      <c r="AG1248">
        <f>IF([3]Entry!$C$1251="","",[3]Entry!$C$1251)</f>
        <v/>
      </c>
      <c r="AH1248">
        <f>IF([3]Entry!$D$1251="","",[3]Entry!$D$1251)</f>
        <v/>
      </c>
      <c r="AI1248">
        <f>IF([3]Entry!$E$1251="","",[3]Entry!$E$1251)</f>
        <v/>
      </c>
      <c r="AJ1248">
        <f>IF([3]Entry!$G$1251="","",[3]Entry!$G$1251)</f>
        <v/>
      </c>
      <c r="AK1248">
        <f>IF([3]Entry!$K$1251="","",[3]Entry!$K$1251)</f>
        <v/>
      </c>
      <c r="AL1248">
        <f>IF([3]Entry!$L$1251="","",[3]Entry!$L$1251)</f>
        <v/>
      </c>
      <c r="AM1248">
        <f>IF([3]Entry!$M$1251="","",[3]Entry!$M$1251)</f>
        <v/>
      </c>
      <c r="AN1248">
        <f>IF([3]Entry!$N$1251="","",[3]Entry!$N$1251)</f>
        <v/>
      </c>
      <c r="AO1248">
        <f>IF([3]Entry!$R$1251="","",[3]Entry!$R$1251)</f>
        <v/>
      </c>
    </row>
    <row r="1249">
      <c r="U1249">
        <f>IF([2]Baskol!$B$1252="","",[2]Baskol!$B$1252)</f>
        <v/>
      </c>
      <c r="V1249">
        <f>IF([2]Baskol!$C$1252="","",[2]Baskol!$C$1252)</f>
        <v/>
      </c>
      <c r="W1249">
        <f>IF([2]Baskol!$D$1252="","",[2]Baskol!$D$1252)</f>
        <v/>
      </c>
      <c r="X1249">
        <f>IF([2]Baskol!$E$1252="","",[2]Baskol!$E$1252)</f>
        <v/>
      </c>
      <c r="Y1249">
        <f>IF([2]Baskol!$G$1252="","",[2]Baskol!$G$1252)</f>
        <v/>
      </c>
      <c r="Z1249">
        <f>IF([2]Baskol!$I$1252="","",[2]Baskol!$I$1252)</f>
        <v/>
      </c>
      <c r="AA1249">
        <f>IF([2]Baskol!$J$1252="","",[2]Baskol!$J$1252)</f>
        <v/>
      </c>
      <c r="AB1249">
        <f>IF([2]Baskol!$K$1252="","",[2]Baskol!$K$1252)</f>
        <v/>
      </c>
      <c r="AC1249">
        <f>IF([2]Baskol!$L$1252="","",[2]Baskol!$L$1252)</f>
        <v/>
      </c>
      <c r="AD1249">
        <f>IF([2]Baskol!$N$1252="","",[2]Baskol!$N$1252)</f>
        <v/>
      </c>
      <c r="AE1249">
        <f>IF([2]Baskol!$O$1252="","",[2]Baskol!$O$1252)</f>
        <v/>
      </c>
      <c r="AG1249">
        <f>IF([3]Entry!$C$1252="","",[3]Entry!$C$1252)</f>
        <v/>
      </c>
      <c r="AH1249">
        <f>IF([3]Entry!$D$1252="","",[3]Entry!$D$1252)</f>
        <v/>
      </c>
      <c r="AI1249">
        <f>IF([3]Entry!$E$1252="","",[3]Entry!$E$1252)</f>
        <v/>
      </c>
      <c r="AJ1249">
        <f>IF([3]Entry!$G$1252="","",[3]Entry!$G$1252)</f>
        <v/>
      </c>
      <c r="AK1249">
        <f>IF([3]Entry!$K$1252="","",[3]Entry!$K$1252)</f>
        <v/>
      </c>
      <c r="AL1249">
        <f>IF([3]Entry!$L$1252="","",[3]Entry!$L$1252)</f>
        <v/>
      </c>
      <c r="AM1249">
        <f>IF([3]Entry!$M$1252="","",[3]Entry!$M$1252)</f>
        <v/>
      </c>
      <c r="AN1249">
        <f>IF([3]Entry!$N$1252="","",[3]Entry!$N$1252)</f>
        <v/>
      </c>
      <c r="AO1249">
        <f>IF([3]Entry!$R$1252="","",[3]Entry!$R$1252)</f>
        <v/>
      </c>
    </row>
    <row r="1250">
      <c r="U1250">
        <f>IF([2]Baskol!$B$1253="","",[2]Baskol!$B$1253)</f>
        <v/>
      </c>
      <c r="V1250">
        <f>IF([2]Baskol!$C$1253="","",[2]Baskol!$C$1253)</f>
        <v/>
      </c>
      <c r="W1250">
        <f>IF([2]Baskol!$D$1253="","",[2]Baskol!$D$1253)</f>
        <v/>
      </c>
      <c r="X1250">
        <f>IF([2]Baskol!$E$1253="","",[2]Baskol!$E$1253)</f>
        <v/>
      </c>
      <c r="Y1250">
        <f>IF([2]Baskol!$G$1253="","",[2]Baskol!$G$1253)</f>
        <v/>
      </c>
      <c r="Z1250">
        <f>IF([2]Baskol!$I$1253="","",[2]Baskol!$I$1253)</f>
        <v/>
      </c>
      <c r="AA1250">
        <f>IF([2]Baskol!$J$1253="","",[2]Baskol!$J$1253)</f>
        <v/>
      </c>
      <c r="AB1250">
        <f>IF([2]Baskol!$K$1253="","",[2]Baskol!$K$1253)</f>
        <v/>
      </c>
      <c r="AC1250">
        <f>IF([2]Baskol!$L$1253="","",[2]Baskol!$L$1253)</f>
        <v/>
      </c>
      <c r="AD1250">
        <f>IF([2]Baskol!$N$1253="","",[2]Baskol!$N$1253)</f>
        <v/>
      </c>
      <c r="AE1250">
        <f>IF([2]Baskol!$O$1253="","",[2]Baskol!$O$1253)</f>
        <v/>
      </c>
      <c r="AG1250">
        <f>IF([3]Entry!$C$1253="","",[3]Entry!$C$1253)</f>
        <v/>
      </c>
      <c r="AH1250">
        <f>IF([3]Entry!$D$1253="","",[3]Entry!$D$1253)</f>
        <v/>
      </c>
      <c r="AI1250">
        <f>IF([3]Entry!$E$1253="","",[3]Entry!$E$1253)</f>
        <v/>
      </c>
      <c r="AJ1250">
        <f>IF([3]Entry!$G$1253="","",[3]Entry!$G$1253)</f>
        <v/>
      </c>
      <c r="AK1250">
        <f>IF([3]Entry!$K$1253="","",[3]Entry!$K$1253)</f>
        <v/>
      </c>
      <c r="AL1250">
        <f>IF([3]Entry!$L$1253="","",[3]Entry!$L$1253)</f>
        <v/>
      </c>
      <c r="AM1250">
        <f>IF([3]Entry!$M$1253="","",[3]Entry!$M$1253)</f>
        <v/>
      </c>
      <c r="AN1250">
        <f>IF([3]Entry!$N$1253="","",[3]Entry!$N$1253)</f>
        <v/>
      </c>
      <c r="AO1250">
        <f>IF([3]Entry!$R$1253="","",[3]Entry!$R$1253)</f>
        <v/>
      </c>
    </row>
    <row r="1251">
      <c r="U1251">
        <f>IF([2]Baskol!$B$1254="","",[2]Baskol!$B$1254)</f>
        <v/>
      </c>
      <c r="V1251">
        <f>IF([2]Baskol!$C$1254="","",[2]Baskol!$C$1254)</f>
        <v/>
      </c>
      <c r="W1251">
        <f>IF([2]Baskol!$D$1254="","",[2]Baskol!$D$1254)</f>
        <v/>
      </c>
      <c r="X1251">
        <f>IF([2]Baskol!$E$1254="","",[2]Baskol!$E$1254)</f>
        <v/>
      </c>
      <c r="Y1251">
        <f>IF([2]Baskol!$G$1254="","",[2]Baskol!$G$1254)</f>
        <v/>
      </c>
      <c r="Z1251">
        <f>IF([2]Baskol!$I$1254="","",[2]Baskol!$I$1254)</f>
        <v/>
      </c>
      <c r="AA1251">
        <f>IF([2]Baskol!$J$1254="","",[2]Baskol!$J$1254)</f>
        <v/>
      </c>
      <c r="AB1251">
        <f>IF([2]Baskol!$K$1254="","",[2]Baskol!$K$1254)</f>
        <v/>
      </c>
      <c r="AC1251">
        <f>IF([2]Baskol!$L$1254="","",[2]Baskol!$L$1254)</f>
        <v/>
      </c>
      <c r="AD1251">
        <f>IF([2]Baskol!$N$1254="","",[2]Baskol!$N$1254)</f>
        <v/>
      </c>
      <c r="AE1251">
        <f>IF([2]Baskol!$O$1254="","",[2]Baskol!$O$1254)</f>
        <v/>
      </c>
      <c r="AG1251">
        <f>IF([3]Entry!$C$1254="","",[3]Entry!$C$1254)</f>
        <v/>
      </c>
      <c r="AH1251">
        <f>IF([3]Entry!$D$1254="","",[3]Entry!$D$1254)</f>
        <v/>
      </c>
      <c r="AI1251">
        <f>IF([3]Entry!$E$1254="","",[3]Entry!$E$1254)</f>
        <v/>
      </c>
      <c r="AJ1251">
        <f>IF([3]Entry!$G$1254="","",[3]Entry!$G$1254)</f>
        <v/>
      </c>
      <c r="AK1251">
        <f>IF([3]Entry!$K$1254="","",[3]Entry!$K$1254)</f>
        <v/>
      </c>
      <c r="AL1251">
        <f>IF([3]Entry!$L$1254="","",[3]Entry!$L$1254)</f>
        <v/>
      </c>
      <c r="AM1251">
        <f>IF([3]Entry!$M$1254="","",[3]Entry!$M$1254)</f>
        <v/>
      </c>
      <c r="AN1251">
        <f>IF([3]Entry!$N$1254="","",[3]Entry!$N$1254)</f>
        <v/>
      </c>
      <c r="AO1251">
        <f>IF([3]Entry!$R$1254="","",[3]Entry!$R$1254)</f>
        <v/>
      </c>
    </row>
    <row r="1252">
      <c r="U1252">
        <f>IF([2]Baskol!$B$1255="","",[2]Baskol!$B$1255)</f>
        <v/>
      </c>
      <c r="V1252">
        <f>IF([2]Baskol!$C$1255="","",[2]Baskol!$C$1255)</f>
        <v/>
      </c>
      <c r="W1252">
        <f>IF([2]Baskol!$D$1255="","",[2]Baskol!$D$1255)</f>
        <v/>
      </c>
      <c r="X1252">
        <f>IF([2]Baskol!$E$1255="","",[2]Baskol!$E$1255)</f>
        <v/>
      </c>
      <c r="Y1252">
        <f>IF([2]Baskol!$G$1255="","",[2]Baskol!$G$1255)</f>
        <v/>
      </c>
      <c r="Z1252">
        <f>IF([2]Baskol!$I$1255="","",[2]Baskol!$I$1255)</f>
        <v/>
      </c>
      <c r="AA1252">
        <f>IF([2]Baskol!$J$1255="","",[2]Baskol!$J$1255)</f>
        <v/>
      </c>
      <c r="AB1252">
        <f>IF([2]Baskol!$K$1255="","",[2]Baskol!$K$1255)</f>
        <v/>
      </c>
      <c r="AC1252">
        <f>IF([2]Baskol!$L$1255="","",[2]Baskol!$L$1255)</f>
        <v/>
      </c>
      <c r="AD1252">
        <f>IF([2]Baskol!$N$1255="","",[2]Baskol!$N$1255)</f>
        <v/>
      </c>
      <c r="AE1252">
        <f>IF([2]Baskol!$O$1255="","",[2]Baskol!$O$1255)</f>
        <v/>
      </c>
      <c r="AG1252">
        <f>IF([3]Entry!$C$1255="","",[3]Entry!$C$1255)</f>
        <v/>
      </c>
      <c r="AH1252">
        <f>IF([3]Entry!$D$1255="","",[3]Entry!$D$1255)</f>
        <v/>
      </c>
      <c r="AI1252">
        <f>IF([3]Entry!$E$1255="","",[3]Entry!$E$1255)</f>
        <v/>
      </c>
      <c r="AJ1252">
        <f>IF([3]Entry!$G$1255="","",[3]Entry!$G$1255)</f>
        <v/>
      </c>
      <c r="AK1252">
        <f>IF([3]Entry!$K$1255="","",[3]Entry!$K$1255)</f>
        <v/>
      </c>
      <c r="AL1252">
        <f>IF([3]Entry!$L$1255="","",[3]Entry!$L$1255)</f>
        <v/>
      </c>
      <c r="AM1252">
        <f>IF([3]Entry!$M$1255="","",[3]Entry!$M$1255)</f>
        <v/>
      </c>
      <c r="AN1252">
        <f>IF([3]Entry!$N$1255="","",[3]Entry!$N$1255)</f>
        <v/>
      </c>
      <c r="AO1252">
        <f>IF([3]Entry!$R$1255="","",[3]Entry!$R$1255)</f>
        <v/>
      </c>
    </row>
    <row r="1253">
      <c r="U1253">
        <f>IF([2]Baskol!$B$1256="","",[2]Baskol!$B$1256)</f>
        <v/>
      </c>
      <c r="V1253">
        <f>IF([2]Baskol!$C$1256="","",[2]Baskol!$C$1256)</f>
        <v/>
      </c>
      <c r="W1253">
        <f>IF([2]Baskol!$D$1256="","",[2]Baskol!$D$1256)</f>
        <v/>
      </c>
      <c r="X1253">
        <f>IF([2]Baskol!$E$1256="","",[2]Baskol!$E$1256)</f>
        <v/>
      </c>
      <c r="Y1253">
        <f>IF([2]Baskol!$G$1256="","",[2]Baskol!$G$1256)</f>
        <v/>
      </c>
      <c r="Z1253">
        <f>IF([2]Baskol!$I$1256="","",[2]Baskol!$I$1256)</f>
        <v/>
      </c>
      <c r="AA1253">
        <f>IF([2]Baskol!$J$1256="","",[2]Baskol!$J$1256)</f>
        <v/>
      </c>
      <c r="AB1253">
        <f>IF([2]Baskol!$K$1256="","",[2]Baskol!$K$1256)</f>
        <v/>
      </c>
      <c r="AC1253">
        <f>IF([2]Baskol!$L$1256="","",[2]Baskol!$L$1256)</f>
        <v/>
      </c>
      <c r="AD1253">
        <f>IF([2]Baskol!$N$1256="","",[2]Baskol!$N$1256)</f>
        <v/>
      </c>
      <c r="AE1253">
        <f>IF([2]Baskol!$O$1256="","",[2]Baskol!$O$1256)</f>
        <v/>
      </c>
      <c r="AG1253">
        <f>IF([3]Entry!$C$1256="","",[3]Entry!$C$1256)</f>
        <v/>
      </c>
      <c r="AH1253">
        <f>IF([3]Entry!$D$1256="","",[3]Entry!$D$1256)</f>
        <v/>
      </c>
      <c r="AI1253">
        <f>IF([3]Entry!$E$1256="","",[3]Entry!$E$1256)</f>
        <v/>
      </c>
      <c r="AJ1253">
        <f>IF([3]Entry!$G$1256="","",[3]Entry!$G$1256)</f>
        <v/>
      </c>
      <c r="AK1253">
        <f>IF([3]Entry!$K$1256="","",[3]Entry!$K$1256)</f>
        <v/>
      </c>
      <c r="AL1253">
        <f>IF([3]Entry!$L$1256="","",[3]Entry!$L$1256)</f>
        <v/>
      </c>
      <c r="AM1253">
        <f>IF([3]Entry!$M$1256="","",[3]Entry!$M$1256)</f>
        <v/>
      </c>
      <c r="AN1253">
        <f>IF([3]Entry!$N$1256="","",[3]Entry!$N$1256)</f>
        <v/>
      </c>
      <c r="AO1253">
        <f>IF([3]Entry!$R$1256="","",[3]Entry!$R$1256)</f>
        <v/>
      </c>
    </row>
    <row r="1254">
      <c r="U1254">
        <f>IF([2]Baskol!$B$1257="","",[2]Baskol!$B$1257)</f>
        <v/>
      </c>
      <c r="V1254">
        <f>IF([2]Baskol!$C$1257="","",[2]Baskol!$C$1257)</f>
        <v/>
      </c>
      <c r="W1254">
        <f>IF([2]Baskol!$D$1257="","",[2]Baskol!$D$1257)</f>
        <v/>
      </c>
      <c r="X1254">
        <f>IF([2]Baskol!$E$1257="","",[2]Baskol!$E$1257)</f>
        <v/>
      </c>
      <c r="Y1254">
        <f>IF([2]Baskol!$G$1257="","",[2]Baskol!$G$1257)</f>
        <v/>
      </c>
      <c r="Z1254">
        <f>IF([2]Baskol!$I$1257="","",[2]Baskol!$I$1257)</f>
        <v/>
      </c>
      <c r="AA1254">
        <f>IF([2]Baskol!$J$1257="","",[2]Baskol!$J$1257)</f>
        <v/>
      </c>
      <c r="AB1254">
        <f>IF([2]Baskol!$K$1257="","",[2]Baskol!$K$1257)</f>
        <v/>
      </c>
      <c r="AC1254">
        <f>IF([2]Baskol!$L$1257="","",[2]Baskol!$L$1257)</f>
        <v/>
      </c>
      <c r="AD1254">
        <f>IF([2]Baskol!$N$1257="","",[2]Baskol!$N$1257)</f>
        <v/>
      </c>
      <c r="AE1254">
        <f>IF([2]Baskol!$O$1257="","",[2]Baskol!$O$1257)</f>
        <v/>
      </c>
      <c r="AG1254">
        <f>IF([3]Entry!$C$1257="","",[3]Entry!$C$1257)</f>
        <v/>
      </c>
      <c r="AH1254">
        <f>IF([3]Entry!$D$1257="","",[3]Entry!$D$1257)</f>
        <v/>
      </c>
      <c r="AI1254">
        <f>IF([3]Entry!$E$1257="","",[3]Entry!$E$1257)</f>
        <v/>
      </c>
      <c r="AJ1254">
        <f>IF([3]Entry!$G$1257="","",[3]Entry!$G$1257)</f>
        <v/>
      </c>
      <c r="AK1254">
        <f>IF([3]Entry!$K$1257="","",[3]Entry!$K$1257)</f>
        <v/>
      </c>
      <c r="AL1254">
        <f>IF([3]Entry!$L$1257="","",[3]Entry!$L$1257)</f>
        <v/>
      </c>
      <c r="AM1254">
        <f>IF([3]Entry!$M$1257="","",[3]Entry!$M$1257)</f>
        <v/>
      </c>
      <c r="AN1254">
        <f>IF([3]Entry!$N$1257="","",[3]Entry!$N$1257)</f>
        <v/>
      </c>
      <c r="AO1254">
        <f>IF([3]Entry!$R$1257="","",[3]Entry!$R$1257)</f>
        <v/>
      </c>
    </row>
    <row r="1255">
      <c r="U1255">
        <f>IF([2]Baskol!$B$1258="","",[2]Baskol!$B$1258)</f>
        <v/>
      </c>
      <c r="V1255">
        <f>IF([2]Baskol!$C$1258="","",[2]Baskol!$C$1258)</f>
        <v/>
      </c>
      <c r="W1255">
        <f>IF([2]Baskol!$D$1258="","",[2]Baskol!$D$1258)</f>
        <v/>
      </c>
      <c r="X1255">
        <f>IF([2]Baskol!$E$1258="","",[2]Baskol!$E$1258)</f>
        <v/>
      </c>
      <c r="Y1255">
        <f>IF([2]Baskol!$G$1258="","",[2]Baskol!$G$1258)</f>
        <v/>
      </c>
      <c r="Z1255">
        <f>IF([2]Baskol!$I$1258="","",[2]Baskol!$I$1258)</f>
        <v/>
      </c>
      <c r="AA1255">
        <f>IF([2]Baskol!$J$1258="","",[2]Baskol!$J$1258)</f>
        <v/>
      </c>
      <c r="AB1255">
        <f>IF([2]Baskol!$K$1258="","",[2]Baskol!$K$1258)</f>
        <v/>
      </c>
      <c r="AC1255">
        <f>IF([2]Baskol!$L$1258="","",[2]Baskol!$L$1258)</f>
        <v/>
      </c>
      <c r="AD1255">
        <f>IF([2]Baskol!$N$1258="","",[2]Baskol!$N$1258)</f>
        <v/>
      </c>
      <c r="AE1255">
        <f>IF([2]Baskol!$O$1258="","",[2]Baskol!$O$1258)</f>
        <v/>
      </c>
      <c r="AG1255">
        <f>IF([3]Entry!$C$1258="","",[3]Entry!$C$1258)</f>
        <v/>
      </c>
      <c r="AH1255">
        <f>IF([3]Entry!$D$1258="","",[3]Entry!$D$1258)</f>
        <v/>
      </c>
      <c r="AI1255">
        <f>IF([3]Entry!$E$1258="","",[3]Entry!$E$1258)</f>
        <v/>
      </c>
      <c r="AJ1255">
        <f>IF([3]Entry!$G$1258="","",[3]Entry!$G$1258)</f>
        <v/>
      </c>
      <c r="AK1255">
        <f>IF([3]Entry!$K$1258="","",[3]Entry!$K$1258)</f>
        <v/>
      </c>
      <c r="AL1255">
        <f>IF([3]Entry!$L$1258="","",[3]Entry!$L$1258)</f>
        <v/>
      </c>
      <c r="AM1255">
        <f>IF([3]Entry!$M$1258="","",[3]Entry!$M$1258)</f>
        <v/>
      </c>
      <c r="AN1255">
        <f>IF([3]Entry!$N$1258="","",[3]Entry!$N$1258)</f>
        <v/>
      </c>
      <c r="AO1255">
        <f>IF([3]Entry!$R$1258="","",[3]Entry!$R$1258)</f>
        <v/>
      </c>
    </row>
    <row r="1256">
      <c r="U1256">
        <f>IF([2]Baskol!$B$1259="","",[2]Baskol!$B$1259)</f>
        <v/>
      </c>
      <c r="V1256">
        <f>IF([2]Baskol!$C$1259="","",[2]Baskol!$C$1259)</f>
        <v/>
      </c>
      <c r="W1256">
        <f>IF([2]Baskol!$D$1259="","",[2]Baskol!$D$1259)</f>
        <v/>
      </c>
      <c r="X1256">
        <f>IF([2]Baskol!$E$1259="","",[2]Baskol!$E$1259)</f>
        <v/>
      </c>
      <c r="Y1256">
        <f>IF([2]Baskol!$G$1259="","",[2]Baskol!$G$1259)</f>
        <v/>
      </c>
      <c r="Z1256">
        <f>IF([2]Baskol!$I$1259="","",[2]Baskol!$I$1259)</f>
        <v/>
      </c>
      <c r="AA1256">
        <f>IF([2]Baskol!$J$1259="","",[2]Baskol!$J$1259)</f>
        <v/>
      </c>
      <c r="AB1256">
        <f>IF([2]Baskol!$K$1259="","",[2]Baskol!$K$1259)</f>
        <v/>
      </c>
      <c r="AC1256">
        <f>IF([2]Baskol!$L$1259="","",[2]Baskol!$L$1259)</f>
        <v/>
      </c>
      <c r="AD1256">
        <f>IF([2]Baskol!$N$1259="","",[2]Baskol!$N$1259)</f>
        <v/>
      </c>
      <c r="AE1256">
        <f>IF([2]Baskol!$O$1259="","",[2]Baskol!$O$1259)</f>
        <v/>
      </c>
      <c r="AG1256">
        <f>IF([3]Entry!$C$1259="","",[3]Entry!$C$1259)</f>
        <v/>
      </c>
      <c r="AH1256">
        <f>IF([3]Entry!$D$1259="","",[3]Entry!$D$1259)</f>
        <v/>
      </c>
      <c r="AI1256">
        <f>IF([3]Entry!$E$1259="","",[3]Entry!$E$1259)</f>
        <v/>
      </c>
      <c r="AJ1256">
        <f>IF([3]Entry!$G$1259="","",[3]Entry!$G$1259)</f>
        <v/>
      </c>
      <c r="AK1256">
        <f>IF([3]Entry!$K$1259="","",[3]Entry!$K$1259)</f>
        <v/>
      </c>
      <c r="AL1256">
        <f>IF([3]Entry!$L$1259="","",[3]Entry!$L$1259)</f>
        <v/>
      </c>
      <c r="AM1256">
        <f>IF([3]Entry!$M$1259="","",[3]Entry!$M$1259)</f>
        <v/>
      </c>
      <c r="AN1256">
        <f>IF([3]Entry!$N$1259="","",[3]Entry!$N$1259)</f>
        <v/>
      </c>
      <c r="AO1256">
        <f>IF([3]Entry!$R$1259="","",[3]Entry!$R$1259)</f>
        <v/>
      </c>
    </row>
    <row r="1257">
      <c r="U1257">
        <f>IF([2]Baskol!$B$1260="","",[2]Baskol!$B$1260)</f>
        <v/>
      </c>
      <c r="V1257">
        <f>IF([2]Baskol!$C$1260="","",[2]Baskol!$C$1260)</f>
        <v/>
      </c>
      <c r="W1257">
        <f>IF([2]Baskol!$D$1260="","",[2]Baskol!$D$1260)</f>
        <v/>
      </c>
      <c r="X1257">
        <f>IF([2]Baskol!$E$1260="","",[2]Baskol!$E$1260)</f>
        <v/>
      </c>
      <c r="Y1257">
        <f>IF([2]Baskol!$G$1260="","",[2]Baskol!$G$1260)</f>
        <v/>
      </c>
      <c r="Z1257">
        <f>IF([2]Baskol!$I$1260="","",[2]Baskol!$I$1260)</f>
        <v/>
      </c>
      <c r="AA1257">
        <f>IF([2]Baskol!$J$1260="","",[2]Baskol!$J$1260)</f>
        <v/>
      </c>
      <c r="AB1257">
        <f>IF([2]Baskol!$K$1260="","",[2]Baskol!$K$1260)</f>
        <v/>
      </c>
      <c r="AC1257">
        <f>IF([2]Baskol!$L$1260="","",[2]Baskol!$L$1260)</f>
        <v/>
      </c>
      <c r="AD1257">
        <f>IF([2]Baskol!$N$1260="","",[2]Baskol!$N$1260)</f>
        <v/>
      </c>
      <c r="AE1257">
        <f>IF([2]Baskol!$O$1260="","",[2]Baskol!$O$1260)</f>
        <v/>
      </c>
      <c r="AG1257">
        <f>IF([3]Entry!$C$1260="","",[3]Entry!$C$1260)</f>
        <v/>
      </c>
      <c r="AH1257">
        <f>IF([3]Entry!$D$1260="","",[3]Entry!$D$1260)</f>
        <v/>
      </c>
      <c r="AI1257">
        <f>IF([3]Entry!$E$1260="","",[3]Entry!$E$1260)</f>
        <v/>
      </c>
      <c r="AJ1257">
        <f>IF([3]Entry!$G$1260="","",[3]Entry!$G$1260)</f>
        <v/>
      </c>
      <c r="AK1257">
        <f>IF([3]Entry!$K$1260="","",[3]Entry!$K$1260)</f>
        <v/>
      </c>
      <c r="AL1257">
        <f>IF([3]Entry!$L$1260="","",[3]Entry!$L$1260)</f>
        <v/>
      </c>
      <c r="AM1257">
        <f>IF([3]Entry!$M$1260="","",[3]Entry!$M$1260)</f>
        <v/>
      </c>
      <c r="AN1257">
        <f>IF([3]Entry!$N$1260="","",[3]Entry!$N$1260)</f>
        <v/>
      </c>
      <c r="AO1257">
        <f>IF([3]Entry!$R$1260="","",[3]Entry!$R$1260)</f>
        <v/>
      </c>
    </row>
    <row r="1258">
      <c r="U1258">
        <f>IF([2]Baskol!$B$1261="","",[2]Baskol!$B$1261)</f>
        <v/>
      </c>
      <c r="V1258">
        <f>IF([2]Baskol!$C$1261="","",[2]Baskol!$C$1261)</f>
        <v/>
      </c>
      <c r="W1258">
        <f>IF([2]Baskol!$D$1261="","",[2]Baskol!$D$1261)</f>
        <v/>
      </c>
      <c r="X1258">
        <f>IF([2]Baskol!$E$1261="","",[2]Baskol!$E$1261)</f>
        <v/>
      </c>
      <c r="Y1258">
        <f>IF([2]Baskol!$G$1261="","",[2]Baskol!$G$1261)</f>
        <v/>
      </c>
      <c r="Z1258">
        <f>IF([2]Baskol!$I$1261="","",[2]Baskol!$I$1261)</f>
        <v/>
      </c>
      <c r="AA1258">
        <f>IF([2]Baskol!$J$1261="","",[2]Baskol!$J$1261)</f>
        <v/>
      </c>
      <c r="AB1258">
        <f>IF([2]Baskol!$K$1261="","",[2]Baskol!$K$1261)</f>
        <v/>
      </c>
      <c r="AC1258">
        <f>IF([2]Baskol!$L$1261="","",[2]Baskol!$L$1261)</f>
        <v/>
      </c>
      <c r="AD1258">
        <f>IF([2]Baskol!$N$1261="","",[2]Baskol!$N$1261)</f>
        <v/>
      </c>
      <c r="AE1258">
        <f>IF([2]Baskol!$O$1261="","",[2]Baskol!$O$1261)</f>
        <v/>
      </c>
      <c r="AG1258">
        <f>IF([3]Entry!$C$1261="","",[3]Entry!$C$1261)</f>
        <v/>
      </c>
      <c r="AH1258">
        <f>IF([3]Entry!$D$1261="","",[3]Entry!$D$1261)</f>
        <v/>
      </c>
      <c r="AI1258">
        <f>IF([3]Entry!$E$1261="","",[3]Entry!$E$1261)</f>
        <v/>
      </c>
      <c r="AJ1258">
        <f>IF([3]Entry!$G$1261="","",[3]Entry!$G$1261)</f>
        <v/>
      </c>
      <c r="AK1258">
        <f>IF([3]Entry!$K$1261="","",[3]Entry!$K$1261)</f>
        <v/>
      </c>
      <c r="AL1258">
        <f>IF([3]Entry!$L$1261="","",[3]Entry!$L$1261)</f>
        <v/>
      </c>
      <c r="AM1258">
        <f>IF([3]Entry!$M$1261="","",[3]Entry!$M$1261)</f>
        <v/>
      </c>
      <c r="AN1258">
        <f>IF([3]Entry!$N$1261="","",[3]Entry!$N$1261)</f>
        <v/>
      </c>
      <c r="AO1258">
        <f>IF([3]Entry!$R$1261="","",[3]Entry!$R$1261)</f>
        <v/>
      </c>
    </row>
    <row r="1259">
      <c r="U1259">
        <f>IF([2]Baskol!$B$1262="","",[2]Baskol!$B$1262)</f>
        <v/>
      </c>
      <c r="V1259">
        <f>IF([2]Baskol!$C$1262="","",[2]Baskol!$C$1262)</f>
        <v/>
      </c>
      <c r="W1259">
        <f>IF([2]Baskol!$D$1262="","",[2]Baskol!$D$1262)</f>
        <v/>
      </c>
      <c r="X1259">
        <f>IF([2]Baskol!$E$1262="","",[2]Baskol!$E$1262)</f>
        <v/>
      </c>
      <c r="Y1259">
        <f>IF([2]Baskol!$G$1262="","",[2]Baskol!$G$1262)</f>
        <v/>
      </c>
      <c r="Z1259">
        <f>IF([2]Baskol!$I$1262="","",[2]Baskol!$I$1262)</f>
        <v/>
      </c>
      <c r="AA1259">
        <f>IF([2]Baskol!$J$1262="","",[2]Baskol!$J$1262)</f>
        <v/>
      </c>
      <c r="AB1259">
        <f>IF([2]Baskol!$K$1262="","",[2]Baskol!$K$1262)</f>
        <v/>
      </c>
      <c r="AC1259">
        <f>IF([2]Baskol!$L$1262="","",[2]Baskol!$L$1262)</f>
        <v/>
      </c>
      <c r="AD1259">
        <f>IF([2]Baskol!$N$1262="","",[2]Baskol!$N$1262)</f>
        <v/>
      </c>
      <c r="AE1259">
        <f>IF([2]Baskol!$O$1262="","",[2]Baskol!$O$1262)</f>
        <v/>
      </c>
      <c r="AG1259">
        <f>IF([3]Entry!$C$1262="","",[3]Entry!$C$1262)</f>
        <v/>
      </c>
      <c r="AH1259">
        <f>IF([3]Entry!$D$1262="","",[3]Entry!$D$1262)</f>
        <v/>
      </c>
      <c r="AI1259">
        <f>IF([3]Entry!$E$1262="","",[3]Entry!$E$1262)</f>
        <v/>
      </c>
      <c r="AJ1259">
        <f>IF([3]Entry!$G$1262="","",[3]Entry!$G$1262)</f>
        <v/>
      </c>
      <c r="AK1259">
        <f>IF([3]Entry!$K$1262="","",[3]Entry!$K$1262)</f>
        <v/>
      </c>
      <c r="AL1259">
        <f>IF([3]Entry!$L$1262="","",[3]Entry!$L$1262)</f>
        <v/>
      </c>
      <c r="AM1259">
        <f>IF([3]Entry!$M$1262="","",[3]Entry!$M$1262)</f>
        <v/>
      </c>
      <c r="AN1259">
        <f>IF([3]Entry!$N$1262="","",[3]Entry!$N$1262)</f>
        <v/>
      </c>
      <c r="AO1259">
        <f>IF([3]Entry!$R$1262="","",[3]Entry!$R$1262)</f>
        <v/>
      </c>
    </row>
    <row r="1260">
      <c r="U1260">
        <f>IF([2]Baskol!$B$1263="","",[2]Baskol!$B$1263)</f>
        <v/>
      </c>
      <c r="V1260">
        <f>IF([2]Baskol!$C$1263="","",[2]Baskol!$C$1263)</f>
        <v/>
      </c>
      <c r="W1260">
        <f>IF([2]Baskol!$D$1263="","",[2]Baskol!$D$1263)</f>
        <v/>
      </c>
      <c r="X1260">
        <f>IF([2]Baskol!$E$1263="","",[2]Baskol!$E$1263)</f>
        <v/>
      </c>
      <c r="Y1260">
        <f>IF([2]Baskol!$G$1263="","",[2]Baskol!$G$1263)</f>
        <v/>
      </c>
      <c r="Z1260">
        <f>IF([2]Baskol!$I$1263="","",[2]Baskol!$I$1263)</f>
        <v/>
      </c>
      <c r="AA1260">
        <f>IF([2]Baskol!$J$1263="","",[2]Baskol!$J$1263)</f>
        <v/>
      </c>
      <c r="AB1260">
        <f>IF([2]Baskol!$K$1263="","",[2]Baskol!$K$1263)</f>
        <v/>
      </c>
      <c r="AC1260">
        <f>IF([2]Baskol!$L$1263="","",[2]Baskol!$L$1263)</f>
        <v/>
      </c>
      <c r="AD1260">
        <f>IF([2]Baskol!$N$1263="","",[2]Baskol!$N$1263)</f>
        <v/>
      </c>
      <c r="AE1260">
        <f>IF([2]Baskol!$O$1263="","",[2]Baskol!$O$1263)</f>
        <v/>
      </c>
      <c r="AG1260">
        <f>IF([3]Entry!$C$1263="","",[3]Entry!$C$1263)</f>
        <v/>
      </c>
      <c r="AH1260">
        <f>IF([3]Entry!$D$1263="","",[3]Entry!$D$1263)</f>
        <v/>
      </c>
      <c r="AI1260">
        <f>IF([3]Entry!$E$1263="","",[3]Entry!$E$1263)</f>
        <v/>
      </c>
      <c r="AJ1260">
        <f>IF([3]Entry!$G$1263="","",[3]Entry!$G$1263)</f>
        <v/>
      </c>
      <c r="AK1260">
        <f>IF([3]Entry!$K$1263="","",[3]Entry!$K$1263)</f>
        <v/>
      </c>
      <c r="AL1260">
        <f>IF([3]Entry!$L$1263="","",[3]Entry!$L$1263)</f>
        <v/>
      </c>
      <c r="AM1260">
        <f>IF([3]Entry!$M$1263="","",[3]Entry!$M$1263)</f>
        <v/>
      </c>
      <c r="AN1260">
        <f>IF([3]Entry!$N$1263="","",[3]Entry!$N$1263)</f>
        <v/>
      </c>
      <c r="AO1260">
        <f>IF([3]Entry!$R$1263="","",[3]Entry!$R$1263)</f>
        <v/>
      </c>
    </row>
    <row r="1261">
      <c r="U1261">
        <f>IF([2]Baskol!$B$1264="","",[2]Baskol!$B$1264)</f>
        <v/>
      </c>
      <c r="V1261">
        <f>IF([2]Baskol!$C$1264="","",[2]Baskol!$C$1264)</f>
        <v/>
      </c>
      <c r="W1261">
        <f>IF([2]Baskol!$D$1264="","",[2]Baskol!$D$1264)</f>
        <v/>
      </c>
      <c r="X1261">
        <f>IF([2]Baskol!$E$1264="","",[2]Baskol!$E$1264)</f>
        <v/>
      </c>
      <c r="Y1261">
        <f>IF([2]Baskol!$G$1264="","",[2]Baskol!$G$1264)</f>
        <v/>
      </c>
      <c r="Z1261">
        <f>IF([2]Baskol!$I$1264="","",[2]Baskol!$I$1264)</f>
        <v/>
      </c>
      <c r="AA1261">
        <f>IF([2]Baskol!$J$1264="","",[2]Baskol!$J$1264)</f>
        <v/>
      </c>
      <c r="AB1261">
        <f>IF([2]Baskol!$K$1264="","",[2]Baskol!$K$1264)</f>
        <v/>
      </c>
      <c r="AC1261">
        <f>IF([2]Baskol!$L$1264="","",[2]Baskol!$L$1264)</f>
        <v/>
      </c>
      <c r="AD1261">
        <f>IF([2]Baskol!$N$1264="","",[2]Baskol!$N$1264)</f>
        <v/>
      </c>
      <c r="AE1261">
        <f>IF([2]Baskol!$O$1264="","",[2]Baskol!$O$1264)</f>
        <v/>
      </c>
      <c r="AG1261">
        <f>IF([3]Entry!$C$1264="","",[3]Entry!$C$1264)</f>
        <v/>
      </c>
      <c r="AH1261">
        <f>IF([3]Entry!$D$1264="","",[3]Entry!$D$1264)</f>
        <v/>
      </c>
      <c r="AI1261">
        <f>IF([3]Entry!$E$1264="","",[3]Entry!$E$1264)</f>
        <v/>
      </c>
      <c r="AJ1261">
        <f>IF([3]Entry!$G$1264="","",[3]Entry!$G$1264)</f>
        <v/>
      </c>
      <c r="AK1261">
        <f>IF([3]Entry!$K$1264="","",[3]Entry!$K$1264)</f>
        <v/>
      </c>
      <c r="AL1261">
        <f>IF([3]Entry!$L$1264="","",[3]Entry!$L$1264)</f>
        <v/>
      </c>
      <c r="AM1261">
        <f>IF([3]Entry!$M$1264="","",[3]Entry!$M$1264)</f>
        <v/>
      </c>
      <c r="AN1261">
        <f>IF([3]Entry!$N$1264="","",[3]Entry!$N$1264)</f>
        <v/>
      </c>
      <c r="AO1261">
        <f>IF([3]Entry!$R$1264="","",[3]Entry!$R$1264)</f>
        <v/>
      </c>
    </row>
    <row r="1262">
      <c r="U1262">
        <f>IF([2]Baskol!$B$1265="","",[2]Baskol!$B$1265)</f>
        <v/>
      </c>
      <c r="V1262">
        <f>IF([2]Baskol!$C$1265="","",[2]Baskol!$C$1265)</f>
        <v/>
      </c>
      <c r="W1262">
        <f>IF([2]Baskol!$D$1265="","",[2]Baskol!$D$1265)</f>
        <v/>
      </c>
      <c r="X1262">
        <f>IF([2]Baskol!$E$1265="","",[2]Baskol!$E$1265)</f>
        <v/>
      </c>
      <c r="Y1262">
        <f>IF([2]Baskol!$G$1265="","",[2]Baskol!$G$1265)</f>
        <v/>
      </c>
      <c r="Z1262">
        <f>IF([2]Baskol!$I$1265="","",[2]Baskol!$I$1265)</f>
        <v/>
      </c>
      <c r="AA1262">
        <f>IF([2]Baskol!$J$1265="","",[2]Baskol!$J$1265)</f>
        <v/>
      </c>
      <c r="AB1262">
        <f>IF([2]Baskol!$K$1265="","",[2]Baskol!$K$1265)</f>
        <v/>
      </c>
      <c r="AC1262">
        <f>IF([2]Baskol!$L$1265="","",[2]Baskol!$L$1265)</f>
        <v/>
      </c>
      <c r="AD1262">
        <f>IF([2]Baskol!$N$1265="","",[2]Baskol!$N$1265)</f>
        <v/>
      </c>
      <c r="AE1262">
        <f>IF([2]Baskol!$O$1265="","",[2]Baskol!$O$1265)</f>
        <v/>
      </c>
      <c r="AG1262">
        <f>IF([3]Entry!$C$1265="","",[3]Entry!$C$1265)</f>
        <v/>
      </c>
      <c r="AH1262">
        <f>IF([3]Entry!$D$1265="","",[3]Entry!$D$1265)</f>
        <v/>
      </c>
      <c r="AI1262">
        <f>IF([3]Entry!$E$1265="","",[3]Entry!$E$1265)</f>
        <v/>
      </c>
      <c r="AJ1262">
        <f>IF([3]Entry!$G$1265="","",[3]Entry!$G$1265)</f>
        <v/>
      </c>
      <c r="AK1262">
        <f>IF([3]Entry!$K$1265="","",[3]Entry!$K$1265)</f>
        <v/>
      </c>
      <c r="AL1262">
        <f>IF([3]Entry!$L$1265="","",[3]Entry!$L$1265)</f>
        <v/>
      </c>
      <c r="AM1262">
        <f>IF([3]Entry!$M$1265="","",[3]Entry!$M$1265)</f>
        <v/>
      </c>
      <c r="AN1262">
        <f>IF([3]Entry!$N$1265="","",[3]Entry!$N$1265)</f>
        <v/>
      </c>
      <c r="AO1262">
        <f>IF([3]Entry!$R$1265="","",[3]Entry!$R$1265)</f>
        <v/>
      </c>
    </row>
    <row r="1263">
      <c r="U1263">
        <f>IF([2]Baskol!$B$1266="","",[2]Baskol!$B$1266)</f>
        <v/>
      </c>
      <c r="V1263">
        <f>IF([2]Baskol!$C$1266="","",[2]Baskol!$C$1266)</f>
        <v/>
      </c>
      <c r="W1263">
        <f>IF([2]Baskol!$D$1266="","",[2]Baskol!$D$1266)</f>
        <v/>
      </c>
      <c r="X1263">
        <f>IF([2]Baskol!$E$1266="","",[2]Baskol!$E$1266)</f>
        <v/>
      </c>
      <c r="Y1263">
        <f>IF([2]Baskol!$G$1266="","",[2]Baskol!$G$1266)</f>
        <v/>
      </c>
      <c r="Z1263">
        <f>IF([2]Baskol!$I$1266="","",[2]Baskol!$I$1266)</f>
        <v/>
      </c>
      <c r="AA1263">
        <f>IF([2]Baskol!$J$1266="","",[2]Baskol!$J$1266)</f>
        <v/>
      </c>
      <c r="AB1263">
        <f>IF([2]Baskol!$K$1266="","",[2]Baskol!$K$1266)</f>
        <v/>
      </c>
      <c r="AC1263">
        <f>IF([2]Baskol!$L$1266="","",[2]Baskol!$L$1266)</f>
        <v/>
      </c>
      <c r="AD1263">
        <f>IF([2]Baskol!$N$1266="","",[2]Baskol!$N$1266)</f>
        <v/>
      </c>
      <c r="AE1263">
        <f>IF([2]Baskol!$O$1266="","",[2]Baskol!$O$1266)</f>
        <v/>
      </c>
      <c r="AG1263">
        <f>IF([3]Entry!$C$1266="","",[3]Entry!$C$1266)</f>
        <v/>
      </c>
      <c r="AH1263">
        <f>IF([3]Entry!$D$1266="","",[3]Entry!$D$1266)</f>
        <v/>
      </c>
      <c r="AI1263">
        <f>IF([3]Entry!$E$1266="","",[3]Entry!$E$1266)</f>
        <v/>
      </c>
      <c r="AJ1263">
        <f>IF([3]Entry!$G$1266="","",[3]Entry!$G$1266)</f>
        <v/>
      </c>
      <c r="AK1263">
        <f>IF([3]Entry!$K$1266="","",[3]Entry!$K$1266)</f>
        <v/>
      </c>
      <c r="AL1263">
        <f>IF([3]Entry!$L$1266="","",[3]Entry!$L$1266)</f>
        <v/>
      </c>
      <c r="AM1263">
        <f>IF([3]Entry!$M$1266="","",[3]Entry!$M$1266)</f>
        <v/>
      </c>
      <c r="AN1263">
        <f>IF([3]Entry!$N$1266="","",[3]Entry!$N$1266)</f>
        <v/>
      </c>
      <c r="AO1263">
        <f>IF([3]Entry!$R$1266="","",[3]Entry!$R$1266)</f>
        <v/>
      </c>
    </row>
    <row r="1264">
      <c r="U1264">
        <f>IF([2]Baskol!$B$1267="","",[2]Baskol!$B$1267)</f>
        <v/>
      </c>
      <c r="V1264">
        <f>IF([2]Baskol!$C$1267="","",[2]Baskol!$C$1267)</f>
        <v/>
      </c>
      <c r="W1264">
        <f>IF([2]Baskol!$D$1267="","",[2]Baskol!$D$1267)</f>
        <v/>
      </c>
      <c r="X1264">
        <f>IF([2]Baskol!$E$1267="","",[2]Baskol!$E$1267)</f>
        <v/>
      </c>
      <c r="Y1264">
        <f>IF([2]Baskol!$G$1267="","",[2]Baskol!$G$1267)</f>
        <v/>
      </c>
      <c r="Z1264">
        <f>IF([2]Baskol!$I$1267="","",[2]Baskol!$I$1267)</f>
        <v/>
      </c>
      <c r="AA1264">
        <f>IF([2]Baskol!$J$1267="","",[2]Baskol!$J$1267)</f>
        <v/>
      </c>
      <c r="AB1264">
        <f>IF([2]Baskol!$K$1267="","",[2]Baskol!$K$1267)</f>
        <v/>
      </c>
      <c r="AC1264">
        <f>IF([2]Baskol!$L$1267="","",[2]Baskol!$L$1267)</f>
        <v/>
      </c>
      <c r="AD1264">
        <f>IF([2]Baskol!$N$1267="","",[2]Baskol!$N$1267)</f>
        <v/>
      </c>
      <c r="AE1264">
        <f>IF([2]Baskol!$O$1267="","",[2]Baskol!$O$1267)</f>
        <v/>
      </c>
      <c r="AG1264">
        <f>IF([3]Entry!$C$1267="","",[3]Entry!$C$1267)</f>
        <v/>
      </c>
      <c r="AH1264">
        <f>IF([3]Entry!$D$1267="","",[3]Entry!$D$1267)</f>
        <v/>
      </c>
      <c r="AI1264">
        <f>IF([3]Entry!$E$1267="","",[3]Entry!$E$1267)</f>
        <v/>
      </c>
      <c r="AJ1264">
        <f>IF([3]Entry!$G$1267="","",[3]Entry!$G$1267)</f>
        <v/>
      </c>
      <c r="AK1264">
        <f>IF([3]Entry!$K$1267="","",[3]Entry!$K$1267)</f>
        <v/>
      </c>
      <c r="AL1264">
        <f>IF([3]Entry!$L$1267="","",[3]Entry!$L$1267)</f>
        <v/>
      </c>
      <c r="AM1264">
        <f>IF([3]Entry!$M$1267="","",[3]Entry!$M$1267)</f>
        <v/>
      </c>
      <c r="AN1264">
        <f>IF([3]Entry!$N$1267="","",[3]Entry!$N$1267)</f>
        <v/>
      </c>
      <c r="AO1264">
        <f>IF([3]Entry!$R$1267="","",[3]Entry!$R$1267)</f>
        <v/>
      </c>
    </row>
    <row r="1265">
      <c r="U1265">
        <f>IF([2]Baskol!$B$1268="","",[2]Baskol!$B$1268)</f>
        <v/>
      </c>
      <c r="V1265">
        <f>IF([2]Baskol!$C$1268="","",[2]Baskol!$C$1268)</f>
        <v/>
      </c>
      <c r="W1265">
        <f>IF([2]Baskol!$D$1268="","",[2]Baskol!$D$1268)</f>
        <v/>
      </c>
      <c r="X1265">
        <f>IF([2]Baskol!$E$1268="","",[2]Baskol!$E$1268)</f>
        <v/>
      </c>
      <c r="Y1265">
        <f>IF([2]Baskol!$G$1268="","",[2]Baskol!$G$1268)</f>
        <v/>
      </c>
      <c r="Z1265">
        <f>IF([2]Baskol!$I$1268="","",[2]Baskol!$I$1268)</f>
        <v/>
      </c>
      <c r="AA1265">
        <f>IF([2]Baskol!$J$1268="","",[2]Baskol!$J$1268)</f>
        <v/>
      </c>
      <c r="AB1265">
        <f>IF([2]Baskol!$K$1268="","",[2]Baskol!$K$1268)</f>
        <v/>
      </c>
      <c r="AC1265">
        <f>IF([2]Baskol!$L$1268="","",[2]Baskol!$L$1268)</f>
        <v/>
      </c>
      <c r="AD1265">
        <f>IF([2]Baskol!$N$1268="","",[2]Baskol!$N$1268)</f>
        <v/>
      </c>
      <c r="AE1265">
        <f>IF([2]Baskol!$O$1268="","",[2]Baskol!$O$1268)</f>
        <v/>
      </c>
      <c r="AG1265">
        <f>IF([3]Entry!$C$1268="","",[3]Entry!$C$1268)</f>
        <v/>
      </c>
      <c r="AH1265">
        <f>IF([3]Entry!$D$1268="","",[3]Entry!$D$1268)</f>
        <v/>
      </c>
      <c r="AI1265">
        <f>IF([3]Entry!$E$1268="","",[3]Entry!$E$1268)</f>
        <v/>
      </c>
      <c r="AJ1265">
        <f>IF([3]Entry!$G$1268="","",[3]Entry!$G$1268)</f>
        <v/>
      </c>
      <c r="AK1265">
        <f>IF([3]Entry!$K$1268="","",[3]Entry!$K$1268)</f>
        <v/>
      </c>
      <c r="AL1265">
        <f>IF([3]Entry!$L$1268="","",[3]Entry!$L$1268)</f>
        <v/>
      </c>
      <c r="AM1265">
        <f>IF([3]Entry!$M$1268="","",[3]Entry!$M$1268)</f>
        <v/>
      </c>
      <c r="AN1265">
        <f>IF([3]Entry!$N$1268="","",[3]Entry!$N$1268)</f>
        <v/>
      </c>
      <c r="AO1265">
        <f>IF([3]Entry!$R$1268="","",[3]Entry!$R$1268)</f>
        <v/>
      </c>
    </row>
    <row r="1266">
      <c r="U1266">
        <f>IF([2]Baskol!$B$1269="","",[2]Baskol!$B$1269)</f>
        <v/>
      </c>
      <c r="V1266">
        <f>IF([2]Baskol!$C$1269="","",[2]Baskol!$C$1269)</f>
        <v/>
      </c>
      <c r="W1266">
        <f>IF([2]Baskol!$D$1269="","",[2]Baskol!$D$1269)</f>
        <v/>
      </c>
      <c r="X1266">
        <f>IF([2]Baskol!$E$1269="","",[2]Baskol!$E$1269)</f>
        <v/>
      </c>
      <c r="Y1266">
        <f>IF([2]Baskol!$G$1269="","",[2]Baskol!$G$1269)</f>
        <v/>
      </c>
      <c r="Z1266">
        <f>IF([2]Baskol!$I$1269="","",[2]Baskol!$I$1269)</f>
        <v/>
      </c>
      <c r="AA1266">
        <f>IF([2]Baskol!$J$1269="","",[2]Baskol!$J$1269)</f>
        <v/>
      </c>
      <c r="AB1266">
        <f>IF([2]Baskol!$K$1269="","",[2]Baskol!$K$1269)</f>
        <v/>
      </c>
      <c r="AC1266">
        <f>IF([2]Baskol!$L$1269="","",[2]Baskol!$L$1269)</f>
        <v/>
      </c>
      <c r="AD1266">
        <f>IF([2]Baskol!$N$1269="","",[2]Baskol!$N$1269)</f>
        <v/>
      </c>
      <c r="AE1266">
        <f>IF([2]Baskol!$O$1269="","",[2]Baskol!$O$1269)</f>
        <v/>
      </c>
      <c r="AG1266">
        <f>IF([3]Entry!$C$1269="","",[3]Entry!$C$1269)</f>
        <v/>
      </c>
      <c r="AH1266">
        <f>IF([3]Entry!$D$1269="","",[3]Entry!$D$1269)</f>
        <v/>
      </c>
      <c r="AI1266">
        <f>IF([3]Entry!$E$1269="","",[3]Entry!$E$1269)</f>
        <v/>
      </c>
      <c r="AJ1266">
        <f>IF([3]Entry!$G$1269="","",[3]Entry!$G$1269)</f>
        <v/>
      </c>
      <c r="AK1266">
        <f>IF([3]Entry!$K$1269="","",[3]Entry!$K$1269)</f>
        <v/>
      </c>
      <c r="AL1266">
        <f>IF([3]Entry!$L$1269="","",[3]Entry!$L$1269)</f>
        <v/>
      </c>
      <c r="AM1266">
        <f>IF([3]Entry!$M$1269="","",[3]Entry!$M$1269)</f>
        <v/>
      </c>
      <c r="AN1266">
        <f>IF([3]Entry!$N$1269="","",[3]Entry!$N$1269)</f>
        <v/>
      </c>
      <c r="AO1266">
        <f>IF([3]Entry!$R$1269="","",[3]Entry!$R$1269)</f>
        <v/>
      </c>
    </row>
    <row r="1267">
      <c r="U1267">
        <f>IF([2]Baskol!$B$1270="","",[2]Baskol!$B$1270)</f>
        <v/>
      </c>
      <c r="V1267">
        <f>IF([2]Baskol!$C$1270="","",[2]Baskol!$C$1270)</f>
        <v/>
      </c>
      <c r="W1267">
        <f>IF([2]Baskol!$D$1270="","",[2]Baskol!$D$1270)</f>
        <v/>
      </c>
      <c r="X1267">
        <f>IF([2]Baskol!$E$1270="","",[2]Baskol!$E$1270)</f>
        <v/>
      </c>
      <c r="Y1267">
        <f>IF([2]Baskol!$G$1270="","",[2]Baskol!$G$1270)</f>
        <v/>
      </c>
      <c r="Z1267">
        <f>IF([2]Baskol!$I$1270="","",[2]Baskol!$I$1270)</f>
        <v/>
      </c>
      <c r="AA1267">
        <f>IF([2]Baskol!$J$1270="","",[2]Baskol!$J$1270)</f>
        <v/>
      </c>
      <c r="AB1267">
        <f>IF([2]Baskol!$K$1270="","",[2]Baskol!$K$1270)</f>
        <v/>
      </c>
      <c r="AC1267">
        <f>IF([2]Baskol!$L$1270="","",[2]Baskol!$L$1270)</f>
        <v/>
      </c>
      <c r="AD1267">
        <f>IF([2]Baskol!$N$1270="","",[2]Baskol!$N$1270)</f>
        <v/>
      </c>
      <c r="AE1267">
        <f>IF([2]Baskol!$O$1270="","",[2]Baskol!$O$1270)</f>
        <v/>
      </c>
      <c r="AG1267">
        <f>IF([3]Entry!$C$1270="","",[3]Entry!$C$1270)</f>
        <v/>
      </c>
      <c r="AH1267">
        <f>IF([3]Entry!$D$1270="","",[3]Entry!$D$1270)</f>
        <v/>
      </c>
      <c r="AI1267">
        <f>IF([3]Entry!$E$1270="","",[3]Entry!$E$1270)</f>
        <v/>
      </c>
      <c r="AJ1267">
        <f>IF([3]Entry!$G$1270="","",[3]Entry!$G$1270)</f>
        <v/>
      </c>
      <c r="AK1267">
        <f>IF([3]Entry!$K$1270="","",[3]Entry!$K$1270)</f>
        <v/>
      </c>
      <c r="AL1267">
        <f>IF([3]Entry!$L$1270="","",[3]Entry!$L$1270)</f>
        <v/>
      </c>
      <c r="AM1267">
        <f>IF([3]Entry!$M$1270="","",[3]Entry!$M$1270)</f>
        <v/>
      </c>
      <c r="AN1267">
        <f>IF([3]Entry!$N$1270="","",[3]Entry!$N$1270)</f>
        <v/>
      </c>
      <c r="AO1267">
        <f>IF([3]Entry!$R$1270="","",[3]Entry!$R$1270)</f>
        <v/>
      </c>
    </row>
    <row r="1268">
      <c r="U1268">
        <f>IF([2]Baskol!$B$1271="","",[2]Baskol!$B$1271)</f>
        <v/>
      </c>
      <c r="V1268">
        <f>IF([2]Baskol!$C$1271="","",[2]Baskol!$C$1271)</f>
        <v/>
      </c>
      <c r="W1268">
        <f>IF([2]Baskol!$D$1271="","",[2]Baskol!$D$1271)</f>
        <v/>
      </c>
      <c r="X1268">
        <f>IF([2]Baskol!$E$1271="","",[2]Baskol!$E$1271)</f>
        <v/>
      </c>
      <c r="Y1268">
        <f>IF([2]Baskol!$G$1271="","",[2]Baskol!$G$1271)</f>
        <v/>
      </c>
      <c r="Z1268">
        <f>IF([2]Baskol!$I$1271="","",[2]Baskol!$I$1271)</f>
        <v/>
      </c>
      <c r="AA1268">
        <f>IF([2]Baskol!$J$1271="","",[2]Baskol!$J$1271)</f>
        <v/>
      </c>
      <c r="AB1268">
        <f>IF([2]Baskol!$K$1271="","",[2]Baskol!$K$1271)</f>
        <v/>
      </c>
      <c r="AC1268">
        <f>IF([2]Baskol!$L$1271="","",[2]Baskol!$L$1271)</f>
        <v/>
      </c>
      <c r="AD1268">
        <f>IF([2]Baskol!$N$1271="","",[2]Baskol!$N$1271)</f>
        <v/>
      </c>
      <c r="AE1268">
        <f>IF([2]Baskol!$O$1271="","",[2]Baskol!$O$1271)</f>
        <v/>
      </c>
      <c r="AG1268">
        <f>IF([3]Entry!$C$1271="","",[3]Entry!$C$1271)</f>
        <v/>
      </c>
      <c r="AH1268">
        <f>IF([3]Entry!$D$1271="","",[3]Entry!$D$1271)</f>
        <v/>
      </c>
      <c r="AI1268">
        <f>IF([3]Entry!$E$1271="","",[3]Entry!$E$1271)</f>
        <v/>
      </c>
      <c r="AJ1268">
        <f>IF([3]Entry!$G$1271="","",[3]Entry!$G$1271)</f>
        <v/>
      </c>
      <c r="AK1268">
        <f>IF([3]Entry!$K$1271="","",[3]Entry!$K$1271)</f>
        <v/>
      </c>
      <c r="AL1268">
        <f>IF([3]Entry!$L$1271="","",[3]Entry!$L$1271)</f>
        <v/>
      </c>
      <c r="AM1268">
        <f>IF([3]Entry!$M$1271="","",[3]Entry!$M$1271)</f>
        <v/>
      </c>
      <c r="AN1268">
        <f>IF([3]Entry!$N$1271="","",[3]Entry!$N$1271)</f>
        <v/>
      </c>
      <c r="AO1268">
        <f>IF([3]Entry!$R$1271="","",[3]Entry!$R$1271)</f>
        <v/>
      </c>
    </row>
    <row r="1269">
      <c r="U1269">
        <f>IF([2]Baskol!$B$1272="","",[2]Baskol!$B$1272)</f>
        <v/>
      </c>
      <c r="V1269">
        <f>IF([2]Baskol!$C$1272="","",[2]Baskol!$C$1272)</f>
        <v/>
      </c>
      <c r="W1269">
        <f>IF([2]Baskol!$D$1272="","",[2]Baskol!$D$1272)</f>
        <v/>
      </c>
      <c r="X1269">
        <f>IF([2]Baskol!$E$1272="","",[2]Baskol!$E$1272)</f>
        <v/>
      </c>
      <c r="Y1269">
        <f>IF([2]Baskol!$G$1272="","",[2]Baskol!$G$1272)</f>
        <v/>
      </c>
      <c r="Z1269">
        <f>IF([2]Baskol!$I$1272="","",[2]Baskol!$I$1272)</f>
        <v/>
      </c>
      <c r="AA1269">
        <f>IF([2]Baskol!$J$1272="","",[2]Baskol!$J$1272)</f>
        <v/>
      </c>
      <c r="AB1269">
        <f>IF([2]Baskol!$K$1272="","",[2]Baskol!$K$1272)</f>
        <v/>
      </c>
      <c r="AC1269">
        <f>IF([2]Baskol!$L$1272="","",[2]Baskol!$L$1272)</f>
        <v/>
      </c>
      <c r="AD1269">
        <f>IF([2]Baskol!$N$1272="","",[2]Baskol!$N$1272)</f>
        <v/>
      </c>
      <c r="AE1269">
        <f>IF([2]Baskol!$O$1272="","",[2]Baskol!$O$1272)</f>
        <v/>
      </c>
      <c r="AG1269">
        <f>IF([3]Entry!$C$1272="","",[3]Entry!$C$1272)</f>
        <v/>
      </c>
      <c r="AH1269">
        <f>IF([3]Entry!$D$1272="","",[3]Entry!$D$1272)</f>
        <v/>
      </c>
      <c r="AI1269">
        <f>IF([3]Entry!$E$1272="","",[3]Entry!$E$1272)</f>
        <v/>
      </c>
      <c r="AJ1269">
        <f>IF([3]Entry!$G$1272="","",[3]Entry!$G$1272)</f>
        <v/>
      </c>
      <c r="AK1269">
        <f>IF([3]Entry!$K$1272="","",[3]Entry!$K$1272)</f>
        <v/>
      </c>
      <c r="AL1269">
        <f>IF([3]Entry!$L$1272="","",[3]Entry!$L$1272)</f>
        <v/>
      </c>
      <c r="AM1269">
        <f>IF([3]Entry!$M$1272="","",[3]Entry!$M$1272)</f>
        <v/>
      </c>
      <c r="AN1269">
        <f>IF([3]Entry!$N$1272="","",[3]Entry!$N$1272)</f>
        <v/>
      </c>
      <c r="AO1269">
        <f>IF([3]Entry!$R$1272="","",[3]Entry!$R$1272)</f>
        <v/>
      </c>
    </row>
    <row r="1270">
      <c r="U1270">
        <f>IF([2]Baskol!$B$1273="","",[2]Baskol!$B$1273)</f>
        <v/>
      </c>
      <c r="V1270">
        <f>IF([2]Baskol!$C$1273="","",[2]Baskol!$C$1273)</f>
        <v/>
      </c>
      <c r="W1270">
        <f>IF([2]Baskol!$D$1273="","",[2]Baskol!$D$1273)</f>
        <v/>
      </c>
      <c r="X1270">
        <f>IF([2]Baskol!$E$1273="","",[2]Baskol!$E$1273)</f>
        <v/>
      </c>
      <c r="Y1270">
        <f>IF([2]Baskol!$G$1273="","",[2]Baskol!$G$1273)</f>
        <v/>
      </c>
      <c r="Z1270">
        <f>IF([2]Baskol!$I$1273="","",[2]Baskol!$I$1273)</f>
        <v/>
      </c>
      <c r="AA1270">
        <f>IF([2]Baskol!$J$1273="","",[2]Baskol!$J$1273)</f>
        <v/>
      </c>
      <c r="AB1270">
        <f>IF([2]Baskol!$K$1273="","",[2]Baskol!$K$1273)</f>
        <v/>
      </c>
      <c r="AC1270">
        <f>IF([2]Baskol!$L$1273="","",[2]Baskol!$L$1273)</f>
        <v/>
      </c>
      <c r="AD1270">
        <f>IF([2]Baskol!$N$1273="","",[2]Baskol!$N$1273)</f>
        <v/>
      </c>
      <c r="AE1270">
        <f>IF([2]Baskol!$O$1273="","",[2]Baskol!$O$1273)</f>
        <v/>
      </c>
      <c r="AG1270">
        <f>IF([3]Entry!$C$1273="","",[3]Entry!$C$1273)</f>
        <v/>
      </c>
      <c r="AH1270">
        <f>IF([3]Entry!$D$1273="","",[3]Entry!$D$1273)</f>
        <v/>
      </c>
      <c r="AI1270">
        <f>IF([3]Entry!$E$1273="","",[3]Entry!$E$1273)</f>
        <v/>
      </c>
      <c r="AJ1270">
        <f>IF([3]Entry!$G$1273="","",[3]Entry!$G$1273)</f>
        <v/>
      </c>
      <c r="AK1270">
        <f>IF([3]Entry!$K$1273="","",[3]Entry!$K$1273)</f>
        <v/>
      </c>
      <c r="AL1270">
        <f>IF([3]Entry!$L$1273="","",[3]Entry!$L$1273)</f>
        <v/>
      </c>
      <c r="AM1270">
        <f>IF([3]Entry!$M$1273="","",[3]Entry!$M$1273)</f>
        <v/>
      </c>
      <c r="AN1270">
        <f>IF([3]Entry!$N$1273="","",[3]Entry!$N$1273)</f>
        <v/>
      </c>
      <c r="AO1270">
        <f>IF([3]Entry!$R$1273="","",[3]Entry!$R$1273)</f>
        <v/>
      </c>
    </row>
    <row r="1271">
      <c r="U1271">
        <f>IF([2]Baskol!$B$1274="","",[2]Baskol!$B$1274)</f>
        <v/>
      </c>
      <c r="V1271">
        <f>IF([2]Baskol!$C$1274="","",[2]Baskol!$C$1274)</f>
        <v/>
      </c>
      <c r="W1271">
        <f>IF([2]Baskol!$D$1274="","",[2]Baskol!$D$1274)</f>
        <v/>
      </c>
      <c r="X1271">
        <f>IF([2]Baskol!$E$1274="","",[2]Baskol!$E$1274)</f>
        <v/>
      </c>
      <c r="Y1271">
        <f>IF([2]Baskol!$G$1274="","",[2]Baskol!$G$1274)</f>
        <v/>
      </c>
      <c r="Z1271">
        <f>IF([2]Baskol!$I$1274="","",[2]Baskol!$I$1274)</f>
        <v/>
      </c>
      <c r="AA1271">
        <f>IF([2]Baskol!$J$1274="","",[2]Baskol!$J$1274)</f>
        <v/>
      </c>
      <c r="AB1271">
        <f>IF([2]Baskol!$K$1274="","",[2]Baskol!$K$1274)</f>
        <v/>
      </c>
      <c r="AC1271">
        <f>IF([2]Baskol!$L$1274="","",[2]Baskol!$L$1274)</f>
        <v/>
      </c>
      <c r="AD1271">
        <f>IF([2]Baskol!$N$1274="","",[2]Baskol!$N$1274)</f>
        <v/>
      </c>
      <c r="AE1271">
        <f>IF([2]Baskol!$O$1274="","",[2]Baskol!$O$1274)</f>
        <v/>
      </c>
      <c r="AG1271">
        <f>IF([3]Entry!$C$1274="","",[3]Entry!$C$1274)</f>
        <v/>
      </c>
      <c r="AH1271">
        <f>IF([3]Entry!$D$1274="","",[3]Entry!$D$1274)</f>
        <v/>
      </c>
      <c r="AI1271">
        <f>IF([3]Entry!$E$1274="","",[3]Entry!$E$1274)</f>
        <v/>
      </c>
      <c r="AJ1271">
        <f>IF([3]Entry!$G$1274="","",[3]Entry!$G$1274)</f>
        <v/>
      </c>
      <c r="AK1271">
        <f>IF([3]Entry!$K$1274="","",[3]Entry!$K$1274)</f>
        <v/>
      </c>
      <c r="AL1271">
        <f>IF([3]Entry!$L$1274="","",[3]Entry!$L$1274)</f>
        <v/>
      </c>
      <c r="AM1271">
        <f>IF([3]Entry!$M$1274="","",[3]Entry!$M$1274)</f>
        <v/>
      </c>
      <c r="AN1271">
        <f>IF([3]Entry!$N$1274="","",[3]Entry!$N$1274)</f>
        <v/>
      </c>
      <c r="AO1271">
        <f>IF([3]Entry!$R$1274="","",[3]Entry!$R$1274)</f>
        <v/>
      </c>
    </row>
    <row r="1272">
      <c r="U1272">
        <f>IF([2]Baskol!$B$1275="","",[2]Baskol!$B$1275)</f>
        <v/>
      </c>
      <c r="V1272">
        <f>IF([2]Baskol!$C$1275="","",[2]Baskol!$C$1275)</f>
        <v/>
      </c>
      <c r="W1272">
        <f>IF([2]Baskol!$D$1275="","",[2]Baskol!$D$1275)</f>
        <v/>
      </c>
      <c r="X1272">
        <f>IF([2]Baskol!$E$1275="","",[2]Baskol!$E$1275)</f>
        <v/>
      </c>
      <c r="Y1272">
        <f>IF([2]Baskol!$G$1275="","",[2]Baskol!$G$1275)</f>
        <v/>
      </c>
      <c r="Z1272">
        <f>IF([2]Baskol!$I$1275="","",[2]Baskol!$I$1275)</f>
        <v/>
      </c>
      <c r="AA1272">
        <f>IF([2]Baskol!$J$1275="","",[2]Baskol!$J$1275)</f>
        <v/>
      </c>
      <c r="AB1272">
        <f>IF([2]Baskol!$K$1275="","",[2]Baskol!$K$1275)</f>
        <v/>
      </c>
      <c r="AC1272">
        <f>IF([2]Baskol!$L$1275="","",[2]Baskol!$L$1275)</f>
        <v/>
      </c>
      <c r="AD1272">
        <f>IF([2]Baskol!$N$1275="","",[2]Baskol!$N$1275)</f>
        <v/>
      </c>
      <c r="AE1272">
        <f>IF([2]Baskol!$O$1275="","",[2]Baskol!$O$1275)</f>
        <v/>
      </c>
      <c r="AG1272">
        <f>IF([3]Entry!$C$1275="","",[3]Entry!$C$1275)</f>
        <v/>
      </c>
      <c r="AH1272">
        <f>IF([3]Entry!$D$1275="","",[3]Entry!$D$1275)</f>
        <v/>
      </c>
      <c r="AI1272">
        <f>IF([3]Entry!$E$1275="","",[3]Entry!$E$1275)</f>
        <v/>
      </c>
      <c r="AJ1272">
        <f>IF([3]Entry!$G$1275="","",[3]Entry!$G$1275)</f>
        <v/>
      </c>
      <c r="AK1272">
        <f>IF([3]Entry!$K$1275="","",[3]Entry!$K$1275)</f>
        <v/>
      </c>
      <c r="AL1272">
        <f>IF([3]Entry!$L$1275="","",[3]Entry!$L$1275)</f>
        <v/>
      </c>
      <c r="AM1272">
        <f>IF([3]Entry!$M$1275="","",[3]Entry!$M$1275)</f>
        <v/>
      </c>
      <c r="AN1272">
        <f>IF([3]Entry!$N$1275="","",[3]Entry!$N$1275)</f>
        <v/>
      </c>
      <c r="AO1272">
        <f>IF([3]Entry!$R$1275="","",[3]Entry!$R$1275)</f>
        <v/>
      </c>
    </row>
    <row r="1273">
      <c r="U1273">
        <f>IF([2]Baskol!$B$1276="","",[2]Baskol!$B$1276)</f>
        <v/>
      </c>
      <c r="V1273">
        <f>IF([2]Baskol!$C$1276="","",[2]Baskol!$C$1276)</f>
        <v/>
      </c>
      <c r="W1273">
        <f>IF([2]Baskol!$D$1276="","",[2]Baskol!$D$1276)</f>
        <v/>
      </c>
      <c r="X1273">
        <f>IF([2]Baskol!$E$1276="","",[2]Baskol!$E$1276)</f>
        <v/>
      </c>
      <c r="Y1273">
        <f>IF([2]Baskol!$G$1276="","",[2]Baskol!$G$1276)</f>
        <v/>
      </c>
      <c r="Z1273">
        <f>IF([2]Baskol!$I$1276="","",[2]Baskol!$I$1276)</f>
        <v/>
      </c>
      <c r="AA1273">
        <f>IF([2]Baskol!$J$1276="","",[2]Baskol!$J$1276)</f>
        <v/>
      </c>
      <c r="AB1273">
        <f>IF([2]Baskol!$K$1276="","",[2]Baskol!$K$1276)</f>
        <v/>
      </c>
      <c r="AC1273">
        <f>IF([2]Baskol!$L$1276="","",[2]Baskol!$L$1276)</f>
        <v/>
      </c>
      <c r="AD1273">
        <f>IF([2]Baskol!$N$1276="","",[2]Baskol!$N$1276)</f>
        <v/>
      </c>
      <c r="AE1273">
        <f>IF([2]Baskol!$O$1276="","",[2]Baskol!$O$1276)</f>
        <v/>
      </c>
      <c r="AG1273">
        <f>IF([3]Entry!$C$1276="","",[3]Entry!$C$1276)</f>
        <v/>
      </c>
      <c r="AH1273">
        <f>IF([3]Entry!$D$1276="","",[3]Entry!$D$1276)</f>
        <v/>
      </c>
      <c r="AI1273">
        <f>IF([3]Entry!$E$1276="","",[3]Entry!$E$1276)</f>
        <v/>
      </c>
      <c r="AJ1273">
        <f>IF([3]Entry!$G$1276="","",[3]Entry!$G$1276)</f>
        <v/>
      </c>
      <c r="AK1273">
        <f>IF([3]Entry!$K$1276="","",[3]Entry!$K$1276)</f>
        <v/>
      </c>
      <c r="AL1273">
        <f>IF([3]Entry!$L$1276="","",[3]Entry!$L$1276)</f>
        <v/>
      </c>
      <c r="AM1273">
        <f>IF([3]Entry!$M$1276="","",[3]Entry!$M$1276)</f>
        <v/>
      </c>
      <c r="AN1273">
        <f>IF([3]Entry!$N$1276="","",[3]Entry!$N$1276)</f>
        <v/>
      </c>
      <c r="AO1273">
        <f>IF([3]Entry!$R$1276="","",[3]Entry!$R$1276)</f>
        <v/>
      </c>
    </row>
    <row r="1274">
      <c r="U1274">
        <f>IF([2]Baskol!$B$1277="","",[2]Baskol!$B$1277)</f>
        <v/>
      </c>
      <c r="V1274">
        <f>IF([2]Baskol!$C$1277="","",[2]Baskol!$C$1277)</f>
        <v/>
      </c>
      <c r="W1274">
        <f>IF([2]Baskol!$D$1277="","",[2]Baskol!$D$1277)</f>
        <v/>
      </c>
      <c r="X1274">
        <f>IF([2]Baskol!$E$1277="","",[2]Baskol!$E$1277)</f>
        <v/>
      </c>
      <c r="Y1274">
        <f>IF([2]Baskol!$G$1277="","",[2]Baskol!$G$1277)</f>
        <v/>
      </c>
      <c r="Z1274">
        <f>IF([2]Baskol!$I$1277="","",[2]Baskol!$I$1277)</f>
        <v/>
      </c>
      <c r="AA1274">
        <f>IF([2]Baskol!$J$1277="","",[2]Baskol!$J$1277)</f>
        <v/>
      </c>
      <c r="AB1274">
        <f>IF([2]Baskol!$K$1277="","",[2]Baskol!$K$1277)</f>
        <v/>
      </c>
      <c r="AC1274">
        <f>IF([2]Baskol!$L$1277="","",[2]Baskol!$L$1277)</f>
        <v/>
      </c>
      <c r="AD1274">
        <f>IF([2]Baskol!$N$1277="","",[2]Baskol!$N$1277)</f>
        <v/>
      </c>
      <c r="AE1274">
        <f>IF([2]Baskol!$O$1277="","",[2]Baskol!$O$1277)</f>
        <v/>
      </c>
      <c r="AG1274">
        <f>IF([3]Entry!$C$1277="","",[3]Entry!$C$1277)</f>
        <v/>
      </c>
      <c r="AH1274">
        <f>IF([3]Entry!$D$1277="","",[3]Entry!$D$1277)</f>
        <v/>
      </c>
      <c r="AI1274">
        <f>IF([3]Entry!$E$1277="","",[3]Entry!$E$1277)</f>
        <v/>
      </c>
      <c r="AJ1274">
        <f>IF([3]Entry!$G$1277="","",[3]Entry!$G$1277)</f>
        <v/>
      </c>
      <c r="AK1274">
        <f>IF([3]Entry!$K$1277="","",[3]Entry!$K$1277)</f>
        <v/>
      </c>
      <c r="AL1274">
        <f>IF([3]Entry!$L$1277="","",[3]Entry!$L$1277)</f>
        <v/>
      </c>
      <c r="AM1274">
        <f>IF([3]Entry!$M$1277="","",[3]Entry!$M$1277)</f>
        <v/>
      </c>
      <c r="AN1274">
        <f>IF([3]Entry!$N$1277="","",[3]Entry!$N$1277)</f>
        <v/>
      </c>
      <c r="AO1274">
        <f>IF([3]Entry!$R$1277="","",[3]Entry!$R$1277)</f>
        <v/>
      </c>
    </row>
    <row r="1275">
      <c r="U1275">
        <f>IF([2]Baskol!$B$1278="","",[2]Baskol!$B$1278)</f>
        <v/>
      </c>
      <c r="V1275">
        <f>IF([2]Baskol!$C$1278="","",[2]Baskol!$C$1278)</f>
        <v/>
      </c>
      <c r="W1275">
        <f>IF([2]Baskol!$D$1278="","",[2]Baskol!$D$1278)</f>
        <v/>
      </c>
      <c r="X1275">
        <f>IF([2]Baskol!$E$1278="","",[2]Baskol!$E$1278)</f>
        <v/>
      </c>
      <c r="Y1275">
        <f>IF([2]Baskol!$G$1278="","",[2]Baskol!$G$1278)</f>
        <v/>
      </c>
      <c r="Z1275">
        <f>IF([2]Baskol!$I$1278="","",[2]Baskol!$I$1278)</f>
        <v/>
      </c>
      <c r="AA1275">
        <f>IF([2]Baskol!$J$1278="","",[2]Baskol!$J$1278)</f>
        <v/>
      </c>
      <c r="AB1275">
        <f>IF([2]Baskol!$K$1278="","",[2]Baskol!$K$1278)</f>
        <v/>
      </c>
      <c r="AC1275">
        <f>IF([2]Baskol!$L$1278="","",[2]Baskol!$L$1278)</f>
        <v/>
      </c>
      <c r="AD1275">
        <f>IF([2]Baskol!$N$1278="","",[2]Baskol!$N$1278)</f>
        <v/>
      </c>
      <c r="AE1275">
        <f>IF([2]Baskol!$O$1278="","",[2]Baskol!$O$1278)</f>
        <v/>
      </c>
      <c r="AG1275">
        <f>IF([3]Entry!$C$1278="","",[3]Entry!$C$1278)</f>
        <v/>
      </c>
      <c r="AH1275">
        <f>IF([3]Entry!$D$1278="","",[3]Entry!$D$1278)</f>
        <v/>
      </c>
      <c r="AI1275">
        <f>IF([3]Entry!$E$1278="","",[3]Entry!$E$1278)</f>
        <v/>
      </c>
      <c r="AJ1275">
        <f>IF([3]Entry!$G$1278="","",[3]Entry!$G$1278)</f>
        <v/>
      </c>
      <c r="AK1275">
        <f>IF([3]Entry!$K$1278="","",[3]Entry!$K$1278)</f>
        <v/>
      </c>
      <c r="AL1275">
        <f>IF([3]Entry!$L$1278="","",[3]Entry!$L$1278)</f>
        <v/>
      </c>
      <c r="AM1275">
        <f>IF([3]Entry!$M$1278="","",[3]Entry!$M$1278)</f>
        <v/>
      </c>
      <c r="AN1275">
        <f>IF([3]Entry!$N$1278="","",[3]Entry!$N$1278)</f>
        <v/>
      </c>
      <c r="AO1275">
        <f>IF([3]Entry!$R$1278="","",[3]Entry!$R$1278)</f>
        <v/>
      </c>
    </row>
    <row r="1276">
      <c r="U1276">
        <f>IF([2]Baskol!$B$1279="","",[2]Baskol!$B$1279)</f>
        <v/>
      </c>
      <c r="V1276">
        <f>IF([2]Baskol!$C$1279="","",[2]Baskol!$C$1279)</f>
        <v/>
      </c>
      <c r="W1276">
        <f>IF([2]Baskol!$D$1279="","",[2]Baskol!$D$1279)</f>
        <v/>
      </c>
      <c r="X1276">
        <f>IF([2]Baskol!$E$1279="","",[2]Baskol!$E$1279)</f>
        <v/>
      </c>
      <c r="Y1276">
        <f>IF([2]Baskol!$G$1279="","",[2]Baskol!$G$1279)</f>
        <v/>
      </c>
      <c r="Z1276">
        <f>IF([2]Baskol!$I$1279="","",[2]Baskol!$I$1279)</f>
        <v/>
      </c>
      <c r="AA1276">
        <f>IF([2]Baskol!$J$1279="","",[2]Baskol!$J$1279)</f>
        <v/>
      </c>
      <c r="AB1276">
        <f>IF([2]Baskol!$K$1279="","",[2]Baskol!$K$1279)</f>
        <v/>
      </c>
      <c r="AC1276">
        <f>IF([2]Baskol!$L$1279="","",[2]Baskol!$L$1279)</f>
        <v/>
      </c>
      <c r="AD1276">
        <f>IF([2]Baskol!$N$1279="","",[2]Baskol!$N$1279)</f>
        <v/>
      </c>
      <c r="AE1276">
        <f>IF([2]Baskol!$O$1279="","",[2]Baskol!$O$1279)</f>
        <v/>
      </c>
      <c r="AG1276">
        <f>IF([3]Entry!$C$1279="","",[3]Entry!$C$1279)</f>
        <v/>
      </c>
      <c r="AH1276">
        <f>IF([3]Entry!$D$1279="","",[3]Entry!$D$1279)</f>
        <v/>
      </c>
      <c r="AI1276">
        <f>IF([3]Entry!$E$1279="","",[3]Entry!$E$1279)</f>
        <v/>
      </c>
      <c r="AJ1276">
        <f>IF([3]Entry!$G$1279="","",[3]Entry!$G$1279)</f>
        <v/>
      </c>
      <c r="AK1276">
        <f>IF([3]Entry!$K$1279="","",[3]Entry!$K$1279)</f>
        <v/>
      </c>
      <c r="AL1276">
        <f>IF([3]Entry!$L$1279="","",[3]Entry!$L$1279)</f>
        <v/>
      </c>
      <c r="AM1276">
        <f>IF([3]Entry!$M$1279="","",[3]Entry!$M$1279)</f>
        <v/>
      </c>
      <c r="AN1276">
        <f>IF([3]Entry!$N$1279="","",[3]Entry!$N$1279)</f>
        <v/>
      </c>
      <c r="AO1276">
        <f>IF([3]Entry!$R$1279="","",[3]Entry!$R$1279)</f>
        <v/>
      </c>
    </row>
    <row r="1277">
      <c r="U1277">
        <f>IF([2]Baskol!$B$1280="","",[2]Baskol!$B$1280)</f>
        <v/>
      </c>
      <c r="V1277">
        <f>IF([2]Baskol!$C$1280="","",[2]Baskol!$C$1280)</f>
        <v/>
      </c>
      <c r="W1277">
        <f>IF([2]Baskol!$D$1280="","",[2]Baskol!$D$1280)</f>
        <v/>
      </c>
      <c r="X1277">
        <f>IF([2]Baskol!$E$1280="","",[2]Baskol!$E$1280)</f>
        <v/>
      </c>
      <c r="Y1277">
        <f>IF([2]Baskol!$G$1280="","",[2]Baskol!$G$1280)</f>
        <v/>
      </c>
      <c r="Z1277">
        <f>IF([2]Baskol!$I$1280="","",[2]Baskol!$I$1280)</f>
        <v/>
      </c>
      <c r="AA1277">
        <f>IF([2]Baskol!$J$1280="","",[2]Baskol!$J$1280)</f>
        <v/>
      </c>
      <c r="AB1277">
        <f>IF([2]Baskol!$K$1280="","",[2]Baskol!$K$1280)</f>
        <v/>
      </c>
      <c r="AC1277">
        <f>IF([2]Baskol!$L$1280="","",[2]Baskol!$L$1280)</f>
        <v/>
      </c>
      <c r="AD1277">
        <f>IF([2]Baskol!$N$1280="","",[2]Baskol!$N$1280)</f>
        <v/>
      </c>
      <c r="AE1277">
        <f>IF([2]Baskol!$O$1280="","",[2]Baskol!$O$1280)</f>
        <v/>
      </c>
      <c r="AG1277">
        <f>IF([3]Entry!$C$1280="","",[3]Entry!$C$1280)</f>
        <v/>
      </c>
      <c r="AH1277">
        <f>IF([3]Entry!$D$1280="","",[3]Entry!$D$1280)</f>
        <v/>
      </c>
      <c r="AI1277">
        <f>IF([3]Entry!$E$1280="","",[3]Entry!$E$1280)</f>
        <v/>
      </c>
      <c r="AJ1277">
        <f>IF([3]Entry!$G$1280="","",[3]Entry!$G$1280)</f>
        <v/>
      </c>
      <c r="AK1277">
        <f>IF([3]Entry!$K$1280="","",[3]Entry!$K$1280)</f>
        <v/>
      </c>
      <c r="AL1277">
        <f>IF([3]Entry!$L$1280="","",[3]Entry!$L$1280)</f>
        <v/>
      </c>
      <c r="AM1277">
        <f>IF([3]Entry!$M$1280="","",[3]Entry!$M$1280)</f>
        <v/>
      </c>
      <c r="AN1277">
        <f>IF([3]Entry!$N$1280="","",[3]Entry!$N$1280)</f>
        <v/>
      </c>
      <c r="AO1277">
        <f>IF([3]Entry!$R$1280="","",[3]Entry!$R$1280)</f>
        <v/>
      </c>
    </row>
    <row r="1278">
      <c r="U1278">
        <f>IF([2]Baskol!$B$1281="","",[2]Baskol!$B$1281)</f>
        <v/>
      </c>
      <c r="V1278">
        <f>IF([2]Baskol!$C$1281="","",[2]Baskol!$C$1281)</f>
        <v/>
      </c>
      <c r="W1278">
        <f>IF([2]Baskol!$D$1281="","",[2]Baskol!$D$1281)</f>
        <v/>
      </c>
      <c r="X1278">
        <f>IF([2]Baskol!$E$1281="","",[2]Baskol!$E$1281)</f>
        <v/>
      </c>
      <c r="Y1278">
        <f>IF([2]Baskol!$G$1281="","",[2]Baskol!$G$1281)</f>
        <v/>
      </c>
      <c r="Z1278">
        <f>IF([2]Baskol!$I$1281="","",[2]Baskol!$I$1281)</f>
        <v/>
      </c>
      <c r="AA1278">
        <f>IF([2]Baskol!$J$1281="","",[2]Baskol!$J$1281)</f>
        <v/>
      </c>
      <c r="AB1278">
        <f>IF([2]Baskol!$K$1281="","",[2]Baskol!$K$1281)</f>
        <v/>
      </c>
      <c r="AC1278">
        <f>IF([2]Baskol!$L$1281="","",[2]Baskol!$L$1281)</f>
        <v/>
      </c>
      <c r="AD1278">
        <f>IF([2]Baskol!$N$1281="","",[2]Baskol!$N$1281)</f>
        <v/>
      </c>
      <c r="AE1278">
        <f>IF([2]Baskol!$O$1281="","",[2]Baskol!$O$1281)</f>
        <v/>
      </c>
      <c r="AG1278">
        <f>IF([3]Entry!$C$1281="","",[3]Entry!$C$1281)</f>
        <v/>
      </c>
      <c r="AH1278">
        <f>IF([3]Entry!$D$1281="","",[3]Entry!$D$1281)</f>
        <v/>
      </c>
      <c r="AI1278">
        <f>IF([3]Entry!$E$1281="","",[3]Entry!$E$1281)</f>
        <v/>
      </c>
      <c r="AJ1278">
        <f>IF([3]Entry!$G$1281="","",[3]Entry!$G$1281)</f>
        <v/>
      </c>
      <c r="AK1278">
        <f>IF([3]Entry!$K$1281="","",[3]Entry!$K$1281)</f>
        <v/>
      </c>
      <c r="AL1278">
        <f>IF([3]Entry!$L$1281="","",[3]Entry!$L$1281)</f>
        <v/>
      </c>
      <c r="AM1278">
        <f>IF([3]Entry!$M$1281="","",[3]Entry!$M$1281)</f>
        <v/>
      </c>
      <c r="AN1278">
        <f>IF([3]Entry!$N$1281="","",[3]Entry!$N$1281)</f>
        <v/>
      </c>
      <c r="AO1278">
        <f>IF([3]Entry!$R$1281="","",[3]Entry!$R$1281)</f>
        <v/>
      </c>
    </row>
    <row r="1279">
      <c r="U1279">
        <f>IF([2]Baskol!$B$1282="","",[2]Baskol!$B$1282)</f>
        <v/>
      </c>
      <c r="V1279">
        <f>IF([2]Baskol!$C$1282="","",[2]Baskol!$C$1282)</f>
        <v/>
      </c>
      <c r="W1279">
        <f>IF([2]Baskol!$D$1282="","",[2]Baskol!$D$1282)</f>
        <v/>
      </c>
      <c r="X1279">
        <f>IF([2]Baskol!$E$1282="","",[2]Baskol!$E$1282)</f>
        <v/>
      </c>
      <c r="Y1279">
        <f>IF([2]Baskol!$G$1282="","",[2]Baskol!$G$1282)</f>
        <v/>
      </c>
      <c r="Z1279">
        <f>IF([2]Baskol!$I$1282="","",[2]Baskol!$I$1282)</f>
        <v/>
      </c>
      <c r="AA1279">
        <f>IF([2]Baskol!$J$1282="","",[2]Baskol!$J$1282)</f>
        <v/>
      </c>
      <c r="AB1279">
        <f>IF([2]Baskol!$K$1282="","",[2]Baskol!$K$1282)</f>
        <v/>
      </c>
      <c r="AC1279">
        <f>IF([2]Baskol!$L$1282="","",[2]Baskol!$L$1282)</f>
        <v/>
      </c>
      <c r="AD1279">
        <f>IF([2]Baskol!$N$1282="","",[2]Baskol!$N$1282)</f>
        <v/>
      </c>
      <c r="AE1279">
        <f>IF([2]Baskol!$O$1282="","",[2]Baskol!$O$1282)</f>
        <v/>
      </c>
      <c r="AG1279">
        <f>IF([3]Entry!$C$1282="","",[3]Entry!$C$1282)</f>
        <v/>
      </c>
      <c r="AH1279">
        <f>IF([3]Entry!$D$1282="","",[3]Entry!$D$1282)</f>
        <v/>
      </c>
      <c r="AI1279">
        <f>IF([3]Entry!$E$1282="","",[3]Entry!$E$1282)</f>
        <v/>
      </c>
      <c r="AJ1279">
        <f>IF([3]Entry!$G$1282="","",[3]Entry!$G$1282)</f>
        <v/>
      </c>
      <c r="AK1279">
        <f>IF([3]Entry!$K$1282="","",[3]Entry!$K$1282)</f>
        <v/>
      </c>
      <c r="AL1279">
        <f>IF([3]Entry!$L$1282="","",[3]Entry!$L$1282)</f>
        <v/>
      </c>
      <c r="AM1279">
        <f>IF([3]Entry!$M$1282="","",[3]Entry!$M$1282)</f>
        <v/>
      </c>
      <c r="AN1279">
        <f>IF([3]Entry!$N$1282="","",[3]Entry!$N$1282)</f>
        <v/>
      </c>
      <c r="AO1279">
        <f>IF([3]Entry!$R$1282="","",[3]Entry!$R$1282)</f>
        <v/>
      </c>
    </row>
    <row r="1280">
      <c r="U1280">
        <f>IF([2]Baskol!$B$1283="","",[2]Baskol!$B$1283)</f>
        <v/>
      </c>
      <c r="V1280">
        <f>IF([2]Baskol!$C$1283="","",[2]Baskol!$C$1283)</f>
        <v/>
      </c>
      <c r="W1280">
        <f>IF([2]Baskol!$D$1283="","",[2]Baskol!$D$1283)</f>
        <v/>
      </c>
      <c r="X1280">
        <f>IF([2]Baskol!$E$1283="","",[2]Baskol!$E$1283)</f>
        <v/>
      </c>
      <c r="Y1280">
        <f>IF([2]Baskol!$G$1283="","",[2]Baskol!$G$1283)</f>
        <v/>
      </c>
      <c r="Z1280">
        <f>IF([2]Baskol!$I$1283="","",[2]Baskol!$I$1283)</f>
        <v/>
      </c>
      <c r="AA1280">
        <f>IF([2]Baskol!$J$1283="","",[2]Baskol!$J$1283)</f>
        <v/>
      </c>
      <c r="AB1280">
        <f>IF([2]Baskol!$K$1283="","",[2]Baskol!$K$1283)</f>
        <v/>
      </c>
      <c r="AC1280">
        <f>IF([2]Baskol!$L$1283="","",[2]Baskol!$L$1283)</f>
        <v/>
      </c>
      <c r="AD1280">
        <f>IF([2]Baskol!$N$1283="","",[2]Baskol!$N$1283)</f>
        <v/>
      </c>
      <c r="AE1280">
        <f>IF([2]Baskol!$O$1283="","",[2]Baskol!$O$1283)</f>
        <v/>
      </c>
      <c r="AG1280">
        <f>IF([3]Entry!$C$1283="","",[3]Entry!$C$1283)</f>
        <v/>
      </c>
      <c r="AH1280">
        <f>IF([3]Entry!$D$1283="","",[3]Entry!$D$1283)</f>
        <v/>
      </c>
      <c r="AI1280">
        <f>IF([3]Entry!$E$1283="","",[3]Entry!$E$1283)</f>
        <v/>
      </c>
      <c r="AJ1280">
        <f>IF([3]Entry!$G$1283="","",[3]Entry!$G$1283)</f>
        <v/>
      </c>
      <c r="AK1280">
        <f>IF([3]Entry!$K$1283="","",[3]Entry!$K$1283)</f>
        <v/>
      </c>
      <c r="AL1280">
        <f>IF([3]Entry!$L$1283="","",[3]Entry!$L$1283)</f>
        <v/>
      </c>
      <c r="AM1280">
        <f>IF([3]Entry!$M$1283="","",[3]Entry!$M$1283)</f>
        <v/>
      </c>
      <c r="AN1280">
        <f>IF([3]Entry!$N$1283="","",[3]Entry!$N$1283)</f>
        <v/>
      </c>
      <c r="AO1280">
        <f>IF([3]Entry!$R$1283="","",[3]Entry!$R$1283)</f>
        <v/>
      </c>
    </row>
    <row r="1281">
      <c r="U1281">
        <f>IF([2]Baskol!$B$1284="","",[2]Baskol!$B$1284)</f>
        <v/>
      </c>
      <c r="V1281">
        <f>IF([2]Baskol!$C$1284="","",[2]Baskol!$C$1284)</f>
        <v/>
      </c>
      <c r="W1281">
        <f>IF([2]Baskol!$D$1284="","",[2]Baskol!$D$1284)</f>
        <v/>
      </c>
      <c r="X1281">
        <f>IF([2]Baskol!$E$1284="","",[2]Baskol!$E$1284)</f>
        <v/>
      </c>
      <c r="Y1281">
        <f>IF([2]Baskol!$G$1284="","",[2]Baskol!$G$1284)</f>
        <v/>
      </c>
      <c r="Z1281">
        <f>IF([2]Baskol!$I$1284="","",[2]Baskol!$I$1284)</f>
        <v/>
      </c>
      <c r="AA1281">
        <f>IF([2]Baskol!$J$1284="","",[2]Baskol!$J$1284)</f>
        <v/>
      </c>
      <c r="AB1281">
        <f>IF([2]Baskol!$K$1284="","",[2]Baskol!$K$1284)</f>
        <v/>
      </c>
      <c r="AC1281">
        <f>IF([2]Baskol!$L$1284="","",[2]Baskol!$L$1284)</f>
        <v/>
      </c>
      <c r="AD1281">
        <f>IF([2]Baskol!$N$1284="","",[2]Baskol!$N$1284)</f>
        <v/>
      </c>
      <c r="AE1281">
        <f>IF([2]Baskol!$O$1284="","",[2]Baskol!$O$1284)</f>
        <v/>
      </c>
      <c r="AG1281">
        <f>IF([3]Entry!$C$1284="","",[3]Entry!$C$1284)</f>
        <v/>
      </c>
      <c r="AH1281">
        <f>IF([3]Entry!$D$1284="","",[3]Entry!$D$1284)</f>
        <v/>
      </c>
      <c r="AI1281">
        <f>IF([3]Entry!$E$1284="","",[3]Entry!$E$1284)</f>
        <v/>
      </c>
      <c r="AJ1281">
        <f>IF([3]Entry!$G$1284="","",[3]Entry!$G$1284)</f>
        <v/>
      </c>
      <c r="AK1281">
        <f>IF([3]Entry!$K$1284="","",[3]Entry!$K$1284)</f>
        <v/>
      </c>
      <c r="AL1281">
        <f>IF([3]Entry!$L$1284="","",[3]Entry!$L$1284)</f>
        <v/>
      </c>
      <c r="AM1281">
        <f>IF([3]Entry!$M$1284="","",[3]Entry!$M$1284)</f>
        <v/>
      </c>
      <c r="AN1281">
        <f>IF([3]Entry!$N$1284="","",[3]Entry!$N$1284)</f>
        <v/>
      </c>
      <c r="AO1281">
        <f>IF([3]Entry!$R$1284="","",[3]Entry!$R$1284)</f>
        <v/>
      </c>
    </row>
    <row r="1282">
      <c r="U1282">
        <f>IF([2]Baskol!$B$1285="","",[2]Baskol!$B$1285)</f>
        <v/>
      </c>
      <c r="V1282">
        <f>IF([2]Baskol!$C$1285="","",[2]Baskol!$C$1285)</f>
        <v/>
      </c>
      <c r="W1282">
        <f>IF([2]Baskol!$D$1285="","",[2]Baskol!$D$1285)</f>
        <v/>
      </c>
      <c r="X1282">
        <f>IF([2]Baskol!$E$1285="","",[2]Baskol!$E$1285)</f>
        <v/>
      </c>
      <c r="Y1282">
        <f>IF([2]Baskol!$G$1285="","",[2]Baskol!$G$1285)</f>
        <v/>
      </c>
      <c r="Z1282">
        <f>IF([2]Baskol!$I$1285="","",[2]Baskol!$I$1285)</f>
        <v/>
      </c>
      <c r="AA1282">
        <f>IF([2]Baskol!$J$1285="","",[2]Baskol!$J$1285)</f>
        <v/>
      </c>
      <c r="AB1282">
        <f>IF([2]Baskol!$K$1285="","",[2]Baskol!$K$1285)</f>
        <v/>
      </c>
      <c r="AC1282">
        <f>IF([2]Baskol!$L$1285="","",[2]Baskol!$L$1285)</f>
        <v/>
      </c>
      <c r="AD1282">
        <f>IF([2]Baskol!$N$1285="","",[2]Baskol!$N$1285)</f>
        <v/>
      </c>
      <c r="AE1282">
        <f>IF([2]Baskol!$O$1285="","",[2]Baskol!$O$1285)</f>
        <v/>
      </c>
      <c r="AG1282">
        <f>IF([3]Entry!$C$1285="","",[3]Entry!$C$1285)</f>
        <v/>
      </c>
      <c r="AH1282">
        <f>IF([3]Entry!$D$1285="","",[3]Entry!$D$1285)</f>
        <v/>
      </c>
      <c r="AI1282">
        <f>IF([3]Entry!$E$1285="","",[3]Entry!$E$1285)</f>
        <v/>
      </c>
      <c r="AJ1282">
        <f>IF([3]Entry!$G$1285="","",[3]Entry!$G$1285)</f>
        <v/>
      </c>
      <c r="AK1282">
        <f>IF([3]Entry!$K$1285="","",[3]Entry!$K$1285)</f>
        <v/>
      </c>
      <c r="AL1282">
        <f>IF([3]Entry!$L$1285="","",[3]Entry!$L$1285)</f>
        <v/>
      </c>
      <c r="AM1282">
        <f>IF([3]Entry!$M$1285="","",[3]Entry!$M$1285)</f>
        <v/>
      </c>
      <c r="AN1282">
        <f>IF([3]Entry!$N$1285="","",[3]Entry!$N$1285)</f>
        <v/>
      </c>
      <c r="AO1282">
        <f>IF([3]Entry!$R$1285="","",[3]Entry!$R$1285)</f>
        <v/>
      </c>
    </row>
    <row r="1283">
      <c r="U1283">
        <f>IF([2]Baskol!$B$1286="","",[2]Baskol!$B$1286)</f>
        <v/>
      </c>
      <c r="V1283">
        <f>IF([2]Baskol!$C$1286="","",[2]Baskol!$C$1286)</f>
        <v/>
      </c>
      <c r="W1283">
        <f>IF([2]Baskol!$D$1286="","",[2]Baskol!$D$1286)</f>
        <v/>
      </c>
      <c r="X1283">
        <f>IF([2]Baskol!$E$1286="","",[2]Baskol!$E$1286)</f>
        <v/>
      </c>
      <c r="Y1283">
        <f>IF([2]Baskol!$G$1286="","",[2]Baskol!$G$1286)</f>
        <v/>
      </c>
      <c r="Z1283">
        <f>IF([2]Baskol!$I$1286="","",[2]Baskol!$I$1286)</f>
        <v/>
      </c>
      <c r="AA1283">
        <f>IF([2]Baskol!$J$1286="","",[2]Baskol!$J$1286)</f>
        <v/>
      </c>
      <c r="AB1283">
        <f>IF([2]Baskol!$K$1286="","",[2]Baskol!$K$1286)</f>
        <v/>
      </c>
      <c r="AC1283">
        <f>IF([2]Baskol!$L$1286="","",[2]Baskol!$L$1286)</f>
        <v/>
      </c>
      <c r="AD1283">
        <f>IF([2]Baskol!$N$1286="","",[2]Baskol!$N$1286)</f>
        <v/>
      </c>
      <c r="AE1283">
        <f>IF([2]Baskol!$O$1286="","",[2]Baskol!$O$1286)</f>
        <v/>
      </c>
      <c r="AG1283">
        <f>IF([3]Entry!$C$1286="","",[3]Entry!$C$1286)</f>
        <v/>
      </c>
      <c r="AH1283">
        <f>IF([3]Entry!$D$1286="","",[3]Entry!$D$1286)</f>
        <v/>
      </c>
      <c r="AI1283">
        <f>IF([3]Entry!$E$1286="","",[3]Entry!$E$1286)</f>
        <v/>
      </c>
      <c r="AJ1283">
        <f>IF([3]Entry!$G$1286="","",[3]Entry!$G$1286)</f>
        <v/>
      </c>
      <c r="AK1283">
        <f>IF([3]Entry!$K$1286="","",[3]Entry!$K$1286)</f>
        <v/>
      </c>
      <c r="AL1283">
        <f>IF([3]Entry!$L$1286="","",[3]Entry!$L$1286)</f>
        <v/>
      </c>
      <c r="AM1283">
        <f>IF([3]Entry!$M$1286="","",[3]Entry!$M$1286)</f>
        <v/>
      </c>
      <c r="AN1283">
        <f>IF([3]Entry!$N$1286="","",[3]Entry!$N$1286)</f>
        <v/>
      </c>
      <c r="AO1283">
        <f>IF([3]Entry!$R$1286="","",[3]Entry!$R$1286)</f>
        <v/>
      </c>
    </row>
    <row r="1284">
      <c r="U1284">
        <f>IF([2]Baskol!$B$1287="","",[2]Baskol!$B$1287)</f>
        <v/>
      </c>
      <c r="V1284">
        <f>IF([2]Baskol!$C$1287="","",[2]Baskol!$C$1287)</f>
        <v/>
      </c>
      <c r="W1284">
        <f>IF([2]Baskol!$D$1287="","",[2]Baskol!$D$1287)</f>
        <v/>
      </c>
      <c r="X1284">
        <f>IF([2]Baskol!$E$1287="","",[2]Baskol!$E$1287)</f>
        <v/>
      </c>
      <c r="Y1284">
        <f>IF([2]Baskol!$G$1287="","",[2]Baskol!$G$1287)</f>
        <v/>
      </c>
      <c r="Z1284">
        <f>IF([2]Baskol!$I$1287="","",[2]Baskol!$I$1287)</f>
        <v/>
      </c>
      <c r="AA1284">
        <f>IF([2]Baskol!$J$1287="","",[2]Baskol!$J$1287)</f>
        <v/>
      </c>
      <c r="AB1284">
        <f>IF([2]Baskol!$K$1287="","",[2]Baskol!$K$1287)</f>
        <v/>
      </c>
      <c r="AC1284">
        <f>IF([2]Baskol!$L$1287="","",[2]Baskol!$L$1287)</f>
        <v/>
      </c>
      <c r="AD1284">
        <f>IF([2]Baskol!$N$1287="","",[2]Baskol!$N$1287)</f>
        <v/>
      </c>
      <c r="AE1284">
        <f>IF([2]Baskol!$O$1287="","",[2]Baskol!$O$1287)</f>
        <v/>
      </c>
      <c r="AG1284">
        <f>IF([3]Entry!$C$1287="","",[3]Entry!$C$1287)</f>
        <v/>
      </c>
      <c r="AH1284">
        <f>IF([3]Entry!$D$1287="","",[3]Entry!$D$1287)</f>
        <v/>
      </c>
      <c r="AI1284">
        <f>IF([3]Entry!$E$1287="","",[3]Entry!$E$1287)</f>
        <v/>
      </c>
      <c r="AJ1284">
        <f>IF([3]Entry!$G$1287="","",[3]Entry!$G$1287)</f>
        <v/>
      </c>
      <c r="AK1284">
        <f>IF([3]Entry!$K$1287="","",[3]Entry!$K$1287)</f>
        <v/>
      </c>
      <c r="AL1284">
        <f>IF([3]Entry!$L$1287="","",[3]Entry!$L$1287)</f>
        <v/>
      </c>
      <c r="AM1284">
        <f>IF([3]Entry!$M$1287="","",[3]Entry!$M$1287)</f>
        <v/>
      </c>
      <c r="AN1284">
        <f>IF([3]Entry!$N$1287="","",[3]Entry!$N$1287)</f>
        <v/>
      </c>
      <c r="AO1284">
        <f>IF([3]Entry!$R$1287="","",[3]Entry!$R$1287)</f>
        <v/>
      </c>
    </row>
    <row r="1285">
      <c r="U1285">
        <f>IF([2]Baskol!$B$1288="","",[2]Baskol!$B$1288)</f>
        <v/>
      </c>
      <c r="V1285">
        <f>IF([2]Baskol!$C$1288="","",[2]Baskol!$C$1288)</f>
        <v/>
      </c>
      <c r="W1285">
        <f>IF([2]Baskol!$D$1288="","",[2]Baskol!$D$1288)</f>
        <v/>
      </c>
      <c r="X1285">
        <f>IF([2]Baskol!$E$1288="","",[2]Baskol!$E$1288)</f>
        <v/>
      </c>
      <c r="Y1285">
        <f>IF([2]Baskol!$G$1288="","",[2]Baskol!$G$1288)</f>
        <v/>
      </c>
      <c r="Z1285">
        <f>IF([2]Baskol!$I$1288="","",[2]Baskol!$I$1288)</f>
        <v/>
      </c>
      <c r="AA1285">
        <f>IF([2]Baskol!$J$1288="","",[2]Baskol!$J$1288)</f>
        <v/>
      </c>
      <c r="AB1285">
        <f>IF([2]Baskol!$K$1288="","",[2]Baskol!$K$1288)</f>
        <v/>
      </c>
      <c r="AC1285">
        <f>IF([2]Baskol!$L$1288="","",[2]Baskol!$L$1288)</f>
        <v/>
      </c>
      <c r="AD1285">
        <f>IF([2]Baskol!$N$1288="","",[2]Baskol!$N$1288)</f>
        <v/>
      </c>
      <c r="AE1285">
        <f>IF([2]Baskol!$O$1288="","",[2]Baskol!$O$1288)</f>
        <v/>
      </c>
      <c r="AG1285">
        <f>IF([3]Entry!$C$1288="","",[3]Entry!$C$1288)</f>
        <v/>
      </c>
      <c r="AH1285">
        <f>IF([3]Entry!$D$1288="","",[3]Entry!$D$1288)</f>
        <v/>
      </c>
      <c r="AI1285">
        <f>IF([3]Entry!$E$1288="","",[3]Entry!$E$1288)</f>
        <v/>
      </c>
      <c r="AJ1285">
        <f>IF([3]Entry!$G$1288="","",[3]Entry!$G$1288)</f>
        <v/>
      </c>
      <c r="AK1285">
        <f>IF([3]Entry!$K$1288="","",[3]Entry!$K$1288)</f>
        <v/>
      </c>
      <c r="AL1285">
        <f>IF([3]Entry!$L$1288="","",[3]Entry!$L$1288)</f>
        <v/>
      </c>
      <c r="AM1285">
        <f>IF([3]Entry!$M$1288="","",[3]Entry!$M$1288)</f>
        <v/>
      </c>
      <c r="AN1285">
        <f>IF([3]Entry!$N$1288="","",[3]Entry!$N$1288)</f>
        <v/>
      </c>
      <c r="AO1285">
        <f>IF([3]Entry!$R$1288="","",[3]Entry!$R$1288)</f>
        <v/>
      </c>
    </row>
    <row r="1286">
      <c r="U1286">
        <f>IF([2]Baskol!$B$1289="","",[2]Baskol!$B$1289)</f>
        <v/>
      </c>
      <c r="V1286">
        <f>IF([2]Baskol!$C$1289="","",[2]Baskol!$C$1289)</f>
        <v/>
      </c>
      <c r="W1286">
        <f>IF([2]Baskol!$D$1289="","",[2]Baskol!$D$1289)</f>
        <v/>
      </c>
      <c r="X1286">
        <f>IF([2]Baskol!$E$1289="","",[2]Baskol!$E$1289)</f>
        <v/>
      </c>
      <c r="Y1286">
        <f>IF([2]Baskol!$G$1289="","",[2]Baskol!$G$1289)</f>
        <v/>
      </c>
      <c r="Z1286">
        <f>IF([2]Baskol!$I$1289="","",[2]Baskol!$I$1289)</f>
        <v/>
      </c>
      <c r="AA1286">
        <f>IF([2]Baskol!$J$1289="","",[2]Baskol!$J$1289)</f>
        <v/>
      </c>
      <c r="AB1286">
        <f>IF([2]Baskol!$K$1289="","",[2]Baskol!$K$1289)</f>
        <v/>
      </c>
      <c r="AC1286">
        <f>IF([2]Baskol!$L$1289="","",[2]Baskol!$L$1289)</f>
        <v/>
      </c>
      <c r="AD1286">
        <f>IF([2]Baskol!$N$1289="","",[2]Baskol!$N$1289)</f>
        <v/>
      </c>
      <c r="AE1286">
        <f>IF([2]Baskol!$O$1289="","",[2]Baskol!$O$1289)</f>
        <v/>
      </c>
      <c r="AG1286">
        <f>IF([3]Entry!$C$1289="","",[3]Entry!$C$1289)</f>
        <v/>
      </c>
      <c r="AH1286">
        <f>IF([3]Entry!$D$1289="","",[3]Entry!$D$1289)</f>
        <v/>
      </c>
      <c r="AI1286">
        <f>IF([3]Entry!$E$1289="","",[3]Entry!$E$1289)</f>
        <v/>
      </c>
      <c r="AJ1286">
        <f>IF([3]Entry!$G$1289="","",[3]Entry!$G$1289)</f>
        <v/>
      </c>
      <c r="AK1286">
        <f>IF([3]Entry!$K$1289="","",[3]Entry!$K$1289)</f>
        <v/>
      </c>
      <c r="AL1286">
        <f>IF([3]Entry!$L$1289="","",[3]Entry!$L$1289)</f>
        <v/>
      </c>
      <c r="AM1286">
        <f>IF([3]Entry!$M$1289="","",[3]Entry!$M$1289)</f>
        <v/>
      </c>
      <c r="AN1286">
        <f>IF([3]Entry!$N$1289="","",[3]Entry!$N$1289)</f>
        <v/>
      </c>
      <c r="AO1286">
        <f>IF([3]Entry!$R$1289="","",[3]Entry!$R$1289)</f>
        <v/>
      </c>
    </row>
    <row r="1287">
      <c r="U1287">
        <f>IF([2]Baskol!$B$1290="","",[2]Baskol!$B$1290)</f>
        <v/>
      </c>
      <c r="V1287">
        <f>IF([2]Baskol!$C$1290="","",[2]Baskol!$C$1290)</f>
        <v/>
      </c>
      <c r="W1287">
        <f>IF([2]Baskol!$D$1290="","",[2]Baskol!$D$1290)</f>
        <v/>
      </c>
      <c r="X1287">
        <f>IF([2]Baskol!$E$1290="","",[2]Baskol!$E$1290)</f>
        <v/>
      </c>
      <c r="Y1287">
        <f>IF([2]Baskol!$G$1290="","",[2]Baskol!$G$1290)</f>
        <v/>
      </c>
      <c r="Z1287">
        <f>IF([2]Baskol!$I$1290="","",[2]Baskol!$I$1290)</f>
        <v/>
      </c>
      <c r="AA1287">
        <f>IF([2]Baskol!$J$1290="","",[2]Baskol!$J$1290)</f>
        <v/>
      </c>
      <c r="AB1287">
        <f>IF([2]Baskol!$K$1290="","",[2]Baskol!$K$1290)</f>
        <v/>
      </c>
      <c r="AC1287">
        <f>IF([2]Baskol!$L$1290="","",[2]Baskol!$L$1290)</f>
        <v/>
      </c>
      <c r="AD1287">
        <f>IF([2]Baskol!$N$1290="","",[2]Baskol!$N$1290)</f>
        <v/>
      </c>
      <c r="AE1287">
        <f>IF([2]Baskol!$O$1290="","",[2]Baskol!$O$1290)</f>
        <v/>
      </c>
      <c r="AG1287">
        <f>IF([3]Entry!$C$1290="","",[3]Entry!$C$1290)</f>
        <v/>
      </c>
      <c r="AH1287">
        <f>IF([3]Entry!$D$1290="","",[3]Entry!$D$1290)</f>
        <v/>
      </c>
      <c r="AI1287">
        <f>IF([3]Entry!$E$1290="","",[3]Entry!$E$1290)</f>
        <v/>
      </c>
      <c r="AJ1287">
        <f>IF([3]Entry!$G$1290="","",[3]Entry!$G$1290)</f>
        <v/>
      </c>
      <c r="AK1287">
        <f>IF([3]Entry!$K$1290="","",[3]Entry!$K$1290)</f>
        <v/>
      </c>
      <c r="AL1287">
        <f>IF([3]Entry!$L$1290="","",[3]Entry!$L$1290)</f>
        <v/>
      </c>
      <c r="AM1287">
        <f>IF([3]Entry!$M$1290="","",[3]Entry!$M$1290)</f>
        <v/>
      </c>
      <c r="AN1287">
        <f>IF([3]Entry!$N$1290="","",[3]Entry!$N$1290)</f>
        <v/>
      </c>
      <c r="AO1287">
        <f>IF([3]Entry!$R$1290="","",[3]Entry!$R$1290)</f>
        <v/>
      </c>
    </row>
    <row r="1288">
      <c r="U1288">
        <f>IF([2]Baskol!$B$1291="","",[2]Baskol!$B$1291)</f>
        <v/>
      </c>
      <c r="V1288">
        <f>IF([2]Baskol!$C$1291="","",[2]Baskol!$C$1291)</f>
        <v/>
      </c>
      <c r="W1288">
        <f>IF([2]Baskol!$D$1291="","",[2]Baskol!$D$1291)</f>
        <v/>
      </c>
      <c r="X1288">
        <f>IF([2]Baskol!$E$1291="","",[2]Baskol!$E$1291)</f>
        <v/>
      </c>
      <c r="Y1288">
        <f>IF([2]Baskol!$G$1291="","",[2]Baskol!$G$1291)</f>
        <v/>
      </c>
      <c r="Z1288">
        <f>IF([2]Baskol!$I$1291="","",[2]Baskol!$I$1291)</f>
        <v/>
      </c>
      <c r="AA1288">
        <f>IF([2]Baskol!$J$1291="","",[2]Baskol!$J$1291)</f>
        <v/>
      </c>
      <c r="AB1288">
        <f>IF([2]Baskol!$K$1291="","",[2]Baskol!$K$1291)</f>
        <v/>
      </c>
      <c r="AC1288">
        <f>IF([2]Baskol!$L$1291="","",[2]Baskol!$L$1291)</f>
        <v/>
      </c>
      <c r="AD1288">
        <f>IF([2]Baskol!$N$1291="","",[2]Baskol!$N$1291)</f>
        <v/>
      </c>
      <c r="AE1288">
        <f>IF([2]Baskol!$O$1291="","",[2]Baskol!$O$1291)</f>
        <v/>
      </c>
      <c r="AG1288">
        <f>IF([3]Entry!$C$1291="","",[3]Entry!$C$1291)</f>
        <v/>
      </c>
      <c r="AH1288">
        <f>IF([3]Entry!$D$1291="","",[3]Entry!$D$1291)</f>
        <v/>
      </c>
      <c r="AI1288">
        <f>IF([3]Entry!$E$1291="","",[3]Entry!$E$1291)</f>
        <v/>
      </c>
      <c r="AJ1288">
        <f>IF([3]Entry!$G$1291="","",[3]Entry!$G$1291)</f>
        <v/>
      </c>
      <c r="AK1288">
        <f>IF([3]Entry!$K$1291="","",[3]Entry!$K$1291)</f>
        <v/>
      </c>
      <c r="AL1288">
        <f>IF([3]Entry!$L$1291="","",[3]Entry!$L$1291)</f>
        <v/>
      </c>
      <c r="AM1288">
        <f>IF([3]Entry!$M$1291="","",[3]Entry!$M$1291)</f>
        <v/>
      </c>
      <c r="AN1288">
        <f>IF([3]Entry!$N$1291="","",[3]Entry!$N$1291)</f>
        <v/>
      </c>
      <c r="AO1288">
        <f>IF([3]Entry!$R$1291="","",[3]Entry!$R$1291)</f>
        <v/>
      </c>
    </row>
    <row r="1289">
      <c r="U1289">
        <f>IF([2]Baskol!$B$1292="","",[2]Baskol!$B$1292)</f>
        <v/>
      </c>
      <c r="V1289">
        <f>IF([2]Baskol!$C$1292="","",[2]Baskol!$C$1292)</f>
        <v/>
      </c>
      <c r="W1289">
        <f>IF([2]Baskol!$D$1292="","",[2]Baskol!$D$1292)</f>
        <v/>
      </c>
      <c r="X1289">
        <f>IF([2]Baskol!$E$1292="","",[2]Baskol!$E$1292)</f>
        <v/>
      </c>
      <c r="Y1289">
        <f>IF([2]Baskol!$G$1292="","",[2]Baskol!$G$1292)</f>
        <v/>
      </c>
      <c r="Z1289">
        <f>IF([2]Baskol!$I$1292="","",[2]Baskol!$I$1292)</f>
        <v/>
      </c>
      <c r="AA1289">
        <f>IF([2]Baskol!$J$1292="","",[2]Baskol!$J$1292)</f>
        <v/>
      </c>
      <c r="AB1289">
        <f>IF([2]Baskol!$K$1292="","",[2]Baskol!$K$1292)</f>
        <v/>
      </c>
      <c r="AC1289">
        <f>IF([2]Baskol!$L$1292="","",[2]Baskol!$L$1292)</f>
        <v/>
      </c>
      <c r="AD1289">
        <f>IF([2]Baskol!$N$1292="","",[2]Baskol!$N$1292)</f>
        <v/>
      </c>
      <c r="AE1289">
        <f>IF([2]Baskol!$O$1292="","",[2]Baskol!$O$1292)</f>
        <v/>
      </c>
      <c r="AG1289">
        <f>IF([3]Entry!$C$1292="","",[3]Entry!$C$1292)</f>
        <v/>
      </c>
      <c r="AH1289">
        <f>IF([3]Entry!$D$1292="","",[3]Entry!$D$1292)</f>
        <v/>
      </c>
      <c r="AI1289">
        <f>IF([3]Entry!$E$1292="","",[3]Entry!$E$1292)</f>
        <v/>
      </c>
      <c r="AJ1289">
        <f>IF([3]Entry!$G$1292="","",[3]Entry!$G$1292)</f>
        <v/>
      </c>
      <c r="AK1289">
        <f>IF([3]Entry!$K$1292="","",[3]Entry!$K$1292)</f>
        <v/>
      </c>
      <c r="AL1289">
        <f>IF([3]Entry!$L$1292="","",[3]Entry!$L$1292)</f>
        <v/>
      </c>
      <c r="AM1289">
        <f>IF([3]Entry!$M$1292="","",[3]Entry!$M$1292)</f>
        <v/>
      </c>
      <c r="AN1289">
        <f>IF([3]Entry!$N$1292="","",[3]Entry!$N$1292)</f>
        <v/>
      </c>
      <c r="AO1289">
        <f>IF([3]Entry!$R$1292="","",[3]Entry!$R$1292)</f>
        <v/>
      </c>
    </row>
    <row r="1290">
      <c r="U1290">
        <f>IF([2]Baskol!$B$1293="","",[2]Baskol!$B$1293)</f>
        <v/>
      </c>
      <c r="V1290">
        <f>IF([2]Baskol!$C$1293="","",[2]Baskol!$C$1293)</f>
        <v/>
      </c>
      <c r="W1290">
        <f>IF([2]Baskol!$D$1293="","",[2]Baskol!$D$1293)</f>
        <v/>
      </c>
      <c r="X1290">
        <f>IF([2]Baskol!$E$1293="","",[2]Baskol!$E$1293)</f>
        <v/>
      </c>
      <c r="Y1290">
        <f>IF([2]Baskol!$G$1293="","",[2]Baskol!$G$1293)</f>
        <v/>
      </c>
      <c r="Z1290">
        <f>IF([2]Baskol!$I$1293="","",[2]Baskol!$I$1293)</f>
        <v/>
      </c>
      <c r="AA1290">
        <f>IF([2]Baskol!$J$1293="","",[2]Baskol!$J$1293)</f>
        <v/>
      </c>
      <c r="AB1290">
        <f>IF([2]Baskol!$K$1293="","",[2]Baskol!$K$1293)</f>
        <v/>
      </c>
      <c r="AC1290">
        <f>IF([2]Baskol!$L$1293="","",[2]Baskol!$L$1293)</f>
        <v/>
      </c>
      <c r="AD1290">
        <f>IF([2]Baskol!$N$1293="","",[2]Baskol!$N$1293)</f>
        <v/>
      </c>
      <c r="AE1290">
        <f>IF([2]Baskol!$O$1293="","",[2]Baskol!$O$1293)</f>
        <v/>
      </c>
      <c r="AG1290">
        <f>IF([3]Entry!$C$1293="","",[3]Entry!$C$1293)</f>
        <v/>
      </c>
      <c r="AH1290">
        <f>IF([3]Entry!$D$1293="","",[3]Entry!$D$1293)</f>
        <v/>
      </c>
      <c r="AI1290">
        <f>IF([3]Entry!$E$1293="","",[3]Entry!$E$1293)</f>
        <v/>
      </c>
      <c r="AJ1290">
        <f>IF([3]Entry!$G$1293="","",[3]Entry!$G$1293)</f>
        <v/>
      </c>
      <c r="AK1290">
        <f>IF([3]Entry!$K$1293="","",[3]Entry!$K$1293)</f>
        <v/>
      </c>
      <c r="AL1290">
        <f>IF([3]Entry!$L$1293="","",[3]Entry!$L$1293)</f>
        <v/>
      </c>
      <c r="AM1290">
        <f>IF([3]Entry!$M$1293="","",[3]Entry!$M$1293)</f>
        <v/>
      </c>
      <c r="AN1290">
        <f>IF([3]Entry!$N$1293="","",[3]Entry!$N$1293)</f>
        <v/>
      </c>
      <c r="AO1290">
        <f>IF([3]Entry!$R$1293="","",[3]Entry!$R$1293)</f>
        <v/>
      </c>
    </row>
    <row r="1291">
      <c r="U1291">
        <f>IF([2]Baskol!$B$1294="","",[2]Baskol!$B$1294)</f>
        <v/>
      </c>
      <c r="V1291">
        <f>IF([2]Baskol!$C$1294="","",[2]Baskol!$C$1294)</f>
        <v/>
      </c>
      <c r="W1291">
        <f>IF([2]Baskol!$D$1294="","",[2]Baskol!$D$1294)</f>
        <v/>
      </c>
      <c r="X1291">
        <f>IF([2]Baskol!$E$1294="","",[2]Baskol!$E$1294)</f>
        <v/>
      </c>
      <c r="Y1291">
        <f>IF([2]Baskol!$G$1294="","",[2]Baskol!$G$1294)</f>
        <v/>
      </c>
      <c r="Z1291">
        <f>IF([2]Baskol!$I$1294="","",[2]Baskol!$I$1294)</f>
        <v/>
      </c>
      <c r="AA1291">
        <f>IF([2]Baskol!$J$1294="","",[2]Baskol!$J$1294)</f>
        <v/>
      </c>
      <c r="AB1291">
        <f>IF([2]Baskol!$K$1294="","",[2]Baskol!$K$1294)</f>
        <v/>
      </c>
      <c r="AC1291">
        <f>IF([2]Baskol!$L$1294="","",[2]Baskol!$L$1294)</f>
        <v/>
      </c>
      <c r="AD1291">
        <f>IF([2]Baskol!$N$1294="","",[2]Baskol!$N$1294)</f>
        <v/>
      </c>
      <c r="AE1291">
        <f>IF([2]Baskol!$O$1294="","",[2]Baskol!$O$1294)</f>
        <v/>
      </c>
      <c r="AG1291">
        <f>IF([3]Entry!$C$1294="","",[3]Entry!$C$1294)</f>
        <v/>
      </c>
      <c r="AH1291">
        <f>IF([3]Entry!$D$1294="","",[3]Entry!$D$1294)</f>
        <v/>
      </c>
      <c r="AI1291">
        <f>IF([3]Entry!$E$1294="","",[3]Entry!$E$1294)</f>
        <v/>
      </c>
      <c r="AJ1291">
        <f>IF([3]Entry!$G$1294="","",[3]Entry!$G$1294)</f>
        <v/>
      </c>
      <c r="AK1291">
        <f>IF([3]Entry!$K$1294="","",[3]Entry!$K$1294)</f>
        <v/>
      </c>
      <c r="AL1291">
        <f>IF([3]Entry!$L$1294="","",[3]Entry!$L$1294)</f>
        <v/>
      </c>
      <c r="AM1291">
        <f>IF([3]Entry!$M$1294="","",[3]Entry!$M$1294)</f>
        <v/>
      </c>
      <c r="AN1291">
        <f>IF([3]Entry!$N$1294="","",[3]Entry!$N$1294)</f>
        <v/>
      </c>
      <c r="AO1291">
        <f>IF([3]Entry!$R$1294="","",[3]Entry!$R$1294)</f>
        <v/>
      </c>
    </row>
    <row r="1292">
      <c r="U1292">
        <f>IF([2]Baskol!$B$1295="","",[2]Baskol!$B$1295)</f>
        <v/>
      </c>
      <c r="V1292">
        <f>IF([2]Baskol!$C$1295="","",[2]Baskol!$C$1295)</f>
        <v/>
      </c>
      <c r="W1292">
        <f>IF([2]Baskol!$D$1295="","",[2]Baskol!$D$1295)</f>
        <v/>
      </c>
      <c r="X1292">
        <f>IF([2]Baskol!$E$1295="","",[2]Baskol!$E$1295)</f>
        <v/>
      </c>
      <c r="Y1292">
        <f>IF([2]Baskol!$G$1295="","",[2]Baskol!$G$1295)</f>
        <v/>
      </c>
      <c r="Z1292">
        <f>IF([2]Baskol!$I$1295="","",[2]Baskol!$I$1295)</f>
        <v/>
      </c>
      <c r="AA1292">
        <f>IF([2]Baskol!$J$1295="","",[2]Baskol!$J$1295)</f>
        <v/>
      </c>
      <c r="AB1292">
        <f>IF([2]Baskol!$K$1295="","",[2]Baskol!$K$1295)</f>
        <v/>
      </c>
      <c r="AC1292">
        <f>IF([2]Baskol!$L$1295="","",[2]Baskol!$L$1295)</f>
        <v/>
      </c>
      <c r="AD1292">
        <f>IF([2]Baskol!$N$1295="","",[2]Baskol!$N$1295)</f>
        <v/>
      </c>
      <c r="AE1292">
        <f>IF([2]Baskol!$O$1295="","",[2]Baskol!$O$1295)</f>
        <v/>
      </c>
      <c r="AG1292">
        <f>IF([3]Entry!$C$1295="","",[3]Entry!$C$1295)</f>
        <v/>
      </c>
      <c r="AH1292">
        <f>IF([3]Entry!$D$1295="","",[3]Entry!$D$1295)</f>
        <v/>
      </c>
      <c r="AI1292">
        <f>IF([3]Entry!$E$1295="","",[3]Entry!$E$1295)</f>
        <v/>
      </c>
      <c r="AJ1292">
        <f>IF([3]Entry!$G$1295="","",[3]Entry!$G$1295)</f>
        <v/>
      </c>
      <c r="AK1292">
        <f>IF([3]Entry!$K$1295="","",[3]Entry!$K$1295)</f>
        <v/>
      </c>
      <c r="AL1292">
        <f>IF([3]Entry!$L$1295="","",[3]Entry!$L$1295)</f>
        <v/>
      </c>
      <c r="AM1292">
        <f>IF([3]Entry!$M$1295="","",[3]Entry!$M$1295)</f>
        <v/>
      </c>
      <c r="AN1292">
        <f>IF([3]Entry!$N$1295="","",[3]Entry!$N$1295)</f>
        <v/>
      </c>
      <c r="AO1292">
        <f>IF([3]Entry!$R$1295="","",[3]Entry!$R$1295)</f>
        <v/>
      </c>
    </row>
    <row r="1293">
      <c r="U1293">
        <f>IF([2]Baskol!$B$1296="","",[2]Baskol!$B$1296)</f>
        <v/>
      </c>
      <c r="V1293">
        <f>IF([2]Baskol!$C$1296="","",[2]Baskol!$C$1296)</f>
        <v/>
      </c>
      <c r="W1293">
        <f>IF([2]Baskol!$D$1296="","",[2]Baskol!$D$1296)</f>
        <v/>
      </c>
      <c r="X1293">
        <f>IF([2]Baskol!$E$1296="","",[2]Baskol!$E$1296)</f>
        <v/>
      </c>
      <c r="Y1293">
        <f>IF([2]Baskol!$G$1296="","",[2]Baskol!$G$1296)</f>
        <v/>
      </c>
      <c r="Z1293">
        <f>IF([2]Baskol!$I$1296="","",[2]Baskol!$I$1296)</f>
        <v/>
      </c>
      <c r="AA1293">
        <f>IF([2]Baskol!$J$1296="","",[2]Baskol!$J$1296)</f>
        <v/>
      </c>
      <c r="AB1293">
        <f>IF([2]Baskol!$K$1296="","",[2]Baskol!$K$1296)</f>
        <v/>
      </c>
      <c r="AC1293">
        <f>IF([2]Baskol!$L$1296="","",[2]Baskol!$L$1296)</f>
        <v/>
      </c>
      <c r="AD1293">
        <f>IF([2]Baskol!$N$1296="","",[2]Baskol!$N$1296)</f>
        <v/>
      </c>
      <c r="AE1293">
        <f>IF([2]Baskol!$O$1296="","",[2]Baskol!$O$1296)</f>
        <v/>
      </c>
      <c r="AG1293">
        <f>IF([3]Entry!$C$1296="","",[3]Entry!$C$1296)</f>
        <v/>
      </c>
      <c r="AH1293">
        <f>IF([3]Entry!$D$1296="","",[3]Entry!$D$1296)</f>
        <v/>
      </c>
      <c r="AI1293">
        <f>IF([3]Entry!$E$1296="","",[3]Entry!$E$1296)</f>
        <v/>
      </c>
      <c r="AJ1293">
        <f>IF([3]Entry!$G$1296="","",[3]Entry!$G$1296)</f>
        <v/>
      </c>
      <c r="AK1293">
        <f>IF([3]Entry!$K$1296="","",[3]Entry!$K$1296)</f>
        <v/>
      </c>
      <c r="AL1293">
        <f>IF([3]Entry!$L$1296="","",[3]Entry!$L$1296)</f>
        <v/>
      </c>
      <c r="AM1293">
        <f>IF([3]Entry!$M$1296="","",[3]Entry!$M$1296)</f>
        <v/>
      </c>
      <c r="AN1293">
        <f>IF([3]Entry!$N$1296="","",[3]Entry!$N$1296)</f>
        <v/>
      </c>
      <c r="AO1293">
        <f>IF([3]Entry!$R$1296="","",[3]Entry!$R$1296)</f>
        <v/>
      </c>
    </row>
    <row r="1294">
      <c r="U1294">
        <f>IF([2]Baskol!$B$1297="","",[2]Baskol!$B$1297)</f>
        <v/>
      </c>
      <c r="V1294">
        <f>IF([2]Baskol!$C$1297="","",[2]Baskol!$C$1297)</f>
        <v/>
      </c>
      <c r="W1294">
        <f>IF([2]Baskol!$D$1297="","",[2]Baskol!$D$1297)</f>
        <v/>
      </c>
      <c r="X1294">
        <f>IF([2]Baskol!$E$1297="","",[2]Baskol!$E$1297)</f>
        <v/>
      </c>
      <c r="Y1294">
        <f>IF([2]Baskol!$G$1297="","",[2]Baskol!$G$1297)</f>
        <v/>
      </c>
      <c r="Z1294">
        <f>IF([2]Baskol!$I$1297="","",[2]Baskol!$I$1297)</f>
        <v/>
      </c>
      <c r="AA1294">
        <f>IF([2]Baskol!$J$1297="","",[2]Baskol!$J$1297)</f>
        <v/>
      </c>
      <c r="AB1294">
        <f>IF([2]Baskol!$K$1297="","",[2]Baskol!$K$1297)</f>
        <v/>
      </c>
      <c r="AC1294">
        <f>IF([2]Baskol!$L$1297="","",[2]Baskol!$L$1297)</f>
        <v/>
      </c>
      <c r="AD1294">
        <f>IF([2]Baskol!$N$1297="","",[2]Baskol!$N$1297)</f>
        <v/>
      </c>
      <c r="AE1294">
        <f>IF([2]Baskol!$O$1297="","",[2]Baskol!$O$1297)</f>
        <v/>
      </c>
      <c r="AG1294">
        <f>IF([3]Entry!$C$1297="","",[3]Entry!$C$1297)</f>
        <v/>
      </c>
      <c r="AH1294">
        <f>IF([3]Entry!$D$1297="","",[3]Entry!$D$1297)</f>
        <v/>
      </c>
      <c r="AI1294">
        <f>IF([3]Entry!$E$1297="","",[3]Entry!$E$1297)</f>
        <v/>
      </c>
      <c r="AJ1294">
        <f>IF([3]Entry!$G$1297="","",[3]Entry!$G$1297)</f>
        <v/>
      </c>
      <c r="AK1294">
        <f>IF([3]Entry!$K$1297="","",[3]Entry!$K$1297)</f>
        <v/>
      </c>
      <c r="AL1294">
        <f>IF([3]Entry!$L$1297="","",[3]Entry!$L$1297)</f>
        <v/>
      </c>
      <c r="AM1294">
        <f>IF([3]Entry!$M$1297="","",[3]Entry!$M$1297)</f>
        <v/>
      </c>
      <c r="AN1294">
        <f>IF([3]Entry!$N$1297="","",[3]Entry!$N$1297)</f>
        <v/>
      </c>
      <c r="AO1294">
        <f>IF([3]Entry!$R$1297="","",[3]Entry!$R$1297)</f>
        <v/>
      </c>
    </row>
    <row r="1295">
      <c r="U1295">
        <f>IF([2]Baskol!$B$1298="","",[2]Baskol!$B$1298)</f>
        <v/>
      </c>
      <c r="V1295">
        <f>IF([2]Baskol!$C$1298="","",[2]Baskol!$C$1298)</f>
        <v/>
      </c>
      <c r="W1295">
        <f>IF([2]Baskol!$D$1298="","",[2]Baskol!$D$1298)</f>
        <v/>
      </c>
      <c r="X1295">
        <f>IF([2]Baskol!$E$1298="","",[2]Baskol!$E$1298)</f>
        <v/>
      </c>
      <c r="Y1295">
        <f>IF([2]Baskol!$G$1298="","",[2]Baskol!$G$1298)</f>
        <v/>
      </c>
      <c r="Z1295">
        <f>IF([2]Baskol!$I$1298="","",[2]Baskol!$I$1298)</f>
        <v/>
      </c>
      <c r="AA1295">
        <f>IF([2]Baskol!$J$1298="","",[2]Baskol!$J$1298)</f>
        <v/>
      </c>
      <c r="AB1295">
        <f>IF([2]Baskol!$K$1298="","",[2]Baskol!$K$1298)</f>
        <v/>
      </c>
      <c r="AC1295">
        <f>IF([2]Baskol!$L$1298="","",[2]Baskol!$L$1298)</f>
        <v/>
      </c>
      <c r="AD1295">
        <f>IF([2]Baskol!$N$1298="","",[2]Baskol!$N$1298)</f>
        <v/>
      </c>
      <c r="AE1295">
        <f>IF([2]Baskol!$O$1298="","",[2]Baskol!$O$1298)</f>
        <v/>
      </c>
      <c r="AG1295">
        <f>IF([3]Entry!$C$1298="","",[3]Entry!$C$1298)</f>
        <v/>
      </c>
      <c r="AH1295">
        <f>IF([3]Entry!$D$1298="","",[3]Entry!$D$1298)</f>
        <v/>
      </c>
      <c r="AI1295">
        <f>IF([3]Entry!$E$1298="","",[3]Entry!$E$1298)</f>
        <v/>
      </c>
      <c r="AJ1295">
        <f>IF([3]Entry!$G$1298="","",[3]Entry!$G$1298)</f>
        <v/>
      </c>
      <c r="AK1295">
        <f>IF([3]Entry!$K$1298="","",[3]Entry!$K$1298)</f>
        <v/>
      </c>
      <c r="AL1295">
        <f>IF([3]Entry!$L$1298="","",[3]Entry!$L$1298)</f>
        <v/>
      </c>
      <c r="AM1295">
        <f>IF([3]Entry!$M$1298="","",[3]Entry!$M$1298)</f>
        <v/>
      </c>
      <c r="AN1295">
        <f>IF([3]Entry!$N$1298="","",[3]Entry!$N$1298)</f>
        <v/>
      </c>
      <c r="AO1295">
        <f>IF([3]Entry!$R$1298="","",[3]Entry!$R$1298)</f>
        <v/>
      </c>
    </row>
    <row r="1296">
      <c r="U1296">
        <f>IF([2]Baskol!$B$1299="","",[2]Baskol!$B$1299)</f>
        <v/>
      </c>
      <c r="V1296">
        <f>IF([2]Baskol!$C$1299="","",[2]Baskol!$C$1299)</f>
        <v/>
      </c>
      <c r="W1296">
        <f>IF([2]Baskol!$D$1299="","",[2]Baskol!$D$1299)</f>
        <v/>
      </c>
      <c r="X1296">
        <f>IF([2]Baskol!$E$1299="","",[2]Baskol!$E$1299)</f>
        <v/>
      </c>
      <c r="Y1296">
        <f>IF([2]Baskol!$G$1299="","",[2]Baskol!$G$1299)</f>
        <v/>
      </c>
      <c r="Z1296">
        <f>IF([2]Baskol!$I$1299="","",[2]Baskol!$I$1299)</f>
        <v/>
      </c>
      <c r="AA1296">
        <f>IF([2]Baskol!$J$1299="","",[2]Baskol!$J$1299)</f>
        <v/>
      </c>
      <c r="AB1296">
        <f>IF([2]Baskol!$K$1299="","",[2]Baskol!$K$1299)</f>
        <v/>
      </c>
      <c r="AC1296">
        <f>IF([2]Baskol!$L$1299="","",[2]Baskol!$L$1299)</f>
        <v/>
      </c>
      <c r="AD1296">
        <f>IF([2]Baskol!$N$1299="","",[2]Baskol!$N$1299)</f>
        <v/>
      </c>
      <c r="AE1296">
        <f>IF([2]Baskol!$O$1299="","",[2]Baskol!$O$1299)</f>
        <v/>
      </c>
      <c r="AG1296">
        <f>IF([3]Entry!$C$1299="","",[3]Entry!$C$1299)</f>
        <v/>
      </c>
      <c r="AH1296">
        <f>IF([3]Entry!$D$1299="","",[3]Entry!$D$1299)</f>
        <v/>
      </c>
      <c r="AI1296">
        <f>IF([3]Entry!$E$1299="","",[3]Entry!$E$1299)</f>
        <v/>
      </c>
      <c r="AJ1296">
        <f>IF([3]Entry!$G$1299="","",[3]Entry!$G$1299)</f>
        <v/>
      </c>
      <c r="AK1296">
        <f>IF([3]Entry!$K$1299="","",[3]Entry!$K$1299)</f>
        <v/>
      </c>
      <c r="AL1296">
        <f>IF([3]Entry!$L$1299="","",[3]Entry!$L$1299)</f>
        <v/>
      </c>
      <c r="AM1296">
        <f>IF([3]Entry!$M$1299="","",[3]Entry!$M$1299)</f>
        <v/>
      </c>
      <c r="AN1296">
        <f>IF([3]Entry!$N$1299="","",[3]Entry!$N$1299)</f>
        <v/>
      </c>
      <c r="AO1296">
        <f>IF([3]Entry!$R$1299="","",[3]Entry!$R$1299)</f>
        <v/>
      </c>
    </row>
    <row r="1297">
      <c r="U1297">
        <f>IF([2]Baskol!$B$1300="","",[2]Baskol!$B$1300)</f>
        <v/>
      </c>
      <c r="V1297">
        <f>IF([2]Baskol!$C$1300="","",[2]Baskol!$C$1300)</f>
        <v/>
      </c>
      <c r="W1297">
        <f>IF([2]Baskol!$D$1300="","",[2]Baskol!$D$1300)</f>
        <v/>
      </c>
      <c r="X1297">
        <f>IF([2]Baskol!$E$1300="","",[2]Baskol!$E$1300)</f>
        <v/>
      </c>
      <c r="Y1297">
        <f>IF([2]Baskol!$G$1300="","",[2]Baskol!$G$1300)</f>
        <v/>
      </c>
      <c r="Z1297">
        <f>IF([2]Baskol!$I$1300="","",[2]Baskol!$I$1300)</f>
        <v/>
      </c>
      <c r="AA1297">
        <f>IF([2]Baskol!$J$1300="","",[2]Baskol!$J$1300)</f>
        <v/>
      </c>
      <c r="AB1297">
        <f>IF([2]Baskol!$K$1300="","",[2]Baskol!$K$1300)</f>
        <v/>
      </c>
      <c r="AC1297">
        <f>IF([2]Baskol!$L$1300="","",[2]Baskol!$L$1300)</f>
        <v/>
      </c>
      <c r="AD1297">
        <f>IF([2]Baskol!$N$1300="","",[2]Baskol!$N$1300)</f>
        <v/>
      </c>
      <c r="AE1297">
        <f>IF([2]Baskol!$O$1300="","",[2]Baskol!$O$1300)</f>
        <v/>
      </c>
      <c r="AG1297">
        <f>IF([3]Entry!$C$1300="","",[3]Entry!$C$1300)</f>
        <v/>
      </c>
      <c r="AH1297">
        <f>IF([3]Entry!$D$1300="","",[3]Entry!$D$1300)</f>
        <v/>
      </c>
      <c r="AI1297">
        <f>IF([3]Entry!$E$1300="","",[3]Entry!$E$1300)</f>
        <v/>
      </c>
      <c r="AJ1297">
        <f>IF([3]Entry!$G$1300="","",[3]Entry!$G$1300)</f>
        <v/>
      </c>
      <c r="AK1297">
        <f>IF([3]Entry!$K$1300="","",[3]Entry!$K$1300)</f>
        <v/>
      </c>
      <c r="AL1297">
        <f>IF([3]Entry!$L$1300="","",[3]Entry!$L$1300)</f>
        <v/>
      </c>
      <c r="AM1297">
        <f>IF([3]Entry!$M$1300="","",[3]Entry!$M$1300)</f>
        <v/>
      </c>
      <c r="AN1297">
        <f>IF([3]Entry!$N$1300="","",[3]Entry!$N$1300)</f>
        <v/>
      </c>
      <c r="AO1297">
        <f>IF([3]Entry!$R$1300="","",[3]Entry!$R$1300)</f>
        <v/>
      </c>
    </row>
    <row r="1298">
      <c r="U1298">
        <f>IF([2]Baskol!$B$1301="","",[2]Baskol!$B$1301)</f>
        <v/>
      </c>
      <c r="V1298">
        <f>IF([2]Baskol!$C$1301="","",[2]Baskol!$C$1301)</f>
        <v/>
      </c>
      <c r="W1298">
        <f>IF([2]Baskol!$D$1301="","",[2]Baskol!$D$1301)</f>
        <v/>
      </c>
      <c r="X1298">
        <f>IF([2]Baskol!$E$1301="","",[2]Baskol!$E$1301)</f>
        <v/>
      </c>
      <c r="Y1298">
        <f>IF([2]Baskol!$G$1301="","",[2]Baskol!$G$1301)</f>
        <v/>
      </c>
      <c r="Z1298">
        <f>IF([2]Baskol!$I$1301="","",[2]Baskol!$I$1301)</f>
        <v/>
      </c>
      <c r="AA1298">
        <f>IF([2]Baskol!$J$1301="","",[2]Baskol!$J$1301)</f>
        <v/>
      </c>
      <c r="AB1298">
        <f>IF([2]Baskol!$K$1301="","",[2]Baskol!$K$1301)</f>
        <v/>
      </c>
      <c r="AC1298">
        <f>IF([2]Baskol!$L$1301="","",[2]Baskol!$L$1301)</f>
        <v/>
      </c>
      <c r="AD1298">
        <f>IF([2]Baskol!$N$1301="","",[2]Baskol!$N$1301)</f>
        <v/>
      </c>
      <c r="AE1298">
        <f>IF([2]Baskol!$O$1301="","",[2]Baskol!$O$1301)</f>
        <v/>
      </c>
      <c r="AG1298">
        <f>IF([3]Entry!$C$1301="","",[3]Entry!$C$1301)</f>
        <v/>
      </c>
      <c r="AH1298">
        <f>IF([3]Entry!$D$1301="","",[3]Entry!$D$1301)</f>
        <v/>
      </c>
      <c r="AI1298">
        <f>IF([3]Entry!$E$1301="","",[3]Entry!$E$1301)</f>
        <v/>
      </c>
      <c r="AJ1298">
        <f>IF([3]Entry!$G$1301="","",[3]Entry!$G$1301)</f>
        <v/>
      </c>
      <c r="AK1298">
        <f>IF([3]Entry!$K$1301="","",[3]Entry!$K$1301)</f>
        <v/>
      </c>
      <c r="AL1298">
        <f>IF([3]Entry!$L$1301="","",[3]Entry!$L$1301)</f>
        <v/>
      </c>
      <c r="AM1298">
        <f>IF([3]Entry!$M$1301="","",[3]Entry!$M$1301)</f>
        <v/>
      </c>
      <c r="AN1298">
        <f>IF([3]Entry!$N$1301="","",[3]Entry!$N$1301)</f>
        <v/>
      </c>
      <c r="AO1298">
        <f>IF([3]Entry!$R$1301="","",[3]Entry!$R$1301)</f>
        <v/>
      </c>
    </row>
    <row r="1299">
      <c r="U1299">
        <f>IF([2]Baskol!$B$1302="","",[2]Baskol!$B$1302)</f>
        <v/>
      </c>
      <c r="V1299">
        <f>IF([2]Baskol!$C$1302="","",[2]Baskol!$C$1302)</f>
        <v/>
      </c>
      <c r="W1299">
        <f>IF([2]Baskol!$D$1302="","",[2]Baskol!$D$1302)</f>
        <v/>
      </c>
      <c r="X1299">
        <f>IF([2]Baskol!$E$1302="","",[2]Baskol!$E$1302)</f>
        <v/>
      </c>
      <c r="Y1299">
        <f>IF([2]Baskol!$G$1302="","",[2]Baskol!$G$1302)</f>
        <v/>
      </c>
      <c r="Z1299">
        <f>IF([2]Baskol!$I$1302="","",[2]Baskol!$I$1302)</f>
        <v/>
      </c>
      <c r="AA1299">
        <f>IF([2]Baskol!$J$1302="","",[2]Baskol!$J$1302)</f>
        <v/>
      </c>
      <c r="AB1299">
        <f>IF([2]Baskol!$K$1302="","",[2]Baskol!$K$1302)</f>
        <v/>
      </c>
      <c r="AC1299">
        <f>IF([2]Baskol!$L$1302="","",[2]Baskol!$L$1302)</f>
        <v/>
      </c>
      <c r="AD1299">
        <f>IF([2]Baskol!$N$1302="","",[2]Baskol!$N$1302)</f>
        <v/>
      </c>
      <c r="AE1299">
        <f>IF([2]Baskol!$O$1302="","",[2]Baskol!$O$1302)</f>
        <v/>
      </c>
      <c r="AG1299">
        <f>IF([3]Entry!$C$1302="","",[3]Entry!$C$1302)</f>
        <v/>
      </c>
      <c r="AH1299">
        <f>IF([3]Entry!$D$1302="","",[3]Entry!$D$1302)</f>
        <v/>
      </c>
      <c r="AI1299">
        <f>IF([3]Entry!$E$1302="","",[3]Entry!$E$1302)</f>
        <v/>
      </c>
      <c r="AJ1299">
        <f>IF([3]Entry!$G$1302="","",[3]Entry!$G$1302)</f>
        <v/>
      </c>
      <c r="AK1299">
        <f>IF([3]Entry!$K$1302="","",[3]Entry!$K$1302)</f>
        <v/>
      </c>
      <c r="AL1299">
        <f>IF([3]Entry!$L$1302="","",[3]Entry!$L$1302)</f>
        <v/>
      </c>
      <c r="AM1299">
        <f>IF([3]Entry!$M$1302="","",[3]Entry!$M$1302)</f>
        <v/>
      </c>
      <c r="AN1299">
        <f>IF([3]Entry!$N$1302="","",[3]Entry!$N$1302)</f>
        <v/>
      </c>
      <c r="AO1299">
        <f>IF([3]Entry!$R$1302="","",[3]Entry!$R$1302)</f>
        <v/>
      </c>
    </row>
    <row r="1300">
      <c r="U1300">
        <f>IF([2]Baskol!$B$1303="","",[2]Baskol!$B$1303)</f>
        <v/>
      </c>
      <c r="V1300">
        <f>IF([2]Baskol!$C$1303="","",[2]Baskol!$C$1303)</f>
        <v/>
      </c>
      <c r="W1300">
        <f>IF([2]Baskol!$D$1303="","",[2]Baskol!$D$1303)</f>
        <v/>
      </c>
      <c r="X1300">
        <f>IF([2]Baskol!$E$1303="","",[2]Baskol!$E$1303)</f>
        <v/>
      </c>
      <c r="Y1300">
        <f>IF([2]Baskol!$G$1303="","",[2]Baskol!$G$1303)</f>
        <v/>
      </c>
      <c r="Z1300">
        <f>IF([2]Baskol!$I$1303="","",[2]Baskol!$I$1303)</f>
        <v/>
      </c>
      <c r="AA1300">
        <f>IF([2]Baskol!$J$1303="","",[2]Baskol!$J$1303)</f>
        <v/>
      </c>
      <c r="AB1300">
        <f>IF([2]Baskol!$K$1303="","",[2]Baskol!$K$1303)</f>
        <v/>
      </c>
      <c r="AC1300">
        <f>IF([2]Baskol!$L$1303="","",[2]Baskol!$L$1303)</f>
        <v/>
      </c>
      <c r="AD1300">
        <f>IF([2]Baskol!$N$1303="","",[2]Baskol!$N$1303)</f>
        <v/>
      </c>
      <c r="AE1300">
        <f>IF([2]Baskol!$O$1303="","",[2]Baskol!$O$1303)</f>
        <v/>
      </c>
      <c r="AG1300">
        <f>IF([3]Entry!$C$1303="","",[3]Entry!$C$1303)</f>
        <v/>
      </c>
      <c r="AH1300">
        <f>IF([3]Entry!$D$1303="","",[3]Entry!$D$1303)</f>
        <v/>
      </c>
      <c r="AI1300">
        <f>IF([3]Entry!$E$1303="","",[3]Entry!$E$1303)</f>
        <v/>
      </c>
      <c r="AJ1300">
        <f>IF([3]Entry!$G$1303="","",[3]Entry!$G$1303)</f>
        <v/>
      </c>
      <c r="AK1300">
        <f>IF([3]Entry!$K$1303="","",[3]Entry!$K$1303)</f>
        <v/>
      </c>
      <c r="AL1300">
        <f>IF([3]Entry!$L$1303="","",[3]Entry!$L$1303)</f>
        <v/>
      </c>
      <c r="AM1300">
        <f>IF([3]Entry!$M$1303="","",[3]Entry!$M$1303)</f>
        <v/>
      </c>
      <c r="AN1300">
        <f>IF([3]Entry!$N$1303="","",[3]Entry!$N$1303)</f>
        <v/>
      </c>
      <c r="AO1300">
        <f>IF([3]Entry!$R$1303="","",[3]Entry!$R$1303)</f>
        <v/>
      </c>
    </row>
    <row r="1301">
      <c r="U1301">
        <f>IF([2]Baskol!$B$1304="","",[2]Baskol!$B$1304)</f>
        <v/>
      </c>
      <c r="V1301">
        <f>IF([2]Baskol!$C$1304="","",[2]Baskol!$C$1304)</f>
        <v/>
      </c>
      <c r="W1301">
        <f>IF([2]Baskol!$D$1304="","",[2]Baskol!$D$1304)</f>
        <v/>
      </c>
      <c r="X1301">
        <f>IF([2]Baskol!$E$1304="","",[2]Baskol!$E$1304)</f>
        <v/>
      </c>
      <c r="Y1301">
        <f>IF([2]Baskol!$G$1304="","",[2]Baskol!$G$1304)</f>
        <v/>
      </c>
      <c r="Z1301">
        <f>IF([2]Baskol!$I$1304="","",[2]Baskol!$I$1304)</f>
        <v/>
      </c>
      <c r="AA1301">
        <f>IF([2]Baskol!$J$1304="","",[2]Baskol!$J$1304)</f>
        <v/>
      </c>
      <c r="AB1301">
        <f>IF([2]Baskol!$K$1304="","",[2]Baskol!$K$1304)</f>
        <v/>
      </c>
      <c r="AC1301">
        <f>IF([2]Baskol!$L$1304="","",[2]Baskol!$L$1304)</f>
        <v/>
      </c>
      <c r="AD1301">
        <f>IF([2]Baskol!$N$1304="","",[2]Baskol!$N$1304)</f>
        <v/>
      </c>
      <c r="AE1301">
        <f>IF([2]Baskol!$O$1304="","",[2]Baskol!$O$1304)</f>
        <v/>
      </c>
      <c r="AG1301">
        <f>IF([3]Entry!$C$1304="","",[3]Entry!$C$1304)</f>
        <v/>
      </c>
      <c r="AH1301">
        <f>IF([3]Entry!$D$1304="","",[3]Entry!$D$1304)</f>
        <v/>
      </c>
      <c r="AI1301">
        <f>IF([3]Entry!$E$1304="","",[3]Entry!$E$1304)</f>
        <v/>
      </c>
      <c r="AJ1301">
        <f>IF([3]Entry!$G$1304="","",[3]Entry!$G$1304)</f>
        <v/>
      </c>
      <c r="AK1301">
        <f>IF([3]Entry!$K$1304="","",[3]Entry!$K$1304)</f>
        <v/>
      </c>
      <c r="AL1301">
        <f>IF([3]Entry!$L$1304="","",[3]Entry!$L$1304)</f>
        <v/>
      </c>
      <c r="AM1301">
        <f>IF([3]Entry!$M$1304="","",[3]Entry!$M$1304)</f>
        <v/>
      </c>
      <c r="AN1301">
        <f>IF([3]Entry!$N$1304="","",[3]Entry!$N$1304)</f>
        <v/>
      </c>
      <c r="AO1301">
        <f>IF([3]Entry!$R$1304="","",[3]Entry!$R$1304)</f>
        <v/>
      </c>
    </row>
    <row r="1302">
      <c r="U1302">
        <f>IF([2]Baskol!$B$1305="","",[2]Baskol!$B$1305)</f>
        <v/>
      </c>
      <c r="V1302">
        <f>IF([2]Baskol!$C$1305="","",[2]Baskol!$C$1305)</f>
        <v/>
      </c>
      <c r="W1302">
        <f>IF([2]Baskol!$D$1305="","",[2]Baskol!$D$1305)</f>
        <v/>
      </c>
      <c r="X1302">
        <f>IF([2]Baskol!$E$1305="","",[2]Baskol!$E$1305)</f>
        <v/>
      </c>
      <c r="Y1302">
        <f>IF([2]Baskol!$G$1305="","",[2]Baskol!$G$1305)</f>
        <v/>
      </c>
      <c r="Z1302">
        <f>IF([2]Baskol!$I$1305="","",[2]Baskol!$I$1305)</f>
        <v/>
      </c>
      <c r="AA1302">
        <f>IF([2]Baskol!$J$1305="","",[2]Baskol!$J$1305)</f>
        <v/>
      </c>
      <c r="AB1302">
        <f>IF([2]Baskol!$K$1305="","",[2]Baskol!$K$1305)</f>
        <v/>
      </c>
      <c r="AC1302">
        <f>IF([2]Baskol!$L$1305="","",[2]Baskol!$L$1305)</f>
        <v/>
      </c>
      <c r="AD1302">
        <f>IF([2]Baskol!$N$1305="","",[2]Baskol!$N$1305)</f>
        <v/>
      </c>
      <c r="AE1302">
        <f>IF([2]Baskol!$O$1305="","",[2]Baskol!$O$1305)</f>
        <v/>
      </c>
      <c r="AG1302">
        <f>IF([3]Entry!$C$1305="","",[3]Entry!$C$1305)</f>
        <v/>
      </c>
      <c r="AH1302">
        <f>IF([3]Entry!$D$1305="","",[3]Entry!$D$1305)</f>
        <v/>
      </c>
      <c r="AI1302">
        <f>IF([3]Entry!$E$1305="","",[3]Entry!$E$1305)</f>
        <v/>
      </c>
      <c r="AJ1302">
        <f>IF([3]Entry!$G$1305="","",[3]Entry!$G$1305)</f>
        <v/>
      </c>
      <c r="AK1302">
        <f>IF([3]Entry!$K$1305="","",[3]Entry!$K$1305)</f>
        <v/>
      </c>
      <c r="AL1302">
        <f>IF([3]Entry!$L$1305="","",[3]Entry!$L$1305)</f>
        <v/>
      </c>
      <c r="AM1302">
        <f>IF([3]Entry!$M$1305="","",[3]Entry!$M$1305)</f>
        <v/>
      </c>
      <c r="AN1302">
        <f>IF([3]Entry!$N$1305="","",[3]Entry!$N$1305)</f>
        <v/>
      </c>
      <c r="AO1302">
        <f>IF([3]Entry!$R$1305="","",[3]Entry!$R$1305)</f>
        <v/>
      </c>
    </row>
    <row r="1303">
      <c r="U1303">
        <f>IF([2]Baskol!$B$1306="","",[2]Baskol!$B$1306)</f>
        <v/>
      </c>
      <c r="V1303">
        <f>IF([2]Baskol!$C$1306="","",[2]Baskol!$C$1306)</f>
        <v/>
      </c>
      <c r="W1303">
        <f>IF([2]Baskol!$D$1306="","",[2]Baskol!$D$1306)</f>
        <v/>
      </c>
      <c r="X1303">
        <f>IF([2]Baskol!$E$1306="","",[2]Baskol!$E$1306)</f>
        <v/>
      </c>
      <c r="Y1303">
        <f>IF([2]Baskol!$G$1306="","",[2]Baskol!$G$1306)</f>
        <v/>
      </c>
      <c r="Z1303">
        <f>IF([2]Baskol!$I$1306="","",[2]Baskol!$I$1306)</f>
        <v/>
      </c>
      <c r="AA1303">
        <f>IF([2]Baskol!$J$1306="","",[2]Baskol!$J$1306)</f>
        <v/>
      </c>
      <c r="AB1303">
        <f>IF([2]Baskol!$K$1306="","",[2]Baskol!$K$1306)</f>
        <v/>
      </c>
      <c r="AC1303">
        <f>IF([2]Baskol!$L$1306="","",[2]Baskol!$L$1306)</f>
        <v/>
      </c>
      <c r="AD1303">
        <f>IF([2]Baskol!$N$1306="","",[2]Baskol!$N$1306)</f>
        <v/>
      </c>
      <c r="AE1303">
        <f>IF([2]Baskol!$O$1306="","",[2]Baskol!$O$1306)</f>
        <v/>
      </c>
      <c r="AG1303">
        <f>IF([3]Entry!$C$1306="","",[3]Entry!$C$1306)</f>
        <v/>
      </c>
      <c r="AH1303">
        <f>IF([3]Entry!$D$1306="","",[3]Entry!$D$1306)</f>
        <v/>
      </c>
      <c r="AI1303">
        <f>IF([3]Entry!$E$1306="","",[3]Entry!$E$1306)</f>
        <v/>
      </c>
      <c r="AJ1303">
        <f>IF([3]Entry!$G$1306="","",[3]Entry!$G$1306)</f>
        <v/>
      </c>
      <c r="AK1303">
        <f>IF([3]Entry!$K$1306="","",[3]Entry!$K$1306)</f>
        <v/>
      </c>
      <c r="AL1303">
        <f>IF([3]Entry!$L$1306="","",[3]Entry!$L$1306)</f>
        <v/>
      </c>
      <c r="AM1303">
        <f>IF([3]Entry!$M$1306="","",[3]Entry!$M$1306)</f>
        <v/>
      </c>
      <c r="AN1303">
        <f>IF([3]Entry!$N$1306="","",[3]Entry!$N$1306)</f>
        <v/>
      </c>
      <c r="AO1303">
        <f>IF([3]Entry!$R$1306="","",[3]Entry!$R$1306)</f>
        <v/>
      </c>
    </row>
    <row r="1304">
      <c r="U1304">
        <f>IF([2]Baskol!$B$1307="","",[2]Baskol!$B$1307)</f>
        <v/>
      </c>
      <c r="V1304">
        <f>IF([2]Baskol!$C$1307="","",[2]Baskol!$C$1307)</f>
        <v/>
      </c>
      <c r="W1304">
        <f>IF([2]Baskol!$D$1307="","",[2]Baskol!$D$1307)</f>
        <v/>
      </c>
      <c r="X1304">
        <f>IF([2]Baskol!$E$1307="","",[2]Baskol!$E$1307)</f>
        <v/>
      </c>
      <c r="Y1304">
        <f>IF([2]Baskol!$G$1307="","",[2]Baskol!$G$1307)</f>
        <v/>
      </c>
      <c r="Z1304">
        <f>IF([2]Baskol!$I$1307="","",[2]Baskol!$I$1307)</f>
        <v/>
      </c>
      <c r="AA1304">
        <f>IF([2]Baskol!$J$1307="","",[2]Baskol!$J$1307)</f>
        <v/>
      </c>
      <c r="AB1304">
        <f>IF([2]Baskol!$K$1307="","",[2]Baskol!$K$1307)</f>
        <v/>
      </c>
      <c r="AC1304">
        <f>IF([2]Baskol!$L$1307="","",[2]Baskol!$L$1307)</f>
        <v/>
      </c>
      <c r="AD1304">
        <f>IF([2]Baskol!$N$1307="","",[2]Baskol!$N$1307)</f>
        <v/>
      </c>
      <c r="AE1304">
        <f>IF([2]Baskol!$O$1307="","",[2]Baskol!$O$1307)</f>
        <v/>
      </c>
      <c r="AG1304">
        <f>IF([3]Entry!$C$1307="","",[3]Entry!$C$1307)</f>
        <v/>
      </c>
      <c r="AH1304">
        <f>IF([3]Entry!$D$1307="","",[3]Entry!$D$1307)</f>
        <v/>
      </c>
      <c r="AI1304">
        <f>IF([3]Entry!$E$1307="","",[3]Entry!$E$1307)</f>
        <v/>
      </c>
      <c r="AJ1304">
        <f>IF([3]Entry!$G$1307="","",[3]Entry!$G$1307)</f>
        <v/>
      </c>
      <c r="AK1304">
        <f>IF([3]Entry!$K$1307="","",[3]Entry!$K$1307)</f>
        <v/>
      </c>
      <c r="AL1304">
        <f>IF([3]Entry!$L$1307="","",[3]Entry!$L$1307)</f>
        <v/>
      </c>
      <c r="AM1304">
        <f>IF([3]Entry!$M$1307="","",[3]Entry!$M$1307)</f>
        <v/>
      </c>
      <c r="AN1304">
        <f>IF([3]Entry!$N$1307="","",[3]Entry!$N$1307)</f>
        <v/>
      </c>
      <c r="AO1304">
        <f>IF([3]Entry!$R$1307="","",[3]Entry!$R$1307)</f>
        <v/>
      </c>
    </row>
    <row r="1305">
      <c r="U1305">
        <f>IF([2]Baskol!$B$1308="","",[2]Baskol!$B$1308)</f>
        <v/>
      </c>
      <c r="V1305">
        <f>IF([2]Baskol!$C$1308="","",[2]Baskol!$C$1308)</f>
        <v/>
      </c>
      <c r="W1305">
        <f>IF([2]Baskol!$D$1308="","",[2]Baskol!$D$1308)</f>
        <v/>
      </c>
      <c r="X1305">
        <f>IF([2]Baskol!$E$1308="","",[2]Baskol!$E$1308)</f>
        <v/>
      </c>
      <c r="Y1305">
        <f>IF([2]Baskol!$G$1308="","",[2]Baskol!$G$1308)</f>
        <v/>
      </c>
      <c r="Z1305">
        <f>IF([2]Baskol!$I$1308="","",[2]Baskol!$I$1308)</f>
        <v/>
      </c>
      <c r="AA1305">
        <f>IF([2]Baskol!$J$1308="","",[2]Baskol!$J$1308)</f>
        <v/>
      </c>
      <c r="AB1305">
        <f>IF([2]Baskol!$K$1308="","",[2]Baskol!$K$1308)</f>
        <v/>
      </c>
      <c r="AC1305">
        <f>IF([2]Baskol!$L$1308="","",[2]Baskol!$L$1308)</f>
        <v/>
      </c>
      <c r="AD1305">
        <f>IF([2]Baskol!$N$1308="","",[2]Baskol!$N$1308)</f>
        <v/>
      </c>
      <c r="AE1305">
        <f>IF([2]Baskol!$O$1308="","",[2]Baskol!$O$1308)</f>
        <v/>
      </c>
      <c r="AG1305">
        <f>IF([3]Entry!$C$1308="","",[3]Entry!$C$1308)</f>
        <v/>
      </c>
      <c r="AH1305">
        <f>IF([3]Entry!$D$1308="","",[3]Entry!$D$1308)</f>
        <v/>
      </c>
      <c r="AI1305">
        <f>IF([3]Entry!$E$1308="","",[3]Entry!$E$1308)</f>
        <v/>
      </c>
      <c r="AJ1305">
        <f>IF([3]Entry!$G$1308="","",[3]Entry!$G$1308)</f>
        <v/>
      </c>
      <c r="AK1305">
        <f>IF([3]Entry!$K$1308="","",[3]Entry!$K$1308)</f>
        <v/>
      </c>
      <c r="AL1305">
        <f>IF([3]Entry!$L$1308="","",[3]Entry!$L$1308)</f>
        <v/>
      </c>
      <c r="AM1305">
        <f>IF([3]Entry!$M$1308="","",[3]Entry!$M$1308)</f>
        <v/>
      </c>
      <c r="AN1305">
        <f>IF([3]Entry!$N$1308="","",[3]Entry!$N$1308)</f>
        <v/>
      </c>
      <c r="AO1305">
        <f>IF([3]Entry!$R$1308="","",[3]Entry!$R$1308)</f>
        <v/>
      </c>
    </row>
    <row r="1306">
      <c r="U1306">
        <f>IF([2]Baskol!$B$1309="","",[2]Baskol!$B$1309)</f>
        <v/>
      </c>
      <c r="V1306">
        <f>IF([2]Baskol!$C$1309="","",[2]Baskol!$C$1309)</f>
        <v/>
      </c>
      <c r="W1306">
        <f>IF([2]Baskol!$D$1309="","",[2]Baskol!$D$1309)</f>
        <v/>
      </c>
      <c r="X1306">
        <f>IF([2]Baskol!$E$1309="","",[2]Baskol!$E$1309)</f>
        <v/>
      </c>
      <c r="Y1306">
        <f>IF([2]Baskol!$G$1309="","",[2]Baskol!$G$1309)</f>
        <v/>
      </c>
      <c r="Z1306">
        <f>IF([2]Baskol!$I$1309="","",[2]Baskol!$I$1309)</f>
        <v/>
      </c>
      <c r="AA1306">
        <f>IF([2]Baskol!$J$1309="","",[2]Baskol!$J$1309)</f>
        <v/>
      </c>
      <c r="AB1306">
        <f>IF([2]Baskol!$K$1309="","",[2]Baskol!$K$1309)</f>
        <v/>
      </c>
      <c r="AC1306">
        <f>IF([2]Baskol!$L$1309="","",[2]Baskol!$L$1309)</f>
        <v/>
      </c>
      <c r="AD1306">
        <f>IF([2]Baskol!$N$1309="","",[2]Baskol!$N$1309)</f>
        <v/>
      </c>
      <c r="AE1306">
        <f>IF([2]Baskol!$O$1309="","",[2]Baskol!$O$1309)</f>
        <v/>
      </c>
      <c r="AG1306">
        <f>IF([3]Entry!$C$1309="","",[3]Entry!$C$1309)</f>
        <v/>
      </c>
      <c r="AH1306">
        <f>IF([3]Entry!$D$1309="","",[3]Entry!$D$1309)</f>
        <v/>
      </c>
      <c r="AI1306">
        <f>IF([3]Entry!$E$1309="","",[3]Entry!$E$1309)</f>
        <v/>
      </c>
      <c r="AJ1306">
        <f>IF([3]Entry!$G$1309="","",[3]Entry!$G$1309)</f>
        <v/>
      </c>
      <c r="AK1306">
        <f>IF([3]Entry!$K$1309="","",[3]Entry!$K$1309)</f>
        <v/>
      </c>
      <c r="AL1306">
        <f>IF([3]Entry!$L$1309="","",[3]Entry!$L$1309)</f>
        <v/>
      </c>
      <c r="AM1306">
        <f>IF([3]Entry!$M$1309="","",[3]Entry!$M$1309)</f>
        <v/>
      </c>
      <c r="AN1306">
        <f>IF([3]Entry!$N$1309="","",[3]Entry!$N$1309)</f>
        <v/>
      </c>
      <c r="AO1306">
        <f>IF([3]Entry!$R$1309="","",[3]Entry!$R$1309)</f>
        <v/>
      </c>
    </row>
    <row r="1307">
      <c r="U1307">
        <f>IF([2]Baskol!$B$1310="","",[2]Baskol!$B$1310)</f>
        <v/>
      </c>
      <c r="V1307">
        <f>IF([2]Baskol!$C$1310="","",[2]Baskol!$C$1310)</f>
        <v/>
      </c>
      <c r="W1307">
        <f>IF([2]Baskol!$D$1310="","",[2]Baskol!$D$1310)</f>
        <v/>
      </c>
      <c r="X1307">
        <f>IF([2]Baskol!$E$1310="","",[2]Baskol!$E$1310)</f>
        <v/>
      </c>
      <c r="Y1307">
        <f>IF([2]Baskol!$G$1310="","",[2]Baskol!$G$1310)</f>
        <v/>
      </c>
      <c r="Z1307">
        <f>IF([2]Baskol!$I$1310="","",[2]Baskol!$I$1310)</f>
        <v/>
      </c>
      <c r="AA1307">
        <f>IF([2]Baskol!$J$1310="","",[2]Baskol!$J$1310)</f>
        <v/>
      </c>
      <c r="AB1307">
        <f>IF([2]Baskol!$K$1310="","",[2]Baskol!$K$1310)</f>
        <v/>
      </c>
      <c r="AC1307">
        <f>IF([2]Baskol!$L$1310="","",[2]Baskol!$L$1310)</f>
        <v/>
      </c>
      <c r="AD1307">
        <f>IF([2]Baskol!$N$1310="","",[2]Baskol!$N$1310)</f>
        <v/>
      </c>
      <c r="AE1307">
        <f>IF([2]Baskol!$O$1310="","",[2]Baskol!$O$1310)</f>
        <v/>
      </c>
      <c r="AG1307">
        <f>IF([3]Entry!$C$1310="","",[3]Entry!$C$1310)</f>
        <v/>
      </c>
      <c r="AH1307">
        <f>IF([3]Entry!$D$1310="","",[3]Entry!$D$1310)</f>
        <v/>
      </c>
      <c r="AI1307">
        <f>IF([3]Entry!$E$1310="","",[3]Entry!$E$1310)</f>
        <v/>
      </c>
      <c r="AJ1307">
        <f>IF([3]Entry!$G$1310="","",[3]Entry!$G$1310)</f>
        <v/>
      </c>
      <c r="AK1307">
        <f>IF([3]Entry!$K$1310="","",[3]Entry!$K$1310)</f>
        <v/>
      </c>
      <c r="AL1307">
        <f>IF([3]Entry!$L$1310="","",[3]Entry!$L$1310)</f>
        <v/>
      </c>
      <c r="AM1307">
        <f>IF([3]Entry!$M$1310="","",[3]Entry!$M$1310)</f>
        <v/>
      </c>
      <c r="AN1307">
        <f>IF([3]Entry!$N$1310="","",[3]Entry!$N$1310)</f>
        <v/>
      </c>
      <c r="AO1307">
        <f>IF([3]Entry!$R$1310="","",[3]Entry!$R$1310)</f>
        <v/>
      </c>
    </row>
    <row r="1308">
      <c r="U1308">
        <f>IF([2]Baskol!$B$1311="","",[2]Baskol!$B$1311)</f>
        <v/>
      </c>
      <c r="V1308">
        <f>IF([2]Baskol!$C$1311="","",[2]Baskol!$C$1311)</f>
        <v/>
      </c>
      <c r="W1308">
        <f>IF([2]Baskol!$D$1311="","",[2]Baskol!$D$1311)</f>
        <v/>
      </c>
      <c r="X1308">
        <f>IF([2]Baskol!$E$1311="","",[2]Baskol!$E$1311)</f>
        <v/>
      </c>
      <c r="Y1308">
        <f>IF([2]Baskol!$G$1311="","",[2]Baskol!$G$1311)</f>
        <v/>
      </c>
      <c r="Z1308">
        <f>IF([2]Baskol!$I$1311="","",[2]Baskol!$I$1311)</f>
        <v/>
      </c>
      <c r="AA1308">
        <f>IF([2]Baskol!$J$1311="","",[2]Baskol!$J$1311)</f>
        <v/>
      </c>
      <c r="AB1308">
        <f>IF([2]Baskol!$K$1311="","",[2]Baskol!$K$1311)</f>
        <v/>
      </c>
      <c r="AC1308">
        <f>IF([2]Baskol!$L$1311="","",[2]Baskol!$L$1311)</f>
        <v/>
      </c>
      <c r="AD1308">
        <f>IF([2]Baskol!$N$1311="","",[2]Baskol!$N$1311)</f>
        <v/>
      </c>
      <c r="AE1308">
        <f>IF([2]Baskol!$O$1311="","",[2]Baskol!$O$1311)</f>
        <v/>
      </c>
      <c r="AG1308">
        <f>IF([3]Entry!$C$1311="","",[3]Entry!$C$1311)</f>
        <v/>
      </c>
      <c r="AH1308">
        <f>IF([3]Entry!$D$1311="","",[3]Entry!$D$1311)</f>
        <v/>
      </c>
      <c r="AI1308">
        <f>IF([3]Entry!$E$1311="","",[3]Entry!$E$1311)</f>
        <v/>
      </c>
      <c r="AJ1308">
        <f>IF([3]Entry!$G$1311="","",[3]Entry!$G$1311)</f>
        <v/>
      </c>
      <c r="AK1308">
        <f>IF([3]Entry!$K$1311="","",[3]Entry!$K$1311)</f>
        <v/>
      </c>
      <c r="AL1308">
        <f>IF([3]Entry!$L$1311="","",[3]Entry!$L$1311)</f>
        <v/>
      </c>
      <c r="AM1308">
        <f>IF([3]Entry!$M$1311="","",[3]Entry!$M$1311)</f>
        <v/>
      </c>
      <c r="AN1308">
        <f>IF([3]Entry!$N$1311="","",[3]Entry!$N$1311)</f>
        <v/>
      </c>
      <c r="AO1308">
        <f>IF([3]Entry!$R$1311="","",[3]Entry!$R$1311)</f>
        <v/>
      </c>
    </row>
    <row r="1309">
      <c r="U1309">
        <f>IF([2]Baskol!$B$1312="","",[2]Baskol!$B$1312)</f>
        <v/>
      </c>
      <c r="V1309">
        <f>IF([2]Baskol!$C$1312="","",[2]Baskol!$C$1312)</f>
        <v/>
      </c>
      <c r="W1309">
        <f>IF([2]Baskol!$D$1312="","",[2]Baskol!$D$1312)</f>
        <v/>
      </c>
      <c r="X1309">
        <f>IF([2]Baskol!$E$1312="","",[2]Baskol!$E$1312)</f>
        <v/>
      </c>
      <c r="Y1309">
        <f>IF([2]Baskol!$G$1312="","",[2]Baskol!$G$1312)</f>
        <v/>
      </c>
      <c r="Z1309">
        <f>IF([2]Baskol!$I$1312="","",[2]Baskol!$I$1312)</f>
        <v/>
      </c>
      <c r="AA1309">
        <f>IF([2]Baskol!$J$1312="","",[2]Baskol!$J$1312)</f>
        <v/>
      </c>
      <c r="AB1309">
        <f>IF([2]Baskol!$K$1312="","",[2]Baskol!$K$1312)</f>
        <v/>
      </c>
      <c r="AC1309">
        <f>IF([2]Baskol!$L$1312="","",[2]Baskol!$L$1312)</f>
        <v/>
      </c>
      <c r="AD1309">
        <f>IF([2]Baskol!$N$1312="","",[2]Baskol!$N$1312)</f>
        <v/>
      </c>
      <c r="AE1309">
        <f>IF([2]Baskol!$O$1312="","",[2]Baskol!$O$1312)</f>
        <v/>
      </c>
      <c r="AG1309">
        <f>IF([3]Entry!$C$1312="","",[3]Entry!$C$1312)</f>
        <v/>
      </c>
      <c r="AH1309">
        <f>IF([3]Entry!$D$1312="","",[3]Entry!$D$1312)</f>
        <v/>
      </c>
      <c r="AI1309">
        <f>IF([3]Entry!$E$1312="","",[3]Entry!$E$1312)</f>
        <v/>
      </c>
      <c r="AJ1309">
        <f>IF([3]Entry!$G$1312="","",[3]Entry!$G$1312)</f>
        <v/>
      </c>
      <c r="AK1309">
        <f>IF([3]Entry!$K$1312="","",[3]Entry!$K$1312)</f>
        <v/>
      </c>
      <c r="AL1309">
        <f>IF([3]Entry!$L$1312="","",[3]Entry!$L$1312)</f>
        <v/>
      </c>
      <c r="AM1309">
        <f>IF([3]Entry!$M$1312="","",[3]Entry!$M$1312)</f>
        <v/>
      </c>
      <c r="AN1309">
        <f>IF([3]Entry!$N$1312="","",[3]Entry!$N$1312)</f>
        <v/>
      </c>
      <c r="AO1309">
        <f>IF([3]Entry!$R$1312="","",[3]Entry!$R$1312)</f>
        <v/>
      </c>
    </row>
    <row r="1310">
      <c r="U1310">
        <f>IF([2]Baskol!$B$1313="","",[2]Baskol!$B$1313)</f>
        <v/>
      </c>
      <c r="V1310">
        <f>IF([2]Baskol!$C$1313="","",[2]Baskol!$C$1313)</f>
        <v/>
      </c>
      <c r="W1310">
        <f>IF([2]Baskol!$D$1313="","",[2]Baskol!$D$1313)</f>
        <v/>
      </c>
      <c r="X1310">
        <f>IF([2]Baskol!$E$1313="","",[2]Baskol!$E$1313)</f>
        <v/>
      </c>
      <c r="Y1310">
        <f>IF([2]Baskol!$G$1313="","",[2]Baskol!$G$1313)</f>
        <v/>
      </c>
      <c r="Z1310">
        <f>IF([2]Baskol!$I$1313="","",[2]Baskol!$I$1313)</f>
        <v/>
      </c>
      <c r="AA1310">
        <f>IF([2]Baskol!$J$1313="","",[2]Baskol!$J$1313)</f>
        <v/>
      </c>
      <c r="AB1310">
        <f>IF([2]Baskol!$K$1313="","",[2]Baskol!$K$1313)</f>
        <v/>
      </c>
      <c r="AC1310">
        <f>IF([2]Baskol!$L$1313="","",[2]Baskol!$L$1313)</f>
        <v/>
      </c>
      <c r="AD1310">
        <f>IF([2]Baskol!$N$1313="","",[2]Baskol!$N$1313)</f>
        <v/>
      </c>
      <c r="AE1310">
        <f>IF([2]Baskol!$O$1313="","",[2]Baskol!$O$1313)</f>
        <v/>
      </c>
      <c r="AG1310">
        <f>IF([3]Entry!$C$1313="","",[3]Entry!$C$1313)</f>
        <v/>
      </c>
      <c r="AH1310">
        <f>IF([3]Entry!$D$1313="","",[3]Entry!$D$1313)</f>
        <v/>
      </c>
      <c r="AI1310">
        <f>IF([3]Entry!$E$1313="","",[3]Entry!$E$1313)</f>
        <v/>
      </c>
      <c r="AJ1310">
        <f>IF([3]Entry!$G$1313="","",[3]Entry!$G$1313)</f>
        <v/>
      </c>
      <c r="AK1310">
        <f>IF([3]Entry!$K$1313="","",[3]Entry!$K$1313)</f>
        <v/>
      </c>
      <c r="AL1310">
        <f>IF([3]Entry!$L$1313="","",[3]Entry!$L$1313)</f>
        <v/>
      </c>
      <c r="AM1310">
        <f>IF([3]Entry!$M$1313="","",[3]Entry!$M$1313)</f>
        <v/>
      </c>
      <c r="AN1310">
        <f>IF([3]Entry!$N$1313="","",[3]Entry!$N$1313)</f>
        <v/>
      </c>
      <c r="AO1310">
        <f>IF([3]Entry!$R$1313="","",[3]Entry!$R$1313)</f>
        <v/>
      </c>
    </row>
    <row r="1311">
      <c r="U1311">
        <f>IF([2]Baskol!$B$1314="","",[2]Baskol!$B$1314)</f>
        <v/>
      </c>
      <c r="V1311">
        <f>IF([2]Baskol!$C$1314="","",[2]Baskol!$C$1314)</f>
        <v/>
      </c>
      <c r="W1311">
        <f>IF([2]Baskol!$D$1314="","",[2]Baskol!$D$1314)</f>
        <v/>
      </c>
      <c r="X1311">
        <f>IF([2]Baskol!$E$1314="","",[2]Baskol!$E$1314)</f>
        <v/>
      </c>
      <c r="Y1311">
        <f>IF([2]Baskol!$G$1314="","",[2]Baskol!$G$1314)</f>
        <v/>
      </c>
      <c r="Z1311">
        <f>IF([2]Baskol!$I$1314="","",[2]Baskol!$I$1314)</f>
        <v/>
      </c>
      <c r="AA1311">
        <f>IF([2]Baskol!$J$1314="","",[2]Baskol!$J$1314)</f>
        <v/>
      </c>
      <c r="AB1311">
        <f>IF([2]Baskol!$K$1314="","",[2]Baskol!$K$1314)</f>
        <v/>
      </c>
      <c r="AC1311">
        <f>IF([2]Baskol!$L$1314="","",[2]Baskol!$L$1314)</f>
        <v/>
      </c>
      <c r="AD1311">
        <f>IF([2]Baskol!$N$1314="","",[2]Baskol!$N$1314)</f>
        <v/>
      </c>
      <c r="AE1311">
        <f>IF([2]Baskol!$O$1314="","",[2]Baskol!$O$1314)</f>
        <v/>
      </c>
      <c r="AG1311">
        <f>IF([3]Entry!$C$1314="","",[3]Entry!$C$1314)</f>
        <v/>
      </c>
      <c r="AH1311">
        <f>IF([3]Entry!$D$1314="","",[3]Entry!$D$1314)</f>
        <v/>
      </c>
      <c r="AI1311">
        <f>IF([3]Entry!$E$1314="","",[3]Entry!$E$1314)</f>
        <v/>
      </c>
      <c r="AJ1311">
        <f>IF([3]Entry!$G$1314="","",[3]Entry!$G$1314)</f>
        <v/>
      </c>
      <c r="AK1311">
        <f>IF([3]Entry!$K$1314="","",[3]Entry!$K$1314)</f>
        <v/>
      </c>
      <c r="AL1311">
        <f>IF([3]Entry!$L$1314="","",[3]Entry!$L$1314)</f>
        <v/>
      </c>
      <c r="AM1311">
        <f>IF([3]Entry!$M$1314="","",[3]Entry!$M$1314)</f>
        <v/>
      </c>
      <c r="AN1311">
        <f>IF([3]Entry!$N$1314="","",[3]Entry!$N$1314)</f>
        <v/>
      </c>
      <c r="AO1311">
        <f>IF([3]Entry!$R$1314="","",[3]Entry!$R$1314)</f>
        <v/>
      </c>
    </row>
    <row r="1312">
      <c r="U1312">
        <f>IF([2]Baskol!$B$1315="","",[2]Baskol!$B$1315)</f>
        <v/>
      </c>
      <c r="V1312">
        <f>IF([2]Baskol!$C$1315="","",[2]Baskol!$C$1315)</f>
        <v/>
      </c>
      <c r="W1312">
        <f>IF([2]Baskol!$D$1315="","",[2]Baskol!$D$1315)</f>
        <v/>
      </c>
      <c r="X1312">
        <f>IF([2]Baskol!$E$1315="","",[2]Baskol!$E$1315)</f>
        <v/>
      </c>
      <c r="Y1312">
        <f>IF([2]Baskol!$G$1315="","",[2]Baskol!$G$1315)</f>
        <v/>
      </c>
      <c r="Z1312">
        <f>IF([2]Baskol!$I$1315="","",[2]Baskol!$I$1315)</f>
        <v/>
      </c>
      <c r="AA1312">
        <f>IF([2]Baskol!$J$1315="","",[2]Baskol!$J$1315)</f>
        <v/>
      </c>
      <c r="AB1312">
        <f>IF([2]Baskol!$K$1315="","",[2]Baskol!$K$1315)</f>
        <v/>
      </c>
      <c r="AC1312">
        <f>IF([2]Baskol!$L$1315="","",[2]Baskol!$L$1315)</f>
        <v/>
      </c>
      <c r="AD1312">
        <f>IF([2]Baskol!$N$1315="","",[2]Baskol!$N$1315)</f>
        <v/>
      </c>
      <c r="AE1312">
        <f>IF([2]Baskol!$O$1315="","",[2]Baskol!$O$1315)</f>
        <v/>
      </c>
      <c r="AG1312">
        <f>IF([3]Entry!$C$1315="","",[3]Entry!$C$1315)</f>
        <v/>
      </c>
      <c r="AH1312">
        <f>IF([3]Entry!$D$1315="","",[3]Entry!$D$1315)</f>
        <v/>
      </c>
      <c r="AI1312">
        <f>IF([3]Entry!$E$1315="","",[3]Entry!$E$1315)</f>
        <v/>
      </c>
      <c r="AJ1312">
        <f>IF([3]Entry!$G$1315="","",[3]Entry!$G$1315)</f>
        <v/>
      </c>
      <c r="AK1312">
        <f>IF([3]Entry!$K$1315="","",[3]Entry!$K$1315)</f>
        <v/>
      </c>
      <c r="AL1312">
        <f>IF([3]Entry!$L$1315="","",[3]Entry!$L$1315)</f>
        <v/>
      </c>
      <c r="AM1312">
        <f>IF([3]Entry!$M$1315="","",[3]Entry!$M$1315)</f>
        <v/>
      </c>
      <c r="AN1312">
        <f>IF([3]Entry!$N$1315="","",[3]Entry!$N$1315)</f>
        <v/>
      </c>
      <c r="AO1312">
        <f>IF([3]Entry!$R$1315="","",[3]Entry!$R$1315)</f>
        <v/>
      </c>
    </row>
    <row r="1313">
      <c r="U1313">
        <f>IF([2]Baskol!$B$1316="","",[2]Baskol!$B$1316)</f>
        <v/>
      </c>
      <c r="V1313">
        <f>IF([2]Baskol!$C$1316="","",[2]Baskol!$C$1316)</f>
        <v/>
      </c>
      <c r="W1313">
        <f>IF([2]Baskol!$D$1316="","",[2]Baskol!$D$1316)</f>
        <v/>
      </c>
      <c r="X1313">
        <f>IF([2]Baskol!$E$1316="","",[2]Baskol!$E$1316)</f>
        <v/>
      </c>
      <c r="Y1313">
        <f>IF([2]Baskol!$G$1316="","",[2]Baskol!$G$1316)</f>
        <v/>
      </c>
      <c r="Z1313">
        <f>IF([2]Baskol!$I$1316="","",[2]Baskol!$I$1316)</f>
        <v/>
      </c>
      <c r="AA1313">
        <f>IF([2]Baskol!$J$1316="","",[2]Baskol!$J$1316)</f>
        <v/>
      </c>
      <c r="AB1313">
        <f>IF([2]Baskol!$K$1316="","",[2]Baskol!$K$1316)</f>
        <v/>
      </c>
      <c r="AC1313">
        <f>IF([2]Baskol!$L$1316="","",[2]Baskol!$L$1316)</f>
        <v/>
      </c>
      <c r="AD1313">
        <f>IF([2]Baskol!$N$1316="","",[2]Baskol!$N$1316)</f>
        <v/>
      </c>
      <c r="AE1313">
        <f>IF([2]Baskol!$O$1316="","",[2]Baskol!$O$1316)</f>
        <v/>
      </c>
      <c r="AG1313">
        <f>IF([3]Entry!$C$1316="","",[3]Entry!$C$1316)</f>
        <v/>
      </c>
      <c r="AH1313">
        <f>IF([3]Entry!$D$1316="","",[3]Entry!$D$1316)</f>
        <v/>
      </c>
      <c r="AI1313">
        <f>IF([3]Entry!$E$1316="","",[3]Entry!$E$1316)</f>
        <v/>
      </c>
      <c r="AJ1313">
        <f>IF([3]Entry!$G$1316="","",[3]Entry!$G$1316)</f>
        <v/>
      </c>
      <c r="AK1313">
        <f>IF([3]Entry!$K$1316="","",[3]Entry!$K$1316)</f>
        <v/>
      </c>
      <c r="AL1313">
        <f>IF([3]Entry!$L$1316="","",[3]Entry!$L$1316)</f>
        <v/>
      </c>
      <c r="AM1313">
        <f>IF([3]Entry!$M$1316="","",[3]Entry!$M$1316)</f>
        <v/>
      </c>
      <c r="AN1313">
        <f>IF([3]Entry!$N$1316="","",[3]Entry!$N$1316)</f>
        <v/>
      </c>
      <c r="AO1313">
        <f>IF([3]Entry!$R$1316="","",[3]Entry!$R$1316)</f>
        <v/>
      </c>
    </row>
    <row r="1314">
      <c r="U1314">
        <f>IF([2]Baskol!$B$1317="","",[2]Baskol!$B$1317)</f>
        <v/>
      </c>
      <c r="V1314">
        <f>IF([2]Baskol!$C$1317="","",[2]Baskol!$C$1317)</f>
        <v/>
      </c>
      <c r="W1314">
        <f>IF([2]Baskol!$D$1317="","",[2]Baskol!$D$1317)</f>
        <v/>
      </c>
      <c r="X1314">
        <f>IF([2]Baskol!$E$1317="","",[2]Baskol!$E$1317)</f>
        <v/>
      </c>
      <c r="Y1314">
        <f>IF([2]Baskol!$G$1317="","",[2]Baskol!$G$1317)</f>
        <v/>
      </c>
      <c r="Z1314">
        <f>IF([2]Baskol!$I$1317="","",[2]Baskol!$I$1317)</f>
        <v/>
      </c>
      <c r="AA1314">
        <f>IF([2]Baskol!$J$1317="","",[2]Baskol!$J$1317)</f>
        <v/>
      </c>
      <c r="AB1314">
        <f>IF([2]Baskol!$K$1317="","",[2]Baskol!$K$1317)</f>
        <v/>
      </c>
      <c r="AC1314">
        <f>IF([2]Baskol!$L$1317="","",[2]Baskol!$L$1317)</f>
        <v/>
      </c>
      <c r="AD1314">
        <f>IF([2]Baskol!$N$1317="","",[2]Baskol!$N$1317)</f>
        <v/>
      </c>
      <c r="AE1314">
        <f>IF([2]Baskol!$O$1317="","",[2]Baskol!$O$1317)</f>
        <v/>
      </c>
      <c r="AG1314">
        <f>IF([3]Entry!$C$1317="","",[3]Entry!$C$1317)</f>
        <v/>
      </c>
      <c r="AH1314">
        <f>IF([3]Entry!$D$1317="","",[3]Entry!$D$1317)</f>
        <v/>
      </c>
      <c r="AI1314">
        <f>IF([3]Entry!$E$1317="","",[3]Entry!$E$1317)</f>
        <v/>
      </c>
      <c r="AJ1314">
        <f>IF([3]Entry!$G$1317="","",[3]Entry!$G$1317)</f>
        <v/>
      </c>
      <c r="AK1314">
        <f>IF([3]Entry!$K$1317="","",[3]Entry!$K$1317)</f>
        <v/>
      </c>
      <c r="AL1314">
        <f>IF([3]Entry!$L$1317="","",[3]Entry!$L$1317)</f>
        <v/>
      </c>
      <c r="AM1314">
        <f>IF([3]Entry!$M$1317="","",[3]Entry!$M$1317)</f>
        <v/>
      </c>
      <c r="AN1314">
        <f>IF([3]Entry!$N$1317="","",[3]Entry!$N$1317)</f>
        <v/>
      </c>
      <c r="AO1314">
        <f>IF([3]Entry!$R$1317="","",[3]Entry!$R$1317)</f>
        <v/>
      </c>
    </row>
    <row r="1315">
      <c r="U1315">
        <f>IF([2]Baskol!$B$1318="","",[2]Baskol!$B$1318)</f>
        <v/>
      </c>
      <c r="V1315">
        <f>IF([2]Baskol!$C$1318="","",[2]Baskol!$C$1318)</f>
        <v/>
      </c>
      <c r="W1315">
        <f>IF([2]Baskol!$D$1318="","",[2]Baskol!$D$1318)</f>
        <v/>
      </c>
      <c r="X1315">
        <f>IF([2]Baskol!$E$1318="","",[2]Baskol!$E$1318)</f>
        <v/>
      </c>
      <c r="Y1315">
        <f>IF([2]Baskol!$G$1318="","",[2]Baskol!$G$1318)</f>
        <v/>
      </c>
      <c r="Z1315">
        <f>IF([2]Baskol!$I$1318="","",[2]Baskol!$I$1318)</f>
        <v/>
      </c>
      <c r="AA1315">
        <f>IF([2]Baskol!$J$1318="","",[2]Baskol!$J$1318)</f>
        <v/>
      </c>
      <c r="AB1315">
        <f>IF([2]Baskol!$K$1318="","",[2]Baskol!$K$1318)</f>
        <v/>
      </c>
      <c r="AC1315">
        <f>IF([2]Baskol!$L$1318="","",[2]Baskol!$L$1318)</f>
        <v/>
      </c>
      <c r="AD1315">
        <f>IF([2]Baskol!$N$1318="","",[2]Baskol!$N$1318)</f>
        <v/>
      </c>
      <c r="AE1315">
        <f>IF([2]Baskol!$O$1318="","",[2]Baskol!$O$1318)</f>
        <v/>
      </c>
      <c r="AG1315">
        <f>IF([3]Entry!$C$1318="","",[3]Entry!$C$1318)</f>
        <v/>
      </c>
      <c r="AH1315">
        <f>IF([3]Entry!$D$1318="","",[3]Entry!$D$1318)</f>
        <v/>
      </c>
      <c r="AI1315">
        <f>IF([3]Entry!$E$1318="","",[3]Entry!$E$1318)</f>
        <v/>
      </c>
      <c r="AJ1315">
        <f>IF([3]Entry!$G$1318="","",[3]Entry!$G$1318)</f>
        <v/>
      </c>
      <c r="AK1315">
        <f>IF([3]Entry!$K$1318="","",[3]Entry!$K$1318)</f>
        <v/>
      </c>
      <c r="AL1315">
        <f>IF([3]Entry!$L$1318="","",[3]Entry!$L$1318)</f>
        <v/>
      </c>
      <c r="AM1315">
        <f>IF([3]Entry!$M$1318="","",[3]Entry!$M$1318)</f>
        <v/>
      </c>
      <c r="AN1315">
        <f>IF([3]Entry!$N$1318="","",[3]Entry!$N$1318)</f>
        <v/>
      </c>
      <c r="AO1315">
        <f>IF([3]Entry!$R$1318="","",[3]Entry!$R$1318)</f>
        <v/>
      </c>
    </row>
    <row r="1316">
      <c r="U1316">
        <f>IF([2]Baskol!$B$1319="","",[2]Baskol!$B$1319)</f>
        <v/>
      </c>
      <c r="V1316">
        <f>IF([2]Baskol!$C$1319="","",[2]Baskol!$C$1319)</f>
        <v/>
      </c>
      <c r="W1316">
        <f>IF([2]Baskol!$D$1319="","",[2]Baskol!$D$1319)</f>
        <v/>
      </c>
      <c r="X1316">
        <f>IF([2]Baskol!$E$1319="","",[2]Baskol!$E$1319)</f>
        <v/>
      </c>
      <c r="Y1316">
        <f>IF([2]Baskol!$G$1319="","",[2]Baskol!$G$1319)</f>
        <v/>
      </c>
      <c r="Z1316">
        <f>IF([2]Baskol!$I$1319="","",[2]Baskol!$I$1319)</f>
        <v/>
      </c>
      <c r="AA1316">
        <f>IF([2]Baskol!$J$1319="","",[2]Baskol!$J$1319)</f>
        <v/>
      </c>
      <c r="AB1316">
        <f>IF([2]Baskol!$K$1319="","",[2]Baskol!$K$1319)</f>
        <v/>
      </c>
      <c r="AC1316">
        <f>IF([2]Baskol!$L$1319="","",[2]Baskol!$L$1319)</f>
        <v/>
      </c>
      <c r="AD1316">
        <f>IF([2]Baskol!$N$1319="","",[2]Baskol!$N$1319)</f>
        <v/>
      </c>
      <c r="AE1316">
        <f>IF([2]Baskol!$O$1319="","",[2]Baskol!$O$1319)</f>
        <v/>
      </c>
      <c r="AG1316">
        <f>IF([3]Entry!$C$1319="","",[3]Entry!$C$1319)</f>
        <v/>
      </c>
      <c r="AH1316">
        <f>IF([3]Entry!$D$1319="","",[3]Entry!$D$1319)</f>
        <v/>
      </c>
      <c r="AI1316">
        <f>IF([3]Entry!$E$1319="","",[3]Entry!$E$1319)</f>
        <v/>
      </c>
      <c r="AJ1316">
        <f>IF([3]Entry!$G$1319="","",[3]Entry!$G$1319)</f>
        <v/>
      </c>
      <c r="AK1316">
        <f>IF([3]Entry!$K$1319="","",[3]Entry!$K$1319)</f>
        <v/>
      </c>
      <c r="AL1316">
        <f>IF([3]Entry!$L$1319="","",[3]Entry!$L$1319)</f>
        <v/>
      </c>
      <c r="AM1316">
        <f>IF([3]Entry!$M$1319="","",[3]Entry!$M$1319)</f>
        <v/>
      </c>
      <c r="AN1316">
        <f>IF([3]Entry!$N$1319="","",[3]Entry!$N$1319)</f>
        <v/>
      </c>
      <c r="AO1316">
        <f>IF([3]Entry!$R$1319="","",[3]Entry!$R$1319)</f>
        <v/>
      </c>
    </row>
    <row r="1317">
      <c r="U1317">
        <f>IF([2]Baskol!$B$1320="","",[2]Baskol!$B$1320)</f>
        <v/>
      </c>
      <c r="V1317">
        <f>IF([2]Baskol!$C$1320="","",[2]Baskol!$C$1320)</f>
        <v/>
      </c>
      <c r="W1317">
        <f>IF([2]Baskol!$D$1320="","",[2]Baskol!$D$1320)</f>
        <v/>
      </c>
      <c r="X1317">
        <f>IF([2]Baskol!$E$1320="","",[2]Baskol!$E$1320)</f>
        <v/>
      </c>
      <c r="Y1317">
        <f>IF([2]Baskol!$G$1320="","",[2]Baskol!$G$1320)</f>
        <v/>
      </c>
      <c r="Z1317">
        <f>IF([2]Baskol!$I$1320="","",[2]Baskol!$I$1320)</f>
        <v/>
      </c>
      <c r="AA1317">
        <f>IF([2]Baskol!$J$1320="","",[2]Baskol!$J$1320)</f>
        <v/>
      </c>
      <c r="AB1317">
        <f>IF([2]Baskol!$K$1320="","",[2]Baskol!$K$1320)</f>
        <v/>
      </c>
      <c r="AC1317">
        <f>IF([2]Baskol!$L$1320="","",[2]Baskol!$L$1320)</f>
        <v/>
      </c>
      <c r="AD1317">
        <f>IF([2]Baskol!$N$1320="","",[2]Baskol!$N$1320)</f>
        <v/>
      </c>
      <c r="AE1317">
        <f>IF([2]Baskol!$O$1320="","",[2]Baskol!$O$1320)</f>
        <v/>
      </c>
      <c r="AG1317">
        <f>IF([3]Entry!$C$1320="","",[3]Entry!$C$1320)</f>
        <v/>
      </c>
      <c r="AH1317">
        <f>IF([3]Entry!$D$1320="","",[3]Entry!$D$1320)</f>
        <v/>
      </c>
      <c r="AI1317">
        <f>IF([3]Entry!$E$1320="","",[3]Entry!$E$1320)</f>
        <v/>
      </c>
      <c r="AJ1317">
        <f>IF([3]Entry!$G$1320="","",[3]Entry!$G$1320)</f>
        <v/>
      </c>
      <c r="AK1317">
        <f>IF([3]Entry!$K$1320="","",[3]Entry!$K$1320)</f>
        <v/>
      </c>
      <c r="AL1317">
        <f>IF([3]Entry!$L$1320="","",[3]Entry!$L$1320)</f>
        <v/>
      </c>
      <c r="AM1317">
        <f>IF([3]Entry!$M$1320="","",[3]Entry!$M$1320)</f>
        <v/>
      </c>
      <c r="AN1317">
        <f>IF([3]Entry!$N$1320="","",[3]Entry!$N$1320)</f>
        <v/>
      </c>
      <c r="AO1317">
        <f>IF([3]Entry!$R$1320="","",[3]Entry!$R$1320)</f>
        <v/>
      </c>
    </row>
    <row r="1318">
      <c r="U1318">
        <f>IF([2]Baskol!$B$1321="","",[2]Baskol!$B$1321)</f>
        <v/>
      </c>
      <c r="V1318">
        <f>IF([2]Baskol!$C$1321="","",[2]Baskol!$C$1321)</f>
        <v/>
      </c>
      <c r="W1318">
        <f>IF([2]Baskol!$D$1321="","",[2]Baskol!$D$1321)</f>
        <v/>
      </c>
      <c r="X1318">
        <f>IF([2]Baskol!$E$1321="","",[2]Baskol!$E$1321)</f>
        <v/>
      </c>
      <c r="Y1318">
        <f>IF([2]Baskol!$G$1321="","",[2]Baskol!$G$1321)</f>
        <v/>
      </c>
      <c r="Z1318">
        <f>IF([2]Baskol!$I$1321="","",[2]Baskol!$I$1321)</f>
        <v/>
      </c>
      <c r="AA1318">
        <f>IF([2]Baskol!$J$1321="","",[2]Baskol!$J$1321)</f>
        <v/>
      </c>
      <c r="AB1318">
        <f>IF([2]Baskol!$K$1321="","",[2]Baskol!$K$1321)</f>
        <v/>
      </c>
      <c r="AC1318">
        <f>IF([2]Baskol!$L$1321="","",[2]Baskol!$L$1321)</f>
        <v/>
      </c>
      <c r="AD1318">
        <f>IF([2]Baskol!$N$1321="","",[2]Baskol!$N$1321)</f>
        <v/>
      </c>
      <c r="AE1318">
        <f>IF([2]Baskol!$O$1321="","",[2]Baskol!$O$1321)</f>
        <v/>
      </c>
      <c r="AG1318">
        <f>IF([3]Entry!$C$1321="","",[3]Entry!$C$1321)</f>
        <v/>
      </c>
      <c r="AH1318">
        <f>IF([3]Entry!$D$1321="","",[3]Entry!$D$1321)</f>
        <v/>
      </c>
      <c r="AI1318">
        <f>IF([3]Entry!$E$1321="","",[3]Entry!$E$1321)</f>
        <v/>
      </c>
      <c r="AJ1318">
        <f>IF([3]Entry!$G$1321="","",[3]Entry!$G$1321)</f>
        <v/>
      </c>
      <c r="AK1318">
        <f>IF([3]Entry!$K$1321="","",[3]Entry!$K$1321)</f>
        <v/>
      </c>
      <c r="AL1318">
        <f>IF([3]Entry!$L$1321="","",[3]Entry!$L$1321)</f>
        <v/>
      </c>
      <c r="AM1318">
        <f>IF([3]Entry!$M$1321="","",[3]Entry!$M$1321)</f>
        <v/>
      </c>
      <c r="AN1318">
        <f>IF([3]Entry!$N$1321="","",[3]Entry!$N$1321)</f>
        <v/>
      </c>
      <c r="AO1318">
        <f>IF([3]Entry!$R$1321="","",[3]Entry!$R$1321)</f>
        <v/>
      </c>
    </row>
    <row r="1319">
      <c r="U1319">
        <f>IF([2]Baskol!$B$1322="","",[2]Baskol!$B$1322)</f>
        <v/>
      </c>
      <c r="V1319">
        <f>IF([2]Baskol!$C$1322="","",[2]Baskol!$C$1322)</f>
        <v/>
      </c>
      <c r="W1319">
        <f>IF([2]Baskol!$D$1322="","",[2]Baskol!$D$1322)</f>
        <v/>
      </c>
      <c r="X1319">
        <f>IF([2]Baskol!$E$1322="","",[2]Baskol!$E$1322)</f>
        <v/>
      </c>
      <c r="Y1319">
        <f>IF([2]Baskol!$G$1322="","",[2]Baskol!$G$1322)</f>
        <v/>
      </c>
      <c r="Z1319">
        <f>IF([2]Baskol!$I$1322="","",[2]Baskol!$I$1322)</f>
        <v/>
      </c>
      <c r="AA1319">
        <f>IF([2]Baskol!$J$1322="","",[2]Baskol!$J$1322)</f>
        <v/>
      </c>
      <c r="AB1319">
        <f>IF([2]Baskol!$K$1322="","",[2]Baskol!$K$1322)</f>
        <v/>
      </c>
      <c r="AC1319">
        <f>IF([2]Baskol!$L$1322="","",[2]Baskol!$L$1322)</f>
        <v/>
      </c>
      <c r="AD1319">
        <f>IF([2]Baskol!$N$1322="","",[2]Baskol!$N$1322)</f>
        <v/>
      </c>
      <c r="AE1319">
        <f>IF([2]Baskol!$O$1322="","",[2]Baskol!$O$1322)</f>
        <v/>
      </c>
      <c r="AG1319">
        <f>IF([3]Entry!$C$1322="","",[3]Entry!$C$1322)</f>
        <v/>
      </c>
      <c r="AH1319">
        <f>IF([3]Entry!$D$1322="","",[3]Entry!$D$1322)</f>
        <v/>
      </c>
      <c r="AI1319">
        <f>IF([3]Entry!$E$1322="","",[3]Entry!$E$1322)</f>
        <v/>
      </c>
      <c r="AJ1319">
        <f>IF([3]Entry!$G$1322="","",[3]Entry!$G$1322)</f>
        <v/>
      </c>
      <c r="AK1319">
        <f>IF([3]Entry!$K$1322="","",[3]Entry!$K$1322)</f>
        <v/>
      </c>
      <c r="AL1319">
        <f>IF([3]Entry!$L$1322="","",[3]Entry!$L$1322)</f>
        <v/>
      </c>
      <c r="AM1319">
        <f>IF([3]Entry!$M$1322="","",[3]Entry!$M$1322)</f>
        <v/>
      </c>
      <c r="AN1319">
        <f>IF([3]Entry!$N$1322="","",[3]Entry!$N$1322)</f>
        <v/>
      </c>
      <c r="AO1319">
        <f>IF([3]Entry!$R$1322="","",[3]Entry!$R$1322)</f>
        <v/>
      </c>
    </row>
    <row r="1320">
      <c r="U1320">
        <f>IF([2]Baskol!$B$1323="","",[2]Baskol!$B$1323)</f>
        <v/>
      </c>
      <c r="V1320">
        <f>IF([2]Baskol!$C$1323="","",[2]Baskol!$C$1323)</f>
        <v/>
      </c>
      <c r="W1320">
        <f>IF([2]Baskol!$D$1323="","",[2]Baskol!$D$1323)</f>
        <v/>
      </c>
      <c r="X1320">
        <f>IF([2]Baskol!$E$1323="","",[2]Baskol!$E$1323)</f>
        <v/>
      </c>
      <c r="Y1320">
        <f>IF([2]Baskol!$G$1323="","",[2]Baskol!$G$1323)</f>
        <v/>
      </c>
      <c r="Z1320">
        <f>IF([2]Baskol!$I$1323="","",[2]Baskol!$I$1323)</f>
        <v/>
      </c>
      <c r="AA1320">
        <f>IF([2]Baskol!$J$1323="","",[2]Baskol!$J$1323)</f>
        <v/>
      </c>
      <c r="AB1320">
        <f>IF([2]Baskol!$K$1323="","",[2]Baskol!$K$1323)</f>
        <v/>
      </c>
      <c r="AC1320">
        <f>IF([2]Baskol!$L$1323="","",[2]Baskol!$L$1323)</f>
        <v/>
      </c>
      <c r="AD1320">
        <f>IF([2]Baskol!$N$1323="","",[2]Baskol!$N$1323)</f>
        <v/>
      </c>
      <c r="AE1320">
        <f>IF([2]Baskol!$O$1323="","",[2]Baskol!$O$1323)</f>
        <v/>
      </c>
      <c r="AG1320">
        <f>IF([3]Entry!$C$1323="","",[3]Entry!$C$1323)</f>
        <v/>
      </c>
      <c r="AH1320">
        <f>IF([3]Entry!$D$1323="","",[3]Entry!$D$1323)</f>
        <v/>
      </c>
      <c r="AI1320">
        <f>IF([3]Entry!$E$1323="","",[3]Entry!$E$1323)</f>
        <v/>
      </c>
      <c r="AJ1320">
        <f>IF([3]Entry!$G$1323="","",[3]Entry!$G$1323)</f>
        <v/>
      </c>
      <c r="AK1320">
        <f>IF([3]Entry!$K$1323="","",[3]Entry!$K$1323)</f>
        <v/>
      </c>
      <c r="AL1320">
        <f>IF([3]Entry!$L$1323="","",[3]Entry!$L$1323)</f>
        <v/>
      </c>
      <c r="AM1320">
        <f>IF([3]Entry!$M$1323="","",[3]Entry!$M$1323)</f>
        <v/>
      </c>
      <c r="AN1320">
        <f>IF([3]Entry!$N$1323="","",[3]Entry!$N$1323)</f>
        <v/>
      </c>
      <c r="AO1320">
        <f>IF([3]Entry!$R$1323="","",[3]Entry!$R$1323)</f>
        <v/>
      </c>
    </row>
    <row r="1321">
      <c r="U1321">
        <f>IF([2]Baskol!$B$1324="","",[2]Baskol!$B$1324)</f>
        <v/>
      </c>
      <c r="V1321">
        <f>IF([2]Baskol!$C$1324="","",[2]Baskol!$C$1324)</f>
        <v/>
      </c>
      <c r="W1321">
        <f>IF([2]Baskol!$D$1324="","",[2]Baskol!$D$1324)</f>
        <v/>
      </c>
      <c r="X1321">
        <f>IF([2]Baskol!$E$1324="","",[2]Baskol!$E$1324)</f>
        <v/>
      </c>
      <c r="Y1321">
        <f>IF([2]Baskol!$G$1324="","",[2]Baskol!$G$1324)</f>
        <v/>
      </c>
      <c r="Z1321">
        <f>IF([2]Baskol!$I$1324="","",[2]Baskol!$I$1324)</f>
        <v/>
      </c>
      <c r="AA1321">
        <f>IF([2]Baskol!$J$1324="","",[2]Baskol!$J$1324)</f>
        <v/>
      </c>
      <c r="AB1321">
        <f>IF([2]Baskol!$K$1324="","",[2]Baskol!$K$1324)</f>
        <v/>
      </c>
      <c r="AC1321">
        <f>IF([2]Baskol!$L$1324="","",[2]Baskol!$L$1324)</f>
        <v/>
      </c>
      <c r="AD1321">
        <f>IF([2]Baskol!$N$1324="","",[2]Baskol!$N$1324)</f>
        <v/>
      </c>
      <c r="AE1321">
        <f>IF([2]Baskol!$O$1324="","",[2]Baskol!$O$1324)</f>
        <v/>
      </c>
      <c r="AG1321">
        <f>IF([3]Entry!$C$1324="","",[3]Entry!$C$1324)</f>
        <v/>
      </c>
      <c r="AH1321">
        <f>IF([3]Entry!$D$1324="","",[3]Entry!$D$1324)</f>
        <v/>
      </c>
      <c r="AI1321">
        <f>IF([3]Entry!$E$1324="","",[3]Entry!$E$1324)</f>
        <v/>
      </c>
      <c r="AJ1321">
        <f>IF([3]Entry!$G$1324="","",[3]Entry!$G$1324)</f>
        <v/>
      </c>
      <c r="AK1321">
        <f>IF([3]Entry!$K$1324="","",[3]Entry!$K$1324)</f>
        <v/>
      </c>
      <c r="AL1321">
        <f>IF([3]Entry!$L$1324="","",[3]Entry!$L$1324)</f>
        <v/>
      </c>
      <c r="AM1321">
        <f>IF([3]Entry!$M$1324="","",[3]Entry!$M$1324)</f>
        <v/>
      </c>
      <c r="AN1321">
        <f>IF([3]Entry!$N$1324="","",[3]Entry!$N$1324)</f>
        <v/>
      </c>
      <c r="AO1321">
        <f>IF([3]Entry!$R$1324="","",[3]Entry!$R$1324)</f>
        <v/>
      </c>
    </row>
    <row r="1322">
      <c r="U1322">
        <f>IF([2]Baskol!$B$1325="","",[2]Baskol!$B$1325)</f>
        <v/>
      </c>
      <c r="V1322">
        <f>IF([2]Baskol!$C$1325="","",[2]Baskol!$C$1325)</f>
        <v/>
      </c>
      <c r="W1322">
        <f>IF([2]Baskol!$D$1325="","",[2]Baskol!$D$1325)</f>
        <v/>
      </c>
      <c r="X1322">
        <f>IF([2]Baskol!$E$1325="","",[2]Baskol!$E$1325)</f>
        <v/>
      </c>
      <c r="Y1322">
        <f>IF([2]Baskol!$G$1325="","",[2]Baskol!$G$1325)</f>
        <v/>
      </c>
      <c r="Z1322">
        <f>IF([2]Baskol!$I$1325="","",[2]Baskol!$I$1325)</f>
        <v/>
      </c>
      <c r="AA1322">
        <f>IF([2]Baskol!$J$1325="","",[2]Baskol!$J$1325)</f>
        <v/>
      </c>
      <c r="AB1322">
        <f>IF([2]Baskol!$K$1325="","",[2]Baskol!$K$1325)</f>
        <v/>
      </c>
      <c r="AC1322">
        <f>IF([2]Baskol!$L$1325="","",[2]Baskol!$L$1325)</f>
        <v/>
      </c>
      <c r="AD1322">
        <f>IF([2]Baskol!$N$1325="","",[2]Baskol!$N$1325)</f>
        <v/>
      </c>
      <c r="AE1322">
        <f>IF([2]Baskol!$O$1325="","",[2]Baskol!$O$1325)</f>
        <v/>
      </c>
      <c r="AG1322">
        <f>IF([3]Entry!$C$1325="","",[3]Entry!$C$1325)</f>
        <v/>
      </c>
      <c r="AH1322">
        <f>IF([3]Entry!$D$1325="","",[3]Entry!$D$1325)</f>
        <v/>
      </c>
      <c r="AI1322">
        <f>IF([3]Entry!$E$1325="","",[3]Entry!$E$1325)</f>
        <v/>
      </c>
      <c r="AJ1322">
        <f>IF([3]Entry!$G$1325="","",[3]Entry!$G$1325)</f>
        <v/>
      </c>
      <c r="AK1322">
        <f>IF([3]Entry!$K$1325="","",[3]Entry!$K$1325)</f>
        <v/>
      </c>
      <c r="AL1322">
        <f>IF([3]Entry!$L$1325="","",[3]Entry!$L$1325)</f>
        <v/>
      </c>
      <c r="AM1322">
        <f>IF([3]Entry!$M$1325="","",[3]Entry!$M$1325)</f>
        <v/>
      </c>
      <c r="AN1322">
        <f>IF([3]Entry!$N$1325="","",[3]Entry!$N$1325)</f>
        <v/>
      </c>
      <c r="AO1322">
        <f>IF([3]Entry!$R$1325="","",[3]Entry!$R$1325)</f>
        <v/>
      </c>
    </row>
    <row r="1323">
      <c r="U1323">
        <f>IF([2]Baskol!$B$1326="","",[2]Baskol!$B$1326)</f>
        <v/>
      </c>
      <c r="V1323">
        <f>IF([2]Baskol!$C$1326="","",[2]Baskol!$C$1326)</f>
        <v/>
      </c>
      <c r="W1323">
        <f>IF([2]Baskol!$D$1326="","",[2]Baskol!$D$1326)</f>
        <v/>
      </c>
      <c r="X1323">
        <f>IF([2]Baskol!$E$1326="","",[2]Baskol!$E$1326)</f>
        <v/>
      </c>
      <c r="Y1323">
        <f>IF([2]Baskol!$G$1326="","",[2]Baskol!$G$1326)</f>
        <v/>
      </c>
      <c r="Z1323">
        <f>IF([2]Baskol!$I$1326="","",[2]Baskol!$I$1326)</f>
        <v/>
      </c>
      <c r="AA1323">
        <f>IF([2]Baskol!$J$1326="","",[2]Baskol!$J$1326)</f>
        <v/>
      </c>
      <c r="AB1323">
        <f>IF([2]Baskol!$K$1326="","",[2]Baskol!$K$1326)</f>
        <v/>
      </c>
      <c r="AC1323">
        <f>IF([2]Baskol!$L$1326="","",[2]Baskol!$L$1326)</f>
        <v/>
      </c>
      <c r="AD1323">
        <f>IF([2]Baskol!$N$1326="","",[2]Baskol!$N$1326)</f>
        <v/>
      </c>
      <c r="AE1323">
        <f>IF([2]Baskol!$O$1326="","",[2]Baskol!$O$1326)</f>
        <v/>
      </c>
      <c r="AG1323">
        <f>IF([3]Entry!$C$1326="","",[3]Entry!$C$1326)</f>
        <v/>
      </c>
      <c r="AH1323">
        <f>IF([3]Entry!$D$1326="","",[3]Entry!$D$1326)</f>
        <v/>
      </c>
      <c r="AI1323">
        <f>IF([3]Entry!$E$1326="","",[3]Entry!$E$1326)</f>
        <v/>
      </c>
      <c r="AJ1323">
        <f>IF([3]Entry!$G$1326="","",[3]Entry!$G$1326)</f>
        <v/>
      </c>
      <c r="AK1323">
        <f>IF([3]Entry!$K$1326="","",[3]Entry!$K$1326)</f>
        <v/>
      </c>
      <c r="AL1323">
        <f>IF([3]Entry!$L$1326="","",[3]Entry!$L$1326)</f>
        <v/>
      </c>
      <c r="AM1323">
        <f>IF([3]Entry!$M$1326="","",[3]Entry!$M$1326)</f>
        <v/>
      </c>
      <c r="AN1323">
        <f>IF([3]Entry!$N$1326="","",[3]Entry!$N$1326)</f>
        <v/>
      </c>
      <c r="AO1323">
        <f>IF([3]Entry!$R$1326="","",[3]Entry!$R$1326)</f>
        <v/>
      </c>
    </row>
    <row r="1324">
      <c r="U1324">
        <f>IF([2]Baskol!$B$1327="","",[2]Baskol!$B$1327)</f>
        <v/>
      </c>
      <c r="V1324">
        <f>IF([2]Baskol!$C$1327="","",[2]Baskol!$C$1327)</f>
        <v/>
      </c>
      <c r="W1324">
        <f>IF([2]Baskol!$D$1327="","",[2]Baskol!$D$1327)</f>
        <v/>
      </c>
      <c r="X1324">
        <f>IF([2]Baskol!$E$1327="","",[2]Baskol!$E$1327)</f>
        <v/>
      </c>
      <c r="Y1324">
        <f>IF([2]Baskol!$G$1327="","",[2]Baskol!$G$1327)</f>
        <v/>
      </c>
      <c r="Z1324">
        <f>IF([2]Baskol!$I$1327="","",[2]Baskol!$I$1327)</f>
        <v/>
      </c>
      <c r="AA1324">
        <f>IF([2]Baskol!$J$1327="","",[2]Baskol!$J$1327)</f>
        <v/>
      </c>
      <c r="AB1324">
        <f>IF([2]Baskol!$K$1327="","",[2]Baskol!$K$1327)</f>
        <v/>
      </c>
      <c r="AC1324">
        <f>IF([2]Baskol!$L$1327="","",[2]Baskol!$L$1327)</f>
        <v/>
      </c>
      <c r="AD1324">
        <f>IF([2]Baskol!$N$1327="","",[2]Baskol!$N$1327)</f>
        <v/>
      </c>
      <c r="AE1324">
        <f>IF([2]Baskol!$O$1327="","",[2]Baskol!$O$1327)</f>
        <v/>
      </c>
      <c r="AG1324">
        <f>IF([3]Entry!$C$1327="","",[3]Entry!$C$1327)</f>
        <v/>
      </c>
      <c r="AH1324">
        <f>IF([3]Entry!$D$1327="","",[3]Entry!$D$1327)</f>
        <v/>
      </c>
      <c r="AI1324">
        <f>IF([3]Entry!$E$1327="","",[3]Entry!$E$1327)</f>
        <v/>
      </c>
      <c r="AJ1324">
        <f>IF([3]Entry!$G$1327="","",[3]Entry!$G$1327)</f>
        <v/>
      </c>
      <c r="AK1324">
        <f>IF([3]Entry!$K$1327="","",[3]Entry!$K$1327)</f>
        <v/>
      </c>
      <c r="AL1324">
        <f>IF([3]Entry!$L$1327="","",[3]Entry!$L$1327)</f>
        <v/>
      </c>
      <c r="AM1324">
        <f>IF([3]Entry!$M$1327="","",[3]Entry!$M$1327)</f>
        <v/>
      </c>
      <c r="AN1324">
        <f>IF([3]Entry!$N$1327="","",[3]Entry!$N$1327)</f>
        <v/>
      </c>
      <c r="AO1324">
        <f>IF([3]Entry!$R$1327="","",[3]Entry!$R$1327)</f>
        <v/>
      </c>
    </row>
    <row r="1325">
      <c r="U1325">
        <f>IF([2]Baskol!$B$1328="","",[2]Baskol!$B$1328)</f>
        <v/>
      </c>
      <c r="V1325">
        <f>IF([2]Baskol!$C$1328="","",[2]Baskol!$C$1328)</f>
        <v/>
      </c>
      <c r="W1325">
        <f>IF([2]Baskol!$D$1328="","",[2]Baskol!$D$1328)</f>
        <v/>
      </c>
      <c r="X1325">
        <f>IF([2]Baskol!$E$1328="","",[2]Baskol!$E$1328)</f>
        <v/>
      </c>
      <c r="Y1325">
        <f>IF([2]Baskol!$G$1328="","",[2]Baskol!$G$1328)</f>
        <v/>
      </c>
      <c r="Z1325">
        <f>IF([2]Baskol!$I$1328="","",[2]Baskol!$I$1328)</f>
        <v/>
      </c>
      <c r="AA1325">
        <f>IF([2]Baskol!$J$1328="","",[2]Baskol!$J$1328)</f>
        <v/>
      </c>
      <c r="AB1325">
        <f>IF([2]Baskol!$K$1328="","",[2]Baskol!$K$1328)</f>
        <v/>
      </c>
      <c r="AC1325">
        <f>IF([2]Baskol!$L$1328="","",[2]Baskol!$L$1328)</f>
        <v/>
      </c>
      <c r="AD1325">
        <f>IF([2]Baskol!$N$1328="","",[2]Baskol!$N$1328)</f>
        <v/>
      </c>
      <c r="AE1325">
        <f>IF([2]Baskol!$O$1328="","",[2]Baskol!$O$1328)</f>
        <v/>
      </c>
      <c r="AG1325">
        <f>IF([3]Entry!$C$1328="","",[3]Entry!$C$1328)</f>
        <v/>
      </c>
      <c r="AH1325">
        <f>IF([3]Entry!$D$1328="","",[3]Entry!$D$1328)</f>
        <v/>
      </c>
      <c r="AI1325">
        <f>IF([3]Entry!$E$1328="","",[3]Entry!$E$1328)</f>
        <v/>
      </c>
      <c r="AJ1325">
        <f>IF([3]Entry!$G$1328="","",[3]Entry!$G$1328)</f>
        <v/>
      </c>
      <c r="AK1325">
        <f>IF([3]Entry!$K$1328="","",[3]Entry!$K$1328)</f>
        <v/>
      </c>
      <c r="AL1325">
        <f>IF([3]Entry!$L$1328="","",[3]Entry!$L$1328)</f>
        <v/>
      </c>
      <c r="AM1325">
        <f>IF([3]Entry!$M$1328="","",[3]Entry!$M$1328)</f>
        <v/>
      </c>
      <c r="AN1325">
        <f>IF([3]Entry!$N$1328="","",[3]Entry!$N$1328)</f>
        <v/>
      </c>
      <c r="AO1325">
        <f>IF([3]Entry!$R$1328="","",[3]Entry!$R$1328)</f>
        <v/>
      </c>
    </row>
    <row r="1326">
      <c r="U1326">
        <f>IF([2]Baskol!$B$1329="","",[2]Baskol!$B$1329)</f>
        <v/>
      </c>
      <c r="V1326">
        <f>IF([2]Baskol!$C$1329="","",[2]Baskol!$C$1329)</f>
        <v/>
      </c>
      <c r="W1326">
        <f>IF([2]Baskol!$D$1329="","",[2]Baskol!$D$1329)</f>
        <v/>
      </c>
      <c r="X1326">
        <f>IF([2]Baskol!$E$1329="","",[2]Baskol!$E$1329)</f>
        <v/>
      </c>
      <c r="Y1326">
        <f>IF([2]Baskol!$G$1329="","",[2]Baskol!$G$1329)</f>
        <v/>
      </c>
      <c r="Z1326">
        <f>IF([2]Baskol!$I$1329="","",[2]Baskol!$I$1329)</f>
        <v/>
      </c>
      <c r="AA1326">
        <f>IF([2]Baskol!$J$1329="","",[2]Baskol!$J$1329)</f>
        <v/>
      </c>
      <c r="AB1326">
        <f>IF([2]Baskol!$K$1329="","",[2]Baskol!$K$1329)</f>
        <v/>
      </c>
      <c r="AC1326">
        <f>IF([2]Baskol!$L$1329="","",[2]Baskol!$L$1329)</f>
        <v/>
      </c>
      <c r="AD1326">
        <f>IF([2]Baskol!$N$1329="","",[2]Baskol!$N$1329)</f>
        <v/>
      </c>
      <c r="AE1326">
        <f>IF([2]Baskol!$O$1329="","",[2]Baskol!$O$1329)</f>
        <v/>
      </c>
      <c r="AG1326">
        <f>IF([3]Entry!$C$1329="","",[3]Entry!$C$1329)</f>
        <v/>
      </c>
      <c r="AH1326">
        <f>IF([3]Entry!$D$1329="","",[3]Entry!$D$1329)</f>
        <v/>
      </c>
      <c r="AI1326">
        <f>IF([3]Entry!$E$1329="","",[3]Entry!$E$1329)</f>
        <v/>
      </c>
      <c r="AJ1326">
        <f>IF([3]Entry!$G$1329="","",[3]Entry!$G$1329)</f>
        <v/>
      </c>
      <c r="AK1326">
        <f>IF([3]Entry!$K$1329="","",[3]Entry!$K$1329)</f>
        <v/>
      </c>
      <c r="AL1326">
        <f>IF([3]Entry!$L$1329="","",[3]Entry!$L$1329)</f>
        <v/>
      </c>
      <c r="AM1326">
        <f>IF([3]Entry!$M$1329="","",[3]Entry!$M$1329)</f>
        <v/>
      </c>
      <c r="AN1326">
        <f>IF([3]Entry!$N$1329="","",[3]Entry!$N$1329)</f>
        <v/>
      </c>
      <c r="AO1326">
        <f>IF([3]Entry!$R$1329="","",[3]Entry!$R$1329)</f>
        <v/>
      </c>
    </row>
    <row r="1327">
      <c r="U1327">
        <f>IF([2]Baskol!$B$1330="","",[2]Baskol!$B$1330)</f>
        <v/>
      </c>
      <c r="V1327">
        <f>IF([2]Baskol!$C$1330="","",[2]Baskol!$C$1330)</f>
        <v/>
      </c>
      <c r="W1327">
        <f>IF([2]Baskol!$D$1330="","",[2]Baskol!$D$1330)</f>
        <v/>
      </c>
      <c r="X1327">
        <f>IF([2]Baskol!$E$1330="","",[2]Baskol!$E$1330)</f>
        <v/>
      </c>
      <c r="Y1327">
        <f>IF([2]Baskol!$G$1330="","",[2]Baskol!$G$1330)</f>
        <v/>
      </c>
      <c r="Z1327">
        <f>IF([2]Baskol!$I$1330="","",[2]Baskol!$I$1330)</f>
        <v/>
      </c>
      <c r="AA1327">
        <f>IF([2]Baskol!$J$1330="","",[2]Baskol!$J$1330)</f>
        <v/>
      </c>
      <c r="AB1327">
        <f>IF([2]Baskol!$K$1330="","",[2]Baskol!$K$1330)</f>
        <v/>
      </c>
      <c r="AC1327">
        <f>IF([2]Baskol!$L$1330="","",[2]Baskol!$L$1330)</f>
        <v/>
      </c>
      <c r="AD1327">
        <f>IF([2]Baskol!$N$1330="","",[2]Baskol!$N$1330)</f>
        <v/>
      </c>
      <c r="AE1327">
        <f>IF([2]Baskol!$O$1330="","",[2]Baskol!$O$1330)</f>
        <v/>
      </c>
      <c r="AG1327">
        <f>IF([3]Entry!$C$1330="","",[3]Entry!$C$1330)</f>
        <v/>
      </c>
      <c r="AH1327">
        <f>IF([3]Entry!$D$1330="","",[3]Entry!$D$1330)</f>
        <v/>
      </c>
      <c r="AI1327">
        <f>IF([3]Entry!$E$1330="","",[3]Entry!$E$1330)</f>
        <v/>
      </c>
      <c r="AJ1327">
        <f>IF([3]Entry!$G$1330="","",[3]Entry!$G$1330)</f>
        <v/>
      </c>
      <c r="AK1327">
        <f>IF([3]Entry!$K$1330="","",[3]Entry!$K$1330)</f>
        <v/>
      </c>
      <c r="AL1327">
        <f>IF([3]Entry!$L$1330="","",[3]Entry!$L$1330)</f>
        <v/>
      </c>
      <c r="AM1327">
        <f>IF([3]Entry!$M$1330="","",[3]Entry!$M$1330)</f>
        <v/>
      </c>
      <c r="AN1327">
        <f>IF([3]Entry!$N$1330="","",[3]Entry!$N$1330)</f>
        <v/>
      </c>
      <c r="AO1327">
        <f>IF([3]Entry!$R$1330="","",[3]Entry!$R$1330)</f>
        <v/>
      </c>
    </row>
    <row r="1328">
      <c r="U1328">
        <f>IF([2]Baskol!$B$1331="","",[2]Baskol!$B$1331)</f>
        <v/>
      </c>
      <c r="V1328">
        <f>IF([2]Baskol!$C$1331="","",[2]Baskol!$C$1331)</f>
        <v/>
      </c>
      <c r="W1328">
        <f>IF([2]Baskol!$D$1331="","",[2]Baskol!$D$1331)</f>
        <v/>
      </c>
      <c r="X1328">
        <f>IF([2]Baskol!$E$1331="","",[2]Baskol!$E$1331)</f>
        <v/>
      </c>
      <c r="Y1328">
        <f>IF([2]Baskol!$G$1331="","",[2]Baskol!$G$1331)</f>
        <v/>
      </c>
      <c r="Z1328">
        <f>IF([2]Baskol!$I$1331="","",[2]Baskol!$I$1331)</f>
        <v/>
      </c>
      <c r="AA1328">
        <f>IF([2]Baskol!$J$1331="","",[2]Baskol!$J$1331)</f>
        <v/>
      </c>
      <c r="AB1328">
        <f>IF([2]Baskol!$K$1331="","",[2]Baskol!$K$1331)</f>
        <v/>
      </c>
      <c r="AC1328">
        <f>IF([2]Baskol!$L$1331="","",[2]Baskol!$L$1331)</f>
        <v/>
      </c>
      <c r="AD1328">
        <f>IF([2]Baskol!$N$1331="","",[2]Baskol!$N$1331)</f>
        <v/>
      </c>
      <c r="AE1328">
        <f>IF([2]Baskol!$O$1331="","",[2]Baskol!$O$1331)</f>
        <v/>
      </c>
      <c r="AG1328">
        <f>IF([3]Entry!$C$1331="","",[3]Entry!$C$1331)</f>
        <v/>
      </c>
      <c r="AH1328">
        <f>IF([3]Entry!$D$1331="","",[3]Entry!$D$1331)</f>
        <v/>
      </c>
      <c r="AI1328">
        <f>IF([3]Entry!$E$1331="","",[3]Entry!$E$1331)</f>
        <v/>
      </c>
      <c r="AJ1328">
        <f>IF([3]Entry!$G$1331="","",[3]Entry!$G$1331)</f>
        <v/>
      </c>
      <c r="AK1328">
        <f>IF([3]Entry!$K$1331="","",[3]Entry!$K$1331)</f>
        <v/>
      </c>
      <c r="AL1328">
        <f>IF([3]Entry!$L$1331="","",[3]Entry!$L$1331)</f>
        <v/>
      </c>
      <c r="AM1328">
        <f>IF([3]Entry!$M$1331="","",[3]Entry!$M$1331)</f>
        <v/>
      </c>
      <c r="AN1328">
        <f>IF([3]Entry!$N$1331="","",[3]Entry!$N$1331)</f>
        <v/>
      </c>
      <c r="AO1328">
        <f>IF([3]Entry!$R$1331="","",[3]Entry!$R$1331)</f>
        <v/>
      </c>
    </row>
    <row r="1329">
      <c r="U1329">
        <f>IF([2]Baskol!$B$1332="","",[2]Baskol!$B$1332)</f>
        <v/>
      </c>
      <c r="V1329">
        <f>IF([2]Baskol!$C$1332="","",[2]Baskol!$C$1332)</f>
        <v/>
      </c>
      <c r="W1329">
        <f>IF([2]Baskol!$D$1332="","",[2]Baskol!$D$1332)</f>
        <v/>
      </c>
      <c r="X1329">
        <f>IF([2]Baskol!$E$1332="","",[2]Baskol!$E$1332)</f>
        <v/>
      </c>
      <c r="Y1329">
        <f>IF([2]Baskol!$G$1332="","",[2]Baskol!$G$1332)</f>
        <v/>
      </c>
      <c r="Z1329">
        <f>IF([2]Baskol!$I$1332="","",[2]Baskol!$I$1332)</f>
        <v/>
      </c>
      <c r="AA1329">
        <f>IF([2]Baskol!$J$1332="","",[2]Baskol!$J$1332)</f>
        <v/>
      </c>
      <c r="AB1329">
        <f>IF([2]Baskol!$K$1332="","",[2]Baskol!$K$1332)</f>
        <v/>
      </c>
      <c r="AC1329">
        <f>IF([2]Baskol!$L$1332="","",[2]Baskol!$L$1332)</f>
        <v/>
      </c>
      <c r="AD1329">
        <f>IF([2]Baskol!$N$1332="","",[2]Baskol!$N$1332)</f>
        <v/>
      </c>
      <c r="AE1329">
        <f>IF([2]Baskol!$O$1332="","",[2]Baskol!$O$1332)</f>
        <v/>
      </c>
      <c r="AG1329">
        <f>IF([3]Entry!$C$1332="","",[3]Entry!$C$1332)</f>
        <v/>
      </c>
      <c r="AH1329">
        <f>IF([3]Entry!$D$1332="","",[3]Entry!$D$1332)</f>
        <v/>
      </c>
      <c r="AI1329">
        <f>IF([3]Entry!$E$1332="","",[3]Entry!$E$1332)</f>
        <v/>
      </c>
      <c r="AJ1329">
        <f>IF([3]Entry!$G$1332="","",[3]Entry!$G$1332)</f>
        <v/>
      </c>
      <c r="AK1329">
        <f>IF([3]Entry!$K$1332="","",[3]Entry!$K$1332)</f>
        <v/>
      </c>
      <c r="AL1329">
        <f>IF([3]Entry!$L$1332="","",[3]Entry!$L$1332)</f>
        <v/>
      </c>
      <c r="AM1329">
        <f>IF([3]Entry!$M$1332="","",[3]Entry!$M$1332)</f>
        <v/>
      </c>
      <c r="AN1329">
        <f>IF([3]Entry!$N$1332="","",[3]Entry!$N$1332)</f>
        <v/>
      </c>
      <c r="AO1329">
        <f>IF([3]Entry!$R$1332="","",[3]Entry!$R$1332)</f>
        <v/>
      </c>
    </row>
    <row r="1330">
      <c r="U1330">
        <f>IF([2]Baskol!$B$1333="","",[2]Baskol!$B$1333)</f>
        <v/>
      </c>
      <c r="V1330">
        <f>IF([2]Baskol!$C$1333="","",[2]Baskol!$C$1333)</f>
        <v/>
      </c>
      <c r="W1330">
        <f>IF([2]Baskol!$D$1333="","",[2]Baskol!$D$1333)</f>
        <v/>
      </c>
      <c r="X1330">
        <f>IF([2]Baskol!$E$1333="","",[2]Baskol!$E$1333)</f>
        <v/>
      </c>
      <c r="Y1330">
        <f>IF([2]Baskol!$G$1333="","",[2]Baskol!$G$1333)</f>
        <v/>
      </c>
      <c r="Z1330">
        <f>IF([2]Baskol!$I$1333="","",[2]Baskol!$I$1333)</f>
        <v/>
      </c>
      <c r="AA1330">
        <f>IF([2]Baskol!$J$1333="","",[2]Baskol!$J$1333)</f>
        <v/>
      </c>
      <c r="AB1330">
        <f>IF([2]Baskol!$K$1333="","",[2]Baskol!$K$1333)</f>
        <v/>
      </c>
      <c r="AC1330">
        <f>IF([2]Baskol!$L$1333="","",[2]Baskol!$L$1333)</f>
        <v/>
      </c>
      <c r="AD1330">
        <f>IF([2]Baskol!$N$1333="","",[2]Baskol!$N$1333)</f>
        <v/>
      </c>
      <c r="AE1330">
        <f>IF([2]Baskol!$O$1333="","",[2]Baskol!$O$1333)</f>
        <v/>
      </c>
      <c r="AG1330">
        <f>IF([3]Entry!$C$1333="","",[3]Entry!$C$1333)</f>
        <v/>
      </c>
      <c r="AH1330">
        <f>IF([3]Entry!$D$1333="","",[3]Entry!$D$1333)</f>
        <v/>
      </c>
      <c r="AI1330">
        <f>IF([3]Entry!$E$1333="","",[3]Entry!$E$1333)</f>
        <v/>
      </c>
      <c r="AJ1330">
        <f>IF([3]Entry!$G$1333="","",[3]Entry!$G$1333)</f>
        <v/>
      </c>
      <c r="AK1330">
        <f>IF([3]Entry!$K$1333="","",[3]Entry!$K$1333)</f>
        <v/>
      </c>
      <c r="AL1330">
        <f>IF([3]Entry!$L$1333="","",[3]Entry!$L$1333)</f>
        <v/>
      </c>
      <c r="AM1330">
        <f>IF([3]Entry!$M$1333="","",[3]Entry!$M$1333)</f>
        <v/>
      </c>
      <c r="AN1330">
        <f>IF([3]Entry!$N$1333="","",[3]Entry!$N$1333)</f>
        <v/>
      </c>
      <c r="AO1330">
        <f>IF([3]Entry!$R$1333="","",[3]Entry!$R$1333)</f>
        <v/>
      </c>
    </row>
    <row r="1331">
      <c r="U1331">
        <f>IF([2]Baskol!$B$1334="","",[2]Baskol!$B$1334)</f>
        <v/>
      </c>
      <c r="V1331">
        <f>IF([2]Baskol!$C$1334="","",[2]Baskol!$C$1334)</f>
        <v/>
      </c>
      <c r="W1331">
        <f>IF([2]Baskol!$D$1334="","",[2]Baskol!$D$1334)</f>
        <v/>
      </c>
      <c r="X1331">
        <f>IF([2]Baskol!$E$1334="","",[2]Baskol!$E$1334)</f>
        <v/>
      </c>
      <c r="Y1331">
        <f>IF([2]Baskol!$G$1334="","",[2]Baskol!$G$1334)</f>
        <v/>
      </c>
      <c r="Z1331">
        <f>IF([2]Baskol!$I$1334="","",[2]Baskol!$I$1334)</f>
        <v/>
      </c>
      <c r="AA1331">
        <f>IF([2]Baskol!$J$1334="","",[2]Baskol!$J$1334)</f>
        <v/>
      </c>
      <c r="AB1331">
        <f>IF([2]Baskol!$K$1334="","",[2]Baskol!$K$1334)</f>
        <v/>
      </c>
      <c r="AC1331">
        <f>IF([2]Baskol!$L$1334="","",[2]Baskol!$L$1334)</f>
        <v/>
      </c>
      <c r="AD1331">
        <f>IF([2]Baskol!$N$1334="","",[2]Baskol!$N$1334)</f>
        <v/>
      </c>
      <c r="AE1331">
        <f>IF([2]Baskol!$O$1334="","",[2]Baskol!$O$1334)</f>
        <v/>
      </c>
      <c r="AG1331">
        <f>IF([3]Entry!$C$1334="","",[3]Entry!$C$1334)</f>
        <v/>
      </c>
      <c r="AH1331">
        <f>IF([3]Entry!$D$1334="","",[3]Entry!$D$1334)</f>
        <v/>
      </c>
      <c r="AI1331">
        <f>IF([3]Entry!$E$1334="","",[3]Entry!$E$1334)</f>
        <v/>
      </c>
      <c r="AJ1331">
        <f>IF([3]Entry!$G$1334="","",[3]Entry!$G$1334)</f>
        <v/>
      </c>
      <c r="AK1331">
        <f>IF([3]Entry!$K$1334="","",[3]Entry!$K$1334)</f>
        <v/>
      </c>
      <c r="AL1331">
        <f>IF([3]Entry!$L$1334="","",[3]Entry!$L$1334)</f>
        <v/>
      </c>
      <c r="AM1331">
        <f>IF([3]Entry!$M$1334="","",[3]Entry!$M$1334)</f>
        <v/>
      </c>
      <c r="AN1331">
        <f>IF([3]Entry!$N$1334="","",[3]Entry!$N$1334)</f>
        <v/>
      </c>
      <c r="AO1331">
        <f>IF([3]Entry!$R$1334="","",[3]Entry!$R$1334)</f>
        <v/>
      </c>
    </row>
    <row r="1332">
      <c r="U1332">
        <f>IF([2]Baskol!$B$1335="","",[2]Baskol!$B$1335)</f>
        <v/>
      </c>
      <c r="V1332">
        <f>IF([2]Baskol!$C$1335="","",[2]Baskol!$C$1335)</f>
        <v/>
      </c>
      <c r="W1332">
        <f>IF([2]Baskol!$D$1335="","",[2]Baskol!$D$1335)</f>
        <v/>
      </c>
      <c r="X1332">
        <f>IF([2]Baskol!$E$1335="","",[2]Baskol!$E$1335)</f>
        <v/>
      </c>
      <c r="Y1332">
        <f>IF([2]Baskol!$G$1335="","",[2]Baskol!$G$1335)</f>
        <v/>
      </c>
      <c r="Z1332">
        <f>IF([2]Baskol!$I$1335="","",[2]Baskol!$I$1335)</f>
        <v/>
      </c>
      <c r="AA1332">
        <f>IF([2]Baskol!$J$1335="","",[2]Baskol!$J$1335)</f>
        <v/>
      </c>
      <c r="AB1332">
        <f>IF([2]Baskol!$K$1335="","",[2]Baskol!$K$1335)</f>
        <v/>
      </c>
      <c r="AC1332">
        <f>IF([2]Baskol!$L$1335="","",[2]Baskol!$L$1335)</f>
        <v/>
      </c>
      <c r="AD1332">
        <f>IF([2]Baskol!$N$1335="","",[2]Baskol!$N$1335)</f>
        <v/>
      </c>
      <c r="AE1332">
        <f>IF([2]Baskol!$O$1335="","",[2]Baskol!$O$1335)</f>
        <v/>
      </c>
      <c r="AG1332">
        <f>IF([3]Entry!$C$1335="","",[3]Entry!$C$1335)</f>
        <v/>
      </c>
      <c r="AH1332">
        <f>IF([3]Entry!$D$1335="","",[3]Entry!$D$1335)</f>
        <v/>
      </c>
      <c r="AI1332">
        <f>IF([3]Entry!$E$1335="","",[3]Entry!$E$1335)</f>
        <v/>
      </c>
      <c r="AJ1332">
        <f>IF([3]Entry!$G$1335="","",[3]Entry!$G$1335)</f>
        <v/>
      </c>
      <c r="AK1332">
        <f>IF([3]Entry!$K$1335="","",[3]Entry!$K$1335)</f>
        <v/>
      </c>
      <c r="AL1332">
        <f>IF([3]Entry!$L$1335="","",[3]Entry!$L$1335)</f>
        <v/>
      </c>
      <c r="AM1332">
        <f>IF([3]Entry!$M$1335="","",[3]Entry!$M$1335)</f>
        <v/>
      </c>
      <c r="AN1332">
        <f>IF([3]Entry!$N$1335="","",[3]Entry!$N$1335)</f>
        <v/>
      </c>
      <c r="AO1332">
        <f>IF([3]Entry!$R$1335="","",[3]Entry!$R$1335)</f>
        <v/>
      </c>
    </row>
    <row r="1333">
      <c r="U1333">
        <f>IF([2]Baskol!$B$1336="","",[2]Baskol!$B$1336)</f>
        <v/>
      </c>
      <c r="V1333">
        <f>IF([2]Baskol!$C$1336="","",[2]Baskol!$C$1336)</f>
        <v/>
      </c>
      <c r="W1333">
        <f>IF([2]Baskol!$D$1336="","",[2]Baskol!$D$1336)</f>
        <v/>
      </c>
      <c r="X1333">
        <f>IF([2]Baskol!$E$1336="","",[2]Baskol!$E$1336)</f>
        <v/>
      </c>
      <c r="Y1333">
        <f>IF([2]Baskol!$G$1336="","",[2]Baskol!$G$1336)</f>
        <v/>
      </c>
      <c r="Z1333">
        <f>IF([2]Baskol!$I$1336="","",[2]Baskol!$I$1336)</f>
        <v/>
      </c>
      <c r="AA1333">
        <f>IF([2]Baskol!$J$1336="","",[2]Baskol!$J$1336)</f>
        <v/>
      </c>
      <c r="AB1333">
        <f>IF([2]Baskol!$K$1336="","",[2]Baskol!$K$1336)</f>
        <v/>
      </c>
      <c r="AC1333">
        <f>IF([2]Baskol!$L$1336="","",[2]Baskol!$L$1336)</f>
        <v/>
      </c>
      <c r="AD1333">
        <f>IF([2]Baskol!$N$1336="","",[2]Baskol!$N$1336)</f>
        <v/>
      </c>
      <c r="AE1333">
        <f>IF([2]Baskol!$O$1336="","",[2]Baskol!$O$1336)</f>
        <v/>
      </c>
      <c r="AG1333">
        <f>IF([3]Entry!$C$1336="","",[3]Entry!$C$1336)</f>
        <v/>
      </c>
      <c r="AH1333">
        <f>IF([3]Entry!$D$1336="","",[3]Entry!$D$1336)</f>
        <v/>
      </c>
      <c r="AI1333">
        <f>IF([3]Entry!$E$1336="","",[3]Entry!$E$1336)</f>
        <v/>
      </c>
      <c r="AJ1333">
        <f>IF([3]Entry!$G$1336="","",[3]Entry!$G$1336)</f>
        <v/>
      </c>
      <c r="AK1333">
        <f>IF([3]Entry!$K$1336="","",[3]Entry!$K$1336)</f>
        <v/>
      </c>
      <c r="AL1333">
        <f>IF([3]Entry!$L$1336="","",[3]Entry!$L$1336)</f>
        <v/>
      </c>
      <c r="AM1333">
        <f>IF([3]Entry!$M$1336="","",[3]Entry!$M$1336)</f>
        <v/>
      </c>
      <c r="AN1333">
        <f>IF([3]Entry!$N$1336="","",[3]Entry!$N$1336)</f>
        <v/>
      </c>
      <c r="AO1333">
        <f>IF([3]Entry!$R$1336="","",[3]Entry!$R$1336)</f>
        <v/>
      </c>
    </row>
    <row r="1334">
      <c r="U1334">
        <f>IF([2]Baskol!$B$1337="","",[2]Baskol!$B$1337)</f>
        <v/>
      </c>
      <c r="V1334">
        <f>IF([2]Baskol!$C$1337="","",[2]Baskol!$C$1337)</f>
        <v/>
      </c>
      <c r="W1334">
        <f>IF([2]Baskol!$D$1337="","",[2]Baskol!$D$1337)</f>
        <v/>
      </c>
      <c r="X1334">
        <f>IF([2]Baskol!$E$1337="","",[2]Baskol!$E$1337)</f>
        <v/>
      </c>
      <c r="Y1334">
        <f>IF([2]Baskol!$G$1337="","",[2]Baskol!$G$1337)</f>
        <v/>
      </c>
      <c r="Z1334">
        <f>IF([2]Baskol!$I$1337="","",[2]Baskol!$I$1337)</f>
        <v/>
      </c>
      <c r="AA1334">
        <f>IF([2]Baskol!$J$1337="","",[2]Baskol!$J$1337)</f>
        <v/>
      </c>
      <c r="AB1334">
        <f>IF([2]Baskol!$K$1337="","",[2]Baskol!$K$1337)</f>
        <v/>
      </c>
      <c r="AC1334">
        <f>IF([2]Baskol!$L$1337="","",[2]Baskol!$L$1337)</f>
        <v/>
      </c>
      <c r="AD1334">
        <f>IF([2]Baskol!$N$1337="","",[2]Baskol!$N$1337)</f>
        <v/>
      </c>
      <c r="AE1334">
        <f>IF([2]Baskol!$O$1337="","",[2]Baskol!$O$1337)</f>
        <v/>
      </c>
      <c r="AG1334">
        <f>IF([3]Entry!$C$1337="","",[3]Entry!$C$1337)</f>
        <v/>
      </c>
      <c r="AH1334">
        <f>IF([3]Entry!$D$1337="","",[3]Entry!$D$1337)</f>
        <v/>
      </c>
      <c r="AI1334">
        <f>IF([3]Entry!$E$1337="","",[3]Entry!$E$1337)</f>
        <v/>
      </c>
      <c r="AJ1334">
        <f>IF([3]Entry!$G$1337="","",[3]Entry!$G$1337)</f>
        <v/>
      </c>
      <c r="AK1334">
        <f>IF([3]Entry!$K$1337="","",[3]Entry!$K$1337)</f>
        <v/>
      </c>
      <c r="AL1334">
        <f>IF([3]Entry!$L$1337="","",[3]Entry!$L$1337)</f>
        <v/>
      </c>
      <c r="AM1334">
        <f>IF([3]Entry!$M$1337="","",[3]Entry!$M$1337)</f>
        <v/>
      </c>
      <c r="AN1334">
        <f>IF([3]Entry!$N$1337="","",[3]Entry!$N$1337)</f>
        <v/>
      </c>
      <c r="AO1334">
        <f>IF([3]Entry!$R$1337="","",[3]Entry!$R$1337)</f>
        <v/>
      </c>
    </row>
    <row r="1335">
      <c r="U1335">
        <f>IF([2]Baskol!$B$1338="","",[2]Baskol!$B$1338)</f>
        <v/>
      </c>
      <c r="V1335">
        <f>IF([2]Baskol!$C$1338="","",[2]Baskol!$C$1338)</f>
        <v/>
      </c>
      <c r="W1335">
        <f>IF([2]Baskol!$D$1338="","",[2]Baskol!$D$1338)</f>
        <v/>
      </c>
      <c r="X1335">
        <f>IF([2]Baskol!$E$1338="","",[2]Baskol!$E$1338)</f>
        <v/>
      </c>
      <c r="Y1335">
        <f>IF([2]Baskol!$G$1338="","",[2]Baskol!$G$1338)</f>
        <v/>
      </c>
      <c r="Z1335">
        <f>IF([2]Baskol!$I$1338="","",[2]Baskol!$I$1338)</f>
        <v/>
      </c>
      <c r="AA1335">
        <f>IF([2]Baskol!$J$1338="","",[2]Baskol!$J$1338)</f>
        <v/>
      </c>
      <c r="AB1335">
        <f>IF([2]Baskol!$K$1338="","",[2]Baskol!$K$1338)</f>
        <v/>
      </c>
      <c r="AC1335">
        <f>IF([2]Baskol!$L$1338="","",[2]Baskol!$L$1338)</f>
        <v/>
      </c>
      <c r="AD1335">
        <f>IF([2]Baskol!$N$1338="","",[2]Baskol!$N$1338)</f>
        <v/>
      </c>
      <c r="AE1335">
        <f>IF([2]Baskol!$O$1338="","",[2]Baskol!$O$1338)</f>
        <v/>
      </c>
      <c r="AG1335">
        <f>IF([3]Entry!$C$1338="","",[3]Entry!$C$1338)</f>
        <v/>
      </c>
      <c r="AH1335">
        <f>IF([3]Entry!$D$1338="","",[3]Entry!$D$1338)</f>
        <v/>
      </c>
      <c r="AI1335">
        <f>IF([3]Entry!$E$1338="","",[3]Entry!$E$1338)</f>
        <v/>
      </c>
      <c r="AJ1335">
        <f>IF([3]Entry!$G$1338="","",[3]Entry!$G$1338)</f>
        <v/>
      </c>
      <c r="AK1335">
        <f>IF([3]Entry!$K$1338="","",[3]Entry!$K$1338)</f>
        <v/>
      </c>
      <c r="AL1335">
        <f>IF([3]Entry!$L$1338="","",[3]Entry!$L$1338)</f>
        <v/>
      </c>
      <c r="AM1335">
        <f>IF([3]Entry!$M$1338="","",[3]Entry!$M$1338)</f>
        <v/>
      </c>
      <c r="AN1335">
        <f>IF([3]Entry!$N$1338="","",[3]Entry!$N$1338)</f>
        <v/>
      </c>
      <c r="AO1335">
        <f>IF([3]Entry!$R$1338="","",[3]Entry!$R$1338)</f>
        <v/>
      </c>
    </row>
    <row r="1336">
      <c r="U1336">
        <f>IF([2]Baskol!$B$1339="","",[2]Baskol!$B$1339)</f>
        <v/>
      </c>
      <c r="V1336">
        <f>IF([2]Baskol!$C$1339="","",[2]Baskol!$C$1339)</f>
        <v/>
      </c>
      <c r="W1336">
        <f>IF([2]Baskol!$D$1339="","",[2]Baskol!$D$1339)</f>
        <v/>
      </c>
      <c r="X1336">
        <f>IF([2]Baskol!$E$1339="","",[2]Baskol!$E$1339)</f>
        <v/>
      </c>
      <c r="Y1336">
        <f>IF([2]Baskol!$G$1339="","",[2]Baskol!$G$1339)</f>
        <v/>
      </c>
      <c r="Z1336">
        <f>IF([2]Baskol!$I$1339="","",[2]Baskol!$I$1339)</f>
        <v/>
      </c>
      <c r="AA1336">
        <f>IF([2]Baskol!$J$1339="","",[2]Baskol!$J$1339)</f>
        <v/>
      </c>
      <c r="AB1336">
        <f>IF([2]Baskol!$K$1339="","",[2]Baskol!$K$1339)</f>
        <v/>
      </c>
      <c r="AC1336">
        <f>IF([2]Baskol!$L$1339="","",[2]Baskol!$L$1339)</f>
        <v/>
      </c>
      <c r="AD1336">
        <f>IF([2]Baskol!$N$1339="","",[2]Baskol!$N$1339)</f>
        <v/>
      </c>
      <c r="AE1336">
        <f>IF([2]Baskol!$O$1339="","",[2]Baskol!$O$1339)</f>
        <v/>
      </c>
      <c r="AG1336">
        <f>IF([3]Entry!$C$1339="","",[3]Entry!$C$1339)</f>
        <v/>
      </c>
      <c r="AH1336">
        <f>IF([3]Entry!$D$1339="","",[3]Entry!$D$1339)</f>
        <v/>
      </c>
      <c r="AI1336">
        <f>IF([3]Entry!$E$1339="","",[3]Entry!$E$1339)</f>
        <v/>
      </c>
      <c r="AJ1336">
        <f>IF([3]Entry!$G$1339="","",[3]Entry!$G$1339)</f>
        <v/>
      </c>
      <c r="AK1336">
        <f>IF([3]Entry!$K$1339="","",[3]Entry!$K$1339)</f>
        <v/>
      </c>
      <c r="AL1336">
        <f>IF([3]Entry!$L$1339="","",[3]Entry!$L$1339)</f>
        <v/>
      </c>
      <c r="AM1336">
        <f>IF([3]Entry!$M$1339="","",[3]Entry!$M$1339)</f>
        <v/>
      </c>
      <c r="AN1336">
        <f>IF([3]Entry!$N$1339="","",[3]Entry!$N$1339)</f>
        <v/>
      </c>
      <c r="AO1336">
        <f>IF([3]Entry!$R$1339="","",[3]Entry!$R$1339)</f>
        <v/>
      </c>
    </row>
    <row r="1337">
      <c r="U1337">
        <f>IF([2]Baskol!$B$1340="","",[2]Baskol!$B$1340)</f>
        <v/>
      </c>
      <c r="V1337">
        <f>IF([2]Baskol!$C$1340="","",[2]Baskol!$C$1340)</f>
        <v/>
      </c>
      <c r="W1337">
        <f>IF([2]Baskol!$D$1340="","",[2]Baskol!$D$1340)</f>
        <v/>
      </c>
      <c r="X1337">
        <f>IF([2]Baskol!$E$1340="","",[2]Baskol!$E$1340)</f>
        <v/>
      </c>
      <c r="Y1337">
        <f>IF([2]Baskol!$G$1340="","",[2]Baskol!$G$1340)</f>
        <v/>
      </c>
      <c r="Z1337">
        <f>IF([2]Baskol!$I$1340="","",[2]Baskol!$I$1340)</f>
        <v/>
      </c>
      <c r="AA1337">
        <f>IF([2]Baskol!$J$1340="","",[2]Baskol!$J$1340)</f>
        <v/>
      </c>
      <c r="AB1337">
        <f>IF([2]Baskol!$K$1340="","",[2]Baskol!$K$1340)</f>
        <v/>
      </c>
      <c r="AC1337">
        <f>IF([2]Baskol!$L$1340="","",[2]Baskol!$L$1340)</f>
        <v/>
      </c>
      <c r="AD1337">
        <f>IF([2]Baskol!$N$1340="","",[2]Baskol!$N$1340)</f>
        <v/>
      </c>
      <c r="AE1337">
        <f>IF([2]Baskol!$O$1340="","",[2]Baskol!$O$1340)</f>
        <v/>
      </c>
      <c r="AG1337">
        <f>IF([3]Entry!$C$1340="","",[3]Entry!$C$1340)</f>
        <v/>
      </c>
      <c r="AH1337">
        <f>IF([3]Entry!$D$1340="","",[3]Entry!$D$1340)</f>
        <v/>
      </c>
      <c r="AI1337">
        <f>IF([3]Entry!$E$1340="","",[3]Entry!$E$1340)</f>
        <v/>
      </c>
      <c r="AJ1337">
        <f>IF([3]Entry!$G$1340="","",[3]Entry!$G$1340)</f>
        <v/>
      </c>
      <c r="AK1337">
        <f>IF([3]Entry!$K$1340="","",[3]Entry!$K$1340)</f>
        <v/>
      </c>
      <c r="AL1337">
        <f>IF([3]Entry!$L$1340="","",[3]Entry!$L$1340)</f>
        <v/>
      </c>
      <c r="AM1337">
        <f>IF([3]Entry!$M$1340="","",[3]Entry!$M$1340)</f>
        <v/>
      </c>
      <c r="AN1337">
        <f>IF([3]Entry!$N$1340="","",[3]Entry!$N$1340)</f>
        <v/>
      </c>
      <c r="AO1337">
        <f>IF([3]Entry!$R$1340="","",[3]Entry!$R$1340)</f>
        <v/>
      </c>
    </row>
    <row r="1338">
      <c r="U1338">
        <f>IF([2]Baskol!$B$1341="","",[2]Baskol!$B$1341)</f>
        <v/>
      </c>
      <c r="V1338">
        <f>IF([2]Baskol!$C$1341="","",[2]Baskol!$C$1341)</f>
        <v/>
      </c>
      <c r="W1338">
        <f>IF([2]Baskol!$D$1341="","",[2]Baskol!$D$1341)</f>
        <v/>
      </c>
      <c r="X1338">
        <f>IF([2]Baskol!$E$1341="","",[2]Baskol!$E$1341)</f>
        <v/>
      </c>
      <c r="Y1338">
        <f>IF([2]Baskol!$G$1341="","",[2]Baskol!$G$1341)</f>
        <v/>
      </c>
      <c r="Z1338">
        <f>IF([2]Baskol!$I$1341="","",[2]Baskol!$I$1341)</f>
        <v/>
      </c>
      <c r="AA1338">
        <f>IF([2]Baskol!$J$1341="","",[2]Baskol!$J$1341)</f>
        <v/>
      </c>
      <c r="AB1338">
        <f>IF([2]Baskol!$K$1341="","",[2]Baskol!$K$1341)</f>
        <v/>
      </c>
      <c r="AC1338">
        <f>IF([2]Baskol!$L$1341="","",[2]Baskol!$L$1341)</f>
        <v/>
      </c>
      <c r="AD1338">
        <f>IF([2]Baskol!$N$1341="","",[2]Baskol!$N$1341)</f>
        <v/>
      </c>
      <c r="AE1338">
        <f>IF([2]Baskol!$O$1341="","",[2]Baskol!$O$1341)</f>
        <v/>
      </c>
      <c r="AG1338">
        <f>IF([3]Entry!$C$1341="","",[3]Entry!$C$1341)</f>
        <v/>
      </c>
      <c r="AH1338">
        <f>IF([3]Entry!$D$1341="","",[3]Entry!$D$1341)</f>
        <v/>
      </c>
      <c r="AI1338">
        <f>IF([3]Entry!$E$1341="","",[3]Entry!$E$1341)</f>
        <v/>
      </c>
      <c r="AJ1338">
        <f>IF([3]Entry!$G$1341="","",[3]Entry!$G$1341)</f>
        <v/>
      </c>
      <c r="AK1338">
        <f>IF([3]Entry!$K$1341="","",[3]Entry!$K$1341)</f>
        <v/>
      </c>
      <c r="AL1338">
        <f>IF([3]Entry!$L$1341="","",[3]Entry!$L$1341)</f>
        <v/>
      </c>
      <c r="AM1338">
        <f>IF([3]Entry!$M$1341="","",[3]Entry!$M$1341)</f>
        <v/>
      </c>
      <c r="AN1338">
        <f>IF([3]Entry!$N$1341="","",[3]Entry!$N$1341)</f>
        <v/>
      </c>
      <c r="AO1338">
        <f>IF([3]Entry!$R$1341="","",[3]Entry!$R$1341)</f>
        <v/>
      </c>
    </row>
    <row r="1339">
      <c r="U1339">
        <f>IF([2]Baskol!$B$1342="","",[2]Baskol!$B$1342)</f>
        <v/>
      </c>
      <c r="V1339">
        <f>IF([2]Baskol!$C$1342="","",[2]Baskol!$C$1342)</f>
        <v/>
      </c>
      <c r="W1339">
        <f>IF([2]Baskol!$D$1342="","",[2]Baskol!$D$1342)</f>
        <v/>
      </c>
      <c r="X1339">
        <f>IF([2]Baskol!$E$1342="","",[2]Baskol!$E$1342)</f>
        <v/>
      </c>
      <c r="Y1339">
        <f>IF([2]Baskol!$G$1342="","",[2]Baskol!$G$1342)</f>
        <v/>
      </c>
      <c r="Z1339">
        <f>IF([2]Baskol!$I$1342="","",[2]Baskol!$I$1342)</f>
        <v/>
      </c>
      <c r="AA1339">
        <f>IF([2]Baskol!$J$1342="","",[2]Baskol!$J$1342)</f>
        <v/>
      </c>
      <c r="AB1339">
        <f>IF([2]Baskol!$K$1342="","",[2]Baskol!$K$1342)</f>
        <v/>
      </c>
      <c r="AC1339">
        <f>IF([2]Baskol!$L$1342="","",[2]Baskol!$L$1342)</f>
        <v/>
      </c>
      <c r="AD1339">
        <f>IF([2]Baskol!$N$1342="","",[2]Baskol!$N$1342)</f>
        <v/>
      </c>
      <c r="AE1339">
        <f>IF([2]Baskol!$O$1342="","",[2]Baskol!$O$1342)</f>
        <v/>
      </c>
      <c r="AG1339">
        <f>IF([3]Entry!$C$1342="","",[3]Entry!$C$1342)</f>
        <v/>
      </c>
      <c r="AH1339">
        <f>IF([3]Entry!$D$1342="","",[3]Entry!$D$1342)</f>
        <v/>
      </c>
      <c r="AI1339">
        <f>IF([3]Entry!$E$1342="","",[3]Entry!$E$1342)</f>
        <v/>
      </c>
      <c r="AJ1339">
        <f>IF([3]Entry!$G$1342="","",[3]Entry!$G$1342)</f>
        <v/>
      </c>
      <c r="AK1339">
        <f>IF([3]Entry!$K$1342="","",[3]Entry!$K$1342)</f>
        <v/>
      </c>
      <c r="AL1339">
        <f>IF([3]Entry!$L$1342="","",[3]Entry!$L$1342)</f>
        <v/>
      </c>
      <c r="AM1339">
        <f>IF([3]Entry!$M$1342="","",[3]Entry!$M$1342)</f>
        <v/>
      </c>
      <c r="AN1339">
        <f>IF([3]Entry!$N$1342="","",[3]Entry!$N$1342)</f>
        <v/>
      </c>
      <c r="AO1339">
        <f>IF([3]Entry!$R$1342="","",[3]Entry!$R$1342)</f>
        <v/>
      </c>
    </row>
    <row r="1340">
      <c r="U1340">
        <f>IF([2]Baskol!$B$1343="","",[2]Baskol!$B$1343)</f>
        <v/>
      </c>
      <c r="V1340">
        <f>IF([2]Baskol!$C$1343="","",[2]Baskol!$C$1343)</f>
        <v/>
      </c>
      <c r="W1340">
        <f>IF([2]Baskol!$D$1343="","",[2]Baskol!$D$1343)</f>
        <v/>
      </c>
      <c r="X1340">
        <f>IF([2]Baskol!$E$1343="","",[2]Baskol!$E$1343)</f>
        <v/>
      </c>
      <c r="Y1340">
        <f>IF([2]Baskol!$G$1343="","",[2]Baskol!$G$1343)</f>
        <v/>
      </c>
      <c r="Z1340">
        <f>IF([2]Baskol!$I$1343="","",[2]Baskol!$I$1343)</f>
        <v/>
      </c>
      <c r="AA1340">
        <f>IF([2]Baskol!$J$1343="","",[2]Baskol!$J$1343)</f>
        <v/>
      </c>
      <c r="AB1340">
        <f>IF([2]Baskol!$K$1343="","",[2]Baskol!$K$1343)</f>
        <v/>
      </c>
      <c r="AC1340">
        <f>IF([2]Baskol!$L$1343="","",[2]Baskol!$L$1343)</f>
        <v/>
      </c>
      <c r="AD1340">
        <f>IF([2]Baskol!$N$1343="","",[2]Baskol!$N$1343)</f>
        <v/>
      </c>
      <c r="AE1340">
        <f>IF([2]Baskol!$O$1343="","",[2]Baskol!$O$1343)</f>
        <v/>
      </c>
      <c r="AG1340">
        <f>IF([3]Entry!$C$1343="","",[3]Entry!$C$1343)</f>
        <v/>
      </c>
      <c r="AH1340">
        <f>IF([3]Entry!$D$1343="","",[3]Entry!$D$1343)</f>
        <v/>
      </c>
      <c r="AI1340">
        <f>IF([3]Entry!$E$1343="","",[3]Entry!$E$1343)</f>
        <v/>
      </c>
      <c r="AJ1340">
        <f>IF([3]Entry!$G$1343="","",[3]Entry!$G$1343)</f>
        <v/>
      </c>
      <c r="AK1340">
        <f>IF([3]Entry!$K$1343="","",[3]Entry!$K$1343)</f>
        <v/>
      </c>
      <c r="AL1340">
        <f>IF([3]Entry!$L$1343="","",[3]Entry!$L$1343)</f>
        <v/>
      </c>
      <c r="AM1340">
        <f>IF([3]Entry!$M$1343="","",[3]Entry!$M$1343)</f>
        <v/>
      </c>
      <c r="AN1340">
        <f>IF([3]Entry!$N$1343="","",[3]Entry!$N$1343)</f>
        <v/>
      </c>
      <c r="AO1340">
        <f>IF([3]Entry!$R$1343="","",[3]Entry!$R$1343)</f>
        <v/>
      </c>
    </row>
    <row r="1341">
      <c r="U1341">
        <f>IF([2]Baskol!$B$1344="","",[2]Baskol!$B$1344)</f>
        <v/>
      </c>
      <c r="V1341">
        <f>IF([2]Baskol!$C$1344="","",[2]Baskol!$C$1344)</f>
        <v/>
      </c>
      <c r="W1341">
        <f>IF([2]Baskol!$D$1344="","",[2]Baskol!$D$1344)</f>
        <v/>
      </c>
      <c r="X1341">
        <f>IF([2]Baskol!$E$1344="","",[2]Baskol!$E$1344)</f>
        <v/>
      </c>
      <c r="Y1341">
        <f>IF([2]Baskol!$G$1344="","",[2]Baskol!$G$1344)</f>
        <v/>
      </c>
      <c r="Z1341">
        <f>IF([2]Baskol!$I$1344="","",[2]Baskol!$I$1344)</f>
        <v/>
      </c>
      <c r="AA1341">
        <f>IF([2]Baskol!$J$1344="","",[2]Baskol!$J$1344)</f>
        <v/>
      </c>
      <c r="AB1341">
        <f>IF([2]Baskol!$K$1344="","",[2]Baskol!$K$1344)</f>
        <v/>
      </c>
      <c r="AC1341">
        <f>IF([2]Baskol!$L$1344="","",[2]Baskol!$L$1344)</f>
        <v/>
      </c>
      <c r="AD1341">
        <f>IF([2]Baskol!$N$1344="","",[2]Baskol!$N$1344)</f>
        <v/>
      </c>
      <c r="AE1341">
        <f>IF([2]Baskol!$O$1344="","",[2]Baskol!$O$1344)</f>
        <v/>
      </c>
      <c r="AG1341">
        <f>IF([3]Entry!$C$1344="","",[3]Entry!$C$1344)</f>
        <v/>
      </c>
      <c r="AH1341">
        <f>IF([3]Entry!$D$1344="","",[3]Entry!$D$1344)</f>
        <v/>
      </c>
      <c r="AI1341">
        <f>IF([3]Entry!$E$1344="","",[3]Entry!$E$1344)</f>
        <v/>
      </c>
      <c r="AJ1341">
        <f>IF([3]Entry!$G$1344="","",[3]Entry!$G$1344)</f>
        <v/>
      </c>
      <c r="AK1341">
        <f>IF([3]Entry!$K$1344="","",[3]Entry!$K$1344)</f>
        <v/>
      </c>
      <c r="AL1341">
        <f>IF([3]Entry!$L$1344="","",[3]Entry!$L$1344)</f>
        <v/>
      </c>
      <c r="AM1341">
        <f>IF([3]Entry!$M$1344="","",[3]Entry!$M$1344)</f>
        <v/>
      </c>
      <c r="AN1341">
        <f>IF([3]Entry!$N$1344="","",[3]Entry!$N$1344)</f>
        <v/>
      </c>
      <c r="AO1341">
        <f>IF([3]Entry!$R$1344="","",[3]Entry!$R$1344)</f>
        <v/>
      </c>
    </row>
    <row r="1342">
      <c r="U1342">
        <f>IF([2]Baskol!$B$1345="","",[2]Baskol!$B$1345)</f>
        <v/>
      </c>
      <c r="V1342">
        <f>IF([2]Baskol!$C$1345="","",[2]Baskol!$C$1345)</f>
        <v/>
      </c>
      <c r="W1342">
        <f>IF([2]Baskol!$D$1345="","",[2]Baskol!$D$1345)</f>
        <v/>
      </c>
      <c r="X1342">
        <f>IF([2]Baskol!$E$1345="","",[2]Baskol!$E$1345)</f>
        <v/>
      </c>
      <c r="Y1342">
        <f>IF([2]Baskol!$G$1345="","",[2]Baskol!$G$1345)</f>
        <v/>
      </c>
      <c r="Z1342">
        <f>IF([2]Baskol!$I$1345="","",[2]Baskol!$I$1345)</f>
        <v/>
      </c>
      <c r="AA1342">
        <f>IF([2]Baskol!$J$1345="","",[2]Baskol!$J$1345)</f>
        <v/>
      </c>
      <c r="AB1342">
        <f>IF([2]Baskol!$K$1345="","",[2]Baskol!$K$1345)</f>
        <v/>
      </c>
      <c r="AC1342">
        <f>IF([2]Baskol!$L$1345="","",[2]Baskol!$L$1345)</f>
        <v/>
      </c>
      <c r="AD1342">
        <f>IF([2]Baskol!$N$1345="","",[2]Baskol!$N$1345)</f>
        <v/>
      </c>
      <c r="AE1342">
        <f>IF([2]Baskol!$O$1345="","",[2]Baskol!$O$1345)</f>
        <v/>
      </c>
      <c r="AG1342">
        <f>IF([3]Entry!$C$1345="","",[3]Entry!$C$1345)</f>
        <v/>
      </c>
      <c r="AH1342">
        <f>IF([3]Entry!$D$1345="","",[3]Entry!$D$1345)</f>
        <v/>
      </c>
      <c r="AI1342">
        <f>IF([3]Entry!$E$1345="","",[3]Entry!$E$1345)</f>
        <v/>
      </c>
      <c r="AJ1342">
        <f>IF([3]Entry!$G$1345="","",[3]Entry!$G$1345)</f>
        <v/>
      </c>
      <c r="AK1342">
        <f>IF([3]Entry!$K$1345="","",[3]Entry!$K$1345)</f>
        <v/>
      </c>
      <c r="AL1342">
        <f>IF([3]Entry!$L$1345="","",[3]Entry!$L$1345)</f>
        <v/>
      </c>
      <c r="AM1342">
        <f>IF([3]Entry!$M$1345="","",[3]Entry!$M$1345)</f>
        <v/>
      </c>
      <c r="AN1342">
        <f>IF([3]Entry!$N$1345="","",[3]Entry!$N$1345)</f>
        <v/>
      </c>
      <c r="AO1342">
        <f>IF([3]Entry!$R$1345="","",[3]Entry!$R$1345)</f>
        <v/>
      </c>
    </row>
    <row r="1343">
      <c r="U1343">
        <f>IF([2]Baskol!$B$1346="","",[2]Baskol!$B$1346)</f>
        <v/>
      </c>
      <c r="V1343">
        <f>IF([2]Baskol!$C$1346="","",[2]Baskol!$C$1346)</f>
        <v/>
      </c>
      <c r="W1343">
        <f>IF([2]Baskol!$D$1346="","",[2]Baskol!$D$1346)</f>
        <v/>
      </c>
      <c r="X1343">
        <f>IF([2]Baskol!$E$1346="","",[2]Baskol!$E$1346)</f>
        <v/>
      </c>
      <c r="Y1343">
        <f>IF([2]Baskol!$G$1346="","",[2]Baskol!$G$1346)</f>
        <v/>
      </c>
      <c r="Z1343">
        <f>IF([2]Baskol!$I$1346="","",[2]Baskol!$I$1346)</f>
        <v/>
      </c>
      <c r="AA1343">
        <f>IF([2]Baskol!$J$1346="","",[2]Baskol!$J$1346)</f>
        <v/>
      </c>
      <c r="AB1343">
        <f>IF([2]Baskol!$K$1346="","",[2]Baskol!$K$1346)</f>
        <v/>
      </c>
      <c r="AC1343">
        <f>IF([2]Baskol!$L$1346="","",[2]Baskol!$L$1346)</f>
        <v/>
      </c>
      <c r="AD1343">
        <f>IF([2]Baskol!$N$1346="","",[2]Baskol!$N$1346)</f>
        <v/>
      </c>
      <c r="AE1343">
        <f>IF([2]Baskol!$O$1346="","",[2]Baskol!$O$1346)</f>
        <v/>
      </c>
      <c r="AG1343">
        <f>IF([3]Entry!$C$1346="","",[3]Entry!$C$1346)</f>
        <v/>
      </c>
      <c r="AH1343">
        <f>IF([3]Entry!$D$1346="","",[3]Entry!$D$1346)</f>
        <v/>
      </c>
      <c r="AI1343">
        <f>IF([3]Entry!$E$1346="","",[3]Entry!$E$1346)</f>
        <v/>
      </c>
      <c r="AJ1343">
        <f>IF([3]Entry!$G$1346="","",[3]Entry!$G$1346)</f>
        <v/>
      </c>
      <c r="AK1343">
        <f>IF([3]Entry!$K$1346="","",[3]Entry!$K$1346)</f>
        <v/>
      </c>
      <c r="AL1343">
        <f>IF([3]Entry!$L$1346="","",[3]Entry!$L$1346)</f>
        <v/>
      </c>
      <c r="AM1343">
        <f>IF([3]Entry!$M$1346="","",[3]Entry!$M$1346)</f>
        <v/>
      </c>
      <c r="AN1343">
        <f>IF([3]Entry!$N$1346="","",[3]Entry!$N$1346)</f>
        <v/>
      </c>
      <c r="AO1343">
        <f>IF([3]Entry!$R$1346="","",[3]Entry!$R$1346)</f>
        <v/>
      </c>
    </row>
    <row r="1344">
      <c r="U1344">
        <f>IF([2]Baskol!$B$1347="","",[2]Baskol!$B$1347)</f>
        <v/>
      </c>
      <c r="V1344">
        <f>IF([2]Baskol!$C$1347="","",[2]Baskol!$C$1347)</f>
        <v/>
      </c>
      <c r="W1344">
        <f>IF([2]Baskol!$D$1347="","",[2]Baskol!$D$1347)</f>
        <v/>
      </c>
      <c r="X1344">
        <f>IF([2]Baskol!$E$1347="","",[2]Baskol!$E$1347)</f>
        <v/>
      </c>
      <c r="Y1344">
        <f>IF([2]Baskol!$G$1347="","",[2]Baskol!$G$1347)</f>
        <v/>
      </c>
      <c r="Z1344">
        <f>IF([2]Baskol!$I$1347="","",[2]Baskol!$I$1347)</f>
        <v/>
      </c>
      <c r="AA1344">
        <f>IF([2]Baskol!$J$1347="","",[2]Baskol!$J$1347)</f>
        <v/>
      </c>
      <c r="AB1344">
        <f>IF([2]Baskol!$K$1347="","",[2]Baskol!$K$1347)</f>
        <v/>
      </c>
      <c r="AC1344">
        <f>IF([2]Baskol!$L$1347="","",[2]Baskol!$L$1347)</f>
        <v/>
      </c>
      <c r="AD1344">
        <f>IF([2]Baskol!$N$1347="","",[2]Baskol!$N$1347)</f>
        <v/>
      </c>
      <c r="AE1344">
        <f>IF([2]Baskol!$O$1347="","",[2]Baskol!$O$1347)</f>
        <v/>
      </c>
      <c r="AG1344">
        <f>IF([3]Entry!$C$1347="","",[3]Entry!$C$1347)</f>
        <v/>
      </c>
      <c r="AH1344">
        <f>IF([3]Entry!$D$1347="","",[3]Entry!$D$1347)</f>
        <v/>
      </c>
      <c r="AI1344">
        <f>IF([3]Entry!$E$1347="","",[3]Entry!$E$1347)</f>
        <v/>
      </c>
      <c r="AJ1344">
        <f>IF([3]Entry!$G$1347="","",[3]Entry!$G$1347)</f>
        <v/>
      </c>
      <c r="AK1344">
        <f>IF([3]Entry!$K$1347="","",[3]Entry!$K$1347)</f>
        <v/>
      </c>
      <c r="AL1344">
        <f>IF([3]Entry!$L$1347="","",[3]Entry!$L$1347)</f>
        <v/>
      </c>
      <c r="AM1344">
        <f>IF([3]Entry!$M$1347="","",[3]Entry!$M$1347)</f>
        <v/>
      </c>
      <c r="AN1344">
        <f>IF([3]Entry!$N$1347="","",[3]Entry!$N$1347)</f>
        <v/>
      </c>
      <c r="AO1344">
        <f>IF([3]Entry!$R$1347="","",[3]Entry!$R$1347)</f>
        <v/>
      </c>
    </row>
    <row r="1345">
      <c r="U1345">
        <f>IF([2]Baskol!$B$1348="","",[2]Baskol!$B$1348)</f>
        <v/>
      </c>
      <c r="V1345">
        <f>IF([2]Baskol!$C$1348="","",[2]Baskol!$C$1348)</f>
        <v/>
      </c>
      <c r="W1345">
        <f>IF([2]Baskol!$D$1348="","",[2]Baskol!$D$1348)</f>
        <v/>
      </c>
      <c r="X1345">
        <f>IF([2]Baskol!$E$1348="","",[2]Baskol!$E$1348)</f>
        <v/>
      </c>
      <c r="Y1345">
        <f>IF([2]Baskol!$G$1348="","",[2]Baskol!$G$1348)</f>
        <v/>
      </c>
      <c r="Z1345">
        <f>IF([2]Baskol!$I$1348="","",[2]Baskol!$I$1348)</f>
        <v/>
      </c>
      <c r="AA1345">
        <f>IF([2]Baskol!$J$1348="","",[2]Baskol!$J$1348)</f>
        <v/>
      </c>
      <c r="AB1345">
        <f>IF([2]Baskol!$K$1348="","",[2]Baskol!$K$1348)</f>
        <v/>
      </c>
      <c r="AC1345">
        <f>IF([2]Baskol!$L$1348="","",[2]Baskol!$L$1348)</f>
        <v/>
      </c>
      <c r="AD1345">
        <f>IF([2]Baskol!$N$1348="","",[2]Baskol!$N$1348)</f>
        <v/>
      </c>
      <c r="AE1345">
        <f>IF([2]Baskol!$O$1348="","",[2]Baskol!$O$1348)</f>
        <v/>
      </c>
      <c r="AG1345">
        <f>IF([3]Entry!$C$1348="","",[3]Entry!$C$1348)</f>
        <v/>
      </c>
      <c r="AH1345">
        <f>IF([3]Entry!$D$1348="","",[3]Entry!$D$1348)</f>
        <v/>
      </c>
      <c r="AI1345">
        <f>IF([3]Entry!$E$1348="","",[3]Entry!$E$1348)</f>
        <v/>
      </c>
      <c r="AJ1345">
        <f>IF([3]Entry!$G$1348="","",[3]Entry!$G$1348)</f>
        <v/>
      </c>
      <c r="AK1345">
        <f>IF([3]Entry!$K$1348="","",[3]Entry!$K$1348)</f>
        <v/>
      </c>
      <c r="AL1345">
        <f>IF([3]Entry!$L$1348="","",[3]Entry!$L$1348)</f>
        <v/>
      </c>
      <c r="AM1345">
        <f>IF([3]Entry!$M$1348="","",[3]Entry!$M$1348)</f>
        <v/>
      </c>
      <c r="AN1345">
        <f>IF([3]Entry!$N$1348="","",[3]Entry!$N$1348)</f>
        <v/>
      </c>
      <c r="AO1345">
        <f>IF([3]Entry!$R$1348="","",[3]Entry!$R$1348)</f>
        <v/>
      </c>
    </row>
    <row r="1346">
      <c r="U1346">
        <f>IF([2]Baskol!$B$1349="","",[2]Baskol!$B$1349)</f>
        <v/>
      </c>
      <c r="V1346">
        <f>IF([2]Baskol!$C$1349="","",[2]Baskol!$C$1349)</f>
        <v/>
      </c>
      <c r="W1346">
        <f>IF([2]Baskol!$D$1349="","",[2]Baskol!$D$1349)</f>
        <v/>
      </c>
      <c r="X1346">
        <f>IF([2]Baskol!$E$1349="","",[2]Baskol!$E$1349)</f>
        <v/>
      </c>
      <c r="Y1346">
        <f>IF([2]Baskol!$G$1349="","",[2]Baskol!$G$1349)</f>
        <v/>
      </c>
      <c r="Z1346">
        <f>IF([2]Baskol!$I$1349="","",[2]Baskol!$I$1349)</f>
        <v/>
      </c>
      <c r="AA1346">
        <f>IF([2]Baskol!$J$1349="","",[2]Baskol!$J$1349)</f>
        <v/>
      </c>
      <c r="AB1346">
        <f>IF([2]Baskol!$K$1349="","",[2]Baskol!$K$1349)</f>
        <v/>
      </c>
      <c r="AC1346">
        <f>IF([2]Baskol!$L$1349="","",[2]Baskol!$L$1349)</f>
        <v/>
      </c>
      <c r="AD1346">
        <f>IF([2]Baskol!$N$1349="","",[2]Baskol!$N$1349)</f>
        <v/>
      </c>
      <c r="AE1346">
        <f>IF([2]Baskol!$O$1349="","",[2]Baskol!$O$1349)</f>
        <v/>
      </c>
      <c r="AG1346">
        <f>IF([3]Entry!$C$1349="","",[3]Entry!$C$1349)</f>
        <v/>
      </c>
      <c r="AH1346">
        <f>IF([3]Entry!$D$1349="","",[3]Entry!$D$1349)</f>
        <v/>
      </c>
      <c r="AI1346">
        <f>IF([3]Entry!$E$1349="","",[3]Entry!$E$1349)</f>
        <v/>
      </c>
      <c r="AJ1346">
        <f>IF([3]Entry!$G$1349="","",[3]Entry!$G$1349)</f>
        <v/>
      </c>
      <c r="AK1346">
        <f>IF([3]Entry!$K$1349="","",[3]Entry!$K$1349)</f>
        <v/>
      </c>
      <c r="AL1346">
        <f>IF([3]Entry!$L$1349="","",[3]Entry!$L$1349)</f>
        <v/>
      </c>
      <c r="AM1346">
        <f>IF([3]Entry!$M$1349="","",[3]Entry!$M$1349)</f>
        <v/>
      </c>
      <c r="AN1346">
        <f>IF([3]Entry!$N$1349="","",[3]Entry!$N$1349)</f>
        <v/>
      </c>
      <c r="AO1346">
        <f>IF([3]Entry!$R$1349="","",[3]Entry!$R$1349)</f>
        <v/>
      </c>
    </row>
    <row r="1347">
      <c r="U1347">
        <f>IF([2]Baskol!$B$1350="","",[2]Baskol!$B$1350)</f>
        <v/>
      </c>
      <c r="V1347">
        <f>IF([2]Baskol!$C$1350="","",[2]Baskol!$C$1350)</f>
        <v/>
      </c>
      <c r="W1347">
        <f>IF([2]Baskol!$D$1350="","",[2]Baskol!$D$1350)</f>
        <v/>
      </c>
      <c r="X1347">
        <f>IF([2]Baskol!$E$1350="","",[2]Baskol!$E$1350)</f>
        <v/>
      </c>
      <c r="Y1347">
        <f>IF([2]Baskol!$G$1350="","",[2]Baskol!$G$1350)</f>
        <v/>
      </c>
      <c r="Z1347">
        <f>IF([2]Baskol!$I$1350="","",[2]Baskol!$I$1350)</f>
        <v/>
      </c>
      <c r="AA1347">
        <f>IF([2]Baskol!$J$1350="","",[2]Baskol!$J$1350)</f>
        <v/>
      </c>
      <c r="AB1347">
        <f>IF([2]Baskol!$K$1350="","",[2]Baskol!$K$1350)</f>
        <v/>
      </c>
      <c r="AC1347">
        <f>IF([2]Baskol!$L$1350="","",[2]Baskol!$L$1350)</f>
        <v/>
      </c>
      <c r="AD1347">
        <f>IF([2]Baskol!$N$1350="","",[2]Baskol!$N$1350)</f>
        <v/>
      </c>
      <c r="AE1347">
        <f>IF([2]Baskol!$O$1350="","",[2]Baskol!$O$1350)</f>
        <v/>
      </c>
      <c r="AG1347">
        <f>IF([3]Entry!$C$1350="","",[3]Entry!$C$1350)</f>
        <v/>
      </c>
      <c r="AH1347">
        <f>IF([3]Entry!$D$1350="","",[3]Entry!$D$1350)</f>
        <v/>
      </c>
      <c r="AI1347">
        <f>IF([3]Entry!$E$1350="","",[3]Entry!$E$1350)</f>
        <v/>
      </c>
      <c r="AJ1347">
        <f>IF([3]Entry!$G$1350="","",[3]Entry!$G$1350)</f>
        <v/>
      </c>
      <c r="AK1347">
        <f>IF([3]Entry!$K$1350="","",[3]Entry!$K$1350)</f>
        <v/>
      </c>
      <c r="AL1347">
        <f>IF([3]Entry!$L$1350="","",[3]Entry!$L$1350)</f>
        <v/>
      </c>
      <c r="AM1347">
        <f>IF([3]Entry!$M$1350="","",[3]Entry!$M$1350)</f>
        <v/>
      </c>
      <c r="AN1347">
        <f>IF([3]Entry!$N$1350="","",[3]Entry!$N$1350)</f>
        <v/>
      </c>
      <c r="AO1347">
        <f>IF([3]Entry!$R$1350="","",[3]Entry!$R$1350)</f>
        <v/>
      </c>
    </row>
    <row r="1348">
      <c r="U1348">
        <f>IF([2]Baskol!$B$1351="","",[2]Baskol!$B$1351)</f>
        <v/>
      </c>
      <c r="V1348">
        <f>IF([2]Baskol!$C$1351="","",[2]Baskol!$C$1351)</f>
        <v/>
      </c>
      <c r="W1348">
        <f>IF([2]Baskol!$D$1351="","",[2]Baskol!$D$1351)</f>
        <v/>
      </c>
      <c r="X1348">
        <f>IF([2]Baskol!$E$1351="","",[2]Baskol!$E$1351)</f>
        <v/>
      </c>
      <c r="Y1348">
        <f>IF([2]Baskol!$G$1351="","",[2]Baskol!$G$1351)</f>
        <v/>
      </c>
      <c r="Z1348">
        <f>IF([2]Baskol!$I$1351="","",[2]Baskol!$I$1351)</f>
        <v/>
      </c>
      <c r="AA1348">
        <f>IF([2]Baskol!$J$1351="","",[2]Baskol!$J$1351)</f>
        <v/>
      </c>
      <c r="AB1348">
        <f>IF([2]Baskol!$K$1351="","",[2]Baskol!$K$1351)</f>
        <v/>
      </c>
      <c r="AC1348">
        <f>IF([2]Baskol!$L$1351="","",[2]Baskol!$L$1351)</f>
        <v/>
      </c>
      <c r="AD1348">
        <f>IF([2]Baskol!$N$1351="","",[2]Baskol!$N$1351)</f>
        <v/>
      </c>
      <c r="AE1348">
        <f>IF([2]Baskol!$O$1351="","",[2]Baskol!$O$1351)</f>
        <v/>
      </c>
      <c r="AG1348">
        <f>IF([3]Entry!$C$1351="","",[3]Entry!$C$1351)</f>
        <v/>
      </c>
      <c r="AH1348">
        <f>IF([3]Entry!$D$1351="","",[3]Entry!$D$1351)</f>
        <v/>
      </c>
      <c r="AI1348">
        <f>IF([3]Entry!$E$1351="","",[3]Entry!$E$1351)</f>
        <v/>
      </c>
      <c r="AJ1348">
        <f>IF([3]Entry!$G$1351="","",[3]Entry!$G$1351)</f>
        <v/>
      </c>
      <c r="AK1348">
        <f>IF([3]Entry!$K$1351="","",[3]Entry!$K$1351)</f>
        <v/>
      </c>
      <c r="AL1348">
        <f>IF([3]Entry!$L$1351="","",[3]Entry!$L$1351)</f>
        <v/>
      </c>
      <c r="AM1348">
        <f>IF([3]Entry!$M$1351="","",[3]Entry!$M$1351)</f>
        <v/>
      </c>
      <c r="AN1348">
        <f>IF([3]Entry!$N$1351="","",[3]Entry!$N$1351)</f>
        <v/>
      </c>
      <c r="AO1348">
        <f>IF([3]Entry!$R$1351="","",[3]Entry!$R$1351)</f>
        <v/>
      </c>
    </row>
    <row r="1349">
      <c r="U1349">
        <f>IF([2]Baskol!$B$1352="","",[2]Baskol!$B$1352)</f>
        <v/>
      </c>
      <c r="V1349">
        <f>IF([2]Baskol!$C$1352="","",[2]Baskol!$C$1352)</f>
        <v/>
      </c>
      <c r="W1349">
        <f>IF([2]Baskol!$D$1352="","",[2]Baskol!$D$1352)</f>
        <v/>
      </c>
      <c r="X1349">
        <f>IF([2]Baskol!$E$1352="","",[2]Baskol!$E$1352)</f>
        <v/>
      </c>
      <c r="Y1349">
        <f>IF([2]Baskol!$G$1352="","",[2]Baskol!$G$1352)</f>
        <v/>
      </c>
      <c r="Z1349">
        <f>IF([2]Baskol!$I$1352="","",[2]Baskol!$I$1352)</f>
        <v/>
      </c>
      <c r="AA1349">
        <f>IF([2]Baskol!$J$1352="","",[2]Baskol!$J$1352)</f>
        <v/>
      </c>
      <c r="AB1349">
        <f>IF([2]Baskol!$K$1352="","",[2]Baskol!$K$1352)</f>
        <v/>
      </c>
      <c r="AC1349">
        <f>IF([2]Baskol!$L$1352="","",[2]Baskol!$L$1352)</f>
        <v/>
      </c>
      <c r="AD1349">
        <f>IF([2]Baskol!$N$1352="","",[2]Baskol!$N$1352)</f>
        <v/>
      </c>
      <c r="AE1349">
        <f>IF([2]Baskol!$O$1352="","",[2]Baskol!$O$1352)</f>
        <v/>
      </c>
      <c r="AG1349">
        <f>IF([3]Entry!$C$1352="","",[3]Entry!$C$1352)</f>
        <v/>
      </c>
      <c r="AH1349">
        <f>IF([3]Entry!$D$1352="","",[3]Entry!$D$1352)</f>
        <v/>
      </c>
      <c r="AI1349">
        <f>IF([3]Entry!$E$1352="","",[3]Entry!$E$1352)</f>
        <v/>
      </c>
      <c r="AJ1349">
        <f>IF([3]Entry!$G$1352="","",[3]Entry!$G$1352)</f>
        <v/>
      </c>
      <c r="AK1349">
        <f>IF([3]Entry!$K$1352="","",[3]Entry!$K$1352)</f>
        <v/>
      </c>
      <c r="AL1349">
        <f>IF([3]Entry!$L$1352="","",[3]Entry!$L$1352)</f>
        <v/>
      </c>
      <c r="AM1349">
        <f>IF([3]Entry!$M$1352="","",[3]Entry!$M$1352)</f>
        <v/>
      </c>
      <c r="AN1349">
        <f>IF([3]Entry!$N$1352="","",[3]Entry!$N$1352)</f>
        <v/>
      </c>
      <c r="AO1349">
        <f>IF([3]Entry!$R$1352="","",[3]Entry!$R$1352)</f>
        <v/>
      </c>
    </row>
    <row r="1350">
      <c r="U1350">
        <f>IF([2]Baskol!$B$1353="","",[2]Baskol!$B$1353)</f>
        <v/>
      </c>
      <c r="V1350">
        <f>IF([2]Baskol!$C$1353="","",[2]Baskol!$C$1353)</f>
        <v/>
      </c>
      <c r="W1350">
        <f>IF([2]Baskol!$D$1353="","",[2]Baskol!$D$1353)</f>
        <v/>
      </c>
      <c r="X1350">
        <f>IF([2]Baskol!$E$1353="","",[2]Baskol!$E$1353)</f>
        <v/>
      </c>
      <c r="Y1350">
        <f>IF([2]Baskol!$G$1353="","",[2]Baskol!$G$1353)</f>
        <v/>
      </c>
      <c r="Z1350">
        <f>IF([2]Baskol!$I$1353="","",[2]Baskol!$I$1353)</f>
        <v/>
      </c>
      <c r="AA1350">
        <f>IF([2]Baskol!$J$1353="","",[2]Baskol!$J$1353)</f>
        <v/>
      </c>
      <c r="AB1350">
        <f>IF([2]Baskol!$K$1353="","",[2]Baskol!$K$1353)</f>
        <v/>
      </c>
      <c r="AC1350">
        <f>IF([2]Baskol!$L$1353="","",[2]Baskol!$L$1353)</f>
        <v/>
      </c>
      <c r="AD1350">
        <f>IF([2]Baskol!$N$1353="","",[2]Baskol!$N$1353)</f>
        <v/>
      </c>
      <c r="AE1350">
        <f>IF([2]Baskol!$O$1353="","",[2]Baskol!$O$1353)</f>
        <v/>
      </c>
      <c r="AG1350">
        <f>IF([3]Entry!$C$1353="","",[3]Entry!$C$1353)</f>
        <v/>
      </c>
      <c r="AH1350">
        <f>IF([3]Entry!$D$1353="","",[3]Entry!$D$1353)</f>
        <v/>
      </c>
      <c r="AI1350">
        <f>IF([3]Entry!$E$1353="","",[3]Entry!$E$1353)</f>
        <v/>
      </c>
      <c r="AJ1350">
        <f>IF([3]Entry!$G$1353="","",[3]Entry!$G$1353)</f>
        <v/>
      </c>
      <c r="AK1350">
        <f>IF([3]Entry!$K$1353="","",[3]Entry!$K$1353)</f>
        <v/>
      </c>
      <c r="AL1350">
        <f>IF([3]Entry!$L$1353="","",[3]Entry!$L$1353)</f>
        <v/>
      </c>
      <c r="AM1350">
        <f>IF([3]Entry!$M$1353="","",[3]Entry!$M$1353)</f>
        <v/>
      </c>
      <c r="AN1350">
        <f>IF([3]Entry!$N$1353="","",[3]Entry!$N$1353)</f>
        <v/>
      </c>
      <c r="AO1350">
        <f>IF([3]Entry!$R$1353="","",[3]Entry!$R$1353)</f>
        <v/>
      </c>
    </row>
    <row r="1351">
      <c r="U1351">
        <f>IF([2]Baskol!$B$1354="","",[2]Baskol!$B$1354)</f>
        <v/>
      </c>
      <c r="V1351">
        <f>IF([2]Baskol!$C$1354="","",[2]Baskol!$C$1354)</f>
        <v/>
      </c>
      <c r="W1351">
        <f>IF([2]Baskol!$D$1354="","",[2]Baskol!$D$1354)</f>
        <v/>
      </c>
      <c r="X1351">
        <f>IF([2]Baskol!$E$1354="","",[2]Baskol!$E$1354)</f>
        <v/>
      </c>
      <c r="Y1351">
        <f>IF([2]Baskol!$G$1354="","",[2]Baskol!$G$1354)</f>
        <v/>
      </c>
      <c r="Z1351">
        <f>IF([2]Baskol!$I$1354="","",[2]Baskol!$I$1354)</f>
        <v/>
      </c>
      <c r="AA1351">
        <f>IF([2]Baskol!$J$1354="","",[2]Baskol!$J$1354)</f>
        <v/>
      </c>
      <c r="AB1351">
        <f>IF([2]Baskol!$K$1354="","",[2]Baskol!$K$1354)</f>
        <v/>
      </c>
      <c r="AC1351">
        <f>IF([2]Baskol!$L$1354="","",[2]Baskol!$L$1354)</f>
        <v/>
      </c>
      <c r="AD1351">
        <f>IF([2]Baskol!$N$1354="","",[2]Baskol!$N$1354)</f>
        <v/>
      </c>
      <c r="AE1351">
        <f>IF([2]Baskol!$O$1354="","",[2]Baskol!$O$1354)</f>
        <v/>
      </c>
      <c r="AG1351">
        <f>IF([3]Entry!$C$1354="","",[3]Entry!$C$1354)</f>
        <v/>
      </c>
      <c r="AH1351">
        <f>IF([3]Entry!$D$1354="","",[3]Entry!$D$1354)</f>
        <v/>
      </c>
      <c r="AI1351">
        <f>IF([3]Entry!$E$1354="","",[3]Entry!$E$1354)</f>
        <v/>
      </c>
      <c r="AJ1351">
        <f>IF([3]Entry!$G$1354="","",[3]Entry!$G$1354)</f>
        <v/>
      </c>
      <c r="AK1351">
        <f>IF([3]Entry!$K$1354="","",[3]Entry!$K$1354)</f>
        <v/>
      </c>
      <c r="AL1351">
        <f>IF([3]Entry!$L$1354="","",[3]Entry!$L$1354)</f>
        <v/>
      </c>
      <c r="AM1351">
        <f>IF([3]Entry!$M$1354="","",[3]Entry!$M$1354)</f>
        <v/>
      </c>
      <c r="AN1351">
        <f>IF([3]Entry!$N$1354="","",[3]Entry!$N$1354)</f>
        <v/>
      </c>
      <c r="AO1351">
        <f>IF([3]Entry!$R$1354="","",[3]Entry!$R$1354)</f>
        <v/>
      </c>
    </row>
    <row r="1352">
      <c r="U1352">
        <f>IF([2]Baskol!$B$1355="","",[2]Baskol!$B$1355)</f>
        <v/>
      </c>
      <c r="V1352">
        <f>IF([2]Baskol!$C$1355="","",[2]Baskol!$C$1355)</f>
        <v/>
      </c>
      <c r="W1352">
        <f>IF([2]Baskol!$D$1355="","",[2]Baskol!$D$1355)</f>
        <v/>
      </c>
      <c r="X1352">
        <f>IF([2]Baskol!$E$1355="","",[2]Baskol!$E$1355)</f>
        <v/>
      </c>
      <c r="Y1352">
        <f>IF([2]Baskol!$G$1355="","",[2]Baskol!$G$1355)</f>
        <v/>
      </c>
      <c r="Z1352">
        <f>IF([2]Baskol!$I$1355="","",[2]Baskol!$I$1355)</f>
        <v/>
      </c>
      <c r="AA1352">
        <f>IF([2]Baskol!$J$1355="","",[2]Baskol!$J$1355)</f>
        <v/>
      </c>
      <c r="AB1352">
        <f>IF([2]Baskol!$K$1355="","",[2]Baskol!$K$1355)</f>
        <v/>
      </c>
      <c r="AC1352">
        <f>IF([2]Baskol!$L$1355="","",[2]Baskol!$L$1355)</f>
        <v/>
      </c>
      <c r="AD1352">
        <f>IF([2]Baskol!$N$1355="","",[2]Baskol!$N$1355)</f>
        <v/>
      </c>
      <c r="AE1352">
        <f>IF([2]Baskol!$O$1355="","",[2]Baskol!$O$1355)</f>
        <v/>
      </c>
      <c r="AG1352">
        <f>IF([3]Entry!$C$1355="","",[3]Entry!$C$1355)</f>
        <v/>
      </c>
      <c r="AH1352">
        <f>IF([3]Entry!$D$1355="","",[3]Entry!$D$1355)</f>
        <v/>
      </c>
      <c r="AI1352">
        <f>IF([3]Entry!$E$1355="","",[3]Entry!$E$1355)</f>
        <v/>
      </c>
      <c r="AJ1352">
        <f>IF([3]Entry!$G$1355="","",[3]Entry!$G$1355)</f>
        <v/>
      </c>
      <c r="AK1352">
        <f>IF([3]Entry!$K$1355="","",[3]Entry!$K$1355)</f>
        <v/>
      </c>
      <c r="AL1352">
        <f>IF([3]Entry!$L$1355="","",[3]Entry!$L$1355)</f>
        <v/>
      </c>
      <c r="AM1352">
        <f>IF([3]Entry!$M$1355="","",[3]Entry!$M$1355)</f>
        <v/>
      </c>
      <c r="AN1352">
        <f>IF([3]Entry!$N$1355="","",[3]Entry!$N$1355)</f>
        <v/>
      </c>
      <c r="AO1352">
        <f>IF([3]Entry!$R$1355="","",[3]Entry!$R$1355)</f>
        <v/>
      </c>
    </row>
    <row r="1353">
      <c r="U1353">
        <f>IF([2]Baskol!$B$1356="","",[2]Baskol!$B$1356)</f>
        <v/>
      </c>
      <c r="V1353">
        <f>IF([2]Baskol!$C$1356="","",[2]Baskol!$C$1356)</f>
        <v/>
      </c>
      <c r="W1353">
        <f>IF([2]Baskol!$D$1356="","",[2]Baskol!$D$1356)</f>
        <v/>
      </c>
      <c r="X1353">
        <f>IF([2]Baskol!$E$1356="","",[2]Baskol!$E$1356)</f>
        <v/>
      </c>
      <c r="Y1353">
        <f>IF([2]Baskol!$G$1356="","",[2]Baskol!$G$1356)</f>
        <v/>
      </c>
      <c r="Z1353">
        <f>IF([2]Baskol!$I$1356="","",[2]Baskol!$I$1356)</f>
        <v/>
      </c>
      <c r="AA1353">
        <f>IF([2]Baskol!$J$1356="","",[2]Baskol!$J$1356)</f>
        <v/>
      </c>
      <c r="AB1353">
        <f>IF([2]Baskol!$K$1356="","",[2]Baskol!$K$1356)</f>
        <v/>
      </c>
      <c r="AC1353">
        <f>IF([2]Baskol!$L$1356="","",[2]Baskol!$L$1356)</f>
        <v/>
      </c>
      <c r="AD1353">
        <f>IF([2]Baskol!$N$1356="","",[2]Baskol!$N$1356)</f>
        <v/>
      </c>
      <c r="AE1353">
        <f>IF([2]Baskol!$O$1356="","",[2]Baskol!$O$1356)</f>
        <v/>
      </c>
      <c r="AG1353">
        <f>IF([3]Entry!$C$1356="","",[3]Entry!$C$1356)</f>
        <v/>
      </c>
      <c r="AH1353">
        <f>IF([3]Entry!$D$1356="","",[3]Entry!$D$1356)</f>
        <v/>
      </c>
      <c r="AI1353">
        <f>IF([3]Entry!$E$1356="","",[3]Entry!$E$1356)</f>
        <v/>
      </c>
      <c r="AJ1353">
        <f>IF([3]Entry!$G$1356="","",[3]Entry!$G$1356)</f>
        <v/>
      </c>
      <c r="AK1353">
        <f>IF([3]Entry!$K$1356="","",[3]Entry!$K$1356)</f>
        <v/>
      </c>
      <c r="AL1353">
        <f>IF([3]Entry!$L$1356="","",[3]Entry!$L$1356)</f>
        <v/>
      </c>
      <c r="AM1353">
        <f>IF([3]Entry!$M$1356="","",[3]Entry!$M$1356)</f>
        <v/>
      </c>
      <c r="AN1353">
        <f>IF([3]Entry!$N$1356="","",[3]Entry!$N$1356)</f>
        <v/>
      </c>
      <c r="AO1353">
        <f>IF([3]Entry!$R$1356="","",[3]Entry!$R$1356)</f>
        <v/>
      </c>
    </row>
    <row r="1354">
      <c r="U1354">
        <f>IF([2]Baskol!$B$1357="","",[2]Baskol!$B$1357)</f>
        <v/>
      </c>
      <c r="V1354">
        <f>IF([2]Baskol!$C$1357="","",[2]Baskol!$C$1357)</f>
        <v/>
      </c>
      <c r="W1354">
        <f>IF([2]Baskol!$D$1357="","",[2]Baskol!$D$1357)</f>
        <v/>
      </c>
      <c r="X1354">
        <f>IF([2]Baskol!$E$1357="","",[2]Baskol!$E$1357)</f>
        <v/>
      </c>
      <c r="Y1354">
        <f>IF([2]Baskol!$G$1357="","",[2]Baskol!$G$1357)</f>
        <v/>
      </c>
      <c r="Z1354">
        <f>IF([2]Baskol!$I$1357="","",[2]Baskol!$I$1357)</f>
        <v/>
      </c>
      <c r="AA1354">
        <f>IF([2]Baskol!$J$1357="","",[2]Baskol!$J$1357)</f>
        <v/>
      </c>
      <c r="AB1354">
        <f>IF([2]Baskol!$K$1357="","",[2]Baskol!$K$1357)</f>
        <v/>
      </c>
      <c r="AC1354">
        <f>IF([2]Baskol!$L$1357="","",[2]Baskol!$L$1357)</f>
        <v/>
      </c>
      <c r="AD1354">
        <f>IF([2]Baskol!$N$1357="","",[2]Baskol!$N$1357)</f>
        <v/>
      </c>
      <c r="AE1354">
        <f>IF([2]Baskol!$O$1357="","",[2]Baskol!$O$1357)</f>
        <v/>
      </c>
      <c r="AG1354">
        <f>IF([3]Entry!$C$1357="","",[3]Entry!$C$1357)</f>
        <v/>
      </c>
      <c r="AH1354">
        <f>IF([3]Entry!$D$1357="","",[3]Entry!$D$1357)</f>
        <v/>
      </c>
      <c r="AI1354">
        <f>IF([3]Entry!$E$1357="","",[3]Entry!$E$1357)</f>
        <v/>
      </c>
      <c r="AJ1354">
        <f>IF([3]Entry!$G$1357="","",[3]Entry!$G$1357)</f>
        <v/>
      </c>
      <c r="AK1354">
        <f>IF([3]Entry!$K$1357="","",[3]Entry!$K$1357)</f>
        <v/>
      </c>
      <c r="AL1354">
        <f>IF([3]Entry!$L$1357="","",[3]Entry!$L$1357)</f>
        <v/>
      </c>
      <c r="AM1354">
        <f>IF([3]Entry!$M$1357="","",[3]Entry!$M$1357)</f>
        <v/>
      </c>
      <c r="AN1354">
        <f>IF([3]Entry!$N$1357="","",[3]Entry!$N$1357)</f>
        <v/>
      </c>
      <c r="AO1354">
        <f>IF([3]Entry!$R$1357="","",[3]Entry!$R$1357)</f>
        <v/>
      </c>
    </row>
    <row r="1355">
      <c r="U1355">
        <f>IF([2]Baskol!$B$1358="","",[2]Baskol!$B$1358)</f>
        <v/>
      </c>
      <c r="V1355">
        <f>IF([2]Baskol!$C$1358="","",[2]Baskol!$C$1358)</f>
        <v/>
      </c>
      <c r="W1355">
        <f>IF([2]Baskol!$D$1358="","",[2]Baskol!$D$1358)</f>
        <v/>
      </c>
      <c r="X1355">
        <f>IF([2]Baskol!$E$1358="","",[2]Baskol!$E$1358)</f>
        <v/>
      </c>
      <c r="Y1355">
        <f>IF([2]Baskol!$G$1358="","",[2]Baskol!$G$1358)</f>
        <v/>
      </c>
      <c r="Z1355">
        <f>IF([2]Baskol!$I$1358="","",[2]Baskol!$I$1358)</f>
        <v/>
      </c>
      <c r="AA1355">
        <f>IF([2]Baskol!$J$1358="","",[2]Baskol!$J$1358)</f>
        <v/>
      </c>
      <c r="AB1355">
        <f>IF([2]Baskol!$K$1358="","",[2]Baskol!$K$1358)</f>
        <v/>
      </c>
      <c r="AC1355">
        <f>IF([2]Baskol!$L$1358="","",[2]Baskol!$L$1358)</f>
        <v/>
      </c>
      <c r="AD1355">
        <f>IF([2]Baskol!$N$1358="","",[2]Baskol!$N$1358)</f>
        <v/>
      </c>
      <c r="AE1355">
        <f>IF([2]Baskol!$O$1358="","",[2]Baskol!$O$1358)</f>
        <v/>
      </c>
      <c r="AG1355">
        <f>IF([3]Entry!$C$1358="","",[3]Entry!$C$1358)</f>
        <v/>
      </c>
      <c r="AH1355">
        <f>IF([3]Entry!$D$1358="","",[3]Entry!$D$1358)</f>
        <v/>
      </c>
      <c r="AI1355">
        <f>IF([3]Entry!$E$1358="","",[3]Entry!$E$1358)</f>
        <v/>
      </c>
      <c r="AJ1355">
        <f>IF([3]Entry!$G$1358="","",[3]Entry!$G$1358)</f>
        <v/>
      </c>
      <c r="AK1355">
        <f>IF([3]Entry!$K$1358="","",[3]Entry!$K$1358)</f>
        <v/>
      </c>
      <c r="AL1355">
        <f>IF([3]Entry!$L$1358="","",[3]Entry!$L$1358)</f>
        <v/>
      </c>
      <c r="AM1355">
        <f>IF([3]Entry!$M$1358="","",[3]Entry!$M$1358)</f>
        <v/>
      </c>
      <c r="AN1355">
        <f>IF([3]Entry!$N$1358="","",[3]Entry!$N$1358)</f>
        <v/>
      </c>
      <c r="AO1355">
        <f>IF([3]Entry!$R$1358="","",[3]Entry!$R$1358)</f>
        <v/>
      </c>
    </row>
    <row r="1356">
      <c r="U1356">
        <f>IF([2]Baskol!$B$1359="","",[2]Baskol!$B$1359)</f>
        <v/>
      </c>
      <c r="V1356">
        <f>IF([2]Baskol!$C$1359="","",[2]Baskol!$C$1359)</f>
        <v/>
      </c>
      <c r="W1356">
        <f>IF([2]Baskol!$D$1359="","",[2]Baskol!$D$1359)</f>
        <v/>
      </c>
      <c r="X1356">
        <f>IF([2]Baskol!$E$1359="","",[2]Baskol!$E$1359)</f>
        <v/>
      </c>
      <c r="Y1356">
        <f>IF([2]Baskol!$G$1359="","",[2]Baskol!$G$1359)</f>
        <v/>
      </c>
      <c r="Z1356">
        <f>IF([2]Baskol!$I$1359="","",[2]Baskol!$I$1359)</f>
        <v/>
      </c>
      <c r="AA1356">
        <f>IF([2]Baskol!$J$1359="","",[2]Baskol!$J$1359)</f>
        <v/>
      </c>
      <c r="AB1356">
        <f>IF([2]Baskol!$K$1359="","",[2]Baskol!$K$1359)</f>
        <v/>
      </c>
      <c r="AC1356">
        <f>IF([2]Baskol!$L$1359="","",[2]Baskol!$L$1359)</f>
        <v/>
      </c>
      <c r="AD1356">
        <f>IF([2]Baskol!$N$1359="","",[2]Baskol!$N$1359)</f>
        <v/>
      </c>
      <c r="AE1356">
        <f>IF([2]Baskol!$O$1359="","",[2]Baskol!$O$1359)</f>
        <v/>
      </c>
      <c r="AG1356">
        <f>IF([3]Entry!$C$1359="","",[3]Entry!$C$1359)</f>
        <v/>
      </c>
      <c r="AH1356">
        <f>IF([3]Entry!$D$1359="","",[3]Entry!$D$1359)</f>
        <v/>
      </c>
      <c r="AI1356">
        <f>IF([3]Entry!$E$1359="","",[3]Entry!$E$1359)</f>
        <v/>
      </c>
      <c r="AJ1356">
        <f>IF([3]Entry!$G$1359="","",[3]Entry!$G$1359)</f>
        <v/>
      </c>
      <c r="AK1356">
        <f>IF([3]Entry!$K$1359="","",[3]Entry!$K$1359)</f>
        <v/>
      </c>
      <c r="AL1356">
        <f>IF([3]Entry!$L$1359="","",[3]Entry!$L$1359)</f>
        <v/>
      </c>
      <c r="AM1356">
        <f>IF([3]Entry!$M$1359="","",[3]Entry!$M$1359)</f>
        <v/>
      </c>
      <c r="AN1356">
        <f>IF([3]Entry!$N$1359="","",[3]Entry!$N$1359)</f>
        <v/>
      </c>
      <c r="AO1356">
        <f>IF([3]Entry!$R$1359="","",[3]Entry!$R$1359)</f>
        <v/>
      </c>
    </row>
    <row r="1357">
      <c r="U1357">
        <f>IF([2]Baskol!$B$1360="","",[2]Baskol!$B$1360)</f>
        <v/>
      </c>
      <c r="V1357">
        <f>IF([2]Baskol!$C$1360="","",[2]Baskol!$C$1360)</f>
        <v/>
      </c>
      <c r="W1357">
        <f>IF([2]Baskol!$D$1360="","",[2]Baskol!$D$1360)</f>
        <v/>
      </c>
      <c r="X1357">
        <f>IF([2]Baskol!$E$1360="","",[2]Baskol!$E$1360)</f>
        <v/>
      </c>
      <c r="Y1357">
        <f>IF([2]Baskol!$G$1360="","",[2]Baskol!$G$1360)</f>
        <v/>
      </c>
      <c r="Z1357">
        <f>IF([2]Baskol!$I$1360="","",[2]Baskol!$I$1360)</f>
        <v/>
      </c>
      <c r="AA1357">
        <f>IF([2]Baskol!$J$1360="","",[2]Baskol!$J$1360)</f>
        <v/>
      </c>
      <c r="AB1357">
        <f>IF([2]Baskol!$K$1360="","",[2]Baskol!$K$1360)</f>
        <v/>
      </c>
      <c r="AC1357">
        <f>IF([2]Baskol!$L$1360="","",[2]Baskol!$L$1360)</f>
        <v/>
      </c>
      <c r="AD1357">
        <f>IF([2]Baskol!$N$1360="","",[2]Baskol!$N$1360)</f>
        <v/>
      </c>
      <c r="AE1357">
        <f>IF([2]Baskol!$O$1360="","",[2]Baskol!$O$1360)</f>
        <v/>
      </c>
      <c r="AG1357">
        <f>IF([3]Entry!$C$1360="","",[3]Entry!$C$1360)</f>
        <v/>
      </c>
      <c r="AH1357">
        <f>IF([3]Entry!$D$1360="","",[3]Entry!$D$1360)</f>
        <v/>
      </c>
      <c r="AI1357">
        <f>IF([3]Entry!$E$1360="","",[3]Entry!$E$1360)</f>
        <v/>
      </c>
      <c r="AJ1357">
        <f>IF([3]Entry!$G$1360="","",[3]Entry!$G$1360)</f>
        <v/>
      </c>
      <c r="AK1357">
        <f>IF([3]Entry!$K$1360="","",[3]Entry!$K$1360)</f>
        <v/>
      </c>
      <c r="AL1357">
        <f>IF([3]Entry!$L$1360="","",[3]Entry!$L$1360)</f>
        <v/>
      </c>
      <c r="AM1357">
        <f>IF([3]Entry!$M$1360="","",[3]Entry!$M$1360)</f>
        <v/>
      </c>
      <c r="AN1357">
        <f>IF([3]Entry!$N$1360="","",[3]Entry!$N$1360)</f>
        <v/>
      </c>
      <c r="AO1357">
        <f>IF([3]Entry!$R$1360="","",[3]Entry!$R$1360)</f>
        <v/>
      </c>
    </row>
    <row r="1358">
      <c r="U1358">
        <f>IF([2]Baskol!$B$1361="","",[2]Baskol!$B$1361)</f>
        <v/>
      </c>
      <c r="V1358">
        <f>IF([2]Baskol!$C$1361="","",[2]Baskol!$C$1361)</f>
        <v/>
      </c>
      <c r="W1358">
        <f>IF([2]Baskol!$D$1361="","",[2]Baskol!$D$1361)</f>
        <v/>
      </c>
      <c r="X1358">
        <f>IF([2]Baskol!$E$1361="","",[2]Baskol!$E$1361)</f>
        <v/>
      </c>
      <c r="Y1358">
        <f>IF([2]Baskol!$G$1361="","",[2]Baskol!$G$1361)</f>
        <v/>
      </c>
      <c r="Z1358">
        <f>IF([2]Baskol!$I$1361="","",[2]Baskol!$I$1361)</f>
        <v/>
      </c>
      <c r="AA1358">
        <f>IF([2]Baskol!$J$1361="","",[2]Baskol!$J$1361)</f>
        <v/>
      </c>
      <c r="AB1358">
        <f>IF([2]Baskol!$K$1361="","",[2]Baskol!$K$1361)</f>
        <v/>
      </c>
      <c r="AC1358">
        <f>IF([2]Baskol!$L$1361="","",[2]Baskol!$L$1361)</f>
        <v/>
      </c>
      <c r="AD1358">
        <f>IF([2]Baskol!$N$1361="","",[2]Baskol!$N$1361)</f>
        <v/>
      </c>
      <c r="AE1358">
        <f>IF([2]Baskol!$O$1361="","",[2]Baskol!$O$1361)</f>
        <v/>
      </c>
      <c r="AG1358">
        <f>IF([3]Entry!$C$1361="","",[3]Entry!$C$1361)</f>
        <v/>
      </c>
      <c r="AH1358">
        <f>IF([3]Entry!$D$1361="","",[3]Entry!$D$1361)</f>
        <v/>
      </c>
      <c r="AI1358">
        <f>IF([3]Entry!$E$1361="","",[3]Entry!$E$1361)</f>
        <v/>
      </c>
      <c r="AJ1358">
        <f>IF([3]Entry!$G$1361="","",[3]Entry!$G$1361)</f>
        <v/>
      </c>
      <c r="AK1358">
        <f>IF([3]Entry!$K$1361="","",[3]Entry!$K$1361)</f>
        <v/>
      </c>
      <c r="AL1358">
        <f>IF([3]Entry!$L$1361="","",[3]Entry!$L$1361)</f>
        <v/>
      </c>
      <c r="AM1358">
        <f>IF([3]Entry!$M$1361="","",[3]Entry!$M$1361)</f>
        <v/>
      </c>
      <c r="AN1358">
        <f>IF([3]Entry!$N$1361="","",[3]Entry!$N$1361)</f>
        <v/>
      </c>
      <c r="AO1358">
        <f>IF([3]Entry!$R$1361="","",[3]Entry!$R$1361)</f>
        <v/>
      </c>
    </row>
    <row r="1359">
      <c r="U1359">
        <f>IF([2]Baskol!$B$1362="","",[2]Baskol!$B$1362)</f>
        <v/>
      </c>
      <c r="V1359">
        <f>IF([2]Baskol!$C$1362="","",[2]Baskol!$C$1362)</f>
        <v/>
      </c>
      <c r="W1359">
        <f>IF([2]Baskol!$D$1362="","",[2]Baskol!$D$1362)</f>
        <v/>
      </c>
      <c r="X1359">
        <f>IF([2]Baskol!$E$1362="","",[2]Baskol!$E$1362)</f>
        <v/>
      </c>
      <c r="Y1359">
        <f>IF([2]Baskol!$G$1362="","",[2]Baskol!$G$1362)</f>
        <v/>
      </c>
      <c r="Z1359">
        <f>IF([2]Baskol!$I$1362="","",[2]Baskol!$I$1362)</f>
        <v/>
      </c>
      <c r="AA1359">
        <f>IF([2]Baskol!$J$1362="","",[2]Baskol!$J$1362)</f>
        <v/>
      </c>
      <c r="AB1359">
        <f>IF([2]Baskol!$K$1362="","",[2]Baskol!$K$1362)</f>
        <v/>
      </c>
      <c r="AC1359">
        <f>IF([2]Baskol!$L$1362="","",[2]Baskol!$L$1362)</f>
        <v/>
      </c>
      <c r="AD1359">
        <f>IF([2]Baskol!$N$1362="","",[2]Baskol!$N$1362)</f>
        <v/>
      </c>
      <c r="AE1359">
        <f>IF([2]Baskol!$O$1362="","",[2]Baskol!$O$1362)</f>
        <v/>
      </c>
      <c r="AG1359">
        <f>IF([3]Entry!$C$1362="","",[3]Entry!$C$1362)</f>
        <v/>
      </c>
      <c r="AH1359">
        <f>IF([3]Entry!$D$1362="","",[3]Entry!$D$1362)</f>
        <v/>
      </c>
      <c r="AI1359">
        <f>IF([3]Entry!$E$1362="","",[3]Entry!$E$1362)</f>
        <v/>
      </c>
      <c r="AJ1359">
        <f>IF([3]Entry!$G$1362="","",[3]Entry!$G$1362)</f>
        <v/>
      </c>
      <c r="AK1359">
        <f>IF([3]Entry!$K$1362="","",[3]Entry!$K$1362)</f>
        <v/>
      </c>
      <c r="AL1359">
        <f>IF([3]Entry!$L$1362="","",[3]Entry!$L$1362)</f>
        <v/>
      </c>
      <c r="AM1359">
        <f>IF([3]Entry!$M$1362="","",[3]Entry!$M$1362)</f>
        <v/>
      </c>
      <c r="AN1359">
        <f>IF([3]Entry!$N$1362="","",[3]Entry!$N$1362)</f>
        <v/>
      </c>
      <c r="AO1359">
        <f>IF([3]Entry!$R$1362="","",[3]Entry!$R$1362)</f>
        <v/>
      </c>
    </row>
    <row r="1360">
      <c r="U1360">
        <f>IF([2]Baskol!$B$1363="","",[2]Baskol!$B$1363)</f>
        <v/>
      </c>
      <c r="V1360">
        <f>IF([2]Baskol!$C$1363="","",[2]Baskol!$C$1363)</f>
        <v/>
      </c>
      <c r="W1360">
        <f>IF([2]Baskol!$D$1363="","",[2]Baskol!$D$1363)</f>
        <v/>
      </c>
      <c r="X1360">
        <f>IF([2]Baskol!$E$1363="","",[2]Baskol!$E$1363)</f>
        <v/>
      </c>
      <c r="Y1360">
        <f>IF([2]Baskol!$G$1363="","",[2]Baskol!$G$1363)</f>
        <v/>
      </c>
      <c r="Z1360">
        <f>IF([2]Baskol!$I$1363="","",[2]Baskol!$I$1363)</f>
        <v/>
      </c>
      <c r="AA1360">
        <f>IF([2]Baskol!$J$1363="","",[2]Baskol!$J$1363)</f>
        <v/>
      </c>
      <c r="AB1360">
        <f>IF([2]Baskol!$K$1363="","",[2]Baskol!$K$1363)</f>
        <v/>
      </c>
      <c r="AC1360">
        <f>IF([2]Baskol!$L$1363="","",[2]Baskol!$L$1363)</f>
        <v/>
      </c>
      <c r="AD1360">
        <f>IF([2]Baskol!$N$1363="","",[2]Baskol!$N$1363)</f>
        <v/>
      </c>
      <c r="AE1360">
        <f>IF([2]Baskol!$O$1363="","",[2]Baskol!$O$1363)</f>
        <v/>
      </c>
      <c r="AG1360">
        <f>IF([3]Entry!$C$1363="","",[3]Entry!$C$1363)</f>
        <v/>
      </c>
      <c r="AH1360">
        <f>IF([3]Entry!$D$1363="","",[3]Entry!$D$1363)</f>
        <v/>
      </c>
      <c r="AI1360">
        <f>IF([3]Entry!$E$1363="","",[3]Entry!$E$1363)</f>
        <v/>
      </c>
      <c r="AJ1360">
        <f>IF([3]Entry!$G$1363="","",[3]Entry!$G$1363)</f>
        <v/>
      </c>
      <c r="AK1360">
        <f>IF([3]Entry!$K$1363="","",[3]Entry!$K$1363)</f>
        <v/>
      </c>
      <c r="AL1360">
        <f>IF([3]Entry!$L$1363="","",[3]Entry!$L$1363)</f>
        <v/>
      </c>
      <c r="AM1360">
        <f>IF([3]Entry!$M$1363="","",[3]Entry!$M$1363)</f>
        <v/>
      </c>
      <c r="AN1360">
        <f>IF([3]Entry!$N$1363="","",[3]Entry!$N$1363)</f>
        <v/>
      </c>
      <c r="AO1360">
        <f>IF([3]Entry!$R$1363="","",[3]Entry!$R$1363)</f>
        <v/>
      </c>
    </row>
    <row r="1361">
      <c r="U1361">
        <f>IF([2]Baskol!$B$1364="","",[2]Baskol!$B$1364)</f>
        <v/>
      </c>
      <c r="V1361">
        <f>IF([2]Baskol!$C$1364="","",[2]Baskol!$C$1364)</f>
        <v/>
      </c>
      <c r="W1361">
        <f>IF([2]Baskol!$D$1364="","",[2]Baskol!$D$1364)</f>
        <v/>
      </c>
      <c r="X1361">
        <f>IF([2]Baskol!$E$1364="","",[2]Baskol!$E$1364)</f>
        <v/>
      </c>
      <c r="Y1361">
        <f>IF([2]Baskol!$G$1364="","",[2]Baskol!$G$1364)</f>
        <v/>
      </c>
      <c r="Z1361">
        <f>IF([2]Baskol!$I$1364="","",[2]Baskol!$I$1364)</f>
        <v/>
      </c>
      <c r="AA1361">
        <f>IF([2]Baskol!$J$1364="","",[2]Baskol!$J$1364)</f>
        <v/>
      </c>
      <c r="AB1361">
        <f>IF([2]Baskol!$K$1364="","",[2]Baskol!$K$1364)</f>
        <v/>
      </c>
      <c r="AC1361">
        <f>IF([2]Baskol!$L$1364="","",[2]Baskol!$L$1364)</f>
        <v/>
      </c>
      <c r="AD1361">
        <f>IF([2]Baskol!$N$1364="","",[2]Baskol!$N$1364)</f>
        <v/>
      </c>
      <c r="AE1361">
        <f>IF([2]Baskol!$O$1364="","",[2]Baskol!$O$1364)</f>
        <v/>
      </c>
      <c r="AG1361">
        <f>IF([3]Entry!$C$1364="","",[3]Entry!$C$1364)</f>
        <v/>
      </c>
      <c r="AH1361">
        <f>IF([3]Entry!$D$1364="","",[3]Entry!$D$1364)</f>
        <v/>
      </c>
      <c r="AI1361">
        <f>IF([3]Entry!$E$1364="","",[3]Entry!$E$1364)</f>
        <v/>
      </c>
      <c r="AJ1361">
        <f>IF([3]Entry!$G$1364="","",[3]Entry!$G$1364)</f>
        <v/>
      </c>
      <c r="AK1361">
        <f>IF([3]Entry!$K$1364="","",[3]Entry!$K$1364)</f>
        <v/>
      </c>
      <c r="AL1361">
        <f>IF([3]Entry!$L$1364="","",[3]Entry!$L$1364)</f>
        <v/>
      </c>
      <c r="AM1361">
        <f>IF([3]Entry!$M$1364="","",[3]Entry!$M$1364)</f>
        <v/>
      </c>
      <c r="AN1361">
        <f>IF([3]Entry!$N$1364="","",[3]Entry!$N$1364)</f>
        <v/>
      </c>
      <c r="AO1361">
        <f>IF([3]Entry!$R$1364="","",[3]Entry!$R$1364)</f>
        <v/>
      </c>
    </row>
    <row r="1362">
      <c r="U1362">
        <f>IF([2]Baskol!$B$1365="","",[2]Baskol!$B$1365)</f>
        <v/>
      </c>
      <c r="V1362">
        <f>IF([2]Baskol!$C$1365="","",[2]Baskol!$C$1365)</f>
        <v/>
      </c>
      <c r="W1362">
        <f>IF([2]Baskol!$D$1365="","",[2]Baskol!$D$1365)</f>
        <v/>
      </c>
      <c r="X1362">
        <f>IF([2]Baskol!$E$1365="","",[2]Baskol!$E$1365)</f>
        <v/>
      </c>
      <c r="Y1362">
        <f>IF([2]Baskol!$G$1365="","",[2]Baskol!$G$1365)</f>
        <v/>
      </c>
      <c r="Z1362">
        <f>IF([2]Baskol!$I$1365="","",[2]Baskol!$I$1365)</f>
        <v/>
      </c>
      <c r="AA1362">
        <f>IF([2]Baskol!$J$1365="","",[2]Baskol!$J$1365)</f>
        <v/>
      </c>
      <c r="AB1362">
        <f>IF([2]Baskol!$K$1365="","",[2]Baskol!$K$1365)</f>
        <v/>
      </c>
      <c r="AC1362">
        <f>IF([2]Baskol!$L$1365="","",[2]Baskol!$L$1365)</f>
        <v/>
      </c>
      <c r="AD1362">
        <f>IF([2]Baskol!$N$1365="","",[2]Baskol!$N$1365)</f>
        <v/>
      </c>
      <c r="AE1362">
        <f>IF([2]Baskol!$O$1365="","",[2]Baskol!$O$1365)</f>
        <v/>
      </c>
      <c r="AG1362">
        <f>IF([3]Entry!$C$1365="","",[3]Entry!$C$1365)</f>
        <v/>
      </c>
      <c r="AH1362">
        <f>IF([3]Entry!$D$1365="","",[3]Entry!$D$1365)</f>
        <v/>
      </c>
      <c r="AI1362">
        <f>IF([3]Entry!$E$1365="","",[3]Entry!$E$1365)</f>
        <v/>
      </c>
      <c r="AJ1362">
        <f>IF([3]Entry!$G$1365="","",[3]Entry!$G$1365)</f>
        <v/>
      </c>
      <c r="AK1362">
        <f>IF([3]Entry!$K$1365="","",[3]Entry!$K$1365)</f>
        <v/>
      </c>
      <c r="AL1362">
        <f>IF([3]Entry!$L$1365="","",[3]Entry!$L$1365)</f>
        <v/>
      </c>
      <c r="AM1362">
        <f>IF([3]Entry!$M$1365="","",[3]Entry!$M$1365)</f>
        <v/>
      </c>
      <c r="AN1362">
        <f>IF([3]Entry!$N$1365="","",[3]Entry!$N$1365)</f>
        <v/>
      </c>
      <c r="AO1362">
        <f>IF([3]Entry!$R$1365="","",[3]Entry!$R$1365)</f>
        <v/>
      </c>
    </row>
    <row r="1363">
      <c r="U1363">
        <f>IF([2]Baskol!$B$1366="","",[2]Baskol!$B$1366)</f>
        <v/>
      </c>
      <c r="V1363">
        <f>IF([2]Baskol!$C$1366="","",[2]Baskol!$C$1366)</f>
        <v/>
      </c>
      <c r="W1363">
        <f>IF([2]Baskol!$D$1366="","",[2]Baskol!$D$1366)</f>
        <v/>
      </c>
      <c r="X1363">
        <f>IF([2]Baskol!$E$1366="","",[2]Baskol!$E$1366)</f>
        <v/>
      </c>
      <c r="Y1363">
        <f>IF([2]Baskol!$G$1366="","",[2]Baskol!$G$1366)</f>
        <v/>
      </c>
      <c r="Z1363">
        <f>IF([2]Baskol!$I$1366="","",[2]Baskol!$I$1366)</f>
        <v/>
      </c>
      <c r="AA1363">
        <f>IF([2]Baskol!$J$1366="","",[2]Baskol!$J$1366)</f>
        <v/>
      </c>
      <c r="AB1363">
        <f>IF([2]Baskol!$K$1366="","",[2]Baskol!$K$1366)</f>
        <v/>
      </c>
      <c r="AC1363">
        <f>IF([2]Baskol!$L$1366="","",[2]Baskol!$L$1366)</f>
        <v/>
      </c>
      <c r="AD1363">
        <f>IF([2]Baskol!$N$1366="","",[2]Baskol!$N$1366)</f>
        <v/>
      </c>
      <c r="AE1363">
        <f>IF([2]Baskol!$O$1366="","",[2]Baskol!$O$1366)</f>
        <v/>
      </c>
      <c r="AG1363">
        <f>IF([3]Entry!$C$1366="","",[3]Entry!$C$1366)</f>
        <v/>
      </c>
      <c r="AH1363">
        <f>IF([3]Entry!$D$1366="","",[3]Entry!$D$1366)</f>
        <v/>
      </c>
      <c r="AI1363">
        <f>IF([3]Entry!$E$1366="","",[3]Entry!$E$1366)</f>
        <v/>
      </c>
      <c r="AJ1363">
        <f>IF([3]Entry!$G$1366="","",[3]Entry!$G$1366)</f>
        <v/>
      </c>
      <c r="AK1363">
        <f>IF([3]Entry!$K$1366="","",[3]Entry!$K$1366)</f>
        <v/>
      </c>
      <c r="AL1363">
        <f>IF([3]Entry!$L$1366="","",[3]Entry!$L$1366)</f>
        <v/>
      </c>
      <c r="AM1363">
        <f>IF([3]Entry!$M$1366="","",[3]Entry!$M$1366)</f>
        <v/>
      </c>
      <c r="AN1363">
        <f>IF([3]Entry!$N$1366="","",[3]Entry!$N$1366)</f>
        <v/>
      </c>
      <c r="AO1363">
        <f>IF([3]Entry!$R$1366="","",[3]Entry!$R$1366)</f>
        <v/>
      </c>
    </row>
    <row r="1364">
      <c r="U1364">
        <f>IF([2]Baskol!$B$1367="","",[2]Baskol!$B$1367)</f>
        <v/>
      </c>
      <c r="V1364">
        <f>IF([2]Baskol!$C$1367="","",[2]Baskol!$C$1367)</f>
        <v/>
      </c>
      <c r="W1364">
        <f>IF([2]Baskol!$D$1367="","",[2]Baskol!$D$1367)</f>
        <v/>
      </c>
      <c r="X1364">
        <f>IF([2]Baskol!$E$1367="","",[2]Baskol!$E$1367)</f>
        <v/>
      </c>
      <c r="Y1364">
        <f>IF([2]Baskol!$G$1367="","",[2]Baskol!$G$1367)</f>
        <v/>
      </c>
      <c r="Z1364">
        <f>IF([2]Baskol!$I$1367="","",[2]Baskol!$I$1367)</f>
        <v/>
      </c>
      <c r="AA1364">
        <f>IF([2]Baskol!$J$1367="","",[2]Baskol!$J$1367)</f>
        <v/>
      </c>
      <c r="AB1364">
        <f>IF([2]Baskol!$K$1367="","",[2]Baskol!$K$1367)</f>
        <v/>
      </c>
      <c r="AC1364">
        <f>IF([2]Baskol!$L$1367="","",[2]Baskol!$L$1367)</f>
        <v/>
      </c>
      <c r="AD1364">
        <f>IF([2]Baskol!$N$1367="","",[2]Baskol!$N$1367)</f>
        <v/>
      </c>
      <c r="AE1364">
        <f>IF([2]Baskol!$O$1367="","",[2]Baskol!$O$1367)</f>
        <v/>
      </c>
      <c r="AG1364">
        <f>IF([3]Entry!$C$1367="","",[3]Entry!$C$1367)</f>
        <v/>
      </c>
      <c r="AH1364">
        <f>IF([3]Entry!$D$1367="","",[3]Entry!$D$1367)</f>
        <v/>
      </c>
      <c r="AI1364">
        <f>IF([3]Entry!$E$1367="","",[3]Entry!$E$1367)</f>
        <v/>
      </c>
      <c r="AJ1364">
        <f>IF([3]Entry!$G$1367="","",[3]Entry!$G$1367)</f>
        <v/>
      </c>
      <c r="AK1364">
        <f>IF([3]Entry!$K$1367="","",[3]Entry!$K$1367)</f>
        <v/>
      </c>
      <c r="AL1364">
        <f>IF([3]Entry!$L$1367="","",[3]Entry!$L$1367)</f>
        <v/>
      </c>
      <c r="AM1364">
        <f>IF([3]Entry!$M$1367="","",[3]Entry!$M$1367)</f>
        <v/>
      </c>
      <c r="AN1364">
        <f>IF([3]Entry!$N$1367="","",[3]Entry!$N$1367)</f>
        <v/>
      </c>
      <c r="AO1364">
        <f>IF([3]Entry!$R$1367="","",[3]Entry!$R$1367)</f>
        <v/>
      </c>
    </row>
    <row r="1365">
      <c r="U1365">
        <f>IF([2]Baskol!$B$1368="","",[2]Baskol!$B$1368)</f>
        <v/>
      </c>
      <c r="V1365">
        <f>IF([2]Baskol!$C$1368="","",[2]Baskol!$C$1368)</f>
        <v/>
      </c>
      <c r="W1365">
        <f>IF([2]Baskol!$D$1368="","",[2]Baskol!$D$1368)</f>
        <v/>
      </c>
      <c r="X1365">
        <f>IF([2]Baskol!$E$1368="","",[2]Baskol!$E$1368)</f>
        <v/>
      </c>
      <c r="Y1365">
        <f>IF([2]Baskol!$G$1368="","",[2]Baskol!$G$1368)</f>
        <v/>
      </c>
      <c r="Z1365">
        <f>IF([2]Baskol!$I$1368="","",[2]Baskol!$I$1368)</f>
        <v/>
      </c>
      <c r="AA1365">
        <f>IF([2]Baskol!$J$1368="","",[2]Baskol!$J$1368)</f>
        <v/>
      </c>
      <c r="AB1365">
        <f>IF([2]Baskol!$K$1368="","",[2]Baskol!$K$1368)</f>
        <v/>
      </c>
      <c r="AC1365">
        <f>IF([2]Baskol!$L$1368="","",[2]Baskol!$L$1368)</f>
        <v/>
      </c>
      <c r="AD1365">
        <f>IF([2]Baskol!$N$1368="","",[2]Baskol!$N$1368)</f>
        <v/>
      </c>
      <c r="AE1365">
        <f>IF([2]Baskol!$O$1368="","",[2]Baskol!$O$1368)</f>
        <v/>
      </c>
      <c r="AG1365">
        <f>IF([3]Entry!$C$1368="","",[3]Entry!$C$1368)</f>
        <v/>
      </c>
      <c r="AH1365">
        <f>IF([3]Entry!$D$1368="","",[3]Entry!$D$1368)</f>
        <v/>
      </c>
      <c r="AI1365">
        <f>IF([3]Entry!$E$1368="","",[3]Entry!$E$1368)</f>
        <v/>
      </c>
      <c r="AJ1365">
        <f>IF([3]Entry!$G$1368="","",[3]Entry!$G$1368)</f>
        <v/>
      </c>
      <c r="AK1365">
        <f>IF([3]Entry!$K$1368="","",[3]Entry!$K$1368)</f>
        <v/>
      </c>
      <c r="AL1365">
        <f>IF([3]Entry!$L$1368="","",[3]Entry!$L$1368)</f>
        <v/>
      </c>
      <c r="AM1365">
        <f>IF([3]Entry!$M$1368="","",[3]Entry!$M$1368)</f>
        <v/>
      </c>
      <c r="AN1365">
        <f>IF([3]Entry!$N$1368="","",[3]Entry!$N$1368)</f>
        <v/>
      </c>
      <c r="AO1365">
        <f>IF([3]Entry!$R$1368="","",[3]Entry!$R$1368)</f>
        <v/>
      </c>
    </row>
    <row r="1366">
      <c r="U1366">
        <f>IF([2]Baskol!$B$1369="","",[2]Baskol!$B$1369)</f>
        <v/>
      </c>
      <c r="V1366">
        <f>IF([2]Baskol!$C$1369="","",[2]Baskol!$C$1369)</f>
        <v/>
      </c>
      <c r="W1366">
        <f>IF([2]Baskol!$D$1369="","",[2]Baskol!$D$1369)</f>
        <v/>
      </c>
      <c r="X1366">
        <f>IF([2]Baskol!$E$1369="","",[2]Baskol!$E$1369)</f>
        <v/>
      </c>
      <c r="Y1366">
        <f>IF([2]Baskol!$G$1369="","",[2]Baskol!$G$1369)</f>
        <v/>
      </c>
      <c r="Z1366">
        <f>IF([2]Baskol!$I$1369="","",[2]Baskol!$I$1369)</f>
        <v/>
      </c>
      <c r="AA1366">
        <f>IF([2]Baskol!$J$1369="","",[2]Baskol!$J$1369)</f>
        <v/>
      </c>
      <c r="AB1366">
        <f>IF([2]Baskol!$K$1369="","",[2]Baskol!$K$1369)</f>
        <v/>
      </c>
      <c r="AC1366">
        <f>IF([2]Baskol!$L$1369="","",[2]Baskol!$L$1369)</f>
        <v/>
      </c>
      <c r="AD1366">
        <f>IF([2]Baskol!$N$1369="","",[2]Baskol!$N$1369)</f>
        <v/>
      </c>
      <c r="AE1366">
        <f>IF([2]Baskol!$O$1369="","",[2]Baskol!$O$1369)</f>
        <v/>
      </c>
      <c r="AG1366">
        <f>IF([3]Entry!$C$1369="","",[3]Entry!$C$1369)</f>
        <v/>
      </c>
      <c r="AH1366">
        <f>IF([3]Entry!$D$1369="","",[3]Entry!$D$1369)</f>
        <v/>
      </c>
      <c r="AI1366">
        <f>IF([3]Entry!$E$1369="","",[3]Entry!$E$1369)</f>
        <v/>
      </c>
      <c r="AJ1366">
        <f>IF([3]Entry!$G$1369="","",[3]Entry!$G$1369)</f>
        <v/>
      </c>
      <c r="AK1366">
        <f>IF([3]Entry!$K$1369="","",[3]Entry!$K$1369)</f>
        <v/>
      </c>
      <c r="AL1366">
        <f>IF([3]Entry!$L$1369="","",[3]Entry!$L$1369)</f>
        <v/>
      </c>
      <c r="AM1366">
        <f>IF([3]Entry!$M$1369="","",[3]Entry!$M$1369)</f>
        <v/>
      </c>
      <c r="AN1366">
        <f>IF([3]Entry!$N$1369="","",[3]Entry!$N$1369)</f>
        <v/>
      </c>
      <c r="AO1366">
        <f>IF([3]Entry!$R$1369="","",[3]Entry!$R$1369)</f>
        <v/>
      </c>
    </row>
    <row r="1367">
      <c r="U1367">
        <f>IF([2]Baskol!$B$1370="","",[2]Baskol!$B$1370)</f>
        <v/>
      </c>
      <c r="V1367">
        <f>IF([2]Baskol!$C$1370="","",[2]Baskol!$C$1370)</f>
        <v/>
      </c>
      <c r="W1367">
        <f>IF([2]Baskol!$D$1370="","",[2]Baskol!$D$1370)</f>
        <v/>
      </c>
      <c r="X1367">
        <f>IF([2]Baskol!$E$1370="","",[2]Baskol!$E$1370)</f>
        <v/>
      </c>
      <c r="Y1367">
        <f>IF([2]Baskol!$G$1370="","",[2]Baskol!$G$1370)</f>
        <v/>
      </c>
      <c r="Z1367">
        <f>IF([2]Baskol!$I$1370="","",[2]Baskol!$I$1370)</f>
        <v/>
      </c>
      <c r="AA1367">
        <f>IF([2]Baskol!$J$1370="","",[2]Baskol!$J$1370)</f>
        <v/>
      </c>
      <c r="AB1367">
        <f>IF([2]Baskol!$K$1370="","",[2]Baskol!$K$1370)</f>
        <v/>
      </c>
      <c r="AC1367">
        <f>IF([2]Baskol!$L$1370="","",[2]Baskol!$L$1370)</f>
        <v/>
      </c>
      <c r="AD1367">
        <f>IF([2]Baskol!$N$1370="","",[2]Baskol!$N$1370)</f>
        <v/>
      </c>
      <c r="AE1367">
        <f>IF([2]Baskol!$O$1370="","",[2]Baskol!$O$1370)</f>
        <v/>
      </c>
      <c r="AG1367">
        <f>IF([3]Entry!$C$1370="","",[3]Entry!$C$1370)</f>
        <v/>
      </c>
      <c r="AH1367">
        <f>IF([3]Entry!$D$1370="","",[3]Entry!$D$1370)</f>
        <v/>
      </c>
      <c r="AI1367">
        <f>IF([3]Entry!$E$1370="","",[3]Entry!$E$1370)</f>
        <v/>
      </c>
      <c r="AJ1367">
        <f>IF([3]Entry!$G$1370="","",[3]Entry!$G$1370)</f>
        <v/>
      </c>
      <c r="AK1367">
        <f>IF([3]Entry!$K$1370="","",[3]Entry!$K$1370)</f>
        <v/>
      </c>
      <c r="AL1367">
        <f>IF([3]Entry!$L$1370="","",[3]Entry!$L$1370)</f>
        <v/>
      </c>
      <c r="AM1367">
        <f>IF([3]Entry!$M$1370="","",[3]Entry!$M$1370)</f>
        <v/>
      </c>
      <c r="AN1367">
        <f>IF([3]Entry!$N$1370="","",[3]Entry!$N$1370)</f>
        <v/>
      </c>
      <c r="AO1367">
        <f>IF([3]Entry!$R$1370="","",[3]Entry!$R$1370)</f>
        <v/>
      </c>
    </row>
    <row r="1368">
      <c r="U1368">
        <f>IF([2]Baskol!$B$1371="","",[2]Baskol!$B$1371)</f>
        <v/>
      </c>
      <c r="V1368">
        <f>IF([2]Baskol!$C$1371="","",[2]Baskol!$C$1371)</f>
        <v/>
      </c>
      <c r="W1368">
        <f>IF([2]Baskol!$D$1371="","",[2]Baskol!$D$1371)</f>
        <v/>
      </c>
      <c r="X1368">
        <f>IF([2]Baskol!$E$1371="","",[2]Baskol!$E$1371)</f>
        <v/>
      </c>
      <c r="Y1368">
        <f>IF([2]Baskol!$G$1371="","",[2]Baskol!$G$1371)</f>
        <v/>
      </c>
      <c r="Z1368">
        <f>IF([2]Baskol!$I$1371="","",[2]Baskol!$I$1371)</f>
        <v/>
      </c>
      <c r="AA1368">
        <f>IF([2]Baskol!$J$1371="","",[2]Baskol!$J$1371)</f>
        <v/>
      </c>
      <c r="AB1368">
        <f>IF([2]Baskol!$K$1371="","",[2]Baskol!$K$1371)</f>
        <v/>
      </c>
      <c r="AC1368">
        <f>IF([2]Baskol!$L$1371="","",[2]Baskol!$L$1371)</f>
        <v/>
      </c>
      <c r="AD1368">
        <f>IF([2]Baskol!$N$1371="","",[2]Baskol!$N$1371)</f>
        <v/>
      </c>
      <c r="AE1368">
        <f>IF([2]Baskol!$O$1371="","",[2]Baskol!$O$1371)</f>
        <v/>
      </c>
      <c r="AG1368">
        <f>IF([3]Entry!$C$1371="","",[3]Entry!$C$1371)</f>
        <v/>
      </c>
      <c r="AH1368">
        <f>IF([3]Entry!$D$1371="","",[3]Entry!$D$1371)</f>
        <v/>
      </c>
      <c r="AI1368">
        <f>IF([3]Entry!$E$1371="","",[3]Entry!$E$1371)</f>
        <v/>
      </c>
      <c r="AJ1368">
        <f>IF([3]Entry!$G$1371="","",[3]Entry!$G$1371)</f>
        <v/>
      </c>
      <c r="AK1368">
        <f>IF([3]Entry!$K$1371="","",[3]Entry!$K$1371)</f>
        <v/>
      </c>
      <c r="AL1368">
        <f>IF([3]Entry!$L$1371="","",[3]Entry!$L$1371)</f>
        <v/>
      </c>
      <c r="AM1368">
        <f>IF([3]Entry!$M$1371="","",[3]Entry!$M$1371)</f>
        <v/>
      </c>
      <c r="AN1368">
        <f>IF([3]Entry!$N$1371="","",[3]Entry!$N$1371)</f>
        <v/>
      </c>
      <c r="AO1368">
        <f>IF([3]Entry!$R$1371="","",[3]Entry!$R$1371)</f>
        <v/>
      </c>
    </row>
    <row r="1369">
      <c r="U1369">
        <f>IF([2]Baskol!$B$1372="","",[2]Baskol!$B$1372)</f>
        <v/>
      </c>
      <c r="V1369">
        <f>IF([2]Baskol!$C$1372="","",[2]Baskol!$C$1372)</f>
        <v/>
      </c>
      <c r="W1369">
        <f>IF([2]Baskol!$D$1372="","",[2]Baskol!$D$1372)</f>
        <v/>
      </c>
      <c r="X1369">
        <f>IF([2]Baskol!$E$1372="","",[2]Baskol!$E$1372)</f>
        <v/>
      </c>
      <c r="Y1369">
        <f>IF([2]Baskol!$G$1372="","",[2]Baskol!$G$1372)</f>
        <v/>
      </c>
      <c r="Z1369">
        <f>IF([2]Baskol!$I$1372="","",[2]Baskol!$I$1372)</f>
        <v/>
      </c>
      <c r="AA1369">
        <f>IF([2]Baskol!$J$1372="","",[2]Baskol!$J$1372)</f>
        <v/>
      </c>
      <c r="AB1369">
        <f>IF([2]Baskol!$K$1372="","",[2]Baskol!$K$1372)</f>
        <v/>
      </c>
      <c r="AC1369">
        <f>IF([2]Baskol!$L$1372="","",[2]Baskol!$L$1372)</f>
        <v/>
      </c>
      <c r="AD1369">
        <f>IF([2]Baskol!$N$1372="","",[2]Baskol!$N$1372)</f>
        <v/>
      </c>
      <c r="AE1369">
        <f>IF([2]Baskol!$O$1372="","",[2]Baskol!$O$1372)</f>
        <v/>
      </c>
      <c r="AG1369">
        <f>IF([3]Entry!$C$1372="","",[3]Entry!$C$1372)</f>
        <v/>
      </c>
      <c r="AH1369">
        <f>IF([3]Entry!$D$1372="","",[3]Entry!$D$1372)</f>
        <v/>
      </c>
      <c r="AI1369">
        <f>IF([3]Entry!$E$1372="","",[3]Entry!$E$1372)</f>
        <v/>
      </c>
      <c r="AJ1369">
        <f>IF([3]Entry!$G$1372="","",[3]Entry!$G$1372)</f>
        <v/>
      </c>
      <c r="AK1369">
        <f>IF([3]Entry!$K$1372="","",[3]Entry!$K$1372)</f>
        <v/>
      </c>
      <c r="AL1369">
        <f>IF([3]Entry!$L$1372="","",[3]Entry!$L$1372)</f>
        <v/>
      </c>
      <c r="AM1369">
        <f>IF([3]Entry!$M$1372="","",[3]Entry!$M$1372)</f>
        <v/>
      </c>
      <c r="AN1369">
        <f>IF([3]Entry!$N$1372="","",[3]Entry!$N$1372)</f>
        <v/>
      </c>
      <c r="AO1369">
        <f>IF([3]Entry!$R$1372="","",[3]Entry!$R$1372)</f>
        <v/>
      </c>
    </row>
    <row r="1370">
      <c r="U1370">
        <f>IF([2]Baskol!$B$1373="","",[2]Baskol!$B$1373)</f>
        <v/>
      </c>
      <c r="V1370">
        <f>IF([2]Baskol!$C$1373="","",[2]Baskol!$C$1373)</f>
        <v/>
      </c>
      <c r="W1370">
        <f>IF([2]Baskol!$D$1373="","",[2]Baskol!$D$1373)</f>
        <v/>
      </c>
      <c r="X1370">
        <f>IF([2]Baskol!$E$1373="","",[2]Baskol!$E$1373)</f>
        <v/>
      </c>
      <c r="Y1370">
        <f>IF([2]Baskol!$G$1373="","",[2]Baskol!$G$1373)</f>
        <v/>
      </c>
      <c r="Z1370">
        <f>IF([2]Baskol!$I$1373="","",[2]Baskol!$I$1373)</f>
        <v/>
      </c>
      <c r="AA1370">
        <f>IF([2]Baskol!$J$1373="","",[2]Baskol!$J$1373)</f>
        <v/>
      </c>
      <c r="AB1370">
        <f>IF([2]Baskol!$K$1373="","",[2]Baskol!$K$1373)</f>
        <v/>
      </c>
      <c r="AC1370">
        <f>IF([2]Baskol!$L$1373="","",[2]Baskol!$L$1373)</f>
        <v/>
      </c>
      <c r="AD1370">
        <f>IF([2]Baskol!$N$1373="","",[2]Baskol!$N$1373)</f>
        <v/>
      </c>
      <c r="AE1370">
        <f>IF([2]Baskol!$O$1373="","",[2]Baskol!$O$1373)</f>
        <v/>
      </c>
      <c r="AG1370">
        <f>IF([3]Entry!$C$1373="","",[3]Entry!$C$1373)</f>
        <v/>
      </c>
      <c r="AH1370">
        <f>IF([3]Entry!$D$1373="","",[3]Entry!$D$1373)</f>
        <v/>
      </c>
      <c r="AI1370">
        <f>IF([3]Entry!$E$1373="","",[3]Entry!$E$1373)</f>
        <v/>
      </c>
      <c r="AJ1370">
        <f>IF([3]Entry!$G$1373="","",[3]Entry!$G$1373)</f>
        <v/>
      </c>
      <c r="AK1370">
        <f>IF([3]Entry!$K$1373="","",[3]Entry!$K$1373)</f>
        <v/>
      </c>
      <c r="AL1370">
        <f>IF([3]Entry!$L$1373="","",[3]Entry!$L$1373)</f>
        <v/>
      </c>
      <c r="AM1370">
        <f>IF([3]Entry!$M$1373="","",[3]Entry!$M$1373)</f>
        <v/>
      </c>
      <c r="AN1370">
        <f>IF([3]Entry!$N$1373="","",[3]Entry!$N$1373)</f>
        <v/>
      </c>
      <c r="AO1370">
        <f>IF([3]Entry!$R$1373="","",[3]Entry!$R$1373)</f>
        <v/>
      </c>
    </row>
    <row r="1371">
      <c r="U1371">
        <f>IF([2]Baskol!$B$1374="","",[2]Baskol!$B$1374)</f>
        <v/>
      </c>
      <c r="V1371">
        <f>IF([2]Baskol!$C$1374="","",[2]Baskol!$C$1374)</f>
        <v/>
      </c>
      <c r="W1371">
        <f>IF([2]Baskol!$D$1374="","",[2]Baskol!$D$1374)</f>
        <v/>
      </c>
      <c r="X1371">
        <f>IF([2]Baskol!$E$1374="","",[2]Baskol!$E$1374)</f>
        <v/>
      </c>
      <c r="Y1371">
        <f>IF([2]Baskol!$G$1374="","",[2]Baskol!$G$1374)</f>
        <v/>
      </c>
      <c r="Z1371">
        <f>IF([2]Baskol!$I$1374="","",[2]Baskol!$I$1374)</f>
        <v/>
      </c>
      <c r="AA1371">
        <f>IF([2]Baskol!$J$1374="","",[2]Baskol!$J$1374)</f>
        <v/>
      </c>
      <c r="AB1371">
        <f>IF([2]Baskol!$K$1374="","",[2]Baskol!$K$1374)</f>
        <v/>
      </c>
      <c r="AC1371">
        <f>IF([2]Baskol!$L$1374="","",[2]Baskol!$L$1374)</f>
        <v/>
      </c>
      <c r="AD1371">
        <f>IF([2]Baskol!$N$1374="","",[2]Baskol!$N$1374)</f>
        <v/>
      </c>
      <c r="AE1371">
        <f>IF([2]Baskol!$O$1374="","",[2]Baskol!$O$1374)</f>
        <v/>
      </c>
      <c r="AG1371">
        <f>IF([3]Entry!$C$1374="","",[3]Entry!$C$1374)</f>
        <v/>
      </c>
      <c r="AH1371">
        <f>IF([3]Entry!$D$1374="","",[3]Entry!$D$1374)</f>
        <v/>
      </c>
      <c r="AI1371">
        <f>IF([3]Entry!$E$1374="","",[3]Entry!$E$1374)</f>
        <v/>
      </c>
      <c r="AJ1371">
        <f>IF([3]Entry!$G$1374="","",[3]Entry!$G$1374)</f>
        <v/>
      </c>
      <c r="AK1371">
        <f>IF([3]Entry!$K$1374="","",[3]Entry!$K$1374)</f>
        <v/>
      </c>
      <c r="AL1371">
        <f>IF([3]Entry!$L$1374="","",[3]Entry!$L$1374)</f>
        <v/>
      </c>
      <c r="AM1371">
        <f>IF([3]Entry!$M$1374="","",[3]Entry!$M$1374)</f>
        <v/>
      </c>
      <c r="AN1371">
        <f>IF([3]Entry!$N$1374="","",[3]Entry!$N$1374)</f>
        <v/>
      </c>
      <c r="AO1371">
        <f>IF([3]Entry!$R$1374="","",[3]Entry!$R$1374)</f>
        <v/>
      </c>
    </row>
    <row r="1372">
      <c r="U1372">
        <f>IF([2]Baskol!$B$1375="","",[2]Baskol!$B$1375)</f>
        <v/>
      </c>
      <c r="V1372">
        <f>IF([2]Baskol!$C$1375="","",[2]Baskol!$C$1375)</f>
        <v/>
      </c>
      <c r="W1372">
        <f>IF([2]Baskol!$D$1375="","",[2]Baskol!$D$1375)</f>
        <v/>
      </c>
      <c r="X1372">
        <f>IF([2]Baskol!$E$1375="","",[2]Baskol!$E$1375)</f>
        <v/>
      </c>
      <c r="Y1372">
        <f>IF([2]Baskol!$G$1375="","",[2]Baskol!$G$1375)</f>
        <v/>
      </c>
      <c r="Z1372">
        <f>IF([2]Baskol!$I$1375="","",[2]Baskol!$I$1375)</f>
        <v/>
      </c>
      <c r="AA1372">
        <f>IF([2]Baskol!$J$1375="","",[2]Baskol!$J$1375)</f>
        <v/>
      </c>
      <c r="AB1372">
        <f>IF([2]Baskol!$K$1375="","",[2]Baskol!$K$1375)</f>
        <v/>
      </c>
      <c r="AC1372">
        <f>IF([2]Baskol!$L$1375="","",[2]Baskol!$L$1375)</f>
        <v/>
      </c>
      <c r="AD1372">
        <f>IF([2]Baskol!$N$1375="","",[2]Baskol!$N$1375)</f>
        <v/>
      </c>
      <c r="AE1372">
        <f>IF([2]Baskol!$O$1375="","",[2]Baskol!$O$1375)</f>
        <v/>
      </c>
      <c r="AG1372">
        <f>IF([3]Entry!$C$1375="","",[3]Entry!$C$1375)</f>
        <v/>
      </c>
      <c r="AH1372">
        <f>IF([3]Entry!$D$1375="","",[3]Entry!$D$1375)</f>
        <v/>
      </c>
      <c r="AI1372">
        <f>IF([3]Entry!$E$1375="","",[3]Entry!$E$1375)</f>
        <v/>
      </c>
      <c r="AJ1372">
        <f>IF([3]Entry!$G$1375="","",[3]Entry!$G$1375)</f>
        <v/>
      </c>
      <c r="AK1372">
        <f>IF([3]Entry!$K$1375="","",[3]Entry!$K$1375)</f>
        <v/>
      </c>
      <c r="AL1372">
        <f>IF([3]Entry!$L$1375="","",[3]Entry!$L$1375)</f>
        <v/>
      </c>
      <c r="AM1372">
        <f>IF([3]Entry!$M$1375="","",[3]Entry!$M$1375)</f>
        <v/>
      </c>
      <c r="AN1372">
        <f>IF([3]Entry!$N$1375="","",[3]Entry!$N$1375)</f>
        <v/>
      </c>
      <c r="AO1372">
        <f>IF([3]Entry!$R$1375="","",[3]Entry!$R$1375)</f>
        <v/>
      </c>
    </row>
    <row r="1373">
      <c r="U1373">
        <f>IF([2]Baskol!$B$1376="","",[2]Baskol!$B$1376)</f>
        <v/>
      </c>
      <c r="V1373">
        <f>IF([2]Baskol!$C$1376="","",[2]Baskol!$C$1376)</f>
        <v/>
      </c>
      <c r="W1373">
        <f>IF([2]Baskol!$D$1376="","",[2]Baskol!$D$1376)</f>
        <v/>
      </c>
      <c r="X1373">
        <f>IF([2]Baskol!$E$1376="","",[2]Baskol!$E$1376)</f>
        <v/>
      </c>
      <c r="Y1373">
        <f>IF([2]Baskol!$G$1376="","",[2]Baskol!$G$1376)</f>
        <v/>
      </c>
      <c r="Z1373">
        <f>IF([2]Baskol!$I$1376="","",[2]Baskol!$I$1376)</f>
        <v/>
      </c>
      <c r="AA1373">
        <f>IF([2]Baskol!$J$1376="","",[2]Baskol!$J$1376)</f>
        <v/>
      </c>
      <c r="AB1373">
        <f>IF([2]Baskol!$K$1376="","",[2]Baskol!$K$1376)</f>
        <v/>
      </c>
      <c r="AC1373">
        <f>IF([2]Baskol!$L$1376="","",[2]Baskol!$L$1376)</f>
        <v/>
      </c>
      <c r="AD1373">
        <f>IF([2]Baskol!$N$1376="","",[2]Baskol!$N$1376)</f>
        <v/>
      </c>
      <c r="AE1373">
        <f>IF([2]Baskol!$O$1376="","",[2]Baskol!$O$1376)</f>
        <v/>
      </c>
      <c r="AG1373">
        <f>IF([3]Entry!$C$1376="","",[3]Entry!$C$1376)</f>
        <v/>
      </c>
      <c r="AH1373">
        <f>IF([3]Entry!$D$1376="","",[3]Entry!$D$1376)</f>
        <v/>
      </c>
      <c r="AI1373">
        <f>IF([3]Entry!$E$1376="","",[3]Entry!$E$1376)</f>
        <v/>
      </c>
      <c r="AJ1373">
        <f>IF([3]Entry!$G$1376="","",[3]Entry!$G$1376)</f>
        <v/>
      </c>
      <c r="AK1373">
        <f>IF([3]Entry!$K$1376="","",[3]Entry!$K$1376)</f>
        <v/>
      </c>
      <c r="AL1373">
        <f>IF([3]Entry!$L$1376="","",[3]Entry!$L$1376)</f>
        <v/>
      </c>
      <c r="AM1373">
        <f>IF([3]Entry!$M$1376="","",[3]Entry!$M$1376)</f>
        <v/>
      </c>
      <c r="AN1373">
        <f>IF([3]Entry!$N$1376="","",[3]Entry!$N$1376)</f>
        <v/>
      </c>
      <c r="AO1373">
        <f>IF([3]Entry!$R$1376="","",[3]Entry!$R$1376)</f>
        <v/>
      </c>
    </row>
    <row r="1374">
      <c r="U1374">
        <f>IF([2]Baskol!$B$1377="","",[2]Baskol!$B$1377)</f>
        <v/>
      </c>
      <c r="V1374">
        <f>IF([2]Baskol!$C$1377="","",[2]Baskol!$C$1377)</f>
        <v/>
      </c>
      <c r="W1374">
        <f>IF([2]Baskol!$D$1377="","",[2]Baskol!$D$1377)</f>
        <v/>
      </c>
      <c r="X1374">
        <f>IF([2]Baskol!$E$1377="","",[2]Baskol!$E$1377)</f>
        <v/>
      </c>
      <c r="Y1374">
        <f>IF([2]Baskol!$G$1377="","",[2]Baskol!$G$1377)</f>
        <v/>
      </c>
      <c r="Z1374">
        <f>IF([2]Baskol!$I$1377="","",[2]Baskol!$I$1377)</f>
        <v/>
      </c>
      <c r="AA1374">
        <f>IF([2]Baskol!$J$1377="","",[2]Baskol!$J$1377)</f>
        <v/>
      </c>
      <c r="AB1374">
        <f>IF([2]Baskol!$K$1377="","",[2]Baskol!$K$1377)</f>
        <v/>
      </c>
      <c r="AC1374">
        <f>IF([2]Baskol!$L$1377="","",[2]Baskol!$L$1377)</f>
        <v/>
      </c>
      <c r="AD1374">
        <f>IF([2]Baskol!$N$1377="","",[2]Baskol!$N$1377)</f>
        <v/>
      </c>
      <c r="AE1374">
        <f>IF([2]Baskol!$O$1377="","",[2]Baskol!$O$1377)</f>
        <v/>
      </c>
      <c r="AG1374">
        <f>IF([3]Entry!$C$1377="","",[3]Entry!$C$1377)</f>
        <v/>
      </c>
      <c r="AH1374">
        <f>IF([3]Entry!$D$1377="","",[3]Entry!$D$1377)</f>
        <v/>
      </c>
      <c r="AI1374">
        <f>IF([3]Entry!$E$1377="","",[3]Entry!$E$1377)</f>
        <v/>
      </c>
      <c r="AJ1374">
        <f>IF([3]Entry!$G$1377="","",[3]Entry!$G$1377)</f>
        <v/>
      </c>
      <c r="AK1374">
        <f>IF([3]Entry!$K$1377="","",[3]Entry!$K$1377)</f>
        <v/>
      </c>
      <c r="AL1374">
        <f>IF([3]Entry!$L$1377="","",[3]Entry!$L$1377)</f>
        <v/>
      </c>
      <c r="AM1374">
        <f>IF([3]Entry!$M$1377="","",[3]Entry!$M$1377)</f>
        <v/>
      </c>
      <c r="AN1374">
        <f>IF([3]Entry!$N$1377="","",[3]Entry!$N$1377)</f>
        <v/>
      </c>
      <c r="AO1374">
        <f>IF([3]Entry!$R$1377="","",[3]Entry!$R$1377)</f>
        <v/>
      </c>
    </row>
    <row r="1375">
      <c r="U1375">
        <f>IF([2]Baskol!$B$1378="","",[2]Baskol!$B$1378)</f>
        <v/>
      </c>
      <c r="V1375">
        <f>IF([2]Baskol!$C$1378="","",[2]Baskol!$C$1378)</f>
        <v/>
      </c>
      <c r="W1375">
        <f>IF([2]Baskol!$D$1378="","",[2]Baskol!$D$1378)</f>
        <v/>
      </c>
      <c r="X1375">
        <f>IF([2]Baskol!$E$1378="","",[2]Baskol!$E$1378)</f>
        <v/>
      </c>
      <c r="Y1375">
        <f>IF([2]Baskol!$G$1378="","",[2]Baskol!$G$1378)</f>
        <v/>
      </c>
      <c r="Z1375">
        <f>IF([2]Baskol!$I$1378="","",[2]Baskol!$I$1378)</f>
        <v/>
      </c>
      <c r="AA1375">
        <f>IF([2]Baskol!$J$1378="","",[2]Baskol!$J$1378)</f>
        <v/>
      </c>
      <c r="AB1375">
        <f>IF([2]Baskol!$K$1378="","",[2]Baskol!$K$1378)</f>
        <v/>
      </c>
      <c r="AC1375">
        <f>IF([2]Baskol!$L$1378="","",[2]Baskol!$L$1378)</f>
        <v/>
      </c>
      <c r="AD1375">
        <f>IF([2]Baskol!$N$1378="","",[2]Baskol!$N$1378)</f>
        <v/>
      </c>
      <c r="AE1375">
        <f>IF([2]Baskol!$O$1378="","",[2]Baskol!$O$1378)</f>
        <v/>
      </c>
      <c r="AG1375">
        <f>IF([3]Entry!$C$1378="","",[3]Entry!$C$1378)</f>
        <v/>
      </c>
      <c r="AH1375">
        <f>IF([3]Entry!$D$1378="","",[3]Entry!$D$1378)</f>
        <v/>
      </c>
      <c r="AI1375">
        <f>IF([3]Entry!$E$1378="","",[3]Entry!$E$1378)</f>
        <v/>
      </c>
      <c r="AJ1375">
        <f>IF([3]Entry!$G$1378="","",[3]Entry!$G$1378)</f>
        <v/>
      </c>
      <c r="AK1375">
        <f>IF([3]Entry!$K$1378="","",[3]Entry!$K$1378)</f>
        <v/>
      </c>
      <c r="AL1375">
        <f>IF([3]Entry!$L$1378="","",[3]Entry!$L$1378)</f>
        <v/>
      </c>
      <c r="AM1375">
        <f>IF([3]Entry!$M$1378="","",[3]Entry!$M$1378)</f>
        <v/>
      </c>
      <c r="AN1375">
        <f>IF([3]Entry!$N$1378="","",[3]Entry!$N$1378)</f>
        <v/>
      </c>
      <c r="AO1375">
        <f>IF([3]Entry!$R$1378="","",[3]Entry!$R$1378)</f>
        <v/>
      </c>
    </row>
    <row r="1376">
      <c r="U1376">
        <f>IF([2]Baskol!$B$1379="","",[2]Baskol!$B$1379)</f>
        <v/>
      </c>
      <c r="V1376">
        <f>IF([2]Baskol!$C$1379="","",[2]Baskol!$C$1379)</f>
        <v/>
      </c>
      <c r="W1376">
        <f>IF([2]Baskol!$D$1379="","",[2]Baskol!$D$1379)</f>
        <v/>
      </c>
      <c r="X1376">
        <f>IF([2]Baskol!$E$1379="","",[2]Baskol!$E$1379)</f>
        <v/>
      </c>
      <c r="Y1376">
        <f>IF([2]Baskol!$G$1379="","",[2]Baskol!$G$1379)</f>
        <v/>
      </c>
      <c r="Z1376">
        <f>IF([2]Baskol!$I$1379="","",[2]Baskol!$I$1379)</f>
        <v/>
      </c>
      <c r="AA1376">
        <f>IF([2]Baskol!$J$1379="","",[2]Baskol!$J$1379)</f>
        <v/>
      </c>
      <c r="AB1376">
        <f>IF([2]Baskol!$K$1379="","",[2]Baskol!$K$1379)</f>
        <v/>
      </c>
      <c r="AC1376">
        <f>IF([2]Baskol!$L$1379="","",[2]Baskol!$L$1379)</f>
        <v/>
      </c>
      <c r="AD1376">
        <f>IF([2]Baskol!$N$1379="","",[2]Baskol!$N$1379)</f>
        <v/>
      </c>
      <c r="AE1376">
        <f>IF([2]Baskol!$O$1379="","",[2]Baskol!$O$1379)</f>
        <v/>
      </c>
      <c r="AG1376">
        <f>IF([3]Entry!$C$1379="","",[3]Entry!$C$1379)</f>
        <v/>
      </c>
      <c r="AH1376">
        <f>IF([3]Entry!$D$1379="","",[3]Entry!$D$1379)</f>
        <v/>
      </c>
      <c r="AI1376">
        <f>IF([3]Entry!$E$1379="","",[3]Entry!$E$1379)</f>
        <v/>
      </c>
      <c r="AJ1376">
        <f>IF([3]Entry!$G$1379="","",[3]Entry!$G$1379)</f>
        <v/>
      </c>
      <c r="AK1376">
        <f>IF([3]Entry!$K$1379="","",[3]Entry!$K$1379)</f>
        <v/>
      </c>
      <c r="AL1376">
        <f>IF([3]Entry!$L$1379="","",[3]Entry!$L$1379)</f>
        <v/>
      </c>
      <c r="AM1376">
        <f>IF([3]Entry!$M$1379="","",[3]Entry!$M$1379)</f>
        <v/>
      </c>
      <c r="AN1376">
        <f>IF([3]Entry!$N$1379="","",[3]Entry!$N$1379)</f>
        <v/>
      </c>
      <c r="AO1376">
        <f>IF([3]Entry!$R$1379="","",[3]Entry!$R$1379)</f>
        <v/>
      </c>
    </row>
    <row r="1377">
      <c r="U1377">
        <f>IF([2]Baskol!$B$1380="","",[2]Baskol!$B$1380)</f>
        <v/>
      </c>
      <c r="V1377">
        <f>IF([2]Baskol!$C$1380="","",[2]Baskol!$C$1380)</f>
        <v/>
      </c>
      <c r="W1377">
        <f>IF([2]Baskol!$D$1380="","",[2]Baskol!$D$1380)</f>
        <v/>
      </c>
      <c r="X1377">
        <f>IF([2]Baskol!$E$1380="","",[2]Baskol!$E$1380)</f>
        <v/>
      </c>
      <c r="Y1377">
        <f>IF([2]Baskol!$G$1380="","",[2]Baskol!$G$1380)</f>
        <v/>
      </c>
      <c r="Z1377">
        <f>IF([2]Baskol!$I$1380="","",[2]Baskol!$I$1380)</f>
        <v/>
      </c>
      <c r="AA1377">
        <f>IF([2]Baskol!$J$1380="","",[2]Baskol!$J$1380)</f>
        <v/>
      </c>
      <c r="AB1377">
        <f>IF([2]Baskol!$K$1380="","",[2]Baskol!$K$1380)</f>
        <v/>
      </c>
      <c r="AC1377">
        <f>IF([2]Baskol!$L$1380="","",[2]Baskol!$L$1380)</f>
        <v/>
      </c>
      <c r="AD1377">
        <f>IF([2]Baskol!$N$1380="","",[2]Baskol!$N$1380)</f>
        <v/>
      </c>
      <c r="AE1377">
        <f>IF([2]Baskol!$O$1380="","",[2]Baskol!$O$1380)</f>
        <v/>
      </c>
      <c r="AG1377">
        <f>IF([3]Entry!$C$1380="","",[3]Entry!$C$1380)</f>
        <v/>
      </c>
      <c r="AH1377">
        <f>IF([3]Entry!$D$1380="","",[3]Entry!$D$1380)</f>
        <v/>
      </c>
      <c r="AI1377">
        <f>IF([3]Entry!$E$1380="","",[3]Entry!$E$1380)</f>
        <v/>
      </c>
      <c r="AJ1377">
        <f>IF([3]Entry!$G$1380="","",[3]Entry!$G$1380)</f>
        <v/>
      </c>
      <c r="AK1377">
        <f>IF([3]Entry!$K$1380="","",[3]Entry!$K$1380)</f>
        <v/>
      </c>
      <c r="AL1377">
        <f>IF([3]Entry!$L$1380="","",[3]Entry!$L$1380)</f>
        <v/>
      </c>
      <c r="AM1377">
        <f>IF([3]Entry!$M$1380="","",[3]Entry!$M$1380)</f>
        <v/>
      </c>
      <c r="AN1377">
        <f>IF([3]Entry!$N$1380="","",[3]Entry!$N$1380)</f>
        <v/>
      </c>
      <c r="AO1377">
        <f>IF([3]Entry!$R$1380="","",[3]Entry!$R$1380)</f>
        <v/>
      </c>
    </row>
    <row r="1378">
      <c r="U1378">
        <f>IF([2]Baskol!$B$1381="","",[2]Baskol!$B$1381)</f>
        <v/>
      </c>
      <c r="V1378">
        <f>IF([2]Baskol!$C$1381="","",[2]Baskol!$C$1381)</f>
        <v/>
      </c>
      <c r="W1378">
        <f>IF([2]Baskol!$D$1381="","",[2]Baskol!$D$1381)</f>
        <v/>
      </c>
      <c r="X1378">
        <f>IF([2]Baskol!$E$1381="","",[2]Baskol!$E$1381)</f>
        <v/>
      </c>
      <c r="Y1378">
        <f>IF([2]Baskol!$G$1381="","",[2]Baskol!$G$1381)</f>
        <v/>
      </c>
      <c r="Z1378">
        <f>IF([2]Baskol!$I$1381="","",[2]Baskol!$I$1381)</f>
        <v/>
      </c>
      <c r="AA1378">
        <f>IF([2]Baskol!$J$1381="","",[2]Baskol!$J$1381)</f>
        <v/>
      </c>
      <c r="AB1378">
        <f>IF([2]Baskol!$K$1381="","",[2]Baskol!$K$1381)</f>
        <v/>
      </c>
      <c r="AC1378">
        <f>IF([2]Baskol!$L$1381="","",[2]Baskol!$L$1381)</f>
        <v/>
      </c>
      <c r="AD1378">
        <f>IF([2]Baskol!$N$1381="","",[2]Baskol!$N$1381)</f>
        <v/>
      </c>
      <c r="AE1378">
        <f>IF([2]Baskol!$O$1381="","",[2]Baskol!$O$1381)</f>
        <v/>
      </c>
      <c r="AG1378">
        <f>IF([3]Entry!$C$1381="","",[3]Entry!$C$1381)</f>
        <v/>
      </c>
      <c r="AH1378">
        <f>IF([3]Entry!$D$1381="","",[3]Entry!$D$1381)</f>
        <v/>
      </c>
      <c r="AI1378">
        <f>IF([3]Entry!$E$1381="","",[3]Entry!$E$1381)</f>
        <v/>
      </c>
      <c r="AJ1378">
        <f>IF([3]Entry!$G$1381="","",[3]Entry!$G$1381)</f>
        <v/>
      </c>
      <c r="AK1378">
        <f>IF([3]Entry!$K$1381="","",[3]Entry!$K$1381)</f>
        <v/>
      </c>
      <c r="AL1378">
        <f>IF([3]Entry!$L$1381="","",[3]Entry!$L$1381)</f>
        <v/>
      </c>
      <c r="AM1378">
        <f>IF([3]Entry!$M$1381="","",[3]Entry!$M$1381)</f>
        <v/>
      </c>
      <c r="AN1378">
        <f>IF([3]Entry!$N$1381="","",[3]Entry!$N$1381)</f>
        <v/>
      </c>
      <c r="AO1378">
        <f>IF([3]Entry!$R$1381="","",[3]Entry!$R$1381)</f>
        <v/>
      </c>
    </row>
    <row r="1379">
      <c r="U1379">
        <f>IF([2]Baskol!$B$1382="","",[2]Baskol!$B$1382)</f>
        <v/>
      </c>
      <c r="V1379">
        <f>IF([2]Baskol!$C$1382="","",[2]Baskol!$C$1382)</f>
        <v/>
      </c>
      <c r="W1379">
        <f>IF([2]Baskol!$D$1382="","",[2]Baskol!$D$1382)</f>
        <v/>
      </c>
      <c r="X1379">
        <f>IF([2]Baskol!$E$1382="","",[2]Baskol!$E$1382)</f>
        <v/>
      </c>
      <c r="Y1379">
        <f>IF([2]Baskol!$G$1382="","",[2]Baskol!$G$1382)</f>
        <v/>
      </c>
      <c r="Z1379">
        <f>IF([2]Baskol!$I$1382="","",[2]Baskol!$I$1382)</f>
        <v/>
      </c>
      <c r="AA1379">
        <f>IF([2]Baskol!$J$1382="","",[2]Baskol!$J$1382)</f>
        <v/>
      </c>
      <c r="AB1379">
        <f>IF([2]Baskol!$K$1382="","",[2]Baskol!$K$1382)</f>
        <v/>
      </c>
      <c r="AC1379">
        <f>IF([2]Baskol!$L$1382="","",[2]Baskol!$L$1382)</f>
        <v/>
      </c>
      <c r="AD1379">
        <f>IF([2]Baskol!$N$1382="","",[2]Baskol!$N$1382)</f>
        <v/>
      </c>
      <c r="AE1379">
        <f>IF([2]Baskol!$O$1382="","",[2]Baskol!$O$1382)</f>
        <v/>
      </c>
      <c r="AG1379">
        <f>IF([3]Entry!$C$1382="","",[3]Entry!$C$1382)</f>
        <v/>
      </c>
      <c r="AH1379">
        <f>IF([3]Entry!$D$1382="","",[3]Entry!$D$1382)</f>
        <v/>
      </c>
      <c r="AI1379">
        <f>IF([3]Entry!$E$1382="","",[3]Entry!$E$1382)</f>
        <v/>
      </c>
      <c r="AJ1379">
        <f>IF([3]Entry!$G$1382="","",[3]Entry!$G$1382)</f>
        <v/>
      </c>
      <c r="AK1379">
        <f>IF([3]Entry!$K$1382="","",[3]Entry!$K$1382)</f>
        <v/>
      </c>
      <c r="AL1379">
        <f>IF([3]Entry!$L$1382="","",[3]Entry!$L$1382)</f>
        <v/>
      </c>
      <c r="AM1379">
        <f>IF([3]Entry!$M$1382="","",[3]Entry!$M$1382)</f>
        <v/>
      </c>
      <c r="AN1379">
        <f>IF([3]Entry!$N$1382="","",[3]Entry!$N$1382)</f>
        <v/>
      </c>
      <c r="AO1379">
        <f>IF([3]Entry!$R$1382="","",[3]Entry!$R$1382)</f>
        <v/>
      </c>
    </row>
    <row r="1380">
      <c r="U1380">
        <f>IF([2]Baskol!$B$1383="","",[2]Baskol!$B$1383)</f>
        <v/>
      </c>
      <c r="V1380">
        <f>IF([2]Baskol!$C$1383="","",[2]Baskol!$C$1383)</f>
        <v/>
      </c>
      <c r="W1380">
        <f>IF([2]Baskol!$D$1383="","",[2]Baskol!$D$1383)</f>
        <v/>
      </c>
      <c r="X1380">
        <f>IF([2]Baskol!$E$1383="","",[2]Baskol!$E$1383)</f>
        <v/>
      </c>
      <c r="Y1380">
        <f>IF([2]Baskol!$G$1383="","",[2]Baskol!$G$1383)</f>
        <v/>
      </c>
      <c r="Z1380">
        <f>IF([2]Baskol!$I$1383="","",[2]Baskol!$I$1383)</f>
        <v/>
      </c>
      <c r="AA1380">
        <f>IF([2]Baskol!$J$1383="","",[2]Baskol!$J$1383)</f>
        <v/>
      </c>
      <c r="AB1380">
        <f>IF([2]Baskol!$K$1383="","",[2]Baskol!$K$1383)</f>
        <v/>
      </c>
      <c r="AC1380">
        <f>IF([2]Baskol!$L$1383="","",[2]Baskol!$L$1383)</f>
        <v/>
      </c>
      <c r="AD1380">
        <f>IF([2]Baskol!$N$1383="","",[2]Baskol!$N$1383)</f>
        <v/>
      </c>
      <c r="AE1380">
        <f>IF([2]Baskol!$O$1383="","",[2]Baskol!$O$1383)</f>
        <v/>
      </c>
      <c r="AG1380">
        <f>IF([3]Entry!$C$1383="","",[3]Entry!$C$1383)</f>
        <v/>
      </c>
      <c r="AH1380">
        <f>IF([3]Entry!$D$1383="","",[3]Entry!$D$1383)</f>
        <v/>
      </c>
      <c r="AI1380">
        <f>IF([3]Entry!$E$1383="","",[3]Entry!$E$1383)</f>
        <v/>
      </c>
      <c r="AJ1380">
        <f>IF([3]Entry!$G$1383="","",[3]Entry!$G$1383)</f>
        <v/>
      </c>
      <c r="AK1380">
        <f>IF([3]Entry!$K$1383="","",[3]Entry!$K$1383)</f>
        <v/>
      </c>
      <c r="AL1380">
        <f>IF([3]Entry!$L$1383="","",[3]Entry!$L$1383)</f>
        <v/>
      </c>
      <c r="AM1380">
        <f>IF([3]Entry!$M$1383="","",[3]Entry!$M$1383)</f>
        <v/>
      </c>
      <c r="AN1380">
        <f>IF([3]Entry!$N$1383="","",[3]Entry!$N$1383)</f>
        <v/>
      </c>
      <c r="AO1380">
        <f>IF([3]Entry!$R$1383="","",[3]Entry!$R$1383)</f>
        <v/>
      </c>
    </row>
    <row r="1381">
      <c r="U1381">
        <f>IF([2]Baskol!$B$1384="","",[2]Baskol!$B$1384)</f>
        <v/>
      </c>
      <c r="V1381">
        <f>IF([2]Baskol!$C$1384="","",[2]Baskol!$C$1384)</f>
        <v/>
      </c>
      <c r="W1381">
        <f>IF([2]Baskol!$D$1384="","",[2]Baskol!$D$1384)</f>
        <v/>
      </c>
      <c r="X1381">
        <f>IF([2]Baskol!$E$1384="","",[2]Baskol!$E$1384)</f>
        <v/>
      </c>
      <c r="Y1381">
        <f>IF([2]Baskol!$G$1384="","",[2]Baskol!$G$1384)</f>
        <v/>
      </c>
      <c r="Z1381">
        <f>IF([2]Baskol!$I$1384="","",[2]Baskol!$I$1384)</f>
        <v/>
      </c>
      <c r="AA1381">
        <f>IF([2]Baskol!$J$1384="","",[2]Baskol!$J$1384)</f>
        <v/>
      </c>
      <c r="AB1381">
        <f>IF([2]Baskol!$K$1384="","",[2]Baskol!$K$1384)</f>
        <v/>
      </c>
      <c r="AC1381">
        <f>IF([2]Baskol!$L$1384="","",[2]Baskol!$L$1384)</f>
        <v/>
      </c>
      <c r="AD1381">
        <f>IF([2]Baskol!$N$1384="","",[2]Baskol!$N$1384)</f>
        <v/>
      </c>
      <c r="AE1381">
        <f>IF([2]Baskol!$O$1384="","",[2]Baskol!$O$1384)</f>
        <v/>
      </c>
      <c r="AG1381">
        <f>IF([3]Entry!$C$1384="","",[3]Entry!$C$1384)</f>
        <v/>
      </c>
      <c r="AH1381">
        <f>IF([3]Entry!$D$1384="","",[3]Entry!$D$1384)</f>
        <v/>
      </c>
      <c r="AI1381">
        <f>IF([3]Entry!$E$1384="","",[3]Entry!$E$1384)</f>
        <v/>
      </c>
      <c r="AJ1381">
        <f>IF([3]Entry!$G$1384="","",[3]Entry!$G$1384)</f>
        <v/>
      </c>
      <c r="AK1381">
        <f>IF([3]Entry!$K$1384="","",[3]Entry!$K$1384)</f>
        <v/>
      </c>
      <c r="AL1381">
        <f>IF([3]Entry!$L$1384="","",[3]Entry!$L$1384)</f>
        <v/>
      </c>
      <c r="AM1381">
        <f>IF([3]Entry!$M$1384="","",[3]Entry!$M$1384)</f>
        <v/>
      </c>
      <c r="AN1381">
        <f>IF([3]Entry!$N$1384="","",[3]Entry!$N$1384)</f>
        <v/>
      </c>
      <c r="AO1381">
        <f>IF([3]Entry!$R$1384="","",[3]Entry!$R$1384)</f>
        <v/>
      </c>
    </row>
    <row r="1382">
      <c r="U1382">
        <f>IF([2]Baskol!$B$1385="","",[2]Baskol!$B$1385)</f>
        <v/>
      </c>
      <c r="V1382">
        <f>IF([2]Baskol!$C$1385="","",[2]Baskol!$C$1385)</f>
        <v/>
      </c>
      <c r="W1382">
        <f>IF([2]Baskol!$D$1385="","",[2]Baskol!$D$1385)</f>
        <v/>
      </c>
      <c r="X1382">
        <f>IF([2]Baskol!$E$1385="","",[2]Baskol!$E$1385)</f>
        <v/>
      </c>
      <c r="Y1382">
        <f>IF([2]Baskol!$G$1385="","",[2]Baskol!$G$1385)</f>
        <v/>
      </c>
      <c r="Z1382">
        <f>IF([2]Baskol!$I$1385="","",[2]Baskol!$I$1385)</f>
        <v/>
      </c>
      <c r="AA1382">
        <f>IF([2]Baskol!$J$1385="","",[2]Baskol!$J$1385)</f>
        <v/>
      </c>
      <c r="AB1382">
        <f>IF([2]Baskol!$K$1385="","",[2]Baskol!$K$1385)</f>
        <v/>
      </c>
      <c r="AC1382">
        <f>IF([2]Baskol!$L$1385="","",[2]Baskol!$L$1385)</f>
        <v/>
      </c>
      <c r="AD1382">
        <f>IF([2]Baskol!$N$1385="","",[2]Baskol!$N$1385)</f>
        <v/>
      </c>
      <c r="AE1382">
        <f>IF([2]Baskol!$O$1385="","",[2]Baskol!$O$1385)</f>
        <v/>
      </c>
      <c r="AG1382">
        <f>IF([3]Entry!$C$1385="","",[3]Entry!$C$1385)</f>
        <v/>
      </c>
      <c r="AH1382">
        <f>IF([3]Entry!$D$1385="","",[3]Entry!$D$1385)</f>
        <v/>
      </c>
      <c r="AI1382">
        <f>IF([3]Entry!$E$1385="","",[3]Entry!$E$1385)</f>
        <v/>
      </c>
      <c r="AJ1382">
        <f>IF([3]Entry!$G$1385="","",[3]Entry!$G$1385)</f>
        <v/>
      </c>
      <c r="AK1382">
        <f>IF([3]Entry!$K$1385="","",[3]Entry!$K$1385)</f>
        <v/>
      </c>
      <c r="AL1382">
        <f>IF([3]Entry!$L$1385="","",[3]Entry!$L$1385)</f>
        <v/>
      </c>
      <c r="AM1382">
        <f>IF([3]Entry!$M$1385="","",[3]Entry!$M$1385)</f>
        <v/>
      </c>
      <c r="AN1382">
        <f>IF([3]Entry!$N$1385="","",[3]Entry!$N$1385)</f>
        <v/>
      </c>
      <c r="AO1382">
        <f>IF([3]Entry!$R$1385="","",[3]Entry!$R$1385)</f>
        <v/>
      </c>
    </row>
    <row r="1383">
      <c r="U1383">
        <f>IF([2]Baskol!$B$1386="","",[2]Baskol!$B$1386)</f>
        <v/>
      </c>
      <c r="V1383">
        <f>IF([2]Baskol!$C$1386="","",[2]Baskol!$C$1386)</f>
        <v/>
      </c>
      <c r="W1383">
        <f>IF([2]Baskol!$D$1386="","",[2]Baskol!$D$1386)</f>
        <v/>
      </c>
      <c r="X1383">
        <f>IF([2]Baskol!$E$1386="","",[2]Baskol!$E$1386)</f>
        <v/>
      </c>
      <c r="Y1383">
        <f>IF([2]Baskol!$G$1386="","",[2]Baskol!$G$1386)</f>
        <v/>
      </c>
      <c r="Z1383">
        <f>IF([2]Baskol!$I$1386="","",[2]Baskol!$I$1386)</f>
        <v/>
      </c>
      <c r="AA1383">
        <f>IF([2]Baskol!$J$1386="","",[2]Baskol!$J$1386)</f>
        <v/>
      </c>
      <c r="AB1383">
        <f>IF([2]Baskol!$K$1386="","",[2]Baskol!$K$1386)</f>
        <v/>
      </c>
      <c r="AC1383">
        <f>IF([2]Baskol!$L$1386="","",[2]Baskol!$L$1386)</f>
        <v/>
      </c>
      <c r="AD1383">
        <f>IF([2]Baskol!$N$1386="","",[2]Baskol!$N$1386)</f>
        <v/>
      </c>
      <c r="AE1383">
        <f>IF([2]Baskol!$O$1386="","",[2]Baskol!$O$1386)</f>
        <v/>
      </c>
      <c r="AG1383">
        <f>IF([3]Entry!$C$1386="","",[3]Entry!$C$1386)</f>
        <v/>
      </c>
      <c r="AH1383">
        <f>IF([3]Entry!$D$1386="","",[3]Entry!$D$1386)</f>
        <v/>
      </c>
      <c r="AI1383">
        <f>IF([3]Entry!$E$1386="","",[3]Entry!$E$1386)</f>
        <v/>
      </c>
      <c r="AJ1383">
        <f>IF([3]Entry!$G$1386="","",[3]Entry!$G$1386)</f>
        <v/>
      </c>
      <c r="AK1383">
        <f>IF([3]Entry!$K$1386="","",[3]Entry!$K$1386)</f>
        <v/>
      </c>
      <c r="AL1383">
        <f>IF([3]Entry!$L$1386="","",[3]Entry!$L$1386)</f>
        <v/>
      </c>
      <c r="AM1383">
        <f>IF([3]Entry!$M$1386="","",[3]Entry!$M$1386)</f>
        <v/>
      </c>
      <c r="AN1383">
        <f>IF([3]Entry!$N$1386="","",[3]Entry!$N$1386)</f>
        <v/>
      </c>
      <c r="AO1383">
        <f>IF([3]Entry!$R$1386="","",[3]Entry!$R$1386)</f>
        <v/>
      </c>
    </row>
    <row r="1384">
      <c r="U1384">
        <f>IF([2]Baskol!$B$1387="","",[2]Baskol!$B$1387)</f>
        <v/>
      </c>
      <c r="V1384">
        <f>IF([2]Baskol!$C$1387="","",[2]Baskol!$C$1387)</f>
        <v/>
      </c>
      <c r="W1384">
        <f>IF([2]Baskol!$D$1387="","",[2]Baskol!$D$1387)</f>
        <v/>
      </c>
      <c r="X1384">
        <f>IF([2]Baskol!$E$1387="","",[2]Baskol!$E$1387)</f>
        <v/>
      </c>
      <c r="Y1384">
        <f>IF([2]Baskol!$G$1387="","",[2]Baskol!$G$1387)</f>
        <v/>
      </c>
      <c r="Z1384">
        <f>IF([2]Baskol!$I$1387="","",[2]Baskol!$I$1387)</f>
        <v/>
      </c>
      <c r="AA1384">
        <f>IF([2]Baskol!$J$1387="","",[2]Baskol!$J$1387)</f>
        <v/>
      </c>
      <c r="AB1384">
        <f>IF([2]Baskol!$K$1387="","",[2]Baskol!$K$1387)</f>
        <v/>
      </c>
      <c r="AC1384">
        <f>IF([2]Baskol!$L$1387="","",[2]Baskol!$L$1387)</f>
        <v/>
      </c>
      <c r="AD1384">
        <f>IF([2]Baskol!$N$1387="","",[2]Baskol!$N$1387)</f>
        <v/>
      </c>
      <c r="AE1384">
        <f>IF([2]Baskol!$O$1387="","",[2]Baskol!$O$1387)</f>
        <v/>
      </c>
      <c r="AG1384">
        <f>IF([3]Entry!$C$1387="","",[3]Entry!$C$1387)</f>
        <v/>
      </c>
      <c r="AH1384">
        <f>IF([3]Entry!$D$1387="","",[3]Entry!$D$1387)</f>
        <v/>
      </c>
      <c r="AI1384">
        <f>IF([3]Entry!$E$1387="","",[3]Entry!$E$1387)</f>
        <v/>
      </c>
      <c r="AJ1384">
        <f>IF([3]Entry!$G$1387="","",[3]Entry!$G$1387)</f>
        <v/>
      </c>
      <c r="AK1384">
        <f>IF([3]Entry!$K$1387="","",[3]Entry!$K$1387)</f>
        <v/>
      </c>
      <c r="AL1384">
        <f>IF([3]Entry!$L$1387="","",[3]Entry!$L$1387)</f>
        <v/>
      </c>
      <c r="AM1384">
        <f>IF([3]Entry!$M$1387="","",[3]Entry!$M$1387)</f>
        <v/>
      </c>
      <c r="AN1384">
        <f>IF([3]Entry!$N$1387="","",[3]Entry!$N$1387)</f>
        <v/>
      </c>
      <c r="AO1384">
        <f>IF([3]Entry!$R$1387="","",[3]Entry!$R$1387)</f>
        <v/>
      </c>
    </row>
    <row r="1385">
      <c r="U1385">
        <f>IF([2]Baskol!$B$1388="","",[2]Baskol!$B$1388)</f>
        <v/>
      </c>
      <c r="V1385">
        <f>IF([2]Baskol!$C$1388="","",[2]Baskol!$C$1388)</f>
        <v/>
      </c>
      <c r="W1385">
        <f>IF([2]Baskol!$D$1388="","",[2]Baskol!$D$1388)</f>
        <v/>
      </c>
      <c r="X1385">
        <f>IF([2]Baskol!$E$1388="","",[2]Baskol!$E$1388)</f>
        <v/>
      </c>
      <c r="Y1385">
        <f>IF([2]Baskol!$G$1388="","",[2]Baskol!$G$1388)</f>
        <v/>
      </c>
      <c r="Z1385">
        <f>IF([2]Baskol!$I$1388="","",[2]Baskol!$I$1388)</f>
        <v/>
      </c>
      <c r="AA1385">
        <f>IF([2]Baskol!$J$1388="","",[2]Baskol!$J$1388)</f>
        <v/>
      </c>
      <c r="AB1385">
        <f>IF([2]Baskol!$K$1388="","",[2]Baskol!$K$1388)</f>
        <v/>
      </c>
      <c r="AC1385">
        <f>IF([2]Baskol!$L$1388="","",[2]Baskol!$L$1388)</f>
        <v/>
      </c>
      <c r="AD1385">
        <f>IF([2]Baskol!$N$1388="","",[2]Baskol!$N$1388)</f>
        <v/>
      </c>
      <c r="AE1385">
        <f>IF([2]Baskol!$O$1388="","",[2]Baskol!$O$1388)</f>
        <v/>
      </c>
      <c r="AG1385">
        <f>IF([3]Entry!$C$1388="","",[3]Entry!$C$1388)</f>
        <v/>
      </c>
      <c r="AH1385">
        <f>IF([3]Entry!$D$1388="","",[3]Entry!$D$1388)</f>
        <v/>
      </c>
      <c r="AI1385">
        <f>IF([3]Entry!$E$1388="","",[3]Entry!$E$1388)</f>
        <v/>
      </c>
      <c r="AJ1385">
        <f>IF([3]Entry!$G$1388="","",[3]Entry!$G$1388)</f>
        <v/>
      </c>
      <c r="AK1385">
        <f>IF([3]Entry!$K$1388="","",[3]Entry!$K$1388)</f>
        <v/>
      </c>
      <c r="AL1385">
        <f>IF([3]Entry!$L$1388="","",[3]Entry!$L$1388)</f>
        <v/>
      </c>
      <c r="AM1385">
        <f>IF([3]Entry!$M$1388="","",[3]Entry!$M$1388)</f>
        <v/>
      </c>
      <c r="AN1385">
        <f>IF([3]Entry!$N$1388="","",[3]Entry!$N$1388)</f>
        <v/>
      </c>
      <c r="AO1385">
        <f>IF([3]Entry!$R$1388="","",[3]Entry!$R$1388)</f>
        <v/>
      </c>
    </row>
    <row r="1386">
      <c r="U1386">
        <f>IF([2]Baskol!$B$1389="","",[2]Baskol!$B$1389)</f>
        <v/>
      </c>
      <c r="V1386">
        <f>IF([2]Baskol!$C$1389="","",[2]Baskol!$C$1389)</f>
        <v/>
      </c>
      <c r="W1386">
        <f>IF([2]Baskol!$D$1389="","",[2]Baskol!$D$1389)</f>
        <v/>
      </c>
      <c r="X1386">
        <f>IF([2]Baskol!$E$1389="","",[2]Baskol!$E$1389)</f>
        <v/>
      </c>
      <c r="Y1386">
        <f>IF([2]Baskol!$G$1389="","",[2]Baskol!$G$1389)</f>
        <v/>
      </c>
      <c r="Z1386">
        <f>IF([2]Baskol!$I$1389="","",[2]Baskol!$I$1389)</f>
        <v/>
      </c>
      <c r="AA1386">
        <f>IF([2]Baskol!$J$1389="","",[2]Baskol!$J$1389)</f>
        <v/>
      </c>
      <c r="AB1386">
        <f>IF([2]Baskol!$K$1389="","",[2]Baskol!$K$1389)</f>
        <v/>
      </c>
      <c r="AC1386">
        <f>IF([2]Baskol!$L$1389="","",[2]Baskol!$L$1389)</f>
        <v/>
      </c>
      <c r="AD1386">
        <f>IF([2]Baskol!$N$1389="","",[2]Baskol!$N$1389)</f>
        <v/>
      </c>
      <c r="AE1386">
        <f>IF([2]Baskol!$O$1389="","",[2]Baskol!$O$1389)</f>
        <v/>
      </c>
      <c r="AG1386">
        <f>IF([3]Entry!$C$1389="","",[3]Entry!$C$1389)</f>
        <v/>
      </c>
      <c r="AH1386">
        <f>IF([3]Entry!$D$1389="","",[3]Entry!$D$1389)</f>
        <v/>
      </c>
      <c r="AI1386">
        <f>IF([3]Entry!$E$1389="","",[3]Entry!$E$1389)</f>
        <v/>
      </c>
      <c r="AJ1386">
        <f>IF([3]Entry!$G$1389="","",[3]Entry!$G$1389)</f>
        <v/>
      </c>
      <c r="AK1386">
        <f>IF([3]Entry!$K$1389="","",[3]Entry!$K$1389)</f>
        <v/>
      </c>
      <c r="AL1386">
        <f>IF([3]Entry!$L$1389="","",[3]Entry!$L$1389)</f>
        <v/>
      </c>
      <c r="AM1386">
        <f>IF([3]Entry!$M$1389="","",[3]Entry!$M$1389)</f>
        <v/>
      </c>
      <c r="AN1386">
        <f>IF([3]Entry!$N$1389="","",[3]Entry!$N$1389)</f>
        <v/>
      </c>
      <c r="AO1386">
        <f>IF([3]Entry!$R$1389="","",[3]Entry!$R$1389)</f>
        <v/>
      </c>
    </row>
    <row r="1387">
      <c r="U1387">
        <f>IF([2]Baskol!$B$1390="","",[2]Baskol!$B$1390)</f>
        <v/>
      </c>
      <c r="V1387">
        <f>IF([2]Baskol!$C$1390="","",[2]Baskol!$C$1390)</f>
        <v/>
      </c>
      <c r="W1387">
        <f>IF([2]Baskol!$D$1390="","",[2]Baskol!$D$1390)</f>
        <v/>
      </c>
      <c r="X1387">
        <f>IF([2]Baskol!$E$1390="","",[2]Baskol!$E$1390)</f>
        <v/>
      </c>
      <c r="Y1387">
        <f>IF([2]Baskol!$G$1390="","",[2]Baskol!$G$1390)</f>
        <v/>
      </c>
      <c r="Z1387">
        <f>IF([2]Baskol!$I$1390="","",[2]Baskol!$I$1390)</f>
        <v/>
      </c>
      <c r="AA1387">
        <f>IF([2]Baskol!$J$1390="","",[2]Baskol!$J$1390)</f>
        <v/>
      </c>
      <c r="AB1387">
        <f>IF([2]Baskol!$K$1390="","",[2]Baskol!$K$1390)</f>
        <v/>
      </c>
      <c r="AC1387">
        <f>IF([2]Baskol!$L$1390="","",[2]Baskol!$L$1390)</f>
        <v/>
      </c>
      <c r="AD1387">
        <f>IF([2]Baskol!$N$1390="","",[2]Baskol!$N$1390)</f>
        <v/>
      </c>
      <c r="AE1387">
        <f>IF([2]Baskol!$O$1390="","",[2]Baskol!$O$1390)</f>
        <v/>
      </c>
      <c r="AG1387">
        <f>IF([3]Entry!$C$1390="","",[3]Entry!$C$1390)</f>
        <v/>
      </c>
      <c r="AH1387">
        <f>IF([3]Entry!$D$1390="","",[3]Entry!$D$1390)</f>
        <v/>
      </c>
      <c r="AI1387">
        <f>IF([3]Entry!$E$1390="","",[3]Entry!$E$1390)</f>
        <v/>
      </c>
      <c r="AJ1387">
        <f>IF([3]Entry!$G$1390="","",[3]Entry!$G$1390)</f>
        <v/>
      </c>
      <c r="AK1387">
        <f>IF([3]Entry!$K$1390="","",[3]Entry!$K$1390)</f>
        <v/>
      </c>
      <c r="AL1387">
        <f>IF([3]Entry!$L$1390="","",[3]Entry!$L$1390)</f>
        <v/>
      </c>
      <c r="AM1387">
        <f>IF([3]Entry!$M$1390="","",[3]Entry!$M$1390)</f>
        <v/>
      </c>
      <c r="AN1387">
        <f>IF([3]Entry!$N$1390="","",[3]Entry!$N$1390)</f>
        <v/>
      </c>
      <c r="AO1387">
        <f>IF([3]Entry!$R$1390="","",[3]Entry!$R$1390)</f>
        <v/>
      </c>
    </row>
    <row r="1388">
      <c r="U1388">
        <f>IF([2]Baskol!$B$1391="","",[2]Baskol!$B$1391)</f>
        <v/>
      </c>
      <c r="V1388">
        <f>IF([2]Baskol!$C$1391="","",[2]Baskol!$C$1391)</f>
        <v/>
      </c>
      <c r="W1388">
        <f>IF([2]Baskol!$D$1391="","",[2]Baskol!$D$1391)</f>
        <v/>
      </c>
      <c r="X1388">
        <f>IF([2]Baskol!$E$1391="","",[2]Baskol!$E$1391)</f>
        <v/>
      </c>
      <c r="Y1388">
        <f>IF([2]Baskol!$G$1391="","",[2]Baskol!$G$1391)</f>
        <v/>
      </c>
      <c r="Z1388">
        <f>IF([2]Baskol!$I$1391="","",[2]Baskol!$I$1391)</f>
        <v/>
      </c>
      <c r="AA1388">
        <f>IF([2]Baskol!$J$1391="","",[2]Baskol!$J$1391)</f>
        <v/>
      </c>
      <c r="AB1388">
        <f>IF([2]Baskol!$K$1391="","",[2]Baskol!$K$1391)</f>
        <v/>
      </c>
      <c r="AC1388">
        <f>IF([2]Baskol!$L$1391="","",[2]Baskol!$L$1391)</f>
        <v/>
      </c>
      <c r="AD1388">
        <f>IF([2]Baskol!$N$1391="","",[2]Baskol!$N$1391)</f>
        <v/>
      </c>
      <c r="AE1388">
        <f>IF([2]Baskol!$O$1391="","",[2]Baskol!$O$1391)</f>
        <v/>
      </c>
      <c r="AG1388">
        <f>IF([3]Entry!$C$1391="","",[3]Entry!$C$1391)</f>
        <v/>
      </c>
      <c r="AH1388">
        <f>IF([3]Entry!$D$1391="","",[3]Entry!$D$1391)</f>
        <v/>
      </c>
      <c r="AI1388">
        <f>IF([3]Entry!$E$1391="","",[3]Entry!$E$1391)</f>
        <v/>
      </c>
      <c r="AJ1388">
        <f>IF([3]Entry!$G$1391="","",[3]Entry!$G$1391)</f>
        <v/>
      </c>
      <c r="AK1388">
        <f>IF([3]Entry!$K$1391="","",[3]Entry!$K$1391)</f>
        <v/>
      </c>
      <c r="AL1388">
        <f>IF([3]Entry!$L$1391="","",[3]Entry!$L$1391)</f>
        <v/>
      </c>
      <c r="AM1388">
        <f>IF([3]Entry!$M$1391="","",[3]Entry!$M$1391)</f>
        <v/>
      </c>
      <c r="AN1388">
        <f>IF([3]Entry!$N$1391="","",[3]Entry!$N$1391)</f>
        <v/>
      </c>
      <c r="AO1388">
        <f>IF([3]Entry!$R$1391="","",[3]Entry!$R$1391)</f>
        <v/>
      </c>
    </row>
    <row r="1389">
      <c r="U1389">
        <f>IF([2]Baskol!$B$1392="","",[2]Baskol!$B$1392)</f>
        <v/>
      </c>
      <c r="V1389">
        <f>IF([2]Baskol!$C$1392="","",[2]Baskol!$C$1392)</f>
        <v/>
      </c>
      <c r="W1389">
        <f>IF([2]Baskol!$D$1392="","",[2]Baskol!$D$1392)</f>
        <v/>
      </c>
      <c r="X1389">
        <f>IF([2]Baskol!$E$1392="","",[2]Baskol!$E$1392)</f>
        <v/>
      </c>
      <c r="Y1389">
        <f>IF([2]Baskol!$G$1392="","",[2]Baskol!$G$1392)</f>
        <v/>
      </c>
      <c r="Z1389">
        <f>IF([2]Baskol!$I$1392="","",[2]Baskol!$I$1392)</f>
        <v/>
      </c>
      <c r="AA1389">
        <f>IF([2]Baskol!$J$1392="","",[2]Baskol!$J$1392)</f>
        <v/>
      </c>
      <c r="AB1389">
        <f>IF([2]Baskol!$K$1392="","",[2]Baskol!$K$1392)</f>
        <v/>
      </c>
      <c r="AC1389">
        <f>IF([2]Baskol!$L$1392="","",[2]Baskol!$L$1392)</f>
        <v/>
      </c>
      <c r="AD1389">
        <f>IF([2]Baskol!$N$1392="","",[2]Baskol!$N$1392)</f>
        <v/>
      </c>
      <c r="AE1389">
        <f>IF([2]Baskol!$O$1392="","",[2]Baskol!$O$1392)</f>
        <v/>
      </c>
      <c r="AG1389">
        <f>IF([3]Entry!$C$1392="","",[3]Entry!$C$1392)</f>
        <v/>
      </c>
      <c r="AH1389">
        <f>IF([3]Entry!$D$1392="","",[3]Entry!$D$1392)</f>
        <v/>
      </c>
      <c r="AI1389">
        <f>IF([3]Entry!$E$1392="","",[3]Entry!$E$1392)</f>
        <v/>
      </c>
      <c r="AJ1389">
        <f>IF([3]Entry!$G$1392="","",[3]Entry!$G$1392)</f>
        <v/>
      </c>
      <c r="AK1389">
        <f>IF([3]Entry!$K$1392="","",[3]Entry!$K$1392)</f>
        <v/>
      </c>
      <c r="AL1389">
        <f>IF([3]Entry!$L$1392="","",[3]Entry!$L$1392)</f>
        <v/>
      </c>
      <c r="AM1389">
        <f>IF([3]Entry!$M$1392="","",[3]Entry!$M$1392)</f>
        <v/>
      </c>
      <c r="AN1389">
        <f>IF([3]Entry!$N$1392="","",[3]Entry!$N$1392)</f>
        <v/>
      </c>
      <c r="AO1389">
        <f>IF([3]Entry!$R$1392="","",[3]Entry!$R$1392)</f>
        <v/>
      </c>
    </row>
    <row r="1390">
      <c r="U1390">
        <f>IF([2]Baskol!$B$1393="","",[2]Baskol!$B$1393)</f>
        <v/>
      </c>
      <c r="V1390">
        <f>IF([2]Baskol!$C$1393="","",[2]Baskol!$C$1393)</f>
        <v/>
      </c>
      <c r="W1390">
        <f>IF([2]Baskol!$D$1393="","",[2]Baskol!$D$1393)</f>
        <v/>
      </c>
      <c r="X1390">
        <f>IF([2]Baskol!$E$1393="","",[2]Baskol!$E$1393)</f>
        <v/>
      </c>
      <c r="Y1390">
        <f>IF([2]Baskol!$G$1393="","",[2]Baskol!$G$1393)</f>
        <v/>
      </c>
      <c r="Z1390">
        <f>IF([2]Baskol!$I$1393="","",[2]Baskol!$I$1393)</f>
        <v/>
      </c>
      <c r="AA1390">
        <f>IF([2]Baskol!$J$1393="","",[2]Baskol!$J$1393)</f>
        <v/>
      </c>
      <c r="AB1390">
        <f>IF([2]Baskol!$K$1393="","",[2]Baskol!$K$1393)</f>
        <v/>
      </c>
      <c r="AC1390">
        <f>IF([2]Baskol!$L$1393="","",[2]Baskol!$L$1393)</f>
        <v/>
      </c>
      <c r="AD1390">
        <f>IF([2]Baskol!$N$1393="","",[2]Baskol!$N$1393)</f>
        <v/>
      </c>
      <c r="AE1390">
        <f>IF([2]Baskol!$O$1393="","",[2]Baskol!$O$1393)</f>
        <v/>
      </c>
      <c r="AG1390">
        <f>IF([3]Entry!$C$1393="","",[3]Entry!$C$1393)</f>
        <v/>
      </c>
      <c r="AH1390">
        <f>IF([3]Entry!$D$1393="","",[3]Entry!$D$1393)</f>
        <v/>
      </c>
      <c r="AI1390">
        <f>IF([3]Entry!$E$1393="","",[3]Entry!$E$1393)</f>
        <v/>
      </c>
      <c r="AJ1390">
        <f>IF([3]Entry!$G$1393="","",[3]Entry!$G$1393)</f>
        <v/>
      </c>
      <c r="AK1390">
        <f>IF([3]Entry!$K$1393="","",[3]Entry!$K$1393)</f>
        <v/>
      </c>
      <c r="AL1390">
        <f>IF([3]Entry!$L$1393="","",[3]Entry!$L$1393)</f>
        <v/>
      </c>
      <c r="AM1390">
        <f>IF([3]Entry!$M$1393="","",[3]Entry!$M$1393)</f>
        <v/>
      </c>
      <c r="AN1390">
        <f>IF([3]Entry!$N$1393="","",[3]Entry!$N$1393)</f>
        <v/>
      </c>
      <c r="AO1390">
        <f>IF([3]Entry!$R$1393="","",[3]Entry!$R$1393)</f>
        <v/>
      </c>
    </row>
    <row r="1391">
      <c r="U1391">
        <f>IF([2]Baskol!$B$1394="","",[2]Baskol!$B$1394)</f>
        <v/>
      </c>
      <c r="V1391">
        <f>IF([2]Baskol!$C$1394="","",[2]Baskol!$C$1394)</f>
        <v/>
      </c>
      <c r="W1391">
        <f>IF([2]Baskol!$D$1394="","",[2]Baskol!$D$1394)</f>
        <v/>
      </c>
      <c r="X1391">
        <f>IF([2]Baskol!$E$1394="","",[2]Baskol!$E$1394)</f>
        <v/>
      </c>
      <c r="Y1391">
        <f>IF([2]Baskol!$G$1394="","",[2]Baskol!$G$1394)</f>
        <v/>
      </c>
      <c r="Z1391">
        <f>IF([2]Baskol!$I$1394="","",[2]Baskol!$I$1394)</f>
        <v/>
      </c>
      <c r="AA1391">
        <f>IF([2]Baskol!$J$1394="","",[2]Baskol!$J$1394)</f>
        <v/>
      </c>
      <c r="AB1391">
        <f>IF([2]Baskol!$K$1394="","",[2]Baskol!$K$1394)</f>
        <v/>
      </c>
      <c r="AC1391">
        <f>IF([2]Baskol!$L$1394="","",[2]Baskol!$L$1394)</f>
        <v/>
      </c>
      <c r="AD1391">
        <f>IF([2]Baskol!$N$1394="","",[2]Baskol!$N$1394)</f>
        <v/>
      </c>
      <c r="AE1391">
        <f>IF([2]Baskol!$O$1394="","",[2]Baskol!$O$1394)</f>
        <v/>
      </c>
      <c r="AG1391">
        <f>IF([3]Entry!$C$1394="","",[3]Entry!$C$1394)</f>
        <v/>
      </c>
      <c r="AH1391">
        <f>IF([3]Entry!$D$1394="","",[3]Entry!$D$1394)</f>
        <v/>
      </c>
      <c r="AI1391">
        <f>IF([3]Entry!$E$1394="","",[3]Entry!$E$1394)</f>
        <v/>
      </c>
      <c r="AJ1391">
        <f>IF([3]Entry!$G$1394="","",[3]Entry!$G$1394)</f>
        <v/>
      </c>
      <c r="AK1391">
        <f>IF([3]Entry!$K$1394="","",[3]Entry!$K$1394)</f>
        <v/>
      </c>
      <c r="AL1391">
        <f>IF([3]Entry!$L$1394="","",[3]Entry!$L$1394)</f>
        <v/>
      </c>
      <c r="AM1391">
        <f>IF([3]Entry!$M$1394="","",[3]Entry!$M$1394)</f>
        <v/>
      </c>
      <c r="AN1391">
        <f>IF([3]Entry!$N$1394="","",[3]Entry!$N$1394)</f>
        <v/>
      </c>
      <c r="AO1391">
        <f>IF([3]Entry!$R$1394="","",[3]Entry!$R$1394)</f>
        <v/>
      </c>
    </row>
    <row r="1392">
      <c r="U1392">
        <f>IF([2]Baskol!$B$1395="","",[2]Baskol!$B$1395)</f>
        <v/>
      </c>
      <c r="V1392">
        <f>IF([2]Baskol!$C$1395="","",[2]Baskol!$C$1395)</f>
        <v/>
      </c>
      <c r="W1392">
        <f>IF([2]Baskol!$D$1395="","",[2]Baskol!$D$1395)</f>
        <v/>
      </c>
      <c r="X1392">
        <f>IF([2]Baskol!$E$1395="","",[2]Baskol!$E$1395)</f>
        <v/>
      </c>
      <c r="Y1392">
        <f>IF([2]Baskol!$G$1395="","",[2]Baskol!$G$1395)</f>
        <v/>
      </c>
      <c r="Z1392">
        <f>IF([2]Baskol!$I$1395="","",[2]Baskol!$I$1395)</f>
        <v/>
      </c>
      <c r="AA1392">
        <f>IF([2]Baskol!$J$1395="","",[2]Baskol!$J$1395)</f>
        <v/>
      </c>
      <c r="AB1392">
        <f>IF([2]Baskol!$K$1395="","",[2]Baskol!$K$1395)</f>
        <v/>
      </c>
      <c r="AC1392">
        <f>IF([2]Baskol!$L$1395="","",[2]Baskol!$L$1395)</f>
        <v/>
      </c>
      <c r="AD1392">
        <f>IF([2]Baskol!$N$1395="","",[2]Baskol!$N$1395)</f>
        <v/>
      </c>
      <c r="AE1392">
        <f>IF([2]Baskol!$O$1395="","",[2]Baskol!$O$1395)</f>
        <v/>
      </c>
      <c r="AG1392">
        <f>IF([3]Entry!$C$1395="","",[3]Entry!$C$1395)</f>
        <v/>
      </c>
      <c r="AH1392">
        <f>IF([3]Entry!$D$1395="","",[3]Entry!$D$1395)</f>
        <v/>
      </c>
      <c r="AI1392">
        <f>IF([3]Entry!$E$1395="","",[3]Entry!$E$1395)</f>
        <v/>
      </c>
      <c r="AJ1392">
        <f>IF([3]Entry!$G$1395="","",[3]Entry!$G$1395)</f>
        <v/>
      </c>
      <c r="AK1392">
        <f>IF([3]Entry!$K$1395="","",[3]Entry!$K$1395)</f>
        <v/>
      </c>
      <c r="AL1392">
        <f>IF([3]Entry!$L$1395="","",[3]Entry!$L$1395)</f>
        <v/>
      </c>
      <c r="AM1392">
        <f>IF([3]Entry!$M$1395="","",[3]Entry!$M$1395)</f>
        <v/>
      </c>
      <c r="AN1392">
        <f>IF([3]Entry!$N$1395="","",[3]Entry!$N$1395)</f>
        <v/>
      </c>
      <c r="AO1392">
        <f>IF([3]Entry!$R$1395="","",[3]Entry!$R$1395)</f>
        <v/>
      </c>
    </row>
    <row r="1393">
      <c r="U1393">
        <f>IF([2]Baskol!$B$1396="","",[2]Baskol!$B$1396)</f>
        <v/>
      </c>
      <c r="V1393">
        <f>IF([2]Baskol!$C$1396="","",[2]Baskol!$C$1396)</f>
        <v/>
      </c>
      <c r="W1393">
        <f>IF([2]Baskol!$D$1396="","",[2]Baskol!$D$1396)</f>
        <v/>
      </c>
      <c r="X1393">
        <f>IF([2]Baskol!$E$1396="","",[2]Baskol!$E$1396)</f>
        <v/>
      </c>
      <c r="Y1393">
        <f>IF([2]Baskol!$G$1396="","",[2]Baskol!$G$1396)</f>
        <v/>
      </c>
      <c r="Z1393">
        <f>IF([2]Baskol!$I$1396="","",[2]Baskol!$I$1396)</f>
        <v/>
      </c>
      <c r="AA1393">
        <f>IF([2]Baskol!$J$1396="","",[2]Baskol!$J$1396)</f>
        <v/>
      </c>
      <c r="AB1393">
        <f>IF([2]Baskol!$K$1396="","",[2]Baskol!$K$1396)</f>
        <v/>
      </c>
      <c r="AC1393">
        <f>IF([2]Baskol!$L$1396="","",[2]Baskol!$L$1396)</f>
        <v/>
      </c>
      <c r="AD1393">
        <f>IF([2]Baskol!$N$1396="","",[2]Baskol!$N$1396)</f>
        <v/>
      </c>
      <c r="AE1393">
        <f>IF([2]Baskol!$O$1396="","",[2]Baskol!$O$1396)</f>
        <v/>
      </c>
      <c r="AG1393">
        <f>IF([3]Entry!$C$1396="","",[3]Entry!$C$1396)</f>
        <v/>
      </c>
      <c r="AH1393">
        <f>IF([3]Entry!$D$1396="","",[3]Entry!$D$1396)</f>
        <v/>
      </c>
      <c r="AI1393">
        <f>IF([3]Entry!$E$1396="","",[3]Entry!$E$1396)</f>
        <v/>
      </c>
      <c r="AJ1393">
        <f>IF([3]Entry!$G$1396="","",[3]Entry!$G$1396)</f>
        <v/>
      </c>
      <c r="AK1393">
        <f>IF([3]Entry!$K$1396="","",[3]Entry!$K$1396)</f>
        <v/>
      </c>
      <c r="AL1393">
        <f>IF([3]Entry!$L$1396="","",[3]Entry!$L$1396)</f>
        <v/>
      </c>
      <c r="AM1393">
        <f>IF([3]Entry!$M$1396="","",[3]Entry!$M$1396)</f>
        <v/>
      </c>
      <c r="AN1393">
        <f>IF([3]Entry!$N$1396="","",[3]Entry!$N$1396)</f>
        <v/>
      </c>
      <c r="AO1393">
        <f>IF([3]Entry!$R$1396="","",[3]Entry!$R$1396)</f>
        <v/>
      </c>
    </row>
    <row r="1394">
      <c r="U1394">
        <f>IF([2]Baskol!$B$1397="","",[2]Baskol!$B$1397)</f>
        <v/>
      </c>
      <c r="V1394">
        <f>IF([2]Baskol!$C$1397="","",[2]Baskol!$C$1397)</f>
        <v/>
      </c>
      <c r="W1394">
        <f>IF([2]Baskol!$D$1397="","",[2]Baskol!$D$1397)</f>
        <v/>
      </c>
      <c r="X1394">
        <f>IF([2]Baskol!$E$1397="","",[2]Baskol!$E$1397)</f>
        <v/>
      </c>
      <c r="Y1394">
        <f>IF([2]Baskol!$G$1397="","",[2]Baskol!$G$1397)</f>
        <v/>
      </c>
      <c r="Z1394">
        <f>IF([2]Baskol!$I$1397="","",[2]Baskol!$I$1397)</f>
        <v/>
      </c>
      <c r="AA1394">
        <f>IF([2]Baskol!$J$1397="","",[2]Baskol!$J$1397)</f>
        <v/>
      </c>
      <c r="AB1394">
        <f>IF([2]Baskol!$K$1397="","",[2]Baskol!$K$1397)</f>
        <v/>
      </c>
      <c r="AC1394">
        <f>IF([2]Baskol!$L$1397="","",[2]Baskol!$L$1397)</f>
        <v/>
      </c>
      <c r="AD1394">
        <f>IF([2]Baskol!$N$1397="","",[2]Baskol!$N$1397)</f>
        <v/>
      </c>
      <c r="AE1394">
        <f>IF([2]Baskol!$O$1397="","",[2]Baskol!$O$1397)</f>
        <v/>
      </c>
      <c r="AG1394">
        <f>IF([3]Entry!$C$1397="","",[3]Entry!$C$1397)</f>
        <v/>
      </c>
      <c r="AH1394">
        <f>IF([3]Entry!$D$1397="","",[3]Entry!$D$1397)</f>
        <v/>
      </c>
      <c r="AI1394">
        <f>IF([3]Entry!$E$1397="","",[3]Entry!$E$1397)</f>
        <v/>
      </c>
      <c r="AJ1394">
        <f>IF([3]Entry!$G$1397="","",[3]Entry!$G$1397)</f>
        <v/>
      </c>
      <c r="AK1394">
        <f>IF([3]Entry!$K$1397="","",[3]Entry!$K$1397)</f>
        <v/>
      </c>
      <c r="AL1394">
        <f>IF([3]Entry!$L$1397="","",[3]Entry!$L$1397)</f>
        <v/>
      </c>
      <c r="AM1394">
        <f>IF([3]Entry!$M$1397="","",[3]Entry!$M$1397)</f>
        <v/>
      </c>
      <c r="AN1394">
        <f>IF([3]Entry!$N$1397="","",[3]Entry!$N$1397)</f>
        <v/>
      </c>
      <c r="AO1394">
        <f>IF([3]Entry!$R$1397="","",[3]Entry!$R$1397)</f>
        <v/>
      </c>
    </row>
    <row r="1395">
      <c r="U1395">
        <f>IF([2]Baskol!$B$1398="","",[2]Baskol!$B$1398)</f>
        <v/>
      </c>
      <c r="V1395">
        <f>IF([2]Baskol!$C$1398="","",[2]Baskol!$C$1398)</f>
        <v/>
      </c>
      <c r="W1395">
        <f>IF([2]Baskol!$D$1398="","",[2]Baskol!$D$1398)</f>
        <v/>
      </c>
      <c r="X1395">
        <f>IF([2]Baskol!$E$1398="","",[2]Baskol!$E$1398)</f>
        <v/>
      </c>
      <c r="Y1395">
        <f>IF([2]Baskol!$G$1398="","",[2]Baskol!$G$1398)</f>
        <v/>
      </c>
      <c r="Z1395">
        <f>IF([2]Baskol!$I$1398="","",[2]Baskol!$I$1398)</f>
        <v/>
      </c>
      <c r="AA1395">
        <f>IF([2]Baskol!$J$1398="","",[2]Baskol!$J$1398)</f>
        <v/>
      </c>
      <c r="AB1395">
        <f>IF([2]Baskol!$K$1398="","",[2]Baskol!$K$1398)</f>
        <v/>
      </c>
      <c r="AC1395">
        <f>IF([2]Baskol!$L$1398="","",[2]Baskol!$L$1398)</f>
        <v/>
      </c>
      <c r="AD1395">
        <f>IF([2]Baskol!$N$1398="","",[2]Baskol!$N$1398)</f>
        <v/>
      </c>
      <c r="AE1395">
        <f>IF([2]Baskol!$O$1398="","",[2]Baskol!$O$1398)</f>
        <v/>
      </c>
      <c r="AG1395">
        <f>IF([3]Entry!$C$1398="","",[3]Entry!$C$1398)</f>
        <v/>
      </c>
      <c r="AH1395">
        <f>IF([3]Entry!$D$1398="","",[3]Entry!$D$1398)</f>
        <v/>
      </c>
      <c r="AI1395">
        <f>IF([3]Entry!$E$1398="","",[3]Entry!$E$1398)</f>
        <v/>
      </c>
      <c r="AJ1395">
        <f>IF([3]Entry!$G$1398="","",[3]Entry!$G$1398)</f>
        <v/>
      </c>
      <c r="AK1395">
        <f>IF([3]Entry!$K$1398="","",[3]Entry!$K$1398)</f>
        <v/>
      </c>
      <c r="AL1395">
        <f>IF([3]Entry!$L$1398="","",[3]Entry!$L$1398)</f>
        <v/>
      </c>
      <c r="AM1395">
        <f>IF([3]Entry!$M$1398="","",[3]Entry!$M$1398)</f>
        <v/>
      </c>
      <c r="AN1395">
        <f>IF([3]Entry!$N$1398="","",[3]Entry!$N$1398)</f>
        <v/>
      </c>
      <c r="AO1395">
        <f>IF([3]Entry!$R$1398="","",[3]Entry!$R$1398)</f>
        <v/>
      </c>
    </row>
    <row r="1396">
      <c r="U1396">
        <f>IF([2]Baskol!$B$1399="","",[2]Baskol!$B$1399)</f>
        <v/>
      </c>
      <c r="V1396">
        <f>IF([2]Baskol!$C$1399="","",[2]Baskol!$C$1399)</f>
        <v/>
      </c>
      <c r="W1396">
        <f>IF([2]Baskol!$D$1399="","",[2]Baskol!$D$1399)</f>
        <v/>
      </c>
      <c r="X1396">
        <f>IF([2]Baskol!$E$1399="","",[2]Baskol!$E$1399)</f>
        <v/>
      </c>
      <c r="Y1396">
        <f>IF([2]Baskol!$G$1399="","",[2]Baskol!$G$1399)</f>
        <v/>
      </c>
      <c r="Z1396">
        <f>IF([2]Baskol!$I$1399="","",[2]Baskol!$I$1399)</f>
        <v/>
      </c>
      <c r="AA1396">
        <f>IF([2]Baskol!$J$1399="","",[2]Baskol!$J$1399)</f>
        <v/>
      </c>
      <c r="AB1396">
        <f>IF([2]Baskol!$K$1399="","",[2]Baskol!$K$1399)</f>
        <v/>
      </c>
      <c r="AC1396">
        <f>IF([2]Baskol!$L$1399="","",[2]Baskol!$L$1399)</f>
        <v/>
      </c>
      <c r="AD1396">
        <f>IF([2]Baskol!$N$1399="","",[2]Baskol!$N$1399)</f>
        <v/>
      </c>
      <c r="AE1396">
        <f>IF([2]Baskol!$O$1399="","",[2]Baskol!$O$1399)</f>
        <v/>
      </c>
      <c r="AG1396">
        <f>IF([3]Entry!$C$1399="","",[3]Entry!$C$1399)</f>
        <v/>
      </c>
      <c r="AH1396">
        <f>IF([3]Entry!$D$1399="","",[3]Entry!$D$1399)</f>
        <v/>
      </c>
      <c r="AI1396">
        <f>IF([3]Entry!$E$1399="","",[3]Entry!$E$1399)</f>
        <v/>
      </c>
      <c r="AJ1396">
        <f>IF([3]Entry!$G$1399="","",[3]Entry!$G$1399)</f>
        <v/>
      </c>
      <c r="AK1396">
        <f>IF([3]Entry!$K$1399="","",[3]Entry!$K$1399)</f>
        <v/>
      </c>
      <c r="AL1396">
        <f>IF([3]Entry!$L$1399="","",[3]Entry!$L$1399)</f>
        <v/>
      </c>
      <c r="AM1396">
        <f>IF([3]Entry!$M$1399="","",[3]Entry!$M$1399)</f>
        <v/>
      </c>
      <c r="AN1396">
        <f>IF([3]Entry!$N$1399="","",[3]Entry!$N$1399)</f>
        <v/>
      </c>
      <c r="AO1396">
        <f>IF([3]Entry!$R$1399="","",[3]Entry!$R$1399)</f>
        <v/>
      </c>
    </row>
    <row r="1397">
      <c r="U1397">
        <f>IF([2]Baskol!$B$1400="","",[2]Baskol!$B$1400)</f>
        <v/>
      </c>
      <c r="V1397">
        <f>IF([2]Baskol!$C$1400="","",[2]Baskol!$C$1400)</f>
        <v/>
      </c>
      <c r="W1397">
        <f>IF([2]Baskol!$D$1400="","",[2]Baskol!$D$1400)</f>
        <v/>
      </c>
      <c r="X1397">
        <f>IF([2]Baskol!$E$1400="","",[2]Baskol!$E$1400)</f>
        <v/>
      </c>
      <c r="Y1397">
        <f>IF([2]Baskol!$G$1400="","",[2]Baskol!$G$1400)</f>
        <v/>
      </c>
      <c r="Z1397">
        <f>IF([2]Baskol!$I$1400="","",[2]Baskol!$I$1400)</f>
        <v/>
      </c>
      <c r="AA1397">
        <f>IF([2]Baskol!$J$1400="","",[2]Baskol!$J$1400)</f>
        <v/>
      </c>
      <c r="AB1397">
        <f>IF([2]Baskol!$K$1400="","",[2]Baskol!$K$1400)</f>
        <v/>
      </c>
      <c r="AC1397">
        <f>IF([2]Baskol!$L$1400="","",[2]Baskol!$L$1400)</f>
        <v/>
      </c>
      <c r="AD1397">
        <f>IF([2]Baskol!$N$1400="","",[2]Baskol!$N$1400)</f>
        <v/>
      </c>
      <c r="AE1397">
        <f>IF([2]Baskol!$O$1400="","",[2]Baskol!$O$1400)</f>
        <v/>
      </c>
      <c r="AG1397">
        <f>IF([3]Entry!$C$1400="","",[3]Entry!$C$1400)</f>
        <v/>
      </c>
      <c r="AH1397">
        <f>IF([3]Entry!$D$1400="","",[3]Entry!$D$1400)</f>
        <v/>
      </c>
      <c r="AI1397">
        <f>IF([3]Entry!$E$1400="","",[3]Entry!$E$1400)</f>
        <v/>
      </c>
      <c r="AJ1397">
        <f>IF([3]Entry!$G$1400="","",[3]Entry!$G$1400)</f>
        <v/>
      </c>
      <c r="AK1397">
        <f>IF([3]Entry!$K$1400="","",[3]Entry!$K$1400)</f>
        <v/>
      </c>
      <c r="AL1397">
        <f>IF([3]Entry!$L$1400="","",[3]Entry!$L$1400)</f>
        <v/>
      </c>
      <c r="AM1397">
        <f>IF([3]Entry!$M$1400="","",[3]Entry!$M$1400)</f>
        <v/>
      </c>
      <c r="AN1397">
        <f>IF([3]Entry!$N$1400="","",[3]Entry!$N$1400)</f>
        <v/>
      </c>
      <c r="AO1397">
        <f>IF([3]Entry!$R$1400="","",[3]Entry!$R$1400)</f>
        <v/>
      </c>
    </row>
    <row r="1398">
      <c r="U1398">
        <f>IF([2]Baskol!$B$1401="","",[2]Baskol!$B$1401)</f>
        <v/>
      </c>
      <c r="V1398">
        <f>IF([2]Baskol!$C$1401="","",[2]Baskol!$C$1401)</f>
        <v/>
      </c>
      <c r="W1398">
        <f>IF([2]Baskol!$D$1401="","",[2]Baskol!$D$1401)</f>
        <v/>
      </c>
      <c r="X1398">
        <f>IF([2]Baskol!$E$1401="","",[2]Baskol!$E$1401)</f>
        <v/>
      </c>
      <c r="Y1398">
        <f>IF([2]Baskol!$G$1401="","",[2]Baskol!$G$1401)</f>
        <v/>
      </c>
      <c r="Z1398">
        <f>IF([2]Baskol!$I$1401="","",[2]Baskol!$I$1401)</f>
        <v/>
      </c>
      <c r="AA1398">
        <f>IF([2]Baskol!$J$1401="","",[2]Baskol!$J$1401)</f>
        <v/>
      </c>
      <c r="AB1398">
        <f>IF([2]Baskol!$K$1401="","",[2]Baskol!$K$1401)</f>
        <v/>
      </c>
      <c r="AC1398">
        <f>IF([2]Baskol!$L$1401="","",[2]Baskol!$L$1401)</f>
        <v/>
      </c>
      <c r="AD1398">
        <f>IF([2]Baskol!$N$1401="","",[2]Baskol!$N$1401)</f>
        <v/>
      </c>
      <c r="AE1398">
        <f>IF([2]Baskol!$O$1401="","",[2]Baskol!$O$1401)</f>
        <v/>
      </c>
      <c r="AG1398">
        <f>IF([3]Entry!$C$1401="","",[3]Entry!$C$1401)</f>
        <v/>
      </c>
      <c r="AH1398">
        <f>IF([3]Entry!$D$1401="","",[3]Entry!$D$1401)</f>
        <v/>
      </c>
      <c r="AI1398">
        <f>IF([3]Entry!$E$1401="","",[3]Entry!$E$1401)</f>
        <v/>
      </c>
      <c r="AJ1398">
        <f>IF([3]Entry!$G$1401="","",[3]Entry!$G$1401)</f>
        <v/>
      </c>
      <c r="AK1398">
        <f>IF([3]Entry!$K$1401="","",[3]Entry!$K$1401)</f>
        <v/>
      </c>
      <c r="AL1398">
        <f>IF([3]Entry!$L$1401="","",[3]Entry!$L$1401)</f>
        <v/>
      </c>
      <c r="AM1398">
        <f>IF([3]Entry!$M$1401="","",[3]Entry!$M$1401)</f>
        <v/>
      </c>
      <c r="AN1398">
        <f>IF([3]Entry!$N$1401="","",[3]Entry!$N$1401)</f>
        <v/>
      </c>
      <c r="AO1398">
        <f>IF([3]Entry!$R$1401="","",[3]Entry!$R$1401)</f>
        <v/>
      </c>
    </row>
    <row r="1399">
      <c r="U1399">
        <f>IF([2]Baskol!$B$1402="","",[2]Baskol!$B$1402)</f>
        <v/>
      </c>
      <c r="V1399">
        <f>IF([2]Baskol!$C$1402="","",[2]Baskol!$C$1402)</f>
        <v/>
      </c>
      <c r="W1399">
        <f>IF([2]Baskol!$D$1402="","",[2]Baskol!$D$1402)</f>
        <v/>
      </c>
      <c r="X1399">
        <f>IF([2]Baskol!$E$1402="","",[2]Baskol!$E$1402)</f>
        <v/>
      </c>
      <c r="Y1399">
        <f>IF([2]Baskol!$G$1402="","",[2]Baskol!$G$1402)</f>
        <v/>
      </c>
      <c r="Z1399">
        <f>IF([2]Baskol!$I$1402="","",[2]Baskol!$I$1402)</f>
        <v/>
      </c>
      <c r="AA1399">
        <f>IF([2]Baskol!$J$1402="","",[2]Baskol!$J$1402)</f>
        <v/>
      </c>
      <c r="AB1399">
        <f>IF([2]Baskol!$K$1402="","",[2]Baskol!$K$1402)</f>
        <v/>
      </c>
      <c r="AC1399">
        <f>IF([2]Baskol!$L$1402="","",[2]Baskol!$L$1402)</f>
        <v/>
      </c>
      <c r="AD1399">
        <f>IF([2]Baskol!$N$1402="","",[2]Baskol!$N$1402)</f>
        <v/>
      </c>
      <c r="AE1399">
        <f>IF([2]Baskol!$O$1402="","",[2]Baskol!$O$1402)</f>
        <v/>
      </c>
      <c r="AG1399">
        <f>IF([3]Entry!$C$1402="","",[3]Entry!$C$1402)</f>
        <v/>
      </c>
      <c r="AH1399">
        <f>IF([3]Entry!$D$1402="","",[3]Entry!$D$1402)</f>
        <v/>
      </c>
      <c r="AI1399">
        <f>IF([3]Entry!$E$1402="","",[3]Entry!$E$1402)</f>
        <v/>
      </c>
      <c r="AJ1399">
        <f>IF([3]Entry!$G$1402="","",[3]Entry!$G$1402)</f>
        <v/>
      </c>
      <c r="AK1399">
        <f>IF([3]Entry!$K$1402="","",[3]Entry!$K$1402)</f>
        <v/>
      </c>
      <c r="AL1399">
        <f>IF([3]Entry!$L$1402="","",[3]Entry!$L$1402)</f>
        <v/>
      </c>
      <c r="AM1399">
        <f>IF([3]Entry!$M$1402="","",[3]Entry!$M$1402)</f>
        <v/>
      </c>
      <c r="AN1399">
        <f>IF([3]Entry!$N$1402="","",[3]Entry!$N$1402)</f>
        <v/>
      </c>
      <c r="AO1399">
        <f>IF([3]Entry!$R$1402="","",[3]Entry!$R$1402)</f>
        <v/>
      </c>
    </row>
    <row r="1400">
      <c r="U1400">
        <f>IF([2]Baskol!$B$1403="","",[2]Baskol!$B$1403)</f>
        <v/>
      </c>
      <c r="V1400">
        <f>IF([2]Baskol!$C$1403="","",[2]Baskol!$C$1403)</f>
        <v/>
      </c>
      <c r="W1400">
        <f>IF([2]Baskol!$D$1403="","",[2]Baskol!$D$1403)</f>
        <v/>
      </c>
      <c r="X1400">
        <f>IF([2]Baskol!$E$1403="","",[2]Baskol!$E$1403)</f>
        <v/>
      </c>
      <c r="Y1400">
        <f>IF([2]Baskol!$G$1403="","",[2]Baskol!$G$1403)</f>
        <v/>
      </c>
      <c r="Z1400">
        <f>IF([2]Baskol!$I$1403="","",[2]Baskol!$I$1403)</f>
        <v/>
      </c>
      <c r="AA1400">
        <f>IF([2]Baskol!$J$1403="","",[2]Baskol!$J$1403)</f>
        <v/>
      </c>
      <c r="AB1400">
        <f>IF([2]Baskol!$K$1403="","",[2]Baskol!$K$1403)</f>
        <v/>
      </c>
      <c r="AC1400">
        <f>IF([2]Baskol!$L$1403="","",[2]Baskol!$L$1403)</f>
        <v/>
      </c>
      <c r="AD1400">
        <f>IF([2]Baskol!$N$1403="","",[2]Baskol!$N$1403)</f>
        <v/>
      </c>
      <c r="AE1400">
        <f>IF([2]Baskol!$O$1403="","",[2]Baskol!$O$1403)</f>
        <v/>
      </c>
      <c r="AG1400">
        <f>IF([3]Entry!$C$1403="","",[3]Entry!$C$1403)</f>
        <v/>
      </c>
      <c r="AH1400">
        <f>IF([3]Entry!$D$1403="","",[3]Entry!$D$1403)</f>
        <v/>
      </c>
      <c r="AI1400">
        <f>IF([3]Entry!$E$1403="","",[3]Entry!$E$1403)</f>
        <v/>
      </c>
      <c r="AJ1400">
        <f>IF([3]Entry!$G$1403="","",[3]Entry!$G$1403)</f>
        <v/>
      </c>
      <c r="AK1400">
        <f>IF([3]Entry!$K$1403="","",[3]Entry!$K$1403)</f>
        <v/>
      </c>
      <c r="AL1400">
        <f>IF([3]Entry!$L$1403="","",[3]Entry!$L$1403)</f>
        <v/>
      </c>
      <c r="AM1400">
        <f>IF([3]Entry!$M$1403="","",[3]Entry!$M$1403)</f>
        <v/>
      </c>
      <c r="AN1400">
        <f>IF([3]Entry!$N$1403="","",[3]Entry!$N$1403)</f>
        <v/>
      </c>
      <c r="AO1400">
        <f>IF([3]Entry!$R$1403="","",[3]Entry!$R$1403)</f>
        <v/>
      </c>
    </row>
    <row r="1401">
      <c r="U1401">
        <f>IF([2]Baskol!$B$1404="","",[2]Baskol!$B$1404)</f>
        <v/>
      </c>
      <c r="V1401">
        <f>IF([2]Baskol!$C$1404="","",[2]Baskol!$C$1404)</f>
        <v/>
      </c>
      <c r="W1401">
        <f>IF([2]Baskol!$D$1404="","",[2]Baskol!$D$1404)</f>
        <v/>
      </c>
      <c r="X1401">
        <f>IF([2]Baskol!$E$1404="","",[2]Baskol!$E$1404)</f>
        <v/>
      </c>
      <c r="Y1401">
        <f>IF([2]Baskol!$G$1404="","",[2]Baskol!$G$1404)</f>
        <v/>
      </c>
      <c r="Z1401">
        <f>IF([2]Baskol!$I$1404="","",[2]Baskol!$I$1404)</f>
        <v/>
      </c>
      <c r="AA1401">
        <f>IF([2]Baskol!$J$1404="","",[2]Baskol!$J$1404)</f>
        <v/>
      </c>
      <c r="AB1401">
        <f>IF([2]Baskol!$K$1404="","",[2]Baskol!$K$1404)</f>
        <v/>
      </c>
      <c r="AC1401">
        <f>IF([2]Baskol!$L$1404="","",[2]Baskol!$L$1404)</f>
        <v/>
      </c>
      <c r="AD1401">
        <f>IF([2]Baskol!$N$1404="","",[2]Baskol!$N$1404)</f>
        <v/>
      </c>
      <c r="AE1401">
        <f>IF([2]Baskol!$O$1404="","",[2]Baskol!$O$1404)</f>
        <v/>
      </c>
      <c r="AG1401">
        <f>IF([3]Entry!$C$1404="","",[3]Entry!$C$1404)</f>
        <v/>
      </c>
      <c r="AH1401">
        <f>IF([3]Entry!$D$1404="","",[3]Entry!$D$1404)</f>
        <v/>
      </c>
      <c r="AI1401">
        <f>IF([3]Entry!$E$1404="","",[3]Entry!$E$1404)</f>
        <v/>
      </c>
      <c r="AJ1401">
        <f>IF([3]Entry!$G$1404="","",[3]Entry!$G$1404)</f>
        <v/>
      </c>
      <c r="AK1401">
        <f>IF([3]Entry!$K$1404="","",[3]Entry!$K$1404)</f>
        <v/>
      </c>
      <c r="AL1401">
        <f>IF([3]Entry!$L$1404="","",[3]Entry!$L$1404)</f>
        <v/>
      </c>
      <c r="AM1401">
        <f>IF([3]Entry!$M$1404="","",[3]Entry!$M$1404)</f>
        <v/>
      </c>
      <c r="AN1401">
        <f>IF([3]Entry!$N$1404="","",[3]Entry!$N$1404)</f>
        <v/>
      </c>
      <c r="AO1401">
        <f>IF([3]Entry!$R$1404="","",[3]Entry!$R$1404)</f>
        <v/>
      </c>
    </row>
    <row r="1402">
      <c r="U1402">
        <f>IF([2]Baskol!$B$1405="","",[2]Baskol!$B$1405)</f>
        <v/>
      </c>
      <c r="V1402">
        <f>IF([2]Baskol!$C$1405="","",[2]Baskol!$C$1405)</f>
        <v/>
      </c>
      <c r="W1402">
        <f>IF([2]Baskol!$D$1405="","",[2]Baskol!$D$1405)</f>
        <v/>
      </c>
      <c r="X1402">
        <f>IF([2]Baskol!$E$1405="","",[2]Baskol!$E$1405)</f>
        <v/>
      </c>
      <c r="Y1402">
        <f>IF([2]Baskol!$G$1405="","",[2]Baskol!$G$1405)</f>
        <v/>
      </c>
      <c r="Z1402">
        <f>IF([2]Baskol!$I$1405="","",[2]Baskol!$I$1405)</f>
        <v/>
      </c>
      <c r="AA1402">
        <f>IF([2]Baskol!$J$1405="","",[2]Baskol!$J$1405)</f>
        <v/>
      </c>
      <c r="AB1402">
        <f>IF([2]Baskol!$K$1405="","",[2]Baskol!$K$1405)</f>
        <v/>
      </c>
      <c r="AC1402">
        <f>IF([2]Baskol!$L$1405="","",[2]Baskol!$L$1405)</f>
        <v/>
      </c>
      <c r="AD1402">
        <f>IF([2]Baskol!$N$1405="","",[2]Baskol!$N$1405)</f>
        <v/>
      </c>
      <c r="AE1402">
        <f>IF([2]Baskol!$O$1405="","",[2]Baskol!$O$1405)</f>
        <v/>
      </c>
      <c r="AG1402">
        <f>IF([3]Entry!$C$1405="","",[3]Entry!$C$1405)</f>
        <v/>
      </c>
      <c r="AH1402">
        <f>IF([3]Entry!$D$1405="","",[3]Entry!$D$1405)</f>
        <v/>
      </c>
      <c r="AI1402">
        <f>IF([3]Entry!$E$1405="","",[3]Entry!$E$1405)</f>
        <v/>
      </c>
      <c r="AJ1402">
        <f>IF([3]Entry!$G$1405="","",[3]Entry!$G$1405)</f>
        <v/>
      </c>
      <c r="AK1402">
        <f>IF([3]Entry!$K$1405="","",[3]Entry!$K$1405)</f>
        <v/>
      </c>
      <c r="AL1402">
        <f>IF([3]Entry!$L$1405="","",[3]Entry!$L$1405)</f>
        <v/>
      </c>
      <c r="AM1402">
        <f>IF([3]Entry!$M$1405="","",[3]Entry!$M$1405)</f>
        <v/>
      </c>
      <c r="AN1402">
        <f>IF([3]Entry!$N$1405="","",[3]Entry!$N$1405)</f>
        <v/>
      </c>
      <c r="AO1402">
        <f>IF([3]Entry!$R$1405="","",[3]Entry!$R$1405)</f>
        <v/>
      </c>
    </row>
    <row r="1403">
      <c r="U1403">
        <f>IF([2]Baskol!$B$1406="","",[2]Baskol!$B$1406)</f>
        <v/>
      </c>
      <c r="V1403">
        <f>IF([2]Baskol!$C$1406="","",[2]Baskol!$C$1406)</f>
        <v/>
      </c>
      <c r="W1403">
        <f>IF([2]Baskol!$D$1406="","",[2]Baskol!$D$1406)</f>
        <v/>
      </c>
      <c r="X1403">
        <f>IF([2]Baskol!$E$1406="","",[2]Baskol!$E$1406)</f>
        <v/>
      </c>
      <c r="Y1403">
        <f>IF([2]Baskol!$G$1406="","",[2]Baskol!$G$1406)</f>
        <v/>
      </c>
      <c r="Z1403">
        <f>IF([2]Baskol!$I$1406="","",[2]Baskol!$I$1406)</f>
        <v/>
      </c>
      <c r="AA1403">
        <f>IF([2]Baskol!$J$1406="","",[2]Baskol!$J$1406)</f>
        <v/>
      </c>
      <c r="AB1403">
        <f>IF([2]Baskol!$K$1406="","",[2]Baskol!$K$1406)</f>
        <v/>
      </c>
      <c r="AC1403">
        <f>IF([2]Baskol!$L$1406="","",[2]Baskol!$L$1406)</f>
        <v/>
      </c>
      <c r="AD1403">
        <f>IF([2]Baskol!$N$1406="","",[2]Baskol!$N$1406)</f>
        <v/>
      </c>
      <c r="AE1403">
        <f>IF([2]Baskol!$O$1406="","",[2]Baskol!$O$1406)</f>
        <v/>
      </c>
      <c r="AG1403">
        <f>IF([3]Entry!$C$1406="","",[3]Entry!$C$1406)</f>
        <v/>
      </c>
      <c r="AH1403">
        <f>IF([3]Entry!$D$1406="","",[3]Entry!$D$1406)</f>
        <v/>
      </c>
      <c r="AI1403">
        <f>IF([3]Entry!$E$1406="","",[3]Entry!$E$1406)</f>
        <v/>
      </c>
      <c r="AJ1403">
        <f>IF([3]Entry!$G$1406="","",[3]Entry!$G$1406)</f>
        <v/>
      </c>
      <c r="AK1403">
        <f>IF([3]Entry!$K$1406="","",[3]Entry!$K$1406)</f>
        <v/>
      </c>
      <c r="AL1403">
        <f>IF([3]Entry!$L$1406="","",[3]Entry!$L$1406)</f>
        <v/>
      </c>
      <c r="AM1403">
        <f>IF([3]Entry!$M$1406="","",[3]Entry!$M$1406)</f>
        <v/>
      </c>
      <c r="AN1403">
        <f>IF([3]Entry!$N$1406="","",[3]Entry!$N$1406)</f>
        <v/>
      </c>
      <c r="AO1403">
        <f>IF([3]Entry!$R$1406="","",[3]Entry!$R$1406)</f>
        <v/>
      </c>
    </row>
    <row r="1404">
      <c r="U1404">
        <f>IF([2]Baskol!$B$1407="","",[2]Baskol!$B$1407)</f>
        <v/>
      </c>
      <c r="V1404">
        <f>IF([2]Baskol!$C$1407="","",[2]Baskol!$C$1407)</f>
        <v/>
      </c>
      <c r="W1404">
        <f>IF([2]Baskol!$D$1407="","",[2]Baskol!$D$1407)</f>
        <v/>
      </c>
      <c r="X1404">
        <f>IF([2]Baskol!$E$1407="","",[2]Baskol!$E$1407)</f>
        <v/>
      </c>
      <c r="Y1404">
        <f>IF([2]Baskol!$G$1407="","",[2]Baskol!$G$1407)</f>
        <v/>
      </c>
      <c r="Z1404">
        <f>IF([2]Baskol!$I$1407="","",[2]Baskol!$I$1407)</f>
        <v/>
      </c>
      <c r="AA1404">
        <f>IF([2]Baskol!$J$1407="","",[2]Baskol!$J$1407)</f>
        <v/>
      </c>
      <c r="AB1404">
        <f>IF([2]Baskol!$K$1407="","",[2]Baskol!$K$1407)</f>
        <v/>
      </c>
      <c r="AC1404">
        <f>IF([2]Baskol!$L$1407="","",[2]Baskol!$L$1407)</f>
        <v/>
      </c>
      <c r="AD1404">
        <f>IF([2]Baskol!$N$1407="","",[2]Baskol!$N$1407)</f>
        <v/>
      </c>
      <c r="AE1404">
        <f>IF([2]Baskol!$O$1407="","",[2]Baskol!$O$1407)</f>
        <v/>
      </c>
      <c r="AG1404">
        <f>IF([3]Entry!$C$1407="","",[3]Entry!$C$1407)</f>
        <v/>
      </c>
      <c r="AH1404">
        <f>IF([3]Entry!$D$1407="","",[3]Entry!$D$1407)</f>
        <v/>
      </c>
      <c r="AI1404">
        <f>IF([3]Entry!$E$1407="","",[3]Entry!$E$1407)</f>
        <v/>
      </c>
      <c r="AJ1404">
        <f>IF([3]Entry!$G$1407="","",[3]Entry!$G$1407)</f>
        <v/>
      </c>
      <c r="AK1404">
        <f>IF([3]Entry!$K$1407="","",[3]Entry!$K$1407)</f>
        <v/>
      </c>
      <c r="AL1404">
        <f>IF([3]Entry!$L$1407="","",[3]Entry!$L$1407)</f>
        <v/>
      </c>
      <c r="AM1404">
        <f>IF([3]Entry!$M$1407="","",[3]Entry!$M$1407)</f>
        <v/>
      </c>
      <c r="AN1404">
        <f>IF([3]Entry!$N$1407="","",[3]Entry!$N$1407)</f>
        <v/>
      </c>
      <c r="AO1404">
        <f>IF([3]Entry!$R$1407="","",[3]Entry!$R$1407)</f>
        <v/>
      </c>
    </row>
    <row r="1405">
      <c r="U1405">
        <f>IF([2]Baskol!$B$1408="","",[2]Baskol!$B$1408)</f>
        <v/>
      </c>
      <c r="V1405">
        <f>IF([2]Baskol!$C$1408="","",[2]Baskol!$C$1408)</f>
        <v/>
      </c>
      <c r="W1405">
        <f>IF([2]Baskol!$D$1408="","",[2]Baskol!$D$1408)</f>
        <v/>
      </c>
      <c r="X1405">
        <f>IF([2]Baskol!$E$1408="","",[2]Baskol!$E$1408)</f>
        <v/>
      </c>
      <c r="Y1405">
        <f>IF([2]Baskol!$G$1408="","",[2]Baskol!$G$1408)</f>
        <v/>
      </c>
      <c r="Z1405">
        <f>IF([2]Baskol!$I$1408="","",[2]Baskol!$I$1408)</f>
        <v/>
      </c>
      <c r="AA1405">
        <f>IF([2]Baskol!$J$1408="","",[2]Baskol!$J$1408)</f>
        <v/>
      </c>
      <c r="AB1405">
        <f>IF([2]Baskol!$K$1408="","",[2]Baskol!$K$1408)</f>
        <v/>
      </c>
      <c r="AC1405">
        <f>IF([2]Baskol!$L$1408="","",[2]Baskol!$L$1408)</f>
        <v/>
      </c>
      <c r="AD1405">
        <f>IF([2]Baskol!$N$1408="","",[2]Baskol!$N$1408)</f>
        <v/>
      </c>
      <c r="AE1405">
        <f>IF([2]Baskol!$O$1408="","",[2]Baskol!$O$1408)</f>
        <v/>
      </c>
      <c r="AG1405">
        <f>IF([3]Entry!$C$1408="","",[3]Entry!$C$1408)</f>
        <v/>
      </c>
      <c r="AH1405">
        <f>IF([3]Entry!$D$1408="","",[3]Entry!$D$1408)</f>
        <v/>
      </c>
      <c r="AI1405">
        <f>IF([3]Entry!$E$1408="","",[3]Entry!$E$1408)</f>
        <v/>
      </c>
      <c r="AJ1405">
        <f>IF([3]Entry!$G$1408="","",[3]Entry!$G$1408)</f>
        <v/>
      </c>
      <c r="AK1405">
        <f>IF([3]Entry!$K$1408="","",[3]Entry!$K$1408)</f>
        <v/>
      </c>
      <c r="AL1405">
        <f>IF([3]Entry!$L$1408="","",[3]Entry!$L$1408)</f>
        <v/>
      </c>
      <c r="AM1405">
        <f>IF([3]Entry!$M$1408="","",[3]Entry!$M$1408)</f>
        <v/>
      </c>
      <c r="AN1405">
        <f>IF([3]Entry!$N$1408="","",[3]Entry!$N$1408)</f>
        <v/>
      </c>
      <c r="AO1405">
        <f>IF([3]Entry!$R$1408="","",[3]Entry!$R$1408)</f>
        <v/>
      </c>
    </row>
    <row r="1406">
      <c r="U1406">
        <f>IF([2]Baskol!$B$1409="","",[2]Baskol!$B$1409)</f>
        <v/>
      </c>
      <c r="V1406">
        <f>IF([2]Baskol!$C$1409="","",[2]Baskol!$C$1409)</f>
        <v/>
      </c>
      <c r="W1406">
        <f>IF([2]Baskol!$D$1409="","",[2]Baskol!$D$1409)</f>
        <v/>
      </c>
      <c r="X1406">
        <f>IF([2]Baskol!$E$1409="","",[2]Baskol!$E$1409)</f>
        <v/>
      </c>
      <c r="Y1406">
        <f>IF([2]Baskol!$G$1409="","",[2]Baskol!$G$1409)</f>
        <v/>
      </c>
      <c r="Z1406">
        <f>IF([2]Baskol!$I$1409="","",[2]Baskol!$I$1409)</f>
        <v/>
      </c>
      <c r="AA1406">
        <f>IF([2]Baskol!$J$1409="","",[2]Baskol!$J$1409)</f>
        <v/>
      </c>
      <c r="AB1406">
        <f>IF([2]Baskol!$K$1409="","",[2]Baskol!$K$1409)</f>
        <v/>
      </c>
      <c r="AC1406">
        <f>IF([2]Baskol!$L$1409="","",[2]Baskol!$L$1409)</f>
        <v/>
      </c>
      <c r="AD1406">
        <f>IF([2]Baskol!$N$1409="","",[2]Baskol!$N$1409)</f>
        <v/>
      </c>
      <c r="AE1406">
        <f>IF([2]Baskol!$O$1409="","",[2]Baskol!$O$1409)</f>
        <v/>
      </c>
      <c r="AG1406">
        <f>IF([3]Entry!$C$1409="","",[3]Entry!$C$1409)</f>
        <v/>
      </c>
      <c r="AH1406">
        <f>IF([3]Entry!$D$1409="","",[3]Entry!$D$1409)</f>
        <v/>
      </c>
      <c r="AI1406">
        <f>IF([3]Entry!$E$1409="","",[3]Entry!$E$1409)</f>
        <v/>
      </c>
      <c r="AJ1406">
        <f>IF([3]Entry!$G$1409="","",[3]Entry!$G$1409)</f>
        <v/>
      </c>
      <c r="AK1406">
        <f>IF([3]Entry!$K$1409="","",[3]Entry!$K$1409)</f>
        <v/>
      </c>
      <c r="AL1406">
        <f>IF([3]Entry!$L$1409="","",[3]Entry!$L$1409)</f>
        <v/>
      </c>
      <c r="AM1406">
        <f>IF([3]Entry!$M$1409="","",[3]Entry!$M$1409)</f>
        <v/>
      </c>
      <c r="AN1406">
        <f>IF([3]Entry!$N$1409="","",[3]Entry!$N$1409)</f>
        <v/>
      </c>
      <c r="AO1406">
        <f>IF([3]Entry!$R$1409="","",[3]Entry!$R$1409)</f>
        <v/>
      </c>
    </row>
    <row r="1407">
      <c r="U1407">
        <f>IF([2]Baskol!$B$1410="","",[2]Baskol!$B$1410)</f>
        <v/>
      </c>
      <c r="V1407">
        <f>IF([2]Baskol!$C$1410="","",[2]Baskol!$C$1410)</f>
        <v/>
      </c>
      <c r="W1407">
        <f>IF([2]Baskol!$D$1410="","",[2]Baskol!$D$1410)</f>
        <v/>
      </c>
      <c r="X1407">
        <f>IF([2]Baskol!$E$1410="","",[2]Baskol!$E$1410)</f>
        <v/>
      </c>
      <c r="Y1407">
        <f>IF([2]Baskol!$G$1410="","",[2]Baskol!$G$1410)</f>
        <v/>
      </c>
      <c r="Z1407">
        <f>IF([2]Baskol!$I$1410="","",[2]Baskol!$I$1410)</f>
        <v/>
      </c>
      <c r="AA1407">
        <f>IF([2]Baskol!$J$1410="","",[2]Baskol!$J$1410)</f>
        <v/>
      </c>
      <c r="AB1407">
        <f>IF([2]Baskol!$K$1410="","",[2]Baskol!$K$1410)</f>
        <v/>
      </c>
      <c r="AC1407">
        <f>IF([2]Baskol!$L$1410="","",[2]Baskol!$L$1410)</f>
        <v/>
      </c>
      <c r="AD1407">
        <f>IF([2]Baskol!$N$1410="","",[2]Baskol!$N$1410)</f>
        <v/>
      </c>
      <c r="AE1407">
        <f>IF([2]Baskol!$O$1410="","",[2]Baskol!$O$1410)</f>
        <v/>
      </c>
      <c r="AG1407">
        <f>IF([3]Entry!$C$1410="","",[3]Entry!$C$1410)</f>
        <v/>
      </c>
      <c r="AH1407">
        <f>IF([3]Entry!$D$1410="","",[3]Entry!$D$1410)</f>
        <v/>
      </c>
      <c r="AI1407">
        <f>IF([3]Entry!$E$1410="","",[3]Entry!$E$1410)</f>
        <v/>
      </c>
      <c r="AJ1407">
        <f>IF([3]Entry!$G$1410="","",[3]Entry!$G$1410)</f>
        <v/>
      </c>
      <c r="AK1407">
        <f>IF([3]Entry!$K$1410="","",[3]Entry!$K$1410)</f>
        <v/>
      </c>
      <c r="AL1407">
        <f>IF([3]Entry!$L$1410="","",[3]Entry!$L$1410)</f>
        <v/>
      </c>
      <c r="AM1407">
        <f>IF([3]Entry!$M$1410="","",[3]Entry!$M$1410)</f>
        <v/>
      </c>
      <c r="AN1407">
        <f>IF([3]Entry!$N$1410="","",[3]Entry!$N$1410)</f>
        <v/>
      </c>
      <c r="AO1407">
        <f>IF([3]Entry!$R$1410="","",[3]Entry!$R$1410)</f>
        <v/>
      </c>
    </row>
    <row r="1408">
      <c r="U1408">
        <f>IF([2]Baskol!$B$1411="","",[2]Baskol!$B$1411)</f>
        <v/>
      </c>
      <c r="V1408">
        <f>IF([2]Baskol!$C$1411="","",[2]Baskol!$C$1411)</f>
        <v/>
      </c>
      <c r="W1408">
        <f>IF([2]Baskol!$D$1411="","",[2]Baskol!$D$1411)</f>
        <v/>
      </c>
      <c r="X1408">
        <f>IF([2]Baskol!$E$1411="","",[2]Baskol!$E$1411)</f>
        <v/>
      </c>
      <c r="Y1408">
        <f>IF([2]Baskol!$G$1411="","",[2]Baskol!$G$1411)</f>
        <v/>
      </c>
      <c r="Z1408">
        <f>IF([2]Baskol!$I$1411="","",[2]Baskol!$I$1411)</f>
        <v/>
      </c>
      <c r="AA1408">
        <f>IF([2]Baskol!$J$1411="","",[2]Baskol!$J$1411)</f>
        <v/>
      </c>
      <c r="AB1408">
        <f>IF([2]Baskol!$K$1411="","",[2]Baskol!$K$1411)</f>
        <v/>
      </c>
      <c r="AC1408">
        <f>IF([2]Baskol!$L$1411="","",[2]Baskol!$L$1411)</f>
        <v/>
      </c>
      <c r="AD1408">
        <f>IF([2]Baskol!$N$1411="","",[2]Baskol!$N$1411)</f>
        <v/>
      </c>
      <c r="AE1408">
        <f>IF([2]Baskol!$O$1411="","",[2]Baskol!$O$1411)</f>
        <v/>
      </c>
      <c r="AG1408">
        <f>IF([3]Entry!$C$1411="","",[3]Entry!$C$1411)</f>
        <v/>
      </c>
      <c r="AH1408">
        <f>IF([3]Entry!$D$1411="","",[3]Entry!$D$1411)</f>
        <v/>
      </c>
      <c r="AI1408">
        <f>IF([3]Entry!$E$1411="","",[3]Entry!$E$1411)</f>
        <v/>
      </c>
      <c r="AJ1408">
        <f>IF([3]Entry!$G$1411="","",[3]Entry!$G$1411)</f>
        <v/>
      </c>
      <c r="AK1408">
        <f>IF([3]Entry!$K$1411="","",[3]Entry!$K$1411)</f>
        <v/>
      </c>
      <c r="AL1408">
        <f>IF([3]Entry!$L$1411="","",[3]Entry!$L$1411)</f>
        <v/>
      </c>
      <c r="AM1408">
        <f>IF([3]Entry!$M$1411="","",[3]Entry!$M$1411)</f>
        <v/>
      </c>
      <c r="AN1408">
        <f>IF([3]Entry!$N$1411="","",[3]Entry!$N$1411)</f>
        <v/>
      </c>
      <c r="AO1408">
        <f>IF([3]Entry!$R$1411="","",[3]Entry!$R$1411)</f>
        <v/>
      </c>
    </row>
    <row r="1409">
      <c r="U1409">
        <f>IF([2]Baskol!$B$1412="","",[2]Baskol!$B$1412)</f>
        <v/>
      </c>
      <c r="V1409">
        <f>IF([2]Baskol!$C$1412="","",[2]Baskol!$C$1412)</f>
        <v/>
      </c>
      <c r="W1409">
        <f>IF([2]Baskol!$D$1412="","",[2]Baskol!$D$1412)</f>
        <v/>
      </c>
      <c r="X1409">
        <f>IF([2]Baskol!$E$1412="","",[2]Baskol!$E$1412)</f>
        <v/>
      </c>
      <c r="Y1409">
        <f>IF([2]Baskol!$G$1412="","",[2]Baskol!$G$1412)</f>
        <v/>
      </c>
      <c r="Z1409">
        <f>IF([2]Baskol!$I$1412="","",[2]Baskol!$I$1412)</f>
        <v/>
      </c>
      <c r="AA1409">
        <f>IF([2]Baskol!$J$1412="","",[2]Baskol!$J$1412)</f>
        <v/>
      </c>
      <c r="AB1409">
        <f>IF([2]Baskol!$K$1412="","",[2]Baskol!$K$1412)</f>
        <v/>
      </c>
      <c r="AC1409">
        <f>IF([2]Baskol!$L$1412="","",[2]Baskol!$L$1412)</f>
        <v/>
      </c>
      <c r="AD1409">
        <f>IF([2]Baskol!$N$1412="","",[2]Baskol!$N$1412)</f>
        <v/>
      </c>
      <c r="AE1409">
        <f>IF([2]Baskol!$O$1412="","",[2]Baskol!$O$1412)</f>
        <v/>
      </c>
      <c r="AG1409">
        <f>IF([3]Entry!$C$1412="","",[3]Entry!$C$1412)</f>
        <v/>
      </c>
      <c r="AH1409">
        <f>IF([3]Entry!$D$1412="","",[3]Entry!$D$1412)</f>
        <v/>
      </c>
      <c r="AI1409">
        <f>IF([3]Entry!$E$1412="","",[3]Entry!$E$1412)</f>
        <v/>
      </c>
      <c r="AJ1409">
        <f>IF([3]Entry!$G$1412="","",[3]Entry!$G$1412)</f>
        <v/>
      </c>
      <c r="AK1409">
        <f>IF([3]Entry!$K$1412="","",[3]Entry!$K$1412)</f>
        <v/>
      </c>
      <c r="AL1409">
        <f>IF([3]Entry!$L$1412="","",[3]Entry!$L$1412)</f>
        <v/>
      </c>
      <c r="AM1409">
        <f>IF([3]Entry!$M$1412="","",[3]Entry!$M$1412)</f>
        <v/>
      </c>
      <c r="AN1409">
        <f>IF([3]Entry!$N$1412="","",[3]Entry!$N$1412)</f>
        <v/>
      </c>
      <c r="AO1409">
        <f>IF([3]Entry!$R$1412="","",[3]Entry!$R$1412)</f>
        <v/>
      </c>
    </row>
    <row r="1410">
      <c r="U1410">
        <f>IF([2]Baskol!$B$1413="","",[2]Baskol!$B$1413)</f>
        <v/>
      </c>
      <c r="V1410">
        <f>IF([2]Baskol!$C$1413="","",[2]Baskol!$C$1413)</f>
        <v/>
      </c>
      <c r="W1410">
        <f>IF([2]Baskol!$D$1413="","",[2]Baskol!$D$1413)</f>
        <v/>
      </c>
      <c r="X1410">
        <f>IF([2]Baskol!$E$1413="","",[2]Baskol!$E$1413)</f>
        <v/>
      </c>
      <c r="Y1410">
        <f>IF([2]Baskol!$G$1413="","",[2]Baskol!$G$1413)</f>
        <v/>
      </c>
      <c r="Z1410">
        <f>IF([2]Baskol!$I$1413="","",[2]Baskol!$I$1413)</f>
        <v/>
      </c>
      <c r="AA1410">
        <f>IF([2]Baskol!$J$1413="","",[2]Baskol!$J$1413)</f>
        <v/>
      </c>
      <c r="AB1410">
        <f>IF([2]Baskol!$K$1413="","",[2]Baskol!$K$1413)</f>
        <v/>
      </c>
      <c r="AC1410">
        <f>IF([2]Baskol!$L$1413="","",[2]Baskol!$L$1413)</f>
        <v/>
      </c>
      <c r="AD1410">
        <f>IF([2]Baskol!$N$1413="","",[2]Baskol!$N$1413)</f>
        <v/>
      </c>
      <c r="AE1410">
        <f>IF([2]Baskol!$O$1413="","",[2]Baskol!$O$1413)</f>
        <v/>
      </c>
      <c r="AG1410">
        <f>IF([3]Entry!$C$1413="","",[3]Entry!$C$1413)</f>
        <v/>
      </c>
      <c r="AH1410">
        <f>IF([3]Entry!$D$1413="","",[3]Entry!$D$1413)</f>
        <v/>
      </c>
      <c r="AI1410">
        <f>IF([3]Entry!$E$1413="","",[3]Entry!$E$1413)</f>
        <v/>
      </c>
      <c r="AJ1410">
        <f>IF([3]Entry!$G$1413="","",[3]Entry!$G$1413)</f>
        <v/>
      </c>
      <c r="AK1410">
        <f>IF([3]Entry!$K$1413="","",[3]Entry!$K$1413)</f>
        <v/>
      </c>
      <c r="AL1410">
        <f>IF([3]Entry!$L$1413="","",[3]Entry!$L$1413)</f>
        <v/>
      </c>
      <c r="AM1410">
        <f>IF([3]Entry!$M$1413="","",[3]Entry!$M$1413)</f>
        <v/>
      </c>
      <c r="AN1410">
        <f>IF([3]Entry!$N$1413="","",[3]Entry!$N$1413)</f>
        <v/>
      </c>
      <c r="AO1410">
        <f>IF([3]Entry!$R$1413="","",[3]Entry!$R$1413)</f>
        <v/>
      </c>
    </row>
    <row r="1411">
      <c r="U1411">
        <f>IF([2]Baskol!$B$1414="","",[2]Baskol!$B$1414)</f>
        <v/>
      </c>
      <c r="V1411">
        <f>IF([2]Baskol!$C$1414="","",[2]Baskol!$C$1414)</f>
        <v/>
      </c>
      <c r="W1411">
        <f>IF([2]Baskol!$D$1414="","",[2]Baskol!$D$1414)</f>
        <v/>
      </c>
      <c r="X1411">
        <f>IF([2]Baskol!$E$1414="","",[2]Baskol!$E$1414)</f>
        <v/>
      </c>
      <c r="Y1411">
        <f>IF([2]Baskol!$G$1414="","",[2]Baskol!$G$1414)</f>
        <v/>
      </c>
      <c r="Z1411">
        <f>IF([2]Baskol!$I$1414="","",[2]Baskol!$I$1414)</f>
        <v/>
      </c>
      <c r="AA1411">
        <f>IF([2]Baskol!$J$1414="","",[2]Baskol!$J$1414)</f>
        <v/>
      </c>
      <c r="AB1411">
        <f>IF([2]Baskol!$K$1414="","",[2]Baskol!$K$1414)</f>
        <v/>
      </c>
      <c r="AC1411">
        <f>IF([2]Baskol!$L$1414="","",[2]Baskol!$L$1414)</f>
        <v/>
      </c>
      <c r="AD1411">
        <f>IF([2]Baskol!$N$1414="","",[2]Baskol!$N$1414)</f>
        <v/>
      </c>
      <c r="AE1411">
        <f>IF([2]Baskol!$O$1414="","",[2]Baskol!$O$1414)</f>
        <v/>
      </c>
      <c r="AG1411">
        <f>IF([3]Entry!$C$1414="","",[3]Entry!$C$1414)</f>
        <v/>
      </c>
      <c r="AH1411">
        <f>IF([3]Entry!$D$1414="","",[3]Entry!$D$1414)</f>
        <v/>
      </c>
      <c r="AI1411">
        <f>IF([3]Entry!$E$1414="","",[3]Entry!$E$1414)</f>
        <v/>
      </c>
      <c r="AJ1411">
        <f>IF([3]Entry!$G$1414="","",[3]Entry!$G$1414)</f>
        <v/>
      </c>
      <c r="AK1411">
        <f>IF([3]Entry!$K$1414="","",[3]Entry!$K$1414)</f>
        <v/>
      </c>
      <c r="AL1411">
        <f>IF([3]Entry!$L$1414="","",[3]Entry!$L$1414)</f>
        <v/>
      </c>
      <c r="AM1411">
        <f>IF([3]Entry!$M$1414="","",[3]Entry!$M$1414)</f>
        <v/>
      </c>
      <c r="AN1411">
        <f>IF([3]Entry!$N$1414="","",[3]Entry!$N$1414)</f>
        <v/>
      </c>
      <c r="AO1411">
        <f>IF([3]Entry!$R$1414="","",[3]Entry!$R$1414)</f>
        <v/>
      </c>
    </row>
    <row r="1412">
      <c r="U1412">
        <f>IF([2]Baskol!$B$1415="","",[2]Baskol!$B$1415)</f>
        <v/>
      </c>
      <c r="V1412">
        <f>IF([2]Baskol!$C$1415="","",[2]Baskol!$C$1415)</f>
        <v/>
      </c>
      <c r="W1412">
        <f>IF([2]Baskol!$D$1415="","",[2]Baskol!$D$1415)</f>
        <v/>
      </c>
      <c r="X1412">
        <f>IF([2]Baskol!$E$1415="","",[2]Baskol!$E$1415)</f>
        <v/>
      </c>
      <c r="Y1412">
        <f>IF([2]Baskol!$G$1415="","",[2]Baskol!$G$1415)</f>
        <v/>
      </c>
      <c r="Z1412">
        <f>IF([2]Baskol!$I$1415="","",[2]Baskol!$I$1415)</f>
        <v/>
      </c>
      <c r="AA1412">
        <f>IF([2]Baskol!$J$1415="","",[2]Baskol!$J$1415)</f>
        <v/>
      </c>
      <c r="AB1412">
        <f>IF([2]Baskol!$K$1415="","",[2]Baskol!$K$1415)</f>
        <v/>
      </c>
      <c r="AC1412">
        <f>IF([2]Baskol!$L$1415="","",[2]Baskol!$L$1415)</f>
        <v/>
      </c>
      <c r="AD1412">
        <f>IF([2]Baskol!$N$1415="","",[2]Baskol!$N$1415)</f>
        <v/>
      </c>
      <c r="AE1412">
        <f>IF([2]Baskol!$O$1415="","",[2]Baskol!$O$1415)</f>
        <v/>
      </c>
      <c r="AG1412">
        <f>IF([3]Entry!$C$1415="","",[3]Entry!$C$1415)</f>
        <v/>
      </c>
      <c r="AH1412">
        <f>IF([3]Entry!$D$1415="","",[3]Entry!$D$1415)</f>
        <v/>
      </c>
      <c r="AI1412">
        <f>IF([3]Entry!$E$1415="","",[3]Entry!$E$1415)</f>
        <v/>
      </c>
      <c r="AJ1412">
        <f>IF([3]Entry!$G$1415="","",[3]Entry!$G$1415)</f>
        <v/>
      </c>
      <c r="AK1412">
        <f>IF([3]Entry!$K$1415="","",[3]Entry!$K$1415)</f>
        <v/>
      </c>
      <c r="AL1412">
        <f>IF([3]Entry!$L$1415="","",[3]Entry!$L$1415)</f>
        <v/>
      </c>
      <c r="AM1412">
        <f>IF([3]Entry!$M$1415="","",[3]Entry!$M$1415)</f>
        <v/>
      </c>
      <c r="AN1412">
        <f>IF([3]Entry!$N$1415="","",[3]Entry!$N$1415)</f>
        <v/>
      </c>
      <c r="AO1412">
        <f>IF([3]Entry!$R$1415="","",[3]Entry!$R$1415)</f>
        <v/>
      </c>
    </row>
    <row r="1413">
      <c r="U1413">
        <f>IF([2]Baskol!$B$1416="","",[2]Baskol!$B$1416)</f>
        <v/>
      </c>
      <c r="V1413">
        <f>IF([2]Baskol!$C$1416="","",[2]Baskol!$C$1416)</f>
        <v/>
      </c>
      <c r="W1413">
        <f>IF([2]Baskol!$D$1416="","",[2]Baskol!$D$1416)</f>
        <v/>
      </c>
      <c r="X1413">
        <f>IF([2]Baskol!$E$1416="","",[2]Baskol!$E$1416)</f>
        <v/>
      </c>
      <c r="Y1413">
        <f>IF([2]Baskol!$G$1416="","",[2]Baskol!$G$1416)</f>
        <v/>
      </c>
      <c r="Z1413">
        <f>IF([2]Baskol!$I$1416="","",[2]Baskol!$I$1416)</f>
        <v/>
      </c>
      <c r="AA1413">
        <f>IF([2]Baskol!$J$1416="","",[2]Baskol!$J$1416)</f>
        <v/>
      </c>
      <c r="AB1413">
        <f>IF([2]Baskol!$K$1416="","",[2]Baskol!$K$1416)</f>
        <v/>
      </c>
      <c r="AC1413">
        <f>IF([2]Baskol!$L$1416="","",[2]Baskol!$L$1416)</f>
        <v/>
      </c>
      <c r="AD1413">
        <f>IF([2]Baskol!$N$1416="","",[2]Baskol!$N$1416)</f>
        <v/>
      </c>
      <c r="AE1413">
        <f>IF([2]Baskol!$O$1416="","",[2]Baskol!$O$1416)</f>
        <v/>
      </c>
      <c r="AG1413">
        <f>IF([3]Entry!$C$1416="","",[3]Entry!$C$1416)</f>
        <v/>
      </c>
      <c r="AH1413">
        <f>IF([3]Entry!$D$1416="","",[3]Entry!$D$1416)</f>
        <v/>
      </c>
      <c r="AI1413">
        <f>IF([3]Entry!$E$1416="","",[3]Entry!$E$1416)</f>
        <v/>
      </c>
      <c r="AJ1413">
        <f>IF([3]Entry!$G$1416="","",[3]Entry!$G$1416)</f>
        <v/>
      </c>
      <c r="AK1413">
        <f>IF([3]Entry!$K$1416="","",[3]Entry!$K$1416)</f>
        <v/>
      </c>
      <c r="AL1413">
        <f>IF([3]Entry!$L$1416="","",[3]Entry!$L$1416)</f>
        <v/>
      </c>
      <c r="AM1413">
        <f>IF([3]Entry!$M$1416="","",[3]Entry!$M$1416)</f>
        <v/>
      </c>
      <c r="AN1413">
        <f>IF([3]Entry!$N$1416="","",[3]Entry!$N$1416)</f>
        <v/>
      </c>
      <c r="AO1413">
        <f>IF([3]Entry!$R$1416="","",[3]Entry!$R$1416)</f>
        <v/>
      </c>
    </row>
    <row r="1414">
      <c r="U1414">
        <f>IF([2]Baskol!$B$1417="","",[2]Baskol!$B$1417)</f>
        <v/>
      </c>
      <c r="V1414">
        <f>IF([2]Baskol!$C$1417="","",[2]Baskol!$C$1417)</f>
        <v/>
      </c>
      <c r="W1414">
        <f>IF([2]Baskol!$D$1417="","",[2]Baskol!$D$1417)</f>
        <v/>
      </c>
      <c r="X1414">
        <f>IF([2]Baskol!$E$1417="","",[2]Baskol!$E$1417)</f>
        <v/>
      </c>
      <c r="Y1414">
        <f>IF([2]Baskol!$G$1417="","",[2]Baskol!$G$1417)</f>
        <v/>
      </c>
      <c r="Z1414">
        <f>IF([2]Baskol!$I$1417="","",[2]Baskol!$I$1417)</f>
        <v/>
      </c>
      <c r="AA1414">
        <f>IF([2]Baskol!$J$1417="","",[2]Baskol!$J$1417)</f>
        <v/>
      </c>
      <c r="AB1414">
        <f>IF([2]Baskol!$K$1417="","",[2]Baskol!$K$1417)</f>
        <v/>
      </c>
      <c r="AC1414">
        <f>IF([2]Baskol!$L$1417="","",[2]Baskol!$L$1417)</f>
        <v/>
      </c>
      <c r="AD1414">
        <f>IF([2]Baskol!$N$1417="","",[2]Baskol!$N$1417)</f>
        <v/>
      </c>
      <c r="AE1414">
        <f>IF([2]Baskol!$O$1417="","",[2]Baskol!$O$1417)</f>
        <v/>
      </c>
      <c r="AG1414">
        <f>IF([3]Entry!$C$1417="","",[3]Entry!$C$1417)</f>
        <v/>
      </c>
      <c r="AH1414">
        <f>IF([3]Entry!$D$1417="","",[3]Entry!$D$1417)</f>
        <v/>
      </c>
      <c r="AI1414">
        <f>IF([3]Entry!$E$1417="","",[3]Entry!$E$1417)</f>
        <v/>
      </c>
      <c r="AJ1414">
        <f>IF([3]Entry!$G$1417="","",[3]Entry!$G$1417)</f>
        <v/>
      </c>
      <c r="AK1414">
        <f>IF([3]Entry!$K$1417="","",[3]Entry!$K$1417)</f>
        <v/>
      </c>
      <c r="AL1414">
        <f>IF([3]Entry!$L$1417="","",[3]Entry!$L$1417)</f>
        <v/>
      </c>
      <c r="AM1414">
        <f>IF([3]Entry!$M$1417="","",[3]Entry!$M$1417)</f>
        <v/>
      </c>
      <c r="AN1414">
        <f>IF([3]Entry!$N$1417="","",[3]Entry!$N$1417)</f>
        <v/>
      </c>
      <c r="AO1414">
        <f>IF([3]Entry!$R$1417="","",[3]Entry!$R$1417)</f>
        <v/>
      </c>
    </row>
    <row r="1415">
      <c r="U1415">
        <f>IF([2]Baskol!$B$1418="","",[2]Baskol!$B$1418)</f>
        <v/>
      </c>
      <c r="V1415">
        <f>IF([2]Baskol!$C$1418="","",[2]Baskol!$C$1418)</f>
        <v/>
      </c>
      <c r="W1415">
        <f>IF([2]Baskol!$D$1418="","",[2]Baskol!$D$1418)</f>
        <v/>
      </c>
      <c r="X1415">
        <f>IF([2]Baskol!$E$1418="","",[2]Baskol!$E$1418)</f>
        <v/>
      </c>
      <c r="Y1415">
        <f>IF([2]Baskol!$G$1418="","",[2]Baskol!$G$1418)</f>
        <v/>
      </c>
      <c r="Z1415">
        <f>IF([2]Baskol!$I$1418="","",[2]Baskol!$I$1418)</f>
        <v/>
      </c>
      <c r="AA1415">
        <f>IF([2]Baskol!$J$1418="","",[2]Baskol!$J$1418)</f>
        <v/>
      </c>
      <c r="AB1415">
        <f>IF([2]Baskol!$K$1418="","",[2]Baskol!$K$1418)</f>
        <v/>
      </c>
      <c r="AC1415">
        <f>IF([2]Baskol!$L$1418="","",[2]Baskol!$L$1418)</f>
        <v/>
      </c>
      <c r="AD1415">
        <f>IF([2]Baskol!$N$1418="","",[2]Baskol!$N$1418)</f>
        <v/>
      </c>
      <c r="AE1415">
        <f>IF([2]Baskol!$O$1418="","",[2]Baskol!$O$1418)</f>
        <v/>
      </c>
      <c r="AG1415">
        <f>IF([3]Entry!$C$1418="","",[3]Entry!$C$1418)</f>
        <v/>
      </c>
      <c r="AH1415">
        <f>IF([3]Entry!$D$1418="","",[3]Entry!$D$1418)</f>
        <v/>
      </c>
      <c r="AI1415">
        <f>IF([3]Entry!$E$1418="","",[3]Entry!$E$1418)</f>
        <v/>
      </c>
      <c r="AJ1415">
        <f>IF([3]Entry!$G$1418="","",[3]Entry!$G$1418)</f>
        <v/>
      </c>
      <c r="AK1415">
        <f>IF([3]Entry!$K$1418="","",[3]Entry!$K$1418)</f>
        <v/>
      </c>
      <c r="AL1415">
        <f>IF([3]Entry!$L$1418="","",[3]Entry!$L$1418)</f>
        <v/>
      </c>
      <c r="AM1415">
        <f>IF([3]Entry!$M$1418="","",[3]Entry!$M$1418)</f>
        <v/>
      </c>
      <c r="AN1415">
        <f>IF([3]Entry!$N$1418="","",[3]Entry!$N$1418)</f>
        <v/>
      </c>
      <c r="AO1415">
        <f>IF([3]Entry!$R$1418="","",[3]Entry!$R$1418)</f>
        <v/>
      </c>
    </row>
    <row r="1416">
      <c r="U1416">
        <f>IF([2]Baskol!$B$1419="","",[2]Baskol!$B$1419)</f>
        <v/>
      </c>
      <c r="V1416">
        <f>IF([2]Baskol!$C$1419="","",[2]Baskol!$C$1419)</f>
        <v/>
      </c>
      <c r="W1416">
        <f>IF([2]Baskol!$D$1419="","",[2]Baskol!$D$1419)</f>
        <v/>
      </c>
      <c r="X1416">
        <f>IF([2]Baskol!$E$1419="","",[2]Baskol!$E$1419)</f>
        <v/>
      </c>
      <c r="Y1416">
        <f>IF([2]Baskol!$G$1419="","",[2]Baskol!$G$1419)</f>
        <v/>
      </c>
      <c r="Z1416">
        <f>IF([2]Baskol!$I$1419="","",[2]Baskol!$I$1419)</f>
        <v/>
      </c>
      <c r="AA1416">
        <f>IF([2]Baskol!$J$1419="","",[2]Baskol!$J$1419)</f>
        <v/>
      </c>
      <c r="AB1416">
        <f>IF([2]Baskol!$K$1419="","",[2]Baskol!$K$1419)</f>
        <v/>
      </c>
      <c r="AC1416">
        <f>IF([2]Baskol!$L$1419="","",[2]Baskol!$L$1419)</f>
        <v/>
      </c>
      <c r="AD1416">
        <f>IF([2]Baskol!$N$1419="","",[2]Baskol!$N$1419)</f>
        <v/>
      </c>
      <c r="AE1416">
        <f>IF([2]Baskol!$O$1419="","",[2]Baskol!$O$1419)</f>
        <v/>
      </c>
      <c r="AG1416">
        <f>IF([3]Entry!$C$1419="","",[3]Entry!$C$1419)</f>
        <v/>
      </c>
      <c r="AH1416">
        <f>IF([3]Entry!$D$1419="","",[3]Entry!$D$1419)</f>
        <v/>
      </c>
      <c r="AI1416">
        <f>IF([3]Entry!$E$1419="","",[3]Entry!$E$1419)</f>
        <v/>
      </c>
      <c r="AJ1416">
        <f>IF([3]Entry!$G$1419="","",[3]Entry!$G$1419)</f>
        <v/>
      </c>
      <c r="AK1416">
        <f>IF([3]Entry!$K$1419="","",[3]Entry!$K$1419)</f>
        <v/>
      </c>
      <c r="AL1416">
        <f>IF([3]Entry!$L$1419="","",[3]Entry!$L$1419)</f>
        <v/>
      </c>
      <c r="AM1416">
        <f>IF([3]Entry!$M$1419="","",[3]Entry!$M$1419)</f>
        <v/>
      </c>
      <c r="AN1416">
        <f>IF([3]Entry!$N$1419="","",[3]Entry!$N$1419)</f>
        <v/>
      </c>
      <c r="AO1416">
        <f>IF([3]Entry!$R$1419="","",[3]Entry!$R$1419)</f>
        <v/>
      </c>
    </row>
    <row r="1417">
      <c r="U1417">
        <f>IF([2]Baskol!$B$1420="","",[2]Baskol!$B$1420)</f>
        <v/>
      </c>
      <c r="V1417">
        <f>IF([2]Baskol!$C$1420="","",[2]Baskol!$C$1420)</f>
        <v/>
      </c>
      <c r="W1417">
        <f>IF([2]Baskol!$D$1420="","",[2]Baskol!$D$1420)</f>
        <v/>
      </c>
      <c r="X1417">
        <f>IF([2]Baskol!$E$1420="","",[2]Baskol!$E$1420)</f>
        <v/>
      </c>
      <c r="Y1417">
        <f>IF([2]Baskol!$G$1420="","",[2]Baskol!$G$1420)</f>
        <v/>
      </c>
      <c r="Z1417">
        <f>IF([2]Baskol!$I$1420="","",[2]Baskol!$I$1420)</f>
        <v/>
      </c>
      <c r="AA1417">
        <f>IF([2]Baskol!$J$1420="","",[2]Baskol!$J$1420)</f>
        <v/>
      </c>
      <c r="AB1417">
        <f>IF([2]Baskol!$K$1420="","",[2]Baskol!$K$1420)</f>
        <v/>
      </c>
      <c r="AC1417">
        <f>IF([2]Baskol!$L$1420="","",[2]Baskol!$L$1420)</f>
        <v/>
      </c>
      <c r="AD1417">
        <f>IF([2]Baskol!$N$1420="","",[2]Baskol!$N$1420)</f>
        <v/>
      </c>
      <c r="AE1417">
        <f>IF([2]Baskol!$O$1420="","",[2]Baskol!$O$1420)</f>
        <v/>
      </c>
      <c r="AG1417">
        <f>IF([3]Entry!$C$1420="","",[3]Entry!$C$1420)</f>
        <v/>
      </c>
      <c r="AH1417">
        <f>IF([3]Entry!$D$1420="","",[3]Entry!$D$1420)</f>
        <v/>
      </c>
      <c r="AI1417">
        <f>IF([3]Entry!$E$1420="","",[3]Entry!$E$1420)</f>
        <v/>
      </c>
      <c r="AJ1417">
        <f>IF([3]Entry!$G$1420="","",[3]Entry!$G$1420)</f>
        <v/>
      </c>
      <c r="AK1417">
        <f>IF([3]Entry!$K$1420="","",[3]Entry!$K$1420)</f>
        <v/>
      </c>
      <c r="AL1417">
        <f>IF([3]Entry!$L$1420="","",[3]Entry!$L$1420)</f>
        <v/>
      </c>
      <c r="AM1417">
        <f>IF([3]Entry!$M$1420="","",[3]Entry!$M$1420)</f>
        <v/>
      </c>
      <c r="AN1417">
        <f>IF([3]Entry!$N$1420="","",[3]Entry!$N$1420)</f>
        <v/>
      </c>
      <c r="AO1417">
        <f>IF([3]Entry!$R$1420="","",[3]Entry!$R$1420)</f>
        <v/>
      </c>
    </row>
    <row r="1418">
      <c r="U1418">
        <f>IF([2]Baskol!$B$1421="","",[2]Baskol!$B$1421)</f>
        <v/>
      </c>
      <c r="V1418">
        <f>IF([2]Baskol!$C$1421="","",[2]Baskol!$C$1421)</f>
        <v/>
      </c>
      <c r="W1418">
        <f>IF([2]Baskol!$D$1421="","",[2]Baskol!$D$1421)</f>
        <v/>
      </c>
      <c r="X1418">
        <f>IF([2]Baskol!$E$1421="","",[2]Baskol!$E$1421)</f>
        <v/>
      </c>
      <c r="Y1418">
        <f>IF([2]Baskol!$G$1421="","",[2]Baskol!$G$1421)</f>
        <v/>
      </c>
      <c r="Z1418">
        <f>IF([2]Baskol!$I$1421="","",[2]Baskol!$I$1421)</f>
        <v/>
      </c>
      <c r="AA1418">
        <f>IF([2]Baskol!$J$1421="","",[2]Baskol!$J$1421)</f>
        <v/>
      </c>
      <c r="AB1418">
        <f>IF([2]Baskol!$K$1421="","",[2]Baskol!$K$1421)</f>
        <v/>
      </c>
      <c r="AC1418">
        <f>IF([2]Baskol!$L$1421="","",[2]Baskol!$L$1421)</f>
        <v/>
      </c>
      <c r="AD1418">
        <f>IF([2]Baskol!$N$1421="","",[2]Baskol!$N$1421)</f>
        <v/>
      </c>
      <c r="AE1418">
        <f>IF([2]Baskol!$O$1421="","",[2]Baskol!$O$1421)</f>
        <v/>
      </c>
      <c r="AG1418">
        <f>IF([3]Entry!$C$1421="","",[3]Entry!$C$1421)</f>
        <v/>
      </c>
      <c r="AH1418">
        <f>IF([3]Entry!$D$1421="","",[3]Entry!$D$1421)</f>
        <v/>
      </c>
      <c r="AI1418">
        <f>IF([3]Entry!$E$1421="","",[3]Entry!$E$1421)</f>
        <v/>
      </c>
      <c r="AJ1418">
        <f>IF([3]Entry!$G$1421="","",[3]Entry!$G$1421)</f>
        <v/>
      </c>
      <c r="AK1418">
        <f>IF([3]Entry!$K$1421="","",[3]Entry!$K$1421)</f>
        <v/>
      </c>
      <c r="AL1418">
        <f>IF([3]Entry!$L$1421="","",[3]Entry!$L$1421)</f>
        <v/>
      </c>
      <c r="AM1418">
        <f>IF([3]Entry!$M$1421="","",[3]Entry!$M$1421)</f>
        <v/>
      </c>
      <c r="AN1418">
        <f>IF([3]Entry!$N$1421="","",[3]Entry!$N$1421)</f>
        <v/>
      </c>
      <c r="AO1418">
        <f>IF([3]Entry!$R$1421="","",[3]Entry!$R$1421)</f>
        <v/>
      </c>
    </row>
    <row r="1419">
      <c r="U1419">
        <f>IF([2]Baskol!$B$1422="","",[2]Baskol!$B$1422)</f>
        <v/>
      </c>
      <c r="V1419">
        <f>IF([2]Baskol!$C$1422="","",[2]Baskol!$C$1422)</f>
        <v/>
      </c>
      <c r="W1419">
        <f>IF([2]Baskol!$D$1422="","",[2]Baskol!$D$1422)</f>
        <v/>
      </c>
      <c r="X1419">
        <f>IF([2]Baskol!$E$1422="","",[2]Baskol!$E$1422)</f>
        <v/>
      </c>
      <c r="Y1419">
        <f>IF([2]Baskol!$G$1422="","",[2]Baskol!$G$1422)</f>
        <v/>
      </c>
      <c r="Z1419">
        <f>IF([2]Baskol!$I$1422="","",[2]Baskol!$I$1422)</f>
        <v/>
      </c>
      <c r="AA1419">
        <f>IF([2]Baskol!$J$1422="","",[2]Baskol!$J$1422)</f>
        <v/>
      </c>
      <c r="AB1419">
        <f>IF([2]Baskol!$K$1422="","",[2]Baskol!$K$1422)</f>
        <v/>
      </c>
      <c r="AC1419">
        <f>IF([2]Baskol!$L$1422="","",[2]Baskol!$L$1422)</f>
        <v/>
      </c>
      <c r="AD1419">
        <f>IF([2]Baskol!$N$1422="","",[2]Baskol!$N$1422)</f>
        <v/>
      </c>
      <c r="AE1419">
        <f>IF([2]Baskol!$O$1422="","",[2]Baskol!$O$1422)</f>
        <v/>
      </c>
      <c r="AG1419">
        <f>IF([3]Entry!$C$1422="","",[3]Entry!$C$1422)</f>
        <v/>
      </c>
      <c r="AH1419">
        <f>IF([3]Entry!$D$1422="","",[3]Entry!$D$1422)</f>
        <v/>
      </c>
      <c r="AI1419">
        <f>IF([3]Entry!$E$1422="","",[3]Entry!$E$1422)</f>
        <v/>
      </c>
      <c r="AJ1419">
        <f>IF([3]Entry!$G$1422="","",[3]Entry!$G$1422)</f>
        <v/>
      </c>
      <c r="AK1419">
        <f>IF([3]Entry!$K$1422="","",[3]Entry!$K$1422)</f>
        <v/>
      </c>
      <c r="AL1419">
        <f>IF([3]Entry!$L$1422="","",[3]Entry!$L$1422)</f>
        <v/>
      </c>
      <c r="AM1419">
        <f>IF([3]Entry!$M$1422="","",[3]Entry!$M$1422)</f>
        <v/>
      </c>
      <c r="AN1419">
        <f>IF([3]Entry!$N$1422="","",[3]Entry!$N$1422)</f>
        <v/>
      </c>
      <c r="AO1419">
        <f>IF([3]Entry!$R$1422="","",[3]Entry!$R$1422)</f>
        <v/>
      </c>
    </row>
    <row r="1420">
      <c r="U1420">
        <f>IF([2]Baskol!$B$1423="","",[2]Baskol!$B$1423)</f>
        <v/>
      </c>
      <c r="V1420">
        <f>IF([2]Baskol!$C$1423="","",[2]Baskol!$C$1423)</f>
        <v/>
      </c>
      <c r="W1420">
        <f>IF([2]Baskol!$D$1423="","",[2]Baskol!$D$1423)</f>
        <v/>
      </c>
      <c r="X1420">
        <f>IF([2]Baskol!$E$1423="","",[2]Baskol!$E$1423)</f>
        <v/>
      </c>
      <c r="Y1420">
        <f>IF([2]Baskol!$G$1423="","",[2]Baskol!$G$1423)</f>
        <v/>
      </c>
      <c r="Z1420">
        <f>IF([2]Baskol!$I$1423="","",[2]Baskol!$I$1423)</f>
        <v/>
      </c>
      <c r="AA1420">
        <f>IF([2]Baskol!$J$1423="","",[2]Baskol!$J$1423)</f>
        <v/>
      </c>
      <c r="AB1420">
        <f>IF([2]Baskol!$K$1423="","",[2]Baskol!$K$1423)</f>
        <v/>
      </c>
      <c r="AC1420">
        <f>IF([2]Baskol!$L$1423="","",[2]Baskol!$L$1423)</f>
        <v/>
      </c>
      <c r="AD1420">
        <f>IF([2]Baskol!$N$1423="","",[2]Baskol!$N$1423)</f>
        <v/>
      </c>
      <c r="AE1420">
        <f>IF([2]Baskol!$O$1423="","",[2]Baskol!$O$1423)</f>
        <v/>
      </c>
      <c r="AG1420">
        <f>IF([3]Entry!$C$1423="","",[3]Entry!$C$1423)</f>
        <v/>
      </c>
      <c r="AH1420">
        <f>IF([3]Entry!$D$1423="","",[3]Entry!$D$1423)</f>
        <v/>
      </c>
      <c r="AI1420">
        <f>IF([3]Entry!$E$1423="","",[3]Entry!$E$1423)</f>
        <v/>
      </c>
      <c r="AJ1420">
        <f>IF([3]Entry!$G$1423="","",[3]Entry!$G$1423)</f>
        <v/>
      </c>
      <c r="AK1420">
        <f>IF([3]Entry!$K$1423="","",[3]Entry!$K$1423)</f>
        <v/>
      </c>
      <c r="AL1420">
        <f>IF([3]Entry!$L$1423="","",[3]Entry!$L$1423)</f>
        <v/>
      </c>
      <c r="AM1420">
        <f>IF([3]Entry!$M$1423="","",[3]Entry!$M$1423)</f>
        <v/>
      </c>
      <c r="AN1420">
        <f>IF([3]Entry!$N$1423="","",[3]Entry!$N$1423)</f>
        <v/>
      </c>
      <c r="AO1420">
        <f>IF([3]Entry!$R$1423="","",[3]Entry!$R$1423)</f>
        <v/>
      </c>
    </row>
    <row r="1421">
      <c r="U1421">
        <f>IF([2]Baskol!$B$1424="","",[2]Baskol!$B$1424)</f>
        <v/>
      </c>
      <c r="V1421">
        <f>IF([2]Baskol!$C$1424="","",[2]Baskol!$C$1424)</f>
        <v/>
      </c>
      <c r="W1421">
        <f>IF([2]Baskol!$D$1424="","",[2]Baskol!$D$1424)</f>
        <v/>
      </c>
      <c r="X1421">
        <f>IF([2]Baskol!$E$1424="","",[2]Baskol!$E$1424)</f>
        <v/>
      </c>
      <c r="Y1421">
        <f>IF([2]Baskol!$G$1424="","",[2]Baskol!$G$1424)</f>
        <v/>
      </c>
      <c r="Z1421">
        <f>IF([2]Baskol!$I$1424="","",[2]Baskol!$I$1424)</f>
        <v/>
      </c>
      <c r="AA1421">
        <f>IF([2]Baskol!$J$1424="","",[2]Baskol!$J$1424)</f>
        <v/>
      </c>
      <c r="AB1421">
        <f>IF([2]Baskol!$K$1424="","",[2]Baskol!$K$1424)</f>
        <v/>
      </c>
      <c r="AC1421">
        <f>IF([2]Baskol!$L$1424="","",[2]Baskol!$L$1424)</f>
        <v/>
      </c>
      <c r="AD1421">
        <f>IF([2]Baskol!$N$1424="","",[2]Baskol!$N$1424)</f>
        <v/>
      </c>
      <c r="AE1421">
        <f>IF([2]Baskol!$O$1424="","",[2]Baskol!$O$1424)</f>
        <v/>
      </c>
      <c r="AG1421">
        <f>IF([3]Entry!$C$1424="","",[3]Entry!$C$1424)</f>
        <v/>
      </c>
      <c r="AH1421">
        <f>IF([3]Entry!$D$1424="","",[3]Entry!$D$1424)</f>
        <v/>
      </c>
      <c r="AI1421">
        <f>IF([3]Entry!$E$1424="","",[3]Entry!$E$1424)</f>
        <v/>
      </c>
      <c r="AJ1421">
        <f>IF([3]Entry!$G$1424="","",[3]Entry!$G$1424)</f>
        <v/>
      </c>
      <c r="AK1421">
        <f>IF([3]Entry!$K$1424="","",[3]Entry!$K$1424)</f>
        <v/>
      </c>
      <c r="AL1421">
        <f>IF([3]Entry!$L$1424="","",[3]Entry!$L$1424)</f>
        <v/>
      </c>
      <c r="AM1421">
        <f>IF([3]Entry!$M$1424="","",[3]Entry!$M$1424)</f>
        <v/>
      </c>
      <c r="AN1421">
        <f>IF([3]Entry!$N$1424="","",[3]Entry!$N$1424)</f>
        <v/>
      </c>
      <c r="AO1421">
        <f>IF([3]Entry!$R$1424="","",[3]Entry!$R$1424)</f>
        <v/>
      </c>
    </row>
    <row r="1422">
      <c r="U1422">
        <f>IF([2]Baskol!$B$1425="","",[2]Baskol!$B$1425)</f>
        <v/>
      </c>
      <c r="V1422">
        <f>IF([2]Baskol!$C$1425="","",[2]Baskol!$C$1425)</f>
        <v/>
      </c>
      <c r="W1422">
        <f>IF([2]Baskol!$D$1425="","",[2]Baskol!$D$1425)</f>
        <v/>
      </c>
      <c r="X1422">
        <f>IF([2]Baskol!$E$1425="","",[2]Baskol!$E$1425)</f>
        <v/>
      </c>
      <c r="Y1422">
        <f>IF([2]Baskol!$G$1425="","",[2]Baskol!$G$1425)</f>
        <v/>
      </c>
      <c r="Z1422">
        <f>IF([2]Baskol!$I$1425="","",[2]Baskol!$I$1425)</f>
        <v/>
      </c>
      <c r="AA1422">
        <f>IF([2]Baskol!$J$1425="","",[2]Baskol!$J$1425)</f>
        <v/>
      </c>
      <c r="AB1422">
        <f>IF([2]Baskol!$K$1425="","",[2]Baskol!$K$1425)</f>
        <v/>
      </c>
      <c r="AC1422">
        <f>IF([2]Baskol!$L$1425="","",[2]Baskol!$L$1425)</f>
        <v/>
      </c>
      <c r="AD1422">
        <f>IF([2]Baskol!$N$1425="","",[2]Baskol!$N$1425)</f>
        <v/>
      </c>
      <c r="AE1422">
        <f>IF([2]Baskol!$O$1425="","",[2]Baskol!$O$1425)</f>
        <v/>
      </c>
      <c r="AG1422">
        <f>IF([3]Entry!$C$1425="","",[3]Entry!$C$1425)</f>
        <v/>
      </c>
      <c r="AH1422">
        <f>IF([3]Entry!$D$1425="","",[3]Entry!$D$1425)</f>
        <v/>
      </c>
      <c r="AI1422">
        <f>IF([3]Entry!$E$1425="","",[3]Entry!$E$1425)</f>
        <v/>
      </c>
      <c r="AJ1422">
        <f>IF([3]Entry!$G$1425="","",[3]Entry!$G$1425)</f>
        <v/>
      </c>
      <c r="AK1422">
        <f>IF([3]Entry!$K$1425="","",[3]Entry!$K$1425)</f>
        <v/>
      </c>
      <c r="AL1422">
        <f>IF([3]Entry!$L$1425="","",[3]Entry!$L$1425)</f>
        <v/>
      </c>
      <c r="AM1422">
        <f>IF([3]Entry!$M$1425="","",[3]Entry!$M$1425)</f>
        <v/>
      </c>
      <c r="AN1422">
        <f>IF([3]Entry!$N$1425="","",[3]Entry!$N$1425)</f>
        <v/>
      </c>
      <c r="AO1422">
        <f>IF([3]Entry!$R$1425="","",[3]Entry!$R$1425)</f>
        <v/>
      </c>
    </row>
    <row r="1423">
      <c r="U1423">
        <f>IF([2]Baskol!$B$1426="","",[2]Baskol!$B$1426)</f>
        <v/>
      </c>
      <c r="V1423">
        <f>IF([2]Baskol!$C$1426="","",[2]Baskol!$C$1426)</f>
        <v/>
      </c>
      <c r="W1423">
        <f>IF([2]Baskol!$D$1426="","",[2]Baskol!$D$1426)</f>
        <v/>
      </c>
      <c r="X1423">
        <f>IF([2]Baskol!$E$1426="","",[2]Baskol!$E$1426)</f>
        <v/>
      </c>
      <c r="Y1423">
        <f>IF([2]Baskol!$G$1426="","",[2]Baskol!$G$1426)</f>
        <v/>
      </c>
      <c r="Z1423">
        <f>IF([2]Baskol!$I$1426="","",[2]Baskol!$I$1426)</f>
        <v/>
      </c>
      <c r="AA1423">
        <f>IF([2]Baskol!$J$1426="","",[2]Baskol!$J$1426)</f>
        <v/>
      </c>
      <c r="AB1423">
        <f>IF([2]Baskol!$K$1426="","",[2]Baskol!$K$1426)</f>
        <v/>
      </c>
      <c r="AC1423">
        <f>IF([2]Baskol!$L$1426="","",[2]Baskol!$L$1426)</f>
        <v/>
      </c>
      <c r="AD1423">
        <f>IF([2]Baskol!$N$1426="","",[2]Baskol!$N$1426)</f>
        <v/>
      </c>
      <c r="AE1423">
        <f>IF([2]Baskol!$O$1426="","",[2]Baskol!$O$1426)</f>
        <v/>
      </c>
      <c r="AG1423">
        <f>IF([3]Entry!$C$1426="","",[3]Entry!$C$1426)</f>
        <v/>
      </c>
      <c r="AH1423">
        <f>IF([3]Entry!$D$1426="","",[3]Entry!$D$1426)</f>
        <v/>
      </c>
      <c r="AI1423">
        <f>IF([3]Entry!$E$1426="","",[3]Entry!$E$1426)</f>
        <v/>
      </c>
      <c r="AJ1423">
        <f>IF([3]Entry!$G$1426="","",[3]Entry!$G$1426)</f>
        <v/>
      </c>
      <c r="AK1423">
        <f>IF([3]Entry!$K$1426="","",[3]Entry!$K$1426)</f>
        <v/>
      </c>
      <c r="AL1423">
        <f>IF([3]Entry!$L$1426="","",[3]Entry!$L$1426)</f>
        <v/>
      </c>
      <c r="AM1423">
        <f>IF([3]Entry!$M$1426="","",[3]Entry!$M$1426)</f>
        <v/>
      </c>
      <c r="AN1423">
        <f>IF([3]Entry!$N$1426="","",[3]Entry!$N$1426)</f>
        <v/>
      </c>
      <c r="AO1423">
        <f>IF([3]Entry!$R$1426="","",[3]Entry!$R$1426)</f>
        <v/>
      </c>
    </row>
    <row r="1424">
      <c r="U1424">
        <f>IF([2]Baskol!$B$1427="","",[2]Baskol!$B$1427)</f>
        <v/>
      </c>
      <c r="V1424">
        <f>IF([2]Baskol!$C$1427="","",[2]Baskol!$C$1427)</f>
        <v/>
      </c>
      <c r="W1424">
        <f>IF([2]Baskol!$D$1427="","",[2]Baskol!$D$1427)</f>
        <v/>
      </c>
      <c r="X1424">
        <f>IF([2]Baskol!$E$1427="","",[2]Baskol!$E$1427)</f>
        <v/>
      </c>
      <c r="Y1424">
        <f>IF([2]Baskol!$G$1427="","",[2]Baskol!$G$1427)</f>
        <v/>
      </c>
      <c r="Z1424">
        <f>IF([2]Baskol!$I$1427="","",[2]Baskol!$I$1427)</f>
        <v/>
      </c>
      <c r="AA1424">
        <f>IF([2]Baskol!$J$1427="","",[2]Baskol!$J$1427)</f>
        <v/>
      </c>
      <c r="AB1424">
        <f>IF([2]Baskol!$K$1427="","",[2]Baskol!$K$1427)</f>
        <v/>
      </c>
      <c r="AC1424">
        <f>IF([2]Baskol!$L$1427="","",[2]Baskol!$L$1427)</f>
        <v/>
      </c>
      <c r="AD1424">
        <f>IF([2]Baskol!$N$1427="","",[2]Baskol!$N$1427)</f>
        <v/>
      </c>
      <c r="AE1424">
        <f>IF([2]Baskol!$O$1427="","",[2]Baskol!$O$1427)</f>
        <v/>
      </c>
      <c r="AG1424">
        <f>IF([3]Entry!$C$1427="","",[3]Entry!$C$1427)</f>
        <v/>
      </c>
      <c r="AH1424">
        <f>IF([3]Entry!$D$1427="","",[3]Entry!$D$1427)</f>
        <v/>
      </c>
      <c r="AI1424">
        <f>IF([3]Entry!$E$1427="","",[3]Entry!$E$1427)</f>
        <v/>
      </c>
      <c r="AJ1424">
        <f>IF([3]Entry!$G$1427="","",[3]Entry!$G$1427)</f>
        <v/>
      </c>
      <c r="AK1424">
        <f>IF([3]Entry!$K$1427="","",[3]Entry!$K$1427)</f>
        <v/>
      </c>
      <c r="AL1424">
        <f>IF([3]Entry!$L$1427="","",[3]Entry!$L$1427)</f>
        <v/>
      </c>
      <c r="AM1424">
        <f>IF([3]Entry!$M$1427="","",[3]Entry!$M$1427)</f>
        <v/>
      </c>
      <c r="AN1424">
        <f>IF([3]Entry!$N$1427="","",[3]Entry!$N$1427)</f>
        <v/>
      </c>
      <c r="AO1424">
        <f>IF([3]Entry!$R$1427="","",[3]Entry!$R$1427)</f>
        <v/>
      </c>
    </row>
    <row r="1425">
      <c r="U1425">
        <f>IF([2]Baskol!$B$1428="","",[2]Baskol!$B$1428)</f>
        <v/>
      </c>
      <c r="V1425">
        <f>IF([2]Baskol!$C$1428="","",[2]Baskol!$C$1428)</f>
        <v/>
      </c>
      <c r="W1425">
        <f>IF([2]Baskol!$D$1428="","",[2]Baskol!$D$1428)</f>
        <v/>
      </c>
      <c r="X1425">
        <f>IF([2]Baskol!$E$1428="","",[2]Baskol!$E$1428)</f>
        <v/>
      </c>
      <c r="Y1425">
        <f>IF([2]Baskol!$G$1428="","",[2]Baskol!$G$1428)</f>
        <v/>
      </c>
      <c r="Z1425">
        <f>IF([2]Baskol!$I$1428="","",[2]Baskol!$I$1428)</f>
        <v/>
      </c>
      <c r="AA1425">
        <f>IF([2]Baskol!$J$1428="","",[2]Baskol!$J$1428)</f>
        <v/>
      </c>
      <c r="AB1425">
        <f>IF([2]Baskol!$K$1428="","",[2]Baskol!$K$1428)</f>
        <v/>
      </c>
      <c r="AC1425">
        <f>IF([2]Baskol!$L$1428="","",[2]Baskol!$L$1428)</f>
        <v/>
      </c>
      <c r="AD1425">
        <f>IF([2]Baskol!$N$1428="","",[2]Baskol!$N$1428)</f>
        <v/>
      </c>
      <c r="AE1425">
        <f>IF([2]Baskol!$O$1428="","",[2]Baskol!$O$1428)</f>
        <v/>
      </c>
      <c r="AG1425">
        <f>IF([3]Entry!$C$1428="","",[3]Entry!$C$1428)</f>
        <v/>
      </c>
      <c r="AH1425">
        <f>IF([3]Entry!$D$1428="","",[3]Entry!$D$1428)</f>
        <v/>
      </c>
      <c r="AI1425">
        <f>IF([3]Entry!$E$1428="","",[3]Entry!$E$1428)</f>
        <v/>
      </c>
      <c r="AJ1425">
        <f>IF([3]Entry!$G$1428="","",[3]Entry!$G$1428)</f>
        <v/>
      </c>
      <c r="AK1425">
        <f>IF([3]Entry!$K$1428="","",[3]Entry!$K$1428)</f>
        <v/>
      </c>
      <c r="AL1425">
        <f>IF([3]Entry!$L$1428="","",[3]Entry!$L$1428)</f>
        <v/>
      </c>
      <c r="AM1425">
        <f>IF([3]Entry!$M$1428="","",[3]Entry!$M$1428)</f>
        <v/>
      </c>
      <c r="AN1425">
        <f>IF([3]Entry!$N$1428="","",[3]Entry!$N$1428)</f>
        <v/>
      </c>
      <c r="AO1425">
        <f>IF([3]Entry!$R$1428="","",[3]Entry!$R$1428)</f>
        <v/>
      </c>
    </row>
    <row r="1426">
      <c r="U1426">
        <f>IF([2]Baskol!$B$1429="","",[2]Baskol!$B$1429)</f>
        <v/>
      </c>
      <c r="V1426">
        <f>IF([2]Baskol!$C$1429="","",[2]Baskol!$C$1429)</f>
        <v/>
      </c>
      <c r="W1426">
        <f>IF([2]Baskol!$D$1429="","",[2]Baskol!$D$1429)</f>
        <v/>
      </c>
      <c r="X1426">
        <f>IF([2]Baskol!$E$1429="","",[2]Baskol!$E$1429)</f>
        <v/>
      </c>
      <c r="Y1426">
        <f>IF([2]Baskol!$G$1429="","",[2]Baskol!$G$1429)</f>
        <v/>
      </c>
      <c r="Z1426">
        <f>IF([2]Baskol!$I$1429="","",[2]Baskol!$I$1429)</f>
        <v/>
      </c>
      <c r="AA1426">
        <f>IF([2]Baskol!$J$1429="","",[2]Baskol!$J$1429)</f>
        <v/>
      </c>
      <c r="AB1426">
        <f>IF([2]Baskol!$K$1429="","",[2]Baskol!$K$1429)</f>
        <v/>
      </c>
      <c r="AC1426">
        <f>IF([2]Baskol!$L$1429="","",[2]Baskol!$L$1429)</f>
        <v/>
      </c>
      <c r="AD1426">
        <f>IF([2]Baskol!$N$1429="","",[2]Baskol!$N$1429)</f>
        <v/>
      </c>
      <c r="AE1426">
        <f>IF([2]Baskol!$O$1429="","",[2]Baskol!$O$1429)</f>
        <v/>
      </c>
      <c r="AG1426">
        <f>IF([3]Entry!$C$1429="","",[3]Entry!$C$1429)</f>
        <v/>
      </c>
      <c r="AH1426">
        <f>IF([3]Entry!$D$1429="","",[3]Entry!$D$1429)</f>
        <v/>
      </c>
      <c r="AI1426">
        <f>IF([3]Entry!$E$1429="","",[3]Entry!$E$1429)</f>
        <v/>
      </c>
      <c r="AJ1426">
        <f>IF([3]Entry!$G$1429="","",[3]Entry!$G$1429)</f>
        <v/>
      </c>
      <c r="AK1426">
        <f>IF([3]Entry!$K$1429="","",[3]Entry!$K$1429)</f>
        <v/>
      </c>
      <c r="AL1426">
        <f>IF([3]Entry!$L$1429="","",[3]Entry!$L$1429)</f>
        <v/>
      </c>
      <c r="AM1426">
        <f>IF([3]Entry!$M$1429="","",[3]Entry!$M$1429)</f>
        <v/>
      </c>
      <c r="AN1426">
        <f>IF([3]Entry!$N$1429="","",[3]Entry!$N$1429)</f>
        <v/>
      </c>
      <c r="AO1426">
        <f>IF([3]Entry!$R$1429="","",[3]Entry!$R$1429)</f>
        <v/>
      </c>
    </row>
    <row r="1427">
      <c r="U1427">
        <f>IF([2]Baskol!$B$1430="","",[2]Baskol!$B$1430)</f>
        <v/>
      </c>
      <c r="V1427">
        <f>IF([2]Baskol!$C$1430="","",[2]Baskol!$C$1430)</f>
        <v/>
      </c>
      <c r="W1427">
        <f>IF([2]Baskol!$D$1430="","",[2]Baskol!$D$1430)</f>
        <v/>
      </c>
      <c r="X1427">
        <f>IF([2]Baskol!$E$1430="","",[2]Baskol!$E$1430)</f>
        <v/>
      </c>
      <c r="Y1427">
        <f>IF([2]Baskol!$G$1430="","",[2]Baskol!$G$1430)</f>
        <v/>
      </c>
      <c r="Z1427">
        <f>IF([2]Baskol!$I$1430="","",[2]Baskol!$I$1430)</f>
        <v/>
      </c>
      <c r="AA1427">
        <f>IF([2]Baskol!$J$1430="","",[2]Baskol!$J$1430)</f>
        <v/>
      </c>
      <c r="AB1427">
        <f>IF([2]Baskol!$K$1430="","",[2]Baskol!$K$1430)</f>
        <v/>
      </c>
      <c r="AC1427">
        <f>IF([2]Baskol!$L$1430="","",[2]Baskol!$L$1430)</f>
        <v/>
      </c>
      <c r="AD1427">
        <f>IF([2]Baskol!$N$1430="","",[2]Baskol!$N$1430)</f>
        <v/>
      </c>
      <c r="AE1427">
        <f>IF([2]Baskol!$O$1430="","",[2]Baskol!$O$1430)</f>
        <v/>
      </c>
      <c r="AG1427">
        <f>IF([3]Entry!$C$1430="","",[3]Entry!$C$1430)</f>
        <v/>
      </c>
      <c r="AH1427">
        <f>IF([3]Entry!$D$1430="","",[3]Entry!$D$1430)</f>
        <v/>
      </c>
      <c r="AI1427">
        <f>IF([3]Entry!$E$1430="","",[3]Entry!$E$1430)</f>
        <v/>
      </c>
      <c r="AJ1427">
        <f>IF([3]Entry!$G$1430="","",[3]Entry!$G$1430)</f>
        <v/>
      </c>
      <c r="AK1427">
        <f>IF([3]Entry!$K$1430="","",[3]Entry!$K$1430)</f>
        <v/>
      </c>
      <c r="AL1427">
        <f>IF([3]Entry!$L$1430="","",[3]Entry!$L$1430)</f>
        <v/>
      </c>
      <c r="AM1427">
        <f>IF([3]Entry!$M$1430="","",[3]Entry!$M$1430)</f>
        <v/>
      </c>
      <c r="AN1427">
        <f>IF([3]Entry!$N$1430="","",[3]Entry!$N$1430)</f>
        <v/>
      </c>
      <c r="AO1427">
        <f>IF([3]Entry!$R$1430="","",[3]Entry!$R$1430)</f>
        <v/>
      </c>
    </row>
    <row r="1428">
      <c r="U1428">
        <f>IF([2]Baskol!$B$1431="","",[2]Baskol!$B$1431)</f>
        <v/>
      </c>
      <c r="V1428">
        <f>IF([2]Baskol!$C$1431="","",[2]Baskol!$C$1431)</f>
        <v/>
      </c>
      <c r="W1428">
        <f>IF([2]Baskol!$D$1431="","",[2]Baskol!$D$1431)</f>
        <v/>
      </c>
      <c r="X1428">
        <f>IF([2]Baskol!$E$1431="","",[2]Baskol!$E$1431)</f>
        <v/>
      </c>
      <c r="Y1428">
        <f>IF([2]Baskol!$G$1431="","",[2]Baskol!$G$1431)</f>
        <v/>
      </c>
      <c r="Z1428">
        <f>IF([2]Baskol!$I$1431="","",[2]Baskol!$I$1431)</f>
        <v/>
      </c>
      <c r="AA1428">
        <f>IF([2]Baskol!$J$1431="","",[2]Baskol!$J$1431)</f>
        <v/>
      </c>
      <c r="AB1428">
        <f>IF([2]Baskol!$K$1431="","",[2]Baskol!$K$1431)</f>
        <v/>
      </c>
      <c r="AC1428">
        <f>IF([2]Baskol!$L$1431="","",[2]Baskol!$L$1431)</f>
        <v/>
      </c>
      <c r="AD1428">
        <f>IF([2]Baskol!$N$1431="","",[2]Baskol!$N$1431)</f>
        <v/>
      </c>
      <c r="AE1428">
        <f>IF([2]Baskol!$O$1431="","",[2]Baskol!$O$1431)</f>
        <v/>
      </c>
      <c r="AG1428">
        <f>IF([3]Entry!$C$1431="","",[3]Entry!$C$1431)</f>
        <v/>
      </c>
      <c r="AH1428">
        <f>IF([3]Entry!$D$1431="","",[3]Entry!$D$1431)</f>
        <v/>
      </c>
      <c r="AI1428">
        <f>IF([3]Entry!$E$1431="","",[3]Entry!$E$1431)</f>
        <v/>
      </c>
      <c r="AJ1428">
        <f>IF([3]Entry!$G$1431="","",[3]Entry!$G$1431)</f>
        <v/>
      </c>
      <c r="AK1428">
        <f>IF([3]Entry!$K$1431="","",[3]Entry!$K$1431)</f>
        <v/>
      </c>
      <c r="AL1428">
        <f>IF([3]Entry!$L$1431="","",[3]Entry!$L$1431)</f>
        <v/>
      </c>
      <c r="AM1428">
        <f>IF([3]Entry!$M$1431="","",[3]Entry!$M$1431)</f>
        <v/>
      </c>
      <c r="AN1428">
        <f>IF([3]Entry!$N$1431="","",[3]Entry!$N$1431)</f>
        <v/>
      </c>
      <c r="AO1428">
        <f>IF([3]Entry!$R$1431="","",[3]Entry!$R$1431)</f>
        <v/>
      </c>
    </row>
    <row r="1429">
      <c r="U1429">
        <f>IF([2]Baskol!$B$1432="","",[2]Baskol!$B$1432)</f>
        <v/>
      </c>
      <c r="V1429">
        <f>IF([2]Baskol!$C$1432="","",[2]Baskol!$C$1432)</f>
        <v/>
      </c>
      <c r="W1429">
        <f>IF([2]Baskol!$D$1432="","",[2]Baskol!$D$1432)</f>
        <v/>
      </c>
      <c r="X1429">
        <f>IF([2]Baskol!$E$1432="","",[2]Baskol!$E$1432)</f>
        <v/>
      </c>
      <c r="Y1429">
        <f>IF([2]Baskol!$G$1432="","",[2]Baskol!$G$1432)</f>
        <v/>
      </c>
      <c r="Z1429">
        <f>IF([2]Baskol!$I$1432="","",[2]Baskol!$I$1432)</f>
        <v/>
      </c>
      <c r="AA1429">
        <f>IF([2]Baskol!$J$1432="","",[2]Baskol!$J$1432)</f>
        <v/>
      </c>
      <c r="AB1429">
        <f>IF([2]Baskol!$K$1432="","",[2]Baskol!$K$1432)</f>
        <v/>
      </c>
      <c r="AC1429">
        <f>IF([2]Baskol!$L$1432="","",[2]Baskol!$L$1432)</f>
        <v/>
      </c>
      <c r="AD1429">
        <f>IF([2]Baskol!$N$1432="","",[2]Baskol!$N$1432)</f>
        <v/>
      </c>
      <c r="AE1429">
        <f>IF([2]Baskol!$O$1432="","",[2]Baskol!$O$1432)</f>
        <v/>
      </c>
      <c r="AG1429">
        <f>IF([3]Entry!$C$1432="","",[3]Entry!$C$1432)</f>
        <v/>
      </c>
      <c r="AH1429">
        <f>IF([3]Entry!$D$1432="","",[3]Entry!$D$1432)</f>
        <v/>
      </c>
      <c r="AI1429">
        <f>IF([3]Entry!$E$1432="","",[3]Entry!$E$1432)</f>
        <v/>
      </c>
      <c r="AJ1429">
        <f>IF([3]Entry!$G$1432="","",[3]Entry!$G$1432)</f>
        <v/>
      </c>
      <c r="AK1429">
        <f>IF([3]Entry!$K$1432="","",[3]Entry!$K$1432)</f>
        <v/>
      </c>
      <c r="AL1429">
        <f>IF([3]Entry!$L$1432="","",[3]Entry!$L$1432)</f>
        <v/>
      </c>
      <c r="AM1429">
        <f>IF([3]Entry!$M$1432="","",[3]Entry!$M$1432)</f>
        <v/>
      </c>
      <c r="AN1429">
        <f>IF([3]Entry!$N$1432="","",[3]Entry!$N$1432)</f>
        <v/>
      </c>
      <c r="AO1429">
        <f>IF([3]Entry!$R$1432="","",[3]Entry!$R$1432)</f>
        <v/>
      </c>
    </row>
    <row r="1430">
      <c r="U1430">
        <f>IF([2]Baskol!$B$1433="","",[2]Baskol!$B$1433)</f>
        <v/>
      </c>
      <c r="V1430">
        <f>IF([2]Baskol!$C$1433="","",[2]Baskol!$C$1433)</f>
        <v/>
      </c>
      <c r="W1430">
        <f>IF([2]Baskol!$D$1433="","",[2]Baskol!$D$1433)</f>
        <v/>
      </c>
      <c r="X1430">
        <f>IF([2]Baskol!$E$1433="","",[2]Baskol!$E$1433)</f>
        <v/>
      </c>
      <c r="Y1430">
        <f>IF([2]Baskol!$G$1433="","",[2]Baskol!$G$1433)</f>
        <v/>
      </c>
      <c r="Z1430">
        <f>IF([2]Baskol!$I$1433="","",[2]Baskol!$I$1433)</f>
        <v/>
      </c>
      <c r="AA1430">
        <f>IF([2]Baskol!$J$1433="","",[2]Baskol!$J$1433)</f>
        <v/>
      </c>
      <c r="AB1430">
        <f>IF([2]Baskol!$K$1433="","",[2]Baskol!$K$1433)</f>
        <v/>
      </c>
      <c r="AC1430">
        <f>IF([2]Baskol!$L$1433="","",[2]Baskol!$L$1433)</f>
        <v/>
      </c>
      <c r="AD1430">
        <f>IF([2]Baskol!$N$1433="","",[2]Baskol!$N$1433)</f>
        <v/>
      </c>
      <c r="AE1430">
        <f>IF([2]Baskol!$O$1433="","",[2]Baskol!$O$1433)</f>
        <v/>
      </c>
      <c r="AG1430">
        <f>IF([3]Entry!$C$1433="","",[3]Entry!$C$1433)</f>
        <v/>
      </c>
      <c r="AH1430">
        <f>IF([3]Entry!$D$1433="","",[3]Entry!$D$1433)</f>
        <v/>
      </c>
      <c r="AI1430">
        <f>IF([3]Entry!$E$1433="","",[3]Entry!$E$1433)</f>
        <v/>
      </c>
      <c r="AJ1430">
        <f>IF([3]Entry!$G$1433="","",[3]Entry!$G$1433)</f>
        <v/>
      </c>
      <c r="AK1430">
        <f>IF([3]Entry!$K$1433="","",[3]Entry!$K$1433)</f>
        <v/>
      </c>
      <c r="AL1430">
        <f>IF([3]Entry!$L$1433="","",[3]Entry!$L$1433)</f>
        <v/>
      </c>
      <c r="AM1430">
        <f>IF([3]Entry!$M$1433="","",[3]Entry!$M$1433)</f>
        <v/>
      </c>
      <c r="AN1430">
        <f>IF([3]Entry!$N$1433="","",[3]Entry!$N$1433)</f>
        <v/>
      </c>
      <c r="AO1430">
        <f>IF([3]Entry!$R$1433="","",[3]Entry!$R$1433)</f>
        <v/>
      </c>
    </row>
    <row r="1431">
      <c r="U1431">
        <f>IF([2]Baskol!$B$1434="","",[2]Baskol!$B$1434)</f>
        <v/>
      </c>
      <c r="V1431">
        <f>IF([2]Baskol!$C$1434="","",[2]Baskol!$C$1434)</f>
        <v/>
      </c>
      <c r="W1431">
        <f>IF([2]Baskol!$D$1434="","",[2]Baskol!$D$1434)</f>
        <v/>
      </c>
      <c r="X1431">
        <f>IF([2]Baskol!$E$1434="","",[2]Baskol!$E$1434)</f>
        <v/>
      </c>
      <c r="Y1431">
        <f>IF([2]Baskol!$G$1434="","",[2]Baskol!$G$1434)</f>
        <v/>
      </c>
      <c r="Z1431">
        <f>IF([2]Baskol!$I$1434="","",[2]Baskol!$I$1434)</f>
        <v/>
      </c>
      <c r="AA1431">
        <f>IF([2]Baskol!$J$1434="","",[2]Baskol!$J$1434)</f>
        <v/>
      </c>
      <c r="AB1431">
        <f>IF([2]Baskol!$K$1434="","",[2]Baskol!$K$1434)</f>
        <v/>
      </c>
      <c r="AC1431">
        <f>IF([2]Baskol!$L$1434="","",[2]Baskol!$L$1434)</f>
        <v/>
      </c>
      <c r="AD1431">
        <f>IF([2]Baskol!$N$1434="","",[2]Baskol!$N$1434)</f>
        <v/>
      </c>
      <c r="AE1431">
        <f>IF([2]Baskol!$O$1434="","",[2]Baskol!$O$1434)</f>
        <v/>
      </c>
      <c r="AG1431">
        <f>IF([3]Entry!$C$1434="","",[3]Entry!$C$1434)</f>
        <v/>
      </c>
      <c r="AH1431">
        <f>IF([3]Entry!$D$1434="","",[3]Entry!$D$1434)</f>
        <v/>
      </c>
      <c r="AI1431">
        <f>IF([3]Entry!$E$1434="","",[3]Entry!$E$1434)</f>
        <v/>
      </c>
      <c r="AJ1431">
        <f>IF([3]Entry!$G$1434="","",[3]Entry!$G$1434)</f>
        <v/>
      </c>
      <c r="AK1431">
        <f>IF([3]Entry!$K$1434="","",[3]Entry!$K$1434)</f>
        <v/>
      </c>
      <c r="AL1431">
        <f>IF([3]Entry!$L$1434="","",[3]Entry!$L$1434)</f>
        <v/>
      </c>
      <c r="AM1431">
        <f>IF([3]Entry!$M$1434="","",[3]Entry!$M$1434)</f>
        <v/>
      </c>
      <c r="AN1431">
        <f>IF([3]Entry!$N$1434="","",[3]Entry!$N$1434)</f>
        <v/>
      </c>
      <c r="AO1431">
        <f>IF([3]Entry!$R$1434="","",[3]Entry!$R$1434)</f>
        <v/>
      </c>
    </row>
    <row r="1432">
      <c r="U1432">
        <f>IF([2]Baskol!$B$1435="","",[2]Baskol!$B$1435)</f>
        <v/>
      </c>
      <c r="V1432">
        <f>IF([2]Baskol!$C$1435="","",[2]Baskol!$C$1435)</f>
        <v/>
      </c>
      <c r="W1432">
        <f>IF([2]Baskol!$D$1435="","",[2]Baskol!$D$1435)</f>
        <v/>
      </c>
      <c r="X1432">
        <f>IF([2]Baskol!$E$1435="","",[2]Baskol!$E$1435)</f>
        <v/>
      </c>
      <c r="Y1432">
        <f>IF([2]Baskol!$G$1435="","",[2]Baskol!$G$1435)</f>
        <v/>
      </c>
      <c r="Z1432">
        <f>IF([2]Baskol!$I$1435="","",[2]Baskol!$I$1435)</f>
        <v/>
      </c>
      <c r="AA1432">
        <f>IF([2]Baskol!$J$1435="","",[2]Baskol!$J$1435)</f>
        <v/>
      </c>
      <c r="AB1432">
        <f>IF([2]Baskol!$K$1435="","",[2]Baskol!$K$1435)</f>
        <v/>
      </c>
      <c r="AC1432">
        <f>IF([2]Baskol!$L$1435="","",[2]Baskol!$L$1435)</f>
        <v/>
      </c>
      <c r="AD1432">
        <f>IF([2]Baskol!$N$1435="","",[2]Baskol!$N$1435)</f>
        <v/>
      </c>
      <c r="AE1432">
        <f>IF([2]Baskol!$O$1435="","",[2]Baskol!$O$1435)</f>
        <v/>
      </c>
      <c r="AG1432">
        <f>IF([3]Entry!$C$1435="","",[3]Entry!$C$1435)</f>
        <v/>
      </c>
      <c r="AH1432">
        <f>IF([3]Entry!$D$1435="","",[3]Entry!$D$1435)</f>
        <v/>
      </c>
      <c r="AI1432">
        <f>IF([3]Entry!$E$1435="","",[3]Entry!$E$1435)</f>
        <v/>
      </c>
      <c r="AJ1432">
        <f>IF([3]Entry!$G$1435="","",[3]Entry!$G$1435)</f>
        <v/>
      </c>
      <c r="AK1432">
        <f>IF([3]Entry!$K$1435="","",[3]Entry!$K$1435)</f>
        <v/>
      </c>
      <c r="AL1432">
        <f>IF([3]Entry!$L$1435="","",[3]Entry!$L$1435)</f>
        <v/>
      </c>
      <c r="AM1432">
        <f>IF([3]Entry!$M$1435="","",[3]Entry!$M$1435)</f>
        <v/>
      </c>
      <c r="AN1432">
        <f>IF([3]Entry!$N$1435="","",[3]Entry!$N$1435)</f>
        <v/>
      </c>
      <c r="AO1432">
        <f>IF([3]Entry!$R$1435="","",[3]Entry!$R$1435)</f>
        <v/>
      </c>
    </row>
    <row r="1433">
      <c r="U1433">
        <f>IF([2]Baskol!$B$1436="","",[2]Baskol!$B$1436)</f>
        <v/>
      </c>
      <c r="V1433">
        <f>IF([2]Baskol!$C$1436="","",[2]Baskol!$C$1436)</f>
        <v/>
      </c>
      <c r="W1433">
        <f>IF([2]Baskol!$D$1436="","",[2]Baskol!$D$1436)</f>
        <v/>
      </c>
      <c r="X1433">
        <f>IF([2]Baskol!$E$1436="","",[2]Baskol!$E$1436)</f>
        <v/>
      </c>
      <c r="Y1433">
        <f>IF([2]Baskol!$G$1436="","",[2]Baskol!$G$1436)</f>
        <v/>
      </c>
      <c r="Z1433">
        <f>IF([2]Baskol!$I$1436="","",[2]Baskol!$I$1436)</f>
        <v/>
      </c>
      <c r="AA1433">
        <f>IF([2]Baskol!$J$1436="","",[2]Baskol!$J$1436)</f>
        <v/>
      </c>
      <c r="AB1433">
        <f>IF([2]Baskol!$K$1436="","",[2]Baskol!$K$1436)</f>
        <v/>
      </c>
      <c r="AC1433">
        <f>IF([2]Baskol!$L$1436="","",[2]Baskol!$L$1436)</f>
        <v/>
      </c>
      <c r="AD1433">
        <f>IF([2]Baskol!$N$1436="","",[2]Baskol!$N$1436)</f>
        <v/>
      </c>
      <c r="AE1433">
        <f>IF([2]Baskol!$O$1436="","",[2]Baskol!$O$1436)</f>
        <v/>
      </c>
      <c r="AG1433">
        <f>IF([3]Entry!$C$1436="","",[3]Entry!$C$1436)</f>
        <v/>
      </c>
      <c r="AH1433">
        <f>IF([3]Entry!$D$1436="","",[3]Entry!$D$1436)</f>
        <v/>
      </c>
      <c r="AI1433">
        <f>IF([3]Entry!$E$1436="","",[3]Entry!$E$1436)</f>
        <v/>
      </c>
      <c r="AJ1433">
        <f>IF([3]Entry!$G$1436="","",[3]Entry!$G$1436)</f>
        <v/>
      </c>
      <c r="AK1433">
        <f>IF([3]Entry!$K$1436="","",[3]Entry!$K$1436)</f>
        <v/>
      </c>
      <c r="AL1433">
        <f>IF([3]Entry!$L$1436="","",[3]Entry!$L$1436)</f>
        <v/>
      </c>
      <c r="AM1433">
        <f>IF([3]Entry!$M$1436="","",[3]Entry!$M$1436)</f>
        <v/>
      </c>
      <c r="AN1433">
        <f>IF([3]Entry!$N$1436="","",[3]Entry!$N$1436)</f>
        <v/>
      </c>
      <c r="AO1433">
        <f>IF([3]Entry!$R$1436="","",[3]Entry!$R$1436)</f>
        <v/>
      </c>
    </row>
    <row r="1434">
      <c r="U1434">
        <f>IF([2]Baskol!$B$1437="","",[2]Baskol!$B$1437)</f>
        <v/>
      </c>
      <c r="V1434">
        <f>IF([2]Baskol!$C$1437="","",[2]Baskol!$C$1437)</f>
        <v/>
      </c>
      <c r="W1434">
        <f>IF([2]Baskol!$D$1437="","",[2]Baskol!$D$1437)</f>
        <v/>
      </c>
      <c r="X1434">
        <f>IF([2]Baskol!$E$1437="","",[2]Baskol!$E$1437)</f>
        <v/>
      </c>
      <c r="Y1434">
        <f>IF([2]Baskol!$G$1437="","",[2]Baskol!$G$1437)</f>
        <v/>
      </c>
      <c r="Z1434">
        <f>IF([2]Baskol!$I$1437="","",[2]Baskol!$I$1437)</f>
        <v/>
      </c>
      <c r="AA1434">
        <f>IF([2]Baskol!$J$1437="","",[2]Baskol!$J$1437)</f>
        <v/>
      </c>
      <c r="AB1434">
        <f>IF([2]Baskol!$K$1437="","",[2]Baskol!$K$1437)</f>
        <v/>
      </c>
      <c r="AC1434">
        <f>IF([2]Baskol!$L$1437="","",[2]Baskol!$L$1437)</f>
        <v/>
      </c>
      <c r="AD1434">
        <f>IF([2]Baskol!$N$1437="","",[2]Baskol!$N$1437)</f>
        <v/>
      </c>
      <c r="AE1434">
        <f>IF([2]Baskol!$O$1437="","",[2]Baskol!$O$1437)</f>
        <v/>
      </c>
      <c r="AG1434">
        <f>IF([3]Entry!$C$1437="","",[3]Entry!$C$1437)</f>
        <v/>
      </c>
      <c r="AH1434">
        <f>IF([3]Entry!$D$1437="","",[3]Entry!$D$1437)</f>
        <v/>
      </c>
      <c r="AI1434">
        <f>IF([3]Entry!$E$1437="","",[3]Entry!$E$1437)</f>
        <v/>
      </c>
      <c r="AJ1434">
        <f>IF([3]Entry!$G$1437="","",[3]Entry!$G$1437)</f>
        <v/>
      </c>
      <c r="AK1434">
        <f>IF([3]Entry!$K$1437="","",[3]Entry!$K$1437)</f>
        <v/>
      </c>
      <c r="AL1434">
        <f>IF([3]Entry!$L$1437="","",[3]Entry!$L$1437)</f>
        <v/>
      </c>
      <c r="AM1434">
        <f>IF([3]Entry!$M$1437="","",[3]Entry!$M$1437)</f>
        <v/>
      </c>
      <c r="AN1434">
        <f>IF([3]Entry!$N$1437="","",[3]Entry!$N$1437)</f>
        <v/>
      </c>
      <c r="AO1434">
        <f>IF([3]Entry!$R$1437="","",[3]Entry!$R$1437)</f>
        <v/>
      </c>
    </row>
    <row r="1435">
      <c r="U1435">
        <f>IF([2]Baskol!$B$1438="","",[2]Baskol!$B$1438)</f>
        <v/>
      </c>
      <c r="V1435">
        <f>IF([2]Baskol!$C$1438="","",[2]Baskol!$C$1438)</f>
        <v/>
      </c>
      <c r="W1435">
        <f>IF([2]Baskol!$D$1438="","",[2]Baskol!$D$1438)</f>
        <v/>
      </c>
      <c r="X1435">
        <f>IF([2]Baskol!$E$1438="","",[2]Baskol!$E$1438)</f>
        <v/>
      </c>
      <c r="Y1435">
        <f>IF([2]Baskol!$G$1438="","",[2]Baskol!$G$1438)</f>
        <v/>
      </c>
      <c r="Z1435">
        <f>IF([2]Baskol!$I$1438="","",[2]Baskol!$I$1438)</f>
        <v/>
      </c>
      <c r="AA1435">
        <f>IF([2]Baskol!$J$1438="","",[2]Baskol!$J$1438)</f>
        <v/>
      </c>
      <c r="AB1435">
        <f>IF([2]Baskol!$K$1438="","",[2]Baskol!$K$1438)</f>
        <v/>
      </c>
      <c r="AC1435">
        <f>IF([2]Baskol!$L$1438="","",[2]Baskol!$L$1438)</f>
        <v/>
      </c>
      <c r="AD1435">
        <f>IF([2]Baskol!$N$1438="","",[2]Baskol!$N$1438)</f>
        <v/>
      </c>
      <c r="AE1435">
        <f>IF([2]Baskol!$O$1438="","",[2]Baskol!$O$1438)</f>
        <v/>
      </c>
      <c r="AG1435">
        <f>IF([3]Entry!$C$1438="","",[3]Entry!$C$1438)</f>
        <v/>
      </c>
      <c r="AH1435">
        <f>IF([3]Entry!$D$1438="","",[3]Entry!$D$1438)</f>
        <v/>
      </c>
      <c r="AI1435">
        <f>IF([3]Entry!$E$1438="","",[3]Entry!$E$1438)</f>
        <v/>
      </c>
      <c r="AJ1435">
        <f>IF([3]Entry!$G$1438="","",[3]Entry!$G$1438)</f>
        <v/>
      </c>
      <c r="AK1435">
        <f>IF([3]Entry!$K$1438="","",[3]Entry!$K$1438)</f>
        <v/>
      </c>
      <c r="AL1435">
        <f>IF([3]Entry!$L$1438="","",[3]Entry!$L$1438)</f>
        <v/>
      </c>
      <c r="AM1435">
        <f>IF([3]Entry!$M$1438="","",[3]Entry!$M$1438)</f>
        <v/>
      </c>
      <c r="AN1435">
        <f>IF([3]Entry!$N$1438="","",[3]Entry!$N$1438)</f>
        <v/>
      </c>
      <c r="AO1435">
        <f>IF([3]Entry!$R$1438="","",[3]Entry!$R$1438)</f>
        <v/>
      </c>
    </row>
    <row r="1436">
      <c r="U1436">
        <f>IF([2]Baskol!$B$1439="","",[2]Baskol!$B$1439)</f>
        <v/>
      </c>
      <c r="V1436">
        <f>IF([2]Baskol!$C$1439="","",[2]Baskol!$C$1439)</f>
        <v/>
      </c>
      <c r="W1436">
        <f>IF([2]Baskol!$D$1439="","",[2]Baskol!$D$1439)</f>
        <v/>
      </c>
      <c r="X1436">
        <f>IF([2]Baskol!$E$1439="","",[2]Baskol!$E$1439)</f>
        <v/>
      </c>
      <c r="Y1436">
        <f>IF([2]Baskol!$G$1439="","",[2]Baskol!$G$1439)</f>
        <v/>
      </c>
      <c r="Z1436">
        <f>IF([2]Baskol!$I$1439="","",[2]Baskol!$I$1439)</f>
        <v/>
      </c>
      <c r="AA1436">
        <f>IF([2]Baskol!$J$1439="","",[2]Baskol!$J$1439)</f>
        <v/>
      </c>
      <c r="AB1436">
        <f>IF([2]Baskol!$K$1439="","",[2]Baskol!$K$1439)</f>
        <v/>
      </c>
      <c r="AC1436">
        <f>IF([2]Baskol!$L$1439="","",[2]Baskol!$L$1439)</f>
        <v/>
      </c>
      <c r="AD1436">
        <f>IF([2]Baskol!$N$1439="","",[2]Baskol!$N$1439)</f>
        <v/>
      </c>
      <c r="AE1436">
        <f>IF([2]Baskol!$O$1439="","",[2]Baskol!$O$1439)</f>
        <v/>
      </c>
      <c r="AG1436">
        <f>IF([3]Entry!$C$1439="","",[3]Entry!$C$1439)</f>
        <v/>
      </c>
      <c r="AH1436">
        <f>IF([3]Entry!$D$1439="","",[3]Entry!$D$1439)</f>
        <v/>
      </c>
      <c r="AI1436">
        <f>IF([3]Entry!$E$1439="","",[3]Entry!$E$1439)</f>
        <v/>
      </c>
      <c r="AJ1436">
        <f>IF([3]Entry!$G$1439="","",[3]Entry!$G$1439)</f>
        <v/>
      </c>
      <c r="AK1436">
        <f>IF([3]Entry!$K$1439="","",[3]Entry!$K$1439)</f>
        <v/>
      </c>
      <c r="AL1436">
        <f>IF([3]Entry!$L$1439="","",[3]Entry!$L$1439)</f>
        <v/>
      </c>
      <c r="AM1436">
        <f>IF([3]Entry!$M$1439="","",[3]Entry!$M$1439)</f>
        <v/>
      </c>
      <c r="AN1436">
        <f>IF([3]Entry!$N$1439="","",[3]Entry!$N$1439)</f>
        <v/>
      </c>
      <c r="AO1436">
        <f>IF([3]Entry!$R$1439="","",[3]Entry!$R$1439)</f>
        <v/>
      </c>
    </row>
    <row r="1437">
      <c r="U1437">
        <f>IF([2]Baskol!$B$1440="","",[2]Baskol!$B$1440)</f>
        <v/>
      </c>
      <c r="V1437">
        <f>IF([2]Baskol!$C$1440="","",[2]Baskol!$C$1440)</f>
        <v/>
      </c>
      <c r="W1437">
        <f>IF([2]Baskol!$D$1440="","",[2]Baskol!$D$1440)</f>
        <v/>
      </c>
      <c r="X1437">
        <f>IF([2]Baskol!$E$1440="","",[2]Baskol!$E$1440)</f>
        <v/>
      </c>
      <c r="Y1437">
        <f>IF([2]Baskol!$G$1440="","",[2]Baskol!$G$1440)</f>
        <v/>
      </c>
      <c r="Z1437">
        <f>IF([2]Baskol!$I$1440="","",[2]Baskol!$I$1440)</f>
        <v/>
      </c>
      <c r="AA1437">
        <f>IF([2]Baskol!$J$1440="","",[2]Baskol!$J$1440)</f>
        <v/>
      </c>
      <c r="AB1437">
        <f>IF([2]Baskol!$K$1440="","",[2]Baskol!$K$1440)</f>
        <v/>
      </c>
      <c r="AC1437">
        <f>IF([2]Baskol!$L$1440="","",[2]Baskol!$L$1440)</f>
        <v/>
      </c>
      <c r="AD1437">
        <f>IF([2]Baskol!$N$1440="","",[2]Baskol!$N$1440)</f>
        <v/>
      </c>
      <c r="AE1437">
        <f>IF([2]Baskol!$O$1440="","",[2]Baskol!$O$1440)</f>
        <v/>
      </c>
      <c r="AG1437">
        <f>IF([3]Entry!$C$1440="","",[3]Entry!$C$1440)</f>
        <v/>
      </c>
      <c r="AH1437">
        <f>IF([3]Entry!$D$1440="","",[3]Entry!$D$1440)</f>
        <v/>
      </c>
      <c r="AI1437">
        <f>IF([3]Entry!$E$1440="","",[3]Entry!$E$1440)</f>
        <v/>
      </c>
      <c r="AJ1437">
        <f>IF([3]Entry!$G$1440="","",[3]Entry!$G$1440)</f>
        <v/>
      </c>
      <c r="AK1437">
        <f>IF([3]Entry!$K$1440="","",[3]Entry!$K$1440)</f>
        <v/>
      </c>
      <c r="AL1437">
        <f>IF([3]Entry!$L$1440="","",[3]Entry!$L$1440)</f>
        <v/>
      </c>
      <c r="AM1437">
        <f>IF([3]Entry!$M$1440="","",[3]Entry!$M$1440)</f>
        <v/>
      </c>
      <c r="AN1437">
        <f>IF([3]Entry!$N$1440="","",[3]Entry!$N$1440)</f>
        <v/>
      </c>
      <c r="AO1437">
        <f>IF([3]Entry!$R$1440="","",[3]Entry!$R$1440)</f>
        <v/>
      </c>
    </row>
    <row r="1438">
      <c r="U1438">
        <f>IF([2]Baskol!$B$1441="","",[2]Baskol!$B$1441)</f>
        <v/>
      </c>
      <c r="V1438">
        <f>IF([2]Baskol!$C$1441="","",[2]Baskol!$C$1441)</f>
        <v/>
      </c>
      <c r="W1438">
        <f>IF([2]Baskol!$D$1441="","",[2]Baskol!$D$1441)</f>
        <v/>
      </c>
      <c r="X1438">
        <f>IF([2]Baskol!$E$1441="","",[2]Baskol!$E$1441)</f>
        <v/>
      </c>
      <c r="Y1438">
        <f>IF([2]Baskol!$G$1441="","",[2]Baskol!$G$1441)</f>
        <v/>
      </c>
      <c r="Z1438">
        <f>IF([2]Baskol!$I$1441="","",[2]Baskol!$I$1441)</f>
        <v/>
      </c>
      <c r="AA1438">
        <f>IF([2]Baskol!$J$1441="","",[2]Baskol!$J$1441)</f>
        <v/>
      </c>
      <c r="AB1438">
        <f>IF([2]Baskol!$K$1441="","",[2]Baskol!$K$1441)</f>
        <v/>
      </c>
      <c r="AC1438">
        <f>IF([2]Baskol!$L$1441="","",[2]Baskol!$L$1441)</f>
        <v/>
      </c>
      <c r="AD1438">
        <f>IF([2]Baskol!$N$1441="","",[2]Baskol!$N$1441)</f>
        <v/>
      </c>
      <c r="AE1438">
        <f>IF([2]Baskol!$O$1441="","",[2]Baskol!$O$1441)</f>
        <v/>
      </c>
      <c r="AG1438">
        <f>IF([3]Entry!$C$1441="","",[3]Entry!$C$1441)</f>
        <v/>
      </c>
      <c r="AH1438">
        <f>IF([3]Entry!$D$1441="","",[3]Entry!$D$1441)</f>
        <v/>
      </c>
      <c r="AI1438">
        <f>IF([3]Entry!$E$1441="","",[3]Entry!$E$1441)</f>
        <v/>
      </c>
      <c r="AJ1438">
        <f>IF([3]Entry!$G$1441="","",[3]Entry!$G$1441)</f>
        <v/>
      </c>
      <c r="AK1438">
        <f>IF([3]Entry!$K$1441="","",[3]Entry!$K$1441)</f>
        <v/>
      </c>
      <c r="AL1438">
        <f>IF([3]Entry!$L$1441="","",[3]Entry!$L$1441)</f>
        <v/>
      </c>
      <c r="AM1438">
        <f>IF([3]Entry!$M$1441="","",[3]Entry!$M$1441)</f>
        <v/>
      </c>
      <c r="AN1438">
        <f>IF([3]Entry!$N$1441="","",[3]Entry!$N$1441)</f>
        <v/>
      </c>
      <c r="AO1438">
        <f>IF([3]Entry!$R$1441="","",[3]Entry!$R$1441)</f>
        <v/>
      </c>
    </row>
    <row r="1439">
      <c r="U1439">
        <f>IF([2]Baskol!$B$1442="","",[2]Baskol!$B$1442)</f>
        <v/>
      </c>
      <c r="V1439">
        <f>IF([2]Baskol!$C$1442="","",[2]Baskol!$C$1442)</f>
        <v/>
      </c>
      <c r="W1439">
        <f>IF([2]Baskol!$D$1442="","",[2]Baskol!$D$1442)</f>
        <v/>
      </c>
      <c r="X1439">
        <f>IF([2]Baskol!$E$1442="","",[2]Baskol!$E$1442)</f>
        <v/>
      </c>
      <c r="Y1439">
        <f>IF([2]Baskol!$G$1442="","",[2]Baskol!$G$1442)</f>
        <v/>
      </c>
      <c r="Z1439">
        <f>IF([2]Baskol!$I$1442="","",[2]Baskol!$I$1442)</f>
        <v/>
      </c>
      <c r="AA1439">
        <f>IF([2]Baskol!$J$1442="","",[2]Baskol!$J$1442)</f>
        <v/>
      </c>
      <c r="AB1439">
        <f>IF([2]Baskol!$K$1442="","",[2]Baskol!$K$1442)</f>
        <v/>
      </c>
      <c r="AC1439">
        <f>IF([2]Baskol!$L$1442="","",[2]Baskol!$L$1442)</f>
        <v/>
      </c>
      <c r="AD1439">
        <f>IF([2]Baskol!$N$1442="","",[2]Baskol!$N$1442)</f>
        <v/>
      </c>
      <c r="AE1439">
        <f>IF([2]Baskol!$O$1442="","",[2]Baskol!$O$1442)</f>
        <v/>
      </c>
      <c r="AG1439">
        <f>IF([3]Entry!$C$1442="","",[3]Entry!$C$1442)</f>
        <v/>
      </c>
      <c r="AH1439">
        <f>IF([3]Entry!$D$1442="","",[3]Entry!$D$1442)</f>
        <v/>
      </c>
      <c r="AI1439">
        <f>IF([3]Entry!$E$1442="","",[3]Entry!$E$1442)</f>
        <v/>
      </c>
      <c r="AJ1439">
        <f>IF([3]Entry!$G$1442="","",[3]Entry!$G$1442)</f>
        <v/>
      </c>
      <c r="AK1439">
        <f>IF([3]Entry!$K$1442="","",[3]Entry!$K$1442)</f>
        <v/>
      </c>
      <c r="AL1439">
        <f>IF([3]Entry!$L$1442="","",[3]Entry!$L$1442)</f>
        <v/>
      </c>
      <c r="AM1439">
        <f>IF([3]Entry!$M$1442="","",[3]Entry!$M$1442)</f>
        <v/>
      </c>
      <c r="AN1439">
        <f>IF([3]Entry!$N$1442="","",[3]Entry!$N$1442)</f>
        <v/>
      </c>
      <c r="AO1439">
        <f>IF([3]Entry!$R$1442="","",[3]Entry!$R$1442)</f>
        <v/>
      </c>
    </row>
    <row r="1440">
      <c r="U1440">
        <f>IF([2]Baskol!$B$1443="","",[2]Baskol!$B$1443)</f>
        <v/>
      </c>
      <c r="V1440">
        <f>IF([2]Baskol!$C$1443="","",[2]Baskol!$C$1443)</f>
        <v/>
      </c>
      <c r="W1440">
        <f>IF([2]Baskol!$D$1443="","",[2]Baskol!$D$1443)</f>
        <v/>
      </c>
      <c r="X1440">
        <f>IF([2]Baskol!$E$1443="","",[2]Baskol!$E$1443)</f>
        <v/>
      </c>
      <c r="Y1440">
        <f>IF([2]Baskol!$G$1443="","",[2]Baskol!$G$1443)</f>
        <v/>
      </c>
      <c r="Z1440">
        <f>IF([2]Baskol!$I$1443="","",[2]Baskol!$I$1443)</f>
        <v/>
      </c>
      <c r="AA1440">
        <f>IF([2]Baskol!$J$1443="","",[2]Baskol!$J$1443)</f>
        <v/>
      </c>
      <c r="AB1440">
        <f>IF([2]Baskol!$K$1443="","",[2]Baskol!$K$1443)</f>
        <v/>
      </c>
      <c r="AC1440">
        <f>IF([2]Baskol!$L$1443="","",[2]Baskol!$L$1443)</f>
        <v/>
      </c>
      <c r="AD1440">
        <f>IF([2]Baskol!$N$1443="","",[2]Baskol!$N$1443)</f>
        <v/>
      </c>
      <c r="AE1440">
        <f>IF([2]Baskol!$O$1443="","",[2]Baskol!$O$1443)</f>
        <v/>
      </c>
      <c r="AG1440">
        <f>IF([3]Entry!$C$1443="","",[3]Entry!$C$1443)</f>
        <v/>
      </c>
      <c r="AH1440">
        <f>IF([3]Entry!$D$1443="","",[3]Entry!$D$1443)</f>
        <v/>
      </c>
      <c r="AI1440">
        <f>IF([3]Entry!$E$1443="","",[3]Entry!$E$1443)</f>
        <v/>
      </c>
      <c r="AJ1440">
        <f>IF([3]Entry!$G$1443="","",[3]Entry!$G$1443)</f>
        <v/>
      </c>
      <c r="AK1440">
        <f>IF([3]Entry!$K$1443="","",[3]Entry!$K$1443)</f>
        <v/>
      </c>
      <c r="AL1440">
        <f>IF([3]Entry!$L$1443="","",[3]Entry!$L$1443)</f>
        <v/>
      </c>
      <c r="AM1440">
        <f>IF([3]Entry!$M$1443="","",[3]Entry!$M$1443)</f>
        <v/>
      </c>
      <c r="AN1440">
        <f>IF([3]Entry!$N$1443="","",[3]Entry!$N$1443)</f>
        <v/>
      </c>
      <c r="AO1440">
        <f>IF([3]Entry!$R$1443="","",[3]Entry!$R$1443)</f>
        <v/>
      </c>
    </row>
    <row r="1441">
      <c r="U1441">
        <f>IF([2]Baskol!$B$1444="","",[2]Baskol!$B$1444)</f>
        <v/>
      </c>
      <c r="V1441">
        <f>IF([2]Baskol!$C$1444="","",[2]Baskol!$C$1444)</f>
        <v/>
      </c>
      <c r="W1441">
        <f>IF([2]Baskol!$D$1444="","",[2]Baskol!$D$1444)</f>
        <v/>
      </c>
      <c r="X1441">
        <f>IF([2]Baskol!$E$1444="","",[2]Baskol!$E$1444)</f>
        <v/>
      </c>
      <c r="Y1441">
        <f>IF([2]Baskol!$G$1444="","",[2]Baskol!$G$1444)</f>
        <v/>
      </c>
      <c r="Z1441">
        <f>IF([2]Baskol!$I$1444="","",[2]Baskol!$I$1444)</f>
        <v/>
      </c>
      <c r="AA1441">
        <f>IF([2]Baskol!$J$1444="","",[2]Baskol!$J$1444)</f>
        <v/>
      </c>
      <c r="AB1441">
        <f>IF([2]Baskol!$K$1444="","",[2]Baskol!$K$1444)</f>
        <v/>
      </c>
      <c r="AC1441">
        <f>IF([2]Baskol!$L$1444="","",[2]Baskol!$L$1444)</f>
        <v/>
      </c>
      <c r="AD1441">
        <f>IF([2]Baskol!$N$1444="","",[2]Baskol!$N$1444)</f>
        <v/>
      </c>
      <c r="AE1441">
        <f>IF([2]Baskol!$O$1444="","",[2]Baskol!$O$1444)</f>
        <v/>
      </c>
      <c r="AG1441">
        <f>IF([3]Entry!$C$1444="","",[3]Entry!$C$1444)</f>
        <v/>
      </c>
      <c r="AH1441">
        <f>IF([3]Entry!$D$1444="","",[3]Entry!$D$1444)</f>
        <v/>
      </c>
      <c r="AI1441">
        <f>IF([3]Entry!$E$1444="","",[3]Entry!$E$1444)</f>
        <v/>
      </c>
      <c r="AJ1441">
        <f>IF([3]Entry!$G$1444="","",[3]Entry!$G$1444)</f>
        <v/>
      </c>
      <c r="AK1441">
        <f>IF([3]Entry!$K$1444="","",[3]Entry!$K$1444)</f>
        <v/>
      </c>
      <c r="AL1441">
        <f>IF([3]Entry!$L$1444="","",[3]Entry!$L$1444)</f>
        <v/>
      </c>
      <c r="AM1441">
        <f>IF([3]Entry!$M$1444="","",[3]Entry!$M$1444)</f>
        <v/>
      </c>
      <c r="AN1441">
        <f>IF([3]Entry!$N$1444="","",[3]Entry!$N$1444)</f>
        <v/>
      </c>
      <c r="AO1441">
        <f>IF([3]Entry!$R$1444="","",[3]Entry!$R$1444)</f>
        <v/>
      </c>
    </row>
    <row r="1442">
      <c r="U1442">
        <f>IF([2]Baskol!$B$1445="","",[2]Baskol!$B$1445)</f>
        <v/>
      </c>
      <c r="V1442">
        <f>IF([2]Baskol!$C$1445="","",[2]Baskol!$C$1445)</f>
        <v/>
      </c>
      <c r="W1442">
        <f>IF([2]Baskol!$D$1445="","",[2]Baskol!$D$1445)</f>
        <v/>
      </c>
      <c r="X1442">
        <f>IF([2]Baskol!$E$1445="","",[2]Baskol!$E$1445)</f>
        <v/>
      </c>
      <c r="Y1442">
        <f>IF([2]Baskol!$G$1445="","",[2]Baskol!$G$1445)</f>
        <v/>
      </c>
      <c r="Z1442">
        <f>IF([2]Baskol!$I$1445="","",[2]Baskol!$I$1445)</f>
        <v/>
      </c>
      <c r="AA1442">
        <f>IF([2]Baskol!$J$1445="","",[2]Baskol!$J$1445)</f>
        <v/>
      </c>
      <c r="AB1442">
        <f>IF([2]Baskol!$K$1445="","",[2]Baskol!$K$1445)</f>
        <v/>
      </c>
      <c r="AC1442">
        <f>IF([2]Baskol!$L$1445="","",[2]Baskol!$L$1445)</f>
        <v/>
      </c>
      <c r="AD1442">
        <f>IF([2]Baskol!$N$1445="","",[2]Baskol!$N$1445)</f>
        <v/>
      </c>
      <c r="AE1442">
        <f>IF([2]Baskol!$O$1445="","",[2]Baskol!$O$1445)</f>
        <v/>
      </c>
      <c r="AG1442">
        <f>IF([3]Entry!$C$1445="","",[3]Entry!$C$1445)</f>
        <v/>
      </c>
      <c r="AH1442">
        <f>IF([3]Entry!$D$1445="","",[3]Entry!$D$1445)</f>
        <v/>
      </c>
      <c r="AI1442">
        <f>IF([3]Entry!$E$1445="","",[3]Entry!$E$1445)</f>
        <v/>
      </c>
      <c r="AJ1442">
        <f>IF([3]Entry!$G$1445="","",[3]Entry!$G$1445)</f>
        <v/>
      </c>
      <c r="AK1442">
        <f>IF([3]Entry!$K$1445="","",[3]Entry!$K$1445)</f>
        <v/>
      </c>
      <c r="AL1442">
        <f>IF([3]Entry!$L$1445="","",[3]Entry!$L$1445)</f>
        <v/>
      </c>
      <c r="AM1442">
        <f>IF([3]Entry!$M$1445="","",[3]Entry!$M$1445)</f>
        <v/>
      </c>
      <c r="AN1442">
        <f>IF([3]Entry!$N$1445="","",[3]Entry!$N$1445)</f>
        <v/>
      </c>
      <c r="AO1442">
        <f>IF([3]Entry!$R$1445="","",[3]Entry!$R$1445)</f>
        <v/>
      </c>
    </row>
    <row r="1443">
      <c r="U1443">
        <f>IF([2]Baskol!$B$1446="","",[2]Baskol!$B$1446)</f>
        <v/>
      </c>
      <c r="V1443">
        <f>IF([2]Baskol!$C$1446="","",[2]Baskol!$C$1446)</f>
        <v/>
      </c>
      <c r="W1443">
        <f>IF([2]Baskol!$D$1446="","",[2]Baskol!$D$1446)</f>
        <v/>
      </c>
      <c r="X1443">
        <f>IF([2]Baskol!$E$1446="","",[2]Baskol!$E$1446)</f>
        <v/>
      </c>
      <c r="Y1443">
        <f>IF([2]Baskol!$G$1446="","",[2]Baskol!$G$1446)</f>
        <v/>
      </c>
      <c r="Z1443">
        <f>IF([2]Baskol!$I$1446="","",[2]Baskol!$I$1446)</f>
        <v/>
      </c>
      <c r="AA1443">
        <f>IF([2]Baskol!$J$1446="","",[2]Baskol!$J$1446)</f>
        <v/>
      </c>
      <c r="AB1443">
        <f>IF([2]Baskol!$K$1446="","",[2]Baskol!$K$1446)</f>
        <v/>
      </c>
      <c r="AC1443">
        <f>IF([2]Baskol!$L$1446="","",[2]Baskol!$L$1446)</f>
        <v/>
      </c>
      <c r="AD1443">
        <f>IF([2]Baskol!$N$1446="","",[2]Baskol!$N$1446)</f>
        <v/>
      </c>
      <c r="AE1443">
        <f>IF([2]Baskol!$O$1446="","",[2]Baskol!$O$1446)</f>
        <v/>
      </c>
      <c r="AG1443">
        <f>IF([3]Entry!$C$1446="","",[3]Entry!$C$1446)</f>
        <v/>
      </c>
      <c r="AH1443">
        <f>IF([3]Entry!$D$1446="","",[3]Entry!$D$1446)</f>
        <v/>
      </c>
      <c r="AI1443">
        <f>IF([3]Entry!$E$1446="","",[3]Entry!$E$1446)</f>
        <v/>
      </c>
      <c r="AJ1443">
        <f>IF([3]Entry!$G$1446="","",[3]Entry!$G$1446)</f>
        <v/>
      </c>
      <c r="AK1443">
        <f>IF([3]Entry!$K$1446="","",[3]Entry!$K$1446)</f>
        <v/>
      </c>
      <c r="AL1443">
        <f>IF([3]Entry!$L$1446="","",[3]Entry!$L$1446)</f>
        <v/>
      </c>
      <c r="AM1443">
        <f>IF([3]Entry!$M$1446="","",[3]Entry!$M$1446)</f>
        <v/>
      </c>
      <c r="AN1443">
        <f>IF([3]Entry!$N$1446="","",[3]Entry!$N$1446)</f>
        <v/>
      </c>
      <c r="AO1443">
        <f>IF([3]Entry!$R$1446="","",[3]Entry!$R$1446)</f>
        <v/>
      </c>
    </row>
    <row r="1444">
      <c r="U1444">
        <f>IF([2]Baskol!$B$1447="","",[2]Baskol!$B$1447)</f>
        <v/>
      </c>
      <c r="V1444">
        <f>IF([2]Baskol!$C$1447="","",[2]Baskol!$C$1447)</f>
        <v/>
      </c>
      <c r="W1444">
        <f>IF([2]Baskol!$D$1447="","",[2]Baskol!$D$1447)</f>
        <v/>
      </c>
      <c r="X1444">
        <f>IF([2]Baskol!$E$1447="","",[2]Baskol!$E$1447)</f>
        <v/>
      </c>
      <c r="Y1444">
        <f>IF([2]Baskol!$G$1447="","",[2]Baskol!$G$1447)</f>
        <v/>
      </c>
      <c r="Z1444">
        <f>IF([2]Baskol!$I$1447="","",[2]Baskol!$I$1447)</f>
        <v/>
      </c>
      <c r="AA1444">
        <f>IF([2]Baskol!$J$1447="","",[2]Baskol!$J$1447)</f>
        <v/>
      </c>
      <c r="AB1444">
        <f>IF([2]Baskol!$K$1447="","",[2]Baskol!$K$1447)</f>
        <v/>
      </c>
      <c r="AC1444">
        <f>IF([2]Baskol!$L$1447="","",[2]Baskol!$L$1447)</f>
        <v/>
      </c>
      <c r="AD1444">
        <f>IF([2]Baskol!$N$1447="","",[2]Baskol!$N$1447)</f>
        <v/>
      </c>
      <c r="AE1444">
        <f>IF([2]Baskol!$O$1447="","",[2]Baskol!$O$1447)</f>
        <v/>
      </c>
      <c r="AG1444">
        <f>IF([3]Entry!$C$1447="","",[3]Entry!$C$1447)</f>
        <v/>
      </c>
      <c r="AH1444">
        <f>IF([3]Entry!$D$1447="","",[3]Entry!$D$1447)</f>
        <v/>
      </c>
      <c r="AI1444">
        <f>IF([3]Entry!$E$1447="","",[3]Entry!$E$1447)</f>
        <v/>
      </c>
      <c r="AJ1444">
        <f>IF([3]Entry!$G$1447="","",[3]Entry!$G$1447)</f>
        <v/>
      </c>
      <c r="AK1444">
        <f>IF([3]Entry!$K$1447="","",[3]Entry!$K$1447)</f>
        <v/>
      </c>
      <c r="AL1444">
        <f>IF([3]Entry!$L$1447="","",[3]Entry!$L$1447)</f>
        <v/>
      </c>
      <c r="AM1444">
        <f>IF([3]Entry!$M$1447="","",[3]Entry!$M$1447)</f>
        <v/>
      </c>
      <c r="AN1444">
        <f>IF([3]Entry!$N$1447="","",[3]Entry!$N$1447)</f>
        <v/>
      </c>
      <c r="AO1444">
        <f>IF([3]Entry!$R$1447="","",[3]Entry!$R$1447)</f>
        <v/>
      </c>
    </row>
    <row r="1445">
      <c r="U1445">
        <f>IF([2]Baskol!$B$1448="","",[2]Baskol!$B$1448)</f>
        <v/>
      </c>
      <c r="V1445">
        <f>IF([2]Baskol!$C$1448="","",[2]Baskol!$C$1448)</f>
        <v/>
      </c>
      <c r="W1445">
        <f>IF([2]Baskol!$D$1448="","",[2]Baskol!$D$1448)</f>
        <v/>
      </c>
      <c r="X1445">
        <f>IF([2]Baskol!$E$1448="","",[2]Baskol!$E$1448)</f>
        <v/>
      </c>
      <c r="Y1445">
        <f>IF([2]Baskol!$G$1448="","",[2]Baskol!$G$1448)</f>
        <v/>
      </c>
      <c r="Z1445">
        <f>IF([2]Baskol!$I$1448="","",[2]Baskol!$I$1448)</f>
        <v/>
      </c>
      <c r="AA1445">
        <f>IF([2]Baskol!$J$1448="","",[2]Baskol!$J$1448)</f>
        <v/>
      </c>
      <c r="AB1445">
        <f>IF([2]Baskol!$K$1448="","",[2]Baskol!$K$1448)</f>
        <v/>
      </c>
      <c r="AC1445">
        <f>IF([2]Baskol!$L$1448="","",[2]Baskol!$L$1448)</f>
        <v/>
      </c>
      <c r="AD1445">
        <f>IF([2]Baskol!$N$1448="","",[2]Baskol!$N$1448)</f>
        <v/>
      </c>
      <c r="AE1445">
        <f>IF([2]Baskol!$O$1448="","",[2]Baskol!$O$1448)</f>
        <v/>
      </c>
      <c r="AG1445">
        <f>IF([3]Entry!$C$1448="","",[3]Entry!$C$1448)</f>
        <v/>
      </c>
      <c r="AH1445">
        <f>IF([3]Entry!$D$1448="","",[3]Entry!$D$1448)</f>
        <v/>
      </c>
      <c r="AI1445">
        <f>IF([3]Entry!$E$1448="","",[3]Entry!$E$1448)</f>
        <v/>
      </c>
      <c r="AJ1445">
        <f>IF([3]Entry!$G$1448="","",[3]Entry!$G$1448)</f>
        <v/>
      </c>
      <c r="AK1445">
        <f>IF([3]Entry!$K$1448="","",[3]Entry!$K$1448)</f>
        <v/>
      </c>
      <c r="AL1445">
        <f>IF([3]Entry!$L$1448="","",[3]Entry!$L$1448)</f>
        <v/>
      </c>
      <c r="AM1445">
        <f>IF([3]Entry!$M$1448="","",[3]Entry!$M$1448)</f>
        <v/>
      </c>
      <c r="AN1445">
        <f>IF([3]Entry!$N$1448="","",[3]Entry!$N$1448)</f>
        <v/>
      </c>
      <c r="AO1445">
        <f>IF([3]Entry!$R$1448="","",[3]Entry!$R$1448)</f>
        <v/>
      </c>
    </row>
    <row r="1446">
      <c r="U1446">
        <f>IF([2]Baskol!$B$1449="","",[2]Baskol!$B$1449)</f>
        <v/>
      </c>
      <c r="V1446">
        <f>IF([2]Baskol!$C$1449="","",[2]Baskol!$C$1449)</f>
        <v/>
      </c>
      <c r="W1446">
        <f>IF([2]Baskol!$D$1449="","",[2]Baskol!$D$1449)</f>
        <v/>
      </c>
      <c r="X1446">
        <f>IF([2]Baskol!$E$1449="","",[2]Baskol!$E$1449)</f>
        <v/>
      </c>
      <c r="Y1446">
        <f>IF([2]Baskol!$G$1449="","",[2]Baskol!$G$1449)</f>
        <v/>
      </c>
      <c r="Z1446">
        <f>IF([2]Baskol!$I$1449="","",[2]Baskol!$I$1449)</f>
        <v/>
      </c>
      <c r="AA1446">
        <f>IF([2]Baskol!$J$1449="","",[2]Baskol!$J$1449)</f>
        <v/>
      </c>
      <c r="AB1446">
        <f>IF([2]Baskol!$K$1449="","",[2]Baskol!$K$1449)</f>
        <v/>
      </c>
      <c r="AC1446">
        <f>IF([2]Baskol!$L$1449="","",[2]Baskol!$L$1449)</f>
        <v/>
      </c>
      <c r="AD1446">
        <f>IF([2]Baskol!$N$1449="","",[2]Baskol!$N$1449)</f>
        <v/>
      </c>
      <c r="AE1446">
        <f>IF([2]Baskol!$O$1449="","",[2]Baskol!$O$1449)</f>
        <v/>
      </c>
      <c r="AG1446">
        <f>IF([3]Entry!$C$1449="","",[3]Entry!$C$1449)</f>
        <v/>
      </c>
      <c r="AH1446">
        <f>IF([3]Entry!$D$1449="","",[3]Entry!$D$1449)</f>
        <v/>
      </c>
      <c r="AI1446">
        <f>IF([3]Entry!$E$1449="","",[3]Entry!$E$1449)</f>
        <v/>
      </c>
      <c r="AJ1446">
        <f>IF([3]Entry!$G$1449="","",[3]Entry!$G$1449)</f>
        <v/>
      </c>
      <c r="AK1446">
        <f>IF([3]Entry!$K$1449="","",[3]Entry!$K$1449)</f>
        <v/>
      </c>
      <c r="AL1446">
        <f>IF([3]Entry!$L$1449="","",[3]Entry!$L$1449)</f>
        <v/>
      </c>
      <c r="AM1446">
        <f>IF([3]Entry!$M$1449="","",[3]Entry!$M$1449)</f>
        <v/>
      </c>
      <c r="AN1446">
        <f>IF([3]Entry!$N$1449="","",[3]Entry!$N$1449)</f>
        <v/>
      </c>
      <c r="AO1446">
        <f>IF([3]Entry!$R$1449="","",[3]Entry!$R$1449)</f>
        <v/>
      </c>
    </row>
    <row r="1447">
      <c r="U1447">
        <f>IF([2]Baskol!$B$1450="","",[2]Baskol!$B$1450)</f>
        <v/>
      </c>
      <c r="V1447">
        <f>IF([2]Baskol!$C$1450="","",[2]Baskol!$C$1450)</f>
        <v/>
      </c>
      <c r="W1447">
        <f>IF([2]Baskol!$D$1450="","",[2]Baskol!$D$1450)</f>
        <v/>
      </c>
      <c r="X1447">
        <f>IF([2]Baskol!$E$1450="","",[2]Baskol!$E$1450)</f>
        <v/>
      </c>
      <c r="Y1447">
        <f>IF([2]Baskol!$G$1450="","",[2]Baskol!$G$1450)</f>
        <v/>
      </c>
      <c r="Z1447">
        <f>IF([2]Baskol!$I$1450="","",[2]Baskol!$I$1450)</f>
        <v/>
      </c>
      <c r="AA1447">
        <f>IF([2]Baskol!$J$1450="","",[2]Baskol!$J$1450)</f>
        <v/>
      </c>
      <c r="AB1447">
        <f>IF([2]Baskol!$K$1450="","",[2]Baskol!$K$1450)</f>
        <v/>
      </c>
      <c r="AC1447">
        <f>IF([2]Baskol!$L$1450="","",[2]Baskol!$L$1450)</f>
        <v/>
      </c>
      <c r="AD1447">
        <f>IF([2]Baskol!$N$1450="","",[2]Baskol!$N$1450)</f>
        <v/>
      </c>
      <c r="AE1447">
        <f>IF([2]Baskol!$O$1450="","",[2]Baskol!$O$1450)</f>
        <v/>
      </c>
      <c r="AG1447">
        <f>IF([3]Entry!$C$1450="","",[3]Entry!$C$1450)</f>
        <v/>
      </c>
      <c r="AH1447">
        <f>IF([3]Entry!$D$1450="","",[3]Entry!$D$1450)</f>
        <v/>
      </c>
      <c r="AI1447">
        <f>IF([3]Entry!$E$1450="","",[3]Entry!$E$1450)</f>
        <v/>
      </c>
      <c r="AJ1447">
        <f>IF([3]Entry!$G$1450="","",[3]Entry!$G$1450)</f>
        <v/>
      </c>
      <c r="AK1447">
        <f>IF([3]Entry!$K$1450="","",[3]Entry!$K$1450)</f>
        <v/>
      </c>
      <c r="AL1447">
        <f>IF([3]Entry!$L$1450="","",[3]Entry!$L$1450)</f>
        <v/>
      </c>
      <c r="AM1447">
        <f>IF([3]Entry!$M$1450="","",[3]Entry!$M$1450)</f>
        <v/>
      </c>
      <c r="AN1447">
        <f>IF([3]Entry!$N$1450="","",[3]Entry!$N$1450)</f>
        <v/>
      </c>
      <c r="AO1447">
        <f>IF([3]Entry!$R$1450="","",[3]Entry!$R$1450)</f>
        <v/>
      </c>
    </row>
    <row r="1448">
      <c r="U1448">
        <f>IF([2]Baskol!$B$1451="","",[2]Baskol!$B$1451)</f>
        <v/>
      </c>
      <c r="V1448">
        <f>IF([2]Baskol!$C$1451="","",[2]Baskol!$C$1451)</f>
        <v/>
      </c>
      <c r="W1448">
        <f>IF([2]Baskol!$D$1451="","",[2]Baskol!$D$1451)</f>
        <v/>
      </c>
      <c r="X1448">
        <f>IF([2]Baskol!$E$1451="","",[2]Baskol!$E$1451)</f>
        <v/>
      </c>
      <c r="Y1448">
        <f>IF([2]Baskol!$G$1451="","",[2]Baskol!$G$1451)</f>
        <v/>
      </c>
      <c r="Z1448">
        <f>IF([2]Baskol!$I$1451="","",[2]Baskol!$I$1451)</f>
        <v/>
      </c>
      <c r="AA1448">
        <f>IF([2]Baskol!$J$1451="","",[2]Baskol!$J$1451)</f>
        <v/>
      </c>
      <c r="AB1448">
        <f>IF([2]Baskol!$K$1451="","",[2]Baskol!$K$1451)</f>
        <v/>
      </c>
      <c r="AC1448">
        <f>IF([2]Baskol!$L$1451="","",[2]Baskol!$L$1451)</f>
        <v/>
      </c>
      <c r="AD1448">
        <f>IF([2]Baskol!$N$1451="","",[2]Baskol!$N$1451)</f>
        <v/>
      </c>
      <c r="AE1448">
        <f>IF([2]Baskol!$O$1451="","",[2]Baskol!$O$1451)</f>
        <v/>
      </c>
      <c r="AG1448">
        <f>IF([3]Entry!$C$1451="","",[3]Entry!$C$1451)</f>
        <v/>
      </c>
      <c r="AH1448">
        <f>IF([3]Entry!$D$1451="","",[3]Entry!$D$1451)</f>
        <v/>
      </c>
      <c r="AI1448">
        <f>IF([3]Entry!$E$1451="","",[3]Entry!$E$1451)</f>
        <v/>
      </c>
      <c r="AJ1448">
        <f>IF([3]Entry!$G$1451="","",[3]Entry!$G$1451)</f>
        <v/>
      </c>
      <c r="AK1448">
        <f>IF([3]Entry!$K$1451="","",[3]Entry!$K$1451)</f>
        <v/>
      </c>
      <c r="AL1448">
        <f>IF([3]Entry!$L$1451="","",[3]Entry!$L$1451)</f>
        <v/>
      </c>
      <c r="AM1448">
        <f>IF([3]Entry!$M$1451="","",[3]Entry!$M$1451)</f>
        <v/>
      </c>
      <c r="AN1448">
        <f>IF([3]Entry!$N$1451="","",[3]Entry!$N$1451)</f>
        <v/>
      </c>
      <c r="AO1448">
        <f>IF([3]Entry!$R$1451="","",[3]Entry!$R$1451)</f>
        <v/>
      </c>
    </row>
    <row r="1449">
      <c r="U1449">
        <f>IF([2]Baskol!$B$1452="","",[2]Baskol!$B$1452)</f>
        <v/>
      </c>
      <c r="V1449">
        <f>IF([2]Baskol!$C$1452="","",[2]Baskol!$C$1452)</f>
        <v/>
      </c>
      <c r="W1449">
        <f>IF([2]Baskol!$D$1452="","",[2]Baskol!$D$1452)</f>
        <v/>
      </c>
      <c r="X1449">
        <f>IF([2]Baskol!$E$1452="","",[2]Baskol!$E$1452)</f>
        <v/>
      </c>
      <c r="Y1449">
        <f>IF([2]Baskol!$G$1452="","",[2]Baskol!$G$1452)</f>
        <v/>
      </c>
      <c r="Z1449">
        <f>IF([2]Baskol!$I$1452="","",[2]Baskol!$I$1452)</f>
        <v/>
      </c>
      <c r="AA1449">
        <f>IF([2]Baskol!$J$1452="","",[2]Baskol!$J$1452)</f>
        <v/>
      </c>
      <c r="AB1449">
        <f>IF([2]Baskol!$K$1452="","",[2]Baskol!$K$1452)</f>
        <v/>
      </c>
      <c r="AC1449">
        <f>IF([2]Baskol!$L$1452="","",[2]Baskol!$L$1452)</f>
        <v/>
      </c>
      <c r="AD1449">
        <f>IF([2]Baskol!$N$1452="","",[2]Baskol!$N$1452)</f>
        <v/>
      </c>
      <c r="AE1449">
        <f>IF([2]Baskol!$O$1452="","",[2]Baskol!$O$1452)</f>
        <v/>
      </c>
      <c r="AG1449">
        <f>IF([3]Entry!$C$1452="","",[3]Entry!$C$1452)</f>
        <v/>
      </c>
      <c r="AH1449">
        <f>IF([3]Entry!$D$1452="","",[3]Entry!$D$1452)</f>
        <v/>
      </c>
      <c r="AI1449">
        <f>IF([3]Entry!$E$1452="","",[3]Entry!$E$1452)</f>
        <v/>
      </c>
      <c r="AJ1449">
        <f>IF([3]Entry!$G$1452="","",[3]Entry!$G$1452)</f>
        <v/>
      </c>
      <c r="AK1449">
        <f>IF([3]Entry!$K$1452="","",[3]Entry!$K$1452)</f>
        <v/>
      </c>
      <c r="AL1449">
        <f>IF([3]Entry!$L$1452="","",[3]Entry!$L$1452)</f>
        <v/>
      </c>
      <c r="AM1449">
        <f>IF([3]Entry!$M$1452="","",[3]Entry!$M$1452)</f>
        <v/>
      </c>
      <c r="AN1449">
        <f>IF([3]Entry!$N$1452="","",[3]Entry!$N$1452)</f>
        <v/>
      </c>
      <c r="AO1449">
        <f>IF([3]Entry!$R$1452="","",[3]Entry!$R$1452)</f>
        <v/>
      </c>
    </row>
    <row r="1450">
      <c r="U1450">
        <f>IF([2]Baskol!$B$1453="","",[2]Baskol!$B$1453)</f>
        <v/>
      </c>
      <c r="V1450">
        <f>IF([2]Baskol!$C$1453="","",[2]Baskol!$C$1453)</f>
        <v/>
      </c>
      <c r="W1450">
        <f>IF([2]Baskol!$D$1453="","",[2]Baskol!$D$1453)</f>
        <v/>
      </c>
      <c r="X1450">
        <f>IF([2]Baskol!$E$1453="","",[2]Baskol!$E$1453)</f>
        <v/>
      </c>
      <c r="Y1450">
        <f>IF([2]Baskol!$G$1453="","",[2]Baskol!$G$1453)</f>
        <v/>
      </c>
      <c r="Z1450">
        <f>IF([2]Baskol!$I$1453="","",[2]Baskol!$I$1453)</f>
        <v/>
      </c>
      <c r="AA1450">
        <f>IF([2]Baskol!$J$1453="","",[2]Baskol!$J$1453)</f>
        <v/>
      </c>
      <c r="AB1450">
        <f>IF([2]Baskol!$K$1453="","",[2]Baskol!$K$1453)</f>
        <v/>
      </c>
      <c r="AC1450">
        <f>IF([2]Baskol!$L$1453="","",[2]Baskol!$L$1453)</f>
        <v/>
      </c>
      <c r="AD1450">
        <f>IF([2]Baskol!$N$1453="","",[2]Baskol!$N$1453)</f>
        <v/>
      </c>
      <c r="AE1450">
        <f>IF([2]Baskol!$O$1453="","",[2]Baskol!$O$1453)</f>
        <v/>
      </c>
      <c r="AG1450">
        <f>IF([3]Entry!$C$1453="","",[3]Entry!$C$1453)</f>
        <v/>
      </c>
      <c r="AH1450">
        <f>IF([3]Entry!$D$1453="","",[3]Entry!$D$1453)</f>
        <v/>
      </c>
      <c r="AI1450">
        <f>IF([3]Entry!$E$1453="","",[3]Entry!$E$1453)</f>
        <v/>
      </c>
      <c r="AJ1450">
        <f>IF([3]Entry!$G$1453="","",[3]Entry!$G$1453)</f>
        <v/>
      </c>
      <c r="AK1450">
        <f>IF([3]Entry!$K$1453="","",[3]Entry!$K$1453)</f>
        <v/>
      </c>
      <c r="AL1450">
        <f>IF([3]Entry!$L$1453="","",[3]Entry!$L$1453)</f>
        <v/>
      </c>
      <c r="AM1450">
        <f>IF([3]Entry!$M$1453="","",[3]Entry!$M$1453)</f>
        <v/>
      </c>
      <c r="AN1450">
        <f>IF([3]Entry!$N$1453="","",[3]Entry!$N$1453)</f>
        <v/>
      </c>
      <c r="AO1450">
        <f>IF([3]Entry!$R$1453="","",[3]Entry!$R$1453)</f>
        <v/>
      </c>
    </row>
    <row r="1451">
      <c r="U1451">
        <f>IF([2]Baskol!$B$1454="","",[2]Baskol!$B$1454)</f>
        <v/>
      </c>
      <c r="V1451">
        <f>IF([2]Baskol!$C$1454="","",[2]Baskol!$C$1454)</f>
        <v/>
      </c>
      <c r="W1451">
        <f>IF([2]Baskol!$D$1454="","",[2]Baskol!$D$1454)</f>
        <v/>
      </c>
      <c r="X1451">
        <f>IF([2]Baskol!$E$1454="","",[2]Baskol!$E$1454)</f>
        <v/>
      </c>
      <c r="Y1451">
        <f>IF([2]Baskol!$G$1454="","",[2]Baskol!$G$1454)</f>
        <v/>
      </c>
      <c r="Z1451">
        <f>IF([2]Baskol!$I$1454="","",[2]Baskol!$I$1454)</f>
        <v/>
      </c>
      <c r="AA1451">
        <f>IF([2]Baskol!$J$1454="","",[2]Baskol!$J$1454)</f>
        <v/>
      </c>
      <c r="AB1451">
        <f>IF([2]Baskol!$K$1454="","",[2]Baskol!$K$1454)</f>
        <v/>
      </c>
      <c r="AC1451">
        <f>IF([2]Baskol!$L$1454="","",[2]Baskol!$L$1454)</f>
        <v/>
      </c>
      <c r="AD1451">
        <f>IF([2]Baskol!$N$1454="","",[2]Baskol!$N$1454)</f>
        <v/>
      </c>
      <c r="AE1451">
        <f>IF([2]Baskol!$O$1454="","",[2]Baskol!$O$1454)</f>
        <v/>
      </c>
      <c r="AG1451">
        <f>IF([3]Entry!$C$1454="","",[3]Entry!$C$1454)</f>
        <v/>
      </c>
      <c r="AH1451">
        <f>IF([3]Entry!$D$1454="","",[3]Entry!$D$1454)</f>
        <v/>
      </c>
      <c r="AI1451">
        <f>IF([3]Entry!$E$1454="","",[3]Entry!$E$1454)</f>
        <v/>
      </c>
      <c r="AJ1451">
        <f>IF([3]Entry!$G$1454="","",[3]Entry!$G$1454)</f>
        <v/>
      </c>
      <c r="AK1451">
        <f>IF([3]Entry!$K$1454="","",[3]Entry!$K$1454)</f>
        <v/>
      </c>
      <c r="AL1451">
        <f>IF([3]Entry!$L$1454="","",[3]Entry!$L$1454)</f>
        <v/>
      </c>
      <c r="AM1451">
        <f>IF([3]Entry!$M$1454="","",[3]Entry!$M$1454)</f>
        <v/>
      </c>
      <c r="AN1451">
        <f>IF([3]Entry!$N$1454="","",[3]Entry!$N$1454)</f>
        <v/>
      </c>
      <c r="AO1451">
        <f>IF([3]Entry!$R$1454="","",[3]Entry!$R$1454)</f>
        <v/>
      </c>
    </row>
    <row r="1452">
      <c r="U1452">
        <f>IF([2]Baskol!$B$1455="","",[2]Baskol!$B$1455)</f>
        <v/>
      </c>
      <c r="V1452">
        <f>IF([2]Baskol!$C$1455="","",[2]Baskol!$C$1455)</f>
        <v/>
      </c>
      <c r="W1452">
        <f>IF([2]Baskol!$D$1455="","",[2]Baskol!$D$1455)</f>
        <v/>
      </c>
      <c r="X1452">
        <f>IF([2]Baskol!$E$1455="","",[2]Baskol!$E$1455)</f>
        <v/>
      </c>
      <c r="Y1452">
        <f>IF([2]Baskol!$G$1455="","",[2]Baskol!$G$1455)</f>
        <v/>
      </c>
      <c r="Z1452">
        <f>IF([2]Baskol!$I$1455="","",[2]Baskol!$I$1455)</f>
        <v/>
      </c>
      <c r="AA1452">
        <f>IF([2]Baskol!$J$1455="","",[2]Baskol!$J$1455)</f>
        <v/>
      </c>
      <c r="AB1452">
        <f>IF([2]Baskol!$K$1455="","",[2]Baskol!$K$1455)</f>
        <v/>
      </c>
      <c r="AC1452">
        <f>IF([2]Baskol!$L$1455="","",[2]Baskol!$L$1455)</f>
        <v/>
      </c>
      <c r="AD1452">
        <f>IF([2]Baskol!$N$1455="","",[2]Baskol!$N$1455)</f>
        <v/>
      </c>
      <c r="AE1452">
        <f>IF([2]Baskol!$O$1455="","",[2]Baskol!$O$1455)</f>
        <v/>
      </c>
      <c r="AG1452">
        <f>IF([3]Entry!$C$1455="","",[3]Entry!$C$1455)</f>
        <v/>
      </c>
      <c r="AH1452">
        <f>IF([3]Entry!$D$1455="","",[3]Entry!$D$1455)</f>
        <v/>
      </c>
      <c r="AI1452">
        <f>IF([3]Entry!$E$1455="","",[3]Entry!$E$1455)</f>
        <v/>
      </c>
      <c r="AJ1452">
        <f>IF([3]Entry!$G$1455="","",[3]Entry!$G$1455)</f>
        <v/>
      </c>
      <c r="AK1452">
        <f>IF([3]Entry!$K$1455="","",[3]Entry!$K$1455)</f>
        <v/>
      </c>
      <c r="AL1452">
        <f>IF([3]Entry!$L$1455="","",[3]Entry!$L$1455)</f>
        <v/>
      </c>
      <c r="AM1452">
        <f>IF([3]Entry!$M$1455="","",[3]Entry!$M$1455)</f>
        <v/>
      </c>
      <c r="AN1452">
        <f>IF([3]Entry!$N$1455="","",[3]Entry!$N$1455)</f>
        <v/>
      </c>
      <c r="AO1452">
        <f>IF([3]Entry!$R$1455="","",[3]Entry!$R$1455)</f>
        <v/>
      </c>
    </row>
    <row r="1453">
      <c r="U1453">
        <f>IF([2]Baskol!$B$1456="","",[2]Baskol!$B$1456)</f>
        <v/>
      </c>
      <c r="V1453">
        <f>IF([2]Baskol!$C$1456="","",[2]Baskol!$C$1456)</f>
        <v/>
      </c>
      <c r="W1453">
        <f>IF([2]Baskol!$D$1456="","",[2]Baskol!$D$1456)</f>
        <v/>
      </c>
      <c r="X1453">
        <f>IF([2]Baskol!$E$1456="","",[2]Baskol!$E$1456)</f>
        <v/>
      </c>
      <c r="Y1453">
        <f>IF([2]Baskol!$G$1456="","",[2]Baskol!$G$1456)</f>
        <v/>
      </c>
      <c r="Z1453">
        <f>IF([2]Baskol!$I$1456="","",[2]Baskol!$I$1456)</f>
        <v/>
      </c>
      <c r="AA1453">
        <f>IF([2]Baskol!$J$1456="","",[2]Baskol!$J$1456)</f>
        <v/>
      </c>
      <c r="AB1453">
        <f>IF([2]Baskol!$K$1456="","",[2]Baskol!$K$1456)</f>
        <v/>
      </c>
      <c r="AC1453">
        <f>IF([2]Baskol!$L$1456="","",[2]Baskol!$L$1456)</f>
        <v/>
      </c>
      <c r="AD1453">
        <f>IF([2]Baskol!$N$1456="","",[2]Baskol!$N$1456)</f>
        <v/>
      </c>
      <c r="AE1453">
        <f>IF([2]Baskol!$O$1456="","",[2]Baskol!$O$1456)</f>
        <v/>
      </c>
      <c r="AG1453">
        <f>IF([3]Entry!$C$1456="","",[3]Entry!$C$1456)</f>
        <v/>
      </c>
      <c r="AH1453">
        <f>IF([3]Entry!$D$1456="","",[3]Entry!$D$1456)</f>
        <v/>
      </c>
      <c r="AI1453">
        <f>IF([3]Entry!$E$1456="","",[3]Entry!$E$1456)</f>
        <v/>
      </c>
      <c r="AJ1453">
        <f>IF([3]Entry!$G$1456="","",[3]Entry!$G$1456)</f>
        <v/>
      </c>
      <c r="AK1453">
        <f>IF([3]Entry!$K$1456="","",[3]Entry!$K$1456)</f>
        <v/>
      </c>
      <c r="AL1453">
        <f>IF([3]Entry!$L$1456="","",[3]Entry!$L$1456)</f>
        <v/>
      </c>
      <c r="AM1453">
        <f>IF([3]Entry!$M$1456="","",[3]Entry!$M$1456)</f>
        <v/>
      </c>
      <c r="AN1453">
        <f>IF([3]Entry!$N$1456="","",[3]Entry!$N$1456)</f>
        <v/>
      </c>
      <c r="AO1453">
        <f>IF([3]Entry!$R$1456="","",[3]Entry!$R$1456)</f>
        <v/>
      </c>
    </row>
    <row r="1454">
      <c r="U1454">
        <f>IF([2]Baskol!$B$1457="","",[2]Baskol!$B$1457)</f>
        <v/>
      </c>
      <c r="V1454">
        <f>IF([2]Baskol!$C$1457="","",[2]Baskol!$C$1457)</f>
        <v/>
      </c>
      <c r="W1454">
        <f>IF([2]Baskol!$D$1457="","",[2]Baskol!$D$1457)</f>
        <v/>
      </c>
      <c r="X1454">
        <f>IF([2]Baskol!$E$1457="","",[2]Baskol!$E$1457)</f>
        <v/>
      </c>
      <c r="Y1454">
        <f>IF([2]Baskol!$G$1457="","",[2]Baskol!$G$1457)</f>
        <v/>
      </c>
      <c r="Z1454">
        <f>IF([2]Baskol!$I$1457="","",[2]Baskol!$I$1457)</f>
        <v/>
      </c>
      <c r="AA1454">
        <f>IF([2]Baskol!$J$1457="","",[2]Baskol!$J$1457)</f>
        <v/>
      </c>
      <c r="AB1454">
        <f>IF([2]Baskol!$K$1457="","",[2]Baskol!$K$1457)</f>
        <v/>
      </c>
      <c r="AC1454">
        <f>IF([2]Baskol!$L$1457="","",[2]Baskol!$L$1457)</f>
        <v/>
      </c>
      <c r="AD1454">
        <f>IF([2]Baskol!$N$1457="","",[2]Baskol!$N$1457)</f>
        <v/>
      </c>
      <c r="AE1454">
        <f>IF([2]Baskol!$O$1457="","",[2]Baskol!$O$1457)</f>
        <v/>
      </c>
      <c r="AG1454">
        <f>IF([3]Entry!$C$1457="","",[3]Entry!$C$1457)</f>
        <v/>
      </c>
      <c r="AH1454">
        <f>IF([3]Entry!$D$1457="","",[3]Entry!$D$1457)</f>
        <v/>
      </c>
      <c r="AI1454">
        <f>IF([3]Entry!$E$1457="","",[3]Entry!$E$1457)</f>
        <v/>
      </c>
      <c r="AJ1454">
        <f>IF([3]Entry!$G$1457="","",[3]Entry!$G$1457)</f>
        <v/>
      </c>
      <c r="AK1454">
        <f>IF([3]Entry!$K$1457="","",[3]Entry!$K$1457)</f>
        <v/>
      </c>
      <c r="AL1454">
        <f>IF([3]Entry!$L$1457="","",[3]Entry!$L$1457)</f>
        <v/>
      </c>
      <c r="AM1454">
        <f>IF([3]Entry!$M$1457="","",[3]Entry!$M$1457)</f>
        <v/>
      </c>
      <c r="AN1454">
        <f>IF([3]Entry!$N$1457="","",[3]Entry!$N$1457)</f>
        <v/>
      </c>
      <c r="AO1454">
        <f>IF([3]Entry!$R$1457="","",[3]Entry!$R$1457)</f>
        <v/>
      </c>
    </row>
    <row r="1455">
      <c r="U1455">
        <f>IF([2]Baskol!$B$1458="","",[2]Baskol!$B$1458)</f>
        <v/>
      </c>
      <c r="V1455">
        <f>IF([2]Baskol!$C$1458="","",[2]Baskol!$C$1458)</f>
        <v/>
      </c>
      <c r="W1455">
        <f>IF([2]Baskol!$D$1458="","",[2]Baskol!$D$1458)</f>
        <v/>
      </c>
      <c r="X1455">
        <f>IF([2]Baskol!$E$1458="","",[2]Baskol!$E$1458)</f>
        <v/>
      </c>
      <c r="Y1455">
        <f>IF([2]Baskol!$G$1458="","",[2]Baskol!$G$1458)</f>
        <v/>
      </c>
      <c r="Z1455">
        <f>IF([2]Baskol!$I$1458="","",[2]Baskol!$I$1458)</f>
        <v/>
      </c>
      <c r="AA1455">
        <f>IF([2]Baskol!$J$1458="","",[2]Baskol!$J$1458)</f>
        <v/>
      </c>
      <c r="AB1455">
        <f>IF([2]Baskol!$K$1458="","",[2]Baskol!$K$1458)</f>
        <v/>
      </c>
      <c r="AC1455">
        <f>IF([2]Baskol!$L$1458="","",[2]Baskol!$L$1458)</f>
        <v/>
      </c>
      <c r="AD1455">
        <f>IF([2]Baskol!$N$1458="","",[2]Baskol!$N$1458)</f>
        <v/>
      </c>
      <c r="AE1455">
        <f>IF([2]Baskol!$O$1458="","",[2]Baskol!$O$1458)</f>
        <v/>
      </c>
      <c r="AG1455">
        <f>IF([3]Entry!$C$1458="","",[3]Entry!$C$1458)</f>
        <v/>
      </c>
      <c r="AH1455">
        <f>IF([3]Entry!$D$1458="","",[3]Entry!$D$1458)</f>
        <v/>
      </c>
      <c r="AI1455">
        <f>IF([3]Entry!$E$1458="","",[3]Entry!$E$1458)</f>
        <v/>
      </c>
      <c r="AJ1455">
        <f>IF([3]Entry!$G$1458="","",[3]Entry!$G$1458)</f>
        <v/>
      </c>
      <c r="AK1455">
        <f>IF([3]Entry!$K$1458="","",[3]Entry!$K$1458)</f>
        <v/>
      </c>
      <c r="AL1455">
        <f>IF([3]Entry!$L$1458="","",[3]Entry!$L$1458)</f>
        <v/>
      </c>
      <c r="AM1455">
        <f>IF([3]Entry!$M$1458="","",[3]Entry!$M$1458)</f>
        <v/>
      </c>
      <c r="AN1455">
        <f>IF([3]Entry!$N$1458="","",[3]Entry!$N$1458)</f>
        <v/>
      </c>
      <c r="AO1455">
        <f>IF([3]Entry!$R$1458="","",[3]Entry!$R$1458)</f>
        <v/>
      </c>
    </row>
    <row r="1456">
      <c r="U1456">
        <f>IF([2]Baskol!$B$1459="","",[2]Baskol!$B$1459)</f>
        <v/>
      </c>
      <c r="V1456">
        <f>IF([2]Baskol!$C$1459="","",[2]Baskol!$C$1459)</f>
        <v/>
      </c>
      <c r="W1456">
        <f>IF([2]Baskol!$D$1459="","",[2]Baskol!$D$1459)</f>
        <v/>
      </c>
      <c r="X1456">
        <f>IF([2]Baskol!$E$1459="","",[2]Baskol!$E$1459)</f>
        <v/>
      </c>
      <c r="Y1456">
        <f>IF([2]Baskol!$G$1459="","",[2]Baskol!$G$1459)</f>
        <v/>
      </c>
      <c r="Z1456">
        <f>IF([2]Baskol!$I$1459="","",[2]Baskol!$I$1459)</f>
        <v/>
      </c>
      <c r="AA1456">
        <f>IF([2]Baskol!$J$1459="","",[2]Baskol!$J$1459)</f>
        <v/>
      </c>
      <c r="AB1456">
        <f>IF([2]Baskol!$K$1459="","",[2]Baskol!$K$1459)</f>
        <v/>
      </c>
      <c r="AC1456">
        <f>IF([2]Baskol!$L$1459="","",[2]Baskol!$L$1459)</f>
        <v/>
      </c>
      <c r="AD1456">
        <f>IF([2]Baskol!$N$1459="","",[2]Baskol!$N$1459)</f>
        <v/>
      </c>
      <c r="AE1456">
        <f>IF([2]Baskol!$O$1459="","",[2]Baskol!$O$1459)</f>
        <v/>
      </c>
      <c r="AG1456">
        <f>IF([3]Entry!$C$1459="","",[3]Entry!$C$1459)</f>
        <v/>
      </c>
      <c r="AH1456">
        <f>IF([3]Entry!$D$1459="","",[3]Entry!$D$1459)</f>
        <v/>
      </c>
      <c r="AI1456">
        <f>IF([3]Entry!$E$1459="","",[3]Entry!$E$1459)</f>
        <v/>
      </c>
      <c r="AJ1456">
        <f>IF([3]Entry!$G$1459="","",[3]Entry!$G$1459)</f>
        <v/>
      </c>
      <c r="AK1456">
        <f>IF([3]Entry!$K$1459="","",[3]Entry!$K$1459)</f>
        <v/>
      </c>
      <c r="AL1456">
        <f>IF([3]Entry!$L$1459="","",[3]Entry!$L$1459)</f>
        <v/>
      </c>
      <c r="AM1456">
        <f>IF([3]Entry!$M$1459="","",[3]Entry!$M$1459)</f>
        <v/>
      </c>
      <c r="AN1456">
        <f>IF([3]Entry!$N$1459="","",[3]Entry!$N$1459)</f>
        <v/>
      </c>
      <c r="AO1456">
        <f>IF([3]Entry!$R$1459="","",[3]Entry!$R$1459)</f>
        <v/>
      </c>
    </row>
    <row r="1457">
      <c r="U1457">
        <f>IF([2]Baskol!$B$1460="","",[2]Baskol!$B$1460)</f>
        <v/>
      </c>
      <c r="V1457">
        <f>IF([2]Baskol!$C$1460="","",[2]Baskol!$C$1460)</f>
        <v/>
      </c>
      <c r="W1457">
        <f>IF([2]Baskol!$D$1460="","",[2]Baskol!$D$1460)</f>
        <v/>
      </c>
      <c r="X1457">
        <f>IF([2]Baskol!$E$1460="","",[2]Baskol!$E$1460)</f>
        <v/>
      </c>
      <c r="Y1457">
        <f>IF([2]Baskol!$G$1460="","",[2]Baskol!$G$1460)</f>
        <v/>
      </c>
      <c r="Z1457">
        <f>IF([2]Baskol!$I$1460="","",[2]Baskol!$I$1460)</f>
        <v/>
      </c>
      <c r="AA1457">
        <f>IF([2]Baskol!$J$1460="","",[2]Baskol!$J$1460)</f>
        <v/>
      </c>
      <c r="AB1457">
        <f>IF([2]Baskol!$K$1460="","",[2]Baskol!$K$1460)</f>
        <v/>
      </c>
      <c r="AC1457">
        <f>IF([2]Baskol!$L$1460="","",[2]Baskol!$L$1460)</f>
        <v/>
      </c>
      <c r="AD1457">
        <f>IF([2]Baskol!$N$1460="","",[2]Baskol!$N$1460)</f>
        <v/>
      </c>
      <c r="AE1457">
        <f>IF([2]Baskol!$O$1460="","",[2]Baskol!$O$1460)</f>
        <v/>
      </c>
      <c r="AG1457">
        <f>IF([3]Entry!$C$1460="","",[3]Entry!$C$1460)</f>
        <v/>
      </c>
      <c r="AH1457">
        <f>IF([3]Entry!$D$1460="","",[3]Entry!$D$1460)</f>
        <v/>
      </c>
      <c r="AI1457">
        <f>IF([3]Entry!$E$1460="","",[3]Entry!$E$1460)</f>
        <v/>
      </c>
      <c r="AJ1457">
        <f>IF([3]Entry!$G$1460="","",[3]Entry!$G$1460)</f>
        <v/>
      </c>
      <c r="AK1457">
        <f>IF([3]Entry!$K$1460="","",[3]Entry!$K$1460)</f>
        <v/>
      </c>
      <c r="AL1457">
        <f>IF([3]Entry!$L$1460="","",[3]Entry!$L$1460)</f>
        <v/>
      </c>
      <c r="AM1457">
        <f>IF([3]Entry!$M$1460="","",[3]Entry!$M$1460)</f>
        <v/>
      </c>
      <c r="AN1457">
        <f>IF([3]Entry!$N$1460="","",[3]Entry!$N$1460)</f>
        <v/>
      </c>
      <c r="AO1457">
        <f>IF([3]Entry!$R$1460="","",[3]Entry!$R$1460)</f>
        <v/>
      </c>
    </row>
    <row r="1458">
      <c r="U1458">
        <f>IF([2]Baskol!$B$1461="","",[2]Baskol!$B$1461)</f>
        <v/>
      </c>
      <c r="V1458">
        <f>IF([2]Baskol!$C$1461="","",[2]Baskol!$C$1461)</f>
        <v/>
      </c>
      <c r="W1458">
        <f>IF([2]Baskol!$D$1461="","",[2]Baskol!$D$1461)</f>
        <v/>
      </c>
      <c r="X1458">
        <f>IF([2]Baskol!$E$1461="","",[2]Baskol!$E$1461)</f>
        <v/>
      </c>
      <c r="Y1458">
        <f>IF([2]Baskol!$G$1461="","",[2]Baskol!$G$1461)</f>
        <v/>
      </c>
      <c r="Z1458">
        <f>IF([2]Baskol!$I$1461="","",[2]Baskol!$I$1461)</f>
        <v/>
      </c>
      <c r="AA1458">
        <f>IF([2]Baskol!$J$1461="","",[2]Baskol!$J$1461)</f>
        <v/>
      </c>
      <c r="AB1458">
        <f>IF([2]Baskol!$K$1461="","",[2]Baskol!$K$1461)</f>
        <v/>
      </c>
      <c r="AC1458">
        <f>IF([2]Baskol!$L$1461="","",[2]Baskol!$L$1461)</f>
        <v/>
      </c>
      <c r="AD1458">
        <f>IF([2]Baskol!$N$1461="","",[2]Baskol!$N$1461)</f>
        <v/>
      </c>
      <c r="AE1458">
        <f>IF([2]Baskol!$O$1461="","",[2]Baskol!$O$1461)</f>
        <v/>
      </c>
      <c r="AG1458">
        <f>IF([3]Entry!$C$1461="","",[3]Entry!$C$1461)</f>
        <v/>
      </c>
      <c r="AH1458">
        <f>IF([3]Entry!$D$1461="","",[3]Entry!$D$1461)</f>
        <v/>
      </c>
      <c r="AI1458">
        <f>IF([3]Entry!$E$1461="","",[3]Entry!$E$1461)</f>
        <v/>
      </c>
      <c r="AJ1458">
        <f>IF([3]Entry!$G$1461="","",[3]Entry!$G$1461)</f>
        <v/>
      </c>
      <c r="AK1458">
        <f>IF([3]Entry!$K$1461="","",[3]Entry!$K$1461)</f>
        <v/>
      </c>
      <c r="AL1458">
        <f>IF([3]Entry!$L$1461="","",[3]Entry!$L$1461)</f>
        <v/>
      </c>
      <c r="AM1458">
        <f>IF([3]Entry!$M$1461="","",[3]Entry!$M$1461)</f>
        <v/>
      </c>
      <c r="AN1458">
        <f>IF([3]Entry!$N$1461="","",[3]Entry!$N$1461)</f>
        <v/>
      </c>
      <c r="AO1458">
        <f>IF([3]Entry!$R$1461="","",[3]Entry!$R$1461)</f>
        <v/>
      </c>
    </row>
    <row r="1459">
      <c r="U1459">
        <f>IF([2]Baskol!$B$1462="","",[2]Baskol!$B$1462)</f>
        <v/>
      </c>
      <c r="V1459">
        <f>IF([2]Baskol!$C$1462="","",[2]Baskol!$C$1462)</f>
        <v/>
      </c>
      <c r="W1459">
        <f>IF([2]Baskol!$D$1462="","",[2]Baskol!$D$1462)</f>
        <v/>
      </c>
      <c r="X1459">
        <f>IF([2]Baskol!$E$1462="","",[2]Baskol!$E$1462)</f>
        <v/>
      </c>
      <c r="Y1459">
        <f>IF([2]Baskol!$G$1462="","",[2]Baskol!$G$1462)</f>
        <v/>
      </c>
      <c r="Z1459">
        <f>IF([2]Baskol!$I$1462="","",[2]Baskol!$I$1462)</f>
        <v/>
      </c>
      <c r="AA1459">
        <f>IF([2]Baskol!$J$1462="","",[2]Baskol!$J$1462)</f>
        <v/>
      </c>
      <c r="AB1459">
        <f>IF([2]Baskol!$K$1462="","",[2]Baskol!$K$1462)</f>
        <v/>
      </c>
      <c r="AC1459">
        <f>IF([2]Baskol!$L$1462="","",[2]Baskol!$L$1462)</f>
        <v/>
      </c>
      <c r="AD1459">
        <f>IF([2]Baskol!$N$1462="","",[2]Baskol!$N$1462)</f>
        <v/>
      </c>
      <c r="AE1459">
        <f>IF([2]Baskol!$O$1462="","",[2]Baskol!$O$1462)</f>
        <v/>
      </c>
      <c r="AG1459">
        <f>IF([3]Entry!$C$1462="","",[3]Entry!$C$1462)</f>
        <v/>
      </c>
      <c r="AH1459">
        <f>IF([3]Entry!$D$1462="","",[3]Entry!$D$1462)</f>
        <v/>
      </c>
      <c r="AI1459">
        <f>IF([3]Entry!$E$1462="","",[3]Entry!$E$1462)</f>
        <v/>
      </c>
      <c r="AJ1459">
        <f>IF([3]Entry!$G$1462="","",[3]Entry!$G$1462)</f>
        <v/>
      </c>
      <c r="AK1459">
        <f>IF([3]Entry!$K$1462="","",[3]Entry!$K$1462)</f>
        <v/>
      </c>
      <c r="AL1459">
        <f>IF([3]Entry!$L$1462="","",[3]Entry!$L$1462)</f>
        <v/>
      </c>
      <c r="AM1459">
        <f>IF([3]Entry!$M$1462="","",[3]Entry!$M$1462)</f>
        <v/>
      </c>
      <c r="AN1459">
        <f>IF([3]Entry!$N$1462="","",[3]Entry!$N$1462)</f>
        <v/>
      </c>
      <c r="AO1459">
        <f>IF([3]Entry!$R$1462="","",[3]Entry!$R$1462)</f>
        <v/>
      </c>
    </row>
    <row r="1460">
      <c r="U1460">
        <f>IF([2]Baskol!$B$1463="","",[2]Baskol!$B$1463)</f>
        <v/>
      </c>
      <c r="V1460">
        <f>IF([2]Baskol!$C$1463="","",[2]Baskol!$C$1463)</f>
        <v/>
      </c>
      <c r="W1460">
        <f>IF([2]Baskol!$D$1463="","",[2]Baskol!$D$1463)</f>
        <v/>
      </c>
      <c r="X1460">
        <f>IF([2]Baskol!$E$1463="","",[2]Baskol!$E$1463)</f>
        <v/>
      </c>
      <c r="Y1460">
        <f>IF([2]Baskol!$G$1463="","",[2]Baskol!$G$1463)</f>
        <v/>
      </c>
      <c r="Z1460">
        <f>IF([2]Baskol!$I$1463="","",[2]Baskol!$I$1463)</f>
        <v/>
      </c>
      <c r="AA1460">
        <f>IF([2]Baskol!$J$1463="","",[2]Baskol!$J$1463)</f>
        <v/>
      </c>
      <c r="AB1460">
        <f>IF([2]Baskol!$K$1463="","",[2]Baskol!$K$1463)</f>
        <v/>
      </c>
      <c r="AC1460">
        <f>IF([2]Baskol!$L$1463="","",[2]Baskol!$L$1463)</f>
        <v/>
      </c>
      <c r="AD1460">
        <f>IF([2]Baskol!$N$1463="","",[2]Baskol!$N$1463)</f>
        <v/>
      </c>
      <c r="AE1460">
        <f>IF([2]Baskol!$O$1463="","",[2]Baskol!$O$1463)</f>
        <v/>
      </c>
      <c r="AG1460">
        <f>IF([3]Entry!$C$1463="","",[3]Entry!$C$1463)</f>
        <v/>
      </c>
      <c r="AH1460">
        <f>IF([3]Entry!$D$1463="","",[3]Entry!$D$1463)</f>
        <v/>
      </c>
      <c r="AI1460">
        <f>IF([3]Entry!$E$1463="","",[3]Entry!$E$1463)</f>
        <v/>
      </c>
      <c r="AJ1460">
        <f>IF([3]Entry!$G$1463="","",[3]Entry!$G$1463)</f>
        <v/>
      </c>
      <c r="AK1460">
        <f>IF([3]Entry!$K$1463="","",[3]Entry!$K$1463)</f>
        <v/>
      </c>
      <c r="AL1460">
        <f>IF([3]Entry!$L$1463="","",[3]Entry!$L$1463)</f>
        <v/>
      </c>
      <c r="AM1460">
        <f>IF([3]Entry!$M$1463="","",[3]Entry!$M$1463)</f>
        <v/>
      </c>
      <c r="AN1460">
        <f>IF([3]Entry!$N$1463="","",[3]Entry!$N$1463)</f>
        <v/>
      </c>
      <c r="AO1460">
        <f>IF([3]Entry!$R$1463="","",[3]Entry!$R$1463)</f>
        <v/>
      </c>
    </row>
    <row r="1461">
      <c r="U1461">
        <f>IF([2]Baskol!$B$1464="","",[2]Baskol!$B$1464)</f>
        <v/>
      </c>
      <c r="V1461">
        <f>IF([2]Baskol!$C$1464="","",[2]Baskol!$C$1464)</f>
        <v/>
      </c>
      <c r="W1461">
        <f>IF([2]Baskol!$D$1464="","",[2]Baskol!$D$1464)</f>
        <v/>
      </c>
      <c r="X1461">
        <f>IF([2]Baskol!$E$1464="","",[2]Baskol!$E$1464)</f>
        <v/>
      </c>
      <c r="Y1461">
        <f>IF([2]Baskol!$G$1464="","",[2]Baskol!$G$1464)</f>
        <v/>
      </c>
      <c r="Z1461">
        <f>IF([2]Baskol!$I$1464="","",[2]Baskol!$I$1464)</f>
        <v/>
      </c>
      <c r="AA1461">
        <f>IF([2]Baskol!$J$1464="","",[2]Baskol!$J$1464)</f>
        <v/>
      </c>
      <c r="AB1461">
        <f>IF([2]Baskol!$K$1464="","",[2]Baskol!$K$1464)</f>
        <v/>
      </c>
      <c r="AC1461">
        <f>IF([2]Baskol!$L$1464="","",[2]Baskol!$L$1464)</f>
        <v/>
      </c>
      <c r="AD1461">
        <f>IF([2]Baskol!$N$1464="","",[2]Baskol!$N$1464)</f>
        <v/>
      </c>
      <c r="AE1461">
        <f>IF([2]Baskol!$O$1464="","",[2]Baskol!$O$1464)</f>
        <v/>
      </c>
      <c r="AG1461">
        <f>IF([3]Entry!$C$1464="","",[3]Entry!$C$1464)</f>
        <v/>
      </c>
      <c r="AH1461">
        <f>IF([3]Entry!$D$1464="","",[3]Entry!$D$1464)</f>
        <v/>
      </c>
      <c r="AI1461">
        <f>IF([3]Entry!$E$1464="","",[3]Entry!$E$1464)</f>
        <v/>
      </c>
      <c r="AJ1461">
        <f>IF([3]Entry!$G$1464="","",[3]Entry!$G$1464)</f>
        <v/>
      </c>
      <c r="AK1461">
        <f>IF([3]Entry!$K$1464="","",[3]Entry!$K$1464)</f>
        <v/>
      </c>
      <c r="AL1461">
        <f>IF([3]Entry!$L$1464="","",[3]Entry!$L$1464)</f>
        <v/>
      </c>
      <c r="AM1461">
        <f>IF([3]Entry!$M$1464="","",[3]Entry!$M$1464)</f>
        <v/>
      </c>
      <c r="AN1461">
        <f>IF([3]Entry!$N$1464="","",[3]Entry!$N$1464)</f>
        <v/>
      </c>
      <c r="AO1461">
        <f>IF([3]Entry!$R$1464="","",[3]Entry!$R$1464)</f>
        <v/>
      </c>
    </row>
    <row r="1462">
      <c r="U1462">
        <f>IF([2]Baskol!$B$1465="","",[2]Baskol!$B$1465)</f>
        <v/>
      </c>
      <c r="V1462">
        <f>IF([2]Baskol!$C$1465="","",[2]Baskol!$C$1465)</f>
        <v/>
      </c>
      <c r="W1462">
        <f>IF([2]Baskol!$D$1465="","",[2]Baskol!$D$1465)</f>
        <v/>
      </c>
      <c r="X1462">
        <f>IF([2]Baskol!$E$1465="","",[2]Baskol!$E$1465)</f>
        <v/>
      </c>
      <c r="Y1462">
        <f>IF([2]Baskol!$G$1465="","",[2]Baskol!$G$1465)</f>
        <v/>
      </c>
      <c r="Z1462">
        <f>IF([2]Baskol!$I$1465="","",[2]Baskol!$I$1465)</f>
        <v/>
      </c>
      <c r="AA1462">
        <f>IF([2]Baskol!$J$1465="","",[2]Baskol!$J$1465)</f>
        <v/>
      </c>
      <c r="AB1462">
        <f>IF([2]Baskol!$K$1465="","",[2]Baskol!$K$1465)</f>
        <v/>
      </c>
      <c r="AC1462">
        <f>IF([2]Baskol!$L$1465="","",[2]Baskol!$L$1465)</f>
        <v/>
      </c>
      <c r="AD1462">
        <f>IF([2]Baskol!$N$1465="","",[2]Baskol!$N$1465)</f>
        <v/>
      </c>
      <c r="AE1462">
        <f>IF([2]Baskol!$O$1465="","",[2]Baskol!$O$1465)</f>
        <v/>
      </c>
      <c r="AG1462">
        <f>IF([3]Entry!$C$1465="","",[3]Entry!$C$1465)</f>
        <v/>
      </c>
      <c r="AH1462">
        <f>IF([3]Entry!$D$1465="","",[3]Entry!$D$1465)</f>
        <v/>
      </c>
      <c r="AI1462">
        <f>IF([3]Entry!$E$1465="","",[3]Entry!$E$1465)</f>
        <v/>
      </c>
      <c r="AJ1462">
        <f>IF([3]Entry!$G$1465="","",[3]Entry!$G$1465)</f>
        <v/>
      </c>
      <c r="AK1462">
        <f>IF([3]Entry!$K$1465="","",[3]Entry!$K$1465)</f>
        <v/>
      </c>
      <c r="AL1462">
        <f>IF([3]Entry!$L$1465="","",[3]Entry!$L$1465)</f>
        <v/>
      </c>
      <c r="AM1462">
        <f>IF([3]Entry!$M$1465="","",[3]Entry!$M$1465)</f>
        <v/>
      </c>
      <c r="AN1462">
        <f>IF([3]Entry!$N$1465="","",[3]Entry!$N$1465)</f>
        <v/>
      </c>
      <c r="AO1462">
        <f>IF([3]Entry!$R$1465="","",[3]Entry!$R$1465)</f>
        <v/>
      </c>
    </row>
    <row r="1463">
      <c r="U1463">
        <f>IF([2]Baskol!$B$1466="","",[2]Baskol!$B$1466)</f>
        <v/>
      </c>
      <c r="V1463">
        <f>IF([2]Baskol!$C$1466="","",[2]Baskol!$C$1466)</f>
        <v/>
      </c>
      <c r="W1463">
        <f>IF([2]Baskol!$D$1466="","",[2]Baskol!$D$1466)</f>
        <v/>
      </c>
      <c r="X1463">
        <f>IF([2]Baskol!$E$1466="","",[2]Baskol!$E$1466)</f>
        <v/>
      </c>
      <c r="Y1463">
        <f>IF([2]Baskol!$G$1466="","",[2]Baskol!$G$1466)</f>
        <v/>
      </c>
      <c r="Z1463">
        <f>IF([2]Baskol!$I$1466="","",[2]Baskol!$I$1466)</f>
        <v/>
      </c>
      <c r="AA1463">
        <f>IF([2]Baskol!$J$1466="","",[2]Baskol!$J$1466)</f>
        <v/>
      </c>
      <c r="AB1463">
        <f>IF([2]Baskol!$K$1466="","",[2]Baskol!$K$1466)</f>
        <v/>
      </c>
      <c r="AC1463">
        <f>IF([2]Baskol!$L$1466="","",[2]Baskol!$L$1466)</f>
        <v/>
      </c>
      <c r="AD1463">
        <f>IF([2]Baskol!$N$1466="","",[2]Baskol!$N$1466)</f>
        <v/>
      </c>
      <c r="AE1463">
        <f>IF([2]Baskol!$O$1466="","",[2]Baskol!$O$1466)</f>
        <v/>
      </c>
      <c r="AG1463">
        <f>IF([3]Entry!$C$1466="","",[3]Entry!$C$1466)</f>
        <v/>
      </c>
      <c r="AH1463">
        <f>IF([3]Entry!$D$1466="","",[3]Entry!$D$1466)</f>
        <v/>
      </c>
      <c r="AI1463">
        <f>IF([3]Entry!$E$1466="","",[3]Entry!$E$1466)</f>
        <v/>
      </c>
      <c r="AJ1463">
        <f>IF([3]Entry!$G$1466="","",[3]Entry!$G$1466)</f>
        <v/>
      </c>
      <c r="AK1463">
        <f>IF([3]Entry!$K$1466="","",[3]Entry!$K$1466)</f>
        <v/>
      </c>
      <c r="AL1463">
        <f>IF([3]Entry!$L$1466="","",[3]Entry!$L$1466)</f>
        <v/>
      </c>
      <c r="AM1463">
        <f>IF([3]Entry!$M$1466="","",[3]Entry!$M$1466)</f>
        <v/>
      </c>
      <c r="AN1463">
        <f>IF([3]Entry!$N$1466="","",[3]Entry!$N$1466)</f>
        <v/>
      </c>
      <c r="AO1463">
        <f>IF([3]Entry!$R$1466="","",[3]Entry!$R$1466)</f>
        <v/>
      </c>
    </row>
    <row r="1464">
      <c r="U1464">
        <f>IF([2]Baskol!$B$1467="","",[2]Baskol!$B$1467)</f>
        <v/>
      </c>
      <c r="V1464">
        <f>IF([2]Baskol!$C$1467="","",[2]Baskol!$C$1467)</f>
        <v/>
      </c>
      <c r="W1464">
        <f>IF([2]Baskol!$D$1467="","",[2]Baskol!$D$1467)</f>
        <v/>
      </c>
      <c r="X1464">
        <f>IF([2]Baskol!$E$1467="","",[2]Baskol!$E$1467)</f>
        <v/>
      </c>
      <c r="Y1464">
        <f>IF([2]Baskol!$G$1467="","",[2]Baskol!$G$1467)</f>
        <v/>
      </c>
      <c r="Z1464">
        <f>IF([2]Baskol!$I$1467="","",[2]Baskol!$I$1467)</f>
        <v/>
      </c>
      <c r="AA1464">
        <f>IF([2]Baskol!$J$1467="","",[2]Baskol!$J$1467)</f>
        <v/>
      </c>
      <c r="AB1464">
        <f>IF([2]Baskol!$K$1467="","",[2]Baskol!$K$1467)</f>
        <v/>
      </c>
      <c r="AC1464">
        <f>IF([2]Baskol!$L$1467="","",[2]Baskol!$L$1467)</f>
        <v/>
      </c>
      <c r="AD1464">
        <f>IF([2]Baskol!$N$1467="","",[2]Baskol!$N$1467)</f>
        <v/>
      </c>
      <c r="AE1464">
        <f>IF([2]Baskol!$O$1467="","",[2]Baskol!$O$1467)</f>
        <v/>
      </c>
      <c r="AG1464">
        <f>IF([3]Entry!$C$1467="","",[3]Entry!$C$1467)</f>
        <v/>
      </c>
      <c r="AH1464">
        <f>IF([3]Entry!$D$1467="","",[3]Entry!$D$1467)</f>
        <v/>
      </c>
      <c r="AI1464">
        <f>IF([3]Entry!$E$1467="","",[3]Entry!$E$1467)</f>
        <v/>
      </c>
      <c r="AJ1464">
        <f>IF([3]Entry!$G$1467="","",[3]Entry!$G$1467)</f>
        <v/>
      </c>
      <c r="AK1464">
        <f>IF([3]Entry!$K$1467="","",[3]Entry!$K$1467)</f>
        <v/>
      </c>
      <c r="AL1464">
        <f>IF([3]Entry!$L$1467="","",[3]Entry!$L$1467)</f>
        <v/>
      </c>
      <c r="AM1464">
        <f>IF([3]Entry!$M$1467="","",[3]Entry!$M$1467)</f>
        <v/>
      </c>
      <c r="AN1464">
        <f>IF([3]Entry!$N$1467="","",[3]Entry!$N$1467)</f>
        <v/>
      </c>
      <c r="AO1464">
        <f>IF([3]Entry!$R$1467="","",[3]Entry!$R$1467)</f>
        <v/>
      </c>
    </row>
    <row r="1465">
      <c r="U1465">
        <f>IF([2]Baskol!$B$1468="","",[2]Baskol!$B$1468)</f>
        <v/>
      </c>
      <c r="V1465">
        <f>IF([2]Baskol!$C$1468="","",[2]Baskol!$C$1468)</f>
        <v/>
      </c>
      <c r="W1465">
        <f>IF([2]Baskol!$D$1468="","",[2]Baskol!$D$1468)</f>
        <v/>
      </c>
      <c r="X1465">
        <f>IF([2]Baskol!$E$1468="","",[2]Baskol!$E$1468)</f>
        <v/>
      </c>
      <c r="Y1465">
        <f>IF([2]Baskol!$G$1468="","",[2]Baskol!$G$1468)</f>
        <v/>
      </c>
      <c r="Z1465">
        <f>IF([2]Baskol!$I$1468="","",[2]Baskol!$I$1468)</f>
        <v/>
      </c>
      <c r="AA1465">
        <f>IF([2]Baskol!$J$1468="","",[2]Baskol!$J$1468)</f>
        <v/>
      </c>
      <c r="AB1465">
        <f>IF([2]Baskol!$K$1468="","",[2]Baskol!$K$1468)</f>
        <v/>
      </c>
      <c r="AC1465">
        <f>IF([2]Baskol!$L$1468="","",[2]Baskol!$L$1468)</f>
        <v/>
      </c>
      <c r="AD1465">
        <f>IF([2]Baskol!$N$1468="","",[2]Baskol!$N$1468)</f>
        <v/>
      </c>
      <c r="AE1465">
        <f>IF([2]Baskol!$O$1468="","",[2]Baskol!$O$1468)</f>
        <v/>
      </c>
      <c r="AG1465">
        <f>IF([3]Entry!$C$1468="","",[3]Entry!$C$1468)</f>
        <v/>
      </c>
      <c r="AH1465">
        <f>IF([3]Entry!$D$1468="","",[3]Entry!$D$1468)</f>
        <v/>
      </c>
      <c r="AI1465">
        <f>IF([3]Entry!$E$1468="","",[3]Entry!$E$1468)</f>
        <v/>
      </c>
      <c r="AJ1465">
        <f>IF([3]Entry!$G$1468="","",[3]Entry!$G$1468)</f>
        <v/>
      </c>
      <c r="AK1465">
        <f>IF([3]Entry!$K$1468="","",[3]Entry!$K$1468)</f>
        <v/>
      </c>
      <c r="AL1465">
        <f>IF([3]Entry!$L$1468="","",[3]Entry!$L$1468)</f>
        <v/>
      </c>
      <c r="AM1465">
        <f>IF([3]Entry!$M$1468="","",[3]Entry!$M$1468)</f>
        <v/>
      </c>
      <c r="AN1465">
        <f>IF([3]Entry!$N$1468="","",[3]Entry!$N$1468)</f>
        <v/>
      </c>
      <c r="AO1465">
        <f>IF([3]Entry!$R$1468="","",[3]Entry!$R$1468)</f>
        <v/>
      </c>
    </row>
    <row r="1466">
      <c r="U1466">
        <f>IF([2]Baskol!$B$1469="","",[2]Baskol!$B$1469)</f>
        <v/>
      </c>
      <c r="V1466">
        <f>IF([2]Baskol!$C$1469="","",[2]Baskol!$C$1469)</f>
        <v/>
      </c>
      <c r="W1466">
        <f>IF([2]Baskol!$D$1469="","",[2]Baskol!$D$1469)</f>
        <v/>
      </c>
      <c r="X1466">
        <f>IF([2]Baskol!$E$1469="","",[2]Baskol!$E$1469)</f>
        <v/>
      </c>
      <c r="Y1466">
        <f>IF([2]Baskol!$G$1469="","",[2]Baskol!$G$1469)</f>
        <v/>
      </c>
      <c r="Z1466">
        <f>IF([2]Baskol!$I$1469="","",[2]Baskol!$I$1469)</f>
        <v/>
      </c>
      <c r="AA1466">
        <f>IF([2]Baskol!$J$1469="","",[2]Baskol!$J$1469)</f>
        <v/>
      </c>
      <c r="AB1466">
        <f>IF([2]Baskol!$K$1469="","",[2]Baskol!$K$1469)</f>
        <v/>
      </c>
      <c r="AC1466">
        <f>IF([2]Baskol!$L$1469="","",[2]Baskol!$L$1469)</f>
        <v/>
      </c>
      <c r="AD1466">
        <f>IF([2]Baskol!$N$1469="","",[2]Baskol!$N$1469)</f>
        <v/>
      </c>
      <c r="AE1466">
        <f>IF([2]Baskol!$O$1469="","",[2]Baskol!$O$1469)</f>
        <v/>
      </c>
      <c r="AG1466">
        <f>IF([3]Entry!$C$1469="","",[3]Entry!$C$1469)</f>
        <v/>
      </c>
      <c r="AH1466">
        <f>IF([3]Entry!$D$1469="","",[3]Entry!$D$1469)</f>
        <v/>
      </c>
      <c r="AI1466">
        <f>IF([3]Entry!$E$1469="","",[3]Entry!$E$1469)</f>
        <v/>
      </c>
      <c r="AJ1466">
        <f>IF([3]Entry!$G$1469="","",[3]Entry!$G$1469)</f>
        <v/>
      </c>
      <c r="AK1466">
        <f>IF([3]Entry!$K$1469="","",[3]Entry!$K$1469)</f>
        <v/>
      </c>
      <c r="AL1466">
        <f>IF([3]Entry!$L$1469="","",[3]Entry!$L$1469)</f>
        <v/>
      </c>
      <c r="AM1466">
        <f>IF([3]Entry!$M$1469="","",[3]Entry!$M$1469)</f>
        <v/>
      </c>
      <c r="AN1466">
        <f>IF([3]Entry!$N$1469="","",[3]Entry!$N$1469)</f>
        <v/>
      </c>
      <c r="AO1466">
        <f>IF([3]Entry!$R$1469="","",[3]Entry!$R$1469)</f>
        <v/>
      </c>
    </row>
    <row r="1467">
      <c r="U1467">
        <f>IF([2]Baskol!$B$1470="","",[2]Baskol!$B$1470)</f>
        <v/>
      </c>
      <c r="V1467">
        <f>IF([2]Baskol!$C$1470="","",[2]Baskol!$C$1470)</f>
        <v/>
      </c>
      <c r="W1467">
        <f>IF([2]Baskol!$D$1470="","",[2]Baskol!$D$1470)</f>
        <v/>
      </c>
      <c r="X1467">
        <f>IF([2]Baskol!$E$1470="","",[2]Baskol!$E$1470)</f>
        <v/>
      </c>
      <c r="Y1467">
        <f>IF([2]Baskol!$G$1470="","",[2]Baskol!$G$1470)</f>
        <v/>
      </c>
      <c r="Z1467">
        <f>IF([2]Baskol!$I$1470="","",[2]Baskol!$I$1470)</f>
        <v/>
      </c>
      <c r="AA1467">
        <f>IF([2]Baskol!$J$1470="","",[2]Baskol!$J$1470)</f>
        <v/>
      </c>
      <c r="AB1467">
        <f>IF([2]Baskol!$K$1470="","",[2]Baskol!$K$1470)</f>
        <v/>
      </c>
      <c r="AC1467">
        <f>IF([2]Baskol!$L$1470="","",[2]Baskol!$L$1470)</f>
        <v/>
      </c>
      <c r="AD1467">
        <f>IF([2]Baskol!$N$1470="","",[2]Baskol!$N$1470)</f>
        <v/>
      </c>
      <c r="AE1467">
        <f>IF([2]Baskol!$O$1470="","",[2]Baskol!$O$1470)</f>
        <v/>
      </c>
      <c r="AG1467">
        <f>IF([3]Entry!$C$1470="","",[3]Entry!$C$1470)</f>
        <v/>
      </c>
      <c r="AH1467">
        <f>IF([3]Entry!$D$1470="","",[3]Entry!$D$1470)</f>
        <v/>
      </c>
      <c r="AI1467">
        <f>IF([3]Entry!$E$1470="","",[3]Entry!$E$1470)</f>
        <v/>
      </c>
      <c r="AJ1467">
        <f>IF([3]Entry!$G$1470="","",[3]Entry!$G$1470)</f>
        <v/>
      </c>
      <c r="AK1467">
        <f>IF([3]Entry!$K$1470="","",[3]Entry!$K$1470)</f>
        <v/>
      </c>
      <c r="AL1467">
        <f>IF([3]Entry!$L$1470="","",[3]Entry!$L$1470)</f>
        <v/>
      </c>
      <c r="AM1467">
        <f>IF([3]Entry!$M$1470="","",[3]Entry!$M$1470)</f>
        <v/>
      </c>
      <c r="AN1467">
        <f>IF([3]Entry!$N$1470="","",[3]Entry!$N$1470)</f>
        <v/>
      </c>
      <c r="AO1467">
        <f>IF([3]Entry!$R$1470="","",[3]Entry!$R$1470)</f>
        <v/>
      </c>
    </row>
    <row r="1468">
      <c r="U1468">
        <f>IF([2]Baskol!$B$1471="","",[2]Baskol!$B$1471)</f>
        <v/>
      </c>
      <c r="V1468">
        <f>IF([2]Baskol!$C$1471="","",[2]Baskol!$C$1471)</f>
        <v/>
      </c>
      <c r="W1468">
        <f>IF([2]Baskol!$D$1471="","",[2]Baskol!$D$1471)</f>
        <v/>
      </c>
      <c r="X1468">
        <f>IF([2]Baskol!$E$1471="","",[2]Baskol!$E$1471)</f>
        <v/>
      </c>
      <c r="Y1468">
        <f>IF([2]Baskol!$G$1471="","",[2]Baskol!$G$1471)</f>
        <v/>
      </c>
      <c r="Z1468">
        <f>IF([2]Baskol!$I$1471="","",[2]Baskol!$I$1471)</f>
        <v/>
      </c>
      <c r="AA1468">
        <f>IF([2]Baskol!$J$1471="","",[2]Baskol!$J$1471)</f>
        <v/>
      </c>
      <c r="AB1468">
        <f>IF([2]Baskol!$K$1471="","",[2]Baskol!$K$1471)</f>
        <v/>
      </c>
      <c r="AC1468">
        <f>IF([2]Baskol!$L$1471="","",[2]Baskol!$L$1471)</f>
        <v/>
      </c>
      <c r="AD1468">
        <f>IF([2]Baskol!$N$1471="","",[2]Baskol!$N$1471)</f>
        <v/>
      </c>
      <c r="AE1468">
        <f>IF([2]Baskol!$O$1471="","",[2]Baskol!$O$1471)</f>
        <v/>
      </c>
      <c r="AG1468">
        <f>IF([3]Entry!$C$1471="","",[3]Entry!$C$1471)</f>
        <v/>
      </c>
      <c r="AH1468">
        <f>IF([3]Entry!$D$1471="","",[3]Entry!$D$1471)</f>
        <v/>
      </c>
      <c r="AI1468">
        <f>IF([3]Entry!$E$1471="","",[3]Entry!$E$1471)</f>
        <v/>
      </c>
      <c r="AJ1468">
        <f>IF([3]Entry!$G$1471="","",[3]Entry!$G$1471)</f>
        <v/>
      </c>
      <c r="AK1468">
        <f>IF([3]Entry!$K$1471="","",[3]Entry!$K$1471)</f>
        <v/>
      </c>
      <c r="AL1468">
        <f>IF([3]Entry!$L$1471="","",[3]Entry!$L$1471)</f>
        <v/>
      </c>
      <c r="AM1468">
        <f>IF([3]Entry!$M$1471="","",[3]Entry!$M$1471)</f>
        <v/>
      </c>
      <c r="AN1468">
        <f>IF([3]Entry!$N$1471="","",[3]Entry!$N$1471)</f>
        <v/>
      </c>
      <c r="AO1468">
        <f>IF([3]Entry!$R$1471="","",[3]Entry!$R$1471)</f>
        <v/>
      </c>
    </row>
    <row r="1469">
      <c r="U1469">
        <f>IF([2]Baskol!$B$1472="","",[2]Baskol!$B$1472)</f>
        <v/>
      </c>
      <c r="V1469">
        <f>IF([2]Baskol!$C$1472="","",[2]Baskol!$C$1472)</f>
        <v/>
      </c>
      <c r="W1469">
        <f>IF([2]Baskol!$D$1472="","",[2]Baskol!$D$1472)</f>
        <v/>
      </c>
      <c r="X1469">
        <f>IF([2]Baskol!$E$1472="","",[2]Baskol!$E$1472)</f>
        <v/>
      </c>
      <c r="Y1469">
        <f>IF([2]Baskol!$G$1472="","",[2]Baskol!$G$1472)</f>
        <v/>
      </c>
      <c r="Z1469">
        <f>IF([2]Baskol!$I$1472="","",[2]Baskol!$I$1472)</f>
        <v/>
      </c>
      <c r="AA1469">
        <f>IF([2]Baskol!$J$1472="","",[2]Baskol!$J$1472)</f>
        <v/>
      </c>
      <c r="AB1469">
        <f>IF([2]Baskol!$K$1472="","",[2]Baskol!$K$1472)</f>
        <v/>
      </c>
      <c r="AC1469">
        <f>IF([2]Baskol!$L$1472="","",[2]Baskol!$L$1472)</f>
        <v/>
      </c>
      <c r="AD1469">
        <f>IF([2]Baskol!$N$1472="","",[2]Baskol!$N$1472)</f>
        <v/>
      </c>
      <c r="AE1469">
        <f>IF([2]Baskol!$O$1472="","",[2]Baskol!$O$1472)</f>
        <v/>
      </c>
      <c r="AG1469">
        <f>IF([3]Entry!$C$1472="","",[3]Entry!$C$1472)</f>
        <v/>
      </c>
      <c r="AH1469">
        <f>IF([3]Entry!$D$1472="","",[3]Entry!$D$1472)</f>
        <v/>
      </c>
      <c r="AI1469">
        <f>IF([3]Entry!$E$1472="","",[3]Entry!$E$1472)</f>
        <v/>
      </c>
      <c r="AJ1469">
        <f>IF([3]Entry!$G$1472="","",[3]Entry!$G$1472)</f>
        <v/>
      </c>
      <c r="AK1469">
        <f>IF([3]Entry!$K$1472="","",[3]Entry!$K$1472)</f>
        <v/>
      </c>
      <c r="AL1469">
        <f>IF([3]Entry!$L$1472="","",[3]Entry!$L$1472)</f>
        <v/>
      </c>
      <c r="AM1469">
        <f>IF([3]Entry!$M$1472="","",[3]Entry!$M$1472)</f>
        <v/>
      </c>
      <c r="AN1469">
        <f>IF([3]Entry!$N$1472="","",[3]Entry!$N$1472)</f>
        <v/>
      </c>
      <c r="AO1469">
        <f>IF([3]Entry!$R$1472="","",[3]Entry!$R$1472)</f>
        <v/>
      </c>
    </row>
    <row r="1470">
      <c r="U1470">
        <f>IF([2]Baskol!$B$1473="","",[2]Baskol!$B$1473)</f>
        <v/>
      </c>
      <c r="V1470">
        <f>IF([2]Baskol!$C$1473="","",[2]Baskol!$C$1473)</f>
        <v/>
      </c>
      <c r="W1470">
        <f>IF([2]Baskol!$D$1473="","",[2]Baskol!$D$1473)</f>
        <v/>
      </c>
      <c r="X1470">
        <f>IF([2]Baskol!$E$1473="","",[2]Baskol!$E$1473)</f>
        <v/>
      </c>
      <c r="Y1470">
        <f>IF([2]Baskol!$G$1473="","",[2]Baskol!$G$1473)</f>
        <v/>
      </c>
      <c r="Z1470">
        <f>IF([2]Baskol!$I$1473="","",[2]Baskol!$I$1473)</f>
        <v/>
      </c>
      <c r="AA1470">
        <f>IF([2]Baskol!$J$1473="","",[2]Baskol!$J$1473)</f>
        <v/>
      </c>
      <c r="AB1470">
        <f>IF([2]Baskol!$K$1473="","",[2]Baskol!$K$1473)</f>
        <v/>
      </c>
      <c r="AC1470">
        <f>IF([2]Baskol!$L$1473="","",[2]Baskol!$L$1473)</f>
        <v/>
      </c>
      <c r="AD1470">
        <f>IF([2]Baskol!$N$1473="","",[2]Baskol!$N$1473)</f>
        <v/>
      </c>
      <c r="AE1470">
        <f>IF([2]Baskol!$O$1473="","",[2]Baskol!$O$1473)</f>
        <v/>
      </c>
      <c r="AG1470">
        <f>IF([3]Entry!$C$1473="","",[3]Entry!$C$1473)</f>
        <v/>
      </c>
      <c r="AH1470">
        <f>IF([3]Entry!$D$1473="","",[3]Entry!$D$1473)</f>
        <v/>
      </c>
      <c r="AI1470">
        <f>IF([3]Entry!$E$1473="","",[3]Entry!$E$1473)</f>
        <v/>
      </c>
      <c r="AJ1470">
        <f>IF([3]Entry!$G$1473="","",[3]Entry!$G$1473)</f>
        <v/>
      </c>
      <c r="AK1470">
        <f>IF([3]Entry!$K$1473="","",[3]Entry!$K$1473)</f>
        <v/>
      </c>
      <c r="AL1470">
        <f>IF([3]Entry!$L$1473="","",[3]Entry!$L$1473)</f>
        <v/>
      </c>
      <c r="AM1470">
        <f>IF([3]Entry!$M$1473="","",[3]Entry!$M$1473)</f>
        <v/>
      </c>
      <c r="AN1470">
        <f>IF([3]Entry!$N$1473="","",[3]Entry!$N$1473)</f>
        <v/>
      </c>
      <c r="AO1470">
        <f>IF([3]Entry!$R$1473="","",[3]Entry!$R$1473)</f>
        <v/>
      </c>
    </row>
    <row r="1471">
      <c r="U1471">
        <f>IF([2]Baskol!$B$1474="","",[2]Baskol!$B$1474)</f>
        <v/>
      </c>
      <c r="V1471">
        <f>IF([2]Baskol!$C$1474="","",[2]Baskol!$C$1474)</f>
        <v/>
      </c>
      <c r="W1471">
        <f>IF([2]Baskol!$D$1474="","",[2]Baskol!$D$1474)</f>
        <v/>
      </c>
      <c r="X1471">
        <f>IF([2]Baskol!$E$1474="","",[2]Baskol!$E$1474)</f>
        <v/>
      </c>
      <c r="Y1471">
        <f>IF([2]Baskol!$G$1474="","",[2]Baskol!$G$1474)</f>
        <v/>
      </c>
      <c r="Z1471">
        <f>IF([2]Baskol!$I$1474="","",[2]Baskol!$I$1474)</f>
        <v/>
      </c>
      <c r="AA1471">
        <f>IF([2]Baskol!$J$1474="","",[2]Baskol!$J$1474)</f>
        <v/>
      </c>
      <c r="AB1471">
        <f>IF([2]Baskol!$K$1474="","",[2]Baskol!$K$1474)</f>
        <v/>
      </c>
      <c r="AC1471">
        <f>IF([2]Baskol!$L$1474="","",[2]Baskol!$L$1474)</f>
        <v/>
      </c>
      <c r="AD1471">
        <f>IF([2]Baskol!$N$1474="","",[2]Baskol!$N$1474)</f>
        <v/>
      </c>
      <c r="AE1471">
        <f>IF([2]Baskol!$O$1474="","",[2]Baskol!$O$1474)</f>
        <v/>
      </c>
      <c r="AG1471">
        <f>IF([3]Entry!$C$1474="","",[3]Entry!$C$1474)</f>
        <v/>
      </c>
      <c r="AH1471">
        <f>IF([3]Entry!$D$1474="","",[3]Entry!$D$1474)</f>
        <v/>
      </c>
      <c r="AI1471">
        <f>IF([3]Entry!$E$1474="","",[3]Entry!$E$1474)</f>
        <v/>
      </c>
      <c r="AJ1471">
        <f>IF([3]Entry!$G$1474="","",[3]Entry!$G$1474)</f>
        <v/>
      </c>
      <c r="AK1471">
        <f>IF([3]Entry!$K$1474="","",[3]Entry!$K$1474)</f>
        <v/>
      </c>
      <c r="AL1471">
        <f>IF([3]Entry!$L$1474="","",[3]Entry!$L$1474)</f>
        <v/>
      </c>
      <c r="AM1471">
        <f>IF([3]Entry!$M$1474="","",[3]Entry!$M$1474)</f>
        <v/>
      </c>
      <c r="AN1471">
        <f>IF([3]Entry!$N$1474="","",[3]Entry!$N$1474)</f>
        <v/>
      </c>
      <c r="AO1471">
        <f>IF([3]Entry!$R$1474="","",[3]Entry!$R$1474)</f>
        <v/>
      </c>
    </row>
    <row r="1472">
      <c r="U1472">
        <f>IF([2]Baskol!$B$1475="","",[2]Baskol!$B$1475)</f>
        <v/>
      </c>
      <c r="V1472">
        <f>IF([2]Baskol!$C$1475="","",[2]Baskol!$C$1475)</f>
        <v/>
      </c>
      <c r="W1472">
        <f>IF([2]Baskol!$D$1475="","",[2]Baskol!$D$1475)</f>
        <v/>
      </c>
      <c r="X1472">
        <f>IF([2]Baskol!$E$1475="","",[2]Baskol!$E$1475)</f>
        <v/>
      </c>
      <c r="Y1472">
        <f>IF([2]Baskol!$G$1475="","",[2]Baskol!$G$1475)</f>
        <v/>
      </c>
      <c r="Z1472">
        <f>IF([2]Baskol!$I$1475="","",[2]Baskol!$I$1475)</f>
        <v/>
      </c>
      <c r="AA1472">
        <f>IF([2]Baskol!$J$1475="","",[2]Baskol!$J$1475)</f>
        <v/>
      </c>
      <c r="AB1472">
        <f>IF([2]Baskol!$K$1475="","",[2]Baskol!$K$1475)</f>
        <v/>
      </c>
      <c r="AC1472">
        <f>IF([2]Baskol!$L$1475="","",[2]Baskol!$L$1475)</f>
        <v/>
      </c>
      <c r="AD1472">
        <f>IF([2]Baskol!$N$1475="","",[2]Baskol!$N$1475)</f>
        <v/>
      </c>
      <c r="AE1472">
        <f>IF([2]Baskol!$O$1475="","",[2]Baskol!$O$1475)</f>
        <v/>
      </c>
      <c r="AG1472">
        <f>IF([3]Entry!$C$1475="","",[3]Entry!$C$1475)</f>
        <v/>
      </c>
      <c r="AH1472">
        <f>IF([3]Entry!$D$1475="","",[3]Entry!$D$1475)</f>
        <v/>
      </c>
      <c r="AI1472">
        <f>IF([3]Entry!$E$1475="","",[3]Entry!$E$1475)</f>
        <v/>
      </c>
      <c r="AJ1472">
        <f>IF([3]Entry!$G$1475="","",[3]Entry!$G$1475)</f>
        <v/>
      </c>
      <c r="AK1472">
        <f>IF([3]Entry!$K$1475="","",[3]Entry!$K$1475)</f>
        <v/>
      </c>
      <c r="AL1472">
        <f>IF([3]Entry!$L$1475="","",[3]Entry!$L$1475)</f>
        <v/>
      </c>
      <c r="AM1472">
        <f>IF([3]Entry!$M$1475="","",[3]Entry!$M$1475)</f>
        <v/>
      </c>
      <c r="AN1472">
        <f>IF([3]Entry!$N$1475="","",[3]Entry!$N$1475)</f>
        <v/>
      </c>
      <c r="AO1472">
        <f>IF([3]Entry!$R$1475="","",[3]Entry!$R$1475)</f>
        <v/>
      </c>
    </row>
    <row r="1473">
      <c r="U1473">
        <f>IF([2]Baskol!$B$1476="","",[2]Baskol!$B$1476)</f>
        <v/>
      </c>
      <c r="V1473">
        <f>IF([2]Baskol!$C$1476="","",[2]Baskol!$C$1476)</f>
        <v/>
      </c>
      <c r="W1473">
        <f>IF([2]Baskol!$D$1476="","",[2]Baskol!$D$1476)</f>
        <v/>
      </c>
      <c r="X1473">
        <f>IF([2]Baskol!$E$1476="","",[2]Baskol!$E$1476)</f>
        <v/>
      </c>
      <c r="Y1473">
        <f>IF([2]Baskol!$G$1476="","",[2]Baskol!$G$1476)</f>
        <v/>
      </c>
      <c r="Z1473">
        <f>IF([2]Baskol!$I$1476="","",[2]Baskol!$I$1476)</f>
        <v/>
      </c>
      <c r="AA1473">
        <f>IF([2]Baskol!$J$1476="","",[2]Baskol!$J$1476)</f>
        <v/>
      </c>
      <c r="AB1473">
        <f>IF([2]Baskol!$K$1476="","",[2]Baskol!$K$1476)</f>
        <v/>
      </c>
      <c r="AC1473">
        <f>IF([2]Baskol!$L$1476="","",[2]Baskol!$L$1476)</f>
        <v/>
      </c>
      <c r="AD1473">
        <f>IF([2]Baskol!$N$1476="","",[2]Baskol!$N$1476)</f>
        <v/>
      </c>
      <c r="AE1473">
        <f>IF([2]Baskol!$O$1476="","",[2]Baskol!$O$1476)</f>
        <v/>
      </c>
      <c r="AG1473">
        <f>IF([3]Entry!$C$1476="","",[3]Entry!$C$1476)</f>
        <v/>
      </c>
      <c r="AH1473">
        <f>IF([3]Entry!$D$1476="","",[3]Entry!$D$1476)</f>
        <v/>
      </c>
      <c r="AI1473">
        <f>IF([3]Entry!$E$1476="","",[3]Entry!$E$1476)</f>
        <v/>
      </c>
      <c r="AJ1473">
        <f>IF([3]Entry!$G$1476="","",[3]Entry!$G$1476)</f>
        <v/>
      </c>
      <c r="AK1473">
        <f>IF([3]Entry!$K$1476="","",[3]Entry!$K$1476)</f>
        <v/>
      </c>
      <c r="AL1473">
        <f>IF([3]Entry!$L$1476="","",[3]Entry!$L$1476)</f>
        <v/>
      </c>
      <c r="AM1473">
        <f>IF([3]Entry!$M$1476="","",[3]Entry!$M$1476)</f>
        <v/>
      </c>
      <c r="AN1473">
        <f>IF([3]Entry!$N$1476="","",[3]Entry!$N$1476)</f>
        <v/>
      </c>
      <c r="AO1473">
        <f>IF([3]Entry!$R$1476="","",[3]Entry!$R$1476)</f>
        <v/>
      </c>
    </row>
    <row r="1474">
      <c r="U1474">
        <f>IF([2]Baskol!$B$1477="","",[2]Baskol!$B$1477)</f>
        <v/>
      </c>
      <c r="V1474">
        <f>IF([2]Baskol!$C$1477="","",[2]Baskol!$C$1477)</f>
        <v/>
      </c>
      <c r="W1474">
        <f>IF([2]Baskol!$D$1477="","",[2]Baskol!$D$1477)</f>
        <v/>
      </c>
      <c r="X1474">
        <f>IF([2]Baskol!$E$1477="","",[2]Baskol!$E$1477)</f>
        <v/>
      </c>
      <c r="Y1474">
        <f>IF([2]Baskol!$G$1477="","",[2]Baskol!$G$1477)</f>
        <v/>
      </c>
      <c r="Z1474">
        <f>IF([2]Baskol!$I$1477="","",[2]Baskol!$I$1477)</f>
        <v/>
      </c>
      <c r="AA1474">
        <f>IF([2]Baskol!$J$1477="","",[2]Baskol!$J$1477)</f>
        <v/>
      </c>
      <c r="AB1474">
        <f>IF([2]Baskol!$K$1477="","",[2]Baskol!$K$1477)</f>
        <v/>
      </c>
      <c r="AC1474">
        <f>IF([2]Baskol!$L$1477="","",[2]Baskol!$L$1477)</f>
        <v/>
      </c>
      <c r="AD1474">
        <f>IF([2]Baskol!$N$1477="","",[2]Baskol!$N$1477)</f>
        <v/>
      </c>
      <c r="AE1474">
        <f>IF([2]Baskol!$O$1477="","",[2]Baskol!$O$1477)</f>
        <v/>
      </c>
      <c r="AG1474">
        <f>IF([3]Entry!$C$1477="","",[3]Entry!$C$1477)</f>
        <v/>
      </c>
      <c r="AH1474">
        <f>IF([3]Entry!$D$1477="","",[3]Entry!$D$1477)</f>
        <v/>
      </c>
      <c r="AI1474">
        <f>IF([3]Entry!$E$1477="","",[3]Entry!$E$1477)</f>
        <v/>
      </c>
      <c r="AJ1474">
        <f>IF([3]Entry!$G$1477="","",[3]Entry!$G$1477)</f>
        <v/>
      </c>
      <c r="AK1474">
        <f>IF([3]Entry!$K$1477="","",[3]Entry!$K$1477)</f>
        <v/>
      </c>
      <c r="AL1474">
        <f>IF([3]Entry!$L$1477="","",[3]Entry!$L$1477)</f>
        <v/>
      </c>
      <c r="AM1474">
        <f>IF([3]Entry!$M$1477="","",[3]Entry!$M$1477)</f>
        <v/>
      </c>
      <c r="AN1474">
        <f>IF([3]Entry!$N$1477="","",[3]Entry!$N$1477)</f>
        <v/>
      </c>
      <c r="AO1474">
        <f>IF([3]Entry!$R$1477="","",[3]Entry!$R$1477)</f>
        <v/>
      </c>
    </row>
    <row r="1475">
      <c r="U1475">
        <f>IF([2]Baskol!$B$1478="","",[2]Baskol!$B$1478)</f>
        <v/>
      </c>
      <c r="V1475">
        <f>IF([2]Baskol!$C$1478="","",[2]Baskol!$C$1478)</f>
        <v/>
      </c>
      <c r="W1475">
        <f>IF([2]Baskol!$D$1478="","",[2]Baskol!$D$1478)</f>
        <v/>
      </c>
      <c r="X1475">
        <f>IF([2]Baskol!$E$1478="","",[2]Baskol!$E$1478)</f>
        <v/>
      </c>
      <c r="Y1475">
        <f>IF([2]Baskol!$G$1478="","",[2]Baskol!$G$1478)</f>
        <v/>
      </c>
      <c r="Z1475">
        <f>IF([2]Baskol!$I$1478="","",[2]Baskol!$I$1478)</f>
        <v/>
      </c>
      <c r="AA1475">
        <f>IF([2]Baskol!$J$1478="","",[2]Baskol!$J$1478)</f>
        <v/>
      </c>
      <c r="AB1475">
        <f>IF([2]Baskol!$K$1478="","",[2]Baskol!$K$1478)</f>
        <v/>
      </c>
      <c r="AC1475">
        <f>IF([2]Baskol!$L$1478="","",[2]Baskol!$L$1478)</f>
        <v/>
      </c>
      <c r="AD1475">
        <f>IF([2]Baskol!$N$1478="","",[2]Baskol!$N$1478)</f>
        <v/>
      </c>
      <c r="AE1475">
        <f>IF([2]Baskol!$O$1478="","",[2]Baskol!$O$1478)</f>
        <v/>
      </c>
      <c r="AG1475">
        <f>IF([3]Entry!$C$1478="","",[3]Entry!$C$1478)</f>
        <v/>
      </c>
      <c r="AH1475">
        <f>IF([3]Entry!$D$1478="","",[3]Entry!$D$1478)</f>
        <v/>
      </c>
      <c r="AI1475">
        <f>IF([3]Entry!$E$1478="","",[3]Entry!$E$1478)</f>
        <v/>
      </c>
      <c r="AJ1475">
        <f>IF([3]Entry!$G$1478="","",[3]Entry!$G$1478)</f>
        <v/>
      </c>
      <c r="AK1475">
        <f>IF([3]Entry!$K$1478="","",[3]Entry!$K$1478)</f>
        <v/>
      </c>
      <c r="AL1475">
        <f>IF([3]Entry!$L$1478="","",[3]Entry!$L$1478)</f>
        <v/>
      </c>
      <c r="AM1475">
        <f>IF([3]Entry!$M$1478="","",[3]Entry!$M$1478)</f>
        <v/>
      </c>
      <c r="AN1475">
        <f>IF([3]Entry!$N$1478="","",[3]Entry!$N$1478)</f>
        <v/>
      </c>
      <c r="AO1475">
        <f>IF([3]Entry!$R$1478="","",[3]Entry!$R$1478)</f>
        <v/>
      </c>
    </row>
    <row r="1476">
      <c r="U1476">
        <f>IF([2]Baskol!$B$1479="","",[2]Baskol!$B$1479)</f>
        <v/>
      </c>
      <c r="V1476">
        <f>IF([2]Baskol!$C$1479="","",[2]Baskol!$C$1479)</f>
        <v/>
      </c>
      <c r="W1476">
        <f>IF([2]Baskol!$D$1479="","",[2]Baskol!$D$1479)</f>
        <v/>
      </c>
      <c r="X1476">
        <f>IF([2]Baskol!$E$1479="","",[2]Baskol!$E$1479)</f>
        <v/>
      </c>
      <c r="Y1476">
        <f>IF([2]Baskol!$G$1479="","",[2]Baskol!$G$1479)</f>
        <v/>
      </c>
      <c r="Z1476">
        <f>IF([2]Baskol!$I$1479="","",[2]Baskol!$I$1479)</f>
        <v/>
      </c>
      <c r="AA1476">
        <f>IF([2]Baskol!$J$1479="","",[2]Baskol!$J$1479)</f>
        <v/>
      </c>
      <c r="AB1476">
        <f>IF([2]Baskol!$K$1479="","",[2]Baskol!$K$1479)</f>
        <v/>
      </c>
      <c r="AC1476">
        <f>IF([2]Baskol!$L$1479="","",[2]Baskol!$L$1479)</f>
        <v/>
      </c>
      <c r="AD1476">
        <f>IF([2]Baskol!$N$1479="","",[2]Baskol!$N$1479)</f>
        <v/>
      </c>
      <c r="AE1476">
        <f>IF([2]Baskol!$O$1479="","",[2]Baskol!$O$1479)</f>
        <v/>
      </c>
      <c r="AG1476">
        <f>IF([3]Entry!$C$1479="","",[3]Entry!$C$1479)</f>
        <v/>
      </c>
      <c r="AH1476">
        <f>IF([3]Entry!$D$1479="","",[3]Entry!$D$1479)</f>
        <v/>
      </c>
      <c r="AI1476">
        <f>IF([3]Entry!$E$1479="","",[3]Entry!$E$1479)</f>
        <v/>
      </c>
      <c r="AJ1476">
        <f>IF([3]Entry!$G$1479="","",[3]Entry!$G$1479)</f>
        <v/>
      </c>
      <c r="AK1476">
        <f>IF([3]Entry!$K$1479="","",[3]Entry!$K$1479)</f>
        <v/>
      </c>
      <c r="AL1476">
        <f>IF([3]Entry!$L$1479="","",[3]Entry!$L$1479)</f>
        <v/>
      </c>
      <c r="AM1476">
        <f>IF([3]Entry!$M$1479="","",[3]Entry!$M$1479)</f>
        <v/>
      </c>
      <c r="AN1476">
        <f>IF([3]Entry!$N$1479="","",[3]Entry!$N$1479)</f>
        <v/>
      </c>
      <c r="AO1476">
        <f>IF([3]Entry!$R$1479="","",[3]Entry!$R$1479)</f>
        <v/>
      </c>
    </row>
    <row r="1477">
      <c r="U1477">
        <f>IF([2]Baskol!$B$1480="","",[2]Baskol!$B$1480)</f>
        <v/>
      </c>
      <c r="V1477">
        <f>IF([2]Baskol!$C$1480="","",[2]Baskol!$C$1480)</f>
        <v/>
      </c>
      <c r="W1477">
        <f>IF([2]Baskol!$D$1480="","",[2]Baskol!$D$1480)</f>
        <v/>
      </c>
      <c r="X1477">
        <f>IF([2]Baskol!$E$1480="","",[2]Baskol!$E$1480)</f>
        <v/>
      </c>
      <c r="Y1477">
        <f>IF([2]Baskol!$G$1480="","",[2]Baskol!$G$1480)</f>
        <v/>
      </c>
      <c r="Z1477">
        <f>IF([2]Baskol!$I$1480="","",[2]Baskol!$I$1480)</f>
        <v/>
      </c>
      <c r="AA1477">
        <f>IF([2]Baskol!$J$1480="","",[2]Baskol!$J$1480)</f>
        <v/>
      </c>
      <c r="AB1477">
        <f>IF([2]Baskol!$K$1480="","",[2]Baskol!$K$1480)</f>
        <v/>
      </c>
      <c r="AC1477">
        <f>IF([2]Baskol!$L$1480="","",[2]Baskol!$L$1480)</f>
        <v/>
      </c>
      <c r="AD1477">
        <f>IF([2]Baskol!$N$1480="","",[2]Baskol!$N$1480)</f>
        <v/>
      </c>
      <c r="AE1477">
        <f>IF([2]Baskol!$O$1480="","",[2]Baskol!$O$1480)</f>
        <v/>
      </c>
      <c r="AG1477">
        <f>IF([3]Entry!$C$1480="","",[3]Entry!$C$1480)</f>
        <v/>
      </c>
      <c r="AH1477">
        <f>IF([3]Entry!$D$1480="","",[3]Entry!$D$1480)</f>
        <v/>
      </c>
      <c r="AI1477">
        <f>IF([3]Entry!$E$1480="","",[3]Entry!$E$1480)</f>
        <v/>
      </c>
      <c r="AJ1477">
        <f>IF([3]Entry!$G$1480="","",[3]Entry!$G$1480)</f>
        <v/>
      </c>
      <c r="AK1477">
        <f>IF([3]Entry!$K$1480="","",[3]Entry!$K$1480)</f>
        <v/>
      </c>
      <c r="AL1477">
        <f>IF([3]Entry!$L$1480="","",[3]Entry!$L$1480)</f>
        <v/>
      </c>
      <c r="AM1477">
        <f>IF([3]Entry!$M$1480="","",[3]Entry!$M$1480)</f>
        <v/>
      </c>
      <c r="AN1477">
        <f>IF([3]Entry!$N$1480="","",[3]Entry!$N$1480)</f>
        <v/>
      </c>
      <c r="AO1477">
        <f>IF([3]Entry!$R$1480="","",[3]Entry!$R$1480)</f>
        <v/>
      </c>
    </row>
    <row r="1478">
      <c r="U1478">
        <f>IF([2]Baskol!$B$1481="","",[2]Baskol!$B$1481)</f>
        <v/>
      </c>
      <c r="V1478">
        <f>IF([2]Baskol!$C$1481="","",[2]Baskol!$C$1481)</f>
        <v/>
      </c>
      <c r="W1478">
        <f>IF([2]Baskol!$D$1481="","",[2]Baskol!$D$1481)</f>
        <v/>
      </c>
      <c r="X1478">
        <f>IF([2]Baskol!$E$1481="","",[2]Baskol!$E$1481)</f>
        <v/>
      </c>
      <c r="Y1478">
        <f>IF([2]Baskol!$G$1481="","",[2]Baskol!$G$1481)</f>
        <v/>
      </c>
      <c r="Z1478">
        <f>IF([2]Baskol!$I$1481="","",[2]Baskol!$I$1481)</f>
        <v/>
      </c>
      <c r="AA1478">
        <f>IF([2]Baskol!$J$1481="","",[2]Baskol!$J$1481)</f>
        <v/>
      </c>
      <c r="AB1478">
        <f>IF([2]Baskol!$K$1481="","",[2]Baskol!$K$1481)</f>
        <v/>
      </c>
      <c r="AC1478">
        <f>IF([2]Baskol!$L$1481="","",[2]Baskol!$L$1481)</f>
        <v/>
      </c>
      <c r="AD1478">
        <f>IF([2]Baskol!$N$1481="","",[2]Baskol!$N$1481)</f>
        <v/>
      </c>
      <c r="AE1478">
        <f>IF([2]Baskol!$O$1481="","",[2]Baskol!$O$1481)</f>
        <v/>
      </c>
      <c r="AG1478">
        <f>IF([3]Entry!$C$1481="","",[3]Entry!$C$1481)</f>
        <v/>
      </c>
      <c r="AH1478">
        <f>IF([3]Entry!$D$1481="","",[3]Entry!$D$1481)</f>
        <v/>
      </c>
      <c r="AI1478">
        <f>IF([3]Entry!$E$1481="","",[3]Entry!$E$1481)</f>
        <v/>
      </c>
      <c r="AJ1478">
        <f>IF([3]Entry!$G$1481="","",[3]Entry!$G$1481)</f>
        <v/>
      </c>
      <c r="AK1478">
        <f>IF([3]Entry!$K$1481="","",[3]Entry!$K$1481)</f>
        <v/>
      </c>
      <c r="AL1478">
        <f>IF([3]Entry!$L$1481="","",[3]Entry!$L$1481)</f>
        <v/>
      </c>
      <c r="AM1478">
        <f>IF([3]Entry!$M$1481="","",[3]Entry!$M$1481)</f>
        <v/>
      </c>
      <c r="AN1478">
        <f>IF([3]Entry!$N$1481="","",[3]Entry!$N$1481)</f>
        <v/>
      </c>
      <c r="AO1478">
        <f>IF([3]Entry!$R$1481="","",[3]Entry!$R$1481)</f>
        <v/>
      </c>
    </row>
    <row r="1479">
      <c r="U1479">
        <f>IF([2]Baskol!$B$1482="","",[2]Baskol!$B$1482)</f>
        <v/>
      </c>
      <c r="V1479">
        <f>IF([2]Baskol!$C$1482="","",[2]Baskol!$C$1482)</f>
        <v/>
      </c>
      <c r="W1479">
        <f>IF([2]Baskol!$D$1482="","",[2]Baskol!$D$1482)</f>
        <v/>
      </c>
      <c r="X1479">
        <f>IF([2]Baskol!$E$1482="","",[2]Baskol!$E$1482)</f>
        <v/>
      </c>
      <c r="Y1479">
        <f>IF([2]Baskol!$G$1482="","",[2]Baskol!$G$1482)</f>
        <v/>
      </c>
      <c r="Z1479">
        <f>IF([2]Baskol!$I$1482="","",[2]Baskol!$I$1482)</f>
        <v/>
      </c>
      <c r="AA1479">
        <f>IF([2]Baskol!$J$1482="","",[2]Baskol!$J$1482)</f>
        <v/>
      </c>
      <c r="AB1479">
        <f>IF([2]Baskol!$K$1482="","",[2]Baskol!$K$1482)</f>
        <v/>
      </c>
      <c r="AC1479">
        <f>IF([2]Baskol!$L$1482="","",[2]Baskol!$L$1482)</f>
        <v/>
      </c>
      <c r="AD1479">
        <f>IF([2]Baskol!$N$1482="","",[2]Baskol!$N$1482)</f>
        <v/>
      </c>
      <c r="AE1479">
        <f>IF([2]Baskol!$O$1482="","",[2]Baskol!$O$1482)</f>
        <v/>
      </c>
      <c r="AG1479">
        <f>IF([3]Entry!$C$1482="","",[3]Entry!$C$1482)</f>
        <v/>
      </c>
      <c r="AH1479">
        <f>IF([3]Entry!$D$1482="","",[3]Entry!$D$1482)</f>
        <v/>
      </c>
      <c r="AI1479">
        <f>IF([3]Entry!$E$1482="","",[3]Entry!$E$1482)</f>
        <v/>
      </c>
      <c r="AJ1479">
        <f>IF([3]Entry!$G$1482="","",[3]Entry!$G$1482)</f>
        <v/>
      </c>
      <c r="AK1479">
        <f>IF([3]Entry!$K$1482="","",[3]Entry!$K$1482)</f>
        <v/>
      </c>
      <c r="AL1479">
        <f>IF([3]Entry!$L$1482="","",[3]Entry!$L$1482)</f>
        <v/>
      </c>
      <c r="AM1479">
        <f>IF([3]Entry!$M$1482="","",[3]Entry!$M$1482)</f>
        <v/>
      </c>
      <c r="AN1479">
        <f>IF([3]Entry!$N$1482="","",[3]Entry!$N$1482)</f>
        <v/>
      </c>
      <c r="AO1479">
        <f>IF([3]Entry!$R$1482="","",[3]Entry!$R$1482)</f>
        <v/>
      </c>
    </row>
    <row r="1480">
      <c r="U1480">
        <f>IF([2]Baskol!$B$1483="","",[2]Baskol!$B$1483)</f>
        <v/>
      </c>
      <c r="V1480">
        <f>IF([2]Baskol!$C$1483="","",[2]Baskol!$C$1483)</f>
        <v/>
      </c>
      <c r="W1480">
        <f>IF([2]Baskol!$D$1483="","",[2]Baskol!$D$1483)</f>
        <v/>
      </c>
      <c r="X1480">
        <f>IF([2]Baskol!$E$1483="","",[2]Baskol!$E$1483)</f>
        <v/>
      </c>
      <c r="Y1480">
        <f>IF([2]Baskol!$G$1483="","",[2]Baskol!$G$1483)</f>
        <v/>
      </c>
      <c r="Z1480">
        <f>IF([2]Baskol!$I$1483="","",[2]Baskol!$I$1483)</f>
        <v/>
      </c>
      <c r="AA1480">
        <f>IF([2]Baskol!$J$1483="","",[2]Baskol!$J$1483)</f>
        <v/>
      </c>
      <c r="AB1480">
        <f>IF([2]Baskol!$K$1483="","",[2]Baskol!$K$1483)</f>
        <v/>
      </c>
      <c r="AC1480">
        <f>IF([2]Baskol!$L$1483="","",[2]Baskol!$L$1483)</f>
        <v/>
      </c>
      <c r="AD1480">
        <f>IF([2]Baskol!$N$1483="","",[2]Baskol!$N$1483)</f>
        <v/>
      </c>
      <c r="AE1480">
        <f>IF([2]Baskol!$O$1483="","",[2]Baskol!$O$1483)</f>
        <v/>
      </c>
      <c r="AG1480">
        <f>IF([3]Entry!$C$1483="","",[3]Entry!$C$1483)</f>
        <v/>
      </c>
      <c r="AH1480">
        <f>IF([3]Entry!$D$1483="","",[3]Entry!$D$1483)</f>
        <v/>
      </c>
      <c r="AI1480">
        <f>IF([3]Entry!$E$1483="","",[3]Entry!$E$1483)</f>
        <v/>
      </c>
      <c r="AJ1480">
        <f>IF([3]Entry!$G$1483="","",[3]Entry!$G$1483)</f>
        <v/>
      </c>
      <c r="AK1480">
        <f>IF([3]Entry!$K$1483="","",[3]Entry!$K$1483)</f>
        <v/>
      </c>
      <c r="AL1480">
        <f>IF([3]Entry!$L$1483="","",[3]Entry!$L$1483)</f>
        <v/>
      </c>
      <c r="AM1480">
        <f>IF([3]Entry!$M$1483="","",[3]Entry!$M$1483)</f>
        <v/>
      </c>
      <c r="AN1480">
        <f>IF([3]Entry!$N$1483="","",[3]Entry!$N$1483)</f>
        <v/>
      </c>
      <c r="AO1480">
        <f>IF([3]Entry!$R$1483="","",[3]Entry!$R$1483)</f>
        <v/>
      </c>
    </row>
    <row r="1481">
      <c r="U1481">
        <f>IF([2]Baskol!$B$1484="","",[2]Baskol!$B$1484)</f>
        <v/>
      </c>
      <c r="V1481">
        <f>IF([2]Baskol!$C$1484="","",[2]Baskol!$C$1484)</f>
        <v/>
      </c>
      <c r="W1481">
        <f>IF([2]Baskol!$D$1484="","",[2]Baskol!$D$1484)</f>
        <v/>
      </c>
      <c r="X1481">
        <f>IF([2]Baskol!$E$1484="","",[2]Baskol!$E$1484)</f>
        <v/>
      </c>
      <c r="Y1481">
        <f>IF([2]Baskol!$G$1484="","",[2]Baskol!$G$1484)</f>
        <v/>
      </c>
      <c r="Z1481">
        <f>IF([2]Baskol!$I$1484="","",[2]Baskol!$I$1484)</f>
        <v/>
      </c>
      <c r="AA1481">
        <f>IF([2]Baskol!$J$1484="","",[2]Baskol!$J$1484)</f>
        <v/>
      </c>
      <c r="AB1481">
        <f>IF([2]Baskol!$K$1484="","",[2]Baskol!$K$1484)</f>
        <v/>
      </c>
      <c r="AC1481">
        <f>IF([2]Baskol!$L$1484="","",[2]Baskol!$L$1484)</f>
        <v/>
      </c>
      <c r="AD1481">
        <f>IF([2]Baskol!$N$1484="","",[2]Baskol!$N$1484)</f>
        <v/>
      </c>
      <c r="AE1481">
        <f>IF([2]Baskol!$O$1484="","",[2]Baskol!$O$1484)</f>
        <v/>
      </c>
      <c r="AG1481">
        <f>IF([3]Entry!$C$1484="","",[3]Entry!$C$1484)</f>
        <v/>
      </c>
      <c r="AH1481">
        <f>IF([3]Entry!$D$1484="","",[3]Entry!$D$1484)</f>
        <v/>
      </c>
      <c r="AI1481">
        <f>IF([3]Entry!$E$1484="","",[3]Entry!$E$1484)</f>
        <v/>
      </c>
      <c r="AJ1481">
        <f>IF([3]Entry!$G$1484="","",[3]Entry!$G$1484)</f>
        <v/>
      </c>
      <c r="AK1481">
        <f>IF([3]Entry!$K$1484="","",[3]Entry!$K$1484)</f>
        <v/>
      </c>
      <c r="AL1481">
        <f>IF([3]Entry!$L$1484="","",[3]Entry!$L$1484)</f>
        <v/>
      </c>
      <c r="AM1481">
        <f>IF([3]Entry!$M$1484="","",[3]Entry!$M$1484)</f>
        <v/>
      </c>
      <c r="AN1481">
        <f>IF([3]Entry!$N$1484="","",[3]Entry!$N$1484)</f>
        <v/>
      </c>
      <c r="AO1481">
        <f>IF([3]Entry!$R$1484="","",[3]Entry!$R$1484)</f>
        <v/>
      </c>
    </row>
    <row r="1482">
      <c r="U1482">
        <f>IF([2]Baskol!$B$1485="","",[2]Baskol!$B$1485)</f>
        <v/>
      </c>
      <c r="V1482">
        <f>IF([2]Baskol!$C$1485="","",[2]Baskol!$C$1485)</f>
        <v/>
      </c>
      <c r="W1482">
        <f>IF([2]Baskol!$D$1485="","",[2]Baskol!$D$1485)</f>
        <v/>
      </c>
      <c r="X1482">
        <f>IF([2]Baskol!$E$1485="","",[2]Baskol!$E$1485)</f>
        <v/>
      </c>
      <c r="Y1482">
        <f>IF([2]Baskol!$G$1485="","",[2]Baskol!$G$1485)</f>
        <v/>
      </c>
      <c r="Z1482">
        <f>IF([2]Baskol!$I$1485="","",[2]Baskol!$I$1485)</f>
        <v/>
      </c>
      <c r="AA1482">
        <f>IF([2]Baskol!$J$1485="","",[2]Baskol!$J$1485)</f>
        <v/>
      </c>
      <c r="AB1482">
        <f>IF([2]Baskol!$K$1485="","",[2]Baskol!$K$1485)</f>
        <v/>
      </c>
      <c r="AC1482">
        <f>IF([2]Baskol!$L$1485="","",[2]Baskol!$L$1485)</f>
        <v/>
      </c>
      <c r="AD1482">
        <f>IF([2]Baskol!$N$1485="","",[2]Baskol!$N$1485)</f>
        <v/>
      </c>
      <c r="AE1482">
        <f>IF([2]Baskol!$O$1485="","",[2]Baskol!$O$1485)</f>
        <v/>
      </c>
      <c r="AG1482">
        <f>IF([3]Entry!$C$1485="","",[3]Entry!$C$1485)</f>
        <v/>
      </c>
      <c r="AH1482">
        <f>IF([3]Entry!$D$1485="","",[3]Entry!$D$1485)</f>
        <v/>
      </c>
      <c r="AI1482">
        <f>IF([3]Entry!$E$1485="","",[3]Entry!$E$1485)</f>
        <v/>
      </c>
      <c r="AJ1482">
        <f>IF([3]Entry!$G$1485="","",[3]Entry!$G$1485)</f>
        <v/>
      </c>
      <c r="AK1482">
        <f>IF([3]Entry!$K$1485="","",[3]Entry!$K$1485)</f>
        <v/>
      </c>
      <c r="AL1482">
        <f>IF([3]Entry!$L$1485="","",[3]Entry!$L$1485)</f>
        <v/>
      </c>
      <c r="AM1482">
        <f>IF([3]Entry!$M$1485="","",[3]Entry!$M$1485)</f>
        <v/>
      </c>
      <c r="AN1482">
        <f>IF([3]Entry!$N$1485="","",[3]Entry!$N$1485)</f>
        <v/>
      </c>
      <c r="AO1482">
        <f>IF([3]Entry!$R$1485="","",[3]Entry!$R$1485)</f>
        <v/>
      </c>
    </row>
    <row r="1483">
      <c r="U1483">
        <f>IF([2]Baskol!$B$1486="","",[2]Baskol!$B$1486)</f>
        <v/>
      </c>
      <c r="V1483">
        <f>IF([2]Baskol!$C$1486="","",[2]Baskol!$C$1486)</f>
        <v/>
      </c>
      <c r="W1483">
        <f>IF([2]Baskol!$D$1486="","",[2]Baskol!$D$1486)</f>
        <v/>
      </c>
      <c r="X1483">
        <f>IF([2]Baskol!$E$1486="","",[2]Baskol!$E$1486)</f>
        <v/>
      </c>
      <c r="Y1483">
        <f>IF([2]Baskol!$G$1486="","",[2]Baskol!$G$1486)</f>
        <v/>
      </c>
      <c r="Z1483">
        <f>IF([2]Baskol!$I$1486="","",[2]Baskol!$I$1486)</f>
        <v/>
      </c>
      <c r="AA1483">
        <f>IF([2]Baskol!$J$1486="","",[2]Baskol!$J$1486)</f>
        <v/>
      </c>
      <c r="AB1483">
        <f>IF([2]Baskol!$K$1486="","",[2]Baskol!$K$1486)</f>
        <v/>
      </c>
      <c r="AC1483">
        <f>IF([2]Baskol!$L$1486="","",[2]Baskol!$L$1486)</f>
        <v/>
      </c>
      <c r="AD1483">
        <f>IF([2]Baskol!$N$1486="","",[2]Baskol!$N$1486)</f>
        <v/>
      </c>
      <c r="AE1483">
        <f>IF([2]Baskol!$O$1486="","",[2]Baskol!$O$1486)</f>
        <v/>
      </c>
      <c r="AG1483">
        <f>IF([3]Entry!$C$1486="","",[3]Entry!$C$1486)</f>
        <v/>
      </c>
      <c r="AH1483">
        <f>IF([3]Entry!$D$1486="","",[3]Entry!$D$1486)</f>
        <v/>
      </c>
      <c r="AI1483">
        <f>IF([3]Entry!$E$1486="","",[3]Entry!$E$1486)</f>
        <v/>
      </c>
      <c r="AJ1483">
        <f>IF([3]Entry!$G$1486="","",[3]Entry!$G$1486)</f>
        <v/>
      </c>
      <c r="AK1483">
        <f>IF([3]Entry!$K$1486="","",[3]Entry!$K$1486)</f>
        <v/>
      </c>
      <c r="AL1483">
        <f>IF([3]Entry!$L$1486="","",[3]Entry!$L$1486)</f>
        <v/>
      </c>
      <c r="AM1483">
        <f>IF([3]Entry!$M$1486="","",[3]Entry!$M$1486)</f>
        <v/>
      </c>
      <c r="AN1483">
        <f>IF([3]Entry!$N$1486="","",[3]Entry!$N$1486)</f>
        <v/>
      </c>
      <c r="AO1483">
        <f>IF([3]Entry!$R$1486="","",[3]Entry!$R$1486)</f>
        <v/>
      </c>
    </row>
    <row r="1484">
      <c r="U1484">
        <f>IF([2]Baskol!$B$1487="","",[2]Baskol!$B$1487)</f>
        <v/>
      </c>
      <c r="V1484">
        <f>IF([2]Baskol!$C$1487="","",[2]Baskol!$C$1487)</f>
        <v/>
      </c>
      <c r="W1484">
        <f>IF([2]Baskol!$D$1487="","",[2]Baskol!$D$1487)</f>
        <v/>
      </c>
      <c r="X1484">
        <f>IF([2]Baskol!$E$1487="","",[2]Baskol!$E$1487)</f>
        <v/>
      </c>
      <c r="Y1484">
        <f>IF([2]Baskol!$G$1487="","",[2]Baskol!$G$1487)</f>
        <v/>
      </c>
      <c r="Z1484">
        <f>IF([2]Baskol!$I$1487="","",[2]Baskol!$I$1487)</f>
        <v/>
      </c>
      <c r="AA1484">
        <f>IF([2]Baskol!$J$1487="","",[2]Baskol!$J$1487)</f>
        <v/>
      </c>
      <c r="AB1484">
        <f>IF([2]Baskol!$K$1487="","",[2]Baskol!$K$1487)</f>
        <v/>
      </c>
      <c r="AC1484">
        <f>IF([2]Baskol!$L$1487="","",[2]Baskol!$L$1487)</f>
        <v/>
      </c>
      <c r="AD1484">
        <f>IF([2]Baskol!$N$1487="","",[2]Baskol!$N$1487)</f>
        <v/>
      </c>
      <c r="AE1484">
        <f>IF([2]Baskol!$O$1487="","",[2]Baskol!$O$1487)</f>
        <v/>
      </c>
      <c r="AG1484">
        <f>IF([3]Entry!$C$1487="","",[3]Entry!$C$1487)</f>
        <v/>
      </c>
      <c r="AH1484">
        <f>IF([3]Entry!$D$1487="","",[3]Entry!$D$1487)</f>
        <v/>
      </c>
      <c r="AI1484">
        <f>IF([3]Entry!$E$1487="","",[3]Entry!$E$1487)</f>
        <v/>
      </c>
      <c r="AJ1484">
        <f>IF([3]Entry!$G$1487="","",[3]Entry!$G$1487)</f>
        <v/>
      </c>
      <c r="AK1484">
        <f>IF([3]Entry!$K$1487="","",[3]Entry!$K$1487)</f>
        <v/>
      </c>
      <c r="AL1484">
        <f>IF([3]Entry!$L$1487="","",[3]Entry!$L$1487)</f>
        <v/>
      </c>
      <c r="AM1484">
        <f>IF([3]Entry!$M$1487="","",[3]Entry!$M$1487)</f>
        <v/>
      </c>
      <c r="AN1484">
        <f>IF([3]Entry!$N$1487="","",[3]Entry!$N$1487)</f>
        <v/>
      </c>
      <c r="AO1484">
        <f>IF([3]Entry!$R$1487="","",[3]Entry!$R$1487)</f>
        <v/>
      </c>
    </row>
    <row r="1485">
      <c r="U1485">
        <f>IF([2]Baskol!$B$1488="","",[2]Baskol!$B$1488)</f>
        <v/>
      </c>
      <c r="V1485">
        <f>IF([2]Baskol!$C$1488="","",[2]Baskol!$C$1488)</f>
        <v/>
      </c>
      <c r="W1485">
        <f>IF([2]Baskol!$D$1488="","",[2]Baskol!$D$1488)</f>
        <v/>
      </c>
      <c r="X1485">
        <f>IF([2]Baskol!$E$1488="","",[2]Baskol!$E$1488)</f>
        <v/>
      </c>
      <c r="Y1485">
        <f>IF([2]Baskol!$G$1488="","",[2]Baskol!$G$1488)</f>
        <v/>
      </c>
      <c r="Z1485">
        <f>IF([2]Baskol!$I$1488="","",[2]Baskol!$I$1488)</f>
        <v/>
      </c>
      <c r="AA1485">
        <f>IF([2]Baskol!$J$1488="","",[2]Baskol!$J$1488)</f>
        <v/>
      </c>
      <c r="AB1485">
        <f>IF([2]Baskol!$K$1488="","",[2]Baskol!$K$1488)</f>
        <v/>
      </c>
      <c r="AC1485">
        <f>IF([2]Baskol!$L$1488="","",[2]Baskol!$L$1488)</f>
        <v/>
      </c>
      <c r="AD1485">
        <f>IF([2]Baskol!$N$1488="","",[2]Baskol!$N$1488)</f>
        <v/>
      </c>
      <c r="AE1485">
        <f>IF([2]Baskol!$O$1488="","",[2]Baskol!$O$1488)</f>
        <v/>
      </c>
      <c r="AG1485">
        <f>IF([3]Entry!$C$1488="","",[3]Entry!$C$1488)</f>
        <v/>
      </c>
      <c r="AH1485">
        <f>IF([3]Entry!$D$1488="","",[3]Entry!$D$1488)</f>
        <v/>
      </c>
      <c r="AI1485">
        <f>IF([3]Entry!$E$1488="","",[3]Entry!$E$1488)</f>
        <v/>
      </c>
      <c r="AJ1485">
        <f>IF([3]Entry!$G$1488="","",[3]Entry!$G$1488)</f>
        <v/>
      </c>
      <c r="AK1485">
        <f>IF([3]Entry!$K$1488="","",[3]Entry!$K$1488)</f>
        <v/>
      </c>
      <c r="AL1485">
        <f>IF([3]Entry!$L$1488="","",[3]Entry!$L$1488)</f>
        <v/>
      </c>
      <c r="AM1485">
        <f>IF([3]Entry!$M$1488="","",[3]Entry!$M$1488)</f>
        <v/>
      </c>
      <c r="AN1485">
        <f>IF([3]Entry!$N$1488="","",[3]Entry!$N$1488)</f>
        <v/>
      </c>
      <c r="AO1485">
        <f>IF([3]Entry!$R$1488="","",[3]Entry!$R$1488)</f>
        <v/>
      </c>
    </row>
    <row r="1486">
      <c r="U1486">
        <f>IF([2]Baskol!$B$1489="","",[2]Baskol!$B$1489)</f>
        <v/>
      </c>
      <c r="V1486">
        <f>IF([2]Baskol!$C$1489="","",[2]Baskol!$C$1489)</f>
        <v/>
      </c>
      <c r="W1486">
        <f>IF([2]Baskol!$D$1489="","",[2]Baskol!$D$1489)</f>
        <v/>
      </c>
      <c r="X1486">
        <f>IF([2]Baskol!$E$1489="","",[2]Baskol!$E$1489)</f>
        <v/>
      </c>
      <c r="Y1486">
        <f>IF([2]Baskol!$G$1489="","",[2]Baskol!$G$1489)</f>
        <v/>
      </c>
      <c r="Z1486">
        <f>IF([2]Baskol!$I$1489="","",[2]Baskol!$I$1489)</f>
        <v/>
      </c>
      <c r="AA1486">
        <f>IF([2]Baskol!$J$1489="","",[2]Baskol!$J$1489)</f>
        <v/>
      </c>
      <c r="AB1486">
        <f>IF([2]Baskol!$K$1489="","",[2]Baskol!$K$1489)</f>
        <v/>
      </c>
      <c r="AC1486">
        <f>IF([2]Baskol!$L$1489="","",[2]Baskol!$L$1489)</f>
        <v/>
      </c>
      <c r="AD1486">
        <f>IF([2]Baskol!$N$1489="","",[2]Baskol!$N$1489)</f>
        <v/>
      </c>
      <c r="AE1486">
        <f>IF([2]Baskol!$O$1489="","",[2]Baskol!$O$1489)</f>
        <v/>
      </c>
      <c r="AG1486">
        <f>IF([3]Entry!$C$1489="","",[3]Entry!$C$1489)</f>
        <v/>
      </c>
      <c r="AH1486">
        <f>IF([3]Entry!$D$1489="","",[3]Entry!$D$1489)</f>
        <v/>
      </c>
      <c r="AI1486">
        <f>IF([3]Entry!$E$1489="","",[3]Entry!$E$1489)</f>
        <v/>
      </c>
      <c r="AJ1486">
        <f>IF([3]Entry!$G$1489="","",[3]Entry!$G$1489)</f>
        <v/>
      </c>
      <c r="AK1486">
        <f>IF([3]Entry!$K$1489="","",[3]Entry!$K$1489)</f>
        <v/>
      </c>
      <c r="AL1486">
        <f>IF([3]Entry!$L$1489="","",[3]Entry!$L$1489)</f>
        <v/>
      </c>
      <c r="AM1486">
        <f>IF([3]Entry!$M$1489="","",[3]Entry!$M$1489)</f>
        <v/>
      </c>
      <c r="AN1486">
        <f>IF([3]Entry!$N$1489="","",[3]Entry!$N$1489)</f>
        <v/>
      </c>
      <c r="AO1486">
        <f>IF([3]Entry!$R$1489="","",[3]Entry!$R$1489)</f>
        <v/>
      </c>
    </row>
    <row r="1487">
      <c r="U1487">
        <f>IF([2]Baskol!$B$1490="","",[2]Baskol!$B$1490)</f>
        <v/>
      </c>
      <c r="V1487">
        <f>IF([2]Baskol!$C$1490="","",[2]Baskol!$C$1490)</f>
        <v/>
      </c>
      <c r="W1487">
        <f>IF([2]Baskol!$D$1490="","",[2]Baskol!$D$1490)</f>
        <v/>
      </c>
      <c r="X1487">
        <f>IF([2]Baskol!$E$1490="","",[2]Baskol!$E$1490)</f>
        <v/>
      </c>
      <c r="Y1487">
        <f>IF([2]Baskol!$G$1490="","",[2]Baskol!$G$1490)</f>
        <v/>
      </c>
      <c r="Z1487">
        <f>IF([2]Baskol!$I$1490="","",[2]Baskol!$I$1490)</f>
        <v/>
      </c>
      <c r="AA1487">
        <f>IF([2]Baskol!$J$1490="","",[2]Baskol!$J$1490)</f>
        <v/>
      </c>
      <c r="AB1487">
        <f>IF([2]Baskol!$K$1490="","",[2]Baskol!$K$1490)</f>
        <v/>
      </c>
      <c r="AC1487">
        <f>IF([2]Baskol!$L$1490="","",[2]Baskol!$L$1490)</f>
        <v/>
      </c>
      <c r="AD1487">
        <f>IF([2]Baskol!$N$1490="","",[2]Baskol!$N$1490)</f>
        <v/>
      </c>
      <c r="AE1487">
        <f>IF([2]Baskol!$O$1490="","",[2]Baskol!$O$1490)</f>
        <v/>
      </c>
      <c r="AG1487">
        <f>IF([3]Entry!$C$1490="","",[3]Entry!$C$1490)</f>
        <v/>
      </c>
      <c r="AH1487">
        <f>IF([3]Entry!$D$1490="","",[3]Entry!$D$1490)</f>
        <v/>
      </c>
      <c r="AI1487">
        <f>IF([3]Entry!$E$1490="","",[3]Entry!$E$1490)</f>
        <v/>
      </c>
      <c r="AJ1487">
        <f>IF([3]Entry!$G$1490="","",[3]Entry!$G$1490)</f>
        <v/>
      </c>
      <c r="AK1487">
        <f>IF([3]Entry!$K$1490="","",[3]Entry!$K$1490)</f>
        <v/>
      </c>
      <c r="AL1487">
        <f>IF([3]Entry!$L$1490="","",[3]Entry!$L$1490)</f>
        <v/>
      </c>
      <c r="AM1487">
        <f>IF([3]Entry!$M$1490="","",[3]Entry!$M$1490)</f>
        <v/>
      </c>
      <c r="AN1487">
        <f>IF([3]Entry!$N$1490="","",[3]Entry!$N$1490)</f>
        <v/>
      </c>
      <c r="AO1487">
        <f>IF([3]Entry!$R$1490="","",[3]Entry!$R$1490)</f>
        <v/>
      </c>
    </row>
    <row r="1488">
      <c r="U1488">
        <f>IF([2]Baskol!$B$1491="","",[2]Baskol!$B$1491)</f>
        <v/>
      </c>
      <c r="V1488">
        <f>IF([2]Baskol!$C$1491="","",[2]Baskol!$C$1491)</f>
        <v/>
      </c>
      <c r="W1488">
        <f>IF([2]Baskol!$D$1491="","",[2]Baskol!$D$1491)</f>
        <v/>
      </c>
      <c r="X1488">
        <f>IF([2]Baskol!$E$1491="","",[2]Baskol!$E$1491)</f>
        <v/>
      </c>
      <c r="Y1488">
        <f>IF([2]Baskol!$G$1491="","",[2]Baskol!$G$1491)</f>
        <v/>
      </c>
      <c r="Z1488">
        <f>IF([2]Baskol!$I$1491="","",[2]Baskol!$I$1491)</f>
        <v/>
      </c>
      <c r="AA1488">
        <f>IF([2]Baskol!$J$1491="","",[2]Baskol!$J$1491)</f>
        <v/>
      </c>
      <c r="AB1488">
        <f>IF([2]Baskol!$K$1491="","",[2]Baskol!$K$1491)</f>
        <v/>
      </c>
      <c r="AC1488">
        <f>IF([2]Baskol!$L$1491="","",[2]Baskol!$L$1491)</f>
        <v/>
      </c>
      <c r="AD1488">
        <f>IF([2]Baskol!$N$1491="","",[2]Baskol!$N$1491)</f>
        <v/>
      </c>
      <c r="AE1488">
        <f>IF([2]Baskol!$O$1491="","",[2]Baskol!$O$1491)</f>
        <v/>
      </c>
      <c r="AG1488">
        <f>IF([3]Entry!$C$1491="","",[3]Entry!$C$1491)</f>
        <v/>
      </c>
      <c r="AH1488">
        <f>IF([3]Entry!$D$1491="","",[3]Entry!$D$1491)</f>
        <v/>
      </c>
      <c r="AI1488">
        <f>IF([3]Entry!$E$1491="","",[3]Entry!$E$1491)</f>
        <v/>
      </c>
      <c r="AJ1488">
        <f>IF([3]Entry!$G$1491="","",[3]Entry!$G$1491)</f>
        <v/>
      </c>
      <c r="AK1488">
        <f>IF([3]Entry!$K$1491="","",[3]Entry!$K$1491)</f>
        <v/>
      </c>
      <c r="AL1488">
        <f>IF([3]Entry!$L$1491="","",[3]Entry!$L$1491)</f>
        <v/>
      </c>
      <c r="AM1488">
        <f>IF([3]Entry!$M$1491="","",[3]Entry!$M$1491)</f>
        <v/>
      </c>
      <c r="AN1488">
        <f>IF([3]Entry!$N$1491="","",[3]Entry!$N$1491)</f>
        <v/>
      </c>
      <c r="AO1488">
        <f>IF([3]Entry!$R$1491="","",[3]Entry!$R$1491)</f>
        <v/>
      </c>
    </row>
    <row r="1489">
      <c r="U1489">
        <f>IF([2]Baskol!$B$1492="","",[2]Baskol!$B$1492)</f>
        <v/>
      </c>
      <c r="V1489">
        <f>IF([2]Baskol!$C$1492="","",[2]Baskol!$C$1492)</f>
        <v/>
      </c>
      <c r="W1489">
        <f>IF([2]Baskol!$D$1492="","",[2]Baskol!$D$1492)</f>
        <v/>
      </c>
      <c r="X1489">
        <f>IF([2]Baskol!$E$1492="","",[2]Baskol!$E$1492)</f>
        <v/>
      </c>
      <c r="Y1489">
        <f>IF([2]Baskol!$G$1492="","",[2]Baskol!$G$1492)</f>
        <v/>
      </c>
      <c r="Z1489">
        <f>IF([2]Baskol!$I$1492="","",[2]Baskol!$I$1492)</f>
        <v/>
      </c>
      <c r="AA1489">
        <f>IF([2]Baskol!$J$1492="","",[2]Baskol!$J$1492)</f>
        <v/>
      </c>
      <c r="AB1489">
        <f>IF([2]Baskol!$K$1492="","",[2]Baskol!$K$1492)</f>
        <v/>
      </c>
      <c r="AC1489">
        <f>IF([2]Baskol!$L$1492="","",[2]Baskol!$L$1492)</f>
        <v/>
      </c>
      <c r="AD1489">
        <f>IF([2]Baskol!$N$1492="","",[2]Baskol!$N$1492)</f>
        <v/>
      </c>
      <c r="AE1489">
        <f>IF([2]Baskol!$O$1492="","",[2]Baskol!$O$1492)</f>
        <v/>
      </c>
      <c r="AG1489">
        <f>IF([3]Entry!$C$1492="","",[3]Entry!$C$1492)</f>
        <v/>
      </c>
      <c r="AH1489">
        <f>IF([3]Entry!$D$1492="","",[3]Entry!$D$1492)</f>
        <v/>
      </c>
      <c r="AI1489">
        <f>IF([3]Entry!$E$1492="","",[3]Entry!$E$1492)</f>
        <v/>
      </c>
      <c r="AJ1489">
        <f>IF([3]Entry!$G$1492="","",[3]Entry!$G$1492)</f>
        <v/>
      </c>
      <c r="AK1489">
        <f>IF([3]Entry!$K$1492="","",[3]Entry!$K$1492)</f>
        <v/>
      </c>
      <c r="AL1489">
        <f>IF([3]Entry!$L$1492="","",[3]Entry!$L$1492)</f>
        <v/>
      </c>
      <c r="AM1489">
        <f>IF([3]Entry!$M$1492="","",[3]Entry!$M$1492)</f>
        <v/>
      </c>
      <c r="AN1489">
        <f>IF([3]Entry!$N$1492="","",[3]Entry!$N$1492)</f>
        <v/>
      </c>
      <c r="AO1489">
        <f>IF([3]Entry!$R$1492="","",[3]Entry!$R$1492)</f>
        <v/>
      </c>
    </row>
    <row r="1490">
      <c r="U1490">
        <f>IF([2]Baskol!$B$1493="","",[2]Baskol!$B$1493)</f>
        <v/>
      </c>
      <c r="V1490">
        <f>IF([2]Baskol!$C$1493="","",[2]Baskol!$C$1493)</f>
        <v/>
      </c>
      <c r="W1490">
        <f>IF([2]Baskol!$D$1493="","",[2]Baskol!$D$1493)</f>
        <v/>
      </c>
      <c r="X1490">
        <f>IF([2]Baskol!$E$1493="","",[2]Baskol!$E$1493)</f>
        <v/>
      </c>
      <c r="Y1490">
        <f>IF([2]Baskol!$G$1493="","",[2]Baskol!$G$1493)</f>
        <v/>
      </c>
      <c r="Z1490">
        <f>IF([2]Baskol!$I$1493="","",[2]Baskol!$I$1493)</f>
        <v/>
      </c>
      <c r="AA1490">
        <f>IF([2]Baskol!$J$1493="","",[2]Baskol!$J$1493)</f>
        <v/>
      </c>
      <c r="AB1490">
        <f>IF([2]Baskol!$K$1493="","",[2]Baskol!$K$1493)</f>
        <v/>
      </c>
      <c r="AC1490">
        <f>IF([2]Baskol!$L$1493="","",[2]Baskol!$L$1493)</f>
        <v/>
      </c>
      <c r="AD1490">
        <f>IF([2]Baskol!$N$1493="","",[2]Baskol!$N$1493)</f>
        <v/>
      </c>
      <c r="AE1490">
        <f>IF([2]Baskol!$O$1493="","",[2]Baskol!$O$1493)</f>
        <v/>
      </c>
      <c r="AG1490">
        <f>IF([3]Entry!$C$1493="","",[3]Entry!$C$1493)</f>
        <v/>
      </c>
      <c r="AH1490">
        <f>IF([3]Entry!$D$1493="","",[3]Entry!$D$1493)</f>
        <v/>
      </c>
      <c r="AI1490">
        <f>IF([3]Entry!$E$1493="","",[3]Entry!$E$1493)</f>
        <v/>
      </c>
      <c r="AJ1490">
        <f>IF([3]Entry!$G$1493="","",[3]Entry!$G$1493)</f>
        <v/>
      </c>
      <c r="AK1490">
        <f>IF([3]Entry!$K$1493="","",[3]Entry!$K$1493)</f>
        <v/>
      </c>
      <c r="AL1490">
        <f>IF([3]Entry!$L$1493="","",[3]Entry!$L$1493)</f>
        <v/>
      </c>
      <c r="AM1490">
        <f>IF([3]Entry!$M$1493="","",[3]Entry!$M$1493)</f>
        <v/>
      </c>
      <c r="AN1490">
        <f>IF([3]Entry!$N$1493="","",[3]Entry!$N$1493)</f>
        <v/>
      </c>
      <c r="AO1490">
        <f>IF([3]Entry!$R$1493="","",[3]Entry!$R$1493)</f>
        <v/>
      </c>
    </row>
    <row r="1491">
      <c r="U1491">
        <f>IF([2]Baskol!$B$1494="","",[2]Baskol!$B$1494)</f>
        <v/>
      </c>
      <c r="V1491">
        <f>IF([2]Baskol!$C$1494="","",[2]Baskol!$C$1494)</f>
        <v/>
      </c>
      <c r="W1491">
        <f>IF([2]Baskol!$D$1494="","",[2]Baskol!$D$1494)</f>
        <v/>
      </c>
      <c r="X1491">
        <f>IF([2]Baskol!$E$1494="","",[2]Baskol!$E$1494)</f>
        <v/>
      </c>
      <c r="Y1491">
        <f>IF([2]Baskol!$G$1494="","",[2]Baskol!$G$1494)</f>
        <v/>
      </c>
      <c r="Z1491">
        <f>IF([2]Baskol!$I$1494="","",[2]Baskol!$I$1494)</f>
        <v/>
      </c>
      <c r="AA1491">
        <f>IF([2]Baskol!$J$1494="","",[2]Baskol!$J$1494)</f>
        <v/>
      </c>
      <c r="AB1491">
        <f>IF([2]Baskol!$K$1494="","",[2]Baskol!$K$1494)</f>
        <v/>
      </c>
      <c r="AC1491">
        <f>IF([2]Baskol!$L$1494="","",[2]Baskol!$L$1494)</f>
        <v/>
      </c>
      <c r="AD1491">
        <f>IF([2]Baskol!$N$1494="","",[2]Baskol!$N$1494)</f>
        <v/>
      </c>
      <c r="AE1491">
        <f>IF([2]Baskol!$O$1494="","",[2]Baskol!$O$1494)</f>
        <v/>
      </c>
      <c r="AG1491">
        <f>IF([3]Entry!$C$1494="","",[3]Entry!$C$1494)</f>
        <v/>
      </c>
      <c r="AH1491">
        <f>IF([3]Entry!$D$1494="","",[3]Entry!$D$1494)</f>
        <v/>
      </c>
      <c r="AI1491">
        <f>IF([3]Entry!$E$1494="","",[3]Entry!$E$1494)</f>
        <v/>
      </c>
      <c r="AJ1491">
        <f>IF([3]Entry!$G$1494="","",[3]Entry!$G$1494)</f>
        <v/>
      </c>
      <c r="AK1491">
        <f>IF([3]Entry!$K$1494="","",[3]Entry!$K$1494)</f>
        <v/>
      </c>
      <c r="AL1491">
        <f>IF([3]Entry!$L$1494="","",[3]Entry!$L$1494)</f>
        <v/>
      </c>
      <c r="AM1491">
        <f>IF([3]Entry!$M$1494="","",[3]Entry!$M$1494)</f>
        <v/>
      </c>
      <c r="AN1491">
        <f>IF([3]Entry!$N$1494="","",[3]Entry!$N$1494)</f>
        <v/>
      </c>
      <c r="AO1491">
        <f>IF([3]Entry!$R$1494="","",[3]Entry!$R$1494)</f>
        <v/>
      </c>
    </row>
    <row r="1492">
      <c r="U1492">
        <f>IF([2]Baskol!$B$1495="","",[2]Baskol!$B$1495)</f>
        <v/>
      </c>
      <c r="V1492">
        <f>IF([2]Baskol!$C$1495="","",[2]Baskol!$C$1495)</f>
        <v/>
      </c>
      <c r="W1492">
        <f>IF([2]Baskol!$D$1495="","",[2]Baskol!$D$1495)</f>
        <v/>
      </c>
      <c r="X1492">
        <f>IF([2]Baskol!$E$1495="","",[2]Baskol!$E$1495)</f>
        <v/>
      </c>
      <c r="Y1492">
        <f>IF([2]Baskol!$G$1495="","",[2]Baskol!$G$1495)</f>
        <v/>
      </c>
      <c r="Z1492">
        <f>IF([2]Baskol!$I$1495="","",[2]Baskol!$I$1495)</f>
        <v/>
      </c>
      <c r="AA1492">
        <f>IF([2]Baskol!$J$1495="","",[2]Baskol!$J$1495)</f>
        <v/>
      </c>
      <c r="AB1492">
        <f>IF([2]Baskol!$K$1495="","",[2]Baskol!$K$1495)</f>
        <v/>
      </c>
      <c r="AC1492">
        <f>IF([2]Baskol!$L$1495="","",[2]Baskol!$L$1495)</f>
        <v/>
      </c>
      <c r="AD1492">
        <f>IF([2]Baskol!$N$1495="","",[2]Baskol!$N$1495)</f>
        <v/>
      </c>
      <c r="AE1492">
        <f>IF([2]Baskol!$O$1495="","",[2]Baskol!$O$1495)</f>
        <v/>
      </c>
      <c r="AG1492">
        <f>IF([3]Entry!$C$1495="","",[3]Entry!$C$1495)</f>
        <v/>
      </c>
      <c r="AH1492">
        <f>IF([3]Entry!$D$1495="","",[3]Entry!$D$1495)</f>
        <v/>
      </c>
      <c r="AI1492">
        <f>IF([3]Entry!$E$1495="","",[3]Entry!$E$1495)</f>
        <v/>
      </c>
      <c r="AJ1492">
        <f>IF([3]Entry!$G$1495="","",[3]Entry!$G$1495)</f>
        <v/>
      </c>
      <c r="AK1492">
        <f>IF([3]Entry!$K$1495="","",[3]Entry!$K$1495)</f>
        <v/>
      </c>
      <c r="AL1492">
        <f>IF([3]Entry!$L$1495="","",[3]Entry!$L$1495)</f>
        <v/>
      </c>
      <c r="AM1492">
        <f>IF([3]Entry!$M$1495="","",[3]Entry!$M$1495)</f>
        <v/>
      </c>
      <c r="AN1492">
        <f>IF([3]Entry!$N$1495="","",[3]Entry!$N$1495)</f>
        <v/>
      </c>
      <c r="AO1492">
        <f>IF([3]Entry!$R$1495="","",[3]Entry!$R$1495)</f>
        <v/>
      </c>
    </row>
    <row r="1493">
      <c r="U1493">
        <f>IF([2]Baskol!$B$1496="","",[2]Baskol!$B$1496)</f>
        <v/>
      </c>
      <c r="V1493">
        <f>IF([2]Baskol!$C$1496="","",[2]Baskol!$C$1496)</f>
        <v/>
      </c>
      <c r="W1493">
        <f>IF([2]Baskol!$D$1496="","",[2]Baskol!$D$1496)</f>
        <v/>
      </c>
      <c r="X1493">
        <f>IF([2]Baskol!$E$1496="","",[2]Baskol!$E$1496)</f>
        <v/>
      </c>
      <c r="Y1493">
        <f>IF([2]Baskol!$G$1496="","",[2]Baskol!$G$1496)</f>
        <v/>
      </c>
      <c r="Z1493">
        <f>IF([2]Baskol!$I$1496="","",[2]Baskol!$I$1496)</f>
        <v/>
      </c>
      <c r="AA1493">
        <f>IF([2]Baskol!$J$1496="","",[2]Baskol!$J$1496)</f>
        <v/>
      </c>
      <c r="AB1493">
        <f>IF([2]Baskol!$K$1496="","",[2]Baskol!$K$1496)</f>
        <v/>
      </c>
      <c r="AC1493">
        <f>IF([2]Baskol!$L$1496="","",[2]Baskol!$L$1496)</f>
        <v/>
      </c>
      <c r="AD1493">
        <f>IF([2]Baskol!$N$1496="","",[2]Baskol!$N$1496)</f>
        <v/>
      </c>
      <c r="AE1493">
        <f>IF([2]Baskol!$O$1496="","",[2]Baskol!$O$1496)</f>
        <v/>
      </c>
      <c r="AG1493">
        <f>IF([3]Entry!$C$1496="","",[3]Entry!$C$1496)</f>
        <v/>
      </c>
      <c r="AH1493">
        <f>IF([3]Entry!$D$1496="","",[3]Entry!$D$1496)</f>
        <v/>
      </c>
      <c r="AI1493">
        <f>IF([3]Entry!$E$1496="","",[3]Entry!$E$1496)</f>
        <v/>
      </c>
      <c r="AJ1493">
        <f>IF([3]Entry!$G$1496="","",[3]Entry!$G$1496)</f>
        <v/>
      </c>
      <c r="AK1493">
        <f>IF([3]Entry!$K$1496="","",[3]Entry!$K$1496)</f>
        <v/>
      </c>
      <c r="AL1493">
        <f>IF([3]Entry!$L$1496="","",[3]Entry!$L$1496)</f>
        <v/>
      </c>
      <c r="AM1493">
        <f>IF([3]Entry!$M$1496="","",[3]Entry!$M$1496)</f>
        <v/>
      </c>
      <c r="AN1493">
        <f>IF([3]Entry!$N$1496="","",[3]Entry!$N$1496)</f>
        <v/>
      </c>
      <c r="AO1493">
        <f>IF([3]Entry!$R$1496="","",[3]Entry!$R$1496)</f>
        <v/>
      </c>
    </row>
    <row r="1494">
      <c r="U1494">
        <f>IF([2]Baskol!$B$1497="","",[2]Baskol!$B$1497)</f>
        <v/>
      </c>
      <c r="V1494">
        <f>IF([2]Baskol!$C$1497="","",[2]Baskol!$C$1497)</f>
        <v/>
      </c>
      <c r="W1494">
        <f>IF([2]Baskol!$D$1497="","",[2]Baskol!$D$1497)</f>
        <v/>
      </c>
      <c r="X1494">
        <f>IF([2]Baskol!$E$1497="","",[2]Baskol!$E$1497)</f>
        <v/>
      </c>
      <c r="Y1494">
        <f>IF([2]Baskol!$G$1497="","",[2]Baskol!$G$1497)</f>
        <v/>
      </c>
      <c r="Z1494">
        <f>IF([2]Baskol!$I$1497="","",[2]Baskol!$I$1497)</f>
        <v/>
      </c>
      <c r="AA1494">
        <f>IF([2]Baskol!$J$1497="","",[2]Baskol!$J$1497)</f>
        <v/>
      </c>
      <c r="AB1494">
        <f>IF([2]Baskol!$K$1497="","",[2]Baskol!$K$1497)</f>
        <v/>
      </c>
      <c r="AC1494">
        <f>IF([2]Baskol!$L$1497="","",[2]Baskol!$L$1497)</f>
        <v/>
      </c>
      <c r="AD1494">
        <f>IF([2]Baskol!$N$1497="","",[2]Baskol!$N$1497)</f>
        <v/>
      </c>
      <c r="AE1494">
        <f>IF([2]Baskol!$O$1497="","",[2]Baskol!$O$1497)</f>
        <v/>
      </c>
      <c r="AG1494">
        <f>IF([3]Entry!$C$1497="","",[3]Entry!$C$1497)</f>
        <v/>
      </c>
      <c r="AH1494">
        <f>IF([3]Entry!$D$1497="","",[3]Entry!$D$1497)</f>
        <v/>
      </c>
      <c r="AI1494">
        <f>IF([3]Entry!$E$1497="","",[3]Entry!$E$1497)</f>
        <v/>
      </c>
      <c r="AJ1494">
        <f>IF([3]Entry!$G$1497="","",[3]Entry!$G$1497)</f>
        <v/>
      </c>
      <c r="AK1494">
        <f>IF([3]Entry!$K$1497="","",[3]Entry!$K$1497)</f>
        <v/>
      </c>
      <c r="AL1494">
        <f>IF([3]Entry!$L$1497="","",[3]Entry!$L$1497)</f>
        <v/>
      </c>
      <c r="AM1494">
        <f>IF([3]Entry!$M$1497="","",[3]Entry!$M$1497)</f>
        <v/>
      </c>
      <c r="AN1494">
        <f>IF([3]Entry!$N$1497="","",[3]Entry!$N$1497)</f>
        <v/>
      </c>
      <c r="AO1494">
        <f>IF([3]Entry!$R$1497="","",[3]Entry!$R$1497)</f>
        <v/>
      </c>
    </row>
    <row r="1495">
      <c r="U1495">
        <f>IF([2]Baskol!$B$1498="","",[2]Baskol!$B$1498)</f>
        <v/>
      </c>
      <c r="V1495">
        <f>IF([2]Baskol!$C$1498="","",[2]Baskol!$C$1498)</f>
        <v/>
      </c>
      <c r="W1495">
        <f>IF([2]Baskol!$D$1498="","",[2]Baskol!$D$1498)</f>
        <v/>
      </c>
      <c r="X1495">
        <f>IF([2]Baskol!$E$1498="","",[2]Baskol!$E$1498)</f>
        <v/>
      </c>
      <c r="Y1495">
        <f>IF([2]Baskol!$G$1498="","",[2]Baskol!$G$1498)</f>
        <v/>
      </c>
      <c r="Z1495">
        <f>IF([2]Baskol!$I$1498="","",[2]Baskol!$I$1498)</f>
        <v/>
      </c>
      <c r="AA1495">
        <f>IF([2]Baskol!$J$1498="","",[2]Baskol!$J$1498)</f>
        <v/>
      </c>
      <c r="AB1495">
        <f>IF([2]Baskol!$K$1498="","",[2]Baskol!$K$1498)</f>
        <v/>
      </c>
      <c r="AC1495">
        <f>IF([2]Baskol!$L$1498="","",[2]Baskol!$L$1498)</f>
        <v/>
      </c>
      <c r="AD1495">
        <f>IF([2]Baskol!$N$1498="","",[2]Baskol!$N$1498)</f>
        <v/>
      </c>
      <c r="AE1495">
        <f>IF([2]Baskol!$O$1498="","",[2]Baskol!$O$1498)</f>
        <v/>
      </c>
      <c r="AG1495">
        <f>IF([3]Entry!$C$1498="","",[3]Entry!$C$1498)</f>
        <v/>
      </c>
      <c r="AH1495">
        <f>IF([3]Entry!$D$1498="","",[3]Entry!$D$1498)</f>
        <v/>
      </c>
      <c r="AI1495">
        <f>IF([3]Entry!$E$1498="","",[3]Entry!$E$1498)</f>
        <v/>
      </c>
      <c r="AJ1495">
        <f>IF([3]Entry!$G$1498="","",[3]Entry!$G$1498)</f>
        <v/>
      </c>
      <c r="AK1495">
        <f>IF([3]Entry!$K$1498="","",[3]Entry!$K$1498)</f>
        <v/>
      </c>
      <c r="AL1495">
        <f>IF([3]Entry!$L$1498="","",[3]Entry!$L$1498)</f>
        <v/>
      </c>
      <c r="AM1495">
        <f>IF([3]Entry!$M$1498="","",[3]Entry!$M$1498)</f>
        <v/>
      </c>
      <c r="AN1495">
        <f>IF([3]Entry!$N$1498="","",[3]Entry!$N$1498)</f>
        <v/>
      </c>
      <c r="AO1495">
        <f>IF([3]Entry!$R$1498="","",[3]Entry!$R$1498)</f>
        <v/>
      </c>
    </row>
    <row r="1496">
      <c r="U1496">
        <f>IF([2]Baskol!$B$1499="","",[2]Baskol!$B$1499)</f>
        <v/>
      </c>
      <c r="V1496">
        <f>IF([2]Baskol!$C$1499="","",[2]Baskol!$C$1499)</f>
        <v/>
      </c>
      <c r="W1496">
        <f>IF([2]Baskol!$D$1499="","",[2]Baskol!$D$1499)</f>
        <v/>
      </c>
      <c r="X1496">
        <f>IF([2]Baskol!$E$1499="","",[2]Baskol!$E$1499)</f>
        <v/>
      </c>
      <c r="Y1496">
        <f>IF([2]Baskol!$G$1499="","",[2]Baskol!$G$1499)</f>
        <v/>
      </c>
      <c r="Z1496">
        <f>IF([2]Baskol!$I$1499="","",[2]Baskol!$I$1499)</f>
        <v/>
      </c>
      <c r="AA1496">
        <f>IF([2]Baskol!$J$1499="","",[2]Baskol!$J$1499)</f>
        <v/>
      </c>
      <c r="AB1496">
        <f>IF([2]Baskol!$K$1499="","",[2]Baskol!$K$1499)</f>
        <v/>
      </c>
      <c r="AC1496">
        <f>IF([2]Baskol!$L$1499="","",[2]Baskol!$L$1499)</f>
        <v/>
      </c>
      <c r="AD1496">
        <f>IF([2]Baskol!$N$1499="","",[2]Baskol!$N$1499)</f>
        <v/>
      </c>
      <c r="AE1496">
        <f>IF([2]Baskol!$O$1499="","",[2]Baskol!$O$1499)</f>
        <v/>
      </c>
      <c r="AG1496">
        <f>IF([3]Entry!$C$1499="","",[3]Entry!$C$1499)</f>
        <v/>
      </c>
      <c r="AH1496">
        <f>IF([3]Entry!$D$1499="","",[3]Entry!$D$1499)</f>
        <v/>
      </c>
      <c r="AI1496">
        <f>IF([3]Entry!$E$1499="","",[3]Entry!$E$1499)</f>
        <v/>
      </c>
      <c r="AJ1496">
        <f>IF([3]Entry!$G$1499="","",[3]Entry!$G$1499)</f>
        <v/>
      </c>
      <c r="AK1496">
        <f>IF([3]Entry!$K$1499="","",[3]Entry!$K$1499)</f>
        <v/>
      </c>
      <c r="AL1496">
        <f>IF([3]Entry!$L$1499="","",[3]Entry!$L$1499)</f>
        <v/>
      </c>
      <c r="AM1496">
        <f>IF([3]Entry!$M$1499="","",[3]Entry!$M$1499)</f>
        <v/>
      </c>
      <c r="AN1496">
        <f>IF([3]Entry!$N$1499="","",[3]Entry!$N$1499)</f>
        <v/>
      </c>
      <c r="AO1496">
        <f>IF([3]Entry!$R$1499="","",[3]Entry!$R$1499)</f>
        <v/>
      </c>
    </row>
    <row r="1497">
      <c r="U1497">
        <f>IF([2]Baskol!$B$1500="","",[2]Baskol!$B$1500)</f>
        <v/>
      </c>
      <c r="V1497">
        <f>IF([2]Baskol!$C$1500="","",[2]Baskol!$C$1500)</f>
        <v/>
      </c>
      <c r="W1497">
        <f>IF([2]Baskol!$D$1500="","",[2]Baskol!$D$1500)</f>
        <v/>
      </c>
      <c r="X1497">
        <f>IF([2]Baskol!$E$1500="","",[2]Baskol!$E$1500)</f>
        <v/>
      </c>
      <c r="Y1497">
        <f>IF([2]Baskol!$G$1500="","",[2]Baskol!$G$1500)</f>
        <v/>
      </c>
      <c r="Z1497">
        <f>IF([2]Baskol!$I$1500="","",[2]Baskol!$I$1500)</f>
        <v/>
      </c>
      <c r="AA1497">
        <f>IF([2]Baskol!$J$1500="","",[2]Baskol!$J$1500)</f>
        <v/>
      </c>
      <c r="AB1497">
        <f>IF([2]Baskol!$K$1500="","",[2]Baskol!$K$1500)</f>
        <v/>
      </c>
      <c r="AC1497">
        <f>IF([2]Baskol!$L$1500="","",[2]Baskol!$L$1500)</f>
        <v/>
      </c>
      <c r="AD1497">
        <f>IF([2]Baskol!$N$1500="","",[2]Baskol!$N$1500)</f>
        <v/>
      </c>
      <c r="AE1497">
        <f>IF([2]Baskol!$O$1500="","",[2]Baskol!$O$1500)</f>
        <v/>
      </c>
      <c r="AG1497">
        <f>IF([3]Entry!$C$1500="","",[3]Entry!$C$1500)</f>
        <v/>
      </c>
      <c r="AH1497">
        <f>IF([3]Entry!$D$1500="","",[3]Entry!$D$1500)</f>
        <v/>
      </c>
      <c r="AI1497">
        <f>IF([3]Entry!$E$1500="","",[3]Entry!$E$1500)</f>
        <v/>
      </c>
      <c r="AJ1497">
        <f>IF([3]Entry!$G$1500="","",[3]Entry!$G$1500)</f>
        <v/>
      </c>
      <c r="AK1497">
        <f>IF([3]Entry!$K$1500="","",[3]Entry!$K$1500)</f>
        <v/>
      </c>
      <c r="AL1497">
        <f>IF([3]Entry!$L$1500="","",[3]Entry!$L$1500)</f>
        <v/>
      </c>
      <c r="AM1497">
        <f>IF([3]Entry!$M$1500="","",[3]Entry!$M$1500)</f>
        <v/>
      </c>
      <c r="AN1497">
        <f>IF([3]Entry!$N$1500="","",[3]Entry!$N$1500)</f>
        <v/>
      </c>
      <c r="AO1497">
        <f>IF([3]Entry!$R$1500="","",[3]Entry!$R$1500)</f>
        <v/>
      </c>
    </row>
    <row r="1498">
      <c r="U1498">
        <f>IF([2]Baskol!$B$1501="","",[2]Baskol!$B$1501)</f>
        <v/>
      </c>
      <c r="V1498">
        <f>IF([2]Baskol!$C$1501="","",[2]Baskol!$C$1501)</f>
        <v/>
      </c>
      <c r="W1498">
        <f>IF([2]Baskol!$D$1501="","",[2]Baskol!$D$1501)</f>
        <v/>
      </c>
      <c r="X1498">
        <f>IF([2]Baskol!$E$1501="","",[2]Baskol!$E$1501)</f>
        <v/>
      </c>
      <c r="Y1498">
        <f>IF([2]Baskol!$G$1501="","",[2]Baskol!$G$1501)</f>
        <v/>
      </c>
      <c r="Z1498">
        <f>IF([2]Baskol!$I$1501="","",[2]Baskol!$I$1501)</f>
        <v/>
      </c>
      <c r="AA1498">
        <f>IF([2]Baskol!$J$1501="","",[2]Baskol!$J$1501)</f>
        <v/>
      </c>
      <c r="AB1498">
        <f>IF([2]Baskol!$K$1501="","",[2]Baskol!$K$1501)</f>
        <v/>
      </c>
      <c r="AC1498">
        <f>IF([2]Baskol!$L$1501="","",[2]Baskol!$L$1501)</f>
        <v/>
      </c>
      <c r="AD1498">
        <f>IF([2]Baskol!$N$1501="","",[2]Baskol!$N$1501)</f>
        <v/>
      </c>
      <c r="AE1498">
        <f>IF([2]Baskol!$O$1501="","",[2]Baskol!$O$1501)</f>
        <v/>
      </c>
      <c r="AG1498">
        <f>IF([3]Entry!$C$1501="","",[3]Entry!$C$1501)</f>
        <v/>
      </c>
      <c r="AH1498">
        <f>IF([3]Entry!$D$1501="","",[3]Entry!$D$1501)</f>
        <v/>
      </c>
      <c r="AI1498">
        <f>IF([3]Entry!$E$1501="","",[3]Entry!$E$1501)</f>
        <v/>
      </c>
      <c r="AJ1498">
        <f>IF([3]Entry!$G$1501="","",[3]Entry!$G$1501)</f>
        <v/>
      </c>
      <c r="AK1498">
        <f>IF([3]Entry!$K$1501="","",[3]Entry!$K$1501)</f>
        <v/>
      </c>
      <c r="AL1498">
        <f>IF([3]Entry!$L$1501="","",[3]Entry!$L$1501)</f>
        <v/>
      </c>
      <c r="AM1498">
        <f>IF([3]Entry!$M$1501="","",[3]Entry!$M$1501)</f>
        <v/>
      </c>
      <c r="AN1498">
        <f>IF([3]Entry!$N$1501="","",[3]Entry!$N$1501)</f>
        <v/>
      </c>
      <c r="AO1498">
        <f>IF([3]Entry!$R$1501="","",[3]Entry!$R$1501)</f>
        <v/>
      </c>
    </row>
    <row r="1499">
      <c r="U1499">
        <f>IF([2]Baskol!$B$1502="","",[2]Baskol!$B$1502)</f>
        <v/>
      </c>
      <c r="V1499">
        <f>IF([2]Baskol!$C$1502="","",[2]Baskol!$C$1502)</f>
        <v/>
      </c>
      <c r="W1499">
        <f>IF([2]Baskol!$D$1502="","",[2]Baskol!$D$1502)</f>
        <v/>
      </c>
      <c r="X1499">
        <f>IF([2]Baskol!$E$1502="","",[2]Baskol!$E$1502)</f>
        <v/>
      </c>
      <c r="Y1499">
        <f>IF([2]Baskol!$G$1502="","",[2]Baskol!$G$1502)</f>
        <v/>
      </c>
      <c r="Z1499">
        <f>IF([2]Baskol!$I$1502="","",[2]Baskol!$I$1502)</f>
        <v/>
      </c>
      <c r="AA1499">
        <f>IF([2]Baskol!$J$1502="","",[2]Baskol!$J$1502)</f>
        <v/>
      </c>
      <c r="AB1499">
        <f>IF([2]Baskol!$K$1502="","",[2]Baskol!$K$1502)</f>
        <v/>
      </c>
      <c r="AC1499">
        <f>IF([2]Baskol!$L$1502="","",[2]Baskol!$L$1502)</f>
        <v/>
      </c>
      <c r="AD1499">
        <f>IF([2]Baskol!$N$1502="","",[2]Baskol!$N$1502)</f>
        <v/>
      </c>
      <c r="AE1499">
        <f>IF([2]Baskol!$O$1502="","",[2]Baskol!$O$1502)</f>
        <v/>
      </c>
      <c r="AG1499">
        <f>IF([3]Entry!$C$1502="","",[3]Entry!$C$1502)</f>
        <v/>
      </c>
      <c r="AH1499">
        <f>IF([3]Entry!$D$1502="","",[3]Entry!$D$1502)</f>
        <v/>
      </c>
      <c r="AI1499">
        <f>IF([3]Entry!$E$1502="","",[3]Entry!$E$1502)</f>
        <v/>
      </c>
      <c r="AJ1499">
        <f>IF([3]Entry!$G$1502="","",[3]Entry!$G$1502)</f>
        <v/>
      </c>
      <c r="AK1499">
        <f>IF([3]Entry!$K$1502="","",[3]Entry!$K$1502)</f>
        <v/>
      </c>
      <c r="AL1499">
        <f>IF([3]Entry!$L$1502="","",[3]Entry!$L$1502)</f>
        <v/>
      </c>
      <c r="AM1499">
        <f>IF([3]Entry!$M$1502="","",[3]Entry!$M$1502)</f>
        <v/>
      </c>
      <c r="AN1499">
        <f>IF([3]Entry!$N$1502="","",[3]Entry!$N$1502)</f>
        <v/>
      </c>
      <c r="AO1499">
        <f>IF([3]Entry!$R$1502="","",[3]Entry!$R$1502)</f>
        <v/>
      </c>
    </row>
    <row r="1500">
      <c r="U1500">
        <f>IF([2]Baskol!$B$1503="","",[2]Baskol!$B$1503)</f>
        <v/>
      </c>
      <c r="V1500">
        <f>IF([2]Baskol!$C$1503="","",[2]Baskol!$C$1503)</f>
        <v/>
      </c>
      <c r="W1500">
        <f>IF([2]Baskol!$D$1503="","",[2]Baskol!$D$1503)</f>
        <v/>
      </c>
      <c r="X1500">
        <f>IF([2]Baskol!$E$1503="","",[2]Baskol!$E$1503)</f>
        <v/>
      </c>
      <c r="Y1500">
        <f>IF([2]Baskol!$G$1503="","",[2]Baskol!$G$1503)</f>
        <v/>
      </c>
      <c r="Z1500">
        <f>IF([2]Baskol!$I$1503="","",[2]Baskol!$I$1503)</f>
        <v/>
      </c>
      <c r="AA1500">
        <f>IF([2]Baskol!$J$1503="","",[2]Baskol!$J$1503)</f>
        <v/>
      </c>
      <c r="AB1500">
        <f>IF([2]Baskol!$K$1503="","",[2]Baskol!$K$1503)</f>
        <v/>
      </c>
      <c r="AC1500">
        <f>IF([2]Baskol!$L$1503="","",[2]Baskol!$L$1503)</f>
        <v/>
      </c>
      <c r="AD1500">
        <f>IF([2]Baskol!$N$1503="","",[2]Baskol!$N$1503)</f>
        <v/>
      </c>
      <c r="AE1500">
        <f>IF([2]Baskol!$O$1503="","",[2]Baskol!$O$1503)</f>
        <v/>
      </c>
      <c r="AG1500">
        <f>IF([3]Entry!$C$1503="","",[3]Entry!$C$1503)</f>
        <v/>
      </c>
      <c r="AH1500">
        <f>IF([3]Entry!$D$1503="","",[3]Entry!$D$1503)</f>
        <v/>
      </c>
      <c r="AI1500">
        <f>IF([3]Entry!$E$1503="","",[3]Entry!$E$1503)</f>
        <v/>
      </c>
      <c r="AJ1500">
        <f>IF([3]Entry!$G$1503="","",[3]Entry!$G$1503)</f>
        <v/>
      </c>
      <c r="AK1500">
        <f>IF([3]Entry!$K$1503="","",[3]Entry!$K$1503)</f>
        <v/>
      </c>
      <c r="AL1500">
        <f>IF([3]Entry!$L$1503="","",[3]Entry!$L$1503)</f>
        <v/>
      </c>
      <c r="AM1500">
        <f>IF([3]Entry!$M$1503="","",[3]Entry!$M$1503)</f>
        <v/>
      </c>
      <c r="AN1500">
        <f>IF([3]Entry!$N$1503="","",[3]Entry!$N$1503)</f>
        <v/>
      </c>
      <c r="AO1500">
        <f>IF([3]Entry!$R$1503="","",[3]Entry!$R$1503)</f>
        <v/>
      </c>
    </row>
    <row r="1501">
      <c r="U1501">
        <f>IF([2]Baskol!$B$1504="","",[2]Baskol!$B$1504)</f>
        <v/>
      </c>
      <c r="V1501">
        <f>IF([2]Baskol!$C$1504="","",[2]Baskol!$C$1504)</f>
        <v/>
      </c>
      <c r="W1501">
        <f>IF([2]Baskol!$D$1504="","",[2]Baskol!$D$1504)</f>
        <v/>
      </c>
      <c r="X1501">
        <f>IF([2]Baskol!$E$1504="","",[2]Baskol!$E$1504)</f>
        <v/>
      </c>
      <c r="Y1501">
        <f>IF([2]Baskol!$G$1504="","",[2]Baskol!$G$1504)</f>
        <v/>
      </c>
      <c r="Z1501">
        <f>IF([2]Baskol!$I$1504="","",[2]Baskol!$I$1504)</f>
        <v/>
      </c>
      <c r="AA1501">
        <f>IF([2]Baskol!$J$1504="","",[2]Baskol!$J$1504)</f>
        <v/>
      </c>
      <c r="AB1501">
        <f>IF([2]Baskol!$K$1504="","",[2]Baskol!$K$1504)</f>
        <v/>
      </c>
      <c r="AC1501">
        <f>IF([2]Baskol!$L$1504="","",[2]Baskol!$L$1504)</f>
        <v/>
      </c>
      <c r="AD1501">
        <f>IF([2]Baskol!$N$1504="","",[2]Baskol!$N$1504)</f>
        <v/>
      </c>
      <c r="AE1501">
        <f>IF([2]Baskol!$O$1504="","",[2]Baskol!$O$1504)</f>
        <v/>
      </c>
      <c r="AG1501">
        <f>IF([3]Entry!$C$1504="","",[3]Entry!$C$1504)</f>
        <v/>
      </c>
      <c r="AH1501">
        <f>IF([3]Entry!$D$1504="","",[3]Entry!$D$1504)</f>
        <v/>
      </c>
      <c r="AI1501">
        <f>IF([3]Entry!$E$1504="","",[3]Entry!$E$1504)</f>
        <v/>
      </c>
      <c r="AJ1501">
        <f>IF([3]Entry!$G$1504="","",[3]Entry!$G$1504)</f>
        <v/>
      </c>
      <c r="AK1501">
        <f>IF([3]Entry!$K$1504="","",[3]Entry!$K$1504)</f>
        <v/>
      </c>
      <c r="AL1501">
        <f>IF([3]Entry!$L$1504="","",[3]Entry!$L$1504)</f>
        <v/>
      </c>
      <c r="AM1501">
        <f>IF([3]Entry!$M$1504="","",[3]Entry!$M$1504)</f>
        <v/>
      </c>
      <c r="AN1501">
        <f>IF([3]Entry!$N$1504="","",[3]Entry!$N$1504)</f>
        <v/>
      </c>
      <c r="AO1501">
        <f>IF([3]Entry!$R$1504="","",[3]Entry!$R$1504)</f>
        <v/>
      </c>
    </row>
    <row r="1502">
      <c r="U1502">
        <f>IF([2]Baskol!$B$1505="","",[2]Baskol!$B$1505)</f>
        <v/>
      </c>
      <c r="V1502">
        <f>IF([2]Baskol!$C$1505="","",[2]Baskol!$C$1505)</f>
        <v/>
      </c>
      <c r="W1502">
        <f>IF([2]Baskol!$D$1505="","",[2]Baskol!$D$1505)</f>
        <v/>
      </c>
      <c r="X1502">
        <f>IF([2]Baskol!$E$1505="","",[2]Baskol!$E$1505)</f>
        <v/>
      </c>
      <c r="Y1502">
        <f>IF([2]Baskol!$G$1505="","",[2]Baskol!$G$1505)</f>
        <v/>
      </c>
      <c r="Z1502">
        <f>IF([2]Baskol!$I$1505="","",[2]Baskol!$I$1505)</f>
        <v/>
      </c>
      <c r="AA1502">
        <f>IF([2]Baskol!$J$1505="","",[2]Baskol!$J$1505)</f>
        <v/>
      </c>
      <c r="AB1502">
        <f>IF([2]Baskol!$K$1505="","",[2]Baskol!$K$1505)</f>
        <v/>
      </c>
      <c r="AC1502">
        <f>IF([2]Baskol!$L$1505="","",[2]Baskol!$L$1505)</f>
        <v/>
      </c>
      <c r="AD1502">
        <f>IF([2]Baskol!$N$1505="","",[2]Baskol!$N$1505)</f>
        <v/>
      </c>
      <c r="AE1502">
        <f>IF([2]Baskol!$O$1505="","",[2]Baskol!$O$1505)</f>
        <v/>
      </c>
      <c r="AG1502">
        <f>IF([3]Entry!$C$1505="","",[3]Entry!$C$1505)</f>
        <v/>
      </c>
      <c r="AH1502">
        <f>IF([3]Entry!$D$1505="","",[3]Entry!$D$1505)</f>
        <v/>
      </c>
      <c r="AI1502">
        <f>IF([3]Entry!$E$1505="","",[3]Entry!$E$1505)</f>
        <v/>
      </c>
      <c r="AJ1502">
        <f>IF([3]Entry!$G$1505="","",[3]Entry!$G$1505)</f>
        <v/>
      </c>
      <c r="AK1502">
        <f>IF([3]Entry!$K$1505="","",[3]Entry!$K$1505)</f>
        <v/>
      </c>
      <c r="AL1502">
        <f>IF([3]Entry!$L$1505="","",[3]Entry!$L$1505)</f>
        <v/>
      </c>
      <c r="AM1502">
        <f>IF([3]Entry!$M$1505="","",[3]Entry!$M$1505)</f>
        <v/>
      </c>
      <c r="AN1502">
        <f>IF([3]Entry!$N$1505="","",[3]Entry!$N$1505)</f>
        <v/>
      </c>
      <c r="AO1502">
        <f>IF([3]Entry!$R$1505="","",[3]Entry!$R$1505)</f>
        <v/>
      </c>
    </row>
    <row r="1503">
      <c r="U1503">
        <f>IF([2]Baskol!$B$1506="","",[2]Baskol!$B$1506)</f>
        <v/>
      </c>
      <c r="V1503">
        <f>IF([2]Baskol!$C$1506="","",[2]Baskol!$C$1506)</f>
        <v/>
      </c>
      <c r="W1503">
        <f>IF([2]Baskol!$D$1506="","",[2]Baskol!$D$1506)</f>
        <v/>
      </c>
      <c r="X1503">
        <f>IF([2]Baskol!$E$1506="","",[2]Baskol!$E$1506)</f>
        <v/>
      </c>
      <c r="Y1503">
        <f>IF([2]Baskol!$G$1506="","",[2]Baskol!$G$1506)</f>
        <v/>
      </c>
      <c r="Z1503">
        <f>IF([2]Baskol!$I$1506="","",[2]Baskol!$I$1506)</f>
        <v/>
      </c>
      <c r="AA1503">
        <f>IF([2]Baskol!$J$1506="","",[2]Baskol!$J$1506)</f>
        <v/>
      </c>
      <c r="AB1503">
        <f>IF([2]Baskol!$K$1506="","",[2]Baskol!$K$1506)</f>
        <v/>
      </c>
      <c r="AC1503">
        <f>IF([2]Baskol!$L$1506="","",[2]Baskol!$L$1506)</f>
        <v/>
      </c>
      <c r="AD1503">
        <f>IF([2]Baskol!$N$1506="","",[2]Baskol!$N$1506)</f>
        <v/>
      </c>
      <c r="AE1503">
        <f>IF([2]Baskol!$O$1506="","",[2]Baskol!$O$1506)</f>
        <v/>
      </c>
      <c r="AG1503">
        <f>IF([3]Entry!$C$1506="","",[3]Entry!$C$1506)</f>
        <v/>
      </c>
      <c r="AH1503">
        <f>IF([3]Entry!$D$1506="","",[3]Entry!$D$1506)</f>
        <v/>
      </c>
      <c r="AI1503">
        <f>IF([3]Entry!$E$1506="","",[3]Entry!$E$1506)</f>
        <v/>
      </c>
      <c r="AJ1503">
        <f>IF([3]Entry!$G$1506="","",[3]Entry!$G$1506)</f>
        <v/>
      </c>
      <c r="AK1503">
        <f>IF([3]Entry!$K$1506="","",[3]Entry!$K$1506)</f>
        <v/>
      </c>
      <c r="AL1503">
        <f>IF([3]Entry!$L$1506="","",[3]Entry!$L$1506)</f>
        <v/>
      </c>
      <c r="AM1503">
        <f>IF([3]Entry!$M$1506="","",[3]Entry!$M$1506)</f>
        <v/>
      </c>
      <c r="AN1503">
        <f>IF([3]Entry!$N$1506="","",[3]Entry!$N$1506)</f>
        <v/>
      </c>
      <c r="AO1503">
        <f>IF([3]Entry!$R$1506="","",[3]Entry!$R$1506)</f>
        <v/>
      </c>
    </row>
    <row r="1504">
      <c r="U1504">
        <f>IF([2]Baskol!$B$1507="","",[2]Baskol!$B$1507)</f>
        <v/>
      </c>
      <c r="V1504">
        <f>IF([2]Baskol!$C$1507="","",[2]Baskol!$C$1507)</f>
        <v/>
      </c>
      <c r="W1504">
        <f>IF([2]Baskol!$D$1507="","",[2]Baskol!$D$1507)</f>
        <v/>
      </c>
      <c r="X1504">
        <f>IF([2]Baskol!$E$1507="","",[2]Baskol!$E$1507)</f>
        <v/>
      </c>
      <c r="Y1504">
        <f>IF([2]Baskol!$G$1507="","",[2]Baskol!$G$1507)</f>
        <v/>
      </c>
      <c r="Z1504">
        <f>IF([2]Baskol!$I$1507="","",[2]Baskol!$I$1507)</f>
        <v/>
      </c>
      <c r="AA1504">
        <f>IF([2]Baskol!$J$1507="","",[2]Baskol!$J$1507)</f>
        <v/>
      </c>
      <c r="AB1504">
        <f>IF([2]Baskol!$K$1507="","",[2]Baskol!$K$1507)</f>
        <v/>
      </c>
      <c r="AC1504">
        <f>IF([2]Baskol!$L$1507="","",[2]Baskol!$L$1507)</f>
        <v/>
      </c>
      <c r="AD1504">
        <f>IF([2]Baskol!$N$1507="","",[2]Baskol!$N$1507)</f>
        <v/>
      </c>
      <c r="AE1504">
        <f>IF([2]Baskol!$O$1507="","",[2]Baskol!$O$1507)</f>
        <v/>
      </c>
      <c r="AG1504">
        <f>IF([3]Entry!$C$1507="","",[3]Entry!$C$1507)</f>
        <v/>
      </c>
      <c r="AH1504">
        <f>IF([3]Entry!$D$1507="","",[3]Entry!$D$1507)</f>
        <v/>
      </c>
      <c r="AI1504">
        <f>IF([3]Entry!$E$1507="","",[3]Entry!$E$1507)</f>
        <v/>
      </c>
      <c r="AJ1504">
        <f>IF([3]Entry!$G$1507="","",[3]Entry!$G$1507)</f>
        <v/>
      </c>
      <c r="AK1504">
        <f>IF([3]Entry!$K$1507="","",[3]Entry!$K$1507)</f>
        <v/>
      </c>
      <c r="AL1504">
        <f>IF([3]Entry!$L$1507="","",[3]Entry!$L$1507)</f>
        <v/>
      </c>
      <c r="AM1504">
        <f>IF([3]Entry!$M$1507="","",[3]Entry!$M$1507)</f>
        <v/>
      </c>
      <c r="AN1504">
        <f>IF([3]Entry!$N$1507="","",[3]Entry!$N$1507)</f>
        <v/>
      </c>
      <c r="AO1504">
        <f>IF([3]Entry!$R$1507="","",[3]Entry!$R$1507)</f>
        <v/>
      </c>
    </row>
    <row r="1505">
      <c r="U1505">
        <f>IF([2]Baskol!$B$1508="","",[2]Baskol!$B$1508)</f>
        <v/>
      </c>
      <c r="V1505">
        <f>IF([2]Baskol!$C$1508="","",[2]Baskol!$C$1508)</f>
        <v/>
      </c>
      <c r="W1505">
        <f>IF([2]Baskol!$D$1508="","",[2]Baskol!$D$1508)</f>
        <v/>
      </c>
      <c r="X1505">
        <f>IF([2]Baskol!$E$1508="","",[2]Baskol!$E$1508)</f>
        <v/>
      </c>
      <c r="Y1505">
        <f>IF([2]Baskol!$G$1508="","",[2]Baskol!$G$1508)</f>
        <v/>
      </c>
      <c r="Z1505">
        <f>IF([2]Baskol!$I$1508="","",[2]Baskol!$I$1508)</f>
        <v/>
      </c>
      <c r="AA1505">
        <f>IF([2]Baskol!$J$1508="","",[2]Baskol!$J$1508)</f>
        <v/>
      </c>
      <c r="AB1505">
        <f>IF([2]Baskol!$K$1508="","",[2]Baskol!$K$1508)</f>
        <v/>
      </c>
      <c r="AC1505">
        <f>IF([2]Baskol!$L$1508="","",[2]Baskol!$L$1508)</f>
        <v/>
      </c>
      <c r="AD1505">
        <f>IF([2]Baskol!$N$1508="","",[2]Baskol!$N$1508)</f>
        <v/>
      </c>
      <c r="AE1505">
        <f>IF([2]Baskol!$O$1508="","",[2]Baskol!$O$1508)</f>
        <v/>
      </c>
      <c r="AG1505">
        <f>IF([3]Entry!$C$1508="","",[3]Entry!$C$1508)</f>
        <v/>
      </c>
      <c r="AH1505">
        <f>IF([3]Entry!$D$1508="","",[3]Entry!$D$1508)</f>
        <v/>
      </c>
      <c r="AI1505">
        <f>IF([3]Entry!$E$1508="","",[3]Entry!$E$1508)</f>
        <v/>
      </c>
      <c r="AJ1505">
        <f>IF([3]Entry!$G$1508="","",[3]Entry!$G$1508)</f>
        <v/>
      </c>
      <c r="AK1505">
        <f>IF([3]Entry!$K$1508="","",[3]Entry!$K$1508)</f>
        <v/>
      </c>
      <c r="AL1505">
        <f>IF([3]Entry!$L$1508="","",[3]Entry!$L$1508)</f>
        <v/>
      </c>
      <c r="AM1505">
        <f>IF([3]Entry!$M$1508="","",[3]Entry!$M$1508)</f>
        <v/>
      </c>
      <c r="AN1505">
        <f>IF([3]Entry!$N$1508="","",[3]Entry!$N$1508)</f>
        <v/>
      </c>
      <c r="AO1505">
        <f>IF([3]Entry!$R$1508="","",[3]Entry!$R$1508)</f>
        <v/>
      </c>
    </row>
    <row r="1506">
      <c r="U1506">
        <f>IF([2]Baskol!$B$1509="","",[2]Baskol!$B$1509)</f>
        <v/>
      </c>
      <c r="V1506">
        <f>IF([2]Baskol!$C$1509="","",[2]Baskol!$C$1509)</f>
        <v/>
      </c>
      <c r="W1506">
        <f>IF([2]Baskol!$D$1509="","",[2]Baskol!$D$1509)</f>
        <v/>
      </c>
      <c r="X1506">
        <f>IF([2]Baskol!$E$1509="","",[2]Baskol!$E$1509)</f>
        <v/>
      </c>
      <c r="Y1506">
        <f>IF([2]Baskol!$G$1509="","",[2]Baskol!$G$1509)</f>
        <v/>
      </c>
      <c r="Z1506">
        <f>IF([2]Baskol!$I$1509="","",[2]Baskol!$I$1509)</f>
        <v/>
      </c>
      <c r="AA1506">
        <f>IF([2]Baskol!$J$1509="","",[2]Baskol!$J$1509)</f>
        <v/>
      </c>
      <c r="AB1506">
        <f>IF([2]Baskol!$K$1509="","",[2]Baskol!$K$1509)</f>
        <v/>
      </c>
      <c r="AC1506">
        <f>IF([2]Baskol!$L$1509="","",[2]Baskol!$L$1509)</f>
        <v/>
      </c>
      <c r="AD1506">
        <f>IF([2]Baskol!$N$1509="","",[2]Baskol!$N$1509)</f>
        <v/>
      </c>
      <c r="AE1506">
        <f>IF([2]Baskol!$O$1509="","",[2]Baskol!$O$1509)</f>
        <v/>
      </c>
      <c r="AG1506">
        <f>IF([3]Entry!$C$1509="","",[3]Entry!$C$1509)</f>
        <v/>
      </c>
      <c r="AH1506">
        <f>IF([3]Entry!$D$1509="","",[3]Entry!$D$1509)</f>
        <v/>
      </c>
      <c r="AI1506">
        <f>IF([3]Entry!$E$1509="","",[3]Entry!$E$1509)</f>
        <v/>
      </c>
      <c r="AJ1506">
        <f>IF([3]Entry!$G$1509="","",[3]Entry!$G$1509)</f>
        <v/>
      </c>
      <c r="AK1506">
        <f>IF([3]Entry!$K$1509="","",[3]Entry!$K$1509)</f>
        <v/>
      </c>
      <c r="AL1506">
        <f>IF([3]Entry!$L$1509="","",[3]Entry!$L$1509)</f>
        <v/>
      </c>
      <c r="AM1506">
        <f>IF([3]Entry!$M$1509="","",[3]Entry!$M$1509)</f>
        <v/>
      </c>
      <c r="AN1506">
        <f>IF([3]Entry!$N$1509="","",[3]Entry!$N$1509)</f>
        <v/>
      </c>
      <c r="AO1506">
        <f>IF([3]Entry!$R$1509="","",[3]Entry!$R$1509)</f>
        <v/>
      </c>
    </row>
    <row r="1507">
      <c r="U1507">
        <f>IF([2]Baskol!$B$1510="","",[2]Baskol!$B$1510)</f>
        <v/>
      </c>
      <c r="V1507">
        <f>IF([2]Baskol!$C$1510="","",[2]Baskol!$C$1510)</f>
        <v/>
      </c>
      <c r="W1507">
        <f>IF([2]Baskol!$D$1510="","",[2]Baskol!$D$1510)</f>
        <v/>
      </c>
      <c r="X1507">
        <f>IF([2]Baskol!$E$1510="","",[2]Baskol!$E$1510)</f>
        <v/>
      </c>
      <c r="Y1507">
        <f>IF([2]Baskol!$G$1510="","",[2]Baskol!$G$1510)</f>
        <v/>
      </c>
      <c r="Z1507">
        <f>IF([2]Baskol!$I$1510="","",[2]Baskol!$I$1510)</f>
        <v/>
      </c>
      <c r="AA1507">
        <f>IF([2]Baskol!$J$1510="","",[2]Baskol!$J$1510)</f>
        <v/>
      </c>
      <c r="AB1507">
        <f>IF([2]Baskol!$K$1510="","",[2]Baskol!$K$1510)</f>
        <v/>
      </c>
      <c r="AC1507">
        <f>IF([2]Baskol!$L$1510="","",[2]Baskol!$L$1510)</f>
        <v/>
      </c>
      <c r="AD1507">
        <f>IF([2]Baskol!$N$1510="","",[2]Baskol!$N$1510)</f>
        <v/>
      </c>
      <c r="AE1507">
        <f>IF([2]Baskol!$O$1510="","",[2]Baskol!$O$1510)</f>
        <v/>
      </c>
      <c r="AG1507">
        <f>IF([3]Entry!$C$1510="","",[3]Entry!$C$1510)</f>
        <v/>
      </c>
      <c r="AH1507">
        <f>IF([3]Entry!$D$1510="","",[3]Entry!$D$1510)</f>
        <v/>
      </c>
      <c r="AI1507">
        <f>IF([3]Entry!$E$1510="","",[3]Entry!$E$1510)</f>
        <v/>
      </c>
      <c r="AJ1507">
        <f>IF([3]Entry!$G$1510="","",[3]Entry!$G$1510)</f>
        <v/>
      </c>
      <c r="AK1507">
        <f>IF([3]Entry!$K$1510="","",[3]Entry!$K$1510)</f>
        <v/>
      </c>
      <c r="AL1507">
        <f>IF([3]Entry!$L$1510="","",[3]Entry!$L$1510)</f>
        <v/>
      </c>
      <c r="AM1507">
        <f>IF([3]Entry!$M$1510="","",[3]Entry!$M$1510)</f>
        <v/>
      </c>
      <c r="AN1507">
        <f>IF([3]Entry!$N$1510="","",[3]Entry!$N$1510)</f>
        <v/>
      </c>
      <c r="AO1507">
        <f>IF([3]Entry!$R$1510="","",[3]Entry!$R$1510)</f>
        <v/>
      </c>
    </row>
    <row r="1508">
      <c r="U1508">
        <f>IF([2]Baskol!$B$1511="","",[2]Baskol!$B$1511)</f>
        <v/>
      </c>
      <c r="V1508">
        <f>IF([2]Baskol!$C$1511="","",[2]Baskol!$C$1511)</f>
        <v/>
      </c>
      <c r="W1508">
        <f>IF([2]Baskol!$D$1511="","",[2]Baskol!$D$1511)</f>
        <v/>
      </c>
      <c r="X1508">
        <f>IF([2]Baskol!$E$1511="","",[2]Baskol!$E$1511)</f>
        <v/>
      </c>
      <c r="Y1508">
        <f>IF([2]Baskol!$G$1511="","",[2]Baskol!$G$1511)</f>
        <v/>
      </c>
      <c r="Z1508">
        <f>IF([2]Baskol!$I$1511="","",[2]Baskol!$I$1511)</f>
        <v/>
      </c>
      <c r="AA1508">
        <f>IF([2]Baskol!$J$1511="","",[2]Baskol!$J$1511)</f>
        <v/>
      </c>
      <c r="AB1508">
        <f>IF([2]Baskol!$K$1511="","",[2]Baskol!$K$1511)</f>
        <v/>
      </c>
      <c r="AC1508">
        <f>IF([2]Baskol!$L$1511="","",[2]Baskol!$L$1511)</f>
        <v/>
      </c>
      <c r="AD1508">
        <f>IF([2]Baskol!$N$1511="","",[2]Baskol!$N$1511)</f>
        <v/>
      </c>
      <c r="AE1508">
        <f>IF([2]Baskol!$O$1511="","",[2]Baskol!$O$1511)</f>
        <v/>
      </c>
      <c r="AG1508">
        <f>IF([3]Entry!$C$1511="","",[3]Entry!$C$1511)</f>
        <v/>
      </c>
      <c r="AH1508">
        <f>IF([3]Entry!$D$1511="","",[3]Entry!$D$1511)</f>
        <v/>
      </c>
      <c r="AI1508">
        <f>IF([3]Entry!$E$1511="","",[3]Entry!$E$1511)</f>
        <v/>
      </c>
      <c r="AJ1508">
        <f>IF([3]Entry!$G$1511="","",[3]Entry!$G$1511)</f>
        <v/>
      </c>
      <c r="AK1508">
        <f>IF([3]Entry!$K$1511="","",[3]Entry!$K$1511)</f>
        <v/>
      </c>
      <c r="AL1508">
        <f>IF([3]Entry!$L$1511="","",[3]Entry!$L$1511)</f>
        <v/>
      </c>
      <c r="AM1508">
        <f>IF([3]Entry!$M$1511="","",[3]Entry!$M$1511)</f>
        <v/>
      </c>
      <c r="AN1508">
        <f>IF([3]Entry!$N$1511="","",[3]Entry!$N$1511)</f>
        <v/>
      </c>
      <c r="AO1508">
        <f>IF([3]Entry!$R$1511="","",[3]Entry!$R$1511)</f>
        <v/>
      </c>
    </row>
    <row r="1509">
      <c r="U1509">
        <f>IF([2]Baskol!$B$1512="","",[2]Baskol!$B$1512)</f>
        <v/>
      </c>
      <c r="V1509">
        <f>IF([2]Baskol!$C$1512="","",[2]Baskol!$C$1512)</f>
        <v/>
      </c>
      <c r="W1509">
        <f>IF([2]Baskol!$D$1512="","",[2]Baskol!$D$1512)</f>
        <v/>
      </c>
      <c r="X1509">
        <f>IF([2]Baskol!$E$1512="","",[2]Baskol!$E$1512)</f>
        <v/>
      </c>
      <c r="Y1509">
        <f>IF([2]Baskol!$G$1512="","",[2]Baskol!$G$1512)</f>
        <v/>
      </c>
      <c r="Z1509">
        <f>IF([2]Baskol!$I$1512="","",[2]Baskol!$I$1512)</f>
        <v/>
      </c>
      <c r="AA1509">
        <f>IF([2]Baskol!$J$1512="","",[2]Baskol!$J$1512)</f>
        <v/>
      </c>
      <c r="AB1509">
        <f>IF([2]Baskol!$K$1512="","",[2]Baskol!$K$1512)</f>
        <v/>
      </c>
      <c r="AC1509">
        <f>IF([2]Baskol!$L$1512="","",[2]Baskol!$L$1512)</f>
        <v/>
      </c>
      <c r="AD1509">
        <f>IF([2]Baskol!$N$1512="","",[2]Baskol!$N$1512)</f>
        <v/>
      </c>
      <c r="AE1509">
        <f>IF([2]Baskol!$O$1512="","",[2]Baskol!$O$1512)</f>
        <v/>
      </c>
      <c r="AG1509">
        <f>IF([3]Entry!$C$1512="","",[3]Entry!$C$1512)</f>
        <v/>
      </c>
      <c r="AH1509">
        <f>IF([3]Entry!$D$1512="","",[3]Entry!$D$1512)</f>
        <v/>
      </c>
      <c r="AI1509">
        <f>IF([3]Entry!$E$1512="","",[3]Entry!$E$1512)</f>
        <v/>
      </c>
      <c r="AJ1509">
        <f>IF([3]Entry!$G$1512="","",[3]Entry!$G$1512)</f>
        <v/>
      </c>
      <c r="AK1509">
        <f>IF([3]Entry!$K$1512="","",[3]Entry!$K$1512)</f>
        <v/>
      </c>
      <c r="AL1509">
        <f>IF([3]Entry!$L$1512="","",[3]Entry!$L$1512)</f>
        <v/>
      </c>
      <c r="AM1509">
        <f>IF([3]Entry!$M$1512="","",[3]Entry!$M$1512)</f>
        <v/>
      </c>
      <c r="AN1509">
        <f>IF([3]Entry!$N$1512="","",[3]Entry!$N$1512)</f>
        <v/>
      </c>
      <c r="AO1509">
        <f>IF([3]Entry!$R$1512="","",[3]Entry!$R$1512)</f>
        <v/>
      </c>
    </row>
    <row r="1510">
      <c r="U1510">
        <f>IF([2]Baskol!$B$1513="","",[2]Baskol!$B$1513)</f>
        <v/>
      </c>
      <c r="V1510">
        <f>IF([2]Baskol!$C$1513="","",[2]Baskol!$C$1513)</f>
        <v/>
      </c>
      <c r="W1510">
        <f>IF([2]Baskol!$D$1513="","",[2]Baskol!$D$1513)</f>
        <v/>
      </c>
      <c r="X1510">
        <f>IF([2]Baskol!$E$1513="","",[2]Baskol!$E$1513)</f>
        <v/>
      </c>
      <c r="Y1510">
        <f>IF([2]Baskol!$G$1513="","",[2]Baskol!$G$1513)</f>
        <v/>
      </c>
      <c r="Z1510">
        <f>IF([2]Baskol!$I$1513="","",[2]Baskol!$I$1513)</f>
        <v/>
      </c>
      <c r="AA1510">
        <f>IF([2]Baskol!$J$1513="","",[2]Baskol!$J$1513)</f>
        <v/>
      </c>
      <c r="AB1510">
        <f>IF([2]Baskol!$K$1513="","",[2]Baskol!$K$1513)</f>
        <v/>
      </c>
      <c r="AC1510">
        <f>IF([2]Baskol!$L$1513="","",[2]Baskol!$L$1513)</f>
        <v/>
      </c>
      <c r="AD1510">
        <f>IF([2]Baskol!$N$1513="","",[2]Baskol!$N$1513)</f>
        <v/>
      </c>
      <c r="AE1510">
        <f>IF([2]Baskol!$O$1513="","",[2]Baskol!$O$1513)</f>
        <v/>
      </c>
      <c r="AG1510">
        <f>IF([3]Entry!$C$1513="","",[3]Entry!$C$1513)</f>
        <v/>
      </c>
      <c r="AH1510">
        <f>IF([3]Entry!$D$1513="","",[3]Entry!$D$1513)</f>
        <v/>
      </c>
      <c r="AI1510">
        <f>IF([3]Entry!$E$1513="","",[3]Entry!$E$1513)</f>
        <v/>
      </c>
      <c r="AJ1510">
        <f>IF([3]Entry!$G$1513="","",[3]Entry!$G$1513)</f>
        <v/>
      </c>
      <c r="AK1510">
        <f>IF([3]Entry!$K$1513="","",[3]Entry!$K$1513)</f>
        <v/>
      </c>
      <c r="AL1510">
        <f>IF([3]Entry!$L$1513="","",[3]Entry!$L$1513)</f>
        <v/>
      </c>
      <c r="AM1510">
        <f>IF([3]Entry!$M$1513="","",[3]Entry!$M$1513)</f>
        <v/>
      </c>
      <c r="AN1510">
        <f>IF([3]Entry!$N$1513="","",[3]Entry!$N$1513)</f>
        <v/>
      </c>
      <c r="AO1510">
        <f>IF([3]Entry!$R$1513="","",[3]Entry!$R$1513)</f>
        <v/>
      </c>
    </row>
    <row r="1511">
      <c r="U1511">
        <f>IF([2]Baskol!$B$1514="","",[2]Baskol!$B$1514)</f>
        <v/>
      </c>
      <c r="V1511">
        <f>IF([2]Baskol!$C$1514="","",[2]Baskol!$C$1514)</f>
        <v/>
      </c>
      <c r="W1511">
        <f>IF([2]Baskol!$D$1514="","",[2]Baskol!$D$1514)</f>
        <v/>
      </c>
      <c r="X1511">
        <f>IF([2]Baskol!$E$1514="","",[2]Baskol!$E$1514)</f>
        <v/>
      </c>
      <c r="Y1511">
        <f>IF([2]Baskol!$G$1514="","",[2]Baskol!$G$1514)</f>
        <v/>
      </c>
      <c r="Z1511">
        <f>IF([2]Baskol!$I$1514="","",[2]Baskol!$I$1514)</f>
        <v/>
      </c>
      <c r="AA1511">
        <f>IF([2]Baskol!$J$1514="","",[2]Baskol!$J$1514)</f>
        <v/>
      </c>
      <c r="AB1511">
        <f>IF([2]Baskol!$K$1514="","",[2]Baskol!$K$1514)</f>
        <v/>
      </c>
      <c r="AC1511">
        <f>IF([2]Baskol!$L$1514="","",[2]Baskol!$L$1514)</f>
        <v/>
      </c>
      <c r="AD1511">
        <f>IF([2]Baskol!$N$1514="","",[2]Baskol!$N$1514)</f>
        <v/>
      </c>
      <c r="AE1511">
        <f>IF([2]Baskol!$O$1514="","",[2]Baskol!$O$1514)</f>
        <v/>
      </c>
      <c r="AG1511">
        <f>IF([3]Entry!$C$1514="","",[3]Entry!$C$1514)</f>
        <v/>
      </c>
      <c r="AH1511">
        <f>IF([3]Entry!$D$1514="","",[3]Entry!$D$1514)</f>
        <v/>
      </c>
      <c r="AI1511">
        <f>IF([3]Entry!$E$1514="","",[3]Entry!$E$1514)</f>
        <v/>
      </c>
      <c r="AJ1511">
        <f>IF([3]Entry!$G$1514="","",[3]Entry!$G$1514)</f>
        <v/>
      </c>
      <c r="AK1511">
        <f>IF([3]Entry!$K$1514="","",[3]Entry!$K$1514)</f>
        <v/>
      </c>
      <c r="AL1511">
        <f>IF([3]Entry!$L$1514="","",[3]Entry!$L$1514)</f>
        <v/>
      </c>
      <c r="AM1511">
        <f>IF([3]Entry!$M$1514="","",[3]Entry!$M$1514)</f>
        <v/>
      </c>
      <c r="AN1511">
        <f>IF([3]Entry!$N$1514="","",[3]Entry!$N$1514)</f>
        <v/>
      </c>
      <c r="AO1511">
        <f>IF([3]Entry!$R$1514="","",[3]Entry!$R$1514)</f>
        <v/>
      </c>
    </row>
    <row r="1512">
      <c r="U1512">
        <f>IF([2]Baskol!$B$1515="","",[2]Baskol!$B$1515)</f>
        <v/>
      </c>
      <c r="V1512">
        <f>IF([2]Baskol!$C$1515="","",[2]Baskol!$C$1515)</f>
        <v/>
      </c>
      <c r="W1512">
        <f>IF([2]Baskol!$D$1515="","",[2]Baskol!$D$1515)</f>
        <v/>
      </c>
      <c r="X1512">
        <f>IF([2]Baskol!$E$1515="","",[2]Baskol!$E$1515)</f>
        <v/>
      </c>
      <c r="Y1512">
        <f>IF([2]Baskol!$G$1515="","",[2]Baskol!$G$1515)</f>
        <v/>
      </c>
      <c r="Z1512">
        <f>IF([2]Baskol!$I$1515="","",[2]Baskol!$I$1515)</f>
        <v/>
      </c>
      <c r="AA1512">
        <f>IF([2]Baskol!$J$1515="","",[2]Baskol!$J$1515)</f>
        <v/>
      </c>
      <c r="AB1512">
        <f>IF([2]Baskol!$K$1515="","",[2]Baskol!$K$1515)</f>
        <v/>
      </c>
      <c r="AC1512">
        <f>IF([2]Baskol!$L$1515="","",[2]Baskol!$L$1515)</f>
        <v/>
      </c>
      <c r="AD1512">
        <f>IF([2]Baskol!$N$1515="","",[2]Baskol!$N$1515)</f>
        <v/>
      </c>
      <c r="AE1512">
        <f>IF([2]Baskol!$O$1515="","",[2]Baskol!$O$1515)</f>
        <v/>
      </c>
      <c r="AG1512">
        <f>IF([3]Entry!$C$1515="","",[3]Entry!$C$1515)</f>
        <v/>
      </c>
      <c r="AH1512">
        <f>IF([3]Entry!$D$1515="","",[3]Entry!$D$1515)</f>
        <v/>
      </c>
      <c r="AI1512">
        <f>IF([3]Entry!$E$1515="","",[3]Entry!$E$1515)</f>
        <v/>
      </c>
      <c r="AJ1512">
        <f>IF([3]Entry!$G$1515="","",[3]Entry!$G$1515)</f>
        <v/>
      </c>
      <c r="AK1512">
        <f>IF([3]Entry!$K$1515="","",[3]Entry!$K$1515)</f>
        <v/>
      </c>
      <c r="AL1512">
        <f>IF([3]Entry!$L$1515="","",[3]Entry!$L$1515)</f>
        <v/>
      </c>
      <c r="AM1512">
        <f>IF([3]Entry!$M$1515="","",[3]Entry!$M$1515)</f>
        <v/>
      </c>
      <c r="AN1512">
        <f>IF([3]Entry!$N$1515="","",[3]Entry!$N$1515)</f>
        <v/>
      </c>
      <c r="AO1512">
        <f>IF([3]Entry!$R$1515="","",[3]Entry!$R$1515)</f>
        <v/>
      </c>
    </row>
    <row r="1513">
      <c r="U1513">
        <f>IF([2]Baskol!$B$1516="","",[2]Baskol!$B$1516)</f>
        <v/>
      </c>
      <c r="V1513">
        <f>IF([2]Baskol!$C$1516="","",[2]Baskol!$C$1516)</f>
        <v/>
      </c>
      <c r="W1513">
        <f>IF([2]Baskol!$D$1516="","",[2]Baskol!$D$1516)</f>
        <v/>
      </c>
      <c r="X1513">
        <f>IF([2]Baskol!$E$1516="","",[2]Baskol!$E$1516)</f>
        <v/>
      </c>
      <c r="Y1513">
        <f>IF([2]Baskol!$G$1516="","",[2]Baskol!$G$1516)</f>
        <v/>
      </c>
      <c r="Z1513">
        <f>IF([2]Baskol!$I$1516="","",[2]Baskol!$I$1516)</f>
        <v/>
      </c>
      <c r="AA1513">
        <f>IF([2]Baskol!$J$1516="","",[2]Baskol!$J$1516)</f>
        <v/>
      </c>
      <c r="AB1513">
        <f>IF([2]Baskol!$K$1516="","",[2]Baskol!$K$1516)</f>
        <v/>
      </c>
      <c r="AC1513">
        <f>IF([2]Baskol!$L$1516="","",[2]Baskol!$L$1516)</f>
        <v/>
      </c>
      <c r="AD1513">
        <f>IF([2]Baskol!$N$1516="","",[2]Baskol!$N$1516)</f>
        <v/>
      </c>
      <c r="AE1513">
        <f>IF([2]Baskol!$O$1516="","",[2]Baskol!$O$1516)</f>
        <v/>
      </c>
      <c r="AG1513">
        <f>IF([3]Entry!$C$1516="","",[3]Entry!$C$1516)</f>
        <v/>
      </c>
      <c r="AH1513">
        <f>IF([3]Entry!$D$1516="","",[3]Entry!$D$1516)</f>
        <v/>
      </c>
      <c r="AI1513">
        <f>IF([3]Entry!$E$1516="","",[3]Entry!$E$1516)</f>
        <v/>
      </c>
      <c r="AJ1513">
        <f>IF([3]Entry!$G$1516="","",[3]Entry!$G$1516)</f>
        <v/>
      </c>
      <c r="AK1513">
        <f>IF([3]Entry!$K$1516="","",[3]Entry!$K$1516)</f>
        <v/>
      </c>
      <c r="AL1513">
        <f>IF([3]Entry!$L$1516="","",[3]Entry!$L$1516)</f>
        <v/>
      </c>
      <c r="AM1513">
        <f>IF([3]Entry!$M$1516="","",[3]Entry!$M$1516)</f>
        <v/>
      </c>
      <c r="AN1513">
        <f>IF([3]Entry!$N$1516="","",[3]Entry!$N$1516)</f>
        <v/>
      </c>
      <c r="AO1513">
        <f>IF([3]Entry!$R$1516="","",[3]Entry!$R$1516)</f>
        <v/>
      </c>
    </row>
    <row r="1514">
      <c r="U1514">
        <f>IF([2]Baskol!$B$1517="","",[2]Baskol!$B$1517)</f>
        <v/>
      </c>
      <c r="V1514">
        <f>IF([2]Baskol!$C$1517="","",[2]Baskol!$C$1517)</f>
        <v/>
      </c>
      <c r="W1514">
        <f>IF([2]Baskol!$D$1517="","",[2]Baskol!$D$1517)</f>
        <v/>
      </c>
      <c r="X1514">
        <f>IF([2]Baskol!$E$1517="","",[2]Baskol!$E$1517)</f>
        <v/>
      </c>
      <c r="Y1514">
        <f>IF([2]Baskol!$G$1517="","",[2]Baskol!$G$1517)</f>
        <v/>
      </c>
      <c r="Z1514">
        <f>IF([2]Baskol!$I$1517="","",[2]Baskol!$I$1517)</f>
        <v/>
      </c>
      <c r="AA1514">
        <f>IF([2]Baskol!$J$1517="","",[2]Baskol!$J$1517)</f>
        <v/>
      </c>
      <c r="AB1514">
        <f>IF([2]Baskol!$K$1517="","",[2]Baskol!$K$1517)</f>
        <v/>
      </c>
      <c r="AC1514">
        <f>IF([2]Baskol!$L$1517="","",[2]Baskol!$L$1517)</f>
        <v/>
      </c>
      <c r="AD1514">
        <f>IF([2]Baskol!$N$1517="","",[2]Baskol!$N$1517)</f>
        <v/>
      </c>
      <c r="AE1514">
        <f>IF([2]Baskol!$O$1517="","",[2]Baskol!$O$1517)</f>
        <v/>
      </c>
      <c r="AG1514">
        <f>IF([3]Entry!$C$1517="","",[3]Entry!$C$1517)</f>
        <v/>
      </c>
      <c r="AH1514">
        <f>IF([3]Entry!$D$1517="","",[3]Entry!$D$1517)</f>
        <v/>
      </c>
      <c r="AI1514">
        <f>IF([3]Entry!$E$1517="","",[3]Entry!$E$1517)</f>
        <v/>
      </c>
      <c r="AJ1514">
        <f>IF([3]Entry!$G$1517="","",[3]Entry!$G$1517)</f>
        <v/>
      </c>
      <c r="AK1514">
        <f>IF([3]Entry!$K$1517="","",[3]Entry!$K$1517)</f>
        <v/>
      </c>
      <c r="AL1514">
        <f>IF([3]Entry!$L$1517="","",[3]Entry!$L$1517)</f>
        <v/>
      </c>
      <c r="AM1514">
        <f>IF([3]Entry!$M$1517="","",[3]Entry!$M$1517)</f>
        <v/>
      </c>
      <c r="AN1514">
        <f>IF([3]Entry!$N$1517="","",[3]Entry!$N$1517)</f>
        <v/>
      </c>
      <c r="AO1514">
        <f>IF([3]Entry!$R$1517="","",[3]Entry!$R$1517)</f>
        <v/>
      </c>
    </row>
    <row r="1515">
      <c r="U1515">
        <f>IF([2]Baskol!$B$1518="","",[2]Baskol!$B$1518)</f>
        <v/>
      </c>
      <c r="V1515">
        <f>IF([2]Baskol!$C$1518="","",[2]Baskol!$C$1518)</f>
        <v/>
      </c>
      <c r="W1515">
        <f>IF([2]Baskol!$D$1518="","",[2]Baskol!$D$1518)</f>
        <v/>
      </c>
      <c r="X1515">
        <f>IF([2]Baskol!$E$1518="","",[2]Baskol!$E$1518)</f>
        <v/>
      </c>
      <c r="Y1515">
        <f>IF([2]Baskol!$G$1518="","",[2]Baskol!$G$1518)</f>
        <v/>
      </c>
      <c r="Z1515">
        <f>IF([2]Baskol!$I$1518="","",[2]Baskol!$I$1518)</f>
        <v/>
      </c>
      <c r="AA1515">
        <f>IF([2]Baskol!$J$1518="","",[2]Baskol!$J$1518)</f>
        <v/>
      </c>
      <c r="AB1515">
        <f>IF([2]Baskol!$K$1518="","",[2]Baskol!$K$1518)</f>
        <v/>
      </c>
      <c r="AC1515">
        <f>IF([2]Baskol!$L$1518="","",[2]Baskol!$L$1518)</f>
        <v/>
      </c>
      <c r="AD1515">
        <f>IF([2]Baskol!$N$1518="","",[2]Baskol!$N$1518)</f>
        <v/>
      </c>
      <c r="AE1515">
        <f>IF([2]Baskol!$O$1518="","",[2]Baskol!$O$1518)</f>
        <v/>
      </c>
      <c r="AG1515">
        <f>IF([3]Entry!$C$1518="","",[3]Entry!$C$1518)</f>
        <v/>
      </c>
      <c r="AH1515">
        <f>IF([3]Entry!$D$1518="","",[3]Entry!$D$1518)</f>
        <v/>
      </c>
      <c r="AI1515">
        <f>IF([3]Entry!$E$1518="","",[3]Entry!$E$1518)</f>
        <v/>
      </c>
      <c r="AJ1515">
        <f>IF([3]Entry!$G$1518="","",[3]Entry!$G$1518)</f>
        <v/>
      </c>
      <c r="AK1515">
        <f>IF([3]Entry!$K$1518="","",[3]Entry!$K$1518)</f>
        <v/>
      </c>
      <c r="AL1515">
        <f>IF([3]Entry!$L$1518="","",[3]Entry!$L$1518)</f>
        <v/>
      </c>
      <c r="AM1515">
        <f>IF([3]Entry!$M$1518="","",[3]Entry!$M$1518)</f>
        <v/>
      </c>
      <c r="AN1515">
        <f>IF([3]Entry!$N$1518="","",[3]Entry!$N$1518)</f>
        <v/>
      </c>
      <c r="AO1515">
        <f>IF([3]Entry!$R$1518="","",[3]Entry!$R$1518)</f>
        <v/>
      </c>
    </row>
    <row r="1516">
      <c r="U1516">
        <f>IF([2]Baskol!$B$1519="","",[2]Baskol!$B$1519)</f>
        <v/>
      </c>
      <c r="V1516">
        <f>IF([2]Baskol!$C$1519="","",[2]Baskol!$C$1519)</f>
        <v/>
      </c>
      <c r="W1516">
        <f>IF([2]Baskol!$D$1519="","",[2]Baskol!$D$1519)</f>
        <v/>
      </c>
      <c r="X1516">
        <f>IF([2]Baskol!$E$1519="","",[2]Baskol!$E$1519)</f>
        <v/>
      </c>
      <c r="Y1516">
        <f>IF([2]Baskol!$G$1519="","",[2]Baskol!$G$1519)</f>
        <v/>
      </c>
      <c r="Z1516">
        <f>IF([2]Baskol!$I$1519="","",[2]Baskol!$I$1519)</f>
        <v/>
      </c>
      <c r="AA1516">
        <f>IF([2]Baskol!$J$1519="","",[2]Baskol!$J$1519)</f>
        <v/>
      </c>
      <c r="AB1516">
        <f>IF([2]Baskol!$K$1519="","",[2]Baskol!$K$1519)</f>
        <v/>
      </c>
      <c r="AC1516">
        <f>IF([2]Baskol!$L$1519="","",[2]Baskol!$L$1519)</f>
        <v/>
      </c>
      <c r="AD1516">
        <f>IF([2]Baskol!$N$1519="","",[2]Baskol!$N$1519)</f>
        <v/>
      </c>
      <c r="AE1516">
        <f>IF([2]Baskol!$O$1519="","",[2]Baskol!$O$1519)</f>
        <v/>
      </c>
      <c r="AG1516">
        <f>IF([3]Entry!$C$1519="","",[3]Entry!$C$1519)</f>
        <v/>
      </c>
      <c r="AH1516">
        <f>IF([3]Entry!$D$1519="","",[3]Entry!$D$1519)</f>
        <v/>
      </c>
      <c r="AI1516">
        <f>IF([3]Entry!$E$1519="","",[3]Entry!$E$1519)</f>
        <v/>
      </c>
      <c r="AJ1516">
        <f>IF([3]Entry!$G$1519="","",[3]Entry!$G$1519)</f>
        <v/>
      </c>
      <c r="AK1516">
        <f>IF([3]Entry!$K$1519="","",[3]Entry!$K$1519)</f>
        <v/>
      </c>
      <c r="AL1516">
        <f>IF([3]Entry!$L$1519="","",[3]Entry!$L$1519)</f>
        <v/>
      </c>
      <c r="AM1516">
        <f>IF([3]Entry!$M$1519="","",[3]Entry!$M$1519)</f>
        <v/>
      </c>
      <c r="AN1516">
        <f>IF([3]Entry!$N$1519="","",[3]Entry!$N$1519)</f>
        <v/>
      </c>
      <c r="AO1516">
        <f>IF([3]Entry!$R$1519="","",[3]Entry!$R$1519)</f>
        <v/>
      </c>
    </row>
    <row r="1517">
      <c r="U1517">
        <f>IF([2]Baskol!$B$1520="","",[2]Baskol!$B$1520)</f>
        <v/>
      </c>
      <c r="V1517">
        <f>IF([2]Baskol!$C$1520="","",[2]Baskol!$C$1520)</f>
        <v/>
      </c>
      <c r="W1517">
        <f>IF([2]Baskol!$D$1520="","",[2]Baskol!$D$1520)</f>
        <v/>
      </c>
      <c r="X1517">
        <f>IF([2]Baskol!$E$1520="","",[2]Baskol!$E$1520)</f>
        <v/>
      </c>
      <c r="Y1517">
        <f>IF([2]Baskol!$G$1520="","",[2]Baskol!$G$1520)</f>
        <v/>
      </c>
      <c r="Z1517">
        <f>IF([2]Baskol!$I$1520="","",[2]Baskol!$I$1520)</f>
        <v/>
      </c>
      <c r="AA1517">
        <f>IF([2]Baskol!$J$1520="","",[2]Baskol!$J$1520)</f>
        <v/>
      </c>
      <c r="AB1517">
        <f>IF([2]Baskol!$K$1520="","",[2]Baskol!$K$1520)</f>
        <v/>
      </c>
      <c r="AC1517">
        <f>IF([2]Baskol!$L$1520="","",[2]Baskol!$L$1520)</f>
        <v/>
      </c>
      <c r="AD1517">
        <f>IF([2]Baskol!$N$1520="","",[2]Baskol!$N$1520)</f>
        <v/>
      </c>
      <c r="AE1517">
        <f>IF([2]Baskol!$O$1520="","",[2]Baskol!$O$1520)</f>
        <v/>
      </c>
      <c r="AG1517">
        <f>IF([3]Entry!$C$1520="","",[3]Entry!$C$1520)</f>
        <v/>
      </c>
      <c r="AH1517">
        <f>IF([3]Entry!$D$1520="","",[3]Entry!$D$1520)</f>
        <v/>
      </c>
      <c r="AI1517">
        <f>IF([3]Entry!$E$1520="","",[3]Entry!$E$1520)</f>
        <v/>
      </c>
      <c r="AJ1517">
        <f>IF([3]Entry!$G$1520="","",[3]Entry!$G$1520)</f>
        <v/>
      </c>
      <c r="AK1517">
        <f>IF([3]Entry!$K$1520="","",[3]Entry!$K$1520)</f>
        <v/>
      </c>
      <c r="AL1517">
        <f>IF([3]Entry!$L$1520="","",[3]Entry!$L$1520)</f>
        <v/>
      </c>
      <c r="AM1517">
        <f>IF([3]Entry!$M$1520="","",[3]Entry!$M$1520)</f>
        <v/>
      </c>
      <c r="AN1517">
        <f>IF([3]Entry!$N$1520="","",[3]Entry!$N$1520)</f>
        <v/>
      </c>
      <c r="AO1517">
        <f>IF([3]Entry!$R$1520="","",[3]Entry!$R$1520)</f>
        <v/>
      </c>
    </row>
    <row r="1518">
      <c r="U1518">
        <f>IF([2]Baskol!$B$1521="","",[2]Baskol!$B$1521)</f>
        <v/>
      </c>
      <c r="V1518">
        <f>IF([2]Baskol!$C$1521="","",[2]Baskol!$C$1521)</f>
        <v/>
      </c>
      <c r="W1518">
        <f>IF([2]Baskol!$D$1521="","",[2]Baskol!$D$1521)</f>
        <v/>
      </c>
      <c r="X1518">
        <f>IF([2]Baskol!$E$1521="","",[2]Baskol!$E$1521)</f>
        <v/>
      </c>
      <c r="Y1518">
        <f>IF([2]Baskol!$G$1521="","",[2]Baskol!$G$1521)</f>
        <v/>
      </c>
      <c r="Z1518">
        <f>IF([2]Baskol!$I$1521="","",[2]Baskol!$I$1521)</f>
        <v/>
      </c>
      <c r="AA1518">
        <f>IF([2]Baskol!$J$1521="","",[2]Baskol!$J$1521)</f>
        <v/>
      </c>
      <c r="AB1518">
        <f>IF([2]Baskol!$K$1521="","",[2]Baskol!$K$1521)</f>
        <v/>
      </c>
      <c r="AC1518">
        <f>IF([2]Baskol!$L$1521="","",[2]Baskol!$L$1521)</f>
        <v/>
      </c>
      <c r="AD1518">
        <f>IF([2]Baskol!$N$1521="","",[2]Baskol!$N$1521)</f>
        <v/>
      </c>
      <c r="AE1518">
        <f>IF([2]Baskol!$O$1521="","",[2]Baskol!$O$1521)</f>
        <v/>
      </c>
      <c r="AG1518">
        <f>IF([3]Entry!$C$1521="","",[3]Entry!$C$1521)</f>
        <v/>
      </c>
      <c r="AH1518">
        <f>IF([3]Entry!$D$1521="","",[3]Entry!$D$1521)</f>
        <v/>
      </c>
      <c r="AI1518">
        <f>IF([3]Entry!$E$1521="","",[3]Entry!$E$1521)</f>
        <v/>
      </c>
      <c r="AJ1518">
        <f>IF([3]Entry!$G$1521="","",[3]Entry!$G$1521)</f>
        <v/>
      </c>
      <c r="AK1518">
        <f>IF([3]Entry!$K$1521="","",[3]Entry!$K$1521)</f>
        <v/>
      </c>
      <c r="AL1518">
        <f>IF([3]Entry!$L$1521="","",[3]Entry!$L$1521)</f>
        <v/>
      </c>
      <c r="AM1518">
        <f>IF([3]Entry!$M$1521="","",[3]Entry!$M$1521)</f>
        <v/>
      </c>
      <c r="AN1518">
        <f>IF([3]Entry!$N$1521="","",[3]Entry!$N$1521)</f>
        <v/>
      </c>
      <c r="AO1518">
        <f>IF([3]Entry!$R$1521="","",[3]Entry!$R$1521)</f>
        <v/>
      </c>
    </row>
    <row r="1519">
      <c r="U1519">
        <f>IF([2]Baskol!$B$1522="","",[2]Baskol!$B$1522)</f>
        <v/>
      </c>
      <c r="V1519">
        <f>IF([2]Baskol!$C$1522="","",[2]Baskol!$C$1522)</f>
        <v/>
      </c>
      <c r="W1519">
        <f>IF([2]Baskol!$D$1522="","",[2]Baskol!$D$1522)</f>
        <v/>
      </c>
      <c r="X1519">
        <f>IF([2]Baskol!$E$1522="","",[2]Baskol!$E$1522)</f>
        <v/>
      </c>
      <c r="Y1519">
        <f>IF([2]Baskol!$G$1522="","",[2]Baskol!$G$1522)</f>
        <v/>
      </c>
      <c r="Z1519">
        <f>IF([2]Baskol!$I$1522="","",[2]Baskol!$I$1522)</f>
        <v/>
      </c>
      <c r="AA1519">
        <f>IF([2]Baskol!$J$1522="","",[2]Baskol!$J$1522)</f>
        <v/>
      </c>
      <c r="AB1519">
        <f>IF([2]Baskol!$K$1522="","",[2]Baskol!$K$1522)</f>
        <v/>
      </c>
      <c r="AC1519">
        <f>IF([2]Baskol!$L$1522="","",[2]Baskol!$L$1522)</f>
        <v/>
      </c>
      <c r="AD1519">
        <f>IF([2]Baskol!$N$1522="","",[2]Baskol!$N$1522)</f>
        <v/>
      </c>
      <c r="AE1519">
        <f>IF([2]Baskol!$O$1522="","",[2]Baskol!$O$1522)</f>
        <v/>
      </c>
      <c r="AG1519">
        <f>IF([3]Entry!$C$1522="","",[3]Entry!$C$1522)</f>
        <v/>
      </c>
      <c r="AH1519">
        <f>IF([3]Entry!$D$1522="","",[3]Entry!$D$1522)</f>
        <v/>
      </c>
      <c r="AI1519">
        <f>IF([3]Entry!$E$1522="","",[3]Entry!$E$1522)</f>
        <v/>
      </c>
      <c r="AJ1519">
        <f>IF([3]Entry!$G$1522="","",[3]Entry!$G$1522)</f>
        <v/>
      </c>
      <c r="AK1519">
        <f>IF([3]Entry!$K$1522="","",[3]Entry!$K$1522)</f>
        <v/>
      </c>
      <c r="AL1519">
        <f>IF([3]Entry!$L$1522="","",[3]Entry!$L$1522)</f>
        <v/>
      </c>
      <c r="AM1519">
        <f>IF([3]Entry!$M$1522="","",[3]Entry!$M$1522)</f>
        <v/>
      </c>
      <c r="AN1519">
        <f>IF([3]Entry!$N$1522="","",[3]Entry!$N$1522)</f>
        <v/>
      </c>
      <c r="AO1519">
        <f>IF([3]Entry!$R$1522="","",[3]Entry!$R$1522)</f>
        <v/>
      </c>
    </row>
    <row r="1520">
      <c r="U1520">
        <f>IF([2]Baskol!$B$1523="","",[2]Baskol!$B$1523)</f>
        <v/>
      </c>
      <c r="V1520">
        <f>IF([2]Baskol!$C$1523="","",[2]Baskol!$C$1523)</f>
        <v/>
      </c>
      <c r="W1520">
        <f>IF([2]Baskol!$D$1523="","",[2]Baskol!$D$1523)</f>
        <v/>
      </c>
      <c r="X1520">
        <f>IF([2]Baskol!$E$1523="","",[2]Baskol!$E$1523)</f>
        <v/>
      </c>
      <c r="Y1520">
        <f>IF([2]Baskol!$G$1523="","",[2]Baskol!$G$1523)</f>
        <v/>
      </c>
      <c r="Z1520">
        <f>IF([2]Baskol!$I$1523="","",[2]Baskol!$I$1523)</f>
        <v/>
      </c>
      <c r="AA1520">
        <f>IF([2]Baskol!$J$1523="","",[2]Baskol!$J$1523)</f>
        <v/>
      </c>
      <c r="AB1520">
        <f>IF([2]Baskol!$K$1523="","",[2]Baskol!$K$1523)</f>
        <v/>
      </c>
      <c r="AC1520">
        <f>IF([2]Baskol!$L$1523="","",[2]Baskol!$L$1523)</f>
        <v/>
      </c>
      <c r="AD1520">
        <f>IF([2]Baskol!$N$1523="","",[2]Baskol!$N$1523)</f>
        <v/>
      </c>
      <c r="AE1520">
        <f>IF([2]Baskol!$O$1523="","",[2]Baskol!$O$1523)</f>
        <v/>
      </c>
      <c r="AG1520">
        <f>IF([3]Entry!$C$1523="","",[3]Entry!$C$1523)</f>
        <v/>
      </c>
      <c r="AH1520">
        <f>IF([3]Entry!$D$1523="","",[3]Entry!$D$1523)</f>
        <v/>
      </c>
      <c r="AI1520">
        <f>IF([3]Entry!$E$1523="","",[3]Entry!$E$1523)</f>
        <v/>
      </c>
      <c r="AJ1520">
        <f>IF([3]Entry!$G$1523="","",[3]Entry!$G$1523)</f>
        <v/>
      </c>
      <c r="AK1520">
        <f>IF([3]Entry!$K$1523="","",[3]Entry!$K$1523)</f>
        <v/>
      </c>
      <c r="AL1520">
        <f>IF([3]Entry!$L$1523="","",[3]Entry!$L$1523)</f>
        <v/>
      </c>
      <c r="AM1520">
        <f>IF([3]Entry!$M$1523="","",[3]Entry!$M$1523)</f>
        <v/>
      </c>
      <c r="AN1520">
        <f>IF([3]Entry!$N$1523="","",[3]Entry!$N$1523)</f>
        <v/>
      </c>
      <c r="AO1520">
        <f>IF([3]Entry!$R$1523="","",[3]Entry!$R$1523)</f>
        <v/>
      </c>
    </row>
    <row r="1521">
      <c r="U1521">
        <f>IF([2]Baskol!$B$1524="","",[2]Baskol!$B$1524)</f>
        <v/>
      </c>
      <c r="V1521">
        <f>IF([2]Baskol!$C$1524="","",[2]Baskol!$C$1524)</f>
        <v/>
      </c>
      <c r="W1521">
        <f>IF([2]Baskol!$D$1524="","",[2]Baskol!$D$1524)</f>
        <v/>
      </c>
      <c r="X1521">
        <f>IF([2]Baskol!$E$1524="","",[2]Baskol!$E$1524)</f>
        <v/>
      </c>
      <c r="Y1521">
        <f>IF([2]Baskol!$G$1524="","",[2]Baskol!$G$1524)</f>
        <v/>
      </c>
      <c r="Z1521">
        <f>IF([2]Baskol!$I$1524="","",[2]Baskol!$I$1524)</f>
        <v/>
      </c>
      <c r="AA1521">
        <f>IF([2]Baskol!$J$1524="","",[2]Baskol!$J$1524)</f>
        <v/>
      </c>
      <c r="AB1521">
        <f>IF([2]Baskol!$K$1524="","",[2]Baskol!$K$1524)</f>
        <v/>
      </c>
      <c r="AC1521">
        <f>IF([2]Baskol!$L$1524="","",[2]Baskol!$L$1524)</f>
        <v/>
      </c>
      <c r="AD1521">
        <f>IF([2]Baskol!$N$1524="","",[2]Baskol!$N$1524)</f>
        <v/>
      </c>
      <c r="AE1521">
        <f>IF([2]Baskol!$O$1524="","",[2]Baskol!$O$1524)</f>
        <v/>
      </c>
      <c r="AG1521">
        <f>IF([3]Entry!$C$1524="","",[3]Entry!$C$1524)</f>
        <v/>
      </c>
      <c r="AH1521">
        <f>IF([3]Entry!$D$1524="","",[3]Entry!$D$1524)</f>
        <v/>
      </c>
      <c r="AI1521">
        <f>IF([3]Entry!$E$1524="","",[3]Entry!$E$1524)</f>
        <v/>
      </c>
      <c r="AJ1521">
        <f>IF([3]Entry!$G$1524="","",[3]Entry!$G$1524)</f>
        <v/>
      </c>
      <c r="AK1521">
        <f>IF([3]Entry!$K$1524="","",[3]Entry!$K$1524)</f>
        <v/>
      </c>
      <c r="AL1521">
        <f>IF([3]Entry!$L$1524="","",[3]Entry!$L$1524)</f>
        <v/>
      </c>
      <c r="AM1521">
        <f>IF([3]Entry!$M$1524="","",[3]Entry!$M$1524)</f>
        <v/>
      </c>
      <c r="AN1521">
        <f>IF([3]Entry!$N$1524="","",[3]Entry!$N$1524)</f>
        <v/>
      </c>
      <c r="AO1521">
        <f>IF([3]Entry!$R$1524="","",[3]Entry!$R$1524)</f>
        <v/>
      </c>
    </row>
    <row r="1522">
      <c r="U1522">
        <f>IF([2]Baskol!$B$1525="","",[2]Baskol!$B$1525)</f>
        <v/>
      </c>
      <c r="V1522">
        <f>IF([2]Baskol!$C$1525="","",[2]Baskol!$C$1525)</f>
        <v/>
      </c>
      <c r="W1522">
        <f>IF([2]Baskol!$D$1525="","",[2]Baskol!$D$1525)</f>
        <v/>
      </c>
      <c r="X1522">
        <f>IF([2]Baskol!$E$1525="","",[2]Baskol!$E$1525)</f>
        <v/>
      </c>
      <c r="Y1522">
        <f>IF([2]Baskol!$G$1525="","",[2]Baskol!$G$1525)</f>
        <v/>
      </c>
      <c r="Z1522">
        <f>IF([2]Baskol!$I$1525="","",[2]Baskol!$I$1525)</f>
        <v/>
      </c>
      <c r="AA1522">
        <f>IF([2]Baskol!$J$1525="","",[2]Baskol!$J$1525)</f>
        <v/>
      </c>
      <c r="AB1522">
        <f>IF([2]Baskol!$K$1525="","",[2]Baskol!$K$1525)</f>
        <v/>
      </c>
      <c r="AC1522">
        <f>IF([2]Baskol!$L$1525="","",[2]Baskol!$L$1525)</f>
        <v/>
      </c>
      <c r="AD1522">
        <f>IF([2]Baskol!$N$1525="","",[2]Baskol!$N$1525)</f>
        <v/>
      </c>
      <c r="AE1522">
        <f>IF([2]Baskol!$O$1525="","",[2]Baskol!$O$1525)</f>
        <v/>
      </c>
      <c r="AG1522">
        <f>IF([3]Entry!$C$1525="","",[3]Entry!$C$1525)</f>
        <v/>
      </c>
      <c r="AH1522">
        <f>IF([3]Entry!$D$1525="","",[3]Entry!$D$1525)</f>
        <v/>
      </c>
      <c r="AI1522">
        <f>IF([3]Entry!$E$1525="","",[3]Entry!$E$1525)</f>
        <v/>
      </c>
      <c r="AJ1522">
        <f>IF([3]Entry!$G$1525="","",[3]Entry!$G$1525)</f>
        <v/>
      </c>
      <c r="AK1522">
        <f>IF([3]Entry!$K$1525="","",[3]Entry!$K$1525)</f>
        <v/>
      </c>
      <c r="AL1522">
        <f>IF([3]Entry!$L$1525="","",[3]Entry!$L$1525)</f>
        <v/>
      </c>
      <c r="AM1522">
        <f>IF([3]Entry!$M$1525="","",[3]Entry!$M$1525)</f>
        <v/>
      </c>
      <c r="AN1522">
        <f>IF([3]Entry!$N$1525="","",[3]Entry!$N$1525)</f>
        <v/>
      </c>
      <c r="AO1522">
        <f>IF([3]Entry!$R$1525="","",[3]Entry!$R$1525)</f>
        <v/>
      </c>
    </row>
    <row r="1523">
      <c r="U1523">
        <f>IF([2]Baskol!$B$1526="","",[2]Baskol!$B$1526)</f>
        <v/>
      </c>
      <c r="V1523">
        <f>IF([2]Baskol!$C$1526="","",[2]Baskol!$C$1526)</f>
        <v/>
      </c>
      <c r="W1523">
        <f>IF([2]Baskol!$D$1526="","",[2]Baskol!$D$1526)</f>
        <v/>
      </c>
      <c r="X1523">
        <f>IF([2]Baskol!$E$1526="","",[2]Baskol!$E$1526)</f>
        <v/>
      </c>
      <c r="Y1523">
        <f>IF([2]Baskol!$G$1526="","",[2]Baskol!$G$1526)</f>
        <v/>
      </c>
      <c r="Z1523">
        <f>IF([2]Baskol!$I$1526="","",[2]Baskol!$I$1526)</f>
        <v/>
      </c>
      <c r="AA1523">
        <f>IF([2]Baskol!$J$1526="","",[2]Baskol!$J$1526)</f>
        <v/>
      </c>
      <c r="AB1523">
        <f>IF([2]Baskol!$K$1526="","",[2]Baskol!$K$1526)</f>
        <v/>
      </c>
      <c r="AC1523">
        <f>IF([2]Baskol!$L$1526="","",[2]Baskol!$L$1526)</f>
        <v/>
      </c>
      <c r="AD1523">
        <f>IF([2]Baskol!$N$1526="","",[2]Baskol!$N$1526)</f>
        <v/>
      </c>
      <c r="AE1523">
        <f>IF([2]Baskol!$O$1526="","",[2]Baskol!$O$1526)</f>
        <v/>
      </c>
      <c r="AG1523">
        <f>IF([3]Entry!$C$1526="","",[3]Entry!$C$1526)</f>
        <v/>
      </c>
      <c r="AH1523">
        <f>IF([3]Entry!$D$1526="","",[3]Entry!$D$1526)</f>
        <v/>
      </c>
      <c r="AI1523">
        <f>IF([3]Entry!$E$1526="","",[3]Entry!$E$1526)</f>
        <v/>
      </c>
      <c r="AJ1523">
        <f>IF([3]Entry!$G$1526="","",[3]Entry!$G$1526)</f>
        <v/>
      </c>
      <c r="AK1523">
        <f>IF([3]Entry!$K$1526="","",[3]Entry!$K$1526)</f>
        <v/>
      </c>
      <c r="AL1523">
        <f>IF([3]Entry!$L$1526="","",[3]Entry!$L$1526)</f>
        <v/>
      </c>
      <c r="AM1523">
        <f>IF([3]Entry!$M$1526="","",[3]Entry!$M$1526)</f>
        <v/>
      </c>
      <c r="AN1523">
        <f>IF([3]Entry!$N$1526="","",[3]Entry!$N$1526)</f>
        <v/>
      </c>
      <c r="AO1523">
        <f>IF([3]Entry!$R$1526="","",[3]Entry!$R$1526)</f>
        <v/>
      </c>
    </row>
    <row r="1524">
      <c r="U1524">
        <f>IF([2]Baskol!$B$1527="","",[2]Baskol!$B$1527)</f>
        <v/>
      </c>
      <c r="V1524">
        <f>IF([2]Baskol!$C$1527="","",[2]Baskol!$C$1527)</f>
        <v/>
      </c>
      <c r="W1524">
        <f>IF([2]Baskol!$D$1527="","",[2]Baskol!$D$1527)</f>
        <v/>
      </c>
      <c r="X1524">
        <f>IF([2]Baskol!$E$1527="","",[2]Baskol!$E$1527)</f>
        <v/>
      </c>
      <c r="Y1524">
        <f>IF([2]Baskol!$G$1527="","",[2]Baskol!$G$1527)</f>
        <v/>
      </c>
      <c r="Z1524">
        <f>IF([2]Baskol!$I$1527="","",[2]Baskol!$I$1527)</f>
        <v/>
      </c>
      <c r="AA1524">
        <f>IF([2]Baskol!$J$1527="","",[2]Baskol!$J$1527)</f>
        <v/>
      </c>
      <c r="AB1524">
        <f>IF([2]Baskol!$K$1527="","",[2]Baskol!$K$1527)</f>
        <v/>
      </c>
      <c r="AC1524">
        <f>IF([2]Baskol!$L$1527="","",[2]Baskol!$L$1527)</f>
        <v/>
      </c>
      <c r="AD1524">
        <f>IF([2]Baskol!$N$1527="","",[2]Baskol!$N$1527)</f>
        <v/>
      </c>
      <c r="AE1524">
        <f>IF([2]Baskol!$O$1527="","",[2]Baskol!$O$1527)</f>
        <v/>
      </c>
      <c r="AG1524">
        <f>IF([3]Entry!$C$1527="","",[3]Entry!$C$1527)</f>
        <v/>
      </c>
      <c r="AH1524">
        <f>IF([3]Entry!$D$1527="","",[3]Entry!$D$1527)</f>
        <v/>
      </c>
      <c r="AI1524">
        <f>IF([3]Entry!$E$1527="","",[3]Entry!$E$1527)</f>
        <v/>
      </c>
      <c r="AJ1524">
        <f>IF([3]Entry!$G$1527="","",[3]Entry!$G$1527)</f>
        <v/>
      </c>
      <c r="AK1524">
        <f>IF([3]Entry!$K$1527="","",[3]Entry!$K$1527)</f>
        <v/>
      </c>
      <c r="AL1524">
        <f>IF([3]Entry!$L$1527="","",[3]Entry!$L$1527)</f>
        <v/>
      </c>
      <c r="AM1524">
        <f>IF([3]Entry!$M$1527="","",[3]Entry!$M$1527)</f>
        <v/>
      </c>
      <c r="AN1524">
        <f>IF([3]Entry!$N$1527="","",[3]Entry!$N$1527)</f>
        <v/>
      </c>
      <c r="AO1524">
        <f>IF([3]Entry!$R$1527="","",[3]Entry!$R$1527)</f>
        <v/>
      </c>
    </row>
    <row r="1525">
      <c r="U1525">
        <f>IF([2]Baskol!$B$1528="","",[2]Baskol!$B$1528)</f>
        <v/>
      </c>
      <c r="V1525">
        <f>IF([2]Baskol!$C$1528="","",[2]Baskol!$C$1528)</f>
        <v/>
      </c>
      <c r="W1525">
        <f>IF([2]Baskol!$D$1528="","",[2]Baskol!$D$1528)</f>
        <v/>
      </c>
      <c r="X1525">
        <f>IF([2]Baskol!$E$1528="","",[2]Baskol!$E$1528)</f>
        <v/>
      </c>
      <c r="Y1525">
        <f>IF([2]Baskol!$G$1528="","",[2]Baskol!$G$1528)</f>
        <v/>
      </c>
      <c r="Z1525">
        <f>IF([2]Baskol!$I$1528="","",[2]Baskol!$I$1528)</f>
        <v/>
      </c>
      <c r="AA1525">
        <f>IF([2]Baskol!$J$1528="","",[2]Baskol!$J$1528)</f>
        <v/>
      </c>
      <c r="AB1525">
        <f>IF([2]Baskol!$K$1528="","",[2]Baskol!$K$1528)</f>
        <v/>
      </c>
      <c r="AC1525">
        <f>IF([2]Baskol!$L$1528="","",[2]Baskol!$L$1528)</f>
        <v/>
      </c>
      <c r="AD1525">
        <f>IF([2]Baskol!$N$1528="","",[2]Baskol!$N$1528)</f>
        <v/>
      </c>
      <c r="AE1525">
        <f>IF([2]Baskol!$O$1528="","",[2]Baskol!$O$1528)</f>
        <v/>
      </c>
      <c r="AG1525">
        <f>IF([3]Entry!$C$1528="","",[3]Entry!$C$1528)</f>
        <v/>
      </c>
      <c r="AH1525">
        <f>IF([3]Entry!$D$1528="","",[3]Entry!$D$1528)</f>
        <v/>
      </c>
      <c r="AI1525">
        <f>IF([3]Entry!$E$1528="","",[3]Entry!$E$1528)</f>
        <v/>
      </c>
      <c r="AJ1525">
        <f>IF([3]Entry!$G$1528="","",[3]Entry!$G$1528)</f>
        <v/>
      </c>
      <c r="AK1525">
        <f>IF([3]Entry!$K$1528="","",[3]Entry!$K$1528)</f>
        <v/>
      </c>
      <c r="AL1525">
        <f>IF([3]Entry!$L$1528="","",[3]Entry!$L$1528)</f>
        <v/>
      </c>
      <c r="AM1525">
        <f>IF([3]Entry!$M$1528="","",[3]Entry!$M$1528)</f>
        <v/>
      </c>
      <c r="AN1525">
        <f>IF([3]Entry!$N$1528="","",[3]Entry!$N$1528)</f>
        <v/>
      </c>
      <c r="AO1525">
        <f>IF([3]Entry!$R$1528="","",[3]Entry!$R$1528)</f>
        <v/>
      </c>
    </row>
    <row r="1526">
      <c r="U1526">
        <f>IF([2]Baskol!$B$1529="","",[2]Baskol!$B$1529)</f>
        <v/>
      </c>
      <c r="V1526">
        <f>IF([2]Baskol!$C$1529="","",[2]Baskol!$C$1529)</f>
        <v/>
      </c>
      <c r="W1526">
        <f>IF([2]Baskol!$D$1529="","",[2]Baskol!$D$1529)</f>
        <v/>
      </c>
      <c r="X1526">
        <f>IF([2]Baskol!$E$1529="","",[2]Baskol!$E$1529)</f>
        <v/>
      </c>
      <c r="Y1526">
        <f>IF([2]Baskol!$G$1529="","",[2]Baskol!$G$1529)</f>
        <v/>
      </c>
      <c r="Z1526">
        <f>IF([2]Baskol!$I$1529="","",[2]Baskol!$I$1529)</f>
        <v/>
      </c>
      <c r="AA1526">
        <f>IF([2]Baskol!$J$1529="","",[2]Baskol!$J$1529)</f>
        <v/>
      </c>
      <c r="AB1526">
        <f>IF([2]Baskol!$K$1529="","",[2]Baskol!$K$1529)</f>
        <v/>
      </c>
      <c r="AC1526">
        <f>IF([2]Baskol!$L$1529="","",[2]Baskol!$L$1529)</f>
        <v/>
      </c>
      <c r="AD1526">
        <f>IF([2]Baskol!$N$1529="","",[2]Baskol!$N$1529)</f>
        <v/>
      </c>
      <c r="AE1526">
        <f>IF([2]Baskol!$O$1529="","",[2]Baskol!$O$1529)</f>
        <v/>
      </c>
      <c r="AG1526">
        <f>IF([3]Entry!$C$1529="","",[3]Entry!$C$1529)</f>
        <v/>
      </c>
      <c r="AH1526">
        <f>IF([3]Entry!$D$1529="","",[3]Entry!$D$1529)</f>
        <v/>
      </c>
      <c r="AI1526">
        <f>IF([3]Entry!$E$1529="","",[3]Entry!$E$1529)</f>
        <v/>
      </c>
      <c r="AJ1526">
        <f>IF([3]Entry!$G$1529="","",[3]Entry!$G$1529)</f>
        <v/>
      </c>
      <c r="AK1526">
        <f>IF([3]Entry!$K$1529="","",[3]Entry!$K$1529)</f>
        <v/>
      </c>
      <c r="AL1526">
        <f>IF([3]Entry!$L$1529="","",[3]Entry!$L$1529)</f>
        <v/>
      </c>
      <c r="AM1526">
        <f>IF([3]Entry!$M$1529="","",[3]Entry!$M$1529)</f>
        <v/>
      </c>
      <c r="AN1526">
        <f>IF([3]Entry!$N$1529="","",[3]Entry!$N$1529)</f>
        <v/>
      </c>
      <c r="AO1526">
        <f>IF([3]Entry!$R$1529="","",[3]Entry!$R$1529)</f>
        <v/>
      </c>
    </row>
    <row r="1527">
      <c r="U1527">
        <f>IF([2]Baskol!$B$1530="","",[2]Baskol!$B$1530)</f>
        <v/>
      </c>
      <c r="V1527">
        <f>IF([2]Baskol!$C$1530="","",[2]Baskol!$C$1530)</f>
        <v/>
      </c>
      <c r="W1527">
        <f>IF([2]Baskol!$D$1530="","",[2]Baskol!$D$1530)</f>
        <v/>
      </c>
      <c r="X1527">
        <f>IF([2]Baskol!$E$1530="","",[2]Baskol!$E$1530)</f>
        <v/>
      </c>
      <c r="Y1527">
        <f>IF([2]Baskol!$G$1530="","",[2]Baskol!$G$1530)</f>
        <v/>
      </c>
      <c r="Z1527">
        <f>IF([2]Baskol!$I$1530="","",[2]Baskol!$I$1530)</f>
        <v/>
      </c>
      <c r="AA1527">
        <f>IF([2]Baskol!$J$1530="","",[2]Baskol!$J$1530)</f>
        <v/>
      </c>
      <c r="AB1527">
        <f>IF([2]Baskol!$K$1530="","",[2]Baskol!$K$1530)</f>
        <v/>
      </c>
      <c r="AC1527">
        <f>IF([2]Baskol!$L$1530="","",[2]Baskol!$L$1530)</f>
        <v/>
      </c>
      <c r="AD1527">
        <f>IF([2]Baskol!$N$1530="","",[2]Baskol!$N$1530)</f>
        <v/>
      </c>
      <c r="AE1527">
        <f>IF([2]Baskol!$O$1530="","",[2]Baskol!$O$1530)</f>
        <v/>
      </c>
      <c r="AG1527">
        <f>IF([3]Entry!$C$1530="","",[3]Entry!$C$1530)</f>
        <v/>
      </c>
      <c r="AH1527">
        <f>IF([3]Entry!$D$1530="","",[3]Entry!$D$1530)</f>
        <v/>
      </c>
      <c r="AI1527">
        <f>IF([3]Entry!$E$1530="","",[3]Entry!$E$1530)</f>
        <v/>
      </c>
      <c r="AJ1527">
        <f>IF([3]Entry!$G$1530="","",[3]Entry!$G$1530)</f>
        <v/>
      </c>
      <c r="AK1527">
        <f>IF([3]Entry!$K$1530="","",[3]Entry!$K$1530)</f>
        <v/>
      </c>
      <c r="AL1527">
        <f>IF([3]Entry!$L$1530="","",[3]Entry!$L$1530)</f>
        <v/>
      </c>
      <c r="AM1527">
        <f>IF([3]Entry!$M$1530="","",[3]Entry!$M$1530)</f>
        <v/>
      </c>
      <c r="AN1527">
        <f>IF([3]Entry!$N$1530="","",[3]Entry!$N$1530)</f>
        <v/>
      </c>
      <c r="AO1527">
        <f>IF([3]Entry!$R$1530="","",[3]Entry!$R$1530)</f>
        <v/>
      </c>
    </row>
    <row r="1528">
      <c r="U1528">
        <f>IF([2]Baskol!$B$1531="","",[2]Baskol!$B$1531)</f>
        <v/>
      </c>
      <c r="V1528">
        <f>IF([2]Baskol!$C$1531="","",[2]Baskol!$C$1531)</f>
        <v/>
      </c>
      <c r="W1528">
        <f>IF([2]Baskol!$D$1531="","",[2]Baskol!$D$1531)</f>
        <v/>
      </c>
      <c r="X1528">
        <f>IF([2]Baskol!$E$1531="","",[2]Baskol!$E$1531)</f>
        <v/>
      </c>
      <c r="Y1528">
        <f>IF([2]Baskol!$G$1531="","",[2]Baskol!$G$1531)</f>
        <v/>
      </c>
      <c r="Z1528">
        <f>IF([2]Baskol!$I$1531="","",[2]Baskol!$I$1531)</f>
        <v/>
      </c>
      <c r="AA1528">
        <f>IF([2]Baskol!$J$1531="","",[2]Baskol!$J$1531)</f>
        <v/>
      </c>
      <c r="AB1528">
        <f>IF([2]Baskol!$K$1531="","",[2]Baskol!$K$1531)</f>
        <v/>
      </c>
      <c r="AC1528">
        <f>IF([2]Baskol!$L$1531="","",[2]Baskol!$L$1531)</f>
        <v/>
      </c>
      <c r="AD1528">
        <f>IF([2]Baskol!$N$1531="","",[2]Baskol!$N$1531)</f>
        <v/>
      </c>
      <c r="AE1528">
        <f>IF([2]Baskol!$O$1531="","",[2]Baskol!$O$1531)</f>
        <v/>
      </c>
      <c r="AG1528">
        <f>IF([3]Entry!$C$1531="","",[3]Entry!$C$1531)</f>
        <v/>
      </c>
      <c r="AH1528">
        <f>IF([3]Entry!$D$1531="","",[3]Entry!$D$1531)</f>
        <v/>
      </c>
      <c r="AI1528">
        <f>IF([3]Entry!$E$1531="","",[3]Entry!$E$1531)</f>
        <v/>
      </c>
      <c r="AJ1528">
        <f>IF([3]Entry!$G$1531="","",[3]Entry!$G$1531)</f>
        <v/>
      </c>
      <c r="AK1528">
        <f>IF([3]Entry!$K$1531="","",[3]Entry!$K$1531)</f>
        <v/>
      </c>
      <c r="AL1528">
        <f>IF([3]Entry!$L$1531="","",[3]Entry!$L$1531)</f>
        <v/>
      </c>
      <c r="AM1528">
        <f>IF([3]Entry!$M$1531="","",[3]Entry!$M$1531)</f>
        <v/>
      </c>
      <c r="AN1528">
        <f>IF([3]Entry!$N$1531="","",[3]Entry!$N$1531)</f>
        <v/>
      </c>
      <c r="AO1528">
        <f>IF([3]Entry!$R$1531="","",[3]Entry!$R$1531)</f>
        <v/>
      </c>
    </row>
    <row r="1529">
      <c r="U1529">
        <f>IF([2]Baskol!$B$1532="","",[2]Baskol!$B$1532)</f>
        <v/>
      </c>
      <c r="V1529">
        <f>IF([2]Baskol!$C$1532="","",[2]Baskol!$C$1532)</f>
        <v/>
      </c>
      <c r="W1529">
        <f>IF([2]Baskol!$D$1532="","",[2]Baskol!$D$1532)</f>
        <v/>
      </c>
      <c r="X1529">
        <f>IF([2]Baskol!$E$1532="","",[2]Baskol!$E$1532)</f>
        <v/>
      </c>
      <c r="Y1529">
        <f>IF([2]Baskol!$G$1532="","",[2]Baskol!$G$1532)</f>
        <v/>
      </c>
      <c r="Z1529">
        <f>IF([2]Baskol!$I$1532="","",[2]Baskol!$I$1532)</f>
        <v/>
      </c>
      <c r="AA1529">
        <f>IF([2]Baskol!$J$1532="","",[2]Baskol!$J$1532)</f>
        <v/>
      </c>
      <c r="AB1529">
        <f>IF([2]Baskol!$K$1532="","",[2]Baskol!$K$1532)</f>
        <v/>
      </c>
      <c r="AC1529">
        <f>IF([2]Baskol!$L$1532="","",[2]Baskol!$L$1532)</f>
        <v/>
      </c>
      <c r="AD1529">
        <f>IF([2]Baskol!$N$1532="","",[2]Baskol!$N$1532)</f>
        <v/>
      </c>
      <c r="AE1529">
        <f>IF([2]Baskol!$O$1532="","",[2]Baskol!$O$1532)</f>
        <v/>
      </c>
      <c r="AG1529">
        <f>IF([3]Entry!$C$1532="","",[3]Entry!$C$1532)</f>
        <v/>
      </c>
      <c r="AH1529">
        <f>IF([3]Entry!$D$1532="","",[3]Entry!$D$1532)</f>
        <v/>
      </c>
      <c r="AI1529">
        <f>IF([3]Entry!$E$1532="","",[3]Entry!$E$1532)</f>
        <v/>
      </c>
      <c r="AJ1529">
        <f>IF([3]Entry!$G$1532="","",[3]Entry!$G$1532)</f>
        <v/>
      </c>
      <c r="AK1529">
        <f>IF([3]Entry!$K$1532="","",[3]Entry!$K$1532)</f>
        <v/>
      </c>
      <c r="AL1529">
        <f>IF([3]Entry!$L$1532="","",[3]Entry!$L$1532)</f>
        <v/>
      </c>
      <c r="AM1529">
        <f>IF([3]Entry!$M$1532="","",[3]Entry!$M$1532)</f>
        <v/>
      </c>
      <c r="AN1529">
        <f>IF([3]Entry!$N$1532="","",[3]Entry!$N$1532)</f>
        <v/>
      </c>
      <c r="AO1529">
        <f>IF([3]Entry!$R$1532="","",[3]Entry!$R$1532)</f>
        <v/>
      </c>
    </row>
    <row r="1530">
      <c r="U1530">
        <f>IF([2]Baskol!$B$1533="","",[2]Baskol!$B$1533)</f>
        <v/>
      </c>
      <c r="V1530">
        <f>IF([2]Baskol!$C$1533="","",[2]Baskol!$C$1533)</f>
        <v/>
      </c>
      <c r="W1530">
        <f>IF([2]Baskol!$D$1533="","",[2]Baskol!$D$1533)</f>
        <v/>
      </c>
      <c r="X1530">
        <f>IF([2]Baskol!$E$1533="","",[2]Baskol!$E$1533)</f>
        <v/>
      </c>
      <c r="Y1530">
        <f>IF([2]Baskol!$G$1533="","",[2]Baskol!$G$1533)</f>
        <v/>
      </c>
      <c r="Z1530">
        <f>IF([2]Baskol!$I$1533="","",[2]Baskol!$I$1533)</f>
        <v/>
      </c>
      <c r="AA1530">
        <f>IF([2]Baskol!$J$1533="","",[2]Baskol!$J$1533)</f>
        <v/>
      </c>
      <c r="AB1530">
        <f>IF([2]Baskol!$K$1533="","",[2]Baskol!$K$1533)</f>
        <v/>
      </c>
      <c r="AC1530">
        <f>IF([2]Baskol!$L$1533="","",[2]Baskol!$L$1533)</f>
        <v/>
      </c>
      <c r="AD1530">
        <f>IF([2]Baskol!$N$1533="","",[2]Baskol!$N$1533)</f>
        <v/>
      </c>
      <c r="AE1530">
        <f>IF([2]Baskol!$O$1533="","",[2]Baskol!$O$1533)</f>
        <v/>
      </c>
      <c r="AG1530">
        <f>IF([3]Entry!$C$1533="","",[3]Entry!$C$1533)</f>
        <v/>
      </c>
      <c r="AH1530">
        <f>IF([3]Entry!$D$1533="","",[3]Entry!$D$1533)</f>
        <v/>
      </c>
      <c r="AI1530">
        <f>IF([3]Entry!$E$1533="","",[3]Entry!$E$1533)</f>
        <v/>
      </c>
      <c r="AJ1530">
        <f>IF([3]Entry!$G$1533="","",[3]Entry!$G$1533)</f>
        <v/>
      </c>
      <c r="AK1530">
        <f>IF([3]Entry!$K$1533="","",[3]Entry!$K$1533)</f>
        <v/>
      </c>
      <c r="AL1530">
        <f>IF([3]Entry!$L$1533="","",[3]Entry!$L$1533)</f>
        <v/>
      </c>
      <c r="AM1530">
        <f>IF([3]Entry!$M$1533="","",[3]Entry!$M$1533)</f>
        <v/>
      </c>
      <c r="AN1530">
        <f>IF([3]Entry!$N$1533="","",[3]Entry!$N$1533)</f>
        <v/>
      </c>
      <c r="AO1530">
        <f>IF([3]Entry!$R$1533="","",[3]Entry!$R$1533)</f>
        <v/>
      </c>
    </row>
    <row r="1531">
      <c r="U1531">
        <f>IF([2]Baskol!$B$1534="","",[2]Baskol!$B$1534)</f>
        <v/>
      </c>
      <c r="V1531">
        <f>IF([2]Baskol!$C$1534="","",[2]Baskol!$C$1534)</f>
        <v/>
      </c>
      <c r="W1531">
        <f>IF([2]Baskol!$D$1534="","",[2]Baskol!$D$1534)</f>
        <v/>
      </c>
      <c r="X1531">
        <f>IF([2]Baskol!$E$1534="","",[2]Baskol!$E$1534)</f>
        <v/>
      </c>
      <c r="Y1531">
        <f>IF([2]Baskol!$G$1534="","",[2]Baskol!$G$1534)</f>
        <v/>
      </c>
      <c r="Z1531">
        <f>IF([2]Baskol!$I$1534="","",[2]Baskol!$I$1534)</f>
        <v/>
      </c>
      <c r="AA1531">
        <f>IF([2]Baskol!$J$1534="","",[2]Baskol!$J$1534)</f>
        <v/>
      </c>
      <c r="AB1531">
        <f>IF([2]Baskol!$K$1534="","",[2]Baskol!$K$1534)</f>
        <v/>
      </c>
      <c r="AC1531">
        <f>IF([2]Baskol!$L$1534="","",[2]Baskol!$L$1534)</f>
        <v/>
      </c>
      <c r="AD1531">
        <f>IF([2]Baskol!$N$1534="","",[2]Baskol!$N$1534)</f>
        <v/>
      </c>
      <c r="AE1531">
        <f>IF([2]Baskol!$O$1534="","",[2]Baskol!$O$1534)</f>
        <v/>
      </c>
      <c r="AG1531">
        <f>IF([3]Entry!$C$1534="","",[3]Entry!$C$1534)</f>
        <v/>
      </c>
      <c r="AH1531">
        <f>IF([3]Entry!$D$1534="","",[3]Entry!$D$1534)</f>
        <v/>
      </c>
      <c r="AI1531">
        <f>IF([3]Entry!$E$1534="","",[3]Entry!$E$1534)</f>
        <v/>
      </c>
      <c r="AJ1531">
        <f>IF([3]Entry!$G$1534="","",[3]Entry!$G$1534)</f>
        <v/>
      </c>
      <c r="AK1531">
        <f>IF([3]Entry!$K$1534="","",[3]Entry!$K$1534)</f>
        <v/>
      </c>
      <c r="AL1531">
        <f>IF([3]Entry!$L$1534="","",[3]Entry!$L$1534)</f>
        <v/>
      </c>
      <c r="AM1531">
        <f>IF([3]Entry!$M$1534="","",[3]Entry!$M$1534)</f>
        <v/>
      </c>
      <c r="AN1531">
        <f>IF([3]Entry!$N$1534="","",[3]Entry!$N$1534)</f>
        <v/>
      </c>
      <c r="AO1531">
        <f>IF([3]Entry!$R$1534="","",[3]Entry!$R$1534)</f>
        <v/>
      </c>
    </row>
    <row r="1532">
      <c r="U1532">
        <f>IF([2]Baskol!$B$1535="","",[2]Baskol!$B$1535)</f>
        <v/>
      </c>
      <c r="V1532">
        <f>IF([2]Baskol!$C$1535="","",[2]Baskol!$C$1535)</f>
        <v/>
      </c>
      <c r="W1532">
        <f>IF([2]Baskol!$D$1535="","",[2]Baskol!$D$1535)</f>
        <v/>
      </c>
      <c r="X1532">
        <f>IF([2]Baskol!$E$1535="","",[2]Baskol!$E$1535)</f>
        <v/>
      </c>
      <c r="Y1532">
        <f>IF([2]Baskol!$G$1535="","",[2]Baskol!$G$1535)</f>
        <v/>
      </c>
      <c r="Z1532">
        <f>IF([2]Baskol!$I$1535="","",[2]Baskol!$I$1535)</f>
        <v/>
      </c>
      <c r="AA1532">
        <f>IF([2]Baskol!$J$1535="","",[2]Baskol!$J$1535)</f>
        <v/>
      </c>
      <c r="AB1532">
        <f>IF([2]Baskol!$K$1535="","",[2]Baskol!$K$1535)</f>
        <v/>
      </c>
      <c r="AC1532">
        <f>IF([2]Baskol!$L$1535="","",[2]Baskol!$L$1535)</f>
        <v/>
      </c>
      <c r="AD1532">
        <f>IF([2]Baskol!$N$1535="","",[2]Baskol!$N$1535)</f>
        <v/>
      </c>
      <c r="AE1532">
        <f>IF([2]Baskol!$O$1535="","",[2]Baskol!$O$1535)</f>
        <v/>
      </c>
      <c r="AG1532">
        <f>IF([3]Entry!$C$1535="","",[3]Entry!$C$1535)</f>
        <v/>
      </c>
      <c r="AH1532">
        <f>IF([3]Entry!$D$1535="","",[3]Entry!$D$1535)</f>
        <v/>
      </c>
      <c r="AI1532">
        <f>IF([3]Entry!$E$1535="","",[3]Entry!$E$1535)</f>
        <v/>
      </c>
      <c r="AJ1532">
        <f>IF([3]Entry!$G$1535="","",[3]Entry!$G$1535)</f>
        <v/>
      </c>
      <c r="AK1532">
        <f>IF([3]Entry!$K$1535="","",[3]Entry!$K$1535)</f>
        <v/>
      </c>
      <c r="AL1532">
        <f>IF([3]Entry!$L$1535="","",[3]Entry!$L$1535)</f>
        <v/>
      </c>
      <c r="AM1532">
        <f>IF([3]Entry!$M$1535="","",[3]Entry!$M$1535)</f>
        <v/>
      </c>
      <c r="AN1532">
        <f>IF([3]Entry!$N$1535="","",[3]Entry!$N$1535)</f>
        <v/>
      </c>
      <c r="AO1532">
        <f>IF([3]Entry!$R$1535="","",[3]Entry!$R$1535)</f>
        <v/>
      </c>
    </row>
    <row r="1533">
      <c r="U1533">
        <f>IF([2]Baskol!$B$1536="","",[2]Baskol!$B$1536)</f>
        <v/>
      </c>
      <c r="V1533">
        <f>IF([2]Baskol!$C$1536="","",[2]Baskol!$C$1536)</f>
        <v/>
      </c>
      <c r="W1533">
        <f>IF([2]Baskol!$D$1536="","",[2]Baskol!$D$1536)</f>
        <v/>
      </c>
      <c r="X1533">
        <f>IF([2]Baskol!$E$1536="","",[2]Baskol!$E$1536)</f>
        <v/>
      </c>
      <c r="Y1533">
        <f>IF([2]Baskol!$G$1536="","",[2]Baskol!$G$1536)</f>
        <v/>
      </c>
      <c r="Z1533">
        <f>IF([2]Baskol!$I$1536="","",[2]Baskol!$I$1536)</f>
        <v/>
      </c>
      <c r="AA1533">
        <f>IF([2]Baskol!$J$1536="","",[2]Baskol!$J$1536)</f>
        <v/>
      </c>
      <c r="AB1533">
        <f>IF([2]Baskol!$K$1536="","",[2]Baskol!$K$1536)</f>
        <v/>
      </c>
      <c r="AC1533">
        <f>IF([2]Baskol!$L$1536="","",[2]Baskol!$L$1536)</f>
        <v/>
      </c>
      <c r="AD1533">
        <f>IF([2]Baskol!$N$1536="","",[2]Baskol!$N$1536)</f>
        <v/>
      </c>
      <c r="AE1533">
        <f>IF([2]Baskol!$O$1536="","",[2]Baskol!$O$1536)</f>
        <v/>
      </c>
      <c r="AG1533">
        <f>IF([3]Entry!$C$1536="","",[3]Entry!$C$1536)</f>
        <v/>
      </c>
      <c r="AH1533">
        <f>IF([3]Entry!$D$1536="","",[3]Entry!$D$1536)</f>
        <v/>
      </c>
      <c r="AI1533">
        <f>IF([3]Entry!$E$1536="","",[3]Entry!$E$1536)</f>
        <v/>
      </c>
      <c r="AJ1533">
        <f>IF([3]Entry!$G$1536="","",[3]Entry!$G$1536)</f>
        <v/>
      </c>
      <c r="AK1533">
        <f>IF([3]Entry!$K$1536="","",[3]Entry!$K$1536)</f>
        <v/>
      </c>
      <c r="AL1533">
        <f>IF([3]Entry!$L$1536="","",[3]Entry!$L$1536)</f>
        <v/>
      </c>
      <c r="AM1533">
        <f>IF([3]Entry!$M$1536="","",[3]Entry!$M$1536)</f>
        <v/>
      </c>
      <c r="AN1533">
        <f>IF([3]Entry!$N$1536="","",[3]Entry!$N$1536)</f>
        <v/>
      </c>
      <c r="AO1533">
        <f>IF([3]Entry!$R$1536="","",[3]Entry!$R$1536)</f>
        <v/>
      </c>
    </row>
    <row r="1534">
      <c r="U1534">
        <f>IF([2]Baskol!$B$1537="","",[2]Baskol!$B$1537)</f>
        <v/>
      </c>
      <c r="V1534">
        <f>IF([2]Baskol!$C$1537="","",[2]Baskol!$C$1537)</f>
        <v/>
      </c>
      <c r="W1534">
        <f>IF([2]Baskol!$D$1537="","",[2]Baskol!$D$1537)</f>
        <v/>
      </c>
      <c r="X1534">
        <f>IF([2]Baskol!$E$1537="","",[2]Baskol!$E$1537)</f>
        <v/>
      </c>
      <c r="Y1534">
        <f>IF([2]Baskol!$G$1537="","",[2]Baskol!$G$1537)</f>
        <v/>
      </c>
      <c r="Z1534">
        <f>IF([2]Baskol!$I$1537="","",[2]Baskol!$I$1537)</f>
        <v/>
      </c>
      <c r="AA1534">
        <f>IF([2]Baskol!$J$1537="","",[2]Baskol!$J$1537)</f>
        <v/>
      </c>
      <c r="AB1534">
        <f>IF([2]Baskol!$K$1537="","",[2]Baskol!$K$1537)</f>
        <v/>
      </c>
      <c r="AC1534">
        <f>IF([2]Baskol!$L$1537="","",[2]Baskol!$L$1537)</f>
        <v/>
      </c>
      <c r="AD1534">
        <f>IF([2]Baskol!$N$1537="","",[2]Baskol!$N$1537)</f>
        <v/>
      </c>
      <c r="AE1534">
        <f>IF([2]Baskol!$O$1537="","",[2]Baskol!$O$1537)</f>
        <v/>
      </c>
      <c r="AG1534">
        <f>IF([3]Entry!$C$1537="","",[3]Entry!$C$1537)</f>
        <v/>
      </c>
      <c r="AH1534">
        <f>IF([3]Entry!$D$1537="","",[3]Entry!$D$1537)</f>
        <v/>
      </c>
      <c r="AI1534">
        <f>IF([3]Entry!$E$1537="","",[3]Entry!$E$1537)</f>
        <v/>
      </c>
      <c r="AJ1534">
        <f>IF([3]Entry!$G$1537="","",[3]Entry!$G$1537)</f>
        <v/>
      </c>
      <c r="AK1534">
        <f>IF([3]Entry!$K$1537="","",[3]Entry!$K$1537)</f>
        <v/>
      </c>
      <c r="AL1534">
        <f>IF([3]Entry!$L$1537="","",[3]Entry!$L$1537)</f>
        <v/>
      </c>
      <c r="AM1534">
        <f>IF([3]Entry!$M$1537="","",[3]Entry!$M$1537)</f>
        <v/>
      </c>
      <c r="AN1534">
        <f>IF([3]Entry!$N$1537="","",[3]Entry!$N$1537)</f>
        <v/>
      </c>
      <c r="AO1534">
        <f>IF([3]Entry!$R$1537="","",[3]Entry!$R$1537)</f>
        <v/>
      </c>
    </row>
    <row r="1535">
      <c r="U1535">
        <f>IF([2]Baskol!$B$1538="","",[2]Baskol!$B$1538)</f>
        <v/>
      </c>
      <c r="V1535">
        <f>IF([2]Baskol!$C$1538="","",[2]Baskol!$C$1538)</f>
        <v/>
      </c>
      <c r="W1535">
        <f>IF([2]Baskol!$D$1538="","",[2]Baskol!$D$1538)</f>
        <v/>
      </c>
      <c r="X1535">
        <f>IF([2]Baskol!$E$1538="","",[2]Baskol!$E$1538)</f>
        <v/>
      </c>
      <c r="Y1535">
        <f>IF([2]Baskol!$G$1538="","",[2]Baskol!$G$1538)</f>
        <v/>
      </c>
      <c r="Z1535">
        <f>IF([2]Baskol!$I$1538="","",[2]Baskol!$I$1538)</f>
        <v/>
      </c>
      <c r="AA1535">
        <f>IF([2]Baskol!$J$1538="","",[2]Baskol!$J$1538)</f>
        <v/>
      </c>
      <c r="AB1535">
        <f>IF([2]Baskol!$K$1538="","",[2]Baskol!$K$1538)</f>
        <v/>
      </c>
      <c r="AC1535">
        <f>IF([2]Baskol!$L$1538="","",[2]Baskol!$L$1538)</f>
        <v/>
      </c>
      <c r="AD1535">
        <f>IF([2]Baskol!$N$1538="","",[2]Baskol!$N$1538)</f>
        <v/>
      </c>
      <c r="AE1535">
        <f>IF([2]Baskol!$O$1538="","",[2]Baskol!$O$1538)</f>
        <v/>
      </c>
      <c r="AG1535">
        <f>IF([3]Entry!$C$1538="","",[3]Entry!$C$1538)</f>
        <v/>
      </c>
      <c r="AH1535">
        <f>IF([3]Entry!$D$1538="","",[3]Entry!$D$1538)</f>
        <v/>
      </c>
      <c r="AI1535">
        <f>IF([3]Entry!$E$1538="","",[3]Entry!$E$1538)</f>
        <v/>
      </c>
      <c r="AJ1535">
        <f>IF([3]Entry!$G$1538="","",[3]Entry!$G$1538)</f>
        <v/>
      </c>
      <c r="AK1535">
        <f>IF([3]Entry!$K$1538="","",[3]Entry!$K$1538)</f>
        <v/>
      </c>
      <c r="AL1535">
        <f>IF([3]Entry!$L$1538="","",[3]Entry!$L$1538)</f>
        <v/>
      </c>
      <c r="AM1535">
        <f>IF([3]Entry!$M$1538="","",[3]Entry!$M$1538)</f>
        <v/>
      </c>
      <c r="AN1535">
        <f>IF([3]Entry!$N$1538="","",[3]Entry!$N$1538)</f>
        <v/>
      </c>
      <c r="AO1535">
        <f>IF([3]Entry!$R$1538="","",[3]Entry!$R$1538)</f>
        <v/>
      </c>
    </row>
    <row r="1536">
      <c r="U1536">
        <f>IF([2]Baskol!$B$1539="","",[2]Baskol!$B$1539)</f>
        <v/>
      </c>
      <c r="V1536">
        <f>IF([2]Baskol!$C$1539="","",[2]Baskol!$C$1539)</f>
        <v/>
      </c>
      <c r="W1536">
        <f>IF([2]Baskol!$D$1539="","",[2]Baskol!$D$1539)</f>
        <v/>
      </c>
      <c r="X1536">
        <f>IF([2]Baskol!$E$1539="","",[2]Baskol!$E$1539)</f>
        <v/>
      </c>
      <c r="Y1536">
        <f>IF([2]Baskol!$G$1539="","",[2]Baskol!$G$1539)</f>
        <v/>
      </c>
      <c r="Z1536">
        <f>IF([2]Baskol!$I$1539="","",[2]Baskol!$I$1539)</f>
        <v/>
      </c>
      <c r="AA1536">
        <f>IF([2]Baskol!$J$1539="","",[2]Baskol!$J$1539)</f>
        <v/>
      </c>
      <c r="AB1536">
        <f>IF([2]Baskol!$K$1539="","",[2]Baskol!$K$1539)</f>
        <v/>
      </c>
      <c r="AC1536">
        <f>IF([2]Baskol!$L$1539="","",[2]Baskol!$L$1539)</f>
        <v/>
      </c>
      <c r="AD1536">
        <f>IF([2]Baskol!$N$1539="","",[2]Baskol!$N$1539)</f>
        <v/>
      </c>
      <c r="AE1536">
        <f>IF([2]Baskol!$O$1539="","",[2]Baskol!$O$1539)</f>
        <v/>
      </c>
      <c r="AG1536">
        <f>IF([3]Entry!$C$1539="","",[3]Entry!$C$1539)</f>
        <v/>
      </c>
      <c r="AH1536">
        <f>IF([3]Entry!$D$1539="","",[3]Entry!$D$1539)</f>
        <v/>
      </c>
      <c r="AI1536">
        <f>IF([3]Entry!$E$1539="","",[3]Entry!$E$1539)</f>
        <v/>
      </c>
      <c r="AJ1536">
        <f>IF([3]Entry!$G$1539="","",[3]Entry!$G$1539)</f>
        <v/>
      </c>
      <c r="AK1536">
        <f>IF([3]Entry!$K$1539="","",[3]Entry!$K$1539)</f>
        <v/>
      </c>
      <c r="AL1536">
        <f>IF([3]Entry!$L$1539="","",[3]Entry!$L$1539)</f>
        <v/>
      </c>
      <c r="AM1536">
        <f>IF([3]Entry!$M$1539="","",[3]Entry!$M$1539)</f>
        <v/>
      </c>
      <c r="AN1536">
        <f>IF([3]Entry!$N$1539="","",[3]Entry!$N$1539)</f>
        <v/>
      </c>
      <c r="AO1536">
        <f>IF([3]Entry!$R$1539="","",[3]Entry!$R$1539)</f>
        <v/>
      </c>
    </row>
    <row r="1537">
      <c r="U1537">
        <f>IF([2]Baskol!$B$1540="","",[2]Baskol!$B$1540)</f>
        <v/>
      </c>
      <c r="V1537">
        <f>IF([2]Baskol!$C$1540="","",[2]Baskol!$C$1540)</f>
        <v/>
      </c>
      <c r="W1537">
        <f>IF([2]Baskol!$D$1540="","",[2]Baskol!$D$1540)</f>
        <v/>
      </c>
      <c r="X1537">
        <f>IF([2]Baskol!$E$1540="","",[2]Baskol!$E$1540)</f>
        <v/>
      </c>
      <c r="Y1537">
        <f>IF([2]Baskol!$G$1540="","",[2]Baskol!$G$1540)</f>
        <v/>
      </c>
      <c r="Z1537">
        <f>IF([2]Baskol!$I$1540="","",[2]Baskol!$I$1540)</f>
        <v/>
      </c>
      <c r="AA1537">
        <f>IF([2]Baskol!$J$1540="","",[2]Baskol!$J$1540)</f>
        <v/>
      </c>
      <c r="AB1537">
        <f>IF([2]Baskol!$K$1540="","",[2]Baskol!$K$1540)</f>
        <v/>
      </c>
      <c r="AC1537">
        <f>IF([2]Baskol!$L$1540="","",[2]Baskol!$L$1540)</f>
        <v/>
      </c>
      <c r="AD1537">
        <f>IF([2]Baskol!$N$1540="","",[2]Baskol!$N$1540)</f>
        <v/>
      </c>
      <c r="AE1537">
        <f>IF([2]Baskol!$O$1540="","",[2]Baskol!$O$1540)</f>
        <v/>
      </c>
      <c r="AG1537">
        <f>IF([3]Entry!$C$1540="","",[3]Entry!$C$1540)</f>
        <v/>
      </c>
      <c r="AH1537">
        <f>IF([3]Entry!$D$1540="","",[3]Entry!$D$1540)</f>
        <v/>
      </c>
      <c r="AI1537">
        <f>IF([3]Entry!$E$1540="","",[3]Entry!$E$1540)</f>
        <v/>
      </c>
      <c r="AJ1537">
        <f>IF([3]Entry!$G$1540="","",[3]Entry!$G$1540)</f>
        <v/>
      </c>
      <c r="AK1537">
        <f>IF([3]Entry!$K$1540="","",[3]Entry!$K$1540)</f>
        <v/>
      </c>
      <c r="AL1537">
        <f>IF([3]Entry!$L$1540="","",[3]Entry!$L$1540)</f>
        <v/>
      </c>
      <c r="AM1537">
        <f>IF([3]Entry!$M$1540="","",[3]Entry!$M$1540)</f>
        <v/>
      </c>
      <c r="AN1537">
        <f>IF([3]Entry!$N$1540="","",[3]Entry!$N$1540)</f>
        <v/>
      </c>
      <c r="AO1537">
        <f>IF([3]Entry!$R$1540="","",[3]Entry!$R$1540)</f>
        <v/>
      </c>
    </row>
    <row r="1538">
      <c r="U1538">
        <f>IF([2]Baskol!$B$1541="","",[2]Baskol!$B$1541)</f>
        <v/>
      </c>
      <c r="V1538">
        <f>IF([2]Baskol!$C$1541="","",[2]Baskol!$C$1541)</f>
        <v/>
      </c>
      <c r="W1538">
        <f>IF([2]Baskol!$D$1541="","",[2]Baskol!$D$1541)</f>
        <v/>
      </c>
      <c r="X1538">
        <f>IF([2]Baskol!$E$1541="","",[2]Baskol!$E$1541)</f>
        <v/>
      </c>
      <c r="Y1538">
        <f>IF([2]Baskol!$G$1541="","",[2]Baskol!$G$1541)</f>
        <v/>
      </c>
      <c r="Z1538">
        <f>IF([2]Baskol!$I$1541="","",[2]Baskol!$I$1541)</f>
        <v/>
      </c>
      <c r="AA1538">
        <f>IF([2]Baskol!$J$1541="","",[2]Baskol!$J$1541)</f>
        <v/>
      </c>
      <c r="AB1538">
        <f>IF([2]Baskol!$K$1541="","",[2]Baskol!$K$1541)</f>
        <v/>
      </c>
      <c r="AC1538">
        <f>IF([2]Baskol!$L$1541="","",[2]Baskol!$L$1541)</f>
        <v/>
      </c>
      <c r="AD1538">
        <f>IF([2]Baskol!$N$1541="","",[2]Baskol!$N$1541)</f>
        <v/>
      </c>
      <c r="AE1538">
        <f>IF([2]Baskol!$O$1541="","",[2]Baskol!$O$1541)</f>
        <v/>
      </c>
      <c r="AG1538">
        <f>IF([3]Entry!$C$1541="","",[3]Entry!$C$1541)</f>
        <v/>
      </c>
      <c r="AH1538">
        <f>IF([3]Entry!$D$1541="","",[3]Entry!$D$1541)</f>
        <v/>
      </c>
      <c r="AI1538">
        <f>IF([3]Entry!$E$1541="","",[3]Entry!$E$1541)</f>
        <v/>
      </c>
      <c r="AJ1538">
        <f>IF([3]Entry!$G$1541="","",[3]Entry!$G$1541)</f>
        <v/>
      </c>
      <c r="AK1538">
        <f>IF([3]Entry!$K$1541="","",[3]Entry!$K$1541)</f>
        <v/>
      </c>
      <c r="AL1538">
        <f>IF([3]Entry!$L$1541="","",[3]Entry!$L$1541)</f>
        <v/>
      </c>
      <c r="AM1538">
        <f>IF([3]Entry!$M$1541="","",[3]Entry!$M$1541)</f>
        <v/>
      </c>
      <c r="AN1538">
        <f>IF([3]Entry!$N$1541="","",[3]Entry!$N$1541)</f>
        <v/>
      </c>
      <c r="AO1538">
        <f>IF([3]Entry!$R$1541="","",[3]Entry!$R$1541)</f>
        <v/>
      </c>
    </row>
    <row r="1539">
      <c r="U1539">
        <f>IF([2]Baskol!$B$1542="","",[2]Baskol!$B$1542)</f>
        <v/>
      </c>
      <c r="V1539">
        <f>IF([2]Baskol!$C$1542="","",[2]Baskol!$C$1542)</f>
        <v/>
      </c>
      <c r="W1539">
        <f>IF([2]Baskol!$D$1542="","",[2]Baskol!$D$1542)</f>
        <v/>
      </c>
      <c r="X1539">
        <f>IF([2]Baskol!$E$1542="","",[2]Baskol!$E$1542)</f>
        <v/>
      </c>
      <c r="Y1539">
        <f>IF([2]Baskol!$G$1542="","",[2]Baskol!$G$1542)</f>
        <v/>
      </c>
      <c r="Z1539">
        <f>IF([2]Baskol!$I$1542="","",[2]Baskol!$I$1542)</f>
        <v/>
      </c>
      <c r="AA1539">
        <f>IF([2]Baskol!$J$1542="","",[2]Baskol!$J$1542)</f>
        <v/>
      </c>
      <c r="AB1539">
        <f>IF([2]Baskol!$K$1542="","",[2]Baskol!$K$1542)</f>
        <v/>
      </c>
      <c r="AC1539">
        <f>IF([2]Baskol!$L$1542="","",[2]Baskol!$L$1542)</f>
        <v/>
      </c>
      <c r="AD1539">
        <f>IF([2]Baskol!$N$1542="","",[2]Baskol!$N$1542)</f>
        <v/>
      </c>
      <c r="AE1539">
        <f>IF([2]Baskol!$O$1542="","",[2]Baskol!$O$1542)</f>
        <v/>
      </c>
      <c r="AG1539">
        <f>IF([3]Entry!$C$1542="","",[3]Entry!$C$1542)</f>
        <v/>
      </c>
      <c r="AH1539">
        <f>IF([3]Entry!$D$1542="","",[3]Entry!$D$1542)</f>
        <v/>
      </c>
      <c r="AI1539">
        <f>IF([3]Entry!$E$1542="","",[3]Entry!$E$1542)</f>
        <v/>
      </c>
      <c r="AJ1539">
        <f>IF([3]Entry!$G$1542="","",[3]Entry!$G$1542)</f>
        <v/>
      </c>
      <c r="AK1539">
        <f>IF([3]Entry!$K$1542="","",[3]Entry!$K$1542)</f>
        <v/>
      </c>
      <c r="AL1539">
        <f>IF([3]Entry!$L$1542="","",[3]Entry!$L$1542)</f>
        <v/>
      </c>
      <c r="AM1539">
        <f>IF([3]Entry!$M$1542="","",[3]Entry!$M$1542)</f>
        <v/>
      </c>
      <c r="AN1539">
        <f>IF([3]Entry!$N$1542="","",[3]Entry!$N$1542)</f>
        <v/>
      </c>
      <c r="AO1539">
        <f>IF([3]Entry!$R$1542="","",[3]Entry!$R$1542)</f>
        <v/>
      </c>
    </row>
    <row r="1540">
      <c r="U1540">
        <f>IF([2]Baskol!$B$1543="","",[2]Baskol!$B$1543)</f>
        <v/>
      </c>
      <c r="V1540">
        <f>IF([2]Baskol!$C$1543="","",[2]Baskol!$C$1543)</f>
        <v/>
      </c>
      <c r="W1540">
        <f>IF([2]Baskol!$D$1543="","",[2]Baskol!$D$1543)</f>
        <v/>
      </c>
      <c r="X1540">
        <f>IF([2]Baskol!$E$1543="","",[2]Baskol!$E$1543)</f>
        <v/>
      </c>
      <c r="Y1540">
        <f>IF([2]Baskol!$G$1543="","",[2]Baskol!$G$1543)</f>
        <v/>
      </c>
      <c r="Z1540">
        <f>IF([2]Baskol!$I$1543="","",[2]Baskol!$I$1543)</f>
        <v/>
      </c>
      <c r="AA1540">
        <f>IF([2]Baskol!$J$1543="","",[2]Baskol!$J$1543)</f>
        <v/>
      </c>
      <c r="AB1540">
        <f>IF([2]Baskol!$K$1543="","",[2]Baskol!$K$1543)</f>
        <v/>
      </c>
      <c r="AC1540">
        <f>IF([2]Baskol!$L$1543="","",[2]Baskol!$L$1543)</f>
        <v/>
      </c>
      <c r="AD1540">
        <f>IF([2]Baskol!$N$1543="","",[2]Baskol!$N$1543)</f>
        <v/>
      </c>
      <c r="AE1540">
        <f>IF([2]Baskol!$O$1543="","",[2]Baskol!$O$1543)</f>
        <v/>
      </c>
      <c r="AG1540">
        <f>IF([3]Entry!$C$1543="","",[3]Entry!$C$1543)</f>
        <v/>
      </c>
      <c r="AH1540">
        <f>IF([3]Entry!$D$1543="","",[3]Entry!$D$1543)</f>
        <v/>
      </c>
      <c r="AI1540">
        <f>IF([3]Entry!$E$1543="","",[3]Entry!$E$1543)</f>
        <v/>
      </c>
      <c r="AJ1540">
        <f>IF([3]Entry!$G$1543="","",[3]Entry!$G$1543)</f>
        <v/>
      </c>
      <c r="AK1540">
        <f>IF([3]Entry!$K$1543="","",[3]Entry!$K$1543)</f>
        <v/>
      </c>
      <c r="AL1540">
        <f>IF([3]Entry!$L$1543="","",[3]Entry!$L$1543)</f>
        <v/>
      </c>
      <c r="AM1540">
        <f>IF([3]Entry!$M$1543="","",[3]Entry!$M$1543)</f>
        <v/>
      </c>
      <c r="AN1540">
        <f>IF([3]Entry!$N$1543="","",[3]Entry!$N$1543)</f>
        <v/>
      </c>
      <c r="AO1540">
        <f>IF([3]Entry!$R$1543="","",[3]Entry!$R$1543)</f>
        <v/>
      </c>
    </row>
    <row r="1541">
      <c r="U1541">
        <f>IF([2]Baskol!$B$1544="","",[2]Baskol!$B$1544)</f>
        <v/>
      </c>
      <c r="V1541">
        <f>IF([2]Baskol!$C$1544="","",[2]Baskol!$C$1544)</f>
        <v/>
      </c>
      <c r="W1541">
        <f>IF([2]Baskol!$D$1544="","",[2]Baskol!$D$1544)</f>
        <v/>
      </c>
      <c r="X1541">
        <f>IF([2]Baskol!$E$1544="","",[2]Baskol!$E$1544)</f>
        <v/>
      </c>
      <c r="Y1541">
        <f>IF([2]Baskol!$G$1544="","",[2]Baskol!$G$1544)</f>
        <v/>
      </c>
      <c r="Z1541">
        <f>IF([2]Baskol!$I$1544="","",[2]Baskol!$I$1544)</f>
        <v/>
      </c>
      <c r="AA1541">
        <f>IF([2]Baskol!$J$1544="","",[2]Baskol!$J$1544)</f>
        <v/>
      </c>
      <c r="AB1541">
        <f>IF([2]Baskol!$K$1544="","",[2]Baskol!$K$1544)</f>
        <v/>
      </c>
      <c r="AC1541">
        <f>IF([2]Baskol!$L$1544="","",[2]Baskol!$L$1544)</f>
        <v/>
      </c>
      <c r="AD1541">
        <f>IF([2]Baskol!$N$1544="","",[2]Baskol!$N$1544)</f>
        <v/>
      </c>
      <c r="AE1541">
        <f>IF([2]Baskol!$O$1544="","",[2]Baskol!$O$1544)</f>
        <v/>
      </c>
      <c r="AG1541">
        <f>IF([3]Entry!$C$1544="","",[3]Entry!$C$1544)</f>
        <v/>
      </c>
      <c r="AH1541">
        <f>IF([3]Entry!$D$1544="","",[3]Entry!$D$1544)</f>
        <v/>
      </c>
      <c r="AI1541">
        <f>IF([3]Entry!$E$1544="","",[3]Entry!$E$1544)</f>
        <v/>
      </c>
      <c r="AJ1541">
        <f>IF([3]Entry!$G$1544="","",[3]Entry!$G$1544)</f>
        <v/>
      </c>
      <c r="AK1541">
        <f>IF([3]Entry!$K$1544="","",[3]Entry!$K$1544)</f>
        <v/>
      </c>
      <c r="AL1541">
        <f>IF([3]Entry!$L$1544="","",[3]Entry!$L$1544)</f>
        <v/>
      </c>
      <c r="AM1541">
        <f>IF([3]Entry!$M$1544="","",[3]Entry!$M$1544)</f>
        <v/>
      </c>
      <c r="AN1541">
        <f>IF([3]Entry!$N$1544="","",[3]Entry!$N$1544)</f>
        <v/>
      </c>
      <c r="AO1541">
        <f>IF([3]Entry!$R$1544="","",[3]Entry!$R$1544)</f>
        <v/>
      </c>
    </row>
    <row r="1542">
      <c r="U1542">
        <f>IF([2]Baskol!$B$1545="","",[2]Baskol!$B$1545)</f>
        <v/>
      </c>
      <c r="V1542">
        <f>IF([2]Baskol!$C$1545="","",[2]Baskol!$C$1545)</f>
        <v/>
      </c>
      <c r="W1542">
        <f>IF([2]Baskol!$D$1545="","",[2]Baskol!$D$1545)</f>
        <v/>
      </c>
      <c r="X1542">
        <f>IF([2]Baskol!$E$1545="","",[2]Baskol!$E$1545)</f>
        <v/>
      </c>
      <c r="Y1542">
        <f>IF([2]Baskol!$G$1545="","",[2]Baskol!$G$1545)</f>
        <v/>
      </c>
      <c r="Z1542">
        <f>IF([2]Baskol!$I$1545="","",[2]Baskol!$I$1545)</f>
        <v/>
      </c>
      <c r="AA1542">
        <f>IF([2]Baskol!$J$1545="","",[2]Baskol!$J$1545)</f>
        <v/>
      </c>
      <c r="AB1542">
        <f>IF([2]Baskol!$K$1545="","",[2]Baskol!$K$1545)</f>
        <v/>
      </c>
      <c r="AC1542">
        <f>IF([2]Baskol!$L$1545="","",[2]Baskol!$L$1545)</f>
        <v/>
      </c>
      <c r="AD1542">
        <f>IF([2]Baskol!$N$1545="","",[2]Baskol!$N$1545)</f>
        <v/>
      </c>
      <c r="AE1542">
        <f>IF([2]Baskol!$O$1545="","",[2]Baskol!$O$1545)</f>
        <v/>
      </c>
      <c r="AG1542">
        <f>IF([3]Entry!$C$1545="","",[3]Entry!$C$1545)</f>
        <v/>
      </c>
      <c r="AH1542">
        <f>IF([3]Entry!$D$1545="","",[3]Entry!$D$1545)</f>
        <v/>
      </c>
      <c r="AI1542">
        <f>IF([3]Entry!$E$1545="","",[3]Entry!$E$1545)</f>
        <v/>
      </c>
      <c r="AJ1542">
        <f>IF([3]Entry!$G$1545="","",[3]Entry!$G$1545)</f>
        <v/>
      </c>
      <c r="AK1542">
        <f>IF([3]Entry!$K$1545="","",[3]Entry!$K$1545)</f>
        <v/>
      </c>
      <c r="AL1542">
        <f>IF([3]Entry!$L$1545="","",[3]Entry!$L$1545)</f>
        <v/>
      </c>
      <c r="AM1542">
        <f>IF([3]Entry!$M$1545="","",[3]Entry!$M$1545)</f>
        <v/>
      </c>
      <c r="AN1542">
        <f>IF([3]Entry!$N$1545="","",[3]Entry!$N$1545)</f>
        <v/>
      </c>
      <c r="AO1542">
        <f>IF([3]Entry!$R$1545="","",[3]Entry!$R$1545)</f>
        <v/>
      </c>
    </row>
    <row r="1543">
      <c r="U1543">
        <f>IF([2]Baskol!$B$1546="","",[2]Baskol!$B$1546)</f>
        <v/>
      </c>
      <c r="V1543">
        <f>IF([2]Baskol!$C$1546="","",[2]Baskol!$C$1546)</f>
        <v/>
      </c>
      <c r="W1543">
        <f>IF([2]Baskol!$D$1546="","",[2]Baskol!$D$1546)</f>
        <v/>
      </c>
      <c r="X1543">
        <f>IF([2]Baskol!$E$1546="","",[2]Baskol!$E$1546)</f>
        <v/>
      </c>
      <c r="Y1543">
        <f>IF([2]Baskol!$G$1546="","",[2]Baskol!$G$1546)</f>
        <v/>
      </c>
      <c r="Z1543">
        <f>IF([2]Baskol!$I$1546="","",[2]Baskol!$I$1546)</f>
        <v/>
      </c>
      <c r="AA1543">
        <f>IF([2]Baskol!$J$1546="","",[2]Baskol!$J$1546)</f>
        <v/>
      </c>
      <c r="AB1543">
        <f>IF([2]Baskol!$K$1546="","",[2]Baskol!$K$1546)</f>
        <v/>
      </c>
      <c r="AC1543">
        <f>IF([2]Baskol!$L$1546="","",[2]Baskol!$L$1546)</f>
        <v/>
      </c>
      <c r="AD1543">
        <f>IF([2]Baskol!$N$1546="","",[2]Baskol!$N$1546)</f>
        <v/>
      </c>
      <c r="AE1543">
        <f>IF([2]Baskol!$O$1546="","",[2]Baskol!$O$1546)</f>
        <v/>
      </c>
      <c r="AG1543">
        <f>IF([3]Entry!$C$1546="","",[3]Entry!$C$1546)</f>
        <v/>
      </c>
      <c r="AH1543">
        <f>IF([3]Entry!$D$1546="","",[3]Entry!$D$1546)</f>
        <v/>
      </c>
      <c r="AI1543">
        <f>IF([3]Entry!$E$1546="","",[3]Entry!$E$1546)</f>
        <v/>
      </c>
      <c r="AJ1543">
        <f>IF([3]Entry!$G$1546="","",[3]Entry!$G$1546)</f>
        <v/>
      </c>
      <c r="AK1543">
        <f>IF([3]Entry!$K$1546="","",[3]Entry!$K$1546)</f>
        <v/>
      </c>
      <c r="AL1543">
        <f>IF([3]Entry!$L$1546="","",[3]Entry!$L$1546)</f>
        <v/>
      </c>
      <c r="AM1543">
        <f>IF([3]Entry!$M$1546="","",[3]Entry!$M$1546)</f>
        <v/>
      </c>
      <c r="AN1543">
        <f>IF([3]Entry!$N$1546="","",[3]Entry!$N$1546)</f>
        <v/>
      </c>
      <c r="AO1543">
        <f>IF([3]Entry!$R$1546="","",[3]Entry!$R$1546)</f>
        <v/>
      </c>
    </row>
    <row r="1544">
      <c r="U1544">
        <f>IF([2]Baskol!$B$1547="","",[2]Baskol!$B$1547)</f>
        <v/>
      </c>
      <c r="V1544">
        <f>IF([2]Baskol!$C$1547="","",[2]Baskol!$C$1547)</f>
        <v/>
      </c>
      <c r="W1544">
        <f>IF([2]Baskol!$D$1547="","",[2]Baskol!$D$1547)</f>
        <v/>
      </c>
      <c r="X1544">
        <f>IF([2]Baskol!$E$1547="","",[2]Baskol!$E$1547)</f>
        <v/>
      </c>
      <c r="Y1544">
        <f>IF([2]Baskol!$G$1547="","",[2]Baskol!$G$1547)</f>
        <v/>
      </c>
      <c r="Z1544">
        <f>IF([2]Baskol!$I$1547="","",[2]Baskol!$I$1547)</f>
        <v/>
      </c>
      <c r="AA1544">
        <f>IF([2]Baskol!$J$1547="","",[2]Baskol!$J$1547)</f>
        <v/>
      </c>
      <c r="AB1544">
        <f>IF([2]Baskol!$K$1547="","",[2]Baskol!$K$1547)</f>
        <v/>
      </c>
      <c r="AC1544">
        <f>IF([2]Baskol!$L$1547="","",[2]Baskol!$L$1547)</f>
        <v/>
      </c>
      <c r="AD1544">
        <f>IF([2]Baskol!$N$1547="","",[2]Baskol!$N$1547)</f>
        <v/>
      </c>
      <c r="AE1544">
        <f>IF([2]Baskol!$O$1547="","",[2]Baskol!$O$1547)</f>
        <v/>
      </c>
      <c r="AG1544">
        <f>IF([3]Entry!$C$1547="","",[3]Entry!$C$1547)</f>
        <v/>
      </c>
      <c r="AH1544">
        <f>IF([3]Entry!$D$1547="","",[3]Entry!$D$1547)</f>
        <v/>
      </c>
      <c r="AI1544">
        <f>IF([3]Entry!$E$1547="","",[3]Entry!$E$1547)</f>
        <v/>
      </c>
      <c r="AJ1544">
        <f>IF([3]Entry!$G$1547="","",[3]Entry!$G$1547)</f>
        <v/>
      </c>
      <c r="AK1544">
        <f>IF([3]Entry!$K$1547="","",[3]Entry!$K$1547)</f>
        <v/>
      </c>
      <c r="AL1544">
        <f>IF([3]Entry!$L$1547="","",[3]Entry!$L$1547)</f>
        <v/>
      </c>
      <c r="AM1544">
        <f>IF([3]Entry!$M$1547="","",[3]Entry!$M$1547)</f>
        <v/>
      </c>
      <c r="AN1544">
        <f>IF([3]Entry!$N$1547="","",[3]Entry!$N$1547)</f>
        <v/>
      </c>
      <c r="AO1544">
        <f>IF([3]Entry!$R$1547="","",[3]Entry!$R$1547)</f>
        <v/>
      </c>
    </row>
    <row r="1545">
      <c r="U1545">
        <f>IF([2]Baskol!$B$1548="","",[2]Baskol!$B$1548)</f>
        <v/>
      </c>
      <c r="V1545">
        <f>IF([2]Baskol!$C$1548="","",[2]Baskol!$C$1548)</f>
        <v/>
      </c>
      <c r="W1545">
        <f>IF([2]Baskol!$D$1548="","",[2]Baskol!$D$1548)</f>
        <v/>
      </c>
      <c r="X1545">
        <f>IF([2]Baskol!$E$1548="","",[2]Baskol!$E$1548)</f>
        <v/>
      </c>
      <c r="Y1545">
        <f>IF([2]Baskol!$G$1548="","",[2]Baskol!$G$1548)</f>
        <v/>
      </c>
      <c r="Z1545">
        <f>IF([2]Baskol!$I$1548="","",[2]Baskol!$I$1548)</f>
        <v/>
      </c>
      <c r="AA1545">
        <f>IF([2]Baskol!$J$1548="","",[2]Baskol!$J$1548)</f>
        <v/>
      </c>
      <c r="AB1545">
        <f>IF([2]Baskol!$K$1548="","",[2]Baskol!$K$1548)</f>
        <v/>
      </c>
      <c r="AC1545">
        <f>IF([2]Baskol!$L$1548="","",[2]Baskol!$L$1548)</f>
        <v/>
      </c>
      <c r="AD1545">
        <f>IF([2]Baskol!$N$1548="","",[2]Baskol!$N$1548)</f>
        <v/>
      </c>
      <c r="AE1545">
        <f>IF([2]Baskol!$O$1548="","",[2]Baskol!$O$1548)</f>
        <v/>
      </c>
      <c r="AG1545">
        <f>IF([3]Entry!$C$1548="","",[3]Entry!$C$1548)</f>
        <v/>
      </c>
      <c r="AH1545">
        <f>IF([3]Entry!$D$1548="","",[3]Entry!$D$1548)</f>
        <v/>
      </c>
      <c r="AI1545">
        <f>IF([3]Entry!$E$1548="","",[3]Entry!$E$1548)</f>
        <v/>
      </c>
      <c r="AJ1545">
        <f>IF([3]Entry!$G$1548="","",[3]Entry!$G$1548)</f>
        <v/>
      </c>
      <c r="AK1545">
        <f>IF([3]Entry!$K$1548="","",[3]Entry!$K$1548)</f>
        <v/>
      </c>
      <c r="AL1545">
        <f>IF([3]Entry!$L$1548="","",[3]Entry!$L$1548)</f>
        <v/>
      </c>
      <c r="AM1545">
        <f>IF([3]Entry!$M$1548="","",[3]Entry!$M$1548)</f>
        <v/>
      </c>
      <c r="AN1545">
        <f>IF([3]Entry!$N$1548="","",[3]Entry!$N$1548)</f>
        <v/>
      </c>
      <c r="AO1545">
        <f>IF([3]Entry!$R$1548="","",[3]Entry!$R$1548)</f>
        <v/>
      </c>
    </row>
    <row r="1546">
      <c r="U1546">
        <f>IF([2]Baskol!$B$1549="","",[2]Baskol!$B$1549)</f>
        <v/>
      </c>
      <c r="V1546">
        <f>IF([2]Baskol!$C$1549="","",[2]Baskol!$C$1549)</f>
        <v/>
      </c>
      <c r="W1546">
        <f>IF([2]Baskol!$D$1549="","",[2]Baskol!$D$1549)</f>
        <v/>
      </c>
      <c r="X1546">
        <f>IF([2]Baskol!$E$1549="","",[2]Baskol!$E$1549)</f>
        <v/>
      </c>
      <c r="Y1546">
        <f>IF([2]Baskol!$G$1549="","",[2]Baskol!$G$1549)</f>
        <v/>
      </c>
      <c r="Z1546">
        <f>IF([2]Baskol!$I$1549="","",[2]Baskol!$I$1549)</f>
        <v/>
      </c>
      <c r="AA1546">
        <f>IF([2]Baskol!$J$1549="","",[2]Baskol!$J$1549)</f>
        <v/>
      </c>
      <c r="AB1546">
        <f>IF([2]Baskol!$K$1549="","",[2]Baskol!$K$1549)</f>
        <v/>
      </c>
      <c r="AC1546">
        <f>IF([2]Baskol!$L$1549="","",[2]Baskol!$L$1549)</f>
        <v/>
      </c>
      <c r="AD1546">
        <f>IF([2]Baskol!$N$1549="","",[2]Baskol!$N$1549)</f>
        <v/>
      </c>
      <c r="AE1546">
        <f>IF([2]Baskol!$O$1549="","",[2]Baskol!$O$1549)</f>
        <v/>
      </c>
      <c r="AG1546">
        <f>IF([3]Entry!$C$1549="","",[3]Entry!$C$1549)</f>
        <v/>
      </c>
      <c r="AH1546">
        <f>IF([3]Entry!$D$1549="","",[3]Entry!$D$1549)</f>
        <v/>
      </c>
      <c r="AI1546">
        <f>IF([3]Entry!$E$1549="","",[3]Entry!$E$1549)</f>
        <v/>
      </c>
      <c r="AJ1546">
        <f>IF([3]Entry!$G$1549="","",[3]Entry!$G$1549)</f>
        <v/>
      </c>
      <c r="AK1546">
        <f>IF([3]Entry!$K$1549="","",[3]Entry!$K$1549)</f>
        <v/>
      </c>
      <c r="AL1546">
        <f>IF([3]Entry!$L$1549="","",[3]Entry!$L$1549)</f>
        <v/>
      </c>
      <c r="AM1546">
        <f>IF([3]Entry!$M$1549="","",[3]Entry!$M$1549)</f>
        <v/>
      </c>
      <c r="AN1546">
        <f>IF([3]Entry!$N$1549="","",[3]Entry!$N$1549)</f>
        <v/>
      </c>
      <c r="AO1546">
        <f>IF([3]Entry!$R$1549="","",[3]Entry!$R$1549)</f>
        <v/>
      </c>
    </row>
    <row r="1547">
      <c r="U1547">
        <f>IF([2]Baskol!$B$1550="","",[2]Baskol!$B$1550)</f>
        <v/>
      </c>
      <c r="V1547">
        <f>IF([2]Baskol!$C$1550="","",[2]Baskol!$C$1550)</f>
        <v/>
      </c>
      <c r="W1547">
        <f>IF([2]Baskol!$D$1550="","",[2]Baskol!$D$1550)</f>
        <v/>
      </c>
      <c r="X1547">
        <f>IF([2]Baskol!$E$1550="","",[2]Baskol!$E$1550)</f>
        <v/>
      </c>
      <c r="Y1547">
        <f>IF([2]Baskol!$G$1550="","",[2]Baskol!$G$1550)</f>
        <v/>
      </c>
      <c r="Z1547">
        <f>IF([2]Baskol!$I$1550="","",[2]Baskol!$I$1550)</f>
        <v/>
      </c>
      <c r="AA1547">
        <f>IF([2]Baskol!$J$1550="","",[2]Baskol!$J$1550)</f>
        <v/>
      </c>
      <c r="AB1547">
        <f>IF([2]Baskol!$K$1550="","",[2]Baskol!$K$1550)</f>
        <v/>
      </c>
      <c r="AC1547">
        <f>IF([2]Baskol!$L$1550="","",[2]Baskol!$L$1550)</f>
        <v/>
      </c>
      <c r="AD1547">
        <f>IF([2]Baskol!$N$1550="","",[2]Baskol!$N$1550)</f>
        <v/>
      </c>
      <c r="AE1547">
        <f>IF([2]Baskol!$O$1550="","",[2]Baskol!$O$1550)</f>
        <v/>
      </c>
      <c r="AG1547">
        <f>IF([3]Entry!$C$1550="","",[3]Entry!$C$1550)</f>
        <v/>
      </c>
      <c r="AH1547">
        <f>IF([3]Entry!$D$1550="","",[3]Entry!$D$1550)</f>
        <v/>
      </c>
      <c r="AI1547">
        <f>IF([3]Entry!$E$1550="","",[3]Entry!$E$1550)</f>
        <v/>
      </c>
      <c r="AJ1547">
        <f>IF([3]Entry!$G$1550="","",[3]Entry!$G$1550)</f>
        <v/>
      </c>
      <c r="AK1547">
        <f>IF([3]Entry!$K$1550="","",[3]Entry!$K$1550)</f>
        <v/>
      </c>
      <c r="AL1547">
        <f>IF([3]Entry!$L$1550="","",[3]Entry!$L$1550)</f>
        <v/>
      </c>
      <c r="AM1547">
        <f>IF([3]Entry!$M$1550="","",[3]Entry!$M$1550)</f>
        <v/>
      </c>
      <c r="AN1547">
        <f>IF([3]Entry!$N$1550="","",[3]Entry!$N$1550)</f>
        <v/>
      </c>
      <c r="AO1547">
        <f>IF([3]Entry!$R$1550="","",[3]Entry!$R$1550)</f>
        <v/>
      </c>
    </row>
    <row r="1548">
      <c r="U1548">
        <f>IF([2]Baskol!$B$1551="","",[2]Baskol!$B$1551)</f>
        <v/>
      </c>
      <c r="V1548">
        <f>IF([2]Baskol!$C$1551="","",[2]Baskol!$C$1551)</f>
        <v/>
      </c>
      <c r="W1548">
        <f>IF([2]Baskol!$D$1551="","",[2]Baskol!$D$1551)</f>
        <v/>
      </c>
      <c r="X1548">
        <f>IF([2]Baskol!$E$1551="","",[2]Baskol!$E$1551)</f>
        <v/>
      </c>
      <c r="Y1548">
        <f>IF([2]Baskol!$G$1551="","",[2]Baskol!$G$1551)</f>
        <v/>
      </c>
      <c r="Z1548">
        <f>IF([2]Baskol!$I$1551="","",[2]Baskol!$I$1551)</f>
        <v/>
      </c>
      <c r="AA1548">
        <f>IF([2]Baskol!$J$1551="","",[2]Baskol!$J$1551)</f>
        <v/>
      </c>
      <c r="AB1548">
        <f>IF([2]Baskol!$K$1551="","",[2]Baskol!$K$1551)</f>
        <v/>
      </c>
      <c r="AC1548">
        <f>IF([2]Baskol!$L$1551="","",[2]Baskol!$L$1551)</f>
        <v/>
      </c>
      <c r="AD1548">
        <f>IF([2]Baskol!$N$1551="","",[2]Baskol!$N$1551)</f>
        <v/>
      </c>
      <c r="AE1548">
        <f>IF([2]Baskol!$O$1551="","",[2]Baskol!$O$1551)</f>
        <v/>
      </c>
      <c r="AG1548">
        <f>IF([3]Entry!$C$1551="","",[3]Entry!$C$1551)</f>
        <v/>
      </c>
      <c r="AH1548">
        <f>IF([3]Entry!$D$1551="","",[3]Entry!$D$1551)</f>
        <v/>
      </c>
      <c r="AI1548">
        <f>IF([3]Entry!$E$1551="","",[3]Entry!$E$1551)</f>
        <v/>
      </c>
      <c r="AJ1548">
        <f>IF([3]Entry!$G$1551="","",[3]Entry!$G$1551)</f>
        <v/>
      </c>
      <c r="AK1548">
        <f>IF([3]Entry!$K$1551="","",[3]Entry!$K$1551)</f>
        <v/>
      </c>
      <c r="AL1548">
        <f>IF([3]Entry!$L$1551="","",[3]Entry!$L$1551)</f>
        <v/>
      </c>
      <c r="AM1548">
        <f>IF([3]Entry!$M$1551="","",[3]Entry!$M$1551)</f>
        <v/>
      </c>
      <c r="AN1548">
        <f>IF([3]Entry!$N$1551="","",[3]Entry!$N$1551)</f>
        <v/>
      </c>
      <c r="AO1548">
        <f>IF([3]Entry!$R$1551="","",[3]Entry!$R$1551)</f>
        <v/>
      </c>
    </row>
    <row r="1549">
      <c r="U1549">
        <f>IF([2]Baskol!$B$1552="","",[2]Baskol!$B$1552)</f>
        <v/>
      </c>
      <c r="V1549">
        <f>IF([2]Baskol!$C$1552="","",[2]Baskol!$C$1552)</f>
        <v/>
      </c>
      <c r="W1549">
        <f>IF([2]Baskol!$D$1552="","",[2]Baskol!$D$1552)</f>
        <v/>
      </c>
      <c r="X1549">
        <f>IF([2]Baskol!$E$1552="","",[2]Baskol!$E$1552)</f>
        <v/>
      </c>
      <c r="Y1549">
        <f>IF([2]Baskol!$G$1552="","",[2]Baskol!$G$1552)</f>
        <v/>
      </c>
      <c r="Z1549">
        <f>IF([2]Baskol!$I$1552="","",[2]Baskol!$I$1552)</f>
        <v/>
      </c>
      <c r="AA1549">
        <f>IF([2]Baskol!$J$1552="","",[2]Baskol!$J$1552)</f>
        <v/>
      </c>
      <c r="AB1549">
        <f>IF([2]Baskol!$K$1552="","",[2]Baskol!$K$1552)</f>
        <v/>
      </c>
      <c r="AC1549">
        <f>IF([2]Baskol!$L$1552="","",[2]Baskol!$L$1552)</f>
        <v/>
      </c>
      <c r="AD1549">
        <f>IF([2]Baskol!$N$1552="","",[2]Baskol!$N$1552)</f>
        <v/>
      </c>
      <c r="AE1549">
        <f>IF([2]Baskol!$O$1552="","",[2]Baskol!$O$1552)</f>
        <v/>
      </c>
      <c r="AG1549">
        <f>IF([3]Entry!$C$1552="","",[3]Entry!$C$1552)</f>
        <v/>
      </c>
      <c r="AH1549">
        <f>IF([3]Entry!$D$1552="","",[3]Entry!$D$1552)</f>
        <v/>
      </c>
      <c r="AI1549">
        <f>IF([3]Entry!$E$1552="","",[3]Entry!$E$1552)</f>
        <v/>
      </c>
      <c r="AJ1549">
        <f>IF([3]Entry!$G$1552="","",[3]Entry!$G$1552)</f>
        <v/>
      </c>
      <c r="AK1549">
        <f>IF([3]Entry!$K$1552="","",[3]Entry!$K$1552)</f>
        <v/>
      </c>
      <c r="AL1549">
        <f>IF([3]Entry!$L$1552="","",[3]Entry!$L$1552)</f>
        <v/>
      </c>
      <c r="AM1549">
        <f>IF([3]Entry!$M$1552="","",[3]Entry!$M$1552)</f>
        <v/>
      </c>
      <c r="AN1549">
        <f>IF([3]Entry!$N$1552="","",[3]Entry!$N$1552)</f>
        <v/>
      </c>
      <c r="AO1549">
        <f>IF([3]Entry!$R$1552="","",[3]Entry!$R$1552)</f>
        <v/>
      </c>
    </row>
    <row r="1550">
      <c r="U1550">
        <f>IF([2]Baskol!$B$1553="","",[2]Baskol!$B$1553)</f>
        <v/>
      </c>
      <c r="V1550">
        <f>IF([2]Baskol!$C$1553="","",[2]Baskol!$C$1553)</f>
        <v/>
      </c>
      <c r="W1550">
        <f>IF([2]Baskol!$D$1553="","",[2]Baskol!$D$1553)</f>
        <v/>
      </c>
      <c r="X1550">
        <f>IF([2]Baskol!$E$1553="","",[2]Baskol!$E$1553)</f>
        <v/>
      </c>
      <c r="Y1550">
        <f>IF([2]Baskol!$G$1553="","",[2]Baskol!$G$1553)</f>
        <v/>
      </c>
      <c r="Z1550">
        <f>IF([2]Baskol!$I$1553="","",[2]Baskol!$I$1553)</f>
        <v/>
      </c>
      <c r="AA1550">
        <f>IF([2]Baskol!$J$1553="","",[2]Baskol!$J$1553)</f>
        <v/>
      </c>
      <c r="AB1550">
        <f>IF([2]Baskol!$K$1553="","",[2]Baskol!$K$1553)</f>
        <v/>
      </c>
      <c r="AC1550">
        <f>IF([2]Baskol!$L$1553="","",[2]Baskol!$L$1553)</f>
        <v/>
      </c>
      <c r="AD1550">
        <f>IF([2]Baskol!$N$1553="","",[2]Baskol!$N$1553)</f>
        <v/>
      </c>
      <c r="AE1550">
        <f>IF([2]Baskol!$O$1553="","",[2]Baskol!$O$1553)</f>
        <v/>
      </c>
      <c r="AG1550">
        <f>IF([3]Entry!$C$1553="","",[3]Entry!$C$1553)</f>
        <v/>
      </c>
      <c r="AH1550">
        <f>IF([3]Entry!$D$1553="","",[3]Entry!$D$1553)</f>
        <v/>
      </c>
      <c r="AI1550">
        <f>IF([3]Entry!$E$1553="","",[3]Entry!$E$1553)</f>
        <v/>
      </c>
      <c r="AJ1550">
        <f>IF([3]Entry!$G$1553="","",[3]Entry!$G$1553)</f>
        <v/>
      </c>
      <c r="AK1550">
        <f>IF([3]Entry!$K$1553="","",[3]Entry!$K$1553)</f>
        <v/>
      </c>
      <c r="AL1550">
        <f>IF([3]Entry!$L$1553="","",[3]Entry!$L$1553)</f>
        <v/>
      </c>
      <c r="AM1550">
        <f>IF([3]Entry!$M$1553="","",[3]Entry!$M$1553)</f>
        <v/>
      </c>
      <c r="AN1550">
        <f>IF([3]Entry!$N$1553="","",[3]Entry!$N$1553)</f>
        <v/>
      </c>
      <c r="AO1550">
        <f>IF([3]Entry!$R$1553="","",[3]Entry!$R$1553)</f>
        <v/>
      </c>
    </row>
    <row r="1551">
      <c r="U1551">
        <f>IF([2]Baskol!$B$1554="","",[2]Baskol!$B$1554)</f>
        <v/>
      </c>
      <c r="V1551">
        <f>IF([2]Baskol!$C$1554="","",[2]Baskol!$C$1554)</f>
        <v/>
      </c>
      <c r="W1551">
        <f>IF([2]Baskol!$D$1554="","",[2]Baskol!$D$1554)</f>
        <v/>
      </c>
      <c r="X1551">
        <f>IF([2]Baskol!$E$1554="","",[2]Baskol!$E$1554)</f>
        <v/>
      </c>
      <c r="Y1551">
        <f>IF([2]Baskol!$G$1554="","",[2]Baskol!$G$1554)</f>
        <v/>
      </c>
      <c r="Z1551">
        <f>IF([2]Baskol!$I$1554="","",[2]Baskol!$I$1554)</f>
        <v/>
      </c>
      <c r="AA1551">
        <f>IF([2]Baskol!$J$1554="","",[2]Baskol!$J$1554)</f>
        <v/>
      </c>
      <c r="AB1551">
        <f>IF([2]Baskol!$K$1554="","",[2]Baskol!$K$1554)</f>
        <v/>
      </c>
      <c r="AC1551">
        <f>IF([2]Baskol!$L$1554="","",[2]Baskol!$L$1554)</f>
        <v/>
      </c>
      <c r="AD1551">
        <f>IF([2]Baskol!$N$1554="","",[2]Baskol!$N$1554)</f>
        <v/>
      </c>
      <c r="AE1551">
        <f>IF([2]Baskol!$O$1554="","",[2]Baskol!$O$1554)</f>
        <v/>
      </c>
      <c r="AG1551">
        <f>IF([3]Entry!$C$1554="","",[3]Entry!$C$1554)</f>
        <v/>
      </c>
      <c r="AH1551">
        <f>IF([3]Entry!$D$1554="","",[3]Entry!$D$1554)</f>
        <v/>
      </c>
      <c r="AI1551">
        <f>IF([3]Entry!$E$1554="","",[3]Entry!$E$1554)</f>
        <v/>
      </c>
      <c r="AJ1551">
        <f>IF([3]Entry!$G$1554="","",[3]Entry!$G$1554)</f>
        <v/>
      </c>
      <c r="AK1551">
        <f>IF([3]Entry!$K$1554="","",[3]Entry!$K$1554)</f>
        <v/>
      </c>
      <c r="AL1551">
        <f>IF([3]Entry!$L$1554="","",[3]Entry!$L$1554)</f>
        <v/>
      </c>
      <c r="AM1551">
        <f>IF([3]Entry!$M$1554="","",[3]Entry!$M$1554)</f>
        <v/>
      </c>
      <c r="AN1551">
        <f>IF([3]Entry!$N$1554="","",[3]Entry!$N$1554)</f>
        <v/>
      </c>
      <c r="AO1551">
        <f>IF([3]Entry!$R$1554="","",[3]Entry!$R$1554)</f>
        <v/>
      </c>
    </row>
    <row r="1552">
      <c r="U1552">
        <f>IF([2]Baskol!$B$1555="","",[2]Baskol!$B$1555)</f>
        <v/>
      </c>
      <c r="V1552">
        <f>IF([2]Baskol!$C$1555="","",[2]Baskol!$C$1555)</f>
        <v/>
      </c>
      <c r="W1552">
        <f>IF([2]Baskol!$D$1555="","",[2]Baskol!$D$1555)</f>
        <v/>
      </c>
      <c r="X1552">
        <f>IF([2]Baskol!$E$1555="","",[2]Baskol!$E$1555)</f>
        <v/>
      </c>
      <c r="Y1552">
        <f>IF([2]Baskol!$G$1555="","",[2]Baskol!$G$1555)</f>
        <v/>
      </c>
      <c r="Z1552">
        <f>IF([2]Baskol!$I$1555="","",[2]Baskol!$I$1555)</f>
        <v/>
      </c>
      <c r="AA1552">
        <f>IF([2]Baskol!$J$1555="","",[2]Baskol!$J$1555)</f>
        <v/>
      </c>
      <c r="AB1552">
        <f>IF([2]Baskol!$K$1555="","",[2]Baskol!$K$1555)</f>
        <v/>
      </c>
      <c r="AC1552">
        <f>IF([2]Baskol!$L$1555="","",[2]Baskol!$L$1555)</f>
        <v/>
      </c>
      <c r="AD1552">
        <f>IF([2]Baskol!$N$1555="","",[2]Baskol!$N$1555)</f>
        <v/>
      </c>
      <c r="AE1552">
        <f>IF([2]Baskol!$O$1555="","",[2]Baskol!$O$1555)</f>
        <v/>
      </c>
      <c r="AG1552">
        <f>IF([3]Entry!$C$1555="","",[3]Entry!$C$1555)</f>
        <v/>
      </c>
      <c r="AH1552">
        <f>IF([3]Entry!$D$1555="","",[3]Entry!$D$1555)</f>
        <v/>
      </c>
      <c r="AI1552">
        <f>IF([3]Entry!$E$1555="","",[3]Entry!$E$1555)</f>
        <v/>
      </c>
      <c r="AJ1552">
        <f>IF([3]Entry!$G$1555="","",[3]Entry!$G$1555)</f>
        <v/>
      </c>
      <c r="AK1552">
        <f>IF([3]Entry!$K$1555="","",[3]Entry!$K$1555)</f>
        <v/>
      </c>
      <c r="AL1552">
        <f>IF([3]Entry!$L$1555="","",[3]Entry!$L$1555)</f>
        <v/>
      </c>
      <c r="AM1552">
        <f>IF([3]Entry!$M$1555="","",[3]Entry!$M$1555)</f>
        <v/>
      </c>
      <c r="AN1552">
        <f>IF([3]Entry!$N$1555="","",[3]Entry!$N$1555)</f>
        <v/>
      </c>
      <c r="AO1552">
        <f>IF([3]Entry!$R$1555="","",[3]Entry!$R$1555)</f>
        <v/>
      </c>
    </row>
    <row r="1553">
      <c r="U1553">
        <f>IF([2]Baskol!$B$1556="","",[2]Baskol!$B$1556)</f>
        <v/>
      </c>
      <c r="V1553">
        <f>IF([2]Baskol!$C$1556="","",[2]Baskol!$C$1556)</f>
        <v/>
      </c>
      <c r="W1553">
        <f>IF([2]Baskol!$D$1556="","",[2]Baskol!$D$1556)</f>
        <v/>
      </c>
      <c r="X1553">
        <f>IF([2]Baskol!$E$1556="","",[2]Baskol!$E$1556)</f>
        <v/>
      </c>
      <c r="Y1553">
        <f>IF([2]Baskol!$G$1556="","",[2]Baskol!$G$1556)</f>
        <v/>
      </c>
      <c r="Z1553">
        <f>IF([2]Baskol!$I$1556="","",[2]Baskol!$I$1556)</f>
        <v/>
      </c>
      <c r="AA1553">
        <f>IF([2]Baskol!$J$1556="","",[2]Baskol!$J$1556)</f>
        <v/>
      </c>
      <c r="AB1553">
        <f>IF([2]Baskol!$K$1556="","",[2]Baskol!$K$1556)</f>
        <v/>
      </c>
      <c r="AC1553">
        <f>IF([2]Baskol!$L$1556="","",[2]Baskol!$L$1556)</f>
        <v/>
      </c>
      <c r="AD1553">
        <f>IF([2]Baskol!$N$1556="","",[2]Baskol!$N$1556)</f>
        <v/>
      </c>
      <c r="AE1553">
        <f>IF([2]Baskol!$O$1556="","",[2]Baskol!$O$1556)</f>
        <v/>
      </c>
      <c r="AG1553">
        <f>IF([3]Entry!$C$1556="","",[3]Entry!$C$1556)</f>
        <v/>
      </c>
      <c r="AH1553">
        <f>IF([3]Entry!$D$1556="","",[3]Entry!$D$1556)</f>
        <v/>
      </c>
      <c r="AI1553">
        <f>IF([3]Entry!$E$1556="","",[3]Entry!$E$1556)</f>
        <v/>
      </c>
      <c r="AJ1553">
        <f>IF([3]Entry!$G$1556="","",[3]Entry!$G$1556)</f>
        <v/>
      </c>
      <c r="AK1553">
        <f>IF([3]Entry!$K$1556="","",[3]Entry!$K$1556)</f>
        <v/>
      </c>
      <c r="AL1553">
        <f>IF([3]Entry!$L$1556="","",[3]Entry!$L$1556)</f>
        <v/>
      </c>
      <c r="AM1553">
        <f>IF([3]Entry!$M$1556="","",[3]Entry!$M$1556)</f>
        <v/>
      </c>
      <c r="AN1553">
        <f>IF([3]Entry!$N$1556="","",[3]Entry!$N$1556)</f>
        <v/>
      </c>
      <c r="AO1553">
        <f>IF([3]Entry!$R$1556="","",[3]Entry!$R$1556)</f>
        <v/>
      </c>
    </row>
    <row r="1554">
      <c r="U1554">
        <f>IF([2]Baskol!$B$1557="","",[2]Baskol!$B$1557)</f>
        <v/>
      </c>
      <c r="V1554">
        <f>IF([2]Baskol!$C$1557="","",[2]Baskol!$C$1557)</f>
        <v/>
      </c>
      <c r="W1554">
        <f>IF([2]Baskol!$D$1557="","",[2]Baskol!$D$1557)</f>
        <v/>
      </c>
      <c r="X1554">
        <f>IF([2]Baskol!$E$1557="","",[2]Baskol!$E$1557)</f>
        <v/>
      </c>
      <c r="Y1554">
        <f>IF([2]Baskol!$G$1557="","",[2]Baskol!$G$1557)</f>
        <v/>
      </c>
      <c r="Z1554">
        <f>IF([2]Baskol!$I$1557="","",[2]Baskol!$I$1557)</f>
        <v/>
      </c>
      <c r="AA1554">
        <f>IF([2]Baskol!$J$1557="","",[2]Baskol!$J$1557)</f>
        <v/>
      </c>
      <c r="AB1554">
        <f>IF([2]Baskol!$K$1557="","",[2]Baskol!$K$1557)</f>
        <v/>
      </c>
      <c r="AC1554">
        <f>IF([2]Baskol!$L$1557="","",[2]Baskol!$L$1557)</f>
        <v/>
      </c>
      <c r="AD1554">
        <f>IF([2]Baskol!$N$1557="","",[2]Baskol!$N$1557)</f>
        <v/>
      </c>
      <c r="AE1554">
        <f>IF([2]Baskol!$O$1557="","",[2]Baskol!$O$1557)</f>
        <v/>
      </c>
      <c r="AG1554">
        <f>IF([3]Entry!$C$1557="","",[3]Entry!$C$1557)</f>
        <v/>
      </c>
      <c r="AH1554">
        <f>IF([3]Entry!$D$1557="","",[3]Entry!$D$1557)</f>
        <v/>
      </c>
      <c r="AI1554">
        <f>IF([3]Entry!$E$1557="","",[3]Entry!$E$1557)</f>
        <v/>
      </c>
      <c r="AJ1554">
        <f>IF([3]Entry!$G$1557="","",[3]Entry!$G$1557)</f>
        <v/>
      </c>
      <c r="AK1554">
        <f>IF([3]Entry!$K$1557="","",[3]Entry!$K$1557)</f>
        <v/>
      </c>
      <c r="AL1554">
        <f>IF([3]Entry!$L$1557="","",[3]Entry!$L$1557)</f>
        <v/>
      </c>
      <c r="AM1554">
        <f>IF([3]Entry!$M$1557="","",[3]Entry!$M$1557)</f>
        <v/>
      </c>
      <c r="AN1554">
        <f>IF([3]Entry!$N$1557="","",[3]Entry!$N$1557)</f>
        <v/>
      </c>
      <c r="AO1554">
        <f>IF([3]Entry!$R$1557="","",[3]Entry!$R$1557)</f>
        <v/>
      </c>
    </row>
    <row r="1555">
      <c r="U1555">
        <f>IF([2]Baskol!$B$1558="","",[2]Baskol!$B$1558)</f>
        <v/>
      </c>
      <c r="V1555">
        <f>IF([2]Baskol!$C$1558="","",[2]Baskol!$C$1558)</f>
        <v/>
      </c>
      <c r="W1555">
        <f>IF([2]Baskol!$D$1558="","",[2]Baskol!$D$1558)</f>
        <v/>
      </c>
      <c r="X1555">
        <f>IF([2]Baskol!$E$1558="","",[2]Baskol!$E$1558)</f>
        <v/>
      </c>
      <c r="Y1555">
        <f>IF([2]Baskol!$G$1558="","",[2]Baskol!$G$1558)</f>
        <v/>
      </c>
      <c r="Z1555">
        <f>IF([2]Baskol!$I$1558="","",[2]Baskol!$I$1558)</f>
        <v/>
      </c>
      <c r="AA1555">
        <f>IF([2]Baskol!$J$1558="","",[2]Baskol!$J$1558)</f>
        <v/>
      </c>
      <c r="AB1555">
        <f>IF([2]Baskol!$K$1558="","",[2]Baskol!$K$1558)</f>
        <v/>
      </c>
      <c r="AC1555">
        <f>IF([2]Baskol!$L$1558="","",[2]Baskol!$L$1558)</f>
        <v/>
      </c>
      <c r="AD1555">
        <f>IF([2]Baskol!$N$1558="","",[2]Baskol!$N$1558)</f>
        <v/>
      </c>
      <c r="AE1555">
        <f>IF([2]Baskol!$O$1558="","",[2]Baskol!$O$1558)</f>
        <v/>
      </c>
      <c r="AG1555">
        <f>IF([3]Entry!$C$1558="","",[3]Entry!$C$1558)</f>
        <v/>
      </c>
      <c r="AH1555">
        <f>IF([3]Entry!$D$1558="","",[3]Entry!$D$1558)</f>
        <v/>
      </c>
      <c r="AI1555">
        <f>IF([3]Entry!$E$1558="","",[3]Entry!$E$1558)</f>
        <v/>
      </c>
      <c r="AJ1555">
        <f>IF([3]Entry!$G$1558="","",[3]Entry!$G$1558)</f>
        <v/>
      </c>
      <c r="AK1555">
        <f>IF([3]Entry!$K$1558="","",[3]Entry!$K$1558)</f>
        <v/>
      </c>
      <c r="AL1555">
        <f>IF([3]Entry!$L$1558="","",[3]Entry!$L$1558)</f>
        <v/>
      </c>
      <c r="AM1555">
        <f>IF([3]Entry!$M$1558="","",[3]Entry!$M$1558)</f>
        <v/>
      </c>
      <c r="AN1555">
        <f>IF([3]Entry!$N$1558="","",[3]Entry!$N$1558)</f>
        <v/>
      </c>
      <c r="AO1555">
        <f>IF([3]Entry!$R$1558="","",[3]Entry!$R$1558)</f>
        <v/>
      </c>
    </row>
    <row r="1556">
      <c r="U1556">
        <f>IF([2]Baskol!$B$1559="","",[2]Baskol!$B$1559)</f>
        <v/>
      </c>
      <c r="V1556">
        <f>IF([2]Baskol!$C$1559="","",[2]Baskol!$C$1559)</f>
        <v/>
      </c>
      <c r="W1556">
        <f>IF([2]Baskol!$D$1559="","",[2]Baskol!$D$1559)</f>
        <v/>
      </c>
      <c r="X1556">
        <f>IF([2]Baskol!$E$1559="","",[2]Baskol!$E$1559)</f>
        <v/>
      </c>
      <c r="Y1556">
        <f>IF([2]Baskol!$G$1559="","",[2]Baskol!$G$1559)</f>
        <v/>
      </c>
      <c r="Z1556">
        <f>IF([2]Baskol!$I$1559="","",[2]Baskol!$I$1559)</f>
        <v/>
      </c>
      <c r="AA1556">
        <f>IF([2]Baskol!$J$1559="","",[2]Baskol!$J$1559)</f>
        <v/>
      </c>
      <c r="AB1556">
        <f>IF([2]Baskol!$K$1559="","",[2]Baskol!$K$1559)</f>
        <v/>
      </c>
      <c r="AC1556">
        <f>IF([2]Baskol!$L$1559="","",[2]Baskol!$L$1559)</f>
        <v/>
      </c>
      <c r="AD1556">
        <f>IF([2]Baskol!$N$1559="","",[2]Baskol!$N$1559)</f>
        <v/>
      </c>
      <c r="AE1556">
        <f>IF([2]Baskol!$O$1559="","",[2]Baskol!$O$1559)</f>
        <v/>
      </c>
      <c r="AG1556">
        <f>IF([3]Entry!$C$1559="","",[3]Entry!$C$1559)</f>
        <v/>
      </c>
      <c r="AH1556">
        <f>IF([3]Entry!$D$1559="","",[3]Entry!$D$1559)</f>
        <v/>
      </c>
      <c r="AI1556">
        <f>IF([3]Entry!$E$1559="","",[3]Entry!$E$1559)</f>
        <v/>
      </c>
      <c r="AJ1556">
        <f>IF([3]Entry!$G$1559="","",[3]Entry!$G$1559)</f>
        <v/>
      </c>
      <c r="AK1556">
        <f>IF([3]Entry!$K$1559="","",[3]Entry!$K$1559)</f>
        <v/>
      </c>
      <c r="AL1556">
        <f>IF([3]Entry!$L$1559="","",[3]Entry!$L$1559)</f>
        <v/>
      </c>
      <c r="AM1556">
        <f>IF([3]Entry!$M$1559="","",[3]Entry!$M$1559)</f>
        <v/>
      </c>
      <c r="AN1556">
        <f>IF([3]Entry!$N$1559="","",[3]Entry!$N$1559)</f>
        <v/>
      </c>
      <c r="AO1556">
        <f>IF([3]Entry!$R$1559="","",[3]Entry!$R$1559)</f>
        <v/>
      </c>
    </row>
    <row r="1557">
      <c r="U1557">
        <f>IF([2]Baskol!$B$1560="","",[2]Baskol!$B$1560)</f>
        <v/>
      </c>
      <c r="V1557">
        <f>IF([2]Baskol!$C$1560="","",[2]Baskol!$C$1560)</f>
        <v/>
      </c>
      <c r="W1557">
        <f>IF([2]Baskol!$D$1560="","",[2]Baskol!$D$1560)</f>
        <v/>
      </c>
      <c r="X1557">
        <f>IF([2]Baskol!$E$1560="","",[2]Baskol!$E$1560)</f>
        <v/>
      </c>
      <c r="Y1557">
        <f>IF([2]Baskol!$G$1560="","",[2]Baskol!$G$1560)</f>
        <v/>
      </c>
      <c r="Z1557">
        <f>IF([2]Baskol!$I$1560="","",[2]Baskol!$I$1560)</f>
        <v/>
      </c>
      <c r="AA1557">
        <f>IF([2]Baskol!$J$1560="","",[2]Baskol!$J$1560)</f>
        <v/>
      </c>
      <c r="AB1557">
        <f>IF([2]Baskol!$K$1560="","",[2]Baskol!$K$1560)</f>
        <v/>
      </c>
      <c r="AC1557">
        <f>IF([2]Baskol!$L$1560="","",[2]Baskol!$L$1560)</f>
        <v/>
      </c>
      <c r="AD1557">
        <f>IF([2]Baskol!$N$1560="","",[2]Baskol!$N$1560)</f>
        <v/>
      </c>
      <c r="AE1557">
        <f>IF([2]Baskol!$O$1560="","",[2]Baskol!$O$1560)</f>
        <v/>
      </c>
      <c r="AG1557">
        <f>IF([3]Entry!$C$1560="","",[3]Entry!$C$1560)</f>
        <v/>
      </c>
      <c r="AH1557">
        <f>IF([3]Entry!$D$1560="","",[3]Entry!$D$1560)</f>
        <v/>
      </c>
      <c r="AI1557">
        <f>IF([3]Entry!$E$1560="","",[3]Entry!$E$1560)</f>
        <v/>
      </c>
      <c r="AJ1557">
        <f>IF([3]Entry!$G$1560="","",[3]Entry!$G$1560)</f>
        <v/>
      </c>
      <c r="AK1557">
        <f>IF([3]Entry!$K$1560="","",[3]Entry!$K$1560)</f>
        <v/>
      </c>
      <c r="AL1557">
        <f>IF([3]Entry!$L$1560="","",[3]Entry!$L$1560)</f>
        <v/>
      </c>
      <c r="AM1557">
        <f>IF([3]Entry!$M$1560="","",[3]Entry!$M$1560)</f>
        <v/>
      </c>
      <c r="AN1557">
        <f>IF([3]Entry!$N$1560="","",[3]Entry!$N$1560)</f>
        <v/>
      </c>
      <c r="AO1557">
        <f>IF([3]Entry!$R$1560="","",[3]Entry!$R$1560)</f>
        <v/>
      </c>
    </row>
    <row r="1558">
      <c r="U1558">
        <f>IF([2]Baskol!$B$1561="","",[2]Baskol!$B$1561)</f>
        <v/>
      </c>
      <c r="V1558">
        <f>IF([2]Baskol!$C$1561="","",[2]Baskol!$C$1561)</f>
        <v/>
      </c>
      <c r="W1558">
        <f>IF([2]Baskol!$D$1561="","",[2]Baskol!$D$1561)</f>
        <v/>
      </c>
      <c r="X1558">
        <f>IF([2]Baskol!$E$1561="","",[2]Baskol!$E$1561)</f>
        <v/>
      </c>
      <c r="Y1558">
        <f>IF([2]Baskol!$G$1561="","",[2]Baskol!$G$1561)</f>
        <v/>
      </c>
      <c r="Z1558">
        <f>IF([2]Baskol!$I$1561="","",[2]Baskol!$I$1561)</f>
        <v/>
      </c>
      <c r="AA1558">
        <f>IF([2]Baskol!$J$1561="","",[2]Baskol!$J$1561)</f>
        <v/>
      </c>
      <c r="AB1558">
        <f>IF([2]Baskol!$K$1561="","",[2]Baskol!$K$1561)</f>
        <v/>
      </c>
      <c r="AC1558">
        <f>IF([2]Baskol!$L$1561="","",[2]Baskol!$L$1561)</f>
        <v/>
      </c>
      <c r="AD1558">
        <f>IF([2]Baskol!$N$1561="","",[2]Baskol!$N$1561)</f>
        <v/>
      </c>
      <c r="AE1558">
        <f>IF([2]Baskol!$O$1561="","",[2]Baskol!$O$1561)</f>
        <v/>
      </c>
      <c r="AG1558">
        <f>IF([3]Entry!$C$1561="","",[3]Entry!$C$1561)</f>
        <v/>
      </c>
      <c r="AH1558">
        <f>IF([3]Entry!$D$1561="","",[3]Entry!$D$1561)</f>
        <v/>
      </c>
      <c r="AI1558">
        <f>IF([3]Entry!$E$1561="","",[3]Entry!$E$1561)</f>
        <v/>
      </c>
      <c r="AJ1558">
        <f>IF([3]Entry!$G$1561="","",[3]Entry!$G$1561)</f>
        <v/>
      </c>
      <c r="AK1558">
        <f>IF([3]Entry!$K$1561="","",[3]Entry!$K$1561)</f>
        <v/>
      </c>
      <c r="AL1558">
        <f>IF([3]Entry!$L$1561="","",[3]Entry!$L$1561)</f>
        <v/>
      </c>
      <c r="AM1558">
        <f>IF([3]Entry!$M$1561="","",[3]Entry!$M$1561)</f>
        <v/>
      </c>
      <c r="AN1558">
        <f>IF([3]Entry!$N$1561="","",[3]Entry!$N$1561)</f>
        <v/>
      </c>
      <c r="AO1558">
        <f>IF([3]Entry!$R$1561="","",[3]Entry!$R$1561)</f>
        <v/>
      </c>
    </row>
    <row r="1559">
      <c r="U1559">
        <f>IF([2]Baskol!$B$1562="","",[2]Baskol!$B$1562)</f>
        <v/>
      </c>
      <c r="V1559">
        <f>IF([2]Baskol!$C$1562="","",[2]Baskol!$C$1562)</f>
        <v/>
      </c>
      <c r="W1559">
        <f>IF([2]Baskol!$D$1562="","",[2]Baskol!$D$1562)</f>
        <v/>
      </c>
      <c r="X1559">
        <f>IF([2]Baskol!$E$1562="","",[2]Baskol!$E$1562)</f>
        <v/>
      </c>
      <c r="Y1559">
        <f>IF([2]Baskol!$G$1562="","",[2]Baskol!$G$1562)</f>
        <v/>
      </c>
      <c r="Z1559">
        <f>IF([2]Baskol!$I$1562="","",[2]Baskol!$I$1562)</f>
        <v/>
      </c>
      <c r="AA1559">
        <f>IF([2]Baskol!$J$1562="","",[2]Baskol!$J$1562)</f>
        <v/>
      </c>
      <c r="AB1559">
        <f>IF([2]Baskol!$K$1562="","",[2]Baskol!$K$1562)</f>
        <v/>
      </c>
      <c r="AC1559">
        <f>IF([2]Baskol!$L$1562="","",[2]Baskol!$L$1562)</f>
        <v/>
      </c>
      <c r="AD1559">
        <f>IF([2]Baskol!$N$1562="","",[2]Baskol!$N$1562)</f>
        <v/>
      </c>
      <c r="AE1559">
        <f>IF([2]Baskol!$O$1562="","",[2]Baskol!$O$1562)</f>
        <v/>
      </c>
      <c r="AG1559">
        <f>IF([3]Entry!$C$1562="","",[3]Entry!$C$1562)</f>
        <v/>
      </c>
      <c r="AH1559">
        <f>IF([3]Entry!$D$1562="","",[3]Entry!$D$1562)</f>
        <v/>
      </c>
      <c r="AI1559">
        <f>IF([3]Entry!$E$1562="","",[3]Entry!$E$1562)</f>
        <v/>
      </c>
      <c r="AJ1559">
        <f>IF([3]Entry!$G$1562="","",[3]Entry!$G$1562)</f>
        <v/>
      </c>
      <c r="AK1559">
        <f>IF([3]Entry!$K$1562="","",[3]Entry!$K$1562)</f>
        <v/>
      </c>
      <c r="AL1559">
        <f>IF([3]Entry!$L$1562="","",[3]Entry!$L$1562)</f>
        <v/>
      </c>
      <c r="AM1559">
        <f>IF([3]Entry!$M$1562="","",[3]Entry!$M$1562)</f>
        <v/>
      </c>
      <c r="AN1559">
        <f>IF([3]Entry!$N$1562="","",[3]Entry!$N$1562)</f>
        <v/>
      </c>
      <c r="AO1559">
        <f>IF([3]Entry!$R$1562="","",[3]Entry!$R$1562)</f>
        <v/>
      </c>
    </row>
    <row r="1560">
      <c r="U1560">
        <f>IF([2]Baskol!$B$1563="","",[2]Baskol!$B$1563)</f>
        <v/>
      </c>
      <c r="V1560">
        <f>IF([2]Baskol!$C$1563="","",[2]Baskol!$C$1563)</f>
        <v/>
      </c>
      <c r="W1560">
        <f>IF([2]Baskol!$D$1563="","",[2]Baskol!$D$1563)</f>
        <v/>
      </c>
      <c r="X1560">
        <f>IF([2]Baskol!$E$1563="","",[2]Baskol!$E$1563)</f>
        <v/>
      </c>
      <c r="Y1560">
        <f>IF([2]Baskol!$G$1563="","",[2]Baskol!$G$1563)</f>
        <v/>
      </c>
      <c r="Z1560">
        <f>IF([2]Baskol!$I$1563="","",[2]Baskol!$I$1563)</f>
        <v/>
      </c>
      <c r="AA1560">
        <f>IF([2]Baskol!$J$1563="","",[2]Baskol!$J$1563)</f>
        <v/>
      </c>
      <c r="AB1560">
        <f>IF([2]Baskol!$K$1563="","",[2]Baskol!$K$1563)</f>
        <v/>
      </c>
      <c r="AC1560">
        <f>IF([2]Baskol!$L$1563="","",[2]Baskol!$L$1563)</f>
        <v/>
      </c>
      <c r="AD1560">
        <f>IF([2]Baskol!$N$1563="","",[2]Baskol!$N$1563)</f>
        <v/>
      </c>
      <c r="AE1560">
        <f>IF([2]Baskol!$O$1563="","",[2]Baskol!$O$1563)</f>
        <v/>
      </c>
      <c r="AG1560">
        <f>IF([3]Entry!$C$1563="","",[3]Entry!$C$1563)</f>
        <v/>
      </c>
      <c r="AH1560">
        <f>IF([3]Entry!$D$1563="","",[3]Entry!$D$1563)</f>
        <v/>
      </c>
      <c r="AI1560">
        <f>IF([3]Entry!$E$1563="","",[3]Entry!$E$1563)</f>
        <v/>
      </c>
      <c r="AJ1560">
        <f>IF([3]Entry!$G$1563="","",[3]Entry!$G$1563)</f>
        <v/>
      </c>
      <c r="AK1560">
        <f>IF([3]Entry!$K$1563="","",[3]Entry!$K$1563)</f>
        <v/>
      </c>
      <c r="AL1560">
        <f>IF([3]Entry!$L$1563="","",[3]Entry!$L$1563)</f>
        <v/>
      </c>
      <c r="AM1560">
        <f>IF([3]Entry!$M$1563="","",[3]Entry!$M$1563)</f>
        <v/>
      </c>
      <c r="AN1560">
        <f>IF([3]Entry!$N$1563="","",[3]Entry!$N$1563)</f>
        <v/>
      </c>
      <c r="AO1560">
        <f>IF([3]Entry!$R$1563="","",[3]Entry!$R$1563)</f>
        <v/>
      </c>
    </row>
    <row r="1561">
      <c r="U1561">
        <f>IF([2]Baskol!$B$1564="","",[2]Baskol!$B$1564)</f>
        <v/>
      </c>
      <c r="V1561">
        <f>IF([2]Baskol!$C$1564="","",[2]Baskol!$C$1564)</f>
        <v/>
      </c>
      <c r="W1561">
        <f>IF([2]Baskol!$D$1564="","",[2]Baskol!$D$1564)</f>
        <v/>
      </c>
      <c r="X1561">
        <f>IF([2]Baskol!$E$1564="","",[2]Baskol!$E$1564)</f>
        <v/>
      </c>
      <c r="Y1561">
        <f>IF([2]Baskol!$G$1564="","",[2]Baskol!$G$1564)</f>
        <v/>
      </c>
      <c r="Z1561">
        <f>IF([2]Baskol!$I$1564="","",[2]Baskol!$I$1564)</f>
        <v/>
      </c>
      <c r="AA1561">
        <f>IF([2]Baskol!$J$1564="","",[2]Baskol!$J$1564)</f>
        <v/>
      </c>
      <c r="AB1561">
        <f>IF([2]Baskol!$K$1564="","",[2]Baskol!$K$1564)</f>
        <v/>
      </c>
      <c r="AC1561">
        <f>IF([2]Baskol!$L$1564="","",[2]Baskol!$L$1564)</f>
        <v/>
      </c>
      <c r="AD1561">
        <f>IF([2]Baskol!$N$1564="","",[2]Baskol!$N$1564)</f>
        <v/>
      </c>
      <c r="AE1561">
        <f>IF([2]Baskol!$O$1564="","",[2]Baskol!$O$1564)</f>
        <v/>
      </c>
      <c r="AG1561">
        <f>IF([3]Entry!$C$1564="","",[3]Entry!$C$1564)</f>
        <v/>
      </c>
      <c r="AH1561">
        <f>IF([3]Entry!$D$1564="","",[3]Entry!$D$1564)</f>
        <v/>
      </c>
      <c r="AI1561">
        <f>IF([3]Entry!$E$1564="","",[3]Entry!$E$1564)</f>
        <v/>
      </c>
      <c r="AJ1561">
        <f>IF([3]Entry!$G$1564="","",[3]Entry!$G$1564)</f>
        <v/>
      </c>
      <c r="AK1561">
        <f>IF([3]Entry!$K$1564="","",[3]Entry!$K$1564)</f>
        <v/>
      </c>
      <c r="AL1561">
        <f>IF([3]Entry!$L$1564="","",[3]Entry!$L$1564)</f>
        <v/>
      </c>
      <c r="AM1561">
        <f>IF([3]Entry!$M$1564="","",[3]Entry!$M$1564)</f>
        <v/>
      </c>
      <c r="AN1561">
        <f>IF([3]Entry!$N$1564="","",[3]Entry!$N$1564)</f>
        <v/>
      </c>
      <c r="AO1561">
        <f>IF([3]Entry!$R$1564="","",[3]Entry!$R$1564)</f>
        <v/>
      </c>
    </row>
    <row r="1562">
      <c r="U1562">
        <f>IF([2]Baskol!$B$1565="","",[2]Baskol!$B$1565)</f>
        <v/>
      </c>
      <c r="V1562">
        <f>IF([2]Baskol!$C$1565="","",[2]Baskol!$C$1565)</f>
        <v/>
      </c>
      <c r="W1562">
        <f>IF([2]Baskol!$D$1565="","",[2]Baskol!$D$1565)</f>
        <v/>
      </c>
      <c r="X1562">
        <f>IF([2]Baskol!$E$1565="","",[2]Baskol!$E$1565)</f>
        <v/>
      </c>
      <c r="Y1562">
        <f>IF([2]Baskol!$G$1565="","",[2]Baskol!$G$1565)</f>
        <v/>
      </c>
      <c r="Z1562">
        <f>IF([2]Baskol!$I$1565="","",[2]Baskol!$I$1565)</f>
        <v/>
      </c>
      <c r="AA1562">
        <f>IF([2]Baskol!$J$1565="","",[2]Baskol!$J$1565)</f>
        <v/>
      </c>
      <c r="AB1562">
        <f>IF([2]Baskol!$K$1565="","",[2]Baskol!$K$1565)</f>
        <v/>
      </c>
      <c r="AC1562">
        <f>IF([2]Baskol!$L$1565="","",[2]Baskol!$L$1565)</f>
        <v/>
      </c>
      <c r="AD1562">
        <f>IF([2]Baskol!$N$1565="","",[2]Baskol!$N$1565)</f>
        <v/>
      </c>
      <c r="AE1562">
        <f>IF([2]Baskol!$O$1565="","",[2]Baskol!$O$1565)</f>
        <v/>
      </c>
      <c r="AG1562">
        <f>IF([3]Entry!$C$1565="","",[3]Entry!$C$1565)</f>
        <v/>
      </c>
      <c r="AH1562">
        <f>IF([3]Entry!$D$1565="","",[3]Entry!$D$1565)</f>
        <v/>
      </c>
      <c r="AI1562">
        <f>IF([3]Entry!$E$1565="","",[3]Entry!$E$1565)</f>
        <v/>
      </c>
      <c r="AJ1562">
        <f>IF([3]Entry!$G$1565="","",[3]Entry!$G$1565)</f>
        <v/>
      </c>
      <c r="AK1562">
        <f>IF([3]Entry!$K$1565="","",[3]Entry!$K$1565)</f>
        <v/>
      </c>
      <c r="AL1562">
        <f>IF([3]Entry!$L$1565="","",[3]Entry!$L$1565)</f>
        <v/>
      </c>
      <c r="AM1562">
        <f>IF([3]Entry!$M$1565="","",[3]Entry!$M$1565)</f>
        <v/>
      </c>
      <c r="AN1562">
        <f>IF([3]Entry!$N$1565="","",[3]Entry!$N$1565)</f>
        <v/>
      </c>
      <c r="AO1562">
        <f>IF([3]Entry!$R$1565="","",[3]Entry!$R$1565)</f>
        <v/>
      </c>
    </row>
    <row r="1563">
      <c r="U1563">
        <f>IF([2]Baskol!$B$1566="","",[2]Baskol!$B$1566)</f>
        <v/>
      </c>
      <c r="V1563">
        <f>IF([2]Baskol!$C$1566="","",[2]Baskol!$C$1566)</f>
        <v/>
      </c>
      <c r="W1563">
        <f>IF([2]Baskol!$D$1566="","",[2]Baskol!$D$1566)</f>
        <v/>
      </c>
      <c r="X1563">
        <f>IF([2]Baskol!$E$1566="","",[2]Baskol!$E$1566)</f>
        <v/>
      </c>
      <c r="Y1563">
        <f>IF([2]Baskol!$G$1566="","",[2]Baskol!$G$1566)</f>
        <v/>
      </c>
      <c r="Z1563">
        <f>IF([2]Baskol!$I$1566="","",[2]Baskol!$I$1566)</f>
        <v/>
      </c>
      <c r="AA1563">
        <f>IF([2]Baskol!$J$1566="","",[2]Baskol!$J$1566)</f>
        <v/>
      </c>
      <c r="AB1563">
        <f>IF([2]Baskol!$K$1566="","",[2]Baskol!$K$1566)</f>
        <v/>
      </c>
      <c r="AC1563">
        <f>IF([2]Baskol!$L$1566="","",[2]Baskol!$L$1566)</f>
        <v/>
      </c>
      <c r="AD1563">
        <f>IF([2]Baskol!$N$1566="","",[2]Baskol!$N$1566)</f>
        <v/>
      </c>
      <c r="AE1563">
        <f>IF([2]Baskol!$O$1566="","",[2]Baskol!$O$1566)</f>
        <v/>
      </c>
      <c r="AG1563">
        <f>IF([3]Entry!$C$1566="","",[3]Entry!$C$1566)</f>
        <v/>
      </c>
      <c r="AH1563">
        <f>IF([3]Entry!$D$1566="","",[3]Entry!$D$1566)</f>
        <v/>
      </c>
      <c r="AI1563">
        <f>IF([3]Entry!$E$1566="","",[3]Entry!$E$1566)</f>
        <v/>
      </c>
      <c r="AJ1563">
        <f>IF([3]Entry!$G$1566="","",[3]Entry!$G$1566)</f>
        <v/>
      </c>
      <c r="AK1563">
        <f>IF([3]Entry!$K$1566="","",[3]Entry!$K$1566)</f>
        <v/>
      </c>
      <c r="AL1563">
        <f>IF([3]Entry!$L$1566="","",[3]Entry!$L$1566)</f>
        <v/>
      </c>
      <c r="AM1563">
        <f>IF([3]Entry!$M$1566="","",[3]Entry!$M$1566)</f>
        <v/>
      </c>
      <c r="AN1563">
        <f>IF([3]Entry!$N$1566="","",[3]Entry!$N$1566)</f>
        <v/>
      </c>
      <c r="AO1563">
        <f>IF([3]Entry!$R$1566="","",[3]Entry!$R$1566)</f>
        <v/>
      </c>
    </row>
    <row r="1564">
      <c r="U1564">
        <f>IF([2]Baskol!$B$1567="","",[2]Baskol!$B$1567)</f>
        <v/>
      </c>
      <c r="V1564">
        <f>IF([2]Baskol!$C$1567="","",[2]Baskol!$C$1567)</f>
        <v/>
      </c>
      <c r="W1564">
        <f>IF([2]Baskol!$D$1567="","",[2]Baskol!$D$1567)</f>
        <v/>
      </c>
      <c r="X1564">
        <f>IF([2]Baskol!$E$1567="","",[2]Baskol!$E$1567)</f>
        <v/>
      </c>
      <c r="Y1564">
        <f>IF([2]Baskol!$G$1567="","",[2]Baskol!$G$1567)</f>
        <v/>
      </c>
      <c r="Z1564">
        <f>IF([2]Baskol!$I$1567="","",[2]Baskol!$I$1567)</f>
        <v/>
      </c>
      <c r="AA1564">
        <f>IF([2]Baskol!$J$1567="","",[2]Baskol!$J$1567)</f>
        <v/>
      </c>
      <c r="AB1564">
        <f>IF([2]Baskol!$K$1567="","",[2]Baskol!$K$1567)</f>
        <v/>
      </c>
      <c r="AC1564">
        <f>IF([2]Baskol!$L$1567="","",[2]Baskol!$L$1567)</f>
        <v/>
      </c>
      <c r="AD1564">
        <f>IF([2]Baskol!$N$1567="","",[2]Baskol!$N$1567)</f>
        <v/>
      </c>
      <c r="AE1564">
        <f>IF([2]Baskol!$O$1567="","",[2]Baskol!$O$1567)</f>
        <v/>
      </c>
      <c r="AG1564">
        <f>IF([3]Entry!$C$1567="","",[3]Entry!$C$1567)</f>
        <v/>
      </c>
      <c r="AH1564">
        <f>IF([3]Entry!$D$1567="","",[3]Entry!$D$1567)</f>
        <v/>
      </c>
      <c r="AI1564">
        <f>IF([3]Entry!$E$1567="","",[3]Entry!$E$1567)</f>
        <v/>
      </c>
      <c r="AJ1564">
        <f>IF([3]Entry!$G$1567="","",[3]Entry!$G$1567)</f>
        <v/>
      </c>
      <c r="AK1564">
        <f>IF([3]Entry!$K$1567="","",[3]Entry!$K$1567)</f>
        <v/>
      </c>
      <c r="AL1564">
        <f>IF([3]Entry!$L$1567="","",[3]Entry!$L$1567)</f>
        <v/>
      </c>
      <c r="AM1564">
        <f>IF([3]Entry!$M$1567="","",[3]Entry!$M$1567)</f>
        <v/>
      </c>
      <c r="AN1564">
        <f>IF([3]Entry!$N$1567="","",[3]Entry!$N$1567)</f>
        <v/>
      </c>
      <c r="AO1564">
        <f>IF([3]Entry!$R$1567="","",[3]Entry!$R$1567)</f>
        <v/>
      </c>
    </row>
    <row r="1565">
      <c r="U1565">
        <f>IF([2]Baskol!$B$1568="","",[2]Baskol!$B$1568)</f>
        <v/>
      </c>
      <c r="V1565">
        <f>IF([2]Baskol!$C$1568="","",[2]Baskol!$C$1568)</f>
        <v/>
      </c>
      <c r="W1565">
        <f>IF([2]Baskol!$D$1568="","",[2]Baskol!$D$1568)</f>
        <v/>
      </c>
      <c r="X1565">
        <f>IF([2]Baskol!$E$1568="","",[2]Baskol!$E$1568)</f>
        <v/>
      </c>
      <c r="Y1565">
        <f>IF([2]Baskol!$G$1568="","",[2]Baskol!$G$1568)</f>
        <v/>
      </c>
      <c r="Z1565">
        <f>IF([2]Baskol!$I$1568="","",[2]Baskol!$I$1568)</f>
        <v/>
      </c>
      <c r="AA1565">
        <f>IF([2]Baskol!$J$1568="","",[2]Baskol!$J$1568)</f>
        <v/>
      </c>
      <c r="AB1565">
        <f>IF([2]Baskol!$K$1568="","",[2]Baskol!$K$1568)</f>
        <v/>
      </c>
      <c r="AC1565">
        <f>IF([2]Baskol!$L$1568="","",[2]Baskol!$L$1568)</f>
        <v/>
      </c>
      <c r="AD1565">
        <f>IF([2]Baskol!$N$1568="","",[2]Baskol!$N$1568)</f>
        <v/>
      </c>
      <c r="AE1565">
        <f>IF([2]Baskol!$O$1568="","",[2]Baskol!$O$1568)</f>
        <v/>
      </c>
      <c r="AG1565">
        <f>IF([3]Entry!$C$1568="","",[3]Entry!$C$1568)</f>
        <v/>
      </c>
      <c r="AH1565">
        <f>IF([3]Entry!$D$1568="","",[3]Entry!$D$1568)</f>
        <v/>
      </c>
      <c r="AI1565">
        <f>IF([3]Entry!$E$1568="","",[3]Entry!$E$1568)</f>
        <v/>
      </c>
      <c r="AJ1565">
        <f>IF([3]Entry!$G$1568="","",[3]Entry!$G$1568)</f>
        <v/>
      </c>
      <c r="AK1565">
        <f>IF([3]Entry!$K$1568="","",[3]Entry!$K$1568)</f>
        <v/>
      </c>
      <c r="AL1565">
        <f>IF([3]Entry!$L$1568="","",[3]Entry!$L$1568)</f>
        <v/>
      </c>
      <c r="AM1565">
        <f>IF([3]Entry!$M$1568="","",[3]Entry!$M$1568)</f>
        <v/>
      </c>
      <c r="AN1565">
        <f>IF([3]Entry!$N$1568="","",[3]Entry!$N$1568)</f>
        <v/>
      </c>
      <c r="AO1565">
        <f>IF([3]Entry!$R$1568="","",[3]Entry!$R$1568)</f>
        <v/>
      </c>
    </row>
    <row r="1566">
      <c r="U1566">
        <f>IF([2]Baskol!$B$1569="","",[2]Baskol!$B$1569)</f>
        <v/>
      </c>
      <c r="V1566">
        <f>IF([2]Baskol!$C$1569="","",[2]Baskol!$C$1569)</f>
        <v/>
      </c>
      <c r="W1566">
        <f>IF([2]Baskol!$D$1569="","",[2]Baskol!$D$1569)</f>
        <v/>
      </c>
      <c r="X1566">
        <f>IF([2]Baskol!$E$1569="","",[2]Baskol!$E$1569)</f>
        <v/>
      </c>
      <c r="Y1566">
        <f>IF([2]Baskol!$G$1569="","",[2]Baskol!$G$1569)</f>
        <v/>
      </c>
      <c r="Z1566">
        <f>IF([2]Baskol!$I$1569="","",[2]Baskol!$I$1569)</f>
        <v/>
      </c>
      <c r="AA1566">
        <f>IF([2]Baskol!$J$1569="","",[2]Baskol!$J$1569)</f>
        <v/>
      </c>
      <c r="AB1566">
        <f>IF([2]Baskol!$K$1569="","",[2]Baskol!$K$1569)</f>
        <v/>
      </c>
      <c r="AC1566">
        <f>IF([2]Baskol!$L$1569="","",[2]Baskol!$L$1569)</f>
        <v/>
      </c>
      <c r="AD1566">
        <f>IF([2]Baskol!$N$1569="","",[2]Baskol!$N$1569)</f>
        <v/>
      </c>
      <c r="AE1566">
        <f>IF([2]Baskol!$O$1569="","",[2]Baskol!$O$1569)</f>
        <v/>
      </c>
      <c r="AG1566">
        <f>IF([3]Entry!$C$1569="","",[3]Entry!$C$1569)</f>
        <v/>
      </c>
      <c r="AH1566">
        <f>IF([3]Entry!$D$1569="","",[3]Entry!$D$1569)</f>
        <v/>
      </c>
      <c r="AI1566">
        <f>IF([3]Entry!$E$1569="","",[3]Entry!$E$1569)</f>
        <v/>
      </c>
      <c r="AJ1566">
        <f>IF([3]Entry!$G$1569="","",[3]Entry!$G$1569)</f>
        <v/>
      </c>
      <c r="AK1566">
        <f>IF([3]Entry!$K$1569="","",[3]Entry!$K$1569)</f>
        <v/>
      </c>
      <c r="AL1566">
        <f>IF([3]Entry!$L$1569="","",[3]Entry!$L$1569)</f>
        <v/>
      </c>
      <c r="AM1566">
        <f>IF([3]Entry!$M$1569="","",[3]Entry!$M$1569)</f>
        <v/>
      </c>
      <c r="AN1566">
        <f>IF([3]Entry!$N$1569="","",[3]Entry!$N$1569)</f>
        <v/>
      </c>
      <c r="AO1566">
        <f>IF([3]Entry!$R$1569="","",[3]Entry!$R$1569)</f>
        <v/>
      </c>
    </row>
    <row r="1567">
      <c r="U1567">
        <f>IF([2]Baskol!$B$1570="","",[2]Baskol!$B$1570)</f>
        <v/>
      </c>
      <c r="V1567">
        <f>IF([2]Baskol!$C$1570="","",[2]Baskol!$C$1570)</f>
        <v/>
      </c>
      <c r="W1567">
        <f>IF([2]Baskol!$D$1570="","",[2]Baskol!$D$1570)</f>
        <v/>
      </c>
      <c r="X1567">
        <f>IF([2]Baskol!$E$1570="","",[2]Baskol!$E$1570)</f>
        <v/>
      </c>
      <c r="Y1567">
        <f>IF([2]Baskol!$G$1570="","",[2]Baskol!$G$1570)</f>
        <v/>
      </c>
      <c r="Z1567">
        <f>IF([2]Baskol!$I$1570="","",[2]Baskol!$I$1570)</f>
        <v/>
      </c>
      <c r="AA1567">
        <f>IF([2]Baskol!$J$1570="","",[2]Baskol!$J$1570)</f>
        <v/>
      </c>
      <c r="AB1567">
        <f>IF([2]Baskol!$K$1570="","",[2]Baskol!$K$1570)</f>
        <v/>
      </c>
      <c r="AC1567">
        <f>IF([2]Baskol!$L$1570="","",[2]Baskol!$L$1570)</f>
        <v/>
      </c>
      <c r="AD1567">
        <f>IF([2]Baskol!$N$1570="","",[2]Baskol!$N$1570)</f>
        <v/>
      </c>
      <c r="AE1567">
        <f>IF([2]Baskol!$O$1570="","",[2]Baskol!$O$1570)</f>
        <v/>
      </c>
      <c r="AG1567">
        <f>IF([3]Entry!$C$1570="","",[3]Entry!$C$1570)</f>
        <v/>
      </c>
      <c r="AH1567">
        <f>IF([3]Entry!$D$1570="","",[3]Entry!$D$1570)</f>
        <v/>
      </c>
      <c r="AI1567">
        <f>IF([3]Entry!$E$1570="","",[3]Entry!$E$1570)</f>
        <v/>
      </c>
      <c r="AJ1567">
        <f>IF([3]Entry!$G$1570="","",[3]Entry!$G$1570)</f>
        <v/>
      </c>
      <c r="AK1567">
        <f>IF([3]Entry!$K$1570="","",[3]Entry!$K$1570)</f>
        <v/>
      </c>
      <c r="AL1567">
        <f>IF([3]Entry!$L$1570="","",[3]Entry!$L$1570)</f>
        <v/>
      </c>
      <c r="AM1567">
        <f>IF([3]Entry!$M$1570="","",[3]Entry!$M$1570)</f>
        <v/>
      </c>
      <c r="AN1567">
        <f>IF([3]Entry!$N$1570="","",[3]Entry!$N$1570)</f>
        <v/>
      </c>
      <c r="AO1567">
        <f>IF([3]Entry!$R$1570="","",[3]Entry!$R$1570)</f>
        <v/>
      </c>
    </row>
    <row r="1568">
      <c r="U1568">
        <f>IF([2]Baskol!$B$1571="","",[2]Baskol!$B$1571)</f>
        <v/>
      </c>
      <c r="V1568">
        <f>IF([2]Baskol!$C$1571="","",[2]Baskol!$C$1571)</f>
        <v/>
      </c>
      <c r="W1568">
        <f>IF([2]Baskol!$D$1571="","",[2]Baskol!$D$1571)</f>
        <v/>
      </c>
      <c r="X1568">
        <f>IF([2]Baskol!$E$1571="","",[2]Baskol!$E$1571)</f>
        <v/>
      </c>
      <c r="Y1568">
        <f>IF([2]Baskol!$G$1571="","",[2]Baskol!$G$1571)</f>
        <v/>
      </c>
      <c r="Z1568">
        <f>IF([2]Baskol!$I$1571="","",[2]Baskol!$I$1571)</f>
        <v/>
      </c>
      <c r="AA1568">
        <f>IF([2]Baskol!$J$1571="","",[2]Baskol!$J$1571)</f>
        <v/>
      </c>
      <c r="AB1568">
        <f>IF([2]Baskol!$K$1571="","",[2]Baskol!$K$1571)</f>
        <v/>
      </c>
      <c r="AC1568">
        <f>IF([2]Baskol!$L$1571="","",[2]Baskol!$L$1571)</f>
        <v/>
      </c>
      <c r="AD1568">
        <f>IF([2]Baskol!$N$1571="","",[2]Baskol!$N$1571)</f>
        <v/>
      </c>
      <c r="AE1568">
        <f>IF([2]Baskol!$O$1571="","",[2]Baskol!$O$1571)</f>
        <v/>
      </c>
      <c r="AG1568">
        <f>IF([3]Entry!$C$1571="","",[3]Entry!$C$1571)</f>
        <v/>
      </c>
      <c r="AH1568">
        <f>IF([3]Entry!$D$1571="","",[3]Entry!$D$1571)</f>
        <v/>
      </c>
      <c r="AI1568">
        <f>IF([3]Entry!$E$1571="","",[3]Entry!$E$1571)</f>
        <v/>
      </c>
      <c r="AJ1568">
        <f>IF([3]Entry!$G$1571="","",[3]Entry!$G$1571)</f>
        <v/>
      </c>
      <c r="AK1568">
        <f>IF([3]Entry!$K$1571="","",[3]Entry!$K$1571)</f>
        <v/>
      </c>
      <c r="AL1568">
        <f>IF([3]Entry!$L$1571="","",[3]Entry!$L$1571)</f>
        <v/>
      </c>
      <c r="AM1568">
        <f>IF([3]Entry!$M$1571="","",[3]Entry!$M$1571)</f>
        <v/>
      </c>
      <c r="AN1568">
        <f>IF([3]Entry!$N$1571="","",[3]Entry!$N$1571)</f>
        <v/>
      </c>
      <c r="AO1568">
        <f>IF([3]Entry!$R$1571="","",[3]Entry!$R$1571)</f>
        <v/>
      </c>
    </row>
    <row r="1569">
      <c r="U1569">
        <f>IF([2]Baskol!$B$1572="","",[2]Baskol!$B$1572)</f>
        <v/>
      </c>
      <c r="V1569">
        <f>IF([2]Baskol!$C$1572="","",[2]Baskol!$C$1572)</f>
        <v/>
      </c>
      <c r="W1569">
        <f>IF([2]Baskol!$D$1572="","",[2]Baskol!$D$1572)</f>
        <v/>
      </c>
      <c r="X1569">
        <f>IF([2]Baskol!$E$1572="","",[2]Baskol!$E$1572)</f>
        <v/>
      </c>
      <c r="Y1569">
        <f>IF([2]Baskol!$G$1572="","",[2]Baskol!$G$1572)</f>
        <v/>
      </c>
      <c r="Z1569">
        <f>IF([2]Baskol!$I$1572="","",[2]Baskol!$I$1572)</f>
        <v/>
      </c>
      <c r="AA1569">
        <f>IF([2]Baskol!$J$1572="","",[2]Baskol!$J$1572)</f>
        <v/>
      </c>
      <c r="AB1569">
        <f>IF([2]Baskol!$K$1572="","",[2]Baskol!$K$1572)</f>
        <v/>
      </c>
      <c r="AC1569">
        <f>IF([2]Baskol!$L$1572="","",[2]Baskol!$L$1572)</f>
        <v/>
      </c>
      <c r="AD1569">
        <f>IF([2]Baskol!$N$1572="","",[2]Baskol!$N$1572)</f>
        <v/>
      </c>
      <c r="AE1569">
        <f>IF([2]Baskol!$O$1572="","",[2]Baskol!$O$1572)</f>
        <v/>
      </c>
      <c r="AG1569">
        <f>IF([3]Entry!$C$1572="","",[3]Entry!$C$1572)</f>
        <v/>
      </c>
      <c r="AH1569">
        <f>IF([3]Entry!$D$1572="","",[3]Entry!$D$1572)</f>
        <v/>
      </c>
      <c r="AI1569">
        <f>IF([3]Entry!$E$1572="","",[3]Entry!$E$1572)</f>
        <v/>
      </c>
      <c r="AJ1569">
        <f>IF([3]Entry!$G$1572="","",[3]Entry!$G$1572)</f>
        <v/>
      </c>
      <c r="AK1569">
        <f>IF([3]Entry!$K$1572="","",[3]Entry!$K$1572)</f>
        <v/>
      </c>
      <c r="AL1569">
        <f>IF([3]Entry!$L$1572="","",[3]Entry!$L$1572)</f>
        <v/>
      </c>
      <c r="AM1569">
        <f>IF([3]Entry!$M$1572="","",[3]Entry!$M$1572)</f>
        <v/>
      </c>
      <c r="AN1569">
        <f>IF([3]Entry!$N$1572="","",[3]Entry!$N$1572)</f>
        <v/>
      </c>
      <c r="AO1569">
        <f>IF([3]Entry!$R$1572="","",[3]Entry!$R$1572)</f>
        <v/>
      </c>
    </row>
    <row r="1570">
      <c r="U1570">
        <f>IF([2]Baskol!$B$1573="","",[2]Baskol!$B$1573)</f>
        <v/>
      </c>
      <c r="V1570">
        <f>IF([2]Baskol!$C$1573="","",[2]Baskol!$C$1573)</f>
        <v/>
      </c>
      <c r="W1570">
        <f>IF([2]Baskol!$D$1573="","",[2]Baskol!$D$1573)</f>
        <v/>
      </c>
      <c r="X1570">
        <f>IF([2]Baskol!$E$1573="","",[2]Baskol!$E$1573)</f>
        <v/>
      </c>
      <c r="Y1570">
        <f>IF([2]Baskol!$G$1573="","",[2]Baskol!$G$1573)</f>
        <v/>
      </c>
      <c r="Z1570">
        <f>IF([2]Baskol!$I$1573="","",[2]Baskol!$I$1573)</f>
        <v/>
      </c>
      <c r="AA1570">
        <f>IF([2]Baskol!$J$1573="","",[2]Baskol!$J$1573)</f>
        <v/>
      </c>
      <c r="AB1570">
        <f>IF([2]Baskol!$K$1573="","",[2]Baskol!$K$1573)</f>
        <v/>
      </c>
      <c r="AC1570">
        <f>IF([2]Baskol!$L$1573="","",[2]Baskol!$L$1573)</f>
        <v/>
      </c>
      <c r="AD1570">
        <f>IF([2]Baskol!$N$1573="","",[2]Baskol!$N$1573)</f>
        <v/>
      </c>
      <c r="AE1570">
        <f>IF([2]Baskol!$O$1573="","",[2]Baskol!$O$1573)</f>
        <v/>
      </c>
      <c r="AG1570">
        <f>IF([3]Entry!$C$1573="","",[3]Entry!$C$1573)</f>
        <v/>
      </c>
      <c r="AH1570">
        <f>IF([3]Entry!$D$1573="","",[3]Entry!$D$1573)</f>
        <v/>
      </c>
      <c r="AI1570">
        <f>IF([3]Entry!$E$1573="","",[3]Entry!$E$1573)</f>
        <v/>
      </c>
      <c r="AJ1570">
        <f>IF([3]Entry!$G$1573="","",[3]Entry!$G$1573)</f>
        <v/>
      </c>
      <c r="AK1570">
        <f>IF([3]Entry!$K$1573="","",[3]Entry!$K$1573)</f>
        <v/>
      </c>
      <c r="AL1570">
        <f>IF([3]Entry!$L$1573="","",[3]Entry!$L$1573)</f>
        <v/>
      </c>
      <c r="AM1570">
        <f>IF([3]Entry!$M$1573="","",[3]Entry!$M$1573)</f>
        <v/>
      </c>
      <c r="AN1570">
        <f>IF([3]Entry!$N$1573="","",[3]Entry!$N$1573)</f>
        <v/>
      </c>
      <c r="AO1570">
        <f>IF([3]Entry!$R$1573="","",[3]Entry!$R$1573)</f>
        <v/>
      </c>
    </row>
    <row r="1571">
      <c r="U1571">
        <f>IF([2]Baskol!$B$1574="","",[2]Baskol!$B$1574)</f>
        <v/>
      </c>
      <c r="V1571">
        <f>IF([2]Baskol!$C$1574="","",[2]Baskol!$C$1574)</f>
        <v/>
      </c>
      <c r="W1571">
        <f>IF([2]Baskol!$D$1574="","",[2]Baskol!$D$1574)</f>
        <v/>
      </c>
      <c r="X1571">
        <f>IF([2]Baskol!$E$1574="","",[2]Baskol!$E$1574)</f>
        <v/>
      </c>
      <c r="Y1571">
        <f>IF([2]Baskol!$G$1574="","",[2]Baskol!$G$1574)</f>
        <v/>
      </c>
      <c r="Z1571">
        <f>IF([2]Baskol!$I$1574="","",[2]Baskol!$I$1574)</f>
        <v/>
      </c>
      <c r="AA1571">
        <f>IF([2]Baskol!$J$1574="","",[2]Baskol!$J$1574)</f>
        <v/>
      </c>
      <c r="AB1571">
        <f>IF([2]Baskol!$K$1574="","",[2]Baskol!$K$1574)</f>
        <v/>
      </c>
      <c r="AC1571">
        <f>IF([2]Baskol!$L$1574="","",[2]Baskol!$L$1574)</f>
        <v/>
      </c>
      <c r="AD1571">
        <f>IF([2]Baskol!$N$1574="","",[2]Baskol!$N$1574)</f>
        <v/>
      </c>
      <c r="AE1571">
        <f>IF([2]Baskol!$O$1574="","",[2]Baskol!$O$1574)</f>
        <v/>
      </c>
      <c r="AG1571">
        <f>IF([3]Entry!$C$1574="","",[3]Entry!$C$1574)</f>
        <v/>
      </c>
      <c r="AH1571">
        <f>IF([3]Entry!$D$1574="","",[3]Entry!$D$1574)</f>
        <v/>
      </c>
      <c r="AI1571">
        <f>IF([3]Entry!$E$1574="","",[3]Entry!$E$1574)</f>
        <v/>
      </c>
      <c r="AJ1571">
        <f>IF([3]Entry!$G$1574="","",[3]Entry!$G$1574)</f>
        <v/>
      </c>
      <c r="AK1571">
        <f>IF([3]Entry!$K$1574="","",[3]Entry!$K$1574)</f>
        <v/>
      </c>
      <c r="AL1571">
        <f>IF([3]Entry!$L$1574="","",[3]Entry!$L$1574)</f>
        <v/>
      </c>
      <c r="AM1571">
        <f>IF([3]Entry!$M$1574="","",[3]Entry!$M$1574)</f>
        <v/>
      </c>
      <c r="AN1571">
        <f>IF([3]Entry!$N$1574="","",[3]Entry!$N$1574)</f>
        <v/>
      </c>
      <c r="AO1571">
        <f>IF([3]Entry!$R$1574="","",[3]Entry!$R$1574)</f>
        <v/>
      </c>
    </row>
    <row r="1572">
      <c r="U1572">
        <f>IF([2]Baskol!$B$1575="","",[2]Baskol!$B$1575)</f>
        <v/>
      </c>
      <c r="V1572">
        <f>IF([2]Baskol!$C$1575="","",[2]Baskol!$C$1575)</f>
        <v/>
      </c>
      <c r="W1572">
        <f>IF([2]Baskol!$D$1575="","",[2]Baskol!$D$1575)</f>
        <v/>
      </c>
      <c r="X1572">
        <f>IF([2]Baskol!$E$1575="","",[2]Baskol!$E$1575)</f>
        <v/>
      </c>
      <c r="Y1572">
        <f>IF([2]Baskol!$G$1575="","",[2]Baskol!$G$1575)</f>
        <v/>
      </c>
      <c r="Z1572">
        <f>IF([2]Baskol!$I$1575="","",[2]Baskol!$I$1575)</f>
        <v/>
      </c>
      <c r="AA1572">
        <f>IF([2]Baskol!$J$1575="","",[2]Baskol!$J$1575)</f>
        <v/>
      </c>
      <c r="AB1572">
        <f>IF([2]Baskol!$K$1575="","",[2]Baskol!$K$1575)</f>
        <v/>
      </c>
      <c r="AC1572">
        <f>IF([2]Baskol!$L$1575="","",[2]Baskol!$L$1575)</f>
        <v/>
      </c>
      <c r="AD1572">
        <f>IF([2]Baskol!$N$1575="","",[2]Baskol!$N$1575)</f>
        <v/>
      </c>
      <c r="AE1572">
        <f>IF([2]Baskol!$O$1575="","",[2]Baskol!$O$1575)</f>
        <v/>
      </c>
      <c r="AG1572">
        <f>IF([3]Entry!$C$1575="","",[3]Entry!$C$1575)</f>
        <v/>
      </c>
      <c r="AH1572">
        <f>IF([3]Entry!$D$1575="","",[3]Entry!$D$1575)</f>
        <v/>
      </c>
      <c r="AI1572">
        <f>IF([3]Entry!$E$1575="","",[3]Entry!$E$1575)</f>
        <v/>
      </c>
      <c r="AJ1572">
        <f>IF([3]Entry!$G$1575="","",[3]Entry!$G$1575)</f>
        <v/>
      </c>
      <c r="AK1572">
        <f>IF([3]Entry!$K$1575="","",[3]Entry!$K$1575)</f>
        <v/>
      </c>
      <c r="AL1572">
        <f>IF([3]Entry!$L$1575="","",[3]Entry!$L$1575)</f>
        <v/>
      </c>
      <c r="AM1572">
        <f>IF([3]Entry!$M$1575="","",[3]Entry!$M$1575)</f>
        <v/>
      </c>
      <c r="AN1572">
        <f>IF([3]Entry!$N$1575="","",[3]Entry!$N$1575)</f>
        <v/>
      </c>
      <c r="AO1572">
        <f>IF([3]Entry!$R$1575="","",[3]Entry!$R$1575)</f>
        <v/>
      </c>
    </row>
    <row r="1573">
      <c r="U1573">
        <f>IF([2]Baskol!$B$1576="","",[2]Baskol!$B$1576)</f>
        <v/>
      </c>
      <c r="V1573">
        <f>IF([2]Baskol!$C$1576="","",[2]Baskol!$C$1576)</f>
        <v/>
      </c>
      <c r="W1573">
        <f>IF([2]Baskol!$D$1576="","",[2]Baskol!$D$1576)</f>
        <v/>
      </c>
      <c r="X1573">
        <f>IF([2]Baskol!$E$1576="","",[2]Baskol!$E$1576)</f>
        <v/>
      </c>
      <c r="Y1573">
        <f>IF([2]Baskol!$G$1576="","",[2]Baskol!$G$1576)</f>
        <v/>
      </c>
      <c r="Z1573">
        <f>IF([2]Baskol!$I$1576="","",[2]Baskol!$I$1576)</f>
        <v/>
      </c>
      <c r="AA1573">
        <f>IF([2]Baskol!$J$1576="","",[2]Baskol!$J$1576)</f>
        <v/>
      </c>
      <c r="AB1573">
        <f>IF([2]Baskol!$K$1576="","",[2]Baskol!$K$1576)</f>
        <v/>
      </c>
      <c r="AC1573">
        <f>IF([2]Baskol!$L$1576="","",[2]Baskol!$L$1576)</f>
        <v/>
      </c>
      <c r="AD1573">
        <f>IF([2]Baskol!$N$1576="","",[2]Baskol!$N$1576)</f>
        <v/>
      </c>
      <c r="AE1573">
        <f>IF([2]Baskol!$O$1576="","",[2]Baskol!$O$1576)</f>
        <v/>
      </c>
      <c r="AG1573">
        <f>IF([3]Entry!$C$1576="","",[3]Entry!$C$1576)</f>
        <v/>
      </c>
      <c r="AH1573">
        <f>IF([3]Entry!$D$1576="","",[3]Entry!$D$1576)</f>
        <v/>
      </c>
      <c r="AI1573">
        <f>IF([3]Entry!$E$1576="","",[3]Entry!$E$1576)</f>
        <v/>
      </c>
      <c r="AJ1573">
        <f>IF([3]Entry!$G$1576="","",[3]Entry!$G$1576)</f>
        <v/>
      </c>
      <c r="AK1573">
        <f>IF([3]Entry!$K$1576="","",[3]Entry!$K$1576)</f>
        <v/>
      </c>
      <c r="AL1573">
        <f>IF([3]Entry!$L$1576="","",[3]Entry!$L$1576)</f>
        <v/>
      </c>
      <c r="AM1573">
        <f>IF([3]Entry!$M$1576="","",[3]Entry!$M$1576)</f>
        <v/>
      </c>
      <c r="AN1573">
        <f>IF([3]Entry!$N$1576="","",[3]Entry!$N$1576)</f>
        <v/>
      </c>
      <c r="AO1573">
        <f>IF([3]Entry!$R$1576="","",[3]Entry!$R$1576)</f>
        <v/>
      </c>
    </row>
    <row r="1574">
      <c r="U1574">
        <f>IF([2]Baskol!$B$1577="","",[2]Baskol!$B$1577)</f>
        <v/>
      </c>
      <c r="V1574">
        <f>IF([2]Baskol!$C$1577="","",[2]Baskol!$C$1577)</f>
        <v/>
      </c>
      <c r="W1574">
        <f>IF([2]Baskol!$D$1577="","",[2]Baskol!$D$1577)</f>
        <v/>
      </c>
      <c r="X1574">
        <f>IF([2]Baskol!$E$1577="","",[2]Baskol!$E$1577)</f>
        <v/>
      </c>
      <c r="Y1574">
        <f>IF([2]Baskol!$G$1577="","",[2]Baskol!$G$1577)</f>
        <v/>
      </c>
      <c r="Z1574">
        <f>IF([2]Baskol!$I$1577="","",[2]Baskol!$I$1577)</f>
        <v/>
      </c>
      <c r="AA1574">
        <f>IF([2]Baskol!$J$1577="","",[2]Baskol!$J$1577)</f>
        <v/>
      </c>
      <c r="AB1574">
        <f>IF([2]Baskol!$K$1577="","",[2]Baskol!$K$1577)</f>
        <v/>
      </c>
      <c r="AC1574">
        <f>IF([2]Baskol!$L$1577="","",[2]Baskol!$L$1577)</f>
        <v/>
      </c>
      <c r="AD1574">
        <f>IF([2]Baskol!$N$1577="","",[2]Baskol!$N$1577)</f>
        <v/>
      </c>
      <c r="AE1574">
        <f>IF([2]Baskol!$O$1577="","",[2]Baskol!$O$1577)</f>
        <v/>
      </c>
      <c r="AG1574">
        <f>IF([3]Entry!$C$1577="","",[3]Entry!$C$1577)</f>
        <v/>
      </c>
      <c r="AH1574">
        <f>IF([3]Entry!$D$1577="","",[3]Entry!$D$1577)</f>
        <v/>
      </c>
      <c r="AI1574">
        <f>IF([3]Entry!$E$1577="","",[3]Entry!$E$1577)</f>
        <v/>
      </c>
      <c r="AJ1574">
        <f>IF([3]Entry!$G$1577="","",[3]Entry!$G$1577)</f>
        <v/>
      </c>
      <c r="AK1574">
        <f>IF([3]Entry!$K$1577="","",[3]Entry!$K$1577)</f>
        <v/>
      </c>
      <c r="AL1574">
        <f>IF([3]Entry!$L$1577="","",[3]Entry!$L$1577)</f>
        <v/>
      </c>
      <c r="AM1574">
        <f>IF([3]Entry!$M$1577="","",[3]Entry!$M$1577)</f>
        <v/>
      </c>
      <c r="AN1574">
        <f>IF([3]Entry!$N$1577="","",[3]Entry!$N$1577)</f>
        <v/>
      </c>
      <c r="AO1574">
        <f>IF([3]Entry!$R$1577="","",[3]Entry!$R$1577)</f>
        <v/>
      </c>
    </row>
    <row r="1575">
      <c r="U1575">
        <f>IF([2]Baskol!$B$1578="","",[2]Baskol!$B$1578)</f>
        <v/>
      </c>
      <c r="V1575">
        <f>IF([2]Baskol!$C$1578="","",[2]Baskol!$C$1578)</f>
        <v/>
      </c>
      <c r="W1575">
        <f>IF([2]Baskol!$D$1578="","",[2]Baskol!$D$1578)</f>
        <v/>
      </c>
      <c r="X1575">
        <f>IF([2]Baskol!$E$1578="","",[2]Baskol!$E$1578)</f>
        <v/>
      </c>
      <c r="Y1575">
        <f>IF([2]Baskol!$G$1578="","",[2]Baskol!$G$1578)</f>
        <v/>
      </c>
      <c r="Z1575">
        <f>IF([2]Baskol!$I$1578="","",[2]Baskol!$I$1578)</f>
        <v/>
      </c>
      <c r="AA1575">
        <f>IF([2]Baskol!$J$1578="","",[2]Baskol!$J$1578)</f>
        <v/>
      </c>
      <c r="AB1575">
        <f>IF([2]Baskol!$K$1578="","",[2]Baskol!$K$1578)</f>
        <v/>
      </c>
      <c r="AC1575">
        <f>IF([2]Baskol!$L$1578="","",[2]Baskol!$L$1578)</f>
        <v/>
      </c>
      <c r="AD1575">
        <f>IF([2]Baskol!$N$1578="","",[2]Baskol!$N$1578)</f>
        <v/>
      </c>
      <c r="AE1575">
        <f>IF([2]Baskol!$O$1578="","",[2]Baskol!$O$1578)</f>
        <v/>
      </c>
      <c r="AG1575">
        <f>IF([3]Entry!$C$1578="","",[3]Entry!$C$1578)</f>
        <v/>
      </c>
      <c r="AH1575">
        <f>IF([3]Entry!$D$1578="","",[3]Entry!$D$1578)</f>
        <v/>
      </c>
      <c r="AI1575">
        <f>IF([3]Entry!$E$1578="","",[3]Entry!$E$1578)</f>
        <v/>
      </c>
      <c r="AJ1575">
        <f>IF([3]Entry!$G$1578="","",[3]Entry!$G$1578)</f>
        <v/>
      </c>
      <c r="AK1575">
        <f>IF([3]Entry!$K$1578="","",[3]Entry!$K$1578)</f>
        <v/>
      </c>
      <c r="AL1575">
        <f>IF([3]Entry!$L$1578="","",[3]Entry!$L$1578)</f>
        <v/>
      </c>
      <c r="AM1575">
        <f>IF([3]Entry!$M$1578="","",[3]Entry!$M$1578)</f>
        <v/>
      </c>
      <c r="AN1575">
        <f>IF([3]Entry!$N$1578="","",[3]Entry!$N$1578)</f>
        <v/>
      </c>
      <c r="AO1575">
        <f>IF([3]Entry!$R$1578="","",[3]Entry!$R$1578)</f>
        <v/>
      </c>
    </row>
    <row r="1576">
      <c r="U1576">
        <f>IF([2]Baskol!$B$1579="","",[2]Baskol!$B$1579)</f>
        <v/>
      </c>
      <c r="V1576">
        <f>IF([2]Baskol!$C$1579="","",[2]Baskol!$C$1579)</f>
        <v/>
      </c>
      <c r="W1576">
        <f>IF([2]Baskol!$D$1579="","",[2]Baskol!$D$1579)</f>
        <v/>
      </c>
      <c r="X1576">
        <f>IF([2]Baskol!$E$1579="","",[2]Baskol!$E$1579)</f>
        <v/>
      </c>
      <c r="Y1576">
        <f>IF([2]Baskol!$G$1579="","",[2]Baskol!$G$1579)</f>
        <v/>
      </c>
      <c r="Z1576">
        <f>IF([2]Baskol!$I$1579="","",[2]Baskol!$I$1579)</f>
        <v/>
      </c>
      <c r="AA1576">
        <f>IF([2]Baskol!$J$1579="","",[2]Baskol!$J$1579)</f>
        <v/>
      </c>
      <c r="AB1576">
        <f>IF([2]Baskol!$K$1579="","",[2]Baskol!$K$1579)</f>
        <v/>
      </c>
      <c r="AC1576">
        <f>IF([2]Baskol!$L$1579="","",[2]Baskol!$L$1579)</f>
        <v/>
      </c>
      <c r="AD1576">
        <f>IF([2]Baskol!$N$1579="","",[2]Baskol!$N$1579)</f>
        <v/>
      </c>
      <c r="AE1576">
        <f>IF([2]Baskol!$O$1579="","",[2]Baskol!$O$1579)</f>
        <v/>
      </c>
      <c r="AG1576">
        <f>IF([3]Entry!$C$1579="","",[3]Entry!$C$1579)</f>
        <v/>
      </c>
      <c r="AH1576">
        <f>IF([3]Entry!$D$1579="","",[3]Entry!$D$1579)</f>
        <v/>
      </c>
      <c r="AI1576">
        <f>IF([3]Entry!$E$1579="","",[3]Entry!$E$1579)</f>
        <v/>
      </c>
      <c r="AJ1576">
        <f>IF([3]Entry!$G$1579="","",[3]Entry!$G$1579)</f>
        <v/>
      </c>
      <c r="AK1576">
        <f>IF([3]Entry!$K$1579="","",[3]Entry!$K$1579)</f>
        <v/>
      </c>
      <c r="AL1576">
        <f>IF([3]Entry!$L$1579="","",[3]Entry!$L$1579)</f>
        <v/>
      </c>
      <c r="AM1576">
        <f>IF([3]Entry!$M$1579="","",[3]Entry!$M$1579)</f>
        <v/>
      </c>
      <c r="AN1576">
        <f>IF([3]Entry!$N$1579="","",[3]Entry!$N$1579)</f>
        <v/>
      </c>
      <c r="AO1576">
        <f>IF([3]Entry!$R$1579="","",[3]Entry!$R$1579)</f>
        <v/>
      </c>
    </row>
    <row r="1577">
      <c r="U1577">
        <f>IF([2]Baskol!$B$1580="","",[2]Baskol!$B$1580)</f>
        <v/>
      </c>
      <c r="V1577">
        <f>IF([2]Baskol!$C$1580="","",[2]Baskol!$C$1580)</f>
        <v/>
      </c>
      <c r="W1577">
        <f>IF([2]Baskol!$D$1580="","",[2]Baskol!$D$1580)</f>
        <v/>
      </c>
      <c r="X1577">
        <f>IF([2]Baskol!$E$1580="","",[2]Baskol!$E$1580)</f>
        <v/>
      </c>
      <c r="Y1577">
        <f>IF([2]Baskol!$G$1580="","",[2]Baskol!$G$1580)</f>
        <v/>
      </c>
      <c r="Z1577">
        <f>IF([2]Baskol!$I$1580="","",[2]Baskol!$I$1580)</f>
        <v/>
      </c>
      <c r="AA1577">
        <f>IF([2]Baskol!$J$1580="","",[2]Baskol!$J$1580)</f>
        <v/>
      </c>
      <c r="AB1577">
        <f>IF([2]Baskol!$K$1580="","",[2]Baskol!$K$1580)</f>
        <v/>
      </c>
      <c r="AC1577">
        <f>IF([2]Baskol!$L$1580="","",[2]Baskol!$L$1580)</f>
        <v/>
      </c>
      <c r="AD1577">
        <f>IF([2]Baskol!$N$1580="","",[2]Baskol!$N$1580)</f>
        <v/>
      </c>
      <c r="AE1577">
        <f>IF([2]Baskol!$O$1580="","",[2]Baskol!$O$1580)</f>
        <v/>
      </c>
      <c r="AG1577">
        <f>IF([3]Entry!$C$1580="","",[3]Entry!$C$1580)</f>
        <v/>
      </c>
      <c r="AH1577">
        <f>IF([3]Entry!$D$1580="","",[3]Entry!$D$1580)</f>
        <v/>
      </c>
      <c r="AI1577">
        <f>IF([3]Entry!$E$1580="","",[3]Entry!$E$1580)</f>
        <v/>
      </c>
      <c r="AJ1577">
        <f>IF([3]Entry!$G$1580="","",[3]Entry!$G$1580)</f>
        <v/>
      </c>
      <c r="AK1577">
        <f>IF([3]Entry!$K$1580="","",[3]Entry!$K$1580)</f>
        <v/>
      </c>
      <c r="AL1577">
        <f>IF([3]Entry!$L$1580="","",[3]Entry!$L$1580)</f>
        <v/>
      </c>
      <c r="AM1577">
        <f>IF([3]Entry!$M$1580="","",[3]Entry!$M$1580)</f>
        <v/>
      </c>
      <c r="AN1577">
        <f>IF([3]Entry!$N$1580="","",[3]Entry!$N$1580)</f>
        <v/>
      </c>
      <c r="AO1577">
        <f>IF([3]Entry!$R$1580="","",[3]Entry!$R$1580)</f>
        <v/>
      </c>
    </row>
    <row r="1578">
      <c r="U1578">
        <f>IF([2]Baskol!$B$1581="","",[2]Baskol!$B$1581)</f>
        <v/>
      </c>
      <c r="V1578">
        <f>IF([2]Baskol!$C$1581="","",[2]Baskol!$C$1581)</f>
        <v/>
      </c>
      <c r="W1578">
        <f>IF([2]Baskol!$D$1581="","",[2]Baskol!$D$1581)</f>
        <v/>
      </c>
      <c r="X1578">
        <f>IF([2]Baskol!$E$1581="","",[2]Baskol!$E$1581)</f>
        <v/>
      </c>
      <c r="Y1578">
        <f>IF([2]Baskol!$G$1581="","",[2]Baskol!$G$1581)</f>
        <v/>
      </c>
      <c r="Z1578">
        <f>IF([2]Baskol!$I$1581="","",[2]Baskol!$I$1581)</f>
        <v/>
      </c>
      <c r="AA1578">
        <f>IF([2]Baskol!$J$1581="","",[2]Baskol!$J$1581)</f>
        <v/>
      </c>
      <c r="AB1578">
        <f>IF([2]Baskol!$K$1581="","",[2]Baskol!$K$1581)</f>
        <v/>
      </c>
      <c r="AC1578">
        <f>IF([2]Baskol!$L$1581="","",[2]Baskol!$L$1581)</f>
        <v/>
      </c>
      <c r="AD1578">
        <f>IF([2]Baskol!$N$1581="","",[2]Baskol!$N$1581)</f>
        <v/>
      </c>
      <c r="AE1578">
        <f>IF([2]Baskol!$O$1581="","",[2]Baskol!$O$1581)</f>
        <v/>
      </c>
      <c r="AG1578">
        <f>IF([3]Entry!$C$1581="","",[3]Entry!$C$1581)</f>
        <v/>
      </c>
      <c r="AH1578">
        <f>IF([3]Entry!$D$1581="","",[3]Entry!$D$1581)</f>
        <v/>
      </c>
      <c r="AI1578">
        <f>IF([3]Entry!$E$1581="","",[3]Entry!$E$1581)</f>
        <v/>
      </c>
      <c r="AJ1578">
        <f>IF([3]Entry!$G$1581="","",[3]Entry!$G$1581)</f>
        <v/>
      </c>
      <c r="AK1578">
        <f>IF([3]Entry!$K$1581="","",[3]Entry!$K$1581)</f>
        <v/>
      </c>
      <c r="AL1578">
        <f>IF([3]Entry!$L$1581="","",[3]Entry!$L$1581)</f>
        <v/>
      </c>
      <c r="AM1578">
        <f>IF([3]Entry!$M$1581="","",[3]Entry!$M$1581)</f>
        <v/>
      </c>
      <c r="AN1578">
        <f>IF([3]Entry!$N$1581="","",[3]Entry!$N$1581)</f>
        <v/>
      </c>
      <c r="AO1578">
        <f>IF([3]Entry!$R$1581="","",[3]Entry!$R$1581)</f>
        <v/>
      </c>
    </row>
    <row r="1579">
      <c r="U1579">
        <f>IF([2]Baskol!$B$1582="","",[2]Baskol!$B$1582)</f>
        <v/>
      </c>
      <c r="V1579">
        <f>IF([2]Baskol!$C$1582="","",[2]Baskol!$C$1582)</f>
        <v/>
      </c>
      <c r="W1579">
        <f>IF([2]Baskol!$D$1582="","",[2]Baskol!$D$1582)</f>
        <v/>
      </c>
      <c r="X1579">
        <f>IF([2]Baskol!$E$1582="","",[2]Baskol!$E$1582)</f>
        <v/>
      </c>
      <c r="Y1579">
        <f>IF([2]Baskol!$G$1582="","",[2]Baskol!$G$1582)</f>
        <v/>
      </c>
      <c r="Z1579">
        <f>IF([2]Baskol!$I$1582="","",[2]Baskol!$I$1582)</f>
        <v/>
      </c>
      <c r="AA1579">
        <f>IF([2]Baskol!$J$1582="","",[2]Baskol!$J$1582)</f>
        <v/>
      </c>
      <c r="AB1579">
        <f>IF([2]Baskol!$K$1582="","",[2]Baskol!$K$1582)</f>
        <v/>
      </c>
      <c r="AC1579">
        <f>IF([2]Baskol!$L$1582="","",[2]Baskol!$L$1582)</f>
        <v/>
      </c>
      <c r="AD1579">
        <f>IF([2]Baskol!$N$1582="","",[2]Baskol!$N$1582)</f>
        <v/>
      </c>
      <c r="AE1579">
        <f>IF([2]Baskol!$O$1582="","",[2]Baskol!$O$1582)</f>
        <v/>
      </c>
      <c r="AG1579">
        <f>IF([3]Entry!$C$1582="","",[3]Entry!$C$1582)</f>
        <v/>
      </c>
      <c r="AH1579">
        <f>IF([3]Entry!$D$1582="","",[3]Entry!$D$1582)</f>
        <v/>
      </c>
      <c r="AI1579">
        <f>IF([3]Entry!$E$1582="","",[3]Entry!$E$1582)</f>
        <v/>
      </c>
      <c r="AJ1579">
        <f>IF([3]Entry!$G$1582="","",[3]Entry!$G$1582)</f>
        <v/>
      </c>
      <c r="AK1579">
        <f>IF([3]Entry!$K$1582="","",[3]Entry!$K$1582)</f>
        <v/>
      </c>
      <c r="AL1579">
        <f>IF([3]Entry!$L$1582="","",[3]Entry!$L$1582)</f>
        <v/>
      </c>
      <c r="AM1579">
        <f>IF([3]Entry!$M$1582="","",[3]Entry!$M$1582)</f>
        <v/>
      </c>
      <c r="AN1579">
        <f>IF([3]Entry!$N$1582="","",[3]Entry!$N$1582)</f>
        <v/>
      </c>
      <c r="AO1579">
        <f>IF([3]Entry!$R$1582="","",[3]Entry!$R$1582)</f>
        <v/>
      </c>
    </row>
    <row r="1580">
      <c r="U1580">
        <f>IF([2]Baskol!$B$1583="","",[2]Baskol!$B$1583)</f>
        <v/>
      </c>
      <c r="V1580">
        <f>IF([2]Baskol!$C$1583="","",[2]Baskol!$C$1583)</f>
        <v/>
      </c>
      <c r="W1580">
        <f>IF([2]Baskol!$D$1583="","",[2]Baskol!$D$1583)</f>
        <v/>
      </c>
      <c r="X1580">
        <f>IF([2]Baskol!$E$1583="","",[2]Baskol!$E$1583)</f>
        <v/>
      </c>
      <c r="Y1580">
        <f>IF([2]Baskol!$G$1583="","",[2]Baskol!$G$1583)</f>
        <v/>
      </c>
      <c r="Z1580">
        <f>IF([2]Baskol!$I$1583="","",[2]Baskol!$I$1583)</f>
        <v/>
      </c>
      <c r="AA1580">
        <f>IF([2]Baskol!$J$1583="","",[2]Baskol!$J$1583)</f>
        <v/>
      </c>
      <c r="AB1580">
        <f>IF([2]Baskol!$K$1583="","",[2]Baskol!$K$1583)</f>
        <v/>
      </c>
      <c r="AC1580">
        <f>IF([2]Baskol!$L$1583="","",[2]Baskol!$L$1583)</f>
        <v/>
      </c>
      <c r="AD1580">
        <f>IF([2]Baskol!$N$1583="","",[2]Baskol!$N$1583)</f>
        <v/>
      </c>
      <c r="AE1580">
        <f>IF([2]Baskol!$O$1583="","",[2]Baskol!$O$1583)</f>
        <v/>
      </c>
      <c r="AG1580">
        <f>IF([3]Entry!$C$1583="","",[3]Entry!$C$1583)</f>
        <v/>
      </c>
      <c r="AH1580">
        <f>IF([3]Entry!$D$1583="","",[3]Entry!$D$1583)</f>
        <v/>
      </c>
      <c r="AI1580">
        <f>IF([3]Entry!$E$1583="","",[3]Entry!$E$1583)</f>
        <v/>
      </c>
      <c r="AJ1580">
        <f>IF([3]Entry!$G$1583="","",[3]Entry!$G$1583)</f>
        <v/>
      </c>
      <c r="AK1580">
        <f>IF([3]Entry!$K$1583="","",[3]Entry!$K$1583)</f>
        <v/>
      </c>
      <c r="AL1580">
        <f>IF([3]Entry!$L$1583="","",[3]Entry!$L$1583)</f>
        <v/>
      </c>
      <c r="AM1580">
        <f>IF([3]Entry!$M$1583="","",[3]Entry!$M$1583)</f>
        <v/>
      </c>
      <c r="AN1580">
        <f>IF([3]Entry!$N$1583="","",[3]Entry!$N$1583)</f>
        <v/>
      </c>
      <c r="AO1580">
        <f>IF([3]Entry!$R$1583="","",[3]Entry!$R$1583)</f>
        <v/>
      </c>
    </row>
    <row r="1581">
      <c r="U1581">
        <f>IF([2]Baskol!$B$1584="","",[2]Baskol!$B$1584)</f>
        <v/>
      </c>
      <c r="V1581">
        <f>IF([2]Baskol!$C$1584="","",[2]Baskol!$C$1584)</f>
        <v/>
      </c>
      <c r="W1581">
        <f>IF([2]Baskol!$D$1584="","",[2]Baskol!$D$1584)</f>
        <v/>
      </c>
      <c r="X1581">
        <f>IF([2]Baskol!$E$1584="","",[2]Baskol!$E$1584)</f>
        <v/>
      </c>
      <c r="Y1581">
        <f>IF([2]Baskol!$G$1584="","",[2]Baskol!$G$1584)</f>
        <v/>
      </c>
      <c r="Z1581">
        <f>IF([2]Baskol!$I$1584="","",[2]Baskol!$I$1584)</f>
        <v/>
      </c>
      <c r="AA1581">
        <f>IF([2]Baskol!$J$1584="","",[2]Baskol!$J$1584)</f>
        <v/>
      </c>
      <c r="AB1581">
        <f>IF([2]Baskol!$K$1584="","",[2]Baskol!$K$1584)</f>
        <v/>
      </c>
      <c r="AC1581">
        <f>IF([2]Baskol!$L$1584="","",[2]Baskol!$L$1584)</f>
        <v/>
      </c>
      <c r="AD1581">
        <f>IF([2]Baskol!$N$1584="","",[2]Baskol!$N$1584)</f>
        <v/>
      </c>
      <c r="AE1581">
        <f>IF([2]Baskol!$O$1584="","",[2]Baskol!$O$1584)</f>
        <v/>
      </c>
      <c r="AG1581">
        <f>IF([3]Entry!$C$1584="","",[3]Entry!$C$1584)</f>
        <v/>
      </c>
      <c r="AH1581">
        <f>IF([3]Entry!$D$1584="","",[3]Entry!$D$1584)</f>
        <v/>
      </c>
      <c r="AI1581">
        <f>IF([3]Entry!$E$1584="","",[3]Entry!$E$1584)</f>
        <v/>
      </c>
      <c r="AJ1581">
        <f>IF([3]Entry!$G$1584="","",[3]Entry!$G$1584)</f>
        <v/>
      </c>
      <c r="AK1581">
        <f>IF([3]Entry!$K$1584="","",[3]Entry!$K$1584)</f>
        <v/>
      </c>
      <c r="AL1581">
        <f>IF([3]Entry!$L$1584="","",[3]Entry!$L$1584)</f>
        <v/>
      </c>
      <c r="AM1581">
        <f>IF([3]Entry!$M$1584="","",[3]Entry!$M$1584)</f>
        <v/>
      </c>
      <c r="AN1581">
        <f>IF([3]Entry!$N$1584="","",[3]Entry!$N$1584)</f>
        <v/>
      </c>
      <c r="AO1581">
        <f>IF([3]Entry!$R$1584="","",[3]Entry!$R$1584)</f>
        <v/>
      </c>
    </row>
    <row r="1582">
      <c r="U1582">
        <f>IF([2]Baskol!$B$1585="","",[2]Baskol!$B$1585)</f>
        <v/>
      </c>
      <c r="V1582">
        <f>IF([2]Baskol!$C$1585="","",[2]Baskol!$C$1585)</f>
        <v/>
      </c>
      <c r="W1582">
        <f>IF([2]Baskol!$D$1585="","",[2]Baskol!$D$1585)</f>
        <v/>
      </c>
      <c r="X1582">
        <f>IF([2]Baskol!$E$1585="","",[2]Baskol!$E$1585)</f>
        <v/>
      </c>
      <c r="Y1582">
        <f>IF([2]Baskol!$G$1585="","",[2]Baskol!$G$1585)</f>
        <v/>
      </c>
      <c r="Z1582">
        <f>IF([2]Baskol!$I$1585="","",[2]Baskol!$I$1585)</f>
        <v/>
      </c>
      <c r="AA1582">
        <f>IF([2]Baskol!$J$1585="","",[2]Baskol!$J$1585)</f>
        <v/>
      </c>
      <c r="AB1582">
        <f>IF([2]Baskol!$K$1585="","",[2]Baskol!$K$1585)</f>
        <v/>
      </c>
      <c r="AC1582">
        <f>IF([2]Baskol!$L$1585="","",[2]Baskol!$L$1585)</f>
        <v/>
      </c>
      <c r="AD1582">
        <f>IF([2]Baskol!$N$1585="","",[2]Baskol!$N$1585)</f>
        <v/>
      </c>
      <c r="AE1582">
        <f>IF([2]Baskol!$O$1585="","",[2]Baskol!$O$1585)</f>
        <v/>
      </c>
      <c r="AG1582">
        <f>IF([3]Entry!$C$1585="","",[3]Entry!$C$1585)</f>
        <v/>
      </c>
      <c r="AH1582">
        <f>IF([3]Entry!$D$1585="","",[3]Entry!$D$1585)</f>
        <v/>
      </c>
      <c r="AI1582">
        <f>IF([3]Entry!$E$1585="","",[3]Entry!$E$1585)</f>
        <v/>
      </c>
      <c r="AJ1582">
        <f>IF([3]Entry!$G$1585="","",[3]Entry!$G$1585)</f>
        <v/>
      </c>
      <c r="AK1582">
        <f>IF([3]Entry!$K$1585="","",[3]Entry!$K$1585)</f>
        <v/>
      </c>
      <c r="AL1582">
        <f>IF([3]Entry!$L$1585="","",[3]Entry!$L$1585)</f>
        <v/>
      </c>
      <c r="AM1582">
        <f>IF([3]Entry!$M$1585="","",[3]Entry!$M$1585)</f>
        <v/>
      </c>
      <c r="AN1582">
        <f>IF([3]Entry!$N$1585="","",[3]Entry!$N$1585)</f>
        <v/>
      </c>
      <c r="AO1582">
        <f>IF([3]Entry!$R$1585="","",[3]Entry!$R$1585)</f>
        <v/>
      </c>
    </row>
    <row r="1583">
      <c r="U1583">
        <f>IF([2]Baskol!$B$1586="","",[2]Baskol!$B$1586)</f>
        <v/>
      </c>
      <c r="V1583">
        <f>IF([2]Baskol!$C$1586="","",[2]Baskol!$C$1586)</f>
        <v/>
      </c>
      <c r="W1583">
        <f>IF([2]Baskol!$D$1586="","",[2]Baskol!$D$1586)</f>
        <v/>
      </c>
      <c r="X1583">
        <f>IF([2]Baskol!$E$1586="","",[2]Baskol!$E$1586)</f>
        <v/>
      </c>
      <c r="Y1583">
        <f>IF([2]Baskol!$G$1586="","",[2]Baskol!$G$1586)</f>
        <v/>
      </c>
      <c r="Z1583">
        <f>IF([2]Baskol!$I$1586="","",[2]Baskol!$I$1586)</f>
        <v/>
      </c>
      <c r="AA1583">
        <f>IF([2]Baskol!$J$1586="","",[2]Baskol!$J$1586)</f>
        <v/>
      </c>
      <c r="AB1583">
        <f>IF([2]Baskol!$K$1586="","",[2]Baskol!$K$1586)</f>
        <v/>
      </c>
      <c r="AC1583">
        <f>IF([2]Baskol!$L$1586="","",[2]Baskol!$L$1586)</f>
        <v/>
      </c>
      <c r="AD1583">
        <f>IF([2]Baskol!$N$1586="","",[2]Baskol!$N$1586)</f>
        <v/>
      </c>
      <c r="AE1583">
        <f>IF([2]Baskol!$O$1586="","",[2]Baskol!$O$1586)</f>
        <v/>
      </c>
      <c r="AG1583">
        <f>IF([3]Entry!$C$1586="","",[3]Entry!$C$1586)</f>
        <v/>
      </c>
      <c r="AH1583">
        <f>IF([3]Entry!$D$1586="","",[3]Entry!$D$1586)</f>
        <v/>
      </c>
      <c r="AI1583">
        <f>IF([3]Entry!$E$1586="","",[3]Entry!$E$1586)</f>
        <v/>
      </c>
      <c r="AJ1583">
        <f>IF([3]Entry!$G$1586="","",[3]Entry!$G$1586)</f>
        <v/>
      </c>
      <c r="AK1583">
        <f>IF([3]Entry!$K$1586="","",[3]Entry!$K$1586)</f>
        <v/>
      </c>
      <c r="AL1583">
        <f>IF([3]Entry!$L$1586="","",[3]Entry!$L$1586)</f>
        <v/>
      </c>
      <c r="AM1583">
        <f>IF([3]Entry!$M$1586="","",[3]Entry!$M$1586)</f>
        <v/>
      </c>
      <c r="AN1583">
        <f>IF([3]Entry!$N$1586="","",[3]Entry!$N$1586)</f>
        <v/>
      </c>
      <c r="AO1583">
        <f>IF([3]Entry!$R$1586="","",[3]Entry!$R$1586)</f>
        <v/>
      </c>
    </row>
    <row r="1584">
      <c r="U1584">
        <f>IF([2]Baskol!$B$1587="","",[2]Baskol!$B$1587)</f>
        <v/>
      </c>
      <c r="V1584">
        <f>IF([2]Baskol!$C$1587="","",[2]Baskol!$C$1587)</f>
        <v/>
      </c>
      <c r="W1584">
        <f>IF([2]Baskol!$D$1587="","",[2]Baskol!$D$1587)</f>
        <v/>
      </c>
      <c r="X1584">
        <f>IF([2]Baskol!$E$1587="","",[2]Baskol!$E$1587)</f>
        <v/>
      </c>
      <c r="Y1584">
        <f>IF([2]Baskol!$G$1587="","",[2]Baskol!$G$1587)</f>
        <v/>
      </c>
      <c r="Z1584">
        <f>IF([2]Baskol!$I$1587="","",[2]Baskol!$I$1587)</f>
        <v/>
      </c>
      <c r="AA1584">
        <f>IF([2]Baskol!$J$1587="","",[2]Baskol!$J$1587)</f>
        <v/>
      </c>
      <c r="AB1584">
        <f>IF([2]Baskol!$K$1587="","",[2]Baskol!$K$1587)</f>
        <v/>
      </c>
      <c r="AC1584">
        <f>IF([2]Baskol!$L$1587="","",[2]Baskol!$L$1587)</f>
        <v/>
      </c>
      <c r="AD1584">
        <f>IF([2]Baskol!$N$1587="","",[2]Baskol!$N$1587)</f>
        <v/>
      </c>
      <c r="AE1584">
        <f>IF([2]Baskol!$O$1587="","",[2]Baskol!$O$1587)</f>
        <v/>
      </c>
      <c r="AG1584">
        <f>IF([3]Entry!$C$1587="","",[3]Entry!$C$1587)</f>
        <v/>
      </c>
      <c r="AH1584">
        <f>IF([3]Entry!$D$1587="","",[3]Entry!$D$1587)</f>
        <v/>
      </c>
      <c r="AI1584">
        <f>IF([3]Entry!$E$1587="","",[3]Entry!$E$1587)</f>
        <v/>
      </c>
      <c r="AJ1584">
        <f>IF([3]Entry!$G$1587="","",[3]Entry!$G$1587)</f>
        <v/>
      </c>
      <c r="AK1584">
        <f>IF([3]Entry!$K$1587="","",[3]Entry!$K$1587)</f>
        <v/>
      </c>
      <c r="AL1584">
        <f>IF([3]Entry!$L$1587="","",[3]Entry!$L$1587)</f>
        <v/>
      </c>
      <c r="AM1584">
        <f>IF([3]Entry!$M$1587="","",[3]Entry!$M$1587)</f>
        <v/>
      </c>
      <c r="AN1584">
        <f>IF([3]Entry!$N$1587="","",[3]Entry!$N$1587)</f>
        <v/>
      </c>
      <c r="AO1584">
        <f>IF([3]Entry!$R$1587="","",[3]Entry!$R$1587)</f>
        <v/>
      </c>
    </row>
    <row r="1585">
      <c r="U1585">
        <f>IF([2]Baskol!$B$1588="","",[2]Baskol!$B$1588)</f>
        <v/>
      </c>
      <c r="V1585">
        <f>IF([2]Baskol!$C$1588="","",[2]Baskol!$C$1588)</f>
        <v/>
      </c>
      <c r="W1585">
        <f>IF([2]Baskol!$D$1588="","",[2]Baskol!$D$1588)</f>
        <v/>
      </c>
      <c r="X1585">
        <f>IF([2]Baskol!$E$1588="","",[2]Baskol!$E$1588)</f>
        <v/>
      </c>
      <c r="Y1585">
        <f>IF([2]Baskol!$G$1588="","",[2]Baskol!$G$1588)</f>
        <v/>
      </c>
      <c r="Z1585">
        <f>IF([2]Baskol!$I$1588="","",[2]Baskol!$I$1588)</f>
        <v/>
      </c>
      <c r="AA1585">
        <f>IF([2]Baskol!$J$1588="","",[2]Baskol!$J$1588)</f>
        <v/>
      </c>
      <c r="AB1585">
        <f>IF([2]Baskol!$K$1588="","",[2]Baskol!$K$1588)</f>
        <v/>
      </c>
      <c r="AC1585">
        <f>IF([2]Baskol!$L$1588="","",[2]Baskol!$L$1588)</f>
        <v/>
      </c>
      <c r="AD1585">
        <f>IF([2]Baskol!$N$1588="","",[2]Baskol!$N$1588)</f>
        <v/>
      </c>
      <c r="AE1585">
        <f>IF([2]Baskol!$O$1588="","",[2]Baskol!$O$1588)</f>
        <v/>
      </c>
      <c r="AG1585">
        <f>IF([3]Entry!$C$1588="","",[3]Entry!$C$1588)</f>
        <v/>
      </c>
      <c r="AH1585">
        <f>IF([3]Entry!$D$1588="","",[3]Entry!$D$1588)</f>
        <v/>
      </c>
      <c r="AI1585">
        <f>IF([3]Entry!$E$1588="","",[3]Entry!$E$1588)</f>
        <v/>
      </c>
      <c r="AJ1585">
        <f>IF([3]Entry!$G$1588="","",[3]Entry!$G$1588)</f>
        <v/>
      </c>
      <c r="AK1585">
        <f>IF([3]Entry!$K$1588="","",[3]Entry!$K$1588)</f>
        <v/>
      </c>
      <c r="AL1585">
        <f>IF([3]Entry!$L$1588="","",[3]Entry!$L$1588)</f>
        <v/>
      </c>
      <c r="AM1585">
        <f>IF([3]Entry!$M$1588="","",[3]Entry!$M$1588)</f>
        <v/>
      </c>
      <c r="AN1585">
        <f>IF([3]Entry!$N$1588="","",[3]Entry!$N$1588)</f>
        <v/>
      </c>
      <c r="AO1585">
        <f>IF([3]Entry!$R$1588="","",[3]Entry!$R$1588)</f>
        <v/>
      </c>
    </row>
    <row r="1586">
      <c r="U1586">
        <f>IF([2]Baskol!$B$1589="","",[2]Baskol!$B$1589)</f>
        <v/>
      </c>
      <c r="V1586">
        <f>IF([2]Baskol!$C$1589="","",[2]Baskol!$C$1589)</f>
        <v/>
      </c>
      <c r="W1586">
        <f>IF([2]Baskol!$D$1589="","",[2]Baskol!$D$1589)</f>
        <v/>
      </c>
      <c r="X1586">
        <f>IF([2]Baskol!$E$1589="","",[2]Baskol!$E$1589)</f>
        <v/>
      </c>
      <c r="Y1586">
        <f>IF([2]Baskol!$G$1589="","",[2]Baskol!$G$1589)</f>
        <v/>
      </c>
      <c r="Z1586">
        <f>IF([2]Baskol!$I$1589="","",[2]Baskol!$I$1589)</f>
        <v/>
      </c>
      <c r="AA1586">
        <f>IF([2]Baskol!$J$1589="","",[2]Baskol!$J$1589)</f>
        <v/>
      </c>
      <c r="AB1586">
        <f>IF([2]Baskol!$K$1589="","",[2]Baskol!$K$1589)</f>
        <v/>
      </c>
      <c r="AC1586">
        <f>IF([2]Baskol!$L$1589="","",[2]Baskol!$L$1589)</f>
        <v/>
      </c>
      <c r="AD1586">
        <f>IF([2]Baskol!$N$1589="","",[2]Baskol!$N$1589)</f>
        <v/>
      </c>
      <c r="AE1586">
        <f>IF([2]Baskol!$O$1589="","",[2]Baskol!$O$1589)</f>
        <v/>
      </c>
      <c r="AG1586">
        <f>IF([3]Entry!$C$1589="","",[3]Entry!$C$1589)</f>
        <v/>
      </c>
      <c r="AH1586">
        <f>IF([3]Entry!$D$1589="","",[3]Entry!$D$1589)</f>
        <v/>
      </c>
      <c r="AI1586">
        <f>IF([3]Entry!$E$1589="","",[3]Entry!$E$1589)</f>
        <v/>
      </c>
      <c r="AJ1586">
        <f>IF([3]Entry!$G$1589="","",[3]Entry!$G$1589)</f>
        <v/>
      </c>
      <c r="AK1586">
        <f>IF([3]Entry!$K$1589="","",[3]Entry!$K$1589)</f>
        <v/>
      </c>
      <c r="AL1586">
        <f>IF([3]Entry!$L$1589="","",[3]Entry!$L$1589)</f>
        <v/>
      </c>
      <c r="AM1586">
        <f>IF([3]Entry!$M$1589="","",[3]Entry!$M$1589)</f>
        <v/>
      </c>
      <c r="AN1586">
        <f>IF([3]Entry!$N$1589="","",[3]Entry!$N$1589)</f>
        <v/>
      </c>
      <c r="AO1586">
        <f>IF([3]Entry!$R$1589="","",[3]Entry!$R$1589)</f>
        <v/>
      </c>
    </row>
    <row r="1587">
      <c r="U1587">
        <f>IF([2]Baskol!$B$1590="","",[2]Baskol!$B$1590)</f>
        <v/>
      </c>
      <c r="V1587">
        <f>IF([2]Baskol!$C$1590="","",[2]Baskol!$C$1590)</f>
        <v/>
      </c>
      <c r="W1587">
        <f>IF([2]Baskol!$D$1590="","",[2]Baskol!$D$1590)</f>
        <v/>
      </c>
      <c r="X1587">
        <f>IF([2]Baskol!$E$1590="","",[2]Baskol!$E$1590)</f>
        <v/>
      </c>
      <c r="Y1587">
        <f>IF([2]Baskol!$G$1590="","",[2]Baskol!$G$1590)</f>
        <v/>
      </c>
      <c r="Z1587">
        <f>IF([2]Baskol!$I$1590="","",[2]Baskol!$I$1590)</f>
        <v/>
      </c>
      <c r="AA1587">
        <f>IF([2]Baskol!$J$1590="","",[2]Baskol!$J$1590)</f>
        <v/>
      </c>
      <c r="AB1587">
        <f>IF([2]Baskol!$K$1590="","",[2]Baskol!$K$1590)</f>
        <v/>
      </c>
      <c r="AC1587">
        <f>IF([2]Baskol!$L$1590="","",[2]Baskol!$L$1590)</f>
        <v/>
      </c>
      <c r="AD1587">
        <f>IF([2]Baskol!$N$1590="","",[2]Baskol!$N$1590)</f>
        <v/>
      </c>
      <c r="AE1587">
        <f>IF([2]Baskol!$O$1590="","",[2]Baskol!$O$1590)</f>
        <v/>
      </c>
      <c r="AG1587">
        <f>IF([3]Entry!$C$1590="","",[3]Entry!$C$1590)</f>
        <v/>
      </c>
      <c r="AH1587">
        <f>IF([3]Entry!$D$1590="","",[3]Entry!$D$1590)</f>
        <v/>
      </c>
      <c r="AI1587">
        <f>IF([3]Entry!$E$1590="","",[3]Entry!$E$1590)</f>
        <v/>
      </c>
      <c r="AJ1587">
        <f>IF([3]Entry!$G$1590="","",[3]Entry!$G$1590)</f>
        <v/>
      </c>
      <c r="AK1587">
        <f>IF([3]Entry!$K$1590="","",[3]Entry!$K$1590)</f>
        <v/>
      </c>
      <c r="AL1587">
        <f>IF([3]Entry!$L$1590="","",[3]Entry!$L$1590)</f>
        <v/>
      </c>
      <c r="AM1587">
        <f>IF([3]Entry!$M$1590="","",[3]Entry!$M$1590)</f>
        <v/>
      </c>
      <c r="AN1587">
        <f>IF([3]Entry!$N$1590="","",[3]Entry!$N$1590)</f>
        <v/>
      </c>
      <c r="AO1587">
        <f>IF([3]Entry!$R$1590="","",[3]Entry!$R$1590)</f>
        <v/>
      </c>
    </row>
    <row r="1588">
      <c r="U1588">
        <f>IF([2]Baskol!$B$1591="","",[2]Baskol!$B$1591)</f>
        <v/>
      </c>
      <c r="V1588">
        <f>IF([2]Baskol!$C$1591="","",[2]Baskol!$C$1591)</f>
        <v/>
      </c>
      <c r="W1588">
        <f>IF([2]Baskol!$D$1591="","",[2]Baskol!$D$1591)</f>
        <v/>
      </c>
      <c r="X1588">
        <f>IF([2]Baskol!$E$1591="","",[2]Baskol!$E$1591)</f>
        <v/>
      </c>
      <c r="Y1588">
        <f>IF([2]Baskol!$G$1591="","",[2]Baskol!$G$1591)</f>
        <v/>
      </c>
      <c r="Z1588">
        <f>IF([2]Baskol!$I$1591="","",[2]Baskol!$I$1591)</f>
        <v/>
      </c>
      <c r="AA1588">
        <f>IF([2]Baskol!$J$1591="","",[2]Baskol!$J$1591)</f>
        <v/>
      </c>
      <c r="AB1588">
        <f>IF([2]Baskol!$K$1591="","",[2]Baskol!$K$1591)</f>
        <v/>
      </c>
      <c r="AC1588">
        <f>IF([2]Baskol!$L$1591="","",[2]Baskol!$L$1591)</f>
        <v/>
      </c>
      <c r="AD1588">
        <f>IF([2]Baskol!$N$1591="","",[2]Baskol!$N$1591)</f>
        <v/>
      </c>
      <c r="AE1588">
        <f>IF([2]Baskol!$O$1591="","",[2]Baskol!$O$1591)</f>
        <v/>
      </c>
      <c r="AG1588">
        <f>IF([3]Entry!$C$1591="","",[3]Entry!$C$1591)</f>
        <v/>
      </c>
      <c r="AH1588">
        <f>IF([3]Entry!$D$1591="","",[3]Entry!$D$1591)</f>
        <v/>
      </c>
      <c r="AI1588">
        <f>IF([3]Entry!$E$1591="","",[3]Entry!$E$1591)</f>
        <v/>
      </c>
      <c r="AJ1588">
        <f>IF([3]Entry!$G$1591="","",[3]Entry!$G$1591)</f>
        <v/>
      </c>
      <c r="AK1588">
        <f>IF([3]Entry!$K$1591="","",[3]Entry!$K$1591)</f>
        <v/>
      </c>
      <c r="AL1588">
        <f>IF([3]Entry!$L$1591="","",[3]Entry!$L$1591)</f>
        <v/>
      </c>
      <c r="AM1588">
        <f>IF([3]Entry!$M$1591="","",[3]Entry!$M$1591)</f>
        <v/>
      </c>
      <c r="AN1588">
        <f>IF([3]Entry!$N$1591="","",[3]Entry!$N$1591)</f>
        <v/>
      </c>
      <c r="AO1588">
        <f>IF([3]Entry!$R$1591="","",[3]Entry!$R$1591)</f>
        <v/>
      </c>
    </row>
    <row r="1589">
      <c r="U1589">
        <f>IF([2]Baskol!$B$1592="","",[2]Baskol!$B$1592)</f>
        <v/>
      </c>
      <c r="V1589">
        <f>IF([2]Baskol!$C$1592="","",[2]Baskol!$C$1592)</f>
        <v/>
      </c>
      <c r="W1589">
        <f>IF([2]Baskol!$D$1592="","",[2]Baskol!$D$1592)</f>
        <v/>
      </c>
      <c r="X1589">
        <f>IF([2]Baskol!$E$1592="","",[2]Baskol!$E$1592)</f>
        <v/>
      </c>
      <c r="Y1589">
        <f>IF([2]Baskol!$G$1592="","",[2]Baskol!$G$1592)</f>
        <v/>
      </c>
      <c r="Z1589">
        <f>IF([2]Baskol!$I$1592="","",[2]Baskol!$I$1592)</f>
        <v/>
      </c>
      <c r="AA1589">
        <f>IF([2]Baskol!$J$1592="","",[2]Baskol!$J$1592)</f>
        <v/>
      </c>
      <c r="AB1589">
        <f>IF([2]Baskol!$K$1592="","",[2]Baskol!$K$1592)</f>
        <v/>
      </c>
      <c r="AC1589">
        <f>IF([2]Baskol!$L$1592="","",[2]Baskol!$L$1592)</f>
        <v/>
      </c>
      <c r="AD1589">
        <f>IF([2]Baskol!$N$1592="","",[2]Baskol!$N$1592)</f>
        <v/>
      </c>
      <c r="AE1589">
        <f>IF([2]Baskol!$O$1592="","",[2]Baskol!$O$1592)</f>
        <v/>
      </c>
      <c r="AG1589">
        <f>IF([3]Entry!$C$1592="","",[3]Entry!$C$1592)</f>
        <v/>
      </c>
      <c r="AH1589">
        <f>IF([3]Entry!$D$1592="","",[3]Entry!$D$1592)</f>
        <v/>
      </c>
      <c r="AI1589">
        <f>IF([3]Entry!$E$1592="","",[3]Entry!$E$1592)</f>
        <v/>
      </c>
      <c r="AJ1589">
        <f>IF([3]Entry!$G$1592="","",[3]Entry!$G$1592)</f>
        <v/>
      </c>
      <c r="AK1589">
        <f>IF([3]Entry!$K$1592="","",[3]Entry!$K$1592)</f>
        <v/>
      </c>
      <c r="AL1589">
        <f>IF([3]Entry!$L$1592="","",[3]Entry!$L$1592)</f>
        <v/>
      </c>
      <c r="AM1589">
        <f>IF([3]Entry!$M$1592="","",[3]Entry!$M$1592)</f>
        <v/>
      </c>
      <c r="AN1589">
        <f>IF([3]Entry!$N$1592="","",[3]Entry!$N$1592)</f>
        <v/>
      </c>
      <c r="AO1589">
        <f>IF([3]Entry!$R$1592="","",[3]Entry!$R$1592)</f>
        <v/>
      </c>
    </row>
    <row r="1590">
      <c r="U1590">
        <f>IF([2]Baskol!$B$1593="","",[2]Baskol!$B$1593)</f>
        <v/>
      </c>
      <c r="V1590">
        <f>IF([2]Baskol!$C$1593="","",[2]Baskol!$C$1593)</f>
        <v/>
      </c>
      <c r="W1590">
        <f>IF([2]Baskol!$D$1593="","",[2]Baskol!$D$1593)</f>
        <v/>
      </c>
      <c r="X1590">
        <f>IF([2]Baskol!$E$1593="","",[2]Baskol!$E$1593)</f>
        <v/>
      </c>
      <c r="Y1590">
        <f>IF([2]Baskol!$G$1593="","",[2]Baskol!$G$1593)</f>
        <v/>
      </c>
      <c r="Z1590">
        <f>IF([2]Baskol!$I$1593="","",[2]Baskol!$I$1593)</f>
        <v/>
      </c>
      <c r="AA1590">
        <f>IF([2]Baskol!$J$1593="","",[2]Baskol!$J$1593)</f>
        <v/>
      </c>
      <c r="AB1590">
        <f>IF([2]Baskol!$K$1593="","",[2]Baskol!$K$1593)</f>
        <v/>
      </c>
      <c r="AC1590">
        <f>IF([2]Baskol!$L$1593="","",[2]Baskol!$L$1593)</f>
        <v/>
      </c>
      <c r="AD1590">
        <f>IF([2]Baskol!$N$1593="","",[2]Baskol!$N$1593)</f>
        <v/>
      </c>
      <c r="AE1590">
        <f>IF([2]Baskol!$O$1593="","",[2]Baskol!$O$1593)</f>
        <v/>
      </c>
      <c r="AG1590">
        <f>IF([3]Entry!$C$1593="","",[3]Entry!$C$1593)</f>
        <v/>
      </c>
      <c r="AH1590">
        <f>IF([3]Entry!$D$1593="","",[3]Entry!$D$1593)</f>
        <v/>
      </c>
      <c r="AI1590">
        <f>IF([3]Entry!$E$1593="","",[3]Entry!$E$1593)</f>
        <v/>
      </c>
      <c r="AJ1590">
        <f>IF([3]Entry!$G$1593="","",[3]Entry!$G$1593)</f>
        <v/>
      </c>
      <c r="AK1590">
        <f>IF([3]Entry!$K$1593="","",[3]Entry!$K$1593)</f>
        <v/>
      </c>
      <c r="AL1590">
        <f>IF([3]Entry!$L$1593="","",[3]Entry!$L$1593)</f>
        <v/>
      </c>
      <c r="AM1590">
        <f>IF([3]Entry!$M$1593="","",[3]Entry!$M$1593)</f>
        <v/>
      </c>
      <c r="AN1590">
        <f>IF([3]Entry!$N$1593="","",[3]Entry!$N$1593)</f>
        <v/>
      </c>
      <c r="AO1590">
        <f>IF([3]Entry!$R$1593="","",[3]Entry!$R$1593)</f>
        <v/>
      </c>
    </row>
    <row r="1591">
      <c r="U1591">
        <f>IF([2]Baskol!$B$1594="","",[2]Baskol!$B$1594)</f>
        <v/>
      </c>
      <c r="V1591">
        <f>IF([2]Baskol!$C$1594="","",[2]Baskol!$C$1594)</f>
        <v/>
      </c>
      <c r="W1591">
        <f>IF([2]Baskol!$D$1594="","",[2]Baskol!$D$1594)</f>
        <v/>
      </c>
      <c r="X1591">
        <f>IF([2]Baskol!$E$1594="","",[2]Baskol!$E$1594)</f>
        <v/>
      </c>
      <c r="Y1591">
        <f>IF([2]Baskol!$G$1594="","",[2]Baskol!$G$1594)</f>
        <v/>
      </c>
      <c r="Z1591">
        <f>IF([2]Baskol!$I$1594="","",[2]Baskol!$I$1594)</f>
        <v/>
      </c>
      <c r="AA1591">
        <f>IF([2]Baskol!$J$1594="","",[2]Baskol!$J$1594)</f>
        <v/>
      </c>
      <c r="AB1591">
        <f>IF([2]Baskol!$K$1594="","",[2]Baskol!$K$1594)</f>
        <v/>
      </c>
      <c r="AC1591">
        <f>IF([2]Baskol!$L$1594="","",[2]Baskol!$L$1594)</f>
        <v/>
      </c>
      <c r="AD1591">
        <f>IF([2]Baskol!$N$1594="","",[2]Baskol!$N$1594)</f>
        <v/>
      </c>
      <c r="AE1591">
        <f>IF([2]Baskol!$O$1594="","",[2]Baskol!$O$1594)</f>
        <v/>
      </c>
      <c r="AG1591">
        <f>IF([3]Entry!$C$1594="","",[3]Entry!$C$1594)</f>
        <v/>
      </c>
      <c r="AH1591">
        <f>IF([3]Entry!$D$1594="","",[3]Entry!$D$1594)</f>
        <v/>
      </c>
      <c r="AI1591">
        <f>IF([3]Entry!$E$1594="","",[3]Entry!$E$1594)</f>
        <v/>
      </c>
      <c r="AJ1591">
        <f>IF([3]Entry!$G$1594="","",[3]Entry!$G$1594)</f>
        <v/>
      </c>
      <c r="AK1591">
        <f>IF([3]Entry!$K$1594="","",[3]Entry!$K$1594)</f>
        <v/>
      </c>
      <c r="AL1591">
        <f>IF([3]Entry!$L$1594="","",[3]Entry!$L$1594)</f>
        <v/>
      </c>
      <c r="AM1591">
        <f>IF([3]Entry!$M$1594="","",[3]Entry!$M$1594)</f>
        <v/>
      </c>
      <c r="AN1591">
        <f>IF([3]Entry!$N$1594="","",[3]Entry!$N$1594)</f>
        <v/>
      </c>
      <c r="AO1591">
        <f>IF([3]Entry!$R$1594="","",[3]Entry!$R$1594)</f>
        <v/>
      </c>
    </row>
    <row r="1592">
      <c r="U1592">
        <f>IF([2]Baskol!$B$1595="","",[2]Baskol!$B$1595)</f>
        <v/>
      </c>
      <c r="V1592">
        <f>IF([2]Baskol!$C$1595="","",[2]Baskol!$C$1595)</f>
        <v/>
      </c>
      <c r="W1592">
        <f>IF([2]Baskol!$D$1595="","",[2]Baskol!$D$1595)</f>
        <v/>
      </c>
      <c r="X1592">
        <f>IF([2]Baskol!$E$1595="","",[2]Baskol!$E$1595)</f>
        <v/>
      </c>
      <c r="Y1592">
        <f>IF([2]Baskol!$G$1595="","",[2]Baskol!$G$1595)</f>
        <v/>
      </c>
      <c r="Z1592">
        <f>IF([2]Baskol!$I$1595="","",[2]Baskol!$I$1595)</f>
        <v/>
      </c>
      <c r="AA1592">
        <f>IF([2]Baskol!$J$1595="","",[2]Baskol!$J$1595)</f>
        <v/>
      </c>
      <c r="AB1592">
        <f>IF([2]Baskol!$K$1595="","",[2]Baskol!$K$1595)</f>
        <v/>
      </c>
      <c r="AC1592">
        <f>IF([2]Baskol!$L$1595="","",[2]Baskol!$L$1595)</f>
        <v/>
      </c>
      <c r="AD1592">
        <f>IF([2]Baskol!$N$1595="","",[2]Baskol!$N$1595)</f>
        <v/>
      </c>
      <c r="AE1592">
        <f>IF([2]Baskol!$O$1595="","",[2]Baskol!$O$1595)</f>
        <v/>
      </c>
      <c r="AG1592">
        <f>IF([3]Entry!$C$1595="","",[3]Entry!$C$1595)</f>
        <v/>
      </c>
      <c r="AH1592">
        <f>IF([3]Entry!$D$1595="","",[3]Entry!$D$1595)</f>
        <v/>
      </c>
      <c r="AI1592">
        <f>IF([3]Entry!$E$1595="","",[3]Entry!$E$1595)</f>
        <v/>
      </c>
      <c r="AJ1592">
        <f>IF([3]Entry!$G$1595="","",[3]Entry!$G$1595)</f>
        <v/>
      </c>
      <c r="AK1592">
        <f>IF([3]Entry!$K$1595="","",[3]Entry!$K$1595)</f>
        <v/>
      </c>
      <c r="AL1592">
        <f>IF([3]Entry!$L$1595="","",[3]Entry!$L$1595)</f>
        <v/>
      </c>
      <c r="AM1592">
        <f>IF([3]Entry!$M$1595="","",[3]Entry!$M$1595)</f>
        <v/>
      </c>
      <c r="AN1592">
        <f>IF([3]Entry!$N$1595="","",[3]Entry!$N$1595)</f>
        <v/>
      </c>
      <c r="AO1592">
        <f>IF([3]Entry!$R$1595="","",[3]Entry!$R$1595)</f>
        <v/>
      </c>
    </row>
    <row r="1593">
      <c r="U1593">
        <f>IF([2]Baskol!$B$1596="","",[2]Baskol!$B$1596)</f>
        <v/>
      </c>
      <c r="V1593">
        <f>IF([2]Baskol!$C$1596="","",[2]Baskol!$C$1596)</f>
        <v/>
      </c>
      <c r="W1593">
        <f>IF([2]Baskol!$D$1596="","",[2]Baskol!$D$1596)</f>
        <v/>
      </c>
      <c r="X1593">
        <f>IF([2]Baskol!$E$1596="","",[2]Baskol!$E$1596)</f>
        <v/>
      </c>
      <c r="Y1593">
        <f>IF([2]Baskol!$G$1596="","",[2]Baskol!$G$1596)</f>
        <v/>
      </c>
      <c r="Z1593">
        <f>IF([2]Baskol!$I$1596="","",[2]Baskol!$I$1596)</f>
        <v/>
      </c>
      <c r="AA1593">
        <f>IF([2]Baskol!$J$1596="","",[2]Baskol!$J$1596)</f>
        <v/>
      </c>
      <c r="AB1593">
        <f>IF([2]Baskol!$K$1596="","",[2]Baskol!$K$1596)</f>
        <v/>
      </c>
      <c r="AC1593">
        <f>IF([2]Baskol!$L$1596="","",[2]Baskol!$L$1596)</f>
        <v/>
      </c>
      <c r="AD1593">
        <f>IF([2]Baskol!$N$1596="","",[2]Baskol!$N$1596)</f>
        <v/>
      </c>
      <c r="AE1593">
        <f>IF([2]Baskol!$O$1596="","",[2]Baskol!$O$1596)</f>
        <v/>
      </c>
      <c r="AG1593">
        <f>IF([3]Entry!$C$1596="","",[3]Entry!$C$1596)</f>
        <v/>
      </c>
      <c r="AH1593">
        <f>IF([3]Entry!$D$1596="","",[3]Entry!$D$1596)</f>
        <v/>
      </c>
      <c r="AI1593">
        <f>IF([3]Entry!$E$1596="","",[3]Entry!$E$1596)</f>
        <v/>
      </c>
      <c r="AJ1593">
        <f>IF([3]Entry!$G$1596="","",[3]Entry!$G$1596)</f>
        <v/>
      </c>
      <c r="AK1593">
        <f>IF([3]Entry!$K$1596="","",[3]Entry!$K$1596)</f>
        <v/>
      </c>
      <c r="AL1593">
        <f>IF([3]Entry!$L$1596="","",[3]Entry!$L$1596)</f>
        <v/>
      </c>
      <c r="AM1593">
        <f>IF([3]Entry!$M$1596="","",[3]Entry!$M$1596)</f>
        <v/>
      </c>
      <c r="AN1593">
        <f>IF([3]Entry!$N$1596="","",[3]Entry!$N$1596)</f>
        <v/>
      </c>
      <c r="AO1593">
        <f>IF([3]Entry!$R$1596="","",[3]Entry!$R$1596)</f>
        <v/>
      </c>
    </row>
    <row r="1594">
      <c r="U1594">
        <f>IF([2]Baskol!$B$1597="","",[2]Baskol!$B$1597)</f>
        <v/>
      </c>
      <c r="V1594">
        <f>IF([2]Baskol!$C$1597="","",[2]Baskol!$C$1597)</f>
        <v/>
      </c>
      <c r="W1594">
        <f>IF([2]Baskol!$D$1597="","",[2]Baskol!$D$1597)</f>
        <v/>
      </c>
      <c r="X1594">
        <f>IF([2]Baskol!$E$1597="","",[2]Baskol!$E$1597)</f>
        <v/>
      </c>
      <c r="Y1594">
        <f>IF([2]Baskol!$G$1597="","",[2]Baskol!$G$1597)</f>
        <v/>
      </c>
      <c r="Z1594">
        <f>IF([2]Baskol!$I$1597="","",[2]Baskol!$I$1597)</f>
        <v/>
      </c>
      <c r="AA1594">
        <f>IF([2]Baskol!$J$1597="","",[2]Baskol!$J$1597)</f>
        <v/>
      </c>
      <c r="AB1594">
        <f>IF([2]Baskol!$K$1597="","",[2]Baskol!$K$1597)</f>
        <v/>
      </c>
      <c r="AC1594">
        <f>IF([2]Baskol!$L$1597="","",[2]Baskol!$L$1597)</f>
        <v/>
      </c>
      <c r="AD1594">
        <f>IF([2]Baskol!$N$1597="","",[2]Baskol!$N$1597)</f>
        <v/>
      </c>
      <c r="AE1594">
        <f>IF([2]Baskol!$O$1597="","",[2]Baskol!$O$1597)</f>
        <v/>
      </c>
      <c r="AG1594">
        <f>IF([3]Entry!$C$1597="","",[3]Entry!$C$1597)</f>
        <v/>
      </c>
      <c r="AH1594">
        <f>IF([3]Entry!$D$1597="","",[3]Entry!$D$1597)</f>
        <v/>
      </c>
      <c r="AI1594">
        <f>IF([3]Entry!$E$1597="","",[3]Entry!$E$1597)</f>
        <v/>
      </c>
      <c r="AJ1594">
        <f>IF([3]Entry!$G$1597="","",[3]Entry!$G$1597)</f>
        <v/>
      </c>
      <c r="AK1594">
        <f>IF([3]Entry!$K$1597="","",[3]Entry!$K$1597)</f>
        <v/>
      </c>
      <c r="AL1594">
        <f>IF([3]Entry!$L$1597="","",[3]Entry!$L$1597)</f>
        <v/>
      </c>
      <c r="AM1594">
        <f>IF([3]Entry!$M$1597="","",[3]Entry!$M$1597)</f>
        <v/>
      </c>
      <c r="AN1594">
        <f>IF([3]Entry!$N$1597="","",[3]Entry!$N$1597)</f>
        <v/>
      </c>
      <c r="AO1594">
        <f>IF([3]Entry!$R$1597="","",[3]Entry!$R$1597)</f>
        <v/>
      </c>
    </row>
    <row r="1595">
      <c r="U1595">
        <f>IF([2]Baskol!$B$1598="","",[2]Baskol!$B$1598)</f>
        <v/>
      </c>
      <c r="V1595">
        <f>IF([2]Baskol!$C$1598="","",[2]Baskol!$C$1598)</f>
        <v/>
      </c>
      <c r="W1595">
        <f>IF([2]Baskol!$D$1598="","",[2]Baskol!$D$1598)</f>
        <v/>
      </c>
      <c r="X1595">
        <f>IF([2]Baskol!$E$1598="","",[2]Baskol!$E$1598)</f>
        <v/>
      </c>
      <c r="Y1595">
        <f>IF([2]Baskol!$G$1598="","",[2]Baskol!$G$1598)</f>
        <v/>
      </c>
      <c r="Z1595">
        <f>IF([2]Baskol!$I$1598="","",[2]Baskol!$I$1598)</f>
        <v/>
      </c>
      <c r="AA1595">
        <f>IF([2]Baskol!$J$1598="","",[2]Baskol!$J$1598)</f>
        <v/>
      </c>
      <c r="AB1595">
        <f>IF([2]Baskol!$K$1598="","",[2]Baskol!$K$1598)</f>
        <v/>
      </c>
      <c r="AC1595">
        <f>IF([2]Baskol!$L$1598="","",[2]Baskol!$L$1598)</f>
        <v/>
      </c>
      <c r="AD1595">
        <f>IF([2]Baskol!$N$1598="","",[2]Baskol!$N$1598)</f>
        <v/>
      </c>
      <c r="AE1595">
        <f>IF([2]Baskol!$O$1598="","",[2]Baskol!$O$1598)</f>
        <v/>
      </c>
      <c r="AG1595">
        <f>IF([3]Entry!$C$1598="","",[3]Entry!$C$1598)</f>
        <v/>
      </c>
      <c r="AH1595">
        <f>IF([3]Entry!$D$1598="","",[3]Entry!$D$1598)</f>
        <v/>
      </c>
      <c r="AI1595">
        <f>IF([3]Entry!$E$1598="","",[3]Entry!$E$1598)</f>
        <v/>
      </c>
      <c r="AJ1595">
        <f>IF([3]Entry!$G$1598="","",[3]Entry!$G$1598)</f>
        <v/>
      </c>
      <c r="AK1595">
        <f>IF([3]Entry!$K$1598="","",[3]Entry!$K$1598)</f>
        <v/>
      </c>
      <c r="AL1595">
        <f>IF([3]Entry!$L$1598="","",[3]Entry!$L$1598)</f>
        <v/>
      </c>
      <c r="AM1595">
        <f>IF([3]Entry!$M$1598="","",[3]Entry!$M$1598)</f>
        <v/>
      </c>
      <c r="AN1595">
        <f>IF([3]Entry!$N$1598="","",[3]Entry!$N$1598)</f>
        <v/>
      </c>
      <c r="AO1595">
        <f>IF([3]Entry!$R$1598="","",[3]Entry!$R$1598)</f>
        <v/>
      </c>
    </row>
    <row r="1596">
      <c r="U1596">
        <f>IF([2]Baskol!$B$1599="","",[2]Baskol!$B$1599)</f>
        <v/>
      </c>
      <c r="V1596">
        <f>IF([2]Baskol!$C$1599="","",[2]Baskol!$C$1599)</f>
        <v/>
      </c>
      <c r="W1596">
        <f>IF([2]Baskol!$D$1599="","",[2]Baskol!$D$1599)</f>
        <v/>
      </c>
      <c r="X1596">
        <f>IF([2]Baskol!$E$1599="","",[2]Baskol!$E$1599)</f>
        <v/>
      </c>
      <c r="Y1596">
        <f>IF([2]Baskol!$G$1599="","",[2]Baskol!$G$1599)</f>
        <v/>
      </c>
      <c r="Z1596">
        <f>IF([2]Baskol!$I$1599="","",[2]Baskol!$I$1599)</f>
        <v/>
      </c>
      <c r="AA1596">
        <f>IF([2]Baskol!$J$1599="","",[2]Baskol!$J$1599)</f>
        <v/>
      </c>
      <c r="AB1596">
        <f>IF([2]Baskol!$K$1599="","",[2]Baskol!$K$1599)</f>
        <v/>
      </c>
      <c r="AC1596">
        <f>IF([2]Baskol!$L$1599="","",[2]Baskol!$L$1599)</f>
        <v/>
      </c>
      <c r="AD1596">
        <f>IF([2]Baskol!$N$1599="","",[2]Baskol!$N$1599)</f>
        <v/>
      </c>
      <c r="AE1596">
        <f>IF([2]Baskol!$O$1599="","",[2]Baskol!$O$1599)</f>
        <v/>
      </c>
      <c r="AG1596">
        <f>IF([3]Entry!$C$1599="","",[3]Entry!$C$1599)</f>
        <v/>
      </c>
      <c r="AH1596">
        <f>IF([3]Entry!$D$1599="","",[3]Entry!$D$1599)</f>
        <v/>
      </c>
      <c r="AI1596">
        <f>IF([3]Entry!$E$1599="","",[3]Entry!$E$1599)</f>
        <v/>
      </c>
      <c r="AJ1596">
        <f>IF([3]Entry!$G$1599="","",[3]Entry!$G$1599)</f>
        <v/>
      </c>
      <c r="AK1596">
        <f>IF([3]Entry!$K$1599="","",[3]Entry!$K$1599)</f>
        <v/>
      </c>
      <c r="AL1596">
        <f>IF([3]Entry!$L$1599="","",[3]Entry!$L$1599)</f>
        <v/>
      </c>
      <c r="AM1596">
        <f>IF([3]Entry!$M$1599="","",[3]Entry!$M$1599)</f>
        <v/>
      </c>
      <c r="AN1596">
        <f>IF([3]Entry!$N$1599="","",[3]Entry!$N$1599)</f>
        <v/>
      </c>
      <c r="AO1596">
        <f>IF([3]Entry!$R$1599="","",[3]Entry!$R$1599)</f>
        <v/>
      </c>
    </row>
    <row r="1597">
      <c r="U1597">
        <f>IF([2]Baskol!$B$1600="","",[2]Baskol!$B$1600)</f>
        <v/>
      </c>
      <c r="V1597">
        <f>IF([2]Baskol!$C$1600="","",[2]Baskol!$C$1600)</f>
        <v/>
      </c>
      <c r="W1597">
        <f>IF([2]Baskol!$D$1600="","",[2]Baskol!$D$1600)</f>
        <v/>
      </c>
      <c r="X1597">
        <f>IF([2]Baskol!$E$1600="","",[2]Baskol!$E$1600)</f>
        <v/>
      </c>
      <c r="Y1597">
        <f>IF([2]Baskol!$G$1600="","",[2]Baskol!$G$1600)</f>
        <v/>
      </c>
      <c r="Z1597">
        <f>IF([2]Baskol!$I$1600="","",[2]Baskol!$I$1600)</f>
        <v/>
      </c>
      <c r="AA1597">
        <f>IF([2]Baskol!$J$1600="","",[2]Baskol!$J$1600)</f>
        <v/>
      </c>
      <c r="AB1597">
        <f>IF([2]Baskol!$K$1600="","",[2]Baskol!$K$1600)</f>
        <v/>
      </c>
      <c r="AC1597">
        <f>IF([2]Baskol!$L$1600="","",[2]Baskol!$L$1600)</f>
        <v/>
      </c>
      <c r="AD1597">
        <f>IF([2]Baskol!$N$1600="","",[2]Baskol!$N$1600)</f>
        <v/>
      </c>
      <c r="AE1597">
        <f>IF([2]Baskol!$O$1600="","",[2]Baskol!$O$1600)</f>
        <v/>
      </c>
      <c r="AG1597">
        <f>IF([3]Entry!$C$1600="","",[3]Entry!$C$1600)</f>
        <v/>
      </c>
      <c r="AH1597">
        <f>IF([3]Entry!$D$1600="","",[3]Entry!$D$1600)</f>
        <v/>
      </c>
      <c r="AI1597">
        <f>IF([3]Entry!$E$1600="","",[3]Entry!$E$1600)</f>
        <v/>
      </c>
      <c r="AJ1597">
        <f>IF([3]Entry!$G$1600="","",[3]Entry!$G$1600)</f>
        <v/>
      </c>
      <c r="AK1597">
        <f>IF([3]Entry!$K$1600="","",[3]Entry!$K$1600)</f>
        <v/>
      </c>
      <c r="AL1597">
        <f>IF([3]Entry!$L$1600="","",[3]Entry!$L$1600)</f>
        <v/>
      </c>
      <c r="AM1597">
        <f>IF([3]Entry!$M$1600="","",[3]Entry!$M$1600)</f>
        <v/>
      </c>
      <c r="AN1597">
        <f>IF([3]Entry!$N$1600="","",[3]Entry!$N$1600)</f>
        <v/>
      </c>
      <c r="AO1597">
        <f>IF([3]Entry!$R$1600="","",[3]Entry!$R$1600)</f>
        <v/>
      </c>
    </row>
    <row r="1598">
      <c r="U1598">
        <f>IF([2]Baskol!$B$1601="","",[2]Baskol!$B$1601)</f>
        <v/>
      </c>
      <c r="V1598">
        <f>IF([2]Baskol!$C$1601="","",[2]Baskol!$C$1601)</f>
        <v/>
      </c>
      <c r="W1598">
        <f>IF([2]Baskol!$D$1601="","",[2]Baskol!$D$1601)</f>
        <v/>
      </c>
      <c r="X1598">
        <f>IF([2]Baskol!$E$1601="","",[2]Baskol!$E$1601)</f>
        <v/>
      </c>
      <c r="Y1598">
        <f>IF([2]Baskol!$G$1601="","",[2]Baskol!$G$1601)</f>
        <v/>
      </c>
      <c r="Z1598">
        <f>IF([2]Baskol!$I$1601="","",[2]Baskol!$I$1601)</f>
        <v/>
      </c>
      <c r="AA1598">
        <f>IF([2]Baskol!$J$1601="","",[2]Baskol!$J$1601)</f>
        <v/>
      </c>
      <c r="AB1598">
        <f>IF([2]Baskol!$K$1601="","",[2]Baskol!$K$1601)</f>
        <v/>
      </c>
      <c r="AC1598">
        <f>IF([2]Baskol!$L$1601="","",[2]Baskol!$L$1601)</f>
        <v/>
      </c>
      <c r="AD1598">
        <f>IF([2]Baskol!$N$1601="","",[2]Baskol!$N$1601)</f>
        <v/>
      </c>
      <c r="AE1598">
        <f>IF([2]Baskol!$O$1601="","",[2]Baskol!$O$1601)</f>
        <v/>
      </c>
      <c r="AG1598">
        <f>IF([3]Entry!$C$1601="","",[3]Entry!$C$1601)</f>
        <v/>
      </c>
      <c r="AH1598">
        <f>IF([3]Entry!$D$1601="","",[3]Entry!$D$1601)</f>
        <v/>
      </c>
      <c r="AI1598">
        <f>IF([3]Entry!$E$1601="","",[3]Entry!$E$1601)</f>
        <v/>
      </c>
      <c r="AJ1598">
        <f>IF([3]Entry!$G$1601="","",[3]Entry!$G$1601)</f>
        <v/>
      </c>
      <c r="AK1598">
        <f>IF([3]Entry!$K$1601="","",[3]Entry!$K$1601)</f>
        <v/>
      </c>
      <c r="AL1598">
        <f>IF([3]Entry!$L$1601="","",[3]Entry!$L$1601)</f>
        <v/>
      </c>
      <c r="AM1598">
        <f>IF([3]Entry!$M$1601="","",[3]Entry!$M$1601)</f>
        <v/>
      </c>
      <c r="AN1598">
        <f>IF([3]Entry!$N$1601="","",[3]Entry!$N$1601)</f>
        <v/>
      </c>
      <c r="AO1598">
        <f>IF([3]Entry!$R$1601="","",[3]Entry!$R$1601)</f>
        <v/>
      </c>
    </row>
    <row r="1599">
      <c r="U1599">
        <f>IF([2]Baskol!$B$1602="","",[2]Baskol!$B$1602)</f>
        <v/>
      </c>
      <c r="V1599">
        <f>IF([2]Baskol!$C$1602="","",[2]Baskol!$C$1602)</f>
        <v/>
      </c>
      <c r="W1599">
        <f>IF([2]Baskol!$D$1602="","",[2]Baskol!$D$1602)</f>
        <v/>
      </c>
      <c r="X1599">
        <f>IF([2]Baskol!$E$1602="","",[2]Baskol!$E$1602)</f>
        <v/>
      </c>
      <c r="Y1599">
        <f>IF([2]Baskol!$G$1602="","",[2]Baskol!$G$1602)</f>
        <v/>
      </c>
      <c r="Z1599">
        <f>IF([2]Baskol!$I$1602="","",[2]Baskol!$I$1602)</f>
        <v/>
      </c>
      <c r="AA1599">
        <f>IF([2]Baskol!$J$1602="","",[2]Baskol!$J$1602)</f>
        <v/>
      </c>
      <c r="AB1599">
        <f>IF([2]Baskol!$K$1602="","",[2]Baskol!$K$1602)</f>
        <v/>
      </c>
      <c r="AC1599">
        <f>IF([2]Baskol!$L$1602="","",[2]Baskol!$L$1602)</f>
        <v/>
      </c>
      <c r="AD1599">
        <f>IF([2]Baskol!$N$1602="","",[2]Baskol!$N$1602)</f>
        <v/>
      </c>
      <c r="AE1599">
        <f>IF([2]Baskol!$O$1602="","",[2]Baskol!$O$1602)</f>
        <v/>
      </c>
      <c r="AG1599">
        <f>IF([3]Entry!$C$1602="","",[3]Entry!$C$1602)</f>
        <v/>
      </c>
      <c r="AH1599">
        <f>IF([3]Entry!$D$1602="","",[3]Entry!$D$1602)</f>
        <v/>
      </c>
      <c r="AI1599">
        <f>IF([3]Entry!$E$1602="","",[3]Entry!$E$1602)</f>
        <v/>
      </c>
      <c r="AJ1599">
        <f>IF([3]Entry!$G$1602="","",[3]Entry!$G$1602)</f>
        <v/>
      </c>
      <c r="AK1599">
        <f>IF([3]Entry!$K$1602="","",[3]Entry!$K$1602)</f>
        <v/>
      </c>
      <c r="AL1599">
        <f>IF([3]Entry!$L$1602="","",[3]Entry!$L$1602)</f>
        <v/>
      </c>
      <c r="AM1599">
        <f>IF([3]Entry!$M$1602="","",[3]Entry!$M$1602)</f>
        <v/>
      </c>
      <c r="AN1599">
        <f>IF([3]Entry!$N$1602="","",[3]Entry!$N$1602)</f>
        <v/>
      </c>
      <c r="AO1599">
        <f>IF([3]Entry!$R$1602="","",[3]Entry!$R$1602)</f>
        <v/>
      </c>
    </row>
    <row r="1600">
      <c r="U1600">
        <f>IF([2]Baskol!$B$1603="","",[2]Baskol!$B$1603)</f>
        <v/>
      </c>
      <c r="V1600">
        <f>IF([2]Baskol!$C$1603="","",[2]Baskol!$C$1603)</f>
        <v/>
      </c>
      <c r="W1600">
        <f>IF([2]Baskol!$D$1603="","",[2]Baskol!$D$1603)</f>
        <v/>
      </c>
      <c r="X1600">
        <f>IF([2]Baskol!$E$1603="","",[2]Baskol!$E$1603)</f>
        <v/>
      </c>
      <c r="Y1600">
        <f>IF([2]Baskol!$G$1603="","",[2]Baskol!$G$1603)</f>
        <v/>
      </c>
      <c r="Z1600">
        <f>IF([2]Baskol!$I$1603="","",[2]Baskol!$I$1603)</f>
        <v/>
      </c>
      <c r="AA1600">
        <f>IF([2]Baskol!$J$1603="","",[2]Baskol!$J$1603)</f>
        <v/>
      </c>
      <c r="AB1600">
        <f>IF([2]Baskol!$K$1603="","",[2]Baskol!$K$1603)</f>
        <v/>
      </c>
      <c r="AC1600">
        <f>IF([2]Baskol!$L$1603="","",[2]Baskol!$L$1603)</f>
        <v/>
      </c>
      <c r="AD1600">
        <f>IF([2]Baskol!$N$1603="","",[2]Baskol!$N$1603)</f>
        <v/>
      </c>
      <c r="AE1600">
        <f>IF([2]Baskol!$O$1603="","",[2]Baskol!$O$1603)</f>
        <v/>
      </c>
      <c r="AG1600">
        <f>IF([3]Entry!$C$1603="","",[3]Entry!$C$1603)</f>
        <v/>
      </c>
      <c r="AH1600">
        <f>IF([3]Entry!$D$1603="","",[3]Entry!$D$1603)</f>
        <v/>
      </c>
      <c r="AI1600">
        <f>IF([3]Entry!$E$1603="","",[3]Entry!$E$1603)</f>
        <v/>
      </c>
      <c r="AJ1600">
        <f>IF([3]Entry!$G$1603="","",[3]Entry!$G$1603)</f>
        <v/>
      </c>
      <c r="AK1600">
        <f>IF([3]Entry!$K$1603="","",[3]Entry!$K$1603)</f>
        <v/>
      </c>
      <c r="AL1600">
        <f>IF([3]Entry!$L$1603="","",[3]Entry!$L$1603)</f>
        <v/>
      </c>
      <c r="AM1600">
        <f>IF([3]Entry!$M$1603="","",[3]Entry!$M$1603)</f>
        <v/>
      </c>
      <c r="AN1600">
        <f>IF([3]Entry!$N$1603="","",[3]Entry!$N$1603)</f>
        <v/>
      </c>
      <c r="AO1600">
        <f>IF([3]Entry!$R$1603="","",[3]Entry!$R$1603)</f>
        <v/>
      </c>
    </row>
    <row r="1601">
      <c r="U1601">
        <f>IF([2]Baskol!$B$1604="","",[2]Baskol!$B$1604)</f>
        <v/>
      </c>
      <c r="V1601">
        <f>IF([2]Baskol!$C$1604="","",[2]Baskol!$C$1604)</f>
        <v/>
      </c>
      <c r="W1601">
        <f>IF([2]Baskol!$D$1604="","",[2]Baskol!$D$1604)</f>
        <v/>
      </c>
      <c r="X1601">
        <f>IF([2]Baskol!$E$1604="","",[2]Baskol!$E$1604)</f>
        <v/>
      </c>
      <c r="Y1601">
        <f>IF([2]Baskol!$G$1604="","",[2]Baskol!$G$1604)</f>
        <v/>
      </c>
      <c r="Z1601">
        <f>IF([2]Baskol!$I$1604="","",[2]Baskol!$I$1604)</f>
        <v/>
      </c>
      <c r="AA1601">
        <f>IF([2]Baskol!$J$1604="","",[2]Baskol!$J$1604)</f>
        <v/>
      </c>
      <c r="AB1601">
        <f>IF([2]Baskol!$K$1604="","",[2]Baskol!$K$1604)</f>
        <v/>
      </c>
      <c r="AC1601">
        <f>IF([2]Baskol!$L$1604="","",[2]Baskol!$L$1604)</f>
        <v/>
      </c>
      <c r="AD1601">
        <f>IF([2]Baskol!$N$1604="","",[2]Baskol!$N$1604)</f>
        <v/>
      </c>
      <c r="AE1601">
        <f>IF([2]Baskol!$O$1604="","",[2]Baskol!$O$1604)</f>
        <v/>
      </c>
      <c r="AG1601">
        <f>IF([3]Entry!$C$1604="","",[3]Entry!$C$1604)</f>
        <v/>
      </c>
      <c r="AH1601">
        <f>IF([3]Entry!$D$1604="","",[3]Entry!$D$1604)</f>
        <v/>
      </c>
      <c r="AI1601">
        <f>IF([3]Entry!$E$1604="","",[3]Entry!$E$1604)</f>
        <v/>
      </c>
      <c r="AJ1601">
        <f>IF([3]Entry!$G$1604="","",[3]Entry!$G$1604)</f>
        <v/>
      </c>
      <c r="AK1601">
        <f>IF([3]Entry!$K$1604="","",[3]Entry!$K$1604)</f>
        <v/>
      </c>
      <c r="AL1601">
        <f>IF([3]Entry!$L$1604="","",[3]Entry!$L$1604)</f>
        <v/>
      </c>
      <c r="AM1601">
        <f>IF([3]Entry!$M$1604="","",[3]Entry!$M$1604)</f>
        <v/>
      </c>
      <c r="AN1601">
        <f>IF([3]Entry!$N$1604="","",[3]Entry!$N$1604)</f>
        <v/>
      </c>
      <c r="AO1601">
        <f>IF([3]Entry!$R$1604="","",[3]Entry!$R$1604)</f>
        <v/>
      </c>
    </row>
    <row r="1602">
      <c r="U1602">
        <f>IF([2]Baskol!$B$1605="","",[2]Baskol!$B$1605)</f>
        <v/>
      </c>
      <c r="V1602">
        <f>IF([2]Baskol!$C$1605="","",[2]Baskol!$C$1605)</f>
        <v/>
      </c>
      <c r="W1602">
        <f>IF([2]Baskol!$D$1605="","",[2]Baskol!$D$1605)</f>
        <v/>
      </c>
      <c r="X1602">
        <f>IF([2]Baskol!$E$1605="","",[2]Baskol!$E$1605)</f>
        <v/>
      </c>
      <c r="Y1602">
        <f>IF([2]Baskol!$G$1605="","",[2]Baskol!$G$1605)</f>
        <v/>
      </c>
      <c r="Z1602">
        <f>IF([2]Baskol!$I$1605="","",[2]Baskol!$I$1605)</f>
        <v/>
      </c>
      <c r="AA1602">
        <f>IF([2]Baskol!$J$1605="","",[2]Baskol!$J$1605)</f>
        <v/>
      </c>
      <c r="AB1602">
        <f>IF([2]Baskol!$K$1605="","",[2]Baskol!$K$1605)</f>
        <v/>
      </c>
      <c r="AC1602">
        <f>IF([2]Baskol!$L$1605="","",[2]Baskol!$L$1605)</f>
        <v/>
      </c>
      <c r="AD1602">
        <f>IF([2]Baskol!$N$1605="","",[2]Baskol!$N$1605)</f>
        <v/>
      </c>
      <c r="AE1602">
        <f>IF([2]Baskol!$O$1605="","",[2]Baskol!$O$1605)</f>
        <v/>
      </c>
      <c r="AG1602">
        <f>IF([3]Entry!$C$1605="","",[3]Entry!$C$1605)</f>
        <v/>
      </c>
      <c r="AH1602">
        <f>IF([3]Entry!$D$1605="","",[3]Entry!$D$1605)</f>
        <v/>
      </c>
      <c r="AI1602">
        <f>IF([3]Entry!$E$1605="","",[3]Entry!$E$1605)</f>
        <v/>
      </c>
      <c r="AJ1602">
        <f>IF([3]Entry!$G$1605="","",[3]Entry!$G$1605)</f>
        <v/>
      </c>
      <c r="AK1602">
        <f>IF([3]Entry!$K$1605="","",[3]Entry!$K$1605)</f>
        <v/>
      </c>
      <c r="AL1602">
        <f>IF([3]Entry!$L$1605="","",[3]Entry!$L$1605)</f>
        <v/>
      </c>
      <c r="AM1602">
        <f>IF([3]Entry!$M$1605="","",[3]Entry!$M$1605)</f>
        <v/>
      </c>
      <c r="AN1602">
        <f>IF([3]Entry!$N$1605="","",[3]Entry!$N$1605)</f>
        <v/>
      </c>
      <c r="AO1602">
        <f>IF([3]Entry!$R$1605="","",[3]Entry!$R$1605)</f>
        <v/>
      </c>
    </row>
    <row r="1603">
      <c r="U1603">
        <f>IF([2]Baskol!$B$1606="","",[2]Baskol!$B$1606)</f>
        <v/>
      </c>
      <c r="V1603">
        <f>IF([2]Baskol!$C$1606="","",[2]Baskol!$C$1606)</f>
        <v/>
      </c>
      <c r="W1603">
        <f>IF([2]Baskol!$D$1606="","",[2]Baskol!$D$1606)</f>
        <v/>
      </c>
      <c r="X1603">
        <f>IF([2]Baskol!$E$1606="","",[2]Baskol!$E$1606)</f>
        <v/>
      </c>
      <c r="Y1603">
        <f>IF([2]Baskol!$G$1606="","",[2]Baskol!$G$1606)</f>
        <v/>
      </c>
      <c r="Z1603">
        <f>IF([2]Baskol!$I$1606="","",[2]Baskol!$I$1606)</f>
        <v/>
      </c>
      <c r="AA1603">
        <f>IF([2]Baskol!$J$1606="","",[2]Baskol!$J$1606)</f>
        <v/>
      </c>
      <c r="AB1603">
        <f>IF([2]Baskol!$K$1606="","",[2]Baskol!$K$1606)</f>
        <v/>
      </c>
      <c r="AC1603">
        <f>IF([2]Baskol!$L$1606="","",[2]Baskol!$L$1606)</f>
        <v/>
      </c>
      <c r="AD1603">
        <f>IF([2]Baskol!$N$1606="","",[2]Baskol!$N$1606)</f>
        <v/>
      </c>
      <c r="AE1603">
        <f>IF([2]Baskol!$O$1606="","",[2]Baskol!$O$1606)</f>
        <v/>
      </c>
      <c r="AG1603">
        <f>IF([3]Entry!$C$1606="","",[3]Entry!$C$1606)</f>
        <v/>
      </c>
      <c r="AH1603">
        <f>IF([3]Entry!$D$1606="","",[3]Entry!$D$1606)</f>
        <v/>
      </c>
      <c r="AI1603">
        <f>IF([3]Entry!$E$1606="","",[3]Entry!$E$1606)</f>
        <v/>
      </c>
      <c r="AJ1603">
        <f>IF([3]Entry!$G$1606="","",[3]Entry!$G$1606)</f>
        <v/>
      </c>
      <c r="AK1603">
        <f>IF([3]Entry!$K$1606="","",[3]Entry!$K$1606)</f>
        <v/>
      </c>
      <c r="AL1603">
        <f>IF([3]Entry!$L$1606="","",[3]Entry!$L$1606)</f>
        <v/>
      </c>
      <c r="AM1603">
        <f>IF([3]Entry!$M$1606="","",[3]Entry!$M$1606)</f>
        <v/>
      </c>
      <c r="AN1603">
        <f>IF([3]Entry!$N$1606="","",[3]Entry!$N$1606)</f>
        <v/>
      </c>
      <c r="AO1603">
        <f>IF([3]Entry!$R$1606="","",[3]Entry!$R$1606)</f>
        <v/>
      </c>
    </row>
    <row r="1604">
      <c r="U1604">
        <f>IF([2]Baskol!$B$1607="","",[2]Baskol!$B$1607)</f>
        <v/>
      </c>
      <c r="V1604">
        <f>IF([2]Baskol!$C$1607="","",[2]Baskol!$C$1607)</f>
        <v/>
      </c>
      <c r="W1604">
        <f>IF([2]Baskol!$D$1607="","",[2]Baskol!$D$1607)</f>
        <v/>
      </c>
      <c r="X1604">
        <f>IF([2]Baskol!$E$1607="","",[2]Baskol!$E$1607)</f>
        <v/>
      </c>
      <c r="Y1604">
        <f>IF([2]Baskol!$G$1607="","",[2]Baskol!$G$1607)</f>
        <v/>
      </c>
      <c r="Z1604">
        <f>IF([2]Baskol!$I$1607="","",[2]Baskol!$I$1607)</f>
        <v/>
      </c>
      <c r="AA1604">
        <f>IF([2]Baskol!$J$1607="","",[2]Baskol!$J$1607)</f>
        <v/>
      </c>
      <c r="AB1604">
        <f>IF([2]Baskol!$K$1607="","",[2]Baskol!$K$1607)</f>
        <v/>
      </c>
      <c r="AC1604">
        <f>IF([2]Baskol!$L$1607="","",[2]Baskol!$L$1607)</f>
        <v/>
      </c>
      <c r="AD1604">
        <f>IF([2]Baskol!$N$1607="","",[2]Baskol!$N$1607)</f>
        <v/>
      </c>
      <c r="AE1604">
        <f>IF([2]Baskol!$O$1607="","",[2]Baskol!$O$1607)</f>
        <v/>
      </c>
      <c r="AG1604">
        <f>IF([3]Entry!$C$1607="","",[3]Entry!$C$1607)</f>
        <v/>
      </c>
      <c r="AH1604">
        <f>IF([3]Entry!$D$1607="","",[3]Entry!$D$1607)</f>
        <v/>
      </c>
      <c r="AI1604">
        <f>IF([3]Entry!$E$1607="","",[3]Entry!$E$1607)</f>
        <v/>
      </c>
      <c r="AJ1604">
        <f>IF([3]Entry!$G$1607="","",[3]Entry!$G$1607)</f>
        <v/>
      </c>
      <c r="AK1604">
        <f>IF([3]Entry!$K$1607="","",[3]Entry!$K$1607)</f>
        <v/>
      </c>
      <c r="AL1604">
        <f>IF([3]Entry!$L$1607="","",[3]Entry!$L$1607)</f>
        <v/>
      </c>
      <c r="AM1604">
        <f>IF([3]Entry!$M$1607="","",[3]Entry!$M$1607)</f>
        <v/>
      </c>
      <c r="AN1604">
        <f>IF([3]Entry!$N$1607="","",[3]Entry!$N$1607)</f>
        <v/>
      </c>
      <c r="AO1604">
        <f>IF([3]Entry!$R$1607="","",[3]Entry!$R$1607)</f>
        <v/>
      </c>
    </row>
    <row r="1605">
      <c r="U1605">
        <f>IF([2]Baskol!$B$1608="","",[2]Baskol!$B$1608)</f>
        <v/>
      </c>
      <c r="V1605">
        <f>IF([2]Baskol!$C$1608="","",[2]Baskol!$C$1608)</f>
        <v/>
      </c>
      <c r="W1605">
        <f>IF([2]Baskol!$D$1608="","",[2]Baskol!$D$1608)</f>
        <v/>
      </c>
      <c r="X1605">
        <f>IF([2]Baskol!$E$1608="","",[2]Baskol!$E$1608)</f>
        <v/>
      </c>
      <c r="Y1605">
        <f>IF([2]Baskol!$G$1608="","",[2]Baskol!$G$1608)</f>
        <v/>
      </c>
      <c r="Z1605">
        <f>IF([2]Baskol!$I$1608="","",[2]Baskol!$I$1608)</f>
        <v/>
      </c>
      <c r="AA1605">
        <f>IF([2]Baskol!$J$1608="","",[2]Baskol!$J$1608)</f>
        <v/>
      </c>
      <c r="AB1605">
        <f>IF([2]Baskol!$K$1608="","",[2]Baskol!$K$1608)</f>
        <v/>
      </c>
      <c r="AC1605">
        <f>IF([2]Baskol!$L$1608="","",[2]Baskol!$L$1608)</f>
        <v/>
      </c>
      <c r="AD1605">
        <f>IF([2]Baskol!$N$1608="","",[2]Baskol!$N$1608)</f>
        <v/>
      </c>
      <c r="AE1605">
        <f>IF([2]Baskol!$O$1608="","",[2]Baskol!$O$1608)</f>
        <v/>
      </c>
      <c r="AG1605">
        <f>IF([3]Entry!$C$1608="","",[3]Entry!$C$1608)</f>
        <v/>
      </c>
      <c r="AH1605">
        <f>IF([3]Entry!$D$1608="","",[3]Entry!$D$1608)</f>
        <v/>
      </c>
      <c r="AI1605">
        <f>IF([3]Entry!$E$1608="","",[3]Entry!$E$1608)</f>
        <v/>
      </c>
      <c r="AJ1605">
        <f>IF([3]Entry!$G$1608="","",[3]Entry!$G$1608)</f>
        <v/>
      </c>
      <c r="AK1605">
        <f>IF([3]Entry!$K$1608="","",[3]Entry!$K$1608)</f>
        <v/>
      </c>
      <c r="AL1605">
        <f>IF([3]Entry!$L$1608="","",[3]Entry!$L$1608)</f>
        <v/>
      </c>
      <c r="AM1605">
        <f>IF([3]Entry!$M$1608="","",[3]Entry!$M$1608)</f>
        <v/>
      </c>
      <c r="AN1605">
        <f>IF([3]Entry!$N$1608="","",[3]Entry!$N$1608)</f>
        <v/>
      </c>
      <c r="AO1605">
        <f>IF([3]Entry!$R$1608="","",[3]Entry!$R$1608)</f>
        <v/>
      </c>
    </row>
    <row r="1606">
      <c r="U1606">
        <f>IF([2]Baskol!$B$1609="","",[2]Baskol!$B$1609)</f>
        <v/>
      </c>
      <c r="V1606">
        <f>IF([2]Baskol!$C$1609="","",[2]Baskol!$C$1609)</f>
        <v/>
      </c>
      <c r="W1606">
        <f>IF([2]Baskol!$D$1609="","",[2]Baskol!$D$1609)</f>
        <v/>
      </c>
      <c r="X1606">
        <f>IF([2]Baskol!$E$1609="","",[2]Baskol!$E$1609)</f>
        <v/>
      </c>
      <c r="Y1606">
        <f>IF([2]Baskol!$G$1609="","",[2]Baskol!$G$1609)</f>
        <v/>
      </c>
      <c r="Z1606">
        <f>IF([2]Baskol!$I$1609="","",[2]Baskol!$I$1609)</f>
        <v/>
      </c>
      <c r="AA1606">
        <f>IF([2]Baskol!$J$1609="","",[2]Baskol!$J$1609)</f>
        <v/>
      </c>
      <c r="AB1606">
        <f>IF([2]Baskol!$K$1609="","",[2]Baskol!$K$1609)</f>
        <v/>
      </c>
      <c r="AC1606">
        <f>IF([2]Baskol!$L$1609="","",[2]Baskol!$L$1609)</f>
        <v/>
      </c>
      <c r="AD1606">
        <f>IF([2]Baskol!$N$1609="","",[2]Baskol!$N$1609)</f>
        <v/>
      </c>
      <c r="AE1606">
        <f>IF([2]Baskol!$O$1609="","",[2]Baskol!$O$1609)</f>
        <v/>
      </c>
      <c r="AG1606">
        <f>IF([3]Entry!$C$1609="","",[3]Entry!$C$1609)</f>
        <v/>
      </c>
      <c r="AH1606">
        <f>IF([3]Entry!$D$1609="","",[3]Entry!$D$1609)</f>
        <v/>
      </c>
      <c r="AI1606">
        <f>IF([3]Entry!$E$1609="","",[3]Entry!$E$1609)</f>
        <v/>
      </c>
      <c r="AJ1606">
        <f>IF([3]Entry!$G$1609="","",[3]Entry!$G$1609)</f>
        <v/>
      </c>
      <c r="AK1606">
        <f>IF([3]Entry!$K$1609="","",[3]Entry!$K$1609)</f>
        <v/>
      </c>
      <c r="AL1606">
        <f>IF([3]Entry!$L$1609="","",[3]Entry!$L$1609)</f>
        <v/>
      </c>
      <c r="AM1606">
        <f>IF([3]Entry!$M$1609="","",[3]Entry!$M$1609)</f>
        <v/>
      </c>
      <c r="AN1606">
        <f>IF([3]Entry!$N$1609="","",[3]Entry!$N$1609)</f>
        <v/>
      </c>
      <c r="AO1606">
        <f>IF([3]Entry!$R$1609="","",[3]Entry!$R$1609)</f>
        <v/>
      </c>
    </row>
    <row r="1607">
      <c r="U1607">
        <f>IF([2]Baskol!$B$1610="","",[2]Baskol!$B$1610)</f>
        <v/>
      </c>
      <c r="V1607">
        <f>IF([2]Baskol!$C$1610="","",[2]Baskol!$C$1610)</f>
        <v/>
      </c>
      <c r="W1607">
        <f>IF([2]Baskol!$D$1610="","",[2]Baskol!$D$1610)</f>
        <v/>
      </c>
      <c r="X1607">
        <f>IF([2]Baskol!$E$1610="","",[2]Baskol!$E$1610)</f>
        <v/>
      </c>
      <c r="Y1607">
        <f>IF([2]Baskol!$G$1610="","",[2]Baskol!$G$1610)</f>
        <v/>
      </c>
      <c r="Z1607">
        <f>IF([2]Baskol!$I$1610="","",[2]Baskol!$I$1610)</f>
        <v/>
      </c>
      <c r="AA1607">
        <f>IF([2]Baskol!$J$1610="","",[2]Baskol!$J$1610)</f>
        <v/>
      </c>
      <c r="AB1607">
        <f>IF([2]Baskol!$K$1610="","",[2]Baskol!$K$1610)</f>
        <v/>
      </c>
      <c r="AC1607">
        <f>IF([2]Baskol!$L$1610="","",[2]Baskol!$L$1610)</f>
        <v/>
      </c>
      <c r="AD1607">
        <f>IF([2]Baskol!$N$1610="","",[2]Baskol!$N$1610)</f>
        <v/>
      </c>
      <c r="AE1607">
        <f>IF([2]Baskol!$O$1610="","",[2]Baskol!$O$1610)</f>
        <v/>
      </c>
      <c r="AG1607">
        <f>IF([3]Entry!$C$1610="","",[3]Entry!$C$1610)</f>
        <v/>
      </c>
      <c r="AH1607">
        <f>IF([3]Entry!$D$1610="","",[3]Entry!$D$1610)</f>
        <v/>
      </c>
      <c r="AI1607">
        <f>IF([3]Entry!$E$1610="","",[3]Entry!$E$1610)</f>
        <v/>
      </c>
      <c r="AJ1607">
        <f>IF([3]Entry!$G$1610="","",[3]Entry!$G$1610)</f>
        <v/>
      </c>
      <c r="AK1607">
        <f>IF([3]Entry!$K$1610="","",[3]Entry!$K$1610)</f>
        <v/>
      </c>
      <c r="AL1607">
        <f>IF([3]Entry!$L$1610="","",[3]Entry!$L$1610)</f>
        <v/>
      </c>
      <c r="AM1607">
        <f>IF([3]Entry!$M$1610="","",[3]Entry!$M$1610)</f>
        <v/>
      </c>
      <c r="AN1607">
        <f>IF([3]Entry!$N$1610="","",[3]Entry!$N$1610)</f>
        <v/>
      </c>
      <c r="AO1607">
        <f>IF([3]Entry!$R$1610="","",[3]Entry!$R$1610)</f>
        <v/>
      </c>
    </row>
    <row r="1608">
      <c r="U1608">
        <f>IF([2]Baskol!$B$1611="","",[2]Baskol!$B$1611)</f>
        <v/>
      </c>
      <c r="V1608">
        <f>IF([2]Baskol!$C$1611="","",[2]Baskol!$C$1611)</f>
        <v/>
      </c>
      <c r="W1608">
        <f>IF([2]Baskol!$D$1611="","",[2]Baskol!$D$1611)</f>
        <v/>
      </c>
      <c r="X1608">
        <f>IF([2]Baskol!$E$1611="","",[2]Baskol!$E$1611)</f>
        <v/>
      </c>
      <c r="Y1608">
        <f>IF([2]Baskol!$G$1611="","",[2]Baskol!$G$1611)</f>
        <v/>
      </c>
      <c r="Z1608">
        <f>IF([2]Baskol!$I$1611="","",[2]Baskol!$I$1611)</f>
        <v/>
      </c>
      <c r="AA1608">
        <f>IF([2]Baskol!$J$1611="","",[2]Baskol!$J$1611)</f>
        <v/>
      </c>
      <c r="AB1608">
        <f>IF([2]Baskol!$K$1611="","",[2]Baskol!$K$1611)</f>
        <v/>
      </c>
      <c r="AC1608">
        <f>IF([2]Baskol!$L$1611="","",[2]Baskol!$L$1611)</f>
        <v/>
      </c>
      <c r="AD1608">
        <f>IF([2]Baskol!$N$1611="","",[2]Baskol!$N$1611)</f>
        <v/>
      </c>
      <c r="AE1608">
        <f>IF([2]Baskol!$O$1611="","",[2]Baskol!$O$1611)</f>
        <v/>
      </c>
      <c r="AG1608">
        <f>IF([3]Entry!$C$1611="","",[3]Entry!$C$1611)</f>
        <v/>
      </c>
      <c r="AH1608">
        <f>IF([3]Entry!$D$1611="","",[3]Entry!$D$1611)</f>
        <v/>
      </c>
      <c r="AI1608">
        <f>IF([3]Entry!$E$1611="","",[3]Entry!$E$1611)</f>
        <v/>
      </c>
      <c r="AJ1608">
        <f>IF([3]Entry!$G$1611="","",[3]Entry!$G$1611)</f>
        <v/>
      </c>
      <c r="AK1608">
        <f>IF([3]Entry!$K$1611="","",[3]Entry!$K$1611)</f>
        <v/>
      </c>
      <c r="AL1608">
        <f>IF([3]Entry!$L$1611="","",[3]Entry!$L$1611)</f>
        <v/>
      </c>
      <c r="AM1608">
        <f>IF([3]Entry!$M$1611="","",[3]Entry!$M$1611)</f>
        <v/>
      </c>
      <c r="AN1608">
        <f>IF([3]Entry!$N$1611="","",[3]Entry!$N$1611)</f>
        <v/>
      </c>
      <c r="AO1608">
        <f>IF([3]Entry!$R$1611="","",[3]Entry!$R$1611)</f>
        <v/>
      </c>
    </row>
    <row r="1609">
      <c r="U1609">
        <f>IF([2]Baskol!$B$1612="","",[2]Baskol!$B$1612)</f>
        <v/>
      </c>
      <c r="V1609">
        <f>IF([2]Baskol!$C$1612="","",[2]Baskol!$C$1612)</f>
        <v/>
      </c>
      <c r="W1609">
        <f>IF([2]Baskol!$D$1612="","",[2]Baskol!$D$1612)</f>
        <v/>
      </c>
      <c r="X1609">
        <f>IF([2]Baskol!$E$1612="","",[2]Baskol!$E$1612)</f>
        <v/>
      </c>
      <c r="Y1609">
        <f>IF([2]Baskol!$G$1612="","",[2]Baskol!$G$1612)</f>
        <v/>
      </c>
      <c r="Z1609">
        <f>IF([2]Baskol!$I$1612="","",[2]Baskol!$I$1612)</f>
        <v/>
      </c>
      <c r="AA1609">
        <f>IF([2]Baskol!$J$1612="","",[2]Baskol!$J$1612)</f>
        <v/>
      </c>
      <c r="AB1609">
        <f>IF([2]Baskol!$K$1612="","",[2]Baskol!$K$1612)</f>
        <v/>
      </c>
      <c r="AC1609">
        <f>IF([2]Baskol!$L$1612="","",[2]Baskol!$L$1612)</f>
        <v/>
      </c>
      <c r="AD1609">
        <f>IF([2]Baskol!$N$1612="","",[2]Baskol!$N$1612)</f>
        <v/>
      </c>
      <c r="AE1609">
        <f>IF([2]Baskol!$O$1612="","",[2]Baskol!$O$1612)</f>
        <v/>
      </c>
      <c r="AG1609">
        <f>IF([3]Entry!$C$1612="","",[3]Entry!$C$1612)</f>
        <v/>
      </c>
      <c r="AH1609">
        <f>IF([3]Entry!$D$1612="","",[3]Entry!$D$1612)</f>
        <v/>
      </c>
      <c r="AI1609">
        <f>IF([3]Entry!$E$1612="","",[3]Entry!$E$1612)</f>
        <v/>
      </c>
      <c r="AJ1609">
        <f>IF([3]Entry!$G$1612="","",[3]Entry!$G$1612)</f>
        <v/>
      </c>
      <c r="AK1609">
        <f>IF([3]Entry!$K$1612="","",[3]Entry!$K$1612)</f>
        <v/>
      </c>
      <c r="AL1609">
        <f>IF([3]Entry!$L$1612="","",[3]Entry!$L$1612)</f>
        <v/>
      </c>
      <c r="AM1609">
        <f>IF([3]Entry!$M$1612="","",[3]Entry!$M$1612)</f>
        <v/>
      </c>
      <c r="AN1609">
        <f>IF([3]Entry!$N$1612="","",[3]Entry!$N$1612)</f>
        <v/>
      </c>
      <c r="AO1609">
        <f>IF([3]Entry!$R$1612="","",[3]Entry!$R$1612)</f>
        <v/>
      </c>
    </row>
    <row r="1610">
      <c r="U1610">
        <f>IF([2]Baskol!$B$1613="","",[2]Baskol!$B$1613)</f>
        <v/>
      </c>
      <c r="V1610">
        <f>IF([2]Baskol!$C$1613="","",[2]Baskol!$C$1613)</f>
        <v/>
      </c>
      <c r="W1610">
        <f>IF([2]Baskol!$D$1613="","",[2]Baskol!$D$1613)</f>
        <v/>
      </c>
      <c r="X1610">
        <f>IF([2]Baskol!$E$1613="","",[2]Baskol!$E$1613)</f>
        <v/>
      </c>
      <c r="Y1610">
        <f>IF([2]Baskol!$G$1613="","",[2]Baskol!$G$1613)</f>
        <v/>
      </c>
      <c r="Z1610">
        <f>IF([2]Baskol!$I$1613="","",[2]Baskol!$I$1613)</f>
        <v/>
      </c>
      <c r="AA1610">
        <f>IF([2]Baskol!$J$1613="","",[2]Baskol!$J$1613)</f>
        <v/>
      </c>
      <c r="AB1610">
        <f>IF([2]Baskol!$K$1613="","",[2]Baskol!$K$1613)</f>
        <v/>
      </c>
      <c r="AC1610">
        <f>IF([2]Baskol!$L$1613="","",[2]Baskol!$L$1613)</f>
        <v/>
      </c>
      <c r="AD1610">
        <f>IF([2]Baskol!$N$1613="","",[2]Baskol!$N$1613)</f>
        <v/>
      </c>
      <c r="AE1610">
        <f>IF([2]Baskol!$O$1613="","",[2]Baskol!$O$1613)</f>
        <v/>
      </c>
      <c r="AG1610">
        <f>IF([3]Entry!$C$1613="","",[3]Entry!$C$1613)</f>
        <v/>
      </c>
      <c r="AH1610">
        <f>IF([3]Entry!$D$1613="","",[3]Entry!$D$1613)</f>
        <v/>
      </c>
      <c r="AI1610">
        <f>IF([3]Entry!$E$1613="","",[3]Entry!$E$1613)</f>
        <v/>
      </c>
      <c r="AJ1610">
        <f>IF([3]Entry!$G$1613="","",[3]Entry!$G$1613)</f>
        <v/>
      </c>
      <c r="AK1610">
        <f>IF([3]Entry!$K$1613="","",[3]Entry!$K$1613)</f>
        <v/>
      </c>
      <c r="AL1610">
        <f>IF([3]Entry!$L$1613="","",[3]Entry!$L$1613)</f>
        <v/>
      </c>
      <c r="AM1610">
        <f>IF([3]Entry!$M$1613="","",[3]Entry!$M$1613)</f>
        <v/>
      </c>
      <c r="AN1610">
        <f>IF([3]Entry!$N$1613="","",[3]Entry!$N$1613)</f>
        <v/>
      </c>
      <c r="AO1610">
        <f>IF([3]Entry!$R$1613="","",[3]Entry!$R$1613)</f>
        <v/>
      </c>
    </row>
    <row r="1611">
      <c r="U1611">
        <f>IF([2]Baskol!$B$1614="","",[2]Baskol!$B$1614)</f>
        <v/>
      </c>
      <c r="V1611">
        <f>IF([2]Baskol!$C$1614="","",[2]Baskol!$C$1614)</f>
        <v/>
      </c>
      <c r="W1611">
        <f>IF([2]Baskol!$D$1614="","",[2]Baskol!$D$1614)</f>
        <v/>
      </c>
      <c r="X1611">
        <f>IF([2]Baskol!$E$1614="","",[2]Baskol!$E$1614)</f>
        <v/>
      </c>
      <c r="Y1611">
        <f>IF([2]Baskol!$G$1614="","",[2]Baskol!$G$1614)</f>
        <v/>
      </c>
      <c r="Z1611">
        <f>IF([2]Baskol!$I$1614="","",[2]Baskol!$I$1614)</f>
        <v/>
      </c>
      <c r="AA1611">
        <f>IF([2]Baskol!$J$1614="","",[2]Baskol!$J$1614)</f>
        <v/>
      </c>
      <c r="AB1611">
        <f>IF([2]Baskol!$K$1614="","",[2]Baskol!$K$1614)</f>
        <v/>
      </c>
      <c r="AC1611">
        <f>IF([2]Baskol!$L$1614="","",[2]Baskol!$L$1614)</f>
        <v/>
      </c>
      <c r="AD1611">
        <f>IF([2]Baskol!$N$1614="","",[2]Baskol!$N$1614)</f>
        <v/>
      </c>
      <c r="AE1611">
        <f>IF([2]Baskol!$O$1614="","",[2]Baskol!$O$1614)</f>
        <v/>
      </c>
      <c r="AG1611">
        <f>IF([3]Entry!$C$1614="","",[3]Entry!$C$1614)</f>
        <v/>
      </c>
      <c r="AH1611">
        <f>IF([3]Entry!$D$1614="","",[3]Entry!$D$1614)</f>
        <v/>
      </c>
      <c r="AI1611">
        <f>IF([3]Entry!$E$1614="","",[3]Entry!$E$1614)</f>
        <v/>
      </c>
      <c r="AJ1611">
        <f>IF([3]Entry!$G$1614="","",[3]Entry!$G$1614)</f>
        <v/>
      </c>
      <c r="AK1611">
        <f>IF([3]Entry!$K$1614="","",[3]Entry!$K$1614)</f>
        <v/>
      </c>
      <c r="AL1611">
        <f>IF([3]Entry!$L$1614="","",[3]Entry!$L$1614)</f>
        <v/>
      </c>
      <c r="AM1611">
        <f>IF([3]Entry!$M$1614="","",[3]Entry!$M$1614)</f>
        <v/>
      </c>
      <c r="AN1611">
        <f>IF([3]Entry!$N$1614="","",[3]Entry!$N$1614)</f>
        <v/>
      </c>
      <c r="AO1611">
        <f>IF([3]Entry!$R$1614="","",[3]Entry!$R$1614)</f>
        <v/>
      </c>
    </row>
    <row r="1612">
      <c r="U1612">
        <f>IF([2]Baskol!$B$1615="","",[2]Baskol!$B$1615)</f>
        <v/>
      </c>
      <c r="V1612">
        <f>IF([2]Baskol!$C$1615="","",[2]Baskol!$C$1615)</f>
        <v/>
      </c>
      <c r="W1612">
        <f>IF([2]Baskol!$D$1615="","",[2]Baskol!$D$1615)</f>
        <v/>
      </c>
      <c r="X1612">
        <f>IF([2]Baskol!$E$1615="","",[2]Baskol!$E$1615)</f>
        <v/>
      </c>
      <c r="Y1612">
        <f>IF([2]Baskol!$G$1615="","",[2]Baskol!$G$1615)</f>
        <v/>
      </c>
      <c r="Z1612">
        <f>IF([2]Baskol!$I$1615="","",[2]Baskol!$I$1615)</f>
        <v/>
      </c>
      <c r="AA1612">
        <f>IF([2]Baskol!$J$1615="","",[2]Baskol!$J$1615)</f>
        <v/>
      </c>
      <c r="AB1612">
        <f>IF([2]Baskol!$K$1615="","",[2]Baskol!$K$1615)</f>
        <v/>
      </c>
      <c r="AC1612">
        <f>IF([2]Baskol!$L$1615="","",[2]Baskol!$L$1615)</f>
        <v/>
      </c>
      <c r="AD1612">
        <f>IF([2]Baskol!$N$1615="","",[2]Baskol!$N$1615)</f>
        <v/>
      </c>
      <c r="AE1612">
        <f>IF([2]Baskol!$O$1615="","",[2]Baskol!$O$1615)</f>
        <v/>
      </c>
      <c r="AG1612">
        <f>IF([3]Entry!$C$1615="","",[3]Entry!$C$1615)</f>
        <v/>
      </c>
      <c r="AH1612">
        <f>IF([3]Entry!$D$1615="","",[3]Entry!$D$1615)</f>
        <v/>
      </c>
      <c r="AI1612">
        <f>IF([3]Entry!$E$1615="","",[3]Entry!$E$1615)</f>
        <v/>
      </c>
      <c r="AJ1612">
        <f>IF([3]Entry!$G$1615="","",[3]Entry!$G$1615)</f>
        <v/>
      </c>
      <c r="AK1612">
        <f>IF([3]Entry!$K$1615="","",[3]Entry!$K$1615)</f>
        <v/>
      </c>
      <c r="AL1612">
        <f>IF([3]Entry!$L$1615="","",[3]Entry!$L$1615)</f>
        <v/>
      </c>
      <c r="AM1612">
        <f>IF([3]Entry!$M$1615="","",[3]Entry!$M$1615)</f>
        <v/>
      </c>
      <c r="AN1612">
        <f>IF([3]Entry!$N$1615="","",[3]Entry!$N$1615)</f>
        <v/>
      </c>
      <c r="AO1612">
        <f>IF([3]Entry!$R$1615="","",[3]Entry!$R$1615)</f>
        <v/>
      </c>
    </row>
    <row r="1613">
      <c r="U1613">
        <f>IF([2]Baskol!$B$1616="","",[2]Baskol!$B$1616)</f>
        <v/>
      </c>
      <c r="V1613">
        <f>IF([2]Baskol!$C$1616="","",[2]Baskol!$C$1616)</f>
        <v/>
      </c>
      <c r="W1613">
        <f>IF([2]Baskol!$D$1616="","",[2]Baskol!$D$1616)</f>
        <v/>
      </c>
      <c r="X1613">
        <f>IF([2]Baskol!$E$1616="","",[2]Baskol!$E$1616)</f>
        <v/>
      </c>
      <c r="Y1613">
        <f>IF([2]Baskol!$G$1616="","",[2]Baskol!$G$1616)</f>
        <v/>
      </c>
      <c r="Z1613">
        <f>IF([2]Baskol!$I$1616="","",[2]Baskol!$I$1616)</f>
        <v/>
      </c>
      <c r="AA1613">
        <f>IF([2]Baskol!$J$1616="","",[2]Baskol!$J$1616)</f>
        <v/>
      </c>
      <c r="AB1613">
        <f>IF([2]Baskol!$K$1616="","",[2]Baskol!$K$1616)</f>
        <v/>
      </c>
      <c r="AC1613">
        <f>IF([2]Baskol!$L$1616="","",[2]Baskol!$L$1616)</f>
        <v/>
      </c>
      <c r="AD1613">
        <f>IF([2]Baskol!$N$1616="","",[2]Baskol!$N$1616)</f>
        <v/>
      </c>
      <c r="AE1613">
        <f>IF([2]Baskol!$O$1616="","",[2]Baskol!$O$1616)</f>
        <v/>
      </c>
      <c r="AG1613">
        <f>IF([3]Entry!$C$1616="","",[3]Entry!$C$1616)</f>
        <v/>
      </c>
      <c r="AH1613">
        <f>IF([3]Entry!$D$1616="","",[3]Entry!$D$1616)</f>
        <v/>
      </c>
      <c r="AI1613">
        <f>IF([3]Entry!$E$1616="","",[3]Entry!$E$1616)</f>
        <v/>
      </c>
      <c r="AJ1613">
        <f>IF([3]Entry!$G$1616="","",[3]Entry!$G$1616)</f>
        <v/>
      </c>
      <c r="AK1613">
        <f>IF([3]Entry!$K$1616="","",[3]Entry!$K$1616)</f>
        <v/>
      </c>
      <c r="AL1613">
        <f>IF([3]Entry!$L$1616="","",[3]Entry!$L$1616)</f>
        <v/>
      </c>
      <c r="AM1613">
        <f>IF([3]Entry!$M$1616="","",[3]Entry!$M$1616)</f>
        <v/>
      </c>
      <c r="AN1613">
        <f>IF([3]Entry!$N$1616="","",[3]Entry!$N$1616)</f>
        <v/>
      </c>
      <c r="AO1613">
        <f>IF([3]Entry!$R$1616="","",[3]Entry!$R$1616)</f>
        <v/>
      </c>
    </row>
    <row r="1614">
      <c r="U1614">
        <f>IF([2]Baskol!$B$1617="","",[2]Baskol!$B$1617)</f>
        <v/>
      </c>
      <c r="V1614">
        <f>IF([2]Baskol!$C$1617="","",[2]Baskol!$C$1617)</f>
        <v/>
      </c>
      <c r="W1614">
        <f>IF([2]Baskol!$D$1617="","",[2]Baskol!$D$1617)</f>
        <v/>
      </c>
      <c r="X1614">
        <f>IF([2]Baskol!$E$1617="","",[2]Baskol!$E$1617)</f>
        <v/>
      </c>
      <c r="Y1614">
        <f>IF([2]Baskol!$G$1617="","",[2]Baskol!$G$1617)</f>
        <v/>
      </c>
      <c r="Z1614">
        <f>IF([2]Baskol!$I$1617="","",[2]Baskol!$I$1617)</f>
        <v/>
      </c>
      <c r="AA1614">
        <f>IF([2]Baskol!$J$1617="","",[2]Baskol!$J$1617)</f>
        <v/>
      </c>
      <c r="AB1614">
        <f>IF([2]Baskol!$K$1617="","",[2]Baskol!$K$1617)</f>
        <v/>
      </c>
      <c r="AC1614">
        <f>IF([2]Baskol!$L$1617="","",[2]Baskol!$L$1617)</f>
        <v/>
      </c>
      <c r="AD1614">
        <f>IF([2]Baskol!$N$1617="","",[2]Baskol!$N$1617)</f>
        <v/>
      </c>
      <c r="AE1614">
        <f>IF([2]Baskol!$O$1617="","",[2]Baskol!$O$1617)</f>
        <v/>
      </c>
      <c r="AG1614">
        <f>IF([3]Entry!$C$1617="","",[3]Entry!$C$1617)</f>
        <v/>
      </c>
      <c r="AH1614">
        <f>IF([3]Entry!$D$1617="","",[3]Entry!$D$1617)</f>
        <v/>
      </c>
      <c r="AI1614">
        <f>IF([3]Entry!$E$1617="","",[3]Entry!$E$1617)</f>
        <v/>
      </c>
      <c r="AJ1614">
        <f>IF([3]Entry!$G$1617="","",[3]Entry!$G$1617)</f>
        <v/>
      </c>
      <c r="AK1614">
        <f>IF([3]Entry!$K$1617="","",[3]Entry!$K$1617)</f>
        <v/>
      </c>
      <c r="AL1614">
        <f>IF([3]Entry!$L$1617="","",[3]Entry!$L$1617)</f>
        <v/>
      </c>
      <c r="AM1614">
        <f>IF([3]Entry!$M$1617="","",[3]Entry!$M$1617)</f>
        <v/>
      </c>
      <c r="AN1614">
        <f>IF([3]Entry!$N$1617="","",[3]Entry!$N$1617)</f>
        <v/>
      </c>
      <c r="AO1614">
        <f>IF([3]Entry!$R$1617="","",[3]Entry!$R$1617)</f>
        <v/>
      </c>
    </row>
    <row r="1615">
      <c r="U1615">
        <f>IF([2]Baskol!$B$1618="","",[2]Baskol!$B$1618)</f>
        <v/>
      </c>
      <c r="V1615">
        <f>IF([2]Baskol!$C$1618="","",[2]Baskol!$C$1618)</f>
        <v/>
      </c>
      <c r="W1615">
        <f>IF([2]Baskol!$D$1618="","",[2]Baskol!$D$1618)</f>
        <v/>
      </c>
      <c r="X1615">
        <f>IF([2]Baskol!$E$1618="","",[2]Baskol!$E$1618)</f>
        <v/>
      </c>
      <c r="Y1615">
        <f>IF([2]Baskol!$G$1618="","",[2]Baskol!$G$1618)</f>
        <v/>
      </c>
      <c r="Z1615">
        <f>IF([2]Baskol!$I$1618="","",[2]Baskol!$I$1618)</f>
        <v/>
      </c>
      <c r="AA1615">
        <f>IF([2]Baskol!$J$1618="","",[2]Baskol!$J$1618)</f>
        <v/>
      </c>
      <c r="AB1615">
        <f>IF([2]Baskol!$K$1618="","",[2]Baskol!$K$1618)</f>
        <v/>
      </c>
      <c r="AC1615">
        <f>IF([2]Baskol!$L$1618="","",[2]Baskol!$L$1618)</f>
        <v/>
      </c>
      <c r="AD1615">
        <f>IF([2]Baskol!$N$1618="","",[2]Baskol!$N$1618)</f>
        <v/>
      </c>
      <c r="AE1615">
        <f>IF([2]Baskol!$O$1618="","",[2]Baskol!$O$1618)</f>
        <v/>
      </c>
      <c r="AG1615">
        <f>IF([3]Entry!$C$1618="","",[3]Entry!$C$1618)</f>
        <v/>
      </c>
      <c r="AH1615">
        <f>IF([3]Entry!$D$1618="","",[3]Entry!$D$1618)</f>
        <v/>
      </c>
      <c r="AI1615">
        <f>IF([3]Entry!$E$1618="","",[3]Entry!$E$1618)</f>
        <v/>
      </c>
      <c r="AJ1615">
        <f>IF([3]Entry!$G$1618="","",[3]Entry!$G$1618)</f>
        <v/>
      </c>
      <c r="AK1615">
        <f>IF([3]Entry!$K$1618="","",[3]Entry!$K$1618)</f>
        <v/>
      </c>
      <c r="AL1615">
        <f>IF([3]Entry!$L$1618="","",[3]Entry!$L$1618)</f>
        <v/>
      </c>
      <c r="AM1615">
        <f>IF([3]Entry!$M$1618="","",[3]Entry!$M$1618)</f>
        <v/>
      </c>
      <c r="AN1615">
        <f>IF([3]Entry!$N$1618="","",[3]Entry!$N$1618)</f>
        <v/>
      </c>
      <c r="AO1615">
        <f>IF([3]Entry!$R$1618="","",[3]Entry!$R$1618)</f>
        <v/>
      </c>
    </row>
    <row r="1616">
      <c r="U1616">
        <f>IF([2]Baskol!$B$1619="","",[2]Baskol!$B$1619)</f>
        <v/>
      </c>
      <c r="V1616">
        <f>IF([2]Baskol!$C$1619="","",[2]Baskol!$C$1619)</f>
        <v/>
      </c>
      <c r="W1616">
        <f>IF([2]Baskol!$D$1619="","",[2]Baskol!$D$1619)</f>
        <v/>
      </c>
      <c r="X1616">
        <f>IF([2]Baskol!$E$1619="","",[2]Baskol!$E$1619)</f>
        <v/>
      </c>
      <c r="Y1616">
        <f>IF([2]Baskol!$G$1619="","",[2]Baskol!$G$1619)</f>
        <v/>
      </c>
      <c r="Z1616">
        <f>IF([2]Baskol!$I$1619="","",[2]Baskol!$I$1619)</f>
        <v/>
      </c>
      <c r="AA1616">
        <f>IF([2]Baskol!$J$1619="","",[2]Baskol!$J$1619)</f>
        <v/>
      </c>
      <c r="AB1616">
        <f>IF([2]Baskol!$K$1619="","",[2]Baskol!$K$1619)</f>
        <v/>
      </c>
      <c r="AC1616">
        <f>IF([2]Baskol!$L$1619="","",[2]Baskol!$L$1619)</f>
        <v/>
      </c>
      <c r="AD1616">
        <f>IF([2]Baskol!$N$1619="","",[2]Baskol!$N$1619)</f>
        <v/>
      </c>
      <c r="AE1616">
        <f>IF([2]Baskol!$O$1619="","",[2]Baskol!$O$1619)</f>
        <v/>
      </c>
      <c r="AG1616">
        <f>IF([3]Entry!$C$1619="","",[3]Entry!$C$1619)</f>
        <v/>
      </c>
      <c r="AH1616">
        <f>IF([3]Entry!$D$1619="","",[3]Entry!$D$1619)</f>
        <v/>
      </c>
      <c r="AI1616">
        <f>IF([3]Entry!$E$1619="","",[3]Entry!$E$1619)</f>
        <v/>
      </c>
      <c r="AJ1616">
        <f>IF([3]Entry!$G$1619="","",[3]Entry!$G$1619)</f>
        <v/>
      </c>
      <c r="AK1616">
        <f>IF([3]Entry!$K$1619="","",[3]Entry!$K$1619)</f>
        <v/>
      </c>
      <c r="AL1616">
        <f>IF([3]Entry!$L$1619="","",[3]Entry!$L$1619)</f>
        <v/>
      </c>
      <c r="AM1616">
        <f>IF([3]Entry!$M$1619="","",[3]Entry!$M$1619)</f>
        <v/>
      </c>
      <c r="AN1616">
        <f>IF([3]Entry!$N$1619="","",[3]Entry!$N$1619)</f>
        <v/>
      </c>
      <c r="AO1616">
        <f>IF([3]Entry!$R$1619="","",[3]Entry!$R$1619)</f>
        <v/>
      </c>
    </row>
    <row r="1617">
      <c r="U1617">
        <f>IF([2]Baskol!$B$1620="","",[2]Baskol!$B$1620)</f>
        <v/>
      </c>
      <c r="V1617">
        <f>IF([2]Baskol!$C$1620="","",[2]Baskol!$C$1620)</f>
        <v/>
      </c>
      <c r="W1617">
        <f>IF([2]Baskol!$D$1620="","",[2]Baskol!$D$1620)</f>
        <v/>
      </c>
      <c r="X1617">
        <f>IF([2]Baskol!$E$1620="","",[2]Baskol!$E$1620)</f>
        <v/>
      </c>
      <c r="Y1617">
        <f>IF([2]Baskol!$G$1620="","",[2]Baskol!$G$1620)</f>
        <v/>
      </c>
      <c r="Z1617">
        <f>IF([2]Baskol!$I$1620="","",[2]Baskol!$I$1620)</f>
        <v/>
      </c>
      <c r="AA1617">
        <f>IF([2]Baskol!$J$1620="","",[2]Baskol!$J$1620)</f>
        <v/>
      </c>
      <c r="AB1617">
        <f>IF([2]Baskol!$K$1620="","",[2]Baskol!$K$1620)</f>
        <v/>
      </c>
      <c r="AC1617">
        <f>IF([2]Baskol!$L$1620="","",[2]Baskol!$L$1620)</f>
        <v/>
      </c>
      <c r="AD1617">
        <f>IF([2]Baskol!$N$1620="","",[2]Baskol!$N$1620)</f>
        <v/>
      </c>
      <c r="AE1617">
        <f>IF([2]Baskol!$O$1620="","",[2]Baskol!$O$1620)</f>
        <v/>
      </c>
      <c r="AG1617">
        <f>IF([3]Entry!$C$1620="","",[3]Entry!$C$1620)</f>
        <v/>
      </c>
      <c r="AH1617">
        <f>IF([3]Entry!$D$1620="","",[3]Entry!$D$1620)</f>
        <v/>
      </c>
      <c r="AI1617">
        <f>IF([3]Entry!$E$1620="","",[3]Entry!$E$1620)</f>
        <v/>
      </c>
      <c r="AJ1617">
        <f>IF([3]Entry!$G$1620="","",[3]Entry!$G$1620)</f>
        <v/>
      </c>
      <c r="AK1617">
        <f>IF([3]Entry!$K$1620="","",[3]Entry!$K$1620)</f>
        <v/>
      </c>
      <c r="AL1617">
        <f>IF([3]Entry!$L$1620="","",[3]Entry!$L$1620)</f>
        <v/>
      </c>
      <c r="AM1617">
        <f>IF([3]Entry!$M$1620="","",[3]Entry!$M$1620)</f>
        <v/>
      </c>
      <c r="AN1617">
        <f>IF([3]Entry!$N$1620="","",[3]Entry!$N$1620)</f>
        <v/>
      </c>
      <c r="AO1617">
        <f>IF([3]Entry!$R$1620="","",[3]Entry!$R$1620)</f>
        <v/>
      </c>
    </row>
    <row r="1618">
      <c r="U1618">
        <f>IF([2]Baskol!$B$1621="","",[2]Baskol!$B$1621)</f>
        <v/>
      </c>
      <c r="V1618">
        <f>IF([2]Baskol!$C$1621="","",[2]Baskol!$C$1621)</f>
        <v/>
      </c>
      <c r="W1618">
        <f>IF([2]Baskol!$D$1621="","",[2]Baskol!$D$1621)</f>
        <v/>
      </c>
      <c r="X1618">
        <f>IF([2]Baskol!$E$1621="","",[2]Baskol!$E$1621)</f>
        <v/>
      </c>
      <c r="Y1618">
        <f>IF([2]Baskol!$G$1621="","",[2]Baskol!$G$1621)</f>
        <v/>
      </c>
      <c r="Z1618">
        <f>IF([2]Baskol!$I$1621="","",[2]Baskol!$I$1621)</f>
        <v/>
      </c>
      <c r="AA1618">
        <f>IF([2]Baskol!$J$1621="","",[2]Baskol!$J$1621)</f>
        <v/>
      </c>
      <c r="AB1618">
        <f>IF([2]Baskol!$K$1621="","",[2]Baskol!$K$1621)</f>
        <v/>
      </c>
      <c r="AC1618">
        <f>IF([2]Baskol!$L$1621="","",[2]Baskol!$L$1621)</f>
        <v/>
      </c>
      <c r="AD1618">
        <f>IF([2]Baskol!$N$1621="","",[2]Baskol!$N$1621)</f>
        <v/>
      </c>
      <c r="AE1618">
        <f>IF([2]Baskol!$O$1621="","",[2]Baskol!$O$1621)</f>
        <v/>
      </c>
      <c r="AG1618">
        <f>IF([3]Entry!$C$1621="","",[3]Entry!$C$1621)</f>
        <v/>
      </c>
      <c r="AH1618">
        <f>IF([3]Entry!$D$1621="","",[3]Entry!$D$1621)</f>
        <v/>
      </c>
      <c r="AI1618">
        <f>IF([3]Entry!$E$1621="","",[3]Entry!$E$1621)</f>
        <v/>
      </c>
      <c r="AJ1618">
        <f>IF([3]Entry!$G$1621="","",[3]Entry!$G$1621)</f>
        <v/>
      </c>
      <c r="AK1618">
        <f>IF([3]Entry!$K$1621="","",[3]Entry!$K$1621)</f>
        <v/>
      </c>
      <c r="AL1618">
        <f>IF([3]Entry!$L$1621="","",[3]Entry!$L$1621)</f>
        <v/>
      </c>
      <c r="AM1618">
        <f>IF([3]Entry!$M$1621="","",[3]Entry!$M$1621)</f>
        <v/>
      </c>
      <c r="AN1618">
        <f>IF([3]Entry!$N$1621="","",[3]Entry!$N$1621)</f>
        <v/>
      </c>
      <c r="AO1618">
        <f>IF([3]Entry!$R$1621="","",[3]Entry!$R$1621)</f>
        <v/>
      </c>
    </row>
    <row r="1619">
      <c r="U1619">
        <f>IF([2]Baskol!$B$1622="","",[2]Baskol!$B$1622)</f>
        <v/>
      </c>
      <c r="V1619">
        <f>IF([2]Baskol!$C$1622="","",[2]Baskol!$C$1622)</f>
        <v/>
      </c>
      <c r="W1619">
        <f>IF([2]Baskol!$D$1622="","",[2]Baskol!$D$1622)</f>
        <v/>
      </c>
      <c r="X1619">
        <f>IF([2]Baskol!$E$1622="","",[2]Baskol!$E$1622)</f>
        <v/>
      </c>
      <c r="Y1619">
        <f>IF([2]Baskol!$G$1622="","",[2]Baskol!$G$1622)</f>
        <v/>
      </c>
      <c r="Z1619">
        <f>IF([2]Baskol!$I$1622="","",[2]Baskol!$I$1622)</f>
        <v/>
      </c>
      <c r="AA1619">
        <f>IF([2]Baskol!$J$1622="","",[2]Baskol!$J$1622)</f>
        <v/>
      </c>
      <c r="AB1619">
        <f>IF([2]Baskol!$K$1622="","",[2]Baskol!$K$1622)</f>
        <v/>
      </c>
      <c r="AC1619">
        <f>IF([2]Baskol!$L$1622="","",[2]Baskol!$L$1622)</f>
        <v/>
      </c>
      <c r="AD1619">
        <f>IF([2]Baskol!$N$1622="","",[2]Baskol!$N$1622)</f>
        <v/>
      </c>
      <c r="AE1619">
        <f>IF([2]Baskol!$O$1622="","",[2]Baskol!$O$1622)</f>
        <v/>
      </c>
      <c r="AG1619">
        <f>IF([3]Entry!$C$1622="","",[3]Entry!$C$1622)</f>
        <v/>
      </c>
      <c r="AH1619">
        <f>IF([3]Entry!$D$1622="","",[3]Entry!$D$1622)</f>
        <v/>
      </c>
      <c r="AI1619">
        <f>IF([3]Entry!$E$1622="","",[3]Entry!$E$1622)</f>
        <v/>
      </c>
      <c r="AJ1619">
        <f>IF([3]Entry!$G$1622="","",[3]Entry!$G$1622)</f>
        <v/>
      </c>
      <c r="AK1619">
        <f>IF([3]Entry!$K$1622="","",[3]Entry!$K$1622)</f>
        <v/>
      </c>
      <c r="AL1619">
        <f>IF([3]Entry!$L$1622="","",[3]Entry!$L$1622)</f>
        <v/>
      </c>
      <c r="AM1619">
        <f>IF([3]Entry!$M$1622="","",[3]Entry!$M$1622)</f>
        <v/>
      </c>
      <c r="AN1619">
        <f>IF([3]Entry!$N$1622="","",[3]Entry!$N$1622)</f>
        <v/>
      </c>
      <c r="AO1619">
        <f>IF([3]Entry!$R$1622="","",[3]Entry!$R$1622)</f>
        <v/>
      </c>
    </row>
    <row r="1620">
      <c r="U1620">
        <f>IF([2]Baskol!$B$1623="","",[2]Baskol!$B$1623)</f>
        <v/>
      </c>
      <c r="V1620">
        <f>IF([2]Baskol!$C$1623="","",[2]Baskol!$C$1623)</f>
        <v/>
      </c>
      <c r="W1620">
        <f>IF([2]Baskol!$D$1623="","",[2]Baskol!$D$1623)</f>
        <v/>
      </c>
      <c r="X1620">
        <f>IF([2]Baskol!$E$1623="","",[2]Baskol!$E$1623)</f>
        <v/>
      </c>
      <c r="Y1620">
        <f>IF([2]Baskol!$G$1623="","",[2]Baskol!$G$1623)</f>
        <v/>
      </c>
      <c r="Z1620">
        <f>IF([2]Baskol!$I$1623="","",[2]Baskol!$I$1623)</f>
        <v/>
      </c>
      <c r="AA1620">
        <f>IF([2]Baskol!$J$1623="","",[2]Baskol!$J$1623)</f>
        <v/>
      </c>
      <c r="AB1620">
        <f>IF([2]Baskol!$K$1623="","",[2]Baskol!$K$1623)</f>
        <v/>
      </c>
      <c r="AC1620">
        <f>IF([2]Baskol!$L$1623="","",[2]Baskol!$L$1623)</f>
        <v/>
      </c>
      <c r="AD1620">
        <f>IF([2]Baskol!$N$1623="","",[2]Baskol!$N$1623)</f>
        <v/>
      </c>
      <c r="AE1620">
        <f>IF([2]Baskol!$O$1623="","",[2]Baskol!$O$1623)</f>
        <v/>
      </c>
      <c r="AG1620">
        <f>IF([3]Entry!$C$1623="","",[3]Entry!$C$1623)</f>
        <v/>
      </c>
      <c r="AH1620">
        <f>IF([3]Entry!$D$1623="","",[3]Entry!$D$1623)</f>
        <v/>
      </c>
      <c r="AI1620">
        <f>IF([3]Entry!$E$1623="","",[3]Entry!$E$1623)</f>
        <v/>
      </c>
      <c r="AJ1620">
        <f>IF([3]Entry!$G$1623="","",[3]Entry!$G$1623)</f>
        <v/>
      </c>
      <c r="AK1620">
        <f>IF([3]Entry!$K$1623="","",[3]Entry!$K$1623)</f>
        <v/>
      </c>
      <c r="AL1620">
        <f>IF([3]Entry!$L$1623="","",[3]Entry!$L$1623)</f>
        <v/>
      </c>
      <c r="AM1620">
        <f>IF([3]Entry!$M$1623="","",[3]Entry!$M$1623)</f>
        <v/>
      </c>
      <c r="AN1620">
        <f>IF([3]Entry!$N$1623="","",[3]Entry!$N$1623)</f>
        <v/>
      </c>
      <c r="AO1620">
        <f>IF([3]Entry!$R$1623="","",[3]Entry!$R$1623)</f>
        <v/>
      </c>
    </row>
    <row r="1621">
      <c r="U1621">
        <f>IF([2]Baskol!$B$1624="","",[2]Baskol!$B$1624)</f>
        <v/>
      </c>
      <c r="V1621">
        <f>IF([2]Baskol!$C$1624="","",[2]Baskol!$C$1624)</f>
        <v/>
      </c>
      <c r="W1621">
        <f>IF([2]Baskol!$D$1624="","",[2]Baskol!$D$1624)</f>
        <v/>
      </c>
      <c r="X1621">
        <f>IF([2]Baskol!$E$1624="","",[2]Baskol!$E$1624)</f>
        <v/>
      </c>
      <c r="Y1621">
        <f>IF([2]Baskol!$G$1624="","",[2]Baskol!$G$1624)</f>
        <v/>
      </c>
      <c r="Z1621">
        <f>IF([2]Baskol!$I$1624="","",[2]Baskol!$I$1624)</f>
        <v/>
      </c>
      <c r="AA1621">
        <f>IF([2]Baskol!$J$1624="","",[2]Baskol!$J$1624)</f>
        <v/>
      </c>
      <c r="AB1621">
        <f>IF([2]Baskol!$K$1624="","",[2]Baskol!$K$1624)</f>
        <v/>
      </c>
      <c r="AC1621">
        <f>IF([2]Baskol!$L$1624="","",[2]Baskol!$L$1624)</f>
        <v/>
      </c>
      <c r="AD1621">
        <f>IF([2]Baskol!$N$1624="","",[2]Baskol!$N$1624)</f>
        <v/>
      </c>
      <c r="AE1621">
        <f>IF([2]Baskol!$O$1624="","",[2]Baskol!$O$1624)</f>
        <v/>
      </c>
      <c r="AG1621">
        <f>IF([3]Entry!$C$1624="","",[3]Entry!$C$1624)</f>
        <v/>
      </c>
      <c r="AH1621">
        <f>IF([3]Entry!$D$1624="","",[3]Entry!$D$1624)</f>
        <v/>
      </c>
      <c r="AI1621">
        <f>IF([3]Entry!$E$1624="","",[3]Entry!$E$1624)</f>
        <v/>
      </c>
      <c r="AJ1621">
        <f>IF([3]Entry!$G$1624="","",[3]Entry!$G$1624)</f>
        <v/>
      </c>
      <c r="AK1621">
        <f>IF([3]Entry!$K$1624="","",[3]Entry!$K$1624)</f>
        <v/>
      </c>
      <c r="AL1621">
        <f>IF([3]Entry!$L$1624="","",[3]Entry!$L$1624)</f>
        <v/>
      </c>
      <c r="AM1621">
        <f>IF([3]Entry!$M$1624="","",[3]Entry!$M$1624)</f>
        <v/>
      </c>
      <c r="AN1621">
        <f>IF([3]Entry!$N$1624="","",[3]Entry!$N$1624)</f>
        <v/>
      </c>
      <c r="AO1621">
        <f>IF([3]Entry!$R$1624="","",[3]Entry!$R$1624)</f>
        <v/>
      </c>
    </row>
    <row r="1622">
      <c r="U1622">
        <f>IF([2]Baskol!$B$1625="","",[2]Baskol!$B$1625)</f>
        <v/>
      </c>
      <c r="V1622">
        <f>IF([2]Baskol!$C$1625="","",[2]Baskol!$C$1625)</f>
        <v/>
      </c>
      <c r="W1622">
        <f>IF([2]Baskol!$D$1625="","",[2]Baskol!$D$1625)</f>
        <v/>
      </c>
      <c r="X1622">
        <f>IF([2]Baskol!$E$1625="","",[2]Baskol!$E$1625)</f>
        <v/>
      </c>
      <c r="Y1622">
        <f>IF([2]Baskol!$G$1625="","",[2]Baskol!$G$1625)</f>
        <v/>
      </c>
      <c r="Z1622">
        <f>IF([2]Baskol!$I$1625="","",[2]Baskol!$I$1625)</f>
        <v/>
      </c>
      <c r="AA1622">
        <f>IF([2]Baskol!$J$1625="","",[2]Baskol!$J$1625)</f>
        <v/>
      </c>
      <c r="AB1622">
        <f>IF([2]Baskol!$K$1625="","",[2]Baskol!$K$1625)</f>
        <v/>
      </c>
      <c r="AC1622">
        <f>IF([2]Baskol!$L$1625="","",[2]Baskol!$L$1625)</f>
        <v/>
      </c>
      <c r="AD1622">
        <f>IF([2]Baskol!$N$1625="","",[2]Baskol!$N$1625)</f>
        <v/>
      </c>
      <c r="AE1622">
        <f>IF([2]Baskol!$O$1625="","",[2]Baskol!$O$1625)</f>
        <v/>
      </c>
      <c r="AG1622">
        <f>IF([3]Entry!$C$1625="","",[3]Entry!$C$1625)</f>
        <v/>
      </c>
      <c r="AH1622">
        <f>IF([3]Entry!$D$1625="","",[3]Entry!$D$1625)</f>
        <v/>
      </c>
      <c r="AI1622">
        <f>IF([3]Entry!$E$1625="","",[3]Entry!$E$1625)</f>
        <v/>
      </c>
      <c r="AJ1622">
        <f>IF([3]Entry!$G$1625="","",[3]Entry!$G$1625)</f>
        <v/>
      </c>
      <c r="AK1622">
        <f>IF([3]Entry!$K$1625="","",[3]Entry!$K$1625)</f>
        <v/>
      </c>
      <c r="AL1622">
        <f>IF([3]Entry!$L$1625="","",[3]Entry!$L$1625)</f>
        <v/>
      </c>
      <c r="AM1622">
        <f>IF([3]Entry!$M$1625="","",[3]Entry!$M$1625)</f>
        <v/>
      </c>
      <c r="AN1622">
        <f>IF([3]Entry!$N$1625="","",[3]Entry!$N$1625)</f>
        <v/>
      </c>
      <c r="AO1622">
        <f>IF([3]Entry!$R$1625="","",[3]Entry!$R$1625)</f>
        <v/>
      </c>
    </row>
    <row r="1623">
      <c r="U1623">
        <f>IF([2]Baskol!$B$1626="","",[2]Baskol!$B$1626)</f>
        <v/>
      </c>
      <c r="V1623">
        <f>IF([2]Baskol!$C$1626="","",[2]Baskol!$C$1626)</f>
        <v/>
      </c>
      <c r="W1623">
        <f>IF([2]Baskol!$D$1626="","",[2]Baskol!$D$1626)</f>
        <v/>
      </c>
      <c r="X1623">
        <f>IF([2]Baskol!$E$1626="","",[2]Baskol!$E$1626)</f>
        <v/>
      </c>
      <c r="Y1623">
        <f>IF([2]Baskol!$G$1626="","",[2]Baskol!$G$1626)</f>
        <v/>
      </c>
      <c r="Z1623">
        <f>IF([2]Baskol!$I$1626="","",[2]Baskol!$I$1626)</f>
        <v/>
      </c>
      <c r="AA1623">
        <f>IF([2]Baskol!$J$1626="","",[2]Baskol!$J$1626)</f>
        <v/>
      </c>
      <c r="AB1623">
        <f>IF([2]Baskol!$K$1626="","",[2]Baskol!$K$1626)</f>
        <v/>
      </c>
      <c r="AC1623">
        <f>IF([2]Baskol!$L$1626="","",[2]Baskol!$L$1626)</f>
        <v/>
      </c>
      <c r="AD1623">
        <f>IF([2]Baskol!$N$1626="","",[2]Baskol!$N$1626)</f>
        <v/>
      </c>
      <c r="AE1623">
        <f>IF([2]Baskol!$O$1626="","",[2]Baskol!$O$1626)</f>
        <v/>
      </c>
      <c r="AG1623">
        <f>IF([3]Entry!$C$1626="","",[3]Entry!$C$1626)</f>
        <v/>
      </c>
      <c r="AH1623">
        <f>IF([3]Entry!$D$1626="","",[3]Entry!$D$1626)</f>
        <v/>
      </c>
      <c r="AI1623">
        <f>IF([3]Entry!$E$1626="","",[3]Entry!$E$1626)</f>
        <v/>
      </c>
      <c r="AJ1623">
        <f>IF([3]Entry!$G$1626="","",[3]Entry!$G$1626)</f>
        <v/>
      </c>
      <c r="AK1623">
        <f>IF([3]Entry!$K$1626="","",[3]Entry!$K$1626)</f>
        <v/>
      </c>
      <c r="AL1623">
        <f>IF([3]Entry!$L$1626="","",[3]Entry!$L$1626)</f>
        <v/>
      </c>
      <c r="AM1623">
        <f>IF([3]Entry!$M$1626="","",[3]Entry!$M$1626)</f>
        <v/>
      </c>
      <c r="AN1623">
        <f>IF([3]Entry!$N$1626="","",[3]Entry!$N$1626)</f>
        <v/>
      </c>
      <c r="AO1623">
        <f>IF([3]Entry!$R$1626="","",[3]Entry!$R$1626)</f>
        <v/>
      </c>
    </row>
    <row r="1624">
      <c r="U1624">
        <f>IF([2]Baskol!$B$1627="","",[2]Baskol!$B$1627)</f>
        <v/>
      </c>
      <c r="V1624">
        <f>IF([2]Baskol!$C$1627="","",[2]Baskol!$C$1627)</f>
        <v/>
      </c>
      <c r="W1624">
        <f>IF([2]Baskol!$D$1627="","",[2]Baskol!$D$1627)</f>
        <v/>
      </c>
      <c r="X1624">
        <f>IF([2]Baskol!$E$1627="","",[2]Baskol!$E$1627)</f>
        <v/>
      </c>
      <c r="Y1624">
        <f>IF([2]Baskol!$G$1627="","",[2]Baskol!$G$1627)</f>
        <v/>
      </c>
      <c r="Z1624">
        <f>IF([2]Baskol!$I$1627="","",[2]Baskol!$I$1627)</f>
        <v/>
      </c>
      <c r="AA1624">
        <f>IF([2]Baskol!$J$1627="","",[2]Baskol!$J$1627)</f>
        <v/>
      </c>
      <c r="AB1624">
        <f>IF([2]Baskol!$K$1627="","",[2]Baskol!$K$1627)</f>
        <v/>
      </c>
      <c r="AC1624">
        <f>IF([2]Baskol!$L$1627="","",[2]Baskol!$L$1627)</f>
        <v/>
      </c>
      <c r="AD1624">
        <f>IF([2]Baskol!$N$1627="","",[2]Baskol!$N$1627)</f>
        <v/>
      </c>
      <c r="AE1624">
        <f>IF([2]Baskol!$O$1627="","",[2]Baskol!$O$1627)</f>
        <v/>
      </c>
      <c r="AG1624">
        <f>IF([3]Entry!$C$1627="","",[3]Entry!$C$1627)</f>
        <v/>
      </c>
      <c r="AH1624">
        <f>IF([3]Entry!$D$1627="","",[3]Entry!$D$1627)</f>
        <v/>
      </c>
      <c r="AI1624">
        <f>IF([3]Entry!$E$1627="","",[3]Entry!$E$1627)</f>
        <v/>
      </c>
      <c r="AJ1624">
        <f>IF([3]Entry!$G$1627="","",[3]Entry!$G$1627)</f>
        <v/>
      </c>
      <c r="AK1624">
        <f>IF([3]Entry!$K$1627="","",[3]Entry!$K$1627)</f>
        <v/>
      </c>
      <c r="AL1624">
        <f>IF([3]Entry!$L$1627="","",[3]Entry!$L$1627)</f>
        <v/>
      </c>
      <c r="AM1624">
        <f>IF([3]Entry!$M$1627="","",[3]Entry!$M$1627)</f>
        <v/>
      </c>
      <c r="AN1624">
        <f>IF([3]Entry!$N$1627="","",[3]Entry!$N$1627)</f>
        <v/>
      </c>
      <c r="AO1624">
        <f>IF([3]Entry!$R$1627="","",[3]Entry!$R$1627)</f>
        <v/>
      </c>
    </row>
    <row r="1625">
      <c r="U1625">
        <f>IF([2]Baskol!$B$1628="","",[2]Baskol!$B$1628)</f>
        <v/>
      </c>
      <c r="V1625">
        <f>IF([2]Baskol!$C$1628="","",[2]Baskol!$C$1628)</f>
        <v/>
      </c>
      <c r="W1625">
        <f>IF([2]Baskol!$D$1628="","",[2]Baskol!$D$1628)</f>
        <v/>
      </c>
      <c r="X1625">
        <f>IF([2]Baskol!$E$1628="","",[2]Baskol!$E$1628)</f>
        <v/>
      </c>
      <c r="Y1625">
        <f>IF([2]Baskol!$G$1628="","",[2]Baskol!$G$1628)</f>
        <v/>
      </c>
      <c r="Z1625">
        <f>IF([2]Baskol!$I$1628="","",[2]Baskol!$I$1628)</f>
        <v/>
      </c>
      <c r="AA1625">
        <f>IF([2]Baskol!$J$1628="","",[2]Baskol!$J$1628)</f>
        <v/>
      </c>
      <c r="AB1625">
        <f>IF([2]Baskol!$K$1628="","",[2]Baskol!$K$1628)</f>
        <v/>
      </c>
      <c r="AC1625">
        <f>IF([2]Baskol!$L$1628="","",[2]Baskol!$L$1628)</f>
        <v/>
      </c>
      <c r="AD1625">
        <f>IF([2]Baskol!$N$1628="","",[2]Baskol!$N$1628)</f>
        <v/>
      </c>
      <c r="AE1625">
        <f>IF([2]Baskol!$O$1628="","",[2]Baskol!$O$1628)</f>
        <v/>
      </c>
      <c r="AG1625">
        <f>IF([3]Entry!$C$1628="","",[3]Entry!$C$1628)</f>
        <v/>
      </c>
      <c r="AH1625">
        <f>IF([3]Entry!$D$1628="","",[3]Entry!$D$1628)</f>
        <v/>
      </c>
      <c r="AI1625">
        <f>IF([3]Entry!$E$1628="","",[3]Entry!$E$1628)</f>
        <v/>
      </c>
      <c r="AJ1625">
        <f>IF([3]Entry!$G$1628="","",[3]Entry!$G$1628)</f>
        <v/>
      </c>
      <c r="AK1625">
        <f>IF([3]Entry!$K$1628="","",[3]Entry!$K$1628)</f>
        <v/>
      </c>
      <c r="AL1625">
        <f>IF([3]Entry!$L$1628="","",[3]Entry!$L$1628)</f>
        <v/>
      </c>
      <c r="AM1625">
        <f>IF([3]Entry!$M$1628="","",[3]Entry!$M$1628)</f>
        <v/>
      </c>
      <c r="AN1625">
        <f>IF([3]Entry!$N$1628="","",[3]Entry!$N$1628)</f>
        <v/>
      </c>
      <c r="AO1625">
        <f>IF([3]Entry!$R$1628="","",[3]Entry!$R$1628)</f>
        <v/>
      </c>
    </row>
    <row r="1626">
      <c r="U1626">
        <f>IF([2]Baskol!$B$1629="","",[2]Baskol!$B$1629)</f>
        <v/>
      </c>
      <c r="V1626">
        <f>IF([2]Baskol!$C$1629="","",[2]Baskol!$C$1629)</f>
        <v/>
      </c>
      <c r="W1626">
        <f>IF([2]Baskol!$D$1629="","",[2]Baskol!$D$1629)</f>
        <v/>
      </c>
      <c r="X1626">
        <f>IF([2]Baskol!$E$1629="","",[2]Baskol!$E$1629)</f>
        <v/>
      </c>
      <c r="Y1626">
        <f>IF([2]Baskol!$G$1629="","",[2]Baskol!$G$1629)</f>
        <v/>
      </c>
      <c r="Z1626">
        <f>IF([2]Baskol!$I$1629="","",[2]Baskol!$I$1629)</f>
        <v/>
      </c>
      <c r="AA1626">
        <f>IF([2]Baskol!$J$1629="","",[2]Baskol!$J$1629)</f>
        <v/>
      </c>
      <c r="AB1626">
        <f>IF([2]Baskol!$K$1629="","",[2]Baskol!$K$1629)</f>
        <v/>
      </c>
      <c r="AC1626">
        <f>IF([2]Baskol!$L$1629="","",[2]Baskol!$L$1629)</f>
        <v/>
      </c>
      <c r="AD1626">
        <f>IF([2]Baskol!$N$1629="","",[2]Baskol!$N$1629)</f>
        <v/>
      </c>
      <c r="AE1626">
        <f>IF([2]Baskol!$O$1629="","",[2]Baskol!$O$1629)</f>
        <v/>
      </c>
      <c r="AG1626">
        <f>IF([3]Entry!$C$1629="","",[3]Entry!$C$1629)</f>
        <v/>
      </c>
      <c r="AH1626">
        <f>IF([3]Entry!$D$1629="","",[3]Entry!$D$1629)</f>
        <v/>
      </c>
      <c r="AI1626">
        <f>IF([3]Entry!$E$1629="","",[3]Entry!$E$1629)</f>
        <v/>
      </c>
      <c r="AJ1626">
        <f>IF([3]Entry!$G$1629="","",[3]Entry!$G$1629)</f>
        <v/>
      </c>
      <c r="AK1626">
        <f>IF([3]Entry!$K$1629="","",[3]Entry!$K$1629)</f>
        <v/>
      </c>
      <c r="AL1626">
        <f>IF([3]Entry!$L$1629="","",[3]Entry!$L$1629)</f>
        <v/>
      </c>
      <c r="AM1626">
        <f>IF([3]Entry!$M$1629="","",[3]Entry!$M$1629)</f>
        <v/>
      </c>
      <c r="AN1626">
        <f>IF([3]Entry!$N$1629="","",[3]Entry!$N$1629)</f>
        <v/>
      </c>
      <c r="AO1626">
        <f>IF([3]Entry!$R$1629="","",[3]Entry!$R$1629)</f>
        <v/>
      </c>
    </row>
    <row r="1627">
      <c r="U1627">
        <f>IF([2]Baskol!$B$1630="","",[2]Baskol!$B$1630)</f>
        <v/>
      </c>
      <c r="V1627">
        <f>IF([2]Baskol!$C$1630="","",[2]Baskol!$C$1630)</f>
        <v/>
      </c>
      <c r="W1627">
        <f>IF([2]Baskol!$D$1630="","",[2]Baskol!$D$1630)</f>
        <v/>
      </c>
      <c r="X1627">
        <f>IF([2]Baskol!$E$1630="","",[2]Baskol!$E$1630)</f>
        <v/>
      </c>
      <c r="Y1627">
        <f>IF([2]Baskol!$G$1630="","",[2]Baskol!$G$1630)</f>
        <v/>
      </c>
      <c r="Z1627">
        <f>IF([2]Baskol!$I$1630="","",[2]Baskol!$I$1630)</f>
        <v/>
      </c>
      <c r="AA1627">
        <f>IF([2]Baskol!$J$1630="","",[2]Baskol!$J$1630)</f>
        <v/>
      </c>
      <c r="AB1627">
        <f>IF([2]Baskol!$K$1630="","",[2]Baskol!$K$1630)</f>
        <v/>
      </c>
      <c r="AC1627">
        <f>IF([2]Baskol!$L$1630="","",[2]Baskol!$L$1630)</f>
        <v/>
      </c>
      <c r="AD1627">
        <f>IF([2]Baskol!$N$1630="","",[2]Baskol!$N$1630)</f>
        <v/>
      </c>
      <c r="AE1627">
        <f>IF([2]Baskol!$O$1630="","",[2]Baskol!$O$1630)</f>
        <v/>
      </c>
      <c r="AG1627">
        <f>IF([3]Entry!$C$1630="","",[3]Entry!$C$1630)</f>
        <v/>
      </c>
      <c r="AH1627">
        <f>IF([3]Entry!$D$1630="","",[3]Entry!$D$1630)</f>
        <v/>
      </c>
      <c r="AI1627">
        <f>IF([3]Entry!$E$1630="","",[3]Entry!$E$1630)</f>
        <v/>
      </c>
      <c r="AJ1627">
        <f>IF([3]Entry!$G$1630="","",[3]Entry!$G$1630)</f>
        <v/>
      </c>
      <c r="AK1627">
        <f>IF([3]Entry!$K$1630="","",[3]Entry!$K$1630)</f>
        <v/>
      </c>
      <c r="AL1627">
        <f>IF([3]Entry!$L$1630="","",[3]Entry!$L$1630)</f>
        <v/>
      </c>
      <c r="AM1627">
        <f>IF([3]Entry!$M$1630="","",[3]Entry!$M$1630)</f>
        <v/>
      </c>
      <c r="AN1627">
        <f>IF([3]Entry!$N$1630="","",[3]Entry!$N$1630)</f>
        <v/>
      </c>
      <c r="AO1627">
        <f>IF([3]Entry!$R$1630="","",[3]Entry!$R$1630)</f>
        <v/>
      </c>
    </row>
    <row r="1628">
      <c r="U1628">
        <f>IF([2]Baskol!$B$1631="","",[2]Baskol!$B$1631)</f>
        <v/>
      </c>
      <c r="V1628">
        <f>IF([2]Baskol!$C$1631="","",[2]Baskol!$C$1631)</f>
        <v/>
      </c>
      <c r="W1628">
        <f>IF([2]Baskol!$D$1631="","",[2]Baskol!$D$1631)</f>
        <v/>
      </c>
      <c r="X1628">
        <f>IF([2]Baskol!$E$1631="","",[2]Baskol!$E$1631)</f>
        <v/>
      </c>
      <c r="Y1628">
        <f>IF([2]Baskol!$G$1631="","",[2]Baskol!$G$1631)</f>
        <v/>
      </c>
      <c r="Z1628">
        <f>IF([2]Baskol!$I$1631="","",[2]Baskol!$I$1631)</f>
        <v/>
      </c>
      <c r="AA1628">
        <f>IF([2]Baskol!$J$1631="","",[2]Baskol!$J$1631)</f>
        <v/>
      </c>
      <c r="AB1628">
        <f>IF([2]Baskol!$K$1631="","",[2]Baskol!$K$1631)</f>
        <v/>
      </c>
      <c r="AC1628">
        <f>IF([2]Baskol!$L$1631="","",[2]Baskol!$L$1631)</f>
        <v/>
      </c>
      <c r="AD1628">
        <f>IF([2]Baskol!$N$1631="","",[2]Baskol!$N$1631)</f>
        <v/>
      </c>
      <c r="AE1628">
        <f>IF([2]Baskol!$O$1631="","",[2]Baskol!$O$1631)</f>
        <v/>
      </c>
      <c r="AG1628">
        <f>IF([3]Entry!$C$1631="","",[3]Entry!$C$1631)</f>
        <v/>
      </c>
      <c r="AH1628">
        <f>IF([3]Entry!$D$1631="","",[3]Entry!$D$1631)</f>
        <v/>
      </c>
      <c r="AI1628">
        <f>IF([3]Entry!$E$1631="","",[3]Entry!$E$1631)</f>
        <v/>
      </c>
      <c r="AJ1628">
        <f>IF([3]Entry!$G$1631="","",[3]Entry!$G$1631)</f>
        <v/>
      </c>
      <c r="AK1628">
        <f>IF([3]Entry!$K$1631="","",[3]Entry!$K$1631)</f>
        <v/>
      </c>
      <c r="AL1628">
        <f>IF([3]Entry!$L$1631="","",[3]Entry!$L$1631)</f>
        <v/>
      </c>
      <c r="AM1628">
        <f>IF([3]Entry!$M$1631="","",[3]Entry!$M$1631)</f>
        <v/>
      </c>
      <c r="AN1628">
        <f>IF([3]Entry!$N$1631="","",[3]Entry!$N$1631)</f>
        <v/>
      </c>
      <c r="AO1628">
        <f>IF([3]Entry!$R$1631="","",[3]Entry!$R$1631)</f>
        <v/>
      </c>
    </row>
    <row r="1629">
      <c r="U1629">
        <f>IF([2]Baskol!$B$1632="","",[2]Baskol!$B$1632)</f>
        <v/>
      </c>
      <c r="V1629">
        <f>IF([2]Baskol!$C$1632="","",[2]Baskol!$C$1632)</f>
        <v/>
      </c>
      <c r="W1629">
        <f>IF([2]Baskol!$D$1632="","",[2]Baskol!$D$1632)</f>
        <v/>
      </c>
      <c r="X1629">
        <f>IF([2]Baskol!$E$1632="","",[2]Baskol!$E$1632)</f>
        <v/>
      </c>
      <c r="Y1629">
        <f>IF([2]Baskol!$G$1632="","",[2]Baskol!$G$1632)</f>
        <v/>
      </c>
      <c r="Z1629">
        <f>IF([2]Baskol!$I$1632="","",[2]Baskol!$I$1632)</f>
        <v/>
      </c>
      <c r="AA1629">
        <f>IF([2]Baskol!$J$1632="","",[2]Baskol!$J$1632)</f>
        <v/>
      </c>
      <c r="AB1629">
        <f>IF([2]Baskol!$K$1632="","",[2]Baskol!$K$1632)</f>
        <v/>
      </c>
      <c r="AC1629">
        <f>IF([2]Baskol!$L$1632="","",[2]Baskol!$L$1632)</f>
        <v/>
      </c>
      <c r="AD1629">
        <f>IF([2]Baskol!$N$1632="","",[2]Baskol!$N$1632)</f>
        <v/>
      </c>
      <c r="AE1629">
        <f>IF([2]Baskol!$O$1632="","",[2]Baskol!$O$1632)</f>
        <v/>
      </c>
      <c r="AG1629">
        <f>IF([3]Entry!$C$1632="","",[3]Entry!$C$1632)</f>
        <v/>
      </c>
      <c r="AH1629">
        <f>IF([3]Entry!$D$1632="","",[3]Entry!$D$1632)</f>
        <v/>
      </c>
      <c r="AI1629">
        <f>IF([3]Entry!$E$1632="","",[3]Entry!$E$1632)</f>
        <v/>
      </c>
      <c r="AJ1629">
        <f>IF([3]Entry!$G$1632="","",[3]Entry!$G$1632)</f>
        <v/>
      </c>
      <c r="AK1629">
        <f>IF([3]Entry!$K$1632="","",[3]Entry!$K$1632)</f>
        <v/>
      </c>
      <c r="AL1629">
        <f>IF([3]Entry!$L$1632="","",[3]Entry!$L$1632)</f>
        <v/>
      </c>
      <c r="AM1629">
        <f>IF([3]Entry!$M$1632="","",[3]Entry!$M$1632)</f>
        <v/>
      </c>
      <c r="AN1629">
        <f>IF([3]Entry!$N$1632="","",[3]Entry!$N$1632)</f>
        <v/>
      </c>
      <c r="AO1629">
        <f>IF([3]Entry!$R$1632="","",[3]Entry!$R$1632)</f>
        <v/>
      </c>
    </row>
    <row r="1630">
      <c r="U1630">
        <f>IF([2]Baskol!$B$1633="","",[2]Baskol!$B$1633)</f>
        <v/>
      </c>
      <c r="V1630">
        <f>IF([2]Baskol!$C$1633="","",[2]Baskol!$C$1633)</f>
        <v/>
      </c>
      <c r="W1630">
        <f>IF([2]Baskol!$D$1633="","",[2]Baskol!$D$1633)</f>
        <v/>
      </c>
      <c r="X1630">
        <f>IF([2]Baskol!$E$1633="","",[2]Baskol!$E$1633)</f>
        <v/>
      </c>
      <c r="Y1630">
        <f>IF([2]Baskol!$G$1633="","",[2]Baskol!$G$1633)</f>
        <v/>
      </c>
      <c r="Z1630">
        <f>IF([2]Baskol!$I$1633="","",[2]Baskol!$I$1633)</f>
        <v/>
      </c>
      <c r="AA1630">
        <f>IF([2]Baskol!$J$1633="","",[2]Baskol!$J$1633)</f>
        <v/>
      </c>
      <c r="AB1630">
        <f>IF([2]Baskol!$K$1633="","",[2]Baskol!$K$1633)</f>
        <v/>
      </c>
      <c r="AC1630">
        <f>IF([2]Baskol!$L$1633="","",[2]Baskol!$L$1633)</f>
        <v/>
      </c>
      <c r="AD1630">
        <f>IF([2]Baskol!$N$1633="","",[2]Baskol!$N$1633)</f>
        <v/>
      </c>
      <c r="AE1630">
        <f>IF([2]Baskol!$O$1633="","",[2]Baskol!$O$1633)</f>
        <v/>
      </c>
      <c r="AG1630">
        <f>IF([3]Entry!$C$1633="","",[3]Entry!$C$1633)</f>
        <v/>
      </c>
      <c r="AH1630">
        <f>IF([3]Entry!$D$1633="","",[3]Entry!$D$1633)</f>
        <v/>
      </c>
      <c r="AI1630">
        <f>IF([3]Entry!$E$1633="","",[3]Entry!$E$1633)</f>
        <v/>
      </c>
      <c r="AJ1630">
        <f>IF([3]Entry!$G$1633="","",[3]Entry!$G$1633)</f>
        <v/>
      </c>
      <c r="AK1630">
        <f>IF([3]Entry!$K$1633="","",[3]Entry!$K$1633)</f>
        <v/>
      </c>
      <c r="AL1630">
        <f>IF([3]Entry!$L$1633="","",[3]Entry!$L$1633)</f>
        <v/>
      </c>
      <c r="AM1630">
        <f>IF([3]Entry!$M$1633="","",[3]Entry!$M$1633)</f>
        <v/>
      </c>
      <c r="AN1630">
        <f>IF([3]Entry!$N$1633="","",[3]Entry!$N$1633)</f>
        <v/>
      </c>
      <c r="AO1630">
        <f>IF([3]Entry!$R$1633="","",[3]Entry!$R$1633)</f>
        <v/>
      </c>
    </row>
    <row r="1631">
      <c r="U1631">
        <f>IF([2]Baskol!$B$1634="","",[2]Baskol!$B$1634)</f>
        <v/>
      </c>
      <c r="V1631">
        <f>IF([2]Baskol!$C$1634="","",[2]Baskol!$C$1634)</f>
        <v/>
      </c>
      <c r="W1631">
        <f>IF([2]Baskol!$D$1634="","",[2]Baskol!$D$1634)</f>
        <v/>
      </c>
      <c r="X1631">
        <f>IF([2]Baskol!$E$1634="","",[2]Baskol!$E$1634)</f>
        <v/>
      </c>
      <c r="Y1631">
        <f>IF([2]Baskol!$G$1634="","",[2]Baskol!$G$1634)</f>
        <v/>
      </c>
      <c r="Z1631">
        <f>IF([2]Baskol!$I$1634="","",[2]Baskol!$I$1634)</f>
        <v/>
      </c>
      <c r="AA1631">
        <f>IF([2]Baskol!$J$1634="","",[2]Baskol!$J$1634)</f>
        <v/>
      </c>
      <c r="AB1631">
        <f>IF([2]Baskol!$K$1634="","",[2]Baskol!$K$1634)</f>
        <v/>
      </c>
      <c r="AC1631">
        <f>IF([2]Baskol!$L$1634="","",[2]Baskol!$L$1634)</f>
        <v/>
      </c>
      <c r="AD1631">
        <f>IF([2]Baskol!$N$1634="","",[2]Baskol!$N$1634)</f>
        <v/>
      </c>
      <c r="AE1631">
        <f>IF([2]Baskol!$O$1634="","",[2]Baskol!$O$1634)</f>
        <v/>
      </c>
      <c r="AG1631">
        <f>IF([3]Entry!$C$1634="","",[3]Entry!$C$1634)</f>
        <v/>
      </c>
      <c r="AH1631">
        <f>IF([3]Entry!$D$1634="","",[3]Entry!$D$1634)</f>
        <v/>
      </c>
      <c r="AI1631">
        <f>IF([3]Entry!$E$1634="","",[3]Entry!$E$1634)</f>
        <v/>
      </c>
      <c r="AJ1631">
        <f>IF([3]Entry!$G$1634="","",[3]Entry!$G$1634)</f>
        <v/>
      </c>
      <c r="AK1631">
        <f>IF([3]Entry!$K$1634="","",[3]Entry!$K$1634)</f>
        <v/>
      </c>
      <c r="AL1631">
        <f>IF([3]Entry!$L$1634="","",[3]Entry!$L$1634)</f>
        <v/>
      </c>
      <c r="AM1631">
        <f>IF([3]Entry!$M$1634="","",[3]Entry!$M$1634)</f>
        <v/>
      </c>
      <c r="AN1631">
        <f>IF([3]Entry!$N$1634="","",[3]Entry!$N$1634)</f>
        <v/>
      </c>
      <c r="AO1631">
        <f>IF([3]Entry!$R$1634="","",[3]Entry!$R$1634)</f>
        <v/>
      </c>
    </row>
    <row r="1632">
      <c r="U1632">
        <f>IF([2]Baskol!$B$1635="","",[2]Baskol!$B$1635)</f>
        <v/>
      </c>
      <c r="V1632">
        <f>IF([2]Baskol!$C$1635="","",[2]Baskol!$C$1635)</f>
        <v/>
      </c>
      <c r="W1632">
        <f>IF([2]Baskol!$D$1635="","",[2]Baskol!$D$1635)</f>
        <v/>
      </c>
      <c r="X1632">
        <f>IF([2]Baskol!$E$1635="","",[2]Baskol!$E$1635)</f>
        <v/>
      </c>
      <c r="Y1632">
        <f>IF([2]Baskol!$G$1635="","",[2]Baskol!$G$1635)</f>
        <v/>
      </c>
      <c r="Z1632">
        <f>IF([2]Baskol!$I$1635="","",[2]Baskol!$I$1635)</f>
        <v/>
      </c>
      <c r="AA1632">
        <f>IF([2]Baskol!$J$1635="","",[2]Baskol!$J$1635)</f>
        <v/>
      </c>
      <c r="AB1632">
        <f>IF([2]Baskol!$K$1635="","",[2]Baskol!$K$1635)</f>
        <v/>
      </c>
      <c r="AC1632">
        <f>IF([2]Baskol!$L$1635="","",[2]Baskol!$L$1635)</f>
        <v/>
      </c>
      <c r="AD1632">
        <f>IF([2]Baskol!$N$1635="","",[2]Baskol!$N$1635)</f>
        <v/>
      </c>
      <c r="AE1632">
        <f>IF([2]Baskol!$O$1635="","",[2]Baskol!$O$1635)</f>
        <v/>
      </c>
      <c r="AG1632">
        <f>IF([3]Entry!$C$1635="","",[3]Entry!$C$1635)</f>
        <v/>
      </c>
      <c r="AH1632">
        <f>IF([3]Entry!$D$1635="","",[3]Entry!$D$1635)</f>
        <v/>
      </c>
      <c r="AI1632">
        <f>IF([3]Entry!$E$1635="","",[3]Entry!$E$1635)</f>
        <v/>
      </c>
      <c r="AJ1632">
        <f>IF([3]Entry!$G$1635="","",[3]Entry!$G$1635)</f>
        <v/>
      </c>
      <c r="AK1632">
        <f>IF([3]Entry!$K$1635="","",[3]Entry!$K$1635)</f>
        <v/>
      </c>
      <c r="AL1632">
        <f>IF([3]Entry!$L$1635="","",[3]Entry!$L$1635)</f>
        <v/>
      </c>
      <c r="AM1632">
        <f>IF([3]Entry!$M$1635="","",[3]Entry!$M$1635)</f>
        <v/>
      </c>
      <c r="AN1632">
        <f>IF([3]Entry!$N$1635="","",[3]Entry!$N$1635)</f>
        <v/>
      </c>
      <c r="AO1632">
        <f>IF([3]Entry!$R$1635="","",[3]Entry!$R$1635)</f>
        <v/>
      </c>
    </row>
    <row r="1633">
      <c r="U1633">
        <f>IF([2]Baskol!$B$1636="","",[2]Baskol!$B$1636)</f>
        <v/>
      </c>
      <c r="V1633">
        <f>IF([2]Baskol!$C$1636="","",[2]Baskol!$C$1636)</f>
        <v/>
      </c>
      <c r="W1633">
        <f>IF([2]Baskol!$D$1636="","",[2]Baskol!$D$1636)</f>
        <v/>
      </c>
      <c r="X1633">
        <f>IF([2]Baskol!$E$1636="","",[2]Baskol!$E$1636)</f>
        <v/>
      </c>
      <c r="Y1633">
        <f>IF([2]Baskol!$G$1636="","",[2]Baskol!$G$1636)</f>
        <v/>
      </c>
      <c r="Z1633">
        <f>IF([2]Baskol!$I$1636="","",[2]Baskol!$I$1636)</f>
        <v/>
      </c>
      <c r="AA1633">
        <f>IF([2]Baskol!$J$1636="","",[2]Baskol!$J$1636)</f>
        <v/>
      </c>
      <c r="AB1633">
        <f>IF([2]Baskol!$K$1636="","",[2]Baskol!$K$1636)</f>
        <v/>
      </c>
      <c r="AC1633">
        <f>IF([2]Baskol!$L$1636="","",[2]Baskol!$L$1636)</f>
        <v/>
      </c>
      <c r="AD1633">
        <f>IF([2]Baskol!$N$1636="","",[2]Baskol!$N$1636)</f>
        <v/>
      </c>
      <c r="AE1633">
        <f>IF([2]Baskol!$O$1636="","",[2]Baskol!$O$1636)</f>
        <v/>
      </c>
      <c r="AG1633">
        <f>IF([3]Entry!$C$1636="","",[3]Entry!$C$1636)</f>
        <v/>
      </c>
      <c r="AH1633">
        <f>IF([3]Entry!$D$1636="","",[3]Entry!$D$1636)</f>
        <v/>
      </c>
      <c r="AI1633">
        <f>IF([3]Entry!$E$1636="","",[3]Entry!$E$1636)</f>
        <v/>
      </c>
      <c r="AJ1633">
        <f>IF([3]Entry!$G$1636="","",[3]Entry!$G$1636)</f>
        <v/>
      </c>
      <c r="AK1633">
        <f>IF([3]Entry!$K$1636="","",[3]Entry!$K$1636)</f>
        <v/>
      </c>
      <c r="AL1633">
        <f>IF([3]Entry!$L$1636="","",[3]Entry!$L$1636)</f>
        <v/>
      </c>
      <c r="AM1633">
        <f>IF([3]Entry!$M$1636="","",[3]Entry!$M$1636)</f>
        <v/>
      </c>
      <c r="AN1633">
        <f>IF([3]Entry!$N$1636="","",[3]Entry!$N$1636)</f>
        <v/>
      </c>
      <c r="AO1633">
        <f>IF([3]Entry!$R$1636="","",[3]Entry!$R$1636)</f>
        <v/>
      </c>
    </row>
    <row r="1634">
      <c r="U1634">
        <f>IF([2]Baskol!$B$1637="","",[2]Baskol!$B$1637)</f>
        <v/>
      </c>
      <c r="V1634">
        <f>IF([2]Baskol!$C$1637="","",[2]Baskol!$C$1637)</f>
        <v/>
      </c>
      <c r="W1634">
        <f>IF([2]Baskol!$D$1637="","",[2]Baskol!$D$1637)</f>
        <v/>
      </c>
      <c r="X1634">
        <f>IF([2]Baskol!$E$1637="","",[2]Baskol!$E$1637)</f>
        <v/>
      </c>
      <c r="Y1634">
        <f>IF([2]Baskol!$G$1637="","",[2]Baskol!$G$1637)</f>
        <v/>
      </c>
      <c r="Z1634">
        <f>IF([2]Baskol!$I$1637="","",[2]Baskol!$I$1637)</f>
        <v/>
      </c>
      <c r="AA1634">
        <f>IF([2]Baskol!$J$1637="","",[2]Baskol!$J$1637)</f>
        <v/>
      </c>
      <c r="AB1634">
        <f>IF([2]Baskol!$K$1637="","",[2]Baskol!$K$1637)</f>
        <v/>
      </c>
      <c r="AC1634">
        <f>IF([2]Baskol!$L$1637="","",[2]Baskol!$L$1637)</f>
        <v/>
      </c>
      <c r="AD1634">
        <f>IF([2]Baskol!$N$1637="","",[2]Baskol!$N$1637)</f>
        <v/>
      </c>
      <c r="AE1634">
        <f>IF([2]Baskol!$O$1637="","",[2]Baskol!$O$1637)</f>
        <v/>
      </c>
      <c r="AG1634">
        <f>IF([3]Entry!$C$1637="","",[3]Entry!$C$1637)</f>
        <v/>
      </c>
      <c r="AH1634">
        <f>IF([3]Entry!$D$1637="","",[3]Entry!$D$1637)</f>
        <v/>
      </c>
      <c r="AI1634">
        <f>IF([3]Entry!$E$1637="","",[3]Entry!$E$1637)</f>
        <v/>
      </c>
      <c r="AJ1634">
        <f>IF([3]Entry!$G$1637="","",[3]Entry!$G$1637)</f>
        <v/>
      </c>
      <c r="AK1634">
        <f>IF([3]Entry!$K$1637="","",[3]Entry!$K$1637)</f>
        <v/>
      </c>
      <c r="AL1634">
        <f>IF([3]Entry!$L$1637="","",[3]Entry!$L$1637)</f>
        <v/>
      </c>
      <c r="AM1634">
        <f>IF([3]Entry!$M$1637="","",[3]Entry!$M$1637)</f>
        <v/>
      </c>
      <c r="AN1634">
        <f>IF([3]Entry!$N$1637="","",[3]Entry!$N$1637)</f>
        <v/>
      </c>
      <c r="AO1634">
        <f>IF([3]Entry!$R$1637="","",[3]Entry!$R$1637)</f>
        <v/>
      </c>
    </row>
    <row r="1635">
      <c r="U1635">
        <f>IF([2]Baskol!$B$1638="","",[2]Baskol!$B$1638)</f>
        <v/>
      </c>
      <c r="V1635">
        <f>IF([2]Baskol!$C$1638="","",[2]Baskol!$C$1638)</f>
        <v/>
      </c>
      <c r="W1635">
        <f>IF([2]Baskol!$D$1638="","",[2]Baskol!$D$1638)</f>
        <v/>
      </c>
      <c r="X1635">
        <f>IF([2]Baskol!$E$1638="","",[2]Baskol!$E$1638)</f>
        <v/>
      </c>
      <c r="Y1635">
        <f>IF([2]Baskol!$G$1638="","",[2]Baskol!$G$1638)</f>
        <v/>
      </c>
      <c r="Z1635">
        <f>IF([2]Baskol!$I$1638="","",[2]Baskol!$I$1638)</f>
        <v/>
      </c>
      <c r="AA1635">
        <f>IF([2]Baskol!$J$1638="","",[2]Baskol!$J$1638)</f>
        <v/>
      </c>
      <c r="AB1635">
        <f>IF([2]Baskol!$K$1638="","",[2]Baskol!$K$1638)</f>
        <v/>
      </c>
      <c r="AC1635">
        <f>IF([2]Baskol!$L$1638="","",[2]Baskol!$L$1638)</f>
        <v/>
      </c>
      <c r="AD1635">
        <f>IF([2]Baskol!$N$1638="","",[2]Baskol!$N$1638)</f>
        <v/>
      </c>
      <c r="AE1635">
        <f>IF([2]Baskol!$O$1638="","",[2]Baskol!$O$1638)</f>
        <v/>
      </c>
      <c r="AG1635">
        <f>IF([3]Entry!$C$1638="","",[3]Entry!$C$1638)</f>
        <v/>
      </c>
      <c r="AH1635">
        <f>IF([3]Entry!$D$1638="","",[3]Entry!$D$1638)</f>
        <v/>
      </c>
      <c r="AI1635">
        <f>IF([3]Entry!$E$1638="","",[3]Entry!$E$1638)</f>
        <v/>
      </c>
      <c r="AJ1635">
        <f>IF([3]Entry!$G$1638="","",[3]Entry!$G$1638)</f>
        <v/>
      </c>
      <c r="AK1635">
        <f>IF([3]Entry!$K$1638="","",[3]Entry!$K$1638)</f>
        <v/>
      </c>
      <c r="AL1635">
        <f>IF([3]Entry!$L$1638="","",[3]Entry!$L$1638)</f>
        <v/>
      </c>
      <c r="AM1635">
        <f>IF([3]Entry!$M$1638="","",[3]Entry!$M$1638)</f>
        <v/>
      </c>
      <c r="AN1635">
        <f>IF([3]Entry!$N$1638="","",[3]Entry!$N$1638)</f>
        <v/>
      </c>
      <c r="AO1635">
        <f>IF([3]Entry!$R$1638="","",[3]Entry!$R$1638)</f>
        <v/>
      </c>
    </row>
    <row r="1636">
      <c r="U1636">
        <f>IF([2]Baskol!$B$1639="","",[2]Baskol!$B$1639)</f>
        <v/>
      </c>
      <c r="V1636">
        <f>IF([2]Baskol!$C$1639="","",[2]Baskol!$C$1639)</f>
        <v/>
      </c>
      <c r="W1636">
        <f>IF([2]Baskol!$D$1639="","",[2]Baskol!$D$1639)</f>
        <v/>
      </c>
      <c r="X1636">
        <f>IF([2]Baskol!$E$1639="","",[2]Baskol!$E$1639)</f>
        <v/>
      </c>
      <c r="Y1636">
        <f>IF([2]Baskol!$G$1639="","",[2]Baskol!$G$1639)</f>
        <v/>
      </c>
      <c r="Z1636">
        <f>IF([2]Baskol!$I$1639="","",[2]Baskol!$I$1639)</f>
        <v/>
      </c>
      <c r="AA1636">
        <f>IF([2]Baskol!$J$1639="","",[2]Baskol!$J$1639)</f>
        <v/>
      </c>
      <c r="AB1636">
        <f>IF([2]Baskol!$K$1639="","",[2]Baskol!$K$1639)</f>
        <v/>
      </c>
      <c r="AC1636">
        <f>IF([2]Baskol!$L$1639="","",[2]Baskol!$L$1639)</f>
        <v/>
      </c>
      <c r="AD1636">
        <f>IF([2]Baskol!$N$1639="","",[2]Baskol!$N$1639)</f>
        <v/>
      </c>
      <c r="AE1636">
        <f>IF([2]Baskol!$O$1639="","",[2]Baskol!$O$1639)</f>
        <v/>
      </c>
      <c r="AG1636">
        <f>IF([3]Entry!$C$1639="","",[3]Entry!$C$1639)</f>
        <v/>
      </c>
      <c r="AH1636">
        <f>IF([3]Entry!$D$1639="","",[3]Entry!$D$1639)</f>
        <v/>
      </c>
      <c r="AI1636">
        <f>IF([3]Entry!$E$1639="","",[3]Entry!$E$1639)</f>
        <v/>
      </c>
      <c r="AJ1636">
        <f>IF([3]Entry!$G$1639="","",[3]Entry!$G$1639)</f>
        <v/>
      </c>
      <c r="AK1636">
        <f>IF([3]Entry!$K$1639="","",[3]Entry!$K$1639)</f>
        <v/>
      </c>
      <c r="AL1636">
        <f>IF([3]Entry!$L$1639="","",[3]Entry!$L$1639)</f>
        <v/>
      </c>
      <c r="AM1636">
        <f>IF([3]Entry!$M$1639="","",[3]Entry!$M$1639)</f>
        <v/>
      </c>
      <c r="AN1636">
        <f>IF([3]Entry!$N$1639="","",[3]Entry!$N$1639)</f>
        <v/>
      </c>
      <c r="AO1636">
        <f>IF([3]Entry!$R$1639="","",[3]Entry!$R$1639)</f>
        <v/>
      </c>
    </row>
    <row r="1637">
      <c r="U1637">
        <f>IF([2]Baskol!$B$1640="","",[2]Baskol!$B$1640)</f>
        <v/>
      </c>
      <c r="V1637">
        <f>IF([2]Baskol!$C$1640="","",[2]Baskol!$C$1640)</f>
        <v/>
      </c>
      <c r="W1637">
        <f>IF([2]Baskol!$D$1640="","",[2]Baskol!$D$1640)</f>
        <v/>
      </c>
      <c r="X1637">
        <f>IF([2]Baskol!$E$1640="","",[2]Baskol!$E$1640)</f>
        <v/>
      </c>
      <c r="Y1637">
        <f>IF([2]Baskol!$G$1640="","",[2]Baskol!$G$1640)</f>
        <v/>
      </c>
      <c r="Z1637">
        <f>IF([2]Baskol!$I$1640="","",[2]Baskol!$I$1640)</f>
        <v/>
      </c>
      <c r="AA1637">
        <f>IF([2]Baskol!$J$1640="","",[2]Baskol!$J$1640)</f>
        <v/>
      </c>
      <c r="AB1637">
        <f>IF([2]Baskol!$K$1640="","",[2]Baskol!$K$1640)</f>
        <v/>
      </c>
      <c r="AC1637">
        <f>IF([2]Baskol!$L$1640="","",[2]Baskol!$L$1640)</f>
        <v/>
      </c>
      <c r="AD1637">
        <f>IF([2]Baskol!$N$1640="","",[2]Baskol!$N$1640)</f>
        <v/>
      </c>
      <c r="AE1637">
        <f>IF([2]Baskol!$O$1640="","",[2]Baskol!$O$1640)</f>
        <v/>
      </c>
      <c r="AG1637">
        <f>IF([3]Entry!$C$1640="","",[3]Entry!$C$1640)</f>
        <v/>
      </c>
      <c r="AH1637">
        <f>IF([3]Entry!$D$1640="","",[3]Entry!$D$1640)</f>
        <v/>
      </c>
      <c r="AI1637">
        <f>IF([3]Entry!$E$1640="","",[3]Entry!$E$1640)</f>
        <v/>
      </c>
      <c r="AJ1637">
        <f>IF([3]Entry!$G$1640="","",[3]Entry!$G$1640)</f>
        <v/>
      </c>
      <c r="AK1637">
        <f>IF([3]Entry!$K$1640="","",[3]Entry!$K$1640)</f>
        <v/>
      </c>
      <c r="AL1637">
        <f>IF([3]Entry!$L$1640="","",[3]Entry!$L$1640)</f>
        <v/>
      </c>
      <c r="AM1637">
        <f>IF([3]Entry!$M$1640="","",[3]Entry!$M$1640)</f>
        <v/>
      </c>
      <c r="AN1637">
        <f>IF([3]Entry!$N$1640="","",[3]Entry!$N$1640)</f>
        <v/>
      </c>
      <c r="AO1637">
        <f>IF([3]Entry!$R$1640="","",[3]Entry!$R$1640)</f>
        <v/>
      </c>
    </row>
    <row r="1638">
      <c r="U1638">
        <f>IF([2]Baskol!$B$1641="","",[2]Baskol!$B$1641)</f>
        <v/>
      </c>
      <c r="V1638">
        <f>IF([2]Baskol!$C$1641="","",[2]Baskol!$C$1641)</f>
        <v/>
      </c>
      <c r="W1638">
        <f>IF([2]Baskol!$D$1641="","",[2]Baskol!$D$1641)</f>
        <v/>
      </c>
      <c r="X1638">
        <f>IF([2]Baskol!$E$1641="","",[2]Baskol!$E$1641)</f>
        <v/>
      </c>
      <c r="Y1638">
        <f>IF([2]Baskol!$G$1641="","",[2]Baskol!$G$1641)</f>
        <v/>
      </c>
      <c r="Z1638">
        <f>IF([2]Baskol!$I$1641="","",[2]Baskol!$I$1641)</f>
        <v/>
      </c>
      <c r="AA1638">
        <f>IF([2]Baskol!$J$1641="","",[2]Baskol!$J$1641)</f>
        <v/>
      </c>
      <c r="AB1638">
        <f>IF([2]Baskol!$K$1641="","",[2]Baskol!$K$1641)</f>
        <v/>
      </c>
      <c r="AC1638">
        <f>IF([2]Baskol!$L$1641="","",[2]Baskol!$L$1641)</f>
        <v/>
      </c>
      <c r="AD1638">
        <f>IF([2]Baskol!$N$1641="","",[2]Baskol!$N$1641)</f>
        <v/>
      </c>
      <c r="AE1638">
        <f>IF([2]Baskol!$O$1641="","",[2]Baskol!$O$1641)</f>
        <v/>
      </c>
      <c r="AG1638">
        <f>IF([3]Entry!$C$1641="","",[3]Entry!$C$1641)</f>
        <v/>
      </c>
      <c r="AH1638">
        <f>IF([3]Entry!$D$1641="","",[3]Entry!$D$1641)</f>
        <v/>
      </c>
      <c r="AI1638">
        <f>IF([3]Entry!$E$1641="","",[3]Entry!$E$1641)</f>
        <v/>
      </c>
      <c r="AJ1638">
        <f>IF([3]Entry!$G$1641="","",[3]Entry!$G$1641)</f>
        <v/>
      </c>
      <c r="AK1638">
        <f>IF([3]Entry!$K$1641="","",[3]Entry!$K$1641)</f>
        <v/>
      </c>
      <c r="AL1638">
        <f>IF([3]Entry!$L$1641="","",[3]Entry!$L$1641)</f>
        <v/>
      </c>
      <c r="AM1638">
        <f>IF([3]Entry!$M$1641="","",[3]Entry!$M$1641)</f>
        <v/>
      </c>
      <c r="AN1638">
        <f>IF([3]Entry!$N$1641="","",[3]Entry!$N$1641)</f>
        <v/>
      </c>
      <c r="AO1638">
        <f>IF([3]Entry!$R$1641="","",[3]Entry!$R$1641)</f>
        <v/>
      </c>
    </row>
    <row r="1639">
      <c r="U1639">
        <f>IF([2]Baskol!$B$1642="","",[2]Baskol!$B$1642)</f>
        <v/>
      </c>
      <c r="V1639">
        <f>IF([2]Baskol!$C$1642="","",[2]Baskol!$C$1642)</f>
        <v/>
      </c>
      <c r="W1639">
        <f>IF([2]Baskol!$D$1642="","",[2]Baskol!$D$1642)</f>
        <v/>
      </c>
      <c r="X1639">
        <f>IF([2]Baskol!$E$1642="","",[2]Baskol!$E$1642)</f>
        <v/>
      </c>
      <c r="Y1639">
        <f>IF([2]Baskol!$G$1642="","",[2]Baskol!$G$1642)</f>
        <v/>
      </c>
      <c r="Z1639">
        <f>IF([2]Baskol!$I$1642="","",[2]Baskol!$I$1642)</f>
        <v/>
      </c>
      <c r="AA1639">
        <f>IF([2]Baskol!$J$1642="","",[2]Baskol!$J$1642)</f>
        <v/>
      </c>
      <c r="AB1639">
        <f>IF([2]Baskol!$K$1642="","",[2]Baskol!$K$1642)</f>
        <v/>
      </c>
      <c r="AC1639">
        <f>IF([2]Baskol!$L$1642="","",[2]Baskol!$L$1642)</f>
        <v/>
      </c>
      <c r="AD1639">
        <f>IF([2]Baskol!$N$1642="","",[2]Baskol!$N$1642)</f>
        <v/>
      </c>
      <c r="AE1639">
        <f>IF([2]Baskol!$O$1642="","",[2]Baskol!$O$1642)</f>
        <v/>
      </c>
      <c r="AG1639">
        <f>IF([3]Entry!$C$1642="","",[3]Entry!$C$1642)</f>
        <v/>
      </c>
      <c r="AH1639">
        <f>IF([3]Entry!$D$1642="","",[3]Entry!$D$1642)</f>
        <v/>
      </c>
      <c r="AI1639">
        <f>IF([3]Entry!$E$1642="","",[3]Entry!$E$1642)</f>
        <v/>
      </c>
      <c r="AJ1639">
        <f>IF([3]Entry!$G$1642="","",[3]Entry!$G$1642)</f>
        <v/>
      </c>
      <c r="AK1639">
        <f>IF([3]Entry!$K$1642="","",[3]Entry!$K$1642)</f>
        <v/>
      </c>
      <c r="AL1639">
        <f>IF([3]Entry!$L$1642="","",[3]Entry!$L$1642)</f>
        <v/>
      </c>
      <c r="AM1639">
        <f>IF([3]Entry!$M$1642="","",[3]Entry!$M$1642)</f>
        <v/>
      </c>
      <c r="AN1639">
        <f>IF([3]Entry!$N$1642="","",[3]Entry!$N$1642)</f>
        <v/>
      </c>
      <c r="AO1639">
        <f>IF([3]Entry!$R$1642="","",[3]Entry!$R$1642)</f>
        <v/>
      </c>
    </row>
    <row r="1640">
      <c r="U1640">
        <f>IF([2]Baskol!$B$1643="","",[2]Baskol!$B$1643)</f>
        <v/>
      </c>
      <c r="V1640">
        <f>IF([2]Baskol!$C$1643="","",[2]Baskol!$C$1643)</f>
        <v/>
      </c>
      <c r="W1640">
        <f>IF([2]Baskol!$D$1643="","",[2]Baskol!$D$1643)</f>
        <v/>
      </c>
      <c r="X1640">
        <f>IF([2]Baskol!$E$1643="","",[2]Baskol!$E$1643)</f>
        <v/>
      </c>
      <c r="Y1640">
        <f>IF([2]Baskol!$G$1643="","",[2]Baskol!$G$1643)</f>
        <v/>
      </c>
      <c r="Z1640">
        <f>IF([2]Baskol!$I$1643="","",[2]Baskol!$I$1643)</f>
        <v/>
      </c>
      <c r="AA1640">
        <f>IF([2]Baskol!$J$1643="","",[2]Baskol!$J$1643)</f>
        <v/>
      </c>
      <c r="AB1640">
        <f>IF([2]Baskol!$K$1643="","",[2]Baskol!$K$1643)</f>
        <v/>
      </c>
      <c r="AC1640">
        <f>IF([2]Baskol!$L$1643="","",[2]Baskol!$L$1643)</f>
        <v/>
      </c>
      <c r="AD1640">
        <f>IF([2]Baskol!$N$1643="","",[2]Baskol!$N$1643)</f>
        <v/>
      </c>
      <c r="AE1640">
        <f>IF([2]Baskol!$O$1643="","",[2]Baskol!$O$1643)</f>
        <v/>
      </c>
      <c r="AG1640">
        <f>IF([3]Entry!$C$1643="","",[3]Entry!$C$1643)</f>
        <v/>
      </c>
      <c r="AH1640">
        <f>IF([3]Entry!$D$1643="","",[3]Entry!$D$1643)</f>
        <v/>
      </c>
      <c r="AI1640">
        <f>IF([3]Entry!$E$1643="","",[3]Entry!$E$1643)</f>
        <v/>
      </c>
      <c r="AJ1640">
        <f>IF([3]Entry!$G$1643="","",[3]Entry!$G$1643)</f>
        <v/>
      </c>
      <c r="AK1640">
        <f>IF([3]Entry!$K$1643="","",[3]Entry!$K$1643)</f>
        <v/>
      </c>
      <c r="AL1640">
        <f>IF([3]Entry!$L$1643="","",[3]Entry!$L$1643)</f>
        <v/>
      </c>
      <c r="AM1640">
        <f>IF([3]Entry!$M$1643="","",[3]Entry!$M$1643)</f>
        <v/>
      </c>
      <c r="AN1640">
        <f>IF([3]Entry!$N$1643="","",[3]Entry!$N$1643)</f>
        <v/>
      </c>
      <c r="AO1640">
        <f>IF([3]Entry!$R$1643="","",[3]Entry!$R$1643)</f>
        <v/>
      </c>
    </row>
    <row r="1641">
      <c r="U1641">
        <f>IF([2]Baskol!$B$1644="","",[2]Baskol!$B$1644)</f>
        <v/>
      </c>
      <c r="V1641">
        <f>IF([2]Baskol!$C$1644="","",[2]Baskol!$C$1644)</f>
        <v/>
      </c>
      <c r="W1641">
        <f>IF([2]Baskol!$D$1644="","",[2]Baskol!$D$1644)</f>
        <v/>
      </c>
      <c r="X1641">
        <f>IF([2]Baskol!$E$1644="","",[2]Baskol!$E$1644)</f>
        <v/>
      </c>
      <c r="Y1641">
        <f>IF([2]Baskol!$G$1644="","",[2]Baskol!$G$1644)</f>
        <v/>
      </c>
      <c r="Z1641">
        <f>IF([2]Baskol!$I$1644="","",[2]Baskol!$I$1644)</f>
        <v/>
      </c>
      <c r="AA1641">
        <f>IF([2]Baskol!$J$1644="","",[2]Baskol!$J$1644)</f>
        <v/>
      </c>
      <c r="AB1641">
        <f>IF([2]Baskol!$K$1644="","",[2]Baskol!$K$1644)</f>
        <v/>
      </c>
      <c r="AC1641">
        <f>IF([2]Baskol!$L$1644="","",[2]Baskol!$L$1644)</f>
        <v/>
      </c>
      <c r="AD1641">
        <f>IF([2]Baskol!$N$1644="","",[2]Baskol!$N$1644)</f>
        <v/>
      </c>
      <c r="AE1641">
        <f>IF([2]Baskol!$O$1644="","",[2]Baskol!$O$1644)</f>
        <v/>
      </c>
      <c r="AG1641">
        <f>IF([3]Entry!$C$1644="","",[3]Entry!$C$1644)</f>
        <v/>
      </c>
      <c r="AH1641">
        <f>IF([3]Entry!$D$1644="","",[3]Entry!$D$1644)</f>
        <v/>
      </c>
      <c r="AI1641">
        <f>IF([3]Entry!$E$1644="","",[3]Entry!$E$1644)</f>
        <v/>
      </c>
      <c r="AJ1641">
        <f>IF([3]Entry!$G$1644="","",[3]Entry!$G$1644)</f>
        <v/>
      </c>
      <c r="AK1641">
        <f>IF([3]Entry!$K$1644="","",[3]Entry!$K$1644)</f>
        <v/>
      </c>
      <c r="AL1641">
        <f>IF([3]Entry!$L$1644="","",[3]Entry!$L$1644)</f>
        <v/>
      </c>
      <c r="AM1641">
        <f>IF([3]Entry!$M$1644="","",[3]Entry!$M$1644)</f>
        <v/>
      </c>
      <c r="AN1641">
        <f>IF([3]Entry!$N$1644="","",[3]Entry!$N$1644)</f>
        <v/>
      </c>
      <c r="AO1641">
        <f>IF([3]Entry!$R$1644="","",[3]Entry!$R$1644)</f>
        <v/>
      </c>
    </row>
    <row r="1642">
      <c r="U1642">
        <f>IF([2]Baskol!$B$1645="","",[2]Baskol!$B$1645)</f>
        <v/>
      </c>
      <c r="V1642">
        <f>IF([2]Baskol!$C$1645="","",[2]Baskol!$C$1645)</f>
        <v/>
      </c>
      <c r="W1642">
        <f>IF([2]Baskol!$D$1645="","",[2]Baskol!$D$1645)</f>
        <v/>
      </c>
      <c r="X1642">
        <f>IF([2]Baskol!$E$1645="","",[2]Baskol!$E$1645)</f>
        <v/>
      </c>
      <c r="Y1642">
        <f>IF([2]Baskol!$G$1645="","",[2]Baskol!$G$1645)</f>
        <v/>
      </c>
      <c r="Z1642">
        <f>IF([2]Baskol!$I$1645="","",[2]Baskol!$I$1645)</f>
        <v/>
      </c>
      <c r="AA1642">
        <f>IF([2]Baskol!$J$1645="","",[2]Baskol!$J$1645)</f>
        <v/>
      </c>
      <c r="AB1642">
        <f>IF([2]Baskol!$K$1645="","",[2]Baskol!$K$1645)</f>
        <v/>
      </c>
      <c r="AC1642">
        <f>IF([2]Baskol!$L$1645="","",[2]Baskol!$L$1645)</f>
        <v/>
      </c>
      <c r="AD1642">
        <f>IF([2]Baskol!$N$1645="","",[2]Baskol!$N$1645)</f>
        <v/>
      </c>
      <c r="AE1642">
        <f>IF([2]Baskol!$O$1645="","",[2]Baskol!$O$1645)</f>
        <v/>
      </c>
      <c r="AG1642">
        <f>IF([3]Entry!$C$1645="","",[3]Entry!$C$1645)</f>
        <v/>
      </c>
      <c r="AH1642">
        <f>IF([3]Entry!$D$1645="","",[3]Entry!$D$1645)</f>
        <v/>
      </c>
      <c r="AI1642">
        <f>IF([3]Entry!$E$1645="","",[3]Entry!$E$1645)</f>
        <v/>
      </c>
      <c r="AJ1642">
        <f>IF([3]Entry!$G$1645="","",[3]Entry!$G$1645)</f>
        <v/>
      </c>
      <c r="AK1642">
        <f>IF([3]Entry!$K$1645="","",[3]Entry!$K$1645)</f>
        <v/>
      </c>
      <c r="AL1642">
        <f>IF([3]Entry!$L$1645="","",[3]Entry!$L$1645)</f>
        <v/>
      </c>
      <c r="AM1642">
        <f>IF([3]Entry!$M$1645="","",[3]Entry!$M$1645)</f>
        <v/>
      </c>
      <c r="AN1642">
        <f>IF([3]Entry!$N$1645="","",[3]Entry!$N$1645)</f>
        <v/>
      </c>
      <c r="AO1642">
        <f>IF([3]Entry!$R$1645="","",[3]Entry!$R$1645)</f>
        <v/>
      </c>
    </row>
    <row r="1643">
      <c r="U1643">
        <f>IF([2]Baskol!$B$1646="","",[2]Baskol!$B$1646)</f>
        <v/>
      </c>
      <c r="V1643">
        <f>IF([2]Baskol!$C$1646="","",[2]Baskol!$C$1646)</f>
        <v/>
      </c>
      <c r="W1643">
        <f>IF([2]Baskol!$D$1646="","",[2]Baskol!$D$1646)</f>
        <v/>
      </c>
      <c r="X1643">
        <f>IF([2]Baskol!$E$1646="","",[2]Baskol!$E$1646)</f>
        <v/>
      </c>
      <c r="Y1643">
        <f>IF([2]Baskol!$G$1646="","",[2]Baskol!$G$1646)</f>
        <v/>
      </c>
      <c r="Z1643">
        <f>IF([2]Baskol!$I$1646="","",[2]Baskol!$I$1646)</f>
        <v/>
      </c>
      <c r="AA1643">
        <f>IF([2]Baskol!$J$1646="","",[2]Baskol!$J$1646)</f>
        <v/>
      </c>
      <c r="AB1643">
        <f>IF([2]Baskol!$K$1646="","",[2]Baskol!$K$1646)</f>
        <v/>
      </c>
      <c r="AC1643">
        <f>IF([2]Baskol!$L$1646="","",[2]Baskol!$L$1646)</f>
        <v/>
      </c>
      <c r="AD1643">
        <f>IF([2]Baskol!$N$1646="","",[2]Baskol!$N$1646)</f>
        <v/>
      </c>
      <c r="AE1643">
        <f>IF([2]Baskol!$O$1646="","",[2]Baskol!$O$1646)</f>
        <v/>
      </c>
      <c r="AG1643">
        <f>IF([3]Entry!$C$1646="","",[3]Entry!$C$1646)</f>
        <v/>
      </c>
      <c r="AH1643">
        <f>IF([3]Entry!$D$1646="","",[3]Entry!$D$1646)</f>
        <v/>
      </c>
      <c r="AI1643">
        <f>IF([3]Entry!$E$1646="","",[3]Entry!$E$1646)</f>
        <v/>
      </c>
      <c r="AJ1643">
        <f>IF([3]Entry!$G$1646="","",[3]Entry!$G$1646)</f>
        <v/>
      </c>
      <c r="AK1643">
        <f>IF([3]Entry!$K$1646="","",[3]Entry!$K$1646)</f>
        <v/>
      </c>
      <c r="AL1643">
        <f>IF([3]Entry!$L$1646="","",[3]Entry!$L$1646)</f>
        <v/>
      </c>
      <c r="AM1643">
        <f>IF([3]Entry!$M$1646="","",[3]Entry!$M$1646)</f>
        <v/>
      </c>
      <c r="AN1643">
        <f>IF([3]Entry!$N$1646="","",[3]Entry!$N$1646)</f>
        <v/>
      </c>
      <c r="AO1643">
        <f>IF([3]Entry!$R$1646="","",[3]Entry!$R$1646)</f>
        <v/>
      </c>
    </row>
    <row r="1644">
      <c r="U1644">
        <f>IF([2]Baskol!$B$1647="","",[2]Baskol!$B$1647)</f>
        <v/>
      </c>
      <c r="V1644">
        <f>IF([2]Baskol!$C$1647="","",[2]Baskol!$C$1647)</f>
        <v/>
      </c>
      <c r="W1644">
        <f>IF([2]Baskol!$D$1647="","",[2]Baskol!$D$1647)</f>
        <v/>
      </c>
      <c r="X1644">
        <f>IF([2]Baskol!$E$1647="","",[2]Baskol!$E$1647)</f>
        <v/>
      </c>
      <c r="Y1644">
        <f>IF([2]Baskol!$G$1647="","",[2]Baskol!$G$1647)</f>
        <v/>
      </c>
      <c r="Z1644">
        <f>IF([2]Baskol!$I$1647="","",[2]Baskol!$I$1647)</f>
        <v/>
      </c>
      <c r="AA1644">
        <f>IF([2]Baskol!$J$1647="","",[2]Baskol!$J$1647)</f>
        <v/>
      </c>
      <c r="AB1644">
        <f>IF([2]Baskol!$K$1647="","",[2]Baskol!$K$1647)</f>
        <v/>
      </c>
      <c r="AC1644">
        <f>IF([2]Baskol!$L$1647="","",[2]Baskol!$L$1647)</f>
        <v/>
      </c>
      <c r="AD1644">
        <f>IF([2]Baskol!$N$1647="","",[2]Baskol!$N$1647)</f>
        <v/>
      </c>
      <c r="AE1644">
        <f>IF([2]Baskol!$O$1647="","",[2]Baskol!$O$1647)</f>
        <v/>
      </c>
      <c r="AG1644">
        <f>IF([3]Entry!$C$1647="","",[3]Entry!$C$1647)</f>
        <v/>
      </c>
      <c r="AH1644">
        <f>IF([3]Entry!$D$1647="","",[3]Entry!$D$1647)</f>
        <v/>
      </c>
      <c r="AI1644">
        <f>IF([3]Entry!$E$1647="","",[3]Entry!$E$1647)</f>
        <v/>
      </c>
      <c r="AJ1644">
        <f>IF([3]Entry!$G$1647="","",[3]Entry!$G$1647)</f>
        <v/>
      </c>
      <c r="AK1644">
        <f>IF([3]Entry!$K$1647="","",[3]Entry!$K$1647)</f>
        <v/>
      </c>
      <c r="AL1644">
        <f>IF([3]Entry!$L$1647="","",[3]Entry!$L$1647)</f>
        <v/>
      </c>
      <c r="AM1644">
        <f>IF([3]Entry!$M$1647="","",[3]Entry!$M$1647)</f>
        <v/>
      </c>
      <c r="AN1644">
        <f>IF([3]Entry!$N$1647="","",[3]Entry!$N$1647)</f>
        <v/>
      </c>
      <c r="AO1644">
        <f>IF([3]Entry!$R$1647="","",[3]Entry!$R$1647)</f>
        <v/>
      </c>
    </row>
    <row r="1645">
      <c r="U1645">
        <f>IF([2]Baskol!$B$1648="","",[2]Baskol!$B$1648)</f>
        <v/>
      </c>
      <c r="V1645">
        <f>IF([2]Baskol!$C$1648="","",[2]Baskol!$C$1648)</f>
        <v/>
      </c>
      <c r="W1645">
        <f>IF([2]Baskol!$D$1648="","",[2]Baskol!$D$1648)</f>
        <v/>
      </c>
      <c r="X1645">
        <f>IF([2]Baskol!$E$1648="","",[2]Baskol!$E$1648)</f>
        <v/>
      </c>
      <c r="Y1645">
        <f>IF([2]Baskol!$G$1648="","",[2]Baskol!$G$1648)</f>
        <v/>
      </c>
      <c r="Z1645">
        <f>IF([2]Baskol!$I$1648="","",[2]Baskol!$I$1648)</f>
        <v/>
      </c>
      <c r="AA1645">
        <f>IF([2]Baskol!$J$1648="","",[2]Baskol!$J$1648)</f>
        <v/>
      </c>
      <c r="AB1645">
        <f>IF([2]Baskol!$K$1648="","",[2]Baskol!$K$1648)</f>
        <v/>
      </c>
      <c r="AC1645">
        <f>IF([2]Baskol!$L$1648="","",[2]Baskol!$L$1648)</f>
        <v/>
      </c>
      <c r="AD1645">
        <f>IF([2]Baskol!$N$1648="","",[2]Baskol!$N$1648)</f>
        <v/>
      </c>
      <c r="AE1645">
        <f>IF([2]Baskol!$O$1648="","",[2]Baskol!$O$1648)</f>
        <v/>
      </c>
      <c r="AG1645">
        <f>IF([3]Entry!$C$1648="","",[3]Entry!$C$1648)</f>
        <v/>
      </c>
      <c r="AH1645">
        <f>IF([3]Entry!$D$1648="","",[3]Entry!$D$1648)</f>
        <v/>
      </c>
      <c r="AI1645">
        <f>IF([3]Entry!$E$1648="","",[3]Entry!$E$1648)</f>
        <v/>
      </c>
      <c r="AJ1645">
        <f>IF([3]Entry!$G$1648="","",[3]Entry!$G$1648)</f>
        <v/>
      </c>
      <c r="AK1645">
        <f>IF([3]Entry!$K$1648="","",[3]Entry!$K$1648)</f>
        <v/>
      </c>
      <c r="AL1645">
        <f>IF([3]Entry!$L$1648="","",[3]Entry!$L$1648)</f>
        <v/>
      </c>
      <c r="AM1645">
        <f>IF([3]Entry!$M$1648="","",[3]Entry!$M$1648)</f>
        <v/>
      </c>
      <c r="AN1645">
        <f>IF([3]Entry!$N$1648="","",[3]Entry!$N$1648)</f>
        <v/>
      </c>
      <c r="AO1645">
        <f>IF([3]Entry!$R$1648="","",[3]Entry!$R$1648)</f>
        <v/>
      </c>
    </row>
    <row r="1646">
      <c r="U1646">
        <f>IF([2]Baskol!$B$1649="","",[2]Baskol!$B$1649)</f>
        <v/>
      </c>
      <c r="V1646">
        <f>IF([2]Baskol!$C$1649="","",[2]Baskol!$C$1649)</f>
        <v/>
      </c>
      <c r="W1646">
        <f>IF([2]Baskol!$D$1649="","",[2]Baskol!$D$1649)</f>
        <v/>
      </c>
      <c r="X1646">
        <f>IF([2]Baskol!$E$1649="","",[2]Baskol!$E$1649)</f>
        <v/>
      </c>
      <c r="Y1646">
        <f>IF([2]Baskol!$G$1649="","",[2]Baskol!$G$1649)</f>
        <v/>
      </c>
      <c r="Z1646">
        <f>IF([2]Baskol!$I$1649="","",[2]Baskol!$I$1649)</f>
        <v/>
      </c>
      <c r="AA1646">
        <f>IF([2]Baskol!$J$1649="","",[2]Baskol!$J$1649)</f>
        <v/>
      </c>
      <c r="AB1646">
        <f>IF([2]Baskol!$K$1649="","",[2]Baskol!$K$1649)</f>
        <v/>
      </c>
      <c r="AC1646">
        <f>IF([2]Baskol!$L$1649="","",[2]Baskol!$L$1649)</f>
        <v/>
      </c>
      <c r="AD1646">
        <f>IF([2]Baskol!$N$1649="","",[2]Baskol!$N$1649)</f>
        <v/>
      </c>
      <c r="AE1646">
        <f>IF([2]Baskol!$O$1649="","",[2]Baskol!$O$1649)</f>
        <v/>
      </c>
      <c r="AG1646">
        <f>IF([3]Entry!$C$1649="","",[3]Entry!$C$1649)</f>
        <v/>
      </c>
      <c r="AH1646">
        <f>IF([3]Entry!$D$1649="","",[3]Entry!$D$1649)</f>
        <v/>
      </c>
      <c r="AI1646">
        <f>IF([3]Entry!$E$1649="","",[3]Entry!$E$1649)</f>
        <v/>
      </c>
      <c r="AJ1646">
        <f>IF([3]Entry!$G$1649="","",[3]Entry!$G$1649)</f>
        <v/>
      </c>
      <c r="AK1646">
        <f>IF([3]Entry!$K$1649="","",[3]Entry!$K$1649)</f>
        <v/>
      </c>
      <c r="AL1646">
        <f>IF([3]Entry!$L$1649="","",[3]Entry!$L$1649)</f>
        <v/>
      </c>
      <c r="AM1646">
        <f>IF([3]Entry!$M$1649="","",[3]Entry!$M$1649)</f>
        <v/>
      </c>
      <c r="AN1646">
        <f>IF([3]Entry!$N$1649="","",[3]Entry!$N$1649)</f>
        <v/>
      </c>
      <c r="AO1646">
        <f>IF([3]Entry!$R$1649="","",[3]Entry!$R$1649)</f>
        <v/>
      </c>
    </row>
    <row r="1647">
      <c r="U1647">
        <f>IF([2]Baskol!$B$1650="","",[2]Baskol!$B$1650)</f>
        <v/>
      </c>
      <c r="V1647">
        <f>IF([2]Baskol!$C$1650="","",[2]Baskol!$C$1650)</f>
        <v/>
      </c>
      <c r="W1647">
        <f>IF([2]Baskol!$D$1650="","",[2]Baskol!$D$1650)</f>
        <v/>
      </c>
      <c r="X1647">
        <f>IF([2]Baskol!$E$1650="","",[2]Baskol!$E$1650)</f>
        <v/>
      </c>
      <c r="Y1647">
        <f>IF([2]Baskol!$G$1650="","",[2]Baskol!$G$1650)</f>
        <v/>
      </c>
      <c r="Z1647">
        <f>IF([2]Baskol!$I$1650="","",[2]Baskol!$I$1650)</f>
        <v/>
      </c>
      <c r="AA1647">
        <f>IF([2]Baskol!$J$1650="","",[2]Baskol!$J$1650)</f>
        <v/>
      </c>
      <c r="AB1647">
        <f>IF([2]Baskol!$K$1650="","",[2]Baskol!$K$1650)</f>
        <v/>
      </c>
      <c r="AC1647">
        <f>IF([2]Baskol!$L$1650="","",[2]Baskol!$L$1650)</f>
        <v/>
      </c>
      <c r="AD1647">
        <f>IF([2]Baskol!$N$1650="","",[2]Baskol!$N$1650)</f>
        <v/>
      </c>
      <c r="AE1647">
        <f>IF([2]Baskol!$O$1650="","",[2]Baskol!$O$1650)</f>
        <v/>
      </c>
      <c r="AG1647">
        <f>IF([3]Entry!$C$1650="","",[3]Entry!$C$1650)</f>
        <v/>
      </c>
      <c r="AH1647">
        <f>IF([3]Entry!$D$1650="","",[3]Entry!$D$1650)</f>
        <v/>
      </c>
      <c r="AI1647">
        <f>IF([3]Entry!$E$1650="","",[3]Entry!$E$1650)</f>
        <v/>
      </c>
      <c r="AJ1647">
        <f>IF([3]Entry!$G$1650="","",[3]Entry!$G$1650)</f>
        <v/>
      </c>
      <c r="AK1647">
        <f>IF([3]Entry!$K$1650="","",[3]Entry!$K$1650)</f>
        <v/>
      </c>
      <c r="AL1647">
        <f>IF([3]Entry!$L$1650="","",[3]Entry!$L$1650)</f>
        <v/>
      </c>
      <c r="AM1647">
        <f>IF([3]Entry!$M$1650="","",[3]Entry!$M$1650)</f>
        <v/>
      </c>
      <c r="AN1647">
        <f>IF([3]Entry!$N$1650="","",[3]Entry!$N$1650)</f>
        <v/>
      </c>
      <c r="AO1647">
        <f>IF([3]Entry!$R$1650="","",[3]Entry!$R$1650)</f>
        <v/>
      </c>
    </row>
    <row r="1648">
      <c r="U1648">
        <f>IF([2]Baskol!$B$1651="","",[2]Baskol!$B$1651)</f>
        <v/>
      </c>
      <c r="V1648">
        <f>IF([2]Baskol!$C$1651="","",[2]Baskol!$C$1651)</f>
        <v/>
      </c>
      <c r="W1648">
        <f>IF([2]Baskol!$D$1651="","",[2]Baskol!$D$1651)</f>
        <v/>
      </c>
      <c r="X1648">
        <f>IF([2]Baskol!$E$1651="","",[2]Baskol!$E$1651)</f>
        <v/>
      </c>
      <c r="Y1648">
        <f>IF([2]Baskol!$G$1651="","",[2]Baskol!$G$1651)</f>
        <v/>
      </c>
      <c r="Z1648">
        <f>IF([2]Baskol!$I$1651="","",[2]Baskol!$I$1651)</f>
        <v/>
      </c>
      <c r="AA1648">
        <f>IF([2]Baskol!$J$1651="","",[2]Baskol!$J$1651)</f>
        <v/>
      </c>
      <c r="AB1648">
        <f>IF([2]Baskol!$K$1651="","",[2]Baskol!$K$1651)</f>
        <v/>
      </c>
      <c r="AC1648">
        <f>IF([2]Baskol!$L$1651="","",[2]Baskol!$L$1651)</f>
        <v/>
      </c>
      <c r="AD1648">
        <f>IF([2]Baskol!$N$1651="","",[2]Baskol!$N$1651)</f>
        <v/>
      </c>
      <c r="AE1648">
        <f>IF([2]Baskol!$O$1651="","",[2]Baskol!$O$1651)</f>
        <v/>
      </c>
      <c r="AG1648">
        <f>IF([3]Entry!$C$1651="","",[3]Entry!$C$1651)</f>
        <v/>
      </c>
      <c r="AH1648">
        <f>IF([3]Entry!$D$1651="","",[3]Entry!$D$1651)</f>
        <v/>
      </c>
      <c r="AI1648">
        <f>IF([3]Entry!$E$1651="","",[3]Entry!$E$1651)</f>
        <v/>
      </c>
      <c r="AJ1648">
        <f>IF([3]Entry!$G$1651="","",[3]Entry!$G$1651)</f>
        <v/>
      </c>
      <c r="AK1648">
        <f>IF([3]Entry!$K$1651="","",[3]Entry!$K$1651)</f>
        <v/>
      </c>
      <c r="AL1648">
        <f>IF([3]Entry!$L$1651="","",[3]Entry!$L$1651)</f>
        <v/>
      </c>
      <c r="AM1648">
        <f>IF([3]Entry!$M$1651="","",[3]Entry!$M$1651)</f>
        <v/>
      </c>
      <c r="AN1648">
        <f>IF([3]Entry!$N$1651="","",[3]Entry!$N$1651)</f>
        <v/>
      </c>
      <c r="AO1648">
        <f>IF([3]Entry!$R$1651="","",[3]Entry!$R$1651)</f>
        <v/>
      </c>
    </row>
    <row r="1649">
      <c r="U1649">
        <f>IF([2]Baskol!$B$1652="","",[2]Baskol!$B$1652)</f>
        <v/>
      </c>
      <c r="V1649">
        <f>IF([2]Baskol!$C$1652="","",[2]Baskol!$C$1652)</f>
        <v/>
      </c>
      <c r="W1649">
        <f>IF([2]Baskol!$D$1652="","",[2]Baskol!$D$1652)</f>
        <v/>
      </c>
      <c r="X1649">
        <f>IF([2]Baskol!$E$1652="","",[2]Baskol!$E$1652)</f>
        <v/>
      </c>
      <c r="Y1649">
        <f>IF([2]Baskol!$G$1652="","",[2]Baskol!$G$1652)</f>
        <v/>
      </c>
      <c r="Z1649">
        <f>IF([2]Baskol!$I$1652="","",[2]Baskol!$I$1652)</f>
        <v/>
      </c>
      <c r="AA1649">
        <f>IF([2]Baskol!$J$1652="","",[2]Baskol!$J$1652)</f>
        <v/>
      </c>
      <c r="AB1649">
        <f>IF([2]Baskol!$K$1652="","",[2]Baskol!$K$1652)</f>
        <v/>
      </c>
      <c r="AC1649">
        <f>IF([2]Baskol!$L$1652="","",[2]Baskol!$L$1652)</f>
        <v/>
      </c>
      <c r="AD1649">
        <f>IF([2]Baskol!$N$1652="","",[2]Baskol!$N$1652)</f>
        <v/>
      </c>
      <c r="AE1649">
        <f>IF([2]Baskol!$O$1652="","",[2]Baskol!$O$1652)</f>
        <v/>
      </c>
      <c r="AG1649">
        <f>IF([3]Entry!$C$1652="","",[3]Entry!$C$1652)</f>
        <v/>
      </c>
      <c r="AH1649">
        <f>IF([3]Entry!$D$1652="","",[3]Entry!$D$1652)</f>
        <v/>
      </c>
      <c r="AI1649">
        <f>IF([3]Entry!$E$1652="","",[3]Entry!$E$1652)</f>
        <v/>
      </c>
      <c r="AJ1649">
        <f>IF([3]Entry!$G$1652="","",[3]Entry!$G$1652)</f>
        <v/>
      </c>
      <c r="AK1649">
        <f>IF([3]Entry!$K$1652="","",[3]Entry!$K$1652)</f>
        <v/>
      </c>
      <c r="AL1649">
        <f>IF([3]Entry!$L$1652="","",[3]Entry!$L$1652)</f>
        <v/>
      </c>
      <c r="AM1649">
        <f>IF([3]Entry!$M$1652="","",[3]Entry!$M$1652)</f>
        <v/>
      </c>
      <c r="AN1649">
        <f>IF([3]Entry!$N$1652="","",[3]Entry!$N$1652)</f>
        <v/>
      </c>
      <c r="AO1649">
        <f>IF([3]Entry!$R$1652="","",[3]Entry!$R$1652)</f>
        <v/>
      </c>
    </row>
    <row r="1650">
      <c r="U1650">
        <f>IF([2]Baskol!$B$1653="","",[2]Baskol!$B$1653)</f>
        <v/>
      </c>
      <c r="V1650">
        <f>IF([2]Baskol!$C$1653="","",[2]Baskol!$C$1653)</f>
        <v/>
      </c>
      <c r="W1650">
        <f>IF([2]Baskol!$D$1653="","",[2]Baskol!$D$1653)</f>
        <v/>
      </c>
      <c r="X1650">
        <f>IF([2]Baskol!$E$1653="","",[2]Baskol!$E$1653)</f>
        <v/>
      </c>
      <c r="Y1650">
        <f>IF([2]Baskol!$G$1653="","",[2]Baskol!$G$1653)</f>
        <v/>
      </c>
      <c r="Z1650">
        <f>IF([2]Baskol!$I$1653="","",[2]Baskol!$I$1653)</f>
        <v/>
      </c>
      <c r="AA1650">
        <f>IF([2]Baskol!$J$1653="","",[2]Baskol!$J$1653)</f>
        <v/>
      </c>
      <c r="AB1650">
        <f>IF([2]Baskol!$K$1653="","",[2]Baskol!$K$1653)</f>
        <v/>
      </c>
      <c r="AC1650">
        <f>IF([2]Baskol!$L$1653="","",[2]Baskol!$L$1653)</f>
        <v/>
      </c>
      <c r="AD1650">
        <f>IF([2]Baskol!$N$1653="","",[2]Baskol!$N$1653)</f>
        <v/>
      </c>
      <c r="AE1650">
        <f>IF([2]Baskol!$O$1653="","",[2]Baskol!$O$1653)</f>
        <v/>
      </c>
      <c r="AG1650">
        <f>IF([3]Entry!$C$1653="","",[3]Entry!$C$1653)</f>
        <v/>
      </c>
      <c r="AH1650">
        <f>IF([3]Entry!$D$1653="","",[3]Entry!$D$1653)</f>
        <v/>
      </c>
      <c r="AI1650">
        <f>IF([3]Entry!$E$1653="","",[3]Entry!$E$1653)</f>
        <v/>
      </c>
      <c r="AJ1650">
        <f>IF([3]Entry!$G$1653="","",[3]Entry!$G$1653)</f>
        <v/>
      </c>
      <c r="AK1650">
        <f>IF([3]Entry!$K$1653="","",[3]Entry!$K$1653)</f>
        <v/>
      </c>
      <c r="AL1650">
        <f>IF([3]Entry!$L$1653="","",[3]Entry!$L$1653)</f>
        <v/>
      </c>
      <c r="AM1650">
        <f>IF([3]Entry!$M$1653="","",[3]Entry!$M$1653)</f>
        <v/>
      </c>
      <c r="AN1650">
        <f>IF([3]Entry!$N$1653="","",[3]Entry!$N$1653)</f>
        <v/>
      </c>
      <c r="AO1650">
        <f>IF([3]Entry!$R$1653="","",[3]Entry!$R$1653)</f>
        <v/>
      </c>
    </row>
    <row r="1651">
      <c r="U1651">
        <f>IF([2]Baskol!$B$1654="","",[2]Baskol!$B$1654)</f>
        <v/>
      </c>
      <c r="V1651">
        <f>IF([2]Baskol!$C$1654="","",[2]Baskol!$C$1654)</f>
        <v/>
      </c>
      <c r="W1651">
        <f>IF([2]Baskol!$D$1654="","",[2]Baskol!$D$1654)</f>
        <v/>
      </c>
      <c r="X1651">
        <f>IF([2]Baskol!$E$1654="","",[2]Baskol!$E$1654)</f>
        <v/>
      </c>
      <c r="Y1651">
        <f>IF([2]Baskol!$G$1654="","",[2]Baskol!$G$1654)</f>
        <v/>
      </c>
      <c r="Z1651">
        <f>IF([2]Baskol!$I$1654="","",[2]Baskol!$I$1654)</f>
        <v/>
      </c>
      <c r="AA1651">
        <f>IF([2]Baskol!$J$1654="","",[2]Baskol!$J$1654)</f>
        <v/>
      </c>
      <c r="AB1651">
        <f>IF([2]Baskol!$K$1654="","",[2]Baskol!$K$1654)</f>
        <v/>
      </c>
      <c r="AC1651">
        <f>IF([2]Baskol!$L$1654="","",[2]Baskol!$L$1654)</f>
        <v/>
      </c>
      <c r="AD1651">
        <f>IF([2]Baskol!$N$1654="","",[2]Baskol!$N$1654)</f>
        <v/>
      </c>
      <c r="AE1651">
        <f>IF([2]Baskol!$O$1654="","",[2]Baskol!$O$1654)</f>
        <v/>
      </c>
      <c r="AG1651">
        <f>IF([3]Entry!$C$1654="","",[3]Entry!$C$1654)</f>
        <v/>
      </c>
      <c r="AH1651">
        <f>IF([3]Entry!$D$1654="","",[3]Entry!$D$1654)</f>
        <v/>
      </c>
      <c r="AI1651">
        <f>IF([3]Entry!$E$1654="","",[3]Entry!$E$1654)</f>
        <v/>
      </c>
      <c r="AJ1651">
        <f>IF([3]Entry!$G$1654="","",[3]Entry!$G$1654)</f>
        <v/>
      </c>
      <c r="AK1651">
        <f>IF([3]Entry!$K$1654="","",[3]Entry!$K$1654)</f>
        <v/>
      </c>
      <c r="AL1651">
        <f>IF([3]Entry!$L$1654="","",[3]Entry!$L$1654)</f>
        <v/>
      </c>
      <c r="AM1651">
        <f>IF([3]Entry!$M$1654="","",[3]Entry!$M$1654)</f>
        <v/>
      </c>
      <c r="AN1651">
        <f>IF([3]Entry!$N$1654="","",[3]Entry!$N$1654)</f>
        <v/>
      </c>
      <c r="AO1651">
        <f>IF([3]Entry!$R$1654="","",[3]Entry!$R$1654)</f>
        <v/>
      </c>
    </row>
    <row r="1652">
      <c r="U1652">
        <f>IF([2]Baskol!$B$1655="","",[2]Baskol!$B$1655)</f>
        <v/>
      </c>
      <c r="V1652">
        <f>IF([2]Baskol!$C$1655="","",[2]Baskol!$C$1655)</f>
        <v/>
      </c>
      <c r="W1652">
        <f>IF([2]Baskol!$D$1655="","",[2]Baskol!$D$1655)</f>
        <v/>
      </c>
      <c r="X1652">
        <f>IF([2]Baskol!$E$1655="","",[2]Baskol!$E$1655)</f>
        <v/>
      </c>
      <c r="Y1652">
        <f>IF([2]Baskol!$G$1655="","",[2]Baskol!$G$1655)</f>
        <v/>
      </c>
      <c r="Z1652">
        <f>IF([2]Baskol!$I$1655="","",[2]Baskol!$I$1655)</f>
        <v/>
      </c>
      <c r="AA1652">
        <f>IF([2]Baskol!$J$1655="","",[2]Baskol!$J$1655)</f>
        <v/>
      </c>
      <c r="AB1652">
        <f>IF([2]Baskol!$K$1655="","",[2]Baskol!$K$1655)</f>
        <v/>
      </c>
      <c r="AC1652">
        <f>IF([2]Baskol!$L$1655="","",[2]Baskol!$L$1655)</f>
        <v/>
      </c>
      <c r="AD1652">
        <f>IF([2]Baskol!$N$1655="","",[2]Baskol!$N$1655)</f>
        <v/>
      </c>
      <c r="AE1652">
        <f>IF([2]Baskol!$O$1655="","",[2]Baskol!$O$1655)</f>
        <v/>
      </c>
      <c r="AG1652">
        <f>IF([3]Entry!$C$1655="","",[3]Entry!$C$1655)</f>
        <v/>
      </c>
      <c r="AH1652">
        <f>IF([3]Entry!$D$1655="","",[3]Entry!$D$1655)</f>
        <v/>
      </c>
      <c r="AI1652">
        <f>IF([3]Entry!$E$1655="","",[3]Entry!$E$1655)</f>
        <v/>
      </c>
      <c r="AJ1652">
        <f>IF([3]Entry!$G$1655="","",[3]Entry!$G$1655)</f>
        <v/>
      </c>
      <c r="AK1652">
        <f>IF([3]Entry!$K$1655="","",[3]Entry!$K$1655)</f>
        <v/>
      </c>
      <c r="AL1652">
        <f>IF([3]Entry!$L$1655="","",[3]Entry!$L$1655)</f>
        <v/>
      </c>
      <c r="AM1652">
        <f>IF([3]Entry!$M$1655="","",[3]Entry!$M$1655)</f>
        <v/>
      </c>
      <c r="AN1652">
        <f>IF([3]Entry!$N$1655="","",[3]Entry!$N$1655)</f>
        <v/>
      </c>
      <c r="AO1652">
        <f>IF([3]Entry!$R$1655="","",[3]Entry!$R$1655)</f>
        <v/>
      </c>
    </row>
    <row r="1653">
      <c r="U1653">
        <f>IF([2]Baskol!$B$1656="","",[2]Baskol!$B$1656)</f>
        <v/>
      </c>
      <c r="V1653">
        <f>IF([2]Baskol!$C$1656="","",[2]Baskol!$C$1656)</f>
        <v/>
      </c>
      <c r="W1653">
        <f>IF([2]Baskol!$D$1656="","",[2]Baskol!$D$1656)</f>
        <v/>
      </c>
      <c r="X1653">
        <f>IF([2]Baskol!$E$1656="","",[2]Baskol!$E$1656)</f>
        <v/>
      </c>
      <c r="Y1653">
        <f>IF([2]Baskol!$G$1656="","",[2]Baskol!$G$1656)</f>
        <v/>
      </c>
      <c r="Z1653">
        <f>IF([2]Baskol!$I$1656="","",[2]Baskol!$I$1656)</f>
        <v/>
      </c>
      <c r="AA1653">
        <f>IF([2]Baskol!$J$1656="","",[2]Baskol!$J$1656)</f>
        <v/>
      </c>
      <c r="AB1653">
        <f>IF([2]Baskol!$K$1656="","",[2]Baskol!$K$1656)</f>
        <v/>
      </c>
      <c r="AC1653">
        <f>IF([2]Baskol!$L$1656="","",[2]Baskol!$L$1656)</f>
        <v/>
      </c>
      <c r="AD1653">
        <f>IF([2]Baskol!$N$1656="","",[2]Baskol!$N$1656)</f>
        <v/>
      </c>
      <c r="AE1653">
        <f>IF([2]Baskol!$O$1656="","",[2]Baskol!$O$1656)</f>
        <v/>
      </c>
      <c r="AG1653">
        <f>IF([3]Entry!$C$1656="","",[3]Entry!$C$1656)</f>
        <v/>
      </c>
      <c r="AH1653">
        <f>IF([3]Entry!$D$1656="","",[3]Entry!$D$1656)</f>
        <v/>
      </c>
      <c r="AI1653">
        <f>IF([3]Entry!$E$1656="","",[3]Entry!$E$1656)</f>
        <v/>
      </c>
      <c r="AJ1653">
        <f>IF([3]Entry!$G$1656="","",[3]Entry!$G$1656)</f>
        <v/>
      </c>
      <c r="AK1653">
        <f>IF([3]Entry!$K$1656="","",[3]Entry!$K$1656)</f>
        <v/>
      </c>
      <c r="AL1653">
        <f>IF([3]Entry!$L$1656="","",[3]Entry!$L$1656)</f>
        <v/>
      </c>
      <c r="AM1653">
        <f>IF([3]Entry!$M$1656="","",[3]Entry!$M$1656)</f>
        <v/>
      </c>
      <c r="AN1653">
        <f>IF([3]Entry!$N$1656="","",[3]Entry!$N$1656)</f>
        <v/>
      </c>
      <c r="AO1653">
        <f>IF([3]Entry!$R$1656="","",[3]Entry!$R$1656)</f>
        <v/>
      </c>
    </row>
    <row r="1654">
      <c r="U1654">
        <f>IF([2]Baskol!$B$1657="","",[2]Baskol!$B$1657)</f>
        <v/>
      </c>
      <c r="V1654">
        <f>IF([2]Baskol!$C$1657="","",[2]Baskol!$C$1657)</f>
        <v/>
      </c>
      <c r="W1654">
        <f>IF([2]Baskol!$D$1657="","",[2]Baskol!$D$1657)</f>
        <v/>
      </c>
      <c r="X1654">
        <f>IF([2]Baskol!$E$1657="","",[2]Baskol!$E$1657)</f>
        <v/>
      </c>
      <c r="Y1654">
        <f>IF([2]Baskol!$G$1657="","",[2]Baskol!$G$1657)</f>
        <v/>
      </c>
      <c r="Z1654">
        <f>IF([2]Baskol!$I$1657="","",[2]Baskol!$I$1657)</f>
        <v/>
      </c>
      <c r="AA1654">
        <f>IF([2]Baskol!$J$1657="","",[2]Baskol!$J$1657)</f>
        <v/>
      </c>
      <c r="AB1654">
        <f>IF([2]Baskol!$K$1657="","",[2]Baskol!$K$1657)</f>
        <v/>
      </c>
      <c r="AC1654">
        <f>IF([2]Baskol!$L$1657="","",[2]Baskol!$L$1657)</f>
        <v/>
      </c>
      <c r="AD1654">
        <f>IF([2]Baskol!$N$1657="","",[2]Baskol!$N$1657)</f>
        <v/>
      </c>
      <c r="AE1654">
        <f>IF([2]Baskol!$O$1657="","",[2]Baskol!$O$1657)</f>
        <v/>
      </c>
      <c r="AG1654">
        <f>IF([3]Entry!$C$1657="","",[3]Entry!$C$1657)</f>
        <v/>
      </c>
      <c r="AH1654">
        <f>IF([3]Entry!$D$1657="","",[3]Entry!$D$1657)</f>
        <v/>
      </c>
      <c r="AI1654">
        <f>IF([3]Entry!$E$1657="","",[3]Entry!$E$1657)</f>
        <v/>
      </c>
      <c r="AJ1654">
        <f>IF([3]Entry!$G$1657="","",[3]Entry!$G$1657)</f>
        <v/>
      </c>
      <c r="AK1654">
        <f>IF([3]Entry!$K$1657="","",[3]Entry!$K$1657)</f>
        <v/>
      </c>
      <c r="AL1654">
        <f>IF([3]Entry!$L$1657="","",[3]Entry!$L$1657)</f>
        <v/>
      </c>
      <c r="AM1654">
        <f>IF([3]Entry!$M$1657="","",[3]Entry!$M$1657)</f>
        <v/>
      </c>
      <c r="AN1654">
        <f>IF([3]Entry!$N$1657="","",[3]Entry!$N$1657)</f>
        <v/>
      </c>
      <c r="AO1654">
        <f>IF([3]Entry!$R$1657="","",[3]Entry!$R$1657)</f>
        <v/>
      </c>
    </row>
    <row r="1655">
      <c r="U1655">
        <f>IF([2]Baskol!$B$1658="","",[2]Baskol!$B$1658)</f>
        <v/>
      </c>
      <c r="V1655">
        <f>IF([2]Baskol!$C$1658="","",[2]Baskol!$C$1658)</f>
        <v/>
      </c>
      <c r="W1655">
        <f>IF([2]Baskol!$D$1658="","",[2]Baskol!$D$1658)</f>
        <v/>
      </c>
      <c r="X1655">
        <f>IF([2]Baskol!$E$1658="","",[2]Baskol!$E$1658)</f>
        <v/>
      </c>
      <c r="Y1655">
        <f>IF([2]Baskol!$G$1658="","",[2]Baskol!$G$1658)</f>
        <v/>
      </c>
      <c r="Z1655">
        <f>IF([2]Baskol!$I$1658="","",[2]Baskol!$I$1658)</f>
        <v/>
      </c>
      <c r="AA1655">
        <f>IF([2]Baskol!$J$1658="","",[2]Baskol!$J$1658)</f>
        <v/>
      </c>
      <c r="AB1655">
        <f>IF([2]Baskol!$K$1658="","",[2]Baskol!$K$1658)</f>
        <v/>
      </c>
      <c r="AC1655">
        <f>IF([2]Baskol!$L$1658="","",[2]Baskol!$L$1658)</f>
        <v/>
      </c>
      <c r="AD1655">
        <f>IF([2]Baskol!$N$1658="","",[2]Baskol!$N$1658)</f>
        <v/>
      </c>
      <c r="AE1655">
        <f>IF([2]Baskol!$O$1658="","",[2]Baskol!$O$1658)</f>
        <v/>
      </c>
      <c r="AG1655">
        <f>IF([3]Entry!$C$1658="","",[3]Entry!$C$1658)</f>
        <v/>
      </c>
      <c r="AH1655">
        <f>IF([3]Entry!$D$1658="","",[3]Entry!$D$1658)</f>
        <v/>
      </c>
      <c r="AI1655">
        <f>IF([3]Entry!$E$1658="","",[3]Entry!$E$1658)</f>
        <v/>
      </c>
      <c r="AJ1655">
        <f>IF([3]Entry!$G$1658="","",[3]Entry!$G$1658)</f>
        <v/>
      </c>
      <c r="AK1655">
        <f>IF([3]Entry!$K$1658="","",[3]Entry!$K$1658)</f>
        <v/>
      </c>
      <c r="AL1655">
        <f>IF([3]Entry!$L$1658="","",[3]Entry!$L$1658)</f>
        <v/>
      </c>
      <c r="AM1655">
        <f>IF([3]Entry!$M$1658="","",[3]Entry!$M$1658)</f>
        <v/>
      </c>
      <c r="AN1655">
        <f>IF([3]Entry!$N$1658="","",[3]Entry!$N$1658)</f>
        <v/>
      </c>
      <c r="AO1655">
        <f>IF([3]Entry!$R$1658="","",[3]Entry!$R$1658)</f>
        <v/>
      </c>
    </row>
    <row r="1656">
      <c r="U1656">
        <f>IF([2]Baskol!$B$1659="","",[2]Baskol!$B$1659)</f>
        <v/>
      </c>
      <c r="V1656">
        <f>IF([2]Baskol!$C$1659="","",[2]Baskol!$C$1659)</f>
        <v/>
      </c>
      <c r="W1656">
        <f>IF([2]Baskol!$D$1659="","",[2]Baskol!$D$1659)</f>
        <v/>
      </c>
      <c r="X1656">
        <f>IF([2]Baskol!$E$1659="","",[2]Baskol!$E$1659)</f>
        <v/>
      </c>
      <c r="Y1656">
        <f>IF([2]Baskol!$G$1659="","",[2]Baskol!$G$1659)</f>
        <v/>
      </c>
      <c r="Z1656">
        <f>IF([2]Baskol!$I$1659="","",[2]Baskol!$I$1659)</f>
        <v/>
      </c>
      <c r="AA1656">
        <f>IF([2]Baskol!$J$1659="","",[2]Baskol!$J$1659)</f>
        <v/>
      </c>
      <c r="AB1656">
        <f>IF([2]Baskol!$K$1659="","",[2]Baskol!$K$1659)</f>
        <v/>
      </c>
      <c r="AC1656">
        <f>IF([2]Baskol!$L$1659="","",[2]Baskol!$L$1659)</f>
        <v/>
      </c>
      <c r="AD1656">
        <f>IF([2]Baskol!$N$1659="","",[2]Baskol!$N$1659)</f>
        <v/>
      </c>
      <c r="AE1656">
        <f>IF([2]Baskol!$O$1659="","",[2]Baskol!$O$1659)</f>
        <v/>
      </c>
      <c r="AG1656">
        <f>IF([3]Entry!$C$1659="","",[3]Entry!$C$1659)</f>
        <v/>
      </c>
      <c r="AH1656">
        <f>IF([3]Entry!$D$1659="","",[3]Entry!$D$1659)</f>
        <v/>
      </c>
      <c r="AI1656">
        <f>IF([3]Entry!$E$1659="","",[3]Entry!$E$1659)</f>
        <v/>
      </c>
      <c r="AJ1656">
        <f>IF([3]Entry!$G$1659="","",[3]Entry!$G$1659)</f>
        <v/>
      </c>
      <c r="AK1656">
        <f>IF([3]Entry!$K$1659="","",[3]Entry!$K$1659)</f>
        <v/>
      </c>
      <c r="AL1656">
        <f>IF([3]Entry!$L$1659="","",[3]Entry!$L$1659)</f>
        <v/>
      </c>
      <c r="AM1656">
        <f>IF([3]Entry!$M$1659="","",[3]Entry!$M$1659)</f>
        <v/>
      </c>
      <c r="AN1656">
        <f>IF([3]Entry!$N$1659="","",[3]Entry!$N$1659)</f>
        <v/>
      </c>
      <c r="AO1656">
        <f>IF([3]Entry!$R$1659="","",[3]Entry!$R$1659)</f>
        <v/>
      </c>
    </row>
    <row r="1657">
      <c r="U1657">
        <f>IF([2]Baskol!$B$1660="","",[2]Baskol!$B$1660)</f>
        <v/>
      </c>
      <c r="V1657">
        <f>IF([2]Baskol!$C$1660="","",[2]Baskol!$C$1660)</f>
        <v/>
      </c>
      <c r="W1657">
        <f>IF([2]Baskol!$D$1660="","",[2]Baskol!$D$1660)</f>
        <v/>
      </c>
      <c r="X1657">
        <f>IF([2]Baskol!$E$1660="","",[2]Baskol!$E$1660)</f>
        <v/>
      </c>
      <c r="Y1657">
        <f>IF([2]Baskol!$G$1660="","",[2]Baskol!$G$1660)</f>
        <v/>
      </c>
      <c r="Z1657">
        <f>IF([2]Baskol!$I$1660="","",[2]Baskol!$I$1660)</f>
        <v/>
      </c>
      <c r="AA1657">
        <f>IF([2]Baskol!$J$1660="","",[2]Baskol!$J$1660)</f>
        <v/>
      </c>
      <c r="AB1657">
        <f>IF([2]Baskol!$K$1660="","",[2]Baskol!$K$1660)</f>
        <v/>
      </c>
      <c r="AC1657">
        <f>IF([2]Baskol!$L$1660="","",[2]Baskol!$L$1660)</f>
        <v/>
      </c>
      <c r="AD1657">
        <f>IF([2]Baskol!$N$1660="","",[2]Baskol!$N$1660)</f>
        <v/>
      </c>
      <c r="AE1657">
        <f>IF([2]Baskol!$O$1660="","",[2]Baskol!$O$1660)</f>
        <v/>
      </c>
      <c r="AG1657">
        <f>IF([3]Entry!$C$1660="","",[3]Entry!$C$1660)</f>
        <v/>
      </c>
      <c r="AH1657">
        <f>IF([3]Entry!$D$1660="","",[3]Entry!$D$1660)</f>
        <v/>
      </c>
      <c r="AI1657">
        <f>IF([3]Entry!$E$1660="","",[3]Entry!$E$1660)</f>
        <v/>
      </c>
      <c r="AJ1657">
        <f>IF([3]Entry!$G$1660="","",[3]Entry!$G$1660)</f>
        <v/>
      </c>
      <c r="AK1657">
        <f>IF([3]Entry!$K$1660="","",[3]Entry!$K$1660)</f>
        <v/>
      </c>
      <c r="AL1657">
        <f>IF([3]Entry!$L$1660="","",[3]Entry!$L$1660)</f>
        <v/>
      </c>
      <c r="AM1657">
        <f>IF([3]Entry!$M$1660="","",[3]Entry!$M$1660)</f>
        <v/>
      </c>
      <c r="AN1657">
        <f>IF([3]Entry!$N$1660="","",[3]Entry!$N$1660)</f>
        <v/>
      </c>
      <c r="AO1657">
        <f>IF([3]Entry!$R$1660="","",[3]Entry!$R$1660)</f>
        <v/>
      </c>
    </row>
    <row r="1658">
      <c r="U1658">
        <f>IF([2]Baskol!$B$1661="","",[2]Baskol!$B$1661)</f>
        <v/>
      </c>
      <c r="V1658">
        <f>IF([2]Baskol!$C$1661="","",[2]Baskol!$C$1661)</f>
        <v/>
      </c>
      <c r="W1658">
        <f>IF([2]Baskol!$D$1661="","",[2]Baskol!$D$1661)</f>
        <v/>
      </c>
      <c r="X1658">
        <f>IF([2]Baskol!$E$1661="","",[2]Baskol!$E$1661)</f>
        <v/>
      </c>
      <c r="Y1658">
        <f>IF([2]Baskol!$G$1661="","",[2]Baskol!$G$1661)</f>
        <v/>
      </c>
      <c r="Z1658">
        <f>IF([2]Baskol!$I$1661="","",[2]Baskol!$I$1661)</f>
        <v/>
      </c>
      <c r="AA1658">
        <f>IF([2]Baskol!$J$1661="","",[2]Baskol!$J$1661)</f>
        <v/>
      </c>
      <c r="AB1658">
        <f>IF([2]Baskol!$K$1661="","",[2]Baskol!$K$1661)</f>
        <v/>
      </c>
      <c r="AC1658">
        <f>IF([2]Baskol!$L$1661="","",[2]Baskol!$L$1661)</f>
        <v/>
      </c>
      <c r="AD1658">
        <f>IF([2]Baskol!$N$1661="","",[2]Baskol!$N$1661)</f>
        <v/>
      </c>
      <c r="AE1658">
        <f>IF([2]Baskol!$O$1661="","",[2]Baskol!$O$1661)</f>
        <v/>
      </c>
      <c r="AG1658">
        <f>IF([3]Entry!$C$1661="","",[3]Entry!$C$1661)</f>
        <v/>
      </c>
      <c r="AH1658">
        <f>IF([3]Entry!$D$1661="","",[3]Entry!$D$1661)</f>
        <v/>
      </c>
      <c r="AI1658">
        <f>IF([3]Entry!$E$1661="","",[3]Entry!$E$1661)</f>
        <v/>
      </c>
      <c r="AJ1658">
        <f>IF([3]Entry!$G$1661="","",[3]Entry!$G$1661)</f>
        <v/>
      </c>
      <c r="AK1658">
        <f>IF([3]Entry!$K$1661="","",[3]Entry!$K$1661)</f>
        <v/>
      </c>
      <c r="AL1658">
        <f>IF([3]Entry!$L$1661="","",[3]Entry!$L$1661)</f>
        <v/>
      </c>
      <c r="AM1658">
        <f>IF([3]Entry!$M$1661="","",[3]Entry!$M$1661)</f>
        <v/>
      </c>
      <c r="AN1658">
        <f>IF([3]Entry!$N$1661="","",[3]Entry!$N$1661)</f>
        <v/>
      </c>
      <c r="AO1658">
        <f>IF([3]Entry!$R$1661="","",[3]Entry!$R$1661)</f>
        <v/>
      </c>
    </row>
    <row r="1659">
      <c r="U1659">
        <f>IF([2]Baskol!$B$1662="","",[2]Baskol!$B$1662)</f>
        <v/>
      </c>
      <c r="V1659">
        <f>IF([2]Baskol!$C$1662="","",[2]Baskol!$C$1662)</f>
        <v/>
      </c>
      <c r="W1659">
        <f>IF([2]Baskol!$D$1662="","",[2]Baskol!$D$1662)</f>
        <v/>
      </c>
      <c r="X1659">
        <f>IF([2]Baskol!$E$1662="","",[2]Baskol!$E$1662)</f>
        <v/>
      </c>
      <c r="Y1659">
        <f>IF([2]Baskol!$G$1662="","",[2]Baskol!$G$1662)</f>
        <v/>
      </c>
      <c r="Z1659">
        <f>IF([2]Baskol!$I$1662="","",[2]Baskol!$I$1662)</f>
        <v/>
      </c>
      <c r="AA1659">
        <f>IF([2]Baskol!$J$1662="","",[2]Baskol!$J$1662)</f>
        <v/>
      </c>
      <c r="AB1659">
        <f>IF([2]Baskol!$K$1662="","",[2]Baskol!$K$1662)</f>
        <v/>
      </c>
      <c r="AC1659">
        <f>IF([2]Baskol!$L$1662="","",[2]Baskol!$L$1662)</f>
        <v/>
      </c>
      <c r="AD1659">
        <f>IF([2]Baskol!$N$1662="","",[2]Baskol!$N$1662)</f>
        <v/>
      </c>
      <c r="AE1659">
        <f>IF([2]Baskol!$O$1662="","",[2]Baskol!$O$1662)</f>
        <v/>
      </c>
      <c r="AG1659">
        <f>IF([3]Entry!$C$1662="","",[3]Entry!$C$1662)</f>
        <v/>
      </c>
      <c r="AH1659">
        <f>IF([3]Entry!$D$1662="","",[3]Entry!$D$1662)</f>
        <v/>
      </c>
      <c r="AI1659">
        <f>IF([3]Entry!$E$1662="","",[3]Entry!$E$1662)</f>
        <v/>
      </c>
      <c r="AJ1659">
        <f>IF([3]Entry!$G$1662="","",[3]Entry!$G$1662)</f>
        <v/>
      </c>
      <c r="AK1659">
        <f>IF([3]Entry!$K$1662="","",[3]Entry!$K$1662)</f>
        <v/>
      </c>
      <c r="AL1659">
        <f>IF([3]Entry!$L$1662="","",[3]Entry!$L$1662)</f>
        <v/>
      </c>
      <c r="AM1659">
        <f>IF([3]Entry!$M$1662="","",[3]Entry!$M$1662)</f>
        <v/>
      </c>
      <c r="AN1659">
        <f>IF([3]Entry!$N$1662="","",[3]Entry!$N$1662)</f>
        <v/>
      </c>
      <c r="AO1659">
        <f>IF([3]Entry!$R$1662="","",[3]Entry!$R$1662)</f>
        <v/>
      </c>
    </row>
    <row r="1660">
      <c r="U1660">
        <f>IF([2]Baskol!$B$1663="","",[2]Baskol!$B$1663)</f>
        <v/>
      </c>
      <c r="V1660">
        <f>IF([2]Baskol!$C$1663="","",[2]Baskol!$C$1663)</f>
        <v/>
      </c>
      <c r="W1660">
        <f>IF([2]Baskol!$D$1663="","",[2]Baskol!$D$1663)</f>
        <v/>
      </c>
      <c r="X1660">
        <f>IF([2]Baskol!$E$1663="","",[2]Baskol!$E$1663)</f>
        <v/>
      </c>
      <c r="Y1660">
        <f>IF([2]Baskol!$G$1663="","",[2]Baskol!$G$1663)</f>
        <v/>
      </c>
      <c r="Z1660">
        <f>IF([2]Baskol!$I$1663="","",[2]Baskol!$I$1663)</f>
        <v/>
      </c>
      <c r="AA1660">
        <f>IF([2]Baskol!$J$1663="","",[2]Baskol!$J$1663)</f>
        <v/>
      </c>
      <c r="AB1660">
        <f>IF([2]Baskol!$K$1663="","",[2]Baskol!$K$1663)</f>
        <v/>
      </c>
      <c r="AC1660">
        <f>IF([2]Baskol!$L$1663="","",[2]Baskol!$L$1663)</f>
        <v/>
      </c>
      <c r="AD1660">
        <f>IF([2]Baskol!$N$1663="","",[2]Baskol!$N$1663)</f>
        <v/>
      </c>
      <c r="AE1660">
        <f>IF([2]Baskol!$O$1663="","",[2]Baskol!$O$1663)</f>
        <v/>
      </c>
      <c r="AG1660">
        <f>IF([3]Entry!$C$1663="","",[3]Entry!$C$1663)</f>
        <v/>
      </c>
      <c r="AH1660">
        <f>IF([3]Entry!$D$1663="","",[3]Entry!$D$1663)</f>
        <v/>
      </c>
      <c r="AI1660">
        <f>IF([3]Entry!$E$1663="","",[3]Entry!$E$1663)</f>
        <v/>
      </c>
      <c r="AJ1660">
        <f>IF([3]Entry!$G$1663="","",[3]Entry!$G$1663)</f>
        <v/>
      </c>
      <c r="AK1660">
        <f>IF([3]Entry!$K$1663="","",[3]Entry!$K$1663)</f>
        <v/>
      </c>
      <c r="AL1660">
        <f>IF([3]Entry!$L$1663="","",[3]Entry!$L$1663)</f>
        <v/>
      </c>
      <c r="AM1660">
        <f>IF([3]Entry!$M$1663="","",[3]Entry!$M$1663)</f>
        <v/>
      </c>
      <c r="AN1660">
        <f>IF([3]Entry!$N$1663="","",[3]Entry!$N$1663)</f>
        <v/>
      </c>
      <c r="AO1660">
        <f>IF([3]Entry!$R$1663="","",[3]Entry!$R$1663)</f>
        <v/>
      </c>
    </row>
    <row r="1661">
      <c r="U1661">
        <f>IF([2]Baskol!$B$1664="","",[2]Baskol!$B$1664)</f>
        <v/>
      </c>
      <c r="V1661">
        <f>IF([2]Baskol!$C$1664="","",[2]Baskol!$C$1664)</f>
        <v/>
      </c>
      <c r="W1661">
        <f>IF([2]Baskol!$D$1664="","",[2]Baskol!$D$1664)</f>
        <v/>
      </c>
      <c r="X1661">
        <f>IF([2]Baskol!$E$1664="","",[2]Baskol!$E$1664)</f>
        <v/>
      </c>
      <c r="Y1661">
        <f>IF([2]Baskol!$G$1664="","",[2]Baskol!$G$1664)</f>
        <v/>
      </c>
      <c r="Z1661">
        <f>IF([2]Baskol!$I$1664="","",[2]Baskol!$I$1664)</f>
        <v/>
      </c>
      <c r="AA1661">
        <f>IF([2]Baskol!$J$1664="","",[2]Baskol!$J$1664)</f>
        <v/>
      </c>
      <c r="AB1661">
        <f>IF([2]Baskol!$K$1664="","",[2]Baskol!$K$1664)</f>
        <v/>
      </c>
      <c r="AC1661">
        <f>IF([2]Baskol!$L$1664="","",[2]Baskol!$L$1664)</f>
        <v/>
      </c>
      <c r="AD1661">
        <f>IF([2]Baskol!$N$1664="","",[2]Baskol!$N$1664)</f>
        <v/>
      </c>
      <c r="AE1661">
        <f>IF([2]Baskol!$O$1664="","",[2]Baskol!$O$1664)</f>
        <v/>
      </c>
      <c r="AG1661">
        <f>IF([3]Entry!$C$1664="","",[3]Entry!$C$1664)</f>
        <v/>
      </c>
      <c r="AH1661">
        <f>IF([3]Entry!$D$1664="","",[3]Entry!$D$1664)</f>
        <v/>
      </c>
      <c r="AI1661">
        <f>IF([3]Entry!$E$1664="","",[3]Entry!$E$1664)</f>
        <v/>
      </c>
      <c r="AJ1661">
        <f>IF([3]Entry!$G$1664="","",[3]Entry!$G$1664)</f>
        <v/>
      </c>
      <c r="AK1661">
        <f>IF([3]Entry!$K$1664="","",[3]Entry!$K$1664)</f>
        <v/>
      </c>
      <c r="AL1661">
        <f>IF([3]Entry!$L$1664="","",[3]Entry!$L$1664)</f>
        <v/>
      </c>
      <c r="AM1661">
        <f>IF([3]Entry!$M$1664="","",[3]Entry!$M$1664)</f>
        <v/>
      </c>
      <c r="AN1661">
        <f>IF([3]Entry!$N$1664="","",[3]Entry!$N$1664)</f>
        <v/>
      </c>
      <c r="AO1661">
        <f>IF([3]Entry!$R$1664="","",[3]Entry!$R$1664)</f>
        <v/>
      </c>
    </row>
    <row r="1662">
      <c r="U1662">
        <f>IF([2]Baskol!$B$1665="","",[2]Baskol!$B$1665)</f>
        <v/>
      </c>
      <c r="V1662">
        <f>IF([2]Baskol!$C$1665="","",[2]Baskol!$C$1665)</f>
        <v/>
      </c>
      <c r="W1662">
        <f>IF([2]Baskol!$D$1665="","",[2]Baskol!$D$1665)</f>
        <v/>
      </c>
      <c r="X1662">
        <f>IF([2]Baskol!$E$1665="","",[2]Baskol!$E$1665)</f>
        <v/>
      </c>
      <c r="Y1662">
        <f>IF([2]Baskol!$G$1665="","",[2]Baskol!$G$1665)</f>
        <v/>
      </c>
      <c r="Z1662">
        <f>IF([2]Baskol!$I$1665="","",[2]Baskol!$I$1665)</f>
        <v/>
      </c>
      <c r="AA1662">
        <f>IF([2]Baskol!$J$1665="","",[2]Baskol!$J$1665)</f>
        <v/>
      </c>
      <c r="AB1662">
        <f>IF([2]Baskol!$K$1665="","",[2]Baskol!$K$1665)</f>
        <v/>
      </c>
      <c r="AC1662">
        <f>IF([2]Baskol!$L$1665="","",[2]Baskol!$L$1665)</f>
        <v/>
      </c>
      <c r="AD1662">
        <f>IF([2]Baskol!$N$1665="","",[2]Baskol!$N$1665)</f>
        <v/>
      </c>
      <c r="AE1662">
        <f>IF([2]Baskol!$O$1665="","",[2]Baskol!$O$1665)</f>
        <v/>
      </c>
      <c r="AG1662">
        <f>IF([3]Entry!$C$1665="","",[3]Entry!$C$1665)</f>
        <v/>
      </c>
      <c r="AH1662">
        <f>IF([3]Entry!$D$1665="","",[3]Entry!$D$1665)</f>
        <v/>
      </c>
      <c r="AI1662">
        <f>IF([3]Entry!$E$1665="","",[3]Entry!$E$1665)</f>
        <v/>
      </c>
      <c r="AJ1662">
        <f>IF([3]Entry!$G$1665="","",[3]Entry!$G$1665)</f>
        <v/>
      </c>
      <c r="AK1662">
        <f>IF([3]Entry!$K$1665="","",[3]Entry!$K$1665)</f>
        <v/>
      </c>
      <c r="AL1662">
        <f>IF([3]Entry!$L$1665="","",[3]Entry!$L$1665)</f>
        <v/>
      </c>
      <c r="AM1662">
        <f>IF([3]Entry!$M$1665="","",[3]Entry!$M$1665)</f>
        <v/>
      </c>
      <c r="AN1662">
        <f>IF([3]Entry!$N$1665="","",[3]Entry!$N$1665)</f>
        <v/>
      </c>
      <c r="AO1662">
        <f>IF([3]Entry!$R$1665="","",[3]Entry!$R$1665)</f>
        <v/>
      </c>
    </row>
    <row r="1663">
      <c r="U1663">
        <f>IF([2]Baskol!$B$1666="","",[2]Baskol!$B$1666)</f>
        <v/>
      </c>
      <c r="V1663">
        <f>IF([2]Baskol!$C$1666="","",[2]Baskol!$C$1666)</f>
        <v/>
      </c>
      <c r="W1663">
        <f>IF([2]Baskol!$D$1666="","",[2]Baskol!$D$1666)</f>
        <v/>
      </c>
      <c r="X1663">
        <f>IF([2]Baskol!$E$1666="","",[2]Baskol!$E$1666)</f>
        <v/>
      </c>
      <c r="Y1663">
        <f>IF([2]Baskol!$G$1666="","",[2]Baskol!$G$1666)</f>
        <v/>
      </c>
      <c r="Z1663">
        <f>IF([2]Baskol!$I$1666="","",[2]Baskol!$I$1666)</f>
        <v/>
      </c>
      <c r="AA1663">
        <f>IF([2]Baskol!$J$1666="","",[2]Baskol!$J$1666)</f>
        <v/>
      </c>
      <c r="AB1663">
        <f>IF([2]Baskol!$K$1666="","",[2]Baskol!$K$1666)</f>
        <v/>
      </c>
      <c r="AC1663">
        <f>IF([2]Baskol!$L$1666="","",[2]Baskol!$L$1666)</f>
        <v/>
      </c>
      <c r="AD1663">
        <f>IF([2]Baskol!$N$1666="","",[2]Baskol!$N$1666)</f>
        <v/>
      </c>
      <c r="AE1663">
        <f>IF([2]Baskol!$O$1666="","",[2]Baskol!$O$1666)</f>
        <v/>
      </c>
      <c r="AG1663">
        <f>IF([3]Entry!$C$1666="","",[3]Entry!$C$1666)</f>
        <v/>
      </c>
      <c r="AH1663">
        <f>IF([3]Entry!$D$1666="","",[3]Entry!$D$1666)</f>
        <v/>
      </c>
      <c r="AI1663">
        <f>IF([3]Entry!$E$1666="","",[3]Entry!$E$1666)</f>
        <v/>
      </c>
      <c r="AJ1663">
        <f>IF([3]Entry!$G$1666="","",[3]Entry!$G$1666)</f>
        <v/>
      </c>
      <c r="AK1663">
        <f>IF([3]Entry!$K$1666="","",[3]Entry!$K$1666)</f>
        <v/>
      </c>
      <c r="AL1663">
        <f>IF([3]Entry!$L$1666="","",[3]Entry!$L$1666)</f>
        <v/>
      </c>
      <c r="AM1663">
        <f>IF([3]Entry!$M$1666="","",[3]Entry!$M$1666)</f>
        <v/>
      </c>
      <c r="AN1663">
        <f>IF([3]Entry!$N$1666="","",[3]Entry!$N$1666)</f>
        <v/>
      </c>
      <c r="AO1663">
        <f>IF([3]Entry!$R$1666="","",[3]Entry!$R$1666)</f>
        <v/>
      </c>
    </row>
    <row r="1664">
      <c r="U1664">
        <f>IF([2]Baskol!$B$1667="","",[2]Baskol!$B$1667)</f>
        <v/>
      </c>
      <c r="V1664">
        <f>IF([2]Baskol!$C$1667="","",[2]Baskol!$C$1667)</f>
        <v/>
      </c>
      <c r="W1664">
        <f>IF([2]Baskol!$D$1667="","",[2]Baskol!$D$1667)</f>
        <v/>
      </c>
      <c r="X1664">
        <f>IF([2]Baskol!$E$1667="","",[2]Baskol!$E$1667)</f>
        <v/>
      </c>
      <c r="Y1664">
        <f>IF([2]Baskol!$G$1667="","",[2]Baskol!$G$1667)</f>
        <v/>
      </c>
      <c r="Z1664">
        <f>IF([2]Baskol!$I$1667="","",[2]Baskol!$I$1667)</f>
        <v/>
      </c>
      <c r="AA1664">
        <f>IF([2]Baskol!$J$1667="","",[2]Baskol!$J$1667)</f>
        <v/>
      </c>
      <c r="AB1664">
        <f>IF([2]Baskol!$K$1667="","",[2]Baskol!$K$1667)</f>
        <v/>
      </c>
      <c r="AC1664">
        <f>IF([2]Baskol!$L$1667="","",[2]Baskol!$L$1667)</f>
        <v/>
      </c>
      <c r="AD1664">
        <f>IF([2]Baskol!$N$1667="","",[2]Baskol!$N$1667)</f>
        <v/>
      </c>
      <c r="AE1664">
        <f>IF([2]Baskol!$O$1667="","",[2]Baskol!$O$1667)</f>
        <v/>
      </c>
      <c r="AG1664">
        <f>IF([3]Entry!$C$1667="","",[3]Entry!$C$1667)</f>
        <v/>
      </c>
      <c r="AH1664">
        <f>IF([3]Entry!$D$1667="","",[3]Entry!$D$1667)</f>
        <v/>
      </c>
      <c r="AI1664">
        <f>IF([3]Entry!$E$1667="","",[3]Entry!$E$1667)</f>
        <v/>
      </c>
      <c r="AJ1664">
        <f>IF([3]Entry!$G$1667="","",[3]Entry!$G$1667)</f>
        <v/>
      </c>
      <c r="AK1664">
        <f>IF([3]Entry!$K$1667="","",[3]Entry!$K$1667)</f>
        <v/>
      </c>
      <c r="AL1664">
        <f>IF([3]Entry!$L$1667="","",[3]Entry!$L$1667)</f>
        <v/>
      </c>
      <c r="AM1664">
        <f>IF([3]Entry!$M$1667="","",[3]Entry!$M$1667)</f>
        <v/>
      </c>
      <c r="AN1664">
        <f>IF([3]Entry!$N$1667="","",[3]Entry!$N$1667)</f>
        <v/>
      </c>
      <c r="AO1664">
        <f>IF([3]Entry!$R$1667="","",[3]Entry!$R$1667)</f>
        <v/>
      </c>
    </row>
    <row r="1665">
      <c r="U1665">
        <f>IF([2]Baskol!$B$1668="","",[2]Baskol!$B$1668)</f>
        <v/>
      </c>
      <c r="V1665">
        <f>IF([2]Baskol!$C$1668="","",[2]Baskol!$C$1668)</f>
        <v/>
      </c>
      <c r="W1665">
        <f>IF([2]Baskol!$D$1668="","",[2]Baskol!$D$1668)</f>
        <v/>
      </c>
      <c r="X1665">
        <f>IF([2]Baskol!$E$1668="","",[2]Baskol!$E$1668)</f>
        <v/>
      </c>
      <c r="Y1665">
        <f>IF([2]Baskol!$G$1668="","",[2]Baskol!$G$1668)</f>
        <v/>
      </c>
      <c r="Z1665">
        <f>IF([2]Baskol!$I$1668="","",[2]Baskol!$I$1668)</f>
        <v/>
      </c>
      <c r="AA1665">
        <f>IF([2]Baskol!$J$1668="","",[2]Baskol!$J$1668)</f>
        <v/>
      </c>
      <c r="AB1665">
        <f>IF([2]Baskol!$K$1668="","",[2]Baskol!$K$1668)</f>
        <v/>
      </c>
      <c r="AC1665">
        <f>IF([2]Baskol!$L$1668="","",[2]Baskol!$L$1668)</f>
        <v/>
      </c>
      <c r="AD1665">
        <f>IF([2]Baskol!$N$1668="","",[2]Baskol!$N$1668)</f>
        <v/>
      </c>
      <c r="AE1665">
        <f>IF([2]Baskol!$O$1668="","",[2]Baskol!$O$1668)</f>
        <v/>
      </c>
      <c r="AG1665">
        <f>IF([3]Entry!$C$1668="","",[3]Entry!$C$1668)</f>
        <v/>
      </c>
      <c r="AH1665">
        <f>IF([3]Entry!$D$1668="","",[3]Entry!$D$1668)</f>
        <v/>
      </c>
      <c r="AI1665">
        <f>IF([3]Entry!$E$1668="","",[3]Entry!$E$1668)</f>
        <v/>
      </c>
      <c r="AJ1665">
        <f>IF([3]Entry!$G$1668="","",[3]Entry!$G$1668)</f>
        <v/>
      </c>
      <c r="AK1665">
        <f>IF([3]Entry!$K$1668="","",[3]Entry!$K$1668)</f>
        <v/>
      </c>
      <c r="AL1665">
        <f>IF([3]Entry!$L$1668="","",[3]Entry!$L$1668)</f>
        <v/>
      </c>
      <c r="AM1665">
        <f>IF([3]Entry!$M$1668="","",[3]Entry!$M$1668)</f>
        <v/>
      </c>
      <c r="AN1665">
        <f>IF([3]Entry!$N$1668="","",[3]Entry!$N$1668)</f>
        <v/>
      </c>
      <c r="AO1665">
        <f>IF([3]Entry!$R$1668="","",[3]Entry!$R$1668)</f>
        <v/>
      </c>
    </row>
    <row r="1666">
      <c r="U1666">
        <f>IF([2]Baskol!$B$1669="","",[2]Baskol!$B$1669)</f>
        <v/>
      </c>
      <c r="V1666">
        <f>IF([2]Baskol!$C$1669="","",[2]Baskol!$C$1669)</f>
        <v/>
      </c>
      <c r="W1666">
        <f>IF([2]Baskol!$D$1669="","",[2]Baskol!$D$1669)</f>
        <v/>
      </c>
      <c r="X1666">
        <f>IF([2]Baskol!$E$1669="","",[2]Baskol!$E$1669)</f>
        <v/>
      </c>
      <c r="Y1666">
        <f>IF([2]Baskol!$G$1669="","",[2]Baskol!$G$1669)</f>
        <v/>
      </c>
      <c r="Z1666">
        <f>IF([2]Baskol!$I$1669="","",[2]Baskol!$I$1669)</f>
        <v/>
      </c>
      <c r="AA1666">
        <f>IF([2]Baskol!$J$1669="","",[2]Baskol!$J$1669)</f>
        <v/>
      </c>
      <c r="AB1666">
        <f>IF([2]Baskol!$K$1669="","",[2]Baskol!$K$1669)</f>
        <v/>
      </c>
      <c r="AC1666">
        <f>IF([2]Baskol!$L$1669="","",[2]Baskol!$L$1669)</f>
        <v/>
      </c>
      <c r="AD1666">
        <f>IF([2]Baskol!$N$1669="","",[2]Baskol!$N$1669)</f>
        <v/>
      </c>
      <c r="AE1666">
        <f>IF([2]Baskol!$O$1669="","",[2]Baskol!$O$1669)</f>
        <v/>
      </c>
      <c r="AG1666">
        <f>IF([3]Entry!$C$1669="","",[3]Entry!$C$1669)</f>
        <v/>
      </c>
      <c r="AH1666">
        <f>IF([3]Entry!$D$1669="","",[3]Entry!$D$1669)</f>
        <v/>
      </c>
      <c r="AI1666">
        <f>IF([3]Entry!$E$1669="","",[3]Entry!$E$1669)</f>
        <v/>
      </c>
      <c r="AJ1666">
        <f>IF([3]Entry!$G$1669="","",[3]Entry!$G$1669)</f>
        <v/>
      </c>
      <c r="AK1666">
        <f>IF([3]Entry!$K$1669="","",[3]Entry!$K$1669)</f>
        <v/>
      </c>
      <c r="AL1666">
        <f>IF([3]Entry!$L$1669="","",[3]Entry!$L$1669)</f>
        <v/>
      </c>
      <c r="AM1666">
        <f>IF([3]Entry!$M$1669="","",[3]Entry!$M$1669)</f>
        <v/>
      </c>
      <c r="AN1666">
        <f>IF([3]Entry!$N$1669="","",[3]Entry!$N$1669)</f>
        <v/>
      </c>
      <c r="AO1666">
        <f>IF([3]Entry!$R$1669="","",[3]Entry!$R$1669)</f>
        <v/>
      </c>
    </row>
    <row r="1667">
      <c r="U1667">
        <f>IF([2]Baskol!$B$1670="","",[2]Baskol!$B$1670)</f>
        <v/>
      </c>
      <c r="V1667">
        <f>IF([2]Baskol!$C$1670="","",[2]Baskol!$C$1670)</f>
        <v/>
      </c>
      <c r="W1667">
        <f>IF([2]Baskol!$D$1670="","",[2]Baskol!$D$1670)</f>
        <v/>
      </c>
      <c r="X1667">
        <f>IF([2]Baskol!$E$1670="","",[2]Baskol!$E$1670)</f>
        <v/>
      </c>
      <c r="Y1667">
        <f>IF([2]Baskol!$G$1670="","",[2]Baskol!$G$1670)</f>
        <v/>
      </c>
      <c r="Z1667">
        <f>IF([2]Baskol!$I$1670="","",[2]Baskol!$I$1670)</f>
        <v/>
      </c>
      <c r="AA1667">
        <f>IF([2]Baskol!$J$1670="","",[2]Baskol!$J$1670)</f>
        <v/>
      </c>
      <c r="AB1667">
        <f>IF([2]Baskol!$K$1670="","",[2]Baskol!$K$1670)</f>
        <v/>
      </c>
      <c r="AC1667">
        <f>IF([2]Baskol!$L$1670="","",[2]Baskol!$L$1670)</f>
        <v/>
      </c>
      <c r="AD1667">
        <f>IF([2]Baskol!$N$1670="","",[2]Baskol!$N$1670)</f>
        <v/>
      </c>
      <c r="AE1667">
        <f>IF([2]Baskol!$O$1670="","",[2]Baskol!$O$1670)</f>
        <v/>
      </c>
      <c r="AG1667">
        <f>IF([3]Entry!$C$1670="","",[3]Entry!$C$1670)</f>
        <v/>
      </c>
      <c r="AH1667">
        <f>IF([3]Entry!$D$1670="","",[3]Entry!$D$1670)</f>
        <v/>
      </c>
      <c r="AI1667">
        <f>IF([3]Entry!$E$1670="","",[3]Entry!$E$1670)</f>
        <v/>
      </c>
      <c r="AJ1667">
        <f>IF([3]Entry!$G$1670="","",[3]Entry!$G$1670)</f>
        <v/>
      </c>
      <c r="AK1667">
        <f>IF([3]Entry!$K$1670="","",[3]Entry!$K$1670)</f>
        <v/>
      </c>
      <c r="AL1667">
        <f>IF([3]Entry!$L$1670="","",[3]Entry!$L$1670)</f>
        <v/>
      </c>
      <c r="AM1667">
        <f>IF([3]Entry!$M$1670="","",[3]Entry!$M$1670)</f>
        <v/>
      </c>
      <c r="AN1667">
        <f>IF([3]Entry!$N$1670="","",[3]Entry!$N$1670)</f>
        <v/>
      </c>
      <c r="AO1667">
        <f>IF([3]Entry!$R$1670="","",[3]Entry!$R$1670)</f>
        <v/>
      </c>
    </row>
    <row r="1668">
      <c r="U1668">
        <f>IF([2]Baskol!$B$1671="","",[2]Baskol!$B$1671)</f>
        <v/>
      </c>
      <c r="V1668">
        <f>IF([2]Baskol!$C$1671="","",[2]Baskol!$C$1671)</f>
        <v/>
      </c>
      <c r="W1668">
        <f>IF([2]Baskol!$D$1671="","",[2]Baskol!$D$1671)</f>
        <v/>
      </c>
      <c r="X1668">
        <f>IF([2]Baskol!$E$1671="","",[2]Baskol!$E$1671)</f>
        <v/>
      </c>
      <c r="Y1668">
        <f>IF([2]Baskol!$G$1671="","",[2]Baskol!$G$1671)</f>
        <v/>
      </c>
      <c r="Z1668">
        <f>IF([2]Baskol!$I$1671="","",[2]Baskol!$I$1671)</f>
        <v/>
      </c>
      <c r="AA1668">
        <f>IF([2]Baskol!$J$1671="","",[2]Baskol!$J$1671)</f>
        <v/>
      </c>
      <c r="AB1668">
        <f>IF([2]Baskol!$K$1671="","",[2]Baskol!$K$1671)</f>
        <v/>
      </c>
      <c r="AC1668">
        <f>IF([2]Baskol!$L$1671="","",[2]Baskol!$L$1671)</f>
        <v/>
      </c>
      <c r="AD1668">
        <f>IF([2]Baskol!$N$1671="","",[2]Baskol!$N$1671)</f>
        <v/>
      </c>
      <c r="AE1668">
        <f>IF([2]Baskol!$O$1671="","",[2]Baskol!$O$1671)</f>
        <v/>
      </c>
      <c r="AG1668">
        <f>IF([3]Entry!$C$1671="","",[3]Entry!$C$1671)</f>
        <v/>
      </c>
      <c r="AH1668">
        <f>IF([3]Entry!$D$1671="","",[3]Entry!$D$1671)</f>
        <v/>
      </c>
      <c r="AI1668">
        <f>IF([3]Entry!$E$1671="","",[3]Entry!$E$1671)</f>
        <v/>
      </c>
      <c r="AJ1668">
        <f>IF([3]Entry!$G$1671="","",[3]Entry!$G$1671)</f>
        <v/>
      </c>
      <c r="AK1668">
        <f>IF([3]Entry!$K$1671="","",[3]Entry!$K$1671)</f>
        <v/>
      </c>
      <c r="AL1668">
        <f>IF([3]Entry!$L$1671="","",[3]Entry!$L$1671)</f>
        <v/>
      </c>
      <c r="AM1668">
        <f>IF([3]Entry!$M$1671="","",[3]Entry!$M$1671)</f>
        <v/>
      </c>
      <c r="AN1668">
        <f>IF([3]Entry!$N$1671="","",[3]Entry!$N$1671)</f>
        <v/>
      </c>
      <c r="AO1668">
        <f>IF([3]Entry!$R$1671="","",[3]Entry!$R$1671)</f>
        <v/>
      </c>
    </row>
    <row r="1669">
      <c r="U1669">
        <f>IF([2]Baskol!$B$1672="","",[2]Baskol!$B$1672)</f>
        <v/>
      </c>
      <c r="V1669">
        <f>IF([2]Baskol!$C$1672="","",[2]Baskol!$C$1672)</f>
        <v/>
      </c>
      <c r="W1669">
        <f>IF([2]Baskol!$D$1672="","",[2]Baskol!$D$1672)</f>
        <v/>
      </c>
      <c r="X1669">
        <f>IF([2]Baskol!$E$1672="","",[2]Baskol!$E$1672)</f>
        <v/>
      </c>
      <c r="Y1669">
        <f>IF([2]Baskol!$G$1672="","",[2]Baskol!$G$1672)</f>
        <v/>
      </c>
      <c r="Z1669">
        <f>IF([2]Baskol!$I$1672="","",[2]Baskol!$I$1672)</f>
        <v/>
      </c>
      <c r="AA1669">
        <f>IF([2]Baskol!$J$1672="","",[2]Baskol!$J$1672)</f>
        <v/>
      </c>
      <c r="AB1669">
        <f>IF([2]Baskol!$K$1672="","",[2]Baskol!$K$1672)</f>
        <v/>
      </c>
      <c r="AC1669">
        <f>IF([2]Baskol!$L$1672="","",[2]Baskol!$L$1672)</f>
        <v/>
      </c>
      <c r="AD1669">
        <f>IF([2]Baskol!$N$1672="","",[2]Baskol!$N$1672)</f>
        <v/>
      </c>
      <c r="AE1669">
        <f>IF([2]Baskol!$O$1672="","",[2]Baskol!$O$1672)</f>
        <v/>
      </c>
      <c r="AG1669">
        <f>IF([3]Entry!$C$1672="","",[3]Entry!$C$1672)</f>
        <v/>
      </c>
      <c r="AH1669">
        <f>IF([3]Entry!$D$1672="","",[3]Entry!$D$1672)</f>
        <v/>
      </c>
      <c r="AI1669">
        <f>IF([3]Entry!$E$1672="","",[3]Entry!$E$1672)</f>
        <v/>
      </c>
      <c r="AJ1669">
        <f>IF([3]Entry!$G$1672="","",[3]Entry!$G$1672)</f>
        <v/>
      </c>
      <c r="AK1669">
        <f>IF([3]Entry!$K$1672="","",[3]Entry!$K$1672)</f>
        <v/>
      </c>
      <c r="AL1669">
        <f>IF([3]Entry!$L$1672="","",[3]Entry!$L$1672)</f>
        <v/>
      </c>
      <c r="AM1669">
        <f>IF([3]Entry!$M$1672="","",[3]Entry!$M$1672)</f>
        <v/>
      </c>
      <c r="AN1669">
        <f>IF([3]Entry!$N$1672="","",[3]Entry!$N$1672)</f>
        <v/>
      </c>
      <c r="AO1669">
        <f>IF([3]Entry!$R$1672="","",[3]Entry!$R$1672)</f>
        <v/>
      </c>
    </row>
    <row r="1670">
      <c r="U1670">
        <f>IF([2]Baskol!$B$1673="","",[2]Baskol!$B$1673)</f>
        <v/>
      </c>
      <c r="V1670">
        <f>IF([2]Baskol!$C$1673="","",[2]Baskol!$C$1673)</f>
        <v/>
      </c>
      <c r="W1670">
        <f>IF([2]Baskol!$D$1673="","",[2]Baskol!$D$1673)</f>
        <v/>
      </c>
      <c r="X1670">
        <f>IF([2]Baskol!$E$1673="","",[2]Baskol!$E$1673)</f>
        <v/>
      </c>
      <c r="Y1670">
        <f>IF([2]Baskol!$G$1673="","",[2]Baskol!$G$1673)</f>
        <v/>
      </c>
      <c r="Z1670">
        <f>IF([2]Baskol!$I$1673="","",[2]Baskol!$I$1673)</f>
        <v/>
      </c>
      <c r="AA1670">
        <f>IF([2]Baskol!$J$1673="","",[2]Baskol!$J$1673)</f>
        <v/>
      </c>
      <c r="AB1670">
        <f>IF([2]Baskol!$K$1673="","",[2]Baskol!$K$1673)</f>
        <v/>
      </c>
      <c r="AC1670">
        <f>IF([2]Baskol!$L$1673="","",[2]Baskol!$L$1673)</f>
        <v/>
      </c>
      <c r="AD1670">
        <f>IF([2]Baskol!$N$1673="","",[2]Baskol!$N$1673)</f>
        <v/>
      </c>
      <c r="AE1670">
        <f>IF([2]Baskol!$O$1673="","",[2]Baskol!$O$1673)</f>
        <v/>
      </c>
      <c r="AG1670">
        <f>IF([3]Entry!$C$1673="","",[3]Entry!$C$1673)</f>
        <v/>
      </c>
      <c r="AH1670">
        <f>IF([3]Entry!$D$1673="","",[3]Entry!$D$1673)</f>
        <v/>
      </c>
      <c r="AI1670">
        <f>IF([3]Entry!$E$1673="","",[3]Entry!$E$1673)</f>
        <v/>
      </c>
      <c r="AJ1670">
        <f>IF([3]Entry!$G$1673="","",[3]Entry!$G$1673)</f>
        <v/>
      </c>
      <c r="AK1670">
        <f>IF([3]Entry!$K$1673="","",[3]Entry!$K$1673)</f>
        <v/>
      </c>
      <c r="AL1670">
        <f>IF([3]Entry!$L$1673="","",[3]Entry!$L$1673)</f>
        <v/>
      </c>
      <c r="AM1670">
        <f>IF([3]Entry!$M$1673="","",[3]Entry!$M$1673)</f>
        <v/>
      </c>
      <c r="AN1670">
        <f>IF([3]Entry!$N$1673="","",[3]Entry!$N$1673)</f>
        <v/>
      </c>
      <c r="AO1670">
        <f>IF([3]Entry!$R$1673="","",[3]Entry!$R$1673)</f>
        <v/>
      </c>
    </row>
    <row r="1671">
      <c r="U1671">
        <f>IF([2]Baskol!$B$1674="","",[2]Baskol!$B$1674)</f>
        <v/>
      </c>
      <c r="V1671">
        <f>IF([2]Baskol!$C$1674="","",[2]Baskol!$C$1674)</f>
        <v/>
      </c>
      <c r="W1671">
        <f>IF([2]Baskol!$D$1674="","",[2]Baskol!$D$1674)</f>
        <v/>
      </c>
      <c r="X1671">
        <f>IF([2]Baskol!$E$1674="","",[2]Baskol!$E$1674)</f>
        <v/>
      </c>
      <c r="Y1671">
        <f>IF([2]Baskol!$G$1674="","",[2]Baskol!$G$1674)</f>
        <v/>
      </c>
      <c r="Z1671">
        <f>IF([2]Baskol!$I$1674="","",[2]Baskol!$I$1674)</f>
        <v/>
      </c>
      <c r="AA1671">
        <f>IF([2]Baskol!$J$1674="","",[2]Baskol!$J$1674)</f>
        <v/>
      </c>
      <c r="AB1671">
        <f>IF([2]Baskol!$K$1674="","",[2]Baskol!$K$1674)</f>
        <v/>
      </c>
      <c r="AC1671">
        <f>IF([2]Baskol!$L$1674="","",[2]Baskol!$L$1674)</f>
        <v/>
      </c>
      <c r="AD1671">
        <f>IF([2]Baskol!$N$1674="","",[2]Baskol!$N$1674)</f>
        <v/>
      </c>
      <c r="AE1671">
        <f>IF([2]Baskol!$O$1674="","",[2]Baskol!$O$1674)</f>
        <v/>
      </c>
      <c r="AG1671">
        <f>IF([3]Entry!$C$1674="","",[3]Entry!$C$1674)</f>
        <v/>
      </c>
      <c r="AH1671">
        <f>IF([3]Entry!$D$1674="","",[3]Entry!$D$1674)</f>
        <v/>
      </c>
      <c r="AI1671">
        <f>IF([3]Entry!$E$1674="","",[3]Entry!$E$1674)</f>
        <v/>
      </c>
      <c r="AJ1671">
        <f>IF([3]Entry!$G$1674="","",[3]Entry!$G$1674)</f>
        <v/>
      </c>
      <c r="AK1671">
        <f>IF([3]Entry!$K$1674="","",[3]Entry!$K$1674)</f>
        <v/>
      </c>
      <c r="AL1671">
        <f>IF([3]Entry!$L$1674="","",[3]Entry!$L$1674)</f>
        <v/>
      </c>
      <c r="AM1671">
        <f>IF([3]Entry!$M$1674="","",[3]Entry!$M$1674)</f>
        <v/>
      </c>
      <c r="AN1671">
        <f>IF([3]Entry!$N$1674="","",[3]Entry!$N$1674)</f>
        <v/>
      </c>
      <c r="AO1671">
        <f>IF([3]Entry!$R$1674="","",[3]Entry!$R$1674)</f>
        <v/>
      </c>
    </row>
    <row r="1672">
      <c r="U1672">
        <f>IF([2]Baskol!$B$1675="","",[2]Baskol!$B$1675)</f>
        <v/>
      </c>
      <c r="V1672">
        <f>IF([2]Baskol!$C$1675="","",[2]Baskol!$C$1675)</f>
        <v/>
      </c>
      <c r="W1672">
        <f>IF([2]Baskol!$D$1675="","",[2]Baskol!$D$1675)</f>
        <v/>
      </c>
      <c r="X1672">
        <f>IF([2]Baskol!$E$1675="","",[2]Baskol!$E$1675)</f>
        <v/>
      </c>
      <c r="Y1672">
        <f>IF([2]Baskol!$G$1675="","",[2]Baskol!$G$1675)</f>
        <v/>
      </c>
      <c r="Z1672">
        <f>IF([2]Baskol!$I$1675="","",[2]Baskol!$I$1675)</f>
        <v/>
      </c>
      <c r="AA1672">
        <f>IF([2]Baskol!$J$1675="","",[2]Baskol!$J$1675)</f>
        <v/>
      </c>
      <c r="AB1672">
        <f>IF([2]Baskol!$K$1675="","",[2]Baskol!$K$1675)</f>
        <v/>
      </c>
      <c r="AC1672">
        <f>IF([2]Baskol!$L$1675="","",[2]Baskol!$L$1675)</f>
        <v/>
      </c>
      <c r="AD1672">
        <f>IF([2]Baskol!$N$1675="","",[2]Baskol!$N$1675)</f>
        <v/>
      </c>
      <c r="AE1672">
        <f>IF([2]Baskol!$O$1675="","",[2]Baskol!$O$1675)</f>
        <v/>
      </c>
      <c r="AG1672">
        <f>IF([3]Entry!$C$1675="","",[3]Entry!$C$1675)</f>
        <v/>
      </c>
      <c r="AH1672">
        <f>IF([3]Entry!$D$1675="","",[3]Entry!$D$1675)</f>
        <v/>
      </c>
      <c r="AI1672">
        <f>IF([3]Entry!$E$1675="","",[3]Entry!$E$1675)</f>
        <v/>
      </c>
      <c r="AJ1672">
        <f>IF([3]Entry!$G$1675="","",[3]Entry!$G$1675)</f>
        <v/>
      </c>
      <c r="AK1672">
        <f>IF([3]Entry!$K$1675="","",[3]Entry!$K$1675)</f>
        <v/>
      </c>
      <c r="AL1672">
        <f>IF([3]Entry!$L$1675="","",[3]Entry!$L$1675)</f>
        <v/>
      </c>
      <c r="AM1672">
        <f>IF([3]Entry!$M$1675="","",[3]Entry!$M$1675)</f>
        <v/>
      </c>
      <c r="AN1672">
        <f>IF([3]Entry!$N$1675="","",[3]Entry!$N$1675)</f>
        <v/>
      </c>
      <c r="AO1672">
        <f>IF([3]Entry!$R$1675="","",[3]Entry!$R$1675)</f>
        <v/>
      </c>
    </row>
    <row r="1673">
      <c r="U1673">
        <f>IF([2]Baskol!$B$1676="","",[2]Baskol!$B$1676)</f>
        <v/>
      </c>
      <c r="V1673">
        <f>IF([2]Baskol!$C$1676="","",[2]Baskol!$C$1676)</f>
        <v/>
      </c>
      <c r="W1673">
        <f>IF([2]Baskol!$D$1676="","",[2]Baskol!$D$1676)</f>
        <v/>
      </c>
      <c r="X1673">
        <f>IF([2]Baskol!$E$1676="","",[2]Baskol!$E$1676)</f>
        <v/>
      </c>
      <c r="Y1673">
        <f>IF([2]Baskol!$G$1676="","",[2]Baskol!$G$1676)</f>
        <v/>
      </c>
      <c r="Z1673">
        <f>IF([2]Baskol!$I$1676="","",[2]Baskol!$I$1676)</f>
        <v/>
      </c>
      <c r="AA1673">
        <f>IF([2]Baskol!$J$1676="","",[2]Baskol!$J$1676)</f>
        <v/>
      </c>
      <c r="AB1673">
        <f>IF([2]Baskol!$K$1676="","",[2]Baskol!$K$1676)</f>
        <v/>
      </c>
      <c r="AC1673">
        <f>IF([2]Baskol!$L$1676="","",[2]Baskol!$L$1676)</f>
        <v/>
      </c>
      <c r="AD1673">
        <f>IF([2]Baskol!$N$1676="","",[2]Baskol!$N$1676)</f>
        <v/>
      </c>
      <c r="AE1673">
        <f>IF([2]Baskol!$O$1676="","",[2]Baskol!$O$1676)</f>
        <v/>
      </c>
      <c r="AG1673">
        <f>IF([3]Entry!$C$1676="","",[3]Entry!$C$1676)</f>
        <v/>
      </c>
      <c r="AH1673">
        <f>IF([3]Entry!$D$1676="","",[3]Entry!$D$1676)</f>
        <v/>
      </c>
      <c r="AI1673">
        <f>IF([3]Entry!$E$1676="","",[3]Entry!$E$1676)</f>
        <v/>
      </c>
      <c r="AJ1673">
        <f>IF([3]Entry!$G$1676="","",[3]Entry!$G$1676)</f>
        <v/>
      </c>
      <c r="AK1673">
        <f>IF([3]Entry!$K$1676="","",[3]Entry!$K$1676)</f>
        <v/>
      </c>
      <c r="AL1673">
        <f>IF([3]Entry!$L$1676="","",[3]Entry!$L$1676)</f>
        <v/>
      </c>
      <c r="AM1673">
        <f>IF([3]Entry!$M$1676="","",[3]Entry!$M$1676)</f>
        <v/>
      </c>
      <c r="AN1673">
        <f>IF([3]Entry!$N$1676="","",[3]Entry!$N$1676)</f>
        <v/>
      </c>
      <c r="AO1673">
        <f>IF([3]Entry!$R$1676="","",[3]Entry!$R$1676)</f>
        <v/>
      </c>
    </row>
    <row r="1674">
      <c r="U1674">
        <f>IF([2]Baskol!$B$1677="","",[2]Baskol!$B$1677)</f>
        <v/>
      </c>
      <c r="V1674">
        <f>IF([2]Baskol!$C$1677="","",[2]Baskol!$C$1677)</f>
        <v/>
      </c>
      <c r="W1674">
        <f>IF([2]Baskol!$D$1677="","",[2]Baskol!$D$1677)</f>
        <v/>
      </c>
      <c r="X1674">
        <f>IF([2]Baskol!$E$1677="","",[2]Baskol!$E$1677)</f>
        <v/>
      </c>
      <c r="Y1674">
        <f>IF([2]Baskol!$G$1677="","",[2]Baskol!$G$1677)</f>
        <v/>
      </c>
      <c r="Z1674">
        <f>IF([2]Baskol!$I$1677="","",[2]Baskol!$I$1677)</f>
        <v/>
      </c>
      <c r="AA1674">
        <f>IF([2]Baskol!$J$1677="","",[2]Baskol!$J$1677)</f>
        <v/>
      </c>
      <c r="AB1674">
        <f>IF([2]Baskol!$K$1677="","",[2]Baskol!$K$1677)</f>
        <v/>
      </c>
      <c r="AC1674">
        <f>IF([2]Baskol!$L$1677="","",[2]Baskol!$L$1677)</f>
        <v/>
      </c>
      <c r="AD1674">
        <f>IF([2]Baskol!$N$1677="","",[2]Baskol!$N$1677)</f>
        <v/>
      </c>
      <c r="AE1674">
        <f>IF([2]Baskol!$O$1677="","",[2]Baskol!$O$1677)</f>
        <v/>
      </c>
      <c r="AG1674">
        <f>IF([3]Entry!$C$1677="","",[3]Entry!$C$1677)</f>
        <v/>
      </c>
      <c r="AH1674">
        <f>IF([3]Entry!$D$1677="","",[3]Entry!$D$1677)</f>
        <v/>
      </c>
      <c r="AI1674">
        <f>IF([3]Entry!$E$1677="","",[3]Entry!$E$1677)</f>
        <v/>
      </c>
      <c r="AJ1674">
        <f>IF([3]Entry!$G$1677="","",[3]Entry!$G$1677)</f>
        <v/>
      </c>
      <c r="AK1674">
        <f>IF([3]Entry!$K$1677="","",[3]Entry!$K$1677)</f>
        <v/>
      </c>
      <c r="AL1674">
        <f>IF([3]Entry!$L$1677="","",[3]Entry!$L$1677)</f>
        <v/>
      </c>
      <c r="AM1674">
        <f>IF([3]Entry!$M$1677="","",[3]Entry!$M$1677)</f>
        <v/>
      </c>
      <c r="AN1674">
        <f>IF([3]Entry!$N$1677="","",[3]Entry!$N$1677)</f>
        <v/>
      </c>
      <c r="AO1674">
        <f>IF([3]Entry!$R$1677="","",[3]Entry!$R$1677)</f>
        <v/>
      </c>
    </row>
    <row r="1675">
      <c r="U1675">
        <f>IF([2]Baskol!$B$1678="","",[2]Baskol!$B$1678)</f>
        <v/>
      </c>
      <c r="V1675">
        <f>IF([2]Baskol!$C$1678="","",[2]Baskol!$C$1678)</f>
        <v/>
      </c>
      <c r="W1675">
        <f>IF([2]Baskol!$D$1678="","",[2]Baskol!$D$1678)</f>
        <v/>
      </c>
      <c r="X1675">
        <f>IF([2]Baskol!$E$1678="","",[2]Baskol!$E$1678)</f>
        <v/>
      </c>
      <c r="Y1675">
        <f>IF([2]Baskol!$G$1678="","",[2]Baskol!$G$1678)</f>
        <v/>
      </c>
      <c r="Z1675">
        <f>IF([2]Baskol!$I$1678="","",[2]Baskol!$I$1678)</f>
        <v/>
      </c>
      <c r="AA1675">
        <f>IF([2]Baskol!$J$1678="","",[2]Baskol!$J$1678)</f>
        <v/>
      </c>
      <c r="AB1675">
        <f>IF([2]Baskol!$K$1678="","",[2]Baskol!$K$1678)</f>
        <v/>
      </c>
      <c r="AC1675">
        <f>IF([2]Baskol!$L$1678="","",[2]Baskol!$L$1678)</f>
        <v/>
      </c>
      <c r="AD1675">
        <f>IF([2]Baskol!$N$1678="","",[2]Baskol!$N$1678)</f>
        <v/>
      </c>
      <c r="AE1675">
        <f>IF([2]Baskol!$O$1678="","",[2]Baskol!$O$1678)</f>
        <v/>
      </c>
      <c r="AG1675">
        <f>IF([3]Entry!$C$1678="","",[3]Entry!$C$1678)</f>
        <v/>
      </c>
      <c r="AH1675">
        <f>IF([3]Entry!$D$1678="","",[3]Entry!$D$1678)</f>
        <v/>
      </c>
      <c r="AI1675">
        <f>IF([3]Entry!$E$1678="","",[3]Entry!$E$1678)</f>
        <v/>
      </c>
      <c r="AJ1675">
        <f>IF([3]Entry!$G$1678="","",[3]Entry!$G$1678)</f>
        <v/>
      </c>
      <c r="AK1675">
        <f>IF([3]Entry!$K$1678="","",[3]Entry!$K$1678)</f>
        <v/>
      </c>
      <c r="AL1675">
        <f>IF([3]Entry!$L$1678="","",[3]Entry!$L$1678)</f>
        <v/>
      </c>
      <c r="AM1675">
        <f>IF([3]Entry!$M$1678="","",[3]Entry!$M$1678)</f>
        <v/>
      </c>
      <c r="AN1675">
        <f>IF([3]Entry!$N$1678="","",[3]Entry!$N$1678)</f>
        <v/>
      </c>
      <c r="AO1675">
        <f>IF([3]Entry!$R$1678="","",[3]Entry!$R$1678)</f>
        <v/>
      </c>
    </row>
    <row r="1676">
      <c r="U1676">
        <f>IF([2]Baskol!$B$1679="","",[2]Baskol!$B$1679)</f>
        <v/>
      </c>
      <c r="V1676">
        <f>IF([2]Baskol!$C$1679="","",[2]Baskol!$C$1679)</f>
        <v/>
      </c>
      <c r="W1676">
        <f>IF([2]Baskol!$D$1679="","",[2]Baskol!$D$1679)</f>
        <v/>
      </c>
      <c r="X1676">
        <f>IF([2]Baskol!$E$1679="","",[2]Baskol!$E$1679)</f>
        <v/>
      </c>
      <c r="Y1676">
        <f>IF([2]Baskol!$G$1679="","",[2]Baskol!$G$1679)</f>
        <v/>
      </c>
      <c r="Z1676">
        <f>IF([2]Baskol!$I$1679="","",[2]Baskol!$I$1679)</f>
        <v/>
      </c>
      <c r="AA1676">
        <f>IF([2]Baskol!$J$1679="","",[2]Baskol!$J$1679)</f>
        <v/>
      </c>
      <c r="AB1676">
        <f>IF([2]Baskol!$K$1679="","",[2]Baskol!$K$1679)</f>
        <v/>
      </c>
      <c r="AC1676">
        <f>IF([2]Baskol!$L$1679="","",[2]Baskol!$L$1679)</f>
        <v/>
      </c>
      <c r="AD1676">
        <f>IF([2]Baskol!$N$1679="","",[2]Baskol!$N$1679)</f>
        <v/>
      </c>
      <c r="AE1676">
        <f>IF([2]Baskol!$O$1679="","",[2]Baskol!$O$1679)</f>
        <v/>
      </c>
      <c r="AG1676">
        <f>IF([3]Entry!$C$1679="","",[3]Entry!$C$1679)</f>
        <v/>
      </c>
      <c r="AH1676">
        <f>IF([3]Entry!$D$1679="","",[3]Entry!$D$1679)</f>
        <v/>
      </c>
      <c r="AI1676">
        <f>IF([3]Entry!$E$1679="","",[3]Entry!$E$1679)</f>
        <v/>
      </c>
      <c r="AJ1676">
        <f>IF([3]Entry!$G$1679="","",[3]Entry!$G$1679)</f>
        <v/>
      </c>
      <c r="AK1676">
        <f>IF([3]Entry!$K$1679="","",[3]Entry!$K$1679)</f>
        <v/>
      </c>
      <c r="AL1676">
        <f>IF([3]Entry!$L$1679="","",[3]Entry!$L$1679)</f>
        <v/>
      </c>
      <c r="AM1676">
        <f>IF([3]Entry!$M$1679="","",[3]Entry!$M$1679)</f>
        <v/>
      </c>
      <c r="AN1676">
        <f>IF([3]Entry!$N$1679="","",[3]Entry!$N$1679)</f>
        <v/>
      </c>
      <c r="AO1676">
        <f>IF([3]Entry!$R$1679="","",[3]Entry!$R$1679)</f>
        <v/>
      </c>
    </row>
    <row r="1677">
      <c r="U1677">
        <f>IF([2]Baskol!$B$1680="","",[2]Baskol!$B$1680)</f>
        <v/>
      </c>
      <c r="V1677">
        <f>IF([2]Baskol!$C$1680="","",[2]Baskol!$C$1680)</f>
        <v/>
      </c>
      <c r="W1677">
        <f>IF([2]Baskol!$D$1680="","",[2]Baskol!$D$1680)</f>
        <v/>
      </c>
      <c r="X1677">
        <f>IF([2]Baskol!$E$1680="","",[2]Baskol!$E$1680)</f>
        <v/>
      </c>
      <c r="Y1677">
        <f>IF([2]Baskol!$G$1680="","",[2]Baskol!$G$1680)</f>
        <v/>
      </c>
      <c r="Z1677">
        <f>IF([2]Baskol!$I$1680="","",[2]Baskol!$I$1680)</f>
        <v/>
      </c>
      <c r="AA1677">
        <f>IF([2]Baskol!$J$1680="","",[2]Baskol!$J$1680)</f>
        <v/>
      </c>
      <c r="AB1677">
        <f>IF([2]Baskol!$K$1680="","",[2]Baskol!$K$1680)</f>
        <v/>
      </c>
      <c r="AC1677">
        <f>IF([2]Baskol!$L$1680="","",[2]Baskol!$L$1680)</f>
        <v/>
      </c>
      <c r="AD1677">
        <f>IF([2]Baskol!$N$1680="","",[2]Baskol!$N$1680)</f>
        <v/>
      </c>
      <c r="AE1677">
        <f>IF([2]Baskol!$O$1680="","",[2]Baskol!$O$1680)</f>
        <v/>
      </c>
      <c r="AG1677">
        <f>IF([3]Entry!$C$1680="","",[3]Entry!$C$1680)</f>
        <v/>
      </c>
      <c r="AH1677">
        <f>IF([3]Entry!$D$1680="","",[3]Entry!$D$1680)</f>
        <v/>
      </c>
      <c r="AI1677">
        <f>IF([3]Entry!$E$1680="","",[3]Entry!$E$1680)</f>
        <v/>
      </c>
      <c r="AJ1677">
        <f>IF([3]Entry!$G$1680="","",[3]Entry!$G$1680)</f>
        <v/>
      </c>
      <c r="AK1677">
        <f>IF([3]Entry!$K$1680="","",[3]Entry!$K$1680)</f>
        <v/>
      </c>
      <c r="AL1677">
        <f>IF([3]Entry!$L$1680="","",[3]Entry!$L$1680)</f>
        <v/>
      </c>
      <c r="AM1677">
        <f>IF([3]Entry!$M$1680="","",[3]Entry!$M$1680)</f>
        <v/>
      </c>
      <c r="AN1677">
        <f>IF([3]Entry!$N$1680="","",[3]Entry!$N$1680)</f>
        <v/>
      </c>
      <c r="AO1677">
        <f>IF([3]Entry!$R$1680="","",[3]Entry!$R$1680)</f>
        <v/>
      </c>
    </row>
    <row r="1678">
      <c r="U1678">
        <f>IF([2]Baskol!$B$1681="","",[2]Baskol!$B$1681)</f>
        <v/>
      </c>
      <c r="V1678">
        <f>IF([2]Baskol!$C$1681="","",[2]Baskol!$C$1681)</f>
        <v/>
      </c>
      <c r="W1678">
        <f>IF([2]Baskol!$D$1681="","",[2]Baskol!$D$1681)</f>
        <v/>
      </c>
      <c r="X1678">
        <f>IF([2]Baskol!$E$1681="","",[2]Baskol!$E$1681)</f>
        <v/>
      </c>
      <c r="Y1678">
        <f>IF([2]Baskol!$G$1681="","",[2]Baskol!$G$1681)</f>
        <v/>
      </c>
      <c r="Z1678">
        <f>IF([2]Baskol!$I$1681="","",[2]Baskol!$I$1681)</f>
        <v/>
      </c>
      <c r="AA1678">
        <f>IF([2]Baskol!$J$1681="","",[2]Baskol!$J$1681)</f>
        <v/>
      </c>
      <c r="AB1678">
        <f>IF([2]Baskol!$K$1681="","",[2]Baskol!$K$1681)</f>
        <v/>
      </c>
      <c r="AC1678">
        <f>IF([2]Baskol!$L$1681="","",[2]Baskol!$L$1681)</f>
        <v/>
      </c>
      <c r="AD1678">
        <f>IF([2]Baskol!$N$1681="","",[2]Baskol!$N$1681)</f>
        <v/>
      </c>
      <c r="AE1678">
        <f>IF([2]Baskol!$O$1681="","",[2]Baskol!$O$1681)</f>
        <v/>
      </c>
      <c r="AG1678">
        <f>IF([3]Entry!$C$1681="","",[3]Entry!$C$1681)</f>
        <v/>
      </c>
      <c r="AH1678">
        <f>IF([3]Entry!$D$1681="","",[3]Entry!$D$1681)</f>
        <v/>
      </c>
      <c r="AI1678">
        <f>IF([3]Entry!$E$1681="","",[3]Entry!$E$1681)</f>
        <v/>
      </c>
      <c r="AJ1678">
        <f>IF([3]Entry!$G$1681="","",[3]Entry!$G$1681)</f>
        <v/>
      </c>
      <c r="AK1678">
        <f>IF([3]Entry!$K$1681="","",[3]Entry!$K$1681)</f>
        <v/>
      </c>
      <c r="AL1678">
        <f>IF([3]Entry!$L$1681="","",[3]Entry!$L$1681)</f>
        <v/>
      </c>
      <c r="AM1678">
        <f>IF([3]Entry!$M$1681="","",[3]Entry!$M$1681)</f>
        <v/>
      </c>
      <c r="AN1678">
        <f>IF([3]Entry!$N$1681="","",[3]Entry!$N$1681)</f>
        <v/>
      </c>
      <c r="AO1678">
        <f>IF([3]Entry!$R$1681="","",[3]Entry!$R$1681)</f>
        <v/>
      </c>
    </row>
    <row r="1679">
      <c r="U1679">
        <f>IF([2]Baskol!$B$1682="","",[2]Baskol!$B$1682)</f>
        <v/>
      </c>
      <c r="V1679">
        <f>IF([2]Baskol!$C$1682="","",[2]Baskol!$C$1682)</f>
        <v/>
      </c>
      <c r="W1679">
        <f>IF([2]Baskol!$D$1682="","",[2]Baskol!$D$1682)</f>
        <v/>
      </c>
      <c r="X1679">
        <f>IF([2]Baskol!$E$1682="","",[2]Baskol!$E$1682)</f>
        <v/>
      </c>
      <c r="Y1679">
        <f>IF([2]Baskol!$G$1682="","",[2]Baskol!$G$1682)</f>
        <v/>
      </c>
      <c r="Z1679">
        <f>IF([2]Baskol!$I$1682="","",[2]Baskol!$I$1682)</f>
        <v/>
      </c>
      <c r="AA1679">
        <f>IF([2]Baskol!$J$1682="","",[2]Baskol!$J$1682)</f>
        <v/>
      </c>
      <c r="AB1679">
        <f>IF([2]Baskol!$K$1682="","",[2]Baskol!$K$1682)</f>
        <v/>
      </c>
      <c r="AC1679">
        <f>IF([2]Baskol!$L$1682="","",[2]Baskol!$L$1682)</f>
        <v/>
      </c>
      <c r="AD1679">
        <f>IF([2]Baskol!$N$1682="","",[2]Baskol!$N$1682)</f>
        <v/>
      </c>
      <c r="AE1679">
        <f>IF([2]Baskol!$O$1682="","",[2]Baskol!$O$1682)</f>
        <v/>
      </c>
      <c r="AG1679">
        <f>IF([3]Entry!$C$1682="","",[3]Entry!$C$1682)</f>
        <v/>
      </c>
      <c r="AH1679">
        <f>IF([3]Entry!$D$1682="","",[3]Entry!$D$1682)</f>
        <v/>
      </c>
      <c r="AI1679">
        <f>IF([3]Entry!$E$1682="","",[3]Entry!$E$1682)</f>
        <v/>
      </c>
      <c r="AJ1679">
        <f>IF([3]Entry!$G$1682="","",[3]Entry!$G$1682)</f>
        <v/>
      </c>
      <c r="AK1679">
        <f>IF([3]Entry!$K$1682="","",[3]Entry!$K$1682)</f>
        <v/>
      </c>
      <c r="AL1679">
        <f>IF([3]Entry!$L$1682="","",[3]Entry!$L$1682)</f>
        <v/>
      </c>
      <c r="AM1679">
        <f>IF([3]Entry!$M$1682="","",[3]Entry!$M$1682)</f>
        <v/>
      </c>
      <c r="AN1679">
        <f>IF([3]Entry!$N$1682="","",[3]Entry!$N$1682)</f>
        <v/>
      </c>
      <c r="AO1679">
        <f>IF([3]Entry!$R$1682="","",[3]Entry!$R$1682)</f>
        <v/>
      </c>
    </row>
    <row r="1680">
      <c r="U1680">
        <f>IF([2]Baskol!$B$1683="","",[2]Baskol!$B$1683)</f>
        <v/>
      </c>
      <c r="V1680">
        <f>IF([2]Baskol!$C$1683="","",[2]Baskol!$C$1683)</f>
        <v/>
      </c>
      <c r="W1680">
        <f>IF([2]Baskol!$D$1683="","",[2]Baskol!$D$1683)</f>
        <v/>
      </c>
      <c r="X1680">
        <f>IF([2]Baskol!$E$1683="","",[2]Baskol!$E$1683)</f>
        <v/>
      </c>
      <c r="Y1680">
        <f>IF([2]Baskol!$G$1683="","",[2]Baskol!$G$1683)</f>
        <v/>
      </c>
      <c r="Z1680">
        <f>IF([2]Baskol!$I$1683="","",[2]Baskol!$I$1683)</f>
        <v/>
      </c>
      <c r="AA1680">
        <f>IF([2]Baskol!$J$1683="","",[2]Baskol!$J$1683)</f>
        <v/>
      </c>
      <c r="AB1680">
        <f>IF([2]Baskol!$K$1683="","",[2]Baskol!$K$1683)</f>
        <v/>
      </c>
      <c r="AC1680">
        <f>IF([2]Baskol!$L$1683="","",[2]Baskol!$L$1683)</f>
        <v/>
      </c>
      <c r="AD1680">
        <f>IF([2]Baskol!$N$1683="","",[2]Baskol!$N$1683)</f>
        <v/>
      </c>
      <c r="AE1680">
        <f>IF([2]Baskol!$O$1683="","",[2]Baskol!$O$1683)</f>
        <v/>
      </c>
      <c r="AG1680">
        <f>IF([3]Entry!$C$1683="","",[3]Entry!$C$1683)</f>
        <v/>
      </c>
      <c r="AH1680">
        <f>IF([3]Entry!$D$1683="","",[3]Entry!$D$1683)</f>
        <v/>
      </c>
      <c r="AI1680">
        <f>IF([3]Entry!$E$1683="","",[3]Entry!$E$1683)</f>
        <v/>
      </c>
      <c r="AJ1680">
        <f>IF([3]Entry!$G$1683="","",[3]Entry!$G$1683)</f>
        <v/>
      </c>
      <c r="AK1680">
        <f>IF([3]Entry!$K$1683="","",[3]Entry!$K$1683)</f>
        <v/>
      </c>
      <c r="AL1680">
        <f>IF([3]Entry!$L$1683="","",[3]Entry!$L$1683)</f>
        <v/>
      </c>
      <c r="AM1680">
        <f>IF([3]Entry!$M$1683="","",[3]Entry!$M$1683)</f>
        <v/>
      </c>
      <c r="AN1680">
        <f>IF([3]Entry!$N$1683="","",[3]Entry!$N$1683)</f>
        <v/>
      </c>
      <c r="AO1680">
        <f>IF([3]Entry!$R$1683="","",[3]Entry!$R$1683)</f>
        <v/>
      </c>
    </row>
    <row r="1681">
      <c r="U1681">
        <f>IF([2]Baskol!$B$1684="","",[2]Baskol!$B$1684)</f>
        <v/>
      </c>
      <c r="V1681">
        <f>IF([2]Baskol!$C$1684="","",[2]Baskol!$C$1684)</f>
        <v/>
      </c>
      <c r="W1681">
        <f>IF([2]Baskol!$D$1684="","",[2]Baskol!$D$1684)</f>
        <v/>
      </c>
      <c r="X1681">
        <f>IF([2]Baskol!$E$1684="","",[2]Baskol!$E$1684)</f>
        <v/>
      </c>
      <c r="Y1681">
        <f>IF([2]Baskol!$G$1684="","",[2]Baskol!$G$1684)</f>
        <v/>
      </c>
      <c r="Z1681">
        <f>IF([2]Baskol!$I$1684="","",[2]Baskol!$I$1684)</f>
        <v/>
      </c>
      <c r="AA1681">
        <f>IF([2]Baskol!$J$1684="","",[2]Baskol!$J$1684)</f>
        <v/>
      </c>
      <c r="AB1681">
        <f>IF([2]Baskol!$K$1684="","",[2]Baskol!$K$1684)</f>
        <v/>
      </c>
      <c r="AC1681">
        <f>IF([2]Baskol!$L$1684="","",[2]Baskol!$L$1684)</f>
        <v/>
      </c>
      <c r="AD1681">
        <f>IF([2]Baskol!$N$1684="","",[2]Baskol!$N$1684)</f>
        <v/>
      </c>
      <c r="AE1681">
        <f>IF([2]Baskol!$O$1684="","",[2]Baskol!$O$1684)</f>
        <v/>
      </c>
      <c r="AG1681">
        <f>IF([3]Entry!$C$1684="","",[3]Entry!$C$1684)</f>
        <v/>
      </c>
      <c r="AH1681">
        <f>IF([3]Entry!$D$1684="","",[3]Entry!$D$1684)</f>
        <v/>
      </c>
      <c r="AI1681">
        <f>IF([3]Entry!$E$1684="","",[3]Entry!$E$1684)</f>
        <v/>
      </c>
      <c r="AJ1681">
        <f>IF([3]Entry!$G$1684="","",[3]Entry!$G$1684)</f>
        <v/>
      </c>
      <c r="AK1681">
        <f>IF([3]Entry!$K$1684="","",[3]Entry!$K$1684)</f>
        <v/>
      </c>
      <c r="AL1681">
        <f>IF([3]Entry!$L$1684="","",[3]Entry!$L$1684)</f>
        <v/>
      </c>
      <c r="AM1681">
        <f>IF([3]Entry!$M$1684="","",[3]Entry!$M$1684)</f>
        <v/>
      </c>
      <c r="AN1681">
        <f>IF([3]Entry!$N$1684="","",[3]Entry!$N$1684)</f>
        <v/>
      </c>
      <c r="AO1681">
        <f>IF([3]Entry!$R$1684="","",[3]Entry!$R$1684)</f>
        <v/>
      </c>
    </row>
    <row r="1682">
      <c r="U1682">
        <f>IF([2]Baskol!$B$1685="","",[2]Baskol!$B$1685)</f>
        <v/>
      </c>
      <c r="V1682">
        <f>IF([2]Baskol!$C$1685="","",[2]Baskol!$C$1685)</f>
        <v/>
      </c>
      <c r="W1682">
        <f>IF([2]Baskol!$D$1685="","",[2]Baskol!$D$1685)</f>
        <v/>
      </c>
      <c r="X1682">
        <f>IF([2]Baskol!$E$1685="","",[2]Baskol!$E$1685)</f>
        <v/>
      </c>
      <c r="Y1682">
        <f>IF([2]Baskol!$G$1685="","",[2]Baskol!$G$1685)</f>
        <v/>
      </c>
      <c r="Z1682">
        <f>IF([2]Baskol!$I$1685="","",[2]Baskol!$I$1685)</f>
        <v/>
      </c>
      <c r="AA1682">
        <f>IF([2]Baskol!$J$1685="","",[2]Baskol!$J$1685)</f>
        <v/>
      </c>
      <c r="AB1682">
        <f>IF([2]Baskol!$K$1685="","",[2]Baskol!$K$1685)</f>
        <v/>
      </c>
      <c r="AC1682">
        <f>IF([2]Baskol!$L$1685="","",[2]Baskol!$L$1685)</f>
        <v/>
      </c>
      <c r="AD1682">
        <f>IF([2]Baskol!$N$1685="","",[2]Baskol!$N$1685)</f>
        <v/>
      </c>
      <c r="AE1682">
        <f>IF([2]Baskol!$O$1685="","",[2]Baskol!$O$1685)</f>
        <v/>
      </c>
      <c r="AG1682">
        <f>IF([3]Entry!$C$1685="","",[3]Entry!$C$1685)</f>
        <v/>
      </c>
      <c r="AH1682">
        <f>IF([3]Entry!$D$1685="","",[3]Entry!$D$1685)</f>
        <v/>
      </c>
      <c r="AI1682">
        <f>IF([3]Entry!$E$1685="","",[3]Entry!$E$1685)</f>
        <v/>
      </c>
      <c r="AJ1682">
        <f>IF([3]Entry!$G$1685="","",[3]Entry!$G$1685)</f>
        <v/>
      </c>
      <c r="AK1682">
        <f>IF([3]Entry!$K$1685="","",[3]Entry!$K$1685)</f>
        <v/>
      </c>
      <c r="AL1682">
        <f>IF([3]Entry!$L$1685="","",[3]Entry!$L$1685)</f>
        <v/>
      </c>
      <c r="AM1682">
        <f>IF([3]Entry!$M$1685="","",[3]Entry!$M$1685)</f>
        <v/>
      </c>
      <c r="AN1682">
        <f>IF([3]Entry!$N$1685="","",[3]Entry!$N$1685)</f>
        <v/>
      </c>
      <c r="AO1682">
        <f>IF([3]Entry!$R$1685="","",[3]Entry!$R$1685)</f>
        <v/>
      </c>
    </row>
    <row r="1683">
      <c r="U1683">
        <f>IF([2]Baskol!$B$1686="","",[2]Baskol!$B$1686)</f>
        <v/>
      </c>
      <c r="V1683">
        <f>IF([2]Baskol!$C$1686="","",[2]Baskol!$C$1686)</f>
        <v/>
      </c>
      <c r="W1683">
        <f>IF([2]Baskol!$D$1686="","",[2]Baskol!$D$1686)</f>
        <v/>
      </c>
      <c r="X1683">
        <f>IF([2]Baskol!$E$1686="","",[2]Baskol!$E$1686)</f>
        <v/>
      </c>
      <c r="Y1683">
        <f>IF([2]Baskol!$G$1686="","",[2]Baskol!$G$1686)</f>
        <v/>
      </c>
      <c r="Z1683">
        <f>IF([2]Baskol!$I$1686="","",[2]Baskol!$I$1686)</f>
        <v/>
      </c>
      <c r="AA1683">
        <f>IF([2]Baskol!$J$1686="","",[2]Baskol!$J$1686)</f>
        <v/>
      </c>
      <c r="AB1683">
        <f>IF([2]Baskol!$K$1686="","",[2]Baskol!$K$1686)</f>
        <v/>
      </c>
      <c r="AC1683">
        <f>IF([2]Baskol!$L$1686="","",[2]Baskol!$L$1686)</f>
        <v/>
      </c>
      <c r="AD1683">
        <f>IF([2]Baskol!$N$1686="","",[2]Baskol!$N$1686)</f>
        <v/>
      </c>
      <c r="AE1683">
        <f>IF([2]Baskol!$O$1686="","",[2]Baskol!$O$1686)</f>
        <v/>
      </c>
      <c r="AG1683">
        <f>IF([3]Entry!$C$1686="","",[3]Entry!$C$1686)</f>
        <v/>
      </c>
      <c r="AH1683">
        <f>IF([3]Entry!$D$1686="","",[3]Entry!$D$1686)</f>
        <v/>
      </c>
      <c r="AI1683">
        <f>IF([3]Entry!$E$1686="","",[3]Entry!$E$1686)</f>
        <v/>
      </c>
      <c r="AJ1683">
        <f>IF([3]Entry!$G$1686="","",[3]Entry!$G$1686)</f>
        <v/>
      </c>
      <c r="AK1683">
        <f>IF([3]Entry!$K$1686="","",[3]Entry!$K$1686)</f>
        <v/>
      </c>
      <c r="AL1683">
        <f>IF([3]Entry!$L$1686="","",[3]Entry!$L$1686)</f>
        <v/>
      </c>
      <c r="AM1683">
        <f>IF([3]Entry!$M$1686="","",[3]Entry!$M$1686)</f>
        <v/>
      </c>
      <c r="AN1683">
        <f>IF([3]Entry!$N$1686="","",[3]Entry!$N$1686)</f>
        <v/>
      </c>
      <c r="AO1683">
        <f>IF([3]Entry!$R$1686="","",[3]Entry!$R$1686)</f>
        <v/>
      </c>
    </row>
    <row r="1684">
      <c r="U1684">
        <f>IF([2]Baskol!$B$1687="","",[2]Baskol!$B$1687)</f>
        <v/>
      </c>
      <c r="V1684">
        <f>IF([2]Baskol!$C$1687="","",[2]Baskol!$C$1687)</f>
        <v/>
      </c>
      <c r="W1684">
        <f>IF([2]Baskol!$D$1687="","",[2]Baskol!$D$1687)</f>
        <v/>
      </c>
      <c r="X1684">
        <f>IF([2]Baskol!$E$1687="","",[2]Baskol!$E$1687)</f>
        <v/>
      </c>
      <c r="Y1684">
        <f>IF([2]Baskol!$G$1687="","",[2]Baskol!$G$1687)</f>
        <v/>
      </c>
      <c r="Z1684">
        <f>IF([2]Baskol!$I$1687="","",[2]Baskol!$I$1687)</f>
        <v/>
      </c>
      <c r="AA1684">
        <f>IF([2]Baskol!$J$1687="","",[2]Baskol!$J$1687)</f>
        <v/>
      </c>
      <c r="AB1684">
        <f>IF([2]Baskol!$K$1687="","",[2]Baskol!$K$1687)</f>
        <v/>
      </c>
      <c r="AC1684">
        <f>IF([2]Baskol!$L$1687="","",[2]Baskol!$L$1687)</f>
        <v/>
      </c>
      <c r="AD1684">
        <f>IF([2]Baskol!$N$1687="","",[2]Baskol!$N$1687)</f>
        <v/>
      </c>
      <c r="AE1684">
        <f>IF([2]Baskol!$O$1687="","",[2]Baskol!$O$1687)</f>
        <v/>
      </c>
      <c r="AG1684">
        <f>IF([3]Entry!$C$1687="","",[3]Entry!$C$1687)</f>
        <v/>
      </c>
      <c r="AH1684">
        <f>IF([3]Entry!$D$1687="","",[3]Entry!$D$1687)</f>
        <v/>
      </c>
      <c r="AI1684">
        <f>IF([3]Entry!$E$1687="","",[3]Entry!$E$1687)</f>
        <v/>
      </c>
      <c r="AJ1684">
        <f>IF([3]Entry!$G$1687="","",[3]Entry!$G$1687)</f>
        <v/>
      </c>
      <c r="AK1684">
        <f>IF([3]Entry!$K$1687="","",[3]Entry!$K$1687)</f>
        <v/>
      </c>
      <c r="AL1684">
        <f>IF([3]Entry!$L$1687="","",[3]Entry!$L$1687)</f>
        <v/>
      </c>
      <c r="AM1684">
        <f>IF([3]Entry!$M$1687="","",[3]Entry!$M$1687)</f>
        <v/>
      </c>
      <c r="AN1684">
        <f>IF([3]Entry!$N$1687="","",[3]Entry!$N$1687)</f>
        <v/>
      </c>
      <c r="AO1684">
        <f>IF([3]Entry!$R$1687="","",[3]Entry!$R$1687)</f>
        <v/>
      </c>
    </row>
    <row r="1685">
      <c r="U1685">
        <f>IF([2]Baskol!$B$1688="","",[2]Baskol!$B$1688)</f>
        <v/>
      </c>
      <c r="V1685">
        <f>IF([2]Baskol!$C$1688="","",[2]Baskol!$C$1688)</f>
        <v/>
      </c>
      <c r="W1685">
        <f>IF([2]Baskol!$D$1688="","",[2]Baskol!$D$1688)</f>
        <v/>
      </c>
      <c r="X1685">
        <f>IF([2]Baskol!$E$1688="","",[2]Baskol!$E$1688)</f>
        <v/>
      </c>
      <c r="Y1685">
        <f>IF([2]Baskol!$G$1688="","",[2]Baskol!$G$1688)</f>
        <v/>
      </c>
      <c r="Z1685">
        <f>IF([2]Baskol!$I$1688="","",[2]Baskol!$I$1688)</f>
        <v/>
      </c>
      <c r="AA1685">
        <f>IF([2]Baskol!$J$1688="","",[2]Baskol!$J$1688)</f>
        <v/>
      </c>
      <c r="AB1685">
        <f>IF([2]Baskol!$K$1688="","",[2]Baskol!$K$1688)</f>
        <v/>
      </c>
      <c r="AC1685">
        <f>IF([2]Baskol!$L$1688="","",[2]Baskol!$L$1688)</f>
        <v/>
      </c>
      <c r="AD1685">
        <f>IF([2]Baskol!$N$1688="","",[2]Baskol!$N$1688)</f>
        <v/>
      </c>
      <c r="AE1685">
        <f>IF([2]Baskol!$O$1688="","",[2]Baskol!$O$1688)</f>
        <v/>
      </c>
      <c r="AG1685">
        <f>IF([3]Entry!$C$1688="","",[3]Entry!$C$1688)</f>
        <v/>
      </c>
      <c r="AH1685">
        <f>IF([3]Entry!$D$1688="","",[3]Entry!$D$1688)</f>
        <v/>
      </c>
      <c r="AI1685">
        <f>IF([3]Entry!$E$1688="","",[3]Entry!$E$1688)</f>
        <v/>
      </c>
      <c r="AJ1685">
        <f>IF([3]Entry!$G$1688="","",[3]Entry!$G$1688)</f>
        <v/>
      </c>
      <c r="AK1685">
        <f>IF([3]Entry!$K$1688="","",[3]Entry!$K$1688)</f>
        <v/>
      </c>
      <c r="AL1685">
        <f>IF([3]Entry!$L$1688="","",[3]Entry!$L$1688)</f>
        <v/>
      </c>
      <c r="AM1685">
        <f>IF([3]Entry!$M$1688="","",[3]Entry!$M$1688)</f>
        <v/>
      </c>
      <c r="AN1685">
        <f>IF([3]Entry!$N$1688="","",[3]Entry!$N$1688)</f>
        <v/>
      </c>
      <c r="AO1685">
        <f>IF([3]Entry!$R$1688="","",[3]Entry!$R$1688)</f>
        <v/>
      </c>
    </row>
    <row r="1686">
      <c r="U1686">
        <f>IF([2]Baskol!$B$1689="","",[2]Baskol!$B$1689)</f>
        <v/>
      </c>
      <c r="V1686">
        <f>IF([2]Baskol!$C$1689="","",[2]Baskol!$C$1689)</f>
        <v/>
      </c>
      <c r="W1686">
        <f>IF([2]Baskol!$D$1689="","",[2]Baskol!$D$1689)</f>
        <v/>
      </c>
      <c r="X1686">
        <f>IF([2]Baskol!$E$1689="","",[2]Baskol!$E$1689)</f>
        <v/>
      </c>
      <c r="Y1686">
        <f>IF([2]Baskol!$G$1689="","",[2]Baskol!$G$1689)</f>
        <v/>
      </c>
      <c r="Z1686">
        <f>IF([2]Baskol!$I$1689="","",[2]Baskol!$I$1689)</f>
        <v/>
      </c>
      <c r="AA1686">
        <f>IF([2]Baskol!$J$1689="","",[2]Baskol!$J$1689)</f>
        <v/>
      </c>
      <c r="AB1686">
        <f>IF([2]Baskol!$K$1689="","",[2]Baskol!$K$1689)</f>
        <v/>
      </c>
      <c r="AC1686">
        <f>IF([2]Baskol!$L$1689="","",[2]Baskol!$L$1689)</f>
        <v/>
      </c>
      <c r="AD1686">
        <f>IF([2]Baskol!$N$1689="","",[2]Baskol!$N$1689)</f>
        <v/>
      </c>
      <c r="AE1686">
        <f>IF([2]Baskol!$O$1689="","",[2]Baskol!$O$1689)</f>
        <v/>
      </c>
      <c r="AG1686">
        <f>IF([3]Entry!$C$1689="","",[3]Entry!$C$1689)</f>
        <v/>
      </c>
      <c r="AH1686">
        <f>IF([3]Entry!$D$1689="","",[3]Entry!$D$1689)</f>
        <v/>
      </c>
      <c r="AI1686">
        <f>IF([3]Entry!$E$1689="","",[3]Entry!$E$1689)</f>
        <v/>
      </c>
      <c r="AJ1686">
        <f>IF([3]Entry!$G$1689="","",[3]Entry!$G$1689)</f>
        <v/>
      </c>
      <c r="AK1686">
        <f>IF([3]Entry!$K$1689="","",[3]Entry!$K$1689)</f>
        <v/>
      </c>
      <c r="AL1686">
        <f>IF([3]Entry!$L$1689="","",[3]Entry!$L$1689)</f>
        <v/>
      </c>
      <c r="AM1686">
        <f>IF([3]Entry!$M$1689="","",[3]Entry!$M$1689)</f>
        <v/>
      </c>
      <c r="AN1686">
        <f>IF([3]Entry!$N$1689="","",[3]Entry!$N$1689)</f>
        <v/>
      </c>
      <c r="AO1686">
        <f>IF([3]Entry!$R$1689="","",[3]Entry!$R$1689)</f>
        <v/>
      </c>
    </row>
    <row r="1687">
      <c r="U1687">
        <f>IF([2]Baskol!$B$1690="","",[2]Baskol!$B$1690)</f>
        <v/>
      </c>
      <c r="V1687">
        <f>IF([2]Baskol!$C$1690="","",[2]Baskol!$C$1690)</f>
        <v/>
      </c>
      <c r="W1687">
        <f>IF([2]Baskol!$D$1690="","",[2]Baskol!$D$1690)</f>
        <v/>
      </c>
      <c r="X1687">
        <f>IF([2]Baskol!$E$1690="","",[2]Baskol!$E$1690)</f>
        <v/>
      </c>
      <c r="Y1687">
        <f>IF([2]Baskol!$G$1690="","",[2]Baskol!$G$1690)</f>
        <v/>
      </c>
      <c r="Z1687">
        <f>IF([2]Baskol!$I$1690="","",[2]Baskol!$I$1690)</f>
        <v/>
      </c>
      <c r="AA1687">
        <f>IF([2]Baskol!$J$1690="","",[2]Baskol!$J$1690)</f>
        <v/>
      </c>
      <c r="AB1687">
        <f>IF([2]Baskol!$K$1690="","",[2]Baskol!$K$1690)</f>
        <v/>
      </c>
      <c r="AC1687">
        <f>IF([2]Baskol!$L$1690="","",[2]Baskol!$L$1690)</f>
        <v/>
      </c>
      <c r="AD1687">
        <f>IF([2]Baskol!$N$1690="","",[2]Baskol!$N$1690)</f>
        <v/>
      </c>
      <c r="AE1687">
        <f>IF([2]Baskol!$O$1690="","",[2]Baskol!$O$1690)</f>
        <v/>
      </c>
      <c r="AG1687">
        <f>IF([3]Entry!$C$1690="","",[3]Entry!$C$1690)</f>
        <v/>
      </c>
      <c r="AH1687">
        <f>IF([3]Entry!$D$1690="","",[3]Entry!$D$1690)</f>
        <v/>
      </c>
      <c r="AI1687">
        <f>IF([3]Entry!$E$1690="","",[3]Entry!$E$1690)</f>
        <v/>
      </c>
      <c r="AJ1687">
        <f>IF([3]Entry!$G$1690="","",[3]Entry!$G$1690)</f>
        <v/>
      </c>
      <c r="AK1687">
        <f>IF([3]Entry!$K$1690="","",[3]Entry!$K$1690)</f>
        <v/>
      </c>
      <c r="AL1687">
        <f>IF([3]Entry!$L$1690="","",[3]Entry!$L$1690)</f>
        <v/>
      </c>
      <c r="AM1687">
        <f>IF([3]Entry!$M$1690="","",[3]Entry!$M$1690)</f>
        <v/>
      </c>
      <c r="AN1687">
        <f>IF([3]Entry!$N$1690="","",[3]Entry!$N$1690)</f>
        <v/>
      </c>
      <c r="AO1687">
        <f>IF([3]Entry!$R$1690="","",[3]Entry!$R$1690)</f>
        <v/>
      </c>
    </row>
    <row r="1688">
      <c r="U1688">
        <f>IF([2]Baskol!$B$1691="","",[2]Baskol!$B$1691)</f>
        <v/>
      </c>
      <c r="V1688">
        <f>IF([2]Baskol!$C$1691="","",[2]Baskol!$C$1691)</f>
        <v/>
      </c>
      <c r="W1688">
        <f>IF([2]Baskol!$D$1691="","",[2]Baskol!$D$1691)</f>
        <v/>
      </c>
      <c r="X1688">
        <f>IF([2]Baskol!$E$1691="","",[2]Baskol!$E$1691)</f>
        <v/>
      </c>
      <c r="Y1688">
        <f>IF([2]Baskol!$G$1691="","",[2]Baskol!$G$1691)</f>
        <v/>
      </c>
      <c r="Z1688">
        <f>IF([2]Baskol!$I$1691="","",[2]Baskol!$I$1691)</f>
        <v/>
      </c>
      <c r="AA1688">
        <f>IF([2]Baskol!$J$1691="","",[2]Baskol!$J$1691)</f>
        <v/>
      </c>
      <c r="AB1688">
        <f>IF([2]Baskol!$K$1691="","",[2]Baskol!$K$1691)</f>
        <v/>
      </c>
      <c r="AC1688">
        <f>IF([2]Baskol!$L$1691="","",[2]Baskol!$L$1691)</f>
        <v/>
      </c>
      <c r="AD1688">
        <f>IF([2]Baskol!$N$1691="","",[2]Baskol!$N$1691)</f>
        <v/>
      </c>
      <c r="AE1688">
        <f>IF([2]Baskol!$O$1691="","",[2]Baskol!$O$1691)</f>
        <v/>
      </c>
      <c r="AG1688">
        <f>IF([3]Entry!$C$1691="","",[3]Entry!$C$1691)</f>
        <v/>
      </c>
      <c r="AH1688">
        <f>IF([3]Entry!$D$1691="","",[3]Entry!$D$1691)</f>
        <v/>
      </c>
      <c r="AI1688">
        <f>IF([3]Entry!$E$1691="","",[3]Entry!$E$1691)</f>
        <v/>
      </c>
      <c r="AJ1688">
        <f>IF([3]Entry!$G$1691="","",[3]Entry!$G$1691)</f>
        <v/>
      </c>
      <c r="AK1688">
        <f>IF([3]Entry!$K$1691="","",[3]Entry!$K$1691)</f>
        <v/>
      </c>
      <c r="AL1688">
        <f>IF([3]Entry!$L$1691="","",[3]Entry!$L$1691)</f>
        <v/>
      </c>
      <c r="AM1688">
        <f>IF([3]Entry!$M$1691="","",[3]Entry!$M$1691)</f>
        <v/>
      </c>
      <c r="AN1688">
        <f>IF([3]Entry!$N$1691="","",[3]Entry!$N$1691)</f>
        <v/>
      </c>
      <c r="AO1688">
        <f>IF([3]Entry!$R$1691="","",[3]Entry!$R$1691)</f>
        <v/>
      </c>
    </row>
    <row r="1689">
      <c r="U1689">
        <f>IF([2]Baskol!$B$1692="","",[2]Baskol!$B$1692)</f>
        <v/>
      </c>
      <c r="V1689">
        <f>IF([2]Baskol!$C$1692="","",[2]Baskol!$C$1692)</f>
        <v/>
      </c>
      <c r="W1689">
        <f>IF([2]Baskol!$D$1692="","",[2]Baskol!$D$1692)</f>
        <v/>
      </c>
      <c r="X1689">
        <f>IF([2]Baskol!$E$1692="","",[2]Baskol!$E$1692)</f>
        <v/>
      </c>
      <c r="Y1689">
        <f>IF([2]Baskol!$G$1692="","",[2]Baskol!$G$1692)</f>
        <v/>
      </c>
      <c r="Z1689">
        <f>IF([2]Baskol!$I$1692="","",[2]Baskol!$I$1692)</f>
        <v/>
      </c>
      <c r="AA1689">
        <f>IF([2]Baskol!$J$1692="","",[2]Baskol!$J$1692)</f>
        <v/>
      </c>
      <c r="AB1689">
        <f>IF([2]Baskol!$K$1692="","",[2]Baskol!$K$1692)</f>
        <v/>
      </c>
      <c r="AC1689">
        <f>IF([2]Baskol!$L$1692="","",[2]Baskol!$L$1692)</f>
        <v/>
      </c>
      <c r="AD1689">
        <f>IF([2]Baskol!$N$1692="","",[2]Baskol!$N$1692)</f>
        <v/>
      </c>
      <c r="AE1689">
        <f>IF([2]Baskol!$O$1692="","",[2]Baskol!$O$1692)</f>
        <v/>
      </c>
      <c r="AG1689">
        <f>IF([3]Entry!$C$1692="","",[3]Entry!$C$1692)</f>
        <v/>
      </c>
      <c r="AH1689">
        <f>IF([3]Entry!$D$1692="","",[3]Entry!$D$1692)</f>
        <v/>
      </c>
      <c r="AI1689">
        <f>IF([3]Entry!$E$1692="","",[3]Entry!$E$1692)</f>
        <v/>
      </c>
      <c r="AJ1689">
        <f>IF([3]Entry!$G$1692="","",[3]Entry!$G$1692)</f>
        <v/>
      </c>
      <c r="AK1689">
        <f>IF([3]Entry!$K$1692="","",[3]Entry!$K$1692)</f>
        <v/>
      </c>
      <c r="AL1689">
        <f>IF([3]Entry!$L$1692="","",[3]Entry!$L$1692)</f>
        <v/>
      </c>
      <c r="AM1689">
        <f>IF([3]Entry!$M$1692="","",[3]Entry!$M$1692)</f>
        <v/>
      </c>
      <c r="AN1689">
        <f>IF([3]Entry!$N$1692="","",[3]Entry!$N$1692)</f>
        <v/>
      </c>
      <c r="AO1689">
        <f>IF([3]Entry!$R$1692="","",[3]Entry!$R$1692)</f>
        <v/>
      </c>
    </row>
    <row r="1690">
      <c r="U1690">
        <f>IF([2]Baskol!$B$1693="","",[2]Baskol!$B$1693)</f>
        <v/>
      </c>
      <c r="V1690">
        <f>IF([2]Baskol!$C$1693="","",[2]Baskol!$C$1693)</f>
        <v/>
      </c>
      <c r="W1690">
        <f>IF([2]Baskol!$D$1693="","",[2]Baskol!$D$1693)</f>
        <v/>
      </c>
      <c r="X1690">
        <f>IF([2]Baskol!$E$1693="","",[2]Baskol!$E$1693)</f>
        <v/>
      </c>
      <c r="Y1690">
        <f>IF([2]Baskol!$G$1693="","",[2]Baskol!$G$1693)</f>
        <v/>
      </c>
      <c r="Z1690">
        <f>IF([2]Baskol!$I$1693="","",[2]Baskol!$I$1693)</f>
        <v/>
      </c>
      <c r="AA1690">
        <f>IF([2]Baskol!$J$1693="","",[2]Baskol!$J$1693)</f>
        <v/>
      </c>
      <c r="AB1690">
        <f>IF([2]Baskol!$K$1693="","",[2]Baskol!$K$1693)</f>
        <v/>
      </c>
      <c r="AC1690">
        <f>IF([2]Baskol!$L$1693="","",[2]Baskol!$L$1693)</f>
        <v/>
      </c>
      <c r="AD1690">
        <f>IF([2]Baskol!$N$1693="","",[2]Baskol!$N$1693)</f>
        <v/>
      </c>
      <c r="AE1690">
        <f>IF([2]Baskol!$O$1693="","",[2]Baskol!$O$1693)</f>
        <v/>
      </c>
      <c r="AG1690">
        <f>IF([3]Entry!$C$1693="","",[3]Entry!$C$1693)</f>
        <v/>
      </c>
      <c r="AH1690">
        <f>IF([3]Entry!$D$1693="","",[3]Entry!$D$1693)</f>
        <v/>
      </c>
      <c r="AI1690">
        <f>IF([3]Entry!$E$1693="","",[3]Entry!$E$1693)</f>
        <v/>
      </c>
      <c r="AJ1690">
        <f>IF([3]Entry!$G$1693="","",[3]Entry!$G$1693)</f>
        <v/>
      </c>
      <c r="AK1690">
        <f>IF([3]Entry!$K$1693="","",[3]Entry!$K$1693)</f>
        <v/>
      </c>
      <c r="AL1690">
        <f>IF([3]Entry!$L$1693="","",[3]Entry!$L$1693)</f>
        <v/>
      </c>
      <c r="AM1690">
        <f>IF([3]Entry!$M$1693="","",[3]Entry!$M$1693)</f>
        <v/>
      </c>
      <c r="AN1690">
        <f>IF([3]Entry!$N$1693="","",[3]Entry!$N$1693)</f>
        <v/>
      </c>
      <c r="AO1690">
        <f>IF([3]Entry!$R$1693="","",[3]Entry!$R$1693)</f>
        <v/>
      </c>
    </row>
    <row r="1691">
      <c r="U1691">
        <f>IF([2]Baskol!$B$1694="","",[2]Baskol!$B$1694)</f>
        <v/>
      </c>
      <c r="V1691">
        <f>IF([2]Baskol!$C$1694="","",[2]Baskol!$C$1694)</f>
        <v/>
      </c>
      <c r="W1691">
        <f>IF([2]Baskol!$D$1694="","",[2]Baskol!$D$1694)</f>
        <v/>
      </c>
      <c r="X1691">
        <f>IF([2]Baskol!$E$1694="","",[2]Baskol!$E$1694)</f>
        <v/>
      </c>
      <c r="Y1691">
        <f>IF([2]Baskol!$G$1694="","",[2]Baskol!$G$1694)</f>
        <v/>
      </c>
      <c r="Z1691">
        <f>IF([2]Baskol!$I$1694="","",[2]Baskol!$I$1694)</f>
        <v/>
      </c>
      <c r="AA1691">
        <f>IF([2]Baskol!$J$1694="","",[2]Baskol!$J$1694)</f>
        <v/>
      </c>
      <c r="AB1691">
        <f>IF([2]Baskol!$K$1694="","",[2]Baskol!$K$1694)</f>
        <v/>
      </c>
      <c r="AC1691">
        <f>IF([2]Baskol!$L$1694="","",[2]Baskol!$L$1694)</f>
        <v/>
      </c>
      <c r="AD1691">
        <f>IF([2]Baskol!$N$1694="","",[2]Baskol!$N$1694)</f>
        <v/>
      </c>
      <c r="AE1691">
        <f>IF([2]Baskol!$O$1694="","",[2]Baskol!$O$1694)</f>
        <v/>
      </c>
      <c r="AG1691">
        <f>IF([3]Entry!$C$1694="","",[3]Entry!$C$1694)</f>
        <v/>
      </c>
      <c r="AH1691">
        <f>IF([3]Entry!$D$1694="","",[3]Entry!$D$1694)</f>
        <v/>
      </c>
      <c r="AI1691">
        <f>IF([3]Entry!$E$1694="","",[3]Entry!$E$1694)</f>
        <v/>
      </c>
      <c r="AJ1691">
        <f>IF([3]Entry!$G$1694="","",[3]Entry!$G$1694)</f>
        <v/>
      </c>
      <c r="AK1691">
        <f>IF([3]Entry!$K$1694="","",[3]Entry!$K$1694)</f>
        <v/>
      </c>
      <c r="AL1691">
        <f>IF([3]Entry!$L$1694="","",[3]Entry!$L$1694)</f>
        <v/>
      </c>
      <c r="AM1691">
        <f>IF([3]Entry!$M$1694="","",[3]Entry!$M$1694)</f>
        <v/>
      </c>
      <c r="AN1691">
        <f>IF([3]Entry!$N$1694="","",[3]Entry!$N$1694)</f>
        <v/>
      </c>
      <c r="AO1691">
        <f>IF([3]Entry!$R$1694="","",[3]Entry!$R$1694)</f>
        <v/>
      </c>
    </row>
    <row r="1692">
      <c r="U1692">
        <f>IF([2]Baskol!$B$1695="","",[2]Baskol!$B$1695)</f>
        <v/>
      </c>
      <c r="V1692">
        <f>IF([2]Baskol!$C$1695="","",[2]Baskol!$C$1695)</f>
        <v/>
      </c>
      <c r="W1692">
        <f>IF([2]Baskol!$D$1695="","",[2]Baskol!$D$1695)</f>
        <v/>
      </c>
      <c r="X1692">
        <f>IF([2]Baskol!$E$1695="","",[2]Baskol!$E$1695)</f>
        <v/>
      </c>
      <c r="Y1692">
        <f>IF([2]Baskol!$G$1695="","",[2]Baskol!$G$1695)</f>
        <v/>
      </c>
      <c r="Z1692">
        <f>IF([2]Baskol!$I$1695="","",[2]Baskol!$I$1695)</f>
        <v/>
      </c>
      <c r="AA1692">
        <f>IF([2]Baskol!$J$1695="","",[2]Baskol!$J$1695)</f>
        <v/>
      </c>
      <c r="AB1692">
        <f>IF([2]Baskol!$K$1695="","",[2]Baskol!$K$1695)</f>
        <v/>
      </c>
      <c r="AC1692">
        <f>IF([2]Baskol!$L$1695="","",[2]Baskol!$L$1695)</f>
        <v/>
      </c>
      <c r="AD1692">
        <f>IF([2]Baskol!$N$1695="","",[2]Baskol!$N$1695)</f>
        <v/>
      </c>
      <c r="AE1692">
        <f>IF([2]Baskol!$O$1695="","",[2]Baskol!$O$1695)</f>
        <v/>
      </c>
      <c r="AG1692">
        <f>IF([3]Entry!$C$1695="","",[3]Entry!$C$1695)</f>
        <v/>
      </c>
      <c r="AH1692">
        <f>IF([3]Entry!$D$1695="","",[3]Entry!$D$1695)</f>
        <v/>
      </c>
      <c r="AI1692">
        <f>IF([3]Entry!$E$1695="","",[3]Entry!$E$1695)</f>
        <v/>
      </c>
      <c r="AJ1692">
        <f>IF([3]Entry!$G$1695="","",[3]Entry!$G$1695)</f>
        <v/>
      </c>
      <c r="AK1692">
        <f>IF([3]Entry!$K$1695="","",[3]Entry!$K$1695)</f>
        <v/>
      </c>
      <c r="AL1692">
        <f>IF([3]Entry!$L$1695="","",[3]Entry!$L$1695)</f>
        <v/>
      </c>
      <c r="AM1692">
        <f>IF([3]Entry!$M$1695="","",[3]Entry!$M$1695)</f>
        <v/>
      </c>
      <c r="AN1692">
        <f>IF([3]Entry!$N$1695="","",[3]Entry!$N$1695)</f>
        <v/>
      </c>
      <c r="AO1692">
        <f>IF([3]Entry!$R$1695="","",[3]Entry!$R$1695)</f>
        <v/>
      </c>
    </row>
    <row r="1693">
      <c r="U1693">
        <f>IF([2]Baskol!$B$1696="","",[2]Baskol!$B$1696)</f>
        <v/>
      </c>
      <c r="V1693">
        <f>IF([2]Baskol!$C$1696="","",[2]Baskol!$C$1696)</f>
        <v/>
      </c>
      <c r="W1693">
        <f>IF([2]Baskol!$D$1696="","",[2]Baskol!$D$1696)</f>
        <v/>
      </c>
      <c r="X1693">
        <f>IF([2]Baskol!$E$1696="","",[2]Baskol!$E$1696)</f>
        <v/>
      </c>
      <c r="Y1693">
        <f>IF([2]Baskol!$G$1696="","",[2]Baskol!$G$1696)</f>
        <v/>
      </c>
      <c r="Z1693">
        <f>IF([2]Baskol!$I$1696="","",[2]Baskol!$I$1696)</f>
        <v/>
      </c>
      <c r="AA1693">
        <f>IF([2]Baskol!$J$1696="","",[2]Baskol!$J$1696)</f>
        <v/>
      </c>
      <c r="AB1693">
        <f>IF([2]Baskol!$K$1696="","",[2]Baskol!$K$1696)</f>
        <v/>
      </c>
      <c r="AC1693">
        <f>IF([2]Baskol!$L$1696="","",[2]Baskol!$L$1696)</f>
        <v/>
      </c>
      <c r="AD1693">
        <f>IF([2]Baskol!$N$1696="","",[2]Baskol!$N$1696)</f>
        <v/>
      </c>
      <c r="AE1693">
        <f>IF([2]Baskol!$O$1696="","",[2]Baskol!$O$1696)</f>
        <v/>
      </c>
      <c r="AG1693">
        <f>IF([3]Entry!$C$1696="","",[3]Entry!$C$1696)</f>
        <v/>
      </c>
      <c r="AH1693">
        <f>IF([3]Entry!$D$1696="","",[3]Entry!$D$1696)</f>
        <v/>
      </c>
      <c r="AI1693">
        <f>IF([3]Entry!$E$1696="","",[3]Entry!$E$1696)</f>
        <v/>
      </c>
      <c r="AJ1693">
        <f>IF([3]Entry!$G$1696="","",[3]Entry!$G$1696)</f>
        <v/>
      </c>
      <c r="AK1693">
        <f>IF([3]Entry!$K$1696="","",[3]Entry!$K$1696)</f>
        <v/>
      </c>
      <c r="AL1693">
        <f>IF([3]Entry!$L$1696="","",[3]Entry!$L$1696)</f>
        <v/>
      </c>
      <c r="AM1693">
        <f>IF([3]Entry!$M$1696="","",[3]Entry!$M$1696)</f>
        <v/>
      </c>
      <c r="AN1693">
        <f>IF([3]Entry!$N$1696="","",[3]Entry!$N$1696)</f>
        <v/>
      </c>
      <c r="AO1693">
        <f>IF([3]Entry!$R$1696="","",[3]Entry!$R$1696)</f>
        <v/>
      </c>
    </row>
    <row r="1694">
      <c r="U1694">
        <f>IF([2]Baskol!$B$1697="","",[2]Baskol!$B$1697)</f>
        <v/>
      </c>
      <c r="V1694">
        <f>IF([2]Baskol!$C$1697="","",[2]Baskol!$C$1697)</f>
        <v/>
      </c>
      <c r="W1694">
        <f>IF([2]Baskol!$D$1697="","",[2]Baskol!$D$1697)</f>
        <v/>
      </c>
      <c r="X1694">
        <f>IF([2]Baskol!$E$1697="","",[2]Baskol!$E$1697)</f>
        <v/>
      </c>
      <c r="Y1694">
        <f>IF([2]Baskol!$G$1697="","",[2]Baskol!$G$1697)</f>
        <v/>
      </c>
      <c r="Z1694">
        <f>IF([2]Baskol!$I$1697="","",[2]Baskol!$I$1697)</f>
        <v/>
      </c>
      <c r="AA1694">
        <f>IF([2]Baskol!$J$1697="","",[2]Baskol!$J$1697)</f>
        <v/>
      </c>
      <c r="AB1694">
        <f>IF([2]Baskol!$K$1697="","",[2]Baskol!$K$1697)</f>
        <v/>
      </c>
      <c r="AC1694">
        <f>IF([2]Baskol!$L$1697="","",[2]Baskol!$L$1697)</f>
        <v/>
      </c>
      <c r="AD1694">
        <f>IF([2]Baskol!$N$1697="","",[2]Baskol!$N$1697)</f>
        <v/>
      </c>
      <c r="AE1694">
        <f>IF([2]Baskol!$O$1697="","",[2]Baskol!$O$1697)</f>
        <v/>
      </c>
      <c r="AG1694">
        <f>IF([3]Entry!$C$1697="","",[3]Entry!$C$1697)</f>
        <v/>
      </c>
      <c r="AH1694">
        <f>IF([3]Entry!$D$1697="","",[3]Entry!$D$1697)</f>
        <v/>
      </c>
      <c r="AI1694">
        <f>IF([3]Entry!$E$1697="","",[3]Entry!$E$1697)</f>
        <v/>
      </c>
      <c r="AJ1694">
        <f>IF([3]Entry!$G$1697="","",[3]Entry!$G$1697)</f>
        <v/>
      </c>
      <c r="AK1694">
        <f>IF([3]Entry!$K$1697="","",[3]Entry!$K$1697)</f>
        <v/>
      </c>
      <c r="AL1694">
        <f>IF([3]Entry!$L$1697="","",[3]Entry!$L$1697)</f>
        <v/>
      </c>
      <c r="AM1694">
        <f>IF([3]Entry!$M$1697="","",[3]Entry!$M$1697)</f>
        <v/>
      </c>
      <c r="AN1694">
        <f>IF([3]Entry!$N$1697="","",[3]Entry!$N$1697)</f>
        <v/>
      </c>
      <c r="AO1694">
        <f>IF([3]Entry!$R$1697="","",[3]Entry!$R$1697)</f>
        <v/>
      </c>
    </row>
    <row r="1695">
      <c r="U1695">
        <f>IF([2]Baskol!$B$1698="","",[2]Baskol!$B$1698)</f>
        <v/>
      </c>
      <c r="V1695">
        <f>IF([2]Baskol!$C$1698="","",[2]Baskol!$C$1698)</f>
        <v/>
      </c>
      <c r="W1695">
        <f>IF([2]Baskol!$D$1698="","",[2]Baskol!$D$1698)</f>
        <v/>
      </c>
      <c r="X1695">
        <f>IF([2]Baskol!$E$1698="","",[2]Baskol!$E$1698)</f>
        <v/>
      </c>
      <c r="Y1695">
        <f>IF([2]Baskol!$G$1698="","",[2]Baskol!$G$1698)</f>
        <v/>
      </c>
      <c r="Z1695">
        <f>IF([2]Baskol!$I$1698="","",[2]Baskol!$I$1698)</f>
        <v/>
      </c>
      <c r="AA1695">
        <f>IF([2]Baskol!$J$1698="","",[2]Baskol!$J$1698)</f>
        <v/>
      </c>
      <c r="AB1695">
        <f>IF([2]Baskol!$K$1698="","",[2]Baskol!$K$1698)</f>
        <v/>
      </c>
      <c r="AC1695">
        <f>IF([2]Baskol!$L$1698="","",[2]Baskol!$L$1698)</f>
        <v/>
      </c>
      <c r="AD1695">
        <f>IF([2]Baskol!$N$1698="","",[2]Baskol!$N$1698)</f>
        <v/>
      </c>
      <c r="AE1695">
        <f>IF([2]Baskol!$O$1698="","",[2]Baskol!$O$1698)</f>
        <v/>
      </c>
      <c r="AG1695">
        <f>IF([3]Entry!$C$1698="","",[3]Entry!$C$1698)</f>
        <v/>
      </c>
      <c r="AH1695">
        <f>IF([3]Entry!$D$1698="","",[3]Entry!$D$1698)</f>
        <v/>
      </c>
      <c r="AI1695">
        <f>IF([3]Entry!$E$1698="","",[3]Entry!$E$1698)</f>
        <v/>
      </c>
      <c r="AJ1695">
        <f>IF([3]Entry!$G$1698="","",[3]Entry!$G$1698)</f>
        <v/>
      </c>
      <c r="AK1695">
        <f>IF([3]Entry!$K$1698="","",[3]Entry!$K$1698)</f>
        <v/>
      </c>
      <c r="AL1695">
        <f>IF([3]Entry!$L$1698="","",[3]Entry!$L$1698)</f>
        <v/>
      </c>
      <c r="AM1695">
        <f>IF([3]Entry!$M$1698="","",[3]Entry!$M$1698)</f>
        <v/>
      </c>
      <c r="AN1695">
        <f>IF([3]Entry!$N$1698="","",[3]Entry!$N$1698)</f>
        <v/>
      </c>
      <c r="AO1695">
        <f>IF([3]Entry!$R$1698="","",[3]Entry!$R$1698)</f>
        <v/>
      </c>
    </row>
    <row r="1696">
      <c r="U1696">
        <f>IF([2]Baskol!$B$1699="","",[2]Baskol!$B$1699)</f>
        <v/>
      </c>
      <c r="V1696">
        <f>IF([2]Baskol!$C$1699="","",[2]Baskol!$C$1699)</f>
        <v/>
      </c>
      <c r="W1696">
        <f>IF([2]Baskol!$D$1699="","",[2]Baskol!$D$1699)</f>
        <v/>
      </c>
      <c r="X1696">
        <f>IF([2]Baskol!$E$1699="","",[2]Baskol!$E$1699)</f>
        <v/>
      </c>
      <c r="Y1696">
        <f>IF([2]Baskol!$G$1699="","",[2]Baskol!$G$1699)</f>
        <v/>
      </c>
      <c r="Z1696">
        <f>IF([2]Baskol!$I$1699="","",[2]Baskol!$I$1699)</f>
        <v/>
      </c>
      <c r="AA1696">
        <f>IF([2]Baskol!$J$1699="","",[2]Baskol!$J$1699)</f>
        <v/>
      </c>
      <c r="AB1696">
        <f>IF([2]Baskol!$K$1699="","",[2]Baskol!$K$1699)</f>
        <v/>
      </c>
      <c r="AC1696">
        <f>IF([2]Baskol!$L$1699="","",[2]Baskol!$L$1699)</f>
        <v/>
      </c>
      <c r="AD1696">
        <f>IF([2]Baskol!$N$1699="","",[2]Baskol!$N$1699)</f>
        <v/>
      </c>
      <c r="AE1696">
        <f>IF([2]Baskol!$O$1699="","",[2]Baskol!$O$1699)</f>
        <v/>
      </c>
      <c r="AG1696">
        <f>IF([3]Entry!$C$1699="","",[3]Entry!$C$1699)</f>
        <v/>
      </c>
      <c r="AH1696">
        <f>IF([3]Entry!$D$1699="","",[3]Entry!$D$1699)</f>
        <v/>
      </c>
      <c r="AI1696">
        <f>IF([3]Entry!$E$1699="","",[3]Entry!$E$1699)</f>
        <v/>
      </c>
      <c r="AJ1696">
        <f>IF([3]Entry!$G$1699="","",[3]Entry!$G$1699)</f>
        <v/>
      </c>
      <c r="AK1696">
        <f>IF([3]Entry!$K$1699="","",[3]Entry!$K$1699)</f>
        <v/>
      </c>
      <c r="AL1696">
        <f>IF([3]Entry!$L$1699="","",[3]Entry!$L$1699)</f>
        <v/>
      </c>
      <c r="AM1696">
        <f>IF([3]Entry!$M$1699="","",[3]Entry!$M$1699)</f>
        <v/>
      </c>
      <c r="AN1696">
        <f>IF([3]Entry!$N$1699="","",[3]Entry!$N$1699)</f>
        <v/>
      </c>
      <c r="AO1696">
        <f>IF([3]Entry!$R$1699="","",[3]Entry!$R$1699)</f>
        <v/>
      </c>
    </row>
    <row r="1697">
      <c r="U1697">
        <f>IF([2]Baskol!$B$1700="","",[2]Baskol!$B$1700)</f>
        <v/>
      </c>
      <c r="V1697">
        <f>IF([2]Baskol!$C$1700="","",[2]Baskol!$C$1700)</f>
        <v/>
      </c>
      <c r="W1697">
        <f>IF([2]Baskol!$D$1700="","",[2]Baskol!$D$1700)</f>
        <v/>
      </c>
      <c r="X1697">
        <f>IF([2]Baskol!$E$1700="","",[2]Baskol!$E$1700)</f>
        <v/>
      </c>
      <c r="Y1697">
        <f>IF([2]Baskol!$G$1700="","",[2]Baskol!$G$1700)</f>
        <v/>
      </c>
      <c r="Z1697">
        <f>IF([2]Baskol!$I$1700="","",[2]Baskol!$I$1700)</f>
        <v/>
      </c>
      <c r="AA1697">
        <f>IF([2]Baskol!$J$1700="","",[2]Baskol!$J$1700)</f>
        <v/>
      </c>
      <c r="AB1697">
        <f>IF([2]Baskol!$K$1700="","",[2]Baskol!$K$1700)</f>
        <v/>
      </c>
      <c r="AC1697">
        <f>IF([2]Baskol!$L$1700="","",[2]Baskol!$L$1700)</f>
        <v/>
      </c>
      <c r="AD1697">
        <f>IF([2]Baskol!$N$1700="","",[2]Baskol!$N$1700)</f>
        <v/>
      </c>
      <c r="AE1697">
        <f>IF([2]Baskol!$O$1700="","",[2]Baskol!$O$1700)</f>
        <v/>
      </c>
      <c r="AG1697">
        <f>IF([3]Entry!$C$1700="","",[3]Entry!$C$1700)</f>
        <v/>
      </c>
      <c r="AH1697">
        <f>IF([3]Entry!$D$1700="","",[3]Entry!$D$1700)</f>
        <v/>
      </c>
      <c r="AI1697">
        <f>IF([3]Entry!$E$1700="","",[3]Entry!$E$1700)</f>
        <v/>
      </c>
      <c r="AJ1697">
        <f>IF([3]Entry!$G$1700="","",[3]Entry!$G$1700)</f>
        <v/>
      </c>
      <c r="AK1697">
        <f>IF([3]Entry!$K$1700="","",[3]Entry!$K$1700)</f>
        <v/>
      </c>
      <c r="AL1697">
        <f>IF([3]Entry!$L$1700="","",[3]Entry!$L$1700)</f>
        <v/>
      </c>
      <c r="AM1697">
        <f>IF([3]Entry!$M$1700="","",[3]Entry!$M$1700)</f>
        <v/>
      </c>
      <c r="AN1697">
        <f>IF([3]Entry!$N$1700="","",[3]Entry!$N$1700)</f>
        <v/>
      </c>
      <c r="AO1697">
        <f>IF([3]Entry!$R$1700="","",[3]Entry!$R$1700)</f>
        <v/>
      </c>
    </row>
    <row r="1698">
      <c r="U1698">
        <f>IF([2]Baskol!$B$1701="","",[2]Baskol!$B$1701)</f>
        <v/>
      </c>
      <c r="V1698">
        <f>IF([2]Baskol!$C$1701="","",[2]Baskol!$C$1701)</f>
        <v/>
      </c>
      <c r="W1698">
        <f>IF([2]Baskol!$D$1701="","",[2]Baskol!$D$1701)</f>
        <v/>
      </c>
      <c r="X1698">
        <f>IF([2]Baskol!$E$1701="","",[2]Baskol!$E$1701)</f>
        <v/>
      </c>
      <c r="Y1698">
        <f>IF([2]Baskol!$G$1701="","",[2]Baskol!$G$1701)</f>
        <v/>
      </c>
      <c r="Z1698">
        <f>IF([2]Baskol!$I$1701="","",[2]Baskol!$I$1701)</f>
        <v/>
      </c>
      <c r="AA1698">
        <f>IF([2]Baskol!$J$1701="","",[2]Baskol!$J$1701)</f>
        <v/>
      </c>
      <c r="AB1698">
        <f>IF([2]Baskol!$K$1701="","",[2]Baskol!$K$1701)</f>
        <v/>
      </c>
      <c r="AC1698">
        <f>IF([2]Baskol!$L$1701="","",[2]Baskol!$L$1701)</f>
        <v/>
      </c>
      <c r="AD1698">
        <f>IF([2]Baskol!$N$1701="","",[2]Baskol!$N$1701)</f>
        <v/>
      </c>
      <c r="AE1698">
        <f>IF([2]Baskol!$O$1701="","",[2]Baskol!$O$1701)</f>
        <v/>
      </c>
      <c r="AG1698">
        <f>IF([3]Entry!$C$1701="","",[3]Entry!$C$1701)</f>
        <v/>
      </c>
      <c r="AH1698">
        <f>IF([3]Entry!$D$1701="","",[3]Entry!$D$1701)</f>
        <v/>
      </c>
      <c r="AI1698">
        <f>IF([3]Entry!$E$1701="","",[3]Entry!$E$1701)</f>
        <v/>
      </c>
      <c r="AJ1698">
        <f>IF([3]Entry!$G$1701="","",[3]Entry!$G$1701)</f>
        <v/>
      </c>
      <c r="AK1698">
        <f>IF([3]Entry!$K$1701="","",[3]Entry!$K$1701)</f>
        <v/>
      </c>
      <c r="AL1698">
        <f>IF([3]Entry!$L$1701="","",[3]Entry!$L$1701)</f>
        <v/>
      </c>
      <c r="AM1698">
        <f>IF([3]Entry!$M$1701="","",[3]Entry!$M$1701)</f>
        <v/>
      </c>
      <c r="AN1698">
        <f>IF([3]Entry!$N$1701="","",[3]Entry!$N$1701)</f>
        <v/>
      </c>
      <c r="AO1698">
        <f>IF([3]Entry!$R$1701="","",[3]Entry!$R$1701)</f>
        <v/>
      </c>
    </row>
    <row r="1699">
      <c r="U1699">
        <f>IF([2]Baskol!$B$1702="","",[2]Baskol!$B$1702)</f>
        <v/>
      </c>
      <c r="V1699">
        <f>IF([2]Baskol!$C$1702="","",[2]Baskol!$C$1702)</f>
        <v/>
      </c>
      <c r="W1699">
        <f>IF([2]Baskol!$D$1702="","",[2]Baskol!$D$1702)</f>
        <v/>
      </c>
      <c r="X1699">
        <f>IF([2]Baskol!$E$1702="","",[2]Baskol!$E$1702)</f>
        <v/>
      </c>
      <c r="Y1699">
        <f>IF([2]Baskol!$G$1702="","",[2]Baskol!$G$1702)</f>
        <v/>
      </c>
      <c r="Z1699">
        <f>IF([2]Baskol!$I$1702="","",[2]Baskol!$I$1702)</f>
        <v/>
      </c>
      <c r="AA1699">
        <f>IF([2]Baskol!$J$1702="","",[2]Baskol!$J$1702)</f>
        <v/>
      </c>
      <c r="AB1699">
        <f>IF([2]Baskol!$K$1702="","",[2]Baskol!$K$1702)</f>
        <v/>
      </c>
      <c r="AC1699">
        <f>IF([2]Baskol!$L$1702="","",[2]Baskol!$L$1702)</f>
        <v/>
      </c>
      <c r="AD1699">
        <f>IF([2]Baskol!$N$1702="","",[2]Baskol!$N$1702)</f>
        <v/>
      </c>
      <c r="AE1699">
        <f>IF([2]Baskol!$O$1702="","",[2]Baskol!$O$1702)</f>
        <v/>
      </c>
      <c r="AG1699">
        <f>IF([3]Entry!$C$1702="","",[3]Entry!$C$1702)</f>
        <v/>
      </c>
      <c r="AH1699">
        <f>IF([3]Entry!$D$1702="","",[3]Entry!$D$1702)</f>
        <v/>
      </c>
      <c r="AI1699">
        <f>IF([3]Entry!$E$1702="","",[3]Entry!$E$1702)</f>
        <v/>
      </c>
      <c r="AJ1699">
        <f>IF([3]Entry!$G$1702="","",[3]Entry!$G$1702)</f>
        <v/>
      </c>
      <c r="AK1699">
        <f>IF([3]Entry!$K$1702="","",[3]Entry!$K$1702)</f>
        <v/>
      </c>
      <c r="AL1699">
        <f>IF([3]Entry!$L$1702="","",[3]Entry!$L$1702)</f>
        <v/>
      </c>
      <c r="AM1699">
        <f>IF([3]Entry!$M$1702="","",[3]Entry!$M$1702)</f>
        <v/>
      </c>
      <c r="AN1699">
        <f>IF([3]Entry!$N$1702="","",[3]Entry!$N$1702)</f>
        <v/>
      </c>
      <c r="AO1699">
        <f>IF([3]Entry!$R$1702="","",[3]Entry!$R$1702)</f>
        <v/>
      </c>
    </row>
    <row r="1700">
      <c r="U1700">
        <f>IF([2]Baskol!$B$1703="","",[2]Baskol!$B$1703)</f>
        <v/>
      </c>
      <c r="V1700">
        <f>IF([2]Baskol!$C$1703="","",[2]Baskol!$C$1703)</f>
        <v/>
      </c>
      <c r="W1700">
        <f>IF([2]Baskol!$D$1703="","",[2]Baskol!$D$1703)</f>
        <v/>
      </c>
      <c r="X1700">
        <f>IF([2]Baskol!$E$1703="","",[2]Baskol!$E$1703)</f>
        <v/>
      </c>
      <c r="Y1700">
        <f>IF([2]Baskol!$G$1703="","",[2]Baskol!$G$1703)</f>
        <v/>
      </c>
      <c r="Z1700">
        <f>IF([2]Baskol!$I$1703="","",[2]Baskol!$I$1703)</f>
        <v/>
      </c>
      <c r="AA1700">
        <f>IF([2]Baskol!$J$1703="","",[2]Baskol!$J$1703)</f>
        <v/>
      </c>
      <c r="AB1700">
        <f>IF([2]Baskol!$K$1703="","",[2]Baskol!$K$1703)</f>
        <v/>
      </c>
      <c r="AC1700">
        <f>IF([2]Baskol!$L$1703="","",[2]Baskol!$L$1703)</f>
        <v/>
      </c>
      <c r="AD1700">
        <f>IF([2]Baskol!$N$1703="","",[2]Baskol!$N$1703)</f>
        <v/>
      </c>
      <c r="AE1700">
        <f>IF([2]Baskol!$O$1703="","",[2]Baskol!$O$1703)</f>
        <v/>
      </c>
      <c r="AG1700">
        <f>IF([3]Entry!$C$1703="","",[3]Entry!$C$1703)</f>
        <v/>
      </c>
      <c r="AH1700">
        <f>IF([3]Entry!$D$1703="","",[3]Entry!$D$1703)</f>
        <v/>
      </c>
      <c r="AI1700">
        <f>IF([3]Entry!$E$1703="","",[3]Entry!$E$1703)</f>
        <v/>
      </c>
      <c r="AJ1700">
        <f>IF([3]Entry!$G$1703="","",[3]Entry!$G$1703)</f>
        <v/>
      </c>
      <c r="AK1700">
        <f>IF([3]Entry!$K$1703="","",[3]Entry!$K$1703)</f>
        <v/>
      </c>
      <c r="AL1700">
        <f>IF([3]Entry!$L$1703="","",[3]Entry!$L$1703)</f>
        <v/>
      </c>
      <c r="AM1700">
        <f>IF([3]Entry!$M$1703="","",[3]Entry!$M$1703)</f>
        <v/>
      </c>
      <c r="AN1700">
        <f>IF([3]Entry!$N$1703="","",[3]Entry!$N$1703)</f>
        <v/>
      </c>
      <c r="AO1700">
        <f>IF([3]Entry!$R$1703="","",[3]Entry!$R$1703)</f>
        <v/>
      </c>
    </row>
    <row r="1701">
      <c r="U1701">
        <f>IF([2]Baskol!$B$1704="","",[2]Baskol!$B$1704)</f>
        <v/>
      </c>
      <c r="V1701">
        <f>IF([2]Baskol!$C$1704="","",[2]Baskol!$C$1704)</f>
        <v/>
      </c>
      <c r="W1701">
        <f>IF([2]Baskol!$D$1704="","",[2]Baskol!$D$1704)</f>
        <v/>
      </c>
      <c r="X1701">
        <f>IF([2]Baskol!$E$1704="","",[2]Baskol!$E$1704)</f>
        <v/>
      </c>
      <c r="Y1701">
        <f>IF([2]Baskol!$G$1704="","",[2]Baskol!$G$1704)</f>
        <v/>
      </c>
      <c r="Z1701">
        <f>IF([2]Baskol!$I$1704="","",[2]Baskol!$I$1704)</f>
        <v/>
      </c>
      <c r="AA1701">
        <f>IF([2]Baskol!$J$1704="","",[2]Baskol!$J$1704)</f>
        <v/>
      </c>
      <c r="AB1701">
        <f>IF([2]Baskol!$K$1704="","",[2]Baskol!$K$1704)</f>
        <v/>
      </c>
      <c r="AC1701">
        <f>IF([2]Baskol!$L$1704="","",[2]Baskol!$L$1704)</f>
        <v/>
      </c>
      <c r="AD1701">
        <f>IF([2]Baskol!$N$1704="","",[2]Baskol!$N$1704)</f>
        <v/>
      </c>
      <c r="AE1701">
        <f>IF([2]Baskol!$O$1704="","",[2]Baskol!$O$1704)</f>
        <v/>
      </c>
      <c r="AG1701">
        <f>IF([3]Entry!$C$1704="","",[3]Entry!$C$1704)</f>
        <v/>
      </c>
      <c r="AH1701">
        <f>IF([3]Entry!$D$1704="","",[3]Entry!$D$1704)</f>
        <v/>
      </c>
      <c r="AI1701">
        <f>IF([3]Entry!$E$1704="","",[3]Entry!$E$1704)</f>
        <v/>
      </c>
      <c r="AJ1701">
        <f>IF([3]Entry!$G$1704="","",[3]Entry!$G$1704)</f>
        <v/>
      </c>
      <c r="AK1701">
        <f>IF([3]Entry!$K$1704="","",[3]Entry!$K$1704)</f>
        <v/>
      </c>
      <c r="AL1701">
        <f>IF([3]Entry!$L$1704="","",[3]Entry!$L$1704)</f>
        <v/>
      </c>
      <c r="AM1701">
        <f>IF([3]Entry!$M$1704="","",[3]Entry!$M$1704)</f>
        <v/>
      </c>
      <c r="AN1701">
        <f>IF([3]Entry!$N$1704="","",[3]Entry!$N$1704)</f>
        <v/>
      </c>
      <c r="AO1701">
        <f>IF([3]Entry!$R$1704="","",[3]Entry!$R$1704)</f>
        <v/>
      </c>
    </row>
    <row r="1702">
      <c r="U1702">
        <f>IF([2]Baskol!$B$1705="","",[2]Baskol!$B$1705)</f>
        <v/>
      </c>
      <c r="V1702">
        <f>IF([2]Baskol!$C$1705="","",[2]Baskol!$C$1705)</f>
        <v/>
      </c>
      <c r="W1702">
        <f>IF([2]Baskol!$D$1705="","",[2]Baskol!$D$1705)</f>
        <v/>
      </c>
      <c r="X1702">
        <f>IF([2]Baskol!$E$1705="","",[2]Baskol!$E$1705)</f>
        <v/>
      </c>
      <c r="Y1702">
        <f>IF([2]Baskol!$G$1705="","",[2]Baskol!$G$1705)</f>
        <v/>
      </c>
      <c r="Z1702">
        <f>IF([2]Baskol!$I$1705="","",[2]Baskol!$I$1705)</f>
        <v/>
      </c>
      <c r="AA1702">
        <f>IF([2]Baskol!$J$1705="","",[2]Baskol!$J$1705)</f>
        <v/>
      </c>
      <c r="AB1702">
        <f>IF([2]Baskol!$K$1705="","",[2]Baskol!$K$1705)</f>
        <v/>
      </c>
      <c r="AC1702">
        <f>IF([2]Baskol!$L$1705="","",[2]Baskol!$L$1705)</f>
        <v/>
      </c>
      <c r="AD1702">
        <f>IF([2]Baskol!$N$1705="","",[2]Baskol!$N$1705)</f>
        <v/>
      </c>
      <c r="AE1702">
        <f>IF([2]Baskol!$O$1705="","",[2]Baskol!$O$1705)</f>
        <v/>
      </c>
      <c r="AG1702">
        <f>IF([3]Entry!$C$1705="","",[3]Entry!$C$1705)</f>
        <v/>
      </c>
      <c r="AH1702">
        <f>IF([3]Entry!$D$1705="","",[3]Entry!$D$1705)</f>
        <v/>
      </c>
      <c r="AI1702">
        <f>IF([3]Entry!$E$1705="","",[3]Entry!$E$1705)</f>
        <v/>
      </c>
      <c r="AJ1702">
        <f>IF([3]Entry!$G$1705="","",[3]Entry!$G$1705)</f>
        <v/>
      </c>
      <c r="AK1702">
        <f>IF([3]Entry!$K$1705="","",[3]Entry!$K$1705)</f>
        <v/>
      </c>
      <c r="AL1702">
        <f>IF([3]Entry!$L$1705="","",[3]Entry!$L$1705)</f>
        <v/>
      </c>
      <c r="AM1702">
        <f>IF([3]Entry!$M$1705="","",[3]Entry!$M$1705)</f>
        <v/>
      </c>
      <c r="AN1702">
        <f>IF([3]Entry!$N$1705="","",[3]Entry!$N$1705)</f>
        <v/>
      </c>
      <c r="AO1702">
        <f>IF([3]Entry!$R$1705="","",[3]Entry!$R$1705)</f>
        <v/>
      </c>
    </row>
    <row r="1703">
      <c r="U1703">
        <f>IF([2]Baskol!$B$1706="","",[2]Baskol!$B$1706)</f>
        <v/>
      </c>
      <c r="V1703">
        <f>IF([2]Baskol!$C$1706="","",[2]Baskol!$C$1706)</f>
        <v/>
      </c>
      <c r="W1703">
        <f>IF([2]Baskol!$D$1706="","",[2]Baskol!$D$1706)</f>
        <v/>
      </c>
      <c r="X1703">
        <f>IF([2]Baskol!$E$1706="","",[2]Baskol!$E$1706)</f>
        <v/>
      </c>
      <c r="Y1703">
        <f>IF([2]Baskol!$G$1706="","",[2]Baskol!$G$1706)</f>
        <v/>
      </c>
      <c r="Z1703">
        <f>IF([2]Baskol!$I$1706="","",[2]Baskol!$I$1706)</f>
        <v/>
      </c>
      <c r="AA1703">
        <f>IF([2]Baskol!$J$1706="","",[2]Baskol!$J$1706)</f>
        <v/>
      </c>
      <c r="AB1703">
        <f>IF([2]Baskol!$K$1706="","",[2]Baskol!$K$1706)</f>
        <v/>
      </c>
      <c r="AC1703">
        <f>IF([2]Baskol!$L$1706="","",[2]Baskol!$L$1706)</f>
        <v/>
      </c>
      <c r="AD1703">
        <f>IF([2]Baskol!$N$1706="","",[2]Baskol!$N$1706)</f>
        <v/>
      </c>
      <c r="AE1703">
        <f>IF([2]Baskol!$O$1706="","",[2]Baskol!$O$1706)</f>
        <v/>
      </c>
      <c r="AG1703">
        <f>IF([3]Entry!$C$1706="","",[3]Entry!$C$1706)</f>
        <v/>
      </c>
      <c r="AH1703">
        <f>IF([3]Entry!$D$1706="","",[3]Entry!$D$1706)</f>
        <v/>
      </c>
      <c r="AI1703">
        <f>IF([3]Entry!$E$1706="","",[3]Entry!$E$1706)</f>
        <v/>
      </c>
      <c r="AJ1703">
        <f>IF([3]Entry!$G$1706="","",[3]Entry!$G$1706)</f>
        <v/>
      </c>
      <c r="AK1703">
        <f>IF([3]Entry!$K$1706="","",[3]Entry!$K$1706)</f>
        <v/>
      </c>
      <c r="AL1703">
        <f>IF([3]Entry!$L$1706="","",[3]Entry!$L$1706)</f>
        <v/>
      </c>
      <c r="AM1703">
        <f>IF([3]Entry!$M$1706="","",[3]Entry!$M$1706)</f>
        <v/>
      </c>
      <c r="AN1703">
        <f>IF([3]Entry!$N$1706="","",[3]Entry!$N$1706)</f>
        <v/>
      </c>
      <c r="AO1703">
        <f>IF([3]Entry!$R$1706="","",[3]Entry!$R$1706)</f>
        <v/>
      </c>
    </row>
    <row r="1704">
      <c r="U1704">
        <f>IF([2]Baskol!$B$1707="","",[2]Baskol!$B$1707)</f>
        <v/>
      </c>
      <c r="V1704">
        <f>IF([2]Baskol!$C$1707="","",[2]Baskol!$C$1707)</f>
        <v/>
      </c>
      <c r="W1704">
        <f>IF([2]Baskol!$D$1707="","",[2]Baskol!$D$1707)</f>
        <v/>
      </c>
      <c r="X1704">
        <f>IF([2]Baskol!$E$1707="","",[2]Baskol!$E$1707)</f>
        <v/>
      </c>
      <c r="Y1704">
        <f>IF([2]Baskol!$G$1707="","",[2]Baskol!$G$1707)</f>
        <v/>
      </c>
      <c r="Z1704">
        <f>IF([2]Baskol!$I$1707="","",[2]Baskol!$I$1707)</f>
        <v/>
      </c>
      <c r="AA1704">
        <f>IF([2]Baskol!$J$1707="","",[2]Baskol!$J$1707)</f>
        <v/>
      </c>
      <c r="AB1704">
        <f>IF([2]Baskol!$K$1707="","",[2]Baskol!$K$1707)</f>
        <v/>
      </c>
      <c r="AC1704">
        <f>IF([2]Baskol!$L$1707="","",[2]Baskol!$L$1707)</f>
        <v/>
      </c>
      <c r="AD1704">
        <f>IF([2]Baskol!$N$1707="","",[2]Baskol!$N$1707)</f>
        <v/>
      </c>
      <c r="AE1704">
        <f>IF([2]Baskol!$O$1707="","",[2]Baskol!$O$1707)</f>
        <v/>
      </c>
      <c r="AG1704">
        <f>IF([3]Entry!$C$1707="","",[3]Entry!$C$1707)</f>
        <v/>
      </c>
      <c r="AH1704">
        <f>IF([3]Entry!$D$1707="","",[3]Entry!$D$1707)</f>
        <v/>
      </c>
      <c r="AI1704">
        <f>IF([3]Entry!$E$1707="","",[3]Entry!$E$1707)</f>
        <v/>
      </c>
      <c r="AJ1704">
        <f>IF([3]Entry!$G$1707="","",[3]Entry!$G$1707)</f>
        <v/>
      </c>
      <c r="AK1704">
        <f>IF([3]Entry!$K$1707="","",[3]Entry!$K$1707)</f>
        <v/>
      </c>
      <c r="AL1704">
        <f>IF([3]Entry!$L$1707="","",[3]Entry!$L$1707)</f>
        <v/>
      </c>
      <c r="AM1704">
        <f>IF([3]Entry!$M$1707="","",[3]Entry!$M$1707)</f>
        <v/>
      </c>
      <c r="AN1704">
        <f>IF([3]Entry!$N$1707="","",[3]Entry!$N$1707)</f>
        <v/>
      </c>
      <c r="AO1704">
        <f>IF([3]Entry!$R$1707="","",[3]Entry!$R$1707)</f>
        <v/>
      </c>
    </row>
    <row r="1705">
      <c r="U1705">
        <f>IF([2]Baskol!$B$1708="","",[2]Baskol!$B$1708)</f>
        <v/>
      </c>
      <c r="V1705">
        <f>IF([2]Baskol!$C$1708="","",[2]Baskol!$C$1708)</f>
        <v/>
      </c>
      <c r="W1705">
        <f>IF([2]Baskol!$D$1708="","",[2]Baskol!$D$1708)</f>
        <v/>
      </c>
      <c r="X1705">
        <f>IF([2]Baskol!$E$1708="","",[2]Baskol!$E$1708)</f>
        <v/>
      </c>
      <c r="Y1705">
        <f>IF([2]Baskol!$G$1708="","",[2]Baskol!$G$1708)</f>
        <v/>
      </c>
      <c r="Z1705">
        <f>IF([2]Baskol!$I$1708="","",[2]Baskol!$I$1708)</f>
        <v/>
      </c>
      <c r="AA1705">
        <f>IF([2]Baskol!$J$1708="","",[2]Baskol!$J$1708)</f>
        <v/>
      </c>
      <c r="AB1705">
        <f>IF([2]Baskol!$K$1708="","",[2]Baskol!$K$1708)</f>
        <v/>
      </c>
      <c r="AC1705">
        <f>IF([2]Baskol!$L$1708="","",[2]Baskol!$L$1708)</f>
        <v/>
      </c>
      <c r="AD1705">
        <f>IF([2]Baskol!$N$1708="","",[2]Baskol!$N$1708)</f>
        <v/>
      </c>
      <c r="AE1705">
        <f>IF([2]Baskol!$O$1708="","",[2]Baskol!$O$1708)</f>
        <v/>
      </c>
      <c r="AG1705">
        <f>IF([3]Entry!$C$1708="","",[3]Entry!$C$1708)</f>
        <v/>
      </c>
      <c r="AH1705">
        <f>IF([3]Entry!$D$1708="","",[3]Entry!$D$1708)</f>
        <v/>
      </c>
      <c r="AI1705">
        <f>IF([3]Entry!$E$1708="","",[3]Entry!$E$1708)</f>
        <v/>
      </c>
      <c r="AJ1705">
        <f>IF([3]Entry!$G$1708="","",[3]Entry!$G$1708)</f>
        <v/>
      </c>
      <c r="AK1705">
        <f>IF([3]Entry!$K$1708="","",[3]Entry!$K$1708)</f>
        <v/>
      </c>
      <c r="AL1705">
        <f>IF([3]Entry!$L$1708="","",[3]Entry!$L$1708)</f>
        <v/>
      </c>
      <c r="AM1705">
        <f>IF([3]Entry!$M$1708="","",[3]Entry!$M$1708)</f>
        <v/>
      </c>
      <c r="AN1705">
        <f>IF([3]Entry!$N$1708="","",[3]Entry!$N$1708)</f>
        <v/>
      </c>
      <c r="AO1705">
        <f>IF([3]Entry!$R$1708="","",[3]Entry!$R$1708)</f>
        <v/>
      </c>
    </row>
    <row r="1706">
      <c r="U1706">
        <f>IF([2]Baskol!$B$1709="","",[2]Baskol!$B$1709)</f>
        <v/>
      </c>
      <c r="V1706">
        <f>IF([2]Baskol!$C$1709="","",[2]Baskol!$C$1709)</f>
        <v/>
      </c>
      <c r="W1706">
        <f>IF([2]Baskol!$D$1709="","",[2]Baskol!$D$1709)</f>
        <v/>
      </c>
      <c r="X1706">
        <f>IF([2]Baskol!$E$1709="","",[2]Baskol!$E$1709)</f>
        <v/>
      </c>
      <c r="Y1706">
        <f>IF([2]Baskol!$G$1709="","",[2]Baskol!$G$1709)</f>
        <v/>
      </c>
      <c r="Z1706">
        <f>IF([2]Baskol!$I$1709="","",[2]Baskol!$I$1709)</f>
        <v/>
      </c>
      <c r="AA1706">
        <f>IF([2]Baskol!$J$1709="","",[2]Baskol!$J$1709)</f>
        <v/>
      </c>
      <c r="AB1706">
        <f>IF([2]Baskol!$K$1709="","",[2]Baskol!$K$1709)</f>
        <v/>
      </c>
      <c r="AC1706">
        <f>IF([2]Baskol!$L$1709="","",[2]Baskol!$L$1709)</f>
        <v/>
      </c>
      <c r="AD1706">
        <f>IF([2]Baskol!$N$1709="","",[2]Baskol!$N$1709)</f>
        <v/>
      </c>
      <c r="AE1706">
        <f>IF([2]Baskol!$O$1709="","",[2]Baskol!$O$1709)</f>
        <v/>
      </c>
      <c r="AG1706">
        <f>IF([3]Entry!$C$1709="","",[3]Entry!$C$1709)</f>
        <v/>
      </c>
      <c r="AH1706">
        <f>IF([3]Entry!$D$1709="","",[3]Entry!$D$1709)</f>
        <v/>
      </c>
      <c r="AI1706">
        <f>IF([3]Entry!$E$1709="","",[3]Entry!$E$1709)</f>
        <v/>
      </c>
      <c r="AJ1706">
        <f>IF([3]Entry!$G$1709="","",[3]Entry!$G$1709)</f>
        <v/>
      </c>
      <c r="AK1706">
        <f>IF([3]Entry!$K$1709="","",[3]Entry!$K$1709)</f>
        <v/>
      </c>
      <c r="AL1706">
        <f>IF([3]Entry!$L$1709="","",[3]Entry!$L$1709)</f>
        <v/>
      </c>
      <c r="AM1706">
        <f>IF([3]Entry!$M$1709="","",[3]Entry!$M$1709)</f>
        <v/>
      </c>
      <c r="AN1706">
        <f>IF([3]Entry!$N$1709="","",[3]Entry!$N$1709)</f>
        <v/>
      </c>
      <c r="AO1706">
        <f>IF([3]Entry!$R$1709="","",[3]Entry!$R$1709)</f>
        <v/>
      </c>
    </row>
    <row r="1707">
      <c r="U1707">
        <f>IF([2]Baskol!$B$1710="","",[2]Baskol!$B$1710)</f>
        <v/>
      </c>
      <c r="V1707">
        <f>IF([2]Baskol!$C$1710="","",[2]Baskol!$C$1710)</f>
        <v/>
      </c>
      <c r="W1707">
        <f>IF([2]Baskol!$D$1710="","",[2]Baskol!$D$1710)</f>
        <v/>
      </c>
      <c r="X1707">
        <f>IF([2]Baskol!$E$1710="","",[2]Baskol!$E$1710)</f>
        <v/>
      </c>
      <c r="Y1707">
        <f>IF([2]Baskol!$G$1710="","",[2]Baskol!$G$1710)</f>
        <v/>
      </c>
      <c r="Z1707">
        <f>IF([2]Baskol!$I$1710="","",[2]Baskol!$I$1710)</f>
        <v/>
      </c>
      <c r="AA1707">
        <f>IF([2]Baskol!$J$1710="","",[2]Baskol!$J$1710)</f>
        <v/>
      </c>
      <c r="AB1707">
        <f>IF([2]Baskol!$K$1710="","",[2]Baskol!$K$1710)</f>
        <v/>
      </c>
      <c r="AC1707">
        <f>IF([2]Baskol!$L$1710="","",[2]Baskol!$L$1710)</f>
        <v/>
      </c>
      <c r="AD1707">
        <f>IF([2]Baskol!$N$1710="","",[2]Baskol!$N$1710)</f>
        <v/>
      </c>
      <c r="AE1707">
        <f>IF([2]Baskol!$O$1710="","",[2]Baskol!$O$1710)</f>
        <v/>
      </c>
      <c r="AG1707">
        <f>IF([3]Entry!$C$1710="","",[3]Entry!$C$1710)</f>
        <v/>
      </c>
      <c r="AH1707">
        <f>IF([3]Entry!$D$1710="","",[3]Entry!$D$1710)</f>
        <v/>
      </c>
      <c r="AI1707">
        <f>IF([3]Entry!$E$1710="","",[3]Entry!$E$1710)</f>
        <v/>
      </c>
      <c r="AJ1707">
        <f>IF([3]Entry!$G$1710="","",[3]Entry!$G$1710)</f>
        <v/>
      </c>
      <c r="AK1707">
        <f>IF([3]Entry!$K$1710="","",[3]Entry!$K$1710)</f>
        <v/>
      </c>
      <c r="AL1707">
        <f>IF([3]Entry!$L$1710="","",[3]Entry!$L$1710)</f>
        <v/>
      </c>
      <c r="AM1707">
        <f>IF([3]Entry!$M$1710="","",[3]Entry!$M$1710)</f>
        <v/>
      </c>
      <c r="AN1707">
        <f>IF([3]Entry!$N$1710="","",[3]Entry!$N$1710)</f>
        <v/>
      </c>
      <c r="AO1707">
        <f>IF([3]Entry!$R$1710="","",[3]Entry!$R$1710)</f>
        <v/>
      </c>
    </row>
    <row r="1708">
      <c r="U1708">
        <f>IF([2]Baskol!$B$1711="","",[2]Baskol!$B$1711)</f>
        <v/>
      </c>
      <c r="V1708">
        <f>IF([2]Baskol!$C$1711="","",[2]Baskol!$C$1711)</f>
        <v/>
      </c>
      <c r="W1708">
        <f>IF([2]Baskol!$D$1711="","",[2]Baskol!$D$1711)</f>
        <v/>
      </c>
      <c r="X1708">
        <f>IF([2]Baskol!$E$1711="","",[2]Baskol!$E$1711)</f>
        <v/>
      </c>
      <c r="Y1708">
        <f>IF([2]Baskol!$G$1711="","",[2]Baskol!$G$1711)</f>
        <v/>
      </c>
      <c r="Z1708">
        <f>IF([2]Baskol!$I$1711="","",[2]Baskol!$I$1711)</f>
        <v/>
      </c>
      <c r="AA1708">
        <f>IF([2]Baskol!$J$1711="","",[2]Baskol!$J$1711)</f>
        <v/>
      </c>
      <c r="AB1708">
        <f>IF([2]Baskol!$K$1711="","",[2]Baskol!$K$1711)</f>
        <v/>
      </c>
      <c r="AC1708">
        <f>IF([2]Baskol!$L$1711="","",[2]Baskol!$L$1711)</f>
        <v/>
      </c>
      <c r="AD1708">
        <f>IF([2]Baskol!$N$1711="","",[2]Baskol!$N$1711)</f>
        <v/>
      </c>
      <c r="AE1708">
        <f>IF([2]Baskol!$O$1711="","",[2]Baskol!$O$1711)</f>
        <v/>
      </c>
      <c r="AG1708">
        <f>IF([3]Entry!$C$1711="","",[3]Entry!$C$1711)</f>
        <v/>
      </c>
      <c r="AH1708">
        <f>IF([3]Entry!$D$1711="","",[3]Entry!$D$1711)</f>
        <v/>
      </c>
      <c r="AI1708">
        <f>IF([3]Entry!$E$1711="","",[3]Entry!$E$1711)</f>
        <v/>
      </c>
      <c r="AJ1708">
        <f>IF([3]Entry!$G$1711="","",[3]Entry!$G$1711)</f>
        <v/>
      </c>
      <c r="AK1708">
        <f>IF([3]Entry!$K$1711="","",[3]Entry!$K$1711)</f>
        <v/>
      </c>
      <c r="AL1708">
        <f>IF([3]Entry!$L$1711="","",[3]Entry!$L$1711)</f>
        <v/>
      </c>
      <c r="AM1708">
        <f>IF([3]Entry!$M$1711="","",[3]Entry!$M$1711)</f>
        <v/>
      </c>
      <c r="AN1708">
        <f>IF([3]Entry!$N$1711="","",[3]Entry!$N$1711)</f>
        <v/>
      </c>
      <c r="AO1708">
        <f>IF([3]Entry!$R$1711="","",[3]Entry!$R$1711)</f>
        <v/>
      </c>
    </row>
    <row r="1709">
      <c r="U1709">
        <f>IF([2]Baskol!$B$1712="","",[2]Baskol!$B$1712)</f>
        <v/>
      </c>
      <c r="V1709">
        <f>IF([2]Baskol!$C$1712="","",[2]Baskol!$C$1712)</f>
        <v/>
      </c>
      <c r="W1709">
        <f>IF([2]Baskol!$D$1712="","",[2]Baskol!$D$1712)</f>
        <v/>
      </c>
      <c r="X1709">
        <f>IF([2]Baskol!$E$1712="","",[2]Baskol!$E$1712)</f>
        <v/>
      </c>
      <c r="Y1709">
        <f>IF([2]Baskol!$G$1712="","",[2]Baskol!$G$1712)</f>
        <v/>
      </c>
      <c r="Z1709">
        <f>IF([2]Baskol!$I$1712="","",[2]Baskol!$I$1712)</f>
        <v/>
      </c>
      <c r="AA1709">
        <f>IF([2]Baskol!$J$1712="","",[2]Baskol!$J$1712)</f>
        <v/>
      </c>
      <c r="AB1709">
        <f>IF([2]Baskol!$K$1712="","",[2]Baskol!$K$1712)</f>
        <v/>
      </c>
      <c r="AC1709">
        <f>IF([2]Baskol!$L$1712="","",[2]Baskol!$L$1712)</f>
        <v/>
      </c>
      <c r="AD1709">
        <f>IF([2]Baskol!$N$1712="","",[2]Baskol!$N$1712)</f>
        <v/>
      </c>
      <c r="AE1709">
        <f>IF([2]Baskol!$O$1712="","",[2]Baskol!$O$1712)</f>
        <v/>
      </c>
      <c r="AG1709">
        <f>IF([3]Entry!$C$1712="","",[3]Entry!$C$1712)</f>
        <v/>
      </c>
      <c r="AH1709">
        <f>IF([3]Entry!$D$1712="","",[3]Entry!$D$1712)</f>
        <v/>
      </c>
      <c r="AI1709">
        <f>IF([3]Entry!$E$1712="","",[3]Entry!$E$1712)</f>
        <v/>
      </c>
      <c r="AJ1709">
        <f>IF([3]Entry!$G$1712="","",[3]Entry!$G$1712)</f>
        <v/>
      </c>
      <c r="AK1709">
        <f>IF([3]Entry!$K$1712="","",[3]Entry!$K$1712)</f>
        <v/>
      </c>
      <c r="AL1709">
        <f>IF([3]Entry!$L$1712="","",[3]Entry!$L$1712)</f>
        <v/>
      </c>
      <c r="AM1709">
        <f>IF([3]Entry!$M$1712="","",[3]Entry!$M$1712)</f>
        <v/>
      </c>
      <c r="AN1709">
        <f>IF([3]Entry!$N$1712="","",[3]Entry!$N$1712)</f>
        <v/>
      </c>
      <c r="AO1709">
        <f>IF([3]Entry!$R$1712="","",[3]Entry!$R$1712)</f>
        <v/>
      </c>
    </row>
    <row r="1710">
      <c r="U1710">
        <f>IF([2]Baskol!$B$1713="","",[2]Baskol!$B$1713)</f>
        <v/>
      </c>
      <c r="V1710">
        <f>IF([2]Baskol!$C$1713="","",[2]Baskol!$C$1713)</f>
        <v/>
      </c>
      <c r="W1710">
        <f>IF([2]Baskol!$D$1713="","",[2]Baskol!$D$1713)</f>
        <v/>
      </c>
      <c r="X1710">
        <f>IF([2]Baskol!$E$1713="","",[2]Baskol!$E$1713)</f>
        <v/>
      </c>
      <c r="Y1710">
        <f>IF([2]Baskol!$G$1713="","",[2]Baskol!$G$1713)</f>
        <v/>
      </c>
      <c r="Z1710">
        <f>IF([2]Baskol!$I$1713="","",[2]Baskol!$I$1713)</f>
        <v/>
      </c>
      <c r="AA1710">
        <f>IF([2]Baskol!$J$1713="","",[2]Baskol!$J$1713)</f>
        <v/>
      </c>
      <c r="AB1710">
        <f>IF([2]Baskol!$K$1713="","",[2]Baskol!$K$1713)</f>
        <v/>
      </c>
      <c r="AC1710">
        <f>IF([2]Baskol!$L$1713="","",[2]Baskol!$L$1713)</f>
        <v/>
      </c>
      <c r="AD1710">
        <f>IF([2]Baskol!$N$1713="","",[2]Baskol!$N$1713)</f>
        <v/>
      </c>
      <c r="AE1710">
        <f>IF([2]Baskol!$O$1713="","",[2]Baskol!$O$1713)</f>
        <v/>
      </c>
      <c r="AG1710">
        <f>IF([3]Entry!$C$1713="","",[3]Entry!$C$1713)</f>
        <v/>
      </c>
      <c r="AH1710">
        <f>IF([3]Entry!$D$1713="","",[3]Entry!$D$1713)</f>
        <v/>
      </c>
      <c r="AI1710">
        <f>IF([3]Entry!$E$1713="","",[3]Entry!$E$1713)</f>
        <v/>
      </c>
      <c r="AJ1710">
        <f>IF([3]Entry!$G$1713="","",[3]Entry!$G$1713)</f>
        <v/>
      </c>
      <c r="AK1710">
        <f>IF([3]Entry!$K$1713="","",[3]Entry!$K$1713)</f>
        <v/>
      </c>
      <c r="AL1710">
        <f>IF([3]Entry!$L$1713="","",[3]Entry!$L$1713)</f>
        <v/>
      </c>
      <c r="AM1710">
        <f>IF([3]Entry!$M$1713="","",[3]Entry!$M$1713)</f>
        <v/>
      </c>
      <c r="AN1710">
        <f>IF([3]Entry!$N$1713="","",[3]Entry!$N$1713)</f>
        <v/>
      </c>
      <c r="AO1710">
        <f>IF([3]Entry!$R$1713="","",[3]Entry!$R$1713)</f>
        <v/>
      </c>
    </row>
    <row r="1711">
      <c r="U1711">
        <f>IF([2]Baskol!$B$1714="","",[2]Baskol!$B$1714)</f>
        <v/>
      </c>
      <c r="V1711">
        <f>IF([2]Baskol!$C$1714="","",[2]Baskol!$C$1714)</f>
        <v/>
      </c>
      <c r="W1711">
        <f>IF([2]Baskol!$D$1714="","",[2]Baskol!$D$1714)</f>
        <v/>
      </c>
      <c r="X1711">
        <f>IF([2]Baskol!$E$1714="","",[2]Baskol!$E$1714)</f>
        <v/>
      </c>
      <c r="Y1711">
        <f>IF([2]Baskol!$G$1714="","",[2]Baskol!$G$1714)</f>
        <v/>
      </c>
      <c r="Z1711">
        <f>IF([2]Baskol!$I$1714="","",[2]Baskol!$I$1714)</f>
        <v/>
      </c>
      <c r="AA1711">
        <f>IF([2]Baskol!$J$1714="","",[2]Baskol!$J$1714)</f>
        <v/>
      </c>
      <c r="AB1711">
        <f>IF([2]Baskol!$K$1714="","",[2]Baskol!$K$1714)</f>
        <v/>
      </c>
      <c r="AC1711">
        <f>IF([2]Baskol!$L$1714="","",[2]Baskol!$L$1714)</f>
        <v/>
      </c>
      <c r="AD1711">
        <f>IF([2]Baskol!$N$1714="","",[2]Baskol!$N$1714)</f>
        <v/>
      </c>
      <c r="AE1711">
        <f>IF([2]Baskol!$O$1714="","",[2]Baskol!$O$1714)</f>
        <v/>
      </c>
      <c r="AG1711">
        <f>IF([3]Entry!$C$1714="","",[3]Entry!$C$1714)</f>
        <v/>
      </c>
      <c r="AH1711">
        <f>IF([3]Entry!$D$1714="","",[3]Entry!$D$1714)</f>
        <v/>
      </c>
      <c r="AI1711">
        <f>IF([3]Entry!$E$1714="","",[3]Entry!$E$1714)</f>
        <v/>
      </c>
      <c r="AJ1711">
        <f>IF([3]Entry!$G$1714="","",[3]Entry!$G$1714)</f>
        <v/>
      </c>
      <c r="AK1711">
        <f>IF([3]Entry!$K$1714="","",[3]Entry!$K$1714)</f>
        <v/>
      </c>
      <c r="AL1711">
        <f>IF([3]Entry!$L$1714="","",[3]Entry!$L$1714)</f>
        <v/>
      </c>
      <c r="AM1711">
        <f>IF([3]Entry!$M$1714="","",[3]Entry!$M$1714)</f>
        <v/>
      </c>
      <c r="AN1711">
        <f>IF([3]Entry!$N$1714="","",[3]Entry!$N$1714)</f>
        <v/>
      </c>
      <c r="AO1711">
        <f>IF([3]Entry!$R$1714="","",[3]Entry!$R$1714)</f>
        <v/>
      </c>
    </row>
    <row r="1712">
      <c r="U1712">
        <f>IF([2]Baskol!$B$1715="","",[2]Baskol!$B$1715)</f>
        <v/>
      </c>
      <c r="V1712">
        <f>IF([2]Baskol!$C$1715="","",[2]Baskol!$C$1715)</f>
        <v/>
      </c>
      <c r="W1712">
        <f>IF([2]Baskol!$D$1715="","",[2]Baskol!$D$1715)</f>
        <v/>
      </c>
      <c r="X1712">
        <f>IF([2]Baskol!$E$1715="","",[2]Baskol!$E$1715)</f>
        <v/>
      </c>
      <c r="Y1712">
        <f>IF([2]Baskol!$G$1715="","",[2]Baskol!$G$1715)</f>
        <v/>
      </c>
      <c r="Z1712">
        <f>IF([2]Baskol!$I$1715="","",[2]Baskol!$I$1715)</f>
        <v/>
      </c>
      <c r="AA1712">
        <f>IF([2]Baskol!$J$1715="","",[2]Baskol!$J$1715)</f>
        <v/>
      </c>
      <c r="AB1712">
        <f>IF([2]Baskol!$K$1715="","",[2]Baskol!$K$1715)</f>
        <v/>
      </c>
      <c r="AC1712">
        <f>IF([2]Baskol!$L$1715="","",[2]Baskol!$L$1715)</f>
        <v/>
      </c>
      <c r="AD1712">
        <f>IF([2]Baskol!$N$1715="","",[2]Baskol!$N$1715)</f>
        <v/>
      </c>
      <c r="AE1712">
        <f>IF([2]Baskol!$O$1715="","",[2]Baskol!$O$1715)</f>
        <v/>
      </c>
      <c r="AG1712">
        <f>IF([3]Entry!$C$1715="","",[3]Entry!$C$1715)</f>
        <v/>
      </c>
      <c r="AH1712">
        <f>IF([3]Entry!$D$1715="","",[3]Entry!$D$1715)</f>
        <v/>
      </c>
      <c r="AI1712">
        <f>IF([3]Entry!$E$1715="","",[3]Entry!$E$1715)</f>
        <v/>
      </c>
      <c r="AJ1712">
        <f>IF([3]Entry!$G$1715="","",[3]Entry!$G$1715)</f>
        <v/>
      </c>
      <c r="AK1712">
        <f>IF([3]Entry!$K$1715="","",[3]Entry!$K$1715)</f>
        <v/>
      </c>
      <c r="AL1712">
        <f>IF([3]Entry!$L$1715="","",[3]Entry!$L$1715)</f>
        <v/>
      </c>
      <c r="AM1712">
        <f>IF([3]Entry!$M$1715="","",[3]Entry!$M$1715)</f>
        <v/>
      </c>
      <c r="AN1712">
        <f>IF([3]Entry!$N$1715="","",[3]Entry!$N$1715)</f>
        <v/>
      </c>
      <c r="AO1712">
        <f>IF([3]Entry!$R$1715="","",[3]Entry!$R$1715)</f>
        <v/>
      </c>
    </row>
    <row r="1713">
      <c r="U1713">
        <f>IF([2]Baskol!$B$1716="","",[2]Baskol!$B$1716)</f>
        <v/>
      </c>
      <c r="V1713">
        <f>IF([2]Baskol!$C$1716="","",[2]Baskol!$C$1716)</f>
        <v/>
      </c>
      <c r="W1713">
        <f>IF([2]Baskol!$D$1716="","",[2]Baskol!$D$1716)</f>
        <v/>
      </c>
      <c r="X1713">
        <f>IF([2]Baskol!$E$1716="","",[2]Baskol!$E$1716)</f>
        <v/>
      </c>
      <c r="Y1713">
        <f>IF([2]Baskol!$G$1716="","",[2]Baskol!$G$1716)</f>
        <v/>
      </c>
      <c r="Z1713">
        <f>IF([2]Baskol!$I$1716="","",[2]Baskol!$I$1716)</f>
        <v/>
      </c>
      <c r="AA1713">
        <f>IF([2]Baskol!$J$1716="","",[2]Baskol!$J$1716)</f>
        <v/>
      </c>
      <c r="AB1713">
        <f>IF([2]Baskol!$K$1716="","",[2]Baskol!$K$1716)</f>
        <v/>
      </c>
      <c r="AC1713">
        <f>IF([2]Baskol!$L$1716="","",[2]Baskol!$L$1716)</f>
        <v/>
      </c>
      <c r="AD1713">
        <f>IF([2]Baskol!$N$1716="","",[2]Baskol!$N$1716)</f>
        <v/>
      </c>
      <c r="AE1713">
        <f>IF([2]Baskol!$O$1716="","",[2]Baskol!$O$1716)</f>
        <v/>
      </c>
      <c r="AG1713">
        <f>IF([3]Entry!$C$1716="","",[3]Entry!$C$1716)</f>
        <v/>
      </c>
      <c r="AH1713">
        <f>IF([3]Entry!$D$1716="","",[3]Entry!$D$1716)</f>
        <v/>
      </c>
      <c r="AI1713">
        <f>IF([3]Entry!$E$1716="","",[3]Entry!$E$1716)</f>
        <v/>
      </c>
      <c r="AJ1713">
        <f>IF([3]Entry!$G$1716="","",[3]Entry!$G$1716)</f>
        <v/>
      </c>
      <c r="AK1713">
        <f>IF([3]Entry!$K$1716="","",[3]Entry!$K$1716)</f>
        <v/>
      </c>
      <c r="AL1713">
        <f>IF([3]Entry!$L$1716="","",[3]Entry!$L$1716)</f>
        <v/>
      </c>
      <c r="AM1713">
        <f>IF([3]Entry!$M$1716="","",[3]Entry!$M$1716)</f>
        <v/>
      </c>
      <c r="AN1713">
        <f>IF([3]Entry!$N$1716="","",[3]Entry!$N$1716)</f>
        <v/>
      </c>
      <c r="AO1713">
        <f>IF([3]Entry!$R$1716="","",[3]Entry!$R$1716)</f>
        <v/>
      </c>
    </row>
    <row r="1714">
      <c r="U1714">
        <f>IF([2]Baskol!$B$1717="","",[2]Baskol!$B$1717)</f>
        <v/>
      </c>
      <c r="V1714">
        <f>IF([2]Baskol!$C$1717="","",[2]Baskol!$C$1717)</f>
        <v/>
      </c>
      <c r="W1714">
        <f>IF([2]Baskol!$D$1717="","",[2]Baskol!$D$1717)</f>
        <v/>
      </c>
      <c r="X1714">
        <f>IF([2]Baskol!$E$1717="","",[2]Baskol!$E$1717)</f>
        <v/>
      </c>
      <c r="Y1714">
        <f>IF([2]Baskol!$G$1717="","",[2]Baskol!$G$1717)</f>
        <v/>
      </c>
      <c r="Z1714">
        <f>IF([2]Baskol!$I$1717="","",[2]Baskol!$I$1717)</f>
        <v/>
      </c>
      <c r="AA1714">
        <f>IF([2]Baskol!$J$1717="","",[2]Baskol!$J$1717)</f>
        <v/>
      </c>
      <c r="AB1714">
        <f>IF([2]Baskol!$K$1717="","",[2]Baskol!$K$1717)</f>
        <v/>
      </c>
      <c r="AC1714">
        <f>IF([2]Baskol!$L$1717="","",[2]Baskol!$L$1717)</f>
        <v/>
      </c>
      <c r="AD1714">
        <f>IF([2]Baskol!$N$1717="","",[2]Baskol!$N$1717)</f>
        <v/>
      </c>
      <c r="AE1714">
        <f>IF([2]Baskol!$O$1717="","",[2]Baskol!$O$1717)</f>
        <v/>
      </c>
      <c r="AG1714">
        <f>IF([3]Entry!$C$1717="","",[3]Entry!$C$1717)</f>
        <v/>
      </c>
      <c r="AH1714">
        <f>IF([3]Entry!$D$1717="","",[3]Entry!$D$1717)</f>
        <v/>
      </c>
      <c r="AI1714">
        <f>IF([3]Entry!$E$1717="","",[3]Entry!$E$1717)</f>
        <v/>
      </c>
      <c r="AJ1714">
        <f>IF([3]Entry!$G$1717="","",[3]Entry!$G$1717)</f>
        <v/>
      </c>
      <c r="AK1714">
        <f>IF([3]Entry!$K$1717="","",[3]Entry!$K$1717)</f>
        <v/>
      </c>
      <c r="AL1714">
        <f>IF([3]Entry!$L$1717="","",[3]Entry!$L$1717)</f>
        <v/>
      </c>
      <c r="AM1714">
        <f>IF([3]Entry!$M$1717="","",[3]Entry!$M$1717)</f>
        <v/>
      </c>
      <c r="AN1714">
        <f>IF([3]Entry!$N$1717="","",[3]Entry!$N$1717)</f>
        <v/>
      </c>
      <c r="AO1714">
        <f>IF([3]Entry!$R$1717="","",[3]Entry!$R$1717)</f>
        <v/>
      </c>
    </row>
    <row r="1715">
      <c r="U1715">
        <f>IF([2]Baskol!$B$1718="","",[2]Baskol!$B$1718)</f>
        <v/>
      </c>
      <c r="V1715">
        <f>IF([2]Baskol!$C$1718="","",[2]Baskol!$C$1718)</f>
        <v/>
      </c>
      <c r="W1715">
        <f>IF([2]Baskol!$D$1718="","",[2]Baskol!$D$1718)</f>
        <v/>
      </c>
      <c r="X1715">
        <f>IF([2]Baskol!$E$1718="","",[2]Baskol!$E$1718)</f>
        <v/>
      </c>
      <c r="Y1715">
        <f>IF([2]Baskol!$G$1718="","",[2]Baskol!$G$1718)</f>
        <v/>
      </c>
      <c r="Z1715">
        <f>IF([2]Baskol!$I$1718="","",[2]Baskol!$I$1718)</f>
        <v/>
      </c>
      <c r="AA1715">
        <f>IF([2]Baskol!$J$1718="","",[2]Baskol!$J$1718)</f>
        <v/>
      </c>
      <c r="AB1715">
        <f>IF([2]Baskol!$K$1718="","",[2]Baskol!$K$1718)</f>
        <v/>
      </c>
      <c r="AC1715">
        <f>IF([2]Baskol!$L$1718="","",[2]Baskol!$L$1718)</f>
        <v/>
      </c>
      <c r="AD1715">
        <f>IF([2]Baskol!$N$1718="","",[2]Baskol!$N$1718)</f>
        <v/>
      </c>
      <c r="AE1715">
        <f>IF([2]Baskol!$O$1718="","",[2]Baskol!$O$1718)</f>
        <v/>
      </c>
      <c r="AG1715">
        <f>IF([3]Entry!$C$1718="","",[3]Entry!$C$1718)</f>
        <v/>
      </c>
      <c r="AH1715">
        <f>IF([3]Entry!$D$1718="","",[3]Entry!$D$1718)</f>
        <v/>
      </c>
      <c r="AI1715">
        <f>IF([3]Entry!$E$1718="","",[3]Entry!$E$1718)</f>
        <v/>
      </c>
      <c r="AJ1715">
        <f>IF([3]Entry!$G$1718="","",[3]Entry!$G$1718)</f>
        <v/>
      </c>
      <c r="AK1715">
        <f>IF([3]Entry!$K$1718="","",[3]Entry!$K$1718)</f>
        <v/>
      </c>
      <c r="AL1715">
        <f>IF([3]Entry!$L$1718="","",[3]Entry!$L$1718)</f>
        <v/>
      </c>
      <c r="AM1715">
        <f>IF([3]Entry!$M$1718="","",[3]Entry!$M$1718)</f>
        <v/>
      </c>
      <c r="AN1715">
        <f>IF([3]Entry!$N$1718="","",[3]Entry!$N$1718)</f>
        <v/>
      </c>
      <c r="AO1715">
        <f>IF([3]Entry!$R$1718="","",[3]Entry!$R$1718)</f>
        <v/>
      </c>
    </row>
    <row r="1716">
      <c r="U1716">
        <f>IF([2]Baskol!$B$1719="","",[2]Baskol!$B$1719)</f>
        <v/>
      </c>
      <c r="V1716">
        <f>IF([2]Baskol!$C$1719="","",[2]Baskol!$C$1719)</f>
        <v/>
      </c>
      <c r="W1716">
        <f>IF([2]Baskol!$D$1719="","",[2]Baskol!$D$1719)</f>
        <v/>
      </c>
      <c r="X1716">
        <f>IF([2]Baskol!$E$1719="","",[2]Baskol!$E$1719)</f>
        <v/>
      </c>
      <c r="Y1716">
        <f>IF([2]Baskol!$G$1719="","",[2]Baskol!$G$1719)</f>
        <v/>
      </c>
      <c r="Z1716">
        <f>IF([2]Baskol!$I$1719="","",[2]Baskol!$I$1719)</f>
        <v/>
      </c>
      <c r="AA1716">
        <f>IF([2]Baskol!$J$1719="","",[2]Baskol!$J$1719)</f>
        <v/>
      </c>
      <c r="AB1716">
        <f>IF([2]Baskol!$K$1719="","",[2]Baskol!$K$1719)</f>
        <v/>
      </c>
      <c r="AC1716">
        <f>IF([2]Baskol!$L$1719="","",[2]Baskol!$L$1719)</f>
        <v/>
      </c>
      <c r="AD1716">
        <f>IF([2]Baskol!$N$1719="","",[2]Baskol!$N$1719)</f>
        <v/>
      </c>
      <c r="AE1716">
        <f>IF([2]Baskol!$O$1719="","",[2]Baskol!$O$1719)</f>
        <v/>
      </c>
      <c r="AG1716">
        <f>IF([3]Entry!$C$1719="","",[3]Entry!$C$1719)</f>
        <v/>
      </c>
      <c r="AH1716">
        <f>IF([3]Entry!$D$1719="","",[3]Entry!$D$1719)</f>
        <v/>
      </c>
      <c r="AI1716">
        <f>IF([3]Entry!$E$1719="","",[3]Entry!$E$1719)</f>
        <v/>
      </c>
      <c r="AJ1716">
        <f>IF([3]Entry!$G$1719="","",[3]Entry!$G$1719)</f>
        <v/>
      </c>
      <c r="AK1716">
        <f>IF([3]Entry!$K$1719="","",[3]Entry!$K$1719)</f>
        <v/>
      </c>
      <c r="AL1716">
        <f>IF([3]Entry!$L$1719="","",[3]Entry!$L$1719)</f>
        <v/>
      </c>
      <c r="AM1716">
        <f>IF([3]Entry!$M$1719="","",[3]Entry!$M$1719)</f>
        <v/>
      </c>
      <c r="AN1716">
        <f>IF([3]Entry!$N$1719="","",[3]Entry!$N$1719)</f>
        <v/>
      </c>
      <c r="AO1716">
        <f>IF([3]Entry!$R$1719="","",[3]Entry!$R$1719)</f>
        <v/>
      </c>
    </row>
    <row r="1717">
      <c r="U1717">
        <f>IF([2]Baskol!$B$1720="","",[2]Baskol!$B$1720)</f>
        <v/>
      </c>
      <c r="V1717">
        <f>IF([2]Baskol!$C$1720="","",[2]Baskol!$C$1720)</f>
        <v/>
      </c>
      <c r="W1717">
        <f>IF([2]Baskol!$D$1720="","",[2]Baskol!$D$1720)</f>
        <v/>
      </c>
      <c r="X1717">
        <f>IF([2]Baskol!$E$1720="","",[2]Baskol!$E$1720)</f>
        <v/>
      </c>
      <c r="Y1717">
        <f>IF([2]Baskol!$G$1720="","",[2]Baskol!$G$1720)</f>
        <v/>
      </c>
      <c r="Z1717">
        <f>IF([2]Baskol!$I$1720="","",[2]Baskol!$I$1720)</f>
        <v/>
      </c>
      <c r="AA1717">
        <f>IF([2]Baskol!$J$1720="","",[2]Baskol!$J$1720)</f>
        <v/>
      </c>
      <c r="AB1717">
        <f>IF([2]Baskol!$K$1720="","",[2]Baskol!$K$1720)</f>
        <v/>
      </c>
      <c r="AC1717">
        <f>IF([2]Baskol!$L$1720="","",[2]Baskol!$L$1720)</f>
        <v/>
      </c>
      <c r="AD1717">
        <f>IF([2]Baskol!$N$1720="","",[2]Baskol!$N$1720)</f>
        <v/>
      </c>
      <c r="AE1717">
        <f>IF([2]Baskol!$O$1720="","",[2]Baskol!$O$1720)</f>
        <v/>
      </c>
      <c r="AG1717">
        <f>IF([3]Entry!$C$1720="","",[3]Entry!$C$1720)</f>
        <v/>
      </c>
      <c r="AH1717">
        <f>IF([3]Entry!$D$1720="","",[3]Entry!$D$1720)</f>
        <v/>
      </c>
      <c r="AI1717">
        <f>IF([3]Entry!$E$1720="","",[3]Entry!$E$1720)</f>
        <v/>
      </c>
      <c r="AJ1717">
        <f>IF([3]Entry!$G$1720="","",[3]Entry!$G$1720)</f>
        <v/>
      </c>
      <c r="AK1717">
        <f>IF([3]Entry!$K$1720="","",[3]Entry!$K$1720)</f>
        <v/>
      </c>
      <c r="AL1717">
        <f>IF([3]Entry!$L$1720="","",[3]Entry!$L$1720)</f>
        <v/>
      </c>
      <c r="AM1717">
        <f>IF([3]Entry!$M$1720="","",[3]Entry!$M$1720)</f>
        <v/>
      </c>
      <c r="AN1717">
        <f>IF([3]Entry!$N$1720="","",[3]Entry!$N$1720)</f>
        <v/>
      </c>
      <c r="AO1717">
        <f>IF([3]Entry!$R$1720="","",[3]Entry!$R$1720)</f>
        <v/>
      </c>
    </row>
    <row r="1718">
      <c r="U1718">
        <f>IF([2]Baskol!$B$1721="","",[2]Baskol!$B$1721)</f>
        <v/>
      </c>
      <c r="V1718">
        <f>IF([2]Baskol!$C$1721="","",[2]Baskol!$C$1721)</f>
        <v/>
      </c>
      <c r="W1718">
        <f>IF([2]Baskol!$D$1721="","",[2]Baskol!$D$1721)</f>
        <v/>
      </c>
      <c r="X1718">
        <f>IF([2]Baskol!$E$1721="","",[2]Baskol!$E$1721)</f>
        <v/>
      </c>
      <c r="Y1718">
        <f>IF([2]Baskol!$G$1721="","",[2]Baskol!$G$1721)</f>
        <v/>
      </c>
      <c r="Z1718">
        <f>IF([2]Baskol!$I$1721="","",[2]Baskol!$I$1721)</f>
        <v/>
      </c>
      <c r="AA1718">
        <f>IF([2]Baskol!$J$1721="","",[2]Baskol!$J$1721)</f>
        <v/>
      </c>
      <c r="AB1718">
        <f>IF([2]Baskol!$K$1721="","",[2]Baskol!$K$1721)</f>
        <v/>
      </c>
      <c r="AC1718">
        <f>IF([2]Baskol!$L$1721="","",[2]Baskol!$L$1721)</f>
        <v/>
      </c>
      <c r="AD1718">
        <f>IF([2]Baskol!$N$1721="","",[2]Baskol!$N$1721)</f>
        <v/>
      </c>
      <c r="AE1718">
        <f>IF([2]Baskol!$O$1721="","",[2]Baskol!$O$1721)</f>
        <v/>
      </c>
      <c r="AG1718">
        <f>IF([3]Entry!$C$1721="","",[3]Entry!$C$1721)</f>
        <v/>
      </c>
      <c r="AH1718">
        <f>IF([3]Entry!$D$1721="","",[3]Entry!$D$1721)</f>
        <v/>
      </c>
      <c r="AI1718">
        <f>IF([3]Entry!$E$1721="","",[3]Entry!$E$1721)</f>
        <v/>
      </c>
      <c r="AJ1718">
        <f>IF([3]Entry!$G$1721="","",[3]Entry!$G$1721)</f>
        <v/>
      </c>
      <c r="AK1718">
        <f>IF([3]Entry!$K$1721="","",[3]Entry!$K$1721)</f>
        <v/>
      </c>
      <c r="AL1718">
        <f>IF([3]Entry!$L$1721="","",[3]Entry!$L$1721)</f>
        <v/>
      </c>
      <c r="AM1718">
        <f>IF([3]Entry!$M$1721="","",[3]Entry!$M$1721)</f>
        <v/>
      </c>
      <c r="AN1718">
        <f>IF([3]Entry!$N$1721="","",[3]Entry!$N$1721)</f>
        <v/>
      </c>
      <c r="AO1718">
        <f>IF([3]Entry!$R$1721="","",[3]Entry!$R$1721)</f>
        <v/>
      </c>
    </row>
    <row r="1719">
      <c r="U1719">
        <f>IF([2]Baskol!$B$1722="","",[2]Baskol!$B$1722)</f>
        <v/>
      </c>
      <c r="V1719">
        <f>IF([2]Baskol!$C$1722="","",[2]Baskol!$C$1722)</f>
        <v/>
      </c>
      <c r="W1719">
        <f>IF([2]Baskol!$D$1722="","",[2]Baskol!$D$1722)</f>
        <v/>
      </c>
      <c r="X1719">
        <f>IF([2]Baskol!$E$1722="","",[2]Baskol!$E$1722)</f>
        <v/>
      </c>
      <c r="Y1719">
        <f>IF([2]Baskol!$G$1722="","",[2]Baskol!$G$1722)</f>
        <v/>
      </c>
      <c r="Z1719">
        <f>IF([2]Baskol!$I$1722="","",[2]Baskol!$I$1722)</f>
        <v/>
      </c>
      <c r="AA1719">
        <f>IF([2]Baskol!$J$1722="","",[2]Baskol!$J$1722)</f>
        <v/>
      </c>
      <c r="AB1719">
        <f>IF([2]Baskol!$K$1722="","",[2]Baskol!$K$1722)</f>
        <v/>
      </c>
      <c r="AC1719">
        <f>IF([2]Baskol!$L$1722="","",[2]Baskol!$L$1722)</f>
        <v/>
      </c>
      <c r="AD1719">
        <f>IF([2]Baskol!$N$1722="","",[2]Baskol!$N$1722)</f>
        <v/>
      </c>
      <c r="AE1719">
        <f>IF([2]Baskol!$O$1722="","",[2]Baskol!$O$1722)</f>
        <v/>
      </c>
      <c r="AG1719">
        <f>IF([3]Entry!$C$1722="","",[3]Entry!$C$1722)</f>
        <v/>
      </c>
      <c r="AH1719">
        <f>IF([3]Entry!$D$1722="","",[3]Entry!$D$1722)</f>
        <v/>
      </c>
      <c r="AI1719">
        <f>IF([3]Entry!$E$1722="","",[3]Entry!$E$1722)</f>
        <v/>
      </c>
      <c r="AJ1719">
        <f>IF([3]Entry!$G$1722="","",[3]Entry!$G$1722)</f>
        <v/>
      </c>
      <c r="AK1719">
        <f>IF([3]Entry!$K$1722="","",[3]Entry!$K$1722)</f>
        <v/>
      </c>
      <c r="AL1719">
        <f>IF([3]Entry!$L$1722="","",[3]Entry!$L$1722)</f>
        <v/>
      </c>
      <c r="AM1719">
        <f>IF([3]Entry!$M$1722="","",[3]Entry!$M$1722)</f>
        <v/>
      </c>
      <c r="AN1719">
        <f>IF([3]Entry!$N$1722="","",[3]Entry!$N$1722)</f>
        <v/>
      </c>
      <c r="AO1719">
        <f>IF([3]Entry!$R$1722="","",[3]Entry!$R$1722)</f>
        <v/>
      </c>
    </row>
    <row r="1720">
      <c r="U1720">
        <f>IF([2]Baskol!$B$1723="","",[2]Baskol!$B$1723)</f>
        <v/>
      </c>
      <c r="V1720">
        <f>IF([2]Baskol!$C$1723="","",[2]Baskol!$C$1723)</f>
        <v/>
      </c>
      <c r="W1720">
        <f>IF([2]Baskol!$D$1723="","",[2]Baskol!$D$1723)</f>
        <v/>
      </c>
      <c r="X1720">
        <f>IF([2]Baskol!$E$1723="","",[2]Baskol!$E$1723)</f>
        <v/>
      </c>
      <c r="Y1720">
        <f>IF([2]Baskol!$G$1723="","",[2]Baskol!$G$1723)</f>
        <v/>
      </c>
      <c r="Z1720">
        <f>IF([2]Baskol!$I$1723="","",[2]Baskol!$I$1723)</f>
        <v/>
      </c>
      <c r="AA1720">
        <f>IF([2]Baskol!$J$1723="","",[2]Baskol!$J$1723)</f>
        <v/>
      </c>
      <c r="AB1720">
        <f>IF([2]Baskol!$K$1723="","",[2]Baskol!$K$1723)</f>
        <v/>
      </c>
      <c r="AC1720">
        <f>IF([2]Baskol!$L$1723="","",[2]Baskol!$L$1723)</f>
        <v/>
      </c>
      <c r="AD1720">
        <f>IF([2]Baskol!$N$1723="","",[2]Baskol!$N$1723)</f>
        <v/>
      </c>
      <c r="AE1720">
        <f>IF([2]Baskol!$O$1723="","",[2]Baskol!$O$1723)</f>
        <v/>
      </c>
      <c r="AG1720">
        <f>IF([3]Entry!$C$1723="","",[3]Entry!$C$1723)</f>
        <v/>
      </c>
      <c r="AH1720">
        <f>IF([3]Entry!$D$1723="","",[3]Entry!$D$1723)</f>
        <v/>
      </c>
      <c r="AI1720">
        <f>IF([3]Entry!$E$1723="","",[3]Entry!$E$1723)</f>
        <v/>
      </c>
      <c r="AJ1720">
        <f>IF([3]Entry!$G$1723="","",[3]Entry!$G$1723)</f>
        <v/>
      </c>
      <c r="AK1720">
        <f>IF([3]Entry!$K$1723="","",[3]Entry!$K$1723)</f>
        <v/>
      </c>
      <c r="AL1720">
        <f>IF([3]Entry!$L$1723="","",[3]Entry!$L$1723)</f>
        <v/>
      </c>
      <c r="AM1720">
        <f>IF([3]Entry!$M$1723="","",[3]Entry!$M$1723)</f>
        <v/>
      </c>
      <c r="AN1720">
        <f>IF([3]Entry!$N$1723="","",[3]Entry!$N$1723)</f>
        <v/>
      </c>
      <c r="AO1720">
        <f>IF([3]Entry!$R$1723="","",[3]Entry!$R$1723)</f>
        <v/>
      </c>
    </row>
    <row r="1721">
      <c r="U1721">
        <f>IF([2]Baskol!$B$1724="","",[2]Baskol!$B$1724)</f>
        <v/>
      </c>
      <c r="V1721">
        <f>IF([2]Baskol!$C$1724="","",[2]Baskol!$C$1724)</f>
        <v/>
      </c>
      <c r="W1721">
        <f>IF([2]Baskol!$D$1724="","",[2]Baskol!$D$1724)</f>
        <v/>
      </c>
      <c r="X1721">
        <f>IF([2]Baskol!$E$1724="","",[2]Baskol!$E$1724)</f>
        <v/>
      </c>
      <c r="Y1721">
        <f>IF([2]Baskol!$G$1724="","",[2]Baskol!$G$1724)</f>
        <v/>
      </c>
      <c r="Z1721">
        <f>IF([2]Baskol!$I$1724="","",[2]Baskol!$I$1724)</f>
        <v/>
      </c>
      <c r="AA1721">
        <f>IF([2]Baskol!$J$1724="","",[2]Baskol!$J$1724)</f>
        <v/>
      </c>
      <c r="AB1721">
        <f>IF([2]Baskol!$K$1724="","",[2]Baskol!$K$1724)</f>
        <v/>
      </c>
      <c r="AC1721">
        <f>IF([2]Baskol!$L$1724="","",[2]Baskol!$L$1724)</f>
        <v/>
      </c>
      <c r="AD1721">
        <f>IF([2]Baskol!$N$1724="","",[2]Baskol!$N$1724)</f>
        <v/>
      </c>
      <c r="AE1721">
        <f>IF([2]Baskol!$O$1724="","",[2]Baskol!$O$1724)</f>
        <v/>
      </c>
      <c r="AG1721">
        <f>IF([3]Entry!$C$1724="","",[3]Entry!$C$1724)</f>
        <v/>
      </c>
      <c r="AH1721">
        <f>IF([3]Entry!$D$1724="","",[3]Entry!$D$1724)</f>
        <v/>
      </c>
      <c r="AI1721">
        <f>IF([3]Entry!$E$1724="","",[3]Entry!$E$1724)</f>
        <v/>
      </c>
      <c r="AJ1721">
        <f>IF([3]Entry!$G$1724="","",[3]Entry!$G$1724)</f>
        <v/>
      </c>
      <c r="AK1721">
        <f>IF([3]Entry!$K$1724="","",[3]Entry!$K$1724)</f>
        <v/>
      </c>
      <c r="AL1721">
        <f>IF([3]Entry!$L$1724="","",[3]Entry!$L$1724)</f>
        <v/>
      </c>
      <c r="AM1721">
        <f>IF([3]Entry!$M$1724="","",[3]Entry!$M$1724)</f>
        <v/>
      </c>
      <c r="AN1721">
        <f>IF([3]Entry!$N$1724="","",[3]Entry!$N$1724)</f>
        <v/>
      </c>
      <c r="AO1721">
        <f>IF([3]Entry!$R$1724="","",[3]Entry!$R$1724)</f>
        <v/>
      </c>
    </row>
    <row r="1722">
      <c r="U1722">
        <f>IF([2]Baskol!$B$1725="","",[2]Baskol!$B$1725)</f>
        <v/>
      </c>
      <c r="V1722">
        <f>IF([2]Baskol!$C$1725="","",[2]Baskol!$C$1725)</f>
        <v/>
      </c>
      <c r="W1722">
        <f>IF([2]Baskol!$D$1725="","",[2]Baskol!$D$1725)</f>
        <v/>
      </c>
      <c r="X1722">
        <f>IF([2]Baskol!$E$1725="","",[2]Baskol!$E$1725)</f>
        <v/>
      </c>
      <c r="Y1722">
        <f>IF([2]Baskol!$G$1725="","",[2]Baskol!$G$1725)</f>
        <v/>
      </c>
      <c r="Z1722">
        <f>IF([2]Baskol!$I$1725="","",[2]Baskol!$I$1725)</f>
        <v/>
      </c>
      <c r="AA1722">
        <f>IF([2]Baskol!$J$1725="","",[2]Baskol!$J$1725)</f>
        <v/>
      </c>
      <c r="AB1722">
        <f>IF([2]Baskol!$K$1725="","",[2]Baskol!$K$1725)</f>
        <v/>
      </c>
      <c r="AC1722">
        <f>IF([2]Baskol!$L$1725="","",[2]Baskol!$L$1725)</f>
        <v/>
      </c>
      <c r="AD1722">
        <f>IF([2]Baskol!$N$1725="","",[2]Baskol!$N$1725)</f>
        <v/>
      </c>
      <c r="AE1722">
        <f>IF([2]Baskol!$O$1725="","",[2]Baskol!$O$1725)</f>
        <v/>
      </c>
      <c r="AG1722">
        <f>IF([3]Entry!$C$1725="","",[3]Entry!$C$1725)</f>
        <v/>
      </c>
      <c r="AH1722">
        <f>IF([3]Entry!$D$1725="","",[3]Entry!$D$1725)</f>
        <v/>
      </c>
      <c r="AI1722">
        <f>IF([3]Entry!$E$1725="","",[3]Entry!$E$1725)</f>
        <v/>
      </c>
      <c r="AJ1722">
        <f>IF([3]Entry!$G$1725="","",[3]Entry!$G$1725)</f>
        <v/>
      </c>
      <c r="AK1722">
        <f>IF([3]Entry!$K$1725="","",[3]Entry!$K$1725)</f>
        <v/>
      </c>
      <c r="AL1722">
        <f>IF([3]Entry!$L$1725="","",[3]Entry!$L$1725)</f>
        <v/>
      </c>
      <c r="AM1722">
        <f>IF([3]Entry!$M$1725="","",[3]Entry!$M$1725)</f>
        <v/>
      </c>
      <c r="AN1722">
        <f>IF([3]Entry!$N$1725="","",[3]Entry!$N$1725)</f>
        <v/>
      </c>
      <c r="AO1722">
        <f>IF([3]Entry!$R$1725="","",[3]Entry!$R$1725)</f>
        <v/>
      </c>
    </row>
    <row r="1723">
      <c r="U1723">
        <f>IF([2]Baskol!$B$1726="","",[2]Baskol!$B$1726)</f>
        <v/>
      </c>
      <c r="V1723">
        <f>IF([2]Baskol!$C$1726="","",[2]Baskol!$C$1726)</f>
        <v/>
      </c>
      <c r="W1723">
        <f>IF([2]Baskol!$D$1726="","",[2]Baskol!$D$1726)</f>
        <v/>
      </c>
      <c r="X1723">
        <f>IF([2]Baskol!$E$1726="","",[2]Baskol!$E$1726)</f>
        <v/>
      </c>
      <c r="Y1723">
        <f>IF([2]Baskol!$G$1726="","",[2]Baskol!$G$1726)</f>
        <v/>
      </c>
      <c r="Z1723">
        <f>IF([2]Baskol!$I$1726="","",[2]Baskol!$I$1726)</f>
        <v/>
      </c>
      <c r="AA1723">
        <f>IF([2]Baskol!$J$1726="","",[2]Baskol!$J$1726)</f>
        <v/>
      </c>
      <c r="AB1723">
        <f>IF([2]Baskol!$K$1726="","",[2]Baskol!$K$1726)</f>
        <v/>
      </c>
      <c r="AC1723">
        <f>IF([2]Baskol!$L$1726="","",[2]Baskol!$L$1726)</f>
        <v/>
      </c>
      <c r="AD1723">
        <f>IF([2]Baskol!$N$1726="","",[2]Baskol!$N$1726)</f>
        <v/>
      </c>
      <c r="AE1723">
        <f>IF([2]Baskol!$O$1726="","",[2]Baskol!$O$1726)</f>
        <v/>
      </c>
      <c r="AG1723">
        <f>IF([3]Entry!$C$1726="","",[3]Entry!$C$1726)</f>
        <v/>
      </c>
      <c r="AH1723">
        <f>IF([3]Entry!$D$1726="","",[3]Entry!$D$1726)</f>
        <v/>
      </c>
      <c r="AI1723">
        <f>IF([3]Entry!$E$1726="","",[3]Entry!$E$1726)</f>
        <v/>
      </c>
      <c r="AJ1723">
        <f>IF([3]Entry!$G$1726="","",[3]Entry!$G$1726)</f>
        <v/>
      </c>
      <c r="AK1723">
        <f>IF([3]Entry!$K$1726="","",[3]Entry!$K$1726)</f>
        <v/>
      </c>
      <c r="AL1723">
        <f>IF([3]Entry!$L$1726="","",[3]Entry!$L$1726)</f>
        <v/>
      </c>
      <c r="AM1723">
        <f>IF([3]Entry!$M$1726="","",[3]Entry!$M$1726)</f>
        <v/>
      </c>
      <c r="AN1723">
        <f>IF([3]Entry!$N$1726="","",[3]Entry!$N$1726)</f>
        <v/>
      </c>
      <c r="AO1723">
        <f>IF([3]Entry!$R$1726="","",[3]Entry!$R$1726)</f>
        <v/>
      </c>
    </row>
    <row r="1724">
      <c r="U1724">
        <f>IF([2]Baskol!$B$1727="","",[2]Baskol!$B$1727)</f>
        <v/>
      </c>
      <c r="V1724">
        <f>IF([2]Baskol!$C$1727="","",[2]Baskol!$C$1727)</f>
        <v/>
      </c>
      <c r="W1724">
        <f>IF([2]Baskol!$D$1727="","",[2]Baskol!$D$1727)</f>
        <v/>
      </c>
      <c r="X1724">
        <f>IF([2]Baskol!$E$1727="","",[2]Baskol!$E$1727)</f>
        <v/>
      </c>
      <c r="Y1724">
        <f>IF([2]Baskol!$G$1727="","",[2]Baskol!$G$1727)</f>
        <v/>
      </c>
      <c r="Z1724">
        <f>IF([2]Baskol!$I$1727="","",[2]Baskol!$I$1727)</f>
        <v/>
      </c>
      <c r="AA1724">
        <f>IF([2]Baskol!$J$1727="","",[2]Baskol!$J$1727)</f>
        <v/>
      </c>
      <c r="AB1724">
        <f>IF([2]Baskol!$K$1727="","",[2]Baskol!$K$1727)</f>
        <v/>
      </c>
      <c r="AC1724">
        <f>IF([2]Baskol!$L$1727="","",[2]Baskol!$L$1727)</f>
        <v/>
      </c>
      <c r="AD1724">
        <f>IF([2]Baskol!$N$1727="","",[2]Baskol!$N$1727)</f>
        <v/>
      </c>
      <c r="AE1724">
        <f>IF([2]Baskol!$O$1727="","",[2]Baskol!$O$1727)</f>
        <v/>
      </c>
      <c r="AG1724">
        <f>IF([3]Entry!$C$1727="","",[3]Entry!$C$1727)</f>
        <v/>
      </c>
      <c r="AH1724">
        <f>IF([3]Entry!$D$1727="","",[3]Entry!$D$1727)</f>
        <v/>
      </c>
      <c r="AI1724">
        <f>IF([3]Entry!$E$1727="","",[3]Entry!$E$1727)</f>
        <v/>
      </c>
      <c r="AJ1724">
        <f>IF([3]Entry!$G$1727="","",[3]Entry!$G$1727)</f>
        <v/>
      </c>
      <c r="AK1724">
        <f>IF([3]Entry!$K$1727="","",[3]Entry!$K$1727)</f>
        <v/>
      </c>
      <c r="AL1724">
        <f>IF([3]Entry!$L$1727="","",[3]Entry!$L$1727)</f>
        <v/>
      </c>
      <c r="AM1724">
        <f>IF([3]Entry!$M$1727="","",[3]Entry!$M$1727)</f>
        <v/>
      </c>
      <c r="AN1724">
        <f>IF([3]Entry!$N$1727="","",[3]Entry!$N$1727)</f>
        <v/>
      </c>
      <c r="AO1724">
        <f>IF([3]Entry!$R$1727="","",[3]Entry!$R$1727)</f>
        <v/>
      </c>
    </row>
    <row r="1725">
      <c r="U1725">
        <f>IF([2]Baskol!$B$1728="","",[2]Baskol!$B$1728)</f>
        <v/>
      </c>
      <c r="V1725">
        <f>IF([2]Baskol!$C$1728="","",[2]Baskol!$C$1728)</f>
        <v/>
      </c>
      <c r="W1725">
        <f>IF([2]Baskol!$D$1728="","",[2]Baskol!$D$1728)</f>
        <v/>
      </c>
      <c r="X1725">
        <f>IF([2]Baskol!$E$1728="","",[2]Baskol!$E$1728)</f>
        <v/>
      </c>
      <c r="Y1725">
        <f>IF([2]Baskol!$G$1728="","",[2]Baskol!$G$1728)</f>
        <v/>
      </c>
      <c r="Z1725">
        <f>IF([2]Baskol!$I$1728="","",[2]Baskol!$I$1728)</f>
        <v/>
      </c>
      <c r="AA1725">
        <f>IF([2]Baskol!$J$1728="","",[2]Baskol!$J$1728)</f>
        <v/>
      </c>
      <c r="AB1725">
        <f>IF([2]Baskol!$K$1728="","",[2]Baskol!$K$1728)</f>
        <v/>
      </c>
      <c r="AC1725">
        <f>IF([2]Baskol!$L$1728="","",[2]Baskol!$L$1728)</f>
        <v/>
      </c>
      <c r="AD1725">
        <f>IF([2]Baskol!$N$1728="","",[2]Baskol!$N$1728)</f>
        <v/>
      </c>
      <c r="AE1725">
        <f>IF([2]Baskol!$O$1728="","",[2]Baskol!$O$1728)</f>
        <v/>
      </c>
      <c r="AG1725">
        <f>IF([3]Entry!$C$1728="","",[3]Entry!$C$1728)</f>
        <v/>
      </c>
      <c r="AH1725">
        <f>IF([3]Entry!$D$1728="","",[3]Entry!$D$1728)</f>
        <v/>
      </c>
      <c r="AI1725">
        <f>IF([3]Entry!$E$1728="","",[3]Entry!$E$1728)</f>
        <v/>
      </c>
      <c r="AJ1725">
        <f>IF([3]Entry!$G$1728="","",[3]Entry!$G$1728)</f>
        <v/>
      </c>
      <c r="AK1725">
        <f>IF([3]Entry!$K$1728="","",[3]Entry!$K$1728)</f>
        <v/>
      </c>
      <c r="AL1725">
        <f>IF([3]Entry!$L$1728="","",[3]Entry!$L$1728)</f>
        <v/>
      </c>
      <c r="AM1725">
        <f>IF([3]Entry!$M$1728="","",[3]Entry!$M$1728)</f>
        <v/>
      </c>
      <c r="AN1725">
        <f>IF([3]Entry!$N$1728="","",[3]Entry!$N$1728)</f>
        <v/>
      </c>
      <c r="AO1725">
        <f>IF([3]Entry!$R$1728="","",[3]Entry!$R$1728)</f>
        <v/>
      </c>
    </row>
    <row r="1726">
      <c r="U1726">
        <f>IF([2]Baskol!$B$1729="","",[2]Baskol!$B$1729)</f>
        <v/>
      </c>
      <c r="V1726">
        <f>IF([2]Baskol!$C$1729="","",[2]Baskol!$C$1729)</f>
        <v/>
      </c>
      <c r="W1726">
        <f>IF([2]Baskol!$D$1729="","",[2]Baskol!$D$1729)</f>
        <v/>
      </c>
      <c r="X1726">
        <f>IF([2]Baskol!$E$1729="","",[2]Baskol!$E$1729)</f>
        <v/>
      </c>
      <c r="Y1726">
        <f>IF([2]Baskol!$G$1729="","",[2]Baskol!$G$1729)</f>
        <v/>
      </c>
      <c r="Z1726">
        <f>IF([2]Baskol!$I$1729="","",[2]Baskol!$I$1729)</f>
        <v/>
      </c>
      <c r="AA1726">
        <f>IF([2]Baskol!$J$1729="","",[2]Baskol!$J$1729)</f>
        <v/>
      </c>
      <c r="AB1726">
        <f>IF([2]Baskol!$K$1729="","",[2]Baskol!$K$1729)</f>
        <v/>
      </c>
      <c r="AC1726">
        <f>IF([2]Baskol!$L$1729="","",[2]Baskol!$L$1729)</f>
        <v/>
      </c>
      <c r="AD1726">
        <f>IF([2]Baskol!$N$1729="","",[2]Baskol!$N$1729)</f>
        <v/>
      </c>
      <c r="AE1726">
        <f>IF([2]Baskol!$O$1729="","",[2]Baskol!$O$1729)</f>
        <v/>
      </c>
      <c r="AG1726">
        <f>IF([3]Entry!$C$1729="","",[3]Entry!$C$1729)</f>
        <v/>
      </c>
      <c r="AH1726">
        <f>IF([3]Entry!$D$1729="","",[3]Entry!$D$1729)</f>
        <v/>
      </c>
      <c r="AI1726">
        <f>IF([3]Entry!$E$1729="","",[3]Entry!$E$1729)</f>
        <v/>
      </c>
      <c r="AJ1726">
        <f>IF([3]Entry!$G$1729="","",[3]Entry!$G$1729)</f>
        <v/>
      </c>
      <c r="AK1726">
        <f>IF([3]Entry!$K$1729="","",[3]Entry!$K$1729)</f>
        <v/>
      </c>
      <c r="AL1726">
        <f>IF([3]Entry!$L$1729="","",[3]Entry!$L$1729)</f>
        <v/>
      </c>
      <c r="AM1726">
        <f>IF([3]Entry!$M$1729="","",[3]Entry!$M$1729)</f>
        <v/>
      </c>
      <c r="AN1726">
        <f>IF([3]Entry!$N$1729="","",[3]Entry!$N$1729)</f>
        <v/>
      </c>
      <c r="AO1726">
        <f>IF([3]Entry!$R$1729="","",[3]Entry!$R$1729)</f>
        <v/>
      </c>
    </row>
    <row r="1727">
      <c r="U1727">
        <f>IF([2]Baskol!$B$1730="","",[2]Baskol!$B$1730)</f>
        <v/>
      </c>
      <c r="V1727">
        <f>IF([2]Baskol!$C$1730="","",[2]Baskol!$C$1730)</f>
        <v/>
      </c>
      <c r="W1727">
        <f>IF([2]Baskol!$D$1730="","",[2]Baskol!$D$1730)</f>
        <v/>
      </c>
      <c r="X1727">
        <f>IF([2]Baskol!$E$1730="","",[2]Baskol!$E$1730)</f>
        <v/>
      </c>
      <c r="Y1727">
        <f>IF([2]Baskol!$G$1730="","",[2]Baskol!$G$1730)</f>
        <v/>
      </c>
      <c r="Z1727">
        <f>IF([2]Baskol!$I$1730="","",[2]Baskol!$I$1730)</f>
        <v/>
      </c>
      <c r="AA1727">
        <f>IF([2]Baskol!$J$1730="","",[2]Baskol!$J$1730)</f>
        <v/>
      </c>
      <c r="AB1727">
        <f>IF([2]Baskol!$K$1730="","",[2]Baskol!$K$1730)</f>
        <v/>
      </c>
      <c r="AC1727">
        <f>IF([2]Baskol!$L$1730="","",[2]Baskol!$L$1730)</f>
        <v/>
      </c>
      <c r="AD1727">
        <f>IF([2]Baskol!$N$1730="","",[2]Baskol!$N$1730)</f>
        <v/>
      </c>
      <c r="AE1727">
        <f>IF([2]Baskol!$O$1730="","",[2]Baskol!$O$1730)</f>
        <v/>
      </c>
      <c r="AG1727">
        <f>IF([3]Entry!$C$1730="","",[3]Entry!$C$1730)</f>
        <v/>
      </c>
      <c r="AH1727">
        <f>IF([3]Entry!$D$1730="","",[3]Entry!$D$1730)</f>
        <v/>
      </c>
      <c r="AI1727">
        <f>IF([3]Entry!$E$1730="","",[3]Entry!$E$1730)</f>
        <v/>
      </c>
      <c r="AJ1727">
        <f>IF([3]Entry!$G$1730="","",[3]Entry!$G$1730)</f>
        <v/>
      </c>
      <c r="AK1727">
        <f>IF([3]Entry!$K$1730="","",[3]Entry!$K$1730)</f>
        <v/>
      </c>
      <c r="AL1727">
        <f>IF([3]Entry!$L$1730="","",[3]Entry!$L$1730)</f>
        <v/>
      </c>
      <c r="AM1727">
        <f>IF([3]Entry!$M$1730="","",[3]Entry!$M$1730)</f>
        <v/>
      </c>
      <c r="AN1727">
        <f>IF([3]Entry!$N$1730="","",[3]Entry!$N$1730)</f>
        <v/>
      </c>
      <c r="AO1727">
        <f>IF([3]Entry!$R$1730="","",[3]Entry!$R$1730)</f>
        <v/>
      </c>
    </row>
    <row r="1728">
      <c r="U1728">
        <f>IF([2]Baskol!$B$1731="","",[2]Baskol!$B$1731)</f>
        <v/>
      </c>
      <c r="V1728">
        <f>IF([2]Baskol!$C$1731="","",[2]Baskol!$C$1731)</f>
        <v/>
      </c>
      <c r="W1728">
        <f>IF([2]Baskol!$D$1731="","",[2]Baskol!$D$1731)</f>
        <v/>
      </c>
      <c r="X1728">
        <f>IF([2]Baskol!$E$1731="","",[2]Baskol!$E$1731)</f>
        <v/>
      </c>
      <c r="Y1728">
        <f>IF([2]Baskol!$G$1731="","",[2]Baskol!$G$1731)</f>
        <v/>
      </c>
      <c r="Z1728">
        <f>IF([2]Baskol!$I$1731="","",[2]Baskol!$I$1731)</f>
        <v/>
      </c>
      <c r="AA1728">
        <f>IF([2]Baskol!$J$1731="","",[2]Baskol!$J$1731)</f>
        <v/>
      </c>
      <c r="AB1728">
        <f>IF([2]Baskol!$K$1731="","",[2]Baskol!$K$1731)</f>
        <v/>
      </c>
      <c r="AC1728">
        <f>IF([2]Baskol!$L$1731="","",[2]Baskol!$L$1731)</f>
        <v/>
      </c>
      <c r="AD1728">
        <f>IF([2]Baskol!$N$1731="","",[2]Baskol!$N$1731)</f>
        <v/>
      </c>
      <c r="AE1728">
        <f>IF([2]Baskol!$O$1731="","",[2]Baskol!$O$1731)</f>
        <v/>
      </c>
      <c r="AG1728">
        <f>IF([3]Entry!$C$1731="","",[3]Entry!$C$1731)</f>
        <v/>
      </c>
      <c r="AH1728">
        <f>IF([3]Entry!$D$1731="","",[3]Entry!$D$1731)</f>
        <v/>
      </c>
      <c r="AI1728">
        <f>IF([3]Entry!$E$1731="","",[3]Entry!$E$1731)</f>
        <v/>
      </c>
      <c r="AJ1728">
        <f>IF([3]Entry!$G$1731="","",[3]Entry!$G$1731)</f>
        <v/>
      </c>
      <c r="AK1728">
        <f>IF([3]Entry!$K$1731="","",[3]Entry!$K$1731)</f>
        <v/>
      </c>
      <c r="AL1728">
        <f>IF([3]Entry!$L$1731="","",[3]Entry!$L$1731)</f>
        <v/>
      </c>
      <c r="AM1728">
        <f>IF([3]Entry!$M$1731="","",[3]Entry!$M$1731)</f>
        <v/>
      </c>
      <c r="AN1728">
        <f>IF([3]Entry!$N$1731="","",[3]Entry!$N$1731)</f>
        <v/>
      </c>
      <c r="AO1728">
        <f>IF([3]Entry!$R$1731="","",[3]Entry!$R$1731)</f>
        <v/>
      </c>
    </row>
    <row r="1729">
      <c r="U1729">
        <f>IF([2]Baskol!$B$1732="","",[2]Baskol!$B$1732)</f>
        <v/>
      </c>
      <c r="V1729">
        <f>IF([2]Baskol!$C$1732="","",[2]Baskol!$C$1732)</f>
        <v/>
      </c>
      <c r="W1729">
        <f>IF([2]Baskol!$D$1732="","",[2]Baskol!$D$1732)</f>
        <v/>
      </c>
      <c r="X1729">
        <f>IF([2]Baskol!$E$1732="","",[2]Baskol!$E$1732)</f>
        <v/>
      </c>
      <c r="Y1729">
        <f>IF([2]Baskol!$G$1732="","",[2]Baskol!$G$1732)</f>
        <v/>
      </c>
      <c r="Z1729">
        <f>IF([2]Baskol!$I$1732="","",[2]Baskol!$I$1732)</f>
        <v/>
      </c>
      <c r="AA1729">
        <f>IF([2]Baskol!$J$1732="","",[2]Baskol!$J$1732)</f>
        <v/>
      </c>
      <c r="AB1729">
        <f>IF([2]Baskol!$K$1732="","",[2]Baskol!$K$1732)</f>
        <v/>
      </c>
      <c r="AC1729">
        <f>IF([2]Baskol!$L$1732="","",[2]Baskol!$L$1732)</f>
        <v/>
      </c>
      <c r="AD1729">
        <f>IF([2]Baskol!$N$1732="","",[2]Baskol!$N$1732)</f>
        <v/>
      </c>
      <c r="AE1729">
        <f>IF([2]Baskol!$O$1732="","",[2]Baskol!$O$1732)</f>
        <v/>
      </c>
      <c r="AG1729">
        <f>IF([3]Entry!$C$1732="","",[3]Entry!$C$1732)</f>
        <v/>
      </c>
      <c r="AH1729">
        <f>IF([3]Entry!$D$1732="","",[3]Entry!$D$1732)</f>
        <v/>
      </c>
      <c r="AI1729">
        <f>IF([3]Entry!$E$1732="","",[3]Entry!$E$1732)</f>
        <v/>
      </c>
      <c r="AJ1729">
        <f>IF([3]Entry!$G$1732="","",[3]Entry!$G$1732)</f>
        <v/>
      </c>
      <c r="AK1729">
        <f>IF([3]Entry!$K$1732="","",[3]Entry!$K$1732)</f>
        <v/>
      </c>
      <c r="AL1729">
        <f>IF([3]Entry!$L$1732="","",[3]Entry!$L$1732)</f>
        <v/>
      </c>
      <c r="AM1729">
        <f>IF([3]Entry!$M$1732="","",[3]Entry!$M$1732)</f>
        <v/>
      </c>
      <c r="AN1729">
        <f>IF([3]Entry!$N$1732="","",[3]Entry!$N$1732)</f>
        <v/>
      </c>
      <c r="AO1729">
        <f>IF([3]Entry!$R$1732="","",[3]Entry!$R$1732)</f>
        <v/>
      </c>
    </row>
    <row r="1730">
      <c r="U1730">
        <f>IF([2]Baskol!$B$1733="","",[2]Baskol!$B$1733)</f>
        <v/>
      </c>
      <c r="V1730">
        <f>IF([2]Baskol!$C$1733="","",[2]Baskol!$C$1733)</f>
        <v/>
      </c>
      <c r="W1730">
        <f>IF([2]Baskol!$D$1733="","",[2]Baskol!$D$1733)</f>
        <v/>
      </c>
      <c r="X1730">
        <f>IF([2]Baskol!$E$1733="","",[2]Baskol!$E$1733)</f>
        <v/>
      </c>
      <c r="Y1730">
        <f>IF([2]Baskol!$G$1733="","",[2]Baskol!$G$1733)</f>
        <v/>
      </c>
      <c r="Z1730">
        <f>IF([2]Baskol!$I$1733="","",[2]Baskol!$I$1733)</f>
        <v/>
      </c>
      <c r="AA1730">
        <f>IF([2]Baskol!$J$1733="","",[2]Baskol!$J$1733)</f>
        <v/>
      </c>
      <c r="AB1730">
        <f>IF([2]Baskol!$K$1733="","",[2]Baskol!$K$1733)</f>
        <v/>
      </c>
      <c r="AC1730">
        <f>IF([2]Baskol!$L$1733="","",[2]Baskol!$L$1733)</f>
        <v/>
      </c>
      <c r="AD1730">
        <f>IF([2]Baskol!$N$1733="","",[2]Baskol!$N$1733)</f>
        <v/>
      </c>
      <c r="AE1730">
        <f>IF([2]Baskol!$O$1733="","",[2]Baskol!$O$1733)</f>
        <v/>
      </c>
      <c r="AG1730">
        <f>IF([3]Entry!$C$1733="","",[3]Entry!$C$1733)</f>
        <v/>
      </c>
      <c r="AH1730">
        <f>IF([3]Entry!$D$1733="","",[3]Entry!$D$1733)</f>
        <v/>
      </c>
      <c r="AI1730">
        <f>IF([3]Entry!$E$1733="","",[3]Entry!$E$1733)</f>
        <v/>
      </c>
      <c r="AJ1730">
        <f>IF([3]Entry!$G$1733="","",[3]Entry!$G$1733)</f>
        <v/>
      </c>
      <c r="AK1730">
        <f>IF([3]Entry!$K$1733="","",[3]Entry!$K$1733)</f>
        <v/>
      </c>
      <c r="AL1730">
        <f>IF([3]Entry!$L$1733="","",[3]Entry!$L$1733)</f>
        <v/>
      </c>
      <c r="AM1730">
        <f>IF([3]Entry!$M$1733="","",[3]Entry!$M$1733)</f>
        <v/>
      </c>
      <c r="AN1730">
        <f>IF([3]Entry!$N$1733="","",[3]Entry!$N$1733)</f>
        <v/>
      </c>
      <c r="AO1730">
        <f>IF([3]Entry!$R$1733="","",[3]Entry!$R$1733)</f>
        <v/>
      </c>
    </row>
    <row r="1731">
      <c r="U1731">
        <f>IF([2]Baskol!$B$1734="","",[2]Baskol!$B$1734)</f>
        <v/>
      </c>
      <c r="V1731">
        <f>IF([2]Baskol!$C$1734="","",[2]Baskol!$C$1734)</f>
        <v/>
      </c>
      <c r="W1731">
        <f>IF([2]Baskol!$D$1734="","",[2]Baskol!$D$1734)</f>
        <v/>
      </c>
      <c r="X1731">
        <f>IF([2]Baskol!$E$1734="","",[2]Baskol!$E$1734)</f>
        <v/>
      </c>
      <c r="Y1731">
        <f>IF([2]Baskol!$G$1734="","",[2]Baskol!$G$1734)</f>
        <v/>
      </c>
      <c r="Z1731">
        <f>IF([2]Baskol!$I$1734="","",[2]Baskol!$I$1734)</f>
        <v/>
      </c>
      <c r="AA1731">
        <f>IF([2]Baskol!$J$1734="","",[2]Baskol!$J$1734)</f>
        <v/>
      </c>
      <c r="AB1731">
        <f>IF([2]Baskol!$K$1734="","",[2]Baskol!$K$1734)</f>
        <v/>
      </c>
      <c r="AC1731">
        <f>IF([2]Baskol!$L$1734="","",[2]Baskol!$L$1734)</f>
        <v/>
      </c>
      <c r="AD1731">
        <f>IF([2]Baskol!$N$1734="","",[2]Baskol!$N$1734)</f>
        <v/>
      </c>
      <c r="AE1731">
        <f>IF([2]Baskol!$O$1734="","",[2]Baskol!$O$1734)</f>
        <v/>
      </c>
      <c r="AG1731">
        <f>IF([3]Entry!$C$1734="","",[3]Entry!$C$1734)</f>
        <v/>
      </c>
      <c r="AH1731">
        <f>IF([3]Entry!$D$1734="","",[3]Entry!$D$1734)</f>
        <v/>
      </c>
      <c r="AI1731">
        <f>IF([3]Entry!$E$1734="","",[3]Entry!$E$1734)</f>
        <v/>
      </c>
      <c r="AJ1731">
        <f>IF([3]Entry!$G$1734="","",[3]Entry!$G$1734)</f>
        <v/>
      </c>
      <c r="AK1731">
        <f>IF([3]Entry!$K$1734="","",[3]Entry!$K$1734)</f>
        <v/>
      </c>
      <c r="AL1731">
        <f>IF([3]Entry!$L$1734="","",[3]Entry!$L$1734)</f>
        <v/>
      </c>
      <c r="AM1731">
        <f>IF([3]Entry!$M$1734="","",[3]Entry!$M$1734)</f>
        <v/>
      </c>
      <c r="AN1731">
        <f>IF([3]Entry!$N$1734="","",[3]Entry!$N$1734)</f>
        <v/>
      </c>
      <c r="AO1731">
        <f>IF([3]Entry!$R$1734="","",[3]Entry!$R$1734)</f>
        <v/>
      </c>
    </row>
    <row r="1732">
      <c r="U1732">
        <f>IF([2]Baskol!$B$1735="","",[2]Baskol!$B$1735)</f>
        <v/>
      </c>
      <c r="V1732">
        <f>IF([2]Baskol!$C$1735="","",[2]Baskol!$C$1735)</f>
        <v/>
      </c>
      <c r="W1732">
        <f>IF([2]Baskol!$D$1735="","",[2]Baskol!$D$1735)</f>
        <v/>
      </c>
      <c r="X1732">
        <f>IF([2]Baskol!$E$1735="","",[2]Baskol!$E$1735)</f>
        <v/>
      </c>
      <c r="Y1732">
        <f>IF([2]Baskol!$G$1735="","",[2]Baskol!$G$1735)</f>
        <v/>
      </c>
      <c r="Z1732">
        <f>IF([2]Baskol!$I$1735="","",[2]Baskol!$I$1735)</f>
        <v/>
      </c>
      <c r="AA1732">
        <f>IF([2]Baskol!$J$1735="","",[2]Baskol!$J$1735)</f>
        <v/>
      </c>
      <c r="AB1732">
        <f>IF([2]Baskol!$K$1735="","",[2]Baskol!$K$1735)</f>
        <v/>
      </c>
      <c r="AC1732">
        <f>IF([2]Baskol!$L$1735="","",[2]Baskol!$L$1735)</f>
        <v/>
      </c>
      <c r="AD1732">
        <f>IF([2]Baskol!$N$1735="","",[2]Baskol!$N$1735)</f>
        <v/>
      </c>
      <c r="AE1732">
        <f>IF([2]Baskol!$O$1735="","",[2]Baskol!$O$1735)</f>
        <v/>
      </c>
      <c r="AG1732">
        <f>IF([3]Entry!$C$1735="","",[3]Entry!$C$1735)</f>
        <v/>
      </c>
      <c r="AH1732">
        <f>IF([3]Entry!$D$1735="","",[3]Entry!$D$1735)</f>
        <v/>
      </c>
      <c r="AI1732">
        <f>IF([3]Entry!$E$1735="","",[3]Entry!$E$1735)</f>
        <v/>
      </c>
      <c r="AJ1732">
        <f>IF([3]Entry!$G$1735="","",[3]Entry!$G$1735)</f>
        <v/>
      </c>
      <c r="AK1732">
        <f>IF([3]Entry!$K$1735="","",[3]Entry!$K$1735)</f>
        <v/>
      </c>
      <c r="AL1732">
        <f>IF([3]Entry!$L$1735="","",[3]Entry!$L$1735)</f>
        <v/>
      </c>
      <c r="AM1732">
        <f>IF([3]Entry!$M$1735="","",[3]Entry!$M$1735)</f>
        <v/>
      </c>
      <c r="AN1732">
        <f>IF([3]Entry!$N$1735="","",[3]Entry!$N$1735)</f>
        <v/>
      </c>
      <c r="AO1732">
        <f>IF([3]Entry!$R$1735="","",[3]Entry!$R$1735)</f>
        <v/>
      </c>
    </row>
    <row r="1733">
      <c r="U1733">
        <f>IF([2]Baskol!$B$1736="","",[2]Baskol!$B$1736)</f>
        <v/>
      </c>
      <c r="V1733">
        <f>IF([2]Baskol!$C$1736="","",[2]Baskol!$C$1736)</f>
        <v/>
      </c>
      <c r="W1733">
        <f>IF([2]Baskol!$D$1736="","",[2]Baskol!$D$1736)</f>
        <v/>
      </c>
      <c r="X1733">
        <f>IF([2]Baskol!$E$1736="","",[2]Baskol!$E$1736)</f>
        <v/>
      </c>
      <c r="Y1733">
        <f>IF([2]Baskol!$G$1736="","",[2]Baskol!$G$1736)</f>
        <v/>
      </c>
      <c r="Z1733">
        <f>IF([2]Baskol!$I$1736="","",[2]Baskol!$I$1736)</f>
        <v/>
      </c>
      <c r="AA1733">
        <f>IF([2]Baskol!$J$1736="","",[2]Baskol!$J$1736)</f>
        <v/>
      </c>
      <c r="AB1733">
        <f>IF([2]Baskol!$K$1736="","",[2]Baskol!$K$1736)</f>
        <v/>
      </c>
      <c r="AC1733">
        <f>IF([2]Baskol!$L$1736="","",[2]Baskol!$L$1736)</f>
        <v/>
      </c>
      <c r="AD1733">
        <f>IF([2]Baskol!$N$1736="","",[2]Baskol!$N$1736)</f>
        <v/>
      </c>
      <c r="AE1733">
        <f>IF([2]Baskol!$O$1736="","",[2]Baskol!$O$1736)</f>
        <v/>
      </c>
      <c r="AG1733">
        <f>IF([3]Entry!$C$1736="","",[3]Entry!$C$1736)</f>
        <v/>
      </c>
      <c r="AH1733">
        <f>IF([3]Entry!$D$1736="","",[3]Entry!$D$1736)</f>
        <v/>
      </c>
      <c r="AI1733">
        <f>IF([3]Entry!$E$1736="","",[3]Entry!$E$1736)</f>
        <v/>
      </c>
      <c r="AJ1733">
        <f>IF([3]Entry!$G$1736="","",[3]Entry!$G$1736)</f>
        <v/>
      </c>
      <c r="AK1733">
        <f>IF([3]Entry!$K$1736="","",[3]Entry!$K$1736)</f>
        <v/>
      </c>
      <c r="AL1733">
        <f>IF([3]Entry!$L$1736="","",[3]Entry!$L$1736)</f>
        <v/>
      </c>
      <c r="AM1733">
        <f>IF([3]Entry!$M$1736="","",[3]Entry!$M$1736)</f>
        <v/>
      </c>
      <c r="AN1733">
        <f>IF([3]Entry!$N$1736="","",[3]Entry!$N$1736)</f>
        <v/>
      </c>
      <c r="AO1733">
        <f>IF([3]Entry!$R$1736="","",[3]Entry!$R$1736)</f>
        <v/>
      </c>
    </row>
    <row r="1734">
      <c r="U1734">
        <f>IF([2]Baskol!$B$1737="","",[2]Baskol!$B$1737)</f>
        <v/>
      </c>
      <c r="V1734">
        <f>IF([2]Baskol!$C$1737="","",[2]Baskol!$C$1737)</f>
        <v/>
      </c>
      <c r="W1734">
        <f>IF([2]Baskol!$D$1737="","",[2]Baskol!$D$1737)</f>
        <v/>
      </c>
      <c r="X1734">
        <f>IF([2]Baskol!$E$1737="","",[2]Baskol!$E$1737)</f>
        <v/>
      </c>
      <c r="Y1734">
        <f>IF([2]Baskol!$G$1737="","",[2]Baskol!$G$1737)</f>
        <v/>
      </c>
      <c r="Z1734">
        <f>IF([2]Baskol!$I$1737="","",[2]Baskol!$I$1737)</f>
        <v/>
      </c>
      <c r="AA1734">
        <f>IF([2]Baskol!$J$1737="","",[2]Baskol!$J$1737)</f>
        <v/>
      </c>
      <c r="AB1734">
        <f>IF([2]Baskol!$K$1737="","",[2]Baskol!$K$1737)</f>
        <v/>
      </c>
      <c r="AC1734">
        <f>IF([2]Baskol!$L$1737="","",[2]Baskol!$L$1737)</f>
        <v/>
      </c>
      <c r="AD1734">
        <f>IF([2]Baskol!$N$1737="","",[2]Baskol!$N$1737)</f>
        <v/>
      </c>
      <c r="AE1734">
        <f>IF([2]Baskol!$O$1737="","",[2]Baskol!$O$1737)</f>
        <v/>
      </c>
      <c r="AG1734">
        <f>IF([3]Entry!$C$1737="","",[3]Entry!$C$1737)</f>
        <v/>
      </c>
      <c r="AH1734">
        <f>IF([3]Entry!$D$1737="","",[3]Entry!$D$1737)</f>
        <v/>
      </c>
      <c r="AI1734">
        <f>IF([3]Entry!$E$1737="","",[3]Entry!$E$1737)</f>
        <v/>
      </c>
      <c r="AJ1734">
        <f>IF([3]Entry!$G$1737="","",[3]Entry!$G$1737)</f>
        <v/>
      </c>
      <c r="AK1734">
        <f>IF([3]Entry!$K$1737="","",[3]Entry!$K$1737)</f>
        <v/>
      </c>
      <c r="AL1734">
        <f>IF([3]Entry!$L$1737="","",[3]Entry!$L$1737)</f>
        <v/>
      </c>
      <c r="AM1734">
        <f>IF([3]Entry!$M$1737="","",[3]Entry!$M$1737)</f>
        <v/>
      </c>
      <c r="AN1734">
        <f>IF([3]Entry!$N$1737="","",[3]Entry!$N$1737)</f>
        <v/>
      </c>
      <c r="AO1734">
        <f>IF([3]Entry!$R$1737="","",[3]Entry!$R$1737)</f>
        <v/>
      </c>
    </row>
    <row r="1735">
      <c r="U1735">
        <f>IF([2]Baskol!$B$1738="","",[2]Baskol!$B$1738)</f>
        <v/>
      </c>
      <c r="V1735">
        <f>IF([2]Baskol!$C$1738="","",[2]Baskol!$C$1738)</f>
        <v/>
      </c>
      <c r="W1735">
        <f>IF([2]Baskol!$D$1738="","",[2]Baskol!$D$1738)</f>
        <v/>
      </c>
      <c r="X1735">
        <f>IF([2]Baskol!$E$1738="","",[2]Baskol!$E$1738)</f>
        <v/>
      </c>
      <c r="Y1735">
        <f>IF([2]Baskol!$G$1738="","",[2]Baskol!$G$1738)</f>
        <v/>
      </c>
      <c r="Z1735">
        <f>IF([2]Baskol!$I$1738="","",[2]Baskol!$I$1738)</f>
        <v/>
      </c>
      <c r="AA1735">
        <f>IF([2]Baskol!$J$1738="","",[2]Baskol!$J$1738)</f>
        <v/>
      </c>
      <c r="AB1735">
        <f>IF([2]Baskol!$K$1738="","",[2]Baskol!$K$1738)</f>
        <v/>
      </c>
      <c r="AC1735">
        <f>IF([2]Baskol!$L$1738="","",[2]Baskol!$L$1738)</f>
        <v/>
      </c>
      <c r="AD1735">
        <f>IF([2]Baskol!$N$1738="","",[2]Baskol!$N$1738)</f>
        <v/>
      </c>
      <c r="AE1735">
        <f>IF([2]Baskol!$O$1738="","",[2]Baskol!$O$1738)</f>
        <v/>
      </c>
      <c r="AG1735">
        <f>IF([3]Entry!$C$1738="","",[3]Entry!$C$1738)</f>
        <v/>
      </c>
      <c r="AH1735">
        <f>IF([3]Entry!$D$1738="","",[3]Entry!$D$1738)</f>
        <v/>
      </c>
      <c r="AI1735">
        <f>IF([3]Entry!$E$1738="","",[3]Entry!$E$1738)</f>
        <v/>
      </c>
      <c r="AJ1735">
        <f>IF([3]Entry!$G$1738="","",[3]Entry!$G$1738)</f>
        <v/>
      </c>
      <c r="AK1735">
        <f>IF([3]Entry!$K$1738="","",[3]Entry!$K$1738)</f>
        <v/>
      </c>
      <c r="AL1735">
        <f>IF([3]Entry!$L$1738="","",[3]Entry!$L$1738)</f>
        <v/>
      </c>
      <c r="AM1735">
        <f>IF([3]Entry!$M$1738="","",[3]Entry!$M$1738)</f>
        <v/>
      </c>
      <c r="AN1735">
        <f>IF([3]Entry!$N$1738="","",[3]Entry!$N$1738)</f>
        <v/>
      </c>
      <c r="AO1735">
        <f>IF([3]Entry!$R$1738="","",[3]Entry!$R$1738)</f>
        <v/>
      </c>
    </row>
    <row r="1736">
      <c r="U1736">
        <f>IF([2]Baskol!$B$1739="","",[2]Baskol!$B$1739)</f>
        <v/>
      </c>
      <c r="V1736">
        <f>IF([2]Baskol!$C$1739="","",[2]Baskol!$C$1739)</f>
        <v/>
      </c>
      <c r="W1736">
        <f>IF([2]Baskol!$D$1739="","",[2]Baskol!$D$1739)</f>
        <v/>
      </c>
      <c r="X1736">
        <f>IF([2]Baskol!$E$1739="","",[2]Baskol!$E$1739)</f>
        <v/>
      </c>
      <c r="Y1736">
        <f>IF([2]Baskol!$G$1739="","",[2]Baskol!$G$1739)</f>
        <v/>
      </c>
      <c r="Z1736">
        <f>IF([2]Baskol!$I$1739="","",[2]Baskol!$I$1739)</f>
        <v/>
      </c>
      <c r="AA1736">
        <f>IF([2]Baskol!$J$1739="","",[2]Baskol!$J$1739)</f>
        <v/>
      </c>
      <c r="AB1736">
        <f>IF([2]Baskol!$K$1739="","",[2]Baskol!$K$1739)</f>
        <v/>
      </c>
      <c r="AC1736">
        <f>IF([2]Baskol!$L$1739="","",[2]Baskol!$L$1739)</f>
        <v/>
      </c>
      <c r="AD1736">
        <f>IF([2]Baskol!$N$1739="","",[2]Baskol!$N$1739)</f>
        <v/>
      </c>
      <c r="AE1736">
        <f>IF([2]Baskol!$O$1739="","",[2]Baskol!$O$1739)</f>
        <v/>
      </c>
      <c r="AG1736">
        <f>IF([3]Entry!$C$1739="","",[3]Entry!$C$1739)</f>
        <v/>
      </c>
      <c r="AH1736">
        <f>IF([3]Entry!$D$1739="","",[3]Entry!$D$1739)</f>
        <v/>
      </c>
      <c r="AI1736">
        <f>IF([3]Entry!$E$1739="","",[3]Entry!$E$1739)</f>
        <v/>
      </c>
      <c r="AJ1736">
        <f>IF([3]Entry!$G$1739="","",[3]Entry!$G$1739)</f>
        <v/>
      </c>
      <c r="AK1736">
        <f>IF([3]Entry!$K$1739="","",[3]Entry!$K$1739)</f>
        <v/>
      </c>
      <c r="AL1736">
        <f>IF([3]Entry!$L$1739="","",[3]Entry!$L$1739)</f>
        <v/>
      </c>
      <c r="AM1736">
        <f>IF([3]Entry!$M$1739="","",[3]Entry!$M$1739)</f>
        <v/>
      </c>
      <c r="AN1736">
        <f>IF([3]Entry!$N$1739="","",[3]Entry!$N$1739)</f>
        <v/>
      </c>
      <c r="AO1736">
        <f>IF([3]Entry!$R$1739="","",[3]Entry!$R$1739)</f>
        <v/>
      </c>
    </row>
    <row r="1737">
      <c r="U1737">
        <f>IF([2]Baskol!$B$1740="","",[2]Baskol!$B$1740)</f>
        <v/>
      </c>
      <c r="V1737">
        <f>IF([2]Baskol!$C$1740="","",[2]Baskol!$C$1740)</f>
        <v/>
      </c>
      <c r="W1737">
        <f>IF([2]Baskol!$D$1740="","",[2]Baskol!$D$1740)</f>
        <v/>
      </c>
      <c r="X1737">
        <f>IF([2]Baskol!$E$1740="","",[2]Baskol!$E$1740)</f>
        <v/>
      </c>
      <c r="Y1737">
        <f>IF([2]Baskol!$G$1740="","",[2]Baskol!$G$1740)</f>
        <v/>
      </c>
      <c r="Z1737">
        <f>IF([2]Baskol!$I$1740="","",[2]Baskol!$I$1740)</f>
        <v/>
      </c>
      <c r="AA1737">
        <f>IF([2]Baskol!$J$1740="","",[2]Baskol!$J$1740)</f>
        <v/>
      </c>
      <c r="AB1737">
        <f>IF([2]Baskol!$K$1740="","",[2]Baskol!$K$1740)</f>
        <v/>
      </c>
      <c r="AC1737">
        <f>IF([2]Baskol!$L$1740="","",[2]Baskol!$L$1740)</f>
        <v/>
      </c>
      <c r="AD1737">
        <f>IF([2]Baskol!$N$1740="","",[2]Baskol!$N$1740)</f>
        <v/>
      </c>
      <c r="AE1737">
        <f>IF([2]Baskol!$O$1740="","",[2]Baskol!$O$1740)</f>
        <v/>
      </c>
      <c r="AG1737">
        <f>IF([3]Entry!$C$1740="","",[3]Entry!$C$1740)</f>
        <v/>
      </c>
      <c r="AH1737">
        <f>IF([3]Entry!$D$1740="","",[3]Entry!$D$1740)</f>
        <v/>
      </c>
      <c r="AI1737">
        <f>IF([3]Entry!$E$1740="","",[3]Entry!$E$1740)</f>
        <v/>
      </c>
      <c r="AJ1737">
        <f>IF([3]Entry!$G$1740="","",[3]Entry!$G$1740)</f>
        <v/>
      </c>
      <c r="AK1737">
        <f>IF([3]Entry!$K$1740="","",[3]Entry!$K$1740)</f>
        <v/>
      </c>
      <c r="AL1737">
        <f>IF([3]Entry!$L$1740="","",[3]Entry!$L$1740)</f>
        <v/>
      </c>
      <c r="AM1737">
        <f>IF([3]Entry!$M$1740="","",[3]Entry!$M$1740)</f>
        <v/>
      </c>
      <c r="AN1737">
        <f>IF([3]Entry!$N$1740="","",[3]Entry!$N$1740)</f>
        <v/>
      </c>
      <c r="AO1737">
        <f>IF([3]Entry!$R$1740="","",[3]Entry!$R$1740)</f>
        <v/>
      </c>
    </row>
    <row r="1738">
      <c r="U1738">
        <f>IF([2]Baskol!$B$1741="","",[2]Baskol!$B$1741)</f>
        <v/>
      </c>
      <c r="V1738">
        <f>IF([2]Baskol!$C$1741="","",[2]Baskol!$C$1741)</f>
        <v/>
      </c>
      <c r="W1738">
        <f>IF([2]Baskol!$D$1741="","",[2]Baskol!$D$1741)</f>
        <v/>
      </c>
      <c r="X1738">
        <f>IF([2]Baskol!$E$1741="","",[2]Baskol!$E$1741)</f>
        <v/>
      </c>
      <c r="Y1738">
        <f>IF([2]Baskol!$G$1741="","",[2]Baskol!$G$1741)</f>
        <v/>
      </c>
      <c r="Z1738">
        <f>IF([2]Baskol!$I$1741="","",[2]Baskol!$I$1741)</f>
        <v/>
      </c>
      <c r="AA1738">
        <f>IF([2]Baskol!$J$1741="","",[2]Baskol!$J$1741)</f>
        <v/>
      </c>
      <c r="AB1738">
        <f>IF([2]Baskol!$K$1741="","",[2]Baskol!$K$1741)</f>
        <v/>
      </c>
      <c r="AC1738">
        <f>IF([2]Baskol!$L$1741="","",[2]Baskol!$L$1741)</f>
        <v/>
      </c>
      <c r="AD1738">
        <f>IF([2]Baskol!$N$1741="","",[2]Baskol!$N$1741)</f>
        <v/>
      </c>
      <c r="AE1738">
        <f>IF([2]Baskol!$O$1741="","",[2]Baskol!$O$1741)</f>
        <v/>
      </c>
      <c r="AG1738">
        <f>IF([3]Entry!$C$1741="","",[3]Entry!$C$1741)</f>
        <v/>
      </c>
      <c r="AH1738">
        <f>IF([3]Entry!$D$1741="","",[3]Entry!$D$1741)</f>
        <v/>
      </c>
      <c r="AI1738">
        <f>IF([3]Entry!$E$1741="","",[3]Entry!$E$1741)</f>
        <v/>
      </c>
      <c r="AJ1738">
        <f>IF([3]Entry!$G$1741="","",[3]Entry!$G$1741)</f>
        <v/>
      </c>
      <c r="AK1738">
        <f>IF([3]Entry!$K$1741="","",[3]Entry!$K$1741)</f>
        <v/>
      </c>
      <c r="AL1738">
        <f>IF([3]Entry!$L$1741="","",[3]Entry!$L$1741)</f>
        <v/>
      </c>
      <c r="AM1738">
        <f>IF([3]Entry!$M$1741="","",[3]Entry!$M$1741)</f>
        <v/>
      </c>
      <c r="AN1738">
        <f>IF([3]Entry!$N$1741="","",[3]Entry!$N$1741)</f>
        <v/>
      </c>
      <c r="AO1738">
        <f>IF([3]Entry!$R$1741="","",[3]Entry!$R$1741)</f>
        <v/>
      </c>
    </row>
    <row r="1739">
      <c r="U1739">
        <f>IF([2]Baskol!$B$1742="","",[2]Baskol!$B$1742)</f>
        <v/>
      </c>
      <c r="V1739">
        <f>IF([2]Baskol!$C$1742="","",[2]Baskol!$C$1742)</f>
        <v/>
      </c>
      <c r="W1739">
        <f>IF([2]Baskol!$D$1742="","",[2]Baskol!$D$1742)</f>
        <v/>
      </c>
      <c r="X1739">
        <f>IF([2]Baskol!$E$1742="","",[2]Baskol!$E$1742)</f>
        <v/>
      </c>
      <c r="Y1739">
        <f>IF([2]Baskol!$G$1742="","",[2]Baskol!$G$1742)</f>
        <v/>
      </c>
      <c r="Z1739">
        <f>IF([2]Baskol!$I$1742="","",[2]Baskol!$I$1742)</f>
        <v/>
      </c>
      <c r="AA1739">
        <f>IF([2]Baskol!$J$1742="","",[2]Baskol!$J$1742)</f>
        <v/>
      </c>
      <c r="AB1739">
        <f>IF([2]Baskol!$K$1742="","",[2]Baskol!$K$1742)</f>
        <v/>
      </c>
      <c r="AC1739">
        <f>IF([2]Baskol!$L$1742="","",[2]Baskol!$L$1742)</f>
        <v/>
      </c>
      <c r="AD1739">
        <f>IF([2]Baskol!$N$1742="","",[2]Baskol!$N$1742)</f>
        <v/>
      </c>
      <c r="AE1739">
        <f>IF([2]Baskol!$O$1742="","",[2]Baskol!$O$1742)</f>
        <v/>
      </c>
      <c r="AG1739">
        <f>IF([3]Entry!$C$1742="","",[3]Entry!$C$1742)</f>
        <v/>
      </c>
      <c r="AH1739">
        <f>IF([3]Entry!$D$1742="","",[3]Entry!$D$1742)</f>
        <v/>
      </c>
      <c r="AI1739">
        <f>IF([3]Entry!$E$1742="","",[3]Entry!$E$1742)</f>
        <v/>
      </c>
      <c r="AJ1739">
        <f>IF([3]Entry!$G$1742="","",[3]Entry!$G$1742)</f>
        <v/>
      </c>
      <c r="AK1739">
        <f>IF([3]Entry!$K$1742="","",[3]Entry!$K$1742)</f>
        <v/>
      </c>
      <c r="AL1739">
        <f>IF([3]Entry!$L$1742="","",[3]Entry!$L$1742)</f>
        <v/>
      </c>
      <c r="AM1739">
        <f>IF([3]Entry!$M$1742="","",[3]Entry!$M$1742)</f>
        <v/>
      </c>
      <c r="AN1739">
        <f>IF([3]Entry!$N$1742="","",[3]Entry!$N$1742)</f>
        <v/>
      </c>
      <c r="AO1739">
        <f>IF([3]Entry!$R$1742="","",[3]Entry!$R$1742)</f>
        <v/>
      </c>
    </row>
    <row r="1740">
      <c r="U1740">
        <f>IF([2]Baskol!$B$1743="","",[2]Baskol!$B$1743)</f>
        <v/>
      </c>
      <c r="V1740">
        <f>IF([2]Baskol!$C$1743="","",[2]Baskol!$C$1743)</f>
        <v/>
      </c>
      <c r="W1740">
        <f>IF([2]Baskol!$D$1743="","",[2]Baskol!$D$1743)</f>
        <v/>
      </c>
      <c r="X1740">
        <f>IF([2]Baskol!$E$1743="","",[2]Baskol!$E$1743)</f>
        <v/>
      </c>
      <c r="Y1740">
        <f>IF([2]Baskol!$G$1743="","",[2]Baskol!$G$1743)</f>
        <v/>
      </c>
      <c r="Z1740">
        <f>IF([2]Baskol!$I$1743="","",[2]Baskol!$I$1743)</f>
        <v/>
      </c>
      <c r="AA1740">
        <f>IF([2]Baskol!$J$1743="","",[2]Baskol!$J$1743)</f>
        <v/>
      </c>
      <c r="AB1740">
        <f>IF([2]Baskol!$K$1743="","",[2]Baskol!$K$1743)</f>
        <v/>
      </c>
      <c r="AC1740">
        <f>IF([2]Baskol!$L$1743="","",[2]Baskol!$L$1743)</f>
        <v/>
      </c>
      <c r="AD1740">
        <f>IF([2]Baskol!$N$1743="","",[2]Baskol!$N$1743)</f>
        <v/>
      </c>
      <c r="AE1740">
        <f>IF([2]Baskol!$O$1743="","",[2]Baskol!$O$1743)</f>
        <v/>
      </c>
      <c r="AG1740">
        <f>IF([3]Entry!$C$1743="","",[3]Entry!$C$1743)</f>
        <v/>
      </c>
      <c r="AH1740">
        <f>IF([3]Entry!$D$1743="","",[3]Entry!$D$1743)</f>
        <v/>
      </c>
      <c r="AI1740">
        <f>IF([3]Entry!$E$1743="","",[3]Entry!$E$1743)</f>
        <v/>
      </c>
      <c r="AJ1740">
        <f>IF([3]Entry!$G$1743="","",[3]Entry!$G$1743)</f>
        <v/>
      </c>
      <c r="AK1740">
        <f>IF([3]Entry!$K$1743="","",[3]Entry!$K$1743)</f>
        <v/>
      </c>
      <c r="AL1740">
        <f>IF([3]Entry!$L$1743="","",[3]Entry!$L$1743)</f>
        <v/>
      </c>
      <c r="AM1740">
        <f>IF([3]Entry!$M$1743="","",[3]Entry!$M$1743)</f>
        <v/>
      </c>
      <c r="AN1740">
        <f>IF([3]Entry!$N$1743="","",[3]Entry!$N$1743)</f>
        <v/>
      </c>
      <c r="AO1740">
        <f>IF([3]Entry!$R$1743="","",[3]Entry!$R$1743)</f>
        <v/>
      </c>
    </row>
    <row r="1741">
      <c r="U1741">
        <f>IF([2]Baskol!$B$1744="","",[2]Baskol!$B$1744)</f>
        <v/>
      </c>
      <c r="V1741">
        <f>IF([2]Baskol!$C$1744="","",[2]Baskol!$C$1744)</f>
        <v/>
      </c>
      <c r="W1741">
        <f>IF([2]Baskol!$D$1744="","",[2]Baskol!$D$1744)</f>
        <v/>
      </c>
      <c r="X1741">
        <f>IF([2]Baskol!$E$1744="","",[2]Baskol!$E$1744)</f>
        <v/>
      </c>
      <c r="Y1741">
        <f>IF([2]Baskol!$G$1744="","",[2]Baskol!$G$1744)</f>
        <v/>
      </c>
      <c r="Z1741">
        <f>IF([2]Baskol!$I$1744="","",[2]Baskol!$I$1744)</f>
        <v/>
      </c>
      <c r="AA1741">
        <f>IF([2]Baskol!$J$1744="","",[2]Baskol!$J$1744)</f>
        <v/>
      </c>
      <c r="AB1741">
        <f>IF([2]Baskol!$K$1744="","",[2]Baskol!$K$1744)</f>
        <v/>
      </c>
      <c r="AC1741">
        <f>IF([2]Baskol!$L$1744="","",[2]Baskol!$L$1744)</f>
        <v/>
      </c>
      <c r="AD1741">
        <f>IF([2]Baskol!$N$1744="","",[2]Baskol!$N$1744)</f>
        <v/>
      </c>
      <c r="AE1741">
        <f>IF([2]Baskol!$O$1744="","",[2]Baskol!$O$1744)</f>
        <v/>
      </c>
      <c r="AG1741">
        <f>IF([3]Entry!$C$1744="","",[3]Entry!$C$1744)</f>
        <v/>
      </c>
      <c r="AH1741">
        <f>IF([3]Entry!$D$1744="","",[3]Entry!$D$1744)</f>
        <v/>
      </c>
      <c r="AI1741">
        <f>IF([3]Entry!$E$1744="","",[3]Entry!$E$1744)</f>
        <v/>
      </c>
      <c r="AJ1741">
        <f>IF([3]Entry!$G$1744="","",[3]Entry!$G$1744)</f>
        <v/>
      </c>
      <c r="AK1741">
        <f>IF([3]Entry!$K$1744="","",[3]Entry!$K$1744)</f>
        <v/>
      </c>
      <c r="AL1741">
        <f>IF([3]Entry!$L$1744="","",[3]Entry!$L$1744)</f>
        <v/>
      </c>
      <c r="AM1741">
        <f>IF([3]Entry!$M$1744="","",[3]Entry!$M$1744)</f>
        <v/>
      </c>
      <c r="AN1741">
        <f>IF([3]Entry!$N$1744="","",[3]Entry!$N$1744)</f>
        <v/>
      </c>
      <c r="AO1741">
        <f>IF([3]Entry!$R$1744="","",[3]Entry!$R$1744)</f>
        <v/>
      </c>
    </row>
    <row r="1742">
      <c r="U1742">
        <f>IF([2]Baskol!$B$1745="","",[2]Baskol!$B$1745)</f>
        <v/>
      </c>
      <c r="V1742">
        <f>IF([2]Baskol!$C$1745="","",[2]Baskol!$C$1745)</f>
        <v/>
      </c>
      <c r="W1742">
        <f>IF([2]Baskol!$D$1745="","",[2]Baskol!$D$1745)</f>
        <v/>
      </c>
      <c r="X1742">
        <f>IF([2]Baskol!$E$1745="","",[2]Baskol!$E$1745)</f>
        <v/>
      </c>
      <c r="Y1742">
        <f>IF([2]Baskol!$G$1745="","",[2]Baskol!$G$1745)</f>
        <v/>
      </c>
      <c r="Z1742">
        <f>IF([2]Baskol!$I$1745="","",[2]Baskol!$I$1745)</f>
        <v/>
      </c>
      <c r="AA1742">
        <f>IF([2]Baskol!$J$1745="","",[2]Baskol!$J$1745)</f>
        <v/>
      </c>
      <c r="AB1742">
        <f>IF([2]Baskol!$K$1745="","",[2]Baskol!$K$1745)</f>
        <v/>
      </c>
      <c r="AC1742">
        <f>IF([2]Baskol!$L$1745="","",[2]Baskol!$L$1745)</f>
        <v/>
      </c>
      <c r="AD1742">
        <f>IF([2]Baskol!$N$1745="","",[2]Baskol!$N$1745)</f>
        <v/>
      </c>
      <c r="AE1742">
        <f>IF([2]Baskol!$O$1745="","",[2]Baskol!$O$1745)</f>
        <v/>
      </c>
      <c r="AG1742">
        <f>IF([3]Entry!$C$1745="","",[3]Entry!$C$1745)</f>
        <v/>
      </c>
      <c r="AH1742">
        <f>IF([3]Entry!$D$1745="","",[3]Entry!$D$1745)</f>
        <v/>
      </c>
      <c r="AI1742">
        <f>IF([3]Entry!$E$1745="","",[3]Entry!$E$1745)</f>
        <v/>
      </c>
      <c r="AJ1742">
        <f>IF([3]Entry!$G$1745="","",[3]Entry!$G$1745)</f>
        <v/>
      </c>
      <c r="AK1742">
        <f>IF([3]Entry!$K$1745="","",[3]Entry!$K$1745)</f>
        <v/>
      </c>
      <c r="AL1742">
        <f>IF([3]Entry!$L$1745="","",[3]Entry!$L$1745)</f>
        <v/>
      </c>
      <c r="AM1742">
        <f>IF([3]Entry!$M$1745="","",[3]Entry!$M$1745)</f>
        <v/>
      </c>
      <c r="AN1742">
        <f>IF([3]Entry!$N$1745="","",[3]Entry!$N$1745)</f>
        <v/>
      </c>
      <c r="AO1742">
        <f>IF([3]Entry!$R$1745="","",[3]Entry!$R$1745)</f>
        <v/>
      </c>
    </row>
    <row r="1743">
      <c r="U1743">
        <f>IF([2]Baskol!$B$1746="","",[2]Baskol!$B$1746)</f>
        <v/>
      </c>
      <c r="V1743">
        <f>IF([2]Baskol!$C$1746="","",[2]Baskol!$C$1746)</f>
        <v/>
      </c>
      <c r="W1743">
        <f>IF([2]Baskol!$D$1746="","",[2]Baskol!$D$1746)</f>
        <v/>
      </c>
      <c r="X1743">
        <f>IF([2]Baskol!$E$1746="","",[2]Baskol!$E$1746)</f>
        <v/>
      </c>
      <c r="Y1743">
        <f>IF([2]Baskol!$G$1746="","",[2]Baskol!$G$1746)</f>
        <v/>
      </c>
      <c r="Z1743">
        <f>IF([2]Baskol!$I$1746="","",[2]Baskol!$I$1746)</f>
        <v/>
      </c>
      <c r="AA1743">
        <f>IF([2]Baskol!$J$1746="","",[2]Baskol!$J$1746)</f>
        <v/>
      </c>
      <c r="AB1743">
        <f>IF([2]Baskol!$K$1746="","",[2]Baskol!$K$1746)</f>
        <v/>
      </c>
      <c r="AC1743">
        <f>IF([2]Baskol!$L$1746="","",[2]Baskol!$L$1746)</f>
        <v/>
      </c>
      <c r="AD1743">
        <f>IF([2]Baskol!$N$1746="","",[2]Baskol!$N$1746)</f>
        <v/>
      </c>
      <c r="AE1743">
        <f>IF([2]Baskol!$O$1746="","",[2]Baskol!$O$1746)</f>
        <v/>
      </c>
      <c r="AG1743">
        <f>IF([3]Entry!$C$1746="","",[3]Entry!$C$1746)</f>
        <v/>
      </c>
      <c r="AH1743">
        <f>IF([3]Entry!$D$1746="","",[3]Entry!$D$1746)</f>
        <v/>
      </c>
      <c r="AI1743">
        <f>IF([3]Entry!$E$1746="","",[3]Entry!$E$1746)</f>
        <v/>
      </c>
      <c r="AJ1743">
        <f>IF([3]Entry!$G$1746="","",[3]Entry!$G$1746)</f>
        <v/>
      </c>
      <c r="AK1743">
        <f>IF([3]Entry!$K$1746="","",[3]Entry!$K$1746)</f>
        <v/>
      </c>
      <c r="AL1743">
        <f>IF([3]Entry!$L$1746="","",[3]Entry!$L$1746)</f>
        <v/>
      </c>
      <c r="AM1743">
        <f>IF([3]Entry!$M$1746="","",[3]Entry!$M$1746)</f>
        <v/>
      </c>
      <c r="AN1743">
        <f>IF([3]Entry!$N$1746="","",[3]Entry!$N$1746)</f>
        <v/>
      </c>
      <c r="AO1743">
        <f>IF([3]Entry!$R$1746="","",[3]Entry!$R$1746)</f>
        <v/>
      </c>
    </row>
    <row r="1744">
      <c r="U1744">
        <f>IF([2]Baskol!$B$1747="","",[2]Baskol!$B$1747)</f>
        <v/>
      </c>
      <c r="V1744">
        <f>IF([2]Baskol!$C$1747="","",[2]Baskol!$C$1747)</f>
        <v/>
      </c>
      <c r="W1744">
        <f>IF([2]Baskol!$D$1747="","",[2]Baskol!$D$1747)</f>
        <v/>
      </c>
      <c r="X1744">
        <f>IF([2]Baskol!$E$1747="","",[2]Baskol!$E$1747)</f>
        <v/>
      </c>
      <c r="Y1744">
        <f>IF([2]Baskol!$G$1747="","",[2]Baskol!$G$1747)</f>
        <v/>
      </c>
      <c r="Z1744">
        <f>IF([2]Baskol!$I$1747="","",[2]Baskol!$I$1747)</f>
        <v/>
      </c>
      <c r="AA1744">
        <f>IF([2]Baskol!$J$1747="","",[2]Baskol!$J$1747)</f>
        <v/>
      </c>
      <c r="AB1744">
        <f>IF([2]Baskol!$K$1747="","",[2]Baskol!$K$1747)</f>
        <v/>
      </c>
      <c r="AC1744">
        <f>IF([2]Baskol!$L$1747="","",[2]Baskol!$L$1747)</f>
        <v/>
      </c>
      <c r="AD1744">
        <f>IF([2]Baskol!$N$1747="","",[2]Baskol!$N$1747)</f>
        <v/>
      </c>
      <c r="AE1744">
        <f>IF([2]Baskol!$O$1747="","",[2]Baskol!$O$1747)</f>
        <v/>
      </c>
      <c r="AG1744">
        <f>IF([3]Entry!$C$1747="","",[3]Entry!$C$1747)</f>
        <v/>
      </c>
      <c r="AH1744">
        <f>IF([3]Entry!$D$1747="","",[3]Entry!$D$1747)</f>
        <v/>
      </c>
      <c r="AI1744">
        <f>IF([3]Entry!$E$1747="","",[3]Entry!$E$1747)</f>
        <v/>
      </c>
      <c r="AJ1744">
        <f>IF([3]Entry!$G$1747="","",[3]Entry!$G$1747)</f>
        <v/>
      </c>
      <c r="AK1744">
        <f>IF([3]Entry!$K$1747="","",[3]Entry!$K$1747)</f>
        <v/>
      </c>
      <c r="AL1744">
        <f>IF([3]Entry!$L$1747="","",[3]Entry!$L$1747)</f>
        <v/>
      </c>
      <c r="AM1744">
        <f>IF([3]Entry!$M$1747="","",[3]Entry!$M$1747)</f>
        <v/>
      </c>
      <c r="AN1744">
        <f>IF([3]Entry!$N$1747="","",[3]Entry!$N$1747)</f>
        <v/>
      </c>
      <c r="AO1744">
        <f>IF([3]Entry!$R$1747="","",[3]Entry!$R$1747)</f>
        <v/>
      </c>
    </row>
    <row r="1745">
      <c r="U1745">
        <f>IF([2]Baskol!$B$1748="","",[2]Baskol!$B$1748)</f>
        <v/>
      </c>
      <c r="V1745">
        <f>IF([2]Baskol!$C$1748="","",[2]Baskol!$C$1748)</f>
        <v/>
      </c>
      <c r="W1745">
        <f>IF([2]Baskol!$D$1748="","",[2]Baskol!$D$1748)</f>
        <v/>
      </c>
      <c r="X1745">
        <f>IF([2]Baskol!$E$1748="","",[2]Baskol!$E$1748)</f>
        <v/>
      </c>
      <c r="Y1745">
        <f>IF([2]Baskol!$G$1748="","",[2]Baskol!$G$1748)</f>
        <v/>
      </c>
      <c r="Z1745">
        <f>IF([2]Baskol!$I$1748="","",[2]Baskol!$I$1748)</f>
        <v/>
      </c>
      <c r="AA1745">
        <f>IF([2]Baskol!$J$1748="","",[2]Baskol!$J$1748)</f>
        <v/>
      </c>
      <c r="AB1745">
        <f>IF([2]Baskol!$K$1748="","",[2]Baskol!$K$1748)</f>
        <v/>
      </c>
      <c r="AC1745">
        <f>IF([2]Baskol!$L$1748="","",[2]Baskol!$L$1748)</f>
        <v/>
      </c>
      <c r="AD1745">
        <f>IF([2]Baskol!$N$1748="","",[2]Baskol!$N$1748)</f>
        <v/>
      </c>
      <c r="AE1745">
        <f>IF([2]Baskol!$O$1748="","",[2]Baskol!$O$1748)</f>
        <v/>
      </c>
      <c r="AG1745">
        <f>IF([3]Entry!$C$1748="","",[3]Entry!$C$1748)</f>
        <v/>
      </c>
      <c r="AH1745">
        <f>IF([3]Entry!$D$1748="","",[3]Entry!$D$1748)</f>
        <v/>
      </c>
      <c r="AI1745">
        <f>IF([3]Entry!$E$1748="","",[3]Entry!$E$1748)</f>
        <v/>
      </c>
      <c r="AJ1745">
        <f>IF([3]Entry!$G$1748="","",[3]Entry!$G$1748)</f>
        <v/>
      </c>
      <c r="AK1745">
        <f>IF([3]Entry!$K$1748="","",[3]Entry!$K$1748)</f>
        <v/>
      </c>
      <c r="AL1745">
        <f>IF([3]Entry!$L$1748="","",[3]Entry!$L$1748)</f>
        <v/>
      </c>
      <c r="AM1745">
        <f>IF([3]Entry!$M$1748="","",[3]Entry!$M$1748)</f>
        <v/>
      </c>
      <c r="AN1745">
        <f>IF([3]Entry!$N$1748="","",[3]Entry!$N$1748)</f>
        <v/>
      </c>
      <c r="AO1745">
        <f>IF([3]Entry!$R$1748="","",[3]Entry!$R$1748)</f>
        <v/>
      </c>
    </row>
    <row r="1746">
      <c r="U1746">
        <f>IF([2]Baskol!$B$1749="","",[2]Baskol!$B$1749)</f>
        <v/>
      </c>
      <c r="V1746">
        <f>IF([2]Baskol!$C$1749="","",[2]Baskol!$C$1749)</f>
        <v/>
      </c>
      <c r="W1746">
        <f>IF([2]Baskol!$D$1749="","",[2]Baskol!$D$1749)</f>
        <v/>
      </c>
      <c r="X1746">
        <f>IF([2]Baskol!$E$1749="","",[2]Baskol!$E$1749)</f>
        <v/>
      </c>
      <c r="Y1746">
        <f>IF([2]Baskol!$G$1749="","",[2]Baskol!$G$1749)</f>
        <v/>
      </c>
      <c r="Z1746">
        <f>IF([2]Baskol!$I$1749="","",[2]Baskol!$I$1749)</f>
        <v/>
      </c>
      <c r="AA1746">
        <f>IF([2]Baskol!$J$1749="","",[2]Baskol!$J$1749)</f>
        <v/>
      </c>
      <c r="AB1746">
        <f>IF([2]Baskol!$K$1749="","",[2]Baskol!$K$1749)</f>
        <v/>
      </c>
      <c r="AC1746">
        <f>IF([2]Baskol!$L$1749="","",[2]Baskol!$L$1749)</f>
        <v/>
      </c>
      <c r="AD1746">
        <f>IF([2]Baskol!$N$1749="","",[2]Baskol!$N$1749)</f>
        <v/>
      </c>
      <c r="AE1746">
        <f>IF([2]Baskol!$O$1749="","",[2]Baskol!$O$1749)</f>
        <v/>
      </c>
      <c r="AG1746">
        <f>IF([3]Entry!$C$1749="","",[3]Entry!$C$1749)</f>
        <v/>
      </c>
      <c r="AH1746">
        <f>IF([3]Entry!$D$1749="","",[3]Entry!$D$1749)</f>
        <v/>
      </c>
      <c r="AI1746">
        <f>IF([3]Entry!$E$1749="","",[3]Entry!$E$1749)</f>
        <v/>
      </c>
      <c r="AJ1746">
        <f>IF([3]Entry!$G$1749="","",[3]Entry!$G$1749)</f>
        <v/>
      </c>
      <c r="AK1746">
        <f>IF([3]Entry!$K$1749="","",[3]Entry!$K$1749)</f>
        <v/>
      </c>
      <c r="AL1746">
        <f>IF([3]Entry!$L$1749="","",[3]Entry!$L$1749)</f>
        <v/>
      </c>
      <c r="AM1746">
        <f>IF([3]Entry!$M$1749="","",[3]Entry!$M$1749)</f>
        <v/>
      </c>
      <c r="AN1746">
        <f>IF([3]Entry!$N$1749="","",[3]Entry!$N$1749)</f>
        <v/>
      </c>
      <c r="AO1746">
        <f>IF([3]Entry!$R$1749="","",[3]Entry!$R$1749)</f>
        <v/>
      </c>
    </row>
    <row r="1747">
      <c r="U1747">
        <f>IF([2]Baskol!$B$1750="","",[2]Baskol!$B$1750)</f>
        <v/>
      </c>
      <c r="V1747">
        <f>IF([2]Baskol!$C$1750="","",[2]Baskol!$C$1750)</f>
        <v/>
      </c>
      <c r="W1747">
        <f>IF([2]Baskol!$D$1750="","",[2]Baskol!$D$1750)</f>
        <v/>
      </c>
      <c r="X1747">
        <f>IF([2]Baskol!$E$1750="","",[2]Baskol!$E$1750)</f>
        <v/>
      </c>
      <c r="Y1747">
        <f>IF([2]Baskol!$G$1750="","",[2]Baskol!$G$1750)</f>
        <v/>
      </c>
      <c r="Z1747">
        <f>IF([2]Baskol!$I$1750="","",[2]Baskol!$I$1750)</f>
        <v/>
      </c>
      <c r="AA1747">
        <f>IF([2]Baskol!$J$1750="","",[2]Baskol!$J$1750)</f>
        <v/>
      </c>
      <c r="AB1747">
        <f>IF([2]Baskol!$K$1750="","",[2]Baskol!$K$1750)</f>
        <v/>
      </c>
      <c r="AC1747">
        <f>IF([2]Baskol!$L$1750="","",[2]Baskol!$L$1750)</f>
        <v/>
      </c>
      <c r="AD1747">
        <f>IF([2]Baskol!$N$1750="","",[2]Baskol!$N$1750)</f>
        <v/>
      </c>
      <c r="AE1747">
        <f>IF([2]Baskol!$O$1750="","",[2]Baskol!$O$1750)</f>
        <v/>
      </c>
      <c r="AG1747">
        <f>IF([3]Entry!$C$1750="","",[3]Entry!$C$1750)</f>
        <v/>
      </c>
      <c r="AH1747">
        <f>IF([3]Entry!$D$1750="","",[3]Entry!$D$1750)</f>
        <v/>
      </c>
      <c r="AI1747">
        <f>IF([3]Entry!$E$1750="","",[3]Entry!$E$1750)</f>
        <v/>
      </c>
      <c r="AJ1747">
        <f>IF([3]Entry!$G$1750="","",[3]Entry!$G$1750)</f>
        <v/>
      </c>
      <c r="AK1747">
        <f>IF([3]Entry!$K$1750="","",[3]Entry!$K$1750)</f>
        <v/>
      </c>
      <c r="AL1747">
        <f>IF([3]Entry!$L$1750="","",[3]Entry!$L$1750)</f>
        <v/>
      </c>
      <c r="AM1747">
        <f>IF([3]Entry!$M$1750="","",[3]Entry!$M$1750)</f>
        <v/>
      </c>
      <c r="AN1747">
        <f>IF([3]Entry!$N$1750="","",[3]Entry!$N$1750)</f>
        <v/>
      </c>
      <c r="AO1747">
        <f>IF([3]Entry!$R$1750="","",[3]Entry!$R$1750)</f>
        <v/>
      </c>
    </row>
    <row r="1748">
      <c r="U1748">
        <f>IF([2]Baskol!$B$1751="","",[2]Baskol!$B$1751)</f>
        <v/>
      </c>
      <c r="V1748">
        <f>IF([2]Baskol!$C$1751="","",[2]Baskol!$C$1751)</f>
        <v/>
      </c>
      <c r="W1748">
        <f>IF([2]Baskol!$D$1751="","",[2]Baskol!$D$1751)</f>
        <v/>
      </c>
      <c r="X1748">
        <f>IF([2]Baskol!$E$1751="","",[2]Baskol!$E$1751)</f>
        <v/>
      </c>
      <c r="Y1748">
        <f>IF([2]Baskol!$G$1751="","",[2]Baskol!$G$1751)</f>
        <v/>
      </c>
      <c r="Z1748">
        <f>IF([2]Baskol!$I$1751="","",[2]Baskol!$I$1751)</f>
        <v/>
      </c>
      <c r="AA1748">
        <f>IF([2]Baskol!$J$1751="","",[2]Baskol!$J$1751)</f>
        <v/>
      </c>
      <c r="AB1748">
        <f>IF([2]Baskol!$K$1751="","",[2]Baskol!$K$1751)</f>
        <v/>
      </c>
      <c r="AC1748">
        <f>IF([2]Baskol!$L$1751="","",[2]Baskol!$L$1751)</f>
        <v/>
      </c>
      <c r="AD1748">
        <f>IF([2]Baskol!$N$1751="","",[2]Baskol!$N$1751)</f>
        <v/>
      </c>
      <c r="AE1748">
        <f>IF([2]Baskol!$O$1751="","",[2]Baskol!$O$1751)</f>
        <v/>
      </c>
      <c r="AG1748">
        <f>IF([3]Entry!$C$1751="","",[3]Entry!$C$1751)</f>
        <v/>
      </c>
      <c r="AH1748">
        <f>IF([3]Entry!$D$1751="","",[3]Entry!$D$1751)</f>
        <v/>
      </c>
      <c r="AI1748">
        <f>IF([3]Entry!$E$1751="","",[3]Entry!$E$1751)</f>
        <v/>
      </c>
      <c r="AJ1748">
        <f>IF([3]Entry!$G$1751="","",[3]Entry!$G$1751)</f>
        <v/>
      </c>
      <c r="AK1748">
        <f>IF([3]Entry!$K$1751="","",[3]Entry!$K$1751)</f>
        <v/>
      </c>
      <c r="AL1748">
        <f>IF([3]Entry!$L$1751="","",[3]Entry!$L$1751)</f>
        <v/>
      </c>
      <c r="AM1748">
        <f>IF([3]Entry!$M$1751="","",[3]Entry!$M$1751)</f>
        <v/>
      </c>
      <c r="AN1748">
        <f>IF([3]Entry!$N$1751="","",[3]Entry!$N$1751)</f>
        <v/>
      </c>
      <c r="AO1748">
        <f>IF([3]Entry!$R$1751="","",[3]Entry!$R$1751)</f>
        <v/>
      </c>
    </row>
    <row r="1749">
      <c r="U1749">
        <f>IF([2]Baskol!$B$1752="","",[2]Baskol!$B$1752)</f>
        <v/>
      </c>
      <c r="V1749">
        <f>IF([2]Baskol!$C$1752="","",[2]Baskol!$C$1752)</f>
        <v/>
      </c>
      <c r="W1749">
        <f>IF([2]Baskol!$D$1752="","",[2]Baskol!$D$1752)</f>
        <v/>
      </c>
      <c r="X1749">
        <f>IF([2]Baskol!$E$1752="","",[2]Baskol!$E$1752)</f>
        <v/>
      </c>
      <c r="Y1749">
        <f>IF([2]Baskol!$G$1752="","",[2]Baskol!$G$1752)</f>
        <v/>
      </c>
      <c r="Z1749">
        <f>IF([2]Baskol!$I$1752="","",[2]Baskol!$I$1752)</f>
        <v/>
      </c>
      <c r="AA1749">
        <f>IF([2]Baskol!$J$1752="","",[2]Baskol!$J$1752)</f>
        <v/>
      </c>
      <c r="AB1749">
        <f>IF([2]Baskol!$K$1752="","",[2]Baskol!$K$1752)</f>
        <v/>
      </c>
      <c r="AC1749">
        <f>IF([2]Baskol!$L$1752="","",[2]Baskol!$L$1752)</f>
        <v/>
      </c>
      <c r="AD1749">
        <f>IF([2]Baskol!$N$1752="","",[2]Baskol!$N$1752)</f>
        <v/>
      </c>
      <c r="AE1749">
        <f>IF([2]Baskol!$O$1752="","",[2]Baskol!$O$1752)</f>
        <v/>
      </c>
      <c r="AG1749">
        <f>IF([3]Entry!$C$1752="","",[3]Entry!$C$1752)</f>
        <v/>
      </c>
      <c r="AH1749">
        <f>IF([3]Entry!$D$1752="","",[3]Entry!$D$1752)</f>
        <v/>
      </c>
      <c r="AI1749">
        <f>IF([3]Entry!$E$1752="","",[3]Entry!$E$1752)</f>
        <v/>
      </c>
      <c r="AJ1749">
        <f>IF([3]Entry!$G$1752="","",[3]Entry!$G$1752)</f>
        <v/>
      </c>
      <c r="AK1749">
        <f>IF([3]Entry!$K$1752="","",[3]Entry!$K$1752)</f>
        <v/>
      </c>
      <c r="AL1749">
        <f>IF([3]Entry!$L$1752="","",[3]Entry!$L$1752)</f>
        <v/>
      </c>
      <c r="AM1749">
        <f>IF([3]Entry!$M$1752="","",[3]Entry!$M$1752)</f>
        <v/>
      </c>
      <c r="AN1749">
        <f>IF([3]Entry!$N$1752="","",[3]Entry!$N$1752)</f>
        <v/>
      </c>
      <c r="AO1749">
        <f>IF([3]Entry!$R$1752="","",[3]Entry!$R$1752)</f>
        <v/>
      </c>
    </row>
    <row r="1750">
      <c r="U1750">
        <f>IF([2]Baskol!$B$1753="","",[2]Baskol!$B$1753)</f>
        <v/>
      </c>
      <c r="V1750">
        <f>IF([2]Baskol!$C$1753="","",[2]Baskol!$C$1753)</f>
        <v/>
      </c>
      <c r="W1750">
        <f>IF([2]Baskol!$D$1753="","",[2]Baskol!$D$1753)</f>
        <v/>
      </c>
      <c r="X1750">
        <f>IF([2]Baskol!$E$1753="","",[2]Baskol!$E$1753)</f>
        <v/>
      </c>
      <c r="Y1750">
        <f>IF([2]Baskol!$G$1753="","",[2]Baskol!$G$1753)</f>
        <v/>
      </c>
      <c r="Z1750">
        <f>IF([2]Baskol!$I$1753="","",[2]Baskol!$I$1753)</f>
        <v/>
      </c>
      <c r="AA1750">
        <f>IF([2]Baskol!$J$1753="","",[2]Baskol!$J$1753)</f>
        <v/>
      </c>
      <c r="AB1750">
        <f>IF([2]Baskol!$K$1753="","",[2]Baskol!$K$1753)</f>
        <v/>
      </c>
      <c r="AC1750">
        <f>IF([2]Baskol!$L$1753="","",[2]Baskol!$L$1753)</f>
        <v/>
      </c>
      <c r="AD1750">
        <f>IF([2]Baskol!$N$1753="","",[2]Baskol!$N$1753)</f>
        <v/>
      </c>
      <c r="AE1750">
        <f>IF([2]Baskol!$O$1753="","",[2]Baskol!$O$1753)</f>
        <v/>
      </c>
      <c r="AG1750">
        <f>IF([3]Entry!$C$1753="","",[3]Entry!$C$1753)</f>
        <v/>
      </c>
      <c r="AH1750">
        <f>IF([3]Entry!$D$1753="","",[3]Entry!$D$1753)</f>
        <v/>
      </c>
      <c r="AI1750">
        <f>IF([3]Entry!$E$1753="","",[3]Entry!$E$1753)</f>
        <v/>
      </c>
      <c r="AJ1750">
        <f>IF([3]Entry!$G$1753="","",[3]Entry!$G$1753)</f>
        <v/>
      </c>
      <c r="AK1750">
        <f>IF([3]Entry!$K$1753="","",[3]Entry!$K$1753)</f>
        <v/>
      </c>
      <c r="AL1750">
        <f>IF([3]Entry!$L$1753="","",[3]Entry!$L$1753)</f>
        <v/>
      </c>
      <c r="AM1750">
        <f>IF([3]Entry!$M$1753="","",[3]Entry!$M$1753)</f>
        <v/>
      </c>
      <c r="AN1750">
        <f>IF([3]Entry!$N$1753="","",[3]Entry!$N$1753)</f>
        <v/>
      </c>
      <c r="AO1750">
        <f>IF([3]Entry!$R$1753="","",[3]Entry!$R$1753)</f>
        <v/>
      </c>
    </row>
    <row r="1751">
      <c r="U1751">
        <f>IF([2]Baskol!$B$1754="","",[2]Baskol!$B$1754)</f>
        <v/>
      </c>
      <c r="V1751">
        <f>IF([2]Baskol!$C$1754="","",[2]Baskol!$C$1754)</f>
        <v/>
      </c>
      <c r="W1751">
        <f>IF([2]Baskol!$D$1754="","",[2]Baskol!$D$1754)</f>
        <v/>
      </c>
      <c r="X1751">
        <f>IF([2]Baskol!$E$1754="","",[2]Baskol!$E$1754)</f>
        <v/>
      </c>
      <c r="Y1751">
        <f>IF([2]Baskol!$G$1754="","",[2]Baskol!$G$1754)</f>
        <v/>
      </c>
      <c r="Z1751">
        <f>IF([2]Baskol!$I$1754="","",[2]Baskol!$I$1754)</f>
        <v/>
      </c>
      <c r="AA1751">
        <f>IF([2]Baskol!$J$1754="","",[2]Baskol!$J$1754)</f>
        <v/>
      </c>
      <c r="AB1751">
        <f>IF([2]Baskol!$K$1754="","",[2]Baskol!$K$1754)</f>
        <v/>
      </c>
      <c r="AC1751">
        <f>IF([2]Baskol!$L$1754="","",[2]Baskol!$L$1754)</f>
        <v/>
      </c>
      <c r="AD1751">
        <f>IF([2]Baskol!$N$1754="","",[2]Baskol!$N$1754)</f>
        <v/>
      </c>
      <c r="AE1751">
        <f>IF([2]Baskol!$O$1754="","",[2]Baskol!$O$1754)</f>
        <v/>
      </c>
      <c r="AG1751">
        <f>IF([3]Entry!$C$1754="","",[3]Entry!$C$1754)</f>
        <v/>
      </c>
      <c r="AH1751">
        <f>IF([3]Entry!$D$1754="","",[3]Entry!$D$1754)</f>
        <v/>
      </c>
      <c r="AI1751">
        <f>IF([3]Entry!$E$1754="","",[3]Entry!$E$1754)</f>
        <v/>
      </c>
      <c r="AJ1751">
        <f>IF([3]Entry!$G$1754="","",[3]Entry!$G$1754)</f>
        <v/>
      </c>
      <c r="AK1751">
        <f>IF([3]Entry!$K$1754="","",[3]Entry!$K$1754)</f>
        <v/>
      </c>
      <c r="AL1751">
        <f>IF([3]Entry!$L$1754="","",[3]Entry!$L$1754)</f>
        <v/>
      </c>
      <c r="AM1751">
        <f>IF([3]Entry!$M$1754="","",[3]Entry!$M$1754)</f>
        <v/>
      </c>
      <c r="AN1751">
        <f>IF([3]Entry!$N$1754="","",[3]Entry!$N$1754)</f>
        <v/>
      </c>
      <c r="AO1751">
        <f>IF([3]Entry!$R$1754="","",[3]Entry!$R$1754)</f>
        <v/>
      </c>
    </row>
    <row r="1752">
      <c r="U1752">
        <f>IF([2]Baskol!$B$1755="","",[2]Baskol!$B$1755)</f>
        <v/>
      </c>
      <c r="V1752">
        <f>IF([2]Baskol!$C$1755="","",[2]Baskol!$C$1755)</f>
        <v/>
      </c>
      <c r="W1752">
        <f>IF([2]Baskol!$D$1755="","",[2]Baskol!$D$1755)</f>
        <v/>
      </c>
      <c r="X1752">
        <f>IF([2]Baskol!$E$1755="","",[2]Baskol!$E$1755)</f>
        <v/>
      </c>
      <c r="Y1752">
        <f>IF([2]Baskol!$G$1755="","",[2]Baskol!$G$1755)</f>
        <v/>
      </c>
      <c r="Z1752">
        <f>IF([2]Baskol!$I$1755="","",[2]Baskol!$I$1755)</f>
        <v/>
      </c>
      <c r="AA1752">
        <f>IF([2]Baskol!$J$1755="","",[2]Baskol!$J$1755)</f>
        <v/>
      </c>
      <c r="AB1752">
        <f>IF([2]Baskol!$K$1755="","",[2]Baskol!$K$1755)</f>
        <v/>
      </c>
      <c r="AC1752">
        <f>IF([2]Baskol!$L$1755="","",[2]Baskol!$L$1755)</f>
        <v/>
      </c>
      <c r="AD1752">
        <f>IF([2]Baskol!$N$1755="","",[2]Baskol!$N$1755)</f>
        <v/>
      </c>
      <c r="AE1752">
        <f>IF([2]Baskol!$O$1755="","",[2]Baskol!$O$1755)</f>
        <v/>
      </c>
      <c r="AG1752">
        <f>IF([3]Entry!$C$1755="","",[3]Entry!$C$1755)</f>
        <v/>
      </c>
      <c r="AH1752">
        <f>IF([3]Entry!$D$1755="","",[3]Entry!$D$1755)</f>
        <v/>
      </c>
      <c r="AI1752">
        <f>IF([3]Entry!$E$1755="","",[3]Entry!$E$1755)</f>
        <v/>
      </c>
      <c r="AJ1752">
        <f>IF([3]Entry!$G$1755="","",[3]Entry!$G$1755)</f>
        <v/>
      </c>
      <c r="AK1752">
        <f>IF([3]Entry!$K$1755="","",[3]Entry!$K$1755)</f>
        <v/>
      </c>
      <c r="AL1752">
        <f>IF([3]Entry!$L$1755="","",[3]Entry!$L$1755)</f>
        <v/>
      </c>
      <c r="AM1752">
        <f>IF([3]Entry!$M$1755="","",[3]Entry!$M$1755)</f>
        <v/>
      </c>
      <c r="AN1752">
        <f>IF([3]Entry!$N$1755="","",[3]Entry!$N$1755)</f>
        <v/>
      </c>
      <c r="AO1752">
        <f>IF([3]Entry!$R$1755="","",[3]Entry!$R$1755)</f>
        <v/>
      </c>
    </row>
    <row r="1753">
      <c r="U1753">
        <f>IF([2]Baskol!$B$1756="","",[2]Baskol!$B$1756)</f>
        <v/>
      </c>
      <c r="V1753">
        <f>IF([2]Baskol!$C$1756="","",[2]Baskol!$C$1756)</f>
        <v/>
      </c>
      <c r="W1753">
        <f>IF([2]Baskol!$D$1756="","",[2]Baskol!$D$1756)</f>
        <v/>
      </c>
      <c r="X1753">
        <f>IF([2]Baskol!$E$1756="","",[2]Baskol!$E$1756)</f>
        <v/>
      </c>
      <c r="Y1753">
        <f>IF([2]Baskol!$G$1756="","",[2]Baskol!$G$1756)</f>
        <v/>
      </c>
      <c r="Z1753">
        <f>IF([2]Baskol!$I$1756="","",[2]Baskol!$I$1756)</f>
        <v/>
      </c>
      <c r="AA1753">
        <f>IF([2]Baskol!$J$1756="","",[2]Baskol!$J$1756)</f>
        <v/>
      </c>
      <c r="AB1753">
        <f>IF([2]Baskol!$K$1756="","",[2]Baskol!$K$1756)</f>
        <v/>
      </c>
      <c r="AC1753">
        <f>IF([2]Baskol!$L$1756="","",[2]Baskol!$L$1756)</f>
        <v/>
      </c>
      <c r="AD1753">
        <f>IF([2]Baskol!$N$1756="","",[2]Baskol!$N$1756)</f>
        <v/>
      </c>
      <c r="AE1753">
        <f>IF([2]Baskol!$O$1756="","",[2]Baskol!$O$1756)</f>
        <v/>
      </c>
      <c r="AG1753">
        <f>IF([3]Entry!$C$1756="","",[3]Entry!$C$1756)</f>
        <v/>
      </c>
      <c r="AH1753">
        <f>IF([3]Entry!$D$1756="","",[3]Entry!$D$1756)</f>
        <v/>
      </c>
      <c r="AI1753">
        <f>IF([3]Entry!$E$1756="","",[3]Entry!$E$1756)</f>
        <v/>
      </c>
      <c r="AJ1753">
        <f>IF([3]Entry!$G$1756="","",[3]Entry!$G$1756)</f>
        <v/>
      </c>
      <c r="AK1753">
        <f>IF([3]Entry!$K$1756="","",[3]Entry!$K$1756)</f>
        <v/>
      </c>
      <c r="AL1753">
        <f>IF([3]Entry!$L$1756="","",[3]Entry!$L$1756)</f>
        <v/>
      </c>
      <c r="AM1753">
        <f>IF([3]Entry!$M$1756="","",[3]Entry!$M$1756)</f>
        <v/>
      </c>
      <c r="AN1753">
        <f>IF([3]Entry!$N$1756="","",[3]Entry!$N$1756)</f>
        <v/>
      </c>
      <c r="AO1753">
        <f>IF([3]Entry!$R$1756="","",[3]Entry!$R$1756)</f>
        <v/>
      </c>
    </row>
    <row r="1754">
      <c r="U1754">
        <f>IF([2]Baskol!$B$1757="","",[2]Baskol!$B$1757)</f>
        <v/>
      </c>
      <c r="V1754">
        <f>IF([2]Baskol!$C$1757="","",[2]Baskol!$C$1757)</f>
        <v/>
      </c>
      <c r="W1754">
        <f>IF([2]Baskol!$D$1757="","",[2]Baskol!$D$1757)</f>
        <v/>
      </c>
      <c r="X1754">
        <f>IF([2]Baskol!$E$1757="","",[2]Baskol!$E$1757)</f>
        <v/>
      </c>
      <c r="Y1754">
        <f>IF([2]Baskol!$G$1757="","",[2]Baskol!$G$1757)</f>
        <v/>
      </c>
      <c r="Z1754">
        <f>IF([2]Baskol!$I$1757="","",[2]Baskol!$I$1757)</f>
        <v/>
      </c>
      <c r="AA1754">
        <f>IF([2]Baskol!$J$1757="","",[2]Baskol!$J$1757)</f>
        <v/>
      </c>
      <c r="AB1754">
        <f>IF([2]Baskol!$K$1757="","",[2]Baskol!$K$1757)</f>
        <v/>
      </c>
      <c r="AC1754">
        <f>IF([2]Baskol!$L$1757="","",[2]Baskol!$L$1757)</f>
        <v/>
      </c>
      <c r="AD1754">
        <f>IF([2]Baskol!$N$1757="","",[2]Baskol!$N$1757)</f>
        <v/>
      </c>
      <c r="AE1754">
        <f>IF([2]Baskol!$O$1757="","",[2]Baskol!$O$1757)</f>
        <v/>
      </c>
      <c r="AG1754">
        <f>IF([3]Entry!$C$1757="","",[3]Entry!$C$1757)</f>
        <v/>
      </c>
      <c r="AH1754">
        <f>IF([3]Entry!$D$1757="","",[3]Entry!$D$1757)</f>
        <v/>
      </c>
      <c r="AI1754">
        <f>IF([3]Entry!$E$1757="","",[3]Entry!$E$1757)</f>
        <v/>
      </c>
      <c r="AJ1754">
        <f>IF([3]Entry!$G$1757="","",[3]Entry!$G$1757)</f>
        <v/>
      </c>
      <c r="AK1754">
        <f>IF([3]Entry!$K$1757="","",[3]Entry!$K$1757)</f>
        <v/>
      </c>
      <c r="AL1754">
        <f>IF([3]Entry!$L$1757="","",[3]Entry!$L$1757)</f>
        <v/>
      </c>
      <c r="AM1754">
        <f>IF([3]Entry!$M$1757="","",[3]Entry!$M$1757)</f>
        <v/>
      </c>
      <c r="AN1754">
        <f>IF([3]Entry!$N$1757="","",[3]Entry!$N$1757)</f>
        <v/>
      </c>
      <c r="AO1754">
        <f>IF([3]Entry!$R$1757="","",[3]Entry!$R$1757)</f>
        <v/>
      </c>
    </row>
    <row r="1755">
      <c r="U1755">
        <f>IF([2]Baskol!$B$1758="","",[2]Baskol!$B$1758)</f>
        <v/>
      </c>
      <c r="V1755">
        <f>IF([2]Baskol!$C$1758="","",[2]Baskol!$C$1758)</f>
        <v/>
      </c>
      <c r="W1755">
        <f>IF([2]Baskol!$D$1758="","",[2]Baskol!$D$1758)</f>
        <v/>
      </c>
      <c r="X1755">
        <f>IF([2]Baskol!$E$1758="","",[2]Baskol!$E$1758)</f>
        <v/>
      </c>
      <c r="Y1755">
        <f>IF([2]Baskol!$G$1758="","",[2]Baskol!$G$1758)</f>
        <v/>
      </c>
      <c r="Z1755">
        <f>IF([2]Baskol!$I$1758="","",[2]Baskol!$I$1758)</f>
        <v/>
      </c>
      <c r="AA1755">
        <f>IF([2]Baskol!$J$1758="","",[2]Baskol!$J$1758)</f>
        <v/>
      </c>
      <c r="AB1755">
        <f>IF([2]Baskol!$K$1758="","",[2]Baskol!$K$1758)</f>
        <v/>
      </c>
      <c r="AC1755">
        <f>IF([2]Baskol!$L$1758="","",[2]Baskol!$L$1758)</f>
        <v/>
      </c>
      <c r="AD1755">
        <f>IF([2]Baskol!$N$1758="","",[2]Baskol!$N$1758)</f>
        <v/>
      </c>
      <c r="AE1755">
        <f>IF([2]Baskol!$O$1758="","",[2]Baskol!$O$1758)</f>
        <v/>
      </c>
      <c r="AG1755">
        <f>IF([3]Entry!$C$1758="","",[3]Entry!$C$1758)</f>
        <v/>
      </c>
      <c r="AH1755">
        <f>IF([3]Entry!$D$1758="","",[3]Entry!$D$1758)</f>
        <v/>
      </c>
      <c r="AI1755">
        <f>IF([3]Entry!$E$1758="","",[3]Entry!$E$1758)</f>
        <v/>
      </c>
      <c r="AJ1755">
        <f>IF([3]Entry!$G$1758="","",[3]Entry!$G$1758)</f>
        <v/>
      </c>
      <c r="AK1755">
        <f>IF([3]Entry!$K$1758="","",[3]Entry!$K$1758)</f>
        <v/>
      </c>
      <c r="AL1755">
        <f>IF([3]Entry!$L$1758="","",[3]Entry!$L$1758)</f>
        <v/>
      </c>
      <c r="AM1755">
        <f>IF([3]Entry!$M$1758="","",[3]Entry!$M$1758)</f>
        <v/>
      </c>
      <c r="AN1755">
        <f>IF([3]Entry!$N$1758="","",[3]Entry!$N$1758)</f>
        <v/>
      </c>
      <c r="AO1755">
        <f>IF([3]Entry!$R$1758="","",[3]Entry!$R$1758)</f>
        <v/>
      </c>
    </row>
    <row r="1756">
      <c r="U1756">
        <f>IF([2]Baskol!$B$1759="","",[2]Baskol!$B$1759)</f>
        <v/>
      </c>
      <c r="V1756">
        <f>IF([2]Baskol!$C$1759="","",[2]Baskol!$C$1759)</f>
        <v/>
      </c>
      <c r="W1756">
        <f>IF([2]Baskol!$D$1759="","",[2]Baskol!$D$1759)</f>
        <v/>
      </c>
      <c r="X1756">
        <f>IF([2]Baskol!$E$1759="","",[2]Baskol!$E$1759)</f>
        <v/>
      </c>
      <c r="Y1756">
        <f>IF([2]Baskol!$G$1759="","",[2]Baskol!$G$1759)</f>
        <v/>
      </c>
      <c r="Z1756">
        <f>IF([2]Baskol!$I$1759="","",[2]Baskol!$I$1759)</f>
        <v/>
      </c>
      <c r="AA1756">
        <f>IF([2]Baskol!$J$1759="","",[2]Baskol!$J$1759)</f>
        <v/>
      </c>
      <c r="AB1756">
        <f>IF([2]Baskol!$K$1759="","",[2]Baskol!$K$1759)</f>
        <v/>
      </c>
      <c r="AC1756">
        <f>IF([2]Baskol!$L$1759="","",[2]Baskol!$L$1759)</f>
        <v/>
      </c>
      <c r="AD1756">
        <f>IF([2]Baskol!$N$1759="","",[2]Baskol!$N$1759)</f>
        <v/>
      </c>
      <c r="AE1756">
        <f>IF([2]Baskol!$O$1759="","",[2]Baskol!$O$1759)</f>
        <v/>
      </c>
      <c r="AG1756">
        <f>IF([3]Entry!$C$1759="","",[3]Entry!$C$1759)</f>
        <v/>
      </c>
      <c r="AH1756">
        <f>IF([3]Entry!$D$1759="","",[3]Entry!$D$1759)</f>
        <v/>
      </c>
      <c r="AI1756">
        <f>IF([3]Entry!$E$1759="","",[3]Entry!$E$1759)</f>
        <v/>
      </c>
      <c r="AJ1756">
        <f>IF([3]Entry!$G$1759="","",[3]Entry!$G$1759)</f>
        <v/>
      </c>
      <c r="AK1756">
        <f>IF([3]Entry!$K$1759="","",[3]Entry!$K$1759)</f>
        <v/>
      </c>
      <c r="AL1756">
        <f>IF([3]Entry!$L$1759="","",[3]Entry!$L$1759)</f>
        <v/>
      </c>
      <c r="AM1756">
        <f>IF([3]Entry!$M$1759="","",[3]Entry!$M$1759)</f>
        <v/>
      </c>
      <c r="AN1756">
        <f>IF([3]Entry!$N$1759="","",[3]Entry!$N$1759)</f>
        <v/>
      </c>
      <c r="AO1756">
        <f>IF([3]Entry!$R$1759="","",[3]Entry!$R$1759)</f>
        <v/>
      </c>
    </row>
    <row r="1757">
      <c r="U1757">
        <f>IF([2]Baskol!$B$1760="","",[2]Baskol!$B$1760)</f>
        <v/>
      </c>
      <c r="V1757">
        <f>IF([2]Baskol!$C$1760="","",[2]Baskol!$C$1760)</f>
        <v/>
      </c>
      <c r="W1757">
        <f>IF([2]Baskol!$D$1760="","",[2]Baskol!$D$1760)</f>
        <v/>
      </c>
      <c r="X1757">
        <f>IF([2]Baskol!$E$1760="","",[2]Baskol!$E$1760)</f>
        <v/>
      </c>
      <c r="Y1757">
        <f>IF([2]Baskol!$G$1760="","",[2]Baskol!$G$1760)</f>
        <v/>
      </c>
      <c r="Z1757">
        <f>IF([2]Baskol!$I$1760="","",[2]Baskol!$I$1760)</f>
        <v/>
      </c>
      <c r="AA1757">
        <f>IF([2]Baskol!$J$1760="","",[2]Baskol!$J$1760)</f>
        <v/>
      </c>
      <c r="AB1757">
        <f>IF([2]Baskol!$K$1760="","",[2]Baskol!$K$1760)</f>
        <v/>
      </c>
      <c r="AC1757">
        <f>IF([2]Baskol!$L$1760="","",[2]Baskol!$L$1760)</f>
        <v/>
      </c>
      <c r="AD1757">
        <f>IF([2]Baskol!$N$1760="","",[2]Baskol!$N$1760)</f>
        <v/>
      </c>
      <c r="AE1757">
        <f>IF([2]Baskol!$O$1760="","",[2]Baskol!$O$1760)</f>
        <v/>
      </c>
      <c r="AG1757">
        <f>IF([3]Entry!$C$1760="","",[3]Entry!$C$1760)</f>
        <v/>
      </c>
      <c r="AH1757">
        <f>IF([3]Entry!$D$1760="","",[3]Entry!$D$1760)</f>
        <v/>
      </c>
      <c r="AI1757">
        <f>IF([3]Entry!$E$1760="","",[3]Entry!$E$1760)</f>
        <v/>
      </c>
      <c r="AJ1757">
        <f>IF([3]Entry!$G$1760="","",[3]Entry!$G$1760)</f>
        <v/>
      </c>
      <c r="AK1757">
        <f>IF([3]Entry!$K$1760="","",[3]Entry!$K$1760)</f>
        <v/>
      </c>
      <c r="AL1757">
        <f>IF([3]Entry!$L$1760="","",[3]Entry!$L$1760)</f>
        <v/>
      </c>
      <c r="AM1757">
        <f>IF([3]Entry!$M$1760="","",[3]Entry!$M$1760)</f>
        <v/>
      </c>
      <c r="AN1757">
        <f>IF([3]Entry!$N$1760="","",[3]Entry!$N$1760)</f>
        <v/>
      </c>
      <c r="AO1757">
        <f>IF([3]Entry!$R$1760="","",[3]Entry!$R$1760)</f>
        <v/>
      </c>
    </row>
    <row r="1758">
      <c r="U1758">
        <f>IF([2]Baskol!$B$1761="","",[2]Baskol!$B$1761)</f>
        <v/>
      </c>
      <c r="V1758">
        <f>IF([2]Baskol!$C$1761="","",[2]Baskol!$C$1761)</f>
        <v/>
      </c>
      <c r="W1758">
        <f>IF([2]Baskol!$D$1761="","",[2]Baskol!$D$1761)</f>
        <v/>
      </c>
      <c r="X1758">
        <f>IF([2]Baskol!$E$1761="","",[2]Baskol!$E$1761)</f>
        <v/>
      </c>
      <c r="Y1758">
        <f>IF([2]Baskol!$G$1761="","",[2]Baskol!$G$1761)</f>
        <v/>
      </c>
      <c r="Z1758">
        <f>IF([2]Baskol!$I$1761="","",[2]Baskol!$I$1761)</f>
        <v/>
      </c>
      <c r="AA1758">
        <f>IF([2]Baskol!$J$1761="","",[2]Baskol!$J$1761)</f>
        <v/>
      </c>
      <c r="AB1758">
        <f>IF([2]Baskol!$K$1761="","",[2]Baskol!$K$1761)</f>
        <v/>
      </c>
      <c r="AC1758">
        <f>IF([2]Baskol!$L$1761="","",[2]Baskol!$L$1761)</f>
        <v/>
      </c>
      <c r="AD1758">
        <f>IF([2]Baskol!$N$1761="","",[2]Baskol!$N$1761)</f>
        <v/>
      </c>
      <c r="AE1758">
        <f>IF([2]Baskol!$O$1761="","",[2]Baskol!$O$1761)</f>
        <v/>
      </c>
      <c r="AG1758">
        <f>IF([3]Entry!$C$1761="","",[3]Entry!$C$1761)</f>
        <v/>
      </c>
      <c r="AH1758">
        <f>IF([3]Entry!$D$1761="","",[3]Entry!$D$1761)</f>
        <v/>
      </c>
      <c r="AI1758">
        <f>IF([3]Entry!$E$1761="","",[3]Entry!$E$1761)</f>
        <v/>
      </c>
      <c r="AJ1758">
        <f>IF([3]Entry!$G$1761="","",[3]Entry!$G$1761)</f>
        <v/>
      </c>
      <c r="AK1758">
        <f>IF([3]Entry!$K$1761="","",[3]Entry!$K$1761)</f>
        <v/>
      </c>
      <c r="AL1758">
        <f>IF([3]Entry!$L$1761="","",[3]Entry!$L$1761)</f>
        <v/>
      </c>
      <c r="AM1758">
        <f>IF([3]Entry!$M$1761="","",[3]Entry!$M$1761)</f>
        <v/>
      </c>
      <c r="AN1758">
        <f>IF([3]Entry!$N$1761="","",[3]Entry!$N$1761)</f>
        <v/>
      </c>
      <c r="AO1758">
        <f>IF([3]Entry!$R$1761="","",[3]Entry!$R$1761)</f>
        <v/>
      </c>
    </row>
    <row r="1759">
      <c r="U1759">
        <f>IF([2]Baskol!$B$1762="","",[2]Baskol!$B$1762)</f>
        <v/>
      </c>
      <c r="V1759">
        <f>IF([2]Baskol!$C$1762="","",[2]Baskol!$C$1762)</f>
        <v/>
      </c>
      <c r="W1759">
        <f>IF([2]Baskol!$D$1762="","",[2]Baskol!$D$1762)</f>
        <v/>
      </c>
      <c r="X1759">
        <f>IF([2]Baskol!$E$1762="","",[2]Baskol!$E$1762)</f>
        <v/>
      </c>
      <c r="Y1759">
        <f>IF([2]Baskol!$G$1762="","",[2]Baskol!$G$1762)</f>
        <v/>
      </c>
      <c r="Z1759">
        <f>IF([2]Baskol!$I$1762="","",[2]Baskol!$I$1762)</f>
        <v/>
      </c>
      <c r="AA1759">
        <f>IF([2]Baskol!$J$1762="","",[2]Baskol!$J$1762)</f>
        <v/>
      </c>
      <c r="AB1759">
        <f>IF([2]Baskol!$K$1762="","",[2]Baskol!$K$1762)</f>
        <v/>
      </c>
      <c r="AC1759">
        <f>IF([2]Baskol!$L$1762="","",[2]Baskol!$L$1762)</f>
        <v/>
      </c>
      <c r="AD1759">
        <f>IF([2]Baskol!$N$1762="","",[2]Baskol!$N$1762)</f>
        <v/>
      </c>
      <c r="AE1759">
        <f>IF([2]Baskol!$O$1762="","",[2]Baskol!$O$1762)</f>
        <v/>
      </c>
      <c r="AG1759">
        <f>IF([3]Entry!$C$1762="","",[3]Entry!$C$1762)</f>
        <v/>
      </c>
      <c r="AH1759">
        <f>IF([3]Entry!$D$1762="","",[3]Entry!$D$1762)</f>
        <v/>
      </c>
      <c r="AI1759">
        <f>IF([3]Entry!$E$1762="","",[3]Entry!$E$1762)</f>
        <v/>
      </c>
      <c r="AJ1759">
        <f>IF([3]Entry!$G$1762="","",[3]Entry!$G$1762)</f>
        <v/>
      </c>
      <c r="AK1759">
        <f>IF([3]Entry!$K$1762="","",[3]Entry!$K$1762)</f>
        <v/>
      </c>
      <c r="AL1759">
        <f>IF([3]Entry!$L$1762="","",[3]Entry!$L$1762)</f>
        <v/>
      </c>
      <c r="AM1759">
        <f>IF([3]Entry!$M$1762="","",[3]Entry!$M$1762)</f>
        <v/>
      </c>
      <c r="AN1759">
        <f>IF([3]Entry!$N$1762="","",[3]Entry!$N$1762)</f>
        <v/>
      </c>
      <c r="AO1759">
        <f>IF([3]Entry!$R$1762="","",[3]Entry!$R$1762)</f>
        <v/>
      </c>
    </row>
    <row r="1760">
      <c r="U1760">
        <f>IF([2]Baskol!$B$1763="","",[2]Baskol!$B$1763)</f>
        <v/>
      </c>
      <c r="V1760">
        <f>IF([2]Baskol!$C$1763="","",[2]Baskol!$C$1763)</f>
        <v/>
      </c>
      <c r="W1760">
        <f>IF([2]Baskol!$D$1763="","",[2]Baskol!$D$1763)</f>
        <v/>
      </c>
      <c r="X1760">
        <f>IF([2]Baskol!$E$1763="","",[2]Baskol!$E$1763)</f>
        <v/>
      </c>
      <c r="Y1760">
        <f>IF([2]Baskol!$G$1763="","",[2]Baskol!$G$1763)</f>
        <v/>
      </c>
      <c r="Z1760">
        <f>IF([2]Baskol!$I$1763="","",[2]Baskol!$I$1763)</f>
        <v/>
      </c>
      <c r="AA1760">
        <f>IF([2]Baskol!$J$1763="","",[2]Baskol!$J$1763)</f>
        <v/>
      </c>
      <c r="AB1760">
        <f>IF([2]Baskol!$K$1763="","",[2]Baskol!$K$1763)</f>
        <v/>
      </c>
      <c r="AC1760">
        <f>IF([2]Baskol!$L$1763="","",[2]Baskol!$L$1763)</f>
        <v/>
      </c>
      <c r="AD1760">
        <f>IF([2]Baskol!$N$1763="","",[2]Baskol!$N$1763)</f>
        <v/>
      </c>
      <c r="AE1760">
        <f>IF([2]Baskol!$O$1763="","",[2]Baskol!$O$1763)</f>
        <v/>
      </c>
      <c r="AG1760">
        <f>IF([3]Entry!$C$1763="","",[3]Entry!$C$1763)</f>
        <v/>
      </c>
      <c r="AH1760">
        <f>IF([3]Entry!$D$1763="","",[3]Entry!$D$1763)</f>
        <v/>
      </c>
      <c r="AI1760">
        <f>IF([3]Entry!$E$1763="","",[3]Entry!$E$1763)</f>
        <v/>
      </c>
      <c r="AJ1760">
        <f>IF([3]Entry!$G$1763="","",[3]Entry!$G$1763)</f>
        <v/>
      </c>
      <c r="AK1760">
        <f>IF([3]Entry!$K$1763="","",[3]Entry!$K$1763)</f>
        <v/>
      </c>
      <c r="AL1760">
        <f>IF([3]Entry!$L$1763="","",[3]Entry!$L$1763)</f>
        <v/>
      </c>
      <c r="AM1760">
        <f>IF([3]Entry!$M$1763="","",[3]Entry!$M$1763)</f>
        <v/>
      </c>
      <c r="AN1760">
        <f>IF([3]Entry!$N$1763="","",[3]Entry!$N$1763)</f>
        <v/>
      </c>
      <c r="AO1760">
        <f>IF([3]Entry!$R$1763="","",[3]Entry!$R$1763)</f>
        <v/>
      </c>
    </row>
    <row r="1761">
      <c r="U1761">
        <f>IF([2]Baskol!$B$1764="","",[2]Baskol!$B$1764)</f>
        <v/>
      </c>
      <c r="V1761">
        <f>IF([2]Baskol!$C$1764="","",[2]Baskol!$C$1764)</f>
        <v/>
      </c>
      <c r="W1761">
        <f>IF([2]Baskol!$D$1764="","",[2]Baskol!$D$1764)</f>
        <v/>
      </c>
      <c r="X1761">
        <f>IF([2]Baskol!$E$1764="","",[2]Baskol!$E$1764)</f>
        <v/>
      </c>
      <c r="Y1761">
        <f>IF([2]Baskol!$G$1764="","",[2]Baskol!$G$1764)</f>
        <v/>
      </c>
      <c r="Z1761">
        <f>IF([2]Baskol!$I$1764="","",[2]Baskol!$I$1764)</f>
        <v/>
      </c>
      <c r="AA1761">
        <f>IF([2]Baskol!$J$1764="","",[2]Baskol!$J$1764)</f>
        <v/>
      </c>
      <c r="AB1761">
        <f>IF([2]Baskol!$K$1764="","",[2]Baskol!$K$1764)</f>
        <v/>
      </c>
      <c r="AC1761">
        <f>IF([2]Baskol!$L$1764="","",[2]Baskol!$L$1764)</f>
        <v/>
      </c>
      <c r="AD1761">
        <f>IF([2]Baskol!$N$1764="","",[2]Baskol!$N$1764)</f>
        <v/>
      </c>
      <c r="AE1761">
        <f>IF([2]Baskol!$O$1764="","",[2]Baskol!$O$1764)</f>
        <v/>
      </c>
      <c r="AG1761">
        <f>IF([3]Entry!$C$1764="","",[3]Entry!$C$1764)</f>
        <v/>
      </c>
      <c r="AH1761">
        <f>IF([3]Entry!$D$1764="","",[3]Entry!$D$1764)</f>
        <v/>
      </c>
      <c r="AI1761">
        <f>IF([3]Entry!$E$1764="","",[3]Entry!$E$1764)</f>
        <v/>
      </c>
      <c r="AJ1761">
        <f>IF([3]Entry!$G$1764="","",[3]Entry!$G$1764)</f>
        <v/>
      </c>
      <c r="AK1761">
        <f>IF([3]Entry!$K$1764="","",[3]Entry!$K$1764)</f>
        <v/>
      </c>
      <c r="AL1761">
        <f>IF([3]Entry!$L$1764="","",[3]Entry!$L$1764)</f>
        <v/>
      </c>
      <c r="AM1761">
        <f>IF([3]Entry!$M$1764="","",[3]Entry!$M$1764)</f>
        <v/>
      </c>
      <c r="AN1761">
        <f>IF([3]Entry!$N$1764="","",[3]Entry!$N$1764)</f>
        <v/>
      </c>
      <c r="AO1761">
        <f>IF([3]Entry!$R$1764="","",[3]Entry!$R$1764)</f>
        <v/>
      </c>
    </row>
    <row r="1762">
      <c r="U1762">
        <f>IF([2]Baskol!$B$1765="","",[2]Baskol!$B$1765)</f>
        <v/>
      </c>
      <c r="V1762">
        <f>IF([2]Baskol!$C$1765="","",[2]Baskol!$C$1765)</f>
        <v/>
      </c>
      <c r="W1762">
        <f>IF([2]Baskol!$D$1765="","",[2]Baskol!$D$1765)</f>
        <v/>
      </c>
      <c r="X1762">
        <f>IF([2]Baskol!$E$1765="","",[2]Baskol!$E$1765)</f>
        <v/>
      </c>
      <c r="Y1762">
        <f>IF([2]Baskol!$G$1765="","",[2]Baskol!$G$1765)</f>
        <v/>
      </c>
      <c r="Z1762">
        <f>IF([2]Baskol!$I$1765="","",[2]Baskol!$I$1765)</f>
        <v/>
      </c>
      <c r="AA1762">
        <f>IF([2]Baskol!$J$1765="","",[2]Baskol!$J$1765)</f>
        <v/>
      </c>
      <c r="AB1762">
        <f>IF([2]Baskol!$K$1765="","",[2]Baskol!$K$1765)</f>
        <v/>
      </c>
      <c r="AC1762">
        <f>IF([2]Baskol!$L$1765="","",[2]Baskol!$L$1765)</f>
        <v/>
      </c>
      <c r="AD1762">
        <f>IF([2]Baskol!$N$1765="","",[2]Baskol!$N$1765)</f>
        <v/>
      </c>
      <c r="AE1762">
        <f>IF([2]Baskol!$O$1765="","",[2]Baskol!$O$1765)</f>
        <v/>
      </c>
      <c r="AG1762">
        <f>IF([3]Entry!$C$1765="","",[3]Entry!$C$1765)</f>
        <v/>
      </c>
      <c r="AH1762">
        <f>IF([3]Entry!$D$1765="","",[3]Entry!$D$1765)</f>
        <v/>
      </c>
      <c r="AI1762">
        <f>IF([3]Entry!$E$1765="","",[3]Entry!$E$1765)</f>
        <v/>
      </c>
      <c r="AJ1762">
        <f>IF([3]Entry!$G$1765="","",[3]Entry!$G$1765)</f>
        <v/>
      </c>
      <c r="AK1762">
        <f>IF([3]Entry!$K$1765="","",[3]Entry!$K$1765)</f>
        <v/>
      </c>
      <c r="AL1762">
        <f>IF([3]Entry!$L$1765="","",[3]Entry!$L$1765)</f>
        <v/>
      </c>
      <c r="AM1762">
        <f>IF([3]Entry!$M$1765="","",[3]Entry!$M$1765)</f>
        <v/>
      </c>
      <c r="AN1762">
        <f>IF([3]Entry!$N$1765="","",[3]Entry!$N$1765)</f>
        <v/>
      </c>
      <c r="AO1762">
        <f>IF([3]Entry!$R$1765="","",[3]Entry!$R$1765)</f>
        <v/>
      </c>
    </row>
    <row r="1763">
      <c r="U1763">
        <f>IF([2]Baskol!$B$1766="","",[2]Baskol!$B$1766)</f>
        <v/>
      </c>
      <c r="V1763">
        <f>IF([2]Baskol!$C$1766="","",[2]Baskol!$C$1766)</f>
        <v/>
      </c>
      <c r="W1763">
        <f>IF([2]Baskol!$D$1766="","",[2]Baskol!$D$1766)</f>
        <v/>
      </c>
      <c r="X1763">
        <f>IF([2]Baskol!$E$1766="","",[2]Baskol!$E$1766)</f>
        <v/>
      </c>
      <c r="Y1763">
        <f>IF([2]Baskol!$G$1766="","",[2]Baskol!$G$1766)</f>
        <v/>
      </c>
      <c r="Z1763">
        <f>IF([2]Baskol!$I$1766="","",[2]Baskol!$I$1766)</f>
        <v/>
      </c>
      <c r="AA1763">
        <f>IF([2]Baskol!$J$1766="","",[2]Baskol!$J$1766)</f>
        <v/>
      </c>
      <c r="AB1763">
        <f>IF([2]Baskol!$K$1766="","",[2]Baskol!$K$1766)</f>
        <v/>
      </c>
      <c r="AC1763">
        <f>IF([2]Baskol!$L$1766="","",[2]Baskol!$L$1766)</f>
        <v/>
      </c>
      <c r="AD1763">
        <f>IF([2]Baskol!$N$1766="","",[2]Baskol!$N$1766)</f>
        <v/>
      </c>
      <c r="AE1763">
        <f>IF([2]Baskol!$O$1766="","",[2]Baskol!$O$1766)</f>
        <v/>
      </c>
      <c r="AG1763">
        <f>IF([3]Entry!$C$1766="","",[3]Entry!$C$1766)</f>
        <v/>
      </c>
      <c r="AH1763">
        <f>IF([3]Entry!$D$1766="","",[3]Entry!$D$1766)</f>
        <v/>
      </c>
      <c r="AI1763">
        <f>IF([3]Entry!$E$1766="","",[3]Entry!$E$1766)</f>
        <v/>
      </c>
      <c r="AJ1763">
        <f>IF([3]Entry!$G$1766="","",[3]Entry!$G$1766)</f>
        <v/>
      </c>
      <c r="AK1763">
        <f>IF([3]Entry!$K$1766="","",[3]Entry!$K$1766)</f>
        <v/>
      </c>
      <c r="AL1763">
        <f>IF([3]Entry!$L$1766="","",[3]Entry!$L$1766)</f>
        <v/>
      </c>
      <c r="AM1763">
        <f>IF([3]Entry!$M$1766="","",[3]Entry!$M$1766)</f>
        <v/>
      </c>
      <c r="AN1763">
        <f>IF([3]Entry!$N$1766="","",[3]Entry!$N$1766)</f>
        <v/>
      </c>
      <c r="AO1763">
        <f>IF([3]Entry!$R$1766="","",[3]Entry!$R$1766)</f>
        <v/>
      </c>
    </row>
    <row r="1764">
      <c r="U1764">
        <f>IF([2]Baskol!$B$1767="","",[2]Baskol!$B$1767)</f>
        <v/>
      </c>
      <c r="V1764">
        <f>IF([2]Baskol!$C$1767="","",[2]Baskol!$C$1767)</f>
        <v/>
      </c>
      <c r="W1764">
        <f>IF([2]Baskol!$D$1767="","",[2]Baskol!$D$1767)</f>
        <v/>
      </c>
      <c r="X1764">
        <f>IF([2]Baskol!$E$1767="","",[2]Baskol!$E$1767)</f>
        <v/>
      </c>
      <c r="Y1764">
        <f>IF([2]Baskol!$G$1767="","",[2]Baskol!$G$1767)</f>
        <v/>
      </c>
      <c r="Z1764">
        <f>IF([2]Baskol!$I$1767="","",[2]Baskol!$I$1767)</f>
        <v/>
      </c>
      <c r="AA1764">
        <f>IF([2]Baskol!$J$1767="","",[2]Baskol!$J$1767)</f>
        <v/>
      </c>
      <c r="AB1764">
        <f>IF([2]Baskol!$K$1767="","",[2]Baskol!$K$1767)</f>
        <v/>
      </c>
      <c r="AC1764">
        <f>IF([2]Baskol!$L$1767="","",[2]Baskol!$L$1767)</f>
        <v/>
      </c>
      <c r="AD1764">
        <f>IF([2]Baskol!$N$1767="","",[2]Baskol!$N$1767)</f>
        <v/>
      </c>
      <c r="AE1764">
        <f>IF([2]Baskol!$O$1767="","",[2]Baskol!$O$1767)</f>
        <v/>
      </c>
      <c r="AG1764">
        <f>IF([3]Entry!$C$1767="","",[3]Entry!$C$1767)</f>
        <v/>
      </c>
      <c r="AH1764">
        <f>IF([3]Entry!$D$1767="","",[3]Entry!$D$1767)</f>
        <v/>
      </c>
      <c r="AI1764">
        <f>IF([3]Entry!$E$1767="","",[3]Entry!$E$1767)</f>
        <v/>
      </c>
      <c r="AJ1764">
        <f>IF([3]Entry!$G$1767="","",[3]Entry!$G$1767)</f>
        <v/>
      </c>
      <c r="AK1764">
        <f>IF([3]Entry!$K$1767="","",[3]Entry!$K$1767)</f>
        <v/>
      </c>
      <c r="AL1764">
        <f>IF([3]Entry!$L$1767="","",[3]Entry!$L$1767)</f>
        <v/>
      </c>
      <c r="AM1764">
        <f>IF([3]Entry!$M$1767="","",[3]Entry!$M$1767)</f>
        <v/>
      </c>
      <c r="AN1764">
        <f>IF([3]Entry!$N$1767="","",[3]Entry!$N$1767)</f>
        <v/>
      </c>
      <c r="AO1764">
        <f>IF([3]Entry!$R$1767="","",[3]Entry!$R$1767)</f>
        <v/>
      </c>
    </row>
    <row r="1765">
      <c r="U1765">
        <f>IF([2]Baskol!$B$1768="","",[2]Baskol!$B$1768)</f>
        <v/>
      </c>
      <c r="V1765">
        <f>IF([2]Baskol!$C$1768="","",[2]Baskol!$C$1768)</f>
        <v/>
      </c>
      <c r="W1765">
        <f>IF([2]Baskol!$D$1768="","",[2]Baskol!$D$1768)</f>
        <v/>
      </c>
      <c r="X1765">
        <f>IF([2]Baskol!$E$1768="","",[2]Baskol!$E$1768)</f>
        <v/>
      </c>
      <c r="Y1765">
        <f>IF([2]Baskol!$G$1768="","",[2]Baskol!$G$1768)</f>
        <v/>
      </c>
      <c r="Z1765">
        <f>IF([2]Baskol!$I$1768="","",[2]Baskol!$I$1768)</f>
        <v/>
      </c>
      <c r="AA1765">
        <f>IF([2]Baskol!$J$1768="","",[2]Baskol!$J$1768)</f>
        <v/>
      </c>
      <c r="AB1765">
        <f>IF([2]Baskol!$K$1768="","",[2]Baskol!$K$1768)</f>
        <v/>
      </c>
      <c r="AC1765">
        <f>IF([2]Baskol!$L$1768="","",[2]Baskol!$L$1768)</f>
        <v/>
      </c>
      <c r="AD1765">
        <f>IF([2]Baskol!$N$1768="","",[2]Baskol!$N$1768)</f>
        <v/>
      </c>
      <c r="AE1765">
        <f>IF([2]Baskol!$O$1768="","",[2]Baskol!$O$1768)</f>
        <v/>
      </c>
      <c r="AG1765">
        <f>IF([3]Entry!$C$1768="","",[3]Entry!$C$1768)</f>
        <v/>
      </c>
      <c r="AH1765">
        <f>IF([3]Entry!$D$1768="","",[3]Entry!$D$1768)</f>
        <v/>
      </c>
      <c r="AI1765">
        <f>IF([3]Entry!$E$1768="","",[3]Entry!$E$1768)</f>
        <v/>
      </c>
      <c r="AJ1765">
        <f>IF([3]Entry!$G$1768="","",[3]Entry!$G$1768)</f>
        <v/>
      </c>
      <c r="AK1765">
        <f>IF([3]Entry!$K$1768="","",[3]Entry!$K$1768)</f>
        <v/>
      </c>
      <c r="AL1765">
        <f>IF([3]Entry!$L$1768="","",[3]Entry!$L$1768)</f>
        <v/>
      </c>
      <c r="AM1765">
        <f>IF([3]Entry!$M$1768="","",[3]Entry!$M$1768)</f>
        <v/>
      </c>
      <c r="AN1765">
        <f>IF([3]Entry!$N$1768="","",[3]Entry!$N$1768)</f>
        <v/>
      </c>
      <c r="AO1765">
        <f>IF([3]Entry!$R$1768="","",[3]Entry!$R$1768)</f>
        <v/>
      </c>
    </row>
    <row r="1766">
      <c r="U1766">
        <f>IF([2]Baskol!$B$1769="","",[2]Baskol!$B$1769)</f>
        <v/>
      </c>
      <c r="V1766">
        <f>IF([2]Baskol!$C$1769="","",[2]Baskol!$C$1769)</f>
        <v/>
      </c>
      <c r="W1766">
        <f>IF([2]Baskol!$D$1769="","",[2]Baskol!$D$1769)</f>
        <v/>
      </c>
      <c r="X1766">
        <f>IF([2]Baskol!$E$1769="","",[2]Baskol!$E$1769)</f>
        <v/>
      </c>
      <c r="Y1766">
        <f>IF([2]Baskol!$G$1769="","",[2]Baskol!$G$1769)</f>
        <v/>
      </c>
      <c r="Z1766">
        <f>IF([2]Baskol!$I$1769="","",[2]Baskol!$I$1769)</f>
        <v/>
      </c>
      <c r="AA1766">
        <f>IF([2]Baskol!$J$1769="","",[2]Baskol!$J$1769)</f>
        <v/>
      </c>
      <c r="AB1766">
        <f>IF([2]Baskol!$K$1769="","",[2]Baskol!$K$1769)</f>
        <v/>
      </c>
      <c r="AC1766">
        <f>IF([2]Baskol!$L$1769="","",[2]Baskol!$L$1769)</f>
        <v/>
      </c>
      <c r="AD1766">
        <f>IF([2]Baskol!$N$1769="","",[2]Baskol!$N$1769)</f>
        <v/>
      </c>
      <c r="AE1766">
        <f>IF([2]Baskol!$O$1769="","",[2]Baskol!$O$1769)</f>
        <v/>
      </c>
      <c r="AG1766">
        <f>IF([3]Entry!$C$1769="","",[3]Entry!$C$1769)</f>
        <v/>
      </c>
      <c r="AH1766">
        <f>IF([3]Entry!$D$1769="","",[3]Entry!$D$1769)</f>
        <v/>
      </c>
      <c r="AI1766">
        <f>IF([3]Entry!$E$1769="","",[3]Entry!$E$1769)</f>
        <v/>
      </c>
      <c r="AJ1766">
        <f>IF([3]Entry!$G$1769="","",[3]Entry!$G$1769)</f>
        <v/>
      </c>
      <c r="AK1766">
        <f>IF([3]Entry!$K$1769="","",[3]Entry!$K$1769)</f>
        <v/>
      </c>
      <c r="AL1766">
        <f>IF([3]Entry!$L$1769="","",[3]Entry!$L$1769)</f>
        <v/>
      </c>
      <c r="AM1766">
        <f>IF([3]Entry!$M$1769="","",[3]Entry!$M$1769)</f>
        <v/>
      </c>
      <c r="AN1766">
        <f>IF([3]Entry!$N$1769="","",[3]Entry!$N$1769)</f>
        <v/>
      </c>
      <c r="AO1766">
        <f>IF([3]Entry!$R$1769="","",[3]Entry!$R$1769)</f>
        <v/>
      </c>
    </row>
    <row r="1767">
      <c r="U1767">
        <f>IF([2]Baskol!$B$1770="","",[2]Baskol!$B$1770)</f>
        <v/>
      </c>
      <c r="V1767">
        <f>IF([2]Baskol!$C$1770="","",[2]Baskol!$C$1770)</f>
        <v/>
      </c>
      <c r="W1767">
        <f>IF([2]Baskol!$D$1770="","",[2]Baskol!$D$1770)</f>
        <v/>
      </c>
      <c r="X1767">
        <f>IF([2]Baskol!$E$1770="","",[2]Baskol!$E$1770)</f>
        <v/>
      </c>
      <c r="Y1767">
        <f>IF([2]Baskol!$G$1770="","",[2]Baskol!$G$1770)</f>
        <v/>
      </c>
      <c r="Z1767">
        <f>IF([2]Baskol!$I$1770="","",[2]Baskol!$I$1770)</f>
        <v/>
      </c>
      <c r="AA1767">
        <f>IF([2]Baskol!$J$1770="","",[2]Baskol!$J$1770)</f>
        <v/>
      </c>
      <c r="AB1767">
        <f>IF([2]Baskol!$K$1770="","",[2]Baskol!$K$1770)</f>
        <v/>
      </c>
      <c r="AC1767">
        <f>IF([2]Baskol!$L$1770="","",[2]Baskol!$L$1770)</f>
        <v/>
      </c>
      <c r="AD1767">
        <f>IF([2]Baskol!$N$1770="","",[2]Baskol!$N$1770)</f>
        <v/>
      </c>
      <c r="AE1767">
        <f>IF([2]Baskol!$O$1770="","",[2]Baskol!$O$1770)</f>
        <v/>
      </c>
      <c r="AG1767">
        <f>IF([3]Entry!$C$1770="","",[3]Entry!$C$1770)</f>
        <v/>
      </c>
      <c r="AH1767">
        <f>IF([3]Entry!$D$1770="","",[3]Entry!$D$1770)</f>
        <v/>
      </c>
      <c r="AI1767">
        <f>IF([3]Entry!$E$1770="","",[3]Entry!$E$1770)</f>
        <v/>
      </c>
      <c r="AJ1767">
        <f>IF([3]Entry!$G$1770="","",[3]Entry!$G$1770)</f>
        <v/>
      </c>
      <c r="AK1767">
        <f>IF([3]Entry!$K$1770="","",[3]Entry!$K$1770)</f>
        <v/>
      </c>
      <c r="AL1767">
        <f>IF([3]Entry!$L$1770="","",[3]Entry!$L$1770)</f>
        <v/>
      </c>
      <c r="AM1767">
        <f>IF([3]Entry!$M$1770="","",[3]Entry!$M$1770)</f>
        <v/>
      </c>
      <c r="AN1767">
        <f>IF([3]Entry!$N$1770="","",[3]Entry!$N$1770)</f>
        <v/>
      </c>
      <c r="AO1767">
        <f>IF([3]Entry!$R$1770="","",[3]Entry!$R$1770)</f>
        <v/>
      </c>
    </row>
    <row r="1768">
      <c r="U1768">
        <f>IF([2]Baskol!$B$1771="","",[2]Baskol!$B$1771)</f>
        <v/>
      </c>
      <c r="V1768">
        <f>IF([2]Baskol!$C$1771="","",[2]Baskol!$C$1771)</f>
        <v/>
      </c>
      <c r="W1768">
        <f>IF([2]Baskol!$D$1771="","",[2]Baskol!$D$1771)</f>
        <v/>
      </c>
      <c r="X1768">
        <f>IF([2]Baskol!$E$1771="","",[2]Baskol!$E$1771)</f>
        <v/>
      </c>
      <c r="Y1768">
        <f>IF([2]Baskol!$G$1771="","",[2]Baskol!$G$1771)</f>
        <v/>
      </c>
      <c r="Z1768">
        <f>IF([2]Baskol!$I$1771="","",[2]Baskol!$I$1771)</f>
        <v/>
      </c>
      <c r="AA1768">
        <f>IF([2]Baskol!$J$1771="","",[2]Baskol!$J$1771)</f>
        <v/>
      </c>
      <c r="AB1768">
        <f>IF([2]Baskol!$K$1771="","",[2]Baskol!$K$1771)</f>
        <v/>
      </c>
      <c r="AC1768">
        <f>IF([2]Baskol!$L$1771="","",[2]Baskol!$L$1771)</f>
        <v/>
      </c>
      <c r="AD1768">
        <f>IF([2]Baskol!$N$1771="","",[2]Baskol!$N$1771)</f>
        <v/>
      </c>
      <c r="AE1768">
        <f>IF([2]Baskol!$O$1771="","",[2]Baskol!$O$1771)</f>
        <v/>
      </c>
      <c r="AG1768">
        <f>IF([3]Entry!$C$1771="","",[3]Entry!$C$1771)</f>
        <v/>
      </c>
      <c r="AH1768">
        <f>IF([3]Entry!$D$1771="","",[3]Entry!$D$1771)</f>
        <v/>
      </c>
      <c r="AI1768">
        <f>IF([3]Entry!$E$1771="","",[3]Entry!$E$1771)</f>
        <v/>
      </c>
      <c r="AJ1768">
        <f>IF([3]Entry!$G$1771="","",[3]Entry!$G$1771)</f>
        <v/>
      </c>
      <c r="AK1768">
        <f>IF([3]Entry!$K$1771="","",[3]Entry!$K$1771)</f>
        <v/>
      </c>
      <c r="AL1768">
        <f>IF([3]Entry!$L$1771="","",[3]Entry!$L$1771)</f>
        <v/>
      </c>
      <c r="AM1768">
        <f>IF([3]Entry!$M$1771="","",[3]Entry!$M$1771)</f>
        <v/>
      </c>
      <c r="AN1768">
        <f>IF([3]Entry!$N$1771="","",[3]Entry!$N$1771)</f>
        <v/>
      </c>
      <c r="AO1768">
        <f>IF([3]Entry!$R$1771="","",[3]Entry!$R$1771)</f>
        <v/>
      </c>
    </row>
    <row r="1769">
      <c r="U1769">
        <f>IF([2]Baskol!$B$1772="","",[2]Baskol!$B$1772)</f>
        <v/>
      </c>
      <c r="V1769">
        <f>IF([2]Baskol!$C$1772="","",[2]Baskol!$C$1772)</f>
        <v/>
      </c>
      <c r="W1769">
        <f>IF([2]Baskol!$D$1772="","",[2]Baskol!$D$1772)</f>
        <v/>
      </c>
      <c r="X1769">
        <f>IF([2]Baskol!$E$1772="","",[2]Baskol!$E$1772)</f>
        <v/>
      </c>
      <c r="Y1769">
        <f>IF([2]Baskol!$G$1772="","",[2]Baskol!$G$1772)</f>
        <v/>
      </c>
      <c r="Z1769">
        <f>IF([2]Baskol!$I$1772="","",[2]Baskol!$I$1772)</f>
        <v/>
      </c>
      <c r="AA1769">
        <f>IF([2]Baskol!$J$1772="","",[2]Baskol!$J$1772)</f>
        <v/>
      </c>
      <c r="AB1769">
        <f>IF([2]Baskol!$K$1772="","",[2]Baskol!$K$1772)</f>
        <v/>
      </c>
      <c r="AC1769">
        <f>IF([2]Baskol!$L$1772="","",[2]Baskol!$L$1772)</f>
        <v/>
      </c>
      <c r="AD1769">
        <f>IF([2]Baskol!$N$1772="","",[2]Baskol!$N$1772)</f>
        <v/>
      </c>
      <c r="AE1769">
        <f>IF([2]Baskol!$O$1772="","",[2]Baskol!$O$1772)</f>
        <v/>
      </c>
      <c r="AG1769">
        <f>IF([3]Entry!$C$1772="","",[3]Entry!$C$1772)</f>
        <v/>
      </c>
      <c r="AH1769">
        <f>IF([3]Entry!$D$1772="","",[3]Entry!$D$1772)</f>
        <v/>
      </c>
      <c r="AI1769">
        <f>IF([3]Entry!$E$1772="","",[3]Entry!$E$1772)</f>
        <v/>
      </c>
      <c r="AJ1769">
        <f>IF([3]Entry!$G$1772="","",[3]Entry!$G$1772)</f>
        <v/>
      </c>
      <c r="AK1769">
        <f>IF([3]Entry!$K$1772="","",[3]Entry!$K$1772)</f>
        <v/>
      </c>
      <c r="AL1769">
        <f>IF([3]Entry!$L$1772="","",[3]Entry!$L$1772)</f>
        <v/>
      </c>
      <c r="AM1769">
        <f>IF([3]Entry!$M$1772="","",[3]Entry!$M$1772)</f>
        <v/>
      </c>
      <c r="AN1769">
        <f>IF([3]Entry!$N$1772="","",[3]Entry!$N$1772)</f>
        <v/>
      </c>
      <c r="AO1769">
        <f>IF([3]Entry!$R$1772="","",[3]Entry!$R$1772)</f>
        <v/>
      </c>
    </row>
    <row r="1770">
      <c r="U1770">
        <f>IF([2]Baskol!$B$1773="","",[2]Baskol!$B$1773)</f>
        <v/>
      </c>
      <c r="V1770">
        <f>IF([2]Baskol!$C$1773="","",[2]Baskol!$C$1773)</f>
        <v/>
      </c>
      <c r="W1770">
        <f>IF([2]Baskol!$D$1773="","",[2]Baskol!$D$1773)</f>
        <v/>
      </c>
      <c r="X1770">
        <f>IF([2]Baskol!$E$1773="","",[2]Baskol!$E$1773)</f>
        <v/>
      </c>
      <c r="Y1770">
        <f>IF([2]Baskol!$G$1773="","",[2]Baskol!$G$1773)</f>
        <v/>
      </c>
      <c r="Z1770">
        <f>IF([2]Baskol!$I$1773="","",[2]Baskol!$I$1773)</f>
        <v/>
      </c>
      <c r="AA1770">
        <f>IF([2]Baskol!$J$1773="","",[2]Baskol!$J$1773)</f>
        <v/>
      </c>
      <c r="AB1770">
        <f>IF([2]Baskol!$K$1773="","",[2]Baskol!$K$1773)</f>
        <v/>
      </c>
      <c r="AC1770">
        <f>IF([2]Baskol!$L$1773="","",[2]Baskol!$L$1773)</f>
        <v/>
      </c>
      <c r="AD1770">
        <f>IF([2]Baskol!$N$1773="","",[2]Baskol!$N$1773)</f>
        <v/>
      </c>
      <c r="AE1770">
        <f>IF([2]Baskol!$O$1773="","",[2]Baskol!$O$1773)</f>
        <v/>
      </c>
      <c r="AG1770">
        <f>IF([3]Entry!$C$1773="","",[3]Entry!$C$1773)</f>
        <v/>
      </c>
      <c r="AH1770">
        <f>IF([3]Entry!$D$1773="","",[3]Entry!$D$1773)</f>
        <v/>
      </c>
      <c r="AI1770">
        <f>IF([3]Entry!$E$1773="","",[3]Entry!$E$1773)</f>
        <v/>
      </c>
      <c r="AJ1770">
        <f>IF([3]Entry!$G$1773="","",[3]Entry!$G$1773)</f>
        <v/>
      </c>
      <c r="AK1770">
        <f>IF([3]Entry!$K$1773="","",[3]Entry!$K$1773)</f>
        <v/>
      </c>
      <c r="AL1770">
        <f>IF([3]Entry!$L$1773="","",[3]Entry!$L$1773)</f>
        <v/>
      </c>
      <c r="AM1770">
        <f>IF([3]Entry!$M$1773="","",[3]Entry!$M$1773)</f>
        <v/>
      </c>
      <c r="AN1770">
        <f>IF([3]Entry!$N$1773="","",[3]Entry!$N$1773)</f>
        <v/>
      </c>
      <c r="AO1770">
        <f>IF([3]Entry!$R$1773="","",[3]Entry!$R$1773)</f>
        <v/>
      </c>
    </row>
    <row r="1771">
      <c r="U1771">
        <f>IF([2]Baskol!$B$1774="","",[2]Baskol!$B$1774)</f>
        <v/>
      </c>
      <c r="V1771">
        <f>IF([2]Baskol!$C$1774="","",[2]Baskol!$C$1774)</f>
        <v/>
      </c>
      <c r="W1771">
        <f>IF([2]Baskol!$D$1774="","",[2]Baskol!$D$1774)</f>
        <v/>
      </c>
      <c r="X1771">
        <f>IF([2]Baskol!$E$1774="","",[2]Baskol!$E$1774)</f>
        <v/>
      </c>
      <c r="Y1771">
        <f>IF([2]Baskol!$G$1774="","",[2]Baskol!$G$1774)</f>
        <v/>
      </c>
      <c r="Z1771">
        <f>IF([2]Baskol!$I$1774="","",[2]Baskol!$I$1774)</f>
        <v/>
      </c>
      <c r="AA1771">
        <f>IF([2]Baskol!$J$1774="","",[2]Baskol!$J$1774)</f>
        <v/>
      </c>
      <c r="AB1771">
        <f>IF([2]Baskol!$K$1774="","",[2]Baskol!$K$1774)</f>
        <v/>
      </c>
      <c r="AC1771">
        <f>IF([2]Baskol!$L$1774="","",[2]Baskol!$L$1774)</f>
        <v/>
      </c>
      <c r="AD1771">
        <f>IF([2]Baskol!$N$1774="","",[2]Baskol!$N$1774)</f>
        <v/>
      </c>
      <c r="AE1771">
        <f>IF([2]Baskol!$O$1774="","",[2]Baskol!$O$1774)</f>
        <v/>
      </c>
      <c r="AG1771">
        <f>IF([3]Entry!$C$1774="","",[3]Entry!$C$1774)</f>
        <v/>
      </c>
      <c r="AH1771">
        <f>IF([3]Entry!$D$1774="","",[3]Entry!$D$1774)</f>
        <v/>
      </c>
      <c r="AI1771">
        <f>IF([3]Entry!$E$1774="","",[3]Entry!$E$1774)</f>
        <v/>
      </c>
      <c r="AJ1771">
        <f>IF([3]Entry!$G$1774="","",[3]Entry!$G$1774)</f>
        <v/>
      </c>
      <c r="AK1771">
        <f>IF([3]Entry!$K$1774="","",[3]Entry!$K$1774)</f>
        <v/>
      </c>
      <c r="AL1771">
        <f>IF([3]Entry!$L$1774="","",[3]Entry!$L$1774)</f>
        <v/>
      </c>
      <c r="AM1771">
        <f>IF([3]Entry!$M$1774="","",[3]Entry!$M$1774)</f>
        <v/>
      </c>
      <c r="AN1771">
        <f>IF([3]Entry!$N$1774="","",[3]Entry!$N$1774)</f>
        <v/>
      </c>
      <c r="AO1771">
        <f>IF([3]Entry!$R$1774="","",[3]Entry!$R$1774)</f>
        <v/>
      </c>
    </row>
    <row r="1772">
      <c r="U1772">
        <f>IF([2]Baskol!$B$1775="","",[2]Baskol!$B$1775)</f>
        <v/>
      </c>
      <c r="V1772">
        <f>IF([2]Baskol!$C$1775="","",[2]Baskol!$C$1775)</f>
        <v/>
      </c>
      <c r="W1772">
        <f>IF([2]Baskol!$D$1775="","",[2]Baskol!$D$1775)</f>
        <v/>
      </c>
      <c r="X1772">
        <f>IF([2]Baskol!$E$1775="","",[2]Baskol!$E$1775)</f>
        <v/>
      </c>
      <c r="Y1772">
        <f>IF([2]Baskol!$G$1775="","",[2]Baskol!$G$1775)</f>
        <v/>
      </c>
      <c r="Z1772">
        <f>IF([2]Baskol!$I$1775="","",[2]Baskol!$I$1775)</f>
        <v/>
      </c>
      <c r="AA1772">
        <f>IF([2]Baskol!$J$1775="","",[2]Baskol!$J$1775)</f>
        <v/>
      </c>
      <c r="AB1772">
        <f>IF([2]Baskol!$K$1775="","",[2]Baskol!$K$1775)</f>
        <v/>
      </c>
      <c r="AC1772">
        <f>IF([2]Baskol!$L$1775="","",[2]Baskol!$L$1775)</f>
        <v/>
      </c>
      <c r="AD1772">
        <f>IF([2]Baskol!$N$1775="","",[2]Baskol!$N$1775)</f>
        <v/>
      </c>
      <c r="AE1772">
        <f>IF([2]Baskol!$O$1775="","",[2]Baskol!$O$1775)</f>
        <v/>
      </c>
      <c r="AG1772">
        <f>IF([3]Entry!$C$1775="","",[3]Entry!$C$1775)</f>
        <v/>
      </c>
      <c r="AH1772">
        <f>IF([3]Entry!$D$1775="","",[3]Entry!$D$1775)</f>
        <v/>
      </c>
      <c r="AI1772">
        <f>IF([3]Entry!$E$1775="","",[3]Entry!$E$1775)</f>
        <v/>
      </c>
      <c r="AJ1772">
        <f>IF([3]Entry!$G$1775="","",[3]Entry!$G$1775)</f>
        <v/>
      </c>
      <c r="AK1772">
        <f>IF([3]Entry!$K$1775="","",[3]Entry!$K$1775)</f>
        <v/>
      </c>
      <c r="AL1772">
        <f>IF([3]Entry!$L$1775="","",[3]Entry!$L$1775)</f>
        <v/>
      </c>
      <c r="AM1772">
        <f>IF([3]Entry!$M$1775="","",[3]Entry!$M$1775)</f>
        <v/>
      </c>
      <c r="AN1772">
        <f>IF([3]Entry!$N$1775="","",[3]Entry!$N$1775)</f>
        <v/>
      </c>
      <c r="AO1772">
        <f>IF([3]Entry!$R$1775="","",[3]Entry!$R$1775)</f>
        <v/>
      </c>
    </row>
    <row r="1773">
      <c r="U1773">
        <f>IF([2]Baskol!$B$1776="","",[2]Baskol!$B$1776)</f>
        <v/>
      </c>
      <c r="V1773">
        <f>IF([2]Baskol!$C$1776="","",[2]Baskol!$C$1776)</f>
        <v/>
      </c>
      <c r="W1773">
        <f>IF([2]Baskol!$D$1776="","",[2]Baskol!$D$1776)</f>
        <v/>
      </c>
      <c r="X1773">
        <f>IF([2]Baskol!$E$1776="","",[2]Baskol!$E$1776)</f>
        <v/>
      </c>
      <c r="Y1773">
        <f>IF([2]Baskol!$G$1776="","",[2]Baskol!$G$1776)</f>
        <v/>
      </c>
      <c r="Z1773">
        <f>IF([2]Baskol!$I$1776="","",[2]Baskol!$I$1776)</f>
        <v/>
      </c>
      <c r="AA1773">
        <f>IF([2]Baskol!$J$1776="","",[2]Baskol!$J$1776)</f>
        <v/>
      </c>
      <c r="AB1773">
        <f>IF([2]Baskol!$K$1776="","",[2]Baskol!$K$1776)</f>
        <v/>
      </c>
      <c r="AC1773">
        <f>IF([2]Baskol!$L$1776="","",[2]Baskol!$L$1776)</f>
        <v/>
      </c>
      <c r="AD1773">
        <f>IF([2]Baskol!$N$1776="","",[2]Baskol!$N$1776)</f>
        <v/>
      </c>
      <c r="AE1773">
        <f>IF([2]Baskol!$O$1776="","",[2]Baskol!$O$1776)</f>
        <v/>
      </c>
      <c r="AG1773">
        <f>IF([3]Entry!$C$1776="","",[3]Entry!$C$1776)</f>
        <v/>
      </c>
      <c r="AH1773">
        <f>IF([3]Entry!$D$1776="","",[3]Entry!$D$1776)</f>
        <v/>
      </c>
      <c r="AI1773">
        <f>IF([3]Entry!$E$1776="","",[3]Entry!$E$1776)</f>
        <v/>
      </c>
      <c r="AJ1773">
        <f>IF([3]Entry!$G$1776="","",[3]Entry!$G$1776)</f>
        <v/>
      </c>
      <c r="AK1773">
        <f>IF([3]Entry!$K$1776="","",[3]Entry!$K$1776)</f>
        <v/>
      </c>
      <c r="AL1773">
        <f>IF([3]Entry!$L$1776="","",[3]Entry!$L$1776)</f>
        <v/>
      </c>
      <c r="AM1773">
        <f>IF([3]Entry!$M$1776="","",[3]Entry!$M$1776)</f>
        <v/>
      </c>
      <c r="AN1773">
        <f>IF([3]Entry!$N$1776="","",[3]Entry!$N$1776)</f>
        <v/>
      </c>
      <c r="AO1773">
        <f>IF([3]Entry!$R$1776="","",[3]Entry!$R$1776)</f>
        <v/>
      </c>
    </row>
    <row r="1774">
      <c r="U1774">
        <f>IF([2]Baskol!$B$1777="","",[2]Baskol!$B$1777)</f>
        <v/>
      </c>
      <c r="V1774">
        <f>IF([2]Baskol!$C$1777="","",[2]Baskol!$C$1777)</f>
        <v/>
      </c>
      <c r="W1774">
        <f>IF([2]Baskol!$D$1777="","",[2]Baskol!$D$1777)</f>
        <v/>
      </c>
      <c r="X1774">
        <f>IF([2]Baskol!$E$1777="","",[2]Baskol!$E$1777)</f>
        <v/>
      </c>
      <c r="Y1774">
        <f>IF([2]Baskol!$G$1777="","",[2]Baskol!$G$1777)</f>
        <v/>
      </c>
      <c r="Z1774">
        <f>IF([2]Baskol!$I$1777="","",[2]Baskol!$I$1777)</f>
        <v/>
      </c>
      <c r="AA1774">
        <f>IF([2]Baskol!$J$1777="","",[2]Baskol!$J$1777)</f>
        <v/>
      </c>
      <c r="AB1774">
        <f>IF([2]Baskol!$K$1777="","",[2]Baskol!$K$1777)</f>
        <v/>
      </c>
      <c r="AC1774">
        <f>IF([2]Baskol!$L$1777="","",[2]Baskol!$L$1777)</f>
        <v/>
      </c>
      <c r="AD1774">
        <f>IF([2]Baskol!$N$1777="","",[2]Baskol!$N$1777)</f>
        <v/>
      </c>
      <c r="AE1774">
        <f>IF([2]Baskol!$O$1777="","",[2]Baskol!$O$1777)</f>
        <v/>
      </c>
      <c r="AG1774">
        <f>IF([3]Entry!$C$1777="","",[3]Entry!$C$1777)</f>
        <v/>
      </c>
      <c r="AH1774">
        <f>IF([3]Entry!$D$1777="","",[3]Entry!$D$1777)</f>
        <v/>
      </c>
      <c r="AI1774">
        <f>IF([3]Entry!$E$1777="","",[3]Entry!$E$1777)</f>
        <v/>
      </c>
      <c r="AJ1774">
        <f>IF([3]Entry!$G$1777="","",[3]Entry!$G$1777)</f>
        <v/>
      </c>
      <c r="AK1774">
        <f>IF([3]Entry!$K$1777="","",[3]Entry!$K$1777)</f>
        <v/>
      </c>
      <c r="AL1774">
        <f>IF([3]Entry!$L$1777="","",[3]Entry!$L$1777)</f>
        <v/>
      </c>
      <c r="AM1774">
        <f>IF([3]Entry!$M$1777="","",[3]Entry!$M$1777)</f>
        <v/>
      </c>
      <c r="AN1774">
        <f>IF([3]Entry!$N$1777="","",[3]Entry!$N$1777)</f>
        <v/>
      </c>
      <c r="AO1774">
        <f>IF([3]Entry!$R$1777="","",[3]Entry!$R$1777)</f>
        <v/>
      </c>
    </row>
    <row r="1775">
      <c r="U1775">
        <f>IF([2]Baskol!$B$1778="","",[2]Baskol!$B$1778)</f>
        <v/>
      </c>
      <c r="V1775">
        <f>IF([2]Baskol!$C$1778="","",[2]Baskol!$C$1778)</f>
        <v/>
      </c>
      <c r="W1775">
        <f>IF([2]Baskol!$D$1778="","",[2]Baskol!$D$1778)</f>
        <v/>
      </c>
      <c r="X1775">
        <f>IF([2]Baskol!$E$1778="","",[2]Baskol!$E$1778)</f>
        <v/>
      </c>
      <c r="Y1775">
        <f>IF([2]Baskol!$G$1778="","",[2]Baskol!$G$1778)</f>
        <v/>
      </c>
      <c r="Z1775">
        <f>IF([2]Baskol!$I$1778="","",[2]Baskol!$I$1778)</f>
        <v/>
      </c>
      <c r="AA1775">
        <f>IF([2]Baskol!$J$1778="","",[2]Baskol!$J$1778)</f>
        <v/>
      </c>
      <c r="AB1775">
        <f>IF([2]Baskol!$K$1778="","",[2]Baskol!$K$1778)</f>
        <v/>
      </c>
      <c r="AC1775">
        <f>IF([2]Baskol!$L$1778="","",[2]Baskol!$L$1778)</f>
        <v/>
      </c>
      <c r="AD1775">
        <f>IF([2]Baskol!$N$1778="","",[2]Baskol!$N$1778)</f>
        <v/>
      </c>
      <c r="AE1775">
        <f>IF([2]Baskol!$O$1778="","",[2]Baskol!$O$1778)</f>
        <v/>
      </c>
      <c r="AG1775">
        <f>IF([3]Entry!$C$1778="","",[3]Entry!$C$1778)</f>
        <v/>
      </c>
      <c r="AH1775">
        <f>IF([3]Entry!$D$1778="","",[3]Entry!$D$1778)</f>
        <v/>
      </c>
      <c r="AI1775">
        <f>IF([3]Entry!$E$1778="","",[3]Entry!$E$1778)</f>
        <v/>
      </c>
      <c r="AJ1775">
        <f>IF([3]Entry!$G$1778="","",[3]Entry!$G$1778)</f>
        <v/>
      </c>
      <c r="AK1775">
        <f>IF([3]Entry!$K$1778="","",[3]Entry!$K$1778)</f>
        <v/>
      </c>
      <c r="AL1775">
        <f>IF([3]Entry!$L$1778="","",[3]Entry!$L$1778)</f>
        <v/>
      </c>
      <c r="AM1775">
        <f>IF([3]Entry!$M$1778="","",[3]Entry!$M$1778)</f>
        <v/>
      </c>
      <c r="AN1775">
        <f>IF([3]Entry!$N$1778="","",[3]Entry!$N$1778)</f>
        <v/>
      </c>
      <c r="AO1775">
        <f>IF([3]Entry!$R$1778="","",[3]Entry!$R$1778)</f>
        <v/>
      </c>
    </row>
    <row r="1776">
      <c r="U1776">
        <f>IF([2]Baskol!$B$1779="","",[2]Baskol!$B$1779)</f>
        <v/>
      </c>
      <c r="V1776">
        <f>IF([2]Baskol!$C$1779="","",[2]Baskol!$C$1779)</f>
        <v/>
      </c>
      <c r="W1776">
        <f>IF([2]Baskol!$D$1779="","",[2]Baskol!$D$1779)</f>
        <v/>
      </c>
      <c r="X1776">
        <f>IF([2]Baskol!$E$1779="","",[2]Baskol!$E$1779)</f>
        <v/>
      </c>
      <c r="Y1776">
        <f>IF([2]Baskol!$G$1779="","",[2]Baskol!$G$1779)</f>
        <v/>
      </c>
      <c r="Z1776">
        <f>IF([2]Baskol!$I$1779="","",[2]Baskol!$I$1779)</f>
        <v/>
      </c>
      <c r="AA1776">
        <f>IF([2]Baskol!$J$1779="","",[2]Baskol!$J$1779)</f>
        <v/>
      </c>
      <c r="AB1776">
        <f>IF([2]Baskol!$K$1779="","",[2]Baskol!$K$1779)</f>
        <v/>
      </c>
      <c r="AC1776">
        <f>IF([2]Baskol!$L$1779="","",[2]Baskol!$L$1779)</f>
        <v/>
      </c>
      <c r="AD1776">
        <f>IF([2]Baskol!$N$1779="","",[2]Baskol!$N$1779)</f>
        <v/>
      </c>
      <c r="AE1776">
        <f>IF([2]Baskol!$O$1779="","",[2]Baskol!$O$1779)</f>
        <v/>
      </c>
      <c r="AG1776">
        <f>IF([3]Entry!$C$1779="","",[3]Entry!$C$1779)</f>
        <v/>
      </c>
      <c r="AH1776">
        <f>IF([3]Entry!$D$1779="","",[3]Entry!$D$1779)</f>
        <v/>
      </c>
      <c r="AI1776">
        <f>IF([3]Entry!$E$1779="","",[3]Entry!$E$1779)</f>
        <v/>
      </c>
      <c r="AJ1776">
        <f>IF([3]Entry!$G$1779="","",[3]Entry!$G$1779)</f>
        <v/>
      </c>
      <c r="AK1776">
        <f>IF([3]Entry!$K$1779="","",[3]Entry!$K$1779)</f>
        <v/>
      </c>
      <c r="AL1776">
        <f>IF([3]Entry!$L$1779="","",[3]Entry!$L$1779)</f>
        <v/>
      </c>
      <c r="AM1776">
        <f>IF([3]Entry!$M$1779="","",[3]Entry!$M$1779)</f>
        <v/>
      </c>
      <c r="AN1776">
        <f>IF([3]Entry!$N$1779="","",[3]Entry!$N$1779)</f>
        <v/>
      </c>
      <c r="AO1776">
        <f>IF([3]Entry!$R$1779="","",[3]Entry!$R$1779)</f>
        <v/>
      </c>
    </row>
    <row r="1777">
      <c r="U1777">
        <f>IF([2]Baskol!$B$1780="","",[2]Baskol!$B$1780)</f>
        <v/>
      </c>
      <c r="V1777">
        <f>IF([2]Baskol!$C$1780="","",[2]Baskol!$C$1780)</f>
        <v/>
      </c>
      <c r="W1777">
        <f>IF([2]Baskol!$D$1780="","",[2]Baskol!$D$1780)</f>
        <v/>
      </c>
      <c r="X1777">
        <f>IF([2]Baskol!$E$1780="","",[2]Baskol!$E$1780)</f>
        <v/>
      </c>
      <c r="Y1777">
        <f>IF([2]Baskol!$G$1780="","",[2]Baskol!$G$1780)</f>
        <v/>
      </c>
      <c r="Z1777">
        <f>IF([2]Baskol!$I$1780="","",[2]Baskol!$I$1780)</f>
        <v/>
      </c>
      <c r="AA1777">
        <f>IF([2]Baskol!$J$1780="","",[2]Baskol!$J$1780)</f>
        <v/>
      </c>
      <c r="AB1777">
        <f>IF([2]Baskol!$K$1780="","",[2]Baskol!$K$1780)</f>
        <v/>
      </c>
      <c r="AC1777">
        <f>IF([2]Baskol!$L$1780="","",[2]Baskol!$L$1780)</f>
        <v/>
      </c>
      <c r="AD1777">
        <f>IF([2]Baskol!$N$1780="","",[2]Baskol!$N$1780)</f>
        <v/>
      </c>
      <c r="AE1777">
        <f>IF([2]Baskol!$O$1780="","",[2]Baskol!$O$1780)</f>
        <v/>
      </c>
      <c r="AG1777">
        <f>IF([3]Entry!$C$1780="","",[3]Entry!$C$1780)</f>
        <v/>
      </c>
      <c r="AH1777">
        <f>IF([3]Entry!$D$1780="","",[3]Entry!$D$1780)</f>
        <v/>
      </c>
      <c r="AI1777">
        <f>IF([3]Entry!$E$1780="","",[3]Entry!$E$1780)</f>
        <v/>
      </c>
      <c r="AJ1777">
        <f>IF([3]Entry!$G$1780="","",[3]Entry!$G$1780)</f>
        <v/>
      </c>
      <c r="AK1777">
        <f>IF([3]Entry!$K$1780="","",[3]Entry!$K$1780)</f>
        <v/>
      </c>
      <c r="AL1777">
        <f>IF([3]Entry!$L$1780="","",[3]Entry!$L$1780)</f>
        <v/>
      </c>
      <c r="AM1777">
        <f>IF([3]Entry!$M$1780="","",[3]Entry!$M$1780)</f>
        <v/>
      </c>
      <c r="AN1777">
        <f>IF([3]Entry!$N$1780="","",[3]Entry!$N$1780)</f>
        <v/>
      </c>
      <c r="AO1777">
        <f>IF([3]Entry!$R$1780="","",[3]Entry!$R$1780)</f>
        <v/>
      </c>
    </row>
    <row r="1778">
      <c r="U1778">
        <f>IF([2]Baskol!$B$1781="","",[2]Baskol!$B$1781)</f>
        <v/>
      </c>
      <c r="V1778">
        <f>IF([2]Baskol!$C$1781="","",[2]Baskol!$C$1781)</f>
        <v/>
      </c>
      <c r="W1778">
        <f>IF([2]Baskol!$D$1781="","",[2]Baskol!$D$1781)</f>
        <v/>
      </c>
      <c r="X1778">
        <f>IF([2]Baskol!$E$1781="","",[2]Baskol!$E$1781)</f>
        <v/>
      </c>
      <c r="Y1778">
        <f>IF([2]Baskol!$G$1781="","",[2]Baskol!$G$1781)</f>
        <v/>
      </c>
      <c r="Z1778">
        <f>IF([2]Baskol!$I$1781="","",[2]Baskol!$I$1781)</f>
        <v/>
      </c>
      <c r="AA1778">
        <f>IF([2]Baskol!$J$1781="","",[2]Baskol!$J$1781)</f>
        <v/>
      </c>
      <c r="AB1778">
        <f>IF([2]Baskol!$K$1781="","",[2]Baskol!$K$1781)</f>
        <v/>
      </c>
      <c r="AC1778">
        <f>IF([2]Baskol!$L$1781="","",[2]Baskol!$L$1781)</f>
        <v/>
      </c>
      <c r="AD1778">
        <f>IF([2]Baskol!$N$1781="","",[2]Baskol!$N$1781)</f>
        <v/>
      </c>
      <c r="AE1778">
        <f>IF([2]Baskol!$O$1781="","",[2]Baskol!$O$1781)</f>
        <v/>
      </c>
      <c r="AG1778">
        <f>IF([3]Entry!$C$1781="","",[3]Entry!$C$1781)</f>
        <v/>
      </c>
      <c r="AH1778">
        <f>IF([3]Entry!$D$1781="","",[3]Entry!$D$1781)</f>
        <v/>
      </c>
      <c r="AI1778">
        <f>IF([3]Entry!$E$1781="","",[3]Entry!$E$1781)</f>
        <v/>
      </c>
      <c r="AJ1778">
        <f>IF([3]Entry!$G$1781="","",[3]Entry!$G$1781)</f>
        <v/>
      </c>
      <c r="AK1778">
        <f>IF([3]Entry!$K$1781="","",[3]Entry!$K$1781)</f>
        <v/>
      </c>
      <c r="AL1778">
        <f>IF([3]Entry!$L$1781="","",[3]Entry!$L$1781)</f>
        <v/>
      </c>
      <c r="AM1778">
        <f>IF([3]Entry!$M$1781="","",[3]Entry!$M$1781)</f>
        <v/>
      </c>
      <c r="AN1778">
        <f>IF([3]Entry!$N$1781="","",[3]Entry!$N$1781)</f>
        <v/>
      </c>
      <c r="AO1778">
        <f>IF([3]Entry!$R$1781="","",[3]Entry!$R$1781)</f>
        <v/>
      </c>
    </row>
    <row r="1779">
      <c r="U1779">
        <f>IF([2]Baskol!$B$1782="","",[2]Baskol!$B$1782)</f>
        <v/>
      </c>
      <c r="V1779">
        <f>IF([2]Baskol!$C$1782="","",[2]Baskol!$C$1782)</f>
        <v/>
      </c>
      <c r="W1779">
        <f>IF([2]Baskol!$D$1782="","",[2]Baskol!$D$1782)</f>
        <v/>
      </c>
      <c r="X1779">
        <f>IF([2]Baskol!$E$1782="","",[2]Baskol!$E$1782)</f>
        <v/>
      </c>
      <c r="Y1779">
        <f>IF([2]Baskol!$G$1782="","",[2]Baskol!$G$1782)</f>
        <v/>
      </c>
      <c r="Z1779">
        <f>IF([2]Baskol!$I$1782="","",[2]Baskol!$I$1782)</f>
        <v/>
      </c>
      <c r="AA1779">
        <f>IF([2]Baskol!$J$1782="","",[2]Baskol!$J$1782)</f>
        <v/>
      </c>
      <c r="AB1779">
        <f>IF([2]Baskol!$K$1782="","",[2]Baskol!$K$1782)</f>
        <v/>
      </c>
      <c r="AC1779">
        <f>IF([2]Baskol!$L$1782="","",[2]Baskol!$L$1782)</f>
        <v/>
      </c>
      <c r="AD1779">
        <f>IF([2]Baskol!$N$1782="","",[2]Baskol!$N$1782)</f>
        <v/>
      </c>
      <c r="AE1779">
        <f>IF([2]Baskol!$O$1782="","",[2]Baskol!$O$1782)</f>
        <v/>
      </c>
      <c r="AG1779">
        <f>IF([3]Entry!$C$1782="","",[3]Entry!$C$1782)</f>
        <v/>
      </c>
      <c r="AH1779">
        <f>IF([3]Entry!$D$1782="","",[3]Entry!$D$1782)</f>
        <v/>
      </c>
      <c r="AI1779">
        <f>IF([3]Entry!$E$1782="","",[3]Entry!$E$1782)</f>
        <v/>
      </c>
      <c r="AJ1779">
        <f>IF([3]Entry!$G$1782="","",[3]Entry!$G$1782)</f>
        <v/>
      </c>
      <c r="AK1779">
        <f>IF([3]Entry!$K$1782="","",[3]Entry!$K$1782)</f>
        <v/>
      </c>
      <c r="AL1779">
        <f>IF([3]Entry!$L$1782="","",[3]Entry!$L$1782)</f>
        <v/>
      </c>
      <c r="AM1779">
        <f>IF([3]Entry!$M$1782="","",[3]Entry!$M$1782)</f>
        <v/>
      </c>
      <c r="AN1779">
        <f>IF([3]Entry!$N$1782="","",[3]Entry!$N$1782)</f>
        <v/>
      </c>
      <c r="AO1779">
        <f>IF([3]Entry!$R$1782="","",[3]Entry!$R$1782)</f>
        <v/>
      </c>
    </row>
    <row r="1780">
      <c r="U1780">
        <f>IF([2]Baskol!$B$1783="","",[2]Baskol!$B$1783)</f>
        <v/>
      </c>
      <c r="V1780">
        <f>IF([2]Baskol!$C$1783="","",[2]Baskol!$C$1783)</f>
        <v/>
      </c>
      <c r="W1780">
        <f>IF([2]Baskol!$D$1783="","",[2]Baskol!$D$1783)</f>
        <v/>
      </c>
      <c r="X1780">
        <f>IF([2]Baskol!$E$1783="","",[2]Baskol!$E$1783)</f>
        <v/>
      </c>
      <c r="Y1780">
        <f>IF([2]Baskol!$G$1783="","",[2]Baskol!$G$1783)</f>
        <v/>
      </c>
      <c r="Z1780">
        <f>IF([2]Baskol!$I$1783="","",[2]Baskol!$I$1783)</f>
        <v/>
      </c>
      <c r="AA1780">
        <f>IF([2]Baskol!$J$1783="","",[2]Baskol!$J$1783)</f>
        <v/>
      </c>
      <c r="AB1780">
        <f>IF([2]Baskol!$K$1783="","",[2]Baskol!$K$1783)</f>
        <v/>
      </c>
      <c r="AC1780">
        <f>IF([2]Baskol!$L$1783="","",[2]Baskol!$L$1783)</f>
        <v/>
      </c>
      <c r="AD1780">
        <f>IF([2]Baskol!$N$1783="","",[2]Baskol!$N$1783)</f>
        <v/>
      </c>
      <c r="AE1780">
        <f>IF([2]Baskol!$O$1783="","",[2]Baskol!$O$1783)</f>
        <v/>
      </c>
      <c r="AG1780">
        <f>IF([3]Entry!$C$1783="","",[3]Entry!$C$1783)</f>
        <v/>
      </c>
      <c r="AH1780">
        <f>IF([3]Entry!$D$1783="","",[3]Entry!$D$1783)</f>
        <v/>
      </c>
      <c r="AI1780">
        <f>IF([3]Entry!$E$1783="","",[3]Entry!$E$1783)</f>
        <v/>
      </c>
      <c r="AJ1780">
        <f>IF([3]Entry!$G$1783="","",[3]Entry!$G$1783)</f>
        <v/>
      </c>
      <c r="AK1780">
        <f>IF([3]Entry!$K$1783="","",[3]Entry!$K$1783)</f>
        <v/>
      </c>
      <c r="AL1780">
        <f>IF([3]Entry!$L$1783="","",[3]Entry!$L$1783)</f>
        <v/>
      </c>
      <c r="AM1780">
        <f>IF([3]Entry!$M$1783="","",[3]Entry!$M$1783)</f>
        <v/>
      </c>
      <c r="AN1780">
        <f>IF([3]Entry!$N$1783="","",[3]Entry!$N$1783)</f>
        <v/>
      </c>
      <c r="AO1780">
        <f>IF([3]Entry!$R$1783="","",[3]Entry!$R$1783)</f>
        <v/>
      </c>
    </row>
    <row r="1781">
      <c r="U1781">
        <f>IF([2]Baskol!$B$1784="","",[2]Baskol!$B$1784)</f>
        <v/>
      </c>
      <c r="V1781">
        <f>IF([2]Baskol!$C$1784="","",[2]Baskol!$C$1784)</f>
        <v/>
      </c>
      <c r="W1781">
        <f>IF([2]Baskol!$D$1784="","",[2]Baskol!$D$1784)</f>
        <v/>
      </c>
      <c r="X1781">
        <f>IF([2]Baskol!$E$1784="","",[2]Baskol!$E$1784)</f>
        <v/>
      </c>
      <c r="Y1781">
        <f>IF([2]Baskol!$G$1784="","",[2]Baskol!$G$1784)</f>
        <v/>
      </c>
      <c r="Z1781">
        <f>IF([2]Baskol!$I$1784="","",[2]Baskol!$I$1784)</f>
        <v/>
      </c>
      <c r="AA1781">
        <f>IF([2]Baskol!$J$1784="","",[2]Baskol!$J$1784)</f>
        <v/>
      </c>
      <c r="AB1781">
        <f>IF([2]Baskol!$K$1784="","",[2]Baskol!$K$1784)</f>
        <v/>
      </c>
      <c r="AC1781">
        <f>IF([2]Baskol!$L$1784="","",[2]Baskol!$L$1784)</f>
        <v/>
      </c>
      <c r="AD1781">
        <f>IF([2]Baskol!$N$1784="","",[2]Baskol!$N$1784)</f>
        <v/>
      </c>
      <c r="AE1781">
        <f>IF([2]Baskol!$O$1784="","",[2]Baskol!$O$1784)</f>
        <v/>
      </c>
      <c r="AG1781">
        <f>IF([3]Entry!$C$1784="","",[3]Entry!$C$1784)</f>
        <v/>
      </c>
      <c r="AH1781">
        <f>IF([3]Entry!$D$1784="","",[3]Entry!$D$1784)</f>
        <v/>
      </c>
      <c r="AI1781">
        <f>IF([3]Entry!$E$1784="","",[3]Entry!$E$1784)</f>
        <v/>
      </c>
      <c r="AJ1781">
        <f>IF([3]Entry!$G$1784="","",[3]Entry!$G$1784)</f>
        <v/>
      </c>
      <c r="AK1781">
        <f>IF([3]Entry!$K$1784="","",[3]Entry!$K$1784)</f>
        <v/>
      </c>
      <c r="AL1781">
        <f>IF([3]Entry!$L$1784="","",[3]Entry!$L$1784)</f>
        <v/>
      </c>
      <c r="AM1781">
        <f>IF([3]Entry!$M$1784="","",[3]Entry!$M$1784)</f>
        <v/>
      </c>
      <c r="AN1781">
        <f>IF([3]Entry!$N$1784="","",[3]Entry!$N$1784)</f>
        <v/>
      </c>
      <c r="AO1781">
        <f>IF([3]Entry!$R$1784="","",[3]Entry!$R$1784)</f>
        <v/>
      </c>
    </row>
    <row r="1782">
      <c r="U1782">
        <f>IF([2]Baskol!$B$1785="","",[2]Baskol!$B$1785)</f>
        <v/>
      </c>
      <c r="V1782">
        <f>IF([2]Baskol!$C$1785="","",[2]Baskol!$C$1785)</f>
        <v/>
      </c>
      <c r="W1782">
        <f>IF([2]Baskol!$D$1785="","",[2]Baskol!$D$1785)</f>
        <v/>
      </c>
      <c r="X1782">
        <f>IF([2]Baskol!$E$1785="","",[2]Baskol!$E$1785)</f>
        <v/>
      </c>
      <c r="Y1782">
        <f>IF([2]Baskol!$G$1785="","",[2]Baskol!$G$1785)</f>
        <v/>
      </c>
      <c r="Z1782">
        <f>IF([2]Baskol!$I$1785="","",[2]Baskol!$I$1785)</f>
        <v/>
      </c>
      <c r="AA1782">
        <f>IF([2]Baskol!$J$1785="","",[2]Baskol!$J$1785)</f>
        <v/>
      </c>
      <c r="AB1782">
        <f>IF([2]Baskol!$K$1785="","",[2]Baskol!$K$1785)</f>
        <v/>
      </c>
      <c r="AC1782">
        <f>IF([2]Baskol!$L$1785="","",[2]Baskol!$L$1785)</f>
        <v/>
      </c>
      <c r="AD1782">
        <f>IF([2]Baskol!$N$1785="","",[2]Baskol!$N$1785)</f>
        <v/>
      </c>
      <c r="AE1782">
        <f>IF([2]Baskol!$O$1785="","",[2]Baskol!$O$1785)</f>
        <v/>
      </c>
      <c r="AG1782">
        <f>IF([3]Entry!$C$1785="","",[3]Entry!$C$1785)</f>
        <v/>
      </c>
      <c r="AH1782">
        <f>IF([3]Entry!$D$1785="","",[3]Entry!$D$1785)</f>
        <v/>
      </c>
      <c r="AI1782">
        <f>IF([3]Entry!$E$1785="","",[3]Entry!$E$1785)</f>
        <v/>
      </c>
      <c r="AJ1782">
        <f>IF([3]Entry!$G$1785="","",[3]Entry!$G$1785)</f>
        <v/>
      </c>
      <c r="AK1782">
        <f>IF([3]Entry!$K$1785="","",[3]Entry!$K$1785)</f>
        <v/>
      </c>
      <c r="AL1782">
        <f>IF([3]Entry!$L$1785="","",[3]Entry!$L$1785)</f>
        <v/>
      </c>
      <c r="AM1782">
        <f>IF([3]Entry!$M$1785="","",[3]Entry!$M$1785)</f>
        <v/>
      </c>
      <c r="AN1782">
        <f>IF([3]Entry!$N$1785="","",[3]Entry!$N$1785)</f>
        <v/>
      </c>
      <c r="AO1782">
        <f>IF([3]Entry!$R$1785="","",[3]Entry!$R$1785)</f>
        <v/>
      </c>
    </row>
    <row r="1783">
      <c r="U1783">
        <f>IF([2]Baskol!$B$1786="","",[2]Baskol!$B$1786)</f>
        <v/>
      </c>
      <c r="V1783">
        <f>IF([2]Baskol!$C$1786="","",[2]Baskol!$C$1786)</f>
        <v/>
      </c>
      <c r="W1783">
        <f>IF([2]Baskol!$D$1786="","",[2]Baskol!$D$1786)</f>
        <v/>
      </c>
      <c r="X1783">
        <f>IF([2]Baskol!$E$1786="","",[2]Baskol!$E$1786)</f>
        <v/>
      </c>
      <c r="Y1783">
        <f>IF([2]Baskol!$G$1786="","",[2]Baskol!$G$1786)</f>
        <v/>
      </c>
      <c r="Z1783">
        <f>IF([2]Baskol!$I$1786="","",[2]Baskol!$I$1786)</f>
        <v/>
      </c>
      <c r="AA1783">
        <f>IF([2]Baskol!$J$1786="","",[2]Baskol!$J$1786)</f>
        <v/>
      </c>
      <c r="AB1783">
        <f>IF([2]Baskol!$K$1786="","",[2]Baskol!$K$1786)</f>
        <v/>
      </c>
      <c r="AC1783">
        <f>IF([2]Baskol!$L$1786="","",[2]Baskol!$L$1786)</f>
        <v/>
      </c>
      <c r="AD1783">
        <f>IF([2]Baskol!$N$1786="","",[2]Baskol!$N$1786)</f>
        <v/>
      </c>
      <c r="AE1783">
        <f>IF([2]Baskol!$O$1786="","",[2]Baskol!$O$1786)</f>
        <v/>
      </c>
      <c r="AG1783">
        <f>IF([3]Entry!$C$1786="","",[3]Entry!$C$1786)</f>
        <v/>
      </c>
      <c r="AH1783">
        <f>IF([3]Entry!$D$1786="","",[3]Entry!$D$1786)</f>
        <v/>
      </c>
      <c r="AI1783">
        <f>IF([3]Entry!$E$1786="","",[3]Entry!$E$1786)</f>
        <v/>
      </c>
      <c r="AJ1783">
        <f>IF([3]Entry!$G$1786="","",[3]Entry!$G$1786)</f>
        <v/>
      </c>
      <c r="AK1783">
        <f>IF([3]Entry!$K$1786="","",[3]Entry!$K$1786)</f>
        <v/>
      </c>
      <c r="AL1783">
        <f>IF([3]Entry!$L$1786="","",[3]Entry!$L$1786)</f>
        <v/>
      </c>
      <c r="AM1783">
        <f>IF([3]Entry!$M$1786="","",[3]Entry!$M$1786)</f>
        <v/>
      </c>
      <c r="AN1783">
        <f>IF([3]Entry!$N$1786="","",[3]Entry!$N$1786)</f>
        <v/>
      </c>
      <c r="AO1783">
        <f>IF([3]Entry!$R$1786="","",[3]Entry!$R$1786)</f>
        <v/>
      </c>
    </row>
    <row r="1784">
      <c r="U1784">
        <f>IF([2]Baskol!$B$1787="","",[2]Baskol!$B$1787)</f>
        <v/>
      </c>
      <c r="V1784">
        <f>IF([2]Baskol!$C$1787="","",[2]Baskol!$C$1787)</f>
        <v/>
      </c>
      <c r="W1784">
        <f>IF([2]Baskol!$D$1787="","",[2]Baskol!$D$1787)</f>
        <v/>
      </c>
      <c r="X1784">
        <f>IF([2]Baskol!$E$1787="","",[2]Baskol!$E$1787)</f>
        <v/>
      </c>
      <c r="Y1784">
        <f>IF([2]Baskol!$G$1787="","",[2]Baskol!$G$1787)</f>
        <v/>
      </c>
      <c r="Z1784">
        <f>IF([2]Baskol!$I$1787="","",[2]Baskol!$I$1787)</f>
        <v/>
      </c>
      <c r="AA1784">
        <f>IF([2]Baskol!$J$1787="","",[2]Baskol!$J$1787)</f>
        <v/>
      </c>
      <c r="AB1784">
        <f>IF([2]Baskol!$K$1787="","",[2]Baskol!$K$1787)</f>
        <v/>
      </c>
      <c r="AC1784">
        <f>IF([2]Baskol!$L$1787="","",[2]Baskol!$L$1787)</f>
        <v/>
      </c>
      <c r="AD1784">
        <f>IF([2]Baskol!$N$1787="","",[2]Baskol!$N$1787)</f>
        <v/>
      </c>
      <c r="AE1784">
        <f>IF([2]Baskol!$O$1787="","",[2]Baskol!$O$1787)</f>
        <v/>
      </c>
      <c r="AG1784">
        <f>IF([3]Entry!$C$1787="","",[3]Entry!$C$1787)</f>
        <v/>
      </c>
      <c r="AH1784">
        <f>IF([3]Entry!$D$1787="","",[3]Entry!$D$1787)</f>
        <v/>
      </c>
      <c r="AI1784">
        <f>IF([3]Entry!$E$1787="","",[3]Entry!$E$1787)</f>
        <v/>
      </c>
      <c r="AJ1784">
        <f>IF([3]Entry!$G$1787="","",[3]Entry!$G$1787)</f>
        <v/>
      </c>
      <c r="AK1784">
        <f>IF([3]Entry!$K$1787="","",[3]Entry!$K$1787)</f>
        <v/>
      </c>
      <c r="AL1784">
        <f>IF([3]Entry!$L$1787="","",[3]Entry!$L$1787)</f>
        <v/>
      </c>
      <c r="AM1784">
        <f>IF([3]Entry!$M$1787="","",[3]Entry!$M$1787)</f>
        <v/>
      </c>
      <c r="AN1784">
        <f>IF([3]Entry!$N$1787="","",[3]Entry!$N$1787)</f>
        <v/>
      </c>
      <c r="AO1784">
        <f>IF([3]Entry!$R$1787="","",[3]Entry!$R$1787)</f>
        <v/>
      </c>
    </row>
    <row r="1785">
      <c r="U1785">
        <f>IF([2]Baskol!$B$1788="","",[2]Baskol!$B$1788)</f>
        <v/>
      </c>
      <c r="V1785">
        <f>IF([2]Baskol!$C$1788="","",[2]Baskol!$C$1788)</f>
        <v/>
      </c>
      <c r="W1785">
        <f>IF([2]Baskol!$D$1788="","",[2]Baskol!$D$1788)</f>
        <v/>
      </c>
      <c r="X1785">
        <f>IF([2]Baskol!$E$1788="","",[2]Baskol!$E$1788)</f>
        <v/>
      </c>
      <c r="Y1785">
        <f>IF([2]Baskol!$G$1788="","",[2]Baskol!$G$1788)</f>
        <v/>
      </c>
      <c r="Z1785">
        <f>IF([2]Baskol!$I$1788="","",[2]Baskol!$I$1788)</f>
        <v/>
      </c>
      <c r="AA1785">
        <f>IF([2]Baskol!$J$1788="","",[2]Baskol!$J$1788)</f>
        <v/>
      </c>
      <c r="AB1785">
        <f>IF([2]Baskol!$K$1788="","",[2]Baskol!$K$1788)</f>
        <v/>
      </c>
      <c r="AC1785">
        <f>IF([2]Baskol!$L$1788="","",[2]Baskol!$L$1788)</f>
        <v/>
      </c>
      <c r="AD1785">
        <f>IF([2]Baskol!$N$1788="","",[2]Baskol!$N$1788)</f>
        <v/>
      </c>
      <c r="AE1785">
        <f>IF([2]Baskol!$O$1788="","",[2]Baskol!$O$1788)</f>
        <v/>
      </c>
      <c r="AG1785">
        <f>IF([3]Entry!$C$1788="","",[3]Entry!$C$1788)</f>
        <v/>
      </c>
      <c r="AH1785">
        <f>IF([3]Entry!$D$1788="","",[3]Entry!$D$1788)</f>
        <v/>
      </c>
      <c r="AI1785">
        <f>IF([3]Entry!$E$1788="","",[3]Entry!$E$1788)</f>
        <v/>
      </c>
      <c r="AJ1785">
        <f>IF([3]Entry!$G$1788="","",[3]Entry!$G$1788)</f>
        <v/>
      </c>
      <c r="AK1785">
        <f>IF([3]Entry!$K$1788="","",[3]Entry!$K$1788)</f>
        <v/>
      </c>
      <c r="AL1785">
        <f>IF([3]Entry!$L$1788="","",[3]Entry!$L$1788)</f>
        <v/>
      </c>
      <c r="AM1785">
        <f>IF([3]Entry!$M$1788="","",[3]Entry!$M$1788)</f>
        <v/>
      </c>
      <c r="AN1785">
        <f>IF([3]Entry!$N$1788="","",[3]Entry!$N$1788)</f>
        <v/>
      </c>
      <c r="AO1785">
        <f>IF([3]Entry!$R$1788="","",[3]Entry!$R$1788)</f>
        <v/>
      </c>
    </row>
    <row r="1786">
      <c r="U1786">
        <f>IF([2]Baskol!$B$1789="","",[2]Baskol!$B$1789)</f>
        <v/>
      </c>
      <c r="V1786">
        <f>IF([2]Baskol!$C$1789="","",[2]Baskol!$C$1789)</f>
        <v/>
      </c>
      <c r="W1786">
        <f>IF([2]Baskol!$D$1789="","",[2]Baskol!$D$1789)</f>
        <v/>
      </c>
      <c r="X1786">
        <f>IF([2]Baskol!$E$1789="","",[2]Baskol!$E$1789)</f>
        <v/>
      </c>
      <c r="Y1786">
        <f>IF([2]Baskol!$G$1789="","",[2]Baskol!$G$1789)</f>
        <v/>
      </c>
      <c r="Z1786">
        <f>IF([2]Baskol!$I$1789="","",[2]Baskol!$I$1789)</f>
        <v/>
      </c>
      <c r="AA1786">
        <f>IF([2]Baskol!$J$1789="","",[2]Baskol!$J$1789)</f>
        <v/>
      </c>
      <c r="AB1786">
        <f>IF([2]Baskol!$K$1789="","",[2]Baskol!$K$1789)</f>
        <v/>
      </c>
      <c r="AC1786">
        <f>IF([2]Baskol!$L$1789="","",[2]Baskol!$L$1789)</f>
        <v/>
      </c>
      <c r="AD1786">
        <f>IF([2]Baskol!$N$1789="","",[2]Baskol!$N$1789)</f>
        <v/>
      </c>
      <c r="AE1786">
        <f>IF([2]Baskol!$O$1789="","",[2]Baskol!$O$1789)</f>
        <v/>
      </c>
      <c r="AG1786">
        <f>IF([3]Entry!$C$1789="","",[3]Entry!$C$1789)</f>
        <v/>
      </c>
      <c r="AH1786">
        <f>IF([3]Entry!$D$1789="","",[3]Entry!$D$1789)</f>
        <v/>
      </c>
      <c r="AI1786">
        <f>IF([3]Entry!$E$1789="","",[3]Entry!$E$1789)</f>
        <v/>
      </c>
      <c r="AJ1786">
        <f>IF([3]Entry!$G$1789="","",[3]Entry!$G$1789)</f>
        <v/>
      </c>
      <c r="AK1786">
        <f>IF([3]Entry!$K$1789="","",[3]Entry!$K$1789)</f>
        <v/>
      </c>
      <c r="AL1786">
        <f>IF([3]Entry!$L$1789="","",[3]Entry!$L$1789)</f>
        <v/>
      </c>
      <c r="AM1786">
        <f>IF([3]Entry!$M$1789="","",[3]Entry!$M$1789)</f>
        <v/>
      </c>
      <c r="AN1786">
        <f>IF([3]Entry!$N$1789="","",[3]Entry!$N$1789)</f>
        <v/>
      </c>
      <c r="AO1786">
        <f>IF([3]Entry!$R$1789="","",[3]Entry!$R$1789)</f>
        <v/>
      </c>
    </row>
    <row r="1787">
      <c r="U1787">
        <f>IF([2]Baskol!$B$1790="","",[2]Baskol!$B$1790)</f>
        <v/>
      </c>
      <c r="V1787">
        <f>IF([2]Baskol!$C$1790="","",[2]Baskol!$C$1790)</f>
        <v/>
      </c>
      <c r="W1787">
        <f>IF([2]Baskol!$D$1790="","",[2]Baskol!$D$1790)</f>
        <v/>
      </c>
      <c r="X1787">
        <f>IF([2]Baskol!$E$1790="","",[2]Baskol!$E$1790)</f>
        <v/>
      </c>
      <c r="Y1787">
        <f>IF([2]Baskol!$G$1790="","",[2]Baskol!$G$1790)</f>
        <v/>
      </c>
      <c r="Z1787">
        <f>IF([2]Baskol!$I$1790="","",[2]Baskol!$I$1790)</f>
        <v/>
      </c>
      <c r="AA1787">
        <f>IF([2]Baskol!$J$1790="","",[2]Baskol!$J$1790)</f>
        <v/>
      </c>
      <c r="AB1787">
        <f>IF([2]Baskol!$K$1790="","",[2]Baskol!$K$1790)</f>
        <v/>
      </c>
      <c r="AC1787">
        <f>IF([2]Baskol!$L$1790="","",[2]Baskol!$L$1790)</f>
        <v/>
      </c>
      <c r="AD1787">
        <f>IF([2]Baskol!$N$1790="","",[2]Baskol!$N$1790)</f>
        <v/>
      </c>
      <c r="AE1787">
        <f>IF([2]Baskol!$O$1790="","",[2]Baskol!$O$1790)</f>
        <v/>
      </c>
      <c r="AG1787">
        <f>IF([3]Entry!$C$1790="","",[3]Entry!$C$1790)</f>
        <v/>
      </c>
      <c r="AH1787">
        <f>IF([3]Entry!$D$1790="","",[3]Entry!$D$1790)</f>
        <v/>
      </c>
      <c r="AI1787">
        <f>IF([3]Entry!$E$1790="","",[3]Entry!$E$1790)</f>
        <v/>
      </c>
      <c r="AJ1787">
        <f>IF([3]Entry!$G$1790="","",[3]Entry!$G$1790)</f>
        <v/>
      </c>
      <c r="AK1787">
        <f>IF([3]Entry!$K$1790="","",[3]Entry!$K$1790)</f>
        <v/>
      </c>
      <c r="AL1787">
        <f>IF([3]Entry!$L$1790="","",[3]Entry!$L$1790)</f>
        <v/>
      </c>
      <c r="AM1787">
        <f>IF([3]Entry!$M$1790="","",[3]Entry!$M$1790)</f>
        <v/>
      </c>
      <c r="AN1787">
        <f>IF([3]Entry!$N$1790="","",[3]Entry!$N$1790)</f>
        <v/>
      </c>
      <c r="AO1787">
        <f>IF([3]Entry!$R$1790="","",[3]Entry!$R$1790)</f>
        <v/>
      </c>
    </row>
    <row r="1788">
      <c r="U1788">
        <f>IF([2]Baskol!$B$1791="","",[2]Baskol!$B$1791)</f>
        <v/>
      </c>
      <c r="V1788">
        <f>IF([2]Baskol!$C$1791="","",[2]Baskol!$C$1791)</f>
        <v/>
      </c>
      <c r="W1788">
        <f>IF([2]Baskol!$D$1791="","",[2]Baskol!$D$1791)</f>
        <v/>
      </c>
      <c r="X1788">
        <f>IF([2]Baskol!$E$1791="","",[2]Baskol!$E$1791)</f>
        <v/>
      </c>
      <c r="Y1788">
        <f>IF([2]Baskol!$G$1791="","",[2]Baskol!$G$1791)</f>
        <v/>
      </c>
      <c r="Z1788">
        <f>IF([2]Baskol!$I$1791="","",[2]Baskol!$I$1791)</f>
        <v/>
      </c>
      <c r="AA1788">
        <f>IF([2]Baskol!$J$1791="","",[2]Baskol!$J$1791)</f>
        <v/>
      </c>
      <c r="AB1788">
        <f>IF([2]Baskol!$K$1791="","",[2]Baskol!$K$1791)</f>
        <v/>
      </c>
      <c r="AC1788">
        <f>IF([2]Baskol!$L$1791="","",[2]Baskol!$L$1791)</f>
        <v/>
      </c>
      <c r="AD1788">
        <f>IF([2]Baskol!$N$1791="","",[2]Baskol!$N$1791)</f>
        <v/>
      </c>
      <c r="AE1788">
        <f>IF([2]Baskol!$O$1791="","",[2]Baskol!$O$1791)</f>
        <v/>
      </c>
      <c r="AG1788">
        <f>IF([3]Entry!$C$1791="","",[3]Entry!$C$1791)</f>
        <v/>
      </c>
      <c r="AH1788">
        <f>IF([3]Entry!$D$1791="","",[3]Entry!$D$1791)</f>
        <v/>
      </c>
      <c r="AI1788">
        <f>IF([3]Entry!$E$1791="","",[3]Entry!$E$1791)</f>
        <v/>
      </c>
      <c r="AJ1788">
        <f>IF([3]Entry!$G$1791="","",[3]Entry!$G$1791)</f>
        <v/>
      </c>
      <c r="AK1788">
        <f>IF([3]Entry!$K$1791="","",[3]Entry!$K$1791)</f>
        <v/>
      </c>
      <c r="AL1788">
        <f>IF([3]Entry!$L$1791="","",[3]Entry!$L$1791)</f>
        <v/>
      </c>
      <c r="AM1788">
        <f>IF([3]Entry!$M$1791="","",[3]Entry!$M$1791)</f>
        <v/>
      </c>
      <c r="AN1788">
        <f>IF([3]Entry!$N$1791="","",[3]Entry!$N$1791)</f>
        <v/>
      </c>
      <c r="AO1788">
        <f>IF([3]Entry!$R$1791="","",[3]Entry!$R$1791)</f>
        <v/>
      </c>
    </row>
    <row r="1789">
      <c r="U1789">
        <f>IF([2]Baskol!$B$1792="","",[2]Baskol!$B$1792)</f>
        <v/>
      </c>
      <c r="V1789">
        <f>IF([2]Baskol!$C$1792="","",[2]Baskol!$C$1792)</f>
        <v/>
      </c>
      <c r="W1789">
        <f>IF([2]Baskol!$D$1792="","",[2]Baskol!$D$1792)</f>
        <v/>
      </c>
      <c r="X1789">
        <f>IF([2]Baskol!$E$1792="","",[2]Baskol!$E$1792)</f>
        <v/>
      </c>
      <c r="Y1789">
        <f>IF([2]Baskol!$G$1792="","",[2]Baskol!$G$1792)</f>
        <v/>
      </c>
      <c r="Z1789">
        <f>IF([2]Baskol!$I$1792="","",[2]Baskol!$I$1792)</f>
        <v/>
      </c>
      <c r="AA1789">
        <f>IF([2]Baskol!$J$1792="","",[2]Baskol!$J$1792)</f>
        <v/>
      </c>
      <c r="AB1789">
        <f>IF([2]Baskol!$K$1792="","",[2]Baskol!$K$1792)</f>
        <v/>
      </c>
      <c r="AC1789">
        <f>IF([2]Baskol!$L$1792="","",[2]Baskol!$L$1792)</f>
        <v/>
      </c>
      <c r="AD1789">
        <f>IF([2]Baskol!$N$1792="","",[2]Baskol!$N$1792)</f>
        <v/>
      </c>
      <c r="AE1789">
        <f>IF([2]Baskol!$O$1792="","",[2]Baskol!$O$1792)</f>
        <v/>
      </c>
      <c r="AG1789">
        <f>IF([3]Entry!$C$1792="","",[3]Entry!$C$1792)</f>
        <v/>
      </c>
      <c r="AH1789">
        <f>IF([3]Entry!$D$1792="","",[3]Entry!$D$1792)</f>
        <v/>
      </c>
      <c r="AI1789">
        <f>IF([3]Entry!$E$1792="","",[3]Entry!$E$1792)</f>
        <v/>
      </c>
      <c r="AJ1789">
        <f>IF([3]Entry!$G$1792="","",[3]Entry!$G$1792)</f>
        <v/>
      </c>
      <c r="AK1789">
        <f>IF([3]Entry!$K$1792="","",[3]Entry!$K$1792)</f>
        <v/>
      </c>
      <c r="AL1789">
        <f>IF([3]Entry!$L$1792="","",[3]Entry!$L$1792)</f>
        <v/>
      </c>
      <c r="AM1789">
        <f>IF([3]Entry!$M$1792="","",[3]Entry!$M$1792)</f>
        <v/>
      </c>
      <c r="AN1789">
        <f>IF([3]Entry!$N$1792="","",[3]Entry!$N$1792)</f>
        <v/>
      </c>
      <c r="AO1789">
        <f>IF([3]Entry!$R$1792="","",[3]Entry!$R$1792)</f>
        <v/>
      </c>
    </row>
    <row r="1790">
      <c r="U1790">
        <f>IF([2]Baskol!$B$1793="","",[2]Baskol!$B$1793)</f>
        <v/>
      </c>
      <c r="V1790">
        <f>IF([2]Baskol!$C$1793="","",[2]Baskol!$C$1793)</f>
        <v/>
      </c>
      <c r="W1790">
        <f>IF([2]Baskol!$D$1793="","",[2]Baskol!$D$1793)</f>
        <v/>
      </c>
      <c r="X1790">
        <f>IF([2]Baskol!$E$1793="","",[2]Baskol!$E$1793)</f>
        <v/>
      </c>
      <c r="Y1790">
        <f>IF([2]Baskol!$G$1793="","",[2]Baskol!$G$1793)</f>
        <v/>
      </c>
      <c r="Z1790">
        <f>IF([2]Baskol!$I$1793="","",[2]Baskol!$I$1793)</f>
        <v/>
      </c>
      <c r="AA1790">
        <f>IF([2]Baskol!$J$1793="","",[2]Baskol!$J$1793)</f>
        <v/>
      </c>
      <c r="AB1790">
        <f>IF([2]Baskol!$K$1793="","",[2]Baskol!$K$1793)</f>
        <v/>
      </c>
      <c r="AC1790">
        <f>IF([2]Baskol!$L$1793="","",[2]Baskol!$L$1793)</f>
        <v/>
      </c>
      <c r="AD1790">
        <f>IF([2]Baskol!$N$1793="","",[2]Baskol!$N$1793)</f>
        <v/>
      </c>
      <c r="AE1790">
        <f>IF([2]Baskol!$O$1793="","",[2]Baskol!$O$1793)</f>
        <v/>
      </c>
      <c r="AG1790">
        <f>IF([3]Entry!$C$1793="","",[3]Entry!$C$1793)</f>
        <v/>
      </c>
      <c r="AH1790">
        <f>IF([3]Entry!$D$1793="","",[3]Entry!$D$1793)</f>
        <v/>
      </c>
      <c r="AI1790">
        <f>IF([3]Entry!$E$1793="","",[3]Entry!$E$1793)</f>
        <v/>
      </c>
      <c r="AJ1790">
        <f>IF([3]Entry!$G$1793="","",[3]Entry!$G$1793)</f>
        <v/>
      </c>
      <c r="AK1790">
        <f>IF([3]Entry!$K$1793="","",[3]Entry!$K$1793)</f>
        <v/>
      </c>
      <c r="AL1790">
        <f>IF([3]Entry!$L$1793="","",[3]Entry!$L$1793)</f>
        <v/>
      </c>
      <c r="AM1790">
        <f>IF([3]Entry!$M$1793="","",[3]Entry!$M$1793)</f>
        <v/>
      </c>
      <c r="AN1790">
        <f>IF([3]Entry!$N$1793="","",[3]Entry!$N$1793)</f>
        <v/>
      </c>
      <c r="AO1790">
        <f>IF([3]Entry!$R$1793="","",[3]Entry!$R$1793)</f>
        <v/>
      </c>
    </row>
    <row r="1791">
      <c r="U1791">
        <f>IF([2]Baskol!$B$1794="","",[2]Baskol!$B$1794)</f>
        <v/>
      </c>
      <c r="V1791">
        <f>IF([2]Baskol!$C$1794="","",[2]Baskol!$C$1794)</f>
        <v/>
      </c>
      <c r="W1791">
        <f>IF([2]Baskol!$D$1794="","",[2]Baskol!$D$1794)</f>
        <v/>
      </c>
      <c r="X1791">
        <f>IF([2]Baskol!$E$1794="","",[2]Baskol!$E$1794)</f>
        <v/>
      </c>
      <c r="Y1791">
        <f>IF([2]Baskol!$G$1794="","",[2]Baskol!$G$1794)</f>
        <v/>
      </c>
      <c r="Z1791">
        <f>IF([2]Baskol!$I$1794="","",[2]Baskol!$I$1794)</f>
        <v/>
      </c>
      <c r="AA1791">
        <f>IF([2]Baskol!$J$1794="","",[2]Baskol!$J$1794)</f>
        <v/>
      </c>
      <c r="AB1791">
        <f>IF([2]Baskol!$K$1794="","",[2]Baskol!$K$1794)</f>
        <v/>
      </c>
      <c r="AC1791">
        <f>IF([2]Baskol!$L$1794="","",[2]Baskol!$L$1794)</f>
        <v/>
      </c>
      <c r="AD1791">
        <f>IF([2]Baskol!$N$1794="","",[2]Baskol!$N$1794)</f>
        <v/>
      </c>
      <c r="AE1791">
        <f>IF([2]Baskol!$O$1794="","",[2]Baskol!$O$1794)</f>
        <v/>
      </c>
      <c r="AG1791">
        <f>IF([3]Entry!$C$1794="","",[3]Entry!$C$1794)</f>
        <v/>
      </c>
      <c r="AH1791">
        <f>IF([3]Entry!$D$1794="","",[3]Entry!$D$1794)</f>
        <v/>
      </c>
      <c r="AI1791">
        <f>IF([3]Entry!$E$1794="","",[3]Entry!$E$1794)</f>
        <v/>
      </c>
      <c r="AJ1791">
        <f>IF([3]Entry!$G$1794="","",[3]Entry!$G$1794)</f>
        <v/>
      </c>
      <c r="AK1791">
        <f>IF([3]Entry!$K$1794="","",[3]Entry!$K$1794)</f>
        <v/>
      </c>
      <c r="AL1791">
        <f>IF([3]Entry!$L$1794="","",[3]Entry!$L$1794)</f>
        <v/>
      </c>
      <c r="AM1791">
        <f>IF([3]Entry!$M$1794="","",[3]Entry!$M$1794)</f>
        <v/>
      </c>
      <c r="AN1791">
        <f>IF([3]Entry!$N$1794="","",[3]Entry!$N$1794)</f>
        <v/>
      </c>
      <c r="AO1791">
        <f>IF([3]Entry!$R$1794="","",[3]Entry!$R$1794)</f>
        <v/>
      </c>
    </row>
    <row r="1792">
      <c r="U1792">
        <f>IF([2]Baskol!$B$1795="","",[2]Baskol!$B$1795)</f>
        <v/>
      </c>
      <c r="V1792">
        <f>IF([2]Baskol!$C$1795="","",[2]Baskol!$C$1795)</f>
        <v/>
      </c>
      <c r="W1792">
        <f>IF([2]Baskol!$D$1795="","",[2]Baskol!$D$1795)</f>
        <v/>
      </c>
      <c r="X1792">
        <f>IF([2]Baskol!$E$1795="","",[2]Baskol!$E$1795)</f>
        <v/>
      </c>
      <c r="Y1792">
        <f>IF([2]Baskol!$G$1795="","",[2]Baskol!$G$1795)</f>
        <v/>
      </c>
      <c r="Z1792">
        <f>IF([2]Baskol!$I$1795="","",[2]Baskol!$I$1795)</f>
        <v/>
      </c>
      <c r="AA1792">
        <f>IF([2]Baskol!$J$1795="","",[2]Baskol!$J$1795)</f>
        <v/>
      </c>
      <c r="AB1792">
        <f>IF([2]Baskol!$K$1795="","",[2]Baskol!$K$1795)</f>
        <v/>
      </c>
      <c r="AC1792">
        <f>IF([2]Baskol!$L$1795="","",[2]Baskol!$L$1795)</f>
        <v/>
      </c>
      <c r="AD1792">
        <f>IF([2]Baskol!$N$1795="","",[2]Baskol!$N$1795)</f>
        <v/>
      </c>
      <c r="AE1792">
        <f>IF([2]Baskol!$O$1795="","",[2]Baskol!$O$1795)</f>
        <v/>
      </c>
      <c r="AG1792">
        <f>IF([3]Entry!$C$1795="","",[3]Entry!$C$1795)</f>
        <v/>
      </c>
      <c r="AH1792">
        <f>IF([3]Entry!$D$1795="","",[3]Entry!$D$1795)</f>
        <v/>
      </c>
      <c r="AI1792">
        <f>IF([3]Entry!$E$1795="","",[3]Entry!$E$1795)</f>
        <v/>
      </c>
      <c r="AJ1792">
        <f>IF([3]Entry!$G$1795="","",[3]Entry!$G$1795)</f>
        <v/>
      </c>
      <c r="AK1792">
        <f>IF([3]Entry!$K$1795="","",[3]Entry!$K$1795)</f>
        <v/>
      </c>
      <c r="AL1792">
        <f>IF([3]Entry!$L$1795="","",[3]Entry!$L$1795)</f>
        <v/>
      </c>
      <c r="AM1792">
        <f>IF([3]Entry!$M$1795="","",[3]Entry!$M$1795)</f>
        <v/>
      </c>
      <c r="AN1792">
        <f>IF([3]Entry!$N$1795="","",[3]Entry!$N$1795)</f>
        <v/>
      </c>
      <c r="AO1792">
        <f>IF([3]Entry!$R$1795="","",[3]Entry!$R$1795)</f>
        <v/>
      </c>
    </row>
    <row r="1793">
      <c r="U1793">
        <f>IF([2]Baskol!$B$1796="","",[2]Baskol!$B$1796)</f>
        <v/>
      </c>
      <c r="V1793">
        <f>IF([2]Baskol!$C$1796="","",[2]Baskol!$C$1796)</f>
        <v/>
      </c>
      <c r="W1793">
        <f>IF([2]Baskol!$D$1796="","",[2]Baskol!$D$1796)</f>
        <v/>
      </c>
      <c r="X1793">
        <f>IF([2]Baskol!$E$1796="","",[2]Baskol!$E$1796)</f>
        <v/>
      </c>
      <c r="Y1793">
        <f>IF([2]Baskol!$G$1796="","",[2]Baskol!$G$1796)</f>
        <v/>
      </c>
      <c r="Z1793">
        <f>IF([2]Baskol!$I$1796="","",[2]Baskol!$I$1796)</f>
        <v/>
      </c>
      <c r="AA1793">
        <f>IF([2]Baskol!$J$1796="","",[2]Baskol!$J$1796)</f>
        <v/>
      </c>
      <c r="AB1793">
        <f>IF([2]Baskol!$K$1796="","",[2]Baskol!$K$1796)</f>
        <v/>
      </c>
      <c r="AC1793">
        <f>IF([2]Baskol!$L$1796="","",[2]Baskol!$L$1796)</f>
        <v/>
      </c>
      <c r="AD1793">
        <f>IF([2]Baskol!$N$1796="","",[2]Baskol!$N$1796)</f>
        <v/>
      </c>
      <c r="AE1793">
        <f>IF([2]Baskol!$O$1796="","",[2]Baskol!$O$1796)</f>
        <v/>
      </c>
      <c r="AG1793">
        <f>IF([3]Entry!$C$1796="","",[3]Entry!$C$1796)</f>
        <v/>
      </c>
      <c r="AH1793">
        <f>IF([3]Entry!$D$1796="","",[3]Entry!$D$1796)</f>
        <v/>
      </c>
      <c r="AI1793">
        <f>IF([3]Entry!$E$1796="","",[3]Entry!$E$1796)</f>
        <v/>
      </c>
      <c r="AJ1793">
        <f>IF([3]Entry!$G$1796="","",[3]Entry!$G$1796)</f>
        <v/>
      </c>
      <c r="AK1793">
        <f>IF([3]Entry!$K$1796="","",[3]Entry!$K$1796)</f>
        <v/>
      </c>
      <c r="AL1793">
        <f>IF([3]Entry!$L$1796="","",[3]Entry!$L$1796)</f>
        <v/>
      </c>
      <c r="AM1793">
        <f>IF([3]Entry!$M$1796="","",[3]Entry!$M$1796)</f>
        <v/>
      </c>
      <c r="AN1793">
        <f>IF([3]Entry!$N$1796="","",[3]Entry!$N$1796)</f>
        <v/>
      </c>
      <c r="AO1793">
        <f>IF([3]Entry!$R$1796="","",[3]Entry!$R$1796)</f>
        <v/>
      </c>
    </row>
    <row r="1794">
      <c r="U1794">
        <f>IF([2]Baskol!$B$1797="","",[2]Baskol!$B$1797)</f>
        <v/>
      </c>
      <c r="V1794">
        <f>IF([2]Baskol!$C$1797="","",[2]Baskol!$C$1797)</f>
        <v/>
      </c>
      <c r="W1794">
        <f>IF([2]Baskol!$D$1797="","",[2]Baskol!$D$1797)</f>
        <v/>
      </c>
      <c r="X1794">
        <f>IF([2]Baskol!$E$1797="","",[2]Baskol!$E$1797)</f>
        <v/>
      </c>
      <c r="Y1794">
        <f>IF([2]Baskol!$G$1797="","",[2]Baskol!$G$1797)</f>
        <v/>
      </c>
      <c r="Z1794">
        <f>IF([2]Baskol!$I$1797="","",[2]Baskol!$I$1797)</f>
        <v/>
      </c>
      <c r="AA1794">
        <f>IF([2]Baskol!$J$1797="","",[2]Baskol!$J$1797)</f>
        <v/>
      </c>
      <c r="AB1794">
        <f>IF([2]Baskol!$K$1797="","",[2]Baskol!$K$1797)</f>
        <v/>
      </c>
      <c r="AC1794">
        <f>IF([2]Baskol!$L$1797="","",[2]Baskol!$L$1797)</f>
        <v/>
      </c>
      <c r="AD1794">
        <f>IF([2]Baskol!$N$1797="","",[2]Baskol!$N$1797)</f>
        <v/>
      </c>
      <c r="AE1794">
        <f>IF([2]Baskol!$O$1797="","",[2]Baskol!$O$1797)</f>
        <v/>
      </c>
      <c r="AG1794">
        <f>IF([3]Entry!$C$1797="","",[3]Entry!$C$1797)</f>
        <v/>
      </c>
      <c r="AH1794">
        <f>IF([3]Entry!$D$1797="","",[3]Entry!$D$1797)</f>
        <v/>
      </c>
      <c r="AI1794">
        <f>IF([3]Entry!$E$1797="","",[3]Entry!$E$1797)</f>
        <v/>
      </c>
      <c r="AJ1794">
        <f>IF([3]Entry!$G$1797="","",[3]Entry!$G$1797)</f>
        <v/>
      </c>
      <c r="AK1794">
        <f>IF([3]Entry!$K$1797="","",[3]Entry!$K$1797)</f>
        <v/>
      </c>
      <c r="AL1794">
        <f>IF([3]Entry!$L$1797="","",[3]Entry!$L$1797)</f>
        <v/>
      </c>
      <c r="AM1794">
        <f>IF([3]Entry!$M$1797="","",[3]Entry!$M$1797)</f>
        <v/>
      </c>
      <c r="AN1794">
        <f>IF([3]Entry!$N$1797="","",[3]Entry!$N$1797)</f>
        <v/>
      </c>
      <c r="AO1794">
        <f>IF([3]Entry!$R$1797="","",[3]Entry!$R$1797)</f>
        <v/>
      </c>
    </row>
    <row r="1795">
      <c r="U1795">
        <f>IF([2]Baskol!$B$1798="","",[2]Baskol!$B$1798)</f>
        <v/>
      </c>
      <c r="V1795">
        <f>IF([2]Baskol!$C$1798="","",[2]Baskol!$C$1798)</f>
        <v/>
      </c>
      <c r="W1795">
        <f>IF([2]Baskol!$D$1798="","",[2]Baskol!$D$1798)</f>
        <v/>
      </c>
      <c r="X1795">
        <f>IF([2]Baskol!$E$1798="","",[2]Baskol!$E$1798)</f>
        <v/>
      </c>
      <c r="Y1795">
        <f>IF([2]Baskol!$G$1798="","",[2]Baskol!$G$1798)</f>
        <v/>
      </c>
      <c r="Z1795">
        <f>IF([2]Baskol!$I$1798="","",[2]Baskol!$I$1798)</f>
        <v/>
      </c>
      <c r="AA1795">
        <f>IF([2]Baskol!$J$1798="","",[2]Baskol!$J$1798)</f>
        <v/>
      </c>
      <c r="AB1795">
        <f>IF([2]Baskol!$K$1798="","",[2]Baskol!$K$1798)</f>
        <v/>
      </c>
      <c r="AC1795">
        <f>IF([2]Baskol!$L$1798="","",[2]Baskol!$L$1798)</f>
        <v/>
      </c>
      <c r="AD1795">
        <f>IF([2]Baskol!$N$1798="","",[2]Baskol!$N$1798)</f>
        <v/>
      </c>
      <c r="AE1795">
        <f>IF([2]Baskol!$O$1798="","",[2]Baskol!$O$1798)</f>
        <v/>
      </c>
      <c r="AG1795">
        <f>IF([3]Entry!$C$1798="","",[3]Entry!$C$1798)</f>
        <v/>
      </c>
      <c r="AH1795">
        <f>IF([3]Entry!$D$1798="","",[3]Entry!$D$1798)</f>
        <v/>
      </c>
      <c r="AI1795">
        <f>IF([3]Entry!$E$1798="","",[3]Entry!$E$1798)</f>
        <v/>
      </c>
      <c r="AJ1795">
        <f>IF([3]Entry!$G$1798="","",[3]Entry!$G$1798)</f>
        <v/>
      </c>
      <c r="AK1795">
        <f>IF([3]Entry!$K$1798="","",[3]Entry!$K$1798)</f>
        <v/>
      </c>
      <c r="AL1795">
        <f>IF([3]Entry!$L$1798="","",[3]Entry!$L$1798)</f>
        <v/>
      </c>
      <c r="AM1795">
        <f>IF([3]Entry!$M$1798="","",[3]Entry!$M$1798)</f>
        <v/>
      </c>
      <c r="AN1795">
        <f>IF([3]Entry!$N$1798="","",[3]Entry!$N$1798)</f>
        <v/>
      </c>
      <c r="AO1795">
        <f>IF([3]Entry!$R$1798="","",[3]Entry!$R$1798)</f>
        <v/>
      </c>
    </row>
    <row r="1796">
      <c r="U1796">
        <f>IF([2]Baskol!$B$1799="","",[2]Baskol!$B$1799)</f>
        <v/>
      </c>
      <c r="V1796">
        <f>IF([2]Baskol!$C$1799="","",[2]Baskol!$C$1799)</f>
        <v/>
      </c>
      <c r="W1796">
        <f>IF([2]Baskol!$D$1799="","",[2]Baskol!$D$1799)</f>
        <v/>
      </c>
      <c r="X1796">
        <f>IF([2]Baskol!$E$1799="","",[2]Baskol!$E$1799)</f>
        <v/>
      </c>
      <c r="Y1796">
        <f>IF([2]Baskol!$G$1799="","",[2]Baskol!$G$1799)</f>
        <v/>
      </c>
      <c r="Z1796">
        <f>IF([2]Baskol!$I$1799="","",[2]Baskol!$I$1799)</f>
        <v/>
      </c>
      <c r="AA1796">
        <f>IF([2]Baskol!$J$1799="","",[2]Baskol!$J$1799)</f>
        <v/>
      </c>
      <c r="AB1796">
        <f>IF([2]Baskol!$K$1799="","",[2]Baskol!$K$1799)</f>
        <v/>
      </c>
      <c r="AC1796">
        <f>IF([2]Baskol!$L$1799="","",[2]Baskol!$L$1799)</f>
        <v/>
      </c>
      <c r="AD1796">
        <f>IF([2]Baskol!$N$1799="","",[2]Baskol!$N$1799)</f>
        <v/>
      </c>
      <c r="AE1796">
        <f>IF([2]Baskol!$O$1799="","",[2]Baskol!$O$1799)</f>
        <v/>
      </c>
      <c r="AG1796">
        <f>IF([3]Entry!$C$1799="","",[3]Entry!$C$1799)</f>
        <v/>
      </c>
      <c r="AH1796">
        <f>IF([3]Entry!$D$1799="","",[3]Entry!$D$1799)</f>
        <v/>
      </c>
      <c r="AI1796">
        <f>IF([3]Entry!$E$1799="","",[3]Entry!$E$1799)</f>
        <v/>
      </c>
      <c r="AJ1796">
        <f>IF([3]Entry!$G$1799="","",[3]Entry!$G$1799)</f>
        <v/>
      </c>
      <c r="AK1796">
        <f>IF([3]Entry!$K$1799="","",[3]Entry!$K$1799)</f>
        <v/>
      </c>
      <c r="AL1796">
        <f>IF([3]Entry!$L$1799="","",[3]Entry!$L$1799)</f>
        <v/>
      </c>
      <c r="AM1796">
        <f>IF([3]Entry!$M$1799="","",[3]Entry!$M$1799)</f>
        <v/>
      </c>
      <c r="AN1796">
        <f>IF([3]Entry!$N$1799="","",[3]Entry!$N$1799)</f>
        <v/>
      </c>
      <c r="AO1796">
        <f>IF([3]Entry!$R$1799="","",[3]Entry!$R$1799)</f>
        <v/>
      </c>
    </row>
    <row r="1797">
      <c r="U1797">
        <f>IF([2]Baskol!$B$1800="","",[2]Baskol!$B$1800)</f>
        <v/>
      </c>
      <c r="V1797">
        <f>IF([2]Baskol!$C$1800="","",[2]Baskol!$C$1800)</f>
        <v/>
      </c>
      <c r="W1797">
        <f>IF([2]Baskol!$D$1800="","",[2]Baskol!$D$1800)</f>
        <v/>
      </c>
      <c r="X1797">
        <f>IF([2]Baskol!$E$1800="","",[2]Baskol!$E$1800)</f>
        <v/>
      </c>
      <c r="Y1797">
        <f>IF([2]Baskol!$G$1800="","",[2]Baskol!$G$1800)</f>
        <v/>
      </c>
      <c r="Z1797">
        <f>IF([2]Baskol!$I$1800="","",[2]Baskol!$I$1800)</f>
        <v/>
      </c>
      <c r="AA1797">
        <f>IF([2]Baskol!$J$1800="","",[2]Baskol!$J$1800)</f>
        <v/>
      </c>
      <c r="AB1797">
        <f>IF([2]Baskol!$K$1800="","",[2]Baskol!$K$1800)</f>
        <v/>
      </c>
      <c r="AC1797">
        <f>IF([2]Baskol!$L$1800="","",[2]Baskol!$L$1800)</f>
        <v/>
      </c>
      <c r="AD1797">
        <f>IF([2]Baskol!$N$1800="","",[2]Baskol!$N$1800)</f>
        <v/>
      </c>
      <c r="AE1797">
        <f>IF([2]Baskol!$O$1800="","",[2]Baskol!$O$1800)</f>
        <v/>
      </c>
      <c r="AG1797">
        <f>IF([3]Entry!$C$1800="","",[3]Entry!$C$1800)</f>
        <v/>
      </c>
      <c r="AH1797">
        <f>IF([3]Entry!$D$1800="","",[3]Entry!$D$1800)</f>
        <v/>
      </c>
      <c r="AI1797">
        <f>IF([3]Entry!$E$1800="","",[3]Entry!$E$1800)</f>
        <v/>
      </c>
      <c r="AJ1797">
        <f>IF([3]Entry!$G$1800="","",[3]Entry!$G$1800)</f>
        <v/>
      </c>
      <c r="AK1797">
        <f>IF([3]Entry!$K$1800="","",[3]Entry!$K$1800)</f>
        <v/>
      </c>
      <c r="AL1797">
        <f>IF([3]Entry!$L$1800="","",[3]Entry!$L$1800)</f>
        <v/>
      </c>
      <c r="AM1797">
        <f>IF([3]Entry!$M$1800="","",[3]Entry!$M$1800)</f>
        <v/>
      </c>
      <c r="AN1797">
        <f>IF([3]Entry!$N$1800="","",[3]Entry!$N$1800)</f>
        <v/>
      </c>
      <c r="AO1797">
        <f>IF([3]Entry!$R$1800="","",[3]Entry!$R$1800)</f>
        <v/>
      </c>
    </row>
    <row r="1798">
      <c r="U1798">
        <f>IF([2]Baskol!$B$1801="","",[2]Baskol!$B$1801)</f>
        <v/>
      </c>
      <c r="V1798">
        <f>IF([2]Baskol!$C$1801="","",[2]Baskol!$C$1801)</f>
        <v/>
      </c>
      <c r="W1798">
        <f>IF([2]Baskol!$D$1801="","",[2]Baskol!$D$1801)</f>
        <v/>
      </c>
      <c r="X1798">
        <f>IF([2]Baskol!$E$1801="","",[2]Baskol!$E$1801)</f>
        <v/>
      </c>
      <c r="Y1798">
        <f>IF([2]Baskol!$G$1801="","",[2]Baskol!$G$1801)</f>
        <v/>
      </c>
      <c r="Z1798">
        <f>IF([2]Baskol!$I$1801="","",[2]Baskol!$I$1801)</f>
        <v/>
      </c>
      <c r="AA1798">
        <f>IF([2]Baskol!$J$1801="","",[2]Baskol!$J$1801)</f>
        <v/>
      </c>
      <c r="AB1798">
        <f>IF([2]Baskol!$K$1801="","",[2]Baskol!$K$1801)</f>
        <v/>
      </c>
      <c r="AC1798">
        <f>IF([2]Baskol!$L$1801="","",[2]Baskol!$L$1801)</f>
        <v/>
      </c>
      <c r="AD1798">
        <f>IF([2]Baskol!$N$1801="","",[2]Baskol!$N$1801)</f>
        <v/>
      </c>
      <c r="AE1798">
        <f>IF([2]Baskol!$O$1801="","",[2]Baskol!$O$1801)</f>
        <v/>
      </c>
      <c r="AG1798">
        <f>IF([3]Entry!$C$1801="","",[3]Entry!$C$1801)</f>
        <v/>
      </c>
      <c r="AH1798">
        <f>IF([3]Entry!$D$1801="","",[3]Entry!$D$1801)</f>
        <v/>
      </c>
      <c r="AI1798">
        <f>IF([3]Entry!$E$1801="","",[3]Entry!$E$1801)</f>
        <v/>
      </c>
      <c r="AJ1798">
        <f>IF([3]Entry!$G$1801="","",[3]Entry!$G$1801)</f>
        <v/>
      </c>
      <c r="AK1798">
        <f>IF([3]Entry!$K$1801="","",[3]Entry!$K$1801)</f>
        <v/>
      </c>
      <c r="AL1798">
        <f>IF([3]Entry!$L$1801="","",[3]Entry!$L$1801)</f>
        <v/>
      </c>
      <c r="AM1798">
        <f>IF([3]Entry!$M$1801="","",[3]Entry!$M$1801)</f>
        <v/>
      </c>
      <c r="AN1798">
        <f>IF([3]Entry!$N$1801="","",[3]Entry!$N$1801)</f>
        <v/>
      </c>
      <c r="AO1798">
        <f>IF([3]Entry!$R$1801="","",[3]Entry!$R$1801)</f>
        <v/>
      </c>
    </row>
    <row r="1799">
      <c r="U1799">
        <f>IF([2]Baskol!$B$1802="","",[2]Baskol!$B$1802)</f>
        <v/>
      </c>
      <c r="V1799">
        <f>IF([2]Baskol!$C$1802="","",[2]Baskol!$C$1802)</f>
        <v/>
      </c>
      <c r="W1799">
        <f>IF([2]Baskol!$D$1802="","",[2]Baskol!$D$1802)</f>
        <v/>
      </c>
      <c r="X1799">
        <f>IF([2]Baskol!$E$1802="","",[2]Baskol!$E$1802)</f>
        <v/>
      </c>
      <c r="Y1799">
        <f>IF([2]Baskol!$G$1802="","",[2]Baskol!$G$1802)</f>
        <v/>
      </c>
      <c r="Z1799">
        <f>IF([2]Baskol!$I$1802="","",[2]Baskol!$I$1802)</f>
        <v/>
      </c>
      <c r="AA1799">
        <f>IF([2]Baskol!$J$1802="","",[2]Baskol!$J$1802)</f>
        <v/>
      </c>
      <c r="AB1799">
        <f>IF([2]Baskol!$K$1802="","",[2]Baskol!$K$1802)</f>
        <v/>
      </c>
      <c r="AC1799">
        <f>IF([2]Baskol!$L$1802="","",[2]Baskol!$L$1802)</f>
        <v/>
      </c>
      <c r="AD1799">
        <f>IF([2]Baskol!$N$1802="","",[2]Baskol!$N$1802)</f>
        <v/>
      </c>
      <c r="AE1799">
        <f>IF([2]Baskol!$O$1802="","",[2]Baskol!$O$1802)</f>
        <v/>
      </c>
      <c r="AG1799">
        <f>IF([3]Entry!$C$1802="","",[3]Entry!$C$1802)</f>
        <v/>
      </c>
      <c r="AH1799">
        <f>IF([3]Entry!$D$1802="","",[3]Entry!$D$1802)</f>
        <v/>
      </c>
      <c r="AI1799">
        <f>IF([3]Entry!$E$1802="","",[3]Entry!$E$1802)</f>
        <v/>
      </c>
      <c r="AJ1799">
        <f>IF([3]Entry!$G$1802="","",[3]Entry!$G$1802)</f>
        <v/>
      </c>
      <c r="AK1799">
        <f>IF([3]Entry!$K$1802="","",[3]Entry!$K$1802)</f>
        <v/>
      </c>
      <c r="AL1799">
        <f>IF([3]Entry!$L$1802="","",[3]Entry!$L$1802)</f>
        <v/>
      </c>
      <c r="AM1799">
        <f>IF([3]Entry!$M$1802="","",[3]Entry!$M$1802)</f>
        <v/>
      </c>
      <c r="AN1799">
        <f>IF([3]Entry!$N$1802="","",[3]Entry!$N$1802)</f>
        <v/>
      </c>
      <c r="AO1799">
        <f>IF([3]Entry!$R$1802="","",[3]Entry!$R$1802)</f>
        <v/>
      </c>
    </row>
    <row r="1800">
      <c r="U1800">
        <f>IF([2]Baskol!$B$1803="","",[2]Baskol!$B$1803)</f>
        <v/>
      </c>
      <c r="V1800">
        <f>IF([2]Baskol!$C$1803="","",[2]Baskol!$C$1803)</f>
        <v/>
      </c>
      <c r="W1800">
        <f>IF([2]Baskol!$D$1803="","",[2]Baskol!$D$1803)</f>
        <v/>
      </c>
      <c r="X1800">
        <f>IF([2]Baskol!$E$1803="","",[2]Baskol!$E$1803)</f>
        <v/>
      </c>
      <c r="Y1800">
        <f>IF([2]Baskol!$G$1803="","",[2]Baskol!$G$1803)</f>
        <v/>
      </c>
      <c r="Z1800">
        <f>IF([2]Baskol!$I$1803="","",[2]Baskol!$I$1803)</f>
        <v/>
      </c>
      <c r="AA1800">
        <f>IF([2]Baskol!$J$1803="","",[2]Baskol!$J$1803)</f>
        <v/>
      </c>
      <c r="AB1800">
        <f>IF([2]Baskol!$K$1803="","",[2]Baskol!$K$1803)</f>
        <v/>
      </c>
      <c r="AC1800">
        <f>IF([2]Baskol!$L$1803="","",[2]Baskol!$L$1803)</f>
        <v/>
      </c>
      <c r="AD1800">
        <f>IF([2]Baskol!$N$1803="","",[2]Baskol!$N$1803)</f>
        <v/>
      </c>
      <c r="AE1800">
        <f>IF([2]Baskol!$O$1803="","",[2]Baskol!$O$1803)</f>
        <v/>
      </c>
      <c r="AG1800">
        <f>IF([3]Entry!$C$1803="","",[3]Entry!$C$1803)</f>
        <v/>
      </c>
      <c r="AH1800">
        <f>IF([3]Entry!$D$1803="","",[3]Entry!$D$1803)</f>
        <v/>
      </c>
      <c r="AI1800">
        <f>IF([3]Entry!$E$1803="","",[3]Entry!$E$1803)</f>
        <v/>
      </c>
      <c r="AJ1800">
        <f>IF([3]Entry!$G$1803="","",[3]Entry!$G$1803)</f>
        <v/>
      </c>
      <c r="AK1800">
        <f>IF([3]Entry!$K$1803="","",[3]Entry!$K$1803)</f>
        <v/>
      </c>
      <c r="AL1800">
        <f>IF([3]Entry!$L$1803="","",[3]Entry!$L$1803)</f>
        <v/>
      </c>
      <c r="AM1800">
        <f>IF([3]Entry!$M$1803="","",[3]Entry!$M$1803)</f>
        <v/>
      </c>
      <c r="AN1800">
        <f>IF([3]Entry!$N$1803="","",[3]Entry!$N$1803)</f>
        <v/>
      </c>
      <c r="AO1800">
        <f>IF([3]Entry!$R$1803="","",[3]Entry!$R$1803)</f>
        <v/>
      </c>
    </row>
    <row r="1801">
      <c r="U1801">
        <f>IF([2]Baskol!$B$1804="","",[2]Baskol!$B$1804)</f>
        <v/>
      </c>
      <c r="V1801">
        <f>IF([2]Baskol!$C$1804="","",[2]Baskol!$C$1804)</f>
        <v/>
      </c>
      <c r="W1801">
        <f>IF([2]Baskol!$D$1804="","",[2]Baskol!$D$1804)</f>
        <v/>
      </c>
      <c r="X1801">
        <f>IF([2]Baskol!$E$1804="","",[2]Baskol!$E$1804)</f>
        <v/>
      </c>
      <c r="Y1801">
        <f>IF([2]Baskol!$G$1804="","",[2]Baskol!$G$1804)</f>
        <v/>
      </c>
      <c r="Z1801">
        <f>IF([2]Baskol!$I$1804="","",[2]Baskol!$I$1804)</f>
        <v/>
      </c>
      <c r="AA1801">
        <f>IF([2]Baskol!$J$1804="","",[2]Baskol!$J$1804)</f>
        <v/>
      </c>
      <c r="AB1801">
        <f>IF([2]Baskol!$K$1804="","",[2]Baskol!$K$1804)</f>
        <v/>
      </c>
      <c r="AC1801">
        <f>IF([2]Baskol!$L$1804="","",[2]Baskol!$L$1804)</f>
        <v/>
      </c>
      <c r="AD1801">
        <f>IF([2]Baskol!$N$1804="","",[2]Baskol!$N$1804)</f>
        <v/>
      </c>
      <c r="AE1801">
        <f>IF([2]Baskol!$O$1804="","",[2]Baskol!$O$1804)</f>
        <v/>
      </c>
      <c r="AG1801">
        <f>IF([3]Entry!$C$1804="","",[3]Entry!$C$1804)</f>
        <v/>
      </c>
      <c r="AH1801">
        <f>IF([3]Entry!$D$1804="","",[3]Entry!$D$1804)</f>
        <v/>
      </c>
      <c r="AI1801">
        <f>IF([3]Entry!$E$1804="","",[3]Entry!$E$1804)</f>
        <v/>
      </c>
      <c r="AJ1801">
        <f>IF([3]Entry!$G$1804="","",[3]Entry!$G$1804)</f>
        <v/>
      </c>
      <c r="AK1801">
        <f>IF([3]Entry!$K$1804="","",[3]Entry!$K$1804)</f>
        <v/>
      </c>
      <c r="AL1801">
        <f>IF([3]Entry!$L$1804="","",[3]Entry!$L$1804)</f>
        <v/>
      </c>
      <c r="AM1801">
        <f>IF([3]Entry!$M$1804="","",[3]Entry!$M$1804)</f>
        <v/>
      </c>
      <c r="AN1801">
        <f>IF([3]Entry!$N$1804="","",[3]Entry!$N$1804)</f>
        <v/>
      </c>
      <c r="AO1801">
        <f>IF([3]Entry!$R$1804="","",[3]Entry!$R$1804)</f>
        <v/>
      </c>
    </row>
    <row r="1802">
      <c r="U1802">
        <f>IF([2]Baskol!$B$1805="","",[2]Baskol!$B$1805)</f>
        <v/>
      </c>
      <c r="V1802">
        <f>IF([2]Baskol!$C$1805="","",[2]Baskol!$C$1805)</f>
        <v/>
      </c>
      <c r="W1802">
        <f>IF([2]Baskol!$D$1805="","",[2]Baskol!$D$1805)</f>
        <v/>
      </c>
      <c r="X1802">
        <f>IF([2]Baskol!$E$1805="","",[2]Baskol!$E$1805)</f>
        <v/>
      </c>
      <c r="Y1802">
        <f>IF([2]Baskol!$G$1805="","",[2]Baskol!$G$1805)</f>
        <v/>
      </c>
      <c r="Z1802">
        <f>IF([2]Baskol!$I$1805="","",[2]Baskol!$I$1805)</f>
        <v/>
      </c>
      <c r="AA1802">
        <f>IF([2]Baskol!$J$1805="","",[2]Baskol!$J$1805)</f>
        <v/>
      </c>
      <c r="AB1802">
        <f>IF([2]Baskol!$K$1805="","",[2]Baskol!$K$1805)</f>
        <v/>
      </c>
      <c r="AC1802">
        <f>IF([2]Baskol!$L$1805="","",[2]Baskol!$L$1805)</f>
        <v/>
      </c>
      <c r="AD1802">
        <f>IF([2]Baskol!$N$1805="","",[2]Baskol!$N$1805)</f>
        <v/>
      </c>
      <c r="AE1802">
        <f>IF([2]Baskol!$O$1805="","",[2]Baskol!$O$1805)</f>
        <v/>
      </c>
      <c r="AG1802">
        <f>IF([3]Entry!$C$1805="","",[3]Entry!$C$1805)</f>
        <v/>
      </c>
      <c r="AH1802">
        <f>IF([3]Entry!$D$1805="","",[3]Entry!$D$1805)</f>
        <v/>
      </c>
      <c r="AI1802">
        <f>IF([3]Entry!$E$1805="","",[3]Entry!$E$1805)</f>
        <v/>
      </c>
      <c r="AJ1802">
        <f>IF([3]Entry!$G$1805="","",[3]Entry!$G$1805)</f>
        <v/>
      </c>
      <c r="AK1802">
        <f>IF([3]Entry!$K$1805="","",[3]Entry!$K$1805)</f>
        <v/>
      </c>
      <c r="AL1802">
        <f>IF([3]Entry!$L$1805="","",[3]Entry!$L$1805)</f>
        <v/>
      </c>
      <c r="AM1802">
        <f>IF([3]Entry!$M$1805="","",[3]Entry!$M$1805)</f>
        <v/>
      </c>
      <c r="AN1802">
        <f>IF([3]Entry!$N$1805="","",[3]Entry!$N$1805)</f>
        <v/>
      </c>
      <c r="AO1802">
        <f>IF([3]Entry!$R$1805="","",[3]Entry!$R$1805)</f>
        <v/>
      </c>
    </row>
    <row r="1803">
      <c r="U1803">
        <f>IF([2]Baskol!$B$1806="","",[2]Baskol!$B$1806)</f>
        <v/>
      </c>
      <c r="V1803">
        <f>IF([2]Baskol!$C$1806="","",[2]Baskol!$C$1806)</f>
        <v/>
      </c>
      <c r="W1803">
        <f>IF([2]Baskol!$D$1806="","",[2]Baskol!$D$1806)</f>
        <v/>
      </c>
      <c r="X1803">
        <f>IF([2]Baskol!$E$1806="","",[2]Baskol!$E$1806)</f>
        <v/>
      </c>
      <c r="Y1803">
        <f>IF([2]Baskol!$G$1806="","",[2]Baskol!$G$1806)</f>
        <v/>
      </c>
      <c r="Z1803">
        <f>IF([2]Baskol!$I$1806="","",[2]Baskol!$I$1806)</f>
        <v/>
      </c>
      <c r="AA1803">
        <f>IF([2]Baskol!$J$1806="","",[2]Baskol!$J$1806)</f>
        <v/>
      </c>
      <c r="AB1803">
        <f>IF([2]Baskol!$K$1806="","",[2]Baskol!$K$1806)</f>
        <v/>
      </c>
      <c r="AC1803">
        <f>IF([2]Baskol!$L$1806="","",[2]Baskol!$L$1806)</f>
        <v/>
      </c>
      <c r="AD1803">
        <f>IF([2]Baskol!$N$1806="","",[2]Baskol!$N$1806)</f>
        <v/>
      </c>
      <c r="AE1803">
        <f>IF([2]Baskol!$O$1806="","",[2]Baskol!$O$1806)</f>
        <v/>
      </c>
      <c r="AG1803">
        <f>IF([3]Entry!$C$1806="","",[3]Entry!$C$1806)</f>
        <v/>
      </c>
      <c r="AH1803">
        <f>IF([3]Entry!$D$1806="","",[3]Entry!$D$1806)</f>
        <v/>
      </c>
      <c r="AI1803">
        <f>IF([3]Entry!$E$1806="","",[3]Entry!$E$1806)</f>
        <v/>
      </c>
      <c r="AJ1803">
        <f>IF([3]Entry!$G$1806="","",[3]Entry!$G$1806)</f>
        <v/>
      </c>
      <c r="AK1803">
        <f>IF([3]Entry!$K$1806="","",[3]Entry!$K$1806)</f>
        <v/>
      </c>
      <c r="AL1803">
        <f>IF([3]Entry!$L$1806="","",[3]Entry!$L$1806)</f>
        <v/>
      </c>
      <c r="AM1803">
        <f>IF([3]Entry!$M$1806="","",[3]Entry!$M$1806)</f>
        <v/>
      </c>
      <c r="AN1803">
        <f>IF([3]Entry!$N$1806="","",[3]Entry!$N$1806)</f>
        <v/>
      </c>
      <c r="AO1803">
        <f>IF([3]Entry!$R$1806="","",[3]Entry!$R$1806)</f>
        <v/>
      </c>
    </row>
    <row r="1804">
      <c r="U1804">
        <f>IF([2]Baskol!$B$1807="","",[2]Baskol!$B$1807)</f>
        <v/>
      </c>
      <c r="V1804">
        <f>IF([2]Baskol!$C$1807="","",[2]Baskol!$C$1807)</f>
        <v/>
      </c>
      <c r="W1804">
        <f>IF([2]Baskol!$D$1807="","",[2]Baskol!$D$1807)</f>
        <v/>
      </c>
      <c r="X1804">
        <f>IF([2]Baskol!$E$1807="","",[2]Baskol!$E$1807)</f>
        <v/>
      </c>
      <c r="Y1804">
        <f>IF([2]Baskol!$G$1807="","",[2]Baskol!$G$1807)</f>
        <v/>
      </c>
      <c r="Z1804">
        <f>IF([2]Baskol!$I$1807="","",[2]Baskol!$I$1807)</f>
        <v/>
      </c>
      <c r="AA1804">
        <f>IF([2]Baskol!$J$1807="","",[2]Baskol!$J$1807)</f>
        <v/>
      </c>
      <c r="AB1804">
        <f>IF([2]Baskol!$K$1807="","",[2]Baskol!$K$1807)</f>
        <v/>
      </c>
      <c r="AC1804">
        <f>IF([2]Baskol!$L$1807="","",[2]Baskol!$L$1807)</f>
        <v/>
      </c>
      <c r="AD1804">
        <f>IF([2]Baskol!$N$1807="","",[2]Baskol!$N$1807)</f>
        <v/>
      </c>
      <c r="AE1804">
        <f>IF([2]Baskol!$O$1807="","",[2]Baskol!$O$1807)</f>
        <v/>
      </c>
      <c r="AG1804">
        <f>IF([3]Entry!$C$1807="","",[3]Entry!$C$1807)</f>
        <v/>
      </c>
      <c r="AH1804">
        <f>IF([3]Entry!$D$1807="","",[3]Entry!$D$1807)</f>
        <v/>
      </c>
      <c r="AI1804">
        <f>IF([3]Entry!$E$1807="","",[3]Entry!$E$1807)</f>
        <v/>
      </c>
      <c r="AJ1804">
        <f>IF([3]Entry!$G$1807="","",[3]Entry!$G$1807)</f>
        <v/>
      </c>
      <c r="AK1804">
        <f>IF([3]Entry!$K$1807="","",[3]Entry!$K$1807)</f>
        <v/>
      </c>
      <c r="AL1804">
        <f>IF([3]Entry!$L$1807="","",[3]Entry!$L$1807)</f>
        <v/>
      </c>
      <c r="AM1804">
        <f>IF([3]Entry!$M$1807="","",[3]Entry!$M$1807)</f>
        <v/>
      </c>
      <c r="AN1804">
        <f>IF([3]Entry!$N$1807="","",[3]Entry!$N$1807)</f>
        <v/>
      </c>
      <c r="AO1804">
        <f>IF([3]Entry!$R$1807="","",[3]Entry!$R$1807)</f>
        <v/>
      </c>
    </row>
    <row r="1805">
      <c r="U1805">
        <f>IF([2]Baskol!$B$1808="","",[2]Baskol!$B$1808)</f>
        <v/>
      </c>
      <c r="V1805">
        <f>IF([2]Baskol!$C$1808="","",[2]Baskol!$C$1808)</f>
        <v/>
      </c>
      <c r="W1805">
        <f>IF([2]Baskol!$D$1808="","",[2]Baskol!$D$1808)</f>
        <v/>
      </c>
      <c r="X1805">
        <f>IF([2]Baskol!$E$1808="","",[2]Baskol!$E$1808)</f>
        <v/>
      </c>
      <c r="Y1805">
        <f>IF([2]Baskol!$G$1808="","",[2]Baskol!$G$1808)</f>
        <v/>
      </c>
      <c r="Z1805">
        <f>IF([2]Baskol!$I$1808="","",[2]Baskol!$I$1808)</f>
        <v/>
      </c>
      <c r="AA1805">
        <f>IF([2]Baskol!$J$1808="","",[2]Baskol!$J$1808)</f>
        <v/>
      </c>
      <c r="AB1805">
        <f>IF([2]Baskol!$K$1808="","",[2]Baskol!$K$1808)</f>
        <v/>
      </c>
      <c r="AC1805">
        <f>IF([2]Baskol!$L$1808="","",[2]Baskol!$L$1808)</f>
        <v/>
      </c>
      <c r="AD1805">
        <f>IF([2]Baskol!$N$1808="","",[2]Baskol!$N$1808)</f>
        <v/>
      </c>
      <c r="AE1805">
        <f>IF([2]Baskol!$O$1808="","",[2]Baskol!$O$1808)</f>
        <v/>
      </c>
      <c r="AG1805">
        <f>IF([3]Entry!$C$1808="","",[3]Entry!$C$1808)</f>
        <v/>
      </c>
      <c r="AH1805">
        <f>IF([3]Entry!$D$1808="","",[3]Entry!$D$1808)</f>
        <v/>
      </c>
      <c r="AI1805">
        <f>IF([3]Entry!$E$1808="","",[3]Entry!$E$1808)</f>
        <v/>
      </c>
      <c r="AJ1805">
        <f>IF([3]Entry!$G$1808="","",[3]Entry!$G$1808)</f>
        <v/>
      </c>
      <c r="AK1805">
        <f>IF([3]Entry!$K$1808="","",[3]Entry!$K$1808)</f>
        <v/>
      </c>
      <c r="AL1805">
        <f>IF([3]Entry!$L$1808="","",[3]Entry!$L$1808)</f>
        <v/>
      </c>
      <c r="AM1805">
        <f>IF([3]Entry!$M$1808="","",[3]Entry!$M$1808)</f>
        <v/>
      </c>
      <c r="AN1805">
        <f>IF([3]Entry!$N$1808="","",[3]Entry!$N$1808)</f>
        <v/>
      </c>
      <c r="AO1805">
        <f>IF([3]Entry!$R$1808="","",[3]Entry!$R$1808)</f>
        <v/>
      </c>
    </row>
    <row r="1806">
      <c r="U1806">
        <f>IF([2]Baskol!$B$1809="","",[2]Baskol!$B$1809)</f>
        <v/>
      </c>
      <c r="V1806">
        <f>IF([2]Baskol!$C$1809="","",[2]Baskol!$C$1809)</f>
        <v/>
      </c>
      <c r="W1806">
        <f>IF([2]Baskol!$D$1809="","",[2]Baskol!$D$1809)</f>
        <v/>
      </c>
      <c r="X1806">
        <f>IF([2]Baskol!$E$1809="","",[2]Baskol!$E$1809)</f>
        <v/>
      </c>
      <c r="Y1806">
        <f>IF([2]Baskol!$G$1809="","",[2]Baskol!$G$1809)</f>
        <v/>
      </c>
      <c r="Z1806">
        <f>IF([2]Baskol!$I$1809="","",[2]Baskol!$I$1809)</f>
        <v/>
      </c>
      <c r="AA1806">
        <f>IF([2]Baskol!$J$1809="","",[2]Baskol!$J$1809)</f>
        <v/>
      </c>
      <c r="AB1806">
        <f>IF([2]Baskol!$K$1809="","",[2]Baskol!$K$1809)</f>
        <v/>
      </c>
      <c r="AC1806">
        <f>IF([2]Baskol!$L$1809="","",[2]Baskol!$L$1809)</f>
        <v/>
      </c>
      <c r="AD1806">
        <f>IF([2]Baskol!$N$1809="","",[2]Baskol!$N$1809)</f>
        <v/>
      </c>
      <c r="AE1806">
        <f>IF([2]Baskol!$O$1809="","",[2]Baskol!$O$1809)</f>
        <v/>
      </c>
      <c r="AG1806">
        <f>IF([3]Entry!$C$1809="","",[3]Entry!$C$1809)</f>
        <v/>
      </c>
      <c r="AH1806">
        <f>IF([3]Entry!$D$1809="","",[3]Entry!$D$1809)</f>
        <v/>
      </c>
      <c r="AI1806">
        <f>IF([3]Entry!$E$1809="","",[3]Entry!$E$1809)</f>
        <v/>
      </c>
      <c r="AJ1806">
        <f>IF([3]Entry!$G$1809="","",[3]Entry!$G$1809)</f>
        <v/>
      </c>
      <c r="AK1806">
        <f>IF([3]Entry!$K$1809="","",[3]Entry!$K$1809)</f>
        <v/>
      </c>
      <c r="AL1806">
        <f>IF([3]Entry!$L$1809="","",[3]Entry!$L$1809)</f>
        <v/>
      </c>
      <c r="AM1806">
        <f>IF([3]Entry!$M$1809="","",[3]Entry!$M$1809)</f>
        <v/>
      </c>
      <c r="AN1806">
        <f>IF([3]Entry!$N$1809="","",[3]Entry!$N$1809)</f>
        <v/>
      </c>
      <c r="AO1806">
        <f>IF([3]Entry!$R$1809="","",[3]Entry!$R$1809)</f>
        <v/>
      </c>
    </row>
    <row r="1807">
      <c r="U1807">
        <f>IF([2]Baskol!$B$1810="","",[2]Baskol!$B$1810)</f>
        <v/>
      </c>
      <c r="V1807">
        <f>IF([2]Baskol!$C$1810="","",[2]Baskol!$C$1810)</f>
        <v/>
      </c>
      <c r="W1807">
        <f>IF([2]Baskol!$D$1810="","",[2]Baskol!$D$1810)</f>
        <v/>
      </c>
      <c r="X1807">
        <f>IF([2]Baskol!$E$1810="","",[2]Baskol!$E$1810)</f>
        <v/>
      </c>
      <c r="Y1807">
        <f>IF([2]Baskol!$G$1810="","",[2]Baskol!$G$1810)</f>
        <v/>
      </c>
      <c r="Z1807">
        <f>IF([2]Baskol!$I$1810="","",[2]Baskol!$I$1810)</f>
        <v/>
      </c>
      <c r="AA1807">
        <f>IF([2]Baskol!$J$1810="","",[2]Baskol!$J$1810)</f>
        <v/>
      </c>
      <c r="AB1807">
        <f>IF([2]Baskol!$K$1810="","",[2]Baskol!$K$1810)</f>
        <v/>
      </c>
      <c r="AC1807">
        <f>IF([2]Baskol!$L$1810="","",[2]Baskol!$L$1810)</f>
        <v/>
      </c>
      <c r="AD1807">
        <f>IF([2]Baskol!$N$1810="","",[2]Baskol!$N$1810)</f>
        <v/>
      </c>
      <c r="AE1807">
        <f>IF([2]Baskol!$O$1810="","",[2]Baskol!$O$1810)</f>
        <v/>
      </c>
      <c r="AG1807">
        <f>IF([3]Entry!$C$1810="","",[3]Entry!$C$1810)</f>
        <v/>
      </c>
      <c r="AH1807">
        <f>IF([3]Entry!$D$1810="","",[3]Entry!$D$1810)</f>
        <v/>
      </c>
      <c r="AI1807">
        <f>IF([3]Entry!$E$1810="","",[3]Entry!$E$1810)</f>
        <v/>
      </c>
      <c r="AJ1807">
        <f>IF([3]Entry!$G$1810="","",[3]Entry!$G$1810)</f>
        <v/>
      </c>
      <c r="AK1807">
        <f>IF([3]Entry!$K$1810="","",[3]Entry!$K$1810)</f>
        <v/>
      </c>
      <c r="AL1807">
        <f>IF([3]Entry!$L$1810="","",[3]Entry!$L$1810)</f>
        <v/>
      </c>
      <c r="AM1807">
        <f>IF([3]Entry!$M$1810="","",[3]Entry!$M$1810)</f>
        <v/>
      </c>
      <c r="AN1807">
        <f>IF([3]Entry!$N$1810="","",[3]Entry!$N$1810)</f>
        <v/>
      </c>
      <c r="AO1807">
        <f>IF([3]Entry!$R$1810="","",[3]Entry!$R$1810)</f>
        <v/>
      </c>
    </row>
    <row r="1808">
      <c r="U1808">
        <f>IF([2]Baskol!$B$1811="","",[2]Baskol!$B$1811)</f>
        <v/>
      </c>
      <c r="V1808">
        <f>IF([2]Baskol!$C$1811="","",[2]Baskol!$C$1811)</f>
        <v/>
      </c>
      <c r="W1808">
        <f>IF([2]Baskol!$D$1811="","",[2]Baskol!$D$1811)</f>
        <v/>
      </c>
      <c r="X1808">
        <f>IF([2]Baskol!$E$1811="","",[2]Baskol!$E$1811)</f>
        <v/>
      </c>
      <c r="Y1808">
        <f>IF([2]Baskol!$G$1811="","",[2]Baskol!$G$1811)</f>
        <v/>
      </c>
      <c r="Z1808">
        <f>IF([2]Baskol!$I$1811="","",[2]Baskol!$I$1811)</f>
        <v/>
      </c>
      <c r="AA1808">
        <f>IF([2]Baskol!$J$1811="","",[2]Baskol!$J$1811)</f>
        <v/>
      </c>
      <c r="AB1808">
        <f>IF([2]Baskol!$K$1811="","",[2]Baskol!$K$1811)</f>
        <v/>
      </c>
      <c r="AC1808">
        <f>IF([2]Baskol!$L$1811="","",[2]Baskol!$L$1811)</f>
        <v/>
      </c>
      <c r="AD1808">
        <f>IF([2]Baskol!$N$1811="","",[2]Baskol!$N$1811)</f>
        <v/>
      </c>
      <c r="AE1808">
        <f>IF([2]Baskol!$O$1811="","",[2]Baskol!$O$1811)</f>
        <v/>
      </c>
      <c r="AG1808">
        <f>IF([3]Entry!$C$1811="","",[3]Entry!$C$1811)</f>
        <v/>
      </c>
      <c r="AH1808">
        <f>IF([3]Entry!$D$1811="","",[3]Entry!$D$1811)</f>
        <v/>
      </c>
      <c r="AI1808">
        <f>IF([3]Entry!$E$1811="","",[3]Entry!$E$1811)</f>
        <v/>
      </c>
      <c r="AJ1808">
        <f>IF([3]Entry!$G$1811="","",[3]Entry!$G$1811)</f>
        <v/>
      </c>
      <c r="AK1808">
        <f>IF([3]Entry!$K$1811="","",[3]Entry!$K$1811)</f>
        <v/>
      </c>
      <c r="AL1808">
        <f>IF([3]Entry!$L$1811="","",[3]Entry!$L$1811)</f>
        <v/>
      </c>
      <c r="AM1808">
        <f>IF([3]Entry!$M$1811="","",[3]Entry!$M$1811)</f>
        <v/>
      </c>
      <c r="AN1808">
        <f>IF([3]Entry!$N$1811="","",[3]Entry!$N$1811)</f>
        <v/>
      </c>
      <c r="AO1808">
        <f>IF([3]Entry!$R$1811="","",[3]Entry!$R$1811)</f>
        <v/>
      </c>
    </row>
    <row r="1809">
      <c r="U1809">
        <f>IF([2]Baskol!$B$1812="","",[2]Baskol!$B$1812)</f>
        <v/>
      </c>
      <c r="V1809">
        <f>IF([2]Baskol!$C$1812="","",[2]Baskol!$C$1812)</f>
        <v/>
      </c>
      <c r="W1809">
        <f>IF([2]Baskol!$D$1812="","",[2]Baskol!$D$1812)</f>
        <v/>
      </c>
      <c r="X1809">
        <f>IF([2]Baskol!$E$1812="","",[2]Baskol!$E$1812)</f>
        <v/>
      </c>
      <c r="Y1809">
        <f>IF([2]Baskol!$G$1812="","",[2]Baskol!$G$1812)</f>
        <v/>
      </c>
      <c r="Z1809">
        <f>IF([2]Baskol!$I$1812="","",[2]Baskol!$I$1812)</f>
        <v/>
      </c>
      <c r="AA1809">
        <f>IF([2]Baskol!$J$1812="","",[2]Baskol!$J$1812)</f>
        <v/>
      </c>
      <c r="AB1809">
        <f>IF([2]Baskol!$K$1812="","",[2]Baskol!$K$1812)</f>
        <v/>
      </c>
      <c r="AC1809">
        <f>IF([2]Baskol!$L$1812="","",[2]Baskol!$L$1812)</f>
        <v/>
      </c>
      <c r="AD1809">
        <f>IF([2]Baskol!$N$1812="","",[2]Baskol!$N$1812)</f>
        <v/>
      </c>
      <c r="AE1809">
        <f>IF([2]Baskol!$O$1812="","",[2]Baskol!$O$1812)</f>
        <v/>
      </c>
      <c r="AG1809">
        <f>IF([3]Entry!$C$1812="","",[3]Entry!$C$1812)</f>
        <v/>
      </c>
      <c r="AH1809">
        <f>IF([3]Entry!$D$1812="","",[3]Entry!$D$1812)</f>
        <v/>
      </c>
      <c r="AI1809">
        <f>IF([3]Entry!$E$1812="","",[3]Entry!$E$1812)</f>
        <v/>
      </c>
      <c r="AJ1809">
        <f>IF([3]Entry!$G$1812="","",[3]Entry!$G$1812)</f>
        <v/>
      </c>
      <c r="AK1809">
        <f>IF([3]Entry!$K$1812="","",[3]Entry!$K$1812)</f>
        <v/>
      </c>
      <c r="AL1809">
        <f>IF([3]Entry!$L$1812="","",[3]Entry!$L$1812)</f>
        <v/>
      </c>
      <c r="AM1809">
        <f>IF([3]Entry!$M$1812="","",[3]Entry!$M$1812)</f>
        <v/>
      </c>
      <c r="AN1809">
        <f>IF([3]Entry!$N$1812="","",[3]Entry!$N$1812)</f>
        <v/>
      </c>
      <c r="AO1809">
        <f>IF([3]Entry!$R$1812="","",[3]Entry!$R$1812)</f>
        <v/>
      </c>
    </row>
    <row r="1810">
      <c r="U1810">
        <f>IF([2]Baskol!$B$1813="","",[2]Baskol!$B$1813)</f>
        <v/>
      </c>
      <c r="V1810">
        <f>IF([2]Baskol!$C$1813="","",[2]Baskol!$C$1813)</f>
        <v/>
      </c>
      <c r="W1810">
        <f>IF([2]Baskol!$D$1813="","",[2]Baskol!$D$1813)</f>
        <v/>
      </c>
      <c r="X1810">
        <f>IF([2]Baskol!$E$1813="","",[2]Baskol!$E$1813)</f>
        <v/>
      </c>
      <c r="Y1810">
        <f>IF([2]Baskol!$G$1813="","",[2]Baskol!$G$1813)</f>
        <v/>
      </c>
      <c r="Z1810">
        <f>IF([2]Baskol!$I$1813="","",[2]Baskol!$I$1813)</f>
        <v/>
      </c>
      <c r="AA1810">
        <f>IF([2]Baskol!$J$1813="","",[2]Baskol!$J$1813)</f>
        <v/>
      </c>
      <c r="AB1810">
        <f>IF([2]Baskol!$K$1813="","",[2]Baskol!$K$1813)</f>
        <v/>
      </c>
      <c r="AC1810">
        <f>IF([2]Baskol!$L$1813="","",[2]Baskol!$L$1813)</f>
        <v/>
      </c>
      <c r="AD1810">
        <f>IF([2]Baskol!$N$1813="","",[2]Baskol!$N$1813)</f>
        <v/>
      </c>
      <c r="AE1810">
        <f>IF([2]Baskol!$O$1813="","",[2]Baskol!$O$1813)</f>
        <v/>
      </c>
      <c r="AG1810">
        <f>IF([3]Entry!$C$1813="","",[3]Entry!$C$1813)</f>
        <v/>
      </c>
      <c r="AH1810">
        <f>IF([3]Entry!$D$1813="","",[3]Entry!$D$1813)</f>
        <v/>
      </c>
      <c r="AI1810">
        <f>IF([3]Entry!$E$1813="","",[3]Entry!$E$1813)</f>
        <v/>
      </c>
      <c r="AJ1810">
        <f>IF([3]Entry!$G$1813="","",[3]Entry!$G$1813)</f>
        <v/>
      </c>
      <c r="AK1810">
        <f>IF([3]Entry!$K$1813="","",[3]Entry!$K$1813)</f>
        <v/>
      </c>
      <c r="AL1810">
        <f>IF([3]Entry!$L$1813="","",[3]Entry!$L$1813)</f>
        <v/>
      </c>
      <c r="AM1810">
        <f>IF([3]Entry!$M$1813="","",[3]Entry!$M$1813)</f>
        <v/>
      </c>
      <c r="AN1810">
        <f>IF([3]Entry!$N$1813="","",[3]Entry!$N$1813)</f>
        <v/>
      </c>
      <c r="AO1810">
        <f>IF([3]Entry!$R$1813="","",[3]Entry!$R$1813)</f>
        <v/>
      </c>
    </row>
    <row r="1811">
      <c r="U1811">
        <f>IF([2]Baskol!$B$1814="","",[2]Baskol!$B$1814)</f>
        <v/>
      </c>
      <c r="V1811">
        <f>IF([2]Baskol!$C$1814="","",[2]Baskol!$C$1814)</f>
        <v/>
      </c>
      <c r="W1811">
        <f>IF([2]Baskol!$D$1814="","",[2]Baskol!$D$1814)</f>
        <v/>
      </c>
      <c r="X1811">
        <f>IF([2]Baskol!$E$1814="","",[2]Baskol!$E$1814)</f>
        <v/>
      </c>
      <c r="Y1811">
        <f>IF([2]Baskol!$G$1814="","",[2]Baskol!$G$1814)</f>
        <v/>
      </c>
      <c r="Z1811">
        <f>IF([2]Baskol!$I$1814="","",[2]Baskol!$I$1814)</f>
        <v/>
      </c>
      <c r="AA1811">
        <f>IF([2]Baskol!$J$1814="","",[2]Baskol!$J$1814)</f>
        <v/>
      </c>
      <c r="AB1811">
        <f>IF([2]Baskol!$K$1814="","",[2]Baskol!$K$1814)</f>
        <v/>
      </c>
      <c r="AC1811">
        <f>IF([2]Baskol!$L$1814="","",[2]Baskol!$L$1814)</f>
        <v/>
      </c>
      <c r="AD1811">
        <f>IF([2]Baskol!$N$1814="","",[2]Baskol!$N$1814)</f>
        <v/>
      </c>
      <c r="AE1811">
        <f>IF([2]Baskol!$O$1814="","",[2]Baskol!$O$1814)</f>
        <v/>
      </c>
      <c r="AG1811">
        <f>IF([3]Entry!$C$1814="","",[3]Entry!$C$1814)</f>
        <v/>
      </c>
      <c r="AH1811">
        <f>IF([3]Entry!$D$1814="","",[3]Entry!$D$1814)</f>
        <v/>
      </c>
      <c r="AI1811">
        <f>IF([3]Entry!$E$1814="","",[3]Entry!$E$1814)</f>
        <v/>
      </c>
      <c r="AJ1811">
        <f>IF([3]Entry!$G$1814="","",[3]Entry!$G$1814)</f>
        <v/>
      </c>
      <c r="AK1811">
        <f>IF([3]Entry!$K$1814="","",[3]Entry!$K$1814)</f>
        <v/>
      </c>
      <c r="AL1811">
        <f>IF([3]Entry!$L$1814="","",[3]Entry!$L$1814)</f>
        <v/>
      </c>
      <c r="AM1811">
        <f>IF([3]Entry!$M$1814="","",[3]Entry!$M$1814)</f>
        <v/>
      </c>
      <c r="AN1811">
        <f>IF([3]Entry!$N$1814="","",[3]Entry!$N$1814)</f>
        <v/>
      </c>
      <c r="AO1811">
        <f>IF([3]Entry!$R$1814="","",[3]Entry!$R$1814)</f>
        <v/>
      </c>
    </row>
    <row r="1812">
      <c r="U1812">
        <f>IF([2]Baskol!$B$1815="","",[2]Baskol!$B$1815)</f>
        <v/>
      </c>
      <c r="V1812">
        <f>IF([2]Baskol!$C$1815="","",[2]Baskol!$C$1815)</f>
        <v/>
      </c>
      <c r="W1812">
        <f>IF([2]Baskol!$D$1815="","",[2]Baskol!$D$1815)</f>
        <v/>
      </c>
      <c r="X1812">
        <f>IF([2]Baskol!$E$1815="","",[2]Baskol!$E$1815)</f>
        <v/>
      </c>
      <c r="Y1812">
        <f>IF([2]Baskol!$G$1815="","",[2]Baskol!$G$1815)</f>
        <v/>
      </c>
      <c r="Z1812">
        <f>IF([2]Baskol!$I$1815="","",[2]Baskol!$I$1815)</f>
        <v/>
      </c>
      <c r="AA1812">
        <f>IF([2]Baskol!$J$1815="","",[2]Baskol!$J$1815)</f>
        <v/>
      </c>
      <c r="AB1812">
        <f>IF([2]Baskol!$K$1815="","",[2]Baskol!$K$1815)</f>
        <v/>
      </c>
      <c r="AC1812">
        <f>IF([2]Baskol!$L$1815="","",[2]Baskol!$L$1815)</f>
        <v/>
      </c>
      <c r="AD1812">
        <f>IF([2]Baskol!$N$1815="","",[2]Baskol!$N$1815)</f>
        <v/>
      </c>
      <c r="AE1812">
        <f>IF([2]Baskol!$O$1815="","",[2]Baskol!$O$1815)</f>
        <v/>
      </c>
      <c r="AG1812">
        <f>IF([3]Entry!$C$1815="","",[3]Entry!$C$1815)</f>
        <v/>
      </c>
      <c r="AH1812">
        <f>IF([3]Entry!$D$1815="","",[3]Entry!$D$1815)</f>
        <v/>
      </c>
      <c r="AI1812">
        <f>IF([3]Entry!$E$1815="","",[3]Entry!$E$1815)</f>
        <v/>
      </c>
      <c r="AJ1812">
        <f>IF([3]Entry!$G$1815="","",[3]Entry!$G$1815)</f>
        <v/>
      </c>
      <c r="AK1812">
        <f>IF([3]Entry!$K$1815="","",[3]Entry!$K$1815)</f>
        <v/>
      </c>
      <c r="AL1812">
        <f>IF([3]Entry!$L$1815="","",[3]Entry!$L$1815)</f>
        <v/>
      </c>
      <c r="AM1812">
        <f>IF([3]Entry!$M$1815="","",[3]Entry!$M$1815)</f>
        <v/>
      </c>
      <c r="AN1812">
        <f>IF([3]Entry!$N$1815="","",[3]Entry!$N$1815)</f>
        <v/>
      </c>
      <c r="AO1812">
        <f>IF([3]Entry!$R$1815="","",[3]Entry!$R$1815)</f>
        <v/>
      </c>
    </row>
    <row r="1813">
      <c r="U1813">
        <f>IF([2]Baskol!$B$1816="","",[2]Baskol!$B$1816)</f>
        <v/>
      </c>
      <c r="V1813">
        <f>IF([2]Baskol!$C$1816="","",[2]Baskol!$C$1816)</f>
        <v/>
      </c>
      <c r="W1813">
        <f>IF([2]Baskol!$D$1816="","",[2]Baskol!$D$1816)</f>
        <v/>
      </c>
      <c r="X1813">
        <f>IF([2]Baskol!$E$1816="","",[2]Baskol!$E$1816)</f>
        <v/>
      </c>
      <c r="Y1813">
        <f>IF([2]Baskol!$G$1816="","",[2]Baskol!$G$1816)</f>
        <v/>
      </c>
      <c r="Z1813">
        <f>IF([2]Baskol!$I$1816="","",[2]Baskol!$I$1816)</f>
        <v/>
      </c>
      <c r="AA1813">
        <f>IF([2]Baskol!$J$1816="","",[2]Baskol!$J$1816)</f>
        <v/>
      </c>
      <c r="AB1813">
        <f>IF([2]Baskol!$K$1816="","",[2]Baskol!$K$1816)</f>
        <v/>
      </c>
      <c r="AC1813">
        <f>IF([2]Baskol!$L$1816="","",[2]Baskol!$L$1816)</f>
        <v/>
      </c>
      <c r="AD1813">
        <f>IF([2]Baskol!$N$1816="","",[2]Baskol!$N$1816)</f>
        <v/>
      </c>
      <c r="AE1813">
        <f>IF([2]Baskol!$O$1816="","",[2]Baskol!$O$1816)</f>
        <v/>
      </c>
      <c r="AG1813">
        <f>IF([3]Entry!$C$1816="","",[3]Entry!$C$1816)</f>
        <v/>
      </c>
      <c r="AH1813">
        <f>IF([3]Entry!$D$1816="","",[3]Entry!$D$1816)</f>
        <v/>
      </c>
      <c r="AI1813">
        <f>IF([3]Entry!$E$1816="","",[3]Entry!$E$1816)</f>
        <v/>
      </c>
      <c r="AJ1813">
        <f>IF([3]Entry!$G$1816="","",[3]Entry!$G$1816)</f>
        <v/>
      </c>
      <c r="AK1813">
        <f>IF([3]Entry!$K$1816="","",[3]Entry!$K$1816)</f>
        <v/>
      </c>
      <c r="AL1813">
        <f>IF([3]Entry!$L$1816="","",[3]Entry!$L$1816)</f>
        <v/>
      </c>
      <c r="AM1813">
        <f>IF([3]Entry!$M$1816="","",[3]Entry!$M$1816)</f>
        <v/>
      </c>
      <c r="AN1813">
        <f>IF([3]Entry!$N$1816="","",[3]Entry!$N$1816)</f>
        <v/>
      </c>
      <c r="AO1813">
        <f>IF([3]Entry!$R$1816="","",[3]Entry!$R$1816)</f>
        <v/>
      </c>
    </row>
    <row r="1814">
      <c r="U1814">
        <f>IF([2]Baskol!$B$1817="","",[2]Baskol!$B$1817)</f>
        <v/>
      </c>
      <c r="V1814">
        <f>IF([2]Baskol!$C$1817="","",[2]Baskol!$C$1817)</f>
        <v/>
      </c>
      <c r="W1814">
        <f>IF([2]Baskol!$D$1817="","",[2]Baskol!$D$1817)</f>
        <v/>
      </c>
      <c r="X1814">
        <f>IF([2]Baskol!$E$1817="","",[2]Baskol!$E$1817)</f>
        <v/>
      </c>
      <c r="Y1814">
        <f>IF([2]Baskol!$G$1817="","",[2]Baskol!$G$1817)</f>
        <v/>
      </c>
      <c r="Z1814">
        <f>IF([2]Baskol!$I$1817="","",[2]Baskol!$I$1817)</f>
        <v/>
      </c>
      <c r="AA1814">
        <f>IF([2]Baskol!$J$1817="","",[2]Baskol!$J$1817)</f>
        <v/>
      </c>
      <c r="AB1814">
        <f>IF([2]Baskol!$K$1817="","",[2]Baskol!$K$1817)</f>
        <v/>
      </c>
      <c r="AC1814">
        <f>IF([2]Baskol!$L$1817="","",[2]Baskol!$L$1817)</f>
        <v/>
      </c>
      <c r="AD1814">
        <f>IF([2]Baskol!$N$1817="","",[2]Baskol!$N$1817)</f>
        <v/>
      </c>
      <c r="AE1814">
        <f>IF([2]Baskol!$O$1817="","",[2]Baskol!$O$1817)</f>
        <v/>
      </c>
      <c r="AG1814">
        <f>IF([3]Entry!$C$1817="","",[3]Entry!$C$1817)</f>
        <v/>
      </c>
      <c r="AH1814">
        <f>IF([3]Entry!$D$1817="","",[3]Entry!$D$1817)</f>
        <v/>
      </c>
      <c r="AI1814">
        <f>IF([3]Entry!$E$1817="","",[3]Entry!$E$1817)</f>
        <v/>
      </c>
      <c r="AJ1814">
        <f>IF([3]Entry!$G$1817="","",[3]Entry!$G$1817)</f>
        <v/>
      </c>
      <c r="AK1814">
        <f>IF([3]Entry!$K$1817="","",[3]Entry!$K$1817)</f>
        <v/>
      </c>
      <c r="AL1814">
        <f>IF([3]Entry!$L$1817="","",[3]Entry!$L$1817)</f>
        <v/>
      </c>
      <c r="AM1814">
        <f>IF([3]Entry!$M$1817="","",[3]Entry!$M$1817)</f>
        <v/>
      </c>
      <c r="AN1814">
        <f>IF([3]Entry!$N$1817="","",[3]Entry!$N$1817)</f>
        <v/>
      </c>
      <c r="AO1814">
        <f>IF([3]Entry!$R$1817="","",[3]Entry!$R$1817)</f>
        <v/>
      </c>
    </row>
    <row r="1815">
      <c r="U1815">
        <f>IF([2]Baskol!$B$1818="","",[2]Baskol!$B$1818)</f>
        <v/>
      </c>
      <c r="V1815">
        <f>IF([2]Baskol!$C$1818="","",[2]Baskol!$C$1818)</f>
        <v/>
      </c>
      <c r="W1815">
        <f>IF([2]Baskol!$D$1818="","",[2]Baskol!$D$1818)</f>
        <v/>
      </c>
      <c r="X1815">
        <f>IF([2]Baskol!$E$1818="","",[2]Baskol!$E$1818)</f>
        <v/>
      </c>
      <c r="Y1815">
        <f>IF([2]Baskol!$G$1818="","",[2]Baskol!$G$1818)</f>
        <v/>
      </c>
      <c r="Z1815">
        <f>IF([2]Baskol!$I$1818="","",[2]Baskol!$I$1818)</f>
        <v/>
      </c>
      <c r="AA1815">
        <f>IF([2]Baskol!$J$1818="","",[2]Baskol!$J$1818)</f>
        <v/>
      </c>
      <c r="AB1815">
        <f>IF([2]Baskol!$K$1818="","",[2]Baskol!$K$1818)</f>
        <v/>
      </c>
      <c r="AC1815">
        <f>IF([2]Baskol!$L$1818="","",[2]Baskol!$L$1818)</f>
        <v/>
      </c>
      <c r="AD1815">
        <f>IF([2]Baskol!$N$1818="","",[2]Baskol!$N$1818)</f>
        <v/>
      </c>
      <c r="AE1815">
        <f>IF([2]Baskol!$O$1818="","",[2]Baskol!$O$1818)</f>
        <v/>
      </c>
      <c r="AG1815">
        <f>IF([3]Entry!$C$1818="","",[3]Entry!$C$1818)</f>
        <v/>
      </c>
      <c r="AH1815">
        <f>IF([3]Entry!$D$1818="","",[3]Entry!$D$1818)</f>
        <v/>
      </c>
      <c r="AI1815">
        <f>IF([3]Entry!$E$1818="","",[3]Entry!$E$1818)</f>
        <v/>
      </c>
      <c r="AJ1815">
        <f>IF([3]Entry!$G$1818="","",[3]Entry!$G$1818)</f>
        <v/>
      </c>
      <c r="AK1815">
        <f>IF([3]Entry!$K$1818="","",[3]Entry!$K$1818)</f>
        <v/>
      </c>
      <c r="AL1815">
        <f>IF([3]Entry!$L$1818="","",[3]Entry!$L$1818)</f>
        <v/>
      </c>
      <c r="AM1815">
        <f>IF([3]Entry!$M$1818="","",[3]Entry!$M$1818)</f>
        <v/>
      </c>
      <c r="AN1815">
        <f>IF([3]Entry!$N$1818="","",[3]Entry!$N$1818)</f>
        <v/>
      </c>
      <c r="AO1815">
        <f>IF([3]Entry!$R$1818="","",[3]Entry!$R$1818)</f>
        <v/>
      </c>
    </row>
    <row r="1816">
      <c r="U1816">
        <f>IF([2]Baskol!$B$1819="","",[2]Baskol!$B$1819)</f>
        <v/>
      </c>
      <c r="V1816">
        <f>IF([2]Baskol!$C$1819="","",[2]Baskol!$C$1819)</f>
        <v/>
      </c>
      <c r="W1816">
        <f>IF([2]Baskol!$D$1819="","",[2]Baskol!$D$1819)</f>
        <v/>
      </c>
      <c r="X1816">
        <f>IF([2]Baskol!$E$1819="","",[2]Baskol!$E$1819)</f>
        <v/>
      </c>
      <c r="Y1816">
        <f>IF([2]Baskol!$G$1819="","",[2]Baskol!$G$1819)</f>
        <v/>
      </c>
      <c r="Z1816">
        <f>IF([2]Baskol!$I$1819="","",[2]Baskol!$I$1819)</f>
        <v/>
      </c>
      <c r="AA1816">
        <f>IF([2]Baskol!$J$1819="","",[2]Baskol!$J$1819)</f>
        <v/>
      </c>
      <c r="AB1816">
        <f>IF([2]Baskol!$K$1819="","",[2]Baskol!$K$1819)</f>
        <v/>
      </c>
      <c r="AC1816">
        <f>IF([2]Baskol!$L$1819="","",[2]Baskol!$L$1819)</f>
        <v/>
      </c>
      <c r="AD1816">
        <f>IF([2]Baskol!$N$1819="","",[2]Baskol!$N$1819)</f>
        <v/>
      </c>
      <c r="AE1816">
        <f>IF([2]Baskol!$O$1819="","",[2]Baskol!$O$1819)</f>
        <v/>
      </c>
      <c r="AG1816">
        <f>IF([3]Entry!$C$1819="","",[3]Entry!$C$1819)</f>
        <v/>
      </c>
      <c r="AH1816">
        <f>IF([3]Entry!$D$1819="","",[3]Entry!$D$1819)</f>
        <v/>
      </c>
      <c r="AI1816">
        <f>IF([3]Entry!$E$1819="","",[3]Entry!$E$1819)</f>
        <v/>
      </c>
      <c r="AJ1816">
        <f>IF([3]Entry!$G$1819="","",[3]Entry!$G$1819)</f>
        <v/>
      </c>
      <c r="AK1816">
        <f>IF([3]Entry!$K$1819="","",[3]Entry!$K$1819)</f>
        <v/>
      </c>
      <c r="AL1816">
        <f>IF([3]Entry!$L$1819="","",[3]Entry!$L$1819)</f>
        <v/>
      </c>
      <c r="AM1816">
        <f>IF([3]Entry!$M$1819="","",[3]Entry!$M$1819)</f>
        <v/>
      </c>
      <c r="AN1816">
        <f>IF([3]Entry!$N$1819="","",[3]Entry!$N$1819)</f>
        <v/>
      </c>
      <c r="AO1816">
        <f>IF([3]Entry!$R$1819="","",[3]Entry!$R$1819)</f>
        <v/>
      </c>
    </row>
    <row r="1817">
      <c r="U1817">
        <f>IF([2]Baskol!$B$1820="","",[2]Baskol!$B$1820)</f>
        <v/>
      </c>
      <c r="V1817">
        <f>IF([2]Baskol!$C$1820="","",[2]Baskol!$C$1820)</f>
        <v/>
      </c>
      <c r="W1817">
        <f>IF([2]Baskol!$D$1820="","",[2]Baskol!$D$1820)</f>
        <v/>
      </c>
      <c r="X1817">
        <f>IF([2]Baskol!$E$1820="","",[2]Baskol!$E$1820)</f>
        <v/>
      </c>
      <c r="Y1817">
        <f>IF([2]Baskol!$G$1820="","",[2]Baskol!$G$1820)</f>
        <v/>
      </c>
      <c r="Z1817">
        <f>IF([2]Baskol!$I$1820="","",[2]Baskol!$I$1820)</f>
        <v/>
      </c>
      <c r="AA1817">
        <f>IF([2]Baskol!$J$1820="","",[2]Baskol!$J$1820)</f>
        <v/>
      </c>
      <c r="AB1817">
        <f>IF([2]Baskol!$K$1820="","",[2]Baskol!$K$1820)</f>
        <v/>
      </c>
      <c r="AC1817">
        <f>IF([2]Baskol!$L$1820="","",[2]Baskol!$L$1820)</f>
        <v/>
      </c>
      <c r="AD1817">
        <f>IF([2]Baskol!$N$1820="","",[2]Baskol!$N$1820)</f>
        <v/>
      </c>
      <c r="AE1817">
        <f>IF([2]Baskol!$O$1820="","",[2]Baskol!$O$1820)</f>
        <v/>
      </c>
      <c r="AG1817">
        <f>IF([3]Entry!$C$1820="","",[3]Entry!$C$1820)</f>
        <v/>
      </c>
      <c r="AH1817">
        <f>IF([3]Entry!$D$1820="","",[3]Entry!$D$1820)</f>
        <v/>
      </c>
      <c r="AI1817">
        <f>IF([3]Entry!$E$1820="","",[3]Entry!$E$1820)</f>
        <v/>
      </c>
      <c r="AJ1817">
        <f>IF([3]Entry!$G$1820="","",[3]Entry!$G$1820)</f>
        <v/>
      </c>
      <c r="AK1817">
        <f>IF([3]Entry!$K$1820="","",[3]Entry!$K$1820)</f>
        <v/>
      </c>
      <c r="AL1817">
        <f>IF([3]Entry!$L$1820="","",[3]Entry!$L$1820)</f>
        <v/>
      </c>
      <c r="AM1817">
        <f>IF([3]Entry!$M$1820="","",[3]Entry!$M$1820)</f>
        <v/>
      </c>
      <c r="AN1817">
        <f>IF([3]Entry!$N$1820="","",[3]Entry!$N$1820)</f>
        <v/>
      </c>
      <c r="AO1817">
        <f>IF([3]Entry!$R$1820="","",[3]Entry!$R$1820)</f>
        <v/>
      </c>
    </row>
    <row r="1818">
      <c r="U1818">
        <f>IF([2]Baskol!$B$1821="","",[2]Baskol!$B$1821)</f>
        <v/>
      </c>
      <c r="V1818">
        <f>IF([2]Baskol!$C$1821="","",[2]Baskol!$C$1821)</f>
        <v/>
      </c>
      <c r="W1818">
        <f>IF([2]Baskol!$D$1821="","",[2]Baskol!$D$1821)</f>
        <v/>
      </c>
      <c r="X1818">
        <f>IF([2]Baskol!$E$1821="","",[2]Baskol!$E$1821)</f>
        <v/>
      </c>
      <c r="Y1818">
        <f>IF([2]Baskol!$G$1821="","",[2]Baskol!$G$1821)</f>
        <v/>
      </c>
      <c r="Z1818">
        <f>IF([2]Baskol!$I$1821="","",[2]Baskol!$I$1821)</f>
        <v/>
      </c>
      <c r="AA1818">
        <f>IF([2]Baskol!$J$1821="","",[2]Baskol!$J$1821)</f>
        <v/>
      </c>
      <c r="AB1818">
        <f>IF([2]Baskol!$K$1821="","",[2]Baskol!$K$1821)</f>
        <v/>
      </c>
      <c r="AC1818">
        <f>IF([2]Baskol!$L$1821="","",[2]Baskol!$L$1821)</f>
        <v/>
      </c>
      <c r="AD1818">
        <f>IF([2]Baskol!$N$1821="","",[2]Baskol!$N$1821)</f>
        <v/>
      </c>
      <c r="AE1818">
        <f>IF([2]Baskol!$O$1821="","",[2]Baskol!$O$1821)</f>
        <v/>
      </c>
      <c r="AG1818">
        <f>IF([3]Entry!$C$1821="","",[3]Entry!$C$1821)</f>
        <v/>
      </c>
      <c r="AH1818">
        <f>IF([3]Entry!$D$1821="","",[3]Entry!$D$1821)</f>
        <v/>
      </c>
      <c r="AI1818">
        <f>IF([3]Entry!$E$1821="","",[3]Entry!$E$1821)</f>
        <v/>
      </c>
      <c r="AJ1818">
        <f>IF([3]Entry!$G$1821="","",[3]Entry!$G$1821)</f>
        <v/>
      </c>
      <c r="AK1818">
        <f>IF([3]Entry!$K$1821="","",[3]Entry!$K$1821)</f>
        <v/>
      </c>
      <c r="AL1818">
        <f>IF([3]Entry!$L$1821="","",[3]Entry!$L$1821)</f>
        <v/>
      </c>
      <c r="AM1818">
        <f>IF([3]Entry!$M$1821="","",[3]Entry!$M$1821)</f>
        <v/>
      </c>
      <c r="AN1818">
        <f>IF([3]Entry!$N$1821="","",[3]Entry!$N$1821)</f>
        <v/>
      </c>
      <c r="AO1818">
        <f>IF([3]Entry!$R$1821="","",[3]Entry!$R$1821)</f>
        <v/>
      </c>
    </row>
    <row r="1819">
      <c r="U1819">
        <f>IF([2]Baskol!$B$1822="","",[2]Baskol!$B$1822)</f>
        <v/>
      </c>
      <c r="V1819">
        <f>IF([2]Baskol!$C$1822="","",[2]Baskol!$C$1822)</f>
        <v/>
      </c>
      <c r="W1819">
        <f>IF([2]Baskol!$D$1822="","",[2]Baskol!$D$1822)</f>
        <v/>
      </c>
      <c r="X1819">
        <f>IF([2]Baskol!$E$1822="","",[2]Baskol!$E$1822)</f>
        <v/>
      </c>
      <c r="Y1819">
        <f>IF([2]Baskol!$G$1822="","",[2]Baskol!$G$1822)</f>
        <v/>
      </c>
      <c r="Z1819">
        <f>IF([2]Baskol!$I$1822="","",[2]Baskol!$I$1822)</f>
        <v/>
      </c>
      <c r="AA1819">
        <f>IF([2]Baskol!$J$1822="","",[2]Baskol!$J$1822)</f>
        <v/>
      </c>
      <c r="AB1819">
        <f>IF([2]Baskol!$K$1822="","",[2]Baskol!$K$1822)</f>
        <v/>
      </c>
      <c r="AC1819">
        <f>IF([2]Baskol!$L$1822="","",[2]Baskol!$L$1822)</f>
        <v/>
      </c>
      <c r="AD1819">
        <f>IF([2]Baskol!$N$1822="","",[2]Baskol!$N$1822)</f>
        <v/>
      </c>
      <c r="AE1819">
        <f>IF([2]Baskol!$O$1822="","",[2]Baskol!$O$1822)</f>
        <v/>
      </c>
      <c r="AG1819">
        <f>IF([3]Entry!$C$1822="","",[3]Entry!$C$1822)</f>
        <v/>
      </c>
      <c r="AH1819">
        <f>IF([3]Entry!$D$1822="","",[3]Entry!$D$1822)</f>
        <v/>
      </c>
      <c r="AI1819">
        <f>IF([3]Entry!$E$1822="","",[3]Entry!$E$1822)</f>
        <v/>
      </c>
      <c r="AJ1819">
        <f>IF([3]Entry!$G$1822="","",[3]Entry!$G$1822)</f>
        <v/>
      </c>
      <c r="AK1819">
        <f>IF([3]Entry!$K$1822="","",[3]Entry!$K$1822)</f>
        <v/>
      </c>
      <c r="AL1819">
        <f>IF([3]Entry!$L$1822="","",[3]Entry!$L$1822)</f>
        <v/>
      </c>
      <c r="AM1819">
        <f>IF([3]Entry!$M$1822="","",[3]Entry!$M$1822)</f>
        <v/>
      </c>
      <c r="AN1819">
        <f>IF([3]Entry!$N$1822="","",[3]Entry!$N$1822)</f>
        <v/>
      </c>
      <c r="AO1819">
        <f>IF([3]Entry!$R$1822="","",[3]Entry!$R$1822)</f>
        <v/>
      </c>
    </row>
    <row r="1820">
      <c r="U1820">
        <f>IF([2]Baskol!$B$1823="","",[2]Baskol!$B$1823)</f>
        <v/>
      </c>
      <c r="V1820">
        <f>IF([2]Baskol!$C$1823="","",[2]Baskol!$C$1823)</f>
        <v/>
      </c>
      <c r="W1820">
        <f>IF([2]Baskol!$D$1823="","",[2]Baskol!$D$1823)</f>
        <v/>
      </c>
      <c r="X1820">
        <f>IF([2]Baskol!$E$1823="","",[2]Baskol!$E$1823)</f>
        <v/>
      </c>
      <c r="Y1820">
        <f>IF([2]Baskol!$G$1823="","",[2]Baskol!$G$1823)</f>
        <v/>
      </c>
      <c r="Z1820">
        <f>IF([2]Baskol!$I$1823="","",[2]Baskol!$I$1823)</f>
        <v/>
      </c>
      <c r="AA1820">
        <f>IF([2]Baskol!$J$1823="","",[2]Baskol!$J$1823)</f>
        <v/>
      </c>
      <c r="AB1820">
        <f>IF([2]Baskol!$K$1823="","",[2]Baskol!$K$1823)</f>
        <v/>
      </c>
      <c r="AC1820">
        <f>IF([2]Baskol!$L$1823="","",[2]Baskol!$L$1823)</f>
        <v/>
      </c>
      <c r="AD1820">
        <f>IF([2]Baskol!$N$1823="","",[2]Baskol!$N$1823)</f>
        <v/>
      </c>
      <c r="AE1820">
        <f>IF([2]Baskol!$O$1823="","",[2]Baskol!$O$1823)</f>
        <v/>
      </c>
      <c r="AG1820">
        <f>IF([3]Entry!$C$1823="","",[3]Entry!$C$1823)</f>
        <v/>
      </c>
      <c r="AH1820">
        <f>IF([3]Entry!$D$1823="","",[3]Entry!$D$1823)</f>
        <v/>
      </c>
      <c r="AI1820">
        <f>IF([3]Entry!$E$1823="","",[3]Entry!$E$1823)</f>
        <v/>
      </c>
      <c r="AJ1820">
        <f>IF([3]Entry!$G$1823="","",[3]Entry!$G$1823)</f>
        <v/>
      </c>
      <c r="AK1820">
        <f>IF([3]Entry!$K$1823="","",[3]Entry!$K$1823)</f>
        <v/>
      </c>
      <c r="AL1820">
        <f>IF([3]Entry!$L$1823="","",[3]Entry!$L$1823)</f>
        <v/>
      </c>
      <c r="AM1820">
        <f>IF([3]Entry!$M$1823="","",[3]Entry!$M$1823)</f>
        <v/>
      </c>
      <c r="AN1820">
        <f>IF([3]Entry!$N$1823="","",[3]Entry!$N$1823)</f>
        <v/>
      </c>
      <c r="AO1820">
        <f>IF([3]Entry!$R$1823="","",[3]Entry!$R$1823)</f>
        <v/>
      </c>
    </row>
    <row r="1821">
      <c r="U1821">
        <f>IF([2]Baskol!$B$1824="","",[2]Baskol!$B$1824)</f>
        <v/>
      </c>
      <c r="V1821">
        <f>IF([2]Baskol!$C$1824="","",[2]Baskol!$C$1824)</f>
        <v/>
      </c>
      <c r="W1821">
        <f>IF([2]Baskol!$D$1824="","",[2]Baskol!$D$1824)</f>
        <v/>
      </c>
      <c r="X1821">
        <f>IF([2]Baskol!$E$1824="","",[2]Baskol!$E$1824)</f>
        <v/>
      </c>
      <c r="Y1821">
        <f>IF([2]Baskol!$G$1824="","",[2]Baskol!$G$1824)</f>
        <v/>
      </c>
      <c r="Z1821">
        <f>IF([2]Baskol!$I$1824="","",[2]Baskol!$I$1824)</f>
        <v/>
      </c>
      <c r="AA1821">
        <f>IF([2]Baskol!$J$1824="","",[2]Baskol!$J$1824)</f>
        <v/>
      </c>
      <c r="AB1821">
        <f>IF([2]Baskol!$K$1824="","",[2]Baskol!$K$1824)</f>
        <v/>
      </c>
      <c r="AC1821">
        <f>IF([2]Baskol!$L$1824="","",[2]Baskol!$L$1824)</f>
        <v/>
      </c>
      <c r="AD1821">
        <f>IF([2]Baskol!$N$1824="","",[2]Baskol!$N$1824)</f>
        <v/>
      </c>
      <c r="AE1821">
        <f>IF([2]Baskol!$O$1824="","",[2]Baskol!$O$1824)</f>
        <v/>
      </c>
      <c r="AG1821">
        <f>IF([3]Entry!$C$1824="","",[3]Entry!$C$1824)</f>
        <v/>
      </c>
      <c r="AH1821">
        <f>IF([3]Entry!$D$1824="","",[3]Entry!$D$1824)</f>
        <v/>
      </c>
      <c r="AI1821">
        <f>IF([3]Entry!$E$1824="","",[3]Entry!$E$1824)</f>
        <v/>
      </c>
      <c r="AJ1821">
        <f>IF([3]Entry!$G$1824="","",[3]Entry!$G$1824)</f>
        <v/>
      </c>
      <c r="AK1821">
        <f>IF([3]Entry!$K$1824="","",[3]Entry!$K$1824)</f>
        <v/>
      </c>
      <c r="AL1821">
        <f>IF([3]Entry!$L$1824="","",[3]Entry!$L$1824)</f>
        <v/>
      </c>
      <c r="AM1821">
        <f>IF([3]Entry!$M$1824="","",[3]Entry!$M$1824)</f>
        <v/>
      </c>
      <c r="AN1821">
        <f>IF([3]Entry!$N$1824="","",[3]Entry!$N$1824)</f>
        <v/>
      </c>
      <c r="AO1821">
        <f>IF([3]Entry!$R$1824="","",[3]Entry!$R$1824)</f>
        <v/>
      </c>
    </row>
    <row r="1822">
      <c r="U1822">
        <f>IF([2]Baskol!$B$1825="","",[2]Baskol!$B$1825)</f>
        <v/>
      </c>
      <c r="V1822">
        <f>IF([2]Baskol!$C$1825="","",[2]Baskol!$C$1825)</f>
        <v/>
      </c>
      <c r="W1822">
        <f>IF([2]Baskol!$D$1825="","",[2]Baskol!$D$1825)</f>
        <v/>
      </c>
      <c r="X1822">
        <f>IF([2]Baskol!$E$1825="","",[2]Baskol!$E$1825)</f>
        <v/>
      </c>
      <c r="Y1822">
        <f>IF([2]Baskol!$G$1825="","",[2]Baskol!$G$1825)</f>
        <v/>
      </c>
      <c r="Z1822">
        <f>IF([2]Baskol!$I$1825="","",[2]Baskol!$I$1825)</f>
        <v/>
      </c>
      <c r="AA1822">
        <f>IF([2]Baskol!$J$1825="","",[2]Baskol!$J$1825)</f>
        <v/>
      </c>
      <c r="AB1822">
        <f>IF([2]Baskol!$K$1825="","",[2]Baskol!$K$1825)</f>
        <v/>
      </c>
      <c r="AC1822">
        <f>IF([2]Baskol!$L$1825="","",[2]Baskol!$L$1825)</f>
        <v/>
      </c>
      <c r="AD1822">
        <f>IF([2]Baskol!$N$1825="","",[2]Baskol!$N$1825)</f>
        <v/>
      </c>
      <c r="AE1822">
        <f>IF([2]Baskol!$O$1825="","",[2]Baskol!$O$1825)</f>
        <v/>
      </c>
      <c r="AG1822">
        <f>IF([3]Entry!$C$1825="","",[3]Entry!$C$1825)</f>
        <v/>
      </c>
      <c r="AH1822">
        <f>IF([3]Entry!$D$1825="","",[3]Entry!$D$1825)</f>
        <v/>
      </c>
      <c r="AI1822">
        <f>IF([3]Entry!$E$1825="","",[3]Entry!$E$1825)</f>
        <v/>
      </c>
      <c r="AJ1822">
        <f>IF([3]Entry!$G$1825="","",[3]Entry!$G$1825)</f>
        <v/>
      </c>
      <c r="AK1822">
        <f>IF([3]Entry!$K$1825="","",[3]Entry!$K$1825)</f>
        <v/>
      </c>
      <c r="AL1822">
        <f>IF([3]Entry!$L$1825="","",[3]Entry!$L$1825)</f>
        <v/>
      </c>
      <c r="AM1822">
        <f>IF([3]Entry!$M$1825="","",[3]Entry!$M$1825)</f>
        <v/>
      </c>
      <c r="AN1822">
        <f>IF([3]Entry!$N$1825="","",[3]Entry!$N$1825)</f>
        <v/>
      </c>
      <c r="AO1822">
        <f>IF([3]Entry!$R$1825="","",[3]Entry!$R$1825)</f>
        <v/>
      </c>
    </row>
    <row r="1823">
      <c r="U1823">
        <f>IF([2]Baskol!$B$1826="","",[2]Baskol!$B$1826)</f>
        <v/>
      </c>
      <c r="V1823">
        <f>IF([2]Baskol!$C$1826="","",[2]Baskol!$C$1826)</f>
        <v/>
      </c>
      <c r="W1823">
        <f>IF([2]Baskol!$D$1826="","",[2]Baskol!$D$1826)</f>
        <v/>
      </c>
      <c r="X1823">
        <f>IF([2]Baskol!$E$1826="","",[2]Baskol!$E$1826)</f>
        <v/>
      </c>
      <c r="Y1823">
        <f>IF([2]Baskol!$G$1826="","",[2]Baskol!$G$1826)</f>
        <v/>
      </c>
      <c r="Z1823">
        <f>IF([2]Baskol!$I$1826="","",[2]Baskol!$I$1826)</f>
        <v/>
      </c>
      <c r="AA1823">
        <f>IF([2]Baskol!$J$1826="","",[2]Baskol!$J$1826)</f>
        <v/>
      </c>
      <c r="AB1823">
        <f>IF([2]Baskol!$K$1826="","",[2]Baskol!$K$1826)</f>
        <v/>
      </c>
      <c r="AC1823">
        <f>IF([2]Baskol!$L$1826="","",[2]Baskol!$L$1826)</f>
        <v/>
      </c>
      <c r="AD1823">
        <f>IF([2]Baskol!$N$1826="","",[2]Baskol!$N$1826)</f>
        <v/>
      </c>
      <c r="AE1823">
        <f>IF([2]Baskol!$O$1826="","",[2]Baskol!$O$1826)</f>
        <v/>
      </c>
      <c r="AG1823">
        <f>IF([3]Entry!$C$1826="","",[3]Entry!$C$1826)</f>
        <v/>
      </c>
      <c r="AH1823">
        <f>IF([3]Entry!$D$1826="","",[3]Entry!$D$1826)</f>
        <v/>
      </c>
      <c r="AI1823">
        <f>IF([3]Entry!$E$1826="","",[3]Entry!$E$1826)</f>
        <v/>
      </c>
      <c r="AJ1823">
        <f>IF([3]Entry!$G$1826="","",[3]Entry!$G$1826)</f>
        <v/>
      </c>
      <c r="AK1823">
        <f>IF([3]Entry!$K$1826="","",[3]Entry!$K$1826)</f>
        <v/>
      </c>
      <c r="AL1823">
        <f>IF([3]Entry!$L$1826="","",[3]Entry!$L$1826)</f>
        <v/>
      </c>
      <c r="AM1823">
        <f>IF([3]Entry!$M$1826="","",[3]Entry!$M$1826)</f>
        <v/>
      </c>
      <c r="AN1823">
        <f>IF([3]Entry!$N$1826="","",[3]Entry!$N$1826)</f>
        <v/>
      </c>
      <c r="AO1823">
        <f>IF([3]Entry!$R$1826="","",[3]Entry!$R$1826)</f>
        <v/>
      </c>
    </row>
    <row r="1824">
      <c r="U1824">
        <f>IF([2]Baskol!$B$1827="","",[2]Baskol!$B$1827)</f>
        <v/>
      </c>
      <c r="V1824">
        <f>IF([2]Baskol!$C$1827="","",[2]Baskol!$C$1827)</f>
        <v/>
      </c>
      <c r="W1824">
        <f>IF([2]Baskol!$D$1827="","",[2]Baskol!$D$1827)</f>
        <v/>
      </c>
      <c r="X1824">
        <f>IF([2]Baskol!$E$1827="","",[2]Baskol!$E$1827)</f>
        <v/>
      </c>
      <c r="Y1824">
        <f>IF([2]Baskol!$G$1827="","",[2]Baskol!$G$1827)</f>
        <v/>
      </c>
      <c r="Z1824">
        <f>IF([2]Baskol!$I$1827="","",[2]Baskol!$I$1827)</f>
        <v/>
      </c>
      <c r="AA1824">
        <f>IF([2]Baskol!$J$1827="","",[2]Baskol!$J$1827)</f>
        <v/>
      </c>
      <c r="AB1824">
        <f>IF([2]Baskol!$K$1827="","",[2]Baskol!$K$1827)</f>
        <v/>
      </c>
      <c r="AC1824">
        <f>IF([2]Baskol!$L$1827="","",[2]Baskol!$L$1827)</f>
        <v/>
      </c>
      <c r="AD1824">
        <f>IF([2]Baskol!$N$1827="","",[2]Baskol!$N$1827)</f>
        <v/>
      </c>
      <c r="AE1824">
        <f>IF([2]Baskol!$O$1827="","",[2]Baskol!$O$1827)</f>
        <v/>
      </c>
      <c r="AG1824">
        <f>IF([3]Entry!$C$1827="","",[3]Entry!$C$1827)</f>
        <v/>
      </c>
      <c r="AH1824">
        <f>IF([3]Entry!$D$1827="","",[3]Entry!$D$1827)</f>
        <v/>
      </c>
      <c r="AI1824">
        <f>IF([3]Entry!$E$1827="","",[3]Entry!$E$1827)</f>
        <v/>
      </c>
      <c r="AJ1824">
        <f>IF([3]Entry!$G$1827="","",[3]Entry!$G$1827)</f>
        <v/>
      </c>
      <c r="AK1824">
        <f>IF([3]Entry!$K$1827="","",[3]Entry!$K$1827)</f>
        <v/>
      </c>
      <c r="AL1824">
        <f>IF([3]Entry!$L$1827="","",[3]Entry!$L$1827)</f>
        <v/>
      </c>
      <c r="AM1824">
        <f>IF([3]Entry!$M$1827="","",[3]Entry!$M$1827)</f>
        <v/>
      </c>
      <c r="AN1824">
        <f>IF([3]Entry!$N$1827="","",[3]Entry!$N$1827)</f>
        <v/>
      </c>
      <c r="AO1824">
        <f>IF([3]Entry!$R$1827="","",[3]Entry!$R$1827)</f>
        <v/>
      </c>
    </row>
    <row r="1825">
      <c r="U1825">
        <f>IF([2]Baskol!$B$1828="","",[2]Baskol!$B$1828)</f>
        <v/>
      </c>
      <c r="V1825">
        <f>IF([2]Baskol!$C$1828="","",[2]Baskol!$C$1828)</f>
        <v/>
      </c>
      <c r="W1825">
        <f>IF([2]Baskol!$D$1828="","",[2]Baskol!$D$1828)</f>
        <v/>
      </c>
      <c r="X1825">
        <f>IF([2]Baskol!$E$1828="","",[2]Baskol!$E$1828)</f>
        <v/>
      </c>
      <c r="Y1825">
        <f>IF([2]Baskol!$G$1828="","",[2]Baskol!$G$1828)</f>
        <v/>
      </c>
      <c r="Z1825">
        <f>IF([2]Baskol!$I$1828="","",[2]Baskol!$I$1828)</f>
        <v/>
      </c>
      <c r="AA1825">
        <f>IF([2]Baskol!$J$1828="","",[2]Baskol!$J$1828)</f>
        <v/>
      </c>
      <c r="AB1825">
        <f>IF([2]Baskol!$K$1828="","",[2]Baskol!$K$1828)</f>
        <v/>
      </c>
      <c r="AC1825">
        <f>IF([2]Baskol!$L$1828="","",[2]Baskol!$L$1828)</f>
        <v/>
      </c>
      <c r="AD1825">
        <f>IF([2]Baskol!$N$1828="","",[2]Baskol!$N$1828)</f>
        <v/>
      </c>
      <c r="AE1825">
        <f>IF([2]Baskol!$O$1828="","",[2]Baskol!$O$1828)</f>
        <v/>
      </c>
      <c r="AG1825">
        <f>IF([3]Entry!$C$1828="","",[3]Entry!$C$1828)</f>
        <v/>
      </c>
      <c r="AH1825">
        <f>IF([3]Entry!$D$1828="","",[3]Entry!$D$1828)</f>
        <v/>
      </c>
      <c r="AI1825">
        <f>IF([3]Entry!$E$1828="","",[3]Entry!$E$1828)</f>
        <v/>
      </c>
      <c r="AJ1825">
        <f>IF([3]Entry!$G$1828="","",[3]Entry!$G$1828)</f>
        <v/>
      </c>
      <c r="AK1825">
        <f>IF([3]Entry!$K$1828="","",[3]Entry!$K$1828)</f>
        <v/>
      </c>
      <c r="AL1825">
        <f>IF([3]Entry!$L$1828="","",[3]Entry!$L$1828)</f>
        <v/>
      </c>
      <c r="AM1825">
        <f>IF([3]Entry!$M$1828="","",[3]Entry!$M$1828)</f>
        <v/>
      </c>
      <c r="AN1825">
        <f>IF([3]Entry!$N$1828="","",[3]Entry!$N$1828)</f>
        <v/>
      </c>
      <c r="AO1825">
        <f>IF([3]Entry!$R$1828="","",[3]Entry!$R$1828)</f>
        <v/>
      </c>
    </row>
    <row r="1826">
      <c r="U1826">
        <f>IF([2]Baskol!$B$1829="","",[2]Baskol!$B$1829)</f>
        <v/>
      </c>
      <c r="V1826">
        <f>IF([2]Baskol!$C$1829="","",[2]Baskol!$C$1829)</f>
        <v/>
      </c>
      <c r="W1826">
        <f>IF([2]Baskol!$D$1829="","",[2]Baskol!$D$1829)</f>
        <v/>
      </c>
      <c r="X1826">
        <f>IF([2]Baskol!$E$1829="","",[2]Baskol!$E$1829)</f>
        <v/>
      </c>
      <c r="Y1826">
        <f>IF([2]Baskol!$G$1829="","",[2]Baskol!$G$1829)</f>
        <v/>
      </c>
      <c r="Z1826">
        <f>IF([2]Baskol!$I$1829="","",[2]Baskol!$I$1829)</f>
        <v/>
      </c>
      <c r="AA1826">
        <f>IF([2]Baskol!$J$1829="","",[2]Baskol!$J$1829)</f>
        <v/>
      </c>
      <c r="AB1826">
        <f>IF([2]Baskol!$K$1829="","",[2]Baskol!$K$1829)</f>
        <v/>
      </c>
      <c r="AC1826">
        <f>IF([2]Baskol!$L$1829="","",[2]Baskol!$L$1829)</f>
        <v/>
      </c>
      <c r="AD1826">
        <f>IF([2]Baskol!$N$1829="","",[2]Baskol!$N$1829)</f>
        <v/>
      </c>
      <c r="AE1826">
        <f>IF([2]Baskol!$O$1829="","",[2]Baskol!$O$1829)</f>
        <v/>
      </c>
      <c r="AG1826">
        <f>IF([3]Entry!$C$1829="","",[3]Entry!$C$1829)</f>
        <v/>
      </c>
      <c r="AH1826">
        <f>IF([3]Entry!$D$1829="","",[3]Entry!$D$1829)</f>
        <v/>
      </c>
      <c r="AI1826">
        <f>IF([3]Entry!$E$1829="","",[3]Entry!$E$1829)</f>
        <v/>
      </c>
      <c r="AJ1826">
        <f>IF([3]Entry!$G$1829="","",[3]Entry!$G$1829)</f>
        <v/>
      </c>
      <c r="AK1826">
        <f>IF([3]Entry!$K$1829="","",[3]Entry!$K$1829)</f>
        <v/>
      </c>
      <c r="AL1826">
        <f>IF([3]Entry!$L$1829="","",[3]Entry!$L$1829)</f>
        <v/>
      </c>
      <c r="AM1826">
        <f>IF([3]Entry!$M$1829="","",[3]Entry!$M$1829)</f>
        <v/>
      </c>
      <c r="AN1826">
        <f>IF([3]Entry!$N$1829="","",[3]Entry!$N$1829)</f>
        <v/>
      </c>
      <c r="AO1826">
        <f>IF([3]Entry!$R$1829="","",[3]Entry!$R$1829)</f>
        <v/>
      </c>
    </row>
    <row r="1827">
      <c r="U1827">
        <f>IF([2]Baskol!$B$1830="","",[2]Baskol!$B$1830)</f>
        <v/>
      </c>
      <c r="V1827">
        <f>IF([2]Baskol!$C$1830="","",[2]Baskol!$C$1830)</f>
        <v/>
      </c>
      <c r="W1827">
        <f>IF([2]Baskol!$D$1830="","",[2]Baskol!$D$1830)</f>
        <v/>
      </c>
      <c r="X1827">
        <f>IF([2]Baskol!$E$1830="","",[2]Baskol!$E$1830)</f>
        <v/>
      </c>
      <c r="Y1827">
        <f>IF([2]Baskol!$G$1830="","",[2]Baskol!$G$1830)</f>
        <v/>
      </c>
      <c r="Z1827">
        <f>IF([2]Baskol!$I$1830="","",[2]Baskol!$I$1830)</f>
        <v/>
      </c>
      <c r="AA1827">
        <f>IF([2]Baskol!$J$1830="","",[2]Baskol!$J$1830)</f>
        <v/>
      </c>
      <c r="AB1827">
        <f>IF([2]Baskol!$K$1830="","",[2]Baskol!$K$1830)</f>
        <v/>
      </c>
      <c r="AC1827">
        <f>IF([2]Baskol!$L$1830="","",[2]Baskol!$L$1830)</f>
        <v/>
      </c>
      <c r="AD1827">
        <f>IF([2]Baskol!$N$1830="","",[2]Baskol!$N$1830)</f>
        <v/>
      </c>
      <c r="AE1827">
        <f>IF([2]Baskol!$O$1830="","",[2]Baskol!$O$1830)</f>
        <v/>
      </c>
      <c r="AG1827">
        <f>IF([3]Entry!$C$1830="","",[3]Entry!$C$1830)</f>
        <v/>
      </c>
      <c r="AH1827">
        <f>IF([3]Entry!$D$1830="","",[3]Entry!$D$1830)</f>
        <v/>
      </c>
      <c r="AI1827">
        <f>IF([3]Entry!$E$1830="","",[3]Entry!$E$1830)</f>
        <v/>
      </c>
      <c r="AJ1827">
        <f>IF([3]Entry!$G$1830="","",[3]Entry!$G$1830)</f>
        <v/>
      </c>
      <c r="AK1827">
        <f>IF([3]Entry!$K$1830="","",[3]Entry!$K$1830)</f>
        <v/>
      </c>
      <c r="AL1827">
        <f>IF([3]Entry!$L$1830="","",[3]Entry!$L$1830)</f>
        <v/>
      </c>
      <c r="AM1827">
        <f>IF([3]Entry!$M$1830="","",[3]Entry!$M$1830)</f>
        <v/>
      </c>
      <c r="AN1827">
        <f>IF([3]Entry!$N$1830="","",[3]Entry!$N$1830)</f>
        <v/>
      </c>
      <c r="AO1827">
        <f>IF([3]Entry!$R$1830="","",[3]Entry!$R$1830)</f>
        <v/>
      </c>
    </row>
    <row r="1828">
      <c r="U1828">
        <f>IF([2]Baskol!$B$1831="","",[2]Baskol!$B$1831)</f>
        <v/>
      </c>
      <c r="V1828">
        <f>IF([2]Baskol!$C$1831="","",[2]Baskol!$C$1831)</f>
        <v/>
      </c>
      <c r="W1828">
        <f>IF([2]Baskol!$D$1831="","",[2]Baskol!$D$1831)</f>
        <v/>
      </c>
      <c r="X1828">
        <f>IF([2]Baskol!$E$1831="","",[2]Baskol!$E$1831)</f>
        <v/>
      </c>
      <c r="Y1828">
        <f>IF([2]Baskol!$G$1831="","",[2]Baskol!$G$1831)</f>
        <v/>
      </c>
      <c r="Z1828">
        <f>IF([2]Baskol!$I$1831="","",[2]Baskol!$I$1831)</f>
        <v/>
      </c>
      <c r="AA1828">
        <f>IF([2]Baskol!$J$1831="","",[2]Baskol!$J$1831)</f>
        <v/>
      </c>
      <c r="AB1828">
        <f>IF([2]Baskol!$K$1831="","",[2]Baskol!$K$1831)</f>
        <v/>
      </c>
      <c r="AC1828">
        <f>IF([2]Baskol!$L$1831="","",[2]Baskol!$L$1831)</f>
        <v/>
      </c>
      <c r="AD1828">
        <f>IF([2]Baskol!$N$1831="","",[2]Baskol!$N$1831)</f>
        <v/>
      </c>
      <c r="AE1828">
        <f>IF([2]Baskol!$O$1831="","",[2]Baskol!$O$1831)</f>
        <v/>
      </c>
      <c r="AG1828">
        <f>IF([3]Entry!$C$1831="","",[3]Entry!$C$1831)</f>
        <v/>
      </c>
      <c r="AH1828">
        <f>IF([3]Entry!$D$1831="","",[3]Entry!$D$1831)</f>
        <v/>
      </c>
      <c r="AI1828">
        <f>IF([3]Entry!$E$1831="","",[3]Entry!$E$1831)</f>
        <v/>
      </c>
      <c r="AJ1828">
        <f>IF([3]Entry!$G$1831="","",[3]Entry!$G$1831)</f>
        <v/>
      </c>
      <c r="AK1828">
        <f>IF([3]Entry!$K$1831="","",[3]Entry!$K$1831)</f>
        <v/>
      </c>
      <c r="AL1828">
        <f>IF([3]Entry!$L$1831="","",[3]Entry!$L$1831)</f>
        <v/>
      </c>
      <c r="AM1828">
        <f>IF([3]Entry!$M$1831="","",[3]Entry!$M$1831)</f>
        <v/>
      </c>
      <c r="AN1828">
        <f>IF([3]Entry!$N$1831="","",[3]Entry!$N$1831)</f>
        <v/>
      </c>
      <c r="AO1828">
        <f>IF([3]Entry!$R$1831="","",[3]Entry!$R$1831)</f>
        <v/>
      </c>
    </row>
    <row r="1829">
      <c r="U1829">
        <f>IF([2]Baskol!$B$1832="","",[2]Baskol!$B$1832)</f>
        <v/>
      </c>
      <c r="V1829">
        <f>IF([2]Baskol!$C$1832="","",[2]Baskol!$C$1832)</f>
        <v/>
      </c>
      <c r="W1829">
        <f>IF([2]Baskol!$D$1832="","",[2]Baskol!$D$1832)</f>
        <v/>
      </c>
      <c r="X1829">
        <f>IF([2]Baskol!$E$1832="","",[2]Baskol!$E$1832)</f>
        <v/>
      </c>
      <c r="Y1829">
        <f>IF([2]Baskol!$G$1832="","",[2]Baskol!$G$1832)</f>
        <v/>
      </c>
      <c r="Z1829">
        <f>IF([2]Baskol!$I$1832="","",[2]Baskol!$I$1832)</f>
        <v/>
      </c>
      <c r="AA1829">
        <f>IF([2]Baskol!$J$1832="","",[2]Baskol!$J$1832)</f>
        <v/>
      </c>
      <c r="AB1829">
        <f>IF([2]Baskol!$K$1832="","",[2]Baskol!$K$1832)</f>
        <v/>
      </c>
      <c r="AC1829">
        <f>IF([2]Baskol!$L$1832="","",[2]Baskol!$L$1832)</f>
        <v/>
      </c>
      <c r="AD1829">
        <f>IF([2]Baskol!$N$1832="","",[2]Baskol!$N$1832)</f>
        <v/>
      </c>
      <c r="AE1829">
        <f>IF([2]Baskol!$O$1832="","",[2]Baskol!$O$1832)</f>
        <v/>
      </c>
      <c r="AG1829">
        <f>IF([3]Entry!$C$1832="","",[3]Entry!$C$1832)</f>
        <v/>
      </c>
      <c r="AH1829">
        <f>IF([3]Entry!$D$1832="","",[3]Entry!$D$1832)</f>
        <v/>
      </c>
      <c r="AI1829">
        <f>IF([3]Entry!$E$1832="","",[3]Entry!$E$1832)</f>
        <v/>
      </c>
      <c r="AJ1829">
        <f>IF([3]Entry!$G$1832="","",[3]Entry!$G$1832)</f>
        <v/>
      </c>
      <c r="AK1829">
        <f>IF([3]Entry!$K$1832="","",[3]Entry!$K$1832)</f>
        <v/>
      </c>
      <c r="AL1829">
        <f>IF([3]Entry!$L$1832="","",[3]Entry!$L$1832)</f>
        <v/>
      </c>
      <c r="AM1829">
        <f>IF([3]Entry!$M$1832="","",[3]Entry!$M$1832)</f>
        <v/>
      </c>
      <c r="AN1829">
        <f>IF([3]Entry!$N$1832="","",[3]Entry!$N$1832)</f>
        <v/>
      </c>
      <c r="AO1829">
        <f>IF([3]Entry!$R$1832="","",[3]Entry!$R$1832)</f>
        <v/>
      </c>
    </row>
    <row r="1830">
      <c r="U1830">
        <f>IF([2]Baskol!$B$1833="","",[2]Baskol!$B$1833)</f>
        <v/>
      </c>
      <c r="V1830">
        <f>IF([2]Baskol!$C$1833="","",[2]Baskol!$C$1833)</f>
        <v/>
      </c>
      <c r="W1830">
        <f>IF([2]Baskol!$D$1833="","",[2]Baskol!$D$1833)</f>
        <v/>
      </c>
      <c r="X1830">
        <f>IF([2]Baskol!$E$1833="","",[2]Baskol!$E$1833)</f>
        <v/>
      </c>
      <c r="Y1830">
        <f>IF([2]Baskol!$G$1833="","",[2]Baskol!$G$1833)</f>
        <v/>
      </c>
      <c r="Z1830">
        <f>IF([2]Baskol!$I$1833="","",[2]Baskol!$I$1833)</f>
        <v/>
      </c>
      <c r="AA1830">
        <f>IF([2]Baskol!$J$1833="","",[2]Baskol!$J$1833)</f>
        <v/>
      </c>
      <c r="AB1830">
        <f>IF([2]Baskol!$K$1833="","",[2]Baskol!$K$1833)</f>
        <v/>
      </c>
      <c r="AC1830">
        <f>IF([2]Baskol!$L$1833="","",[2]Baskol!$L$1833)</f>
        <v/>
      </c>
      <c r="AD1830">
        <f>IF([2]Baskol!$N$1833="","",[2]Baskol!$N$1833)</f>
        <v/>
      </c>
      <c r="AE1830">
        <f>IF([2]Baskol!$O$1833="","",[2]Baskol!$O$1833)</f>
        <v/>
      </c>
      <c r="AG1830">
        <f>IF([3]Entry!$C$1833="","",[3]Entry!$C$1833)</f>
        <v/>
      </c>
      <c r="AH1830">
        <f>IF([3]Entry!$D$1833="","",[3]Entry!$D$1833)</f>
        <v/>
      </c>
      <c r="AI1830">
        <f>IF([3]Entry!$E$1833="","",[3]Entry!$E$1833)</f>
        <v/>
      </c>
      <c r="AJ1830">
        <f>IF([3]Entry!$G$1833="","",[3]Entry!$G$1833)</f>
        <v/>
      </c>
      <c r="AK1830">
        <f>IF([3]Entry!$K$1833="","",[3]Entry!$K$1833)</f>
        <v/>
      </c>
      <c r="AL1830">
        <f>IF([3]Entry!$L$1833="","",[3]Entry!$L$1833)</f>
        <v/>
      </c>
      <c r="AM1830">
        <f>IF([3]Entry!$M$1833="","",[3]Entry!$M$1833)</f>
        <v/>
      </c>
      <c r="AN1830">
        <f>IF([3]Entry!$N$1833="","",[3]Entry!$N$1833)</f>
        <v/>
      </c>
      <c r="AO1830">
        <f>IF([3]Entry!$R$1833="","",[3]Entry!$R$1833)</f>
        <v/>
      </c>
    </row>
    <row r="1831">
      <c r="U1831">
        <f>IF([2]Baskol!$B$1834="","",[2]Baskol!$B$1834)</f>
        <v/>
      </c>
      <c r="V1831">
        <f>IF([2]Baskol!$C$1834="","",[2]Baskol!$C$1834)</f>
        <v/>
      </c>
      <c r="W1831">
        <f>IF([2]Baskol!$D$1834="","",[2]Baskol!$D$1834)</f>
        <v/>
      </c>
      <c r="X1831">
        <f>IF([2]Baskol!$E$1834="","",[2]Baskol!$E$1834)</f>
        <v/>
      </c>
      <c r="Y1831">
        <f>IF([2]Baskol!$G$1834="","",[2]Baskol!$G$1834)</f>
        <v/>
      </c>
      <c r="Z1831">
        <f>IF([2]Baskol!$I$1834="","",[2]Baskol!$I$1834)</f>
        <v/>
      </c>
      <c r="AA1831">
        <f>IF([2]Baskol!$J$1834="","",[2]Baskol!$J$1834)</f>
        <v/>
      </c>
      <c r="AB1831">
        <f>IF([2]Baskol!$K$1834="","",[2]Baskol!$K$1834)</f>
        <v/>
      </c>
      <c r="AC1831">
        <f>IF([2]Baskol!$L$1834="","",[2]Baskol!$L$1834)</f>
        <v/>
      </c>
      <c r="AD1831">
        <f>IF([2]Baskol!$N$1834="","",[2]Baskol!$N$1834)</f>
        <v/>
      </c>
      <c r="AE1831">
        <f>IF([2]Baskol!$O$1834="","",[2]Baskol!$O$1834)</f>
        <v/>
      </c>
      <c r="AG1831">
        <f>IF([3]Entry!$C$1834="","",[3]Entry!$C$1834)</f>
        <v/>
      </c>
      <c r="AH1831">
        <f>IF([3]Entry!$D$1834="","",[3]Entry!$D$1834)</f>
        <v/>
      </c>
      <c r="AI1831">
        <f>IF([3]Entry!$E$1834="","",[3]Entry!$E$1834)</f>
        <v/>
      </c>
      <c r="AJ1831">
        <f>IF([3]Entry!$G$1834="","",[3]Entry!$G$1834)</f>
        <v/>
      </c>
      <c r="AK1831">
        <f>IF([3]Entry!$K$1834="","",[3]Entry!$K$1834)</f>
        <v/>
      </c>
      <c r="AL1831">
        <f>IF([3]Entry!$L$1834="","",[3]Entry!$L$1834)</f>
        <v/>
      </c>
      <c r="AM1831">
        <f>IF([3]Entry!$M$1834="","",[3]Entry!$M$1834)</f>
        <v/>
      </c>
      <c r="AN1831">
        <f>IF([3]Entry!$N$1834="","",[3]Entry!$N$1834)</f>
        <v/>
      </c>
      <c r="AO1831">
        <f>IF([3]Entry!$R$1834="","",[3]Entry!$R$1834)</f>
        <v/>
      </c>
    </row>
    <row r="1832">
      <c r="U1832">
        <f>IF([2]Baskol!$B$1835="","",[2]Baskol!$B$1835)</f>
        <v/>
      </c>
      <c r="V1832">
        <f>IF([2]Baskol!$C$1835="","",[2]Baskol!$C$1835)</f>
        <v/>
      </c>
      <c r="W1832">
        <f>IF([2]Baskol!$D$1835="","",[2]Baskol!$D$1835)</f>
        <v/>
      </c>
      <c r="X1832">
        <f>IF([2]Baskol!$E$1835="","",[2]Baskol!$E$1835)</f>
        <v/>
      </c>
      <c r="Y1832">
        <f>IF([2]Baskol!$G$1835="","",[2]Baskol!$G$1835)</f>
        <v/>
      </c>
      <c r="Z1832">
        <f>IF([2]Baskol!$I$1835="","",[2]Baskol!$I$1835)</f>
        <v/>
      </c>
      <c r="AA1832">
        <f>IF([2]Baskol!$J$1835="","",[2]Baskol!$J$1835)</f>
        <v/>
      </c>
      <c r="AB1832">
        <f>IF([2]Baskol!$K$1835="","",[2]Baskol!$K$1835)</f>
        <v/>
      </c>
      <c r="AC1832">
        <f>IF([2]Baskol!$L$1835="","",[2]Baskol!$L$1835)</f>
        <v/>
      </c>
      <c r="AD1832">
        <f>IF([2]Baskol!$N$1835="","",[2]Baskol!$N$1835)</f>
        <v/>
      </c>
      <c r="AE1832">
        <f>IF([2]Baskol!$O$1835="","",[2]Baskol!$O$1835)</f>
        <v/>
      </c>
      <c r="AG1832">
        <f>IF([3]Entry!$C$1835="","",[3]Entry!$C$1835)</f>
        <v/>
      </c>
      <c r="AH1832">
        <f>IF([3]Entry!$D$1835="","",[3]Entry!$D$1835)</f>
        <v/>
      </c>
      <c r="AI1832">
        <f>IF([3]Entry!$E$1835="","",[3]Entry!$E$1835)</f>
        <v/>
      </c>
      <c r="AJ1832">
        <f>IF([3]Entry!$G$1835="","",[3]Entry!$G$1835)</f>
        <v/>
      </c>
      <c r="AK1832">
        <f>IF([3]Entry!$K$1835="","",[3]Entry!$K$1835)</f>
        <v/>
      </c>
      <c r="AL1832">
        <f>IF([3]Entry!$L$1835="","",[3]Entry!$L$1835)</f>
        <v/>
      </c>
      <c r="AM1832">
        <f>IF([3]Entry!$M$1835="","",[3]Entry!$M$1835)</f>
        <v/>
      </c>
      <c r="AN1832">
        <f>IF([3]Entry!$N$1835="","",[3]Entry!$N$1835)</f>
        <v/>
      </c>
      <c r="AO1832">
        <f>IF([3]Entry!$R$1835="","",[3]Entry!$R$1835)</f>
        <v/>
      </c>
    </row>
    <row r="1833">
      <c r="U1833">
        <f>IF([2]Baskol!$B$1836="","",[2]Baskol!$B$1836)</f>
        <v/>
      </c>
      <c r="V1833">
        <f>IF([2]Baskol!$C$1836="","",[2]Baskol!$C$1836)</f>
        <v/>
      </c>
      <c r="W1833">
        <f>IF([2]Baskol!$D$1836="","",[2]Baskol!$D$1836)</f>
        <v/>
      </c>
      <c r="X1833">
        <f>IF([2]Baskol!$E$1836="","",[2]Baskol!$E$1836)</f>
        <v/>
      </c>
      <c r="Y1833">
        <f>IF([2]Baskol!$G$1836="","",[2]Baskol!$G$1836)</f>
        <v/>
      </c>
      <c r="Z1833">
        <f>IF([2]Baskol!$I$1836="","",[2]Baskol!$I$1836)</f>
        <v/>
      </c>
      <c r="AA1833">
        <f>IF([2]Baskol!$J$1836="","",[2]Baskol!$J$1836)</f>
        <v/>
      </c>
      <c r="AB1833">
        <f>IF([2]Baskol!$K$1836="","",[2]Baskol!$K$1836)</f>
        <v/>
      </c>
      <c r="AC1833">
        <f>IF([2]Baskol!$L$1836="","",[2]Baskol!$L$1836)</f>
        <v/>
      </c>
      <c r="AD1833">
        <f>IF([2]Baskol!$N$1836="","",[2]Baskol!$N$1836)</f>
        <v/>
      </c>
      <c r="AE1833">
        <f>IF([2]Baskol!$O$1836="","",[2]Baskol!$O$1836)</f>
        <v/>
      </c>
      <c r="AG1833">
        <f>IF([3]Entry!$C$1836="","",[3]Entry!$C$1836)</f>
        <v/>
      </c>
      <c r="AH1833">
        <f>IF([3]Entry!$D$1836="","",[3]Entry!$D$1836)</f>
        <v/>
      </c>
      <c r="AI1833">
        <f>IF([3]Entry!$E$1836="","",[3]Entry!$E$1836)</f>
        <v/>
      </c>
      <c r="AJ1833">
        <f>IF([3]Entry!$G$1836="","",[3]Entry!$G$1836)</f>
        <v/>
      </c>
      <c r="AK1833">
        <f>IF([3]Entry!$K$1836="","",[3]Entry!$K$1836)</f>
        <v/>
      </c>
      <c r="AL1833">
        <f>IF([3]Entry!$L$1836="","",[3]Entry!$L$1836)</f>
        <v/>
      </c>
      <c r="AM1833">
        <f>IF([3]Entry!$M$1836="","",[3]Entry!$M$1836)</f>
        <v/>
      </c>
      <c r="AN1833">
        <f>IF([3]Entry!$N$1836="","",[3]Entry!$N$1836)</f>
        <v/>
      </c>
      <c r="AO1833">
        <f>IF([3]Entry!$R$1836="","",[3]Entry!$R$1836)</f>
        <v/>
      </c>
    </row>
    <row r="1834">
      <c r="U1834">
        <f>IF([2]Baskol!$B$1837="","",[2]Baskol!$B$1837)</f>
        <v/>
      </c>
      <c r="V1834">
        <f>IF([2]Baskol!$C$1837="","",[2]Baskol!$C$1837)</f>
        <v/>
      </c>
      <c r="W1834">
        <f>IF([2]Baskol!$D$1837="","",[2]Baskol!$D$1837)</f>
        <v/>
      </c>
      <c r="X1834">
        <f>IF([2]Baskol!$E$1837="","",[2]Baskol!$E$1837)</f>
        <v/>
      </c>
      <c r="Y1834">
        <f>IF([2]Baskol!$G$1837="","",[2]Baskol!$G$1837)</f>
        <v/>
      </c>
      <c r="Z1834">
        <f>IF([2]Baskol!$I$1837="","",[2]Baskol!$I$1837)</f>
        <v/>
      </c>
      <c r="AA1834">
        <f>IF([2]Baskol!$J$1837="","",[2]Baskol!$J$1837)</f>
        <v/>
      </c>
      <c r="AB1834">
        <f>IF([2]Baskol!$K$1837="","",[2]Baskol!$K$1837)</f>
        <v/>
      </c>
      <c r="AC1834">
        <f>IF([2]Baskol!$L$1837="","",[2]Baskol!$L$1837)</f>
        <v/>
      </c>
      <c r="AD1834">
        <f>IF([2]Baskol!$N$1837="","",[2]Baskol!$N$1837)</f>
        <v/>
      </c>
      <c r="AE1834">
        <f>IF([2]Baskol!$O$1837="","",[2]Baskol!$O$1837)</f>
        <v/>
      </c>
      <c r="AG1834">
        <f>IF([3]Entry!$C$1837="","",[3]Entry!$C$1837)</f>
        <v/>
      </c>
      <c r="AH1834">
        <f>IF([3]Entry!$D$1837="","",[3]Entry!$D$1837)</f>
        <v/>
      </c>
      <c r="AI1834">
        <f>IF([3]Entry!$E$1837="","",[3]Entry!$E$1837)</f>
        <v/>
      </c>
      <c r="AJ1834">
        <f>IF([3]Entry!$G$1837="","",[3]Entry!$G$1837)</f>
        <v/>
      </c>
      <c r="AK1834">
        <f>IF([3]Entry!$K$1837="","",[3]Entry!$K$1837)</f>
        <v/>
      </c>
      <c r="AL1834">
        <f>IF([3]Entry!$L$1837="","",[3]Entry!$L$1837)</f>
        <v/>
      </c>
      <c r="AM1834">
        <f>IF([3]Entry!$M$1837="","",[3]Entry!$M$1837)</f>
        <v/>
      </c>
      <c r="AN1834">
        <f>IF([3]Entry!$N$1837="","",[3]Entry!$N$1837)</f>
        <v/>
      </c>
      <c r="AO1834">
        <f>IF([3]Entry!$R$1837="","",[3]Entry!$R$1837)</f>
        <v/>
      </c>
    </row>
    <row r="1835">
      <c r="U1835">
        <f>IF([2]Baskol!$B$1838="","",[2]Baskol!$B$1838)</f>
        <v/>
      </c>
      <c r="V1835">
        <f>IF([2]Baskol!$C$1838="","",[2]Baskol!$C$1838)</f>
        <v/>
      </c>
      <c r="W1835">
        <f>IF([2]Baskol!$D$1838="","",[2]Baskol!$D$1838)</f>
        <v/>
      </c>
      <c r="X1835">
        <f>IF([2]Baskol!$E$1838="","",[2]Baskol!$E$1838)</f>
        <v/>
      </c>
      <c r="Y1835">
        <f>IF([2]Baskol!$G$1838="","",[2]Baskol!$G$1838)</f>
        <v/>
      </c>
      <c r="Z1835">
        <f>IF([2]Baskol!$I$1838="","",[2]Baskol!$I$1838)</f>
        <v/>
      </c>
      <c r="AA1835">
        <f>IF([2]Baskol!$J$1838="","",[2]Baskol!$J$1838)</f>
        <v/>
      </c>
      <c r="AB1835">
        <f>IF([2]Baskol!$K$1838="","",[2]Baskol!$K$1838)</f>
        <v/>
      </c>
      <c r="AC1835">
        <f>IF([2]Baskol!$L$1838="","",[2]Baskol!$L$1838)</f>
        <v/>
      </c>
      <c r="AD1835">
        <f>IF([2]Baskol!$N$1838="","",[2]Baskol!$N$1838)</f>
        <v/>
      </c>
      <c r="AE1835">
        <f>IF([2]Baskol!$O$1838="","",[2]Baskol!$O$1838)</f>
        <v/>
      </c>
      <c r="AG1835">
        <f>IF([3]Entry!$C$1838="","",[3]Entry!$C$1838)</f>
        <v/>
      </c>
      <c r="AH1835">
        <f>IF([3]Entry!$D$1838="","",[3]Entry!$D$1838)</f>
        <v/>
      </c>
      <c r="AI1835">
        <f>IF([3]Entry!$E$1838="","",[3]Entry!$E$1838)</f>
        <v/>
      </c>
      <c r="AJ1835">
        <f>IF([3]Entry!$G$1838="","",[3]Entry!$G$1838)</f>
        <v/>
      </c>
      <c r="AK1835">
        <f>IF([3]Entry!$K$1838="","",[3]Entry!$K$1838)</f>
        <v/>
      </c>
      <c r="AL1835">
        <f>IF([3]Entry!$L$1838="","",[3]Entry!$L$1838)</f>
        <v/>
      </c>
      <c r="AM1835">
        <f>IF([3]Entry!$M$1838="","",[3]Entry!$M$1838)</f>
        <v/>
      </c>
      <c r="AN1835">
        <f>IF([3]Entry!$N$1838="","",[3]Entry!$N$1838)</f>
        <v/>
      </c>
      <c r="AO1835">
        <f>IF([3]Entry!$R$1838="","",[3]Entry!$R$1838)</f>
        <v/>
      </c>
    </row>
    <row r="1836">
      <c r="U1836">
        <f>IF([2]Baskol!$B$1839="","",[2]Baskol!$B$1839)</f>
        <v/>
      </c>
      <c r="V1836">
        <f>IF([2]Baskol!$C$1839="","",[2]Baskol!$C$1839)</f>
        <v/>
      </c>
      <c r="W1836">
        <f>IF([2]Baskol!$D$1839="","",[2]Baskol!$D$1839)</f>
        <v/>
      </c>
      <c r="X1836">
        <f>IF([2]Baskol!$E$1839="","",[2]Baskol!$E$1839)</f>
        <v/>
      </c>
      <c r="Y1836">
        <f>IF([2]Baskol!$G$1839="","",[2]Baskol!$G$1839)</f>
        <v/>
      </c>
      <c r="Z1836">
        <f>IF([2]Baskol!$I$1839="","",[2]Baskol!$I$1839)</f>
        <v/>
      </c>
      <c r="AA1836">
        <f>IF([2]Baskol!$J$1839="","",[2]Baskol!$J$1839)</f>
        <v/>
      </c>
      <c r="AB1836">
        <f>IF([2]Baskol!$K$1839="","",[2]Baskol!$K$1839)</f>
        <v/>
      </c>
      <c r="AC1836">
        <f>IF([2]Baskol!$L$1839="","",[2]Baskol!$L$1839)</f>
        <v/>
      </c>
      <c r="AD1836">
        <f>IF([2]Baskol!$N$1839="","",[2]Baskol!$N$1839)</f>
        <v/>
      </c>
      <c r="AE1836">
        <f>IF([2]Baskol!$O$1839="","",[2]Baskol!$O$1839)</f>
        <v/>
      </c>
      <c r="AG1836">
        <f>IF([3]Entry!$C$1839="","",[3]Entry!$C$1839)</f>
        <v/>
      </c>
      <c r="AH1836">
        <f>IF([3]Entry!$D$1839="","",[3]Entry!$D$1839)</f>
        <v/>
      </c>
      <c r="AI1836">
        <f>IF([3]Entry!$E$1839="","",[3]Entry!$E$1839)</f>
        <v/>
      </c>
      <c r="AJ1836">
        <f>IF([3]Entry!$G$1839="","",[3]Entry!$G$1839)</f>
        <v/>
      </c>
      <c r="AK1836">
        <f>IF([3]Entry!$K$1839="","",[3]Entry!$K$1839)</f>
        <v/>
      </c>
      <c r="AL1836">
        <f>IF([3]Entry!$L$1839="","",[3]Entry!$L$1839)</f>
        <v/>
      </c>
      <c r="AM1836">
        <f>IF([3]Entry!$M$1839="","",[3]Entry!$M$1839)</f>
        <v/>
      </c>
      <c r="AN1836">
        <f>IF([3]Entry!$N$1839="","",[3]Entry!$N$1839)</f>
        <v/>
      </c>
      <c r="AO1836">
        <f>IF([3]Entry!$R$1839="","",[3]Entry!$R$1839)</f>
        <v/>
      </c>
    </row>
    <row r="1837">
      <c r="U1837">
        <f>IF([2]Baskol!$B$1840="","",[2]Baskol!$B$1840)</f>
        <v/>
      </c>
      <c r="V1837">
        <f>IF([2]Baskol!$C$1840="","",[2]Baskol!$C$1840)</f>
        <v/>
      </c>
      <c r="W1837">
        <f>IF([2]Baskol!$D$1840="","",[2]Baskol!$D$1840)</f>
        <v/>
      </c>
      <c r="X1837">
        <f>IF([2]Baskol!$E$1840="","",[2]Baskol!$E$1840)</f>
        <v/>
      </c>
      <c r="Y1837">
        <f>IF([2]Baskol!$G$1840="","",[2]Baskol!$G$1840)</f>
        <v/>
      </c>
      <c r="Z1837">
        <f>IF([2]Baskol!$I$1840="","",[2]Baskol!$I$1840)</f>
        <v/>
      </c>
      <c r="AA1837">
        <f>IF([2]Baskol!$J$1840="","",[2]Baskol!$J$1840)</f>
        <v/>
      </c>
      <c r="AB1837">
        <f>IF([2]Baskol!$K$1840="","",[2]Baskol!$K$1840)</f>
        <v/>
      </c>
      <c r="AC1837">
        <f>IF([2]Baskol!$L$1840="","",[2]Baskol!$L$1840)</f>
        <v/>
      </c>
      <c r="AD1837">
        <f>IF([2]Baskol!$N$1840="","",[2]Baskol!$N$1840)</f>
        <v/>
      </c>
      <c r="AE1837">
        <f>IF([2]Baskol!$O$1840="","",[2]Baskol!$O$1840)</f>
        <v/>
      </c>
      <c r="AG1837">
        <f>IF([3]Entry!$C$1840="","",[3]Entry!$C$1840)</f>
        <v/>
      </c>
      <c r="AH1837">
        <f>IF([3]Entry!$D$1840="","",[3]Entry!$D$1840)</f>
        <v/>
      </c>
      <c r="AI1837">
        <f>IF([3]Entry!$E$1840="","",[3]Entry!$E$1840)</f>
        <v/>
      </c>
      <c r="AJ1837">
        <f>IF([3]Entry!$G$1840="","",[3]Entry!$G$1840)</f>
        <v/>
      </c>
      <c r="AK1837">
        <f>IF([3]Entry!$K$1840="","",[3]Entry!$K$1840)</f>
        <v/>
      </c>
      <c r="AL1837">
        <f>IF([3]Entry!$L$1840="","",[3]Entry!$L$1840)</f>
        <v/>
      </c>
      <c r="AM1837">
        <f>IF([3]Entry!$M$1840="","",[3]Entry!$M$1840)</f>
        <v/>
      </c>
      <c r="AN1837">
        <f>IF([3]Entry!$N$1840="","",[3]Entry!$N$1840)</f>
        <v/>
      </c>
      <c r="AO1837">
        <f>IF([3]Entry!$R$1840="","",[3]Entry!$R$1840)</f>
        <v/>
      </c>
    </row>
    <row r="1838">
      <c r="U1838">
        <f>IF([2]Baskol!$B$1841="","",[2]Baskol!$B$1841)</f>
        <v/>
      </c>
      <c r="V1838">
        <f>IF([2]Baskol!$C$1841="","",[2]Baskol!$C$1841)</f>
        <v/>
      </c>
      <c r="W1838">
        <f>IF([2]Baskol!$D$1841="","",[2]Baskol!$D$1841)</f>
        <v/>
      </c>
      <c r="X1838">
        <f>IF([2]Baskol!$E$1841="","",[2]Baskol!$E$1841)</f>
        <v/>
      </c>
      <c r="Y1838">
        <f>IF([2]Baskol!$G$1841="","",[2]Baskol!$G$1841)</f>
        <v/>
      </c>
      <c r="Z1838">
        <f>IF([2]Baskol!$I$1841="","",[2]Baskol!$I$1841)</f>
        <v/>
      </c>
      <c r="AA1838">
        <f>IF([2]Baskol!$J$1841="","",[2]Baskol!$J$1841)</f>
        <v/>
      </c>
      <c r="AB1838">
        <f>IF([2]Baskol!$K$1841="","",[2]Baskol!$K$1841)</f>
        <v/>
      </c>
      <c r="AC1838">
        <f>IF([2]Baskol!$L$1841="","",[2]Baskol!$L$1841)</f>
        <v/>
      </c>
      <c r="AD1838">
        <f>IF([2]Baskol!$N$1841="","",[2]Baskol!$N$1841)</f>
        <v/>
      </c>
      <c r="AE1838">
        <f>IF([2]Baskol!$O$1841="","",[2]Baskol!$O$1841)</f>
        <v/>
      </c>
      <c r="AG1838">
        <f>IF([3]Entry!$C$1841="","",[3]Entry!$C$1841)</f>
        <v/>
      </c>
      <c r="AH1838">
        <f>IF([3]Entry!$D$1841="","",[3]Entry!$D$1841)</f>
        <v/>
      </c>
      <c r="AI1838">
        <f>IF([3]Entry!$E$1841="","",[3]Entry!$E$1841)</f>
        <v/>
      </c>
      <c r="AJ1838">
        <f>IF([3]Entry!$G$1841="","",[3]Entry!$G$1841)</f>
        <v/>
      </c>
      <c r="AK1838">
        <f>IF([3]Entry!$K$1841="","",[3]Entry!$K$1841)</f>
        <v/>
      </c>
      <c r="AL1838">
        <f>IF([3]Entry!$L$1841="","",[3]Entry!$L$1841)</f>
        <v/>
      </c>
      <c r="AM1838">
        <f>IF([3]Entry!$M$1841="","",[3]Entry!$M$1841)</f>
        <v/>
      </c>
      <c r="AN1838">
        <f>IF([3]Entry!$N$1841="","",[3]Entry!$N$1841)</f>
        <v/>
      </c>
      <c r="AO1838">
        <f>IF([3]Entry!$R$1841="","",[3]Entry!$R$1841)</f>
        <v/>
      </c>
    </row>
    <row r="1839">
      <c r="U1839">
        <f>IF([2]Baskol!$B$1842="","",[2]Baskol!$B$1842)</f>
        <v/>
      </c>
      <c r="V1839">
        <f>IF([2]Baskol!$C$1842="","",[2]Baskol!$C$1842)</f>
        <v/>
      </c>
      <c r="W1839">
        <f>IF([2]Baskol!$D$1842="","",[2]Baskol!$D$1842)</f>
        <v/>
      </c>
      <c r="X1839">
        <f>IF([2]Baskol!$E$1842="","",[2]Baskol!$E$1842)</f>
        <v/>
      </c>
      <c r="Y1839">
        <f>IF([2]Baskol!$G$1842="","",[2]Baskol!$G$1842)</f>
        <v/>
      </c>
      <c r="Z1839">
        <f>IF([2]Baskol!$I$1842="","",[2]Baskol!$I$1842)</f>
        <v/>
      </c>
      <c r="AA1839">
        <f>IF([2]Baskol!$J$1842="","",[2]Baskol!$J$1842)</f>
        <v/>
      </c>
      <c r="AB1839">
        <f>IF([2]Baskol!$K$1842="","",[2]Baskol!$K$1842)</f>
        <v/>
      </c>
      <c r="AC1839">
        <f>IF([2]Baskol!$L$1842="","",[2]Baskol!$L$1842)</f>
        <v/>
      </c>
      <c r="AD1839">
        <f>IF([2]Baskol!$N$1842="","",[2]Baskol!$N$1842)</f>
        <v/>
      </c>
      <c r="AE1839">
        <f>IF([2]Baskol!$O$1842="","",[2]Baskol!$O$1842)</f>
        <v/>
      </c>
      <c r="AG1839">
        <f>IF([3]Entry!$C$1842="","",[3]Entry!$C$1842)</f>
        <v/>
      </c>
      <c r="AH1839">
        <f>IF([3]Entry!$D$1842="","",[3]Entry!$D$1842)</f>
        <v/>
      </c>
      <c r="AI1839">
        <f>IF([3]Entry!$E$1842="","",[3]Entry!$E$1842)</f>
        <v/>
      </c>
      <c r="AJ1839">
        <f>IF([3]Entry!$G$1842="","",[3]Entry!$G$1842)</f>
        <v/>
      </c>
      <c r="AK1839">
        <f>IF([3]Entry!$K$1842="","",[3]Entry!$K$1842)</f>
        <v/>
      </c>
      <c r="AL1839">
        <f>IF([3]Entry!$L$1842="","",[3]Entry!$L$1842)</f>
        <v/>
      </c>
      <c r="AM1839">
        <f>IF([3]Entry!$M$1842="","",[3]Entry!$M$1842)</f>
        <v/>
      </c>
      <c r="AN1839">
        <f>IF([3]Entry!$N$1842="","",[3]Entry!$N$1842)</f>
        <v/>
      </c>
      <c r="AO1839">
        <f>IF([3]Entry!$R$1842="","",[3]Entry!$R$1842)</f>
        <v/>
      </c>
    </row>
    <row r="1840">
      <c r="U1840">
        <f>IF([2]Baskol!$B$1843="","",[2]Baskol!$B$1843)</f>
        <v/>
      </c>
      <c r="V1840">
        <f>IF([2]Baskol!$C$1843="","",[2]Baskol!$C$1843)</f>
        <v/>
      </c>
      <c r="W1840">
        <f>IF([2]Baskol!$D$1843="","",[2]Baskol!$D$1843)</f>
        <v/>
      </c>
      <c r="X1840">
        <f>IF([2]Baskol!$E$1843="","",[2]Baskol!$E$1843)</f>
        <v/>
      </c>
      <c r="Y1840">
        <f>IF([2]Baskol!$G$1843="","",[2]Baskol!$G$1843)</f>
        <v/>
      </c>
      <c r="Z1840">
        <f>IF([2]Baskol!$I$1843="","",[2]Baskol!$I$1843)</f>
        <v/>
      </c>
      <c r="AA1840">
        <f>IF([2]Baskol!$J$1843="","",[2]Baskol!$J$1843)</f>
        <v/>
      </c>
      <c r="AB1840">
        <f>IF([2]Baskol!$K$1843="","",[2]Baskol!$K$1843)</f>
        <v/>
      </c>
      <c r="AC1840">
        <f>IF([2]Baskol!$L$1843="","",[2]Baskol!$L$1843)</f>
        <v/>
      </c>
      <c r="AD1840">
        <f>IF([2]Baskol!$N$1843="","",[2]Baskol!$N$1843)</f>
        <v/>
      </c>
      <c r="AE1840">
        <f>IF([2]Baskol!$O$1843="","",[2]Baskol!$O$1843)</f>
        <v/>
      </c>
      <c r="AG1840">
        <f>IF([3]Entry!$C$1843="","",[3]Entry!$C$1843)</f>
        <v/>
      </c>
      <c r="AH1840">
        <f>IF([3]Entry!$D$1843="","",[3]Entry!$D$1843)</f>
        <v/>
      </c>
      <c r="AI1840">
        <f>IF([3]Entry!$E$1843="","",[3]Entry!$E$1843)</f>
        <v/>
      </c>
      <c r="AJ1840">
        <f>IF([3]Entry!$G$1843="","",[3]Entry!$G$1843)</f>
        <v/>
      </c>
      <c r="AK1840">
        <f>IF([3]Entry!$K$1843="","",[3]Entry!$K$1843)</f>
        <v/>
      </c>
      <c r="AL1840">
        <f>IF([3]Entry!$L$1843="","",[3]Entry!$L$1843)</f>
        <v/>
      </c>
      <c r="AM1840">
        <f>IF([3]Entry!$M$1843="","",[3]Entry!$M$1843)</f>
        <v/>
      </c>
      <c r="AN1840">
        <f>IF([3]Entry!$N$1843="","",[3]Entry!$N$1843)</f>
        <v/>
      </c>
      <c r="AO1840">
        <f>IF([3]Entry!$R$1843="","",[3]Entry!$R$1843)</f>
        <v/>
      </c>
    </row>
    <row r="1841">
      <c r="U1841">
        <f>IF([2]Baskol!$B$1844="","",[2]Baskol!$B$1844)</f>
        <v/>
      </c>
      <c r="V1841">
        <f>IF([2]Baskol!$C$1844="","",[2]Baskol!$C$1844)</f>
        <v/>
      </c>
      <c r="W1841">
        <f>IF([2]Baskol!$D$1844="","",[2]Baskol!$D$1844)</f>
        <v/>
      </c>
      <c r="X1841">
        <f>IF([2]Baskol!$E$1844="","",[2]Baskol!$E$1844)</f>
        <v/>
      </c>
      <c r="Y1841">
        <f>IF([2]Baskol!$G$1844="","",[2]Baskol!$G$1844)</f>
        <v/>
      </c>
      <c r="Z1841">
        <f>IF([2]Baskol!$I$1844="","",[2]Baskol!$I$1844)</f>
        <v/>
      </c>
      <c r="AA1841">
        <f>IF([2]Baskol!$J$1844="","",[2]Baskol!$J$1844)</f>
        <v/>
      </c>
      <c r="AB1841">
        <f>IF([2]Baskol!$K$1844="","",[2]Baskol!$K$1844)</f>
        <v/>
      </c>
      <c r="AC1841">
        <f>IF([2]Baskol!$L$1844="","",[2]Baskol!$L$1844)</f>
        <v/>
      </c>
      <c r="AD1841">
        <f>IF([2]Baskol!$N$1844="","",[2]Baskol!$N$1844)</f>
        <v/>
      </c>
      <c r="AE1841">
        <f>IF([2]Baskol!$O$1844="","",[2]Baskol!$O$1844)</f>
        <v/>
      </c>
      <c r="AG1841">
        <f>IF([3]Entry!$C$1844="","",[3]Entry!$C$1844)</f>
        <v/>
      </c>
      <c r="AH1841">
        <f>IF([3]Entry!$D$1844="","",[3]Entry!$D$1844)</f>
        <v/>
      </c>
      <c r="AI1841">
        <f>IF([3]Entry!$E$1844="","",[3]Entry!$E$1844)</f>
        <v/>
      </c>
      <c r="AJ1841">
        <f>IF([3]Entry!$G$1844="","",[3]Entry!$G$1844)</f>
        <v/>
      </c>
      <c r="AK1841">
        <f>IF([3]Entry!$K$1844="","",[3]Entry!$K$1844)</f>
        <v/>
      </c>
      <c r="AL1841">
        <f>IF([3]Entry!$L$1844="","",[3]Entry!$L$1844)</f>
        <v/>
      </c>
      <c r="AM1841">
        <f>IF([3]Entry!$M$1844="","",[3]Entry!$M$1844)</f>
        <v/>
      </c>
      <c r="AN1841">
        <f>IF([3]Entry!$N$1844="","",[3]Entry!$N$1844)</f>
        <v/>
      </c>
      <c r="AO1841">
        <f>IF([3]Entry!$R$1844="","",[3]Entry!$R$1844)</f>
        <v/>
      </c>
    </row>
    <row r="1842">
      <c r="U1842">
        <f>IF([2]Baskol!$B$1845="","",[2]Baskol!$B$1845)</f>
        <v/>
      </c>
      <c r="V1842">
        <f>IF([2]Baskol!$C$1845="","",[2]Baskol!$C$1845)</f>
        <v/>
      </c>
      <c r="W1842">
        <f>IF([2]Baskol!$D$1845="","",[2]Baskol!$D$1845)</f>
        <v/>
      </c>
      <c r="X1842">
        <f>IF([2]Baskol!$E$1845="","",[2]Baskol!$E$1845)</f>
        <v/>
      </c>
      <c r="Y1842">
        <f>IF([2]Baskol!$G$1845="","",[2]Baskol!$G$1845)</f>
        <v/>
      </c>
      <c r="Z1842">
        <f>IF([2]Baskol!$I$1845="","",[2]Baskol!$I$1845)</f>
        <v/>
      </c>
      <c r="AA1842">
        <f>IF([2]Baskol!$J$1845="","",[2]Baskol!$J$1845)</f>
        <v/>
      </c>
      <c r="AB1842">
        <f>IF([2]Baskol!$K$1845="","",[2]Baskol!$K$1845)</f>
        <v/>
      </c>
      <c r="AC1842">
        <f>IF([2]Baskol!$L$1845="","",[2]Baskol!$L$1845)</f>
        <v/>
      </c>
      <c r="AD1842">
        <f>IF([2]Baskol!$N$1845="","",[2]Baskol!$N$1845)</f>
        <v/>
      </c>
      <c r="AE1842">
        <f>IF([2]Baskol!$O$1845="","",[2]Baskol!$O$1845)</f>
        <v/>
      </c>
      <c r="AG1842">
        <f>IF([3]Entry!$C$1845="","",[3]Entry!$C$1845)</f>
        <v/>
      </c>
      <c r="AH1842">
        <f>IF([3]Entry!$D$1845="","",[3]Entry!$D$1845)</f>
        <v/>
      </c>
      <c r="AI1842">
        <f>IF([3]Entry!$E$1845="","",[3]Entry!$E$1845)</f>
        <v/>
      </c>
      <c r="AJ1842">
        <f>IF([3]Entry!$G$1845="","",[3]Entry!$G$1845)</f>
        <v/>
      </c>
      <c r="AK1842">
        <f>IF([3]Entry!$K$1845="","",[3]Entry!$K$1845)</f>
        <v/>
      </c>
      <c r="AL1842">
        <f>IF([3]Entry!$L$1845="","",[3]Entry!$L$1845)</f>
        <v/>
      </c>
      <c r="AM1842">
        <f>IF([3]Entry!$M$1845="","",[3]Entry!$M$1845)</f>
        <v/>
      </c>
      <c r="AN1842">
        <f>IF([3]Entry!$N$1845="","",[3]Entry!$N$1845)</f>
        <v/>
      </c>
      <c r="AO1842">
        <f>IF([3]Entry!$R$1845="","",[3]Entry!$R$1845)</f>
        <v/>
      </c>
    </row>
    <row r="1843">
      <c r="U1843">
        <f>IF([2]Baskol!$B$1846="","",[2]Baskol!$B$1846)</f>
        <v/>
      </c>
      <c r="V1843">
        <f>IF([2]Baskol!$C$1846="","",[2]Baskol!$C$1846)</f>
        <v/>
      </c>
      <c r="W1843">
        <f>IF([2]Baskol!$D$1846="","",[2]Baskol!$D$1846)</f>
        <v/>
      </c>
      <c r="X1843">
        <f>IF([2]Baskol!$E$1846="","",[2]Baskol!$E$1846)</f>
        <v/>
      </c>
      <c r="Y1843">
        <f>IF([2]Baskol!$G$1846="","",[2]Baskol!$G$1846)</f>
        <v/>
      </c>
      <c r="Z1843">
        <f>IF([2]Baskol!$I$1846="","",[2]Baskol!$I$1846)</f>
        <v/>
      </c>
      <c r="AA1843">
        <f>IF([2]Baskol!$J$1846="","",[2]Baskol!$J$1846)</f>
        <v/>
      </c>
      <c r="AB1843">
        <f>IF([2]Baskol!$K$1846="","",[2]Baskol!$K$1846)</f>
        <v/>
      </c>
      <c r="AC1843">
        <f>IF([2]Baskol!$L$1846="","",[2]Baskol!$L$1846)</f>
        <v/>
      </c>
      <c r="AD1843">
        <f>IF([2]Baskol!$N$1846="","",[2]Baskol!$N$1846)</f>
        <v/>
      </c>
      <c r="AE1843">
        <f>IF([2]Baskol!$O$1846="","",[2]Baskol!$O$1846)</f>
        <v/>
      </c>
      <c r="AG1843">
        <f>IF([3]Entry!$C$1846="","",[3]Entry!$C$1846)</f>
        <v/>
      </c>
      <c r="AH1843">
        <f>IF([3]Entry!$D$1846="","",[3]Entry!$D$1846)</f>
        <v/>
      </c>
      <c r="AI1843">
        <f>IF([3]Entry!$E$1846="","",[3]Entry!$E$1846)</f>
        <v/>
      </c>
      <c r="AJ1843">
        <f>IF([3]Entry!$G$1846="","",[3]Entry!$G$1846)</f>
        <v/>
      </c>
      <c r="AK1843">
        <f>IF([3]Entry!$K$1846="","",[3]Entry!$K$1846)</f>
        <v/>
      </c>
      <c r="AL1843">
        <f>IF([3]Entry!$L$1846="","",[3]Entry!$L$1846)</f>
        <v/>
      </c>
      <c r="AM1843">
        <f>IF([3]Entry!$M$1846="","",[3]Entry!$M$1846)</f>
        <v/>
      </c>
      <c r="AN1843">
        <f>IF([3]Entry!$N$1846="","",[3]Entry!$N$1846)</f>
        <v/>
      </c>
      <c r="AO1843">
        <f>IF([3]Entry!$R$1846="","",[3]Entry!$R$1846)</f>
        <v/>
      </c>
    </row>
    <row r="1844">
      <c r="U1844">
        <f>IF([2]Baskol!$B$1847="","",[2]Baskol!$B$1847)</f>
        <v/>
      </c>
      <c r="V1844">
        <f>IF([2]Baskol!$C$1847="","",[2]Baskol!$C$1847)</f>
        <v/>
      </c>
      <c r="W1844">
        <f>IF([2]Baskol!$D$1847="","",[2]Baskol!$D$1847)</f>
        <v/>
      </c>
      <c r="X1844">
        <f>IF([2]Baskol!$E$1847="","",[2]Baskol!$E$1847)</f>
        <v/>
      </c>
      <c r="Y1844">
        <f>IF([2]Baskol!$G$1847="","",[2]Baskol!$G$1847)</f>
        <v/>
      </c>
      <c r="Z1844">
        <f>IF([2]Baskol!$I$1847="","",[2]Baskol!$I$1847)</f>
        <v/>
      </c>
      <c r="AA1844">
        <f>IF([2]Baskol!$J$1847="","",[2]Baskol!$J$1847)</f>
        <v/>
      </c>
      <c r="AB1844">
        <f>IF([2]Baskol!$K$1847="","",[2]Baskol!$K$1847)</f>
        <v/>
      </c>
      <c r="AC1844">
        <f>IF([2]Baskol!$L$1847="","",[2]Baskol!$L$1847)</f>
        <v/>
      </c>
      <c r="AD1844">
        <f>IF([2]Baskol!$N$1847="","",[2]Baskol!$N$1847)</f>
        <v/>
      </c>
      <c r="AE1844">
        <f>IF([2]Baskol!$O$1847="","",[2]Baskol!$O$1847)</f>
        <v/>
      </c>
      <c r="AG1844">
        <f>IF([3]Entry!$C$1847="","",[3]Entry!$C$1847)</f>
        <v/>
      </c>
      <c r="AH1844">
        <f>IF([3]Entry!$D$1847="","",[3]Entry!$D$1847)</f>
        <v/>
      </c>
      <c r="AI1844">
        <f>IF([3]Entry!$E$1847="","",[3]Entry!$E$1847)</f>
        <v/>
      </c>
      <c r="AJ1844">
        <f>IF([3]Entry!$G$1847="","",[3]Entry!$G$1847)</f>
        <v/>
      </c>
      <c r="AK1844">
        <f>IF([3]Entry!$K$1847="","",[3]Entry!$K$1847)</f>
        <v/>
      </c>
      <c r="AL1844">
        <f>IF([3]Entry!$L$1847="","",[3]Entry!$L$1847)</f>
        <v/>
      </c>
      <c r="AM1844">
        <f>IF([3]Entry!$M$1847="","",[3]Entry!$M$1847)</f>
        <v/>
      </c>
      <c r="AN1844">
        <f>IF([3]Entry!$N$1847="","",[3]Entry!$N$1847)</f>
        <v/>
      </c>
      <c r="AO1844">
        <f>IF([3]Entry!$R$1847="","",[3]Entry!$R$1847)</f>
        <v/>
      </c>
    </row>
    <row r="1845">
      <c r="U1845">
        <f>IF([2]Baskol!$B$1848="","",[2]Baskol!$B$1848)</f>
        <v/>
      </c>
      <c r="V1845">
        <f>IF([2]Baskol!$C$1848="","",[2]Baskol!$C$1848)</f>
        <v/>
      </c>
      <c r="W1845">
        <f>IF([2]Baskol!$D$1848="","",[2]Baskol!$D$1848)</f>
        <v/>
      </c>
      <c r="X1845">
        <f>IF([2]Baskol!$E$1848="","",[2]Baskol!$E$1848)</f>
        <v/>
      </c>
      <c r="Y1845">
        <f>IF([2]Baskol!$G$1848="","",[2]Baskol!$G$1848)</f>
        <v/>
      </c>
      <c r="Z1845">
        <f>IF([2]Baskol!$I$1848="","",[2]Baskol!$I$1848)</f>
        <v/>
      </c>
      <c r="AA1845">
        <f>IF([2]Baskol!$J$1848="","",[2]Baskol!$J$1848)</f>
        <v/>
      </c>
      <c r="AB1845">
        <f>IF([2]Baskol!$K$1848="","",[2]Baskol!$K$1848)</f>
        <v/>
      </c>
      <c r="AC1845">
        <f>IF([2]Baskol!$L$1848="","",[2]Baskol!$L$1848)</f>
        <v/>
      </c>
      <c r="AD1845">
        <f>IF([2]Baskol!$N$1848="","",[2]Baskol!$N$1848)</f>
        <v/>
      </c>
      <c r="AE1845">
        <f>IF([2]Baskol!$O$1848="","",[2]Baskol!$O$1848)</f>
        <v/>
      </c>
      <c r="AG1845">
        <f>IF([3]Entry!$C$1848="","",[3]Entry!$C$1848)</f>
        <v/>
      </c>
      <c r="AH1845">
        <f>IF([3]Entry!$D$1848="","",[3]Entry!$D$1848)</f>
        <v/>
      </c>
      <c r="AI1845">
        <f>IF([3]Entry!$E$1848="","",[3]Entry!$E$1848)</f>
        <v/>
      </c>
      <c r="AJ1845">
        <f>IF([3]Entry!$G$1848="","",[3]Entry!$G$1848)</f>
        <v/>
      </c>
      <c r="AK1845">
        <f>IF([3]Entry!$K$1848="","",[3]Entry!$K$1848)</f>
        <v/>
      </c>
      <c r="AL1845">
        <f>IF([3]Entry!$L$1848="","",[3]Entry!$L$1848)</f>
        <v/>
      </c>
      <c r="AM1845">
        <f>IF([3]Entry!$M$1848="","",[3]Entry!$M$1848)</f>
        <v/>
      </c>
      <c r="AN1845">
        <f>IF([3]Entry!$N$1848="","",[3]Entry!$N$1848)</f>
        <v/>
      </c>
      <c r="AO1845">
        <f>IF([3]Entry!$R$1848="","",[3]Entry!$R$1848)</f>
        <v/>
      </c>
    </row>
    <row r="1846">
      <c r="U1846">
        <f>IF([2]Baskol!$B$1849="","",[2]Baskol!$B$1849)</f>
        <v/>
      </c>
      <c r="V1846">
        <f>IF([2]Baskol!$C$1849="","",[2]Baskol!$C$1849)</f>
        <v/>
      </c>
      <c r="W1846">
        <f>IF([2]Baskol!$D$1849="","",[2]Baskol!$D$1849)</f>
        <v/>
      </c>
      <c r="X1846">
        <f>IF([2]Baskol!$E$1849="","",[2]Baskol!$E$1849)</f>
        <v/>
      </c>
      <c r="Y1846">
        <f>IF([2]Baskol!$G$1849="","",[2]Baskol!$G$1849)</f>
        <v/>
      </c>
      <c r="Z1846">
        <f>IF([2]Baskol!$I$1849="","",[2]Baskol!$I$1849)</f>
        <v/>
      </c>
      <c r="AA1846">
        <f>IF([2]Baskol!$J$1849="","",[2]Baskol!$J$1849)</f>
        <v/>
      </c>
      <c r="AB1846">
        <f>IF([2]Baskol!$K$1849="","",[2]Baskol!$K$1849)</f>
        <v/>
      </c>
      <c r="AC1846">
        <f>IF([2]Baskol!$L$1849="","",[2]Baskol!$L$1849)</f>
        <v/>
      </c>
      <c r="AD1846">
        <f>IF([2]Baskol!$N$1849="","",[2]Baskol!$N$1849)</f>
        <v/>
      </c>
      <c r="AE1846">
        <f>IF([2]Baskol!$O$1849="","",[2]Baskol!$O$1849)</f>
        <v/>
      </c>
      <c r="AG1846">
        <f>IF([3]Entry!$C$1849="","",[3]Entry!$C$1849)</f>
        <v/>
      </c>
      <c r="AH1846">
        <f>IF([3]Entry!$D$1849="","",[3]Entry!$D$1849)</f>
        <v/>
      </c>
      <c r="AI1846">
        <f>IF([3]Entry!$E$1849="","",[3]Entry!$E$1849)</f>
        <v/>
      </c>
      <c r="AJ1846">
        <f>IF([3]Entry!$G$1849="","",[3]Entry!$G$1849)</f>
        <v/>
      </c>
      <c r="AK1846">
        <f>IF([3]Entry!$K$1849="","",[3]Entry!$K$1849)</f>
        <v/>
      </c>
      <c r="AL1846">
        <f>IF([3]Entry!$L$1849="","",[3]Entry!$L$1849)</f>
        <v/>
      </c>
      <c r="AM1846">
        <f>IF([3]Entry!$M$1849="","",[3]Entry!$M$1849)</f>
        <v/>
      </c>
      <c r="AN1846">
        <f>IF([3]Entry!$N$1849="","",[3]Entry!$N$1849)</f>
        <v/>
      </c>
      <c r="AO1846">
        <f>IF([3]Entry!$R$1849="","",[3]Entry!$R$1849)</f>
        <v/>
      </c>
    </row>
    <row r="1847">
      <c r="U1847">
        <f>IF([2]Baskol!$B$1850="","",[2]Baskol!$B$1850)</f>
        <v/>
      </c>
      <c r="V1847">
        <f>IF([2]Baskol!$C$1850="","",[2]Baskol!$C$1850)</f>
        <v/>
      </c>
      <c r="W1847">
        <f>IF([2]Baskol!$D$1850="","",[2]Baskol!$D$1850)</f>
        <v/>
      </c>
      <c r="X1847">
        <f>IF([2]Baskol!$E$1850="","",[2]Baskol!$E$1850)</f>
        <v/>
      </c>
      <c r="Y1847">
        <f>IF([2]Baskol!$G$1850="","",[2]Baskol!$G$1850)</f>
        <v/>
      </c>
      <c r="Z1847">
        <f>IF([2]Baskol!$I$1850="","",[2]Baskol!$I$1850)</f>
        <v/>
      </c>
      <c r="AA1847">
        <f>IF([2]Baskol!$J$1850="","",[2]Baskol!$J$1850)</f>
        <v/>
      </c>
      <c r="AB1847">
        <f>IF([2]Baskol!$K$1850="","",[2]Baskol!$K$1850)</f>
        <v/>
      </c>
      <c r="AC1847">
        <f>IF([2]Baskol!$L$1850="","",[2]Baskol!$L$1850)</f>
        <v/>
      </c>
      <c r="AD1847">
        <f>IF([2]Baskol!$N$1850="","",[2]Baskol!$N$1850)</f>
        <v/>
      </c>
      <c r="AE1847">
        <f>IF([2]Baskol!$O$1850="","",[2]Baskol!$O$1850)</f>
        <v/>
      </c>
      <c r="AG1847">
        <f>IF([3]Entry!$C$1850="","",[3]Entry!$C$1850)</f>
        <v/>
      </c>
      <c r="AH1847">
        <f>IF([3]Entry!$D$1850="","",[3]Entry!$D$1850)</f>
        <v/>
      </c>
      <c r="AI1847">
        <f>IF([3]Entry!$E$1850="","",[3]Entry!$E$1850)</f>
        <v/>
      </c>
      <c r="AJ1847">
        <f>IF([3]Entry!$G$1850="","",[3]Entry!$G$1850)</f>
        <v/>
      </c>
      <c r="AK1847">
        <f>IF([3]Entry!$K$1850="","",[3]Entry!$K$1850)</f>
        <v/>
      </c>
      <c r="AL1847">
        <f>IF([3]Entry!$L$1850="","",[3]Entry!$L$1850)</f>
        <v/>
      </c>
      <c r="AM1847">
        <f>IF([3]Entry!$M$1850="","",[3]Entry!$M$1850)</f>
        <v/>
      </c>
      <c r="AN1847">
        <f>IF([3]Entry!$N$1850="","",[3]Entry!$N$1850)</f>
        <v/>
      </c>
      <c r="AO1847">
        <f>IF([3]Entry!$R$1850="","",[3]Entry!$R$1850)</f>
        <v/>
      </c>
    </row>
    <row r="1848">
      <c r="U1848">
        <f>IF([2]Baskol!$B$1851="","",[2]Baskol!$B$1851)</f>
        <v/>
      </c>
      <c r="V1848">
        <f>IF([2]Baskol!$C$1851="","",[2]Baskol!$C$1851)</f>
        <v/>
      </c>
      <c r="W1848">
        <f>IF([2]Baskol!$D$1851="","",[2]Baskol!$D$1851)</f>
        <v/>
      </c>
      <c r="X1848">
        <f>IF([2]Baskol!$E$1851="","",[2]Baskol!$E$1851)</f>
        <v/>
      </c>
      <c r="Y1848">
        <f>IF([2]Baskol!$G$1851="","",[2]Baskol!$G$1851)</f>
        <v/>
      </c>
      <c r="Z1848">
        <f>IF([2]Baskol!$I$1851="","",[2]Baskol!$I$1851)</f>
        <v/>
      </c>
      <c r="AA1848">
        <f>IF([2]Baskol!$J$1851="","",[2]Baskol!$J$1851)</f>
        <v/>
      </c>
      <c r="AB1848">
        <f>IF([2]Baskol!$K$1851="","",[2]Baskol!$K$1851)</f>
        <v/>
      </c>
      <c r="AC1848">
        <f>IF([2]Baskol!$L$1851="","",[2]Baskol!$L$1851)</f>
        <v/>
      </c>
      <c r="AD1848">
        <f>IF([2]Baskol!$N$1851="","",[2]Baskol!$N$1851)</f>
        <v/>
      </c>
      <c r="AE1848">
        <f>IF([2]Baskol!$O$1851="","",[2]Baskol!$O$1851)</f>
        <v/>
      </c>
      <c r="AG1848">
        <f>IF([3]Entry!$C$1851="","",[3]Entry!$C$1851)</f>
        <v/>
      </c>
      <c r="AH1848">
        <f>IF([3]Entry!$D$1851="","",[3]Entry!$D$1851)</f>
        <v/>
      </c>
      <c r="AI1848">
        <f>IF([3]Entry!$E$1851="","",[3]Entry!$E$1851)</f>
        <v/>
      </c>
      <c r="AJ1848">
        <f>IF([3]Entry!$G$1851="","",[3]Entry!$G$1851)</f>
        <v/>
      </c>
      <c r="AK1848">
        <f>IF([3]Entry!$K$1851="","",[3]Entry!$K$1851)</f>
        <v/>
      </c>
      <c r="AL1848">
        <f>IF([3]Entry!$L$1851="","",[3]Entry!$L$1851)</f>
        <v/>
      </c>
      <c r="AM1848">
        <f>IF([3]Entry!$M$1851="","",[3]Entry!$M$1851)</f>
        <v/>
      </c>
      <c r="AN1848">
        <f>IF([3]Entry!$N$1851="","",[3]Entry!$N$1851)</f>
        <v/>
      </c>
      <c r="AO1848">
        <f>IF([3]Entry!$R$1851="","",[3]Entry!$R$1851)</f>
        <v/>
      </c>
    </row>
    <row r="1849">
      <c r="U1849">
        <f>IF([2]Baskol!$B$1852="","",[2]Baskol!$B$1852)</f>
        <v/>
      </c>
      <c r="V1849">
        <f>IF([2]Baskol!$C$1852="","",[2]Baskol!$C$1852)</f>
        <v/>
      </c>
      <c r="W1849">
        <f>IF([2]Baskol!$D$1852="","",[2]Baskol!$D$1852)</f>
        <v/>
      </c>
      <c r="X1849">
        <f>IF([2]Baskol!$E$1852="","",[2]Baskol!$E$1852)</f>
        <v/>
      </c>
      <c r="Y1849">
        <f>IF([2]Baskol!$G$1852="","",[2]Baskol!$G$1852)</f>
        <v/>
      </c>
      <c r="Z1849">
        <f>IF([2]Baskol!$I$1852="","",[2]Baskol!$I$1852)</f>
        <v/>
      </c>
      <c r="AA1849">
        <f>IF([2]Baskol!$J$1852="","",[2]Baskol!$J$1852)</f>
        <v/>
      </c>
      <c r="AB1849">
        <f>IF([2]Baskol!$K$1852="","",[2]Baskol!$K$1852)</f>
        <v/>
      </c>
      <c r="AC1849">
        <f>IF([2]Baskol!$L$1852="","",[2]Baskol!$L$1852)</f>
        <v/>
      </c>
      <c r="AD1849">
        <f>IF([2]Baskol!$N$1852="","",[2]Baskol!$N$1852)</f>
        <v/>
      </c>
      <c r="AE1849">
        <f>IF([2]Baskol!$O$1852="","",[2]Baskol!$O$1852)</f>
        <v/>
      </c>
      <c r="AG1849">
        <f>IF([3]Entry!$C$1852="","",[3]Entry!$C$1852)</f>
        <v/>
      </c>
      <c r="AH1849">
        <f>IF([3]Entry!$D$1852="","",[3]Entry!$D$1852)</f>
        <v/>
      </c>
      <c r="AI1849">
        <f>IF([3]Entry!$E$1852="","",[3]Entry!$E$1852)</f>
        <v/>
      </c>
      <c r="AJ1849">
        <f>IF([3]Entry!$G$1852="","",[3]Entry!$G$1852)</f>
        <v/>
      </c>
      <c r="AK1849">
        <f>IF([3]Entry!$K$1852="","",[3]Entry!$K$1852)</f>
        <v/>
      </c>
      <c r="AL1849">
        <f>IF([3]Entry!$L$1852="","",[3]Entry!$L$1852)</f>
        <v/>
      </c>
      <c r="AM1849">
        <f>IF([3]Entry!$M$1852="","",[3]Entry!$M$1852)</f>
        <v/>
      </c>
      <c r="AN1849">
        <f>IF([3]Entry!$N$1852="","",[3]Entry!$N$1852)</f>
        <v/>
      </c>
      <c r="AO1849">
        <f>IF([3]Entry!$R$1852="","",[3]Entry!$R$1852)</f>
        <v/>
      </c>
    </row>
    <row r="1850">
      <c r="U1850">
        <f>IF([2]Baskol!$B$1853="","",[2]Baskol!$B$1853)</f>
        <v/>
      </c>
      <c r="V1850">
        <f>IF([2]Baskol!$C$1853="","",[2]Baskol!$C$1853)</f>
        <v/>
      </c>
      <c r="W1850">
        <f>IF([2]Baskol!$D$1853="","",[2]Baskol!$D$1853)</f>
        <v/>
      </c>
      <c r="X1850">
        <f>IF([2]Baskol!$E$1853="","",[2]Baskol!$E$1853)</f>
        <v/>
      </c>
      <c r="Y1850">
        <f>IF([2]Baskol!$G$1853="","",[2]Baskol!$G$1853)</f>
        <v/>
      </c>
      <c r="Z1850">
        <f>IF([2]Baskol!$I$1853="","",[2]Baskol!$I$1853)</f>
        <v/>
      </c>
      <c r="AA1850">
        <f>IF([2]Baskol!$J$1853="","",[2]Baskol!$J$1853)</f>
        <v/>
      </c>
      <c r="AB1850">
        <f>IF([2]Baskol!$K$1853="","",[2]Baskol!$K$1853)</f>
        <v/>
      </c>
      <c r="AC1850">
        <f>IF([2]Baskol!$L$1853="","",[2]Baskol!$L$1853)</f>
        <v/>
      </c>
      <c r="AD1850">
        <f>IF([2]Baskol!$N$1853="","",[2]Baskol!$N$1853)</f>
        <v/>
      </c>
      <c r="AE1850">
        <f>IF([2]Baskol!$O$1853="","",[2]Baskol!$O$1853)</f>
        <v/>
      </c>
      <c r="AG1850">
        <f>IF([3]Entry!$C$1853="","",[3]Entry!$C$1853)</f>
        <v/>
      </c>
      <c r="AH1850">
        <f>IF([3]Entry!$D$1853="","",[3]Entry!$D$1853)</f>
        <v/>
      </c>
      <c r="AI1850">
        <f>IF([3]Entry!$E$1853="","",[3]Entry!$E$1853)</f>
        <v/>
      </c>
      <c r="AJ1850">
        <f>IF([3]Entry!$G$1853="","",[3]Entry!$G$1853)</f>
        <v/>
      </c>
      <c r="AK1850">
        <f>IF([3]Entry!$K$1853="","",[3]Entry!$K$1853)</f>
        <v/>
      </c>
      <c r="AL1850">
        <f>IF([3]Entry!$L$1853="","",[3]Entry!$L$1853)</f>
        <v/>
      </c>
      <c r="AM1850">
        <f>IF([3]Entry!$M$1853="","",[3]Entry!$M$1853)</f>
        <v/>
      </c>
      <c r="AN1850">
        <f>IF([3]Entry!$N$1853="","",[3]Entry!$N$1853)</f>
        <v/>
      </c>
      <c r="AO1850">
        <f>IF([3]Entry!$R$1853="","",[3]Entry!$R$1853)</f>
        <v/>
      </c>
    </row>
    <row r="1851">
      <c r="U1851">
        <f>IF([2]Baskol!$B$1854="","",[2]Baskol!$B$1854)</f>
        <v/>
      </c>
      <c r="V1851">
        <f>IF([2]Baskol!$C$1854="","",[2]Baskol!$C$1854)</f>
        <v/>
      </c>
      <c r="W1851">
        <f>IF([2]Baskol!$D$1854="","",[2]Baskol!$D$1854)</f>
        <v/>
      </c>
      <c r="X1851">
        <f>IF([2]Baskol!$E$1854="","",[2]Baskol!$E$1854)</f>
        <v/>
      </c>
      <c r="Y1851">
        <f>IF([2]Baskol!$G$1854="","",[2]Baskol!$G$1854)</f>
        <v/>
      </c>
      <c r="Z1851">
        <f>IF([2]Baskol!$I$1854="","",[2]Baskol!$I$1854)</f>
        <v/>
      </c>
      <c r="AA1851">
        <f>IF([2]Baskol!$J$1854="","",[2]Baskol!$J$1854)</f>
        <v/>
      </c>
      <c r="AB1851">
        <f>IF([2]Baskol!$K$1854="","",[2]Baskol!$K$1854)</f>
        <v/>
      </c>
      <c r="AC1851">
        <f>IF([2]Baskol!$L$1854="","",[2]Baskol!$L$1854)</f>
        <v/>
      </c>
      <c r="AD1851">
        <f>IF([2]Baskol!$N$1854="","",[2]Baskol!$N$1854)</f>
        <v/>
      </c>
      <c r="AE1851">
        <f>IF([2]Baskol!$O$1854="","",[2]Baskol!$O$1854)</f>
        <v/>
      </c>
      <c r="AG1851">
        <f>IF([3]Entry!$C$1854="","",[3]Entry!$C$1854)</f>
        <v/>
      </c>
      <c r="AH1851">
        <f>IF([3]Entry!$D$1854="","",[3]Entry!$D$1854)</f>
        <v/>
      </c>
      <c r="AI1851">
        <f>IF([3]Entry!$E$1854="","",[3]Entry!$E$1854)</f>
        <v/>
      </c>
      <c r="AJ1851">
        <f>IF([3]Entry!$G$1854="","",[3]Entry!$G$1854)</f>
        <v/>
      </c>
      <c r="AK1851">
        <f>IF([3]Entry!$K$1854="","",[3]Entry!$K$1854)</f>
        <v/>
      </c>
      <c r="AL1851">
        <f>IF([3]Entry!$L$1854="","",[3]Entry!$L$1854)</f>
        <v/>
      </c>
      <c r="AM1851">
        <f>IF([3]Entry!$M$1854="","",[3]Entry!$M$1854)</f>
        <v/>
      </c>
      <c r="AN1851">
        <f>IF([3]Entry!$N$1854="","",[3]Entry!$N$1854)</f>
        <v/>
      </c>
      <c r="AO1851">
        <f>IF([3]Entry!$R$1854="","",[3]Entry!$R$1854)</f>
        <v/>
      </c>
    </row>
    <row r="1852">
      <c r="U1852">
        <f>IF([2]Baskol!$B$1855="","",[2]Baskol!$B$1855)</f>
        <v/>
      </c>
      <c r="V1852">
        <f>IF([2]Baskol!$C$1855="","",[2]Baskol!$C$1855)</f>
        <v/>
      </c>
      <c r="W1852">
        <f>IF([2]Baskol!$D$1855="","",[2]Baskol!$D$1855)</f>
        <v/>
      </c>
      <c r="X1852">
        <f>IF([2]Baskol!$E$1855="","",[2]Baskol!$E$1855)</f>
        <v/>
      </c>
      <c r="Y1852">
        <f>IF([2]Baskol!$G$1855="","",[2]Baskol!$G$1855)</f>
        <v/>
      </c>
      <c r="Z1852">
        <f>IF([2]Baskol!$I$1855="","",[2]Baskol!$I$1855)</f>
        <v/>
      </c>
      <c r="AA1852">
        <f>IF([2]Baskol!$J$1855="","",[2]Baskol!$J$1855)</f>
        <v/>
      </c>
      <c r="AB1852">
        <f>IF([2]Baskol!$K$1855="","",[2]Baskol!$K$1855)</f>
        <v/>
      </c>
      <c r="AC1852">
        <f>IF([2]Baskol!$L$1855="","",[2]Baskol!$L$1855)</f>
        <v/>
      </c>
      <c r="AD1852">
        <f>IF([2]Baskol!$N$1855="","",[2]Baskol!$N$1855)</f>
        <v/>
      </c>
      <c r="AE1852">
        <f>IF([2]Baskol!$O$1855="","",[2]Baskol!$O$1855)</f>
        <v/>
      </c>
      <c r="AG1852">
        <f>IF([3]Entry!$C$1855="","",[3]Entry!$C$1855)</f>
        <v/>
      </c>
      <c r="AH1852">
        <f>IF([3]Entry!$D$1855="","",[3]Entry!$D$1855)</f>
        <v/>
      </c>
      <c r="AI1852">
        <f>IF([3]Entry!$E$1855="","",[3]Entry!$E$1855)</f>
        <v/>
      </c>
      <c r="AJ1852">
        <f>IF([3]Entry!$G$1855="","",[3]Entry!$G$1855)</f>
        <v/>
      </c>
      <c r="AK1852">
        <f>IF([3]Entry!$K$1855="","",[3]Entry!$K$1855)</f>
        <v/>
      </c>
      <c r="AL1852">
        <f>IF([3]Entry!$L$1855="","",[3]Entry!$L$1855)</f>
        <v/>
      </c>
      <c r="AM1852">
        <f>IF([3]Entry!$M$1855="","",[3]Entry!$M$1855)</f>
        <v/>
      </c>
      <c r="AN1852">
        <f>IF([3]Entry!$N$1855="","",[3]Entry!$N$1855)</f>
        <v/>
      </c>
      <c r="AO1852">
        <f>IF([3]Entry!$R$1855="","",[3]Entry!$R$1855)</f>
        <v/>
      </c>
    </row>
    <row r="1853">
      <c r="U1853">
        <f>IF([2]Baskol!$B$1856="","",[2]Baskol!$B$1856)</f>
        <v/>
      </c>
      <c r="V1853">
        <f>IF([2]Baskol!$C$1856="","",[2]Baskol!$C$1856)</f>
        <v/>
      </c>
      <c r="W1853">
        <f>IF([2]Baskol!$D$1856="","",[2]Baskol!$D$1856)</f>
        <v/>
      </c>
      <c r="X1853">
        <f>IF([2]Baskol!$E$1856="","",[2]Baskol!$E$1856)</f>
        <v/>
      </c>
      <c r="Y1853">
        <f>IF([2]Baskol!$G$1856="","",[2]Baskol!$G$1856)</f>
        <v/>
      </c>
      <c r="Z1853">
        <f>IF([2]Baskol!$I$1856="","",[2]Baskol!$I$1856)</f>
        <v/>
      </c>
      <c r="AA1853">
        <f>IF([2]Baskol!$J$1856="","",[2]Baskol!$J$1856)</f>
        <v/>
      </c>
      <c r="AB1853">
        <f>IF([2]Baskol!$K$1856="","",[2]Baskol!$K$1856)</f>
        <v/>
      </c>
      <c r="AC1853">
        <f>IF([2]Baskol!$L$1856="","",[2]Baskol!$L$1856)</f>
        <v/>
      </c>
      <c r="AD1853">
        <f>IF([2]Baskol!$N$1856="","",[2]Baskol!$N$1856)</f>
        <v/>
      </c>
      <c r="AE1853">
        <f>IF([2]Baskol!$O$1856="","",[2]Baskol!$O$1856)</f>
        <v/>
      </c>
      <c r="AG1853">
        <f>IF([3]Entry!$C$1856="","",[3]Entry!$C$1856)</f>
        <v/>
      </c>
      <c r="AH1853">
        <f>IF([3]Entry!$D$1856="","",[3]Entry!$D$1856)</f>
        <v/>
      </c>
      <c r="AI1853">
        <f>IF([3]Entry!$E$1856="","",[3]Entry!$E$1856)</f>
        <v/>
      </c>
      <c r="AJ1853">
        <f>IF([3]Entry!$G$1856="","",[3]Entry!$G$1856)</f>
        <v/>
      </c>
      <c r="AK1853">
        <f>IF([3]Entry!$K$1856="","",[3]Entry!$K$1856)</f>
        <v/>
      </c>
      <c r="AL1853">
        <f>IF([3]Entry!$L$1856="","",[3]Entry!$L$1856)</f>
        <v/>
      </c>
      <c r="AM1853">
        <f>IF([3]Entry!$M$1856="","",[3]Entry!$M$1856)</f>
        <v/>
      </c>
      <c r="AN1853">
        <f>IF([3]Entry!$N$1856="","",[3]Entry!$N$1856)</f>
        <v/>
      </c>
      <c r="AO1853">
        <f>IF([3]Entry!$R$1856="","",[3]Entry!$R$1856)</f>
        <v/>
      </c>
    </row>
    <row r="1854">
      <c r="U1854">
        <f>IF([2]Baskol!$B$1857="","",[2]Baskol!$B$1857)</f>
        <v/>
      </c>
      <c r="V1854">
        <f>IF([2]Baskol!$C$1857="","",[2]Baskol!$C$1857)</f>
        <v/>
      </c>
      <c r="W1854">
        <f>IF([2]Baskol!$D$1857="","",[2]Baskol!$D$1857)</f>
        <v/>
      </c>
      <c r="X1854">
        <f>IF([2]Baskol!$E$1857="","",[2]Baskol!$E$1857)</f>
        <v/>
      </c>
      <c r="Y1854">
        <f>IF([2]Baskol!$G$1857="","",[2]Baskol!$G$1857)</f>
        <v/>
      </c>
      <c r="Z1854">
        <f>IF([2]Baskol!$I$1857="","",[2]Baskol!$I$1857)</f>
        <v/>
      </c>
      <c r="AA1854">
        <f>IF([2]Baskol!$J$1857="","",[2]Baskol!$J$1857)</f>
        <v/>
      </c>
      <c r="AB1854">
        <f>IF([2]Baskol!$K$1857="","",[2]Baskol!$K$1857)</f>
        <v/>
      </c>
      <c r="AC1854">
        <f>IF([2]Baskol!$L$1857="","",[2]Baskol!$L$1857)</f>
        <v/>
      </c>
      <c r="AD1854">
        <f>IF([2]Baskol!$N$1857="","",[2]Baskol!$N$1857)</f>
        <v/>
      </c>
      <c r="AE1854">
        <f>IF([2]Baskol!$O$1857="","",[2]Baskol!$O$1857)</f>
        <v/>
      </c>
      <c r="AG1854">
        <f>IF([3]Entry!$C$1857="","",[3]Entry!$C$1857)</f>
        <v/>
      </c>
      <c r="AH1854">
        <f>IF([3]Entry!$D$1857="","",[3]Entry!$D$1857)</f>
        <v/>
      </c>
      <c r="AI1854">
        <f>IF([3]Entry!$E$1857="","",[3]Entry!$E$1857)</f>
        <v/>
      </c>
      <c r="AJ1854">
        <f>IF([3]Entry!$G$1857="","",[3]Entry!$G$1857)</f>
        <v/>
      </c>
      <c r="AK1854">
        <f>IF([3]Entry!$K$1857="","",[3]Entry!$K$1857)</f>
        <v/>
      </c>
      <c r="AL1854">
        <f>IF([3]Entry!$L$1857="","",[3]Entry!$L$1857)</f>
        <v/>
      </c>
      <c r="AM1854">
        <f>IF([3]Entry!$M$1857="","",[3]Entry!$M$1857)</f>
        <v/>
      </c>
      <c r="AN1854">
        <f>IF([3]Entry!$N$1857="","",[3]Entry!$N$1857)</f>
        <v/>
      </c>
      <c r="AO1854">
        <f>IF([3]Entry!$R$1857="","",[3]Entry!$R$1857)</f>
        <v/>
      </c>
    </row>
    <row r="1855">
      <c r="U1855">
        <f>IF([2]Baskol!$B$1858="","",[2]Baskol!$B$1858)</f>
        <v/>
      </c>
      <c r="V1855">
        <f>IF([2]Baskol!$C$1858="","",[2]Baskol!$C$1858)</f>
        <v/>
      </c>
      <c r="W1855">
        <f>IF([2]Baskol!$D$1858="","",[2]Baskol!$D$1858)</f>
        <v/>
      </c>
      <c r="X1855">
        <f>IF([2]Baskol!$E$1858="","",[2]Baskol!$E$1858)</f>
        <v/>
      </c>
      <c r="Y1855">
        <f>IF([2]Baskol!$G$1858="","",[2]Baskol!$G$1858)</f>
        <v/>
      </c>
      <c r="Z1855">
        <f>IF([2]Baskol!$I$1858="","",[2]Baskol!$I$1858)</f>
        <v/>
      </c>
      <c r="AA1855">
        <f>IF([2]Baskol!$J$1858="","",[2]Baskol!$J$1858)</f>
        <v/>
      </c>
      <c r="AB1855">
        <f>IF([2]Baskol!$K$1858="","",[2]Baskol!$K$1858)</f>
        <v/>
      </c>
      <c r="AC1855">
        <f>IF([2]Baskol!$L$1858="","",[2]Baskol!$L$1858)</f>
        <v/>
      </c>
      <c r="AD1855">
        <f>IF([2]Baskol!$N$1858="","",[2]Baskol!$N$1858)</f>
        <v/>
      </c>
      <c r="AE1855">
        <f>IF([2]Baskol!$O$1858="","",[2]Baskol!$O$1858)</f>
        <v/>
      </c>
      <c r="AG1855">
        <f>IF([3]Entry!$C$1858="","",[3]Entry!$C$1858)</f>
        <v/>
      </c>
      <c r="AH1855">
        <f>IF([3]Entry!$D$1858="","",[3]Entry!$D$1858)</f>
        <v/>
      </c>
      <c r="AI1855">
        <f>IF([3]Entry!$E$1858="","",[3]Entry!$E$1858)</f>
        <v/>
      </c>
      <c r="AJ1855">
        <f>IF([3]Entry!$G$1858="","",[3]Entry!$G$1858)</f>
        <v/>
      </c>
      <c r="AK1855">
        <f>IF([3]Entry!$K$1858="","",[3]Entry!$K$1858)</f>
        <v/>
      </c>
      <c r="AL1855">
        <f>IF([3]Entry!$L$1858="","",[3]Entry!$L$1858)</f>
        <v/>
      </c>
      <c r="AM1855">
        <f>IF([3]Entry!$M$1858="","",[3]Entry!$M$1858)</f>
        <v/>
      </c>
      <c r="AN1855">
        <f>IF([3]Entry!$N$1858="","",[3]Entry!$N$1858)</f>
        <v/>
      </c>
      <c r="AO1855">
        <f>IF([3]Entry!$R$1858="","",[3]Entry!$R$1858)</f>
        <v/>
      </c>
    </row>
    <row r="1856">
      <c r="U1856">
        <f>IF([2]Baskol!$B$1859="","",[2]Baskol!$B$1859)</f>
        <v/>
      </c>
      <c r="V1856">
        <f>IF([2]Baskol!$C$1859="","",[2]Baskol!$C$1859)</f>
        <v/>
      </c>
      <c r="W1856">
        <f>IF([2]Baskol!$D$1859="","",[2]Baskol!$D$1859)</f>
        <v/>
      </c>
      <c r="X1856">
        <f>IF([2]Baskol!$E$1859="","",[2]Baskol!$E$1859)</f>
        <v/>
      </c>
      <c r="Y1856">
        <f>IF([2]Baskol!$G$1859="","",[2]Baskol!$G$1859)</f>
        <v/>
      </c>
      <c r="Z1856">
        <f>IF([2]Baskol!$I$1859="","",[2]Baskol!$I$1859)</f>
        <v/>
      </c>
      <c r="AA1856">
        <f>IF([2]Baskol!$J$1859="","",[2]Baskol!$J$1859)</f>
        <v/>
      </c>
      <c r="AB1856">
        <f>IF([2]Baskol!$K$1859="","",[2]Baskol!$K$1859)</f>
        <v/>
      </c>
      <c r="AC1856">
        <f>IF([2]Baskol!$L$1859="","",[2]Baskol!$L$1859)</f>
        <v/>
      </c>
      <c r="AD1856">
        <f>IF([2]Baskol!$N$1859="","",[2]Baskol!$N$1859)</f>
        <v/>
      </c>
      <c r="AE1856">
        <f>IF([2]Baskol!$O$1859="","",[2]Baskol!$O$1859)</f>
        <v/>
      </c>
      <c r="AG1856">
        <f>IF([3]Entry!$C$1859="","",[3]Entry!$C$1859)</f>
        <v/>
      </c>
      <c r="AH1856">
        <f>IF([3]Entry!$D$1859="","",[3]Entry!$D$1859)</f>
        <v/>
      </c>
      <c r="AI1856">
        <f>IF([3]Entry!$E$1859="","",[3]Entry!$E$1859)</f>
        <v/>
      </c>
      <c r="AJ1856">
        <f>IF([3]Entry!$G$1859="","",[3]Entry!$G$1859)</f>
        <v/>
      </c>
      <c r="AK1856">
        <f>IF([3]Entry!$K$1859="","",[3]Entry!$K$1859)</f>
        <v/>
      </c>
      <c r="AL1856">
        <f>IF([3]Entry!$L$1859="","",[3]Entry!$L$1859)</f>
        <v/>
      </c>
      <c r="AM1856">
        <f>IF([3]Entry!$M$1859="","",[3]Entry!$M$1859)</f>
        <v/>
      </c>
      <c r="AN1856">
        <f>IF([3]Entry!$N$1859="","",[3]Entry!$N$1859)</f>
        <v/>
      </c>
      <c r="AO1856">
        <f>IF([3]Entry!$R$1859="","",[3]Entry!$R$1859)</f>
        <v/>
      </c>
    </row>
    <row r="1857">
      <c r="U1857">
        <f>IF([2]Baskol!$B$1860="","",[2]Baskol!$B$1860)</f>
        <v/>
      </c>
      <c r="V1857">
        <f>IF([2]Baskol!$C$1860="","",[2]Baskol!$C$1860)</f>
        <v/>
      </c>
      <c r="W1857">
        <f>IF([2]Baskol!$D$1860="","",[2]Baskol!$D$1860)</f>
        <v/>
      </c>
      <c r="X1857">
        <f>IF([2]Baskol!$E$1860="","",[2]Baskol!$E$1860)</f>
        <v/>
      </c>
      <c r="Y1857">
        <f>IF([2]Baskol!$G$1860="","",[2]Baskol!$G$1860)</f>
        <v/>
      </c>
      <c r="Z1857">
        <f>IF([2]Baskol!$I$1860="","",[2]Baskol!$I$1860)</f>
        <v/>
      </c>
      <c r="AA1857">
        <f>IF([2]Baskol!$J$1860="","",[2]Baskol!$J$1860)</f>
        <v/>
      </c>
      <c r="AB1857">
        <f>IF([2]Baskol!$K$1860="","",[2]Baskol!$K$1860)</f>
        <v/>
      </c>
      <c r="AC1857">
        <f>IF([2]Baskol!$L$1860="","",[2]Baskol!$L$1860)</f>
        <v/>
      </c>
      <c r="AD1857">
        <f>IF([2]Baskol!$N$1860="","",[2]Baskol!$N$1860)</f>
        <v/>
      </c>
      <c r="AE1857">
        <f>IF([2]Baskol!$O$1860="","",[2]Baskol!$O$1860)</f>
        <v/>
      </c>
      <c r="AG1857">
        <f>IF([3]Entry!$C$1860="","",[3]Entry!$C$1860)</f>
        <v/>
      </c>
      <c r="AH1857">
        <f>IF([3]Entry!$D$1860="","",[3]Entry!$D$1860)</f>
        <v/>
      </c>
      <c r="AI1857">
        <f>IF([3]Entry!$E$1860="","",[3]Entry!$E$1860)</f>
        <v/>
      </c>
      <c r="AJ1857">
        <f>IF([3]Entry!$G$1860="","",[3]Entry!$G$1860)</f>
        <v/>
      </c>
      <c r="AK1857">
        <f>IF([3]Entry!$K$1860="","",[3]Entry!$K$1860)</f>
        <v/>
      </c>
      <c r="AL1857">
        <f>IF([3]Entry!$L$1860="","",[3]Entry!$L$1860)</f>
        <v/>
      </c>
      <c r="AM1857">
        <f>IF([3]Entry!$M$1860="","",[3]Entry!$M$1860)</f>
        <v/>
      </c>
      <c r="AN1857">
        <f>IF([3]Entry!$N$1860="","",[3]Entry!$N$1860)</f>
        <v/>
      </c>
      <c r="AO1857">
        <f>IF([3]Entry!$R$1860="","",[3]Entry!$R$1860)</f>
        <v/>
      </c>
    </row>
    <row r="1858">
      <c r="U1858">
        <f>IF([2]Baskol!$B$1861="","",[2]Baskol!$B$1861)</f>
        <v/>
      </c>
      <c r="V1858">
        <f>IF([2]Baskol!$C$1861="","",[2]Baskol!$C$1861)</f>
        <v/>
      </c>
      <c r="W1858">
        <f>IF([2]Baskol!$D$1861="","",[2]Baskol!$D$1861)</f>
        <v/>
      </c>
      <c r="X1858">
        <f>IF([2]Baskol!$E$1861="","",[2]Baskol!$E$1861)</f>
        <v/>
      </c>
      <c r="Y1858">
        <f>IF([2]Baskol!$G$1861="","",[2]Baskol!$G$1861)</f>
        <v/>
      </c>
      <c r="Z1858">
        <f>IF([2]Baskol!$I$1861="","",[2]Baskol!$I$1861)</f>
        <v/>
      </c>
      <c r="AA1858">
        <f>IF([2]Baskol!$J$1861="","",[2]Baskol!$J$1861)</f>
        <v/>
      </c>
      <c r="AB1858">
        <f>IF([2]Baskol!$K$1861="","",[2]Baskol!$K$1861)</f>
        <v/>
      </c>
      <c r="AC1858">
        <f>IF([2]Baskol!$L$1861="","",[2]Baskol!$L$1861)</f>
        <v/>
      </c>
      <c r="AD1858">
        <f>IF([2]Baskol!$N$1861="","",[2]Baskol!$N$1861)</f>
        <v/>
      </c>
      <c r="AE1858">
        <f>IF([2]Baskol!$O$1861="","",[2]Baskol!$O$1861)</f>
        <v/>
      </c>
      <c r="AG1858">
        <f>IF([3]Entry!$C$1861="","",[3]Entry!$C$1861)</f>
        <v/>
      </c>
      <c r="AH1858">
        <f>IF([3]Entry!$D$1861="","",[3]Entry!$D$1861)</f>
        <v/>
      </c>
      <c r="AI1858">
        <f>IF([3]Entry!$E$1861="","",[3]Entry!$E$1861)</f>
        <v/>
      </c>
      <c r="AJ1858">
        <f>IF([3]Entry!$G$1861="","",[3]Entry!$G$1861)</f>
        <v/>
      </c>
      <c r="AK1858">
        <f>IF([3]Entry!$K$1861="","",[3]Entry!$K$1861)</f>
        <v/>
      </c>
      <c r="AL1858">
        <f>IF([3]Entry!$L$1861="","",[3]Entry!$L$1861)</f>
        <v/>
      </c>
      <c r="AM1858">
        <f>IF([3]Entry!$M$1861="","",[3]Entry!$M$1861)</f>
        <v/>
      </c>
      <c r="AN1858">
        <f>IF([3]Entry!$N$1861="","",[3]Entry!$N$1861)</f>
        <v/>
      </c>
      <c r="AO1858">
        <f>IF([3]Entry!$R$1861="","",[3]Entry!$R$1861)</f>
        <v/>
      </c>
    </row>
    <row r="1859">
      <c r="U1859">
        <f>IF([2]Baskol!$B$1862="","",[2]Baskol!$B$1862)</f>
        <v/>
      </c>
      <c r="V1859">
        <f>IF([2]Baskol!$C$1862="","",[2]Baskol!$C$1862)</f>
        <v/>
      </c>
      <c r="W1859">
        <f>IF([2]Baskol!$D$1862="","",[2]Baskol!$D$1862)</f>
        <v/>
      </c>
      <c r="X1859">
        <f>IF([2]Baskol!$E$1862="","",[2]Baskol!$E$1862)</f>
        <v/>
      </c>
      <c r="Y1859">
        <f>IF([2]Baskol!$G$1862="","",[2]Baskol!$G$1862)</f>
        <v/>
      </c>
      <c r="Z1859">
        <f>IF([2]Baskol!$I$1862="","",[2]Baskol!$I$1862)</f>
        <v/>
      </c>
      <c r="AA1859">
        <f>IF([2]Baskol!$J$1862="","",[2]Baskol!$J$1862)</f>
        <v/>
      </c>
      <c r="AB1859">
        <f>IF([2]Baskol!$K$1862="","",[2]Baskol!$K$1862)</f>
        <v/>
      </c>
      <c r="AC1859">
        <f>IF([2]Baskol!$L$1862="","",[2]Baskol!$L$1862)</f>
        <v/>
      </c>
      <c r="AD1859">
        <f>IF([2]Baskol!$N$1862="","",[2]Baskol!$N$1862)</f>
        <v/>
      </c>
      <c r="AE1859">
        <f>IF([2]Baskol!$O$1862="","",[2]Baskol!$O$1862)</f>
        <v/>
      </c>
      <c r="AG1859">
        <f>IF([3]Entry!$C$1862="","",[3]Entry!$C$1862)</f>
        <v/>
      </c>
      <c r="AH1859">
        <f>IF([3]Entry!$D$1862="","",[3]Entry!$D$1862)</f>
        <v/>
      </c>
      <c r="AI1859">
        <f>IF([3]Entry!$E$1862="","",[3]Entry!$E$1862)</f>
        <v/>
      </c>
      <c r="AJ1859">
        <f>IF([3]Entry!$G$1862="","",[3]Entry!$G$1862)</f>
        <v/>
      </c>
      <c r="AK1859">
        <f>IF([3]Entry!$K$1862="","",[3]Entry!$K$1862)</f>
        <v/>
      </c>
      <c r="AL1859">
        <f>IF([3]Entry!$L$1862="","",[3]Entry!$L$1862)</f>
        <v/>
      </c>
      <c r="AM1859">
        <f>IF([3]Entry!$M$1862="","",[3]Entry!$M$1862)</f>
        <v/>
      </c>
      <c r="AN1859">
        <f>IF([3]Entry!$N$1862="","",[3]Entry!$N$1862)</f>
        <v/>
      </c>
      <c r="AO1859">
        <f>IF([3]Entry!$R$1862="","",[3]Entry!$R$1862)</f>
        <v/>
      </c>
    </row>
    <row r="1860">
      <c r="U1860">
        <f>IF([2]Baskol!$B$1863="","",[2]Baskol!$B$1863)</f>
        <v/>
      </c>
      <c r="V1860">
        <f>IF([2]Baskol!$C$1863="","",[2]Baskol!$C$1863)</f>
        <v/>
      </c>
      <c r="W1860">
        <f>IF([2]Baskol!$D$1863="","",[2]Baskol!$D$1863)</f>
        <v/>
      </c>
      <c r="X1860">
        <f>IF([2]Baskol!$E$1863="","",[2]Baskol!$E$1863)</f>
        <v/>
      </c>
      <c r="Y1860">
        <f>IF([2]Baskol!$G$1863="","",[2]Baskol!$G$1863)</f>
        <v/>
      </c>
      <c r="Z1860">
        <f>IF([2]Baskol!$I$1863="","",[2]Baskol!$I$1863)</f>
        <v/>
      </c>
      <c r="AA1860">
        <f>IF([2]Baskol!$J$1863="","",[2]Baskol!$J$1863)</f>
        <v/>
      </c>
      <c r="AB1860">
        <f>IF([2]Baskol!$K$1863="","",[2]Baskol!$K$1863)</f>
        <v/>
      </c>
      <c r="AC1860">
        <f>IF([2]Baskol!$L$1863="","",[2]Baskol!$L$1863)</f>
        <v/>
      </c>
      <c r="AD1860">
        <f>IF([2]Baskol!$N$1863="","",[2]Baskol!$N$1863)</f>
        <v/>
      </c>
      <c r="AE1860">
        <f>IF([2]Baskol!$O$1863="","",[2]Baskol!$O$1863)</f>
        <v/>
      </c>
      <c r="AG1860">
        <f>IF([3]Entry!$C$1863="","",[3]Entry!$C$1863)</f>
        <v/>
      </c>
      <c r="AH1860">
        <f>IF([3]Entry!$D$1863="","",[3]Entry!$D$1863)</f>
        <v/>
      </c>
      <c r="AI1860">
        <f>IF([3]Entry!$E$1863="","",[3]Entry!$E$1863)</f>
        <v/>
      </c>
      <c r="AJ1860">
        <f>IF([3]Entry!$G$1863="","",[3]Entry!$G$1863)</f>
        <v/>
      </c>
      <c r="AK1860">
        <f>IF([3]Entry!$K$1863="","",[3]Entry!$K$1863)</f>
        <v/>
      </c>
      <c r="AL1860">
        <f>IF([3]Entry!$L$1863="","",[3]Entry!$L$1863)</f>
        <v/>
      </c>
      <c r="AM1860">
        <f>IF([3]Entry!$M$1863="","",[3]Entry!$M$1863)</f>
        <v/>
      </c>
      <c r="AN1860">
        <f>IF([3]Entry!$N$1863="","",[3]Entry!$N$1863)</f>
        <v/>
      </c>
      <c r="AO1860">
        <f>IF([3]Entry!$R$1863="","",[3]Entry!$R$1863)</f>
        <v/>
      </c>
    </row>
    <row r="1861">
      <c r="U1861">
        <f>IF([2]Baskol!$B$1864="","",[2]Baskol!$B$1864)</f>
        <v/>
      </c>
      <c r="V1861">
        <f>IF([2]Baskol!$C$1864="","",[2]Baskol!$C$1864)</f>
        <v/>
      </c>
      <c r="W1861">
        <f>IF([2]Baskol!$D$1864="","",[2]Baskol!$D$1864)</f>
        <v/>
      </c>
      <c r="X1861">
        <f>IF([2]Baskol!$E$1864="","",[2]Baskol!$E$1864)</f>
        <v/>
      </c>
      <c r="Y1861">
        <f>IF([2]Baskol!$G$1864="","",[2]Baskol!$G$1864)</f>
        <v/>
      </c>
      <c r="Z1861">
        <f>IF([2]Baskol!$I$1864="","",[2]Baskol!$I$1864)</f>
        <v/>
      </c>
      <c r="AA1861">
        <f>IF([2]Baskol!$J$1864="","",[2]Baskol!$J$1864)</f>
        <v/>
      </c>
      <c r="AB1861">
        <f>IF([2]Baskol!$K$1864="","",[2]Baskol!$K$1864)</f>
        <v/>
      </c>
      <c r="AC1861">
        <f>IF([2]Baskol!$L$1864="","",[2]Baskol!$L$1864)</f>
        <v/>
      </c>
      <c r="AD1861">
        <f>IF([2]Baskol!$N$1864="","",[2]Baskol!$N$1864)</f>
        <v/>
      </c>
      <c r="AE1861">
        <f>IF([2]Baskol!$O$1864="","",[2]Baskol!$O$1864)</f>
        <v/>
      </c>
      <c r="AG1861">
        <f>IF([3]Entry!$C$1864="","",[3]Entry!$C$1864)</f>
        <v/>
      </c>
      <c r="AH1861">
        <f>IF([3]Entry!$D$1864="","",[3]Entry!$D$1864)</f>
        <v/>
      </c>
      <c r="AI1861">
        <f>IF([3]Entry!$E$1864="","",[3]Entry!$E$1864)</f>
        <v/>
      </c>
      <c r="AJ1861">
        <f>IF([3]Entry!$G$1864="","",[3]Entry!$G$1864)</f>
        <v/>
      </c>
      <c r="AK1861">
        <f>IF([3]Entry!$K$1864="","",[3]Entry!$K$1864)</f>
        <v/>
      </c>
      <c r="AL1861">
        <f>IF([3]Entry!$L$1864="","",[3]Entry!$L$1864)</f>
        <v/>
      </c>
      <c r="AM1861">
        <f>IF([3]Entry!$M$1864="","",[3]Entry!$M$1864)</f>
        <v/>
      </c>
      <c r="AN1861">
        <f>IF([3]Entry!$N$1864="","",[3]Entry!$N$1864)</f>
        <v/>
      </c>
      <c r="AO1861">
        <f>IF([3]Entry!$R$1864="","",[3]Entry!$R$1864)</f>
        <v/>
      </c>
    </row>
    <row r="1862">
      <c r="U1862">
        <f>IF([2]Baskol!$B$1865="","",[2]Baskol!$B$1865)</f>
        <v/>
      </c>
      <c r="V1862">
        <f>IF([2]Baskol!$C$1865="","",[2]Baskol!$C$1865)</f>
        <v/>
      </c>
      <c r="W1862">
        <f>IF([2]Baskol!$D$1865="","",[2]Baskol!$D$1865)</f>
        <v/>
      </c>
      <c r="X1862">
        <f>IF([2]Baskol!$E$1865="","",[2]Baskol!$E$1865)</f>
        <v/>
      </c>
      <c r="Y1862">
        <f>IF([2]Baskol!$G$1865="","",[2]Baskol!$G$1865)</f>
        <v/>
      </c>
      <c r="Z1862">
        <f>IF([2]Baskol!$I$1865="","",[2]Baskol!$I$1865)</f>
        <v/>
      </c>
      <c r="AA1862">
        <f>IF([2]Baskol!$J$1865="","",[2]Baskol!$J$1865)</f>
        <v/>
      </c>
      <c r="AB1862">
        <f>IF([2]Baskol!$K$1865="","",[2]Baskol!$K$1865)</f>
        <v/>
      </c>
      <c r="AC1862">
        <f>IF([2]Baskol!$L$1865="","",[2]Baskol!$L$1865)</f>
        <v/>
      </c>
      <c r="AD1862">
        <f>IF([2]Baskol!$N$1865="","",[2]Baskol!$N$1865)</f>
        <v/>
      </c>
      <c r="AE1862">
        <f>IF([2]Baskol!$O$1865="","",[2]Baskol!$O$1865)</f>
        <v/>
      </c>
      <c r="AG1862">
        <f>IF([3]Entry!$C$1865="","",[3]Entry!$C$1865)</f>
        <v/>
      </c>
      <c r="AH1862">
        <f>IF([3]Entry!$D$1865="","",[3]Entry!$D$1865)</f>
        <v/>
      </c>
      <c r="AI1862">
        <f>IF([3]Entry!$E$1865="","",[3]Entry!$E$1865)</f>
        <v/>
      </c>
      <c r="AJ1862">
        <f>IF([3]Entry!$G$1865="","",[3]Entry!$G$1865)</f>
        <v/>
      </c>
      <c r="AK1862">
        <f>IF([3]Entry!$K$1865="","",[3]Entry!$K$1865)</f>
        <v/>
      </c>
      <c r="AL1862">
        <f>IF([3]Entry!$L$1865="","",[3]Entry!$L$1865)</f>
        <v/>
      </c>
      <c r="AM1862">
        <f>IF([3]Entry!$M$1865="","",[3]Entry!$M$1865)</f>
        <v/>
      </c>
      <c r="AN1862">
        <f>IF([3]Entry!$N$1865="","",[3]Entry!$N$1865)</f>
        <v/>
      </c>
      <c r="AO1862">
        <f>IF([3]Entry!$R$1865="","",[3]Entry!$R$1865)</f>
        <v/>
      </c>
    </row>
    <row r="1863">
      <c r="U1863">
        <f>IF([2]Baskol!$B$1866="","",[2]Baskol!$B$1866)</f>
        <v/>
      </c>
      <c r="V1863">
        <f>IF([2]Baskol!$C$1866="","",[2]Baskol!$C$1866)</f>
        <v/>
      </c>
      <c r="W1863">
        <f>IF([2]Baskol!$D$1866="","",[2]Baskol!$D$1866)</f>
        <v/>
      </c>
      <c r="X1863">
        <f>IF([2]Baskol!$E$1866="","",[2]Baskol!$E$1866)</f>
        <v/>
      </c>
      <c r="Y1863">
        <f>IF([2]Baskol!$G$1866="","",[2]Baskol!$G$1866)</f>
        <v/>
      </c>
      <c r="Z1863">
        <f>IF([2]Baskol!$I$1866="","",[2]Baskol!$I$1866)</f>
        <v/>
      </c>
      <c r="AA1863">
        <f>IF([2]Baskol!$J$1866="","",[2]Baskol!$J$1866)</f>
        <v/>
      </c>
      <c r="AB1863">
        <f>IF([2]Baskol!$K$1866="","",[2]Baskol!$K$1866)</f>
        <v/>
      </c>
      <c r="AC1863">
        <f>IF([2]Baskol!$L$1866="","",[2]Baskol!$L$1866)</f>
        <v/>
      </c>
      <c r="AD1863">
        <f>IF([2]Baskol!$N$1866="","",[2]Baskol!$N$1866)</f>
        <v/>
      </c>
      <c r="AE1863">
        <f>IF([2]Baskol!$O$1866="","",[2]Baskol!$O$1866)</f>
        <v/>
      </c>
      <c r="AG1863">
        <f>IF([3]Entry!$C$1866="","",[3]Entry!$C$1866)</f>
        <v/>
      </c>
      <c r="AH1863">
        <f>IF([3]Entry!$D$1866="","",[3]Entry!$D$1866)</f>
        <v/>
      </c>
      <c r="AI1863">
        <f>IF([3]Entry!$E$1866="","",[3]Entry!$E$1866)</f>
        <v/>
      </c>
      <c r="AJ1863">
        <f>IF([3]Entry!$G$1866="","",[3]Entry!$G$1866)</f>
        <v/>
      </c>
      <c r="AK1863">
        <f>IF([3]Entry!$K$1866="","",[3]Entry!$K$1866)</f>
        <v/>
      </c>
      <c r="AL1863">
        <f>IF([3]Entry!$L$1866="","",[3]Entry!$L$1866)</f>
        <v/>
      </c>
      <c r="AM1863">
        <f>IF([3]Entry!$M$1866="","",[3]Entry!$M$1866)</f>
        <v/>
      </c>
      <c r="AN1863">
        <f>IF([3]Entry!$N$1866="","",[3]Entry!$N$1866)</f>
        <v/>
      </c>
      <c r="AO1863">
        <f>IF([3]Entry!$R$1866="","",[3]Entry!$R$1866)</f>
        <v/>
      </c>
    </row>
    <row r="1864">
      <c r="U1864">
        <f>IF([2]Baskol!$B$1867="","",[2]Baskol!$B$1867)</f>
        <v/>
      </c>
      <c r="V1864">
        <f>IF([2]Baskol!$C$1867="","",[2]Baskol!$C$1867)</f>
        <v/>
      </c>
      <c r="W1864">
        <f>IF([2]Baskol!$D$1867="","",[2]Baskol!$D$1867)</f>
        <v/>
      </c>
      <c r="X1864">
        <f>IF([2]Baskol!$E$1867="","",[2]Baskol!$E$1867)</f>
        <v/>
      </c>
      <c r="Y1864">
        <f>IF([2]Baskol!$G$1867="","",[2]Baskol!$G$1867)</f>
        <v/>
      </c>
      <c r="Z1864">
        <f>IF([2]Baskol!$I$1867="","",[2]Baskol!$I$1867)</f>
        <v/>
      </c>
      <c r="AA1864">
        <f>IF([2]Baskol!$J$1867="","",[2]Baskol!$J$1867)</f>
        <v/>
      </c>
      <c r="AB1864">
        <f>IF([2]Baskol!$K$1867="","",[2]Baskol!$K$1867)</f>
        <v/>
      </c>
      <c r="AC1864">
        <f>IF([2]Baskol!$L$1867="","",[2]Baskol!$L$1867)</f>
        <v/>
      </c>
      <c r="AD1864">
        <f>IF([2]Baskol!$N$1867="","",[2]Baskol!$N$1867)</f>
        <v/>
      </c>
      <c r="AE1864">
        <f>IF([2]Baskol!$O$1867="","",[2]Baskol!$O$1867)</f>
        <v/>
      </c>
      <c r="AG1864">
        <f>IF([3]Entry!$C$1867="","",[3]Entry!$C$1867)</f>
        <v/>
      </c>
      <c r="AH1864">
        <f>IF([3]Entry!$D$1867="","",[3]Entry!$D$1867)</f>
        <v/>
      </c>
      <c r="AI1864">
        <f>IF([3]Entry!$E$1867="","",[3]Entry!$E$1867)</f>
        <v/>
      </c>
      <c r="AJ1864">
        <f>IF([3]Entry!$G$1867="","",[3]Entry!$G$1867)</f>
        <v/>
      </c>
      <c r="AK1864">
        <f>IF([3]Entry!$K$1867="","",[3]Entry!$K$1867)</f>
        <v/>
      </c>
      <c r="AL1864">
        <f>IF([3]Entry!$L$1867="","",[3]Entry!$L$1867)</f>
        <v/>
      </c>
      <c r="AM1864">
        <f>IF([3]Entry!$M$1867="","",[3]Entry!$M$1867)</f>
        <v/>
      </c>
      <c r="AN1864">
        <f>IF([3]Entry!$N$1867="","",[3]Entry!$N$1867)</f>
        <v/>
      </c>
      <c r="AO1864">
        <f>IF([3]Entry!$R$1867="","",[3]Entry!$R$1867)</f>
        <v/>
      </c>
    </row>
    <row r="1865">
      <c r="U1865">
        <f>IF([2]Baskol!$B$1868="","",[2]Baskol!$B$1868)</f>
        <v/>
      </c>
      <c r="V1865">
        <f>IF([2]Baskol!$C$1868="","",[2]Baskol!$C$1868)</f>
        <v/>
      </c>
      <c r="W1865">
        <f>IF([2]Baskol!$D$1868="","",[2]Baskol!$D$1868)</f>
        <v/>
      </c>
      <c r="X1865">
        <f>IF([2]Baskol!$E$1868="","",[2]Baskol!$E$1868)</f>
        <v/>
      </c>
      <c r="Y1865">
        <f>IF([2]Baskol!$G$1868="","",[2]Baskol!$G$1868)</f>
        <v/>
      </c>
      <c r="Z1865">
        <f>IF([2]Baskol!$I$1868="","",[2]Baskol!$I$1868)</f>
        <v/>
      </c>
      <c r="AA1865">
        <f>IF([2]Baskol!$J$1868="","",[2]Baskol!$J$1868)</f>
        <v/>
      </c>
      <c r="AB1865">
        <f>IF([2]Baskol!$K$1868="","",[2]Baskol!$K$1868)</f>
        <v/>
      </c>
      <c r="AC1865">
        <f>IF([2]Baskol!$L$1868="","",[2]Baskol!$L$1868)</f>
        <v/>
      </c>
      <c r="AD1865">
        <f>IF([2]Baskol!$N$1868="","",[2]Baskol!$N$1868)</f>
        <v/>
      </c>
      <c r="AE1865">
        <f>IF([2]Baskol!$O$1868="","",[2]Baskol!$O$1868)</f>
        <v/>
      </c>
      <c r="AG1865">
        <f>IF([3]Entry!$C$1868="","",[3]Entry!$C$1868)</f>
        <v/>
      </c>
      <c r="AH1865">
        <f>IF([3]Entry!$D$1868="","",[3]Entry!$D$1868)</f>
        <v/>
      </c>
      <c r="AI1865">
        <f>IF([3]Entry!$E$1868="","",[3]Entry!$E$1868)</f>
        <v/>
      </c>
      <c r="AJ1865">
        <f>IF([3]Entry!$G$1868="","",[3]Entry!$G$1868)</f>
        <v/>
      </c>
      <c r="AK1865">
        <f>IF([3]Entry!$K$1868="","",[3]Entry!$K$1868)</f>
        <v/>
      </c>
      <c r="AL1865">
        <f>IF([3]Entry!$L$1868="","",[3]Entry!$L$1868)</f>
        <v/>
      </c>
      <c r="AM1865">
        <f>IF([3]Entry!$M$1868="","",[3]Entry!$M$1868)</f>
        <v/>
      </c>
      <c r="AN1865">
        <f>IF([3]Entry!$N$1868="","",[3]Entry!$N$1868)</f>
        <v/>
      </c>
      <c r="AO1865">
        <f>IF([3]Entry!$R$1868="","",[3]Entry!$R$1868)</f>
        <v/>
      </c>
    </row>
    <row r="1866">
      <c r="U1866">
        <f>IF([2]Baskol!$B$1869="","",[2]Baskol!$B$1869)</f>
        <v/>
      </c>
      <c r="V1866">
        <f>IF([2]Baskol!$C$1869="","",[2]Baskol!$C$1869)</f>
        <v/>
      </c>
      <c r="W1866">
        <f>IF([2]Baskol!$D$1869="","",[2]Baskol!$D$1869)</f>
        <v/>
      </c>
      <c r="X1866">
        <f>IF([2]Baskol!$E$1869="","",[2]Baskol!$E$1869)</f>
        <v/>
      </c>
      <c r="Y1866">
        <f>IF([2]Baskol!$G$1869="","",[2]Baskol!$G$1869)</f>
        <v/>
      </c>
      <c r="Z1866">
        <f>IF([2]Baskol!$I$1869="","",[2]Baskol!$I$1869)</f>
        <v/>
      </c>
      <c r="AA1866">
        <f>IF([2]Baskol!$J$1869="","",[2]Baskol!$J$1869)</f>
        <v/>
      </c>
      <c r="AB1866">
        <f>IF([2]Baskol!$K$1869="","",[2]Baskol!$K$1869)</f>
        <v/>
      </c>
      <c r="AC1866">
        <f>IF([2]Baskol!$L$1869="","",[2]Baskol!$L$1869)</f>
        <v/>
      </c>
      <c r="AD1866">
        <f>IF([2]Baskol!$N$1869="","",[2]Baskol!$N$1869)</f>
        <v/>
      </c>
      <c r="AE1866">
        <f>IF([2]Baskol!$O$1869="","",[2]Baskol!$O$1869)</f>
        <v/>
      </c>
      <c r="AG1866">
        <f>IF([3]Entry!$C$1869="","",[3]Entry!$C$1869)</f>
        <v/>
      </c>
      <c r="AH1866">
        <f>IF([3]Entry!$D$1869="","",[3]Entry!$D$1869)</f>
        <v/>
      </c>
      <c r="AI1866">
        <f>IF([3]Entry!$E$1869="","",[3]Entry!$E$1869)</f>
        <v/>
      </c>
      <c r="AJ1866">
        <f>IF([3]Entry!$G$1869="","",[3]Entry!$G$1869)</f>
        <v/>
      </c>
      <c r="AK1866">
        <f>IF([3]Entry!$K$1869="","",[3]Entry!$K$1869)</f>
        <v/>
      </c>
      <c r="AL1866">
        <f>IF([3]Entry!$L$1869="","",[3]Entry!$L$1869)</f>
        <v/>
      </c>
      <c r="AM1866">
        <f>IF([3]Entry!$M$1869="","",[3]Entry!$M$1869)</f>
        <v/>
      </c>
      <c r="AN1866">
        <f>IF([3]Entry!$N$1869="","",[3]Entry!$N$1869)</f>
        <v/>
      </c>
      <c r="AO1866">
        <f>IF([3]Entry!$R$1869="","",[3]Entry!$R$1869)</f>
        <v/>
      </c>
    </row>
    <row r="1867">
      <c r="U1867">
        <f>IF([2]Baskol!$B$1870="","",[2]Baskol!$B$1870)</f>
        <v/>
      </c>
      <c r="V1867">
        <f>IF([2]Baskol!$C$1870="","",[2]Baskol!$C$1870)</f>
        <v/>
      </c>
      <c r="W1867">
        <f>IF([2]Baskol!$D$1870="","",[2]Baskol!$D$1870)</f>
        <v/>
      </c>
      <c r="X1867">
        <f>IF([2]Baskol!$E$1870="","",[2]Baskol!$E$1870)</f>
        <v/>
      </c>
      <c r="Y1867">
        <f>IF([2]Baskol!$G$1870="","",[2]Baskol!$G$1870)</f>
        <v/>
      </c>
      <c r="Z1867">
        <f>IF([2]Baskol!$I$1870="","",[2]Baskol!$I$1870)</f>
        <v/>
      </c>
      <c r="AA1867">
        <f>IF([2]Baskol!$J$1870="","",[2]Baskol!$J$1870)</f>
        <v/>
      </c>
      <c r="AB1867">
        <f>IF([2]Baskol!$K$1870="","",[2]Baskol!$K$1870)</f>
        <v/>
      </c>
      <c r="AC1867">
        <f>IF([2]Baskol!$L$1870="","",[2]Baskol!$L$1870)</f>
        <v/>
      </c>
      <c r="AD1867">
        <f>IF([2]Baskol!$N$1870="","",[2]Baskol!$N$1870)</f>
        <v/>
      </c>
      <c r="AE1867">
        <f>IF([2]Baskol!$O$1870="","",[2]Baskol!$O$1870)</f>
        <v/>
      </c>
      <c r="AG1867">
        <f>IF([3]Entry!$C$1870="","",[3]Entry!$C$1870)</f>
        <v/>
      </c>
      <c r="AH1867">
        <f>IF([3]Entry!$D$1870="","",[3]Entry!$D$1870)</f>
        <v/>
      </c>
      <c r="AI1867">
        <f>IF([3]Entry!$E$1870="","",[3]Entry!$E$1870)</f>
        <v/>
      </c>
      <c r="AJ1867">
        <f>IF([3]Entry!$G$1870="","",[3]Entry!$G$1870)</f>
        <v/>
      </c>
      <c r="AK1867">
        <f>IF([3]Entry!$K$1870="","",[3]Entry!$K$1870)</f>
        <v/>
      </c>
      <c r="AL1867">
        <f>IF([3]Entry!$L$1870="","",[3]Entry!$L$1870)</f>
        <v/>
      </c>
      <c r="AM1867">
        <f>IF([3]Entry!$M$1870="","",[3]Entry!$M$1870)</f>
        <v/>
      </c>
      <c r="AN1867">
        <f>IF([3]Entry!$N$1870="","",[3]Entry!$N$1870)</f>
        <v/>
      </c>
      <c r="AO1867">
        <f>IF([3]Entry!$R$1870="","",[3]Entry!$R$1870)</f>
        <v/>
      </c>
    </row>
    <row r="1868">
      <c r="U1868">
        <f>IF([2]Baskol!$B$1871="","",[2]Baskol!$B$1871)</f>
        <v/>
      </c>
      <c r="V1868">
        <f>IF([2]Baskol!$C$1871="","",[2]Baskol!$C$1871)</f>
        <v/>
      </c>
      <c r="W1868">
        <f>IF([2]Baskol!$D$1871="","",[2]Baskol!$D$1871)</f>
        <v/>
      </c>
      <c r="X1868">
        <f>IF([2]Baskol!$E$1871="","",[2]Baskol!$E$1871)</f>
        <v/>
      </c>
      <c r="Y1868">
        <f>IF([2]Baskol!$G$1871="","",[2]Baskol!$G$1871)</f>
        <v/>
      </c>
      <c r="Z1868">
        <f>IF([2]Baskol!$I$1871="","",[2]Baskol!$I$1871)</f>
        <v/>
      </c>
      <c r="AA1868">
        <f>IF([2]Baskol!$J$1871="","",[2]Baskol!$J$1871)</f>
        <v/>
      </c>
      <c r="AB1868">
        <f>IF([2]Baskol!$K$1871="","",[2]Baskol!$K$1871)</f>
        <v/>
      </c>
      <c r="AC1868">
        <f>IF([2]Baskol!$L$1871="","",[2]Baskol!$L$1871)</f>
        <v/>
      </c>
      <c r="AD1868">
        <f>IF([2]Baskol!$N$1871="","",[2]Baskol!$N$1871)</f>
        <v/>
      </c>
      <c r="AE1868">
        <f>IF([2]Baskol!$O$1871="","",[2]Baskol!$O$1871)</f>
        <v/>
      </c>
      <c r="AG1868">
        <f>IF([3]Entry!$C$1871="","",[3]Entry!$C$1871)</f>
        <v/>
      </c>
      <c r="AH1868">
        <f>IF([3]Entry!$D$1871="","",[3]Entry!$D$1871)</f>
        <v/>
      </c>
      <c r="AI1868">
        <f>IF([3]Entry!$E$1871="","",[3]Entry!$E$1871)</f>
        <v/>
      </c>
      <c r="AJ1868">
        <f>IF([3]Entry!$G$1871="","",[3]Entry!$G$1871)</f>
        <v/>
      </c>
      <c r="AK1868">
        <f>IF([3]Entry!$K$1871="","",[3]Entry!$K$1871)</f>
        <v/>
      </c>
      <c r="AL1868">
        <f>IF([3]Entry!$L$1871="","",[3]Entry!$L$1871)</f>
        <v/>
      </c>
      <c r="AM1868">
        <f>IF([3]Entry!$M$1871="","",[3]Entry!$M$1871)</f>
        <v/>
      </c>
      <c r="AN1868">
        <f>IF([3]Entry!$N$1871="","",[3]Entry!$N$1871)</f>
        <v/>
      </c>
      <c r="AO1868">
        <f>IF([3]Entry!$R$1871="","",[3]Entry!$R$1871)</f>
        <v/>
      </c>
    </row>
    <row r="1869">
      <c r="U1869">
        <f>IF([2]Baskol!$B$1872="","",[2]Baskol!$B$1872)</f>
        <v/>
      </c>
      <c r="V1869">
        <f>IF([2]Baskol!$C$1872="","",[2]Baskol!$C$1872)</f>
        <v/>
      </c>
      <c r="W1869">
        <f>IF([2]Baskol!$D$1872="","",[2]Baskol!$D$1872)</f>
        <v/>
      </c>
      <c r="X1869">
        <f>IF([2]Baskol!$E$1872="","",[2]Baskol!$E$1872)</f>
        <v/>
      </c>
      <c r="Y1869">
        <f>IF([2]Baskol!$G$1872="","",[2]Baskol!$G$1872)</f>
        <v/>
      </c>
      <c r="Z1869">
        <f>IF([2]Baskol!$I$1872="","",[2]Baskol!$I$1872)</f>
        <v/>
      </c>
      <c r="AA1869">
        <f>IF([2]Baskol!$J$1872="","",[2]Baskol!$J$1872)</f>
        <v/>
      </c>
      <c r="AB1869">
        <f>IF([2]Baskol!$K$1872="","",[2]Baskol!$K$1872)</f>
        <v/>
      </c>
      <c r="AC1869">
        <f>IF([2]Baskol!$L$1872="","",[2]Baskol!$L$1872)</f>
        <v/>
      </c>
      <c r="AD1869">
        <f>IF([2]Baskol!$N$1872="","",[2]Baskol!$N$1872)</f>
        <v/>
      </c>
      <c r="AE1869">
        <f>IF([2]Baskol!$O$1872="","",[2]Baskol!$O$1872)</f>
        <v/>
      </c>
      <c r="AG1869">
        <f>IF([3]Entry!$C$1872="","",[3]Entry!$C$1872)</f>
        <v/>
      </c>
      <c r="AH1869">
        <f>IF([3]Entry!$D$1872="","",[3]Entry!$D$1872)</f>
        <v/>
      </c>
      <c r="AI1869">
        <f>IF([3]Entry!$E$1872="","",[3]Entry!$E$1872)</f>
        <v/>
      </c>
      <c r="AJ1869">
        <f>IF([3]Entry!$G$1872="","",[3]Entry!$G$1872)</f>
        <v/>
      </c>
      <c r="AK1869">
        <f>IF([3]Entry!$K$1872="","",[3]Entry!$K$1872)</f>
        <v/>
      </c>
      <c r="AL1869">
        <f>IF([3]Entry!$L$1872="","",[3]Entry!$L$1872)</f>
        <v/>
      </c>
      <c r="AM1869">
        <f>IF([3]Entry!$M$1872="","",[3]Entry!$M$1872)</f>
        <v/>
      </c>
      <c r="AN1869">
        <f>IF([3]Entry!$N$1872="","",[3]Entry!$N$1872)</f>
        <v/>
      </c>
      <c r="AO1869">
        <f>IF([3]Entry!$R$1872="","",[3]Entry!$R$1872)</f>
        <v/>
      </c>
    </row>
    <row r="1870">
      <c r="U1870">
        <f>IF([2]Baskol!$B$1873="","",[2]Baskol!$B$1873)</f>
        <v/>
      </c>
      <c r="V1870">
        <f>IF([2]Baskol!$C$1873="","",[2]Baskol!$C$1873)</f>
        <v/>
      </c>
      <c r="W1870">
        <f>IF([2]Baskol!$D$1873="","",[2]Baskol!$D$1873)</f>
        <v/>
      </c>
      <c r="X1870">
        <f>IF([2]Baskol!$E$1873="","",[2]Baskol!$E$1873)</f>
        <v/>
      </c>
      <c r="Y1870">
        <f>IF([2]Baskol!$G$1873="","",[2]Baskol!$G$1873)</f>
        <v/>
      </c>
      <c r="Z1870">
        <f>IF([2]Baskol!$I$1873="","",[2]Baskol!$I$1873)</f>
        <v/>
      </c>
      <c r="AA1870">
        <f>IF([2]Baskol!$J$1873="","",[2]Baskol!$J$1873)</f>
        <v/>
      </c>
      <c r="AB1870">
        <f>IF([2]Baskol!$K$1873="","",[2]Baskol!$K$1873)</f>
        <v/>
      </c>
      <c r="AC1870">
        <f>IF([2]Baskol!$L$1873="","",[2]Baskol!$L$1873)</f>
        <v/>
      </c>
      <c r="AD1870">
        <f>IF([2]Baskol!$N$1873="","",[2]Baskol!$N$1873)</f>
        <v/>
      </c>
      <c r="AE1870">
        <f>IF([2]Baskol!$O$1873="","",[2]Baskol!$O$1873)</f>
        <v/>
      </c>
      <c r="AG1870">
        <f>IF([3]Entry!$C$1873="","",[3]Entry!$C$1873)</f>
        <v/>
      </c>
      <c r="AH1870">
        <f>IF([3]Entry!$D$1873="","",[3]Entry!$D$1873)</f>
        <v/>
      </c>
      <c r="AI1870">
        <f>IF([3]Entry!$E$1873="","",[3]Entry!$E$1873)</f>
        <v/>
      </c>
      <c r="AJ1870">
        <f>IF([3]Entry!$G$1873="","",[3]Entry!$G$1873)</f>
        <v/>
      </c>
      <c r="AK1870">
        <f>IF([3]Entry!$K$1873="","",[3]Entry!$K$1873)</f>
        <v/>
      </c>
      <c r="AL1870">
        <f>IF([3]Entry!$L$1873="","",[3]Entry!$L$1873)</f>
        <v/>
      </c>
      <c r="AM1870">
        <f>IF([3]Entry!$M$1873="","",[3]Entry!$M$1873)</f>
        <v/>
      </c>
      <c r="AN1870">
        <f>IF([3]Entry!$N$1873="","",[3]Entry!$N$1873)</f>
        <v/>
      </c>
      <c r="AO1870">
        <f>IF([3]Entry!$R$1873="","",[3]Entry!$R$1873)</f>
        <v/>
      </c>
    </row>
    <row r="1871">
      <c r="U1871">
        <f>IF([2]Baskol!$B$1874="","",[2]Baskol!$B$1874)</f>
        <v/>
      </c>
      <c r="V1871">
        <f>IF([2]Baskol!$C$1874="","",[2]Baskol!$C$1874)</f>
        <v/>
      </c>
      <c r="W1871">
        <f>IF([2]Baskol!$D$1874="","",[2]Baskol!$D$1874)</f>
        <v/>
      </c>
      <c r="X1871">
        <f>IF([2]Baskol!$E$1874="","",[2]Baskol!$E$1874)</f>
        <v/>
      </c>
      <c r="Y1871">
        <f>IF([2]Baskol!$G$1874="","",[2]Baskol!$G$1874)</f>
        <v/>
      </c>
      <c r="Z1871">
        <f>IF([2]Baskol!$I$1874="","",[2]Baskol!$I$1874)</f>
        <v/>
      </c>
      <c r="AA1871">
        <f>IF([2]Baskol!$J$1874="","",[2]Baskol!$J$1874)</f>
        <v/>
      </c>
      <c r="AB1871">
        <f>IF([2]Baskol!$K$1874="","",[2]Baskol!$K$1874)</f>
        <v/>
      </c>
      <c r="AC1871">
        <f>IF([2]Baskol!$L$1874="","",[2]Baskol!$L$1874)</f>
        <v/>
      </c>
      <c r="AD1871">
        <f>IF([2]Baskol!$N$1874="","",[2]Baskol!$N$1874)</f>
        <v/>
      </c>
      <c r="AE1871">
        <f>IF([2]Baskol!$O$1874="","",[2]Baskol!$O$1874)</f>
        <v/>
      </c>
      <c r="AG1871">
        <f>IF([3]Entry!$C$1874="","",[3]Entry!$C$1874)</f>
        <v/>
      </c>
      <c r="AH1871">
        <f>IF([3]Entry!$D$1874="","",[3]Entry!$D$1874)</f>
        <v/>
      </c>
      <c r="AI1871">
        <f>IF([3]Entry!$E$1874="","",[3]Entry!$E$1874)</f>
        <v/>
      </c>
      <c r="AJ1871">
        <f>IF([3]Entry!$G$1874="","",[3]Entry!$G$1874)</f>
        <v/>
      </c>
      <c r="AK1871">
        <f>IF([3]Entry!$K$1874="","",[3]Entry!$K$1874)</f>
        <v/>
      </c>
      <c r="AL1871">
        <f>IF([3]Entry!$L$1874="","",[3]Entry!$L$1874)</f>
        <v/>
      </c>
      <c r="AM1871">
        <f>IF([3]Entry!$M$1874="","",[3]Entry!$M$1874)</f>
        <v/>
      </c>
      <c r="AN1871">
        <f>IF([3]Entry!$N$1874="","",[3]Entry!$N$1874)</f>
        <v/>
      </c>
      <c r="AO1871">
        <f>IF([3]Entry!$R$1874="","",[3]Entry!$R$1874)</f>
        <v/>
      </c>
    </row>
    <row r="1872">
      <c r="U1872">
        <f>IF([2]Baskol!$B$1875="","",[2]Baskol!$B$1875)</f>
        <v/>
      </c>
      <c r="V1872">
        <f>IF([2]Baskol!$C$1875="","",[2]Baskol!$C$1875)</f>
        <v/>
      </c>
      <c r="W1872">
        <f>IF([2]Baskol!$D$1875="","",[2]Baskol!$D$1875)</f>
        <v/>
      </c>
      <c r="X1872">
        <f>IF([2]Baskol!$E$1875="","",[2]Baskol!$E$1875)</f>
        <v/>
      </c>
      <c r="Y1872">
        <f>IF([2]Baskol!$G$1875="","",[2]Baskol!$G$1875)</f>
        <v/>
      </c>
      <c r="Z1872">
        <f>IF([2]Baskol!$I$1875="","",[2]Baskol!$I$1875)</f>
        <v/>
      </c>
      <c r="AA1872">
        <f>IF([2]Baskol!$J$1875="","",[2]Baskol!$J$1875)</f>
        <v/>
      </c>
      <c r="AB1872">
        <f>IF([2]Baskol!$K$1875="","",[2]Baskol!$K$1875)</f>
        <v/>
      </c>
      <c r="AC1872">
        <f>IF([2]Baskol!$L$1875="","",[2]Baskol!$L$1875)</f>
        <v/>
      </c>
      <c r="AD1872">
        <f>IF([2]Baskol!$N$1875="","",[2]Baskol!$N$1875)</f>
        <v/>
      </c>
      <c r="AE1872">
        <f>IF([2]Baskol!$O$1875="","",[2]Baskol!$O$1875)</f>
        <v/>
      </c>
      <c r="AG1872">
        <f>IF([3]Entry!$C$1875="","",[3]Entry!$C$1875)</f>
        <v/>
      </c>
      <c r="AH1872">
        <f>IF([3]Entry!$D$1875="","",[3]Entry!$D$1875)</f>
        <v/>
      </c>
      <c r="AI1872">
        <f>IF([3]Entry!$E$1875="","",[3]Entry!$E$1875)</f>
        <v/>
      </c>
      <c r="AJ1872">
        <f>IF([3]Entry!$G$1875="","",[3]Entry!$G$1875)</f>
        <v/>
      </c>
      <c r="AK1872">
        <f>IF([3]Entry!$K$1875="","",[3]Entry!$K$1875)</f>
        <v/>
      </c>
      <c r="AL1872">
        <f>IF([3]Entry!$L$1875="","",[3]Entry!$L$1875)</f>
        <v/>
      </c>
      <c r="AM1872">
        <f>IF([3]Entry!$M$1875="","",[3]Entry!$M$1875)</f>
        <v/>
      </c>
      <c r="AN1872">
        <f>IF([3]Entry!$N$1875="","",[3]Entry!$N$1875)</f>
        <v/>
      </c>
      <c r="AO1872">
        <f>IF([3]Entry!$R$1875="","",[3]Entry!$R$1875)</f>
        <v/>
      </c>
    </row>
    <row r="1873">
      <c r="U1873">
        <f>IF([2]Baskol!$B$1876="","",[2]Baskol!$B$1876)</f>
        <v/>
      </c>
      <c r="V1873">
        <f>IF([2]Baskol!$C$1876="","",[2]Baskol!$C$1876)</f>
        <v/>
      </c>
      <c r="W1873">
        <f>IF([2]Baskol!$D$1876="","",[2]Baskol!$D$1876)</f>
        <v/>
      </c>
      <c r="X1873">
        <f>IF([2]Baskol!$E$1876="","",[2]Baskol!$E$1876)</f>
        <v/>
      </c>
      <c r="Y1873">
        <f>IF([2]Baskol!$G$1876="","",[2]Baskol!$G$1876)</f>
        <v/>
      </c>
      <c r="Z1873">
        <f>IF([2]Baskol!$I$1876="","",[2]Baskol!$I$1876)</f>
        <v/>
      </c>
      <c r="AA1873">
        <f>IF([2]Baskol!$J$1876="","",[2]Baskol!$J$1876)</f>
        <v/>
      </c>
      <c r="AB1873">
        <f>IF([2]Baskol!$K$1876="","",[2]Baskol!$K$1876)</f>
        <v/>
      </c>
      <c r="AC1873">
        <f>IF([2]Baskol!$L$1876="","",[2]Baskol!$L$1876)</f>
        <v/>
      </c>
      <c r="AD1873">
        <f>IF([2]Baskol!$N$1876="","",[2]Baskol!$N$1876)</f>
        <v/>
      </c>
      <c r="AE1873">
        <f>IF([2]Baskol!$O$1876="","",[2]Baskol!$O$1876)</f>
        <v/>
      </c>
      <c r="AG1873">
        <f>IF([3]Entry!$C$1876="","",[3]Entry!$C$1876)</f>
        <v/>
      </c>
      <c r="AH1873">
        <f>IF([3]Entry!$D$1876="","",[3]Entry!$D$1876)</f>
        <v/>
      </c>
      <c r="AI1873">
        <f>IF([3]Entry!$E$1876="","",[3]Entry!$E$1876)</f>
        <v/>
      </c>
      <c r="AJ1873">
        <f>IF([3]Entry!$G$1876="","",[3]Entry!$G$1876)</f>
        <v/>
      </c>
      <c r="AK1873">
        <f>IF([3]Entry!$K$1876="","",[3]Entry!$K$1876)</f>
        <v/>
      </c>
      <c r="AL1873">
        <f>IF([3]Entry!$L$1876="","",[3]Entry!$L$1876)</f>
        <v/>
      </c>
      <c r="AM1873">
        <f>IF([3]Entry!$M$1876="","",[3]Entry!$M$1876)</f>
        <v/>
      </c>
      <c r="AN1873">
        <f>IF([3]Entry!$N$1876="","",[3]Entry!$N$1876)</f>
        <v/>
      </c>
      <c r="AO1873">
        <f>IF([3]Entry!$R$1876="","",[3]Entry!$R$1876)</f>
        <v/>
      </c>
    </row>
    <row r="1874">
      <c r="U1874">
        <f>IF([2]Baskol!$B$1877="","",[2]Baskol!$B$1877)</f>
        <v/>
      </c>
      <c r="V1874">
        <f>IF([2]Baskol!$C$1877="","",[2]Baskol!$C$1877)</f>
        <v/>
      </c>
      <c r="W1874">
        <f>IF([2]Baskol!$D$1877="","",[2]Baskol!$D$1877)</f>
        <v/>
      </c>
      <c r="X1874">
        <f>IF([2]Baskol!$E$1877="","",[2]Baskol!$E$1877)</f>
        <v/>
      </c>
      <c r="Y1874">
        <f>IF([2]Baskol!$G$1877="","",[2]Baskol!$G$1877)</f>
        <v/>
      </c>
      <c r="Z1874">
        <f>IF([2]Baskol!$I$1877="","",[2]Baskol!$I$1877)</f>
        <v/>
      </c>
      <c r="AA1874">
        <f>IF([2]Baskol!$J$1877="","",[2]Baskol!$J$1877)</f>
        <v/>
      </c>
      <c r="AB1874">
        <f>IF([2]Baskol!$K$1877="","",[2]Baskol!$K$1877)</f>
        <v/>
      </c>
      <c r="AC1874">
        <f>IF([2]Baskol!$L$1877="","",[2]Baskol!$L$1877)</f>
        <v/>
      </c>
      <c r="AD1874">
        <f>IF([2]Baskol!$N$1877="","",[2]Baskol!$N$1877)</f>
        <v/>
      </c>
      <c r="AE1874">
        <f>IF([2]Baskol!$O$1877="","",[2]Baskol!$O$1877)</f>
        <v/>
      </c>
      <c r="AG1874">
        <f>IF([3]Entry!$C$1877="","",[3]Entry!$C$1877)</f>
        <v/>
      </c>
      <c r="AH1874">
        <f>IF([3]Entry!$D$1877="","",[3]Entry!$D$1877)</f>
        <v/>
      </c>
      <c r="AI1874">
        <f>IF([3]Entry!$E$1877="","",[3]Entry!$E$1877)</f>
        <v/>
      </c>
      <c r="AJ1874">
        <f>IF([3]Entry!$G$1877="","",[3]Entry!$G$1877)</f>
        <v/>
      </c>
      <c r="AK1874">
        <f>IF([3]Entry!$K$1877="","",[3]Entry!$K$1877)</f>
        <v/>
      </c>
      <c r="AL1874">
        <f>IF([3]Entry!$L$1877="","",[3]Entry!$L$1877)</f>
        <v/>
      </c>
      <c r="AM1874">
        <f>IF([3]Entry!$M$1877="","",[3]Entry!$M$1877)</f>
        <v/>
      </c>
      <c r="AN1874">
        <f>IF([3]Entry!$N$1877="","",[3]Entry!$N$1877)</f>
        <v/>
      </c>
      <c r="AO1874">
        <f>IF([3]Entry!$R$1877="","",[3]Entry!$R$1877)</f>
        <v/>
      </c>
    </row>
    <row r="1875">
      <c r="U1875">
        <f>IF([2]Baskol!$B$1878="","",[2]Baskol!$B$1878)</f>
        <v/>
      </c>
      <c r="V1875">
        <f>IF([2]Baskol!$C$1878="","",[2]Baskol!$C$1878)</f>
        <v/>
      </c>
      <c r="W1875">
        <f>IF([2]Baskol!$D$1878="","",[2]Baskol!$D$1878)</f>
        <v/>
      </c>
      <c r="X1875">
        <f>IF([2]Baskol!$E$1878="","",[2]Baskol!$E$1878)</f>
        <v/>
      </c>
      <c r="Y1875">
        <f>IF([2]Baskol!$G$1878="","",[2]Baskol!$G$1878)</f>
        <v/>
      </c>
      <c r="Z1875">
        <f>IF([2]Baskol!$I$1878="","",[2]Baskol!$I$1878)</f>
        <v/>
      </c>
      <c r="AA1875">
        <f>IF([2]Baskol!$J$1878="","",[2]Baskol!$J$1878)</f>
        <v/>
      </c>
      <c r="AB1875">
        <f>IF([2]Baskol!$K$1878="","",[2]Baskol!$K$1878)</f>
        <v/>
      </c>
      <c r="AC1875">
        <f>IF([2]Baskol!$L$1878="","",[2]Baskol!$L$1878)</f>
        <v/>
      </c>
      <c r="AD1875">
        <f>IF([2]Baskol!$N$1878="","",[2]Baskol!$N$1878)</f>
        <v/>
      </c>
      <c r="AE1875">
        <f>IF([2]Baskol!$O$1878="","",[2]Baskol!$O$1878)</f>
        <v/>
      </c>
      <c r="AG1875">
        <f>IF([3]Entry!$C$1878="","",[3]Entry!$C$1878)</f>
        <v/>
      </c>
      <c r="AH1875">
        <f>IF([3]Entry!$D$1878="","",[3]Entry!$D$1878)</f>
        <v/>
      </c>
      <c r="AI1875">
        <f>IF([3]Entry!$E$1878="","",[3]Entry!$E$1878)</f>
        <v/>
      </c>
      <c r="AJ1875">
        <f>IF([3]Entry!$G$1878="","",[3]Entry!$G$1878)</f>
        <v/>
      </c>
      <c r="AK1875">
        <f>IF([3]Entry!$K$1878="","",[3]Entry!$K$1878)</f>
        <v/>
      </c>
      <c r="AL1875">
        <f>IF([3]Entry!$L$1878="","",[3]Entry!$L$1878)</f>
        <v/>
      </c>
      <c r="AM1875">
        <f>IF([3]Entry!$M$1878="","",[3]Entry!$M$1878)</f>
        <v/>
      </c>
      <c r="AN1875">
        <f>IF([3]Entry!$N$1878="","",[3]Entry!$N$1878)</f>
        <v/>
      </c>
      <c r="AO1875">
        <f>IF([3]Entry!$R$1878="","",[3]Entry!$R$1878)</f>
        <v/>
      </c>
    </row>
    <row r="1876">
      <c r="U1876">
        <f>IF([2]Baskol!$B$1879="","",[2]Baskol!$B$1879)</f>
        <v/>
      </c>
      <c r="V1876">
        <f>IF([2]Baskol!$C$1879="","",[2]Baskol!$C$1879)</f>
        <v/>
      </c>
      <c r="W1876">
        <f>IF([2]Baskol!$D$1879="","",[2]Baskol!$D$1879)</f>
        <v/>
      </c>
      <c r="X1876">
        <f>IF([2]Baskol!$E$1879="","",[2]Baskol!$E$1879)</f>
        <v/>
      </c>
      <c r="Y1876">
        <f>IF([2]Baskol!$G$1879="","",[2]Baskol!$G$1879)</f>
        <v/>
      </c>
      <c r="Z1876">
        <f>IF([2]Baskol!$I$1879="","",[2]Baskol!$I$1879)</f>
        <v/>
      </c>
      <c r="AA1876">
        <f>IF([2]Baskol!$J$1879="","",[2]Baskol!$J$1879)</f>
        <v/>
      </c>
      <c r="AB1876">
        <f>IF([2]Baskol!$K$1879="","",[2]Baskol!$K$1879)</f>
        <v/>
      </c>
      <c r="AC1876">
        <f>IF([2]Baskol!$L$1879="","",[2]Baskol!$L$1879)</f>
        <v/>
      </c>
      <c r="AD1876">
        <f>IF([2]Baskol!$N$1879="","",[2]Baskol!$N$1879)</f>
        <v/>
      </c>
      <c r="AE1876">
        <f>IF([2]Baskol!$O$1879="","",[2]Baskol!$O$1879)</f>
        <v/>
      </c>
      <c r="AG1876">
        <f>IF([3]Entry!$C$1879="","",[3]Entry!$C$1879)</f>
        <v/>
      </c>
      <c r="AH1876">
        <f>IF([3]Entry!$D$1879="","",[3]Entry!$D$1879)</f>
        <v/>
      </c>
      <c r="AI1876">
        <f>IF([3]Entry!$E$1879="","",[3]Entry!$E$1879)</f>
        <v/>
      </c>
      <c r="AJ1876">
        <f>IF([3]Entry!$G$1879="","",[3]Entry!$G$1879)</f>
        <v/>
      </c>
      <c r="AK1876">
        <f>IF([3]Entry!$K$1879="","",[3]Entry!$K$1879)</f>
        <v/>
      </c>
      <c r="AL1876">
        <f>IF([3]Entry!$L$1879="","",[3]Entry!$L$1879)</f>
        <v/>
      </c>
      <c r="AM1876">
        <f>IF([3]Entry!$M$1879="","",[3]Entry!$M$1879)</f>
        <v/>
      </c>
      <c r="AN1876">
        <f>IF([3]Entry!$N$1879="","",[3]Entry!$N$1879)</f>
        <v/>
      </c>
      <c r="AO1876">
        <f>IF([3]Entry!$R$1879="","",[3]Entry!$R$1879)</f>
        <v/>
      </c>
    </row>
    <row r="1877">
      <c r="U1877">
        <f>IF([2]Baskol!$B$1880="","",[2]Baskol!$B$1880)</f>
        <v/>
      </c>
      <c r="V1877">
        <f>IF([2]Baskol!$C$1880="","",[2]Baskol!$C$1880)</f>
        <v/>
      </c>
      <c r="W1877">
        <f>IF([2]Baskol!$D$1880="","",[2]Baskol!$D$1880)</f>
        <v/>
      </c>
      <c r="X1877">
        <f>IF([2]Baskol!$E$1880="","",[2]Baskol!$E$1880)</f>
        <v/>
      </c>
      <c r="Y1877">
        <f>IF([2]Baskol!$G$1880="","",[2]Baskol!$G$1880)</f>
        <v/>
      </c>
      <c r="Z1877">
        <f>IF([2]Baskol!$I$1880="","",[2]Baskol!$I$1880)</f>
        <v/>
      </c>
      <c r="AA1877">
        <f>IF([2]Baskol!$J$1880="","",[2]Baskol!$J$1880)</f>
        <v/>
      </c>
      <c r="AB1877">
        <f>IF([2]Baskol!$K$1880="","",[2]Baskol!$K$1880)</f>
        <v/>
      </c>
      <c r="AC1877">
        <f>IF([2]Baskol!$L$1880="","",[2]Baskol!$L$1880)</f>
        <v/>
      </c>
      <c r="AD1877">
        <f>IF([2]Baskol!$N$1880="","",[2]Baskol!$N$1880)</f>
        <v/>
      </c>
      <c r="AE1877">
        <f>IF([2]Baskol!$O$1880="","",[2]Baskol!$O$1880)</f>
        <v/>
      </c>
      <c r="AG1877">
        <f>IF([3]Entry!$C$1880="","",[3]Entry!$C$1880)</f>
        <v/>
      </c>
      <c r="AH1877">
        <f>IF([3]Entry!$D$1880="","",[3]Entry!$D$1880)</f>
        <v/>
      </c>
      <c r="AI1877">
        <f>IF([3]Entry!$E$1880="","",[3]Entry!$E$1880)</f>
        <v/>
      </c>
      <c r="AJ1877">
        <f>IF([3]Entry!$G$1880="","",[3]Entry!$G$1880)</f>
        <v/>
      </c>
      <c r="AK1877">
        <f>IF([3]Entry!$K$1880="","",[3]Entry!$K$1880)</f>
        <v/>
      </c>
      <c r="AL1877">
        <f>IF([3]Entry!$L$1880="","",[3]Entry!$L$1880)</f>
        <v/>
      </c>
      <c r="AM1877">
        <f>IF([3]Entry!$M$1880="","",[3]Entry!$M$1880)</f>
        <v/>
      </c>
      <c r="AN1877">
        <f>IF([3]Entry!$N$1880="","",[3]Entry!$N$1880)</f>
        <v/>
      </c>
      <c r="AO1877">
        <f>IF([3]Entry!$R$1880="","",[3]Entry!$R$1880)</f>
        <v/>
      </c>
    </row>
    <row r="1878">
      <c r="U1878">
        <f>IF([2]Baskol!$B$1881="","",[2]Baskol!$B$1881)</f>
        <v/>
      </c>
      <c r="V1878">
        <f>IF([2]Baskol!$C$1881="","",[2]Baskol!$C$1881)</f>
        <v/>
      </c>
      <c r="W1878">
        <f>IF([2]Baskol!$D$1881="","",[2]Baskol!$D$1881)</f>
        <v/>
      </c>
      <c r="X1878">
        <f>IF([2]Baskol!$E$1881="","",[2]Baskol!$E$1881)</f>
        <v/>
      </c>
      <c r="Y1878">
        <f>IF([2]Baskol!$G$1881="","",[2]Baskol!$G$1881)</f>
        <v/>
      </c>
      <c r="Z1878">
        <f>IF([2]Baskol!$I$1881="","",[2]Baskol!$I$1881)</f>
        <v/>
      </c>
      <c r="AA1878">
        <f>IF([2]Baskol!$J$1881="","",[2]Baskol!$J$1881)</f>
        <v/>
      </c>
      <c r="AB1878">
        <f>IF([2]Baskol!$K$1881="","",[2]Baskol!$K$1881)</f>
        <v/>
      </c>
      <c r="AC1878">
        <f>IF([2]Baskol!$L$1881="","",[2]Baskol!$L$1881)</f>
        <v/>
      </c>
      <c r="AD1878">
        <f>IF([2]Baskol!$N$1881="","",[2]Baskol!$N$1881)</f>
        <v/>
      </c>
      <c r="AE1878">
        <f>IF([2]Baskol!$O$1881="","",[2]Baskol!$O$1881)</f>
        <v/>
      </c>
      <c r="AG1878">
        <f>IF([3]Entry!$C$1881="","",[3]Entry!$C$1881)</f>
        <v/>
      </c>
      <c r="AH1878">
        <f>IF([3]Entry!$D$1881="","",[3]Entry!$D$1881)</f>
        <v/>
      </c>
      <c r="AI1878">
        <f>IF([3]Entry!$E$1881="","",[3]Entry!$E$1881)</f>
        <v/>
      </c>
      <c r="AJ1878">
        <f>IF([3]Entry!$G$1881="","",[3]Entry!$G$1881)</f>
        <v/>
      </c>
      <c r="AK1878">
        <f>IF([3]Entry!$K$1881="","",[3]Entry!$K$1881)</f>
        <v/>
      </c>
      <c r="AL1878">
        <f>IF([3]Entry!$L$1881="","",[3]Entry!$L$1881)</f>
        <v/>
      </c>
      <c r="AM1878">
        <f>IF([3]Entry!$M$1881="","",[3]Entry!$M$1881)</f>
        <v/>
      </c>
      <c r="AN1878">
        <f>IF([3]Entry!$N$1881="","",[3]Entry!$N$1881)</f>
        <v/>
      </c>
      <c r="AO1878">
        <f>IF([3]Entry!$R$1881="","",[3]Entry!$R$1881)</f>
        <v/>
      </c>
    </row>
    <row r="1879">
      <c r="U1879">
        <f>IF([2]Baskol!$B$1882="","",[2]Baskol!$B$1882)</f>
        <v/>
      </c>
      <c r="V1879">
        <f>IF([2]Baskol!$C$1882="","",[2]Baskol!$C$1882)</f>
        <v/>
      </c>
      <c r="W1879">
        <f>IF([2]Baskol!$D$1882="","",[2]Baskol!$D$1882)</f>
        <v/>
      </c>
      <c r="X1879">
        <f>IF([2]Baskol!$E$1882="","",[2]Baskol!$E$1882)</f>
        <v/>
      </c>
      <c r="Y1879">
        <f>IF([2]Baskol!$G$1882="","",[2]Baskol!$G$1882)</f>
        <v/>
      </c>
      <c r="Z1879">
        <f>IF([2]Baskol!$I$1882="","",[2]Baskol!$I$1882)</f>
        <v/>
      </c>
      <c r="AA1879">
        <f>IF([2]Baskol!$J$1882="","",[2]Baskol!$J$1882)</f>
        <v/>
      </c>
      <c r="AB1879">
        <f>IF([2]Baskol!$K$1882="","",[2]Baskol!$K$1882)</f>
        <v/>
      </c>
      <c r="AC1879">
        <f>IF([2]Baskol!$L$1882="","",[2]Baskol!$L$1882)</f>
        <v/>
      </c>
      <c r="AD1879">
        <f>IF([2]Baskol!$N$1882="","",[2]Baskol!$N$1882)</f>
        <v/>
      </c>
      <c r="AE1879">
        <f>IF([2]Baskol!$O$1882="","",[2]Baskol!$O$1882)</f>
        <v/>
      </c>
      <c r="AG1879">
        <f>IF([3]Entry!$C$1882="","",[3]Entry!$C$1882)</f>
        <v/>
      </c>
      <c r="AH1879">
        <f>IF([3]Entry!$D$1882="","",[3]Entry!$D$1882)</f>
        <v/>
      </c>
      <c r="AI1879">
        <f>IF([3]Entry!$E$1882="","",[3]Entry!$E$1882)</f>
        <v/>
      </c>
      <c r="AJ1879">
        <f>IF([3]Entry!$G$1882="","",[3]Entry!$G$1882)</f>
        <v/>
      </c>
      <c r="AK1879">
        <f>IF([3]Entry!$K$1882="","",[3]Entry!$K$1882)</f>
        <v/>
      </c>
      <c r="AL1879">
        <f>IF([3]Entry!$L$1882="","",[3]Entry!$L$1882)</f>
        <v/>
      </c>
      <c r="AM1879">
        <f>IF([3]Entry!$M$1882="","",[3]Entry!$M$1882)</f>
        <v/>
      </c>
      <c r="AN1879">
        <f>IF([3]Entry!$N$1882="","",[3]Entry!$N$1882)</f>
        <v/>
      </c>
      <c r="AO1879">
        <f>IF([3]Entry!$R$1882="","",[3]Entry!$R$1882)</f>
        <v/>
      </c>
    </row>
    <row r="1880">
      <c r="U1880">
        <f>IF([2]Baskol!$B$1883="","",[2]Baskol!$B$1883)</f>
        <v/>
      </c>
      <c r="V1880">
        <f>IF([2]Baskol!$C$1883="","",[2]Baskol!$C$1883)</f>
        <v/>
      </c>
      <c r="W1880">
        <f>IF([2]Baskol!$D$1883="","",[2]Baskol!$D$1883)</f>
        <v/>
      </c>
      <c r="X1880">
        <f>IF([2]Baskol!$E$1883="","",[2]Baskol!$E$1883)</f>
        <v/>
      </c>
      <c r="Y1880">
        <f>IF([2]Baskol!$G$1883="","",[2]Baskol!$G$1883)</f>
        <v/>
      </c>
      <c r="Z1880">
        <f>IF([2]Baskol!$I$1883="","",[2]Baskol!$I$1883)</f>
        <v/>
      </c>
      <c r="AA1880">
        <f>IF([2]Baskol!$J$1883="","",[2]Baskol!$J$1883)</f>
        <v/>
      </c>
      <c r="AB1880">
        <f>IF([2]Baskol!$K$1883="","",[2]Baskol!$K$1883)</f>
        <v/>
      </c>
      <c r="AC1880">
        <f>IF([2]Baskol!$L$1883="","",[2]Baskol!$L$1883)</f>
        <v/>
      </c>
      <c r="AD1880">
        <f>IF([2]Baskol!$N$1883="","",[2]Baskol!$N$1883)</f>
        <v/>
      </c>
      <c r="AE1880">
        <f>IF([2]Baskol!$O$1883="","",[2]Baskol!$O$1883)</f>
        <v/>
      </c>
      <c r="AG1880">
        <f>IF([3]Entry!$C$1883="","",[3]Entry!$C$1883)</f>
        <v/>
      </c>
      <c r="AH1880">
        <f>IF([3]Entry!$D$1883="","",[3]Entry!$D$1883)</f>
        <v/>
      </c>
      <c r="AI1880">
        <f>IF([3]Entry!$E$1883="","",[3]Entry!$E$1883)</f>
        <v/>
      </c>
      <c r="AJ1880">
        <f>IF([3]Entry!$G$1883="","",[3]Entry!$G$1883)</f>
        <v/>
      </c>
      <c r="AK1880">
        <f>IF([3]Entry!$K$1883="","",[3]Entry!$K$1883)</f>
        <v/>
      </c>
      <c r="AL1880">
        <f>IF([3]Entry!$L$1883="","",[3]Entry!$L$1883)</f>
        <v/>
      </c>
      <c r="AM1880">
        <f>IF([3]Entry!$M$1883="","",[3]Entry!$M$1883)</f>
        <v/>
      </c>
      <c r="AN1880">
        <f>IF([3]Entry!$N$1883="","",[3]Entry!$N$1883)</f>
        <v/>
      </c>
      <c r="AO1880">
        <f>IF([3]Entry!$R$1883="","",[3]Entry!$R$1883)</f>
        <v/>
      </c>
    </row>
    <row r="1881">
      <c r="U1881">
        <f>IF([2]Baskol!$B$1884="","",[2]Baskol!$B$1884)</f>
        <v/>
      </c>
      <c r="V1881">
        <f>IF([2]Baskol!$C$1884="","",[2]Baskol!$C$1884)</f>
        <v/>
      </c>
      <c r="W1881">
        <f>IF([2]Baskol!$D$1884="","",[2]Baskol!$D$1884)</f>
        <v/>
      </c>
      <c r="X1881">
        <f>IF([2]Baskol!$E$1884="","",[2]Baskol!$E$1884)</f>
        <v/>
      </c>
      <c r="Y1881">
        <f>IF([2]Baskol!$G$1884="","",[2]Baskol!$G$1884)</f>
        <v/>
      </c>
      <c r="Z1881">
        <f>IF([2]Baskol!$I$1884="","",[2]Baskol!$I$1884)</f>
        <v/>
      </c>
      <c r="AA1881">
        <f>IF([2]Baskol!$J$1884="","",[2]Baskol!$J$1884)</f>
        <v/>
      </c>
      <c r="AB1881">
        <f>IF([2]Baskol!$K$1884="","",[2]Baskol!$K$1884)</f>
        <v/>
      </c>
      <c r="AC1881">
        <f>IF([2]Baskol!$L$1884="","",[2]Baskol!$L$1884)</f>
        <v/>
      </c>
      <c r="AD1881">
        <f>IF([2]Baskol!$N$1884="","",[2]Baskol!$N$1884)</f>
        <v/>
      </c>
      <c r="AE1881">
        <f>IF([2]Baskol!$O$1884="","",[2]Baskol!$O$1884)</f>
        <v/>
      </c>
      <c r="AG1881">
        <f>IF([3]Entry!$C$1884="","",[3]Entry!$C$1884)</f>
        <v/>
      </c>
      <c r="AH1881">
        <f>IF([3]Entry!$D$1884="","",[3]Entry!$D$1884)</f>
        <v/>
      </c>
      <c r="AI1881">
        <f>IF([3]Entry!$E$1884="","",[3]Entry!$E$1884)</f>
        <v/>
      </c>
      <c r="AJ1881">
        <f>IF([3]Entry!$G$1884="","",[3]Entry!$G$1884)</f>
        <v/>
      </c>
      <c r="AK1881">
        <f>IF([3]Entry!$K$1884="","",[3]Entry!$K$1884)</f>
        <v/>
      </c>
      <c r="AL1881">
        <f>IF([3]Entry!$L$1884="","",[3]Entry!$L$1884)</f>
        <v/>
      </c>
      <c r="AM1881">
        <f>IF([3]Entry!$M$1884="","",[3]Entry!$M$1884)</f>
        <v/>
      </c>
      <c r="AN1881">
        <f>IF([3]Entry!$N$1884="","",[3]Entry!$N$1884)</f>
        <v/>
      </c>
      <c r="AO1881">
        <f>IF([3]Entry!$R$1884="","",[3]Entry!$R$1884)</f>
        <v/>
      </c>
    </row>
    <row r="1882">
      <c r="U1882">
        <f>IF([2]Baskol!$B$1885="","",[2]Baskol!$B$1885)</f>
        <v/>
      </c>
      <c r="V1882">
        <f>IF([2]Baskol!$C$1885="","",[2]Baskol!$C$1885)</f>
        <v/>
      </c>
      <c r="W1882">
        <f>IF([2]Baskol!$D$1885="","",[2]Baskol!$D$1885)</f>
        <v/>
      </c>
      <c r="X1882">
        <f>IF([2]Baskol!$E$1885="","",[2]Baskol!$E$1885)</f>
        <v/>
      </c>
      <c r="Y1882">
        <f>IF([2]Baskol!$G$1885="","",[2]Baskol!$G$1885)</f>
        <v/>
      </c>
      <c r="Z1882">
        <f>IF([2]Baskol!$I$1885="","",[2]Baskol!$I$1885)</f>
        <v/>
      </c>
      <c r="AA1882">
        <f>IF([2]Baskol!$J$1885="","",[2]Baskol!$J$1885)</f>
        <v/>
      </c>
      <c r="AB1882">
        <f>IF([2]Baskol!$K$1885="","",[2]Baskol!$K$1885)</f>
        <v/>
      </c>
      <c r="AC1882">
        <f>IF([2]Baskol!$L$1885="","",[2]Baskol!$L$1885)</f>
        <v/>
      </c>
      <c r="AD1882">
        <f>IF([2]Baskol!$N$1885="","",[2]Baskol!$N$1885)</f>
        <v/>
      </c>
      <c r="AE1882">
        <f>IF([2]Baskol!$O$1885="","",[2]Baskol!$O$1885)</f>
        <v/>
      </c>
      <c r="AG1882">
        <f>IF([3]Entry!$C$1885="","",[3]Entry!$C$1885)</f>
        <v/>
      </c>
      <c r="AH1882">
        <f>IF([3]Entry!$D$1885="","",[3]Entry!$D$1885)</f>
        <v/>
      </c>
      <c r="AI1882">
        <f>IF([3]Entry!$E$1885="","",[3]Entry!$E$1885)</f>
        <v/>
      </c>
      <c r="AJ1882">
        <f>IF([3]Entry!$G$1885="","",[3]Entry!$G$1885)</f>
        <v/>
      </c>
      <c r="AK1882">
        <f>IF([3]Entry!$K$1885="","",[3]Entry!$K$1885)</f>
        <v/>
      </c>
      <c r="AL1882">
        <f>IF([3]Entry!$L$1885="","",[3]Entry!$L$1885)</f>
        <v/>
      </c>
      <c r="AM1882">
        <f>IF([3]Entry!$M$1885="","",[3]Entry!$M$1885)</f>
        <v/>
      </c>
      <c r="AN1882">
        <f>IF([3]Entry!$N$1885="","",[3]Entry!$N$1885)</f>
        <v/>
      </c>
      <c r="AO1882">
        <f>IF([3]Entry!$R$1885="","",[3]Entry!$R$1885)</f>
        <v/>
      </c>
    </row>
    <row r="1883">
      <c r="U1883">
        <f>IF([2]Baskol!$B$1886="","",[2]Baskol!$B$1886)</f>
        <v/>
      </c>
      <c r="V1883">
        <f>IF([2]Baskol!$C$1886="","",[2]Baskol!$C$1886)</f>
        <v/>
      </c>
      <c r="W1883">
        <f>IF([2]Baskol!$D$1886="","",[2]Baskol!$D$1886)</f>
        <v/>
      </c>
      <c r="X1883">
        <f>IF([2]Baskol!$E$1886="","",[2]Baskol!$E$1886)</f>
        <v/>
      </c>
      <c r="Y1883">
        <f>IF([2]Baskol!$G$1886="","",[2]Baskol!$G$1886)</f>
        <v/>
      </c>
      <c r="Z1883">
        <f>IF([2]Baskol!$I$1886="","",[2]Baskol!$I$1886)</f>
        <v/>
      </c>
      <c r="AA1883">
        <f>IF([2]Baskol!$J$1886="","",[2]Baskol!$J$1886)</f>
        <v/>
      </c>
      <c r="AB1883">
        <f>IF([2]Baskol!$K$1886="","",[2]Baskol!$K$1886)</f>
        <v/>
      </c>
      <c r="AC1883">
        <f>IF([2]Baskol!$L$1886="","",[2]Baskol!$L$1886)</f>
        <v/>
      </c>
      <c r="AD1883">
        <f>IF([2]Baskol!$N$1886="","",[2]Baskol!$N$1886)</f>
        <v/>
      </c>
      <c r="AE1883">
        <f>IF([2]Baskol!$O$1886="","",[2]Baskol!$O$1886)</f>
        <v/>
      </c>
      <c r="AG1883">
        <f>IF([3]Entry!$C$1886="","",[3]Entry!$C$1886)</f>
        <v/>
      </c>
      <c r="AH1883">
        <f>IF([3]Entry!$D$1886="","",[3]Entry!$D$1886)</f>
        <v/>
      </c>
      <c r="AI1883">
        <f>IF([3]Entry!$E$1886="","",[3]Entry!$E$1886)</f>
        <v/>
      </c>
      <c r="AJ1883">
        <f>IF([3]Entry!$G$1886="","",[3]Entry!$G$1886)</f>
        <v/>
      </c>
      <c r="AK1883">
        <f>IF([3]Entry!$K$1886="","",[3]Entry!$K$1886)</f>
        <v/>
      </c>
      <c r="AL1883">
        <f>IF([3]Entry!$L$1886="","",[3]Entry!$L$1886)</f>
        <v/>
      </c>
      <c r="AM1883">
        <f>IF([3]Entry!$M$1886="","",[3]Entry!$M$1886)</f>
        <v/>
      </c>
      <c r="AN1883">
        <f>IF([3]Entry!$N$1886="","",[3]Entry!$N$1886)</f>
        <v/>
      </c>
      <c r="AO1883">
        <f>IF([3]Entry!$R$1886="","",[3]Entry!$R$1886)</f>
        <v/>
      </c>
    </row>
    <row r="1884">
      <c r="U1884">
        <f>IF([2]Baskol!$B$1887="","",[2]Baskol!$B$1887)</f>
        <v/>
      </c>
      <c r="V1884">
        <f>IF([2]Baskol!$C$1887="","",[2]Baskol!$C$1887)</f>
        <v/>
      </c>
      <c r="W1884">
        <f>IF([2]Baskol!$D$1887="","",[2]Baskol!$D$1887)</f>
        <v/>
      </c>
      <c r="X1884">
        <f>IF([2]Baskol!$E$1887="","",[2]Baskol!$E$1887)</f>
        <v/>
      </c>
      <c r="Y1884">
        <f>IF([2]Baskol!$G$1887="","",[2]Baskol!$G$1887)</f>
        <v/>
      </c>
      <c r="Z1884">
        <f>IF([2]Baskol!$I$1887="","",[2]Baskol!$I$1887)</f>
        <v/>
      </c>
      <c r="AA1884">
        <f>IF([2]Baskol!$J$1887="","",[2]Baskol!$J$1887)</f>
        <v/>
      </c>
      <c r="AB1884">
        <f>IF([2]Baskol!$K$1887="","",[2]Baskol!$K$1887)</f>
        <v/>
      </c>
      <c r="AC1884">
        <f>IF([2]Baskol!$L$1887="","",[2]Baskol!$L$1887)</f>
        <v/>
      </c>
      <c r="AD1884">
        <f>IF([2]Baskol!$N$1887="","",[2]Baskol!$N$1887)</f>
        <v/>
      </c>
      <c r="AE1884">
        <f>IF([2]Baskol!$O$1887="","",[2]Baskol!$O$1887)</f>
        <v/>
      </c>
      <c r="AG1884">
        <f>IF([3]Entry!$C$1887="","",[3]Entry!$C$1887)</f>
        <v/>
      </c>
      <c r="AH1884">
        <f>IF([3]Entry!$D$1887="","",[3]Entry!$D$1887)</f>
        <v/>
      </c>
      <c r="AI1884">
        <f>IF([3]Entry!$E$1887="","",[3]Entry!$E$1887)</f>
        <v/>
      </c>
      <c r="AJ1884">
        <f>IF([3]Entry!$G$1887="","",[3]Entry!$G$1887)</f>
        <v/>
      </c>
      <c r="AK1884">
        <f>IF([3]Entry!$K$1887="","",[3]Entry!$K$1887)</f>
        <v/>
      </c>
      <c r="AL1884">
        <f>IF([3]Entry!$L$1887="","",[3]Entry!$L$1887)</f>
        <v/>
      </c>
      <c r="AM1884">
        <f>IF([3]Entry!$M$1887="","",[3]Entry!$M$1887)</f>
        <v/>
      </c>
      <c r="AN1884">
        <f>IF([3]Entry!$N$1887="","",[3]Entry!$N$1887)</f>
        <v/>
      </c>
      <c r="AO1884">
        <f>IF([3]Entry!$R$1887="","",[3]Entry!$R$1887)</f>
        <v/>
      </c>
    </row>
    <row r="1885">
      <c r="U1885">
        <f>IF([2]Baskol!$B$1888="","",[2]Baskol!$B$1888)</f>
        <v/>
      </c>
      <c r="V1885">
        <f>IF([2]Baskol!$C$1888="","",[2]Baskol!$C$1888)</f>
        <v/>
      </c>
      <c r="W1885">
        <f>IF([2]Baskol!$D$1888="","",[2]Baskol!$D$1888)</f>
        <v/>
      </c>
      <c r="X1885">
        <f>IF([2]Baskol!$E$1888="","",[2]Baskol!$E$1888)</f>
        <v/>
      </c>
      <c r="Y1885">
        <f>IF([2]Baskol!$G$1888="","",[2]Baskol!$G$1888)</f>
        <v/>
      </c>
      <c r="Z1885">
        <f>IF([2]Baskol!$I$1888="","",[2]Baskol!$I$1888)</f>
        <v/>
      </c>
      <c r="AA1885">
        <f>IF([2]Baskol!$J$1888="","",[2]Baskol!$J$1888)</f>
        <v/>
      </c>
      <c r="AB1885">
        <f>IF([2]Baskol!$K$1888="","",[2]Baskol!$K$1888)</f>
        <v/>
      </c>
      <c r="AC1885">
        <f>IF([2]Baskol!$L$1888="","",[2]Baskol!$L$1888)</f>
        <v/>
      </c>
      <c r="AD1885">
        <f>IF([2]Baskol!$N$1888="","",[2]Baskol!$N$1888)</f>
        <v/>
      </c>
      <c r="AE1885">
        <f>IF([2]Baskol!$O$1888="","",[2]Baskol!$O$1888)</f>
        <v/>
      </c>
      <c r="AG1885">
        <f>IF([3]Entry!$C$1888="","",[3]Entry!$C$1888)</f>
        <v/>
      </c>
      <c r="AH1885">
        <f>IF([3]Entry!$D$1888="","",[3]Entry!$D$1888)</f>
        <v/>
      </c>
      <c r="AI1885">
        <f>IF([3]Entry!$E$1888="","",[3]Entry!$E$1888)</f>
        <v/>
      </c>
      <c r="AJ1885">
        <f>IF([3]Entry!$G$1888="","",[3]Entry!$G$1888)</f>
        <v/>
      </c>
      <c r="AK1885">
        <f>IF([3]Entry!$K$1888="","",[3]Entry!$K$1888)</f>
        <v/>
      </c>
      <c r="AL1885">
        <f>IF([3]Entry!$L$1888="","",[3]Entry!$L$1888)</f>
        <v/>
      </c>
      <c r="AM1885">
        <f>IF([3]Entry!$M$1888="","",[3]Entry!$M$1888)</f>
        <v/>
      </c>
      <c r="AN1885">
        <f>IF([3]Entry!$N$1888="","",[3]Entry!$N$1888)</f>
        <v/>
      </c>
      <c r="AO1885">
        <f>IF([3]Entry!$R$1888="","",[3]Entry!$R$1888)</f>
        <v/>
      </c>
    </row>
    <row r="1886">
      <c r="U1886">
        <f>IF([2]Baskol!$B$1889="","",[2]Baskol!$B$1889)</f>
        <v/>
      </c>
      <c r="V1886">
        <f>IF([2]Baskol!$C$1889="","",[2]Baskol!$C$1889)</f>
        <v/>
      </c>
      <c r="W1886">
        <f>IF([2]Baskol!$D$1889="","",[2]Baskol!$D$1889)</f>
        <v/>
      </c>
      <c r="X1886">
        <f>IF([2]Baskol!$E$1889="","",[2]Baskol!$E$1889)</f>
        <v/>
      </c>
      <c r="Y1886">
        <f>IF([2]Baskol!$G$1889="","",[2]Baskol!$G$1889)</f>
        <v/>
      </c>
      <c r="Z1886">
        <f>IF([2]Baskol!$I$1889="","",[2]Baskol!$I$1889)</f>
        <v/>
      </c>
      <c r="AA1886">
        <f>IF([2]Baskol!$J$1889="","",[2]Baskol!$J$1889)</f>
        <v/>
      </c>
      <c r="AB1886">
        <f>IF([2]Baskol!$K$1889="","",[2]Baskol!$K$1889)</f>
        <v/>
      </c>
      <c r="AC1886">
        <f>IF([2]Baskol!$L$1889="","",[2]Baskol!$L$1889)</f>
        <v/>
      </c>
      <c r="AD1886">
        <f>IF([2]Baskol!$N$1889="","",[2]Baskol!$N$1889)</f>
        <v/>
      </c>
      <c r="AE1886">
        <f>IF([2]Baskol!$O$1889="","",[2]Baskol!$O$1889)</f>
        <v/>
      </c>
      <c r="AG1886">
        <f>IF([3]Entry!$C$1889="","",[3]Entry!$C$1889)</f>
        <v/>
      </c>
      <c r="AH1886">
        <f>IF([3]Entry!$D$1889="","",[3]Entry!$D$1889)</f>
        <v/>
      </c>
      <c r="AI1886">
        <f>IF([3]Entry!$E$1889="","",[3]Entry!$E$1889)</f>
        <v/>
      </c>
      <c r="AJ1886">
        <f>IF([3]Entry!$G$1889="","",[3]Entry!$G$1889)</f>
        <v/>
      </c>
      <c r="AK1886">
        <f>IF([3]Entry!$K$1889="","",[3]Entry!$K$1889)</f>
        <v/>
      </c>
      <c r="AL1886">
        <f>IF([3]Entry!$L$1889="","",[3]Entry!$L$1889)</f>
        <v/>
      </c>
      <c r="AM1886">
        <f>IF([3]Entry!$M$1889="","",[3]Entry!$M$1889)</f>
        <v/>
      </c>
      <c r="AN1886">
        <f>IF([3]Entry!$N$1889="","",[3]Entry!$N$1889)</f>
        <v/>
      </c>
      <c r="AO1886">
        <f>IF([3]Entry!$R$1889="","",[3]Entry!$R$1889)</f>
        <v/>
      </c>
    </row>
    <row r="1887">
      <c r="U1887">
        <f>IF([2]Baskol!$B$1890="","",[2]Baskol!$B$1890)</f>
        <v/>
      </c>
      <c r="V1887">
        <f>IF([2]Baskol!$C$1890="","",[2]Baskol!$C$1890)</f>
        <v/>
      </c>
      <c r="W1887">
        <f>IF([2]Baskol!$D$1890="","",[2]Baskol!$D$1890)</f>
        <v/>
      </c>
      <c r="X1887">
        <f>IF([2]Baskol!$E$1890="","",[2]Baskol!$E$1890)</f>
        <v/>
      </c>
      <c r="Y1887">
        <f>IF([2]Baskol!$G$1890="","",[2]Baskol!$G$1890)</f>
        <v/>
      </c>
      <c r="Z1887">
        <f>IF([2]Baskol!$I$1890="","",[2]Baskol!$I$1890)</f>
        <v/>
      </c>
      <c r="AA1887">
        <f>IF([2]Baskol!$J$1890="","",[2]Baskol!$J$1890)</f>
        <v/>
      </c>
      <c r="AB1887">
        <f>IF([2]Baskol!$K$1890="","",[2]Baskol!$K$1890)</f>
        <v/>
      </c>
      <c r="AC1887">
        <f>IF([2]Baskol!$L$1890="","",[2]Baskol!$L$1890)</f>
        <v/>
      </c>
      <c r="AD1887">
        <f>IF([2]Baskol!$N$1890="","",[2]Baskol!$N$1890)</f>
        <v/>
      </c>
      <c r="AE1887">
        <f>IF([2]Baskol!$O$1890="","",[2]Baskol!$O$1890)</f>
        <v/>
      </c>
      <c r="AG1887">
        <f>IF([3]Entry!$C$1890="","",[3]Entry!$C$1890)</f>
        <v/>
      </c>
      <c r="AH1887">
        <f>IF([3]Entry!$D$1890="","",[3]Entry!$D$1890)</f>
        <v/>
      </c>
      <c r="AI1887">
        <f>IF([3]Entry!$E$1890="","",[3]Entry!$E$1890)</f>
        <v/>
      </c>
      <c r="AJ1887">
        <f>IF([3]Entry!$G$1890="","",[3]Entry!$G$1890)</f>
        <v/>
      </c>
      <c r="AK1887">
        <f>IF([3]Entry!$K$1890="","",[3]Entry!$K$1890)</f>
        <v/>
      </c>
      <c r="AL1887">
        <f>IF([3]Entry!$L$1890="","",[3]Entry!$L$1890)</f>
        <v/>
      </c>
      <c r="AM1887">
        <f>IF([3]Entry!$M$1890="","",[3]Entry!$M$1890)</f>
        <v/>
      </c>
      <c r="AN1887">
        <f>IF([3]Entry!$N$1890="","",[3]Entry!$N$1890)</f>
        <v/>
      </c>
      <c r="AO1887">
        <f>IF([3]Entry!$R$1890="","",[3]Entry!$R$1890)</f>
        <v/>
      </c>
    </row>
    <row r="1888">
      <c r="U1888">
        <f>IF([2]Baskol!$B$1891="","",[2]Baskol!$B$1891)</f>
        <v/>
      </c>
      <c r="V1888">
        <f>IF([2]Baskol!$C$1891="","",[2]Baskol!$C$1891)</f>
        <v/>
      </c>
      <c r="W1888">
        <f>IF([2]Baskol!$D$1891="","",[2]Baskol!$D$1891)</f>
        <v/>
      </c>
      <c r="X1888">
        <f>IF([2]Baskol!$E$1891="","",[2]Baskol!$E$1891)</f>
        <v/>
      </c>
      <c r="Y1888">
        <f>IF([2]Baskol!$G$1891="","",[2]Baskol!$G$1891)</f>
        <v/>
      </c>
      <c r="Z1888">
        <f>IF([2]Baskol!$I$1891="","",[2]Baskol!$I$1891)</f>
        <v/>
      </c>
      <c r="AA1888">
        <f>IF([2]Baskol!$J$1891="","",[2]Baskol!$J$1891)</f>
        <v/>
      </c>
      <c r="AB1888">
        <f>IF([2]Baskol!$K$1891="","",[2]Baskol!$K$1891)</f>
        <v/>
      </c>
      <c r="AC1888">
        <f>IF([2]Baskol!$L$1891="","",[2]Baskol!$L$1891)</f>
        <v/>
      </c>
      <c r="AD1888">
        <f>IF([2]Baskol!$N$1891="","",[2]Baskol!$N$1891)</f>
        <v/>
      </c>
      <c r="AE1888">
        <f>IF([2]Baskol!$O$1891="","",[2]Baskol!$O$1891)</f>
        <v/>
      </c>
      <c r="AG1888">
        <f>IF([3]Entry!$C$1891="","",[3]Entry!$C$1891)</f>
        <v/>
      </c>
      <c r="AH1888">
        <f>IF([3]Entry!$D$1891="","",[3]Entry!$D$1891)</f>
        <v/>
      </c>
      <c r="AI1888">
        <f>IF([3]Entry!$E$1891="","",[3]Entry!$E$1891)</f>
        <v/>
      </c>
      <c r="AJ1888">
        <f>IF([3]Entry!$G$1891="","",[3]Entry!$G$1891)</f>
        <v/>
      </c>
      <c r="AK1888">
        <f>IF([3]Entry!$K$1891="","",[3]Entry!$K$1891)</f>
        <v/>
      </c>
      <c r="AL1888">
        <f>IF([3]Entry!$L$1891="","",[3]Entry!$L$1891)</f>
        <v/>
      </c>
      <c r="AM1888">
        <f>IF([3]Entry!$M$1891="","",[3]Entry!$M$1891)</f>
        <v/>
      </c>
      <c r="AN1888">
        <f>IF([3]Entry!$N$1891="","",[3]Entry!$N$1891)</f>
        <v/>
      </c>
      <c r="AO1888">
        <f>IF([3]Entry!$R$1891="","",[3]Entry!$R$1891)</f>
        <v/>
      </c>
    </row>
    <row r="1889">
      <c r="U1889">
        <f>IF([2]Baskol!$B$1892="","",[2]Baskol!$B$1892)</f>
        <v/>
      </c>
      <c r="V1889">
        <f>IF([2]Baskol!$C$1892="","",[2]Baskol!$C$1892)</f>
        <v/>
      </c>
      <c r="W1889">
        <f>IF([2]Baskol!$D$1892="","",[2]Baskol!$D$1892)</f>
        <v/>
      </c>
      <c r="X1889">
        <f>IF([2]Baskol!$E$1892="","",[2]Baskol!$E$1892)</f>
        <v/>
      </c>
      <c r="Y1889">
        <f>IF([2]Baskol!$G$1892="","",[2]Baskol!$G$1892)</f>
        <v/>
      </c>
      <c r="Z1889">
        <f>IF([2]Baskol!$I$1892="","",[2]Baskol!$I$1892)</f>
        <v/>
      </c>
      <c r="AA1889">
        <f>IF([2]Baskol!$J$1892="","",[2]Baskol!$J$1892)</f>
        <v/>
      </c>
      <c r="AB1889">
        <f>IF([2]Baskol!$K$1892="","",[2]Baskol!$K$1892)</f>
        <v/>
      </c>
      <c r="AC1889">
        <f>IF([2]Baskol!$L$1892="","",[2]Baskol!$L$1892)</f>
        <v/>
      </c>
      <c r="AD1889">
        <f>IF([2]Baskol!$N$1892="","",[2]Baskol!$N$1892)</f>
        <v/>
      </c>
      <c r="AE1889">
        <f>IF([2]Baskol!$O$1892="","",[2]Baskol!$O$1892)</f>
        <v/>
      </c>
      <c r="AG1889">
        <f>IF([3]Entry!$C$1892="","",[3]Entry!$C$1892)</f>
        <v/>
      </c>
      <c r="AH1889">
        <f>IF([3]Entry!$D$1892="","",[3]Entry!$D$1892)</f>
        <v/>
      </c>
      <c r="AI1889">
        <f>IF([3]Entry!$E$1892="","",[3]Entry!$E$1892)</f>
        <v/>
      </c>
      <c r="AJ1889">
        <f>IF([3]Entry!$G$1892="","",[3]Entry!$G$1892)</f>
        <v/>
      </c>
      <c r="AK1889">
        <f>IF([3]Entry!$K$1892="","",[3]Entry!$K$1892)</f>
        <v/>
      </c>
      <c r="AL1889">
        <f>IF([3]Entry!$L$1892="","",[3]Entry!$L$1892)</f>
        <v/>
      </c>
      <c r="AM1889">
        <f>IF([3]Entry!$M$1892="","",[3]Entry!$M$1892)</f>
        <v/>
      </c>
      <c r="AN1889">
        <f>IF([3]Entry!$N$1892="","",[3]Entry!$N$1892)</f>
        <v/>
      </c>
      <c r="AO1889">
        <f>IF([3]Entry!$R$1892="","",[3]Entry!$R$1892)</f>
        <v/>
      </c>
    </row>
    <row r="1890">
      <c r="U1890">
        <f>IF([2]Baskol!$B$1893="","",[2]Baskol!$B$1893)</f>
        <v/>
      </c>
      <c r="V1890">
        <f>IF([2]Baskol!$C$1893="","",[2]Baskol!$C$1893)</f>
        <v/>
      </c>
      <c r="W1890">
        <f>IF([2]Baskol!$D$1893="","",[2]Baskol!$D$1893)</f>
        <v/>
      </c>
      <c r="X1890">
        <f>IF([2]Baskol!$E$1893="","",[2]Baskol!$E$1893)</f>
        <v/>
      </c>
      <c r="Y1890">
        <f>IF([2]Baskol!$G$1893="","",[2]Baskol!$G$1893)</f>
        <v/>
      </c>
      <c r="Z1890">
        <f>IF([2]Baskol!$I$1893="","",[2]Baskol!$I$1893)</f>
        <v/>
      </c>
      <c r="AA1890">
        <f>IF([2]Baskol!$J$1893="","",[2]Baskol!$J$1893)</f>
        <v/>
      </c>
      <c r="AB1890">
        <f>IF([2]Baskol!$K$1893="","",[2]Baskol!$K$1893)</f>
        <v/>
      </c>
      <c r="AC1890">
        <f>IF([2]Baskol!$L$1893="","",[2]Baskol!$L$1893)</f>
        <v/>
      </c>
      <c r="AD1890">
        <f>IF([2]Baskol!$N$1893="","",[2]Baskol!$N$1893)</f>
        <v/>
      </c>
      <c r="AE1890">
        <f>IF([2]Baskol!$O$1893="","",[2]Baskol!$O$1893)</f>
        <v/>
      </c>
      <c r="AG1890">
        <f>IF([3]Entry!$C$1893="","",[3]Entry!$C$1893)</f>
        <v/>
      </c>
      <c r="AH1890">
        <f>IF([3]Entry!$D$1893="","",[3]Entry!$D$1893)</f>
        <v/>
      </c>
      <c r="AI1890">
        <f>IF([3]Entry!$E$1893="","",[3]Entry!$E$1893)</f>
        <v/>
      </c>
      <c r="AJ1890">
        <f>IF([3]Entry!$G$1893="","",[3]Entry!$G$1893)</f>
        <v/>
      </c>
      <c r="AK1890">
        <f>IF([3]Entry!$K$1893="","",[3]Entry!$K$1893)</f>
        <v/>
      </c>
      <c r="AL1890">
        <f>IF([3]Entry!$L$1893="","",[3]Entry!$L$1893)</f>
        <v/>
      </c>
      <c r="AM1890">
        <f>IF([3]Entry!$M$1893="","",[3]Entry!$M$1893)</f>
        <v/>
      </c>
      <c r="AN1890">
        <f>IF([3]Entry!$N$1893="","",[3]Entry!$N$1893)</f>
        <v/>
      </c>
      <c r="AO1890">
        <f>IF([3]Entry!$R$1893="","",[3]Entry!$R$1893)</f>
        <v/>
      </c>
    </row>
    <row r="1891">
      <c r="U1891">
        <f>IF([2]Baskol!$B$1894="","",[2]Baskol!$B$1894)</f>
        <v/>
      </c>
      <c r="V1891">
        <f>IF([2]Baskol!$C$1894="","",[2]Baskol!$C$1894)</f>
        <v/>
      </c>
      <c r="W1891">
        <f>IF([2]Baskol!$D$1894="","",[2]Baskol!$D$1894)</f>
        <v/>
      </c>
      <c r="X1891">
        <f>IF([2]Baskol!$E$1894="","",[2]Baskol!$E$1894)</f>
        <v/>
      </c>
      <c r="Y1891">
        <f>IF([2]Baskol!$G$1894="","",[2]Baskol!$G$1894)</f>
        <v/>
      </c>
      <c r="Z1891">
        <f>IF([2]Baskol!$I$1894="","",[2]Baskol!$I$1894)</f>
        <v/>
      </c>
      <c r="AA1891">
        <f>IF([2]Baskol!$J$1894="","",[2]Baskol!$J$1894)</f>
        <v/>
      </c>
      <c r="AB1891">
        <f>IF([2]Baskol!$K$1894="","",[2]Baskol!$K$1894)</f>
        <v/>
      </c>
      <c r="AC1891">
        <f>IF([2]Baskol!$L$1894="","",[2]Baskol!$L$1894)</f>
        <v/>
      </c>
      <c r="AD1891">
        <f>IF([2]Baskol!$N$1894="","",[2]Baskol!$N$1894)</f>
        <v/>
      </c>
      <c r="AE1891">
        <f>IF([2]Baskol!$O$1894="","",[2]Baskol!$O$1894)</f>
        <v/>
      </c>
      <c r="AG1891">
        <f>IF([3]Entry!$C$1894="","",[3]Entry!$C$1894)</f>
        <v/>
      </c>
      <c r="AH1891">
        <f>IF([3]Entry!$D$1894="","",[3]Entry!$D$1894)</f>
        <v/>
      </c>
      <c r="AI1891">
        <f>IF([3]Entry!$E$1894="","",[3]Entry!$E$1894)</f>
        <v/>
      </c>
      <c r="AJ1891">
        <f>IF([3]Entry!$G$1894="","",[3]Entry!$G$1894)</f>
        <v/>
      </c>
      <c r="AK1891">
        <f>IF([3]Entry!$K$1894="","",[3]Entry!$K$1894)</f>
        <v/>
      </c>
      <c r="AL1891">
        <f>IF([3]Entry!$L$1894="","",[3]Entry!$L$1894)</f>
        <v/>
      </c>
      <c r="AM1891">
        <f>IF([3]Entry!$M$1894="","",[3]Entry!$M$1894)</f>
        <v/>
      </c>
      <c r="AN1891">
        <f>IF([3]Entry!$N$1894="","",[3]Entry!$N$1894)</f>
        <v/>
      </c>
      <c r="AO1891">
        <f>IF([3]Entry!$R$1894="","",[3]Entry!$R$1894)</f>
        <v/>
      </c>
    </row>
    <row r="1892">
      <c r="U1892">
        <f>IF([2]Baskol!$B$1895="","",[2]Baskol!$B$1895)</f>
        <v/>
      </c>
      <c r="V1892">
        <f>IF([2]Baskol!$C$1895="","",[2]Baskol!$C$1895)</f>
        <v/>
      </c>
      <c r="W1892">
        <f>IF([2]Baskol!$D$1895="","",[2]Baskol!$D$1895)</f>
        <v/>
      </c>
      <c r="X1892">
        <f>IF([2]Baskol!$E$1895="","",[2]Baskol!$E$1895)</f>
        <v/>
      </c>
      <c r="Y1892">
        <f>IF([2]Baskol!$G$1895="","",[2]Baskol!$G$1895)</f>
        <v/>
      </c>
      <c r="Z1892">
        <f>IF([2]Baskol!$I$1895="","",[2]Baskol!$I$1895)</f>
        <v/>
      </c>
      <c r="AA1892">
        <f>IF([2]Baskol!$J$1895="","",[2]Baskol!$J$1895)</f>
        <v/>
      </c>
      <c r="AB1892">
        <f>IF([2]Baskol!$K$1895="","",[2]Baskol!$K$1895)</f>
        <v/>
      </c>
      <c r="AC1892">
        <f>IF([2]Baskol!$L$1895="","",[2]Baskol!$L$1895)</f>
        <v/>
      </c>
      <c r="AD1892">
        <f>IF([2]Baskol!$N$1895="","",[2]Baskol!$N$1895)</f>
        <v/>
      </c>
      <c r="AE1892">
        <f>IF([2]Baskol!$O$1895="","",[2]Baskol!$O$1895)</f>
        <v/>
      </c>
      <c r="AG1892">
        <f>IF([3]Entry!$C$1895="","",[3]Entry!$C$1895)</f>
        <v/>
      </c>
      <c r="AH1892">
        <f>IF([3]Entry!$D$1895="","",[3]Entry!$D$1895)</f>
        <v/>
      </c>
      <c r="AI1892">
        <f>IF([3]Entry!$E$1895="","",[3]Entry!$E$1895)</f>
        <v/>
      </c>
      <c r="AJ1892">
        <f>IF([3]Entry!$G$1895="","",[3]Entry!$G$1895)</f>
        <v/>
      </c>
      <c r="AK1892">
        <f>IF([3]Entry!$K$1895="","",[3]Entry!$K$1895)</f>
        <v/>
      </c>
      <c r="AL1892">
        <f>IF([3]Entry!$L$1895="","",[3]Entry!$L$1895)</f>
        <v/>
      </c>
      <c r="AM1892">
        <f>IF([3]Entry!$M$1895="","",[3]Entry!$M$1895)</f>
        <v/>
      </c>
      <c r="AN1892">
        <f>IF([3]Entry!$N$1895="","",[3]Entry!$N$1895)</f>
        <v/>
      </c>
      <c r="AO1892">
        <f>IF([3]Entry!$R$1895="","",[3]Entry!$R$1895)</f>
        <v/>
      </c>
    </row>
    <row r="1893">
      <c r="U1893">
        <f>IF([2]Baskol!$B$1896="","",[2]Baskol!$B$1896)</f>
        <v/>
      </c>
      <c r="V1893">
        <f>IF([2]Baskol!$C$1896="","",[2]Baskol!$C$1896)</f>
        <v/>
      </c>
      <c r="W1893">
        <f>IF([2]Baskol!$D$1896="","",[2]Baskol!$D$1896)</f>
        <v/>
      </c>
      <c r="X1893">
        <f>IF([2]Baskol!$E$1896="","",[2]Baskol!$E$1896)</f>
        <v/>
      </c>
      <c r="Y1893">
        <f>IF([2]Baskol!$G$1896="","",[2]Baskol!$G$1896)</f>
        <v/>
      </c>
      <c r="Z1893">
        <f>IF([2]Baskol!$I$1896="","",[2]Baskol!$I$1896)</f>
        <v/>
      </c>
      <c r="AA1893">
        <f>IF([2]Baskol!$J$1896="","",[2]Baskol!$J$1896)</f>
        <v/>
      </c>
      <c r="AB1893">
        <f>IF([2]Baskol!$K$1896="","",[2]Baskol!$K$1896)</f>
        <v/>
      </c>
      <c r="AC1893">
        <f>IF([2]Baskol!$L$1896="","",[2]Baskol!$L$1896)</f>
        <v/>
      </c>
      <c r="AD1893">
        <f>IF([2]Baskol!$N$1896="","",[2]Baskol!$N$1896)</f>
        <v/>
      </c>
      <c r="AE1893">
        <f>IF([2]Baskol!$O$1896="","",[2]Baskol!$O$1896)</f>
        <v/>
      </c>
      <c r="AG1893">
        <f>IF([3]Entry!$C$1896="","",[3]Entry!$C$1896)</f>
        <v/>
      </c>
      <c r="AH1893">
        <f>IF([3]Entry!$D$1896="","",[3]Entry!$D$1896)</f>
        <v/>
      </c>
      <c r="AI1893">
        <f>IF([3]Entry!$E$1896="","",[3]Entry!$E$1896)</f>
        <v/>
      </c>
      <c r="AJ1893">
        <f>IF([3]Entry!$G$1896="","",[3]Entry!$G$1896)</f>
        <v/>
      </c>
      <c r="AK1893">
        <f>IF([3]Entry!$K$1896="","",[3]Entry!$K$1896)</f>
        <v/>
      </c>
      <c r="AL1893">
        <f>IF([3]Entry!$L$1896="","",[3]Entry!$L$1896)</f>
        <v/>
      </c>
      <c r="AM1893">
        <f>IF([3]Entry!$M$1896="","",[3]Entry!$M$1896)</f>
        <v/>
      </c>
      <c r="AN1893">
        <f>IF([3]Entry!$N$1896="","",[3]Entry!$N$1896)</f>
        <v/>
      </c>
      <c r="AO1893">
        <f>IF([3]Entry!$R$1896="","",[3]Entry!$R$1896)</f>
        <v/>
      </c>
    </row>
    <row r="1894">
      <c r="U1894">
        <f>IF([2]Baskol!$B$1897="","",[2]Baskol!$B$1897)</f>
        <v/>
      </c>
      <c r="V1894">
        <f>IF([2]Baskol!$C$1897="","",[2]Baskol!$C$1897)</f>
        <v/>
      </c>
      <c r="W1894">
        <f>IF([2]Baskol!$D$1897="","",[2]Baskol!$D$1897)</f>
        <v/>
      </c>
      <c r="X1894">
        <f>IF([2]Baskol!$E$1897="","",[2]Baskol!$E$1897)</f>
        <v/>
      </c>
      <c r="Y1894">
        <f>IF([2]Baskol!$G$1897="","",[2]Baskol!$G$1897)</f>
        <v/>
      </c>
      <c r="Z1894">
        <f>IF([2]Baskol!$I$1897="","",[2]Baskol!$I$1897)</f>
        <v/>
      </c>
      <c r="AA1894">
        <f>IF([2]Baskol!$J$1897="","",[2]Baskol!$J$1897)</f>
        <v/>
      </c>
      <c r="AB1894">
        <f>IF([2]Baskol!$K$1897="","",[2]Baskol!$K$1897)</f>
        <v/>
      </c>
      <c r="AC1894">
        <f>IF([2]Baskol!$L$1897="","",[2]Baskol!$L$1897)</f>
        <v/>
      </c>
      <c r="AD1894">
        <f>IF([2]Baskol!$N$1897="","",[2]Baskol!$N$1897)</f>
        <v/>
      </c>
      <c r="AE1894">
        <f>IF([2]Baskol!$O$1897="","",[2]Baskol!$O$1897)</f>
        <v/>
      </c>
      <c r="AG1894">
        <f>IF([3]Entry!$C$1897="","",[3]Entry!$C$1897)</f>
        <v/>
      </c>
      <c r="AH1894">
        <f>IF([3]Entry!$D$1897="","",[3]Entry!$D$1897)</f>
        <v/>
      </c>
      <c r="AI1894">
        <f>IF([3]Entry!$E$1897="","",[3]Entry!$E$1897)</f>
        <v/>
      </c>
      <c r="AJ1894">
        <f>IF([3]Entry!$G$1897="","",[3]Entry!$G$1897)</f>
        <v/>
      </c>
      <c r="AK1894">
        <f>IF([3]Entry!$K$1897="","",[3]Entry!$K$1897)</f>
        <v/>
      </c>
      <c r="AL1894">
        <f>IF([3]Entry!$L$1897="","",[3]Entry!$L$1897)</f>
        <v/>
      </c>
      <c r="AM1894">
        <f>IF([3]Entry!$M$1897="","",[3]Entry!$M$1897)</f>
        <v/>
      </c>
      <c r="AN1894">
        <f>IF([3]Entry!$N$1897="","",[3]Entry!$N$1897)</f>
        <v/>
      </c>
      <c r="AO1894">
        <f>IF([3]Entry!$R$1897="","",[3]Entry!$R$1897)</f>
        <v/>
      </c>
    </row>
    <row r="1895">
      <c r="U1895">
        <f>IF([2]Baskol!$B$1898="","",[2]Baskol!$B$1898)</f>
        <v/>
      </c>
      <c r="V1895">
        <f>IF([2]Baskol!$C$1898="","",[2]Baskol!$C$1898)</f>
        <v/>
      </c>
      <c r="W1895">
        <f>IF([2]Baskol!$D$1898="","",[2]Baskol!$D$1898)</f>
        <v/>
      </c>
      <c r="X1895">
        <f>IF([2]Baskol!$E$1898="","",[2]Baskol!$E$1898)</f>
        <v/>
      </c>
      <c r="Y1895">
        <f>IF([2]Baskol!$G$1898="","",[2]Baskol!$G$1898)</f>
        <v/>
      </c>
      <c r="Z1895">
        <f>IF([2]Baskol!$I$1898="","",[2]Baskol!$I$1898)</f>
        <v/>
      </c>
      <c r="AA1895">
        <f>IF([2]Baskol!$J$1898="","",[2]Baskol!$J$1898)</f>
        <v/>
      </c>
      <c r="AB1895">
        <f>IF([2]Baskol!$K$1898="","",[2]Baskol!$K$1898)</f>
        <v/>
      </c>
      <c r="AC1895">
        <f>IF([2]Baskol!$L$1898="","",[2]Baskol!$L$1898)</f>
        <v/>
      </c>
      <c r="AD1895">
        <f>IF([2]Baskol!$N$1898="","",[2]Baskol!$N$1898)</f>
        <v/>
      </c>
      <c r="AE1895">
        <f>IF([2]Baskol!$O$1898="","",[2]Baskol!$O$1898)</f>
        <v/>
      </c>
      <c r="AG1895">
        <f>IF([3]Entry!$C$1898="","",[3]Entry!$C$1898)</f>
        <v/>
      </c>
      <c r="AH1895">
        <f>IF([3]Entry!$D$1898="","",[3]Entry!$D$1898)</f>
        <v/>
      </c>
      <c r="AI1895">
        <f>IF([3]Entry!$E$1898="","",[3]Entry!$E$1898)</f>
        <v/>
      </c>
      <c r="AJ1895">
        <f>IF([3]Entry!$G$1898="","",[3]Entry!$G$1898)</f>
        <v/>
      </c>
      <c r="AK1895">
        <f>IF([3]Entry!$K$1898="","",[3]Entry!$K$1898)</f>
        <v/>
      </c>
      <c r="AL1895">
        <f>IF([3]Entry!$L$1898="","",[3]Entry!$L$1898)</f>
        <v/>
      </c>
      <c r="AM1895">
        <f>IF([3]Entry!$M$1898="","",[3]Entry!$M$1898)</f>
        <v/>
      </c>
      <c r="AN1895">
        <f>IF([3]Entry!$N$1898="","",[3]Entry!$N$1898)</f>
        <v/>
      </c>
      <c r="AO1895">
        <f>IF([3]Entry!$R$1898="","",[3]Entry!$R$1898)</f>
        <v/>
      </c>
    </row>
    <row r="1896">
      <c r="U1896">
        <f>IF([2]Baskol!$B$1899="","",[2]Baskol!$B$1899)</f>
        <v/>
      </c>
      <c r="V1896">
        <f>IF([2]Baskol!$C$1899="","",[2]Baskol!$C$1899)</f>
        <v/>
      </c>
      <c r="W1896">
        <f>IF([2]Baskol!$D$1899="","",[2]Baskol!$D$1899)</f>
        <v/>
      </c>
      <c r="X1896">
        <f>IF([2]Baskol!$E$1899="","",[2]Baskol!$E$1899)</f>
        <v/>
      </c>
      <c r="Y1896">
        <f>IF([2]Baskol!$G$1899="","",[2]Baskol!$G$1899)</f>
        <v/>
      </c>
      <c r="Z1896">
        <f>IF([2]Baskol!$I$1899="","",[2]Baskol!$I$1899)</f>
        <v/>
      </c>
      <c r="AA1896">
        <f>IF([2]Baskol!$J$1899="","",[2]Baskol!$J$1899)</f>
        <v/>
      </c>
      <c r="AB1896">
        <f>IF([2]Baskol!$K$1899="","",[2]Baskol!$K$1899)</f>
        <v/>
      </c>
      <c r="AC1896">
        <f>IF([2]Baskol!$L$1899="","",[2]Baskol!$L$1899)</f>
        <v/>
      </c>
      <c r="AD1896">
        <f>IF([2]Baskol!$N$1899="","",[2]Baskol!$N$1899)</f>
        <v/>
      </c>
      <c r="AE1896">
        <f>IF([2]Baskol!$O$1899="","",[2]Baskol!$O$1899)</f>
        <v/>
      </c>
      <c r="AG1896">
        <f>IF([3]Entry!$C$1899="","",[3]Entry!$C$1899)</f>
        <v/>
      </c>
      <c r="AH1896">
        <f>IF([3]Entry!$D$1899="","",[3]Entry!$D$1899)</f>
        <v/>
      </c>
      <c r="AI1896">
        <f>IF([3]Entry!$E$1899="","",[3]Entry!$E$1899)</f>
        <v/>
      </c>
      <c r="AJ1896">
        <f>IF([3]Entry!$G$1899="","",[3]Entry!$G$1899)</f>
        <v/>
      </c>
      <c r="AK1896">
        <f>IF([3]Entry!$K$1899="","",[3]Entry!$K$1899)</f>
        <v/>
      </c>
      <c r="AL1896">
        <f>IF([3]Entry!$L$1899="","",[3]Entry!$L$1899)</f>
        <v/>
      </c>
      <c r="AM1896">
        <f>IF([3]Entry!$M$1899="","",[3]Entry!$M$1899)</f>
        <v/>
      </c>
      <c r="AN1896">
        <f>IF([3]Entry!$N$1899="","",[3]Entry!$N$1899)</f>
        <v/>
      </c>
      <c r="AO1896">
        <f>IF([3]Entry!$R$1899="","",[3]Entry!$R$1899)</f>
        <v/>
      </c>
    </row>
    <row r="1897">
      <c r="U1897">
        <f>IF([2]Baskol!$B$1900="","",[2]Baskol!$B$1900)</f>
        <v/>
      </c>
      <c r="V1897">
        <f>IF([2]Baskol!$C$1900="","",[2]Baskol!$C$1900)</f>
        <v/>
      </c>
      <c r="W1897">
        <f>IF([2]Baskol!$D$1900="","",[2]Baskol!$D$1900)</f>
        <v/>
      </c>
      <c r="X1897">
        <f>IF([2]Baskol!$E$1900="","",[2]Baskol!$E$1900)</f>
        <v/>
      </c>
      <c r="Y1897">
        <f>IF([2]Baskol!$G$1900="","",[2]Baskol!$G$1900)</f>
        <v/>
      </c>
      <c r="Z1897">
        <f>IF([2]Baskol!$I$1900="","",[2]Baskol!$I$1900)</f>
        <v/>
      </c>
      <c r="AA1897">
        <f>IF([2]Baskol!$J$1900="","",[2]Baskol!$J$1900)</f>
        <v/>
      </c>
      <c r="AB1897">
        <f>IF([2]Baskol!$K$1900="","",[2]Baskol!$K$1900)</f>
        <v/>
      </c>
      <c r="AC1897">
        <f>IF([2]Baskol!$L$1900="","",[2]Baskol!$L$1900)</f>
        <v/>
      </c>
      <c r="AD1897">
        <f>IF([2]Baskol!$N$1900="","",[2]Baskol!$N$1900)</f>
        <v/>
      </c>
      <c r="AE1897">
        <f>IF([2]Baskol!$O$1900="","",[2]Baskol!$O$1900)</f>
        <v/>
      </c>
      <c r="AG1897">
        <f>IF([3]Entry!$C$1900="","",[3]Entry!$C$1900)</f>
        <v/>
      </c>
      <c r="AH1897">
        <f>IF([3]Entry!$D$1900="","",[3]Entry!$D$1900)</f>
        <v/>
      </c>
      <c r="AI1897">
        <f>IF([3]Entry!$E$1900="","",[3]Entry!$E$1900)</f>
        <v/>
      </c>
      <c r="AJ1897">
        <f>IF([3]Entry!$G$1900="","",[3]Entry!$G$1900)</f>
        <v/>
      </c>
      <c r="AK1897">
        <f>IF([3]Entry!$K$1900="","",[3]Entry!$K$1900)</f>
        <v/>
      </c>
      <c r="AL1897">
        <f>IF([3]Entry!$L$1900="","",[3]Entry!$L$1900)</f>
        <v/>
      </c>
      <c r="AM1897">
        <f>IF([3]Entry!$M$1900="","",[3]Entry!$M$1900)</f>
        <v/>
      </c>
      <c r="AN1897">
        <f>IF([3]Entry!$N$1900="","",[3]Entry!$N$1900)</f>
        <v/>
      </c>
      <c r="AO1897">
        <f>IF([3]Entry!$R$1900="","",[3]Entry!$R$1900)</f>
        <v/>
      </c>
    </row>
    <row r="1898">
      <c r="U1898">
        <f>IF([2]Baskol!$B$1901="","",[2]Baskol!$B$1901)</f>
        <v/>
      </c>
      <c r="V1898">
        <f>IF([2]Baskol!$C$1901="","",[2]Baskol!$C$1901)</f>
        <v/>
      </c>
      <c r="W1898">
        <f>IF([2]Baskol!$D$1901="","",[2]Baskol!$D$1901)</f>
        <v/>
      </c>
      <c r="X1898">
        <f>IF([2]Baskol!$E$1901="","",[2]Baskol!$E$1901)</f>
        <v/>
      </c>
      <c r="Y1898">
        <f>IF([2]Baskol!$G$1901="","",[2]Baskol!$G$1901)</f>
        <v/>
      </c>
      <c r="Z1898">
        <f>IF([2]Baskol!$I$1901="","",[2]Baskol!$I$1901)</f>
        <v/>
      </c>
      <c r="AA1898">
        <f>IF([2]Baskol!$J$1901="","",[2]Baskol!$J$1901)</f>
        <v/>
      </c>
      <c r="AB1898">
        <f>IF([2]Baskol!$K$1901="","",[2]Baskol!$K$1901)</f>
        <v/>
      </c>
      <c r="AC1898">
        <f>IF([2]Baskol!$L$1901="","",[2]Baskol!$L$1901)</f>
        <v/>
      </c>
      <c r="AD1898">
        <f>IF([2]Baskol!$N$1901="","",[2]Baskol!$N$1901)</f>
        <v/>
      </c>
      <c r="AE1898">
        <f>IF([2]Baskol!$O$1901="","",[2]Baskol!$O$1901)</f>
        <v/>
      </c>
      <c r="AG1898">
        <f>IF([3]Entry!$C$1901="","",[3]Entry!$C$1901)</f>
        <v/>
      </c>
      <c r="AH1898">
        <f>IF([3]Entry!$D$1901="","",[3]Entry!$D$1901)</f>
        <v/>
      </c>
      <c r="AI1898">
        <f>IF([3]Entry!$E$1901="","",[3]Entry!$E$1901)</f>
        <v/>
      </c>
      <c r="AJ1898">
        <f>IF([3]Entry!$G$1901="","",[3]Entry!$G$1901)</f>
        <v/>
      </c>
      <c r="AK1898">
        <f>IF([3]Entry!$K$1901="","",[3]Entry!$K$1901)</f>
        <v/>
      </c>
      <c r="AL1898">
        <f>IF([3]Entry!$L$1901="","",[3]Entry!$L$1901)</f>
        <v/>
      </c>
      <c r="AM1898">
        <f>IF([3]Entry!$M$1901="","",[3]Entry!$M$1901)</f>
        <v/>
      </c>
      <c r="AN1898">
        <f>IF([3]Entry!$N$1901="","",[3]Entry!$N$1901)</f>
        <v/>
      </c>
      <c r="AO1898">
        <f>IF([3]Entry!$R$1901="","",[3]Entry!$R$1901)</f>
        <v/>
      </c>
    </row>
    <row r="1899">
      <c r="U1899">
        <f>IF([2]Baskol!$B$1902="","",[2]Baskol!$B$1902)</f>
        <v/>
      </c>
      <c r="V1899">
        <f>IF([2]Baskol!$C$1902="","",[2]Baskol!$C$1902)</f>
        <v/>
      </c>
      <c r="W1899">
        <f>IF([2]Baskol!$D$1902="","",[2]Baskol!$D$1902)</f>
        <v/>
      </c>
      <c r="X1899">
        <f>IF([2]Baskol!$E$1902="","",[2]Baskol!$E$1902)</f>
        <v/>
      </c>
      <c r="Y1899">
        <f>IF([2]Baskol!$G$1902="","",[2]Baskol!$G$1902)</f>
        <v/>
      </c>
      <c r="Z1899">
        <f>IF([2]Baskol!$I$1902="","",[2]Baskol!$I$1902)</f>
        <v/>
      </c>
      <c r="AA1899">
        <f>IF([2]Baskol!$J$1902="","",[2]Baskol!$J$1902)</f>
        <v/>
      </c>
      <c r="AB1899">
        <f>IF([2]Baskol!$K$1902="","",[2]Baskol!$K$1902)</f>
        <v/>
      </c>
      <c r="AC1899">
        <f>IF([2]Baskol!$L$1902="","",[2]Baskol!$L$1902)</f>
        <v/>
      </c>
      <c r="AD1899">
        <f>IF([2]Baskol!$N$1902="","",[2]Baskol!$N$1902)</f>
        <v/>
      </c>
      <c r="AE1899">
        <f>IF([2]Baskol!$O$1902="","",[2]Baskol!$O$1902)</f>
        <v/>
      </c>
      <c r="AG1899">
        <f>IF([3]Entry!$C$1902="","",[3]Entry!$C$1902)</f>
        <v/>
      </c>
      <c r="AH1899">
        <f>IF([3]Entry!$D$1902="","",[3]Entry!$D$1902)</f>
        <v/>
      </c>
      <c r="AI1899">
        <f>IF([3]Entry!$E$1902="","",[3]Entry!$E$1902)</f>
        <v/>
      </c>
      <c r="AJ1899">
        <f>IF([3]Entry!$G$1902="","",[3]Entry!$G$1902)</f>
        <v/>
      </c>
      <c r="AK1899">
        <f>IF([3]Entry!$K$1902="","",[3]Entry!$K$1902)</f>
        <v/>
      </c>
      <c r="AL1899">
        <f>IF([3]Entry!$L$1902="","",[3]Entry!$L$1902)</f>
        <v/>
      </c>
      <c r="AM1899">
        <f>IF([3]Entry!$M$1902="","",[3]Entry!$M$1902)</f>
        <v/>
      </c>
      <c r="AN1899">
        <f>IF([3]Entry!$N$1902="","",[3]Entry!$N$1902)</f>
        <v/>
      </c>
      <c r="AO1899">
        <f>IF([3]Entry!$R$1902="","",[3]Entry!$R$1902)</f>
        <v/>
      </c>
    </row>
    <row r="1900">
      <c r="U1900">
        <f>IF([2]Baskol!$B$1903="","",[2]Baskol!$B$1903)</f>
        <v/>
      </c>
      <c r="V1900">
        <f>IF([2]Baskol!$C$1903="","",[2]Baskol!$C$1903)</f>
        <v/>
      </c>
      <c r="W1900">
        <f>IF([2]Baskol!$D$1903="","",[2]Baskol!$D$1903)</f>
        <v/>
      </c>
      <c r="X1900">
        <f>IF([2]Baskol!$E$1903="","",[2]Baskol!$E$1903)</f>
        <v/>
      </c>
      <c r="Y1900">
        <f>IF([2]Baskol!$G$1903="","",[2]Baskol!$G$1903)</f>
        <v/>
      </c>
      <c r="Z1900">
        <f>IF([2]Baskol!$I$1903="","",[2]Baskol!$I$1903)</f>
        <v/>
      </c>
      <c r="AA1900">
        <f>IF([2]Baskol!$J$1903="","",[2]Baskol!$J$1903)</f>
        <v/>
      </c>
      <c r="AB1900">
        <f>IF([2]Baskol!$K$1903="","",[2]Baskol!$K$1903)</f>
        <v/>
      </c>
      <c r="AC1900">
        <f>IF([2]Baskol!$L$1903="","",[2]Baskol!$L$1903)</f>
        <v/>
      </c>
      <c r="AD1900">
        <f>IF([2]Baskol!$N$1903="","",[2]Baskol!$N$1903)</f>
        <v/>
      </c>
      <c r="AE1900">
        <f>IF([2]Baskol!$O$1903="","",[2]Baskol!$O$1903)</f>
        <v/>
      </c>
      <c r="AG1900">
        <f>IF([3]Entry!$C$1903="","",[3]Entry!$C$1903)</f>
        <v/>
      </c>
      <c r="AH1900">
        <f>IF([3]Entry!$D$1903="","",[3]Entry!$D$1903)</f>
        <v/>
      </c>
      <c r="AI1900">
        <f>IF([3]Entry!$E$1903="","",[3]Entry!$E$1903)</f>
        <v/>
      </c>
      <c r="AJ1900">
        <f>IF([3]Entry!$G$1903="","",[3]Entry!$G$1903)</f>
        <v/>
      </c>
      <c r="AK1900">
        <f>IF([3]Entry!$K$1903="","",[3]Entry!$K$1903)</f>
        <v/>
      </c>
      <c r="AL1900">
        <f>IF([3]Entry!$L$1903="","",[3]Entry!$L$1903)</f>
        <v/>
      </c>
      <c r="AM1900">
        <f>IF([3]Entry!$M$1903="","",[3]Entry!$M$1903)</f>
        <v/>
      </c>
      <c r="AN1900">
        <f>IF([3]Entry!$N$1903="","",[3]Entry!$N$1903)</f>
        <v/>
      </c>
      <c r="AO1900">
        <f>IF([3]Entry!$R$1903="","",[3]Entry!$R$1903)</f>
        <v/>
      </c>
    </row>
    <row r="1901">
      <c r="U1901">
        <f>IF([2]Baskol!$B$1904="","",[2]Baskol!$B$1904)</f>
        <v/>
      </c>
      <c r="V1901">
        <f>IF([2]Baskol!$C$1904="","",[2]Baskol!$C$1904)</f>
        <v/>
      </c>
      <c r="W1901">
        <f>IF([2]Baskol!$D$1904="","",[2]Baskol!$D$1904)</f>
        <v/>
      </c>
      <c r="X1901">
        <f>IF([2]Baskol!$E$1904="","",[2]Baskol!$E$1904)</f>
        <v/>
      </c>
      <c r="Y1901">
        <f>IF([2]Baskol!$G$1904="","",[2]Baskol!$G$1904)</f>
        <v/>
      </c>
      <c r="Z1901">
        <f>IF([2]Baskol!$I$1904="","",[2]Baskol!$I$1904)</f>
        <v/>
      </c>
      <c r="AA1901">
        <f>IF([2]Baskol!$J$1904="","",[2]Baskol!$J$1904)</f>
        <v/>
      </c>
      <c r="AB1901">
        <f>IF([2]Baskol!$K$1904="","",[2]Baskol!$K$1904)</f>
        <v/>
      </c>
      <c r="AC1901">
        <f>IF([2]Baskol!$L$1904="","",[2]Baskol!$L$1904)</f>
        <v/>
      </c>
      <c r="AD1901">
        <f>IF([2]Baskol!$N$1904="","",[2]Baskol!$N$1904)</f>
        <v/>
      </c>
      <c r="AE1901">
        <f>IF([2]Baskol!$O$1904="","",[2]Baskol!$O$1904)</f>
        <v/>
      </c>
      <c r="AG1901">
        <f>IF([3]Entry!$C$1904="","",[3]Entry!$C$1904)</f>
        <v/>
      </c>
      <c r="AH1901">
        <f>IF([3]Entry!$D$1904="","",[3]Entry!$D$1904)</f>
        <v/>
      </c>
      <c r="AI1901">
        <f>IF([3]Entry!$E$1904="","",[3]Entry!$E$1904)</f>
        <v/>
      </c>
      <c r="AJ1901">
        <f>IF([3]Entry!$G$1904="","",[3]Entry!$G$1904)</f>
        <v/>
      </c>
      <c r="AK1901">
        <f>IF([3]Entry!$K$1904="","",[3]Entry!$K$1904)</f>
        <v/>
      </c>
      <c r="AL1901">
        <f>IF([3]Entry!$L$1904="","",[3]Entry!$L$1904)</f>
        <v/>
      </c>
      <c r="AM1901">
        <f>IF([3]Entry!$M$1904="","",[3]Entry!$M$1904)</f>
        <v/>
      </c>
      <c r="AN1901">
        <f>IF([3]Entry!$N$1904="","",[3]Entry!$N$1904)</f>
        <v/>
      </c>
      <c r="AO1901">
        <f>IF([3]Entry!$R$1904="","",[3]Entry!$R$1904)</f>
        <v/>
      </c>
    </row>
    <row r="1902">
      <c r="U1902">
        <f>IF([2]Baskol!$B$1905="","",[2]Baskol!$B$1905)</f>
        <v/>
      </c>
      <c r="V1902">
        <f>IF([2]Baskol!$C$1905="","",[2]Baskol!$C$1905)</f>
        <v/>
      </c>
      <c r="W1902">
        <f>IF([2]Baskol!$D$1905="","",[2]Baskol!$D$1905)</f>
        <v/>
      </c>
      <c r="X1902">
        <f>IF([2]Baskol!$E$1905="","",[2]Baskol!$E$1905)</f>
        <v/>
      </c>
      <c r="Y1902">
        <f>IF([2]Baskol!$G$1905="","",[2]Baskol!$G$1905)</f>
        <v/>
      </c>
      <c r="Z1902">
        <f>IF([2]Baskol!$I$1905="","",[2]Baskol!$I$1905)</f>
        <v/>
      </c>
      <c r="AA1902">
        <f>IF([2]Baskol!$J$1905="","",[2]Baskol!$J$1905)</f>
        <v/>
      </c>
      <c r="AB1902">
        <f>IF([2]Baskol!$K$1905="","",[2]Baskol!$K$1905)</f>
        <v/>
      </c>
      <c r="AC1902">
        <f>IF([2]Baskol!$L$1905="","",[2]Baskol!$L$1905)</f>
        <v/>
      </c>
      <c r="AD1902">
        <f>IF([2]Baskol!$N$1905="","",[2]Baskol!$N$1905)</f>
        <v/>
      </c>
      <c r="AE1902">
        <f>IF([2]Baskol!$O$1905="","",[2]Baskol!$O$1905)</f>
        <v/>
      </c>
      <c r="AG1902">
        <f>IF([3]Entry!$C$1905="","",[3]Entry!$C$1905)</f>
        <v/>
      </c>
      <c r="AH1902">
        <f>IF([3]Entry!$D$1905="","",[3]Entry!$D$1905)</f>
        <v/>
      </c>
      <c r="AI1902">
        <f>IF([3]Entry!$E$1905="","",[3]Entry!$E$1905)</f>
        <v/>
      </c>
      <c r="AJ1902">
        <f>IF([3]Entry!$G$1905="","",[3]Entry!$G$1905)</f>
        <v/>
      </c>
      <c r="AK1902">
        <f>IF([3]Entry!$K$1905="","",[3]Entry!$K$1905)</f>
        <v/>
      </c>
      <c r="AL1902">
        <f>IF([3]Entry!$L$1905="","",[3]Entry!$L$1905)</f>
        <v/>
      </c>
      <c r="AM1902">
        <f>IF([3]Entry!$M$1905="","",[3]Entry!$M$1905)</f>
        <v/>
      </c>
      <c r="AN1902">
        <f>IF([3]Entry!$N$1905="","",[3]Entry!$N$1905)</f>
        <v/>
      </c>
      <c r="AO1902">
        <f>IF([3]Entry!$R$1905="","",[3]Entry!$R$1905)</f>
        <v/>
      </c>
    </row>
    <row r="1903">
      <c r="U1903">
        <f>IF([2]Baskol!$B$1906="","",[2]Baskol!$B$1906)</f>
        <v/>
      </c>
      <c r="V1903">
        <f>IF([2]Baskol!$C$1906="","",[2]Baskol!$C$1906)</f>
        <v/>
      </c>
      <c r="W1903">
        <f>IF([2]Baskol!$D$1906="","",[2]Baskol!$D$1906)</f>
        <v/>
      </c>
      <c r="X1903">
        <f>IF([2]Baskol!$E$1906="","",[2]Baskol!$E$1906)</f>
        <v/>
      </c>
      <c r="Y1903">
        <f>IF([2]Baskol!$G$1906="","",[2]Baskol!$G$1906)</f>
        <v/>
      </c>
      <c r="Z1903">
        <f>IF([2]Baskol!$I$1906="","",[2]Baskol!$I$1906)</f>
        <v/>
      </c>
      <c r="AA1903">
        <f>IF([2]Baskol!$J$1906="","",[2]Baskol!$J$1906)</f>
        <v/>
      </c>
      <c r="AB1903">
        <f>IF([2]Baskol!$K$1906="","",[2]Baskol!$K$1906)</f>
        <v/>
      </c>
      <c r="AC1903">
        <f>IF([2]Baskol!$L$1906="","",[2]Baskol!$L$1906)</f>
        <v/>
      </c>
      <c r="AD1903">
        <f>IF([2]Baskol!$N$1906="","",[2]Baskol!$N$1906)</f>
        <v/>
      </c>
      <c r="AE1903">
        <f>IF([2]Baskol!$O$1906="","",[2]Baskol!$O$1906)</f>
        <v/>
      </c>
      <c r="AG1903">
        <f>IF([3]Entry!$C$1906="","",[3]Entry!$C$1906)</f>
        <v/>
      </c>
      <c r="AH1903">
        <f>IF([3]Entry!$D$1906="","",[3]Entry!$D$1906)</f>
        <v/>
      </c>
      <c r="AI1903">
        <f>IF([3]Entry!$E$1906="","",[3]Entry!$E$1906)</f>
        <v/>
      </c>
      <c r="AJ1903">
        <f>IF([3]Entry!$G$1906="","",[3]Entry!$G$1906)</f>
        <v/>
      </c>
      <c r="AK1903">
        <f>IF([3]Entry!$K$1906="","",[3]Entry!$K$1906)</f>
        <v/>
      </c>
      <c r="AL1903">
        <f>IF([3]Entry!$L$1906="","",[3]Entry!$L$1906)</f>
        <v/>
      </c>
      <c r="AM1903">
        <f>IF([3]Entry!$M$1906="","",[3]Entry!$M$1906)</f>
        <v/>
      </c>
      <c r="AN1903">
        <f>IF([3]Entry!$N$1906="","",[3]Entry!$N$1906)</f>
        <v/>
      </c>
      <c r="AO1903">
        <f>IF([3]Entry!$R$1906="","",[3]Entry!$R$1906)</f>
        <v/>
      </c>
    </row>
    <row r="1904">
      <c r="U1904">
        <f>IF([2]Baskol!$B$1907="","",[2]Baskol!$B$1907)</f>
        <v/>
      </c>
      <c r="V1904">
        <f>IF([2]Baskol!$C$1907="","",[2]Baskol!$C$1907)</f>
        <v/>
      </c>
      <c r="W1904">
        <f>IF([2]Baskol!$D$1907="","",[2]Baskol!$D$1907)</f>
        <v/>
      </c>
      <c r="X1904">
        <f>IF([2]Baskol!$E$1907="","",[2]Baskol!$E$1907)</f>
        <v/>
      </c>
      <c r="Y1904">
        <f>IF([2]Baskol!$G$1907="","",[2]Baskol!$G$1907)</f>
        <v/>
      </c>
      <c r="Z1904">
        <f>IF([2]Baskol!$I$1907="","",[2]Baskol!$I$1907)</f>
        <v/>
      </c>
      <c r="AA1904">
        <f>IF([2]Baskol!$J$1907="","",[2]Baskol!$J$1907)</f>
        <v/>
      </c>
      <c r="AB1904">
        <f>IF([2]Baskol!$K$1907="","",[2]Baskol!$K$1907)</f>
        <v/>
      </c>
      <c r="AC1904">
        <f>IF([2]Baskol!$L$1907="","",[2]Baskol!$L$1907)</f>
        <v/>
      </c>
      <c r="AD1904">
        <f>IF([2]Baskol!$N$1907="","",[2]Baskol!$N$1907)</f>
        <v/>
      </c>
      <c r="AE1904">
        <f>IF([2]Baskol!$O$1907="","",[2]Baskol!$O$1907)</f>
        <v/>
      </c>
      <c r="AG1904">
        <f>IF([3]Entry!$C$1907="","",[3]Entry!$C$1907)</f>
        <v/>
      </c>
      <c r="AH1904">
        <f>IF([3]Entry!$D$1907="","",[3]Entry!$D$1907)</f>
        <v/>
      </c>
      <c r="AI1904">
        <f>IF([3]Entry!$E$1907="","",[3]Entry!$E$1907)</f>
        <v/>
      </c>
      <c r="AJ1904">
        <f>IF([3]Entry!$G$1907="","",[3]Entry!$G$1907)</f>
        <v/>
      </c>
      <c r="AK1904">
        <f>IF([3]Entry!$K$1907="","",[3]Entry!$K$1907)</f>
        <v/>
      </c>
      <c r="AL1904">
        <f>IF([3]Entry!$L$1907="","",[3]Entry!$L$1907)</f>
        <v/>
      </c>
      <c r="AM1904">
        <f>IF([3]Entry!$M$1907="","",[3]Entry!$M$1907)</f>
        <v/>
      </c>
      <c r="AN1904">
        <f>IF([3]Entry!$N$1907="","",[3]Entry!$N$1907)</f>
        <v/>
      </c>
      <c r="AO1904">
        <f>IF([3]Entry!$R$1907="","",[3]Entry!$R$1907)</f>
        <v/>
      </c>
    </row>
    <row r="1905">
      <c r="U1905">
        <f>IF([2]Baskol!$B$1908="","",[2]Baskol!$B$1908)</f>
        <v/>
      </c>
      <c r="V1905">
        <f>IF([2]Baskol!$C$1908="","",[2]Baskol!$C$1908)</f>
        <v/>
      </c>
      <c r="W1905">
        <f>IF([2]Baskol!$D$1908="","",[2]Baskol!$D$1908)</f>
        <v/>
      </c>
      <c r="X1905">
        <f>IF([2]Baskol!$E$1908="","",[2]Baskol!$E$1908)</f>
        <v/>
      </c>
      <c r="Y1905">
        <f>IF([2]Baskol!$G$1908="","",[2]Baskol!$G$1908)</f>
        <v/>
      </c>
      <c r="Z1905">
        <f>IF([2]Baskol!$I$1908="","",[2]Baskol!$I$1908)</f>
        <v/>
      </c>
      <c r="AA1905">
        <f>IF([2]Baskol!$J$1908="","",[2]Baskol!$J$1908)</f>
        <v/>
      </c>
      <c r="AB1905">
        <f>IF([2]Baskol!$K$1908="","",[2]Baskol!$K$1908)</f>
        <v/>
      </c>
      <c r="AC1905">
        <f>IF([2]Baskol!$L$1908="","",[2]Baskol!$L$1908)</f>
        <v/>
      </c>
      <c r="AD1905">
        <f>IF([2]Baskol!$N$1908="","",[2]Baskol!$N$1908)</f>
        <v/>
      </c>
      <c r="AE1905">
        <f>IF([2]Baskol!$O$1908="","",[2]Baskol!$O$1908)</f>
        <v/>
      </c>
      <c r="AG1905">
        <f>IF([3]Entry!$C$1908="","",[3]Entry!$C$1908)</f>
        <v/>
      </c>
      <c r="AH1905">
        <f>IF([3]Entry!$D$1908="","",[3]Entry!$D$1908)</f>
        <v/>
      </c>
      <c r="AI1905">
        <f>IF([3]Entry!$E$1908="","",[3]Entry!$E$1908)</f>
        <v/>
      </c>
      <c r="AJ1905">
        <f>IF([3]Entry!$G$1908="","",[3]Entry!$G$1908)</f>
        <v/>
      </c>
      <c r="AK1905">
        <f>IF([3]Entry!$K$1908="","",[3]Entry!$K$1908)</f>
        <v/>
      </c>
      <c r="AL1905">
        <f>IF([3]Entry!$L$1908="","",[3]Entry!$L$1908)</f>
        <v/>
      </c>
      <c r="AM1905">
        <f>IF([3]Entry!$M$1908="","",[3]Entry!$M$1908)</f>
        <v/>
      </c>
      <c r="AN1905">
        <f>IF([3]Entry!$N$1908="","",[3]Entry!$N$1908)</f>
        <v/>
      </c>
      <c r="AO1905">
        <f>IF([3]Entry!$R$1908="","",[3]Entry!$R$1908)</f>
        <v/>
      </c>
    </row>
    <row r="1906">
      <c r="U1906">
        <f>IF([2]Baskol!$B$1909="","",[2]Baskol!$B$1909)</f>
        <v/>
      </c>
      <c r="V1906">
        <f>IF([2]Baskol!$C$1909="","",[2]Baskol!$C$1909)</f>
        <v/>
      </c>
      <c r="W1906">
        <f>IF([2]Baskol!$D$1909="","",[2]Baskol!$D$1909)</f>
        <v/>
      </c>
      <c r="X1906">
        <f>IF([2]Baskol!$E$1909="","",[2]Baskol!$E$1909)</f>
        <v/>
      </c>
      <c r="Y1906">
        <f>IF([2]Baskol!$G$1909="","",[2]Baskol!$G$1909)</f>
        <v/>
      </c>
      <c r="Z1906">
        <f>IF([2]Baskol!$I$1909="","",[2]Baskol!$I$1909)</f>
        <v/>
      </c>
      <c r="AA1906">
        <f>IF([2]Baskol!$J$1909="","",[2]Baskol!$J$1909)</f>
        <v/>
      </c>
      <c r="AB1906">
        <f>IF([2]Baskol!$K$1909="","",[2]Baskol!$K$1909)</f>
        <v/>
      </c>
      <c r="AC1906">
        <f>IF([2]Baskol!$L$1909="","",[2]Baskol!$L$1909)</f>
        <v/>
      </c>
      <c r="AD1906">
        <f>IF([2]Baskol!$N$1909="","",[2]Baskol!$N$1909)</f>
        <v/>
      </c>
      <c r="AE1906">
        <f>IF([2]Baskol!$O$1909="","",[2]Baskol!$O$1909)</f>
        <v/>
      </c>
      <c r="AG1906">
        <f>IF([3]Entry!$C$1909="","",[3]Entry!$C$1909)</f>
        <v/>
      </c>
      <c r="AH1906">
        <f>IF([3]Entry!$D$1909="","",[3]Entry!$D$1909)</f>
        <v/>
      </c>
      <c r="AI1906">
        <f>IF([3]Entry!$E$1909="","",[3]Entry!$E$1909)</f>
        <v/>
      </c>
      <c r="AJ1906">
        <f>IF([3]Entry!$G$1909="","",[3]Entry!$G$1909)</f>
        <v/>
      </c>
      <c r="AK1906">
        <f>IF([3]Entry!$K$1909="","",[3]Entry!$K$1909)</f>
        <v/>
      </c>
      <c r="AL1906">
        <f>IF([3]Entry!$L$1909="","",[3]Entry!$L$1909)</f>
        <v/>
      </c>
      <c r="AM1906">
        <f>IF([3]Entry!$M$1909="","",[3]Entry!$M$1909)</f>
        <v/>
      </c>
      <c r="AN1906">
        <f>IF([3]Entry!$N$1909="","",[3]Entry!$N$1909)</f>
        <v/>
      </c>
      <c r="AO1906">
        <f>IF([3]Entry!$R$1909="","",[3]Entry!$R$1909)</f>
        <v/>
      </c>
    </row>
    <row r="1907">
      <c r="U1907">
        <f>IF([2]Baskol!$B$1910="","",[2]Baskol!$B$1910)</f>
        <v/>
      </c>
      <c r="V1907">
        <f>IF([2]Baskol!$C$1910="","",[2]Baskol!$C$1910)</f>
        <v/>
      </c>
      <c r="W1907">
        <f>IF([2]Baskol!$D$1910="","",[2]Baskol!$D$1910)</f>
        <v/>
      </c>
      <c r="X1907">
        <f>IF([2]Baskol!$E$1910="","",[2]Baskol!$E$1910)</f>
        <v/>
      </c>
      <c r="Y1907">
        <f>IF([2]Baskol!$G$1910="","",[2]Baskol!$G$1910)</f>
        <v/>
      </c>
      <c r="Z1907">
        <f>IF([2]Baskol!$I$1910="","",[2]Baskol!$I$1910)</f>
        <v/>
      </c>
      <c r="AA1907">
        <f>IF([2]Baskol!$J$1910="","",[2]Baskol!$J$1910)</f>
        <v/>
      </c>
      <c r="AB1907">
        <f>IF([2]Baskol!$K$1910="","",[2]Baskol!$K$1910)</f>
        <v/>
      </c>
      <c r="AC1907">
        <f>IF([2]Baskol!$L$1910="","",[2]Baskol!$L$1910)</f>
        <v/>
      </c>
      <c r="AD1907">
        <f>IF([2]Baskol!$N$1910="","",[2]Baskol!$N$1910)</f>
        <v/>
      </c>
      <c r="AE1907">
        <f>IF([2]Baskol!$O$1910="","",[2]Baskol!$O$1910)</f>
        <v/>
      </c>
      <c r="AG1907">
        <f>IF([3]Entry!$C$1910="","",[3]Entry!$C$1910)</f>
        <v/>
      </c>
      <c r="AH1907">
        <f>IF([3]Entry!$D$1910="","",[3]Entry!$D$1910)</f>
        <v/>
      </c>
      <c r="AI1907">
        <f>IF([3]Entry!$E$1910="","",[3]Entry!$E$1910)</f>
        <v/>
      </c>
      <c r="AJ1907">
        <f>IF([3]Entry!$G$1910="","",[3]Entry!$G$1910)</f>
        <v/>
      </c>
      <c r="AK1907">
        <f>IF([3]Entry!$K$1910="","",[3]Entry!$K$1910)</f>
        <v/>
      </c>
      <c r="AL1907">
        <f>IF([3]Entry!$L$1910="","",[3]Entry!$L$1910)</f>
        <v/>
      </c>
      <c r="AM1907">
        <f>IF([3]Entry!$M$1910="","",[3]Entry!$M$1910)</f>
        <v/>
      </c>
      <c r="AN1907">
        <f>IF([3]Entry!$N$1910="","",[3]Entry!$N$1910)</f>
        <v/>
      </c>
      <c r="AO1907">
        <f>IF([3]Entry!$R$1910="","",[3]Entry!$R$1910)</f>
        <v/>
      </c>
    </row>
    <row r="1908">
      <c r="U1908">
        <f>IF([2]Baskol!$B$1911="","",[2]Baskol!$B$1911)</f>
        <v/>
      </c>
      <c r="V1908">
        <f>IF([2]Baskol!$C$1911="","",[2]Baskol!$C$1911)</f>
        <v/>
      </c>
      <c r="W1908">
        <f>IF([2]Baskol!$D$1911="","",[2]Baskol!$D$1911)</f>
        <v/>
      </c>
      <c r="X1908">
        <f>IF([2]Baskol!$E$1911="","",[2]Baskol!$E$1911)</f>
        <v/>
      </c>
      <c r="Y1908">
        <f>IF([2]Baskol!$G$1911="","",[2]Baskol!$G$1911)</f>
        <v/>
      </c>
      <c r="Z1908">
        <f>IF([2]Baskol!$I$1911="","",[2]Baskol!$I$1911)</f>
        <v/>
      </c>
      <c r="AA1908">
        <f>IF([2]Baskol!$J$1911="","",[2]Baskol!$J$1911)</f>
        <v/>
      </c>
      <c r="AB1908">
        <f>IF([2]Baskol!$K$1911="","",[2]Baskol!$K$1911)</f>
        <v/>
      </c>
      <c r="AC1908">
        <f>IF([2]Baskol!$L$1911="","",[2]Baskol!$L$1911)</f>
        <v/>
      </c>
      <c r="AD1908">
        <f>IF([2]Baskol!$N$1911="","",[2]Baskol!$N$1911)</f>
        <v/>
      </c>
      <c r="AE1908">
        <f>IF([2]Baskol!$O$1911="","",[2]Baskol!$O$1911)</f>
        <v/>
      </c>
      <c r="AG1908">
        <f>IF([3]Entry!$C$1911="","",[3]Entry!$C$1911)</f>
        <v/>
      </c>
      <c r="AH1908">
        <f>IF([3]Entry!$D$1911="","",[3]Entry!$D$1911)</f>
        <v/>
      </c>
      <c r="AI1908">
        <f>IF([3]Entry!$E$1911="","",[3]Entry!$E$1911)</f>
        <v/>
      </c>
      <c r="AJ1908">
        <f>IF([3]Entry!$G$1911="","",[3]Entry!$G$1911)</f>
        <v/>
      </c>
      <c r="AK1908">
        <f>IF([3]Entry!$K$1911="","",[3]Entry!$K$1911)</f>
        <v/>
      </c>
      <c r="AL1908">
        <f>IF([3]Entry!$L$1911="","",[3]Entry!$L$1911)</f>
        <v/>
      </c>
      <c r="AM1908">
        <f>IF([3]Entry!$M$1911="","",[3]Entry!$M$1911)</f>
        <v/>
      </c>
      <c r="AN1908">
        <f>IF([3]Entry!$N$1911="","",[3]Entry!$N$1911)</f>
        <v/>
      </c>
      <c r="AO1908">
        <f>IF([3]Entry!$R$1911="","",[3]Entry!$R$1911)</f>
        <v/>
      </c>
    </row>
    <row r="1909">
      <c r="U1909">
        <f>IF([2]Baskol!$B$1912="","",[2]Baskol!$B$1912)</f>
        <v/>
      </c>
      <c r="V1909">
        <f>IF([2]Baskol!$C$1912="","",[2]Baskol!$C$1912)</f>
        <v/>
      </c>
      <c r="W1909">
        <f>IF([2]Baskol!$D$1912="","",[2]Baskol!$D$1912)</f>
        <v/>
      </c>
      <c r="X1909">
        <f>IF([2]Baskol!$E$1912="","",[2]Baskol!$E$1912)</f>
        <v/>
      </c>
      <c r="Y1909">
        <f>IF([2]Baskol!$G$1912="","",[2]Baskol!$G$1912)</f>
        <v/>
      </c>
      <c r="Z1909">
        <f>IF([2]Baskol!$I$1912="","",[2]Baskol!$I$1912)</f>
        <v/>
      </c>
      <c r="AA1909">
        <f>IF([2]Baskol!$J$1912="","",[2]Baskol!$J$1912)</f>
        <v/>
      </c>
      <c r="AB1909">
        <f>IF([2]Baskol!$K$1912="","",[2]Baskol!$K$1912)</f>
        <v/>
      </c>
      <c r="AC1909">
        <f>IF([2]Baskol!$L$1912="","",[2]Baskol!$L$1912)</f>
        <v/>
      </c>
      <c r="AD1909">
        <f>IF([2]Baskol!$N$1912="","",[2]Baskol!$N$1912)</f>
        <v/>
      </c>
      <c r="AE1909">
        <f>IF([2]Baskol!$O$1912="","",[2]Baskol!$O$1912)</f>
        <v/>
      </c>
      <c r="AG1909">
        <f>IF([3]Entry!$C$1912="","",[3]Entry!$C$1912)</f>
        <v/>
      </c>
      <c r="AH1909">
        <f>IF([3]Entry!$D$1912="","",[3]Entry!$D$1912)</f>
        <v/>
      </c>
      <c r="AI1909">
        <f>IF([3]Entry!$E$1912="","",[3]Entry!$E$1912)</f>
        <v/>
      </c>
      <c r="AJ1909">
        <f>IF([3]Entry!$G$1912="","",[3]Entry!$G$1912)</f>
        <v/>
      </c>
      <c r="AK1909">
        <f>IF([3]Entry!$K$1912="","",[3]Entry!$K$1912)</f>
        <v/>
      </c>
      <c r="AL1909">
        <f>IF([3]Entry!$L$1912="","",[3]Entry!$L$1912)</f>
        <v/>
      </c>
      <c r="AM1909">
        <f>IF([3]Entry!$M$1912="","",[3]Entry!$M$1912)</f>
        <v/>
      </c>
      <c r="AN1909">
        <f>IF([3]Entry!$N$1912="","",[3]Entry!$N$1912)</f>
        <v/>
      </c>
      <c r="AO1909">
        <f>IF([3]Entry!$R$1912="","",[3]Entry!$R$1912)</f>
        <v/>
      </c>
    </row>
    <row r="1910">
      <c r="U1910">
        <f>IF([2]Baskol!$B$1913="","",[2]Baskol!$B$1913)</f>
        <v/>
      </c>
      <c r="V1910">
        <f>IF([2]Baskol!$C$1913="","",[2]Baskol!$C$1913)</f>
        <v/>
      </c>
      <c r="W1910">
        <f>IF([2]Baskol!$D$1913="","",[2]Baskol!$D$1913)</f>
        <v/>
      </c>
      <c r="X1910">
        <f>IF([2]Baskol!$E$1913="","",[2]Baskol!$E$1913)</f>
        <v/>
      </c>
      <c r="Y1910">
        <f>IF([2]Baskol!$G$1913="","",[2]Baskol!$G$1913)</f>
        <v/>
      </c>
      <c r="Z1910">
        <f>IF([2]Baskol!$I$1913="","",[2]Baskol!$I$1913)</f>
        <v/>
      </c>
      <c r="AA1910">
        <f>IF([2]Baskol!$J$1913="","",[2]Baskol!$J$1913)</f>
        <v/>
      </c>
      <c r="AB1910">
        <f>IF([2]Baskol!$K$1913="","",[2]Baskol!$K$1913)</f>
        <v/>
      </c>
      <c r="AC1910">
        <f>IF([2]Baskol!$L$1913="","",[2]Baskol!$L$1913)</f>
        <v/>
      </c>
      <c r="AD1910">
        <f>IF([2]Baskol!$N$1913="","",[2]Baskol!$N$1913)</f>
        <v/>
      </c>
      <c r="AE1910">
        <f>IF([2]Baskol!$O$1913="","",[2]Baskol!$O$1913)</f>
        <v/>
      </c>
      <c r="AG1910">
        <f>IF([3]Entry!$C$1913="","",[3]Entry!$C$1913)</f>
        <v/>
      </c>
      <c r="AH1910">
        <f>IF([3]Entry!$D$1913="","",[3]Entry!$D$1913)</f>
        <v/>
      </c>
      <c r="AI1910">
        <f>IF([3]Entry!$E$1913="","",[3]Entry!$E$1913)</f>
        <v/>
      </c>
      <c r="AJ1910">
        <f>IF([3]Entry!$G$1913="","",[3]Entry!$G$1913)</f>
        <v/>
      </c>
      <c r="AK1910">
        <f>IF([3]Entry!$K$1913="","",[3]Entry!$K$1913)</f>
        <v/>
      </c>
      <c r="AL1910">
        <f>IF([3]Entry!$L$1913="","",[3]Entry!$L$1913)</f>
        <v/>
      </c>
      <c r="AM1910">
        <f>IF([3]Entry!$M$1913="","",[3]Entry!$M$1913)</f>
        <v/>
      </c>
      <c r="AN1910">
        <f>IF([3]Entry!$N$1913="","",[3]Entry!$N$1913)</f>
        <v/>
      </c>
      <c r="AO1910">
        <f>IF([3]Entry!$R$1913="","",[3]Entry!$R$1913)</f>
        <v/>
      </c>
    </row>
    <row r="1911">
      <c r="U1911">
        <f>IF([2]Baskol!$B$1914="","",[2]Baskol!$B$1914)</f>
        <v/>
      </c>
      <c r="V1911">
        <f>IF([2]Baskol!$C$1914="","",[2]Baskol!$C$1914)</f>
        <v/>
      </c>
      <c r="W1911">
        <f>IF([2]Baskol!$D$1914="","",[2]Baskol!$D$1914)</f>
        <v/>
      </c>
      <c r="X1911">
        <f>IF([2]Baskol!$E$1914="","",[2]Baskol!$E$1914)</f>
        <v/>
      </c>
      <c r="Y1911">
        <f>IF([2]Baskol!$G$1914="","",[2]Baskol!$G$1914)</f>
        <v/>
      </c>
      <c r="Z1911">
        <f>IF([2]Baskol!$I$1914="","",[2]Baskol!$I$1914)</f>
        <v/>
      </c>
      <c r="AA1911">
        <f>IF([2]Baskol!$J$1914="","",[2]Baskol!$J$1914)</f>
        <v/>
      </c>
      <c r="AB1911">
        <f>IF([2]Baskol!$K$1914="","",[2]Baskol!$K$1914)</f>
        <v/>
      </c>
      <c r="AC1911">
        <f>IF([2]Baskol!$L$1914="","",[2]Baskol!$L$1914)</f>
        <v/>
      </c>
      <c r="AD1911">
        <f>IF([2]Baskol!$N$1914="","",[2]Baskol!$N$1914)</f>
        <v/>
      </c>
      <c r="AE1911">
        <f>IF([2]Baskol!$O$1914="","",[2]Baskol!$O$1914)</f>
        <v/>
      </c>
      <c r="AG1911">
        <f>IF([3]Entry!$C$1914="","",[3]Entry!$C$1914)</f>
        <v/>
      </c>
      <c r="AH1911">
        <f>IF([3]Entry!$D$1914="","",[3]Entry!$D$1914)</f>
        <v/>
      </c>
      <c r="AI1911">
        <f>IF([3]Entry!$E$1914="","",[3]Entry!$E$1914)</f>
        <v/>
      </c>
      <c r="AJ1911">
        <f>IF([3]Entry!$G$1914="","",[3]Entry!$G$1914)</f>
        <v/>
      </c>
      <c r="AK1911">
        <f>IF([3]Entry!$K$1914="","",[3]Entry!$K$1914)</f>
        <v/>
      </c>
      <c r="AL1911">
        <f>IF([3]Entry!$L$1914="","",[3]Entry!$L$1914)</f>
        <v/>
      </c>
      <c r="AM1911">
        <f>IF([3]Entry!$M$1914="","",[3]Entry!$M$1914)</f>
        <v/>
      </c>
      <c r="AN1911">
        <f>IF([3]Entry!$N$1914="","",[3]Entry!$N$1914)</f>
        <v/>
      </c>
      <c r="AO1911">
        <f>IF([3]Entry!$R$1914="","",[3]Entry!$R$1914)</f>
        <v/>
      </c>
    </row>
    <row r="1912">
      <c r="U1912">
        <f>IF([2]Baskol!$B$1915="","",[2]Baskol!$B$1915)</f>
        <v/>
      </c>
      <c r="V1912">
        <f>IF([2]Baskol!$C$1915="","",[2]Baskol!$C$1915)</f>
        <v/>
      </c>
      <c r="W1912">
        <f>IF([2]Baskol!$D$1915="","",[2]Baskol!$D$1915)</f>
        <v/>
      </c>
      <c r="X1912">
        <f>IF([2]Baskol!$E$1915="","",[2]Baskol!$E$1915)</f>
        <v/>
      </c>
      <c r="Y1912">
        <f>IF([2]Baskol!$G$1915="","",[2]Baskol!$G$1915)</f>
        <v/>
      </c>
      <c r="Z1912">
        <f>IF([2]Baskol!$I$1915="","",[2]Baskol!$I$1915)</f>
        <v/>
      </c>
      <c r="AA1912">
        <f>IF([2]Baskol!$J$1915="","",[2]Baskol!$J$1915)</f>
        <v/>
      </c>
      <c r="AB1912">
        <f>IF([2]Baskol!$K$1915="","",[2]Baskol!$K$1915)</f>
        <v/>
      </c>
      <c r="AC1912">
        <f>IF([2]Baskol!$L$1915="","",[2]Baskol!$L$1915)</f>
        <v/>
      </c>
      <c r="AD1912">
        <f>IF([2]Baskol!$N$1915="","",[2]Baskol!$N$1915)</f>
        <v/>
      </c>
      <c r="AE1912">
        <f>IF([2]Baskol!$O$1915="","",[2]Baskol!$O$1915)</f>
        <v/>
      </c>
      <c r="AG1912">
        <f>IF([3]Entry!$C$1915="","",[3]Entry!$C$1915)</f>
        <v/>
      </c>
      <c r="AH1912">
        <f>IF([3]Entry!$D$1915="","",[3]Entry!$D$1915)</f>
        <v/>
      </c>
      <c r="AI1912">
        <f>IF([3]Entry!$E$1915="","",[3]Entry!$E$1915)</f>
        <v/>
      </c>
      <c r="AJ1912">
        <f>IF([3]Entry!$G$1915="","",[3]Entry!$G$1915)</f>
        <v/>
      </c>
      <c r="AK1912">
        <f>IF([3]Entry!$K$1915="","",[3]Entry!$K$1915)</f>
        <v/>
      </c>
      <c r="AL1912">
        <f>IF([3]Entry!$L$1915="","",[3]Entry!$L$1915)</f>
        <v/>
      </c>
      <c r="AM1912">
        <f>IF([3]Entry!$M$1915="","",[3]Entry!$M$1915)</f>
        <v/>
      </c>
      <c r="AN1912">
        <f>IF([3]Entry!$N$1915="","",[3]Entry!$N$1915)</f>
        <v/>
      </c>
      <c r="AO1912">
        <f>IF([3]Entry!$R$1915="","",[3]Entry!$R$1915)</f>
        <v/>
      </c>
    </row>
    <row r="1913">
      <c r="U1913">
        <f>IF([2]Baskol!$B$1916="","",[2]Baskol!$B$1916)</f>
        <v/>
      </c>
      <c r="V1913">
        <f>IF([2]Baskol!$C$1916="","",[2]Baskol!$C$1916)</f>
        <v/>
      </c>
      <c r="W1913">
        <f>IF([2]Baskol!$D$1916="","",[2]Baskol!$D$1916)</f>
        <v/>
      </c>
      <c r="X1913">
        <f>IF([2]Baskol!$E$1916="","",[2]Baskol!$E$1916)</f>
        <v/>
      </c>
      <c r="Y1913">
        <f>IF([2]Baskol!$G$1916="","",[2]Baskol!$G$1916)</f>
        <v/>
      </c>
      <c r="Z1913">
        <f>IF([2]Baskol!$I$1916="","",[2]Baskol!$I$1916)</f>
        <v/>
      </c>
      <c r="AA1913">
        <f>IF([2]Baskol!$J$1916="","",[2]Baskol!$J$1916)</f>
        <v/>
      </c>
      <c r="AB1913">
        <f>IF([2]Baskol!$K$1916="","",[2]Baskol!$K$1916)</f>
        <v/>
      </c>
      <c r="AC1913">
        <f>IF([2]Baskol!$L$1916="","",[2]Baskol!$L$1916)</f>
        <v/>
      </c>
      <c r="AD1913">
        <f>IF([2]Baskol!$N$1916="","",[2]Baskol!$N$1916)</f>
        <v/>
      </c>
      <c r="AE1913">
        <f>IF([2]Baskol!$O$1916="","",[2]Baskol!$O$1916)</f>
        <v/>
      </c>
      <c r="AG1913">
        <f>IF([3]Entry!$C$1916="","",[3]Entry!$C$1916)</f>
        <v/>
      </c>
      <c r="AH1913">
        <f>IF([3]Entry!$D$1916="","",[3]Entry!$D$1916)</f>
        <v/>
      </c>
      <c r="AI1913">
        <f>IF([3]Entry!$E$1916="","",[3]Entry!$E$1916)</f>
        <v/>
      </c>
      <c r="AJ1913">
        <f>IF([3]Entry!$G$1916="","",[3]Entry!$G$1916)</f>
        <v/>
      </c>
      <c r="AK1913">
        <f>IF([3]Entry!$K$1916="","",[3]Entry!$K$1916)</f>
        <v/>
      </c>
      <c r="AL1913">
        <f>IF([3]Entry!$L$1916="","",[3]Entry!$L$1916)</f>
        <v/>
      </c>
      <c r="AM1913">
        <f>IF([3]Entry!$M$1916="","",[3]Entry!$M$1916)</f>
        <v/>
      </c>
      <c r="AN1913">
        <f>IF([3]Entry!$N$1916="","",[3]Entry!$N$1916)</f>
        <v/>
      </c>
      <c r="AO1913">
        <f>IF([3]Entry!$R$1916="","",[3]Entry!$R$1916)</f>
        <v/>
      </c>
    </row>
    <row r="1914">
      <c r="U1914">
        <f>IF([2]Baskol!$B$1917="","",[2]Baskol!$B$1917)</f>
        <v/>
      </c>
      <c r="V1914">
        <f>IF([2]Baskol!$C$1917="","",[2]Baskol!$C$1917)</f>
        <v/>
      </c>
      <c r="W1914">
        <f>IF([2]Baskol!$D$1917="","",[2]Baskol!$D$1917)</f>
        <v/>
      </c>
      <c r="X1914">
        <f>IF([2]Baskol!$E$1917="","",[2]Baskol!$E$1917)</f>
        <v/>
      </c>
      <c r="Y1914">
        <f>IF([2]Baskol!$G$1917="","",[2]Baskol!$G$1917)</f>
        <v/>
      </c>
      <c r="Z1914">
        <f>IF([2]Baskol!$I$1917="","",[2]Baskol!$I$1917)</f>
        <v/>
      </c>
      <c r="AA1914">
        <f>IF([2]Baskol!$J$1917="","",[2]Baskol!$J$1917)</f>
        <v/>
      </c>
      <c r="AB1914">
        <f>IF([2]Baskol!$K$1917="","",[2]Baskol!$K$1917)</f>
        <v/>
      </c>
      <c r="AC1914">
        <f>IF([2]Baskol!$L$1917="","",[2]Baskol!$L$1917)</f>
        <v/>
      </c>
      <c r="AD1914">
        <f>IF([2]Baskol!$N$1917="","",[2]Baskol!$N$1917)</f>
        <v/>
      </c>
      <c r="AE1914">
        <f>IF([2]Baskol!$O$1917="","",[2]Baskol!$O$1917)</f>
        <v/>
      </c>
      <c r="AG1914">
        <f>IF([3]Entry!$C$1917="","",[3]Entry!$C$1917)</f>
        <v/>
      </c>
      <c r="AH1914">
        <f>IF([3]Entry!$D$1917="","",[3]Entry!$D$1917)</f>
        <v/>
      </c>
      <c r="AI1914">
        <f>IF([3]Entry!$E$1917="","",[3]Entry!$E$1917)</f>
        <v/>
      </c>
      <c r="AJ1914">
        <f>IF([3]Entry!$G$1917="","",[3]Entry!$G$1917)</f>
        <v/>
      </c>
      <c r="AK1914">
        <f>IF([3]Entry!$K$1917="","",[3]Entry!$K$1917)</f>
        <v/>
      </c>
      <c r="AL1914">
        <f>IF([3]Entry!$L$1917="","",[3]Entry!$L$1917)</f>
        <v/>
      </c>
      <c r="AM1914">
        <f>IF([3]Entry!$M$1917="","",[3]Entry!$M$1917)</f>
        <v/>
      </c>
      <c r="AN1914">
        <f>IF([3]Entry!$N$1917="","",[3]Entry!$N$1917)</f>
        <v/>
      </c>
      <c r="AO1914">
        <f>IF([3]Entry!$R$1917="","",[3]Entry!$R$1917)</f>
        <v/>
      </c>
    </row>
    <row r="1915">
      <c r="U1915">
        <f>IF([2]Baskol!$B$1918="","",[2]Baskol!$B$1918)</f>
        <v/>
      </c>
      <c r="V1915">
        <f>IF([2]Baskol!$C$1918="","",[2]Baskol!$C$1918)</f>
        <v/>
      </c>
      <c r="W1915">
        <f>IF([2]Baskol!$D$1918="","",[2]Baskol!$D$1918)</f>
        <v/>
      </c>
      <c r="X1915">
        <f>IF([2]Baskol!$E$1918="","",[2]Baskol!$E$1918)</f>
        <v/>
      </c>
      <c r="Y1915">
        <f>IF([2]Baskol!$G$1918="","",[2]Baskol!$G$1918)</f>
        <v/>
      </c>
      <c r="Z1915">
        <f>IF([2]Baskol!$I$1918="","",[2]Baskol!$I$1918)</f>
        <v/>
      </c>
      <c r="AA1915">
        <f>IF([2]Baskol!$J$1918="","",[2]Baskol!$J$1918)</f>
        <v/>
      </c>
      <c r="AB1915">
        <f>IF([2]Baskol!$K$1918="","",[2]Baskol!$K$1918)</f>
        <v/>
      </c>
      <c r="AC1915">
        <f>IF([2]Baskol!$L$1918="","",[2]Baskol!$L$1918)</f>
        <v/>
      </c>
      <c r="AD1915">
        <f>IF([2]Baskol!$N$1918="","",[2]Baskol!$N$1918)</f>
        <v/>
      </c>
      <c r="AE1915">
        <f>IF([2]Baskol!$O$1918="","",[2]Baskol!$O$1918)</f>
        <v/>
      </c>
      <c r="AG1915">
        <f>IF([3]Entry!$C$1918="","",[3]Entry!$C$1918)</f>
        <v/>
      </c>
      <c r="AH1915">
        <f>IF([3]Entry!$D$1918="","",[3]Entry!$D$1918)</f>
        <v/>
      </c>
      <c r="AI1915">
        <f>IF([3]Entry!$E$1918="","",[3]Entry!$E$1918)</f>
        <v/>
      </c>
      <c r="AJ1915">
        <f>IF([3]Entry!$G$1918="","",[3]Entry!$G$1918)</f>
        <v/>
      </c>
      <c r="AK1915">
        <f>IF([3]Entry!$K$1918="","",[3]Entry!$K$1918)</f>
        <v/>
      </c>
      <c r="AL1915">
        <f>IF([3]Entry!$L$1918="","",[3]Entry!$L$1918)</f>
        <v/>
      </c>
      <c r="AM1915">
        <f>IF([3]Entry!$M$1918="","",[3]Entry!$M$1918)</f>
        <v/>
      </c>
      <c r="AN1915">
        <f>IF([3]Entry!$N$1918="","",[3]Entry!$N$1918)</f>
        <v/>
      </c>
      <c r="AO1915">
        <f>IF([3]Entry!$R$1918="","",[3]Entry!$R$1918)</f>
        <v/>
      </c>
    </row>
    <row r="1916">
      <c r="U1916">
        <f>IF([2]Baskol!$B$1919="","",[2]Baskol!$B$1919)</f>
        <v/>
      </c>
      <c r="V1916">
        <f>IF([2]Baskol!$C$1919="","",[2]Baskol!$C$1919)</f>
        <v/>
      </c>
      <c r="W1916">
        <f>IF([2]Baskol!$D$1919="","",[2]Baskol!$D$1919)</f>
        <v/>
      </c>
      <c r="X1916">
        <f>IF([2]Baskol!$E$1919="","",[2]Baskol!$E$1919)</f>
        <v/>
      </c>
      <c r="Y1916">
        <f>IF([2]Baskol!$G$1919="","",[2]Baskol!$G$1919)</f>
        <v/>
      </c>
      <c r="Z1916">
        <f>IF([2]Baskol!$I$1919="","",[2]Baskol!$I$1919)</f>
        <v/>
      </c>
      <c r="AA1916">
        <f>IF([2]Baskol!$J$1919="","",[2]Baskol!$J$1919)</f>
        <v/>
      </c>
      <c r="AB1916">
        <f>IF([2]Baskol!$K$1919="","",[2]Baskol!$K$1919)</f>
        <v/>
      </c>
      <c r="AC1916">
        <f>IF([2]Baskol!$L$1919="","",[2]Baskol!$L$1919)</f>
        <v/>
      </c>
      <c r="AD1916">
        <f>IF([2]Baskol!$N$1919="","",[2]Baskol!$N$1919)</f>
        <v/>
      </c>
      <c r="AE1916">
        <f>IF([2]Baskol!$O$1919="","",[2]Baskol!$O$1919)</f>
        <v/>
      </c>
      <c r="AG1916">
        <f>IF([3]Entry!$C$1919="","",[3]Entry!$C$1919)</f>
        <v/>
      </c>
      <c r="AH1916">
        <f>IF([3]Entry!$D$1919="","",[3]Entry!$D$1919)</f>
        <v/>
      </c>
      <c r="AI1916">
        <f>IF([3]Entry!$E$1919="","",[3]Entry!$E$1919)</f>
        <v/>
      </c>
      <c r="AJ1916">
        <f>IF([3]Entry!$G$1919="","",[3]Entry!$G$1919)</f>
        <v/>
      </c>
      <c r="AK1916">
        <f>IF([3]Entry!$K$1919="","",[3]Entry!$K$1919)</f>
        <v/>
      </c>
      <c r="AL1916">
        <f>IF([3]Entry!$L$1919="","",[3]Entry!$L$1919)</f>
        <v/>
      </c>
      <c r="AM1916">
        <f>IF([3]Entry!$M$1919="","",[3]Entry!$M$1919)</f>
        <v/>
      </c>
      <c r="AN1916">
        <f>IF([3]Entry!$N$1919="","",[3]Entry!$N$1919)</f>
        <v/>
      </c>
      <c r="AO1916">
        <f>IF([3]Entry!$R$1919="","",[3]Entry!$R$1919)</f>
        <v/>
      </c>
    </row>
    <row r="1917">
      <c r="U1917">
        <f>IF([2]Baskol!$B$1920="","",[2]Baskol!$B$1920)</f>
        <v/>
      </c>
      <c r="V1917">
        <f>IF([2]Baskol!$C$1920="","",[2]Baskol!$C$1920)</f>
        <v/>
      </c>
      <c r="W1917">
        <f>IF([2]Baskol!$D$1920="","",[2]Baskol!$D$1920)</f>
        <v/>
      </c>
      <c r="X1917">
        <f>IF([2]Baskol!$E$1920="","",[2]Baskol!$E$1920)</f>
        <v/>
      </c>
      <c r="Y1917">
        <f>IF([2]Baskol!$G$1920="","",[2]Baskol!$G$1920)</f>
        <v/>
      </c>
      <c r="Z1917">
        <f>IF([2]Baskol!$I$1920="","",[2]Baskol!$I$1920)</f>
        <v/>
      </c>
      <c r="AA1917">
        <f>IF([2]Baskol!$J$1920="","",[2]Baskol!$J$1920)</f>
        <v/>
      </c>
      <c r="AB1917">
        <f>IF([2]Baskol!$K$1920="","",[2]Baskol!$K$1920)</f>
        <v/>
      </c>
      <c r="AC1917">
        <f>IF([2]Baskol!$L$1920="","",[2]Baskol!$L$1920)</f>
        <v/>
      </c>
      <c r="AD1917">
        <f>IF([2]Baskol!$N$1920="","",[2]Baskol!$N$1920)</f>
        <v/>
      </c>
      <c r="AE1917">
        <f>IF([2]Baskol!$O$1920="","",[2]Baskol!$O$1920)</f>
        <v/>
      </c>
      <c r="AG1917">
        <f>IF([3]Entry!$C$1920="","",[3]Entry!$C$1920)</f>
        <v/>
      </c>
      <c r="AH1917">
        <f>IF([3]Entry!$D$1920="","",[3]Entry!$D$1920)</f>
        <v/>
      </c>
      <c r="AI1917">
        <f>IF([3]Entry!$E$1920="","",[3]Entry!$E$1920)</f>
        <v/>
      </c>
      <c r="AJ1917">
        <f>IF([3]Entry!$G$1920="","",[3]Entry!$G$1920)</f>
        <v/>
      </c>
      <c r="AK1917">
        <f>IF([3]Entry!$K$1920="","",[3]Entry!$K$1920)</f>
        <v/>
      </c>
      <c r="AL1917">
        <f>IF([3]Entry!$L$1920="","",[3]Entry!$L$1920)</f>
        <v/>
      </c>
      <c r="AM1917">
        <f>IF([3]Entry!$M$1920="","",[3]Entry!$M$1920)</f>
        <v/>
      </c>
      <c r="AN1917">
        <f>IF([3]Entry!$N$1920="","",[3]Entry!$N$1920)</f>
        <v/>
      </c>
      <c r="AO1917">
        <f>IF([3]Entry!$R$1920="","",[3]Entry!$R$1920)</f>
        <v/>
      </c>
    </row>
    <row r="1918">
      <c r="U1918">
        <f>IF([2]Baskol!$B$1921="","",[2]Baskol!$B$1921)</f>
        <v/>
      </c>
      <c r="V1918">
        <f>IF([2]Baskol!$C$1921="","",[2]Baskol!$C$1921)</f>
        <v/>
      </c>
      <c r="W1918">
        <f>IF([2]Baskol!$D$1921="","",[2]Baskol!$D$1921)</f>
        <v/>
      </c>
      <c r="X1918">
        <f>IF([2]Baskol!$E$1921="","",[2]Baskol!$E$1921)</f>
        <v/>
      </c>
      <c r="Y1918">
        <f>IF([2]Baskol!$G$1921="","",[2]Baskol!$G$1921)</f>
        <v/>
      </c>
      <c r="Z1918">
        <f>IF([2]Baskol!$I$1921="","",[2]Baskol!$I$1921)</f>
        <v/>
      </c>
      <c r="AA1918">
        <f>IF([2]Baskol!$J$1921="","",[2]Baskol!$J$1921)</f>
        <v/>
      </c>
      <c r="AB1918">
        <f>IF([2]Baskol!$K$1921="","",[2]Baskol!$K$1921)</f>
        <v/>
      </c>
      <c r="AC1918">
        <f>IF([2]Baskol!$L$1921="","",[2]Baskol!$L$1921)</f>
        <v/>
      </c>
      <c r="AD1918">
        <f>IF([2]Baskol!$N$1921="","",[2]Baskol!$N$1921)</f>
        <v/>
      </c>
      <c r="AE1918">
        <f>IF([2]Baskol!$O$1921="","",[2]Baskol!$O$1921)</f>
        <v/>
      </c>
      <c r="AG1918">
        <f>IF([3]Entry!$C$1921="","",[3]Entry!$C$1921)</f>
        <v/>
      </c>
      <c r="AH1918">
        <f>IF([3]Entry!$D$1921="","",[3]Entry!$D$1921)</f>
        <v/>
      </c>
      <c r="AI1918">
        <f>IF([3]Entry!$E$1921="","",[3]Entry!$E$1921)</f>
        <v/>
      </c>
      <c r="AJ1918">
        <f>IF([3]Entry!$G$1921="","",[3]Entry!$G$1921)</f>
        <v/>
      </c>
      <c r="AK1918">
        <f>IF([3]Entry!$K$1921="","",[3]Entry!$K$1921)</f>
        <v/>
      </c>
      <c r="AL1918">
        <f>IF([3]Entry!$L$1921="","",[3]Entry!$L$1921)</f>
        <v/>
      </c>
      <c r="AM1918">
        <f>IF([3]Entry!$M$1921="","",[3]Entry!$M$1921)</f>
        <v/>
      </c>
      <c r="AN1918">
        <f>IF([3]Entry!$N$1921="","",[3]Entry!$N$1921)</f>
        <v/>
      </c>
      <c r="AO1918">
        <f>IF([3]Entry!$R$1921="","",[3]Entry!$R$1921)</f>
        <v/>
      </c>
    </row>
    <row r="1919">
      <c r="U1919">
        <f>IF([2]Baskol!$B$1922="","",[2]Baskol!$B$1922)</f>
        <v/>
      </c>
      <c r="V1919">
        <f>IF([2]Baskol!$C$1922="","",[2]Baskol!$C$1922)</f>
        <v/>
      </c>
      <c r="W1919">
        <f>IF([2]Baskol!$D$1922="","",[2]Baskol!$D$1922)</f>
        <v/>
      </c>
      <c r="X1919">
        <f>IF([2]Baskol!$E$1922="","",[2]Baskol!$E$1922)</f>
        <v/>
      </c>
      <c r="Y1919">
        <f>IF([2]Baskol!$G$1922="","",[2]Baskol!$G$1922)</f>
        <v/>
      </c>
      <c r="Z1919">
        <f>IF([2]Baskol!$I$1922="","",[2]Baskol!$I$1922)</f>
        <v/>
      </c>
      <c r="AA1919">
        <f>IF([2]Baskol!$J$1922="","",[2]Baskol!$J$1922)</f>
        <v/>
      </c>
      <c r="AB1919">
        <f>IF([2]Baskol!$K$1922="","",[2]Baskol!$K$1922)</f>
        <v/>
      </c>
      <c r="AC1919">
        <f>IF([2]Baskol!$L$1922="","",[2]Baskol!$L$1922)</f>
        <v/>
      </c>
      <c r="AD1919">
        <f>IF([2]Baskol!$N$1922="","",[2]Baskol!$N$1922)</f>
        <v/>
      </c>
      <c r="AE1919">
        <f>IF([2]Baskol!$O$1922="","",[2]Baskol!$O$1922)</f>
        <v/>
      </c>
      <c r="AG1919">
        <f>IF([3]Entry!$C$1922="","",[3]Entry!$C$1922)</f>
        <v/>
      </c>
      <c r="AH1919">
        <f>IF([3]Entry!$D$1922="","",[3]Entry!$D$1922)</f>
        <v/>
      </c>
      <c r="AI1919">
        <f>IF([3]Entry!$E$1922="","",[3]Entry!$E$1922)</f>
        <v/>
      </c>
      <c r="AJ1919">
        <f>IF([3]Entry!$G$1922="","",[3]Entry!$G$1922)</f>
        <v/>
      </c>
      <c r="AK1919">
        <f>IF([3]Entry!$K$1922="","",[3]Entry!$K$1922)</f>
        <v/>
      </c>
      <c r="AL1919">
        <f>IF([3]Entry!$L$1922="","",[3]Entry!$L$1922)</f>
        <v/>
      </c>
      <c r="AM1919">
        <f>IF([3]Entry!$M$1922="","",[3]Entry!$M$1922)</f>
        <v/>
      </c>
      <c r="AN1919">
        <f>IF([3]Entry!$N$1922="","",[3]Entry!$N$1922)</f>
        <v/>
      </c>
      <c r="AO1919">
        <f>IF([3]Entry!$R$1922="","",[3]Entry!$R$1922)</f>
        <v/>
      </c>
    </row>
    <row r="1920">
      <c r="U1920">
        <f>IF([2]Baskol!$B$1923="","",[2]Baskol!$B$1923)</f>
        <v/>
      </c>
      <c r="V1920">
        <f>IF([2]Baskol!$C$1923="","",[2]Baskol!$C$1923)</f>
        <v/>
      </c>
      <c r="W1920">
        <f>IF([2]Baskol!$D$1923="","",[2]Baskol!$D$1923)</f>
        <v/>
      </c>
      <c r="X1920">
        <f>IF([2]Baskol!$E$1923="","",[2]Baskol!$E$1923)</f>
        <v/>
      </c>
      <c r="Y1920">
        <f>IF([2]Baskol!$G$1923="","",[2]Baskol!$G$1923)</f>
        <v/>
      </c>
      <c r="Z1920">
        <f>IF([2]Baskol!$I$1923="","",[2]Baskol!$I$1923)</f>
        <v/>
      </c>
      <c r="AA1920">
        <f>IF([2]Baskol!$J$1923="","",[2]Baskol!$J$1923)</f>
        <v/>
      </c>
      <c r="AB1920">
        <f>IF([2]Baskol!$K$1923="","",[2]Baskol!$K$1923)</f>
        <v/>
      </c>
      <c r="AC1920">
        <f>IF([2]Baskol!$L$1923="","",[2]Baskol!$L$1923)</f>
        <v/>
      </c>
      <c r="AD1920">
        <f>IF([2]Baskol!$N$1923="","",[2]Baskol!$N$1923)</f>
        <v/>
      </c>
      <c r="AE1920">
        <f>IF([2]Baskol!$O$1923="","",[2]Baskol!$O$1923)</f>
        <v/>
      </c>
      <c r="AG1920">
        <f>IF([3]Entry!$C$1923="","",[3]Entry!$C$1923)</f>
        <v/>
      </c>
      <c r="AH1920">
        <f>IF([3]Entry!$D$1923="","",[3]Entry!$D$1923)</f>
        <v/>
      </c>
      <c r="AI1920">
        <f>IF([3]Entry!$E$1923="","",[3]Entry!$E$1923)</f>
        <v/>
      </c>
      <c r="AJ1920">
        <f>IF([3]Entry!$G$1923="","",[3]Entry!$G$1923)</f>
        <v/>
      </c>
      <c r="AK1920">
        <f>IF([3]Entry!$K$1923="","",[3]Entry!$K$1923)</f>
        <v/>
      </c>
      <c r="AL1920">
        <f>IF([3]Entry!$L$1923="","",[3]Entry!$L$1923)</f>
        <v/>
      </c>
      <c r="AM1920">
        <f>IF([3]Entry!$M$1923="","",[3]Entry!$M$1923)</f>
        <v/>
      </c>
      <c r="AN1920">
        <f>IF([3]Entry!$N$1923="","",[3]Entry!$N$1923)</f>
        <v/>
      </c>
      <c r="AO1920">
        <f>IF([3]Entry!$R$1923="","",[3]Entry!$R$1923)</f>
        <v/>
      </c>
    </row>
    <row r="1921">
      <c r="U1921">
        <f>IF([2]Baskol!$B$1924="","",[2]Baskol!$B$1924)</f>
        <v/>
      </c>
      <c r="V1921">
        <f>IF([2]Baskol!$C$1924="","",[2]Baskol!$C$1924)</f>
        <v/>
      </c>
      <c r="W1921">
        <f>IF([2]Baskol!$D$1924="","",[2]Baskol!$D$1924)</f>
        <v/>
      </c>
      <c r="X1921">
        <f>IF([2]Baskol!$E$1924="","",[2]Baskol!$E$1924)</f>
        <v/>
      </c>
      <c r="Y1921">
        <f>IF([2]Baskol!$G$1924="","",[2]Baskol!$G$1924)</f>
        <v/>
      </c>
      <c r="Z1921">
        <f>IF([2]Baskol!$I$1924="","",[2]Baskol!$I$1924)</f>
        <v/>
      </c>
      <c r="AA1921">
        <f>IF([2]Baskol!$J$1924="","",[2]Baskol!$J$1924)</f>
        <v/>
      </c>
      <c r="AB1921">
        <f>IF([2]Baskol!$K$1924="","",[2]Baskol!$K$1924)</f>
        <v/>
      </c>
      <c r="AC1921">
        <f>IF([2]Baskol!$L$1924="","",[2]Baskol!$L$1924)</f>
        <v/>
      </c>
      <c r="AD1921">
        <f>IF([2]Baskol!$N$1924="","",[2]Baskol!$N$1924)</f>
        <v/>
      </c>
      <c r="AE1921">
        <f>IF([2]Baskol!$O$1924="","",[2]Baskol!$O$1924)</f>
        <v/>
      </c>
      <c r="AG1921">
        <f>IF([3]Entry!$C$1924="","",[3]Entry!$C$1924)</f>
        <v/>
      </c>
      <c r="AH1921">
        <f>IF([3]Entry!$D$1924="","",[3]Entry!$D$1924)</f>
        <v/>
      </c>
      <c r="AI1921">
        <f>IF([3]Entry!$E$1924="","",[3]Entry!$E$1924)</f>
        <v/>
      </c>
      <c r="AJ1921">
        <f>IF([3]Entry!$G$1924="","",[3]Entry!$G$1924)</f>
        <v/>
      </c>
      <c r="AK1921">
        <f>IF([3]Entry!$K$1924="","",[3]Entry!$K$1924)</f>
        <v/>
      </c>
      <c r="AL1921">
        <f>IF([3]Entry!$L$1924="","",[3]Entry!$L$1924)</f>
        <v/>
      </c>
      <c r="AM1921">
        <f>IF([3]Entry!$M$1924="","",[3]Entry!$M$1924)</f>
        <v/>
      </c>
      <c r="AN1921">
        <f>IF([3]Entry!$N$1924="","",[3]Entry!$N$1924)</f>
        <v/>
      </c>
      <c r="AO1921">
        <f>IF([3]Entry!$R$1924="","",[3]Entry!$R$1924)</f>
        <v/>
      </c>
    </row>
    <row r="1922">
      <c r="U1922">
        <f>IF([2]Baskol!$B$1925="","",[2]Baskol!$B$1925)</f>
        <v/>
      </c>
      <c r="V1922">
        <f>IF([2]Baskol!$C$1925="","",[2]Baskol!$C$1925)</f>
        <v/>
      </c>
      <c r="W1922">
        <f>IF([2]Baskol!$D$1925="","",[2]Baskol!$D$1925)</f>
        <v/>
      </c>
      <c r="X1922">
        <f>IF([2]Baskol!$E$1925="","",[2]Baskol!$E$1925)</f>
        <v/>
      </c>
      <c r="Y1922">
        <f>IF([2]Baskol!$G$1925="","",[2]Baskol!$G$1925)</f>
        <v/>
      </c>
      <c r="Z1922">
        <f>IF([2]Baskol!$I$1925="","",[2]Baskol!$I$1925)</f>
        <v/>
      </c>
      <c r="AA1922">
        <f>IF([2]Baskol!$J$1925="","",[2]Baskol!$J$1925)</f>
        <v/>
      </c>
      <c r="AB1922">
        <f>IF([2]Baskol!$K$1925="","",[2]Baskol!$K$1925)</f>
        <v/>
      </c>
      <c r="AC1922">
        <f>IF([2]Baskol!$L$1925="","",[2]Baskol!$L$1925)</f>
        <v/>
      </c>
      <c r="AD1922">
        <f>IF([2]Baskol!$N$1925="","",[2]Baskol!$N$1925)</f>
        <v/>
      </c>
      <c r="AE1922">
        <f>IF([2]Baskol!$O$1925="","",[2]Baskol!$O$1925)</f>
        <v/>
      </c>
      <c r="AG1922">
        <f>IF([3]Entry!$C$1925="","",[3]Entry!$C$1925)</f>
        <v/>
      </c>
      <c r="AH1922">
        <f>IF([3]Entry!$D$1925="","",[3]Entry!$D$1925)</f>
        <v/>
      </c>
      <c r="AI1922">
        <f>IF([3]Entry!$E$1925="","",[3]Entry!$E$1925)</f>
        <v/>
      </c>
      <c r="AJ1922">
        <f>IF([3]Entry!$G$1925="","",[3]Entry!$G$1925)</f>
        <v/>
      </c>
      <c r="AK1922">
        <f>IF([3]Entry!$K$1925="","",[3]Entry!$K$1925)</f>
        <v/>
      </c>
      <c r="AL1922">
        <f>IF([3]Entry!$L$1925="","",[3]Entry!$L$1925)</f>
        <v/>
      </c>
      <c r="AM1922">
        <f>IF([3]Entry!$M$1925="","",[3]Entry!$M$1925)</f>
        <v/>
      </c>
      <c r="AN1922">
        <f>IF([3]Entry!$N$1925="","",[3]Entry!$N$1925)</f>
        <v/>
      </c>
      <c r="AO1922">
        <f>IF([3]Entry!$R$1925="","",[3]Entry!$R$1925)</f>
        <v/>
      </c>
    </row>
    <row r="1923">
      <c r="U1923">
        <f>IF([2]Baskol!$B$1926="","",[2]Baskol!$B$1926)</f>
        <v/>
      </c>
      <c r="V1923">
        <f>IF([2]Baskol!$C$1926="","",[2]Baskol!$C$1926)</f>
        <v/>
      </c>
      <c r="W1923">
        <f>IF([2]Baskol!$D$1926="","",[2]Baskol!$D$1926)</f>
        <v/>
      </c>
      <c r="X1923">
        <f>IF([2]Baskol!$E$1926="","",[2]Baskol!$E$1926)</f>
        <v/>
      </c>
      <c r="Y1923">
        <f>IF([2]Baskol!$G$1926="","",[2]Baskol!$G$1926)</f>
        <v/>
      </c>
      <c r="Z1923">
        <f>IF([2]Baskol!$I$1926="","",[2]Baskol!$I$1926)</f>
        <v/>
      </c>
      <c r="AA1923">
        <f>IF([2]Baskol!$J$1926="","",[2]Baskol!$J$1926)</f>
        <v/>
      </c>
      <c r="AB1923">
        <f>IF([2]Baskol!$K$1926="","",[2]Baskol!$K$1926)</f>
        <v/>
      </c>
      <c r="AC1923">
        <f>IF([2]Baskol!$L$1926="","",[2]Baskol!$L$1926)</f>
        <v/>
      </c>
      <c r="AD1923">
        <f>IF([2]Baskol!$N$1926="","",[2]Baskol!$N$1926)</f>
        <v/>
      </c>
      <c r="AE1923">
        <f>IF([2]Baskol!$O$1926="","",[2]Baskol!$O$1926)</f>
        <v/>
      </c>
      <c r="AG1923">
        <f>IF([3]Entry!$C$1926="","",[3]Entry!$C$1926)</f>
        <v/>
      </c>
      <c r="AH1923">
        <f>IF([3]Entry!$D$1926="","",[3]Entry!$D$1926)</f>
        <v/>
      </c>
      <c r="AI1923">
        <f>IF([3]Entry!$E$1926="","",[3]Entry!$E$1926)</f>
        <v/>
      </c>
      <c r="AJ1923">
        <f>IF([3]Entry!$G$1926="","",[3]Entry!$G$1926)</f>
        <v/>
      </c>
      <c r="AK1923">
        <f>IF([3]Entry!$K$1926="","",[3]Entry!$K$1926)</f>
        <v/>
      </c>
      <c r="AL1923">
        <f>IF([3]Entry!$L$1926="","",[3]Entry!$L$1926)</f>
        <v/>
      </c>
      <c r="AM1923">
        <f>IF([3]Entry!$M$1926="","",[3]Entry!$M$1926)</f>
        <v/>
      </c>
      <c r="AN1923">
        <f>IF([3]Entry!$N$1926="","",[3]Entry!$N$1926)</f>
        <v/>
      </c>
      <c r="AO1923">
        <f>IF([3]Entry!$R$1926="","",[3]Entry!$R$1926)</f>
        <v/>
      </c>
    </row>
    <row r="1924">
      <c r="U1924">
        <f>IF([2]Baskol!$B$1927="","",[2]Baskol!$B$1927)</f>
        <v/>
      </c>
      <c r="V1924">
        <f>IF([2]Baskol!$C$1927="","",[2]Baskol!$C$1927)</f>
        <v/>
      </c>
      <c r="W1924">
        <f>IF([2]Baskol!$D$1927="","",[2]Baskol!$D$1927)</f>
        <v/>
      </c>
      <c r="X1924">
        <f>IF([2]Baskol!$E$1927="","",[2]Baskol!$E$1927)</f>
        <v/>
      </c>
      <c r="Y1924">
        <f>IF([2]Baskol!$G$1927="","",[2]Baskol!$G$1927)</f>
        <v/>
      </c>
      <c r="Z1924">
        <f>IF([2]Baskol!$I$1927="","",[2]Baskol!$I$1927)</f>
        <v/>
      </c>
      <c r="AA1924">
        <f>IF([2]Baskol!$J$1927="","",[2]Baskol!$J$1927)</f>
        <v/>
      </c>
      <c r="AB1924">
        <f>IF([2]Baskol!$K$1927="","",[2]Baskol!$K$1927)</f>
        <v/>
      </c>
      <c r="AC1924">
        <f>IF([2]Baskol!$L$1927="","",[2]Baskol!$L$1927)</f>
        <v/>
      </c>
      <c r="AD1924">
        <f>IF([2]Baskol!$N$1927="","",[2]Baskol!$N$1927)</f>
        <v/>
      </c>
      <c r="AE1924">
        <f>IF([2]Baskol!$O$1927="","",[2]Baskol!$O$1927)</f>
        <v/>
      </c>
      <c r="AG1924">
        <f>IF([3]Entry!$C$1927="","",[3]Entry!$C$1927)</f>
        <v/>
      </c>
      <c r="AH1924">
        <f>IF([3]Entry!$D$1927="","",[3]Entry!$D$1927)</f>
        <v/>
      </c>
      <c r="AI1924">
        <f>IF([3]Entry!$E$1927="","",[3]Entry!$E$1927)</f>
        <v/>
      </c>
      <c r="AJ1924">
        <f>IF([3]Entry!$G$1927="","",[3]Entry!$G$1927)</f>
        <v/>
      </c>
      <c r="AK1924">
        <f>IF([3]Entry!$K$1927="","",[3]Entry!$K$1927)</f>
        <v/>
      </c>
      <c r="AL1924">
        <f>IF([3]Entry!$L$1927="","",[3]Entry!$L$1927)</f>
        <v/>
      </c>
      <c r="AM1924">
        <f>IF([3]Entry!$M$1927="","",[3]Entry!$M$1927)</f>
        <v/>
      </c>
      <c r="AN1924">
        <f>IF([3]Entry!$N$1927="","",[3]Entry!$N$1927)</f>
        <v/>
      </c>
      <c r="AO1924">
        <f>IF([3]Entry!$R$1927="","",[3]Entry!$R$1927)</f>
        <v/>
      </c>
    </row>
    <row r="1925">
      <c r="U1925">
        <f>IF([2]Baskol!$B$1928="","",[2]Baskol!$B$1928)</f>
        <v/>
      </c>
      <c r="V1925">
        <f>IF([2]Baskol!$C$1928="","",[2]Baskol!$C$1928)</f>
        <v/>
      </c>
      <c r="W1925">
        <f>IF([2]Baskol!$D$1928="","",[2]Baskol!$D$1928)</f>
        <v/>
      </c>
      <c r="X1925">
        <f>IF([2]Baskol!$E$1928="","",[2]Baskol!$E$1928)</f>
        <v/>
      </c>
      <c r="Y1925">
        <f>IF([2]Baskol!$G$1928="","",[2]Baskol!$G$1928)</f>
        <v/>
      </c>
      <c r="Z1925">
        <f>IF([2]Baskol!$I$1928="","",[2]Baskol!$I$1928)</f>
        <v/>
      </c>
      <c r="AA1925">
        <f>IF([2]Baskol!$J$1928="","",[2]Baskol!$J$1928)</f>
        <v/>
      </c>
      <c r="AB1925">
        <f>IF([2]Baskol!$K$1928="","",[2]Baskol!$K$1928)</f>
        <v/>
      </c>
      <c r="AC1925">
        <f>IF([2]Baskol!$L$1928="","",[2]Baskol!$L$1928)</f>
        <v/>
      </c>
      <c r="AD1925">
        <f>IF([2]Baskol!$N$1928="","",[2]Baskol!$N$1928)</f>
        <v/>
      </c>
      <c r="AE1925">
        <f>IF([2]Baskol!$O$1928="","",[2]Baskol!$O$1928)</f>
        <v/>
      </c>
      <c r="AG1925">
        <f>IF([3]Entry!$C$1928="","",[3]Entry!$C$1928)</f>
        <v/>
      </c>
      <c r="AH1925">
        <f>IF([3]Entry!$D$1928="","",[3]Entry!$D$1928)</f>
        <v/>
      </c>
      <c r="AI1925">
        <f>IF([3]Entry!$E$1928="","",[3]Entry!$E$1928)</f>
        <v/>
      </c>
      <c r="AJ1925">
        <f>IF([3]Entry!$G$1928="","",[3]Entry!$G$1928)</f>
        <v/>
      </c>
      <c r="AK1925">
        <f>IF([3]Entry!$K$1928="","",[3]Entry!$K$1928)</f>
        <v/>
      </c>
      <c r="AL1925">
        <f>IF([3]Entry!$L$1928="","",[3]Entry!$L$1928)</f>
        <v/>
      </c>
      <c r="AM1925">
        <f>IF([3]Entry!$M$1928="","",[3]Entry!$M$1928)</f>
        <v/>
      </c>
      <c r="AN1925">
        <f>IF([3]Entry!$N$1928="","",[3]Entry!$N$1928)</f>
        <v/>
      </c>
      <c r="AO1925">
        <f>IF([3]Entry!$R$1928="","",[3]Entry!$R$1928)</f>
        <v/>
      </c>
    </row>
    <row r="1926">
      <c r="U1926">
        <f>IF([2]Baskol!$B$1929="","",[2]Baskol!$B$1929)</f>
        <v/>
      </c>
      <c r="V1926">
        <f>IF([2]Baskol!$C$1929="","",[2]Baskol!$C$1929)</f>
        <v/>
      </c>
      <c r="W1926">
        <f>IF([2]Baskol!$D$1929="","",[2]Baskol!$D$1929)</f>
        <v/>
      </c>
      <c r="X1926">
        <f>IF([2]Baskol!$E$1929="","",[2]Baskol!$E$1929)</f>
        <v/>
      </c>
      <c r="Y1926">
        <f>IF([2]Baskol!$G$1929="","",[2]Baskol!$G$1929)</f>
        <v/>
      </c>
      <c r="Z1926">
        <f>IF([2]Baskol!$I$1929="","",[2]Baskol!$I$1929)</f>
        <v/>
      </c>
      <c r="AA1926">
        <f>IF([2]Baskol!$J$1929="","",[2]Baskol!$J$1929)</f>
        <v/>
      </c>
      <c r="AB1926">
        <f>IF([2]Baskol!$K$1929="","",[2]Baskol!$K$1929)</f>
        <v/>
      </c>
      <c r="AC1926">
        <f>IF([2]Baskol!$L$1929="","",[2]Baskol!$L$1929)</f>
        <v/>
      </c>
      <c r="AD1926">
        <f>IF([2]Baskol!$N$1929="","",[2]Baskol!$N$1929)</f>
        <v/>
      </c>
      <c r="AE1926">
        <f>IF([2]Baskol!$O$1929="","",[2]Baskol!$O$1929)</f>
        <v/>
      </c>
      <c r="AG1926">
        <f>IF([3]Entry!$C$1929="","",[3]Entry!$C$1929)</f>
        <v/>
      </c>
      <c r="AH1926">
        <f>IF([3]Entry!$D$1929="","",[3]Entry!$D$1929)</f>
        <v/>
      </c>
      <c r="AI1926">
        <f>IF([3]Entry!$E$1929="","",[3]Entry!$E$1929)</f>
        <v/>
      </c>
      <c r="AJ1926">
        <f>IF([3]Entry!$G$1929="","",[3]Entry!$G$1929)</f>
        <v/>
      </c>
      <c r="AK1926">
        <f>IF([3]Entry!$K$1929="","",[3]Entry!$K$1929)</f>
        <v/>
      </c>
      <c r="AL1926">
        <f>IF([3]Entry!$L$1929="","",[3]Entry!$L$1929)</f>
        <v/>
      </c>
      <c r="AM1926">
        <f>IF([3]Entry!$M$1929="","",[3]Entry!$M$1929)</f>
        <v/>
      </c>
      <c r="AN1926">
        <f>IF([3]Entry!$N$1929="","",[3]Entry!$N$1929)</f>
        <v/>
      </c>
      <c r="AO1926">
        <f>IF([3]Entry!$R$1929="","",[3]Entry!$R$1929)</f>
        <v/>
      </c>
    </row>
    <row r="1927">
      <c r="U1927">
        <f>IF([2]Baskol!$B$1930="","",[2]Baskol!$B$1930)</f>
        <v/>
      </c>
      <c r="V1927">
        <f>IF([2]Baskol!$C$1930="","",[2]Baskol!$C$1930)</f>
        <v/>
      </c>
      <c r="W1927">
        <f>IF([2]Baskol!$D$1930="","",[2]Baskol!$D$1930)</f>
        <v/>
      </c>
      <c r="X1927">
        <f>IF([2]Baskol!$E$1930="","",[2]Baskol!$E$1930)</f>
        <v/>
      </c>
      <c r="Y1927">
        <f>IF([2]Baskol!$G$1930="","",[2]Baskol!$G$1930)</f>
        <v/>
      </c>
      <c r="Z1927">
        <f>IF([2]Baskol!$I$1930="","",[2]Baskol!$I$1930)</f>
        <v/>
      </c>
      <c r="AA1927">
        <f>IF([2]Baskol!$J$1930="","",[2]Baskol!$J$1930)</f>
        <v/>
      </c>
      <c r="AB1927">
        <f>IF([2]Baskol!$K$1930="","",[2]Baskol!$K$1930)</f>
        <v/>
      </c>
      <c r="AC1927">
        <f>IF([2]Baskol!$L$1930="","",[2]Baskol!$L$1930)</f>
        <v/>
      </c>
      <c r="AD1927">
        <f>IF([2]Baskol!$N$1930="","",[2]Baskol!$N$1930)</f>
        <v/>
      </c>
      <c r="AE1927">
        <f>IF([2]Baskol!$O$1930="","",[2]Baskol!$O$1930)</f>
        <v/>
      </c>
      <c r="AG1927">
        <f>IF([3]Entry!$C$1930="","",[3]Entry!$C$1930)</f>
        <v/>
      </c>
      <c r="AH1927">
        <f>IF([3]Entry!$D$1930="","",[3]Entry!$D$1930)</f>
        <v/>
      </c>
      <c r="AI1927">
        <f>IF([3]Entry!$E$1930="","",[3]Entry!$E$1930)</f>
        <v/>
      </c>
      <c r="AJ1927">
        <f>IF([3]Entry!$G$1930="","",[3]Entry!$G$1930)</f>
        <v/>
      </c>
      <c r="AK1927">
        <f>IF([3]Entry!$K$1930="","",[3]Entry!$K$1930)</f>
        <v/>
      </c>
      <c r="AL1927">
        <f>IF([3]Entry!$L$1930="","",[3]Entry!$L$1930)</f>
        <v/>
      </c>
      <c r="AM1927">
        <f>IF([3]Entry!$M$1930="","",[3]Entry!$M$1930)</f>
        <v/>
      </c>
      <c r="AN1927">
        <f>IF([3]Entry!$N$1930="","",[3]Entry!$N$1930)</f>
        <v/>
      </c>
      <c r="AO1927">
        <f>IF([3]Entry!$R$1930="","",[3]Entry!$R$1930)</f>
        <v/>
      </c>
    </row>
    <row r="1928">
      <c r="U1928">
        <f>IF([2]Baskol!$B$1931="","",[2]Baskol!$B$1931)</f>
        <v/>
      </c>
      <c r="V1928">
        <f>IF([2]Baskol!$C$1931="","",[2]Baskol!$C$1931)</f>
        <v/>
      </c>
      <c r="W1928">
        <f>IF([2]Baskol!$D$1931="","",[2]Baskol!$D$1931)</f>
        <v/>
      </c>
      <c r="X1928">
        <f>IF([2]Baskol!$E$1931="","",[2]Baskol!$E$1931)</f>
        <v/>
      </c>
      <c r="Y1928">
        <f>IF([2]Baskol!$G$1931="","",[2]Baskol!$G$1931)</f>
        <v/>
      </c>
      <c r="Z1928">
        <f>IF([2]Baskol!$I$1931="","",[2]Baskol!$I$1931)</f>
        <v/>
      </c>
      <c r="AA1928">
        <f>IF([2]Baskol!$J$1931="","",[2]Baskol!$J$1931)</f>
        <v/>
      </c>
      <c r="AB1928">
        <f>IF([2]Baskol!$K$1931="","",[2]Baskol!$K$1931)</f>
        <v/>
      </c>
      <c r="AC1928">
        <f>IF([2]Baskol!$L$1931="","",[2]Baskol!$L$1931)</f>
        <v/>
      </c>
      <c r="AD1928">
        <f>IF([2]Baskol!$N$1931="","",[2]Baskol!$N$1931)</f>
        <v/>
      </c>
      <c r="AE1928">
        <f>IF([2]Baskol!$O$1931="","",[2]Baskol!$O$1931)</f>
        <v/>
      </c>
      <c r="AG1928">
        <f>IF([3]Entry!$C$1931="","",[3]Entry!$C$1931)</f>
        <v/>
      </c>
      <c r="AH1928">
        <f>IF([3]Entry!$D$1931="","",[3]Entry!$D$1931)</f>
        <v/>
      </c>
      <c r="AI1928">
        <f>IF([3]Entry!$E$1931="","",[3]Entry!$E$1931)</f>
        <v/>
      </c>
      <c r="AJ1928">
        <f>IF([3]Entry!$G$1931="","",[3]Entry!$G$1931)</f>
        <v/>
      </c>
      <c r="AK1928">
        <f>IF([3]Entry!$K$1931="","",[3]Entry!$K$1931)</f>
        <v/>
      </c>
      <c r="AL1928">
        <f>IF([3]Entry!$L$1931="","",[3]Entry!$L$1931)</f>
        <v/>
      </c>
      <c r="AM1928">
        <f>IF([3]Entry!$M$1931="","",[3]Entry!$M$1931)</f>
        <v/>
      </c>
      <c r="AN1928">
        <f>IF([3]Entry!$N$1931="","",[3]Entry!$N$1931)</f>
        <v/>
      </c>
      <c r="AO1928">
        <f>IF([3]Entry!$R$1931="","",[3]Entry!$R$1931)</f>
        <v/>
      </c>
    </row>
    <row r="1929">
      <c r="U1929">
        <f>IF([2]Baskol!$B$1932="","",[2]Baskol!$B$1932)</f>
        <v/>
      </c>
      <c r="V1929">
        <f>IF([2]Baskol!$C$1932="","",[2]Baskol!$C$1932)</f>
        <v/>
      </c>
      <c r="W1929">
        <f>IF([2]Baskol!$D$1932="","",[2]Baskol!$D$1932)</f>
        <v/>
      </c>
      <c r="X1929">
        <f>IF([2]Baskol!$E$1932="","",[2]Baskol!$E$1932)</f>
        <v/>
      </c>
      <c r="Y1929">
        <f>IF([2]Baskol!$G$1932="","",[2]Baskol!$G$1932)</f>
        <v/>
      </c>
      <c r="Z1929">
        <f>IF([2]Baskol!$I$1932="","",[2]Baskol!$I$1932)</f>
        <v/>
      </c>
      <c r="AA1929">
        <f>IF([2]Baskol!$J$1932="","",[2]Baskol!$J$1932)</f>
        <v/>
      </c>
      <c r="AB1929">
        <f>IF([2]Baskol!$K$1932="","",[2]Baskol!$K$1932)</f>
        <v/>
      </c>
      <c r="AC1929">
        <f>IF([2]Baskol!$L$1932="","",[2]Baskol!$L$1932)</f>
        <v/>
      </c>
      <c r="AD1929">
        <f>IF([2]Baskol!$N$1932="","",[2]Baskol!$N$1932)</f>
        <v/>
      </c>
      <c r="AE1929">
        <f>IF([2]Baskol!$O$1932="","",[2]Baskol!$O$1932)</f>
        <v/>
      </c>
      <c r="AG1929">
        <f>IF([3]Entry!$C$1932="","",[3]Entry!$C$1932)</f>
        <v/>
      </c>
      <c r="AH1929">
        <f>IF([3]Entry!$D$1932="","",[3]Entry!$D$1932)</f>
        <v/>
      </c>
      <c r="AI1929">
        <f>IF([3]Entry!$E$1932="","",[3]Entry!$E$1932)</f>
        <v/>
      </c>
      <c r="AJ1929">
        <f>IF([3]Entry!$G$1932="","",[3]Entry!$G$1932)</f>
        <v/>
      </c>
      <c r="AK1929">
        <f>IF([3]Entry!$K$1932="","",[3]Entry!$K$1932)</f>
        <v/>
      </c>
      <c r="AL1929">
        <f>IF([3]Entry!$L$1932="","",[3]Entry!$L$1932)</f>
        <v/>
      </c>
      <c r="AM1929">
        <f>IF([3]Entry!$M$1932="","",[3]Entry!$M$1932)</f>
        <v/>
      </c>
      <c r="AN1929">
        <f>IF([3]Entry!$N$1932="","",[3]Entry!$N$1932)</f>
        <v/>
      </c>
      <c r="AO1929">
        <f>IF([3]Entry!$R$1932="","",[3]Entry!$R$1932)</f>
        <v/>
      </c>
    </row>
    <row r="1930">
      <c r="U1930">
        <f>IF([2]Baskol!$B$1933="","",[2]Baskol!$B$1933)</f>
        <v/>
      </c>
      <c r="V1930">
        <f>IF([2]Baskol!$C$1933="","",[2]Baskol!$C$1933)</f>
        <v/>
      </c>
      <c r="W1930">
        <f>IF([2]Baskol!$D$1933="","",[2]Baskol!$D$1933)</f>
        <v/>
      </c>
      <c r="X1930">
        <f>IF([2]Baskol!$E$1933="","",[2]Baskol!$E$1933)</f>
        <v/>
      </c>
      <c r="Y1930">
        <f>IF([2]Baskol!$G$1933="","",[2]Baskol!$G$1933)</f>
        <v/>
      </c>
      <c r="Z1930">
        <f>IF([2]Baskol!$I$1933="","",[2]Baskol!$I$1933)</f>
        <v/>
      </c>
      <c r="AA1930">
        <f>IF([2]Baskol!$J$1933="","",[2]Baskol!$J$1933)</f>
        <v/>
      </c>
      <c r="AB1930">
        <f>IF([2]Baskol!$K$1933="","",[2]Baskol!$K$1933)</f>
        <v/>
      </c>
      <c r="AC1930">
        <f>IF([2]Baskol!$L$1933="","",[2]Baskol!$L$1933)</f>
        <v/>
      </c>
      <c r="AD1930">
        <f>IF([2]Baskol!$N$1933="","",[2]Baskol!$N$1933)</f>
        <v/>
      </c>
      <c r="AE1930">
        <f>IF([2]Baskol!$O$1933="","",[2]Baskol!$O$1933)</f>
        <v/>
      </c>
      <c r="AG1930">
        <f>IF([3]Entry!$C$1933="","",[3]Entry!$C$1933)</f>
        <v/>
      </c>
      <c r="AH1930">
        <f>IF([3]Entry!$D$1933="","",[3]Entry!$D$1933)</f>
        <v/>
      </c>
      <c r="AI1930">
        <f>IF([3]Entry!$E$1933="","",[3]Entry!$E$1933)</f>
        <v/>
      </c>
      <c r="AJ1930">
        <f>IF([3]Entry!$G$1933="","",[3]Entry!$G$1933)</f>
        <v/>
      </c>
      <c r="AK1930">
        <f>IF([3]Entry!$K$1933="","",[3]Entry!$K$1933)</f>
        <v/>
      </c>
      <c r="AL1930">
        <f>IF([3]Entry!$L$1933="","",[3]Entry!$L$1933)</f>
        <v/>
      </c>
      <c r="AM1930">
        <f>IF([3]Entry!$M$1933="","",[3]Entry!$M$1933)</f>
        <v/>
      </c>
      <c r="AN1930">
        <f>IF([3]Entry!$N$1933="","",[3]Entry!$N$1933)</f>
        <v/>
      </c>
      <c r="AO1930">
        <f>IF([3]Entry!$R$1933="","",[3]Entry!$R$1933)</f>
        <v/>
      </c>
    </row>
    <row r="1931">
      <c r="U1931">
        <f>IF([2]Baskol!$B$1934="","",[2]Baskol!$B$1934)</f>
        <v/>
      </c>
      <c r="V1931">
        <f>IF([2]Baskol!$C$1934="","",[2]Baskol!$C$1934)</f>
        <v/>
      </c>
      <c r="W1931">
        <f>IF([2]Baskol!$D$1934="","",[2]Baskol!$D$1934)</f>
        <v/>
      </c>
      <c r="X1931">
        <f>IF([2]Baskol!$E$1934="","",[2]Baskol!$E$1934)</f>
        <v/>
      </c>
      <c r="Y1931">
        <f>IF([2]Baskol!$G$1934="","",[2]Baskol!$G$1934)</f>
        <v/>
      </c>
      <c r="Z1931">
        <f>IF([2]Baskol!$I$1934="","",[2]Baskol!$I$1934)</f>
        <v/>
      </c>
      <c r="AA1931">
        <f>IF([2]Baskol!$J$1934="","",[2]Baskol!$J$1934)</f>
        <v/>
      </c>
      <c r="AB1931">
        <f>IF([2]Baskol!$K$1934="","",[2]Baskol!$K$1934)</f>
        <v/>
      </c>
      <c r="AC1931">
        <f>IF([2]Baskol!$L$1934="","",[2]Baskol!$L$1934)</f>
        <v/>
      </c>
      <c r="AD1931">
        <f>IF([2]Baskol!$N$1934="","",[2]Baskol!$N$1934)</f>
        <v/>
      </c>
      <c r="AE1931">
        <f>IF([2]Baskol!$O$1934="","",[2]Baskol!$O$1934)</f>
        <v/>
      </c>
      <c r="AG1931">
        <f>IF([3]Entry!$C$1934="","",[3]Entry!$C$1934)</f>
        <v/>
      </c>
      <c r="AH1931">
        <f>IF([3]Entry!$D$1934="","",[3]Entry!$D$1934)</f>
        <v/>
      </c>
      <c r="AI1931">
        <f>IF([3]Entry!$E$1934="","",[3]Entry!$E$1934)</f>
        <v/>
      </c>
      <c r="AJ1931">
        <f>IF([3]Entry!$G$1934="","",[3]Entry!$G$1934)</f>
        <v/>
      </c>
      <c r="AK1931">
        <f>IF([3]Entry!$K$1934="","",[3]Entry!$K$1934)</f>
        <v/>
      </c>
      <c r="AL1931">
        <f>IF([3]Entry!$L$1934="","",[3]Entry!$L$1934)</f>
        <v/>
      </c>
      <c r="AM1931">
        <f>IF([3]Entry!$M$1934="","",[3]Entry!$M$1934)</f>
        <v/>
      </c>
      <c r="AN1931">
        <f>IF([3]Entry!$N$1934="","",[3]Entry!$N$1934)</f>
        <v/>
      </c>
      <c r="AO1931">
        <f>IF([3]Entry!$R$1934="","",[3]Entry!$R$1934)</f>
        <v/>
      </c>
    </row>
    <row r="1932">
      <c r="U1932">
        <f>IF([2]Baskol!$B$1935="","",[2]Baskol!$B$1935)</f>
        <v/>
      </c>
      <c r="V1932">
        <f>IF([2]Baskol!$C$1935="","",[2]Baskol!$C$1935)</f>
        <v/>
      </c>
      <c r="W1932">
        <f>IF([2]Baskol!$D$1935="","",[2]Baskol!$D$1935)</f>
        <v/>
      </c>
      <c r="X1932">
        <f>IF([2]Baskol!$E$1935="","",[2]Baskol!$E$1935)</f>
        <v/>
      </c>
      <c r="Y1932">
        <f>IF([2]Baskol!$G$1935="","",[2]Baskol!$G$1935)</f>
        <v/>
      </c>
      <c r="Z1932">
        <f>IF([2]Baskol!$I$1935="","",[2]Baskol!$I$1935)</f>
        <v/>
      </c>
      <c r="AA1932">
        <f>IF([2]Baskol!$J$1935="","",[2]Baskol!$J$1935)</f>
        <v/>
      </c>
      <c r="AB1932">
        <f>IF([2]Baskol!$K$1935="","",[2]Baskol!$K$1935)</f>
        <v/>
      </c>
      <c r="AC1932">
        <f>IF([2]Baskol!$L$1935="","",[2]Baskol!$L$1935)</f>
        <v/>
      </c>
      <c r="AD1932">
        <f>IF([2]Baskol!$N$1935="","",[2]Baskol!$N$1935)</f>
        <v/>
      </c>
      <c r="AE1932">
        <f>IF([2]Baskol!$O$1935="","",[2]Baskol!$O$1935)</f>
        <v/>
      </c>
      <c r="AG1932">
        <f>IF([3]Entry!$C$1935="","",[3]Entry!$C$1935)</f>
        <v/>
      </c>
      <c r="AH1932">
        <f>IF([3]Entry!$D$1935="","",[3]Entry!$D$1935)</f>
        <v/>
      </c>
      <c r="AI1932">
        <f>IF([3]Entry!$E$1935="","",[3]Entry!$E$1935)</f>
        <v/>
      </c>
      <c r="AJ1932">
        <f>IF([3]Entry!$G$1935="","",[3]Entry!$G$1935)</f>
        <v/>
      </c>
      <c r="AK1932">
        <f>IF([3]Entry!$K$1935="","",[3]Entry!$K$1935)</f>
        <v/>
      </c>
      <c r="AL1932">
        <f>IF([3]Entry!$L$1935="","",[3]Entry!$L$1935)</f>
        <v/>
      </c>
      <c r="AM1932">
        <f>IF([3]Entry!$M$1935="","",[3]Entry!$M$1935)</f>
        <v/>
      </c>
      <c r="AN1932">
        <f>IF([3]Entry!$N$1935="","",[3]Entry!$N$1935)</f>
        <v/>
      </c>
      <c r="AO1932">
        <f>IF([3]Entry!$R$1935="","",[3]Entry!$R$1935)</f>
        <v/>
      </c>
    </row>
    <row r="1933">
      <c r="U1933">
        <f>IF([2]Baskol!$B$1936="","",[2]Baskol!$B$1936)</f>
        <v/>
      </c>
      <c r="V1933">
        <f>IF([2]Baskol!$C$1936="","",[2]Baskol!$C$1936)</f>
        <v/>
      </c>
      <c r="W1933">
        <f>IF([2]Baskol!$D$1936="","",[2]Baskol!$D$1936)</f>
        <v/>
      </c>
      <c r="X1933">
        <f>IF([2]Baskol!$E$1936="","",[2]Baskol!$E$1936)</f>
        <v/>
      </c>
      <c r="Y1933">
        <f>IF([2]Baskol!$G$1936="","",[2]Baskol!$G$1936)</f>
        <v/>
      </c>
      <c r="Z1933">
        <f>IF([2]Baskol!$I$1936="","",[2]Baskol!$I$1936)</f>
        <v/>
      </c>
      <c r="AA1933">
        <f>IF([2]Baskol!$J$1936="","",[2]Baskol!$J$1936)</f>
        <v/>
      </c>
      <c r="AB1933">
        <f>IF([2]Baskol!$K$1936="","",[2]Baskol!$K$1936)</f>
        <v/>
      </c>
      <c r="AC1933">
        <f>IF([2]Baskol!$L$1936="","",[2]Baskol!$L$1936)</f>
        <v/>
      </c>
      <c r="AD1933">
        <f>IF([2]Baskol!$N$1936="","",[2]Baskol!$N$1936)</f>
        <v/>
      </c>
      <c r="AE1933">
        <f>IF([2]Baskol!$O$1936="","",[2]Baskol!$O$1936)</f>
        <v/>
      </c>
      <c r="AG1933">
        <f>IF([3]Entry!$C$1936="","",[3]Entry!$C$1936)</f>
        <v/>
      </c>
      <c r="AH1933">
        <f>IF([3]Entry!$D$1936="","",[3]Entry!$D$1936)</f>
        <v/>
      </c>
      <c r="AI1933">
        <f>IF([3]Entry!$E$1936="","",[3]Entry!$E$1936)</f>
        <v/>
      </c>
      <c r="AJ1933">
        <f>IF([3]Entry!$G$1936="","",[3]Entry!$G$1936)</f>
        <v/>
      </c>
      <c r="AK1933">
        <f>IF([3]Entry!$K$1936="","",[3]Entry!$K$1936)</f>
        <v/>
      </c>
      <c r="AL1933">
        <f>IF([3]Entry!$L$1936="","",[3]Entry!$L$1936)</f>
        <v/>
      </c>
      <c r="AM1933">
        <f>IF([3]Entry!$M$1936="","",[3]Entry!$M$1936)</f>
        <v/>
      </c>
      <c r="AN1933">
        <f>IF([3]Entry!$N$1936="","",[3]Entry!$N$1936)</f>
        <v/>
      </c>
      <c r="AO1933">
        <f>IF([3]Entry!$R$1936="","",[3]Entry!$R$1936)</f>
        <v/>
      </c>
    </row>
    <row r="1934">
      <c r="U1934">
        <f>IF([2]Baskol!$B$1937="","",[2]Baskol!$B$1937)</f>
        <v/>
      </c>
      <c r="V1934">
        <f>IF([2]Baskol!$C$1937="","",[2]Baskol!$C$1937)</f>
        <v/>
      </c>
      <c r="W1934">
        <f>IF([2]Baskol!$D$1937="","",[2]Baskol!$D$1937)</f>
        <v/>
      </c>
      <c r="X1934">
        <f>IF([2]Baskol!$E$1937="","",[2]Baskol!$E$1937)</f>
        <v/>
      </c>
      <c r="Y1934">
        <f>IF([2]Baskol!$G$1937="","",[2]Baskol!$G$1937)</f>
        <v/>
      </c>
      <c r="Z1934">
        <f>IF([2]Baskol!$I$1937="","",[2]Baskol!$I$1937)</f>
        <v/>
      </c>
      <c r="AA1934">
        <f>IF([2]Baskol!$J$1937="","",[2]Baskol!$J$1937)</f>
        <v/>
      </c>
      <c r="AB1934">
        <f>IF([2]Baskol!$K$1937="","",[2]Baskol!$K$1937)</f>
        <v/>
      </c>
      <c r="AC1934">
        <f>IF([2]Baskol!$L$1937="","",[2]Baskol!$L$1937)</f>
        <v/>
      </c>
      <c r="AD1934">
        <f>IF([2]Baskol!$N$1937="","",[2]Baskol!$N$1937)</f>
        <v/>
      </c>
      <c r="AE1934">
        <f>IF([2]Baskol!$O$1937="","",[2]Baskol!$O$1937)</f>
        <v/>
      </c>
      <c r="AG1934">
        <f>IF([3]Entry!$C$1937="","",[3]Entry!$C$1937)</f>
        <v/>
      </c>
      <c r="AH1934">
        <f>IF([3]Entry!$D$1937="","",[3]Entry!$D$1937)</f>
        <v/>
      </c>
      <c r="AI1934">
        <f>IF([3]Entry!$E$1937="","",[3]Entry!$E$1937)</f>
        <v/>
      </c>
      <c r="AJ1934">
        <f>IF([3]Entry!$G$1937="","",[3]Entry!$G$1937)</f>
        <v/>
      </c>
      <c r="AK1934">
        <f>IF([3]Entry!$K$1937="","",[3]Entry!$K$1937)</f>
        <v/>
      </c>
      <c r="AL1934">
        <f>IF([3]Entry!$L$1937="","",[3]Entry!$L$1937)</f>
        <v/>
      </c>
      <c r="AM1934">
        <f>IF([3]Entry!$M$1937="","",[3]Entry!$M$1937)</f>
        <v/>
      </c>
      <c r="AN1934">
        <f>IF([3]Entry!$N$1937="","",[3]Entry!$N$1937)</f>
        <v/>
      </c>
      <c r="AO1934">
        <f>IF([3]Entry!$R$1937="","",[3]Entry!$R$1937)</f>
        <v/>
      </c>
    </row>
    <row r="1935">
      <c r="U1935">
        <f>IF([2]Baskol!$B$1938="","",[2]Baskol!$B$1938)</f>
        <v/>
      </c>
      <c r="V1935">
        <f>IF([2]Baskol!$C$1938="","",[2]Baskol!$C$1938)</f>
        <v/>
      </c>
      <c r="W1935">
        <f>IF([2]Baskol!$D$1938="","",[2]Baskol!$D$1938)</f>
        <v/>
      </c>
      <c r="X1935">
        <f>IF([2]Baskol!$E$1938="","",[2]Baskol!$E$1938)</f>
        <v/>
      </c>
      <c r="Y1935">
        <f>IF([2]Baskol!$G$1938="","",[2]Baskol!$G$1938)</f>
        <v/>
      </c>
      <c r="Z1935">
        <f>IF([2]Baskol!$I$1938="","",[2]Baskol!$I$1938)</f>
        <v/>
      </c>
      <c r="AA1935">
        <f>IF([2]Baskol!$J$1938="","",[2]Baskol!$J$1938)</f>
        <v/>
      </c>
      <c r="AB1935">
        <f>IF([2]Baskol!$K$1938="","",[2]Baskol!$K$1938)</f>
        <v/>
      </c>
      <c r="AC1935">
        <f>IF([2]Baskol!$L$1938="","",[2]Baskol!$L$1938)</f>
        <v/>
      </c>
      <c r="AD1935">
        <f>IF([2]Baskol!$N$1938="","",[2]Baskol!$N$1938)</f>
        <v/>
      </c>
      <c r="AE1935">
        <f>IF([2]Baskol!$O$1938="","",[2]Baskol!$O$1938)</f>
        <v/>
      </c>
      <c r="AG1935">
        <f>IF([3]Entry!$C$1938="","",[3]Entry!$C$1938)</f>
        <v/>
      </c>
      <c r="AH1935">
        <f>IF([3]Entry!$D$1938="","",[3]Entry!$D$1938)</f>
        <v/>
      </c>
      <c r="AI1935">
        <f>IF([3]Entry!$E$1938="","",[3]Entry!$E$1938)</f>
        <v/>
      </c>
      <c r="AJ1935">
        <f>IF([3]Entry!$G$1938="","",[3]Entry!$G$1938)</f>
        <v/>
      </c>
      <c r="AK1935">
        <f>IF([3]Entry!$K$1938="","",[3]Entry!$K$1938)</f>
        <v/>
      </c>
      <c r="AL1935">
        <f>IF([3]Entry!$L$1938="","",[3]Entry!$L$1938)</f>
        <v/>
      </c>
      <c r="AM1935">
        <f>IF([3]Entry!$M$1938="","",[3]Entry!$M$1938)</f>
        <v/>
      </c>
      <c r="AN1935">
        <f>IF([3]Entry!$N$1938="","",[3]Entry!$N$1938)</f>
        <v/>
      </c>
      <c r="AO1935">
        <f>IF([3]Entry!$R$1938="","",[3]Entry!$R$1938)</f>
        <v/>
      </c>
    </row>
    <row r="1936">
      <c r="U1936">
        <f>IF([2]Baskol!$B$1939="","",[2]Baskol!$B$1939)</f>
        <v/>
      </c>
      <c r="V1936">
        <f>IF([2]Baskol!$C$1939="","",[2]Baskol!$C$1939)</f>
        <v/>
      </c>
      <c r="W1936">
        <f>IF([2]Baskol!$D$1939="","",[2]Baskol!$D$1939)</f>
        <v/>
      </c>
      <c r="X1936">
        <f>IF([2]Baskol!$E$1939="","",[2]Baskol!$E$1939)</f>
        <v/>
      </c>
      <c r="Y1936">
        <f>IF([2]Baskol!$G$1939="","",[2]Baskol!$G$1939)</f>
        <v/>
      </c>
      <c r="Z1936">
        <f>IF([2]Baskol!$I$1939="","",[2]Baskol!$I$1939)</f>
        <v/>
      </c>
      <c r="AA1936">
        <f>IF([2]Baskol!$J$1939="","",[2]Baskol!$J$1939)</f>
        <v/>
      </c>
      <c r="AB1936">
        <f>IF([2]Baskol!$K$1939="","",[2]Baskol!$K$1939)</f>
        <v/>
      </c>
      <c r="AC1936">
        <f>IF([2]Baskol!$L$1939="","",[2]Baskol!$L$1939)</f>
        <v/>
      </c>
      <c r="AD1936">
        <f>IF([2]Baskol!$N$1939="","",[2]Baskol!$N$1939)</f>
        <v/>
      </c>
      <c r="AE1936">
        <f>IF([2]Baskol!$O$1939="","",[2]Baskol!$O$1939)</f>
        <v/>
      </c>
      <c r="AG1936">
        <f>IF([3]Entry!$C$1939="","",[3]Entry!$C$1939)</f>
        <v/>
      </c>
      <c r="AH1936">
        <f>IF([3]Entry!$D$1939="","",[3]Entry!$D$1939)</f>
        <v/>
      </c>
      <c r="AI1936">
        <f>IF([3]Entry!$E$1939="","",[3]Entry!$E$1939)</f>
        <v/>
      </c>
      <c r="AJ1936">
        <f>IF([3]Entry!$G$1939="","",[3]Entry!$G$1939)</f>
        <v/>
      </c>
      <c r="AK1936">
        <f>IF([3]Entry!$K$1939="","",[3]Entry!$K$1939)</f>
        <v/>
      </c>
      <c r="AL1936">
        <f>IF([3]Entry!$L$1939="","",[3]Entry!$L$1939)</f>
        <v/>
      </c>
      <c r="AM1936">
        <f>IF([3]Entry!$M$1939="","",[3]Entry!$M$1939)</f>
        <v/>
      </c>
      <c r="AN1936">
        <f>IF([3]Entry!$N$1939="","",[3]Entry!$N$1939)</f>
        <v/>
      </c>
      <c r="AO1936">
        <f>IF([3]Entry!$R$1939="","",[3]Entry!$R$1939)</f>
        <v/>
      </c>
    </row>
    <row r="1937">
      <c r="U1937">
        <f>IF([2]Baskol!$B$1940="","",[2]Baskol!$B$1940)</f>
        <v/>
      </c>
      <c r="V1937">
        <f>IF([2]Baskol!$C$1940="","",[2]Baskol!$C$1940)</f>
        <v/>
      </c>
      <c r="W1937">
        <f>IF([2]Baskol!$D$1940="","",[2]Baskol!$D$1940)</f>
        <v/>
      </c>
      <c r="X1937">
        <f>IF([2]Baskol!$E$1940="","",[2]Baskol!$E$1940)</f>
        <v/>
      </c>
      <c r="Y1937">
        <f>IF([2]Baskol!$G$1940="","",[2]Baskol!$G$1940)</f>
        <v/>
      </c>
      <c r="Z1937">
        <f>IF([2]Baskol!$I$1940="","",[2]Baskol!$I$1940)</f>
        <v/>
      </c>
      <c r="AA1937">
        <f>IF([2]Baskol!$J$1940="","",[2]Baskol!$J$1940)</f>
        <v/>
      </c>
      <c r="AB1937">
        <f>IF([2]Baskol!$K$1940="","",[2]Baskol!$K$1940)</f>
        <v/>
      </c>
      <c r="AC1937">
        <f>IF([2]Baskol!$L$1940="","",[2]Baskol!$L$1940)</f>
        <v/>
      </c>
      <c r="AD1937">
        <f>IF([2]Baskol!$N$1940="","",[2]Baskol!$N$1940)</f>
        <v/>
      </c>
      <c r="AE1937">
        <f>IF([2]Baskol!$O$1940="","",[2]Baskol!$O$1940)</f>
        <v/>
      </c>
      <c r="AG1937">
        <f>IF([3]Entry!$C$1940="","",[3]Entry!$C$1940)</f>
        <v/>
      </c>
      <c r="AH1937">
        <f>IF([3]Entry!$D$1940="","",[3]Entry!$D$1940)</f>
        <v/>
      </c>
      <c r="AI1937">
        <f>IF([3]Entry!$E$1940="","",[3]Entry!$E$1940)</f>
        <v/>
      </c>
      <c r="AJ1937">
        <f>IF([3]Entry!$G$1940="","",[3]Entry!$G$1940)</f>
        <v/>
      </c>
      <c r="AK1937">
        <f>IF([3]Entry!$K$1940="","",[3]Entry!$K$1940)</f>
        <v/>
      </c>
      <c r="AL1937">
        <f>IF([3]Entry!$L$1940="","",[3]Entry!$L$1940)</f>
        <v/>
      </c>
      <c r="AM1937">
        <f>IF([3]Entry!$M$1940="","",[3]Entry!$M$1940)</f>
        <v/>
      </c>
      <c r="AN1937">
        <f>IF([3]Entry!$N$1940="","",[3]Entry!$N$1940)</f>
        <v/>
      </c>
      <c r="AO1937">
        <f>IF([3]Entry!$R$1940="","",[3]Entry!$R$1940)</f>
        <v/>
      </c>
    </row>
    <row r="1938">
      <c r="U1938">
        <f>IF([2]Baskol!$B$1941="","",[2]Baskol!$B$1941)</f>
        <v/>
      </c>
      <c r="V1938">
        <f>IF([2]Baskol!$C$1941="","",[2]Baskol!$C$1941)</f>
        <v/>
      </c>
      <c r="W1938">
        <f>IF([2]Baskol!$D$1941="","",[2]Baskol!$D$1941)</f>
        <v/>
      </c>
      <c r="X1938">
        <f>IF([2]Baskol!$E$1941="","",[2]Baskol!$E$1941)</f>
        <v/>
      </c>
      <c r="Y1938">
        <f>IF([2]Baskol!$G$1941="","",[2]Baskol!$G$1941)</f>
        <v/>
      </c>
      <c r="Z1938">
        <f>IF([2]Baskol!$I$1941="","",[2]Baskol!$I$1941)</f>
        <v/>
      </c>
      <c r="AA1938">
        <f>IF([2]Baskol!$J$1941="","",[2]Baskol!$J$1941)</f>
        <v/>
      </c>
      <c r="AB1938">
        <f>IF([2]Baskol!$K$1941="","",[2]Baskol!$K$1941)</f>
        <v/>
      </c>
      <c r="AC1938">
        <f>IF([2]Baskol!$L$1941="","",[2]Baskol!$L$1941)</f>
        <v/>
      </c>
      <c r="AD1938">
        <f>IF([2]Baskol!$N$1941="","",[2]Baskol!$N$1941)</f>
        <v/>
      </c>
      <c r="AE1938">
        <f>IF([2]Baskol!$O$1941="","",[2]Baskol!$O$1941)</f>
        <v/>
      </c>
      <c r="AG1938">
        <f>IF([3]Entry!$C$1941="","",[3]Entry!$C$1941)</f>
        <v/>
      </c>
      <c r="AH1938">
        <f>IF([3]Entry!$D$1941="","",[3]Entry!$D$1941)</f>
        <v/>
      </c>
      <c r="AI1938">
        <f>IF([3]Entry!$E$1941="","",[3]Entry!$E$1941)</f>
        <v/>
      </c>
      <c r="AJ1938">
        <f>IF([3]Entry!$G$1941="","",[3]Entry!$G$1941)</f>
        <v/>
      </c>
      <c r="AK1938">
        <f>IF([3]Entry!$K$1941="","",[3]Entry!$K$1941)</f>
        <v/>
      </c>
      <c r="AL1938">
        <f>IF([3]Entry!$L$1941="","",[3]Entry!$L$1941)</f>
        <v/>
      </c>
      <c r="AM1938">
        <f>IF([3]Entry!$M$1941="","",[3]Entry!$M$1941)</f>
        <v/>
      </c>
      <c r="AN1938">
        <f>IF([3]Entry!$N$1941="","",[3]Entry!$N$1941)</f>
        <v/>
      </c>
      <c r="AO1938">
        <f>IF([3]Entry!$R$1941="","",[3]Entry!$R$1941)</f>
        <v/>
      </c>
    </row>
    <row r="1939">
      <c r="U1939">
        <f>IF([2]Baskol!$B$1942="","",[2]Baskol!$B$1942)</f>
        <v/>
      </c>
      <c r="V1939">
        <f>IF([2]Baskol!$C$1942="","",[2]Baskol!$C$1942)</f>
        <v/>
      </c>
      <c r="W1939">
        <f>IF([2]Baskol!$D$1942="","",[2]Baskol!$D$1942)</f>
        <v/>
      </c>
      <c r="X1939">
        <f>IF([2]Baskol!$E$1942="","",[2]Baskol!$E$1942)</f>
        <v/>
      </c>
      <c r="Y1939">
        <f>IF([2]Baskol!$G$1942="","",[2]Baskol!$G$1942)</f>
        <v/>
      </c>
      <c r="Z1939">
        <f>IF([2]Baskol!$I$1942="","",[2]Baskol!$I$1942)</f>
        <v/>
      </c>
      <c r="AA1939">
        <f>IF([2]Baskol!$J$1942="","",[2]Baskol!$J$1942)</f>
        <v/>
      </c>
      <c r="AB1939">
        <f>IF([2]Baskol!$K$1942="","",[2]Baskol!$K$1942)</f>
        <v/>
      </c>
      <c r="AC1939">
        <f>IF([2]Baskol!$L$1942="","",[2]Baskol!$L$1942)</f>
        <v/>
      </c>
      <c r="AD1939">
        <f>IF([2]Baskol!$N$1942="","",[2]Baskol!$N$1942)</f>
        <v/>
      </c>
      <c r="AE1939">
        <f>IF([2]Baskol!$O$1942="","",[2]Baskol!$O$1942)</f>
        <v/>
      </c>
      <c r="AG1939">
        <f>IF([3]Entry!$C$1942="","",[3]Entry!$C$1942)</f>
        <v/>
      </c>
      <c r="AH1939">
        <f>IF([3]Entry!$D$1942="","",[3]Entry!$D$1942)</f>
        <v/>
      </c>
      <c r="AI1939">
        <f>IF([3]Entry!$E$1942="","",[3]Entry!$E$1942)</f>
        <v/>
      </c>
      <c r="AJ1939">
        <f>IF([3]Entry!$G$1942="","",[3]Entry!$G$1942)</f>
        <v/>
      </c>
      <c r="AK1939">
        <f>IF([3]Entry!$K$1942="","",[3]Entry!$K$1942)</f>
        <v/>
      </c>
      <c r="AL1939">
        <f>IF([3]Entry!$L$1942="","",[3]Entry!$L$1942)</f>
        <v/>
      </c>
      <c r="AM1939">
        <f>IF([3]Entry!$M$1942="","",[3]Entry!$M$1942)</f>
        <v/>
      </c>
      <c r="AN1939">
        <f>IF([3]Entry!$N$1942="","",[3]Entry!$N$1942)</f>
        <v/>
      </c>
      <c r="AO1939">
        <f>IF([3]Entry!$R$1942="","",[3]Entry!$R$1942)</f>
        <v/>
      </c>
    </row>
    <row r="1940">
      <c r="U1940">
        <f>IF([2]Baskol!$B$1943="","",[2]Baskol!$B$1943)</f>
        <v/>
      </c>
      <c r="V1940">
        <f>IF([2]Baskol!$C$1943="","",[2]Baskol!$C$1943)</f>
        <v/>
      </c>
      <c r="W1940">
        <f>IF([2]Baskol!$D$1943="","",[2]Baskol!$D$1943)</f>
        <v/>
      </c>
      <c r="X1940">
        <f>IF([2]Baskol!$E$1943="","",[2]Baskol!$E$1943)</f>
        <v/>
      </c>
      <c r="Y1940">
        <f>IF([2]Baskol!$G$1943="","",[2]Baskol!$G$1943)</f>
        <v/>
      </c>
      <c r="Z1940">
        <f>IF([2]Baskol!$I$1943="","",[2]Baskol!$I$1943)</f>
        <v/>
      </c>
      <c r="AA1940">
        <f>IF([2]Baskol!$J$1943="","",[2]Baskol!$J$1943)</f>
        <v/>
      </c>
      <c r="AB1940">
        <f>IF([2]Baskol!$K$1943="","",[2]Baskol!$K$1943)</f>
        <v/>
      </c>
      <c r="AC1940">
        <f>IF([2]Baskol!$L$1943="","",[2]Baskol!$L$1943)</f>
        <v/>
      </c>
      <c r="AD1940">
        <f>IF([2]Baskol!$N$1943="","",[2]Baskol!$N$1943)</f>
        <v/>
      </c>
      <c r="AE1940">
        <f>IF([2]Baskol!$O$1943="","",[2]Baskol!$O$1943)</f>
        <v/>
      </c>
      <c r="AG1940">
        <f>IF([3]Entry!$C$1943="","",[3]Entry!$C$1943)</f>
        <v/>
      </c>
      <c r="AH1940">
        <f>IF([3]Entry!$D$1943="","",[3]Entry!$D$1943)</f>
        <v/>
      </c>
      <c r="AI1940">
        <f>IF([3]Entry!$E$1943="","",[3]Entry!$E$1943)</f>
        <v/>
      </c>
      <c r="AJ1940">
        <f>IF([3]Entry!$G$1943="","",[3]Entry!$G$1943)</f>
        <v/>
      </c>
      <c r="AK1940">
        <f>IF([3]Entry!$K$1943="","",[3]Entry!$K$1943)</f>
        <v/>
      </c>
      <c r="AL1940">
        <f>IF([3]Entry!$L$1943="","",[3]Entry!$L$1943)</f>
        <v/>
      </c>
      <c r="AM1940">
        <f>IF([3]Entry!$M$1943="","",[3]Entry!$M$1943)</f>
        <v/>
      </c>
      <c r="AN1940">
        <f>IF([3]Entry!$N$1943="","",[3]Entry!$N$1943)</f>
        <v/>
      </c>
      <c r="AO1940">
        <f>IF([3]Entry!$R$1943="","",[3]Entry!$R$1943)</f>
        <v/>
      </c>
    </row>
    <row r="1941">
      <c r="U1941">
        <f>IF([2]Baskol!$B$1944="","",[2]Baskol!$B$1944)</f>
        <v/>
      </c>
      <c r="V1941">
        <f>IF([2]Baskol!$C$1944="","",[2]Baskol!$C$1944)</f>
        <v/>
      </c>
      <c r="W1941">
        <f>IF([2]Baskol!$D$1944="","",[2]Baskol!$D$1944)</f>
        <v/>
      </c>
      <c r="X1941">
        <f>IF([2]Baskol!$E$1944="","",[2]Baskol!$E$1944)</f>
        <v/>
      </c>
      <c r="Y1941">
        <f>IF([2]Baskol!$G$1944="","",[2]Baskol!$G$1944)</f>
        <v/>
      </c>
      <c r="Z1941">
        <f>IF([2]Baskol!$I$1944="","",[2]Baskol!$I$1944)</f>
        <v/>
      </c>
      <c r="AA1941">
        <f>IF([2]Baskol!$J$1944="","",[2]Baskol!$J$1944)</f>
        <v/>
      </c>
      <c r="AB1941">
        <f>IF([2]Baskol!$K$1944="","",[2]Baskol!$K$1944)</f>
        <v/>
      </c>
      <c r="AC1941">
        <f>IF([2]Baskol!$L$1944="","",[2]Baskol!$L$1944)</f>
        <v/>
      </c>
      <c r="AD1941">
        <f>IF([2]Baskol!$N$1944="","",[2]Baskol!$N$1944)</f>
        <v/>
      </c>
      <c r="AE1941">
        <f>IF([2]Baskol!$O$1944="","",[2]Baskol!$O$1944)</f>
        <v/>
      </c>
      <c r="AG1941">
        <f>IF([3]Entry!$C$1944="","",[3]Entry!$C$1944)</f>
        <v/>
      </c>
      <c r="AH1941">
        <f>IF([3]Entry!$D$1944="","",[3]Entry!$D$1944)</f>
        <v/>
      </c>
      <c r="AI1941">
        <f>IF([3]Entry!$E$1944="","",[3]Entry!$E$1944)</f>
        <v/>
      </c>
      <c r="AJ1941">
        <f>IF([3]Entry!$G$1944="","",[3]Entry!$G$1944)</f>
        <v/>
      </c>
      <c r="AK1941">
        <f>IF([3]Entry!$K$1944="","",[3]Entry!$K$1944)</f>
        <v/>
      </c>
      <c r="AL1941">
        <f>IF([3]Entry!$L$1944="","",[3]Entry!$L$1944)</f>
        <v/>
      </c>
      <c r="AM1941">
        <f>IF([3]Entry!$M$1944="","",[3]Entry!$M$1944)</f>
        <v/>
      </c>
      <c r="AN1941">
        <f>IF([3]Entry!$N$1944="","",[3]Entry!$N$1944)</f>
        <v/>
      </c>
      <c r="AO1941">
        <f>IF([3]Entry!$R$1944="","",[3]Entry!$R$1944)</f>
        <v/>
      </c>
    </row>
    <row r="1942">
      <c r="U1942">
        <f>IF([2]Baskol!$B$1945="","",[2]Baskol!$B$1945)</f>
        <v/>
      </c>
      <c r="V1942">
        <f>IF([2]Baskol!$C$1945="","",[2]Baskol!$C$1945)</f>
        <v/>
      </c>
      <c r="W1942">
        <f>IF([2]Baskol!$D$1945="","",[2]Baskol!$D$1945)</f>
        <v/>
      </c>
      <c r="X1942">
        <f>IF([2]Baskol!$E$1945="","",[2]Baskol!$E$1945)</f>
        <v/>
      </c>
      <c r="Y1942">
        <f>IF([2]Baskol!$G$1945="","",[2]Baskol!$G$1945)</f>
        <v/>
      </c>
      <c r="Z1942">
        <f>IF([2]Baskol!$I$1945="","",[2]Baskol!$I$1945)</f>
        <v/>
      </c>
      <c r="AA1942">
        <f>IF([2]Baskol!$J$1945="","",[2]Baskol!$J$1945)</f>
        <v/>
      </c>
      <c r="AB1942">
        <f>IF([2]Baskol!$K$1945="","",[2]Baskol!$K$1945)</f>
        <v/>
      </c>
      <c r="AC1942">
        <f>IF([2]Baskol!$L$1945="","",[2]Baskol!$L$1945)</f>
        <v/>
      </c>
      <c r="AD1942">
        <f>IF([2]Baskol!$N$1945="","",[2]Baskol!$N$1945)</f>
        <v/>
      </c>
      <c r="AE1942">
        <f>IF([2]Baskol!$O$1945="","",[2]Baskol!$O$1945)</f>
        <v/>
      </c>
      <c r="AG1942">
        <f>IF([3]Entry!$C$1945="","",[3]Entry!$C$1945)</f>
        <v/>
      </c>
      <c r="AH1942">
        <f>IF([3]Entry!$D$1945="","",[3]Entry!$D$1945)</f>
        <v/>
      </c>
      <c r="AI1942">
        <f>IF([3]Entry!$E$1945="","",[3]Entry!$E$1945)</f>
        <v/>
      </c>
      <c r="AJ1942">
        <f>IF([3]Entry!$G$1945="","",[3]Entry!$G$1945)</f>
        <v/>
      </c>
      <c r="AK1942">
        <f>IF([3]Entry!$K$1945="","",[3]Entry!$K$1945)</f>
        <v/>
      </c>
      <c r="AL1942">
        <f>IF([3]Entry!$L$1945="","",[3]Entry!$L$1945)</f>
        <v/>
      </c>
      <c r="AM1942">
        <f>IF([3]Entry!$M$1945="","",[3]Entry!$M$1945)</f>
        <v/>
      </c>
      <c r="AN1942">
        <f>IF([3]Entry!$N$1945="","",[3]Entry!$N$1945)</f>
        <v/>
      </c>
      <c r="AO1942">
        <f>IF([3]Entry!$R$1945="","",[3]Entry!$R$1945)</f>
        <v/>
      </c>
    </row>
    <row r="1943">
      <c r="U1943">
        <f>IF([2]Baskol!$B$1946="","",[2]Baskol!$B$1946)</f>
        <v/>
      </c>
      <c r="V1943">
        <f>IF([2]Baskol!$C$1946="","",[2]Baskol!$C$1946)</f>
        <v/>
      </c>
      <c r="W1943">
        <f>IF([2]Baskol!$D$1946="","",[2]Baskol!$D$1946)</f>
        <v/>
      </c>
      <c r="X1943">
        <f>IF([2]Baskol!$E$1946="","",[2]Baskol!$E$1946)</f>
        <v/>
      </c>
      <c r="Y1943">
        <f>IF([2]Baskol!$G$1946="","",[2]Baskol!$G$1946)</f>
        <v/>
      </c>
      <c r="Z1943">
        <f>IF([2]Baskol!$I$1946="","",[2]Baskol!$I$1946)</f>
        <v/>
      </c>
      <c r="AA1943">
        <f>IF([2]Baskol!$J$1946="","",[2]Baskol!$J$1946)</f>
        <v/>
      </c>
      <c r="AB1943">
        <f>IF([2]Baskol!$K$1946="","",[2]Baskol!$K$1946)</f>
        <v/>
      </c>
      <c r="AC1943">
        <f>IF([2]Baskol!$L$1946="","",[2]Baskol!$L$1946)</f>
        <v/>
      </c>
      <c r="AD1943">
        <f>IF([2]Baskol!$N$1946="","",[2]Baskol!$N$1946)</f>
        <v/>
      </c>
      <c r="AE1943">
        <f>IF([2]Baskol!$O$1946="","",[2]Baskol!$O$1946)</f>
        <v/>
      </c>
      <c r="AG1943">
        <f>IF([3]Entry!$C$1946="","",[3]Entry!$C$1946)</f>
        <v/>
      </c>
      <c r="AH1943">
        <f>IF([3]Entry!$D$1946="","",[3]Entry!$D$1946)</f>
        <v/>
      </c>
      <c r="AI1943">
        <f>IF([3]Entry!$E$1946="","",[3]Entry!$E$1946)</f>
        <v/>
      </c>
      <c r="AJ1943">
        <f>IF([3]Entry!$G$1946="","",[3]Entry!$G$1946)</f>
        <v/>
      </c>
      <c r="AK1943">
        <f>IF([3]Entry!$K$1946="","",[3]Entry!$K$1946)</f>
        <v/>
      </c>
      <c r="AL1943">
        <f>IF([3]Entry!$L$1946="","",[3]Entry!$L$1946)</f>
        <v/>
      </c>
      <c r="AM1943">
        <f>IF([3]Entry!$M$1946="","",[3]Entry!$M$1946)</f>
        <v/>
      </c>
      <c r="AN1943">
        <f>IF([3]Entry!$N$1946="","",[3]Entry!$N$1946)</f>
        <v/>
      </c>
      <c r="AO1943">
        <f>IF([3]Entry!$R$1946="","",[3]Entry!$R$1946)</f>
        <v/>
      </c>
    </row>
    <row r="1944">
      <c r="U1944">
        <f>IF([2]Baskol!$B$1947="","",[2]Baskol!$B$1947)</f>
        <v/>
      </c>
      <c r="V1944">
        <f>IF([2]Baskol!$C$1947="","",[2]Baskol!$C$1947)</f>
        <v/>
      </c>
      <c r="W1944">
        <f>IF([2]Baskol!$D$1947="","",[2]Baskol!$D$1947)</f>
        <v/>
      </c>
      <c r="X1944">
        <f>IF([2]Baskol!$E$1947="","",[2]Baskol!$E$1947)</f>
        <v/>
      </c>
      <c r="Y1944">
        <f>IF([2]Baskol!$G$1947="","",[2]Baskol!$G$1947)</f>
        <v/>
      </c>
      <c r="Z1944">
        <f>IF([2]Baskol!$I$1947="","",[2]Baskol!$I$1947)</f>
        <v/>
      </c>
      <c r="AA1944">
        <f>IF([2]Baskol!$J$1947="","",[2]Baskol!$J$1947)</f>
        <v/>
      </c>
      <c r="AB1944">
        <f>IF([2]Baskol!$K$1947="","",[2]Baskol!$K$1947)</f>
        <v/>
      </c>
      <c r="AC1944">
        <f>IF([2]Baskol!$L$1947="","",[2]Baskol!$L$1947)</f>
        <v/>
      </c>
      <c r="AD1944">
        <f>IF([2]Baskol!$N$1947="","",[2]Baskol!$N$1947)</f>
        <v/>
      </c>
      <c r="AE1944">
        <f>IF([2]Baskol!$O$1947="","",[2]Baskol!$O$1947)</f>
        <v/>
      </c>
      <c r="AG1944">
        <f>IF([3]Entry!$C$1947="","",[3]Entry!$C$1947)</f>
        <v/>
      </c>
      <c r="AH1944">
        <f>IF([3]Entry!$D$1947="","",[3]Entry!$D$1947)</f>
        <v/>
      </c>
      <c r="AI1944">
        <f>IF([3]Entry!$E$1947="","",[3]Entry!$E$1947)</f>
        <v/>
      </c>
      <c r="AJ1944">
        <f>IF([3]Entry!$G$1947="","",[3]Entry!$G$1947)</f>
        <v/>
      </c>
      <c r="AK1944">
        <f>IF([3]Entry!$K$1947="","",[3]Entry!$K$1947)</f>
        <v/>
      </c>
      <c r="AL1944">
        <f>IF([3]Entry!$L$1947="","",[3]Entry!$L$1947)</f>
        <v/>
      </c>
      <c r="AM1944">
        <f>IF([3]Entry!$M$1947="","",[3]Entry!$M$1947)</f>
        <v/>
      </c>
      <c r="AN1944">
        <f>IF([3]Entry!$N$1947="","",[3]Entry!$N$1947)</f>
        <v/>
      </c>
      <c r="AO1944">
        <f>IF([3]Entry!$R$1947="","",[3]Entry!$R$1947)</f>
        <v/>
      </c>
    </row>
    <row r="1945">
      <c r="U1945">
        <f>IF([2]Baskol!$B$1948="","",[2]Baskol!$B$1948)</f>
        <v/>
      </c>
      <c r="V1945">
        <f>IF([2]Baskol!$C$1948="","",[2]Baskol!$C$1948)</f>
        <v/>
      </c>
      <c r="W1945">
        <f>IF([2]Baskol!$D$1948="","",[2]Baskol!$D$1948)</f>
        <v/>
      </c>
      <c r="X1945">
        <f>IF([2]Baskol!$E$1948="","",[2]Baskol!$E$1948)</f>
        <v/>
      </c>
      <c r="Y1945">
        <f>IF([2]Baskol!$G$1948="","",[2]Baskol!$G$1948)</f>
        <v/>
      </c>
      <c r="Z1945">
        <f>IF([2]Baskol!$I$1948="","",[2]Baskol!$I$1948)</f>
        <v/>
      </c>
      <c r="AA1945">
        <f>IF([2]Baskol!$J$1948="","",[2]Baskol!$J$1948)</f>
        <v/>
      </c>
      <c r="AB1945">
        <f>IF([2]Baskol!$K$1948="","",[2]Baskol!$K$1948)</f>
        <v/>
      </c>
      <c r="AC1945">
        <f>IF([2]Baskol!$L$1948="","",[2]Baskol!$L$1948)</f>
        <v/>
      </c>
      <c r="AD1945">
        <f>IF([2]Baskol!$N$1948="","",[2]Baskol!$N$1948)</f>
        <v/>
      </c>
      <c r="AE1945">
        <f>IF([2]Baskol!$O$1948="","",[2]Baskol!$O$1948)</f>
        <v/>
      </c>
      <c r="AG1945">
        <f>IF([3]Entry!$C$1948="","",[3]Entry!$C$1948)</f>
        <v/>
      </c>
      <c r="AH1945">
        <f>IF([3]Entry!$D$1948="","",[3]Entry!$D$1948)</f>
        <v/>
      </c>
      <c r="AI1945">
        <f>IF([3]Entry!$E$1948="","",[3]Entry!$E$1948)</f>
        <v/>
      </c>
      <c r="AJ1945">
        <f>IF([3]Entry!$G$1948="","",[3]Entry!$G$1948)</f>
        <v/>
      </c>
      <c r="AK1945">
        <f>IF([3]Entry!$K$1948="","",[3]Entry!$K$1948)</f>
        <v/>
      </c>
      <c r="AL1945">
        <f>IF([3]Entry!$L$1948="","",[3]Entry!$L$1948)</f>
        <v/>
      </c>
      <c r="AM1945">
        <f>IF([3]Entry!$M$1948="","",[3]Entry!$M$1948)</f>
        <v/>
      </c>
      <c r="AN1945">
        <f>IF([3]Entry!$N$1948="","",[3]Entry!$N$1948)</f>
        <v/>
      </c>
      <c r="AO1945">
        <f>IF([3]Entry!$R$1948="","",[3]Entry!$R$1948)</f>
        <v/>
      </c>
    </row>
    <row r="1946">
      <c r="U1946">
        <f>IF([2]Baskol!$B$1949="","",[2]Baskol!$B$1949)</f>
        <v/>
      </c>
      <c r="V1946">
        <f>IF([2]Baskol!$C$1949="","",[2]Baskol!$C$1949)</f>
        <v/>
      </c>
      <c r="W1946">
        <f>IF([2]Baskol!$D$1949="","",[2]Baskol!$D$1949)</f>
        <v/>
      </c>
      <c r="X1946">
        <f>IF([2]Baskol!$E$1949="","",[2]Baskol!$E$1949)</f>
        <v/>
      </c>
      <c r="Y1946">
        <f>IF([2]Baskol!$G$1949="","",[2]Baskol!$G$1949)</f>
        <v/>
      </c>
      <c r="Z1946">
        <f>IF([2]Baskol!$I$1949="","",[2]Baskol!$I$1949)</f>
        <v/>
      </c>
      <c r="AA1946">
        <f>IF([2]Baskol!$J$1949="","",[2]Baskol!$J$1949)</f>
        <v/>
      </c>
      <c r="AB1946">
        <f>IF([2]Baskol!$K$1949="","",[2]Baskol!$K$1949)</f>
        <v/>
      </c>
      <c r="AC1946">
        <f>IF([2]Baskol!$L$1949="","",[2]Baskol!$L$1949)</f>
        <v/>
      </c>
      <c r="AD1946">
        <f>IF([2]Baskol!$N$1949="","",[2]Baskol!$N$1949)</f>
        <v/>
      </c>
      <c r="AE1946">
        <f>IF([2]Baskol!$O$1949="","",[2]Baskol!$O$1949)</f>
        <v/>
      </c>
      <c r="AG1946">
        <f>IF([3]Entry!$C$1949="","",[3]Entry!$C$1949)</f>
        <v/>
      </c>
      <c r="AH1946">
        <f>IF([3]Entry!$D$1949="","",[3]Entry!$D$1949)</f>
        <v/>
      </c>
      <c r="AI1946">
        <f>IF([3]Entry!$E$1949="","",[3]Entry!$E$1949)</f>
        <v/>
      </c>
      <c r="AJ1946">
        <f>IF([3]Entry!$G$1949="","",[3]Entry!$G$1949)</f>
        <v/>
      </c>
      <c r="AK1946">
        <f>IF([3]Entry!$K$1949="","",[3]Entry!$K$1949)</f>
        <v/>
      </c>
      <c r="AL1946">
        <f>IF([3]Entry!$L$1949="","",[3]Entry!$L$1949)</f>
        <v/>
      </c>
      <c r="AM1946">
        <f>IF([3]Entry!$M$1949="","",[3]Entry!$M$1949)</f>
        <v/>
      </c>
      <c r="AN1946">
        <f>IF([3]Entry!$N$1949="","",[3]Entry!$N$1949)</f>
        <v/>
      </c>
      <c r="AO1946">
        <f>IF([3]Entry!$R$1949="","",[3]Entry!$R$1949)</f>
        <v/>
      </c>
    </row>
    <row r="1947">
      <c r="U1947">
        <f>IF([2]Baskol!$B$1950="","",[2]Baskol!$B$1950)</f>
        <v/>
      </c>
      <c r="V1947">
        <f>IF([2]Baskol!$C$1950="","",[2]Baskol!$C$1950)</f>
        <v/>
      </c>
      <c r="W1947">
        <f>IF([2]Baskol!$D$1950="","",[2]Baskol!$D$1950)</f>
        <v/>
      </c>
      <c r="X1947">
        <f>IF([2]Baskol!$E$1950="","",[2]Baskol!$E$1950)</f>
        <v/>
      </c>
      <c r="Y1947">
        <f>IF([2]Baskol!$G$1950="","",[2]Baskol!$G$1950)</f>
        <v/>
      </c>
      <c r="Z1947">
        <f>IF([2]Baskol!$I$1950="","",[2]Baskol!$I$1950)</f>
        <v/>
      </c>
      <c r="AA1947">
        <f>IF([2]Baskol!$J$1950="","",[2]Baskol!$J$1950)</f>
        <v/>
      </c>
      <c r="AB1947">
        <f>IF([2]Baskol!$K$1950="","",[2]Baskol!$K$1950)</f>
        <v/>
      </c>
      <c r="AC1947">
        <f>IF([2]Baskol!$L$1950="","",[2]Baskol!$L$1950)</f>
        <v/>
      </c>
      <c r="AD1947">
        <f>IF([2]Baskol!$N$1950="","",[2]Baskol!$N$1950)</f>
        <v/>
      </c>
      <c r="AE1947">
        <f>IF([2]Baskol!$O$1950="","",[2]Baskol!$O$1950)</f>
        <v/>
      </c>
      <c r="AG1947">
        <f>IF([3]Entry!$C$1950="","",[3]Entry!$C$1950)</f>
        <v/>
      </c>
      <c r="AH1947">
        <f>IF([3]Entry!$D$1950="","",[3]Entry!$D$1950)</f>
        <v/>
      </c>
      <c r="AI1947">
        <f>IF([3]Entry!$E$1950="","",[3]Entry!$E$1950)</f>
        <v/>
      </c>
      <c r="AJ1947">
        <f>IF([3]Entry!$G$1950="","",[3]Entry!$G$1950)</f>
        <v/>
      </c>
      <c r="AK1947">
        <f>IF([3]Entry!$K$1950="","",[3]Entry!$K$1950)</f>
        <v/>
      </c>
      <c r="AL1947">
        <f>IF([3]Entry!$L$1950="","",[3]Entry!$L$1950)</f>
        <v/>
      </c>
      <c r="AM1947">
        <f>IF([3]Entry!$M$1950="","",[3]Entry!$M$1950)</f>
        <v/>
      </c>
      <c r="AN1947">
        <f>IF([3]Entry!$N$1950="","",[3]Entry!$N$1950)</f>
        <v/>
      </c>
      <c r="AO1947">
        <f>IF([3]Entry!$R$1950="","",[3]Entry!$R$1950)</f>
        <v/>
      </c>
    </row>
    <row r="1948">
      <c r="U1948">
        <f>IF([2]Baskol!$B$1951="","",[2]Baskol!$B$1951)</f>
        <v/>
      </c>
      <c r="V1948">
        <f>IF([2]Baskol!$C$1951="","",[2]Baskol!$C$1951)</f>
        <v/>
      </c>
      <c r="W1948">
        <f>IF([2]Baskol!$D$1951="","",[2]Baskol!$D$1951)</f>
        <v/>
      </c>
      <c r="X1948">
        <f>IF([2]Baskol!$E$1951="","",[2]Baskol!$E$1951)</f>
        <v/>
      </c>
      <c r="Y1948">
        <f>IF([2]Baskol!$G$1951="","",[2]Baskol!$G$1951)</f>
        <v/>
      </c>
      <c r="Z1948">
        <f>IF([2]Baskol!$I$1951="","",[2]Baskol!$I$1951)</f>
        <v/>
      </c>
      <c r="AA1948">
        <f>IF([2]Baskol!$J$1951="","",[2]Baskol!$J$1951)</f>
        <v/>
      </c>
      <c r="AB1948">
        <f>IF([2]Baskol!$K$1951="","",[2]Baskol!$K$1951)</f>
        <v/>
      </c>
      <c r="AC1948">
        <f>IF([2]Baskol!$L$1951="","",[2]Baskol!$L$1951)</f>
        <v/>
      </c>
      <c r="AD1948">
        <f>IF([2]Baskol!$N$1951="","",[2]Baskol!$N$1951)</f>
        <v/>
      </c>
      <c r="AE1948">
        <f>IF([2]Baskol!$O$1951="","",[2]Baskol!$O$1951)</f>
        <v/>
      </c>
      <c r="AG1948">
        <f>IF([3]Entry!$C$1951="","",[3]Entry!$C$1951)</f>
        <v/>
      </c>
      <c r="AH1948">
        <f>IF([3]Entry!$D$1951="","",[3]Entry!$D$1951)</f>
        <v/>
      </c>
      <c r="AI1948">
        <f>IF([3]Entry!$E$1951="","",[3]Entry!$E$1951)</f>
        <v/>
      </c>
      <c r="AJ1948">
        <f>IF([3]Entry!$G$1951="","",[3]Entry!$G$1951)</f>
        <v/>
      </c>
      <c r="AK1948">
        <f>IF([3]Entry!$K$1951="","",[3]Entry!$K$1951)</f>
        <v/>
      </c>
      <c r="AL1948">
        <f>IF([3]Entry!$L$1951="","",[3]Entry!$L$1951)</f>
        <v/>
      </c>
      <c r="AM1948">
        <f>IF([3]Entry!$M$1951="","",[3]Entry!$M$1951)</f>
        <v/>
      </c>
      <c r="AN1948">
        <f>IF([3]Entry!$N$1951="","",[3]Entry!$N$1951)</f>
        <v/>
      </c>
      <c r="AO1948">
        <f>IF([3]Entry!$R$1951="","",[3]Entry!$R$1951)</f>
        <v/>
      </c>
    </row>
    <row r="1949">
      <c r="U1949">
        <f>IF([2]Baskol!$B$1952="","",[2]Baskol!$B$1952)</f>
        <v/>
      </c>
      <c r="V1949">
        <f>IF([2]Baskol!$C$1952="","",[2]Baskol!$C$1952)</f>
        <v/>
      </c>
      <c r="W1949">
        <f>IF([2]Baskol!$D$1952="","",[2]Baskol!$D$1952)</f>
        <v/>
      </c>
      <c r="X1949">
        <f>IF([2]Baskol!$E$1952="","",[2]Baskol!$E$1952)</f>
        <v/>
      </c>
      <c r="Y1949">
        <f>IF([2]Baskol!$G$1952="","",[2]Baskol!$G$1952)</f>
        <v/>
      </c>
      <c r="Z1949">
        <f>IF([2]Baskol!$I$1952="","",[2]Baskol!$I$1952)</f>
        <v/>
      </c>
      <c r="AA1949">
        <f>IF([2]Baskol!$J$1952="","",[2]Baskol!$J$1952)</f>
        <v/>
      </c>
      <c r="AB1949">
        <f>IF([2]Baskol!$K$1952="","",[2]Baskol!$K$1952)</f>
        <v/>
      </c>
      <c r="AC1949">
        <f>IF([2]Baskol!$L$1952="","",[2]Baskol!$L$1952)</f>
        <v/>
      </c>
      <c r="AD1949">
        <f>IF([2]Baskol!$N$1952="","",[2]Baskol!$N$1952)</f>
        <v/>
      </c>
      <c r="AE1949">
        <f>IF([2]Baskol!$O$1952="","",[2]Baskol!$O$1952)</f>
        <v/>
      </c>
      <c r="AG1949">
        <f>IF([3]Entry!$C$1952="","",[3]Entry!$C$1952)</f>
        <v/>
      </c>
      <c r="AH1949">
        <f>IF([3]Entry!$D$1952="","",[3]Entry!$D$1952)</f>
        <v/>
      </c>
      <c r="AI1949">
        <f>IF([3]Entry!$E$1952="","",[3]Entry!$E$1952)</f>
        <v/>
      </c>
      <c r="AJ1949">
        <f>IF([3]Entry!$G$1952="","",[3]Entry!$G$1952)</f>
        <v/>
      </c>
      <c r="AK1949">
        <f>IF([3]Entry!$K$1952="","",[3]Entry!$K$1952)</f>
        <v/>
      </c>
      <c r="AL1949">
        <f>IF([3]Entry!$L$1952="","",[3]Entry!$L$1952)</f>
        <v/>
      </c>
      <c r="AM1949">
        <f>IF([3]Entry!$M$1952="","",[3]Entry!$M$1952)</f>
        <v/>
      </c>
      <c r="AN1949">
        <f>IF([3]Entry!$N$1952="","",[3]Entry!$N$1952)</f>
        <v/>
      </c>
      <c r="AO1949">
        <f>IF([3]Entry!$R$1952="","",[3]Entry!$R$1952)</f>
        <v/>
      </c>
    </row>
    <row r="1950">
      <c r="U1950">
        <f>IF([2]Baskol!$B$1953="","",[2]Baskol!$B$1953)</f>
        <v/>
      </c>
      <c r="V1950">
        <f>IF([2]Baskol!$C$1953="","",[2]Baskol!$C$1953)</f>
        <v/>
      </c>
      <c r="W1950">
        <f>IF([2]Baskol!$D$1953="","",[2]Baskol!$D$1953)</f>
        <v/>
      </c>
      <c r="X1950">
        <f>IF([2]Baskol!$E$1953="","",[2]Baskol!$E$1953)</f>
        <v/>
      </c>
      <c r="Y1950">
        <f>IF([2]Baskol!$G$1953="","",[2]Baskol!$G$1953)</f>
        <v/>
      </c>
      <c r="Z1950">
        <f>IF([2]Baskol!$I$1953="","",[2]Baskol!$I$1953)</f>
        <v/>
      </c>
      <c r="AA1950">
        <f>IF([2]Baskol!$J$1953="","",[2]Baskol!$J$1953)</f>
        <v/>
      </c>
      <c r="AB1950">
        <f>IF([2]Baskol!$K$1953="","",[2]Baskol!$K$1953)</f>
        <v/>
      </c>
      <c r="AC1950">
        <f>IF([2]Baskol!$L$1953="","",[2]Baskol!$L$1953)</f>
        <v/>
      </c>
      <c r="AD1950">
        <f>IF([2]Baskol!$N$1953="","",[2]Baskol!$N$1953)</f>
        <v/>
      </c>
      <c r="AE1950">
        <f>IF([2]Baskol!$O$1953="","",[2]Baskol!$O$1953)</f>
        <v/>
      </c>
      <c r="AG1950">
        <f>IF([3]Entry!$C$1953="","",[3]Entry!$C$1953)</f>
        <v/>
      </c>
      <c r="AH1950">
        <f>IF([3]Entry!$D$1953="","",[3]Entry!$D$1953)</f>
        <v/>
      </c>
      <c r="AI1950">
        <f>IF([3]Entry!$E$1953="","",[3]Entry!$E$1953)</f>
        <v/>
      </c>
      <c r="AJ1950">
        <f>IF([3]Entry!$G$1953="","",[3]Entry!$G$1953)</f>
        <v/>
      </c>
      <c r="AK1950">
        <f>IF([3]Entry!$K$1953="","",[3]Entry!$K$1953)</f>
        <v/>
      </c>
      <c r="AL1950">
        <f>IF([3]Entry!$L$1953="","",[3]Entry!$L$1953)</f>
        <v/>
      </c>
      <c r="AM1950">
        <f>IF([3]Entry!$M$1953="","",[3]Entry!$M$1953)</f>
        <v/>
      </c>
      <c r="AN1950">
        <f>IF([3]Entry!$N$1953="","",[3]Entry!$N$1953)</f>
        <v/>
      </c>
      <c r="AO1950">
        <f>IF([3]Entry!$R$1953="","",[3]Entry!$R$1953)</f>
        <v/>
      </c>
    </row>
    <row r="1951">
      <c r="U1951">
        <f>IF([2]Baskol!$B$1954="","",[2]Baskol!$B$1954)</f>
        <v/>
      </c>
      <c r="V1951">
        <f>IF([2]Baskol!$C$1954="","",[2]Baskol!$C$1954)</f>
        <v/>
      </c>
      <c r="W1951">
        <f>IF([2]Baskol!$D$1954="","",[2]Baskol!$D$1954)</f>
        <v/>
      </c>
      <c r="X1951">
        <f>IF([2]Baskol!$E$1954="","",[2]Baskol!$E$1954)</f>
        <v/>
      </c>
      <c r="Y1951">
        <f>IF([2]Baskol!$G$1954="","",[2]Baskol!$G$1954)</f>
        <v/>
      </c>
      <c r="Z1951">
        <f>IF([2]Baskol!$I$1954="","",[2]Baskol!$I$1954)</f>
        <v/>
      </c>
      <c r="AA1951">
        <f>IF([2]Baskol!$J$1954="","",[2]Baskol!$J$1954)</f>
        <v/>
      </c>
      <c r="AB1951">
        <f>IF([2]Baskol!$K$1954="","",[2]Baskol!$K$1954)</f>
        <v/>
      </c>
      <c r="AC1951">
        <f>IF([2]Baskol!$L$1954="","",[2]Baskol!$L$1954)</f>
        <v/>
      </c>
      <c r="AD1951">
        <f>IF([2]Baskol!$N$1954="","",[2]Baskol!$N$1954)</f>
        <v/>
      </c>
      <c r="AE1951">
        <f>IF([2]Baskol!$O$1954="","",[2]Baskol!$O$1954)</f>
        <v/>
      </c>
      <c r="AG1951">
        <f>IF([3]Entry!$C$1954="","",[3]Entry!$C$1954)</f>
        <v/>
      </c>
      <c r="AH1951">
        <f>IF([3]Entry!$D$1954="","",[3]Entry!$D$1954)</f>
        <v/>
      </c>
      <c r="AI1951">
        <f>IF([3]Entry!$E$1954="","",[3]Entry!$E$1954)</f>
        <v/>
      </c>
      <c r="AJ1951">
        <f>IF([3]Entry!$G$1954="","",[3]Entry!$G$1954)</f>
        <v/>
      </c>
      <c r="AK1951">
        <f>IF([3]Entry!$K$1954="","",[3]Entry!$K$1954)</f>
        <v/>
      </c>
      <c r="AL1951">
        <f>IF([3]Entry!$L$1954="","",[3]Entry!$L$1954)</f>
        <v/>
      </c>
      <c r="AM1951">
        <f>IF([3]Entry!$M$1954="","",[3]Entry!$M$1954)</f>
        <v/>
      </c>
      <c r="AN1951">
        <f>IF([3]Entry!$N$1954="","",[3]Entry!$N$1954)</f>
        <v/>
      </c>
      <c r="AO1951">
        <f>IF([3]Entry!$R$1954="","",[3]Entry!$R$1954)</f>
        <v/>
      </c>
    </row>
    <row r="1952">
      <c r="U1952">
        <f>IF([2]Baskol!$B$1955="","",[2]Baskol!$B$1955)</f>
        <v/>
      </c>
      <c r="V1952">
        <f>IF([2]Baskol!$C$1955="","",[2]Baskol!$C$1955)</f>
        <v/>
      </c>
      <c r="W1952">
        <f>IF([2]Baskol!$D$1955="","",[2]Baskol!$D$1955)</f>
        <v/>
      </c>
      <c r="X1952">
        <f>IF([2]Baskol!$E$1955="","",[2]Baskol!$E$1955)</f>
        <v/>
      </c>
      <c r="Y1952">
        <f>IF([2]Baskol!$G$1955="","",[2]Baskol!$G$1955)</f>
        <v/>
      </c>
      <c r="Z1952">
        <f>IF([2]Baskol!$I$1955="","",[2]Baskol!$I$1955)</f>
        <v/>
      </c>
      <c r="AA1952">
        <f>IF([2]Baskol!$J$1955="","",[2]Baskol!$J$1955)</f>
        <v/>
      </c>
      <c r="AB1952">
        <f>IF([2]Baskol!$K$1955="","",[2]Baskol!$K$1955)</f>
        <v/>
      </c>
      <c r="AC1952">
        <f>IF([2]Baskol!$L$1955="","",[2]Baskol!$L$1955)</f>
        <v/>
      </c>
      <c r="AD1952">
        <f>IF([2]Baskol!$N$1955="","",[2]Baskol!$N$1955)</f>
        <v/>
      </c>
      <c r="AE1952">
        <f>IF([2]Baskol!$O$1955="","",[2]Baskol!$O$1955)</f>
        <v/>
      </c>
      <c r="AG1952">
        <f>IF([3]Entry!$C$1955="","",[3]Entry!$C$1955)</f>
        <v/>
      </c>
      <c r="AH1952">
        <f>IF([3]Entry!$D$1955="","",[3]Entry!$D$1955)</f>
        <v/>
      </c>
      <c r="AI1952">
        <f>IF([3]Entry!$E$1955="","",[3]Entry!$E$1955)</f>
        <v/>
      </c>
      <c r="AJ1952">
        <f>IF([3]Entry!$G$1955="","",[3]Entry!$G$1955)</f>
        <v/>
      </c>
      <c r="AK1952">
        <f>IF([3]Entry!$K$1955="","",[3]Entry!$K$1955)</f>
        <v/>
      </c>
      <c r="AL1952">
        <f>IF([3]Entry!$L$1955="","",[3]Entry!$L$1955)</f>
        <v/>
      </c>
      <c r="AM1952">
        <f>IF([3]Entry!$M$1955="","",[3]Entry!$M$1955)</f>
        <v/>
      </c>
      <c r="AN1952">
        <f>IF([3]Entry!$N$1955="","",[3]Entry!$N$1955)</f>
        <v/>
      </c>
      <c r="AO1952">
        <f>IF([3]Entry!$R$1955="","",[3]Entry!$R$1955)</f>
        <v/>
      </c>
    </row>
    <row r="1953">
      <c r="U1953">
        <f>IF([2]Baskol!$B$1956="","",[2]Baskol!$B$1956)</f>
        <v/>
      </c>
      <c r="V1953">
        <f>IF([2]Baskol!$C$1956="","",[2]Baskol!$C$1956)</f>
        <v/>
      </c>
      <c r="W1953">
        <f>IF([2]Baskol!$D$1956="","",[2]Baskol!$D$1956)</f>
        <v/>
      </c>
      <c r="X1953">
        <f>IF([2]Baskol!$E$1956="","",[2]Baskol!$E$1956)</f>
        <v/>
      </c>
      <c r="Y1953">
        <f>IF([2]Baskol!$G$1956="","",[2]Baskol!$G$1956)</f>
        <v/>
      </c>
      <c r="Z1953">
        <f>IF([2]Baskol!$I$1956="","",[2]Baskol!$I$1956)</f>
        <v/>
      </c>
      <c r="AA1953">
        <f>IF([2]Baskol!$J$1956="","",[2]Baskol!$J$1956)</f>
        <v/>
      </c>
      <c r="AB1953">
        <f>IF([2]Baskol!$K$1956="","",[2]Baskol!$K$1956)</f>
        <v/>
      </c>
      <c r="AC1953">
        <f>IF([2]Baskol!$L$1956="","",[2]Baskol!$L$1956)</f>
        <v/>
      </c>
      <c r="AD1953">
        <f>IF([2]Baskol!$N$1956="","",[2]Baskol!$N$1956)</f>
        <v/>
      </c>
      <c r="AE1953">
        <f>IF([2]Baskol!$O$1956="","",[2]Baskol!$O$1956)</f>
        <v/>
      </c>
      <c r="AG1953">
        <f>IF([3]Entry!$C$1956="","",[3]Entry!$C$1956)</f>
        <v/>
      </c>
      <c r="AH1953">
        <f>IF([3]Entry!$D$1956="","",[3]Entry!$D$1956)</f>
        <v/>
      </c>
      <c r="AI1953">
        <f>IF([3]Entry!$E$1956="","",[3]Entry!$E$1956)</f>
        <v/>
      </c>
      <c r="AJ1953">
        <f>IF([3]Entry!$G$1956="","",[3]Entry!$G$1956)</f>
        <v/>
      </c>
      <c r="AK1953">
        <f>IF([3]Entry!$K$1956="","",[3]Entry!$K$1956)</f>
        <v/>
      </c>
      <c r="AL1953">
        <f>IF([3]Entry!$L$1956="","",[3]Entry!$L$1956)</f>
        <v/>
      </c>
      <c r="AM1953">
        <f>IF([3]Entry!$M$1956="","",[3]Entry!$M$1956)</f>
        <v/>
      </c>
      <c r="AN1953">
        <f>IF([3]Entry!$N$1956="","",[3]Entry!$N$1956)</f>
        <v/>
      </c>
      <c r="AO1953">
        <f>IF([3]Entry!$R$1956="","",[3]Entry!$R$1956)</f>
        <v/>
      </c>
    </row>
    <row r="1954">
      <c r="U1954">
        <f>IF([2]Baskol!$B$1957="","",[2]Baskol!$B$1957)</f>
        <v/>
      </c>
      <c r="V1954">
        <f>IF([2]Baskol!$C$1957="","",[2]Baskol!$C$1957)</f>
        <v/>
      </c>
      <c r="W1954">
        <f>IF([2]Baskol!$D$1957="","",[2]Baskol!$D$1957)</f>
        <v/>
      </c>
      <c r="X1954">
        <f>IF([2]Baskol!$E$1957="","",[2]Baskol!$E$1957)</f>
        <v/>
      </c>
      <c r="Y1954">
        <f>IF([2]Baskol!$G$1957="","",[2]Baskol!$G$1957)</f>
        <v/>
      </c>
      <c r="Z1954">
        <f>IF([2]Baskol!$I$1957="","",[2]Baskol!$I$1957)</f>
        <v/>
      </c>
      <c r="AA1954">
        <f>IF([2]Baskol!$J$1957="","",[2]Baskol!$J$1957)</f>
        <v/>
      </c>
      <c r="AB1954">
        <f>IF([2]Baskol!$K$1957="","",[2]Baskol!$K$1957)</f>
        <v/>
      </c>
      <c r="AC1954">
        <f>IF([2]Baskol!$L$1957="","",[2]Baskol!$L$1957)</f>
        <v/>
      </c>
      <c r="AD1954">
        <f>IF([2]Baskol!$N$1957="","",[2]Baskol!$N$1957)</f>
        <v/>
      </c>
      <c r="AE1954">
        <f>IF([2]Baskol!$O$1957="","",[2]Baskol!$O$1957)</f>
        <v/>
      </c>
      <c r="AG1954">
        <f>IF([3]Entry!$C$1957="","",[3]Entry!$C$1957)</f>
        <v/>
      </c>
      <c r="AH1954">
        <f>IF([3]Entry!$D$1957="","",[3]Entry!$D$1957)</f>
        <v/>
      </c>
      <c r="AI1954">
        <f>IF([3]Entry!$E$1957="","",[3]Entry!$E$1957)</f>
        <v/>
      </c>
      <c r="AJ1954">
        <f>IF([3]Entry!$G$1957="","",[3]Entry!$G$1957)</f>
        <v/>
      </c>
      <c r="AK1954">
        <f>IF([3]Entry!$K$1957="","",[3]Entry!$K$1957)</f>
        <v/>
      </c>
      <c r="AL1954">
        <f>IF([3]Entry!$L$1957="","",[3]Entry!$L$1957)</f>
        <v/>
      </c>
      <c r="AM1954">
        <f>IF([3]Entry!$M$1957="","",[3]Entry!$M$1957)</f>
        <v/>
      </c>
      <c r="AN1954">
        <f>IF([3]Entry!$N$1957="","",[3]Entry!$N$1957)</f>
        <v/>
      </c>
      <c r="AO1954">
        <f>IF([3]Entry!$R$1957="","",[3]Entry!$R$1957)</f>
        <v/>
      </c>
    </row>
    <row r="1955">
      <c r="U1955">
        <f>IF([2]Baskol!$B$1958="","",[2]Baskol!$B$1958)</f>
        <v/>
      </c>
      <c r="V1955">
        <f>IF([2]Baskol!$C$1958="","",[2]Baskol!$C$1958)</f>
        <v/>
      </c>
      <c r="W1955">
        <f>IF([2]Baskol!$D$1958="","",[2]Baskol!$D$1958)</f>
        <v/>
      </c>
      <c r="X1955">
        <f>IF([2]Baskol!$E$1958="","",[2]Baskol!$E$1958)</f>
        <v/>
      </c>
      <c r="Y1955">
        <f>IF([2]Baskol!$G$1958="","",[2]Baskol!$G$1958)</f>
        <v/>
      </c>
      <c r="Z1955">
        <f>IF([2]Baskol!$I$1958="","",[2]Baskol!$I$1958)</f>
        <v/>
      </c>
      <c r="AA1955">
        <f>IF([2]Baskol!$J$1958="","",[2]Baskol!$J$1958)</f>
        <v/>
      </c>
      <c r="AB1955">
        <f>IF([2]Baskol!$K$1958="","",[2]Baskol!$K$1958)</f>
        <v/>
      </c>
      <c r="AC1955">
        <f>IF([2]Baskol!$L$1958="","",[2]Baskol!$L$1958)</f>
        <v/>
      </c>
      <c r="AD1955">
        <f>IF([2]Baskol!$N$1958="","",[2]Baskol!$N$1958)</f>
        <v/>
      </c>
      <c r="AE1955">
        <f>IF([2]Baskol!$O$1958="","",[2]Baskol!$O$1958)</f>
        <v/>
      </c>
      <c r="AG1955">
        <f>IF([3]Entry!$C$1958="","",[3]Entry!$C$1958)</f>
        <v/>
      </c>
      <c r="AH1955">
        <f>IF([3]Entry!$D$1958="","",[3]Entry!$D$1958)</f>
        <v/>
      </c>
      <c r="AI1955">
        <f>IF([3]Entry!$E$1958="","",[3]Entry!$E$1958)</f>
        <v/>
      </c>
      <c r="AJ1955">
        <f>IF([3]Entry!$G$1958="","",[3]Entry!$G$1958)</f>
        <v/>
      </c>
      <c r="AK1955">
        <f>IF([3]Entry!$K$1958="","",[3]Entry!$K$1958)</f>
        <v/>
      </c>
      <c r="AL1955">
        <f>IF([3]Entry!$L$1958="","",[3]Entry!$L$1958)</f>
        <v/>
      </c>
      <c r="AM1955">
        <f>IF([3]Entry!$M$1958="","",[3]Entry!$M$1958)</f>
        <v/>
      </c>
      <c r="AN1955">
        <f>IF([3]Entry!$N$1958="","",[3]Entry!$N$1958)</f>
        <v/>
      </c>
      <c r="AO1955">
        <f>IF([3]Entry!$R$1958="","",[3]Entry!$R$1958)</f>
        <v/>
      </c>
    </row>
    <row r="1956">
      <c r="U1956">
        <f>IF([2]Baskol!$B$1959="","",[2]Baskol!$B$1959)</f>
        <v/>
      </c>
      <c r="V1956">
        <f>IF([2]Baskol!$C$1959="","",[2]Baskol!$C$1959)</f>
        <v/>
      </c>
      <c r="W1956">
        <f>IF([2]Baskol!$D$1959="","",[2]Baskol!$D$1959)</f>
        <v/>
      </c>
      <c r="X1956">
        <f>IF([2]Baskol!$E$1959="","",[2]Baskol!$E$1959)</f>
        <v/>
      </c>
      <c r="Y1956">
        <f>IF([2]Baskol!$G$1959="","",[2]Baskol!$G$1959)</f>
        <v/>
      </c>
      <c r="Z1956">
        <f>IF([2]Baskol!$I$1959="","",[2]Baskol!$I$1959)</f>
        <v/>
      </c>
      <c r="AA1956">
        <f>IF([2]Baskol!$J$1959="","",[2]Baskol!$J$1959)</f>
        <v/>
      </c>
      <c r="AB1956">
        <f>IF([2]Baskol!$K$1959="","",[2]Baskol!$K$1959)</f>
        <v/>
      </c>
      <c r="AC1956">
        <f>IF([2]Baskol!$L$1959="","",[2]Baskol!$L$1959)</f>
        <v/>
      </c>
      <c r="AD1956">
        <f>IF([2]Baskol!$N$1959="","",[2]Baskol!$N$1959)</f>
        <v/>
      </c>
      <c r="AE1956">
        <f>IF([2]Baskol!$O$1959="","",[2]Baskol!$O$1959)</f>
        <v/>
      </c>
      <c r="AG1956">
        <f>IF([3]Entry!$C$1959="","",[3]Entry!$C$1959)</f>
        <v/>
      </c>
      <c r="AH1956">
        <f>IF([3]Entry!$D$1959="","",[3]Entry!$D$1959)</f>
        <v/>
      </c>
      <c r="AI1956">
        <f>IF([3]Entry!$E$1959="","",[3]Entry!$E$1959)</f>
        <v/>
      </c>
      <c r="AJ1956">
        <f>IF([3]Entry!$G$1959="","",[3]Entry!$G$1959)</f>
        <v/>
      </c>
      <c r="AK1956">
        <f>IF([3]Entry!$K$1959="","",[3]Entry!$K$1959)</f>
        <v/>
      </c>
      <c r="AL1956">
        <f>IF([3]Entry!$L$1959="","",[3]Entry!$L$1959)</f>
        <v/>
      </c>
      <c r="AM1956">
        <f>IF([3]Entry!$M$1959="","",[3]Entry!$M$1959)</f>
        <v/>
      </c>
      <c r="AN1956">
        <f>IF([3]Entry!$N$1959="","",[3]Entry!$N$1959)</f>
        <v/>
      </c>
      <c r="AO1956">
        <f>IF([3]Entry!$R$1959="","",[3]Entry!$R$1959)</f>
        <v/>
      </c>
    </row>
    <row r="1957">
      <c r="U1957">
        <f>IF([2]Baskol!$B$1960="","",[2]Baskol!$B$1960)</f>
        <v/>
      </c>
      <c r="V1957">
        <f>IF([2]Baskol!$C$1960="","",[2]Baskol!$C$1960)</f>
        <v/>
      </c>
      <c r="W1957">
        <f>IF([2]Baskol!$D$1960="","",[2]Baskol!$D$1960)</f>
        <v/>
      </c>
      <c r="X1957">
        <f>IF([2]Baskol!$E$1960="","",[2]Baskol!$E$1960)</f>
        <v/>
      </c>
      <c r="Y1957">
        <f>IF([2]Baskol!$G$1960="","",[2]Baskol!$G$1960)</f>
        <v/>
      </c>
      <c r="Z1957">
        <f>IF([2]Baskol!$I$1960="","",[2]Baskol!$I$1960)</f>
        <v/>
      </c>
      <c r="AA1957">
        <f>IF([2]Baskol!$J$1960="","",[2]Baskol!$J$1960)</f>
        <v/>
      </c>
      <c r="AB1957">
        <f>IF([2]Baskol!$K$1960="","",[2]Baskol!$K$1960)</f>
        <v/>
      </c>
      <c r="AC1957">
        <f>IF([2]Baskol!$L$1960="","",[2]Baskol!$L$1960)</f>
        <v/>
      </c>
      <c r="AD1957">
        <f>IF([2]Baskol!$N$1960="","",[2]Baskol!$N$1960)</f>
        <v/>
      </c>
      <c r="AE1957">
        <f>IF([2]Baskol!$O$1960="","",[2]Baskol!$O$1960)</f>
        <v/>
      </c>
      <c r="AG1957">
        <f>IF([3]Entry!$C$1960="","",[3]Entry!$C$1960)</f>
        <v/>
      </c>
      <c r="AH1957">
        <f>IF([3]Entry!$D$1960="","",[3]Entry!$D$1960)</f>
        <v/>
      </c>
      <c r="AI1957">
        <f>IF([3]Entry!$E$1960="","",[3]Entry!$E$1960)</f>
        <v/>
      </c>
      <c r="AJ1957">
        <f>IF([3]Entry!$G$1960="","",[3]Entry!$G$1960)</f>
        <v/>
      </c>
      <c r="AK1957">
        <f>IF([3]Entry!$K$1960="","",[3]Entry!$K$1960)</f>
        <v/>
      </c>
      <c r="AL1957">
        <f>IF([3]Entry!$L$1960="","",[3]Entry!$L$1960)</f>
        <v/>
      </c>
      <c r="AM1957">
        <f>IF([3]Entry!$M$1960="","",[3]Entry!$M$1960)</f>
        <v/>
      </c>
      <c r="AN1957">
        <f>IF([3]Entry!$N$1960="","",[3]Entry!$N$1960)</f>
        <v/>
      </c>
      <c r="AO1957">
        <f>IF([3]Entry!$R$1960="","",[3]Entry!$R$1960)</f>
        <v/>
      </c>
    </row>
    <row r="1958">
      <c r="U1958">
        <f>IF([2]Baskol!$B$1961="","",[2]Baskol!$B$1961)</f>
        <v/>
      </c>
      <c r="V1958">
        <f>IF([2]Baskol!$C$1961="","",[2]Baskol!$C$1961)</f>
        <v/>
      </c>
      <c r="W1958">
        <f>IF([2]Baskol!$D$1961="","",[2]Baskol!$D$1961)</f>
        <v/>
      </c>
      <c r="X1958">
        <f>IF([2]Baskol!$E$1961="","",[2]Baskol!$E$1961)</f>
        <v/>
      </c>
      <c r="Y1958">
        <f>IF([2]Baskol!$G$1961="","",[2]Baskol!$G$1961)</f>
        <v/>
      </c>
      <c r="Z1958">
        <f>IF([2]Baskol!$I$1961="","",[2]Baskol!$I$1961)</f>
        <v/>
      </c>
      <c r="AA1958">
        <f>IF([2]Baskol!$J$1961="","",[2]Baskol!$J$1961)</f>
        <v/>
      </c>
      <c r="AB1958">
        <f>IF([2]Baskol!$K$1961="","",[2]Baskol!$K$1961)</f>
        <v/>
      </c>
      <c r="AC1958">
        <f>IF([2]Baskol!$L$1961="","",[2]Baskol!$L$1961)</f>
        <v/>
      </c>
      <c r="AD1958">
        <f>IF([2]Baskol!$N$1961="","",[2]Baskol!$N$1961)</f>
        <v/>
      </c>
      <c r="AE1958">
        <f>IF([2]Baskol!$O$1961="","",[2]Baskol!$O$1961)</f>
        <v/>
      </c>
      <c r="AG1958">
        <f>IF([3]Entry!$C$1961="","",[3]Entry!$C$1961)</f>
        <v/>
      </c>
      <c r="AH1958">
        <f>IF([3]Entry!$D$1961="","",[3]Entry!$D$1961)</f>
        <v/>
      </c>
      <c r="AI1958">
        <f>IF([3]Entry!$E$1961="","",[3]Entry!$E$1961)</f>
        <v/>
      </c>
      <c r="AJ1958">
        <f>IF([3]Entry!$G$1961="","",[3]Entry!$G$1961)</f>
        <v/>
      </c>
      <c r="AK1958">
        <f>IF([3]Entry!$K$1961="","",[3]Entry!$K$1961)</f>
        <v/>
      </c>
      <c r="AL1958">
        <f>IF([3]Entry!$L$1961="","",[3]Entry!$L$1961)</f>
        <v/>
      </c>
      <c r="AM1958">
        <f>IF([3]Entry!$M$1961="","",[3]Entry!$M$1961)</f>
        <v/>
      </c>
      <c r="AN1958">
        <f>IF([3]Entry!$N$1961="","",[3]Entry!$N$1961)</f>
        <v/>
      </c>
      <c r="AO1958">
        <f>IF([3]Entry!$R$1961="","",[3]Entry!$R$1961)</f>
        <v/>
      </c>
    </row>
    <row r="1959">
      <c r="U1959">
        <f>IF([2]Baskol!$B$1962="","",[2]Baskol!$B$1962)</f>
        <v/>
      </c>
      <c r="V1959">
        <f>IF([2]Baskol!$C$1962="","",[2]Baskol!$C$1962)</f>
        <v/>
      </c>
      <c r="W1959">
        <f>IF([2]Baskol!$D$1962="","",[2]Baskol!$D$1962)</f>
        <v/>
      </c>
      <c r="X1959">
        <f>IF([2]Baskol!$E$1962="","",[2]Baskol!$E$1962)</f>
        <v/>
      </c>
      <c r="Y1959">
        <f>IF([2]Baskol!$G$1962="","",[2]Baskol!$G$1962)</f>
        <v/>
      </c>
      <c r="Z1959">
        <f>IF([2]Baskol!$I$1962="","",[2]Baskol!$I$1962)</f>
        <v/>
      </c>
      <c r="AA1959">
        <f>IF([2]Baskol!$J$1962="","",[2]Baskol!$J$1962)</f>
        <v/>
      </c>
      <c r="AB1959">
        <f>IF([2]Baskol!$K$1962="","",[2]Baskol!$K$1962)</f>
        <v/>
      </c>
      <c r="AC1959">
        <f>IF([2]Baskol!$L$1962="","",[2]Baskol!$L$1962)</f>
        <v/>
      </c>
      <c r="AD1959">
        <f>IF([2]Baskol!$N$1962="","",[2]Baskol!$N$1962)</f>
        <v/>
      </c>
      <c r="AE1959">
        <f>IF([2]Baskol!$O$1962="","",[2]Baskol!$O$1962)</f>
        <v/>
      </c>
      <c r="AG1959">
        <f>IF([3]Entry!$C$1962="","",[3]Entry!$C$1962)</f>
        <v/>
      </c>
      <c r="AH1959">
        <f>IF([3]Entry!$D$1962="","",[3]Entry!$D$1962)</f>
        <v/>
      </c>
      <c r="AI1959">
        <f>IF([3]Entry!$E$1962="","",[3]Entry!$E$1962)</f>
        <v/>
      </c>
      <c r="AJ1959">
        <f>IF([3]Entry!$G$1962="","",[3]Entry!$G$1962)</f>
        <v/>
      </c>
      <c r="AK1959">
        <f>IF([3]Entry!$K$1962="","",[3]Entry!$K$1962)</f>
        <v/>
      </c>
      <c r="AL1959">
        <f>IF([3]Entry!$L$1962="","",[3]Entry!$L$1962)</f>
        <v/>
      </c>
      <c r="AM1959">
        <f>IF([3]Entry!$M$1962="","",[3]Entry!$M$1962)</f>
        <v/>
      </c>
      <c r="AN1959">
        <f>IF([3]Entry!$N$1962="","",[3]Entry!$N$1962)</f>
        <v/>
      </c>
      <c r="AO1959">
        <f>IF([3]Entry!$R$1962="","",[3]Entry!$R$1962)</f>
        <v/>
      </c>
    </row>
    <row r="1960">
      <c r="U1960">
        <f>IF([2]Baskol!$B$1963="","",[2]Baskol!$B$1963)</f>
        <v/>
      </c>
      <c r="V1960">
        <f>IF([2]Baskol!$C$1963="","",[2]Baskol!$C$1963)</f>
        <v/>
      </c>
      <c r="W1960">
        <f>IF([2]Baskol!$D$1963="","",[2]Baskol!$D$1963)</f>
        <v/>
      </c>
      <c r="X1960">
        <f>IF([2]Baskol!$E$1963="","",[2]Baskol!$E$1963)</f>
        <v/>
      </c>
      <c r="Y1960">
        <f>IF([2]Baskol!$G$1963="","",[2]Baskol!$G$1963)</f>
        <v/>
      </c>
      <c r="Z1960">
        <f>IF([2]Baskol!$I$1963="","",[2]Baskol!$I$1963)</f>
        <v/>
      </c>
      <c r="AA1960">
        <f>IF([2]Baskol!$J$1963="","",[2]Baskol!$J$1963)</f>
        <v/>
      </c>
      <c r="AB1960">
        <f>IF([2]Baskol!$K$1963="","",[2]Baskol!$K$1963)</f>
        <v/>
      </c>
      <c r="AC1960">
        <f>IF([2]Baskol!$L$1963="","",[2]Baskol!$L$1963)</f>
        <v/>
      </c>
      <c r="AD1960">
        <f>IF([2]Baskol!$N$1963="","",[2]Baskol!$N$1963)</f>
        <v/>
      </c>
      <c r="AE1960">
        <f>IF([2]Baskol!$O$1963="","",[2]Baskol!$O$1963)</f>
        <v/>
      </c>
      <c r="AG1960">
        <f>IF([3]Entry!$C$1963="","",[3]Entry!$C$1963)</f>
        <v/>
      </c>
      <c r="AH1960">
        <f>IF([3]Entry!$D$1963="","",[3]Entry!$D$1963)</f>
        <v/>
      </c>
      <c r="AI1960">
        <f>IF([3]Entry!$E$1963="","",[3]Entry!$E$1963)</f>
        <v/>
      </c>
      <c r="AJ1960">
        <f>IF([3]Entry!$G$1963="","",[3]Entry!$G$1963)</f>
        <v/>
      </c>
      <c r="AK1960">
        <f>IF([3]Entry!$K$1963="","",[3]Entry!$K$1963)</f>
        <v/>
      </c>
      <c r="AL1960">
        <f>IF([3]Entry!$L$1963="","",[3]Entry!$L$1963)</f>
        <v/>
      </c>
      <c r="AM1960">
        <f>IF([3]Entry!$M$1963="","",[3]Entry!$M$1963)</f>
        <v/>
      </c>
      <c r="AN1960">
        <f>IF([3]Entry!$N$1963="","",[3]Entry!$N$1963)</f>
        <v/>
      </c>
      <c r="AO1960">
        <f>IF([3]Entry!$R$1963="","",[3]Entry!$R$1963)</f>
        <v/>
      </c>
    </row>
    <row r="1961">
      <c r="U1961">
        <f>IF([2]Baskol!$B$1964="","",[2]Baskol!$B$1964)</f>
        <v/>
      </c>
      <c r="V1961">
        <f>IF([2]Baskol!$C$1964="","",[2]Baskol!$C$1964)</f>
        <v/>
      </c>
      <c r="W1961">
        <f>IF([2]Baskol!$D$1964="","",[2]Baskol!$D$1964)</f>
        <v/>
      </c>
      <c r="X1961">
        <f>IF([2]Baskol!$E$1964="","",[2]Baskol!$E$1964)</f>
        <v/>
      </c>
      <c r="Y1961">
        <f>IF([2]Baskol!$G$1964="","",[2]Baskol!$G$1964)</f>
        <v/>
      </c>
      <c r="Z1961">
        <f>IF([2]Baskol!$I$1964="","",[2]Baskol!$I$1964)</f>
        <v/>
      </c>
      <c r="AA1961">
        <f>IF([2]Baskol!$J$1964="","",[2]Baskol!$J$1964)</f>
        <v/>
      </c>
      <c r="AB1961">
        <f>IF([2]Baskol!$K$1964="","",[2]Baskol!$K$1964)</f>
        <v/>
      </c>
      <c r="AC1961">
        <f>IF([2]Baskol!$L$1964="","",[2]Baskol!$L$1964)</f>
        <v/>
      </c>
      <c r="AD1961">
        <f>IF([2]Baskol!$N$1964="","",[2]Baskol!$N$1964)</f>
        <v/>
      </c>
      <c r="AE1961">
        <f>IF([2]Baskol!$O$1964="","",[2]Baskol!$O$1964)</f>
        <v/>
      </c>
      <c r="AG1961">
        <f>IF([3]Entry!$C$1964="","",[3]Entry!$C$1964)</f>
        <v/>
      </c>
      <c r="AH1961">
        <f>IF([3]Entry!$D$1964="","",[3]Entry!$D$1964)</f>
        <v/>
      </c>
      <c r="AI1961">
        <f>IF([3]Entry!$E$1964="","",[3]Entry!$E$1964)</f>
        <v/>
      </c>
      <c r="AJ1961">
        <f>IF([3]Entry!$G$1964="","",[3]Entry!$G$1964)</f>
        <v/>
      </c>
      <c r="AK1961">
        <f>IF([3]Entry!$K$1964="","",[3]Entry!$K$1964)</f>
        <v/>
      </c>
      <c r="AL1961">
        <f>IF([3]Entry!$L$1964="","",[3]Entry!$L$1964)</f>
        <v/>
      </c>
      <c r="AM1961">
        <f>IF([3]Entry!$M$1964="","",[3]Entry!$M$1964)</f>
        <v/>
      </c>
      <c r="AN1961">
        <f>IF([3]Entry!$N$1964="","",[3]Entry!$N$1964)</f>
        <v/>
      </c>
      <c r="AO1961">
        <f>IF([3]Entry!$R$1964="","",[3]Entry!$R$1964)</f>
        <v/>
      </c>
    </row>
    <row r="1962">
      <c r="U1962">
        <f>IF([2]Baskol!$B$1965="","",[2]Baskol!$B$1965)</f>
        <v/>
      </c>
      <c r="V1962">
        <f>IF([2]Baskol!$C$1965="","",[2]Baskol!$C$1965)</f>
        <v/>
      </c>
      <c r="W1962">
        <f>IF([2]Baskol!$D$1965="","",[2]Baskol!$D$1965)</f>
        <v/>
      </c>
      <c r="X1962">
        <f>IF([2]Baskol!$E$1965="","",[2]Baskol!$E$1965)</f>
        <v/>
      </c>
      <c r="Y1962">
        <f>IF([2]Baskol!$G$1965="","",[2]Baskol!$G$1965)</f>
        <v/>
      </c>
      <c r="Z1962">
        <f>IF([2]Baskol!$I$1965="","",[2]Baskol!$I$1965)</f>
        <v/>
      </c>
      <c r="AA1962">
        <f>IF([2]Baskol!$J$1965="","",[2]Baskol!$J$1965)</f>
        <v/>
      </c>
      <c r="AB1962">
        <f>IF([2]Baskol!$K$1965="","",[2]Baskol!$K$1965)</f>
        <v/>
      </c>
      <c r="AC1962">
        <f>IF([2]Baskol!$L$1965="","",[2]Baskol!$L$1965)</f>
        <v/>
      </c>
      <c r="AD1962">
        <f>IF([2]Baskol!$N$1965="","",[2]Baskol!$N$1965)</f>
        <v/>
      </c>
      <c r="AE1962">
        <f>IF([2]Baskol!$O$1965="","",[2]Baskol!$O$1965)</f>
        <v/>
      </c>
      <c r="AG1962">
        <f>IF([3]Entry!$C$1965="","",[3]Entry!$C$1965)</f>
        <v/>
      </c>
      <c r="AH1962">
        <f>IF([3]Entry!$D$1965="","",[3]Entry!$D$1965)</f>
        <v/>
      </c>
      <c r="AI1962">
        <f>IF([3]Entry!$E$1965="","",[3]Entry!$E$1965)</f>
        <v/>
      </c>
      <c r="AJ1962">
        <f>IF([3]Entry!$G$1965="","",[3]Entry!$G$1965)</f>
        <v/>
      </c>
      <c r="AK1962">
        <f>IF([3]Entry!$K$1965="","",[3]Entry!$K$1965)</f>
        <v/>
      </c>
      <c r="AL1962">
        <f>IF([3]Entry!$L$1965="","",[3]Entry!$L$1965)</f>
        <v/>
      </c>
      <c r="AM1962">
        <f>IF([3]Entry!$M$1965="","",[3]Entry!$M$1965)</f>
        <v/>
      </c>
      <c r="AN1962">
        <f>IF([3]Entry!$N$1965="","",[3]Entry!$N$1965)</f>
        <v/>
      </c>
      <c r="AO1962">
        <f>IF([3]Entry!$R$1965="","",[3]Entry!$R$1965)</f>
        <v/>
      </c>
    </row>
    <row r="1963">
      <c r="U1963">
        <f>IF([2]Baskol!$B$1966="","",[2]Baskol!$B$1966)</f>
        <v/>
      </c>
      <c r="V1963">
        <f>IF([2]Baskol!$C$1966="","",[2]Baskol!$C$1966)</f>
        <v/>
      </c>
      <c r="W1963">
        <f>IF([2]Baskol!$D$1966="","",[2]Baskol!$D$1966)</f>
        <v/>
      </c>
      <c r="X1963">
        <f>IF([2]Baskol!$E$1966="","",[2]Baskol!$E$1966)</f>
        <v/>
      </c>
      <c r="Y1963">
        <f>IF([2]Baskol!$G$1966="","",[2]Baskol!$G$1966)</f>
        <v/>
      </c>
      <c r="Z1963">
        <f>IF([2]Baskol!$I$1966="","",[2]Baskol!$I$1966)</f>
        <v/>
      </c>
      <c r="AA1963">
        <f>IF([2]Baskol!$J$1966="","",[2]Baskol!$J$1966)</f>
        <v/>
      </c>
      <c r="AB1963">
        <f>IF([2]Baskol!$K$1966="","",[2]Baskol!$K$1966)</f>
        <v/>
      </c>
      <c r="AC1963">
        <f>IF([2]Baskol!$L$1966="","",[2]Baskol!$L$1966)</f>
        <v/>
      </c>
      <c r="AD1963">
        <f>IF([2]Baskol!$N$1966="","",[2]Baskol!$N$1966)</f>
        <v/>
      </c>
      <c r="AE1963">
        <f>IF([2]Baskol!$O$1966="","",[2]Baskol!$O$1966)</f>
        <v/>
      </c>
      <c r="AG1963">
        <f>IF([3]Entry!$C$1966="","",[3]Entry!$C$1966)</f>
        <v/>
      </c>
      <c r="AH1963">
        <f>IF([3]Entry!$D$1966="","",[3]Entry!$D$1966)</f>
        <v/>
      </c>
      <c r="AI1963">
        <f>IF([3]Entry!$E$1966="","",[3]Entry!$E$1966)</f>
        <v/>
      </c>
      <c r="AJ1963">
        <f>IF([3]Entry!$G$1966="","",[3]Entry!$G$1966)</f>
        <v/>
      </c>
      <c r="AK1963">
        <f>IF([3]Entry!$K$1966="","",[3]Entry!$K$1966)</f>
        <v/>
      </c>
      <c r="AL1963">
        <f>IF([3]Entry!$L$1966="","",[3]Entry!$L$1966)</f>
        <v/>
      </c>
      <c r="AM1963">
        <f>IF([3]Entry!$M$1966="","",[3]Entry!$M$1966)</f>
        <v/>
      </c>
      <c r="AN1963">
        <f>IF([3]Entry!$N$1966="","",[3]Entry!$N$1966)</f>
        <v/>
      </c>
      <c r="AO1963">
        <f>IF([3]Entry!$R$1966="","",[3]Entry!$R$1966)</f>
        <v/>
      </c>
    </row>
    <row r="1964">
      <c r="U1964">
        <f>IF([2]Baskol!$B$1967="","",[2]Baskol!$B$1967)</f>
        <v/>
      </c>
      <c r="V1964">
        <f>IF([2]Baskol!$C$1967="","",[2]Baskol!$C$1967)</f>
        <v/>
      </c>
      <c r="W1964">
        <f>IF([2]Baskol!$D$1967="","",[2]Baskol!$D$1967)</f>
        <v/>
      </c>
      <c r="X1964">
        <f>IF([2]Baskol!$E$1967="","",[2]Baskol!$E$1967)</f>
        <v/>
      </c>
      <c r="Y1964">
        <f>IF([2]Baskol!$G$1967="","",[2]Baskol!$G$1967)</f>
        <v/>
      </c>
      <c r="Z1964">
        <f>IF([2]Baskol!$I$1967="","",[2]Baskol!$I$1967)</f>
        <v/>
      </c>
      <c r="AA1964">
        <f>IF([2]Baskol!$J$1967="","",[2]Baskol!$J$1967)</f>
        <v/>
      </c>
      <c r="AB1964">
        <f>IF([2]Baskol!$K$1967="","",[2]Baskol!$K$1967)</f>
        <v/>
      </c>
      <c r="AC1964">
        <f>IF([2]Baskol!$L$1967="","",[2]Baskol!$L$1967)</f>
        <v/>
      </c>
      <c r="AD1964">
        <f>IF([2]Baskol!$N$1967="","",[2]Baskol!$N$1967)</f>
        <v/>
      </c>
      <c r="AE1964">
        <f>IF([2]Baskol!$O$1967="","",[2]Baskol!$O$1967)</f>
        <v/>
      </c>
      <c r="AG1964">
        <f>IF([3]Entry!$C$1967="","",[3]Entry!$C$1967)</f>
        <v/>
      </c>
      <c r="AH1964">
        <f>IF([3]Entry!$D$1967="","",[3]Entry!$D$1967)</f>
        <v/>
      </c>
      <c r="AI1964">
        <f>IF([3]Entry!$E$1967="","",[3]Entry!$E$1967)</f>
        <v/>
      </c>
      <c r="AJ1964">
        <f>IF([3]Entry!$G$1967="","",[3]Entry!$G$1967)</f>
        <v/>
      </c>
      <c r="AK1964">
        <f>IF([3]Entry!$K$1967="","",[3]Entry!$K$1967)</f>
        <v/>
      </c>
      <c r="AL1964">
        <f>IF([3]Entry!$L$1967="","",[3]Entry!$L$1967)</f>
        <v/>
      </c>
      <c r="AM1964">
        <f>IF([3]Entry!$M$1967="","",[3]Entry!$M$1967)</f>
        <v/>
      </c>
      <c r="AN1964">
        <f>IF([3]Entry!$N$1967="","",[3]Entry!$N$1967)</f>
        <v/>
      </c>
      <c r="AO1964">
        <f>IF([3]Entry!$R$1967="","",[3]Entry!$R$1967)</f>
        <v/>
      </c>
    </row>
    <row r="1965">
      <c r="U1965">
        <f>IF([2]Baskol!$B$1968="","",[2]Baskol!$B$1968)</f>
        <v/>
      </c>
      <c r="V1965">
        <f>IF([2]Baskol!$C$1968="","",[2]Baskol!$C$1968)</f>
        <v/>
      </c>
      <c r="W1965">
        <f>IF([2]Baskol!$D$1968="","",[2]Baskol!$D$1968)</f>
        <v/>
      </c>
      <c r="X1965">
        <f>IF([2]Baskol!$E$1968="","",[2]Baskol!$E$1968)</f>
        <v/>
      </c>
      <c r="Y1965">
        <f>IF([2]Baskol!$G$1968="","",[2]Baskol!$G$1968)</f>
        <v/>
      </c>
      <c r="Z1965">
        <f>IF([2]Baskol!$I$1968="","",[2]Baskol!$I$1968)</f>
        <v/>
      </c>
      <c r="AA1965">
        <f>IF([2]Baskol!$J$1968="","",[2]Baskol!$J$1968)</f>
        <v/>
      </c>
      <c r="AB1965">
        <f>IF([2]Baskol!$K$1968="","",[2]Baskol!$K$1968)</f>
        <v/>
      </c>
      <c r="AC1965">
        <f>IF([2]Baskol!$L$1968="","",[2]Baskol!$L$1968)</f>
        <v/>
      </c>
      <c r="AD1965">
        <f>IF([2]Baskol!$N$1968="","",[2]Baskol!$N$1968)</f>
        <v/>
      </c>
      <c r="AE1965">
        <f>IF([2]Baskol!$O$1968="","",[2]Baskol!$O$1968)</f>
        <v/>
      </c>
      <c r="AG1965">
        <f>IF([3]Entry!$C$1968="","",[3]Entry!$C$1968)</f>
        <v/>
      </c>
      <c r="AH1965">
        <f>IF([3]Entry!$D$1968="","",[3]Entry!$D$1968)</f>
        <v/>
      </c>
      <c r="AI1965">
        <f>IF([3]Entry!$E$1968="","",[3]Entry!$E$1968)</f>
        <v/>
      </c>
      <c r="AJ1965">
        <f>IF([3]Entry!$G$1968="","",[3]Entry!$G$1968)</f>
        <v/>
      </c>
      <c r="AK1965">
        <f>IF([3]Entry!$K$1968="","",[3]Entry!$K$1968)</f>
        <v/>
      </c>
      <c r="AL1965">
        <f>IF([3]Entry!$L$1968="","",[3]Entry!$L$1968)</f>
        <v/>
      </c>
      <c r="AM1965">
        <f>IF([3]Entry!$M$1968="","",[3]Entry!$M$1968)</f>
        <v/>
      </c>
      <c r="AN1965">
        <f>IF([3]Entry!$N$1968="","",[3]Entry!$N$1968)</f>
        <v/>
      </c>
      <c r="AO1965">
        <f>IF([3]Entry!$R$1968="","",[3]Entry!$R$1968)</f>
        <v/>
      </c>
    </row>
    <row r="1966">
      <c r="U1966">
        <f>IF([2]Baskol!$B$1969="","",[2]Baskol!$B$1969)</f>
        <v/>
      </c>
      <c r="V1966">
        <f>IF([2]Baskol!$C$1969="","",[2]Baskol!$C$1969)</f>
        <v/>
      </c>
      <c r="W1966">
        <f>IF([2]Baskol!$D$1969="","",[2]Baskol!$D$1969)</f>
        <v/>
      </c>
      <c r="X1966">
        <f>IF([2]Baskol!$E$1969="","",[2]Baskol!$E$1969)</f>
        <v/>
      </c>
      <c r="Y1966">
        <f>IF([2]Baskol!$G$1969="","",[2]Baskol!$G$1969)</f>
        <v/>
      </c>
      <c r="Z1966">
        <f>IF([2]Baskol!$I$1969="","",[2]Baskol!$I$1969)</f>
        <v/>
      </c>
      <c r="AA1966">
        <f>IF([2]Baskol!$J$1969="","",[2]Baskol!$J$1969)</f>
        <v/>
      </c>
      <c r="AB1966">
        <f>IF([2]Baskol!$K$1969="","",[2]Baskol!$K$1969)</f>
        <v/>
      </c>
      <c r="AC1966">
        <f>IF([2]Baskol!$L$1969="","",[2]Baskol!$L$1969)</f>
        <v/>
      </c>
      <c r="AD1966">
        <f>IF([2]Baskol!$N$1969="","",[2]Baskol!$N$1969)</f>
        <v/>
      </c>
      <c r="AE1966">
        <f>IF([2]Baskol!$O$1969="","",[2]Baskol!$O$1969)</f>
        <v/>
      </c>
      <c r="AG1966">
        <f>IF([3]Entry!$C$1969="","",[3]Entry!$C$1969)</f>
        <v/>
      </c>
      <c r="AH1966">
        <f>IF([3]Entry!$D$1969="","",[3]Entry!$D$1969)</f>
        <v/>
      </c>
      <c r="AI1966">
        <f>IF([3]Entry!$E$1969="","",[3]Entry!$E$1969)</f>
        <v/>
      </c>
      <c r="AJ1966">
        <f>IF([3]Entry!$G$1969="","",[3]Entry!$G$1969)</f>
        <v/>
      </c>
      <c r="AK1966">
        <f>IF([3]Entry!$K$1969="","",[3]Entry!$K$1969)</f>
        <v/>
      </c>
      <c r="AL1966">
        <f>IF([3]Entry!$L$1969="","",[3]Entry!$L$1969)</f>
        <v/>
      </c>
      <c r="AM1966">
        <f>IF([3]Entry!$M$1969="","",[3]Entry!$M$1969)</f>
        <v/>
      </c>
      <c r="AN1966">
        <f>IF([3]Entry!$N$1969="","",[3]Entry!$N$1969)</f>
        <v/>
      </c>
      <c r="AO1966">
        <f>IF([3]Entry!$R$1969="","",[3]Entry!$R$1969)</f>
        <v/>
      </c>
    </row>
    <row r="1967">
      <c r="U1967">
        <f>IF([2]Baskol!$B$1970="","",[2]Baskol!$B$1970)</f>
        <v/>
      </c>
      <c r="V1967">
        <f>IF([2]Baskol!$C$1970="","",[2]Baskol!$C$1970)</f>
        <v/>
      </c>
      <c r="W1967">
        <f>IF([2]Baskol!$D$1970="","",[2]Baskol!$D$1970)</f>
        <v/>
      </c>
      <c r="X1967">
        <f>IF([2]Baskol!$E$1970="","",[2]Baskol!$E$1970)</f>
        <v/>
      </c>
      <c r="Y1967">
        <f>IF([2]Baskol!$G$1970="","",[2]Baskol!$G$1970)</f>
        <v/>
      </c>
      <c r="Z1967">
        <f>IF([2]Baskol!$I$1970="","",[2]Baskol!$I$1970)</f>
        <v/>
      </c>
      <c r="AA1967">
        <f>IF([2]Baskol!$J$1970="","",[2]Baskol!$J$1970)</f>
        <v/>
      </c>
      <c r="AB1967">
        <f>IF([2]Baskol!$K$1970="","",[2]Baskol!$K$1970)</f>
        <v/>
      </c>
      <c r="AC1967">
        <f>IF([2]Baskol!$L$1970="","",[2]Baskol!$L$1970)</f>
        <v/>
      </c>
      <c r="AD1967">
        <f>IF([2]Baskol!$N$1970="","",[2]Baskol!$N$1970)</f>
        <v/>
      </c>
      <c r="AE1967">
        <f>IF([2]Baskol!$O$1970="","",[2]Baskol!$O$1970)</f>
        <v/>
      </c>
      <c r="AG1967">
        <f>IF([3]Entry!$C$1970="","",[3]Entry!$C$1970)</f>
        <v/>
      </c>
      <c r="AH1967">
        <f>IF([3]Entry!$D$1970="","",[3]Entry!$D$1970)</f>
        <v/>
      </c>
      <c r="AI1967">
        <f>IF([3]Entry!$E$1970="","",[3]Entry!$E$1970)</f>
        <v/>
      </c>
      <c r="AJ1967">
        <f>IF([3]Entry!$G$1970="","",[3]Entry!$G$1970)</f>
        <v/>
      </c>
      <c r="AK1967">
        <f>IF([3]Entry!$K$1970="","",[3]Entry!$K$1970)</f>
        <v/>
      </c>
      <c r="AL1967">
        <f>IF([3]Entry!$L$1970="","",[3]Entry!$L$1970)</f>
        <v/>
      </c>
      <c r="AM1967">
        <f>IF([3]Entry!$M$1970="","",[3]Entry!$M$1970)</f>
        <v/>
      </c>
      <c r="AN1967">
        <f>IF([3]Entry!$N$1970="","",[3]Entry!$N$1970)</f>
        <v/>
      </c>
      <c r="AO1967">
        <f>IF([3]Entry!$R$1970="","",[3]Entry!$R$1970)</f>
        <v/>
      </c>
    </row>
    <row r="1968">
      <c r="U1968">
        <f>IF([2]Baskol!$B$1971="","",[2]Baskol!$B$1971)</f>
        <v/>
      </c>
      <c r="V1968">
        <f>IF([2]Baskol!$C$1971="","",[2]Baskol!$C$1971)</f>
        <v/>
      </c>
      <c r="W1968">
        <f>IF([2]Baskol!$D$1971="","",[2]Baskol!$D$1971)</f>
        <v/>
      </c>
      <c r="X1968">
        <f>IF([2]Baskol!$E$1971="","",[2]Baskol!$E$1971)</f>
        <v/>
      </c>
      <c r="Y1968">
        <f>IF([2]Baskol!$G$1971="","",[2]Baskol!$G$1971)</f>
        <v/>
      </c>
      <c r="Z1968">
        <f>IF([2]Baskol!$I$1971="","",[2]Baskol!$I$1971)</f>
        <v/>
      </c>
      <c r="AA1968">
        <f>IF([2]Baskol!$J$1971="","",[2]Baskol!$J$1971)</f>
        <v/>
      </c>
      <c r="AB1968">
        <f>IF([2]Baskol!$K$1971="","",[2]Baskol!$K$1971)</f>
        <v/>
      </c>
      <c r="AC1968">
        <f>IF([2]Baskol!$L$1971="","",[2]Baskol!$L$1971)</f>
        <v/>
      </c>
      <c r="AD1968">
        <f>IF([2]Baskol!$N$1971="","",[2]Baskol!$N$1971)</f>
        <v/>
      </c>
      <c r="AE1968">
        <f>IF([2]Baskol!$O$1971="","",[2]Baskol!$O$1971)</f>
        <v/>
      </c>
      <c r="AG1968">
        <f>IF([3]Entry!$C$1971="","",[3]Entry!$C$1971)</f>
        <v/>
      </c>
      <c r="AH1968">
        <f>IF([3]Entry!$D$1971="","",[3]Entry!$D$1971)</f>
        <v/>
      </c>
      <c r="AI1968">
        <f>IF([3]Entry!$E$1971="","",[3]Entry!$E$1971)</f>
        <v/>
      </c>
      <c r="AJ1968">
        <f>IF([3]Entry!$G$1971="","",[3]Entry!$G$1971)</f>
        <v/>
      </c>
      <c r="AK1968">
        <f>IF([3]Entry!$K$1971="","",[3]Entry!$K$1971)</f>
        <v/>
      </c>
      <c r="AL1968">
        <f>IF([3]Entry!$L$1971="","",[3]Entry!$L$1971)</f>
        <v/>
      </c>
      <c r="AM1968">
        <f>IF([3]Entry!$M$1971="","",[3]Entry!$M$1971)</f>
        <v/>
      </c>
      <c r="AN1968">
        <f>IF([3]Entry!$N$1971="","",[3]Entry!$N$1971)</f>
        <v/>
      </c>
      <c r="AO1968">
        <f>IF([3]Entry!$R$1971="","",[3]Entry!$R$1971)</f>
        <v/>
      </c>
    </row>
    <row r="1969">
      <c r="U1969">
        <f>IF([2]Baskol!$B$1972="","",[2]Baskol!$B$1972)</f>
        <v/>
      </c>
      <c r="V1969">
        <f>IF([2]Baskol!$C$1972="","",[2]Baskol!$C$1972)</f>
        <v/>
      </c>
      <c r="W1969">
        <f>IF([2]Baskol!$D$1972="","",[2]Baskol!$D$1972)</f>
        <v/>
      </c>
      <c r="X1969">
        <f>IF([2]Baskol!$E$1972="","",[2]Baskol!$E$1972)</f>
        <v/>
      </c>
      <c r="Y1969">
        <f>IF([2]Baskol!$G$1972="","",[2]Baskol!$G$1972)</f>
        <v/>
      </c>
      <c r="Z1969">
        <f>IF([2]Baskol!$I$1972="","",[2]Baskol!$I$1972)</f>
        <v/>
      </c>
      <c r="AA1969">
        <f>IF([2]Baskol!$J$1972="","",[2]Baskol!$J$1972)</f>
        <v/>
      </c>
      <c r="AB1969">
        <f>IF([2]Baskol!$K$1972="","",[2]Baskol!$K$1972)</f>
        <v/>
      </c>
      <c r="AC1969">
        <f>IF([2]Baskol!$L$1972="","",[2]Baskol!$L$1972)</f>
        <v/>
      </c>
      <c r="AD1969">
        <f>IF([2]Baskol!$N$1972="","",[2]Baskol!$N$1972)</f>
        <v/>
      </c>
      <c r="AE1969">
        <f>IF([2]Baskol!$O$1972="","",[2]Baskol!$O$1972)</f>
        <v/>
      </c>
      <c r="AG1969">
        <f>IF([3]Entry!$C$1972="","",[3]Entry!$C$1972)</f>
        <v/>
      </c>
      <c r="AH1969">
        <f>IF([3]Entry!$D$1972="","",[3]Entry!$D$1972)</f>
        <v/>
      </c>
      <c r="AI1969">
        <f>IF([3]Entry!$E$1972="","",[3]Entry!$E$1972)</f>
        <v/>
      </c>
      <c r="AJ1969">
        <f>IF([3]Entry!$G$1972="","",[3]Entry!$G$1972)</f>
        <v/>
      </c>
      <c r="AK1969">
        <f>IF([3]Entry!$K$1972="","",[3]Entry!$K$1972)</f>
        <v/>
      </c>
      <c r="AL1969">
        <f>IF([3]Entry!$L$1972="","",[3]Entry!$L$1972)</f>
        <v/>
      </c>
      <c r="AM1969">
        <f>IF([3]Entry!$M$1972="","",[3]Entry!$M$1972)</f>
        <v/>
      </c>
      <c r="AN1969">
        <f>IF([3]Entry!$N$1972="","",[3]Entry!$N$1972)</f>
        <v/>
      </c>
      <c r="AO1969">
        <f>IF([3]Entry!$R$1972="","",[3]Entry!$R$1972)</f>
        <v/>
      </c>
    </row>
    <row r="1970">
      <c r="U1970">
        <f>IF([2]Baskol!$B$1973="","",[2]Baskol!$B$1973)</f>
        <v/>
      </c>
      <c r="V1970">
        <f>IF([2]Baskol!$C$1973="","",[2]Baskol!$C$1973)</f>
        <v/>
      </c>
      <c r="W1970">
        <f>IF([2]Baskol!$D$1973="","",[2]Baskol!$D$1973)</f>
        <v/>
      </c>
      <c r="X1970">
        <f>IF([2]Baskol!$E$1973="","",[2]Baskol!$E$1973)</f>
        <v/>
      </c>
      <c r="Y1970">
        <f>IF([2]Baskol!$G$1973="","",[2]Baskol!$G$1973)</f>
        <v/>
      </c>
      <c r="Z1970">
        <f>IF([2]Baskol!$I$1973="","",[2]Baskol!$I$1973)</f>
        <v/>
      </c>
      <c r="AA1970">
        <f>IF([2]Baskol!$J$1973="","",[2]Baskol!$J$1973)</f>
        <v/>
      </c>
      <c r="AB1970">
        <f>IF([2]Baskol!$K$1973="","",[2]Baskol!$K$1973)</f>
        <v/>
      </c>
      <c r="AC1970">
        <f>IF([2]Baskol!$L$1973="","",[2]Baskol!$L$1973)</f>
        <v/>
      </c>
      <c r="AD1970">
        <f>IF([2]Baskol!$N$1973="","",[2]Baskol!$N$1973)</f>
        <v/>
      </c>
      <c r="AE1970">
        <f>IF([2]Baskol!$O$1973="","",[2]Baskol!$O$1973)</f>
        <v/>
      </c>
      <c r="AG1970">
        <f>IF([3]Entry!$C$1973="","",[3]Entry!$C$1973)</f>
        <v/>
      </c>
      <c r="AH1970">
        <f>IF([3]Entry!$D$1973="","",[3]Entry!$D$1973)</f>
        <v/>
      </c>
      <c r="AI1970">
        <f>IF([3]Entry!$E$1973="","",[3]Entry!$E$1973)</f>
        <v/>
      </c>
      <c r="AJ1970">
        <f>IF([3]Entry!$G$1973="","",[3]Entry!$G$1973)</f>
        <v/>
      </c>
      <c r="AK1970">
        <f>IF([3]Entry!$K$1973="","",[3]Entry!$K$1973)</f>
        <v/>
      </c>
      <c r="AL1970">
        <f>IF([3]Entry!$L$1973="","",[3]Entry!$L$1973)</f>
        <v/>
      </c>
      <c r="AM1970">
        <f>IF([3]Entry!$M$1973="","",[3]Entry!$M$1973)</f>
        <v/>
      </c>
      <c r="AN1970">
        <f>IF([3]Entry!$N$1973="","",[3]Entry!$N$1973)</f>
        <v/>
      </c>
      <c r="AO1970">
        <f>IF([3]Entry!$R$1973="","",[3]Entry!$R$1973)</f>
        <v/>
      </c>
    </row>
    <row r="1971">
      <c r="U1971">
        <f>IF([2]Baskol!$B$1974="","",[2]Baskol!$B$1974)</f>
        <v/>
      </c>
      <c r="V1971">
        <f>IF([2]Baskol!$C$1974="","",[2]Baskol!$C$1974)</f>
        <v/>
      </c>
      <c r="W1971">
        <f>IF([2]Baskol!$D$1974="","",[2]Baskol!$D$1974)</f>
        <v/>
      </c>
      <c r="X1971">
        <f>IF([2]Baskol!$E$1974="","",[2]Baskol!$E$1974)</f>
        <v/>
      </c>
      <c r="Y1971">
        <f>IF([2]Baskol!$G$1974="","",[2]Baskol!$G$1974)</f>
        <v/>
      </c>
      <c r="Z1971">
        <f>IF([2]Baskol!$I$1974="","",[2]Baskol!$I$1974)</f>
        <v/>
      </c>
      <c r="AA1971">
        <f>IF([2]Baskol!$J$1974="","",[2]Baskol!$J$1974)</f>
        <v/>
      </c>
      <c r="AB1971">
        <f>IF([2]Baskol!$K$1974="","",[2]Baskol!$K$1974)</f>
        <v/>
      </c>
      <c r="AC1971">
        <f>IF([2]Baskol!$L$1974="","",[2]Baskol!$L$1974)</f>
        <v/>
      </c>
      <c r="AD1971">
        <f>IF([2]Baskol!$N$1974="","",[2]Baskol!$N$1974)</f>
        <v/>
      </c>
      <c r="AE1971">
        <f>IF([2]Baskol!$O$1974="","",[2]Baskol!$O$1974)</f>
        <v/>
      </c>
      <c r="AG1971">
        <f>IF([3]Entry!$C$1974="","",[3]Entry!$C$1974)</f>
        <v/>
      </c>
      <c r="AH1971">
        <f>IF([3]Entry!$D$1974="","",[3]Entry!$D$1974)</f>
        <v/>
      </c>
      <c r="AI1971">
        <f>IF([3]Entry!$E$1974="","",[3]Entry!$E$1974)</f>
        <v/>
      </c>
      <c r="AJ1971">
        <f>IF([3]Entry!$G$1974="","",[3]Entry!$G$1974)</f>
        <v/>
      </c>
      <c r="AK1971">
        <f>IF([3]Entry!$K$1974="","",[3]Entry!$K$1974)</f>
        <v/>
      </c>
      <c r="AL1971">
        <f>IF([3]Entry!$L$1974="","",[3]Entry!$L$1974)</f>
        <v/>
      </c>
      <c r="AM1971">
        <f>IF([3]Entry!$M$1974="","",[3]Entry!$M$1974)</f>
        <v/>
      </c>
      <c r="AN1971">
        <f>IF([3]Entry!$N$1974="","",[3]Entry!$N$1974)</f>
        <v/>
      </c>
      <c r="AO1971">
        <f>IF([3]Entry!$R$1974="","",[3]Entry!$R$1974)</f>
        <v/>
      </c>
    </row>
    <row r="1972">
      <c r="U1972">
        <f>IF([2]Baskol!$B$1975="","",[2]Baskol!$B$1975)</f>
        <v/>
      </c>
      <c r="V1972">
        <f>IF([2]Baskol!$C$1975="","",[2]Baskol!$C$1975)</f>
        <v/>
      </c>
      <c r="W1972">
        <f>IF([2]Baskol!$D$1975="","",[2]Baskol!$D$1975)</f>
        <v/>
      </c>
      <c r="X1972">
        <f>IF([2]Baskol!$E$1975="","",[2]Baskol!$E$1975)</f>
        <v/>
      </c>
      <c r="Y1972">
        <f>IF([2]Baskol!$G$1975="","",[2]Baskol!$G$1975)</f>
        <v/>
      </c>
      <c r="Z1972">
        <f>IF([2]Baskol!$I$1975="","",[2]Baskol!$I$1975)</f>
        <v/>
      </c>
      <c r="AA1972">
        <f>IF([2]Baskol!$J$1975="","",[2]Baskol!$J$1975)</f>
        <v/>
      </c>
      <c r="AB1972">
        <f>IF([2]Baskol!$K$1975="","",[2]Baskol!$K$1975)</f>
        <v/>
      </c>
      <c r="AC1972">
        <f>IF([2]Baskol!$L$1975="","",[2]Baskol!$L$1975)</f>
        <v/>
      </c>
      <c r="AD1972">
        <f>IF([2]Baskol!$N$1975="","",[2]Baskol!$N$1975)</f>
        <v/>
      </c>
      <c r="AE1972">
        <f>IF([2]Baskol!$O$1975="","",[2]Baskol!$O$1975)</f>
        <v/>
      </c>
      <c r="AG1972">
        <f>IF([3]Entry!$C$1975="","",[3]Entry!$C$1975)</f>
        <v/>
      </c>
      <c r="AH1972">
        <f>IF([3]Entry!$D$1975="","",[3]Entry!$D$1975)</f>
        <v/>
      </c>
      <c r="AI1972">
        <f>IF([3]Entry!$E$1975="","",[3]Entry!$E$1975)</f>
        <v/>
      </c>
      <c r="AJ1972">
        <f>IF([3]Entry!$G$1975="","",[3]Entry!$G$1975)</f>
        <v/>
      </c>
      <c r="AK1972">
        <f>IF([3]Entry!$K$1975="","",[3]Entry!$K$1975)</f>
        <v/>
      </c>
      <c r="AL1972">
        <f>IF([3]Entry!$L$1975="","",[3]Entry!$L$1975)</f>
        <v/>
      </c>
      <c r="AM1972">
        <f>IF([3]Entry!$M$1975="","",[3]Entry!$M$1975)</f>
        <v/>
      </c>
      <c r="AN1972">
        <f>IF([3]Entry!$N$1975="","",[3]Entry!$N$1975)</f>
        <v/>
      </c>
      <c r="AO1972">
        <f>IF([3]Entry!$R$1975="","",[3]Entry!$R$1975)</f>
        <v/>
      </c>
    </row>
    <row r="1973">
      <c r="U1973">
        <f>IF([2]Baskol!$B$1976="","",[2]Baskol!$B$1976)</f>
        <v/>
      </c>
      <c r="V1973">
        <f>IF([2]Baskol!$C$1976="","",[2]Baskol!$C$1976)</f>
        <v/>
      </c>
      <c r="W1973">
        <f>IF([2]Baskol!$D$1976="","",[2]Baskol!$D$1976)</f>
        <v/>
      </c>
      <c r="X1973">
        <f>IF([2]Baskol!$E$1976="","",[2]Baskol!$E$1976)</f>
        <v/>
      </c>
      <c r="Y1973">
        <f>IF([2]Baskol!$G$1976="","",[2]Baskol!$G$1976)</f>
        <v/>
      </c>
      <c r="Z1973">
        <f>IF([2]Baskol!$I$1976="","",[2]Baskol!$I$1976)</f>
        <v/>
      </c>
      <c r="AA1973">
        <f>IF([2]Baskol!$J$1976="","",[2]Baskol!$J$1976)</f>
        <v/>
      </c>
      <c r="AB1973">
        <f>IF([2]Baskol!$K$1976="","",[2]Baskol!$K$1976)</f>
        <v/>
      </c>
      <c r="AC1973">
        <f>IF([2]Baskol!$L$1976="","",[2]Baskol!$L$1976)</f>
        <v/>
      </c>
      <c r="AD1973">
        <f>IF([2]Baskol!$N$1976="","",[2]Baskol!$N$1976)</f>
        <v/>
      </c>
      <c r="AE1973">
        <f>IF([2]Baskol!$O$1976="","",[2]Baskol!$O$1976)</f>
        <v/>
      </c>
      <c r="AG1973">
        <f>IF([3]Entry!$C$1976="","",[3]Entry!$C$1976)</f>
        <v/>
      </c>
      <c r="AH1973">
        <f>IF([3]Entry!$D$1976="","",[3]Entry!$D$1976)</f>
        <v/>
      </c>
      <c r="AI1973">
        <f>IF([3]Entry!$E$1976="","",[3]Entry!$E$1976)</f>
        <v/>
      </c>
      <c r="AJ1973">
        <f>IF([3]Entry!$G$1976="","",[3]Entry!$G$1976)</f>
        <v/>
      </c>
      <c r="AK1973">
        <f>IF([3]Entry!$K$1976="","",[3]Entry!$K$1976)</f>
        <v/>
      </c>
      <c r="AL1973">
        <f>IF([3]Entry!$L$1976="","",[3]Entry!$L$1976)</f>
        <v/>
      </c>
      <c r="AM1973">
        <f>IF([3]Entry!$M$1976="","",[3]Entry!$M$1976)</f>
        <v/>
      </c>
      <c r="AN1973">
        <f>IF([3]Entry!$N$1976="","",[3]Entry!$N$1976)</f>
        <v/>
      </c>
      <c r="AO1973">
        <f>IF([3]Entry!$R$1976="","",[3]Entry!$R$1976)</f>
        <v/>
      </c>
    </row>
    <row r="1974">
      <c r="U1974">
        <f>IF([2]Baskol!$B$1977="","",[2]Baskol!$B$1977)</f>
        <v/>
      </c>
      <c r="V1974">
        <f>IF([2]Baskol!$C$1977="","",[2]Baskol!$C$1977)</f>
        <v/>
      </c>
      <c r="W1974">
        <f>IF([2]Baskol!$D$1977="","",[2]Baskol!$D$1977)</f>
        <v/>
      </c>
      <c r="X1974">
        <f>IF([2]Baskol!$E$1977="","",[2]Baskol!$E$1977)</f>
        <v/>
      </c>
      <c r="Y1974">
        <f>IF([2]Baskol!$G$1977="","",[2]Baskol!$G$1977)</f>
        <v/>
      </c>
      <c r="Z1974">
        <f>IF([2]Baskol!$I$1977="","",[2]Baskol!$I$1977)</f>
        <v/>
      </c>
      <c r="AA1974">
        <f>IF([2]Baskol!$J$1977="","",[2]Baskol!$J$1977)</f>
        <v/>
      </c>
      <c r="AB1974">
        <f>IF([2]Baskol!$K$1977="","",[2]Baskol!$K$1977)</f>
        <v/>
      </c>
      <c r="AC1974">
        <f>IF([2]Baskol!$L$1977="","",[2]Baskol!$L$1977)</f>
        <v/>
      </c>
      <c r="AD1974">
        <f>IF([2]Baskol!$N$1977="","",[2]Baskol!$N$1977)</f>
        <v/>
      </c>
      <c r="AE1974">
        <f>IF([2]Baskol!$O$1977="","",[2]Baskol!$O$1977)</f>
        <v/>
      </c>
      <c r="AG1974">
        <f>IF([3]Entry!$C$1977="","",[3]Entry!$C$1977)</f>
        <v/>
      </c>
      <c r="AH1974">
        <f>IF([3]Entry!$D$1977="","",[3]Entry!$D$1977)</f>
        <v/>
      </c>
      <c r="AI1974">
        <f>IF([3]Entry!$E$1977="","",[3]Entry!$E$1977)</f>
        <v/>
      </c>
      <c r="AJ1974">
        <f>IF([3]Entry!$G$1977="","",[3]Entry!$G$1977)</f>
        <v/>
      </c>
      <c r="AK1974">
        <f>IF([3]Entry!$K$1977="","",[3]Entry!$K$1977)</f>
        <v/>
      </c>
      <c r="AL1974">
        <f>IF([3]Entry!$L$1977="","",[3]Entry!$L$1977)</f>
        <v/>
      </c>
      <c r="AM1974">
        <f>IF([3]Entry!$M$1977="","",[3]Entry!$M$1977)</f>
        <v/>
      </c>
      <c r="AN1974">
        <f>IF([3]Entry!$N$1977="","",[3]Entry!$N$1977)</f>
        <v/>
      </c>
      <c r="AO1974">
        <f>IF([3]Entry!$R$1977="","",[3]Entry!$R$1977)</f>
        <v/>
      </c>
    </row>
    <row r="1975">
      <c r="U1975">
        <f>IF([2]Baskol!$B$1978="","",[2]Baskol!$B$1978)</f>
        <v/>
      </c>
      <c r="V1975">
        <f>IF([2]Baskol!$C$1978="","",[2]Baskol!$C$1978)</f>
        <v/>
      </c>
      <c r="W1975">
        <f>IF([2]Baskol!$D$1978="","",[2]Baskol!$D$1978)</f>
        <v/>
      </c>
      <c r="X1975">
        <f>IF([2]Baskol!$E$1978="","",[2]Baskol!$E$1978)</f>
        <v/>
      </c>
      <c r="Y1975">
        <f>IF([2]Baskol!$G$1978="","",[2]Baskol!$G$1978)</f>
        <v/>
      </c>
      <c r="Z1975">
        <f>IF([2]Baskol!$I$1978="","",[2]Baskol!$I$1978)</f>
        <v/>
      </c>
      <c r="AA1975">
        <f>IF([2]Baskol!$J$1978="","",[2]Baskol!$J$1978)</f>
        <v/>
      </c>
      <c r="AB1975">
        <f>IF([2]Baskol!$K$1978="","",[2]Baskol!$K$1978)</f>
        <v/>
      </c>
      <c r="AC1975">
        <f>IF([2]Baskol!$L$1978="","",[2]Baskol!$L$1978)</f>
        <v/>
      </c>
      <c r="AD1975">
        <f>IF([2]Baskol!$N$1978="","",[2]Baskol!$N$1978)</f>
        <v/>
      </c>
      <c r="AE1975">
        <f>IF([2]Baskol!$O$1978="","",[2]Baskol!$O$1978)</f>
        <v/>
      </c>
      <c r="AG1975">
        <f>IF([3]Entry!$C$1978="","",[3]Entry!$C$1978)</f>
        <v/>
      </c>
      <c r="AH1975">
        <f>IF([3]Entry!$D$1978="","",[3]Entry!$D$1978)</f>
        <v/>
      </c>
      <c r="AI1975">
        <f>IF([3]Entry!$E$1978="","",[3]Entry!$E$1978)</f>
        <v/>
      </c>
      <c r="AJ1975">
        <f>IF([3]Entry!$G$1978="","",[3]Entry!$G$1978)</f>
        <v/>
      </c>
      <c r="AK1975">
        <f>IF([3]Entry!$K$1978="","",[3]Entry!$K$1978)</f>
        <v/>
      </c>
      <c r="AL1975">
        <f>IF([3]Entry!$L$1978="","",[3]Entry!$L$1978)</f>
        <v/>
      </c>
      <c r="AM1975">
        <f>IF([3]Entry!$M$1978="","",[3]Entry!$M$1978)</f>
        <v/>
      </c>
      <c r="AN1975">
        <f>IF([3]Entry!$N$1978="","",[3]Entry!$N$1978)</f>
        <v/>
      </c>
      <c r="AO1975">
        <f>IF([3]Entry!$R$1978="","",[3]Entry!$R$1978)</f>
        <v/>
      </c>
    </row>
    <row r="1976">
      <c r="U1976">
        <f>IF([2]Baskol!$B$1979="","",[2]Baskol!$B$1979)</f>
        <v/>
      </c>
      <c r="V1976">
        <f>IF([2]Baskol!$C$1979="","",[2]Baskol!$C$1979)</f>
        <v/>
      </c>
      <c r="W1976">
        <f>IF([2]Baskol!$D$1979="","",[2]Baskol!$D$1979)</f>
        <v/>
      </c>
      <c r="X1976">
        <f>IF([2]Baskol!$E$1979="","",[2]Baskol!$E$1979)</f>
        <v/>
      </c>
      <c r="Y1976">
        <f>IF([2]Baskol!$G$1979="","",[2]Baskol!$G$1979)</f>
        <v/>
      </c>
      <c r="Z1976">
        <f>IF([2]Baskol!$I$1979="","",[2]Baskol!$I$1979)</f>
        <v/>
      </c>
      <c r="AA1976">
        <f>IF([2]Baskol!$J$1979="","",[2]Baskol!$J$1979)</f>
        <v/>
      </c>
      <c r="AB1976">
        <f>IF([2]Baskol!$K$1979="","",[2]Baskol!$K$1979)</f>
        <v/>
      </c>
      <c r="AC1976">
        <f>IF([2]Baskol!$L$1979="","",[2]Baskol!$L$1979)</f>
        <v/>
      </c>
      <c r="AD1976">
        <f>IF([2]Baskol!$N$1979="","",[2]Baskol!$N$1979)</f>
        <v/>
      </c>
      <c r="AE1976">
        <f>IF([2]Baskol!$O$1979="","",[2]Baskol!$O$1979)</f>
        <v/>
      </c>
      <c r="AG1976">
        <f>IF([3]Entry!$C$1979="","",[3]Entry!$C$1979)</f>
        <v/>
      </c>
      <c r="AH1976">
        <f>IF([3]Entry!$D$1979="","",[3]Entry!$D$1979)</f>
        <v/>
      </c>
      <c r="AI1976">
        <f>IF([3]Entry!$E$1979="","",[3]Entry!$E$1979)</f>
        <v/>
      </c>
      <c r="AJ1976">
        <f>IF([3]Entry!$G$1979="","",[3]Entry!$G$1979)</f>
        <v/>
      </c>
      <c r="AK1976">
        <f>IF([3]Entry!$K$1979="","",[3]Entry!$K$1979)</f>
        <v/>
      </c>
      <c r="AL1976">
        <f>IF([3]Entry!$L$1979="","",[3]Entry!$L$1979)</f>
        <v/>
      </c>
      <c r="AM1976">
        <f>IF([3]Entry!$M$1979="","",[3]Entry!$M$1979)</f>
        <v/>
      </c>
      <c r="AN1976">
        <f>IF([3]Entry!$N$1979="","",[3]Entry!$N$1979)</f>
        <v/>
      </c>
      <c r="AO1976">
        <f>IF([3]Entry!$R$1979="","",[3]Entry!$R$1979)</f>
        <v/>
      </c>
    </row>
    <row r="1977">
      <c r="U1977">
        <f>IF([2]Baskol!$B$1980="","",[2]Baskol!$B$1980)</f>
        <v/>
      </c>
      <c r="V1977">
        <f>IF([2]Baskol!$C$1980="","",[2]Baskol!$C$1980)</f>
        <v/>
      </c>
      <c r="W1977">
        <f>IF([2]Baskol!$D$1980="","",[2]Baskol!$D$1980)</f>
        <v/>
      </c>
      <c r="X1977">
        <f>IF([2]Baskol!$E$1980="","",[2]Baskol!$E$1980)</f>
        <v/>
      </c>
      <c r="Y1977">
        <f>IF([2]Baskol!$G$1980="","",[2]Baskol!$G$1980)</f>
        <v/>
      </c>
      <c r="Z1977">
        <f>IF([2]Baskol!$I$1980="","",[2]Baskol!$I$1980)</f>
        <v/>
      </c>
      <c r="AA1977">
        <f>IF([2]Baskol!$J$1980="","",[2]Baskol!$J$1980)</f>
        <v/>
      </c>
      <c r="AB1977">
        <f>IF([2]Baskol!$K$1980="","",[2]Baskol!$K$1980)</f>
        <v/>
      </c>
      <c r="AC1977">
        <f>IF([2]Baskol!$L$1980="","",[2]Baskol!$L$1980)</f>
        <v/>
      </c>
      <c r="AD1977">
        <f>IF([2]Baskol!$N$1980="","",[2]Baskol!$N$1980)</f>
        <v/>
      </c>
      <c r="AE1977">
        <f>IF([2]Baskol!$O$1980="","",[2]Baskol!$O$1980)</f>
        <v/>
      </c>
      <c r="AG1977">
        <f>IF([3]Entry!$C$1980="","",[3]Entry!$C$1980)</f>
        <v/>
      </c>
      <c r="AH1977">
        <f>IF([3]Entry!$D$1980="","",[3]Entry!$D$1980)</f>
        <v/>
      </c>
      <c r="AI1977">
        <f>IF([3]Entry!$E$1980="","",[3]Entry!$E$1980)</f>
        <v/>
      </c>
      <c r="AJ1977">
        <f>IF([3]Entry!$G$1980="","",[3]Entry!$G$1980)</f>
        <v/>
      </c>
      <c r="AK1977">
        <f>IF([3]Entry!$K$1980="","",[3]Entry!$K$1980)</f>
        <v/>
      </c>
      <c r="AL1977">
        <f>IF([3]Entry!$L$1980="","",[3]Entry!$L$1980)</f>
        <v/>
      </c>
      <c r="AM1977">
        <f>IF([3]Entry!$M$1980="","",[3]Entry!$M$1980)</f>
        <v/>
      </c>
      <c r="AN1977">
        <f>IF([3]Entry!$N$1980="","",[3]Entry!$N$1980)</f>
        <v/>
      </c>
      <c r="AO1977">
        <f>IF([3]Entry!$R$1980="","",[3]Entry!$R$1980)</f>
        <v/>
      </c>
    </row>
    <row r="1978">
      <c r="U1978">
        <f>IF([2]Baskol!$B$1981="","",[2]Baskol!$B$1981)</f>
        <v/>
      </c>
      <c r="V1978">
        <f>IF([2]Baskol!$C$1981="","",[2]Baskol!$C$1981)</f>
        <v/>
      </c>
      <c r="W1978">
        <f>IF([2]Baskol!$D$1981="","",[2]Baskol!$D$1981)</f>
        <v/>
      </c>
      <c r="X1978">
        <f>IF([2]Baskol!$E$1981="","",[2]Baskol!$E$1981)</f>
        <v/>
      </c>
      <c r="Y1978">
        <f>IF([2]Baskol!$G$1981="","",[2]Baskol!$G$1981)</f>
        <v/>
      </c>
      <c r="Z1978">
        <f>IF([2]Baskol!$I$1981="","",[2]Baskol!$I$1981)</f>
        <v/>
      </c>
      <c r="AA1978">
        <f>IF([2]Baskol!$J$1981="","",[2]Baskol!$J$1981)</f>
        <v/>
      </c>
      <c r="AB1978">
        <f>IF([2]Baskol!$K$1981="","",[2]Baskol!$K$1981)</f>
        <v/>
      </c>
      <c r="AC1978">
        <f>IF([2]Baskol!$L$1981="","",[2]Baskol!$L$1981)</f>
        <v/>
      </c>
      <c r="AD1978">
        <f>IF([2]Baskol!$N$1981="","",[2]Baskol!$N$1981)</f>
        <v/>
      </c>
      <c r="AE1978">
        <f>IF([2]Baskol!$O$1981="","",[2]Baskol!$O$1981)</f>
        <v/>
      </c>
      <c r="AG1978">
        <f>IF([3]Entry!$C$1981="","",[3]Entry!$C$1981)</f>
        <v/>
      </c>
      <c r="AH1978">
        <f>IF([3]Entry!$D$1981="","",[3]Entry!$D$1981)</f>
        <v/>
      </c>
      <c r="AI1978">
        <f>IF([3]Entry!$E$1981="","",[3]Entry!$E$1981)</f>
        <v/>
      </c>
      <c r="AJ1978">
        <f>IF([3]Entry!$G$1981="","",[3]Entry!$G$1981)</f>
        <v/>
      </c>
      <c r="AK1978">
        <f>IF([3]Entry!$K$1981="","",[3]Entry!$K$1981)</f>
        <v/>
      </c>
      <c r="AL1978">
        <f>IF([3]Entry!$L$1981="","",[3]Entry!$L$1981)</f>
        <v/>
      </c>
      <c r="AM1978">
        <f>IF([3]Entry!$M$1981="","",[3]Entry!$M$1981)</f>
        <v/>
      </c>
      <c r="AN1978">
        <f>IF([3]Entry!$N$1981="","",[3]Entry!$N$1981)</f>
        <v/>
      </c>
      <c r="AO1978">
        <f>IF([3]Entry!$R$1981="","",[3]Entry!$R$1981)</f>
        <v/>
      </c>
    </row>
    <row r="1979">
      <c r="U1979">
        <f>IF([2]Baskol!$B$1982="","",[2]Baskol!$B$1982)</f>
        <v/>
      </c>
      <c r="V1979">
        <f>IF([2]Baskol!$C$1982="","",[2]Baskol!$C$1982)</f>
        <v/>
      </c>
      <c r="W1979">
        <f>IF([2]Baskol!$D$1982="","",[2]Baskol!$D$1982)</f>
        <v/>
      </c>
      <c r="X1979">
        <f>IF([2]Baskol!$E$1982="","",[2]Baskol!$E$1982)</f>
        <v/>
      </c>
      <c r="Y1979">
        <f>IF([2]Baskol!$G$1982="","",[2]Baskol!$G$1982)</f>
        <v/>
      </c>
      <c r="Z1979">
        <f>IF([2]Baskol!$I$1982="","",[2]Baskol!$I$1982)</f>
        <v/>
      </c>
      <c r="AA1979">
        <f>IF([2]Baskol!$J$1982="","",[2]Baskol!$J$1982)</f>
        <v/>
      </c>
      <c r="AB1979">
        <f>IF([2]Baskol!$K$1982="","",[2]Baskol!$K$1982)</f>
        <v/>
      </c>
      <c r="AC1979">
        <f>IF([2]Baskol!$L$1982="","",[2]Baskol!$L$1982)</f>
        <v/>
      </c>
      <c r="AD1979">
        <f>IF([2]Baskol!$N$1982="","",[2]Baskol!$N$1982)</f>
        <v/>
      </c>
      <c r="AE1979">
        <f>IF([2]Baskol!$O$1982="","",[2]Baskol!$O$1982)</f>
        <v/>
      </c>
      <c r="AG1979">
        <f>IF([3]Entry!$C$1982="","",[3]Entry!$C$1982)</f>
        <v/>
      </c>
      <c r="AH1979">
        <f>IF([3]Entry!$D$1982="","",[3]Entry!$D$1982)</f>
        <v/>
      </c>
      <c r="AI1979">
        <f>IF([3]Entry!$E$1982="","",[3]Entry!$E$1982)</f>
        <v/>
      </c>
      <c r="AJ1979">
        <f>IF([3]Entry!$G$1982="","",[3]Entry!$G$1982)</f>
        <v/>
      </c>
      <c r="AK1979">
        <f>IF([3]Entry!$K$1982="","",[3]Entry!$K$1982)</f>
        <v/>
      </c>
      <c r="AL1979">
        <f>IF([3]Entry!$L$1982="","",[3]Entry!$L$1982)</f>
        <v/>
      </c>
      <c r="AM1979">
        <f>IF([3]Entry!$M$1982="","",[3]Entry!$M$1982)</f>
        <v/>
      </c>
      <c r="AN1979">
        <f>IF([3]Entry!$N$1982="","",[3]Entry!$N$1982)</f>
        <v/>
      </c>
      <c r="AO1979">
        <f>IF([3]Entry!$R$1982="","",[3]Entry!$R$1982)</f>
        <v/>
      </c>
    </row>
    <row r="1980">
      <c r="U1980">
        <f>IF([2]Baskol!$B$1983="","",[2]Baskol!$B$1983)</f>
        <v/>
      </c>
      <c r="V1980">
        <f>IF([2]Baskol!$C$1983="","",[2]Baskol!$C$1983)</f>
        <v/>
      </c>
      <c r="W1980">
        <f>IF([2]Baskol!$D$1983="","",[2]Baskol!$D$1983)</f>
        <v/>
      </c>
      <c r="X1980">
        <f>IF([2]Baskol!$E$1983="","",[2]Baskol!$E$1983)</f>
        <v/>
      </c>
      <c r="Y1980">
        <f>IF([2]Baskol!$G$1983="","",[2]Baskol!$G$1983)</f>
        <v/>
      </c>
      <c r="Z1980">
        <f>IF([2]Baskol!$I$1983="","",[2]Baskol!$I$1983)</f>
        <v/>
      </c>
      <c r="AA1980">
        <f>IF([2]Baskol!$J$1983="","",[2]Baskol!$J$1983)</f>
        <v/>
      </c>
      <c r="AB1980">
        <f>IF([2]Baskol!$K$1983="","",[2]Baskol!$K$1983)</f>
        <v/>
      </c>
      <c r="AC1980">
        <f>IF([2]Baskol!$L$1983="","",[2]Baskol!$L$1983)</f>
        <v/>
      </c>
      <c r="AD1980">
        <f>IF([2]Baskol!$N$1983="","",[2]Baskol!$N$1983)</f>
        <v/>
      </c>
      <c r="AE1980">
        <f>IF([2]Baskol!$O$1983="","",[2]Baskol!$O$1983)</f>
        <v/>
      </c>
      <c r="AG1980">
        <f>IF([3]Entry!$C$1983="","",[3]Entry!$C$1983)</f>
        <v/>
      </c>
      <c r="AH1980">
        <f>IF([3]Entry!$D$1983="","",[3]Entry!$D$1983)</f>
        <v/>
      </c>
      <c r="AI1980">
        <f>IF([3]Entry!$E$1983="","",[3]Entry!$E$1983)</f>
        <v/>
      </c>
      <c r="AJ1980">
        <f>IF([3]Entry!$G$1983="","",[3]Entry!$G$1983)</f>
        <v/>
      </c>
      <c r="AK1980">
        <f>IF([3]Entry!$K$1983="","",[3]Entry!$K$1983)</f>
        <v/>
      </c>
      <c r="AL1980">
        <f>IF([3]Entry!$L$1983="","",[3]Entry!$L$1983)</f>
        <v/>
      </c>
      <c r="AM1980">
        <f>IF([3]Entry!$M$1983="","",[3]Entry!$M$1983)</f>
        <v/>
      </c>
      <c r="AN1980">
        <f>IF([3]Entry!$N$1983="","",[3]Entry!$N$1983)</f>
        <v/>
      </c>
      <c r="AO1980">
        <f>IF([3]Entry!$R$1983="","",[3]Entry!$R$1983)</f>
        <v/>
      </c>
    </row>
    <row r="1981">
      <c r="U1981">
        <f>IF([2]Baskol!$B$1984="","",[2]Baskol!$B$1984)</f>
        <v/>
      </c>
      <c r="V1981">
        <f>IF([2]Baskol!$C$1984="","",[2]Baskol!$C$1984)</f>
        <v/>
      </c>
      <c r="W1981">
        <f>IF([2]Baskol!$D$1984="","",[2]Baskol!$D$1984)</f>
        <v/>
      </c>
      <c r="X1981">
        <f>IF([2]Baskol!$E$1984="","",[2]Baskol!$E$1984)</f>
        <v/>
      </c>
      <c r="Y1981">
        <f>IF([2]Baskol!$G$1984="","",[2]Baskol!$G$1984)</f>
        <v/>
      </c>
      <c r="Z1981">
        <f>IF([2]Baskol!$I$1984="","",[2]Baskol!$I$1984)</f>
        <v/>
      </c>
      <c r="AA1981">
        <f>IF([2]Baskol!$J$1984="","",[2]Baskol!$J$1984)</f>
        <v/>
      </c>
      <c r="AB1981">
        <f>IF([2]Baskol!$K$1984="","",[2]Baskol!$K$1984)</f>
        <v/>
      </c>
      <c r="AC1981">
        <f>IF([2]Baskol!$L$1984="","",[2]Baskol!$L$1984)</f>
        <v/>
      </c>
      <c r="AD1981">
        <f>IF([2]Baskol!$N$1984="","",[2]Baskol!$N$1984)</f>
        <v/>
      </c>
      <c r="AE1981">
        <f>IF([2]Baskol!$O$1984="","",[2]Baskol!$O$1984)</f>
        <v/>
      </c>
      <c r="AG1981">
        <f>IF([3]Entry!$C$1984="","",[3]Entry!$C$1984)</f>
        <v/>
      </c>
      <c r="AH1981">
        <f>IF([3]Entry!$D$1984="","",[3]Entry!$D$1984)</f>
        <v/>
      </c>
      <c r="AI1981">
        <f>IF([3]Entry!$E$1984="","",[3]Entry!$E$1984)</f>
        <v/>
      </c>
      <c r="AJ1981">
        <f>IF([3]Entry!$G$1984="","",[3]Entry!$G$1984)</f>
        <v/>
      </c>
      <c r="AK1981">
        <f>IF([3]Entry!$K$1984="","",[3]Entry!$K$1984)</f>
        <v/>
      </c>
      <c r="AL1981">
        <f>IF([3]Entry!$L$1984="","",[3]Entry!$L$1984)</f>
        <v/>
      </c>
      <c r="AM1981">
        <f>IF([3]Entry!$M$1984="","",[3]Entry!$M$1984)</f>
        <v/>
      </c>
      <c r="AN1981">
        <f>IF([3]Entry!$N$1984="","",[3]Entry!$N$1984)</f>
        <v/>
      </c>
      <c r="AO1981">
        <f>IF([3]Entry!$R$1984="","",[3]Entry!$R$1984)</f>
        <v/>
      </c>
    </row>
    <row r="1982">
      <c r="U1982">
        <f>IF([2]Baskol!$B$1985="","",[2]Baskol!$B$1985)</f>
        <v/>
      </c>
      <c r="V1982">
        <f>IF([2]Baskol!$C$1985="","",[2]Baskol!$C$1985)</f>
        <v/>
      </c>
      <c r="W1982">
        <f>IF([2]Baskol!$D$1985="","",[2]Baskol!$D$1985)</f>
        <v/>
      </c>
      <c r="X1982">
        <f>IF([2]Baskol!$E$1985="","",[2]Baskol!$E$1985)</f>
        <v/>
      </c>
      <c r="Y1982">
        <f>IF([2]Baskol!$G$1985="","",[2]Baskol!$G$1985)</f>
        <v/>
      </c>
      <c r="Z1982">
        <f>IF([2]Baskol!$I$1985="","",[2]Baskol!$I$1985)</f>
        <v/>
      </c>
      <c r="AA1982">
        <f>IF([2]Baskol!$J$1985="","",[2]Baskol!$J$1985)</f>
        <v/>
      </c>
      <c r="AB1982">
        <f>IF([2]Baskol!$K$1985="","",[2]Baskol!$K$1985)</f>
        <v/>
      </c>
      <c r="AC1982">
        <f>IF([2]Baskol!$L$1985="","",[2]Baskol!$L$1985)</f>
        <v/>
      </c>
      <c r="AD1982">
        <f>IF([2]Baskol!$N$1985="","",[2]Baskol!$N$1985)</f>
        <v/>
      </c>
      <c r="AE1982">
        <f>IF([2]Baskol!$O$1985="","",[2]Baskol!$O$1985)</f>
        <v/>
      </c>
      <c r="AG1982">
        <f>IF([3]Entry!$C$1985="","",[3]Entry!$C$1985)</f>
        <v/>
      </c>
      <c r="AH1982">
        <f>IF([3]Entry!$D$1985="","",[3]Entry!$D$1985)</f>
        <v/>
      </c>
      <c r="AI1982">
        <f>IF([3]Entry!$E$1985="","",[3]Entry!$E$1985)</f>
        <v/>
      </c>
      <c r="AJ1982">
        <f>IF([3]Entry!$G$1985="","",[3]Entry!$G$1985)</f>
        <v/>
      </c>
      <c r="AK1982">
        <f>IF([3]Entry!$K$1985="","",[3]Entry!$K$1985)</f>
        <v/>
      </c>
      <c r="AL1982">
        <f>IF([3]Entry!$L$1985="","",[3]Entry!$L$1985)</f>
        <v/>
      </c>
      <c r="AM1982">
        <f>IF([3]Entry!$M$1985="","",[3]Entry!$M$1985)</f>
        <v/>
      </c>
      <c r="AN1982">
        <f>IF([3]Entry!$N$1985="","",[3]Entry!$N$1985)</f>
        <v/>
      </c>
      <c r="AO1982">
        <f>IF([3]Entry!$R$1985="","",[3]Entry!$R$1985)</f>
        <v/>
      </c>
    </row>
    <row r="1983">
      <c r="U1983">
        <f>IF([2]Baskol!$B$1986="","",[2]Baskol!$B$1986)</f>
        <v/>
      </c>
      <c r="V1983">
        <f>IF([2]Baskol!$C$1986="","",[2]Baskol!$C$1986)</f>
        <v/>
      </c>
      <c r="W1983">
        <f>IF([2]Baskol!$D$1986="","",[2]Baskol!$D$1986)</f>
        <v/>
      </c>
      <c r="X1983">
        <f>IF([2]Baskol!$E$1986="","",[2]Baskol!$E$1986)</f>
        <v/>
      </c>
      <c r="Y1983">
        <f>IF([2]Baskol!$G$1986="","",[2]Baskol!$G$1986)</f>
        <v/>
      </c>
      <c r="Z1983">
        <f>IF([2]Baskol!$I$1986="","",[2]Baskol!$I$1986)</f>
        <v/>
      </c>
      <c r="AA1983">
        <f>IF([2]Baskol!$J$1986="","",[2]Baskol!$J$1986)</f>
        <v/>
      </c>
      <c r="AB1983">
        <f>IF([2]Baskol!$K$1986="","",[2]Baskol!$K$1986)</f>
        <v/>
      </c>
      <c r="AC1983">
        <f>IF([2]Baskol!$L$1986="","",[2]Baskol!$L$1986)</f>
        <v/>
      </c>
      <c r="AD1983">
        <f>IF([2]Baskol!$N$1986="","",[2]Baskol!$N$1986)</f>
        <v/>
      </c>
      <c r="AE1983">
        <f>IF([2]Baskol!$O$1986="","",[2]Baskol!$O$1986)</f>
        <v/>
      </c>
      <c r="AG1983">
        <f>IF([3]Entry!$C$1986="","",[3]Entry!$C$1986)</f>
        <v/>
      </c>
      <c r="AH1983">
        <f>IF([3]Entry!$D$1986="","",[3]Entry!$D$1986)</f>
        <v/>
      </c>
      <c r="AI1983">
        <f>IF([3]Entry!$E$1986="","",[3]Entry!$E$1986)</f>
        <v/>
      </c>
      <c r="AJ1983">
        <f>IF([3]Entry!$G$1986="","",[3]Entry!$G$1986)</f>
        <v/>
      </c>
      <c r="AK1983">
        <f>IF([3]Entry!$K$1986="","",[3]Entry!$K$1986)</f>
        <v/>
      </c>
      <c r="AL1983">
        <f>IF([3]Entry!$L$1986="","",[3]Entry!$L$1986)</f>
        <v/>
      </c>
      <c r="AM1983">
        <f>IF([3]Entry!$M$1986="","",[3]Entry!$M$1986)</f>
        <v/>
      </c>
      <c r="AN1983">
        <f>IF([3]Entry!$N$1986="","",[3]Entry!$N$1986)</f>
        <v/>
      </c>
      <c r="AO1983">
        <f>IF([3]Entry!$R$1986="","",[3]Entry!$R$1986)</f>
        <v/>
      </c>
    </row>
    <row r="1984">
      <c r="U1984">
        <f>IF([2]Baskol!$B$1987="","",[2]Baskol!$B$1987)</f>
        <v/>
      </c>
      <c r="V1984">
        <f>IF([2]Baskol!$C$1987="","",[2]Baskol!$C$1987)</f>
        <v/>
      </c>
      <c r="W1984">
        <f>IF([2]Baskol!$D$1987="","",[2]Baskol!$D$1987)</f>
        <v/>
      </c>
      <c r="X1984">
        <f>IF([2]Baskol!$E$1987="","",[2]Baskol!$E$1987)</f>
        <v/>
      </c>
      <c r="Y1984">
        <f>IF([2]Baskol!$G$1987="","",[2]Baskol!$G$1987)</f>
        <v/>
      </c>
      <c r="Z1984">
        <f>IF([2]Baskol!$I$1987="","",[2]Baskol!$I$1987)</f>
        <v/>
      </c>
      <c r="AA1984">
        <f>IF([2]Baskol!$J$1987="","",[2]Baskol!$J$1987)</f>
        <v/>
      </c>
      <c r="AB1984">
        <f>IF([2]Baskol!$K$1987="","",[2]Baskol!$K$1987)</f>
        <v/>
      </c>
      <c r="AC1984">
        <f>IF([2]Baskol!$L$1987="","",[2]Baskol!$L$1987)</f>
        <v/>
      </c>
      <c r="AD1984">
        <f>IF([2]Baskol!$N$1987="","",[2]Baskol!$N$1987)</f>
        <v/>
      </c>
      <c r="AE1984">
        <f>IF([2]Baskol!$O$1987="","",[2]Baskol!$O$1987)</f>
        <v/>
      </c>
      <c r="AG1984">
        <f>IF([3]Entry!$C$1987="","",[3]Entry!$C$1987)</f>
        <v/>
      </c>
      <c r="AH1984">
        <f>IF([3]Entry!$D$1987="","",[3]Entry!$D$1987)</f>
        <v/>
      </c>
      <c r="AI1984">
        <f>IF([3]Entry!$E$1987="","",[3]Entry!$E$1987)</f>
        <v/>
      </c>
      <c r="AJ1984">
        <f>IF([3]Entry!$G$1987="","",[3]Entry!$G$1987)</f>
        <v/>
      </c>
      <c r="AK1984">
        <f>IF([3]Entry!$K$1987="","",[3]Entry!$K$1987)</f>
        <v/>
      </c>
      <c r="AL1984">
        <f>IF([3]Entry!$L$1987="","",[3]Entry!$L$1987)</f>
        <v/>
      </c>
      <c r="AM1984">
        <f>IF([3]Entry!$M$1987="","",[3]Entry!$M$1987)</f>
        <v/>
      </c>
      <c r="AN1984">
        <f>IF([3]Entry!$N$1987="","",[3]Entry!$N$1987)</f>
        <v/>
      </c>
      <c r="AO1984">
        <f>IF([3]Entry!$R$1987="","",[3]Entry!$R$1987)</f>
        <v/>
      </c>
    </row>
    <row r="1985">
      <c r="U1985">
        <f>IF([2]Baskol!$B$1988="","",[2]Baskol!$B$1988)</f>
        <v/>
      </c>
      <c r="V1985">
        <f>IF([2]Baskol!$C$1988="","",[2]Baskol!$C$1988)</f>
        <v/>
      </c>
      <c r="W1985">
        <f>IF([2]Baskol!$D$1988="","",[2]Baskol!$D$1988)</f>
        <v/>
      </c>
      <c r="X1985">
        <f>IF([2]Baskol!$E$1988="","",[2]Baskol!$E$1988)</f>
        <v/>
      </c>
      <c r="Y1985">
        <f>IF([2]Baskol!$G$1988="","",[2]Baskol!$G$1988)</f>
        <v/>
      </c>
      <c r="Z1985">
        <f>IF([2]Baskol!$I$1988="","",[2]Baskol!$I$1988)</f>
        <v/>
      </c>
      <c r="AA1985">
        <f>IF([2]Baskol!$J$1988="","",[2]Baskol!$J$1988)</f>
        <v/>
      </c>
      <c r="AB1985">
        <f>IF([2]Baskol!$K$1988="","",[2]Baskol!$K$1988)</f>
        <v/>
      </c>
      <c r="AC1985">
        <f>IF([2]Baskol!$L$1988="","",[2]Baskol!$L$1988)</f>
        <v/>
      </c>
      <c r="AD1985">
        <f>IF([2]Baskol!$N$1988="","",[2]Baskol!$N$1988)</f>
        <v/>
      </c>
      <c r="AE1985">
        <f>IF([2]Baskol!$O$1988="","",[2]Baskol!$O$1988)</f>
        <v/>
      </c>
      <c r="AG1985">
        <f>IF([3]Entry!$C$1988="","",[3]Entry!$C$1988)</f>
        <v/>
      </c>
      <c r="AH1985">
        <f>IF([3]Entry!$D$1988="","",[3]Entry!$D$1988)</f>
        <v/>
      </c>
      <c r="AI1985">
        <f>IF([3]Entry!$E$1988="","",[3]Entry!$E$1988)</f>
        <v/>
      </c>
      <c r="AJ1985">
        <f>IF([3]Entry!$G$1988="","",[3]Entry!$G$1988)</f>
        <v/>
      </c>
      <c r="AK1985">
        <f>IF([3]Entry!$K$1988="","",[3]Entry!$K$1988)</f>
        <v/>
      </c>
      <c r="AL1985">
        <f>IF([3]Entry!$L$1988="","",[3]Entry!$L$1988)</f>
        <v/>
      </c>
      <c r="AM1985">
        <f>IF([3]Entry!$M$1988="","",[3]Entry!$M$1988)</f>
        <v/>
      </c>
      <c r="AN1985">
        <f>IF([3]Entry!$N$1988="","",[3]Entry!$N$1988)</f>
        <v/>
      </c>
      <c r="AO1985">
        <f>IF([3]Entry!$R$1988="","",[3]Entry!$R$1988)</f>
        <v/>
      </c>
    </row>
    <row r="1986">
      <c r="U1986">
        <f>IF([2]Baskol!$B$1989="","",[2]Baskol!$B$1989)</f>
        <v/>
      </c>
      <c r="V1986">
        <f>IF([2]Baskol!$C$1989="","",[2]Baskol!$C$1989)</f>
        <v/>
      </c>
      <c r="W1986">
        <f>IF([2]Baskol!$D$1989="","",[2]Baskol!$D$1989)</f>
        <v/>
      </c>
      <c r="X1986">
        <f>IF([2]Baskol!$E$1989="","",[2]Baskol!$E$1989)</f>
        <v/>
      </c>
      <c r="Y1986">
        <f>IF([2]Baskol!$G$1989="","",[2]Baskol!$G$1989)</f>
        <v/>
      </c>
      <c r="Z1986">
        <f>IF([2]Baskol!$I$1989="","",[2]Baskol!$I$1989)</f>
        <v/>
      </c>
      <c r="AA1986">
        <f>IF([2]Baskol!$J$1989="","",[2]Baskol!$J$1989)</f>
        <v/>
      </c>
      <c r="AB1986">
        <f>IF([2]Baskol!$K$1989="","",[2]Baskol!$K$1989)</f>
        <v/>
      </c>
      <c r="AC1986">
        <f>IF([2]Baskol!$L$1989="","",[2]Baskol!$L$1989)</f>
        <v/>
      </c>
      <c r="AD1986">
        <f>IF([2]Baskol!$N$1989="","",[2]Baskol!$N$1989)</f>
        <v/>
      </c>
      <c r="AE1986">
        <f>IF([2]Baskol!$O$1989="","",[2]Baskol!$O$1989)</f>
        <v/>
      </c>
      <c r="AG1986">
        <f>IF([3]Entry!$C$1989="","",[3]Entry!$C$1989)</f>
        <v/>
      </c>
      <c r="AH1986">
        <f>IF([3]Entry!$D$1989="","",[3]Entry!$D$1989)</f>
        <v/>
      </c>
      <c r="AI1986">
        <f>IF([3]Entry!$E$1989="","",[3]Entry!$E$1989)</f>
        <v/>
      </c>
      <c r="AJ1986">
        <f>IF([3]Entry!$G$1989="","",[3]Entry!$G$1989)</f>
        <v/>
      </c>
      <c r="AK1986">
        <f>IF([3]Entry!$K$1989="","",[3]Entry!$K$1989)</f>
        <v/>
      </c>
      <c r="AL1986">
        <f>IF([3]Entry!$L$1989="","",[3]Entry!$L$1989)</f>
        <v/>
      </c>
      <c r="AM1986">
        <f>IF([3]Entry!$M$1989="","",[3]Entry!$M$1989)</f>
        <v/>
      </c>
      <c r="AN1986">
        <f>IF([3]Entry!$N$1989="","",[3]Entry!$N$1989)</f>
        <v/>
      </c>
      <c r="AO1986">
        <f>IF([3]Entry!$R$1989="","",[3]Entry!$R$1989)</f>
        <v/>
      </c>
    </row>
    <row r="1987">
      <c r="U1987">
        <f>IF([2]Baskol!$B$1990="","",[2]Baskol!$B$1990)</f>
        <v/>
      </c>
      <c r="V1987">
        <f>IF([2]Baskol!$C$1990="","",[2]Baskol!$C$1990)</f>
        <v/>
      </c>
      <c r="W1987">
        <f>IF([2]Baskol!$D$1990="","",[2]Baskol!$D$1990)</f>
        <v/>
      </c>
      <c r="X1987">
        <f>IF([2]Baskol!$E$1990="","",[2]Baskol!$E$1990)</f>
        <v/>
      </c>
      <c r="Y1987">
        <f>IF([2]Baskol!$G$1990="","",[2]Baskol!$G$1990)</f>
        <v/>
      </c>
      <c r="Z1987">
        <f>IF([2]Baskol!$I$1990="","",[2]Baskol!$I$1990)</f>
        <v/>
      </c>
      <c r="AA1987">
        <f>IF([2]Baskol!$J$1990="","",[2]Baskol!$J$1990)</f>
        <v/>
      </c>
      <c r="AB1987">
        <f>IF([2]Baskol!$K$1990="","",[2]Baskol!$K$1990)</f>
        <v/>
      </c>
      <c r="AC1987">
        <f>IF([2]Baskol!$L$1990="","",[2]Baskol!$L$1990)</f>
        <v/>
      </c>
      <c r="AD1987">
        <f>IF([2]Baskol!$N$1990="","",[2]Baskol!$N$1990)</f>
        <v/>
      </c>
      <c r="AE1987">
        <f>IF([2]Baskol!$O$1990="","",[2]Baskol!$O$1990)</f>
        <v/>
      </c>
      <c r="AG1987">
        <f>IF([3]Entry!$C$1990="","",[3]Entry!$C$1990)</f>
        <v/>
      </c>
      <c r="AH1987">
        <f>IF([3]Entry!$D$1990="","",[3]Entry!$D$1990)</f>
        <v/>
      </c>
      <c r="AI1987">
        <f>IF([3]Entry!$E$1990="","",[3]Entry!$E$1990)</f>
        <v/>
      </c>
      <c r="AJ1987">
        <f>IF([3]Entry!$G$1990="","",[3]Entry!$G$1990)</f>
        <v/>
      </c>
      <c r="AK1987">
        <f>IF([3]Entry!$K$1990="","",[3]Entry!$K$1990)</f>
        <v/>
      </c>
      <c r="AL1987">
        <f>IF([3]Entry!$L$1990="","",[3]Entry!$L$1990)</f>
        <v/>
      </c>
      <c r="AM1987">
        <f>IF([3]Entry!$M$1990="","",[3]Entry!$M$1990)</f>
        <v/>
      </c>
      <c r="AN1987">
        <f>IF([3]Entry!$N$1990="","",[3]Entry!$N$1990)</f>
        <v/>
      </c>
      <c r="AO1987">
        <f>IF([3]Entry!$R$1990="","",[3]Entry!$R$1990)</f>
        <v/>
      </c>
    </row>
    <row r="1988">
      <c r="U1988">
        <f>IF([2]Baskol!$B$1991="","",[2]Baskol!$B$1991)</f>
        <v/>
      </c>
      <c r="V1988">
        <f>IF([2]Baskol!$C$1991="","",[2]Baskol!$C$1991)</f>
        <v/>
      </c>
      <c r="W1988">
        <f>IF([2]Baskol!$D$1991="","",[2]Baskol!$D$1991)</f>
        <v/>
      </c>
      <c r="X1988">
        <f>IF([2]Baskol!$E$1991="","",[2]Baskol!$E$1991)</f>
        <v/>
      </c>
      <c r="Y1988">
        <f>IF([2]Baskol!$G$1991="","",[2]Baskol!$G$1991)</f>
        <v/>
      </c>
      <c r="Z1988">
        <f>IF([2]Baskol!$I$1991="","",[2]Baskol!$I$1991)</f>
        <v/>
      </c>
      <c r="AA1988">
        <f>IF([2]Baskol!$J$1991="","",[2]Baskol!$J$1991)</f>
        <v/>
      </c>
      <c r="AB1988">
        <f>IF([2]Baskol!$K$1991="","",[2]Baskol!$K$1991)</f>
        <v/>
      </c>
      <c r="AC1988">
        <f>IF([2]Baskol!$L$1991="","",[2]Baskol!$L$1991)</f>
        <v/>
      </c>
      <c r="AD1988">
        <f>IF([2]Baskol!$N$1991="","",[2]Baskol!$N$1991)</f>
        <v/>
      </c>
      <c r="AE1988">
        <f>IF([2]Baskol!$O$1991="","",[2]Baskol!$O$1991)</f>
        <v/>
      </c>
      <c r="AG1988">
        <f>IF([3]Entry!$C$1991="","",[3]Entry!$C$1991)</f>
        <v/>
      </c>
      <c r="AH1988">
        <f>IF([3]Entry!$D$1991="","",[3]Entry!$D$1991)</f>
        <v/>
      </c>
      <c r="AI1988">
        <f>IF([3]Entry!$E$1991="","",[3]Entry!$E$1991)</f>
        <v/>
      </c>
      <c r="AJ1988">
        <f>IF([3]Entry!$G$1991="","",[3]Entry!$G$1991)</f>
        <v/>
      </c>
      <c r="AK1988">
        <f>IF([3]Entry!$K$1991="","",[3]Entry!$K$1991)</f>
        <v/>
      </c>
      <c r="AL1988">
        <f>IF([3]Entry!$L$1991="","",[3]Entry!$L$1991)</f>
        <v/>
      </c>
      <c r="AM1988">
        <f>IF([3]Entry!$M$1991="","",[3]Entry!$M$1991)</f>
        <v/>
      </c>
      <c r="AN1988">
        <f>IF([3]Entry!$N$1991="","",[3]Entry!$N$1991)</f>
        <v/>
      </c>
      <c r="AO1988">
        <f>IF([3]Entry!$R$1991="","",[3]Entry!$R$1991)</f>
        <v/>
      </c>
    </row>
    <row r="1989">
      <c r="U1989">
        <f>IF([2]Baskol!$B$1992="","",[2]Baskol!$B$1992)</f>
        <v/>
      </c>
      <c r="V1989">
        <f>IF([2]Baskol!$C$1992="","",[2]Baskol!$C$1992)</f>
        <v/>
      </c>
      <c r="W1989">
        <f>IF([2]Baskol!$D$1992="","",[2]Baskol!$D$1992)</f>
        <v/>
      </c>
      <c r="X1989">
        <f>IF([2]Baskol!$E$1992="","",[2]Baskol!$E$1992)</f>
        <v/>
      </c>
      <c r="Y1989">
        <f>IF([2]Baskol!$G$1992="","",[2]Baskol!$G$1992)</f>
        <v/>
      </c>
      <c r="Z1989">
        <f>IF([2]Baskol!$I$1992="","",[2]Baskol!$I$1992)</f>
        <v/>
      </c>
      <c r="AA1989">
        <f>IF([2]Baskol!$J$1992="","",[2]Baskol!$J$1992)</f>
        <v/>
      </c>
      <c r="AB1989">
        <f>IF([2]Baskol!$K$1992="","",[2]Baskol!$K$1992)</f>
        <v/>
      </c>
      <c r="AC1989">
        <f>IF([2]Baskol!$L$1992="","",[2]Baskol!$L$1992)</f>
        <v/>
      </c>
      <c r="AD1989">
        <f>IF([2]Baskol!$N$1992="","",[2]Baskol!$N$1992)</f>
        <v/>
      </c>
      <c r="AE1989">
        <f>IF([2]Baskol!$O$1992="","",[2]Baskol!$O$1992)</f>
        <v/>
      </c>
      <c r="AG1989">
        <f>IF([3]Entry!$C$1992="","",[3]Entry!$C$1992)</f>
        <v/>
      </c>
      <c r="AH1989">
        <f>IF([3]Entry!$D$1992="","",[3]Entry!$D$1992)</f>
        <v/>
      </c>
      <c r="AI1989">
        <f>IF([3]Entry!$E$1992="","",[3]Entry!$E$1992)</f>
        <v/>
      </c>
      <c r="AJ1989">
        <f>IF([3]Entry!$G$1992="","",[3]Entry!$G$1992)</f>
        <v/>
      </c>
      <c r="AK1989">
        <f>IF([3]Entry!$K$1992="","",[3]Entry!$K$1992)</f>
        <v/>
      </c>
      <c r="AL1989">
        <f>IF([3]Entry!$L$1992="","",[3]Entry!$L$1992)</f>
        <v/>
      </c>
      <c r="AM1989">
        <f>IF([3]Entry!$M$1992="","",[3]Entry!$M$1992)</f>
        <v/>
      </c>
      <c r="AN1989">
        <f>IF([3]Entry!$N$1992="","",[3]Entry!$N$1992)</f>
        <v/>
      </c>
      <c r="AO1989">
        <f>IF([3]Entry!$R$1992="","",[3]Entry!$R$1992)</f>
        <v/>
      </c>
    </row>
    <row r="1990">
      <c r="U1990">
        <f>IF([2]Baskol!$B$1993="","",[2]Baskol!$B$1993)</f>
        <v/>
      </c>
      <c r="V1990">
        <f>IF([2]Baskol!$C$1993="","",[2]Baskol!$C$1993)</f>
        <v/>
      </c>
      <c r="W1990">
        <f>IF([2]Baskol!$D$1993="","",[2]Baskol!$D$1993)</f>
        <v/>
      </c>
      <c r="X1990">
        <f>IF([2]Baskol!$E$1993="","",[2]Baskol!$E$1993)</f>
        <v/>
      </c>
      <c r="Y1990">
        <f>IF([2]Baskol!$G$1993="","",[2]Baskol!$G$1993)</f>
        <v/>
      </c>
      <c r="Z1990">
        <f>IF([2]Baskol!$I$1993="","",[2]Baskol!$I$1993)</f>
        <v/>
      </c>
      <c r="AA1990">
        <f>IF([2]Baskol!$J$1993="","",[2]Baskol!$J$1993)</f>
        <v/>
      </c>
      <c r="AB1990">
        <f>IF([2]Baskol!$K$1993="","",[2]Baskol!$K$1993)</f>
        <v/>
      </c>
      <c r="AC1990">
        <f>IF([2]Baskol!$L$1993="","",[2]Baskol!$L$1993)</f>
        <v/>
      </c>
      <c r="AD1990">
        <f>IF([2]Baskol!$N$1993="","",[2]Baskol!$N$1993)</f>
        <v/>
      </c>
      <c r="AE1990">
        <f>IF([2]Baskol!$O$1993="","",[2]Baskol!$O$1993)</f>
        <v/>
      </c>
      <c r="AG1990">
        <f>IF([3]Entry!$C$1993="","",[3]Entry!$C$1993)</f>
        <v/>
      </c>
      <c r="AH1990">
        <f>IF([3]Entry!$D$1993="","",[3]Entry!$D$1993)</f>
        <v/>
      </c>
      <c r="AI1990">
        <f>IF([3]Entry!$E$1993="","",[3]Entry!$E$1993)</f>
        <v/>
      </c>
      <c r="AJ1990">
        <f>IF([3]Entry!$G$1993="","",[3]Entry!$G$1993)</f>
        <v/>
      </c>
      <c r="AK1990">
        <f>IF([3]Entry!$K$1993="","",[3]Entry!$K$1993)</f>
        <v/>
      </c>
      <c r="AL1990">
        <f>IF([3]Entry!$L$1993="","",[3]Entry!$L$1993)</f>
        <v/>
      </c>
      <c r="AM1990">
        <f>IF([3]Entry!$M$1993="","",[3]Entry!$M$1993)</f>
        <v/>
      </c>
      <c r="AN1990">
        <f>IF([3]Entry!$N$1993="","",[3]Entry!$N$1993)</f>
        <v/>
      </c>
      <c r="AO1990">
        <f>IF([3]Entry!$R$1993="","",[3]Entry!$R$1993)</f>
        <v/>
      </c>
    </row>
    <row r="1991">
      <c r="U1991">
        <f>IF([2]Baskol!$B$1994="","",[2]Baskol!$B$1994)</f>
        <v/>
      </c>
      <c r="V1991">
        <f>IF([2]Baskol!$C$1994="","",[2]Baskol!$C$1994)</f>
        <v/>
      </c>
      <c r="W1991">
        <f>IF([2]Baskol!$D$1994="","",[2]Baskol!$D$1994)</f>
        <v/>
      </c>
      <c r="X1991">
        <f>IF([2]Baskol!$E$1994="","",[2]Baskol!$E$1994)</f>
        <v/>
      </c>
      <c r="Y1991">
        <f>IF([2]Baskol!$G$1994="","",[2]Baskol!$G$1994)</f>
        <v/>
      </c>
      <c r="Z1991">
        <f>IF([2]Baskol!$I$1994="","",[2]Baskol!$I$1994)</f>
        <v/>
      </c>
      <c r="AA1991">
        <f>IF([2]Baskol!$J$1994="","",[2]Baskol!$J$1994)</f>
        <v/>
      </c>
      <c r="AB1991">
        <f>IF([2]Baskol!$K$1994="","",[2]Baskol!$K$1994)</f>
        <v/>
      </c>
      <c r="AC1991">
        <f>IF([2]Baskol!$L$1994="","",[2]Baskol!$L$1994)</f>
        <v/>
      </c>
      <c r="AD1991">
        <f>IF([2]Baskol!$N$1994="","",[2]Baskol!$N$1994)</f>
        <v/>
      </c>
      <c r="AE1991">
        <f>IF([2]Baskol!$O$1994="","",[2]Baskol!$O$1994)</f>
        <v/>
      </c>
      <c r="AG1991">
        <f>IF([3]Entry!$C$1994="","",[3]Entry!$C$1994)</f>
        <v/>
      </c>
      <c r="AH1991">
        <f>IF([3]Entry!$D$1994="","",[3]Entry!$D$1994)</f>
        <v/>
      </c>
      <c r="AI1991">
        <f>IF([3]Entry!$E$1994="","",[3]Entry!$E$1994)</f>
        <v/>
      </c>
      <c r="AJ1991">
        <f>IF([3]Entry!$G$1994="","",[3]Entry!$G$1994)</f>
        <v/>
      </c>
      <c r="AK1991">
        <f>IF([3]Entry!$K$1994="","",[3]Entry!$K$1994)</f>
        <v/>
      </c>
      <c r="AL1991">
        <f>IF([3]Entry!$L$1994="","",[3]Entry!$L$1994)</f>
        <v/>
      </c>
      <c r="AM1991">
        <f>IF([3]Entry!$M$1994="","",[3]Entry!$M$1994)</f>
        <v/>
      </c>
      <c r="AN1991">
        <f>IF([3]Entry!$N$1994="","",[3]Entry!$N$1994)</f>
        <v/>
      </c>
      <c r="AO1991">
        <f>IF([3]Entry!$R$1994="","",[3]Entry!$R$1994)</f>
        <v/>
      </c>
    </row>
    <row r="1992">
      <c r="U1992">
        <f>IF([2]Baskol!$B$1995="","",[2]Baskol!$B$1995)</f>
        <v/>
      </c>
      <c r="V1992">
        <f>IF([2]Baskol!$C$1995="","",[2]Baskol!$C$1995)</f>
        <v/>
      </c>
      <c r="W1992">
        <f>IF([2]Baskol!$D$1995="","",[2]Baskol!$D$1995)</f>
        <v/>
      </c>
      <c r="X1992">
        <f>IF([2]Baskol!$E$1995="","",[2]Baskol!$E$1995)</f>
        <v/>
      </c>
      <c r="Y1992">
        <f>IF([2]Baskol!$G$1995="","",[2]Baskol!$G$1995)</f>
        <v/>
      </c>
      <c r="Z1992">
        <f>IF([2]Baskol!$I$1995="","",[2]Baskol!$I$1995)</f>
        <v/>
      </c>
      <c r="AA1992">
        <f>IF([2]Baskol!$J$1995="","",[2]Baskol!$J$1995)</f>
        <v/>
      </c>
      <c r="AB1992">
        <f>IF([2]Baskol!$K$1995="","",[2]Baskol!$K$1995)</f>
        <v/>
      </c>
      <c r="AC1992">
        <f>IF([2]Baskol!$L$1995="","",[2]Baskol!$L$1995)</f>
        <v/>
      </c>
      <c r="AD1992">
        <f>IF([2]Baskol!$N$1995="","",[2]Baskol!$N$1995)</f>
        <v/>
      </c>
      <c r="AE1992">
        <f>IF([2]Baskol!$O$1995="","",[2]Baskol!$O$1995)</f>
        <v/>
      </c>
      <c r="AG1992">
        <f>IF([3]Entry!$C$1995="","",[3]Entry!$C$1995)</f>
        <v/>
      </c>
      <c r="AH1992">
        <f>IF([3]Entry!$D$1995="","",[3]Entry!$D$1995)</f>
        <v/>
      </c>
      <c r="AI1992">
        <f>IF([3]Entry!$E$1995="","",[3]Entry!$E$1995)</f>
        <v/>
      </c>
      <c r="AJ1992">
        <f>IF([3]Entry!$G$1995="","",[3]Entry!$G$1995)</f>
        <v/>
      </c>
      <c r="AK1992">
        <f>IF([3]Entry!$K$1995="","",[3]Entry!$K$1995)</f>
        <v/>
      </c>
      <c r="AL1992">
        <f>IF([3]Entry!$L$1995="","",[3]Entry!$L$1995)</f>
        <v/>
      </c>
      <c r="AM1992">
        <f>IF([3]Entry!$M$1995="","",[3]Entry!$M$1995)</f>
        <v/>
      </c>
      <c r="AN1992">
        <f>IF([3]Entry!$N$1995="","",[3]Entry!$N$1995)</f>
        <v/>
      </c>
      <c r="AO1992">
        <f>IF([3]Entry!$R$1995="","",[3]Entry!$R$1995)</f>
        <v/>
      </c>
    </row>
    <row r="1993">
      <c r="U1993">
        <f>IF([2]Baskol!$B$1996="","",[2]Baskol!$B$1996)</f>
        <v/>
      </c>
      <c r="V1993">
        <f>IF([2]Baskol!$C$1996="","",[2]Baskol!$C$1996)</f>
        <v/>
      </c>
      <c r="W1993">
        <f>IF([2]Baskol!$D$1996="","",[2]Baskol!$D$1996)</f>
        <v/>
      </c>
      <c r="X1993">
        <f>IF([2]Baskol!$E$1996="","",[2]Baskol!$E$1996)</f>
        <v/>
      </c>
      <c r="Y1993">
        <f>IF([2]Baskol!$G$1996="","",[2]Baskol!$G$1996)</f>
        <v/>
      </c>
      <c r="Z1993">
        <f>IF([2]Baskol!$I$1996="","",[2]Baskol!$I$1996)</f>
        <v/>
      </c>
      <c r="AA1993">
        <f>IF([2]Baskol!$J$1996="","",[2]Baskol!$J$1996)</f>
        <v/>
      </c>
      <c r="AB1993">
        <f>IF([2]Baskol!$K$1996="","",[2]Baskol!$K$1996)</f>
        <v/>
      </c>
      <c r="AC1993">
        <f>IF([2]Baskol!$L$1996="","",[2]Baskol!$L$1996)</f>
        <v/>
      </c>
      <c r="AD1993">
        <f>IF([2]Baskol!$N$1996="","",[2]Baskol!$N$1996)</f>
        <v/>
      </c>
      <c r="AE1993">
        <f>IF([2]Baskol!$O$1996="","",[2]Baskol!$O$1996)</f>
        <v/>
      </c>
      <c r="AG1993">
        <f>IF([3]Entry!$C$1996="","",[3]Entry!$C$1996)</f>
        <v/>
      </c>
      <c r="AH1993">
        <f>IF([3]Entry!$D$1996="","",[3]Entry!$D$1996)</f>
        <v/>
      </c>
      <c r="AI1993">
        <f>IF([3]Entry!$E$1996="","",[3]Entry!$E$1996)</f>
        <v/>
      </c>
      <c r="AJ1993">
        <f>IF([3]Entry!$G$1996="","",[3]Entry!$G$1996)</f>
        <v/>
      </c>
      <c r="AK1993">
        <f>IF([3]Entry!$K$1996="","",[3]Entry!$K$1996)</f>
        <v/>
      </c>
      <c r="AL1993">
        <f>IF([3]Entry!$L$1996="","",[3]Entry!$L$1996)</f>
        <v/>
      </c>
      <c r="AM1993">
        <f>IF([3]Entry!$M$1996="","",[3]Entry!$M$1996)</f>
        <v/>
      </c>
      <c r="AN1993">
        <f>IF([3]Entry!$N$1996="","",[3]Entry!$N$1996)</f>
        <v/>
      </c>
      <c r="AO1993">
        <f>IF([3]Entry!$R$1996="","",[3]Entry!$R$1996)</f>
        <v/>
      </c>
    </row>
    <row r="1994">
      <c r="U1994">
        <f>IF([2]Baskol!$B$1997="","",[2]Baskol!$B$1997)</f>
        <v/>
      </c>
      <c r="V1994">
        <f>IF([2]Baskol!$C$1997="","",[2]Baskol!$C$1997)</f>
        <v/>
      </c>
      <c r="W1994">
        <f>IF([2]Baskol!$D$1997="","",[2]Baskol!$D$1997)</f>
        <v/>
      </c>
      <c r="X1994">
        <f>IF([2]Baskol!$E$1997="","",[2]Baskol!$E$1997)</f>
        <v/>
      </c>
      <c r="Y1994">
        <f>IF([2]Baskol!$G$1997="","",[2]Baskol!$G$1997)</f>
        <v/>
      </c>
      <c r="Z1994">
        <f>IF([2]Baskol!$I$1997="","",[2]Baskol!$I$1997)</f>
        <v/>
      </c>
      <c r="AA1994">
        <f>IF([2]Baskol!$J$1997="","",[2]Baskol!$J$1997)</f>
        <v/>
      </c>
      <c r="AB1994">
        <f>IF([2]Baskol!$K$1997="","",[2]Baskol!$K$1997)</f>
        <v/>
      </c>
      <c r="AC1994">
        <f>IF([2]Baskol!$L$1997="","",[2]Baskol!$L$1997)</f>
        <v/>
      </c>
      <c r="AD1994">
        <f>IF([2]Baskol!$N$1997="","",[2]Baskol!$N$1997)</f>
        <v/>
      </c>
      <c r="AE1994">
        <f>IF([2]Baskol!$O$1997="","",[2]Baskol!$O$1997)</f>
        <v/>
      </c>
      <c r="AG1994">
        <f>IF([3]Entry!$C$1997="","",[3]Entry!$C$1997)</f>
        <v/>
      </c>
      <c r="AH1994">
        <f>IF([3]Entry!$D$1997="","",[3]Entry!$D$1997)</f>
        <v/>
      </c>
      <c r="AI1994">
        <f>IF([3]Entry!$E$1997="","",[3]Entry!$E$1997)</f>
        <v/>
      </c>
      <c r="AJ1994">
        <f>IF([3]Entry!$G$1997="","",[3]Entry!$G$1997)</f>
        <v/>
      </c>
      <c r="AK1994">
        <f>IF([3]Entry!$K$1997="","",[3]Entry!$K$1997)</f>
        <v/>
      </c>
      <c r="AL1994">
        <f>IF([3]Entry!$L$1997="","",[3]Entry!$L$1997)</f>
        <v/>
      </c>
      <c r="AM1994">
        <f>IF([3]Entry!$M$1997="","",[3]Entry!$M$1997)</f>
        <v/>
      </c>
      <c r="AN1994">
        <f>IF([3]Entry!$N$1997="","",[3]Entry!$N$1997)</f>
        <v/>
      </c>
      <c r="AO1994">
        <f>IF([3]Entry!$R$1997="","",[3]Entry!$R$1997)</f>
        <v/>
      </c>
    </row>
    <row r="1995">
      <c r="U1995">
        <f>IF([2]Baskol!$B$1998="","",[2]Baskol!$B$1998)</f>
        <v/>
      </c>
      <c r="V1995">
        <f>IF([2]Baskol!$C$1998="","",[2]Baskol!$C$1998)</f>
        <v/>
      </c>
      <c r="W1995">
        <f>IF([2]Baskol!$D$1998="","",[2]Baskol!$D$1998)</f>
        <v/>
      </c>
      <c r="X1995">
        <f>IF([2]Baskol!$E$1998="","",[2]Baskol!$E$1998)</f>
        <v/>
      </c>
      <c r="Y1995">
        <f>IF([2]Baskol!$G$1998="","",[2]Baskol!$G$1998)</f>
        <v/>
      </c>
      <c r="Z1995">
        <f>IF([2]Baskol!$I$1998="","",[2]Baskol!$I$1998)</f>
        <v/>
      </c>
      <c r="AA1995">
        <f>IF([2]Baskol!$J$1998="","",[2]Baskol!$J$1998)</f>
        <v/>
      </c>
      <c r="AB1995">
        <f>IF([2]Baskol!$K$1998="","",[2]Baskol!$K$1998)</f>
        <v/>
      </c>
      <c r="AC1995">
        <f>IF([2]Baskol!$L$1998="","",[2]Baskol!$L$1998)</f>
        <v/>
      </c>
      <c r="AD1995">
        <f>IF([2]Baskol!$N$1998="","",[2]Baskol!$N$1998)</f>
        <v/>
      </c>
      <c r="AE1995">
        <f>IF([2]Baskol!$O$1998="","",[2]Baskol!$O$1998)</f>
        <v/>
      </c>
      <c r="AG1995">
        <f>IF([3]Entry!$C$1998="","",[3]Entry!$C$1998)</f>
        <v/>
      </c>
      <c r="AH1995">
        <f>IF([3]Entry!$D$1998="","",[3]Entry!$D$1998)</f>
        <v/>
      </c>
      <c r="AI1995">
        <f>IF([3]Entry!$E$1998="","",[3]Entry!$E$1998)</f>
        <v/>
      </c>
      <c r="AJ1995">
        <f>IF([3]Entry!$G$1998="","",[3]Entry!$G$1998)</f>
        <v/>
      </c>
      <c r="AK1995">
        <f>IF([3]Entry!$K$1998="","",[3]Entry!$K$1998)</f>
        <v/>
      </c>
      <c r="AL1995">
        <f>IF([3]Entry!$L$1998="","",[3]Entry!$L$1998)</f>
        <v/>
      </c>
      <c r="AM1995">
        <f>IF([3]Entry!$M$1998="","",[3]Entry!$M$1998)</f>
        <v/>
      </c>
      <c r="AN1995">
        <f>IF([3]Entry!$N$1998="","",[3]Entry!$N$1998)</f>
        <v/>
      </c>
      <c r="AO1995">
        <f>IF([3]Entry!$R$1998="","",[3]Entry!$R$1998)</f>
        <v/>
      </c>
    </row>
    <row r="1996">
      <c r="U1996">
        <f>IF([2]Baskol!$B$1999="","",[2]Baskol!$B$1999)</f>
        <v/>
      </c>
      <c r="V1996">
        <f>IF([2]Baskol!$C$1999="","",[2]Baskol!$C$1999)</f>
        <v/>
      </c>
      <c r="W1996">
        <f>IF([2]Baskol!$D$1999="","",[2]Baskol!$D$1999)</f>
        <v/>
      </c>
      <c r="X1996">
        <f>IF([2]Baskol!$E$1999="","",[2]Baskol!$E$1999)</f>
        <v/>
      </c>
      <c r="Y1996">
        <f>IF([2]Baskol!$G$1999="","",[2]Baskol!$G$1999)</f>
        <v/>
      </c>
      <c r="Z1996">
        <f>IF([2]Baskol!$I$1999="","",[2]Baskol!$I$1999)</f>
        <v/>
      </c>
      <c r="AA1996">
        <f>IF([2]Baskol!$J$1999="","",[2]Baskol!$J$1999)</f>
        <v/>
      </c>
      <c r="AB1996">
        <f>IF([2]Baskol!$K$1999="","",[2]Baskol!$K$1999)</f>
        <v/>
      </c>
      <c r="AC1996">
        <f>IF([2]Baskol!$L$1999="","",[2]Baskol!$L$1999)</f>
        <v/>
      </c>
      <c r="AD1996">
        <f>IF([2]Baskol!$N$1999="","",[2]Baskol!$N$1999)</f>
        <v/>
      </c>
      <c r="AE1996">
        <f>IF([2]Baskol!$O$1999="","",[2]Baskol!$O$1999)</f>
        <v/>
      </c>
      <c r="AG1996">
        <f>IF([3]Entry!$C$1999="","",[3]Entry!$C$1999)</f>
        <v/>
      </c>
      <c r="AH1996">
        <f>IF([3]Entry!$D$1999="","",[3]Entry!$D$1999)</f>
        <v/>
      </c>
      <c r="AI1996">
        <f>IF([3]Entry!$E$1999="","",[3]Entry!$E$1999)</f>
        <v/>
      </c>
      <c r="AJ1996">
        <f>IF([3]Entry!$G$1999="","",[3]Entry!$G$1999)</f>
        <v/>
      </c>
      <c r="AK1996">
        <f>IF([3]Entry!$K$1999="","",[3]Entry!$K$1999)</f>
        <v/>
      </c>
      <c r="AL1996">
        <f>IF([3]Entry!$L$1999="","",[3]Entry!$L$1999)</f>
        <v/>
      </c>
      <c r="AM1996">
        <f>IF([3]Entry!$M$1999="","",[3]Entry!$M$1999)</f>
        <v/>
      </c>
      <c r="AN1996">
        <f>IF([3]Entry!$N$1999="","",[3]Entry!$N$1999)</f>
        <v/>
      </c>
      <c r="AO1996">
        <f>IF([3]Entry!$R$1999="","",[3]Entry!$R$1999)</f>
        <v/>
      </c>
    </row>
    <row r="1997">
      <c r="U1997">
        <f>IF([2]Baskol!$B$2000="","",[2]Baskol!$B$2000)</f>
        <v/>
      </c>
      <c r="V1997">
        <f>IF([2]Baskol!$C$2000="","",[2]Baskol!$C$2000)</f>
        <v/>
      </c>
      <c r="W1997">
        <f>IF([2]Baskol!$D$2000="","",[2]Baskol!$D$2000)</f>
        <v/>
      </c>
      <c r="X1997">
        <f>IF([2]Baskol!$E$2000="","",[2]Baskol!$E$2000)</f>
        <v/>
      </c>
      <c r="Y1997">
        <f>IF([2]Baskol!$G$2000="","",[2]Baskol!$G$2000)</f>
        <v/>
      </c>
      <c r="Z1997">
        <f>IF([2]Baskol!$I$2000="","",[2]Baskol!$I$2000)</f>
        <v/>
      </c>
      <c r="AA1997">
        <f>IF([2]Baskol!$J$2000="","",[2]Baskol!$J$2000)</f>
        <v/>
      </c>
      <c r="AB1997">
        <f>IF([2]Baskol!$K$2000="","",[2]Baskol!$K$2000)</f>
        <v/>
      </c>
      <c r="AC1997">
        <f>IF([2]Baskol!$L$2000="","",[2]Baskol!$L$2000)</f>
        <v/>
      </c>
      <c r="AD1997">
        <f>IF([2]Baskol!$N$2000="","",[2]Baskol!$N$2000)</f>
        <v/>
      </c>
      <c r="AE1997">
        <f>IF([2]Baskol!$O$2000="","",[2]Baskol!$O$2000)</f>
        <v/>
      </c>
      <c r="AG1997">
        <f>IF([3]Entry!$C$2000="","",[3]Entry!$C$2000)</f>
        <v/>
      </c>
      <c r="AH1997">
        <f>IF([3]Entry!$D$2000="","",[3]Entry!$D$2000)</f>
        <v/>
      </c>
      <c r="AI1997">
        <f>IF([3]Entry!$E$2000="","",[3]Entry!$E$2000)</f>
        <v/>
      </c>
      <c r="AJ1997">
        <f>IF([3]Entry!$G$2000="","",[3]Entry!$G$2000)</f>
        <v/>
      </c>
      <c r="AK1997">
        <f>IF([3]Entry!$K$2000="","",[3]Entry!$K$2000)</f>
        <v/>
      </c>
      <c r="AL1997">
        <f>IF([3]Entry!$L$2000="","",[3]Entry!$L$2000)</f>
        <v/>
      </c>
      <c r="AM1997">
        <f>IF([3]Entry!$M$2000="","",[3]Entry!$M$2000)</f>
        <v/>
      </c>
      <c r="AN1997">
        <f>IF([3]Entry!$N$2000="","",[3]Entry!$N$2000)</f>
        <v/>
      </c>
      <c r="AO1997">
        <f>IF([3]Entry!$R$2000="","",[3]Entry!$R$2000)</f>
        <v/>
      </c>
    </row>
    <row r="1998">
      <c r="U1998">
        <f>IF([2]Baskol!$B$2001="","",[2]Baskol!$B$2001)</f>
        <v/>
      </c>
      <c r="V1998">
        <f>IF([2]Baskol!$C$2001="","",[2]Baskol!$C$2001)</f>
        <v/>
      </c>
      <c r="W1998">
        <f>IF([2]Baskol!$D$2001="","",[2]Baskol!$D$2001)</f>
        <v/>
      </c>
      <c r="X1998">
        <f>IF([2]Baskol!$E$2001="","",[2]Baskol!$E$2001)</f>
        <v/>
      </c>
      <c r="Y1998">
        <f>IF([2]Baskol!$G$2001="","",[2]Baskol!$G$2001)</f>
        <v/>
      </c>
      <c r="Z1998">
        <f>IF([2]Baskol!$I$2001="","",[2]Baskol!$I$2001)</f>
        <v/>
      </c>
      <c r="AA1998">
        <f>IF([2]Baskol!$J$2001="","",[2]Baskol!$J$2001)</f>
        <v/>
      </c>
      <c r="AB1998">
        <f>IF([2]Baskol!$K$2001="","",[2]Baskol!$K$2001)</f>
        <v/>
      </c>
      <c r="AC1998">
        <f>IF([2]Baskol!$L$2001="","",[2]Baskol!$L$2001)</f>
        <v/>
      </c>
      <c r="AD1998">
        <f>IF([2]Baskol!$N$2001="","",[2]Baskol!$N$2001)</f>
        <v/>
      </c>
      <c r="AE1998">
        <f>IF([2]Baskol!$O$2001="","",[2]Baskol!$O$2001)</f>
        <v/>
      </c>
      <c r="AG1998">
        <f>IF([3]Entry!$C$2001="","",[3]Entry!$C$2001)</f>
        <v/>
      </c>
      <c r="AH1998">
        <f>IF([3]Entry!$D$2001="","",[3]Entry!$D$2001)</f>
        <v/>
      </c>
      <c r="AI1998">
        <f>IF([3]Entry!$E$2001="","",[3]Entry!$E$2001)</f>
        <v/>
      </c>
      <c r="AJ1998">
        <f>IF([3]Entry!$G$2001="","",[3]Entry!$G$2001)</f>
        <v/>
      </c>
      <c r="AK1998">
        <f>IF([3]Entry!$K$2001="","",[3]Entry!$K$2001)</f>
        <v/>
      </c>
      <c r="AL1998">
        <f>IF([3]Entry!$L$2001="","",[3]Entry!$L$2001)</f>
        <v/>
      </c>
      <c r="AM1998">
        <f>IF([3]Entry!$M$2001="","",[3]Entry!$M$2001)</f>
        <v/>
      </c>
      <c r="AN1998">
        <f>IF([3]Entry!$N$2001="","",[3]Entry!$N$2001)</f>
        <v/>
      </c>
      <c r="AO1998">
        <f>IF([3]Entry!$R$2001="","",[3]Entry!$R$2001)</f>
        <v/>
      </c>
    </row>
    <row r="1999">
      <c r="U1999">
        <f>IF([2]Baskol!$B$2002="","",[2]Baskol!$B$2002)</f>
        <v/>
      </c>
      <c r="V1999">
        <f>IF([2]Baskol!$C$2002="","",[2]Baskol!$C$2002)</f>
        <v/>
      </c>
      <c r="W1999">
        <f>IF([2]Baskol!$D$2002="","",[2]Baskol!$D$2002)</f>
        <v/>
      </c>
      <c r="X1999">
        <f>IF([2]Baskol!$E$2002="","",[2]Baskol!$E$2002)</f>
        <v/>
      </c>
      <c r="Y1999">
        <f>IF([2]Baskol!$G$2002="","",[2]Baskol!$G$2002)</f>
        <v/>
      </c>
      <c r="Z1999">
        <f>IF([2]Baskol!$I$2002="","",[2]Baskol!$I$2002)</f>
        <v/>
      </c>
      <c r="AA1999">
        <f>IF([2]Baskol!$J$2002="","",[2]Baskol!$J$2002)</f>
        <v/>
      </c>
      <c r="AB1999">
        <f>IF([2]Baskol!$K$2002="","",[2]Baskol!$K$2002)</f>
        <v/>
      </c>
      <c r="AC1999">
        <f>IF([2]Baskol!$L$2002="","",[2]Baskol!$L$2002)</f>
        <v/>
      </c>
      <c r="AD1999">
        <f>IF([2]Baskol!$N$2002="","",[2]Baskol!$N$2002)</f>
        <v/>
      </c>
      <c r="AE1999">
        <f>IF([2]Baskol!$O$2002="","",[2]Baskol!$O$2002)</f>
        <v/>
      </c>
      <c r="AG1999">
        <f>IF([3]Entry!$C$2002="","",[3]Entry!$C$2002)</f>
        <v/>
      </c>
      <c r="AH1999">
        <f>IF([3]Entry!$D$2002="","",[3]Entry!$D$2002)</f>
        <v/>
      </c>
      <c r="AI1999">
        <f>IF([3]Entry!$E$2002="","",[3]Entry!$E$2002)</f>
        <v/>
      </c>
      <c r="AJ1999">
        <f>IF([3]Entry!$G$2002="","",[3]Entry!$G$2002)</f>
        <v/>
      </c>
      <c r="AK1999">
        <f>IF([3]Entry!$K$2002="","",[3]Entry!$K$2002)</f>
        <v/>
      </c>
      <c r="AL1999">
        <f>IF([3]Entry!$L$2002="","",[3]Entry!$L$2002)</f>
        <v/>
      </c>
      <c r="AM1999">
        <f>IF([3]Entry!$M$2002="","",[3]Entry!$M$2002)</f>
        <v/>
      </c>
      <c r="AN1999">
        <f>IF([3]Entry!$N$2002="","",[3]Entry!$N$2002)</f>
        <v/>
      </c>
      <c r="AO1999">
        <f>IF([3]Entry!$R$2002="","",[3]Entry!$R$2002)</f>
        <v/>
      </c>
    </row>
    <row r="2000">
      <c r="U2000">
        <f>IF([2]Baskol!$B$2003="","",[2]Baskol!$B$2003)</f>
        <v/>
      </c>
      <c r="V2000">
        <f>IF([2]Baskol!$C$2003="","",[2]Baskol!$C$2003)</f>
        <v/>
      </c>
      <c r="W2000">
        <f>IF([2]Baskol!$D$2003="","",[2]Baskol!$D$2003)</f>
        <v/>
      </c>
      <c r="X2000">
        <f>IF([2]Baskol!$E$2003="","",[2]Baskol!$E$2003)</f>
        <v/>
      </c>
      <c r="Y2000">
        <f>IF([2]Baskol!$G$2003="","",[2]Baskol!$G$2003)</f>
        <v/>
      </c>
      <c r="Z2000">
        <f>IF([2]Baskol!$I$2003="","",[2]Baskol!$I$2003)</f>
        <v/>
      </c>
      <c r="AA2000">
        <f>IF([2]Baskol!$J$2003="","",[2]Baskol!$J$2003)</f>
        <v/>
      </c>
      <c r="AB2000">
        <f>IF([2]Baskol!$K$2003="","",[2]Baskol!$K$2003)</f>
        <v/>
      </c>
      <c r="AC2000">
        <f>IF([2]Baskol!$L$2003="","",[2]Baskol!$L$2003)</f>
        <v/>
      </c>
      <c r="AD2000">
        <f>IF([2]Baskol!$N$2003="","",[2]Baskol!$N$2003)</f>
        <v/>
      </c>
      <c r="AE2000">
        <f>IF([2]Baskol!$O$2003="","",[2]Baskol!$O$2003)</f>
        <v/>
      </c>
      <c r="AG2000">
        <f>IF([3]Entry!$C$2003="","",[3]Entry!$C$2003)</f>
        <v/>
      </c>
      <c r="AH2000">
        <f>IF([3]Entry!$D$2003="","",[3]Entry!$D$2003)</f>
        <v/>
      </c>
      <c r="AI2000">
        <f>IF([3]Entry!$E$2003="","",[3]Entry!$E$2003)</f>
        <v/>
      </c>
      <c r="AJ2000">
        <f>IF([3]Entry!$G$2003="","",[3]Entry!$G$2003)</f>
        <v/>
      </c>
      <c r="AK2000">
        <f>IF([3]Entry!$K$2003="","",[3]Entry!$K$2003)</f>
        <v/>
      </c>
      <c r="AL2000">
        <f>IF([3]Entry!$L$2003="","",[3]Entry!$L$2003)</f>
        <v/>
      </c>
      <c r="AM2000">
        <f>IF([3]Entry!$M$2003="","",[3]Entry!$M$2003)</f>
        <v/>
      </c>
      <c r="AN2000">
        <f>IF([3]Entry!$N$2003="","",[3]Entry!$N$2003)</f>
        <v/>
      </c>
      <c r="AO2000">
        <f>IF([3]Entry!$R$2003="","",[3]Entry!$R$2003)</f>
        <v/>
      </c>
    </row>
    <row r="2001">
      <c r="U2001">
        <f>IF([2]Baskol!$B$2004="","",[2]Baskol!$B$2004)</f>
        <v/>
      </c>
      <c r="V2001">
        <f>IF([2]Baskol!$C$2004="","",[2]Baskol!$C$2004)</f>
        <v/>
      </c>
      <c r="W2001">
        <f>IF([2]Baskol!$D$2004="","",[2]Baskol!$D$2004)</f>
        <v/>
      </c>
      <c r="X2001">
        <f>IF([2]Baskol!$E$2004="","",[2]Baskol!$E$2004)</f>
        <v/>
      </c>
      <c r="Y2001">
        <f>IF([2]Baskol!$G$2004="","",[2]Baskol!$G$2004)</f>
        <v/>
      </c>
      <c r="Z2001">
        <f>IF([2]Baskol!$I$2004="","",[2]Baskol!$I$2004)</f>
        <v/>
      </c>
      <c r="AA2001">
        <f>IF([2]Baskol!$J$2004="","",[2]Baskol!$J$2004)</f>
        <v/>
      </c>
      <c r="AB2001">
        <f>IF([2]Baskol!$K$2004="","",[2]Baskol!$K$2004)</f>
        <v/>
      </c>
      <c r="AC2001">
        <f>IF([2]Baskol!$L$2004="","",[2]Baskol!$L$2004)</f>
        <v/>
      </c>
      <c r="AD2001">
        <f>IF([2]Baskol!$N$2004="","",[2]Baskol!$N$2004)</f>
        <v/>
      </c>
      <c r="AE2001">
        <f>IF([2]Baskol!$O$2004="","",[2]Baskol!$O$2004)</f>
        <v/>
      </c>
      <c r="AG2001">
        <f>IF([3]Entry!$C$2004="","",[3]Entry!$C$2004)</f>
        <v/>
      </c>
      <c r="AH2001">
        <f>IF([3]Entry!$D$2004="","",[3]Entry!$D$2004)</f>
        <v/>
      </c>
      <c r="AI2001">
        <f>IF([3]Entry!$E$2004="","",[3]Entry!$E$2004)</f>
        <v/>
      </c>
      <c r="AJ2001">
        <f>IF([3]Entry!$G$2004="","",[3]Entry!$G$2004)</f>
        <v/>
      </c>
      <c r="AK2001">
        <f>IF([3]Entry!$K$2004="","",[3]Entry!$K$2004)</f>
        <v/>
      </c>
      <c r="AL2001">
        <f>IF([3]Entry!$L$2004="","",[3]Entry!$L$2004)</f>
        <v/>
      </c>
      <c r="AM2001">
        <f>IF([3]Entry!$M$2004="","",[3]Entry!$M$2004)</f>
        <v/>
      </c>
      <c r="AN2001">
        <f>IF([3]Entry!$N$2004="","",[3]Entry!$N$2004)</f>
        <v/>
      </c>
      <c r="AO2001">
        <f>IF([3]Entry!$R$2004="","",[3]Entry!$R$2004)</f>
        <v/>
      </c>
    </row>
    <row r="2002">
      <c r="U2002">
        <f>IF([2]Baskol!$B$2005="","",[2]Baskol!$B$2005)</f>
        <v/>
      </c>
      <c r="V2002">
        <f>IF([2]Baskol!$C$2005="","",[2]Baskol!$C$2005)</f>
        <v/>
      </c>
      <c r="W2002">
        <f>IF([2]Baskol!$D$2005="","",[2]Baskol!$D$2005)</f>
        <v/>
      </c>
      <c r="X2002">
        <f>IF([2]Baskol!$E$2005="","",[2]Baskol!$E$2005)</f>
        <v/>
      </c>
      <c r="Y2002">
        <f>IF([2]Baskol!$G$2005="","",[2]Baskol!$G$2005)</f>
        <v/>
      </c>
      <c r="Z2002">
        <f>IF([2]Baskol!$I$2005="","",[2]Baskol!$I$2005)</f>
        <v/>
      </c>
      <c r="AA2002">
        <f>IF([2]Baskol!$J$2005="","",[2]Baskol!$J$2005)</f>
        <v/>
      </c>
      <c r="AB2002">
        <f>IF([2]Baskol!$K$2005="","",[2]Baskol!$K$2005)</f>
        <v/>
      </c>
      <c r="AC2002">
        <f>IF([2]Baskol!$L$2005="","",[2]Baskol!$L$2005)</f>
        <v/>
      </c>
      <c r="AD2002">
        <f>IF([2]Baskol!$N$2005="","",[2]Baskol!$N$2005)</f>
        <v/>
      </c>
      <c r="AE2002">
        <f>IF([2]Baskol!$O$2005="","",[2]Baskol!$O$2005)</f>
        <v/>
      </c>
      <c r="AG2002">
        <f>IF([3]Entry!$C$2005="","",[3]Entry!$C$2005)</f>
        <v/>
      </c>
      <c r="AH2002">
        <f>IF([3]Entry!$D$2005="","",[3]Entry!$D$2005)</f>
        <v/>
      </c>
      <c r="AI2002">
        <f>IF([3]Entry!$E$2005="","",[3]Entry!$E$2005)</f>
        <v/>
      </c>
      <c r="AJ2002">
        <f>IF([3]Entry!$G$2005="","",[3]Entry!$G$2005)</f>
        <v/>
      </c>
      <c r="AK2002">
        <f>IF([3]Entry!$K$2005="","",[3]Entry!$K$2005)</f>
        <v/>
      </c>
      <c r="AL2002">
        <f>IF([3]Entry!$L$2005="","",[3]Entry!$L$2005)</f>
        <v/>
      </c>
      <c r="AM2002">
        <f>IF([3]Entry!$M$2005="","",[3]Entry!$M$2005)</f>
        <v/>
      </c>
      <c r="AN2002">
        <f>IF([3]Entry!$N$2005="","",[3]Entry!$N$2005)</f>
        <v/>
      </c>
      <c r="AO2002">
        <f>IF([3]Entry!$R$2005="","",[3]Entry!$R$2005)</f>
        <v/>
      </c>
    </row>
    <row r="2003">
      <c r="U2003">
        <f>IF([2]Baskol!$B$2006="","",[2]Baskol!$B$2006)</f>
        <v/>
      </c>
      <c r="V2003">
        <f>IF([2]Baskol!$C$2006="","",[2]Baskol!$C$2006)</f>
        <v/>
      </c>
      <c r="W2003">
        <f>IF([2]Baskol!$D$2006="","",[2]Baskol!$D$2006)</f>
        <v/>
      </c>
      <c r="X2003">
        <f>IF([2]Baskol!$E$2006="","",[2]Baskol!$E$2006)</f>
        <v/>
      </c>
      <c r="Y2003">
        <f>IF([2]Baskol!$G$2006="","",[2]Baskol!$G$2006)</f>
        <v/>
      </c>
      <c r="Z2003">
        <f>IF([2]Baskol!$I$2006="","",[2]Baskol!$I$2006)</f>
        <v/>
      </c>
      <c r="AA2003">
        <f>IF([2]Baskol!$J$2006="","",[2]Baskol!$J$2006)</f>
        <v/>
      </c>
      <c r="AB2003">
        <f>IF([2]Baskol!$K$2006="","",[2]Baskol!$K$2006)</f>
        <v/>
      </c>
      <c r="AC2003">
        <f>IF([2]Baskol!$L$2006="","",[2]Baskol!$L$2006)</f>
        <v/>
      </c>
      <c r="AD2003">
        <f>IF([2]Baskol!$N$2006="","",[2]Baskol!$N$2006)</f>
        <v/>
      </c>
      <c r="AE2003">
        <f>IF([2]Baskol!$O$2006="","",[2]Baskol!$O$2006)</f>
        <v/>
      </c>
      <c r="AG2003">
        <f>IF([3]Entry!$C$2006="","",[3]Entry!$C$2006)</f>
        <v/>
      </c>
      <c r="AH2003">
        <f>IF([3]Entry!$D$2006="","",[3]Entry!$D$2006)</f>
        <v/>
      </c>
      <c r="AI2003">
        <f>IF([3]Entry!$E$2006="","",[3]Entry!$E$2006)</f>
        <v/>
      </c>
      <c r="AJ2003">
        <f>IF([3]Entry!$G$2006="","",[3]Entry!$G$2006)</f>
        <v/>
      </c>
      <c r="AK2003">
        <f>IF([3]Entry!$K$2006="","",[3]Entry!$K$2006)</f>
        <v/>
      </c>
      <c r="AL2003">
        <f>IF([3]Entry!$L$2006="","",[3]Entry!$L$2006)</f>
        <v/>
      </c>
      <c r="AM2003">
        <f>IF([3]Entry!$M$2006="","",[3]Entry!$M$2006)</f>
        <v/>
      </c>
      <c r="AN2003">
        <f>IF([3]Entry!$N$2006="","",[3]Entry!$N$2006)</f>
        <v/>
      </c>
      <c r="AO2003">
        <f>IF([3]Entry!$R$2006="","",[3]Entry!$R$2006)</f>
        <v/>
      </c>
    </row>
    <row r="2004">
      <c r="U2004">
        <f>IF([2]Baskol!$B$2007="","",[2]Baskol!$B$2007)</f>
        <v/>
      </c>
      <c r="V2004">
        <f>IF([2]Baskol!$C$2007="","",[2]Baskol!$C$2007)</f>
        <v/>
      </c>
      <c r="W2004">
        <f>IF([2]Baskol!$D$2007="","",[2]Baskol!$D$2007)</f>
        <v/>
      </c>
      <c r="X2004">
        <f>IF([2]Baskol!$E$2007="","",[2]Baskol!$E$2007)</f>
        <v/>
      </c>
      <c r="Y2004">
        <f>IF([2]Baskol!$G$2007="","",[2]Baskol!$G$2007)</f>
        <v/>
      </c>
      <c r="Z2004">
        <f>IF([2]Baskol!$I$2007="","",[2]Baskol!$I$2007)</f>
        <v/>
      </c>
      <c r="AA2004">
        <f>IF([2]Baskol!$J$2007="","",[2]Baskol!$J$2007)</f>
        <v/>
      </c>
      <c r="AB2004">
        <f>IF([2]Baskol!$K$2007="","",[2]Baskol!$K$2007)</f>
        <v/>
      </c>
      <c r="AC2004">
        <f>IF([2]Baskol!$L$2007="","",[2]Baskol!$L$2007)</f>
        <v/>
      </c>
      <c r="AD2004">
        <f>IF([2]Baskol!$N$2007="","",[2]Baskol!$N$2007)</f>
        <v/>
      </c>
      <c r="AE2004">
        <f>IF([2]Baskol!$O$2007="","",[2]Baskol!$O$2007)</f>
        <v/>
      </c>
      <c r="AG2004">
        <f>IF([3]Entry!$C$2007="","",[3]Entry!$C$2007)</f>
        <v/>
      </c>
      <c r="AH2004">
        <f>IF([3]Entry!$D$2007="","",[3]Entry!$D$2007)</f>
        <v/>
      </c>
      <c r="AI2004">
        <f>IF([3]Entry!$E$2007="","",[3]Entry!$E$2007)</f>
        <v/>
      </c>
      <c r="AJ2004">
        <f>IF([3]Entry!$G$2007="","",[3]Entry!$G$2007)</f>
        <v/>
      </c>
      <c r="AK2004">
        <f>IF([3]Entry!$K$2007="","",[3]Entry!$K$2007)</f>
        <v/>
      </c>
      <c r="AL2004">
        <f>IF([3]Entry!$L$2007="","",[3]Entry!$L$2007)</f>
        <v/>
      </c>
      <c r="AM2004">
        <f>IF([3]Entry!$M$2007="","",[3]Entry!$M$2007)</f>
        <v/>
      </c>
      <c r="AN2004">
        <f>IF([3]Entry!$N$2007="","",[3]Entry!$N$2007)</f>
        <v/>
      </c>
      <c r="AO2004">
        <f>IF([3]Entry!$R$2007="","",[3]Entry!$R$2007)</f>
        <v/>
      </c>
    </row>
    <row r="2005">
      <c r="U2005">
        <f>IF([2]Baskol!$B$2008="","",[2]Baskol!$B$2008)</f>
        <v/>
      </c>
      <c r="V2005">
        <f>IF([2]Baskol!$C$2008="","",[2]Baskol!$C$2008)</f>
        <v/>
      </c>
      <c r="W2005">
        <f>IF([2]Baskol!$D$2008="","",[2]Baskol!$D$2008)</f>
        <v/>
      </c>
      <c r="X2005">
        <f>IF([2]Baskol!$E$2008="","",[2]Baskol!$E$2008)</f>
        <v/>
      </c>
      <c r="Y2005">
        <f>IF([2]Baskol!$G$2008="","",[2]Baskol!$G$2008)</f>
        <v/>
      </c>
      <c r="Z2005">
        <f>IF([2]Baskol!$I$2008="","",[2]Baskol!$I$2008)</f>
        <v/>
      </c>
      <c r="AA2005">
        <f>IF([2]Baskol!$J$2008="","",[2]Baskol!$J$2008)</f>
        <v/>
      </c>
      <c r="AB2005">
        <f>IF([2]Baskol!$K$2008="","",[2]Baskol!$K$2008)</f>
        <v/>
      </c>
      <c r="AC2005">
        <f>IF([2]Baskol!$L$2008="","",[2]Baskol!$L$2008)</f>
        <v/>
      </c>
      <c r="AD2005">
        <f>IF([2]Baskol!$N$2008="","",[2]Baskol!$N$2008)</f>
        <v/>
      </c>
      <c r="AE2005">
        <f>IF([2]Baskol!$O$2008="","",[2]Baskol!$O$2008)</f>
        <v/>
      </c>
      <c r="AG2005">
        <f>IF([3]Entry!$C$2008="","",[3]Entry!$C$2008)</f>
        <v/>
      </c>
      <c r="AH2005">
        <f>IF([3]Entry!$D$2008="","",[3]Entry!$D$2008)</f>
        <v/>
      </c>
      <c r="AI2005">
        <f>IF([3]Entry!$E$2008="","",[3]Entry!$E$2008)</f>
        <v/>
      </c>
      <c r="AJ2005">
        <f>IF([3]Entry!$G$2008="","",[3]Entry!$G$2008)</f>
        <v/>
      </c>
      <c r="AK2005">
        <f>IF([3]Entry!$K$2008="","",[3]Entry!$K$2008)</f>
        <v/>
      </c>
      <c r="AL2005">
        <f>IF([3]Entry!$L$2008="","",[3]Entry!$L$2008)</f>
        <v/>
      </c>
      <c r="AM2005">
        <f>IF([3]Entry!$M$2008="","",[3]Entry!$M$2008)</f>
        <v/>
      </c>
      <c r="AN2005">
        <f>IF([3]Entry!$N$2008="","",[3]Entry!$N$2008)</f>
        <v/>
      </c>
      <c r="AO2005">
        <f>IF([3]Entry!$R$2008="","",[3]Entry!$R$2008)</f>
        <v/>
      </c>
    </row>
  </sheetData>
  <mergeCells count="3">
    <mergeCell ref="A3:AN3"/>
    <mergeCell ref="A2:AN2"/>
    <mergeCell ref="A1:A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0A4AE"/>
    <outlinePr summaryBelow="1" summaryRight="1"/>
    <pageSetUpPr/>
  </sheetPr>
  <dimension ref="A1:R2008"/>
  <sheetViews>
    <sheetView showGridLines="0" rightToLeft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2" customWidth="1" min="5" max="5"/>
    <col width="9" customWidth="1" min="6" max="6"/>
    <col width="10" customWidth="1" min="7" max="7"/>
    <col width="15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  <col width="14" customWidth="1" min="15" max="15"/>
    <col width="10" customWidth="1" min="16" max="16"/>
    <col width="22" customWidth="1" min="17" max="17"/>
    <col width="8" customWidth="1" min="18" max="1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42" t="inlineStr">
        <is>
          <t>برگه فنی — موتور محاسبات فایل خرید (نرمال‌سازی تاریخ، طبقه‌بندی عملیات و وزن خالص پارامتری). فرمول‌ها را تغییر ندهید.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</row>
    <row r="8" ht="24" customHeight="1">
      <c r="A8" s="43" t="inlineStr">
        <is>
          <t>تاریخ خام · Raw</t>
        </is>
      </c>
      <c r="B8" s="43" t="inlineStr">
        <is>
          <t>سال · Y</t>
        </is>
      </c>
      <c r="C8" s="43" t="inlineStr">
        <is>
          <t>ماه · M</t>
        </is>
      </c>
      <c r="D8" s="43" t="inlineStr">
        <is>
          <t>روز · D</t>
        </is>
      </c>
      <c r="E8" s="43" t="inlineStr">
        <is>
          <t>تاریخ استاندارد · Norm</t>
        </is>
      </c>
      <c r="F8" s="43" t="inlineStr">
        <is>
          <t>سال/ماه · YM</t>
        </is>
      </c>
      <c r="G8" s="43" t="inlineStr">
        <is>
          <t>کد طرف · Party</t>
        </is>
      </c>
      <c r="H8" s="43" t="inlineStr">
        <is>
          <t>عملیات · Op</t>
        </is>
      </c>
      <c r="I8" s="43" t="inlineStr">
        <is>
          <t>گروه · Group</t>
        </is>
      </c>
      <c r="J8" s="43" t="inlineStr">
        <is>
          <t>زیرگروه · Sub</t>
        </is>
      </c>
      <c r="K8" s="43" t="inlineStr">
        <is>
          <t>نوع مرکبات · Citrus</t>
        </is>
      </c>
      <c r="L8" s="43" t="inlineStr">
        <is>
          <t>باسکول · Scale</t>
        </is>
      </c>
      <c r="M8" s="43" t="inlineStr">
        <is>
          <t>سبد · Baskets</t>
        </is>
      </c>
      <c r="N8" s="43" t="inlineStr">
        <is>
          <t>خالص · Net</t>
        </is>
      </c>
      <c r="O8" s="43" t="inlineStr">
        <is>
          <t>مبلغ · Amount</t>
        </is>
      </c>
      <c r="P8" s="43" t="inlineStr">
        <is>
          <t>سند · Doc</t>
        </is>
      </c>
      <c r="Q8" s="43" t="inlineStr">
        <is>
          <t>توضیح · Note</t>
        </is>
      </c>
      <c r="R8" s="43" t="inlineStr">
        <is>
          <t>ساعت · hhmm</t>
        </is>
      </c>
    </row>
    <row r="9">
      <c r="A9">
        <f>IF(Sync!$U6="","",Sync!$U6)</f>
        <v/>
      </c>
      <c r="B9">
        <f>IF($A9="","",IF(ISNUMBER($A9),IF(AND($A9&gt;=10000101,$A9&lt;=99991231),INT($A9/10000),""),IFERROR(VALUE(TRIM(LEFT($A9,FIND("/",$A9)-1))),"")))</f>
        <v/>
      </c>
      <c r="C9">
        <f>IF(OR($A9="",$B9=""),"",IF(ISNUMBER($A9),INT(MOD($A9,10000)/100),IFERROR(VALUE(TRIM(LEFT(MID($A9,FIND("/",$A9)+1,20),FIND("/",MID($A9,FIND("/",$A9)+1,20))-1))),"")))</f>
        <v/>
      </c>
      <c r="D9">
        <f>IF(OR($A9="",$B9=""),"",IF(ISNUMBER($A9),MOD($A9,100),IFERROR(VALUE(TRIM(MID(MID($A9,FIND("/",$A9)+1,20),FIND("/",MID($A9,FIND("/",$A9)+1,20))+1,20))),"")))</f>
        <v/>
      </c>
      <c r="E9">
        <f>IF($A9="","",IF(OR($B9="",$C9="",$D9="",$B9&lt;1300,$B9&gt;1500,$C9&lt;1,$C9&gt;12,$D9&lt;1,$D9&gt;31),"نامعتبر",RIGHT("0000"&amp;$B9,4)&amp;"/"&amp;RIGHT("00"&amp;$C9,2)&amp;"/"&amp;RIGHT("00"&amp;$D9,2)))</f>
        <v/>
      </c>
      <c r="F9">
        <f>IF(OR($E9="",$E9="نامعتبر"),"",LEFT($E9,4)&amp;"/"&amp;MID($E9,6,2))</f>
        <v/>
      </c>
      <c r="G9">
        <f>IF(OR($E9="",$E9="نامعتبر",Sync!$Y6=""),"",Sync!$Y6)</f>
        <v/>
      </c>
      <c r="H9">
        <f>IF($G9="","",IF(Sync!$X6="","",Sync!$X6))</f>
        <v/>
      </c>
      <c r="I9">
        <f>IF($G9="","",IFERROR(VLOOKUP(Sync!$X6,OpTbl,3,0),""))</f>
        <v/>
      </c>
      <c r="J9">
        <f>IF(OR($G9="",Sync!$Z6=""),"",Sync!$Z6)</f>
        <v/>
      </c>
      <c r="K9">
        <f>IF(OR($G9="",Sync!$AA6=""),"",Sync!$AA6)</f>
        <v/>
      </c>
      <c r="L9">
        <f>IF($G9="",0,IF(Sync!$AB6="",0,Sync!$AB6))</f>
        <v/>
      </c>
      <c r="M9">
        <f>IF($G9="",0,IF(Sync!$AC6="",0,Sync!$AC6))</f>
        <v/>
      </c>
      <c r="N9">
        <f>IF($G9="","",IF($H9="مرجوعی خرید",-1,1)*($L9-$M9*IFERROR(VLOOKUP("P01",ParamTbl,3,0),1.5))*(1-IF($I9="خرید",IFERROR(VLOOKUP("P02",ParamTbl,3,0),1),0)/100))</f>
        <v/>
      </c>
      <c r="O9">
        <f>IF($G9="",0,IF($H9="مرجوعی خرید",-1,1)*IF(Sync!$AD6="",0,Sync!$AD6))</f>
        <v/>
      </c>
      <c r="P9">
        <f>IF(OR($G9="",Sync!$W6=""),"",Sync!$W6)</f>
        <v/>
      </c>
      <c r="Q9">
        <f>IF(OR($G9="",Sync!$AE6=""),"",Sync!$AE6)</f>
        <v/>
      </c>
      <c r="R9">
        <f>IF($G9="","",IF(Sync!$V6="","0000",IF(AND(ISNUMBER(Sync!$V6),Sync!$V6&gt;=0,Sync!$V6&lt;1),RIGHT("00"&amp;HOUR(Sync!$V6),2)&amp;RIGHT("00"&amp;MINUTE(Sync!$V6),2),IFERROR(RIGHT("00"&amp;VALUE(LEFT(Sync!$V6,FIND(":",Sync!$V6)-1)),2)&amp;RIGHT("00"&amp;VALUE(MID(Sync!$V6,FIND(":",Sync!$V6)+1,2)),2),"0000"))))</f>
        <v/>
      </c>
    </row>
    <row r="10">
      <c r="A10">
        <f>IF(Sync!$U7="","",Sync!$U7)</f>
        <v/>
      </c>
      <c r="B10">
        <f>IF($A10="","",IF(ISNUMBER($A10),IF(AND($A10&gt;=10000101,$A10&lt;=99991231),INT($A10/10000),""),IFERROR(VALUE(TRIM(LEFT($A10,FIND("/",$A10)-1))),"")))</f>
        <v/>
      </c>
      <c r="C10">
        <f>IF(OR($A10="",$B10=""),"",IF(ISNUMBER($A10),INT(MOD($A10,10000)/100),IFERROR(VALUE(TRIM(LEFT(MID($A10,FIND("/",$A10)+1,20),FIND("/",MID($A10,FIND("/",$A10)+1,20))-1))),"")))</f>
        <v/>
      </c>
      <c r="D10">
        <f>IF(OR($A10="",$B10=""),"",IF(ISNUMBER($A10),MOD($A10,100),IFERROR(VALUE(TRIM(MID(MID($A10,FIND("/",$A10)+1,20),FIND("/",MID($A10,FIND("/",$A10)+1,20))+1,20))),"")))</f>
        <v/>
      </c>
      <c r="E10">
        <f>IF($A10="","",IF(OR($B10="",$C10="",$D10="",$B10&lt;1300,$B10&gt;1500,$C10&lt;1,$C10&gt;12,$D10&lt;1,$D10&gt;31),"نامعتبر",RIGHT("0000"&amp;$B10,4)&amp;"/"&amp;RIGHT("00"&amp;$C10,2)&amp;"/"&amp;RIGHT("00"&amp;$D10,2)))</f>
        <v/>
      </c>
      <c r="F10">
        <f>IF(OR($E10="",$E10="نامعتبر"),"",LEFT($E10,4)&amp;"/"&amp;MID($E10,6,2))</f>
        <v/>
      </c>
      <c r="G10">
        <f>IF(OR($E10="",$E10="نامعتبر",Sync!$Y7=""),"",Sync!$Y7)</f>
        <v/>
      </c>
      <c r="H10">
        <f>IF($G10="","",IF(Sync!$X7="","",Sync!$X7))</f>
        <v/>
      </c>
      <c r="I10">
        <f>IF($G10="","",IFERROR(VLOOKUP(Sync!$X7,OpTbl,3,0),""))</f>
        <v/>
      </c>
      <c r="J10">
        <f>IF(OR($G10="",Sync!$Z7=""),"",Sync!$Z7)</f>
        <v/>
      </c>
      <c r="K10">
        <f>IF(OR($G10="",Sync!$AA7=""),"",Sync!$AA7)</f>
        <v/>
      </c>
      <c r="L10">
        <f>IF($G10="",0,IF(Sync!$AB7="",0,Sync!$AB7))</f>
        <v/>
      </c>
      <c r="M10">
        <f>IF($G10="",0,IF(Sync!$AC7="",0,Sync!$AC7))</f>
        <v/>
      </c>
      <c r="N10">
        <f>IF($G10="","",IF($H10="مرجوعی خرید",-1,1)*($L10-$M10*IFERROR(VLOOKUP("P01",ParamTbl,3,0),1.5))*(1-IF($I10="خرید",IFERROR(VLOOKUP("P02",ParamTbl,3,0),1),0)/100))</f>
        <v/>
      </c>
      <c r="O10">
        <f>IF($G10="",0,IF($H10="مرجوعی خرید",-1,1)*IF(Sync!$AD7="",0,Sync!$AD7))</f>
        <v/>
      </c>
      <c r="P10">
        <f>IF(OR($G10="",Sync!$W7=""),"",Sync!$W7)</f>
        <v/>
      </c>
      <c r="Q10">
        <f>IF(OR($G10="",Sync!$AE7=""),"",Sync!$AE7)</f>
        <v/>
      </c>
      <c r="R10">
        <f>IF($G10="","",IF(Sync!$V7="","0000",IF(AND(ISNUMBER(Sync!$V7),Sync!$V7&gt;=0,Sync!$V7&lt;1),RIGHT("00"&amp;HOUR(Sync!$V7),2)&amp;RIGHT("00"&amp;MINUTE(Sync!$V7),2),IFERROR(RIGHT("00"&amp;VALUE(LEFT(Sync!$V7,FIND(":",Sync!$V7)-1)),2)&amp;RIGHT("00"&amp;VALUE(MID(Sync!$V7,FIND(":",Sync!$V7)+1,2)),2),"0000"))))</f>
        <v/>
      </c>
    </row>
    <row r="11">
      <c r="A11">
        <f>IF(Sync!$U8="","",Sync!$U8)</f>
        <v/>
      </c>
      <c r="B11">
        <f>IF($A11="","",IF(ISNUMBER($A11),IF(AND($A11&gt;=10000101,$A11&lt;=99991231),INT($A11/10000),""),IFERROR(VALUE(TRIM(LEFT($A11,FIND("/",$A11)-1))),"")))</f>
        <v/>
      </c>
      <c r="C11">
        <f>IF(OR($A11="",$B11=""),"",IF(ISNUMBER($A11),INT(MOD($A11,10000)/100),IFERROR(VALUE(TRIM(LEFT(MID($A11,FIND("/",$A11)+1,20),FIND("/",MID($A11,FIND("/",$A11)+1,20))-1))),"")))</f>
        <v/>
      </c>
      <c r="D11">
        <f>IF(OR($A11="",$B11=""),"",IF(ISNUMBER($A11),MOD($A11,100),IFERROR(VALUE(TRIM(MID(MID($A11,FIND("/",$A11)+1,20),FIND("/",MID($A11,FIND("/",$A11)+1,20))+1,20))),"")))</f>
        <v/>
      </c>
      <c r="E11">
        <f>IF($A11="","",IF(OR($B11="",$C11="",$D11="",$B11&lt;1300,$B11&gt;1500,$C11&lt;1,$C11&gt;12,$D11&lt;1,$D11&gt;31),"نامعتبر",RIGHT("0000"&amp;$B11,4)&amp;"/"&amp;RIGHT("00"&amp;$C11,2)&amp;"/"&amp;RIGHT("00"&amp;$D11,2)))</f>
        <v/>
      </c>
      <c r="F11">
        <f>IF(OR($E11="",$E11="نامعتبر"),"",LEFT($E11,4)&amp;"/"&amp;MID($E11,6,2))</f>
        <v/>
      </c>
      <c r="G11">
        <f>IF(OR($E11="",$E11="نامعتبر",Sync!$Y8=""),"",Sync!$Y8)</f>
        <v/>
      </c>
      <c r="H11">
        <f>IF($G11="","",IF(Sync!$X8="","",Sync!$X8))</f>
        <v/>
      </c>
      <c r="I11">
        <f>IF($G11="","",IFERROR(VLOOKUP(Sync!$X8,OpTbl,3,0),""))</f>
        <v/>
      </c>
      <c r="J11">
        <f>IF(OR($G11="",Sync!$Z8=""),"",Sync!$Z8)</f>
        <v/>
      </c>
      <c r="K11">
        <f>IF(OR($G11="",Sync!$AA8=""),"",Sync!$AA8)</f>
        <v/>
      </c>
      <c r="L11">
        <f>IF($G11="",0,IF(Sync!$AB8="",0,Sync!$AB8))</f>
        <v/>
      </c>
      <c r="M11">
        <f>IF($G11="",0,IF(Sync!$AC8="",0,Sync!$AC8))</f>
        <v/>
      </c>
      <c r="N11">
        <f>IF($G11="","",IF($H11="مرجوعی خرید",-1,1)*($L11-$M11*IFERROR(VLOOKUP("P01",ParamTbl,3,0),1.5))*(1-IF($I11="خرید",IFERROR(VLOOKUP("P02",ParamTbl,3,0),1),0)/100))</f>
        <v/>
      </c>
      <c r="O11">
        <f>IF($G11="",0,IF($H11="مرجوعی خرید",-1,1)*IF(Sync!$AD8="",0,Sync!$AD8))</f>
        <v/>
      </c>
      <c r="P11">
        <f>IF(OR($G11="",Sync!$W8=""),"",Sync!$W8)</f>
        <v/>
      </c>
      <c r="Q11">
        <f>IF(OR($G11="",Sync!$AE8=""),"",Sync!$AE8)</f>
        <v/>
      </c>
      <c r="R11">
        <f>IF($G11="","",IF(Sync!$V8="","0000",IF(AND(ISNUMBER(Sync!$V8),Sync!$V8&gt;=0,Sync!$V8&lt;1),RIGHT("00"&amp;HOUR(Sync!$V8),2)&amp;RIGHT("00"&amp;MINUTE(Sync!$V8),2),IFERROR(RIGHT("00"&amp;VALUE(LEFT(Sync!$V8,FIND(":",Sync!$V8)-1)),2)&amp;RIGHT("00"&amp;VALUE(MID(Sync!$V8,FIND(":",Sync!$V8)+1,2)),2),"0000"))))</f>
        <v/>
      </c>
    </row>
    <row r="12">
      <c r="A12">
        <f>IF(Sync!$U9="","",Sync!$U9)</f>
        <v/>
      </c>
      <c r="B12">
        <f>IF($A12="","",IF(ISNUMBER($A12),IF(AND($A12&gt;=10000101,$A12&lt;=99991231),INT($A12/10000),""),IFERROR(VALUE(TRIM(LEFT($A12,FIND("/",$A12)-1))),"")))</f>
        <v/>
      </c>
      <c r="C12">
        <f>IF(OR($A12="",$B12=""),"",IF(ISNUMBER($A12),INT(MOD($A12,10000)/100),IFERROR(VALUE(TRIM(LEFT(MID($A12,FIND("/",$A12)+1,20),FIND("/",MID($A12,FIND("/",$A12)+1,20))-1))),"")))</f>
        <v/>
      </c>
      <c r="D12">
        <f>IF(OR($A12="",$B12=""),"",IF(ISNUMBER($A12),MOD($A12,100),IFERROR(VALUE(TRIM(MID(MID($A12,FIND("/",$A12)+1,20),FIND("/",MID($A12,FIND("/",$A12)+1,20))+1,20))),"")))</f>
        <v/>
      </c>
      <c r="E12">
        <f>IF($A12="","",IF(OR($B12="",$C12="",$D12="",$B12&lt;1300,$B12&gt;1500,$C12&lt;1,$C12&gt;12,$D12&lt;1,$D12&gt;31),"نامعتبر",RIGHT("0000"&amp;$B12,4)&amp;"/"&amp;RIGHT("00"&amp;$C12,2)&amp;"/"&amp;RIGHT("00"&amp;$D12,2)))</f>
        <v/>
      </c>
      <c r="F12">
        <f>IF(OR($E12="",$E12="نامعتبر"),"",LEFT($E12,4)&amp;"/"&amp;MID($E12,6,2))</f>
        <v/>
      </c>
      <c r="G12">
        <f>IF(OR($E12="",$E12="نامعتبر",Sync!$Y9=""),"",Sync!$Y9)</f>
        <v/>
      </c>
      <c r="H12">
        <f>IF($G12="","",IF(Sync!$X9="","",Sync!$X9))</f>
        <v/>
      </c>
      <c r="I12">
        <f>IF($G12="","",IFERROR(VLOOKUP(Sync!$X9,OpTbl,3,0),""))</f>
        <v/>
      </c>
      <c r="J12">
        <f>IF(OR($G12="",Sync!$Z9=""),"",Sync!$Z9)</f>
        <v/>
      </c>
      <c r="K12">
        <f>IF(OR($G12="",Sync!$AA9=""),"",Sync!$AA9)</f>
        <v/>
      </c>
      <c r="L12">
        <f>IF($G12="",0,IF(Sync!$AB9="",0,Sync!$AB9))</f>
        <v/>
      </c>
      <c r="M12">
        <f>IF($G12="",0,IF(Sync!$AC9="",0,Sync!$AC9))</f>
        <v/>
      </c>
      <c r="N12">
        <f>IF($G12="","",IF($H12="مرجوعی خرید",-1,1)*($L12-$M12*IFERROR(VLOOKUP("P01",ParamTbl,3,0),1.5))*(1-IF($I12="خرید",IFERROR(VLOOKUP("P02",ParamTbl,3,0),1),0)/100))</f>
        <v/>
      </c>
      <c r="O12">
        <f>IF($G12="",0,IF($H12="مرجوعی خرید",-1,1)*IF(Sync!$AD9="",0,Sync!$AD9))</f>
        <v/>
      </c>
      <c r="P12">
        <f>IF(OR($G12="",Sync!$W9=""),"",Sync!$W9)</f>
        <v/>
      </c>
      <c r="Q12">
        <f>IF(OR($G12="",Sync!$AE9=""),"",Sync!$AE9)</f>
        <v/>
      </c>
      <c r="R12">
        <f>IF($G12="","",IF(Sync!$V9="","0000",IF(AND(ISNUMBER(Sync!$V9),Sync!$V9&gt;=0,Sync!$V9&lt;1),RIGHT("00"&amp;HOUR(Sync!$V9),2)&amp;RIGHT("00"&amp;MINUTE(Sync!$V9),2),IFERROR(RIGHT("00"&amp;VALUE(LEFT(Sync!$V9,FIND(":",Sync!$V9)-1)),2)&amp;RIGHT("00"&amp;VALUE(MID(Sync!$V9,FIND(":",Sync!$V9)+1,2)),2),"0000"))))</f>
        <v/>
      </c>
    </row>
    <row r="13">
      <c r="A13">
        <f>IF(Sync!$U10="","",Sync!$U10)</f>
        <v/>
      </c>
      <c r="B13">
        <f>IF($A13="","",IF(ISNUMBER($A13),IF(AND($A13&gt;=10000101,$A13&lt;=99991231),INT($A13/10000),""),IFERROR(VALUE(TRIM(LEFT($A13,FIND("/",$A13)-1))),"")))</f>
        <v/>
      </c>
      <c r="C13">
        <f>IF(OR($A13="",$B13=""),"",IF(ISNUMBER($A13),INT(MOD($A13,10000)/100),IFERROR(VALUE(TRIM(LEFT(MID($A13,FIND("/",$A13)+1,20),FIND("/",MID($A13,FIND("/",$A13)+1,20))-1))),"")))</f>
        <v/>
      </c>
      <c r="D13">
        <f>IF(OR($A13="",$B13=""),"",IF(ISNUMBER($A13),MOD($A13,100),IFERROR(VALUE(TRIM(MID(MID($A13,FIND("/",$A13)+1,20),FIND("/",MID($A13,FIND("/",$A13)+1,20))+1,20))),"")))</f>
        <v/>
      </c>
      <c r="E13">
        <f>IF($A13="","",IF(OR($B13="",$C13="",$D13="",$B13&lt;1300,$B13&gt;1500,$C13&lt;1,$C13&gt;12,$D13&lt;1,$D13&gt;31),"نامعتبر",RIGHT("0000"&amp;$B13,4)&amp;"/"&amp;RIGHT("00"&amp;$C13,2)&amp;"/"&amp;RIGHT("00"&amp;$D13,2)))</f>
        <v/>
      </c>
      <c r="F13">
        <f>IF(OR($E13="",$E13="نامعتبر"),"",LEFT($E13,4)&amp;"/"&amp;MID($E13,6,2))</f>
        <v/>
      </c>
      <c r="G13">
        <f>IF(OR($E13="",$E13="نامعتبر",Sync!$Y10=""),"",Sync!$Y10)</f>
        <v/>
      </c>
      <c r="H13">
        <f>IF($G13="","",IF(Sync!$X10="","",Sync!$X10))</f>
        <v/>
      </c>
      <c r="I13">
        <f>IF($G13="","",IFERROR(VLOOKUP(Sync!$X10,OpTbl,3,0),""))</f>
        <v/>
      </c>
      <c r="J13">
        <f>IF(OR($G13="",Sync!$Z10=""),"",Sync!$Z10)</f>
        <v/>
      </c>
      <c r="K13">
        <f>IF(OR($G13="",Sync!$AA10=""),"",Sync!$AA10)</f>
        <v/>
      </c>
      <c r="L13">
        <f>IF($G13="",0,IF(Sync!$AB10="",0,Sync!$AB10))</f>
        <v/>
      </c>
      <c r="M13">
        <f>IF($G13="",0,IF(Sync!$AC10="",0,Sync!$AC10))</f>
        <v/>
      </c>
      <c r="N13">
        <f>IF($G13="","",IF($H13="مرجوعی خرید",-1,1)*($L13-$M13*IFERROR(VLOOKUP("P01",ParamTbl,3,0),1.5))*(1-IF($I13="خرید",IFERROR(VLOOKUP("P02",ParamTbl,3,0),1),0)/100))</f>
        <v/>
      </c>
      <c r="O13">
        <f>IF($G13="",0,IF($H13="مرجوعی خرید",-1,1)*IF(Sync!$AD10="",0,Sync!$AD10))</f>
        <v/>
      </c>
      <c r="P13">
        <f>IF(OR($G13="",Sync!$W10=""),"",Sync!$W10)</f>
        <v/>
      </c>
      <c r="Q13">
        <f>IF(OR($G13="",Sync!$AE10=""),"",Sync!$AE10)</f>
        <v/>
      </c>
      <c r="R13">
        <f>IF($G13="","",IF(Sync!$V10="","0000",IF(AND(ISNUMBER(Sync!$V10),Sync!$V10&gt;=0,Sync!$V10&lt;1),RIGHT("00"&amp;HOUR(Sync!$V10),2)&amp;RIGHT("00"&amp;MINUTE(Sync!$V10),2),IFERROR(RIGHT("00"&amp;VALUE(LEFT(Sync!$V10,FIND(":",Sync!$V10)-1)),2)&amp;RIGHT("00"&amp;VALUE(MID(Sync!$V10,FIND(":",Sync!$V10)+1,2)),2),"0000"))))</f>
        <v/>
      </c>
    </row>
    <row r="14">
      <c r="A14">
        <f>IF(Sync!$U11="","",Sync!$U11)</f>
        <v/>
      </c>
      <c r="B14">
        <f>IF($A14="","",IF(ISNUMBER($A14),IF(AND($A14&gt;=10000101,$A14&lt;=99991231),INT($A14/10000),""),IFERROR(VALUE(TRIM(LEFT($A14,FIND("/",$A14)-1))),"")))</f>
        <v/>
      </c>
      <c r="C14">
        <f>IF(OR($A14="",$B14=""),"",IF(ISNUMBER($A14),INT(MOD($A14,10000)/100),IFERROR(VALUE(TRIM(LEFT(MID($A14,FIND("/",$A14)+1,20),FIND("/",MID($A14,FIND("/",$A14)+1,20))-1))),"")))</f>
        <v/>
      </c>
      <c r="D14">
        <f>IF(OR($A14="",$B14=""),"",IF(ISNUMBER($A14),MOD($A14,100),IFERROR(VALUE(TRIM(MID(MID($A14,FIND("/",$A14)+1,20),FIND("/",MID($A14,FIND("/",$A14)+1,20))+1,20))),"")))</f>
        <v/>
      </c>
      <c r="E14">
        <f>IF($A14="","",IF(OR($B14="",$C14="",$D14="",$B14&lt;1300,$B14&gt;1500,$C14&lt;1,$C14&gt;12,$D14&lt;1,$D14&gt;31),"نامعتبر",RIGHT("0000"&amp;$B14,4)&amp;"/"&amp;RIGHT("00"&amp;$C14,2)&amp;"/"&amp;RIGHT("00"&amp;$D14,2)))</f>
        <v/>
      </c>
      <c r="F14">
        <f>IF(OR($E14="",$E14="نامعتبر"),"",LEFT($E14,4)&amp;"/"&amp;MID($E14,6,2))</f>
        <v/>
      </c>
      <c r="G14">
        <f>IF(OR($E14="",$E14="نامعتبر",Sync!$Y11=""),"",Sync!$Y11)</f>
        <v/>
      </c>
      <c r="H14">
        <f>IF($G14="","",IF(Sync!$X11="","",Sync!$X11))</f>
        <v/>
      </c>
      <c r="I14">
        <f>IF($G14="","",IFERROR(VLOOKUP(Sync!$X11,OpTbl,3,0),""))</f>
        <v/>
      </c>
      <c r="J14">
        <f>IF(OR($G14="",Sync!$Z11=""),"",Sync!$Z11)</f>
        <v/>
      </c>
      <c r="K14">
        <f>IF(OR($G14="",Sync!$AA11=""),"",Sync!$AA11)</f>
        <v/>
      </c>
      <c r="L14">
        <f>IF($G14="",0,IF(Sync!$AB11="",0,Sync!$AB11))</f>
        <v/>
      </c>
      <c r="M14">
        <f>IF($G14="",0,IF(Sync!$AC11="",0,Sync!$AC11))</f>
        <v/>
      </c>
      <c r="N14">
        <f>IF($G14="","",IF($H14="مرجوعی خرید",-1,1)*($L14-$M14*IFERROR(VLOOKUP("P01",ParamTbl,3,0),1.5))*(1-IF($I14="خرید",IFERROR(VLOOKUP("P02",ParamTbl,3,0),1),0)/100))</f>
        <v/>
      </c>
      <c r="O14">
        <f>IF($G14="",0,IF($H14="مرجوعی خرید",-1,1)*IF(Sync!$AD11="",0,Sync!$AD11))</f>
        <v/>
      </c>
      <c r="P14">
        <f>IF(OR($G14="",Sync!$W11=""),"",Sync!$W11)</f>
        <v/>
      </c>
      <c r="Q14">
        <f>IF(OR($G14="",Sync!$AE11=""),"",Sync!$AE11)</f>
        <v/>
      </c>
      <c r="R14">
        <f>IF($G14="","",IF(Sync!$V11="","0000",IF(AND(ISNUMBER(Sync!$V11),Sync!$V11&gt;=0,Sync!$V11&lt;1),RIGHT("00"&amp;HOUR(Sync!$V11),2)&amp;RIGHT("00"&amp;MINUTE(Sync!$V11),2),IFERROR(RIGHT("00"&amp;VALUE(LEFT(Sync!$V11,FIND(":",Sync!$V11)-1)),2)&amp;RIGHT("00"&amp;VALUE(MID(Sync!$V11,FIND(":",Sync!$V11)+1,2)),2),"0000"))))</f>
        <v/>
      </c>
    </row>
    <row r="15">
      <c r="A15">
        <f>IF(Sync!$U12="","",Sync!$U12)</f>
        <v/>
      </c>
      <c r="B15">
        <f>IF($A15="","",IF(ISNUMBER($A15),IF(AND($A15&gt;=10000101,$A15&lt;=99991231),INT($A15/10000),""),IFERROR(VALUE(TRIM(LEFT($A15,FIND("/",$A15)-1))),"")))</f>
        <v/>
      </c>
      <c r="C15">
        <f>IF(OR($A15="",$B15=""),"",IF(ISNUMBER($A15),INT(MOD($A15,10000)/100),IFERROR(VALUE(TRIM(LEFT(MID($A15,FIND("/",$A15)+1,20),FIND("/",MID($A15,FIND("/",$A15)+1,20))-1))),"")))</f>
        <v/>
      </c>
      <c r="D15">
        <f>IF(OR($A15="",$B15=""),"",IF(ISNUMBER($A15),MOD($A15,100),IFERROR(VALUE(TRIM(MID(MID($A15,FIND("/",$A15)+1,20),FIND("/",MID($A15,FIND("/",$A15)+1,20))+1,20))),"")))</f>
        <v/>
      </c>
      <c r="E15">
        <f>IF($A15="","",IF(OR($B15="",$C15="",$D15="",$B15&lt;1300,$B15&gt;1500,$C15&lt;1,$C15&gt;12,$D15&lt;1,$D15&gt;31),"نامعتبر",RIGHT("0000"&amp;$B15,4)&amp;"/"&amp;RIGHT("00"&amp;$C15,2)&amp;"/"&amp;RIGHT("00"&amp;$D15,2)))</f>
        <v/>
      </c>
      <c r="F15">
        <f>IF(OR($E15="",$E15="نامعتبر"),"",LEFT($E15,4)&amp;"/"&amp;MID($E15,6,2))</f>
        <v/>
      </c>
      <c r="G15">
        <f>IF(OR($E15="",$E15="نامعتبر",Sync!$Y12=""),"",Sync!$Y12)</f>
        <v/>
      </c>
      <c r="H15">
        <f>IF($G15="","",IF(Sync!$X12="","",Sync!$X12))</f>
        <v/>
      </c>
      <c r="I15">
        <f>IF($G15="","",IFERROR(VLOOKUP(Sync!$X12,OpTbl,3,0),""))</f>
        <v/>
      </c>
      <c r="J15">
        <f>IF(OR($G15="",Sync!$Z12=""),"",Sync!$Z12)</f>
        <v/>
      </c>
      <c r="K15">
        <f>IF(OR($G15="",Sync!$AA12=""),"",Sync!$AA12)</f>
        <v/>
      </c>
      <c r="L15">
        <f>IF($G15="",0,IF(Sync!$AB12="",0,Sync!$AB12))</f>
        <v/>
      </c>
      <c r="M15">
        <f>IF($G15="",0,IF(Sync!$AC12="",0,Sync!$AC12))</f>
        <v/>
      </c>
      <c r="N15">
        <f>IF($G15="","",IF($H15="مرجوعی خرید",-1,1)*($L15-$M15*IFERROR(VLOOKUP("P01",ParamTbl,3,0),1.5))*(1-IF($I15="خرید",IFERROR(VLOOKUP("P02",ParamTbl,3,0),1),0)/100))</f>
        <v/>
      </c>
      <c r="O15">
        <f>IF($G15="",0,IF($H15="مرجوعی خرید",-1,1)*IF(Sync!$AD12="",0,Sync!$AD12))</f>
        <v/>
      </c>
      <c r="P15">
        <f>IF(OR($G15="",Sync!$W12=""),"",Sync!$W12)</f>
        <v/>
      </c>
      <c r="Q15">
        <f>IF(OR($G15="",Sync!$AE12=""),"",Sync!$AE12)</f>
        <v/>
      </c>
      <c r="R15">
        <f>IF($G15="","",IF(Sync!$V12="","0000",IF(AND(ISNUMBER(Sync!$V12),Sync!$V12&gt;=0,Sync!$V12&lt;1),RIGHT("00"&amp;HOUR(Sync!$V12),2)&amp;RIGHT("00"&amp;MINUTE(Sync!$V12),2),IFERROR(RIGHT("00"&amp;VALUE(LEFT(Sync!$V12,FIND(":",Sync!$V12)-1)),2)&amp;RIGHT("00"&amp;VALUE(MID(Sync!$V12,FIND(":",Sync!$V12)+1,2)),2),"0000"))))</f>
        <v/>
      </c>
    </row>
    <row r="16">
      <c r="A16">
        <f>IF(Sync!$U13="","",Sync!$U13)</f>
        <v/>
      </c>
      <c r="B16">
        <f>IF($A16="","",IF(ISNUMBER($A16),IF(AND($A16&gt;=10000101,$A16&lt;=99991231),INT($A16/10000),""),IFERROR(VALUE(TRIM(LEFT($A16,FIND("/",$A16)-1))),"")))</f>
        <v/>
      </c>
      <c r="C16">
        <f>IF(OR($A16="",$B16=""),"",IF(ISNUMBER($A16),INT(MOD($A16,10000)/100),IFERROR(VALUE(TRIM(LEFT(MID($A16,FIND("/",$A16)+1,20),FIND("/",MID($A16,FIND("/",$A16)+1,20))-1))),"")))</f>
        <v/>
      </c>
      <c r="D16">
        <f>IF(OR($A16="",$B16=""),"",IF(ISNUMBER($A16),MOD($A16,100),IFERROR(VALUE(TRIM(MID(MID($A16,FIND("/",$A16)+1,20),FIND("/",MID($A16,FIND("/",$A16)+1,20))+1,20))),"")))</f>
        <v/>
      </c>
      <c r="E16">
        <f>IF($A16="","",IF(OR($B16="",$C16="",$D16="",$B16&lt;1300,$B16&gt;1500,$C16&lt;1,$C16&gt;12,$D16&lt;1,$D16&gt;31),"نامعتبر",RIGHT("0000"&amp;$B16,4)&amp;"/"&amp;RIGHT("00"&amp;$C16,2)&amp;"/"&amp;RIGHT("00"&amp;$D16,2)))</f>
        <v/>
      </c>
      <c r="F16">
        <f>IF(OR($E16="",$E16="نامعتبر"),"",LEFT($E16,4)&amp;"/"&amp;MID($E16,6,2))</f>
        <v/>
      </c>
      <c r="G16">
        <f>IF(OR($E16="",$E16="نامعتبر",Sync!$Y13=""),"",Sync!$Y13)</f>
        <v/>
      </c>
      <c r="H16">
        <f>IF($G16="","",IF(Sync!$X13="","",Sync!$X13))</f>
        <v/>
      </c>
      <c r="I16">
        <f>IF($G16="","",IFERROR(VLOOKUP(Sync!$X13,OpTbl,3,0),""))</f>
        <v/>
      </c>
      <c r="J16">
        <f>IF(OR($G16="",Sync!$Z13=""),"",Sync!$Z13)</f>
        <v/>
      </c>
      <c r="K16">
        <f>IF(OR($G16="",Sync!$AA13=""),"",Sync!$AA13)</f>
        <v/>
      </c>
      <c r="L16">
        <f>IF($G16="",0,IF(Sync!$AB13="",0,Sync!$AB13))</f>
        <v/>
      </c>
      <c r="M16">
        <f>IF($G16="",0,IF(Sync!$AC13="",0,Sync!$AC13))</f>
        <v/>
      </c>
      <c r="N16">
        <f>IF($G16="","",IF($H16="مرجوعی خرید",-1,1)*($L16-$M16*IFERROR(VLOOKUP("P01",ParamTbl,3,0),1.5))*(1-IF($I16="خرید",IFERROR(VLOOKUP("P02",ParamTbl,3,0),1),0)/100))</f>
        <v/>
      </c>
      <c r="O16">
        <f>IF($G16="",0,IF($H16="مرجوعی خرید",-1,1)*IF(Sync!$AD13="",0,Sync!$AD13))</f>
        <v/>
      </c>
      <c r="P16">
        <f>IF(OR($G16="",Sync!$W13=""),"",Sync!$W13)</f>
        <v/>
      </c>
      <c r="Q16">
        <f>IF(OR($G16="",Sync!$AE13=""),"",Sync!$AE13)</f>
        <v/>
      </c>
      <c r="R16">
        <f>IF($G16="","",IF(Sync!$V13="","0000",IF(AND(ISNUMBER(Sync!$V13),Sync!$V13&gt;=0,Sync!$V13&lt;1),RIGHT("00"&amp;HOUR(Sync!$V13),2)&amp;RIGHT("00"&amp;MINUTE(Sync!$V13),2),IFERROR(RIGHT("00"&amp;VALUE(LEFT(Sync!$V13,FIND(":",Sync!$V13)-1)),2)&amp;RIGHT("00"&amp;VALUE(MID(Sync!$V13,FIND(":",Sync!$V13)+1,2)),2),"0000"))))</f>
        <v/>
      </c>
    </row>
    <row r="17">
      <c r="A17">
        <f>IF(Sync!$U14="","",Sync!$U14)</f>
        <v/>
      </c>
      <c r="B17">
        <f>IF($A17="","",IF(ISNUMBER($A17),IF(AND($A17&gt;=10000101,$A17&lt;=99991231),INT($A17/10000),""),IFERROR(VALUE(TRIM(LEFT($A17,FIND("/",$A17)-1))),"")))</f>
        <v/>
      </c>
      <c r="C17">
        <f>IF(OR($A17="",$B17=""),"",IF(ISNUMBER($A17),INT(MOD($A17,10000)/100),IFERROR(VALUE(TRIM(LEFT(MID($A17,FIND("/",$A17)+1,20),FIND("/",MID($A17,FIND("/",$A17)+1,20))-1))),"")))</f>
        <v/>
      </c>
      <c r="D17">
        <f>IF(OR($A17="",$B17=""),"",IF(ISNUMBER($A17),MOD($A17,100),IFERROR(VALUE(TRIM(MID(MID($A17,FIND("/",$A17)+1,20),FIND("/",MID($A17,FIND("/",$A17)+1,20))+1,20))),"")))</f>
        <v/>
      </c>
      <c r="E17">
        <f>IF($A17="","",IF(OR($B17="",$C17="",$D17="",$B17&lt;1300,$B17&gt;1500,$C17&lt;1,$C17&gt;12,$D17&lt;1,$D17&gt;31),"نامعتبر",RIGHT("0000"&amp;$B17,4)&amp;"/"&amp;RIGHT("00"&amp;$C17,2)&amp;"/"&amp;RIGHT("00"&amp;$D17,2)))</f>
        <v/>
      </c>
      <c r="F17">
        <f>IF(OR($E17="",$E17="نامعتبر"),"",LEFT($E17,4)&amp;"/"&amp;MID($E17,6,2))</f>
        <v/>
      </c>
      <c r="G17">
        <f>IF(OR($E17="",$E17="نامعتبر",Sync!$Y14=""),"",Sync!$Y14)</f>
        <v/>
      </c>
      <c r="H17">
        <f>IF($G17="","",IF(Sync!$X14="","",Sync!$X14))</f>
        <v/>
      </c>
      <c r="I17">
        <f>IF($G17="","",IFERROR(VLOOKUP(Sync!$X14,OpTbl,3,0),""))</f>
        <v/>
      </c>
      <c r="J17">
        <f>IF(OR($G17="",Sync!$Z14=""),"",Sync!$Z14)</f>
        <v/>
      </c>
      <c r="K17">
        <f>IF(OR($G17="",Sync!$AA14=""),"",Sync!$AA14)</f>
        <v/>
      </c>
      <c r="L17">
        <f>IF($G17="",0,IF(Sync!$AB14="",0,Sync!$AB14))</f>
        <v/>
      </c>
      <c r="M17">
        <f>IF($G17="",0,IF(Sync!$AC14="",0,Sync!$AC14))</f>
        <v/>
      </c>
      <c r="N17">
        <f>IF($G17="","",IF($H17="مرجوعی خرید",-1,1)*($L17-$M17*IFERROR(VLOOKUP("P01",ParamTbl,3,0),1.5))*(1-IF($I17="خرید",IFERROR(VLOOKUP("P02",ParamTbl,3,0),1),0)/100))</f>
        <v/>
      </c>
      <c r="O17">
        <f>IF($G17="",0,IF($H17="مرجوعی خرید",-1,1)*IF(Sync!$AD14="",0,Sync!$AD14))</f>
        <v/>
      </c>
      <c r="P17">
        <f>IF(OR($G17="",Sync!$W14=""),"",Sync!$W14)</f>
        <v/>
      </c>
      <c r="Q17">
        <f>IF(OR($G17="",Sync!$AE14=""),"",Sync!$AE14)</f>
        <v/>
      </c>
      <c r="R17">
        <f>IF($G17="","",IF(Sync!$V14="","0000",IF(AND(ISNUMBER(Sync!$V14),Sync!$V14&gt;=0,Sync!$V14&lt;1),RIGHT("00"&amp;HOUR(Sync!$V14),2)&amp;RIGHT("00"&amp;MINUTE(Sync!$V14),2),IFERROR(RIGHT("00"&amp;VALUE(LEFT(Sync!$V14,FIND(":",Sync!$V14)-1)),2)&amp;RIGHT("00"&amp;VALUE(MID(Sync!$V14,FIND(":",Sync!$V14)+1,2)),2),"0000"))))</f>
        <v/>
      </c>
    </row>
    <row r="18">
      <c r="A18">
        <f>IF(Sync!$U15="","",Sync!$U15)</f>
        <v/>
      </c>
      <c r="B18">
        <f>IF($A18="","",IF(ISNUMBER($A18),IF(AND($A18&gt;=10000101,$A18&lt;=99991231),INT($A18/10000),""),IFERROR(VALUE(TRIM(LEFT($A18,FIND("/",$A18)-1))),"")))</f>
        <v/>
      </c>
      <c r="C18">
        <f>IF(OR($A18="",$B18=""),"",IF(ISNUMBER($A18),INT(MOD($A18,10000)/100),IFERROR(VALUE(TRIM(LEFT(MID($A18,FIND("/",$A18)+1,20),FIND("/",MID($A18,FIND("/",$A18)+1,20))-1))),"")))</f>
        <v/>
      </c>
      <c r="D18">
        <f>IF(OR($A18="",$B18=""),"",IF(ISNUMBER($A18),MOD($A18,100),IFERROR(VALUE(TRIM(MID(MID($A18,FIND("/",$A18)+1,20),FIND("/",MID($A18,FIND("/",$A18)+1,20))+1,20))),"")))</f>
        <v/>
      </c>
      <c r="E18">
        <f>IF($A18="","",IF(OR($B18="",$C18="",$D18="",$B18&lt;1300,$B18&gt;1500,$C18&lt;1,$C18&gt;12,$D18&lt;1,$D18&gt;31),"نامعتبر",RIGHT("0000"&amp;$B18,4)&amp;"/"&amp;RIGHT("00"&amp;$C18,2)&amp;"/"&amp;RIGHT("00"&amp;$D18,2)))</f>
        <v/>
      </c>
      <c r="F18">
        <f>IF(OR($E18="",$E18="نامعتبر"),"",LEFT($E18,4)&amp;"/"&amp;MID($E18,6,2))</f>
        <v/>
      </c>
      <c r="G18">
        <f>IF(OR($E18="",$E18="نامعتبر",Sync!$Y15=""),"",Sync!$Y15)</f>
        <v/>
      </c>
      <c r="H18">
        <f>IF($G18="","",IF(Sync!$X15="","",Sync!$X15))</f>
        <v/>
      </c>
      <c r="I18">
        <f>IF($G18="","",IFERROR(VLOOKUP(Sync!$X15,OpTbl,3,0),""))</f>
        <v/>
      </c>
      <c r="J18">
        <f>IF(OR($G18="",Sync!$Z15=""),"",Sync!$Z15)</f>
        <v/>
      </c>
      <c r="K18">
        <f>IF(OR($G18="",Sync!$AA15=""),"",Sync!$AA15)</f>
        <v/>
      </c>
      <c r="L18">
        <f>IF($G18="",0,IF(Sync!$AB15="",0,Sync!$AB15))</f>
        <v/>
      </c>
      <c r="M18">
        <f>IF($G18="",0,IF(Sync!$AC15="",0,Sync!$AC15))</f>
        <v/>
      </c>
      <c r="N18">
        <f>IF($G18="","",IF($H18="مرجوعی خرید",-1,1)*($L18-$M18*IFERROR(VLOOKUP("P01",ParamTbl,3,0),1.5))*(1-IF($I18="خرید",IFERROR(VLOOKUP("P02",ParamTbl,3,0),1),0)/100))</f>
        <v/>
      </c>
      <c r="O18">
        <f>IF($G18="",0,IF($H18="مرجوعی خرید",-1,1)*IF(Sync!$AD15="",0,Sync!$AD15))</f>
        <v/>
      </c>
      <c r="P18">
        <f>IF(OR($G18="",Sync!$W15=""),"",Sync!$W15)</f>
        <v/>
      </c>
      <c r="Q18">
        <f>IF(OR($G18="",Sync!$AE15=""),"",Sync!$AE15)</f>
        <v/>
      </c>
      <c r="R18">
        <f>IF($G18="","",IF(Sync!$V15="","0000",IF(AND(ISNUMBER(Sync!$V15),Sync!$V15&gt;=0,Sync!$V15&lt;1),RIGHT("00"&amp;HOUR(Sync!$V15),2)&amp;RIGHT("00"&amp;MINUTE(Sync!$V15),2),IFERROR(RIGHT("00"&amp;VALUE(LEFT(Sync!$V15,FIND(":",Sync!$V15)-1)),2)&amp;RIGHT("00"&amp;VALUE(MID(Sync!$V15,FIND(":",Sync!$V15)+1,2)),2),"0000"))))</f>
        <v/>
      </c>
    </row>
    <row r="19">
      <c r="A19">
        <f>IF(Sync!$U16="","",Sync!$U16)</f>
        <v/>
      </c>
      <c r="B19">
        <f>IF($A19="","",IF(ISNUMBER($A19),IF(AND($A19&gt;=10000101,$A19&lt;=99991231),INT($A19/10000),""),IFERROR(VALUE(TRIM(LEFT($A19,FIND("/",$A19)-1))),"")))</f>
        <v/>
      </c>
      <c r="C19">
        <f>IF(OR($A19="",$B19=""),"",IF(ISNUMBER($A19),INT(MOD($A19,10000)/100),IFERROR(VALUE(TRIM(LEFT(MID($A19,FIND("/",$A19)+1,20),FIND("/",MID($A19,FIND("/",$A19)+1,20))-1))),"")))</f>
        <v/>
      </c>
      <c r="D19">
        <f>IF(OR($A19="",$B19=""),"",IF(ISNUMBER($A19),MOD($A19,100),IFERROR(VALUE(TRIM(MID(MID($A19,FIND("/",$A19)+1,20),FIND("/",MID($A19,FIND("/",$A19)+1,20))+1,20))),"")))</f>
        <v/>
      </c>
      <c r="E19">
        <f>IF($A19="","",IF(OR($B19="",$C19="",$D19="",$B19&lt;1300,$B19&gt;1500,$C19&lt;1,$C19&gt;12,$D19&lt;1,$D19&gt;31),"نامعتبر",RIGHT("0000"&amp;$B19,4)&amp;"/"&amp;RIGHT("00"&amp;$C19,2)&amp;"/"&amp;RIGHT("00"&amp;$D19,2)))</f>
        <v/>
      </c>
      <c r="F19">
        <f>IF(OR($E19="",$E19="نامعتبر"),"",LEFT($E19,4)&amp;"/"&amp;MID($E19,6,2))</f>
        <v/>
      </c>
      <c r="G19">
        <f>IF(OR($E19="",$E19="نامعتبر",Sync!$Y16=""),"",Sync!$Y16)</f>
        <v/>
      </c>
      <c r="H19">
        <f>IF($G19="","",IF(Sync!$X16="","",Sync!$X16))</f>
        <v/>
      </c>
      <c r="I19">
        <f>IF($G19="","",IFERROR(VLOOKUP(Sync!$X16,OpTbl,3,0),""))</f>
        <v/>
      </c>
      <c r="J19">
        <f>IF(OR($G19="",Sync!$Z16=""),"",Sync!$Z16)</f>
        <v/>
      </c>
      <c r="K19">
        <f>IF(OR($G19="",Sync!$AA16=""),"",Sync!$AA16)</f>
        <v/>
      </c>
      <c r="L19">
        <f>IF($G19="",0,IF(Sync!$AB16="",0,Sync!$AB16))</f>
        <v/>
      </c>
      <c r="M19">
        <f>IF($G19="",0,IF(Sync!$AC16="",0,Sync!$AC16))</f>
        <v/>
      </c>
      <c r="N19">
        <f>IF($G19="","",IF($H19="مرجوعی خرید",-1,1)*($L19-$M19*IFERROR(VLOOKUP("P01",ParamTbl,3,0),1.5))*(1-IF($I19="خرید",IFERROR(VLOOKUP("P02",ParamTbl,3,0),1),0)/100))</f>
        <v/>
      </c>
      <c r="O19">
        <f>IF($G19="",0,IF($H19="مرجوعی خرید",-1,1)*IF(Sync!$AD16="",0,Sync!$AD16))</f>
        <v/>
      </c>
      <c r="P19">
        <f>IF(OR($G19="",Sync!$W16=""),"",Sync!$W16)</f>
        <v/>
      </c>
      <c r="Q19">
        <f>IF(OR($G19="",Sync!$AE16=""),"",Sync!$AE16)</f>
        <v/>
      </c>
      <c r="R19">
        <f>IF($G19="","",IF(Sync!$V16="","0000",IF(AND(ISNUMBER(Sync!$V16),Sync!$V16&gt;=0,Sync!$V16&lt;1),RIGHT("00"&amp;HOUR(Sync!$V16),2)&amp;RIGHT("00"&amp;MINUTE(Sync!$V16),2),IFERROR(RIGHT("00"&amp;VALUE(LEFT(Sync!$V16,FIND(":",Sync!$V16)-1)),2)&amp;RIGHT("00"&amp;VALUE(MID(Sync!$V16,FIND(":",Sync!$V16)+1,2)),2),"0000"))))</f>
        <v/>
      </c>
    </row>
    <row r="20">
      <c r="A20">
        <f>IF(Sync!$U17="","",Sync!$U17)</f>
        <v/>
      </c>
      <c r="B20">
        <f>IF($A20="","",IF(ISNUMBER($A20),IF(AND($A20&gt;=10000101,$A20&lt;=99991231),INT($A20/10000),""),IFERROR(VALUE(TRIM(LEFT($A20,FIND("/",$A20)-1))),"")))</f>
        <v/>
      </c>
      <c r="C20">
        <f>IF(OR($A20="",$B20=""),"",IF(ISNUMBER($A20),INT(MOD($A20,10000)/100),IFERROR(VALUE(TRIM(LEFT(MID($A20,FIND("/",$A20)+1,20),FIND("/",MID($A20,FIND("/",$A20)+1,20))-1))),"")))</f>
        <v/>
      </c>
      <c r="D20">
        <f>IF(OR($A20="",$B20=""),"",IF(ISNUMBER($A20),MOD($A20,100),IFERROR(VALUE(TRIM(MID(MID($A20,FIND("/",$A20)+1,20),FIND("/",MID($A20,FIND("/",$A20)+1,20))+1,20))),"")))</f>
        <v/>
      </c>
      <c r="E20">
        <f>IF($A20="","",IF(OR($B20="",$C20="",$D20="",$B20&lt;1300,$B20&gt;1500,$C20&lt;1,$C20&gt;12,$D20&lt;1,$D20&gt;31),"نامعتبر",RIGHT("0000"&amp;$B20,4)&amp;"/"&amp;RIGHT("00"&amp;$C20,2)&amp;"/"&amp;RIGHT("00"&amp;$D20,2)))</f>
        <v/>
      </c>
      <c r="F20">
        <f>IF(OR($E20="",$E20="نامعتبر"),"",LEFT($E20,4)&amp;"/"&amp;MID($E20,6,2))</f>
        <v/>
      </c>
      <c r="G20">
        <f>IF(OR($E20="",$E20="نامعتبر",Sync!$Y17=""),"",Sync!$Y17)</f>
        <v/>
      </c>
      <c r="H20">
        <f>IF($G20="","",IF(Sync!$X17="","",Sync!$X17))</f>
        <v/>
      </c>
      <c r="I20">
        <f>IF($G20="","",IFERROR(VLOOKUP(Sync!$X17,OpTbl,3,0),""))</f>
        <v/>
      </c>
      <c r="J20">
        <f>IF(OR($G20="",Sync!$Z17=""),"",Sync!$Z17)</f>
        <v/>
      </c>
      <c r="K20">
        <f>IF(OR($G20="",Sync!$AA17=""),"",Sync!$AA17)</f>
        <v/>
      </c>
      <c r="L20">
        <f>IF($G20="",0,IF(Sync!$AB17="",0,Sync!$AB17))</f>
        <v/>
      </c>
      <c r="M20">
        <f>IF($G20="",0,IF(Sync!$AC17="",0,Sync!$AC17))</f>
        <v/>
      </c>
      <c r="N20">
        <f>IF($G20="","",IF($H20="مرجوعی خرید",-1,1)*($L20-$M20*IFERROR(VLOOKUP("P01",ParamTbl,3,0),1.5))*(1-IF($I20="خرید",IFERROR(VLOOKUP("P02",ParamTbl,3,0),1),0)/100))</f>
        <v/>
      </c>
      <c r="O20">
        <f>IF($G20="",0,IF($H20="مرجوعی خرید",-1,1)*IF(Sync!$AD17="",0,Sync!$AD17))</f>
        <v/>
      </c>
      <c r="P20">
        <f>IF(OR($G20="",Sync!$W17=""),"",Sync!$W17)</f>
        <v/>
      </c>
      <c r="Q20">
        <f>IF(OR($G20="",Sync!$AE17=""),"",Sync!$AE17)</f>
        <v/>
      </c>
      <c r="R20">
        <f>IF($G20="","",IF(Sync!$V17="","0000",IF(AND(ISNUMBER(Sync!$V17),Sync!$V17&gt;=0,Sync!$V17&lt;1),RIGHT("00"&amp;HOUR(Sync!$V17),2)&amp;RIGHT("00"&amp;MINUTE(Sync!$V17),2),IFERROR(RIGHT("00"&amp;VALUE(LEFT(Sync!$V17,FIND(":",Sync!$V17)-1)),2)&amp;RIGHT("00"&amp;VALUE(MID(Sync!$V17,FIND(":",Sync!$V17)+1,2)),2),"0000"))))</f>
        <v/>
      </c>
    </row>
    <row r="21">
      <c r="A21">
        <f>IF(Sync!$U18="","",Sync!$U18)</f>
        <v/>
      </c>
      <c r="B21">
        <f>IF($A21="","",IF(ISNUMBER($A21),IF(AND($A21&gt;=10000101,$A21&lt;=99991231),INT($A21/10000),""),IFERROR(VALUE(TRIM(LEFT($A21,FIND("/",$A21)-1))),"")))</f>
        <v/>
      </c>
      <c r="C21">
        <f>IF(OR($A21="",$B21=""),"",IF(ISNUMBER($A21),INT(MOD($A21,10000)/100),IFERROR(VALUE(TRIM(LEFT(MID($A21,FIND("/",$A21)+1,20),FIND("/",MID($A21,FIND("/",$A21)+1,20))-1))),"")))</f>
        <v/>
      </c>
      <c r="D21">
        <f>IF(OR($A21="",$B21=""),"",IF(ISNUMBER($A21),MOD($A21,100),IFERROR(VALUE(TRIM(MID(MID($A21,FIND("/",$A21)+1,20),FIND("/",MID($A21,FIND("/",$A21)+1,20))+1,20))),"")))</f>
        <v/>
      </c>
      <c r="E21">
        <f>IF($A21="","",IF(OR($B21="",$C21="",$D21="",$B21&lt;1300,$B21&gt;1500,$C21&lt;1,$C21&gt;12,$D21&lt;1,$D21&gt;31),"نامعتبر",RIGHT("0000"&amp;$B21,4)&amp;"/"&amp;RIGHT("00"&amp;$C21,2)&amp;"/"&amp;RIGHT("00"&amp;$D21,2)))</f>
        <v/>
      </c>
      <c r="F21">
        <f>IF(OR($E21="",$E21="نامعتبر"),"",LEFT($E21,4)&amp;"/"&amp;MID($E21,6,2))</f>
        <v/>
      </c>
      <c r="G21">
        <f>IF(OR($E21="",$E21="نامعتبر",Sync!$Y18=""),"",Sync!$Y18)</f>
        <v/>
      </c>
      <c r="H21">
        <f>IF($G21="","",IF(Sync!$X18="","",Sync!$X18))</f>
        <v/>
      </c>
      <c r="I21">
        <f>IF($G21="","",IFERROR(VLOOKUP(Sync!$X18,OpTbl,3,0),""))</f>
        <v/>
      </c>
      <c r="J21">
        <f>IF(OR($G21="",Sync!$Z18=""),"",Sync!$Z18)</f>
        <v/>
      </c>
      <c r="K21">
        <f>IF(OR($G21="",Sync!$AA18=""),"",Sync!$AA18)</f>
        <v/>
      </c>
      <c r="L21">
        <f>IF($G21="",0,IF(Sync!$AB18="",0,Sync!$AB18))</f>
        <v/>
      </c>
      <c r="M21">
        <f>IF($G21="",0,IF(Sync!$AC18="",0,Sync!$AC18))</f>
        <v/>
      </c>
      <c r="N21">
        <f>IF($G21="","",IF($H21="مرجوعی خرید",-1,1)*($L21-$M21*IFERROR(VLOOKUP("P01",ParamTbl,3,0),1.5))*(1-IF($I21="خرید",IFERROR(VLOOKUP("P02",ParamTbl,3,0),1),0)/100))</f>
        <v/>
      </c>
      <c r="O21">
        <f>IF($G21="",0,IF($H21="مرجوعی خرید",-1,1)*IF(Sync!$AD18="",0,Sync!$AD18))</f>
        <v/>
      </c>
      <c r="P21">
        <f>IF(OR($G21="",Sync!$W18=""),"",Sync!$W18)</f>
        <v/>
      </c>
      <c r="Q21">
        <f>IF(OR($G21="",Sync!$AE18=""),"",Sync!$AE18)</f>
        <v/>
      </c>
      <c r="R21">
        <f>IF($G21="","",IF(Sync!$V18="","0000",IF(AND(ISNUMBER(Sync!$V18),Sync!$V18&gt;=0,Sync!$V18&lt;1),RIGHT("00"&amp;HOUR(Sync!$V18),2)&amp;RIGHT("00"&amp;MINUTE(Sync!$V18),2),IFERROR(RIGHT("00"&amp;VALUE(LEFT(Sync!$V18,FIND(":",Sync!$V18)-1)),2)&amp;RIGHT("00"&amp;VALUE(MID(Sync!$V18,FIND(":",Sync!$V18)+1,2)),2),"0000"))))</f>
        <v/>
      </c>
    </row>
    <row r="22">
      <c r="A22">
        <f>IF(Sync!$U19="","",Sync!$U19)</f>
        <v/>
      </c>
      <c r="B22">
        <f>IF($A22="","",IF(ISNUMBER($A22),IF(AND($A22&gt;=10000101,$A22&lt;=99991231),INT($A22/10000),""),IFERROR(VALUE(TRIM(LEFT($A22,FIND("/",$A22)-1))),"")))</f>
        <v/>
      </c>
      <c r="C22">
        <f>IF(OR($A22="",$B22=""),"",IF(ISNUMBER($A22),INT(MOD($A22,10000)/100),IFERROR(VALUE(TRIM(LEFT(MID($A22,FIND("/",$A22)+1,20),FIND("/",MID($A22,FIND("/",$A22)+1,20))-1))),"")))</f>
        <v/>
      </c>
      <c r="D22">
        <f>IF(OR($A22="",$B22=""),"",IF(ISNUMBER($A22),MOD($A22,100),IFERROR(VALUE(TRIM(MID(MID($A22,FIND("/",$A22)+1,20),FIND("/",MID($A22,FIND("/",$A22)+1,20))+1,20))),"")))</f>
        <v/>
      </c>
      <c r="E22">
        <f>IF($A22="","",IF(OR($B22="",$C22="",$D22="",$B22&lt;1300,$B22&gt;1500,$C22&lt;1,$C22&gt;12,$D22&lt;1,$D22&gt;31),"نامعتبر",RIGHT("0000"&amp;$B22,4)&amp;"/"&amp;RIGHT("00"&amp;$C22,2)&amp;"/"&amp;RIGHT("00"&amp;$D22,2)))</f>
        <v/>
      </c>
      <c r="F22">
        <f>IF(OR($E22="",$E22="نامعتبر"),"",LEFT($E22,4)&amp;"/"&amp;MID($E22,6,2))</f>
        <v/>
      </c>
      <c r="G22">
        <f>IF(OR($E22="",$E22="نامعتبر",Sync!$Y19=""),"",Sync!$Y19)</f>
        <v/>
      </c>
      <c r="H22">
        <f>IF($G22="","",IF(Sync!$X19="","",Sync!$X19))</f>
        <v/>
      </c>
      <c r="I22">
        <f>IF($G22="","",IFERROR(VLOOKUP(Sync!$X19,OpTbl,3,0),""))</f>
        <v/>
      </c>
      <c r="J22">
        <f>IF(OR($G22="",Sync!$Z19=""),"",Sync!$Z19)</f>
        <v/>
      </c>
      <c r="K22">
        <f>IF(OR($G22="",Sync!$AA19=""),"",Sync!$AA19)</f>
        <v/>
      </c>
      <c r="L22">
        <f>IF($G22="",0,IF(Sync!$AB19="",0,Sync!$AB19))</f>
        <v/>
      </c>
      <c r="M22">
        <f>IF($G22="",0,IF(Sync!$AC19="",0,Sync!$AC19))</f>
        <v/>
      </c>
      <c r="N22">
        <f>IF($G22="","",IF($H22="مرجوعی خرید",-1,1)*($L22-$M22*IFERROR(VLOOKUP("P01",ParamTbl,3,0),1.5))*(1-IF($I22="خرید",IFERROR(VLOOKUP("P02",ParamTbl,3,0),1),0)/100))</f>
        <v/>
      </c>
      <c r="O22">
        <f>IF($G22="",0,IF($H22="مرجوعی خرید",-1,1)*IF(Sync!$AD19="",0,Sync!$AD19))</f>
        <v/>
      </c>
      <c r="P22">
        <f>IF(OR($G22="",Sync!$W19=""),"",Sync!$W19)</f>
        <v/>
      </c>
      <c r="Q22">
        <f>IF(OR($G22="",Sync!$AE19=""),"",Sync!$AE19)</f>
        <v/>
      </c>
      <c r="R22">
        <f>IF($G22="","",IF(Sync!$V19="","0000",IF(AND(ISNUMBER(Sync!$V19),Sync!$V19&gt;=0,Sync!$V19&lt;1),RIGHT("00"&amp;HOUR(Sync!$V19),2)&amp;RIGHT("00"&amp;MINUTE(Sync!$V19),2),IFERROR(RIGHT("00"&amp;VALUE(LEFT(Sync!$V19,FIND(":",Sync!$V19)-1)),2)&amp;RIGHT("00"&amp;VALUE(MID(Sync!$V19,FIND(":",Sync!$V19)+1,2)),2),"0000"))))</f>
        <v/>
      </c>
    </row>
    <row r="23">
      <c r="A23">
        <f>IF(Sync!$U20="","",Sync!$U20)</f>
        <v/>
      </c>
      <c r="B23">
        <f>IF($A23="","",IF(ISNUMBER($A23),IF(AND($A23&gt;=10000101,$A23&lt;=99991231),INT($A23/10000),""),IFERROR(VALUE(TRIM(LEFT($A23,FIND("/",$A23)-1))),"")))</f>
        <v/>
      </c>
      <c r="C23">
        <f>IF(OR($A23="",$B23=""),"",IF(ISNUMBER($A23),INT(MOD($A23,10000)/100),IFERROR(VALUE(TRIM(LEFT(MID($A23,FIND("/",$A23)+1,20),FIND("/",MID($A23,FIND("/",$A23)+1,20))-1))),"")))</f>
        <v/>
      </c>
      <c r="D23">
        <f>IF(OR($A23="",$B23=""),"",IF(ISNUMBER($A23),MOD($A23,100),IFERROR(VALUE(TRIM(MID(MID($A23,FIND("/",$A23)+1,20),FIND("/",MID($A23,FIND("/",$A23)+1,20))+1,20))),"")))</f>
        <v/>
      </c>
      <c r="E23">
        <f>IF($A23="","",IF(OR($B23="",$C23="",$D23="",$B23&lt;1300,$B23&gt;1500,$C23&lt;1,$C23&gt;12,$D23&lt;1,$D23&gt;31),"نامعتبر",RIGHT("0000"&amp;$B23,4)&amp;"/"&amp;RIGHT("00"&amp;$C23,2)&amp;"/"&amp;RIGHT("00"&amp;$D23,2)))</f>
        <v/>
      </c>
      <c r="F23">
        <f>IF(OR($E23="",$E23="نامعتبر"),"",LEFT($E23,4)&amp;"/"&amp;MID($E23,6,2))</f>
        <v/>
      </c>
      <c r="G23">
        <f>IF(OR($E23="",$E23="نامعتبر",Sync!$Y20=""),"",Sync!$Y20)</f>
        <v/>
      </c>
      <c r="H23">
        <f>IF($G23="","",IF(Sync!$X20="","",Sync!$X20))</f>
        <v/>
      </c>
      <c r="I23">
        <f>IF($G23="","",IFERROR(VLOOKUP(Sync!$X20,OpTbl,3,0),""))</f>
        <v/>
      </c>
      <c r="J23">
        <f>IF(OR($G23="",Sync!$Z20=""),"",Sync!$Z20)</f>
        <v/>
      </c>
      <c r="K23">
        <f>IF(OR($G23="",Sync!$AA20=""),"",Sync!$AA20)</f>
        <v/>
      </c>
      <c r="L23">
        <f>IF($G23="",0,IF(Sync!$AB20="",0,Sync!$AB20))</f>
        <v/>
      </c>
      <c r="M23">
        <f>IF($G23="",0,IF(Sync!$AC20="",0,Sync!$AC20))</f>
        <v/>
      </c>
      <c r="N23">
        <f>IF($G23="","",IF($H23="مرجوعی خرید",-1,1)*($L23-$M23*IFERROR(VLOOKUP("P01",ParamTbl,3,0),1.5))*(1-IF($I23="خرید",IFERROR(VLOOKUP("P02",ParamTbl,3,0),1),0)/100))</f>
        <v/>
      </c>
      <c r="O23">
        <f>IF($G23="",0,IF($H23="مرجوعی خرید",-1,1)*IF(Sync!$AD20="",0,Sync!$AD20))</f>
        <v/>
      </c>
      <c r="P23">
        <f>IF(OR($G23="",Sync!$W20=""),"",Sync!$W20)</f>
        <v/>
      </c>
      <c r="Q23">
        <f>IF(OR($G23="",Sync!$AE20=""),"",Sync!$AE20)</f>
        <v/>
      </c>
      <c r="R23">
        <f>IF($G23="","",IF(Sync!$V20="","0000",IF(AND(ISNUMBER(Sync!$V20),Sync!$V20&gt;=0,Sync!$V20&lt;1),RIGHT("00"&amp;HOUR(Sync!$V20),2)&amp;RIGHT("00"&amp;MINUTE(Sync!$V20),2),IFERROR(RIGHT("00"&amp;VALUE(LEFT(Sync!$V20,FIND(":",Sync!$V20)-1)),2)&amp;RIGHT("00"&amp;VALUE(MID(Sync!$V20,FIND(":",Sync!$V20)+1,2)),2),"0000"))))</f>
        <v/>
      </c>
    </row>
    <row r="24">
      <c r="A24">
        <f>IF(Sync!$U21="","",Sync!$U21)</f>
        <v/>
      </c>
      <c r="B24">
        <f>IF($A24="","",IF(ISNUMBER($A24),IF(AND($A24&gt;=10000101,$A24&lt;=99991231),INT($A24/10000),""),IFERROR(VALUE(TRIM(LEFT($A24,FIND("/",$A24)-1))),"")))</f>
        <v/>
      </c>
      <c r="C24">
        <f>IF(OR($A24="",$B24=""),"",IF(ISNUMBER($A24),INT(MOD($A24,10000)/100),IFERROR(VALUE(TRIM(LEFT(MID($A24,FIND("/",$A24)+1,20),FIND("/",MID($A24,FIND("/",$A24)+1,20))-1))),"")))</f>
        <v/>
      </c>
      <c r="D24">
        <f>IF(OR($A24="",$B24=""),"",IF(ISNUMBER($A24),MOD($A24,100),IFERROR(VALUE(TRIM(MID(MID($A24,FIND("/",$A24)+1,20),FIND("/",MID($A24,FIND("/",$A24)+1,20))+1,20))),"")))</f>
        <v/>
      </c>
      <c r="E24">
        <f>IF($A24="","",IF(OR($B24="",$C24="",$D24="",$B24&lt;1300,$B24&gt;1500,$C24&lt;1,$C24&gt;12,$D24&lt;1,$D24&gt;31),"نامعتبر",RIGHT("0000"&amp;$B24,4)&amp;"/"&amp;RIGHT("00"&amp;$C24,2)&amp;"/"&amp;RIGHT("00"&amp;$D24,2)))</f>
        <v/>
      </c>
      <c r="F24">
        <f>IF(OR($E24="",$E24="نامعتبر"),"",LEFT($E24,4)&amp;"/"&amp;MID($E24,6,2))</f>
        <v/>
      </c>
      <c r="G24">
        <f>IF(OR($E24="",$E24="نامعتبر",Sync!$Y21=""),"",Sync!$Y21)</f>
        <v/>
      </c>
      <c r="H24">
        <f>IF($G24="","",IF(Sync!$X21="","",Sync!$X21))</f>
        <v/>
      </c>
      <c r="I24">
        <f>IF($G24="","",IFERROR(VLOOKUP(Sync!$X21,OpTbl,3,0),""))</f>
        <v/>
      </c>
      <c r="J24">
        <f>IF(OR($G24="",Sync!$Z21=""),"",Sync!$Z21)</f>
        <v/>
      </c>
      <c r="K24">
        <f>IF(OR($G24="",Sync!$AA21=""),"",Sync!$AA21)</f>
        <v/>
      </c>
      <c r="L24">
        <f>IF($G24="",0,IF(Sync!$AB21="",0,Sync!$AB21))</f>
        <v/>
      </c>
      <c r="M24">
        <f>IF($G24="",0,IF(Sync!$AC21="",0,Sync!$AC21))</f>
        <v/>
      </c>
      <c r="N24">
        <f>IF($G24="","",IF($H24="مرجوعی خرید",-1,1)*($L24-$M24*IFERROR(VLOOKUP("P01",ParamTbl,3,0),1.5))*(1-IF($I24="خرید",IFERROR(VLOOKUP("P02",ParamTbl,3,0),1),0)/100))</f>
        <v/>
      </c>
      <c r="O24">
        <f>IF($G24="",0,IF($H24="مرجوعی خرید",-1,1)*IF(Sync!$AD21="",0,Sync!$AD21))</f>
        <v/>
      </c>
      <c r="P24">
        <f>IF(OR($G24="",Sync!$W21=""),"",Sync!$W21)</f>
        <v/>
      </c>
      <c r="Q24">
        <f>IF(OR($G24="",Sync!$AE21=""),"",Sync!$AE21)</f>
        <v/>
      </c>
      <c r="R24">
        <f>IF($G24="","",IF(Sync!$V21="","0000",IF(AND(ISNUMBER(Sync!$V21),Sync!$V21&gt;=0,Sync!$V21&lt;1),RIGHT("00"&amp;HOUR(Sync!$V21),2)&amp;RIGHT("00"&amp;MINUTE(Sync!$V21),2),IFERROR(RIGHT("00"&amp;VALUE(LEFT(Sync!$V21,FIND(":",Sync!$V21)-1)),2)&amp;RIGHT("00"&amp;VALUE(MID(Sync!$V21,FIND(":",Sync!$V21)+1,2)),2),"0000"))))</f>
        <v/>
      </c>
    </row>
    <row r="25">
      <c r="A25">
        <f>IF(Sync!$U22="","",Sync!$U22)</f>
        <v/>
      </c>
      <c r="B25">
        <f>IF($A25="","",IF(ISNUMBER($A25),IF(AND($A25&gt;=10000101,$A25&lt;=99991231),INT($A25/10000),""),IFERROR(VALUE(TRIM(LEFT($A25,FIND("/",$A25)-1))),"")))</f>
        <v/>
      </c>
      <c r="C25">
        <f>IF(OR($A25="",$B25=""),"",IF(ISNUMBER($A25),INT(MOD($A25,10000)/100),IFERROR(VALUE(TRIM(LEFT(MID($A25,FIND("/",$A25)+1,20),FIND("/",MID($A25,FIND("/",$A25)+1,20))-1))),"")))</f>
        <v/>
      </c>
      <c r="D25">
        <f>IF(OR($A25="",$B25=""),"",IF(ISNUMBER($A25),MOD($A25,100),IFERROR(VALUE(TRIM(MID(MID($A25,FIND("/",$A25)+1,20),FIND("/",MID($A25,FIND("/",$A25)+1,20))+1,20))),"")))</f>
        <v/>
      </c>
      <c r="E25">
        <f>IF($A25="","",IF(OR($B25="",$C25="",$D25="",$B25&lt;1300,$B25&gt;1500,$C25&lt;1,$C25&gt;12,$D25&lt;1,$D25&gt;31),"نامعتبر",RIGHT("0000"&amp;$B25,4)&amp;"/"&amp;RIGHT("00"&amp;$C25,2)&amp;"/"&amp;RIGHT("00"&amp;$D25,2)))</f>
        <v/>
      </c>
      <c r="F25">
        <f>IF(OR($E25="",$E25="نامعتبر"),"",LEFT($E25,4)&amp;"/"&amp;MID($E25,6,2))</f>
        <v/>
      </c>
      <c r="G25">
        <f>IF(OR($E25="",$E25="نامعتبر",Sync!$Y22=""),"",Sync!$Y22)</f>
        <v/>
      </c>
      <c r="H25">
        <f>IF($G25="","",IF(Sync!$X22="","",Sync!$X22))</f>
        <v/>
      </c>
      <c r="I25">
        <f>IF($G25="","",IFERROR(VLOOKUP(Sync!$X22,OpTbl,3,0),""))</f>
        <v/>
      </c>
      <c r="J25">
        <f>IF(OR($G25="",Sync!$Z22=""),"",Sync!$Z22)</f>
        <v/>
      </c>
      <c r="K25">
        <f>IF(OR($G25="",Sync!$AA22=""),"",Sync!$AA22)</f>
        <v/>
      </c>
      <c r="L25">
        <f>IF($G25="",0,IF(Sync!$AB22="",0,Sync!$AB22))</f>
        <v/>
      </c>
      <c r="M25">
        <f>IF($G25="",0,IF(Sync!$AC22="",0,Sync!$AC22))</f>
        <v/>
      </c>
      <c r="N25">
        <f>IF($G25="","",IF($H25="مرجوعی خرید",-1,1)*($L25-$M25*IFERROR(VLOOKUP("P01",ParamTbl,3,0),1.5))*(1-IF($I25="خرید",IFERROR(VLOOKUP("P02",ParamTbl,3,0),1),0)/100))</f>
        <v/>
      </c>
      <c r="O25">
        <f>IF($G25="",0,IF($H25="مرجوعی خرید",-1,1)*IF(Sync!$AD22="",0,Sync!$AD22))</f>
        <v/>
      </c>
      <c r="P25">
        <f>IF(OR($G25="",Sync!$W22=""),"",Sync!$W22)</f>
        <v/>
      </c>
      <c r="Q25">
        <f>IF(OR($G25="",Sync!$AE22=""),"",Sync!$AE22)</f>
        <v/>
      </c>
      <c r="R25">
        <f>IF($G25="","",IF(Sync!$V22="","0000",IF(AND(ISNUMBER(Sync!$V22),Sync!$V22&gt;=0,Sync!$V22&lt;1),RIGHT("00"&amp;HOUR(Sync!$V22),2)&amp;RIGHT("00"&amp;MINUTE(Sync!$V22),2),IFERROR(RIGHT("00"&amp;VALUE(LEFT(Sync!$V22,FIND(":",Sync!$V22)-1)),2)&amp;RIGHT("00"&amp;VALUE(MID(Sync!$V22,FIND(":",Sync!$V22)+1,2)),2),"0000"))))</f>
        <v/>
      </c>
    </row>
    <row r="26">
      <c r="A26">
        <f>IF(Sync!$U23="","",Sync!$U23)</f>
        <v/>
      </c>
      <c r="B26">
        <f>IF($A26="","",IF(ISNUMBER($A26),IF(AND($A26&gt;=10000101,$A26&lt;=99991231),INT($A26/10000),""),IFERROR(VALUE(TRIM(LEFT($A26,FIND("/",$A26)-1))),"")))</f>
        <v/>
      </c>
      <c r="C26">
        <f>IF(OR($A26="",$B26=""),"",IF(ISNUMBER($A26),INT(MOD($A26,10000)/100),IFERROR(VALUE(TRIM(LEFT(MID($A26,FIND("/",$A26)+1,20),FIND("/",MID($A26,FIND("/",$A26)+1,20))-1))),"")))</f>
        <v/>
      </c>
      <c r="D26">
        <f>IF(OR($A26="",$B26=""),"",IF(ISNUMBER($A26),MOD($A26,100),IFERROR(VALUE(TRIM(MID(MID($A26,FIND("/",$A26)+1,20),FIND("/",MID($A26,FIND("/",$A26)+1,20))+1,20))),"")))</f>
        <v/>
      </c>
      <c r="E26">
        <f>IF($A26="","",IF(OR($B26="",$C26="",$D26="",$B26&lt;1300,$B26&gt;1500,$C26&lt;1,$C26&gt;12,$D26&lt;1,$D26&gt;31),"نامعتبر",RIGHT("0000"&amp;$B26,4)&amp;"/"&amp;RIGHT("00"&amp;$C26,2)&amp;"/"&amp;RIGHT("00"&amp;$D26,2)))</f>
        <v/>
      </c>
      <c r="F26">
        <f>IF(OR($E26="",$E26="نامعتبر"),"",LEFT($E26,4)&amp;"/"&amp;MID($E26,6,2))</f>
        <v/>
      </c>
      <c r="G26">
        <f>IF(OR($E26="",$E26="نامعتبر",Sync!$Y23=""),"",Sync!$Y23)</f>
        <v/>
      </c>
      <c r="H26">
        <f>IF($G26="","",IF(Sync!$X23="","",Sync!$X23))</f>
        <v/>
      </c>
      <c r="I26">
        <f>IF($G26="","",IFERROR(VLOOKUP(Sync!$X23,OpTbl,3,0),""))</f>
        <v/>
      </c>
      <c r="J26">
        <f>IF(OR($G26="",Sync!$Z23=""),"",Sync!$Z23)</f>
        <v/>
      </c>
      <c r="K26">
        <f>IF(OR($G26="",Sync!$AA23=""),"",Sync!$AA23)</f>
        <v/>
      </c>
      <c r="L26">
        <f>IF($G26="",0,IF(Sync!$AB23="",0,Sync!$AB23))</f>
        <v/>
      </c>
      <c r="M26">
        <f>IF($G26="",0,IF(Sync!$AC23="",0,Sync!$AC23))</f>
        <v/>
      </c>
      <c r="N26">
        <f>IF($G26="","",IF($H26="مرجوعی خرید",-1,1)*($L26-$M26*IFERROR(VLOOKUP("P01",ParamTbl,3,0),1.5))*(1-IF($I26="خرید",IFERROR(VLOOKUP("P02",ParamTbl,3,0),1),0)/100))</f>
        <v/>
      </c>
      <c r="O26">
        <f>IF($G26="",0,IF($H26="مرجوعی خرید",-1,1)*IF(Sync!$AD23="",0,Sync!$AD23))</f>
        <v/>
      </c>
      <c r="P26">
        <f>IF(OR($G26="",Sync!$W23=""),"",Sync!$W23)</f>
        <v/>
      </c>
      <c r="Q26">
        <f>IF(OR($G26="",Sync!$AE23=""),"",Sync!$AE23)</f>
        <v/>
      </c>
      <c r="R26">
        <f>IF($G26="","",IF(Sync!$V23="","0000",IF(AND(ISNUMBER(Sync!$V23),Sync!$V23&gt;=0,Sync!$V23&lt;1),RIGHT("00"&amp;HOUR(Sync!$V23),2)&amp;RIGHT("00"&amp;MINUTE(Sync!$V23),2),IFERROR(RIGHT("00"&amp;VALUE(LEFT(Sync!$V23,FIND(":",Sync!$V23)-1)),2)&amp;RIGHT("00"&amp;VALUE(MID(Sync!$V23,FIND(":",Sync!$V23)+1,2)),2),"0000"))))</f>
        <v/>
      </c>
    </row>
    <row r="27">
      <c r="A27">
        <f>IF(Sync!$U24="","",Sync!$U24)</f>
        <v/>
      </c>
      <c r="B27">
        <f>IF($A27="","",IF(ISNUMBER($A27),IF(AND($A27&gt;=10000101,$A27&lt;=99991231),INT($A27/10000),""),IFERROR(VALUE(TRIM(LEFT($A27,FIND("/",$A27)-1))),"")))</f>
        <v/>
      </c>
      <c r="C27">
        <f>IF(OR($A27="",$B27=""),"",IF(ISNUMBER($A27),INT(MOD($A27,10000)/100),IFERROR(VALUE(TRIM(LEFT(MID($A27,FIND("/",$A27)+1,20),FIND("/",MID($A27,FIND("/",$A27)+1,20))-1))),"")))</f>
        <v/>
      </c>
      <c r="D27">
        <f>IF(OR($A27="",$B27=""),"",IF(ISNUMBER($A27),MOD($A27,100),IFERROR(VALUE(TRIM(MID(MID($A27,FIND("/",$A27)+1,20),FIND("/",MID($A27,FIND("/",$A27)+1,20))+1,20))),"")))</f>
        <v/>
      </c>
      <c r="E27">
        <f>IF($A27="","",IF(OR($B27="",$C27="",$D27="",$B27&lt;1300,$B27&gt;1500,$C27&lt;1,$C27&gt;12,$D27&lt;1,$D27&gt;31),"نامعتبر",RIGHT("0000"&amp;$B27,4)&amp;"/"&amp;RIGHT("00"&amp;$C27,2)&amp;"/"&amp;RIGHT("00"&amp;$D27,2)))</f>
        <v/>
      </c>
      <c r="F27">
        <f>IF(OR($E27="",$E27="نامعتبر"),"",LEFT($E27,4)&amp;"/"&amp;MID($E27,6,2))</f>
        <v/>
      </c>
      <c r="G27">
        <f>IF(OR($E27="",$E27="نامعتبر",Sync!$Y24=""),"",Sync!$Y24)</f>
        <v/>
      </c>
      <c r="H27">
        <f>IF($G27="","",IF(Sync!$X24="","",Sync!$X24))</f>
        <v/>
      </c>
      <c r="I27">
        <f>IF($G27="","",IFERROR(VLOOKUP(Sync!$X24,OpTbl,3,0),""))</f>
        <v/>
      </c>
      <c r="J27">
        <f>IF(OR($G27="",Sync!$Z24=""),"",Sync!$Z24)</f>
        <v/>
      </c>
      <c r="K27">
        <f>IF(OR($G27="",Sync!$AA24=""),"",Sync!$AA24)</f>
        <v/>
      </c>
      <c r="L27">
        <f>IF($G27="",0,IF(Sync!$AB24="",0,Sync!$AB24))</f>
        <v/>
      </c>
      <c r="M27">
        <f>IF($G27="",0,IF(Sync!$AC24="",0,Sync!$AC24))</f>
        <v/>
      </c>
      <c r="N27">
        <f>IF($G27="","",IF($H27="مرجوعی خرید",-1,1)*($L27-$M27*IFERROR(VLOOKUP("P01",ParamTbl,3,0),1.5))*(1-IF($I27="خرید",IFERROR(VLOOKUP("P02",ParamTbl,3,0),1),0)/100))</f>
        <v/>
      </c>
      <c r="O27">
        <f>IF($G27="",0,IF($H27="مرجوعی خرید",-1,1)*IF(Sync!$AD24="",0,Sync!$AD24))</f>
        <v/>
      </c>
      <c r="P27">
        <f>IF(OR($G27="",Sync!$W24=""),"",Sync!$W24)</f>
        <v/>
      </c>
      <c r="Q27">
        <f>IF(OR($G27="",Sync!$AE24=""),"",Sync!$AE24)</f>
        <v/>
      </c>
      <c r="R27">
        <f>IF($G27="","",IF(Sync!$V24="","0000",IF(AND(ISNUMBER(Sync!$V24),Sync!$V24&gt;=0,Sync!$V24&lt;1),RIGHT("00"&amp;HOUR(Sync!$V24),2)&amp;RIGHT("00"&amp;MINUTE(Sync!$V24),2),IFERROR(RIGHT("00"&amp;VALUE(LEFT(Sync!$V24,FIND(":",Sync!$V24)-1)),2)&amp;RIGHT("00"&amp;VALUE(MID(Sync!$V24,FIND(":",Sync!$V24)+1,2)),2),"0000"))))</f>
        <v/>
      </c>
    </row>
    <row r="28">
      <c r="A28">
        <f>IF(Sync!$U25="","",Sync!$U25)</f>
        <v/>
      </c>
      <c r="B28">
        <f>IF($A28="","",IF(ISNUMBER($A28),IF(AND($A28&gt;=10000101,$A28&lt;=99991231),INT($A28/10000),""),IFERROR(VALUE(TRIM(LEFT($A28,FIND("/",$A28)-1))),"")))</f>
        <v/>
      </c>
      <c r="C28">
        <f>IF(OR($A28="",$B28=""),"",IF(ISNUMBER($A28),INT(MOD($A28,10000)/100),IFERROR(VALUE(TRIM(LEFT(MID($A28,FIND("/",$A28)+1,20),FIND("/",MID($A28,FIND("/",$A28)+1,20))-1))),"")))</f>
        <v/>
      </c>
      <c r="D28">
        <f>IF(OR($A28="",$B28=""),"",IF(ISNUMBER($A28),MOD($A28,100),IFERROR(VALUE(TRIM(MID(MID($A28,FIND("/",$A28)+1,20),FIND("/",MID($A28,FIND("/",$A28)+1,20))+1,20))),"")))</f>
        <v/>
      </c>
      <c r="E28">
        <f>IF($A28="","",IF(OR($B28="",$C28="",$D28="",$B28&lt;1300,$B28&gt;1500,$C28&lt;1,$C28&gt;12,$D28&lt;1,$D28&gt;31),"نامعتبر",RIGHT("0000"&amp;$B28,4)&amp;"/"&amp;RIGHT("00"&amp;$C28,2)&amp;"/"&amp;RIGHT("00"&amp;$D28,2)))</f>
        <v/>
      </c>
      <c r="F28">
        <f>IF(OR($E28="",$E28="نامعتبر"),"",LEFT($E28,4)&amp;"/"&amp;MID($E28,6,2))</f>
        <v/>
      </c>
      <c r="G28">
        <f>IF(OR($E28="",$E28="نامعتبر",Sync!$Y25=""),"",Sync!$Y25)</f>
        <v/>
      </c>
      <c r="H28">
        <f>IF($G28="","",IF(Sync!$X25="","",Sync!$X25))</f>
        <v/>
      </c>
      <c r="I28">
        <f>IF($G28="","",IFERROR(VLOOKUP(Sync!$X25,OpTbl,3,0),""))</f>
        <v/>
      </c>
      <c r="J28">
        <f>IF(OR($G28="",Sync!$Z25=""),"",Sync!$Z25)</f>
        <v/>
      </c>
      <c r="K28">
        <f>IF(OR($G28="",Sync!$AA25=""),"",Sync!$AA25)</f>
        <v/>
      </c>
      <c r="L28">
        <f>IF($G28="",0,IF(Sync!$AB25="",0,Sync!$AB25))</f>
        <v/>
      </c>
      <c r="M28">
        <f>IF($G28="",0,IF(Sync!$AC25="",0,Sync!$AC25))</f>
        <v/>
      </c>
      <c r="N28">
        <f>IF($G28="","",IF($H28="مرجوعی خرید",-1,1)*($L28-$M28*IFERROR(VLOOKUP("P01",ParamTbl,3,0),1.5))*(1-IF($I28="خرید",IFERROR(VLOOKUP("P02",ParamTbl,3,0),1),0)/100))</f>
        <v/>
      </c>
      <c r="O28">
        <f>IF($G28="",0,IF($H28="مرجوعی خرید",-1,1)*IF(Sync!$AD25="",0,Sync!$AD25))</f>
        <v/>
      </c>
      <c r="P28">
        <f>IF(OR($G28="",Sync!$W25=""),"",Sync!$W25)</f>
        <v/>
      </c>
      <c r="Q28">
        <f>IF(OR($G28="",Sync!$AE25=""),"",Sync!$AE25)</f>
        <v/>
      </c>
      <c r="R28">
        <f>IF($G28="","",IF(Sync!$V25="","0000",IF(AND(ISNUMBER(Sync!$V25),Sync!$V25&gt;=0,Sync!$V25&lt;1),RIGHT("00"&amp;HOUR(Sync!$V25),2)&amp;RIGHT("00"&amp;MINUTE(Sync!$V25),2),IFERROR(RIGHT("00"&amp;VALUE(LEFT(Sync!$V25,FIND(":",Sync!$V25)-1)),2)&amp;RIGHT("00"&amp;VALUE(MID(Sync!$V25,FIND(":",Sync!$V25)+1,2)),2),"0000"))))</f>
        <v/>
      </c>
    </row>
    <row r="29">
      <c r="A29">
        <f>IF(Sync!$U26="","",Sync!$U26)</f>
        <v/>
      </c>
      <c r="B29">
        <f>IF($A29="","",IF(ISNUMBER($A29),IF(AND($A29&gt;=10000101,$A29&lt;=99991231),INT($A29/10000),""),IFERROR(VALUE(TRIM(LEFT($A29,FIND("/",$A29)-1))),"")))</f>
        <v/>
      </c>
      <c r="C29">
        <f>IF(OR($A29="",$B29=""),"",IF(ISNUMBER($A29),INT(MOD($A29,10000)/100),IFERROR(VALUE(TRIM(LEFT(MID($A29,FIND("/",$A29)+1,20),FIND("/",MID($A29,FIND("/",$A29)+1,20))-1))),"")))</f>
        <v/>
      </c>
      <c r="D29">
        <f>IF(OR($A29="",$B29=""),"",IF(ISNUMBER($A29),MOD($A29,100),IFERROR(VALUE(TRIM(MID(MID($A29,FIND("/",$A29)+1,20),FIND("/",MID($A29,FIND("/",$A29)+1,20))+1,20))),"")))</f>
        <v/>
      </c>
      <c r="E29">
        <f>IF($A29="","",IF(OR($B29="",$C29="",$D29="",$B29&lt;1300,$B29&gt;1500,$C29&lt;1,$C29&gt;12,$D29&lt;1,$D29&gt;31),"نامعتبر",RIGHT("0000"&amp;$B29,4)&amp;"/"&amp;RIGHT("00"&amp;$C29,2)&amp;"/"&amp;RIGHT("00"&amp;$D29,2)))</f>
        <v/>
      </c>
      <c r="F29">
        <f>IF(OR($E29="",$E29="نامعتبر"),"",LEFT($E29,4)&amp;"/"&amp;MID($E29,6,2))</f>
        <v/>
      </c>
      <c r="G29">
        <f>IF(OR($E29="",$E29="نامعتبر",Sync!$Y26=""),"",Sync!$Y26)</f>
        <v/>
      </c>
      <c r="H29">
        <f>IF($G29="","",IF(Sync!$X26="","",Sync!$X26))</f>
        <v/>
      </c>
      <c r="I29">
        <f>IF($G29="","",IFERROR(VLOOKUP(Sync!$X26,OpTbl,3,0),""))</f>
        <v/>
      </c>
      <c r="J29">
        <f>IF(OR($G29="",Sync!$Z26=""),"",Sync!$Z26)</f>
        <v/>
      </c>
      <c r="K29">
        <f>IF(OR($G29="",Sync!$AA26=""),"",Sync!$AA26)</f>
        <v/>
      </c>
      <c r="L29">
        <f>IF($G29="",0,IF(Sync!$AB26="",0,Sync!$AB26))</f>
        <v/>
      </c>
      <c r="M29">
        <f>IF($G29="",0,IF(Sync!$AC26="",0,Sync!$AC26))</f>
        <v/>
      </c>
      <c r="N29">
        <f>IF($G29="","",IF($H29="مرجوعی خرید",-1,1)*($L29-$M29*IFERROR(VLOOKUP("P01",ParamTbl,3,0),1.5))*(1-IF($I29="خرید",IFERROR(VLOOKUP("P02",ParamTbl,3,0),1),0)/100))</f>
        <v/>
      </c>
      <c r="O29">
        <f>IF($G29="",0,IF($H29="مرجوعی خرید",-1,1)*IF(Sync!$AD26="",0,Sync!$AD26))</f>
        <v/>
      </c>
      <c r="P29">
        <f>IF(OR($G29="",Sync!$W26=""),"",Sync!$W26)</f>
        <v/>
      </c>
      <c r="Q29">
        <f>IF(OR($G29="",Sync!$AE26=""),"",Sync!$AE26)</f>
        <v/>
      </c>
      <c r="R29">
        <f>IF($G29="","",IF(Sync!$V26="","0000",IF(AND(ISNUMBER(Sync!$V26),Sync!$V26&gt;=0,Sync!$V26&lt;1),RIGHT("00"&amp;HOUR(Sync!$V26),2)&amp;RIGHT("00"&amp;MINUTE(Sync!$V26),2),IFERROR(RIGHT("00"&amp;VALUE(LEFT(Sync!$V26,FIND(":",Sync!$V26)-1)),2)&amp;RIGHT("00"&amp;VALUE(MID(Sync!$V26,FIND(":",Sync!$V26)+1,2)),2),"0000"))))</f>
        <v/>
      </c>
    </row>
    <row r="30">
      <c r="A30">
        <f>IF(Sync!$U27="","",Sync!$U27)</f>
        <v/>
      </c>
      <c r="B30">
        <f>IF($A30="","",IF(ISNUMBER($A30),IF(AND($A30&gt;=10000101,$A30&lt;=99991231),INT($A30/10000),""),IFERROR(VALUE(TRIM(LEFT($A30,FIND("/",$A30)-1))),"")))</f>
        <v/>
      </c>
      <c r="C30">
        <f>IF(OR($A30="",$B30=""),"",IF(ISNUMBER($A30),INT(MOD($A30,10000)/100),IFERROR(VALUE(TRIM(LEFT(MID($A30,FIND("/",$A30)+1,20),FIND("/",MID($A30,FIND("/",$A30)+1,20))-1))),"")))</f>
        <v/>
      </c>
      <c r="D30">
        <f>IF(OR($A30="",$B30=""),"",IF(ISNUMBER($A30),MOD($A30,100),IFERROR(VALUE(TRIM(MID(MID($A30,FIND("/",$A30)+1,20),FIND("/",MID($A30,FIND("/",$A30)+1,20))+1,20))),"")))</f>
        <v/>
      </c>
      <c r="E30">
        <f>IF($A30="","",IF(OR($B30="",$C30="",$D30="",$B30&lt;1300,$B30&gt;1500,$C30&lt;1,$C30&gt;12,$D30&lt;1,$D30&gt;31),"نامعتبر",RIGHT("0000"&amp;$B30,4)&amp;"/"&amp;RIGHT("00"&amp;$C30,2)&amp;"/"&amp;RIGHT("00"&amp;$D30,2)))</f>
        <v/>
      </c>
      <c r="F30">
        <f>IF(OR($E30="",$E30="نامعتبر"),"",LEFT($E30,4)&amp;"/"&amp;MID($E30,6,2))</f>
        <v/>
      </c>
      <c r="G30">
        <f>IF(OR($E30="",$E30="نامعتبر",Sync!$Y27=""),"",Sync!$Y27)</f>
        <v/>
      </c>
      <c r="H30">
        <f>IF($G30="","",IF(Sync!$X27="","",Sync!$X27))</f>
        <v/>
      </c>
      <c r="I30">
        <f>IF($G30="","",IFERROR(VLOOKUP(Sync!$X27,OpTbl,3,0),""))</f>
        <v/>
      </c>
      <c r="J30">
        <f>IF(OR($G30="",Sync!$Z27=""),"",Sync!$Z27)</f>
        <v/>
      </c>
      <c r="K30">
        <f>IF(OR($G30="",Sync!$AA27=""),"",Sync!$AA27)</f>
        <v/>
      </c>
      <c r="L30">
        <f>IF($G30="",0,IF(Sync!$AB27="",0,Sync!$AB27))</f>
        <v/>
      </c>
      <c r="M30">
        <f>IF($G30="",0,IF(Sync!$AC27="",0,Sync!$AC27))</f>
        <v/>
      </c>
      <c r="N30">
        <f>IF($G30="","",IF($H30="مرجوعی خرید",-1,1)*($L30-$M30*IFERROR(VLOOKUP("P01",ParamTbl,3,0),1.5))*(1-IF($I30="خرید",IFERROR(VLOOKUP("P02",ParamTbl,3,0),1),0)/100))</f>
        <v/>
      </c>
      <c r="O30">
        <f>IF($G30="",0,IF($H30="مرجوعی خرید",-1,1)*IF(Sync!$AD27="",0,Sync!$AD27))</f>
        <v/>
      </c>
      <c r="P30">
        <f>IF(OR($G30="",Sync!$W27=""),"",Sync!$W27)</f>
        <v/>
      </c>
      <c r="Q30">
        <f>IF(OR($G30="",Sync!$AE27=""),"",Sync!$AE27)</f>
        <v/>
      </c>
      <c r="R30">
        <f>IF($G30="","",IF(Sync!$V27="","0000",IF(AND(ISNUMBER(Sync!$V27),Sync!$V27&gt;=0,Sync!$V27&lt;1),RIGHT("00"&amp;HOUR(Sync!$V27),2)&amp;RIGHT("00"&amp;MINUTE(Sync!$V27),2),IFERROR(RIGHT("00"&amp;VALUE(LEFT(Sync!$V27,FIND(":",Sync!$V27)-1)),2)&amp;RIGHT("00"&amp;VALUE(MID(Sync!$V27,FIND(":",Sync!$V27)+1,2)),2),"0000"))))</f>
        <v/>
      </c>
    </row>
    <row r="31">
      <c r="A31">
        <f>IF(Sync!$U28="","",Sync!$U28)</f>
        <v/>
      </c>
      <c r="B31">
        <f>IF($A31="","",IF(ISNUMBER($A31),IF(AND($A31&gt;=10000101,$A31&lt;=99991231),INT($A31/10000),""),IFERROR(VALUE(TRIM(LEFT($A31,FIND("/",$A31)-1))),"")))</f>
        <v/>
      </c>
      <c r="C31">
        <f>IF(OR($A31="",$B31=""),"",IF(ISNUMBER($A31),INT(MOD($A31,10000)/100),IFERROR(VALUE(TRIM(LEFT(MID($A31,FIND("/",$A31)+1,20),FIND("/",MID($A31,FIND("/",$A31)+1,20))-1))),"")))</f>
        <v/>
      </c>
      <c r="D31">
        <f>IF(OR($A31="",$B31=""),"",IF(ISNUMBER($A31),MOD($A31,100),IFERROR(VALUE(TRIM(MID(MID($A31,FIND("/",$A31)+1,20),FIND("/",MID($A31,FIND("/",$A31)+1,20))+1,20))),"")))</f>
        <v/>
      </c>
      <c r="E31">
        <f>IF($A31="","",IF(OR($B31="",$C31="",$D31="",$B31&lt;1300,$B31&gt;1500,$C31&lt;1,$C31&gt;12,$D31&lt;1,$D31&gt;31),"نامعتبر",RIGHT("0000"&amp;$B31,4)&amp;"/"&amp;RIGHT("00"&amp;$C31,2)&amp;"/"&amp;RIGHT("00"&amp;$D31,2)))</f>
        <v/>
      </c>
      <c r="F31">
        <f>IF(OR($E31="",$E31="نامعتبر"),"",LEFT($E31,4)&amp;"/"&amp;MID($E31,6,2))</f>
        <v/>
      </c>
      <c r="G31">
        <f>IF(OR($E31="",$E31="نامعتبر",Sync!$Y28=""),"",Sync!$Y28)</f>
        <v/>
      </c>
      <c r="H31">
        <f>IF($G31="","",IF(Sync!$X28="","",Sync!$X28))</f>
        <v/>
      </c>
      <c r="I31">
        <f>IF($G31="","",IFERROR(VLOOKUP(Sync!$X28,OpTbl,3,0),""))</f>
        <v/>
      </c>
      <c r="J31">
        <f>IF(OR($G31="",Sync!$Z28=""),"",Sync!$Z28)</f>
        <v/>
      </c>
      <c r="K31">
        <f>IF(OR($G31="",Sync!$AA28=""),"",Sync!$AA28)</f>
        <v/>
      </c>
      <c r="L31">
        <f>IF($G31="",0,IF(Sync!$AB28="",0,Sync!$AB28))</f>
        <v/>
      </c>
      <c r="M31">
        <f>IF($G31="",0,IF(Sync!$AC28="",0,Sync!$AC28))</f>
        <v/>
      </c>
      <c r="N31">
        <f>IF($G31="","",IF($H31="مرجوعی خرید",-1,1)*($L31-$M31*IFERROR(VLOOKUP("P01",ParamTbl,3,0),1.5))*(1-IF($I31="خرید",IFERROR(VLOOKUP("P02",ParamTbl,3,0),1),0)/100))</f>
        <v/>
      </c>
      <c r="O31">
        <f>IF($G31="",0,IF($H31="مرجوعی خرید",-1,1)*IF(Sync!$AD28="",0,Sync!$AD28))</f>
        <v/>
      </c>
      <c r="P31">
        <f>IF(OR($G31="",Sync!$W28=""),"",Sync!$W28)</f>
        <v/>
      </c>
      <c r="Q31">
        <f>IF(OR($G31="",Sync!$AE28=""),"",Sync!$AE28)</f>
        <v/>
      </c>
      <c r="R31">
        <f>IF($G31="","",IF(Sync!$V28="","0000",IF(AND(ISNUMBER(Sync!$V28),Sync!$V28&gt;=0,Sync!$V28&lt;1),RIGHT("00"&amp;HOUR(Sync!$V28),2)&amp;RIGHT("00"&amp;MINUTE(Sync!$V28),2),IFERROR(RIGHT("00"&amp;VALUE(LEFT(Sync!$V28,FIND(":",Sync!$V28)-1)),2)&amp;RIGHT("00"&amp;VALUE(MID(Sync!$V28,FIND(":",Sync!$V28)+1,2)),2),"0000"))))</f>
        <v/>
      </c>
    </row>
    <row r="32">
      <c r="A32">
        <f>IF(Sync!$U29="","",Sync!$U29)</f>
        <v/>
      </c>
      <c r="B32">
        <f>IF($A32="","",IF(ISNUMBER($A32),IF(AND($A32&gt;=10000101,$A32&lt;=99991231),INT($A32/10000),""),IFERROR(VALUE(TRIM(LEFT($A32,FIND("/",$A32)-1))),"")))</f>
        <v/>
      </c>
      <c r="C32">
        <f>IF(OR($A32="",$B32=""),"",IF(ISNUMBER($A32),INT(MOD($A32,10000)/100),IFERROR(VALUE(TRIM(LEFT(MID($A32,FIND("/",$A32)+1,20),FIND("/",MID($A32,FIND("/",$A32)+1,20))-1))),"")))</f>
        <v/>
      </c>
      <c r="D32">
        <f>IF(OR($A32="",$B32=""),"",IF(ISNUMBER($A32),MOD($A32,100),IFERROR(VALUE(TRIM(MID(MID($A32,FIND("/",$A32)+1,20),FIND("/",MID($A32,FIND("/",$A32)+1,20))+1,20))),"")))</f>
        <v/>
      </c>
      <c r="E32">
        <f>IF($A32="","",IF(OR($B32="",$C32="",$D32="",$B32&lt;1300,$B32&gt;1500,$C32&lt;1,$C32&gt;12,$D32&lt;1,$D32&gt;31),"نامعتبر",RIGHT("0000"&amp;$B32,4)&amp;"/"&amp;RIGHT("00"&amp;$C32,2)&amp;"/"&amp;RIGHT("00"&amp;$D32,2)))</f>
        <v/>
      </c>
      <c r="F32">
        <f>IF(OR($E32="",$E32="نامعتبر"),"",LEFT($E32,4)&amp;"/"&amp;MID($E32,6,2))</f>
        <v/>
      </c>
      <c r="G32">
        <f>IF(OR($E32="",$E32="نامعتبر",Sync!$Y29=""),"",Sync!$Y29)</f>
        <v/>
      </c>
      <c r="H32">
        <f>IF($G32="","",IF(Sync!$X29="","",Sync!$X29))</f>
        <v/>
      </c>
      <c r="I32">
        <f>IF($G32="","",IFERROR(VLOOKUP(Sync!$X29,OpTbl,3,0),""))</f>
        <v/>
      </c>
      <c r="J32">
        <f>IF(OR($G32="",Sync!$Z29=""),"",Sync!$Z29)</f>
        <v/>
      </c>
      <c r="K32">
        <f>IF(OR($G32="",Sync!$AA29=""),"",Sync!$AA29)</f>
        <v/>
      </c>
      <c r="L32">
        <f>IF($G32="",0,IF(Sync!$AB29="",0,Sync!$AB29))</f>
        <v/>
      </c>
      <c r="M32">
        <f>IF($G32="",0,IF(Sync!$AC29="",0,Sync!$AC29))</f>
        <v/>
      </c>
      <c r="N32">
        <f>IF($G32="","",IF($H32="مرجوعی خرید",-1,1)*($L32-$M32*IFERROR(VLOOKUP("P01",ParamTbl,3,0),1.5))*(1-IF($I32="خرید",IFERROR(VLOOKUP("P02",ParamTbl,3,0),1),0)/100))</f>
        <v/>
      </c>
      <c r="O32">
        <f>IF($G32="",0,IF($H32="مرجوعی خرید",-1,1)*IF(Sync!$AD29="",0,Sync!$AD29))</f>
        <v/>
      </c>
      <c r="P32">
        <f>IF(OR($G32="",Sync!$W29=""),"",Sync!$W29)</f>
        <v/>
      </c>
      <c r="Q32">
        <f>IF(OR($G32="",Sync!$AE29=""),"",Sync!$AE29)</f>
        <v/>
      </c>
      <c r="R32">
        <f>IF($G32="","",IF(Sync!$V29="","0000",IF(AND(ISNUMBER(Sync!$V29),Sync!$V29&gt;=0,Sync!$V29&lt;1),RIGHT("00"&amp;HOUR(Sync!$V29),2)&amp;RIGHT("00"&amp;MINUTE(Sync!$V29),2),IFERROR(RIGHT("00"&amp;VALUE(LEFT(Sync!$V29,FIND(":",Sync!$V29)-1)),2)&amp;RIGHT("00"&amp;VALUE(MID(Sync!$V29,FIND(":",Sync!$V29)+1,2)),2),"0000"))))</f>
        <v/>
      </c>
    </row>
    <row r="33">
      <c r="A33">
        <f>IF(Sync!$U30="","",Sync!$U30)</f>
        <v/>
      </c>
      <c r="B33">
        <f>IF($A33="","",IF(ISNUMBER($A33),IF(AND($A33&gt;=10000101,$A33&lt;=99991231),INT($A33/10000),""),IFERROR(VALUE(TRIM(LEFT($A33,FIND("/",$A33)-1))),"")))</f>
        <v/>
      </c>
      <c r="C33">
        <f>IF(OR($A33="",$B33=""),"",IF(ISNUMBER($A33),INT(MOD($A33,10000)/100),IFERROR(VALUE(TRIM(LEFT(MID($A33,FIND("/",$A33)+1,20),FIND("/",MID($A33,FIND("/",$A33)+1,20))-1))),"")))</f>
        <v/>
      </c>
      <c r="D33">
        <f>IF(OR($A33="",$B33=""),"",IF(ISNUMBER($A33),MOD($A33,100),IFERROR(VALUE(TRIM(MID(MID($A33,FIND("/",$A33)+1,20),FIND("/",MID($A33,FIND("/",$A33)+1,20))+1,20))),"")))</f>
        <v/>
      </c>
      <c r="E33">
        <f>IF($A33="","",IF(OR($B33="",$C33="",$D33="",$B33&lt;1300,$B33&gt;1500,$C33&lt;1,$C33&gt;12,$D33&lt;1,$D33&gt;31),"نامعتبر",RIGHT("0000"&amp;$B33,4)&amp;"/"&amp;RIGHT("00"&amp;$C33,2)&amp;"/"&amp;RIGHT("00"&amp;$D33,2)))</f>
        <v/>
      </c>
      <c r="F33">
        <f>IF(OR($E33="",$E33="نامعتبر"),"",LEFT($E33,4)&amp;"/"&amp;MID($E33,6,2))</f>
        <v/>
      </c>
      <c r="G33">
        <f>IF(OR($E33="",$E33="نامعتبر",Sync!$Y30=""),"",Sync!$Y30)</f>
        <v/>
      </c>
      <c r="H33">
        <f>IF($G33="","",IF(Sync!$X30="","",Sync!$X30))</f>
        <v/>
      </c>
      <c r="I33">
        <f>IF($G33="","",IFERROR(VLOOKUP(Sync!$X30,OpTbl,3,0),""))</f>
        <v/>
      </c>
      <c r="J33">
        <f>IF(OR($G33="",Sync!$Z30=""),"",Sync!$Z30)</f>
        <v/>
      </c>
      <c r="K33">
        <f>IF(OR($G33="",Sync!$AA30=""),"",Sync!$AA30)</f>
        <v/>
      </c>
      <c r="L33">
        <f>IF($G33="",0,IF(Sync!$AB30="",0,Sync!$AB30))</f>
        <v/>
      </c>
      <c r="M33">
        <f>IF($G33="",0,IF(Sync!$AC30="",0,Sync!$AC30))</f>
        <v/>
      </c>
      <c r="N33">
        <f>IF($G33="","",IF($H33="مرجوعی خرید",-1,1)*($L33-$M33*IFERROR(VLOOKUP("P01",ParamTbl,3,0),1.5))*(1-IF($I33="خرید",IFERROR(VLOOKUP("P02",ParamTbl,3,0),1),0)/100))</f>
        <v/>
      </c>
      <c r="O33">
        <f>IF($G33="",0,IF($H33="مرجوعی خرید",-1,1)*IF(Sync!$AD30="",0,Sync!$AD30))</f>
        <v/>
      </c>
      <c r="P33">
        <f>IF(OR($G33="",Sync!$W30=""),"",Sync!$W30)</f>
        <v/>
      </c>
      <c r="Q33">
        <f>IF(OR($G33="",Sync!$AE30=""),"",Sync!$AE30)</f>
        <v/>
      </c>
      <c r="R33">
        <f>IF($G33="","",IF(Sync!$V30="","0000",IF(AND(ISNUMBER(Sync!$V30),Sync!$V30&gt;=0,Sync!$V30&lt;1),RIGHT("00"&amp;HOUR(Sync!$V30),2)&amp;RIGHT("00"&amp;MINUTE(Sync!$V30),2),IFERROR(RIGHT("00"&amp;VALUE(LEFT(Sync!$V30,FIND(":",Sync!$V30)-1)),2)&amp;RIGHT("00"&amp;VALUE(MID(Sync!$V30,FIND(":",Sync!$V30)+1,2)),2),"0000"))))</f>
        <v/>
      </c>
    </row>
    <row r="34">
      <c r="A34">
        <f>IF(Sync!$U31="","",Sync!$U31)</f>
        <v/>
      </c>
      <c r="B34">
        <f>IF($A34="","",IF(ISNUMBER($A34),IF(AND($A34&gt;=10000101,$A34&lt;=99991231),INT($A34/10000),""),IFERROR(VALUE(TRIM(LEFT($A34,FIND("/",$A34)-1))),"")))</f>
        <v/>
      </c>
      <c r="C34">
        <f>IF(OR($A34="",$B34=""),"",IF(ISNUMBER($A34),INT(MOD($A34,10000)/100),IFERROR(VALUE(TRIM(LEFT(MID($A34,FIND("/",$A34)+1,20),FIND("/",MID($A34,FIND("/",$A34)+1,20))-1))),"")))</f>
        <v/>
      </c>
      <c r="D34">
        <f>IF(OR($A34="",$B34=""),"",IF(ISNUMBER($A34),MOD($A34,100),IFERROR(VALUE(TRIM(MID(MID($A34,FIND("/",$A34)+1,20),FIND("/",MID($A34,FIND("/",$A34)+1,20))+1,20))),"")))</f>
        <v/>
      </c>
      <c r="E34">
        <f>IF($A34="","",IF(OR($B34="",$C34="",$D34="",$B34&lt;1300,$B34&gt;1500,$C34&lt;1,$C34&gt;12,$D34&lt;1,$D34&gt;31),"نامعتبر",RIGHT("0000"&amp;$B34,4)&amp;"/"&amp;RIGHT("00"&amp;$C34,2)&amp;"/"&amp;RIGHT("00"&amp;$D34,2)))</f>
        <v/>
      </c>
      <c r="F34">
        <f>IF(OR($E34="",$E34="نامعتبر"),"",LEFT($E34,4)&amp;"/"&amp;MID($E34,6,2))</f>
        <v/>
      </c>
      <c r="G34">
        <f>IF(OR($E34="",$E34="نامعتبر",Sync!$Y31=""),"",Sync!$Y31)</f>
        <v/>
      </c>
      <c r="H34">
        <f>IF($G34="","",IF(Sync!$X31="","",Sync!$X31))</f>
        <v/>
      </c>
      <c r="I34">
        <f>IF($G34="","",IFERROR(VLOOKUP(Sync!$X31,OpTbl,3,0),""))</f>
        <v/>
      </c>
      <c r="J34">
        <f>IF(OR($G34="",Sync!$Z31=""),"",Sync!$Z31)</f>
        <v/>
      </c>
      <c r="K34">
        <f>IF(OR($G34="",Sync!$AA31=""),"",Sync!$AA31)</f>
        <v/>
      </c>
      <c r="L34">
        <f>IF($G34="",0,IF(Sync!$AB31="",0,Sync!$AB31))</f>
        <v/>
      </c>
      <c r="M34">
        <f>IF($G34="",0,IF(Sync!$AC31="",0,Sync!$AC31))</f>
        <v/>
      </c>
      <c r="N34">
        <f>IF($G34="","",IF($H34="مرجوعی خرید",-1,1)*($L34-$M34*IFERROR(VLOOKUP("P01",ParamTbl,3,0),1.5))*(1-IF($I34="خرید",IFERROR(VLOOKUP("P02",ParamTbl,3,0),1),0)/100))</f>
        <v/>
      </c>
      <c r="O34">
        <f>IF($G34="",0,IF($H34="مرجوعی خرید",-1,1)*IF(Sync!$AD31="",0,Sync!$AD31))</f>
        <v/>
      </c>
      <c r="P34">
        <f>IF(OR($G34="",Sync!$W31=""),"",Sync!$W31)</f>
        <v/>
      </c>
      <c r="Q34">
        <f>IF(OR($G34="",Sync!$AE31=""),"",Sync!$AE31)</f>
        <v/>
      </c>
      <c r="R34">
        <f>IF($G34="","",IF(Sync!$V31="","0000",IF(AND(ISNUMBER(Sync!$V31),Sync!$V31&gt;=0,Sync!$V31&lt;1),RIGHT("00"&amp;HOUR(Sync!$V31),2)&amp;RIGHT("00"&amp;MINUTE(Sync!$V31),2),IFERROR(RIGHT("00"&amp;VALUE(LEFT(Sync!$V31,FIND(":",Sync!$V31)-1)),2)&amp;RIGHT("00"&amp;VALUE(MID(Sync!$V31,FIND(":",Sync!$V31)+1,2)),2),"0000"))))</f>
        <v/>
      </c>
    </row>
    <row r="35">
      <c r="A35">
        <f>IF(Sync!$U32="","",Sync!$U32)</f>
        <v/>
      </c>
      <c r="B35">
        <f>IF($A35="","",IF(ISNUMBER($A35),IF(AND($A35&gt;=10000101,$A35&lt;=99991231),INT($A35/10000),""),IFERROR(VALUE(TRIM(LEFT($A35,FIND("/",$A35)-1))),"")))</f>
        <v/>
      </c>
      <c r="C35">
        <f>IF(OR($A35="",$B35=""),"",IF(ISNUMBER($A35),INT(MOD($A35,10000)/100),IFERROR(VALUE(TRIM(LEFT(MID($A35,FIND("/",$A35)+1,20),FIND("/",MID($A35,FIND("/",$A35)+1,20))-1))),"")))</f>
        <v/>
      </c>
      <c r="D35">
        <f>IF(OR($A35="",$B35=""),"",IF(ISNUMBER($A35),MOD($A35,100),IFERROR(VALUE(TRIM(MID(MID($A35,FIND("/",$A35)+1,20),FIND("/",MID($A35,FIND("/",$A35)+1,20))+1,20))),"")))</f>
        <v/>
      </c>
      <c r="E35">
        <f>IF($A35="","",IF(OR($B35="",$C35="",$D35="",$B35&lt;1300,$B35&gt;1500,$C35&lt;1,$C35&gt;12,$D35&lt;1,$D35&gt;31),"نامعتبر",RIGHT("0000"&amp;$B35,4)&amp;"/"&amp;RIGHT("00"&amp;$C35,2)&amp;"/"&amp;RIGHT("00"&amp;$D35,2)))</f>
        <v/>
      </c>
      <c r="F35">
        <f>IF(OR($E35="",$E35="نامعتبر"),"",LEFT($E35,4)&amp;"/"&amp;MID($E35,6,2))</f>
        <v/>
      </c>
      <c r="G35">
        <f>IF(OR($E35="",$E35="نامعتبر",Sync!$Y32=""),"",Sync!$Y32)</f>
        <v/>
      </c>
      <c r="H35">
        <f>IF($G35="","",IF(Sync!$X32="","",Sync!$X32))</f>
        <v/>
      </c>
      <c r="I35">
        <f>IF($G35="","",IFERROR(VLOOKUP(Sync!$X32,OpTbl,3,0),""))</f>
        <v/>
      </c>
      <c r="J35">
        <f>IF(OR($G35="",Sync!$Z32=""),"",Sync!$Z32)</f>
        <v/>
      </c>
      <c r="K35">
        <f>IF(OR($G35="",Sync!$AA32=""),"",Sync!$AA32)</f>
        <v/>
      </c>
      <c r="L35">
        <f>IF($G35="",0,IF(Sync!$AB32="",0,Sync!$AB32))</f>
        <v/>
      </c>
      <c r="M35">
        <f>IF($G35="",0,IF(Sync!$AC32="",0,Sync!$AC32))</f>
        <v/>
      </c>
      <c r="N35">
        <f>IF($G35="","",IF($H35="مرجوعی خرید",-1,1)*($L35-$M35*IFERROR(VLOOKUP("P01",ParamTbl,3,0),1.5))*(1-IF($I35="خرید",IFERROR(VLOOKUP("P02",ParamTbl,3,0),1),0)/100))</f>
        <v/>
      </c>
      <c r="O35">
        <f>IF($G35="",0,IF($H35="مرجوعی خرید",-1,1)*IF(Sync!$AD32="",0,Sync!$AD32))</f>
        <v/>
      </c>
      <c r="P35">
        <f>IF(OR($G35="",Sync!$W32=""),"",Sync!$W32)</f>
        <v/>
      </c>
      <c r="Q35">
        <f>IF(OR($G35="",Sync!$AE32=""),"",Sync!$AE32)</f>
        <v/>
      </c>
      <c r="R35">
        <f>IF($G35="","",IF(Sync!$V32="","0000",IF(AND(ISNUMBER(Sync!$V32),Sync!$V32&gt;=0,Sync!$V32&lt;1),RIGHT("00"&amp;HOUR(Sync!$V32),2)&amp;RIGHT("00"&amp;MINUTE(Sync!$V32),2),IFERROR(RIGHT("00"&amp;VALUE(LEFT(Sync!$V32,FIND(":",Sync!$V32)-1)),2)&amp;RIGHT("00"&amp;VALUE(MID(Sync!$V32,FIND(":",Sync!$V32)+1,2)),2),"0000"))))</f>
        <v/>
      </c>
    </row>
    <row r="36">
      <c r="A36">
        <f>IF(Sync!$U33="","",Sync!$U33)</f>
        <v/>
      </c>
      <c r="B36">
        <f>IF($A36="","",IF(ISNUMBER($A36),IF(AND($A36&gt;=10000101,$A36&lt;=99991231),INT($A36/10000),""),IFERROR(VALUE(TRIM(LEFT($A36,FIND("/",$A36)-1))),"")))</f>
        <v/>
      </c>
      <c r="C36">
        <f>IF(OR($A36="",$B36=""),"",IF(ISNUMBER($A36),INT(MOD($A36,10000)/100),IFERROR(VALUE(TRIM(LEFT(MID($A36,FIND("/",$A36)+1,20),FIND("/",MID($A36,FIND("/",$A36)+1,20))-1))),"")))</f>
        <v/>
      </c>
      <c r="D36">
        <f>IF(OR($A36="",$B36=""),"",IF(ISNUMBER($A36),MOD($A36,100),IFERROR(VALUE(TRIM(MID(MID($A36,FIND("/",$A36)+1,20),FIND("/",MID($A36,FIND("/",$A36)+1,20))+1,20))),"")))</f>
        <v/>
      </c>
      <c r="E36">
        <f>IF($A36="","",IF(OR($B36="",$C36="",$D36="",$B36&lt;1300,$B36&gt;1500,$C36&lt;1,$C36&gt;12,$D36&lt;1,$D36&gt;31),"نامعتبر",RIGHT("0000"&amp;$B36,4)&amp;"/"&amp;RIGHT("00"&amp;$C36,2)&amp;"/"&amp;RIGHT("00"&amp;$D36,2)))</f>
        <v/>
      </c>
      <c r="F36">
        <f>IF(OR($E36="",$E36="نامعتبر"),"",LEFT($E36,4)&amp;"/"&amp;MID($E36,6,2))</f>
        <v/>
      </c>
      <c r="G36">
        <f>IF(OR($E36="",$E36="نامعتبر",Sync!$Y33=""),"",Sync!$Y33)</f>
        <v/>
      </c>
      <c r="H36">
        <f>IF($G36="","",IF(Sync!$X33="","",Sync!$X33))</f>
        <v/>
      </c>
      <c r="I36">
        <f>IF($G36="","",IFERROR(VLOOKUP(Sync!$X33,OpTbl,3,0),""))</f>
        <v/>
      </c>
      <c r="J36">
        <f>IF(OR($G36="",Sync!$Z33=""),"",Sync!$Z33)</f>
        <v/>
      </c>
      <c r="K36">
        <f>IF(OR($G36="",Sync!$AA33=""),"",Sync!$AA33)</f>
        <v/>
      </c>
      <c r="L36">
        <f>IF($G36="",0,IF(Sync!$AB33="",0,Sync!$AB33))</f>
        <v/>
      </c>
      <c r="M36">
        <f>IF($G36="",0,IF(Sync!$AC33="",0,Sync!$AC33))</f>
        <v/>
      </c>
      <c r="N36">
        <f>IF($G36="","",IF($H36="مرجوعی خرید",-1,1)*($L36-$M36*IFERROR(VLOOKUP("P01",ParamTbl,3,0),1.5))*(1-IF($I36="خرید",IFERROR(VLOOKUP("P02",ParamTbl,3,0),1),0)/100))</f>
        <v/>
      </c>
      <c r="O36">
        <f>IF($G36="",0,IF($H36="مرجوعی خرید",-1,1)*IF(Sync!$AD33="",0,Sync!$AD33))</f>
        <v/>
      </c>
      <c r="P36">
        <f>IF(OR($G36="",Sync!$W33=""),"",Sync!$W33)</f>
        <v/>
      </c>
      <c r="Q36">
        <f>IF(OR($G36="",Sync!$AE33=""),"",Sync!$AE33)</f>
        <v/>
      </c>
      <c r="R36">
        <f>IF($G36="","",IF(Sync!$V33="","0000",IF(AND(ISNUMBER(Sync!$V33),Sync!$V33&gt;=0,Sync!$V33&lt;1),RIGHT("00"&amp;HOUR(Sync!$V33),2)&amp;RIGHT("00"&amp;MINUTE(Sync!$V33),2),IFERROR(RIGHT("00"&amp;VALUE(LEFT(Sync!$V33,FIND(":",Sync!$V33)-1)),2)&amp;RIGHT("00"&amp;VALUE(MID(Sync!$V33,FIND(":",Sync!$V33)+1,2)),2),"0000"))))</f>
        <v/>
      </c>
    </row>
    <row r="37">
      <c r="A37">
        <f>IF(Sync!$U34="","",Sync!$U34)</f>
        <v/>
      </c>
      <c r="B37">
        <f>IF($A37="","",IF(ISNUMBER($A37),IF(AND($A37&gt;=10000101,$A37&lt;=99991231),INT($A37/10000),""),IFERROR(VALUE(TRIM(LEFT($A37,FIND("/",$A37)-1))),"")))</f>
        <v/>
      </c>
      <c r="C37">
        <f>IF(OR($A37="",$B37=""),"",IF(ISNUMBER($A37),INT(MOD($A37,10000)/100),IFERROR(VALUE(TRIM(LEFT(MID($A37,FIND("/",$A37)+1,20),FIND("/",MID($A37,FIND("/",$A37)+1,20))-1))),"")))</f>
        <v/>
      </c>
      <c r="D37">
        <f>IF(OR($A37="",$B37=""),"",IF(ISNUMBER($A37),MOD($A37,100),IFERROR(VALUE(TRIM(MID(MID($A37,FIND("/",$A37)+1,20),FIND("/",MID($A37,FIND("/",$A37)+1,20))+1,20))),"")))</f>
        <v/>
      </c>
      <c r="E37">
        <f>IF($A37="","",IF(OR($B37="",$C37="",$D37="",$B37&lt;1300,$B37&gt;1500,$C37&lt;1,$C37&gt;12,$D37&lt;1,$D37&gt;31),"نامعتبر",RIGHT("0000"&amp;$B37,4)&amp;"/"&amp;RIGHT("00"&amp;$C37,2)&amp;"/"&amp;RIGHT("00"&amp;$D37,2)))</f>
        <v/>
      </c>
      <c r="F37">
        <f>IF(OR($E37="",$E37="نامعتبر"),"",LEFT($E37,4)&amp;"/"&amp;MID($E37,6,2))</f>
        <v/>
      </c>
      <c r="G37">
        <f>IF(OR($E37="",$E37="نامعتبر",Sync!$Y34=""),"",Sync!$Y34)</f>
        <v/>
      </c>
      <c r="H37">
        <f>IF($G37="","",IF(Sync!$X34="","",Sync!$X34))</f>
        <v/>
      </c>
      <c r="I37">
        <f>IF($G37="","",IFERROR(VLOOKUP(Sync!$X34,OpTbl,3,0),""))</f>
        <v/>
      </c>
      <c r="J37">
        <f>IF(OR($G37="",Sync!$Z34=""),"",Sync!$Z34)</f>
        <v/>
      </c>
      <c r="K37">
        <f>IF(OR($G37="",Sync!$AA34=""),"",Sync!$AA34)</f>
        <v/>
      </c>
      <c r="L37">
        <f>IF($G37="",0,IF(Sync!$AB34="",0,Sync!$AB34))</f>
        <v/>
      </c>
      <c r="M37">
        <f>IF($G37="",0,IF(Sync!$AC34="",0,Sync!$AC34))</f>
        <v/>
      </c>
      <c r="N37">
        <f>IF($G37="","",IF($H37="مرجوعی خرید",-1,1)*($L37-$M37*IFERROR(VLOOKUP("P01",ParamTbl,3,0),1.5))*(1-IF($I37="خرید",IFERROR(VLOOKUP("P02",ParamTbl,3,0),1),0)/100))</f>
        <v/>
      </c>
      <c r="O37">
        <f>IF($G37="",0,IF($H37="مرجوعی خرید",-1,1)*IF(Sync!$AD34="",0,Sync!$AD34))</f>
        <v/>
      </c>
      <c r="P37">
        <f>IF(OR($G37="",Sync!$W34=""),"",Sync!$W34)</f>
        <v/>
      </c>
      <c r="Q37">
        <f>IF(OR($G37="",Sync!$AE34=""),"",Sync!$AE34)</f>
        <v/>
      </c>
      <c r="R37">
        <f>IF($G37="","",IF(Sync!$V34="","0000",IF(AND(ISNUMBER(Sync!$V34),Sync!$V34&gt;=0,Sync!$V34&lt;1),RIGHT("00"&amp;HOUR(Sync!$V34),2)&amp;RIGHT("00"&amp;MINUTE(Sync!$V34),2),IFERROR(RIGHT("00"&amp;VALUE(LEFT(Sync!$V34,FIND(":",Sync!$V34)-1)),2)&amp;RIGHT("00"&amp;VALUE(MID(Sync!$V34,FIND(":",Sync!$V34)+1,2)),2),"0000"))))</f>
        <v/>
      </c>
    </row>
    <row r="38">
      <c r="A38">
        <f>IF(Sync!$U35="","",Sync!$U35)</f>
        <v/>
      </c>
      <c r="B38">
        <f>IF($A38="","",IF(ISNUMBER($A38),IF(AND($A38&gt;=10000101,$A38&lt;=99991231),INT($A38/10000),""),IFERROR(VALUE(TRIM(LEFT($A38,FIND("/",$A38)-1))),"")))</f>
        <v/>
      </c>
      <c r="C38">
        <f>IF(OR($A38="",$B38=""),"",IF(ISNUMBER($A38),INT(MOD($A38,10000)/100),IFERROR(VALUE(TRIM(LEFT(MID($A38,FIND("/",$A38)+1,20),FIND("/",MID($A38,FIND("/",$A38)+1,20))-1))),"")))</f>
        <v/>
      </c>
      <c r="D38">
        <f>IF(OR($A38="",$B38=""),"",IF(ISNUMBER($A38),MOD($A38,100),IFERROR(VALUE(TRIM(MID(MID($A38,FIND("/",$A38)+1,20),FIND("/",MID($A38,FIND("/",$A38)+1,20))+1,20))),"")))</f>
        <v/>
      </c>
      <c r="E38">
        <f>IF($A38="","",IF(OR($B38="",$C38="",$D38="",$B38&lt;1300,$B38&gt;1500,$C38&lt;1,$C38&gt;12,$D38&lt;1,$D38&gt;31),"نامعتبر",RIGHT("0000"&amp;$B38,4)&amp;"/"&amp;RIGHT("00"&amp;$C38,2)&amp;"/"&amp;RIGHT("00"&amp;$D38,2)))</f>
        <v/>
      </c>
      <c r="F38">
        <f>IF(OR($E38="",$E38="نامعتبر"),"",LEFT($E38,4)&amp;"/"&amp;MID($E38,6,2))</f>
        <v/>
      </c>
      <c r="G38">
        <f>IF(OR($E38="",$E38="نامعتبر",Sync!$Y35=""),"",Sync!$Y35)</f>
        <v/>
      </c>
      <c r="H38">
        <f>IF($G38="","",IF(Sync!$X35="","",Sync!$X35))</f>
        <v/>
      </c>
      <c r="I38">
        <f>IF($G38="","",IFERROR(VLOOKUP(Sync!$X35,OpTbl,3,0),""))</f>
        <v/>
      </c>
      <c r="J38">
        <f>IF(OR($G38="",Sync!$Z35=""),"",Sync!$Z35)</f>
        <v/>
      </c>
      <c r="K38">
        <f>IF(OR($G38="",Sync!$AA35=""),"",Sync!$AA35)</f>
        <v/>
      </c>
      <c r="L38">
        <f>IF($G38="",0,IF(Sync!$AB35="",0,Sync!$AB35))</f>
        <v/>
      </c>
      <c r="M38">
        <f>IF($G38="",0,IF(Sync!$AC35="",0,Sync!$AC35))</f>
        <v/>
      </c>
      <c r="N38">
        <f>IF($G38="","",IF($H38="مرجوعی خرید",-1,1)*($L38-$M38*IFERROR(VLOOKUP("P01",ParamTbl,3,0),1.5))*(1-IF($I38="خرید",IFERROR(VLOOKUP("P02",ParamTbl,3,0),1),0)/100))</f>
        <v/>
      </c>
      <c r="O38">
        <f>IF($G38="",0,IF($H38="مرجوعی خرید",-1,1)*IF(Sync!$AD35="",0,Sync!$AD35))</f>
        <v/>
      </c>
      <c r="P38">
        <f>IF(OR($G38="",Sync!$W35=""),"",Sync!$W35)</f>
        <v/>
      </c>
      <c r="Q38">
        <f>IF(OR($G38="",Sync!$AE35=""),"",Sync!$AE35)</f>
        <v/>
      </c>
      <c r="R38">
        <f>IF($G38="","",IF(Sync!$V35="","0000",IF(AND(ISNUMBER(Sync!$V35),Sync!$V35&gt;=0,Sync!$V35&lt;1),RIGHT("00"&amp;HOUR(Sync!$V35),2)&amp;RIGHT("00"&amp;MINUTE(Sync!$V35),2),IFERROR(RIGHT("00"&amp;VALUE(LEFT(Sync!$V35,FIND(":",Sync!$V35)-1)),2)&amp;RIGHT("00"&amp;VALUE(MID(Sync!$V35,FIND(":",Sync!$V35)+1,2)),2),"0000"))))</f>
        <v/>
      </c>
    </row>
    <row r="39">
      <c r="A39">
        <f>IF(Sync!$U36="","",Sync!$U36)</f>
        <v/>
      </c>
      <c r="B39">
        <f>IF($A39="","",IF(ISNUMBER($A39),IF(AND($A39&gt;=10000101,$A39&lt;=99991231),INT($A39/10000),""),IFERROR(VALUE(TRIM(LEFT($A39,FIND("/",$A39)-1))),"")))</f>
        <v/>
      </c>
      <c r="C39">
        <f>IF(OR($A39="",$B39=""),"",IF(ISNUMBER($A39),INT(MOD($A39,10000)/100),IFERROR(VALUE(TRIM(LEFT(MID($A39,FIND("/",$A39)+1,20),FIND("/",MID($A39,FIND("/",$A39)+1,20))-1))),"")))</f>
        <v/>
      </c>
      <c r="D39">
        <f>IF(OR($A39="",$B39=""),"",IF(ISNUMBER($A39),MOD($A39,100),IFERROR(VALUE(TRIM(MID(MID($A39,FIND("/",$A39)+1,20),FIND("/",MID($A39,FIND("/",$A39)+1,20))+1,20))),"")))</f>
        <v/>
      </c>
      <c r="E39">
        <f>IF($A39="","",IF(OR($B39="",$C39="",$D39="",$B39&lt;1300,$B39&gt;1500,$C39&lt;1,$C39&gt;12,$D39&lt;1,$D39&gt;31),"نامعتبر",RIGHT("0000"&amp;$B39,4)&amp;"/"&amp;RIGHT("00"&amp;$C39,2)&amp;"/"&amp;RIGHT("00"&amp;$D39,2)))</f>
        <v/>
      </c>
      <c r="F39">
        <f>IF(OR($E39="",$E39="نامعتبر"),"",LEFT($E39,4)&amp;"/"&amp;MID($E39,6,2))</f>
        <v/>
      </c>
      <c r="G39">
        <f>IF(OR($E39="",$E39="نامعتبر",Sync!$Y36=""),"",Sync!$Y36)</f>
        <v/>
      </c>
      <c r="H39">
        <f>IF($G39="","",IF(Sync!$X36="","",Sync!$X36))</f>
        <v/>
      </c>
      <c r="I39">
        <f>IF($G39="","",IFERROR(VLOOKUP(Sync!$X36,OpTbl,3,0),""))</f>
        <v/>
      </c>
      <c r="J39">
        <f>IF(OR($G39="",Sync!$Z36=""),"",Sync!$Z36)</f>
        <v/>
      </c>
      <c r="K39">
        <f>IF(OR($G39="",Sync!$AA36=""),"",Sync!$AA36)</f>
        <v/>
      </c>
      <c r="L39">
        <f>IF($G39="",0,IF(Sync!$AB36="",0,Sync!$AB36))</f>
        <v/>
      </c>
      <c r="M39">
        <f>IF($G39="",0,IF(Sync!$AC36="",0,Sync!$AC36))</f>
        <v/>
      </c>
      <c r="N39">
        <f>IF($G39="","",IF($H39="مرجوعی خرید",-1,1)*($L39-$M39*IFERROR(VLOOKUP("P01",ParamTbl,3,0),1.5))*(1-IF($I39="خرید",IFERROR(VLOOKUP("P02",ParamTbl,3,0),1),0)/100))</f>
        <v/>
      </c>
      <c r="O39">
        <f>IF($G39="",0,IF($H39="مرجوعی خرید",-1,1)*IF(Sync!$AD36="",0,Sync!$AD36))</f>
        <v/>
      </c>
      <c r="P39">
        <f>IF(OR($G39="",Sync!$W36=""),"",Sync!$W36)</f>
        <v/>
      </c>
      <c r="Q39">
        <f>IF(OR($G39="",Sync!$AE36=""),"",Sync!$AE36)</f>
        <v/>
      </c>
      <c r="R39">
        <f>IF($G39="","",IF(Sync!$V36="","0000",IF(AND(ISNUMBER(Sync!$V36),Sync!$V36&gt;=0,Sync!$V36&lt;1),RIGHT("00"&amp;HOUR(Sync!$V36),2)&amp;RIGHT("00"&amp;MINUTE(Sync!$V36),2),IFERROR(RIGHT("00"&amp;VALUE(LEFT(Sync!$V36,FIND(":",Sync!$V36)-1)),2)&amp;RIGHT("00"&amp;VALUE(MID(Sync!$V36,FIND(":",Sync!$V36)+1,2)),2),"0000"))))</f>
        <v/>
      </c>
    </row>
    <row r="40">
      <c r="A40">
        <f>IF(Sync!$U37="","",Sync!$U37)</f>
        <v/>
      </c>
      <c r="B40">
        <f>IF($A40="","",IF(ISNUMBER($A40),IF(AND($A40&gt;=10000101,$A40&lt;=99991231),INT($A40/10000),""),IFERROR(VALUE(TRIM(LEFT($A40,FIND("/",$A40)-1))),"")))</f>
        <v/>
      </c>
      <c r="C40">
        <f>IF(OR($A40="",$B40=""),"",IF(ISNUMBER($A40),INT(MOD($A40,10000)/100),IFERROR(VALUE(TRIM(LEFT(MID($A40,FIND("/",$A40)+1,20),FIND("/",MID($A40,FIND("/",$A40)+1,20))-1))),"")))</f>
        <v/>
      </c>
      <c r="D40">
        <f>IF(OR($A40="",$B40=""),"",IF(ISNUMBER($A40),MOD($A40,100),IFERROR(VALUE(TRIM(MID(MID($A40,FIND("/",$A40)+1,20),FIND("/",MID($A40,FIND("/",$A40)+1,20))+1,20))),"")))</f>
        <v/>
      </c>
      <c r="E40">
        <f>IF($A40="","",IF(OR($B40="",$C40="",$D40="",$B40&lt;1300,$B40&gt;1500,$C40&lt;1,$C40&gt;12,$D40&lt;1,$D40&gt;31),"نامعتبر",RIGHT("0000"&amp;$B40,4)&amp;"/"&amp;RIGHT("00"&amp;$C40,2)&amp;"/"&amp;RIGHT("00"&amp;$D40,2)))</f>
        <v/>
      </c>
      <c r="F40">
        <f>IF(OR($E40="",$E40="نامعتبر"),"",LEFT($E40,4)&amp;"/"&amp;MID($E40,6,2))</f>
        <v/>
      </c>
      <c r="G40">
        <f>IF(OR($E40="",$E40="نامعتبر",Sync!$Y37=""),"",Sync!$Y37)</f>
        <v/>
      </c>
      <c r="H40">
        <f>IF($G40="","",IF(Sync!$X37="","",Sync!$X37))</f>
        <v/>
      </c>
      <c r="I40">
        <f>IF($G40="","",IFERROR(VLOOKUP(Sync!$X37,OpTbl,3,0),""))</f>
        <v/>
      </c>
      <c r="J40">
        <f>IF(OR($G40="",Sync!$Z37=""),"",Sync!$Z37)</f>
        <v/>
      </c>
      <c r="K40">
        <f>IF(OR($G40="",Sync!$AA37=""),"",Sync!$AA37)</f>
        <v/>
      </c>
      <c r="L40">
        <f>IF($G40="",0,IF(Sync!$AB37="",0,Sync!$AB37))</f>
        <v/>
      </c>
      <c r="M40">
        <f>IF($G40="",0,IF(Sync!$AC37="",0,Sync!$AC37))</f>
        <v/>
      </c>
      <c r="N40">
        <f>IF($G40="","",IF($H40="مرجوعی خرید",-1,1)*($L40-$M40*IFERROR(VLOOKUP("P01",ParamTbl,3,0),1.5))*(1-IF($I40="خرید",IFERROR(VLOOKUP("P02",ParamTbl,3,0),1),0)/100))</f>
        <v/>
      </c>
      <c r="O40">
        <f>IF($G40="",0,IF($H40="مرجوعی خرید",-1,1)*IF(Sync!$AD37="",0,Sync!$AD37))</f>
        <v/>
      </c>
      <c r="P40">
        <f>IF(OR($G40="",Sync!$W37=""),"",Sync!$W37)</f>
        <v/>
      </c>
      <c r="Q40">
        <f>IF(OR($G40="",Sync!$AE37=""),"",Sync!$AE37)</f>
        <v/>
      </c>
      <c r="R40">
        <f>IF($G40="","",IF(Sync!$V37="","0000",IF(AND(ISNUMBER(Sync!$V37),Sync!$V37&gt;=0,Sync!$V37&lt;1),RIGHT("00"&amp;HOUR(Sync!$V37),2)&amp;RIGHT("00"&amp;MINUTE(Sync!$V37),2),IFERROR(RIGHT("00"&amp;VALUE(LEFT(Sync!$V37,FIND(":",Sync!$V37)-1)),2)&amp;RIGHT("00"&amp;VALUE(MID(Sync!$V37,FIND(":",Sync!$V37)+1,2)),2),"0000"))))</f>
        <v/>
      </c>
    </row>
    <row r="41">
      <c r="A41">
        <f>IF(Sync!$U38="","",Sync!$U38)</f>
        <v/>
      </c>
      <c r="B41">
        <f>IF($A41="","",IF(ISNUMBER($A41),IF(AND($A41&gt;=10000101,$A41&lt;=99991231),INT($A41/10000),""),IFERROR(VALUE(TRIM(LEFT($A41,FIND("/",$A41)-1))),"")))</f>
        <v/>
      </c>
      <c r="C41">
        <f>IF(OR($A41="",$B41=""),"",IF(ISNUMBER($A41),INT(MOD($A41,10000)/100),IFERROR(VALUE(TRIM(LEFT(MID($A41,FIND("/",$A41)+1,20),FIND("/",MID($A41,FIND("/",$A41)+1,20))-1))),"")))</f>
        <v/>
      </c>
      <c r="D41">
        <f>IF(OR($A41="",$B41=""),"",IF(ISNUMBER($A41),MOD($A41,100),IFERROR(VALUE(TRIM(MID(MID($A41,FIND("/",$A41)+1,20),FIND("/",MID($A41,FIND("/",$A41)+1,20))+1,20))),"")))</f>
        <v/>
      </c>
      <c r="E41">
        <f>IF($A41="","",IF(OR($B41="",$C41="",$D41="",$B41&lt;1300,$B41&gt;1500,$C41&lt;1,$C41&gt;12,$D41&lt;1,$D41&gt;31),"نامعتبر",RIGHT("0000"&amp;$B41,4)&amp;"/"&amp;RIGHT("00"&amp;$C41,2)&amp;"/"&amp;RIGHT("00"&amp;$D41,2)))</f>
        <v/>
      </c>
      <c r="F41">
        <f>IF(OR($E41="",$E41="نامعتبر"),"",LEFT($E41,4)&amp;"/"&amp;MID($E41,6,2))</f>
        <v/>
      </c>
      <c r="G41">
        <f>IF(OR($E41="",$E41="نامعتبر",Sync!$Y38=""),"",Sync!$Y38)</f>
        <v/>
      </c>
      <c r="H41">
        <f>IF($G41="","",IF(Sync!$X38="","",Sync!$X38))</f>
        <v/>
      </c>
      <c r="I41">
        <f>IF($G41="","",IFERROR(VLOOKUP(Sync!$X38,OpTbl,3,0),""))</f>
        <v/>
      </c>
      <c r="J41">
        <f>IF(OR($G41="",Sync!$Z38=""),"",Sync!$Z38)</f>
        <v/>
      </c>
      <c r="K41">
        <f>IF(OR($G41="",Sync!$AA38=""),"",Sync!$AA38)</f>
        <v/>
      </c>
      <c r="L41">
        <f>IF($G41="",0,IF(Sync!$AB38="",0,Sync!$AB38))</f>
        <v/>
      </c>
      <c r="M41">
        <f>IF($G41="",0,IF(Sync!$AC38="",0,Sync!$AC38))</f>
        <v/>
      </c>
      <c r="N41">
        <f>IF($G41="","",IF($H41="مرجوعی خرید",-1,1)*($L41-$M41*IFERROR(VLOOKUP("P01",ParamTbl,3,0),1.5))*(1-IF($I41="خرید",IFERROR(VLOOKUP("P02",ParamTbl,3,0),1),0)/100))</f>
        <v/>
      </c>
      <c r="O41">
        <f>IF($G41="",0,IF($H41="مرجوعی خرید",-1,1)*IF(Sync!$AD38="",0,Sync!$AD38))</f>
        <v/>
      </c>
      <c r="P41">
        <f>IF(OR($G41="",Sync!$W38=""),"",Sync!$W38)</f>
        <v/>
      </c>
      <c r="Q41">
        <f>IF(OR($G41="",Sync!$AE38=""),"",Sync!$AE38)</f>
        <v/>
      </c>
      <c r="R41">
        <f>IF($G41="","",IF(Sync!$V38="","0000",IF(AND(ISNUMBER(Sync!$V38),Sync!$V38&gt;=0,Sync!$V38&lt;1),RIGHT("00"&amp;HOUR(Sync!$V38),2)&amp;RIGHT("00"&amp;MINUTE(Sync!$V38),2),IFERROR(RIGHT("00"&amp;VALUE(LEFT(Sync!$V38,FIND(":",Sync!$V38)-1)),2)&amp;RIGHT("00"&amp;VALUE(MID(Sync!$V38,FIND(":",Sync!$V38)+1,2)),2),"0000"))))</f>
        <v/>
      </c>
    </row>
    <row r="42">
      <c r="A42">
        <f>IF(Sync!$U39="","",Sync!$U39)</f>
        <v/>
      </c>
      <c r="B42">
        <f>IF($A42="","",IF(ISNUMBER($A42),IF(AND($A42&gt;=10000101,$A42&lt;=99991231),INT($A42/10000),""),IFERROR(VALUE(TRIM(LEFT($A42,FIND("/",$A42)-1))),"")))</f>
        <v/>
      </c>
      <c r="C42">
        <f>IF(OR($A42="",$B42=""),"",IF(ISNUMBER($A42),INT(MOD($A42,10000)/100),IFERROR(VALUE(TRIM(LEFT(MID($A42,FIND("/",$A42)+1,20),FIND("/",MID($A42,FIND("/",$A42)+1,20))-1))),"")))</f>
        <v/>
      </c>
      <c r="D42">
        <f>IF(OR($A42="",$B42=""),"",IF(ISNUMBER($A42),MOD($A42,100),IFERROR(VALUE(TRIM(MID(MID($A42,FIND("/",$A42)+1,20),FIND("/",MID($A42,FIND("/",$A42)+1,20))+1,20))),"")))</f>
        <v/>
      </c>
      <c r="E42">
        <f>IF($A42="","",IF(OR($B42="",$C42="",$D42="",$B42&lt;1300,$B42&gt;1500,$C42&lt;1,$C42&gt;12,$D42&lt;1,$D42&gt;31),"نامعتبر",RIGHT("0000"&amp;$B42,4)&amp;"/"&amp;RIGHT("00"&amp;$C42,2)&amp;"/"&amp;RIGHT("00"&amp;$D42,2)))</f>
        <v/>
      </c>
      <c r="F42">
        <f>IF(OR($E42="",$E42="نامعتبر"),"",LEFT($E42,4)&amp;"/"&amp;MID($E42,6,2))</f>
        <v/>
      </c>
      <c r="G42">
        <f>IF(OR($E42="",$E42="نامعتبر",Sync!$Y39=""),"",Sync!$Y39)</f>
        <v/>
      </c>
      <c r="H42">
        <f>IF($G42="","",IF(Sync!$X39="","",Sync!$X39))</f>
        <v/>
      </c>
      <c r="I42">
        <f>IF($G42="","",IFERROR(VLOOKUP(Sync!$X39,OpTbl,3,0),""))</f>
        <v/>
      </c>
      <c r="J42">
        <f>IF(OR($G42="",Sync!$Z39=""),"",Sync!$Z39)</f>
        <v/>
      </c>
      <c r="K42">
        <f>IF(OR($G42="",Sync!$AA39=""),"",Sync!$AA39)</f>
        <v/>
      </c>
      <c r="L42">
        <f>IF($G42="",0,IF(Sync!$AB39="",0,Sync!$AB39))</f>
        <v/>
      </c>
      <c r="M42">
        <f>IF($G42="",0,IF(Sync!$AC39="",0,Sync!$AC39))</f>
        <v/>
      </c>
      <c r="N42">
        <f>IF($G42="","",IF($H42="مرجوعی خرید",-1,1)*($L42-$M42*IFERROR(VLOOKUP("P01",ParamTbl,3,0),1.5))*(1-IF($I42="خرید",IFERROR(VLOOKUP("P02",ParamTbl,3,0),1),0)/100))</f>
        <v/>
      </c>
      <c r="O42">
        <f>IF($G42="",0,IF($H42="مرجوعی خرید",-1,1)*IF(Sync!$AD39="",0,Sync!$AD39))</f>
        <v/>
      </c>
      <c r="P42">
        <f>IF(OR($G42="",Sync!$W39=""),"",Sync!$W39)</f>
        <v/>
      </c>
      <c r="Q42">
        <f>IF(OR($G42="",Sync!$AE39=""),"",Sync!$AE39)</f>
        <v/>
      </c>
      <c r="R42">
        <f>IF($G42="","",IF(Sync!$V39="","0000",IF(AND(ISNUMBER(Sync!$V39),Sync!$V39&gt;=0,Sync!$V39&lt;1),RIGHT("00"&amp;HOUR(Sync!$V39),2)&amp;RIGHT("00"&amp;MINUTE(Sync!$V39),2),IFERROR(RIGHT("00"&amp;VALUE(LEFT(Sync!$V39,FIND(":",Sync!$V39)-1)),2)&amp;RIGHT("00"&amp;VALUE(MID(Sync!$V39,FIND(":",Sync!$V39)+1,2)),2),"0000"))))</f>
        <v/>
      </c>
    </row>
    <row r="43">
      <c r="A43">
        <f>IF(Sync!$U40="","",Sync!$U40)</f>
        <v/>
      </c>
      <c r="B43">
        <f>IF($A43="","",IF(ISNUMBER($A43),IF(AND($A43&gt;=10000101,$A43&lt;=99991231),INT($A43/10000),""),IFERROR(VALUE(TRIM(LEFT($A43,FIND("/",$A43)-1))),"")))</f>
        <v/>
      </c>
      <c r="C43">
        <f>IF(OR($A43="",$B43=""),"",IF(ISNUMBER($A43),INT(MOD($A43,10000)/100),IFERROR(VALUE(TRIM(LEFT(MID($A43,FIND("/",$A43)+1,20),FIND("/",MID($A43,FIND("/",$A43)+1,20))-1))),"")))</f>
        <v/>
      </c>
      <c r="D43">
        <f>IF(OR($A43="",$B43=""),"",IF(ISNUMBER($A43),MOD($A43,100),IFERROR(VALUE(TRIM(MID(MID($A43,FIND("/",$A43)+1,20),FIND("/",MID($A43,FIND("/",$A43)+1,20))+1,20))),"")))</f>
        <v/>
      </c>
      <c r="E43">
        <f>IF($A43="","",IF(OR($B43="",$C43="",$D43="",$B43&lt;1300,$B43&gt;1500,$C43&lt;1,$C43&gt;12,$D43&lt;1,$D43&gt;31),"نامعتبر",RIGHT("0000"&amp;$B43,4)&amp;"/"&amp;RIGHT("00"&amp;$C43,2)&amp;"/"&amp;RIGHT("00"&amp;$D43,2)))</f>
        <v/>
      </c>
      <c r="F43">
        <f>IF(OR($E43="",$E43="نامعتبر"),"",LEFT($E43,4)&amp;"/"&amp;MID($E43,6,2))</f>
        <v/>
      </c>
      <c r="G43">
        <f>IF(OR($E43="",$E43="نامعتبر",Sync!$Y40=""),"",Sync!$Y40)</f>
        <v/>
      </c>
      <c r="H43">
        <f>IF($G43="","",IF(Sync!$X40="","",Sync!$X40))</f>
        <v/>
      </c>
      <c r="I43">
        <f>IF($G43="","",IFERROR(VLOOKUP(Sync!$X40,OpTbl,3,0),""))</f>
        <v/>
      </c>
      <c r="J43">
        <f>IF(OR($G43="",Sync!$Z40=""),"",Sync!$Z40)</f>
        <v/>
      </c>
      <c r="K43">
        <f>IF(OR($G43="",Sync!$AA40=""),"",Sync!$AA40)</f>
        <v/>
      </c>
      <c r="L43">
        <f>IF($G43="",0,IF(Sync!$AB40="",0,Sync!$AB40))</f>
        <v/>
      </c>
      <c r="M43">
        <f>IF($G43="",0,IF(Sync!$AC40="",0,Sync!$AC40))</f>
        <v/>
      </c>
      <c r="N43">
        <f>IF($G43="","",IF($H43="مرجوعی خرید",-1,1)*($L43-$M43*IFERROR(VLOOKUP("P01",ParamTbl,3,0),1.5))*(1-IF($I43="خرید",IFERROR(VLOOKUP("P02",ParamTbl,3,0),1),0)/100))</f>
        <v/>
      </c>
      <c r="O43">
        <f>IF($G43="",0,IF($H43="مرجوعی خرید",-1,1)*IF(Sync!$AD40="",0,Sync!$AD40))</f>
        <v/>
      </c>
      <c r="P43">
        <f>IF(OR($G43="",Sync!$W40=""),"",Sync!$W40)</f>
        <v/>
      </c>
      <c r="Q43">
        <f>IF(OR($G43="",Sync!$AE40=""),"",Sync!$AE40)</f>
        <v/>
      </c>
      <c r="R43">
        <f>IF($G43="","",IF(Sync!$V40="","0000",IF(AND(ISNUMBER(Sync!$V40),Sync!$V40&gt;=0,Sync!$V40&lt;1),RIGHT("00"&amp;HOUR(Sync!$V40),2)&amp;RIGHT("00"&amp;MINUTE(Sync!$V40),2),IFERROR(RIGHT("00"&amp;VALUE(LEFT(Sync!$V40,FIND(":",Sync!$V40)-1)),2)&amp;RIGHT("00"&amp;VALUE(MID(Sync!$V40,FIND(":",Sync!$V40)+1,2)),2),"0000"))))</f>
        <v/>
      </c>
    </row>
    <row r="44">
      <c r="A44">
        <f>IF(Sync!$U41="","",Sync!$U41)</f>
        <v/>
      </c>
      <c r="B44">
        <f>IF($A44="","",IF(ISNUMBER($A44),IF(AND($A44&gt;=10000101,$A44&lt;=99991231),INT($A44/10000),""),IFERROR(VALUE(TRIM(LEFT($A44,FIND("/",$A44)-1))),"")))</f>
        <v/>
      </c>
      <c r="C44">
        <f>IF(OR($A44="",$B44=""),"",IF(ISNUMBER($A44),INT(MOD($A44,10000)/100),IFERROR(VALUE(TRIM(LEFT(MID($A44,FIND("/",$A44)+1,20),FIND("/",MID($A44,FIND("/",$A44)+1,20))-1))),"")))</f>
        <v/>
      </c>
      <c r="D44">
        <f>IF(OR($A44="",$B44=""),"",IF(ISNUMBER($A44),MOD($A44,100),IFERROR(VALUE(TRIM(MID(MID($A44,FIND("/",$A44)+1,20),FIND("/",MID($A44,FIND("/",$A44)+1,20))+1,20))),"")))</f>
        <v/>
      </c>
      <c r="E44">
        <f>IF($A44="","",IF(OR($B44="",$C44="",$D44="",$B44&lt;1300,$B44&gt;1500,$C44&lt;1,$C44&gt;12,$D44&lt;1,$D44&gt;31),"نامعتبر",RIGHT("0000"&amp;$B44,4)&amp;"/"&amp;RIGHT("00"&amp;$C44,2)&amp;"/"&amp;RIGHT("00"&amp;$D44,2)))</f>
        <v/>
      </c>
      <c r="F44">
        <f>IF(OR($E44="",$E44="نامعتبر"),"",LEFT($E44,4)&amp;"/"&amp;MID($E44,6,2))</f>
        <v/>
      </c>
      <c r="G44">
        <f>IF(OR($E44="",$E44="نامعتبر",Sync!$Y41=""),"",Sync!$Y41)</f>
        <v/>
      </c>
      <c r="H44">
        <f>IF($G44="","",IF(Sync!$X41="","",Sync!$X41))</f>
        <v/>
      </c>
      <c r="I44">
        <f>IF($G44="","",IFERROR(VLOOKUP(Sync!$X41,OpTbl,3,0),""))</f>
        <v/>
      </c>
      <c r="J44">
        <f>IF(OR($G44="",Sync!$Z41=""),"",Sync!$Z41)</f>
        <v/>
      </c>
      <c r="K44">
        <f>IF(OR($G44="",Sync!$AA41=""),"",Sync!$AA41)</f>
        <v/>
      </c>
      <c r="L44">
        <f>IF($G44="",0,IF(Sync!$AB41="",0,Sync!$AB41))</f>
        <v/>
      </c>
      <c r="M44">
        <f>IF($G44="",0,IF(Sync!$AC41="",0,Sync!$AC41))</f>
        <v/>
      </c>
      <c r="N44">
        <f>IF($G44="","",IF($H44="مرجوعی خرید",-1,1)*($L44-$M44*IFERROR(VLOOKUP("P01",ParamTbl,3,0),1.5))*(1-IF($I44="خرید",IFERROR(VLOOKUP("P02",ParamTbl,3,0),1),0)/100))</f>
        <v/>
      </c>
      <c r="O44">
        <f>IF($G44="",0,IF($H44="مرجوعی خرید",-1,1)*IF(Sync!$AD41="",0,Sync!$AD41))</f>
        <v/>
      </c>
      <c r="P44">
        <f>IF(OR($G44="",Sync!$W41=""),"",Sync!$W41)</f>
        <v/>
      </c>
      <c r="Q44">
        <f>IF(OR($G44="",Sync!$AE41=""),"",Sync!$AE41)</f>
        <v/>
      </c>
      <c r="R44">
        <f>IF($G44="","",IF(Sync!$V41="","0000",IF(AND(ISNUMBER(Sync!$V41),Sync!$V41&gt;=0,Sync!$V41&lt;1),RIGHT("00"&amp;HOUR(Sync!$V41),2)&amp;RIGHT("00"&amp;MINUTE(Sync!$V41),2),IFERROR(RIGHT("00"&amp;VALUE(LEFT(Sync!$V41,FIND(":",Sync!$V41)-1)),2)&amp;RIGHT("00"&amp;VALUE(MID(Sync!$V41,FIND(":",Sync!$V41)+1,2)),2),"0000"))))</f>
        <v/>
      </c>
    </row>
    <row r="45">
      <c r="A45">
        <f>IF(Sync!$U42="","",Sync!$U42)</f>
        <v/>
      </c>
      <c r="B45">
        <f>IF($A45="","",IF(ISNUMBER($A45),IF(AND($A45&gt;=10000101,$A45&lt;=99991231),INT($A45/10000),""),IFERROR(VALUE(TRIM(LEFT($A45,FIND("/",$A45)-1))),"")))</f>
        <v/>
      </c>
      <c r="C45">
        <f>IF(OR($A45="",$B45=""),"",IF(ISNUMBER($A45),INT(MOD($A45,10000)/100),IFERROR(VALUE(TRIM(LEFT(MID($A45,FIND("/",$A45)+1,20),FIND("/",MID($A45,FIND("/",$A45)+1,20))-1))),"")))</f>
        <v/>
      </c>
      <c r="D45">
        <f>IF(OR($A45="",$B45=""),"",IF(ISNUMBER($A45),MOD($A45,100),IFERROR(VALUE(TRIM(MID(MID($A45,FIND("/",$A45)+1,20),FIND("/",MID($A45,FIND("/",$A45)+1,20))+1,20))),"")))</f>
        <v/>
      </c>
      <c r="E45">
        <f>IF($A45="","",IF(OR($B45="",$C45="",$D45="",$B45&lt;1300,$B45&gt;1500,$C45&lt;1,$C45&gt;12,$D45&lt;1,$D45&gt;31),"نامعتبر",RIGHT("0000"&amp;$B45,4)&amp;"/"&amp;RIGHT("00"&amp;$C45,2)&amp;"/"&amp;RIGHT("00"&amp;$D45,2)))</f>
        <v/>
      </c>
      <c r="F45">
        <f>IF(OR($E45="",$E45="نامعتبر"),"",LEFT($E45,4)&amp;"/"&amp;MID($E45,6,2))</f>
        <v/>
      </c>
      <c r="G45">
        <f>IF(OR($E45="",$E45="نامعتبر",Sync!$Y42=""),"",Sync!$Y42)</f>
        <v/>
      </c>
      <c r="H45">
        <f>IF($G45="","",IF(Sync!$X42="","",Sync!$X42))</f>
        <v/>
      </c>
      <c r="I45">
        <f>IF($G45="","",IFERROR(VLOOKUP(Sync!$X42,OpTbl,3,0),""))</f>
        <v/>
      </c>
      <c r="J45">
        <f>IF(OR($G45="",Sync!$Z42=""),"",Sync!$Z42)</f>
        <v/>
      </c>
      <c r="K45">
        <f>IF(OR($G45="",Sync!$AA42=""),"",Sync!$AA42)</f>
        <v/>
      </c>
      <c r="L45">
        <f>IF($G45="",0,IF(Sync!$AB42="",0,Sync!$AB42))</f>
        <v/>
      </c>
      <c r="M45">
        <f>IF($G45="",0,IF(Sync!$AC42="",0,Sync!$AC42))</f>
        <v/>
      </c>
      <c r="N45">
        <f>IF($G45="","",IF($H45="مرجوعی خرید",-1,1)*($L45-$M45*IFERROR(VLOOKUP("P01",ParamTbl,3,0),1.5))*(1-IF($I45="خرید",IFERROR(VLOOKUP("P02",ParamTbl,3,0),1),0)/100))</f>
        <v/>
      </c>
      <c r="O45">
        <f>IF($G45="",0,IF($H45="مرجوعی خرید",-1,1)*IF(Sync!$AD42="",0,Sync!$AD42))</f>
        <v/>
      </c>
      <c r="P45">
        <f>IF(OR($G45="",Sync!$W42=""),"",Sync!$W42)</f>
        <v/>
      </c>
      <c r="Q45">
        <f>IF(OR($G45="",Sync!$AE42=""),"",Sync!$AE42)</f>
        <v/>
      </c>
      <c r="R45">
        <f>IF($G45="","",IF(Sync!$V42="","0000",IF(AND(ISNUMBER(Sync!$V42),Sync!$V42&gt;=0,Sync!$V42&lt;1),RIGHT("00"&amp;HOUR(Sync!$V42),2)&amp;RIGHT("00"&amp;MINUTE(Sync!$V42),2),IFERROR(RIGHT("00"&amp;VALUE(LEFT(Sync!$V42,FIND(":",Sync!$V42)-1)),2)&amp;RIGHT("00"&amp;VALUE(MID(Sync!$V42,FIND(":",Sync!$V42)+1,2)),2),"0000"))))</f>
        <v/>
      </c>
    </row>
    <row r="46">
      <c r="A46">
        <f>IF(Sync!$U43="","",Sync!$U43)</f>
        <v/>
      </c>
      <c r="B46">
        <f>IF($A46="","",IF(ISNUMBER($A46),IF(AND($A46&gt;=10000101,$A46&lt;=99991231),INT($A46/10000),""),IFERROR(VALUE(TRIM(LEFT($A46,FIND("/",$A46)-1))),"")))</f>
        <v/>
      </c>
      <c r="C46">
        <f>IF(OR($A46="",$B46=""),"",IF(ISNUMBER($A46),INT(MOD($A46,10000)/100),IFERROR(VALUE(TRIM(LEFT(MID($A46,FIND("/",$A46)+1,20),FIND("/",MID($A46,FIND("/",$A46)+1,20))-1))),"")))</f>
        <v/>
      </c>
      <c r="D46">
        <f>IF(OR($A46="",$B46=""),"",IF(ISNUMBER($A46),MOD($A46,100),IFERROR(VALUE(TRIM(MID(MID($A46,FIND("/",$A46)+1,20),FIND("/",MID($A46,FIND("/",$A46)+1,20))+1,20))),"")))</f>
        <v/>
      </c>
      <c r="E46">
        <f>IF($A46="","",IF(OR($B46="",$C46="",$D46="",$B46&lt;1300,$B46&gt;1500,$C46&lt;1,$C46&gt;12,$D46&lt;1,$D46&gt;31),"نامعتبر",RIGHT("0000"&amp;$B46,4)&amp;"/"&amp;RIGHT("00"&amp;$C46,2)&amp;"/"&amp;RIGHT("00"&amp;$D46,2)))</f>
        <v/>
      </c>
      <c r="F46">
        <f>IF(OR($E46="",$E46="نامعتبر"),"",LEFT($E46,4)&amp;"/"&amp;MID($E46,6,2))</f>
        <v/>
      </c>
      <c r="G46">
        <f>IF(OR($E46="",$E46="نامعتبر",Sync!$Y43=""),"",Sync!$Y43)</f>
        <v/>
      </c>
      <c r="H46">
        <f>IF($G46="","",IF(Sync!$X43="","",Sync!$X43))</f>
        <v/>
      </c>
      <c r="I46">
        <f>IF($G46="","",IFERROR(VLOOKUP(Sync!$X43,OpTbl,3,0),""))</f>
        <v/>
      </c>
      <c r="J46">
        <f>IF(OR($G46="",Sync!$Z43=""),"",Sync!$Z43)</f>
        <v/>
      </c>
      <c r="K46">
        <f>IF(OR($G46="",Sync!$AA43=""),"",Sync!$AA43)</f>
        <v/>
      </c>
      <c r="L46">
        <f>IF($G46="",0,IF(Sync!$AB43="",0,Sync!$AB43))</f>
        <v/>
      </c>
      <c r="M46">
        <f>IF($G46="",0,IF(Sync!$AC43="",0,Sync!$AC43))</f>
        <v/>
      </c>
      <c r="N46">
        <f>IF($G46="","",IF($H46="مرجوعی خرید",-1,1)*($L46-$M46*IFERROR(VLOOKUP("P01",ParamTbl,3,0),1.5))*(1-IF($I46="خرید",IFERROR(VLOOKUP("P02",ParamTbl,3,0),1),0)/100))</f>
        <v/>
      </c>
      <c r="O46">
        <f>IF($G46="",0,IF($H46="مرجوعی خرید",-1,1)*IF(Sync!$AD43="",0,Sync!$AD43))</f>
        <v/>
      </c>
      <c r="P46">
        <f>IF(OR($G46="",Sync!$W43=""),"",Sync!$W43)</f>
        <v/>
      </c>
      <c r="Q46">
        <f>IF(OR($G46="",Sync!$AE43=""),"",Sync!$AE43)</f>
        <v/>
      </c>
      <c r="R46">
        <f>IF($G46="","",IF(Sync!$V43="","0000",IF(AND(ISNUMBER(Sync!$V43),Sync!$V43&gt;=0,Sync!$V43&lt;1),RIGHT("00"&amp;HOUR(Sync!$V43),2)&amp;RIGHT("00"&amp;MINUTE(Sync!$V43),2),IFERROR(RIGHT("00"&amp;VALUE(LEFT(Sync!$V43,FIND(":",Sync!$V43)-1)),2)&amp;RIGHT("00"&amp;VALUE(MID(Sync!$V43,FIND(":",Sync!$V43)+1,2)),2),"0000"))))</f>
        <v/>
      </c>
    </row>
    <row r="47">
      <c r="A47">
        <f>IF(Sync!$U44="","",Sync!$U44)</f>
        <v/>
      </c>
      <c r="B47">
        <f>IF($A47="","",IF(ISNUMBER($A47),IF(AND($A47&gt;=10000101,$A47&lt;=99991231),INT($A47/10000),""),IFERROR(VALUE(TRIM(LEFT($A47,FIND("/",$A47)-1))),"")))</f>
        <v/>
      </c>
      <c r="C47">
        <f>IF(OR($A47="",$B47=""),"",IF(ISNUMBER($A47),INT(MOD($A47,10000)/100),IFERROR(VALUE(TRIM(LEFT(MID($A47,FIND("/",$A47)+1,20),FIND("/",MID($A47,FIND("/",$A47)+1,20))-1))),"")))</f>
        <v/>
      </c>
      <c r="D47">
        <f>IF(OR($A47="",$B47=""),"",IF(ISNUMBER($A47),MOD($A47,100),IFERROR(VALUE(TRIM(MID(MID($A47,FIND("/",$A47)+1,20),FIND("/",MID($A47,FIND("/",$A47)+1,20))+1,20))),"")))</f>
        <v/>
      </c>
      <c r="E47">
        <f>IF($A47="","",IF(OR($B47="",$C47="",$D47="",$B47&lt;1300,$B47&gt;1500,$C47&lt;1,$C47&gt;12,$D47&lt;1,$D47&gt;31),"نامعتبر",RIGHT("0000"&amp;$B47,4)&amp;"/"&amp;RIGHT("00"&amp;$C47,2)&amp;"/"&amp;RIGHT("00"&amp;$D47,2)))</f>
        <v/>
      </c>
      <c r="F47">
        <f>IF(OR($E47="",$E47="نامعتبر"),"",LEFT($E47,4)&amp;"/"&amp;MID($E47,6,2))</f>
        <v/>
      </c>
      <c r="G47">
        <f>IF(OR($E47="",$E47="نامعتبر",Sync!$Y44=""),"",Sync!$Y44)</f>
        <v/>
      </c>
      <c r="H47">
        <f>IF($G47="","",IF(Sync!$X44="","",Sync!$X44))</f>
        <v/>
      </c>
      <c r="I47">
        <f>IF($G47="","",IFERROR(VLOOKUP(Sync!$X44,OpTbl,3,0),""))</f>
        <v/>
      </c>
      <c r="J47">
        <f>IF(OR($G47="",Sync!$Z44=""),"",Sync!$Z44)</f>
        <v/>
      </c>
      <c r="K47">
        <f>IF(OR($G47="",Sync!$AA44=""),"",Sync!$AA44)</f>
        <v/>
      </c>
      <c r="L47">
        <f>IF($G47="",0,IF(Sync!$AB44="",0,Sync!$AB44))</f>
        <v/>
      </c>
      <c r="M47">
        <f>IF($G47="",0,IF(Sync!$AC44="",0,Sync!$AC44))</f>
        <v/>
      </c>
      <c r="N47">
        <f>IF($G47="","",IF($H47="مرجوعی خرید",-1,1)*($L47-$M47*IFERROR(VLOOKUP("P01",ParamTbl,3,0),1.5))*(1-IF($I47="خرید",IFERROR(VLOOKUP("P02",ParamTbl,3,0),1),0)/100))</f>
        <v/>
      </c>
      <c r="O47">
        <f>IF($G47="",0,IF($H47="مرجوعی خرید",-1,1)*IF(Sync!$AD44="",0,Sync!$AD44))</f>
        <v/>
      </c>
      <c r="P47">
        <f>IF(OR($G47="",Sync!$W44=""),"",Sync!$W44)</f>
        <v/>
      </c>
      <c r="Q47">
        <f>IF(OR($G47="",Sync!$AE44=""),"",Sync!$AE44)</f>
        <v/>
      </c>
      <c r="R47">
        <f>IF($G47="","",IF(Sync!$V44="","0000",IF(AND(ISNUMBER(Sync!$V44),Sync!$V44&gt;=0,Sync!$V44&lt;1),RIGHT("00"&amp;HOUR(Sync!$V44),2)&amp;RIGHT("00"&amp;MINUTE(Sync!$V44),2),IFERROR(RIGHT("00"&amp;VALUE(LEFT(Sync!$V44,FIND(":",Sync!$V44)-1)),2)&amp;RIGHT("00"&amp;VALUE(MID(Sync!$V44,FIND(":",Sync!$V44)+1,2)),2),"0000"))))</f>
        <v/>
      </c>
    </row>
    <row r="48">
      <c r="A48">
        <f>IF(Sync!$U45="","",Sync!$U45)</f>
        <v/>
      </c>
      <c r="B48">
        <f>IF($A48="","",IF(ISNUMBER($A48),IF(AND($A48&gt;=10000101,$A48&lt;=99991231),INT($A48/10000),""),IFERROR(VALUE(TRIM(LEFT($A48,FIND("/",$A48)-1))),"")))</f>
        <v/>
      </c>
      <c r="C48">
        <f>IF(OR($A48="",$B48=""),"",IF(ISNUMBER($A48),INT(MOD($A48,10000)/100),IFERROR(VALUE(TRIM(LEFT(MID($A48,FIND("/",$A48)+1,20),FIND("/",MID($A48,FIND("/",$A48)+1,20))-1))),"")))</f>
        <v/>
      </c>
      <c r="D48">
        <f>IF(OR($A48="",$B48=""),"",IF(ISNUMBER($A48),MOD($A48,100),IFERROR(VALUE(TRIM(MID(MID($A48,FIND("/",$A48)+1,20),FIND("/",MID($A48,FIND("/",$A48)+1,20))+1,20))),"")))</f>
        <v/>
      </c>
      <c r="E48">
        <f>IF($A48="","",IF(OR($B48="",$C48="",$D48="",$B48&lt;1300,$B48&gt;1500,$C48&lt;1,$C48&gt;12,$D48&lt;1,$D48&gt;31),"نامعتبر",RIGHT("0000"&amp;$B48,4)&amp;"/"&amp;RIGHT("00"&amp;$C48,2)&amp;"/"&amp;RIGHT("00"&amp;$D48,2)))</f>
        <v/>
      </c>
      <c r="F48">
        <f>IF(OR($E48="",$E48="نامعتبر"),"",LEFT($E48,4)&amp;"/"&amp;MID($E48,6,2))</f>
        <v/>
      </c>
      <c r="G48">
        <f>IF(OR($E48="",$E48="نامعتبر",Sync!$Y45=""),"",Sync!$Y45)</f>
        <v/>
      </c>
      <c r="H48">
        <f>IF($G48="","",IF(Sync!$X45="","",Sync!$X45))</f>
        <v/>
      </c>
      <c r="I48">
        <f>IF($G48="","",IFERROR(VLOOKUP(Sync!$X45,OpTbl,3,0),""))</f>
        <v/>
      </c>
      <c r="J48">
        <f>IF(OR($G48="",Sync!$Z45=""),"",Sync!$Z45)</f>
        <v/>
      </c>
      <c r="K48">
        <f>IF(OR($G48="",Sync!$AA45=""),"",Sync!$AA45)</f>
        <v/>
      </c>
      <c r="L48">
        <f>IF($G48="",0,IF(Sync!$AB45="",0,Sync!$AB45))</f>
        <v/>
      </c>
      <c r="M48">
        <f>IF($G48="",0,IF(Sync!$AC45="",0,Sync!$AC45))</f>
        <v/>
      </c>
      <c r="N48">
        <f>IF($G48="","",IF($H48="مرجوعی خرید",-1,1)*($L48-$M48*IFERROR(VLOOKUP("P01",ParamTbl,3,0),1.5))*(1-IF($I48="خرید",IFERROR(VLOOKUP("P02",ParamTbl,3,0),1),0)/100))</f>
        <v/>
      </c>
      <c r="O48">
        <f>IF($G48="",0,IF($H48="مرجوعی خرید",-1,1)*IF(Sync!$AD45="",0,Sync!$AD45))</f>
        <v/>
      </c>
      <c r="P48">
        <f>IF(OR($G48="",Sync!$W45=""),"",Sync!$W45)</f>
        <v/>
      </c>
      <c r="Q48">
        <f>IF(OR($G48="",Sync!$AE45=""),"",Sync!$AE45)</f>
        <v/>
      </c>
      <c r="R48">
        <f>IF($G48="","",IF(Sync!$V45="","0000",IF(AND(ISNUMBER(Sync!$V45),Sync!$V45&gt;=0,Sync!$V45&lt;1),RIGHT("00"&amp;HOUR(Sync!$V45),2)&amp;RIGHT("00"&amp;MINUTE(Sync!$V45),2),IFERROR(RIGHT("00"&amp;VALUE(LEFT(Sync!$V45,FIND(":",Sync!$V45)-1)),2)&amp;RIGHT("00"&amp;VALUE(MID(Sync!$V45,FIND(":",Sync!$V45)+1,2)),2),"0000"))))</f>
        <v/>
      </c>
    </row>
    <row r="49">
      <c r="A49">
        <f>IF(Sync!$U46="","",Sync!$U46)</f>
        <v/>
      </c>
      <c r="B49">
        <f>IF($A49="","",IF(ISNUMBER($A49),IF(AND($A49&gt;=10000101,$A49&lt;=99991231),INT($A49/10000),""),IFERROR(VALUE(TRIM(LEFT($A49,FIND("/",$A49)-1))),"")))</f>
        <v/>
      </c>
      <c r="C49">
        <f>IF(OR($A49="",$B49=""),"",IF(ISNUMBER($A49),INT(MOD($A49,10000)/100),IFERROR(VALUE(TRIM(LEFT(MID($A49,FIND("/",$A49)+1,20),FIND("/",MID($A49,FIND("/",$A49)+1,20))-1))),"")))</f>
        <v/>
      </c>
      <c r="D49">
        <f>IF(OR($A49="",$B49=""),"",IF(ISNUMBER($A49),MOD($A49,100),IFERROR(VALUE(TRIM(MID(MID($A49,FIND("/",$A49)+1,20),FIND("/",MID($A49,FIND("/",$A49)+1,20))+1,20))),"")))</f>
        <v/>
      </c>
      <c r="E49">
        <f>IF($A49="","",IF(OR($B49="",$C49="",$D49="",$B49&lt;1300,$B49&gt;1500,$C49&lt;1,$C49&gt;12,$D49&lt;1,$D49&gt;31),"نامعتبر",RIGHT("0000"&amp;$B49,4)&amp;"/"&amp;RIGHT("00"&amp;$C49,2)&amp;"/"&amp;RIGHT("00"&amp;$D49,2)))</f>
        <v/>
      </c>
      <c r="F49">
        <f>IF(OR($E49="",$E49="نامعتبر"),"",LEFT($E49,4)&amp;"/"&amp;MID($E49,6,2))</f>
        <v/>
      </c>
      <c r="G49">
        <f>IF(OR($E49="",$E49="نامعتبر",Sync!$Y46=""),"",Sync!$Y46)</f>
        <v/>
      </c>
      <c r="H49">
        <f>IF($G49="","",IF(Sync!$X46="","",Sync!$X46))</f>
        <v/>
      </c>
      <c r="I49">
        <f>IF($G49="","",IFERROR(VLOOKUP(Sync!$X46,OpTbl,3,0),""))</f>
        <v/>
      </c>
      <c r="J49">
        <f>IF(OR($G49="",Sync!$Z46=""),"",Sync!$Z46)</f>
        <v/>
      </c>
      <c r="K49">
        <f>IF(OR($G49="",Sync!$AA46=""),"",Sync!$AA46)</f>
        <v/>
      </c>
      <c r="L49">
        <f>IF($G49="",0,IF(Sync!$AB46="",0,Sync!$AB46))</f>
        <v/>
      </c>
      <c r="M49">
        <f>IF($G49="",0,IF(Sync!$AC46="",0,Sync!$AC46))</f>
        <v/>
      </c>
      <c r="N49">
        <f>IF($G49="","",IF($H49="مرجوعی خرید",-1,1)*($L49-$M49*IFERROR(VLOOKUP("P01",ParamTbl,3,0),1.5))*(1-IF($I49="خرید",IFERROR(VLOOKUP("P02",ParamTbl,3,0),1),0)/100))</f>
        <v/>
      </c>
      <c r="O49">
        <f>IF($G49="",0,IF($H49="مرجوعی خرید",-1,1)*IF(Sync!$AD46="",0,Sync!$AD46))</f>
        <v/>
      </c>
      <c r="P49">
        <f>IF(OR($G49="",Sync!$W46=""),"",Sync!$W46)</f>
        <v/>
      </c>
      <c r="Q49">
        <f>IF(OR($G49="",Sync!$AE46=""),"",Sync!$AE46)</f>
        <v/>
      </c>
      <c r="R49">
        <f>IF($G49="","",IF(Sync!$V46="","0000",IF(AND(ISNUMBER(Sync!$V46),Sync!$V46&gt;=0,Sync!$V46&lt;1),RIGHT("00"&amp;HOUR(Sync!$V46),2)&amp;RIGHT("00"&amp;MINUTE(Sync!$V46),2),IFERROR(RIGHT("00"&amp;VALUE(LEFT(Sync!$V46,FIND(":",Sync!$V46)-1)),2)&amp;RIGHT("00"&amp;VALUE(MID(Sync!$V46,FIND(":",Sync!$V46)+1,2)),2),"0000"))))</f>
        <v/>
      </c>
    </row>
    <row r="50">
      <c r="A50">
        <f>IF(Sync!$U47="","",Sync!$U47)</f>
        <v/>
      </c>
      <c r="B50">
        <f>IF($A50="","",IF(ISNUMBER($A50),IF(AND($A50&gt;=10000101,$A50&lt;=99991231),INT($A50/10000),""),IFERROR(VALUE(TRIM(LEFT($A50,FIND("/",$A50)-1))),"")))</f>
        <v/>
      </c>
      <c r="C50">
        <f>IF(OR($A50="",$B50=""),"",IF(ISNUMBER($A50),INT(MOD($A50,10000)/100),IFERROR(VALUE(TRIM(LEFT(MID($A50,FIND("/",$A50)+1,20),FIND("/",MID($A50,FIND("/",$A50)+1,20))-1))),"")))</f>
        <v/>
      </c>
      <c r="D50">
        <f>IF(OR($A50="",$B50=""),"",IF(ISNUMBER($A50),MOD($A50,100),IFERROR(VALUE(TRIM(MID(MID($A50,FIND("/",$A50)+1,20),FIND("/",MID($A50,FIND("/",$A50)+1,20))+1,20))),"")))</f>
        <v/>
      </c>
      <c r="E50">
        <f>IF($A50="","",IF(OR($B50="",$C50="",$D50="",$B50&lt;1300,$B50&gt;1500,$C50&lt;1,$C50&gt;12,$D50&lt;1,$D50&gt;31),"نامعتبر",RIGHT("0000"&amp;$B50,4)&amp;"/"&amp;RIGHT("00"&amp;$C50,2)&amp;"/"&amp;RIGHT("00"&amp;$D50,2)))</f>
        <v/>
      </c>
      <c r="F50">
        <f>IF(OR($E50="",$E50="نامعتبر"),"",LEFT($E50,4)&amp;"/"&amp;MID($E50,6,2))</f>
        <v/>
      </c>
      <c r="G50">
        <f>IF(OR($E50="",$E50="نامعتبر",Sync!$Y47=""),"",Sync!$Y47)</f>
        <v/>
      </c>
      <c r="H50">
        <f>IF($G50="","",IF(Sync!$X47="","",Sync!$X47))</f>
        <v/>
      </c>
      <c r="I50">
        <f>IF($G50="","",IFERROR(VLOOKUP(Sync!$X47,OpTbl,3,0),""))</f>
        <v/>
      </c>
      <c r="J50">
        <f>IF(OR($G50="",Sync!$Z47=""),"",Sync!$Z47)</f>
        <v/>
      </c>
      <c r="K50">
        <f>IF(OR($G50="",Sync!$AA47=""),"",Sync!$AA47)</f>
        <v/>
      </c>
      <c r="L50">
        <f>IF($G50="",0,IF(Sync!$AB47="",0,Sync!$AB47))</f>
        <v/>
      </c>
      <c r="M50">
        <f>IF($G50="",0,IF(Sync!$AC47="",0,Sync!$AC47))</f>
        <v/>
      </c>
      <c r="N50">
        <f>IF($G50="","",IF($H50="مرجوعی خرید",-1,1)*($L50-$M50*IFERROR(VLOOKUP("P01",ParamTbl,3,0),1.5))*(1-IF($I50="خرید",IFERROR(VLOOKUP("P02",ParamTbl,3,0),1),0)/100))</f>
        <v/>
      </c>
      <c r="O50">
        <f>IF($G50="",0,IF($H50="مرجوعی خرید",-1,1)*IF(Sync!$AD47="",0,Sync!$AD47))</f>
        <v/>
      </c>
      <c r="P50">
        <f>IF(OR($G50="",Sync!$W47=""),"",Sync!$W47)</f>
        <v/>
      </c>
      <c r="Q50">
        <f>IF(OR($G50="",Sync!$AE47=""),"",Sync!$AE47)</f>
        <v/>
      </c>
      <c r="R50">
        <f>IF($G50="","",IF(Sync!$V47="","0000",IF(AND(ISNUMBER(Sync!$V47),Sync!$V47&gt;=0,Sync!$V47&lt;1),RIGHT("00"&amp;HOUR(Sync!$V47),2)&amp;RIGHT("00"&amp;MINUTE(Sync!$V47),2),IFERROR(RIGHT("00"&amp;VALUE(LEFT(Sync!$V47,FIND(":",Sync!$V47)-1)),2)&amp;RIGHT("00"&amp;VALUE(MID(Sync!$V47,FIND(":",Sync!$V47)+1,2)),2),"0000"))))</f>
        <v/>
      </c>
    </row>
    <row r="51">
      <c r="A51">
        <f>IF(Sync!$U48="","",Sync!$U48)</f>
        <v/>
      </c>
      <c r="B51">
        <f>IF($A51="","",IF(ISNUMBER($A51),IF(AND($A51&gt;=10000101,$A51&lt;=99991231),INT($A51/10000),""),IFERROR(VALUE(TRIM(LEFT($A51,FIND("/",$A51)-1))),"")))</f>
        <v/>
      </c>
      <c r="C51">
        <f>IF(OR($A51="",$B51=""),"",IF(ISNUMBER($A51),INT(MOD($A51,10000)/100),IFERROR(VALUE(TRIM(LEFT(MID($A51,FIND("/",$A51)+1,20),FIND("/",MID($A51,FIND("/",$A51)+1,20))-1))),"")))</f>
        <v/>
      </c>
      <c r="D51">
        <f>IF(OR($A51="",$B51=""),"",IF(ISNUMBER($A51),MOD($A51,100),IFERROR(VALUE(TRIM(MID(MID($A51,FIND("/",$A51)+1,20),FIND("/",MID($A51,FIND("/",$A51)+1,20))+1,20))),"")))</f>
        <v/>
      </c>
      <c r="E51">
        <f>IF($A51="","",IF(OR($B51="",$C51="",$D51="",$B51&lt;1300,$B51&gt;1500,$C51&lt;1,$C51&gt;12,$D51&lt;1,$D51&gt;31),"نامعتبر",RIGHT("0000"&amp;$B51,4)&amp;"/"&amp;RIGHT("00"&amp;$C51,2)&amp;"/"&amp;RIGHT("00"&amp;$D51,2)))</f>
        <v/>
      </c>
      <c r="F51">
        <f>IF(OR($E51="",$E51="نامعتبر"),"",LEFT($E51,4)&amp;"/"&amp;MID($E51,6,2))</f>
        <v/>
      </c>
      <c r="G51">
        <f>IF(OR($E51="",$E51="نامعتبر",Sync!$Y48=""),"",Sync!$Y48)</f>
        <v/>
      </c>
      <c r="H51">
        <f>IF($G51="","",IF(Sync!$X48="","",Sync!$X48))</f>
        <v/>
      </c>
      <c r="I51">
        <f>IF($G51="","",IFERROR(VLOOKUP(Sync!$X48,OpTbl,3,0),""))</f>
        <v/>
      </c>
      <c r="J51">
        <f>IF(OR($G51="",Sync!$Z48=""),"",Sync!$Z48)</f>
        <v/>
      </c>
      <c r="K51">
        <f>IF(OR($G51="",Sync!$AA48=""),"",Sync!$AA48)</f>
        <v/>
      </c>
      <c r="L51">
        <f>IF($G51="",0,IF(Sync!$AB48="",0,Sync!$AB48))</f>
        <v/>
      </c>
      <c r="M51">
        <f>IF($G51="",0,IF(Sync!$AC48="",0,Sync!$AC48))</f>
        <v/>
      </c>
      <c r="N51">
        <f>IF($G51="","",IF($H51="مرجوعی خرید",-1,1)*($L51-$M51*IFERROR(VLOOKUP("P01",ParamTbl,3,0),1.5))*(1-IF($I51="خرید",IFERROR(VLOOKUP("P02",ParamTbl,3,0),1),0)/100))</f>
        <v/>
      </c>
      <c r="O51">
        <f>IF($G51="",0,IF($H51="مرجوعی خرید",-1,1)*IF(Sync!$AD48="",0,Sync!$AD48))</f>
        <v/>
      </c>
      <c r="P51">
        <f>IF(OR($G51="",Sync!$W48=""),"",Sync!$W48)</f>
        <v/>
      </c>
      <c r="Q51">
        <f>IF(OR($G51="",Sync!$AE48=""),"",Sync!$AE48)</f>
        <v/>
      </c>
      <c r="R51">
        <f>IF($G51="","",IF(Sync!$V48="","0000",IF(AND(ISNUMBER(Sync!$V48),Sync!$V48&gt;=0,Sync!$V48&lt;1),RIGHT("00"&amp;HOUR(Sync!$V48),2)&amp;RIGHT("00"&amp;MINUTE(Sync!$V48),2),IFERROR(RIGHT("00"&amp;VALUE(LEFT(Sync!$V48,FIND(":",Sync!$V48)-1)),2)&amp;RIGHT("00"&amp;VALUE(MID(Sync!$V48,FIND(":",Sync!$V48)+1,2)),2),"0000"))))</f>
        <v/>
      </c>
    </row>
    <row r="52">
      <c r="A52">
        <f>IF(Sync!$U49="","",Sync!$U49)</f>
        <v/>
      </c>
      <c r="B52">
        <f>IF($A52="","",IF(ISNUMBER($A52),IF(AND($A52&gt;=10000101,$A52&lt;=99991231),INT($A52/10000),""),IFERROR(VALUE(TRIM(LEFT($A52,FIND("/",$A52)-1))),"")))</f>
        <v/>
      </c>
      <c r="C52">
        <f>IF(OR($A52="",$B52=""),"",IF(ISNUMBER($A52),INT(MOD($A52,10000)/100),IFERROR(VALUE(TRIM(LEFT(MID($A52,FIND("/",$A52)+1,20),FIND("/",MID($A52,FIND("/",$A52)+1,20))-1))),"")))</f>
        <v/>
      </c>
      <c r="D52">
        <f>IF(OR($A52="",$B52=""),"",IF(ISNUMBER($A52),MOD($A52,100),IFERROR(VALUE(TRIM(MID(MID($A52,FIND("/",$A52)+1,20),FIND("/",MID($A52,FIND("/",$A52)+1,20))+1,20))),"")))</f>
        <v/>
      </c>
      <c r="E52">
        <f>IF($A52="","",IF(OR($B52="",$C52="",$D52="",$B52&lt;1300,$B52&gt;1500,$C52&lt;1,$C52&gt;12,$D52&lt;1,$D52&gt;31),"نامعتبر",RIGHT("0000"&amp;$B52,4)&amp;"/"&amp;RIGHT("00"&amp;$C52,2)&amp;"/"&amp;RIGHT("00"&amp;$D52,2)))</f>
        <v/>
      </c>
      <c r="F52">
        <f>IF(OR($E52="",$E52="نامعتبر"),"",LEFT($E52,4)&amp;"/"&amp;MID($E52,6,2))</f>
        <v/>
      </c>
      <c r="G52">
        <f>IF(OR($E52="",$E52="نامعتبر",Sync!$Y49=""),"",Sync!$Y49)</f>
        <v/>
      </c>
      <c r="H52">
        <f>IF($G52="","",IF(Sync!$X49="","",Sync!$X49))</f>
        <v/>
      </c>
      <c r="I52">
        <f>IF($G52="","",IFERROR(VLOOKUP(Sync!$X49,OpTbl,3,0),""))</f>
        <v/>
      </c>
      <c r="J52">
        <f>IF(OR($G52="",Sync!$Z49=""),"",Sync!$Z49)</f>
        <v/>
      </c>
      <c r="K52">
        <f>IF(OR($G52="",Sync!$AA49=""),"",Sync!$AA49)</f>
        <v/>
      </c>
      <c r="L52">
        <f>IF($G52="",0,IF(Sync!$AB49="",0,Sync!$AB49))</f>
        <v/>
      </c>
      <c r="M52">
        <f>IF($G52="",0,IF(Sync!$AC49="",0,Sync!$AC49))</f>
        <v/>
      </c>
      <c r="N52">
        <f>IF($G52="","",IF($H52="مرجوعی خرید",-1,1)*($L52-$M52*IFERROR(VLOOKUP("P01",ParamTbl,3,0),1.5))*(1-IF($I52="خرید",IFERROR(VLOOKUP("P02",ParamTbl,3,0),1),0)/100))</f>
        <v/>
      </c>
      <c r="O52">
        <f>IF($G52="",0,IF($H52="مرجوعی خرید",-1,1)*IF(Sync!$AD49="",0,Sync!$AD49))</f>
        <v/>
      </c>
      <c r="P52">
        <f>IF(OR($G52="",Sync!$W49=""),"",Sync!$W49)</f>
        <v/>
      </c>
      <c r="Q52">
        <f>IF(OR($G52="",Sync!$AE49=""),"",Sync!$AE49)</f>
        <v/>
      </c>
      <c r="R52">
        <f>IF($G52="","",IF(Sync!$V49="","0000",IF(AND(ISNUMBER(Sync!$V49),Sync!$V49&gt;=0,Sync!$V49&lt;1),RIGHT("00"&amp;HOUR(Sync!$V49),2)&amp;RIGHT("00"&amp;MINUTE(Sync!$V49),2),IFERROR(RIGHT("00"&amp;VALUE(LEFT(Sync!$V49,FIND(":",Sync!$V49)-1)),2)&amp;RIGHT("00"&amp;VALUE(MID(Sync!$V49,FIND(":",Sync!$V49)+1,2)),2),"0000"))))</f>
        <v/>
      </c>
    </row>
    <row r="53">
      <c r="A53">
        <f>IF(Sync!$U50="","",Sync!$U50)</f>
        <v/>
      </c>
      <c r="B53">
        <f>IF($A53="","",IF(ISNUMBER($A53),IF(AND($A53&gt;=10000101,$A53&lt;=99991231),INT($A53/10000),""),IFERROR(VALUE(TRIM(LEFT($A53,FIND("/",$A53)-1))),"")))</f>
        <v/>
      </c>
      <c r="C53">
        <f>IF(OR($A53="",$B53=""),"",IF(ISNUMBER($A53),INT(MOD($A53,10000)/100),IFERROR(VALUE(TRIM(LEFT(MID($A53,FIND("/",$A53)+1,20),FIND("/",MID($A53,FIND("/",$A53)+1,20))-1))),"")))</f>
        <v/>
      </c>
      <c r="D53">
        <f>IF(OR($A53="",$B53=""),"",IF(ISNUMBER($A53),MOD($A53,100),IFERROR(VALUE(TRIM(MID(MID($A53,FIND("/",$A53)+1,20),FIND("/",MID($A53,FIND("/",$A53)+1,20))+1,20))),"")))</f>
        <v/>
      </c>
      <c r="E53">
        <f>IF($A53="","",IF(OR($B53="",$C53="",$D53="",$B53&lt;1300,$B53&gt;1500,$C53&lt;1,$C53&gt;12,$D53&lt;1,$D53&gt;31),"نامعتبر",RIGHT("0000"&amp;$B53,4)&amp;"/"&amp;RIGHT("00"&amp;$C53,2)&amp;"/"&amp;RIGHT("00"&amp;$D53,2)))</f>
        <v/>
      </c>
      <c r="F53">
        <f>IF(OR($E53="",$E53="نامعتبر"),"",LEFT($E53,4)&amp;"/"&amp;MID($E53,6,2))</f>
        <v/>
      </c>
      <c r="G53">
        <f>IF(OR($E53="",$E53="نامعتبر",Sync!$Y50=""),"",Sync!$Y50)</f>
        <v/>
      </c>
      <c r="H53">
        <f>IF($G53="","",IF(Sync!$X50="","",Sync!$X50))</f>
        <v/>
      </c>
      <c r="I53">
        <f>IF($G53="","",IFERROR(VLOOKUP(Sync!$X50,OpTbl,3,0),""))</f>
        <v/>
      </c>
      <c r="J53">
        <f>IF(OR($G53="",Sync!$Z50=""),"",Sync!$Z50)</f>
        <v/>
      </c>
      <c r="K53">
        <f>IF(OR($G53="",Sync!$AA50=""),"",Sync!$AA50)</f>
        <v/>
      </c>
      <c r="L53">
        <f>IF($G53="",0,IF(Sync!$AB50="",0,Sync!$AB50))</f>
        <v/>
      </c>
      <c r="M53">
        <f>IF($G53="",0,IF(Sync!$AC50="",0,Sync!$AC50))</f>
        <v/>
      </c>
      <c r="N53">
        <f>IF($G53="","",IF($H53="مرجوعی خرید",-1,1)*($L53-$M53*IFERROR(VLOOKUP("P01",ParamTbl,3,0),1.5))*(1-IF($I53="خرید",IFERROR(VLOOKUP("P02",ParamTbl,3,0),1),0)/100))</f>
        <v/>
      </c>
      <c r="O53">
        <f>IF($G53="",0,IF($H53="مرجوعی خرید",-1,1)*IF(Sync!$AD50="",0,Sync!$AD50))</f>
        <v/>
      </c>
      <c r="P53">
        <f>IF(OR($G53="",Sync!$W50=""),"",Sync!$W50)</f>
        <v/>
      </c>
      <c r="Q53">
        <f>IF(OR($G53="",Sync!$AE50=""),"",Sync!$AE50)</f>
        <v/>
      </c>
      <c r="R53">
        <f>IF($G53="","",IF(Sync!$V50="","0000",IF(AND(ISNUMBER(Sync!$V50),Sync!$V50&gt;=0,Sync!$V50&lt;1),RIGHT("00"&amp;HOUR(Sync!$V50),2)&amp;RIGHT("00"&amp;MINUTE(Sync!$V50),2),IFERROR(RIGHT("00"&amp;VALUE(LEFT(Sync!$V50,FIND(":",Sync!$V50)-1)),2)&amp;RIGHT("00"&amp;VALUE(MID(Sync!$V50,FIND(":",Sync!$V50)+1,2)),2),"0000"))))</f>
        <v/>
      </c>
    </row>
    <row r="54">
      <c r="A54">
        <f>IF(Sync!$U51="","",Sync!$U51)</f>
        <v/>
      </c>
      <c r="B54">
        <f>IF($A54="","",IF(ISNUMBER($A54),IF(AND($A54&gt;=10000101,$A54&lt;=99991231),INT($A54/10000),""),IFERROR(VALUE(TRIM(LEFT($A54,FIND("/",$A54)-1))),"")))</f>
        <v/>
      </c>
      <c r="C54">
        <f>IF(OR($A54="",$B54=""),"",IF(ISNUMBER($A54),INT(MOD($A54,10000)/100),IFERROR(VALUE(TRIM(LEFT(MID($A54,FIND("/",$A54)+1,20),FIND("/",MID($A54,FIND("/",$A54)+1,20))-1))),"")))</f>
        <v/>
      </c>
      <c r="D54">
        <f>IF(OR($A54="",$B54=""),"",IF(ISNUMBER($A54),MOD($A54,100),IFERROR(VALUE(TRIM(MID(MID($A54,FIND("/",$A54)+1,20),FIND("/",MID($A54,FIND("/",$A54)+1,20))+1,20))),"")))</f>
        <v/>
      </c>
      <c r="E54">
        <f>IF($A54="","",IF(OR($B54="",$C54="",$D54="",$B54&lt;1300,$B54&gt;1500,$C54&lt;1,$C54&gt;12,$D54&lt;1,$D54&gt;31),"نامعتبر",RIGHT("0000"&amp;$B54,4)&amp;"/"&amp;RIGHT("00"&amp;$C54,2)&amp;"/"&amp;RIGHT("00"&amp;$D54,2)))</f>
        <v/>
      </c>
      <c r="F54">
        <f>IF(OR($E54="",$E54="نامعتبر"),"",LEFT($E54,4)&amp;"/"&amp;MID($E54,6,2))</f>
        <v/>
      </c>
      <c r="G54">
        <f>IF(OR($E54="",$E54="نامعتبر",Sync!$Y51=""),"",Sync!$Y51)</f>
        <v/>
      </c>
      <c r="H54">
        <f>IF($G54="","",IF(Sync!$X51="","",Sync!$X51))</f>
        <v/>
      </c>
      <c r="I54">
        <f>IF($G54="","",IFERROR(VLOOKUP(Sync!$X51,OpTbl,3,0),""))</f>
        <v/>
      </c>
      <c r="J54">
        <f>IF(OR($G54="",Sync!$Z51=""),"",Sync!$Z51)</f>
        <v/>
      </c>
      <c r="K54">
        <f>IF(OR($G54="",Sync!$AA51=""),"",Sync!$AA51)</f>
        <v/>
      </c>
      <c r="L54">
        <f>IF($G54="",0,IF(Sync!$AB51="",0,Sync!$AB51))</f>
        <v/>
      </c>
      <c r="M54">
        <f>IF($G54="",0,IF(Sync!$AC51="",0,Sync!$AC51))</f>
        <v/>
      </c>
      <c r="N54">
        <f>IF($G54="","",IF($H54="مرجوعی خرید",-1,1)*($L54-$M54*IFERROR(VLOOKUP("P01",ParamTbl,3,0),1.5))*(1-IF($I54="خرید",IFERROR(VLOOKUP("P02",ParamTbl,3,0),1),0)/100))</f>
        <v/>
      </c>
      <c r="O54">
        <f>IF($G54="",0,IF($H54="مرجوعی خرید",-1,1)*IF(Sync!$AD51="",0,Sync!$AD51))</f>
        <v/>
      </c>
      <c r="P54">
        <f>IF(OR($G54="",Sync!$W51=""),"",Sync!$W51)</f>
        <v/>
      </c>
      <c r="Q54">
        <f>IF(OR($G54="",Sync!$AE51=""),"",Sync!$AE51)</f>
        <v/>
      </c>
      <c r="R54">
        <f>IF($G54="","",IF(Sync!$V51="","0000",IF(AND(ISNUMBER(Sync!$V51),Sync!$V51&gt;=0,Sync!$V51&lt;1),RIGHT("00"&amp;HOUR(Sync!$V51),2)&amp;RIGHT("00"&amp;MINUTE(Sync!$V51),2),IFERROR(RIGHT("00"&amp;VALUE(LEFT(Sync!$V51,FIND(":",Sync!$V51)-1)),2)&amp;RIGHT("00"&amp;VALUE(MID(Sync!$V51,FIND(":",Sync!$V51)+1,2)),2),"0000"))))</f>
        <v/>
      </c>
    </row>
    <row r="55">
      <c r="A55">
        <f>IF(Sync!$U52="","",Sync!$U52)</f>
        <v/>
      </c>
      <c r="B55">
        <f>IF($A55="","",IF(ISNUMBER($A55),IF(AND($A55&gt;=10000101,$A55&lt;=99991231),INT($A55/10000),""),IFERROR(VALUE(TRIM(LEFT($A55,FIND("/",$A55)-1))),"")))</f>
        <v/>
      </c>
      <c r="C55">
        <f>IF(OR($A55="",$B55=""),"",IF(ISNUMBER($A55),INT(MOD($A55,10000)/100),IFERROR(VALUE(TRIM(LEFT(MID($A55,FIND("/",$A55)+1,20),FIND("/",MID($A55,FIND("/",$A55)+1,20))-1))),"")))</f>
        <v/>
      </c>
      <c r="D55">
        <f>IF(OR($A55="",$B55=""),"",IF(ISNUMBER($A55),MOD($A55,100),IFERROR(VALUE(TRIM(MID(MID($A55,FIND("/",$A55)+1,20),FIND("/",MID($A55,FIND("/",$A55)+1,20))+1,20))),"")))</f>
        <v/>
      </c>
      <c r="E55">
        <f>IF($A55="","",IF(OR($B55="",$C55="",$D55="",$B55&lt;1300,$B55&gt;1500,$C55&lt;1,$C55&gt;12,$D55&lt;1,$D55&gt;31),"نامعتبر",RIGHT("0000"&amp;$B55,4)&amp;"/"&amp;RIGHT("00"&amp;$C55,2)&amp;"/"&amp;RIGHT("00"&amp;$D55,2)))</f>
        <v/>
      </c>
      <c r="F55">
        <f>IF(OR($E55="",$E55="نامعتبر"),"",LEFT($E55,4)&amp;"/"&amp;MID($E55,6,2))</f>
        <v/>
      </c>
      <c r="G55">
        <f>IF(OR($E55="",$E55="نامعتبر",Sync!$Y52=""),"",Sync!$Y52)</f>
        <v/>
      </c>
      <c r="H55">
        <f>IF($G55="","",IF(Sync!$X52="","",Sync!$X52))</f>
        <v/>
      </c>
      <c r="I55">
        <f>IF($G55="","",IFERROR(VLOOKUP(Sync!$X52,OpTbl,3,0),""))</f>
        <v/>
      </c>
      <c r="J55">
        <f>IF(OR($G55="",Sync!$Z52=""),"",Sync!$Z52)</f>
        <v/>
      </c>
      <c r="K55">
        <f>IF(OR($G55="",Sync!$AA52=""),"",Sync!$AA52)</f>
        <v/>
      </c>
      <c r="L55">
        <f>IF($G55="",0,IF(Sync!$AB52="",0,Sync!$AB52))</f>
        <v/>
      </c>
      <c r="M55">
        <f>IF($G55="",0,IF(Sync!$AC52="",0,Sync!$AC52))</f>
        <v/>
      </c>
      <c r="N55">
        <f>IF($G55="","",IF($H55="مرجوعی خرید",-1,1)*($L55-$M55*IFERROR(VLOOKUP("P01",ParamTbl,3,0),1.5))*(1-IF($I55="خرید",IFERROR(VLOOKUP("P02",ParamTbl,3,0),1),0)/100))</f>
        <v/>
      </c>
      <c r="O55">
        <f>IF($G55="",0,IF($H55="مرجوعی خرید",-1,1)*IF(Sync!$AD52="",0,Sync!$AD52))</f>
        <v/>
      </c>
      <c r="P55">
        <f>IF(OR($G55="",Sync!$W52=""),"",Sync!$W52)</f>
        <v/>
      </c>
      <c r="Q55">
        <f>IF(OR($G55="",Sync!$AE52=""),"",Sync!$AE52)</f>
        <v/>
      </c>
      <c r="R55">
        <f>IF($G55="","",IF(Sync!$V52="","0000",IF(AND(ISNUMBER(Sync!$V52),Sync!$V52&gt;=0,Sync!$V52&lt;1),RIGHT("00"&amp;HOUR(Sync!$V52),2)&amp;RIGHT("00"&amp;MINUTE(Sync!$V52),2),IFERROR(RIGHT("00"&amp;VALUE(LEFT(Sync!$V52,FIND(":",Sync!$V52)-1)),2)&amp;RIGHT("00"&amp;VALUE(MID(Sync!$V52,FIND(":",Sync!$V52)+1,2)),2),"0000"))))</f>
        <v/>
      </c>
    </row>
    <row r="56">
      <c r="A56">
        <f>IF(Sync!$U53="","",Sync!$U53)</f>
        <v/>
      </c>
      <c r="B56">
        <f>IF($A56="","",IF(ISNUMBER($A56),IF(AND($A56&gt;=10000101,$A56&lt;=99991231),INT($A56/10000),""),IFERROR(VALUE(TRIM(LEFT($A56,FIND("/",$A56)-1))),"")))</f>
        <v/>
      </c>
      <c r="C56">
        <f>IF(OR($A56="",$B56=""),"",IF(ISNUMBER($A56),INT(MOD($A56,10000)/100),IFERROR(VALUE(TRIM(LEFT(MID($A56,FIND("/",$A56)+1,20),FIND("/",MID($A56,FIND("/",$A56)+1,20))-1))),"")))</f>
        <v/>
      </c>
      <c r="D56">
        <f>IF(OR($A56="",$B56=""),"",IF(ISNUMBER($A56),MOD($A56,100),IFERROR(VALUE(TRIM(MID(MID($A56,FIND("/",$A56)+1,20),FIND("/",MID($A56,FIND("/",$A56)+1,20))+1,20))),"")))</f>
        <v/>
      </c>
      <c r="E56">
        <f>IF($A56="","",IF(OR($B56="",$C56="",$D56="",$B56&lt;1300,$B56&gt;1500,$C56&lt;1,$C56&gt;12,$D56&lt;1,$D56&gt;31),"نامعتبر",RIGHT("0000"&amp;$B56,4)&amp;"/"&amp;RIGHT("00"&amp;$C56,2)&amp;"/"&amp;RIGHT("00"&amp;$D56,2)))</f>
        <v/>
      </c>
      <c r="F56">
        <f>IF(OR($E56="",$E56="نامعتبر"),"",LEFT($E56,4)&amp;"/"&amp;MID($E56,6,2))</f>
        <v/>
      </c>
      <c r="G56">
        <f>IF(OR($E56="",$E56="نامعتبر",Sync!$Y53=""),"",Sync!$Y53)</f>
        <v/>
      </c>
      <c r="H56">
        <f>IF($G56="","",IF(Sync!$X53="","",Sync!$X53))</f>
        <v/>
      </c>
      <c r="I56">
        <f>IF($G56="","",IFERROR(VLOOKUP(Sync!$X53,OpTbl,3,0),""))</f>
        <v/>
      </c>
      <c r="J56">
        <f>IF(OR($G56="",Sync!$Z53=""),"",Sync!$Z53)</f>
        <v/>
      </c>
      <c r="K56">
        <f>IF(OR($G56="",Sync!$AA53=""),"",Sync!$AA53)</f>
        <v/>
      </c>
      <c r="L56">
        <f>IF($G56="",0,IF(Sync!$AB53="",0,Sync!$AB53))</f>
        <v/>
      </c>
      <c r="M56">
        <f>IF($G56="",0,IF(Sync!$AC53="",0,Sync!$AC53))</f>
        <v/>
      </c>
      <c r="N56">
        <f>IF($G56="","",IF($H56="مرجوعی خرید",-1,1)*($L56-$M56*IFERROR(VLOOKUP("P01",ParamTbl,3,0),1.5))*(1-IF($I56="خرید",IFERROR(VLOOKUP("P02",ParamTbl,3,0),1),0)/100))</f>
        <v/>
      </c>
      <c r="O56">
        <f>IF($G56="",0,IF($H56="مرجوعی خرید",-1,1)*IF(Sync!$AD53="",0,Sync!$AD53))</f>
        <v/>
      </c>
      <c r="P56">
        <f>IF(OR($G56="",Sync!$W53=""),"",Sync!$W53)</f>
        <v/>
      </c>
      <c r="Q56">
        <f>IF(OR($G56="",Sync!$AE53=""),"",Sync!$AE53)</f>
        <v/>
      </c>
      <c r="R56">
        <f>IF($G56="","",IF(Sync!$V53="","0000",IF(AND(ISNUMBER(Sync!$V53),Sync!$V53&gt;=0,Sync!$V53&lt;1),RIGHT("00"&amp;HOUR(Sync!$V53),2)&amp;RIGHT("00"&amp;MINUTE(Sync!$V53),2),IFERROR(RIGHT("00"&amp;VALUE(LEFT(Sync!$V53,FIND(":",Sync!$V53)-1)),2)&amp;RIGHT("00"&amp;VALUE(MID(Sync!$V53,FIND(":",Sync!$V53)+1,2)),2),"0000"))))</f>
        <v/>
      </c>
    </row>
    <row r="57">
      <c r="A57">
        <f>IF(Sync!$U54="","",Sync!$U54)</f>
        <v/>
      </c>
      <c r="B57">
        <f>IF($A57="","",IF(ISNUMBER($A57),IF(AND($A57&gt;=10000101,$A57&lt;=99991231),INT($A57/10000),""),IFERROR(VALUE(TRIM(LEFT($A57,FIND("/",$A57)-1))),"")))</f>
        <v/>
      </c>
      <c r="C57">
        <f>IF(OR($A57="",$B57=""),"",IF(ISNUMBER($A57),INT(MOD($A57,10000)/100),IFERROR(VALUE(TRIM(LEFT(MID($A57,FIND("/",$A57)+1,20),FIND("/",MID($A57,FIND("/",$A57)+1,20))-1))),"")))</f>
        <v/>
      </c>
      <c r="D57">
        <f>IF(OR($A57="",$B57=""),"",IF(ISNUMBER($A57),MOD($A57,100),IFERROR(VALUE(TRIM(MID(MID($A57,FIND("/",$A57)+1,20),FIND("/",MID($A57,FIND("/",$A57)+1,20))+1,20))),"")))</f>
        <v/>
      </c>
      <c r="E57">
        <f>IF($A57="","",IF(OR($B57="",$C57="",$D57="",$B57&lt;1300,$B57&gt;1500,$C57&lt;1,$C57&gt;12,$D57&lt;1,$D57&gt;31),"نامعتبر",RIGHT("0000"&amp;$B57,4)&amp;"/"&amp;RIGHT("00"&amp;$C57,2)&amp;"/"&amp;RIGHT("00"&amp;$D57,2)))</f>
        <v/>
      </c>
      <c r="F57">
        <f>IF(OR($E57="",$E57="نامعتبر"),"",LEFT($E57,4)&amp;"/"&amp;MID($E57,6,2))</f>
        <v/>
      </c>
      <c r="G57">
        <f>IF(OR($E57="",$E57="نامعتبر",Sync!$Y54=""),"",Sync!$Y54)</f>
        <v/>
      </c>
      <c r="H57">
        <f>IF($G57="","",IF(Sync!$X54="","",Sync!$X54))</f>
        <v/>
      </c>
      <c r="I57">
        <f>IF($G57="","",IFERROR(VLOOKUP(Sync!$X54,OpTbl,3,0),""))</f>
        <v/>
      </c>
      <c r="J57">
        <f>IF(OR($G57="",Sync!$Z54=""),"",Sync!$Z54)</f>
        <v/>
      </c>
      <c r="K57">
        <f>IF(OR($G57="",Sync!$AA54=""),"",Sync!$AA54)</f>
        <v/>
      </c>
      <c r="L57">
        <f>IF($G57="",0,IF(Sync!$AB54="",0,Sync!$AB54))</f>
        <v/>
      </c>
      <c r="M57">
        <f>IF($G57="",0,IF(Sync!$AC54="",0,Sync!$AC54))</f>
        <v/>
      </c>
      <c r="N57">
        <f>IF($G57="","",IF($H57="مرجوعی خرید",-1,1)*($L57-$M57*IFERROR(VLOOKUP("P01",ParamTbl,3,0),1.5))*(1-IF($I57="خرید",IFERROR(VLOOKUP("P02",ParamTbl,3,0),1),0)/100))</f>
        <v/>
      </c>
      <c r="O57">
        <f>IF($G57="",0,IF($H57="مرجوعی خرید",-1,1)*IF(Sync!$AD54="",0,Sync!$AD54))</f>
        <v/>
      </c>
      <c r="P57">
        <f>IF(OR($G57="",Sync!$W54=""),"",Sync!$W54)</f>
        <v/>
      </c>
      <c r="Q57">
        <f>IF(OR($G57="",Sync!$AE54=""),"",Sync!$AE54)</f>
        <v/>
      </c>
      <c r="R57">
        <f>IF($G57="","",IF(Sync!$V54="","0000",IF(AND(ISNUMBER(Sync!$V54),Sync!$V54&gt;=0,Sync!$V54&lt;1),RIGHT("00"&amp;HOUR(Sync!$V54),2)&amp;RIGHT("00"&amp;MINUTE(Sync!$V54),2),IFERROR(RIGHT("00"&amp;VALUE(LEFT(Sync!$V54,FIND(":",Sync!$V54)-1)),2)&amp;RIGHT("00"&amp;VALUE(MID(Sync!$V54,FIND(":",Sync!$V54)+1,2)),2),"0000"))))</f>
        <v/>
      </c>
    </row>
    <row r="58">
      <c r="A58">
        <f>IF(Sync!$U55="","",Sync!$U55)</f>
        <v/>
      </c>
      <c r="B58">
        <f>IF($A58="","",IF(ISNUMBER($A58),IF(AND($A58&gt;=10000101,$A58&lt;=99991231),INT($A58/10000),""),IFERROR(VALUE(TRIM(LEFT($A58,FIND("/",$A58)-1))),"")))</f>
        <v/>
      </c>
      <c r="C58">
        <f>IF(OR($A58="",$B58=""),"",IF(ISNUMBER($A58),INT(MOD($A58,10000)/100),IFERROR(VALUE(TRIM(LEFT(MID($A58,FIND("/",$A58)+1,20),FIND("/",MID($A58,FIND("/",$A58)+1,20))-1))),"")))</f>
        <v/>
      </c>
      <c r="D58">
        <f>IF(OR($A58="",$B58=""),"",IF(ISNUMBER($A58),MOD($A58,100),IFERROR(VALUE(TRIM(MID(MID($A58,FIND("/",$A58)+1,20),FIND("/",MID($A58,FIND("/",$A58)+1,20))+1,20))),"")))</f>
        <v/>
      </c>
      <c r="E58">
        <f>IF($A58="","",IF(OR($B58="",$C58="",$D58="",$B58&lt;1300,$B58&gt;1500,$C58&lt;1,$C58&gt;12,$D58&lt;1,$D58&gt;31),"نامعتبر",RIGHT("0000"&amp;$B58,4)&amp;"/"&amp;RIGHT("00"&amp;$C58,2)&amp;"/"&amp;RIGHT("00"&amp;$D58,2)))</f>
        <v/>
      </c>
      <c r="F58">
        <f>IF(OR($E58="",$E58="نامعتبر"),"",LEFT($E58,4)&amp;"/"&amp;MID($E58,6,2))</f>
        <v/>
      </c>
      <c r="G58">
        <f>IF(OR($E58="",$E58="نامعتبر",Sync!$Y55=""),"",Sync!$Y55)</f>
        <v/>
      </c>
      <c r="H58">
        <f>IF($G58="","",IF(Sync!$X55="","",Sync!$X55))</f>
        <v/>
      </c>
      <c r="I58">
        <f>IF($G58="","",IFERROR(VLOOKUP(Sync!$X55,OpTbl,3,0),""))</f>
        <v/>
      </c>
      <c r="J58">
        <f>IF(OR($G58="",Sync!$Z55=""),"",Sync!$Z55)</f>
        <v/>
      </c>
      <c r="K58">
        <f>IF(OR($G58="",Sync!$AA55=""),"",Sync!$AA55)</f>
        <v/>
      </c>
      <c r="L58">
        <f>IF($G58="",0,IF(Sync!$AB55="",0,Sync!$AB55))</f>
        <v/>
      </c>
      <c r="M58">
        <f>IF($G58="",0,IF(Sync!$AC55="",0,Sync!$AC55))</f>
        <v/>
      </c>
      <c r="N58">
        <f>IF($G58="","",IF($H58="مرجوعی خرید",-1,1)*($L58-$M58*IFERROR(VLOOKUP("P01",ParamTbl,3,0),1.5))*(1-IF($I58="خرید",IFERROR(VLOOKUP("P02",ParamTbl,3,0),1),0)/100))</f>
        <v/>
      </c>
      <c r="O58">
        <f>IF($G58="",0,IF($H58="مرجوعی خرید",-1,1)*IF(Sync!$AD55="",0,Sync!$AD55))</f>
        <v/>
      </c>
      <c r="P58">
        <f>IF(OR($G58="",Sync!$W55=""),"",Sync!$W55)</f>
        <v/>
      </c>
      <c r="Q58">
        <f>IF(OR($G58="",Sync!$AE55=""),"",Sync!$AE55)</f>
        <v/>
      </c>
      <c r="R58">
        <f>IF($G58="","",IF(Sync!$V55="","0000",IF(AND(ISNUMBER(Sync!$V55),Sync!$V55&gt;=0,Sync!$V55&lt;1),RIGHT("00"&amp;HOUR(Sync!$V55),2)&amp;RIGHT("00"&amp;MINUTE(Sync!$V55),2),IFERROR(RIGHT("00"&amp;VALUE(LEFT(Sync!$V55,FIND(":",Sync!$V55)-1)),2)&amp;RIGHT("00"&amp;VALUE(MID(Sync!$V55,FIND(":",Sync!$V55)+1,2)),2),"0000"))))</f>
        <v/>
      </c>
    </row>
    <row r="59">
      <c r="A59">
        <f>IF(Sync!$U56="","",Sync!$U56)</f>
        <v/>
      </c>
      <c r="B59">
        <f>IF($A59="","",IF(ISNUMBER($A59),IF(AND($A59&gt;=10000101,$A59&lt;=99991231),INT($A59/10000),""),IFERROR(VALUE(TRIM(LEFT($A59,FIND("/",$A59)-1))),"")))</f>
        <v/>
      </c>
      <c r="C59">
        <f>IF(OR($A59="",$B59=""),"",IF(ISNUMBER($A59),INT(MOD($A59,10000)/100),IFERROR(VALUE(TRIM(LEFT(MID($A59,FIND("/",$A59)+1,20),FIND("/",MID($A59,FIND("/",$A59)+1,20))-1))),"")))</f>
        <v/>
      </c>
      <c r="D59">
        <f>IF(OR($A59="",$B59=""),"",IF(ISNUMBER($A59),MOD($A59,100),IFERROR(VALUE(TRIM(MID(MID($A59,FIND("/",$A59)+1,20),FIND("/",MID($A59,FIND("/",$A59)+1,20))+1,20))),"")))</f>
        <v/>
      </c>
      <c r="E59">
        <f>IF($A59="","",IF(OR($B59="",$C59="",$D59="",$B59&lt;1300,$B59&gt;1500,$C59&lt;1,$C59&gt;12,$D59&lt;1,$D59&gt;31),"نامعتبر",RIGHT("0000"&amp;$B59,4)&amp;"/"&amp;RIGHT("00"&amp;$C59,2)&amp;"/"&amp;RIGHT("00"&amp;$D59,2)))</f>
        <v/>
      </c>
      <c r="F59">
        <f>IF(OR($E59="",$E59="نامعتبر"),"",LEFT($E59,4)&amp;"/"&amp;MID($E59,6,2))</f>
        <v/>
      </c>
      <c r="G59">
        <f>IF(OR($E59="",$E59="نامعتبر",Sync!$Y56=""),"",Sync!$Y56)</f>
        <v/>
      </c>
      <c r="H59">
        <f>IF($G59="","",IF(Sync!$X56="","",Sync!$X56))</f>
        <v/>
      </c>
      <c r="I59">
        <f>IF($G59="","",IFERROR(VLOOKUP(Sync!$X56,OpTbl,3,0),""))</f>
        <v/>
      </c>
      <c r="J59">
        <f>IF(OR($G59="",Sync!$Z56=""),"",Sync!$Z56)</f>
        <v/>
      </c>
      <c r="K59">
        <f>IF(OR($G59="",Sync!$AA56=""),"",Sync!$AA56)</f>
        <v/>
      </c>
      <c r="L59">
        <f>IF($G59="",0,IF(Sync!$AB56="",0,Sync!$AB56))</f>
        <v/>
      </c>
      <c r="M59">
        <f>IF($G59="",0,IF(Sync!$AC56="",0,Sync!$AC56))</f>
        <v/>
      </c>
      <c r="N59">
        <f>IF($G59="","",IF($H59="مرجوعی خرید",-1,1)*($L59-$M59*IFERROR(VLOOKUP("P01",ParamTbl,3,0),1.5))*(1-IF($I59="خرید",IFERROR(VLOOKUP("P02",ParamTbl,3,0),1),0)/100))</f>
        <v/>
      </c>
      <c r="O59">
        <f>IF($G59="",0,IF($H59="مرجوعی خرید",-1,1)*IF(Sync!$AD56="",0,Sync!$AD56))</f>
        <v/>
      </c>
      <c r="P59">
        <f>IF(OR($G59="",Sync!$W56=""),"",Sync!$W56)</f>
        <v/>
      </c>
      <c r="Q59">
        <f>IF(OR($G59="",Sync!$AE56=""),"",Sync!$AE56)</f>
        <v/>
      </c>
      <c r="R59">
        <f>IF($G59="","",IF(Sync!$V56="","0000",IF(AND(ISNUMBER(Sync!$V56),Sync!$V56&gt;=0,Sync!$V56&lt;1),RIGHT("00"&amp;HOUR(Sync!$V56),2)&amp;RIGHT("00"&amp;MINUTE(Sync!$V56),2),IFERROR(RIGHT("00"&amp;VALUE(LEFT(Sync!$V56,FIND(":",Sync!$V56)-1)),2)&amp;RIGHT("00"&amp;VALUE(MID(Sync!$V56,FIND(":",Sync!$V56)+1,2)),2),"0000"))))</f>
        <v/>
      </c>
    </row>
    <row r="60">
      <c r="A60">
        <f>IF(Sync!$U57="","",Sync!$U57)</f>
        <v/>
      </c>
      <c r="B60">
        <f>IF($A60="","",IF(ISNUMBER($A60),IF(AND($A60&gt;=10000101,$A60&lt;=99991231),INT($A60/10000),""),IFERROR(VALUE(TRIM(LEFT($A60,FIND("/",$A60)-1))),"")))</f>
        <v/>
      </c>
      <c r="C60">
        <f>IF(OR($A60="",$B60=""),"",IF(ISNUMBER($A60),INT(MOD($A60,10000)/100),IFERROR(VALUE(TRIM(LEFT(MID($A60,FIND("/",$A60)+1,20),FIND("/",MID($A60,FIND("/",$A60)+1,20))-1))),"")))</f>
        <v/>
      </c>
      <c r="D60">
        <f>IF(OR($A60="",$B60=""),"",IF(ISNUMBER($A60),MOD($A60,100),IFERROR(VALUE(TRIM(MID(MID($A60,FIND("/",$A60)+1,20),FIND("/",MID($A60,FIND("/",$A60)+1,20))+1,20))),"")))</f>
        <v/>
      </c>
      <c r="E60">
        <f>IF($A60="","",IF(OR($B60="",$C60="",$D60="",$B60&lt;1300,$B60&gt;1500,$C60&lt;1,$C60&gt;12,$D60&lt;1,$D60&gt;31),"نامعتبر",RIGHT("0000"&amp;$B60,4)&amp;"/"&amp;RIGHT("00"&amp;$C60,2)&amp;"/"&amp;RIGHT("00"&amp;$D60,2)))</f>
        <v/>
      </c>
      <c r="F60">
        <f>IF(OR($E60="",$E60="نامعتبر"),"",LEFT($E60,4)&amp;"/"&amp;MID($E60,6,2))</f>
        <v/>
      </c>
      <c r="G60">
        <f>IF(OR($E60="",$E60="نامعتبر",Sync!$Y57=""),"",Sync!$Y57)</f>
        <v/>
      </c>
      <c r="H60">
        <f>IF($G60="","",IF(Sync!$X57="","",Sync!$X57))</f>
        <v/>
      </c>
      <c r="I60">
        <f>IF($G60="","",IFERROR(VLOOKUP(Sync!$X57,OpTbl,3,0),""))</f>
        <v/>
      </c>
      <c r="J60">
        <f>IF(OR($G60="",Sync!$Z57=""),"",Sync!$Z57)</f>
        <v/>
      </c>
      <c r="K60">
        <f>IF(OR($G60="",Sync!$AA57=""),"",Sync!$AA57)</f>
        <v/>
      </c>
      <c r="L60">
        <f>IF($G60="",0,IF(Sync!$AB57="",0,Sync!$AB57))</f>
        <v/>
      </c>
      <c r="M60">
        <f>IF($G60="",0,IF(Sync!$AC57="",0,Sync!$AC57))</f>
        <v/>
      </c>
      <c r="N60">
        <f>IF($G60="","",IF($H60="مرجوعی خرید",-1,1)*($L60-$M60*IFERROR(VLOOKUP("P01",ParamTbl,3,0),1.5))*(1-IF($I60="خرید",IFERROR(VLOOKUP("P02",ParamTbl,3,0),1),0)/100))</f>
        <v/>
      </c>
      <c r="O60">
        <f>IF($G60="",0,IF($H60="مرجوعی خرید",-1,1)*IF(Sync!$AD57="",0,Sync!$AD57))</f>
        <v/>
      </c>
      <c r="P60">
        <f>IF(OR($G60="",Sync!$W57=""),"",Sync!$W57)</f>
        <v/>
      </c>
      <c r="Q60">
        <f>IF(OR($G60="",Sync!$AE57=""),"",Sync!$AE57)</f>
        <v/>
      </c>
      <c r="R60">
        <f>IF($G60="","",IF(Sync!$V57="","0000",IF(AND(ISNUMBER(Sync!$V57),Sync!$V57&gt;=0,Sync!$V57&lt;1),RIGHT("00"&amp;HOUR(Sync!$V57),2)&amp;RIGHT("00"&amp;MINUTE(Sync!$V57),2),IFERROR(RIGHT("00"&amp;VALUE(LEFT(Sync!$V57,FIND(":",Sync!$V57)-1)),2)&amp;RIGHT("00"&amp;VALUE(MID(Sync!$V57,FIND(":",Sync!$V57)+1,2)),2),"0000"))))</f>
        <v/>
      </c>
    </row>
    <row r="61">
      <c r="A61">
        <f>IF(Sync!$U58="","",Sync!$U58)</f>
        <v/>
      </c>
      <c r="B61">
        <f>IF($A61="","",IF(ISNUMBER($A61),IF(AND($A61&gt;=10000101,$A61&lt;=99991231),INT($A61/10000),""),IFERROR(VALUE(TRIM(LEFT($A61,FIND("/",$A61)-1))),"")))</f>
        <v/>
      </c>
      <c r="C61">
        <f>IF(OR($A61="",$B61=""),"",IF(ISNUMBER($A61),INT(MOD($A61,10000)/100),IFERROR(VALUE(TRIM(LEFT(MID($A61,FIND("/",$A61)+1,20),FIND("/",MID($A61,FIND("/",$A61)+1,20))-1))),"")))</f>
        <v/>
      </c>
      <c r="D61">
        <f>IF(OR($A61="",$B61=""),"",IF(ISNUMBER($A61),MOD($A61,100),IFERROR(VALUE(TRIM(MID(MID($A61,FIND("/",$A61)+1,20),FIND("/",MID($A61,FIND("/",$A61)+1,20))+1,20))),"")))</f>
        <v/>
      </c>
      <c r="E61">
        <f>IF($A61="","",IF(OR($B61="",$C61="",$D61="",$B61&lt;1300,$B61&gt;1500,$C61&lt;1,$C61&gt;12,$D61&lt;1,$D61&gt;31),"نامعتبر",RIGHT("0000"&amp;$B61,4)&amp;"/"&amp;RIGHT("00"&amp;$C61,2)&amp;"/"&amp;RIGHT("00"&amp;$D61,2)))</f>
        <v/>
      </c>
      <c r="F61">
        <f>IF(OR($E61="",$E61="نامعتبر"),"",LEFT($E61,4)&amp;"/"&amp;MID($E61,6,2))</f>
        <v/>
      </c>
      <c r="G61">
        <f>IF(OR($E61="",$E61="نامعتبر",Sync!$Y58=""),"",Sync!$Y58)</f>
        <v/>
      </c>
      <c r="H61">
        <f>IF($G61="","",IF(Sync!$X58="","",Sync!$X58))</f>
        <v/>
      </c>
      <c r="I61">
        <f>IF($G61="","",IFERROR(VLOOKUP(Sync!$X58,OpTbl,3,0),""))</f>
        <v/>
      </c>
      <c r="J61">
        <f>IF(OR($G61="",Sync!$Z58=""),"",Sync!$Z58)</f>
        <v/>
      </c>
      <c r="K61">
        <f>IF(OR($G61="",Sync!$AA58=""),"",Sync!$AA58)</f>
        <v/>
      </c>
      <c r="L61">
        <f>IF($G61="",0,IF(Sync!$AB58="",0,Sync!$AB58))</f>
        <v/>
      </c>
      <c r="M61">
        <f>IF($G61="",0,IF(Sync!$AC58="",0,Sync!$AC58))</f>
        <v/>
      </c>
      <c r="N61">
        <f>IF($G61="","",IF($H61="مرجوعی خرید",-1,1)*($L61-$M61*IFERROR(VLOOKUP("P01",ParamTbl,3,0),1.5))*(1-IF($I61="خرید",IFERROR(VLOOKUP("P02",ParamTbl,3,0),1),0)/100))</f>
        <v/>
      </c>
      <c r="O61">
        <f>IF($G61="",0,IF($H61="مرجوعی خرید",-1,1)*IF(Sync!$AD58="",0,Sync!$AD58))</f>
        <v/>
      </c>
      <c r="P61">
        <f>IF(OR($G61="",Sync!$W58=""),"",Sync!$W58)</f>
        <v/>
      </c>
      <c r="Q61">
        <f>IF(OR($G61="",Sync!$AE58=""),"",Sync!$AE58)</f>
        <v/>
      </c>
      <c r="R61">
        <f>IF($G61="","",IF(Sync!$V58="","0000",IF(AND(ISNUMBER(Sync!$V58),Sync!$V58&gt;=0,Sync!$V58&lt;1),RIGHT("00"&amp;HOUR(Sync!$V58),2)&amp;RIGHT("00"&amp;MINUTE(Sync!$V58),2),IFERROR(RIGHT("00"&amp;VALUE(LEFT(Sync!$V58,FIND(":",Sync!$V58)-1)),2)&amp;RIGHT("00"&amp;VALUE(MID(Sync!$V58,FIND(":",Sync!$V58)+1,2)),2),"0000"))))</f>
        <v/>
      </c>
    </row>
    <row r="62">
      <c r="A62">
        <f>IF(Sync!$U59="","",Sync!$U59)</f>
        <v/>
      </c>
      <c r="B62">
        <f>IF($A62="","",IF(ISNUMBER($A62),IF(AND($A62&gt;=10000101,$A62&lt;=99991231),INT($A62/10000),""),IFERROR(VALUE(TRIM(LEFT($A62,FIND("/",$A62)-1))),"")))</f>
        <v/>
      </c>
      <c r="C62">
        <f>IF(OR($A62="",$B62=""),"",IF(ISNUMBER($A62),INT(MOD($A62,10000)/100),IFERROR(VALUE(TRIM(LEFT(MID($A62,FIND("/",$A62)+1,20),FIND("/",MID($A62,FIND("/",$A62)+1,20))-1))),"")))</f>
        <v/>
      </c>
      <c r="D62">
        <f>IF(OR($A62="",$B62=""),"",IF(ISNUMBER($A62),MOD($A62,100),IFERROR(VALUE(TRIM(MID(MID($A62,FIND("/",$A62)+1,20),FIND("/",MID($A62,FIND("/",$A62)+1,20))+1,20))),"")))</f>
        <v/>
      </c>
      <c r="E62">
        <f>IF($A62="","",IF(OR($B62="",$C62="",$D62="",$B62&lt;1300,$B62&gt;1500,$C62&lt;1,$C62&gt;12,$D62&lt;1,$D62&gt;31),"نامعتبر",RIGHT("0000"&amp;$B62,4)&amp;"/"&amp;RIGHT("00"&amp;$C62,2)&amp;"/"&amp;RIGHT("00"&amp;$D62,2)))</f>
        <v/>
      </c>
      <c r="F62">
        <f>IF(OR($E62="",$E62="نامعتبر"),"",LEFT($E62,4)&amp;"/"&amp;MID($E62,6,2))</f>
        <v/>
      </c>
      <c r="G62">
        <f>IF(OR($E62="",$E62="نامعتبر",Sync!$Y59=""),"",Sync!$Y59)</f>
        <v/>
      </c>
      <c r="H62">
        <f>IF($G62="","",IF(Sync!$X59="","",Sync!$X59))</f>
        <v/>
      </c>
      <c r="I62">
        <f>IF($G62="","",IFERROR(VLOOKUP(Sync!$X59,OpTbl,3,0),""))</f>
        <v/>
      </c>
      <c r="J62">
        <f>IF(OR($G62="",Sync!$Z59=""),"",Sync!$Z59)</f>
        <v/>
      </c>
      <c r="K62">
        <f>IF(OR($G62="",Sync!$AA59=""),"",Sync!$AA59)</f>
        <v/>
      </c>
      <c r="L62">
        <f>IF($G62="",0,IF(Sync!$AB59="",0,Sync!$AB59))</f>
        <v/>
      </c>
      <c r="M62">
        <f>IF($G62="",0,IF(Sync!$AC59="",0,Sync!$AC59))</f>
        <v/>
      </c>
      <c r="N62">
        <f>IF($G62="","",IF($H62="مرجوعی خرید",-1,1)*($L62-$M62*IFERROR(VLOOKUP("P01",ParamTbl,3,0),1.5))*(1-IF($I62="خرید",IFERROR(VLOOKUP("P02",ParamTbl,3,0),1),0)/100))</f>
        <v/>
      </c>
      <c r="O62">
        <f>IF($G62="",0,IF($H62="مرجوعی خرید",-1,1)*IF(Sync!$AD59="",0,Sync!$AD59))</f>
        <v/>
      </c>
      <c r="P62">
        <f>IF(OR($G62="",Sync!$W59=""),"",Sync!$W59)</f>
        <v/>
      </c>
      <c r="Q62">
        <f>IF(OR($G62="",Sync!$AE59=""),"",Sync!$AE59)</f>
        <v/>
      </c>
      <c r="R62">
        <f>IF($G62="","",IF(Sync!$V59="","0000",IF(AND(ISNUMBER(Sync!$V59),Sync!$V59&gt;=0,Sync!$V59&lt;1),RIGHT("00"&amp;HOUR(Sync!$V59),2)&amp;RIGHT("00"&amp;MINUTE(Sync!$V59),2),IFERROR(RIGHT("00"&amp;VALUE(LEFT(Sync!$V59,FIND(":",Sync!$V59)-1)),2)&amp;RIGHT("00"&amp;VALUE(MID(Sync!$V59,FIND(":",Sync!$V59)+1,2)),2),"0000"))))</f>
        <v/>
      </c>
    </row>
    <row r="63">
      <c r="A63">
        <f>IF(Sync!$U60="","",Sync!$U60)</f>
        <v/>
      </c>
      <c r="B63">
        <f>IF($A63="","",IF(ISNUMBER($A63),IF(AND($A63&gt;=10000101,$A63&lt;=99991231),INT($A63/10000),""),IFERROR(VALUE(TRIM(LEFT($A63,FIND("/",$A63)-1))),"")))</f>
        <v/>
      </c>
      <c r="C63">
        <f>IF(OR($A63="",$B63=""),"",IF(ISNUMBER($A63),INT(MOD($A63,10000)/100),IFERROR(VALUE(TRIM(LEFT(MID($A63,FIND("/",$A63)+1,20),FIND("/",MID($A63,FIND("/",$A63)+1,20))-1))),"")))</f>
        <v/>
      </c>
      <c r="D63">
        <f>IF(OR($A63="",$B63=""),"",IF(ISNUMBER($A63),MOD($A63,100),IFERROR(VALUE(TRIM(MID(MID($A63,FIND("/",$A63)+1,20),FIND("/",MID($A63,FIND("/",$A63)+1,20))+1,20))),"")))</f>
        <v/>
      </c>
      <c r="E63">
        <f>IF($A63="","",IF(OR($B63="",$C63="",$D63="",$B63&lt;1300,$B63&gt;1500,$C63&lt;1,$C63&gt;12,$D63&lt;1,$D63&gt;31),"نامعتبر",RIGHT("0000"&amp;$B63,4)&amp;"/"&amp;RIGHT("00"&amp;$C63,2)&amp;"/"&amp;RIGHT("00"&amp;$D63,2)))</f>
        <v/>
      </c>
      <c r="F63">
        <f>IF(OR($E63="",$E63="نامعتبر"),"",LEFT($E63,4)&amp;"/"&amp;MID($E63,6,2))</f>
        <v/>
      </c>
      <c r="G63">
        <f>IF(OR($E63="",$E63="نامعتبر",Sync!$Y60=""),"",Sync!$Y60)</f>
        <v/>
      </c>
      <c r="H63">
        <f>IF($G63="","",IF(Sync!$X60="","",Sync!$X60))</f>
        <v/>
      </c>
      <c r="I63">
        <f>IF($G63="","",IFERROR(VLOOKUP(Sync!$X60,OpTbl,3,0),""))</f>
        <v/>
      </c>
      <c r="J63">
        <f>IF(OR($G63="",Sync!$Z60=""),"",Sync!$Z60)</f>
        <v/>
      </c>
      <c r="K63">
        <f>IF(OR($G63="",Sync!$AA60=""),"",Sync!$AA60)</f>
        <v/>
      </c>
      <c r="L63">
        <f>IF($G63="",0,IF(Sync!$AB60="",0,Sync!$AB60))</f>
        <v/>
      </c>
      <c r="M63">
        <f>IF($G63="",0,IF(Sync!$AC60="",0,Sync!$AC60))</f>
        <v/>
      </c>
      <c r="N63">
        <f>IF($G63="","",IF($H63="مرجوعی خرید",-1,1)*($L63-$M63*IFERROR(VLOOKUP("P01",ParamTbl,3,0),1.5))*(1-IF($I63="خرید",IFERROR(VLOOKUP("P02",ParamTbl,3,0),1),0)/100))</f>
        <v/>
      </c>
      <c r="O63">
        <f>IF($G63="",0,IF($H63="مرجوعی خرید",-1,1)*IF(Sync!$AD60="",0,Sync!$AD60))</f>
        <v/>
      </c>
      <c r="P63">
        <f>IF(OR($G63="",Sync!$W60=""),"",Sync!$W60)</f>
        <v/>
      </c>
      <c r="Q63">
        <f>IF(OR($G63="",Sync!$AE60=""),"",Sync!$AE60)</f>
        <v/>
      </c>
      <c r="R63">
        <f>IF($G63="","",IF(Sync!$V60="","0000",IF(AND(ISNUMBER(Sync!$V60),Sync!$V60&gt;=0,Sync!$V60&lt;1),RIGHT("00"&amp;HOUR(Sync!$V60),2)&amp;RIGHT("00"&amp;MINUTE(Sync!$V60),2),IFERROR(RIGHT("00"&amp;VALUE(LEFT(Sync!$V60,FIND(":",Sync!$V60)-1)),2)&amp;RIGHT("00"&amp;VALUE(MID(Sync!$V60,FIND(":",Sync!$V60)+1,2)),2),"0000"))))</f>
        <v/>
      </c>
    </row>
    <row r="64">
      <c r="A64">
        <f>IF(Sync!$U61="","",Sync!$U61)</f>
        <v/>
      </c>
      <c r="B64">
        <f>IF($A64="","",IF(ISNUMBER($A64),IF(AND($A64&gt;=10000101,$A64&lt;=99991231),INT($A64/10000),""),IFERROR(VALUE(TRIM(LEFT($A64,FIND("/",$A64)-1))),"")))</f>
        <v/>
      </c>
      <c r="C64">
        <f>IF(OR($A64="",$B64=""),"",IF(ISNUMBER($A64),INT(MOD($A64,10000)/100),IFERROR(VALUE(TRIM(LEFT(MID($A64,FIND("/",$A64)+1,20),FIND("/",MID($A64,FIND("/",$A64)+1,20))-1))),"")))</f>
        <v/>
      </c>
      <c r="D64">
        <f>IF(OR($A64="",$B64=""),"",IF(ISNUMBER($A64),MOD($A64,100),IFERROR(VALUE(TRIM(MID(MID($A64,FIND("/",$A64)+1,20),FIND("/",MID($A64,FIND("/",$A64)+1,20))+1,20))),"")))</f>
        <v/>
      </c>
      <c r="E64">
        <f>IF($A64="","",IF(OR($B64="",$C64="",$D64="",$B64&lt;1300,$B64&gt;1500,$C64&lt;1,$C64&gt;12,$D64&lt;1,$D64&gt;31),"نامعتبر",RIGHT("0000"&amp;$B64,4)&amp;"/"&amp;RIGHT("00"&amp;$C64,2)&amp;"/"&amp;RIGHT("00"&amp;$D64,2)))</f>
        <v/>
      </c>
      <c r="F64">
        <f>IF(OR($E64="",$E64="نامعتبر"),"",LEFT($E64,4)&amp;"/"&amp;MID($E64,6,2))</f>
        <v/>
      </c>
      <c r="G64">
        <f>IF(OR($E64="",$E64="نامعتبر",Sync!$Y61=""),"",Sync!$Y61)</f>
        <v/>
      </c>
      <c r="H64">
        <f>IF($G64="","",IF(Sync!$X61="","",Sync!$X61))</f>
        <v/>
      </c>
      <c r="I64">
        <f>IF($G64="","",IFERROR(VLOOKUP(Sync!$X61,OpTbl,3,0),""))</f>
        <v/>
      </c>
      <c r="J64">
        <f>IF(OR($G64="",Sync!$Z61=""),"",Sync!$Z61)</f>
        <v/>
      </c>
      <c r="K64">
        <f>IF(OR($G64="",Sync!$AA61=""),"",Sync!$AA61)</f>
        <v/>
      </c>
      <c r="L64">
        <f>IF($G64="",0,IF(Sync!$AB61="",0,Sync!$AB61))</f>
        <v/>
      </c>
      <c r="M64">
        <f>IF($G64="",0,IF(Sync!$AC61="",0,Sync!$AC61))</f>
        <v/>
      </c>
      <c r="N64">
        <f>IF($G64="","",IF($H64="مرجوعی خرید",-1,1)*($L64-$M64*IFERROR(VLOOKUP("P01",ParamTbl,3,0),1.5))*(1-IF($I64="خرید",IFERROR(VLOOKUP("P02",ParamTbl,3,0),1),0)/100))</f>
        <v/>
      </c>
      <c r="O64">
        <f>IF($G64="",0,IF($H64="مرجوعی خرید",-1,1)*IF(Sync!$AD61="",0,Sync!$AD61))</f>
        <v/>
      </c>
      <c r="P64">
        <f>IF(OR($G64="",Sync!$W61=""),"",Sync!$W61)</f>
        <v/>
      </c>
      <c r="Q64">
        <f>IF(OR($G64="",Sync!$AE61=""),"",Sync!$AE61)</f>
        <v/>
      </c>
      <c r="R64">
        <f>IF($G64="","",IF(Sync!$V61="","0000",IF(AND(ISNUMBER(Sync!$V61),Sync!$V61&gt;=0,Sync!$V61&lt;1),RIGHT("00"&amp;HOUR(Sync!$V61),2)&amp;RIGHT("00"&amp;MINUTE(Sync!$V61),2),IFERROR(RIGHT("00"&amp;VALUE(LEFT(Sync!$V61,FIND(":",Sync!$V61)-1)),2)&amp;RIGHT("00"&amp;VALUE(MID(Sync!$V61,FIND(":",Sync!$V61)+1,2)),2),"0000"))))</f>
        <v/>
      </c>
    </row>
    <row r="65">
      <c r="A65">
        <f>IF(Sync!$U62="","",Sync!$U62)</f>
        <v/>
      </c>
      <c r="B65">
        <f>IF($A65="","",IF(ISNUMBER($A65),IF(AND($A65&gt;=10000101,$A65&lt;=99991231),INT($A65/10000),""),IFERROR(VALUE(TRIM(LEFT($A65,FIND("/",$A65)-1))),"")))</f>
        <v/>
      </c>
      <c r="C65">
        <f>IF(OR($A65="",$B65=""),"",IF(ISNUMBER($A65),INT(MOD($A65,10000)/100),IFERROR(VALUE(TRIM(LEFT(MID($A65,FIND("/",$A65)+1,20),FIND("/",MID($A65,FIND("/",$A65)+1,20))-1))),"")))</f>
        <v/>
      </c>
      <c r="D65">
        <f>IF(OR($A65="",$B65=""),"",IF(ISNUMBER($A65),MOD($A65,100),IFERROR(VALUE(TRIM(MID(MID($A65,FIND("/",$A65)+1,20),FIND("/",MID($A65,FIND("/",$A65)+1,20))+1,20))),"")))</f>
        <v/>
      </c>
      <c r="E65">
        <f>IF($A65="","",IF(OR($B65="",$C65="",$D65="",$B65&lt;1300,$B65&gt;1500,$C65&lt;1,$C65&gt;12,$D65&lt;1,$D65&gt;31),"نامعتبر",RIGHT("0000"&amp;$B65,4)&amp;"/"&amp;RIGHT("00"&amp;$C65,2)&amp;"/"&amp;RIGHT("00"&amp;$D65,2)))</f>
        <v/>
      </c>
      <c r="F65">
        <f>IF(OR($E65="",$E65="نامعتبر"),"",LEFT($E65,4)&amp;"/"&amp;MID($E65,6,2))</f>
        <v/>
      </c>
      <c r="G65">
        <f>IF(OR($E65="",$E65="نامعتبر",Sync!$Y62=""),"",Sync!$Y62)</f>
        <v/>
      </c>
      <c r="H65">
        <f>IF($G65="","",IF(Sync!$X62="","",Sync!$X62))</f>
        <v/>
      </c>
      <c r="I65">
        <f>IF($G65="","",IFERROR(VLOOKUP(Sync!$X62,OpTbl,3,0),""))</f>
        <v/>
      </c>
      <c r="J65">
        <f>IF(OR($G65="",Sync!$Z62=""),"",Sync!$Z62)</f>
        <v/>
      </c>
      <c r="K65">
        <f>IF(OR($G65="",Sync!$AA62=""),"",Sync!$AA62)</f>
        <v/>
      </c>
      <c r="L65">
        <f>IF($G65="",0,IF(Sync!$AB62="",0,Sync!$AB62))</f>
        <v/>
      </c>
      <c r="M65">
        <f>IF($G65="",0,IF(Sync!$AC62="",0,Sync!$AC62))</f>
        <v/>
      </c>
      <c r="N65">
        <f>IF($G65="","",IF($H65="مرجوعی خرید",-1,1)*($L65-$M65*IFERROR(VLOOKUP("P01",ParamTbl,3,0),1.5))*(1-IF($I65="خرید",IFERROR(VLOOKUP("P02",ParamTbl,3,0),1),0)/100))</f>
        <v/>
      </c>
      <c r="O65">
        <f>IF($G65="",0,IF($H65="مرجوعی خرید",-1,1)*IF(Sync!$AD62="",0,Sync!$AD62))</f>
        <v/>
      </c>
      <c r="P65">
        <f>IF(OR($G65="",Sync!$W62=""),"",Sync!$W62)</f>
        <v/>
      </c>
      <c r="Q65">
        <f>IF(OR($G65="",Sync!$AE62=""),"",Sync!$AE62)</f>
        <v/>
      </c>
      <c r="R65">
        <f>IF($G65="","",IF(Sync!$V62="","0000",IF(AND(ISNUMBER(Sync!$V62),Sync!$V62&gt;=0,Sync!$V62&lt;1),RIGHT("00"&amp;HOUR(Sync!$V62),2)&amp;RIGHT("00"&amp;MINUTE(Sync!$V62),2),IFERROR(RIGHT("00"&amp;VALUE(LEFT(Sync!$V62,FIND(":",Sync!$V62)-1)),2)&amp;RIGHT("00"&amp;VALUE(MID(Sync!$V62,FIND(":",Sync!$V62)+1,2)),2),"0000"))))</f>
        <v/>
      </c>
    </row>
    <row r="66">
      <c r="A66">
        <f>IF(Sync!$U63="","",Sync!$U63)</f>
        <v/>
      </c>
      <c r="B66">
        <f>IF($A66="","",IF(ISNUMBER($A66),IF(AND($A66&gt;=10000101,$A66&lt;=99991231),INT($A66/10000),""),IFERROR(VALUE(TRIM(LEFT($A66,FIND("/",$A66)-1))),"")))</f>
        <v/>
      </c>
      <c r="C66">
        <f>IF(OR($A66="",$B66=""),"",IF(ISNUMBER($A66),INT(MOD($A66,10000)/100),IFERROR(VALUE(TRIM(LEFT(MID($A66,FIND("/",$A66)+1,20),FIND("/",MID($A66,FIND("/",$A66)+1,20))-1))),"")))</f>
        <v/>
      </c>
      <c r="D66">
        <f>IF(OR($A66="",$B66=""),"",IF(ISNUMBER($A66),MOD($A66,100),IFERROR(VALUE(TRIM(MID(MID($A66,FIND("/",$A66)+1,20),FIND("/",MID($A66,FIND("/",$A66)+1,20))+1,20))),"")))</f>
        <v/>
      </c>
      <c r="E66">
        <f>IF($A66="","",IF(OR($B66="",$C66="",$D66="",$B66&lt;1300,$B66&gt;1500,$C66&lt;1,$C66&gt;12,$D66&lt;1,$D66&gt;31),"نامعتبر",RIGHT("0000"&amp;$B66,4)&amp;"/"&amp;RIGHT("00"&amp;$C66,2)&amp;"/"&amp;RIGHT("00"&amp;$D66,2)))</f>
        <v/>
      </c>
      <c r="F66">
        <f>IF(OR($E66="",$E66="نامعتبر"),"",LEFT($E66,4)&amp;"/"&amp;MID($E66,6,2))</f>
        <v/>
      </c>
      <c r="G66">
        <f>IF(OR($E66="",$E66="نامعتبر",Sync!$Y63=""),"",Sync!$Y63)</f>
        <v/>
      </c>
      <c r="H66">
        <f>IF($G66="","",IF(Sync!$X63="","",Sync!$X63))</f>
        <v/>
      </c>
      <c r="I66">
        <f>IF($G66="","",IFERROR(VLOOKUP(Sync!$X63,OpTbl,3,0),""))</f>
        <v/>
      </c>
      <c r="J66">
        <f>IF(OR($G66="",Sync!$Z63=""),"",Sync!$Z63)</f>
        <v/>
      </c>
      <c r="K66">
        <f>IF(OR($G66="",Sync!$AA63=""),"",Sync!$AA63)</f>
        <v/>
      </c>
      <c r="L66">
        <f>IF($G66="",0,IF(Sync!$AB63="",0,Sync!$AB63))</f>
        <v/>
      </c>
      <c r="M66">
        <f>IF($G66="",0,IF(Sync!$AC63="",0,Sync!$AC63))</f>
        <v/>
      </c>
      <c r="N66">
        <f>IF($G66="","",IF($H66="مرجوعی خرید",-1,1)*($L66-$M66*IFERROR(VLOOKUP("P01",ParamTbl,3,0),1.5))*(1-IF($I66="خرید",IFERROR(VLOOKUP("P02",ParamTbl,3,0),1),0)/100))</f>
        <v/>
      </c>
      <c r="O66">
        <f>IF($G66="",0,IF($H66="مرجوعی خرید",-1,1)*IF(Sync!$AD63="",0,Sync!$AD63))</f>
        <v/>
      </c>
      <c r="P66">
        <f>IF(OR($G66="",Sync!$W63=""),"",Sync!$W63)</f>
        <v/>
      </c>
      <c r="Q66">
        <f>IF(OR($G66="",Sync!$AE63=""),"",Sync!$AE63)</f>
        <v/>
      </c>
      <c r="R66">
        <f>IF($G66="","",IF(Sync!$V63="","0000",IF(AND(ISNUMBER(Sync!$V63),Sync!$V63&gt;=0,Sync!$V63&lt;1),RIGHT("00"&amp;HOUR(Sync!$V63),2)&amp;RIGHT("00"&amp;MINUTE(Sync!$V63),2),IFERROR(RIGHT("00"&amp;VALUE(LEFT(Sync!$V63,FIND(":",Sync!$V63)-1)),2)&amp;RIGHT("00"&amp;VALUE(MID(Sync!$V63,FIND(":",Sync!$V63)+1,2)),2),"0000"))))</f>
        <v/>
      </c>
    </row>
    <row r="67">
      <c r="A67">
        <f>IF(Sync!$U64="","",Sync!$U64)</f>
        <v/>
      </c>
      <c r="B67">
        <f>IF($A67="","",IF(ISNUMBER($A67),IF(AND($A67&gt;=10000101,$A67&lt;=99991231),INT($A67/10000),""),IFERROR(VALUE(TRIM(LEFT($A67,FIND("/",$A67)-1))),"")))</f>
        <v/>
      </c>
      <c r="C67">
        <f>IF(OR($A67="",$B67=""),"",IF(ISNUMBER($A67),INT(MOD($A67,10000)/100),IFERROR(VALUE(TRIM(LEFT(MID($A67,FIND("/",$A67)+1,20),FIND("/",MID($A67,FIND("/",$A67)+1,20))-1))),"")))</f>
        <v/>
      </c>
      <c r="D67">
        <f>IF(OR($A67="",$B67=""),"",IF(ISNUMBER($A67),MOD($A67,100),IFERROR(VALUE(TRIM(MID(MID($A67,FIND("/",$A67)+1,20),FIND("/",MID($A67,FIND("/",$A67)+1,20))+1,20))),"")))</f>
        <v/>
      </c>
      <c r="E67">
        <f>IF($A67="","",IF(OR($B67="",$C67="",$D67="",$B67&lt;1300,$B67&gt;1500,$C67&lt;1,$C67&gt;12,$D67&lt;1,$D67&gt;31),"نامعتبر",RIGHT("0000"&amp;$B67,4)&amp;"/"&amp;RIGHT("00"&amp;$C67,2)&amp;"/"&amp;RIGHT("00"&amp;$D67,2)))</f>
        <v/>
      </c>
      <c r="F67">
        <f>IF(OR($E67="",$E67="نامعتبر"),"",LEFT($E67,4)&amp;"/"&amp;MID($E67,6,2))</f>
        <v/>
      </c>
      <c r="G67">
        <f>IF(OR($E67="",$E67="نامعتبر",Sync!$Y64=""),"",Sync!$Y64)</f>
        <v/>
      </c>
      <c r="H67">
        <f>IF($G67="","",IF(Sync!$X64="","",Sync!$X64))</f>
        <v/>
      </c>
      <c r="I67">
        <f>IF($G67="","",IFERROR(VLOOKUP(Sync!$X64,OpTbl,3,0),""))</f>
        <v/>
      </c>
      <c r="J67">
        <f>IF(OR($G67="",Sync!$Z64=""),"",Sync!$Z64)</f>
        <v/>
      </c>
      <c r="K67">
        <f>IF(OR($G67="",Sync!$AA64=""),"",Sync!$AA64)</f>
        <v/>
      </c>
      <c r="L67">
        <f>IF($G67="",0,IF(Sync!$AB64="",0,Sync!$AB64))</f>
        <v/>
      </c>
      <c r="M67">
        <f>IF($G67="",0,IF(Sync!$AC64="",0,Sync!$AC64))</f>
        <v/>
      </c>
      <c r="N67">
        <f>IF($G67="","",IF($H67="مرجوعی خرید",-1,1)*($L67-$M67*IFERROR(VLOOKUP("P01",ParamTbl,3,0),1.5))*(1-IF($I67="خرید",IFERROR(VLOOKUP("P02",ParamTbl,3,0),1),0)/100))</f>
        <v/>
      </c>
      <c r="O67">
        <f>IF($G67="",0,IF($H67="مرجوعی خرید",-1,1)*IF(Sync!$AD64="",0,Sync!$AD64))</f>
        <v/>
      </c>
      <c r="P67">
        <f>IF(OR($G67="",Sync!$W64=""),"",Sync!$W64)</f>
        <v/>
      </c>
      <c r="Q67">
        <f>IF(OR($G67="",Sync!$AE64=""),"",Sync!$AE64)</f>
        <v/>
      </c>
      <c r="R67">
        <f>IF($G67="","",IF(Sync!$V64="","0000",IF(AND(ISNUMBER(Sync!$V64),Sync!$V64&gt;=0,Sync!$V64&lt;1),RIGHT("00"&amp;HOUR(Sync!$V64),2)&amp;RIGHT("00"&amp;MINUTE(Sync!$V64),2),IFERROR(RIGHT("00"&amp;VALUE(LEFT(Sync!$V64,FIND(":",Sync!$V64)-1)),2)&amp;RIGHT("00"&amp;VALUE(MID(Sync!$V64,FIND(":",Sync!$V64)+1,2)),2),"0000"))))</f>
        <v/>
      </c>
    </row>
    <row r="68">
      <c r="A68">
        <f>IF(Sync!$U65="","",Sync!$U65)</f>
        <v/>
      </c>
      <c r="B68">
        <f>IF($A68="","",IF(ISNUMBER($A68),IF(AND($A68&gt;=10000101,$A68&lt;=99991231),INT($A68/10000),""),IFERROR(VALUE(TRIM(LEFT($A68,FIND("/",$A68)-1))),"")))</f>
        <v/>
      </c>
      <c r="C68">
        <f>IF(OR($A68="",$B68=""),"",IF(ISNUMBER($A68),INT(MOD($A68,10000)/100),IFERROR(VALUE(TRIM(LEFT(MID($A68,FIND("/",$A68)+1,20),FIND("/",MID($A68,FIND("/",$A68)+1,20))-1))),"")))</f>
        <v/>
      </c>
      <c r="D68">
        <f>IF(OR($A68="",$B68=""),"",IF(ISNUMBER($A68),MOD($A68,100),IFERROR(VALUE(TRIM(MID(MID($A68,FIND("/",$A68)+1,20),FIND("/",MID($A68,FIND("/",$A68)+1,20))+1,20))),"")))</f>
        <v/>
      </c>
      <c r="E68">
        <f>IF($A68="","",IF(OR($B68="",$C68="",$D68="",$B68&lt;1300,$B68&gt;1500,$C68&lt;1,$C68&gt;12,$D68&lt;1,$D68&gt;31),"نامعتبر",RIGHT("0000"&amp;$B68,4)&amp;"/"&amp;RIGHT("00"&amp;$C68,2)&amp;"/"&amp;RIGHT("00"&amp;$D68,2)))</f>
        <v/>
      </c>
      <c r="F68">
        <f>IF(OR($E68="",$E68="نامعتبر"),"",LEFT($E68,4)&amp;"/"&amp;MID($E68,6,2))</f>
        <v/>
      </c>
      <c r="G68">
        <f>IF(OR($E68="",$E68="نامعتبر",Sync!$Y65=""),"",Sync!$Y65)</f>
        <v/>
      </c>
      <c r="H68">
        <f>IF($G68="","",IF(Sync!$X65="","",Sync!$X65))</f>
        <v/>
      </c>
      <c r="I68">
        <f>IF($G68="","",IFERROR(VLOOKUP(Sync!$X65,OpTbl,3,0),""))</f>
        <v/>
      </c>
      <c r="J68">
        <f>IF(OR($G68="",Sync!$Z65=""),"",Sync!$Z65)</f>
        <v/>
      </c>
      <c r="K68">
        <f>IF(OR($G68="",Sync!$AA65=""),"",Sync!$AA65)</f>
        <v/>
      </c>
      <c r="L68">
        <f>IF($G68="",0,IF(Sync!$AB65="",0,Sync!$AB65))</f>
        <v/>
      </c>
      <c r="M68">
        <f>IF($G68="",0,IF(Sync!$AC65="",0,Sync!$AC65))</f>
        <v/>
      </c>
      <c r="N68">
        <f>IF($G68="","",IF($H68="مرجوعی خرید",-1,1)*($L68-$M68*IFERROR(VLOOKUP("P01",ParamTbl,3,0),1.5))*(1-IF($I68="خرید",IFERROR(VLOOKUP("P02",ParamTbl,3,0),1),0)/100))</f>
        <v/>
      </c>
      <c r="O68">
        <f>IF($G68="",0,IF($H68="مرجوعی خرید",-1,1)*IF(Sync!$AD65="",0,Sync!$AD65))</f>
        <v/>
      </c>
      <c r="P68">
        <f>IF(OR($G68="",Sync!$W65=""),"",Sync!$W65)</f>
        <v/>
      </c>
      <c r="Q68">
        <f>IF(OR($G68="",Sync!$AE65=""),"",Sync!$AE65)</f>
        <v/>
      </c>
      <c r="R68">
        <f>IF($G68="","",IF(Sync!$V65="","0000",IF(AND(ISNUMBER(Sync!$V65),Sync!$V65&gt;=0,Sync!$V65&lt;1),RIGHT("00"&amp;HOUR(Sync!$V65),2)&amp;RIGHT("00"&amp;MINUTE(Sync!$V65),2),IFERROR(RIGHT("00"&amp;VALUE(LEFT(Sync!$V65,FIND(":",Sync!$V65)-1)),2)&amp;RIGHT("00"&amp;VALUE(MID(Sync!$V65,FIND(":",Sync!$V65)+1,2)),2),"0000"))))</f>
        <v/>
      </c>
    </row>
    <row r="69">
      <c r="A69">
        <f>IF(Sync!$U66="","",Sync!$U66)</f>
        <v/>
      </c>
      <c r="B69">
        <f>IF($A69="","",IF(ISNUMBER($A69),IF(AND($A69&gt;=10000101,$A69&lt;=99991231),INT($A69/10000),""),IFERROR(VALUE(TRIM(LEFT($A69,FIND("/",$A69)-1))),"")))</f>
        <v/>
      </c>
      <c r="C69">
        <f>IF(OR($A69="",$B69=""),"",IF(ISNUMBER($A69),INT(MOD($A69,10000)/100),IFERROR(VALUE(TRIM(LEFT(MID($A69,FIND("/",$A69)+1,20),FIND("/",MID($A69,FIND("/",$A69)+1,20))-1))),"")))</f>
        <v/>
      </c>
      <c r="D69">
        <f>IF(OR($A69="",$B69=""),"",IF(ISNUMBER($A69),MOD($A69,100),IFERROR(VALUE(TRIM(MID(MID($A69,FIND("/",$A69)+1,20),FIND("/",MID($A69,FIND("/",$A69)+1,20))+1,20))),"")))</f>
        <v/>
      </c>
      <c r="E69">
        <f>IF($A69="","",IF(OR($B69="",$C69="",$D69="",$B69&lt;1300,$B69&gt;1500,$C69&lt;1,$C69&gt;12,$D69&lt;1,$D69&gt;31),"نامعتبر",RIGHT("0000"&amp;$B69,4)&amp;"/"&amp;RIGHT("00"&amp;$C69,2)&amp;"/"&amp;RIGHT("00"&amp;$D69,2)))</f>
        <v/>
      </c>
      <c r="F69">
        <f>IF(OR($E69="",$E69="نامعتبر"),"",LEFT($E69,4)&amp;"/"&amp;MID($E69,6,2))</f>
        <v/>
      </c>
      <c r="G69">
        <f>IF(OR($E69="",$E69="نامعتبر",Sync!$Y66=""),"",Sync!$Y66)</f>
        <v/>
      </c>
      <c r="H69">
        <f>IF($G69="","",IF(Sync!$X66="","",Sync!$X66))</f>
        <v/>
      </c>
      <c r="I69">
        <f>IF($G69="","",IFERROR(VLOOKUP(Sync!$X66,OpTbl,3,0),""))</f>
        <v/>
      </c>
      <c r="J69">
        <f>IF(OR($G69="",Sync!$Z66=""),"",Sync!$Z66)</f>
        <v/>
      </c>
      <c r="K69">
        <f>IF(OR($G69="",Sync!$AA66=""),"",Sync!$AA66)</f>
        <v/>
      </c>
      <c r="L69">
        <f>IF($G69="",0,IF(Sync!$AB66="",0,Sync!$AB66))</f>
        <v/>
      </c>
      <c r="M69">
        <f>IF($G69="",0,IF(Sync!$AC66="",0,Sync!$AC66))</f>
        <v/>
      </c>
      <c r="N69">
        <f>IF($G69="","",IF($H69="مرجوعی خرید",-1,1)*($L69-$M69*IFERROR(VLOOKUP("P01",ParamTbl,3,0),1.5))*(1-IF($I69="خرید",IFERROR(VLOOKUP("P02",ParamTbl,3,0),1),0)/100))</f>
        <v/>
      </c>
      <c r="O69">
        <f>IF($G69="",0,IF($H69="مرجوعی خرید",-1,1)*IF(Sync!$AD66="",0,Sync!$AD66))</f>
        <v/>
      </c>
      <c r="P69">
        <f>IF(OR($G69="",Sync!$W66=""),"",Sync!$W66)</f>
        <v/>
      </c>
      <c r="Q69">
        <f>IF(OR($G69="",Sync!$AE66=""),"",Sync!$AE66)</f>
        <v/>
      </c>
      <c r="R69">
        <f>IF($G69="","",IF(Sync!$V66="","0000",IF(AND(ISNUMBER(Sync!$V66),Sync!$V66&gt;=0,Sync!$V66&lt;1),RIGHT("00"&amp;HOUR(Sync!$V66),2)&amp;RIGHT("00"&amp;MINUTE(Sync!$V66),2),IFERROR(RIGHT("00"&amp;VALUE(LEFT(Sync!$V66,FIND(":",Sync!$V66)-1)),2)&amp;RIGHT("00"&amp;VALUE(MID(Sync!$V66,FIND(":",Sync!$V66)+1,2)),2),"0000"))))</f>
        <v/>
      </c>
    </row>
    <row r="70">
      <c r="A70">
        <f>IF(Sync!$U67="","",Sync!$U67)</f>
        <v/>
      </c>
      <c r="B70">
        <f>IF($A70="","",IF(ISNUMBER($A70),IF(AND($A70&gt;=10000101,$A70&lt;=99991231),INT($A70/10000),""),IFERROR(VALUE(TRIM(LEFT($A70,FIND("/",$A70)-1))),"")))</f>
        <v/>
      </c>
      <c r="C70">
        <f>IF(OR($A70="",$B70=""),"",IF(ISNUMBER($A70),INT(MOD($A70,10000)/100),IFERROR(VALUE(TRIM(LEFT(MID($A70,FIND("/",$A70)+1,20),FIND("/",MID($A70,FIND("/",$A70)+1,20))-1))),"")))</f>
        <v/>
      </c>
      <c r="D70">
        <f>IF(OR($A70="",$B70=""),"",IF(ISNUMBER($A70),MOD($A70,100),IFERROR(VALUE(TRIM(MID(MID($A70,FIND("/",$A70)+1,20),FIND("/",MID($A70,FIND("/",$A70)+1,20))+1,20))),"")))</f>
        <v/>
      </c>
      <c r="E70">
        <f>IF($A70="","",IF(OR($B70="",$C70="",$D70="",$B70&lt;1300,$B70&gt;1500,$C70&lt;1,$C70&gt;12,$D70&lt;1,$D70&gt;31),"نامعتبر",RIGHT("0000"&amp;$B70,4)&amp;"/"&amp;RIGHT("00"&amp;$C70,2)&amp;"/"&amp;RIGHT("00"&amp;$D70,2)))</f>
        <v/>
      </c>
      <c r="F70">
        <f>IF(OR($E70="",$E70="نامعتبر"),"",LEFT($E70,4)&amp;"/"&amp;MID($E70,6,2))</f>
        <v/>
      </c>
      <c r="G70">
        <f>IF(OR($E70="",$E70="نامعتبر",Sync!$Y67=""),"",Sync!$Y67)</f>
        <v/>
      </c>
      <c r="H70">
        <f>IF($G70="","",IF(Sync!$X67="","",Sync!$X67))</f>
        <v/>
      </c>
      <c r="I70">
        <f>IF($G70="","",IFERROR(VLOOKUP(Sync!$X67,OpTbl,3,0),""))</f>
        <v/>
      </c>
      <c r="J70">
        <f>IF(OR($G70="",Sync!$Z67=""),"",Sync!$Z67)</f>
        <v/>
      </c>
      <c r="K70">
        <f>IF(OR($G70="",Sync!$AA67=""),"",Sync!$AA67)</f>
        <v/>
      </c>
      <c r="L70">
        <f>IF($G70="",0,IF(Sync!$AB67="",0,Sync!$AB67))</f>
        <v/>
      </c>
      <c r="M70">
        <f>IF($G70="",0,IF(Sync!$AC67="",0,Sync!$AC67))</f>
        <v/>
      </c>
      <c r="N70">
        <f>IF($G70="","",IF($H70="مرجوعی خرید",-1,1)*($L70-$M70*IFERROR(VLOOKUP("P01",ParamTbl,3,0),1.5))*(1-IF($I70="خرید",IFERROR(VLOOKUP("P02",ParamTbl,3,0),1),0)/100))</f>
        <v/>
      </c>
      <c r="O70">
        <f>IF($G70="",0,IF($H70="مرجوعی خرید",-1,1)*IF(Sync!$AD67="",0,Sync!$AD67))</f>
        <v/>
      </c>
      <c r="P70">
        <f>IF(OR($G70="",Sync!$W67=""),"",Sync!$W67)</f>
        <v/>
      </c>
      <c r="Q70">
        <f>IF(OR($G70="",Sync!$AE67=""),"",Sync!$AE67)</f>
        <v/>
      </c>
      <c r="R70">
        <f>IF($G70="","",IF(Sync!$V67="","0000",IF(AND(ISNUMBER(Sync!$V67),Sync!$V67&gt;=0,Sync!$V67&lt;1),RIGHT("00"&amp;HOUR(Sync!$V67),2)&amp;RIGHT("00"&amp;MINUTE(Sync!$V67),2),IFERROR(RIGHT("00"&amp;VALUE(LEFT(Sync!$V67,FIND(":",Sync!$V67)-1)),2)&amp;RIGHT("00"&amp;VALUE(MID(Sync!$V67,FIND(":",Sync!$V67)+1,2)),2),"0000"))))</f>
        <v/>
      </c>
    </row>
    <row r="71">
      <c r="A71">
        <f>IF(Sync!$U68="","",Sync!$U68)</f>
        <v/>
      </c>
      <c r="B71">
        <f>IF($A71="","",IF(ISNUMBER($A71),IF(AND($A71&gt;=10000101,$A71&lt;=99991231),INT($A71/10000),""),IFERROR(VALUE(TRIM(LEFT($A71,FIND("/",$A71)-1))),"")))</f>
        <v/>
      </c>
      <c r="C71">
        <f>IF(OR($A71="",$B71=""),"",IF(ISNUMBER($A71),INT(MOD($A71,10000)/100),IFERROR(VALUE(TRIM(LEFT(MID($A71,FIND("/",$A71)+1,20),FIND("/",MID($A71,FIND("/",$A71)+1,20))-1))),"")))</f>
        <v/>
      </c>
      <c r="D71">
        <f>IF(OR($A71="",$B71=""),"",IF(ISNUMBER($A71),MOD($A71,100),IFERROR(VALUE(TRIM(MID(MID($A71,FIND("/",$A71)+1,20),FIND("/",MID($A71,FIND("/",$A71)+1,20))+1,20))),"")))</f>
        <v/>
      </c>
      <c r="E71">
        <f>IF($A71="","",IF(OR($B71="",$C71="",$D71="",$B71&lt;1300,$B71&gt;1500,$C71&lt;1,$C71&gt;12,$D71&lt;1,$D71&gt;31),"نامعتبر",RIGHT("0000"&amp;$B71,4)&amp;"/"&amp;RIGHT("00"&amp;$C71,2)&amp;"/"&amp;RIGHT("00"&amp;$D71,2)))</f>
        <v/>
      </c>
      <c r="F71">
        <f>IF(OR($E71="",$E71="نامعتبر"),"",LEFT($E71,4)&amp;"/"&amp;MID($E71,6,2))</f>
        <v/>
      </c>
      <c r="G71">
        <f>IF(OR($E71="",$E71="نامعتبر",Sync!$Y68=""),"",Sync!$Y68)</f>
        <v/>
      </c>
      <c r="H71">
        <f>IF($G71="","",IF(Sync!$X68="","",Sync!$X68))</f>
        <v/>
      </c>
      <c r="I71">
        <f>IF($G71="","",IFERROR(VLOOKUP(Sync!$X68,OpTbl,3,0),""))</f>
        <v/>
      </c>
      <c r="J71">
        <f>IF(OR($G71="",Sync!$Z68=""),"",Sync!$Z68)</f>
        <v/>
      </c>
      <c r="K71">
        <f>IF(OR($G71="",Sync!$AA68=""),"",Sync!$AA68)</f>
        <v/>
      </c>
      <c r="L71">
        <f>IF($G71="",0,IF(Sync!$AB68="",0,Sync!$AB68))</f>
        <v/>
      </c>
      <c r="M71">
        <f>IF($G71="",0,IF(Sync!$AC68="",0,Sync!$AC68))</f>
        <v/>
      </c>
      <c r="N71">
        <f>IF($G71="","",IF($H71="مرجوعی خرید",-1,1)*($L71-$M71*IFERROR(VLOOKUP("P01",ParamTbl,3,0),1.5))*(1-IF($I71="خرید",IFERROR(VLOOKUP("P02",ParamTbl,3,0),1),0)/100))</f>
        <v/>
      </c>
      <c r="O71">
        <f>IF($G71="",0,IF($H71="مرجوعی خرید",-1,1)*IF(Sync!$AD68="",0,Sync!$AD68))</f>
        <v/>
      </c>
      <c r="P71">
        <f>IF(OR($G71="",Sync!$W68=""),"",Sync!$W68)</f>
        <v/>
      </c>
      <c r="Q71">
        <f>IF(OR($G71="",Sync!$AE68=""),"",Sync!$AE68)</f>
        <v/>
      </c>
      <c r="R71">
        <f>IF($G71="","",IF(Sync!$V68="","0000",IF(AND(ISNUMBER(Sync!$V68),Sync!$V68&gt;=0,Sync!$V68&lt;1),RIGHT("00"&amp;HOUR(Sync!$V68),2)&amp;RIGHT("00"&amp;MINUTE(Sync!$V68),2),IFERROR(RIGHT("00"&amp;VALUE(LEFT(Sync!$V68,FIND(":",Sync!$V68)-1)),2)&amp;RIGHT("00"&amp;VALUE(MID(Sync!$V68,FIND(":",Sync!$V68)+1,2)),2),"0000"))))</f>
        <v/>
      </c>
    </row>
    <row r="72">
      <c r="A72">
        <f>IF(Sync!$U69="","",Sync!$U69)</f>
        <v/>
      </c>
      <c r="B72">
        <f>IF($A72="","",IF(ISNUMBER($A72),IF(AND($A72&gt;=10000101,$A72&lt;=99991231),INT($A72/10000),""),IFERROR(VALUE(TRIM(LEFT($A72,FIND("/",$A72)-1))),"")))</f>
        <v/>
      </c>
      <c r="C72">
        <f>IF(OR($A72="",$B72=""),"",IF(ISNUMBER($A72),INT(MOD($A72,10000)/100),IFERROR(VALUE(TRIM(LEFT(MID($A72,FIND("/",$A72)+1,20),FIND("/",MID($A72,FIND("/",$A72)+1,20))-1))),"")))</f>
        <v/>
      </c>
      <c r="D72">
        <f>IF(OR($A72="",$B72=""),"",IF(ISNUMBER($A72),MOD($A72,100),IFERROR(VALUE(TRIM(MID(MID($A72,FIND("/",$A72)+1,20),FIND("/",MID($A72,FIND("/",$A72)+1,20))+1,20))),"")))</f>
        <v/>
      </c>
      <c r="E72">
        <f>IF($A72="","",IF(OR($B72="",$C72="",$D72="",$B72&lt;1300,$B72&gt;1500,$C72&lt;1,$C72&gt;12,$D72&lt;1,$D72&gt;31),"نامعتبر",RIGHT("0000"&amp;$B72,4)&amp;"/"&amp;RIGHT("00"&amp;$C72,2)&amp;"/"&amp;RIGHT("00"&amp;$D72,2)))</f>
        <v/>
      </c>
      <c r="F72">
        <f>IF(OR($E72="",$E72="نامعتبر"),"",LEFT($E72,4)&amp;"/"&amp;MID($E72,6,2))</f>
        <v/>
      </c>
      <c r="G72">
        <f>IF(OR($E72="",$E72="نامعتبر",Sync!$Y69=""),"",Sync!$Y69)</f>
        <v/>
      </c>
      <c r="H72">
        <f>IF($G72="","",IF(Sync!$X69="","",Sync!$X69))</f>
        <v/>
      </c>
      <c r="I72">
        <f>IF($G72="","",IFERROR(VLOOKUP(Sync!$X69,OpTbl,3,0),""))</f>
        <v/>
      </c>
      <c r="J72">
        <f>IF(OR($G72="",Sync!$Z69=""),"",Sync!$Z69)</f>
        <v/>
      </c>
      <c r="K72">
        <f>IF(OR($G72="",Sync!$AA69=""),"",Sync!$AA69)</f>
        <v/>
      </c>
      <c r="L72">
        <f>IF($G72="",0,IF(Sync!$AB69="",0,Sync!$AB69))</f>
        <v/>
      </c>
      <c r="M72">
        <f>IF($G72="",0,IF(Sync!$AC69="",0,Sync!$AC69))</f>
        <v/>
      </c>
      <c r="N72">
        <f>IF($G72="","",IF($H72="مرجوعی خرید",-1,1)*($L72-$M72*IFERROR(VLOOKUP("P01",ParamTbl,3,0),1.5))*(1-IF($I72="خرید",IFERROR(VLOOKUP("P02",ParamTbl,3,0),1),0)/100))</f>
        <v/>
      </c>
      <c r="O72">
        <f>IF($G72="",0,IF($H72="مرجوعی خرید",-1,1)*IF(Sync!$AD69="",0,Sync!$AD69))</f>
        <v/>
      </c>
      <c r="P72">
        <f>IF(OR($G72="",Sync!$W69=""),"",Sync!$W69)</f>
        <v/>
      </c>
      <c r="Q72">
        <f>IF(OR($G72="",Sync!$AE69=""),"",Sync!$AE69)</f>
        <v/>
      </c>
      <c r="R72">
        <f>IF($G72="","",IF(Sync!$V69="","0000",IF(AND(ISNUMBER(Sync!$V69),Sync!$V69&gt;=0,Sync!$V69&lt;1),RIGHT("00"&amp;HOUR(Sync!$V69),2)&amp;RIGHT("00"&amp;MINUTE(Sync!$V69),2),IFERROR(RIGHT("00"&amp;VALUE(LEFT(Sync!$V69,FIND(":",Sync!$V69)-1)),2)&amp;RIGHT("00"&amp;VALUE(MID(Sync!$V69,FIND(":",Sync!$V69)+1,2)),2),"0000"))))</f>
        <v/>
      </c>
    </row>
    <row r="73">
      <c r="A73">
        <f>IF(Sync!$U70="","",Sync!$U70)</f>
        <v/>
      </c>
      <c r="B73">
        <f>IF($A73="","",IF(ISNUMBER($A73),IF(AND($A73&gt;=10000101,$A73&lt;=99991231),INT($A73/10000),""),IFERROR(VALUE(TRIM(LEFT($A73,FIND("/",$A73)-1))),"")))</f>
        <v/>
      </c>
      <c r="C73">
        <f>IF(OR($A73="",$B73=""),"",IF(ISNUMBER($A73),INT(MOD($A73,10000)/100),IFERROR(VALUE(TRIM(LEFT(MID($A73,FIND("/",$A73)+1,20),FIND("/",MID($A73,FIND("/",$A73)+1,20))-1))),"")))</f>
        <v/>
      </c>
      <c r="D73">
        <f>IF(OR($A73="",$B73=""),"",IF(ISNUMBER($A73),MOD($A73,100),IFERROR(VALUE(TRIM(MID(MID($A73,FIND("/",$A73)+1,20),FIND("/",MID($A73,FIND("/",$A73)+1,20))+1,20))),"")))</f>
        <v/>
      </c>
      <c r="E73">
        <f>IF($A73="","",IF(OR($B73="",$C73="",$D73="",$B73&lt;1300,$B73&gt;1500,$C73&lt;1,$C73&gt;12,$D73&lt;1,$D73&gt;31),"نامعتبر",RIGHT("0000"&amp;$B73,4)&amp;"/"&amp;RIGHT("00"&amp;$C73,2)&amp;"/"&amp;RIGHT("00"&amp;$D73,2)))</f>
        <v/>
      </c>
      <c r="F73">
        <f>IF(OR($E73="",$E73="نامعتبر"),"",LEFT($E73,4)&amp;"/"&amp;MID($E73,6,2))</f>
        <v/>
      </c>
      <c r="G73">
        <f>IF(OR($E73="",$E73="نامعتبر",Sync!$Y70=""),"",Sync!$Y70)</f>
        <v/>
      </c>
      <c r="H73">
        <f>IF($G73="","",IF(Sync!$X70="","",Sync!$X70))</f>
        <v/>
      </c>
      <c r="I73">
        <f>IF($G73="","",IFERROR(VLOOKUP(Sync!$X70,OpTbl,3,0),""))</f>
        <v/>
      </c>
      <c r="J73">
        <f>IF(OR($G73="",Sync!$Z70=""),"",Sync!$Z70)</f>
        <v/>
      </c>
      <c r="K73">
        <f>IF(OR($G73="",Sync!$AA70=""),"",Sync!$AA70)</f>
        <v/>
      </c>
      <c r="L73">
        <f>IF($G73="",0,IF(Sync!$AB70="",0,Sync!$AB70))</f>
        <v/>
      </c>
      <c r="M73">
        <f>IF($G73="",0,IF(Sync!$AC70="",0,Sync!$AC70))</f>
        <v/>
      </c>
      <c r="N73">
        <f>IF($G73="","",IF($H73="مرجوعی خرید",-1,1)*($L73-$M73*IFERROR(VLOOKUP("P01",ParamTbl,3,0),1.5))*(1-IF($I73="خرید",IFERROR(VLOOKUP("P02",ParamTbl,3,0),1),0)/100))</f>
        <v/>
      </c>
      <c r="O73">
        <f>IF($G73="",0,IF($H73="مرجوعی خرید",-1,1)*IF(Sync!$AD70="",0,Sync!$AD70))</f>
        <v/>
      </c>
      <c r="P73">
        <f>IF(OR($G73="",Sync!$W70=""),"",Sync!$W70)</f>
        <v/>
      </c>
      <c r="Q73">
        <f>IF(OR($G73="",Sync!$AE70=""),"",Sync!$AE70)</f>
        <v/>
      </c>
      <c r="R73">
        <f>IF($G73="","",IF(Sync!$V70="","0000",IF(AND(ISNUMBER(Sync!$V70),Sync!$V70&gt;=0,Sync!$V70&lt;1),RIGHT("00"&amp;HOUR(Sync!$V70),2)&amp;RIGHT("00"&amp;MINUTE(Sync!$V70),2),IFERROR(RIGHT("00"&amp;VALUE(LEFT(Sync!$V70,FIND(":",Sync!$V70)-1)),2)&amp;RIGHT("00"&amp;VALUE(MID(Sync!$V70,FIND(":",Sync!$V70)+1,2)),2),"0000"))))</f>
        <v/>
      </c>
    </row>
    <row r="74">
      <c r="A74">
        <f>IF(Sync!$U71="","",Sync!$U71)</f>
        <v/>
      </c>
      <c r="B74">
        <f>IF($A74="","",IF(ISNUMBER($A74),IF(AND($A74&gt;=10000101,$A74&lt;=99991231),INT($A74/10000),""),IFERROR(VALUE(TRIM(LEFT($A74,FIND("/",$A74)-1))),"")))</f>
        <v/>
      </c>
      <c r="C74">
        <f>IF(OR($A74="",$B74=""),"",IF(ISNUMBER($A74),INT(MOD($A74,10000)/100),IFERROR(VALUE(TRIM(LEFT(MID($A74,FIND("/",$A74)+1,20),FIND("/",MID($A74,FIND("/",$A74)+1,20))-1))),"")))</f>
        <v/>
      </c>
      <c r="D74">
        <f>IF(OR($A74="",$B74=""),"",IF(ISNUMBER($A74),MOD($A74,100),IFERROR(VALUE(TRIM(MID(MID($A74,FIND("/",$A74)+1,20),FIND("/",MID($A74,FIND("/",$A74)+1,20))+1,20))),"")))</f>
        <v/>
      </c>
      <c r="E74">
        <f>IF($A74="","",IF(OR($B74="",$C74="",$D74="",$B74&lt;1300,$B74&gt;1500,$C74&lt;1,$C74&gt;12,$D74&lt;1,$D74&gt;31),"نامعتبر",RIGHT("0000"&amp;$B74,4)&amp;"/"&amp;RIGHT("00"&amp;$C74,2)&amp;"/"&amp;RIGHT("00"&amp;$D74,2)))</f>
        <v/>
      </c>
      <c r="F74">
        <f>IF(OR($E74="",$E74="نامعتبر"),"",LEFT($E74,4)&amp;"/"&amp;MID($E74,6,2))</f>
        <v/>
      </c>
      <c r="G74">
        <f>IF(OR($E74="",$E74="نامعتبر",Sync!$Y71=""),"",Sync!$Y71)</f>
        <v/>
      </c>
      <c r="H74">
        <f>IF($G74="","",IF(Sync!$X71="","",Sync!$X71))</f>
        <v/>
      </c>
      <c r="I74">
        <f>IF($G74="","",IFERROR(VLOOKUP(Sync!$X71,OpTbl,3,0),""))</f>
        <v/>
      </c>
      <c r="J74">
        <f>IF(OR($G74="",Sync!$Z71=""),"",Sync!$Z71)</f>
        <v/>
      </c>
      <c r="K74">
        <f>IF(OR($G74="",Sync!$AA71=""),"",Sync!$AA71)</f>
        <v/>
      </c>
      <c r="L74">
        <f>IF($G74="",0,IF(Sync!$AB71="",0,Sync!$AB71))</f>
        <v/>
      </c>
      <c r="M74">
        <f>IF($G74="",0,IF(Sync!$AC71="",0,Sync!$AC71))</f>
        <v/>
      </c>
      <c r="N74">
        <f>IF($G74="","",IF($H74="مرجوعی خرید",-1,1)*($L74-$M74*IFERROR(VLOOKUP("P01",ParamTbl,3,0),1.5))*(1-IF($I74="خرید",IFERROR(VLOOKUP("P02",ParamTbl,3,0),1),0)/100))</f>
        <v/>
      </c>
      <c r="O74">
        <f>IF($G74="",0,IF($H74="مرجوعی خرید",-1,1)*IF(Sync!$AD71="",0,Sync!$AD71))</f>
        <v/>
      </c>
      <c r="P74">
        <f>IF(OR($G74="",Sync!$W71=""),"",Sync!$W71)</f>
        <v/>
      </c>
      <c r="Q74">
        <f>IF(OR($G74="",Sync!$AE71=""),"",Sync!$AE71)</f>
        <v/>
      </c>
      <c r="R74">
        <f>IF($G74="","",IF(Sync!$V71="","0000",IF(AND(ISNUMBER(Sync!$V71),Sync!$V71&gt;=0,Sync!$V71&lt;1),RIGHT("00"&amp;HOUR(Sync!$V71),2)&amp;RIGHT("00"&amp;MINUTE(Sync!$V71),2),IFERROR(RIGHT("00"&amp;VALUE(LEFT(Sync!$V71,FIND(":",Sync!$V71)-1)),2)&amp;RIGHT("00"&amp;VALUE(MID(Sync!$V71,FIND(":",Sync!$V71)+1,2)),2),"0000"))))</f>
        <v/>
      </c>
    </row>
    <row r="75">
      <c r="A75">
        <f>IF(Sync!$U72="","",Sync!$U72)</f>
        <v/>
      </c>
      <c r="B75">
        <f>IF($A75="","",IF(ISNUMBER($A75),IF(AND($A75&gt;=10000101,$A75&lt;=99991231),INT($A75/10000),""),IFERROR(VALUE(TRIM(LEFT($A75,FIND("/",$A75)-1))),"")))</f>
        <v/>
      </c>
      <c r="C75">
        <f>IF(OR($A75="",$B75=""),"",IF(ISNUMBER($A75),INT(MOD($A75,10000)/100),IFERROR(VALUE(TRIM(LEFT(MID($A75,FIND("/",$A75)+1,20),FIND("/",MID($A75,FIND("/",$A75)+1,20))-1))),"")))</f>
        <v/>
      </c>
      <c r="D75">
        <f>IF(OR($A75="",$B75=""),"",IF(ISNUMBER($A75),MOD($A75,100),IFERROR(VALUE(TRIM(MID(MID($A75,FIND("/",$A75)+1,20),FIND("/",MID($A75,FIND("/",$A75)+1,20))+1,20))),"")))</f>
        <v/>
      </c>
      <c r="E75">
        <f>IF($A75="","",IF(OR($B75="",$C75="",$D75="",$B75&lt;1300,$B75&gt;1500,$C75&lt;1,$C75&gt;12,$D75&lt;1,$D75&gt;31),"نامعتبر",RIGHT("0000"&amp;$B75,4)&amp;"/"&amp;RIGHT("00"&amp;$C75,2)&amp;"/"&amp;RIGHT("00"&amp;$D75,2)))</f>
        <v/>
      </c>
      <c r="F75">
        <f>IF(OR($E75="",$E75="نامعتبر"),"",LEFT($E75,4)&amp;"/"&amp;MID($E75,6,2))</f>
        <v/>
      </c>
      <c r="G75">
        <f>IF(OR($E75="",$E75="نامعتبر",Sync!$Y72=""),"",Sync!$Y72)</f>
        <v/>
      </c>
      <c r="H75">
        <f>IF($G75="","",IF(Sync!$X72="","",Sync!$X72))</f>
        <v/>
      </c>
      <c r="I75">
        <f>IF($G75="","",IFERROR(VLOOKUP(Sync!$X72,OpTbl,3,0),""))</f>
        <v/>
      </c>
      <c r="J75">
        <f>IF(OR($G75="",Sync!$Z72=""),"",Sync!$Z72)</f>
        <v/>
      </c>
      <c r="K75">
        <f>IF(OR($G75="",Sync!$AA72=""),"",Sync!$AA72)</f>
        <v/>
      </c>
      <c r="L75">
        <f>IF($G75="",0,IF(Sync!$AB72="",0,Sync!$AB72))</f>
        <v/>
      </c>
      <c r="M75">
        <f>IF($G75="",0,IF(Sync!$AC72="",0,Sync!$AC72))</f>
        <v/>
      </c>
      <c r="N75">
        <f>IF($G75="","",IF($H75="مرجوعی خرید",-1,1)*($L75-$M75*IFERROR(VLOOKUP("P01",ParamTbl,3,0),1.5))*(1-IF($I75="خرید",IFERROR(VLOOKUP("P02",ParamTbl,3,0),1),0)/100))</f>
        <v/>
      </c>
      <c r="O75">
        <f>IF($G75="",0,IF($H75="مرجوعی خرید",-1,1)*IF(Sync!$AD72="",0,Sync!$AD72))</f>
        <v/>
      </c>
      <c r="P75">
        <f>IF(OR($G75="",Sync!$W72=""),"",Sync!$W72)</f>
        <v/>
      </c>
      <c r="Q75">
        <f>IF(OR($G75="",Sync!$AE72=""),"",Sync!$AE72)</f>
        <v/>
      </c>
      <c r="R75">
        <f>IF($G75="","",IF(Sync!$V72="","0000",IF(AND(ISNUMBER(Sync!$V72),Sync!$V72&gt;=0,Sync!$V72&lt;1),RIGHT("00"&amp;HOUR(Sync!$V72),2)&amp;RIGHT("00"&amp;MINUTE(Sync!$V72),2),IFERROR(RIGHT("00"&amp;VALUE(LEFT(Sync!$V72,FIND(":",Sync!$V72)-1)),2)&amp;RIGHT("00"&amp;VALUE(MID(Sync!$V72,FIND(":",Sync!$V72)+1,2)),2),"0000"))))</f>
        <v/>
      </c>
    </row>
    <row r="76">
      <c r="A76">
        <f>IF(Sync!$U73="","",Sync!$U73)</f>
        <v/>
      </c>
      <c r="B76">
        <f>IF($A76="","",IF(ISNUMBER($A76),IF(AND($A76&gt;=10000101,$A76&lt;=99991231),INT($A76/10000),""),IFERROR(VALUE(TRIM(LEFT($A76,FIND("/",$A76)-1))),"")))</f>
        <v/>
      </c>
      <c r="C76">
        <f>IF(OR($A76="",$B76=""),"",IF(ISNUMBER($A76),INT(MOD($A76,10000)/100),IFERROR(VALUE(TRIM(LEFT(MID($A76,FIND("/",$A76)+1,20),FIND("/",MID($A76,FIND("/",$A76)+1,20))-1))),"")))</f>
        <v/>
      </c>
      <c r="D76">
        <f>IF(OR($A76="",$B76=""),"",IF(ISNUMBER($A76),MOD($A76,100),IFERROR(VALUE(TRIM(MID(MID($A76,FIND("/",$A76)+1,20),FIND("/",MID($A76,FIND("/",$A76)+1,20))+1,20))),"")))</f>
        <v/>
      </c>
      <c r="E76">
        <f>IF($A76="","",IF(OR($B76="",$C76="",$D76="",$B76&lt;1300,$B76&gt;1500,$C76&lt;1,$C76&gt;12,$D76&lt;1,$D76&gt;31),"نامعتبر",RIGHT("0000"&amp;$B76,4)&amp;"/"&amp;RIGHT("00"&amp;$C76,2)&amp;"/"&amp;RIGHT("00"&amp;$D76,2)))</f>
        <v/>
      </c>
      <c r="F76">
        <f>IF(OR($E76="",$E76="نامعتبر"),"",LEFT($E76,4)&amp;"/"&amp;MID($E76,6,2))</f>
        <v/>
      </c>
      <c r="G76">
        <f>IF(OR($E76="",$E76="نامعتبر",Sync!$Y73=""),"",Sync!$Y73)</f>
        <v/>
      </c>
      <c r="H76">
        <f>IF($G76="","",IF(Sync!$X73="","",Sync!$X73))</f>
        <v/>
      </c>
      <c r="I76">
        <f>IF($G76="","",IFERROR(VLOOKUP(Sync!$X73,OpTbl,3,0),""))</f>
        <v/>
      </c>
      <c r="J76">
        <f>IF(OR($G76="",Sync!$Z73=""),"",Sync!$Z73)</f>
        <v/>
      </c>
      <c r="K76">
        <f>IF(OR($G76="",Sync!$AA73=""),"",Sync!$AA73)</f>
        <v/>
      </c>
      <c r="L76">
        <f>IF($G76="",0,IF(Sync!$AB73="",0,Sync!$AB73))</f>
        <v/>
      </c>
      <c r="M76">
        <f>IF($G76="",0,IF(Sync!$AC73="",0,Sync!$AC73))</f>
        <v/>
      </c>
      <c r="N76">
        <f>IF($G76="","",IF($H76="مرجوعی خرید",-1,1)*($L76-$M76*IFERROR(VLOOKUP("P01",ParamTbl,3,0),1.5))*(1-IF($I76="خرید",IFERROR(VLOOKUP("P02",ParamTbl,3,0),1),0)/100))</f>
        <v/>
      </c>
      <c r="O76">
        <f>IF($G76="",0,IF($H76="مرجوعی خرید",-1,1)*IF(Sync!$AD73="",0,Sync!$AD73))</f>
        <v/>
      </c>
      <c r="P76">
        <f>IF(OR($G76="",Sync!$W73=""),"",Sync!$W73)</f>
        <v/>
      </c>
      <c r="Q76">
        <f>IF(OR($G76="",Sync!$AE73=""),"",Sync!$AE73)</f>
        <v/>
      </c>
      <c r="R76">
        <f>IF($G76="","",IF(Sync!$V73="","0000",IF(AND(ISNUMBER(Sync!$V73),Sync!$V73&gt;=0,Sync!$V73&lt;1),RIGHT("00"&amp;HOUR(Sync!$V73),2)&amp;RIGHT("00"&amp;MINUTE(Sync!$V73),2),IFERROR(RIGHT("00"&amp;VALUE(LEFT(Sync!$V73,FIND(":",Sync!$V73)-1)),2)&amp;RIGHT("00"&amp;VALUE(MID(Sync!$V73,FIND(":",Sync!$V73)+1,2)),2),"0000"))))</f>
        <v/>
      </c>
    </row>
    <row r="77">
      <c r="A77">
        <f>IF(Sync!$U74="","",Sync!$U74)</f>
        <v/>
      </c>
      <c r="B77">
        <f>IF($A77="","",IF(ISNUMBER($A77),IF(AND($A77&gt;=10000101,$A77&lt;=99991231),INT($A77/10000),""),IFERROR(VALUE(TRIM(LEFT($A77,FIND("/",$A77)-1))),"")))</f>
        <v/>
      </c>
      <c r="C77">
        <f>IF(OR($A77="",$B77=""),"",IF(ISNUMBER($A77),INT(MOD($A77,10000)/100),IFERROR(VALUE(TRIM(LEFT(MID($A77,FIND("/",$A77)+1,20),FIND("/",MID($A77,FIND("/",$A77)+1,20))-1))),"")))</f>
        <v/>
      </c>
      <c r="D77">
        <f>IF(OR($A77="",$B77=""),"",IF(ISNUMBER($A77),MOD($A77,100),IFERROR(VALUE(TRIM(MID(MID($A77,FIND("/",$A77)+1,20),FIND("/",MID($A77,FIND("/",$A77)+1,20))+1,20))),"")))</f>
        <v/>
      </c>
      <c r="E77">
        <f>IF($A77="","",IF(OR($B77="",$C77="",$D77="",$B77&lt;1300,$B77&gt;1500,$C77&lt;1,$C77&gt;12,$D77&lt;1,$D77&gt;31),"نامعتبر",RIGHT("0000"&amp;$B77,4)&amp;"/"&amp;RIGHT("00"&amp;$C77,2)&amp;"/"&amp;RIGHT("00"&amp;$D77,2)))</f>
        <v/>
      </c>
      <c r="F77">
        <f>IF(OR($E77="",$E77="نامعتبر"),"",LEFT($E77,4)&amp;"/"&amp;MID($E77,6,2))</f>
        <v/>
      </c>
      <c r="G77">
        <f>IF(OR($E77="",$E77="نامعتبر",Sync!$Y74=""),"",Sync!$Y74)</f>
        <v/>
      </c>
      <c r="H77">
        <f>IF($G77="","",IF(Sync!$X74="","",Sync!$X74))</f>
        <v/>
      </c>
      <c r="I77">
        <f>IF($G77="","",IFERROR(VLOOKUP(Sync!$X74,OpTbl,3,0),""))</f>
        <v/>
      </c>
      <c r="J77">
        <f>IF(OR($G77="",Sync!$Z74=""),"",Sync!$Z74)</f>
        <v/>
      </c>
      <c r="K77">
        <f>IF(OR($G77="",Sync!$AA74=""),"",Sync!$AA74)</f>
        <v/>
      </c>
      <c r="L77">
        <f>IF($G77="",0,IF(Sync!$AB74="",0,Sync!$AB74))</f>
        <v/>
      </c>
      <c r="M77">
        <f>IF($G77="",0,IF(Sync!$AC74="",0,Sync!$AC74))</f>
        <v/>
      </c>
      <c r="N77">
        <f>IF($G77="","",IF($H77="مرجوعی خرید",-1,1)*($L77-$M77*IFERROR(VLOOKUP("P01",ParamTbl,3,0),1.5))*(1-IF($I77="خرید",IFERROR(VLOOKUP("P02",ParamTbl,3,0),1),0)/100))</f>
        <v/>
      </c>
      <c r="O77">
        <f>IF($G77="",0,IF($H77="مرجوعی خرید",-1,1)*IF(Sync!$AD74="",0,Sync!$AD74))</f>
        <v/>
      </c>
      <c r="P77">
        <f>IF(OR($G77="",Sync!$W74=""),"",Sync!$W74)</f>
        <v/>
      </c>
      <c r="Q77">
        <f>IF(OR($G77="",Sync!$AE74=""),"",Sync!$AE74)</f>
        <v/>
      </c>
      <c r="R77">
        <f>IF($G77="","",IF(Sync!$V74="","0000",IF(AND(ISNUMBER(Sync!$V74),Sync!$V74&gt;=0,Sync!$V74&lt;1),RIGHT("00"&amp;HOUR(Sync!$V74),2)&amp;RIGHT("00"&amp;MINUTE(Sync!$V74),2),IFERROR(RIGHT("00"&amp;VALUE(LEFT(Sync!$V74,FIND(":",Sync!$V74)-1)),2)&amp;RIGHT("00"&amp;VALUE(MID(Sync!$V74,FIND(":",Sync!$V74)+1,2)),2),"0000"))))</f>
        <v/>
      </c>
    </row>
    <row r="78">
      <c r="A78">
        <f>IF(Sync!$U75="","",Sync!$U75)</f>
        <v/>
      </c>
      <c r="B78">
        <f>IF($A78="","",IF(ISNUMBER($A78),IF(AND($A78&gt;=10000101,$A78&lt;=99991231),INT($A78/10000),""),IFERROR(VALUE(TRIM(LEFT($A78,FIND("/",$A78)-1))),"")))</f>
        <v/>
      </c>
      <c r="C78">
        <f>IF(OR($A78="",$B78=""),"",IF(ISNUMBER($A78),INT(MOD($A78,10000)/100),IFERROR(VALUE(TRIM(LEFT(MID($A78,FIND("/",$A78)+1,20),FIND("/",MID($A78,FIND("/",$A78)+1,20))-1))),"")))</f>
        <v/>
      </c>
      <c r="D78">
        <f>IF(OR($A78="",$B78=""),"",IF(ISNUMBER($A78),MOD($A78,100),IFERROR(VALUE(TRIM(MID(MID($A78,FIND("/",$A78)+1,20),FIND("/",MID($A78,FIND("/",$A78)+1,20))+1,20))),"")))</f>
        <v/>
      </c>
      <c r="E78">
        <f>IF($A78="","",IF(OR($B78="",$C78="",$D78="",$B78&lt;1300,$B78&gt;1500,$C78&lt;1,$C78&gt;12,$D78&lt;1,$D78&gt;31),"نامعتبر",RIGHT("0000"&amp;$B78,4)&amp;"/"&amp;RIGHT("00"&amp;$C78,2)&amp;"/"&amp;RIGHT("00"&amp;$D78,2)))</f>
        <v/>
      </c>
      <c r="F78">
        <f>IF(OR($E78="",$E78="نامعتبر"),"",LEFT($E78,4)&amp;"/"&amp;MID($E78,6,2))</f>
        <v/>
      </c>
      <c r="G78">
        <f>IF(OR($E78="",$E78="نامعتبر",Sync!$Y75=""),"",Sync!$Y75)</f>
        <v/>
      </c>
      <c r="H78">
        <f>IF($G78="","",IF(Sync!$X75="","",Sync!$X75))</f>
        <v/>
      </c>
      <c r="I78">
        <f>IF($G78="","",IFERROR(VLOOKUP(Sync!$X75,OpTbl,3,0),""))</f>
        <v/>
      </c>
      <c r="J78">
        <f>IF(OR($G78="",Sync!$Z75=""),"",Sync!$Z75)</f>
        <v/>
      </c>
      <c r="K78">
        <f>IF(OR($G78="",Sync!$AA75=""),"",Sync!$AA75)</f>
        <v/>
      </c>
      <c r="L78">
        <f>IF($G78="",0,IF(Sync!$AB75="",0,Sync!$AB75))</f>
        <v/>
      </c>
      <c r="M78">
        <f>IF($G78="",0,IF(Sync!$AC75="",0,Sync!$AC75))</f>
        <v/>
      </c>
      <c r="N78">
        <f>IF($G78="","",IF($H78="مرجوعی خرید",-1,1)*($L78-$M78*IFERROR(VLOOKUP("P01",ParamTbl,3,0),1.5))*(1-IF($I78="خرید",IFERROR(VLOOKUP("P02",ParamTbl,3,0),1),0)/100))</f>
        <v/>
      </c>
      <c r="O78">
        <f>IF($G78="",0,IF($H78="مرجوعی خرید",-1,1)*IF(Sync!$AD75="",0,Sync!$AD75))</f>
        <v/>
      </c>
      <c r="P78">
        <f>IF(OR($G78="",Sync!$W75=""),"",Sync!$W75)</f>
        <v/>
      </c>
      <c r="Q78">
        <f>IF(OR($G78="",Sync!$AE75=""),"",Sync!$AE75)</f>
        <v/>
      </c>
      <c r="R78">
        <f>IF($G78="","",IF(Sync!$V75="","0000",IF(AND(ISNUMBER(Sync!$V75),Sync!$V75&gt;=0,Sync!$V75&lt;1),RIGHT("00"&amp;HOUR(Sync!$V75),2)&amp;RIGHT("00"&amp;MINUTE(Sync!$V75),2),IFERROR(RIGHT("00"&amp;VALUE(LEFT(Sync!$V75,FIND(":",Sync!$V75)-1)),2)&amp;RIGHT("00"&amp;VALUE(MID(Sync!$V75,FIND(":",Sync!$V75)+1,2)),2),"0000"))))</f>
        <v/>
      </c>
    </row>
    <row r="79">
      <c r="A79">
        <f>IF(Sync!$U76="","",Sync!$U76)</f>
        <v/>
      </c>
      <c r="B79">
        <f>IF($A79="","",IF(ISNUMBER($A79),IF(AND($A79&gt;=10000101,$A79&lt;=99991231),INT($A79/10000),""),IFERROR(VALUE(TRIM(LEFT($A79,FIND("/",$A79)-1))),"")))</f>
        <v/>
      </c>
      <c r="C79">
        <f>IF(OR($A79="",$B79=""),"",IF(ISNUMBER($A79),INT(MOD($A79,10000)/100),IFERROR(VALUE(TRIM(LEFT(MID($A79,FIND("/",$A79)+1,20),FIND("/",MID($A79,FIND("/",$A79)+1,20))-1))),"")))</f>
        <v/>
      </c>
      <c r="D79">
        <f>IF(OR($A79="",$B79=""),"",IF(ISNUMBER($A79),MOD($A79,100),IFERROR(VALUE(TRIM(MID(MID($A79,FIND("/",$A79)+1,20),FIND("/",MID($A79,FIND("/",$A79)+1,20))+1,20))),"")))</f>
        <v/>
      </c>
      <c r="E79">
        <f>IF($A79="","",IF(OR($B79="",$C79="",$D79="",$B79&lt;1300,$B79&gt;1500,$C79&lt;1,$C79&gt;12,$D79&lt;1,$D79&gt;31),"نامعتبر",RIGHT("0000"&amp;$B79,4)&amp;"/"&amp;RIGHT("00"&amp;$C79,2)&amp;"/"&amp;RIGHT("00"&amp;$D79,2)))</f>
        <v/>
      </c>
      <c r="F79">
        <f>IF(OR($E79="",$E79="نامعتبر"),"",LEFT($E79,4)&amp;"/"&amp;MID($E79,6,2))</f>
        <v/>
      </c>
      <c r="G79">
        <f>IF(OR($E79="",$E79="نامعتبر",Sync!$Y76=""),"",Sync!$Y76)</f>
        <v/>
      </c>
      <c r="H79">
        <f>IF($G79="","",IF(Sync!$X76="","",Sync!$X76))</f>
        <v/>
      </c>
      <c r="I79">
        <f>IF($G79="","",IFERROR(VLOOKUP(Sync!$X76,OpTbl,3,0),""))</f>
        <v/>
      </c>
      <c r="J79">
        <f>IF(OR($G79="",Sync!$Z76=""),"",Sync!$Z76)</f>
        <v/>
      </c>
      <c r="K79">
        <f>IF(OR($G79="",Sync!$AA76=""),"",Sync!$AA76)</f>
        <v/>
      </c>
      <c r="L79">
        <f>IF($G79="",0,IF(Sync!$AB76="",0,Sync!$AB76))</f>
        <v/>
      </c>
      <c r="M79">
        <f>IF($G79="",0,IF(Sync!$AC76="",0,Sync!$AC76))</f>
        <v/>
      </c>
      <c r="N79">
        <f>IF($G79="","",IF($H79="مرجوعی خرید",-1,1)*($L79-$M79*IFERROR(VLOOKUP("P01",ParamTbl,3,0),1.5))*(1-IF($I79="خرید",IFERROR(VLOOKUP("P02",ParamTbl,3,0),1),0)/100))</f>
        <v/>
      </c>
      <c r="O79">
        <f>IF($G79="",0,IF($H79="مرجوعی خرید",-1,1)*IF(Sync!$AD76="",0,Sync!$AD76))</f>
        <v/>
      </c>
      <c r="P79">
        <f>IF(OR($G79="",Sync!$W76=""),"",Sync!$W76)</f>
        <v/>
      </c>
      <c r="Q79">
        <f>IF(OR($G79="",Sync!$AE76=""),"",Sync!$AE76)</f>
        <v/>
      </c>
      <c r="R79">
        <f>IF($G79="","",IF(Sync!$V76="","0000",IF(AND(ISNUMBER(Sync!$V76),Sync!$V76&gt;=0,Sync!$V76&lt;1),RIGHT("00"&amp;HOUR(Sync!$V76),2)&amp;RIGHT("00"&amp;MINUTE(Sync!$V76),2),IFERROR(RIGHT("00"&amp;VALUE(LEFT(Sync!$V76,FIND(":",Sync!$V76)-1)),2)&amp;RIGHT("00"&amp;VALUE(MID(Sync!$V76,FIND(":",Sync!$V76)+1,2)),2),"0000"))))</f>
        <v/>
      </c>
    </row>
    <row r="80">
      <c r="A80">
        <f>IF(Sync!$U77="","",Sync!$U77)</f>
        <v/>
      </c>
      <c r="B80">
        <f>IF($A80="","",IF(ISNUMBER($A80),IF(AND($A80&gt;=10000101,$A80&lt;=99991231),INT($A80/10000),""),IFERROR(VALUE(TRIM(LEFT($A80,FIND("/",$A80)-1))),"")))</f>
        <v/>
      </c>
      <c r="C80">
        <f>IF(OR($A80="",$B80=""),"",IF(ISNUMBER($A80),INT(MOD($A80,10000)/100),IFERROR(VALUE(TRIM(LEFT(MID($A80,FIND("/",$A80)+1,20),FIND("/",MID($A80,FIND("/",$A80)+1,20))-1))),"")))</f>
        <v/>
      </c>
      <c r="D80">
        <f>IF(OR($A80="",$B80=""),"",IF(ISNUMBER($A80),MOD($A80,100),IFERROR(VALUE(TRIM(MID(MID($A80,FIND("/",$A80)+1,20),FIND("/",MID($A80,FIND("/",$A80)+1,20))+1,20))),"")))</f>
        <v/>
      </c>
      <c r="E80">
        <f>IF($A80="","",IF(OR($B80="",$C80="",$D80="",$B80&lt;1300,$B80&gt;1500,$C80&lt;1,$C80&gt;12,$D80&lt;1,$D80&gt;31),"نامعتبر",RIGHT("0000"&amp;$B80,4)&amp;"/"&amp;RIGHT("00"&amp;$C80,2)&amp;"/"&amp;RIGHT("00"&amp;$D80,2)))</f>
        <v/>
      </c>
      <c r="F80">
        <f>IF(OR($E80="",$E80="نامعتبر"),"",LEFT($E80,4)&amp;"/"&amp;MID($E80,6,2))</f>
        <v/>
      </c>
      <c r="G80">
        <f>IF(OR($E80="",$E80="نامعتبر",Sync!$Y77=""),"",Sync!$Y77)</f>
        <v/>
      </c>
      <c r="H80">
        <f>IF($G80="","",IF(Sync!$X77="","",Sync!$X77))</f>
        <v/>
      </c>
      <c r="I80">
        <f>IF($G80="","",IFERROR(VLOOKUP(Sync!$X77,OpTbl,3,0),""))</f>
        <v/>
      </c>
      <c r="J80">
        <f>IF(OR($G80="",Sync!$Z77=""),"",Sync!$Z77)</f>
        <v/>
      </c>
      <c r="K80">
        <f>IF(OR($G80="",Sync!$AA77=""),"",Sync!$AA77)</f>
        <v/>
      </c>
      <c r="L80">
        <f>IF($G80="",0,IF(Sync!$AB77="",0,Sync!$AB77))</f>
        <v/>
      </c>
      <c r="M80">
        <f>IF($G80="",0,IF(Sync!$AC77="",0,Sync!$AC77))</f>
        <v/>
      </c>
      <c r="N80">
        <f>IF($G80="","",IF($H80="مرجوعی خرید",-1,1)*($L80-$M80*IFERROR(VLOOKUP("P01",ParamTbl,3,0),1.5))*(1-IF($I80="خرید",IFERROR(VLOOKUP("P02",ParamTbl,3,0),1),0)/100))</f>
        <v/>
      </c>
      <c r="O80">
        <f>IF($G80="",0,IF($H80="مرجوعی خرید",-1,1)*IF(Sync!$AD77="",0,Sync!$AD77))</f>
        <v/>
      </c>
      <c r="P80">
        <f>IF(OR($G80="",Sync!$W77=""),"",Sync!$W77)</f>
        <v/>
      </c>
      <c r="Q80">
        <f>IF(OR($G80="",Sync!$AE77=""),"",Sync!$AE77)</f>
        <v/>
      </c>
      <c r="R80">
        <f>IF($G80="","",IF(Sync!$V77="","0000",IF(AND(ISNUMBER(Sync!$V77),Sync!$V77&gt;=0,Sync!$V77&lt;1),RIGHT("00"&amp;HOUR(Sync!$V77),2)&amp;RIGHT("00"&amp;MINUTE(Sync!$V77),2),IFERROR(RIGHT("00"&amp;VALUE(LEFT(Sync!$V77,FIND(":",Sync!$V77)-1)),2)&amp;RIGHT("00"&amp;VALUE(MID(Sync!$V77,FIND(":",Sync!$V77)+1,2)),2),"0000"))))</f>
        <v/>
      </c>
    </row>
    <row r="81">
      <c r="A81">
        <f>IF(Sync!$U78="","",Sync!$U78)</f>
        <v/>
      </c>
      <c r="B81">
        <f>IF($A81="","",IF(ISNUMBER($A81),IF(AND($A81&gt;=10000101,$A81&lt;=99991231),INT($A81/10000),""),IFERROR(VALUE(TRIM(LEFT($A81,FIND("/",$A81)-1))),"")))</f>
        <v/>
      </c>
      <c r="C81">
        <f>IF(OR($A81="",$B81=""),"",IF(ISNUMBER($A81),INT(MOD($A81,10000)/100),IFERROR(VALUE(TRIM(LEFT(MID($A81,FIND("/",$A81)+1,20),FIND("/",MID($A81,FIND("/",$A81)+1,20))-1))),"")))</f>
        <v/>
      </c>
      <c r="D81">
        <f>IF(OR($A81="",$B81=""),"",IF(ISNUMBER($A81),MOD($A81,100),IFERROR(VALUE(TRIM(MID(MID($A81,FIND("/",$A81)+1,20),FIND("/",MID($A81,FIND("/",$A81)+1,20))+1,20))),"")))</f>
        <v/>
      </c>
      <c r="E81">
        <f>IF($A81="","",IF(OR($B81="",$C81="",$D81="",$B81&lt;1300,$B81&gt;1500,$C81&lt;1,$C81&gt;12,$D81&lt;1,$D81&gt;31),"نامعتبر",RIGHT("0000"&amp;$B81,4)&amp;"/"&amp;RIGHT("00"&amp;$C81,2)&amp;"/"&amp;RIGHT("00"&amp;$D81,2)))</f>
        <v/>
      </c>
      <c r="F81">
        <f>IF(OR($E81="",$E81="نامعتبر"),"",LEFT($E81,4)&amp;"/"&amp;MID($E81,6,2))</f>
        <v/>
      </c>
      <c r="G81">
        <f>IF(OR($E81="",$E81="نامعتبر",Sync!$Y78=""),"",Sync!$Y78)</f>
        <v/>
      </c>
      <c r="H81">
        <f>IF($G81="","",IF(Sync!$X78="","",Sync!$X78))</f>
        <v/>
      </c>
      <c r="I81">
        <f>IF($G81="","",IFERROR(VLOOKUP(Sync!$X78,OpTbl,3,0),""))</f>
        <v/>
      </c>
      <c r="J81">
        <f>IF(OR($G81="",Sync!$Z78=""),"",Sync!$Z78)</f>
        <v/>
      </c>
      <c r="K81">
        <f>IF(OR($G81="",Sync!$AA78=""),"",Sync!$AA78)</f>
        <v/>
      </c>
      <c r="L81">
        <f>IF($G81="",0,IF(Sync!$AB78="",0,Sync!$AB78))</f>
        <v/>
      </c>
      <c r="M81">
        <f>IF($G81="",0,IF(Sync!$AC78="",0,Sync!$AC78))</f>
        <v/>
      </c>
      <c r="N81">
        <f>IF($G81="","",IF($H81="مرجوعی خرید",-1,1)*($L81-$M81*IFERROR(VLOOKUP("P01",ParamTbl,3,0),1.5))*(1-IF($I81="خرید",IFERROR(VLOOKUP("P02",ParamTbl,3,0),1),0)/100))</f>
        <v/>
      </c>
      <c r="O81">
        <f>IF($G81="",0,IF($H81="مرجوعی خرید",-1,1)*IF(Sync!$AD78="",0,Sync!$AD78))</f>
        <v/>
      </c>
      <c r="P81">
        <f>IF(OR($G81="",Sync!$W78=""),"",Sync!$W78)</f>
        <v/>
      </c>
      <c r="Q81">
        <f>IF(OR($G81="",Sync!$AE78=""),"",Sync!$AE78)</f>
        <v/>
      </c>
      <c r="R81">
        <f>IF($G81="","",IF(Sync!$V78="","0000",IF(AND(ISNUMBER(Sync!$V78),Sync!$V78&gt;=0,Sync!$V78&lt;1),RIGHT("00"&amp;HOUR(Sync!$V78),2)&amp;RIGHT("00"&amp;MINUTE(Sync!$V78),2),IFERROR(RIGHT("00"&amp;VALUE(LEFT(Sync!$V78,FIND(":",Sync!$V78)-1)),2)&amp;RIGHT("00"&amp;VALUE(MID(Sync!$V78,FIND(":",Sync!$V78)+1,2)),2),"0000"))))</f>
        <v/>
      </c>
    </row>
    <row r="82">
      <c r="A82">
        <f>IF(Sync!$U79="","",Sync!$U79)</f>
        <v/>
      </c>
      <c r="B82">
        <f>IF($A82="","",IF(ISNUMBER($A82),IF(AND($A82&gt;=10000101,$A82&lt;=99991231),INT($A82/10000),""),IFERROR(VALUE(TRIM(LEFT($A82,FIND("/",$A82)-1))),"")))</f>
        <v/>
      </c>
      <c r="C82">
        <f>IF(OR($A82="",$B82=""),"",IF(ISNUMBER($A82),INT(MOD($A82,10000)/100),IFERROR(VALUE(TRIM(LEFT(MID($A82,FIND("/",$A82)+1,20),FIND("/",MID($A82,FIND("/",$A82)+1,20))-1))),"")))</f>
        <v/>
      </c>
      <c r="D82">
        <f>IF(OR($A82="",$B82=""),"",IF(ISNUMBER($A82),MOD($A82,100),IFERROR(VALUE(TRIM(MID(MID($A82,FIND("/",$A82)+1,20),FIND("/",MID($A82,FIND("/",$A82)+1,20))+1,20))),"")))</f>
        <v/>
      </c>
      <c r="E82">
        <f>IF($A82="","",IF(OR($B82="",$C82="",$D82="",$B82&lt;1300,$B82&gt;1500,$C82&lt;1,$C82&gt;12,$D82&lt;1,$D82&gt;31),"نامعتبر",RIGHT("0000"&amp;$B82,4)&amp;"/"&amp;RIGHT("00"&amp;$C82,2)&amp;"/"&amp;RIGHT("00"&amp;$D82,2)))</f>
        <v/>
      </c>
      <c r="F82">
        <f>IF(OR($E82="",$E82="نامعتبر"),"",LEFT($E82,4)&amp;"/"&amp;MID($E82,6,2))</f>
        <v/>
      </c>
      <c r="G82">
        <f>IF(OR($E82="",$E82="نامعتبر",Sync!$Y79=""),"",Sync!$Y79)</f>
        <v/>
      </c>
      <c r="H82">
        <f>IF($G82="","",IF(Sync!$X79="","",Sync!$X79))</f>
        <v/>
      </c>
      <c r="I82">
        <f>IF($G82="","",IFERROR(VLOOKUP(Sync!$X79,OpTbl,3,0),""))</f>
        <v/>
      </c>
      <c r="J82">
        <f>IF(OR($G82="",Sync!$Z79=""),"",Sync!$Z79)</f>
        <v/>
      </c>
      <c r="K82">
        <f>IF(OR($G82="",Sync!$AA79=""),"",Sync!$AA79)</f>
        <v/>
      </c>
      <c r="L82">
        <f>IF($G82="",0,IF(Sync!$AB79="",0,Sync!$AB79))</f>
        <v/>
      </c>
      <c r="M82">
        <f>IF($G82="",0,IF(Sync!$AC79="",0,Sync!$AC79))</f>
        <v/>
      </c>
      <c r="N82">
        <f>IF($G82="","",IF($H82="مرجوعی خرید",-1,1)*($L82-$M82*IFERROR(VLOOKUP("P01",ParamTbl,3,0),1.5))*(1-IF($I82="خرید",IFERROR(VLOOKUP("P02",ParamTbl,3,0),1),0)/100))</f>
        <v/>
      </c>
      <c r="O82">
        <f>IF($G82="",0,IF($H82="مرجوعی خرید",-1,1)*IF(Sync!$AD79="",0,Sync!$AD79))</f>
        <v/>
      </c>
      <c r="P82">
        <f>IF(OR($G82="",Sync!$W79=""),"",Sync!$W79)</f>
        <v/>
      </c>
      <c r="Q82">
        <f>IF(OR($G82="",Sync!$AE79=""),"",Sync!$AE79)</f>
        <v/>
      </c>
      <c r="R82">
        <f>IF($G82="","",IF(Sync!$V79="","0000",IF(AND(ISNUMBER(Sync!$V79),Sync!$V79&gt;=0,Sync!$V79&lt;1),RIGHT("00"&amp;HOUR(Sync!$V79),2)&amp;RIGHT("00"&amp;MINUTE(Sync!$V79),2),IFERROR(RIGHT("00"&amp;VALUE(LEFT(Sync!$V79,FIND(":",Sync!$V79)-1)),2)&amp;RIGHT("00"&amp;VALUE(MID(Sync!$V79,FIND(":",Sync!$V79)+1,2)),2),"0000"))))</f>
        <v/>
      </c>
    </row>
    <row r="83">
      <c r="A83">
        <f>IF(Sync!$U80="","",Sync!$U80)</f>
        <v/>
      </c>
      <c r="B83">
        <f>IF($A83="","",IF(ISNUMBER($A83),IF(AND($A83&gt;=10000101,$A83&lt;=99991231),INT($A83/10000),""),IFERROR(VALUE(TRIM(LEFT($A83,FIND("/",$A83)-1))),"")))</f>
        <v/>
      </c>
      <c r="C83">
        <f>IF(OR($A83="",$B83=""),"",IF(ISNUMBER($A83),INT(MOD($A83,10000)/100),IFERROR(VALUE(TRIM(LEFT(MID($A83,FIND("/",$A83)+1,20),FIND("/",MID($A83,FIND("/",$A83)+1,20))-1))),"")))</f>
        <v/>
      </c>
      <c r="D83">
        <f>IF(OR($A83="",$B83=""),"",IF(ISNUMBER($A83),MOD($A83,100),IFERROR(VALUE(TRIM(MID(MID($A83,FIND("/",$A83)+1,20),FIND("/",MID($A83,FIND("/",$A83)+1,20))+1,20))),"")))</f>
        <v/>
      </c>
      <c r="E83">
        <f>IF($A83="","",IF(OR($B83="",$C83="",$D83="",$B83&lt;1300,$B83&gt;1500,$C83&lt;1,$C83&gt;12,$D83&lt;1,$D83&gt;31),"نامعتبر",RIGHT("0000"&amp;$B83,4)&amp;"/"&amp;RIGHT("00"&amp;$C83,2)&amp;"/"&amp;RIGHT("00"&amp;$D83,2)))</f>
        <v/>
      </c>
      <c r="F83">
        <f>IF(OR($E83="",$E83="نامعتبر"),"",LEFT($E83,4)&amp;"/"&amp;MID($E83,6,2))</f>
        <v/>
      </c>
      <c r="G83">
        <f>IF(OR($E83="",$E83="نامعتبر",Sync!$Y80=""),"",Sync!$Y80)</f>
        <v/>
      </c>
      <c r="H83">
        <f>IF($G83="","",IF(Sync!$X80="","",Sync!$X80))</f>
        <v/>
      </c>
      <c r="I83">
        <f>IF($G83="","",IFERROR(VLOOKUP(Sync!$X80,OpTbl,3,0),""))</f>
        <v/>
      </c>
      <c r="J83">
        <f>IF(OR($G83="",Sync!$Z80=""),"",Sync!$Z80)</f>
        <v/>
      </c>
      <c r="K83">
        <f>IF(OR($G83="",Sync!$AA80=""),"",Sync!$AA80)</f>
        <v/>
      </c>
      <c r="L83">
        <f>IF($G83="",0,IF(Sync!$AB80="",0,Sync!$AB80))</f>
        <v/>
      </c>
      <c r="M83">
        <f>IF($G83="",0,IF(Sync!$AC80="",0,Sync!$AC80))</f>
        <v/>
      </c>
      <c r="N83">
        <f>IF($G83="","",IF($H83="مرجوعی خرید",-1,1)*($L83-$M83*IFERROR(VLOOKUP("P01",ParamTbl,3,0),1.5))*(1-IF($I83="خرید",IFERROR(VLOOKUP("P02",ParamTbl,3,0),1),0)/100))</f>
        <v/>
      </c>
      <c r="O83">
        <f>IF($G83="",0,IF($H83="مرجوعی خرید",-1,1)*IF(Sync!$AD80="",0,Sync!$AD80))</f>
        <v/>
      </c>
      <c r="P83">
        <f>IF(OR($G83="",Sync!$W80=""),"",Sync!$W80)</f>
        <v/>
      </c>
      <c r="Q83">
        <f>IF(OR($G83="",Sync!$AE80=""),"",Sync!$AE80)</f>
        <v/>
      </c>
      <c r="R83">
        <f>IF($G83="","",IF(Sync!$V80="","0000",IF(AND(ISNUMBER(Sync!$V80),Sync!$V80&gt;=0,Sync!$V80&lt;1),RIGHT("00"&amp;HOUR(Sync!$V80),2)&amp;RIGHT("00"&amp;MINUTE(Sync!$V80),2),IFERROR(RIGHT("00"&amp;VALUE(LEFT(Sync!$V80,FIND(":",Sync!$V80)-1)),2)&amp;RIGHT("00"&amp;VALUE(MID(Sync!$V80,FIND(":",Sync!$V80)+1,2)),2),"0000"))))</f>
        <v/>
      </c>
    </row>
    <row r="84">
      <c r="A84">
        <f>IF(Sync!$U81="","",Sync!$U81)</f>
        <v/>
      </c>
      <c r="B84">
        <f>IF($A84="","",IF(ISNUMBER($A84),IF(AND($A84&gt;=10000101,$A84&lt;=99991231),INT($A84/10000),""),IFERROR(VALUE(TRIM(LEFT($A84,FIND("/",$A84)-1))),"")))</f>
        <v/>
      </c>
      <c r="C84">
        <f>IF(OR($A84="",$B84=""),"",IF(ISNUMBER($A84),INT(MOD($A84,10000)/100),IFERROR(VALUE(TRIM(LEFT(MID($A84,FIND("/",$A84)+1,20),FIND("/",MID($A84,FIND("/",$A84)+1,20))-1))),"")))</f>
        <v/>
      </c>
      <c r="D84">
        <f>IF(OR($A84="",$B84=""),"",IF(ISNUMBER($A84),MOD($A84,100),IFERROR(VALUE(TRIM(MID(MID($A84,FIND("/",$A84)+1,20),FIND("/",MID($A84,FIND("/",$A84)+1,20))+1,20))),"")))</f>
        <v/>
      </c>
      <c r="E84">
        <f>IF($A84="","",IF(OR($B84="",$C84="",$D84="",$B84&lt;1300,$B84&gt;1500,$C84&lt;1,$C84&gt;12,$D84&lt;1,$D84&gt;31),"نامعتبر",RIGHT("0000"&amp;$B84,4)&amp;"/"&amp;RIGHT("00"&amp;$C84,2)&amp;"/"&amp;RIGHT("00"&amp;$D84,2)))</f>
        <v/>
      </c>
      <c r="F84">
        <f>IF(OR($E84="",$E84="نامعتبر"),"",LEFT($E84,4)&amp;"/"&amp;MID($E84,6,2))</f>
        <v/>
      </c>
      <c r="G84">
        <f>IF(OR($E84="",$E84="نامعتبر",Sync!$Y81=""),"",Sync!$Y81)</f>
        <v/>
      </c>
      <c r="H84">
        <f>IF($G84="","",IF(Sync!$X81="","",Sync!$X81))</f>
        <v/>
      </c>
      <c r="I84">
        <f>IF($G84="","",IFERROR(VLOOKUP(Sync!$X81,OpTbl,3,0),""))</f>
        <v/>
      </c>
      <c r="J84">
        <f>IF(OR($G84="",Sync!$Z81=""),"",Sync!$Z81)</f>
        <v/>
      </c>
      <c r="K84">
        <f>IF(OR($G84="",Sync!$AA81=""),"",Sync!$AA81)</f>
        <v/>
      </c>
      <c r="L84">
        <f>IF($G84="",0,IF(Sync!$AB81="",0,Sync!$AB81))</f>
        <v/>
      </c>
      <c r="M84">
        <f>IF($G84="",0,IF(Sync!$AC81="",0,Sync!$AC81))</f>
        <v/>
      </c>
      <c r="N84">
        <f>IF($G84="","",IF($H84="مرجوعی خرید",-1,1)*($L84-$M84*IFERROR(VLOOKUP("P01",ParamTbl,3,0),1.5))*(1-IF($I84="خرید",IFERROR(VLOOKUP("P02",ParamTbl,3,0),1),0)/100))</f>
        <v/>
      </c>
      <c r="O84">
        <f>IF($G84="",0,IF($H84="مرجوعی خرید",-1,1)*IF(Sync!$AD81="",0,Sync!$AD81))</f>
        <v/>
      </c>
      <c r="P84">
        <f>IF(OR($G84="",Sync!$W81=""),"",Sync!$W81)</f>
        <v/>
      </c>
      <c r="Q84">
        <f>IF(OR($G84="",Sync!$AE81=""),"",Sync!$AE81)</f>
        <v/>
      </c>
      <c r="R84">
        <f>IF($G84="","",IF(Sync!$V81="","0000",IF(AND(ISNUMBER(Sync!$V81),Sync!$V81&gt;=0,Sync!$V81&lt;1),RIGHT("00"&amp;HOUR(Sync!$V81),2)&amp;RIGHT("00"&amp;MINUTE(Sync!$V81),2),IFERROR(RIGHT("00"&amp;VALUE(LEFT(Sync!$V81,FIND(":",Sync!$V81)-1)),2)&amp;RIGHT("00"&amp;VALUE(MID(Sync!$V81,FIND(":",Sync!$V81)+1,2)),2),"0000"))))</f>
        <v/>
      </c>
    </row>
    <row r="85">
      <c r="A85">
        <f>IF(Sync!$U82="","",Sync!$U82)</f>
        <v/>
      </c>
      <c r="B85">
        <f>IF($A85="","",IF(ISNUMBER($A85),IF(AND($A85&gt;=10000101,$A85&lt;=99991231),INT($A85/10000),""),IFERROR(VALUE(TRIM(LEFT($A85,FIND("/",$A85)-1))),"")))</f>
        <v/>
      </c>
      <c r="C85">
        <f>IF(OR($A85="",$B85=""),"",IF(ISNUMBER($A85),INT(MOD($A85,10000)/100),IFERROR(VALUE(TRIM(LEFT(MID($A85,FIND("/",$A85)+1,20),FIND("/",MID($A85,FIND("/",$A85)+1,20))-1))),"")))</f>
        <v/>
      </c>
      <c r="D85">
        <f>IF(OR($A85="",$B85=""),"",IF(ISNUMBER($A85),MOD($A85,100),IFERROR(VALUE(TRIM(MID(MID($A85,FIND("/",$A85)+1,20),FIND("/",MID($A85,FIND("/",$A85)+1,20))+1,20))),"")))</f>
        <v/>
      </c>
      <c r="E85">
        <f>IF($A85="","",IF(OR($B85="",$C85="",$D85="",$B85&lt;1300,$B85&gt;1500,$C85&lt;1,$C85&gt;12,$D85&lt;1,$D85&gt;31),"نامعتبر",RIGHT("0000"&amp;$B85,4)&amp;"/"&amp;RIGHT("00"&amp;$C85,2)&amp;"/"&amp;RIGHT("00"&amp;$D85,2)))</f>
        <v/>
      </c>
      <c r="F85">
        <f>IF(OR($E85="",$E85="نامعتبر"),"",LEFT($E85,4)&amp;"/"&amp;MID($E85,6,2))</f>
        <v/>
      </c>
      <c r="G85">
        <f>IF(OR($E85="",$E85="نامعتبر",Sync!$Y82=""),"",Sync!$Y82)</f>
        <v/>
      </c>
      <c r="H85">
        <f>IF($G85="","",IF(Sync!$X82="","",Sync!$X82))</f>
        <v/>
      </c>
      <c r="I85">
        <f>IF($G85="","",IFERROR(VLOOKUP(Sync!$X82,OpTbl,3,0),""))</f>
        <v/>
      </c>
      <c r="J85">
        <f>IF(OR($G85="",Sync!$Z82=""),"",Sync!$Z82)</f>
        <v/>
      </c>
      <c r="K85">
        <f>IF(OR($G85="",Sync!$AA82=""),"",Sync!$AA82)</f>
        <v/>
      </c>
      <c r="L85">
        <f>IF($G85="",0,IF(Sync!$AB82="",0,Sync!$AB82))</f>
        <v/>
      </c>
      <c r="M85">
        <f>IF($G85="",0,IF(Sync!$AC82="",0,Sync!$AC82))</f>
        <v/>
      </c>
      <c r="N85">
        <f>IF($G85="","",IF($H85="مرجوعی خرید",-1,1)*($L85-$M85*IFERROR(VLOOKUP("P01",ParamTbl,3,0),1.5))*(1-IF($I85="خرید",IFERROR(VLOOKUP("P02",ParamTbl,3,0),1),0)/100))</f>
        <v/>
      </c>
      <c r="O85">
        <f>IF($G85="",0,IF($H85="مرجوعی خرید",-1,1)*IF(Sync!$AD82="",0,Sync!$AD82))</f>
        <v/>
      </c>
      <c r="P85">
        <f>IF(OR($G85="",Sync!$W82=""),"",Sync!$W82)</f>
        <v/>
      </c>
      <c r="Q85">
        <f>IF(OR($G85="",Sync!$AE82=""),"",Sync!$AE82)</f>
        <v/>
      </c>
      <c r="R85">
        <f>IF($G85="","",IF(Sync!$V82="","0000",IF(AND(ISNUMBER(Sync!$V82),Sync!$V82&gt;=0,Sync!$V82&lt;1),RIGHT("00"&amp;HOUR(Sync!$V82),2)&amp;RIGHT("00"&amp;MINUTE(Sync!$V82),2),IFERROR(RIGHT("00"&amp;VALUE(LEFT(Sync!$V82,FIND(":",Sync!$V82)-1)),2)&amp;RIGHT("00"&amp;VALUE(MID(Sync!$V82,FIND(":",Sync!$V82)+1,2)),2),"0000"))))</f>
        <v/>
      </c>
    </row>
    <row r="86">
      <c r="A86">
        <f>IF(Sync!$U83="","",Sync!$U83)</f>
        <v/>
      </c>
      <c r="B86">
        <f>IF($A86="","",IF(ISNUMBER($A86),IF(AND($A86&gt;=10000101,$A86&lt;=99991231),INT($A86/10000),""),IFERROR(VALUE(TRIM(LEFT($A86,FIND("/",$A86)-1))),"")))</f>
        <v/>
      </c>
      <c r="C86">
        <f>IF(OR($A86="",$B86=""),"",IF(ISNUMBER($A86),INT(MOD($A86,10000)/100),IFERROR(VALUE(TRIM(LEFT(MID($A86,FIND("/",$A86)+1,20),FIND("/",MID($A86,FIND("/",$A86)+1,20))-1))),"")))</f>
        <v/>
      </c>
      <c r="D86">
        <f>IF(OR($A86="",$B86=""),"",IF(ISNUMBER($A86),MOD($A86,100),IFERROR(VALUE(TRIM(MID(MID($A86,FIND("/",$A86)+1,20),FIND("/",MID($A86,FIND("/",$A86)+1,20))+1,20))),"")))</f>
        <v/>
      </c>
      <c r="E86">
        <f>IF($A86="","",IF(OR($B86="",$C86="",$D86="",$B86&lt;1300,$B86&gt;1500,$C86&lt;1,$C86&gt;12,$D86&lt;1,$D86&gt;31),"نامعتبر",RIGHT("0000"&amp;$B86,4)&amp;"/"&amp;RIGHT("00"&amp;$C86,2)&amp;"/"&amp;RIGHT("00"&amp;$D86,2)))</f>
        <v/>
      </c>
      <c r="F86">
        <f>IF(OR($E86="",$E86="نامعتبر"),"",LEFT($E86,4)&amp;"/"&amp;MID($E86,6,2))</f>
        <v/>
      </c>
      <c r="G86">
        <f>IF(OR($E86="",$E86="نامعتبر",Sync!$Y83=""),"",Sync!$Y83)</f>
        <v/>
      </c>
      <c r="H86">
        <f>IF($G86="","",IF(Sync!$X83="","",Sync!$X83))</f>
        <v/>
      </c>
      <c r="I86">
        <f>IF($G86="","",IFERROR(VLOOKUP(Sync!$X83,OpTbl,3,0),""))</f>
        <v/>
      </c>
      <c r="J86">
        <f>IF(OR($G86="",Sync!$Z83=""),"",Sync!$Z83)</f>
        <v/>
      </c>
      <c r="K86">
        <f>IF(OR($G86="",Sync!$AA83=""),"",Sync!$AA83)</f>
        <v/>
      </c>
      <c r="L86">
        <f>IF($G86="",0,IF(Sync!$AB83="",0,Sync!$AB83))</f>
        <v/>
      </c>
      <c r="M86">
        <f>IF($G86="",0,IF(Sync!$AC83="",0,Sync!$AC83))</f>
        <v/>
      </c>
      <c r="N86">
        <f>IF($G86="","",IF($H86="مرجوعی خرید",-1,1)*($L86-$M86*IFERROR(VLOOKUP("P01",ParamTbl,3,0),1.5))*(1-IF($I86="خرید",IFERROR(VLOOKUP("P02",ParamTbl,3,0),1),0)/100))</f>
        <v/>
      </c>
      <c r="O86">
        <f>IF($G86="",0,IF($H86="مرجوعی خرید",-1,1)*IF(Sync!$AD83="",0,Sync!$AD83))</f>
        <v/>
      </c>
      <c r="P86">
        <f>IF(OR($G86="",Sync!$W83=""),"",Sync!$W83)</f>
        <v/>
      </c>
      <c r="Q86">
        <f>IF(OR($G86="",Sync!$AE83=""),"",Sync!$AE83)</f>
        <v/>
      </c>
      <c r="R86">
        <f>IF($G86="","",IF(Sync!$V83="","0000",IF(AND(ISNUMBER(Sync!$V83),Sync!$V83&gt;=0,Sync!$V83&lt;1),RIGHT("00"&amp;HOUR(Sync!$V83),2)&amp;RIGHT("00"&amp;MINUTE(Sync!$V83),2),IFERROR(RIGHT("00"&amp;VALUE(LEFT(Sync!$V83,FIND(":",Sync!$V83)-1)),2)&amp;RIGHT("00"&amp;VALUE(MID(Sync!$V83,FIND(":",Sync!$V83)+1,2)),2),"0000"))))</f>
        <v/>
      </c>
    </row>
    <row r="87">
      <c r="A87">
        <f>IF(Sync!$U84="","",Sync!$U84)</f>
        <v/>
      </c>
      <c r="B87">
        <f>IF($A87="","",IF(ISNUMBER($A87),IF(AND($A87&gt;=10000101,$A87&lt;=99991231),INT($A87/10000),""),IFERROR(VALUE(TRIM(LEFT($A87,FIND("/",$A87)-1))),"")))</f>
        <v/>
      </c>
      <c r="C87">
        <f>IF(OR($A87="",$B87=""),"",IF(ISNUMBER($A87),INT(MOD($A87,10000)/100),IFERROR(VALUE(TRIM(LEFT(MID($A87,FIND("/",$A87)+1,20),FIND("/",MID($A87,FIND("/",$A87)+1,20))-1))),"")))</f>
        <v/>
      </c>
      <c r="D87">
        <f>IF(OR($A87="",$B87=""),"",IF(ISNUMBER($A87),MOD($A87,100),IFERROR(VALUE(TRIM(MID(MID($A87,FIND("/",$A87)+1,20),FIND("/",MID($A87,FIND("/",$A87)+1,20))+1,20))),"")))</f>
        <v/>
      </c>
      <c r="E87">
        <f>IF($A87="","",IF(OR($B87="",$C87="",$D87="",$B87&lt;1300,$B87&gt;1500,$C87&lt;1,$C87&gt;12,$D87&lt;1,$D87&gt;31),"نامعتبر",RIGHT("0000"&amp;$B87,4)&amp;"/"&amp;RIGHT("00"&amp;$C87,2)&amp;"/"&amp;RIGHT("00"&amp;$D87,2)))</f>
        <v/>
      </c>
      <c r="F87">
        <f>IF(OR($E87="",$E87="نامعتبر"),"",LEFT($E87,4)&amp;"/"&amp;MID($E87,6,2))</f>
        <v/>
      </c>
      <c r="G87">
        <f>IF(OR($E87="",$E87="نامعتبر",Sync!$Y84=""),"",Sync!$Y84)</f>
        <v/>
      </c>
      <c r="H87">
        <f>IF($G87="","",IF(Sync!$X84="","",Sync!$X84))</f>
        <v/>
      </c>
      <c r="I87">
        <f>IF($G87="","",IFERROR(VLOOKUP(Sync!$X84,OpTbl,3,0),""))</f>
        <v/>
      </c>
      <c r="J87">
        <f>IF(OR($G87="",Sync!$Z84=""),"",Sync!$Z84)</f>
        <v/>
      </c>
      <c r="K87">
        <f>IF(OR($G87="",Sync!$AA84=""),"",Sync!$AA84)</f>
        <v/>
      </c>
      <c r="L87">
        <f>IF($G87="",0,IF(Sync!$AB84="",0,Sync!$AB84))</f>
        <v/>
      </c>
      <c r="M87">
        <f>IF($G87="",0,IF(Sync!$AC84="",0,Sync!$AC84))</f>
        <v/>
      </c>
      <c r="N87">
        <f>IF($G87="","",IF($H87="مرجوعی خرید",-1,1)*($L87-$M87*IFERROR(VLOOKUP("P01",ParamTbl,3,0),1.5))*(1-IF($I87="خرید",IFERROR(VLOOKUP("P02",ParamTbl,3,0),1),0)/100))</f>
        <v/>
      </c>
      <c r="O87">
        <f>IF($G87="",0,IF($H87="مرجوعی خرید",-1,1)*IF(Sync!$AD84="",0,Sync!$AD84))</f>
        <v/>
      </c>
      <c r="P87">
        <f>IF(OR($G87="",Sync!$W84=""),"",Sync!$W84)</f>
        <v/>
      </c>
      <c r="Q87">
        <f>IF(OR($G87="",Sync!$AE84=""),"",Sync!$AE84)</f>
        <v/>
      </c>
      <c r="R87">
        <f>IF($G87="","",IF(Sync!$V84="","0000",IF(AND(ISNUMBER(Sync!$V84),Sync!$V84&gt;=0,Sync!$V84&lt;1),RIGHT("00"&amp;HOUR(Sync!$V84),2)&amp;RIGHT("00"&amp;MINUTE(Sync!$V84),2),IFERROR(RIGHT("00"&amp;VALUE(LEFT(Sync!$V84,FIND(":",Sync!$V84)-1)),2)&amp;RIGHT("00"&amp;VALUE(MID(Sync!$V84,FIND(":",Sync!$V84)+1,2)),2),"0000"))))</f>
        <v/>
      </c>
    </row>
    <row r="88">
      <c r="A88">
        <f>IF(Sync!$U85="","",Sync!$U85)</f>
        <v/>
      </c>
      <c r="B88">
        <f>IF($A88="","",IF(ISNUMBER($A88),IF(AND($A88&gt;=10000101,$A88&lt;=99991231),INT($A88/10000),""),IFERROR(VALUE(TRIM(LEFT($A88,FIND("/",$A88)-1))),"")))</f>
        <v/>
      </c>
      <c r="C88">
        <f>IF(OR($A88="",$B88=""),"",IF(ISNUMBER($A88),INT(MOD($A88,10000)/100),IFERROR(VALUE(TRIM(LEFT(MID($A88,FIND("/",$A88)+1,20),FIND("/",MID($A88,FIND("/",$A88)+1,20))-1))),"")))</f>
        <v/>
      </c>
      <c r="D88">
        <f>IF(OR($A88="",$B88=""),"",IF(ISNUMBER($A88),MOD($A88,100),IFERROR(VALUE(TRIM(MID(MID($A88,FIND("/",$A88)+1,20),FIND("/",MID($A88,FIND("/",$A88)+1,20))+1,20))),"")))</f>
        <v/>
      </c>
      <c r="E88">
        <f>IF($A88="","",IF(OR($B88="",$C88="",$D88="",$B88&lt;1300,$B88&gt;1500,$C88&lt;1,$C88&gt;12,$D88&lt;1,$D88&gt;31),"نامعتبر",RIGHT("0000"&amp;$B88,4)&amp;"/"&amp;RIGHT("00"&amp;$C88,2)&amp;"/"&amp;RIGHT("00"&amp;$D88,2)))</f>
        <v/>
      </c>
      <c r="F88">
        <f>IF(OR($E88="",$E88="نامعتبر"),"",LEFT($E88,4)&amp;"/"&amp;MID($E88,6,2))</f>
        <v/>
      </c>
      <c r="G88">
        <f>IF(OR($E88="",$E88="نامعتبر",Sync!$Y85=""),"",Sync!$Y85)</f>
        <v/>
      </c>
      <c r="H88">
        <f>IF($G88="","",IF(Sync!$X85="","",Sync!$X85))</f>
        <v/>
      </c>
      <c r="I88">
        <f>IF($G88="","",IFERROR(VLOOKUP(Sync!$X85,OpTbl,3,0),""))</f>
        <v/>
      </c>
      <c r="J88">
        <f>IF(OR($G88="",Sync!$Z85=""),"",Sync!$Z85)</f>
        <v/>
      </c>
      <c r="K88">
        <f>IF(OR($G88="",Sync!$AA85=""),"",Sync!$AA85)</f>
        <v/>
      </c>
      <c r="L88">
        <f>IF($G88="",0,IF(Sync!$AB85="",0,Sync!$AB85))</f>
        <v/>
      </c>
      <c r="M88">
        <f>IF($G88="",0,IF(Sync!$AC85="",0,Sync!$AC85))</f>
        <v/>
      </c>
      <c r="N88">
        <f>IF($G88="","",IF($H88="مرجوعی خرید",-1,1)*($L88-$M88*IFERROR(VLOOKUP("P01",ParamTbl,3,0),1.5))*(1-IF($I88="خرید",IFERROR(VLOOKUP("P02",ParamTbl,3,0),1),0)/100))</f>
        <v/>
      </c>
      <c r="O88">
        <f>IF($G88="",0,IF($H88="مرجوعی خرید",-1,1)*IF(Sync!$AD85="",0,Sync!$AD85))</f>
        <v/>
      </c>
      <c r="P88">
        <f>IF(OR($G88="",Sync!$W85=""),"",Sync!$W85)</f>
        <v/>
      </c>
      <c r="Q88">
        <f>IF(OR($G88="",Sync!$AE85=""),"",Sync!$AE85)</f>
        <v/>
      </c>
      <c r="R88">
        <f>IF($G88="","",IF(Sync!$V85="","0000",IF(AND(ISNUMBER(Sync!$V85),Sync!$V85&gt;=0,Sync!$V85&lt;1),RIGHT("00"&amp;HOUR(Sync!$V85),2)&amp;RIGHT("00"&amp;MINUTE(Sync!$V85),2),IFERROR(RIGHT("00"&amp;VALUE(LEFT(Sync!$V85,FIND(":",Sync!$V85)-1)),2)&amp;RIGHT("00"&amp;VALUE(MID(Sync!$V85,FIND(":",Sync!$V85)+1,2)),2),"0000"))))</f>
        <v/>
      </c>
    </row>
    <row r="89">
      <c r="A89">
        <f>IF(Sync!$U86="","",Sync!$U86)</f>
        <v/>
      </c>
      <c r="B89">
        <f>IF($A89="","",IF(ISNUMBER($A89),IF(AND($A89&gt;=10000101,$A89&lt;=99991231),INT($A89/10000),""),IFERROR(VALUE(TRIM(LEFT($A89,FIND("/",$A89)-1))),"")))</f>
        <v/>
      </c>
      <c r="C89">
        <f>IF(OR($A89="",$B89=""),"",IF(ISNUMBER($A89),INT(MOD($A89,10000)/100),IFERROR(VALUE(TRIM(LEFT(MID($A89,FIND("/",$A89)+1,20),FIND("/",MID($A89,FIND("/",$A89)+1,20))-1))),"")))</f>
        <v/>
      </c>
      <c r="D89">
        <f>IF(OR($A89="",$B89=""),"",IF(ISNUMBER($A89),MOD($A89,100),IFERROR(VALUE(TRIM(MID(MID($A89,FIND("/",$A89)+1,20),FIND("/",MID($A89,FIND("/",$A89)+1,20))+1,20))),"")))</f>
        <v/>
      </c>
      <c r="E89">
        <f>IF($A89="","",IF(OR($B89="",$C89="",$D89="",$B89&lt;1300,$B89&gt;1500,$C89&lt;1,$C89&gt;12,$D89&lt;1,$D89&gt;31),"نامعتبر",RIGHT("0000"&amp;$B89,4)&amp;"/"&amp;RIGHT("00"&amp;$C89,2)&amp;"/"&amp;RIGHT("00"&amp;$D89,2)))</f>
        <v/>
      </c>
      <c r="F89">
        <f>IF(OR($E89="",$E89="نامعتبر"),"",LEFT($E89,4)&amp;"/"&amp;MID($E89,6,2))</f>
        <v/>
      </c>
      <c r="G89">
        <f>IF(OR($E89="",$E89="نامعتبر",Sync!$Y86=""),"",Sync!$Y86)</f>
        <v/>
      </c>
      <c r="H89">
        <f>IF($G89="","",IF(Sync!$X86="","",Sync!$X86))</f>
        <v/>
      </c>
      <c r="I89">
        <f>IF($G89="","",IFERROR(VLOOKUP(Sync!$X86,OpTbl,3,0),""))</f>
        <v/>
      </c>
      <c r="J89">
        <f>IF(OR($G89="",Sync!$Z86=""),"",Sync!$Z86)</f>
        <v/>
      </c>
      <c r="K89">
        <f>IF(OR($G89="",Sync!$AA86=""),"",Sync!$AA86)</f>
        <v/>
      </c>
      <c r="L89">
        <f>IF($G89="",0,IF(Sync!$AB86="",0,Sync!$AB86))</f>
        <v/>
      </c>
      <c r="M89">
        <f>IF($G89="",0,IF(Sync!$AC86="",0,Sync!$AC86))</f>
        <v/>
      </c>
      <c r="N89">
        <f>IF($G89="","",IF($H89="مرجوعی خرید",-1,1)*($L89-$M89*IFERROR(VLOOKUP("P01",ParamTbl,3,0),1.5))*(1-IF($I89="خرید",IFERROR(VLOOKUP("P02",ParamTbl,3,0),1),0)/100))</f>
        <v/>
      </c>
      <c r="O89">
        <f>IF($G89="",0,IF($H89="مرجوعی خرید",-1,1)*IF(Sync!$AD86="",0,Sync!$AD86))</f>
        <v/>
      </c>
      <c r="P89">
        <f>IF(OR($G89="",Sync!$W86=""),"",Sync!$W86)</f>
        <v/>
      </c>
      <c r="Q89">
        <f>IF(OR($G89="",Sync!$AE86=""),"",Sync!$AE86)</f>
        <v/>
      </c>
      <c r="R89">
        <f>IF($G89="","",IF(Sync!$V86="","0000",IF(AND(ISNUMBER(Sync!$V86),Sync!$V86&gt;=0,Sync!$V86&lt;1),RIGHT("00"&amp;HOUR(Sync!$V86),2)&amp;RIGHT("00"&amp;MINUTE(Sync!$V86),2),IFERROR(RIGHT("00"&amp;VALUE(LEFT(Sync!$V86,FIND(":",Sync!$V86)-1)),2)&amp;RIGHT("00"&amp;VALUE(MID(Sync!$V86,FIND(":",Sync!$V86)+1,2)),2),"0000"))))</f>
        <v/>
      </c>
    </row>
    <row r="90">
      <c r="A90">
        <f>IF(Sync!$U87="","",Sync!$U87)</f>
        <v/>
      </c>
      <c r="B90">
        <f>IF($A90="","",IF(ISNUMBER($A90),IF(AND($A90&gt;=10000101,$A90&lt;=99991231),INT($A90/10000),""),IFERROR(VALUE(TRIM(LEFT($A90,FIND("/",$A90)-1))),"")))</f>
        <v/>
      </c>
      <c r="C90">
        <f>IF(OR($A90="",$B90=""),"",IF(ISNUMBER($A90),INT(MOD($A90,10000)/100),IFERROR(VALUE(TRIM(LEFT(MID($A90,FIND("/",$A90)+1,20),FIND("/",MID($A90,FIND("/",$A90)+1,20))-1))),"")))</f>
        <v/>
      </c>
      <c r="D90">
        <f>IF(OR($A90="",$B90=""),"",IF(ISNUMBER($A90),MOD($A90,100),IFERROR(VALUE(TRIM(MID(MID($A90,FIND("/",$A90)+1,20),FIND("/",MID($A90,FIND("/",$A90)+1,20))+1,20))),"")))</f>
        <v/>
      </c>
      <c r="E90">
        <f>IF($A90="","",IF(OR($B90="",$C90="",$D90="",$B90&lt;1300,$B90&gt;1500,$C90&lt;1,$C90&gt;12,$D90&lt;1,$D90&gt;31),"نامعتبر",RIGHT("0000"&amp;$B90,4)&amp;"/"&amp;RIGHT("00"&amp;$C90,2)&amp;"/"&amp;RIGHT("00"&amp;$D90,2)))</f>
        <v/>
      </c>
      <c r="F90">
        <f>IF(OR($E90="",$E90="نامعتبر"),"",LEFT($E90,4)&amp;"/"&amp;MID($E90,6,2))</f>
        <v/>
      </c>
      <c r="G90">
        <f>IF(OR($E90="",$E90="نامعتبر",Sync!$Y87=""),"",Sync!$Y87)</f>
        <v/>
      </c>
      <c r="H90">
        <f>IF($G90="","",IF(Sync!$X87="","",Sync!$X87))</f>
        <v/>
      </c>
      <c r="I90">
        <f>IF($G90="","",IFERROR(VLOOKUP(Sync!$X87,OpTbl,3,0),""))</f>
        <v/>
      </c>
      <c r="J90">
        <f>IF(OR($G90="",Sync!$Z87=""),"",Sync!$Z87)</f>
        <v/>
      </c>
      <c r="K90">
        <f>IF(OR($G90="",Sync!$AA87=""),"",Sync!$AA87)</f>
        <v/>
      </c>
      <c r="L90">
        <f>IF($G90="",0,IF(Sync!$AB87="",0,Sync!$AB87))</f>
        <v/>
      </c>
      <c r="M90">
        <f>IF($G90="",0,IF(Sync!$AC87="",0,Sync!$AC87))</f>
        <v/>
      </c>
      <c r="N90">
        <f>IF($G90="","",IF($H90="مرجوعی خرید",-1,1)*($L90-$M90*IFERROR(VLOOKUP("P01",ParamTbl,3,0),1.5))*(1-IF($I90="خرید",IFERROR(VLOOKUP("P02",ParamTbl,3,0),1),0)/100))</f>
        <v/>
      </c>
      <c r="O90">
        <f>IF($G90="",0,IF($H90="مرجوعی خرید",-1,1)*IF(Sync!$AD87="",0,Sync!$AD87))</f>
        <v/>
      </c>
      <c r="P90">
        <f>IF(OR($G90="",Sync!$W87=""),"",Sync!$W87)</f>
        <v/>
      </c>
      <c r="Q90">
        <f>IF(OR($G90="",Sync!$AE87=""),"",Sync!$AE87)</f>
        <v/>
      </c>
      <c r="R90">
        <f>IF($G90="","",IF(Sync!$V87="","0000",IF(AND(ISNUMBER(Sync!$V87),Sync!$V87&gt;=0,Sync!$V87&lt;1),RIGHT("00"&amp;HOUR(Sync!$V87),2)&amp;RIGHT("00"&amp;MINUTE(Sync!$V87),2),IFERROR(RIGHT("00"&amp;VALUE(LEFT(Sync!$V87,FIND(":",Sync!$V87)-1)),2)&amp;RIGHT("00"&amp;VALUE(MID(Sync!$V87,FIND(":",Sync!$V87)+1,2)),2),"0000"))))</f>
        <v/>
      </c>
    </row>
    <row r="91">
      <c r="A91">
        <f>IF(Sync!$U88="","",Sync!$U88)</f>
        <v/>
      </c>
      <c r="B91">
        <f>IF($A91="","",IF(ISNUMBER($A91),IF(AND($A91&gt;=10000101,$A91&lt;=99991231),INT($A91/10000),""),IFERROR(VALUE(TRIM(LEFT($A91,FIND("/",$A91)-1))),"")))</f>
        <v/>
      </c>
      <c r="C91">
        <f>IF(OR($A91="",$B91=""),"",IF(ISNUMBER($A91),INT(MOD($A91,10000)/100),IFERROR(VALUE(TRIM(LEFT(MID($A91,FIND("/",$A91)+1,20),FIND("/",MID($A91,FIND("/",$A91)+1,20))-1))),"")))</f>
        <v/>
      </c>
      <c r="D91">
        <f>IF(OR($A91="",$B91=""),"",IF(ISNUMBER($A91),MOD($A91,100),IFERROR(VALUE(TRIM(MID(MID($A91,FIND("/",$A91)+1,20),FIND("/",MID($A91,FIND("/",$A91)+1,20))+1,20))),"")))</f>
        <v/>
      </c>
      <c r="E91">
        <f>IF($A91="","",IF(OR($B91="",$C91="",$D91="",$B91&lt;1300,$B91&gt;1500,$C91&lt;1,$C91&gt;12,$D91&lt;1,$D91&gt;31),"نامعتبر",RIGHT("0000"&amp;$B91,4)&amp;"/"&amp;RIGHT("00"&amp;$C91,2)&amp;"/"&amp;RIGHT("00"&amp;$D91,2)))</f>
        <v/>
      </c>
      <c r="F91">
        <f>IF(OR($E91="",$E91="نامعتبر"),"",LEFT($E91,4)&amp;"/"&amp;MID($E91,6,2))</f>
        <v/>
      </c>
      <c r="G91">
        <f>IF(OR($E91="",$E91="نامعتبر",Sync!$Y88=""),"",Sync!$Y88)</f>
        <v/>
      </c>
      <c r="H91">
        <f>IF($G91="","",IF(Sync!$X88="","",Sync!$X88))</f>
        <v/>
      </c>
      <c r="I91">
        <f>IF($G91="","",IFERROR(VLOOKUP(Sync!$X88,OpTbl,3,0),""))</f>
        <v/>
      </c>
      <c r="J91">
        <f>IF(OR($G91="",Sync!$Z88=""),"",Sync!$Z88)</f>
        <v/>
      </c>
      <c r="K91">
        <f>IF(OR($G91="",Sync!$AA88=""),"",Sync!$AA88)</f>
        <v/>
      </c>
      <c r="L91">
        <f>IF($G91="",0,IF(Sync!$AB88="",0,Sync!$AB88))</f>
        <v/>
      </c>
      <c r="M91">
        <f>IF($G91="",0,IF(Sync!$AC88="",0,Sync!$AC88))</f>
        <v/>
      </c>
      <c r="N91">
        <f>IF($G91="","",IF($H91="مرجوعی خرید",-1,1)*($L91-$M91*IFERROR(VLOOKUP("P01",ParamTbl,3,0),1.5))*(1-IF($I91="خرید",IFERROR(VLOOKUP("P02",ParamTbl,3,0),1),0)/100))</f>
        <v/>
      </c>
      <c r="O91">
        <f>IF($G91="",0,IF($H91="مرجوعی خرید",-1,1)*IF(Sync!$AD88="",0,Sync!$AD88))</f>
        <v/>
      </c>
      <c r="P91">
        <f>IF(OR($G91="",Sync!$W88=""),"",Sync!$W88)</f>
        <v/>
      </c>
      <c r="Q91">
        <f>IF(OR($G91="",Sync!$AE88=""),"",Sync!$AE88)</f>
        <v/>
      </c>
      <c r="R91">
        <f>IF($G91="","",IF(Sync!$V88="","0000",IF(AND(ISNUMBER(Sync!$V88),Sync!$V88&gt;=0,Sync!$V88&lt;1),RIGHT("00"&amp;HOUR(Sync!$V88),2)&amp;RIGHT("00"&amp;MINUTE(Sync!$V88),2),IFERROR(RIGHT("00"&amp;VALUE(LEFT(Sync!$V88,FIND(":",Sync!$V88)-1)),2)&amp;RIGHT("00"&amp;VALUE(MID(Sync!$V88,FIND(":",Sync!$V88)+1,2)),2),"0000"))))</f>
        <v/>
      </c>
    </row>
    <row r="92">
      <c r="A92">
        <f>IF(Sync!$U89="","",Sync!$U89)</f>
        <v/>
      </c>
      <c r="B92">
        <f>IF($A92="","",IF(ISNUMBER($A92),IF(AND($A92&gt;=10000101,$A92&lt;=99991231),INT($A92/10000),""),IFERROR(VALUE(TRIM(LEFT($A92,FIND("/",$A92)-1))),"")))</f>
        <v/>
      </c>
      <c r="C92">
        <f>IF(OR($A92="",$B92=""),"",IF(ISNUMBER($A92),INT(MOD($A92,10000)/100),IFERROR(VALUE(TRIM(LEFT(MID($A92,FIND("/",$A92)+1,20),FIND("/",MID($A92,FIND("/",$A92)+1,20))-1))),"")))</f>
        <v/>
      </c>
      <c r="D92">
        <f>IF(OR($A92="",$B92=""),"",IF(ISNUMBER($A92),MOD($A92,100),IFERROR(VALUE(TRIM(MID(MID($A92,FIND("/",$A92)+1,20),FIND("/",MID($A92,FIND("/",$A92)+1,20))+1,20))),"")))</f>
        <v/>
      </c>
      <c r="E92">
        <f>IF($A92="","",IF(OR($B92="",$C92="",$D92="",$B92&lt;1300,$B92&gt;1500,$C92&lt;1,$C92&gt;12,$D92&lt;1,$D92&gt;31),"نامعتبر",RIGHT("0000"&amp;$B92,4)&amp;"/"&amp;RIGHT("00"&amp;$C92,2)&amp;"/"&amp;RIGHT("00"&amp;$D92,2)))</f>
        <v/>
      </c>
      <c r="F92">
        <f>IF(OR($E92="",$E92="نامعتبر"),"",LEFT($E92,4)&amp;"/"&amp;MID($E92,6,2))</f>
        <v/>
      </c>
      <c r="G92">
        <f>IF(OR($E92="",$E92="نامعتبر",Sync!$Y89=""),"",Sync!$Y89)</f>
        <v/>
      </c>
      <c r="H92">
        <f>IF($G92="","",IF(Sync!$X89="","",Sync!$X89))</f>
        <v/>
      </c>
      <c r="I92">
        <f>IF($G92="","",IFERROR(VLOOKUP(Sync!$X89,OpTbl,3,0),""))</f>
        <v/>
      </c>
      <c r="J92">
        <f>IF(OR($G92="",Sync!$Z89=""),"",Sync!$Z89)</f>
        <v/>
      </c>
      <c r="K92">
        <f>IF(OR($G92="",Sync!$AA89=""),"",Sync!$AA89)</f>
        <v/>
      </c>
      <c r="L92">
        <f>IF($G92="",0,IF(Sync!$AB89="",0,Sync!$AB89))</f>
        <v/>
      </c>
      <c r="M92">
        <f>IF($G92="",0,IF(Sync!$AC89="",0,Sync!$AC89))</f>
        <v/>
      </c>
      <c r="N92">
        <f>IF($G92="","",IF($H92="مرجوعی خرید",-1,1)*($L92-$M92*IFERROR(VLOOKUP("P01",ParamTbl,3,0),1.5))*(1-IF($I92="خرید",IFERROR(VLOOKUP("P02",ParamTbl,3,0),1),0)/100))</f>
        <v/>
      </c>
      <c r="O92">
        <f>IF($G92="",0,IF($H92="مرجوعی خرید",-1,1)*IF(Sync!$AD89="",0,Sync!$AD89))</f>
        <v/>
      </c>
      <c r="P92">
        <f>IF(OR($G92="",Sync!$W89=""),"",Sync!$W89)</f>
        <v/>
      </c>
      <c r="Q92">
        <f>IF(OR($G92="",Sync!$AE89=""),"",Sync!$AE89)</f>
        <v/>
      </c>
      <c r="R92">
        <f>IF($G92="","",IF(Sync!$V89="","0000",IF(AND(ISNUMBER(Sync!$V89),Sync!$V89&gt;=0,Sync!$V89&lt;1),RIGHT("00"&amp;HOUR(Sync!$V89),2)&amp;RIGHT("00"&amp;MINUTE(Sync!$V89),2),IFERROR(RIGHT("00"&amp;VALUE(LEFT(Sync!$V89,FIND(":",Sync!$V89)-1)),2)&amp;RIGHT("00"&amp;VALUE(MID(Sync!$V89,FIND(":",Sync!$V89)+1,2)),2),"0000"))))</f>
        <v/>
      </c>
    </row>
    <row r="93">
      <c r="A93">
        <f>IF(Sync!$U90="","",Sync!$U90)</f>
        <v/>
      </c>
      <c r="B93">
        <f>IF($A93="","",IF(ISNUMBER($A93),IF(AND($A93&gt;=10000101,$A93&lt;=99991231),INT($A93/10000),""),IFERROR(VALUE(TRIM(LEFT($A93,FIND("/",$A93)-1))),"")))</f>
        <v/>
      </c>
      <c r="C93">
        <f>IF(OR($A93="",$B93=""),"",IF(ISNUMBER($A93),INT(MOD($A93,10000)/100),IFERROR(VALUE(TRIM(LEFT(MID($A93,FIND("/",$A93)+1,20),FIND("/",MID($A93,FIND("/",$A93)+1,20))-1))),"")))</f>
        <v/>
      </c>
      <c r="D93">
        <f>IF(OR($A93="",$B93=""),"",IF(ISNUMBER($A93),MOD($A93,100),IFERROR(VALUE(TRIM(MID(MID($A93,FIND("/",$A93)+1,20),FIND("/",MID($A93,FIND("/",$A93)+1,20))+1,20))),"")))</f>
        <v/>
      </c>
      <c r="E93">
        <f>IF($A93="","",IF(OR($B93="",$C93="",$D93="",$B93&lt;1300,$B93&gt;1500,$C93&lt;1,$C93&gt;12,$D93&lt;1,$D93&gt;31),"نامعتبر",RIGHT("0000"&amp;$B93,4)&amp;"/"&amp;RIGHT("00"&amp;$C93,2)&amp;"/"&amp;RIGHT("00"&amp;$D93,2)))</f>
        <v/>
      </c>
      <c r="F93">
        <f>IF(OR($E93="",$E93="نامعتبر"),"",LEFT($E93,4)&amp;"/"&amp;MID($E93,6,2))</f>
        <v/>
      </c>
      <c r="G93">
        <f>IF(OR($E93="",$E93="نامعتبر",Sync!$Y90=""),"",Sync!$Y90)</f>
        <v/>
      </c>
      <c r="H93">
        <f>IF($G93="","",IF(Sync!$X90="","",Sync!$X90))</f>
        <v/>
      </c>
      <c r="I93">
        <f>IF($G93="","",IFERROR(VLOOKUP(Sync!$X90,OpTbl,3,0),""))</f>
        <v/>
      </c>
      <c r="J93">
        <f>IF(OR($G93="",Sync!$Z90=""),"",Sync!$Z90)</f>
        <v/>
      </c>
      <c r="K93">
        <f>IF(OR($G93="",Sync!$AA90=""),"",Sync!$AA90)</f>
        <v/>
      </c>
      <c r="L93">
        <f>IF($G93="",0,IF(Sync!$AB90="",0,Sync!$AB90))</f>
        <v/>
      </c>
      <c r="M93">
        <f>IF($G93="",0,IF(Sync!$AC90="",0,Sync!$AC90))</f>
        <v/>
      </c>
      <c r="N93">
        <f>IF($G93="","",IF($H93="مرجوعی خرید",-1,1)*($L93-$M93*IFERROR(VLOOKUP("P01",ParamTbl,3,0),1.5))*(1-IF($I93="خرید",IFERROR(VLOOKUP("P02",ParamTbl,3,0),1),0)/100))</f>
        <v/>
      </c>
      <c r="O93">
        <f>IF($G93="",0,IF($H93="مرجوعی خرید",-1,1)*IF(Sync!$AD90="",0,Sync!$AD90))</f>
        <v/>
      </c>
      <c r="P93">
        <f>IF(OR($G93="",Sync!$W90=""),"",Sync!$W90)</f>
        <v/>
      </c>
      <c r="Q93">
        <f>IF(OR($G93="",Sync!$AE90=""),"",Sync!$AE90)</f>
        <v/>
      </c>
      <c r="R93">
        <f>IF($G93="","",IF(Sync!$V90="","0000",IF(AND(ISNUMBER(Sync!$V90),Sync!$V90&gt;=0,Sync!$V90&lt;1),RIGHT("00"&amp;HOUR(Sync!$V90),2)&amp;RIGHT("00"&amp;MINUTE(Sync!$V90),2),IFERROR(RIGHT("00"&amp;VALUE(LEFT(Sync!$V90,FIND(":",Sync!$V90)-1)),2)&amp;RIGHT("00"&amp;VALUE(MID(Sync!$V90,FIND(":",Sync!$V90)+1,2)),2),"0000"))))</f>
        <v/>
      </c>
    </row>
    <row r="94">
      <c r="A94">
        <f>IF(Sync!$U91="","",Sync!$U91)</f>
        <v/>
      </c>
      <c r="B94">
        <f>IF($A94="","",IF(ISNUMBER($A94),IF(AND($A94&gt;=10000101,$A94&lt;=99991231),INT($A94/10000),""),IFERROR(VALUE(TRIM(LEFT($A94,FIND("/",$A94)-1))),"")))</f>
        <v/>
      </c>
      <c r="C94">
        <f>IF(OR($A94="",$B94=""),"",IF(ISNUMBER($A94),INT(MOD($A94,10000)/100),IFERROR(VALUE(TRIM(LEFT(MID($A94,FIND("/",$A94)+1,20),FIND("/",MID($A94,FIND("/",$A94)+1,20))-1))),"")))</f>
        <v/>
      </c>
      <c r="D94">
        <f>IF(OR($A94="",$B94=""),"",IF(ISNUMBER($A94),MOD($A94,100),IFERROR(VALUE(TRIM(MID(MID($A94,FIND("/",$A94)+1,20),FIND("/",MID($A94,FIND("/",$A94)+1,20))+1,20))),"")))</f>
        <v/>
      </c>
      <c r="E94">
        <f>IF($A94="","",IF(OR($B94="",$C94="",$D94="",$B94&lt;1300,$B94&gt;1500,$C94&lt;1,$C94&gt;12,$D94&lt;1,$D94&gt;31),"نامعتبر",RIGHT("0000"&amp;$B94,4)&amp;"/"&amp;RIGHT("00"&amp;$C94,2)&amp;"/"&amp;RIGHT("00"&amp;$D94,2)))</f>
        <v/>
      </c>
      <c r="F94">
        <f>IF(OR($E94="",$E94="نامعتبر"),"",LEFT($E94,4)&amp;"/"&amp;MID($E94,6,2))</f>
        <v/>
      </c>
      <c r="G94">
        <f>IF(OR($E94="",$E94="نامعتبر",Sync!$Y91=""),"",Sync!$Y91)</f>
        <v/>
      </c>
      <c r="H94">
        <f>IF($G94="","",IF(Sync!$X91="","",Sync!$X91))</f>
        <v/>
      </c>
      <c r="I94">
        <f>IF($G94="","",IFERROR(VLOOKUP(Sync!$X91,OpTbl,3,0),""))</f>
        <v/>
      </c>
      <c r="J94">
        <f>IF(OR($G94="",Sync!$Z91=""),"",Sync!$Z91)</f>
        <v/>
      </c>
      <c r="K94">
        <f>IF(OR($G94="",Sync!$AA91=""),"",Sync!$AA91)</f>
        <v/>
      </c>
      <c r="L94">
        <f>IF($G94="",0,IF(Sync!$AB91="",0,Sync!$AB91))</f>
        <v/>
      </c>
      <c r="M94">
        <f>IF($G94="",0,IF(Sync!$AC91="",0,Sync!$AC91))</f>
        <v/>
      </c>
      <c r="N94">
        <f>IF($G94="","",IF($H94="مرجوعی خرید",-1,1)*($L94-$M94*IFERROR(VLOOKUP("P01",ParamTbl,3,0),1.5))*(1-IF($I94="خرید",IFERROR(VLOOKUP("P02",ParamTbl,3,0),1),0)/100))</f>
        <v/>
      </c>
      <c r="O94">
        <f>IF($G94="",0,IF($H94="مرجوعی خرید",-1,1)*IF(Sync!$AD91="",0,Sync!$AD91))</f>
        <v/>
      </c>
      <c r="P94">
        <f>IF(OR($G94="",Sync!$W91=""),"",Sync!$W91)</f>
        <v/>
      </c>
      <c r="Q94">
        <f>IF(OR($G94="",Sync!$AE91=""),"",Sync!$AE91)</f>
        <v/>
      </c>
      <c r="R94">
        <f>IF($G94="","",IF(Sync!$V91="","0000",IF(AND(ISNUMBER(Sync!$V91),Sync!$V91&gt;=0,Sync!$V91&lt;1),RIGHT("00"&amp;HOUR(Sync!$V91),2)&amp;RIGHT("00"&amp;MINUTE(Sync!$V91),2),IFERROR(RIGHT("00"&amp;VALUE(LEFT(Sync!$V91,FIND(":",Sync!$V91)-1)),2)&amp;RIGHT("00"&amp;VALUE(MID(Sync!$V91,FIND(":",Sync!$V91)+1,2)),2),"0000"))))</f>
        <v/>
      </c>
    </row>
    <row r="95">
      <c r="A95">
        <f>IF(Sync!$U92="","",Sync!$U92)</f>
        <v/>
      </c>
      <c r="B95">
        <f>IF($A95="","",IF(ISNUMBER($A95),IF(AND($A95&gt;=10000101,$A95&lt;=99991231),INT($A95/10000),""),IFERROR(VALUE(TRIM(LEFT($A95,FIND("/",$A95)-1))),"")))</f>
        <v/>
      </c>
      <c r="C95">
        <f>IF(OR($A95="",$B95=""),"",IF(ISNUMBER($A95),INT(MOD($A95,10000)/100),IFERROR(VALUE(TRIM(LEFT(MID($A95,FIND("/",$A95)+1,20),FIND("/",MID($A95,FIND("/",$A95)+1,20))-1))),"")))</f>
        <v/>
      </c>
      <c r="D95">
        <f>IF(OR($A95="",$B95=""),"",IF(ISNUMBER($A95),MOD($A95,100),IFERROR(VALUE(TRIM(MID(MID($A95,FIND("/",$A95)+1,20),FIND("/",MID($A95,FIND("/",$A95)+1,20))+1,20))),"")))</f>
        <v/>
      </c>
      <c r="E95">
        <f>IF($A95="","",IF(OR($B95="",$C95="",$D95="",$B95&lt;1300,$B95&gt;1500,$C95&lt;1,$C95&gt;12,$D95&lt;1,$D95&gt;31),"نامعتبر",RIGHT("0000"&amp;$B95,4)&amp;"/"&amp;RIGHT("00"&amp;$C95,2)&amp;"/"&amp;RIGHT("00"&amp;$D95,2)))</f>
        <v/>
      </c>
      <c r="F95">
        <f>IF(OR($E95="",$E95="نامعتبر"),"",LEFT($E95,4)&amp;"/"&amp;MID($E95,6,2))</f>
        <v/>
      </c>
      <c r="G95">
        <f>IF(OR($E95="",$E95="نامعتبر",Sync!$Y92=""),"",Sync!$Y92)</f>
        <v/>
      </c>
      <c r="H95">
        <f>IF($G95="","",IF(Sync!$X92="","",Sync!$X92))</f>
        <v/>
      </c>
      <c r="I95">
        <f>IF($G95="","",IFERROR(VLOOKUP(Sync!$X92,OpTbl,3,0),""))</f>
        <v/>
      </c>
      <c r="J95">
        <f>IF(OR($G95="",Sync!$Z92=""),"",Sync!$Z92)</f>
        <v/>
      </c>
      <c r="K95">
        <f>IF(OR($G95="",Sync!$AA92=""),"",Sync!$AA92)</f>
        <v/>
      </c>
      <c r="L95">
        <f>IF($G95="",0,IF(Sync!$AB92="",0,Sync!$AB92))</f>
        <v/>
      </c>
      <c r="M95">
        <f>IF($G95="",0,IF(Sync!$AC92="",0,Sync!$AC92))</f>
        <v/>
      </c>
      <c r="N95">
        <f>IF($G95="","",IF($H95="مرجوعی خرید",-1,1)*($L95-$M95*IFERROR(VLOOKUP("P01",ParamTbl,3,0),1.5))*(1-IF($I95="خرید",IFERROR(VLOOKUP("P02",ParamTbl,3,0),1),0)/100))</f>
        <v/>
      </c>
      <c r="O95">
        <f>IF($G95="",0,IF($H95="مرجوعی خرید",-1,1)*IF(Sync!$AD92="",0,Sync!$AD92))</f>
        <v/>
      </c>
      <c r="P95">
        <f>IF(OR($G95="",Sync!$W92=""),"",Sync!$W92)</f>
        <v/>
      </c>
      <c r="Q95">
        <f>IF(OR($G95="",Sync!$AE92=""),"",Sync!$AE92)</f>
        <v/>
      </c>
      <c r="R95">
        <f>IF($G95="","",IF(Sync!$V92="","0000",IF(AND(ISNUMBER(Sync!$V92),Sync!$V92&gt;=0,Sync!$V92&lt;1),RIGHT("00"&amp;HOUR(Sync!$V92),2)&amp;RIGHT("00"&amp;MINUTE(Sync!$V92),2),IFERROR(RIGHT("00"&amp;VALUE(LEFT(Sync!$V92,FIND(":",Sync!$V92)-1)),2)&amp;RIGHT("00"&amp;VALUE(MID(Sync!$V92,FIND(":",Sync!$V92)+1,2)),2),"0000"))))</f>
        <v/>
      </c>
    </row>
    <row r="96">
      <c r="A96">
        <f>IF(Sync!$U93="","",Sync!$U93)</f>
        <v/>
      </c>
      <c r="B96">
        <f>IF($A96="","",IF(ISNUMBER($A96),IF(AND($A96&gt;=10000101,$A96&lt;=99991231),INT($A96/10000),""),IFERROR(VALUE(TRIM(LEFT($A96,FIND("/",$A96)-1))),"")))</f>
        <v/>
      </c>
      <c r="C96">
        <f>IF(OR($A96="",$B96=""),"",IF(ISNUMBER($A96),INT(MOD($A96,10000)/100),IFERROR(VALUE(TRIM(LEFT(MID($A96,FIND("/",$A96)+1,20),FIND("/",MID($A96,FIND("/",$A96)+1,20))-1))),"")))</f>
        <v/>
      </c>
      <c r="D96">
        <f>IF(OR($A96="",$B96=""),"",IF(ISNUMBER($A96),MOD($A96,100),IFERROR(VALUE(TRIM(MID(MID($A96,FIND("/",$A96)+1,20),FIND("/",MID($A96,FIND("/",$A96)+1,20))+1,20))),"")))</f>
        <v/>
      </c>
      <c r="E96">
        <f>IF($A96="","",IF(OR($B96="",$C96="",$D96="",$B96&lt;1300,$B96&gt;1500,$C96&lt;1,$C96&gt;12,$D96&lt;1,$D96&gt;31),"نامعتبر",RIGHT("0000"&amp;$B96,4)&amp;"/"&amp;RIGHT("00"&amp;$C96,2)&amp;"/"&amp;RIGHT("00"&amp;$D96,2)))</f>
        <v/>
      </c>
      <c r="F96">
        <f>IF(OR($E96="",$E96="نامعتبر"),"",LEFT($E96,4)&amp;"/"&amp;MID($E96,6,2))</f>
        <v/>
      </c>
      <c r="G96">
        <f>IF(OR($E96="",$E96="نامعتبر",Sync!$Y93=""),"",Sync!$Y93)</f>
        <v/>
      </c>
      <c r="H96">
        <f>IF($G96="","",IF(Sync!$X93="","",Sync!$X93))</f>
        <v/>
      </c>
      <c r="I96">
        <f>IF($G96="","",IFERROR(VLOOKUP(Sync!$X93,OpTbl,3,0),""))</f>
        <v/>
      </c>
      <c r="J96">
        <f>IF(OR($G96="",Sync!$Z93=""),"",Sync!$Z93)</f>
        <v/>
      </c>
      <c r="K96">
        <f>IF(OR($G96="",Sync!$AA93=""),"",Sync!$AA93)</f>
        <v/>
      </c>
      <c r="L96">
        <f>IF($G96="",0,IF(Sync!$AB93="",0,Sync!$AB93))</f>
        <v/>
      </c>
      <c r="M96">
        <f>IF($G96="",0,IF(Sync!$AC93="",0,Sync!$AC93))</f>
        <v/>
      </c>
      <c r="N96">
        <f>IF($G96="","",IF($H96="مرجوعی خرید",-1,1)*($L96-$M96*IFERROR(VLOOKUP("P01",ParamTbl,3,0),1.5))*(1-IF($I96="خرید",IFERROR(VLOOKUP("P02",ParamTbl,3,0),1),0)/100))</f>
        <v/>
      </c>
      <c r="O96">
        <f>IF($G96="",0,IF($H96="مرجوعی خرید",-1,1)*IF(Sync!$AD93="",0,Sync!$AD93))</f>
        <v/>
      </c>
      <c r="P96">
        <f>IF(OR($G96="",Sync!$W93=""),"",Sync!$W93)</f>
        <v/>
      </c>
      <c r="Q96">
        <f>IF(OR($G96="",Sync!$AE93=""),"",Sync!$AE93)</f>
        <v/>
      </c>
      <c r="R96">
        <f>IF($G96="","",IF(Sync!$V93="","0000",IF(AND(ISNUMBER(Sync!$V93),Sync!$V93&gt;=0,Sync!$V93&lt;1),RIGHT("00"&amp;HOUR(Sync!$V93),2)&amp;RIGHT("00"&amp;MINUTE(Sync!$V93),2),IFERROR(RIGHT("00"&amp;VALUE(LEFT(Sync!$V93,FIND(":",Sync!$V93)-1)),2)&amp;RIGHT("00"&amp;VALUE(MID(Sync!$V93,FIND(":",Sync!$V93)+1,2)),2),"0000"))))</f>
        <v/>
      </c>
    </row>
    <row r="97">
      <c r="A97">
        <f>IF(Sync!$U94="","",Sync!$U94)</f>
        <v/>
      </c>
      <c r="B97">
        <f>IF($A97="","",IF(ISNUMBER($A97),IF(AND($A97&gt;=10000101,$A97&lt;=99991231),INT($A97/10000),""),IFERROR(VALUE(TRIM(LEFT($A97,FIND("/",$A97)-1))),"")))</f>
        <v/>
      </c>
      <c r="C97">
        <f>IF(OR($A97="",$B97=""),"",IF(ISNUMBER($A97),INT(MOD($A97,10000)/100),IFERROR(VALUE(TRIM(LEFT(MID($A97,FIND("/",$A97)+1,20),FIND("/",MID($A97,FIND("/",$A97)+1,20))-1))),"")))</f>
        <v/>
      </c>
      <c r="D97">
        <f>IF(OR($A97="",$B97=""),"",IF(ISNUMBER($A97),MOD($A97,100),IFERROR(VALUE(TRIM(MID(MID($A97,FIND("/",$A97)+1,20),FIND("/",MID($A97,FIND("/",$A97)+1,20))+1,20))),"")))</f>
        <v/>
      </c>
      <c r="E97">
        <f>IF($A97="","",IF(OR($B97="",$C97="",$D97="",$B97&lt;1300,$B97&gt;1500,$C97&lt;1,$C97&gt;12,$D97&lt;1,$D97&gt;31),"نامعتبر",RIGHT("0000"&amp;$B97,4)&amp;"/"&amp;RIGHT("00"&amp;$C97,2)&amp;"/"&amp;RIGHT("00"&amp;$D97,2)))</f>
        <v/>
      </c>
      <c r="F97">
        <f>IF(OR($E97="",$E97="نامعتبر"),"",LEFT($E97,4)&amp;"/"&amp;MID($E97,6,2))</f>
        <v/>
      </c>
      <c r="G97">
        <f>IF(OR($E97="",$E97="نامعتبر",Sync!$Y94=""),"",Sync!$Y94)</f>
        <v/>
      </c>
      <c r="H97">
        <f>IF($G97="","",IF(Sync!$X94="","",Sync!$X94))</f>
        <v/>
      </c>
      <c r="I97">
        <f>IF($G97="","",IFERROR(VLOOKUP(Sync!$X94,OpTbl,3,0),""))</f>
        <v/>
      </c>
      <c r="J97">
        <f>IF(OR($G97="",Sync!$Z94=""),"",Sync!$Z94)</f>
        <v/>
      </c>
      <c r="K97">
        <f>IF(OR($G97="",Sync!$AA94=""),"",Sync!$AA94)</f>
        <v/>
      </c>
      <c r="L97">
        <f>IF($G97="",0,IF(Sync!$AB94="",0,Sync!$AB94))</f>
        <v/>
      </c>
      <c r="M97">
        <f>IF($G97="",0,IF(Sync!$AC94="",0,Sync!$AC94))</f>
        <v/>
      </c>
      <c r="N97">
        <f>IF($G97="","",IF($H97="مرجوعی خرید",-1,1)*($L97-$M97*IFERROR(VLOOKUP("P01",ParamTbl,3,0),1.5))*(1-IF($I97="خرید",IFERROR(VLOOKUP("P02",ParamTbl,3,0),1),0)/100))</f>
        <v/>
      </c>
      <c r="O97">
        <f>IF($G97="",0,IF($H97="مرجوعی خرید",-1,1)*IF(Sync!$AD94="",0,Sync!$AD94))</f>
        <v/>
      </c>
      <c r="P97">
        <f>IF(OR($G97="",Sync!$W94=""),"",Sync!$W94)</f>
        <v/>
      </c>
      <c r="Q97">
        <f>IF(OR($G97="",Sync!$AE94=""),"",Sync!$AE94)</f>
        <v/>
      </c>
      <c r="R97">
        <f>IF($G97="","",IF(Sync!$V94="","0000",IF(AND(ISNUMBER(Sync!$V94),Sync!$V94&gt;=0,Sync!$V94&lt;1),RIGHT("00"&amp;HOUR(Sync!$V94),2)&amp;RIGHT("00"&amp;MINUTE(Sync!$V94),2),IFERROR(RIGHT("00"&amp;VALUE(LEFT(Sync!$V94,FIND(":",Sync!$V94)-1)),2)&amp;RIGHT("00"&amp;VALUE(MID(Sync!$V94,FIND(":",Sync!$V94)+1,2)),2),"0000"))))</f>
        <v/>
      </c>
    </row>
    <row r="98">
      <c r="A98">
        <f>IF(Sync!$U95="","",Sync!$U95)</f>
        <v/>
      </c>
      <c r="B98">
        <f>IF($A98="","",IF(ISNUMBER($A98),IF(AND($A98&gt;=10000101,$A98&lt;=99991231),INT($A98/10000),""),IFERROR(VALUE(TRIM(LEFT($A98,FIND("/",$A98)-1))),"")))</f>
        <v/>
      </c>
      <c r="C98">
        <f>IF(OR($A98="",$B98=""),"",IF(ISNUMBER($A98),INT(MOD($A98,10000)/100),IFERROR(VALUE(TRIM(LEFT(MID($A98,FIND("/",$A98)+1,20),FIND("/",MID($A98,FIND("/",$A98)+1,20))-1))),"")))</f>
        <v/>
      </c>
      <c r="D98">
        <f>IF(OR($A98="",$B98=""),"",IF(ISNUMBER($A98),MOD($A98,100),IFERROR(VALUE(TRIM(MID(MID($A98,FIND("/",$A98)+1,20),FIND("/",MID($A98,FIND("/",$A98)+1,20))+1,20))),"")))</f>
        <v/>
      </c>
      <c r="E98">
        <f>IF($A98="","",IF(OR($B98="",$C98="",$D98="",$B98&lt;1300,$B98&gt;1500,$C98&lt;1,$C98&gt;12,$D98&lt;1,$D98&gt;31),"نامعتبر",RIGHT("0000"&amp;$B98,4)&amp;"/"&amp;RIGHT("00"&amp;$C98,2)&amp;"/"&amp;RIGHT("00"&amp;$D98,2)))</f>
        <v/>
      </c>
      <c r="F98">
        <f>IF(OR($E98="",$E98="نامعتبر"),"",LEFT($E98,4)&amp;"/"&amp;MID($E98,6,2))</f>
        <v/>
      </c>
      <c r="G98">
        <f>IF(OR($E98="",$E98="نامعتبر",Sync!$Y95=""),"",Sync!$Y95)</f>
        <v/>
      </c>
      <c r="H98">
        <f>IF($G98="","",IF(Sync!$X95="","",Sync!$X95))</f>
        <v/>
      </c>
      <c r="I98">
        <f>IF($G98="","",IFERROR(VLOOKUP(Sync!$X95,OpTbl,3,0),""))</f>
        <v/>
      </c>
      <c r="J98">
        <f>IF(OR($G98="",Sync!$Z95=""),"",Sync!$Z95)</f>
        <v/>
      </c>
      <c r="K98">
        <f>IF(OR($G98="",Sync!$AA95=""),"",Sync!$AA95)</f>
        <v/>
      </c>
      <c r="L98">
        <f>IF($G98="",0,IF(Sync!$AB95="",0,Sync!$AB95))</f>
        <v/>
      </c>
      <c r="M98">
        <f>IF($G98="",0,IF(Sync!$AC95="",0,Sync!$AC95))</f>
        <v/>
      </c>
      <c r="N98">
        <f>IF($G98="","",IF($H98="مرجوعی خرید",-1,1)*($L98-$M98*IFERROR(VLOOKUP("P01",ParamTbl,3,0),1.5))*(1-IF($I98="خرید",IFERROR(VLOOKUP("P02",ParamTbl,3,0),1),0)/100))</f>
        <v/>
      </c>
      <c r="O98">
        <f>IF($G98="",0,IF($H98="مرجوعی خرید",-1,1)*IF(Sync!$AD95="",0,Sync!$AD95))</f>
        <v/>
      </c>
      <c r="P98">
        <f>IF(OR($G98="",Sync!$W95=""),"",Sync!$W95)</f>
        <v/>
      </c>
      <c r="Q98">
        <f>IF(OR($G98="",Sync!$AE95=""),"",Sync!$AE95)</f>
        <v/>
      </c>
      <c r="R98">
        <f>IF($G98="","",IF(Sync!$V95="","0000",IF(AND(ISNUMBER(Sync!$V95),Sync!$V95&gt;=0,Sync!$V95&lt;1),RIGHT("00"&amp;HOUR(Sync!$V95),2)&amp;RIGHT("00"&amp;MINUTE(Sync!$V95),2),IFERROR(RIGHT("00"&amp;VALUE(LEFT(Sync!$V95,FIND(":",Sync!$V95)-1)),2)&amp;RIGHT("00"&amp;VALUE(MID(Sync!$V95,FIND(":",Sync!$V95)+1,2)),2),"0000"))))</f>
        <v/>
      </c>
    </row>
    <row r="99">
      <c r="A99">
        <f>IF(Sync!$U96="","",Sync!$U96)</f>
        <v/>
      </c>
      <c r="B99">
        <f>IF($A99="","",IF(ISNUMBER($A99),IF(AND($A99&gt;=10000101,$A99&lt;=99991231),INT($A99/10000),""),IFERROR(VALUE(TRIM(LEFT($A99,FIND("/",$A99)-1))),"")))</f>
        <v/>
      </c>
      <c r="C99">
        <f>IF(OR($A99="",$B99=""),"",IF(ISNUMBER($A99),INT(MOD($A99,10000)/100),IFERROR(VALUE(TRIM(LEFT(MID($A99,FIND("/",$A99)+1,20),FIND("/",MID($A99,FIND("/",$A99)+1,20))-1))),"")))</f>
        <v/>
      </c>
      <c r="D99">
        <f>IF(OR($A99="",$B99=""),"",IF(ISNUMBER($A99),MOD($A99,100),IFERROR(VALUE(TRIM(MID(MID($A99,FIND("/",$A99)+1,20),FIND("/",MID($A99,FIND("/",$A99)+1,20))+1,20))),"")))</f>
        <v/>
      </c>
      <c r="E99">
        <f>IF($A99="","",IF(OR($B99="",$C99="",$D99="",$B99&lt;1300,$B99&gt;1500,$C99&lt;1,$C99&gt;12,$D99&lt;1,$D99&gt;31),"نامعتبر",RIGHT("0000"&amp;$B99,4)&amp;"/"&amp;RIGHT("00"&amp;$C99,2)&amp;"/"&amp;RIGHT("00"&amp;$D99,2)))</f>
        <v/>
      </c>
      <c r="F99">
        <f>IF(OR($E99="",$E99="نامعتبر"),"",LEFT($E99,4)&amp;"/"&amp;MID($E99,6,2))</f>
        <v/>
      </c>
      <c r="G99">
        <f>IF(OR($E99="",$E99="نامعتبر",Sync!$Y96=""),"",Sync!$Y96)</f>
        <v/>
      </c>
      <c r="H99">
        <f>IF($G99="","",IF(Sync!$X96="","",Sync!$X96))</f>
        <v/>
      </c>
      <c r="I99">
        <f>IF($G99="","",IFERROR(VLOOKUP(Sync!$X96,OpTbl,3,0),""))</f>
        <v/>
      </c>
      <c r="J99">
        <f>IF(OR($G99="",Sync!$Z96=""),"",Sync!$Z96)</f>
        <v/>
      </c>
      <c r="K99">
        <f>IF(OR($G99="",Sync!$AA96=""),"",Sync!$AA96)</f>
        <v/>
      </c>
      <c r="L99">
        <f>IF($G99="",0,IF(Sync!$AB96="",0,Sync!$AB96))</f>
        <v/>
      </c>
      <c r="M99">
        <f>IF($G99="",0,IF(Sync!$AC96="",0,Sync!$AC96))</f>
        <v/>
      </c>
      <c r="N99">
        <f>IF($G99="","",IF($H99="مرجوعی خرید",-1,1)*($L99-$M99*IFERROR(VLOOKUP("P01",ParamTbl,3,0),1.5))*(1-IF($I99="خرید",IFERROR(VLOOKUP("P02",ParamTbl,3,0),1),0)/100))</f>
        <v/>
      </c>
      <c r="O99">
        <f>IF($G99="",0,IF($H99="مرجوعی خرید",-1,1)*IF(Sync!$AD96="",0,Sync!$AD96))</f>
        <v/>
      </c>
      <c r="P99">
        <f>IF(OR($G99="",Sync!$W96=""),"",Sync!$W96)</f>
        <v/>
      </c>
      <c r="Q99">
        <f>IF(OR($G99="",Sync!$AE96=""),"",Sync!$AE96)</f>
        <v/>
      </c>
      <c r="R99">
        <f>IF($G99="","",IF(Sync!$V96="","0000",IF(AND(ISNUMBER(Sync!$V96),Sync!$V96&gt;=0,Sync!$V96&lt;1),RIGHT("00"&amp;HOUR(Sync!$V96),2)&amp;RIGHT("00"&amp;MINUTE(Sync!$V96),2),IFERROR(RIGHT("00"&amp;VALUE(LEFT(Sync!$V96,FIND(":",Sync!$V96)-1)),2)&amp;RIGHT("00"&amp;VALUE(MID(Sync!$V96,FIND(":",Sync!$V96)+1,2)),2),"0000"))))</f>
        <v/>
      </c>
    </row>
    <row r="100">
      <c r="A100">
        <f>IF(Sync!$U97="","",Sync!$U97)</f>
        <v/>
      </c>
      <c r="B100">
        <f>IF($A100="","",IF(ISNUMBER($A100),IF(AND($A100&gt;=10000101,$A100&lt;=99991231),INT($A100/10000),""),IFERROR(VALUE(TRIM(LEFT($A100,FIND("/",$A100)-1))),"")))</f>
        <v/>
      </c>
      <c r="C100">
        <f>IF(OR($A100="",$B100=""),"",IF(ISNUMBER($A100),INT(MOD($A100,10000)/100),IFERROR(VALUE(TRIM(LEFT(MID($A100,FIND("/",$A100)+1,20),FIND("/",MID($A100,FIND("/",$A100)+1,20))-1))),"")))</f>
        <v/>
      </c>
      <c r="D100">
        <f>IF(OR($A100="",$B100=""),"",IF(ISNUMBER($A100),MOD($A100,100),IFERROR(VALUE(TRIM(MID(MID($A100,FIND("/",$A100)+1,20),FIND("/",MID($A100,FIND("/",$A100)+1,20))+1,20))),"")))</f>
        <v/>
      </c>
      <c r="E100">
        <f>IF($A100="","",IF(OR($B100="",$C100="",$D100="",$B100&lt;1300,$B100&gt;1500,$C100&lt;1,$C100&gt;12,$D100&lt;1,$D100&gt;31),"نامعتبر",RIGHT("0000"&amp;$B100,4)&amp;"/"&amp;RIGHT("00"&amp;$C100,2)&amp;"/"&amp;RIGHT("00"&amp;$D100,2)))</f>
        <v/>
      </c>
      <c r="F100">
        <f>IF(OR($E100="",$E100="نامعتبر"),"",LEFT($E100,4)&amp;"/"&amp;MID($E100,6,2))</f>
        <v/>
      </c>
      <c r="G100">
        <f>IF(OR($E100="",$E100="نامعتبر",Sync!$Y97=""),"",Sync!$Y97)</f>
        <v/>
      </c>
      <c r="H100">
        <f>IF($G100="","",IF(Sync!$X97="","",Sync!$X97))</f>
        <v/>
      </c>
      <c r="I100">
        <f>IF($G100="","",IFERROR(VLOOKUP(Sync!$X97,OpTbl,3,0),""))</f>
        <v/>
      </c>
      <c r="J100">
        <f>IF(OR($G100="",Sync!$Z97=""),"",Sync!$Z97)</f>
        <v/>
      </c>
      <c r="K100">
        <f>IF(OR($G100="",Sync!$AA97=""),"",Sync!$AA97)</f>
        <v/>
      </c>
      <c r="L100">
        <f>IF($G100="",0,IF(Sync!$AB97="",0,Sync!$AB97))</f>
        <v/>
      </c>
      <c r="M100">
        <f>IF($G100="",0,IF(Sync!$AC97="",0,Sync!$AC97))</f>
        <v/>
      </c>
      <c r="N100">
        <f>IF($G100="","",IF($H100="مرجوعی خرید",-1,1)*($L100-$M100*IFERROR(VLOOKUP("P01",ParamTbl,3,0),1.5))*(1-IF($I100="خرید",IFERROR(VLOOKUP("P02",ParamTbl,3,0),1),0)/100))</f>
        <v/>
      </c>
      <c r="O100">
        <f>IF($G100="",0,IF($H100="مرجوعی خرید",-1,1)*IF(Sync!$AD97="",0,Sync!$AD97))</f>
        <v/>
      </c>
      <c r="P100">
        <f>IF(OR($G100="",Sync!$W97=""),"",Sync!$W97)</f>
        <v/>
      </c>
      <c r="Q100">
        <f>IF(OR($G100="",Sync!$AE97=""),"",Sync!$AE97)</f>
        <v/>
      </c>
      <c r="R100">
        <f>IF($G100="","",IF(Sync!$V97="","0000",IF(AND(ISNUMBER(Sync!$V97),Sync!$V97&gt;=0,Sync!$V97&lt;1),RIGHT("00"&amp;HOUR(Sync!$V97),2)&amp;RIGHT("00"&amp;MINUTE(Sync!$V97),2),IFERROR(RIGHT("00"&amp;VALUE(LEFT(Sync!$V97,FIND(":",Sync!$V97)-1)),2)&amp;RIGHT("00"&amp;VALUE(MID(Sync!$V97,FIND(":",Sync!$V97)+1,2)),2),"0000"))))</f>
        <v/>
      </c>
    </row>
    <row r="101">
      <c r="A101">
        <f>IF(Sync!$U98="","",Sync!$U98)</f>
        <v/>
      </c>
      <c r="B101">
        <f>IF($A101="","",IF(ISNUMBER($A101),IF(AND($A101&gt;=10000101,$A101&lt;=99991231),INT($A101/10000),""),IFERROR(VALUE(TRIM(LEFT($A101,FIND("/",$A101)-1))),"")))</f>
        <v/>
      </c>
      <c r="C101">
        <f>IF(OR($A101="",$B101=""),"",IF(ISNUMBER($A101),INT(MOD($A101,10000)/100),IFERROR(VALUE(TRIM(LEFT(MID($A101,FIND("/",$A101)+1,20),FIND("/",MID($A101,FIND("/",$A101)+1,20))-1))),"")))</f>
        <v/>
      </c>
      <c r="D101">
        <f>IF(OR($A101="",$B101=""),"",IF(ISNUMBER($A101),MOD($A101,100),IFERROR(VALUE(TRIM(MID(MID($A101,FIND("/",$A101)+1,20),FIND("/",MID($A101,FIND("/",$A101)+1,20))+1,20))),"")))</f>
        <v/>
      </c>
      <c r="E101">
        <f>IF($A101="","",IF(OR($B101="",$C101="",$D101="",$B101&lt;1300,$B101&gt;1500,$C101&lt;1,$C101&gt;12,$D101&lt;1,$D101&gt;31),"نامعتبر",RIGHT("0000"&amp;$B101,4)&amp;"/"&amp;RIGHT("00"&amp;$C101,2)&amp;"/"&amp;RIGHT("00"&amp;$D101,2)))</f>
        <v/>
      </c>
      <c r="F101">
        <f>IF(OR($E101="",$E101="نامعتبر"),"",LEFT($E101,4)&amp;"/"&amp;MID($E101,6,2))</f>
        <v/>
      </c>
      <c r="G101">
        <f>IF(OR($E101="",$E101="نامعتبر",Sync!$Y98=""),"",Sync!$Y98)</f>
        <v/>
      </c>
      <c r="H101">
        <f>IF($G101="","",IF(Sync!$X98="","",Sync!$X98))</f>
        <v/>
      </c>
      <c r="I101">
        <f>IF($G101="","",IFERROR(VLOOKUP(Sync!$X98,OpTbl,3,0),""))</f>
        <v/>
      </c>
      <c r="J101">
        <f>IF(OR($G101="",Sync!$Z98=""),"",Sync!$Z98)</f>
        <v/>
      </c>
      <c r="K101">
        <f>IF(OR($G101="",Sync!$AA98=""),"",Sync!$AA98)</f>
        <v/>
      </c>
      <c r="L101">
        <f>IF($G101="",0,IF(Sync!$AB98="",0,Sync!$AB98))</f>
        <v/>
      </c>
      <c r="M101">
        <f>IF($G101="",0,IF(Sync!$AC98="",0,Sync!$AC98))</f>
        <v/>
      </c>
      <c r="N101">
        <f>IF($G101="","",IF($H101="مرجوعی خرید",-1,1)*($L101-$M101*IFERROR(VLOOKUP("P01",ParamTbl,3,0),1.5))*(1-IF($I101="خرید",IFERROR(VLOOKUP("P02",ParamTbl,3,0),1),0)/100))</f>
        <v/>
      </c>
      <c r="O101">
        <f>IF($G101="",0,IF($H101="مرجوعی خرید",-1,1)*IF(Sync!$AD98="",0,Sync!$AD98))</f>
        <v/>
      </c>
      <c r="P101">
        <f>IF(OR($G101="",Sync!$W98=""),"",Sync!$W98)</f>
        <v/>
      </c>
      <c r="Q101">
        <f>IF(OR($G101="",Sync!$AE98=""),"",Sync!$AE98)</f>
        <v/>
      </c>
      <c r="R101">
        <f>IF($G101="","",IF(Sync!$V98="","0000",IF(AND(ISNUMBER(Sync!$V98),Sync!$V98&gt;=0,Sync!$V98&lt;1),RIGHT("00"&amp;HOUR(Sync!$V98),2)&amp;RIGHT("00"&amp;MINUTE(Sync!$V98),2),IFERROR(RIGHT("00"&amp;VALUE(LEFT(Sync!$V98,FIND(":",Sync!$V98)-1)),2)&amp;RIGHT("00"&amp;VALUE(MID(Sync!$V98,FIND(":",Sync!$V98)+1,2)),2),"0000"))))</f>
        <v/>
      </c>
    </row>
    <row r="102">
      <c r="A102">
        <f>IF(Sync!$U99="","",Sync!$U99)</f>
        <v/>
      </c>
      <c r="B102">
        <f>IF($A102="","",IF(ISNUMBER($A102),IF(AND($A102&gt;=10000101,$A102&lt;=99991231),INT($A102/10000),""),IFERROR(VALUE(TRIM(LEFT($A102,FIND("/",$A102)-1))),"")))</f>
        <v/>
      </c>
      <c r="C102">
        <f>IF(OR($A102="",$B102=""),"",IF(ISNUMBER($A102),INT(MOD($A102,10000)/100),IFERROR(VALUE(TRIM(LEFT(MID($A102,FIND("/",$A102)+1,20),FIND("/",MID($A102,FIND("/",$A102)+1,20))-1))),"")))</f>
        <v/>
      </c>
      <c r="D102">
        <f>IF(OR($A102="",$B102=""),"",IF(ISNUMBER($A102),MOD($A102,100),IFERROR(VALUE(TRIM(MID(MID($A102,FIND("/",$A102)+1,20),FIND("/",MID($A102,FIND("/",$A102)+1,20))+1,20))),"")))</f>
        <v/>
      </c>
      <c r="E102">
        <f>IF($A102="","",IF(OR($B102="",$C102="",$D102="",$B102&lt;1300,$B102&gt;1500,$C102&lt;1,$C102&gt;12,$D102&lt;1,$D102&gt;31),"نامعتبر",RIGHT("0000"&amp;$B102,4)&amp;"/"&amp;RIGHT("00"&amp;$C102,2)&amp;"/"&amp;RIGHT("00"&amp;$D102,2)))</f>
        <v/>
      </c>
      <c r="F102">
        <f>IF(OR($E102="",$E102="نامعتبر"),"",LEFT($E102,4)&amp;"/"&amp;MID($E102,6,2))</f>
        <v/>
      </c>
      <c r="G102">
        <f>IF(OR($E102="",$E102="نامعتبر",Sync!$Y99=""),"",Sync!$Y99)</f>
        <v/>
      </c>
      <c r="H102">
        <f>IF($G102="","",IF(Sync!$X99="","",Sync!$X99))</f>
        <v/>
      </c>
      <c r="I102">
        <f>IF($G102="","",IFERROR(VLOOKUP(Sync!$X99,OpTbl,3,0),""))</f>
        <v/>
      </c>
      <c r="J102">
        <f>IF(OR($G102="",Sync!$Z99=""),"",Sync!$Z99)</f>
        <v/>
      </c>
      <c r="K102">
        <f>IF(OR($G102="",Sync!$AA99=""),"",Sync!$AA99)</f>
        <v/>
      </c>
      <c r="L102">
        <f>IF($G102="",0,IF(Sync!$AB99="",0,Sync!$AB99))</f>
        <v/>
      </c>
      <c r="M102">
        <f>IF($G102="",0,IF(Sync!$AC99="",0,Sync!$AC99))</f>
        <v/>
      </c>
      <c r="N102">
        <f>IF($G102="","",IF($H102="مرجوعی خرید",-1,1)*($L102-$M102*IFERROR(VLOOKUP("P01",ParamTbl,3,0),1.5))*(1-IF($I102="خرید",IFERROR(VLOOKUP("P02",ParamTbl,3,0),1),0)/100))</f>
        <v/>
      </c>
      <c r="O102">
        <f>IF($G102="",0,IF($H102="مرجوعی خرید",-1,1)*IF(Sync!$AD99="",0,Sync!$AD99))</f>
        <v/>
      </c>
      <c r="P102">
        <f>IF(OR($G102="",Sync!$W99=""),"",Sync!$W99)</f>
        <v/>
      </c>
      <c r="Q102">
        <f>IF(OR($G102="",Sync!$AE99=""),"",Sync!$AE99)</f>
        <v/>
      </c>
      <c r="R102">
        <f>IF($G102="","",IF(Sync!$V99="","0000",IF(AND(ISNUMBER(Sync!$V99),Sync!$V99&gt;=0,Sync!$V99&lt;1),RIGHT("00"&amp;HOUR(Sync!$V99),2)&amp;RIGHT("00"&amp;MINUTE(Sync!$V99),2),IFERROR(RIGHT("00"&amp;VALUE(LEFT(Sync!$V99,FIND(":",Sync!$V99)-1)),2)&amp;RIGHT("00"&amp;VALUE(MID(Sync!$V99,FIND(":",Sync!$V99)+1,2)),2),"0000"))))</f>
        <v/>
      </c>
    </row>
    <row r="103">
      <c r="A103">
        <f>IF(Sync!$U100="","",Sync!$U100)</f>
        <v/>
      </c>
      <c r="B103">
        <f>IF($A103="","",IF(ISNUMBER($A103),IF(AND($A103&gt;=10000101,$A103&lt;=99991231),INT($A103/10000),""),IFERROR(VALUE(TRIM(LEFT($A103,FIND("/",$A103)-1))),"")))</f>
        <v/>
      </c>
      <c r="C103">
        <f>IF(OR($A103="",$B103=""),"",IF(ISNUMBER($A103),INT(MOD($A103,10000)/100),IFERROR(VALUE(TRIM(LEFT(MID($A103,FIND("/",$A103)+1,20),FIND("/",MID($A103,FIND("/",$A103)+1,20))-1))),"")))</f>
        <v/>
      </c>
      <c r="D103">
        <f>IF(OR($A103="",$B103=""),"",IF(ISNUMBER($A103),MOD($A103,100),IFERROR(VALUE(TRIM(MID(MID($A103,FIND("/",$A103)+1,20),FIND("/",MID($A103,FIND("/",$A103)+1,20))+1,20))),"")))</f>
        <v/>
      </c>
      <c r="E103">
        <f>IF($A103="","",IF(OR($B103="",$C103="",$D103="",$B103&lt;1300,$B103&gt;1500,$C103&lt;1,$C103&gt;12,$D103&lt;1,$D103&gt;31),"نامعتبر",RIGHT("0000"&amp;$B103,4)&amp;"/"&amp;RIGHT("00"&amp;$C103,2)&amp;"/"&amp;RIGHT("00"&amp;$D103,2)))</f>
        <v/>
      </c>
      <c r="F103">
        <f>IF(OR($E103="",$E103="نامعتبر"),"",LEFT($E103,4)&amp;"/"&amp;MID($E103,6,2))</f>
        <v/>
      </c>
      <c r="G103">
        <f>IF(OR($E103="",$E103="نامعتبر",Sync!$Y100=""),"",Sync!$Y100)</f>
        <v/>
      </c>
      <c r="H103">
        <f>IF($G103="","",IF(Sync!$X100="","",Sync!$X100))</f>
        <v/>
      </c>
      <c r="I103">
        <f>IF($G103="","",IFERROR(VLOOKUP(Sync!$X100,OpTbl,3,0),""))</f>
        <v/>
      </c>
      <c r="J103">
        <f>IF(OR($G103="",Sync!$Z100=""),"",Sync!$Z100)</f>
        <v/>
      </c>
      <c r="K103">
        <f>IF(OR($G103="",Sync!$AA100=""),"",Sync!$AA100)</f>
        <v/>
      </c>
      <c r="L103">
        <f>IF($G103="",0,IF(Sync!$AB100="",0,Sync!$AB100))</f>
        <v/>
      </c>
      <c r="M103">
        <f>IF($G103="",0,IF(Sync!$AC100="",0,Sync!$AC100))</f>
        <v/>
      </c>
      <c r="N103">
        <f>IF($G103="","",IF($H103="مرجوعی خرید",-1,1)*($L103-$M103*IFERROR(VLOOKUP("P01",ParamTbl,3,0),1.5))*(1-IF($I103="خرید",IFERROR(VLOOKUP("P02",ParamTbl,3,0),1),0)/100))</f>
        <v/>
      </c>
      <c r="O103">
        <f>IF($G103="",0,IF($H103="مرجوعی خرید",-1,1)*IF(Sync!$AD100="",0,Sync!$AD100))</f>
        <v/>
      </c>
      <c r="P103">
        <f>IF(OR($G103="",Sync!$W100=""),"",Sync!$W100)</f>
        <v/>
      </c>
      <c r="Q103">
        <f>IF(OR($G103="",Sync!$AE100=""),"",Sync!$AE100)</f>
        <v/>
      </c>
      <c r="R103">
        <f>IF($G103="","",IF(Sync!$V100="","0000",IF(AND(ISNUMBER(Sync!$V100),Sync!$V100&gt;=0,Sync!$V100&lt;1),RIGHT("00"&amp;HOUR(Sync!$V100),2)&amp;RIGHT("00"&amp;MINUTE(Sync!$V100),2),IFERROR(RIGHT("00"&amp;VALUE(LEFT(Sync!$V100,FIND(":",Sync!$V100)-1)),2)&amp;RIGHT("00"&amp;VALUE(MID(Sync!$V100,FIND(":",Sync!$V100)+1,2)),2),"0000"))))</f>
        <v/>
      </c>
    </row>
    <row r="104">
      <c r="A104">
        <f>IF(Sync!$U101="","",Sync!$U101)</f>
        <v/>
      </c>
      <c r="B104">
        <f>IF($A104="","",IF(ISNUMBER($A104),IF(AND($A104&gt;=10000101,$A104&lt;=99991231),INT($A104/10000),""),IFERROR(VALUE(TRIM(LEFT($A104,FIND("/",$A104)-1))),"")))</f>
        <v/>
      </c>
      <c r="C104">
        <f>IF(OR($A104="",$B104=""),"",IF(ISNUMBER($A104),INT(MOD($A104,10000)/100),IFERROR(VALUE(TRIM(LEFT(MID($A104,FIND("/",$A104)+1,20),FIND("/",MID($A104,FIND("/",$A104)+1,20))-1))),"")))</f>
        <v/>
      </c>
      <c r="D104">
        <f>IF(OR($A104="",$B104=""),"",IF(ISNUMBER($A104),MOD($A104,100),IFERROR(VALUE(TRIM(MID(MID($A104,FIND("/",$A104)+1,20),FIND("/",MID($A104,FIND("/",$A104)+1,20))+1,20))),"")))</f>
        <v/>
      </c>
      <c r="E104">
        <f>IF($A104="","",IF(OR($B104="",$C104="",$D104="",$B104&lt;1300,$B104&gt;1500,$C104&lt;1,$C104&gt;12,$D104&lt;1,$D104&gt;31),"نامعتبر",RIGHT("0000"&amp;$B104,4)&amp;"/"&amp;RIGHT("00"&amp;$C104,2)&amp;"/"&amp;RIGHT("00"&amp;$D104,2)))</f>
        <v/>
      </c>
      <c r="F104">
        <f>IF(OR($E104="",$E104="نامعتبر"),"",LEFT($E104,4)&amp;"/"&amp;MID($E104,6,2))</f>
        <v/>
      </c>
      <c r="G104">
        <f>IF(OR($E104="",$E104="نامعتبر",Sync!$Y101=""),"",Sync!$Y101)</f>
        <v/>
      </c>
      <c r="H104">
        <f>IF($G104="","",IF(Sync!$X101="","",Sync!$X101))</f>
        <v/>
      </c>
      <c r="I104">
        <f>IF($G104="","",IFERROR(VLOOKUP(Sync!$X101,OpTbl,3,0),""))</f>
        <v/>
      </c>
      <c r="J104">
        <f>IF(OR($G104="",Sync!$Z101=""),"",Sync!$Z101)</f>
        <v/>
      </c>
      <c r="K104">
        <f>IF(OR($G104="",Sync!$AA101=""),"",Sync!$AA101)</f>
        <v/>
      </c>
      <c r="L104">
        <f>IF($G104="",0,IF(Sync!$AB101="",0,Sync!$AB101))</f>
        <v/>
      </c>
      <c r="M104">
        <f>IF($G104="",0,IF(Sync!$AC101="",0,Sync!$AC101))</f>
        <v/>
      </c>
      <c r="N104">
        <f>IF($G104="","",IF($H104="مرجوعی خرید",-1,1)*($L104-$M104*IFERROR(VLOOKUP("P01",ParamTbl,3,0),1.5))*(1-IF($I104="خرید",IFERROR(VLOOKUP("P02",ParamTbl,3,0),1),0)/100))</f>
        <v/>
      </c>
      <c r="O104">
        <f>IF($G104="",0,IF($H104="مرجوعی خرید",-1,1)*IF(Sync!$AD101="",0,Sync!$AD101))</f>
        <v/>
      </c>
      <c r="P104">
        <f>IF(OR($G104="",Sync!$W101=""),"",Sync!$W101)</f>
        <v/>
      </c>
      <c r="Q104">
        <f>IF(OR($G104="",Sync!$AE101=""),"",Sync!$AE101)</f>
        <v/>
      </c>
      <c r="R104">
        <f>IF($G104="","",IF(Sync!$V101="","0000",IF(AND(ISNUMBER(Sync!$V101),Sync!$V101&gt;=0,Sync!$V101&lt;1),RIGHT("00"&amp;HOUR(Sync!$V101),2)&amp;RIGHT("00"&amp;MINUTE(Sync!$V101),2),IFERROR(RIGHT("00"&amp;VALUE(LEFT(Sync!$V101,FIND(":",Sync!$V101)-1)),2)&amp;RIGHT("00"&amp;VALUE(MID(Sync!$V101,FIND(":",Sync!$V101)+1,2)),2),"0000"))))</f>
        <v/>
      </c>
    </row>
    <row r="105">
      <c r="A105">
        <f>IF(Sync!$U102="","",Sync!$U102)</f>
        <v/>
      </c>
      <c r="B105">
        <f>IF($A105="","",IF(ISNUMBER($A105),IF(AND($A105&gt;=10000101,$A105&lt;=99991231),INT($A105/10000),""),IFERROR(VALUE(TRIM(LEFT($A105,FIND("/",$A105)-1))),"")))</f>
        <v/>
      </c>
      <c r="C105">
        <f>IF(OR($A105="",$B105=""),"",IF(ISNUMBER($A105),INT(MOD($A105,10000)/100),IFERROR(VALUE(TRIM(LEFT(MID($A105,FIND("/",$A105)+1,20),FIND("/",MID($A105,FIND("/",$A105)+1,20))-1))),"")))</f>
        <v/>
      </c>
      <c r="D105">
        <f>IF(OR($A105="",$B105=""),"",IF(ISNUMBER($A105),MOD($A105,100),IFERROR(VALUE(TRIM(MID(MID($A105,FIND("/",$A105)+1,20),FIND("/",MID($A105,FIND("/",$A105)+1,20))+1,20))),"")))</f>
        <v/>
      </c>
      <c r="E105">
        <f>IF($A105="","",IF(OR($B105="",$C105="",$D105="",$B105&lt;1300,$B105&gt;1500,$C105&lt;1,$C105&gt;12,$D105&lt;1,$D105&gt;31),"نامعتبر",RIGHT("0000"&amp;$B105,4)&amp;"/"&amp;RIGHT("00"&amp;$C105,2)&amp;"/"&amp;RIGHT("00"&amp;$D105,2)))</f>
        <v/>
      </c>
      <c r="F105">
        <f>IF(OR($E105="",$E105="نامعتبر"),"",LEFT($E105,4)&amp;"/"&amp;MID($E105,6,2))</f>
        <v/>
      </c>
      <c r="G105">
        <f>IF(OR($E105="",$E105="نامعتبر",Sync!$Y102=""),"",Sync!$Y102)</f>
        <v/>
      </c>
      <c r="H105">
        <f>IF($G105="","",IF(Sync!$X102="","",Sync!$X102))</f>
        <v/>
      </c>
      <c r="I105">
        <f>IF($G105="","",IFERROR(VLOOKUP(Sync!$X102,OpTbl,3,0),""))</f>
        <v/>
      </c>
      <c r="J105">
        <f>IF(OR($G105="",Sync!$Z102=""),"",Sync!$Z102)</f>
        <v/>
      </c>
      <c r="K105">
        <f>IF(OR($G105="",Sync!$AA102=""),"",Sync!$AA102)</f>
        <v/>
      </c>
      <c r="L105">
        <f>IF($G105="",0,IF(Sync!$AB102="",0,Sync!$AB102))</f>
        <v/>
      </c>
      <c r="M105">
        <f>IF($G105="",0,IF(Sync!$AC102="",0,Sync!$AC102))</f>
        <v/>
      </c>
      <c r="N105">
        <f>IF($G105="","",IF($H105="مرجوعی خرید",-1,1)*($L105-$M105*IFERROR(VLOOKUP("P01",ParamTbl,3,0),1.5))*(1-IF($I105="خرید",IFERROR(VLOOKUP("P02",ParamTbl,3,0),1),0)/100))</f>
        <v/>
      </c>
      <c r="O105">
        <f>IF($G105="",0,IF($H105="مرجوعی خرید",-1,1)*IF(Sync!$AD102="",0,Sync!$AD102))</f>
        <v/>
      </c>
      <c r="P105">
        <f>IF(OR($G105="",Sync!$W102=""),"",Sync!$W102)</f>
        <v/>
      </c>
      <c r="Q105">
        <f>IF(OR($G105="",Sync!$AE102=""),"",Sync!$AE102)</f>
        <v/>
      </c>
      <c r="R105">
        <f>IF($G105="","",IF(Sync!$V102="","0000",IF(AND(ISNUMBER(Sync!$V102),Sync!$V102&gt;=0,Sync!$V102&lt;1),RIGHT("00"&amp;HOUR(Sync!$V102),2)&amp;RIGHT("00"&amp;MINUTE(Sync!$V102),2),IFERROR(RIGHT("00"&amp;VALUE(LEFT(Sync!$V102,FIND(":",Sync!$V102)-1)),2)&amp;RIGHT("00"&amp;VALUE(MID(Sync!$V102,FIND(":",Sync!$V102)+1,2)),2),"0000"))))</f>
        <v/>
      </c>
    </row>
    <row r="106">
      <c r="A106">
        <f>IF(Sync!$U103="","",Sync!$U103)</f>
        <v/>
      </c>
      <c r="B106">
        <f>IF($A106="","",IF(ISNUMBER($A106),IF(AND($A106&gt;=10000101,$A106&lt;=99991231),INT($A106/10000),""),IFERROR(VALUE(TRIM(LEFT($A106,FIND("/",$A106)-1))),"")))</f>
        <v/>
      </c>
      <c r="C106">
        <f>IF(OR($A106="",$B106=""),"",IF(ISNUMBER($A106),INT(MOD($A106,10000)/100),IFERROR(VALUE(TRIM(LEFT(MID($A106,FIND("/",$A106)+1,20),FIND("/",MID($A106,FIND("/",$A106)+1,20))-1))),"")))</f>
        <v/>
      </c>
      <c r="D106">
        <f>IF(OR($A106="",$B106=""),"",IF(ISNUMBER($A106),MOD($A106,100),IFERROR(VALUE(TRIM(MID(MID($A106,FIND("/",$A106)+1,20),FIND("/",MID($A106,FIND("/",$A106)+1,20))+1,20))),"")))</f>
        <v/>
      </c>
      <c r="E106">
        <f>IF($A106="","",IF(OR($B106="",$C106="",$D106="",$B106&lt;1300,$B106&gt;1500,$C106&lt;1,$C106&gt;12,$D106&lt;1,$D106&gt;31),"نامعتبر",RIGHT("0000"&amp;$B106,4)&amp;"/"&amp;RIGHT("00"&amp;$C106,2)&amp;"/"&amp;RIGHT("00"&amp;$D106,2)))</f>
        <v/>
      </c>
      <c r="F106">
        <f>IF(OR($E106="",$E106="نامعتبر"),"",LEFT($E106,4)&amp;"/"&amp;MID($E106,6,2))</f>
        <v/>
      </c>
      <c r="G106">
        <f>IF(OR($E106="",$E106="نامعتبر",Sync!$Y103=""),"",Sync!$Y103)</f>
        <v/>
      </c>
      <c r="H106">
        <f>IF($G106="","",IF(Sync!$X103="","",Sync!$X103))</f>
        <v/>
      </c>
      <c r="I106">
        <f>IF($G106="","",IFERROR(VLOOKUP(Sync!$X103,OpTbl,3,0),""))</f>
        <v/>
      </c>
      <c r="J106">
        <f>IF(OR($G106="",Sync!$Z103=""),"",Sync!$Z103)</f>
        <v/>
      </c>
      <c r="K106">
        <f>IF(OR($G106="",Sync!$AA103=""),"",Sync!$AA103)</f>
        <v/>
      </c>
      <c r="L106">
        <f>IF($G106="",0,IF(Sync!$AB103="",0,Sync!$AB103))</f>
        <v/>
      </c>
      <c r="M106">
        <f>IF($G106="",0,IF(Sync!$AC103="",0,Sync!$AC103))</f>
        <v/>
      </c>
      <c r="N106">
        <f>IF($G106="","",IF($H106="مرجوعی خرید",-1,1)*($L106-$M106*IFERROR(VLOOKUP("P01",ParamTbl,3,0),1.5))*(1-IF($I106="خرید",IFERROR(VLOOKUP("P02",ParamTbl,3,0),1),0)/100))</f>
        <v/>
      </c>
      <c r="O106">
        <f>IF($G106="",0,IF($H106="مرجوعی خرید",-1,1)*IF(Sync!$AD103="",0,Sync!$AD103))</f>
        <v/>
      </c>
      <c r="P106">
        <f>IF(OR($G106="",Sync!$W103=""),"",Sync!$W103)</f>
        <v/>
      </c>
      <c r="Q106">
        <f>IF(OR($G106="",Sync!$AE103=""),"",Sync!$AE103)</f>
        <v/>
      </c>
      <c r="R106">
        <f>IF($G106="","",IF(Sync!$V103="","0000",IF(AND(ISNUMBER(Sync!$V103),Sync!$V103&gt;=0,Sync!$V103&lt;1),RIGHT("00"&amp;HOUR(Sync!$V103),2)&amp;RIGHT("00"&amp;MINUTE(Sync!$V103),2),IFERROR(RIGHT("00"&amp;VALUE(LEFT(Sync!$V103,FIND(":",Sync!$V103)-1)),2)&amp;RIGHT("00"&amp;VALUE(MID(Sync!$V103,FIND(":",Sync!$V103)+1,2)),2),"0000"))))</f>
        <v/>
      </c>
    </row>
    <row r="107">
      <c r="A107">
        <f>IF(Sync!$U104="","",Sync!$U104)</f>
        <v/>
      </c>
      <c r="B107">
        <f>IF($A107="","",IF(ISNUMBER($A107),IF(AND($A107&gt;=10000101,$A107&lt;=99991231),INT($A107/10000),""),IFERROR(VALUE(TRIM(LEFT($A107,FIND("/",$A107)-1))),"")))</f>
        <v/>
      </c>
      <c r="C107">
        <f>IF(OR($A107="",$B107=""),"",IF(ISNUMBER($A107),INT(MOD($A107,10000)/100),IFERROR(VALUE(TRIM(LEFT(MID($A107,FIND("/",$A107)+1,20),FIND("/",MID($A107,FIND("/",$A107)+1,20))-1))),"")))</f>
        <v/>
      </c>
      <c r="D107">
        <f>IF(OR($A107="",$B107=""),"",IF(ISNUMBER($A107),MOD($A107,100),IFERROR(VALUE(TRIM(MID(MID($A107,FIND("/",$A107)+1,20),FIND("/",MID($A107,FIND("/",$A107)+1,20))+1,20))),"")))</f>
        <v/>
      </c>
      <c r="E107">
        <f>IF($A107="","",IF(OR($B107="",$C107="",$D107="",$B107&lt;1300,$B107&gt;1500,$C107&lt;1,$C107&gt;12,$D107&lt;1,$D107&gt;31),"نامعتبر",RIGHT("0000"&amp;$B107,4)&amp;"/"&amp;RIGHT("00"&amp;$C107,2)&amp;"/"&amp;RIGHT("00"&amp;$D107,2)))</f>
        <v/>
      </c>
      <c r="F107">
        <f>IF(OR($E107="",$E107="نامعتبر"),"",LEFT($E107,4)&amp;"/"&amp;MID($E107,6,2))</f>
        <v/>
      </c>
      <c r="G107">
        <f>IF(OR($E107="",$E107="نامعتبر",Sync!$Y104=""),"",Sync!$Y104)</f>
        <v/>
      </c>
      <c r="H107">
        <f>IF($G107="","",IF(Sync!$X104="","",Sync!$X104))</f>
        <v/>
      </c>
      <c r="I107">
        <f>IF($G107="","",IFERROR(VLOOKUP(Sync!$X104,OpTbl,3,0),""))</f>
        <v/>
      </c>
      <c r="J107">
        <f>IF(OR($G107="",Sync!$Z104=""),"",Sync!$Z104)</f>
        <v/>
      </c>
      <c r="K107">
        <f>IF(OR($G107="",Sync!$AA104=""),"",Sync!$AA104)</f>
        <v/>
      </c>
      <c r="L107">
        <f>IF($G107="",0,IF(Sync!$AB104="",0,Sync!$AB104))</f>
        <v/>
      </c>
      <c r="M107">
        <f>IF($G107="",0,IF(Sync!$AC104="",0,Sync!$AC104))</f>
        <v/>
      </c>
      <c r="N107">
        <f>IF($G107="","",IF($H107="مرجوعی خرید",-1,1)*($L107-$M107*IFERROR(VLOOKUP("P01",ParamTbl,3,0),1.5))*(1-IF($I107="خرید",IFERROR(VLOOKUP("P02",ParamTbl,3,0),1),0)/100))</f>
        <v/>
      </c>
      <c r="O107">
        <f>IF($G107="",0,IF($H107="مرجوعی خرید",-1,1)*IF(Sync!$AD104="",0,Sync!$AD104))</f>
        <v/>
      </c>
      <c r="P107">
        <f>IF(OR($G107="",Sync!$W104=""),"",Sync!$W104)</f>
        <v/>
      </c>
      <c r="Q107">
        <f>IF(OR($G107="",Sync!$AE104=""),"",Sync!$AE104)</f>
        <v/>
      </c>
      <c r="R107">
        <f>IF($G107="","",IF(Sync!$V104="","0000",IF(AND(ISNUMBER(Sync!$V104),Sync!$V104&gt;=0,Sync!$V104&lt;1),RIGHT("00"&amp;HOUR(Sync!$V104),2)&amp;RIGHT("00"&amp;MINUTE(Sync!$V104),2),IFERROR(RIGHT("00"&amp;VALUE(LEFT(Sync!$V104,FIND(":",Sync!$V104)-1)),2)&amp;RIGHT("00"&amp;VALUE(MID(Sync!$V104,FIND(":",Sync!$V104)+1,2)),2),"0000"))))</f>
        <v/>
      </c>
    </row>
    <row r="108">
      <c r="A108">
        <f>IF(Sync!$U105="","",Sync!$U105)</f>
        <v/>
      </c>
      <c r="B108">
        <f>IF($A108="","",IF(ISNUMBER($A108),IF(AND($A108&gt;=10000101,$A108&lt;=99991231),INT($A108/10000),""),IFERROR(VALUE(TRIM(LEFT($A108,FIND("/",$A108)-1))),"")))</f>
        <v/>
      </c>
      <c r="C108">
        <f>IF(OR($A108="",$B108=""),"",IF(ISNUMBER($A108),INT(MOD($A108,10000)/100),IFERROR(VALUE(TRIM(LEFT(MID($A108,FIND("/",$A108)+1,20),FIND("/",MID($A108,FIND("/",$A108)+1,20))-1))),"")))</f>
        <v/>
      </c>
      <c r="D108">
        <f>IF(OR($A108="",$B108=""),"",IF(ISNUMBER($A108),MOD($A108,100),IFERROR(VALUE(TRIM(MID(MID($A108,FIND("/",$A108)+1,20),FIND("/",MID($A108,FIND("/",$A108)+1,20))+1,20))),"")))</f>
        <v/>
      </c>
      <c r="E108">
        <f>IF($A108="","",IF(OR($B108="",$C108="",$D108="",$B108&lt;1300,$B108&gt;1500,$C108&lt;1,$C108&gt;12,$D108&lt;1,$D108&gt;31),"نامعتبر",RIGHT("0000"&amp;$B108,4)&amp;"/"&amp;RIGHT("00"&amp;$C108,2)&amp;"/"&amp;RIGHT("00"&amp;$D108,2)))</f>
        <v/>
      </c>
      <c r="F108">
        <f>IF(OR($E108="",$E108="نامعتبر"),"",LEFT($E108,4)&amp;"/"&amp;MID($E108,6,2))</f>
        <v/>
      </c>
      <c r="G108">
        <f>IF(OR($E108="",$E108="نامعتبر",Sync!$Y105=""),"",Sync!$Y105)</f>
        <v/>
      </c>
      <c r="H108">
        <f>IF($G108="","",IF(Sync!$X105="","",Sync!$X105))</f>
        <v/>
      </c>
      <c r="I108">
        <f>IF($G108="","",IFERROR(VLOOKUP(Sync!$X105,OpTbl,3,0),""))</f>
        <v/>
      </c>
      <c r="J108">
        <f>IF(OR($G108="",Sync!$Z105=""),"",Sync!$Z105)</f>
        <v/>
      </c>
      <c r="K108">
        <f>IF(OR($G108="",Sync!$AA105=""),"",Sync!$AA105)</f>
        <v/>
      </c>
      <c r="L108">
        <f>IF($G108="",0,IF(Sync!$AB105="",0,Sync!$AB105))</f>
        <v/>
      </c>
      <c r="M108">
        <f>IF($G108="",0,IF(Sync!$AC105="",0,Sync!$AC105))</f>
        <v/>
      </c>
      <c r="N108">
        <f>IF($G108="","",IF($H108="مرجوعی خرید",-1,1)*($L108-$M108*IFERROR(VLOOKUP("P01",ParamTbl,3,0),1.5))*(1-IF($I108="خرید",IFERROR(VLOOKUP("P02",ParamTbl,3,0),1),0)/100))</f>
        <v/>
      </c>
      <c r="O108">
        <f>IF($G108="",0,IF($H108="مرجوعی خرید",-1,1)*IF(Sync!$AD105="",0,Sync!$AD105))</f>
        <v/>
      </c>
      <c r="P108">
        <f>IF(OR($G108="",Sync!$W105=""),"",Sync!$W105)</f>
        <v/>
      </c>
      <c r="Q108">
        <f>IF(OR($G108="",Sync!$AE105=""),"",Sync!$AE105)</f>
        <v/>
      </c>
      <c r="R108">
        <f>IF($G108="","",IF(Sync!$V105="","0000",IF(AND(ISNUMBER(Sync!$V105),Sync!$V105&gt;=0,Sync!$V105&lt;1),RIGHT("00"&amp;HOUR(Sync!$V105),2)&amp;RIGHT("00"&amp;MINUTE(Sync!$V105),2),IFERROR(RIGHT("00"&amp;VALUE(LEFT(Sync!$V105,FIND(":",Sync!$V105)-1)),2)&amp;RIGHT("00"&amp;VALUE(MID(Sync!$V105,FIND(":",Sync!$V105)+1,2)),2),"0000"))))</f>
        <v/>
      </c>
    </row>
    <row r="109">
      <c r="A109">
        <f>IF(Sync!$U106="","",Sync!$U106)</f>
        <v/>
      </c>
      <c r="B109">
        <f>IF($A109="","",IF(ISNUMBER($A109),IF(AND($A109&gt;=10000101,$A109&lt;=99991231),INT($A109/10000),""),IFERROR(VALUE(TRIM(LEFT($A109,FIND("/",$A109)-1))),"")))</f>
        <v/>
      </c>
      <c r="C109">
        <f>IF(OR($A109="",$B109=""),"",IF(ISNUMBER($A109),INT(MOD($A109,10000)/100),IFERROR(VALUE(TRIM(LEFT(MID($A109,FIND("/",$A109)+1,20),FIND("/",MID($A109,FIND("/",$A109)+1,20))-1))),"")))</f>
        <v/>
      </c>
      <c r="D109">
        <f>IF(OR($A109="",$B109=""),"",IF(ISNUMBER($A109),MOD($A109,100),IFERROR(VALUE(TRIM(MID(MID($A109,FIND("/",$A109)+1,20),FIND("/",MID($A109,FIND("/",$A109)+1,20))+1,20))),"")))</f>
        <v/>
      </c>
      <c r="E109">
        <f>IF($A109="","",IF(OR($B109="",$C109="",$D109="",$B109&lt;1300,$B109&gt;1500,$C109&lt;1,$C109&gt;12,$D109&lt;1,$D109&gt;31),"نامعتبر",RIGHT("0000"&amp;$B109,4)&amp;"/"&amp;RIGHT("00"&amp;$C109,2)&amp;"/"&amp;RIGHT("00"&amp;$D109,2)))</f>
        <v/>
      </c>
      <c r="F109">
        <f>IF(OR($E109="",$E109="نامعتبر"),"",LEFT($E109,4)&amp;"/"&amp;MID($E109,6,2))</f>
        <v/>
      </c>
      <c r="G109">
        <f>IF(OR($E109="",$E109="نامعتبر",Sync!$Y106=""),"",Sync!$Y106)</f>
        <v/>
      </c>
      <c r="H109">
        <f>IF($G109="","",IF(Sync!$X106="","",Sync!$X106))</f>
        <v/>
      </c>
      <c r="I109">
        <f>IF($G109="","",IFERROR(VLOOKUP(Sync!$X106,OpTbl,3,0),""))</f>
        <v/>
      </c>
      <c r="J109">
        <f>IF(OR($G109="",Sync!$Z106=""),"",Sync!$Z106)</f>
        <v/>
      </c>
      <c r="K109">
        <f>IF(OR($G109="",Sync!$AA106=""),"",Sync!$AA106)</f>
        <v/>
      </c>
      <c r="L109">
        <f>IF($G109="",0,IF(Sync!$AB106="",0,Sync!$AB106))</f>
        <v/>
      </c>
      <c r="M109">
        <f>IF($G109="",0,IF(Sync!$AC106="",0,Sync!$AC106))</f>
        <v/>
      </c>
      <c r="N109">
        <f>IF($G109="","",IF($H109="مرجوعی خرید",-1,1)*($L109-$M109*IFERROR(VLOOKUP("P01",ParamTbl,3,0),1.5))*(1-IF($I109="خرید",IFERROR(VLOOKUP("P02",ParamTbl,3,0),1),0)/100))</f>
        <v/>
      </c>
      <c r="O109">
        <f>IF($G109="",0,IF($H109="مرجوعی خرید",-1,1)*IF(Sync!$AD106="",0,Sync!$AD106))</f>
        <v/>
      </c>
      <c r="P109">
        <f>IF(OR($G109="",Sync!$W106=""),"",Sync!$W106)</f>
        <v/>
      </c>
      <c r="Q109">
        <f>IF(OR($G109="",Sync!$AE106=""),"",Sync!$AE106)</f>
        <v/>
      </c>
      <c r="R109">
        <f>IF($G109="","",IF(Sync!$V106="","0000",IF(AND(ISNUMBER(Sync!$V106),Sync!$V106&gt;=0,Sync!$V106&lt;1),RIGHT("00"&amp;HOUR(Sync!$V106),2)&amp;RIGHT("00"&amp;MINUTE(Sync!$V106),2),IFERROR(RIGHT("00"&amp;VALUE(LEFT(Sync!$V106,FIND(":",Sync!$V106)-1)),2)&amp;RIGHT("00"&amp;VALUE(MID(Sync!$V106,FIND(":",Sync!$V106)+1,2)),2),"0000"))))</f>
        <v/>
      </c>
    </row>
    <row r="110">
      <c r="A110">
        <f>IF(Sync!$U107="","",Sync!$U107)</f>
        <v/>
      </c>
      <c r="B110">
        <f>IF($A110="","",IF(ISNUMBER($A110),IF(AND($A110&gt;=10000101,$A110&lt;=99991231),INT($A110/10000),""),IFERROR(VALUE(TRIM(LEFT($A110,FIND("/",$A110)-1))),"")))</f>
        <v/>
      </c>
      <c r="C110">
        <f>IF(OR($A110="",$B110=""),"",IF(ISNUMBER($A110),INT(MOD($A110,10000)/100),IFERROR(VALUE(TRIM(LEFT(MID($A110,FIND("/",$A110)+1,20),FIND("/",MID($A110,FIND("/",$A110)+1,20))-1))),"")))</f>
        <v/>
      </c>
      <c r="D110">
        <f>IF(OR($A110="",$B110=""),"",IF(ISNUMBER($A110),MOD($A110,100),IFERROR(VALUE(TRIM(MID(MID($A110,FIND("/",$A110)+1,20),FIND("/",MID($A110,FIND("/",$A110)+1,20))+1,20))),"")))</f>
        <v/>
      </c>
      <c r="E110">
        <f>IF($A110="","",IF(OR($B110="",$C110="",$D110="",$B110&lt;1300,$B110&gt;1500,$C110&lt;1,$C110&gt;12,$D110&lt;1,$D110&gt;31),"نامعتبر",RIGHT("0000"&amp;$B110,4)&amp;"/"&amp;RIGHT("00"&amp;$C110,2)&amp;"/"&amp;RIGHT("00"&amp;$D110,2)))</f>
        <v/>
      </c>
      <c r="F110">
        <f>IF(OR($E110="",$E110="نامعتبر"),"",LEFT($E110,4)&amp;"/"&amp;MID($E110,6,2))</f>
        <v/>
      </c>
      <c r="G110">
        <f>IF(OR($E110="",$E110="نامعتبر",Sync!$Y107=""),"",Sync!$Y107)</f>
        <v/>
      </c>
      <c r="H110">
        <f>IF($G110="","",IF(Sync!$X107="","",Sync!$X107))</f>
        <v/>
      </c>
      <c r="I110">
        <f>IF($G110="","",IFERROR(VLOOKUP(Sync!$X107,OpTbl,3,0),""))</f>
        <v/>
      </c>
      <c r="J110">
        <f>IF(OR($G110="",Sync!$Z107=""),"",Sync!$Z107)</f>
        <v/>
      </c>
      <c r="K110">
        <f>IF(OR($G110="",Sync!$AA107=""),"",Sync!$AA107)</f>
        <v/>
      </c>
      <c r="L110">
        <f>IF($G110="",0,IF(Sync!$AB107="",0,Sync!$AB107))</f>
        <v/>
      </c>
      <c r="M110">
        <f>IF($G110="",0,IF(Sync!$AC107="",0,Sync!$AC107))</f>
        <v/>
      </c>
      <c r="N110">
        <f>IF($G110="","",IF($H110="مرجوعی خرید",-1,1)*($L110-$M110*IFERROR(VLOOKUP("P01",ParamTbl,3,0),1.5))*(1-IF($I110="خرید",IFERROR(VLOOKUP("P02",ParamTbl,3,0),1),0)/100))</f>
        <v/>
      </c>
      <c r="O110">
        <f>IF($G110="",0,IF($H110="مرجوعی خرید",-1,1)*IF(Sync!$AD107="",0,Sync!$AD107))</f>
        <v/>
      </c>
      <c r="P110">
        <f>IF(OR($G110="",Sync!$W107=""),"",Sync!$W107)</f>
        <v/>
      </c>
      <c r="Q110">
        <f>IF(OR($G110="",Sync!$AE107=""),"",Sync!$AE107)</f>
        <v/>
      </c>
      <c r="R110">
        <f>IF($G110="","",IF(Sync!$V107="","0000",IF(AND(ISNUMBER(Sync!$V107),Sync!$V107&gt;=0,Sync!$V107&lt;1),RIGHT("00"&amp;HOUR(Sync!$V107),2)&amp;RIGHT("00"&amp;MINUTE(Sync!$V107),2),IFERROR(RIGHT("00"&amp;VALUE(LEFT(Sync!$V107,FIND(":",Sync!$V107)-1)),2)&amp;RIGHT("00"&amp;VALUE(MID(Sync!$V107,FIND(":",Sync!$V107)+1,2)),2),"0000"))))</f>
        <v/>
      </c>
    </row>
    <row r="111">
      <c r="A111">
        <f>IF(Sync!$U108="","",Sync!$U108)</f>
        <v/>
      </c>
      <c r="B111">
        <f>IF($A111="","",IF(ISNUMBER($A111),IF(AND($A111&gt;=10000101,$A111&lt;=99991231),INT($A111/10000),""),IFERROR(VALUE(TRIM(LEFT($A111,FIND("/",$A111)-1))),"")))</f>
        <v/>
      </c>
      <c r="C111">
        <f>IF(OR($A111="",$B111=""),"",IF(ISNUMBER($A111),INT(MOD($A111,10000)/100),IFERROR(VALUE(TRIM(LEFT(MID($A111,FIND("/",$A111)+1,20),FIND("/",MID($A111,FIND("/",$A111)+1,20))-1))),"")))</f>
        <v/>
      </c>
      <c r="D111">
        <f>IF(OR($A111="",$B111=""),"",IF(ISNUMBER($A111),MOD($A111,100),IFERROR(VALUE(TRIM(MID(MID($A111,FIND("/",$A111)+1,20),FIND("/",MID($A111,FIND("/",$A111)+1,20))+1,20))),"")))</f>
        <v/>
      </c>
      <c r="E111">
        <f>IF($A111="","",IF(OR($B111="",$C111="",$D111="",$B111&lt;1300,$B111&gt;1500,$C111&lt;1,$C111&gt;12,$D111&lt;1,$D111&gt;31),"نامعتبر",RIGHT("0000"&amp;$B111,4)&amp;"/"&amp;RIGHT("00"&amp;$C111,2)&amp;"/"&amp;RIGHT("00"&amp;$D111,2)))</f>
        <v/>
      </c>
      <c r="F111">
        <f>IF(OR($E111="",$E111="نامعتبر"),"",LEFT($E111,4)&amp;"/"&amp;MID($E111,6,2))</f>
        <v/>
      </c>
      <c r="G111">
        <f>IF(OR($E111="",$E111="نامعتبر",Sync!$Y108=""),"",Sync!$Y108)</f>
        <v/>
      </c>
      <c r="H111">
        <f>IF($G111="","",IF(Sync!$X108="","",Sync!$X108))</f>
        <v/>
      </c>
      <c r="I111">
        <f>IF($G111="","",IFERROR(VLOOKUP(Sync!$X108,OpTbl,3,0),""))</f>
        <v/>
      </c>
      <c r="J111">
        <f>IF(OR($G111="",Sync!$Z108=""),"",Sync!$Z108)</f>
        <v/>
      </c>
      <c r="K111">
        <f>IF(OR($G111="",Sync!$AA108=""),"",Sync!$AA108)</f>
        <v/>
      </c>
      <c r="L111">
        <f>IF($G111="",0,IF(Sync!$AB108="",0,Sync!$AB108))</f>
        <v/>
      </c>
      <c r="M111">
        <f>IF($G111="",0,IF(Sync!$AC108="",0,Sync!$AC108))</f>
        <v/>
      </c>
      <c r="N111">
        <f>IF($G111="","",IF($H111="مرجوعی خرید",-1,1)*($L111-$M111*IFERROR(VLOOKUP("P01",ParamTbl,3,0),1.5))*(1-IF($I111="خرید",IFERROR(VLOOKUP("P02",ParamTbl,3,0),1),0)/100))</f>
        <v/>
      </c>
      <c r="O111">
        <f>IF($G111="",0,IF($H111="مرجوعی خرید",-1,1)*IF(Sync!$AD108="",0,Sync!$AD108))</f>
        <v/>
      </c>
      <c r="P111">
        <f>IF(OR($G111="",Sync!$W108=""),"",Sync!$W108)</f>
        <v/>
      </c>
      <c r="Q111">
        <f>IF(OR($G111="",Sync!$AE108=""),"",Sync!$AE108)</f>
        <v/>
      </c>
      <c r="R111">
        <f>IF($G111="","",IF(Sync!$V108="","0000",IF(AND(ISNUMBER(Sync!$V108),Sync!$V108&gt;=0,Sync!$V108&lt;1),RIGHT("00"&amp;HOUR(Sync!$V108),2)&amp;RIGHT("00"&amp;MINUTE(Sync!$V108),2),IFERROR(RIGHT("00"&amp;VALUE(LEFT(Sync!$V108,FIND(":",Sync!$V108)-1)),2)&amp;RIGHT("00"&amp;VALUE(MID(Sync!$V108,FIND(":",Sync!$V108)+1,2)),2),"0000"))))</f>
        <v/>
      </c>
    </row>
    <row r="112">
      <c r="A112">
        <f>IF(Sync!$U109="","",Sync!$U109)</f>
        <v/>
      </c>
      <c r="B112">
        <f>IF($A112="","",IF(ISNUMBER($A112),IF(AND($A112&gt;=10000101,$A112&lt;=99991231),INT($A112/10000),""),IFERROR(VALUE(TRIM(LEFT($A112,FIND("/",$A112)-1))),"")))</f>
        <v/>
      </c>
      <c r="C112">
        <f>IF(OR($A112="",$B112=""),"",IF(ISNUMBER($A112),INT(MOD($A112,10000)/100),IFERROR(VALUE(TRIM(LEFT(MID($A112,FIND("/",$A112)+1,20),FIND("/",MID($A112,FIND("/",$A112)+1,20))-1))),"")))</f>
        <v/>
      </c>
      <c r="D112">
        <f>IF(OR($A112="",$B112=""),"",IF(ISNUMBER($A112),MOD($A112,100),IFERROR(VALUE(TRIM(MID(MID($A112,FIND("/",$A112)+1,20),FIND("/",MID($A112,FIND("/",$A112)+1,20))+1,20))),"")))</f>
        <v/>
      </c>
      <c r="E112">
        <f>IF($A112="","",IF(OR($B112="",$C112="",$D112="",$B112&lt;1300,$B112&gt;1500,$C112&lt;1,$C112&gt;12,$D112&lt;1,$D112&gt;31),"نامعتبر",RIGHT("0000"&amp;$B112,4)&amp;"/"&amp;RIGHT("00"&amp;$C112,2)&amp;"/"&amp;RIGHT("00"&amp;$D112,2)))</f>
        <v/>
      </c>
      <c r="F112">
        <f>IF(OR($E112="",$E112="نامعتبر"),"",LEFT($E112,4)&amp;"/"&amp;MID($E112,6,2))</f>
        <v/>
      </c>
      <c r="G112">
        <f>IF(OR($E112="",$E112="نامعتبر",Sync!$Y109=""),"",Sync!$Y109)</f>
        <v/>
      </c>
      <c r="H112">
        <f>IF($G112="","",IF(Sync!$X109="","",Sync!$X109))</f>
        <v/>
      </c>
      <c r="I112">
        <f>IF($G112="","",IFERROR(VLOOKUP(Sync!$X109,OpTbl,3,0),""))</f>
        <v/>
      </c>
      <c r="J112">
        <f>IF(OR($G112="",Sync!$Z109=""),"",Sync!$Z109)</f>
        <v/>
      </c>
      <c r="K112">
        <f>IF(OR($G112="",Sync!$AA109=""),"",Sync!$AA109)</f>
        <v/>
      </c>
      <c r="L112">
        <f>IF($G112="",0,IF(Sync!$AB109="",0,Sync!$AB109))</f>
        <v/>
      </c>
      <c r="M112">
        <f>IF($G112="",0,IF(Sync!$AC109="",0,Sync!$AC109))</f>
        <v/>
      </c>
      <c r="N112">
        <f>IF($G112="","",IF($H112="مرجوعی خرید",-1,1)*($L112-$M112*IFERROR(VLOOKUP("P01",ParamTbl,3,0),1.5))*(1-IF($I112="خرید",IFERROR(VLOOKUP("P02",ParamTbl,3,0),1),0)/100))</f>
        <v/>
      </c>
      <c r="O112">
        <f>IF($G112="",0,IF($H112="مرجوعی خرید",-1,1)*IF(Sync!$AD109="",0,Sync!$AD109))</f>
        <v/>
      </c>
      <c r="P112">
        <f>IF(OR($G112="",Sync!$W109=""),"",Sync!$W109)</f>
        <v/>
      </c>
      <c r="Q112">
        <f>IF(OR($G112="",Sync!$AE109=""),"",Sync!$AE109)</f>
        <v/>
      </c>
      <c r="R112">
        <f>IF($G112="","",IF(Sync!$V109="","0000",IF(AND(ISNUMBER(Sync!$V109),Sync!$V109&gt;=0,Sync!$V109&lt;1),RIGHT("00"&amp;HOUR(Sync!$V109),2)&amp;RIGHT("00"&amp;MINUTE(Sync!$V109),2),IFERROR(RIGHT("00"&amp;VALUE(LEFT(Sync!$V109,FIND(":",Sync!$V109)-1)),2)&amp;RIGHT("00"&amp;VALUE(MID(Sync!$V109,FIND(":",Sync!$V109)+1,2)),2),"0000"))))</f>
        <v/>
      </c>
    </row>
    <row r="113">
      <c r="A113">
        <f>IF(Sync!$U110="","",Sync!$U110)</f>
        <v/>
      </c>
      <c r="B113">
        <f>IF($A113="","",IF(ISNUMBER($A113),IF(AND($A113&gt;=10000101,$A113&lt;=99991231),INT($A113/10000),""),IFERROR(VALUE(TRIM(LEFT($A113,FIND("/",$A113)-1))),"")))</f>
        <v/>
      </c>
      <c r="C113">
        <f>IF(OR($A113="",$B113=""),"",IF(ISNUMBER($A113),INT(MOD($A113,10000)/100),IFERROR(VALUE(TRIM(LEFT(MID($A113,FIND("/",$A113)+1,20),FIND("/",MID($A113,FIND("/",$A113)+1,20))-1))),"")))</f>
        <v/>
      </c>
      <c r="D113">
        <f>IF(OR($A113="",$B113=""),"",IF(ISNUMBER($A113),MOD($A113,100),IFERROR(VALUE(TRIM(MID(MID($A113,FIND("/",$A113)+1,20),FIND("/",MID($A113,FIND("/",$A113)+1,20))+1,20))),"")))</f>
        <v/>
      </c>
      <c r="E113">
        <f>IF($A113="","",IF(OR($B113="",$C113="",$D113="",$B113&lt;1300,$B113&gt;1500,$C113&lt;1,$C113&gt;12,$D113&lt;1,$D113&gt;31),"نامعتبر",RIGHT("0000"&amp;$B113,4)&amp;"/"&amp;RIGHT("00"&amp;$C113,2)&amp;"/"&amp;RIGHT("00"&amp;$D113,2)))</f>
        <v/>
      </c>
      <c r="F113">
        <f>IF(OR($E113="",$E113="نامعتبر"),"",LEFT($E113,4)&amp;"/"&amp;MID($E113,6,2))</f>
        <v/>
      </c>
      <c r="G113">
        <f>IF(OR($E113="",$E113="نامعتبر",Sync!$Y110=""),"",Sync!$Y110)</f>
        <v/>
      </c>
      <c r="H113">
        <f>IF($G113="","",IF(Sync!$X110="","",Sync!$X110))</f>
        <v/>
      </c>
      <c r="I113">
        <f>IF($G113="","",IFERROR(VLOOKUP(Sync!$X110,OpTbl,3,0),""))</f>
        <v/>
      </c>
      <c r="J113">
        <f>IF(OR($G113="",Sync!$Z110=""),"",Sync!$Z110)</f>
        <v/>
      </c>
      <c r="K113">
        <f>IF(OR($G113="",Sync!$AA110=""),"",Sync!$AA110)</f>
        <v/>
      </c>
      <c r="L113">
        <f>IF($G113="",0,IF(Sync!$AB110="",0,Sync!$AB110))</f>
        <v/>
      </c>
      <c r="M113">
        <f>IF($G113="",0,IF(Sync!$AC110="",0,Sync!$AC110))</f>
        <v/>
      </c>
      <c r="N113">
        <f>IF($G113="","",IF($H113="مرجوعی خرید",-1,1)*($L113-$M113*IFERROR(VLOOKUP("P01",ParamTbl,3,0),1.5))*(1-IF($I113="خرید",IFERROR(VLOOKUP("P02",ParamTbl,3,0),1),0)/100))</f>
        <v/>
      </c>
      <c r="O113">
        <f>IF($G113="",0,IF($H113="مرجوعی خرید",-1,1)*IF(Sync!$AD110="",0,Sync!$AD110))</f>
        <v/>
      </c>
      <c r="P113">
        <f>IF(OR($G113="",Sync!$W110=""),"",Sync!$W110)</f>
        <v/>
      </c>
      <c r="Q113">
        <f>IF(OR($G113="",Sync!$AE110=""),"",Sync!$AE110)</f>
        <v/>
      </c>
      <c r="R113">
        <f>IF($G113="","",IF(Sync!$V110="","0000",IF(AND(ISNUMBER(Sync!$V110),Sync!$V110&gt;=0,Sync!$V110&lt;1),RIGHT("00"&amp;HOUR(Sync!$V110),2)&amp;RIGHT("00"&amp;MINUTE(Sync!$V110),2),IFERROR(RIGHT("00"&amp;VALUE(LEFT(Sync!$V110,FIND(":",Sync!$V110)-1)),2)&amp;RIGHT("00"&amp;VALUE(MID(Sync!$V110,FIND(":",Sync!$V110)+1,2)),2),"0000"))))</f>
        <v/>
      </c>
    </row>
    <row r="114">
      <c r="A114">
        <f>IF(Sync!$U111="","",Sync!$U111)</f>
        <v/>
      </c>
      <c r="B114">
        <f>IF($A114="","",IF(ISNUMBER($A114),IF(AND($A114&gt;=10000101,$A114&lt;=99991231),INT($A114/10000),""),IFERROR(VALUE(TRIM(LEFT($A114,FIND("/",$A114)-1))),"")))</f>
        <v/>
      </c>
      <c r="C114">
        <f>IF(OR($A114="",$B114=""),"",IF(ISNUMBER($A114),INT(MOD($A114,10000)/100),IFERROR(VALUE(TRIM(LEFT(MID($A114,FIND("/",$A114)+1,20),FIND("/",MID($A114,FIND("/",$A114)+1,20))-1))),"")))</f>
        <v/>
      </c>
      <c r="D114">
        <f>IF(OR($A114="",$B114=""),"",IF(ISNUMBER($A114),MOD($A114,100),IFERROR(VALUE(TRIM(MID(MID($A114,FIND("/",$A114)+1,20),FIND("/",MID($A114,FIND("/",$A114)+1,20))+1,20))),"")))</f>
        <v/>
      </c>
      <c r="E114">
        <f>IF($A114="","",IF(OR($B114="",$C114="",$D114="",$B114&lt;1300,$B114&gt;1500,$C114&lt;1,$C114&gt;12,$D114&lt;1,$D114&gt;31),"نامعتبر",RIGHT("0000"&amp;$B114,4)&amp;"/"&amp;RIGHT("00"&amp;$C114,2)&amp;"/"&amp;RIGHT("00"&amp;$D114,2)))</f>
        <v/>
      </c>
      <c r="F114">
        <f>IF(OR($E114="",$E114="نامعتبر"),"",LEFT($E114,4)&amp;"/"&amp;MID($E114,6,2))</f>
        <v/>
      </c>
      <c r="G114">
        <f>IF(OR($E114="",$E114="نامعتبر",Sync!$Y111=""),"",Sync!$Y111)</f>
        <v/>
      </c>
      <c r="H114">
        <f>IF($G114="","",IF(Sync!$X111="","",Sync!$X111))</f>
        <v/>
      </c>
      <c r="I114">
        <f>IF($G114="","",IFERROR(VLOOKUP(Sync!$X111,OpTbl,3,0),""))</f>
        <v/>
      </c>
      <c r="J114">
        <f>IF(OR($G114="",Sync!$Z111=""),"",Sync!$Z111)</f>
        <v/>
      </c>
      <c r="K114">
        <f>IF(OR($G114="",Sync!$AA111=""),"",Sync!$AA111)</f>
        <v/>
      </c>
      <c r="L114">
        <f>IF($G114="",0,IF(Sync!$AB111="",0,Sync!$AB111))</f>
        <v/>
      </c>
      <c r="M114">
        <f>IF($G114="",0,IF(Sync!$AC111="",0,Sync!$AC111))</f>
        <v/>
      </c>
      <c r="N114">
        <f>IF($G114="","",IF($H114="مرجوعی خرید",-1,1)*($L114-$M114*IFERROR(VLOOKUP("P01",ParamTbl,3,0),1.5))*(1-IF($I114="خرید",IFERROR(VLOOKUP("P02",ParamTbl,3,0),1),0)/100))</f>
        <v/>
      </c>
      <c r="O114">
        <f>IF($G114="",0,IF($H114="مرجوعی خرید",-1,1)*IF(Sync!$AD111="",0,Sync!$AD111))</f>
        <v/>
      </c>
      <c r="P114">
        <f>IF(OR($G114="",Sync!$W111=""),"",Sync!$W111)</f>
        <v/>
      </c>
      <c r="Q114">
        <f>IF(OR($G114="",Sync!$AE111=""),"",Sync!$AE111)</f>
        <v/>
      </c>
      <c r="R114">
        <f>IF($G114="","",IF(Sync!$V111="","0000",IF(AND(ISNUMBER(Sync!$V111),Sync!$V111&gt;=0,Sync!$V111&lt;1),RIGHT("00"&amp;HOUR(Sync!$V111),2)&amp;RIGHT("00"&amp;MINUTE(Sync!$V111),2),IFERROR(RIGHT("00"&amp;VALUE(LEFT(Sync!$V111,FIND(":",Sync!$V111)-1)),2)&amp;RIGHT("00"&amp;VALUE(MID(Sync!$V111,FIND(":",Sync!$V111)+1,2)),2),"0000"))))</f>
        <v/>
      </c>
    </row>
    <row r="115">
      <c r="A115">
        <f>IF(Sync!$U112="","",Sync!$U112)</f>
        <v/>
      </c>
      <c r="B115">
        <f>IF($A115="","",IF(ISNUMBER($A115),IF(AND($A115&gt;=10000101,$A115&lt;=99991231),INT($A115/10000),""),IFERROR(VALUE(TRIM(LEFT($A115,FIND("/",$A115)-1))),"")))</f>
        <v/>
      </c>
      <c r="C115">
        <f>IF(OR($A115="",$B115=""),"",IF(ISNUMBER($A115),INT(MOD($A115,10000)/100),IFERROR(VALUE(TRIM(LEFT(MID($A115,FIND("/",$A115)+1,20),FIND("/",MID($A115,FIND("/",$A115)+1,20))-1))),"")))</f>
        <v/>
      </c>
      <c r="D115">
        <f>IF(OR($A115="",$B115=""),"",IF(ISNUMBER($A115),MOD($A115,100),IFERROR(VALUE(TRIM(MID(MID($A115,FIND("/",$A115)+1,20),FIND("/",MID($A115,FIND("/",$A115)+1,20))+1,20))),"")))</f>
        <v/>
      </c>
      <c r="E115">
        <f>IF($A115="","",IF(OR($B115="",$C115="",$D115="",$B115&lt;1300,$B115&gt;1500,$C115&lt;1,$C115&gt;12,$D115&lt;1,$D115&gt;31),"نامعتبر",RIGHT("0000"&amp;$B115,4)&amp;"/"&amp;RIGHT("00"&amp;$C115,2)&amp;"/"&amp;RIGHT("00"&amp;$D115,2)))</f>
        <v/>
      </c>
      <c r="F115">
        <f>IF(OR($E115="",$E115="نامعتبر"),"",LEFT($E115,4)&amp;"/"&amp;MID($E115,6,2))</f>
        <v/>
      </c>
      <c r="G115">
        <f>IF(OR($E115="",$E115="نامعتبر",Sync!$Y112=""),"",Sync!$Y112)</f>
        <v/>
      </c>
      <c r="H115">
        <f>IF($G115="","",IF(Sync!$X112="","",Sync!$X112))</f>
        <v/>
      </c>
      <c r="I115">
        <f>IF($G115="","",IFERROR(VLOOKUP(Sync!$X112,OpTbl,3,0),""))</f>
        <v/>
      </c>
      <c r="J115">
        <f>IF(OR($G115="",Sync!$Z112=""),"",Sync!$Z112)</f>
        <v/>
      </c>
      <c r="K115">
        <f>IF(OR($G115="",Sync!$AA112=""),"",Sync!$AA112)</f>
        <v/>
      </c>
      <c r="L115">
        <f>IF($G115="",0,IF(Sync!$AB112="",0,Sync!$AB112))</f>
        <v/>
      </c>
      <c r="M115">
        <f>IF($G115="",0,IF(Sync!$AC112="",0,Sync!$AC112))</f>
        <v/>
      </c>
      <c r="N115">
        <f>IF($G115="","",IF($H115="مرجوعی خرید",-1,1)*($L115-$M115*IFERROR(VLOOKUP("P01",ParamTbl,3,0),1.5))*(1-IF($I115="خرید",IFERROR(VLOOKUP("P02",ParamTbl,3,0),1),0)/100))</f>
        <v/>
      </c>
      <c r="O115">
        <f>IF($G115="",0,IF($H115="مرجوعی خرید",-1,1)*IF(Sync!$AD112="",0,Sync!$AD112))</f>
        <v/>
      </c>
      <c r="P115">
        <f>IF(OR($G115="",Sync!$W112=""),"",Sync!$W112)</f>
        <v/>
      </c>
      <c r="Q115">
        <f>IF(OR($G115="",Sync!$AE112=""),"",Sync!$AE112)</f>
        <v/>
      </c>
      <c r="R115">
        <f>IF($G115="","",IF(Sync!$V112="","0000",IF(AND(ISNUMBER(Sync!$V112),Sync!$V112&gt;=0,Sync!$V112&lt;1),RIGHT("00"&amp;HOUR(Sync!$V112),2)&amp;RIGHT("00"&amp;MINUTE(Sync!$V112),2),IFERROR(RIGHT("00"&amp;VALUE(LEFT(Sync!$V112,FIND(":",Sync!$V112)-1)),2)&amp;RIGHT("00"&amp;VALUE(MID(Sync!$V112,FIND(":",Sync!$V112)+1,2)),2),"0000"))))</f>
        <v/>
      </c>
    </row>
    <row r="116">
      <c r="A116">
        <f>IF(Sync!$U113="","",Sync!$U113)</f>
        <v/>
      </c>
      <c r="B116">
        <f>IF($A116="","",IF(ISNUMBER($A116),IF(AND($A116&gt;=10000101,$A116&lt;=99991231),INT($A116/10000),""),IFERROR(VALUE(TRIM(LEFT($A116,FIND("/",$A116)-1))),"")))</f>
        <v/>
      </c>
      <c r="C116">
        <f>IF(OR($A116="",$B116=""),"",IF(ISNUMBER($A116),INT(MOD($A116,10000)/100),IFERROR(VALUE(TRIM(LEFT(MID($A116,FIND("/",$A116)+1,20),FIND("/",MID($A116,FIND("/",$A116)+1,20))-1))),"")))</f>
        <v/>
      </c>
      <c r="D116">
        <f>IF(OR($A116="",$B116=""),"",IF(ISNUMBER($A116),MOD($A116,100),IFERROR(VALUE(TRIM(MID(MID($A116,FIND("/",$A116)+1,20),FIND("/",MID($A116,FIND("/",$A116)+1,20))+1,20))),"")))</f>
        <v/>
      </c>
      <c r="E116">
        <f>IF($A116="","",IF(OR($B116="",$C116="",$D116="",$B116&lt;1300,$B116&gt;1500,$C116&lt;1,$C116&gt;12,$D116&lt;1,$D116&gt;31),"نامعتبر",RIGHT("0000"&amp;$B116,4)&amp;"/"&amp;RIGHT("00"&amp;$C116,2)&amp;"/"&amp;RIGHT("00"&amp;$D116,2)))</f>
        <v/>
      </c>
      <c r="F116">
        <f>IF(OR($E116="",$E116="نامعتبر"),"",LEFT($E116,4)&amp;"/"&amp;MID($E116,6,2))</f>
        <v/>
      </c>
      <c r="G116">
        <f>IF(OR($E116="",$E116="نامعتبر",Sync!$Y113=""),"",Sync!$Y113)</f>
        <v/>
      </c>
      <c r="H116">
        <f>IF($G116="","",IF(Sync!$X113="","",Sync!$X113))</f>
        <v/>
      </c>
      <c r="I116">
        <f>IF($G116="","",IFERROR(VLOOKUP(Sync!$X113,OpTbl,3,0),""))</f>
        <v/>
      </c>
      <c r="J116">
        <f>IF(OR($G116="",Sync!$Z113=""),"",Sync!$Z113)</f>
        <v/>
      </c>
      <c r="K116">
        <f>IF(OR($G116="",Sync!$AA113=""),"",Sync!$AA113)</f>
        <v/>
      </c>
      <c r="L116">
        <f>IF($G116="",0,IF(Sync!$AB113="",0,Sync!$AB113))</f>
        <v/>
      </c>
      <c r="M116">
        <f>IF($G116="",0,IF(Sync!$AC113="",0,Sync!$AC113))</f>
        <v/>
      </c>
      <c r="N116">
        <f>IF($G116="","",IF($H116="مرجوعی خرید",-1,1)*($L116-$M116*IFERROR(VLOOKUP("P01",ParamTbl,3,0),1.5))*(1-IF($I116="خرید",IFERROR(VLOOKUP("P02",ParamTbl,3,0),1),0)/100))</f>
        <v/>
      </c>
      <c r="O116">
        <f>IF($G116="",0,IF($H116="مرجوعی خرید",-1,1)*IF(Sync!$AD113="",0,Sync!$AD113))</f>
        <v/>
      </c>
      <c r="P116">
        <f>IF(OR($G116="",Sync!$W113=""),"",Sync!$W113)</f>
        <v/>
      </c>
      <c r="Q116">
        <f>IF(OR($G116="",Sync!$AE113=""),"",Sync!$AE113)</f>
        <v/>
      </c>
      <c r="R116">
        <f>IF($G116="","",IF(Sync!$V113="","0000",IF(AND(ISNUMBER(Sync!$V113),Sync!$V113&gt;=0,Sync!$V113&lt;1),RIGHT("00"&amp;HOUR(Sync!$V113),2)&amp;RIGHT("00"&amp;MINUTE(Sync!$V113),2),IFERROR(RIGHT("00"&amp;VALUE(LEFT(Sync!$V113,FIND(":",Sync!$V113)-1)),2)&amp;RIGHT("00"&amp;VALUE(MID(Sync!$V113,FIND(":",Sync!$V113)+1,2)),2),"0000"))))</f>
        <v/>
      </c>
    </row>
    <row r="117">
      <c r="A117">
        <f>IF(Sync!$U114="","",Sync!$U114)</f>
        <v/>
      </c>
      <c r="B117">
        <f>IF($A117="","",IF(ISNUMBER($A117),IF(AND($A117&gt;=10000101,$A117&lt;=99991231),INT($A117/10000),""),IFERROR(VALUE(TRIM(LEFT($A117,FIND("/",$A117)-1))),"")))</f>
        <v/>
      </c>
      <c r="C117">
        <f>IF(OR($A117="",$B117=""),"",IF(ISNUMBER($A117),INT(MOD($A117,10000)/100),IFERROR(VALUE(TRIM(LEFT(MID($A117,FIND("/",$A117)+1,20),FIND("/",MID($A117,FIND("/",$A117)+1,20))-1))),"")))</f>
        <v/>
      </c>
      <c r="D117">
        <f>IF(OR($A117="",$B117=""),"",IF(ISNUMBER($A117),MOD($A117,100),IFERROR(VALUE(TRIM(MID(MID($A117,FIND("/",$A117)+1,20),FIND("/",MID($A117,FIND("/",$A117)+1,20))+1,20))),"")))</f>
        <v/>
      </c>
      <c r="E117">
        <f>IF($A117="","",IF(OR($B117="",$C117="",$D117="",$B117&lt;1300,$B117&gt;1500,$C117&lt;1,$C117&gt;12,$D117&lt;1,$D117&gt;31),"نامعتبر",RIGHT("0000"&amp;$B117,4)&amp;"/"&amp;RIGHT("00"&amp;$C117,2)&amp;"/"&amp;RIGHT("00"&amp;$D117,2)))</f>
        <v/>
      </c>
      <c r="F117">
        <f>IF(OR($E117="",$E117="نامعتبر"),"",LEFT($E117,4)&amp;"/"&amp;MID($E117,6,2))</f>
        <v/>
      </c>
      <c r="G117">
        <f>IF(OR($E117="",$E117="نامعتبر",Sync!$Y114=""),"",Sync!$Y114)</f>
        <v/>
      </c>
      <c r="H117">
        <f>IF($G117="","",IF(Sync!$X114="","",Sync!$X114))</f>
        <v/>
      </c>
      <c r="I117">
        <f>IF($G117="","",IFERROR(VLOOKUP(Sync!$X114,OpTbl,3,0),""))</f>
        <v/>
      </c>
      <c r="J117">
        <f>IF(OR($G117="",Sync!$Z114=""),"",Sync!$Z114)</f>
        <v/>
      </c>
      <c r="K117">
        <f>IF(OR($G117="",Sync!$AA114=""),"",Sync!$AA114)</f>
        <v/>
      </c>
      <c r="L117">
        <f>IF($G117="",0,IF(Sync!$AB114="",0,Sync!$AB114))</f>
        <v/>
      </c>
      <c r="M117">
        <f>IF($G117="",0,IF(Sync!$AC114="",0,Sync!$AC114))</f>
        <v/>
      </c>
      <c r="N117">
        <f>IF($G117="","",IF($H117="مرجوعی خرید",-1,1)*($L117-$M117*IFERROR(VLOOKUP("P01",ParamTbl,3,0),1.5))*(1-IF($I117="خرید",IFERROR(VLOOKUP("P02",ParamTbl,3,0),1),0)/100))</f>
        <v/>
      </c>
      <c r="O117">
        <f>IF($G117="",0,IF($H117="مرجوعی خرید",-1,1)*IF(Sync!$AD114="",0,Sync!$AD114))</f>
        <v/>
      </c>
      <c r="P117">
        <f>IF(OR($G117="",Sync!$W114=""),"",Sync!$W114)</f>
        <v/>
      </c>
      <c r="Q117">
        <f>IF(OR($G117="",Sync!$AE114=""),"",Sync!$AE114)</f>
        <v/>
      </c>
      <c r="R117">
        <f>IF($G117="","",IF(Sync!$V114="","0000",IF(AND(ISNUMBER(Sync!$V114),Sync!$V114&gt;=0,Sync!$V114&lt;1),RIGHT("00"&amp;HOUR(Sync!$V114),2)&amp;RIGHT("00"&amp;MINUTE(Sync!$V114),2),IFERROR(RIGHT("00"&amp;VALUE(LEFT(Sync!$V114,FIND(":",Sync!$V114)-1)),2)&amp;RIGHT("00"&amp;VALUE(MID(Sync!$V114,FIND(":",Sync!$V114)+1,2)),2),"0000"))))</f>
        <v/>
      </c>
    </row>
    <row r="118">
      <c r="A118">
        <f>IF(Sync!$U115="","",Sync!$U115)</f>
        <v/>
      </c>
      <c r="B118">
        <f>IF($A118="","",IF(ISNUMBER($A118),IF(AND($A118&gt;=10000101,$A118&lt;=99991231),INT($A118/10000),""),IFERROR(VALUE(TRIM(LEFT($A118,FIND("/",$A118)-1))),"")))</f>
        <v/>
      </c>
      <c r="C118">
        <f>IF(OR($A118="",$B118=""),"",IF(ISNUMBER($A118),INT(MOD($A118,10000)/100),IFERROR(VALUE(TRIM(LEFT(MID($A118,FIND("/",$A118)+1,20),FIND("/",MID($A118,FIND("/",$A118)+1,20))-1))),"")))</f>
        <v/>
      </c>
      <c r="D118">
        <f>IF(OR($A118="",$B118=""),"",IF(ISNUMBER($A118),MOD($A118,100),IFERROR(VALUE(TRIM(MID(MID($A118,FIND("/",$A118)+1,20),FIND("/",MID($A118,FIND("/",$A118)+1,20))+1,20))),"")))</f>
        <v/>
      </c>
      <c r="E118">
        <f>IF($A118="","",IF(OR($B118="",$C118="",$D118="",$B118&lt;1300,$B118&gt;1500,$C118&lt;1,$C118&gt;12,$D118&lt;1,$D118&gt;31),"نامعتبر",RIGHT("0000"&amp;$B118,4)&amp;"/"&amp;RIGHT("00"&amp;$C118,2)&amp;"/"&amp;RIGHT("00"&amp;$D118,2)))</f>
        <v/>
      </c>
      <c r="F118">
        <f>IF(OR($E118="",$E118="نامعتبر"),"",LEFT($E118,4)&amp;"/"&amp;MID($E118,6,2))</f>
        <v/>
      </c>
      <c r="G118">
        <f>IF(OR($E118="",$E118="نامعتبر",Sync!$Y115=""),"",Sync!$Y115)</f>
        <v/>
      </c>
      <c r="H118">
        <f>IF($G118="","",IF(Sync!$X115="","",Sync!$X115))</f>
        <v/>
      </c>
      <c r="I118">
        <f>IF($G118="","",IFERROR(VLOOKUP(Sync!$X115,OpTbl,3,0),""))</f>
        <v/>
      </c>
      <c r="J118">
        <f>IF(OR($G118="",Sync!$Z115=""),"",Sync!$Z115)</f>
        <v/>
      </c>
      <c r="K118">
        <f>IF(OR($G118="",Sync!$AA115=""),"",Sync!$AA115)</f>
        <v/>
      </c>
      <c r="L118">
        <f>IF($G118="",0,IF(Sync!$AB115="",0,Sync!$AB115))</f>
        <v/>
      </c>
      <c r="M118">
        <f>IF($G118="",0,IF(Sync!$AC115="",0,Sync!$AC115))</f>
        <v/>
      </c>
      <c r="N118">
        <f>IF($G118="","",IF($H118="مرجوعی خرید",-1,1)*($L118-$M118*IFERROR(VLOOKUP("P01",ParamTbl,3,0),1.5))*(1-IF($I118="خرید",IFERROR(VLOOKUP("P02",ParamTbl,3,0),1),0)/100))</f>
        <v/>
      </c>
      <c r="O118">
        <f>IF($G118="",0,IF($H118="مرجوعی خرید",-1,1)*IF(Sync!$AD115="",0,Sync!$AD115))</f>
        <v/>
      </c>
      <c r="P118">
        <f>IF(OR($G118="",Sync!$W115=""),"",Sync!$W115)</f>
        <v/>
      </c>
      <c r="Q118">
        <f>IF(OR($G118="",Sync!$AE115=""),"",Sync!$AE115)</f>
        <v/>
      </c>
      <c r="R118">
        <f>IF($G118="","",IF(Sync!$V115="","0000",IF(AND(ISNUMBER(Sync!$V115),Sync!$V115&gt;=0,Sync!$V115&lt;1),RIGHT("00"&amp;HOUR(Sync!$V115),2)&amp;RIGHT("00"&amp;MINUTE(Sync!$V115),2),IFERROR(RIGHT("00"&amp;VALUE(LEFT(Sync!$V115,FIND(":",Sync!$V115)-1)),2)&amp;RIGHT("00"&amp;VALUE(MID(Sync!$V115,FIND(":",Sync!$V115)+1,2)),2),"0000"))))</f>
        <v/>
      </c>
    </row>
    <row r="119">
      <c r="A119">
        <f>IF(Sync!$U116="","",Sync!$U116)</f>
        <v/>
      </c>
      <c r="B119">
        <f>IF($A119="","",IF(ISNUMBER($A119),IF(AND($A119&gt;=10000101,$A119&lt;=99991231),INT($A119/10000),""),IFERROR(VALUE(TRIM(LEFT($A119,FIND("/",$A119)-1))),"")))</f>
        <v/>
      </c>
      <c r="C119">
        <f>IF(OR($A119="",$B119=""),"",IF(ISNUMBER($A119),INT(MOD($A119,10000)/100),IFERROR(VALUE(TRIM(LEFT(MID($A119,FIND("/",$A119)+1,20),FIND("/",MID($A119,FIND("/",$A119)+1,20))-1))),"")))</f>
        <v/>
      </c>
      <c r="D119">
        <f>IF(OR($A119="",$B119=""),"",IF(ISNUMBER($A119),MOD($A119,100),IFERROR(VALUE(TRIM(MID(MID($A119,FIND("/",$A119)+1,20),FIND("/",MID($A119,FIND("/",$A119)+1,20))+1,20))),"")))</f>
        <v/>
      </c>
      <c r="E119">
        <f>IF($A119="","",IF(OR($B119="",$C119="",$D119="",$B119&lt;1300,$B119&gt;1500,$C119&lt;1,$C119&gt;12,$D119&lt;1,$D119&gt;31),"نامعتبر",RIGHT("0000"&amp;$B119,4)&amp;"/"&amp;RIGHT("00"&amp;$C119,2)&amp;"/"&amp;RIGHT("00"&amp;$D119,2)))</f>
        <v/>
      </c>
      <c r="F119">
        <f>IF(OR($E119="",$E119="نامعتبر"),"",LEFT($E119,4)&amp;"/"&amp;MID($E119,6,2))</f>
        <v/>
      </c>
      <c r="G119">
        <f>IF(OR($E119="",$E119="نامعتبر",Sync!$Y116=""),"",Sync!$Y116)</f>
        <v/>
      </c>
      <c r="H119">
        <f>IF($G119="","",IF(Sync!$X116="","",Sync!$X116))</f>
        <v/>
      </c>
      <c r="I119">
        <f>IF($G119="","",IFERROR(VLOOKUP(Sync!$X116,OpTbl,3,0),""))</f>
        <v/>
      </c>
      <c r="J119">
        <f>IF(OR($G119="",Sync!$Z116=""),"",Sync!$Z116)</f>
        <v/>
      </c>
      <c r="K119">
        <f>IF(OR($G119="",Sync!$AA116=""),"",Sync!$AA116)</f>
        <v/>
      </c>
      <c r="L119">
        <f>IF($G119="",0,IF(Sync!$AB116="",0,Sync!$AB116))</f>
        <v/>
      </c>
      <c r="M119">
        <f>IF($G119="",0,IF(Sync!$AC116="",0,Sync!$AC116))</f>
        <v/>
      </c>
      <c r="N119">
        <f>IF($G119="","",IF($H119="مرجوعی خرید",-1,1)*($L119-$M119*IFERROR(VLOOKUP("P01",ParamTbl,3,0),1.5))*(1-IF($I119="خرید",IFERROR(VLOOKUP("P02",ParamTbl,3,0),1),0)/100))</f>
        <v/>
      </c>
      <c r="O119">
        <f>IF($G119="",0,IF($H119="مرجوعی خرید",-1,1)*IF(Sync!$AD116="",0,Sync!$AD116))</f>
        <v/>
      </c>
      <c r="P119">
        <f>IF(OR($G119="",Sync!$W116=""),"",Sync!$W116)</f>
        <v/>
      </c>
      <c r="Q119">
        <f>IF(OR($G119="",Sync!$AE116=""),"",Sync!$AE116)</f>
        <v/>
      </c>
      <c r="R119">
        <f>IF($G119="","",IF(Sync!$V116="","0000",IF(AND(ISNUMBER(Sync!$V116),Sync!$V116&gt;=0,Sync!$V116&lt;1),RIGHT("00"&amp;HOUR(Sync!$V116),2)&amp;RIGHT("00"&amp;MINUTE(Sync!$V116),2),IFERROR(RIGHT("00"&amp;VALUE(LEFT(Sync!$V116,FIND(":",Sync!$V116)-1)),2)&amp;RIGHT("00"&amp;VALUE(MID(Sync!$V116,FIND(":",Sync!$V116)+1,2)),2),"0000"))))</f>
        <v/>
      </c>
    </row>
    <row r="120">
      <c r="A120">
        <f>IF(Sync!$U117="","",Sync!$U117)</f>
        <v/>
      </c>
      <c r="B120">
        <f>IF($A120="","",IF(ISNUMBER($A120),IF(AND($A120&gt;=10000101,$A120&lt;=99991231),INT($A120/10000),""),IFERROR(VALUE(TRIM(LEFT($A120,FIND("/",$A120)-1))),"")))</f>
        <v/>
      </c>
      <c r="C120">
        <f>IF(OR($A120="",$B120=""),"",IF(ISNUMBER($A120),INT(MOD($A120,10000)/100),IFERROR(VALUE(TRIM(LEFT(MID($A120,FIND("/",$A120)+1,20),FIND("/",MID($A120,FIND("/",$A120)+1,20))-1))),"")))</f>
        <v/>
      </c>
      <c r="D120">
        <f>IF(OR($A120="",$B120=""),"",IF(ISNUMBER($A120),MOD($A120,100),IFERROR(VALUE(TRIM(MID(MID($A120,FIND("/",$A120)+1,20),FIND("/",MID($A120,FIND("/",$A120)+1,20))+1,20))),"")))</f>
        <v/>
      </c>
      <c r="E120">
        <f>IF($A120="","",IF(OR($B120="",$C120="",$D120="",$B120&lt;1300,$B120&gt;1500,$C120&lt;1,$C120&gt;12,$D120&lt;1,$D120&gt;31),"نامعتبر",RIGHT("0000"&amp;$B120,4)&amp;"/"&amp;RIGHT("00"&amp;$C120,2)&amp;"/"&amp;RIGHT("00"&amp;$D120,2)))</f>
        <v/>
      </c>
      <c r="F120">
        <f>IF(OR($E120="",$E120="نامعتبر"),"",LEFT($E120,4)&amp;"/"&amp;MID($E120,6,2))</f>
        <v/>
      </c>
      <c r="G120">
        <f>IF(OR($E120="",$E120="نامعتبر",Sync!$Y117=""),"",Sync!$Y117)</f>
        <v/>
      </c>
      <c r="H120">
        <f>IF($G120="","",IF(Sync!$X117="","",Sync!$X117))</f>
        <v/>
      </c>
      <c r="I120">
        <f>IF($G120="","",IFERROR(VLOOKUP(Sync!$X117,OpTbl,3,0),""))</f>
        <v/>
      </c>
      <c r="J120">
        <f>IF(OR($G120="",Sync!$Z117=""),"",Sync!$Z117)</f>
        <v/>
      </c>
      <c r="K120">
        <f>IF(OR($G120="",Sync!$AA117=""),"",Sync!$AA117)</f>
        <v/>
      </c>
      <c r="L120">
        <f>IF($G120="",0,IF(Sync!$AB117="",0,Sync!$AB117))</f>
        <v/>
      </c>
      <c r="M120">
        <f>IF($G120="",0,IF(Sync!$AC117="",0,Sync!$AC117))</f>
        <v/>
      </c>
      <c r="N120">
        <f>IF($G120="","",IF($H120="مرجوعی خرید",-1,1)*($L120-$M120*IFERROR(VLOOKUP("P01",ParamTbl,3,0),1.5))*(1-IF($I120="خرید",IFERROR(VLOOKUP("P02",ParamTbl,3,0),1),0)/100))</f>
        <v/>
      </c>
      <c r="O120">
        <f>IF($G120="",0,IF($H120="مرجوعی خرید",-1,1)*IF(Sync!$AD117="",0,Sync!$AD117))</f>
        <v/>
      </c>
      <c r="P120">
        <f>IF(OR($G120="",Sync!$W117=""),"",Sync!$W117)</f>
        <v/>
      </c>
      <c r="Q120">
        <f>IF(OR($G120="",Sync!$AE117=""),"",Sync!$AE117)</f>
        <v/>
      </c>
      <c r="R120">
        <f>IF($G120="","",IF(Sync!$V117="","0000",IF(AND(ISNUMBER(Sync!$V117),Sync!$V117&gt;=0,Sync!$V117&lt;1),RIGHT("00"&amp;HOUR(Sync!$V117),2)&amp;RIGHT("00"&amp;MINUTE(Sync!$V117),2),IFERROR(RIGHT("00"&amp;VALUE(LEFT(Sync!$V117,FIND(":",Sync!$V117)-1)),2)&amp;RIGHT("00"&amp;VALUE(MID(Sync!$V117,FIND(":",Sync!$V117)+1,2)),2),"0000"))))</f>
        <v/>
      </c>
    </row>
    <row r="121">
      <c r="A121">
        <f>IF(Sync!$U118="","",Sync!$U118)</f>
        <v/>
      </c>
      <c r="B121">
        <f>IF($A121="","",IF(ISNUMBER($A121),IF(AND($A121&gt;=10000101,$A121&lt;=99991231),INT($A121/10000),""),IFERROR(VALUE(TRIM(LEFT($A121,FIND("/",$A121)-1))),"")))</f>
        <v/>
      </c>
      <c r="C121">
        <f>IF(OR($A121="",$B121=""),"",IF(ISNUMBER($A121),INT(MOD($A121,10000)/100),IFERROR(VALUE(TRIM(LEFT(MID($A121,FIND("/",$A121)+1,20),FIND("/",MID($A121,FIND("/",$A121)+1,20))-1))),"")))</f>
        <v/>
      </c>
      <c r="D121">
        <f>IF(OR($A121="",$B121=""),"",IF(ISNUMBER($A121),MOD($A121,100),IFERROR(VALUE(TRIM(MID(MID($A121,FIND("/",$A121)+1,20),FIND("/",MID($A121,FIND("/",$A121)+1,20))+1,20))),"")))</f>
        <v/>
      </c>
      <c r="E121">
        <f>IF($A121="","",IF(OR($B121="",$C121="",$D121="",$B121&lt;1300,$B121&gt;1500,$C121&lt;1,$C121&gt;12,$D121&lt;1,$D121&gt;31),"نامعتبر",RIGHT("0000"&amp;$B121,4)&amp;"/"&amp;RIGHT("00"&amp;$C121,2)&amp;"/"&amp;RIGHT("00"&amp;$D121,2)))</f>
        <v/>
      </c>
      <c r="F121">
        <f>IF(OR($E121="",$E121="نامعتبر"),"",LEFT($E121,4)&amp;"/"&amp;MID($E121,6,2))</f>
        <v/>
      </c>
      <c r="G121">
        <f>IF(OR($E121="",$E121="نامعتبر",Sync!$Y118=""),"",Sync!$Y118)</f>
        <v/>
      </c>
      <c r="H121">
        <f>IF($G121="","",IF(Sync!$X118="","",Sync!$X118))</f>
        <v/>
      </c>
      <c r="I121">
        <f>IF($G121="","",IFERROR(VLOOKUP(Sync!$X118,OpTbl,3,0),""))</f>
        <v/>
      </c>
      <c r="J121">
        <f>IF(OR($G121="",Sync!$Z118=""),"",Sync!$Z118)</f>
        <v/>
      </c>
      <c r="K121">
        <f>IF(OR($G121="",Sync!$AA118=""),"",Sync!$AA118)</f>
        <v/>
      </c>
      <c r="L121">
        <f>IF($G121="",0,IF(Sync!$AB118="",0,Sync!$AB118))</f>
        <v/>
      </c>
      <c r="M121">
        <f>IF($G121="",0,IF(Sync!$AC118="",0,Sync!$AC118))</f>
        <v/>
      </c>
      <c r="N121">
        <f>IF($G121="","",IF($H121="مرجوعی خرید",-1,1)*($L121-$M121*IFERROR(VLOOKUP("P01",ParamTbl,3,0),1.5))*(1-IF($I121="خرید",IFERROR(VLOOKUP("P02",ParamTbl,3,0),1),0)/100))</f>
        <v/>
      </c>
      <c r="O121">
        <f>IF($G121="",0,IF($H121="مرجوعی خرید",-1,1)*IF(Sync!$AD118="",0,Sync!$AD118))</f>
        <v/>
      </c>
      <c r="P121">
        <f>IF(OR($G121="",Sync!$W118=""),"",Sync!$W118)</f>
        <v/>
      </c>
      <c r="Q121">
        <f>IF(OR($G121="",Sync!$AE118=""),"",Sync!$AE118)</f>
        <v/>
      </c>
      <c r="R121">
        <f>IF($G121="","",IF(Sync!$V118="","0000",IF(AND(ISNUMBER(Sync!$V118),Sync!$V118&gt;=0,Sync!$V118&lt;1),RIGHT("00"&amp;HOUR(Sync!$V118),2)&amp;RIGHT("00"&amp;MINUTE(Sync!$V118),2),IFERROR(RIGHT("00"&amp;VALUE(LEFT(Sync!$V118,FIND(":",Sync!$V118)-1)),2)&amp;RIGHT("00"&amp;VALUE(MID(Sync!$V118,FIND(":",Sync!$V118)+1,2)),2),"0000"))))</f>
        <v/>
      </c>
    </row>
    <row r="122">
      <c r="A122">
        <f>IF(Sync!$U119="","",Sync!$U119)</f>
        <v/>
      </c>
      <c r="B122">
        <f>IF($A122="","",IF(ISNUMBER($A122),IF(AND($A122&gt;=10000101,$A122&lt;=99991231),INT($A122/10000),""),IFERROR(VALUE(TRIM(LEFT($A122,FIND("/",$A122)-1))),"")))</f>
        <v/>
      </c>
      <c r="C122">
        <f>IF(OR($A122="",$B122=""),"",IF(ISNUMBER($A122),INT(MOD($A122,10000)/100),IFERROR(VALUE(TRIM(LEFT(MID($A122,FIND("/",$A122)+1,20),FIND("/",MID($A122,FIND("/",$A122)+1,20))-1))),"")))</f>
        <v/>
      </c>
      <c r="D122">
        <f>IF(OR($A122="",$B122=""),"",IF(ISNUMBER($A122),MOD($A122,100),IFERROR(VALUE(TRIM(MID(MID($A122,FIND("/",$A122)+1,20),FIND("/",MID($A122,FIND("/",$A122)+1,20))+1,20))),"")))</f>
        <v/>
      </c>
      <c r="E122">
        <f>IF($A122="","",IF(OR($B122="",$C122="",$D122="",$B122&lt;1300,$B122&gt;1500,$C122&lt;1,$C122&gt;12,$D122&lt;1,$D122&gt;31),"نامعتبر",RIGHT("0000"&amp;$B122,4)&amp;"/"&amp;RIGHT("00"&amp;$C122,2)&amp;"/"&amp;RIGHT("00"&amp;$D122,2)))</f>
        <v/>
      </c>
      <c r="F122">
        <f>IF(OR($E122="",$E122="نامعتبر"),"",LEFT($E122,4)&amp;"/"&amp;MID($E122,6,2))</f>
        <v/>
      </c>
      <c r="G122">
        <f>IF(OR($E122="",$E122="نامعتبر",Sync!$Y119=""),"",Sync!$Y119)</f>
        <v/>
      </c>
      <c r="H122">
        <f>IF($G122="","",IF(Sync!$X119="","",Sync!$X119))</f>
        <v/>
      </c>
      <c r="I122">
        <f>IF($G122="","",IFERROR(VLOOKUP(Sync!$X119,OpTbl,3,0),""))</f>
        <v/>
      </c>
      <c r="J122">
        <f>IF(OR($G122="",Sync!$Z119=""),"",Sync!$Z119)</f>
        <v/>
      </c>
      <c r="K122">
        <f>IF(OR($G122="",Sync!$AA119=""),"",Sync!$AA119)</f>
        <v/>
      </c>
      <c r="L122">
        <f>IF($G122="",0,IF(Sync!$AB119="",0,Sync!$AB119))</f>
        <v/>
      </c>
      <c r="M122">
        <f>IF($G122="",0,IF(Sync!$AC119="",0,Sync!$AC119))</f>
        <v/>
      </c>
      <c r="N122">
        <f>IF($G122="","",IF($H122="مرجوعی خرید",-1,1)*($L122-$M122*IFERROR(VLOOKUP("P01",ParamTbl,3,0),1.5))*(1-IF($I122="خرید",IFERROR(VLOOKUP("P02",ParamTbl,3,0),1),0)/100))</f>
        <v/>
      </c>
      <c r="O122">
        <f>IF($G122="",0,IF($H122="مرجوعی خرید",-1,1)*IF(Sync!$AD119="",0,Sync!$AD119))</f>
        <v/>
      </c>
      <c r="P122">
        <f>IF(OR($G122="",Sync!$W119=""),"",Sync!$W119)</f>
        <v/>
      </c>
      <c r="Q122">
        <f>IF(OR($G122="",Sync!$AE119=""),"",Sync!$AE119)</f>
        <v/>
      </c>
      <c r="R122">
        <f>IF($G122="","",IF(Sync!$V119="","0000",IF(AND(ISNUMBER(Sync!$V119),Sync!$V119&gt;=0,Sync!$V119&lt;1),RIGHT("00"&amp;HOUR(Sync!$V119),2)&amp;RIGHT("00"&amp;MINUTE(Sync!$V119),2),IFERROR(RIGHT("00"&amp;VALUE(LEFT(Sync!$V119,FIND(":",Sync!$V119)-1)),2)&amp;RIGHT("00"&amp;VALUE(MID(Sync!$V119,FIND(":",Sync!$V119)+1,2)),2),"0000"))))</f>
        <v/>
      </c>
    </row>
    <row r="123">
      <c r="A123">
        <f>IF(Sync!$U120="","",Sync!$U120)</f>
        <v/>
      </c>
      <c r="B123">
        <f>IF($A123="","",IF(ISNUMBER($A123),IF(AND($A123&gt;=10000101,$A123&lt;=99991231),INT($A123/10000),""),IFERROR(VALUE(TRIM(LEFT($A123,FIND("/",$A123)-1))),"")))</f>
        <v/>
      </c>
      <c r="C123">
        <f>IF(OR($A123="",$B123=""),"",IF(ISNUMBER($A123),INT(MOD($A123,10000)/100),IFERROR(VALUE(TRIM(LEFT(MID($A123,FIND("/",$A123)+1,20),FIND("/",MID($A123,FIND("/",$A123)+1,20))-1))),"")))</f>
        <v/>
      </c>
      <c r="D123">
        <f>IF(OR($A123="",$B123=""),"",IF(ISNUMBER($A123),MOD($A123,100),IFERROR(VALUE(TRIM(MID(MID($A123,FIND("/",$A123)+1,20),FIND("/",MID($A123,FIND("/",$A123)+1,20))+1,20))),"")))</f>
        <v/>
      </c>
      <c r="E123">
        <f>IF($A123="","",IF(OR($B123="",$C123="",$D123="",$B123&lt;1300,$B123&gt;1500,$C123&lt;1,$C123&gt;12,$D123&lt;1,$D123&gt;31),"نامعتبر",RIGHT("0000"&amp;$B123,4)&amp;"/"&amp;RIGHT("00"&amp;$C123,2)&amp;"/"&amp;RIGHT("00"&amp;$D123,2)))</f>
        <v/>
      </c>
      <c r="F123">
        <f>IF(OR($E123="",$E123="نامعتبر"),"",LEFT($E123,4)&amp;"/"&amp;MID($E123,6,2))</f>
        <v/>
      </c>
      <c r="G123">
        <f>IF(OR($E123="",$E123="نامعتبر",Sync!$Y120=""),"",Sync!$Y120)</f>
        <v/>
      </c>
      <c r="H123">
        <f>IF($G123="","",IF(Sync!$X120="","",Sync!$X120))</f>
        <v/>
      </c>
      <c r="I123">
        <f>IF($G123="","",IFERROR(VLOOKUP(Sync!$X120,OpTbl,3,0),""))</f>
        <v/>
      </c>
      <c r="J123">
        <f>IF(OR($G123="",Sync!$Z120=""),"",Sync!$Z120)</f>
        <v/>
      </c>
      <c r="K123">
        <f>IF(OR($G123="",Sync!$AA120=""),"",Sync!$AA120)</f>
        <v/>
      </c>
      <c r="L123">
        <f>IF($G123="",0,IF(Sync!$AB120="",0,Sync!$AB120))</f>
        <v/>
      </c>
      <c r="M123">
        <f>IF($G123="",0,IF(Sync!$AC120="",0,Sync!$AC120))</f>
        <v/>
      </c>
      <c r="N123">
        <f>IF($G123="","",IF($H123="مرجوعی خرید",-1,1)*($L123-$M123*IFERROR(VLOOKUP("P01",ParamTbl,3,0),1.5))*(1-IF($I123="خرید",IFERROR(VLOOKUP("P02",ParamTbl,3,0),1),0)/100))</f>
        <v/>
      </c>
      <c r="O123">
        <f>IF($G123="",0,IF($H123="مرجوعی خرید",-1,1)*IF(Sync!$AD120="",0,Sync!$AD120))</f>
        <v/>
      </c>
      <c r="P123">
        <f>IF(OR($G123="",Sync!$W120=""),"",Sync!$W120)</f>
        <v/>
      </c>
      <c r="Q123">
        <f>IF(OR($G123="",Sync!$AE120=""),"",Sync!$AE120)</f>
        <v/>
      </c>
      <c r="R123">
        <f>IF($G123="","",IF(Sync!$V120="","0000",IF(AND(ISNUMBER(Sync!$V120),Sync!$V120&gt;=0,Sync!$V120&lt;1),RIGHT("00"&amp;HOUR(Sync!$V120),2)&amp;RIGHT("00"&amp;MINUTE(Sync!$V120),2),IFERROR(RIGHT("00"&amp;VALUE(LEFT(Sync!$V120,FIND(":",Sync!$V120)-1)),2)&amp;RIGHT("00"&amp;VALUE(MID(Sync!$V120,FIND(":",Sync!$V120)+1,2)),2),"0000"))))</f>
        <v/>
      </c>
    </row>
    <row r="124">
      <c r="A124">
        <f>IF(Sync!$U121="","",Sync!$U121)</f>
        <v/>
      </c>
      <c r="B124">
        <f>IF($A124="","",IF(ISNUMBER($A124),IF(AND($A124&gt;=10000101,$A124&lt;=99991231),INT($A124/10000),""),IFERROR(VALUE(TRIM(LEFT($A124,FIND("/",$A124)-1))),"")))</f>
        <v/>
      </c>
      <c r="C124">
        <f>IF(OR($A124="",$B124=""),"",IF(ISNUMBER($A124),INT(MOD($A124,10000)/100),IFERROR(VALUE(TRIM(LEFT(MID($A124,FIND("/",$A124)+1,20),FIND("/",MID($A124,FIND("/",$A124)+1,20))-1))),"")))</f>
        <v/>
      </c>
      <c r="D124">
        <f>IF(OR($A124="",$B124=""),"",IF(ISNUMBER($A124),MOD($A124,100),IFERROR(VALUE(TRIM(MID(MID($A124,FIND("/",$A124)+1,20),FIND("/",MID($A124,FIND("/",$A124)+1,20))+1,20))),"")))</f>
        <v/>
      </c>
      <c r="E124">
        <f>IF($A124="","",IF(OR($B124="",$C124="",$D124="",$B124&lt;1300,$B124&gt;1500,$C124&lt;1,$C124&gt;12,$D124&lt;1,$D124&gt;31),"نامعتبر",RIGHT("0000"&amp;$B124,4)&amp;"/"&amp;RIGHT("00"&amp;$C124,2)&amp;"/"&amp;RIGHT("00"&amp;$D124,2)))</f>
        <v/>
      </c>
      <c r="F124">
        <f>IF(OR($E124="",$E124="نامعتبر"),"",LEFT($E124,4)&amp;"/"&amp;MID($E124,6,2))</f>
        <v/>
      </c>
      <c r="G124">
        <f>IF(OR($E124="",$E124="نامعتبر",Sync!$Y121=""),"",Sync!$Y121)</f>
        <v/>
      </c>
      <c r="H124">
        <f>IF($G124="","",IF(Sync!$X121="","",Sync!$X121))</f>
        <v/>
      </c>
      <c r="I124">
        <f>IF($G124="","",IFERROR(VLOOKUP(Sync!$X121,OpTbl,3,0),""))</f>
        <v/>
      </c>
      <c r="J124">
        <f>IF(OR($G124="",Sync!$Z121=""),"",Sync!$Z121)</f>
        <v/>
      </c>
      <c r="K124">
        <f>IF(OR($G124="",Sync!$AA121=""),"",Sync!$AA121)</f>
        <v/>
      </c>
      <c r="L124">
        <f>IF($G124="",0,IF(Sync!$AB121="",0,Sync!$AB121))</f>
        <v/>
      </c>
      <c r="M124">
        <f>IF($G124="",0,IF(Sync!$AC121="",0,Sync!$AC121))</f>
        <v/>
      </c>
      <c r="N124">
        <f>IF($G124="","",IF($H124="مرجوعی خرید",-1,1)*($L124-$M124*IFERROR(VLOOKUP("P01",ParamTbl,3,0),1.5))*(1-IF($I124="خرید",IFERROR(VLOOKUP("P02",ParamTbl,3,0),1),0)/100))</f>
        <v/>
      </c>
      <c r="O124">
        <f>IF($G124="",0,IF($H124="مرجوعی خرید",-1,1)*IF(Sync!$AD121="",0,Sync!$AD121))</f>
        <v/>
      </c>
      <c r="P124">
        <f>IF(OR($G124="",Sync!$W121=""),"",Sync!$W121)</f>
        <v/>
      </c>
      <c r="Q124">
        <f>IF(OR($G124="",Sync!$AE121=""),"",Sync!$AE121)</f>
        <v/>
      </c>
      <c r="R124">
        <f>IF($G124="","",IF(Sync!$V121="","0000",IF(AND(ISNUMBER(Sync!$V121),Sync!$V121&gt;=0,Sync!$V121&lt;1),RIGHT("00"&amp;HOUR(Sync!$V121),2)&amp;RIGHT("00"&amp;MINUTE(Sync!$V121),2),IFERROR(RIGHT("00"&amp;VALUE(LEFT(Sync!$V121,FIND(":",Sync!$V121)-1)),2)&amp;RIGHT("00"&amp;VALUE(MID(Sync!$V121,FIND(":",Sync!$V121)+1,2)),2),"0000"))))</f>
        <v/>
      </c>
    </row>
    <row r="125">
      <c r="A125">
        <f>IF(Sync!$U122="","",Sync!$U122)</f>
        <v/>
      </c>
      <c r="B125">
        <f>IF($A125="","",IF(ISNUMBER($A125),IF(AND($A125&gt;=10000101,$A125&lt;=99991231),INT($A125/10000),""),IFERROR(VALUE(TRIM(LEFT($A125,FIND("/",$A125)-1))),"")))</f>
        <v/>
      </c>
      <c r="C125">
        <f>IF(OR($A125="",$B125=""),"",IF(ISNUMBER($A125),INT(MOD($A125,10000)/100),IFERROR(VALUE(TRIM(LEFT(MID($A125,FIND("/",$A125)+1,20),FIND("/",MID($A125,FIND("/",$A125)+1,20))-1))),"")))</f>
        <v/>
      </c>
      <c r="D125">
        <f>IF(OR($A125="",$B125=""),"",IF(ISNUMBER($A125),MOD($A125,100),IFERROR(VALUE(TRIM(MID(MID($A125,FIND("/",$A125)+1,20),FIND("/",MID($A125,FIND("/",$A125)+1,20))+1,20))),"")))</f>
        <v/>
      </c>
      <c r="E125">
        <f>IF($A125="","",IF(OR($B125="",$C125="",$D125="",$B125&lt;1300,$B125&gt;1500,$C125&lt;1,$C125&gt;12,$D125&lt;1,$D125&gt;31),"نامعتبر",RIGHT("0000"&amp;$B125,4)&amp;"/"&amp;RIGHT("00"&amp;$C125,2)&amp;"/"&amp;RIGHT("00"&amp;$D125,2)))</f>
        <v/>
      </c>
      <c r="F125">
        <f>IF(OR($E125="",$E125="نامعتبر"),"",LEFT($E125,4)&amp;"/"&amp;MID($E125,6,2))</f>
        <v/>
      </c>
      <c r="G125">
        <f>IF(OR($E125="",$E125="نامعتبر",Sync!$Y122=""),"",Sync!$Y122)</f>
        <v/>
      </c>
      <c r="H125">
        <f>IF($G125="","",IF(Sync!$X122="","",Sync!$X122))</f>
        <v/>
      </c>
      <c r="I125">
        <f>IF($G125="","",IFERROR(VLOOKUP(Sync!$X122,OpTbl,3,0),""))</f>
        <v/>
      </c>
      <c r="J125">
        <f>IF(OR($G125="",Sync!$Z122=""),"",Sync!$Z122)</f>
        <v/>
      </c>
      <c r="K125">
        <f>IF(OR($G125="",Sync!$AA122=""),"",Sync!$AA122)</f>
        <v/>
      </c>
      <c r="L125">
        <f>IF($G125="",0,IF(Sync!$AB122="",0,Sync!$AB122))</f>
        <v/>
      </c>
      <c r="M125">
        <f>IF($G125="",0,IF(Sync!$AC122="",0,Sync!$AC122))</f>
        <v/>
      </c>
      <c r="N125">
        <f>IF($G125="","",IF($H125="مرجوعی خرید",-1,1)*($L125-$M125*IFERROR(VLOOKUP("P01",ParamTbl,3,0),1.5))*(1-IF($I125="خرید",IFERROR(VLOOKUP("P02",ParamTbl,3,0),1),0)/100))</f>
        <v/>
      </c>
      <c r="O125">
        <f>IF($G125="",0,IF($H125="مرجوعی خرید",-1,1)*IF(Sync!$AD122="",0,Sync!$AD122))</f>
        <v/>
      </c>
      <c r="P125">
        <f>IF(OR($G125="",Sync!$W122=""),"",Sync!$W122)</f>
        <v/>
      </c>
      <c r="Q125">
        <f>IF(OR($G125="",Sync!$AE122=""),"",Sync!$AE122)</f>
        <v/>
      </c>
      <c r="R125">
        <f>IF($G125="","",IF(Sync!$V122="","0000",IF(AND(ISNUMBER(Sync!$V122),Sync!$V122&gt;=0,Sync!$V122&lt;1),RIGHT("00"&amp;HOUR(Sync!$V122),2)&amp;RIGHT("00"&amp;MINUTE(Sync!$V122),2),IFERROR(RIGHT("00"&amp;VALUE(LEFT(Sync!$V122,FIND(":",Sync!$V122)-1)),2)&amp;RIGHT("00"&amp;VALUE(MID(Sync!$V122,FIND(":",Sync!$V122)+1,2)),2),"0000"))))</f>
        <v/>
      </c>
    </row>
    <row r="126">
      <c r="A126">
        <f>IF(Sync!$U123="","",Sync!$U123)</f>
        <v/>
      </c>
      <c r="B126">
        <f>IF($A126="","",IF(ISNUMBER($A126),IF(AND($A126&gt;=10000101,$A126&lt;=99991231),INT($A126/10000),""),IFERROR(VALUE(TRIM(LEFT($A126,FIND("/",$A126)-1))),"")))</f>
        <v/>
      </c>
      <c r="C126">
        <f>IF(OR($A126="",$B126=""),"",IF(ISNUMBER($A126),INT(MOD($A126,10000)/100),IFERROR(VALUE(TRIM(LEFT(MID($A126,FIND("/",$A126)+1,20),FIND("/",MID($A126,FIND("/",$A126)+1,20))-1))),"")))</f>
        <v/>
      </c>
      <c r="D126">
        <f>IF(OR($A126="",$B126=""),"",IF(ISNUMBER($A126),MOD($A126,100),IFERROR(VALUE(TRIM(MID(MID($A126,FIND("/",$A126)+1,20),FIND("/",MID($A126,FIND("/",$A126)+1,20))+1,20))),"")))</f>
        <v/>
      </c>
      <c r="E126">
        <f>IF($A126="","",IF(OR($B126="",$C126="",$D126="",$B126&lt;1300,$B126&gt;1500,$C126&lt;1,$C126&gt;12,$D126&lt;1,$D126&gt;31),"نامعتبر",RIGHT("0000"&amp;$B126,4)&amp;"/"&amp;RIGHT("00"&amp;$C126,2)&amp;"/"&amp;RIGHT("00"&amp;$D126,2)))</f>
        <v/>
      </c>
      <c r="F126">
        <f>IF(OR($E126="",$E126="نامعتبر"),"",LEFT($E126,4)&amp;"/"&amp;MID($E126,6,2))</f>
        <v/>
      </c>
      <c r="G126">
        <f>IF(OR($E126="",$E126="نامعتبر",Sync!$Y123=""),"",Sync!$Y123)</f>
        <v/>
      </c>
      <c r="H126">
        <f>IF($G126="","",IF(Sync!$X123="","",Sync!$X123))</f>
        <v/>
      </c>
      <c r="I126">
        <f>IF($G126="","",IFERROR(VLOOKUP(Sync!$X123,OpTbl,3,0),""))</f>
        <v/>
      </c>
      <c r="J126">
        <f>IF(OR($G126="",Sync!$Z123=""),"",Sync!$Z123)</f>
        <v/>
      </c>
      <c r="K126">
        <f>IF(OR($G126="",Sync!$AA123=""),"",Sync!$AA123)</f>
        <v/>
      </c>
      <c r="L126">
        <f>IF($G126="",0,IF(Sync!$AB123="",0,Sync!$AB123))</f>
        <v/>
      </c>
      <c r="M126">
        <f>IF($G126="",0,IF(Sync!$AC123="",0,Sync!$AC123))</f>
        <v/>
      </c>
      <c r="N126">
        <f>IF($G126="","",IF($H126="مرجوعی خرید",-1,1)*($L126-$M126*IFERROR(VLOOKUP("P01",ParamTbl,3,0),1.5))*(1-IF($I126="خرید",IFERROR(VLOOKUP("P02",ParamTbl,3,0),1),0)/100))</f>
        <v/>
      </c>
      <c r="O126">
        <f>IF($G126="",0,IF($H126="مرجوعی خرید",-1,1)*IF(Sync!$AD123="",0,Sync!$AD123))</f>
        <v/>
      </c>
      <c r="P126">
        <f>IF(OR($G126="",Sync!$W123=""),"",Sync!$W123)</f>
        <v/>
      </c>
      <c r="Q126">
        <f>IF(OR($G126="",Sync!$AE123=""),"",Sync!$AE123)</f>
        <v/>
      </c>
      <c r="R126">
        <f>IF($G126="","",IF(Sync!$V123="","0000",IF(AND(ISNUMBER(Sync!$V123),Sync!$V123&gt;=0,Sync!$V123&lt;1),RIGHT("00"&amp;HOUR(Sync!$V123),2)&amp;RIGHT("00"&amp;MINUTE(Sync!$V123),2),IFERROR(RIGHT("00"&amp;VALUE(LEFT(Sync!$V123,FIND(":",Sync!$V123)-1)),2)&amp;RIGHT("00"&amp;VALUE(MID(Sync!$V123,FIND(":",Sync!$V123)+1,2)),2),"0000"))))</f>
        <v/>
      </c>
    </row>
    <row r="127">
      <c r="A127">
        <f>IF(Sync!$U124="","",Sync!$U124)</f>
        <v/>
      </c>
      <c r="B127">
        <f>IF($A127="","",IF(ISNUMBER($A127),IF(AND($A127&gt;=10000101,$A127&lt;=99991231),INT($A127/10000),""),IFERROR(VALUE(TRIM(LEFT($A127,FIND("/",$A127)-1))),"")))</f>
        <v/>
      </c>
      <c r="C127">
        <f>IF(OR($A127="",$B127=""),"",IF(ISNUMBER($A127),INT(MOD($A127,10000)/100),IFERROR(VALUE(TRIM(LEFT(MID($A127,FIND("/",$A127)+1,20),FIND("/",MID($A127,FIND("/",$A127)+1,20))-1))),"")))</f>
        <v/>
      </c>
      <c r="D127">
        <f>IF(OR($A127="",$B127=""),"",IF(ISNUMBER($A127),MOD($A127,100),IFERROR(VALUE(TRIM(MID(MID($A127,FIND("/",$A127)+1,20),FIND("/",MID($A127,FIND("/",$A127)+1,20))+1,20))),"")))</f>
        <v/>
      </c>
      <c r="E127">
        <f>IF($A127="","",IF(OR($B127="",$C127="",$D127="",$B127&lt;1300,$B127&gt;1500,$C127&lt;1,$C127&gt;12,$D127&lt;1,$D127&gt;31),"نامعتبر",RIGHT("0000"&amp;$B127,4)&amp;"/"&amp;RIGHT("00"&amp;$C127,2)&amp;"/"&amp;RIGHT("00"&amp;$D127,2)))</f>
        <v/>
      </c>
      <c r="F127">
        <f>IF(OR($E127="",$E127="نامعتبر"),"",LEFT($E127,4)&amp;"/"&amp;MID($E127,6,2))</f>
        <v/>
      </c>
      <c r="G127">
        <f>IF(OR($E127="",$E127="نامعتبر",Sync!$Y124=""),"",Sync!$Y124)</f>
        <v/>
      </c>
      <c r="H127">
        <f>IF($G127="","",IF(Sync!$X124="","",Sync!$X124))</f>
        <v/>
      </c>
      <c r="I127">
        <f>IF($G127="","",IFERROR(VLOOKUP(Sync!$X124,OpTbl,3,0),""))</f>
        <v/>
      </c>
      <c r="J127">
        <f>IF(OR($G127="",Sync!$Z124=""),"",Sync!$Z124)</f>
        <v/>
      </c>
      <c r="K127">
        <f>IF(OR($G127="",Sync!$AA124=""),"",Sync!$AA124)</f>
        <v/>
      </c>
      <c r="L127">
        <f>IF($G127="",0,IF(Sync!$AB124="",0,Sync!$AB124))</f>
        <v/>
      </c>
      <c r="M127">
        <f>IF($G127="",0,IF(Sync!$AC124="",0,Sync!$AC124))</f>
        <v/>
      </c>
      <c r="N127">
        <f>IF($G127="","",IF($H127="مرجوعی خرید",-1,1)*($L127-$M127*IFERROR(VLOOKUP("P01",ParamTbl,3,0),1.5))*(1-IF($I127="خرید",IFERROR(VLOOKUP("P02",ParamTbl,3,0),1),0)/100))</f>
        <v/>
      </c>
      <c r="O127">
        <f>IF($G127="",0,IF($H127="مرجوعی خرید",-1,1)*IF(Sync!$AD124="",0,Sync!$AD124))</f>
        <v/>
      </c>
      <c r="P127">
        <f>IF(OR($G127="",Sync!$W124=""),"",Sync!$W124)</f>
        <v/>
      </c>
      <c r="Q127">
        <f>IF(OR($G127="",Sync!$AE124=""),"",Sync!$AE124)</f>
        <v/>
      </c>
      <c r="R127">
        <f>IF($G127="","",IF(Sync!$V124="","0000",IF(AND(ISNUMBER(Sync!$V124),Sync!$V124&gt;=0,Sync!$V124&lt;1),RIGHT("00"&amp;HOUR(Sync!$V124),2)&amp;RIGHT("00"&amp;MINUTE(Sync!$V124),2),IFERROR(RIGHT("00"&amp;VALUE(LEFT(Sync!$V124,FIND(":",Sync!$V124)-1)),2)&amp;RIGHT("00"&amp;VALUE(MID(Sync!$V124,FIND(":",Sync!$V124)+1,2)),2),"0000"))))</f>
        <v/>
      </c>
    </row>
    <row r="128">
      <c r="A128">
        <f>IF(Sync!$U125="","",Sync!$U125)</f>
        <v/>
      </c>
      <c r="B128">
        <f>IF($A128="","",IF(ISNUMBER($A128),IF(AND($A128&gt;=10000101,$A128&lt;=99991231),INT($A128/10000),""),IFERROR(VALUE(TRIM(LEFT($A128,FIND("/",$A128)-1))),"")))</f>
        <v/>
      </c>
      <c r="C128">
        <f>IF(OR($A128="",$B128=""),"",IF(ISNUMBER($A128),INT(MOD($A128,10000)/100),IFERROR(VALUE(TRIM(LEFT(MID($A128,FIND("/",$A128)+1,20),FIND("/",MID($A128,FIND("/",$A128)+1,20))-1))),"")))</f>
        <v/>
      </c>
      <c r="D128">
        <f>IF(OR($A128="",$B128=""),"",IF(ISNUMBER($A128),MOD($A128,100),IFERROR(VALUE(TRIM(MID(MID($A128,FIND("/",$A128)+1,20),FIND("/",MID($A128,FIND("/",$A128)+1,20))+1,20))),"")))</f>
        <v/>
      </c>
      <c r="E128">
        <f>IF($A128="","",IF(OR($B128="",$C128="",$D128="",$B128&lt;1300,$B128&gt;1500,$C128&lt;1,$C128&gt;12,$D128&lt;1,$D128&gt;31),"نامعتبر",RIGHT("0000"&amp;$B128,4)&amp;"/"&amp;RIGHT("00"&amp;$C128,2)&amp;"/"&amp;RIGHT("00"&amp;$D128,2)))</f>
        <v/>
      </c>
      <c r="F128">
        <f>IF(OR($E128="",$E128="نامعتبر"),"",LEFT($E128,4)&amp;"/"&amp;MID($E128,6,2))</f>
        <v/>
      </c>
      <c r="G128">
        <f>IF(OR($E128="",$E128="نامعتبر",Sync!$Y125=""),"",Sync!$Y125)</f>
        <v/>
      </c>
      <c r="H128">
        <f>IF($G128="","",IF(Sync!$X125="","",Sync!$X125))</f>
        <v/>
      </c>
      <c r="I128">
        <f>IF($G128="","",IFERROR(VLOOKUP(Sync!$X125,OpTbl,3,0),""))</f>
        <v/>
      </c>
      <c r="J128">
        <f>IF(OR($G128="",Sync!$Z125=""),"",Sync!$Z125)</f>
        <v/>
      </c>
      <c r="K128">
        <f>IF(OR($G128="",Sync!$AA125=""),"",Sync!$AA125)</f>
        <v/>
      </c>
      <c r="L128">
        <f>IF($G128="",0,IF(Sync!$AB125="",0,Sync!$AB125))</f>
        <v/>
      </c>
      <c r="M128">
        <f>IF($G128="",0,IF(Sync!$AC125="",0,Sync!$AC125))</f>
        <v/>
      </c>
      <c r="N128">
        <f>IF($G128="","",IF($H128="مرجوعی خرید",-1,1)*($L128-$M128*IFERROR(VLOOKUP("P01",ParamTbl,3,0),1.5))*(1-IF($I128="خرید",IFERROR(VLOOKUP("P02",ParamTbl,3,0),1),0)/100))</f>
        <v/>
      </c>
      <c r="O128">
        <f>IF($G128="",0,IF($H128="مرجوعی خرید",-1,1)*IF(Sync!$AD125="",0,Sync!$AD125))</f>
        <v/>
      </c>
      <c r="P128">
        <f>IF(OR($G128="",Sync!$W125=""),"",Sync!$W125)</f>
        <v/>
      </c>
      <c r="Q128">
        <f>IF(OR($G128="",Sync!$AE125=""),"",Sync!$AE125)</f>
        <v/>
      </c>
      <c r="R128">
        <f>IF($G128="","",IF(Sync!$V125="","0000",IF(AND(ISNUMBER(Sync!$V125),Sync!$V125&gt;=0,Sync!$V125&lt;1),RIGHT("00"&amp;HOUR(Sync!$V125),2)&amp;RIGHT("00"&amp;MINUTE(Sync!$V125),2),IFERROR(RIGHT("00"&amp;VALUE(LEFT(Sync!$V125,FIND(":",Sync!$V125)-1)),2)&amp;RIGHT("00"&amp;VALUE(MID(Sync!$V125,FIND(":",Sync!$V125)+1,2)),2),"0000"))))</f>
        <v/>
      </c>
    </row>
    <row r="129">
      <c r="A129">
        <f>IF(Sync!$U126="","",Sync!$U126)</f>
        <v/>
      </c>
      <c r="B129">
        <f>IF($A129="","",IF(ISNUMBER($A129),IF(AND($A129&gt;=10000101,$A129&lt;=99991231),INT($A129/10000),""),IFERROR(VALUE(TRIM(LEFT($A129,FIND("/",$A129)-1))),"")))</f>
        <v/>
      </c>
      <c r="C129">
        <f>IF(OR($A129="",$B129=""),"",IF(ISNUMBER($A129),INT(MOD($A129,10000)/100),IFERROR(VALUE(TRIM(LEFT(MID($A129,FIND("/",$A129)+1,20),FIND("/",MID($A129,FIND("/",$A129)+1,20))-1))),"")))</f>
        <v/>
      </c>
      <c r="D129">
        <f>IF(OR($A129="",$B129=""),"",IF(ISNUMBER($A129),MOD($A129,100),IFERROR(VALUE(TRIM(MID(MID($A129,FIND("/",$A129)+1,20),FIND("/",MID($A129,FIND("/",$A129)+1,20))+1,20))),"")))</f>
        <v/>
      </c>
      <c r="E129">
        <f>IF($A129="","",IF(OR($B129="",$C129="",$D129="",$B129&lt;1300,$B129&gt;1500,$C129&lt;1,$C129&gt;12,$D129&lt;1,$D129&gt;31),"نامعتبر",RIGHT("0000"&amp;$B129,4)&amp;"/"&amp;RIGHT("00"&amp;$C129,2)&amp;"/"&amp;RIGHT("00"&amp;$D129,2)))</f>
        <v/>
      </c>
      <c r="F129">
        <f>IF(OR($E129="",$E129="نامعتبر"),"",LEFT($E129,4)&amp;"/"&amp;MID($E129,6,2))</f>
        <v/>
      </c>
      <c r="G129">
        <f>IF(OR($E129="",$E129="نامعتبر",Sync!$Y126=""),"",Sync!$Y126)</f>
        <v/>
      </c>
      <c r="H129">
        <f>IF($G129="","",IF(Sync!$X126="","",Sync!$X126))</f>
        <v/>
      </c>
      <c r="I129">
        <f>IF($G129="","",IFERROR(VLOOKUP(Sync!$X126,OpTbl,3,0),""))</f>
        <v/>
      </c>
      <c r="J129">
        <f>IF(OR($G129="",Sync!$Z126=""),"",Sync!$Z126)</f>
        <v/>
      </c>
      <c r="K129">
        <f>IF(OR($G129="",Sync!$AA126=""),"",Sync!$AA126)</f>
        <v/>
      </c>
      <c r="L129">
        <f>IF($G129="",0,IF(Sync!$AB126="",0,Sync!$AB126))</f>
        <v/>
      </c>
      <c r="M129">
        <f>IF($G129="",0,IF(Sync!$AC126="",0,Sync!$AC126))</f>
        <v/>
      </c>
      <c r="N129">
        <f>IF($G129="","",IF($H129="مرجوعی خرید",-1,1)*($L129-$M129*IFERROR(VLOOKUP("P01",ParamTbl,3,0),1.5))*(1-IF($I129="خرید",IFERROR(VLOOKUP("P02",ParamTbl,3,0),1),0)/100))</f>
        <v/>
      </c>
      <c r="O129">
        <f>IF($G129="",0,IF($H129="مرجوعی خرید",-1,1)*IF(Sync!$AD126="",0,Sync!$AD126))</f>
        <v/>
      </c>
      <c r="P129">
        <f>IF(OR($G129="",Sync!$W126=""),"",Sync!$W126)</f>
        <v/>
      </c>
      <c r="Q129">
        <f>IF(OR($G129="",Sync!$AE126=""),"",Sync!$AE126)</f>
        <v/>
      </c>
      <c r="R129">
        <f>IF($G129="","",IF(Sync!$V126="","0000",IF(AND(ISNUMBER(Sync!$V126),Sync!$V126&gt;=0,Sync!$V126&lt;1),RIGHT("00"&amp;HOUR(Sync!$V126),2)&amp;RIGHT("00"&amp;MINUTE(Sync!$V126),2),IFERROR(RIGHT("00"&amp;VALUE(LEFT(Sync!$V126,FIND(":",Sync!$V126)-1)),2)&amp;RIGHT("00"&amp;VALUE(MID(Sync!$V126,FIND(":",Sync!$V126)+1,2)),2),"0000"))))</f>
        <v/>
      </c>
    </row>
    <row r="130">
      <c r="A130">
        <f>IF(Sync!$U127="","",Sync!$U127)</f>
        <v/>
      </c>
      <c r="B130">
        <f>IF($A130="","",IF(ISNUMBER($A130),IF(AND($A130&gt;=10000101,$A130&lt;=99991231),INT($A130/10000),""),IFERROR(VALUE(TRIM(LEFT($A130,FIND("/",$A130)-1))),"")))</f>
        <v/>
      </c>
      <c r="C130">
        <f>IF(OR($A130="",$B130=""),"",IF(ISNUMBER($A130),INT(MOD($A130,10000)/100),IFERROR(VALUE(TRIM(LEFT(MID($A130,FIND("/",$A130)+1,20),FIND("/",MID($A130,FIND("/",$A130)+1,20))-1))),"")))</f>
        <v/>
      </c>
      <c r="D130">
        <f>IF(OR($A130="",$B130=""),"",IF(ISNUMBER($A130),MOD($A130,100),IFERROR(VALUE(TRIM(MID(MID($A130,FIND("/",$A130)+1,20),FIND("/",MID($A130,FIND("/",$A130)+1,20))+1,20))),"")))</f>
        <v/>
      </c>
      <c r="E130">
        <f>IF($A130="","",IF(OR($B130="",$C130="",$D130="",$B130&lt;1300,$B130&gt;1500,$C130&lt;1,$C130&gt;12,$D130&lt;1,$D130&gt;31),"نامعتبر",RIGHT("0000"&amp;$B130,4)&amp;"/"&amp;RIGHT("00"&amp;$C130,2)&amp;"/"&amp;RIGHT("00"&amp;$D130,2)))</f>
        <v/>
      </c>
      <c r="F130">
        <f>IF(OR($E130="",$E130="نامعتبر"),"",LEFT($E130,4)&amp;"/"&amp;MID($E130,6,2))</f>
        <v/>
      </c>
      <c r="G130">
        <f>IF(OR($E130="",$E130="نامعتبر",Sync!$Y127=""),"",Sync!$Y127)</f>
        <v/>
      </c>
      <c r="H130">
        <f>IF($G130="","",IF(Sync!$X127="","",Sync!$X127))</f>
        <v/>
      </c>
      <c r="I130">
        <f>IF($G130="","",IFERROR(VLOOKUP(Sync!$X127,OpTbl,3,0),""))</f>
        <v/>
      </c>
      <c r="J130">
        <f>IF(OR($G130="",Sync!$Z127=""),"",Sync!$Z127)</f>
        <v/>
      </c>
      <c r="K130">
        <f>IF(OR($G130="",Sync!$AA127=""),"",Sync!$AA127)</f>
        <v/>
      </c>
      <c r="L130">
        <f>IF($G130="",0,IF(Sync!$AB127="",0,Sync!$AB127))</f>
        <v/>
      </c>
      <c r="M130">
        <f>IF($G130="",0,IF(Sync!$AC127="",0,Sync!$AC127))</f>
        <v/>
      </c>
      <c r="N130">
        <f>IF($G130="","",IF($H130="مرجوعی خرید",-1,1)*($L130-$M130*IFERROR(VLOOKUP("P01",ParamTbl,3,0),1.5))*(1-IF($I130="خرید",IFERROR(VLOOKUP("P02",ParamTbl,3,0),1),0)/100))</f>
        <v/>
      </c>
      <c r="O130">
        <f>IF($G130="",0,IF($H130="مرجوعی خرید",-1,1)*IF(Sync!$AD127="",0,Sync!$AD127))</f>
        <v/>
      </c>
      <c r="P130">
        <f>IF(OR($G130="",Sync!$W127=""),"",Sync!$W127)</f>
        <v/>
      </c>
      <c r="Q130">
        <f>IF(OR($G130="",Sync!$AE127=""),"",Sync!$AE127)</f>
        <v/>
      </c>
      <c r="R130">
        <f>IF($G130="","",IF(Sync!$V127="","0000",IF(AND(ISNUMBER(Sync!$V127),Sync!$V127&gt;=0,Sync!$V127&lt;1),RIGHT("00"&amp;HOUR(Sync!$V127),2)&amp;RIGHT("00"&amp;MINUTE(Sync!$V127),2),IFERROR(RIGHT("00"&amp;VALUE(LEFT(Sync!$V127,FIND(":",Sync!$V127)-1)),2)&amp;RIGHT("00"&amp;VALUE(MID(Sync!$V127,FIND(":",Sync!$V127)+1,2)),2),"0000"))))</f>
        <v/>
      </c>
    </row>
    <row r="131">
      <c r="A131">
        <f>IF(Sync!$U128="","",Sync!$U128)</f>
        <v/>
      </c>
      <c r="B131">
        <f>IF($A131="","",IF(ISNUMBER($A131),IF(AND($A131&gt;=10000101,$A131&lt;=99991231),INT($A131/10000),""),IFERROR(VALUE(TRIM(LEFT($A131,FIND("/",$A131)-1))),"")))</f>
        <v/>
      </c>
      <c r="C131">
        <f>IF(OR($A131="",$B131=""),"",IF(ISNUMBER($A131),INT(MOD($A131,10000)/100),IFERROR(VALUE(TRIM(LEFT(MID($A131,FIND("/",$A131)+1,20),FIND("/",MID($A131,FIND("/",$A131)+1,20))-1))),"")))</f>
        <v/>
      </c>
      <c r="D131">
        <f>IF(OR($A131="",$B131=""),"",IF(ISNUMBER($A131),MOD($A131,100),IFERROR(VALUE(TRIM(MID(MID($A131,FIND("/",$A131)+1,20),FIND("/",MID($A131,FIND("/",$A131)+1,20))+1,20))),"")))</f>
        <v/>
      </c>
      <c r="E131">
        <f>IF($A131="","",IF(OR($B131="",$C131="",$D131="",$B131&lt;1300,$B131&gt;1500,$C131&lt;1,$C131&gt;12,$D131&lt;1,$D131&gt;31),"نامعتبر",RIGHT("0000"&amp;$B131,4)&amp;"/"&amp;RIGHT("00"&amp;$C131,2)&amp;"/"&amp;RIGHT("00"&amp;$D131,2)))</f>
        <v/>
      </c>
      <c r="F131">
        <f>IF(OR($E131="",$E131="نامعتبر"),"",LEFT($E131,4)&amp;"/"&amp;MID($E131,6,2))</f>
        <v/>
      </c>
      <c r="G131">
        <f>IF(OR($E131="",$E131="نامعتبر",Sync!$Y128=""),"",Sync!$Y128)</f>
        <v/>
      </c>
      <c r="H131">
        <f>IF($G131="","",IF(Sync!$X128="","",Sync!$X128))</f>
        <v/>
      </c>
      <c r="I131">
        <f>IF($G131="","",IFERROR(VLOOKUP(Sync!$X128,OpTbl,3,0),""))</f>
        <v/>
      </c>
      <c r="J131">
        <f>IF(OR($G131="",Sync!$Z128=""),"",Sync!$Z128)</f>
        <v/>
      </c>
      <c r="K131">
        <f>IF(OR($G131="",Sync!$AA128=""),"",Sync!$AA128)</f>
        <v/>
      </c>
      <c r="L131">
        <f>IF($G131="",0,IF(Sync!$AB128="",0,Sync!$AB128))</f>
        <v/>
      </c>
      <c r="M131">
        <f>IF($G131="",0,IF(Sync!$AC128="",0,Sync!$AC128))</f>
        <v/>
      </c>
      <c r="N131">
        <f>IF($G131="","",IF($H131="مرجوعی خرید",-1,1)*($L131-$M131*IFERROR(VLOOKUP("P01",ParamTbl,3,0),1.5))*(1-IF($I131="خرید",IFERROR(VLOOKUP("P02",ParamTbl,3,0),1),0)/100))</f>
        <v/>
      </c>
      <c r="O131">
        <f>IF($G131="",0,IF($H131="مرجوعی خرید",-1,1)*IF(Sync!$AD128="",0,Sync!$AD128))</f>
        <v/>
      </c>
      <c r="P131">
        <f>IF(OR($G131="",Sync!$W128=""),"",Sync!$W128)</f>
        <v/>
      </c>
      <c r="Q131">
        <f>IF(OR($G131="",Sync!$AE128=""),"",Sync!$AE128)</f>
        <v/>
      </c>
      <c r="R131">
        <f>IF($G131="","",IF(Sync!$V128="","0000",IF(AND(ISNUMBER(Sync!$V128),Sync!$V128&gt;=0,Sync!$V128&lt;1),RIGHT("00"&amp;HOUR(Sync!$V128),2)&amp;RIGHT("00"&amp;MINUTE(Sync!$V128),2),IFERROR(RIGHT("00"&amp;VALUE(LEFT(Sync!$V128,FIND(":",Sync!$V128)-1)),2)&amp;RIGHT("00"&amp;VALUE(MID(Sync!$V128,FIND(":",Sync!$V128)+1,2)),2),"0000"))))</f>
        <v/>
      </c>
    </row>
    <row r="132">
      <c r="A132">
        <f>IF(Sync!$U129="","",Sync!$U129)</f>
        <v/>
      </c>
      <c r="B132">
        <f>IF($A132="","",IF(ISNUMBER($A132),IF(AND($A132&gt;=10000101,$A132&lt;=99991231),INT($A132/10000),""),IFERROR(VALUE(TRIM(LEFT($A132,FIND("/",$A132)-1))),"")))</f>
        <v/>
      </c>
      <c r="C132">
        <f>IF(OR($A132="",$B132=""),"",IF(ISNUMBER($A132),INT(MOD($A132,10000)/100),IFERROR(VALUE(TRIM(LEFT(MID($A132,FIND("/",$A132)+1,20),FIND("/",MID($A132,FIND("/",$A132)+1,20))-1))),"")))</f>
        <v/>
      </c>
      <c r="D132">
        <f>IF(OR($A132="",$B132=""),"",IF(ISNUMBER($A132),MOD($A132,100),IFERROR(VALUE(TRIM(MID(MID($A132,FIND("/",$A132)+1,20),FIND("/",MID($A132,FIND("/",$A132)+1,20))+1,20))),"")))</f>
        <v/>
      </c>
      <c r="E132">
        <f>IF($A132="","",IF(OR($B132="",$C132="",$D132="",$B132&lt;1300,$B132&gt;1500,$C132&lt;1,$C132&gt;12,$D132&lt;1,$D132&gt;31),"نامعتبر",RIGHT("0000"&amp;$B132,4)&amp;"/"&amp;RIGHT("00"&amp;$C132,2)&amp;"/"&amp;RIGHT("00"&amp;$D132,2)))</f>
        <v/>
      </c>
      <c r="F132">
        <f>IF(OR($E132="",$E132="نامعتبر"),"",LEFT($E132,4)&amp;"/"&amp;MID($E132,6,2))</f>
        <v/>
      </c>
      <c r="G132">
        <f>IF(OR($E132="",$E132="نامعتبر",Sync!$Y129=""),"",Sync!$Y129)</f>
        <v/>
      </c>
      <c r="H132">
        <f>IF($G132="","",IF(Sync!$X129="","",Sync!$X129))</f>
        <v/>
      </c>
      <c r="I132">
        <f>IF($G132="","",IFERROR(VLOOKUP(Sync!$X129,OpTbl,3,0),""))</f>
        <v/>
      </c>
      <c r="J132">
        <f>IF(OR($G132="",Sync!$Z129=""),"",Sync!$Z129)</f>
        <v/>
      </c>
      <c r="K132">
        <f>IF(OR($G132="",Sync!$AA129=""),"",Sync!$AA129)</f>
        <v/>
      </c>
      <c r="L132">
        <f>IF($G132="",0,IF(Sync!$AB129="",0,Sync!$AB129))</f>
        <v/>
      </c>
      <c r="M132">
        <f>IF($G132="",0,IF(Sync!$AC129="",0,Sync!$AC129))</f>
        <v/>
      </c>
      <c r="N132">
        <f>IF($G132="","",IF($H132="مرجوعی خرید",-1,1)*($L132-$M132*IFERROR(VLOOKUP("P01",ParamTbl,3,0),1.5))*(1-IF($I132="خرید",IFERROR(VLOOKUP("P02",ParamTbl,3,0),1),0)/100))</f>
        <v/>
      </c>
      <c r="O132">
        <f>IF($G132="",0,IF($H132="مرجوعی خرید",-1,1)*IF(Sync!$AD129="",0,Sync!$AD129))</f>
        <v/>
      </c>
      <c r="P132">
        <f>IF(OR($G132="",Sync!$W129=""),"",Sync!$W129)</f>
        <v/>
      </c>
      <c r="Q132">
        <f>IF(OR($G132="",Sync!$AE129=""),"",Sync!$AE129)</f>
        <v/>
      </c>
      <c r="R132">
        <f>IF($G132="","",IF(Sync!$V129="","0000",IF(AND(ISNUMBER(Sync!$V129),Sync!$V129&gt;=0,Sync!$V129&lt;1),RIGHT("00"&amp;HOUR(Sync!$V129),2)&amp;RIGHT("00"&amp;MINUTE(Sync!$V129),2),IFERROR(RIGHT("00"&amp;VALUE(LEFT(Sync!$V129,FIND(":",Sync!$V129)-1)),2)&amp;RIGHT("00"&amp;VALUE(MID(Sync!$V129,FIND(":",Sync!$V129)+1,2)),2),"0000"))))</f>
        <v/>
      </c>
    </row>
    <row r="133">
      <c r="A133">
        <f>IF(Sync!$U130="","",Sync!$U130)</f>
        <v/>
      </c>
      <c r="B133">
        <f>IF($A133="","",IF(ISNUMBER($A133),IF(AND($A133&gt;=10000101,$A133&lt;=99991231),INT($A133/10000),""),IFERROR(VALUE(TRIM(LEFT($A133,FIND("/",$A133)-1))),"")))</f>
        <v/>
      </c>
      <c r="C133">
        <f>IF(OR($A133="",$B133=""),"",IF(ISNUMBER($A133),INT(MOD($A133,10000)/100),IFERROR(VALUE(TRIM(LEFT(MID($A133,FIND("/",$A133)+1,20),FIND("/",MID($A133,FIND("/",$A133)+1,20))-1))),"")))</f>
        <v/>
      </c>
      <c r="D133">
        <f>IF(OR($A133="",$B133=""),"",IF(ISNUMBER($A133),MOD($A133,100),IFERROR(VALUE(TRIM(MID(MID($A133,FIND("/",$A133)+1,20),FIND("/",MID($A133,FIND("/",$A133)+1,20))+1,20))),"")))</f>
        <v/>
      </c>
      <c r="E133">
        <f>IF($A133="","",IF(OR($B133="",$C133="",$D133="",$B133&lt;1300,$B133&gt;1500,$C133&lt;1,$C133&gt;12,$D133&lt;1,$D133&gt;31),"نامعتبر",RIGHT("0000"&amp;$B133,4)&amp;"/"&amp;RIGHT("00"&amp;$C133,2)&amp;"/"&amp;RIGHT("00"&amp;$D133,2)))</f>
        <v/>
      </c>
      <c r="F133">
        <f>IF(OR($E133="",$E133="نامعتبر"),"",LEFT($E133,4)&amp;"/"&amp;MID($E133,6,2))</f>
        <v/>
      </c>
      <c r="G133">
        <f>IF(OR($E133="",$E133="نامعتبر",Sync!$Y130=""),"",Sync!$Y130)</f>
        <v/>
      </c>
      <c r="H133">
        <f>IF($G133="","",IF(Sync!$X130="","",Sync!$X130))</f>
        <v/>
      </c>
      <c r="I133">
        <f>IF($G133="","",IFERROR(VLOOKUP(Sync!$X130,OpTbl,3,0),""))</f>
        <v/>
      </c>
      <c r="J133">
        <f>IF(OR($G133="",Sync!$Z130=""),"",Sync!$Z130)</f>
        <v/>
      </c>
      <c r="K133">
        <f>IF(OR($G133="",Sync!$AA130=""),"",Sync!$AA130)</f>
        <v/>
      </c>
      <c r="L133">
        <f>IF($G133="",0,IF(Sync!$AB130="",0,Sync!$AB130))</f>
        <v/>
      </c>
      <c r="M133">
        <f>IF($G133="",0,IF(Sync!$AC130="",0,Sync!$AC130))</f>
        <v/>
      </c>
      <c r="N133">
        <f>IF($G133="","",IF($H133="مرجوعی خرید",-1,1)*($L133-$M133*IFERROR(VLOOKUP("P01",ParamTbl,3,0),1.5))*(1-IF($I133="خرید",IFERROR(VLOOKUP("P02",ParamTbl,3,0),1),0)/100))</f>
        <v/>
      </c>
      <c r="O133">
        <f>IF($G133="",0,IF($H133="مرجوعی خرید",-1,1)*IF(Sync!$AD130="",0,Sync!$AD130))</f>
        <v/>
      </c>
      <c r="P133">
        <f>IF(OR($G133="",Sync!$W130=""),"",Sync!$W130)</f>
        <v/>
      </c>
      <c r="Q133">
        <f>IF(OR($G133="",Sync!$AE130=""),"",Sync!$AE130)</f>
        <v/>
      </c>
      <c r="R133">
        <f>IF($G133="","",IF(Sync!$V130="","0000",IF(AND(ISNUMBER(Sync!$V130),Sync!$V130&gt;=0,Sync!$V130&lt;1),RIGHT("00"&amp;HOUR(Sync!$V130),2)&amp;RIGHT("00"&amp;MINUTE(Sync!$V130),2),IFERROR(RIGHT("00"&amp;VALUE(LEFT(Sync!$V130,FIND(":",Sync!$V130)-1)),2)&amp;RIGHT("00"&amp;VALUE(MID(Sync!$V130,FIND(":",Sync!$V130)+1,2)),2),"0000"))))</f>
        <v/>
      </c>
    </row>
    <row r="134">
      <c r="A134">
        <f>IF(Sync!$U131="","",Sync!$U131)</f>
        <v/>
      </c>
      <c r="B134">
        <f>IF($A134="","",IF(ISNUMBER($A134),IF(AND($A134&gt;=10000101,$A134&lt;=99991231),INT($A134/10000),""),IFERROR(VALUE(TRIM(LEFT($A134,FIND("/",$A134)-1))),"")))</f>
        <v/>
      </c>
      <c r="C134">
        <f>IF(OR($A134="",$B134=""),"",IF(ISNUMBER($A134),INT(MOD($A134,10000)/100),IFERROR(VALUE(TRIM(LEFT(MID($A134,FIND("/",$A134)+1,20),FIND("/",MID($A134,FIND("/",$A134)+1,20))-1))),"")))</f>
        <v/>
      </c>
      <c r="D134">
        <f>IF(OR($A134="",$B134=""),"",IF(ISNUMBER($A134),MOD($A134,100),IFERROR(VALUE(TRIM(MID(MID($A134,FIND("/",$A134)+1,20),FIND("/",MID($A134,FIND("/",$A134)+1,20))+1,20))),"")))</f>
        <v/>
      </c>
      <c r="E134">
        <f>IF($A134="","",IF(OR($B134="",$C134="",$D134="",$B134&lt;1300,$B134&gt;1500,$C134&lt;1,$C134&gt;12,$D134&lt;1,$D134&gt;31),"نامعتبر",RIGHT("0000"&amp;$B134,4)&amp;"/"&amp;RIGHT("00"&amp;$C134,2)&amp;"/"&amp;RIGHT("00"&amp;$D134,2)))</f>
        <v/>
      </c>
      <c r="F134">
        <f>IF(OR($E134="",$E134="نامعتبر"),"",LEFT($E134,4)&amp;"/"&amp;MID($E134,6,2))</f>
        <v/>
      </c>
      <c r="G134">
        <f>IF(OR($E134="",$E134="نامعتبر",Sync!$Y131=""),"",Sync!$Y131)</f>
        <v/>
      </c>
      <c r="H134">
        <f>IF($G134="","",IF(Sync!$X131="","",Sync!$X131))</f>
        <v/>
      </c>
      <c r="I134">
        <f>IF($G134="","",IFERROR(VLOOKUP(Sync!$X131,OpTbl,3,0),""))</f>
        <v/>
      </c>
      <c r="J134">
        <f>IF(OR($G134="",Sync!$Z131=""),"",Sync!$Z131)</f>
        <v/>
      </c>
      <c r="K134">
        <f>IF(OR($G134="",Sync!$AA131=""),"",Sync!$AA131)</f>
        <v/>
      </c>
      <c r="L134">
        <f>IF($G134="",0,IF(Sync!$AB131="",0,Sync!$AB131))</f>
        <v/>
      </c>
      <c r="M134">
        <f>IF($G134="",0,IF(Sync!$AC131="",0,Sync!$AC131))</f>
        <v/>
      </c>
      <c r="N134">
        <f>IF($G134="","",IF($H134="مرجوعی خرید",-1,1)*($L134-$M134*IFERROR(VLOOKUP("P01",ParamTbl,3,0),1.5))*(1-IF($I134="خرید",IFERROR(VLOOKUP("P02",ParamTbl,3,0),1),0)/100))</f>
        <v/>
      </c>
      <c r="O134">
        <f>IF($G134="",0,IF($H134="مرجوعی خرید",-1,1)*IF(Sync!$AD131="",0,Sync!$AD131))</f>
        <v/>
      </c>
      <c r="P134">
        <f>IF(OR($G134="",Sync!$W131=""),"",Sync!$W131)</f>
        <v/>
      </c>
      <c r="Q134">
        <f>IF(OR($G134="",Sync!$AE131=""),"",Sync!$AE131)</f>
        <v/>
      </c>
      <c r="R134">
        <f>IF($G134="","",IF(Sync!$V131="","0000",IF(AND(ISNUMBER(Sync!$V131),Sync!$V131&gt;=0,Sync!$V131&lt;1),RIGHT("00"&amp;HOUR(Sync!$V131),2)&amp;RIGHT("00"&amp;MINUTE(Sync!$V131),2),IFERROR(RIGHT("00"&amp;VALUE(LEFT(Sync!$V131,FIND(":",Sync!$V131)-1)),2)&amp;RIGHT("00"&amp;VALUE(MID(Sync!$V131,FIND(":",Sync!$V131)+1,2)),2),"0000"))))</f>
        <v/>
      </c>
    </row>
    <row r="135">
      <c r="A135">
        <f>IF(Sync!$U132="","",Sync!$U132)</f>
        <v/>
      </c>
      <c r="B135">
        <f>IF($A135="","",IF(ISNUMBER($A135),IF(AND($A135&gt;=10000101,$A135&lt;=99991231),INT($A135/10000),""),IFERROR(VALUE(TRIM(LEFT($A135,FIND("/",$A135)-1))),"")))</f>
        <v/>
      </c>
      <c r="C135">
        <f>IF(OR($A135="",$B135=""),"",IF(ISNUMBER($A135),INT(MOD($A135,10000)/100),IFERROR(VALUE(TRIM(LEFT(MID($A135,FIND("/",$A135)+1,20),FIND("/",MID($A135,FIND("/",$A135)+1,20))-1))),"")))</f>
        <v/>
      </c>
      <c r="D135">
        <f>IF(OR($A135="",$B135=""),"",IF(ISNUMBER($A135),MOD($A135,100),IFERROR(VALUE(TRIM(MID(MID($A135,FIND("/",$A135)+1,20),FIND("/",MID($A135,FIND("/",$A135)+1,20))+1,20))),"")))</f>
        <v/>
      </c>
      <c r="E135">
        <f>IF($A135="","",IF(OR($B135="",$C135="",$D135="",$B135&lt;1300,$B135&gt;1500,$C135&lt;1,$C135&gt;12,$D135&lt;1,$D135&gt;31),"نامعتبر",RIGHT("0000"&amp;$B135,4)&amp;"/"&amp;RIGHT("00"&amp;$C135,2)&amp;"/"&amp;RIGHT("00"&amp;$D135,2)))</f>
        <v/>
      </c>
      <c r="F135">
        <f>IF(OR($E135="",$E135="نامعتبر"),"",LEFT($E135,4)&amp;"/"&amp;MID($E135,6,2))</f>
        <v/>
      </c>
      <c r="G135">
        <f>IF(OR($E135="",$E135="نامعتبر",Sync!$Y132=""),"",Sync!$Y132)</f>
        <v/>
      </c>
      <c r="H135">
        <f>IF($G135="","",IF(Sync!$X132="","",Sync!$X132))</f>
        <v/>
      </c>
      <c r="I135">
        <f>IF($G135="","",IFERROR(VLOOKUP(Sync!$X132,OpTbl,3,0),""))</f>
        <v/>
      </c>
      <c r="J135">
        <f>IF(OR($G135="",Sync!$Z132=""),"",Sync!$Z132)</f>
        <v/>
      </c>
      <c r="K135">
        <f>IF(OR($G135="",Sync!$AA132=""),"",Sync!$AA132)</f>
        <v/>
      </c>
      <c r="L135">
        <f>IF($G135="",0,IF(Sync!$AB132="",0,Sync!$AB132))</f>
        <v/>
      </c>
      <c r="M135">
        <f>IF($G135="",0,IF(Sync!$AC132="",0,Sync!$AC132))</f>
        <v/>
      </c>
      <c r="N135">
        <f>IF($G135="","",IF($H135="مرجوعی خرید",-1,1)*($L135-$M135*IFERROR(VLOOKUP("P01",ParamTbl,3,0),1.5))*(1-IF($I135="خرید",IFERROR(VLOOKUP("P02",ParamTbl,3,0),1),0)/100))</f>
        <v/>
      </c>
      <c r="O135">
        <f>IF($G135="",0,IF($H135="مرجوعی خرید",-1,1)*IF(Sync!$AD132="",0,Sync!$AD132))</f>
        <v/>
      </c>
      <c r="P135">
        <f>IF(OR($G135="",Sync!$W132=""),"",Sync!$W132)</f>
        <v/>
      </c>
      <c r="Q135">
        <f>IF(OR($G135="",Sync!$AE132=""),"",Sync!$AE132)</f>
        <v/>
      </c>
      <c r="R135">
        <f>IF($G135="","",IF(Sync!$V132="","0000",IF(AND(ISNUMBER(Sync!$V132),Sync!$V132&gt;=0,Sync!$V132&lt;1),RIGHT("00"&amp;HOUR(Sync!$V132),2)&amp;RIGHT("00"&amp;MINUTE(Sync!$V132),2),IFERROR(RIGHT("00"&amp;VALUE(LEFT(Sync!$V132,FIND(":",Sync!$V132)-1)),2)&amp;RIGHT("00"&amp;VALUE(MID(Sync!$V132,FIND(":",Sync!$V132)+1,2)),2),"0000"))))</f>
        <v/>
      </c>
    </row>
    <row r="136">
      <c r="A136">
        <f>IF(Sync!$U133="","",Sync!$U133)</f>
        <v/>
      </c>
      <c r="B136">
        <f>IF($A136="","",IF(ISNUMBER($A136),IF(AND($A136&gt;=10000101,$A136&lt;=99991231),INT($A136/10000),""),IFERROR(VALUE(TRIM(LEFT($A136,FIND("/",$A136)-1))),"")))</f>
        <v/>
      </c>
      <c r="C136">
        <f>IF(OR($A136="",$B136=""),"",IF(ISNUMBER($A136),INT(MOD($A136,10000)/100),IFERROR(VALUE(TRIM(LEFT(MID($A136,FIND("/",$A136)+1,20),FIND("/",MID($A136,FIND("/",$A136)+1,20))-1))),"")))</f>
        <v/>
      </c>
      <c r="D136">
        <f>IF(OR($A136="",$B136=""),"",IF(ISNUMBER($A136),MOD($A136,100),IFERROR(VALUE(TRIM(MID(MID($A136,FIND("/",$A136)+1,20),FIND("/",MID($A136,FIND("/",$A136)+1,20))+1,20))),"")))</f>
        <v/>
      </c>
      <c r="E136">
        <f>IF($A136="","",IF(OR($B136="",$C136="",$D136="",$B136&lt;1300,$B136&gt;1500,$C136&lt;1,$C136&gt;12,$D136&lt;1,$D136&gt;31),"نامعتبر",RIGHT("0000"&amp;$B136,4)&amp;"/"&amp;RIGHT("00"&amp;$C136,2)&amp;"/"&amp;RIGHT("00"&amp;$D136,2)))</f>
        <v/>
      </c>
      <c r="F136">
        <f>IF(OR($E136="",$E136="نامعتبر"),"",LEFT($E136,4)&amp;"/"&amp;MID($E136,6,2))</f>
        <v/>
      </c>
      <c r="G136">
        <f>IF(OR($E136="",$E136="نامعتبر",Sync!$Y133=""),"",Sync!$Y133)</f>
        <v/>
      </c>
      <c r="H136">
        <f>IF($G136="","",IF(Sync!$X133="","",Sync!$X133))</f>
        <v/>
      </c>
      <c r="I136">
        <f>IF($G136="","",IFERROR(VLOOKUP(Sync!$X133,OpTbl,3,0),""))</f>
        <v/>
      </c>
      <c r="J136">
        <f>IF(OR($G136="",Sync!$Z133=""),"",Sync!$Z133)</f>
        <v/>
      </c>
      <c r="K136">
        <f>IF(OR($G136="",Sync!$AA133=""),"",Sync!$AA133)</f>
        <v/>
      </c>
      <c r="L136">
        <f>IF($G136="",0,IF(Sync!$AB133="",0,Sync!$AB133))</f>
        <v/>
      </c>
      <c r="M136">
        <f>IF($G136="",0,IF(Sync!$AC133="",0,Sync!$AC133))</f>
        <v/>
      </c>
      <c r="N136">
        <f>IF($G136="","",IF($H136="مرجوعی خرید",-1,1)*($L136-$M136*IFERROR(VLOOKUP("P01",ParamTbl,3,0),1.5))*(1-IF($I136="خرید",IFERROR(VLOOKUP("P02",ParamTbl,3,0),1),0)/100))</f>
        <v/>
      </c>
      <c r="O136">
        <f>IF($G136="",0,IF($H136="مرجوعی خرید",-1,1)*IF(Sync!$AD133="",0,Sync!$AD133))</f>
        <v/>
      </c>
      <c r="P136">
        <f>IF(OR($G136="",Sync!$W133=""),"",Sync!$W133)</f>
        <v/>
      </c>
      <c r="Q136">
        <f>IF(OR($G136="",Sync!$AE133=""),"",Sync!$AE133)</f>
        <v/>
      </c>
      <c r="R136">
        <f>IF($G136="","",IF(Sync!$V133="","0000",IF(AND(ISNUMBER(Sync!$V133),Sync!$V133&gt;=0,Sync!$V133&lt;1),RIGHT("00"&amp;HOUR(Sync!$V133),2)&amp;RIGHT("00"&amp;MINUTE(Sync!$V133),2),IFERROR(RIGHT("00"&amp;VALUE(LEFT(Sync!$V133,FIND(":",Sync!$V133)-1)),2)&amp;RIGHT("00"&amp;VALUE(MID(Sync!$V133,FIND(":",Sync!$V133)+1,2)),2),"0000"))))</f>
        <v/>
      </c>
    </row>
    <row r="137">
      <c r="A137">
        <f>IF(Sync!$U134="","",Sync!$U134)</f>
        <v/>
      </c>
      <c r="B137">
        <f>IF($A137="","",IF(ISNUMBER($A137),IF(AND($A137&gt;=10000101,$A137&lt;=99991231),INT($A137/10000),""),IFERROR(VALUE(TRIM(LEFT($A137,FIND("/",$A137)-1))),"")))</f>
        <v/>
      </c>
      <c r="C137">
        <f>IF(OR($A137="",$B137=""),"",IF(ISNUMBER($A137),INT(MOD($A137,10000)/100),IFERROR(VALUE(TRIM(LEFT(MID($A137,FIND("/",$A137)+1,20),FIND("/",MID($A137,FIND("/",$A137)+1,20))-1))),"")))</f>
        <v/>
      </c>
      <c r="D137">
        <f>IF(OR($A137="",$B137=""),"",IF(ISNUMBER($A137),MOD($A137,100),IFERROR(VALUE(TRIM(MID(MID($A137,FIND("/",$A137)+1,20),FIND("/",MID($A137,FIND("/",$A137)+1,20))+1,20))),"")))</f>
        <v/>
      </c>
      <c r="E137">
        <f>IF($A137="","",IF(OR($B137="",$C137="",$D137="",$B137&lt;1300,$B137&gt;1500,$C137&lt;1,$C137&gt;12,$D137&lt;1,$D137&gt;31),"نامعتبر",RIGHT("0000"&amp;$B137,4)&amp;"/"&amp;RIGHT("00"&amp;$C137,2)&amp;"/"&amp;RIGHT("00"&amp;$D137,2)))</f>
        <v/>
      </c>
      <c r="F137">
        <f>IF(OR($E137="",$E137="نامعتبر"),"",LEFT($E137,4)&amp;"/"&amp;MID($E137,6,2))</f>
        <v/>
      </c>
      <c r="G137">
        <f>IF(OR($E137="",$E137="نامعتبر",Sync!$Y134=""),"",Sync!$Y134)</f>
        <v/>
      </c>
      <c r="H137">
        <f>IF($G137="","",IF(Sync!$X134="","",Sync!$X134))</f>
        <v/>
      </c>
      <c r="I137">
        <f>IF($G137="","",IFERROR(VLOOKUP(Sync!$X134,OpTbl,3,0),""))</f>
        <v/>
      </c>
      <c r="J137">
        <f>IF(OR($G137="",Sync!$Z134=""),"",Sync!$Z134)</f>
        <v/>
      </c>
      <c r="K137">
        <f>IF(OR($G137="",Sync!$AA134=""),"",Sync!$AA134)</f>
        <v/>
      </c>
      <c r="L137">
        <f>IF($G137="",0,IF(Sync!$AB134="",0,Sync!$AB134))</f>
        <v/>
      </c>
      <c r="M137">
        <f>IF($G137="",0,IF(Sync!$AC134="",0,Sync!$AC134))</f>
        <v/>
      </c>
      <c r="N137">
        <f>IF($G137="","",IF($H137="مرجوعی خرید",-1,1)*($L137-$M137*IFERROR(VLOOKUP("P01",ParamTbl,3,0),1.5))*(1-IF($I137="خرید",IFERROR(VLOOKUP("P02",ParamTbl,3,0),1),0)/100))</f>
        <v/>
      </c>
      <c r="O137">
        <f>IF($G137="",0,IF($H137="مرجوعی خرید",-1,1)*IF(Sync!$AD134="",0,Sync!$AD134))</f>
        <v/>
      </c>
      <c r="P137">
        <f>IF(OR($G137="",Sync!$W134=""),"",Sync!$W134)</f>
        <v/>
      </c>
      <c r="Q137">
        <f>IF(OR($G137="",Sync!$AE134=""),"",Sync!$AE134)</f>
        <v/>
      </c>
      <c r="R137">
        <f>IF($G137="","",IF(Sync!$V134="","0000",IF(AND(ISNUMBER(Sync!$V134),Sync!$V134&gt;=0,Sync!$V134&lt;1),RIGHT("00"&amp;HOUR(Sync!$V134),2)&amp;RIGHT("00"&amp;MINUTE(Sync!$V134),2),IFERROR(RIGHT("00"&amp;VALUE(LEFT(Sync!$V134,FIND(":",Sync!$V134)-1)),2)&amp;RIGHT("00"&amp;VALUE(MID(Sync!$V134,FIND(":",Sync!$V134)+1,2)),2),"0000"))))</f>
        <v/>
      </c>
    </row>
    <row r="138">
      <c r="A138">
        <f>IF(Sync!$U135="","",Sync!$U135)</f>
        <v/>
      </c>
      <c r="B138">
        <f>IF($A138="","",IF(ISNUMBER($A138),IF(AND($A138&gt;=10000101,$A138&lt;=99991231),INT($A138/10000),""),IFERROR(VALUE(TRIM(LEFT($A138,FIND("/",$A138)-1))),"")))</f>
        <v/>
      </c>
      <c r="C138">
        <f>IF(OR($A138="",$B138=""),"",IF(ISNUMBER($A138),INT(MOD($A138,10000)/100),IFERROR(VALUE(TRIM(LEFT(MID($A138,FIND("/",$A138)+1,20),FIND("/",MID($A138,FIND("/",$A138)+1,20))-1))),"")))</f>
        <v/>
      </c>
      <c r="D138">
        <f>IF(OR($A138="",$B138=""),"",IF(ISNUMBER($A138),MOD($A138,100),IFERROR(VALUE(TRIM(MID(MID($A138,FIND("/",$A138)+1,20),FIND("/",MID($A138,FIND("/",$A138)+1,20))+1,20))),"")))</f>
        <v/>
      </c>
      <c r="E138">
        <f>IF($A138="","",IF(OR($B138="",$C138="",$D138="",$B138&lt;1300,$B138&gt;1500,$C138&lt;1,$C138&gt;12,$D138&lt;1,$D138&gt;31),"نامعتبر",RIGHT("0000"&amp;$B138,4)&amp;"/"&amp;RIGHT("00"&amp;$C138,2)&amp;"/"&amp;RIGHT("00"&amp;$D138,2)))</f>
        <v/>
      </c>
      <c r="F138">
        <f>IF(OR($E138="",$E138="نامعتبر"),"",LEFT($E138,4)&amp;"/"&amp;MID($E138,6,2))</f>
        <v/>
      </c>
      <c r="G138">
        <f>IF(OR($E138="",$E138="نامعتبر",Sync!$Y135=""),"",Sync!$Y135)</f>
        <v/>
      </c>
      <c r="H138">
        <f>IF($G138="","",IF(Sync!$X135="","",Sync!$X135))</f>
        <v/>
      </c>
      <c r="I138">
        <f>IF($G138="","",IFERROR(VLOOKUP(Sync!$X135,OpTbl,3,0),""))</f>
        <v/>
      </c>
      <c r="J138">
        <f>IF(OR($G138="",Sync!$Z135=""),"",Sync!$Z135)</f>
        <v/>
      </c>
      <c r="K138">
        <f>IF(OR($G138="",Sync!$AA135=""),"",Sync!$AA135)</f>
        <v/>
      </c>
      <c r="L138">
        <f>IF($G138="",0,IF(Sync!$AB135="",0,Sync!$AB135))</f>
        <v/>
      </c>
      <c r="M138">
        <f>IF($G138="",0,IF(Sync!$AC135="",0,Sync!$AC135))</f>
        <v/>
      </c>
      <c r="N138">
        <f>IF($G138="","",IF($H138="مرجوعی خرید",-1,1)*($L138-$M138*IFERROR(VLOOKUP("P01",ParamTbl,3,0),1.5))*(1-IF($I138="خرید",IFERROR(VLOOKUP("P02",ParamTbl,3,0),1),0)/100))</f>
        <v/>
      </c>
      <c r="O138">
        <f>IF($G138="",0,IF($H138="مرجوعی خرید",-1,1)*IF(Sync!$AD135="",0,Sync!$AD135))</f>
        <v/>
      </c>
      <c r="P138">
        <f>IF(OR($G138="",Sync!$W135=""),"",Sync!$W135)</f>
        <v/>
      </c>
      <c r="Q138">
        <f>IF(OR($G138="",Sync!$AE135=""),"",Sync!$AE135)</f>
        <v/>
      </c>
      <c r="R138">
        <f>IF($G138="","",IF(Sync!$V135="","0000",IF(AND(ISNUMBER(Sync!$V135),Sync!$V135&gt;=0,Sync!$V135&lt;1),RIGHT("00"&amp;HOUR(Sync!$V135),2)&amp;RIGHT("00"&amp;MINUTE(Sync!$V135),2),IFERROR(RIGHT("00"&amp;VALUE(LEFT(Sync!$V135,FIND(":",Sync!$V135)-1)),2)&amp;RIGHT("00"&amp;VALUE(MID(Sync!$V135,FIND(":",Sync!$V135)+1,2)),2),"0000"))))</f>
        <v/>
      </c>
    </row>
    <row r="139">
      <c r="A139">
        <f>IF(Sync!$U136="","",Sync!$U136)</f>
        <v/>
      </c>
      <c r="B139">
        <f>IF($A139="","",IF(ISNUMBER($A139),IF(AND($A139&gt;=10000101,$A139&lt;=99991231),INT($A139/10000),""),IFERROR(VALUE(TRIM(LEFT($A139,FIND("/",$A139)-1))),"")))</f>
        <v/>
      </c>
      <c r="C139">
        <f>IF(OR($A139="",$B139=""),"",IF(ISNUMBER($A139),INT(MOD($A139,10000)/100),IFERROR(VALUE(TRIM(LEFT(MID($A139,FIND("/",$A139)+1,20),FIND("/",MID($A139,FIND("/",$A139)+1,20))-1))),"")))</f>
        <v/>
      </c>
      <c r="D139">
        <f>IF(OR($A139="",$B139=""),"",IF(ISNUMBER($A139),MOD($A139,100),IFERROR(VALUE(TRIM(MID(MID($A139,FIND("/",$A139)+1,20),FIND("/",MID($A139,FIND("/",$A139)+1,20))+1,20))),"")))</f>
        <v/>
      </c>
      <c r="E139">
        <f>IF($A139="","",IF(OR($B139="",$C139="",$D139="",$B139&lt;1300,$B139&gt;1500,$C139&lt;1,$C139&gt;12,$D139&lt;1,$D139&gt;31),"نامعتبر",RIGHT("0000"&amp;$B139,4)&amp;"/"&amp;RIGHT("00"&amp;$C139,2)&amp;"/"&amp;RIGHT("00"&amp;$D139,2)))</f>
        <v/>
      </c>
      <c r="F139">
        <f>IF(OR($E139="",$E139="نامعتبر"),"",LEFT($E139,4)&amp;"/"&amp;MID($E139,6,2))</f>
        <v/>
      </c>
      <c r="G139">
        <f>IF(OR($E139="",$E139="نامعتبر",Sync!$Y136=""),"",Sync!$Y136)</f>
        <v/>
      </c>
      <c r="H139">
        <f>IF($G139="","",IF(Sync!$X136="","",Sync!$X136))</f>
        <v/>
      </c>
      <c r="I139">
        <f>IF($G139="","",IFERROR(VLOOKUP(Sync!$X136,OpTbl,3,0),""))</f>
        <v/>
      </c>
      <c r="J139">
        <f>IF(OR($G139="",Sync!$Z136=""),"",Sync!$Z136)</f>
        <v/>
      </c>
      <c r="K139">
        <f>IF(OR($G139="",Sync!$AA136=""),"",Sync!$AA136)</f>
        <v/>
      </c>
      <c r="L139">
        <f>IF($G139="",0,IF(Sync!$AB136="",0,Sync!$AB136))</f>
        <v/>
      </c>
      <c r="M139">
        <f>IF($G139="",0,IF(Sync!$AC136="",0,Sync!$AC136))</f>
        <v/>
      </c>
      <c r="N139">
        <f>IF($G139="","",IF($H139="مرجوعی خرید",-1,1)*($L139-$M139*IFERROR(VLOOKUP("P01",ParamTbl,3,0),1.5))*(1-IF($I139="خرید",IFERROR(VLOOKUP("P02",ParamTbl,3,0),1),0)/100))</f>
        <v/>
      </c>
      <c r="O139">
        <f>IF($G139="",0,IF($H139="مرجوعی خرید",-1,1)*IF(Sync!$AD136="",0,Sync!$AD136))</f>
        <v/>
      </c>
      <c r="P139">
        <f>IF(OR($G139="",Sync!$W136=""),"",Sync!$W136)</f>
        <v/>
      </c>
      <c r="Q139">
        <f>IF(OR($G139="",Sync!$AE136=""),"",Sync!$AE136)</f>
        <v/>
      </c>
      <c r="R139">
        <f>IF($G139="","",IF(Sync!$V136="","0000",IF(AND(ISNUMBER(Sync!$V136),Sync!$V136&gt;=0,Sync!$V136&lt;1),RIGHT("00"&amp;HOUR(Sync!$V136),2)&amp;RIGHT("00"&amp;MINUTE(Sync!$V136),2),IFERROR(RIGHT("00"&amp;VALUE(LEFT(Sync!$V136,FIND(":",Sync!$V136)-1)),2)&amp;RIGHT("00"&amp;VALUE(MID(Sync!$V136,FIND(":",Sync!$V136)+1,2)),2),"0000"))))</f>
        <v/>
      </c>
    </row>
    <row r="140">
      <c r="A140">
        <f>IF(Sync!$U137="","",Sync!$U137)</f>
        <v/>
      </c>
      <c r="B140">
        <f>IF($A140="","",IF(ISNUMBER($A140),IF(AND($A140&gt;=10000101,$A140&lt;=99991231),INT($A140/10000),""),IFERROR(VALUE(TRIM(LEFT($A140,FIND("/",$A140)-1))),"")))</f>
        <v/>
      </c>
      <c r="C140">
        <f>IF(OR($A140="",$B140=""),"",IF(ISNUMBER($A140),INT(MOD($A140,10000)/100),IFERROR(VALUE(TRIM(LEFT(MID($A140,FIND("/",$A140)+1,20),FIND("/",MID($A140,FIND("/",$A140)+1,20))-1))),"")))</f>
        <v/>
      </c>
      <c r="D140">
        <f>IF(OR($A140="",$B140=""),"",IF(ISNUMBER($A140),MOD($A140,100),IFERROR(VALUE(TRIM(MID(MID($A140,FIND("/",$A140)+1,20),FIND("/",MID($A140,FIND("/",$A140)+1,20))+1,20))),"")))</f>
        <v/>
      </c>
      <c r="E140">
        <f>IF($A140="","",IF(OR($B140="",$C140="",$D140="",$B140&lt;1300,$B140&gt;1500,$C140&lt;1,$C140&gt;12,$D140&lt;1,$D140&gt;31),"نامعتبر",RIGHT("0000"&amp;$B140,4)&amp;"/"&amp;RIGHT("00"&amp;$C140,2)&amp;"/"&amp;RIGHT("00"&amp;$D140,2)))</f>
        <v/>
      </c>
      <c r="F140">
        <f>IF(OR($E140="",$E140="نامعتبر"),"",LEFT($E140,4)&amp;"/"&amp;MID($E140,6,2))</f>
        <v/>
      </c>
      <c r="G140">
        <f>IF(OR($E140="",$E140="نامعتبر",Sync!$Y137=""),"",Sync!$Y137)</f>
        <v/>
      </c>
      <c r="H140">
        <f>IF($G140="","",IF(Sync!$X137="","",Sync!$X137))</f>
        <v/>
      </c>
      <c r="I140">
        <f>IF($G140="","",IFERROR(VLOOKUP(Sync!$X137,OpTbl,3,0),""))</f>
        <v/>
      </c>
      <c r="J140">
        <f>IF(OR($G140="",Sync!$Z137=""),"",Sync!$Z137)</f>
        <v/>
      </c>
      <c r="K140">
        <f>IF(OR($G140="",Sync!$AA137=""),"",Sync!$AA137)</f>
        <v/>
      </c>
      <c r="L140">
        <f>IF($G140="",0,IF(Sync!$AB137="",0,Sync!$AB137))</f>
        <v/>
      </c>
      <c r="M140">
        <f>IF($G140="",0,IF(Sync!$AC137="",0,Sync!$AC137))</f>
        <v/>
      </c>
      <c r="N140">
        <f>IF($G140="","",IF($H140="مرجوعی خرید",-1,1)*($L140-$M140*IFERROR(VLOOKUP("P01",ParamTbl,3,0),1.5))*(1-IF($I140="خرید",IFERROR(VLOOKUP("P02",ParamTbl,3,0),1),0)/100))</f>
        <v/>
      </c>
      <c r="O140">
        <f>IF($G140="",0,IF($H140="مرجوعی خرید",-1,1)*IF(Sync!$AD137="",0,Sync!$AD137))</f>
        <v/>
      </c>
      <c r="P140">
        <f>IF(OR($G140="",Sync!$W137=""),"",Sync!$W137)</f>
        <v/>
      </c>
      <c r="Q140">
        <f>IF(OR($G140="",Sync!$AE137=""),"",Sync!$AE137)</f>
        <v/>
      </c>
      <c r="R140">
        <f>IF($G140="","",IF(Sync!$V137="","0000",IF(AND(ISNUMBER(Sync!$V137),Sync!$V137&gt;=0,Sync!$V137&lt;1),RIGHT("00"&amp;HOUR(Sync!$V137),2)&amp;RIGHT("00"&amp;MINUTE(Sync!$V137),2),IFERROR(RIGHT("00"&amp;VALUE(LEFT(Sync!$V137,FIND(":",Sync!$V137)-1)),2)&amp;RIGHT("00"&amp;VALUE(MID(Sync!$V137,FIND(":",Sync!$V137)+1,2)),2),"0000"))))</f>
        <v/>
      </c>
    </row>
    <row r="141">
      <c r="A141">
        <f>IF(Sync!$U138="","",Sync!$U138)</f>
        <v/>
      </c>
      <c r="B141">
        <f>IF($A141="","",IF(ISNUMBER($A141),IF(AND($A141&gt;=10000101,$A141&lt;=99991231),INT($A141/10000),""),IFERROR(VALUE(TRIM(LEFT($A141,FIND("/",$A141)-1))),"")))</f>
        <v/>
      </c>
      <c r="C141">
        <f>IF(OR($A141="",$B141=""),"",IF(ISNUMBER($A141),INT(MOD($A141,10000)/100),IFERROR(VALUE(TRIM(LEFT(MID($A141,FIND("/",$A141)+1,20),FIND("/",MID($A141,FIND("/",$A141)+1,20))-1))),"")))</f>
        <v/>
      </c>
      <c r="D141">
        <f>IF(OR($A141="",$B141=""),"",IF(ISNUMBER($A141),MOD($A141,100),IFERROR(VALUE(TRIM(MID(MID($A141,FIND("/",$A141)+1,20),FIND("/",MID($A141,FIND("/",$A141)+1,20))+1,20))),"")))</f>
        <v/>
      </c>
      <c r="E141">
        <f>IF($A141="","",IF(OR($B141="",$C141="",$D141="",$B141&lt;1300,$B141&gt;1500,$C141&lt;1,$C141&gt;12,$D141&lt;1,$D141&gt;31),"نامعتبر",RIGHT("0000"&amp;$B141,4)&amp;"/"&amp;RIGHT("00"&amp;$C141,2)&amp;"/"&amp;RIGHT("00"&amp;$D141,2)))</f>
        <v/>
      </c>
      <c r="F141">
        <f>IF(OR($E141="",$E141="نامعتبر"),"",LEFT($E141,4)&amp;"/"&amp;MID($E141,6,2))</f>
        <v/>
      </c>
      <c r="G141">
        <f>IF(OR($E141="",$E141="نامعتبر",Sync!$Y138=""),"",Sync!$Y138)</f>
        <v/>
      </c>
      <c r="H141">
        <f>IF($G141="","",IF(Sync!$X138="","",Sync!$X138))</f>
        <v/>
      </c>
      <c r="I141">
        <f>IF($G141="","",IFERROR(VLOOKUP(Sync!$X138,OpTbl,3,0),""))</f>
        <v/>
      </c>
      <c r="J141">
        <f>IF(OR($G141="",Sync!$Z138=""),"",Sync!$Z138)</f>
        <v/>
      </c>
      <c r="K141">
        <f>IF(OR($G141="",Sync!$AA138=""),"",Sync!$AA138)</f>
        <v/>
      </c>
      <c r="L141">
        <f>IF($G141="",0,IF(Sync!$AB138="",0,Sync!$AB138))</f>
        <v/>
      </c>
      <c r="M141">
        <f>IF($G141="",0,IF(Sync!$AC138="",0,Sync!$AC138))</f>
        <v/>
      </c>
      <c r="N141">
        <f>IF($G141="","",IF($H141="مرجوعی خرید",-1,1)*($L141-$M141*IFERROR(VLOOKUP("P01",ParamTbl,3,0),1.5))*(1-IF($I141="خرید",IFERROR(VLOOKUP("P02",ParamTbl,3,0),1),0)/100))</f>
        <v/>
      </c>
      <c r="O141">
        <f>IF($G141="",0,IF($H141="مرجوعی خرید",-1,1)*IF(Sync!$AD138="",0,Sync!$AD138))</f>
        <v/>
      </c>
      <c r="P141">
        <f>IF(OR($G141="",Sync!$W138=""),"",Sync!$W138)</f>
        <v/>
      </c>
      <c r="Q141">
        <f>IF(OR($G141="",Sync!$AE138=""),"",Sync!$AE138)</f>
        <v/>
      </c>
      <c r="R141">
        <f>IF($G141="","",IF(Sync!$V138="","0000",IF(AND(ISNUMBER(Sync!$V138),Sync!$V138&gt;=0,Sync!$V138&lt;1),RIGHT("00"&amp;HOUR(Sync!$V138),2)&amp;RIGHT("00"&amp;MINUTE(Sync!$V138),2),IFERROR(RIGHT("00"&amp;VALUE(LEFT(Sync!$V138,FIND(":",Sync!$V138)-1)),2)&amp;RIGHT("00"&amp;VALUE(MID(Sync!$V138,FIND(":",Sync!$V138)+1,2)),2),"0000"))))</f>
        <v/>
      </c>
    </row>
    <row r="142">
      <c r="A142">
        <f>IF(Sync!$U139="","",Sync!$U139)</f>
        <v/>
      </c>
      <c r="B142">
        <f>IF($A142="","",IF(ISNUMBER($A142),IF(AND($A142&gt;=10000101,$A142&lt;=99991231),INT($A142/10000),""),IFERROR(VALUE(TRIM(LEFT($A142,FIND("/",$A142)-1))),"")))</f>
        <v/>
      </c>
      <c r="C142">
        <f>IF(OR($A142="",$B142=""),"",IF(ISNUMBER($A142),INT(MOD($A142,10000)/100),IFERROR(VALUE(TRIM(LEFT(MID($A142,FIND("/",$A142)+1,20),FIND("/",MID($A142,FIND("/",$A142)+1,20))-1))),"")))</f>
        <v/>
      </c>
      <c r="D142">
        <f>IF(OR($A142="",$B142=""),"",IF(ISNUMBER($A142),MOD($A142,100),IFERROR(VALUE(TRIM(MID(MID($A142,FIND("/",$A142)+1,20),FIND("/",MID($A142,FIND("/",$A142)+1,20))+1,20))),"")))</f>
        <v/>
      </c>
      <c r="E142">
        <f>IF($A142="","",IF(OR($B142="",$C142="",$D142="",$B142&lt;1300,$B142&gt;1500,$C142&lt;1,$C142&gt;12,$D142&lt;1,$D142&gt;31),"نامعتبر",RIGHT("0000"&amp;$B142,4)&amp;"/"&amp;RIGHT("00"&amp;$C142,2)&amp;"/"&amp;RIGHT("00"&amp;$D142,2)))</f>
        <v/>
      </c>
      <c r="F142">
        <f>IF(OR($E142="",$E142="نامعتبر"),"",LEFT($E142,4)&amp;"/"&amp;MID($E142,6,2))</f>
        <v/>
      </c>
      <c r="G142">
        <f>IF(OR($E142="",$E142="نامعتبر",Sync!$Y139=""),"",Sync!$Y139)</f>
        <v/>
      </c>
      <c r="H142">
        <f>IF($G142="","",IF(Sync!$X139="","",Sync!$X139))</f>
        <v/>
      </c>
      <c r="I142">
        <f>IF($G142="","",IFERROR(VLOOKUP(Sync!$X139,OpTbl,3,0),""))</f>
        <v/>
      </c>
      <c r="J142">
        <f>IF(OR($G142="",Sync!$Z139=""),"",Sync!$Z139)</f>
        <v/>
      </c>
      <c r="K142">
        <f>IF(OR($G142="",Sync!$AA139=""),"",Sync!$AA139)</f>
        <v/>
      </c>
      <c r="L142">
        <f>IF($G142="",0,IF(Sync!$AB139="",0,Sync!$AB139))</f>
        <v/>
      </c>
      <c r="M142">
        <f>IF($G142="",0,IF(Sync!$AC139="",0,Sync!$AC139))</f>
        <v/>
      </c>
      <c r="N142">
        <f>IF($G142="","",IF($H142="مرجوعی خرید",-1,1)*($L142-$M142*IFERROR(VLOOKUP("P01",ParamTbl,3,0),1.5))*(1-IF($I142="خرید",IFERROR(VLOOKUP("P02",ParamTbl,3,0),1),0)/100))</f>
        <v/>
      </c>
      <c r="O142">
        <f>IF($G142="",0,IF($H142="مرجوعی خرید",-1,1)*IF(Sync!$AD139="",0,Sync!$AD139))</f>
        <v/>
      </c>
      <c r="P142">
        <f>IF(OR($G142="",Sync!$W139=""),"",Sync!$W139)</f>
        <v/>
      </c>
      <c r="Q142">
        <f>IF(OR($G142="",Sync!$AE139=""),"",Sync!$AE139)</f>
        <v/>
      </c>
      <c r="R142">
        <f>IF($G142="","",IF(Sync!$V139="","0000",IF(AND(ISNUMBER(Sync!$V139),Sync!$V139&gt;=0,Sync!$V139&lt;1),RIGHT("00"&amp;HOUR(Sync!$V139),2)&amp;RIGHT("00"&amp;MINUTE(Sync!$V139),2),IFERROR(RIGHT("00"&amp;VALUE(LEFT(Sync!$V139,FIND(":",Sync!$V139)-1)),2)&amp;RIGHT("00"&amp;VALUE(MID(Sync!$V139,FIND(":",Sync!$V139)+1,2)),2),"0000"))))</f>
        <v/>
      </c>
    </row>
    <row r="143">
      <c r="A143">
        <f>IF(Sync!$U140="","",Sync!$U140)</f>
        <v/>
      </c>
      <c r="B143">
        <f>IF($A143="","",IF(ISNUMBER($A143),IF(AND($A143&gt;=10000101,$A143&lt;=99991231),INT($A143/10000),""),IFERROR(VALUE(TRIM(LEFT($A143,FIND("/",$A143)-1))),"")))</f>
        <v/>
      </c>
      <c r="C143">
        <f>IF(OR($A143="",$B143=""),"",IF(ISNUMBER($A143),INT(MOD($A143,10000)/100),IFERROR(VALUE(TRIM(LEFT(MID($A143,FIND("/",$A143)+1,20),FIND("/",MID($A143,FIND("/",$A143)+1,20))-1))),"")))</f>
        <v/>
      </c>
      <c r="D143">
        <f>IF(OR($A143="",$B143=""),"",IF(ISNUMBER($A143),MOD($A143,100),IFERROR(VALUE(TRIM(MID(MID($A143,FIND("/",$A143)+1,20),FIND("/",MID($A143,FIND("/",$A143)+1,20))+1,20))),"")))</f>
        <v/>
      </c>
      <c r="E143">
        <f>IF($A143="","",IF(OR($B143="",$C143="",$D143="",$B143&lt;1300,$B143&gt;1500,$C143&lt;1,$C143&gt;12,$D143&lt;1,$D143&gt;31),"نامعتبر",RIGHT("0000"&amp;$B143,4)&amp;"/"&amp;RIGHT("00"&amp;$C143,2)&amp;"/"&amp;RIGHT("00"&amp;$D143,2)))</f>
        <v/>
      </c>
      <c r="F143">
        <f>IF(OR($E143="",$E143="نامعتبر"),"",LEFT($E143,4)&amp;"/"&amp;MID($E143,6,2))</f>
        <v/>
      </c>
      <c r="G143">
        <f>IF(OR($E143="",$E143="نامعتبر",Sync!$Y140=""),"",Sync!$Y140)</f>
        <v/>
      </c>
      <c r="H143">
        <f>IF($G143="","",IF(Sync!$X140="","",Sync!$X140))</f>
        <v/>
      </c>
      <c r="I143">
        <f>IF($G143="","",IFERROR(VLOOKUP(Sync!$X140,OpTbl,3,0),""))</f>
        <v/>
      </c>
      <c r="J143">
        <f>IF(OR($G143="",Sync!$Z140=""),"",Sync!$Z140)</f>
        <v/>
      </c>
      <c r="K143">
        <f>IF(OR($G143="",Sync!$AA140=""),"",Sync!$AA140)</f>
        <v/>
      </c>
      <c r="L143">
        <f>IF($G143="",0,IF(Sync!$AB140="",0,Sync!$AB140))</f>
        <v/>
      </c>
      <c r="M143">
        <f>IF($G143="",0,IF(Sync!$AC140="",0,Sync!$AC140))</f>
        <v/>
      </c>
      <c r="N143">
        <f>IF($G143="","",IF($H143="مرجوعی خرید",-1,1)*($L143-$M143*IFERROR(VLOOKUP("P01",ParamTbl,3,0),1.5))*(1-IF($I143="خرید",IFERROR(VLOOKUP("P02",ParamTbl,3,0),1),0)/100))</f>
        <v/>
      </c>
      <c r="O143">
        <f>IF($G143="",0,IF($H143="مرجوعی خرید",-1,1)*IF(Sync!$AD140="",0,Sync!$AD140))</f>
        <v/>
      </c>
      <c r="P143">
        <f>IF(OR($G143="",Sync!$W140=""),"",Sync!$W140)</f>
        <v/>
      </c>
      <c r="Q143">
        <f>IF(OR($G143="",Sync!$AE140=""),"",Sync!$AE140)</f>
        <v/>
      </c>
      <c r="R143">
        <f>IF($G143="","",IF(Sync!$V140="","0000",IF(AND(ISNUMBER(Sync!$V140),Sync!$V140&gt;=0,Sync!$V140&lt;1),RIGHT("00"&amp;HOUR(Sync!$V140),2)&amp;RIGHT("00"&amp;MINUTE(Sync!$V140),2),IFERROR(RIGHT("00"&amp;VALUE(LEFT(Sync!$V140,FIND(":",Sync!$V140)-1)),2)&amp;RIGHT("00"&amp;VALUE(MID(Sync!$V140,FIND(":",Sync!$V140)+1,2)),2),"0000"))))</f>
        <v/>
      </c>
    </row>
    <row r="144">
      <c r="A144">
        <f>IF(Sync!$U141="","",Sync!$U141)</f>
        <v/>
      </c>
      <c r="B144">
        <f>IF($A144="","",IF(ISNUMBER($A144),IF(AND($A144&gt;=10000101,$A144&lt;=99991231),INT($A144/10000),""),IFERROR(VALUE(TRIM(LEFT($A144,FIND("/",$A144)-1))),"")))</f>
        <v/>
      </c>
      <c r="C144">
        <f>IF(OR($A144="",$B144=""),"",IF(ISNUMBER($A144),INT(MOD($A144,10000)/100),IFERROR(VALUE(TRIM(LEFT(MID($A144,FIND("/",$A144)+1,20),FIND("/",MID($A144,FIND("/",$A144)+1,20))-1))),"")))</f>
        <v/>
      </c>
      <c r="D144">
        <f>IF(OR($A144="",$B144=""),"",IF(ISNUMBER($A144),MOD($A144,100),IFERROR(VALUE(TRIM(MID(MID($A144,FIND("/",$A144)+1,20),FIND("/",MID($A144,FIND("/",$A144)+1,20))+1,20))),"")))</f>
        <v/>
      </c>
      <c r="E144">
        <f>IF($A144="","",IF(OR($B144="",$C144="",$D144="",$B144&lt;1300,$B144&gt;1500,$C144&lt;1,$C144&gt;12,$D144&lt;1,$D144&gt;31),"نامعتبر",RIGHT("0000"&amp;$B144,4)&amp;"/"&amp;RIGHT("00"&amp;$C144,2)&amp;"/"&amp;RIGHT("00"&amp;$D144,2)))</f>
        <v/>
      </c>
      <c r="F144">
        <f>IF(OR($E144="",$E144="نامعتبر"),"",LEFT($E144,4)&amp;"/"&amp;MID($E144,6,2))</f>
        <v/>
      </c>
      <c r="G144">
        <f>IF(OR($E144="",$E144="نامعتبر",Sync!$Y141=""),"",Sync!$Y141)</f>
        <v/>
      </c>
      <c r="H144">
        <f>IF($G144="","",IF(Sync!$X141="","",Sync!$X141))</f>
        <v/>
      </c>
      <c r="I144">
        <f>IF($G144="","",IFERROR(VLOOKUP(Sync!$X141,OpTbl,3,0),""))</f>
        <v/>
      </c>
      <c r="J144">
        <f>IF(OR($G144="",Sync!$Z141=""),"",Sync!$Z141)</f>
        <v/>
      </c>
      <c r="K144">
        <f>IF(OR($G144="",Sync!$AA141=""),"",Sync!$AA141)</f>
        <v/>
      </c>
      <c r="L144">
        <f>IF($G144="",0,IF(Sync!$AB141="",0,Sync!$AB141))</f>
        <v/>
      </c>
      <c r="M144">
        <f>IF($G144="",0,IF(Sync!$AC141="",0,Sync!$AC141))</f>
        <v/>
      </c>
      <c r="N144">
        <f>IF($G144="","",IF($H144="مرجوعی خرید",-1,1)*($L144-$M144*IFERROR(VLOOKUP("P01",ParamTbl,3,0),1.5))*(1-IF($I144="خرید",IFERROR(VLOOKUP("P02",ParamTbl,3,0),1),0)/100))</f>
        <v/>
      </c>
      <c r="O144">
        <f>IF($G144="",0,IF($H144="مرجوعی خرید",-1,1)*IF(Sync!$AD141="",0,Sync!$AD141))</f>
        <v/>
      </c>
      <c r="P144">
        <f>IF(OR($G144="",Sync!$W141=""),"",Sync!$W141)</f>
        <v/>
      </c>
      <c r="Q144">
        <f>IF(OR($G144="",Sync!$AE141=""),"",Sync!$AE141)</f>
        <v/>
      </c>
      <c r="R144">
        <f>IF($G144="","",IF(Sync!$V141="","0000",IF(AND(ISNUMBER(Sync!$V141),Sync!$V141&gt;=0,Sync!$V141&lt;1),RIGHT("00"&amp;HOUR(Sync!$V141),2)&amp;RIGHT("00"&amp;MINUTE(Sync!$V141),2),IFERROR(RIGHT("00"&amp;VALUE(LEFT(Sync!$V141,FIND(":",Sync!$V141)-1)),2)&amp;RIGHT("00"&amp;VALUE(MID(Sync!$V141,FIND(":",Sync!$V141)+1,2)),2),"0000"))))</f>
        <v/>
      </c>
    </row>
    <row r="145">
      <c r="A145">
        <f>IF(Sync!$U142="","",Sync!$U142)</f>
        <v/>
      </c>
      <c r="B145">
        <f>IF($A145="","",IF(ISNUMBER($A145),IF(AND($A145&gt;=10000101,$A145&lt;=99991231),INT($A145/10000),""),IFERROR(VALUE(TRIM(LEFT($A145,FIND("/",$A145)-1))),"")))</f>
        <v/>
      </c>
      <c r="C145">
        <f>IF(OR($A145="",$B145=""),"",IF(ISNUMBER($A145),INT(MOD($A145,10000)/100),IFERROR(VALUE(TRIM(LEFT(MID($A145,FIND("/",$A145)+1,20),FIND("/",MID($A145,FIND("/",$A145)+1,20))-1))),"")))</f>
        <v/>
      </c>
      <c r="D145">
        <f>IF(OR($A145="",$B145=""),"",IF(ISNUMBER($A145),MOD($A145,100),IFERROR(VALUE(TRIM(MID(MID($A145,FIND("/",$A145)+1,20),FIND("/",MID($A145,FIND("/",$A145)+1,20))+1,20))),"")))</f>
        <v/>
      </c>
      <c r="E145">
        <f>IF($A145="","",IF(OR($B145="",$C145="",$D145="",$B145&lt;1300,$B145&gt;1500,$C145&lt;1,$C145&gt;12,$D145&lt;1,$D145&gt;31),"نامعتبر",RIGHT("0000"&amp;$B145,4)&amp;"/"&amp;RIGHT("00"&amp;$C145,2)&amp;"/"&amp;RIGHT("00"&amp;$D145,2)))</f>
        <v/>
      </c>
      <c r="F145">
        <f>IF(OR($E145="",$E145="نامعتبر"),"",LEFT($E145,4)&amp;"/"&amp;MID($E145,6,2))</f>
        <v/>
      </c>
      <c r="G145">
        <f>IF(OR($E145="",$E145="نامعتبر",Sync!$Y142=""),"",Sync!$Y142)</f>
        <v/>
      </c>
      <c r="H145">
        <f>IF($G145="","",IF(Sync!$X142="","",Sync!$X142))</f>
        <v/>
      </c>
      <c r="I145">
        <f>IF($G145="","",IFERROR(VLOOKUP(Sync!$X142,OpTbl,3,0),""))</f>
        <v/>
      </c>
      <c r="J145">
        <f>IF(OR($G145="",Sync!$Z142=""),"",Sync!$Z142)</f>
        <v/>
      </c>
      <c r="K145">
        <f>IF(OR($G145="",Sync!$AA142=""),"",Sync!$AA142)</f>
        <v/>
      </c>
      <c r="L145">
        <f>IF($G145="",0,IF(Sync!$AB142="",0,Sync!$AB142))</f>
        <v/>
      </c>
      <c r="M145">
        <f>IF($G145="",0,IF(Sync!$AC142="",0,Sync!$AC142))</f>
        <v/>
      </c>
      <c r="N145">
        <f>IF($G145="","",IF($H145="مرجوعی خرید",-1,1)*($L145-$M145*IFERROR(VLOOKUP("P01",ParamTbl,3,0),1.5))*(1-IF($I145="خرید",IFERROR(VLOOKUP("P02",ParamTbl,3,0),1),0)/100))</f>
        <v/>
      </c>
      <c r="O145">
        <f>IF($G145="",0,IF($H145="مرجوعی خرید",-1,1)*IF(Sync!$AD142="",0,Sync!$AD142))</f>
        <v/>
      </c>
      <c r="P145">
        <f>IF(OR($G145="",Sync!$W142=""),"",Sync!$W142)</f>
        <v/>
      </c>
      <c r="Q145">
        <f>IF(OR($G145="",Sync!$AE142=""),"",Sync!$AE142)</f>
        <v/>
      </c>
      <c r="R145">
        <f>IF($G145="","",IF(Sync!$V142="","0000",IF(AND(ISNUMBER(Sync!$V142),Sync!$V142&gt;=0,Sync!$V142&lt;1),RIGHT("00"&amp;HOUR(Sync!$V142),2)&amp;RIGHT("00"&amp;MINUTE(Sync!$V142),2),IFERROR(RIGHT("00"&amp;VALUE(LEFT(Sync!$V142,FIND(":",Sync!$V142)-1)),2)&amp;RIGHT("00"&amp;VALUE(MID(Sync!$V142,FIND(":",Sync!$V142)+1,2)),2),"0000"))))</f>
        <v/>
      </c>
    </row>
    <row r="146">
      <c r="A146">
        <f>IF(Sync!$U143="","",Sync!$U143)</f>
        <v/>
      </c>
      <c r="B146">
        <f>IF($A146="","",IF(ISNUMBER($A146),IF(AND($A146&gt;=10000101,$A146&lt;=99991231),INT($A146/10000),""),IFERROR(VALUE(TRIM(LEFT($A146,FIND("/",$A146)-1))),"")))</f>
        <v/>
      </c>
      <c r="C146">
        <f>IF(OR($A146="",$B146=""),"",IF(ISNUMBER($A146),INT(MOD($A146,10000)/100),IFERROR(VALUE(TRIM(LEFT(MID($A146,FIND("/",$A146)+1,20),FIND("/",MID($A146,FIND("/",$A146)+1,20))-1))),"")))</f>
        <v/>
      </c>
      <c r="D146">
        <f>IF(OR($A146="",$B146=""),"",IF(ISNUMBER($A146),MOD($A146,100),IFERROR(VALUE(TRIM(MID(MID($A146,FIND("/",$A146)+1,20),FIND("/",MID($A146,FIND("/",$A146)+1,20))+1,20))),"")))</f>
        <v/>
      </c>
      <c r="E146">
        <f>IF($A146="","",IF(OR($B146="",$C146="",$D146="",$B146&lt;1300,$B146&gt;1500,$C146&lt;1,$C146&gt;12,$D146&lt;1,$D146&gt;31),"نامعتبر",RIGHT("0000"&amp;$B146,4)&amp;"/"&amp;RIGHT("00"&amp;$C146,2)&amp;"/"&amp;RIGHT("00"&amp;$D146,2)))</f>
        <v/>
      </c>
      <c r="F146">
        <f>IF(OR($E146="",$E146="نامعتبر"),"",LEFT($E146,4)&amp;"/"&amp;MID($E146,6,2))</f>
        <v/>
      </c>
      <c r="G146">
        <f>IF(OR($E146="",$E146="نامعتبر",Sync!$Y143=""),"",Sync!$Y143)</f>
        <v/>
      </c>
      <c r="H146">
        <f>IF($G146="","",IF(Sync!$X143="","",Sync!$X143))</f>
        <v/>
      </c>
      <c r="I146">
        <f>IF($G146="","",IFERROR(VLOOKUP(Sync!$X143,OpTbl,3,0),""))</f>
        <v/>
      </c>
      <c r="J146">
        <f>IF(OR($G146="",Sync!$Z143=""),"",Sync!$Z143)</f>
        <v/>
      </c>
      <c r="K146">
        <f>IF(OR($G146="",Sync!$AA143=""),"",Sync!$AA143)</f>
        <v/>
      </c>
      <c r="L146">
        <f>IF($G146="",0,IF(Sync!$AB143="",0,Sync!$AB143))</f>
        <v/>
      </c>
      <c r="M146">
        <f>IF($G146="",0,IF(Sync!$AC143="",0,Sync!$AC143))</f>
        <v/>
      </c>
      <c r="N146">
        <f>IF($G146="","",IF($H146="مرجوعی خرید",-1,1)*($L146-$M146*IFERROR(VLOOKUP("P01",ParamTbl,3,0),1.5))*(1-IF($I146="خرید",IFERROR(VLOOKUP("P02",ParamTbl,3,0),1),0)/100))</f>
        <v/>
      </c>
      <c r="O146">
        <f>IF($G146="",0,IF($H146="مرجوعی خرید",-1,1)*IF(Sync!$AD143="",0,Sync!$AD143))</f>
        <v/>
      </c>
      <c r="P146">
        <f>IF(OR($G146="",Sync!$W143=""),"",Sync!$W143)</f>
        <v/>
      </c>
      <c r="Q146">
        <f>IF(OR($G146="",Sync!$AE143=""),"",Sync!$AE143)</f>
        <v/>
      </c>
      <c r="R146">
        <f>IF($G146="","",IF(Sync!$V143="","0000",IF(AND(ISNUMBER(Sync!$V143),Sync!$V143&gt;=0,Sync!$V143&lt;1),RIGHT("00"&amp;HOUR(Sync!$V143),2)&amp;RIGHT("00"&amp;MINUTE(Sync!$V143),2),IFERROR(RIGHT("00"&amp;VALUE(LEFT(Sync!$V143,FIND(":",Sync!$V143)-1)),2)&amp;RIGHT("00"&amp;VALUE(MID(Sync!$V143,FIND(":",Sync!$V143)+1,2)),2),"0000"))))</f>
        <v/>
      </c>
    </row>
    <row r="147">
      <c r="A147">
        <f>IF(Sync!$U144="","",Sync!$U144)</f>
        <v/>
      </c>
      <c r="B147">
        <f>IF($A147="","",IF(ISNUMBER($A147),IF(AND($A147&gt;=10000101,$A147&lt;=99991231),INT($A147/10000),""),IFERROR(VALUE(TRIM(LEFT($A147,FIND("/",$A147)-1))),"")))</f>
        <v/>
      </c>
      <c r="C147">
        <f>IF(OR($A147="",$B147=""),"",IF(ISNUMBER($A147),INT(MOD($A147,10000)/100),IFERROR(VALUE(TRIM(LEFT(MID($A147,FIND("/",$A147)+1,20),FIND("/",MID($A147,FIND("/",$A147)+1,20))-1))),"")))</f>
        <v/>
      </c>
      <c r="D147">
        <f>IF(OR($A147="",$B147=""),"",IF(ISNUMBER($A147),MOD($A147,100),IFERROR(VALUE(TRIM(MID(MID($A147,FIND("/",$A147)+1,20),FIND("/",MID($A147,FIND("/",$A147)+1,20))+1,20))),"")))</f>
        <v/>
      </c>
      <c r="E147">
        <f>IF($A147="","",IF(OR($B147="",$C147="",$D147="",$B147&lt;1300,$B147&gt;1500,$C147&lt;1,$C147&gt;12,$D147&lt;1,$D147&gt;31),"نامعتبر",RIGHT("0000"&amp;$B147,4)&amp;"/"&amp;RIGHT("00"&amp;$C147,2)&amp;"/"&amp;RIGHT("00"&amp;$D147,2)))</f>
        <v/>
      </c>
      <c r="F147">
        <f>IF(OR($E147="",$E147="نامعتبر"),"",LEFT($E147,4)&amp;"/"&amp;MID($E147,6,2))</f>
        <v/>
      </c>
      <c r="G147">
        <f>IF(OR($E147="",$E147="نامعتبر",Sync!$Y144=""),"",Sync!$Y144)</f>
        <v/>
      </c>
      <c r="H147">
        <f>IF($G147="","",IF(Sync!$X144="","",Sync!$X144))</f>
        <v/>
      </c>
      <c r="I147">
        <f>IF($G147="","",IFERROR(VLOOKUP(Sync!$X144,OpTbl,3,0),""))</f>
        <v/>
      </c>
      <c r="J147">
        <f>IF(OR($G147="",Sync!$Z144=""),"",Sync!$Z144)</f>
        <v/>
      </c>
      <c r="K147">
        <f>IF(OR($G147="",Sync!$AA144=""),"",Sync!$AA144)</f>
        <v/>
      </c>
      <c r="L147">
        <f>IF($G147="",0,IF(Sync!$AB144="",0,Sync!$AB144))</f>
        <v/>
      </c>
      <c r="M147">
        <f>IF($G147="",0,IF(Sync!$AC144="",0,Sync!$AC144))</f>
        <v/>
      </c>
      <c r="N147">
        <f>IF($G147="","",IF($H147="مرجوعی خرید",-1,1)*($L147-$M147*IFERROR(VLOOKUP("P01",ParamTbl,3,0),1.5))*(1-IF($I147="خرید",IFERROR(VLOOKUP("P02",ParamTbl,3,0),1),0)/100))</f>
        <v/>
      </c>
      <c r="O147">
        <f>IF($G147="",0,IF($H147="مرجوعی خرید",-1,1)*IF(Sync!$AD144="",0,Sync!$AD144))</f>
        <v/>
      </c>
      <c r="P147">
        <f>IF(OR($G147="",Sync!$W144=""),"",Sync!$W144)</f>
        <v/>
      </c>
      <c r="Q147">
        <f>IF(OR($G147="",Sync!$AE144=""),"",Sync!$AE144)</f>
        <v/>
      </c>
      <c r="R147">
        <f>IF($G147="","",IF(Sync!$V144="","0000",IF(AND(ISNUMBER(Sync!$V144),Sync!$V144&gt;=0,Sync!$V144&lt;1),RIGHT("00"&amp;HOUR(Sync!$V144),2)&amp;RIGHT("00"&amp;MINUTE(Sync!$V144),2),IFERROR(RIGHT("00"&amp;VALUE(LEFT(Sync!$V144,FIND(":",Sync!$V144)-1)),2)&amp;RIGHT("00"&amp;VALUE(MID(Sync!$V144,FIND(":",Sync!$V144)+1,2)),2),"0000"))))</f>
        <v/>
      </c>
    </row>
    <row r="148">
      <c r="A148">
        <f>IF(Sync!$U145="","",Sync!$U145)</f>
        <v/>
      </c>
      <c r="B148">
        <f>IF($A148="","",IF(ISNUMBER($A148),IF(AND($A148&gt;=10000101,$A148&lt;=99991231),INT($A148/10000),""),IFERROR(VALUE(TRIM(LEFT($A148,FIND("/",$A148)-1))),"")))</f>
        <v/>
      </c>
      <c r="C148">
        <f>IF(OR($A148="",$B148=""),"",IF(ISNUMBER($A148),INT(MOD($A148,10000)/100),IFERROR(VALUE(TRIM(LEFT(MID($A148,FIND("/",$A148)+1,20),FIND("/",MID($A148,FIND("/",$A148)+1,20))-1))),"")))</f>
        <v/>
      </c>
      <c r="D148">
        <f>IF(OR($A148="",$B148=""),"",IF(ISNUMBER($A148),MOD($A148,100),IFERROR(VALUE(TRIM(MID(MID($A148,FIND("/",$A148)+1,20),FIND("/",MID($A148,FIND("/",$A148)+1,20))+1,20))),"")))</f>
        <v/>
      </c>
      <c r="E148">
        <f>IF($A148="","",IF(OR($B148="",$C148="",$D148="",$B148&lt;1300,$B148&gt;1500,$C148&lt;1,$C148&gt;12,$D148&lt;1,$D148&gt;31),"نامعتبر",RIGHT("0000"&amp;$B148,4)&amp;"/"&amp;RIGHT("00"&amp;$C148,2)&amp;"/"&amp;RIGHT("00"&amp;$D148,2)))</f>
        <v/>
      </c>
      <c r="F148">
        <f>IF(OR($E148="",$E148="نامعتبر"),"",LEFT($E148,4)&amp;"/"&amp;MID($E148,6,2))</f>
        <v/>
      </c>
      <c r="G148">
        <f>IF(OR($E148="",$E148="نامعتبر",Sync!$Y145=""),"",Sync!$Y145)</f>
        <v/>
      </c>
      <c r="H148">
        <f>IF($G148="","",IF(Sync!$X145="","",Sync!$X145))</f>
        <v/>
      </c>
      <c r="I148">
        <f>IF($G148="","",IFERROR(VLOOKUP(Sync!$X145,OpTbl,3,0),""))</f>
        <v/>
      </c>
      <c r="J148">
        <f>IF(OR($G148="",Sync!$Z145=""),"",Sync!$Z145)</f>
        <v/>
      </c>
      <c r="K148">
        <f>IF(OR($G148="",Sync!$AA145=""),"",Sync!$AA145)</f>
        <v/>
      </c>
      <c r="L148">
        <f>IF($G148="",0,IF(Sync!$AB145="",0,Sync!$AB145))</f>
        <v/>
      </c>
      <c r="M148">
        <f>IF($G148="",0,IF(Sync!$AC145="",0,Sync!$AC145))</f>
        <v/>
      </c>
      <c r="N148">
        <f>IF($G148="","",IF($H148="مرجوعی خرید",-1,1)*($L148-$M148*IFERROR(VLOOKUP("P01",ParamTbl,3,0),1.5))*(1-IF($I148="خرید",IFERROR(VLOOKUP("P02",ParamTbl,3,0),1),0)/100))</f>
        <v/>
      </c>
      <c r="O148">
        <f>IF($G148="",0,IF($H148="مرجوعی خرید",-1,1)*IF(Sync!$AD145="",0,Sync!$AD145))</f>
        <v/>
      </c>
      <c r="P148">
        <f>IF(OR($G148="",Sync!$W145=""),"",Sync!$W145)</f>
        <v/>
      </c>
      <c r="Q148">
        <f>IF(OR($G148="",Sync!$AE145=""),"",Sync!$AE145)</f>
        <v/>
      </c>
      <c r="R148">
        <f>IF($G148="","",IF(Sync!$V145="","0000",IF(AND(ISNUMBER(Sync!$V145),Sync!$V145&gt;=0,Sync!$V145&lt;1),RIGHT("00"&amp;HOUR(Sync!$V145),2)&amp;RIGHT("00"&amp;MINUTE(Sync!$V145),2),IFERROR(RIGHT("00"&amp;VALUE(LEFT(Sync!$V145,FIND(":",Sync!$V145)-1)),2)&amp;RIGHT("00"&amp;VALUE(MID(Sync!$V145,FIND(":",Sync!$V145)+1,2)),2),"0000"))))</f>
        <v/>
      </c>
    </row>
    <row r="149">
      <c r="A149">
        <f>IF(Sync!$U146="","",Sync!$U146)</f>
        <v/>
      </c>
      <c r="B149">
        <f>IF($A149="","",IF(ISNUMBER($A149),IF(AND($A149&gt;=10000101,$A149&lt;=99991231),INT($A149/10000),""),IFERROR(VALUE(TRIM(LEFT($A149,FIND("/",$A149)-1))),"")))</f>
        <v/>
      </c>
      <c r="C149">
        <f>IF(OR($A149="",$B149=""),"",IF(ISNUMBER($A149),INT(MOD($A149,10000)/100),IFERROR(VALUE(TRIM(LEFT(MID($A149,FIND("/",$A149)+1,20),FIND("/",MID($A149,FIND("/",$A149)+1,20))-1))),"")))</f>
        <v/>
      </c>
      <c r="D149">
        <f>IF(OR($A149="",$B149=""),"",IF(ISNUMBER($A149),MOD($A149,100),IFERROR(VALUE(TRIM(MID(MID($A149,FIND("/",$A149)+1,20),FIND("/",MID($A149,FIND("/",$A149)+1,20))+1,20))),"")))</f>
        <v/>
      </c>
      <c r="E149">
        <f>IF($A149="","",IF(OR($B149="",$C149="",$D149="",$B149&lt;1300,$B149&gt;1500,$C149&lt;1,$C149&gt;12,$D149&lt;1,$D149&gt;31),"نامعتبر",RIGHT("0000"&amp;$B149,4)&amp;"/"&amp;RIGHT("00"&amp;$C149,2)&amp;"/"&amp;RIGHT("00"&amp;$D149,2)))</f>
        <v/>
      </c>
      <c r="F149">
        <f>IF(OR($E149="",$E149="نامعتبر"),"",LEFT($E149,4)&amp;"/"&amp;MID($E149,6,2))</f>
        <v/>
      </c>
      <c r="G149">
        <f>IF(OR($E149="",$E149="نامعتبر",Sync!$Y146=""),"",Sync!$Y146)</f>
        <v/>
      </c>
      <c r="H149">
        <f>IF($G149="","",IF(Sync!$X146="","",Sync!$X146))</f>
        <v/>
      </c>
      <c r="I149">
        <f>IF($G149="","",IFERROR(VLOOKUP(Sync!$X146,OpTbl,3,0),""))</f>
        <v/>
      </c>
      <c r="J149">
        <f>IF(OR($G149="",Sync!$Z146=""),"",Sync!$Z146)</f>
        <v/>
      </c>
      <c r="K149">
        <f>IF(OR($G149="",Sync!$AA146=""),"",Sync!$AA146)</f>
        <v/>
      </c>
      <c r="L149">
        <f>IF($G149="",0,IF(Sync!$AB146="",0,Sync!$AB146))</f>
        <v/>
      </c>
      <c r="M149">
        <f>IF($G149="",0,IF(Sync!$AC146="",0,Sync!$AC146))</f>
        <v/>
      </c>
      <c r="N149">
        <f>IF($G149="","",IF($H149="مرجوعی خرید",-1,1)*($L149-$M149*IFERROR(VLOOKUP("P01",ParamTbl,3,0),1.5))*(1-IF($I149="خرید",IFERROR(VLOOKUP("P02",ParamTbl,3,0),1),0)/100))</f>
        <v/>
      </c>
      <c r="O149">
        <f>IF($G149="",0,IF($H149="مرجوعی خرید",-1,1)*IF(Sync!$AD146="",0,Sync!$AD146))</f>
        <v/>
      </c>
      <c r="P149">
        <f>IF(OR($G149="",Sync!$W146=""),"",Sync!$W146)</f>
        <v/>
      </c>
      <c r="Q149">
        <f>IF(OR($G149="",Sync!$AE146=""),"",Sync!$AE146)</f>
        <v/>
      </c>
      <c r="R149">
        <f>IF($G149="","",IF(Sync!$V146="","0000",IF(AND(ISNUMBER(Sync!$V146),Sync!$V146&gt;=0,Sync!$V146&lt;1),RIGHT("00"&amp;HOUR(Sync!$V146),2)&amp;RIGHT("00"&amp;MINUTE(Sync!$V146),2),IFERROR(RIGHT("00"&amp;VALUE(LEFT(Sync!$V146,FIND(":",Sync!$V146)-1)),2)&amp;RIGHT("00"&amp;VALUE(MID(Sync!$V146,FIND(":",Sync!$V146)+1,2)),2),"0000"))))</f>
        <v/>
      </c>
    </row>
    <row r="150">
      <c r="A150">
        <f>IF(Sync!$U147="","",Sync!$U147)</f>
        <v/>
      </c>
      <c r="B150">
        <f>IF($A150="","",IF(ISNUMBER($A150),IF(AND($A150&gt;=10000101,$A150&lt;=99991231),INT($A150/10000),""),IFERROR(VALUE(TRIM(LEFT($A150,FIND("/",$A150)-1))),"")))</f>
        <v/>
      </c>
      <c r="C150">
        <f>IF(OR($A150="",$B150=""),"",IF(ISNUMBER($A150),INT(MOD($A150,10000)/100),IFERROR(VALUE(TRIM(LEFT(MID($A150,FIND("/",$A150)+1,20),FIND("/",MID($A150,FIND("/",$A150)+1,20))-1))),"")))</f>
        <v/>
      </c>
      <c r="D150">
        <f>IF(OR($A150="",$B150=""),"",IF(ISNUMBER($A150),MOD($A150,100),IFERROR(VALUE(TRIM(MID(MID($A150,FIND("/",$A150)+1,20),FIND("/",MID($A150,FIND("/",$A150)+1,20))+1,20))),"")))</f>
        <v/>
      </c>
      <c r="E150">
        <f>IF($A150="","",IF(OR($B150="",$C150="",$D150="",$B150&lt;1300,$B150&gt;1500,$C150&lt;1,$C150&gt;12,$D150&lt;1,$D150&gt;31),"نامعتبر",RIGHT("0000"&amp;$B150,4)&amp;"/"&amp;RIGHT("00"&amp;$C150,2)&amp;"/"&amp;RIGHT("00"&amp;$D150,2)))</f>
        <v/>
      </c>
      <c r="F150">
        <f>IF(OR($E150="",$E150="نامعتبر"),"",LEFT($E150,4)&amp;"/"&amp;MID($E150,6,2))</f>
        <v/>
      </c>
      <c r="G150">
        <f>IF(OR($E150="",$E150="نامعتبر",Sync!$Y147=""),"",Sync!$Y147)</f>
        <v/>
      </c>
      <c r="H150">
        <f>IF($G150="","",IF(Sync!$X147="","",Sync!$X147))</f>
        <v/>
      </c>
      <c r="I150">
        <f>IF($G150="","",IFERROR(VLOOKUP(Sync!$X147,OpTbl,3,0),""))</f>
        <v/>
      </c>
      <c r="J150">
        <f>IF(OR($G150="",Sync!$Z147=""),"",Sync!$Z147)</f>
        <v/>
      </c>
      <c r="K150">
        <f>IF(OR($G150="",Sync!$AA147=""),"",Sync!$AA147)</f>
        <v/>
      </c>
      <c r="L150">
        <f>IF($G150="",0,IF(Sync!$AB147="",0,Sync!$AB147))</f>
        <v/>
      </c>
      <c r="M150">
        <f>IF($G150="",0,IF(Sync!$AC147="",0,Sync!$AC147))</f>
        <v/>
      </c>
      <c r="N150">
        <f>IF($G150="","",IF($H150="مرجوعی خرید",-1,1)*($L150-$M150*IFERROR(VLOOKUP("P01",ParamTbl,3,0),1.5))*(1-IF($I150="خرید",IFERROR(VLOOKUP("P02",ParamTbl,3,0),1),0)/100))</f>
        <v/>
      </c>
      <c r="O150">
        <f>IF($G150="",0,IF($H150="مرجوعی خرید",-1,1)*IF(Sync!$AD147="",0,Sync!$AD147))</f>
        <v/>
      </c>
      <c r="P150">
        <f>IF(OR($G150="",Sync!$W147=""),"",Sync!$W147)</f>
        <v/>
      </c>
      <c r="Q150">
        <f>IF(OR($G150="",Sync!$AE147=""),"",Sync!$AE147)</f>
        <v/>
      </c>
      <c r="R150">
        <f>IF($G150="","",IF(Sync!$V147="","0000",IF(AND(ISNUMBER(Sync!$V147),Sync!$V147&gt;=0,Sync!$V147&lt;1),RIGHT("00"&amp;HOUR(Sync!$V147),2)&amp;RIGHT("00"&amp;MINUTE(Sync!$V147),2),IFERROR(RIGHT("00"&amp;VALUE(LEFT(Sync!$V147,FIND(":",Sync!$V147)-1)),2)&amp;RIGHT("00"&amp;VALUE(MID(Sync!$V147,FIND(":",Sync!$V147)+1,2)),2),"0000"))))</f>
        <v/>
      </c>
    </row>
    <row r="151">
      <c r="A151">
        <f>IF(Sync!$U148="","",Sync!$U148)</f>
        <v/>
      </c>
      <c r="B151">
        <f>IF($A151="","",IF(ISNUMBER($A151),IF(AND($A151&gt;=10000101,$A151&lt;=99991231),INT($A151/10000),""),IFERROR(VALUE(TRIM(LEFT($A151,FIND("/",$A151)-1))),"")))</f>
        <v/>
      </c>
      <c r="C151">
        <f>IF(OR($A151="",$B151=""),"",IF(ISNUMBER($A151),INT(MOD($A151,10000)/100),IFERROR(VALUE(TRIM(LEFT(MID($A151,FIND("/",$A151)+1,20),FIND("/",MID($A151,FIND("/",$A151)+1,20))-1))),"")))</f>
        <v/>
      </c>
      <c r="D151">
        <f>IF(OR($A151="",$B151=""),"",IF(ISNUMBER($A151),MOD($A151,100),IFERROR(VALUE(TRIM(MID(MID($A151,FIND("/",$A151)+1,20),FIND("/",MID($A151,FIND("/",$A151)+1,20))+1,20))),"")))</f>
        <v/>
      </c>
      <c r="E151">
        <f>IF($A151="","",IF(OR($B151="",$C151="",$D151="",$B151&lt;1300,$B151&gt;1500,$C151&lt;1,$C151&gt;12,$D151&lt;1,$D151&gt;31),"نامعتبر",RIGHT("0000"&amp;$B151,4)&amp;"/"&amp;RIGHT("00"&amp;$C151,2)&amp;"/"&amp;RIGHT("00"&amp;$D151,2)))</f>
        <v/>
      </c>
      <c r="F151">
        <f>IF(OR($E151="",$E151="نامعتبر"),"",LEFT($E151,4)&amp;"/"&amp;MID($E151,6,2))</f>
        <v/>
      </c>
      <c r="G151">
        <f>IF(OR($E151="",$E151="نامعتبر",Sync!$Y148=""),"",Sync!$Y148)</f>
        <v/>
      </c>
      <c r="H151">
        <f>IF($G151="","",IF(Sync!$X148="","",Sync!$X148))</f>
        <v/>
      </c>
      <c r="I151">
        <f>IF($G151="","",IFERROR(VLOOKUP(Sync!$X148,OpTbl,3,0),""))</f>
        <v/>
      </c>
      <c r="J151">
        <f>IF(OR($G151="",Sync!$Z148=""),"",Sync!$Z148)</f>
        <v/>
      </c>
      <c r="K151">
        <f>IF(OR($G151="",Sync!$AA148=""),"",Sync!$AA148)</f>
        <v/>
      </c>
      <c r="L151">
        <f>IF($G151="",0,IF(Sync!$AB148="",0,Sync!$AB148))</f>
        <v/>
      </c>
      <c r="M151">
        <f>IF($G151="",0,IF(Sync!$AC148="",0,Sync!$AC148))</f>
        <v/>
      </c>
      <c r="N151">
        <f>IF($G151="","",IF($H151="مرجوعی خرید",-1,1)*($L151-$M151*IFERROR(VLOOKUP("P01",ParamTbl,3,0),1.5))*(1-IF($I151="خرید",IFERROR(VLOOKUP("P02",ParamTbl,3,0),1),0)/100))</f>
        <v/>
      </c>
      <c r="O151">
        <f>IF($G151="",0,IF($H151="مرجوعی خرید",-1,1)*IF(Sync!$AD148="",0,Sync!$AD148))</f>
        <v/>
      </c>
      <c r="P151">
        <f>IF(OR($G151="",Sync!$W148=""),"",Sync!$W148)</f>
        <v/>
      </c>
      <c r="Q151">
        <f>IF(OR($G151="",Sync!$AE148=""),"",Sync!$AE148)</f>
        <v/>
      </c>
      <c r="R151">
        <f>IF($G151="","",IF(Sync!$V148="","0000",IF(AND(ISNUMBER(Sync!$V148),Sync!$V148&gt;=0,Sync!$V148&lt;1),RIGHT("00"&amp;HOUR(Sync!$V148),2)&amp;RIGHT("00"&amp;MINUTE(Sync!$V148),2),IFERROR(RIGHT("00"&amp;VALUE(LEFT(Sync!$V148,FIND(":",Sync!$V148)-1)),2)&amp;RIGHT("00"&amp;VALUE(MID(Sync!$V148,FIND(":",Sync!$V148)+1,2)),2),"0000"))))</f>
        <v/>
      </c>
    </row>
    <row r="152">
      <c r="A152">
        <f>IF(Sync!$U149="","",Sync!$U149)</f>
        <v/>
      </c>
      <c r="B152">
        <f>IF($A152="","",IF(ISNUMBER($A152),IF(AND($A152&gt;=10000101,$A152&lt;=99991231),INT($A152/10000),""),IFERROR(VALUE(TRIM(LEFT($A152,FIND("/",$A152)-1))),"")))</f>
        <v/>
      </c>
      <c r="C152">
        <f>IF(OR($A152="",$B152=""),"",IF(ISNUMBER($A152),INT(MOD($A152,10000)/100),IFERROR(VALUE(TRIM(LEFT(MID($A152,FIND("/",$A152)+1,20),FIND("/",MID($A152,FIND("/",$A152)+1,20))-1))),"")))</f>
        <v/>
      </c>
      <c r="D152">
        <f>IF(OR($A152="",$B152=""),"",IF(ISNUMBER($A152),MOD($A152,100),IFERROR(VALUE(TRIM(MID(MID($A152,FIND("/",$A152)+1,20),FIND("/",MID($A152,FIND("/",$A152)+1,20))+1,20))),"")))</f>
        <v/>
      </c>
      <c r="E152">
        <f>IF($A152="","",IF(OR($B152="",$C152="",$D152="",$B152&lt;1300,$B152&gt;1500,$C152&lt;1,$C152&gt;12,$D152&lt;1,$D152&gt;31),"نامعتبر",RIGHT("0000"&amp;$B152,4)&amp;"/"&amp;RIGHT("00"&amp;$C152,2)&amp;"/"&amp;RIGHT("00"&amp;$D152,2)))</f>
        <v/>
      </c>
      <c r="F152">
        <f>IF(OR($E152="",$E152="نامعتبر"),"",LEFT($E152,4)&amp;"/"&amp;MID($E152,6,2))</f>
        <v/>
      </c>
      <c r="G152">
        <f>IF(OR($E152="",$E152="نامعتبر",Sync!$Y149=""),"",Sync!$Y149)</f>
        <v/>
      </c>
      <c r="H152">
        <f>IF($G152="","",IF(Sync!$X149="","",Sync!$X149))</f>
        <v/>
      </c>
      <c r="I152">
        <f>IF($G152="","",IFERROR(VLOOKUP(Sync!$X149,OpTbl,3,0),""))</f>
        <v/>
      </c>
      <c r="J152">
        <f>IF(OR($G152="",Sync!$Z149=""),"",Sync!$Z149)</f>
        <v/>
      </c>
      <c r="K152">
        <f>IF(OR($G152="",Sync!$AA149=""),"",Sync!$AA149)</f>
        <v/>
      </c>
      <c r="L152">
        <f>IF($G152="",0,IF(Sync!$AB149="",0,Sync!$AB149))</f>
        <v/>
      </c>
      <c r="M152">
        <f>IF($G152="",0,IF(Sync!$AC149="",0,Sync!$AC149))</f>
        <v/>
      </c>
      <c r="N152">
        <f>IF($G152="","",IF($H152="مرجوعی خرید",-1,1)*($L152-$M152*IFERROR(VLOOKUP("P01",ParamTbl,3,0),1.5))*(1-IF($I152="خرید",IFERROR(VLOOKUP("P02",ParamTbl,3,0),1),0)/100))</f>
        <v/>
      </c>
      <c r="O152">
        <f>IF($G152="",0,IF($H152="مرجوعی خرید",-1,1)*IF(Sync!$AD149="",0,Sync!$AD149))</f>
        <v/>
      </c>
      <c r="P152">
        <f>IF(OR($G152="",Sync!$W149=""),"",Sync!$W149)</f>
        <v/>
      </c>
      <c r="Q152">
        <f>IF(OR($G152="",Sync!$AE149=""),"",Sync!$AE149)</f>
        <v/>
      </c>
      <c r="R152">
        <f>IF($G152="","",IF(Sync!$V149="","0000",IF(AND(ISNUMBER(Sync!$V149),Sync!$V149&gt;=0,Sync!$V149&lt;1),RIGHT("00"&amp;HOUR(Sync!$V149),2)&amp;RIGHT("00"&amp;MINUTE(Sync!$V149),2),IFERROR(RIGHT("00"&amp;VALUE(LEFT(Sync!$V149,FIND(":",Sync!$V149)-1)),2)&amp;RIGHT("00"&amp;VALUE(MID(Sync!$V149,FIND(":",Sync!$V149)+1,2)),2),"0000"))))</f>
        <v/>
      </c>
    </row>
    <row r="153">
      <c r="A153">
        <f>IF(Sync!$U150="","",Sync!$U150)</f>
        <v/>
      </c>
      <c r="B153">
        <f>IF($A153="","",IF(ISNUMBER($A153),IF(AND($A153&gt;=10000101,$A153&lt;=99991231),INT($A153/10000),""),IFERROR(VALUE(TRIM(LEFT($A153,FIND("/",$A153)-1))),"")))</f>
        <v/>
      </c>
      <c r="C153">
        <f>IF(OR($A153="",$B153=""),"",IF(ISNUMBER($A153),INT(MOD($A153,10000)/100),IFERROR(VALUE(TRIM(LEFT(MID($A153,FIND("/",$A153)+1,20),FIND("/",MID($A153,FIND("/",$A153)+1,20))-1))),"")))</f>
        <v/>
      </c>
      <c r="D153">
        <f>IF(OR($A153="",$B153=""),"",IF(ISNUMBER($A153),MOD($A153,100),IFERROR(VALUE(TRIM(MID(MID($A153,FIND("/",$A153)+1,20),FIND("/",MID($A153,FIND("/",$A153)+1,20))+1,20))),"")))</f>
        <v/>
      </c>
      <c r="E153">
        <f>IF($A153="","",IF(OR($B153="",$C153="",$D153="",$B153&lt;1300,$B153&gt;1500,$C153&lt;1,$C153&gt;12,$D153&lt;1,$D153&gt;31),"نامعتبر",RIGHT("0000"&amp;$B153,4)&amp;"/"&amp;RIGHT("00"&amp;$C153,2)&amp;"/"&amp;RIGHT("00"&amp;$D153,2)))</f>
        <v/>
      </c>
      <c r="F153">
        <f>IF(OR($E153="",$E153="نامعتبر"),"",LEFT($E153,4)&amp;"/"&amp;MID($E153,6,2))</f>
        <v/>
      </c>
      <c r="G153">
        <f>IF(OR($E153="",$E153="نامعتبر",Sync!$Y150=""),"",Sync!$Y150)</f>
        <v/>
      </c>
      <c r="H153">
        <f>IF($G153="","",IF(Sync!$X150="","",Sync!$X150))</f>
        <v/>
      </c>
      <c r="I153">
        <f>IF($G153="","",IFERROR(VLOOKUP(Sync!$X150,OpTbl,3,0),""))</f>
        <v/>
      </c>
      <c r="J153">
        <f>IF(OR($G153="",Sync!$Z150=""),"",Sync!$Z150)</f>
        <v/>
      </c>
      <c r="K153">
        <f>IF(OR($G153="",Sync!$AA150=""),"",Sync!$AA150)</f>
        <v/>
      </c>
      <c r="L153">
        <f>IF($G153="",0,IF(Sync!$AB150="",0,Sync!$AB150))</f>
        <v/>
      </c>
      <c r="M153">
        <f>IF($G153="",0,IF(Sync!$AC150="",0,Sync!$AC150))</f>
        <v/>
      </c>
      <c r="N153">
        <f>IF($G153="","",IF($H153="مرجوعی خرید",-1,1)*($L153-$M153*IFERROR(VLOOKUP("P01",ParamTbl,3,0),1.5))*(1-IF($I153="خرید",IFERROR(VLOOKUP("P02",ParamTbl,3,0),1),0)/100))</f>
        <v/>
      </c>
      <c r="O153">
        <f>IF($G153="",0,IF($H153="مرجوعی خرید",-1,1)*IF(Sync!$AD150="",0,Sync!$AD150))</f>
        <v/>
      </c>
      <c r="P153">
        <f>IF(OR($G153="",Sync!$W150=""),"",Sync!$W150)</f>
        <v/>
      </c>
      <c r="Q153">
        <f>IF(OR($G153="",Sync!$AE150=""),"",Sync!$AE150)</f>
        <v/>
      </c>
      <c r="R153">
        <f>IF($G153="","",IF(Sync!$V150="","0000",IF(AND(ISNUMBER(Sync!$V150),Sync!$V150&gt;=0,Sync!$V150&lt;1),RIGHT("00"&amp;HOUR(Sync!$V150),2)&amp;RIGHT("00"&amp;MINUTE(Sync!$V150),2),IFERROR(RIGHT("00"&amp;VALUE(LEFT(Sync!$V150,FIND(":",Sync!$V150)-1)),2)&amp;RIGHT("00"&amp;VALUE(MID(Sync!$V150,FIND(":",Sync!$V150)+1,2)),2),"0000"))))</f>
        <v/>
      </c>
    </row>
    <row r="154">
      <c r="A154">
        <f>IF(Sync!$U151="","",Sync!$U151)</f>
        <v/>
      </c>
      <c r="B154">
        <f>IF($A154="","",IF(ISNUMBER($A154),IF(AND($A154&gt;=10000101,$A154&lt;=99991231),INT($A154/10000),""),IFERROR(VALUE(TRIM(LEFT($A154,FIND("/",$A154)-1))),"")))</f>
        <v/>
      </c>
      <c r="C154">
        <f>IF(OR($A154="",$B154=""),"",IF(ISNUMBER($A154),INT(MOD($A154,10000)/100),IFERROR(VALUE(TRIM(LEFT(MID($A154,FIND("/",$A154)+1,20),FIND("/",MID($A154,FIND("/",$A154)+1,20))-1))),"")))</f>
        <v/>
      </c>
      <c r="D154">
        <f>IF(OR($A154="",$B154=""),"",IF(ISNUMBER($A154),MOD($A154,100),IFERROR(VALUE(TRIM(MID(MID($A154,FIND("/",$A154)+1,20),FIND("/",MID($A154,FIND("/",$A154)+1,20))+1,20))),"")))</f>
        <v/>
      </c>
      <c r="E154">
        <f>IF($A154="","",IF(OR($B154="",$C154="",$D154="",$B154&lt;1300,$B154&gt;1500,$C154&lt;1,$C154&gt;12,$D154&lt;1,$D154&gt;31),"نامعتبر",RIGHT("0000"&amp;$B154,4)&amp;"/"&amp;RIGHT("00"&amp;$C154,2)&amp;"/"&amp;RIGHT("00"&amp;$D154,2)))</f>
        <v/>
      </c>
      <c r="F154">
        <f>IF(OR($E154="",$E154="نامعتبر"),"",LEFT($E154,4)&amp;"/"&amp;MID($E154,6,2))</f>
        <v/>
      </c>
      <c r="G154">
        <f>IF(OR($E154="",$E154="نامعتبر",Sync!$Y151=""),"",Sync!$Y151)</f>
        <v/>
      </c>
      <c r="H154">
        <f>IF($G154="","",IF(Sync!$X151="","",Sync!$X151))</f>
        <v/>
      </c>
      <c r="I154">
        <f>IF($G154="","",IFERROR(VLOOKUP(Sync!$X151,OpTbl,3,0),""))</f>
        <v/>
      </c>
      <c r="J154">
        <f>IF(OR($G154="",Sync!$Z151=""),"",Sync!$Z151)</f>
        <v/>
      </c>
      <c r="K154">
        <f>IF(OR($G154="",Sync!$AA151=""),"",Sync!$AA151)</f>
        <v/>
      </c>
      <c r="L154">
        <f>IF($G154="",0,IF(Sync!$AB151="",0,Sync!$AB151))</f>
        <v/>
      </c>
      <c r="M154">
        <f>IF($G154="",0,IF(Sync!$AC151="",0,Sync!$AC151))</f>
        <v/>
      </c>
      <c r="N154">
        <f>IF($G154="","",IF($H154="مرجوعی خرید",-1,1)*($L154-$M154*IFERROR(VLOOKUP("P01",ParamTbl,3,0),1.5))*(1-IF($I154="خرید",IFERROR(VLOOKUP("P02",ParamTbl,3,0),1),0)/100))</f>
        <v/>
      </c>
      <c r="O154">
        <f>IF($G154="",0,IF($H154="مرجوعی خرید",-1,1)*IF(Sync!$AD151="",0,Sync!$AD151))</f>
        <v/>
      </c>
      <c r="P154">
        <f>IF(OR($G154="",Sync!$W151=""),"",Sync!$W151)</f>
        <v/>
      </c>
      <c r="Q154">
        <f>IF(OR($G154="",Sync!$AE151=""),"",Sync!$AE151)</f>
        <v/>
      </c>
      <c r="R154">
        <f>IF($G154="","",IF(Sync!$V151="","0000",IF(AND(ISNUMBER(Sync!$V151),Sync!$V151&gt;=0,Sync!$V151&lt;1),RIGHT("00"&amp;HOUR(Sync!$V151),2)&amp;RIGHT("00"&amp;MINUTE(Sync!$V151),2),IFERROR(RIGHT("00"&amp;VALUE(LEFT(Sync!$V151,FIND(":",Sync!$V151)-1)),2)&amp;RIGHT("00"&amp;VALUE(MID(Sync!$V151,FIND(":",Sync!$V151)+1,2)),2),"0000"))))</f>
        <v/>
      </c>
    </row>
    <row r="155">
      <c r="A155">
        <f>IF(Sync!$U152="","",Sync!$U152)</f>
        <v/>
      </c>
      <c r="B155">
        <f>IF($A155="","",IF(ISNUMBER($A155),IF(AND($A155&gt;=10000101,$A155&lt;=99991231),INT($A155/10000),""),IFERROR(VALUE(TRIM(LEFT($A155,FIND("/",$A155)-1))),"")))</f>
        <v/>
      </c>
      <c r="C155">
        <f>IF(OR($A155="",$B155=""),"",IF(ISNUMBER($A155),INT(MOD($A155,10000)/100),IFERROR(VALUE(TRIM(LEFT(MID($A155,FIND("/",$A155)+1,20),FIND("/",MID($A155,FIND("/",$A155)+1,20))-1))),"")))</f>
        <v/>
      </c>
      <c r="D155">
        <f>IF(OR($A155="",$B155=""),"",IF(ISNUMBER($A155),MOD($A155,100),IFERROR(VALUE(TRIM(MID(MID($A155,FIND("/",$A155)+1,20),FIND("/",MID($A155,FIND("/",$A155)+1,20))+1,20))),"")))</f>
        <v/>
      </c>
      <c r="E155">
        <f>IF($A155="","",IF(OR($B155="",$C155="",$D155="",$B155&lt;1300,$B155&gt;1500,$C155&lt;1,$C155&gt;12,$D155&lt;1,$D155&gt;31),"نامعتبر",RIGHT("0000"&amp;$B155,4)&amp;"/"&amp;RIGHT("00"&amp;$C155,2)&amp;"/"&amp;RIGHT("00"&amp;$D155,2)))</f>
        <v/>
      </c>
      <c r="F155">
        <f>IF(OR($E155="",$E155="نامعتبر"),"",LEFT($E155,4)&amp;"/"&amp;MID($E155,6,2))</f>
        <v/>
      </c>
      <c r="G155">
        <f>IF(OR($E155="",$E155="نامعتبر",Sync!$Y152=""),"",Sync!$Y152)</f>
        <v/>
      </c>
      <c r="H155">
        <f>IF($G155="","",IF(Sync!$X152="","",Sync!$X152))</f>
        <v/>
      </c>
      <c r="I155">
        <f>IF($G155="","",IFERROR(VLOOKUP(Sync!$X152,OpTbl,3,0),""))</f>
        <v/>
      </c>
      <c r="J155">
        <f>IF(OR($G155="",Sync!$Z152=""),"",Sync!$Z152)</f>
        <v/>
      </c>
      <c r="K155">
        <f>IF(OR($G155="",Sync!$AA152=""),"",Sync!$AA152)</f>
        <v/>
      </c>
      <c r="L155">
        <f>IF($G155="",0,IF(Sync!$AB152="",0,Sync!$AB152))</f>
        <v/>
      </c>
      <c r="M155">
        <f>IF($G155="",0,IF(Sync!$AC152="",0,Sync!$AC152))</f>
        <v/>
      </c>
      <c r="N155">
        <f>IF($G155="","",IF($H155="مرجوعی خرید",-1,1)*($L155-$M155*IFERROR(VLOOKUP("P01",ParamTbl,3,0),1.5))*(1-IF($I155="خرید",IFERROR(VLOOKUP("P02",ParamTbl,3,0),1),0)/100))</f>
        <v/>
      </c>
      <c r="O155">
        <f>IF($G155="",0,IF($H155="مرجوعی خرید",-1,1)*IF(Sync!$AD152="",0,Sync!$AD152))</f>
        <v/>
      </c>
      <c r="P155">
        <f>IF(OR($G155="",Sync!$W152=""),"",Sync!$W152)</f>
        <v/>
      </c>
      <c r="Q155">
        <f>IF(OR($G155="",Sync!$AE152=""),"",Sync!$AE152)</f>
        <v/>
      </c>
      <c r="R155">
        <f>IF($G155="","",IF(Sync!$V152="","0000",IF(AND(ISNUMBER(Sync!$V152),Sync!$V152&gt;=0,Sync!$V152&lt;1),RIGHT("00"&amp;HOUR(Sync!$V152),2)&amp;RIGHT("00"&amp;MINUTE(Sync!$V152),2),IFERROR(RIGHT("00"&amp;VALUE(LEFT(Sync!$V152,FIND(":",Sync!$V152)-1)),2)&amp;RIGHT("00"&amp;VALUE(MID(Sync!$V152,FIND(":",Sync!$V152)+1,2)),2),"0000"))))</f>
        <v/>
      </c>
    </row>
    <row r="156">
      <c r="A156">
        <f>IF(Sync!$U153="","",Sync!$U153)</f>
        <v/>
      </c>
      <c r="B156">
        <f>IF($A156="","",IF(ISNUMBER($A156),IF(AND($A156&gt;=10000101,$A156&lt;=99991231),INT($A156/10000),""),IFERROR(VALUE(TRIM(LEFT($A156,FIND("/",$A156)-1))),"")))</f>
        <v/>
      </c>
      <c r="C156">
        <f>IF(OR($A156="",$B156=""),"",IF(ISNUMBER($A156),INT(MOD($A156,10000)/100),IFERROR(VALUE(TRIM(LEFT(MID($A156,FIND("/",$A156)+1,20),FIND("/",MID($A156,FIND("/",$A156)+1,20))-1))),"")))</f>
        <v/>
      </c>
      <c r="D156">
        <f>IF(OR($A156="",$B156=""),"",IF(ISNUMBER($A156),MOD($A156,100),IFERROR(VALUE(TRIM(MID(MID($A156,FIND("/",$A156)+1,20),FIND("/",MID($A156,FIND("/",$A156)+1,20))+1,20))),"")))</f>
        <v/>
      </c>
      <c r="E156">
        <f>IF($A156="","",IF(OR($B156="",$C156="",$D156="",$B156&lt;1300,$B156&gt;1500,$C156&lt;1,$C156&gt;12,$D156&lt;1,$D156&gt;31),"نامعتبر",RIGHT("0000"&amp;$B156,4)&amp;"/"&amp;RIGHT("00"&amp;$C156,2)&amp;"/"&amp;RIGHT("00"&amp;$D156,2)))</f>
        <v/>
      </c>
      <c r="F156">
        <f>IF(OR($E156="",$E156="نامعتبر"),"",LEFT($E156,4)&amp;"/"&amp;MID($E156,6,2))</f>
        <v/>
      </c>
      <c r="G156">
        <f>IF(OR($E156="",$E156="نامعتبر",Sync!$Y153=""),"",Sync!$Y153)</f>
        <v/>
      </c>
      <c r="H156">
        <f>IF($G156="","",IF(Sync!$X153="","",Sync!$X153))</f>
        <v/>
      </c>
      <c r="I156">
        <f>IF($G156="","",IFERROR(VLOOKUP(Sync!$X153,OpTbl,3,0),""))</f>
        <v/>
      </c>
      <c r="J156">
        <f>IF(OR($G156="",Sync!$Z153=""),"",Sync!$Z153)</f>
        <v/>
      </c>
      <c r="K156">
        <f>IF(OR($G156="",Sync!$AA153=""),"",Sync!$AA153)</f>
        <v/>
      </c>
      <c r="L156">
        <f>IF($G156="",0,IF(Sync!$AB153="",0,Sync!$AB153))</f>
        <v/>
      </c>
      <c r="M156">
        <f>IF($G156="",0,IF(Sync!$AC153="",0,Sync!$AC153))</f>
        <v/>
      </c>
      <c r="N156">
        <f>IF($G156="","",IF($H156="مرجوعی خرید",-1,1)*($L156-$M156*IFERROR(VLOOKUP("P01",ParamTbl,3,0),1.5))*(1-IF($I156="خرید",IFERROR(VLOOKUP("P02",ParamTbl,3,0),1),0)/100))</f>
        <v/>
      </c>
      <c r="O156">
        <f>IF($G156="",0,IF($H156="مرجوعی خرید",-1,1)*IF(Sync!$AD153="",0,Sync!$AD153))</f>
        <v/>
      </c>
      <c r="P156">
        <f>IF(OR($G156="",Sync!$W153=""),"",Sync!$W153)</f>
        <v/>
      </c>
      <c r="Q156">
        <f>IF(OR($G156="",Sync!$AE153=""),"",Sync!$AE153)</f>
        <v/>
      </c>
      <c r="R156">
        <f>IF($G156="","",IF(Sync!$V153="","0000",IF(AND(ISNUMBER(Sync!$V153),Sync!$V153&gt;=0,Sync!$V153&lt;1),RIGHT("00"&amp;HOUR(Sync!$V153),2)&amp;RIGHT("00"&amp;MINUTE(Sync!$V153),2),IFERROR(RIGHT("00"&amp;VALUE(LEFT(Sync!$V153,FIND(":",Sync!$V153)-1)),2)&amp;RIGHT("00"&amp;VALUE(MID(Sync!$V153,FIND(":",Sync!$V153)+1,2)),2),"0000"))))</f>
        <v/>
      </c>
    </row>
    <row r="157">
      <c r="A157">
        <f>IF(Sync!$U154="","",Sync!$U154)</f>
        <v/>
      </c>
      <c r="B157">
        <f>IF($A157="","",IF(ISNUMBER($A157),IF(AND($A157&gt;=10000101,$A157&lt;=99991231),INT($A157/10000),""),IFERROR(VALUE(TRIM(LEFT($A157,FIND("/",$A157)-1))),"")))</f>
        <v/>
      </c>
      <c r="C157">
        <f>IF(OR($A157="",$B157=""),"",IF(ISNUMBER($A157),INT(MOD($A157,10000)/100),IFERROR(VALUE(TRIM(LEFT(MID($A157,FIND("/",$A157)+1,20),FIND("/",MID($A157,FIND("/",$A157)+1,20))-1))),"")))</f>
        <v/>
      </c>
      <c r="D157">
        <f>IF(OR($A157="",$B157=""),"",IF(ISNUMBER($A157),MOD($A157,100),IFERROR(VALUE(TRIM(MID(MID($A157,FIND("/",$A157)+1,20),FIND("/",MID($A157,FIND("/",$A157)+1,20))+1,20))),"")))</f>
        <v/>
      </c>
      <c r="E157">
        <f>IF($A157="","",IF(OR($B157="",$C157="",$D157="",$B157&lt;1300,$B157&gt;1500,$C157&lt;1,$C157&gt;12,$D157&lt;1,$D157&gt;31),"نامعتبر",RIGHT("0000"&amp;$B157,4)&amp;"/"&amp;RIGHT("00"&amp;$C157,2)&amp;"/"&amp;RIGHT("00"&amp;$D157,2)))</f>
        <v/>
      </c>
      <c r="F157">
        <f>IF(OR($E157="",$E157="نامعتبر"),"",LEFT($E157,4)&amp;"/"&amp;MID($E157,6,2))</f>
        <v/>
      </c>
      <c r="G157">
        <f>IF(OR($E157="",$E157="نامعتبر",Sync!$Y154=""),"",Sync!$Y154)</f>
        <v/>
      </c>
      <c r="H157">
        <f>IF($G157="","",IF(Sync!$X154="","",Sync!$X154))</f>
        <v/>
      </c>
      <c r="I157">
        <f>IF($G157="","",IFERROR(VLOOKUP(Sync!$X154,OpTbl,3,0),""))</f>
        <v/>
      </c>
      <c r="J157">
        <f>IF(OR($G157="",Sync!$Z154=""),"",Sync!$Z154)</f>
        <v/>
      </c>
      <c r="K157">
        <f>IF(OR($G157="",Sync!$AA154=""),"",Sync!$AA154)</f>
        <v/>
      </c>
      <c r="L157">
        <f>IF($G157="",0,IF(Sync!$AB154="",0,Sync!$AB154))</f>
        <v/>
      </c>
      <c r="M157">
        <f>IF($G157="",0,IF(Sync!$AC154="",0,Sync!$AC154))</f>
        <v/>
      </c>
      <c r="N157">
        <f>IF($G157="","",IF($H157="مرجوعی خرید",-1,1)*($L157-$M157*IFERROR(VLOOKUP("P01",ParamTbl,3,0),1.5))*(1-IF($I157="خرید",IFERROR(VLOOKUP("P02",ParamTbl,3,0),1),0)/100))</f>
        <v/>
      </c>
      <c r="O157">
        <f>IF($G157="",0,IF($H157="مرجوعی خرید",-1,1)*IF(Sync!$AD154="",0,Sync!$AD154))</f>
        <v/>
      </c>
      <c r="P157">
        <f>IF(OR($G157="",Sync!$W154=""),"",Sync!$W154)</f>
        <v/>
      </c>
      <c r="Q157">
        <f>IF(OR($G157="",Sync!$AE154=""),"",Sync!$AE154)</f>
        <v/>
      </c>
      <c r="R157">
        <f>IF($G157="","",IF(Sync!$V154="","0000",IF(AND(ISNUMBER(Sync!$V154),Sync!$V154&gt;=0,Sync!$V154&lt;1),RIGHT("00"&amp;HOUR(Sync!$V154),2)&amp;RIGHT("00"&amp;MINUTE(Sync!$V154),2),IFERROR(RIGHT("00"&amp;VALUE(LEFT(Sync!$V154,FIND(":",Sync!$V154)-1)),2)&amp;RIGHT("00"&amp;VALUE(MID(Sync!$V154,FIND(":",Sync!$V154)+1,2)),2),"0000"))))</f>
        <v/>
      </c>
    </row>
    <row r="158">
      <c r="A158">
        <f>IF(Sync!$U155="","",Sync!$U155)</f>
        <v/>
      </c>
      <c r="B158">
        <f>IF($A158="","",IF(ISNUMBER($A158),IF(AND($A158&gt;=10000101,$A158&lt;=99991231),INT($A158/10000),""),IFERROR(VALUE(TRIM(LEFT($A158,FIND("/",$A158)-1))),"")))</f>
        <v/>
      </c>
      <c r="C158">
        <f>IF(OR($A158="",$B158=""),"",IF(ISNUMBER($A158),INT(MOD($A158,10000)/100),IFERROR(VALUE(TRIM(LEFT(MID($A158,FIND("/",$A158)+1,20),FIND("/",MID($A158,FIND("/",$A158)+1,20))-1))),"")))</f>
        <v/>
      </c>
      <c r="D158">
        <f>IF(OR($A158="",$B158=""),"",IF(ISNUMBER($A158),MOD($A158,100),IFERROR(VALUE(TRIM(MID(MID($A158,FIND("/",$A158)+1,20),FIND("/",MID($A158,FIND("/",$A158)+1,20))+1,20))),"")))</f>
        <v/>
      </c>
      <c r="E158">
        <f>IF($A158="","",IF(OR($B158="",$C158="",$D158="",$B158&lt;1300,$B158&gt;1500,$C158&lt;1,$C158&gt;12,$D158&lt;1,$D158&gt;31),"نامعتبر",RIGHT("0000"&amp;$B158,4)&amp;"/"&amp;RIGHT("00"&amp;$C158,2)&amp;"/"&amp;RIGHT("00"&amp;$D158,2)))</f>
        <v/>
      </c>
      <c r="F158">
        <f>IF(OR($E158="",$E158="نامعتبر"),"",LEFT($E158,4)&amp;"/"&amp;MID($E158,6,2))</f>
        <v/>
      </c>
      <c r="G158">
        <f>IF(OR($E158="",$E158="نامعتبر",Sync!$Y155=""),"",Sync!$Y155)</f>
        <v/>
      </c>
      <c r="H158">
        <f>IF($G158="","",IF(Sync!$X155="","",Sync!$X155))</f>
        <v/>
      </c>
      <c r="I158">
        <f>IF($G158="","",IFERROR(VLOOKUP(Sync!$X155,OpTbl,3,0),""))</f>
        <v/>
      </c>
      <c r="J158">
        <f>IF(OR($G158="",Sync!$Z155=""),"",Sync!$Z155)</f>
        <v/>
      </c>
      <c r="K158">
        <f>IF(OR($G158="",Sync!$AA155=""),"",Sync!$AA155)</f>
        <v/>
      </c>
      <c r="L158">
        <f>IF($G158="",0,IF(Sync!$AB155="",0,Sync!$AB155))</f>
        <v/>
      </c>
      <c r="M158">
        <f>IF($G158="",0,IF(Sync!$AC155="",0,Sync!$AC155))</f>
        <v/>
      </c>
      <c r="N158">
        <f>IF($G158="","",IF($H158="مرجوعی خرید",-1,1)*($L158-$M158*IFERROR(VLOOKUP("P01",ParamTbl,3,0),1.5))*(1-IF($I158="خرید",IFERROR(VLOOKUP("P02",ParamTbl,3,0),1),0)/100))</f>
        <v/>
      </c>
      <c r="O158">
        <f>IF($G158="",0,IF($H158="مرجوعی خرید",-1,1)*IF(Sync!$AD155="",0,Sync!$AD155))</f>
        <v/>
      </c>
      <c r="P158">
        <f>IF(OR($G158="",Sync!$W155=""),"",Sync!$W155)</f>
        <v/>
      </c>
      <c r="Q158">
        <f>IF(OR($G158="",Sync!$AE155=""),"",Sync!$AE155)</f>
        <v/>
      </c>
      <c r="R158">
        <f>IF($G158="","",IF(Sync!$V155="","0000",IF(AND(ISNUMBER(Sync!$V155),Sync!$V155&gt;=0,Sync!$V155&lt;1),RIGHT("00"&amp;HOUR(Sync!$V155),2)&amp;RIGHT("00"&amp;MINUTE(Sync!$V155),2),IFERROR(RIGHT("00"&amp;VALUE(LEFT(Sync!$V155,FIND(":",Sync!$V155)-1)),2)&amp;RIGHT("00"&amp;VALUE(MID(Sync!$V155,FIND(":",Sync!$V155)+1,2)),2),"0000"))))</f>
        <v/>
      </c>
    </row>
    <row r="159">
      <c r="A159">
        <f>IF(Sync!$U156="","",Sync!$U156)</f>
        <v/>
      </c>
      <c r="B159">
        <f>IF($A159="","",IF(ISNUMBER($A159),IF(AND($A159&gt;=10000101,$A159&lt;=99991231),INT($A159/10000),""),IFERROR(VALUE(TRIM(LEFT($A159,FIND("/",$A159)-1))),"")))</f>
        <v/>
      </c>
      <c r="C159">
        <f>IF(OR($A159="",$B159=""),"",IF(ISNUMBER($A159),INT(MOD($A159,10000)/100),IFERROR(VALUE(TRIM(LEFT(MID($A159,FIND("/",$A159)+1,20),FIND("/",MID($A159,FIND("/",$A159)+1,20))-1))),"")))</f>
        <v/>
      </c>
      <c r="D159">
        <f>IF(OR($A159="",$B159=""),"",IF(ISNUMBER($A159),MOD($A159,100),IFERROR(VALUE(TRIM(MID(MID($A159,FIND("/",$A159)+1,20),FIND("/",MID($A159,FIND("/",$A159)+1,20))+1,20))),"")))</f>
        <v/>
      </c>
      <c r="E159">
        <f>IF($A159="","",IF(OR($B159="",$C159="",$D159="",$B159&lt;1300,$B159&gt;1500,$C159&lt;1,$C159&gt;12,$D159&lt;1,$D159&gt;31),"نامعتبر",RIGHT("0000"&amp;$B159,4)&amp;"/"&amp;RIGHT("00"&amp;$C159,2)&amp;"/"&amp;RIGHT("00"&amp;$D159,2)))</f>
        <v/>
      </c>
      <c r="F159">
        <f>IF(OR($E159="",$E159="نامعتبر"),"",LEFT($E159,4)&amp;"/"&amp;MID($E159,6,2))</f>
        <v/>
      </c>
      <c r="G159">
        <f>IF(OR($E159="",$E159="نامعتبر",Sync!$Y156=""),"",Sync!$Y156)</f>
        <v/>
      </c>
      <c r="H159">
        <f>IF($G159="","",IF(Sync!$X156="","",Sync!$X156))</f>
        <v/>
      </c>
      <c r="I159">
        <f>IF($G159="","",IFERROR(VLOOKUP(Sync!$X156,OpTbl,3,0),""))</f>
        <v/>
      </c>
      <c r="J159">
        <f>IF(OR($G159="",Sync!$Z156=""),"",Sync!$Z156)</f>
        <v/>
      </c>
      <c r="K159">
        <f>IF(OR($G159="",Sync!$AA156=""),"",Sync!$AA156)</f>
        <v/>
      </c>
      <c r="L159">
        <f>IF($G159="",0,IF(Sync!$AB156="",0,Sync!$AB156))</f>
        <v/>
      </c>
      <c r="M159">
        <f>IF($G159="",0,IF(Sync!$AC156="",0,Sync!$AC156))</f>
        <v/>
      </c>
      <c r="N159">
        <f>IF($G159="","",IF($H159="مرجوعی خرید",-1,1)*($L159-$M159*IFERROR(VLOOKUP("P01",ParamTbl,3,0),1.5))*(1-IF($I159="خرید",IFERROR(VLOOKUP("P02",ParamTbl,3,0),1),0)/100))</f>
        <v/>
      </c>
      <c r="O159">
        <f>IF($G159="",0,IF($H159="مرجوعی خرید",-1,1)*IF(Sync!$AD156="",0,Sync!$AD156))</f>
        <v/>
      </c>
      <c r="P159">
        <f>IF(OR($G159="",Sync!$W156=""),"",Sync!$W156)</f>
        <v/>
      </c>
      <c r="Q159">
        <f>IF(OR($G159="",Sync!$AE156=""),"",Sync!$AE156)</f>
        <v/>
      </c>
      <c r="R159">
        <f>IF($G159="","",IF(Sync!$V156="","0000",IF(AND(ISNUMBER(Sync!$V156),Sync!$V156&gt;=0,Sync!$V156&lt;1),RIGHT("00"&amp;HOUR(Sync!$V156),2)&amp;RIGHT("00"&amp;MINUTE(Sync!$V156),2),IFERROR(RIGHT("00"&amp;VALUE(LEFT(Sync!$V156,FIND(":",Sync!$V156)-1)),2)&amp;RIGHT("00"&amp;VALUE(MID(Sync!$V156,FIND(":",Sync!$V156)+1,2)),2),"0000"))))</f>
        <v/>
      </c>
    </row>
    <row r="160">
      <c r="A160">
        <f>IF(Sync!$U157="","",Sync!$U157)</f>
        <v/>
      </c>
      <c r="B160">
        <f>IF($A160="","",IF(ISNUMBER($A160),IF(AND($A160&gt;=10000101,$A160&lt;=99991231),INT($A160/10000),""),IFERROR(VALUE(TRIM(LEFT($A160,FIND("/",$A160)-1))),"")))</f>
        <v/>
      </c>
      <c r="C160">
        <f>IF(OR($A160="",$B160=""),"",IF(ISNUMBER($A160),INT(MOD($A160,10000)/100),IFERROR(VALUE(TRIM(LEFT(MID($A160,FIND("/",$A160)+1,20),FIND("/",MID($A160,FIND("/",$A160)+1,20))-1))),"")))</f>
        <v/>
      </c>
      <c r="D160">
        <f>IF(OR($A160="",$B160=""),"",IF(ISNUMBER($A160),MOD($A160,100),IFERROR(VALUE(TRIM(MID(MID($A160,FIND("/",$A160)+1,20),FIND("/",MID($A160,FIND("/",$A160)+1,20))+1,20))),"")))</f>
        <v/>
      </c>
      <c r="E160">
        <f>IF($A160="","",IF(OR($B160="",$C160="",$D160="",$B160&lt;1300,$B160&gt;1500,$C160&lt;1,$C160&gt;12,$D160&lt;1,$D160&gt;31),"نامعتبر",RIGHT("0000"&amp;$B160,4)&amp;"/"&amp;RIGHT("00"&amp;$C160,2)&amp;"/"&amp;RIGHT("00"&amp;$D160,2)))</f>
        <v/>
      </c>
      <c r="F160">
        <f>IF(OR($E160="",$E160="نامعتبر"),"",LEFT($E160,4)&amp;"/"&amp;MID($E160,6,2))</f>
        <v/>
      </c>
      <c r="G160">
        <f>IF(OR($E160="",$E160="نامعتبر",Sync!$Y157=""),"",Sync!$Y157)</f>
        <v/>
      </c>
      <c r="H160">
        <f>IF($G160="","",IF(Sync!$X157="","",Sync!$X157))</f>
        <v/>
      </c>
      <c r="I160">
        <f>IF($G160="","",IFERROR(VLOOKUP(Sync!$X157,OpTbl,3,0),""))</f>
        <v/>
      </c>
      <c r="J160">
        <f>IF(OR($G160="",Sync!$Z157=""),"",Sync!$Z157)</f>
        <v/>
      </c>
      <c r="K160">
        <f>IF(OR($G160="",Sync!$AA157=""),"",Sync!$AA157)</f>
        <v/>
      </c>
      <c r="L160">
        <f>IF($G160="",0,IF(Sync!$AB157="",0,Sync!$AB157))</f>
        <v/>
      </c>
      <c r="M160">
        <f>IF($G160="",0,IF(Sync!$AC157="",0,Sync!$AC157))</f>
        <v/>
      </c>
      <c r="N160">
        <f>IF($G160="","",IF($H160="مرجوعی خرید",-1,1)*($L160-$M160*IFERROR(VLOOKUP("P01",ParamTbl,3,0),1.5))*(1-IF($I160="خرید",IFERROR(VLOOKUP("P02",ParamTbl,3,0),1),0)/100))</f>
        <v/>
      </c>
      <c r="O160">
        <f>IF($G160="",0,IF($H160="مرجوعی خرید",-1,1)*IF(Sync!$AD157="",0,Sync!$AD157))</f>
        <v/>
      </c>
      <c r="P160">
        <f>IF(OR($G160="",Sync!$W157=""),"",Sync!$W157)</f>
        <v/>
      </c>
      <c r="Q160">
        <f>IF(OR($G160="",Sync!$AE157=""),"",Sync!$AE157)</f>
        <v/>
      </c>
      <c r="R160">
        <f>IF($G160="","",IF(Sync!$V157="","0000",IF(AND(ISNUMBER(Sync!$V157),Sync!$V157&gt;=0,Sync!$V157&lt;1),RIGHT("00"&amp;HOUR(Sync!$V157),2)&amp;RIGHT("00"&amp;MINUTE(Sync!$V157),2),IFERROR(RIGHT("00"&amp;VALUE(LEFT(Sync!$V157,FIND(":",Sync!$V157)-1)),2)&amp;RIGHT("00"&amp;VALUE(MID(Sync!$V157,FIND(":",Sync!$V157)+1,2)),2),"0000"))))</f>
        <v/>
      </c>
    </row>
    <row r="161">
      <c r="A161">
        <f>IF(Sync!$U158="","",Sync!$U158)</f>
        <v/>
      </c>
      <c r="B161">
        <f>IF($A161="","",IF(ISNUMBER($A161),IF(AND($A161&gt;=10000101,$A161&lt;=99991231),INT($A161/10000),""),IFERROR(VALUE(TRIM(LEFT($A161,FIND("/",$A161)-1))),"")))</f>
        <v/>
      </c>
      <c r="C161">
        <f>IF(OR($A161="",$B161=""),"",IF(ISNUMBER($A161),INT(MOD($A161,10000)/100),IFERROR(VALUE(TRIM(LEFT(MID($A161,FIND("/",$A161)+1,20),FIND("/",MID($A161,FIND("/",$A161)+1,20))-1))),"")))</f>
        <v/>
      </c>
      <c r="D161">
        <f>IF(OR($A161="",$B161=""),"",IF(ISNUMBER($A161),MOD($A161,100),IFERROR(VALUE(TRIM(MID(MID($A161,FIND("/",$A161)+1,20),FIND("/",MID($A161,FIND("/",$A161)+1,20))+1,20))),"")))</f>
        <v/>
      </c>
      <c r="E161">
        <f>IF($A161="","",IF(OR($B161="",$C161="",$D161="",$B161&lt;1300,$B161&gt;1500,$C161&lt;1,$C161&gt;12,$D161&lt;1,$D161&gt;31),"نامعتبر",RIGHT("0000"&amp;$B161,4)&amp;"/"&amp;RIGHT("00"&amp;$C161,2)&amp;"/"&amp;RIGHT("00"&amp;$D161,2)))</f>
        <v/>
      </c>
      <c r="F161">
        <f>IF(OR($E161="",$E161="نامعتبر"),"",LEFT($E161,4)&amp;"/"&amp;MID($E161,6,2))</f>
        <v/>
      </c>
      <c r="G161">
        <f>IF(OR($E161="",$E161="نامعتبر",Sync!$Y158=""),"",Sync!$Y158)</f>
        <v/>
      </c>
      <c r="H161">
        <f>IF($G161="","",IF(Sync!$X158="","",Sync!$X158))</f>
        <v/>
      </c>
      <c r="I161">
        <f>IF($G161="","",IFERROR(VLOOKUP(Sync!$X158,OpTbl,3,0),""))</f>
        <v/>
      </c>
      <c r="J161">
        <f>IF(OR($G161="",Sync!$Z158=""),"",Sync!$Z158)</f>
        <v/>
      </c>
      <c r="K161">
        <f>IF(OR($G161="",Sync!$AA158=""),"",Sync!$AA158)</f>
        <v/>
      </c>
      <c r="L161">
        <f>IF($G161="",0,IF(Sync!$AB158="",0,Sync!$AB158))</f>
        <v/>
      </c>
      <c r="M161">
        <f>IF($G161="",0,IF(Sync!$AC158="",0,Sync!$AC158))</f>
        <v/>
      </c>
      <c r="N161">
        <f>IF($G161="","",IF($H161="مرجوعی خرید",-1,1)*($L161-$M161*IFERROR(VLOOKUP("P01",ParamTbl,3,0),1.5))*(1-IF($I161="خرید",IFERROR(VLOOKUP("P02",ParamTbl,3,0),1),0)/100))</f>
        <v/>
      </c>
      <c r="O161">
        <f>IF($G161="",0,IF($H161="مرجوعی خرید",-1,1)*IF(Sync!$AD158="",0,Sync!$AD158))</f>
        <v/>
      </c>
      <c r="P161">
        <f>IF(OR($G161="",Sync!$W158=""),"",Sync!$W158)</f>
        <v/>
      </c>
      <c r="Q161">
        <f>IF(OR($G161="",Sync!$AE158=""),"",Sync!$AE158)</f>
        <v/>
      </c>
      <c r="R161">
        <f>IF($G161="","",IF(Sync!$V158="","0000",IF(AND(ISNUMBER(Sync!$V158),Sync!$V158&gt;=0,Sync!$V158&lt;1),RIGHT("00"&amp;HOUR(Sync!$V158),2)&amp;RIGHT("00"&amp;MINUTE(Sync!$V158),2),IFERROR(RIGHT("00"&amp;VALUE(LEFT(Sync!$V158,FIND(":",Sync!$V158)-1)),2)&amp;RIGHT("00"&amp;VALUE(MID(Sync!$V158,FIND(":",Sync!$V158)+1,2)),2),"0000"))))</f>
        <v/>
      </c>
    </row>
    <row r="162">
      <c r="A162">
        <f>IF(Sync!$U159="","",Sync!$U159)</f>
        <v/>
      </c>
      <c r="B162">
        <f>IF($A162="","",IF(ISNUMBER($A162),IF(AND($A162&gt;=10000101,$A162&lt;=99991231),INT($A162/10000),""),IFERROR(VALUE(TRIM(LEFT($A162,FIND("/",$A162)-1))),"")))</f>
        <v/>
      </c>
      <c r="C162">
        <f>IF(OR($A162="",$B162=""),"",IF(ISNUMBER($A162),INT(MOD($A162,10000)/100),IFERROR(VALUE(TRIM(LEFT(MID($A162,FIND("/",$A162)+1,20),FIND("/",MID($A162,FIND("/",$A162)+1,20))-1))),"")))</f>
        <v/>
      </c>
      <c r="D162">
        <f>IF(OR($A162="",$B162=""),"",IF(ISNUMBER($A162),MOD($A162,100),IFERROR(VALUE(TRIM(MID(MID($A162,FIND("/",$A162)+1,20),FIND("/",MID($A162,FIND("/",$A162)+1,20))+1,20))),"")))</f>
        <v/>
      </c>
      <c r="E162">
        <f>IF($A162="","",IF(OR($B162="",$C162="",$D162="",$B162&lt;1300,$B162&gt;1500,$C162&lt;1,$C162&gt;12,$D162&lt;1,$D162&gt;31),"نامعتبر",RIGHT("0000"&amp;$B162,4)&amp;"/"&amp;RIGHT("00"&amp;$C162,2)&amp;"/"&amp;RIGHT("00"&amp;$D162,2)))</f>
        <v/>
      </c>
      <c r="F162">
        <f>IF(OR($E162="",$E162="نامعتبر"),"",LEFT($E162,4)&amp;"/"&amp;MID($E162,6,2))</f>
        <v/>
      </c>
      <c r="G162">
        <f>IF(OR($E162="",$E162="نامعتبر",Sync!$Y159=""),"",Sync!$Y159)</f>
        <v/>
      </c>
      <c r="H162">
        <f>IF($G162="","",IF(Sync!$X159="","",Sync!$X159))</f>
        <v/>
      </c>
      <c r="I162">
        <f>IF($G162="","",IFERROR(VLOOKUP(Sync!$X159,OpTbl,3,0),""))</f>
        <v/>
      </c>
      <c r="J162">
        <f>IF(OR($G162="",Sync!$Z159=""),"",Sync!$Z159)</f>
        <v/>
      </c>
      <c r="K162">
        <f>IF(OR($G162="",Sync!$AA159=""),"",Sync!$AA159)</f>
        <v/>
      </c>
      <c r="L162">
        <f>IF($G162="",0,IF(Sync!$AB159="",0,Sync!$AB159))</f>
        <v/>
      </c>
      <c r="M162">
        <f>IF($G162="",0,IF(Sync!$AC159="",0,Sync!$AC159))</f>
        <v/>
      </c>
      <c r="N162">
        <f>IF($G162="","",IF($H162="مرجوعی خرید",-1,1)*($L162-$M162*IFERROR(VLOOKUP("P01",ParamTbl,3,0),1.5))*(1-IF($I162="خرید",IFERROR(VLOOKUP("P02",ParamTbl,3,0),1),0)/100))</f>
        <v/>
      </c>
      <c r="O162">
        <f>IF($G162="",0,IF($H162="مرجوعی خرید",-1,1)*IF(Sync!$AD159="",0,Sync!$AD159))</f>
        <v/>
      </c>
      <c r="P162">
        <f>IF(OR($G162="",Sync!$W159=""),"",Sync!$W159)</f>
        <v/>
      </c>
      <c r="Q162">
        <f>IF(OR($G162="",Sync!$AE159=""),"",Sync!$AE159)</f>
        <v/>
      </c>
      <c r="R162">
        <f>IF($G162="","",IF(Sync!$V159="","0000",IF(AND(ISNUMBER(Sync!$V159),Sync!$V159&gt;=0,Sync!$V159&lt;1),RIGHT("00"&amp;HOUR(Sync!$V159),2)&amp;RIGHT("00"&amp;MINUTE(Sync!$V159),2),IFERROR(RIGHT("00"&amp;VALUE(LEFT(Sync!$V159,FIND(":",Sync!$V159)-1)),2)&amp;RIGHT("00"&amp;VALUE(MID(Sync!$V159,FIND(":",Sync!$V159)+1,2)),2),"0000"))))</f>
        <v/>
      </c>
    </row>
    <row r="163">
      <c r="A163">
        <f>IF(Sync!$U160="","",Sync!$U160)</f>
        <v/>
      </c>
      <c r="B163">
        <f>IF($A163="","",IF(ISNUMBER($A163),IF(AND($A163&gt;=10000101,$A163&lt;=99991231),INT($A163/10000),""),IFERROR(VALUE(TRIM(LEFT($A163,FIND("/",$A163)-1))),"")))</f>
        <v/>
      </c>
      <c r="C163">
        <f>IF(OR($A163="",$B163=""),"",IF(ISNUMBER($A163),INT(MOD($A163,10000)/100),IFERROR(VALUE(TRIM(LEFT(MID($A163,FIND("/",$A163)+1,20),FIND("/",MID($A163,FIND("/",$A163)+1,20))-1))),"")))</f>
        <v/>
      </c>
      <c r="D163">
        <f>IF(OR($A163="",$B163=""),"",IF(ISNUMBER($A163),MOD($A163,100),IFERROR(VALUE(TRIM(MID(MID($A163,FIND("/",$A163)+1,20),FIND("/",MID($A163,FIND("/",$A163)+1,20))+1,20))),"")))</f>
        <v/>
      </c>
      <c r="E163">
        <f>IF($A163="","",IF(OR($B163="",$C163="",$D163="",$B163&lt;1300,$B163&gt;1500,$C163&lt;1,$C163&gt;12,$D163&lt;1,$D163&gt;31),"نامعتبر",RIGHT("0000"&amp;$B163,4)&amp;"/"&amp;RIGHT("00"&amp;$C163,2)&amp;"/"&amp;RIGHT("00"&amp;$D163,2)))</f>
        <v/>
      </c>
      <c r="F163">
        <f>IF(OR($E163="",$E163="نامعتبر"),"",LEFT($E163,4)&amp;"/"&amp;MID($E163,6,2))</f>
        <v/>
      </c>
      <c r="G163">
        <f>IF(OR($E163="",$E163="نامعتبر",Sync!$Y160=""),"",Sync!$Y160)</f>
        <v/>
      </c>
      <c r="H163">
        <f>IF($G163="","",IF(Sync!$X160="","",Sync!$X160))</f>
        <v/>
      </c>
      <c r="I163">
        <f>IF($G163="","",IFERROR(VLOOKUP(Sync!$X160,OpTbl,3,0),""))</f>
        <v/>
      </c>
      <c r="J163">
        <f>IF(OR($G163="",Sync!$Z160=""),"",Sync!$Z160)</f>
        <v/>
      </c>
      <c r="K163">
        <f>IF(OR($G163="",Sync!$AA160=""),"",Sync!$AA160)</f>
        <v/>
      </c>
      <c r="L163">
        <f>IF($G163="",0,IF(Sync!$AB160="",0,Sync!$AB160))</f>
        <v/>
      </c>
      <c r="M163">
        <f>IF($G163="",0,IF(Sync!$AC160="",0,Sync!$AC160))</f>
        <v/>
      </c>
      <c r="N163">
        <f>IF($G163="","",IF($H163="مرجوعی خرید",-1,1)*($L163-$M163*IFERROR(VLOOKUP("P01",ParamTbl,3,0),1.5))*(1-IF($I163="خرید",IFERROR(VLOOKUP("P02",ParamTbl,3,0),1),0)/100))</f>
        <v/>
      </c>
      <c r="O163">
        <f>IF($G163="",0,IF($H163="مرجوعی خرید",-1,1)*IF(Sync!$AD160="",0,Sync!$AD160))</f>
        <v/>
      </c>
      <c r="P163">
        <f>IF(OR($G163="",Sync!$W160=""),"",Sync!$W160)</f>
        <v/>
      </c>
      <c r="Q163">
        <f>IF(OR($G163="",Sync!$AE160=""),"",Sync!$AE160)</f>
        <v/>
      </c>
      <c r="R163">
        <f>IF($G163="","",IF(Sync!$V160="","0000",IF(AND(ISNUMBER(Sync!$V160),Sync!$V160&gt;=0,Sync!$V160&lt;1),RIGHT("00"&amp;HOUR(Sync!$V160),2)&amp;RIGHT("00"&amp;MINUTE(Sync!$V160),2),IFERROR(RIGHT("00"&amp;VALUE(LEFT(Sync!$V160,FIND(":",Sync!$V160)-1)),2)&amp;RIGHT("00"&amp;VALUE(MID(Sync!$V160,FIND(":",Sync!$V160)+1,2)),2),"0000"))))</f>
        <v/>
      </c>
    </row>
    <row r="164">
      <c r="A164">
        <f>IF(Sync!$U161="","",Sync!$U161)</f>
        <v/>
      </c>
      <c r="B164">
        <f>IF($A164="","",IF(ISNUMBER($A164),IF(AND($A164&gt;=10000101,$A164&lt;=99991231),INT($A164/10000),""),IFERROR(VALUE(TRIM(LEFT($A164,FIND("/",$A164)-1))),"")))</f>
        <v/>
      </c>
      <c r="C164">
        <f>IF(OR($A164="",$B164=""),"",IF(ISNUMBER($A164),INT(MOD($A164,10000)/100),IFERROR(VALUE(TRIM(LEFT(MID($A164,FIND("/",$A164)+1,20),FIND("/",MID($A164,FIND("/",$A164)+1,20))-1))),"")))</f>
        <v/>
      </c>
      <c r="D164">
        <f>IF(OR($A164="",$B164=""),"",IF(ISNUMBER($A164),MOD($A164,100),IFERROR(VALUE(TRIM(MID(MID($A164,FIND("/",$A164)+1,20),FIND("/",MID($A164,FIND("/",$A164)+1,20))+1,20))),"")))</f>
        <v/>
      </c>
      <c r="E164">
        <f>IF($A164="","",IF(OR($B164="",$C164="",$D164="",$B164&lt;1300,$B164&gt;1500,$C164&lt;1,$C164&gt;12,$D164&lt;1,$D164&gt;31),"نامعتبر",RIGHT("0000"&amp;$B164,4)&amp;"/"&amp;RIGHT("00"&amp;$C164,2)&amp;"/"&amp;RIGHT("00"&amp;$D164,2)))</f>
        <v/>
      </c>
      <c r="F164">
        <f>IF(OR($E164="",$E164="نامعتبر"),"",LEFT($E164,4)&amp;"/"&amp;MID($E164,6,2))</f>
        <v/>
      </c>
      <c r="G164">
        <f>IF(OR($E164="",$E164="نامعتبر",Sync!$Y161=""),"",Sync!$Y161)</f>
        <v/>
      </c>
      <c r="H164">
        <f>IF($G164="","",IF(Sync!$X161="","",Sync!$X161))</f>
        <v/>
      </c>
      <c r="I164">
        <f>IF($G164="","",IFERROR(VLOOKUP(Sync!$X161,OpTbl,3,0),""))</f>
        <v/>
      </c>
      <c r="J164">
        <f>IF(OR($G164="",Sync!$Z161=""),"",Sync!$Z161)</f>
        <v/>
      </c>
      <c r="K164">
        <f>IF(OR($G164="",Sync!$AA161=""),"",Sync!$AA161)</f>
        <v/>
      </c>
      <c r="L164">
        <f>IF($G164="",0,IF(Sync!$AB161="",0,Sync!$AB161))</f>
        <v/>
      </c>
      <c r="M164">
        <f>IF($G164="",0,IF(Sync!$AC161="",0,Sync!$AC161))</f>
        <v/>
      </c>
      <c r="N164">
        <f>IF($G164="","",IF($H164="مرجوعی خرید",-1,1)*($L164-$M164*IFERROR(VLOOKUP("P01",ParamTbl,3,0),1.5))*(1-IF($I164="خرید",IFERROR(VLOOKUP("P02",ParamTbl,3,0),1),0)/100))</f>
        <v/>
      </c>
      <c r="O164">
        <f>IF($G164="",0,IF($H164="مرجوعی خرید",-1,1)*IF(Sync!$AD161="",0,Sync!$AD161))</f>
        <v/>
      </c>
      <c r="P164">
        <f>IF(OR($G164="",Sync!$W161=""),"",Sync!$W161)</f>
        <v/>
      </c>
      <c r="Q164">
        <f>IF(OR($G164="",Sync!$AE161=""),"",Sync!$AE161)</f>
        <v/>
      </c>
      <c r="R164">
        <f>IF($G164="","",IF(Sync!$V161="","0000",IF(AND(ISNUMBER(Sync!$V161),Sync!$V161&gt;=0,Sync!$V161&lt;1),RIGHT("00"&amp;HOUR(Sync!$V161),2)&amp;RIGHT("00"&amp;MINUTE(Sync!$V161),2),IFERROR(RIGHT("00"&amp;VALUE(LEFT(Sync!$V161,FIND(":",Sync!$V161)-1)),2)&amp;RIGHT("00"&amp;VALUE(MID(Sync!$V161,FIND(":",Sync!$V161)+1,2)),2),"0000"))))</f>
        <v/>
      </c>
    </row>
    <row r="165">
      <c r="A165">
        <f>IF(Sync!$U162="","",Sync!$U162)</f>
        <v/>
      </c>
      <c r="B165">
        <f>IF($A165="","",IF(ISNUMBER($A165),IF(AND($A165&gt;=10000101,$A165&lt;=99991231),INT($A165/10000),""),IFERROR(VALUE(TRIM(LEFT($A165,FIND("/",$A165)-1))),"")))</f>
        <v/>
      </c>
      <c r="C165">
        <f>IF(OR($A165="",$B165=""),"",IF(ISNUMBER($A165),INT(MOD($A165,10000)/100),IFERROR(VALUE(TRIM(LEFT(MID($A165,FIND("/",$A165)+1,20),FIND("/",MID($A165,FIND("/",$A165)+1,20))-1))),"")))</f>
        <v/>
      </c>
      <c r="D165">
        <f>IF(OR($A165="",$B165=""),"",IF(ISNUMBER($A165),MOD($A165,100),IFERROR(VALUE(TRIM(MID(MID($A165,FIND("/",$A165)+1,20),FIND("/",MID($A165,FIND("/",$A165)+1,20))+1,20))),"")))</f>
        <v/>
      </c>
      <c r="E165">
        <f>IF($A165="","",IF(OR($B165="",$C165="",$D165="",$B165&lt;1300,$B165&gt;1500,$C165&lt;1,$C165&gt;12,$D165&lt;1,$D165&gt;31),"نامعتبر",RIGHT("0000"&amp;$B165,4)&amp;"/"&amp;RIGHT("00"&amp;$C165,2)&amp;"/"&amp;RIGHT("00"&amp;$D165,2)))</f>
        <v/>
      </c>
      <c r="F165">
        <f>IF(OR($E165="",$E165="نامعتبر"),"",LEFT($E165,4)&amp;"/"&amp;MID($E165,6,2))</f>
        <v/>
      </c>
      <c r="G165">
        <f>IF(OR($E165="",$E165="نامعتبر",Sync!$Y162=""),"",Sync!$Y162)</f>
        <v/>
      </c>
      <c r="H165">
        <f>IF($G165="","",IF(Sync!$X162="","",Sync!$X162))</f>
        <v/>
      </c>
      <c r="I165">
        <f>IF($G165="","",IFERROR(VLOOKUP(Sync!$X162,OpTbl,3,0),""))</f>
        <v/>
      </c>
      <c r="J165">
        <f>IF(OR($G165="",Sync!$Z162=""),"",Sync!$Z162)</f>
        <v/>
      </c>
      <c r="K165">
        <f>IF(OR($G165="",Sync!$AA162=""),"",Sync!$AA162)</f>
        <v/>
      </c>
      <c r="L165">
        <f>IF($G165="",0,IF(Sync!$AB162="",0,Sync!$AB162))</f>
        <v/>
      </c>
      <c r="M165">
        <f>IF($G165="",0,IF(Sync!$AC162="",0,Sync!$AC162))</f>
        <v/>
      </c>
      <c r="N165">
        <f>IF($G165="","",IF($H165="مرجوعی خرید",-1,1)*($L165-$M165*IFERROR(VLOOKUP("P01",ParamTbl,3,0),1.5))*(1-IF($I165="خرید",IFERROR(VLOOKUP("P02",ParamTbl,3,0),1),0)/100))</f>
        <v/>
      </c>
      <c r="O165">
        <f>IF($G165="",0,IF($H165="مرجوعی خرید",-1,1)*IF(Sync!$AD162="",0,Sync!$AD162))</f>
        <v/>
      </c>
      <c r="P165">
        <f>IF(OR($G165="",Sync!$W162=""),"",Sync!$W162)</f>
        <v/>
      </c>
      <c r="Q165">
        <f>IF(OR($G165="",Sync!$AE162=""),"",Sync!$AE162)</f>
        <v/>
      </c>
      <c r="R165">
        <f>IF($G165="","",IF(Sync!$V162="","0000",IF(AND(ISNUMBER(Sync!$V162),Sync!$V162&gt;=0,Sync!$V162&lt;1),RIGHT("00"&amp;HOUR(Sync!$V162),2)&amp;RIGHT("00"&amp;MINUTE(Sync!$V162),2),IFERROR(RIGHT("00"&amp;VALUE(LEFT(Sync!$V162,FIND(":",Sync!$V162)-1)),2)&amp;RIGHT("00"&amp;VALUE(MID(Sync!$V162,FIND(":",Sync!$V162)+1,2)),2),"0000"))))</f>
        <v/>
      </c>
    </row>
    <row r="166">
      <c r="A166">
        <f>IF(Sync!$U163="","",Sync!$U163)</f>
        <v/>
      </c>
      <c r="B166">
        <f>IF($A166="","",IF(ISNUMBER($A166),IF(AND($A166&gt;=10000101,$A166&lt;=99991231),INT($A166/10000),""),IFERROR(VALUE(TRIM(LEFT($A166,FIND("/",$A166)-1))),"")))</f>
        <v/>
      </c>
      <c r="C166">
        <f>IF(OR($A166="",$B166=""),"",IF(ISNUMBER($A166),INT(MOD($A166,10000)/100),IFERROR(VALUE(TRIM(LEFT(MID($A166,FIND("/",$A166)+1,20),FIND("/",MID($A166,FIND("/",$A166)+1,20))-1))),"")))</f>
        <v/>
      </c>
      <c r="D166">
        <f>IF(OR($A166="",$B166=""),"",IF(ISNUMBER($A166),MOD($A166,100),IFERROR(VALUE(TRIM(MID(MID($A166,FIND("/",$A166)+1,20),FIND("/",MID($A166,FIND("/",$A166)+1,20))+1,20))),"")))</f>
        <v/>
      </c>
      <c r="E166">
        <f>IF($A166="","",IF(OR($B166="",$C166="",$D166="",$B166&lt;1300,$B166&gt;1500,$C166&lt;1,$C166&gt;12,$D166&lt;1,$D166&gt;31),"نامعتبر",RIGHT("0000"&amp;$B166,4)&amp;"/"&amp;RIGHT("00"&amp;$C166,2)&amp;"/"&amp;RIGHT("00"&amp;$D166,2)))</f>
        <v/>
      </c>
      <c r="F166">
        <f>IF(OR($E166="",$E166="نامعتبر"),"",LEFT($E166,4)&amp;"/"&amp;MID($E166,6,2))</f>
        <v/>
      </c>
      <c r="G166">
        <f>IF(OR($E166="",$E166="نامعتبر",Sync!$Y163=""),"",Sync!$Y163)</f>
        <v/>
      </c>
      <c r="H166">
        <f>IF($G166="","",IF(Sync!$X163="","",Sync!$X163))</f>
        <v/>
      </c>
      <c r="I166">
        <f>IF($G166="","",IFERROR(VLOOKUP(Sync!$X163,OpTbl,3,0),""))</f>
        <v/>
      </c>
      <c r="J166">
        <f>IF(OR($G166="",Sync!$Z163=""),"",Sync!$Z163)</f>
        <v/>
      </c>
      <c r="K166">
        <f>IF(OR($G166="",Sync!$AA163=""),"",Sync!$AA163)</f>
        <v/>
      </c>
      <c r="L166">
        <f>IF($G166="",0,IF(Sync!$AB163="",0,Sync!$AB163))</f>
        <v/>
      </c>
      <c r="M166">
        <f>IF($G166="",0,IF(Sync!$AC163="",0,Sync!$AC163))</f>
        <v/>
      </c>
      <c r="N166">
        <f>IF($G166="","",IF($H166="مرجوعی خرید",-1,1)*($L166-$M166*IFERROR(VLOOKUP("P01",ParamTbl,3,0),1.5))*(1-IF($I166="خرید",IFERROR(VLOOKUP("P02",ParamTbl,3,0),1),0)/100))</f>
        <v/>
      </c>
      <c r="O166">
        <f>IF($G166="",0,IF($H166="مرجوعی خرید",-1,1)*IF(Sync!$AD163="",0,Sync!$AD163))</f>
        <v/>
      </c>
      <c r="P166">
        <f>IF(OR($G166="",Sync!$W163=""),"",Sync!$W163)</f>
        <v/>
      </c>
      <c r="Q166">
        <f>IF(OR($G166="",Sync!$AE163=""),"",Sync!$AE163)</f>
        <v/>
      </c>
      <c r="R166">
        <f>IF($G166="","",IF(Sync!$V163="","0000",IF(AND(ISNUMBER(Sync!$V163),Sync!$V163&gt;=0,Sync!$V163&lt;1),RIGHT("00"&amp;HOUR(Sync!$V163),2)&amp;RIGHT("00"&amp;MINUTE(Sync!$V163),2),IFERROR(RIGHT("00"&amp;VALUE(LEFT(Sync!$V163,FIND(":",Sync!$V163)-1)),2)&amp;RIGHT("00"&amp;VALUE(MID(Sync!$V163,FIND(":",Sync!$V163)+1,2)),2),"0000"))))</f>
        <v/>
      </c>
    </row>
    <row r="167">
      <c r="A167">
        <f>IF(Sync!$U164="","",Sync!$U164)</f>
        <v/>
      </c>
      <c r="B167">
        <f>IF($A167="","",IF(ISNUMBER($A167),IF(AND($A167&gt;=10000101,$A167&lt;=99991231),INT($A167/10000),""),IFERROR(VALUE(TRIM(LEFT($A167,FIND("/",$A167)-1))),"")))</f>
        <v/>
      </c>
      <c r="C167">
        <f>IF(OR($A167="",$B167=""),"",IF(ISNUMBER($A167),INT(MOD($A167,10000)/100),IFERROR(VALUE(TRIM(LEFT(MID($A167,FIND("/",$A167)+1,20),FIND("/",MID($A167,FIND("/",$A167)+1,20))-1))),"")))</f>
        <v/>
      </c>
      <c r="D167">
        <f>IF(OR($A167="",$B167=""),"",IF(ISNUMBER($A167),MOD($A167,100),IFERROR(VALUE(TRIM(MID(MID($A167,FIND("/",$A167)+1,20),FIND("/",MID($A167,FIND("/",$A167)+1,20))+1,20))),"")))</f>
        <v/>
      </c>
      <c r="E167">
        <f>IF($A167="","",IF(OR($B167="",$C167="",$D167="",$B167&lt;1300,$B167&gt;1500,$C167&lt;1,$C167&gt;12,$D167&lt;1,$D167&gt;31),"نامعتبر",RIGHT("0000"&amp;$B167,4)&amp;"/"&amp;RIGHT("00"&amp;$C167,2)&amp;"/"&amp;RIGHT("00"&amp;$D167,2)))</f>
        <v/>
      </c>
      <c r="F167">
        <f>IF(OR($E167="",$E167="نامعتبر"),"",LEFT($E167,4)&amp;"/"&amp;MID($E167,6,2))</f>
        <v/>
      </c>
      <c r="G167">
        <f>IF(OR($E167="",$E167="نامعتبر",Sync!$Y164=""),"",Sync!$Y164)</f>
        <v/>
      </c>
      <c r="H167">
        <f>IF($G167="","",IF(Sync!$X164="","",Sync!$X164))</f>
        <v/>
      </c>
      <c r="I167">
        <f>IF($G167="","",IFERROR(VLOOKUP(Sync!$X164,OpTbl,3,0),""))</f>
        <v/>
      </c>
      <c r="J167">
        <f>IF(OR($G167="",Sync!$Z164=""),"",Sync!$Z164)</f>
        <v/>
      </c>
      <c r="K167">
        <f>IF(OR($G167="",Sync!$AA164=""),"",Sync!$AA164)</f>
        <v/>
      </c>
      <c r="L167">
        <f>IF($G167="",0,IF(Sync!$AB164="",0,Sync!$AB164))</f>
        <v/>
      </c>
      <c r="M167">
        <f>IF($G167="",0,IF(Sync!$AC164="",0,Sync!$AC164))</f>
        <v/>
      </c>
      <c r="N167">
        <f>IF($G167="","",IF($H167="مرجوعی خرید",-1,1)*($L167-$M167*IFERROR(VLOOKUP("P01",ParamTbl,3,0),1.5))*(1-IF($I167="خرید",IFERROR(VLOOKUP("P02",ParamTbl,3,0),1),0)/100))</f>
        <v/>
      </c>
      <c r="O167">
        <f>IF($G167="",0,IF($H167="مرجوعی خرید",-1,1)*IF(Sync!$AD164="",0,Sync!$AD164))</f>
        <v/>
      </c>
      <c r="P167">
        <f>IF(OR($G167="",Sync!$W164=""),"",Sync!$W164)</f>
        <v/>
      </c>
      <c r="Q167">
        <f>IF(OR($G167="",Sync!$AE164=""),"",Sync!$AE164)</f>
        <v/>
      </c>
      <c r="R167">
        <f>IF($G167="","",IF(Sync!$V164="","0000",IF(AND(ISNUMBER(Sync!$V164),Sync!$V164&gt;=0,Sync!$V164&lt;1),RIGHT("00"&amp;HOUR(Sync!$V164),2)&amp;RIGHT("00"&amp;MINUTE(Sync!$V164),2),IFERROR(RIGHT("00"&amp;VALUE(LEFT(Sync!$V164,FIND(":",Sync!$V164)-1)),2)&amp;RIGHT("00"&amp;VALUE(MID(Sync!$V164,FIND(":",Sync!$V164)+1,2)),2),"0000"))))</f>
        <v/>
      </c>
    </row>
    <row r="168">
      <c r="A168">
        <f>IF(Sync!$U165="","",Sync!$U165)</f>
        <v/>
      </c>
      <c r="B168">
        <f>IF($A168="","",IF(ISNUMBER($A168),IF(AND($A168&gt;=10000101,$A168&lt;=99991231),INT($A168/10000),""),IFERROR(VALUE(TRIM(LEFT($A168,FIND("/",$A168)-1))),"")))</f>
        <v/>
      </c>
      <c r="C168">
        <f>IF(OR($A168="",$B168=""),"",IF(ISNUMBER($A168),INT(MOD($A168,10000)/100),IFERROR(VALUE(TRIM(LEFT(MID($A168,FIND("/",$A168)+1,20),FIND("/",MID($A168,FIND("/",$A168)+1,20))-1))),"")))</f>
        <v/>
      </c>
      <c r="D168">
        <f>IF(OR($A168="",$B168=""),"",IF(ISNUMBER($A168),MOD($A168,100),IFERROR(VALUE(TRIM(MID(MID($A168,FIND("/",$A168)+1,20),FIND("/",MID($A168,FIND("/",$A168)+1,20))+1,20))),"")))</f>
        <v/>
      </c>
      <c r="E168">
        <f>IF($A168="","",IF(OR($B168="",$C168="",$D168="",$B168&lt;1300,$B168&gt;1500,$C168&lt;1,$C168&gt;12,$D168&lt;1,$D168&gt;31),"نامعتبر",RIGHT("0000"&amp;$B168,4)&amp;"/"&amp;RIGHT("00"&amp;$C168,2)&amp;"/"&amp;RIGHT("00"&amp;$D168,2)))</f>
        <v/>
      </c>
      <c r="F168">
        <f>IF(OR($E168="",$E168="نامعتبر"),"",LEFT($E168,4)&amp;"/"&amp;MID($E168,6,2))</f>
        <v/>
      </c>
      <c r="G168">
        <f>IF(OR($E168="",$E168="نامعتبر",Sync!$Y165=""),"",Sync!$Y165)</f>
        <v/>
      </c>
      <c r="H168">
        <f>IF($G168="","",IF(Sync!$X165="","",Sync!$X165))</f>
        <v/>
      </c>
      <c r="I168">
        <f>IF($G168="","",IFERROR(VLOOKUP(Sync!$X165,OpTbl,3,0),""))</f>
        <v/>
      </c>
      <c r="J168">
        <f>IF(OR($G168="",Sync!$Z165=""),"",Sync!$Z165)</f>
        <v/>
      </c>
      <c r="K168">
        <f>IF(OR($G168="",Sync!$AA165=""),"",Sync!$AA165)</f>
        <v/>
      </c>
      <c r="L168">
        <f>IF($G168="",0,IF(Sync!$AB165="",0,Sync!$AB165))</f>
        <v/>
      </c>
      <c r="M168">
        <f>IF($G168="",0,IF(Sync!$AC165="",0,Sync!$AC165))</f>
        <v/>
      </c>
      <c r="N168">
        <f>IF($G168="","",IF($H168="مرجوعی خرید",-1,1)*($L168-$M168*IFERROR(VLOOKUP("P01",ParamTbl,3,0),1.5))*(1-IF($I168="خرید",IFERROR(VLOOKUP("P02",ParamTbl,3,0),1),0)/100))</f>
        <v/>
      </c>
      <c r="O168">
        <f>IF($G168="",0,IF($H168="مرجوعی خرید",-1,1)*IF(Sync!$AD165="",0,Sync!$AD165))</f>
        <v/>
      </c>
      <c r="P168">
        <f>IF(OR($G168="",Sync!$W165=""),"",Sync!$W165)</f>
        <v/>
      </c>
      <c r="Q168">
        <f>IF(OR($G168="",Sync!$AE165=""),"",Sync!$AE165)</f>
        <v/>
      </c>
      <c r="R168">
        <f>IF($G168="","",IF(Sync!$V165="","0000",IF(AND(ISNUMBER(Sync!$V165),Sync!$V165&gt;=0,Sync!$V165&lt;1),RIGHT("00"&amp;HOUR(Sync!$V165),2)&amp;RIGHT("00"&amp;MINUTE(Sync!$V165),2),IFERROR(RIGHT("00"&amp;VALUE(LEFT(Sync!$V165,FIND(":",Sync!$V165)-1)),2)&amp;RIGHT("00"&amp;VALUE(MID(Sync!$V165,FIND(":",Sync!$V165)+1,2)),2),"0000"))))</f>
        <v/>
      </c>
    </row>
    <row r="169">
      <c r="A169">
        <f>IF(Sync!$U166="","",Sync!$U166)</f>
        <v/>
      </c>
      <c r="B169">
        <f>IF($A169="","",IF(ISNUMBER($A169),IF(AND($A169&gt;=10000101,$A169&lt;=99991231),INT($A169/10000),""),IFERROR(VALUE(TRIM(LEFT($A169,FIND("/",$A169)-1))),"")))</f>
        <v/>
      </c>
      <c r="C169">
        <f>IF(OR($A169="",$B169=""),"",IF(ISNUMBER($A169),INT(MOD($A169,10000)/100),IFERROR(VALUE(TRIM(LEFT(MID($A169,FIND("/",$A169)+1,20),FIND("/",MID($A169,FIND("/",$A169)+1,20))-1))),"")))</f>
        <v/>
      </c>
      <c r="D169">
        <f>IF(OR($A169="",$B169=""),"",IF(ISNUMBER($A169),MOD($A169,100),IFERROR(VALUE(TRIM(MID(MID($A169,FIND("/",$A169)+1,20),FIND("/",MID($A169,FIND("/",$A169)+1,20))+1,20))),"")))</f>
        <v/>
      </c>
      <c r="E169">
        <f>IF($A169="","",IF(OR($B169="",$C169="",$D169="",$B169&lt;1300,$B169&gt;1500,$C169&lt;1,$C169&gt;12,$D169&lt;1,$D169&gt;31),"نامعتبر",RIGHT("0000"&amp;$B169,4)&amp;"/"&amp;RIGHT("00"&amp;$C169,2)&amp;"/"&amp;RIGHT("00"&amp;$D169,2)))</f>
        <v/>
      </c>
      <c r="F169">
        <f>IF(OR($E169="",$E169="نامعتبر"),"",LEFT($E169,4)&amp;"/"&amp;MID($E169,6,2))</f>
        <v/>
      </c>
      <c r="G169">
        <f>IF(OR($E169="",$E169="نامعتبر",Sync!$Y166=""),"",Sync!$Y166)</f>
        <v/>
      </c>
      <c r="H169">
        <f>IF($G169="","",IF(Sync!$X166="","",Sync!$X166))</f>
        <v/>
      </c>
      <c r="I169">
        <f>IF($G169="","",IFERROR(VLOOKUP(Sync!$X166,OpTbl,3,0),""))</f>
        <v/>
      </c>
      <c r="J169">
        <f>IF(OR($G169="",Sync!$Z166=""),"",Sync!$Z166)</f>
        <v/>
      </c>
      <c r="K169">
        <f>IF(OR($G169="",Sync!$AA166=""),"",Sync!$AA166)</f>
        <v/>
      </c>
      <c r="L169">
        <f>IF($G169="",0,IF(Sync!$AB166="",0,Sync!$AB166))</f>
        <v/>
      </c>
      <c r="M169">
        <f>IF($G169="",0,IF(Sync!$AC166="",0,Sync!$AC166))</f>
        <v/>
      </c>
      <c r="N169">
        <f>IF($G169="","",IF($H169="مرجوعی خرید",-1,1)*($L169-$M169*IFERROR(VLOOKUP("P01",ParamTbl,3,0),1.5))*(1-IF($I169="خرید",IFERROR(VLOOKUP("P02",ParamTbl,3,0),1),0)/100))</f>
        <v/>
      </c>
      <c r="O169">
        <f>IF($G169="",0,IF($H169="مرجوعی خرید",-1,1)*IF(Sync!$AD166="",0,Sync!$AD166))</f>
        <v/>
      </c>
      <c r="P169">
        <f>IF(OR($G169="",Sync!$W166=""),"",Sync!$W166)</f>
        <v/>
      </c>
      <c r="Q169">
        <f>IF(OR($G169="",Sync!$AE166=""),"",Sync!$AE166)</f>
        <v/>
      </c>
      <c r="R169">
        <f>IF($G169="","",IF(Sync!$V166="","0000",IF(AND(ISNUMBER(Sync!$V166),Sync!$V166&gt;=0,Sync!$V166&lt;1),RIGHT("00"&amp;HOUR(Sync!$V166),2)&amp;RIGHT("00"&amp;MINUTE(Sync!$V166),2),IFERROR(RIGHT("00"&amp;VALUE(LEFT(Sync!$V166,FIND(":",Sync!$V166)-1)),2)&amp;RIGHT("00"&amp;VALUE(MID(Sync!$V166,FIND(":",Sync!$V166)+1,2)),2),"0000"))))</f>
        <v/>
      </c>
    </row>
    <row r="170">
      <c r="A170">
        <f>IF(Sync!$U167="","",Sync!$U167)</f>
        <v/>
      </c>
      <c r="B170">
        <f>IF($A170="","",IF(ISNUMBER($A170),IF(AND($A170&gt;=10000101,$A170&lt;=99991231),INT($A170/10000),""),IFERROR(VALUE(TRIM(LEFT($A170,FIND("/",$A170)-1))),"")))</f>
        <v/>
      </c>
      <c r="C170">
        <f>IF(OR($A170="",$B170=""),"",IF(ISNUMBER($A170),INT(MOD($A170,10000)/100),IFERROR(VALUE(TRIM(LEFT(MID($A170,FIND("/",$A170)+1,20),FIND("/",MID($A170,FIND("/",$A170)+1,20))-1))),"")))</f>
        <v/>
      </c>
      <c r="D170">
        <f>IF(OR($A170="",$B170=""),"",IF(ISNUMBER($A170),MOD($A170,100),IFERROR(VALUE(TRIM(MID(MID($A170,FIND("/",$A170)+1,20),FIND("/",MID($A170,FIND("/",$A170)+1,20))+1,20))),"")))</f>
        <v/>
      </c>
      <c r="E170">
        <f>IF($A170="","",IF(OR($B170="",$C170="",$D170="",$B170&lt;1300,$B170&gt;1500,$C170&lt;1,$C170&gt;12,$D170&lt;1,$D170&gt;31),"نامعتبر",RIGHT("0000"&amp;$B170,4)&amp;"/"&amp;RIGHT("00"&amp;$C170,2)&amp;"/"&amp;RIGHT("00"&amp;$D170,2)))</f>
        <v/>
      </c>
      <c r="F170">
        <f>IF(OR($E170="",$E170="نامعتبر"),"",LEFT($E170,4)&amp;"/"&amp;MID($E170,6,2))</f>
        <v/>
      </c>
      <c r="G170">
        <f>IF(OR($E170="",$E170="نامعتبر",Sync!$Y167=""),"",Sync!$Y167)</f>
        <v/>
      </c>
      <c r="H170">
        <f>IF($G170="","",IF(Sync!$X167="","",Sync!$X167))</f>
        <v/>
      </c>
      <c r="I170">
        <f>IF($G170="","",IFERROR(VLOOKUP(Sync!$X167,OpTbl,3,0),""))</f>
        <v/>
      </c>
      <c r="J170">
        <f>IF(OR($G170="",Sync!$Z167=""),"",Sync!$Z167)</f>
        <v/>
      </c>
      <c r="K170">
        <f>IF(OR($G170="",Sync!$AA167=""),"",Sync!$AA167)</f>
        <v/>
      </c>
      <c r="L170">
        <f>IF($G170="",0,IF(Sync!$AB167="",0,Sync!$AB167))</f>
        <v/>
      </c>
      <c r="M170">
        <f>IF($G170="",0,IF(Sync!$AC167="",0,Sync!$AC167))</f>
        <v/>
      </c>
      <c r="N170">
        <f>IF($G170="","",IF($H170="مرجوعی خرید",-1,1)*($L170-$M170*IFERROR(VLOOKUP("P01",ParamTbl,3,0),1.5))*(1-IF($I170="خرید",IFERROR(VLOOKUP("P02",ParamTbl,3,0),1),0)/100))</f>
        <v/>
      </c>
      <c r="O170">
        <f>IF($G170="",0,IF($H170="مرجوعی خرید",-1,1)*IF(Sync!$AD167="",0,Sync!$AD167))</f>
        <v/>
      </c>
      <c r="P170">
        <f>IF(OR($G170="",Sync!$W167=""),"",Sync!$W167)</f>
        <v/>
      </c>
      <c r="Q170">
        <f>IF(OR($G170="",Sync!$AE167=""),"",Sync!$AE167)</f>
        <v/>
      </c>
      <c r="R170">
        <f>IF($G170="","",IF(Sync!$V167="","0000",IF(AND(ISNUMBER(Sync!$V167),Sync!$V167&gt;=0,Sync!$V167&lt;1),RIGHT("00"&amp;HOUR(Sync!$V167),2)&amp;RIGHT("00"&amp;MINUTE(Sync!$V167),2),IFERROR(RIGHT("00"&amp;VALUE(LEFT(Sync!$V167,FIND(":",Sync!$V167)-1)),2)&amp;RIGHT("00"&amp;VALUE(MID(Sync!$V167,FIND(":",Sync!$V167)+1,2)),2),"0000"))))</f>
        <v/>
      </c>
    </row>
    <row r="171">
      <c r="A171">
        <f>IF(Sync!$U168="","",Sync!$U168)</f>
        <v/>
      </c>
      <c r="B171">
        <f>IF($A171="","",IF(ISNUMBER($A171),IF(AND($A171&gt;=10000101,$A171&lt;=99991231),INT($A171/10000),""),IFERROR(VALUE(TRIM(LEFT($A171,FIND("/",$A171)-1))),"")))</f>
        <v/>
      </c>
      <c r="C171">
        <f>IF(OR($A171="",$B171=""),"",IF(ISNUMBER($A171),INT(MOD($A171,10000)/100),IFERROR(VALUE(TRIM(LEFT(MID($A171,FIND("/",$A171)+1,20),FIND("/",MID($A171,FIND("/",$A171)+1,20))-1))),"")))</f>
        <v/>
      </c>
      <c r="D171">
        <f>IF(OR($A171="",$B171=""),"",IF(ISNUMBER($A171),MOD($A171,100),IFERROR(VALUE(TRIM(MID(MID($A171,FIND("/",$A171)+1,20),FIND("/",MID($A171,FIND("/",$A171)+1,20))+1,20))),"")))</f>
        <v/>
      </c>
      <c r="E171">
        <f>IF($A171="","",IF(OR($B171="",$C171="",$D171="",$B171&lt;1300,$B171&gt;1500,$C171&lt;1,$C171&gt;12,$D171&lt;1,$D171&gt;31),"نامعتبر",RIGHT("0000"&amp;$B171,4)&amp;"/"&amp;RIGHT("00"&amp;$C171,2)&amp;"/"&amp;RIGHT("00"&amp;$D171,2)))</f>
        <v/>
      </c>
      <c r="F171">
        <f>IF(OR($E171="",$E171="نامعتبر"),"",LEFT($E171,4)&amp;"/"&amp;MID($E171,6,2))</f>
        <v/>
      </c>
      <c r="G171">
        <f>IF(OR($E171="",$E171="نامعتبر",Sync!$Y168=""),"",Sync!$Y168)</f>
        <v/>
      </c>
      <c r="H171">
        <f>IF($G171="","",IF(Sync!$X168="","",Sync!$X168))</f>
        <v/>
      </c>
      <c r="I171">
        <f>IF($G171="","",IFERROR(VLOOKUP(Sync!$X168,OpTbl,3,0),""))</f>
        <v/>
      </c>
      <c r="J171">
        <f>IF(OR($G171="",Sync!$Z168=""),"",Sync!$Z168)</f>
        <v/>
      </c>
      <c r="K171">
        <f>IF(OR($G171="",Sync!$AA168=""),"",Sync!$AA168)</f>
        <v/>
      </c>
      <c r="L171">
        <f>IF($G171="",0,IF(Sync!$AB168="",0,Sync!$AB168))</f>
        <v/>
      </c>
      <c r="M171">
        <f>IF($G171="",0,IF(Sync!$AC168="",0,Sync!$AC168))</f>
        <v/>
      </c>
      <c r="N171">
        <f>IF($G171="","",IF($H171="مرجوعی خرید",-1,1)*($L171-$M171*IFERROR(VLOOKUP("P01",ParamTbl,3,0),1.5))*(1-IF($I171="خرید",IFERROR(VLOOKUP("P02",ParamTbl,3,0),1),0)/100))</f>
        <v/>
      </c>
      <c r="O171">
        <f>IF($G171="",0,IF($H171="مرجوعی خرید",-1,1)*IF(Sync!$AD168="",0,Sync!$AD168))</f>
        <v/>
      </c>
      <c r="P171">
        <f>IF(OR($G171="",Sync!$W168=""),"",Sync!$W168)</f>
        <v/>
      </c>
      <c r="Q171">
        <f>IF(OR($G171="",Sync!$AE168=""),"",Sync!$AE168)</f>
        <v/>
      </c>
      <c r="R171">
        <f>IF($G171="","",IF(Sync!$V168="","0000",IF(AND(ISNUMBER(Sync!$V168),Sync!$V168&gt;=0,Sync!$V168&lt;1),RIGHT("00"&amp;HOUR(Sync!$V168),2)&amp;RIGHT("00"&amp;MINUTE(Sync!$V168),2),IFERROR(RIGHT("00"&amp;VALUE(LEFT(Sync!$V168,FIND(":",Sync!$V168)-1)),2)&amp;RIGHT("00"&amp;VALUE(MID(Sync!$V168,FIND(":",Sync!$V168)+1,2)),2),"0000"))))</f>
        <v/>
      </c>
    </row>
    <row r="172">
      <c r="A172">
        <f>IF(Sync!$U169="","",Sync!$U169)</f>
        <v/>
      </c>
      <c r="B172">
        <f>IF($A172="","",IF(ISNUMBER($A172),IF(AND($A172&gt;=10000101,$A172&lt;=99991231),INT($A172/10000),""),IFERROR(VALUE(TRIM(LEFT($A172,FIND("/",$A172)-1))),"")))</f>
        <v/>
      </c>
      <c r="C172">
        <f>IF(OR($A172="",$B172=""),"",IF(ISNUMBER($A172),INT(MOD($A172,10000)/100),IFERROR(VALUE(TRIM(LEFT(MID($A172,FIND("/",$A172)+1,20),FIND("/",MID($A172,FIND("/",$A172)+1,20))-1))),"")))</f>
        <v/>
      </c>
      <c r="D172">
        <f>IF(OR($A172="",$B172=""),"",IF(ISNUMBER($A172),MOD($A172,100),IFERROR(VALUE(TRIM(MID(MID($A172,FIND("/",$A172)+1,20),FIND("/",MID($A172,FIND("/",$A172)+1,20))+1,20))),"")))</f>
        <v/>
      </c>
      <c r="E172">
        <f>IF($A172="","",IF(OR($B172="",$C172="",$D172="",$B172&lt;1300,$B172&gt;1500,$C172&lt;1,$C172&gt;12,$D172&lt;1,$D172&gt;31),"نامعتبر",RIGHT("0000"&amp;$B172,4)&amp;"/"&amp;RIGHT("00"&amp;$C172,2)&amp;"/"&amp;RIGHT("00"&amp;$D172,2)))</f>
        <v/>
      </c>
      <c r="F172">
        <f>IF(OR($E172="",$E172="نامعتبر"),"",LEFT($E172,4)&amp;"/"&amp;MID($E172,6,2))</f>
        <v/>
      </c>
      <c r="G172">
        <f>IF(OR($E172="",$E172="نامعتبر",Sync!$Y169=""),"",Sync!$Y169)</f>
        <v/>
      </c>
      <c r="H172">
        <f>IF($G172="","",IF(Sync!$X169="","",Sync!$X169))</f>
        <v/>
      </c>
      <c r="I172">
        <f>IF($G172="","",IFERROR(VLOOKUP(Sync!$X169,OpTbl,3,0),""))</f>
        <v/>
      </c>
      <c r="J172">
        <f>IF(OR($G172="",Sync!$Z169=""),"",Sync!$Z169)</f>
        <v/>
      </c>
      <c r="K172">
        <f>IF(OR($G172="",Sync!$AA169=""),"",Sync!$AA169)</f>
        <v/>
      </c>
      <c r="L172">
        <f>IF($G172="",0,IF(Sync!$AB169="",0,Sync!$AB169))</f>
        <v/>
      </c>
      <c r="M172">
        <f>IF($G172="",0,IF(Sync!$AC169="",0,Sync!$AC169))</f>
        <v/>
      </c>
      <c r="N172">
        <f>IF($G172="","",IF($H172="مرجوعی خرید",-1,1)*($L172-$M172*IFERROR(VLOOKUP("P01",ParamTbl,3,0),1.5))*(1-IF($I172="خرید",IFERROR(VLOOKUP("P02",ParamTbl,3,0),1),0)/100))</f>
        <v/>
      </c>
      <c r="O172">
        <f>IF($G172="",0,IF($H172="مرجوعی خرید",-1,1)*IF(Sync!$AD169="",0,Sync!$AD169))</f>
        <v/>
      </c>
      <c r="P172">
        <f>IF(OR($G172="",Sync!$W169=""),"",Sync!$W169)</f>
        <v/>
      </c>
      <c r="Q172">
        <f>IF(OR($G172="",Sync!$AE169=""),"",Sync!$AE169)</f>
        <v/>
      </c>
      <c r="R172">
        <f>IF($G172="","",IF(Sync!$V169="","0000",IF(AND(ISNUMBER(Sync!$V169),Sync!$V169&gt;=0,Sync!$V169&lt;1),RIGHT("00"&amp;HOUR(Sync!$V169),2)&amp;RIGHT("00"&amp;MINUTE(Sync!$V169),2),IFERROR(RIGHT("00"&amp;VALUE(LEFT(Sync!$V169,FIND(":",Sync!$V169)-1)),2)&amp;RIGHT("00"&amp;VALUE(MID(Sync!$V169,FIND(":",Sync!$V169)+1,2)),2),"0000"))))</f>
        <v/>
      </c>
    </row>
    <row r="173">
      <c r="A173">
        <f>IF(Sync!$U170="","",Sync!$U170)</f>
        <v/>
      </c>
      <c r="B173">
        <f>IF($A173="","",IF(ISNUMBER($A173),IF(AND($A173&gt;=10000101,$A173&lt;=99991231),INT($A173/10000),""),IFERROR(VALUE(TRIM(LEFT($A173,FIND("/",$A173)-1))),"")))</f>
        <v/>
      </c>
      <c r="C173">
        <f>IF(OR($A173="",$B173=""),"",IF(ISNUMBER($A173),INT(MOD($A173,10000)/100),IFERROR(VALUE(TRIM(LEFT(MID($A173,FIND("/",$A173)+1,20),FIND("/",MID($A173,FIND("/",$A173)+1,20))-1))),"")))</f>
        <v/>
      </c>
      <c r="D173">
        <f>IF(OR($A173="",$B173=""),"",IF(ISNUMBER($A173),MOD($A173,100),IFERROR(VALUE(TRIM(MID(MID($A173,FIND("/",$A173)+1,20),FIND("/",MID($A173,FIND("/",$A173)+1,20))+1,20))),"")))</f>
        <v/>
      </c>
      <c r="E173">
        <f>IF($A173="","",IF(OR($B173="",$C173="",$D173="",$B173&lt;1300,$B173&gt;1500,$C173&lt;1,$C173&gt;12,$D173&lt;1,$D173&gt;31),"نامعتبر",RIGHT("0000"&amp;$B173,4)&amp;"/"&amp;RIGHT("00"&amp;$C173,2)&amp;"/"&amp;RIGHT("00"&amp;$D173,2)))</f>
        <v/>
      </c>
      <c r="F173">
        <f>IF(OR($E173="",$E173="نامعتبر"),"",LEFT($E173,4)&amp;"/"&amp;MID($E173,6,2))</f>
        <v/>
      </c>
      <c r="G173">
        <f>IF(OR($E173="",$E173="نامعتبر",Sync!$Y170=""),"",Sync!$Y170)</f>
        <v/>
      </c>
      <c r="H173">
        <f>IF($G173="","",IF(Sync!$X170="","",Sync!$X170))</f>
        <v/>
      </c>
      <c r="I173">
        <f>IF($G173="","",IFERROR(VLOOKUP(Sync!$X170,OpTbl,3,0),""))</f>
        <v/>
      </c>
      <c r="J173">
        <f>IF(OR($G173="",Sync!$Z170=""),"",Sync!$Z170)</f>
        <v/>
      </c>
      <c r="K173">
        <f>IF(OR($G173="",Sync!$AA170=""),"",Sync!$AA170)</f>
        <v/>
      </c>
      <c r="L173">
        <f>IF($G173="",0,IF(Sync!$AB170="",0,Sync!$AB170))</f>
        <v/>
      </c>
      <c r="M173">
        <f>IF($G173="",0,IF(Sync!$AC170="",0,Sync!$AC170))</f>
        <v/>
      </c>
      <c r="N173">
        <f>IF($G173="","",IF($H173="مرجوعی خرید",-1,1)*($L173-$M173*IFERROR(VLOOKUP("P01",ParamTbl,3,0),1.5))*(1-IF($I173="خرید",IFERROR(VLOOKUP("P02",ParamTbl,3,0),1),0)/100))</f>
        <v/>
      </c>
      <c r="O173">
        <f>IF($G173="",0,IF($H173="مرجوعی خرید",-1,1)*IF(Sync!$AD170="",0,Sync!$AD170))</f>
        <v/>
      </c>
      <c r="P173">
        <f>IF(OR($G173="",Sync!$W170=""),"",Sync!$W170)</f>
        <v/>
      </c>
      <c r="Q173">
        <f>IF(OR($G173="",Sync!$AE170=""),"",Sync!$AE170)</f>
        <v/>
      </c>
      <c r="R173">
        <f>IF($G173="","",IF(Sync!$V170="","0000",IF(AND(ISNUMBER(Sync!$V170),Sync!$V170&gt;=0,Sync!$V170&lt;1),RIGHT("00"&amp;HOUR(Sync!$V170),2)&amp;RIGHT("00"&amp;MINUTE(Sync!$V170),2),IFERROR(RIGHT("00"&amp;VALUE(LEFT(Sync!$V170,FIND(":",Sync!$V170)-1)),2)&amp;RIGHT("00"&amp;VALUE(MID(Sync!$V170,FIND(":",Sync!$V170)+1,2)),2),"0000"))))</f>
        <v/>
      </c>
    </row>
    <row r="174">
      <c r="A174">
        <f>IF(Sync!$U171="","",Sync!$U171)</f>
        <v/>
      </c>
      <c r="B174">
        <f>IF($A174="","",IF(ISNUMBER($A174),IF(AND($A174&gt;=10000101,$A174&lt;=99991231),INT($A174/10000),""),IFERROR(VALUE(TRIM(LEFT($A174,FIND("/",$A174)-1))),"")))</f>
        <v/>
      </c>
      <c r="C174">
        <f>IF(OR($A174="",$B174=""),"",IF(ISNUMBER($A174),INT(MOD($A174,10000)/100),IFERROR(VALUE(TRIM(LEFT(MID($A174,FIND("/",$A174)+1,20),FIND("/",MID($A174,FIND("/",$A174)+1,20))-1))),"")))</f>
        <v/>
      </c>
      <c r="D174">
        <f>IF(OR($A174="",$B174=""),"",IF(ISNUMBER($A174),MOD($A174,100),IFERROR(VALUE(TRIM(MID(MID($A174,FIND("/",$A174)+1,20),FIND("/",MID($A174,FIND("/",$A174)+1,20))+1,20))),"")))</f>
        <v/>
      </c>
      <c r="E174">
        <f>IF($A174="","",IF(OR($B174="",$C174="",$D174="",$B174&lt;1300,$B174&gt;1500,$C174&lt;1,$C174&gt;12,$D174&lt;1,$D174&gt;31),"نامعتبر",RIGHT("0000"&amp;$B174,4)&amp;"/"&amp;RIGHT("00"&amp;$C174,2)&amp;"/"&amp;RIGHT("00"&amp;$D174,2)))</f>
        <v/>
      </c>
      <c r="F174">
        <f>IF(OR($E174="",$E174="نامعتبر"),"",LEFT($E174,4)&amp;"/"&amp;MID($E174,6,2))</f>
        <v/>
      </c>
      <c r="G174">
        <f>IF(OR($E174="",$E174="نامعتبر",Sync!$Y171=""),"",Sync!$Y171)</f>
        <v/>
      </c>
      <c r="H174">
        <f>IF($G174="","",IF(Sync!$X171="","",Sync!$X171))</f>
        <v/>
      </c>
      <c r="I174">
        <f>IF($G174="","",IFERROR(VLOOKUP(Sync!$X171,OpTbl,3,0),""))</f>
        <v/>
      </c>
      <c r="J174">
        <f>IF(OR($G174="",Sync!$Z171=""),"",Sync!$Z171)</f>
        <v/>
      </c>
      <c r="K174">
        <f>IF(OR($G174="",Sync!$AA171=""),"",Sync!$AA171)</f>
        <v/>
      </c>
      <c r="L174">
        <f>IF($G174="",0,IF(Sync!$AB171="",0,Sync!$AB171))</f>
        <v/>
      </c>
      <c r="M174">
        <f>IF($G174="",0,IF(Sync!$AC171="",0,Sync!$AC171))</f>
        <v/>
      </c>
      <c r="N174">
        <f>IF($G174="","",IF($H174="مرجوعی خرید",-1,1)*($L174-$M174*IFERROR(VLOOKUP("P01",ParamTbl,3,0),1.5))*(1-IF($I174="خرید",IFERROR(VLOOKUP("P02",ParamTbl,3,0),1),0)/100))</f>
        <v/>
      </c>
      <c r="O174">
        <f>IF($G174="",0,IF($H174="مرجوعی خرید",-1,1)*IF(Sync!$AD171="",0,Sync!$AD171))</f>
        <v/>
      </c>
      <c r="P174">
        <f>IF(OR($G174="",Sync!$W171=""),"",Sync!$W171)</f>
        <v/>
      </c>
      <c r="Q174">
        <f>IF(OR($G174="",Sync!$AE171=""),"",Sync!$AE171)</f>
        <v/>
      </c>
      <c r="R174">
        <f>IF($G174="","",IF(Sync!$V171="","0000",IF(AND(ISNUMBER(Sync!$V171),Sync!$V171&gt;=0,Sync!$V171&lt;1),RIGHT("00"&amp;HOUR(Sync!$V171),2)&amp;RIGHT("00"&amp;MINUTE(Sync!$V171),2),IFERROR(RIGHT("00"&amp;VALUE(LEFT(Sync!$V171,FIND(":",Sync!$V171)-1)),2)&amp;RIGHT("00"&amp;VALUE(MID(Sync!$V171,FIND(":",Sync!$V171)+1,2)),2),"0000"))))</f>
        <v/>
      </c>
    </row>
    <row r="175">
      <c r="A175">
        <f>IF(Sync!$U172="","",Sync!$U172)</f>
        <v/>
      </c>
      <c r="B175">
        <f>IF($A175="","",IF(ISNUMBER($A175),IF(AND($A175&gt;=10000101,$A175&lt;=99991231),INT($A175/10000),""),IFERROR(VALUE(TRIM(LEFT($A175,FIND("/",$A175)-1))),"")))</f>
        <v/>
      </c>
      <c r="C175">
        <f>IF(OR($A175="",$B175=""),"",IF(ISNUMBER($A175),INT(MOD($A175,10000)/100),IFERROR(VALUE(TRIM(LEFT(MID($A175,FIND("/",$A175)+1,20),FIND("/",MID($A175,FIND("/",$A175)+1,20))-1))),"")))</f>
        <v/>
      </c>
      <c r="D175">
        <f>IF(OR($A175="",$B175=""),"",IF(ISNUMBER($A175),MOD($A175,100),IFERROR(VALUE(TRIM(MID(MID($A175,FIND("/",$A175)+1,20),FIND("/",MID($A175,FIND("/",$A175)+1,20))+1,20))),"")))</f>
        <v/>
      </c>
      <c r="E175">
        <f>IF($A175="","",IF(OR($B175="",$C175="",$D175="",$B175&lt;1300,$B175&gt;1500,$C175&lt;1,$C175&gt;12,$D175&lt;1,$D175&gt;31),"نامعتبر",RIGHT("0000"&amp;$B175,4)&amp;"/"&amp;RIGHT("00"&amp;$C175,2)&amp;"/"&amp;RIGHT("00"&amp;$D175,2)))</f>
        <v/>
      </c>
      <c r="F175">
        <f>IF(OR($E175="",$E175="نامعتبر"),"",LEFT($E175,4)&amp;"/"&amp;MID($E175,6,2))</f>
        <v/>
      </c>
      <c r="G175">
        <f>IF(OR($E175="",$E175="نامعتبر",Sync!$Y172=""),"",Sync!$Y172)</f>
        <v/>
      </c>
      <c r="H175">
        <f>IF($G175="","",IF(Sync!$X172="","",Sync!$X172))</f>
        <v/>
      </c>
      <c r="I175">
        <f>IF($G175="","",IFERROR(VLOOKUP(Sync!$X172,OpTbl,3,0),""))</f>
        <v/>
      </c>
      <c r="J175">
        <f>IF(OR($G175="",Sync!$Z172=""),"",Sync!$Z172)</f>
        <v/>
      </c>
      <c r="K175">
        <f>IF(OR($G175="",Sync!$AA172=""),"",Sync!$AA172)</f>
        <v/>
      </c>
      <c r="L175">
        <f>IF($G175="",0,IF(Sync!$AB172="",0,Sync!$AB172))</f>
        <v/>
      </c>
      <c r="M175">
        <f>IF($G175="",0,IF(Sync!$AC172="",0,Sync!$AC172))</f>
        <v/>
      </c>
      <c r="N175">
        <f>IF($G175="","",IF($H175="مرجوعی خرید",-1,1)*($L175-$M175*IFERROR(VLOOKUP("P01",ParamTbl,3,0),1.5))*(1-IF($I175="خرید",IFERROR(VLOOKUP("P02",ParamTbl,3,0),1),0)/100))</f>
        <v/>
      </c>
      <c r="O175">
        <f>IF($G175="",0,IF($H175="مرجوعی خرید",-1,1)*IF(Sync!$AD172="",0,Sync!$AD172))</f>
        <v/>
      </c>
      <c r="P175">
        <f>IF(OR($G175="",Sync!$W172=""),"",Sync!$W172)</f>
        <v/>
      </c>
      <c r="Q175">
        <f>IF(OR($G175="",Sync!$AE172=""),"",Sync!$AE172)</f>
        <v/>
      </c>
      <c r="R175">
        <f>IF($G175="","",IF(Sync!$V172="","0000",IF(AND(ISNUMBER(Sync!$V172),Sync!$V172&gt;=0,Sync!$V172&lt;1),RIGHT("00"&amp;HOUR(Sync!$V172),2)&amp;RIGHT("00"&amp;MINUTE(Sync!$V172),2),IFERROR(RIGHT("00"&amp;VALUE(LEFT(Sync!$V172,FIND(":",Sync!$V172)-1)),2)&amp;RIGHT("00"&amp;VALUE(MID(Sync!$V172,FIND(":",Sync!$V172)+1,2)),2),"0000"))))</f>
        <v/>
      </c>
    </row>
    <row r="176">
      <c r="A176">
        <f>IF(Sync!$U173="","",Sync!$U173)</f>
        <v/>
      </c>
      <c r="B176">
        <f>IF($A176="","",IF(ISNUMBER($A176),IF(AND($A176&gt;=10000101,$A176&lt;=99991231),INT($A176/10000),""),IFERROR(VALUE(TRIM(LEFT($A176,FIND("/",$A176)-1))),"")))</f>
        <v/>
      </c>
      <c r="C176">
        <f>IF(OR($A176="",$B176=""),"",IF(ISNUMBER($A176),INT(MOD($A176,10000)/100),IFERROR(VALUE(TRIM(LEFT(MID($A176,FIND("/",$A176)+1,20),FIND("/",MID($A176,FIND("/",$A176)+1,20))-1))),"")))</f>
        <v/>
      </c>
      <c r="D176">
        <f>IF(OR($A176="",$B176=""),"",IF(ISNUMBER($A176),MOD($A176,100),IFERROR(VALUE(TRIM(MID(MID($A176,FIND("/",$A176)+1,20),FIND("/",MID($A176,FIND("/",$A176)+1,20))+1,20))),"")))</f>
        <v/>
      </c>
      <c r="E176">
        <f>IF($A176="","",IF(OR($B176="",$C176="",$D176="",$B176&lt;1300,$B176&gt;1500,$C176&lt;1,$C176&gt;12,$D176&lt;1,$D176&gt;31),"نامعتبر",RIGHT("0000"&amp;$B176,4)&amp;"/"&amp;RIGHT("00"&amp;$C176,2)&amp;"/"&amp;RIGHT("00"&amp;$D176,2)))</f>
        <v/>
      </c>
      <c r="F176">
        <f>IF(OR($E176="",$E176="نامعتبر"),"",LEFT($E176,4)&amp;"/"&amp;MID($E176,6,2))</f>
        <v/>
      </c>
      <c r="G176">
        <f>IF(OR($E176="",$E176="نامعتبر",Sync!$Y173=""),"",Sync!$Y173)</f>
        <v/>
      </c>
      <c r="H176">
        <f>IF($G176="","",IF(Sync!$X173="","",Sync!$X173))</f>
        <v/>
      </c>
      <c r="I176">
        <f>IF($G176="","",IFERROR(VLOOKUP(Sync!$X173,OpTbl,3,0),""))</f>
        <v/>
      </c>
      <c r="J176">
        <f>IF(OR($G176="",Sync!$Z173=""),"",Sync!$Z173)</f>
        <v/>
      </c>
      <c r="K176">
        <f>IF(OR($G176="",Sync!$AA173=""),"",Sync!$AA173)</f>
        <v/>
      </c>
      <c r="L176">
        <f>IF($G176="",0,IF(Sync!$AB173="",0,Sync!$AB173))</f>
        <v/>
      </c>
      <c r="M176">
        <f>IF($G176="",0,IF(Sync!$AC173="",0,Sync!$AC173))</f>
        <v/>
      </c>
      <c r="N176">
        <f>IF($G176="","",IF($H176="مرجوعی خرید",-1,1)*($L176-$M176*IFERROR(VLOOKUP("P01",ParamTbl,3,0),1.5))*(1-IF($I176="خرید",IFERROR(VLOOKUP("P02",ParamTbl,3,0),1),0)/100))</f>
        <v/>
      </c>
      <c r="O176">
        <f>IF($G176="",0,IF($H176="مرجوعی خرید",-1,1)*IF(Sync!$AD173="",0,Sync!$AD173))</f>
        <v/>
      </c>
      <c r="P176">
        <f>IF(OR($G176="",Sync!$W173=""),"",Sync!$W173)</f>
        <v/>
      </c>
      <c r="Q176">
        <f>IF(OR($G176="",Sync!$AE173=""),"",Sync!$AE173)</f>
        <v/>
      </c>
      <c r="R176">
        <f>IF($G176="","",IF(Sync!$V173="","0000",IF(AND(ISNUMBER(Sync!$V173),Sync!$V173&gt;=0,Sync!$V173&lt;1),RIGHT("00"&amp;HOUR(Sync!$V173),2)&amp;RIGHT("00"&amp;MINUTE(Sync!$V173),2),IFERROR(RIGHT("00"&amp;VALUE(LEFT(Sync!$V173,FIND(":",Sync!$V173)-1)),2)&amp;RIGHT("00"&amp;VALUE(MID(Sync!$V173,FIND(":",Sync!$V173)+1,2)),2),"0000"))))</f>
        <v/>
      </c>
    </row>
    <row r="177">
      <c r="A177">
        <f>IF(Sync!$U174="","",Sync!$U174)</f>
        <v/>
      </c>
      <c r="B177">
        <f>IF($A177="","",IF(ISNUMBER($A177),IF(AND($A177&gt;=10000101,$A177&lt;=99991231),INT($A177/10000),""),IFERROR(VALUE(TRIM(LEFT($A177,FIND("/",$A177)-1))),"")))</f>
        <v/>
      </c>
      <c r="C177">
        <f>IF(OR($A177="",$B177=""),"",IF(ISNUMBER($A177),INT(MOD($A177,10000)/100),IFERROR(VALUE(TRIM(LEFT(MID($A177,FIND("/",$A177)+1,20),FIND("/",MID($A177,FIND("/",$A177)+1,20))-1))),"")))</f>
        <v/>
      </c>
      <c r="D177">
        <f>IF(OR($A177="",$B177=""),"",IF(ISNUMBER($A177),MOD($A177,100),IFERROR(VALUE(TRIM(MID(MID($A177,FIND("/",$A177)+1,20),FIND("/",MID($A177,FIND("/",$A177)+1,20))+1,20))),"")))</f>
        <v/>
      </c>
      <c r="E177">
        <f>IF($A177="","",IF(OR($B177="",$C177="",$D177="",$B177&lt;1300,$B177&gt;1500,$C177&lt;1,$C177&gt;12,$D177&lt;1,$D177&gt;31),"نامعتبر",RIGHT("0000"&amp;$B177,4)&amp;"/"&amp;RIGHT("00"&amp;$C177,2)&amp;"/"&amp;RIGHT("00"&amp;$D177,2)))</f>
        <v/>
      </c>
      <c r="F177">
        <f>IF(OR($E177="",$E177="نامعتبر"),"",LEFT($E177,4)&amp;"/"&amp;MID($E177,6,2))</f>
        <v/>
      </c>
      <c r="G177">
        <f>IF(OR($E177="",$E177="نامعتبر",Sync!$Y174=""),"",Sync!$Y174)</f>
        <v/>
      </c>
      <c r="H177">
        <f>IF($G177="","",IF(Sync!$X174="","",Sync!$X174))</f>
        <v/>
      </c>
      <c r="I177">
        <f>IF($G177="","",IFERROR(VLOOKUP(Sync!$X174,OpTbl,3,0),""))</f>
        <v/>
      </c>
      <c r="J177">
        <f>IF(OR($G177="",Sync!$Z174=""),"",Sync!$Z174)</f>
        <v/>
      </c>
      <c r="K177">
        <f>IF(OR($G177="",Sync!$AA174=""),"",Sync!$AA174)</f>
        <v/>
      </c>
      <c r="L177">
        <f>IF($G177="",0,IF(Sync!$AB174="",0,Sync!$AB174))</f>
        <v/>
      </c>
      <c r="M177">
        <f>IF($G177="",0,IF(Sync!$AC174="",0,Sync!$AC174))</f>
        <v/>
      </c>
      <c r="N177">
        <f>IF($G177="","",IF($H177="مرجوعی خرید",-1,1)*($L177-$M177*IFERROR(VLOOKUP("P01",ParamTbl,3,0),1.5))*(1-IF($I177="خرید",IFERROR(VLOOKUP("P02",ParamTbl,3,0),1),0)/100))</f>
        <v/>
      </c>
      <c r="O177">
        <f>IF($G177="",0,IF($H177="مرجوعی خرید",-1,1)*IF(Sync!$AD174="",0,Sync!$AD174))</f>
        <v/>
      </c>
      <c r="P177">
        <f>IF(OR($G177="",Sync!$W174=""),"",Sync!$W174)</f>
        <v/>
      </c>
      <c r="Q177">
        <f>IF(OR($G177="",Sync!$AE174=""),"",Sync!$AE174)</f>
        <v/>
      </c>
      <c r="R177">
        <f>IF($G177="","",IF(Sync!$V174="","0000",IF(AND(ISNUMBER(Sync!$V174),Sync!$V174&gt;=0,Sync!$V174&lt;1),RIGHT("00"&amp;HOUR(Sync!$V174),2)&amp;RIGHT("00"&amp;MINUTE(Sync!$V174),2),IFERROR(RIGHT("00"&amp;VALUE(LEFT(Sync!$V174,FIND(":",Sync!$V174)-1)),2)&amp;RIGHT("00"&amp;VALUE(MID(Sync!$V174,FIND(":",Sync!$V174)+1,2)),2),"0000"))))</f>
        <v/>
      </c>
    </row>
    <row r="178">
      <c r="A178">
        <f>IF(Sync!$U175="","",Sync!$U175)</f>
        <v/>
      </c>
      <c r="B178">
        <f>IF($A178="","",IF(ISNUMBER($A178),IF(AND($A178&gt;=10000101,$A178&lt;=99991231),INT($A178/10000),""),IFERROR(VALUE(TRIM(LEFT($A178,FIND("/",$A178)-1))),"")))</f>
        <v/>
      </c>
      <c r="C178">
        <f>IF(OR($A178="",$B178=""),"",IF(ISNUMBER($A178),INT(MOD($A178,10000)/100),IFERROR(VALUE(TRIM(LEFT(MID($A178,FIND("/",$A178)+1,20),FIND("/",MID($A178,FIND("/",$A178)+1,20))-1))),"")))</f>
        <v/>
      </c>
      <c r="D178">
        <f>IF(OR($A178="",$B178=""),"",IF(ISNUMBER($A178),MOD($A178,100),IFERROR(VALUE(TRIM(MID(MID($A178,FIND("/",$A178)+1,20),FIND("/",MID($A178,FIND("/",$A178)+1,20))+1,20))),"")))</f>
        <v/>
      </c>
      <c r="E178">
        <f>IF($A178="","",IF(OR($B178="",$C178="",$D178="",$B178&lt;1300,$B178&gt;1500,$C178&lt;1,$C178&gt;12,$D178&lt;1,$D178&gt;31),"نامعتبر",RIGHT("0000"&amp;$B178,4)&amp;"/"&amp;RIGHT("00"&amp;$C178,2)&amp;"/"&amp;RIGHT("00"&amp;$D178,2)))</f>
        <v/>
      </c>
      <c r="F178">
        <f>IF(OR($E178="",$E178="نامعتبر"),"",LEFT($E178,4)&amp;"/"&amp;MID($E178,6,2))</f>
        <v/>
      </c>
      <c r="G178">
        <f>IF(OR($E178="",$E178="نامعتبر",Sync!$Y175=""),"",Sync!$Y175)</f>
        <v/>
      </c>
      <c r="H178">
        <f>IF($G178="","",IF(Sync!$X175="","",Sync!$X175))</f>
        <v/>
      </c>
      <c r="I178">
        <f>IF($G178="","",IFERROR(VLOOKUP(Sync!$X175,OpTbl,3,0),""))</f>
        <v/>
      </c>
      <c r="J178">
        <f>IF(OR($G178="",Sync!$Z175=""),"",Sync!$Z175)</f>
        <v/>
      </c>
      <c r="K178">
        <f>IF(OR($G178="",Sync!$AA175=""),"",Sync!$AA175)</f>
        <v/>
      </c>
      <c r="L178">
        <f>IF($G178="",0,IF(Sync!$AB175="",0,Sync!$AB175))</f>
        <v/>
      </c>
      <c r="M178">
        <f>IF($G178="",0,IF(Sync!$AC175="",0,Sync!$AC175))</f>
        <v/>
      </c>
      <c r="N178">
        <f>IF($G178="","",IF($H178="مرجوعی خرید",-1,1)*($L178-$M178*IFERROR(VLOOKUP("P01",ParamTbl,3,0),1.5))*(1-IF($I178="خرید",IFERROR(VLOOKUP("P02",ParamTbl,3,0),1),0)/100))</f>
        <v/>
      </c>
      <c r="O178">
        <f>IF($G178="",0,IF($H178="مرجوعی خرید",-1,1)*IF(Sync!$AD175="",0,Sync!$AD175))</f>
        <v/>
      </c>
      <c r="P178">
        <f>IF(OR($G178="",Sync!$W175=""),"",Sync!$W175)</f>
        <v/>
      </c>
      <c r="Q178">
        <f>IF(OR($G178="",Sync!$AE175=""),"",Sync!$AE175)</f>
        <v/>
      </c>
      <c r="R178">
        <f>IF($G178="","",IF(Sync!$V175="","0000",IF(AND(ISNUMBER(Sync!$V175),Sync!$V175&gt;=0,Sync!$V175&lt;1),RIGHT("00"&amp;HOUR(Sync!$V175),2)&amp;RIGHT("00"&amp;MINUTE(Sync!$V175),2),IFERROR(RIGHT("00"&amp;VALUE(LEFT(Sync!$V175,FIND(":",Sync!$V175)-1)),2)&amp;RIGHT("00"&amp;VALUE(MID(Sync!$V175,FIND(":",Sync!$V175)+1,2)),2),"0000"))))</f>
        <v/>
      </c>
    </row>
    <row r="179">
      <c r="A179">
        <f>IF(Sync!$U176="","",Sync!$U176)</f>
        <v/>
      </c>
      <c r="B179">
        <f>IF($A179="","",IF(ISNUMBER($A179),IF(AND($A179&gt;=10000101,$A179&lt;=99991231),INT($A179/10000),""),IFERROR(VALUE(TRIM(LEFT($A179,FIND("/",$A179)-1))),"")))</f>
        <v/>
      </c>
      <c r="C179">
        <f>IF(OR($A179="",$B179=""),"",IF(ISNUMBER($A179),INT(MOD($A179,10000)/100),IFERROR(VALUE(TRIM(LEFT(MID($A179,FIND("/",$A179)+1,20),FIND("/",MID($A179,FIND("/",$A179)+1,20))-1))),"")))</f>
        <v/>
      </c>
      <c r="D179">
        <f>IF(OR($A179="",$B179=""),"",IF(ISNUMBER($A179),MOD($A179,100),IFERROR(VALUE(TRIM(MID(MID($A179,FIND("/",$A179)+1,20),FIND("/",MID($A179,FIND("/",$A179)+1,20))+1,20))),"")))</f>
        <v/>
      </c>
      <c r="E179">
        <f>IF($A179="","",IF(OR($B179="",$C179="",$D179="",$B179&lt;1300,$B179&gt;1500,$C179&lt;1,$C179&gt;12,$D179&lt;1,$D179&gt;31),"نامعتبر",RIGHT("0000"&amp;$B179,4)&amp;"/"&amp;RIGHT("00"&amp;$C179,2)&amp;"/"&amp;RIGHT("00"&amp;$D179,2)))</f>
        <v/>
      </c>
      <c r="F179">
        <f>IF(OR($E179="",$E179="نامعتبر"),"",LEFT($E179,4)&amp;"/"&amp;MID($E179,6,2))</f>
        <v/>
      </c>
      <c r="G179">
        <f>IF(OR($E179="",$E179="نامعتبر",Sync!$Y176=""),"",Sync!$Y176)</f>
        <v/>
      </c>
      <c r="H179">
        <f>IF($G179="","",IF(Sync!$X176="","",Sync!$X176))</f>
        <v/>
      </c>
      <c r="I179">
        <f>IF($G179="","",IFERROR(VLOOKUP(Sync!$X176,OpTbl,3,0),""))</f>
        <v/>
      </c>
      <c r="J179">
        <f>IF(OR($G179="",Sync!$Z176=""),"",Sync!$Z176)</f>
        <v/>
      </c>
      <c r="K179">
        <f>IF(OR($G179="",Sync!$AA176=""),"",Sync!$AA176)</f>
        <v/>
      </c>
      <c r="L179">
        <f>IF($G179="",0,IF(Sync!$AB176="",0,Sync!$AB176))</f>
        <v/>
      </c>
      <c r="M179">
        <f>IF($G179="",0,IF(Sync!$AC176="",0,Sync!$AC176))</f>
        <v/>
      </c>
      <c r="N179">
        <f>IF($G179="","",IF($H179="مرجوعی خرید",-1,1)*($L179-$M179*IFERROR(VLOOKUP("P01",ParamTbl,3,0),1.5))*(1-IF($I179="خرید",IFERROR(VLOOKUP("P02",ParamTbl,3,0),1),0)/100))</f>
        <v/>
      </c>
      <c r="O179">
        <f>IF($G179="",0,IF($H179="مرجوعی خرید",-1,1)*IF(Sync!$AD176="",0,Sync!$AD176))</f>
        <v/>
      </c>
      <c r="P179">
        <f>IF(OR($G179="",Sync!$W176=""),"",Sync!$W176)</f>
        <v/>
      </c>
      <c r="Q179">
        <f>IF(OR($G179="",Sync!$AE176=""),"",Sync!$AE176)</f>
        <v/>
      </c>
      <c r="R179">
        <f>IF($G179="","",IF(Sync!$V176="","0000",IF(AND(ISNUMBER(Sync!$V176),Sync!$V176&gt;=0,Sync!$V176&lt;1),RIGHT("00"&amp;HOUR(Sync!$V176),2)&amp;RIGHT("00"&amp;MINUTE(Sync!$V176),2),IFERROR(RIGHT("00"&amp;VALUE(LEFT(Sync!$V176,FIND(":",Sync!$V176)-1)),2)&amp;RIGHT("00"&amp;VALUE(MID(Sync!$V176,FIND(":",Sync!$V176)+1,2)),2),"0000"))))</f>
        <v/>
      </c>
    </row>
    <row r="180">
      <c r="A180">
        <f>IF(Sync!$U177="","",Sync!$U177)</f>
        <v/>
      </c>
      <c r="B180">
        <f>IF($A180="","",IF(ISNUMBER($A180),IF(AND($A180&gt;=10000101,$A180&lt;=99991231),INT($A180/10000),""),IFERROR(VALUE(TRIM(LEFT($A180,FIND("/",$A180)-1))),"")))</f>
        <v/>
      </c>
      <c r="C180">
        <f>IF(OR($A180="",$B180=""),"",IF(ISNUMBER($A180),INT(MOD($A180,10000)/100),IFERROR(VALUE(TRIM(LEFT(MID($A180,FIND("/",$A180)+1,20),FIND("/",MID($A180,FIND("/",$A180)+1,20))-1))),"")))</f>
        <v/>
      </c>
      <c r="D180">
        <f>IF(OR($A180="",$B180=""),"",IF(ISNUMBER($A180),MOD($A180,100),IFERROR(VALUE(TRIM(MID(MID($A180,FIND("/",$A180)+1,20),FIND("/",MID($A180,FIND("/",$A180)+1,20))+1,20))),"")))</f>
        <v/>
      </c>
      <c r="E180">
        <f>IF($A180="","",IF(OR($B180="",$C180="",$D180="",$B180&lt;1300,$B180&gt;1500,$C180&lt;1,$C180&gt;12,$D180&lt;1,$D180&gt;31),"نامعتبر",RIGHT("0000"&amp;$B180,4)&amp;"/"&amp;RIGHT("00"&amp;$C180,2)&amp;"/"&amp;RIGHT("00"&amp;$D180,2)))</f>
        <v/>
      </c>
      <c r="F180">
        <f>IF(OR($E180="",$E180="نامعتبر"),"",LEFT($E180,4)&amp;"/"&amp;MID($E180,6,2))</f>
        <v/>
      </c>
      <c r="G180">
        <f>IF(OR($E180="",$E180="نامعتبر",Sync!$Y177=""),"",Sync!$Y177)</f>
        <v/>
      </c>
      <c r="H180">
        <f>IF($G180="","",IF(Sync!$X177="","",Sync!$X177))</f>
        <v/>
      </c>
      <c r="I180">
        <f>IF($G180="","",IFERROR(VLOOKUP(Sync!$X177,OpTbl,3,0),""))</f>
        <v/>
      </c>
      <c r="J180">
        <f>IF(OR($G180="",Sync!$Z177=""),"",Sync!$Z177)</f>
        <v/>
      </c>
      <c r="K180">
        <f>IF(OR($G180="",Sync!$AA177=""),"",Sync!$AA177)</f>
        <v/>
      </c>
      <c r="L180">
        <f>IF($G180="",0,IF(Sync!$AB177="",0,Sync!$AB177))</f>
        <v/>
      </c>
      <c r="M180">
        <f>IF($G180="",0,IF(Sync!$AC177="",0,Sync!$AC177))</f>
        <v/>
      </c>
      <c r="N180">
        <f>IF($G180="","",IF($H180="مرجوعی خرید",-1,1)*($L180-$M180*IFERROR(VLOOKUP("P01",ParamTbl,3,0),1.5))*(1-IF($I180="خرید",IFERROR(VLOOKUP("P02",ParamTbl,3,0),1),0)/100))</f>
        <v/>
      </c>
      <c r="O180">
        <f>IF($G180="",0,IF($H180="مرجوعی خرید",-1,1)*IF(Sync!$AD177="",0,Sync!$AD177))</f>
        <v/>
      </c>
      <c r="P180">
        <f>IF(OR($G180="",Sync!$W177=""),"",Sync!$W177)</f>
        <v/>
      </c>
      <c r="Q180">
        <f>IF(OR($G180="",Sync!$AE177=""),"",Sync!$AE177)</f>
        <v/>
      </c>
      <c r="R180">
        <f>IF($G180="","",IF(Sync!$V177="","0000",IF(AND(ISNUMBER(Sync!$V177),Sync!$V177&gt;=0,Sync!$V177&lt;1),RIGHT("00"&amp;HOUR(Sync!$V177),2)&amp;RIGHT("00"&amp;MINUTE(Sync!$V177),2),IFERROR(RIGHT("00"&amp;VALUE(LEFT(Sync!$V177,FIND(":",Sync!$V177)-1)),2)&amp;RIGHT("00"&amp;VALUE(MID(Sync!$V177,FIND(":",Sync!$V177)+1,2)),2),"0000"))))</f>
        <v/>
      </c>
    </row>
    <row r="181">
      <c r="A181">
        <f>IF(Sync!$U178="","",Sync!$U178)</f>
        <v/>
      </c>
      <c r="B181">
        <f>IF($A181="","",IF(ISNUMBER($A181),IF(AND($A181&gt;=10000101,$A181&lt;=99991231),INT($A181/10000),""),IFERROR(VALUE(TRIM(LEFT($A181,FIND("/",$A181)-1))),"")))</f>
        <v/>
      </c>
      <c r="C181">
        <f>IF(OR($A181="",$B181=""),"",IF(ISNUMBER($A181),INT(MOD($A181,10000)/100),IFERROR(VALUE(TRIM(LEFT(MID($A181,FIND("/",$A181)+1,20),FIND("/",MID($A181,FIND("/",$A181)+1,20))-1))),"")))</f>
        <v/>
      </c>
      <c r="D181">
        <f>IF(OR($A181="",$B181=""),"",IF(ISNUMBER($A181),MOD($A181,100),IFERROR(VALUE(TRIM(MID(MID($A181,FIND("/",$A181)+1,20),FIND("/",MID($A181,FIND("/",$A181)+1,20))+1,20))),"")))</f>
        <v/>
      </c>
      <c r="E181">
        <f>IF($A181="","",IF(OR($B181="",$C181="",$D181="",$B181&lt;1300,$B181&gt;1500,$C181&lt;1,$C181&gt;12,$D181&lt;1,$D181&gt;31),"نامعتبر",RIGHT("0000"&amp;$B181,4)&amp;"/"&amp;RIGHT("00"&amp;$C181,2)&amp;"/"&amp;RIGHT("00"&amp;$D181,2)))</f>
        <v/>
      </c>
      <c r="F181">
        <f>IF(OR($E181="",$E181="نامعتبر"),"",LEFT($E181,4)&amp;"/"&amp;MID($E181,6,2))</f>
        <v/>
      </c>
      <c r="G181">
        <f>IF(OR($E181="",$E181="نامعتبر",Sync!$Y178=""),"",Sync!$Y178)</f>
        <v/>
      </c>
      <c r="H181">
        <f>IF($G181="","",IF(Sync!$X178="","",Sync!$X178))</f>
        <v/>
      </c>
      <c r="I181">
        <f>IF($G181="","",IFERROR(VLOOKUP(Sync!$X178,OpTbl,3,0),""))</f>
        <v/>
      </c>
      <c r="J181">
        <f>IF(OR($G181="",Sync!$Z178=""),"",Sync!$Z178)</f>
        <v/>
      </c>
      <c r="K181">
        <f>IF(OR($G181="",Sync!$AA178=""),"",Sync!$AA178)</f>
        <v/>
      </c>
      <c r="L181">
        <f>IF($G181="",0,IF(Sync!$AB178="",0,Sync!$AB178))</f>
        <v/>
      </c>
      <c r="M181">
        <f>IF($G181="",0,IF(Sync!$AC178="",0,Sync!$AC178))</f>
        <v/>
      </c>
      <c r="N181">
        <f>IF($G181="","",IF($H181="مرجوعی خرید",-1,1)*($L181-$M181*IFERROR(VLOOKUP("P01",ParamTbl,3,0),1.5))*(1-IF($I181="خرید",IFERROR(VLOOKUP("P02",ParamTbl,3,0),1),0)/100))</f>
        <v/>
      </c>
      <c r="O181">
        <f>IF($G181="",0,IF($H181="مرجوعی خرید",-1,1)*IF(Sync!$AD178="",0,Sync!$AD178))</f>
        <v/>
      </c>
      <c r="P181">
        <f>IF(OR($G181="",Sync!$W178=""),"",Sync!$W178)</f>
        <v/>
      </c>
      <c r="Q181">
        <f>IF(OR($G181="",Sync!$AE178=""),"",Sync!$AE178)</f>
        <v/>
      </c>
      <c r="R181">
        <f>IF($G181="","",IF(Sync!$V178="","0000",IF(AND(ISNUMBER(Sync!$V178),Sync!$V178&gt;=0,Sync!$V178&lt;1),RIGHT("00"&amp;HOUR(Sync!$V178),2)&amp;RIGHT("00"&amp;MINUTE(Sync!$V178),2),IFERROR(RIGHT("00"&amp;VALUE(LEFT(Sync!$V178,FIND(":",Sync!$V178)-1)),2)&amp;RIGHT("00"&amp;VALUE(MID(Sync!$V178,FIND(":",Sync!$V178)+1,2)),2),"0000"))))</f>
        <v/>
      </c>
    </row>
    <row r="182">
      <c r="A182">
        <f>IF(Sync!$U179="","",Sync!$U179)</f>
        <v/>
      </c>
      <c r="B182">
        <f>IF($A182="","",IF(ISNUMBER($A182),IF(AND($A182&gt;=10000101,$A182&lt;=99991231),INT($A182/10000),""),IFERROR(VALUE(TRIM(LEFT($A182,FIND("/",$A182)-1))),"")))</f>
        <v/>
      </c>
      <c r="C182">
        <f>IF(OR($A182="",$B182=""),"",IF(ISNUMBER($A182),INT(MOD($A182,10000)/100),IFERROR(VALUE(TRIM(LEFT(MID($A182,FIND("/",$A182)+1,20),FIND("/",MID($A182,FIND("/",$A182)+1,20))-1))),"")))</f>
        <v/>
      </c>
      <c r="D182">
        <f>IF(OR($A182="",$B182=""),"",IF(ISNUMBER($A182),MOD($A182,100),IFERROR(VALUE(TRIM(MID(MID($A182,FIND("/",$A182)+1,20),FIND("/",MID($A182,FIND("/",$A182)+1,20))+1,20))),"")))</f>
        <v/>
      </c>
      <c r="E182">
        <f>IF($A182="","",IF(OR($B182="",$C182="",$D182="",$B182&lt;1300,$B182&gt;1500,$C182&lt;1,$C182&gt;12,$D182&lt;1,$D182&gt;31),"نامعتبر",RIGHT("0000"&amp;$B182,4)&amp;"/"&amp;RIGHT("00"&amp;$C182,2)&amp;"/"&amp;RIGHT("00"&amp;$D182,2)))</f>
        <v/>
      </c>
      <c r="F182">
        <f>IF(OR($E182="",$E182="نامعتبر"),"",LEFT($E182,4)&amp;"/"&amp;MID($E182,6,2))</f>
        <v/>
      </c>
      <c r="G182">
        <f>IF(OR($E182="",$E182="نامعتبر",Sync!$Y179=""),"",Sync!$Y179)</f>
        <v/>
      </c>
      <c r="H182">
        <f>IF($G182="","",IF(Sync!$X179="","",Sync!$X179))</f>
        <v/>
      </c>
      <c r="I182">
        <f>IF($G182="","",IFERROR(VLOOKUP(Sync!$X179,OpTbl,3,0),""))</f>
        <v/>
      </c>
      <c r="J182">
        <f>IF(OR($G182="",Sync!$Z179=""),"",Sync!$Z179)</f>
        <v/>
      </c>
      <c r="K182">
        <f>IF(OR($G182="",Sync!$AA179=""),"",Sync!$AA179)</f>
        <v/>
      </c>
      <c r="L182">
        <f>IF($G182="",0,IF(Sync!$AB179="",0,Sync!$AB179))</f>
        <v/>
      </c>
      <c r="M182">
        <f>IF($G182="",0,IF(Sync!$AC179="",0,Sync!$AC179))</f>
        <v/>
      </c>
      <c r="N182">
        <f>IF($G182="","",IF($H182="مرجوعی خرید",-1,1)*($L182-$M182*IFERROR(VLOOKUP("P01",ParamTbl,3,0),1.5))*(1-IF($I182="خرید",IFERROR(VLOOKUP("P02",ParamTbl,3,0),1),0)/100))</f>
        <v/>
      </c>
      <c r="O182">
        <f>IF($G182="",0,IF($H182="مرجوعی خرید",-1,1)*IF(Sync!$AD179="",0,Sync!$AD179))</f>
        <v/>
      </c>
      <c r="P182">
        <f>IF(OR($G182="",Sync!$W179=""),"",Sync!$W179)</f>
        <v/>
      </c>
      <c r="Q182">
        <f>IF(OR($G182="",Sync!$AE179=""),"",Sync!$AE179)</f>
        <v/>
      </c>
      <c r="R182">
        <f>IF($G182="","",IF(Sync!$V179="","0000",IF(AND(ISNUMBER(Sync!$V179),Sync!$V179&gt;=0,Sync!$V179&lt;1),RIGHT("00"&amp;HOUR(Sync!$V179),2)&amp;RIGHT("00"&amp;MINUTE(Sync!$V179),2),IFERROR(RIGHT("00"&amp;VALUE(LEFT(Sync!$V179,FIND(":",Sync!$V179)-1)),2)&amp;RIGHT("00"&amp;VALUE(MID(Sync!$V179,FIND(":",Sync!$V179)+1,2)),2),"0000"))))</f>
        <v/>
      </c>
    </row>
    <row r="183">
      <c r="A183">
        <f>IF(Sync!$U180="","",Sync!$U180)</f>
        <v/>
      </c>
      <c r="B183">
        <f>IF($A183="","",IF(ISNUMBER($A183),IF(AND($A183&gt;=10000101,$A183&lt;=99991231),INT($A183/10000),""),IFERROR(VALUE(TRIM(LEFT($A183,FIND("/",$A183)-1))),"")))</f>
        <v/>
      </c>
      <c r="C183">
        <f>IF(OR($A183="",$B183=""),"",IF(ISNUMBER($A183),INT(MOD($A183,10000)/100),IFERROR(VALUE(TRIM(LEFT(MID($A183,FIND("/",$A183)+1,20),FIND("/",MID($A183,FIND("/",$A183)+1,20))-1))),"")))</f>
        <v/>
      </c>
      <c r="D183">
        <f>IF(OR($A183="",$B183=""),"",IF(ISNUMBER($A183),MOD($A183,100),IFERROR(VALUE(TRIM(MID(MID($A183,FIND("/",$A183)+1,20),FIND("/",MID($A183,FIND("/",$A183)+1,20))+1,20))),"")))</f>
        <v/>
      </c>
      <c r="E183">
        <f>IF($A183="","",IF(OR($B183="",$C183="",$D183="",$B183&lt;1300,$B183&gt;1500,$C183&lt;1,$C183&gt;12,$D183&lt;1,$D183&gt;31),"نامعتبر",RIGHT("0000"&amp;$B183,4)&amp;"/"&amp;RIGHT("00"&amp;$C183,2)&amp;"/"&amp;RIGHT("00"&amp;$D183,2)))</f>
        <v/>
      </c>
      <c r="F183">
        <f>IF(OR($E183="",$E183="نامعتبر"),"",LEFT($E183,4)&amp;"/"&amp;MID($E183,6,2))</f>
        <v/>
      </c>
      <c r="G183">
        <f>IF(OR($E183="",$E183="نامعتبر",Sync!$Y180=""),"",Sync!$Y180)</f>
        <v/>
      </c>
      <c r="H183">
        <f>IF($G183="","",IF(Sync!$X180="","",Sync!$X180))</f>
        <v/>
      </c>
      <c r="I183">
        <f>IF($G183="","",IFERROR(VLOOKUP(Sync!$X180,OpTbl,3,0),""))</f>
        <v/>
      </c>
      <c r="J183">
        <f>IF(OR($G183="",Sync!$Z180=""),"",Sync!$Z180)</f>
        <v/>
      </c>
      <c r="K183">
        <f>IF(OR($G183="",Sync!$AA180=""),"",Sync!$AA180)</f>
        <v/>
      </c>
      <c r="L183">
        <f>IF($G183="",0,IF(Sync!$AB180="",0,Sync!$AB180))</f>
        <v/>
      </c>
      <c r="M183">
        <f>IF($G183="",0,IF(Sync!$AC180="",0,Sync!$AC180))</f>
        <v/>
      </c>
      <c r="N183">
        <f>IF($G183="","",IF($H183="مرجوعی خرید",-1,1)*($L183-$M183*IFERROR(VLOOKUP("P01",ParamTbl,3,0),1.5))*(1-IF($I183="خرید",IFERROR(VLOOKUP("P02",ParamTbl,3,0),1),0)/100))</f>
        <v/>
      </c>
      <c r="O183">
        <f>IF($G183="",0,IF($H183="مرجوعی خرید",-1,1)*IF(Sync!$AD180="",0,Sync!$AD180))</f>
        <v/>
      </c>
      <c r="P183">
        <f>IF(OR($G183="",Sync!$W180=""),"",Sync!$W180)</f>
        <v/>
      </c>
      <c r="Q183">
        <f>IF(OR($G183="",Sync!$AE180=""),"",Sync!$AE180)</f>
        <v/>
      </c>
      <c r="R183">
        <f>IF($G183="","",IF(Sync!$V180="","0000",IF(AND(ISNUMBER(Sync!$V180),Sync!$V180&gt;=0,Sync!$V180&lt;1),RIGHT("00"&amp;HOUR(Sync!$V180),2)&amp;RIGHT("00"&amp;MINUTE(Sync!$V180),2),IFERROR(RIGHT("00"&amp;VALUE(LEFT(Sync!$V180,FIND(":",Sync!$V180)-1)),2)&amp;RIGHT("00"&amp;VALUE(MID(Sync!$V180,FIND(":",Sync!$V180)+1,2)),2),"0000"))))</f>
        <v/>
      </c>
    </row>
    <row r="184">
      <c r="A184">
        <f>IF(Sync!$U181="","",Sync!$U181)</f>
        <v/>
      </c>
      <c r="B184">
        <f>IF($A184="","",IF(ISNUMBER($A184),IF(AND($A184&gt;=10000101,$A184&lt;=99991231),INT($A184/10000),""),IFERROR(VALUE(TRIM(LEFT($A184,FIND("/",$A184)-1))),"")))</f>
        <v/>
      </c>
      <c r="C184">
        <f>IF(OR($A184="",$B184=""),"",IF(ISNUMBER($A184),INT(MOD($A184,10000)/100),IFERROR(VALUE(TRIM(LEFT(MID($A184,FIND("/",$A184)+1,20),FIND("/",MID($A184,FIND("/",$A184)+1,20))-1))),"")))</f>
        <v/>
      </c>
      <c r="D184">
        <f>IF(OR($A184="",$B184=""),"",IF(ISNUMBER($A184),MOD($A184,100),IFERROR(VALUE(TRIM(MID(MID($A184,FIND("/",$A184)+1,20),FIND("/",MID($A184,FIND("/",$A184)+1,20))+1,20))),"")))</f>
        <v/>
      </c>
      <c r="E184">
        <f>IF($A184="","",IF(OR($B184="",$C184="",$D184="",$B184&lt;1300,$B184&gt;1500,$C184&lt;1,$C184&gt;12,$D184&lt;1,$D184&gt;31),"نامعتبر",RIGHT("0000"&amp;$B184,4)&amp;"/"&amp;RIGHT("00"&amp;$C184,2)&amp;"/"&amp;RIGHT("00"&amp;$D184,2)))</f>
        <v/>
      </c>
      <c r="F184">
        <f>IF(OR($E184="",$E184="نامعتبر"),"",LEFT($E184,4)&amp;"/"&amp;MID($E184,6,2))</f>
        <v/>
      </c>
      <c r="G184">
        <f>IF(OR($E184="",$E184="نامعتبر",Sync!$Y181=""),"",Sync!$Y181)</f>
        <v/>
      </c>
      <c r="H184">
        <f>IF($G184="","",IF(Sync!$X181="","",Sync!$X181))</f>
        <v/>
      </c>
      <c r="I184">
        <f>IF($G184="","",IFERROR(VLOOKUP(Sync!$X181,OpTbl,3,0),""))</f>
        <v/>
      </c>
      <c r="J184">
        <f>IF(OR($G184="",Sync!$Z181=""),"",Sync!$Z181)</f>
        <v/>
      </c>
      <c r="K184">
        <f>IF(OR($G184="",Sync!$AA181=""),"",Sync!$AA181)</f>
        <v/>
      </c>
      <c r="L184">
        <f>IF($G184="",0,IF(Sync!$AB181="",0,Sync!$AB181))</f>
        <v/>
      </c>
      <c r="M184">
        <f>IF($G184="",0,IF(Sync!$AC181="",0,Sync!$AC181))</f>
        <v/>
      </c>
      <c r="N184">
        <f>IF($G184="","",IF($H184="مرجوعی خرید",-1,1)*($L184-$M184*IFERROR(VLOOKUP("P01",ParamTbl,3,0),1.5))*(1-IF($I184="خرید",IFERROR(VLOOKUP("P02",ParamTbl,3,0),1),0)/100))</f>
        <v/>
      </c>
      <c r="O184">
        <f>IF($G184="",0,IF($H184="مرجوعی خرید",-1,1)*IF(Sync!$AD181="",0,Sync!$AD181))</f>
        <v/>
      </c>
      <c r="P184">
        <f>IF(OR($G184="",Sync!$W181=""),"",Sync!$W181)</f>
        <v/>
      </c>
      <c r="Q184">
        <f>IF(OR($G184="",Sync!$AE181=""),"",Sync!$AE181)</f>
        <v/>
      </c>
      <c r="R184">
        <f>IF($G184="","",IF(Sync!$V181="","0000",IF(AND(ISNUMBER(Sync!$V181),Sync!$V181&gt;=0,Sync!$V181&lt;1),RIGHT("00"&amp;HOUR(Sync!$V181),2)&amp;RIGHT("00"&amp;MINUTE(Sync!$V181),2),IFERROR(RIGHT("00"&amp;VALUE(LEFT(Sync!$V181,FIND(":",Sync!$V181)-1)),2)&amp;RIGHT("00"&amp;VALUE(MID(Sync!$V181,FIND(":",Sync!$V181)+1,2)),2),"0000"))))</f>
        <v/>
      </c>
    </row>
    <row r="185">
      <c r="A185">
        <f>IF(Sync!$U182="","",Sync!$U182)</f>
        <v/>
      </c>
      <c r="B185">
        <f>IF($A185="","",IF(ISNUMBER($A185),IF(AND($A185&gt;=10000101,$A185&lt;=99991231),INT($A185/10000),""),IFERROR(VALUE(TRIM(LEFT($A185,FIND("/",$A185)-1))),"")))</f>
        <v/>
      </c>
      <c r="C185">
        <f>IF(OR($A185="",$B185=""),"",IF(ISNUMBER($A185),INT(MOD($A185,10000)/100),IFERROR(VALUE(TRIM(LEFT(MID($A185,FIND("/",$A185)+1,20),FIND("/",MID($A185,FIND("/",$A185)+1,20))-1))),"")))</f>
        <v/>
      </c>
      <c r="D185">
        <f>IF(OR($A185="",$B185=""),"",IF(ISNUMBER($A185),MOD($A185,100),IFERROR(VALUE(TRIM(MID(MID($A185,FIND("/",$A185)+1,20),FIND("/",MID($A185,FIND("/",$A185)+1,20))+1,20))),"")))</f>
        <v/>
      </c>
      <c r="E185">
        <f>IF($A185="","",IF(OR($B185="",$C185="",$D185="",$B185&lt;1300,$B185&gt;1500,$C185&lt;1,$C185&gt;12,$D185&lt;1,$D185&gt;31),"نامعتبر",RIGHT("0000"&amp;$B185,4)&amp;"/"&amp;RIGHT("00"&amp;$C185,2)&amp;"/"&amp;RIGHT("00"&amp;$D185,2)))</f>
        <v/>
      </c>
      <c r="F185">
        <f>IF(OR($E185="",$E185="نامعتبر"),"",LEFT($E185,4)&amp;"/"&amp;MID($E185,6,2))</f>
        <v/>
      </c>
      <c r="G185">
        <f>IF(OR($E185="",$E185="نامعتبر",Sync!$Y182=""),"",Sync!$Y182)</f>
        <v/>
      </c>
      <c r="H185">
        <f>IF($G185="","",IF(Sync!$X182="","",Sync!$X182))</f>
        <v/>
      </c>
      <c r="I185">
        <f>IF($G185="","",IFERROR(VLOOKUP(Sync!$X182,OpTbl,3,0),""))</f>
        <v/>
      </c>
      <c r="J185">
        <f>IF(OR($G185="",Sync!$Z182=""),"",Sync!$Z182)</f>
        <v/>
      </c>
      <c r="K185">
        <f>IF(OR($G185="",Sync!$AA182=""),"",Sync!$AA182)</f>
        <v/>
      </c>
      <c r="L185">
        <f>IF($G185="",0,IF(Sync!$AB182="",0,Sync!$AB182))</f>
        <v/>
      </c>
      <c r="M185">
        <f>IF($G185="",0,IF(Sync!$AC182="",0,Sync!$AC182))</f>
        <v/>
      </c>
      <c r="N185">
        <f>IF($G185="","",IF($H185="مرجوعی خرید",-1,1)*($L185-$M185*IFERROR(VLOOKUP("P01",ParamTbl,3,0),1.5))*(1-IF($I185="خرید",IFERROR(VLOOKUP("P02",ParamTbl,3,0),1),0)/100))</f>
        <v/>
      </c>
      <c r="O185">
        <f>IF($G185="",0,IF($H185="مرجوعی خرید",-1,1)*IF(Sync!$AD182="",0,Sync!$AD182))</f>
        <v/>
      </c>
      <c r="P185">
        <f>IF(OR($G185="",Sync!$W182=""),"",Sync!$W182)</f>
        <v/>
      </c>
      <c r="Q185">
        <f>IF(OR($G185="",Sync!$AE182=""),"",Sync!$AE182)</f>
        <v/>
      </c>
      <c r="R185">
        <f>IF($G185="","",IF(Sync!$V182="","0000",IF(AND(ISNUMBER(Sync!$V182),Sync!$V182&gt;=0,Sync!$V182&lt;1),RIGHT("00"&amp;HOUR(Sync!$V182),2)&amp;RIGHT("00"&amp;MINUTE(Sync!$V182),2),IFERROR(RIGHT("00"&amp;VALUE(LEFT(Sync!$V182,FIND(":",Sync!$V182)-1)),2)&amp;RIGHT("00"&amp;VALUE(MID(Sync!$V182,FIND(":",Sync!$V182)+1,2)),2),"0000"))))</f>
        <v/>
      </c>
    </row>
    <row r="186">
      <c r="A186">
        <f>IF(Sync!$U183="","",Sync!$U183)</f>
        <v/>
      </c>
      <c r="B186">
        <f>IF($A186="","",IF(ISNUMBER($A186),IF(AND($A186&gt;=10000101,$A186&lt;=99991231),INT($A186/10000),""),IFERROR(VALUE(TRIM(LEFT($A186,FIND("/",$A186)-1))),"")))</f>
        <v/>
      </c>
      <c r="C186">
        <f>IF(OR($A186="",$B186=""),"",IF(ISNUMBER($A186),INT(MOD($A186,10000)/100),IFERROR(VALUE(TRIM(LEFT(MID($A186,FIND("/",$A186)+1,20),FIND("/",MID($A186,FIND("/",$A186)+1,20))-1))),"")))</f>
        <v/>
      </c>
      <c r="D186">
        <f>IF(OR($A186="",$B186=""),"",IF(ISNUMBER($A186),MOD($A186,100),IFERROR(VALUE(TRIM(MID(MID($A186,FIND("/",$A186)+1,20),FIND("/",MID($A186,FIND("/",$A186)+1,20))+1,20))),"")))</f>
        <v/>
      </c>
      <c r="E186">
        <f>IF($A186="","",IF(OR($B186="",$C186="",$D186="",$B186&lt;1300,$B186&gt;1500,$C186&lt;1,$C186&gt;12,$D186&lt;1,$D186&gt;31),"نامعتبر",RIGHT("0000"&amp;$B186,4)&amp;"/"&amp;RIGHT("00"&amp;$C186,2)&amp;"/"&amp;RIGHT("00"&amp;$D186,2)))</f>
        <v/>
      </c>
      <c r="F186">
        <f>IF(OR($E186="",$E186="نامعتبر"),"",LEFT($E186,4)&amp;"/"&amp;MID($E186,6,2))</f>
        <v/>
      </c>
      <c r="G186">
        <f>IF(OR($E186="",$E186="نامعتبر",Sync!$Y183=""),"",Sync!$Y183)</f>
        <v/>
      </c>
      <c r="H186">
        <f>IF($G186="","",IF(Sync!$X183="","",Sync!$X183))</f>
        <v/>
      </c>
      <c r="I186">
        <f>IF($G186="","",IFERROR(VLOOKUP(Sync!$X183,OpTbl,3,0),""))</f>
        <v/>
      </c>
      <c r="J186">
        <f>IF(OR($G186="",Sync!$Z183=""),"",Sync!$Z183)</f>
        <v/>
      </c>
      <c r="K186">
        <f>IF(OR($G186="",Sync!$AA183=""),"",Sync!$AA183)</f>
        <v/>
      </c>
      <c r="L186">
        <f>IF($G186="",0,IF(Sync!$AB183="",0,Sync!$AB183))</f>
        <v/>
      </c>
      <c r="M186">
        <f>IF($G186="",0,IF(Sync!$AC183="",0,Sync!$AC183))</f>
        <v/>
      </c>
      <c r="N186">
        <f>IF($G186="","",IF($H186="مرجوعی خرید",-1,1)*($L186-$M186*IFERROR(VLOOKUP("P01",ParamTbl,3,0),1.5))*(1-IF($I186="خرید",IFERROR(VLOOKUP("P02",ParamTbl,3,0),1),0)/100))</f>
        <v/>
      </c>
      <c r="O186">
        <f>IF($G186="",0,IF($H186="مرجوعی خرید",-1,1)*IF(Sync!$AD183="",0,Sync!$AD183))</f>
        <v/>
      </c>
      <c r="P186">
        <f>IF(OR($G186="",Sync!$W183=""),"",Sync!$W183)</f>
        <v/>
      </c>
      <c r="Q186">
        <f>IF(OR($G186="",Sync!$AE183=""),"",Sync!$AE183)</f>
        <v/>
      </c>
      <c r="R186">
        <f>IF($G186="","",IF(Sync!$V183="","0000",IF(AND(ISNUMBER(Sync!$V183),Sync!$V183&gt;=0,Sync!$V183&lt;1),RIGHT("00"&amp;HOUR(Sync!$V183),2)&amp;RIGHT("00"&amp;MINUTE(Sync!$V183),2),IFERROR(RIGHT("00"&amp;VALUE(LEFT(Sync!$V183,FIND(":",Sync!$V183)-1)),2)&amp;RIGHT("00"&amp;VALUE(MID(Sync!$V183,FIND(":",Sync!$V183)+1,2)),2),"0000"))))</f>
        <v/>
      </c>
    </row>
    <row r="187">
      <c r="A187">
        <f>IF(Sync!$U184="","",Sync!$U184)</f>
        <v/>
      </c>
      <c r="B187">
        <f>IF($A187="","",IF(ISNUMBER($A187),IF(AND($A187&gt;=10000101,$A187&lt;=99991231),INT($A187/10000),""),IFERROR(VALUE(TRIM(LEFT($A187,FIND("/",$A187)-1))),"")))</f>
        <v/>
      </c>
      <c r="C187">
        <f>IF(OR($A187="",$B187=""),"",IF(ISNUMBER($A187),INT(MOD($A187,10000)/100),IFERROR(VALUE(TRIM(LEFT(MID($A187,FIND("/",$A187)+1,20),FIND("/",MID($A187,FIND("/",$A187)+1,20))-1))),"")))</f>
        <v/>
      </c>
      <c r="D187">
        <f>IF(OR($A187="",$B187=""),"",IF(ISNUMBER($A187),MOD($A187,100),IFERROR(VALUE(TRIM(MID(MID($A187,FIND("/",$A187)+1,20),FIND("/",MID($A187,FIND("/",$A187)+1,20))+1,20))),"")))</f>
        <v/>
      </c>
      <c r="E187">
        <f>IF($A187="","",IF(OR($B187="",$C187="",$D187="",$B187&lt;1300,$B187&gt;1500,$C187&lt;1,$C187&gt;12,$D187&lt;1,$D187&gt;31),"نامعتبر",RIGHT("0000"&amp;$B187,4)&amp;"/"&amp;RIGHT("00"&amp;$C187,2)&amp;"/"&amp;RIGHT("00"&amp;$D187,2)))</f>
        <v/>
      </c>
      <c r="F187">
        <f>IF(OR($E187="",$E187="نامعتبر"),"",LEFT($E187,4)&amp;"/"&amp;MID($E187,6,2))</f>
        <v/>
      </c>
      <c r="G187">
        <f>IF(OR($E187="",$E187="نامعتبر",Sync!$Y184=""),"",Sync!$Y184)</f>
        <v/>
      </c>
      <c r="H187">
        <f>IF($G187="","",IF(Sync!$X184="","",Sync!$X184))</f>
        <v/>
      </c>
      <c r="I187">
        <f>IF($G187="","",IFERROR(VLOOKUP(Sync!$X184,OpTbl,3,0),""))</f>
        <v/>
      </c>
      <c r="J187">
        <f>IF(OR($G187="",Sync!$Z184=""),"",Sync!$Z184)</f>
        <v/>
      </c>
      <c r="K187">
        <f>IF(OR($G187="",Sync!$AA184=""),"",Sync!$AA184)</f>
        <v/>
      </c>
      <c r="L187">
        <f>IF($G187="",0,IF(Sync!$AB184="",0,Sync!$AB184))</f>
        <v/>
      </c>
      <c r="M187">
        <f>IF($G187="",0,IF(Sync!$AC184="",0,Sync!$AC184))</f>
        <v/>
      </c>
      <c r="N187">
        <f>IF($G187="","",IF($H187="مرجوعی خرید",-1,1)*($L187-$M187*IFERROR(VLOOKUP("P01",ParamTbl,3,0),1.5))*(1-IF($I187="خرید",IFERROR(VLOOKUP("P02",ParamTbl,3,0),1),0)/100))</f>
        <v/>
      </c>
      <c r="O187">
        <f>IF($G187="",0,IF($H187="مرجوعی خرید",-1,1)*IF(Sync!$AD184="",0,Sync!$AD184))</f>
        <v/>
      </c>
      <c r="P187">
        <f>IF(OR($G187="",Sync!$W184=""),"",Sync!$W184)</f>
        <v/>
      </c>
      <c r="Q187">
        <f>IF(OR($G187="",Sync!$AE184=""),"",Sync!$AE184)</f>
        <v/>
      </c>
      <c r="R187">
        <f>IF($G187="","",IF(Sync!$V184="","0000",IF(AND(ISNUMBER(Sync!$V184),Sync!$V184&gt;=0,Sync!$V184&lt;1),RIGHT("00"&amp;HOUR(Sync!$V184),2)&amp;RIGHT("00"&amp;MINUTE(Sync!$V184),2),IFERROR(RIGHT("00"&amp;VALUE(LEFT(Sync!$V184,FIND(":",Sync!$V184)-1)),2)&amp;RIGHT("00"&amp;VALUE(MID(Sync!$V184,FIND(":",Sync!$V184)+1,2)),2),"0000"))))</f>
        <v/>
      </c>
    </row>
    <row r="188">
      <c r="A188">
        <f>IF(Sync!$U185="","",Sync!$U185)</f>
        <v/>
      </c>
      <c r="B188">
        <f>IF($A188="","",IF(ISNUMBER($A188),IF(AND($A188&gt;=10000101,$A188&lt;=99991231),INT($A188/10000),""),IFERROR(VALUE(TRIM(LEFT($A188,FIND("/",$A188)-1))),"")))</f>
        <v/>
      </c>
      <c r="C188">
        <f>IF(OR($A188="",$B188=""),"",IF(ISNUMBER($A188),INT(MOD($A188,10000)/100),IFERROR(VALUE(TRIM(LEFT(MID($A188,FIND("/",$A188)+1,20),FIND("/",MID($A188,FIND("/",$A188)+1,20))-1))),"")))</f>
        <v/>
      </c>
      <c r="D188">
        <f>IF(OR($A188="",$B188=""),"",IF(ISNUMBER($A188),MOD($A188,100),IFERROR(VALUE(TRIM(MID(MID($A188,FIND("/",$A188)+1,20),FIND("/",MID($A188,FIND("/",$A188)+1,20))+1,20))),"")))</f>
        <v/>
      </c>
      <c r="E188">
        <f>IF($A188="","",IF(OR($B188="",$C188="",$D188="",$B188&lt;1300,$B188&gt;1500,$C188&lt;1,$C188&gt;12,$D188&lt;1,$D188&gt;31),"نامعتبر",RIGHT("0000"&amp;$B188,4)&amp;"/"&amp;RIGHT("00"&amp;$C188,2)&amp;"/"&amp;RIGHT("00"&amp;$D188,2)))</f>
        <v/>
      </c>
      <c r="F188">
        <f>IF(OR($E188="",$E188="نامعتبر"),"",LEFT($E188,4)&amp;"/"&amp;MID($E188,6,2))</f>
        <v/>
      </c>
      <c r="G188">
        <f>IF(OR($E188="",$E188="نامعتبر",Sync!$Y185=""),"",Sync!$Y185)</f>
        <v/>
      </c>
      <c r="H188">
        <f>IF($G188="","",IF(Sync!$X185="","",Sync!$X185))</f>
        <v/>
      </c>
      <c r="I188">
        <f>IF($G188="","",IFERROR(VLOOKUP(Sync!$X185,OpTbl,3,0),""))</f>
        <v/>
      </c>
      <c r="J188">
        <f>IF(OR($G188="",Sync!$Z185=""),"",Sync!$Z185)</f>
        <v/>
      </c>
      <c r="K188">
        <f>IF(OR($G188="",Sync!$AA185=""),"",Sync!$AA185)</f>
        <v/>
      </c>
      <c r="L188">
        <f>IF($G188="",0,IF(Sync!$AB185="",0,Sync!$AB185))</f>
        <v/>
      </c>
      <c r="M188">
        <f>IF($G188="",0,IF(Sync!$AC185="",0,Sync!$AC185))</f>
        <v/>
      </c>
      <c r="N188">
        <f>IF($G188="","",IF($H188="مرجوعی خرید",-1,1)*($L188-$M188*IFERROR(VLOOKUP("P01",ParamTbl,3,0),1.5))*(1-IF($I188="خرید",IFERROR(VLOOKUP("P02",ParamTbl,3,0),1),0)/100))</f>
        <v/>
      </c>
      <c r="O188">
        <f>IF($G188="",0,IF($H188="مرجوعی خرید",-1,1)*IF(Sync!$AD185="",0,Sync!$AD185))</f>
        <v/>
      </c>
      <c r="P188">
        <f>IF(OR($G188="",Sync!$W185=""),"",Sync!$W185)</f>
        <v/>
      </c>
      <c r="Q188">
        <f>IF(OR($G188="",Sync!$AE185=""),"",Sync!$AE185)</f>
        <v/>
      </c>
      <c r="R188">
        <f>IF($G188="","",IF(Sync!$V185="","0000",IF(AND(ISNUMBER(Sync!$V185),Sync!$V185&gt;=0,Sync!$V185&lt;1),RIGHT("00"&amp;HOUR(Sync!$V185),2)&amp;RIGHT("00"&amp;MINUTE(Sync!$V185),2),IFERROR(RIGHT("00"&amp;VALUE(LEFT(Sync!$V185,FIND(":",Sync!$V185)-1)),2)&amp;RIGHT("00"&amp;VALUE(MID(Sync!$V185,FIND(":",Sync!$V185)+1,2)),2),"0000"))))</f>
        <v/>
      </c>
    </row>
    <row r="189">
      <c r="A189">
        <f>IF(Sync!$U186="","",Sync!$U186)</f>
        <v/>
      </c>
      <c r="B189">
        <f>IF($A189="","",IF(ISNUMBER($A189),IF(AND($A189&gt;=10000101,$A189&lt;=99991231),INT($A189/10000),""),IFERROR(VALUE(TRIM(LEFT($A189,FIND("/",$A189)-1))),"")))</f>
        <v/>
      </c>
      <c r="C189">
        <f>IF(OR($A189="",$B189=""),"",IF(ISNUMBER($A189),INT(MOD($A189,10000)/100),IFERROR(VALUE(TRIM(LEFT(MID($A189,FIND("/",$A189)+1,20),FIND("/",MID($A189,FIND("/",$A189)+1,20))-1))),"")))</f>
        <v/>
      </c>
      <c r="D189">
        <f>IF(OR($A189="",$B189=""),"",IF(ISNUMBER($A189),MOD($A189,100),IFERROR(VALUE(TRIM(MID(MID($A189,FIND("/",$A189)+1,20),FIND("/",MID($A189,FIND("/",$A189)+1,20))+1,20))),"")))</f>
        <v/>
      </c>
      <c r="E189">
        <f>IF($A189="","",IF(OR($B189="",$C189="",$D189="",$B189&lt;1300,$B189&gt;1500,$C189&lt;1,$C189&gt;12,$D189&lt;1,$D189&gt;31),"نامعتبر",RIGHT("0000"&amp;$B189,4)&amp;"/"&amp;RIGHT("00"&amp;$C189,2)&amp;"/"&amp;RIGHT("00"&amp;$D189,2)))</f>
        <v/>
      </c>
      <c r="F189">
        <f>IF(OR($E189="",$E189="نامعتبر"),"",LEFT($E189,4)&amp;"/"&amp;MID($E189,6,2))</f>
        <v/>
      </c>
      <c r="G189">
        <f>IF(OR($E189="",$E189="نامعتبر",Sync!$Y186=""),"",Sync!$Y186)</f>
        <v/>
      </c>
      <c r="H189">
        <f>IF($G189="","",IF(Sync!$X186="","",Sync!$X186))</f>
        <v/>
      </c>
      <c r="I189">
        <f>IF($G189="","",IFERROR(VLOOKUP(Sync!$X186,OpTbl,3,0),""))</f>
        <v/>
      </c>
      <c r="J189">
        <f>IF(OR($G189="",Sync!$Z186=""),"",Sync!$Z186)</f>
        <v/>
      </c>
      <c r="K189">
        <f>IF(OR($G189="",Sync!$AA186=""),"",Sync!$AA186)</f>
        <v/>
      </c>
      <c r="L189">
        <f>IF($G189="",0,IF(Sync!$AB186="",0,Sync!$AB186))</f>
        <v/>
      </c>
      <c r="M189">
        <f>IF($G189="",0,IF(Sync!$AC186="",0,Sync!$AC186))</f>
        <v/>
      </c>
      <c r="N189">
        <f>IF($G189="","",IF($H189="مرجوعی خرید",-1,1)*($L189-$M189*IFERROR(VLOOKUP("P01",ParamTbl,3,0),1.5))*(1-IF($I189="خرید",IFERROR(VLOOKUP("P02",ParamTbl,3,0),1),0)/100))</f>
        <v/>
      </c>
      <c r="O189">
        <f>IF($G189="",0,IF($H189="مرجوعی خرید",-1,1)*IF(Sync!$AD186="",0,Sync!$AD186))</f>
        <v/>
      </c>
      <c r="P189">
        <f>IF(OR($G189="",Sync!$W186=""),"",Sync!$W186)</f>
        <v/>
      </c>
      <c r="Q189">
        <f>IF(OR($G189="",Sync!$AE186=""),"",Sync!$AE186)</f>
        <v/>
      </c>
      <c r="R189">
        <f>IF($G189="","",IF(Sync!$V186="","0000",IF(AND(ISNUMBER(Sync!$V186),Sync!$V186&gt;=0,Sync!$V186&lt;1),RIGHT("00"&amp;HOUR(Sync!$V186),2)&amp;RIGHT("00"&amp;MINUTE(Sync!$V186),2),IFERROR(RIGHT("00"&amp;VALUE(LEFT(Sync!$V186,FIND(":",Sync!$V186)-1)),2)&amp;RIGHT("00"&amp;VALUE(MID(Sync!$V186,FIND(":",Sync!$V186)+1,2)),2),"0000"))))</f>
        <v/>
      </c>
    </row>
    <row r="190">
      <c r="A190">
        <f>IF(Sync!$U187="","",Sync!$U187)</f>
        <v/>
      </c>
      <c r="B190">
        <f>IF($A190="","",IF(ISNUMBER($A190),IF(AND($A190&gt;=10000101,$A190&lt;=99991231),INT($A190/10000),""),IFERROR(VALUE(TRIM(LEFT($A190,FIND("/",$A190)-1))),"")))</f>
        <v/>
      </c>
      <c r="C190">
        <f>IF(OR($A190="",$B190=""),"",IF(ISNUMBER($A190),INT(MOD($A190,10000)/100),IFERROR(VALUE(TRIM(LEFT(MID($A190,FIND("/",$A190)+1,20),FIND("/",MID($A190,FIND("/",$A190)+1,20))-1))),"")))</f>
        <v/>
      </c>
      <c r="D190">
        <f>IF(OR($A190="",$B190=""),"",IF(ISNUMBER($A190),MOD($A190,100),IFERROR(VALUE(TRIM(MID(MID($A190,FIND("/",$A190)+1,20),FIND("/",MID($A190,FIND("/",$A190)+1,20))+1,20))),"")))</f>
        <v/>
      </c>
      <c r="E190">
        <f>IF($A190="","",IF(OR($B190="",$C190="",$D190="",$B190&lt;1300,$B190&gt;1500,$C190&lt;1,$C190&gt;12,$D190&lt;1,$D190&gt;31),"نامعتبر",RIGHT("0000"&amp;$B190,4)&amp;"/"&amp;RIGHT("00"&amp;$C190,2)&amp;"/"&amp;RIGHT("00"&amp;$D190,2)))</f>
        <v/>
      </c>
      <c r="F190">
        <f>IF(OR($E190="",$E190="نامعتبر"),"",LEFT($E190,4)&amp;"/"&amp;MID($E190,6,2))</f>
        <v/>
      </c>
      <c r="G190">
        <f>IF(OR($E190="",$E190="نامعتبر",Sync!$Y187=""),"",Sync!$Y187)</f>
        <v/>
      </c>
      <c r="H190">
        <f>IF($G190="","",IF(Sync!$X187="","",Sync!$X187))</f>
        <v/>
      </c>
      <c r="I190">
        <f>IF($G190="","",IFERROR(VLOOKUP(Sync!$X187,OpTbl,3,0),""))</f>
        <v/>
      </c>
      <c r="J190">
        <f>IF(OR($G190="",Sync!$Z187=""),"",Sync!$Z187)</f>
        <v/>
      </c>
      <c r="K190">
        <f>IF(OR($G190="",Sync!$AA187=""),"",Sync!$AA187)</f>
        <v/>
      </c>
      <c r="L190">
        <f>IF($G190="",0,IF(Sync!$AB187="",0,Sync!$AB187))</f>
        <v/>
      </c>
      <c r="M190">
        <f>IF($G190="",0,IF(Sync!$AC187="",0,Sync!$AC187))</f>
        <v/>
      </c>
      <c r="N190">
        <f>IF($G190="","",IF($H190="مرجوعی خرید",-1,1)*($L190-$M190*IFERROR(VLOOKUP("P01",ParamTbl,3,0),1.5))*(1-IF($I190="خرید",IFERROR(VLOOKUP("P02",ParamTbl,3,0),1),0)/100))</f>
        <v/>
      </c>
      <c r="O190">
        <f>IF($G190="",0,IF($H190="مرجوعی خرید",-1,1)*IF(Sync!$AD187="",0,Sync!$AD187))</f>
        <v/>
      </c>
      <c r="P190">
        <f>IF(OR($G190="",Sync!$W187=""),"",Sync!$W187)</f>
        <v/>
      </c>
      <c r="Q190">
        <f>IF(OR($G190="",Sync!$AE187=""),"",Sync!$AE187)</f>
        <v/>
      </c>
      <c r="R190">
        <f>IF($G190="","",IF(Sync!$V187="","0000",IF(AND(ISNUMBER(Sync!$V187),Sync!$V187&gt;=0,Sync!$V187&lt;1),RIGHT("00"&amp;HOUR(Sync!$V187),2)&amp;RIGHT("00"&amp;MINUTE(Sync!$V187),2),IFERROR(RIGHT("00"&amp;VALUE(LEFT(Sync!$V187,FIND(":",Sync!$V187)-1)),2)&amp;RIGHT("00"&amp;VALUE(MID(Sync!$V187,FIND(":",Sync!$V187)+1,2)),2),"0000"))))</f>
        <v/>
      </c>
    </row>
    <row r="191">
      <c r="A191">
        <f>IF(Sync!$U188="","",Sync!$U188)</f>
        <v/>
      </c>
      <c r="B191">
        <f>IF($A191="","",IF(ISNUMBER($A191),IF(AND($A191&gt;=10000101,$A191&lt;=99991231),INT($A191/10000),""),IFERROR(VALUE(TRIM(LEFT($A191,FIND("/",$A191)-1))),"")))</f>
        <v/>
      </c>
      <c r="C191">
        <f>IF(OR($A191="",$B191=""),"",IF(ISNUMBER($A191),INT(MOD($A191,10000)/100),IFERROR(VALUE(TRIM(LEFT(MID($A191,FIND("/",$A191)+1,20),FIND("/",MID($A191,FIND("/",$A191)+1,20))-1))),"")))</f>
        <v/>
      </c>
      <c r="D191">
        <f>IF(OR($A191="",$B191=""),"",IF(ISNUMBER($A191),MOD($A191,100),IFERROR(VALUE(TRIM(MID(MID($A191,FIND("/",$A191)+1,20),FIND("/",MID($A191,FIND("/",$A191)+1,20))+1,20))),"")))</f>
        <v/>
      </c>
      <c r="E191">
        <f>IF($A191="","",IF(OR($B191="",$C191="",$D191="",$B191&lt;1300,$B191&gt;1500,$C191&lt;1,$C191&gt;12,$D191&lt;1,$D191&gt;31),"نامعتبر",RIGHT("0000"&amp;$B191,4)&amp;"/"&amp;RIGHT("00"&amp;$C191,2)&amp;"/"&amp;RIGHT("00"&amp;$D191,2)))</f>
        <v/>
      </c>
      <c r="F191">
        <f>IF(OR($E191="",$E191="نامعتبر"),"",LEFT($E191,4)&amp;"/"&amp;MID($E191,6,2))</f>
        <v/>
      </c>
      <c r="G191">
        <f>IF(OR($E191="",$E191="نامعتبر",Sync!$Y188=""),"",Sync!$Y188)</f>
        <v/>
      </c>
      <c r="H191">
        <f>IF($G191="","",IF(Sync!$X188="","",Sync!$X188))</f>
        <v/>
      </c>
      <c r="I191">
        <f>IF($G191="","",IFERROR(VLOOKUP(Sync!$X188,OpTbl,3,0),""))</f>
        <v/>
      </c>
      <c r="J191">
        <f>IF(OR($G191="",Sync!$Z188=""),"",Sync!$Z188)</f>
        <v/>
      </c>
      <c r="K191">
        <f>IF(OR($G191="",Sync!$AA188=""),"",Sync!$AA188)</f>
        <v/>
      </c>
      <c r="L191">
        <f>IF($G191="",0,IF(Sync!$AB188="",0,Sync!$AB188))</f>
        <v/>
      </c>
      <c r="M191">
        <f>IF($G191="",0,IF(Sync!$AC188="",0,Sync!$AC188))</f>
        <v/>
      </c>
      <c r="N191">
        <f>IF($G191="","",IF($H191="مرجوعی خرید",-1,1)*($L191-$M191*IFERROR(VLOOKUP("P01",ParamTbl,3,0),1.5))*(1-IF($I191="خرید",IFERROR(VLOOKUP("P02",ParamTbl,3,0),1),0)/100))</f>
        <v/>
      </c>
      <c r="O191">
        <f>IF($G191="",0,IF($H191="مرجوعی خرید",-1,1)*IF(Sync!$AD188="",0,Sync!$AD188))</f>
        <v/>
      </c>
      <c r="P191">
        <f>IF(OR($G191="",Sync!$W188=""),"",Sync!$W188)</f>
        <v/>
      </c>
      <c r="Q191">
        <f>IF(OR($G191="",Sync!$AE188=""),"",Sync!$AE188)</f>
        <v/>
      </c>
      <c r="R191">
        <f>IF($G191="","",IF(Sync!$V188="","0000",IF(AND(ISNUMBER(Sync!$V188),Sync!$V188&gt;=0,Sync!$V188&lt;1),RIGHT("00"&amp;HOUR(Sync!$V188),2)&amp;RIGHT("00"&amp;MINUTE(Sync!$V188),2),IFERROR(RIGHT("00"&amp;VALUE(LEFT(Sync!$V188,FIND(":",Sync!$V188)-1)),2)&amp;RIGHT("00"&amp;VALUE(MID(Sync!$V188,FIND(":",Sync!$V188)+1,2)),2),"0000"))))</f>
        <v/>
      </c>
    </row>
    <row r="192">
      <c r="A192">
        <f>IF(Sync!$U189="","",Sync!$U189)</f>
        <v/>
      </c>
      <c r="B192">
        <f>IF($A192="","",IF(ISNUMBER($A192),IF(AND($A192&gt;=10000101,$A192&lt;=99991231),INT($A192/10000),""),IFERROR(VALUE(TRIM(LEFT($A192,FIND("/",$A192)-1))),"")))</f>
        <v/>
      </c>
      <c r="C192">
        <f>IF(OR($A192="",$B192=""),"",IF(ISNUMBER($A192),INT(MOD($A192,10000)/100),IFERROR(VALUE(TRIM(LEFT(MID($A192,FIND("/",$A192)+1,20),FIND("/",MID($A192,FIND("/",$A192)+1,20))-1))),"")))</f>
        <v/>
      </c>
      <c r="D192">
        <f>IF(OR($A192="",$B192=""),"",IF(ISNUMBER($A192),MOD($A192,100),IFERROR(VALUE(TRIM(MID(MID($A192,FIND("/",$A192)+1,20),FIND("/",MID($A192,FIND("/",$A192)+1,20))+1,20))),"")))</f>
        <v/>
      </c>
      <c r="E192">
        <f>IF($A192="","",IF(OR($B192="",$C192="",$D192="",$B192&lt;1300,$B192&gt;1500,$C192&lt;1,$C192&gt;12,$D192&lt;1,$D192&gt;31),"نامعتبر",RIGHT("0000"&amp;$B192,4)&amp;"/"&amp;RIGHT("00"&amp;$C192,2)&amp;"/"&amp;RIGHT("00"&amp;$D192,2)))</f>
        <v/>
      </c>
      <c r="F192">
        <f>IF(OR($E192="",$E192="نامعتبر"),"",LEFT($E192,4)&amp;"/"&amp;MID($E192,6,2))</f>
        <v/>
      </c>
      <c r="G192">
        <f>IF(OR($E192="",$E192="نامعتبر",Sync!$Y189=""),"",Sync!$Y189)</f>
        <v/>
      </c>
      <c r="H192">
        <f>IF($G192="","",IF(Sync!$X189="","",Sync!$X189))</f>
        <v/>
      </c>
      <c r="I192">
        <f>IF($G192="","",IFERROR(VLOOKUP(Sync!$X189,OpTbl,3,0),""))</f>
        <v/>
      </c>
      <c r="J192">
        <f>IF(OR($G192="",Sync!$Z189=""),"",Sync!$Z189)</f>
        <v/>
      </c>
      <c r="K192">
        <f>IF(OR($G192="",Sync!$AA189=""),"",Sync!$AA189)</f>
        <v/>
      </c>
      <c r="L192">
        <f>IF($G192="",0,IF(Sync!$AB189="",0,Sync!$AB189))</f>
        <v/>
      </c>
      <c r="M192">
        <f>IF($G192="",0,IF(Sync!$AC189="",0,Sync!$AC189))</f>
        <v/>
      </c>
      <c r="N192">
        <f>IF($G192="","",IF($H192="مرجوعی خرید",-1,1)*($L192-$M192*IFERROR(VLOOKUP("P01",ParamTbl,3,0),1.5))*(1-IF($I192="خرید",IFERROR(VLOOKUP("P02",ParamTbl,3,0),1),0)/100))</f>
        <v/>
      </c>
      <c r="O192">
        <f>IF($G192="",0,IF($H192="مرجوعی خرید",-1,1)*IF(Sync!$AD189="",0,Sync!$AD189))</f>
        <v/>
      </c>
      <c r="P192">
        <f>IF(OR($G192="",Sync!$W189=""),"",Sync!$W189)</f>
        <v/>
      </c>
      <c r="Q192">
        <f>IF(OR($G192="",Sync!$AE189=""),"",Sync!$AE189)</f>
        <v/>
      </c>
      <c r="R192">
        <f>IF($G192="","",IF(Sync!$V189="","0000",IF(AND(ISNUMBER(Sync!$V189),Sync!$V189&gt;=0,Sync!$V189&lt;1),RIGHT("00"&amp;HOUR(Sync!$V189),2)&amp;RIGHT("00"&amp;MINUTE(Sync!$V189),2),IFERROR(RIGHT("00"&amp;VALUE(LEFT(Sync!$V189,FIND(":",Sync!$V189)-1)),2)&amp;RIGHT("00"&amp;VALUE(MID(Sync!$V189,FIND(":",Sync!$V189)+1,2)),2),"0000"))))</f>
        <v/>
      </c>
    </row>
    <row r="193">
      <c r="A193">
        <f>IF(Sync!$U190="","",Sync!$U190)</f>
        <v/>
      </c>
      <c r="B193">
        <f>IF($A193="","",IF(ISNUMBER($A193),IF(AND($A193&gt;=10000101,$A193&lt;=99991231),INT($A193/10000),""),IFERROR(VALUE(TRIM(LEFT($A193,FIND("/",$A193)-1))),"")))</f>
        <v/>
      </c>
      <c r="C193">
        <f>IF(OR($A193="",$B193=""),"",IF(ISNUMBER($A193),INT(MOD($A193,10000)/100),IFERROR(VALUE(TRIM(LEFT(MID($A193,FIND("/",$A193)+1,20),FIND("/",MID($A193,FIND("/",$A193)+1,20))-1))),"")))</f>
        <v/>
      </c>
      <c r="D193">
        <f>IF(OR($A193="",$B193=""),"",IF(ISNUMBER($A193),MOD($A193,100),IFERROR(VALUE(TRIM(MID(MID($A193,FIND("/",$A193)+1,20),FIND("/",MID($A193,FIND("/",$A193)+1,20))+1,20))),"")))</f>
        <v/>
      </c>
      <c r="E193">
        <f>IF($A193="","",IF(OR($B193="",$C193="",$D193="",$B193&lt;1300,$B193&gt;1500,$C193&lt;1,$C193&gt;12,$D193&lt;1,$D193&gt;31),"نامعتبر",RIGHT("0000"&amp;$B193,4)&amp;"/"&amp;RIGHT("00"&amp;$C193,2)&amp;"/"&amp;RIGHT("00"&amp;$D193,2)))</f>
        <v/>
      </c>
      <c r="F193">
        <f>IF(OR($E193="",$E193="نامعتبر"),"",LEFT($E193,4)&amp;"/"&amp;MID($E193,6,2))</f>
        <v/>
      </c>
      <c r="G193">
        <f>IF(OR($E193="",$E193="نامعتبر",Sync!$Y190=""),"",Sync!$Y190)</f>
        <v/>
      </c>
      <c r="H193">
        <f>IF($G193="","",IF(Sync!$X190="","",Sync!$X190))</f>
        <v/>
      </c>
      <c r="I193">
        <f>IF($G193="","",IFERROR(VLOOKUP(Sync!$X190,OpTbl,3,0),""))</f>
        <v/>
      </c>
      <c r="J193">
        <f>IF(OR($G193="",Sync!$Z190=""),"",Sync!$Z190)</f>
        <v/>
      </c>
      <c r="K193">
        <f>IF(OR($G193="",Sync!$AA190=""),"",Sync!$AA190)</f>
        <v/>
      </c>
      <c r="L193">
        <f>IF($G193="",0,IF(Sync!$AB190="",0,Sync!$AB190))</f>
        <v/>
      </c>
      <c r="M193">
        <f>IF($G193="",0,IF(Sync!$AC190="",0,Sync!$AC190))</f>
        <v/>
      </c>
      <c r="N193">
        <f>IF($G193="","",IF($H193="مرجوعی خرید",-1,1)*($L193-$M193*IFERROR(VLOOKUP("P01",ParamTbl,3,0),1.5))*(1-IF($I193="خرید",IFERROR(VLOOKUP("P02",ParamTbl,3,0),1),0)/100))</f>
        <v/>
      </c>
      <c r="O193">
        <f>IF($G193="",0,IF($H193="مرجوعی خرید",-1,1)*IF(Sync!$AD190="",0,Sync!$AD190))</f>
        <v/>
      </c>
      <c r="P193">
        <f>IF(OR($G193="",Sync!$W190=""),"",Sync!$W190)</f>
        <v/>
      </c>
      <c r="Q193">
        <f>IF(OR($G193="",Sync!$AE190=""),"",Sync!$AE190)</f>
        <v/>
      </c>
      <c r="R193">
        <f>IF($G193="","",IF(Sync!$V190="","0000",IF(AND(ISNUMBER(Sync!$V190),Sync!$V190&gt;=0,Sync!$V190&lt;1),RIGHT("00"&amp;HOUR(Sync!$V190),2)&amp;RIGHT("00"&amp;MINUTE(Sync!$V190),2),IFERROR(RIGHT("00"&amp;VALUE(LEFT(Sync!$V190,FIND(":",Sync!$V190)-1)),2)&amp;RIGHT("00"&amp;VALUE(MID(Sync!$V190,FIND(":",Sync!$V190)+1,2)),2),"0000"))))</f>
        <v/>
      </c>
    </row>
    <row r="194">
      <c r="A194">
        <f>IF(Sync!$U191="","",Sync!$U191)</f>
        <v/>
      </c>
      <c r="B194">
        <f>IF($A194="","",IF(ISNUMBER($A194),IF(AND($A194&gt;=10000101,$A194&lt;=99991231),INT($A194/10000),""),IFERROR(VALUE(TRIM(LEFT($A194,FIND("/",$A194)-1))),"")))</f>
        <v/>
      </c>
      <c r="C194">
        <f>IF(OR($A194="",$B194=""),"",IF(ISNUMBER($A194),INT(MOD($A194,10000)/100),IFERROR(VALUE(TRIM(LEFT(MID($A194,FIND("/",$A194)+1,20),FIND("/",MID($A194,FIND("/",$A194)+1,20))-1))),"")))</f>
        <v/>
      </c>
      <c r="D194">
        <f>IF(OR($A194="",$B194=""),"",IF(ISNUMBER($A194),MOD($A194,100),IFERROR(VALUE(TRIM(MID(MID($A194,FIND("/",$A194)+1,20),FIND("/",MID($A194,FIND("/",$A194)+1,20))+1,20))),"")))</f>
        <v/>
      </c>
      <c r="E194">
        <f>IF($A194="","",IF(OR($B194="",$C194="",$D194="",$B194&lt;1300,$B194&gt;1500,$C194&lt;1,$C194&gt;12,$D194&lt;1,$D194&gt;31),"نامعتبر",RIGHT("0000"&amp;$B194,4)&amp;"/"&amp;RIGHT("00"&amp;$C194,2)&amp;"/"&amp;RIGHT("00"&amp;$D194,2)))</f>
        <v/>
      </c>
      <c r="F194">
        <f>IF(OR($E194="",$E194="نامعتبر"),"",LEFT($E194,4)&amp;"/"&amp;MID($E194,6,2))</f>
        <v/>
      </c>
      <c r="G194">
        <f>IF(OR($E194="",$E194="نامعتبر",Sync!$Y191=""),"",Sync!$Y191)</f>
        <v/>
      </c>
      <c r="H194">
        <f>IF($G194="","",IF(Sync!$X191="","",Sync!$X191))</f>
        <v/>
      </c>
      <c r="I194">
        <f>IF($G194="","",IFERROR(VLOOKUP(Sync!$X191,OpTbl,3,0),""))</f>
        <v/>
      </c>
      <c r="J194">
        <f>IF(OR($G194="",Sync!$Z191=""),"",Sync!$Z191)</f>
        <v/>
      </c>
      <c r="K194">
        <f>IF(OR($G194="",Sync!$AA191=""),"",Sync!$AA191)</f>
        <v/>
      </c>
      <c r="L194">
        <f>IF($G194="",0,IF(Sync!$AB191="",0,Sync!$AB191))</f>
        <v/>
      </c>
      <c r="M194">
        <f>IF($G194="",0,IF(Sync!$AC191="",0,Sync!$AC191))</f>
        <v/>
      </c>
      <c r="N194">
        <f>IF($G194="","",IF($H194="مرجوعی خرید",-1,1)*($L194-$M194*IFERROR(VLOOKUP("P01",ParamTbl,3,0),1.5))*(1-IF($I194="خرید",IFERROR(VLOOKUP("P02",ParamTbl,3,0),1),0)/100))</f>
        <v/>
      </c>
      <c r="O194">
        <f>IF($G194="",0,IF($H194="مرجوعی خرید",-1,1)*IF(Sync!$AD191="",0,Sync!$AD191))</f>
        <v/>
      </c>
      <c r="P194">
        <f>IF(OR($G194="",Sync!$W191=""),"",Sync!$W191)</f>
        <v/>
      </c>
      <c r="Q194">
        <f>IF(OR($G194="",Sync!$AE191=""),"",Sync!$AE191)</f>
        <v/>
      </c>
      <c r="R194">
        <f>IF($G194="","",IF(Sync!$V191="","0000",IF(AND(ISNUMBER(Sync!$V191),Sync!$V191&gt;=0,Sync!$V191&lt;1),RIGHT("00"&amp;HOUR(Sync!$V191),2)&amp;RIGHT("00"&amp;MINUTE(Sync!$V191),2),IFERROR(RIGHT("00"&amp;VALUE(LEFT(Sync!$V191,FIND(":",Sync!$V191)-1)),2)&amp;RIGHT("00"&amp;VALUE(MID(Sync!$V191,FIND(":",Sync!$V191)+1,2)),2),"0000"))))</f>
        <v/>
      </c>
    </row>
    <row r="195">
      <c r="A195">
        <f>IF(Sync!$U192="","",Sync!$U192)</f>
        <v/>
      </c>
      <c r="B195">
        <f>IF($A195="","",IF(ISNUMBER($A195),IF(AND($A195&gt;=10000101,$A195&lt;=99991231),INT($A195/10000),""),IFERROR(VALUE(TRIM(LEFT($A195,FIND("/",$A195)-1))),"")))</f>
        <v/>
      </c>
      <c r="C195">
        <f>IF(OR($A195="",$B195=""),"",IF(ISNUMBER($A195),INT(MOD($A195,10000)/100),IFERROR(VALUE(TRIM(LEFT(MID($A195,FIND("/",$A195)+1,20),FIND("/",MID($A195,FIND("/",$A195)+1,20))-1))),"")))</f>
        <v/>
      </c>
      <c r="D195">
        <f>IF(OR($A195="",$B195=""),"",IF(ISNUMBER($A195),MOD($A195,100),IFERROR(VALUE(TRIM(MID(MID($A195,FIND("/",$A195)+1,20),FIND("/",MID($A195,FIND("/",$A195)+1,20))+1,20))),"")))</f>
        <v/>
      </c>
      <c r="E195">
        <f>IF($A195="","",IF(OR($B195="",$C195="",$D195="",$B195&lt;1300,$B195&gt;1500,$C195&lt;1,$C195&gt;12,$D195&lt;1,$D195&gt;31),"نامعتبر",RIGHT("0000"&amp;$B195,4)&amp;"/"&amp;RIGHT("00"&amp;$C195,2)&amp;"/"&amp;RIGHT("00"&amp;$D195,2)))</f>
        <v/>
      </c>
      <c r="F195">
        <f>IF(OR($E195="",$E195="نامعتبر"),"",LEFT($E195,4)&amp;"/"&amp;MID($E195,6,2))</f>
        <v/>
      </c>
      <c r="G195">
        <f>IF(OR($E195="",$E195="نامعتبر",Sync!$Y192=""),"",Sync!$Y192)</f>
        <v/>
      </c>
      <c r="H195">
        <f>IF($G195="","",IF(Sync!$X192="","",Sync!$X192))</f>
        <v/>
      </c>
      <c r="I195">
        <f>IF($G195="","",IFERROR(VLOOKUP(Sync!$X192,OpTbl,3,0),""))</f>
        <v/>
      </c>
      <c r="J195">
        <f>IF(OR($G195="",Sync!$Z192=""),"",Sync!$Z192)</f>
        <v/>
      </c>
      <c r="K195">
        <f>IF(OR($G195="",Sync!$AA192=""),"",Sync!$AA192)</f>
        <v/>
      </c>
      <c r="L195">
        <f>IF($G195="",0,IF(Sync!$AB192="",0,Sync!$AB192))</f>
        <v/>
      </c>
      <c r="M195">
        <f>IF($G195="",0,IF(Sync!$AC192="",0,Sync!$AC192))</f>
        <v/>
      </c>
      <c r="N195">
        <f>IF($G195="","",IF($H195="مرجوعی خرید",-1,1)*($L195-$M195*IFERROR(VLOOKUP("P01",ParamTbl,3,0),1.5))*(1-IF($I195="خرید",IFERROR(VLOOKUP("P02",ParamTbl,3,0),1),0)/100))</f>
        <v/>
      </c>
      <c r="O195">
        <f>IF($G195="",0,IF($H195="مرجوعی خرید",-1,1)*IF(Sync!$AD192="",0,Sync!$AD192))</f>
        <v/>
      </c>
      <c r="P195">
        <f>IF(OR($G195="",Sync!$W192=""),"",Sync!$W192)</f>
        <v/>
      </c>
      <c r="Q195">
        <f>IF(OR($G195="",Sync!$AE192=""),"",Sync!$AE192)</f>
        <v/>
      </c>
      <c r="R195">
        <f>IF($G195="","",IF(Sync!$V192="","0000",IF(AND(ISNUMBER(Sync!$V192),Sync!$V192&gt;=0,Sync!$V192&lt;1),RIGHT("00"&amp;HOUR(Sync!$V192),2)&amp;RIGHT("00"&amp;MINUTE(Sync!$V192),2),IFERROR(RIGHT("00"&amp;VALUE(LEFT(Sync!$V192,FIND(":",Sync!$V192)-1)),2)&amp;RIGHT("00"&amp;VALUE(MID(Sync!$V192,FIND(":",Sync!$V192)+1,2)),2),"0000"))))</f>
        <v/>
      </c>
    </row>
    <row r="196">
      <c r="A196">
        <f>IF(Sync!$U193="","",Sync!$U193)</f>
        <v/>
      </c>
      <c r="B196">
        <f>IF($A196="","",IF(ISNUMBER($A196),IF(AND($A196&gt;=10000101,$A196&lt;=99991231),INT($A196/10000),""),IFERROR(VALUE(TRIM(LEFT($A196,FIND("/",$A196)-1))),"")))</f>
        <v/>
      </c>
      <c r="C196">
        <f>IF(OR($A196="",$B196=""),"",IF(ISNUMBER($A196),INT(MOD($A196,10000)/100),IFERROR(VALUE(TRIM(LEFT(MID($A196,FIND("/",$A196)+1,20),FIND("/",MID($A196,FIND("/",$A196)+1,20))-1))),"")))</f>
        <v/>
      </c>
      <c r="D196">
        <f>IF(OR($A196="",$B196=""),"",IF(ISNUMBER($A196),MOD($A196,100),IFERROR(VALUE(TRIM(MID(MID($A196,FIND("/",$A196)+1,20),FIND("/",MID($A196,FIND("/",$A196)+1,20))+1,20))),"")))</f>
        <v/>
      </c>
      <c r="E196">
        <f>IF($A196="","",IF(OR($B196="",$C196="",$D196="",$B196&lt;1300,$B196&gt;1500,$C196&lt;1,$C196&gt;12,$D196&lt;1,$D196&gt;31),"نامعتبر",RIGHT("0000"&amp;$B196,4)&amp;"/"&amp;RIGHT("00"&amp;$C196,2)&amp;"/"&amp;RIGHT("00"&amp;$D196,2)))</f>
        <v/>
      </c>
      <c r="F196">
        <f>IF(OR($E196="",$E196="نامعتبر"),"",LEFT($E196,4)&amp;"/"&amp;MID($E196,6,2))</f>
        <v/>
      </c>
      <c r="G196">
        <f>IF(OR($E196="",$E196="نامعتبر",Sync!$Y193=""),"",Sync!$Y193)</f>
        <v/>
      </c>
      <c r="H196">
        <f>IF($G196="","",IF(Sync!$X193="","",Sync!$X193))</f>
        <v/>
      </c>
      <c r="I196">
        <f>IF($G196="","",IFERROR(VLOOKUP(Sync!$X193,OpTbl,3,0),""))</f>
        <v/>
      </c>
      <c r="J196">
        <f>IF(OR($G196="",Sync!$Z193=""),"",Sync!$Z193)</f>
        <v/>
      </c>
      <c r="K196">
        <f>IF(OR($G196="",Sync!$AA193=""),"",Sync!$AA193)</f>
        <v/>
      </c>
      <c r="L196">
        <f>IF($G196="",0,IF(Sync!$AB193="",0,Sync!$AB193))</f>
        <v/>
      </c>
      <c r="M196">
        <f>IF($G196="",0,IF(Sync!$AC193="",0,Sync!$AC193))</f>
        <v/>
      </c>
      <c r="N196">
        <f>IF($G196="","",IF($H196="مرجوعی خرید",-1,1)*($L196-$M196*IFERROR(VLOOKUP("P01",ParamTbl,3,0),1.5))*(1-IF($I196="خرید",IFERROR(VLOOKUP("P02",ParamTbl,3,0),1),0)/100))</f>
        <v/>
      </c>
      <c r="O196">
        <f>IF($G196="",0,IF($H196="مرجوعی خرید",-1,1)*IF(Sync!$AD193="",0,Sync!$AD193))</f>
        <v/>
      </c>
      <c r="P196">
        <f>IF(OR($G196="",Sync!$W193=""),"",Sync!$W193)</f>
        <v/>
      </c>
      <c r="Q196">
        <f>IF(OR($G196="",Sync!$AE193=""),"",Sync!$AE193)</f>
        <v/>
      </c>
      <c r="R196">
        <f>IF($G196="","",IF(Sync!$V193="","0000",IF(AND(ISNUMBER(Sync!$V193),Sync!$V193&gt;=0,Sync!$V193&lt;1),RIGHT("00"&amp;HOUR(Sync!$V193),2)&amp;RIGHT("00"&amp;MINUTE(Sync!$V193),2),IFERROR(RIGHT("00"&amp;VALUE(LEFT(Sync!$V193,FIND(":",Sync!$V193)-1)),2)&amp;RIGHT("00"&amp;VALUE(MID(Sync!$V193,FIND(":",Sync!$V193)+1,2)),2),"0000"))))</f>
        <v/>
      </c>
    </row>
    <row r="197">
      <c r="A197">
        <f>IF(Sync!$U194="","",Sync!$U194)</f>
        <v/>
      </c>
      <c r="B197">
        <f>IF($A197="","",IF(ISNUMBER($A197),IF(AND($A197&gt;=10000101,$A197&lt;=99991231),INT($A197/10000),""),IFERROR(VALUE(TRIM(LEFT($A197,FIND("/",$A197)-1))),"")))</f>
        <v/>
      </c>
      <c r="C197">
        <f>IF(OR($A197="",$B197=""),"",IF(ISNUMBER($A197),INT(MOD($A197,10000)/100),IFERROR(VALUE(TRIM(LEFT(MID($A197,FIND("/",$A197)+1,20),FIND("/",MID($A197,FIND("/",$A197)+1,20))-1))),"")))</f>
        <v/>
      </c>
      <c r="D197">
        <f>IF(OR($A197="",$B197=""),"",IF(ISNUMBER($A197),MOD($A197,100),IFERROR(VALUE(TRIM(MID(MID($A197,FIND("/",$A197)+1,20),FIND("/",MID($A197,FIND("/",$A197)+1,20))+1,20))),"")))</f>
        <v/>
      </c>
      <c r="E197">
        <f>IF($A197="","",IF(OR($B197="",$C197="",$D197="",$B197&lt;1300,$B197&gt;1500,$C197&lt;1,$C197&gt;12,$D197&lt;1,$D197&gt;31),"نامعتبر",RIGHT("0000"&amp;$B197,4)&amp;"/"&amp;RIGHT("00"&amp;$C197,2)&amp;"/"&amp;RIGHT("00"&amp;$D197,2)))</f>
        <v/>
      </c>
      <c r="F197">
        <f>IF(OR($E197="",$E197="نامعتبر"),"",LEFT($E197,4)&amp;"/"&amp;MID($E197,6,2))</f>
        <v/>
      </c>
      <c r="G197">
        <f>IF(OR($E197="",$E197="نامعتبر",Sync!$Y194=""),"",Sync!$Y194)</f>
        <v/>
      </c>
      <c r="H197">
        <f>IF($G197="","",IF(Sync!$X194="","",Sync!$X194))</f>
        <v/>
      </c>
      <c r="I197">
        <f>IF($G197="","",IFERROR(VLOOKUP(Sync!$X194,OpTbl,3,0),""))</f>
        <v/>
      </c>
      <c r="J197">
        <f>IF(OR($G197="",Sync!$Z194=""),"",Sync!$Z194)</f>
        <v/>
      </c>
      <c r="K197">
        <f>IF(OR($G197="",Sync!$AA194=""),"",Sync!$AA194)</f>
        <v/>
      </c>
      <c r="L197">
        <f>IF($G197="",0,IF(Sync!$AB194="",0,Sync!$AB194))</f>
        <v/>
      </c>
      <c r="M197">
        <f>IF($G197="",0,IF(Sync!$AC194="",0,Sync!$AC194))</f>
        <v/>
      </c>
      <c r="N197">
        <f>IF($G197="","",IF($H197="مرجوعی خرید",-1,1)*($L197-$M197*IFERROR(VLOOKUP("P01",ParamTbl,3,0),1.5))*(1-IF($I197="خرید",IFERROR(VLOOKUP("P02",ParamTbl,3,0),1),0)/100))</f>
        <v/>
      </c>
      <c r="O197">
        <f>IF($G197="",0,IF($H197="مرجوعی خرید",-1,1)*IF(Sync!$AD194="",0,Sync!$AD194))</f>
        <v/>
      </c>
      <c r="P197">
        <f>IF(OR($G197="",Sync!$W194=""),"",Sync!$W194)</f>
        <v/>
      </c>
      <c r="Q197">
        <f>IF(OR($G197="",Sync!$AE194=""),"",Sync!$AE194)</f>
        <v/>
      </c>
      <c r="R197">
        <f>IF($G197="","",IF(Sync!$V194="","0000",IF(AND(ISNUMBER(Sync!$V194),Sync!$V194&gt;=0,Sync!$V194&lt;1),RIGHT("00"&amp;HOUR(Sync!$V194),2)&amp;RIGHT("00"&amp;MINUTE(Sync!$V194),2),IFERROR(RIGHT("00"&amp;VALUE(LEFT(Sync!$V194,FIND(":",Sync!$V194)-1)),2)&amp;RIGHT("00"&amp;VALUE(MID(Sync!$V194,FIND(":",Sync!$V194)+1,2)),2),"0000"))))</f>
        <v/>
      </c>
    </row>
    <row r="198">
      <c r="A198">
        <f>IF(Sync!$U195="","",Sync!$U195)</f>
        <v/>
      </c>
      <c r="B198">
        <f>IF($A198="","",IF(ISNUMBER($A198),IF(AND($A198&gt;=10000101,$A198&lt;=99991231),INT($A198/10000),""),IFERROR(VALUE(TRIM(LEFT($A198,FIND("/",$A198)-1))),"")))</f>
        <v/>
      </c>
      <c r="C198">
        <f>IF(OR($A198="",$B198=""),"",IF(ISNUMBER($A198),INT(MOD($A198,10000)/100),IFERROR(VALUE(TRIM(LEFT(MID($A198,FIND("/",$A198)+1,20),FIND("/",MID($A198,FIND("/",$A198)+1,20))-1))),"")))</f>
        <v/>
      </c>
      <c r="D198">
        <f>IF(OR($A198="",$B198=""),"",IF(ISNUMBER($A198),MOD($A198,100),IFERROR(VALUE(TRIM(MID(MID($A198,FIND("/",$A198)+1,20),FIND("/",MID($A198,FIND("/",$A198)+1,20))+1,20))),"")))</f>
        <v/>
      </c>
      <c r="E198">
        <f>IF($A198="","",IF(OR($B198="",$C198="",$D198="",$B198&lt;1300,$B198&gt;1500,$C198&lt;1,$C198&gt;12,$D198&lt;1,$D198&gt;31),"نامعتبر",RIGHT("0000"&amp;$B198,4)&amp;"/"&amp;RIGHT("00"&amp;$C198,2)&amp;"/"&amp;RIGHT("00"&amp;$D198,2)))</f>
        <v/>
      </c>
      <c r="F198">
        <f>IF(OR($E198="",$E198="نامعتبر"),"",LEFT($E198,4)&amp;"/"&amp;MID($E198,6,2))</f>
        <v/>
      </c>
      <c r="G198">
        <f>IF(OR($E198="",$E198="نامعتبر",Sync!$Y195=""),"",Sync!$Y195)</f>
        <v/>
      </c>
      <c r="H198">
        <f>IF($G198="","",IF(Sync!$X195="","",Sync!$X195))</f>
        <v/>
      </c>
      <c r="I198">
        <f>IF($G198="","",IFERROR(VLOOKUP(Sync!$X195,OpTbl,3,0),""))</f>
        <v/>
      </c>
      <c r="J198">
        <f>IF(OR($G198="",Sync!$Z195=""),"",Sync!$Z195)</f>
        <v/>
      </c>
      <c r="K198">
        <f>IF(OR($G198="",Sync!$AA195=""),"",Sync!$AA195)</f>
        <v/>
      </c>
      <c r="L198">
        <f>IF($G198="",0,IF(Sync!$AB195="",0,Sync!$AB195))</f>
        <v/>
      </c>
      <c r="M198">
        <f>IF($G198="",0,IF(Sync!$AC195="",0,Sync!$AC195))</f>
        <v/>
      </c>
      <c r="N198">
        <f>IF($G198="","",IF($H198="مرجوعی خرید",-1,1)*($L198-$M198*IFERROR(VLOOKUP("P01",ParamTbl,3,0),1.5))*(1-IF($I198="خرید",IFERROR(VLOOKUP("P02",ParamTbl,3,0),1),0)/100))</f>
        <v/>
      </c>
      <c r="O198">
        <f>IF($G198="",0,IF($H198="مرجوعی خرید",-1,1)*IF(Sync!$AD195="",0,Sync!$AD195))</f>
        <v/>
      </c>
      <c r="P198">
        <f>IF(OR($G198="",Sync!$W195=""),"",Sync!$W195)</f>
        <v/>
      </c>
      <c r="Q198">
        <f>IF(OR($G198="",Sync!$AE195=""),"",Sync!$AE195)</f>
        <v/>
      </c>
      <c r="R198">
        <f>IF($G198="","",IF(Sync!$V195="","0000",IF(AND(ISNUMBER(Sync!$V195),Sync!$V195&gt;=0,Sync!$V195&lt;1),RIGHT("00"&amp;HOUR(Sync!$V195),2)&amp;RIGHT("00"&amp;MINUTE(Sync!$V195),2),IFERROR(RIGHT("00"&amp;VALUE(LEFT(Sync!$V195,FIND(":",Sync!$V195)-1)),2)&amp;RIGHT("00"&amp;VALUE(MID(Sync!$V195,FIND(":",Sync!$V195)+1,2)),2),"0000"))))</f>
        <v/>
      </c>
    </row>
    <row r="199">
      <c r="A199">
        <f>IF(Sync!$U196="","",Sync!$U196)</f>
        <v/>
      </c>
      <c r="B199">
        <f>IF($A199="","",IF(ISNUMBER($A199),IF(AND($A199&gt;=10000101,$A199&lt;=99991231),INT($A199/10000),""),IFERROR(VALUE(TRIM(LEFT($A199,FIND("/",$A199)-1))),"")))</f>
        <v/>
      </c>
      <c r="C199">
        <f>IF(OR($A199="",$B199=""),"",IF(ISNUMBER($A199),INT(MOD($A199,10000)/100),IFERROR(VALUE(TRIM(LEFT(MID($A199,FIND("/",$A199)+1,20),FIND("/",MID($A199,FIND("/",$A199)+1,20))-1))),"")))</f>
        <v/>
      </c>
      <c r="D199">
        <f>IF(OR($A199="",$B199=""),"",IF(ISNUMBER($A199),MOD($A199,100),IFERROR(VALUE(TRIM(MID(MID($A199,FIND("/",$A199)+1,20),FIND("/",MID($A199,FIND("/",$A199)+1,20))+1,20))),"")))</f>
        <v/>
      </c>
      <c r="E199">
        <f>IF($A199="","",IF(OR($B199="",$C199="",$D199="",$B199&lt;1300,$B199&gt;1500,$C199&lt;1,$C199&gt;12,$D199&lt;1,$D199&gt;31),"نامعتبر",RIGHT("0000"&amp;$B199,4)&amp;"/"&amp;RIGHT("00"&amp;$C199,2)&amp;"/"&amp;RIGHT("00"&amp;$D199,2)))</f>
        <v/>
      </c>
      <c r="F199">
        <f>IF(OR($E199="",$E199="نامعتبر"),"",LEFT($E199,4)&amp;"/"&amp;MID($E199,6,2))</f>
        <v/>
      </c>
      <c r="G199">
        <f>IF(OR($E199="",$E199="نامعتبر",Sync!$Y196=""),"",Sync!$Y196)</f>
        <v/>
      </c>
      <c r="H199">
        <f>IF($G199="","",IF(Sync!$X196="","",Sync!$X196))</f>
        <v/>
      </c>
      <c r="I199">
        <f>IF($G199="","",IFERROR(VLOOKUP(Sync!$X196,OpTbl,3,0),""))</f>
        <v/>
      </c>
      <c r="J199">
        <f>IF(OR($G199="",Sync!$Z196=""),"",Sync!$Z196)</f>
        <v/>
      </c>
      <c r="K199">
        <f>IF(OR($G199="",Sync!$AA196=""),"",Sync!$AA196)</f>
        <v/>
      </c>
      <c r="L199">
        <f>IF($G199="",0,IF(Sync!$AB196="",0,Sync!$AB196))</f>
        <v/>
      </c>
      <c r="M199">
        <f>IF($G199="",0,IF(Sync!$AC196="",0,Sync!$AC196))</f>
        <v/>
      </c>
      <c r="N199">
        <f>IF($G199="","",IF($H199="مرجوعی خرید",-1,1)*($L199-$M199*IFERROR(VLOOKUP("P01",ParamTbl,3,0),1.5))*(1-IF($I199="خرید",IFERROR(VLOOKUP("P02",ParamTbl,3,0),1),0)/100))</f>
        <v/>
      </c>
      <c r="O199">
        <f>IF($G199="",0,IF($H199="مرجوعی خرید",-1,1)*IF(Sync!$AD196="",0,Sync!$AD196))</f>
        <v/>
      </c>
      <c r="P199">
        <f>IF(OR($G199="",Sync!$W196=""),"",Sync!$W196)</f>
        <v/>
      </c>
      <c r="Q199">
        <f>IF(OR($G199="",Sync!$AE196=""),"",Sync!$AE196)</f>
        <v/>
      </c>
      <c r="R199">
        <f>IF($G199="","",IF(Sync!$V196="","0000",IF(AND(ISNUMBER(Sync!$V196),Sync!$V196&gt;=0,Sync!$V196&lt;1),RIGHT("00"&amp;HOUR(Sync!$V196),2)&amp;RIGHT("00"&amp;MINUTE(Sync!$V196),2),IFERROR(RIGHT("00"&amp;VALUE(LEFT(Sync!$V196,FIND(":",Sync!$V196)-1)),2)&amp;RIGHT("00"&amp;VALUE(MID(Sync!$V196,FIND(":",Sync!$V196)+1,2)),2),"0000"))))</f>
        <v/>
      </c>
    </row>
    <row r="200">
      <c r="A200">
        <f>IF(Sync!$U197="","",Sync!$U197)</f>
        <v/>
      </c>
      <c r="B200">
        <f>IF($A200="","",IF(ISNUMBER($A200),IF(AND($A200&gt;=10000101,$A200&lt;=99991231),INT($A200/10000),""),IFERROR(VALUE(TRIM(LEFT($A200,FIND("/",$A200)-1))),"")))</f>
        <v/>
      </c>
      <c r="C200">
        <f>IF(OR($A200="",$B200=""),"",IF(ISNUMBER($A200),INT(MOD($A200,10000)/100),IFERROR(VALUE(TRIM(LEFT(MID($A200,FIND("/",$A200)+1,20),FIND("/",MID($A200,FIND("/",$A200)+1,20))-1))),"")))</f>
        <v/>
      </c>
      <c r="D200">
        <f>IF(OR($A200="",$B200=""),"",IF(ISNUMBER($A200),MOD($A200,100),IFERROR(VALUE(TRIM(MID(MID($A200,FIND("/",$A200)+1,20),FIND("/",MID($A200,FIND("/",$A200)+1,20))+1,20))),"")))</f>
        <v/>
      </c>
      <c r="E200">
        <f>IF($A200="","",IF(OR($B200="",$C200="",$D200="",$B200&lt;1300,$B200&gt;1500,$C200&lt;1,$C200&gt;12,$D200&lt;1,$D200&gt;31),"نامعتبر",RIGHT("0000"&amp;$B200,4)&amp;"/"&amp;RIGHT("00"&amp;$C200,2)&amp;"/"&amp;RIGHT("00"&amp;$D200,2)))</f>
        <v/>
      </c>
      <c r="F200">
        <f>IF(OR($E200="",$E200="نامعتبر"),"",LEFT($E200,4)&amp;"/"&amp;MID($E200,6,2))</f>
        <v/>
      </c>
      <c r="G200">
        <f>IF(OR($E200="",$E200="نامعتبر",Sync!$Y197=""),"",Sync!$Y197)</f>
        <v/>
      </c>
      <c r="H200">
        <f>IF($G200="","",IF(Sync!$X197="","",Sync!$X197))</f>
        <v/>
      </c>
      <c r="I200">
        <f>IF($G200="","",IFERROR(VLOOKUP(Sync!$X197,OpTbl,3,0),""))</f>
        <v/>
      </c>
      <c r="J200">
        <f>IF(OR($G200="",Sync!$Z197=""),"",Sync!$Z197)</f>
        <v/>
      </c>
      <c r="K200">
        <f>IF(OR($G200="",Sync!$AA197=""),"",Sync!$AA197)</f>
        <v/>
      </c>
      <c r="L200">
        <f>IF($G200="",0,IF(Sync!$AB197="",0,Sync!$AB197))</f>
        <v/>
      </c>
      <c r="M200">
        <f>IF($G200="",0,IF(Sync!$AC197="",0,Sync!$AC197))</f>
        <v/>
      </c>
      <c r="N200">
        <f>IF($G200="","",IF($H200="مرجوعی خرید",-1,1)*($L200-$M200*IFERROR(VLOOKUP("P01",ParamTbl,3,0),1.5))*(1-IF($I200="خرید",IFERROR(VLOOKUP("P02",ParamTbl,3,0),1),0)/100))</f>
        <v/>
      </c>
      <c r="O200">
        <f>IF($G200="",0,IF($H200="مرجوعی خرید",-1,1)*IF(Sync!$AD197="",0,Sync!$AD197))</f>
        <v/>
      </c>
      <c r="P200">
        <f>IF(OR($G200="",Sync!$W197=""),"",Sync!$W197)</f>
        <v/>
      </c>
      <c r="Q200">
        <f>IF(OR($G200="",Sync!$AE197=""),"",Sync!$AE197)</f>
        <v/>
      </c>
      <c r="R200">
        <f>IF($G200="","",IF(Sync!$V197="","0000",IF(AND(ISNUMBER(Sync!$V197),Sync!$V197&gt;=0,Sync!$V197&lt;1),RIGHT("00"&amp;HOUR(Sync!$V197),2)&amp;RIGHT("00"&amp;MINUTE(Sync!$V197),2),IFERROR(RIGHT("00"&amp;VALUE(LEFT(Sync!$V197,FIND(":",Sync!$V197)-1)),2)&amp;RIGHT("00"&amp;VALUE(MID(Sync!$V197,FIND(":",Sync!$V197)+1,2)),2),"0000"))))</f>
        <v/>
      </c>
    </row>
    <row r="201">
      <c r="A201">
        <f>IF(Sync!$U198="","",Sync!$U198)</f>
        <v/>
      </c>
      <c r="B201">
        <f>IF($A201="","",IF(ISNUMBER($A201),IF(AND($A201&gt;=10000101,$A201&lt;=99991231),INT($A201/10000),""),IFERROR(VALUE(TRIM(LEFT($A201,FIND("/",$A201)-1))),"")))</f>
        <v/>
      </c>
      <c r="C201">
        <f>IF(OR($A201="",$B201=""),"",IF(ISNUMBER($A201),INT(MOD($A201,10000)/100),IFERROR(VALUE(TRIM(LEFT(MID($A201,FIND("/",$A201)+1,20),FIND("/",MID($A201,FIND("/",$A201)+1,20))-1))),"")))</f>
        <v/>
      </c>
      <c r="D201">
        <f>IF(OR($A201="",$B201=""),"",IF(ISNUMBER($A201),MOD($A201,100),IFERROR(VALUE(TRIM(MID(MID($A201,FIND("/",$A201)+1,20),FIND("/",MID($A201,FIND("/",$A201)+1,20))+1,20))),"")))</f>
        <v/>
      </c>
      <c r="E201">
        <f>IF($A201="","",IF(OR($B201="",$C201="",$D201="",$B201&lt;1300,$B201&gt;1500,$C201&lt;1,$C201&gt;12,$D201&lt;1,$D201&gt;31),"نامعتبر",RIGHT("0000"&amp;$B201,4)&amp;"/"&amp;RIGHT("00"&amp;$C201,2)&amp;"/"&amp;RIGHT("00"&amp;$D201,2)))</f>
        <v/>
      </c>
      <c r="F201">
        <f>IF(OR($E201="",$E201="نامعتبر"),"",LEFT($E201,4)&amp;"/"&amp;MID($E201,6,2))</f>
        <v/>
      </c>
      <c r="G201">
        <f>IF(OR($E201="",$E201="نامعتبر",Sync!$Y198=""),"",Sync!$Y198)</f>
        <v/>
      </c>
      <c r="H201">
        <f>IF($G201="","",IF(Sync!$X198="","",Sync!$X198))</f>
        <v/>
      </c>
      <c r="I201">
        <f>IF($G201="","",IFERROR(VLOOKUP(Sync!$X198,OpTbl,3,0),""))</f>
        <v/>
      </c>
      <c r="J201">
        <f>IF(OR($G201="",Sync!$Z198=""),"",Sync!$Z198)</f>
        <v/>
      </c>
      <c r="K201">
        <f>IF(OR($G201="",Sync!$AA198=""),"",Sync!$AA198)</f>
        <v/>
      </c>
      <c r="L201">
        <f>IF($G201="",0,IF(Sync!$AB198="",0,Sync!$AB198))</f>
        <v/>
      </c>
      <c r="M201">
        <f>IF($G201="",0,IF(Sync!$AC198="",0,Sync!$AC198))</f>
        <v/>
      </c>
      <c r="N201">
        <f>IF($G201="","",IF($H201="مرجوعی خرید",-1,1)*($L201-$M201*IFERROR(VLOOKUP("P01",ParamTbl,3,0),1.5))*(1-IF($I201="خرید",IFERROR(VLOOKUP("P02",ParamTbl,3,0),1),0)/100))</f>
        <v/>
      </c>
      <c r="O201">
        <f>IF($G201="",0,IF($H201="مرجوعی خرید",-1,1)*IF(Sync!$AD198="",0,Sync!$AD198))</f>
        <v/>
      </c>
      <c r="P201">
        <f>IF(OR($G201="",Sync!$W198=""),"",Sync!$W198)</f>
        <v/>
      </c>
      <c r="Q201">
        <f>IF(OR($G201="",Sync!$AE198=""),"",Sync!$AE198)</f>
        <v/>
      </c>
      <c r="R201">
        <f>IF($G201="","",IF(Sync!$V198="","0000",IF(AND(ISNUMBER(Sync!$V198),Sync!$V198&gt;=0,Sync!$V198&lt;1),RIGHT("00"&amp;HOUR(Sync!$V198),2)&amp;RIGHT("00"&amp;MINUTE(Sync!$V198),2),IFERROR(RIGHT("00"&amp;VALUE(LEFT(Sync!$V198,FIND(":",Sync!$V198)-1)),2)&amp;RIGHT("00"&amp;VALUE(MID(Sync!$V198,FIND(":",Sync!$V198)+1,2)),2),"0000"))))</f>
        <v/>
      </c>
    </row>
    <row r="202">
      <c r="A202">
        <f>IF(Sync!$U199="","",Sync!$U199)</f>
        <v/>
      </c>
      <c r="B202">
        <f>IF($A202="","",IF(ISNUMBER($A202),IF(AND($A202&gt;=10000101,$A202&lt;=99991231),INT($A202/10000),""),IFERROR(VALUE(TRIM(LEFT($A202,FIND("/",$A202)-1))),"")))</f>
        <v/>
      </c>
      <c r="C202">
        <f>IF(OR($A202="",$B202=""),"",IF(ISNUMBER($A202),INT(MOD($A202,10000)/100),IFERROR(VALUE(TRIM(LEFT(MID($A202,FIND("/",$A202)+1,20),FIND("/",MID($A202,FIND("/",$A202)+1,20))-1))),"")))</f>
        <v/>
      </c>
      <c r="D202">
        <f>IF(OR($A202="",$B202=""),"",IF(ISNUMBER($A202),MOD($A202,100),IFERROR(VALUE(TRIM(MID(MID($A202,FIND("/",$A202)+1,20),FIND("/",MID($A202,FIND("/",$A202)+1,20))+1,20))),"")))</f>
        <v/>
      </c>
      <c r="E202">
        <f>IF($A202="","",IF(OR($B202="",$C202="",$D202="",$B202&lt;1300,$B202&gt;1500,$C202&lt;1,$C202&gt;12,$D202&lt;1,$D202&gt;31),"نامعتبر",RIGHT("0000"&amp;$B202,4)&amp;"/"&amp;RIGHT("00"&amp;$C202,2)&amp;"/"&amp;RIGHT("00"&amp;$D202,2)))</f>
        <v/>
      </c>
      <c r="F202">
        <f>IF(OR($E202="",$E202="نامعتبر"),"",LEFT($E202,4)&amp;"/"&amp;MID($E202,6,2))</f>
        <v/>
      </c>
      <c r="G202">
        <f>IF(OR($E202="",$E202="نامعتبر",Sync!$Y199=""),"",Sync!$Y199)</f>
        <v/>
      </c>
      <c r="H202">
        <f>IF($G202="","",IF(Sync!$X199="","",Sync!$X199))</f>
        <v/>
      </c>
      <c r="I202">
        <f>IF($G202="","",IFERROR(VLOOKUP(Sync!$X199,OpTbl,3,0),""))</f>
        <v/>
      </c>
      <c r="J202">
        <f>IF(OR($G202="",Sync!$Z199=""),"",Sync!$Z199)</f>
        <v/>
      </c>
      <c r="K202">
        <f>IF(OR($G202="",Sync!$AA199=""),"",Sync!$AA199)</f>
        <v/>
      </c>
      <c r="L202">
        <f>IF($G202="",0,IF(Sync!$AB199="",0,Sync!$AB199))</f>
        <v/>
      </c>
      <c r="M202">
        <f>IF($G202="",0,IF(Sync!$AC199="",0,Sync!$AC199))</f>
        <v/>
      </c>
      <c r="N202">
        <f>IF($G202="","",IF($H202="مرجوعی خرید",-1,1)*($L202-$M202*IFERROR(VLOOKUP("P01",ParamTbl,3,0),1.5))*(1-IF($I202="خرید",IFERROR(VLOOKUP("P02",ParamTbl,3,0),1),0)/100))</f>
        <v/>
      </c>
      <c r="O202">
        <f>IF($G202="",0,IF($H202="مرجوعی خرید",-1,1)*IF(Sync!$AD199="",0,Sync!$AD199))</f>
        <v/>
      </c>
      <c r="P202">
        <f>IF(OR($G202="",Sync!$W199=""),"",Sync!$W199)</f>
        <v/>
      </c>
      <c r="Q202">
        <f>IF(OR($G202="",Sync!$AE199=""),"",Sync!$AE199)</f>
        <v/>
      </c>
      <c r="R202">
        <f>IF($G202="","",IF(Sync!$V199="","0000",IF(AND(ISNUMBER(Sync!$V199),Sync!$V199&gt;=0,Sync!$V199&lt;1),RIGHT("00"&amp;HOUR(Sync!$V199),2)&amp;RIGHT("00"&amp;MINUTE(Sync!$V199),2),IFERROR(RIGHT("00"&amp;VALUE(LEFT(Sync!$V199,FIND(":",Sync!$V199)-1)),2)&amp;RIGHT("00"&amp;VALUE(MID(Sync!$V199,FIND(":",Sync!$V199)+1,2)),2),"0000"))))</f>
        <v/>
      </c>
    </row>
    <row r="203">
      <c r="A203">
        <f>IF(Sync!$U200="","",Sync!$U200)</f>
        <v/>
      </c>
      <c r="B203">
        <f>IF($A203="","",IF(ISNUMBER($A203),IF(AND($A203&gt;=10000101,$A203&lt;=99991231),INT($A203/10000),""),IFERROR(VALUE(TRIM(LEFT($A203,FIND("/",$A203)-1))),"")))</f>
        <v/>
      </c>
      <c r="C203">
        <f>IF(OR($A203="",$B203=""),"",IF(ISNUMBER($A203),INT(MOD($A203,10000)/100),IFERROR(VALUE(TRIM(LEFT(MID($A203,FIND("/",$A203)+1,20),FIND("/",MID($A203,FIND("/",$A203)+1,20))-1))),"")))</f>
        <v/>
      </c>
      <c r="D203">
        <f>IF(OR($A203="",$B203=""),"",IF(ISNUMBER($A203),MOD($A203,100),IFERROR(VALUE(TRIM(MID(MID($A203,FIND("/",$A203)+1,20),FIND("/",MID($A203,FIND("/",$A203)+1,20))+1,20))),"")))</f>
        <v/>
      </c>
      <c r="E203">
        <f>IF($A203="","",IF(OR($B203="",$C203="",$D203="",$B203&lt;1300,$B203&gt;1500,$C203&lt;1,$C203&gt;12,$D203&lt;1,$D203&gt;31),"نامعتبر",RIGHT("0000"&amp;$B203,4)&amp;"/"&amp;RIGHT("00"&amp;$C203,2)&amp;"/"&amp;RIGHT("00"&amp;$D203,2)))</f>
        <v/>
      </c>
      <c r="F203">
        <f>IF(OR($E203="",$E203="نامعتبر"),"",LEFT($E203,4)&amp;"/"&amp;MID($E203,6,2))</f>
        <v/>
      </c>
      <c r="G203">
        <f>IF(OR($E203="",$E203="نامعتبر",Sync!$Y200=""),"",Sync!$Y200)</f>
        <v/>
      </c>
      <c r="H203">
        <f>IF($G203="","",IF(Sync!$X200="","",Sync!$X200))</f>
        <v/>
      </c>
      <c r="I203">
        <f>IF($G203="","",IFERROR(VLOOKUP(Sync!$X200,OpTbl,3,0),""))</f>
        <v/>
      </c>
      <c r="J203">
        <f>IF(OR($G203="",Sync!$Z200=""),"",Sync!$Z200)</f>
        <v/>
      </c>
      <c r="K203">
        <f>IF(OR($G203="",Sync!$AA200=""),"",Sync!$AA200)</f>
        <v/>
      </c>
      <c r="L203">
        <f>IF($G203="",0,IF(Sync!$AB200="",0,Sync!$AB200))</f>
        <v/>
      </c>
      <c r="M203">
        <f>IF($G203="",0,IF(Sync!$AC200="",0,Sync!$AC200))</f>
        <v/>
      </c>
      <c r="N203">
        <f>IF($G203="","",IF($H203="مرجوعی خرید",-1,1)*($L203-$M203*IFERROR(VLOOKUP("P01",ParamTbl,3,0),1.5))*(1-IF($I203="خرید",IFERROR(VLOOKUP("P02",ParamTbl,3,0),1),0)/100))</f>
        <v/>
      </c>
      <c r="O203">
        <f>IF($G203="",0,IF($H203="مرجوعی خرید",-1,1)*IF(Sync!$AD200="",0,Sync!$AD200))</f>
        <v/>
      </c>
      <c r="P203">
        <f>IF(OR($G203="",Sync!$W200=""),"",Sync!$W200)</f>
        <v/>
      </c>
      <c r="Q203">
        <f>IF(OR($G203="",Sync!$AE200=""),"",Sync!$AE200)</f>
        <v/>
      </c>
      <c r="R203">
        <f>IF($G203="","",IF(Sync!$V200="","0000",IF(AND(ISNUMBER(Sync!$V200),Sync!$V200&gt;=0,Sync!$V200&lt;1),RIGHT("00"&amp;HOUR(Sync!$V200),2)&amp;RIGHT("00"&amp;MINUTE(Sync!$V200),2),IFERROR(RIGHT("00"&amp;VALUE(LEFT(Sync!$V200,FIND(":",Sync!$V200)-1)),2)&amp;RIGHT("00"&amp;VALUE(MID(Sync!$V200,FIND(":",Sync!$V200)+1,2)),2),"0000"))))</f>
        <v/>
      </c>
    </row>
    <row r="204">
      <c r="A204">
        <f>IF(Sync!$U201="","",Sync!$U201)</f>
        <v/>
      </c>
      <c r="B204">
        <f>IF($A204="","",IF(ISNUMBER($A204),IF(AND($A204&gt;=10000101,$A204&lt;=99991231),INT($A204/10000),""),IFERROR(VALUE(TRIM(LEFT($A204,FIND("/",$A204)-1))),"")))</f>
        <v/>
      </c>
      <c r="C204">
        <f>IF(OR($A204="",$B204=""),"",IF(ISNUMBER($A204),INT(MOD($A204,10000)/100),IFERROR(VALUE(TRIM(LEFT(MID($A204,FIND("/",$A204)+1,20),FIND("/",MID($A204,FIND("/",$A204)+1,20))-1))),"")))</f>
        <v/>
      </c>
      <c r="D204">
        <f>IF(OR($A204="",$B204=""),"",IF(ISNUMBER($A204),MOD($A204,100),IFERROR(VALUE(TRIM(MID(MID($A204,FIND("/",$A204)+1,20),FIND("/",MID($A204,FIND("/",$A204)+1,20))+1,20))),"")))</f>
        <v/>
      </c>
      <c r="E204">
        <f>IF($A204="","",IF(OR($B204="",$C204="",$D204="",$B204&lt;1300,$B204&gt;1500,$C204&lt;1,$C204&gt;12,$D204&lt;1,$D204&gt;31),"نامعتبر",RIGHT("0000"&amp;$B204,4)&amp;"/"&amp;RIGHT("00"&amp;$C204,2)&amp;"/"&amp;RIGHT("00"&amp;$D204,2)))</f>
        <v/>
      </c>
      <c r="F204">
        <f>IF(OR($E204="",$E204="نامعتبر"),"",LEFT($E204,4)&amp;"/"&amp;MID($E204,6,2))</f>
        <v/>
      </c>
      <c r="G204">
        <f>IF(OR($E204="",$E204="نامعتبر",Sync!$Y201=""),"",Sync!$Y201)</f>
        <v/>
      </c>
      <c r="H204">
        <f>IF($G204="","",IF(Sync!$X201="","",Sync!$X201))</f>
        <v/>
      </c>
      <c r="I204">
        <f>IF($G204="","",IFERROR(VLOOKUP(Sync!$X201,OpTbl,3,0),""))</f>
        <v/>
      </c>
      <c r="J204">
        <f>IF(OR($G204="",Sync!$Z201=""),"",Sync!$Z201)</f>
        <v/>
      </c>
      <c r="K204">
        <f>IF(OR($G204="",Sync!$AA201=""),"",Sync!$AA201)</f>
        <v/>
      </c>
      <c r="L204">
        <f>IF($G204="",0,IF(Sync!$AB201="",0,Sync!$AB201))</f>
        <v/>
      </c>
      <c r="M204">
        <f>IF($G204="",0,IF(Sync!$AC201="",0,Sync!$AC201))</f>
        <v/>
      </c>
      <c r="N204">
        <f>IF($G204="","",IF($H204="مرجوعی خرید",-1,1)*($L204-$M204*IFERROR(VLOOKUP("P01",ParamTbl,3,0),1.5))*(1-IF($I204="خرید",IFERROR(VLOOKUP("P02",ParamTbl,3,0),1),0)/100))</f>
        <v/>
      </c>
      <c r="O204">
        <f>IF($G204="",0,IF($H204="مرجوعی خرید",-1,1)*IF(Sync!$AD201="",0,Sync!$AD201))</f>
        <v/>
      </c>
      <c r="P204">
        <f>IF(OR($G204="",Sync!$W201=""),"",Sync!$W201)</f>
        <v/>
      </c>
      <c r="Q204">
        <f>IF(OR($G204="",Sync!$AE201=""),"",Sync!$AE201)</f>
        <v/>
      </c>
      <c r="R204">
        <f>IF($G204="","",IF(Sync!$V201="","0000",IF(AND(ISNUMBER(Sync!$V201),Sync!$V201&gt;=0,Sync!$V201&lt;1),RIGHT("00"&amp;HOUR(Sync!$V201),2)&amp;RIGHT("00"&amp;MINUTE(Sync!$V201),2),IFERROR(RIGHT("00"&amp;VALUE(LEFT(Sync!$V201,FIND(":",Sync!$V201)-1)),2)&amp;RIGHT("00"&amp;VALUE(MID(Sync!$V201,FIND(":",Sync!$V201)+1,2)),2),"0000"))))</f>
        <v/>
      </c>
    </row>
    <row r="205">
      <c r="A205">
        <f>IF(Sync!$U202="","",Sync!$U202)</f>
        <v/>
      </c>
      <c r="B205">
        <f>IF($A205="","",IF(ISNUMBER($A205),IF(AND($A205&gt;=10000101,$A205&lt;=99991231),INT($A205/10000),""),IFERROR(VALUE(TRIM(LEFT($A205,FIND("/",$A205)-1))),"")))</f>
        <v/>
      </c>
      <c r="C205">
        <f>IF(OR($A205="",$B205=""),"",IF(ISNUMBER($A205),INT(MOD($A205,10000)/100),IFERROR(VALUE(TRIM(LEFT(MID($A205,FIND("/",$A205)+1,20),FIND("/",MID($A205,FIND("/",$A205)+1,20))-1))),"")))</f>
        <v/>
      </c>
      <c r="D205">
        <f>IF(OR($A205="",$B205=""),"",IF(ISNUMBER($A205),MOD($A205,100),IFERROR(VALUE(TRIM(MID(MID($A205,FIND("/",$A205)+1,20),FIND("/",MID($A205,FIND("/",$A205)+1,20))+1,20))),"")))</f>
        <v/>
      </c>
      <c r="E205">
        <f>IF($A205="","",IF(OR($B205="",$C205="",$D205="",$B205&lt;1300,$B205&gt;1500,$C205&lt;1,$C205&gt;12,$D205&lt;1,$D205&gt;31),"نامعتبر",RIGHT("0000"&amp;$B205,4)&amp;"/"&amp;RIGHT("00"&amp;$C205,2)&amp;"/"&amp;RIGHT("00"&amp;$D205,2)))</f>
        <v/>
      </c>
      <c r="F205">
        <f>IF(OR($E205="",$E205="نامعتبر"),"",LEFT($E205,4)&amp;"/"&amp;MID($E205,6,2))</f>
        <v/>
      </c>
      <c r="G205">
        <f>IF(OR($E205="",$E205="نامعتبر",Sync!$Y202=""),"",Sync!$Y202)</f>
        <v/>
      </c>
      <c r="H205">
        <f>IF($G205="","",IF(Sync!$X202="","",Sync!$X202))</f>
        <v/>
      </c>
      <c r="I205">
        <f>IF($G205="","",IFERROR(VLOOKUP(Sync!$X202,OpTbl,3,0),""))</f>
        <v/>
      </c>
      <c r="J205">
        <f>IF(OR($G205="",Sync!$Z202=""),"",Sync!$Z202)</f>
        <v/>
      </c>
      <c r="K205">
        <f>IF(OR($G205="",Sync!$AA202=""),"",Sync!$AA202)</f>
        <v/>
      </c>
      <c r="L205">
        <f>IF($G205="",0,IF(Sync!$AB202="",0,Sync!$AB202))</f>
        <v/>
      </c>
      <c r="M205">
        <f>IF($G205="",0,IF(Sync!$AC202="",0,Sync!$AC202))</f>
        <v/>
      </c>
      <c r="N205">
        <f>IF($G205="","",IF($H205="مرجوعی خرید",-1,1)*($L205-$M205*IFERROR(VLOOKUP("P01",ParamTbl,3,0),1.5))*(1-IF($I205="خرید",IFERROR(VLOOKUP("P02",ParamTbl,3,0),1),0)/100))</f>
        <v/>
      </c>
      <c r="O205">
        <f>IF($G205="",0,IF($H205="مرجوعی خرید",-1,1)*IF(Sync!$AD202="",0,Sync!$AD202))</f>
        <v/>
      </c>
      <c r="P205">
        <f>IF(OR($G205="",Sync!$W202=""),"",Sync!$W202)</f>
        <v/>
      </c>
      <c r="Q205">
        <f>IF(OR($G205="",Sync!$AE202=""),"",Sync!$AE202)</f>
        <v/>
      </c>
      <c r="R205">
        <f>IF($G205="","",IF(Sync!$V202="","0000",IF(AND(ISNUMBER(Sync!$V202),Sync!$V202&gt;=0,Sync!$V202&lt;1),RIGHT("00"&amp;HOUR(Sync!$V202),2)&amp;RIGHT("00"&amp;MINUTE(Sync!$V202),2),IFERROR(RIGHT("00"&amp;VALUE(LEFT(Sync!$V202,FIND(":",Sync!$V202)-1)),2)&amp;RIGHT("00"&amp;VALUE(MID(Sync!$V202,FIND(":",Sync!$V202)+1,2)),2),"0000"))))</f>
        <v/>
      </c>
    </row>
    <row r="206">
      <c r="A206">
        <f>IF(Sync!$U203="","",Sync!$U203)</f>
        <v/>
      </c>
      <c r="B206">
        <f>IF($A206="","",IF(ISNUMBER($A206),IF(AND($A206&gt;=10000101,$A206&lt;=99991231),INT($A206/10000),""),IFERROR(VALUE(TRIM(LEFT($A206,FIND("/",$A206)-1))),"")))</f>
        <v/>
      </c>
      <c r="C206">
        <f>IF(OR($A206="",$B206=""),"",IF(ISNUMBER($A206),INT(MOD($A206,10000)/100),IFERROR(VALUE(TRIM(LEFT(MID($A206,FIND("/",$A206)+1,20),FIND("/",MID($A206,FIND("/",$A206)+1,20))-1))),"")))</f>
        <v/>
      </c>
      <c r="D206">
        <f>IF(OR($A206="",$B206=""),"",IF(ISNUMBER($A206),MOD($A206,100),IFERROR(VALUE(TRIM(MID(MID($A206,FIND("/",$A206)+1,20),FIND("/",MID($A206,FIND("/",$A206)+1,20))+1,20))),"")))</f>
        <v/>
      </c>
      <c r="E206">
        <f>IF($A206="","",IF(OR($B206="",$C206="",$D206="",$B206&lt;1300,$B206&gt;1500,$C206&lt;1,$C206&gt;12,$D206&lt;1,$D206&gt;31),"نامعتبر",RIGHT("0000"&amp;$B206,4)&amp;"/"&amp;RIGHT("00"&amp;$C206,2)&amp;"/"&amp;RIGHT("00"&amp;$D206,2)))</f>
        <v/>
      </c>
      <c r="F206">
        <f>IF(OR($E206="",$E206="نامعتبر"),"",LEFT($E206,4)&amp;"/"&amp;MID($E206,6,2))</f>
        <v/>
      </c>
      <c r="G206">
        <f>IF(OR($E206="",$E206="نامعتبر",Sync!$Y203=""),"",Sync!$Y203)</f>
        <v/>
      </c>
      <c r="H206">
        <f>IF($G206="","",IF(Sync!$X203="","",Sync!$X203))</f>
        <v/>
      </c>
      <c r="I206">
        <f>IF($G206="","",IFERROR(VLOOKUP(Sync!$X203,OpTbl,3,0),""))</f>
        <v/>
      </c>
      <c r="J206">
        <f>IF(OR($G206="",Sync!$Z203=""),"",Sync!$Z203)</f>
        <v/>
      </c>
      <c r="K206">
        <f>IF(OR($G206="",Sync!$AA203=""),"",Sync!$AA203)</f>
        <v/>
      </c>
      <c r="L206">
        <f>IF($G206="",0,IF(Sync!$AB203="",0,Sync!$AB203))</f>
        <v/>
      </c>
      <c r="M206">
        <f>IF($G206="",0,IF(Sync!$AC203="",0,Sync!$AC203))</f>
        <v/>
      </c>
      <c r="N206">
        <f>IF($G206="","",IF($H206="مرجوعی خرید",-1,1)*($L206-$M206*IFERROR(VLOOKUP("P01",ParamTbl,3,0),1.5))*(1-IF($I206="خرید",IFERROR(VLOOKUP("P02",ParamTbl,3,0),1),0)/100))</f>
        <v/>
      </c>
      <c r="O206">
        <f>IF($G206="",0,IF($H206="مرجوعی خرید",-1,1)*IF(Sync!$AD203="",0,Sync!$AD203))</f>
        <v/>
      </c>
      <c r="P206">
        <f>IF(OR($G206="",Sync!$W203=""),"",Sync!$W203)</f>
        <v/>
      </c>
      <c r="Q206">
        <f>IF(OR($G206="",Sync!$AE203=""),"",Sync!$AE203)</f>
        <v/>
      </c>
      <c r="R206">
        <f>IF($G206="","",IF(Sync!$V203="","0000",IF(AND(ISNUMBER(Sync!$V203),Sync!$V203&gt;=0,Sync!$V203&lt;1),RIGHT("00"&amp;HOUR(Sync!$V203),2)&amp;RIGHT("00"&amp;MINUTE(Sync!$V203),2),IFERROR(RIGHT("00"&amp;VALUE(LEFT(Sync!$V203,FIND(":",Sync!$V203)-1)),2)&amp;RIGHT("00"&amp;VALUE(MID(Sync!$V203,FIND(":",Sync!$V203)+1,2)),2),"0000"))))</f>
        <v/>
      </c>
    </row>
    <row r="207">
      <c r="A207">
        <f>IF(Sync!$U204="","",Sync!$U204)</f>
        <v/>
      </c>
      <c r="B207">
        <f>IF($A207="","",IF(ISNUMBER($A207),IF(AND($A207&gt;=10000101,$A207&lt;=99991231),INT($A207/10000),""),IFERROR(VALUE(TRIM(LEFT($A207,FIND("/",$A207)-1))),"")))</f>
        <v/>
      </c>
      <c r="C207">
        <f>IF(OR($A207="",$B207=""),"",IF(ISNUMBER($A207),INT(MOD($A207,10000)/100),IFERROR(VALUE(TRIM(LEFT(MID($A207,FIND("/",$A207)+1,20),FIND("/",MID($A207,FIND("/",$A207)+1,20))-1))),"")))</f>
        <v/>
      </c>
      <c r="D207">
        <f>IF(OR($A207="",$B207=""),"",IF(ISNUMBER($A207),MOD($A207,100),IFERROR(VALUE(TRIM(MID(MID($A207,FIND("/",$A207)+1,20),FIND("/",MID($A207,FIND("/",$A207)+1,20))+1,20))),"")))</f>
        <v/>
      </c>
      <c r="E207">
        <f>IF($A207="","",IF(OR($B207="",$C207="",$D207="",$B207&lt;1300,$B207&gt;1500,$C207&lt;1,$C207&gt;12,$D207&lt;1,$D207&gt;31),"نامعتبر",RIGHT("0000"&amp;$B207,4)&amp;"/"&amp;RIGHT("00"&amp;$C207,2)&amp;"/"&amp;RIGHT("00"&amp;$D207,2)))</f>
        <v/>
      </c>
      <c r="F207">
        <f>IF(OR($E207="",$E207="نامعتبر"),"",LEFT($E207,4)&amp;"/"&amp;MID($E207,6,2))</f>
        <v/>
      </c>
      <c r="G207">
        <f>IF(OR($E207="",$E207="نامعتبر",Sync!$Y204=""),"",Sync!$Y204)</f>
        <v/>
      </c>
      <c r="H207">
        <f>IF($G207="","",IF(Sync!$X204="","",Sync!$X204))</f>
        <v/>
      </c>
      <c r="I207">
        <f>IF($G207="","",IFERROR(VLOOKUP(Sync!$X204,OpTbl,3,0),""))</f>
        <v/>
      </c>
      <c r="J207">
        <f>IF(OR($G207="",Sync!$Z204=""),"",Sync!$Z204)</f>
        <v/>
      </c>
      <c r="K207">
        <f>IF(OR($G207="",Sync!$AA204=""),"",Sync!$AA204)</f>
        <v/>
      </c>
      <c r="L207">
        <f>IF($G207="",0,IF(Sync!$AB204="",0,Sync!$AB204))</f>
        <v/>
      </c>
      <c r="M207">
        <f>IF($G207="",0,IF(Sync!$AC204="",0,Sync!$AC204))</f>
        <v/>
      </c>
      <c r="N207">
        <f>IF($G207="","",IF($H207="مرجوعی خرید",-1,1)*($L207-$M207*IFERROR(VLOOKUP("P01",ParamTbl,3,0),1.5))*(1-IF($I207="خرید",IFERROR(VLOOKUP("P02",ParamTbl,3,0),1),0)/100))</f>
        <v/>
      </c>
      <c r="O207">
        <f>IF($G207="",0,IF($H207="مرجوعی خرید",-1,1)*IF(Sync!$AD204="",0,Sync!$AD204))</f>
        <v/>
      </c>
      <c r="P207">
        <f>IF(OR($G207="",Sync!$W204=""),"",Sync!$W204)</f>
        <v/>
      </c>
      <c r="Q207">
        <f>IF(OR($G207="",Sync!$AE204=""),"",Sync!$AE204)</f>
        <v/>
      </c>
      <c r="R207">
        <f>IF($G207="","",IF(Sync!$V204="","0000",IF(AND(ISNUMBER(Sync!$V204),Sync!$V204&gt;=0,Sync!$V204&lt;1),RIGHT("00"&amp;HOUR(Sync!$V204),2)&amp;RIGHT("00"&amp;MINUTE(Sync!$V204),2),IFERROR(RIGHT("00"&amp;VALUE(LEFT(Sync!$V204,FIND(":",Sync!$V204)-1)),2)&amp;RIGHT("00"&amp;VALUE(MID(Sync!$V204,FIND(":",Sync!$V204)+1,2)),2),"0000"))))</f>
        <v/>
      </c>
    </row>
    <row r="208">
      <c r="A208">
        <f>IF(Sync!$U205="","",Sync!$U205)</f>
        <v/>
      </c>
      <c r="B208">
        <f>IF($A208="","",IF(ISNUMBER($A208),IF(AND($A208&gt;=10000101,$A208&lt;=99991231),INT($A208/10000),""),IFERROR(VALUE(TRIM(LEFT($A208,FIND("/",$A208)-1))),"")))</f>
        <v/>
      </c>
      <c r="C208">
        <f>IF(OR($A208="",$B208=""),"",IF(ISNUMBER($A208),INT(MOD($A208,10000)/100),IFERROR(VALUE(TRIM(LEFT(MID($A208,FIND("/",$A208)+1,20),FIND("/",MID($A208,FIND("/",$A208)+1,20))-1))),"")))</f>
        <v/>
      </c>
      <c r="D208">
        <f>IF(OR($A208="",$B208=""),"",IF(ISNUMBER($A208),MOD($A208,100),IFERROR(VALUE(TRIM(MID(MID($A208,FIND("/",$A208)+1,20),FIND("/",MID($A208,FIND("/",$A208)+1,20))+1,20))),"")))</f>
        <v/>
      </c>
      <c r="E208">
        <f>IF($A208="","",IF(OR($B208="",$C208="",$D208="",$B208&lt;1300,$B208&gt;1500,$C208&lt;1,$C208&gt;12,$D208&lt;1,$D208&gt;31),"نامعتبر",RIGHT("0000"&amp;$B208,4)&amp;"/"&amp;RIGHT("00"&amp;$C208,2)&amp;"/"&amp;RIGHT("00"&amp;$D208,2)))</f>
        <v/>
      </c>
      <c r="F208">
        <f>IF(OR($E208="",$E208="نامعتبر"),"",LEFT($E208,4)&amp;"/"&amp;MID($E208,6,2))</f>
        <v/>
      </c>
      <c r="G208">
        <f>IF(OR($E208="",$E208="نامعتبر",Sync!$Y205=""),"",Sync!$Y205)</f>
        <v/>
      </c>
      <c r="H208">
        <f>IF($G208="","",IF(Sync!$X205="","",Sync!$X205))</f>
        <v/>
      </c>
      <c r="I208">
        <f>IF($G208="","",IFERROR(VLOOKUP(Sync!$X205,OpTbl,3,0),""))</f>
        <v/>
      </c>
      <c r="J208">
        <f>IF(OR($G208="",Sync!$Z205=""),"",Sync!$Z205)</f>
        <v/>
      </c>
      <c r="K208">
        <f>IF(OR($G208="",Sync!$AA205=""),"",Sync!$AA205)</f>
        <v/>
      </c>
      <c r="L208">
        <f>IF($G208="",0,IF(Sync!$AB205="",0,Sync!$AB205))</f>
        <v/>
      </c>
      <c r="M208">
        <f>IF($G208="",0,IF(Sync!$AC205="",0,Sync!$AC205))</f>
        <v/>
      </c>
      <c r="N208">
        <f>IF($G208="","",IF($H208="مرجوعی خرید",-1,1)*($L208-$M208*IFERROR(VLOOKUP("P01",ParamTbl,3,0),1.5))*(1-IF($I208="خرید",IFERROR(VLOOKUP("P02",ParamTbl,3,0),1),0)/100))</f>
        <v/>
      </c>
      <c r="O208">
        <f>IF($G208="",0,IF($H208="مرجوعی خرید",-1,1)*IF(Sync!$AD205="",0,Sync!$AD205))</f>
        <v/>
      </c>
      <c r="P208">
        <f>IF(OR($G208="",Sync!$W205=""),"",Sync!$W205)</f>
        <v/>
      </c>
      <c r="Q208">
        <f>IF(OR($G208="",Sync!$AE205=""),"",Sync!$AE205)</f>
        <v/>
      </c>
      <c r="R208">
        <f>IF($G208="","",IF(Sync!$V205="","0000",IF(AND(ISNUMBER(Sync!$V205),Sync!$V205&gt;=0,Sync!$V205&lt;1),RIGHT("00"&amp;HOUR(Sync!$V205),2)&amp;RIGHT("00"&amp;MINUTE(Sync!$V205),2),IFERROR(RIGHT("00"&amp;VALUE(LEFT(Sync!$V205,FIND(":",Sync!$V205)-1)),2)&amp;RIGHT("00"&amp;VALUE(MID(Sync!$V205,FIND(":",Sync!$V205)+1,2)),2),"0000"))))</f>
        <v/>
      </c>
    </row>
    <row r="209">
      <c r="A209">
        <f>IF(Sync!$U206="","",Sync!$U206)</f>
        <v/>
      </c>
      <c r="B209">
        <f>IF($A209="","",IF(ISNUMBER($A209),IF(AND($A209&gt;=10000101,$A209&lt;=99991231),INT($A209/10000),""),IFERROR(VALUE(TRIM(LEFT($A209,FIND("/",$A209)-1))),"")))</f>
        <v/>
      </c>
      <c r="C209">
        <f>IF(OR($A209="",$B209=""),"",IF(ISNUMBER($A209),INT(MOD($A209,10000)/100),IFERROR(VALUE(TRIM(LEFT(MID($A209,FIND("/",$A209)+1,20),FIND("/",MID($A209,FIND("/",$A209)+1,20))-1))),"")))</f>
        <v/>
      </c>
      <c r="D209">
        <f>IF(OR($A209="",$B209=""),"",IF(ISNUMBER($A209),MOD($A209,100),IFERROR(VALUE(TRIM(MID(MID($A209,FIND("/",$A209)+1,20),FIND("/",MID($A209,FIND("/",$A209)+1,20))+1,20))),"")))</f>
        <v/>
      </c>
      <c r="E209">
        <f>IF($A209="","",IF(OR($B209="",$C209="",$D209="",$B209&lt;1300,$B209&gt;1500,$C209&lt;1,$C209&gt;12,$D209&lt;1,$D209&gt;31),"نامعتبر",RIGHT("0000"&amp;$B209,4)&amp;"/"&amp;RIGHT("00"&amp;$C209,2)&amp;"/"&amp;RIGHT("00"&amp;$D209,2)))</f>
        <v/>
      </c>
      <c r="F209">
        <f>IF(OR($E209="",$E209="نامعتبر"),"",LEFT($E209,4)&amp;"/"&amp;MID($E209,6,2))</f>
        <v/>
      </c>
      <c r="G209">
        <f>IF(OR($E209="",$E209="نامعتبر",Sync!$Y206=""),"",Sync!$Y206)</f>
        <v/>
      </c>
      <c r="H209">
        <f>IF($G209="","",IF(Sync!$X206="","",Sync!$X206))</f>
        <v/>
      </c>
      <c r="I209">
        <f>IF($G209="","",IFERROR(VLOOKUP(Sync!$X206,OpTbl,3,0),""))</f>
        <v/>
      </c>
      <c r="J209">
        <f>IF(OR($G209="",Sync!$Z206=""),"",Sync!$Z206)</f>
        <v/>
      </c>
      <c r="K209">
        <f>IF(OR($G209="",Sync!$AA206=""),"",Sync!$AA206)</f>
        <v/>
      </c>
      <c r="L209">
        <f>IF($G209="",0,IF(Sync!$AB206="",0,Sync!$AB206))</f>
        <v/>
      </c>
      <c r="M209">
        <f>IF($G209="",0,IF(Sync!$AC206="",0,Sync!$AC206))</f>
        <v/>
      </c>
      <c r="N209">
        <f>IF($G209="","",IF($H209="مرجوعی خرید",-1,1)*($L209-$M209*IFERROR(VLOOKUP("P01",ParamTbl,3,0),1.5))*(1-IF($I209="خرید",IFERROR(VLOOKUP("P02",ParamTbl,3,0),1),0)/100))</f>
        <v/>
      </c>
      <c r="O209">
        <f>IF($G209="",0,IF($H209="مرجوعی خرید",-1,1)*IF(Sync!$AD206="",0,Sync!$AD206))</f>
        <v/>
      </c>
      <c r="P209">
        <f>IF(OR($G209="",Sync!$W206=""),"",Sync!$W206)</f>
        <v/>
      </c>
      <c r="Q209">
        <f>IF(OR($G209="",Sync!$AE206=""),"",Sync!$AE206)</f>
        <v/>
      </c>
      <c r="R209">
        <f>IF($G209="","",IF(Sync!$V206="","0000",IF(AND(ISNUMBER(Sync!$V206),Sync!$V206&gt;=0,Sync!$V206&lt;1),RIGHT("00"&amp;HOUR(Sync!$V206),2)&amp;RIGHT("00"&amp;MINUTE(Sync!$V206),2),IFERROR(RIGHT("00"&amp;VALUE(LEFT(Sync!$V206,FIND(":",Sync!$V206)-1)),2)&amp;RIGHT("00"&amp;VALUE(MID(Sync!$V206,FIND(":",Sync!$V206)+1,2)),2),"0000"))))</f>
        <v/>
      </c>
    </row>
    <row r="210">
      <c r="A210">
        <f>IF(Sync!$U207="","",Sync!$U207)</f>
        <v/>
      </c>
      <c r="B210">
        <f>IF($A210="","",IF(ISNUMBER($A210),IF(AND($A210&gt;=10000101,$A210&lt;=99991231),INT($A210/10000),""),IFERROR(VALUE(TRIM(LEFT($A210,FIND("/",$A210)-1))),"")))</f>
        <v/>
      </c>
      <c r="C210">
        <f>IF(OR($A210="",$B210=""),"",IF(ISNUMBER($A210),INT(MOD($A210,10000)/100),IFERROR(VALUE(TRIM(LEFT(MID($A210,FIND("/",$A210)+1,20),FIND("/",MID($A210,FIND("/",$A210)+1,20))-1))),"")))</f>
        <v/>
      </c>
      <c r="D210">
        <f>IF(OR($A210="",$B210=""),"",IF(ISNUMBER($A210),MOD($A210,100),IFERROR(VALUE(TRIM(MID(MID($A210,FIND("/",$A210)+1,20),FIND("/",MID($A210,FIND("/",$A210)+1,20))+1,20))),"")))</f>
        <v/>
      </c>
      <c r="E210">
        <f>IF($A210="","",IF(OR($B210="",$C210="",$D210="",$B210&lt;1300,$B210&gt;1500,$C210&lt;1,$C210&gt;12,$D210&lt;1,$D210&gt;31),"نامعتبر",RIGHT("0000"&amp;$B210,4)&amp;"/"&amp;RIGHT("00"&amp;$C210,2)&amp;"/"&amp;RIGHT("00"&amp;$D210,2)))</f>
        <v/>
      </c>
      <c r="F210">
        <f>IF(OR($E210="",$E210="نامعتبر"),"",LEFT($E210,4)&amp;"/"&amp;MID($E210,6,2))</f>
        <v/>
      </c>
      <c r="G210">
        <f>IF(OR($E210="",$E210="نامعتبر",Sync!$Y207=""),"",Sync!$Y207)</f>
        <v/>
      </c>
      <c r="H210">
        <f>IF($G210="","",IF(Sync!$X207="","",Sync!$X207))</f>
        <v/>
      </c>
      <c r="I210">
        <f>IF($G210="","",IFERROR(VLOOKUP(Sync!$X207,OpTbl,3,0),""))</f>
        <v/>
      </c>
      <c r="J210">
        <f>IF(OR($G210="",Sync!$Z207=""),"",Sync!$Z207)</f>
        <v/>
      </c>
      <c r="K210">
        <f>IF(OR($G210="",Sync!$AA207=""),"",Sync!$AA207)</f>
        <v/>
      </c>
      <c r="L210">
        <f>IF($G210="",0,IF(Sync!$AB207="",0,Sync!$AB207))</f>
        <v/>
      </c>
      <c r="M210">
        <f>IF($G210="",0,IF(Sync!$AC207="",0,Sync!$AC207))</f>
        <v/>
      </c>
      <c r="N210">
        <f>IF($G210="","",IF($H210="مرجوعی خرید",-1,1)*($L210-$M210*IFERROR(VLOOKUP("P01",ParamTbl,3,0),1.5))*(1-IF($I210="خرید",IFERROR(VLOOKUP("P02",ParamTbl,3,0),1),0)/100))</f>
        <v/>
      </c>
      <c r="O210">
        <f>IF($G210="",0,IF($H210="مرجوعی خرید",-1,1)*IF(Sync!$AD207="",0,Sync!$AD207))</f>
        <v/>
      </c>
      <c r="P210">
        <f>IF(OR($G210="",Sync!$W207=""),"",Sync!$W207)</f>
        <v/>
      </c>
      <c r="Q210">
        <f>IF(OR($G210="",Sync!$AE207=""),"",Sync!$AE207)</f>
        <v/>
      </c>
      <c r="R210">
        <f>IF($G210="","",IF(Sync!$V207="","0000",IF(AND(ISNUMBER(Sync!$V207),Sync!$V207&gt;=0,Sync!$V207&lt;1),RIGHT("00"&amp;HOUR(Sync!$V207),2)&amp;RIGHT("00"&amp;MINUTE(Sync!$V207),2),IFERROR(RIGHT("00"&amp;VALUE(LEFT(Sync!$V207,FIND(":",Sync!$V207)-1)),2)&amp;RIGHT("00"&amp;VALUE(MID(Sync!$V207,FIND(":",Sync!$V207)+1,2)),2),"0000"))))</f>
        <v/>
      </c>
    </row>
    <row r="211">
      <c r="A211">
        <f>IF(Sync!$U208="","",Sync!$U208)</f>
        <v/>
      </c>
      <c r="B211">
        <f>IF($A211="","",IF(ISNUMBER($A211),IF(AND($A211&gt;=10000101,$A211&lt;=99991231),INT($A211/10000),""),IFERROR(VALUE(TRIM(LEFT($A211,FIND("/",$A211)-1))),"")))</f>
        <v/>
      </c>
      <c r="C211">
        <f>IF(OR($A211="",$B211=""),"",IF(ISNUMBER($A211),INT(MOD($A211,10000)/100),IFERROR(VALUE(TRIM(LEFT(MID($A211,FIND("/",$A211)+1,20),FIND("/",MID($A211,FIND("/",$A211)+1,20))-1))),"")))</f>
        <v/>
      </c>
      <c r="D211">
        <f>IF(OR($A211="",$B211=""),"",IF(ISNUMBER($A211),MOD($A211,100),IFERROR(VALUE(TRIM(MID(MID($A211,FIND("/",$A211)+1,20),FIND("/",MID($A211,FIND("/",$A211)+1,20))+1,20))),"")))</f>
        <v/>
      </c>
      <c r="E211">
        <f>IF($A211="","",IF(OR($B211="",$C211="",$D211="",$B211&lt;1300,$B211&gt;1500,$C211&lt;1,$C211&gt;12,$D211&lt;1,$D211&gt;31),"نامعتبر",RIGHT("0000"&amp;$B211,4)&amp;"/"&amp;RIGHT("00"&amp;$C211,2)&amp;"/"&amp;RIGHT("00"&amp;$D211,2)))</f>
        <v/>
      </c>
      <c r="F211">
        <f>IF(OR($E211="",$E211="نامعتبر"),"",LEFT($E211,4)&amp;"/"&amp;MID($E211,6,2))</f>
        <v/>
      </c>
      <c r="G211">
        <f>IF(OR($E211="",$E211="نامعتبر",Sync!$Y208=""),"",Sync!$Y208)</f>
        <v/>
      </c>
      <c r="H211">
        <f>IF($G211="","",IF(Sync!$X208="","",Sync!$X208))</f>
        <v/>
      </c>
      <c r="I211">
        <f>IF($G211="","",IFERROR(VLOOKUP(Sync!$X208,OpTbl,3,0),""))</f>
        <v/>
      </c>
      <c r="J211">
        <f>IF(OR($G211="",Sync!$Z208=""),"",Sync!$Z208)</f>
        <v/>
      </c>
      <c r="K211">
        <f>IF(OR($G211="",Sync!$AA208=""),"",Sync!$AA208)</f>
        <v/>
      </c>
      <c r="L211">
        <f>IF($G211="",0,IF(Sync!$AB208="",0,Sync!$AB208))</f>
        <v/>
      </c>
      <c r="M211">
        <f>IF($G211="",0,IF(Sync!$AC208="",0,Sync!$AC208))</f>
        <v/>
      </c>
      <c r="N211">
        <f>IF($G211="","",IF($H211="مرجوعی خرید",-1,1)*($L211-$M211*IFERROR(VLOOKUP("P01",ParamTbl,3,0),1.5))*(1-IF($I211="خرید",IFERROR(VLOOKUP("P02",ParamTbl,3,0),1),0)/100))</f>
        <v/>
      </c>
      <c r="O211">
        <f>IF($G211="",0,IF($H211="مرجوعی خرید",-1,1)*IF(Sync!$AD208="",0,Sync!$AD208))</f>
        <v/>
      </c>
      <c r="P211">
        <f>IF(OR($G211="",Sync!$W208=""),"",Sync!$W208)</f>
        <v/>
      </c>
      <c r="Q211">
        <f>IF(OR($G211="",Sync!$AE208=""),"",Sync!$AE208)</f>
        <v/>
      </c>
      <c r="R211">
        <f>IF($G211="","",IF(Sync!$V208="","0000",IF(AND(ISNUMBER(Sync!$V208),Sync!$V208&gt;=0,Sync!$V208&lt;1),RIGHT("00"&amp;HOUR(Sync!$V208),2)&amp;RIGHT("00"&amp;MINUTE(Sync!$V208),2),IFERROR(RIGHT("00"&amp;VALUE(LEFT(Sync!$V208,FIND(":",Sync!$V208)-1)),2)&amp;RIGHT("00"&amp;VALUE(MID(Sync!$V208,FIND(":",Sync!$V208)+1,2)),2),"0000"))))</f>
        <v/>
      </c>
    </row>
    <row r="212">
      <c r="A212">
        <f>IF(Sync!$U209="","",Sync!$U209)</f>
        <v/>
      </c>
      <c r="B212">
        <f>IF($A212="","",IF(ISNUMBER($A212),IF(AND($A212&gt;=10000101,$A212&lt;=99991231),INT($A212/10000),""),IFERROR(VALUE(TRIM(LEFT($A212,FIND("/",$A212)-1))),"")))</f>
        <v/>
      </c>
      <c r="C212">
        <f>IF(OR($A212="",$B212=""),"",IF(ISNUMBER($A212),INT(MOD($A212,10000)/100),IFERROR(VALUE(TRIM(LEFT(MID($A212,FIND("/",$A212)+1,20),FIND("/",MID($A212,FIND("/",$A212)+1,20))-1))),"")))</f>
        <v/>
      </c>
      <c r="D212">
        <f>IF(OR($A212="",$B212=""),"",IF(ISNUMBER($A212),MOD($A212,100),IFERROR(VALUE(TRIM(MID(MID($A212,FIND("/",$A212)+1,20),FIND("/",MID($A212,FIND("/",$A212)+1,20))+1,20))),"")))</f>
        <v/>
      </c>
      <c r="E212">
        <f>IF($A212="","",IF(OR($B212="",$C212="",$D212="",$B212&lt;1300,$B212&gt;1500,$C212&lt;1,$C212&gt;12,$D212&lt;1,$D212&gt;31),"نامعتبر",RIGHT("0000"&amp;$B212,4)&amp;"/"&amp;RIGHT("00"&amp;$C212,2)&amp;"/"&amp;RIGHT("00"&amp;$D212,2)))</f>
        <v/>
      </c>
      <c r="F212">
        <f>IF(OR($E212="",$E212="نامعتبر"),"",LEFT($E212,4)&amp;"/"&amp;MID($E212,6,2))</f>
        <v/>
      </c>
      <c r="G212">
        <f>IF(OR($E212="",$E212="نامعتبر",Sync!$Y209=""),"",Sync!$Y209)</f>
        <v/>
      </c>
      <c r="H212">
        <f>IF($G212="","",IF(Sync!$X209="","",Sync!$X209))</f>
        <v/>
      </c>
      <c r="I212">
        <f>IF($G212="","",IFERROR(VLOOKUP(Sync!$X209,OpTbl,3,0),""))</f>
        <v/>
      </c>
      <c r="J212">
        <f>IF(OR($G212="",Sync!$Z209=""),"",Sync!$Z209)</f>
        <v/>
      </c>
      <c r="K212">
        <f>IF(OR($G212="",Sync!$AA209=""),"",Sync!$AA209)</f>
        <v/>
      </c>
      <c r="L212">
        <f>IF($G212="",0,IF(Sync!$AB209="",0,Sync!$AB209))</f>
        <v/>
      </c>
      <c r="M212">
        <f>IF($G212="",0,IF(Sync!$AC209="",0,Sync!$AC209))</f>
        <v/>
      </c>
      <c r="N212">
        <f>IF($G212="","",IF($H212="مرجوعی خرید",-1,1)*($L212-$M212*IFERROR(VLOOKUP("P01",ParamTbl,3,0),1.5))*(1-IF($I212="خرید",IFERROR(VLOOKUP("P02",ParamTbl,3,0),1),0)/100))</f>
        <v/>
      </c>
      <c r="O212">
        <f>IF($G212="",0,IF($H212="مرجوعی خرید",-1,1)*IF(Sync!$AD209="",0,Sync!$AD209))</f>
        <v/>
      </c>
      <c r="P212">
        <f>IF(OR($G212="",Sync!$W209=""),"",Sync!$W209)</f>
        <v/>
      </c>
      <c r="Q212">
        <f>IF(OR($G212="",Sync!$AE209=""),"",Sync!$AE209)</f>
        <v/>
      </c>
      <c r="R212">
        <f>IF($G212="","",IF(Sync!$V209="","0000",IF(AND(ISNUMBER(Sync!$V209),Sync!$V209&gt;=0,Sync!$V209&lt;1),RIGHT("00"&amp;HOUR(Sync!$V209),2)&amp;RIGHT("00"&amp;MINUTE(Sync!$V209),2),IFERROR(RIGHT("00"&amp;VALUE(LEFT(Sync!$V209,FIND(":",Sync!$V209)-1)),2)&amp;RIGHT("00"&amp;VALUE(MID(Sync!$V209,FIND(":",Sync!$V209)+1,2)),2),"0000"))))</f>
        <v/>
      </c>
    </row>
    <row r="213">
      <c r="A213">
        <f>IF(Sync!$U210="","",Sync!$U210)</f>
        <v/>
      </c>
      <c r="B213">
        <f>IF($A213="","",IF(ISNUMBER($A213),IF(AND($A213&gt;=10000101,$A213&lt;=99991231),INT($A213/10000),""),IFERROR(VALUE(TRIM(LEFT($A213,FIND("/",$A213)-1))),"")))</f>
        <v/>
      </c>
      <c r="C213">
        <f>IF(OR($A213="",$B213=""),"",IF(ISNUMBER($A213),INT(MOD($A213,10000)/100),IFERROR(VALUE(TRIM(LEFT(MID($A213,FIND("/",$A213)+1,20),FIND("/",MID($A213,FIND("/",$A213)+1,20))-1))),"")))</f>
        <v/>
      </c>
      <c r="D213">
        <f>IF(OR($A213="",$B213=""),"",IF(ISNUMBER($A213),MOD($A213,100),IFERROR(VALUE(TRIM(MID(MID($A213,FIND("/",$A213)+1,20),FIND("/",MID($A213,FIND("/",$A213)+1,20))+1,20))),"")))</f>
        <v/>
      </c>
      <c r="E213">
        <f>IF($A213="","",IF(OR($B213="",$C213="",$D213="",$B213&lt;1300,$B213&gt;1500,$C213&lt;1,$C213&gt;12,$D213&lt;1,$D213&gt;31),"نامعتبر",RIGHT("0000"&amp;$B213,4)&amp;"/"&amp;RIGHT("00"&amp;$C213,2)&amp;"/"&amp;RIGHT("00"&amp;$D213,2)))</f>
        <v/>
      </c>
      <c r="F213">
        <f>IF(OR($E213="",$E213="نامعتبر"),"",LEFT($E213,4)&amp;"/"&amp;MID($E213,6,2))</f>
        <v/>
      </c>
      <c r="G213">
        <f>IF(OR($E213="",$E213="نامعتبر",Sync!$Y210=""),"",Sync!$Y210)</f>
        <v/>
      </c>
      <c r="H213">
        <f>IF($G213="","",IF(Sync!$X210="","",Sync!$X210))</f>
        <v/>
      </c>
      <c r="I213">
        <f>IF($G213="","",IFERROR(VLOOKUP(Sync!$X210,OpTbl,3,0),""))</f>
        <v/>
      </c>
      <c r="J213">
        <f>IF(OR($G213="",Sync!$Z210=""),"",Sync!$Z210)</f>
        <v/>
      </c>
      <c r="K213">
        <f>IF(OR($G213="",Sync!$AA210=""),"",Sync!$AA210)</f>
        <v/>
      </c>
      <c r="L213">
        <f>IF($G213="",0,IF(Sync!$AB210="",0,Sync!$AB210))</f>
        <v/>
      </c>
      <c r="M213">
        <f>IF($G213="",0,IF(Sync!$AC210="",0,Sync!$AC210))</f>
        <v/>
      </c>
      <c r="N213">
        <f>IF($G213="","",IF($H213="مرجوعی خرید",-1,1)*($L213-$M213*IFERROR(VLOOKUP("P01",ParamTbl,3,0),1.5))*(1-IF($I213="خرید",IFERROR(VLOOKUP("P02",ParamTbl,3,0),1),0)/100))</f>
        <v/>
      </c>
      <c r="O213">
        <f>IF($G213="",0,IF($H213="مرجوعی خرید",-1,1)*IF(Sync!$AD210="",0,Sync!$AD210))</f>
        <v/>
      </c>
      <c r="P213">
        <f>IF(OR($G213="",Sync!$W210=""),"",Sync!$W210)</f>
        <v/>
      </c>
      <c r="Q213">
        <f>IF(OR($G213="",Sync!$AE210=""),"",Sync!$AE210)</f>
        <v/>
      </c>
      <c r="R213">
        <f>IF($G213="","",IF(Sync!$V210="","0000",IF(AND(ISNUMBER(Sync!$V210),Sync!$V210&gt;=0,Sync!$V210&lt;1),RIGHT("00"&amp;HOUR(Sync!$V210),2)&amp;RIGHT("00"&amp;MINUTE(Sync!$V210),2),IFERROR(RIGHT("00"&amp;VALUE(LEFT(Sync!$V210,FIND(":",Sync!$V210)-1)),2)&amp;RIGHT("00"&amp;VALUE(MID(Sync!$V210,FIND(":",Sync!$V210)+1,2)),2),"0000"))))</f>
        <v/>
      </c>
    </row>
    <row r="214">
      <c r="A214">
        <f>IF(Sync!$U211="","",Sync!$U211)</f>
        <v/>
      </c>
      <c r="B214">
        <f>IF($A214="","",IF(ISNUMBER($A214),IF(AND($A214&gt;=10000101,$A214&lt;=99991231),INT($A214/10000),""),IFERROR(VALUE(TRIM(LEFT($A214,FIND("/",$A214)-1))),"")))</f>
        <v/>
      </c>
      <c r="C214">
        <f>IF(OR($A214="",$B214=""),"",IF(ISNUMBER($A214),INT(MOD($A214,10000)/100),IFERROR(VALUE(TRIM(LEFT(MID($A214,FIND("/",$A214)+1,20),FIND("/",MID($A214,FIND("/",$A214)+1,20))-1))),"")))</f>
        <v/>
      </c>
      <c r="D214">
        <f>IF(OR($A214="",$B214=""),"",IF(ISNUMBER($A214),MOD($A214,100),IFERROR(VALUE(TRIM(MID(MID($A214,FIND("/",$A214)+1,20),FIND("/",MID($A214,FIND("/",$A214)+1,20))+1,20))),"")))</f>
        <v/>
      </c>
      <c r="E214">
        <f>IF($A214="","",IF(OR($B214="",$C214="",$D214="",$B214&lt;1300,$B214&gt;1500,$C214&lt;1,$C214&gt;12,$D214&lt;1,$D214&gt;31),"نامعتبر",RIGHT("0000"&amp;$B214,4)&amp;"/"&amp;RIGHT("00"&amp;$C214,2)&amp;"/"&amp;RIGHT("00"&amp;$D214,2)))</f>
        <v/>
      </c>
      <c r="F214">
        <f>IF(OR($E214="",$E214="نامعتبر"),"",LEFT($E214,4)&amp;"/"&amp;MID($E214,6,2))</f>
        <v/>
      </c>
      <c r="G214">
        <f>IF(OR($E214="",$E214="نامعتبر",Sync!$Y211=""),"",Sync!$Y211)</f>
        <v/>
      </c>
      <c r="H214">
        <f>IF($G214="","",IF(Sync!$X211="","",Sync!$X211))</f>
        <v/>
      </c>
      <c r="I214">
        <f>IF($G214="","",IFERROR(VLOOKUP(Sync!$X211,OpTbl,3,0),""))</f>
        <v/>
      </c>
      <c r="J214">
        <f>IF(OR($G214="",Sync!$Z211=""),"",Sync!$Z211)</f>
        <v/>
      </c>
      <c r="K214">
        <f>IF(OR($G214="",Sync!$AA211=""),"",Sync!$AA211)</f>
        <v/>
      </c>
      <c r="L214">
        <f>IF($G214="",0,IF(Sync!$AB211="",0,Sync!$AB211))</f>
        <v/>
      </c>
      <c r="M214">
        <f>IF($G214="",0,IF(Sync!$AC211="",0,Sync!$AC211))</f>
        <v/>
      </c>
      <c r="N214">
        <f>IF($G214="","",IF($H214="مرجوعی خرید",-1,1)*($L214-$M214*IFERROR(VLOOKUP("P01",ParamTbl,3,0),1.5))*(1-IF($I214="خرید",IFERROR(VLOOKUP("P02",ParamTbl,3,0),1),0)/100))</f>
        <v/>
      </c>
      <c r="O214">
        <f>IF($G214="",0,IF($H214="مرجوعی خرید",-1,1)*IF(Sync!$AD211="",0,Sync!$AD211))</f>
        <v/>
      </c>
      <c r="P214">
        <f>IF(OR($G214="",Sync!$W211=""),"",Sync!$W211)</f>
        <v/>
      </c>
      <c r="Q214">
        <f>IF(OR($G214="",Sync!$AE211=""),"",Sync!$AE211)</f>
        <v/>
      </c>
      <c r="R214">
        <f>IF($G214="","",IF(Sync!$V211="","0000",IF(AND(ISNUMBER(Sync!$V211),Sync!$V211&gt;=0,Sync!$V211&lt;1),RIGHT("00"&amp;HOUR(Sync!$V211),2)&amp;RIGHT("00"&amp;MINUTE(Sync!$V211),2),IFERROR(RIGHT("00"&amp;VALUE(LEFT(Sync!$V211,FIND(":",Sync!$V211)-1)),2)&amp;RIGHT("00"&amp;VALUE(MID(Sync!$V211,FIND(":",Sync!$V211)+1,2)),2),"0000"))))</f>
        <v/>
      </c>
    </row>
    <row r="215">
      <c r="A215">
        <f>IF(Sync!$U212="","",Sync!$U212)</f>
        <v/>
      </c>
      <c r="B215">
        <f>IF($A215="","",IF(ISNUMBER($A215),IF(AND($A215&gt;=10000101,$A215&lt;=99991231),INT($A215/10000),""),IFERROR(VALUE(TRIM(LEFT($A215,FIND("/",$A215)-1))),"")))</f>
        <v/>
      </c>
      <c r="C215">
        <f>IF(OR($A215="",$B215=""),"",IF(ISNUMBER($A215),INT(MOD($A215,10000)/100),IFERROR(VALUE(TRIM(LEFT(MID($A215,FIND("/",$A215)+1,20),FIND("/",MID($A215,FIND("/",$A215)+1,20))-1))),"")))</f>
        <v/>
      </c>
      <c r="D215">
        <f>IF(OR($A215="",$B215=""),"",IF(ISNUMBER($A215),MOD($A215,100),IFERROR(VALUE(TRIM(MID(MID($A215,FIND("/",$A215)+1,20),FIND("/",MID($A215,FIND("/",$A215)+1,20))+1,20))),"")))</f>
        <v/>
      </c>
      <c r="E215">
        <f>IF($A215="","",IF(OR($B215="",$C215="",$D215="",$B215&lt;1300,$B215&gt;1500,$C215&lt;1,$C215&gt;12,$D215&lt;1,$D215&gt;31),"نامعتبر",RIGHT("0000"&amp;$B215,4)&amp;"/"&amp;RIGHT("00"&amp;$C215,2)&amp;"/"&amp;RIGHT("00"&amp;$D215,2)))</f>
        <v/>
      </c>
      <c r="F215">
        <f>IF(OR($E215="",$E215="نامعتبر"),"",LEFT($E215,4)&amp;"/"&amp;MID($E215,6,2))</f>
        <v/>
      </c>
      <c r="G215">
        <f>IF(OR($E215="",$E215="نامعتبر",Sync!$Y212=""),"",Sync!$Y212)</f>
        <v/>
      </c>
      <c r="H215">
        <f>IF($G215="","",IF(Sync!$X212="","",Sync!$X212))</f>
        <v/>
      </c>
      <c r="I215">
        <f>IF($G215="","",IFERROR(VLOOKUP(Sync!$X212,OpTbl,3,0),""))</f>
        <v/>
      </c>
      <c r="J215">
        <f>IF(OR($G215="",Sync!$Z212=""),"",Sync!$Z212)</f>
        <v/>
      </c>
      <c r="K215">
        <f>IF(OR($G215="",Sync!$AA212=""),"",Sync!$AA212)</f>
        <v/>
      </c>
      <c r="L215">
        <f>IF($G215="",0,IF(Sync!$AB212="",0,Sync!$AB212))</f>
        <v/>
      </c>
      <c r="M215">
        <f>IF($G215="",0,IF(Sync!$AC212="",0,Sync!$AC212))</f>
        <v/>
      </c>
      <c r="N215">
        <f>IF($G215="","",IF($H215="مرجوعی خرید",-1,1)*($L215-$M215*IFERROR(VLOOKUP("P01",ParamTbl,3,0),1.5))*(1-IF($I215="خرید",IFERROR(VLOOKUP("P02",ParamTbl,3,0),1),0)/100))</f>
        <v/>
      </c>
      <c r="O215">
        <f>IF($G215="",0,IF($H215="مرجوعی خرید",-1,1)*IF(Sync!$AD212="",0,Sync!$AD212))</f>
        <v/>
      </c>
      <c r="P215">
        <f>IF(OR($G215="",Sync!$W212=""),"",Sync!$W212)</f>
        <v/>
      </c>
      <c r="Q215">
        <f>IF(OR($G215="",Sync!$AE212=""),"",Sync!$AE212)</f>
        <v/>
      </c>
      <c r="R215">
        <f>IF($G215="","",IF(Sync!$V212="","0000",IF(AND(ISNUMBER(Sync!$V212),Sync!$V212&gt;=0,Sync!$V212&lt;1),RIGHT("00"&amp;HOUR(Sync!$V212),2)&amp;RIGHT("00"&amp;MINUTE(Sync!$V212),2),IFERROR(RIGHT("00"&amp;VALUE(LEFT(Sync!$V212,FIND(":",Sync!$V212)-1)),2)&amp;RIGHT("00"&amp;VALUE(MID(Sync!$V212,FIND(":",Sync!$V212)+1,2)),2),"0000"))))</f>
        <v/>
      </c>
    </row>
    <row r="216">
      <c r="A216">
        <f>IF(Sync!$U213="","",Sync!$U213)</f>
        <v/>
      </c>
      <c r="B216">
        <f>IF($A216="","",IF(ISNUMBER($A216),IF(AND($A216&gt;=10000101,$A216&lt;=99991231),INT($A216/10000),""),IFERROR(VALUE(TRIM(LEFT($A216,FIND("/",$A216)-1))),"")))</f>
        <v/>
      </c>
      <c r="C216">
        <f>IF(OR($A216="",$B216=""),"",IF(ISNUMBER($A216),INT(MOD($A216,10000)/100),IFERROR(VALUE(TRIM(LEFT(MID($A216,FIND("/",$A216)+1,20),FIND("/",MID($A216,FIND("/",$A216)+1,20))-1))),"")))</f>
        <v/>
      </c>
      <c r="D216">
        <f>IF(OR($A216="",$B216=""),"",IF(ISNUMBER($A216),MOD($A216,100),IFERROR(VALUE(TRIM(MID(MID($A216,FIND("/",$A216)+1,20),FIND("/",MID($A216,FIND("/",$A216)+1,20))+1,20))),"")))</f>
        <v/>
      </c>
      <c r="E216">
        <f>IF($A216="","",IF(OR($B216="",$C216="",$D216="",$B216&lt;1300,$B216&gt;1500,$C216&lt;1,$C216&gt;12,$D216&lt;1,$D216&gt;31),"نامعتبر",RIGHT("0000"&amp;$B216,4)&amp;"/"&amp;RIGHT("00"&amp;$C216,2)&amp;"/"&amp;RIGHT("00"&amp;$D216,2)))</f>
        <v/>
      </c>
      <c r="F216">
        <f>IF(OR($E216="",$E216="نامعتبر"),"",LEFT($E216,4)&amp;"/"&amp;MID($E216,6,2))</f>
        <v/>
      </c>
      <c r="G216">
        <f>IF(OR($E216="",$E216="نامعتبر",Sync!$Y213=""),"",Sync!$Y213)</f>
        <v/>
      </c>
      <c r="H216">
        <f>IF($G216="","",IF(Sync!$X213="","",Sync!$X213))</f>
        <v/>
      </c>
      <c r="I216">
        <f>IF($G216="","",IFERROR(VLOOKUP(Sync!$X213,OpTbl,3,0),""))</f>
        <v/>
      </c>
      <c r="J216">
        <f>IF(OR($G216="",Sync!$Z213=""),"",Sync!$Z213)</f>
        <v/>
      </c>
      <c r="K216">
        <f>IF(OR($G216="",Sync!$AA213=""),"",Sync!$AA213)</f>
        <v/>
      </c>
      <c r="L216">
        <f>IF($G216="",0,IF(Sync!$AB213="",0,Sync!$AB213))</f>
        <v/>
      </c>
      <c r="M216">
        <f>IF($G216="",0,IF(Sync!$AC213="",0,Sync!$AC213))</f>
        <v/>
      </c>
      <c r="N216">
        <f>IF($G216="","",IF($H216="مرجوعی خرید",-1,1)*($L216-$M216*IFERROR(VLOOKUP("P01",ParamTbl,3,0),1.5))*(1-IF($I216="خرید",IFERROR(VLOOKUP("P02",ParamTbl,3,0),1),0)/100))</f>
        <v/>
      </c>
      <c r="O216">
        <f>IF($G216="",0,IF($H216="مرجوعی خرید",-1,1)*IF(Sync!$AD213="",0,Sync!$AD213))</f>
        <v/>
      </c>
      <c r="P216">
        <f>IF(OR($G216="",Sync!$W213=""),"",Sync!$W213)</f>
        <v/>
      </c>
      <c r="Q216">
        <f>IF(OR($G216="",Sync!$AE213=""),"",Sync!$AE213)</f>
        <v/>
      </c>
      <c r="R216">
        <f>IF($G216="","",IF(Sync!$V213="","0000",IF(AND(ISNUMBER(Sync!$V213),Sync!$V213&gt;=0,Sync!$V213&lt;1),RIGHT("00"&amp;HOUR(Sync!$V213),2)&amp;RIGHT("00"&amp;MINUTE(Sync!$V213),2),IFERROR(RIGHT("00"&amp;VALUE(LEFT(Sync!$V213,FIND(":",Sync!$V213)-1)),2)&amp;RIGHT("00"&amp;VALUE(MID(Sync!$V213,FIND(":",Sync!$V213)+1,2)),2),"0000"))))</f>
        <v/>
      </c>
    </row>
    <row r="217">
      <c r="A217">
        <f>IF(Sync!$U214="","",Sync!$U214)</f>
        <v/>
      </c>
      <c r="B217">
        <f>IF($A217="","",IF(ISNUMBER($A217),IF(AND($A217&gt;=10000101,$A217&lt;=99991231),INT($A217/10000),""),IFERROR(VALUE(TRIM(LEFT($A217,FIND("/",$A217)-1))),"")))</f>
        <v/>
      </c>
      <c r="C217">
        <f>IF(OR($A217="",$B217=""),"",IF(ISNUMBER($A217),INT(MOD($A217,10000)/100),IFERROR(VALUE(TRIM(LEFT(MID($A217,FIND("/",$A217)+1,20),FIND("/",MID($A217,FIND("/",$A217)+1,20))-1))),"")))</f>
        <v/>
      </c>
      <c r="D217">
        <f>IF(OR($A217="",$B217=""),"",IF(ISNUMBER($A217),MOD($A217,100),IFERROR(VALUE(TRIM(MID(MID($A217,FIND("/",$A217)+1,20),FIND("/",MID($A217,FIND("/",$A217)+1,20))+1,20))),"")))</f>
        <v/>
      </c>
      <c r="E217">
        <f>IF($A217="","",IF(OR($B217="",$C217="",$D217="",$B217&lt;1300,$B217&gt;1500,$C217&lt;1,$C217&gt;12,$D217&lt;1,$D217&gt;31),"نامعتبر",RIGHT("0000"&amp;$B217,4)&amp;"/"&amp;RIGHT("00"&amp;$C217,2)&amp;"/"&amp;RIGHT("00"&amp;$D217,2)))</f>
        <v/>
      </c>
      <c r="F217">
        <f>IF(OR($E217="",$E217="نامعتبر"),"",LEFT($E217,4)&amp;"/"&amp;MID($E217,6,2))</f>
        <v/>
      </c>
      <c r="G217">
        <f>IF(OR($E217="",$E217="نامعتبر",Sync!$Y214=""),"",Sync!$Y214)</f>
        <v/>
      </c>
      <c r="H217">
        <f>IF($G217="","",IF(Sync!$X214="","",Sync!$X214))</f>
        <v/>
      </c>
      <c r="I217">
        <f>IF($G217="","",IFERROR(VLOOKUP(Sync!$X214,OpTbl,3,0),""))</f>
        <v/>
      </c>
      <c r="J217">
        <f>IF(OR($G217="",Sync!$Z214=""),"",Sync!$Z214)</f>
        <v/>
      </c>
      <c r="K217">
        <f>IF(OR($G217="",Sync!$AA214=""),"",Sync!$AA214)</f>
        <v/>
      </c>
      <c r="L217">
        <f>IF($G217="",0,IF(Sync!$AB214="",0,Sync!$AB214))</f>
        <v/>
      </c>
      <c r="M217">
        <f>IF($G217="",0,IF(Sync!$AC214="",0,Sync!$AC214))</f>
        <v/>
      </c>
      <c r="N217">
        <f>IF($G217="","",IF($H217="مرجوعی خرید",-1,1)*($L217-$M217*IFERROR(VLOOKUP("P01",ParamTbl,3,0),1.5))*(1-IF($I217="خرید",IFERROR(VLOOKUP("P02",ParamTbl,3,0),1),0)/100))</f>
        <v/>
      </c>
      <c r="O217">
        <f>IF($G217="",0,IF($H217="مرجوعی خرید",-1,1)*IF(Sync!$AD214="",0,Sync!$AD214))</f>
        <v/>
      </c>
      <c r="P217">
        <f>IF(OR($G217="",Sync!$W214=""),"",Sync!$W214)</f>
        <v/>
      </c>
      <c r="Q217">
        <f>IF(OR($G217="",Sync!$AE214=""),"",Sync!$AE214)</f>
        <v/>
      </c>
      <c r="R217">
        <f>IF($G217="","",IF(Sync!$V214="","0000",IF(AND(ISNUMBER(Sync!$V214),Sync!$V214&gt;=0,Sync!$V214&lt;1),RIGHT("00"&amp;HOUR(Sync!$V214),2)&amp;RIGHT("00"&amp;MINUTE(Sync!$V214),2),IFERROR(RIGHT("00"&amp;VALUE(LEFT(Sync!$V214,FIND(":",Sync!$V214)-1)),2)&amp;RIGHT("00"&amp;VALUE(MID(Sync!$V214,FIND(":",Sync!$V214)+1,2)),2),"0000"))))</f>
        <v/>
      </c>
    </row>
    <row r="218">
      <c r="A218">
        <f>IF(Sync!$U215="","",Sync!$U215)</f>
        <v/>
      </c>
      <c r="B218">
        <f>IF($A218="","",IF(ISNUMBER($A218),IF(AND($A218&gt;=10000101,$A218&lt;=99991231),INT($A218/10000),""),IFERROR(VALUE(TRIM(LEFT($A218,FIND("/",$A218)-1))),"")))</f>
        <v/>
      </c>
      <c r="C218">
        <f>IF(OR($A218="",$B218=""),"",IF(ISNUMBER($A218),INT(MOD($A218,10000)/100),IFERROR(VALUE(TRIM(LEFT(MID($A218,FIND("/",$A218)+1,20),FIND("/",MID($A218,FIND("/",$A218)+1,20))-1))),"")))</f>
        <v/>
      </c>
      <c r="D218">
        <f>IF(OR($A218="",$B218=""),"",IF(ISNUMBER($A218),MOD($A218,100),IFERROR(VALUE(TRIM(MID(MID($A218,FIND("/",$A218)+1,20),FIND("/",MID($A218,FIND("/",$A218)+1,20))+1,20))),"")))</f>
        <v/>
      </c>
      <c r="E218">
        <f>IF($A218="","",IF(OR($B218="",$C218="",$D218="",$B218&lt;1300,$B218&gt;1500,$C218&lt;1,$C218&gt;12,$D218&lt;1,$D218&gt;31),"نامعتبر",RIGHT("0000"&amp;$B218,4)&amp;"/"&amp;RIGHT("00"&amp;$C218,2)&amp;"/"&amp;RIGHT("00"&amp;$D218,2)))</f>
        <v/>
      </c>
      <c r="F218">
        <f>IF(OR($E218="",$E218="نامعتبر"),"",LEFT($E218,4)&amp;"/"&amp;MID($E218,6,2))</f>
        <v/>
      </c>
      <c r="G218">
        <f>IF(OR($E218="",$E218="نامعتبر",Sync!$Y215=""),"",Sync!$Y215)</f>
        <v/>
      </c>
      <c r="H218">
        <f>IF($G218="","",IF(Sync!$X215="","",Sync!$X215))</f>
        <v/>
      </c>
      <c r="I218">
        <f>IF($G218="","",IFERROR(VLOOKUP(Sync!$X215,OpTbl,3,0),""))</f>
        <v/>
      </c>
      <c r="J218">
        <f>IF(OR($G218="",Sync!$Z215=""),"",Sync!$Z215)</f>
        <v/>
      </c>
      <c r="K218">
        <f>IF(OR($G218="",Sync!$AA215=""),"",Sync!$AA215)</f>
        <v/>
      </c>
      <c r="L218">
        <f>IF($G218="",0,IF(Sync!$AB215="",0,Sync!$AB215))</f>
        <v/>
      </c>
      <c r="M218">
        <f>IF($G218="",0,IF(Sync!$AC215="",0,Sync!$AC215))</f>
        <v/>
      </c>
      <c r="N218">
        <f>IF($G218="","",IF($H218="مرجوعی خرید",-1,1)*($L218-$M218*IFERROR(VLOOKUP("P01",ParamTbl,3,0),1.5))*(1-IF($I218="خرید",IFERROR(VLOOKUP("P02",ParamTbl,3,0),1),0)/100))</f>
        <v/>
      </c>
      <c r="O218">
        <f>IF($G218="",0,IF($H218="مرجوعی خرید",-1,1)*IF(Sync!$AD215="",0,Sync!$AD215))</f>
        <v/>
      </c>
      <c r="P218">
        <f>IF(OR($G218="",Sync!$W215=""),"",Sync!$W215)</f>
        <v/>
      </c>
      <c r="Q218">
        <f>IF(OR($G218="",Sync!$AE215=""),"",Sync!$AE215)</f>
        <v/>
      </c>
      <c r="R218">
        <f>IF($G218="","",IF(Sync!$V215="","0000",IF(AND(ISNUMBER(Sync!$V215),Sync!$V215&gt;=0,Sync!$V215&lt;1),RIGHT("00"&amp;HOUR(Sync!$V215),2)&amp;RIGHT("00"&amp;MINUTE(Sync!$V215),2),IFERROR(RIGHT("00"&amp;VALUE(LEFT(Sync!$V215,FIND(":",Sync!$V215)-1)),2)&amp;RIGHT("00"&amp;VALUE(MID(Sync!$V215,FIND(":",Sync!$V215)+1,2)),2),"0000"))))</f>
        <v/>
      </c>
    </row>
    <row r="219">
      <c r="A219">
        <f>IF(Sync!$U216="","",Sync!$U216)</f>
        <v/>
      </c>
      <c r="B219">
        <f>IF($A219="","",IF(ISNUMBER($A219),IF(AND($A219&gt;=10000101,$A219&lt;=99991231),INT($A219/10000),""),IFERROR(VALUE(TRIM(LEFT($A219,FIND("/",$A219)-1))),"")))</f>
        <v/>
      </c>
      <c r="C219">
        <f>IF(OR($A219="",$B219=""),"",IF(ISNUMBER($A219),INT(MOD($A219,10000)/100),IFERROR(VALUE(TRIM(LEFT(MID($A219,FIND("/",$A219)+1,20),FIND("/",MID($A219,FIND("/",$A219)+1,20))-1))),"")))</f>
        <v/>
      </c>
      <c r="D219">
        <f>IF(OR($A219="",$B219=""),"",IF(ISNUMBER($A219),MOD($A219,100),IFERROR(VALUE(TRIM(MID(MID($A219,FIND("/",$A219)+1,20),FIND("/",MID($A219,FIND("/",$A219)+1,20))+1,20))),"")))</f>
        <v/>
      </c>
      <c r="E219">
        <f>IF($A219="","",IF(OR($B219="",$C219="",$D219="",$B219&lt;1300,$B219&gt;1500,$C219&lt;1,$C219&gt;12,$D219&lt;1,$D219&gt;31),"نامعتبر",RIGHT("0000"&amp;$B219,4)&amp;"/"&amp;RIGHT("00"&amp;$C219,2)&amp;"/"&amp;RIGHT("00"&amp;$D219,2)))</f>
        <v/>
      </c>
      <c r="F219">
        <f>IF(OR($E219="",$E219="نامعتبر"),"",LEFT($E219,4)&amp;"/"&amp;MID($E219,6,2))</f>
        <v/>
      </c>
      <c r="G219">
        <f>IF(OR($E219="",$E219="نامعتبر",Sync!$Y216=""),"",Sync!$Y216)</f>
        <v/>
      </c>
      <c r="H219">
        <f>IF($G219="","",IF(Sync!$X216="","",Sync!$X216))</f>
        <v/>
      </c>
      <c r="I219">
        <f>IF($G219="","",IFERROR(VLOOKUP(Sync!$X216,OpTbl,3,0),""))</f>
        <v/>
      </c>
      <c r="J219">
        <f>IF(OR($G219="",Sync!$Z216=""),"",Sync!$Z216)</f>
        <v/>
      </c>
      <c r="K219">
        <f>IF(OR($G219="",Sync!$AA216=""),"",Sync!$AA216)</f>
        <v/>
      </c>
      <c r="L219">
        <f>IF($G219="",0,IF(Sync!$AB216="",0,Sync!$AB216))</f>
        <v/>
      </c>
      <c r="M219">
        <f>IF($G219="",0,IF(Sync!$AC216="",0,Sync!$AC216))</f>
        <v/>
      </c>
      <c r="N219">
        <f>IF($G219="","",IF($H219="مرجوعی خرید",-1,1)*($L219-$M219*IFERROR(VLOOKUP("P01",ParamTbl,3,0),1.5))*(1-IF($I219="خرید",IFERROR(VLOOKUP("P02",ParamTbl,3,0),1),0)/100))</f>
        <v/>
      </c>
      <c r="O219">
        <f>IF($G219="",0,IF($H219="مرجوعی خرید",-1,1)*IF(Sync!$AD216="",0,Sync!$AD216))</f>
        <v/>
      </c>
      <c r="P219">
        <f>IF(OR($G219="",Sync!$W216=""),"",Sync!$W216)</f>
        <v/>
      </c>
      <c r="Q219">
        <f>IF(OR($G219="",Sync!$AE216=""),"",Sync!$AE216)</f>
        <v/>
      </c>
      <c r="R219">
        <f>IF($G219="","",IF(Sync!$V216="","0000",IF(AND(ISNUMBER(Sync!$V216),Sync!$V216&gt;=0,Sync!$V216&lt;1),RIGHT("00"&amp;HOUR(Sync!$V216),2)&amp;RIGHT("00"&amp;MINUTE(Sync!$V216),2),IFERROR(RIGHT("00"&amp;VALUE(LEFT(Sync!$V216,FIND(":",Sync!$V216)-1)),2)&amp;RIGHT("00"&amp;VALUE(MID(Sync!$V216,FIND(":",Sync!$V216)+1,2)),2),"0000"))))</f>
        <v/>
      </c>
    </row>
    <row r="220">
      <c r="A220">
        <f>IF(Sync!$U217="","",Sync!$U217)</f>
        <v/>
      </c>
      <c r="B220">
        <f>IF($A220="","",IF(ISNUMBER($A220),IF(AND($A220&gt;=10000101,$A220&lt;=99991231),INT($A220/10000),""),IFERROR(VALUE(TRIM(LEFT($A220,FIND("/",$A220)-1))),"")))</f>
        <v/>
      </c>
      <c r="C220">
        <f>IF(OR($A220="",$B220=""),"",IF(ISNUMBER($A220),INT(MOD($A220,10000)/100),IFERROR(VALUE(TRIM(LEFT(MID($A220,FIND("/",$A220)+1,20),FIND("/",MID($A220,FIND("/",$A220)+1,20))-1))),"")))</f>
        <v/>
      </c>
      <c r="D220">
        <f>IF(OR($A220="",$B220=""),"",IF(ISNUMBER($A220),MOD($A220,100),IFERROR(VALUE(TRIM(MID(MID($A220,FIND("/",$A220)+1,20),FIND("/",MID($A220,FIND("/",$A220)+1,20))+1,20))),"")))</f>
        <v/>
      </c>
      <c r="E220">
        <f>IF($A220="","",IF(OR($B220="",$C220="",$D220="",$B220&lt;1300,$B220&gt;1500,$C220&lt;1,$C220&gt;12,$D220&lt;1,$D220&gt;31),"نامعتبر",RIGHT("0000"&amp;$B220,4)&amp;"/"&amp;RIGHT("00"&amp;$C220,2)&amp;"/"&amp;RIGHT("00"&amp;$D220,2)))</f>
        <v/>
      </c>
      <c r="F220">
        <f>IF(OR($E220="",$E220="نامعتبر"),"",LEFT($E220,4)&amp;"/"&amp;MID($E220,6,2))</f>
        <v/>
      </c>
      <c r="G220">
        <f>IF(OR($E220="",$E220="نامعتبر",Sync!$Y217=""),"",Sync!$Y217)</f>
        <v/>
      </c>
      <c r="H220">
        <f>IF($G220="","",IF(Sync!$X217="","",Sync!$X217))</f>
        <v/>
      </c>
      <c r="I220">
        <f>IF($G220="","",IFERROR(VLOOKUP(Sync!$X217,OpTbl,3,0),""))</f>
        <v/>
      </c>
      <c r="J220">
        <f>IF(OR($G220="",Sync!$Z217=""),"",Sync!$Z217)</f>
        <v/>
      </c>
      <c r="K220">
        <f>IF(OR($G220="",Sync!$AA217=""),"",Sync!$AA217)</f>
        <v/>
      </c>
      <c r="L220">
        <f>IF($G220="",0,IF(Sync!$AB217="",0,Sync!$AB217))</f>
        <v/>
      </c>
      <c r="M220">
        <f>IF($G220="",0,IF(Sync!$AC217="",0,Sync!$AC217))</f>
        <v/>
      </c>
      <c r="N220">
        <f>IF($G220="","",IF($H220="مرجوعی خرید",-1,1)*($L220-$M220*IFERROR(VLOOKUP("P01",ParamTbl,3,0),1.5))*(1-IF($I220="خرید",IFERROR(VLOOKUP("P02",ParamTbl,3,0),1),0)/100))</f>
        <v/>
      </c>
      <c r="O220">
        <f>IF($G220="",0,IF($H220="مرجوعی خرید",-1,1)*IF(Sync!$AD217="",0,Sync!$AD217))</f>
        <v/>
      </c>
      <c r="P220">
        <f>IF(OR($G220="",Sync!$W217=""),"",Sync!$W217)</f>
        <v/>
      </c>
      <c r="Q220">
        <f>IF(OR($G220="",Sync!$AE217=""),"",Sync!$AE217)</f>
        <v/>
      </c>
      <c r="R220">
        <f>IF($G220="","",IF(Sync!$V217="","0000",IF(AND(ISNUMBER(Sync!$V217),Sync!$V217&gt;=0,Sync!$V217&lt;1),RIGHT("00"&amp;HOUR(Sync!$V217),2)&amp;RIGHT("00"&amp;MINUTE(Sync!$V217),2),IFERROR(RIGHT("00"&amp;VALUE(LEFT(Sync!$V217,FIND(":",Sync!$V217)-1)),2)&amp;RIGHT("00"&amp;VALUE(MID(Sync!$V217,FIND(":",Sync!$V217)+1,2)),2),"0000"))))</f>
        <v/>
      </c>
    </row>
    <row r="221">
      <c r="A221">
        <f>IF(Sync!$U218="","",Sync!$U218)</f>
        <v/>
      </c>
      <c r="B221">
        <f>IF($A221="","",IF(ISNUMBER($A221),IF(AND($A221&gt;=10000101,$A221&lt;=99991231),INT($A221/10000),""),IFERROR(VALUE(TRIM(LEFT($A221,FIND("/",$A221)-1))),"")))</f>
        <v/>
      </c>
      <c r="C221">
        <f>IF(OR($A221="",$B221=""),"",IF(ISNUMBER($A221),INT(MOD($A221,10000)/100),IFERROR(VALUE(TRIM(LEFT(MID($A221,FIND("/",$A221)+1,20),FIND("/",MID($A221,FIND("/",$A221)+1,20))-1))),"")))</f>
        <v/>
      </c>
      <c r="D221">
        <f>IF(OR($A221="",$B221=""),"",IF(ISNUMBER($A221),MOD($A221,100),IFERROR(VALUE(TRIM(MID(MID($A221,FIND("/",$A221)+1,20),FIND("/",MID($A221,FIND("/",$A221)+1,20))+1,20))),"")))</f>
        <v/>
      </c>
      <c r="E221">
        <f>IF($A221="","",IF(OR($B221="",$C221="",$D221="",$B221&lt;1300,$B221&gt;1500,$C221&lt;1,$C221&gt;12,$D221&lt;1,$D221&gt;31),"نامعتبر",RIGHT("0000"&amp;$B221,4)&amp;"/"&amp;RIGHT("00"&amp;$C221,2)&amp;"/"&amp;RIGHT("00"&amp;$D221,2)))</f>
        <v/>
      </c>
      <c r="F221">
        <f>IF(OR($E221="",$E221="نامعتبر"),"",LEFT($E221,4)&amp;"/"&amp;MID($E221,6,2))</f>
        <v/>
      </c>
      <c r="G221">
        <f>IF(OR($E221="",$E221="نامعتبر",Sync!$Y218=""),"",Sync!$Y218)</f>
        <v/>
      </c>
      <c r="H221">
        <f>IF($G221="","",IF(Sync!$X218="","",Sync!$X218))</f>
        <v/>
      </c>
      <c r="I221">
        <f>IF($G221="","",IFERROR(VLOOKUP(Sync!$X218,OpTbl,3,0),""))</f>
        <v/>
      </c>
      <c r="J221">
        <f>IF(OR($G221="",Sync!$Z218=""),"",Sync!$Z218)</f>
        <v/>
      </c>
      <c r="K221">
        <f>IF(OR($G221="",Sync!$AA218=""),"",Sync!$AA218)</f>
        <v/>
      </c>
      <c r="L221">
        <f>IF($G221="",0,IF(Sync!$AB218="",0,Sync!$AB218))</f>
        <v/>
      </c>
      <c r="M221">
        <f>IF($G221="",0,IF(Sync!$AC218="",0,Sync!$AC218))</f>
        <v/>
      </c>
      <c r="N221">
        <f>IF($G221="","",IF($H221="مرجوعی خرید",-1,1)*($L221-$M221*IFERROR(VLOOKUP("P01",ParamTbl,3,0),1.5))*(1-IF($I221="خرید",IFERROR(VLOOKUP("P02",ParamTbl,3,0),1),0)/100))</f>
        <v/>
      </c>
      <c r="O221">
        <f>IF($G221="",0,IF($H221="مرجوعی خرید",-1,1)*IF(Sync!$AD218="",0,Sync!$AD218))</f>
        <v/>
      </c>
      <c r="P221">
        <f>IF(OR($G221="",Sync!$W218=""),"",Sync!$W218)</f>
        <v/>
      </c>
      <c r="Q221">
        <f>IF(OR($G221="",Sync!$AE218=""),"",Sync!$AE218)</f>
        <v/>
      </c>
      <c r="R221">
        <f>IF($G221="","",IF(Sync!$V218="","0000",IF(AND(ISNUMBER(Sync!$V218),Sync!$V218&gt;=0,Sync!$V218&lt;1),RIGHT("00"&amp;HOUR(Sync!$V218),2)&amp;RIGHT("00"&amp;MINUTE(Sync!$V218),2),IFERROR(RIGHT("00"&amp;VALUE(LEFT(Sync!$V218,FIND(":",Sync!$V218)-1)),2)&amp;RIGHT("00"&amp;VALUE(MID(Sync!$V218,FIND(":",Sync!$V218)+1,2)),2),"0000"))))</f>
        <v/>
      </c>
    </row>
    <row r="222">
      <c r="A222">
        <f>IF(Sync!$U219="","",Sync!$U219)</f>
        <v/>
      </c>
      <c r="B222">
        <f>IF($A222="","",IF(ISNUMBER($A222),IF(AND($A222&gt;=10000101,$A222&lt;=99991231),INT($A222/10000),""),IFERROR(VALUE(TRIM(LEFT($A222,FIND("/",$A222)-1))),"")))</f>
        <v/>
      </c>
      <c r="C222">
        <f>IF(OR($A222="",$B222=""),"",IF(ISNUMBER($A222),INT(MOD($A222,10000)/100),IFERROR(VALUE(TRIM(LEFT(MID($A222,FIND("/",$A222)+1,20),FIND("/",MID($A222,FIND("/",$A222)+1,20))-1))),"")))</f>
        <v/>
      </c>
      <c r="D222">
        <f>IF(OR($A222="",$B222=""),"",IF(ISNUMBER($A222),MOD($A222,100),IFERROR(VALUE(TRIM(MID(MID($A222,FIND("/",$A222)+1,20),FIND("/",MID($A222,FIND("/",$A222)+1,20))+1,20))),"")))</f>
        <v/>
      </c>
      <c r="E222">
        <f>IF($A222="","",IF(OR($B222="",$C222="",$D222="",$B222&lt;1300,$B222&gt;1500,$C222&lt;1,$C222&gt;12,$D222&lt;1,$D222&gt;31),"نامعتبر",RIGHT("0000"&amp;$B222,4)&amp;"/"&amp;RIGHT("00"&amp;$C222,2)&amp;"/"&amp;RIGHT("00"&amp;$D222,2)))</f>
        <v/>
      </c>
      <c r="F222">
        <f>IF(OR($E222="",$E222="نامعتبر"),"",LEFT($E222,4)&amp;"/"&amp;MID($E222,6,2))</f>
        <v/>
      </c>
      <c r="G222">
        <f>IF(OR($E222="",$E222="نامعتبر",Sync!$Y219=""),"",Sync!$Y219)</f>
        <v/>
      </c>
      <c r="H222">
        <f>IF($G222="","",IF(Sync!$X219="","",Sync!$X219))</f>
        <v/>
      </c>
      <c r="I222">
        <f>IF($G222="","",IFERROR(VLOOKUP(Sync!$X219,OpTbl,3,0),""))</f>
        <v/>
      </c>
      <c r="J222">
        <f>IF(OR($G222="",Sync!$Z219=""),"",Sync!$Z219)</f>
        <v/>
      </c>
      <c r="K222">
        <f>IF(OR($G222="",Sync!$AA219=""),"",Sync!$AA219)</f>
        <v/>
      </c>
      <c r="L222">
        <f>IF($G222="",0,IF(Sync!$AB219="",0,Sync!$AB219))</f>
        <v/>
      </c>
      <c r="M222">
        <f>IF($G222="",0,IF(Sync!$AC219="",0,Sync!$AC219))</f>
        <v/>
      </c>
      <c r="N222">
        <f>IF($G222="","",IF($H222="مرجوعی خرید",-1,1)*($L222-$M222*IFERROR(VLOOKUP("P01",ParamTbl,3,0),1.5))*(1-IF($I222="خرید",IFERROR(VLOOKUP("P02",ParamTbl,3,0),1),0)/100))</f>
        <v/>
      </c>
      <c r="O222">
        <f>IF($G222="",0,IF($H222="مرجوعی خرید",-1,1)*IF(Sync!$AD219="",0,Sync!$AD219))</f>
        <v/>
      </c>
      <c r="P222">
        <f>IF(OR($G222="",Sync!$W219=""),"",Sync!$W219)</f>
        <v/>
      </c>
      <c r="Q222">
        <f>IF(OR($G222="",Sync!$AE219=""),"",Sync!$AE219)</f>
        <v/>
      </c>
      <c r="R222">
        <f>IF($G222="","",IF(Sync!$V219="","0000",IF(AND(ISNUMBER(Sync!$V219),Sync!$V219&gt;=0,Sync!$V219&lt;1),RIGHT("00"&amp;HOUR(Sync!$V219),2)&amp;RIGHT("00"&amp;MINUTE(Sync!$V219),2),IFERROR(RIGHT("00"&amp;VALUE(LEFT(Sync!$V219,FIND(":",Sync!$V219)-1)),2)&amp;RIGHT("00"&amp;VALUE(MID(Sync!$V219,FIND(":",Sync!$V219)+1,2)),2),"0000"))))</f>
        <v/>
      </c>
    </row>
    <row r="223">
      <c r="A223">
        <f>IF(Sync!$U220="","",Sync!$U220)</f>
        <v/>
      </c>
      <c r="B223">
        <f>IF($A223="","",IF(ISNUMBER($A223),IF(AND($A223&gt;=10000101,$A223&lt;=99991231),INT($A223/10000),""),IFERROR(VALUE(TRIM(LEFT($A223,FIND("/",$A223)-1))),"")))</f>
        <v/>
      </c>
      <c r="C223">
        <f>IF(OR($A223="",$B223=""),"",IF(ISNUMBER($A223),INT(MOD($A223,10000)/100),IFERROR(VALUE(TRIM(LEFT(MID($A223,FIND("/",$A223)+1,20),FIND("/",MID($A223,FIND("/",$A223)+1,20))-1))),"")))</f>
        <v/>
      </c>
      <c r="D223">
        <f>IF(OR($A223="",$B223=""),"",IF(ISNUMBER($A223),MOD($A223,100),IFERROR(VALUE(TRIM(MID(MID($A223,FIND("/",$A223)+1,20),FIND("/",MID($A223,FIND("/",$A223)+1,20))+1,20))),"")))</f>
        <v/>
      </c>
      <c r="E223">
        <f>IF($A223="","",IF(OR($B223="",$C223="",$D223="",$B223&lt;1300,$B223&gt;1500,$C223&lt;1,$C223&gt;12,$D223&lt;1,$D223&gt;31),"نامعتبر",RIGHT("0000"&amp;$B223,4)&amp;"/"&amp;RIGHT("00"&amp;$C223,2)&amp;"/"&amp;RIGHT("00"&amp;$D223,2)))</f>
        <v/>
      </c>
      <c r="F223">
        <f>IF(OR($E223="",$E223="نامعتبر"),"",LEFT($E223,4)&amp;"/"&amp;MID($E223,6,2))</f>
        <v/>
      </c>
      <c r="G223">
        <f>IF(OR($E223="",$E223="نامعتبر",Sync!$Y220=""),"",Sync!$Y220)</f>
        <v/>
      </c>
      <c r="H223">
        <f>IF($G223="","",IF(Sync!$X220="","",Sync!$X220))</f>
        <v/>
      </c>
      <c r="I223">
        <f>IF($G223="","",IFERROR(VLOOKUP(Sync!$X220,OpTbl,3,0),""))</f>
        <v/>
      </c>
      <c r="J223">
        <f>IF(OR($G223="",Sync!$Z220=""),"",Sync!$Z220)</f>
        <v/>
      </c>
      <c r="K223">
        <f>IF(OR($G223="",Sync!$AA220=""),"",Sync!$AA220)</f>
        <v/>
      </c>
      <c r="L223">
        <f>IF($G223="",0,IF(Sync!$AB220="",0,Sync!$AB220))</f>
        <v/>
      </c>
      <c r="M223">
        <f>IF($G223="",0,IF(Sync!$AC220="",0,Sync!$AC220))</f>
        <v/>
      </c>
      <c r="N223">
        <f>IF($G223="","",IF($H223="مرجوعی خرید",-1,1)*($L223-$M223*IFERROR(VLOOKUP("P01",ParamTbl,3,0),1.5))*(1-IF($I223="خرید",IFERROR(VLOOKUP("P02",ParamTbl,3,0),1),0)/100))</f>
        <v/>
      </c>
      <c r="O223">
        <f>IF($G223="",0,IF($H223="مرجوعی خرید",-1,1)*IF(Sync!$AD220="",0,Sync!$AD220))</f>
        <v/>
      </c>
      <c r="P223">
        <f>IF(OR($G223="",Sync!$W220=""),"",Sync!$W220)</f>
        <v/>
      </c>
      <c r="Q223">
        <f>IF(OR($G223="",Sync!$AE220=""),"",Sync!$AE220)</f>
        <v/>
      </c>
      <c r="R223">
        <f>IF($G223="","",IF(Sync!$V220="","0000",IF(AND(ISNUMBER(Sync!$V220),Sync!$V220&gt;=0,Sync!$V220&lt;1),RIGHT("00"&amp;HOUR(Sync!$V220),2)&amp;RIGHT("00"&amp;MINUTE(Sync!$V220),2),IFERROR(RIGHT("00"&amp;VALUE(LEFT(Sync!$V220,FIND(":",Sync!$V220)-1)),2)&amp;RIGHT("00"&amp;VALUE(MID(Sync!$V220,FIND(":",Sync!$V220)+1,2)),2),"0000"))))</f>
        <v/>
      </c>
    </row>
    <row r="224">
      <c r="A224">
        <f>IF(Sync!$U221="","",Sync!$U221)</f>
        <v/>
      </c>
      <c r="B224">
        <f>IF($A224="","",IF(ISNUMBER($A224),IF(AND($A224&gt;=10000101,$A224&lt;=99991231),INT($A224/10000),""),IFERROR(VALUE(TRIM(LEFT($A224,FIND("/",$A224)-1))),"")))</f>
        <v/>
      </c>
      <c r="C224">
        <f>IF(OR($A224="",$B224=""),"",IF(ISNUMBER($A224),INT(MOD($A224,10000)/100),IFERROR(VALUE(TRIM(LEFT(MID($A224,FIND("/",$A224)+1,20),FIND("/",MID($A224,FIND("/",$A224)+1,20))-1))),"")))</f>
        <v/>
      </c>
      <c r="D224">
        <f>IF(OR($A224="",$B224=""),"",IF(ISNUMBER($A224),MOD($A224,100),IFERROR(VALUE(TRIM(MID(MID($A224,FIND("/",$A224)+1,20),FIND("/",MID($A224,FIND("/",$A224)+1,20))+1,20))),"")))</f>
        <v/>
      </c>
      <c r="E224">
        <f>IF($A224="","",IF(OR($B224="",$C224="",$D224="",$B224&lt;1300,$B224&gt;1500,$C224&lt;1,$C224&gt;12,$D224&lt;1,$D224&gt;31),"نامعتبر",RIGHT("0000"&amp;$B224,4)&amp;"/"&amp;RIGHT("00"&amp;$C224,2)&amp;"/"&amp;RIGHT("00"&amp;$D224,2)))</f>
        <v/>
      </c>
      <c r="F224">
        <f>IF(OR($E224="",$E224="نامعتبر"),"",LEFT($E224,4)&amp;"/"&amp;MID($E224,6,2))</f>
        <v/>
      </c>
      <c r="G224">
        <f>IF(OR($E224="",$E224="نامعتبر",Sync!$Y221=""),"",Sync!$Y221)</f>
        <v/>
      </c>
      <c r="H224">
        <f>IF($G224="","",IF(Sync!$X221="","",Sync!$X221))</f>
        <v/>
      </c>
      <c r="I224">
        <f>IF($G224="","",IFERROR(VLOOKUP(Sync!$X221,OpTbl,3,0),""))</f>
        <v/>
      </c>
      <c r="J224">
        <f>IF(OR($G224="",Sync!$Z221=""),"",Sync!$Z221)</f>
        <v/>
      </c>
      <c r="K224">
        <f>IF(OR($G224="",Sync!$AA221=""),"",Sync!$AA221)</f>
        <v/>
      </c>
      <c r="L224">
        <f>IF($G224="",0,IF(Sync!$AB221="",0,Sync!$AB221))</f>
        <v/>
      </c>
      <c r="M224">
        <f>IF($G224="",0,IF(Sync!$AC221="",0,Sync!$AC221))</f>
        <v/>
      </c>
      <c r="N224">
        <f>IF($G224="","",IF($H224="مرجوعی خرید",-1,1)*($L224-$M224*IFERROR(VLOOKUP("P01",ParamTbl,3,0),1.5))*(1-IF($I224="خرید",IFERROR(VLOOKUP("P02",ParamTbl,3,0),1),0)/100))</f>
        <v/>
      </c>
      <c r="O224">
        <f>IF($G224="",0,IF($H224="مرجوعی خرید",-1,1)*IF(Sync!$AD221="",0,Sync!$AD221))</f>
        <v/>
      </c>
      <c r="P224">
        <f>IF(OR($G224="",Sync!$W221=""),"",Sync!$W221)</f>
        <v/>
      </c>
      <c r="Q224">
        <f>IF(OR($G224="",Sync!$AE221=""),"",Sync!$AE221)</f>
        <v/>
      </c>
      <c r="R224">
        <f>IF($G224="","",IF(Sync!$V221="","0000",IF(AND(ISNUMBER(Sync!$V221),Sync!$V221&gt;=0,Sync!$V221&lt;1),RIGHT("00"&amp;HOUR(Sync!$V221),2)&amp;RIGHT("00"&amp;MINUTE(Sync!$V221),2),IFERROR(RIGHT("00"&amp;VALUE(LEFT(Sync!$V221,FIND(":",Sync!$V221)-1)),2)&amp;RIGHT("00"&amp;VALUE(MID(Sync!$V221,FIND(":",Sync!$V221)+1,2)),2),"0000"))))</f>
        <v/>
      </c>
    </row>
    <row r="225">
      <c r="A225">
        <f>IF(Sync!$U222="","",Sync!$U222)</f>
        <v/>
      </c>
      <c r="B225">
        <f>IF($A225="","",IF(ISNUMBER($A225),IF(AND($A225&gt;=10000101,$A225&lt;=99991231),INT($A225/10000),""),IFERROR(VALUE(TRIM(LEFT($A225,FIND("/",$A225)-1))),"")))</f>
        <v/>
      </c>
      <c r="C225">
        <f>IF(OR($A225="",$B225=""),"",IF(ISNUMBER($A225),INT(MOD($A225,10000)/100),IFERROR(VALUE(TRIM(LEFT(MID($A225,FIND("/",$A225)+1,20),FIND("/",MID($A225,FIND("/",$A225)+1,20))-1))),"")))</f>
        <v/>
      </c>
      <c r="D225">
        <f>IF(OR($A225="",$B225=""),"",IF(ISNUMBER($A225),MOD($A225,100),IFERROR(VALUE(TRIM(MID(MID($A225,FIND("/",$A225)+1,20),FIND("/",MID($A225,FIND("/",$A225)+1,20))+1,20))),"")))</f>
        <v/>
      </c>
      <c r="E225">
        <f>IF($A225="","",IF(OR($B225="",$C225="",$D225="",$B225&lt;1300,$B225&gt;1500,$C225&lt;1,$C225&gt;12,$D225&lt;1,$D225&gt;31),"نامعتبر",RIGHT("0000"&amp;$B225,4)&amp;"/"&amp;RIGHT("00"&amp;$C225,2)&amp;"/"&amp;RIGHT("00"&amp;$D225,2)))</f>
        <v/>
      </c>
      <c r="F225">
        <f>IF(OR($E225="",$E225="نامعتبر"),"",LEFT($E225,4)&amp;"/"&amp;MID($E225,6,2))</f>
        <v/>
      </c>
      <c r="G225">
        <f>IF(OR($E225="",$E225="نامعتبر",Sync!$Y222=""),"",Sync!$Y222)</f>
        <v/>
      </c>
      <c r="H225">
        <f>IF($G225="","",IF(Sync!$X222="","",Sync!$X222))</f>
        <v/>
      </c>
      <c r="I225">
        <f>IF($G225="","",IFERROR(VLOOKUP(Sync!$X222,OpTbl,3,0),""))</f>
        <v/>
      </c>
      <c r="J225">
        <f>IF(OR($G225="",Sync!$Z222=""),"",Sync!$Z222)</f>
        <v/>
      </c>
      <c r="K225">
        <f>IF(OR($G225="",Sync!$AA222=""),"",Sync!$AA222)</f>
        <v/>
      </c>
      <c r="L225">
        <f>IF($G225="",0,IF(Sync!$AB222="",0,Sync!$AB222))</f>
        <v/>
      </c>
      <c r="M225">
        <f>IF($G225="",0,IF(Sync!$AC222="",0,Sync!$AC222))</f>
        <v/>
      </c>
      <c r="N225">
        <f>IF($G225="","",IF($H225="مرجوعی خرید",-1,1)*($L225-$M225*IFERROR(VLOOKUP("P01",ParamTbl,3,0),1.5))*(1-IF($I225="خرید",IFERROR(VLOOKUP("P02",ParamTbl,3,0),1),0)/100))</f>
        <v/>
      </c>
      <c r="O225">
        <f>IF($G225="",0,IF($H225="مرجوعی خرید",-1,1)*IF(Sync!$AD222="",0,Sync!$AD222))</f>
        <v/>
      </c>
      <c r="P225">
        <f>IF(OR($G225="",Sync!$W222=""),"",Sync!$W222)</f>
        <v/>
      </c>
      <c r="Q225">
        <f>IF(OR($G225="",Sync!$AE222=""),"",Sync!$AE222)</f>
        <v/>
      </c>
      <c r="R225">
        <f>IF($G225="","",IF(Sync!$V222="","0000",IF(AND(ISNUMBER(Sync!$V222),Sync!$V222&gt;=0,Sync!$V222&lt;1),RIGHT("00"&amp;HOUR(Sync!$V222),2)&amp;RIGHT("00"&amp;MINUTE(Sync!$V222),2),IFERROR(RIGHT("00"&amp;VALUE(LEFT(Sync!$V222,FIND(":",Sync!$V222)-1)),2)&amp;RIGHT("00"&amp;VALUE(MID(Sync!$V222,FIND(":",Sync!$V222)+1,2)),2),"0000"))))</f>
        <v/>
      </c>
    </row>
    <row r="226">
      <c r="A226">
        <f>IF(Sync!$U223="","",Sync!$U223)</f>
        <v/>
      </c>
      <c r="B226">
        <f>IF($A226="","",IF(ISNUMBER($A226),IF(AND($A226&gt;=10000101,$A226&lt;=99991231),INT($A226/10000),""),IFERROR(VALUE(TRIM(LEFT($A226,FIND("/",$A226)-1))),"")))</f>
        <v/>
      </c>
      <c r="C226">
        <f>IF(OR($A226="",$B226=""),"",IF(ISNUMBER($A226),INT(MOD($A226,10000)/100),IFERROR(VALUE(TRIM(LEFT(MID($A226,FIND("/",$A226)+1,20),FIND("/",MID($A226,FIND("/",$A226)+1,20))-1))),"")))</f>
        <v/>
      </c>
      <c r="D226">
        <f>IF(OR($A226="",$B226=""),"",IF(ISNUMBER($A226),MOD($A226,100),IFERROR(VALUE(TRIM(MID(MID($A226,FIND("/",$A226)+1,20),FIND("/",MID($A226,FIND("/",$A226)+1,20))+1,20))),"")))</f>
        <v/>
      </c>
      <c r="E226">
        <f>IF($A226="","",IF(OR($B226="",$C226="",$D226="",$B226&lt;1300,$B226&gt;1500,$C226&lt;1,$C226&gt;12,$D226&lt;1,$D226&gt;31),"نامعتبر",RIGHT("0000"&amp;$B226,4)&amp;"/"&amp;RIGHT("00"&amp;$C226,2)&amp;"/"&amp;RIGHT("00"&amp;$D226,2)))</f>
        <v/>
      </c>
      <c r="F226">
        <f>IF(OR($E226="",$E226="نامعتبر"),"",LEFT($E226,4)&amp;"/"&amp;MID($E226,6,2))</f>
        <v/>
      </c>
      <c r="G226">
        <f>IF(OR($E226="",$E226="نامعتبر",Sync!$Y223=""),"",Sync!$Y223)</f>
        <v/>
      </c>
      <c r="H226">
        <f>IF($G226="","",IF(Sync!$X223="","",Sync!$X223))</f>
        <v/>
      </c>
      <c r="I226">
        <f>IF($G226="","",IFERROR(VLOOKUP(Sync!$X223,OpTbl,3,0),""))</f>
        <v/>
      </c>
      <c r="J226">
        <f>IF(OR($G226="",Sync!$Z223=""),"",Sync!$Z223)</f>
        <v/>
      </c>
      <c r="K226">
        <f>IF(OR($G226="",Sync!$AA223=""),"",Sync!$AA223)</f>
        <v/>
      </c>
      <c r="L226">
        <f>IF($G226="",0,IF(Sync!$AB223="",0,Sync!$AB223))</f>
        <v/>
      </c>
      <c r="M226">
        <f>IF($G226="",0,IF(Sync!$AC223="",0,Sync!$AC223))</f>
        <v/>
      </c>
      <c r="N226">
        <f>IF($G226="","",IF($H226="مرجوعی خرید",-1,1)*($L226-$M226*IFERROR(VLOOKUP("P01",ParamTbl,3,0),1.5))*(1-IF($I226="خرید",IFERROR(VLOOKUP("P02",ParamTbl,3,0),1),0)/100))</f>
        <v/>
      </c>
      <c r="O226">
        <f>IF($G226="",0,IF($H226="مرجوعی خرید",-1,1)*IF(Sync!$AD223="",0,Sync!$AD223))</f>
        <v/>
      </c>
      <c r="P226">
        <f>IF(OR($G226="",Sync!$W223=""),"",Sync!$W223)</f>
        <v/>
      </c>
      <c r="Q226">
        <f>IF(OR($G226="",Sync!$AE223=""),"",Sync!$AE223)</f>
        <v/>
      </c>
      <c r="R226">
        <f>IF($G226="","",IF(Sync!$V223="","0000",IF(AND(ISNUMBER(Sync!$V223),Sync!$V223&gt;=0,Sync!$V223&lt;1),RIGHT("00"&amp;HOUR(Sync!$V223),2)&amp;RIGHT("00"&amp;MINUTE(Sync!$V223),2),IFERROR(RIGHT("00"&amp;VALUE(LEFT(Sync!$V223,FIND(":",Sync!$V223)-1)),2)&amp;RIGHT("00"&amp;VALUE(MID(Sync!$V223,FIND(":",Sync!$V223)+1,2)),2),"0000"))))</f>
        <v/>
      </c>
    </row>
    <row r="227">
      <c r="A227">
        <f>IF(Sync!$U224="","",Sync!$U224)</f>
        <v/>
      </c>
      <c r="B227">
        <f>IF($A227="","",IF(ISNUMBER($A227),IF(AND($A227&gt;=10000101,$A227&lt;=99991231),INT($A227/10000),""),IFERROR(VALUE(TRIM(LEFT($A227,FIND("/",$A227)-1))),"")))</f>
        <v/>
      </c>
      <c r="C227">
        <f>IF(OR($A227="",$B227=""),"",IF(ISNUMBER($A227),INT(MOD($A227,10000)/100),IFERROR(VALUE(TRIM(LEFT(MID($A227,FIND("/",$A227)+1,20),FIND("/",MID($A227,FIND("/",$A227)+1,20))-1))),"")))</f>
        <v/>
      </c>
      <c r="D227">
        <f>IF(OR($A227="",$B227=""),"",IF(ISNUMBER($A227),MOD($A227,100),IFERROR(VALUE(TRIM(MID(MID($A227,FIND("/",$A227)+1,20),FIND("/",MID($A227,FIND("/",$A227)+1,20))+1,20))),"")))</f>
        <v/>
      </c>
      <c r="E227">
        <f>IF($A227="","",IF(OR($B227="",$C227="",$D227="",$B227&lt;1300,$B227&gt;1500,$C227&lt;1,$C227&gt;12,$D227&lt;1,$D227&gt;31),"نامعتبر",RIGHT("0000"&amp;$B227,4)&amp;"/"&amp;RIGHT("00"&amp;$C227,2)&amp;"/"&amp;RIGHT("00"&amp;$D227,2)))</f>
        <v/>
      </c>
      <c r="F227">
        <f>IF(OR($E227="",$E227="نامعتبر"),"",LEFT($E227,4)&amp;"/"&amp;MID($E227,6,2))</f>
        <v/>
      </c>
      <c r="G227">
        <f>IF(OR($E227="",$E227="نامعتبر",Sync!$Y224=""),"",Sync!$Y224)</f>
        <v/>
      </c>
      <c r="H227">
        <f>IF($G227="","",IF(Sync!$X224="","",Sync!$X224))</f>
        <v/>
      </c>
      <c r="I227">
        <f>IF($G227="","",IFERROR(VLOOKUP(Sync!$X224,OpTbl,3,0),""))</f>
        <v/>
      </c>
      <c r="J227">
        <f>IF(OR($G227="",Sync!$Z224=""),"",Sync!$Z224)</f>
        <v/>
      </c>
      <c r="K227">
        <f>IF(OR($G227="",Sync!$AA224=""),"",Sync!$AA224)</f>
        <v/>
      </c>
      <c r="L227">
        <f>IF($G227="",0,IF(Sync!$AB224="",0,Sync!$AB224))</f>
        <v/>
      </c>
      <c r="M227">
        <f>IF($G227="",0,IF(Sync!$AC224="",0,Sync!$AC224))</f>
        <v/>
      </c>
      <c r="N227">
        <f>IF($G227="","",IF($H227="مرجوعی خرید",-1,1)*($L227-$M227*IFERROR(VLOOKUP("P01",ParamTbl,3,0),1.5))*(1-IF($I227="خرید",IFERROR(VLOOKUP("P02",ParamTbl,3,0),1),0)/100))</f>
        <v/>
      </c>
      <c r="O227">
        <f>IF($G227="",0,IF($H227="مرجوعی خرید",-1,1)*IF(Sync!$AD224="",0,Sync!$AD224))</f>
        <v/>
      </c>
      <c r="P227">
        <f>IF(OR($G227="",Sync!$W224=""),"",Sync!$W224)</f>
        <v/>
      </c>
      <c r="Q227">
        <f>IF(OR($G227="",Sync!$AE224=""),"",Sync!$AE224)</f>
        <v/>
      </c>
      <c r="R227">
        <f>IF($G227="","",IF(Sync!$V224="","0000",IF(AND(ISNUMBER(Sync!$V224),Sync!$V224&gt;=0,Sync!$V224&lt;1),RIGHT("00"&amp;HOUR(Sync!$V224),2)&amp;RIGHT("00"&amp;MINUTE(Sync!$V224),2),IFERROR(RIGHT("00"&amp;VALUE(LEFT(Sync!$V224,FIND(":",Sync!$V224)-1)),2)&amp;RIGHT("00"&amp;VALUE(MID(Sync!$V224,FIND(":",Sync!$V224)+1,2)),2),"0000"))))</f>
        <v/>
      </c>
    </row>
    <row r="228">
      <c r="A228">
        <f>IF(Sync!$U225="","",Sync!$U225)</f>
        <v/>
      </c>
      <c r="B228">
        <f>IF($A228="","",IF(ISNUMBER($A228),IF(AND($A228&gt;=10000101,$A228&lt;=99991231),INT($A228/10000),""),IFERROR(VALUE(TRIM(LEFT($A228,FIND("/",$A228)-1))),"")))</f>
        <v/>
      </c>
      <c r="C228">
        <f>IF(OR($A228="",$B228=""),"",IF(ISNUMBER($A228),INT(MOD($A228,10000)/100),IFERROR(VALUE(TRIM(LEFT(MID($A228,FIND("/",$A228)+1,20),FIND("/",MID($A228,FIND("/",$A228)+1,20))-1))),"")))</f>
        <v/>
      </c>
      <c r="D228">
        <f>IF(OR($A228="",$B228=""),"",IF(ISNUMBER($A228),MOD($A228,100),IFERROR(VALUE(TRIM(MID(MID($A228,FIND("/",$A228)+1,20),FIND("/",MID($A228,FIND("/",$A228)+1,20))+1,20))),"")))</f>
        <v/>
      </c>
      <c r="E228">
        <f>IF($A228="","",IF(OR($B228="",$C228="",$D228="",$B228&lt;1300,$B228&gt;1500,$C228&lt;1,$C228&gt;12,$D228&lt;1,$D228&gt;31),"نامعتبر",RIGHT("0000"&amp;$B228,4)&amp;"/"&amp;RIGHT("00"&amp;$C228,2)&amp;"/"&amp;RIGHT("00"&amp;$D228,2)))</f>
        <v/>
      </c>
      <c r="F228">
        <f>IF(OR($E228="",$E228="نامعتبر"),"",LEFT($E228,4)&amp;"/"&amp;MID($E228,6,2))</f>
        <v/>
      </c>
      <c r="G228">
        <f>IF(OR($E228="",$E228="نامعتبر",Sync!$Y225=""),"",Sync!$Y225)</f>
        <v/>
      </c>
      <c r="H228">
        <f>IF($G228="","",IF(Sync!$X225="","",Sync!$X225))</f>
        <v/>
      </c>
      <c r="I228">
        <f>IF($G228="","",IFERROR(VLOOKUP(Sync!$X225,OpTbl,3,0),""))</f>
        <v/>
      </c>
      <c r="J228">
        <f>IF(OR($G228="",Sync!$Z225=""),"",Sync!$Z225)</f>
        <v/>
      </c>
      <c r="K228">
        <f>IF(OR($G228="",Sync!$AA225=""),"",Sync!$AA225)</f>
        <v/>
      </c>
      <c r="L228">
        <f>IF($G228="",0,IF(Sync!$AB225="",0,Sync!$AB225))</f>
        <v/>
      </c>
      <c r="M228">
        <f>IF($G228="",0,IF(Sync!$AC225="",0,Sync!$AC225))</f>
        <v/>
      </c>
      <c r="N228">
        <f>IF($G228="","",IF($H228="مرجوعی خرید",-1,1)*($L228-$M228*IFERROR(VLOOKUP("P01",ParamTbl,3,0),1.5))*(1-IF($I228="خرید",IFERROR(VLOOKUP("P02",ParamTbl,3,0),1),0)/100))</f>
        <v/>
      </c>
      <c r="O228">
        <f>IF($G228="",0,IF($H228="مرجوعی خرید",-1,1)*IF(Sync!$AD225="",0,Sync!$AD225))</f>
        <v/>
      </c>
      <c r="P228">
        <f>IF(OR($G228="",Sync!$W225=""),"",Sync!$W225)</f>
        <v/>
      </c>
      <c r="Q228">
        <f>IF(OR($G228="",Sync!$AE225=""),"",Sync!$AE225)</f>
        <v/>
      </c>
      <c r="R228">
        <f>IF($G228="","",IF(Sync!$V225="","0000",IF(AND(ISNUMBER(Sync!$V225),Sync!$V225&gt;=0,Sync!$V225&lt;1),RIGHT("00"&amp;HOUR(Sync!$V225),2)&amp;RIGHT("00"&amp;MINUTE(Sync!$V225),2),IFERROR(RIGHT("00"&amp;VALUE(LEFT(Sync!$V225,FIND(":",Sync!$V225)-1)),2)&amp;RIGHT("00"&amp;VALUE(MID(Sync!$V225,FIND(":",Sync!$V225)+1,2)),2),"0000"))))</f>
        <v/>
      </c>
    </row>
    <row r="229">
      <c r="A229">
        <f>IF(Sync!$U226="","",Sync!$U226)</f>
        <v/>
      </c>
      <c r="B229">
        <f>IF($A229="","",IF(ISNUMBER($A229),IF(AND($A229&gt;=10000101,$A229&lt;=99991231),INT($A229/10000),""),IFERROR(VALUE(TRIM(LEFT($A229,FIND("/",$A229)-1))),"")))</f>
        <v/>
      </c>
      <c r="C229">
        <f>IF(OR($A229="",$B229=""),"",IF(ISNUMBER($A229),INT(MOD($A229,10000)/100),IFERROR(VALUE(TRIM(LEFT(MID($A229,FIND("/",$A229)+1,20),FIND("/",MID($A229,FIND("/",$A229)+1,20))-1))),"")))</f>
        <v/>
      </c>
      <c r="D229">
        <f>IF(OR($A229="",$B229=""),"",IF(ISNUMBER($A229),MOD($A229,100),IFERROR(VALUE(TRIM(MID(MID($A229,FIND("/",$A229)+1,20),FIND("/",MID($A229,FIND("/",$A229)+1,20))+1,20))),"")))</f>
        <v/>
      </c>
      <c r="E229">
        <f>IF($A229="","",IF(OR($B229="",$C229="",$D229="",$B229&lt;1300,$B229&gt;1500,$C229&lt;1,$C229&gt;12,$D229&lt;1,$D229&gt;31),"نامعتبر",RIGHT("0000"&amp;$B229,4)&amp;"/"&amp;RIGHT("00"&amp;$C229,2)&amp;"/"&amp;RIGHT("00"&amp;$D229,2)))</f>
        <v/>
      </c>
      <c r="F229">
        <f>IF(OR($E229="",$E229="نامعتبر"),"",LEFT($E229,4)&amp;"/"&amp;MID($E229,6,2))</f>
        <v/>
      </c>
      <c r="G229">
        <f>IF(OR($E229="",$E229="نامعتبر",Sync!$Y226=""),"",Sync!$Y226)</f>
        <v/>
      </c>
      <c r="H229">
        <f>IF($G229="","",IF(Sync!$X226="","",Sync!$X226))</f>
        <v/>
      </c>
      <c r="I229">
        <f>IF($G229="","",IFERROR(VLOOKUP(Sync!$X226,OpTbl,3,0),""))</f>
        <v/>
      </c>
      <c r="J229">
        <f>IF(OR($G229="",Sync!$Z226=""),"",Sync!$Z226)</f>
        <v/>
      </c>
      <c r="K229">
        <f>IF(OR($G229="",Sync!$AA226=""),"",Sync!$AA226)</f>
        <v/>
      </c>
      <c r="L229">
        <f>IF($G229="",0,IF(Sync!$AB226="",0,Sync!$AB226))</f>
        <v/>
      </c>
      <c r="M229">
        <f>IF($G229="",0,IF(Sync!$AC226="",0,Sync!$AC226))</f>
        <v/>
      </c>
      <c r="N229">
        <f>IF($G229="","",IF($H229="مرجوعی خرید",-1,1)*($L229-$M229*IFERROR(VLOOKUP("P01",ParamTbl,3,0),1.5))*(1-IF($I229="خرید",IFERROR(VLOOKUP("P02",ParamTbl,3,0),1),0)/100))</f>
        <v/>
      </c>
      <c r="O229">
        <f>IF($G229="",0,IF($H229="مرجوعی خرید",-1,1)*IF(Sync!$AD226="",0,Sync!$AD226))</f>
        <v/>
      </c>
      <c r="P229">
        <f>IF(OR($G229="",Sync!$W226=""),"",Sync!$W226)</f>
        <v/>
      </c>
      <c r="Q229">
        <f>IF(OR($G229="",Sync!$AE226=""),"",Sync!$AE226)</f>
        <v/>
      </c>
      <c r="R229">
        <f>IF($G229="","",IF(Sync!$V226="","0000",IF(AND(ISNUMBER(Sync!$V226),Sync!$V226&gt;=0,Sync!$V226&lt;1),RIGHT("00"&amp;HOUR(Sync!$V226),2)&amp;RIGHT("00"&amp;MINUTE(Sync!$V226),2),IFERROR(RIGHT("00"&amp;VALUE(LEFT(Sync!$V226,FIND(":",Sync!$V226)-1)),2)&amp;RIGHT("00"&amp;VALUE(MID(Sync!$V226,FIND(":",Sync!$V226)+1,2)),2),"0000"))))</f>
        <v/>
      </c>
    </row>
    <row r="230">
      <c r="A230">
        <f>IF(Sync!$U227="","",Sync!$U227)</f>
        <v/>
      </c>
      <c r="B230">
        <f>IF($A230="","",IF(ISNUMBER($A230),IF(AND($A230&gt;=10000101,$A230&lt;=99991231),INT($A230/10000),""),IFERROR(VALUE(TRIM(LEFT($A230,FIND("/",$A230)-1))),"")))</f>
        <v/>
      </c>
      <c r="C230">
        <f>IF(OR($A230="",$B230=""),"",IF(ISNUMBER($A230),INT(MOD($A230,10000)/100),IFERROR(VALUE(TRIM(LEFT(MID($A230,FIND("/",$A230)+1,20),FIND("/",MID($A230,FIND("/",$A230)+1,20))-1))),"")))</f>
        <v/>
      </c>
      <c r="D230">
        <f>IF(OR($A230="",$B230=""),"",IF(ISNUMBER($A230),MOD($A230,100),IFERROR(VALUE(TRIM(MID(MID($A230,FIND("/",$A230)+1,20),FIND("/",MID($A230,FIND("/",$A230)+1,20))+1,20))),"")))</f>
        <v/>
      </c>
      <c r="E230">
        <f>IF($A230="","",IF(OR($B230="",$C230="",$D230="",$B230&lt;1300,$B230&gt;1500,$C230&lt;1,$C230&gt;12,$D230&lt;1,$D230&gt;31),"نامعتبر",RIGHT("0000"&amp;$B230,4)&amp;"/"&amp;RIGHT("00"&amp;$C230,2)&amp;"/"&amp;RIGHT("00"&amp;$D230,2)))</f>
        <v/>
      </c>
      <c r="F230">
        <f>IF(OR($E230="",$E230="نامعتبر"),"",LEFT($E230,4)&amp;"/"&amp;MID($E230,6,2))</f>
        <v/>
      </c>
      <c r="G230">
        <f>IF(OR($E230="",$E230="نامعتبر",Sync!$Y227=""),"",Sync!$Y227)</f>
        <v/>
      </c>
      <c r="H230">
        <f>IF($G230="","",IF(Sync!$X227="","",Sync!$X227))</f>
        <v/>
      </c>
      <c r="I230">
        <f>IF($G230="","",IFERROR(VLOOKUP(Sync!$X227,OpTbl,3,0),""))</f>
        <v/>
      </c>
      <c r="J230">
        <f>IF(OR($G230="",Sync!$Z227=""),"",Sync!$Z227)</f>
        <v/>
      </c>
      <c r="K230">
        <f>IF(OR($G230="",Sync!$AA227=""),"",Sync!$AA227)</f>
        <v/>
      </c>
      <c r="L230">
        <f>IF($G230="",0,IF(Sync!$AB227="",0,Sync!$AB227))</f>
        <v/>
      </c>
      <c r="M230">
        <f>IF($G230="",0,IF(Sync!$AC227="",0,Sync!$AC227))</f>
        <v/>
      </c>
      <c r="N230">
        <f>IF($G230="","",IF($H230="مرجوعی خرید",-1,1)*($L230-$M230*IFERROR(VLOOKUP("P01",ParamTbl,3,0),1.5))*(1-IF($I230="خرید",IFERROR(VLOOKUP("P02",ParamTbl,3,0),1),0)/100))</f>
        <v/>
      </c>
      <c r="O230">
        <f>IF($G230="",0,IF($H230="مرجوعی خرید",-1,1)*IF(Sync!$AD227="",0,Sync!$AD227))</f>
        <v/>
      </c>
      <c r="P230">
        <f>IF(OR($G230="",Sync!$W227=""),"",Sync!$W227)</f>
        <v/>
      </c>
      <c r="Q230">
        <f>IF(OR($G230="",Sync!$AE227=""),"",Sync!$AE227)</f>
        <v/>
      </c>
      <c r="R230">
        <f>IF($G230="","",IF(Sync!$V227="","0000",IF(AND(ISNUMBER(Sync!$V227),Sync!$V227&gt;=0,Sync!$V227&lt;1),RIGHT("00"&amp;HOUR(Sync!$V227),2)&amp;RIGHT("00"&amp;MINUTE(Sync!$V227),2),IFERROR(RIGHT("00"&amp;VALUE(LEFT(Sync!$V227,FIND(":",Sync!$V227)-1)),2)&amp;RIGHT("00"&amp;VALUE(MID(Sync!$V227,FIND(":",Sync!$V227)+1,2)),2),"0000"))))</f>
        <v/>
      </c>
    </row>
    <row r="231">
      <c r="A231">
        <f>IF(Sync!$U228="","",Sync!$U228)</f>
        <v/>
      </c>
      <c r="B231">
        <f>IF($A231="","",IF(ISNUMBER($A231),IF(AND($A231&gt;=10000101,$A231&lt;=99991231),INT($A231/10000),""),IFERROR(VALUE(TRIM(LEFT($A231,FIND("/",$A231)-1))),"")))</f>
        <v/>
      </c>
      <c r="C231">
        <f>IF(OR($A231="",$B231=""),"",IF(ISNUMBER($A231),INT(MOD($A231,10000)/100),IFERROR(VALUE(TRIM(LEFT(MID($A231,FIND("/",$A231)+1,20),FIND("/",MID($A231,FIND("/",$A231)+1,20))-1))),"")))</f>
        <v/>
      </c>
      <c r="D231">
        <f>IF(OR($A231="",$B231=""),"",IF(ISNUMBER($A231),MOD($A231,100),IFERROR(VALUE(TRIM(MID(MID($A231,FIND("/",$A231)+1,20),FIND("/",MID($A231,FIND("/",$A231)+1,20))+1,20))),"")))</f>
        <v/>
      </c>
      <c r="E231">
        <f>IF($A231="","",IF(OR($B231="",$C231="",$D231="",$B231&lt;1300,$B231&gt;1500,$C231&lt;1,$C231&gt;12,$D231&lt;1,$D231&gt;31),"نامعتبر",RIGHT("0000"&amp;$B231,4)&amp;"/"&amp;RIGHT("00"&amp;$C231,2)&amp;"/"&amp;RIGHT("00"&amp;$D231,2)))</f>
        <v/>
      </c>
      <c r="F231">
        <f>IF(OR($E231="",$E231="نامعتبر"),"",LEFT($E231,4)&amp;"/"&amp;MID($E231,6,2))</f>
        <v/>
      </c>
      <c r="G231">
        <f>IF(OR($E231="",$E231="نامعتبر",Sync!$Y228=""),"",Sync!$Y228)</f>
        <v/>
      </c>
      <c r="H231">
        <f>IF($G231="","",IF(Sync!$X228="","",Sync!$X228))</f>
        <v/>
      </c>
      <c r="I231">
        <f>IF($G231="","",IFERROR(VLOOKUP(Sync!$X228,OpTbl,3,0),""))</f>
        <v/>
      </c>
      <c r="J231">
        <f>IF(OR($G231="",Sync!$Z228=""),"",Sync!$Z228)</f>
        <v/>
      </c>
      <c r="K231">
        <f>IF(OR($G231="",Sync!$AA228=""),"",Sync!$AA228)</f>
        <v/>
      </c>
      <c r="L231">
        <f>IF($G231="",0,IF(Sync!$AB228="",0,Sync!$AB228))</f>
        <v/>
      </c>
      <c r="M231">
        <f>IF($G231="",0,IF(Sync!$AC228="",0,Sync!$AC228))</f>
        <v/>
      </c>
      <c r="N231">
        <f>IF($G231="","",IF($H231="مرجوعی خرید",-1,1)*($L231-$M231*IFERROR(VLOOKUP("P01",ParamTbl,3,0),1.5))*(1-IF($I231="خرید",IFERROR(VLOOKUP("P02",ParamTbl,3,0),1),0)/100))</f>
        <v/>
      </c>
      <c r="O231">
        <f>IF($G231="",0,IF($H231="مرجوعی خرید",-1,1)*IF(Sync!$AD228="",0,Sync!$AD228))</f>
        <v/>
      </c>
      <c r="P231">
        <f>IF(OR($G231="",Sync!$W228=""),"",Sync!$W228)</f>
        <v/>
      </c>
      <c r="Q231">
        <f>IF(OR($G231="",Sync!$AE228=""),"",Sync!$AE228)</f>
        <v/>
      </c>
      <c r="R231">
        <f>IF($G231="","",IF(Sync!$V228="","0000",IF(AND(ISNUMBER(Sync!$V228),Sync!$V228&gt;=0,Sync!$V228&lt;1),RIGHT("00"&amp;HOUR(Sync!$V228),2)&amp;RIGHT("00"&amp;MINUTE(Sync!$V228),2),IFERROR(RIGHT("00"&amp;VALUE(LEFT(Sync!$V228,FIND(":",Sync!$V228)-1)),2)&amp;RIGHT("00"&amp;VALUE(MID(Sync!$V228,FIND(":",Sync!$V228)+1,2)),2),"0000"))))</f>
        <v/>
      </c>
    </row>
    <row r="232">
      <c r="A232">
        <f>IF(Sync!$U229="","",Sync!$U229)</f>
        <v/>
      </c>
      <c r="B232">
        <f>IF($A232="","",IF(ISNUMBER($A232),IF(AND($A232&gt;=10000101,$A232&lt;=99991231),INT($A232/10000),""),IFERROR(VALUE(TRIM(LEFT($A232,FIND("/",$A232)-1))),"")))</f>
        <v/>
      </c>
      <c r="C232">
        <f>IF(OR($A232="",$B232=""),"",IF(ISNUMBER($A232),INT(MOD($A232,10000)/100),IFERROR(VALUE(TRIM(LEFT(MID($A232,FIND("/",$A232)+1,20),FIND("/",MID($A232,FIND("/",$A232)+1,20))-1))),"")))</f>
        <v/>
      </c>
      <c r="D232">
        <f>IF(OR($A232="",$B232=""),"",IF(ISNUMBER($A232),MOD($A232,100),IFERROR(VALUE(TRIM(MID(MID($A232,FIND("/",$A232)+1,20),FIND("/",MID($A232,FIND("/",$A232)+1,20))+1,20))),"")))</f>
        <v/>
      </c>
      <c r="E232">
        <f>IF($A232="","",IF(OR($B232="",$C232="",$D232="",$B232&lt;1300,$B232&gt;1500,$C232&lt;1,$C232&gt;12,$D232&lt;1,$D232&gt;31),"نامعتبر",RIGHT("0000"&amp;$B232,4)&amp;"/"&amp;RIGHT("00"&amp;$C232,2)&amp;"/"&amp;RIGHT("00"&amp;$D232,2)))</f>
        <v/>
      </c>
      <c r="F232">
        <f>IF(OR($E232="",$E232="نامعتبر"),"",LEFT($E232,4)&amp;"/"&amp;MID($E232,6,2))</f>
        <v/>
      </c>
      <c r="G232">
        <f>IF(OR($E232="",$E232="نامعتبر",Sync!$Y229=""),"",Sync!$Y229)</f>
        <v/>
      </c>
      <c r="H232">
        <f>IF($G232="","",IF(Sync!$X229="","",Sync!$X229))</f>
        <v/>
      </c>
      <c r="I232">
        <f>IF($G232="","",IFERROR(VLOOKUP(Sync!$X229,OpTbl,3,0),""))</f>
        <v/>
      </c>
      <c r="J232">
        <f>IF(OR($G232="",Sync!$Z229=""),"",Sync!$Z229)</f>
        <v/>
      </c>
      <c r="K232">
        <f>IF(OR($G232="",Sync!$AA229=""),"",Sync!$AA229)</f>
        <v/>
      </c>
      <c r="L232">
        <f>IF($G232="",0,IF(Sync!$AB229="",0,Sync!$AB229))</f>
        <v/>
      </c>
      <c r="M232">
        <f>IF($G232="",0,IF(Sync!$AC229="",0,Sync!$AC229))</f>
        <v/>
      </c>
      <c r="N232">
        <f>IF($G232="","",IF($H232="مرجوعی خرید",-1,1)*($L232-$M232*IFERROR(VLOOKUP("P01",ParamTbl,3,0),1.5))*(1-IF($I232="خرید",IFERROR(VLOOKUP("P02",ParamTbl,3,0),1),0)/100))</f>
        <v/>
      </c>
      <c r="O232">
        <f>IF($G232="",0,IF($H232="مرجوعی خرید",-1,1)*IF(Sync!$AD229="",0,Sync!$AD229))</f>
        <v/>
      </c>
      <c r="P232">
        <f>IF(OR($G232="",Sync!$W229=""),"",Sync!$W229)</f>
        <v/>
      </c>
      <c r="Q232">
        <f>IF(OR($G232="",Sync!$AE229=""),"",Sync!$AE229)</f>
        <v/>
      </c>
      <c r="R232">
        <f>IF($G232="","",IF(Sync!$V229="","0000",IF(AND(ISNUMBER(Sync!$V229),Sync!$V229&gt;=0,Sync!$V229&lt;1),RIGHT("00"&amp;HOUR(Sync!$V229),2)&amp;RIGHT("00"&amp;MINUTE(Sync!$V229),2),IFERROR(RIGHT("00"&amp;VALUE(LEFT(Sync!$V229,FIND(":",Sync!$V229)-1)),2)&amp;RIGHT("00"&amp;VALUE(MID(Sync!$V229,FIND(":",Sync!$V229)+1,2)),2),"0000"))))</f>
        <v/>
      </c>
    </row>
    <row r="233">
      <c r="A233">
        <f>IF(Sync!$U230="","",Sync!$U230)</f>
        <v/>
      </c>
      <c r="B233">
        <f>IF($A233="","",IF(ISNUMBER($A233),IF(AND($A233&gt;=10000101,$A233&lt;=99991231),INT($A233/10000),""),IFERROR(VALUE(TRIM(LEFT($A233,FIND("/",$A233)-1))),"")))</f>
        <v/>
      </c>
      <c r="C233">
        <f>IF(OR($A233="",$B233=""),"",IF(ISNUMBER($A233),INT(MOD($A233,10000)/100),IFERROR(VALUE(TRIM(LEFT(MID($A233,FIND("/",$A233)+1,20),FIND("/",MID($A233,FIND("/",$A233)+1,20))-1))),"")))</f>
        <v/>
      </c>
      <c r="D233">
        <f>IF(OR($A233="",$B233=""),"",IF(ISNUMBER($A233),MOD($A233,100),IFERROR(VALUE(TRIM(MID(MID($A233,FIND("/",$A233)+1,20),FIND("/",MID($A233,FIND("/",$A233)+1,20))+1,20))),"")))</f>
        <v/>
      </c>
      <c r="E233">
        <f>IF($A233="","",IF(OR($B233="",$C233="",$D233="",$B233&lt;1300,$B233&gt;1500,$C233&lt;1,$C233&gt;12,$D233&lt;1,$D233&gt;31),"نامعتبر",RIGHT("0000"&amp;$B233,4)&amp;"/"&amp;RIGHT("00"&amp;$C233,2)&amp;"/"&amp;RIGHT("00"&amp;$D233,2)))</f>
        <v/>
      </c>
      <c r="F233">
        <f>IF(OR($E233="",$E233="نامعتبر"),"",LEFT($E233,4)&amp;"/"&amp;MID($E233,6,2))</f>
        <v/>
      </c>
      <c r="G233">
        <f>IF(OR($E233="",$E233="نامعتبر",Sync!$Y230=""),"",Sync!$Y230)</f>
        <v/>
      </c>
      <c r="H233">
        <f>IF($G233="","",IF(Sync!$X230="","",Sync!$X230))</f>
        <v/>
      </c>
      <c r="I233">
        <f>IF($G233="","",IFERROR(VLOOKUP(Sync!$X230,OpTbl,3,0),""))</f>
        <v/>
      </c>
      <c r="J233">
        <f>IF(OR($G233="",Sync!$Z230=""),"",Sync!$Z230)</f>
        <v/>
      </c>
      <c r="K233">
        <f>IF(OR($G233="",Sync!$AA230=""),"",Sync!$AA230)</f>
        <v/>
      </c>
      <c r="L233">
        <f>IF($G233="",0,IF(Sync!$AB230="",0,Sync!$AB230))</f>
        <v/>
      </c>
      <c r="M233">
        <f>IF($G233="",0,IF(Sync!$AC230="",0,Sync!$AC230))</f>
        <v/>
      </c>
      <c r="N233">
        <f>IF($G233="","",IF($H233="مرجوعی خرید",-1,1)*($L233-$M233*IFERROR(VLOOKUP("P01",ParamTbl,3,0),1.5))*(1-IF($I233="خرید",IFERROR(VLOOKUP("P02",ParamTbl,3,0),1),0)/100))</f>
        <v/>
      </c>
      <c r="O233">
        <f>IF($G233="",0,IF($H233="مرجوعی خرید",-1,1)*IF(Sync!$AD230="",0,Sync!$AD230))</f>
        <v/>
      </c>
      <c r="P233">
        <f>IF(OR($G233="",Sync!$W230=""),"",Sync!$W230)</f>
        <v/>
      </c>
      <c r="Q233">
        <f>IF(OR($G233="",Sync!$AE230=""),"",Sync!$AE230)</f>
        <v/>
      </c>
      <c r="R233">
        <f>IF($G233="","",IF(Sync!$V230="","0000",IF(AND(ISNUMBER(Sync!$V230),Sync!$V230&gt;=0,Sync!$V230&lt;1),RIGHT("00"&amp;HOUR(Sync!$V230),2)&amp;RIGHT("00"&amp;MINUTE(Sync!$V230),2),IFERROR(RIGHT("00"&amp;VALUE(LEFT(Sync!$V230,FIND(":",Sync!$V230)-1)),2)&amp;RIGHT("00"&amp;VALUE(MID(Sync!$V230,FIND(":",Sync!$V230)+1,2)),2),"0000"))))</f>
        <v/>
      </c>
    </row>
    <row r="234">
      <c r="A234">
        <f>IF(Sync!$U231="","",Sync!$U231)</f>
        <v/>
      </c>
      <c r="B234">
        <f>IF($A234="","",IF(ISNUMBER($A234),IF(AND($A234&gt;=10000101,$A234&lt;=99991231),INT($A234/10000),""),IFERROR(VALUE(TRIM(LEFT($A234,FIND("/",$A234)-1))),"")))</f>
        <v/>
      </c>
      <c r="C234">
        <f>IF(OR($A234="",$B234=""),"",IF(ISNUMBER($A234),INT(MOD($A234,10000)/100),IFERROR(VALUE(TRIM(LEFT(MID($A234,FIND("/",$A234)+1,20),FIND("/",MID($A234,FIND("/",$A234)+1,20))-1))),"")))</f>
        <v/>
      </c>
      <c r="D234">
        <f>IF(OR($A234="",$B234=""),"",IF(ISNUMBER($A234),MOD($A234,100),IFERROR(VALUE(TRIM(MID(MID($A234,FIND("/",$A234)+1,20),FIND("/",MID($A234,FIND("/",$A234)+1,20))+1,20))),"")))</f>
        <v/>
      </c>
      <c r="E234">
        <f>IF($A234="","",IF(OR($B234="",$C234="",$D234="",$B234&lt;1300,$B234&gt;1500,$C234&lt;1,$C234&gt;12,$D234&lt;1,$D234&gt;31),"نامعتبر",RIGHT("0000"&amp;$B234,4)&amp;"/"&amp;RIGHT("00"&amp;$C234,2)&amp;"/"&amp;RIGHT("00"&amp;$D234,2)))</f>
        <v/>
      </c>
      <c r="F234">
        <f>IF(OR($E234="",$E234="نامعتبر"),"",LEFT($E234,4)&amp;"/"&amp;MID($E234,6,2))</f>
        <v/>
      </c>
      <c r="G234">
        <f>IF(OR($E234="",$E234="نامعتبر",Sync!$Y231=""),"",Sync!$Y231)</f>
        <v/>
      </c>
      <c r="H234">
        <f>IF($G234="","",IF(Sync!$X231="","",Sync!$X231))</f>
        <v/>
      </c>
      <c r="I234">
        <f>IF($G234="","",IFERROR(VLOOKUP(Sync!$X231,OpTbl,3,0),""))</f>
        <v/>
      </c>
      <c r="J234">
        <f>IF(OR($G234="",Sync!$Z231=""),"",Sync!$Z231)</f>
        <v/>
      </c>
      <c r="K234">
        <f>IF(OR($G234="",Sync!$AA231=""),"",Sync!$AA231)</f>
        <v/>
      </c>
      <c r="L234">
        <f>IF($G234="",0,IF(Sync!$AB231="",0,Sync!$AB231))</f>
        <v/>
      </c>
      <c r="M234">
        <f>IF($G234="",0,IF(Sync!$AC231="",0,Sync!$AC231))</f>
        <v/>
      </c>
      <c r="N234">
        <f>IF($G234="","",IF($H234="مرجوعی خرید",-1,1)*($L234-$M234*IFERROR(VLOOKUP("P01",ParamTbl,3,0),1.5))*(1-IF($I234="خرید",IFERROR(VLOOKUP("P02",ParamTbl,3,0),1),0)/100))</f>
        <v/>
      </c>
      <c r="O234">
        <f>IF($G234="",0,IF($H234="مرجوعی خرید",-1,1)*IF(Sync!$AD231="",0,Sync!$AD231))</f>
        <v/>
      </c>
      <c r="P234">
        <f>IF(OR($G234="",Sync!$W231=""),"",Sync!$W231)</f>
        <v/>
      </c>
      <c r="Q234">
        <f>IF(OR($G234="",Sync!$AE231=""),"",Sync!$AE231)</f>
        <v/>
      </c>
      <c r="R234">
        <f>IF($G234="","",IF(Sync!$V231="","0000",IF(AND(ISNUMBER(Sync!$V231),Sync!$V231&gt;=0,Sync!$V231&lt;1),RIGHT("00"&amp;HOUR(Sync!$V231),2)&amp;RIGHT("00"&amp;MINUTE(Sync!$V231),2),IFERROR(RIGHT("00"&amp;VALUE(LEFT(Sync!$V231,FIND(":",Sync!$V231)-1)),2)&amp;RIGHT("00"&amp;VALUE(MID(Sync!$V231,FIND(":",Sync!$V231)+1,2)),2),"0000"))))</f>
        <v/>
      </c>
    </row>
    <row r="235">
      <c r="A235">
        <f>IF(Sync!$U232="","",Sync!$U232)</f>
        <v/>
      </c>
      <c r="B235">
        <f>IF($A235="","",IF(ISNUMBER($A235),IF(AND($A235&gt;=10000101,$A235&lt;=99991231),INT($A235/10000),""),IFERROR(VALUE(TRIM(LEFT($A235,FIND("/",$A235)-1))),"")))</f>
        <v/>
      </c>
      <c r="C235">
        <f>IF(OR($A235="",$B235=""),"",IF(ISNUMBER($A235),INT(MOD($A235,10000)/100),IFERROR(VALUE(TRIM(LEFT(MID($A235,FIND("/",$A235)+1,20),FIND("/",MID($A235,FIND("/",$A235)+1,20))-1))),"")))</f>
        <v/>
      </c>
      <c r="D235">
        <f>IF(OR($A235="",$B235=""),"",IF(ISNUMBER($A235),MOD($A235,100),IFERROR(VALUE(TRIM(MID(MID($A235,FIND("/",$A235)+1,20),FIND("/",MID($A235,FIND("/",$A235)+1,20))+1,20))),"")))</f>
        <v/>
      </c>
      <c r="E235">
        <f>IF($A235="","",IF(OR($B235="",$C235="",$D235="",$B235&lt;1300,$B235&gt;1500,$C235&lt;1,$C235&gt;12,$D235&lt;1,$D235&gt;31),"نامعتبر",RIGHT("0000"&amp;$B235,4)&amp;"/"&amp;RIGHT("00"&amp;$C235,2)&amp;"/"&amp;RIGHT("00"&amp;$D235,2)))</f>
        <v/>
      </c>
      <c r="F235">
        <f>IF(OR($E235="",$E235="نامعتبر"),"",LEFT($E235,4)&amp;"/"&amp;MID($E235,6,2))</f>
        <v/>
      </c>
      <c r="G235">
        <f>IF(OR($E235="",$E235="نامعتبر",Sync!$Y232=""),"",Sync!$Y232)</f>
        <v/>
      </c>
      <c r="H235">
        <f>IF($G235="","",IF(Sync!$X232="","",Sync!$X232))</f>
        <v/>
      </c>
      <c r="I235">
        <f>IF($G235="","",IFERROR(VLOOKUP(Sync!$X232,OpTbl,3,0),""))</f>
        <v/>
      </c>
      <c r="J235">
        <f>IF(OR($G235="",Sync!$Z232=""),"",Sync!$Z232)</f>
        <v/>
      </c>
      <c r="K235">
        <f>IF(OR($G235="",Sync!$AA232=""),"",Sync!$AA232)</f>
        <v/>
      </c>
      <c r="L235">
        <f>IF($G235="",0,IF(Sync!$AB232="",0,Sync!$AB232))</f>
        <v/>
      </c>
      <c r="M235">
        <f>IF($G235="",0,IF(Sync!$AC232="",0,Sync!$AC232))</f>
        <v/>
      </c>
      <c r="N235">
        <f>IF($G235="","",IF($H235="مرجوعی خرید",-1,1)*($L235-$M235*IFERROR(VLOOKUP("P01",ParamTbl,3,0),1.5))*(1-IF($I235="خرید",IFERROR(VLOOKUP("P02",ParamTbl,3,0),1),0)/100))</f>
        <v/>
      </c>
      <c r="O235">
        <f>IF($G235="",0,IF($H235="مرجوعی خرید",-1,1)*IF(Sync!$AD232="",0,Sync!$AD232))</f>
        <v/>
      </c>
      <c r="P235">
        <f>IF(OR($G235="",Sync!$W232=""),"",Sync!$W232)</f>
        <v/>
      </c>
      <c r="Q235">
        <f>IF(OR($G235="",Sync!$AE232=""),"",Sync!$AE232)</f>
        <v/>
      </c>
      <c r="R235">
        <f>IF($G235="","",IF(Sync!$V232="","0000",IF(AND(ISNUMBER(Sync!$V232),Sync!$V232&gt;=0,Sync!$V232&lt;1),RIGHT("00"&amp;HOUR(Sync!$V232),2)&amp;RIGHT("00"&amp;MINUTE(Sync!$V232),2),IFERROR(RIGHT("00"&amp;VALUE(LEFT(Sync!$V232,FIND(":",Sync!$V232)-1)),2)&amp;RIGHT("00"&amp;VALUE(MID(Sync!$V232,FIND(":",Sync!$V232)+1,2)),2),"0000"))))</f>
        <v/>
      </c>
    </row>
    <row r="236">
      <c r="A236">
        <f>IF(Sync!$U233="","",Sync!$U233)</f>
        <v/>
      </c>
      <c r="B236">
        <f>IF($A236="","",IF(ISNUMBER($A236),IF(AND($A236&gt;=10000101,$A236&lt;=99991231),INT($A236/10000),""),IFERROR(VALUE(TRIM(LEFT($A236,FIND("/",$A236)-1))),"")))</f>
        <v/>
      </c>
      <c r="C236">
        <f>IF(OR($A236="",$B236=""),"",IF(ISNUMBER($A236),INT(MOD($A236,10000)/100),IFERROR(VALUE(TRIM(LEFT(MID($A236,FIND("/",$A236)+1,20),FIND("/",MID($A236,FIND("/",$A236)+1,20))-1))),"")))</f>
        <v/>
      </c>
      <c r="D236">
        <f>IF(OR($A236="",$B236=""),"",IF(ISNUMBER($A236),MOD($A236,100),IFERROR(VALUE(TRIM(MID(MID($A236,FIND("/",$A236)+1,20),FIND("/",MID($A236,FIND("/",$A236)+1,20))+1,20))),"")))</f>
        <v/>
      </c>
      <c r="E236">
        <f>IF($A236="","",IF(OR($B236="",$C236="",$D236="",$B236&lt;1300,$B236&gt;1500,$C236&lt;1,$C236&gt;12,$D236&lt;1,$D236&gt;31),"نامعتبر",RIGHT("0000"&amp;$B236,4)&amp;"/"&amp;RIGHT("00"&amp;$C236,2)&amp;"/"&amp;RIGHT("00"&amp;$D236,2)))</f>
        <v/>
      </c>
      <c r="F236">
        <f>IF(OR($E236="",$E236="نامعتبر"),"",LEFT($E236,4)&amp;"/"&amp;MID($E236,6,2))</f>
        <v/>
      </c>
      <c r="G236">
        <f>IF(OR($E236="",$E236="نامعتبر",Sync!$Y233=""),"",Sync!$Y233)</f>
        <v/>
      </c>
      <c r="H236">
        <f>IF($G236="","",IF(Sync!$X233="","",Sync!$X233))</f>
        <v/>
      </c>
      <c r="I236">
        <f>IF($G236="","",IFERROR(VLOOKUP(Sync!$X233,OpTbl,3,0),""))</f>
        <v/>
      </c>
      <c r="J236">
        <f>IF(OR($G236="",Sync!$Z233=""),"",Sync!$Z233)</f>
        <v/>
      </c>
      <c r="K236">
        <f>IF(OR($G236="",Sync!$AA233=""),"",Sync!$AA233)</f>
        <v/>
      </c>
      <c r="L236">
        <f>IF($G236="",0,IF(Sync!$AB233="",0,Sync!$AB233))</f>
        <v/>
      </c>
      <c r="M236">
        <f>IF($G236="",0,IF(Sync!$AC233="",0,Sync!$AC233))</f>
        <v/>
      </c>
      <c r="N236">
        <f>IF($G236="","",IF($H236="مرجوعی خرید",-1,1)*($L236-$M236*IFERROR(VLOOKUP("P01",ParamTbl,3,0),1.5))*(1-IF($I236="خرید",IFERROR(VLOOKUP("P02",ParamTbl,3,0),1),0)/100))</f>
        <v/>
      </c>
      <c r="O236">
        <f>IF($G236="",0,IF($H236="مرجوعی خرید",-1,1)*IF(Sync!$AD233="",0,Sync!$AD233))</f>
        <v/>
      </c>
      <c r="P236">
        <f>IF(OR($G236="",Sync!$W233=""),"",Sync!$W233)</f>
        <v/>
      </c>
      <c r="Q236">
        <f>IF(OR($G236="",Sync!$AE233=""),"",Sync!$AE233)</f>
        <v/>
      </c>
      <c r="R236">
        <f>IF($G236="","",IF(Sync!$V233="","0000",IF(AND(ISNUMBER(Sync!$V233),Sync!$V233&gt;=0,Sync!$V233&lt;1),RIGHT("00"&amp;HOUR(Sync!$V233),2)&amp;RIGHT("00"&amp;MINUTE(Sync!$V233),2),IFERROR(RIGHT("00"&amp;VALUE(LEFT(Sync!$V233,FIND(":",Sync!$V233)-1)),2)&amp;RIGHT("00"&amp;VALUE(MID(Sync!$V233,FIND(":",Sync!$V233)+1,2)),2),"0000"))))</f>
        <v/>
      </c>
    </row>
    <row r="237">
      <c r="A237">
        <f>IF(Sync!$U234="","",Sync!$U234)</f>
        <v/>
      </c>
      <c r="B237">
        <f>IF($A237="","",IF(ISNUMBER($A237),IF(AND($A237&gt;=10000101,$A237&lt;=99991231),INT($A237/10000),""),IFERROR(VALUE(TRIM(LEFT($A237,FIND("/",$A237)-1))),"")))</f>
        <v/>
      </c>
      <c r="C237">
        <f>IF(OR($A237="",$B237=""),"",IF(ISNUMBER($A237),INT(MOD($A237,10000)/100),IFERROR(VALUE(TRIM(LEFT(MID($A237,FIND("/",$A237)+1,20),FIND("/",MID($A237,FIND("/",$A237)+1,20))-1))),"")))</f>
        <v/>
      </c>
      <c r="D237">
        <f>IF(OR($A237="",$B237=""),"",IF(ISNUMBER($A237),MOD($A237,100),IFERROR(VALUE(TRIM(MID(MID($A237,FIND("/",$A237)+1,20),FIND("/",MID($A237,FIND("/",$A237)+1,20))+1,20))),"")))</f>
        <v/>
      </c>
      <c r="E237">
        <f>IF($A237="","",IF(OR($B237="",$C237="",$D237="",$B237&lt;1300,$B237&gt;1500,$C237&lt;1,$C237&gt;12,$D237&lt;1,$D237&gt;31),"نامعتبر",RIGHT("0000"&amp;$B237,4)&amp;"/"&amp;RIGHT("00"&amp;$C237,2)&amp;"/"&amp;RIGHT("00"&amp;$D237,2)))</f>
        <v/>
      </c>
      <c r="F237">
        <f>IF(OR($E237="",$E237="نامعتبر"),"",LEFT($E237,4)&amp;"/"&amp;MID($E237,6,2))</f>
        <v/>
      </c>
      <c r="G237">
        <f>IF(OR($E237="",$E237="نامعتبر",Sync!$Y234=""),"",Sync!$Y234)</f>
        <v/>
      </c>
      <c r="H237">
        <f>IF($G237="","",IF(Sync!$X234="","",Sync!$X234))</f>
        <v/>
      </c>
      <c r="I237">
        <f>IF($G237="","",IFERROR(VLOOKUP(Sync!$X234,OpTbl,3,0),""))</f>
        <v/>
      </c>
      <c r="J237">
        <f>IF(OR($G237="",Sync!$Z234=""),"",Sync!$Z234)</f>
        <v/>
      </c>
      <c r="K237">
        <f>IF(OR($G237="",Sync!$AA234=""),"",Sync!$AA234)</f>
        <v/>
      </c>
      <c r="L237">
        <f>IF($G237="",0,IF(Sync!$AB234="",0,Sync!$AB234))</f>
        <v/>
      </c>
      <c r="M237">
        <f>IF($G237="",0,IF(Sync!$AC234="",0,Sync!$AC234))</f>
        <v/>
      </c>
      <c r="N237">
        <f>IF($G237="","",IF($H237="مرجوعی خرید",-1,1)*($L237-$M237*IFERROR(VLOOKUP("P01",ParamTbl,3,0),1.5))*(1-IF($I237="خرید",IFERROR(VLOOKUP("P02",ParamTbl,3,0),1),0)/100))</f>
        <v/>
      </c>
      <c r="O237">
        <f>IF($G237="",0,IF($H237="مرجوعی خرید",-1,1)*IF(Sync!$AD234="",0,Sync!$AD234))</f>
        <v/>
      </c>
      <c r="P237">
        <f>IF(OR($G237="",Sync!$W234=""),"",Sync!$W234)</f>
        <v/>
      </c>
      <c r="Q237">
        <f>IF(OR($G237="",Sync!$AE234=""),"",Sync!$AE234)</f>
        <v/>
      </c>
      <c r="R237">
        <f>IF($G237="","",IF(Sync!$V234="","0000",IF(AND(ISNUMBER(Sync!$V234),Sync!$V234&gt;=0,Sync!$V234&lt;1),RIGHT("00"&amp;HOUR(Sync!$V234),2)&amp;RIGHT("00"&amp;MINUTE(Sync!$V234),2),IFERROR(RIGHT("00"&amp;VALUE(LEFT(Sync!$V234,FIND(":",Sync!$V234)-1)),2)&amp;RIGHT("00"&amp;VALUE(MID(Sync!$V234,FIND(":",Sync!$V234)+1,2)),2),"0000"))))</f>
        <v/>
      </c>
    </row>
    <row r="238">
      <c r="A238">
        <f>IF(Sync!$U235="","",Sync!$U235)</f>
        <v/>
      </c>
      <c r="B238">
        <f>IF($A238="","",IF(ISNUMBER($A238),IF(AND($A238&gt;=10000101,$A238&lt;=99991231),INT($A238/10000),""),IFERROR(VALUE(TRIM(LEFT($A238,FIND("/",$A238)-1))),"")))</f>
        <v/>
      </c>
      <c r="C238">
        <f>IF(OR($A238="",$B238=""),"",IF(ISNUMBER($A238),INT(MOD($A238,10000)/100),IFERROR(VALUE(TRIM(LEFT(MID($A238,FIND("/",$A238)+1,20),FIND("/",MID($A238,FIND("/",$A238)+1,20))-1))),"")))</f>
        <v/>
      </c>
      <c r="D238">
        <f>IF(OR($A238="",$B238=""),"",IF(ISNUMBER($A238),MOD($A238,100),IFERROR(VALUE(TRIM(MID(MID($A238,FIND("/",$A238)+1,20),FIND("/",MID($A238,FIND("/",$A238)+1,20))+1,20))),"")))</f>
        <v/>
      </c>
      <c r="E238">
        <f>IF($A238="","",IF(OR($B238="",$C238="",$D238="",$B238&lt;1300,$B238&gt;1500,$C238&lt;1,$C238&gt;12,$D238&lt;1,$D238&gt;31),"نامعتبر",RIGHT("0000"&amp;$B238,4)&amp;"/"&amp;RIGHT("00"&amp;$C238,2)&amp;"/"&amp;RIGHT("00"&amp;$D238,2)))</f>
        <v/>
      </c>
      <c r="F238">
        <f>IF(OR($E238="",$E238="نامعتبر"),"",LEFT($E238,4)&amp;"/"&amp;MID($E238,6,2))</f>
        <v/>
      </c>
      <c r="G238">
        <f>IF(OR($E238="",$E238="نامعتبر",Sync!$Y235=""),"",Sync!$Y235)</f>
        <v/>
      </c>
      <c r="H238">
        <f>IF($G238="","",IF(Sync!$X235="","",Sync!$X235))</f>
        <v/>
      </c>
      <c r="I238">
        <f>IF($G238="","",IFERROR(VLOOKUP(Sync!$X235,OpTbl,3,0),""))</f>
        <v/>
      </c>
      <c r="J238">
        <f>IF(OR($G238="",Sync!$Z235=""),"",Sync!$Z235)</f>
        <v/>
      </c>
      <c r="K238">
        <f>IF(OR($G238="",Sync!$AA235=""),"",Sync!$AA235)</f>
        <v/>
      </c>
      <c r="L238">
        <f>IF($G238="",0,IF(Sync!$AB235="",0,Sync!$AB235))</f>
        <v/>
      </c>
      <c r="M238">
        <f>IF($G238="",0,IF(Sync!$AC235="",0,Sync!$AC235))</f>
        <v/>
      </c>
      <c r="N238">
        <f>IF($G238="","",IF($H238="مرجوعی خرید",-1,1)*($L238-$M238*IFERROR(VLOOKUP("P01",ParamTbl,3,0),1.5))*(1-IF($I238="خرید",IFERROR(VLOOKUP("P02",ParamTbl,3,0),1),0)/100))</f>
        <v/>
      </c>
      <c r="O238">
        <f>IF($G238="",0,IF($H238="مرجوعی خرید",-1,1)*IF(Sync!$AD235="",0,Sync!$AD235))</f>
        <v/>
      </c>
      <c r="P238">
        <f>IF(OR($G238="",Sync!$W235=""),"",Sync!$W235)</f>
        <v/>
      </c>
      <c r="Q238">
        <f>IF(OR($G238="",Sync!$AE235=""),"",Sync!$AE235)</f>
        <v/>
      </c>
      <c r="R238">
        <f>IF($G238="","",IF(Sync!$V235="","0000",IF(AND(ISNUMBER(Sync!$V235),Sync!$V235&gt;=0,Sync!$V235&lt;1),RIGHT("00"&amp;HOUR(Sync!$V235),2)&amp;RIGHT("00"&amp;MINUTE(Sync!$V235),2),IFERROR(RIGHT("00"&amp;VALUE(LEFT(Sync!$V235,FIND(":",Sync!$V235)-1)),2)&amp;RIGHT("00"&amp;VALUE(MID(Sync!$V235,FIND(":",Sync!$V235)+1,2)),2),"0000"))))</f>
        <v/>
      </c>
    </row>
    <row r="239">
      <c r="A239">
        <f>IF(Sync!$U236="","",Sync!$U236)</f>
        <v/>
      </c>
      <c r="B239">
        <f>IF($A239="","",IF(ISNUMBER($A239),IF(AND($A239&gt;=10000101,$A239&lt;=99991231),INT($A239/10000),""),IFERROR(VALUE(TRIM(LEFT($A239,FIND("/",$A239)-1))),"")))</f>
        <v/>
      </c>
      <c r="C239">
        <f>IF(OR($A239="",$B239=""),"",IF(ISNUMBER($A239),INT(MOD($A239,10000)/100),IFERROR(VALUE(TRIM(LEFT(MID($A239,FIND("/",$A239)+1,20),FIND("/",MID($A239,FIND("/",$A239)+1,20))-1))),"")))</f>
        <v/>
      </c>
      <c r="D239">
        <f>IF(OR($A239="",$B239=""),"",IF(ISNUMBER($A239),MOD($A239,100),IFERROR(VALUE(TRIM(MID(MID($A239,FIND("/",$A239)+1,20),FIND("/",MID($A239,FIND("/",$A239)+1,20))+1,20))),"")))</f>
        <v/>
      </c>
      <c r="E239">
        <f>IF($A239="","",IF(OR($B239="",$C239="",$D239="",$B239&lt;1300,$B239&gt;1500,$C239&lt;1,$C239&gt;12,$D239&lt;1,$D239&gt;31),"نامعتبر",RIGHT("0000"&amp;$B239,4)&amp;"/"&amp;RIGHT("00"&amp;$C239,2)&amp;"/"&amp;RIGHT("00"&amp;$D239,2)))</f>
        <v/>
      </c>
      <c r="F239">
        <f>IF(OR($E239="",$E239="نامعتبر"),"",LEFT($E239,4)&amp;"/"&amp;MID($E239,6,2))</f>
        <v/>
      </c>
      <c r="G239">
        <f>IF(OR($E239="",$E239="نامعتبر",Sync!$Y236=""),"",Sync!$Y236)</f>
        <v/>
      </c>
      <c r="H239">
        <f>IF($G239="","",IF(Sync!$X236="","",Sync!$X236))</f>
        <v/>
      </c>
      <c r="I239">
        <f>IF($G239="","",IFERROR(VLOOKUP(Sync!$X236,OpTbl,3,0),""))</f>
        <v/>
      </c>
      <c r="J239">
        <f>IF(OR($G239="",Sync!$Z236=""),"",Sync!$Z236)</f>
        <v/>
      </c>
      <c r="K239">
        <f>IF(OR($G239="",Sync!$AA236=""),"",Sync!$AA236)</f>
        <v/>
      </c>
      <c r="L239">
        <f>IF($G239="",0,IF(Sync!$AB236="",0,Sync!$AB236))</f>
        <v/>
      </c>
      <c r="M239">
        <f>IF($G239="",0,IF(Sync!$AC236="",0,Sync!$AC236))</f>
        <v/>
      </c>
      <c r="N239">
        <f>IF($G239="","",IF($H239="مرجوعی خرید",-1,1)*($L239-$M239*IFERROR(VLOOKUP("P01",ParamTbl,3,0),1.5))*(1-IF($I239="خرید",IFERROR(VLOOKUP("P02",ParamTbl,3,0),1),0)/100))</f>
        <v/>
      </c>
      <c r="O239">
        <f>IF($G239="",0,IF($H239="مرجوعی خرید",-1,1)*IF(Sync!$AD236="",0,Sync!$AD236))</f>
        <v/>
      </c>
      <c r="P239">
        <f>IF(OR($G239="",Sync!$W236=""),"",Sync!$W236)</f>
        <v/>
      </c>
      <c r="Q239">
        <f>IF(OR($G239="",Sync!$AE236=""),"",Sync!$AE236)</f>
        <v/>
      </c>
      <c r="R239">
        <f>IF($G239="","",IF(Sync!$V236="","0000",IF(AND(ISNUMBER(Sync!$V236),Sync!$V236&gt;=0,Sync!$V236&lt;1),RIGHT("00"&amp;HOUR(Sync!$V236),2)&amp;RIGHT("00"&amp;MINUTE(Sync!$V236),2),IFERROR(RIGHT("00"&amp;VALUE(LEFT(Sync!$V236,FIND(":",Sync!$V236)-1)),2)&amp;RIGHT("00"&amp;VALUE(MID(Sync!$V236,FIND(":",Sync!$V236)+1,2)),2),"0000"))))</f>
        <v/>
      </c>
    </row>
    <row r="240">
      <c r="A240">
        <f>IF(Sync!$U237="","",Sync!$U237)</f>
        <v/>
      </c>
      <c r="B240">
        <f>IF($A240="","",IF(ISNUMBER($A240),IF(AND($A240&gt;=10000101,$A240&lt;=99991231),INT($A240/10000),""),IFERROR(VALUE(TRIM(LEFT($A240,FIND("/",$A240)-1))),"")))</f>
        <v/>
      </c>
      <c r="C240">
        <f>IF(OR($A240="",$B240=""),"",IF(ISNUMBER($A240),INT(MOD($A240,10000)/100),IFERROR(VALUE(TRIM(LEFT(MID($A240,FIND("/",$A240)+1,20),FIND("/",MID($A240,FIND("/",$A240)+1,20))-1))),"")))</f>
        <v/>
      </c>
      <c r="D240">
        <f>IF(OR($A240="",$B240=""),"",IF(ISNUMBER($A240),MOD($A240,100),IFERROR(VALUE(TRIM(MID(MID($A240,FIND("/",$A240)+1,20),FIND("/",MID($A240,FIND("/",$A240)+1,20))+1,20))),"")))</f>
        <v/>
      </c>
      <c r="E240">
        <f>IF($A240="","",IF(OR($B240="",$C240="",$D240="",$B240&lt;1300,$B240&gt;1500,$C240&lt;1,$C240&gt;12,$D240&lt;1,$D240&gt;31),"نامعتبر",RIGHT("0000"&amp;$B240,4)&amp;"/"&amp;RIGHT("00"&amp;$C240,2)&amp;"/"&amp;RIGHT("00"&amp;$D240,2)))</f>
        <v/>
      </c>
      <c r="F240">
        <f>IF(OR($E240="",$E240="نامعتبر"),"",LEFT($E240,4)&amp;"/"&amp;MID($E240,6,2))</f>
        <v/>
      </c>
      <c r="G240">
        <f>IF(OR($E240="",$E240="نامعتبر",Sync!$Y237=""),"",Sync!$Y237)</f>
        <v/>
      </c>
      <c r="H240">
        <f>IF($G240="","",IF(Sync!$X237="","",Sync!$X237))</f>
        <v/>
      </c>
      <c r="I240">
        <f>IF($G240="","",IFERROR(VLOOKUP(Sync!$X237,OpTbl,3,0),""))</f>
        <v/>
      </c>
      <c r="J240">
        <f>IF(OR($G240="",Sync!$Z237=""),"",Sync!$Z237)</f>
        <v/>
      </c>
      <c r="K240">
        <f>IF(OR($G240="",Sync!$AA237=""),"",Sync!$AA237)</f>
        <v/>
      </c>
      <c r="L240">
        <f>IF($G240="",0,IF(Sync!$AB237="",0,Sync!$AB237))</f>
        <v/>
      </c>
      <c r="M240">
        <f>IF($G240="",0,IF(Sync!$AC237="",0,Sync!$AC237))</f>
        <v/>
      </c>
      <c r="N240">
        <f>IF($G240="","",IF($H240="مرجوعی خرید",-1,1)*($L240-$M240*IFERROR(VLOOKUP("P01",ParamTbl,3,0),1.5))*(1-IF($I240="خرید",IFERROR(VLOOKUP("P02",ParamTbl,3,0),1),0)/100))</f>
        <v/>
      </c>
      <c r="O240">
        <f>IF($G240="",0,IF($H240="مرجوعی خرید",-1,1)*IF(Sync!$AD237="",0,Sync!$AD237))</f>
        <v/>
      </c>
      <c r="P240">
        <f>IF(OR($G240="",Sync!$W237=""),"",Sync!$W237)</f>
        <v/>
      </c>
      <c r="Q240">
        <f>IF(OR($G240="",Sync!$AE237=""),"",Sync!$AE237)</f>
        <v/>
      </c>
      <c r="R240">
        <f>IF($G240="","",IF(Sync!$V237="","0000",IF(AND(ISNUMBER(Sync!$V237),Sync!$V237&gt;=0,Sync!$V237&lt;1),RIGHT("00"&amp;HOUR(Sync!$V237),2)&amp;RIGHT("00"&amp;MINUTE(Sync!$V237),2),IFERROR(RIGHT("00"&amp;VALUE(LEFT(Sync!$V237,FIND(":",Sync!$V237)-1)),2)&amp;RIGHT("00"&amp;VALUE(MID(Sync!$V237,FIND(":",Sync!$V237)+1,2)),2),"0000"))))</f>
        <v/>
      </c>
    </row>
    <row r="241">
      <c r="A241">
        <f>IF(Sync!$U238="","",Sync!$U238)</f>
        <v/>
      </c>
      <c r="B241">
        <f>IF($A241="","",IF(ISNUMBER($A241),IF(AND($A241&gt;=10000101,$A241&lt;=99991231),INT($A241/10000),""),IFERROR(VALUE(TRIM(LEFT($A241,FIND("/",$A241)-1))),"")))</f>
        <v/>
      </c>
      <c r="C241">
        <f>IF(OR($A241="",$B241=""),"",IF(ISNUMBER($A241),INT(MOD($A241,10000)/100),IFERROR(VALUE(TRIM(LEFT(MID($A241,FIND("/",$A241)+1,20),FIND("/",MID($A241,FIND("/",$A241)+1,20))-1))),"")))</f>
        <v/>
      </c>
      <c r="D241">
        <f>IF(OR($A241="",$B241=""),"",IF(ISNUMBER($A241),MOD($A241,100),IFERROR(VALUE(TRIM(MID(MID($A241,FIND("/",$A241)+1,20),FIND("/",MID($A241,FIND("/",$A241)+1,20))+1,20))),"")))</f>
        <v/>
      </c>
      <c r="E241">
        <f>IF($A241="","",IF(OR($B241="",$C241="",$D241="",$B241&lt;1300,$B241&gt;1500,$C241&lt;1,$C241&gt;12,$D241&lt;1,$D241&gt;31),"نامعتبر",RIGHT("0000"&amp;$B241,4)&amp;"/"&amp;RIGHT("00"&amp;$C241,2)&amp;"/"&amp;RIGHT("00"&amp;$D241,2)))</f>
        <v/>
      </c>
      <c r="F241">
        <f>IF(OR($E241="",$E241="نامعتبر"),"",LEFT($E241,4)&amp;"/"&amp;MID($E241,6,2))</f>
        <v/>
      </c>
      <c r="G241">
        <f>IF(OR($E241="",$E241="نامعتبر",Sync!$Y238=""),"",Sync!$Y238)</f>
        <v/>
      </c>
      <c r="H241">
        <f>IF($G241="","",IF(Sync!$X238="","",Sync!$X238))</f>
        <v/>
      </c>
      <c r="I241">
        <f>IF($G241="","",IFERROR(VLOOKUP(Sync!$X238,OpTbl,3,0),""))</f>
        <v/>
      </c>
      <c r="J241">
        <f>IF(OR($G241="",Sync!$Z238=""),"",Sync!$Z238)</f>
        <v/>
      </c>
      <c r="K241">
        <f>IF(OR($G241="",Sync!$AA238=""),"",Sync!$AA238)</f>
        <v/>
      </c>
      <c r="L241">
        <f>IF($G241="",0,IF(Sync!$AB238="",0,Sync!$AB238))</f>
        <v/>
      </c>
      <c r="M241">
        <f>IF($G241="",0,IF(Sync!$AC238="",0,Sync!$AC238))</f>
        <v/>
      </c>
      <c r="N241">
        <f>IF($G241="","",IF($H241="مرجوعی خرید",-1,1)*($L241-$M241*IFERROR(VLOOKUP("P01",ParamTbl,3,0),1.5))*(1-IF($I241="خرید",IFERROR(VLOOKUP("P02",ParamTbl,3,0),1),0)/100))</f>
        <v/>
      </c>
      <c r="O241">
        <f>IF($G241="",0,IF($H241="مرجوعی خرید",-1,1)*IF(Sync!$AD238="",0,Sync!$AD238))</f>
        <v/>
      </c>
      <c r="P241">
        <f>IF(OR($G241="",Sync!$W238=""),"",Sync!$W238)</f>
        <v/>
      </c>
      <c r="Q241">
        <f>IF(OR($G241="",Sync!$AE238=""),"",Sync!$AE238)</f>
        <v/>
      </c>
      <c r="R241">
        <f>IF($G241="","",IF(Sync!$V238="","0000",IF(AND(ISNUMBER(Sync!$V238),Sync!$V238&gt;=0,Sync!$V238&lt;1),RIGHT("00"&amp;HOUR(Sync!$V238),2)&amp;RIGHT("00"&amp;MINUTE(Sync!$V238),2),IFERROR(RIGHT("00"&amp;VALUE(LEFT(Sync!$V238,FIND(":",Sync!$V238)-1)),2)&amp;RIGHT("00"&amp;VALUE(MID(Sync!$V238,FIND(":",Sync!$V238)+1,2)),2),"0000"))))</f>
        <v/>
      </c>
    </row>
    <row r="242">
      <c r="A242">
        <f>IF(Sync!$U239="","",Sync!$U239)</f>
        <v/>
      </c>
      <c r="B242">
        <f>IF($A242="","",IF(ISNUMBER($A242),IF(AND($A242&gt;=10000101,$A242&lt;=99991231),INT($A242/10000),""),IFERROR(VALUE(TRIM(LEFT($A242,FIND("/",$A242)-1))),"")))</f>
        <v/>
      </c>
      <c r="C242">
        <f>IF(OR($A242="",$B242=""),"",IF(ISNUMBER($A242),INT(MOD($A242,10000)/100),IFERROR(VALUE(TRIM(LEFT(MID($A242,FIND("/",$A242)+1,20),FIND("/",MID($A242,FIND("/",$A242)+1,20))-1))),"")))</f>
        <v/>
      </c>
      <c r="D242">
        <f>IF(OR($A242="",$B242=""),"",IF(ISNUMBER($A242),MOD($A242,100),IFERROR(VALUE(TRIM(MID(MID($A242,FIND("/",$A242)+1,20),FIND("/",MID($A242,FIND("/",$A242)+1,20))+1,20))),"")))</f>
        <v/>
      </c>
      <c r="E242">
        <f>IF($A242="","",IF(OR($B242="",$C242="",$D242="",$B242&lt;1300,$B242&gt;1500,$C242&lt;1,$C242&gt;12,$D242&lt;1,$D242&gt;31),"نامعتبر",RIGHT("0000"&amp;$B242,4)&amp;"/"&amp;RIGHT("00"&amp;$C242,2)&amp;"/"&amp;RIGHT("00"&amp;$D242,2)))</f>
        <v/>
      </c>
      <c r="F242">
        <f>IF(OR($E242="",$E242="نامعتبر"),"",LEFT($E242,4)&amp;"/"&amp;MID($E242,6,2))</f>
        <v/>
      </c>
      <c r="G242">
        <f>IF(OR($E242="",$E242="نامعتبر",Sync!$Y239=""),"",Sync!$Y239)</f>
        <v/>
      </c>
      <c r="H242">
        <f>IF($G242="","",IF(Sync!$X239="","",Sync!$X239))</f>
        <v/>
      </c>
      <c r="I242">
        <f>IF($G242="","",IFERROR(VLOOKUP(Sync!$X239,OpTbl,3,0),""))</f>
        <v/>
      </c>
      <c r="J242">
        <f>IF(OR($G242="",Sync!$Z239=""),"",Sync!$Z239)</f>
        <v/>
      </c>
      <c r="K242">
        <f>IF(OR($G242="",Sync!$AA239=""),"",Sync!$AA239)</f>
        <v/>
      </c>
      <c r="L242">
        <f>IF($G242="",0,IF(Sync!$AB239="",0,Sync!$AB239))</f>
        <v/>
      </c>
      <c r="M242">
        <f>IF($G242="",0,IF(Sync!$AC239="",0,Sync!$AC239))</f>
        <v/>
      </c>
      <c r="N242">
        <f>IF($G242="","",IF($H242="مرجوعی خرید",-1,1)*($L242-$M242*IFERROR(VLOOKUP("P01",ParamTbl,3,0),1.5))*(1-IF($I242="خرید",IFERROR(VLOOKUP("P02",ParamTbl,3,0),1),0)/100))</f>
        <v/>
      </c>
      <c r="O242">
        <f>IF($G242="",0,IF($H242="مرجوعی خرید",-1,1)*IF(Sync!$AD239="",0,Sync!$AD239))</f>
        <v/>
      </c>
      <c r="P242">
        <f>IF(OR($G242="",Sync!$W239=""),"",Sync!$W239)</f>
        <v/>
      </c>
      <c r="Q242">
        <f>IF(OR($G242="",Sync!$AE239=""),"",Sync!$AE239)</f>
        <v/>
      </c>
      <c r="R242">
        <f>IF($G242="","",IF(Sync!$V239="","0000",IF(AND(ISNUMBER(Sync!$V239),Sync!$V239&gt;=0,Sync!$V239&lt;1),RIGHT("00"&amp;HOUR(Sync!$V239),2)&amp;RIGHT("00"&amp;MINUTE(Sync!$V239),2),IFERROR(RIGHT("00"&amp;VALUE(LEFT(Sync!$V239,FIND(":",Sync!$V239)-1)),2)&amp;RIGHT("00"&amp;VALUE(MID(Sync!$V239,FIND(":",Sync!$V239)+1,2)),2),"0000"))))</f>
        <v/>
      </c>
    </row>
    <row r="243">
      <c r="A243">
        <f>IF(Sync!$U240="","",Sync!$U240)</f>
        <v/>
      </c>
      <c r="B243">
        <f>IF($A243="","",IF(ISNUMBER($A243),IF(AND($A243&gt;=10000101,$A243&lt;=99991231),INT($A243/10000),""),IFERROR(VALUE(TRIM(LEFT($A243,FIND("/",$A243)-1))),"")))</f>
        <v/>
      </c>
      <c r="C243">
        <f>IF(OR($A243="",$B243=""),"",IF(ISNUMBER($A243),INT(MOD($A243,10000)/100),IFERROR(VALUE(TRIM(LEFT(MID($A243,FIND("/",$A243)+1,20),FIND("/",MID($A243,FIND("/",$A243)+1,20))-1))),"")))</f>
        <v/>
      </c>
      <c r="D243">
        <f>IF(OR($A243="",$B243=""),"",IF(ISNUMBER($A243),MOD($A243,100),IFERROR(VALUE(TRIM(MID(MID($A243,FIND("/",$A243)+1,20),FIND("/",MID($A243,FIND("/",$A243)+1,20))+1,20))),"")))</f>
        <v/>
      </c>
      <c r="E243">
        <f>IF($A243="","",IF(OR($B243="",$C243="",$D243="",$B243&lt;1300,$B243&gt;1500,$C243&lt;1,$C243&gt;12,$D243&lt;1,$D243&gt;31),"نامعتبر",RIGHT("0000"&amp;$B243,4)&amp;"/"&amp;RIGHT("00"&amp;$C243,2)&amp;"/"&amp;RIGHT("00"&amp;$D243,2)))</f>
        <v/>
      </c>
      <c r="F243">
        <f>IF(OR($E243="",$E243="نامعتبر"),"",LEFT($E243,4)&amp;"/"&amp;MID($E243,6,2))</f>
        <v/>
      </c>
      <c r="G243">
        <f>IF(OR($E243="",$E243="نامعتبر",Sync!$Y240=""),"",Sync!$Y240)</f>
        <v/>
      </c>
      <c r="H243">
        <f>IF($G243="","",IF(Sync!$X240="","",Sync!$X240))</f>
        <v/>
      </c>
      <c r="I243">
        <f>IF($G243="","",IFERROR(VLOOKUP(Sync!$X240,OpTbl,3,0),""))</f>
        <v/>
      </c>
      <c r="J243">
        <f>IF(OR($G243="",Sync!$Z240=""),"",Sync!$Z240)</f>
        <v/>
      </c>
      <c r="K243">
        <f>IF(OR($G243="",Sync!$AA240=""),"",Sync!$AA240)</f>
        <v/>
      </c>
      <c r="L243">
        <f>IF($G243="",0,IF(Sync!$AB240="",0,Sync!$AB240))</f>
        <v/>
      </c>
      <c r="M243">
        <f>IF($G243="",0,IF(Sync!$AC240="",0,Sync!$AC240))</f>
        <v/>
      </c>
      <c r="N243">
        <f>IF($G243="","",IF($H243="مرجوعی خرید",-1,1)*($L243-$M243*IFERROR(VLOOKUP("P01",ParamTbl,3,0),1.5))*(1-IF($I243="خرید",IFERROR(VLOOKUP("P02",ParamTbl,3,0),1),0)/100))</f>
        <v/>
      </c>
      <c r="O243">
        <f>IF($G243="",0,IF($H243="مرجوعی خرید",-1,1)*IF(Sync!$AD240="",0,Sync!$AD240))</f>
        <v/>
      </c>
      <c r="P243">
        <f>IF(OR($G243="",Sync!$W240=""),"",Sync!$W240)</f>
        <v/>
      </c>
      <c r="Q243">
        <f>IF(OR($G243="",Sync!$AE240=""),"",Sync!$AE240)</f>
        <v/>
      </c>
      <c r="R243">
        <f>IF($G243="","",IF(Sync!$V240="","0000",IF(AND(ISNUMBER(Sync!$V240),Sync!$V240&gt;=0,Sync!$V240&lt;1),RIGHT("00"&amp;HOUR(Sync!$V240),2)&amp;RIGHT("00"&amp;MINUTE(Sync!$V240),2),IFERROR(RIGHT("00"&amp;VALUE(LEFT(Sync!$V240,FIND(":",Sync!$V240)-1)),2)&amp;RIGHT("00"&amp;VALUE(MID(Sync!$V240,FIND(":",Sync!$V240)+1,2)),2),"0000"))))</f>
        <v/>
      </c>
    </row>
    <row r="244">
      <c r="A244">
        <f>IF(Sync!$U241="","",Sync!$U241)</f>
        <v/>
      </c>
      <c r="B244">
        <f>IF($A244="","",IF(ISNUMBER($A244),IF(AND($A244&gt;=10000101,$A244&lt;=99991231),INT($A244/10000),""),IFERROR(VALUE(TRIM(LEFT($A244,FIND("/",$A244)-1))),"")))</f>
        <v/>
      </c>
      <c r="C244">
        <f>IF(OR($A244="",$B244=""),"",IF(ISNUMBER($A244),INT(MOD($A244,10000)/100),IFERROR(VALUE(TRIM(LEFT(MID($A244,FIND("/",$A244)+1,20),FIND("/",MID($A244,FIND("/",$A244)+1,20))-1))),"")))</f>
        <v/>
      </c>
      <c r="D244">
        <f>IF(OR($A244="",$B244=""),"",IF(ISNUMBER($A244),MOD($A244,100),IFERROR(VALUE(TRIM(MID(MID($A244,FIND("/",$A244)+1,20),FIND("/",MID($A244,FIND("/",$A244)+1,20))+1,20))),"")))</f>
        <v/>
      </c>
      <c r="E244">
        <f>IF($A244="","",IF(OR($B244="",$C244="",$D244="",$B244&lt;1300,$B244&gt;1500,$C244&lt;1,$C244&gt;12,$D244&lt;1,$D244&gt;31),"نامعتبر",RIGHT("0000"&amp;$B244,4)&amp;"/"&amp;RIGHT("00"&amp;$C244,2)&amp;"/"&amp;RIGHT("00"&amp;$D244,2)))</f>
        <v/>
      </c>
      <c r="F244">
        <f>IF(OR($E244="",$E244="نامعتبر"),"",LEFT($E244,4)&amp;"/"&amp;MID($E244,6,2))</f>
        <v/>
      </c>
      <c r="G244">
        <f>IF(OR($E244="",$E244="نامعتبر",Sync!$Y241=""),"",Sync!$Y241)</f>
        <v/>
      </c>
      <c r="H244">
        <f>IF($G244="","",IF(Sync!$X241="","",Sync!$X241))</f>
        <v/>
      </c>
      <c r="I244">
        <f>IF($G244="","",IFERROR(VLOOKUP(Sync!$X241,OpTbl,3,0),""))</f>
        <v/>
      </c>
      <c r="J244">
        <f>IF(OR($G244="",Sync!$Z241=""),"",Sync!$Z241)</f>
        <v/>
      </c>
      <c r="K244">
        <f>IF(OR($G244="",Sync!$AA241=""),"",Sync!$AA241)</f>
        <v/>
      </c>
      <c r="L244">
        <f>IF($G244="",0,IF(Sync!$AB241="",0,Sync!$AB241))</f>
        <v/>
      </c>
      <c r="M244">
        <f>IF($G244="",0,IF(Sync!$AC241="",0,Sync!$AC241))</f>
        <v/>
      </c>
      <c r="N244">
        <f>IF($G244="","",IF($H244="مرجوعی خرید",-1,1)*($L244-$M244*IFERROR(VLOOKUP("P01",ParamTbl,3,0),1.5))*(1-IF($I244="خرید",IFERROR(VLOOKUP("P02",ParamTbl,3,0),1),0)/100))</f>
        <v/>
      </c>
      <c r="O244">
        <f>IF($G244="",0,IF($H244="مرجوعی خرید",-1,1)*IF(Sync!$AD241="",0,Sync!$AD241))</f>
        <v/>
      </c>
      <c r="P244">
        <f>IF(OR($G244="",Sync!$W241=""),"",Sync!$W241)</f>
        <v/>
      </c>
      <c r="Q244">
        <f>IF(OR($G244="",Sync!$AE241=""),"",Sync!$AE241)</f>
        <v/>
      </c>
      <c r="R244">
        <f>IF($G244="","",IF(Sync!$V241="","0000",IF(AND(ISNUMBER(Sync!$V241),Sync!$V241&gt;=0,Sync!$V241&lt;1),RIGHT("00"&amp;HOUR(Sync!$V241),2)&amp;RIGHT("00"&amp;MINUTE(Sync!$V241),2),IFERROR(RIGHT("00"&amp;VALUE(LEFT(Sync!$V241,FIND(":",Sync!$V241)-1)),2)&amp;RIGHT("00"&amp;VALUE(MID(Sync!$V241,FIND(":",Sync!$V241)+1,2)),2),"0000"))))</f>
        <v/>
      </c>
    </row>
    <row r="245">
      <c r="A245">
        <f>IF(Sync!$U242="","",Sync!$U242)</f>
        <v/>
      </c>
      <c r="B245">
        <f>IF($A245="","",IF(ISNUMBER($A245),IF(AND($A245&gt;=10000101,$A245&lt;=99991231),INT($A245/10000),""),IFERROR(VALUE(TRIM(LEFT($A245,FIND("/",$A245)-1))),"")))</f>
        <v/>
      </c>
      <c r="C245">
        <f>IF(OR($A245="",$B245=""),"",IF(ISNUMBER($A245),INT(MOD($A245,10000)/100),IFERROR(VALUE(TRIM(LEFT(MID($A245,FIND("/",$A245)+1,20),FIND("/",MID($A245,FIND("/",$A245)+1,20))-1))),"")))</f>
        <v/>
      </c>
      <c r="D245">
        <f>IF(OR($A245="",$B245=""),"",IF(ISNUMBER($A245),MOD($A245,100),IFERROR(VALUE(TRIM(MID(MID($A245,FIND("/",$A245)+1,20),FIND("/",MID($A245,FIND("/",$A245)+1,20))+1,20))),"")))</f>
        <v/>
      </c>
      <c r="E245">
        <f>IF($A245="","",IF(OR($B245="",$C245="",$D245="",$B245&lt;1300,$B245&gt;1500,$C245&lt;1,$C245&gt;12,$D245&lt;1,$D245&gt;31),"نامعتبر",RIGHT("0000"&amp;$B245,4)&amp;"/"&amp;RIGHT("00"&amp;$C245,2)&amp;"/"&amp;RIGHT("00"&amp;$D245,2)))</f>
        <v/>
      </c>
      <c r="F245">
        <f>IF(OR($E245="",$E245="نامعتبر"),"",LEFT($E245,4)&amp;"/"&amp;MID($E245,6,2))</f>
        <v/>
      </c>
      <c r="G245">
        <f>IF(OR($E245="",$E245="نامعتبر",Sync!$Y242=""),"",Sync!$Y242)</f>
        <v/>
      </c>
      <c r="H245">
        <f>IF($G245="","",IF(Sync!$X242="","",Sync!$X242))</f>
        <v/>
      </c>
      <c r="I245">
        <f>IF($G245="","",IFERROR(VLOOKUP(Sync!$X242,OpTbl,3,0),""))</f>
        <v/>
      </c>
      <c r="J245">
        <f>IF(OR($G245="",Sync!$Z242=""),"",Sync!$Z242)</f>
        <v/>
      </c>
      <c r="K245">
        <f>IF(OR($G245="",Sync!$AA242=""),"",Sync!$AA242)</f>
        <v/>
      </c>
      <c r="L245">
        <f>IF($G245="",0,IF(Sync!$AB242="",0,Sync!$AB242))</f>
        <v/>
      </c>
      <c r="M245">
        <f>IF($G245="",0,IF(Sync!$AC242="",0,Sync!$AC242))</f>
        <v/>
      </c>
      <c r="N245">
        <f>IF($G245="","",IF($H245="مرجوعی خرید",-1,1)*($L245-$M245*IFERROR(VLOOKUP("P01",ParamTbl,3,0),1.5))*(1-IF($I245="خرید",IFERROR(VLOOKUP("P02",ParamTbl,3,0),1),0)/100))</f>
        <v/>
      </c>
      <c r="O245">
        <f>IF($G245="",0,IF($H245="مرجوعی خرید",-1,1)*IF(Sync!$AD242="",0,Sync!$AD242))</f>
        <v/>
      </c>
      <c r="P245">
        <f>IF(OR($G245="",Sync!$W242=""),"",Sync!$W242)</f>
        <v/>
      </c>
      <c r="Q245">
        <f>IF(OR($G245="",Sync!$AE242=""),"",Sync!$AE242)</f>
        <v/>
      </c>
      <c r="R245">
        <f>IF($G245="","",IF(Sync!$V242="","0000",IF(AND(ISNUMBER(Sync!$V242),Sync!$V242&gt;=0,Sync!$V242&lt;1),RIGHT("00"&amp;HOUR(Sync!$V242),2)&amp;RIGHT("00"&amp;MINUTE(Sync!$V242),2),IFERROR(RIGHT("00"&amp;VALUE(LEFT(Sync!$V242,FIND(":",Sync!$V242)-1)),2)&amp;RIGHT("00"&amp;VALUE(MID(Sync!$V242,FIND(":",Sync!$V242)+1,2)),2),"0000"))))</f>
        <v/>
      </c>
    </row>
    <row r="246">
      <c r="A246">
        <f>IF(Sync!$U243="","",Sync!$U243)</f>
        <v/>
      </c>
      <c r="B246">
        <f>IF($A246="","",IF(ISNUMBER($A246),IF(AND($A246&gt;=10000101,$A246&lt;=99991231),INT($A246/10000),""),IFERROR(VALUE(TRIM(LEFT($A246,FIND("/",$A246)-1))),"")))</f>
        <v/>
      </c>
      <c r="C246">
        <f>IF(OR($A246="",$B246=""),"",IF(ISNUMBER($A246),INT(MOD($A246,10000)/100),IFERROR(VALUE(TRIM(LEFT(MID($A246,FIND("/",$A246)+1,20),FIND("/",MID($A246,FIND("/",$A246)+1,20))-1))),"")))</f>
        <v/>
      </c>
      <c r="D246">
        <f>IF(OR($A246="",$B246=""),"",IF(ISNUMBER($A246),MOD($A246,100),IFERROR(VALUE(TRIM(MID(MID($A246,FIND("/",$A246)+1,20),FIND("/",MID($A246,FIND("/",$A246)+1,20))+1,20))),"")))</f>
        <v/>
      </c>
      <c r="E246">
        <f>IF($A246="","",IF(OR($B246="",$C246="",$D246="",$B246&lt;1300,$B246&gt;1500,$C246&lt;1,$C246&gt;12,$D246&lt;1,$D246&gt;31),"نامعتبر",RIGHT("0000"&amp;$B246,4)&amp;"/"&amp;RIGHT("00"&amp;$C246,2)&amp;"/"&amp;RIGHT("00"&amp;$D246,2)))</f>
        <v/>
      </c>
      <c r="F246">
        <f>IF(OR($E246="",$E246="نامعتبر"),"",LEFT($E246,4)&amp;"/"&amp;MID($E246,6,2))</f>
        <v/>
      </c>
      <c r="G246">
        <f>IF(OR($E246="",$E246="نامعتبر",Sync!$Y243=""),"",Sync!$Y243)</f>
        <v/>
      </c>
      <c r="H246">
        <f>IF($G246="","",IF(Sync!$X243="","",Sync!$X243))</f>
        <v/>
      </c>
      <c r="I246">
        <f>IF($G246="","",IFERROR(VLOOKUP(Sync!$X243,OpTbl,3,0),""))</f>
        <v/>
      </c>
      <c r="J246">
        <f>IF(OR($G246="",Sync!$Z243=""),"",Sync!$Z243)</f>
        <v/>
      </c>
      <c r="K246">
        <f>IF(OR($G246="",Sync!$AA243=""),"",Sync!$AA243)</f>
        <v/>
      </c>
      <c r="L246">
        <f>IF($G246="",0,IF(Sync!$AB243="",0,Sync!$AB243))</f>
        <v/>
      </c>
      <c r="M246">
        <f>IF($G246="",0,IF(Sync!$AC243="",0,Sync!$AC243))</f>
        <v/>
      </c>
      <c r="N246">
        <f>IF($G246="","",IF($H246="مرجوعی خرید",-1,1)*($L246-$M246*IFERROR(VLOOKUP("P01",ParamTbl,3,0),1.5))*(1-IF($I246="خرید",IFERROR(VLOOKUP("P02",ParamTbl,3,0),1),0)/100))</f>
        <v/>
      </c>
      <c r="O246">
        <f>IF($G246="",0,IF($H246="مرجوعی خرید",-1,1)*IF(Sync!$AD243="",0,Sync!$AD243))</f>
        <v/>
      </c>
      <c r="P246">
        <f>IF(OR($G246="",Sync!$W243=""),"",Sync!$W243)</f>
        <v/>
      </c>
      <c r="Q246">
        <f>IF(OR($G246="",Sync!$AE243=""),"",Sync!$AE243)</f>
        <v/>
      </c>
      <c r="R246">
        <f>IF($G246="","",IF(Sync!$V243="","0000",IF(AND(ISNUMBER(Sync!$V243),Sync!$V243&gt;=0,Sync!$V243&lt;1),RIGHT("00"&amp;HOUR(Sync!$V243),2)&amp;RIGHT("00"&amp;MINUTE(Sync!$V243),2),IFERROR(RIGHT("00"&amp;VALUE(LEFT(Sync!$V243,FIND(":",Sync!$V243)-1)),2)&amp;RIGHT("00"&amp;VALUE(MID(Sync!$V243,FIND(":",Sync!$V243)+1,2)),2),"0000"))))</f>
        <v/>
      </c>
    </row>
    <row r="247">
      <c r="A247">
        <f>IF(Sync!$U244="","",Sync!$U244)</f>
        <v/>
      </c>
      <c r="B247">
        <f>IF($A247="","",IF(ISNUMBER($A247),IF(AND($A247&gt;=10000101,$A247&lt;=99991231),INT($A247/10000),""),IFERROR(VALUE(TRIM(LEFT($A247,FIND("/",$A247)-1))),"")))</f>
        <v/>
      </c>
      <c r="C247">
        <f>IF(OR($A247="",$B247=""),"",IF(ISNUMBER($A247),INT(MOD($A247,10000)/100),IFERROR(VALUE(TRIM(LEFT(MID($A247,FIND("/",$A247)+1,20),FIND("/",MID($A247,FIND("/",$A247)+1,20))-1))),"")))</f>
        <v/>
      </c>
      <c r="D247">
        <f>IF(OR($A247="",$B247=""),"",IF(ISNUMBER($A247),MOD($A247,100),IFERROR(VALUE(TRIM(MID(MID($A247,FIND("/",$A247)+1,20),FIND("/",MID($A247,FIND("/",$A247)+1,20))+1,20))),"")))</f>
        <v/>
      </c>
      <c r="E247">
        <f>IF($A247="","",IF(OR($B247="",$C247="",$D247="",$B247&lt;1300,$B247&gt;1500,$C247&lt;1,$C247&gt;12,$D247&lt;1,$D247&gt;31),"نامعتبر",RIGHT("0000"&amp;$B247,4)&amp;"/"&amp;RIGHT("00"&amp;$C247,2)&amp;"/"&amp;RIGHT("00"&amp;$D247,2)))</f>
        <v/>
      </c>
      <c r="F247">
        <f>IF(OR($E247="",$E247="نامعتبر"),"",LEFT($E247,4)&amp;"/"&amp;MID($E247,6,2))</f>
        <v/>
      </c>
      <c r="G247">
        <f>IF(OR($E247="",$E247="نامعتبر",Sync!$Y244=""),"",Sync!$Y244)</f>
        <v/>
      </c>
      <c r="H247">
        <f>IF($G247="","",IF(Sync!$X244="","",Sync!$X244))</f>
        <v/>
      </c>
      <c r="I247">
        <f>IF($G247="","",IFERROR(VLOOKUP(Sync!$X244,OpTbl,3,0),""))</f>
        <v/>
      </c>
      <c r="J247">
        <f>IF(OR($G247="",Sync!$Z244=""),"",Sync!$Z244)</f>
        <v/>
      </c>
      <c r="K247">
        <f>IF(OR($G247="",Sync!$AA244=""),"",Sync!$AA244)</f>
        <v/>
      </c>
      <c r="L247">
        <f>IF($G247="",0,IF(Sync!$AB244="",0,Sync!$AB244))</f>
        <v/>
      </c>
      <c r="M247">
        <f>IF($G247="",0,IF(Sync!$AC244="",0,Sync!$AC244))</f>
        <v/>
      </c>
      <c r="N247">
        <f>IF($G247="","",IF($H247="مرجوعی خرید",-1,1)*($L247-$M247*IFERROR(VLOOKUP("P01",ParamTbl,3,0),1.5))*(1-IF($I247="خرید",IFERROR(VLOOKUP("P02",ParamTbl,3,0),1),0)/100))</f>
        <v/>
      </c>
      <c r="O247">
        <f>IF($G247="",0,IF($H247="مرجوعی خرید",-1,1)*IF(Sync!$AD244="",0,Sync!$AD244))</f>
        <v/>
      </c>
      <c r="P247">
        <f>IF(OR($G247="",Sync!$W244=""),"",Sync!$W244)</f>
        <v/>
      </c>
      <c r="Q247">
        <f>IF(OR($G247="",Sync!$AE244=""),"",Sync!$AE244)</f>
        <v/>
      </c>
      <c r="R247">
        <f>IF($G247="","",IF(Sync!$V244="","0000",IF(AND(ISNUMBER(Sync!$V244),Sync!$V244&gt;=0,Sync!$V244&lt;1),RIGHT("00"&amp;HOUR(Sync!$V244),2)&amp;RIGHT("00"&amp;MINUTE(Sync!$V244),2),IFERROR(RIGHT("00"&amp;VALUE(LEFT(Sync!$V244,FIND(":",Sync!$V244)-1)),2)&amp;RIGHT("00"&amp;VALUE(MID(Sync!$V244,FIND(":",Sync!$V244)+1,2)),2),"0000"))))</f>
        <v/>
      </c>
    </row>
    <row r="248">
      <c r="A248">
        <f>IF(Sync!$U245="","",Sync!$U245)</f>
        <v/>
      </c>
      <c r="B248">
        <f>IF($A248="","",IF(ISNUMBER($A248),IF(AND($A248&gt;=10000101,$A248&lt;=99991231),INT($A248/10000),""),IFERROR(VALUE(TRIM(LEFT($A248,FIND("/",$A248)-1))),"")))</f>
        <v/>
      </c>
      <c r="C248">
        <f>IF(OR($A248="",$B248=""),"",IF(ISNUMBER($A248),INT(MOD($A248,10000)/100),IFERROR(VALUE(TRIM(LEFT(MID($A248,FIND("/",$A248)+1,20),FIND("/",MID($A248,FIND("/",$A248)+1,20))-1))),"")))</f>
        <v/>
      </c>
      <c r="D248">
        <f>IF(OR($A248="",$B248=""),"",IF(ISNUMBER($A248),MOD($A248,100),IFERROR(VALUE(TRIM(MID(MID($A248,FIND("/",$A248)+1,20),FIND("/",MID($A248,FIND("/",$A248)+1,20))+1,20))),"")))</f>
        <v/>
      </c>
      <c r="E248">
        <f>IF($A248="","",IF(OR($B248="",$C248="",$D248="",$B248&lt;1300,$B248&gt;1500,$C248&lt;1,$C248&gt;12,$D248&lt;1,$D248&gt;31),"نامعتبر",RIGHT("0000"&amp;$B248,4)&amp;"/"&amp;RIGHT("00"&amp;$C248,2)&amp;"/"&amp;RIGHT("00"&amp;$D248,2)))</f>
        <v/>
      </c>
      <c r="F248">
        <f>IF(OR($E248="",$E248="نامعتبر"),"",LEFT($E248,4)&amp;"/"&amp;MID($E248,6,2))</f>
        <v/>
      </c>
      <c r="G248">
        <f>IF(OR($E248="",$E248="نامعتبر",Sync!$Y245=""),"",Sync!$Y245)</f>
        <v/>
      </c>
      <c r="H248">
        <f>IF($G248="","",IF(Sync!$X245="","",Sync!$X245))</f>
        <v/>
      </c>
      <c r="I248">
        <f>IF($G248="","",IFERROR(VLOOKUP(Sync!$X245,OpTbl,3,0),""))</f>
        <v/>
      </c>
      <c r="J248">
        <f>IF(OR($G248="",Sync!$Z245=""),"",Sync!$Z245)</f>
        <v/>
      </c>
      <c r="K248">
        <f>IF(OR($G248="",Sync!$AA245=""),"",Sync!$AA245)</f>
        <v/>
      </c>
      <c r="L248">
        <f>IF($G248="",0,IF(Sync!$AB245="",0,Sync!$AB245))</f>
        <v/>
      </c>
      <c r="M248">
        <f>IF($G248="",0,IF(Sync!$AC245="",0,Sync!$AC245))</f>
        <v/>
      </c>
      <c r="N248">
        <f>IF($G248="","",IF($H248="مرجوعی خرید",-1,1)*($L248-$M248*IFERROR(VLOOKUP("P01",ParamTbl,3,0),1.5))*(1-IF($I248="خرید",IFERROR(VLOOKUP("P02",ParamTbl,3,0),1),0)/100))</f>
        <v/>
      </c>
      <c r="O248">
        <f>IF($G248="",0,IF($H248="مرجوعی خرید",-1,1)*IF(Sync!$AD245="",0,Sync!$AD245))</f>
        <v/>
      </c>
      <c r="P248">
        <f>IF(OR($G248="",Sync!$W245=""),"",Sync!$W245)</f>
        <v/>
      </c>
      <c r="Q248">
        <f>IF(OR($G248="",Sync!$AE245=""),"",Sync!$AE245)</f>
        <v/>
      </c>
      <c r="R248">
        <f>IF($G248="","",IF(Sync!$V245="","0000",IF(AND(ISNUMBER(Sync!$V245),Sync!$V245&gt;=0,Sync!$V245&lt;1),RIGHT("00"&amp;HOUR(Sync!$V245),2)&amp;RIGHT("00"&amp;MINUTE(Sync!$V245),2),IFERROR(RIGHT("00"&amp;VALUE(LEFT(Sync!$V245,FIND(":",Sync!$V245)-1)),2)&amp;RIGHT("00"&amp;VALUE(MID(Sync!$V245,FIND(":",Sync!$V245)+1,2)),2),"0000"))))</f>
        <v/>
      </c>
    </row>
    <row r="249">
      <c r="A249">
        <f>IF(Sync!$U246="","",Sync!$U246)</f>
        <v/>
      </c>
      <c r="B249">
        <f>IF($A249="","",IF(ISNUMBER($A249),IF(AND($A249&gt;=10000101,$A249&lt;=99991231),INT($A249/10000),""),IFERROR(VALUE(TRIM(LEFT($A249,FIND("/",$A249)-1))),"")))</f>
        <v/>
      </c>
      <c r="C249">
        <f>IF(OR($A249="",$B249=""),"",IF(ISNUMBER($A249),INT(MOD($A249,10000)/100),IFERROR(VALUE(TRIM(LEFT(MID($A249,FIND("/",$A249)+1,20),FIND("/",MID($A249,FIND("/",$A249)+1,20))-1))),"")))</f>
        <v/>
      </c>
      <c r="D249">
        <f>IF(OR($A249="",$B249=""),"",IF(ISNUMBER($A249),MOD($A249,100),IFERROR(VALUE(TRIM(MID(MID($A249,FIND("/",$A249)+1,20),FIND("/",MID($A249,FIND("/",$A249)+1,20))+1,20))),"")))</f>
        <v/>
      </c>
      <c r="E249">
        <f>IF($A249="","",IF(OR($B249="",$C249="",$D249="",$B249&lt;1300,$B249&gt;1500,$C249&lt;1,$C249&gt;12,$D249&lt;1,$D249&gt;31),"نامعتبر",RIGHT("0000"&amp;$B249,4)&amp;"/"&amp;RIGHT("00"&amp;$C249,2)&amp;"/"&amp;RIGHT("00"&amp;$D249,2)))</f>
        <v/>
      </c>
      <c r="F249">
        <f>IF(OR($E249="",$E249="نامعتبر"),"",LEFT($E249,4)&amp;"/"&amp;MID($E249,6,2))</f>
        <v/>
      </c>
      <c r="G249">
        <f>IF(OR($E249="",$E249="نامعتبر",Sync!$Y246=""),"",Sync!$Y246)</f>
        <v/>
      </c>
      <c r="H249">
        <f>IF($G249="","",IF(Sync!$X246="","",Sync!$X246))</f>
        <v/>
      </c>
      <c r="I249">
        <f>IF($G249="","",IFERROR(VLOOKUP(Sync!$X246,OpTbl,3,0),""))</f>
        <v/>
      </c>
      <c r="J249">
        <f>IF(OR($G249="",Sync!$Z246=""),"",Sync!$Z246)</f>
        <v/>
      </c>
      <c r="K249">
        <f>IF(OR($G249="",Sync!$AA246=""),"",Sync!$AA246)</f>
        <v/>
      </c>
      <c r="L249">
        <f>IF($G249="",0,IF(Sync!$AB246="",0,Sync!$AB246))</f>
        <v/>
      </c>
      <c r="M249">
        <f>IF($G249="",0,IF(Sync!$AC246="",0,Sync!$AC246))</f>
        <v/>
      </c>
      <c r="N249">
        <f>IF($G249="","",IF($H249="مرجوعی خرید",-1,1)*($L249-$M249*IFERROR(VLOOKUP("P01",ParamTbl,3,0),1.5))*(1-IF($I249="خرید",IFERROR(VLOOKUP("P02",ParamTbl,3,0),1),0)/100))</f>
        <v/>
      </c>
      <c r="O249">
        <f>IF($G249="",0,IF($H249="مرجوعی خرید",-1,1)*IF(Sync!$AD246="",0,Sync!$AD246))</f>
        <v/>
      </c>
      <c r="P249">
        <f>IF(OR($G249="",Sync!$W246=""),"",Sync!$W246)</f>
        <v/>
      </c>
      <c r="Q249">
        <f>IF(OR($G249="",Sync!$AE246=""),"",Sync!$AE246)</f>
        <v/>
      </c>
      <c r="R249">
        <f>IF($G249="","",IF(Sync!$V246="","0000",IF(AND(ISNUMBER(Sync!$V246),Sync!$V246&gt;=0,Sync!$V246&lt;1),RIGHT("00"&amp;HOUR(Sync!$V246),2)&amp;RIGHT("00"&amp;MINUTE(Sync!$V246),2),IFERROR(RIGHT("00"&amp;VALUE(LEFT(Sync!$V246,FIND(":",Sync!$V246)-1)),2)&amp;RIGHT("00"&amp;VALUE(MID(Sync!$V246,FIND(":",Sync!$V246)+1,2)),2),"0000"))))</f>
        <v/>
      </c>
    </row>
    <row r="250">
      <c r="A250">
        <f>IF(Sync!$U247="","",Sync!$U247)</f>
        <v/>
      </c>
      <c r="B250">
        <f>IF($A250="","",IF(ISNUMBER($A250),IF(AND($A250&gt;=10000101,$A250&lt;=99991231),INT($A250/10000),""),IFERROR(VALUE(TRIM(LEFT($A250,FIND("/",$A250)-1))),"")))</f>
        <v/>
      </c>
      <c r="C250">
        <f>IF(OR($A250="",$B250=""),"",IF(ISNUMBER($A250),INT(MOD($A250,10000)/100),IFERROR(VALUE(TRIM(LEFT(MID($A250,FIND("/",$A250)+1,20),FIND("/",MID($A250,FIND("/",$A250)+1,20))-1))),"")))</f>
        <v/>
      </c>
      <c r="D250">
        <f>IF(OR($A250="",$B250=""),"",IF(ISNUMBER($A250),MOD($A250,100),IFERROR(VALUE(TRIM(MID(MID($A250,FIND("/",$A250)+1,20),FIND("/",MID($A250,FIND("/",$A250)+1,20))+1,20))),"")))</f>
        <v/>
      </c>
      <c r="E250">
        <f>IF($A250="","",IF(OR($B250="",$C250="",$D250="",$B250&lt;1300,$B250&gt;1500,$C250&lt;1,$C250&gt;12,$D250&lt;1,$D250&gt;31),"نامعتبر",RIGHT("0000"&amp;$B250,4)&amp;"/"&amp;RIGHT("00"&amp;$C250,2)&amp;"/"&amp;RIGHT("00"&amp;$D250,2)))</f>
        <v/>
      </c>
      <c r="F250">
        <f>IF(OR($E250="",$E250="نامعتبر"),"",LEFT($E250,4)&amp;"/"&amp;MID($E250,6,2))</f>
        <v/>
      </c>
      <c r="G250">
        <f>IF(OR($E250="",$E250="نامعتبر",Sync!$Y247=""),"",Sync!$Y247)</f>
        <v/>
      </c>
      <c r="H250">
        <f>IF($G250="","",IF(Sync!$X247="","",Sync!$X247))</f>
        <v/>
      </c>
      <c r="I250">
        <f>IF($G250="","",IFERROR(VLOOKUP(Sync!$X247,OpTbl,3,0),""))</f>
        <v/>
      </c>
      <c r="J250">
        <f>IF(OR($G250="",Sync!$Z247=""),"",Sync!$Z247)</f>
        <v/>
      </c>
      <c r="K250">
        <f>IF(OR($G250="",Sync!$AA247=""),"",Sync!$AA247)</f>
        <v/>
      </c>
      <c r="L250">
        <f>IF($G250="",0,IF(Sync!$AB247="",0,Sync!$AB247))</f>
        <v/>
      </c>
      <c r="M250">
        <f>IF($G250="",0,IF(Sync!$AC247="",0,Sync!$AC247))</f>
        <v/>
      </c>
      <c r="N250">
        <f>IF($G250="","",IF($H250="مرجوعی خرید",-1,1)*($L250-$M250*IFERROR(VLOOKUP("P01",ParamTbl,3,0),1.5))*(1-IF($I250="خرید",IFERROR(VLOOKUP("P02",ParamTbl,3,0),1),0)/100))</f>
        <v/>
      </c>
      <c r="O250">
        <f>IF($G250="",0,IF($H250="مرجوعی خرید",-1,1)*IF(Sync!$AD247="",0,Sync!$AD247))</f>
        <v/>
      </c>
      <c r="P250">
        <f>IF(OR($G250="",Sync!$W247=""),"",Sync!$W247)</f>
        <v/>
      </c>
      <c r="Q250">
        <f>IF(OR($G250="",Sync!$AE247=""),"",Sync!$AE247)</f>
        <v/>
      </c>
      <c r="R250">
        <f>IF($G250="","",IF(Sync!$V247="","0000",IF(AND(ISNUMBER(Sync!$V247),Sync!$V247&gt;=0,Sync!$V247&lt;1),RIGHT("00"&amp;HOUR(Sync!$V247),2)&amp;RIGHT("00"&amp;MINUTE(Sync!$V247),2),IFERROR(RIGHT("00"&amp;VALUE(LEFT(Sync!$V247,FIND(":",Sync!$V247)-1)),2)&amp;RIGHT("00"&amp;VALUE(MID(Sync!$V247,FIND(":",Sync!$V247)+1,2)),2),"0000"))))</f>
        <v/>
      </c>
    </row>
    <row r="251">
      <c r="A251">
        <f>IF(Sync!$U248="","",Sync!$U248)</f>
        <v/>
      </c>
      <c r="B251">
        <f>IF($A251="","",IF(ISNUMBER($A251),IF(AND($A251&gt;=10000101,$A251&lt;=99991231),INT($A251/10000),""),IFERROR(VALUE(TRIM(LEFT($A251,FIND("/",$A251)-1))),"")))</f>
        <v/>
      </c>
      <c r="C251">
        <f>IF(OR($A251="",$B251=""),"",IF(ISNUMBER($A251),INT(MOD($A251,10000)/100),IFERROR(VALUE(TRIM(LEFT(MID($A251,FIND("/",$A251)+1,20),FIND("/",MID($A251,FIND("/",$A251)+1,20))-1))),"")))</f>
        <v/>
      </c>
      <c r="D251">
        <f>IF(OR($A251="",$B251=""),"",IF(ISNUMBER($A251),MOD($A251,100),IFERROR(VALUE(TRIM(MID(MID($A251,FIND("/",$A251)+1,20),FIND("/",MID($A251,FIND("/",$A251)+1,20))+1,20))),"")))</f>
        <v/>
      </c>
      <c r="E251">
        <f>IF($A251="","",IF(OR($B251="",$C251="",$D251="",$B251&lt;1300,$B251&gt;1500,$C251&lt;1,$C251&gt;12,$D251&lt;1,$D251&gt;31),"نامعتبر",RIGHT("0000"&amp;$B251,4)&amp;"/"&amp;RIGHT("00"&amp;$C251,2)&amp;"/"&amp;RIGHT("00"&amp;$D251,2)))</f>
        <v/>
      </c>
      <c r="F251">
        <f>IF(OR($E251="",$E251="نامعتبر"),"",LEFT($E251,4)&amp;"/"&amp;MID($E251,6,2))</f>
        <v/>
      </c>
      <c r="G251">
        <f>IF(OR($E251="",$E251="نامعتبر",Sync!$Y248=""),"",Sync!$Y248)</f>
        <v/>
      </c>
      <c r="H251">
        <f>IF($G251="","",IF(Sync!$X248="","",Sync!$X248))</f>
        <v/>
      </c>
      <c r="I251">
        <f>IF($G251="","",IFERROR(VLOOKUP(Sync!$X248,OpTbl,3,0),""))</f>
        <v/>
      </c>
      <c r="J251">
        <f>IF(OR($G251="",Sync!$Z248=""),"",Sync!$Z248)</f>
        <v/>
      </c>
      <c r="K251">
        <f>IF(OR($G251="",Sync!$AA248=""),"",Sync!$AA248)</f>
        <v/>
      </c>
      <c r="L251">
        <f>IF($G251="",0,IF(Sync!$AB248="",0,Sync!$AB248))</f>
        <v/>
      </c>
      <c r="M251">
        <f>IF($G251="",0,IF(Sync!$AC248="",0,Sync!$AC248))</f>
        <v/>
      </c>
      <c r="N251">
        <f>IF($G251="","",IF($H251="مرجوعی خرید",-1,1)*($L251-$M251*IFERROR(VLOOKUP("P01",ParamTbl,3,0),1.5))*(1-IF($I251="خرید",IFERROR(VLOOKUP("P02",ParamTbl,3,0),1),0)/100))</f>
        <v/>
      </c>
      <c r="O251">
        <f>IF($G251="",0,IF($H251="مرجوعی خرید",-1,1)*IF(Sync!$AD248="",0,Sync!$AD248))</f>
        <v/>
      </c>
      <c r="P251">
        <f>IF(OR($G251="",Sync!$W248=""),"",Sync!$W248)</f>
        <v/>
      </c>
      <c r="Q251">
        <f>IF(OR($G251="",Sync!$AE248=""),"",Sync!$AE248)</f>
        <v/>
      </c>
      <c r="R251">
        <f>IF($G251="","",IF(Sync!$V248="","0000",IF(AND(ISNUMBER(Sync!$V248),Sync!$V248&gt;=0,Sync!$V248&lt;1),RIGHT("00"&amp;HOUR(Sync!$V248),2)&amp;RIGHT("00"&amp;MINUTE(Sync!$V248),2),IFERROR(RIGHT("00"&amp;VALUE(LEFT(Sync!$V248,FIND(":",Sync!$V248)-1)),2)&amp;RIGHT("00"&amp;VALUE(MID(Sync!$V248,FIND(":",Sync!$V248)+1,2)),2),"0000"))))</f>
        <v/>
      </c>
    </row>
    <row r="252">
      <c r="A252">
        <f>IF(Sync!$U249="","",Sync!$U249)</f>
        <v/>
      </c>
      <c r="B252">
        <f>IF($A252="","",IF(ISNUMBER($A252),IF(AND($A252&gt;=10000101,$A252&lt;=99991231),INT($A252/10000),""),IFERROR(VALUE(TRIM(LEFT($A252,FIND("/",$A252)-1))),"")))</f>
        <v/>
      </c>
      <c r="C252">
        <f>IF(OR($A252="",$B252=""),"",IF(ISNUMBER($A252),INT(MOD($A252,10000)/100),IFERROR(VALUE(TRIM(LEFT(MID($A252,FIND("/",$A252)+1,20),FIND("/",MID($A252,FIND("/",$A252)+1,20))-1))),"")))</f>
        <v/>
      </c>
      <c r="D252">
        <f>IF(OR($A252="",$B252=""),"",IF(ISNUMBER($A252),MOD($A252,100),IFERROR(VALUE(TRIM(MID(MID($A252,FIND("/",$A252)+1,20),FIND("/",MID($A252,FIND("/",$A252)+1,20))+1,20))),"")))</f>
        <v/>
      </c>
      <c r="E252">
        <f>IF($A252="","",IF(OR($B252="",$C252="",$D252="",$B252&lt;1300,$B252&gt;1500,$C252&lt;1,$C252&gt;12,$D252&lt;1,$D252&gt;31),"نامعتبر",RIGHT("0000"&amp;$B252,4)&amp;"/"&amp;RIGHT("00"&amp;$C252,2)&amp;"/"&amp;RIGHT("00"&amp;$D252,2)))</f>
        <v/>
      </c>
      <c r="F252">
        <f>IF(OR($E252="",$E252="نامعتبر"),"",LEFT($E252,4)&amp;"/"&amp;MID($E252,6,2))</f>
        <v/>
      </c>
      <c r="G252">
        <f>IF(OR($E252="",$E252="نامعتبر",Sync!$Y249=""),"",Sync!$Y249)</f>
        <v/>
      </c>
      <c r="H252">
        <f>IF($G252="","",IF(Sync!$X249="","",Sync!$X249))</f>
        <v/>
      </c>
      <c r="I252">
        <f>IF($G252="","",IFERROR(VLOOKUP(Sync!$X249,OpTbl,3,0),""))</f>
        <v/>
      </c>
      <c r="J252">
        <f>IF(OR($G252="",Sync!$Z249=""),"",Sync!$Z249)</f>
        <v/>
      </c>
      <c r="K252">
        <f>IF(OR($G252="",Sync!$AA249=""),"",Sync!$AA249)</f>
        <v/>
      </c>
      <c r="L252">
        <f>IF($G252="",0,IF(Sync!$AB249="",0,Sync!$AB249))</f>
        <v/>
      </c>
      <c r="M252">
        <f>IF($G252="",0,IF(Sync!$AC249="",0,Sync!$AC249))</f>
        <v/>
      </c>
      <c r="N252">
        <f>IF($G252="","",IF($H252="مرجوعی خرید",-1,1)*($L252-$M252*IFERROR(VLOOKUP("P01",ParamTbl,3,0),1.5))*(1-IF($I252="خرید",IFERROR(VLOOKUP("P02",ParamTbl,3,0),1),0)/100))</f>
        <v/>
      </c>
      <c r="O252">
        <f>IF($G252="",0,IF($H252="مرجوعی خرید",-1,1)*IF(Sync!$AD249="",0,Sync!$AD249))</f>
        <v/>
      </c>
      <c r="P252">
        <f>IF(OR($G252="",Sync!$W249=""),"",Sync!$W249)</f>
        <v/>
      </c>
      <c r="Q252">
        <f>IF(OR($G252="",Sync!$AE249=""),"",Sync!$AE249)</f>
        <v/>
      </c>
      <c r="R252">
        <f>IF($G252="","",IF(Sync!$V249="","0000",IF(AND(ISNUMBER(Sync!$V249),Sync!$V249&gt;=0,Sync!$V249&lt;1),RIGHT("00"&amp;HOUR(Sync!$V249),2)&amp;RIGHT("00"&amp;MINUTE(Sync!$V249),2),IFERROR(RIGHT("00"&amp;VALUE(LEFT(Sync!$V249,FIND(":",Sync!$V249)-1)),2)&amp;RIGHT("00"&amp;VALUE(MID(Sync!$V249,FIND(":",Sync!$V249)+1,2)),2),"0000"))))</f>
        <v/>
      </c>
    </row>
    <row r="253">
      <c r="A253">
        <f>IF(Sync!$U250="","",Sync!$U250)</f>
        <v/>
      </c>
      <c r="B253">
        <f>IF($A253="","",IF(ISNUMBER($A253),IF(AND($A253&gt;=10000101,$A253&lt;=99991231),INT($A253/10000),""),IFERROR(VALUE(TRIM(LEFT($A253,FIND("/",$A253)-1))),"")))</f>
        <v/>
      </c>
      <c r="C253">
        <f>IF(OR($A253="",$B253=""),"",IF(ISNUMBER($A253),INT(MOD($A253,10000)/100),IFERROR(VALUE(TRIM(LEFT(MID($A253,FIND("/",$A253)+1,20),FIND("/",MID($A253,FIND("/",$A253)+1,20))-1))),"")))</f>
        <v/>
      </c>
      <c r="D253">
        <f>IF(OR($A253="",$B253=""),"",IF(ISNUMBER($A253),MOD($A253,100),IFERROR(VALUE(TRIM(MID(MID($A253,FIND("/",$A253)+1,20),FIND("/",MID($A253,FIND("/",$A253)+1,20))+1,20))),"")))</f>
        <v/>
      </c>
      <c r="E253">
        <f>IF($A253="","",IF(OR($B253="",$C253="",$D253="",$B253&lt;1300,$B253&gt;1500,$C253&lt;1,$C253&gt;12,$D253&lt;1,$D253&gt;31),"نامعتبر",RIGHT("0000"&amp;$B253,4)&amp;"/"&amp;RIGHT("00"&amp;$C253,2)&amp;"/"&amp;RIGHT("00"&amp;$D253,2)))</f>
        <v/>
      </c>
      <c r="F253">
        <f>IF(OR($E253="",$E253="نامعتبر"),"",LEFT($E253,4)&amp;"/"&amp;MID($E253,6,2))</f>
        <v/>
      </c>
      <c r="G253">
        <f>IF(OR($E253="",$E253="نامعتبر",Sync!$Y250=""),"",Sync!$Y250)</f>
        <v/>
      </c>
      <c r="H253">
        <f>IF($G253="","",IF(Sync!$X250="","",Sync!$X250))</f>
        <v/>
      </c>
      <c r="I253">
        <f>IF($G253="","",IFERROR(VLOOKUP(Sync!$X250,OpTbl,3,0),""))</f>
        <v/>
      </c>
      <c r="J253">
        <f>IF(OR($G253="",Sync!$Z250=""),"",Sync!$Z250)</f>
        <v/>
      </c>
      <c r="K253">
        <f>IF(OR($G253="",Sync!$AA250=""),"",Sync!$AA250)</f>
        <v/>
      </c>
      <c r="L253">
        <f>IF($G253="",0,IF(Sync!$AB250="",0,Sync!$AB250))</f>
        <v/>
      </c>
      <c r="M253">
        <f>IF($G253="",0,IF(Sync!$AC250="",0,Sync!$AC250))</f>
        <v/>
      </c>
      <c r="N253">
        <f>IF($G253="","",IF($H253="مرجوعی خرید",-1,1)*($L253-$M253*IFERROR(VLOOKUP("P01",ParamTbl,3,0),1.5))*(1-IF($I253="خرید",IFERROR(VLOOKUP("P02",ParamTbl,3,0),1),0)/100))</f>
        <v/>
      </c>
      <c r="O253">
        <f>IF($G253="",0,IF($H253="مرجوعی خرید",-1,1)*IF(Sync!$AD250="",0,Sync!$AD250))</f>
        <v/>
      </c>
      <c r="P253">
        <f>IF(OR($G253="",Sync!$W250=""),"",Sync!$W250)</f>
        <v/>
      </c>
      <c r="Q253">
        <f>IF(OR($G253="",Sync!$AE250=""),"",Sync!$AE250)</f>
        <v/>
      </c>
      <c r="R253">
        <f>IF($G253="","",IF(Sync!$V250="","0000",IF(AND(ISNUMBER(Sync!$V250),Sync!$V250&gt;=0,Sync!$V250&lt;1),RIGHT("00"&amp;HOUR(Sync!$V250),2)&amp;RIGHT("00"&amp;MINUTE(Sync!$V250),2),IFERROR(RIGHT("00"&amp;VALUE(LEFT(Sync!$V250,FIND(":",Sync!$V250)-1)),2)&amp;RIGHT("00"&amp;VALUE(MID(Sync!$V250,FIND(":",Sync!$V250)+1,2)),2),"0000"))))</f>
        <v/>
      </c>
    </row>
    <row r="254">
      <c r="A254">
        <f>IF(Sync!$U251="","",Sync!$U251)</f>
        <v/>
      </c>
      <c r="B254">
        <f>IF($A254="","",IF(ISNUMBER($A254),IF(AND($A254&gt;=10000101,$A254&lt;=99991231),INT($A254/10000),""),IFERROR(VALUE(TRIM(LEFT($A254,FIND("/",$A254)-1))),"")))</f>
        <v/>
      </c>
      <c r="C254">
        <f>IF(OR($A254="",$B254=""),"",IF(ISNUMBER($A254),INT(MOD($A254,10000)/100),IFERROR(VALUE(TRIM(LEFT(MID($A254,FIND("/",$A254)+1,20),FIND("/",MID($A254,FIND("/",$A254)+1,20))-1))),"")))</f>
        <v/>
      </c>
      <c r="D254">
        <f>IF(OR($A254="",$B254=""),"",IF(ISNUMBER($A254),MOD($A254,100),IFERROR(VALUE(TRIM(MID(MID($A254,FIND("/",$A254)+1,20),FIND("/",MID($A254,FIND("/",$A254)+1,20))+1,20))),"")))</f>
        <v/>
      </c>
      <c r="E254">
        <f>IF($A254="","",IF(OR($B254="",$C254="",$D254="",$B254&lt;1300,$B254&gt;1500,$C254&lt;1,$C254&gt;12,$D254&lt;1,$D254&gt;31),"نامعتبر",RIGHT("0000"&amp;$B254,4)&amp;"/"&amp;RIGHT("00"&amp;$C254,2)&amp;"/"&amp;RIGHT("00"&amp;$D254,2)))</f>
        <v/>
      </c>
      <c r="F254">
        <f>IF(OR($E254="",$E254="نامعتبر"),"",LEFT($E254,4)&amp;"/"&amp;MID($E254,6,2))</f>
        <v/>
      </c>
      <c r="G254">
        <f>IF(OR($E254="",$E254="نامعتبر",Sync!$Y251=""),"",Sync!$Y251)</f>
        <v/>
      </c>
      <c r="H254">
        <f>IF($G254="","",IF(Sync!$X251="","",Sync!$X251))</f>
        <v/>
      </c>
      <c r="I254">
        <f>IF($G254="","",IFERROR(VLOOKUP(Sync!$X251,OpTbl,3,0),""))</f>
        <v/>
      </c>
      <c r="J254">
        <f>IF(OR($G254="",Sync!$Z251=""),"",Sync!$Z251)</f>
        <v/>
      </c>
      <c r="K254">
        <f>IF(OR($G254="",Sync!$AA251=""),"",Sync!$AA251)</f>
        <v/>
      </c>
      <c r="L254">
        <f>IF($G254="",0,IF(Sync!$AB251="",0,Sync!$AB251))</f>
        <v/>
      </c>
      <c r="M254">
        <f>IF($G254="",0,IF(Sync!$AC251="",0,Sync!$AC251))</f>
        <v/>
      </c>
      <c r="N254">
        <f>IF($G254="","",IF($H254="مرجوعی خرید",-1,1)*($L254-$M254*IFERROR(VLOOKUP("P01",ParamTbl,3,0),1.5))*(1-IF($I254="خرید",IFERROR(VLOOKUP("P02",ParamTbl,3,0),1),0)/100))</f>
        <v/>
      </c>
      <c r="O254">
        <f>IF($G254="",0,IF($H254="مرجوعی خرید",-1,1)*IF(Sync!$AD251="",0,Sync!$AD251))</f>
        <v/>
      </c>
      <c r="P254">
        <f>IF(OR($G254="",Sync!$W251=""),"",Sync!$W251)</f>
        <v/>
      </c>
      <c r="Q254">
        <f>IF(OR($G254="",Sync!$AE251=""),"",Sync!$AE251)</f>
        <v/>
      </c>
      <c r="R254">
        <f>IF($G254="","",IF(Sync!$V251="","0000",IF(AND(ISNUMBER(Sync!$V251),Sync!$V251&gt;=0,Sync!$V251&lt;1),RIGHT("00"&amp;HOUR(Sync!$V251),2)&amp;RIGHT("00"&amp;MINUTE(Sync!$V251),2),IFERROR(RIGHT("00"&amp;VALUE(LEFT(Sync!$V251,FIND(":",Sync!$V251)-1)),2)&amp;RIGHT("00"&amp;VALUE(MID(Sync!$V251,FIND(":",Sync!$V251)+1,2)),2),"0000"))))</f>
        <v/>
      </c>
    </row>
    <row r="255">
      <c r="A255">
        <f>IF(Sync!$U252="","",Sync!$U252)</f>
        <v/>
      </c>
      <c r="B255">
        <f>IF($A255="","",IF(ISNUMBER($A255),IF(AND($A255&gt;=10000101,$A255&lt;=99991231),INT($A255/10000),""),IFERROR(VALUE(TRIM(LEFT($A255,FIND("/",$A255)-1))),"")))</f>
        <v/>
      </c>
      <c r="C255">
        <f>IF(OR($A255="",$B255=""),"",IF(ISNUMBER($A255),INT(MOD($A255,10000)/100),IFERROR(VALUE(TRIM(LEFT(MID($A255,FIND("/",$A255)+1,20),FIND("/",MID($A255,FIND("/",$A255)+1,20))-1))),"")))</f>
        <v/>
      </c>
      <c r="D255">
        <f>IF(OR($A255="",$B255=""),"",IF(ISNUMBER($A255),MOD($A255,100),IFERROR(VALUE(TRIM(MID(MID($A255,FIND("/",$A255)+1,20),FIND("/",MID($A255,FIND("/",$A255)+1,20))+1,20))),"")))</f>
        <v/>
      </c>
      <c r="E255">
        <f>IF($A255="","",IF(OR($B255="",$C255="",$D255="",$B255&lt;1300,$B255&gt;1500,$C255&lt;1,$C255&gt;12,$D255&lt;1,$D255&gt;31),"نامعتبر",RIGHT("0000"&amp;$B255,4)&amp;"/"&amp;RIGHT("00"&amp;$C255,2)&amp;"/"&amp;RIGHT("00"&amp;$D255,2)))</f>
        <v/>
      </c>
      <c r="F255">
        <f>IF(OR($E255="",$E255="نامعتبر"),"",LEFT($E255,4)&amp;"/"&amp;MID($E255,6,2))</f>
        <v/>
      </c>
      <c r="G255">
        <f>IF(OR($E255="",$E255="نامعتبر",Sync!$Y252=""),"",Sync!$Y252)</f>
        <v/>
      </c>
      <c r="H255">
        <f>IF($G255="","",IF(Sync!$X252="","",Sync!$X252))</f>
        <v/>
      </c>
      <c r="I255">
        <f>IF($G255="","",IFERROR(VLOOKUP(Sync!$X252,OpTbl,3,0),""))</f>
        <v/>
      </c>
      <c r="J255">
        <f>IF(OR($G255="",Sync!$Z252=""),"",Sync!$Z252)</f>
        <v/>
      </c>
      <c r="K255">
        <f>IF(OR($G255="",Sync!$AA252=""),"",Sync!$AA252)</f>
        <v/>
      </c>
      <c r="L255">
        <f>IF($G255="",0,IF(Sync!$AB252="",0,Sync!$AB252))</f>
        <v/>
      </c>
      <c r="M255">
        <f>IF($G255="",0,IF(Sync!$AC252="",0,Sync!$AC252))</f>
        <v/>
      </c>
      <c r="N255">
        <f>IF($G255="","",IF($H255="مرجوعی خرید",-1,1)*($L255-$M255*IFERROR(VLOOKUP("P01",ParamTbl,3,0),1.5))*(1-IF($I255="خرید",IFERROR(VLOOKUP("P02",ParamTbl,3,0),1),0)/100))</f>
        <v/>
      </c>
      <c r="O255">
        <f>IF($G255="",0,IF($H255="مرجوعی خرید",-1,1)*IF(Sync!$AD252="",0,Sync!$AD252))</f>
        <v/>
      </c>
      <c r="P255">
        <f>IF(OR($G255="",Sync!$W252=""),"",Sync!$W252)</f>
        <v/>
      </c>
      <c r="Q255">
        <f>IF(OR($G255="",Sync!$AE252=""),"",Sync!$AE252)</f>
        <v/>
      </c>
      <c r="R255">
        <f>IF($G255="","",IF(Sync!$V252="","0000",IF(AND(ISNUMBER(Sync!$V252),Sync!$V252&gt;=0,Sync!$V252&lt;1),RIGHT("00"&amp;HOUR(Sync!$V252),2)&amp;RIGHT("00"&amp;MINUTE(Sync!$V252),2),IFERROR(RIGHT("00"&amp;VALUE(LEFT(Sync!$V252,FIND(":",Sync!$V252)-1)),2)&amp;RIGHT("00"&amp;VALUE(MID(Sync!$V252,FIND(":",Sync!$V252)+1,2)),2),"0000"))))</f>
        <v/>
      </c>
    </row>
    <row r="256">
      <c r="A256">
        <f>IF(Sync!$U253="","",Sync!$U253)</f>
        <v/>
      </c>
      <c r="B256">
        <f>IF($A256="","",IF(ISNUMBER($A256),IF(AND($A256&gt;=10000101,$A256&lt;=99991231),INT($A256/10000),""),IFERROR(VALUE(TRIM(LEFT($A256,FIND("/",$A256)-1))),"")))</f>
        <v/>
      </c>
      <c r="C256">
        <f>IF(OR($A256="",$B256=""),"",IF(ISNUMBER($A256),INT(MOD($A256,10000)/100),IFERROR(VALUE(TRIM(LEFT(MID($A256,FIND("/",$A256)+1,20),FIND("/",MID($A256,FIND("/",$A256)+1,20))-1))),"")))</f>
        <v/>
      </c>
      <c r="D256">
        <f>IF(OR($A256="",$B256=""),"",IF(ISNUMBER($A256),MOD($A256,100),IFERROR(VALUE(TRIM(MID(MID($A256,FIND("/",$A256)+1,20),FIND("/",MID($A256,FIND("/",$A256)+1,20))+1,20))),"")))</f>
        <v/>
      </c>
      <c r="E256">
        <f>IF($A256="","",IF(OR($B256="",$C256="",$D256="",$B256&lt;1300,$B256&gt;1500,$C256&lt;1,$C256&gt;12,$D256&lt;1,$D256&gt;31),"نامعتبر",RIGHT("0000"&amp;$B256,4)&amp;"/"&amp;RIGHT("00"&amp;$C256,2)&amp;"/"&amp;RIGHT("00"&amp;$D256,2)))</f>
        <v/>
      </c>
      <c r="F256">
        <f>IF(OR($E256="",$E256="نامعتبر"),"",LEFT($E256,4)&amp;"/"&amp;MID($E256,6,2))</f>
        <v/>
      </c>
      <c r="G256">
        <f>IF(OR($E256="",$E256="نامعتبر",Sync!$Y253=""),"",Sync!$Y253)</f>
        <v/>
      </c>
      <c r="H256">
        <f>IF($G256="","",IF(Sync!$X253="","",Sync!$X253))</f>
        <v/>
      </c>
      <c r="I256">
        <f>IF($G256="","",IFERROR(VLOOKUP(Sync!$X253,OpTbl,3,0),""))</f>
        <v/>
      </c>
      <c r="J256">
        <f>IF(OR($G256="",Sync!$Z253=""),"",Sync!$Z253)</f>
        <v/>
      </c>
      <c r="K256">
        <f>IF(OR($G256="",Sync!$AA253=""),"",Sync!$AA253)</f>
        <v/>
      </c>
      <c r="L256">
        <f>IF($G256="",0,IF(Sync!$AB253="",0,Sync!$AB253))</f>
        <v/>
      </c>
      <c r="M256">
        <f>IF($G256="",0,IF(Sync!$AC253="",0,Sync!$AC253))</f>
        <v/>
      </c>
      <c r="N256">
        <f>IF($G256="","",IF($H256="مرجوعی خرید",-1,1)*($L256-$M256*IFERROR(VLOOKUP("P01",ParamTbl,3,0),1.5))*(1-IF($I256="خرید",IFERROR(VLOOKUP("P02",ParamTbl,3,0),1),0)/100))</f>
        <v/>
      </c>
      <c r="O256">
        <f>IF($G256="",0,IF($H256="مرجوعی خرید",-1,1)*IF(Sync!$AD253="",0,Sync!$AD253))</f>
        <v/>
      </c>
      <c r="P256">
        <f>IF(OR($G256="",Sync!$W253=""),"",Sync!$W253)</f>
        <v/>
      </c>
      <c r="Q256">
        <f>IF(OR($G256="",Sync!$AE253=""),"",Sync!$AE253)</f>
        <v/>
      </c>
      <c r="R256">
        <f>IF($G256="","",IF(Sync!$V253="","0000",IF(AND(ISNUMBER(Sync!$V253),Sync!$V253&gt;=0,Sync!$V253&lt;1),RIGHT("00"&amp;HOUR(Sync!$V253),2)&amp;RIGHT("00"&amp;MINUTE(Sync!$V253),2),IFERROR(RIGHT("00"&amp;VALUE(LEFT(Sync!$V253,FIND(":",Sync!$V253)-1)),2)&amp;RIGHT("00"&amp;VALUE(MID(Sync!$V253,FIND(":",Sync!$V253)+1,2)),2),"0000"))))</f>
        <v/>
      </c>
    </row>
    <row r="257">
      <c r="A257">
        <f>IF(Sync!$U254="","",Sync!$U254)</f>
        <v/>
      </c>
      <c r="B257">
        <f>IF($A257="","",IF(ISNUMBER($A257),IF(AND($A257&gt;=10000101,$A257&lt;=99991231),INT($A257/10000),""),IFERROR(VALUE(TRIM(LEFT($A257,FIND("/",$A257)-1))),"")))</f>
        <v/>
      </c>
      <c r="C257">
        <f>IF(OR($A257="",$B257=""),"",IF(ISNUMBER($A257),INT(MOD($A257,10000)/100),IFERROR(VALUE(TRIM(LEFT(MID($A257,FIND("/",$A257)+1,20),FIND("/",MID($A257,FIND("/",$A257)+1,20))-1))),"")))</f>
        <v/>
      </c>
      <c r="D257">
        <f>IF(OR($A257="",$B257=""),"",IF(ISNUMBER($A257),MOD($A257,100),IFERROR(VALUE(TRIM(MID(MID($A257,FIND("/",$A257)+1,20),FIND("/",MID($A257,FIND("/",$A257)+1,20))+1,20))),"")))</f>
        <v/>
      </c>
      <c r="E257">
        <f>IF($A257="","",IF(OR($B257="",$C257="",$D257="",$B257&lt;1300,$B257&gt;1500,$C257&lt;1,$C257&gt;12,$D257&lt;1,$D257&gt;31),"نامعتبر",RIGHT("0000"&amp;$B257,4)&amp;"/"&amp;RIGHT("00"&amp;$C257,2)&amp;"/"&amp;RIGHT("00"&amp;$D257,2)))</f>
        <v/>
      </c>
      <c r="F257">
        <f>IF(OR($E257="",$E257="نامعتبر"),"",LEFT($E257,4)&amp;"/"&amp;MID($E257,6,2))</f>
        <v/>
      </c>
      <c r="G257">
        <f>IF(OR($E257="",$E257="نامعتبر",Sync!$Y254=""),"",Sync!$Y254)</f>
        <v/>
      </c>
      <c r="H257">
        <f>IF($G257="","",IF(Sync!$X254="","",Sync!$X254))</f>
        <v/>
      </c>
      <c r="I257">
        <f>IF($G257="","",IFERROR(VLOOKUP(Sync!$X254,OpTbl,3,0),""))</f>
        <v/>
      </c>
      <c r="J257">
        <f>IF(OR($G257="",Sync!$Z254=""),"",Sync!$Z254)</f>
        <v/>
      </c>
      <c r="K257">
        <f>IF(OR($G257="",Sync!$AA254=""),"",Sync!$AA254)</f>
        <v/>
      </c>
      <c r="L257">
        <f>IF($G257="",0,IF(Sync!$AB254="",0,Sync!$AB254))</f>
        <v/>
      </c>
      <c r="M257">
        <f>IF($G257="",0,IF(Sync!$AC254="",0,Sync!$AC254))</f>
        <v/>
      </c>
      <c r="N257">
        <f>IF($G257="","",IF($H257="مرجوعی خرید",-1,1)*($L257-$M257*IFERROR(VLOOKUP("P01",ParamTbl,3,0),1.5))*(1-IF($I257="خرید",IFERROR(VLOOKUP("P02",ParamTbl,3,0),1),0)/100))</f>
        <v/>
      </c>
      <c r="O257">
        <f>IF($G257="",0,IF($H257="مرجوعی خرید",-1,1)*IF(Sync!$AD254="",0,Sync!$AD254))</f>
        <v/>
      </c>
      <c r="P257">
        <f>IF(OR($G257="",Sync!$W254=""),"",Sync!$W254)</f>
        <v/>
      </c>
      <c r="Q257">
        <f>IF(OR($G257="",Sync!$AE254=""),"",Sync!$AE254)</f>
        <v/>
      </c>
      <c r="R257">
        <f>IF($G257="","",IF(Sync!$V254="","0000",IF(AND(ISNUMBER(Sync!$V254),Sync!$V254&gt;=0,Sync!$V254&lt;1),RIGHT("00"&amp;HOUR(Sync!$V254),2)&amp;RIGHT("00"&amp;MINUTE(Sync!$V254),2),IFERROR(RIGHT("00"&amp;VALUE(LEFT(Sync!$V254,FIND(":",Sync!$V254)-1)),2)&amp;RIGHT("00"&amp;VALUE(MID(Sync!$V254,FIND(":",Sync!$V254)+1,2)),2),"0000"))))</f>
        <v/>
      </c>
    </row>
    <row r="258">
      <c r="A258">
        <f>IF(Sync!$U255="","",Sync!$U255)</f>
        <v/>
      </c>
      <c r="B258">
        <f>IF($A258="","",IF(ISNUMBER($A258),IF(AND($A258&gt;=10000101,$A258&lt;=99991231),INT($A258/10000),""),IFERROR(VALUE(TRIM(LEFT($A258,FIND("/",$A258)-1))),"")))</f>
        <v/>
      </c>
      <c r="C258">
        <f>IF(OR($A258="",$B258=""),"",IF(ISNUMBER($A258),INT(MOD($A258,10000)/100),IFERROR(VALUE(TRIM(LEFT(MID($A258,FIND("/",$A258)+1,20),FIND("/",MID($A258,FIND("/",$A258)+1,20))-1))),"")))</f>
        <v/>
      </c>
      <c r="D258">
        <f>IF(OR($A258="",$B258=""),"",IF(ISNUMBER($A258),MOD($A258,100),IFERROR(VALUE(TRIM(MID(MID($A258,FIND("/",$A258)+1,20),FIND("/",MID($A258,FIND("/",$A258)+1,20))+1,20))),"")))</f>
        <v/>
      </c>
      <c r="E258">
        <f>IF($A258="","",IF(OR($B258="",$C258="",$D258="",$B258&lt;1300,$B258&gt;1500,$C258&lt;1,$C258&gt;12,$D258&lt;1,$D258&gt;31),"نامعتبر",RIGHT("0000"&amp;$B258,4)&amp;"/"&amp;RIGHT("00"&amp;$C258,2)&amp;"/"&amp;RIGHT("00"&amp;$D258,2)))</f>
        <v/>
      </c>
      <c r="F258">
        <f>IF(OR($E258="",$E258="نامعتبر"),"",LEFT($E258,4)&amp;"/"&amp;MID($E258,6,2))</f>
        <v/>
      </c>
      <c r="G258">
        <f>IF(OR($E258="",$E258="نامعتبر",Sync!$Y255=""),"",Sync!$Y255)</f>
        <v/>
      </c>
      <c r="H258">
        <f>IF($G258="","",IF(Sync!$X255="","",Sync!$X255))</f>
        <v/>
      </c>
      <c r="I258">
        <f>IF($G258="","",IFERROR(VLOOKUP(Sync!$X255,OpTbl,3,0),""))</f>
        <v/>
      </c>
      <c r="J258">
        <f>IF(OR($G258="",Sync!$Z255=""),"",Sync!$Z255)</f>
        <v/>
      </c>
      <c r="K258">
        <f>IF(OR($G258="",Sync!$AA255=""),"",Sync!$AA255)</f>
        <v/>
      </c>
      <c r="L258">
        <f>IF($G258="",0,IF(Sync!$AB255="",0,Sync!$AB255))</f>
        <v/>
      </c>
      <c r="M258">
        <f>IF($G258="",0,IF(Sync!$AC255="",0,Sync!$AC255))</f>
        <v/>
      </c>
      <c r="N258">
        <f>IF($G258="","",IF($H258="مرجوعی خرید",-1,1)*($L258-$M258*IFERROR(VLOOKUP("P01",ParamTbl,3,0),1.5))*(1-IF($I258="خرید",IFERROR(VLOOKUP("P02",ParamTbl,3,0),1),0)/100))</f>
        <v/>
      </c>
      <c r="O258">
        <f>IF($G258="",0,IF($H258="مرجوعی خرید",-1,1)*IF(Sync!$AD255="",0,Sync!$AD255))</f>
        <v/>
      </c>
      <c r="P258">
        <f>IF(OR($G258="",Sync!$W255=""),"",Sync!$W255)</f>
        <v/>
      </c>
      <c r="Q258">
        <f>IF(OR($G258="",Sync!$AE255=""),"",Sync!$AE255)</f>
        <v/>
      </c>
      <c r="R258">
        <f>IF($G258="","",IF(Sync!$V255="","0000",IF(AND(ISNUMBER(Sync!$V255),Sync!$V255&gt;=0,Sync!$V255&lt;1),RIGHT("00"&amp;HOUR(Sync!$V255),2)&amp;RIGHT("00"&amp;MINUTE(Sync!$V255),2),IFERROR(RIGHT("00"&amp;VALUE(LEFT(Sync!$V255,FIND(":",Sync!$V255)-1)),2)&amp;RIGHT("00"&amp;VALUE(MID(Sync!$V255,FIND(":",Sync!$V255)+1,2)),2),"0000"))))</f>
        <v/>
      </c>
    </row>
    <row r="259">
      <c r="A259">
        <f>IF(Sync!$U256="","",Sync!$U256)</f>
        <v/>
      </c>
      <c r="B259">
        <f>IF($A259="","",IF(ISNUMBER($A259),IF(AND($A259&gt;=10000101,$A259&lt;=99991231),INT($A259/10000),""),IFERROR(VALUE(TRIM(LEFT($A259,FIND("/",$A259)-1))),"")))</f>
        <v/>
      </c>
      <c r="C259">
        <f>IF(OR($A259="",$B259=""),"",IF(ISNUMBER($A259),INT(MOD($A259,10000)/100),IFERROR(VALUE(TRIM(LEFT(MID($A259,FIND("/",$A259)+1,20),FIND("/",MID($A259,FIND("/",$A259)+1,20))-1))),"")))</f>
        <v/>
      </c>
      <c r="D259">
        <f>IF(OR($A259="",$B259=""),"",IF(ISNUMBER($A259),MOD($A259,100),IFERROR(VALUE(TRIM(MID(MID($A259,FIND("/",$A259)+1,20),FIND("/",MID($A259,FIND("/",$A259)+1,20))+1,20))),"")))</f>
        <v/>
      </c>
      <c r="E259">
        <f>IF($A259="","",IF(OR($B259="",$C259="",$D259="",$B259&lt;1300,$B259&gt;1500,$C259&lt;1,$C259&gt;12,$D259&lt;1,$D259&gt;31),"نامعتبر",RIGHT("0000"&amp;$B259,4)&amp;"/"&amp;RIGHT("00"&amp;$C259,2)&amp;"/"&amp;RIGHT("00"&amp;$D259,2)))</f>
        <v/>
      </c>
      <c r="F259">
        <f>IF(OR($E259="",$E259="نامعتبر"),"",LEFT($E259,4)&amp;"/"&amp;MID($E259,6,2))</f>
        <v/>
      </c>
      <c r="G259">
        <f>IF(OR($E259="",$E259="نامعتبر",Sync!$Y256=""),"",Sync!$Y256)</f>
        <v/>
      </c>
      <c r="H259">
        <f>IF($G259="","",IF(Sync!$X256="","",Sync!$X256))</f>
        <v/>
      </c>
      <c r="I259">
        <f>IF($G259="","",IFERROR(VLOOKUP(Sync!$X256,OpTbl,3,0),""))</f>
        <v/>
      </c>
      <c r="J259">
        <f>IF(OR($G259="",Sync!$Z256=""),"",Sync!$Z256)</f>
        <v/>
      </c>
      <c r="K259">
        <f>IF(OR($G259="",Sync!$AA256=""),"",Sync!$AA256)</f>
        <v/>
      </c>
      <c r="L259">
        <f>IF($G259="",0,IF(Sync!$AB256="",0,Sync!$AB256))</f>
        <v/>
      </c>
      <c r="M259">
        <f>IF($G259="",0,IF(Sync!$AC256="",0,Sync!$AC256))</f>
        <v/>
      </c>
      <c r="N259">
        <f>IF($G259="","",IF($H259="مرجوعی خرید",-1,1)*($L259-$M259*IFERROR(VLOOKUP("P01",ParamTbl,3,0),1.5))*(1-IF($I259="خرید",IFERROR(VLOOKUP("P02",ParamTbl,3,0),1),0)/100))</f>
        <v/>
      </c>
      <c r="O259">
        <f>IF($G259="",0,IF($H259="مرجوعی خرید",-1,1)*IF(Sync!$AD256="",0,Sync!$AD256))</f>
        <v/>
      </c>
      <c r="P259">
        <f>IF(OR($G259="",Sync!$W256=""),"",Sync!$W256)</f>
        <v/>
      </c>
      <c r="Q259">
        <f>IF(OR($G259="",Sync!$AE256=""),"",Sync!$AE256)</f>
        <v/>
      </c>
      <c r="R259">
        <f>IF($G259="","",IF(Sync!$V256="","0000",IF(AND(ISNUMBER(Sync!$V256),Sync!$V256&gt;=0,Sync!$V256&lt;1),RIGHT("00"&amp;HOUR(Sync!$V256),2)&amp;RIGHT("00"&amp;MINUTE(Sync!$V256),2),IFERROR(RIGHT("00"&amp;VALUE(LEFT(Sync!$V256,FIND(":",Sync!$V256)-1)),2)&amp;RIGHT("00"&amp;VALUE(MID(Sync!$V256,FIND(":",Sync!$V256)+1,2)),2),"0000"))))</f>
        <v/>
      </c>
    </row>
    <row r="260">
      <c r="A260">
        <f>IF(Sync!$U257="","",Sync!$U257)</f>
        <v/>
      </c>
      <c r="B260">
        <f>IF($A260="","",IF(ISNUMBER($A260),IF(AND($A260&gt;=10000101,$A260&lt;=99991231),INT($A260/10000),""),IFERROR(VALUE(TRIM(LEFT($A260,FIND("/",$A260)-1))),"")))</f>
        <v/>
      </c>
      <c r="C260">
        <f>IF(OR($A260="",$B260=""),"",IF(ISNUMBER($A260),INT(MOD($A260,10000)/100),IFERROR(VALUE(TRIM(LEFT(MID($A260,FIND("/",$A260)+1,20),FIND("/",MID($A260,FIND("/",$A260)+1,20))-1))),"")))</f>
        <v/>
      </c>
      <c r="D260">
        <f>IF(OR($A260="",$B260=""),"",IF(ISNUMBER($A260),MOD($A260,100),IFERROR(VALUE(TRIM(MID(MID($A260,FIND("/",$A260)+1,20),FIND("/",MID($A260,FIND("/",$A260)+1,20))+1,20))),"")))</f>
        <v/>
      </c>
      <c r="E260">
        <f>IF($A260="","",IF(OR($B260="",$C260="",$D260="",$B260&lt;1300,$B260&gt;1500,$C260&lt;1,$C260&gt;12,$D260&lt;1,$D260&gt;31),"نامعتبر",RIGHT("0000"&amp;$B260,4)&amp;"/"&amp;RIGHT("00"&amp;$C260,2)&amp;"/"&amp;RIGHT("00"&amp;$D260,2)))</f>
        <v/>
      </c>
      <c r="F260">
        <f>IF(OR($E260="",$E260="نامعتبر"),"",LEFT($E260,4)&amp;"/"&amp;MID($E260,6,2))</f>
        <v/>
      </c>
      <c r="G260">
        <f>IF(OR($E260="",$E260="نامعتبر",Sync!$Y257=""),"",Sync!$Y257)</f>
        <v/>
      </c>
      <c r="H260">
        <f>IF($G260="","",IF(Sync!$X257="","",Sync!$X257))</f>
        <v/>
      </c>
      <c r="I260">
        <f>IF($G260="","",IFERROR(VLOOKUP(Sync!$X257,OpTbl,3,0),""))</f>
        <v/>
      </c>
      <c r="J260">
        <f>IF(OR($G260="",Sync!$Z257=""),"",Sync!$Z257)</f>
        <v/>
      </c>
      <c r="K260">
        <f>IF(OR($G260="",Sync!$AA257=""),"",Sync!$AA257)</f>
        <v/>
      </c>
      <c r="L260">
        <f>IF($G260="",0,IF(Sync!$AB257="",0,Sync!$AB257))</f>
        <v/>
      </c>
      <c r="M260">
        <f>IF($G260="",0,IF(Sync!$AC257="",0,Sync!$AC257))</f>
        <v/>
      </c>
      <c r="N260">
        <f>IF($G260="","",IF($H260="مرجوعی خرید",-1,1)*($L260-$M260*IFERROR(VLOOKUP("P01",ParamTbl,3,0),1.5))*(1-IF($I260="خرید",IFERROR(VLOOKUP("P02",ParamTbl,3,0),1),0)/100))</f>
        <v/>
      </c>
      <c r="O260">
        <f>IF($G260="",0,IF($H260="مرجوعی خرید",-1,1)*IF(Sync!$AD257="",0,Sync!$AD257))</f>
        <v/>
      </c>
      <c r="P260">
        <f>IF(OR($G260="",Sync!$W257=""),"",Sync!$W257)</f>
        <v/>
      </c>
      <c r="Q260">
        <f>IF(OR($G260="",Sync!$AE257=""),"",Sync!$AE257)</f>
        <v/>
      </c>
      <c r="R260">
        <f>IF($G260="","",IF(Sync!$V257="","0000",IF(AND(ISNUMBER(Sync!$V257),Sync!$V257&gt;=0,Sync!$V257&lt;1),RIGHT("00"&amp;HOUR(Sync!$V257),2)&amp;RIGHT("00"&amp;MINUTE(Sync!$V257),2),IFERROR(RIGHT("00"&amp;VALUE(LEFT(Sync!$V257,FIND(":",Sync!$V257)-1)),2)&amp;RIGHT("00"&amp;VALUE(MID(Sync!$V257,FIND(":",Sync!$V257)+1,2)),2),"0000"))))</f>
        <v/>
      </c>
    </row>
    <row r="261">
      <c r="A261">
        <f>IF(Sync!$U258="","",Sync!$U258)</f>
        <v/>
      </c>
      <c r="B261">
        <f>IF($A261="","",IF(ISNUMBER($A261),IF(AND($A261&gt;=10000101,$A261&lt;=99991231),INT($A261/10000),""),IFERROR(VALUE(TRIM(LEFT($A261,FIND("/",$A261)-1))),"")))</f>
        <v/>
      </c>
      <c r="C261">
        <f>IF(OR($A261="",$B261=""),"",IF(ISNUMBER($A261),INT(MOD($A261,10000)/100),IFERROR(VALUE(TRIM(LEFT(MID($A261,FIND("/",$A261)+1,20),FIND("/",MID($A261,FIND("/",$A261)+1,20))-1))),"")))</f>
        <v/>
      </c>
      <c r="D261">
        <f>IF(OR($A261="",$B261=""),"",IF(ISNUMBER($A261),MOD($A261,100),IFERROR(VALUE(TRIM(MID(MID($A261,FIND("/",$A261)+1,20),FIND("/",MID($A261,FIND("/",$A261)+1,20))+1,20))),"")))</f>
        <v/>
      </c>
      <c r="E261">
        <f>IF($A261="","",IF(OR($B261="",$C261="",$D261="",$B261&lt;1300,$B261&gt;1500,$C261&lt;1,$C261&gt;12,$D261&lt;1,$D261&gt;31),"نامعتبر",RIGHT("0000"&amp;$B261,4)&amp;"/"&amp;RIGHT("00"&amp;$C261,2)&amp;"/"&amp;RIGHT("00"&amp;$D261,2)))</f>
        <v/>
      </c>
      <c r="F261">
        <f>IF(OR($E261="",$E261="نامعتبر"),"",LEFT($E261,4)&amp;"/"&amp;MID($E261,6,2))</f>
        <v/>
      </c>
      <c r="G261">
        <f>IF(OR($E261="",$E261="نامعتبر",Sync!$Y258=""),"",Sync!$Y258)</f>
        <v/>
      </c>
      <c r="H261">
        <f>IF($G261="","",IF(Sync!$X258="","",Sync!$X258))</f>
        <v/>
      </c>
      <c r="I261">
        <f>IF($G261="","",IFERROR(VLOOKUP(Sync!$X258,OpTbl,3,0),""))</f>
        <v/>
      </c>
      <c r="J261">
        <f>IF(OR($G261="",Sync!$Z258=""),"",Sync!$Z258)</f>
        <v/>
      </c>
      <c r="K261">
        <f>IF(OR($G261="",Sync!$AA258=""),"",Sync!$AA258)</f>
        <v/>
      </c>
      <c r="L261">
        <f>IF($G261="",0,IF(Sync!$AB258="",0,Sync!$AB258))</f>
        <v/>
      </c>
      <c r="M261">
        <f>IF($G261="",0,IF(Sync!$AC258="",0,Sync!$AC258))</f>
        <v/>
      </c>
      <c r="N261">
        <f>IF($G261="","",IF($H261="مرجوعی خرید",-1,1)*($L261-$M261*IFERROR(VLOOKUP("P01",ParamTbl,3,0),1.5))*(1-IF($I261="خرید",IFERROR(VLOOKUP("P02",ParamTbl,3,0),1),0)/100))</f>
        <v/>
      </c>
      <c r="O261">
        <f>IF($G261="",0,IF($H261="مرجوعی خرید",-1,1)*IF(Sync!$AD258="",0,Sync!$AD258))</f>
        <v/>
      </c>
      <c r="P261">
        <f>IF(OR($G261="",Sync!$W258=""),"",Sync!$W258)</f>
        <v/>
      </c>
      <c r="Q261">
        <f>IF(OR($G261="",Sync!$AE258=""),"",Sync!$AE258)</f>
        <v/>
      </c>
      <c r="R261">
        <f>IF($G261="","",IF(Sync!$V258="","0000",IF(AND(ISNUMBER(Sync!$V258),Sync!$V258&gt;=0,Sync!$V258&lt;1),RIGHT("00"&amp;HOUR(Sync!$V258),2)&amp;RIGHT("00"&amp;MINUTE(Sync!$V258),2),IFERROR(RIGHT("00"&amp;VALUE(LEFT(Sync!$V258,FIND(":",Sync!$V258)-1)),2)&amp;RIGHT("00"&amp;VALUE(MID(Sync!$V258,FIND(":",Sync!$V258)+1,2)),2),"0000"))))</f>
        <v/>
      </c>
    </row>
    <row r="262">
      <c r="A262">
        <f>IF(Sync!$U259="","",Sync!$U259)</f>
        <v/>
      </c>
      <c r="B262">
        <f>IF($A262="","",IF(ISNUMBER($A262),IF(AND($A262&gt;=10000101,$A262&lt;=99991231),INT($A262/10000),""),IFERROR(VALUE(TRIM(LEFT($A262,FIND("/",$A262)-1))),"")))</f>
        <v/>
      </c>
      <c r="C262">
        <f>IF(OR($A262="",$B262=""),"",IF(ISNUMBER($A262),INT(MOD($A262,10000)/100),IFERROR(VALUE(TRIM(LEFT(MID($A262,FIND("/",$A262)+1,20),FIND("/",MID($A262,FIND("/",$A262)+1,20))-1))),"")))</f>
        <v/>
      </c>
      <c r="D262">
        <f>IF(OR($A262="",$B262=""),"",IF(ISNUMBER($A262),MOD($A262,100),IFERROR(VALUE(TRIM(MID(MID($A262,FIND("/",$A262)+1,20),FIND("/",MID($A262,FIND("/",$A262)+1,20))+1,20))),"")))</f>
        <v/>
      </c>
      <c r="E262">
        <f>IF($A262="","",IF(OR($B262="",$C262="",$D262="",$B262&lt;1300,$B262&gt;1500,$C262&lt;1,$C262&gt;12,$D262&lt;1,$D262&gt;31),"نامعتبر",RIGHT("0000"&amp;$B262,4)&amp;"/"&amp;RIGHT("00"&amp;$C262,2)&amp;"/"&amp;RIGHT("00"&amp;$D262,2)))</f>
        <v/>
      </c>
      <c r="F262">
        <f>IF(OR($E262="",$E262="نامعتبر"),"",LEFT($E262,4)&amp;"/"&amp;MID($E262,6,2))</f>
        <v/>
      </c>
      <c r="G262">
        <f>IF(OR($E262="",$E262="نامعتبر",Sync!$Y259=""),"",Sync!$Y259)</f>
        <v/>
      </c>
      <c r="H262">
        <f>IF($G262="","",IF(Sync!$X259="","",Sync!$X259))</f>
        <v/>
      </c>
      <c r="I262">
        <f>IF($G262="","",IFERROR(VLOOKUP(Sync!$X259,OpTbl,3,0),""))</f>
        <v/>
      </c>
      <c r="J262">
        <f>IF(OR($G262="",Sync!$Z259=""),"",Sync!$Z259)</f>
        <v/>
      </c>
      <c r="K262">
        <f>IF(OR($G262="",Sync!$AA259=""),"",Sync!$AA259)</f>
        <v/>
      </c>
      <c r="L262">
        <f>IF($G262="",0,IF(Sync!$AB259="",0,Sync!$AB259))</f>
        <v/>
      </c>
      <c r="M262">
        <f>IF($G262="",0,IF(Sync!$AC259="",0,Sync!$AC259))</f>
        <v/>
      </c>
      <c r="N262">
        <f>IF($G262="","",IF($H262="مرجوعی خرید",-1,1)*($L262-$M262*IFERROR(VLOOKUP("P01",ParamTbl,3,0),1.5))*(1-IF($I262="خرید",IFERROR(VLOOKUP("P02",ParamTbl,3,0),1),0)/100))</f>
        <v/>
      </c>
      <c r="O262">
        <f>IF($G262="",0,IF($H262="مرجوعی خرید",-1,1)*IF(Sync!$AD259="",0,Sync!$AD259))</f>
        <v/>
      </c>
      <c r="P262">
        <f>IF(OR($G262="",Sync!$W259=""),"",Sync!$W259)</f>
        <v/>
      </c>
      <c r="Q262">
        <f>IF(OR($G262="",Sync!$AE259=""),"",Sync!$AE259)</f>
        <v/>
      </c>
      <c r="R262">
        <f>IF($G262="","",IF(Sync!$V259="","0000",IF(AND(ISNUMBER(Sync!$V259),Sync!$V259&gt;=0,Sync!$V259&lt;1),RIGHT("00"&amp;HOUR(Sync!$V259),2)&amp;RIGHT("00"&amp;MINUTE(Sync!$V259),2),IFERROR(RIGHT("00"&amp;VALUE(LEFT(Sync!$V259,FIND(":",Sync!$V259)-1)),2)&amp;RIGHT("00"&amp;VALUE(MID(Sync!$V259,FIND(":",Sync!$V259)+1,2)),2),"0000"))))</f>
        <v/>
      </c>
    </row>
    <row r="263">
      <c r="A263">
        <f>IF(Sync!$U260="","",Sync!$U260)</f>
        <v/>
      </c>
      <c r="B263">
        <f>IF($A263="","",IF(ISNUMBER($A263),IF(AND($A263&gt;=10000101,$A263&lt;=99991231),INT($A263/10000),""),IFERROR(VALUE(TRIM(LEFT($A263,FIND("/",$A263)-1))),"")))</f>
        <v/>
      </c>
      <c r="C263">
        <f>IF(OR($A263="",$B263=""),"",IF(ISNUMBER($A263),INT(MOD($A263,10000)/100),IFERROR(VALUE(TRIM(LEFT(MID($A263,FIND("/",$A263)+1,20),FIND("/",MID($A263,FIND("/",$A263)+1,20))-1))),"")))</f>
        <v/>
      </c>
      <c r="D263">
        <f>IF(OR($A263="",$B263=""),"",IF(ISNUMBER($A263),MOD($A263,100),IFERROR(VALUE(TRIM(MID(MID($A263,FIND("/",$A263)+1,20),FIND("/",MID($A263,FIND("/",$A263)+1,20))+1,20))),"")))</f>
        <v/>
      </c>
      <c r="E263">
        <f>IF($A263="","",IF(OR($B263="",$C263="",$D263="",$B263&lt;1300,$B263&gt;1500,$C263&lt;1,$C263&gt;12,$D263&lt;1,$D263&gt;31),"نامعتبر",RIGHT("0000"&amp;$B263,4)&amp;"/"&amp;RIGHT("00"&amp;$C263,2)&amp;"/"&amp;RIGHT("00"&amp;$D263,2)))</f>
        <v/>
      </c>
      <c r="F263">
        <f>IF(OR($E263="",$E263="نامعتبر"),"",LEFT($E263,4)&amp;"/"&amp;MID($E263,6,2))</f>
        <v/>
      </c>
      <c r="G263">
        <f>IF(OR($E263="",$E263="نامعتبر",Sync!$Y260=""),"",Sync!$Y260)</f>
        <v/>
      </c>
      <c r="H263">
        <f>IF($G263="","",IF(Sync!$X260="","",Sync!$X260))</f>
        <v/>
      </c>
      <c r="I263">
        <f>IF($G263="","",IFERROR(VLOOKUP(Sync!$X260,OpTbl,3,0),""))</f>
        <v/>
      </c>
      <c r="J263">
        <f>IF(OR($G263="",Sync!$Z260=""),"",Sync!$Z260)</f>
        <v/>
      </c>
      <c r="K263">
        <f>IF(OR($G263="",Sync!$AA260=""),"",Sync!$AA260)</f>
        <v/>
      </c>
      <c r="L263">
        <f>IF($G263="",0,IF(Sync!$AB260="",0,Sync!$AB260))</f>
        <v/>
      </c>
      <c r="M263">
        <f>IF($G263="",0,IF(Sync!$AC260="",0,Sync!$AC260))</f>
        <v/>
      </c>
      <c r="N263">
        <f>IF($G263="","",IF($H263="مرجوعی خرید",-1,1)*($L263-$M263*IFERROR(VLOOKUP("P01",ParamTbl,3,0),1.5))*(1-IF($I263="خرید",IFERROR(VLOOKUP("P02",ParamTbl,3,0),1),0)/100))</f>
        <v/>
      </c>
      <c r="O263">
        <f>IF($G263="",0,IF($H263="مرجوعی خرید",-1,1)*IF(Sync!$AD260="",0,Sync!$AD260))</f>
        <v/>
      </c>
      <c r="P263">
        <f>IF(OR($G263="",Sync!$W260=""),"",Sync!$W260)</f>
        <v/>
      </c>
      <c r="Q263">
        <f>IF(OR($G263="",Sync!$AE260=""),"",Sync!$AE260)</f>
        <v/>
      </c>
      <c r="R263">
        <f>IF($G263="","",IF(Sync!$V260="","0000",IF(AND(ISNUMBER(Sync!$V260),Sync!$V260&gt;=0,Sync!$V260&lt;1),RIGHT("00"&amp;HOUR(Sync!$V260),2)&amp;RIGHT("00"&amp;MINUTE(Sync!$V260),2),IFERROR(RIGHT("00"&amp;VALUE(LEFT(Sync!$V260,FIND(":",Sync!$V260)-1)),2)&amp;RIGHT("00"&amp;VALUE(MID(Sync!$V260,FIND(":",Sync!$V260)+1,2)),2),"0000"))))</f>
        <v/>
      </c>
    </row>
    <row r="264">
      <c r="A264">
        <f>IF(Sync!$U261="","",Sync!$U261)</f>
        <v/>
      </c>
      <c r="B264">
        <f>IF($A264="","",IF(ISNUMBER($A264),IF(AND($A264&gt;=10000101,$A264&lt;=99991231),INT($A264/10000),""),IFERROR(VALUE(TRIM(LEFT($A264,FIND("/",$A264)-1))),"")))</f>
        <v/>
      </c>
      <c r="C264">
        <f>IF(OR($A264="",$B264=""),"",IF(ISNUMBER($A264),INT(MOD($A264,10000)/100),IFERROR(VALUE(TRIM(LEFT(MID($A264,FIND("/",$A264)+1,20),FIND("/",MID($A264,FIND("/",$A264)+1,20))-1))),"")))</f>
        <v/>
      </c>
      <c r="D264">
        <f>IF(OR($A264="",$B264=""),"",IF(ISNUMBER($A264),MOD($A264,100),IFERROR(VALUE(TRIM(MID(MID($A264,FIND("/",$A264)+1,20),FIND("/",MID($A264,FIND("/",$A264)+1,20))+1,20))),"")))</f>
        <v/>
      </c>
      <c r="E264">
        <f>IF($A264="","",IF(OR($B264="",$C264="",$D264="",$B264&lt;1300,$B264&gt;1500,$C264&lt;1,$C264&gt;12,$D264&lt;1,$D264&gt;31),"نامعتبر",RIGHT("0000"&amp;$B264,4)&amp;"/"&amp;RIGHT("00"&amp;$C264,2)&amp;"/"&amp;RIGHT("00"&amp;$D264,2)))</f>
        <v/>
      </c>
      <c r="F264">
        <f>IF(OR($E264="",$E264="نامعتبر"),"",LEFT($E264,4)&amp;"/"&amp;MID($E264,6,2))</f>
        <v/>
      </c>
      <c r="G264">
        <f>IF(OR($E264="",$E264="نامعتبر",Sync!$Y261=""),"",Sync!$Y261)</f>
        <v/>
      </c>
      <c r="H264">
        <f>IF($G264="","",IF(Sync!$X261="","",Sync!$X261))</f>
        <v/>
      </c>
      <c r="I264">
        <f>IF($G264="","",IFERROR(VLOOKUP(Sync!$X261,OpTbl,3,0),""))</f>
        <v/>
      </c>
      <c r="J264">
        <f>IF(OR($G264="",Sync!$Z261=""),"",Sync!$Z261)</f>
        <v/>
      </c>
      <c r="K264">
        <f>IF(OR($G264="",Sync!$AA261=""),"",Sync!$AA261)</f>
        <v/>
      </c>
      <c r="L264">
        <f>IF($G264="",0,IF(Sync!$AB261="",0,Sync!$AB261))</f>
        <v/>
      </c>
      <c r="M264">
        <f>IF($G264="",0,IF(Sync!$AC261="",0,Sync!$AC261))</f>
        <v/>
      </c>
      <c r="N264">
        <f>IF($G264="","",IF($H264="مرجوعی خرید",-1,1)*($L264-$M264*IFERROR(VLOOKUP("P01",ParamTbl,3,0),1.5))*(1-IF($I264="خرید",IFERROR(VLOOKUP("P02",ParamTbl,3,0),1),0)/100))</f>
        <v/>
      </c>
      <c r="O264">
        <f>IF($G264="",0,IF($H264="مرجوعی خرید",-1,1)*IF(Sync!$AD261="",0,Sync!$AD261))</f>
        <v/>
      </c>
      <c r="P264">
        <f>IF(OR($G264="",Sync!$W261=""),"",Sync!$W261)</f>
        <v/>
      </c>
      <c r="Q264">
        <f>IF(OR($G264="",Sync!$AE261=""),"",Sync!$AE261)</f>
        <v/>
      </c>
      <c r="R264">
        <f>IF($G264="","",IF(Sync!$V261="","0000",IF(AND(ISNUMBER(Sync!$V261),Sync!$V261&gt;=0,Sync!$V261&lt;1),RIGHT("00"&amp;HOUR(Sync!$V261),2)&amp;RIGHT("00"&amp;MINUTE(Sync!$V261),2),IFERROR(RIGHT("00"&amp;VALUE(LEFT(Sync!$V261,FIND(":",Sync!$V261)-1)),2)&amp;RIGHT("00"&amp;VALUE(MID(Sync!$V261,FIND(":",Sync!$V261)+1,2)),2),"0000"))))</f>
        <v/>
      </c>
    </row>
    <row r="265">
      <c r="A265">
        <f>IF(Sync!$U262="","",Sync!$U262)</f>
        <v/>
      </c>
      <c r="B265">
        <f>IF($A265="","",IF(ISNUMBER($A265),IF(AND($A265&gt;=10000101,$A265&lt;=99991231),INT($A265/10000),""),IFERROR(VALUE(TRIM(LEFT($A265,FIND("/",$A265)-1))),"")))</f>
        <v/>
      </c>
      <c r="C265">
        <f>IF(OR($A265="",$B265=""),"",IF(ISNUMBER($A265),INT(MOD($A265,10000)/100),IFERROR(VALUE(TRIM(LEFT(MID($A265,FIND("/",$A265)+1,20),FIND("/",MID($A265,FIND("/",$A265)+1,20))-1))),"")))</f>
        <v/>
      </c>
      <c r="D265">
        <f>IF(OR($A265="",$B265=""),"",IF(ISNUMBER($A265),MOD($A265,100),IFERROR(VALUE(TRIM(MID(MID($A265,FIND("/",$A265)+1,20),FIND("/",MID($A265,FIND("/",$A265)+1,20))+1,20))),"")))</f>
        <v/>
      </c>
      <c r="E265">
        <f>IF($A265="","",IF(OR($B265="",$C265="",$D265="",$B265&lt;1300,$B265&gt;1500,$C265&lt;1,$C265&gt;12,$D265&lt;1,$D265&gt;31),"نامعتبر",RIGHT("0000"&amp;$B265,4)&amp;"/"&amp;RIGHT("00"&amp;$C265,2)&amp;"/"&amp;RIGHT("00"&amp;$D265,2)))</f>
        <v/>
      </c>
      <c r="F265">
        <f>IF(OR($E265="",$E265="نامعتبر"),"",LEFT($E265,4)&amp;"/"&amp;MID($E265,6,2))</f>
        <v/>
      </c>
      <c r="G265">
        <f>IF(OR($E265="",$E265="نامعتبر",Sync!$Y262=""),"",Sync!$Y262)</f>
        <v/>
      </c>
      <c r="H265">
        <f>IF($G265="","",IF(Sync!$X262="","",Sync!$X262))</f>
        <v/>
      </c>
      <c r="I265">
        <f>IF($G265="","",IFERROR(VLOOKUP(Sync!$X262,OpTbl,3,0),""))</f>
        <v/>
      </c>
      <c r="J265">
        <f>IF(OR($G265="",Sync!$Z262=""),"",Sync!$Z262)</f>
        <v/>
      </c>
      <c r="K265">
        <f>IF(OR($G265="",Sync!$AA262=""),"",Sync!$AA262)</f>
        <v/>
      </c>
      <c r="L265">
        <f>IF($G265="",0,IF(Sync!$AB262="",0,Sync!$AB262))</f>
        <v/>
      </c>
      <c r="M265">
        <f>IF($G265="",0,IF(Sync!$AC262="",0,Sync!$AC262))</f>
        <v/>
      </c>
      <c r="N265">
        <f>IF($G265="","",IF($H265="مرجوعی خرید",-1,1)*($L265-$M265*IFERROR(VLOOKUP("P01",ParamTbl,3,0),1.5))*(1-IF($I265="خرید",IFERROR(VLOOKUP("P02",ParamTbl,3,0),1),0)/100))</f>
        <v/>
      </c>
      <c r="O265">
        <f>IF($G265="",0,IF($H265="مرجوعی خرید",-1,1)*IF(Sync!$AD262="",0,Sync!$AD262))</f>
        <v/>
      </c>
      <c r="P265">
        <f>IF(OR($G265="",Sync!$W262=""),"",Sync!$W262)</f>
        <v/>
      </c>
      <c r="Q265">
        <f>IF(OR($G265="",Sync!$AE262=""),"",Sync!$AE262)</f>
        <v/>
      </c>
      <c r="R265">
        <f>IF($G265="","",IF(Sync!$V262="","0000",IF(AND(ISNUMBER(Sync!$V262),Sync!$V262&gt;=0,Sync!$V262&lt;1),RIGHT("00"&amp;HOUR(Sync!$V262),2)&amp;RIGHT("00"&amp;MINUTE(Sync!$V262),2),IFERROR(RIGHT("00"&amp;VALUE(LEFT(Sync!$V262,FIND(":",Sync!$V262)-1)),2)&amp;RIGHT("00"&amp;VALUE(MID(Sync!$V262,FIND(":",Sync!$V262)+1,2)),2),"0000"))))</f>
        <v/>
      </c>
    </row>
    <row r="266">
      <c r="A266">
        <f>IF(Sync!$U263="","",Sync!$U263)</f>
        <v/>
      </c>
      <c r="B266">
        <f>IF($A266="","",IF(ISNUMBER($A266),IF(AND($A266&gt;=10000101,$A266&lt;=99991231),INT($A266/10000),""),IFERROR(VALUE(TRIM(LEFT($A266,FIND("/",$A266)-1))),"")))</f>
        <v/>
      </c>
      <c r="C266">
        <f>IF(OR($A266="",$B266=""),"",IF(ISNUMBER($A266),INT(MOD($A266,10000)/100),IFERROR(VALUE(TRIM(LEFT(MID($A266,FIND("/",$A266)+1,20),FIND("/",MID($A266,FIND("/",$A266)+1,20))-1))),"")))</f>
        <v/>
      </c>
      <c r="D266">
        <f>IF(OR($A266="",$B266=""),"",IF(ISNUMBER($A266),MOD($A266,100),IFERROR(VALUE(TRIM(MID(MID($A266,FIND("/",$A266)+1,20),FIND("/",MID($A266,FIND("/",$A266)+1,20))+1,20))),"")))</f>
        <v/>
      </c>
      <c r="E266">
        <f>IF($A266="","",IF(OR($B266="",$C266="",$D266="",$B266&lt;1300,$B266&gt;1500,$C266&lt;1,$C266&gt;12,$D266&lt;1,$D266&gt;31),"نامعتبر",RIGHT("0000"&amp;$B266,4)&amp;"/"&amp;RIGHT("00"&amp;$C266,2)&amp;"/"&amp;RIGHT("00"&amp;$D266,2)))</f>
        <v/>
      </c>
      <c r="F266">
        <f>IF(OR($E266="",$E266="نامعتبر"),"",LEFT($E266,4)&amp;"/"&amp;MID($E266,6,2))</f>
        <v/>
      </c>
      <c r="G266">
        <f>IF(OR($E266="",$E266="نامعتبر",Sync!$Y263=""),"",Sync!$Y263)</f>
        <v/>
      </c>
      <c r="H266">
        <f>IF($G266="","",IF(Sync!$X263="","",Sync!$X263))</f>
        <v/>
      </c>
      <c r="I266">
        <f>IF($G266="","",IFERROR(VLOOKUP(Sync!$X263,OpTbl,3,0),""))</f>
        <v/>
      </c>
      <c r="J266">
        <f>IF(OR($G266="",Sync!$Z263=""),"",Sync!$Z263)</f>
        <v/>
      </c>
      <c r="K266">
        <f>IF(OR($G266="",Sync!$AA263=""),"",Sync!$AA263)</f>
        <v/>
      </c>
      <c r="L266">
        <f>IF($G266="",0,IF(Sync!$AB263="",0,Sync!$AB263))</f>
        <v/>
      </c>
      <c r="M266">
        <f>IF($G266="",0,IF(Sync!$AC263="",0,Sync!$AC263))</f>
        <v/>
      </c>
      <c r="N266">
        <f>IF($G266="","",IF($H266="مرجوعی خرید",-1,1)*($L266-$M266*IFERROR(VLOOKUP("P01",ParamTbl,3,0),1.5))*(1-IF($I266="خرید",IFERROR(VLOOKUP("P02",ParamTbl,3,0),1),0)/100))</f>
        <v/>
      </c>
      <c r="O266">
        <f>IF($G266="",0,IF($H266="مرجوعی خرید",-1,1)*IF(Sync!$AD263="",0,Sync!$AD263))</f>
        <v/>
      </c>
      <c r="P266">
        <f>IF(OR($G266="",Sync!$W263=""),"",Sync!$W263)</f>
        <v/>
      </c>
      <c r="Q266">
        <f>IF(OR($G266="",Sync!$AE263=""),"",Sync!$AE263)</f>
        <v/>
      </c>
      <c r="R266">
        <f>IF($G266="","",IF(Sync!$V263="","0000",IF(AND(ISNUMBER(Sync!$V263),Sync!$V263&gt;=0,Sync!$V263&lt;1),RIGHT("00"&amp;HOUR(Sync!$V263),2)&amp;RIGHT("00"&amp;MINUTE(Sync!$V263),2),IFERROR(RIGHT("00"&amp;VALUE(LEFT(Sync!$V263,FIND(":",Sync!$V263)-1)),2)&amp;RIGHT("00"&amp;VALUE(MID(Sync!$V263,FIND(":",Sync!$V263)+1,2)),2),"0000"))))</f>
        <v/>
      </c>
    </row>
    <row r="267">
      <c r="A267">
        <f>IF(Sync!$U264="","",Sync!$U264)</f>
        <v/>
      </c>
      <c r="B267">
        <f>IF($A267="","",IF(ISNUMBER($A267),IF(AND($A267&gt;=10000101,$A267&lt;=99991231),INT($A267/10000),""),IFERROR(VALUE(TRIM(LEFT($A267,FIND("/",$A267)-1))),"")))</f>
        <v/>
      </c>
      <c r="C267">
        <f>IF(OR($A267="",$B267=""),"",IF(ISNUMBER($A267),INT(MOD($A267,10000)/100),IFERROR(VALUE(TRIM(LEFT(MID($A267,FIND("/",$A267)+1,20),FIND("/",MID($A267,FIND("/",$A267)+1,20))-1))),"")))</f>
        <v/>
      </c>
      <c r="D267">
        <f>IF(OR($A267="",$B267=""),"",IF(ISNUMBER($A267),MOD($A267,100),IFERROR(VALUE(TRIM(MID(MID($A267,FIND("/",$A267)+1,20),FIND("/",MID($A267,FIND("/",$A267)+1,20))+1,20))),"")))</f>
        <v/>
      </c>
      <c r="E267">
        <f>IF($A267="","",IF(OR($B267="",$C267="",$D267="",$B267&lt;1300,$B267&gt;1500,$C267&lt;1,$C267&gt;12,$D267&lt;1,$D267&gt;31),"نامعتبر",RIGHT("0000"&amp;$B267,4)&amp;"/"&amp;RIGHT("00"&amp;$C267,2)&amp;"/"&amp;RIGHT("00"&amp;$D267,2)))</f>
        <v/>
      </c>
      <c r="F267">
        <f>IF(OR($E267="",$E267="نامعتبر"),"",LEFT($E267,4)&amp;"/"&amp;MID($E267,6,2))</f>
        <v/>
      </c>
      <c r="G267">
        <f>IF(OR($E267="",$E267="نامعتبر",Sync!$Y264=""),"",Sync!$Y264)</f>
        <v/>
      </c>
      <c r="H267">
        <f>IF($G267="","",IF(Sync!$X264="","",Sync!$X264))</f>
        <v/>
      </c>
      <c r="I267">
        <f>IF($G267="","",IFERROR(VLOOKUP(Sync!$X264,OpTbl,3,0),""))</f>
        <v/>
      </c>
      <c r="J267">
        <f>IF(OR($G267="",Sync!$Z264=""),"",Sync!$Z264)</f>
        <v/>
      </c>
      <c r="K267">
        <f>IF(OR($G267="",Sync!$AA264=""),"",Sync!$AA264)</f>
        <v/>
      </c>
      <c r="L267">
        <f>IF($G267="",0,IF(Sync!$AB264="",0,Sync!$AB264))</f>
        <v/>
      </c>
      <c r="M267">
        <f>IF($G267="",0,IF(Sync!$AC264="",0,Sync!$AC264))</f>
        <v/>
      </c>
      <c r="N267">
        <f>IF($G267="","",IF($H267="مرجوعی خرید",-1,1)*($L267-$M267*IFERROR(VLOOKUP("P01",ParamTbl,3,0),1.5))*(1-IF($I267="خرید",IFERROR(VLOOKUP("P02",ParamTbl,3,0),1),0)/100))</f>
        <v/>
      </c>
      <c r="O267">
        <f>IF($G267="",0,IF($H267="مرجوعی خرید",-1,1)*IF(Sync!$AD264="",0,Sync!$AD264))</f>
        <v/>
      </c>
      <c r="P267">
        <f>IF(OR($G267="",Sync!$W264=""),"",Sync!$W264)</f>
        <v/>
      </c>
      <c r="Q267">
        <f>IF(OR($G267="",Sync!$AE264=""),"",Sync!$AE264)</f>
        <v/>
      </c>
      <c r="R267">
        <f>IF($G267="","",IF(Sync!$V264="","0000",IF(AND(ISNUMBER(Sync!$V264),Sync!$V264&gt;=0,Sync!$V264&lt;1),RIGHT("00"&amp;HOUR(Sync!$V264),2)&amp;RIGHT("00"&amp;MINUTE(Sync!$V264),2),IFERROR(RIGHT("00"&amp;VALUE(LEFT(Sync!$V264,FIND(":",Sync!$V264)-1)),2)&amp;RIGHT("00"&amp;VALUE(MID(Sync!$V264,FIND(":",Sync!$V264)+1,2)),2),"0000"))))</f>
        <v/>
      </c>
    </row>
    <row r="268">
      <c r="A268">
        <f>IF(Sync!$U265="","",Sync!$U265)</f>
        <v/>
      </c>
      <c r="B268">
        <f>IF($A268="","",IF(ISNUMBER($A268),IF(AND($A268&gt;=10000101,$A268&lt;=99991231),INT($A268/10000),""),IFERROR(VALUE(TRIM(LEFT($A268,FIND("/",$A268)-1))),"")))</f>
        <v/>
      </c>
      <c r="C268">
        <f>IF(OR($A268="",$B268=""),"",IF(ISNUMBER($A268),INT(MOD($A268,10000)/100),IFERROR(VALUE(TRIM(LEFT(MID($A268,FIND("/",$A268)+1,20),FIND("/",MID($A268,FIND("/",$A268)+1,20))-1))),"")))</f>
        <v/>
      </c>
      <c r="D268">
        <f>IF(OR($A268="",$B268=""),"",IF(ISNUMBER($A268),MOD($A268,100),IFERROR(VALUE(TRIM(MID(MID($A268,FIND("/",$A268)+1,20),FIND("/",MID($A268,FIND("/",$A268)+1,20))+1,20))),"")))</f>
        <v/>
      </c>
      <c r="E268">
        <f>IF($A268="","",IF(OR($B268="",$C268="",$D268="",$B268&lt;1300,$B268&gt;1500,$C268&lt;1,$C268&gt;12,$D268&lt;1,$D268&gt;31),"نامعتبر",RIGHT("0000"&amp;$B268,4)&amp;"/"&amp;RIGHT("00"&amp;$C268,2)&amp;"/"&amp;RIGHT("00"&amp;$D268,2)))</f>
        <v/>
      </c>
      <c r="F268">
        <f>IF(OR($E268="",$E268="نامعتبر"),"",LEFT($E268,4)&amp;"/"&amp;MID($E268,6,2))</f>
        <v/>
      </c>
      <c r="G268">
        <f>IF(OR($E268="",$E268="نامعتبر",Sync!$Y265=""),"",Sync!$Y265)</f>
        <v/>
      </c>
      <c r="H268">
        <f>IF($G268="","",IF(Sync!$X265="","",Sync!$X265))</f>
        <v/>
      </c>
      <c r="I268">
        <f>IF($G268="","",IFERROR(VLOOKUP(Sync!$X265,OpTbl,3,0),""))</f>
        <v/>
      </c>
      <c r="J268">
        <f>IF(OR($G268="",Sync!$Z265=""),"",Sync!$Z265)</f>
        <v/>
      </c>
      <c r="K268">
        <f>IF(OR($G268="",Sync!$AA265=""),"",Sync!$AA265)</f>
        <v/>
      </c>
      <c r="L268">
        <f>IF($G268="",0,IF(Sync!$AB265="",0,Sync!$AB265))</f>
        <v/>
      </c>
      <c r="M268">
        <f>IF($G268="",0,IF(Sync!$AC265="",0,Sync!$AC265))</f>
        <v/>
      </c>
      <c r="N268">
        <f>IF($G268="","",IF($H268="مرجوعی خرید",-1,1)*($L268-$M268*IFERROR(VLOOKUP("P01",ParamTbl,3,0),1.5))*(1-IF($I268="خرید",IFERROR(VLOOKUP("P02",ParamTbl,3,0),1),0)/100))</f>
        <v/>
      </c>
      <c r="O268">
        <f>IF($G268="",0,IF($H268="مرجوعی خرید",-1,1)*IF(Sync!$AD265="",0,Sync!$AD265))</f>
        <v/>
      </c>
      <c r="P268">
        <f>IF(OR($G268="",Sync!$W265=""),"",Sync!$W265)</f>
        <v/>
      </c>
      <c r="Q268">
        <f>IF(OR($G268="",Sync!$AE265=""),"",Sync!$AE265)</f>
        <v/>
      </c>
      <c r="R268">
        <f>IF($G268="","",IF(Sync!$V265="","0000",IF(AND(ISNUMBER(Sync!$V265),Sync!$V265&gt;=0,Sync!$V265&lt;1),RIGHT("00"&amp;HOUR(Sync!$V265),2)&amp;RIGHT("00"&amp;MINUTE(Sync!$V265),2),IFERROR(RIGHT("00"&amp;VALUE(LEFT(Sync!$V265,FIND(":",Sync!$V265)-1)),2)&amp;RIGHT("00"&amp;VALUE(MID(Sync!$V265,FIND(":",Sync!$V265)+1,2)),2),"0000"))))</f>
        <v/>
      </c>
    </row>
    <row r="269">
      <c r="A269">
        <f>IF(Sync!$U266="","",Sync!$U266)</f>
        <v/>
      </c>
      <c r="B269">
        <f>IF($A269="","",IF(ISNUMBER($A269),IF(AND($A269&gt;=10000101,$A269&lt;=99991231),INT($A269/10000),""),IFERROR(VALUE(TRIM(LEFT($A269,FIND("/",$A269)-1))),"")))</f>
        <v/>
      </c>
      <c r="C269">
        <f>IF(OR($A269="",$B269=""),"",IF(ISNUMBER($A269),INT(MOD($A269,10000)/100),IFERROR(VALUE(TRIM(LEFT(MID($A269,FIND("/",$A269)+1,20),FIND("/",MID($A269,FIND("/",$A269)+1,20))-1))),"")))</f>
        <v/>
      </c>
      <c r="D269">
        <f>IF(OR($A269="",$B269=""),"",IF(ISNUMBER($A269),MOD($A269,100),IFERROR(VALUE(TRIM(MID(MID($A269,FIND("/",$A269)+1,20),FIND("/",MID($A269,FIND("/",$A269)+1,20))+1,20))),"")))</f>
        <v/>
      </c>
      <c r="E269">
        <f>IF($A269="","",IF(OR($B269="",$C269="",$D269="",$B269&lt;1300,$B269&gt;1500,$C269&lt;1,$C269&gt;12,$D269&lt;1,$D269&gt;31),"نامعتبر",RIGHT("0000"&amp;$B269,4)&amp;"/"&amp;RIGHT("00"&amp;$C269,2)&amp;"/"&amp;RIGHT("00"&amp;$D269,2)))</f>
        <v/>
      </c>
      <c r="F269">
        <f>IF(OR($E269="",$E269="نامعتبر"),"",LEFT($E269,4)&amp;"/"&amp;MID($E269,6,2))</f>
        <v/>
      </c>
      <c r="G269">
        <f>IF(OR($E269="",$E269="نامعتبر",Sync!$Y266=""),"",Sync!$Y266)</f>
        <v/>
      </c>
      <c r="H269">
        <f>IF($G269="","",IF(Sync!$X266="","",Sync!$X266))</f>
        <v/>
      </c>
      <c r="I269">
        <f>IF($G269="","",IFERROR(VLOOKUP(Sync!$X266,OpTbl,3,0),""))</f>
        <v/>
      </c>
      <c r="J269">
        <f>IF(OR($G269="",Sync!$Z266=""),"",Sync!$Z266)</f>
        <v/>
      </c>
      <c r="K269">
        <f>IF(OR($G269="",Sync!$AA266=""),"",Sync!$AA266)</f>
        <v/>
      </c>
      <c r="L269">
        <f>IF($G269="",0,IF(Sync!$AB266="",0,Sync!$AB266))</f>
        <v/>
      </c>
      <c r="M269">
        <f>IF($G269="",0,IF(Sync!$AC266="",0,Sync!$AC266))</f>
        <v/>
      </c>
      <c r="N269">
        <f>IF($G269="","",IF($H269="مرجوعی خرید",-1,1)*($L269-$M269*IFERROR(VLOOKUP("P01",ParamTbl,3,0),1.5))*(1-IF($I269="خرید",IFERROR(VLOOKUP("P02",ParamTbl,3,0),1),0)/100))</f>
        <v/>
      </c>
      <c r="O269">
        <f>IF($G269="",0,IF($H269="مرجوعی خرید",-1,1)*IF(Sync!$AD266="",0,Sync!$AD266))</f>
        <v/>
      </c>
      <c r="P269">
        <f>IF(OR($G269="",Sync!$W266=""),"",Sync!$W266)</f>
        <v/>
      </c>
      <c r="Q269">
        <f>IF(OR($G269="",Sync!$AE266=""),"",Sync!$AE266)</f>
        <v/>
      </c>
      <c r="R269">
        <f>IF($G269="","",IF(Sync!$V266="","0000",IF(AND(ISNUMBER(Sync!$V266),Sync!$V266&gt;=0,Sync!$V266&lt;1),RIGHT("00"&amp;HOUR(Sync!$V266),2)&amp;RIGHT("00"&amp;MINUTE(Sync!$V266),2),IFERROR(RIGHT("00"&amp;VALUE(LEFT(Sync!$V266,FIND(":",Sync!$V266)-1)),2)&amp;RIGHT("00"&amp;VALUE(MID(Sync!$V266,FIND(":",Sync!$V266)+1,2)),2),"0000"))))</f>
        <v/>
      </c>
    </row>
    <row r="270">
      <c r="A270">
        <f>IF(Sync!$U267="","",Sync!$U267)</f>
        <v/>
      </c>
      <c r="B270">
        <f>IF($A270="","",IF(ISNUMBER($A270),IF(AND($A270&gt;=10000101,$A270&lt;=99991231),INT($A270/10000),""),IFERROR(VALUE(TRIM(LEFT($A270,FIND("/",$A270)-1))),"")))</f>
        <v/>
      </c>
      <c r="C270">
        <f>IF(OR($A270="",$B270=""),"",IF(ISNUMBER($A270),INT(MOD($A270,10000)/100),IFERROR(VALUE(TRIM(LEFT(MID($A270,FIND("/",$A270)+1,20),FIND("/",MID($A270,FIND("/",$A270)+1,20))-1))),"")))</f>
        <v/>
      </c>
      <c r="D270">
        <f>IF(OR($A270="",$B270=""),"",IF(ISNUMBER($A270),MOD($A270,100),IFERROR(VALUE(TRIM(MID(MID($A270,FIND("/",$A270)+1,20),FIND("/",MID($A270,FIND("/",$A270)+1,20))+1,20))),"")))</f>
        <v/>
      </c>
      <c r="E270">
        <f>IF($A270="","",IF(OR($B270="",$C270="",$D270="",$B270&lt;1300,$B270&gt;1500,$C270&lt;1,$C270&gt;12,$D270&lt;1,$D270&gt;31),"نامعتبر",RIGHT("0000"&amp;$B270,4)&amp;"/"&amp;RIGHT("00"&amp;$C270,2)&amp;"/"&amp;RIGHT("00"&amp;$D270,2)))</f>
        <v/>
      </c>
      <c r="F270">
        <f>IF(OR($E270="",$E270="نامعتبر"),"",LEFT($E270,4)&amp;"/"&amp;MID($E270,6,2))</f>
        <v/>
      </c>
      <c r="G270">
        <f>IF(OR($E270="",$E270="نامعتبر",Sync!$Y267=""),"",Sync!$Y267)</f>
        <v/>
      </c>
      <c r="H270">
        <f>IF($G270="","",IF(Sync!$X267="","",Sync!$X267))</f>
        <v/>
      </c>
      <c r="I270">
        <f>IF($G270="","",IFERROR(VLOOKUP(Sync!$X267,OpTbl,3,0),""))</f>
        <v/>
      </c>
      <c r="J270">
        <f>IF(OR($G270="",Sync!$Z267=""),"",Sync!$Z267)</f>
        <v/>
      </c>
      <c r="K270">
        <f>IF(OR($G270="",Sync!$AA267=""),"",Sync!$AA267)</f>
        <v/>
      </c>
      <c r="L270">
        <f>IF($G270="",0,IF(Sync!$AB267="",0,Sync!$AB267))</f>
        <v/>
      </c>
      <c r="M270">
        <f>IF($G270="",0,IF(Sync!$AC267="",0,Sync!$AC267))</f>
        <v/>
      </c>
      <c r="N270">
        <f>IF($G270="","",IF($H270="مرجوعی خرید",-1,1)*($L270-$M270*IFERROR(VLOOKUP("P01",ParamTbl,3,0),1.5))*(1-IF($I270="خرید",IFERROR(VLOOKUP("P02",ParamTbl,3,0),1),0)/100))</f>
        <v/>
      </c>
      <c r="O270">
        <f>IF($G270="",0,IF($H270="مرجوعی خرید",-1,1)*IF(Sync!$AD267="",0,Sync!$AD267))</f>
        <v/>
      </c>
      <c r="P270">
        <f>IF(OR($G270="",Sync!$W267=""),"",Sync!$W267)</f>
        <v/>
      </c>
      <c r="Q270">
        <f>IF(OR($G270="",Sync!$AE267=""),"",Sync!$AE267)</f>
        <v/>
      </c>
      <c r="R270">
        <f>IF($G270="","",IF(Sync!$V267="","0000",IF(AND(ISNUMBER(Sync!$V267),Sync!$V267&gt;=0,Sync!$V267&lt;1),RIGHT("00"&amp;HOUR(Sync!$V267),2)&amp;RIGHT("00"&amp;MINUTE(Sync!$V267),2),IFERROR(RIGHT("00"&amp;VALUE(LEFT(Sync!$V267,FIND(":",Sync!$V267)-1)),2)&amp;RIGHT("00"&amp;VALUE(MID(Sync!$V267,FIND(":",Sync!$V267)+1,2)),2),"0000"))))</f>
        <v/>
      </c>
    </row>
    <row r="271">
      <c r="A271">
        <f>IF(Sync!$U268="","",Sync!$U268)</f>
        <v/>
      </c>
      <c r="B271">
        <f>IF($A271="","",IF(ISNUMBER($A271),IF(AND($A271&gt;=10000101,$A271&lt;=99991231),INT($A271/10000),""),IFERROR(VALUE(TRIM(LEFT($A271,FIND("/",$A271)-1))),"")))</f>
        <v/>
      </c>
      <c r="C271">
        <f>IF(OR($A271="",$B271=""),"",IF(ISNUMBER($A271),INT(MOD($A271,10000)/100),IFERROR(VALUE(TRIM(LEFT(MID($A271,FIND("/",$A271)+1,20),FIND("/",MID($A271,FIND("/",$A271)+1,20))-1))),"")))</f>
        <v/>
      </c>
      <c r="D271">
        <f>IF(OR($A271="",$B271=""),"",IF(ISNUMBER($A271),MOD($A271,100),IFERROR(VALUE(TRIM(MID(MID($A271,FIND("/",$A271)+1,20),FIND("/",MID($A271,FIND("/",$A271)+1,20))+1,20))),"")))</f>
        <v/>
      </c>
      <c r="E271">
        <f>IF($A271="","",IF(OR($B271="",$C271="",$D271="",$B271&lt;1300,$B271&gt;1500,$C271&lt;1,$C271&gt;12,$D271&lt;1,$D271&gt;31),"نامعتبر",RIGHT("0000"&amp;$B271,4)&amp;"/"&amp;RIGHT("00"&amp;$C271,2)&amp;"/"&amp;RIGHT("00"&amp;$D271,2)))</f>
        <v/>
      </c>
      <c r="F271">
        <f>IF(OR($E271="",$E271="نامعتبر"),"",LEFT($E271,4)&amp;"/"&amp;MID($E271,6,2))</f>
        <v/>
      </c>
      <c r="G271">
        <f>IF(OR($E271="",$E271="نامعتبر",Sync!$Y268=""),"",Sync!$Y268)</f>
        <v/>
      </c>
      <c r="H271">
        <f>IF($G271="","",IF(Sync!$X268="","",Sync!$X268))</f>
        <v/>
      </c>
      <c r="I271">
        <f>IF($G271="","",IFERROR(VLOOKUP(Sync!$X268,OpTbl,3,0),""))</f>
        <v/>
      </c>
      <c r="J271">
        <f>IF(OR($G271="",Sync!$Z268=""),"",Sync!$Z268)</f>
        <v/>
      </c>
      <c r="K271">
        <f>IF(OR($G271="",Sync!$AA268=""),"",Sync!$AA268)</f>
        <v/>
      </c>
      <c r="L271">
        <f>IF($G271="",0,IF(Sync!$AB268="",0,Sync!$AB268))</f>
        <v/>
      </c>
      <c r="M271">
        <f>IF($G271="",0,IF(Sync!$AC268="",0,Sync!$AC268))</f>
        <v/>
      </c>
      <c r="N271">
        <f>IF($G271="","",IF($H271="مرجوعی خرید",-1,1)*($L271-$M271*IFERROR(VLOOKUP("P01",ParamTbl,3,0),1.5))*(1-IF($I271="خرید",IFERROR(VLOOKUP("P02",ParamTbl,3,0),1),0)/100))</f>
        <v/>
      </c>
      <c r="O271">
        <f>IF($G271="",0,IF($H271="مرجوعی خرید",-1,1)*IF(Sync!$AD268="",0,Sync!$AD268))</f>
        <v/>
      </c>
      <c r="P271">
        <f>IF(OR($G271="",Sync!$W268=""),"",Sync!$W268)</f>
        <v/>
      </c>
      <c r="Q271">
        <f>IF(OR($G271="",Sync!$AE268=""),"",Sync!$AE268)</f>
        <v/>
      </c>
      <c r="R271">
        <f>IF($G271="","",IF(Sync!$V268="","0000",IF(AND(ISNUMBER(Sync!$V268),Sync!$V268&gt;=0,Sync!$V268&lt;1),RIGHT("00"&amp;HOUR(Sync!$V268),2)&amp;RIGHT("00"&amp;MINUTE(Sync!$V268),2),IFERROR(RIGHT("00"&amp;VALUE(LEFT(Sync!$V268,FIND(":",Sync!$V268)-1)),2)&amp;RIGHT("00"&amp;VALUE(MID(Sync!$V268,FIND(":",Sync!$V268)+1,2)),2),"0000"))))</f>
        <v/>
      </c>
    </row>
    <row r="272">
      <c r="A272">
        <f>IF(Sync!$U269="","",Sync!$U269)</f>
        <v/>
      </c>
      <c r="B272">
        <f>IF($A272="","",IF(ISNUMBER($A272),IF(AND($A272&gt;=10000101,$A272&lt;=99991231),INT($A272/10000),""),IFERROR(VALUE(TRIM(LEFT($A272,FIND("/",$A272)-1))),"")))</f>
        <v/>
      </c>
      <c r="C272">
        <f>IF(OR($A272="",$B272=""),"",IF(ISNUMBER($A272),INT(MOD($A272,10000)/100),IFERROR(VALUE(TRIM(LEFT(MID($A272,FIND("/",$A272)+1,20),FIND("/",MID($A272,FIND("/",$A272)+1,20))-1))),"")))</f>
        <v/>
      </c>
      <c r="D272">
        <f>IF(OR($A272="",$B272=""),"",IF(ISNUMBER($A272),MOD($A272,100),IFERROR(VALUE(TRIM(MID(MID($A272,FIND("/",$A272)+1,20),FIND("/",MID($A272,FIND("/",$A272)+1,20))+1,20))),"")))</f>
        <v/>
      </c>
      <c r="E272">
        <f>IF($A272="","",IF(OR($B272="",$C272="",$D272="",$B272&lt;1300,$B272&gt;1500,$C272&lt;1,$C272&gt;12,$D272&lt;1,$D272&gt;31),"نامعتبر",RIGHT("0000"&amp;$B272,4)&amp;"/"&amp;RIGHT("00"&amp;$C272,2)&amp;"/"&amp;RIGHT("00"&amp;$D272,2)))</f>
        <v/>
      </c>
      <c r="F272">
        <f>IF(OR($E272="",$E272="نامعتبر"),"",LEFT($E272,4)&amp;"/"&amp;MID($E272,6,2))</f>
        <v/>
      </c>
      <c r="G272">
        <f>IF(OR($E272="",$E272="نامعتبر",Sync!$Y269=""),"",Sync!$Y269)</f>
        <v/>
      </c>
      <c r="H272">
        <f>IF($G272="","",IF(Sync!$X269="","",Sync!$X269))</f>
        <v/>
      </c>
      <c r="I272">
        <f>IF($G272="","",IFERROR(VLOOKUP(Sync!$X269,OpTbl,3,0),""))</f>
        <v/>
      </c>
      <c r="J272">
        <f>IF(OR($G272="",Sync!$Z269=""),"",Sync!$Z269)</f>
        <v/>
      </c>
      <c r="K272">
        <f>IF(OR($G272="",Sync!$AA269=""),"",Sync!$AA269)</f>
        <v/>
      </c>
      <c r="L272">
        <f>IF($G272="",0,IF(Sync!$AB269="",0,Sync!$AB269))</f>
        <v/>
      </c>
      <c r="M272">
        <f>IF($G272="",0,IF(Sync!$AC269="",0,Sync!$AC269))</f>
        <v/>
      </c>
      <c r="N272">
        <f>IF($G272="","",IF($H272="مرجوعی خرید",-1,1)*($L272-$M272*IFERROR(VLOOKUP("P01",ParamTbl,3,0),1.5))*(1-IF($I272="خرید",IFERROR(VLOOKUP("P02",ParamTbl,3,0),1),0)/100))</f>
        <v/>
      </c>
      <c r="O272">
        <f>IF($G272="",0,IF($H272="مرجوعی خرید",-1,1)*IF(Sync!$AD269="",0,Sync!$AD269))</f>
        <v/>
      </c>
      <c r="P272">
        <f>IF(OR($G272="",Sync!$W269=""),"",Sync!$W269)</f>
        <v/>
      </c>
      <c r="Q272">
        <f>IF(OR($G272="",Sync!$AE269=""),"",Sync!$AE269)</f>
        <v/>
      </c>
      <c r="R272">
        <f>IF($G272="","",IF(Sync!$V269="","0000",IF(AND(ISNUMBER(Sync!$V269),Sync!$V269&gt;=0,Sync!$V269&lt;1),RIGHT("00"&amp;HOUR(Sync!$V269),2)&amp;RIGHT("00"&amp;MINUTE(Sync!$V269),2),IFERROR(RIGHT("00"&amp;VALUE(LEFT(Sync!$V269,FIND(":",Sync!$V269)-1)),2)&amp;RIGHT("00"&amp;VALUE(MID(Sync!$V269,FIND(":",Sync!$V269)+1,2)),2),"0000"))))</f>
        <v/>
      </c>
    </row>
    <row r="273">
      <c r="A273">
        <f>IF(Sync!$U270="","",Sync!$U270)</f>
        <v/>
      </c>
      <c r="B273">
        <f>IF($A273="","",IF(ISNUMBER($A273),IF(AND($A273&gt;=10000101,$A273&lt;=99991231),INT($A273/10000),""),IFERROR(VALUE(TRIM(LEFT($A273,FIND("/",$A273)-1))),"")))</f>
        <v/>
      </c>
      <c r="C273">
        <f>IF(OR($A273="",$B273=""),"",IF(ISNUMBER($A273),INT(MOD($A273,10000)/100),IFERROR(VALUE(TRIM(LEFT(MID($A273,FIND("/",$A273)+1,20),FIND("/",MID($A273,FIND("/",$A273)+1,20))-1))),"")))</f>
        <v/>
      </c>
      <c r="D273">
        <f>IF(OR($A273="",$B273=""),"",IF(ISNUMBER($A273),MOD($A273,100),IFERROR(VALUE(TRIM(MID(MID($A273,FIND("/",$A273)+1,20),FIND("/",MID($A273,FIND("/",$A273)+1,20))+1,20))),"")))</f>
        <v/>
      </c>
      <c r="E273">
        <f>IF($A273="","",IF(OR($B273="",$C273="",$D273="",$B273&lt;1300,$B273&gt;1500,$C273&lt;1,$C273&gt;12,$D273&lt;1,$D273&gt;31),"نامعتبر",RIGHT("0000"&amp;$B273,4)&amp;"/"&amp;RIGHT("00"&amp;$C273,2)&amp;"/"&amp;RIGHT("00"&amp;$D273,2)))</f>
        <v/>
      </c>
      <c r="F273">
        <f>IF(OR($E273="",$E273="نامعتبر"),"",LEFT($E273,4)&amp;"/"&amp;MID($E273,6,2))</f>
        <v/>
      </c>
      <c r="G273">
        <f>IF(OR($E273="",$E273="نامعتبر",Sync!$Y270=""),"",Sync!$Y270)</f>
        <v/>
      </c>
      <c r="H273">
        <f>IF($G273="","",IF(Sync!$X270="","",Sync!$X270))</f>
        <v/>
      </c>
      <c r="I273">
        <f>IF($G273="","",IFERROR(VLOOKUP(Sync!$X270,OpTbl,3,0),""))</f>
        <v/>
      </c>
      <c r="J273">
        <f>IF(OR($G273="",Sync!$Z270=""),"",Sync!$Z270)</f>
        <v/>
      </c>
      <c r="K273">
        <f>IF(OR($G273="",Sync!$AA270=""),"",Sync!$AA270)</f>
        <v/>
      </c>
      <c r="L273">
        <f>IF($G273="",0,IF(Sync!$AB270="",0,Sync!$AB270))</f>
        <v/>
      </c>
      <c r="M273">
        <f>IF($G273="",0,IF(Sync!$AC270="",0,Sync!$AC270))</f>
        <v/>
      </c>
      <c r="N273">
        <f>IF($G273="","",IF($H273="مرجوعی خرید",-1,1)*($L273-$M273*IFERROR(VLOOKUP("P01",ParamTbl,3,0),1.5))*(1-IF($I273="خرید",IFERROR(VLOOKUP("P02",ParamTbl,3,0),1),0)/100))</f>
        <v/>
      </c>
      <c r="O273">
        <f>IF($G273="",0,IF($H273="مرجوعی خرید",-1,1)*IF(Sync!$AD270="",0,Sync!$AD270))</f>
        <v/>
      </c>
      <c r="P273">
        <f>IF(OR($G273="",Sync!$W270=""),"",Sync!$W270)</f>
        <v/>
      </c>
      <c r="Q273">
        <f>IF(OR($G273="",Sync!$AE270=""),"",Sync!$AE270)</f>
        <v/>
      </c>
      <c r="R273">
        <f>IF($G273="","",IF(Sync!$V270="","0000",IF(AND(ISNUMBER(Sync!$V270),Sync!$V270&gt;=0,Sync!$V270&lt;1),RIGHT("00"&amp;HOUR(Sync!$V270),2)&amp;RIGHT("00"&amp;MINUTE(Sync!$V270),2),IFERROR(RIGHT("00"&amp;VALUE(LEFT(Sync!$V270,FIND(":",Sync!$V270)-1)),2)&amp;RIGHT("00"&amp;VALUE(MID(Sync!$V270,FIND(":",Sync!$V270)+1,2)),2),"0000"))))</f>
        <v/>
      </c>
    </row>
    <row r="274">
      <c r="A274">
        <f>IF(Sync!$U271="","",Sync!$U271)</f>
        <v/>
      </c>
      <c r="B274">
        <f>IF($A274="","",IF(ISNUMBER($A274),IF(AND($A274&gt;=10000101,$A274&lt;=99991231),INT($A274/10000),""),IFERROR(VALUE(TRIM(LEFT($A274,FIND("/",$A274)-1))),"")))</f>
        <v/>
      </c>
      <c r="C274">
        <f>IF(OR($A274="",$B274=""),"",IF(ISNUMBER($A274),INT(MOD($A274,10000)/100),IFERROR(VALUE(TRIM(LEFT(MID($A274,FIND("/",$A274)+1,20),FIND("/",MID($A274,FIND("/",$A274)+1,20))-1))),"")))</f>
        <v/>
      </c>
      <c r="D274">
        <f>IF(OR($A274="",$B274=""),"",IF(ISNUMBER($A274),MOD($A274,100),IFERROR(VALUE(TRIM(MID(MID($A274,FIND("/",$A274)+1,20),FIND("/",MID($A274,FIND("/",$A274)+1,20))+1,20))),"")))</f>
        <v/>
      </c>
      <c r="E274">
        <f>IF($A274="","",IF(OR($B274="",$C274="",$D274="",$B274&lt;1300,$B274&gt;1500,$C274&lt;1,$C274&gt;12,$D274&lt;1,$D274&gt;31),"نامعتبر",RIGHT("0000"&amp;$B274,4)&amp;"/"&amp;RIGHT("00"&amp;$C274,2)&amp;"/"&amp;RIGHT("00"&amp;$D274,2)))</f>
        <v/>
      </c>
      <c r="F274">
        <f>IF(OR($E274="",$E274="نامعتبر"),"",LEFT($E274,4)&amp;"/"&amp;MID($E274,6,2))</f>
        <v/>
      </c>
      <c r="G274">
        <f>IF(OR($E274="",$E274="نامعتبر",Sync!$Y271=""),"",Sync!$Y271)</f>
        <v/>
      </c>
      <c r="H274">
        <f>IF($G274="","",IF(Sync!$X271="","",Sync!$X271))</f>
        <v/>
      </c>
      <c r="I274">
        <f>IF($G274="","",IFERROR(VLOOKUP(Sync!$X271,OpTbl,3,0),""))</f>
        <v/>
      </c>
      <c r="J274">
        <f>IF(OR($G274="",Sync!$Z271=""),"",Sync!$Z271)</f>
        <v/>
      </c>
      <c r="K274">
        <f>IF(OR($G274="",Sync!$AA271=""),"",Sync!$AA271)</f>
        <v/>
      </c>
      <c r="L274">
        <f>IF($G274="",0,IF(Sync!$AB271="",0,Sync!$AB271))</f>
        <v/>
      </c>
      <c r="M274">
        <f>IF($G274="",0,IF(Sync!$AC271="",0,Sync!$AC271))</f>
        <v/>
      </c>
      <c r="N274">
        <f>IF($G274="","",IF($H274="مرجوعی خرید",-1,1)*($L274-$M274*IFERROR(VLOOKUP("P01",ParamTbl,3,0),1.5))*(1-IF($I274="خرید",IFERROR(VLOOKUP("P02",ParamTbl,3,0),1),0)/100))</f>
        <v/>
      </c>
      <c r="O274">
        <f>IF($G274="",0,IF($H274="مرجوعی خرید",-1,1)*IF(Sync!$AD271="",0,Sync!$AD271))</f>
        <v/>
      </c>
      <c r="P274">
        <f>IF(OR($G274="",Sync!$W271=""),"",Sync!$W271)</f>
        <v/>
      </c>
      <c r="Q274">
        <f>IF(OR($G274="",Sync!$AE271=""),"",Sync!$AE271)</f>
        <v/>
      </c>
      <c r="R274">
        <f>IF($G274="","",IF(Sync!$V271="","0000",IF(AND(ISNUMBER(Sync!$V271),Sync!$V271&gt;=0,Sync!$V271&lt;1),RIGHT("00"&amp;HOUR(Sync!$V271),2)&amp;RIGHT("00"&amp;MINUTE(Sync!$V271),2),IFERROR(RIGHT("00"&amp;VALUE(LEFT(Sync!$V271,FIND(":",Sync!$V271)-1)),2)&amp;RIGHT("00"&amp;VALUE(MID(Sync!$V271,FIND(":",Sync!$V271)+1,2)),2),"0000"))))</f>
        <v/>
      </c>
    </row>
    <row r="275">
      <c r="A275">
        <f>IF(Sync!$U272="","",Sync!$U272)</f>
        <v/>
      </c>
      <c r="B275">
        <f>IF($A275="","",IF(ISNUMBER($A275),IF(AND($A275&gt;=10000101,$A275&lt;=99991231),INT($A275/10000),""),IFERROR(VALUE(TRIM(LEFT($A275,FIND("/",$A275)-1))),"")))</f>
        <v/>
      </c>
      <c r="C275">
        <f>IF(OR($A275="",$B275=""),"",IF(ISNUMBER($A275),INT(MOD($A275,10000)/100),IFERROR(VALUE(TRIM(LEFT(MID($A275,FIND("/",$A275)+1,20),FIND("/",MID($A275,FIND("/",$A275)+1,20))-1))),"")))</f>
        <v/>
      </c>
      <c r="D275">
        <f>IF(OR($A275="",$B275=""),"",IF(ISNUMBER($A275),MOD($A275,100),IFERROR(VALUE(TRIM(MID(MID($A275,FIND("/",$A275)+1,20),FIND("/",MID($A275,FIND("/",$A275)+1,20))+1,20))),"")))</f>
        <v/>
      </c>
      <c r="E275">
        <f>IF($A275="","",IF(OR($B275="",$C275="",$D275="",$B275&lt;1300,$B275&gt;1500,$C275&lt;1,$C275&gt;12,$D275&lt;1,$D275&gt;31),"نامعتبر",RIGHT("0000"&amp;$B275,4)&amp;"/"&amp;RIGHT("00"&amp;$C275,2)&amp;"/"&amp;RIGHT("00"&amp;$D275,2)))</f>
        <v/>
      </c>
      <c r="F275">
        <f>IF(OR($E275="",$E275="نامعتبر"),"",LEFT($E275,4)&amp;"/"&amp;MID($E275,6,2))</f>
        <v/>
      </c>
      <c r="G275">
        <f>IF(OR($E275="",$E275="نامعتبر",Sync!$Y272=""),"",Sync!$Y272)</f>
        <v/>
      </c>
      <c r="H275">
        <f>IF($G275="","",IF(Sync!$X272="","",Sync!$X272))</f>
        <v/>
      </c>
      <c r="I275">
        <f>IF($G275="","",IFERROR(VLOOKUP(Sync!$X272,OpTbl,3,0),""))</f>
        <v/>
      </c>
      <c r="J275">
        <f>IF(OR($G275="",Sync!$Z272=""),"",Sync!$Z272)</f>
        <v/>
      </c>
      <c r="K275">
        <f>IF(OR($G275="",Sync!$AA272=""),"",Sync!$AA272)</f>
        <v/>
      </c>
      <c r="L275">
        <f>IF($G275="",0,IF(Sync!$AB272="",0,Sync!$AB272))</f>
        <v/>
      </c>
      <c r="M275">
        <f>IF($G275="",0,IF(Sync!$AC272="",0,Sync!$AC272))</f>
        <v/>
      </c>
      <c r="N275">
        <f>IF($G275="","",IF($H275="مرجوعی خرید",-1,1)*($L275-$M275*IFERROR(VLOOKUP("P01",ParamTbl,3,0),1.5))*(1-IF($I275="خرید",IFERROR(VLOOKUP("P02",ParamTbl,3,0),1),0)/100))</f>
        <v/>
      </c>
      <c r="O275">
        <f>IF($G275="",0,IF($H275="مرجوعی خرید",-1,1)*IF(Sync!$AD272="",0,Sync!$AD272))</f>
        <v/>
      </c>
      <c r="P275">
        <f>IF(OR($G275="",Sync!$W272=""),"",Sync!$W272)</f>
        <v/>
      </c>
      <c r="Q275">
        <f>IF(OR($G275="",Sync!$AE272=""),"",Sync!$AE272)</f>
        <v/>
      </c>
      <c r="R275">
        <f>IF($G275="","",IF(Sync!$V272="","0000",IF(AND(ISNUMBER(Sync!$V272),Sync!$V272&gt;=0,Sync!$V272&lt;1),RIGHT("00"&amp;HOUR(Sync!$V272),2)&amp;RIGHT("00"&amp;MINUTE(Sync!$V272),2),IFERROR(RIGHT("00"&amp;VALUE(LEFT(Sync!$V272,FIND(":",Sync!$V272)-1)),2)&amp;RIGHT("00"&amp;VALUE(MID(Sync!$V272,FIND(":",Sync!$V272)+1,2)),2),"0000"))))</f>
        <v/>
      </c>
    </row>
    <row r="276">
      <c r="A276">
        <f>IF(Sync!$U273="","",Sync!$U273)</f>
        <v/>
      </c>
      <c r="B276">
        <f>IF($A276="","",IF(ISNUMBER($A276),IF(AND($A276&gt;=10000101,$A276&lt;=99991231),INT($A276/10000),""),IFERROR(VALUE(TRIM(LEFT($A276,FIND("/",$A276)-1))),"")))</f>
        <v/>
      </c>
      <c r="C276">
        <f>IF(OR($A276="",$B276=""),"",IF(ISNUMBER($A276),INT(MOD($A276,10000)/100),IFERROR(VALUE(TRIM(LEFT(MID($A276,FIND("/",$A276)+1,20),FIND("/",MID($A276,FIND("/",$A276)+1,20))-1))),"")))</f>
        <v/>
      </c>
      <c r="D276">
        <f>IF(OR($A276="",$B276=""),"",IF(ISNUMBER($A276),MOD($A276,100),IFERROR(VALUE(TRIM(MID(MID($A276,FIND("/",$A276)+1,20),FIND("/",MID($A276,FIND("/",$A276)+1,20))+1,20))),"")))</f>
        <v/>
      </c>
      <c r="E276">
        <f>IF($A276="","",IF(OR($B276="",$C276="",$D276="",$B276&lt;1300,$B276&gt;1500,$C276&lt;1,$C276&gt;12,$D276&lt;1,$D276&gt;31),"نامعتبر",RIGHT("0000"&amp;$B276,4)&amp;"/"&amp;RIGHT("00"&amp;$C276,2)&amp;"/"&amp;RIGHT("00"&amp;$D276,2)))</f>
        <v/>
      </c>
      <c r="F276">
        <f>IF(OR($E276="",$E276="نامعتبر"),"",LEFT($E276,4)&amp;"/"&amp;MID($E276,6,2))</f>
        <v/>
      </c>
      <c r="G276">
        <f>IF(OR($E276="",$E276="نامعتبر",Sync!$Y273=""),"",Sync!$Y273)</f>
        <v/>
      </c>
      <c r="H276">
        <f>IF($G276="","",IF(Sync!$X273="","",Sync!$X273))</f>
        <v/>
      </c>
      <c r="I276">
        <f>IF($G276="","",IFERROR(VLOOKUP(Sync!$X273,OpTbl,3,0),""))</f>
        <v/>
      </c>
      <c r="J276">
        <f>IF(OR($G276="",Sync!$Z273=""),"",Sync!$Z273)</f>
        <v/>
      </c>
      <c r="K276">
        <f>IF(OR($G276="",Sync!$AA273=""),"",Sync!$AA273)</f>
        <v/>
      </c>
      <c r="L276">
        <f>IF($G276="",0,IF(Sync!$AB273="",0,Sync!$AB273))</f>
        <v/>
      </c>
      <c r="M276">
        <f>IF($G276="",0,IF(Sync!$AC273="",0,Sync!$AC273))</f>
        <v/>
      </c>
      <c r="N276">
        <f>IF($G276="","",IF($H276="مرجوعی خرید",-1,1)*($L276-$M276*IFERROR(VLOOKUP("P01",ParamTbl,3,0),1.5))*(1-IF($I276="خرید",IFERROR(VLOOKUP("P02",ParamTbl,3,0),1),0)/100))</f>
        <v/>
      </c>
      <c r="O276">
        <f>IF($G276="",0,IF($H276="مرجوعی خرید",-1,1)*IF(Sync!$AD273="",0,Sync!$AD273))</f>
        <v/>
      </c>
      <c r="P276">
        <f>IF(OR($G276="",Sync!$W273=""),"",Sync!$W273)</f>
        <v/>
      </c>
      <c r="Q276">
        <f>IF(OR($G276="",Sync!$AE273=""),"",Sync!$AE273)</f>
        <v/>
      </c>
      <c r="R276">
        <f>IF($G276="","",IF(Sync!$V273="","0000",IF(AND(ISNUMBER(Sync!$V273),Sync!$V273&gt;=0,Sync!$V273&lt;1),RIGHT("00"&amp;HOUR(Sync!$V273),2)&amp;RIGHT("00"&amp;MINUTE(Sync!$V273),2),IFERROR(RIGHT("00"&amp;VALUE(LEFT(Sync!$V273,FIND(":",Sync!$V273)-1)),2)&amp;RIGHT("00"&amp;VALUE(MID(Sync!$V273,FIND(":",Sync!$V273)+1,2)),2),"0000"))))</f>
        <v/>
      </c>
    </row>
    <row r="277">
      <c r="A277">
        <f>IF(Sync!$U274="","",Sync!$U274)</f>
        <v/>
      </c>
      <c r="B277">
        <f>IF($A277="","",IF(ISNUMBER($A277),IF(AND($A277&gt;=10000101,$A277&lt;=99991231),INT($A277/10000),""),IFERROR(VALUE(TRIM(LEFT($A277,FIND("/",$A277)-1))),"")))</f>
        <v/>
      </c>
      <c r="C277">
        <f>IF(OR($A277="",$B277=""),"",IF(ISNUMBER($A277),INT(MOD($A277,10000)/100),IFERROR(VALUE(TRIM(LEFT(MID($A277,FIND("/",$A277)+1,20),FIND("/",MID($A277,FIND("/",$A277)+1,20))-1))),"")))</f>
        <v/>
      </c>
      <c r="D277">
        <f>IF(OR($A277="",$B277=""),"",IF(ISNUMBER($A277),MOD($A277,100),IFERROR(VALUE(TRIM(MID(MID($A277,FIND("/",$A277)+1,20),FIND("/",MID($A277,FIND("/",$A277)+1,20))+1,20))),"")))</f>
        <v/>
      </c>
      <c r="E277">
        <f>IF($A277="","",IF(OR($B277="",$C277="",$D277="",$B277&lt;1300,$B277&gt;1500,$C277&lt;1,$C277&gt;12,$D277&lt;1,$D277&gt;31),"نامعتبر",RIGHT("0000"&amp;$B277,4)&amp;"/"&amp;RIGHT("00"&amp;$C277,2)&amp;"/"&amp;RIGHT("00"&amp;$D277,2)))</f>
        <v/>
      </c>
      <c r="F277">
        <f>IF(OR($E277="",$E277="نامعتبر"),"",LEFT($E277,4)&amp;"/"&amp;MID($E277,6,2))</f>
        <v/>
      </c>
      <c r="G277">
        <f>IF(OR($E277="",$E277="نامعتبر",Sync!$Y274=""),"",Sync!$Y274)</f>
        <v/>
      </c>
      <c r="H277">
        <f>IF($G277="","",IF(Sync!$X274="","",Sync!$X274))</f>
        <v/>
      </c>
      <c r="I277">
        <f>IF($G277="","",IFERROR(VLOOKUP(Sync!$X274,OpTbl,3,0),""))</f>
        <v/>
      </c>
      <c r="J277">
        <f>IF(OR($G277="",Sync!$Z274=""),"",Sync!$Z274)</f>
        <v/>
      </c>
      <c r="K277">
        <f>IF(OR($G277="",Sync!$AA274=""),"",Sync!$AA274)</f>
        <v/>
      </c>
      <c r="L277">
        <f>IF($G277="",0,IF(Sync!$AB274="",0,Sync!$AB274))</f>
        <v/>
      </c>
      <c r="M277">
        <f>IF($G277="",0,IF(Sync!$AC274="",0,Sync!$AC274))</f>
        <v/>
      </c>
      <c r="N277">
        <f>IF($G277="","",IF($H277="مرجوعی خرید",-1,1)*($L277-$M277*IFERROR(VLOOKUP("P01",ParamTbl,3,0),1.5))*(1-IF($I277="خرید",IFERROR(VLOOKUP("P02",ParamTbl,3,0),1),0)/100))</f>
        <v/>
      </c>
      <c r="O277">
        <f>IF($G277="",0,IF($H277="مرجوعی خرید",-1,1)*IF(Sync!$AD274="",0,Sync!$AD274))</f>
        <v/>
      </c>
      <c r="P277">
        <f>IF(OR($G277="",Sync!$W274=""),"",Sync!$W274)</f>
        <v/>
      </c>
      <c r="Q277">
        <f>IF(OR($G277="",Sync!$AE274=""),"",Sync!$AE274)</f>
        <v/>
      </c>
      <c r="R277">
        <f>IF($G277="","",IF(Sync!$V274="","0000",IF(AND(ISNUMBER(Sync!$V274),Sync!$V274&gt;=0,Sync!$V274&lt;1),RIGHT("00"&amp;HOUR(Sync!$V274),2)&amp;RIGHT("00"&amp;MINUTE(Sync!$V274),2),IFERROR(RIGHT("00"&amp;VALUE(LEFT(Sync!$V274,FIND(":",Sync!$V274)-1)),2)&amp;RIGHT("00"&amp;VALUE(MID(Sync!$V274,FIND(":",Sync!$V274)+1,2)),2),"0000"))))</f>
        <v/>
      </c>
    </row>
    <row r="278">
      <c r="A278">
        <f>IF(Sync!$U275="","",Sync!$U275)</f>
        <v/>
      </c>
      <c r="B278">
        <f>IF($A278="","",IF(ISNUMBER($A278),IF(AND($A278&gt;=10000101,$A278&lt;=99991231),INT($A278/10000),""),IFERROR(VALUE(TRIM(LEFT($A278,FIND("/",$A278)-1))),"")))</f>
        <v/>
      </c>
      <c r="C278">
        <f>IF(OR($A278="",$B278=""),"",IF(ISNUMBER($A278),INT(MOD($A278,10000)/100),IFERROR(VALUE(TRIM(LEFT(MID($A278,FIND("/",$A278)+1,20),FIND("/",MID($A278,FIND("/",$A278)+1,20))-1))),"")))</f>
        <v/>
      </c>
      <c r="D278">
        <f>IF(OR($A278="",$B278=""),"",IF(ISNUMBER($A278),MOD($A278,100),IFERROR(VALUE(TRIM(MID(MID($A278,FIND("/",$A278)+1,20),FIND("/",MID($A278,FIND("/",$A278)+1,20))+1,20))),"")))</f>
        <v/>
      </c>
      <c r="E278">
        <f>IF($A278="","",IF(OR($B278="",$C278="",$D278="",$B278&lt;1300,$B278&gt;1500,$C278&lt;1,$C278&gt;12,$D278&lt;1,$D278&gt;31),"نامعتبر",RIGHT("0000"&amp;$B278,4)&amp;"/"&amp;RIGHT("00"&amp;$C278,2)&amp;"/"&amp;RIGHT("00"&amp;$D278,2)))</f>
        <v/>
      </c>
      <c r="F278">
        <f>IF(OR($E278="",$E278="نامعتبر"),"",LEFT($E278,4)&amp;"/"&amp;MID($E278,6,2))</f>
        <v/>
      </c>
      <c r="G278">
        <f>IF(OR($E278="",$E278="نامعتبر",Sync!$Y275=""),"",Sync!$Y275)</f>
        <v/>
      </c>
      <c r="H278">
        <f>IF($G278="","",IF(Sync!$X275="","",Sync!$X275))</f>
        <v/>
      </c>
      <c r="I278">
        <f>IF($G278="","",IFERROR(VLOOKUP(Sync!$X275,OpTbl,3,0),""))</f>
        <v/>
      </c>
      <c r="J278">
        <f>IF(OR($G278="",Sync!$Z275=""),"",Sync!$Z275)</f>
        <v/>
      </c>
      <c r="K278">
        <f>IF(OR($G278="",Sync!$AA275=""),"",Sync!$AA275)</f>
        <v/>
      </c>
      <c r="L278">
        <f>IF($G278="",0,IF(Sync!$AB275="",0,Sync!$AB275))</f>
        <v/>
      </c>
      <c r="M278">
        <f>IF($G278="",0,IF(Sync!$AC275="",0,Sync!$AC275))</f>
        <v/>
      </c>
      <c r="N278">
        <f>IF($G278="","",IF($H278="مرجوعی خرید",-1,1)*($L278-$M278*IFERROR(VLOOKUP("P01",ParamTbl,3,0),1.5))*(1-IF($I278="خرید",IFERROR(VLOOKUP("P02",ParamTbl,3,0),1),0)/100))</f>
        <v/>
      </c>
      <c r="O278">
        <f>IF($G278="",0,IF($H278="مرجوعی خرید",-1,1)*IF(Sync!$AD275="",0,Sync!$AD275))</f>
        <v/>
      </c>
      <c r="P278">
        <f>IF(OR($G278="",Sync!$W275=""),"",Sync!$W275)</f>
        <v/>
      </c>
      <c r="Q278">
        <f>IF(OR($G278="",Sync!$AE275=""),"",Sync!$AE275)</f>
        <v/>
      </c>
      <c r="R278">
        <f>IF($G278="","",IF(Sync!$V275="","0000",IF(AND(ISNUMBER(Sync!$V275),Sync!$V275&gt;=0,Sync!$V275&lt;1),RIGHT("00"&amp;HOUR(Sync!$V275),2)&amp;RIGHT("00"&amp;MINUTE(Sync!$V275),2),IFERROR(RIGHT("00"&amp;VALUE(LEFT(Sync!$V275,FIND(":",Sync!$V275)-1)),2)&amp;RIGHT("00"&amp;VALUE(MID(Sync!$V275,FIND(":",Sync!$V275)+1,2)),2),"0000"))))</f>
        <v/>
      </c>
    </row>
    <row r="279">
      <c r="A279">
        <f>IF(Sync!$U276="","",Sync!$U276)</f>
        <v/>
      </c>
      <c r="B279">
        <f>IF($A279="","",IF(ISNUMBER($A279),IF(AND($A279&gt;=10000101,$A279&lt;=99991231),INT($A279/10000),""),IFERROR(VALUE(TRIM(LEFT($A279,FIND("/",$A279)-1))),"")))</f>
        <v/>
      </c>
      <c r="C279">
        <f>IF(OR($A279="",$B279=""),"",IF(ISNUMBER($A279),INT(MOD($A279,10000)/100),IFERROR(VALUE(TRIM(LEFT(MID($A279,FIND("/",$A279)+1,20),FIND("/",MID($A279,FIND("/",$A279)+1,20))-1))),"")))</f>
        <v/>
      </c>
      <c r="D279">
        <f>IF(OR($A279="",$B279=""),"",IF(ISNUMBER($A279),MOD($A279,100),IFERROR(VALUE(TRIM(MID(MID($A279,FIND("/",$A279)+1,20),FIND("/",MID($A279,FIND("/",$A279)+1,20))+1,20))),"")))</f>
        <v/>
      </c>
      <c r="E279">
        <f>IF($A279="","",IF(OR($B279="",$C279="",$D279="",$B279&lt;1300,$B279&gt;1500,$C279&lt;1,$C279&gt;12,$D279&lt;1,$D279&gt;31),"نامعتبر",RIGHT("0000"&amp;$B279,4)&amp;"/"&amp;RIGHT("00"&amp;$C279,2)&amp;"/"&amp;RIGHT("00"&amp;$D279,2)))</f>
        <v/>
      </c>
      <c r="F279">
        <f>IF(OR($E279="",$E279="نامعتبر"),"",LEFT($E279,4)&amp;"/"&amp;MID($E279,6,2))</f>
        <v/>
      </c>
      <c r="G279">
        <f>IF(OR($E279="",$E279="نامعتبر",Sync!$Y276=""),"",Sync!$Y276)</f>
        <v/>
      </c>
      <c r="H279">
        <f>IF($G279="","",IF(Sync!$X276="","",Sync!$X276))</f>
        <v/>
      </c>
      <c r="I279">
        <f>IF($G279="","",IFERROR(VLOOKUP(Sync!$X276,OpTbl,3,0),""))</f>
        <v/>
      </c>
      <c r="J279">
        <f>IF(OR($G279="",Sync!$Z276=""),"",Sync!$Z276)</f>
        <v/>
      </c>
      <c r="K279">
        <f>IF(OR($G279="",Sync!$AA276=""),"",Sync!$AA276)</f>
        <v/>
      </c>
      <c r="L279">
        <f>IF($G279="",0,IF(Sync!$AB276="",0,Sync!$AB276))</f>
        <v/>
      </c>
      <c r="M279">
        <f>IF($G279="",0,IF(Sync!$AC276="",0,Sync!$AC276))</f>
        <v/>
      </c>
      <c r="N279">
        <f>IF($G279="","",IF($H279="مرجوعی خرید",-1,1)*($L279-$M279*IFERROR(VLOOKUP("P01",ParamTbl,3,0),1.5))*(1-IF($I279="خرید",IFERROR(VLOOKUP("P02",ParamTbl,3,0),1),0)/100))</f>
        <v/>
      </c>
      <c r="O279">
        <f>IF($G279="",0,IF($H279="مرجوعی خرید",-1,1)*IF(Sync!$AD276="",0,Sync!$AD276))</f>
        <v/>
      </c>
      <c r="P279">
        <f>IF(OR($G279="",Sync!$W276=""),"",Sync!$W276)</f>
        <v/>
      </c>
      <c r="Q279">
        <f>IF(OR($G279="",Sync!$AE276=""),"",Sync!$AE276)</f>
        <v/>
      </c>
      <c r="R279">
        <f>IF($G279="","",IF(Sync!$V276="","0000",IF(AND(ISNUMBER(Sync!$V276),Sync!$V276&gt;=0,Sync!$V276&lt;1),RIGHT("00"&amp;HOUR(Sync!$V276),2)&amp;RIGHT("00"&amp;MINUTE(Sync!$V276),2),IFERROR(RIGHT("00"&amp;VALUE(LEFT(Sync!$V276,FIND(":",Sync!$V276)-1)),2)&amp;RIGHT("00"&amp;VALUE(MID(Sync!$V276,FIND(":",Sync!$V276)+1,2)),2),"0000"))))</f>
        <v/>
      </c>
    </row>
    <row r="280">
      <c r="A280">
        <f>IF(Sync!$U277="","",Sync!$U277)</f>
        <v/>
      </c>
      <c r="B280">
        <f>IF($A280="","",IF(ISNUMBER($A280),IF(AND($A280&gt;=10000101,$A280&lt;=99991231),INT($A280/10000),""),IFERROR(VALUE(TRIM(LEFT($A280,FIND("/",$A280)-1))),"")))</f>
        <v/>
      </c>
      <c r="C280">
        <f>IF(OR($A280="",$B280=""),"",IF(ISNUMBER($A280),INT(MOD($A280,10000)/100),IFERROR(VALUE(TRIM(LEFT(MID($A280,FIND("/",$A280)+1,20),FIND("/",MID($A280,FIND("/",$A280)+1,20))-1))),"")))</f>
        <v/>
      </c>
      <c r="D280">
        <f>IF(OR($A280="",$B280=""),"",IF(ISNUMBER($A280),MOD($A280,100),IFERROR(VALUE(TRIM(MID(MID($A280,FIND("/",$A280)+1,20),FIND("/",MID($A280,FIND("/",$A280)+1,20))+1,20))),"")))</f>
        <v/>
      </c>
      <c r="E280">
        <f>IF($A280="","",IF(OR($B280="",$C280="",$D280="",$B280&lt;1300,$B280&gt;1500,$C280&lt;1,$C280&gt;12,$D280&lt;1,$D280&gt;31),"نامعتبر",RIGHT("0000"&amp;$B280,4)&amp;"/"&amp;RIGHT("00"&amp;$C280,2)&amp;"/"&amp;RIGHT("00"&amp;$D280,2)))</f>
        <v/>
      </c>
      <c r="F280">
        <f>IF(OR($E280="",$E280="نامعتبر"),"",LEFT($E280,4)&amp;"/"&amp;MID($E280,6,2))</f>
        <v/>
      </c>
      <c r="G280">
        <f>IF(OR($E280="",$E280="نامعتبر",Sync!$Y277=""),"",Sync!$Y277)</f>
        <v/>
      </c>
      <c r="H280">
        <f>IF($G280="","",IF(Sync!$X277="","",Sync!$X277))</f>
        <v/>
      </c>
      <c r="I280">
        <f>IF($G280="","",IFERROR(VLOOKUP(Sync!$X277,OpTbl,3,0),""))</f>
        <v/>
      </c>
      <c r="J280">
        <f>IF(OR($G280="",Sync!$Z277=""),"",Sync!$Z277)</f>
        <v/>
      </c>
      <c r="K280">
        <f>IF(OR($G280="",Sync!$AA277=""),"",Sync!$AA277)</f>
        <v/>
      </c>
      <c r="L280">
        <f>IF($G280="",0,IF(Sync!$AB277="",0,Sync!$AB277))</f>
        <v/>
      </c>
      <c r="M280">
        <f>IF($G280="",0,IF(Sync!$AC277="",0,Sync!$AC277))</f>
        <v/>
      </c>
      <c r="N280">
        <f>IF($G280="","",IF($H280="مرجوعی خرید",-1,1)*($L280-$M280*IFERROR(VLOOKUP("P01",ParamTbl,3,0),1.5))*(1-IF($I280="خرید",IFERROR(VLOOKUP("P02",ParamTbl,3,0),1),0)/100))</f>
        <v/>
      </c>
      <c r="O280">
        <f>IF($G280="",0,IF($H280="مرجوعی خرید",-1,1)*IF(Sync!$AD277="",0,Sync!$AD277))</f>
        <v/>
      </c>
      <c r="P280">
        <f>IF(OR($G280="",Sync!$W277=""),"",Sync!$W277)</f>
        <v/>
      </c>
      <c r="Q280">
        <f>IF(OR($G280="",Sync!$AE277=""),"",Sync!$AE277)</f>
        <v/>
      </c>
      <c r="R280">
        <f>IF($G280="","",IF(Sync!$V277="","0000",IF(AND(ISNUMBER(Sync!$V277),Sync!$V277&gt;=0,Sync!$V277&lt;1),RIGHT("00"&amp;HOUR(Sync!$V277),2)&amp;RIGHT("00"&amp;MINUTE(Sync!$V277),2),IFERROR(RIGHT("00"&amp;VALUE(LEFT(Sync!$V277,FIND(":",Sync!$V277)-1)),2)&amp;RIGHT("00"&amp;VALUE(MID(Sync!$V277,FIND(":",Sync!$V277)+1,2)),2),"0000"))))</f>
        <v/>
      </c>
    </row>
    <row r="281">
      <c r="A281">
        <f>IF(Sync!$U278="","",Sync!$U278)</f>
        <v/>
      </c>
      <c r="B281">
        <f>IF($A281="","",IF(ISNUMBER($A281),IF(AND($A281&gt;=10000101,$A281&lt;=99991231),INT($A281/10000),""),IFERROR(VALUE(TRIM(LEFT($A281,FIND("/",$A281)-1))),"")))</f>
        <v/>
      </c>
      <c r="C281">
        <f>IF(OR($A281="",$B281=""),"",IF(ISNUMBER($A281),INT(MOD($A281,10000)/100),IFERROR(VALUE(TRIM(LEFT(MID($A281,FIND("/",$A281)+1,20),FIND("/",MID($A281,FIND("/",$A281)+1,20))-1))),"")))</f>
        <v/>
      </c>
      <c r="D281">
        <f>IF(OR($A281="",$B281=""),"",IF(ISNUMBER($A281),MOD($A281,100),IFERROR(VALUE(TRIM(MID(MID($A281,FIND("/",$A281)+1,20),FIND("/",MID($A281,FIND("/",$A281)+1,20))+1,20))),"")))</f>
        <v/>
      </c>
      <c r="E281">
        <f>IF($A281="","",IF(OR($B281="",$C281="",$D281="",$B281&lt;1300,$B281&gt;1500,$C281&lt;1,$C281&gt;12,$D281&lt;1,$D281&gt;31),"نامعتبر",RIGHT("0000"&amp;$B281,4)&amp;"/"&amp;RIGHT("00"&amp;$C281,2)&amp;"/"&amp;RIGHT("00"&amp;$D281,2)))</f>
        <v/>
      </c>
      <c r="F281">
        <f>IF(OR($E281="",$E281="نامعتبر"),"",LEFT($E281,4)&amp;"/"&amp;MID($E281,6,2))</f>
        <v/>
      </c>
      <c r="G281">
        <f>IF(OR($E281="",$E281="نامعتبر",Sync!$Y278=""),"",Sync!$Y278)</f>
        <v/>
      </c>
      <c r="H281">
        <f>IF($G281="","",IF(Sync!$X278="","",Sync!$X278))</f>
        <v/>
      </c>
      <c r="I281">
        <f>IF($G281="","",IFERROR(VLOOKUP(Sync!$X278,OpTbl,3,0),""))</f>
        <v/>
      </c>
      <c r="J281">
        <f>IF(OR($G281="",Sync!$Z278=""),"",Sync!$Z278)</f>
        <v/>
      </c>
      <c r="K281">
        <f>IF(OR($G281="",Sync!$AA278=""),"",Sync!$AA278)</f>
        <v/>
      </c>
      <c r="L281">
        <f>IF($G281="",0,IF(Sync!$AB278="",0,Sync!$AB278))</f>
        <v/>
      </c>
      <c r="M281">
        <f>IF($G281="",0,IF(Sync!$AC278="",0,Sync!$AC278))</f>
        <v/>
      </c>
      <c r="N281">
        <f>IF($G281="","",IF($H281="مرجوعی خرید",-1,1)*($L281-$M281*IFERROR(VLOOKUP("P01",ParamTbl,3,0),1.5))*(1-IF($I281="خرید",IFERROR(VLOOKUP("P02",ParamTbl,3,0),1),0)/100))</f>
        <v/>
      </c>
      <c r="O281">
        <f>IF($G281="",0,IF($H281="مرجوعی خرید",-1,1)*IF(Sync!$AD278="",0,Sync!$AD278))</f>
        <v/>
      </c>
      <c r="P281">
        <f>IF(OR($G281="",Sync!$W278=""),"",Sync!$W278)</f>
        <v/>
      </c>
      <c r="Q281">
        <f>IF(OR($G281="",Sync!$AE278=""),"",Sync!$AE278)</f>
        <v/>
      </c>
      <c r="R281">
        <f>IF($G281="","",IF(Sync!$V278="","0000",IF(AND(ISNUMBER(Sync!$V278),Sync!$V278&gt;=0,Sync!$V278&lt;1),RIGHT("00"&amp;HOUR(Sync!$V278),2)&amp;RIGHT("00"&amp;MINUTE(Sync!$V278),2),IFERROR(RIGHT("00"&amp;VALUE(LEFT(Sync!$V278,FIND(":",Sync!$V278)-1)),2)&amp;RIGHT("00"&amp;VALUE(MID(Sync!$V278,FIND(":",Sync!$V278)+1,2)),2),"0000"))))</f>
        <v/>
      </c>
    </row>
    <row r="282">
      <c r="A282">
        <f>IF(Sync!$U279="","",Sync!$U279)</f>
        <v/>
      </c>
      <c r="B282">
        <f>IF($A282="","",IF(ISNUMBER($A282),IF(AND($A282&gt;=10000101,$A282&lt;=99991231),INT($A282/10000),""),IFERROR(VALUE(TRIM(LEFT($A282,FIND("/",$A282)-1))),"")))</f>
        <v/>
      </c>
      <c r="C282">
        <f>IF(OR($A282="",$B282=""),"",IF(ISNUMBER($A282),INT(MOD($A282,10000)/100),IFERROR(VALUE(TRIM(LEFT(MID($A282,FIND("/",$A282)+1,20),FIND("/",MID($A282,FIND("/",$A282)+1,20))-1))),"")))</f>
        <v/>
      </c>
      <c r="D282">
        <f>IF(OR($A282="",$B282=""),"",IF(ISNUMBER($A282),MOD($A282,100),IFERROR(VALUE(TRIM(MID(MID($A282,FIND("/",$A282)+1,20),FIND("/",MID($A282,FIND("/",$A282)+1,20))+1,20))),"")))</f>
        <v/>
      </c>
      <c r="E282">
        <f>IF($A282="","",IF(OR($B282="",$C282="",$D282="",$B282&lt;1300,$B282&gt;1500,$C282&lt;1,$C282&gt;12,$D282&lt;1,$D282&gt;31),"نامعتبر",RIGHT("0000"&amp;$B282,4)&amp;"/"&amp;RIGHT("00"&amp;$C282,2)&amp;"/"&amp;RIGHT("00"&amp;$D282,2)))</f>
        <v/>
      </c>
      <c r="F282">
        <f>IF(OR($E282="",$E282="نامعتبر"),"",LEFT($E282,4)&amp;"/"&amp;MID($E282,6,2))</f>
        <v/>
      </c>
      <c r="G282">
        <f>IF(OR($E282="",$E282="نامعتبر",Sync!$Y279=""),"",Sync!$Y279)</f>
        <v/>
      </c>
      <c r="H282">
        <f>IF($G282="","",IF(Sync!$X279="","",Sync!$X279))</f>
        <v/>
      </c>
      <c r="I282">
        <f>IF($G282="","",IFERROR(VLOOKUP(Sync!$X279,OpTbl,3,0),""))</f>
        <v/>
      </c>
      <c r="J282">
        <f>IF(OR($G282="",Sync!$Z279=""),"",Sync!$Z279)</f>
        <v/>
      </c>
      <c r="K282">
        <f>IF(OR($G282="",Sync!$AA279=""),"",Sync!$AA279)</f>
        <v/>
      </c>
      <c r="L282">
        <f>IF($G282="",0,IF(Sync!$AB279="",0,Sync!$AB279))</f>
        <v/>
      </c>
      <c r="M282">
        <f>IF($G282="",0,IF(Sync!$AC279="",0,Sync!$AC279))</f>
        <v/>
      </c>
      <c r="N282">
        <f>IF($G282="","",IF($H282="مرجوعی خرید",-1,1)*($L282-$M282*IFERROR(VLOOKUP("P01",ParamTbl,3,0),1.5))*(1-IF($I282="خرید",IFERROR(VLOOKUP("P02",ParamTbl,3,0),1),0)/100))</f>
        <v/>
      </c>
      <c r="O282">
        <f>IF($G282="",0,IF($H282="مرجوعی خرید",-1,1)*IF(Sync!$AD279="",0,Sync!$AD279))</f>
        <v/>
      </c>
      <c r="P282">
        <f>IF(OR($G282="",Sync!$W279=""),"",Sync!$W279)</f>
        <v/>
      </c>
      <c r="Q282">
        <f>IF(OR($G282="",Sync!$AE279=""),"",Sync!$AE279)</f>
        <v/>
      </c>
      <c r="R282">
        <f>IF($G282="","",IF(Sync!$V279="","0000",IF(AND(ISNUMBER(Sync!$V279),Sync!$V279&gt;=0,Sync!$V279&lt;1),RIGHT("00"&amp;HOUR(Sync!$V279),2)&amp;RIGHT("00"&amp;MINUTE(Sync!$V279),2),IFERROR(RIGHT("00"&amp;VALUE(LEFT(Sync!$V279,FIND(":",Sync!$V279)-1)),2)&amp;RIGHT("00"&amp;VALUE(MID(Sync!$V279,FIND(":",Sync!$V279)+1,2)),2),"0000"))))</f>
        <v/>
      </c>
    </row>
    <row r="283">
      <c r="A283">
        <f>IF(Sync!$U280="","",Sync!$U280)</f>
        <v/>
      </c>
      <c r="B283">
        <f>IF($A283="","",IF(ISNUMBER($A283),IF(AND($A283&gt;=10000101,$A283&lt;=99991231),INT($A283/10000),""),IFERROR(VALUE(TRIM(LEFT($A283,FIND("/",$A283)-1))),"")))</f>
        <v/>
      </c>
      <c r="C283">
        <f>IF(OR($A283="",$B283=""),"",IF(ISNUMBER($A283),INT(MOD($A283,10000)/100),IFERROR(VALUE(TRIM(LEFT(MID($A283,FIND("/",$A283)+1,20),FIND("/",MID($A283,FIND("/",$A283)+1,20))-1))),"")))</f>
        <v/>
      </c>
      <c r="D283">
        <f>IF(OR($A283="",$B283=""),"",IF(ISNUMBER($A283),MOD($A283,100),IFERROR(VALUE(TRIM(MID(MID($A283,FIND("/",$A283)+1,20),FIND("/",MID($A283,FIND("/",$A283)+1,20))+1,20))),"")))</f>
        <v/>
      </c>
      <c r="E283">
        <f>IF($A283="","",IF(OR($B283="",$C283="",$D283="",$B283&lt;1300,$B283&gt;1500,$C283&lt;1,$C283&gt;12,$D283&lt;1,$D283&gt;31),"نامعتبر",RIGHT("0000"&amp;$B283,4)&amp;"/"&amp;RIGHT("00"&amp;$C283,2)&amp;"/"&amp;RIGHT("00"&amp;$D283,2)))</f>
        <v/>
      </c>
      <c r="F283">
        <f>IF(OR($E283="",$E283="نامعتبر"),"",LEFT($E283,4)&amp;"/"&amp;MID($E283,6,2))</f>
        <v/>
      </c>
      <c r="G283">
        <f>IF(OR($E283="",$E283="نامعتبر",Sync!$Y280=""),"",Sync!$Y280)</f>
        <v/>
      </c>
      <c r="H283">
        <f>IF($G283="","",IF(Sync!$X280="","",Sync!$X280))</f>
        <v/>
      </c>
      <c r="I283">
        <f>IF($G283="","",IFERROR(VLOOKUP(Sync!$X280,OpTbl,3,0),""))</f>
        <v/>
      </c>
      <c r="J283">
        <f>IF(OR($G283="",Sync!$Z280=""),"",Sync!$Z280)</f>
        <v/>
      </c>
      <c r="K283">
        <f>IF(OR($G283="",Sync!$AA280=""),"",Sync!$AA280)</f>
        <v/>
      </c>
      <c r="L283">
        <f>IF($G283="",0,IF(Sync!$AB280="",0,Sync!$AB280))</f>
        <v/>
      </c>
      <c r="M283">
        <f>IF($G283="",0,IF(Sync!$AC280="",0,Sync!$AC280))</f>
        <v/>
      </c>
      <c r="N283">
        <f>IF($G283="","",IF($H283="مرجوعی خرید",-1,1)*($L283-$M283*IFERROR(VLOOKUP("P01",ParamTbl,3,0),1.5))*(1-IF($I283="خرید",IFERROR(VLOOKUP("P02",ParamTbl,3,0),1),0)/100))</f>
        <v/>
      </c>
      <c r="O283">
        <f>IF($G283="",0,IF($H283="مرجوعی خرید",-1,1)*IF(Sync!$AD280="",0,Sync!$AD280))</f>
        <v/>
      </c>
      <c r="P283">
        <f>IF(OR($G283="",Sync!$W280=""),"",Sync!$W280)</f>
        <v/>
      </c>
      <c r="Q283">
        <f>IF(OR($G283="",Sync!$AE280=""),"",Sync!$AE280)</f>
        <v/>
      </c>
      <c r="R283">
        <f>IF($G283="","",IF(Sync!$V280="","0000",IF(AND(ISNUMBER(Sync!$V280),Sync!$V280&gt;=0,Sync!$V280&lt;1),RIGHT("00"&amp;HOUR(Sync!$V280),2)&amp;RIGHT("00"&amp;MINUTE(Sync!$V280),2),IFERROR(RIGHT("00"&amp;VALUE(LEFT(Sync!$V280,FIND(":",Sync!$V280)-1)),2)&amp;RIGHT("00"&amp;VALUE(MID(Sync!$V280,FIND(":",Sync!$V280)+1,2)),2),"0000"))))</f>
        <v/>
      </c>
    </row>
    <row r="284">
      <c r="A284">
        <f>IF(Sync!$U281="","",Sync!$U281)</f>
        <v/>
      </c>
      <c r="B284">
        <f>IF($A284="","",IF(ISNUMBER($A284),IF(AND($A284&gt;=10000101,$A284&lt;=99991231),INT($A284/10000),""),IFERROR(VALUE(TRIM(LEFT($A284,FIND("/",$A284)-1))),"")))</f>
        <v/>
      </c>
      <c r="C284">
        <f>IF(OR($A284="",$B284=""),"",IF(ISNUMBER($A284),INT(MOD($A284,10000)/100),IFERROR(VALUE(TRIM(LEFT(MID($A284,FIND("/",$A284)+1,20),FIND("/",MID($A284,FIND("/",$A284)+1,20))-1))),"")))</f>
        <v/>
      </c>
      <c r="D284">
        <f>IF(OR($A284="",$B284=""),"",IF(ISNUMBER($A284),MOD($A284,100),IFERROR(VALUE(TRIM(MID(MID($A284,FIND("/",$A284)+1,20),FIND("/",MID($A284,FIND("/",$A284)+1,20))+1,20))),"")))</f>
        <v/>
      </c>
      <c r="E284">
        <f>IF($A284="","",IF(OR($B284="",$C284="",$D284="",$B284&lt;1300,$B284&gt;1500,$C284&lt;1,$C284&gt;12,$D284&lt;1,$D284&gt;31),"نامعتبر",RIGHT("0000"&amp;$B284,4)&amp;"/"&amp;RIGHT("00"&amp;$C284,2)&amp;"/"&amp;RIGHT("00"&amp;$D284,2)))</f>
        <v/>
      </c>
      <c r="F284">
        <f>IF(OR($E284="",$E284="نامعتبر"),"",LEFT($E284,4)&amp;"/"&amp;MID($E284,6,2))</f>
        <v/>
      </c>
      <c r="G284">
        <f>IF(OR($E284="",$E284="نامعتبر",Sync!$Y281=""),"",Sync!$Y281)</f>
        <v/>
      </c>
      <c r="H284">
        <f>IF($G284="","",IF(Sync!$X281="","",Sync!$X281))</f>
        <v/>
      </c>
      <c r="I284">
        <f>IF($G284="","",IFERROR(VLOOKUP(Sync!$X281,OpTbl,3,0),""))</f>
        <v/>
      </c>
      <c r="J284">
        <f>IF(OR($G284="",Sync!$Z281=""),"",Sync!$Z281)</f>
        <v/>
      </c>
      <c r="K284">
        <f>IF(OR($G284="",Sync!$AA281=""),"",Sync!$AA281)</f>
        <v/>
      </c>
      <c r="L284">
        <f>IF($G284="",0,IF(Sync!$AB281="",0,Sync!$AB281))</f>
        <v/>
      </c>
      <c r="M284">
        <f>IF($G284="",0,IF(Sync!$AC281="",0,Sync!$AC281))</f>
        <v/>
      </c>
      <c r="N284">
        <f>IF($G284="","",IF($H284="مرجوعی خرید",-1,1)*($L284-$M284*IFERROR(VLOOKUP("P01",ParamTbl,3,0),1.5))*(1-IF($I284="خرید",IFERROR(VLOOKUP("P02",ParamTbl,3,0),1),0)/100))</f>
        <v/>
      </c>
      <c r="O284">
        <f>IF($G284="",0,IF($H284="مرجوعی خرید",-1,1)*IF(Sync!$AD281="",0,Sync!$AD281))</f>
        <v/>
      </c>
      <c r="P284">
        <f>IF(OR($G284="",Sync!$W281=""),"",Sync!$W281)</f>
        <v/>
      </c>
      <c r="Q284">
        <f>IF(OR($G284="",Sync!$AE281=""),"",Sync!$AE281)</f>
        <v/>
      </c>
      <c r="R284">
        <f>IF($G284="","",IF(Sync!$V281="","0000",IF(AND(ISNUMBER(Sync!$V281),Sync!$V281&gt;=0,Sync!$V281&lt;1),RIGHT("00"&amp;HOUR(Sync!$V281),2)&amp;RIGHT("00"&amp;MINUTE(Sync!$V281),2),IFERROR(RIGHT("00"&amp;VALUE(LEFT(Sync!$V281,FIND(":",Sync!$V281)-1)),2)&amp;RIGHT("00"&amp;VALUE(MID(Sync!$V281,FIND(":",Sync!$V281)+1,2)),2),"0000"))))</f>
        <v/>
      </c>
    </row>
    <row r="285">
      <c r="A285">
        <f>IF(Sync!$U282="","",Sync!$U282)</f>
        <v/>
      </c>
      <c r="B285">
        <f>IF($A285="","",IF(ISNUMBER($A285),IF(AND($A285&gt;=10000101,$A285&lt;=99991231),INT($A285/10000),""),IFERROR(VALUE(TRIM(LEFT($A285,FIND("/",$A285)-1))),"")))</f>
        <v/>
      </c>
      <c r="C285">
        <f>IF(OR($A285="",$B285=""),"",IF(ISNUMBER($A285),INT(MOD($A285,10000)/100),IFERROR(VALUE(TRIM(LEFT(MID($A285,FIND("/",$A285)+1,20),FIND("/",MID($A285,FIND("/",$A285)+1,20))-1))),"")))</f>
        <v/>
      </c>
      <c r="D285">
        <f>IF(OR($A285="",$B285=""),"",IF(ISNUMBER($A285),MOD($A285,100),IFERROR(VALUE(TRIM(MID(MID($A285,FIND("/",$A285)+1,20),FIND("/",MID($A285,FIND("/",$A285)+1,20))+1,20))),"")))</f>
        <v/>
      </c>
      <c r="E285">
        <f>IF($A285="","",IF(OR($B285="",$C285="",$D285="",$B285&lt;1300,$B285&gt;1500,$C285&lt;1,$C285&gt;12,$D285&lt;1,$D285&gt;31),"نامعتبر",RIGHT("0000"&amp;$B285,4)&amp;"/"&amp;RIGHT("00"&amp;$C285,2)&amp;"/"&amp;RIGHT("00"&amp;$D285,2)))</f>
        <v/>
      </c>
      <c r="F285">
        <f>IF(OR($E285="",$E285="نامعتبر"),"",LEFT($E285,4)&amp;"/"&amp;MID($E285,6,2))</f>
        <v/>
      </c>
      <c r="G285">
        <f>IF(OR($E285="",$E285="نامعتبر",Sync!$Y282=""),"",Sync!$Y282)</f>
        <v/>
      </c>
      <c r="H285">
        <f>IF($G285="","",IF(Sync!$X282="","",Sync!$X282))</f>
        <v/>
      </c>
      <c r="I285">
        <f>IF($G285="","",IFERROR(VLOOKUP(Sync!$X282,OpTbl,3,0),""))</f>
        <v/>
      </c>
      <c r="J285">
        <f>IF(OR($G285="",Sync!$Z282=""),"",Sync!$Z282)</f>
        <v/>
      </c>
      <c r="K285">
        <f>IF(OR($G285="",Sync!$AA282=""),"",Sync!$AA282)</f>
        <v/>
      </c>
      <c r="L285">
        <f>IF($G285="",0,IF(Sync!$AB282="",0,Sync!$AB282))</f>
        <v/>
      </c>
      <c r="M285">
        <f>IF($G285="",0,IF(Sync!$AC282="",0,Sync!$AC282))</f>
        <v/>
      </c>
      <c r="N285">
        <f>IF($G285="","",IF($H285="مرجوعی خرید",-1,1)*($L285-$M285*IFERROR(VLOOKUP("P01",ParamTbl,3,0),1.5))*(1-IF($I285="خرید",IFERROR(VLOOKUP("P02",ParamTbl,3,0),1),0)/100))</f>
        <v/>
      </c>
      <c r="O285">
        <f>IF($G285="",0,IF($H285="مرجوعی خرید",-1,1)*IF(Sync!$AD282="",0,Sync!$AD282))</f>
        <v/>
      </c>
      <c r="P285">
        <f>IF(OR($G285="",Sync!$W282=""),"",Sync!$W282)</f>
        <v/>
      </c>
      <c r="Q285">
        <f>IF(OR($G285="",Sync!$AE282=""),"",Sync!$AE282)</f>
        <v/>
      </c>
      <c r="R285">
        <f>IF($G285="","",IF(Sync!$V282="","0000",IF(AND(ISNUMBER(Sync!$V282),Sync!$V282&gt;=0,Sync!$V282&lt;1),RIGHT("00"&amp;HOUR(Sync!$V282),2)&amp;RIGHT("00"&amp;MINUTE(Sync!$V282),2),IFERROR(RIGHT("00"&amp;VALUE(LEFT(Sync!$V282,FIND(":",Sync!$V282)-1)),2)&amp;RIGHT("00"&amp;VALUE(MID(Sync!$V282,FIND(":",Sync!$V282)+1,2)),2),"0000"))))</f>
        <v/>
      </c>
    </row>
    <row r="286">
      <c r="A286">
        <f>IF(Sync!$U283="","",Sync!$U283)</f>
        <v/>
      </c>
      <c r="B286">
        <f>IF($A286="","",IF(ISNUMBER($A286),IF(AND($A286&gt;=10000101,$A286&lt;=99991231),INT($A286/10000),""),IFERROR(VALUE(TRIM(LEFT($A286,FIND("/",$A286)-1))),"")))</f>
        <v/>
      </c>
      <c r="C286">
        <f>IF(OR($A286="",$B286=""),"",IF(ISNUMBER($A286),INT(MOD($A286,10000)/100),IFERROR(VALUE(TRIM(LEFT(MID($A286,FIND("/",$A286)+1,20),FIND("/",MID($A286,FIND("/",$A286)+1,20))-1))),"")))</f>
        <v/>
      </c>
      <c r="D286">
        <f>IF(OR($A286="",$B286=""),"",IF(ISNUMBER($A286),MOD($A286,100),IFERROR(VALUE(TRIM(MID(MID($A286,FIND("/",$A286)+1,20),FIND("/",MID($A286,FIND("/",$A286)+1,20))+1,20))),"")))</f>
        <v/>
      </c>
      <c r="E286">
        <f>IF($A286="","",IF(OR($B286="",$C286="",$D286="",$B286&lt;1300,$B286&gt;1500,$C286&lt;1,$C286&gt;12,$D286&lt;1,$D286&gt;31),"نامعتبر",RIGHT("0000"&amp;$B286,4)&amp;"/"&amp;RIGHT("00"&amp;$C286,2)&amp;"/"&amp;RIGHT("00"&amp;$D286,2)))</f>
        <v/>
      </c>
      <c r="F286">
        <f>IF(OR($E286="",$E286="نامعتبر"),"",LEFT($E286,4)&amp;"/"&amp;MID($E286,6,2))</f>
        <v/>
      </c>
      <c r="G286">
        <f>IF(OR($E286="",$E286="نامعتبر",Sync!$Y283=""),"",Sync!$Y283)</f>
        <v/>
      </c>
      <c r="H286">
        <f>IF($G286="","",IF(Sync!$X283="","",Sync!$X283))</f>
        <v/>
      </c>
      <c r="I286">
        <f>IF($G286="","",IFERROR(VLOOKUP(Sync!$X283,OpTbl,3,0),""))</f>
        <v/>
      </c>
      <c r="J286">
        <f>IF(OR($G286="",Sync!$Z283=""),"",Sync!$Z283)</f>
        <v/>
      </c>
      <c r="K286">
        <f>IF(OR($G286="",Sync!$AA283=""),"",Sync!$AA283)</f>
        <v/>
      </c>
      <c r="L286">
        <f>IF($G286="",0,IF(Sync!$AB283="",0,Sync!$AB283))</f>
        <v/>
      </c>
      <c r="M286">
        <f>IF($G286="",0,IF(Sync!$AC283="",0,Sync!$AC283))</f>
        <v/>
      </c>
      <c r="N286">
        <f>IF($G286="","",IF($H286="مرجوعی خرید",-1,1)*($L286-$M286*IFERROR(VLOOKUP("P01",ParamTbl,3,0),1.5))*(1-IF($I286="خرید",IFERROR(VLOOKUP("P02",ParamTbl,3,0),1),0)/100))</f>
        <v/>
      </c>
      <c r="O286">
        <f>IF($G286="",0,IF($H286="مرجوعی خرید",-1,1)*IF(Sync!$AD283="",0,Sync!$AD283))</f>
        <v/>
      </c>
      <c r="P286">
        <f>IF(OR($G286="",Sync!$W283=""),"",Sync!$W283)</f>
        <v/>
      </c>
      <c r="Q286">
        <f>IF(OR($G286="",Sync!$AE283=""),"",Sync!$AE283)</f>
        <v/>
      </c>
      <c r="R286">
        <f>IF($G286="","",IF(Sync!$V283="","0000",IF(AND(ISNUMBER(Sync!$V283),Sync!$V283&gt;=0,Sync!$V283&lt;1),RIGHT("00"&amp;HOUR(Sync!$V283),2)&amp;RIGHT("00"&amp;MINUTE(Sync!$V283),2),IFERROR(RIGHT("00"&amp;VALUE(LEFT(Sync!$V283,FIND(":",Sync!$V283)-1)),2)&amp;RIGHT("00"&amp;VALUE(MID(Sync!$V283,FIND(":",Sync!$V283)+1,2)),2),"0000"))))</f>
        <v/>
      </c>
    </row>
    <row r="287">
      <c r="A287">
        <f>IF(Sync!$U284="","",Sync!$U284)</f>
        <v/>
      </c>
      <c r="B287">
        <f>IF($A287="","",IF(ISNUMBER($A287),IF(AND($A287&gt;=10000101,$A287&lt;=99991231),INT($A287/10000),""),IFERROR(VALUE(TRIM(LEFT($A287,FIND("/",$A287)-1))),"")))</f>
        <v/>
      </c>
      <c r="C287">
        <f>IF(OR($A287="",$B287=""),"",IF(ISNUMBER($A287),INT(MOD($A287,10000)/100),IFERROR(VALUE(TRIM(LEFT(MID($A287,FIND("/",$A287)+1,20),FIND("/",MID($A287,FIND("/",$A287)+1,20))-1))),"")))</f>
        <v/>
      </c>
      <c r="D287">
        <f>IF(OR($A287="",$B287=""),"",IF(ISNUMBER($A287),MOD($A287,100),IFERROR(VALUE(TRIM(MID(MID($A287,FIND("/",$A287)+1,20),FIND("/",MID($A287,FIND("/",$A287)+1,20))+1,20))),"")))</f>
        <v/>
      </c>
      <c r="E287">
        <f>IF($A287="","",IF(OR($B287="",$C287="",$D287="",$B287&lt;1300,$B287&gt;1500,$C287&lt;1,$C287&gt;12,$D287&lt;1,$D287&gt;31),"نامعتبر",RIGHT("0000"&amp;$B287,4)&amp;"/"&amp;RIGHT("00"&amp;$C287,2)&amp;"/"&amp;RIGHT("00"&amp;$D287,2)))</f>
        <v/>
      </c>
      <c r="F287">
        <f>IF(OR($E287="",$E287="نامعتبر"),"",LEFT($E287,4)&amp;"/"&amp;MID($E287,6,2))</f>
        <v/>
      </c>
      <c r="G287">
        <f>IF(OR($E287="",$E287="نامعتبر",Sync!$Y284=""),"",Sync!$Y284)</f>
        <v/>
      </c>
      <c r="H287">
        <f>IF($G287="","",IF(Sync!$X284="","",Sync!$X284))</f>
        <v/>
      </c>
      <c r="I287">
        <f>IF($G287="","",IFERROR(VLOOKUP(Sync!$X284,OpTbl,3,0),""))</f>
        <v/>
      </c>
      <c r="J287">
        <f>IF(OR($G287="",Sync!$Z284=""),"",Sync!$Z284)</f>
        <v/>
      </c>
      <c r="K287">
        <f>IF(OR($G287="",Sync!$AA284=""),"",Sync!$AA284)</f>
        <v/>
      </c>
      <c r="L287">
        <f>IF($G287="",0,IF(Sync!$AB284="",0,Sync!$AB284))</f>
        <v/>
      </c>
      <c r="M287">
        <f>IF($G287="",0,IF(Sync!$AC284="",0,Sync!$AC284))</f>
        <v/>
      </c>
      <c r="N287">
        <f>IF($G287="","",IF($H287="مرجوعی خرید",-1,1)*($L287-$M287*IFERROR(VLOOKUP("P01",ParamTbl,3,0),1.5))*(1-IF($I287="خرید",IFERROR(VLOOKUP("P02",ParamTbl,3,0),1),0)/100))</f>
        <v/>
      </c>
      <c r="O287">
        <f>IF($G287="",0,IF($H287="مرجوعی خرید",-1,1)*IF(Sync!$AD284="",0,Sync!$AD284))</f>
        <v/>
      </c>
      <c r="P287">
        <f>IF(OR($G287="",Sync!$W284=""),"",Sync!$W284)</f>
        <v/>
      </c>
      <c r="Q287">
        <f>IF(OR($G287="",Sync!$AE284=""),"",Sync!$AE284)</f>
        <v/>
      </c>
      <c r="R287">
        <f>IF($G287="","",IF(Sync!$V284="","0000",IF(AND(ISNUMBER(Sync!$V284),Sync!$V284&gt;=0,Sync!$V284&lt;1),RIGHT("00"&amp;HOUR(Sync!$V284),2)&amp;RIGHT("00"&amp;MINUTE(Sync!$V284),2),IFERROR(RIGHT("00"&amp;VALUE(LEFT(Sync!$V284,FIND(":",Sync!$V284)-1)),2)&amp;RIGHT("00"&amp;VALUE(MID(Sync!$V284,FIND(":",Sync!$V284)+1,2)),2),"0000"))))</f>
        <v/>
      </c>
    </row>
    <row r="288">
      <c r="A288">
        <f>IF(Sync!$U285="","",Sync!$U285)</f>
        <v/>
      </c>
      <c r="B288">
        <f>IF($A288="","",IF(ISNUMBER($A288),IF(AND($A288&gt;=10000101,$A288&lt;=99991231),INT($A288/10000),""),IFERROR(VALUE(TRIM(LEFT($A288,FIND("/",$A288)-1))),"")))</f>
        <v/>
      </c>
      <c r="C288">
        <f>IF(OR($A288="",$B288=""),"",IF(ISNUMBER($A288),INT(MOD($A288,10000)/100),IFERROR(VALUE(TRIM(LEFT(MID($A288,FIND("/",$A288)+1,20),FIND("/",MID($A288,FIND("/",$A288)+1,20))-1))),"")))</f>
        <v/>
      </c>
      <c r="D288">
        <f>IF(OR($A288="",$B288=""),"",IF(ISNUMBER($A288),MOD($A288,100),IFERROR(VALUE(TRIM(MID(MID($A288,FIND("/",$A288)+1,20),FIND("/",MID($A288,FIND("/",$A288)+1,20))+1,20))),"")))</f>
        <v/>
      </c>
      <c r="E288">
        <f>IF($A288="","",IF(OR($B288="",$C288="",$D288="",$B288&lt;1300,$B288&gt;1500,$C288&lt;1,$C288&gt;12,$D288&lt;1,$D288&gt;31),"نامعتبر",RIGHT("0000"&amp;$B288,4)&amp;"/"&amp;RIGHT("00"&amp;$C288,2)&amp;"/"&amp;RIGHT("00"&amp;$D288,2)))</f>
        <v/>
      </c>
      <c r="F288">
        <f>IF(OR($E288="",$E288="نامعتبر"),"",LEFT($E288,4)&amp;"/"&amp;MID($E288,6,2))</f>
        <v/>
      </c>
      <c r="G288">
        <f>IF(OR($E288="",$E288="نامعتبر",Sync!$Y285=""),"",Sync!$Y285)</f>
        <v/>
      </c>
      <c r="H288">
        <f>IF($G288="","",IF(Sync!$X285="","",Sync!$X285))</f>
        <v/>
      </c>
      <c r="I288">
        <f>IF($G288="","",IFERROR(VLOOKUP(Sync!$X285,OpTbl,3,0),""))</f>
        <v/>
      </c>
      <c r="J288">
        <f>IF(OR($G288="",Sync!$Z285=""),"",Sync!$Z285)</f>
        <v/>
      </c>
      <c r="K288">
        <f>IF(OR($G288="",Sync!$AA285=""),"",Sync!$AA285)</f>
        <v/>
      </c>
      <c r="L288">
        <f>IF($G288="",0,IF(Sync!$AB285="",0,Sync!$AB285))</f>
        <v/>
      </c>
      <c r="M288">
        <f>IF($G288="",0,IF(Sync!$AC285="",0,Sync!$AC285))</f>
        <v/>
      </c>
      <c r="N288">
        <f>IF($G288="","",IF($H288="مرجوعی خرید",-1,1)*($L288-$M288*IFERROR(VLOOKUP("P01",ParamTbl,3,0),1.5))*(1-IF($I288="خرید",IFERROR(VLOOKUP("P02",ParamTbl,3,0),1),0)/100))</f>
        <v/>
      </c>
      <c r="O288">
        <f>IF($G288="",0,IF($H288="مرجوعی خرید",-1,1)*IF(Sync!$AD285="",0,Sync!$AD285))</f>
        <v/>
      </c>
      <c r="P288">
        <f>IF(OR($G288="",Sync!$W285=""),"",Sync!$W285)</f>
        <v/>
      </c>
      <c r="Q288">
        <f>IF(OR($G288="",Sync!$AE285=""),"",Sync!$AE285)</f>
        <v/>
      </c>
      <c r="R288">
        <f>IF($G288="","",IF(Sync!$V285="","0000",IF(AND(ISNUMBER(Sync!$V285),Sync!$V285&gt;=0,Sync!$V285&lt;1),RIGHT("00"&amp;HOUR(Sync!$V285),2)&amp;RIGHT("00"&amp;MINUTE(Sync!$V285),2),IFERROR(RIGHT("00"&amp;VALUE(LEFT(Sync!$V285,FIND(":",Sync!$V285)-1)),2)&amp;RIGHT("00"&amp;VALUE(MID(Sync!$V285,FIND(":",Sync!$V285)+1,2)),2),"0000"))))</f>
        <v/>
      </c>
    </row>
    <row r="289">
      <c r="A289">
        <f>IF(Sync!$U286="","",Sync!$U286)</f>
        <v/>
      </c>
      <c r="B289">
        <f>IF($A289="","",IF(ISNUMBER($A289),IF(AND($A289&gt;=10000101,$A289&lt;=99991231),INT($A289/10000),""),IFERROR(VALUE(TRIM(LEFT($A289,FIND("/",$A289)-1))),"")))</f>
        <v/>
      </c>
      <c r="C289">
        <f>IF(OR($A289="",$B289=""),"",IF(ISNUMBER($A289),INT(MOD($A289,10000)/100),IFERROR(VALUE(TRIM(LEFT(MID($A289,FIND("/",$A289)+1,20),FIND("/",MID($A289,FIND("/",$A289)+1,20))-1))),"")))</f>
        <v/>
      </c>
      <c r="D289">
        <f>IF(OR($A289="",$B289=""),"",IF(ISNUMBER($A289),MOD($A289,100),IFERROR(VALUE(TRIM(MID(MID($A289,FIND("/",$A289)+1,20),FIND("/",MID($A289,FIND("/",$A289)+1,20))+1,20))),"")))</f>
        <v/>
      </c>
      <c r="E289">
        <f>IF($A289="","",IF(OR($B289="",$C289="",$D289="",$B289&lt;1300,$B289&gt;1500,$C289&lt;1,$C289&gt;12,$D289&lt;1,$D289&gt;31),"نامعتبر",RIGHT("0000"&amp;$B289,4)&amp;"/"&amp;RIGHT("00"&amp;$C289,2)&amp;"/"&amp;RIGHT("00"&amp;$D289,2)))</f>
        <v/>
      </c>
      <c r="F289">
        <f>IF(OR($E289="",$E289="نامعتبر"),"",LEFT($E289,4)&amp;"/"&amp;MID($E289,6,2))</f>
        <v/>
      </c>
      <c r="G289">
        <f>IF(OR($E289="",$E289="نامعتبر",Sync!$Y286=""),"",Sync!$Y286)</f>
        <v/>
      </c>
      <c r="H289">
        <f>IF($G289="","",IF(Sync!$X286="","",Sync!$X286))</f>
        <v/>
      </c>
      <c r="I289">
        <f>IF($G289="","",IFERROR(VLOOKUP(Sync!$X286,OpTbl,3,0),""))</f>
        <v/>
      </c>
      <c r="J289">
        <f>IF(OR($G289="",Sync!$Z286=""),"",Sync!$Z286)</f>
        <v/>
      </c>
      <c r="K289">
        <f>IF(OR($G289="",Sync!$AA286=""),"",Sync!$AA286)</f>
        <v/>
      </c>
      <c r="L289">
        <f>IF($G289="",0,IF(Sync!$AB286="",0,Sync!$AB286))</f>
        <v/>
      </c>
      <c r="M289">
        <f>IF($G289="",0,IF(Sync!$AC286="",0,Sync!$AC286))</f>
        <v/>
      </c>
      <c r="N289">
        <f>IF($G289="","",IF($H289="مرجوعی خرید",-1,1)*($L289-$M289*IFERROR(VLOOKUP("P01",ParamTbl,3,0),1.5))*(1-IF($I289="خرید",IFERROR(VLOOKUP("P02",ParamTbl,3,0),1),0)/100))</f>
        <v/>
      </c>
      <c r="O289">
        <f>IF($G289="",0,IF($H289="مرجوعی خرید",-1,1)*IF(Sync!$AD286="",0,Sync!$AD286))</f>
        <v/>
      </c>
      <c r="P289">
        <f>IF(OR($G289="",Sync!$W286=""),"",Sync!$W286)</f>
        <v/>
      </c>
      <c r="Q289">
        <f>IF(OR($G289="",Sync!$AE286=""),"",Sync!$AE286)</f>
        <v/>
      </c>
      <c r="R289">
        <f>IF($G289="","",IF(Sync!$V286="","0000",IF(AND(ISNUMBER(Sync!$V286),Sync!$V286&gt;=0,Sync!$V286&lt;1),RIGHT("00"&amp;HOUR(Sync!$V286),2)&amp;RIGHT("00"&amp;MINUTE(Sync!$V286),2),IFERROR(RIGHT("00"&amp;VALUE(LEFT(Sync!$V286,FIND(":",Sync!$V286)-1)),2)&amp;RIGHT("00"&amp;VALUE(MID(Sync!$V286,FIND(":",Sync!$V286)+1,2)),2),"0000"))))</f>
        <v/>
      </c>
    </row>
    <row r="290">
      <c r="A290">
        <f>IF(Sync!$U287="","",Sync!$U287)</f>
        <v/>
      </c>
      <c r="B290">
        <f>IF($A290="","",IF(ISNUMBER($A290),IF(AND($A290&gt;=10000101,$A290&lt;=99991231),INT($A290/10000),""),IFERROR(VALUE(TRIM(LEFT($A290,FIND("/",$A290)-1))),"")))</f>
        <v/>
      </c>
      <c r="C290">
        <f>IF(OR($A290="",$B290=""),"",IF(ISNUMBER($A290),INT(MOD($A290,10000)/100),IFERROR(VALUE(TRIM(LEFT(MID($A290,FIND("/",$A290)+1,20),FIND("/",MID($A290,FIND("/",$A290)+1,20))-1))),"")))</f>
        <v/>
      </c>
      <c r="D290">
        <f>IF(OR($A290="",$B290=""),"",IF(ISNUMBER($A290),MOD($A290,100),IFERROR(VALUE(TRIM(MID(MID($A290,FIND("/",$A290)+1,20),FIND("/",MID($A290,FIND("/",$A290)+1,20))+1,20))),"")))</f>
        <v/>
      </c>
      <c r="E290">
        <f>IF($A290="","",IF(OR($B290="",$C290="",$D290="",$B290&lt;1300,$B290&gt;1500,$C290&lt;1,$C290&gt;12,$D290&lt;1,$D290&gt;31),"نامعتبر",RIGHT("0000"&amp;$B290,4)&amp;"/"&amp;RIGHT("00"&amp;$C290,2)&amp;"/"&amp;RIGHT("00"&amp;$D290,2)))</f>
        <v/>
      </c>
      <c r="F290">
        <f>IF(OR($E290="",$E290="نامعتبر"),"",LEFT($E290,4)&amp;"/"&amp;MID($E290,6,2))</f>
        <v/>
      </c>
      <c r="G290">
        <f>IF(OR($E290="",$E290="نامعتبر",Sync!$Y287=""),"",Sync!$Y287)</f>
        <v/>
      </c>
      <c r="H290">
        <f>IF($G290="","",IF(Sync!$X287="","",Sync!$X287))</f>
        <v/>
      </c>
      <c r="I290">
        <f>IF($G290="","",IFERROR(VLOOKUP(Sync!$X287,OpTbl,3,0),""))</f>
        <v/>
      </c>
      <c r="J290">
        <f>IF(OR($G290="",Sync!$Z287=""),"",Sync!$Z287)</f>
        <v/>
      </c>
      <c r="K290">
        <f>IF(OR($G290="",Sync!$AA287=""),"",Sync!$AA287)</f>
        <v/>
      </c>
      <c r="L290">
        <f>IF($G290="",0,IF(Sync!$AB287="",0,Sync!$AB287))</f>
        <v/>
      </c>
      <c r="M290">
        <f>IF($G290="",0,IF(Sync!$AC287="",0,Sync!$AC287))</f>
        <v/>
      </c>
      <c r="N290">
        <f>IF($G290="","",IF($H290="مرجوعی خرید",-1,1)*($L290-$M290*IFERROR(VLOOKUP("P01",ParamTbl,3,0),1.5))*(1-IF($I290="خرید",IFERROR(VLOOKUP("P02",ParamTbl,3,0),1),0)/100))</f>
        <v/>
      </c>
      <c r="O290">
        <f>IF($G290="",0,IF($H290="مرجوعی خرید",-1,1)*IF(Sync!$AD287="",0,Sync!$AD287))</f>
        <v/>
      </c>
      <c r="P290">
        <f>IF(OR($G290="",Sync!$W287=""),"",Sync!$W287)</f>
        <v/>
      </c>
      <c r="Q290">
        <f>IF(OR($G290="",Sync!$AE287=""),"",Sync!$AE287)</f>
        <v/>
      </c>
      <c r="R290">
        <f>IF($G290="","",IF(Sync!$V287="","0000",IF(AND(ISNUMBER(Sync!$V287),Sync!$V287&gt;=0,Sync!$V287&lt;1),RIGHT("00"&amp;HOUR(Sync!$V287),2)&amp;RIGHT("00"&amp;MINUTE(Sync!$V287),2),IFERROR(RIGHT("00"&amp;VALUE(LEFT(Sync!$V287,FIND(":",Sync!$V287)-1)),2)&amp;RIGHT("00"&amp;VALUE(MID(Sync!$V287,FIND(":",Sync!$V287)+1,2)),2),"0000"))))</f>
        <v/>
      </c>
    </row>
    <row r="291">
      <c r="A291">
        <f>IF(Sync!$U288="","",Sync!$U288)</f>
        <v/>
      </c>
      <c r="B291">
        <f>IF($A291="","",IF(ISNUMBER($A291),IF(AND($A291&gt;=10000101,$A291&lt;=99991231),INT($A291/10000),""),IFERROR(VALUE(TRIM(LEFT($A291,FIND("/",$A291)-1))),"")))</f>
        <v/>
      </c>
      <c r="C291">
        <f>IF(OR($A291="",$B291=""),"",IF(ISNUMBER($A291),INT(MOD($A291,10000)/100),IFERROR(VALUE(TRIM(LEFT(MID($A291,FIND("/",$A291)+1,20),FIND("/",MID($A291,FIND("/",$A291)+1,20))-1))),"")))</f>
        <v/>
      </c>
      <c r="D291">
        <f>IF(OR($A291="",$B291=""),"",IF(ISNUMBER($A291),MOD($A291,100),IFERROR(VALUE(TRIM(MID(MID($A291,FIND("/",$A291)+1,20),FIND("/",MID($A291,FIND("/",$A291)+1,20))+1,20))),"")))</f>
        <v/>
      </c>
      <c r="E291">
        <f>IF($A291="","",IF(OR($B291="",$C291="",$D291="",$B291&lt;1300,$B291&gt;1500,$C291&lt;1,$C291&gt;12,$D291&lt;1,$D291&gt;31),"نامعتبر",RIGHT("0000"&amp;$B291,4)&amp;"/"&amp;RIGHT("00"&amp;$C291,2)&amp;"/"&amp;RIGHT("00"&amp;$D291,2)))</f>
        <v/>
      </c>
      <c r="F291">
        <f>IF(OR($E291="",$E291="نامعتبر"),"",LEFT($E291,4)&amp;"/"&amp;MID($E291,6,2))</f>
        <v/>
      </c>
      <c r="G291">
        <f>IF(OR($E291="",$E291="نامعتبر",Sync!$Y288=""),"",Sync!$Y288)</f>
        <v/>
      </c>
      <c r="H291">
        <f>IF($G291="","",IF(Sync!$X288="","",Sync!$X288))</f>
        <v/>
      </c>
      <c r="I291">
        <f>IF($G291="","",IFERROR(VLOOKUP(Sync!$X288,OpTbl,3,0),""))</f>
        <v/>
      </c>
      <c r="J291">
        <f>IF(OR($G291="",Sync!$Z288=""),"",Sync!$Z288)</f>
        <v/>
      </c>
      <c r="K291">
        <f>IF(OR($G291="",Sync!$AA288=""),"",Sync!$AA288)</f>
        <v/>
      </c>
      <c r="L291">
        <f>IF($G291="",0,IF(Sync!$AB288="",0,Sync!$AB288))</f>
        <v/>
      </c>
      <c r="M291">
        <f>IF($G291="",0,IF(Sync!$AC288="",0,Sync!$AC288))</f>
        <v/>
      </c>
      <c r="N291">
        <f>IF($G291="","",IF($H291="مرجوعی خرید",-1,1)*($L291-$M291*IFERROR(VLOOKUP("P01",ParamTbl,3,0),1.5))*(1-IF($I291="خرید",IFERROR(VLOOKUP("P02",ParamTbl,3,0),1),0)/100))</f>
        <v/>
      </c>
      <c r="O291">
        <f>IF($G291="",0,IF($H291="مرجوعی خرید",-1,1)*IF(Sync!$AD288="",0,Sync!$AD288))</f>
        <v/>
      </c>
      <c r="P291">
        <f>IF(OR($G291="",Sync!$W288=""),"",Sync!$W288)</f>
        <v/>
      </c>
      <c r="Q291">
        <f>IF(OR($G291="",Sync!$AE288=""),"",Sync!$AE288)</f>
        <v/>
      </c>
      <c r="R291">
        <f>IF($G291="","",IF(Sync!$V288="","0000",IF(AND(ISNUMBER(Sync!$V288),Sync!$V288&gt;=0,Sync!$V288&lt;1),RIGHT("00"&amp;HOUR(Sync!$V288),2)&amp;RIGHT("00"&amp;MINUTE(Sync!$V288),2),IFERROR(RIGHT("00"&amp;VALUE(LEFT(Sync!$V288,FIND(":",Sync!$V288)-1)),2)&amp;RIGHT("00"&amp;VALUE(MID(Sync!$V288,FIND(":",Sync!$V288)+1,2)),2),"0000"))))</f>
        <v/>
      </c>
    </row>
    <row r="292">
      <c r="A292">
        <f>IF(Sync!$U289="","",Sync!$U289)</f>
        <v/>
      </c>
      <c r="B292">
        <f>IF($A292="","",IF(ISNUMBER($A292),IF(AND($A292&gt;=10000101,$A292&lt;=99991231),INT($A292/10000),""),IFERROR(VALUE(TRIM(LEFT($A292,FIND("/",$A292)-1))),"")))</f>
        <v/>
      </c>
      <c r="C292">
        <f>IF(OR($A292="",$B292=""),"",IF(ISNUMBER($A292),INT(MOD($A292,10000)/100),IFERROR(VALUE(TRIM(LEFT(MID($A292,FIND("/",$A292)+1,20),FIND("/",MID($A292,FIND("/",$A292)+1,20))-1))),"")))</f>
        <v/>
      </c>
      <c r="D292">
        <f>IF(OR($A292="",$B292=""),"",IF(ISNUMBER($A292),MOD($A292,100),IFERROR(VALUE(TRIM(MID(MID($A292,FIND("/",$A292)+1,20),FIND("/",MID($A292,FIND("/",$A292)+1,20))+1,20))),"")))</f>
        <v/>
      </c>
      <c r="E292">
        <f>IF($A292="","",IF(OR($B292="",$C292="",$D292="",$B292&lt;1300,$B292&gt;1500,$C292&lt;1,$C292&gt;12,$D292&lt;1,$D292&gt;31),"نامعتبر",RIGHT("0000"&amp;$B292,4)&amp;"/"&amp;RIGHT("00"&amp;$C292,2)&amp;"/"&amp;RIGHT("00"&amp;$D292,2)))</f>
        <v/>
      </c>
      <c r="F292">
        <f>IF(OR($E292="",$E292="نامعتبر"),"",LEFT($E292,4)&amp;"/"&amp;MID($E292,6,2))</f>
        <v/>
      </c>
      <c r="G292">
        <f>IF(OR($E292="",$E292="نامعتبر",Sync!$Y289=""),"",Sync!$Y289)</f>
        <v/>
      </c>
      <c r="H292">
        <f>IF($G292="","",IF(Sync!$X289="","",Sync!$X289))</f>
        <v/>
      </c>
      <c r="I292">
        <f>IF($G292="","",IFERROR(VLOOKUP(Sync!$X289,OpTbl,3,0),""))</f>
        <v/>
      </c>
      <c r="J292">
        <f>IF(OR($G292="",Sync!$Z289=""),"",Sync!$Z289)</f>
        <v/>
      </c>
      <c r="K292">
        <f>IF(OR($G292="",Sync!$AA289=""),"",Sync!$AA289)</f>
        <v/>
      </c>
      <c r="L292">
        <f>IF($G292="",0,IF(Sync!$AB289="",0,Sync!$AB289))</f>
        <v/>
      </c>
      <c r="M292">
        <f>IF($G292="",0,IF(Sync!$AC289="",0,Sync!$AC289))</f>
        <v/>
      </c>
      <c r="N292">
        <f>IF($G292="","",IF($H292="مرجوعی خرید",-1,1)*($L292-$M292*IFERROR(VLOOKUP("P01",ParamTbl,3,0),1.5))*(1-IF($I292="خرید",IFERROR(VLOOKUP("P02",ParamTbl,3,0),1),0)/100))</f>
        <v/>
      </c>
      <c r="O292">
        <f>IF($G292="",0,IF($H292="مرجوعی خرید",-1,1)*IF(Sync!$AD289="",0,Sync!$AD289))</f>
        <v/>
      </c>
      <c r="P292">
        <f>IF(OR($G292="",Sync!$W289=""),"",Sync!$W289)</f>
        <v/>
      </c>
      <c r="Q292">
        <f>IF(OR($G292="",Sync!$AE289=""),"",Sync!$AE289)</f>
        <v/>
      </c>
      <c r="R292">
        <f>IF($G292="","",IF(Sync!$V289="","0000",IF(AND(ISNUMBER(Sync!$V289),Sync!$V289&gt;=0,Sync!$V289&lt;1),RIGHT("00"&amp;HOUR(Sync!$V289),2)&amp;RIGHT("00"&amp;MINUTE(Sync!$V289),2),IFERROR(RIGHT("00"&amp;VALUE(LEFT(Sync!$V289,FIND(":",Sync!$V289)-1)),2)&amp;RIGHT("00"&amp;VALUE(MID(Sync!$V289,FIND(":",Sync!$V289)+1,2)),2),"0000"))))</f>
        <v/>
      </c>
    </row>
    <row r="293">
      <c r="A293">
        <f>IF(Sync!$U290="","",Sync!$U290)</f>
        <v/>
      </c>
      <c r="B293">
        <f>IF($A293="","",IF(ISNUMBER($A293),IF(AND($A293&gt;=10000101,$A293&lt;=99991231),INT($A293/10000),""),IFERROR(VALUE(TRIM(LEFT($A293,FIND("/",$A293)-1))),"")))</f>
        <v/>
      </c>
      <c r="C293">
        <f>IF(OR($A293="",$B293=""),"",IF(ISNUMBER($A293),INT(MOD($A293,10000)/100),IFERROR(VALUE(TRIM(LEFT(MID($A293,FIND("/",$A293)+1,20),FIND("/",MID($A293,FIND("/",$A293)+1,20))-1))),"")))</f>
        <v/>
      </c>
      <c r="D293">
        <f>IF(OR($A293="",$B293=""),"",IF(ISNUMBER($A293),MOD($A293,100),IFERROR(VALUE(TRIM(MID(MID($A293,FIND("/",$A293)+1,20),FIND("/",MID($A293,FIND("/",$A293)+1,20))+1,20))),"")))</f>
        <v/>
      </c>
      <c r="E293">
        <f>IF($A293="","",IF(OR($B293="",$C293="",$D293="",$B293&lt;1300,$B293&gt;1500,$C293&lt;1,$C293&gt;12,$D293&lt;1,$D293&gt;31),"نامعتبر",RIGHT("0000"&amp;$B293,4)&amp;"/"&amp;RIGHT("00"&amp;$C293,2)&amp;"/"&amp;RIGHT("00"&amp;$D293,2)))</f>
        <v/>
      </c>
      <c r="F293">
        <f>IF(OR($E293="",$E293="نامعتبر"),"",LEFT($E293,4)&amp;"/"&amp;MID($E293,6,2))</f>
        <v/>
      </c>
      <c r="G293">
        <f>IF(OR($E293="",$E293="نامعتبر",Sync!$Y290=""),"",Sync!$Y290)</f>
        <v/>
      </c>
      <c r="H293">
        <f>IF($G293="","",IF(Sync!$X290="","",Sync!$X290))</f>
        <v/>
      </c>
      <c r="I293">
        <f>IF($G293="","",IFERROR(VLOOKUP(Sync!$X290,OpTbl,3,0),""))</f>
        <v/>
      </c>
      <c r="J293">
        <f>IF(OR($G293="",Sync!$Z290=""),"",Sync!$Z290)</f>
        <v/>
      </c>
      <c r="K293">
        <f>IF(OR($G293="",Sync!$AA290=""),"",Sync!$AA290)</f>
        <v/>
      </c>
      <c r="L293">
        <f>IF($G293="",0,IF(Sync!$AB290="",0,Sync!$AB290))</f>
        <v/>
      </c>
      <c r="M293">
        <f>IF($G293="",0,IF(Sync!$AC290="",0,Sync!$AC290))</f>
        <v/>
      </c>
      <c r="N293">
        <f>IF($G293="","",IF($H293="مرجوعی خرید",-1,1)*($L293-$M293*IFERROR(VLOOKUP("P01",ParamTbl,3,0),1.5))*(1-IF($I293="خرید",IFERROR(VLOOKUP("P02",ParamTbl,3,0),1),0)/100))</f>
        <v/>
      </c>
      <c r="O293">
        <f>IF($G293="",0,IF($H293="مرجوعی خرید",-1,1)*IF(Sync!$AD290="",0,Sync!$AD290))</f>
        <v/>
      </c>
      <c r="P293">
        <f>IF(OR($G293="",Sync!$W290=""),"",Sync!$W290)</f>
        <v/>
      </c>
      <c r="Q293">
        <f>IF(OR($G293="",Sync!$AE290=""),"",Sync!$AE290)</f>
        <v/>
      </c>
      <c r="R293">
        <f>IF($G293="","",IF(Sync!$V290="","0000",IF(AND(ISNUMBER(Sync!$V290),Sync!$V290&gt;=0,Sync!$V290&lt;1),RIGHT("00"&amp;HOUR(Sync!$V290),2)&amp;RIGHT("00"&amp;MINUTE(Sync!$V290),2),IFERROR(RIGHT("00"&amp;VALUE(LEFT(Sync!$V290,FIND(":",Sync!$V290)-1)),2)&amp;RIGHT("00"&amp;VALUE(MID(Sync!$V290,FIND(":",Sync!$V290)+1,2)),2),"0000"))))</f>
        <v/>
      </c>
    </row>
    <row r="294">
      <c r="A294">
        <f>IF(Sync!$U291="","",Sync!$U291)</f>
        <v/>
      </c>
      <c r="B294">
        <f>IF($A294="","",IF(ISNUMBER($A294),IF(AND($A294&gt;=10000101,$A294&lt;=99991231),INT($A294/10000),""),IFERROR(VALUE(TRIM(LEFT($A294,FIND("/",$A294)-1))),"")))</f>
        <v/>
      </c>
      <c r="C294">
        <f>IF(OR($A294="",$B294=""),"",IF(ISNUMBER($A294),INT(MOD($A294,10000)/100),IFERROR(VALUE(TRIM(LEFT(MID($A294,FIND("/",$A294)+1,20),FIND("/",MID($A294,FIND("/",$A294)+1,20))-1))),"")))</f>
        <v/>
      </c>
      <c r="D294">
        <f>IF(OR($A294="",$B294=""),"",IF(ISNUMBER($A294),MOD($A294,100),IFERROR(VALUE(TRIM(MID(MID($A294,FIND("/",$A294)+1,20),FIND("/",MID($A294,FIND("/",$A294)+1,20))+1,20))),"")))</f>
        <v/>
      </c>
      <c r="E294">
        <f>IF($A294="","",IF(OR($B294="",$C294="",$D294="",$B294&lt;1300,$B294&gt;1500,$C294&lt;1,$C294&gt;12,$D294&lt;1,$D294&gt;31),"نامعتبر",RIGHT("0000"&amp;$B294,4)&amp;"/"&amp;RIGHT("00"&amp;$C294,2)&amp;"/"&amp;RIGHT("00"&amp;$D294,2)))</f>
        <v/>
      </c>
      <c r="F294">
        <f>IF(OR($E294="",$E294="نامعتبر"),"",LEFT($E294,4)&amp;"/"&amp;MID($E294,6,2))</f>
        <v/>
      </c>
      <c r="G294">
        <f>IF(OR($E294="",$E294="نامعتبر",Sync!$Y291=""),"",Sync!$Y291)</f>
        <v/>
      </c>
      <c r="H294">
        <f>IF($G294="","",IF(Sync!$X291="","",Sync!$X291))</f>
        <v/>
      </c>
      <c r="I294">
        <f>IF($G294="","",IFERROR(VLOOKUP(Sync!$X291,OpTbl,3,0),""))</f>
        <v/>
      </c>
      <c r="J294">
        <f>IF(OR($G294="",Sync!$Z291=""),"",Sync!$Z291)</f>
        <v/>
      </c>
      <c r="K294">
        <f>IF(OR($G294="",Sync!$AA291=""),"",Sync!$AA291)</f>
        <v/>
      </c>
      <c r="L294">
        <f>IF($G294="",0,IF(Sync!$AB291="",0,Sync!$AB291))</f>
        <v/>
      </c>
      <c r="M294">
        <f>IF($G294="",0,IF(Sync!$AC291="",0,Sync!$AC291))</f>
        <v/>
      </c>
      <c r="N294">
        <f>IF($G294="","",IF($H294="مرجوعی خرید",-1,1)*($L294-$M294*IFERROR(VLOOKUP("P01",ParamTbl,3,0),1.5))*(1-IF($I294="خرید",IFERROR(VLOOKUP("P02",ParamTbl,3,0),1),0)/100))</f>
        <v/>
      </c>
      <c r="O294">
        <f>IF($G294="",0,IF($H294="مرجوعی خرید",-1,1)*IF(Sync!$AD291="",0,Sync!$AD291))</f>
        <v/>
      </c>
      <c r="P294">
        <f>IF(OR($G294="",Sync!$W291=""),"",Sync!$W291)</f>
        <v/>
      </c>
      <c r="Q294">
        <f>IF(OR($G294="",Sync!$AE291=""),"",Sync!$AE291)</f>
        <v/>
      </c>
      <c r="R294">
        <f>IF($G294="","",IF(Sync!$V291="","0000",IF(AND(ISNUMBER(Sync!$V291),Sync!$V291&gt;=0,Sync!$V291&lt;1),RIGHT("00"&amp;HOUR(Sync!$V291),2)&amp;RIGHT("00"&amp;MINUTE(Sync!$V291),2),IFERROR(RIGHT("00"&amp;VALUE(LEFT(Sync!$V291,FIND(":",Sync!$V291)-1)),2)&amp;RIGHT("00"&amp;VALUE(MID(Sync!$V291,FIND(":",Sync!$V291)+1,2)),2),"0000"))))</f>
        <v/>
      </c>
    </row>
    <row r="295">
      <c r="A295">
        <f>IF(Sync!$U292="","",Sync!$U292)</f>
        <v/>
      </c>
      <c r="B295">
        <f>IF($A295="","",IF(ISNUMBER($A295),IF(AND($A295&gt;=10000101,$A295&lt;=99991231),INT($A295/10000),""),IFERROR(VALUE(TRIM(LEFT($A295,FIND("/",$A295)-1))),"")))</f>
        <v/>
      </c>
      <c r="C295">
        <f>IF(OR($A295="",$B295=""),"",IF(ISNUMBER($A295),INT(MOD($A295,10000)/100),IFERROR(VALUE(TRIM(LEFT(MID($A295,FIND("/",$A295)+1,20),FIND("/",MID($A295,FIND("/",$A295)+1,20))-1))),"")))</f>
        <v/>
      </c>
      <c r="D295">
        <f>IF(OR($A295="",$B295=""),"",IF(ISNUMBER($A295),MOD($A295,100),IFERROR(VALUE(TRIM(MID(MID($A295,FIND("/",$A295)+1,20),FIND("/",MID($A295,FIND("/",$A295)+1,20))+1,20))),"")))</f>
        <v/>
      </c>
      <c r="E295">
        <f>IF($A295="","",IF(OR($B295="",$C295="",$D295="",$B295&lt;1300,$B295&gt;1500,$C295&lt;1,$C295&gt;12,$D295&lt;1,$D295&gt;31),"نامعتبر",RIGHT("0000"&amp;$B295,4)&amp;"/"&amp;RIGHT("00"&amp;$C295,2)&amp;"/"&amp;RIGHT("00"&amp;$D295,2)))</f>
        <v/>
      </c>
      <c r="F295">
        <f>IF(OR($E295="",$E295="نامعتبر"),"",LEFT($E295,4)&amp;"/"&amp;MID($E295,6,2))</f>
        <v/>
      </c>
      <c r="G295">
        <f>IF(OR($E295="",$E295="نامعتبر",Sync!$Y292=""),"",Sync!$Y292)</f>
        <v/>
      </c>
      <c r="H295">
        <f>IF($G295="","",IF(Sync!$X292="","",Sync!$X292))</f>
        <v/>
      </c>
      <c r="I295">
        <f>IF($G295="","",IFERROR(VLOOKUP(Sync!$X292,OpTbl,3,0),""))</f>
        <v/>
      </c>
      <c r="J295">
        <f>IF(OR($G295="",Sync!$Z292=""),"",Sync!$Z292)</f>
        <v/>
      </c>
      <c r="K295">
        <f>IF(OR($G295="",Sync!$AA292=""),"",Sync!$AA292)</f>
        <v/>
      </c>
      <c r="L295">
        <f>IF($G295="",0,IF(Sync!$AB292="",0,Sync!$AB292))</f>
        <v/>
      </c>
      <c r="M295">
        <f>IF($G295="",0,IF(Sync!$AC292="",0,Sync!$AC292))</f>
        <v/>
      </c>
      <c r="N295">
        <f>IF($G295="","",IF($H295="مرجوعی خرید",-1,1)*($L295-$M295*IFERROR(VLOOKUP("P01",ParamTbl,3,0),1.5))*(1-IF($I295="خرید",IFERROR(VLOOKUP("P02",ParamTbl,3,0),1),0)/100))</f>
        <v/>
      </c>
      <c r="O295">
        <f>IF($G295="",0,IF($H295="مرجوعی خرید",-1,1)*IF(Sync!$AD292="",0,Sync!$AD292))</f>
        <v/>
      </c>
      <c r="P295">
        <f>IF(OR($G295="",Sync!$W292=""),"",Sync!$W292)</f>
        <v/>
      </c>
      <c r="Q295">
        <f>IF(OR($G295="",Sync!$AE292=""),"",Sync!$AE292)</f>
        <v/>
      </c>
      <c r="R295">
        <f>IF($G295="","",IF(Sync!$V292="","0000",IF(AND(ISNUMBER(Sync!$V292),Sync!$V292&gt;=0,Sync!$V292&lt;1),RIGHT("00"&amp;HOUR(Sync!$V292),2)&amp;RIGHT("00"&amp;MINUTE(Sync!$V292),2),IFERROR(RIGHT("00"&amp;VALUE(LEFT(Sync!$V292,FIND(":",Sync!$V292)-1)),2)&amp;RIGHT("00"&amp;VALUE(MID(Sync!$V292,FIND(":",Sync!$V292)+1,2)),2),"0000"))))</f>
        <v/>
      </c>
    </row>
    <row r="296">
      <c r="A296">
        <f>IF(Sync!$U293="","",Sync!$U293)</f>
        <v/>
      </c>
      <c r="B296">
        <f>IF($A296="","",IF(ISNUMBER($A296),IF(AND($A296&gt;=10000101,$A296&lt;=99991231),INT($A296/10000),""),IFERROR(VALUE(TRIM(LEFT($A296,FIND("/",$A296)-1))),"")))</f>
        <v/>
      </c>
      <c r="C296">
        <f>IF(OR($A296="",$B296=""),"",IF(ISNUMBER($A296),INT(MOD($A296,10000)/100),IFERROR(VALUE(TRIM(LEFT(MID($A296,FIND("/",$A296)+1,20),FIND("/",MID($A296,FIND("/",$A296)+1,20))-1))),"")))</f>
        <v/>
      </c>
      <c r="D296">
        <f>IF(OR($A296="",$B296=""),"",IF(ISNUMBER($A296),MOD($A296,100),IFERROR(VALUE(TRIM(MID(MID($A296,FIND("/",$A296)+1,20),FIND("/",MID($A296,FIND("/",$A296)+1,20))+1,20))),"")))</f>
        <v/>
      </c>
      <c r="E296">
        <f>IF($A296="","",IF(OR($B296="",$C296="",$D296="",$B296&lt;1300,$B296&gt;1500,$C296&lt;1,$C296&gt;12,$D296&lt;1,$D296&gt;31),"نامعتبر",RIGHT("0000"&amp;$B296,4)&amp;"/"&amp;RIGHT("00"&amp;$C296,2)&amp;"/"&amp;RIGHT("00"&amp;$D296,2)))</f>
        <v/>
      </c>
      <c r="F296">
        <f>IF(OR($E296="",$E296="نامعتبر"),"",LEFT($E296,4)&amp;"/"&amp;MID($E296,6,2))</f>
        <v/>
      </c>
      <c r="G296">
        <f>IF(OR($E296="",$E296="نامعتبر",Sync!$Y293=""),"",Sync!$Y293)</f>
        <v/>
      </c>
      <c r="H296">
        <f>IF($G296="","",IF(Sync!$X293="","",Sync!$X293))</f>
        <v/>
      </c>
      <c r="I296">
        <f>IF($G296="","",IFERROR(VLOOKUP(Sync!$X293,OpTbl,3,0),""))</f>
        <v/>
      </c>
      <c r="J296">
        <f>IF(OR($G296="",Sync!$Z293=""),"",Sync!$Z293)</f>
        <v/>
      </c>
      <c r="K296">
        <f>IF(OR($G296="",Sync!$AA293=""),"",Sync!$AA293)</f>
        <v/>
      </c>
      <c r="L296">
        <f>IF($G296="",0,IF(Sync!$AB293="",0,Sync!$AB293))</f>
        <v/>
      </c>
      <c r="M296">
        <f>IF($G296="",0,IF(Sync!$AC293="",0,Sync!$AC293))</f>
        <v/>
      </c>
      <c r="N296">
        <f>IF($G296="","",IF($H296="مرجوعی خرید",-1,1)*($L296-$M296*IFERROR(VLOOKUP("P01",ParamTbl,3,0),1.5))*(1-IF($I296="خرید",IFERROR(VLOOKUP("P02",ParamTbl,3,0),1),0)/100))</f>
        <v/>
      </c>
      <c r="O296">
        <f>IF($G296="",0,IF($H296="مرجوعی خرید",-1,1)*IF(Sync!$AD293="",0,Sync!$AD293))</f>
        <v/>
      </c>
      <c r="P296">
        <f>IF(OR($G296="",Sync!$W293=""),"",Sync!$W293)</f>
        <v/>
      </c>
      <c r="Q296">
        <f>IF(OR($G296="",Sync!$AE293=""),"",Sync!$AE293)</f>
        <v/>
      </c>
      <c r="R296">
        <f>IF($G296="","",IF(Sync!$V293="","0000",IF(AND(ISNUMBER(Sync!$V293),Sync!$V293&gt;=0,Sync!$V293&lt;1),RIGHT("00"&amp;HOUR(Sync!$V293),2)&amp;RIGHT("00"&amp;MINUTE(Sync!$V293),2),IFERROR(RIGHT("00"&amp;VALUE(LEFT(Sync!$V293,FIND(":",Sync!$V293)-1)),2)&amp;RIGHT("00"&amp;VALUE(MID(Sync!$V293,FIND(":",Sync!$V293)+1,2)),2),"0000"))))</f>
        <v/>
      </c>
    </row>
    <row r="297">
      <c r="A297">
        <f>IF(Sync!$U294="","",Sync!$U294)</f>
        <v/>
      </c>
      <c r="B297">
        <f>IF($A297="","",IF(ISNUMBER($A297),IF(AND($A297&gt;=10000101,$A297&lt;=99991231),INT($A297/10000),""),IFERROR(VALUE(TRIM(LEFT($A297,FIND("/",$A297)-1))),"")))</f>
        <v/>
      </c>
      <c r="C297">
        <f>IF(OR($A297="",$B297=""),"",IF(ISNUMBER($A297),INT(MOD($A297,10000)/100),IFERROR(VALUE(TRIM(LEFT(MID($A297,FIND("/",$A297)+1,20),FIND("/",MID($A297,FIND("/",$A297)+1,20))-1))),"")))</f>
        <v/>
      </c>
      <c r="D297">
        <f>IF(OR($A297="",$B297=""),"",IF(ISNUMBER($A297),MOD($A297,100),IFERROR(VALUE(TRIM(MID(MID($A297,FIND("/",$A297)+1,20),FIND("/",MID($A297,FIND("/",$A297)+1,20))+1,20))),"")))</f>
        <v/>
      </c>
      <c r="E297">
        <f>IF($A297="","",IF(OR($B297="",$C297="",$D297="",$B297&lt;1300,$B297&gt;1500,$C297&lt;1,$C297&gt;12,$D297&lt;1,$D297&gt;31),"نامعتبر",RIGHT("0000"&amp;$B297,4)&amp;"/"&amp;RIGHT("00"&amp;$C297,2)&amp;"/"&amp;RIGHT("00"&amp;$D297,2)))</f>
        <v/>
      </c>
      <c r="F297">
        <f>IF(OR($E297="",$E297="نامعتبر"),"",LEFT($E297,4)&amp;"/"&amp;MID($E297,6,2))</f>
        <v/>
      </c>
      <c r="G297">
        <f>IF(OR($E297="",$E297="نامعتبر",Sync!$Y294=""),"",Sync!$Y294)</f>
        <v/>
      </c>
      <c r="H297">
        <f>IF($G297="","",IF(Sync!$X294="","",Sync!$X294))</f>
        <v/>
      </c>
      <c r="I297">
        <f>IF($G297="","",IFERROR(VLOOKUP(Sync!$X294,OpTbl,3,0),""))</f>
        <v/>
      </c>
      <c r="J297">
        <f>IF(OR($G297="",Sync!$Z294=""),"",Sync!$Z294)</f>
        <v/>
      </c>
      <c r="K297">
        <f>IF(OR($G297="",Sync!$AA294=""),"",Sync!$AA294)</f>
        <v/>
      </c>
      <c r="L297">
        <f>IF($G297="",0,IF(Sync!$AB294="",0,Sync!$AB294))</f>
        <v/>
      </c>
      <c r="M297">
        <f>IF($G297="",0,IF(Sync!$AC294="",0,Sync!$AC294))</f>
        <v/>
      </c>
      <c r="N297">
        <f>IF($G297="","",IF($H297="مرجوعی خرید",-1,1)*($L297-$M297*IFERROR(VLOOKUP("P01",ParamTbl,3,0),1.5))*(1-IF($I297="خرید",IFERROR(VLOOKUP("P02",ParamTbl,3,0),1),0)/100))</f>
        <v/>
      </c>
      <c r="O297">
        <f>IF($G297="",0,IF($H297="مرجوعی خرید",-1,1)*IF(Sync!$AD294="",0,Sync!$AD294))</f>
        <v/>
      </c>
      <c r="P297">
        <f>IF(OR($G297="",Sync!$W294=""),"",Sync!$W294)</f>
        <v/>
      </c>
      <c r="Q297">
        <f>IF(OR($G297="",Sync!$AE294=""),"",Sync!$AE294)</f>
        <v/>
      </c>
      <c r="R297">
        <f>IF($G297="","",IF(Sync!$V294="","0000",IF(AND(ISNUMBER(Sync!$V294),Sync!$V294&gt;=0,Sync!$V294&lt;1),RIGHT("00"&amp;HOUR(Sync!$V294),2)&amp;RIGHT("00"&amp;MINUTE(Sync!$V294),2),IFERROR(RIGHT("00"&amp;VALUE(LEFT(Sync!$V294,FIND(":",Sync!$V294)-1)),2)&amp;RIGHT("00"&amp;VALUE(MID(Sync!$V294,FIND(":",Sync!$V294)+1,2)),2),"0000"))))</f>
        <v/>
      </c>
    </row>
    <row r="298">
      <c r="A298">
        <f>IF(Sync!$U295="","",Sync!$U295)</f>
        <v/>
      </c>
      <c r="B298">
        <f>IF($A298="","",IF(ISNUMBER($A298),IF(AND($A298&gt;=10000101,$A298&lt;=99991231),INT($A298/10000),""),IFERROR(VALUE(TRIM(LEFT($A298,FIND("/",$A298)-1))),"")))</f>
        <v/>
      </c>
      <c r="C298">
        <f>IF(OR($A298="",$B298=""),"",IF(ISNUMBER($A298),INT(MOD($A298,10000)/100),IFERROR(VALUE(TRIM(LEFT(MID($A298,FIND("/",$A298)+1,20),FIND("/",MID($A298,FIND("/",$A298)+1,20))-1))),"")))</f>
        <v/>
      </c>
      <c r="D298">
        <f>IF(OR($A298="",$B298=""),"",IF(ISNUMBER($A298),MOD($A298,100),IFERROR(VALUE(TRIM(MID(MID($A298,FIND("/",$A298)+1,20),FIND("/",MID($A298,FIND("/",$A298)+1,20))+1,20))),"")))</f>
        <v/>
      </c>
      <c r="E298">
        <f>IF($A298="","",IF(OR($B298="",$C298="",$D298="",$B298&lt;1300,$B298&gt;1500,$C298&lt;1,$C298&gt;12,$D298&lt;1,$D298&gt;31),"نامعتبر",RIGHT("0000"&amp;$B298,4)&amp;"/"&amp;RIGHT("00"&amp;$C298,2)&amp;"/"&amp;RIGHT("00"&amp;$D298,2)))</f>
        <v/>
      </c>
      <c r="F298">
        <f>IF(OR($E298="",$E298="نامعتبر"),"",LEFT($E298,4)&amp;"/"&amp;MID($E298,6,2))</f>
        <v/>
      </c>
      <c r="G298">
        <f>IF(OR($E298="",$E298="نامعتبر",Sync!$Y295=""),"",Sync!$Y295)</f>
        <v/>
      </c>
      <c r="H298">
        <f>IF($G298="","",IF(Sync!$X295="","",Sync!$X295))</f>
        <v/>
      </c>
      <c r="I298">
        <f>IF($G298="","",IFERROR(VLOOKUP(Sync!$X295,OpTbl,3,0),""))</f>
        <v/>
      </c>
      <c r="J298">
        <f>IF(OR($G298="",Sync!$Z295=""),"",Sync!$Z295)</f>
        <v/>
      </c>
      <c r="K298">
        <f>IF(OR($G298="",Sync!$AA295=""),"",Sync!$AA295)</f>
        <v/>
      </c>
      <c r="L298">
        <f>IF($G298="",0,IF(Sync!$AB295="",0,Sync!$AB295))</f>
        <v/>
      </c>
      <c r="M298">
        <f>IF($G298="",0,IF(Sync!$AC295="",0,Sync!$AC295))</f>
        <v/>
      </c>
      <c r="N298">
        <f>IF($G298="","",IF($H298="مرجوعی خرید",-1,1)*($L298-$M298*IFERROR(VLOOKUP("P01",ParamTbl,3,0),1.5))*(1-IF($I298="خرید",IFERROR(VLOOKUP("P02",ParamTbl,3,0),1),0)/100))</f>
        <v/>
      </c>
      <c r="O298">
        <f>IF($G298="",0,IF($H298="مرجوعی خرید",-1,1)*IF(Sync!$AD295="",0,Sync!$AD295))</f>
        <v/>
      </c>
      <c r="P298">
        <f>IF(OR($G298="",Sync!$W295=""),"",Sync!$W295)</f>
        <v/>
      </c>
      <c r="Q298">
        <f>IF(OR($G298="",Sync!$AE295=""),"",Sync!$AE295)</f>
        <v/>
      </c>
      <c r="R298">
        <f>IF($G298="","",IF(Sync!$V295="","0000",IF(AND(ISNUMBER(Sync!$V295),Sync!$V295&gt;=0,Sync!$V295&lt;1),RIGHT("00"&amp;HOUR(Sync!$V295),2)&amp;RIGHT("00"&amp;MINUTE(Sync!$V295),2),IFERROR(RIGHT("00"&amp;VALUE(LEFT(Sync!$V295,FIND(":",Sync!$V295)-1)),2)&amp;RIGHT("00"&amp;VALUE(MID(Sync!$V295,FIND(":",Sync!$V295)+1,2)),2),"0000"))))</f>
        <v/>
      </c>
    </row>
    <row r="299">
      <c r="A299">
        <f>IF(Sync!$U296="","",Sync!$U296)</f>
        <v/>
      </c>
      <c r="B299">
        <f>IF($A299="","",IF(ISNUMBER($A299),IF(AND($A299&gt;=10000101,$A299&lt;=99991231),INT($A299/10000),""),IFERROR(VALUE(TRIM(LEFT($A299,FIND("/",$A299)-1))),"")))</f>
        <v/>
      </c>
      <c r="C299">
        <f>IF(OR($A299="",$B299=""),"",IF(ISNUMBER($A299),INT(MOD($A299,10000)/100),IFERROR(VALUE(TRIM(LEFT(MID($A299,FIND("/",$A299)+1,20),FIND("/",MID($A299,FIND("/",$A299)+1,20))-1))),"")))</f>
        <v/>
      </c>
      <c r="D299">
        <f>IF(OR($A299="",$B299=""),"",IF(ISNUMBER($A299),MOD($A299,100),IFERROR(VALUE(TRIM(MID(MID($A299,FIND("/",$A299)+1,20),FIND("/",MID($A299,FIND("/",$A299)+1,20))+1,20))),"")))</f>
        <v/>
      </c>
      <c r="E299">
        <f>IF($A299="","",IF(OR($B299="",$C299="",$D299="",$B299&lt;1300,$B299&gt;1500,$C299&lt;1,$C299&gt;12,$D299&lt;1,$D299&gt;31),"نامعتبر",RIGHT("0000"&amp;$B299,4)&amp;"/"&amp;RIGHT("00"&amp;$C299,2)&amp;"/"&amp;RIGHT("00"&amp;$D299,2)))</f>
        <v/>
      </c>
      <c r="F299">
        <f>IF(OR($E299="",$E299="نامعتبر"),"",LEFT($E299,4)&amp;"/"&amp;MID($E299,6,2))</f>
        <v/>
      </c>
      <c r="G299">
        <f>IF(OR($E299="",$E299="نامعتبر",Sync!$Y296=""),"",Sync!$Y296)</f>
        <v/>
      </c>
      <c r="H299">
        <f>IF($G299="","",IF(Sync!$X296="","",Sync!$X296))</f>
        <v/>
      </c>
      <c r="I299">
        <f>IF($G299="","",IFERROR(VLOOKUP(Sync!$X296,OpTbl,3,0),""))</f>
        <v/>
      </c>
      <c r="J299">
        <f>IF(OR($G299="",Sync!$Z296=""),"",Sync!$Z296)</f>
        <v/>
      </c>
      <c r="K299">
        <f>IF(OR($G299="",Sync!$AA296=""),"",Sync!$AA296)</f>
        <v/>
      </c>
      <c r="L299">
        <f>IF($G299="",0,IF(Sync!$AB296="",0,Sync!$AB296))</f>
        <v/>
      </c>
      <c r="M299">
        <f>IF($G299="",0,IF(Sync!$AC296="",0,Sync!$AC296))</f>
        <v/>
      </c>
      <c r="N299">
        <f>IF($G299="","",IF($H299="مرجوعی خرید",-1,1)*($L299-$M299*IFERROR(VLOOKUP("P01",ParamTbl,3,0),1.5))*(1-IF($I299="خرید",IFERROR(VLOOKUP("P02",ParamTbl,3,0),1),0)/100))</f>
        <v/>
      </c>
      <c r="O299">
        <f>IF($G299="",0,IF($H299="مرجوعی خرید",-1,1)*IF(Sync!$AD296="",0,Sync!$AD296))</f>
        <v/>
      </c>
      <c r="P299">
        <f>IF(OR($G299="",Sync!$W296=""),"",Sync!$W296)</f>
        <v/>
      </c>
      <c r="Q299">
        <f>IF(OR($G299="",Sync!$AE296=""),"",Sync!$AE296)</f>
        <v/>
      </c>
      <c r="R299">
        <f>IF($G299="","",IF(Sync!$V296="","0000",IF(AND(ISNUMBER(Sync!$V296),Sync!$V296&gt;=0,Sync!$V296&lt;1),RIGHT("00"&amp;HOUR(Sync!$V296),2)&amp;RIGHT("00"&amp;MINUTE(Sync!$V296),2),IFERROR(RIGHT("00"&amp;VALUE(LEFT(Sync!$V296,FIND(":",Sync!$V296)-1)),2)&amp;RIGHT("00"&amp;VALUE(MID(Sync!$V296,FIND(":",Sync!$V296)+1,2)),2),"0000"))))</f>
        <v/>
      </c>
    </row>
    <row r="300">
      <c r="A300">
        <f>IF(Sync!$U297="","",Sync!$U297)</f>
        <v/>
      </c>
      <c r="B300">
        <f>IF($A300="","",IF(ISNUMBER($A300),IF(AND($A300&gt;=10000101,$A300&lt;=99991231),INT($A300/10000),""),IFERROR(VALUE(TRIM(LEFT($A300,FIND("/",$A300)-1))),"")))</f>
        <v/>
      </c>
      <c r="C300">
        <f>IF(OR($A300="",$B300=""),"",IF(ISNUMBER($A300),INT(MOD($A300,10000)/100),IFERROR(VALUE(TRIM(LEFT(MID($A300,FIND("/",$A300)+1,20),FIND("/",MID($A300,FIND("/",$A300)+1,20))-1))),"")))</f>
        <v/>
      </c>
      <c r="D300">
        <f>IF(OR($A300="",$B300=""),"",IF(ISNUMBER($A300),MOD($A300,100),IFERROR(VALUE(TRIM(MID(MID($A300,FIND("/",$A300)+1,20),FIND("/",MID($A300,FIND("/",$A300)+1,20))+1,20))),"")))</f>
        <v/>
      </c>
      <c r="E300">
        <f>IF($A300="","",IF(OR($B300="",$C300="",$D300="",$B300&lt;1300,$B300&gt;1500,$C300&lt;1,$C300&gt;12,$D300&lt;1,$D300&gt;31),"نامعتبر",RIGHT("0000"&amp;$B300,4)&amp;"/"&amp;RIGHT("00"&amp;$C300,2)&amp;"/"&amp;RIGHT("00"&amp;$D300,2)))</f>
        <v/>
      </c>
      <c r="F300">
        <f>IF(OR($E300="",$E300="نامعتبر"),"",LEFT($E300,4)&amp;"/"&amp;MID($E300,6,2))</f>
        <v/>
      </c>
      <c r="G300">
        <f>IF(OR($E300="",$E300="نامعتبر",Sync!$Y297=""),"",Sync!$Y297)</f>
        <v/>
      </c>
      <c r="H300">
        <f>IF($G300="","",IF(Sync!$X297="","",Sync!$X297))</f>
        <v/>
      </c>
      <c r="I300">
        <f>IF($G300="","",IFERROR(VLOOKUP(Sync!$X297,OpTbl,3,0),""))</f>
        <v/>
      </c>
      <c r="J300">
        <f>IF(OR($G300="",Sync!$Z297=""),"",Sync!$Z297)</f>
        <v/>
      </c>
      <c r="K300">
        <f>IF(OR($G300="",Sync!$AA297=""),"",Sync!$AA297)</f>
        <v/>
      </c>
      <c r="L300">
        <f>IF($G300="",0,IF(Sync!$AB297="",0,Sync!$AB297))</f>
        <v/>
      </c>
      <c r="M300">
        <f>IF($G300="",0,IF(Sync!$AC297="",0,Sync!$AC297))</f>
        <v/>
      </c>
      <c r="N300">
        <f>IF($G300="","",IF($H300="مرجوعی خرید",-1,1)*($L300-$M300*IFERROR(VLOOKUP("P01",ParamTbl,3,0),1.5))*(1-IF($I300="خرید",IFERROR(VLOOKUP("P02",ParamTbl,3,0),1),0)/100))</f>
        <v/>
      </c>
      <c r="O300">
        <f>IF($G300="",0,IF($H300="مرجوعی خرید",-1,1)*IF(Sync!$AD297="",0,Sync!$AD297))</f>
        <v/>
      </c>
      <c r="P300">
        <f>IF(OR($G300="",Sync!$W297=""),"",Sync!$W297)</f>
        <v/>
      </c>
      <c r="Q300">
        <f>IF(OR($G300="",Sync!$AE297=""),"",Sync!$AE297)</f>
        <v/>
      </c>
      <c r="R300">
        <f>IF($G300="","",IF(Sync!$V297="","0000",IF(AND(ISNUMBER(Sync!$V297),Sync!$V297&gt;=0,Sync!$V297&lt;1),RIGHT("00"&amp;HOUR(Sync!$V297),2)&amp;RIGHT("00"&amp;MINUTE(Sync!$V297),2),IFERROR(RIGHT("00"&amp;VALUE(LEFT(Sync!$V297,FIND(":",Sync!$V297)-1)),2)&amp;RIGHT("00"&amp;VALUE(MID(Sync!$V297,FIND(":",Sync!$V297)+1,2)),2),"0000"))))</f>
        <v/>
      </c>
    </row>
    <row r="301">
      <c r="A301">
        <f>IF(Sync!$U298="","",Sync!$U298)</f>
        <v/>
      </c>
      <c r="B301">
        <f>IF($A301="","",IF(ISNUMBER($A301),IF(AND($A301&gt;=10000101,$A301&lt;=99991231),INT($A301/10000),""),IFERROR(VALUE(TRIM(LEFT($A301,FIND("/",$A301)-1))),"")))</f>
        <v/>
      </c>
      <c r="C301">
        <f>IF(OR($A301="",$B301=""),"",IF(ISNUMBER($A301),INT(MOD($A301,10000)/100),IFERROR(VALUE(TRIM(LEFT(MID($A301,FIND("/",$A301)+1,20),FIND("/",MID($A301,FIND("/",$A301)+1,20))-1))),"")))</f>
        <v/>
      </c>
      <c r="D301">
        <f>IF(OR($A301="",$B301=""),"",IF(ISNUMBER($A301),MOD($A301,100),IFERROR(VALUE(TRIM(MID(MID($A301,FIND("/",$A301)+1,20),FIND("/",MID($A301,FIND("/",$A301)+1,20))+1,20))),"")))</f>
        <v/>
      </c>
      <c r="E301">
        <f>IF($A301="","",IF(OR($B301="",$C301="",$D301="",$B301&lt;1300,$B301&gt;1500,$C301&lt;1,$C301&gt;12,$D301&lt;1,$D301&gt;31),"نامعتبر",RIGHT("0000"&amp;$B301,4)&amp;"/"&amp;RIGHT("00"&amp;$C301,2)&amp;"/"&amp;RIGHT("00"&amp;$D301,2)))</f>
        <v/>
      </c>
      <c r="F301">
        <f>IF(OR($E301="",$E301="نامعتبر"),"",LEFT($E301,4)&amp;"/"&amp;MID($E301,6,2))</f>
        <v/>
      </c>
      <c r="G301">
        <f>IF(OR($E301="",$E301="نامعتبر",Sync!$Y298=""),"",Sync!$Y298)</f>
        <v/>
      </c>
      <c r="H301">
        <f>IF($G301="","",IF(Sync!$X298="","",Sync!$X298))</f>
        <v/>
      </c>
      <c r="I301">
        <f>IF($G301="","",IFERROR(VLOOKUP(Sync!$X298,OpTbl,3,0),""))</f>
        <v/>
      </c>
      <c r="J301">
        <f>IF(OR($G301="",Sync!$Z298=""),"",Sync!$Z298)</f>
        <v/>
      </c>
      <c r="K301">
        <f>IF(OR($G301="",Sync!$AA298=""),"",Sync!$AA298)</f>
        <v/>
      </c>
      <c r="L301">
        <f>IF($G301="",0,IF(Sync!$AB298="",0,Sync!$AB298))</f>
        <v/>
      </c>
      <c r="M301">
        <f>IF($G301="",0,IF(Sync!$AC298="",0,Sync!$AC298))</f>
        <v/>
      </c>
      <c r="N301">
        <f>IF($G301="","",IF($H301="مرجوعی خرید",-1,1)*($L301-$M301*IFERROR(VLOOKUP("P01",ParamTbl,3,0),1.5))*(1-IF($I301="خرید",IFERROR(VLOOKUP("P02",ParamTbl,3,0),1),0)/100))</f>
        <v/>
      </c>
      <c r="O301">
        <f>IF($G301="",0,IF($H301="مرجوعی خرید",-1,1)*IF(Sync!$AD298="",0,Sync!$AD298))</f>
        <v/>
      </c>
      <c r="P301">
        <f>IF(OR($G301="",Sync!$W298=""),"",Sync!$W298)</f>
        <v/>
      </c>
      <c r="Q301">
        <f>IF(OR($G301="",Sync!$AE298=""),"",Sync!$AE298)</f>
        <v/>
      </c>
      <c r="R301">
        <f>IF($G301="","",IF(Sync!$V298="","0000",IF(AND(ISNUMBER(Sync!$V298),Sync!$V298&gt;=0,Sync!$V298&lt;1),RIGHT("00"&amp;HOUR(Sync!$V298),2)&amp;RIGHT("00"&amp;MINUTE(Sync!$V298),2),IFERROR(RIGHT("00"&amp;VALUE(LEFT(Sync!$V298,FIND(":",Sync!$V298)-1)),2)&amp;RIGHT("00"&amp;VALUE(MID(Sync!$V298,FIND(":",Sync!$V298)+1,2)),2),"0000"))))</f>
        <v/>
      </c>
    </row>
    <row r="302">
      <c r="A302">
        <f>IF(Sync!$U299="","",Sync!$U299)</f>
        <v/>
      </c>
      <c r="B302">
        <f>IF($A302="","",IF(ISNUMBER($A302),IF(AND($A302&gt;=10000101,$A302&lt;=99991231),INT($A302/10000),""),IFERROR(VALUE(TRIM(LEFT($A302,FIND("/",$A302)-1))),"")))</f>
        <v/>
      </c>
      <c r="C302">
        <f>IF(OR($A302="",$B302=""),"",IF(ISNUMBER($A302),INT(MOD($A302,10000)/100),IFERROR(VALUE(TRIM(LEFT(MID($A302,FIND("/",$A302)+1,20),FIND("/",MID($A302,FIND("/",$A302)+1,20))-1))),"")))</f>
        <v/>
      </c>
      <c r="D302">
        <f>IF(OR($A302="",$B302=""),"",IF(ISNUMBER($A302),MOD($A302,100),IFERROR(VALUE(TRIM(MID(MID($A302,FIND("/",$A302)+1,20),FIND("/",MID($A302,FIND("/",$A302)+1,20))+1,20))),"")))</f>
        <v/>
      </c>
      <c r="E302">
        <f>IF($A302="","",IF(OR($B302="",$C302="",$D302="",$B302&lt;1300,$B302&gt;1500,$C302&lt;1,$C302&gt;12,$D302&lt;1,$D302&gt;31),"نامعتبر",RIGHT("0000"&amp;$B302,4)&amp;"/"&amp;RIGHT("00"&amp;$C302,2)&amp;"/"&amp;RIGHT("00"&amp;$D302,2)))</f>
        <v/>
      </c>
      <c r="F302">
        <f>IF(OR($E302="",$E302="نامعتبر"),"",LEFT($E302,4)&amp;"/"&amp;MID($E302,6,2))</f>
        <v/>
      </c>
      <c r="G302">
        <f>IF(OR($E302="",$E302="نامعتبر",Sync!$Y299=""),"",Sync!$Y299)</f>
        <v/>
      </c>
      <c r="H302">
        <f>IF($G302="","",IF(Sync!$X299="","",Sync!$X299))</f>
        <v/>
      </c>
      <c r="I302">
        <f>IF($G302="","",IFERROR(VLOOKUP(Sync!$X299,OpTbl,3,0),""))</f>
        <v/>
      </c>
      <c r="J302">
        <f>IF(OR($G302="",Sync!$Z299=""),"",Sync!$Z299)</f>
        <v/>
      </c>
      <c r="K302">
        <f>IF(OR($G302="",Sync!$AA299=""),"",Sync!$AA299)</f>
        <v/>
      </c>
      <c r="L302">
        <f>IF($G302="",0,IF(Sync!$AB299="",0,Sync!$AB299))</f>
        <v/>
      </c>
      <c r="M302">
        <f>IF($G302="",0,IF(Sync!$AC299="",0,Sync!$AC299))</f>
        <v/>
      </c>
      <c r="N302">
        <f>IF($G302="","",IF($H302="مرجوعی خرید",-1,1)*($L302-$M302*IFERROR(VLOOKUP("P01",ParamTbl,3,0),1.5))*(1-IF($I302="خرید",IFERROR(VLOOKUP("P02",ParamTbl,3,0),1),0)/100))</f>
        <v/>
      </c>
      <c r="O302">
        <f>IF($G302="",0,IF($H302="مرجوعی خرید",-1,1)*IF(Sync!$AD299="",0,Sync!$AD299))</f>
        <v/>
      </c>
      <c r="P302">
        <f>IF(OR($G302="",Sync!$W299=""),"",Sync!$W299)</f>
        <v/>
      </c>
      <c r="Q302">
        <f>IF(OR($G302="",Sync!$AE299=""),"",Sync!$AE299)</f>
        <v/>
      </c>
      <c r="R302">
        <f>IF($G302="","",IF(Sync!$V299="","0000",IF(AND(ISNUMBER(Sync!$V299),Sync!$V299&gt;=0,Sync!$V299&lt;1),RIGHT("00"&amp;HOUR(Sync!$V299),2)&amp;RIGHT("00"&amp;MINUTE(Sync!$V299),2),IFERROR(RIGHT("00"&amp;VALUE(LEFT(Sync!$V299,FIND(":",Sync!$V299)-1)),2)&amp;RIGHT("00"&amp;VALUE(MID(Sync!$V299,FIND(":",Sync!$V299)+1,2)),2),"0000"))))</f>
        <v/>
      </c>
    </row>
    <row r="303">
      <c r="A303">
        <f>IF(Sync!$U300="","",Sync!$U300)</f>
        <v/>
      </c>
      <c r="B303">
        <f>IF($A303="","",IF(ISNUMBER($A303),IF(AND($A303&gt;=10000101,$A303&lt;=99991231),INT($A303/10000),""),IFERROR(VALUE(TRIM(LEFT($A303,FIND("/",$A303)-1))),"")))</f>
        <v/>
      </c>
      <c r="C303">
        <f>IF(OR($A303="",$B303=""),"",IF(ISNUMBER($A303),INT(MOD($A303,10000)/100),IFERROR(VALUE(TRIM(LEFT(MID($A303,FIND("/",$A303)+1,20),FIND("/",MID($A303,FIND("/",$A303)+1,20))-1))),"")))</f>
        <v/>
      </c>
      <c r="D303">
        <f>IF(OR($A303="",$B303=""),"",IF(ISNUMBER($A303),MOD($A303,100),IFERROR(VALUE(TRIM(MID(MID($A303,FIND("/",$A303)+1,20),FIND("/",MID($A303,FIND("/",$A303)+1,20))+1,20))),"")))</f>
        <v/>
      </c>
      <c r="E303">
        <f>IF($A303="","",IF(OR($B303="",$C303="",$D303="",$B303&lt;1300,$B303&gt;1500,$C303&lt;1,$C303&gt;12,$D303&lt;1,$D303&gt;31),"نامعتبر",RIGHT("0000"&amp;$B303,4)&amp;"/"&amp;RIGHT("00"&amp;$C303,2)&amp;"/"&amp;RIGHT("00"&amp;$D303,2)))</f>
        <v/>
      </c>
      <c r="F303">
        <f>IF(OR($E303="",$E303="نامعتبر"),"",LEFT($E303,4)&amp;"/"&amp;MID($E303,6,2))</f>
        <v/>
      </c>
      <c r="G303">
        <f>IF(OR($E303="",$E303="نامعتبر",Sync!$Y300=""),"",Sync!$Y300)</f>
        <v/>
      </c>
      <c r="H303">
        <f>IF($G303="","",IF(Sync!$X300="","",Sync!$X300))</f>
        <v/>
      </c>
      <c r="I303">
        <f>IF($G303="","",IFERROR(VLOOKUP(Sync!$X300,OpTbl,3,0),""))</f>
        <v/>
      </c>
      <c r="J303">
        <f>IF(OR($G303="",Sync!$Z300=""),"",Sync!$Z300)</f>
        <v/>
      </c>
      <c r="K303">
        <f>IF(OR($G303="",Sync!$AA300=""),"",Sync!$AA300)</f>
        <v/>
      </c>
      <c r="L303">
        <f>IF($G303="",0,IF(Sync!$AB300="",0,Sync!$AB300))</f>
        <v/>
      </c>
      <c r="M303">
        <f>IF($G303="",0,IF(Sync!$AC300="",0,Sync!$AC300))</f>
        <v/>
      </c>
      <c r="N303">
        <f>IF($G303="","",IF($H303="مرجوعی خرید",-1,1)*($L303-$M303*IFERROR(VLOOKUP("P01",ParamTbl,3,0),1.5))*(1-IF($I303="خرید",IFERROR(VLOOKUP("P02",ParamTbl,3,0),1),0)/100))</f>
        <v/>
      </c>
      <c r="O303">
        <f>IF($G303="",0,IF($H303="مرجوعی خرید",-1,1)*IF(Sync!$AD300="",0,Sync!$AD300))</f>
        <v/>
      </c>
      <c r="P303">
        <f>IF(OR($G303="",Sync!$W300=""),"",Sync!$W300)</f>
        <v/>
      </c>
      <c r="Q303">
        <f>IF(OR($G303="",Sync!$AE300=""),"",Sync!$AE300)</f>
        <v/>
      </c>
      <c r="R303">
        <f>IF($G303="","",IF(Sync!$V300="","0000",IF(AND(ISNUMBER(Sync!$V300),Sync!$V300&gt;=0,Sync!$V300&lt;1),RIGHT("00"&amp;HOUR(Sync!$V300),2)&amp;RIGHT("00"&amp;MINUTE(Sync!$V300),2),IFERROR(RIGHT("00"&amp;VALUE(LEFT(Sync!$V300,FIND(":",Sync!$V300)-1)),2)&amp;RIGHT("00"&amp;VALUE(MID(Sync!$V300,FIND(":",Sync!$V300)+1,2)),2),"0000"))))</f>
        <v/>
      </c>
    </row>
    <row r="304">
      <c r="A304">
        <f>IF(Sync!$U301="","",Sync!$U301)</f>
        <v/>
      </c>
      <c r="B304">
        <f>IF($A304="","",IF(ISNUMBER($A304),IF(AND($A304&gt;=10000101,$A304&lt;=99991231),INT($A304/10000),""),IFERROR(VALUE(TRIM(LEFT($A304,FIND("/",$A304)-1))),"")))</f>
        <v/>
      </c>
      <c r="C304">
        <f>IF(OR($A304="",$B304=""),"",IF(ISNUMBER($A304),INT(MOD($A304,10000)/100),IFERROR(VALUE(TRIM(LEFT(MID($A304,FIND("/",$A304)+1,20),FIND("/",MID($A304,FIND("/",$A304)+1,20))-1))),"")))</f>
        <v/>
      </c>
      <c r="D304">
        <f>IF(OR($A304="",$B304=""),"",IF(ISNUMBER($A304),MOD($A304,100),IFERROR(VALUE(TRIM(MID(MID($A304,FIND("/",$A304)+1,20),FIND("/",MID($A304,FIND("/",$A304)+1,20))+1,20))),"")))</f>
        <v/>
      </c>
      <c r="E304">
        <f>IF($A304="","",IF(OR($B304="",$C304="",$D304="",$B304&lt;1300,$B304&gt;1500,$C304&lt;1,$C304&gt;12,$D304&lt;1,$D304&gt;31),"نامعتبر",RIGHT("0000"&amp;$B304,4)&amp;"/"&amp;RIGHT("00"&amp;$C304,2)&amp;"/"&amp;RIGHT("00"&amp;$D304,2)))</f>
        <v/>
      </c>
      <c r="F304">
        <f>IF(OR($E304="",$E304="نامعتبر"),"",LEFT($E304,4)&amp;"/"&amp;MID($E304,6,2))</f>
        <v/>
      </c>
      <c r="G304">
        <f>IF(OR($E304="",$E304="نامعتبر",Sync!$Y301=""),"",Sync!$Y301)</f>
        <v/>
      </c>
      <c r="H304">
        <f>IF($G304="","",IF(Sync!$X301="","",Sync!$X301))</f>
        <v/>
      </c>
      <c r="I304">
        <f>IF($G304="","",IFERROR(VLOOKUP(Sync!$X301,OpTbl,3,0),""))</f>
        <v/>
      </c>
      <c r="J304">
        <f>IF(OR($G304="",Sync!$Z301=""),"",Sync!$Z301)</f>
        <v/>
      </c>
      <c r="K304">
        <f>IF(OR($G304="",Sync!$AA301=""),"",Sync!$AA301)</f>
        <v/>
      </c>
      <c r="L304">
        <f>IF($G304="",0,IF(Sync!$AB301="",0,Sync!$AB301))</f>
        <v/>
      </c>
      <c r="M304">
        <f>IF($G304="",0,IF(Sync!$AC301="",0,Sync!$AC301))</f>
        <v/>
      </c>
      <c r="N304">
        <f>IF($G304="","",IF($H304="مرجوعی خرید",-1,1)*($L304-$M304*IFERROR(VLOOKUP("P01",ParamTbl,3,0),1.5))*(1-IF($I304="خرید",IFERROR(VLOOKUP("P02",ParamTbl,3,0),1),0)/100))</f>
        <v/>
      </c>
      <c r="O304">
        <f>IF($G304="",0,IF($H304="مرجوعی خرید",-1,1)*IF(Sync!$AD301="",0,Sync!$AD301))</f>
        <v/>
      </c>
      <c r="P304">
        <f>IF(OR($G304="",Sync!$W301=""),"",Sync!$W301)</f>
        <v/>
      </c>
      <c r="Q304">
        <f>IF(OR($G304="",Sync!$AE301=""),"",Sync!$AE301)</f>
        <v/>
      </c>
      <c r="R304">
        <f>IF($G304="","",IF(Sync!$V301="","0000",IF(AND(ISNUMBER(Sync!$V301),Sync!$V301&gt;=0,Sync!$V301&lt;1),RIGHT("00"&amp;HOUR(Sync!$V301),2)&amp;RIGHT("00"&amp;MINUTE(Sync!$V301),2),IFERROR(RIGHT("00"&amp;VALUE(LEFT(Sync!$V301,FIND(":",Sync!$V301)-1)),2)&amp;RIGHT("00"&amp;VALUE(MID(Sync!$V301,FIND(":",Sync!$V301)+1,2)),2),"0000"))))</f>
        <v/>
      </c>
    </row>
    <row r="305">
      <c r="A305">
        <f>IF(Sync!$U302="","",Sync!$U302)</f>
        <v/>
      </c>
      <c r="B305">
        <f>IF($A305="","",IF(ISNUMBER($A305),IF(AND($A305&gt;=10000101,$A305&lt;=99991231),INT($A305/10000),""),IFERROR(VALUE(TRIM(LEFT($A305,FIND("/",$A305)-1))),"")))</f>
        <v/>
      </c>
      <c r="C305">
        <f>IF(OR($A305="",$B305=""),"",IF(ISNUMBER($A305),INT(MOD($A305,10000)/100),IFERROR(VALUE(TRIM(LEFT(MID($A305,FIND("/",$A305)+1,20),FIND("/",MID($A305,FIND("/",$A305)+1,20))-1))),"")))</f>
        <v/>
      </c>
      <c r="D305">
        <f>IF(OR($A305="",$B305=""),"",IF(ISNUMBER($A305),MOD($A305,100),IFERROR(VALUE(TRIM(MID(MID($A305,FIND("/",$A305)+1,20),FIND("/",MID($A305,FIND("/",$A305)+1,20))+1,20))),"")))</f>
        <v/>
      </c>
      <c r="E305">
        <f>IF($A305="","",IF(OR($B305="",$C305="",$D305="",$B305&lt;1300,$B305&gt;1500,$C305&lt;1,$C305&gt;12,$D305&lt;1,$D305&gt;31),"نامعتبر",RIGHT("0000"&amp;$B305,4)&amp;"/"&amp;RIGHT("00"&amp;$C305,2)&amp;"/"&amp;RIGHT("00"&amp;$D305,2)))</f>
        <v/>
      </c>
      <c r="F305">
        <f>IF(OR($E305="",$E305="نامعتبر"),"",LEFT($E305,4)&amp;"/"&amp;MID($E305,6,2))</f>
        <v/>
      </c>
      <c r="G305">
        <f>IF(OR($E305="",$E305="نامعتبر",Sync!$Y302=""),"",Sync!$Y302)</f>
        <v/>
      </c>
      <c r="H305">
        <f>IF($G305="","",IF(Sync!$X302="","",Sync!$X302))</f>
        <v/>
      </c>
      <c r="I305">
        <f>IF($G305="","",IFERROR(VLOOKUP(Sync!$X302,OpTbl,3,0),""))</f>
        <v/>
      </c>
      <c r="J305">
        <f>IF(OR($G305="",Sync!$Z302=""),"",Sync!$Z302)</f>
        <v/>
      </c>
      <c r="K305">
        <f>IF(OR($G305="",Sync!$AA302=""),"",Sync!$AA302)</f>
        <v/>
      </c>
      <c r="L305">
        <f>IF($G305="",0,IF(Sync!$AB302="",0,Sync!$AB302))</f>
        <v/>
      </c>
      <c r="M305">
        <f>IF($G305="",0,IF(Sync!$AC302="",0,Sync!$AC302))</f>
        <v/>
      </c>
      <c r="N305">
        <f>IF($G305="","",IF($H305="مرجوعی خرید",-1,1)*($L305-$M305*IFERROR(VLOOKUP("P01",ParamTbl,3,0),1.5))*(1-IF($I305="خرید",IFERROR(VLOOKUP("P02",ParamTbl,3,0),1),0)/100))</f>
        <v/>
      </c>
      <c r="O305">
        <f>IF($G305="",0,IF($H305="مرجوعی خرید",-1,1)*IF(Sync!$AD302="",0,Sync!$AD302))</f>
        <v/>
      </c>
      <c r="P305">
        <f>IF(OR($G305="",Sync!$W302=""),"",Sync!$W302)</f>
        <v/>
      </c>
      <c r="Q305">
        <f>IF(OR($G305="",Sync!$AE302=""),"",Sync!$AE302)</f>
        <v/>
      </c>
      <c r="R305">
        <f>IF($G305="","",IF(Sync!$V302="","0000",IF(AND(ISNUMBER(Sync!$V302),Sync!$V302&gt;=0,Sync!$V302&lt;1),RIGHT("00"&amp;HOUR(Sync!$V302),2)&amp;RIGHT("00"&amp;MINUTE(Sync!$V302),2),IFERROR(RIGHT("00"&amp;VALUE(LEFT(Sync!$V302,FIND(":",Sync!$V302)-1)),2)&amp;RIGHT("00"&amp;VALUE(MID(Sync!$V302,FIND(":",Sync!$V302)+1,2)),2),"0000"))))</f>
        <v/>
      </c>
    </row>
    <row r="306">
      <c r="A306">
        <f>IF(Sync!$U303="","",Sync!$U303)</f>
        <v/>
      </c>
      <c r="B306">
        <f>IF($A306="","",IF(ISNUMBER($A306),IF(AND($A306&gt;=10000101,$A306&lt;=99991231),INT($A306/10000),""),IFERROR(VALUE(TRIM(LEFT($A306,FIND("/",$A306)-1))),"")))</f>
        <v/>
      </c>
      <c r="C306">
        <f>IF(OR($A306="",$B306=""),"",IF(ISNUMBER($A306),INT(MOD($A306,10000)/100),IFERROR(VALUE(TRIM(LEFT(MID($A306,FIND("/",$A306)+1,20),FIND("/",MID($A306,FIND("/",$A306)+1,20))-1))),"")))</f>
        <v/>
      </c>
      <c r="D306">
        <f>IF(OR($A306="",$B306=""),"",IF(ISNUMBER($A306),MOD($A306,100),IFERROR(VALUE(TRIM(MID(MID($A306,FIND("/",$A306)+1,20),FIND("/",MID($A306,FIND("/",$A306)+1,20))+1,20))),"")))</f>
        <v/>
      </c>
      <c r="E306">
        <f>IF($A306="","",IF(OR($B306="",$C306="",$D306="",$B306&lt;1300,$B306&gt;1500,$C306&lt;1,$C306&gt;12,$D306&lt;1,$D306&gt;31),"نامعتبر",RIGHT("0000"&amp;$B306,4)&amp;"/"&amp;RIGHT("00"&amp;$C306,2)&amp;"/"&amp;RIGHT("00"&amp;$D306,2)))</f>
        <v/>
      </c>
      <c r="F306">
        <f>IF(OR($E306="",$E306="نامعتبر"),"",LEFT($E306,4)&amp;"/"&amp;MID($E306,6,2))</f>
        <v/>
      </c>
      <c r="G306">
        <f>IF(OR($E306="",$E306="نامعتبر",Sync!$Y303=""),"",Sync!$Y303)</f>
        <v/>
      </c>
      <c r="H306">
        <f>IF($G306="","",IF(Sync!$X303="","",Sync!$X303))</f>
        <v/>
      </c>
      <c r="I306">
        <f>IF($G306="","",IFERROR(VLOOKUP(Sync!$X303,OpTbl,3,0),""))</f>
        <v/>
      </c>
      <c r="J306">
        <f>IF(OR($G306="",Sync!$Z303=""),"",Sync!$Z303)</f>
        <v/>
      </c>
      <c r="K306">
        <f>IF(OR($G306="",Sync!$AA303=""),"",Sync!$AA303)</f>
        <v/>
      </c>
      <c r="L306">
        <f>IF($G306="",0,IF(Sync!$AB303="",0,Sync!$AB303))</f>
        <v/>
      </c>
      <c r="M306">
        <f>IF($G306="",0,IF(Sync!$AC303="",0,Sync!$AC303))</f>
        <v/>
      </c>
      <c r="N306">
        <f>IF($G306="","",IF($H306="مرجوعی خرید",-1,1)*($L306-$M306*IFERROR(VLOOKUP("P01",ParamTbl,3,0),1.5))*(1-IF($I306="خرید",IFERROR(VLOOKUP("P02",ParamTbl,3,0),1),0)/100))</f>
        <v/>
      </c>
      <c r="O306">
        <f>IF($G306="",0,IF($H306="مرجوعی خرید",-1,1)*IF(Sync!$AD303="",0,Sync!$AD303))</f>
        <v/>
      </c>
      <c r="P306">
        <f>IF(OR($G306="",Sync!$W303=""),"",Sync!$W303)</f>
        <v/>
      </c>
      <c r="Q306">
        <f>IF(OR($G306="",Sync!$AE303=""),"",Sync!$AE303)</f>
        <v/>
      </c>
      <c r="R306">
        <f>IF($G306="","",IF(Sync!$V303="","0000",IF(AND(ISNUMBER(Sync!$V303),Sync!$V303&gt;=0,Sync!$V303&lt;1),RIGHT("00"&amp;HOUR(Sync!$V303),2)&amp;RIGHT("00"&amp;MINUTE(Sync!$V303),2),IFERROR(RIGHT("00"&amp;VALUE(LEFT(Sync!$V303,FIND(":",Sync!$V303)-1)),2)&amp;RIGHT("00"&amp;VALUE(MID(Sync!$V303,FIND(":",Sync!$V303)+1,2)),2),"0000"))))</f>
        <v/>
      </c>
    </row>
    <row r="307">
      <c r="A307">
        <f>IF(Sync!$U304="","",Sync!$U304)</f>
        <v/>
      </c>
      <c r="B307">
        <f>IF($A307="","",IF(ISNUMBER($A307),IF(AND($A307&gt;=10000101,$A307&lt;=99991231),INT($A307/10000),""),IFERROR(VALUE(TRIM(LEFT($A307,FIND("/",$A307)-1))),"")))</f>
        <v/>
      </c>
      <c r="C307">
        <f>IF(OR($A307="",$B307=""),"",IF(ISNUMBER($A307),INT(MOD($A307,10000)/100),IFERROR(VALUE(TRIM(LEFT(MID($A307,FIND("/",$A307)+1,20),FIND("/",MID($A307,FIND("/",$A307)+1,20))-1))),"")))</f>
        <v/>
      </c>
      <c r="D307">
        <f>IF(OR($A307="",$B307=""),"",IF(ISNUMBER($A307),MOD($A307,100),IFERROR(VALUE(TRIM(MID(MID($A307,FIND("/",$A307)+1,20),FIND("/",MID($A307,FIND("/",$A307)+1,20))+1,20))),"")))</f>
        <v/>
      </c>
      <c r="E307">
        <f>IF($A307="","",IF(OR($B307="",$C307="",$D307="",$B307&lt;1300,$B307&gt;1500,$C307&lt;1,$C307&gt;12,$D307&lt;1,$D307&gt;31),"نامعتبر",RIGHT("0000"&amp;$B307,4)&amp;"/"&amp;RIGHT("00"&amp;$C307,2)&amp;"/"&amp;RIGHT("00"&amp;$D307,2)))</f>
        <v/>
      </c>
      <c r="F307">
        <f>IF(OR($E307="",$E307="نامعتبر"),"",LEFT($E307,4)&amp;"/"&amp;MID($E307,6,2))</f>
        <v/>
      </c>
      <c r="G307">
        <f>IF(OR($E307="",$E307="نامعتبر",Sync!$Y304=""),"",Sync!$Y304)</f>
        <v/>
      </c>
      <c r="H307">
        <f>IF($G307="","",IF(Sync!$X304="","",Sync!$X304))</f>
        <v/>
      </c>
      <c r="I307">
        <f>IF($G307="","",IFERROR(VLOOKUP(Sync!$X304,OpTbl,3,0),""))</f>
        <v/>
      </c>
      <c r="J307">
        <f>IF(OR($G307="",Sync!$Z304=""),"",Sync!$Z304)</f>
        <v/>
      </c>
      <c r="K307">
        <f>IF(OR($G307="",Sync!$AA304=""),"",Sync!$AA304)</f>
        <v/>
      </c>
      <c r="L307">
        <f>IF($G307="",0,IF(Sync!$AB304="",0,Sync!$AB304))</f>
        <v/>
      </c>
      <c r="M307">
        <f>IF($G307="",0,IF(Sync!$AC304="",0,Sync!$AC304))</f>
        <v/>
      </c>
      <c r="N307">
        <f>IF($G307="","",IF($H307="مرجوعی خرید",-1,1)*($L307-$M307*IFERROR(VLOOKUP("P01",ParamTbl,3,0),1.5))*(1-IF($I307="خرید",IFERROR(VLOOKUP("P02",ParamTbl,3,0),1),0)/100))</f>
        <v/>
      </c>
      <c r="O307">
        <f>IF($G307="",0,IF($H307="مرجوعی خرید",-1,1)*IF(Sync!$AD304="",0,Sync!$AD304))</f>
        <v/>
      </c>
      <c r="P307">
        <f>IF(OR($G307="",Sync!$W304=""),"",Sync!$W304)</f>
        <v/>
      </c>
      <c r="Q307">
        <f>IF(OR($G307="",Sync!$AE304=""),"",Sync!$AE304)</f>
        <v/>
      </c>
      <c r="R307">
        <f>IF($G307="","",IF(Sync!$V304="","0000",IF(AND(ISNUMBER(Sync!$V304),Sync!$V304&gt;=0,Sync!$V304&lt;1),RIGHT("00"&amp;HOUR(Sync!$V304),2)&amp;RIGHT("00"&amp;MINUTE(Sync!$V304),2),IFERROR(RIGHT("00"&amp;VALUE(LEFT(Sync!$V304,FIND(":",Sync!$V304)-1)),2)&amp;RIGHT("00"&amp;VALUE(MID(Sync!$V304,FIND(":",Sync!$V304)+1,2)),2),"0000"))))</f>
        <v/>
      </c>
    </row>
    <row r="308">
      <c r="A308">
        <f>IF(Sync!$U305="","",Sync!$U305)</f>
        <v/>
      </c>
      <c r="B308">
        <f>IF($A308="","",IF(ISNUMBER($A308),IF(AND($A308&gt;=10000101,$A308&lt;=99991231),INT($A308/10000),""),IFERROR(VALUE(TRIM(LEFT($A308,FIND("/",$A308)-1))),"")))</f>
        <v/>
      </c>
      <c r="C308">
        <f>IF(OR($A308="",$B308=""),"",IF(ISNUMBER($A308),INT(MOD($A308,10000)/100),IFERROR(VALUE(TRIM(LEFT(MID($A308,FIND("/",$A308)+1,20),FIND("/",MID($A308,FIND("/",$A308)+1,20))-1))),"")))</f>
        <v/>
      </c>
      <c r="D308">
        <f>IF(OR($A308="",$B308=""),"",IF(ISNUMBER($A308),MOD($A308,100),IFERROR(VALUE(TRIM(MID(MID($A308,FIND("/",$A308)+1,20),FIND("/",MID($A308,FIND("/",$A308)+1,20))+1,20))),"")))</f>
        <v/>
      </c>
      <c r="E308">
        <f>IF($A308="","",IF(OR($B308="",$C308="",$D308="",$B308&lt;1300,$B308&gt;1500,$C308&lt;1,$C308&gt;12,$D308&lt;1,$D308&gt;31),"نامعتبر",RIGHT("0000"&amp;$B308,4)&amp;"/"&amp;RIGHT("00"&amp;$C308,2)&amp;"/"&amp;RIGHT("00"&amp;$D308,2)))</f>
        <v/>
      </c>
      <c r="F308">
        <f>IF(OR($E308="",$E308="نامعتبر"),"",LEFT($E308,4)&amp;"/"&amp;MID($E308,6,2))</f>
        <v/>
      </c>
      <c r="G308">
        <f>IF(OR($E308="",$E308="نامعتبر",Sync!$Y305=""),"",Sync!$Y305)</f>
        <v/>
      </c>
      <c r="H308">
        <f>IF($G308="","",IF(Sync!$X305="","",Sync!$X305))</f>
        <v/>
      </c>
      <c r="I308">
        <f>IF($G308="","",IFERROR(VLOOKUP(Sync!$X305,OpTbl,3,0),""))</f>
        <v/>
      </c>
      <c r="J308">
        <f>IF(OR($G308="",Sync!$Z305=""),"",Sync!$Z305)</f>
        <v/>
      </c>
      <c r="K308">
        <f>IF(OR($G308="",Sync!$AA305=""),"",Sync!$AA305)</f>
        <v/>
      </c>
      <c r="L308">
        <f>IF($G308="",0,IF(Sync!$AB305="",0,Sync!$AB305))</f>
        <v/>
      </c>
      <c r="M308">
        <f>IF($G308="",0,IF(Sync!$AC305="",0,Sync!$AC305))</f>
        <v/>
      </c>
      <c r="N308">
        <f>IF($G308="","",IF($H308="مرجوعی خرید",-1,1)*($L308-$M308*IFERROR(VLOOKUP("P01",ParamTbl,3,0),1.5))*(1-IF($I308="خرید",IFERROR(VLOOKUP("P02",ParamTbl,3,0),1),0)/100))</f>
        <v/>
      </c>
      <c r="O308">
        <f>IF($G308="",0,IF($H308="مرجوعی خرید",-1,1)*IF(Sync!$AD305="",0,Sync!$AD305))</f>
        <v/>
      </c>
      <c r="P308">
        <f>IF(OR($G308="",Sync!$W305=""),"",Sync!$W305)</f>
        <v/>
      </c>
      <c r="Q308">
        <f>IF(OR($G308="",Sync!$AE305=""),"",Sync!$AE305)</f>
        <v/>
      </c>
      <c r="R308">
        <f>IF($G308="","",IF(Sync!$V305="","0000",IF(AND(ISNUMBER(Sync!$V305),Sync!$V305&gt;=0,Sync!$V305&lt;1),RIGHT("00"&amp;HOUR(Sync!$V305),2)&amp;RIGHT("00"&amp;MINUTE(Sync!$V305),2),IFERROR(RIGHT("00"&amp;VALUE(LEFT(Sync!$V305,FIND(":",Sync!$V305)-1)),2)&amp;RIGHT("00"&amp;VALUE(MID(Sync!$V305,FIND(":",Sync!$V305)+1,2)),2),"0000"))))</f>
        <v/>
      </c>
    </row>
    <row r="309">
      <c r="A309">
        <f>IF(Sync!$U306="","",Sync!$U306)</f>
        <v/>
      </c>
      <c r="B309">
        <f>IF($A309="","",IF(ISNUMBER($A309),IF(AND($A309&gt;=10000101,$A309&lt;=99991231),INT($A309/10000),""),IFERROR(VALUE(TRIM(LEFT($A309,FIND("/",$A309)-1))),"")))</f>
        <v/>
      </c>
      <c r="C309">
        <f>IF(OR($A309="",$B309=""),"",IF(ISNUMBER($A309),INT(MOD($A309,10000)/100),IFERROR(VALUE(TRIM(LEFT(MID($A309,FIND("/",$A309)+1,20),FIND("/",MID($A309,FIND("/",$A309)+1,20))-1))),"")))</f>
        <v/>
      </c>
      <c r="D309">
        <f>IF(OR($A309="",$B309=""),"",IF(ISNUMBER($A309),MOD($A309,100),IFERROR(VALUE(TRIM(MID(MID($A309,FIND("/",$A309)+1,20),FIND("/",MID($A309,FIND("/",$A309)+1,20))+1,20))),"")))</f>
        <v/>
      </c>
      <c r="E309">
        <f>IF($A309="","",IF(OR($B309="",$C309="",$D309="",$B309&lt;1300,$B309&gt;1500,$C309&lt;1,$C309&gt;12,$D309&lt;1,$D309&gt;31),"نامعتبر",RIGHT("0000"&amp;$B309,4)&amp;"/"&amp;RIGHT("00"&amp;$C309,2)&amp;"/"&amp;RIGHT("00"&amp;$D309,2)))</f>
        <v/>
      </c>
      <c r="F309">
        <f>IF(OR($E309="",$E309="نامعتبر"),"",LEFT($E309,4)&amp;"/"&amp;MID($E309,6,2))</f>
        <v/>
      </c>
      <c r="G309">
        <f>IF(OR($E309="",$E309="نامعتبر",Sync!$Y306=""),"",Sync!$Y306)</f>
        <v/>
      </c>
      <c r="H309">
        <f>IF($G309="","",IF(Sync!$X306="","",Sync!$X306))</f>
        <v/>
      </c>
      <c r="I309">
        <f>IF($G309="","",IFERROR(VLOOKUP(Sync!$X306,OpTbl,3,0),""))</f>
        <v/>
      </c>
      <c r="J309">
        <f>IF(OR($G309="",Sync!$Z306=""),"",Sync!$Z306)</f>
        <v/>
      </c>
      <c r="K309">
        <f>IF(OR($G309="",Sync!$AA306=""),"",Sync!$AA306)</f>
        <v/>
      </c>
      <c r="L309">
        <f>IF($G309="",0,IF(Sync!$AB306="",0,Sync!$AB306))</f>
        <v/>
      </c>
      <c r="M309">
        <f>IF($G309="",0,IF(Sync!$AC306="",0,Sync!$AC306))</f>
        <v/>
      </c>
      <c r="N309">
        <f>IF($G309="","",IF($H309="مرجوعی خرید",-1,1)*($L309-$M309*IFERROR(VLOOKUP("P01",ParamTbl,3,0),1.5))*(1-IF($I309="خرید",IFERROR(VLOOKUP("P02",ParamTbl,3,0),1),0)/100))</f>
        <v/>
      </c>
      <c r="O309">
        <f>IF($G309="",0,IF($H309="مرجوعی خرید",-1,1)*IF(Sync!$AD306="",0,Sync!$AD306))</f>
        <v/>
      </c>
      <c r="P309">
        <f>IF(OR($G309="",Sync!$W306=""),"",Sync!$W306)</f>
        <v/>
      </c>
      <c r="Q309">
        <f>IF(OR($G309="",Sync!$AE306=""),"",Sync!$AE306)</f>
        <v/>
      </c>
      <c r="R309">
        <f>IF($G309="","",IF(Sync!$V306="","0000",IF(AND(ISNUMBER(Sync!$V306),Sync!$V306&gt;=0,Sync!$V306&lt;1),RIGHT("00"&amp;HOUR(Sync!$V306),2)&amp;RIGHT("00"&amp;MINUTE(Sync!$V306),2),IFERROR(RIGHT("00"&amp;VALUE(LEFT(Sync!$V306,FIND(":",Sync!$V306)-1)),2)&amp;RIGHT("00"&amp;VALUE(MID(Sync!$V306,FIND(":",Sync!$V306)+1,2)),2),"0000"))))</f>
        <v/>
      </c>
    </row>
    <row r="310">
      <c r="A310">
        <f>IF(Sync!$U307="","",Sync!$U307)</f>
        <v/>
      </c>
      <c r="B310">
        <f>IF($A310="","",IF(ISNUMBER($A310),IF(AND($A310&gt;=10000101,$A310&lt;=99991231),INT($A310/10000),""),IFERROR(VALUE(TRIM(LEFT($A310,FIND("/",$A310)-1))),"")))</f>
        <v/>
      </c>
      <c r="C310">
        <f>IF(OR($A310="",$B310=""),"",IF(ISNUMBER($A310),INT(MOD($A310,10000)/100),IFERROR(VALUE(TRIM(LEFT(MID($A310,FIND("/",$A310)+1,20),FIND("/",MID($A310,FIND("/",$A310)+1,20))-1))),"")))</f>
        <v/>
      </c>
      <c r="D310">
        <f>IF(OR($A310="",$B310=""),"",IF(ISNUMBER($A310),MOD($A310,100),IFERROR(VALUE(TRIM(MID(MID($A310,FIND("/",$A310)+1,20),FIND("/",MID($A310,FIND("/",$A310)+1,20))+1,20))),"")))</f>
        <v/>
      </c>
      <c r="E310">
        <f>IF($A310="","",IF(OR($B310="",$C310="",$D310="",$B310&lt;1300,$B310&gt;1500,$C310&lt;1,$C310&gt;12,$D310&lt;1,$D310&gt;31),"نامعتبر",RIGHT("0000"&amp;$B310,4)&amp;"/"&amp;RIGHT("00"&amp;$C310,2)&amp;"/"&amp;RIGHT("00"&amp;$D310,2)))</f>
        <v/>
      </c>
      <c r="F310">
        <f>IF(OR($E310="",$E310="نامعتبر"),"",LEFT($E310,4)&amp;"/"&amp;MID($E310,6,2))</f>
        <v/>
      </c>
      <c r="G310">
        <f>IF(OR($E310="",$E310="نامعتبر",Sync!$Y307=""),"",Sync!$Y307)</f>
        <v/>
      </c>
      <c r="H310">
        <f>IF($G310="","",IF(Sync!$X307="","",Sync!$X307))</f>
        <v/>
      </c>
      <c r="I310">
        <f>IF($G310="","",IFERROR(VLOOKUP(Sync!$X307,OpTbl,3,0),""))</f>
        <v/>
      </c>
      <c r="J310">
        <f>IF(OR($G310="",Sync!$Z307=""),"",Sync!$Z307)</f>
        <v/>
      </c>
      <c r="K310">
        <f>IF(OR($G310="",Sync!$AA307=""),"",Sync!$AA307)</f>
        <v/>
      </c>
      <c r="L310">
        <f>IF($G310="",0,IF(Sync!$AB307="",0,Sync!$AB307))</f>
        <v/>
      </c>
      <c r="M310">
        <f>IF($G310="",0,IF(Sync!$AC307="",0,Sync!$AC307))</f>
        <v/>
      </c>
      <c r="N310">
        <f>IF($G310="","",IF($H310="مرجوعی خرید",-1,1)*($L310-$M310*IFERROR(VLOOKUP("P01",ParamTbl,3,0),1.5))*(1-IF($I310="خرید",IFERROR(VLOOKUP("P02",ParamTbl,3,0),1),0)/100))</f>
        <v/>
      </c>
      <c r="O310">
        <f>IF($G310="",0,IF($H310="مرجوعی خرید",-1,1)*IF(Sync!$AD307="",0,Sync!$AD307))</f>
        <v/>
      </c>
      <c r="P310">
        <f>IF(OR($G310="",Sync!$W307=""),"",Sync!$W307)</f>
        <v/>
      </c>
      <c r="Q310">
        <f>IF(OR($G310="",Sync!$AE307=""),"",Sync!$AE307)</f>
        <v/>
      </c>
      <c r="R310">
        <f>IF($G310="","",IF(Sync!$V307="","0000",IF(AND(ISNUMBER(Sync!$V307),Sync!$V307&gt;=0,Sync!$V307&lt;1),RIGHT("00"&amp;HOUR(Sync!$V307),2)&amp;RIGHT("00"&amp;MINUTE(Sync!$V307),2),IFERROR(RIGHT("00"&amp;VALUE(LEFT(Sync!$V307,FIND(":",Sync!$V307)-1)),2)&amp;RIGHT("00"&amp;VALUE(MID(Sync!$V307,FIND(":",Sync!$V307)+1,2)),2),"0000"))))</f>
        <v/>
      </c>
    </row>
    <row r="311">
      <c r="A311">
        <f>IF(Sync!$U308="","",Sync!$U308)</f>
        <v/>
      </c>
      <c r="B311">
        <f>IF($A311="","",IF(ISNUMBER($A311),IF(AND($A311&gt;=10000101,$A311&lt;=99991231),INT($A311/10000),""),IFERROR(VALUE(TRIM(LEFT($A311,FIND("/",$A311)-1))),"")))</f>
        <v/>
      </c>
      <c r="C311">
        <f>IF(OR($A311="",$B311=""),"",IF(ISNUMBER($A311),INT(MOD($A311,10000)/100),IFERROR(VALUE(TRIM(LEFT(MID($A311,FIND("/",$A311)+1,20),FIND("/",MID($A311,FIND("/",$A311)+1,20))-1))),"")))</f>
        <v/>
      </c>
      <c r="D311">
        <f>IF(OR($A311="",$B311=""),"",IF(ISNUMBER($A311),MOD($A311,100),IFERROR(VALUE(TRIM(MID(MID($A311,FIND("/",$A311)+1,20),FIND("/",MID($A311,FIND("/",$A311)+1,20))+1,20))),"")))</f>
        <v/>
      </c>
      <c r="E311">
        <f>IF($A311="","",IF(OR($B311="",$C311="",$D311="",$B311&lt;1300,$B311&gt;1500,$C311&lt;1,$C311&gt;12,$D311&lt;1,$D311&gt;31),"نامعتبر",RIGHT("0000"&amp;$B311,4)&amp;"/"&amp;RIGHT("00"&amp;$C311,2)&amp;"/"&amp;RIGHT("00"&amp;$D311,2)))</f>
        <v/>
      </c>
      <c r="F311">
        <f>IF(OR($E311="",$E311="نامعتبر"),"",LEFT($E311,4)&amp;"/"&amp;MID($E311,6,2))</f>
        <v/>
      </c>
      <c r="G311">
        <f>IF(OR($E311="",$E311="نامعتبر",Sync!$Y308=""),"",Sync!$Y308)</f>
        <v/>
      </c>
      <c r="H311">
        <f>IF($G311="","",IF(Sync!$X308="","",Sync!$X308))</f>
        <v/>
      </c>
      <c r="I311">
        <f>IF($G311="","",IFERROR(VLOOKUP(Sync!$X308,OpTbl,3,0),""))</f>
        <v/>
      </c>
      <c r="J311">
        <f>IF(OR($G311="",Sync!$Z308=""),"",Sync!$Z308)</f>
        <v/>
      </c>
      <c r="K311">
        <f>IF(OR($G311="",Sync!$AA308=""),"",Sync!$AA308)</f>
        <v/>
      </c>
      <c r="L311">
        <f>IF($G311="",0,IF(Sync!$AB308="",0,Sync!$AB308))</f>
        <v/>
      </c>
      <c r="M311">
        <f>IF($G311="",0,IF(Sync!$AC308="",0,Sync!$AC308))</f>
        <v/>
      </c>
      <c r="N311">
        <f>IF($G311="","",IF($H311="مرجوعی خرید",-1,1)*($L311-$M311*IFERROR(VLOOKUP("P01",ParamTbl,3,0),1.5))*(1-IF($I311="خرید",IFERROR(VLOOKUP("P02",ParamTbl,3,0),1),0)/100))</f>
        <v/>
      </c>
      <c r="O311">
        <f>IF($G311="",0,IF($H311="مرجوعی خرید",-1,1)*IF(Sync!$AD308="",0,Sync!$AD308))</f>
        <v/>
      </c>
      <c r="P311">
        <f>IF(OR($G311="",Sync!$W308=""),"",Sync!$W308)</f>
        <v/>
      </c>
      <c r="Q311">
        <f>IF(OR($G311="",Sync!$AE308=""),"",Sync!$AE308)</f>
        <v/>
      </c>
      <c r="R311">
        <f>IF($G311="","",IF(Sync!$V308="","0000",IF(AND(ISNUMBER(Sync!$V308),Sync!$V308&gt;=0,Sync!$V308&lt;1),RIGHT("00"&amp;HOUR(Sync!$V308),2)&amp;RIGHT("00"&amp;MINUTE(Sync!$V308),2),IFERROR(RIGHT("00"&amp;VALUE(LEFT(Sync!$V308,FIND(":",Sync!$V308)-1)),2)&amp;RIGHT("00"&amp;VALUE(MID(Sync!$V308,FIND(":",Sync!$V308)+1,2)),2),"0000"))))</f>
        <v/>
      </c>
    </row>
    <row r="312">
      <c r="A312">
        <f>IF(Sync!$U309="","",Sync!$U309)</f>
        <v/>
      </c>
      <c r="B312">
        <f>IF($A312="","",IF(ISNUMBER($A312),IF(AND($A312&gt;=10000101,$A312&lt;=99991231),INT($A312/10000),""),IFERROR(VALUE(TRIM(LEFT($A312,FIND("/",$A312)-1))),"")))</f>
        <v/>
      </c>
      <c r="C312">
        <f>IF(OR($A312="",$B312=""),"",IF(ISNUMBER($A312),INT(MOD($A312,10000)/100),IFERROR(VALUE(TRIM(LEFT(MID($A312,FIND("/",$A312)+1,20),FIND("/",MID($A312,FIND("/",$A312)+1,20))-1))),"")))</f>
        <v/>
      </c>
      <c r="D312">
        <f>IF(OR($A312="",$B312=""),"",IF(ISNUMBER($A312),MOD($A312,100),IFERROR(VALUE(TRIM(MID(MID($A312,FIND("/",$A312)+1,20),FIND("/",MID($A312,FIND("/",$A312)+1,20))+1,20))),"")))</f>
        <v/>
      </c>
      <c r="E312">
        <f>IF($A312="","",IF(OR($B312="",$C312="",$D312="",$B312&lt;1300,$B312&gt;1500,$C312&lt;1,$C312&gt;12,$D312&lt;1,$D312&gt;31),"نامعتبر",RIGHT("0000"&amp;$B312,4)&amp;"/"&amp;RIGHT("00"&amp;$C312,2)&amp;"/"&amp;RIGHT("00"&amp;$D312,2)))</f>
        <v/>
      </c>
      <c r="F312">
        <f>IF(OR($E312="",$E312="نامعتبر"),"",LEFT($E312,4)&amp;"/"&amp;MID($E312,6,2))</f>
        <v/>
      </c>
      <c r="G312">
        <f>IF(OR($E312="",$E312="نامعتبر",Sync!$Y309=""),"",Sync!$Y309)</f>
        <v/>
      </c>
      <c r="H312">
        <f>IF($G312="","",IF(Sync!$X309="","",Sync!$X309))</f>
        <v/>
      </c>
      <c r="I312">
        <f>IF($G312="","",IFERROR(VLOOKUP(Sync!$X309,OpTbl,3,0),""))</f>
        <v/>
      </c>
      <c r="J312">
        <f>IF(OR($G312="",Sync!$Z309=""),"",Sync!$Z309)</f>
        <v/>
      </c>
      <c r="K312">
        <f>IF(OR($G312="",Sync!$AA309=""),"",Sync!$AA309)</f>
        <v/>
      </c>
      <c r="L312">
        <f>IF($G312="",0,IF(Sync!$AB309="",0,Sync!$AB309))</f>
        <v/>
      </c>
      <c r="M312">
        <f>IF($G312="",0,IF(Sync!$AC309="",0,Sync!$AC309))</f>
        <v/>
      </c>
      <c r="N312">
        <f>IF($G312="","",IF($H312="مرجوعی خرید",-1,1)*($L312-$M312*IFERROR(VLOOKUP("P01",ParamTbl,3,0),1.5))*(1-IF($I312="خرید",IFERROR(VLOOKUP("P02",ParamTbl,3,0),1),0)/100))</f>
        <v/>
      </c>
      <c r="O312">
        <f>IF($G312="",0,IF($H312="مرجوعی خرید",-1,1)*IF(Sync!$AD309="",0,Sync!$AD309))</f>
        <v/>
      </c>
      <c r="P312">
        <f>IF(OR($G312="",Sync!$W309=""),"",Sync!$W309)</f>
        <v/>
      </c>
      <c r="Q312">
        <f>IF(OR($G312="",Sync!$AE309=""),"",Sync!$AE309)</f>
        <v/>
      </c>
      <c r="R312">
        <f>IF($G312="","",IF(Sync!$V309="","0000",IF(AND(ISNUMBER(Sync!$V309),Sync!$V309&gt;=0,Sync!$V309&lt;1),RIGHT("00"&amp;HOUR(Sync!$V309),2)&amp;RIGHT("00"&amp;MINUTE(Sync!$V309),2),IFERROR(RIGHT("00"&amp;VALUE(LEFT(Sync!$V309,FIND(":",Sync!$V309)-1)),2)&amp;RIGHT("00"&amp;VALUE(MID(Sync!$V309,FIND(":",Sync!$V309)+1,2)),2),"0000"))))</f>
        <v/>
      </c>
    </row>
    <row r="313">
      <c r="A313">
        <f>IF(Sync!$U310="","",Sync!$U310)</f>
        <v/>
      </c>
      <c r="B313">
        <f>IF($A313="","",IF(ISNUMBER($A313),IF(AND($A313&gt;=10000101,$A313&lt;=99991231),INT($A313/10000),""),IFERROR(VALUE(TRIM(LEFT($A313,FIND("/",$A313)-1))),"")))</f>
        <v/>
      </c>
      <c r="C313">
        <f>IF(OR($A313="",$B313=""),"",IF(ISNUMBER($A313),INT(MOD($A313,10000)/100),IFERROR(VALUE(TRIM(LEFT(MID($A313,FIND("/",$A313)+1,20),FIND("/",MID($A313,FIND("/",$A313)+1,20))-1))),"")))</f>
        <v/>
      </c>
      <c r="D313">
        <f>IF(OR($A313="",$B313=""),"",IF(ISNUMBER($A313),MOD($A313,100),IFERROR(VALUE(TRIM(MID(MID($A313,FIND("/",$A313)+1,20),FIND("/",MID($A313,FIND("/",$A313)+1,20))+1,20))),"")))</f>
        <v/>
      </c>
      <c r="E313">
        <f>IF($A313="","",IF(OR($B313="",$C313="",$D313="",$B313&lt;1300,$B313&gt;1500,$C313&lt;1,$C313&gt;12,$D313&lt;1,$D313&gt;31),"نامعتبر",RIGHT("0000"&amp;$B313,4)&amp;"/"&amp;RIGHT("00"&amp;$C313,2)&amp;"/"&amp;RIGHT("00"&amp;$D313,2)))</f>
        <v/>
      </c>
      <c r="F313">
        <f>IF(OR($E313="",$E313="نامعتبر"),"",LEFT($E313,4)&amp;"/"&amp;MID($E313,6,2))</f>
        <v/>
      </c>
      <c r="G313">
        <f>IF(OR($E313="",$E313="نامعتبر",Sync!$Y310=""),"",Sync!$Y310)</f>
        <v/>
      </c>
      <c r="H313">
        <f>IF($G313="","",IF(Sync!$X310="","",Sync!$X310))</f>
        <v/>
      </c>
      <c r="I313">
        <f>IF($G313="","",IFERROR(VLOOKUP(Sync!$X310,OpTbl,3,0),""))</f>
        <v/>
      </c>
      <c r="J313">
        <f>IF(OR($G313="",Sync!$Z310=""),"",Sync!$Z310)</f>
        <v/>
      </c>
      <c r="K313">
        <f>IF(OR($G313="",Sync!$AA310=""),"",Sync!$AA310)</f>
        <v/>
      </c>
      <c r="L313">
        <f>IF($G313="",0,IF(Sync!$AB310="",0,Sync!$AB310))</f>
        <v/>
      </c>
      <c r="M313">
        <f>IF($G313="",0,IF(Sync!$AC310="",0,Sync!$AC310))</f>
        <v/>
      </c>
      <c r="N313">
        <f>IF($G313="","",IF($H313="مرجوعی خرید",-1,1)*($L313-$M313*IFERROR(VLOOKUP("P01",ParamTbl,3,0),1.5))*(1-IF($I313="خرید",IFERROR(VLOOKUP("P02",ParamTbl,3,0),1),0)/100))</f>
        <v/>
      </c>
      <c r="O313">
        <f>IF($G313="",0,IF($H313="مرجوعی خرید",-1,1)*IF(Sync!$AD310="",0,Sync!$AD310))</f>
        <v/>
      </c>
      <c r="P313">
        <f>IF(OR($G313="",Sync!$W310=""),"",Sync!$W310)</f>
        <v/>
      </c>
      <c r="Q313">
        <f>IF(OR($G313="",Sync!$AE310=""),"",Sync!$AE310)</f>
        <v/>
      </c>
      <c r="R313">
        <f>IF($G313="","",IF(Sync!$V310="","0000",IF(AND(ISNUMBER(Sync!$V310),Sync!$V310&gt;=0,Sync!$V310&lt;1),RIGHT("00"&amp;HOUR(Sync!$V310),2)&amp;RIGHT("00"&amp;MINUTE(Sync!$V310),2),IFERROR(RIGHT("00"&amp;VALUE(LEFT(Sync!$V310,FIND(":",Sync!$V310)-1)),2)&amp;RIGHT("00"&amp;VALUE(MID(Sync!$V310,FIND(":",Sync!$V310)+1,2)),2),"0000"))))</f>
        <v/>
      </c>
    </row>
    <row r="314">
      <c r="A314">
        <f>IF(Sync!$U311="","",Sync!$U311)</f>
        <v/>
      </c>
      <c r="B314">
        <f>IF($A314="","",IF(ISNUMBER($A314),IF(AND($A314&gt;=10000101,$A314&lt;=99991231),INT($A314/10000),""),IFERROR(VALUE(TRIM(LEFT($A314,FIND("/",$A314)-1))),"")))</f>
        <v/>
      </c>
      <c r="C314">
        <f>IF(OR($A314="",$B314=""),"",IF(ISNUMBER($A314),INT(MOD($A314,10000)/100),IFERROR(VALUE(TRIM(LEFT(MID($A314,FIND("/",$A314)+1,20),FIND("/",MID($A314,FIND("/",$A314)+1,20))-1))),"")))</f>
        <v/>
      </c>
      <c r="D314">
        <f>IF(OR($A314="",$B314=""),"",IF(ISNUMBER($A314),MOD($A314,100),IFERROR(VALUE(TRIM(MID(MID($A314,FIND("/",$A314)+1,20),FIND("/",MID($A314,FIND("/",$A314)+1,20))+1,20))),"")))</f>
        <v/>
      </c>
      <c r="E314">
        <f>IF($A314="","",IF(OR($B314="",$C314="",$D314="",$B314&lt;1300,$B314&gt;1500,$C314&lt;1,$C314&gt;12,$D314&lt;1,$D314&gt;31),"نامعتبر",RIGHT("0000"&amp;$B314,4)&amp;"/"&amp;RIGHT("00"&amp;$C314,2)&amp;"/"&amp;RIGHT("00"&amp;$D314,2)))</f>
        <v/>
      </c>
      <c r="F314">
        <f>IF(OR($E314="",$E314="نامعتبر"),"",LEFT($E314,4)&amp;"/"&amp;MID($E314,6,2))</f>
        <v/>
      </c>
      <c r="G314">
        <f>IF(OR($E314="",$E314="نامعتبر",Sync!$Y311=""),"",Sync!$Y311)</f>
        <v/>
      </c>
      <c r="H314">
        <f>IF($G314="","",IF(Sync!$X311="","",Sync!$X311))</f>
        <v/>
      </c>
      <c r="I314">
        <f>IF($G314="","",IFERROR(VLOOKUP(Sync!$X311,OpTbl,3,0),""))</f>
        <v/>
      </c>
      <c r="J314">
        <f>IF(OR($G314="",Sync!$Z311=""),"",Sync!$Z311)</f>
        <v/>
      </c>
      <c r="K314">
        <f>IF(OR($G314="",Sync!$AA311=""),"",Sync!$AA311)</f>
        <v/>
      </c>
      <c r="L314">
        <f>IF($G314="",0,IF(Sync!$AB311="",0,Sync!$AB311))</f>
        <v/>
      </c>
      <c r="M314">
        <f>IF($G314="",0,IF(Sync!$AC311="",0,Sync!$AC311))</f>
        <v/>
      </c>
      <c r="N314">
        <f>IF($G314="","",IF($H314="مرجوعی خرید",-1,1)*($L314-$M314*IFERROR(VLOOKUP("P01",ParamTbl,3,0),1.5))*(1-IF($I314="خرید",IFERROR(VLOOKUP("P02",ParamTbl,3,0),1),0)/100))</f>
        <v/>
      </c>
      <c r="O314">
        <f>IF($G314="",0,IF($H314="مرجوعی خرید",-1,1)*IF(Sync!$AD311="",0,Sync!$AD311))</f>
        <v/>
      </c>
      <c r="P314">
        <f>IF(OR($G314="",Sync!$W311=""),"",Sync!$W311)</f>
        <v/>
      </c>
      <c r="Q314">
        <f>IF(OR($G314="",Sync!$AE311=""),"",Sync!$AE311)</f>
        <v/>
      </c>
      <c r="R314">
        <f>IF($G314="","",IF(Sync!$V311="","0000",IF(AND(ISNUMBER(Sync!$V311),Sync!$V311&gt;=0,Sync!$V311&lt;1),RIGHT("00"&amp;HOUR(Sync!$V311),2)&amp;RIGHT("00"&amp;MINUTE(Sync!$V311),2),IFERROR(RIGHT("00"&amp;VALUE(LEFT(Sync!$V311,FIND(":",Sync!$V311)-1)),2)&amp;RIGHT("00"&amp;VALUE(MID(Sync!$V311,FIND(":",Sync!$V311)+1,2)),2),"0000"))))</f>
        <v/>
      </c>
    </row>
    <row r="315">
      <c r="A315">
        <f>IF(Sync!$U312="","",Sync!$U312)</f>
        <v/>
      </c>
      <c r="B315">
        <f>IF($A315="","",IF(ISNUMBER($A315),IF(AND($A315&gt;=10000101,$A315&lt;=99991231),INT($A315/10000),""),IFERROR(VALUE(TRIM(LEFT($A315,FIND("/",$A315)-1))),"")))</f>
        <v/>
      </c>
      <c r="C315">
        <f>IF(OR($A315="",$B315=""),"",IF(ISNUMBER($A315),INT(MOD($A315,10000)/100),IFERROR(VALUE(TRIM(LEFT(MID($A315,FIND("/",$A315)+1,20),FIND("/",MID($A315,FIND("/",$A315)+1,20))-1))),"")))</f>
        <v/>
      </c>
      <c r="D315">
        <f>IF(OR($A315="",$B315=""),"",IF(ISNUMBER($A315),MOD($A315,100),IFERROR(VALUE(TRIM(MID(MID($A315,FIND("/",$A315)+1,20),FIND("/",MID($A315,FIND("/",$A315)+1,20))+1,20))),"")))</f>
        <v/>
      </c>
      <c r="E315">
        <f>IF($A315="","",IF(OR($B315="",$C315="",$D315="",$B315&lt;1300,$B315&gt;1500,$C315&lt;1,$C315&gt;12,$D315&lt;1,$D315&gt;31),"نامعتبر",RIGHT("0000"&amp;$B315,4)&amp;"/"&amp;RIGHT("00"&amp;$C315,2)&amp;"/"&amp;RIGHT("00"&amp;$D315,2)))</f>
        <v/>
      </c>
      <c r="F315">
        <f>IF(OR($E315="",$E315="نامعتبر"),"",LEFT($E315,4)&amp;"/"&amp;MID($E315,6,2))</f>
        <v/>
      </c>
      <c r="G315">
        <f>IF(OR($E315="",$E315="نامعتبر",Sync!$Y312=""),"",Sync!$Y312)</f>
        <v/>
      </c>
      <c r="H315">
        <f>IF($G315="","",IF(Sync!$X312="","",Sync!$X312))</f>
        <v/>
      </c>
      <c r="I315">
        <f>IF($G315="","",IFERROR(VLOOKUP(Sync!$X312,OpTbl,3,0),""))</f>
        <v/>
      </c>
      <c r="J315">
        <f>IF(OR($G315="",Sync!$Z312=""),"",Sync!$Z312)</f>
        <v/>
      </c>
      <c r="K315">
        <f>IF(OR($G315="",Sync!$AA312=""),"",Sync!$AA312)</f>
        <v/>
      </c>
      <c r="L315">
        <f>IF($G315="",0,IF(Sync!$AB312="",0,Sync!$AB312))</f>
        <v/>
      </c>
      <c r="M315">
        <f>IF($G315="",0,IF(Sync!$AC312="",0,Sync!$AC312))</f>
        <v/>
      </c>
      <c r="N315">
        <f>IF($G315="","",IF($H315="مرجوعی خرید",-1,1)*($L315-$M315*IFERROR(VLOOKUP("P01",ParamTbl,3,0),1.5))*(1-IF($I315="خرید",IFERROR(VLOOKUP("P02",ParamTbl,3,0),1),0)/100))</f>
        <v/>
      </c>
      <c r="O315">
        <f>IF($G315="",0,IF($H315="مرجوعی خرید",-1,1)*IF(Sync!$AD312="",0,Sync!$AD312))</f>
        <v/>
      </c>
      <c r="P315">
        <f>IF(OR($G315="",Sync!$W312=""),"",Sync!$W312)</f>
        <v/>
      </c>
      <c r="Q315">
        <f>IF(OR($G315="",Sync!$AE312=""),"",Sync!$AE312)</f>
        <v/>
      </c>
      <c r="R315">
        <f>IF($G315="","",IF(Sync!$V312="","0000",IF(AND(ISNUMBER(Sync!$V312),Sync!$V312&gt;=0,Sync!$V312&lt;1),RIGHT("00"&amp;HOUR(Sync!$V312),2)&amp;RIGHT("00"&amp;MINUTE(Sync!$V312),2),IFERROR(RIGHT("00"&amp;VALUE(LEFT(Sync!$V312,FIND(":",Sync!$V312)-1)),2)&amp;RIGHT("00"&amp;VALUE(MID(Sync!$V312,FIND(":",Sync!$V312)+1,2)),2),"0000"))))</f>
        <v/>
      </c>
    </row>
    <row r="316">
      <c r="A316">
        <f>IF(Sync!$U313="","",Sync!$U313)</f>
        <v/>
      </c>
      <c r="B316">
        <f>IF($A316="","",IF(ISNUMBER($A316),IF(AND($A316&gt;=10000101,$A316&lt;=99991231),INT($A316/10000),""),IFERROR(VALUE(TRIM(LEFT($A316,FIND("/",$A316)-1))),"")))</f>
        <v/>
      </c>
      <c r="C316">
        <f>IF(OR($A316="",$B316=""),"",IF(ISNUMBER($A316),INT(MOD($A316,10000)/100),IFERROR(VALUE(TRIM(LEFT(MID($A316,FIND("/",$A316)+1,20),FIND("/",MID($A316,FIND("/",$A316)+1,20))-1))),"")))</f>
        <v/>
      </c>
      <c r="D316">
        <f>IF(OR($A316="",$B316=""),"",IF(ISNUMBER($A316),MOD($A316,100),IFERROR(VALUE(TRIM(MID(MID($A316,FIND("/",$A316)+1,20),FIND("/",MID($A316,FIND("/",$A316)+1,20))+1,20))),"")))</f>
        <v/>
      </c>
      <c r="E316">
        <f>IF($A316="","",IF(OR($B316="",$C316="",$D316="",$B316&lt;1300,$B316&gt;1500,$C316&lt;1,$C316&gt;12,$D316&lt;1,$D316&gt;31),"نامعتبر",RIGHT("0000"&amp;$B316,4)&amp;"/"&amp;RIGHT("00"&amp;$C316,2)&amp;"/"&amp;RIGHT("00"&amp;$D316,2)))</f>
        <v/>
      </c>
      <c r="F316">
        <f>IF(OR($E316="",$E316="نامعتبر"),"",LEFT($E316,4)&amp;"/"&amp;MID($E316,6,2))</f>
        <v/>
      </c>
      <c r="G316">
        <f>IF(OR($E316="",$E316="نامعتبر",Sync!$Y313=""),"",Sync!$Y313)</f>
        <v/>
      </c>
      <c r="H316">
        <f>IF($G316="","",IF(Sync!$X313="","",Sync!$X313))</f>
        <v/>
      </c>
      <c r="I316">
        <f>IF($G316="","",IFERROR(VLOOKUP(Sync!$X313,OpTbl,3,0),""))</f>
        <v/>
      </c>
      <c r="J316">
        <f>IF(OR($G316="",Sync!$Z313=""),"",Sync!$Z313)</f>
        <v/>
      </c>
      <c r="K316">
        <f>IF(OR($G316="",Sync!$AA313=""),"",Sync!$AA313)</f>
        <v/>
      </c>
      <c r="L316">
        <f>IF($G316="",0,IF(Sync!$AB313="",0,Sync!$AB313))</f>
        <v/>
      </c>
      <c r="M316">
        <f>IF($G316="",0,IF(Sync!$AC313="",0,Sync!$AC313))</f>
        <v/>
      </c>
      <c r="N316">
        <f>IF($G316="","",IF($H316="مرجوعی خرید",-1,1)*($L316-$M316*IFERROR(VLOOKUP("P01",ParamTbl,3,0),1.5))*(1-IF($I316="خرید",IFERROR(VLOOKUP("P02",ParamTbl,3,0),1),0)/100))</f>
        <v/>
      </c>
      <c r="O316">
        <f>IF($G316="",0,IF($H316="مرجوعی خرید",-1,1)*IF(Sync!$AD313="",0,Sync!$AD313))</f>
        <v/>
      </c>
      <c r="P316">
        <f>IF(OR($G316="",Sync!$W313=""),"",Sync!$W313)</f>
        <v/>
      </c>
      <c r="Q316">
        <f>IF(OR($G316="",Sync!$AE313=""),"",Sync!$AE313)</f>
        <v/>
      </c>
      <c r="R316">
        <f>IF($G316="","",IF(Sync!$V313="","0000",IF(AND(ISNUMBER(Sync!$V313),Sync!$V313&gt;=0,Sync!$V313&lt;1),RIGHT("00"&amp;HOUR(Sync!$V313),2)&amp;RIGHT("00"&amp;MINUTE(Sync!$V313),2),IFERROR(RIGHT("00"&amp;VALUE(LEFT(Sync!$V313,FIND(":",Sync!$V313)-1)),2)&amp;RIGHT("00"&amp;VALUE(MID(Sync!$V313,FIND(":",Sync!$V313)+1,2)),2),"0000"))))</f>
        <v/>
      </c>
    </row>
    <row r="317">
      <c r="A317">
        <f>IF(Sync!$U314="","",Sync!$U314)</f>
        <v/>
      </c>
      <c r="B317">
        <f>IF($A317="","",IF(ISNUMBER($A317),IF(AND($A317&gt;=10000101,$A317&lt;=99991231),INT($A317/10000),""),IFERROR(VALUE(TRIM(LEFT($A317,FIND("/",$A317)-1))),"")))</f>
        <v/>
      </c>
      <c r="C317">
        <f>IF(OR($A317="",$B317=""),"",IF(ISNUMBER($A317),INT(MOD($A317,10000)/100),IFERROR(VALUE(TRIM(LEFT(MID($A317,FIND("/",$A317)+1,20),FIND("/",MID($A317,FIND("/",$A317)+1,20))-1))),"")))</f>
        <v/>
      </c>
      <c r="D317">
        <f>IF(OR($A317="",$B317=""),"",IF(ISNUMBER($A317),MOD($A317,100),IFERROR(VALUE(TRIM(MID(MID($A317,FIND("/",$A317)+1,20),FIND("/",MID($A317,FIND("/",$A317)+1,20))+1,20))),"")))</f>
        <v/>
      </c>
      <c r="E317">
        <f>IF($A317="","",IF(OR($B317="",$C317="",$D317="",$B317&lt;1300,$B317&gt;1500,$C317&lt;1,$C317&gt;12,$D317&lt;1,$D317&gt;31),"نامعتبر",RIGHT("0000"&amp;$B317,4)&amp;"/"&amp;RIGHT("00"&amp;$C317,2)&amp;"/"&amp;RIGHT("00"&amp;$D317,2)))</f>
        <v/>
      </c>
      <c r="F317">
        <f>IF(OR($E317="",$E317="نامعتبر"),"",LEFT($E317,4)&amp;"/"&amp;MID($E317,6,2))</f>
        <v/>
      </c>
      <c r="G317">
        <f>IF(OR($E317="",$E317="نامعتبر",Sync!$Y314=""),"",Sync!$Y314)</f>
        <v/>
      </c>
      <c r="H317">
        <f>IF($G317="","",IF(Sync!$X314="","",Sync!$X314))</f>
        <v/>
      </c>
      <c r="I317">
        <f>IF($G317="","",IFERROR(VLOOKUP(Sync!$X314,OpTbl,3,0),""))</f>
        <v/>
      </c>
      <c r="J317">
        <f>IF(OR($G317="",Sync!$Z314=""),"",Sync!$Z314)</f>
        <v/>
      </c>
      <c r="K317">
        <f>IF(OR($G317="",Sync!$AA314=""),"",Sync!$AA314)</f>
        <v/>
      </c>
      <c r="L317">
        <f>IF($G317="",0,IF(Sync!$AB314="",0,Sync!$AB314))</f>
        <v/>
      </c>
      <c r="M317">
        <f>IF($G317="",0,IF(Sync!$AC314="",0,Sync!$AC314))</f>
        <v/>
      </c>
      <c r="N317">
        <f>IF($G317="","",IF($H317="مرجوعی خرید",-1,1)*($L317-$M317*IFERROR(VLOOKUP("P01",ParamTbl,3,0),1.5))*(1-IF($I317="خرید",IFERROR(VLOOKUP("P02",ParamTbl,3,0),1),0)/100))</f>
        <v/>
      </c>
      <c r="O317">
        <f>IF($G317="",0,IF($H317="مرجوعی خرید",-1,1)*IF(Sync!$AD314="",0,Sync!$AD314))</f>
        <v/>
      </c>
      <c r="P317">
        <f>IF(OR($G317="",Sync!$W314=""),"",Sync!$W314)</f>
        <v/>
      </c>
      <c r="Q317">
        <f>IF(OR($G317="",Sync!$AE314=""),"",Sync!$AE314)</f>
        <v/>
      </c>
      <c r="R317">
        <f>IF($G317="","",IF(Sync!$V314="","0000",IF(AND(ISNUMBER(Sync!$V314),Sync!$V314&gt;=0,Sync!$V314&lt;1),RIGHT("00"&amp;HOUR(Sync!$V314),2)&amp;RIGHT("00"&amp;MINUTE(Sync!$V314),2),IFERROR(RIGHT("00"&amp;VALUE(LEFT(Sync!$V314,FIND(":",Sync!$V314)-1)),2)&amp;RIGHT("00"&amp;VALUE(MID(Sync!$V314,FIND(":",Sync!$V314)+1,2)),2),"0000"))))</f>
        <v/>
      </c>
    </row>
    <row r="318">
      <c r="A318">
        <f>IF(Sync!$U315="","",Sync!$U315)</f>
        <v/>
      </c>
      <c r="B318">
        <f>IF($A318="","",IF(ISNUMBER($A318),IF(AND($A318&gt;=10000101,$A318&lt;=99991231),INT($A318/10000),""),IFERROR(VALUE(TRIM(LEFT($A318,FIND("/",$A318)-1))),"")))</f>
        <v/>
      </c>
      <c r="C318">
        <f>IF(OR($A318="",$B318=""),"",IF(ISNUMBER($A318),INT(MOD($A318,10000)/100),IFERROR(VALUE(TRIM(LEFT(MID($A318,FIND("/",$A318)+1,20),FIND("/",MID($A318,FIND("/",$A318)+1,20))-1))),"")))</f>
        <v/>
      </c>
      <c r="D318">
        <f>IF(OR($A318="",$B318=""),"",IF(ISNUMBER($A318),MOD($A318,100),IFERROR(VALUE(TRIM(MID(MID($A318,FIND("/",$A318)+1,20),FIND("/",MID($A318,FIND("/",$A318)+1,20))+1,20))),"")))</f>
        <v/>
      </c>
      <c r="E318">
        <f>IF($A318="","",IF(OR($B318="",$C318="",$D318="",$B318&lt;1300,$B318&gt;1500,$C318&lt;1,$C318&gt;12,$D318&lt;1,$D318&gt;31),"نامعتبر",RIGHT("0000"&amp;$B318,4)&amp;"/"&amp;RIGHT("00"&amp;$C318,2)&amp;"/"&amp;RIGHT("00"&amp;$D318,2)))</f>
        <v/>
      </c>
      <c r="F318">
        <f>IF(OR($E318="",$E318="نامعتبر"),"",LEFT($E318,4)&amp;"/"&amp;MID($E318,6,2))</f>
        <v/>
      </c>
      <c r="G318">
        <f>IF(OR($E318="",$E318="نامعتبر",Sync!$Y315=""),"",Sync!$Y315)</f>
        <v/>
      </c>
      <c r="H318">
        <f>IF($G318="","",IF(Sync!$X315="","",Sync!$X315))</f>
        <v/>
      </c>
      <c r="I318">
        <f>IF($G318="","",IFERROR(VLOOKUP(Sync!$X315,OpTbl,3,0),""))</f>
        <v/>
      </c>
      <c r="J318">
        <f>IF(OR($G318="",Sync!$Z315=""),"",Sync!$Z315)</f>
        <v/>
      </c>
      <c r="K318">
        <f>IF(OR($G318="",Sync!$AA315=""),"",Sync!$AA315)</f>
        <v/>
      </c>
      <c r="L318">
        <f>IF($G318="",0,IF(Sync!$AB315="",0,Sync!$AB315))</f>
        <v/>
      </c>
      <c r="M318">
        <f>IF($G318="",0,IF(Sync!$AC315="",0,Sync!$AC315))</f>
        <v/>
      </c>
      <c r="N318">
        <f>IF($G318="","",IF($H318="مرجوعی خرید",-1,1)*($L318-$M318*IFERROR(VLOOKUP("P01",ParamTbl,3,0),1.5))*(1-IF($I318="خرید",IFERROR(VLOOKUP("P02",ParamTbl,3,0),1),0)/100))</f>
        <v/>
      </c>
      <c r="O318">
        <f>IF($G318="",0,IF($H318="مرجوعی خرید",-1,1)*IF(Sync!$AD315="",0,Sync!$AD315))</f>
        <v/>
      </c>
      <c r="P318">
        <f>IF(OR($G318="",Sync!$W315=""),"",Sync!$W315)</f>
        <v/>
      </c>
      <c r="Q318">
        <f>IF(OR($G318="",Sync!$AE315=""),"",Sync!$AE315)</f>
        <v/>
      </c>
      <c r="R318">
        <f>IF($G318="","",IF(Sync!$V315="","0000",IF(AND(ISNUMBER(Sync!$V315),Sync!$V315&gt;=0,Sync!$V315&lt;1),RIGHT("00"&amp;HOUR(Sync!$V315),2)&amp;RIGHT("00"&amp;MINUTE(Sync!$V315),2),IFERROR(RIGHT("00"&amp;VALUE(LEFT(Sync!$V315,FIND(":",Sync!$V315)-1)),2)&amp;RIGHT("00"&amp;VALUE(MID(Sync!$V315,FIND(":",Sync!$V315)+1,2)),2),"0000"))))</f>
        <v/>
      </c>
    </row>
    <row r="319">
      <c r="A319">
        <f>IF(Sync!$U316="","",Sync!$U316)</f>
        <v/>
      </c>
      <c r="B319">
        <f>IF($A319="","",IF(ISNUMBER($A319),IF(AND($A319&gt;=10000101,$A319&lt;=99991231),INT($A319/10000),""),IFERROR(VALUE(TRIM(LEFT($A319,FIND("/",$A319)-1))),"")))</f>
        <v/>
      </c>
      <c r="C319">
        <f>IF(OR($A319="",$B319=""),"",IF(ISNUMBER($A319),INT(MOD($A319,10000)/100),IFERROR(VALUE(TRIM(LEFT(MID($A319,FIND("/",$A319)+1,20),FIND("/",MID($A319,FIND("/",$A319)+1,20))-1))),"")))</f>
        <v/>
      </c>
      <c r="D319">
        <f>IF(OR($A319="",$B319=""),"",IF(ISNUMBER($A319),MOD($A319,100),IFERROR(VALUE(TRIM(MID(MID($A319,FIND("/",$A319)+1,20),FIND("/",MID($A319,FIND("/",$A319)+1,20))+1,20))),"")))</f>
        <v/>
      </c>
      <c r="E319">
        <f>IF($A319="","",IF(OR($B319="",$C319="",$D319="",$B319&lt;1300,$B319&gt;1500,$C319&lt;1,$C319&gt;12,$D319&lt;1,$D319&gt;31),"نامعتبر",RIGHT("0000"&amp;$B319,4)&amp;"/"&amp;RIGHT("00"&amp;$C319,2)&amp;"/"&amp;RIGHT("00"&amp;$D319,2)))</f>
        <v/>
      </c>
      <c r="F319">
        <f>IF(OR($E319="",$E319="نامعتبر"),"",LEFT($E319,4)&amp;"/"&amp;MID($E319,6,2))</f>
        <v/>
      </c>
      <c r="G319">
        <f>IF(OR($E319="",$E319="نامعتبر",Sync!$Y316=""),"",Sync!$Y316)</f>
        <v/>
      </c>
      <c r="H319">
        <f>IF($G319="","",IF(Sync!$X316="","",Sync!$X316))</f>
        <v/>
      </c>
      <c r="I319">
        <f>IF($G319="","",IFERROR(VLOOKUP(Sync!$X316,OpTbl,3,0),""))</f>
        <v/>
      </c>
      <c r="J319">
        <f>IF(OR($G319="",Sync!$Z316=""),"",Sync!$Z316)</f>
        <v/>
      </c>
      <c r="K319">
        <f>IF(OR($G319="",Sync!$AA316=""),"",Sync!$AA316)</f>
        <v/>
      </c>
      <c r="L319">
        <f>IF($G319="",0,IF(Sync!$AB316="",0,Sync!$AB316))</f>
        <v/>
      </c>
      <c r="M319">
        <f>IF($G319="",0,IF(Sync!$AC316="",0,Sync!$AC316))</f>
        <v/>
      </c>
      <c r="N319">
        <f>IF($G319="","",IF($H319="مرجوعی خرید",-1,1)*($L319-$M319*IFERROR(VLOOKUP("P01",ParamTbl,3,0),1.5))*(1-IF($I319="خرید",IFERROR(VLOOKUP("P02",ParamTbl,3,0),1),0)/100))</f>
        <v/>
      </c>
      <c r="O319">
        <f>IF($G319="",0,IF($H319="مرجوعی خرید",-1,1)*IF(Sync!$AD316="",0,Sync!$AD316))</f>
        <v/>
      </c>
      <c r="P319">
        <f>IF(OR($G319="",Sync!$W316=""),"",Sync!$W316)</f>
        <v/>
      </c>
      <c r="Q319">
        <f>IF(OR($G319="",Sync!$AE316=""),"",Sync!$AE316)</f>
        <v/>
      </c>
      <c r="R319">
        <f>IF($G319="","",IF(Sync!$V316="","0000",IF(AND(ISNUMBER(Sync!$V316),Sync!$V316&gt;=0,Sync!$V316&lt;1),RIGHT("00"&amp;HOUR(Sync!$V316),2)&amp;RIGHT("00"&amp;MINUTE(Sync!$V316),2),IFERROR(RIGHT("00"&amp;VALUE(LEFT(Sync!$V316,FIND(":",Sync!$V316)-1)),2)&amp;RIGHT("00"&amp;VALUE(MID(Sync!$V316,FIND(":",Sync!$V316)+1,2)),2),"0000"))))</f>
        <v/>
      </c>
    </row>
    <row r="320">
      <c r="A320">
        <f>IF(Sync!$U317="","",Sync!$U317)</f>
        <v/>
      </c>
      <c r="B320">
        <f>IF($A320="","",IF(ISNUMBER($A320),IF(AND($A320&gt;=10000101,$A320&lt;=99991231),INT($A320/10000),""),IFERROR(VALUE(TRIM(LEFT($A320,FIND("/",$A320)-1))),"")))</f>
        <v/>
      </c>
      <c r="C320">
        <f>IF(OR($A320="",$B320=""),"",IF(ISNUMBER($A320),INT(MOD($A320,10000)/100),IFERROR(VALUE(TRIM(LEFT(MID($A320,FIND("/",$A320)+1,20),FIND("/",MID($A320,FIND("/",$A320)+1,20))-1))),"")))</f>
        <v/>
      </c>
      <c r="D320">
        <f>IF(OR($A320="",$B320=""),"",IF(ISNUMBER($A320),MOD($A320,100),IFERROR(VALUE(TRIM(MID(MID($A320,FIND("/",$A320)+1,20),FIND("/",MID($A320,FIND("/",$A320)+1,20))+1,20))),"")))</f>
        <v/>
      </c>
      <c r="E320">
        <f>IF($A320="","",IF(OR($B320="",$C320="",$D320="",$B320&lt;1300,$B320&gt;1500,$C320&lt;1,$C320&gt;12,$D320&lt;1,$D320&gt;31),"نامعتبر",RIGHT("0000"&amp;$B320,4)&amp;"/"&amp;RIGHT("00"&amp;$C320,2)&amp;"/"&amp;RIGHT("00"&amp;$D320,2)))</f>
        <v/>
      </c>
      <c r="F320">
        <f>IF(OR($E320="",$E320="نامعتبر"),"",LEFT($E320,4)&amp;"/"&amp;MID($E320,6,2))</f>
        <v/>
      </c>
      <c r="G320">
        <f>IF(OR($E320="",$E320="نامعتبر",Sync!$Y317=""),"",Sync!$Y317)</f>
        <v/>
      </c>
      <c r="H320">
        <f>IF($G320="","",IF(Sync!$X317="","",Sync!$X317))</f>
        <v/>
      </c>
      <c r="I320">
        <f>IF($G320="","",IFERROR(VLOOKUP(Sync!$X317,OpTbl,3,0),""))</f>
        <v/>
      </c>
      <c r="J320">
        <f>IF(OR($G320="",Sync!$Z317=""),"",Sync!$Z317)</f>
        <v/>
      </c>
      <c r="K320">
        <f>IF(OR($G320="",Sync!$AA317=""),"",Sync!$AA317)</f>
        <v/>
      </c>
      <c r="L320">
        <f>IF($G320="",0,IF(Sync!$AB317="",0,Sync!$AB317))</f>
        <v/>
      </c>
      <c r="M320">
        <f>IF($G320="",0,IF(Sync!$AC317="",0,Sync!$AC317))</f>
        <v/>
      </c>
      <c r="N320">
        <f>IF($G320="","",IF($H320="مرجوعی خرید",-1,1)*($L320-$M320*IFERROR(VLOOKUP("P01",ParamTbl,3,0),1.5))*(1-IF($I320="خرید",IFERROR(VLOOKUP("P02",ParamTbl,3,0),1),0)/100))</f>
        <v/>
      </c>
      <c r="O320">
        <f>IF($G320="",0,IF($H320="مرجوعی خرید",-1,1)*IF(Sync!$AD317="",0,Sync!$AD317))</f>
        <v/>
      </c>
      <c r="P320">
        <f>IF(OR($G320="",Sync!$W317=""),"",Sync!$W317)</f>
        <v/>
      </c>
      <c r="Q320">
        <f>IF(OR($G320="",Sync!$AE317=""),"",Sync!$AE317)</f>
        <v/>
      </c>
      <c r="R320">
        <f>IF($G320="","",IF(Sync!$V317="","0000",IF(AND(ISNUMBER(Sync!$V317),Sync!$V317&gt;=0,Sync!$V317&lt;1),RIGHT("00"&amp;HOUR(Sync!$V317),2)&amp;RIGHT("00"&amp;MINUTE(Sync!$V317),2),IFERROR(RIGHT("00"&amp;VALUE(LEFT(Sync!$V317,FIND(":",Sync!$V317)-1)),2)&amp;RIGHT("00"&amp;VALUE(MID(Sync!$V317,FIND(":",Sync!$V317)+1,2)),2),"0000"))))</f>
        <v/>
      </c>
    </row>
    <row r="321">
      <c r="A321">
        <f>IF(Sync!$U318="","",Sync!$U318)</f>
        <v/>
      </c>
      <c r="B321">
        <f>IF($A321="","",IF(ISNUMBER($A321),IF(AND($A321&gt;=10000101,$A321&lt;=99991231),INT($A321/10000),""),IFERROR(VALUE(TRIM(LEFT($A321,FIND("/",$A321)-1))),"")))</f>
        <v/>
      </c>
      <c r="C321">
        <f>IF(OR($A321="",$B321=""),"",IF(ISNUMBER($A321),INT(MOD($A321,10000)/100),IFERROR(VALUE(TRIM(LEFT(MID($A321,FIND("/",$A321)+1,20),FIND("/",MID($A321,FIND("/",$A321)+1,20))-1))),"")))</f>
        <v/>
      </c>
      <c r="D321">
        <f>IF(OR($A321="",$B321=""),"",IF(ISNUMBER($A321),MOD($A321,100),IFERROR(VALUE(TRIM(MID(MID($A321,FIND("/",$A321)+1,20),FIND("/",MID($A321,FIND("/",$A321)+1,20))+1,20))),"")))</f>
        <v/>
      </c>
      <c r="E321">
        <f>IF($A321="","",IF(OR($B321="",$C321="",$D321="",$B321&lt;1300,$B321&gt;1500,$C321&lt;1,$C321&gt;12,$D321&lt;1,$D321&gt;31),"نامعتبر",RIGHT("0000"&amp;$B321,4)&amp;"/"&amp;RIGHT("00"&amp;$C321,2)&amp;"/"&amp;RIGHT("00"&amp;$D321,2)))</f>
        <v/>
      </c>
      <c r="F321">
        <f>IF(OR($E321="",$E321="نامعتبر"),"",LEFT($E321,4)&amp;"/"&amp;MID($E321,6,2))</f>
        <v/>
      </c>
      <c r="G321">
        <f>IF(OR($E321="",$E321="نامعتبر",Sync!$Y318=""),"",Sync!$Y318)</f>
        <v/>
      </c>
      <c r="H321">
        <f>IF($G321="","",IF(Sync!$X318="","",Sync!$X318))</f>
        <v/>
      </c>
      <c r="I321">
        <f>IF($G321="","",IFERROR(VLOOKUP(Sync!$X318,OpTbl,3,0),""))</f>
        <v/>
      </c>
      <c r="J321">
        <f>IF(OR($G321="",Sync!$Z318=""),"",Sync!$Z318)</f>
        <v/>
      </c>
      <c r="K321">
        <f>IF(OR($G321="",Sync!$AA318=""),"",Sync!$AA318)</f>
        <v/>
      </c>
      <c r="L321">
        <f>IF($G321="",0,IF(Sync!$AB318="",0,Sync!$AB318))</f>
        <v/>
      </c>
      <c r="M321">
        <f>IF($G321="",0,IF(Sync!$AC318="",0,Sync!$AC318))</f>
        <v/>
      </c>
      <c r="N321">
        <f>IF($G321="","",IF($H321="مرجوعی خرید",-1,1)*($L321-$M321*IFERROR(VLOOKUP("P01",ParamTbl,3,0),1.5))*(1-IF($I321="خرید",IFERROR(VLOOKUP("P02",ParamTbl,3,0),1),0)/100))</f>
        <v/>
      </c>
      <c r="O321">
        <f>IF($G321="",0,IF($H321="مرجوعی خرید",-1,1)*IF(Sync!$AD318="",0,Sync!$AD318))</f>
        <v/>
      </c>
      <c r="P321">
        <f>IF(OR($G321="",Sync!$W318=""),"",Sync!$W318)</f>
        <v/>
      </c>
      <c r="Q321">
        <f>IF(OR($G321="",Sync!$AE318=""),"",Sync!$AE318)</f>
        <v/>
      </c>
      <c r="R321">
        <f>IF($G321="","",IF(Sync!$V318="","0000",IF(AND(ISNUMBER(Sync!$V318),Sync!$V318&gt;=0,Sync!$V318&lt;1),RIGHT("00"&amp;HOUR(Sync!$V318),2)&amp;RIGHT("00"&amp;MINUTE(Sync!$V318),2),IFERROR(RIGHT("00"&amp;VALUE(LEFT(Sync!$V318,FIND(":",Sync!$V318)-1)),2)&amp;RIGHT("00"&amp;VALUE(MID(Sync!$V318,FIND(":",Sync!$V318)+1,2)),2),"0000"))))</f>
        <v/>
      </c>
    </row>
    <row r="322">
      <c r="A322">
        <f>IF(Sync!$U319="","",Sync!$U319)</f>
        <v/>
      </c>
      <c r="B322">
        <f>IF($A322="","",IF(ISNUMBER($A322),IF(AND($A322&gt;=10000101,$A322&lt;=99991231),INT($A322/10000),""),IFERROR(VALUE(TRIM(LEFT($A322,FIND("/",$A322)-1))),"")))</f>
        <v/>
      </c>
      <c r="C322">
        <f>IF(OR($A322="",$B322=""),"",IF(ISNUMBER($A322),INT(MOD($A322,10000)/100),IFERROR(VALUE(TRIM(LEFT(MID($A322,FIND("/",$A322)+1,20),FIND("/",MID($A322,FIND("/",$A322)+1,20))-1))),"")))</f>
        <v/>
      </c>
      <c r="D322">
        <f>IF(OR($A322="",$B322=""),"",IF(ISNUMBER($A322),MOD($A322,100),IFERROR(VALUE(TRIM(MID(MID($A322,FIND("/",$A322)+1,20),FIND("/",MID($A322,FIND("/",$A322)+1,20))+1,20))),"")))</f>
        <v/>
      </c>
      <c r="E322">
        <f>IF($A322="","",IF(OR($B322="",$C322="",$D322="",$B322&lt;1300,$B322&gt;1500,$C322&lt;1,$C322&gt;12,$D322&lt;1,$D322&gt;31),"نامعتبر",RIGHT("0000"&amp;$B322,4)&amp;"/"&amp;RIGHT("00"&amp;$C322,2)&amp;"/"&amp;RIGHT("00"&amp;$D322,2)))</f>
        <v/>
      </c>
      <c r="F322">
        <f>IF(OR($E322="",$E322="نامعتبر"),"",LEFT($E322,4)&amp;"/"&amp;MID($E322,6,2))</f>
        <v/>
      </c>
      <c r="G322">
        <f>IF(OR($E322="",$E322="نامعتبر",Sync!$Y319=""),"",Sync!$Y319)</f>
        <v/>
      </c>
      <c r="H322">
        <f>IF($G322="","",IF(Sync!$X319="","",Sync!$X319))</f>
        <v/>
      </c>
      <c r="I322">
        <f>IF($G322="","",IFERROR(VLOOKUP(Sync!$X319,OpTbl,3,0),""))</f>
        <v/>
      </c>
      <c r="J322">
        <f>IF(OR($G322="",Sync!$Z319=""),"",Sync!$Z319)</f>
        <v/>
      </c>
      <c r="K322">
        <f>IF(OR($G322="",Sync!$AA319=""),"",Sync!$AA319)</f>
        <v/>
      </c>
      <c r="L322">
        <f>IF($G322="",0,IF(Sync!$AB319="",0,Sync!$AB319))</f>
        <v/>
      </c>
      <c r="M322">
        <f>IF($G322="",0,IF(Sync!$AC319="",0,Sync!$AC319))</f>
        <v/>
      </c>
      <c r="N322">
        <f>IF($G322="","",IF($H322="مرجوعی خرید",-1,1)*($L322-$M322*IFERROR(VLOOKUP("P01",ParamTbl,3,0),1.5))*(1-IF($I322="خرید",IFERROR(VLOOKUP("P02",ParamTbl,3,0),1),0)/100))</f>
        <v/>
      </c>
      <c r="O322">
        <f>IF($G322="",0,IF($H322="مرجوعی خرید",-1,1)*IF(Sync!$AD319="",0,Sync!$AD319))</f>
        <v/>
      </c>
      <c r="P322">
        <f>IF(OR($G322="",Sync!$W319=""),"",Sync!$W319)</f>
        <v/>
      </c>
      <c r="Q322">
        <f>IF(OR($G322="",Sync!$AE319=""),"",Sync!$AE319)</f>
        <v/>
      </c>
      <c r="R322">
        <f>IF($G322="","",IF(Sync!$V319="","0000",IF(AND(ISNUMBER(Sync!$V319),Sync!$V319&gt;=0,Sync!$V319&lt;1),RIGHT("00"&amp;HOUR(Sync!$V319),2)&amp;RIGHT("00"&amp;MINUTE(Sync!$V319),2),IFERROR(RIGHT("00"&amp;VALUE(LEFT(Sync!$V319,FIND(":",Sync!$V319)-1)),2)&amp;RIGHT("00"&amp;VALUE(MID(Sync!$V319,FIND(":",Sync!$V319)+1,2)),2),"0000"))))</f>
        <v/>
      </c>
    </row>
    <row r="323">
      <c r="A323">
        <f>IF(Sync!$U320="","",Sync!$U320)</f>
        <v/>
      </c>
      <c r="B323">
        <f>IF($A323="","",IF(ISNUMBER($A323),IF(AND($A323&gt;=10000101,$A323&lt;=99991231),INT($A323/10000),""),IFERROR(VALUE(TRIM(LEFT($A323,FIND("/",$A323)-1))),"")))</f>
        <v/>
      </c>
      <c r="C323">
        <f>IF(OR($A323="",$B323=""),"",IF(ISNUMBER($A323),INT(MOD($A323,10000)/100),IFERROR(VALUE(TRIM(LEFT(MID($A323,FIND("/",$A323)+1,20),FIND("/",MID($A323,FIND("/",$A323)+1,20))-1))),"")))</f>
        <v/>
      </c>
      <c r="D323">
        <f>IF(OR($A323="",$B323=""),"",IF(ISNUMBER($A323),MOD($A323,100),IFERROR(VALUE(TRIM(MID(MID($A323,FIND("/",$A323)+1,20),FIND("/",MID($A323,FIND("/",$A323)+1,20))+1,20))),"")))</f>
        <v/>
      </c>
      <c r="E323">
        <f>IF($A323="","",IF(OR($B323="",$C323="",$D323="",$B323&lt;1300,$B323&gt;1500,$C323&lt;1,$C323&gt;12,$D323&lt;1,$D323&gt;31),"نامعتبر",RIGHT("0000"&amp;$B323,4)&amp;"/"&amp;RIGHT("00"&amp;$C323,2)&amp;"/"&amp;RIGHT("00"&amp;$D323,2)))</f>
        <v/>
      </c>
      <c r="F323">
        <f>IF(OR($E323="",$E323="نامعتبر"),"",LEFT($E323,4)&amp;"/"&amp;MID($E323,6,2))</f>
        <v/>
      </c>
      <c r="G323">
        <f>IF(OR($E323="",$E323="نامعتبر",Sync!$Y320=""),"",Sync!$Y320)</f>
        <v/>
      </c>
      <c r="H323">
        <f>IF($G323="","",IF(Sync!$X320="","",Sync!$X320))</f>
        <v/>
      </c>
      <c r="I323">
        <f>IF($G323="","",IFERROR(VLOOKUP(Sync!$X320,OpTbl,3,0),""))</f>
        <v/>
      </c>
      <c r="J323">
        <f>IF(OR($G323="",Sync!$Z320=""),"",Sync!$Z320)</f>
        <v/>
      </c>
      <c r="K323">
        <f>IF(OR($G323="",Sync!$AA320=""),"",Sync!$AA320)</f>
        <v/>
      </c>
      <c r="L323">
        <f>IF($G323="",0,IF(Sync!$AB320="",0,Sync!$AB320))</f>
        <v/>
      </c>
      <c r="M323">
        <f>IF($G323="",0,IF(Sync!$AC320="",0,Sync!$AC320))</f>
        <v/>
      </c>
      <c r="N323">
        <f>IF($G323="","",IF($H323="مرجوعی خرید",-1,1)*($L323-$M323*IFERROR(VLOOKUP("P01",ParamTbl,3,0),1.5))*(1-IF($I323="خرید",IFERROR(VLOOKUP("P02",ParamTbl,3,0),1),0)/100))</f>
        <v/>
      </c>
      <c r="O323">
        <f>IF($G323="",0,IF($H323="مرجوعی خرید",-1,1)*IF(Sync!$AD320="",0,Sync!$AD320))</f>
        <v/>
      </c>
      <c r="P323">
        <f>IF(OR($G323="",Sync!$W320=""),"",Sync!$W320)</f>
        <v/>
      </c>
      <c r="Q323">
        <f>IF(OR($G323="",Sync!$AE320=""),"",Sync!$AE320)</f>
        <v/>
      </c>
      <c r="R323">
        <f>IF($G323="","",IF(Sync!$V320="","0000",IF(AND(ISNUMBER(Sync!$V320),Sync!$V320&gt;=0,Sync!$V320&lt;1),RIGHT("00"&amp;HOUR(Sync!$V320),2)&amp;RIGHT("00"&amp;MINUTE(Sync!$V320),2),IFERROR(RIGHT("00"&amp;VALUE(LEFT(Sync!$V320,FIND(":",Sync!$V320)-1)),2)&amp;RIGHT("00"&amp;VALUE(MID(Sync!$V320,FIND(":",Sync!$V320)+1,2)),2),"0000"))))</f>
        <v/>
      </c>
    </row>
    <row r="324">
      <c r="A324">
        <f>IF(Sync!$U321="","",Sync!$U321)</f>
        <v/>
      </c>
      <c r="B324">
        <f>IF($A324="","",IF(ISNUMBER($A324),IF(AND($A324&gt;=10000101,$A324&lt;=99991231),INT($A324/10000),""),IFERROR(VALUE(TRIM(LEFT($A324,FIND("/",$A324)-1))),"")))</f>
        <v/>
      </c>
      <c r="C324">
        <f>IF(OR($A324="",$B324=""),"",IF(ISNUMBER($A324),INT(MOD($A324,10000)/100),IFERROR(VALUE(TRIM(LEFT(MID($A324,FIND("/",$A324)+1,20),FIND("/",MID($A324,FIND("/",$A324)+1,20))-1))),"")))</f>
        <v/>
      </c>
      <c r="D324">
        <f>IF(OR($A324="",$B324=""),"",IF(ISNUMBER($A324),MOD($A324,100),IFERROR(VALUE(TRIM(MID(MID($A324,FIND("/",$A324)+1,20),FIND("/",MID($A324,FIND("/",$A324)+1,20))+1,20))),"")))</f>
        <v/>
      </c>
      <c r="E324">
        <f>IF($A324="","",IF(OR($B324="",$C324="",$D324="",$B324&lt;1300,$B324&gt;1500,$C324&lt;1,$C324&gt;12,$D324&lt;1,$D324&gt;31),"نامعتبر",RIGHT("0000"&amp;$B324,4)&amp;"/"&amp;RIGHT("00"&amp;$C324,2)&amp;"/"&amp;RIGHT("00"&amp;$D324,2)))</f>
        <v/>
      </c>
      <c r="F324">
        <f>IF(OR($E324="",$E324="نامعتبر"),"",LEFT($E324,4)&amp;"/"&amp;MID($E324,6,2))</f>
        <v/>
      </c>
      <c r="G324">
        <f>IF(OR($E324="",$E324="نامعتبر",Sync!$Y321=""),"",Sync!$Y321)</f>
        <v/>
      </c>
      <c r="H324">
        <f>IF($G324="","",IF(Sync!$X321="","",Sync!$X321))</f>
        <v/>
      </c>
      <c r="I324">
        <f>IF($G324="","",IFERROR(VLOOKUP(Sync!$X321,OpTbl,3,0),""))</f>
        <v/>
      </c>
      <c r="J324">
        <f>IF(OR($G324="",Sync!$Z321=""),"",Sync!$Z321)</f>
        <v/>
      </c>
      <c r="K324">
        <f>IF(OR($G324="",Sync!$AA321=""),"",Sync!$AA321)</f>
        <v/>
      </c>
      <c r="L324">
        <f>IF($G324="",0,IF(Sync!$AB321="",0,Sync!$AB321))</f>
        <v/>
      </c>
      <c r="M324">
        <f>IF($G324="",0,IF(Sync!$AC321="",0,Sync!$AC321))</f>
        <v/>
      </c>
      <c r="N324">
        <f>IF($G324="","",IF($H324="مرجوعی خرید",-1,1)*($L324-$M324*IFERROR(VLOOKUP("P01",ParamTbl,3,0),1.5))*(1-IF($I324="خرید",IFERROR(VLOOKUP("P02",ParamTbl,3,0),1),0)/100))</f>
        <v/>
      </c>
      <c r="O324">
        <f>IF($G324="",0,IF($H324="مرجوعی خرید",-1,1)*IF(Sync!$AD321="",0,Sync!$AD321))</f>
        <v/>
      </c>
      <c r="P324">
        <f>IF(OR($G324="",Sync!$W321=""),"",Sync!$W321)</f>
        <v/>
      </c>
      <c r="Q324">
        <f>IF(OR($G324="",Sync!$AE321=""),"",Sync!$AE321)</f>
        <v/>
      </c>
      <c r="R324">
        <f>IF($G324="","",IF(Sync!$V321="","0000",IF(AND(ISNUMBER(Sync!$V321),Sync!$V321&gt;=0,Sync!$V321&lt;1),RIGHT("00"&amp;HOUR(Sync!$V321),2)&amp;RIGHT("00"&amp;MINUTE(Sync!$V321),2),IFERROR(RIGHT("00"&amp;VALUE(LEFT(Sync!$V321,FIND(":",Sync!$V321)-1)),2)&amp;RIGHT("00"&amp;VALUE(MID(Sync!$V321,FIND(":",Sync!$V321)+1,2)),2),"0000"))))</f>
        <v/>
      </c>
    </row>
    <row r="325">
      <c r="A325">
        <f>IF(Sync!$U322="","",Sync!$U322)</f>
        <v/>
      </c>
      <c r="B325">
        <f>IF($A325="","",IF(ISNUMBER($A325),IF(AND($A325&gt;=10000101,$A325&lt;=99991231),INT($A325/10000),""),IFERROR(VALUE(TRIM(LEFT($A325,FIND("/",$A325)-1))),"")))</f>
        <v/>
      </c>
      <c r="C325">
        <f>IF(OR($A325="",$B325=""),"",IF(ISNUMBER($A325),INT(MOD($A325,10000)/100),IFERROR(VALUE(TRIM(LEFT(MID($A325,FIND("/",$A325)+1,20),FIND("/",MID($A325,FIND("/",$A325)+1,20))-1))),"")))</f>
        <v/>
      </c>
      <c r="D325">
        <f>IF(OR($A325="",$B325=""),"",IF(ISNUMBER($A325),MOD($A325,100),IFERROR(VALUE(TRIM(MID(MID($A325,FIND("/",$A325)+1,20),FIND("/",MID($A325,FIND("/",$A325)+1,20))+1,20))),"")))</f>
        <v/>
      </c>
      <c r="E325">
        <f>IF($A325="","",IF(OR($B325="",$C325="",$D325="",$B325&lt;1300,$B325&gt;1500,$C325&lt;1,$C325&gt;12,$D325&lt;1,$D325&gt;31),"نامعتبر",RIGHT("0000"&amp;$B325,4)&amp;"/"&amp;RIGHT("00"&amp;$C325,2)&amp;"/"&amp;RIGHT("00"&amp;$D325,2)))</f>
        <v/>
      </c>
      <c r="F325">
        <f>IF(OR($E325="",$E325="نامعتبر"),"",LEFT($E325,4)&amp;"/"&amp;MID($E325,6,2))</f>
        <v/>
      </c>
      <c r="G325">
        <f>IF(OR($E325="",$E325="نامعتبر",Sync!$Y322=""),"",Sync!$Y322)</f>
        <v/>
      </c>
      <c r="H325">
        <f>IF($G325="","",IF(Sync!$X322="","",Sync!$X322))</f>
        <v/>
      </c>
      <c r="I325">
        <f>IF($G325="","",IFERROR(VLOOKUP(Sync!$X322,OpTbl,3,0),""))</f>
        <v/>
      </c>
      <c r="J325">
        <f>IF(OR($G325="",Sync!$Z322=""),"",Sync!$Z322)</f>
        <v/>
      </c>
      <c r="K325">
        <f>IF(OR($G325="",Sync!$AA322=""),"",Sync!$AA322)</f>
        <v/>
      </c>
      <c r="L325">
        <f>IF($G325="",0,IF(Sync!$AB322="",0,Sync!$AB322))</f>
        <v/>
      </c>
      <c r="M325">
        <f>IF($G325="",0,IF(Sync!$AC322="",0,Sync!$AC322))</f>
        <v/>
      </c>
      <c r="N325">
        <f>IF($G325="","",IF($H325="مرجوعی خرید",-1,1)*($L325-$M325*IFERROR(VLOOKUP("P01",ParamTbl,3,0),1.5))*(1-IF($I325="خرید",IFERROR(VLOOKUP("P02",ParamTbl,3,0),1),0)/100))</f>
        <v/>
      </c>
      <c r="O325">
        <f>IF($G325="",0,IF($H325="مرجوعی خرید",-1,1)*IF(Sync!$AD322="",0,Sync!$AD322))</f>
        <v/>
      </c>
      <c r="P325">
        <f>IF(OR($G325="",Sync!$W322=""),"",Sync!$W322)</f>
        <v/>
      </c>
      <c r="Q325">
        <f>IF(OR($G325="",Sync!$AE322=""),"",Sync!$AE322)</f>
        <v/>
      </c>
      <c r="R325">
        <f>IF($G325="","",IF(Sync!$V322="","0000",IF(AND(ISNUMBER(Sync!$V322),Sync!$V322&gt;=0,Sync!$V322&lt;1),RIGHT("00"&amp;HOUR(Sync!$V322),2)&amp;RIGHT("00"&amp;MINUTE(Sync!$V322),2),IFERROR(RIGHT("00"&amp;VALUE(LEFT(Sync!$V322,FIND(":",Sync!$V322)-1)),2)&amp;RIGHT("00"&amp;VALUE(MID(Sync!$V322,FIND(":",Sync!$V322)+1,2)),2),"0000"))))</f>
        <v/>
      </c>
    </row>
    <row r="326">
      <c r="A326">
        <f>IF(Sync!$U323="","",Sync!$U323)</f>
        <v/>
      </c>
      <c r="B326">
        <f>IF($A326="","",IF(ISNUMBER($A326),IF(AND($A326&gt;=10000101,$A326&lt;=99991231),INT($A326/10000),""),IFERROR(VALUE(TRIM(LEFT($A326,FIND("/",$A326)-1))),"")))</f>
        <v/>
      </c>
      <c r="C326">
        <f>IF(OR($A326="",$B326=""),"",IF(ISNUMBER($A326),INT(MOD($A326,10000)/100),IFERROR(VALUE(TRIM(LEFT(MID($A326,FIND("/",$A326)+1,20),FIND("/",MID($A326,FIND("/",$A326)+1,20))-1))),"")))</f>
        <v/>
      </c>
      <c r="D326">
        <f>IF(OR($A326="",$B326=""),"",IF(ISNUMBER($A326),MOD($A326,100),IFERROR(VALUE(TRIM(MID(MID($A326,FIND("/",$A326)+1,20),FIND("/",MID($A326,FIND("/",$A326)+1,20))+1,20))),"")))</f>
        <v/>
      </c>
      <c r="E326">
        <f>IF($A326="","",IF(OR($B326="",$C326="",$D326="",$B326&lt;1300,$B326&gt;1500,$C326&lt;1,$C326&gt;12,$D326&lt;1,$D326&gt;31),"نامعتبر",RIGHT("0000"&amp;$B326,4)&amp;"/"&amp;RIGHT("00"&amp;$C326,2)&amp;"/"&amp;RIGHT("00"&amp;$D326,2)))</f>
        <v/>
      </c>
      <c r="F326">
        <f>IF(OR($E326="",$E326="نامعتبر"),"",LEFT($E326,4)&amp;"/"&amp;MID($E326,6,2))</f>
        <v/>
      </c>
      <c r="G326">
        <f>IF(OR($E326="",$E326="نامعتبر",Sync!$Y323=""),"",Sync!$Y323)</f>
        <v/>
      </c>
      <c r="H326">
        <f>IF($G326="","",IF(Sync!$X323="","",Sync!$X323))</f>
        <v/>
      </c>
      <c r="I326">
        <f>IF($G326="","",IFERROR(VLOOKUP(Sync!$X323,OpTbl,3,0),""))</f>
        <v/>
      </c>
      <c r="J326">
        <f>IF(OR($G326="",Sync!$Z323=""),"",Sync!$Z323)</f>
        <v/>
      </c>
      <c r="K326">
        <f>IF(OR($G326="",Sync!$AA323=""),"",Sync!$AA323)</f>
        <v/>
      </c>
      <c r="L326">
        <f>IF($G326="",0,IF(Sync!$AB323="",0,Sync!$AB323))</f>
        <v/>
      </c>
      <c r="M326">
        <f>IF($G326="",0,IF(Sync!$AC323="",0,Sync!$AC323))</f>
        <v/>
      </c>
      <c r="N326">
        <f>IF($G326="","",IF($H326="مرجوعی خرید",-1,1)*($L326-$M326*IFERROR(VLOOKUP("P01",ParamTbl,3,0),1.5))*(1-IF($I326="خرید",IFERROR(VLOOKUP("P02",ParamTbl,3,0),1),0)/100))</f>
        <v/>
      </c>
      <c r="O326">
        <f>IF($G326="",0,IF($H326="مرجوعی خرید",-1,1)*IF(Sync!$AD323="",0,Sync!$AD323))</f>
        <v/>
      </c>
      <c r="P326">
        <f>IF(OR($G326="",Sync!$W323=""),"",Sync!$W323)</f>
        <v/>
      </c>
      <c r="Q326">
        <f>IF(OR($G326="",Sync!$AE323=""),"",Sync!$AE323)</f>
        <v/>
      </c>
      <c r="R326">
        <f>IF($G326="","",IF(Sync!$V323="","0000",IF(AND(ISNUMBER(Sync!$V323),Sync!$V323&gt;=0,Sync!$V323&lt;1),RIGHT("00"&amp;HOUR(Sync!$V323),2)&amp;RIGHT("00"&amp;MINUTE(Sync!$V323),2),IFERROR(RIGHT("00"&amp;VALUE(LEFT(Sync!$V323,FIND(":",Sync!$V323)-1)),2)&amp;RIGHT("00"&amp;VALUE(MID(Sync!$V323,FIND(":",Sync!$V323)+1,2)),2),"0000"))))</f>
        <v/>
      </c>
    </row>
    <row r="327">
      <c r="A327">
        <f>IF(Sync!$U324="","",Sync!$U324)</f>
        <v/>
      </c>
      <c r="B327">
        <f>IF($A327="","",IF(ISNUMBER($A327),IF(AND($A327&gt;=10000101,$A327&lt;=99991231),INT($A327/10000),""),IFERROR(VALUE(TRIM(LEFT($A327,FIND("/",$A327)-1))),"")))</f>
        <v/>
      </c>
      <c r="C327">
        <f>IF(OR($A327="",$B327=""),"",IF(ISNUMBER($A327),INT(MOD($A327,10000)/100),IFERROR(VALUE(TRIM(LEFT(MID($A327,FIND("/",$A327)+1,20),FIND("/",MID($A327,FIND("/",$A327)+1,20))-1))),"")))</f>
        <v/>
      </c>
      <c r="D327">
        <f>IF(OR($A327="",$B327=""),"",IF(ISNUMBER($A327),MOD($A327,100),IFERROR(VALUE(TRIM(MID(MID($A327,FIND("/",$A327)+1,20),FIND("/",MID($A327,FIND("/",$A327)+1,20))+1,20))),"")))</f>
        <v/>
      </c>
      <c r="E327">
        <f>IF($A327="","",IF(OR($B327="",$C327="",$D327="",$B327&lt;1300,$B327&gt;1500,$C327&lt;1,$C327&gt;12,$D327&lt;1,$D327&gt;31),"نامعتبر",RIGHT("0000"&amp;$B327,4)&amp;"/"&amp;RIGHT("00"&amp;$C327,2)&amp;"/"&amp;RIGHT("00"&amp;$D327,2)))</f>
        <v/>
      </c>
      <c r="F327">
        <f>IF(OR($E327="",$E327="نامعتبر"),"",LEFT($E327,4)&amp;"/"&amp;MID($E327,6,2))</f>
        <v/>
      </c>
      <c r="G327">
        <f>IF(OR($E327="",$E327="نامعتبر",Sync!$Y324=""),"",Sync!$Y324)</f>
        <v/>
      </c>
      <c r="H327">
        <f>IF($G327="","",IF(Sync!$X324="","",Sync!$X324))</f>
        <v/>
      </c>
      <c r="I327">
        <f>IF($G327="","",IFERROR(VLOOKUP(Sync!$X324,OpTbl,3,0),""))</f>
        <v/>
      </c>
      <c r="J327">
        <f>IF(OR($G327="",Sync!$Z324=""),"",Sync!$Z324)</f>
        <v/>
      </c>
      <c r="K327">
        <f>IF(OR($G327="",Sync!$AA324=""),"",Sync!$AA324)</f>
        <v/>
      </c>
      <c r="L327">
        <f>IF($G327="",0,IF(Sync!$AB324="",0,Sync!$AB324))</f>
        <v/>
      </c>
      <c r="M327">
        <f>IF($G327="",0,IF(Sync!$AC324="",0,Sync!$AC324))</f>
        <v/>
      </c>
      <c r="N327">
        <f>IF($G327="","",IF($H327="مرجوعی خرید",-1,1)*($L327-$M327*IFERROR(VLOOKUP("P01",ParamTbl,3,0),1.5))*(1-IF($I327="خرید",IFERROR(VLOOKUP("P02",ParamTbl,3,0),1),0)/100))</f>
        <v/>
      </c>
      <c r="O327">
        <f>IF($G327="",0,IF($H327="مرجوعی خرید",-1,1)*IF(Sync!$AD324="",0,Sync!$AD324))</f>
        <v/>
      </c>
      <c r="P327">
        <f>IF(OR($G327="",Sync!$W324=""),"",Sync!$W324)</f>
        <v/>
      </c>
      <c r="Q327">
        <f>IF(OR($G327="",Sync!$AE324=""),"",Sync!$AE324)</f>
        <v/>
      </c>
      <c r="R327">
        <f>IF($G327="","",IF(Sync!$V324="","0000",IF(AND(ISNUMBER(Sync!$V324),Sync!$V324&gt;=0,Sync!$V324&lt;1),RIGHT("00"&amp;HOUR(Sync!$V324),2)&amp;RIGHT("00"&amp;MINUTE(Sync!$V324),2),IFERROR(RIGHT("00"&amp;VALUE(LEFT(Sync!$V324,FIND(":",Sync!$V324)-1)),2)&amp;RIGHT("00"&amp;VALUE(MID(Sync!$V324,FIND(":",Sync!$V324)+1,2)),2),"0000"))))</f>
        <v/>
      </c>
    </row>
    <row r="328">
      <c r="A328">
        <f>IF(Sync!$U325="","",Sync!$U325)</f>
        <v/>
      </c>
      <c r="B328">
        <f>IF($A328="","",IF(ISNUMBER($A328),IF(AND($A328&gt;=10000101,$A328&lt;=99991231),INT($A328/10000),""),IFERROR(VALUE(TRIM(LEFT($A328,FIND("/",$A328)-1))),"")))</f>
        <v/>
      </c>
      <c r="C328">
        <f>IF(OR($A328="",$B328=""),"",IF(ISNUMBER($A328),INT(MOD($A328,10000)/100),IFERROR(VALUE(TRIM(LEFT(MID($A328,FIND("/",$A328)+1,20),FIND("/",MID($A328,FIND("/",$A328)+1,20))-1))),"")))</f>
        <v/>
      </c>
      <c r="D328">
        <f>IF(OR($A328="",$B328=""),"",IF(ISNUMBER($A328),MOD($A328,100),IFERROR(VALUE(TRIM(MID(MID($A328,FIND("/",$A328)+1,20),FIND("/",MID($A328,FIND("/",$A328)+1,20))+1,20))),"")))</f>
        <v/>
      </c>
      <c r="E328">
        <f>IF($A328="","",IF(OR($B328="",$C328="",$D328="",$B328&lt;1300,$B328&gt;1500,$C328&lt;1,$C328&gt;12,$D328&lt;1,$D328&gt;31),"نامعتبر",RIGHT("0000"&amp;$B328,4)&amp;"/"&amp;RIGHT("00"&amp;$C328,2)&amp;"/"&amp;RIGHT("00"&amp;$D328,2)))</f>
        <v/>
      </c>
      <c r="F328">
        <f>IF(OR($E328="",$E328="نامعتبر"),"",LEFT($E328,4)&amp;"/"&amp;MID($E328,6,2))</f>
        <v/>
      </c>
      <c r="G328">
        <f>IF(OR($E328="",$E328="نامعتبر",Sync!$Y325=""),"",Sync!$Y325)</f>
        <v/>
      </c>
      <c r="H328">
        <f>IF($G328="","",IF(Sync!$X325="","",Sync!$X325))</f>
        <v/>
      </c>
      <c r="I328">
        <f>IF($G328="","",IFERROR(VLOOKUP(Sync!$X325,OpTbl,3,0),""))</f>
        <v/>
      </c>
      <c r="J328">
        <f>IF(OR($G328="",Sync!$Z325=""),"",Sync!$Z325)</f>
        <v/>
      </c>
      <c r="K328">
        <f>IF(OR($G328="",Sync!$AA325=""),"",Sync!$AA325)</f>
        <v/>
      </c>
      <c r="L328">
        <f>IF($G328="",0,IF(Sync!$AB325="",0,Sync!$AB325))</f>
        <v/>
      </c>
      <c r="M328">
        <f>IF($G328="",0,IF(Sync!$AC325="",0,Sync!$AC325))</f>
        <v/>
      </c>
      <c r="N328">
        <f>IF($G328="","",IF($H328="مرجوعی خرید",-1,1)*($L328-$M328*IFERROR(VLOOKUP("P01",ParamTbl,3,0),1.5))*(1-IF($I328="خرید",IFERROR(VLOOKUP("P02",ParamTbl,3,0),1),0)/100))</f>
        <v/>
      </c>
      <c r="O328">
        <f>IF($G328="",0,IF($H328="مرجوعی خرید",-1,1)*IF(Sync!$AD325="",0,Sync!$AD325))</f>
        <v/>
      </c>
      <c r="P328">
        <f>IF(OR($G328="",Sync!$W325=""),"",Sync!$W325)</f>
        <v/>
      </c>
      <c r="Q328">
        <f>IF(OR($G328="",Sync!$AE325=""),"",Sync!$AE325)</f>
        <v/>
      </c>
      <c r="R328">
        <f>IF($G328="","",IF(Sync!$V325="","0000",IF(AND(ISNUMBER(Sync!$V325),Sync!$V325&gt;=0,Sync!$V325&lt;1),RIGHT("00"&amp;HOUR(Sync!$V325),2)&amp;RIGHT("00"&amp;MINUTE(Sync!$V325),2),IFERROR(RIGHT("00"&amp;VALUE(LEFT(Sync!$V325,FIND(":",Sync!$V325)-1)),2)&amp;RIGHT("00"&amp;VALUE(MID(Sync!$V325,FIND(":",Sync!$V325)+1,2)),2),"0000"))))</f>
        <v/>
      </c>
    </row>
    <row r="329">
      <c r="A329">
        <f>IF(Sync!$U326="","",Sync!$U326)</f>
        <v/>
      </c>
      <c r="B329">
        <f>IF($A329="","",IF(ISNUMBER($A329),IF(AND($A329&gt;=10000101,$A329&lt;=99991231),INT($A329/10000),""),IFERROR(VALUE(TRIM(LEFT($A329,FIND("/",$A329)-1))),"")))</f>
        <v/>
      </c>
      <c r="C329">
        <f>IF(OR($A329="",$B329=""),"",IF(ISNUMBER($A329),INT(MOD($A329,10000)/100),IFERROR(VALUE(TRIM(LEFT(MID($A329,FIND("/",$A329)+1,20),FIND("/",MID($A329,FIND("/",$A329)+1,20))-1))),"")))</f>
        <v/>
      </c>
      <c r="D329">
        <f>IF(OR($A329="",$B329=""),"",IF(ISNUMBER($A329),MOD($A329,100),IFERROR(VALUE(TRIM(MID(MID($A329,FIND("/",$A329)+1,20),FIND("/",MID($A329,FIND("/",$A329)+1,20))+1,20))),"")))</f>
        <v/>
      </c>
      <c r="E329">
        <f>IF($A329="","",IF(OR($B329="",$C329="",$D329="",$B329&lt;1300,$B329&gt;1500,$C329&lt;1,$C329&gt;12,$D329&lt;1,$D329&gt;31),"نامعتبر",RIGHT("0000"&amp;$B329,4)&amp;"/"&amp;RIGHT("00"&amp;$C329,2)&amp;"/"&amp;RIGHT("00"&amp;$D329,2)))</f>
        <v/>
      </c>
      <c r="F329">
        <f>IF(OR($E329="",$E329="نامعتبر"),"",LEFT($E329,4)&amp;"/"&amp;MID($E329,6,2))</f>
        <v/>
      </c>
      <c r="G329">
        <f>IF(OR($E329="",$E329="نامعتبر",Sync!$Y326=""),"",Sync!$Y326)</f>
        <v/>
      </c>
      <c r="H329">
        <f>IF($G329="","",IF(Sync!$X326="","",Sync!$X326))</f>
        <v/>
      </c>
      <c r="I329">
        <f>IF($G329="","",IFERROR(VLOOKUP(Sync!$X326,OpTbl,3,0),""))</f>
        <v/>
      </c>
      <c r="J329">
        <f>IF(OR($G329="",Sync!$Z326=""),"",Sync!$Z326)</f>
        <v/>
      </c>
      <c r="K329">
        <f>IF(OR($G329="",Sync!$AA326=""),"",Sync!$AA326)</f>
        <v/>
      </c>
      <c r="L329">
        <f>IF($G329="",0,IF(Sync!$AB326="",0,Sync!$AB326))</f>
        <v/>
      </c>
      <c r="M329">
        <f>IF($G329="",0,IF(Sync!$AC326="",0,Sync!$AC326))</f>
        <v/>
      </c>
      <c r="N329">
        <f>IF($G329="","",IF($H329="مرجوعی خرید",-1,1)*($L329-$M329*IFERROR(VLOOKUP("P01",ParamTbl,3,0),1.5))*(1-IF($I329="خرید",IFERROR(VLOOKUP("P02",ParamTbl,3,0),1),0)/100))</f>
        <v/>
      </c>
      <c r="O329">
        <f>IF($G329="",0,IF($H329="مرجوعی خرید",-1,1)*IF(Sync!$AD326="",0,Sync!$AD326))</f>
        <v/>
      </c>
      <c r="P329">
        <f>IF(OR($G329="",Sync!$W326=""),"",Sync!$W326)</f>
        <v/>
      </c>
      <c r="Q329">
        <f>IF(OR($G329="",Sync!$AE326=""),"",Sync!$AE326)</f>
        <v/>
      </c>
      <c r="R329">
        <f>IF($G329="","",IF(Sync!$V326="","0000",IF(AND(ISNUMBER(Sync!$V326),Sync!$V326&gt;=0,Sync!$V326&lt;1),RIGHT("00"&amp;HOUR(Sync!$V326),2)&amp;RIGHT("00"&amp;MINUTE(Sync!$V326),2),IFERROR(RIGHT("00"&amp;VALUE(LEFT(Sync!$V326,FIND(":",Sync!$V326)-1)),2)&amp;RIGHT("00"&amp;VALUE(MID(Sync!$V326,FIND(":",Sync!$V326)+1,2)),2),"0000"))))</f>
        <v/>
      </c>
    </row>
    <row r="330">
      <c r="A330">
        <f>IF(Sync!$U327="","",Sync!$U327)</f>
        <v/>
      </c>
      <c r="B330">
        <f>IF($A330="","",IF(ISNUMBER($A330),IF(AND($A330&gt;=10000101,$A330&lt;=99991231),INT($A330/10000),""),IFERROR(VALUE(TRIM(LEFT($A330,FIND("/",$A330)-1))),"")))</f>
        <v/>
      </c>
      <c r="C330">
        <f>IF(OR($A330="",$B330=""),"",IF(ISNUMBER($A330),INT(MOD($A330,10000)/100),IFERROR(VALUE(TRIM(LEFT(MID($A330,FIND("/",$A330)+1,20),FIND("/",MID($A330,FIND("/",$A330)+1,20))-1))),"")))</f>
        <v/>
      </c>
      <c r="D330">
        <f>IF(OR($A330="",$B330=""),"",IF(ISNUMBER($A330),MOD($A330,100),IFERROR(VALUE(TRIM(MID(MID($A330,FIND("/",$A330)+1,20),FIND("/",MID($A330,FIND("/",$A330)+1,20))+1,20))),"")))</f>
        <v/>
      </c>
      <c r="E330">
        <f>IF($A330="","",IF(OR($B330="",$C330="",$D330="",$B330&lt;1300,$B330&gt;1500,$C330&lt;1,$C330&gt;12,$D330&lt;1,$D330&gt;31),"نامعتبر",RIGHT("0000"&amp;$B330,4)&amp;"/"&amp;RIGHT("00"&amp;$C330,2)&amp;"/"&amp;RIGHT("00"&amp;$D330,2)))</f>
        <v/>
      </c>
      <c r="F330">
        <f>IF(OR($E330="",$E330="نامعتبر"),"",LEFT($E330,4)&amp;"/"&amp;MID($E330,6,2))</f>
        <v/>
      </c>
      <c r="G330">
        <f>IF(OR($E330="",$E330="نامعتبر",Sync!$Y327=""),"",Sync!$Y327)</f>
        <v/>
      </c>
      <c r="H330">
        <f>IF($G330="","",IF(Sync!$X327="","",Sync!$X327))</f>
        <v/>
      </c>
      <c r="I330">
        <f>IF($G330="","",IFERROR(VLOOKUP(Sync!$X327,OpTbl,3,0),""))</f>
        <v/>
      </c>
      <c r="J330">
        <f>IF(OR($G330="",Sync!$Z327=""),"",Sync!$Z327)</f>
        <v/>
      </c>
      <c r="K330">
        <f>IF(OR($G330="",Sync!$AA327=""),"",Sync!$AA327)</f>
        <v/>
      </c>
      <c r="L330">
        <f>IF($G330="",0,IF(Sync!$AB327="",0,Sync!$AB327))</f>
        <v/>
      </c>
      <c r="M330">
        <f>IF($G330="",0,IF(Sync!$AC327="",0,Sync!$AC327))</f>
        <v/>
      </c>
      <c r="N330">
        <f>IF($G330="","",IF($H330="مرجوعی خرید",-1,1)*($L330-$M330*IFERROR(VLOOKUP("P01",ParamTbl,3,0),1.5))*(1-IF($I330="خرید",IFERROR(VLOOKUP("P02",ParamTbl,3,0),1),0)/100))</f>
        <v/>
      </c>
      <c r="O330">
        <f>IF($G330="",0,IF($H330="مرجوعی خرید",-1,1)*IF(Sync!$AD327="",0,Sync!$AD327))</f>
        <v/>
      </c>
      <c r="P330">
        <f>IF(OR($G330="",Sync!$W327=""),"",Sync!$W327)</f>
        <v/>
      </c>
      <c r="Q330">
        <f>IF(OR($G330="",Sync!$AE327=""),"",Sync!$AE327)</f>
        <v/>
      </c>
      <c r="R330">
        <f>IF($G330="","",IF(Sync!$V327="","0000",IF(AND(ISNUMBER(Sync!$V327),Sync!$V327&gt;=0,Sync!$V327&lt;1),RIGHT("00"&amp;HOUR(Sync!$V327),2)&amp;RIGHT("00"&amp;MINUTE(Sync!$V327),2),IFERROR(RIGHT("00"&amp;VALUE(LEFT(Sync!$V327,FIND(":",Sync!$V327)-1)),2)&amp;RIGHT("00"&amp;VALUE(MID(Sync!$V327,FIND(":",Sync!$V327)+1,2)),2),"0000"))))</f>
        <v/>
      </c>
    </row>
    <row r="331">
      <c r="A331">
        <f>IF(Sync!$U328="","",Sync!$U328)</f>
        <v/>
      </c>
      <c r="B331">
        <f>IF($A331="","",IF(ISNUMBER($A331),IF(AND($A331&gt;=10000101,$A331&lt;=99991231),INT($A331/10000),""),IFERROR(VALUE(TRIM(LEFT($A331,FIND("/",$A331)-1))),"")))</f>
        <v/>
      </c>
      <c r="C331">
        <f>IF(OR($A331="",$B331=""),"",IF(ISNUMBER($A331),INT(MOD($A331,10000)/100),IFERROR(VALUE(TRIM(LEFT(MID($A331,FIND("/",$A331)+1,20),FIND("/",MID($A331,FIND("/",$A331)+1,20))-1))),"")))</f>
        <v/>
      </c>
      <c r="D331">
        <f>IF(OR($A331="",$B331=""),"",IF(ISNUMBER($A331),MOD($A331,100),IFERROR(VALUE(TRIM(MID(MID($A331,FIND("/",$A331)+1,20),FIND("/",MID($A331,FIND("/",$A331)+1,20))+1,20))),"")))</f>
        <v/>
      </c>
      <c r="E331">
        <f>IF($A331="","",IF(OR($B331="",$C331="",$D331="",$B331&lt;1300,$B331&gt;1500,$C331&lt;1,$C331&gt;12,$D331&lt;1,$D331&gt;31),"نامعتبر",RIGHT("0000"&amp;$B331,4)&amp;"/"&amp;RIGHT("00"&amp;$C331,2)&amp;"/"&amp;RIGHT("00"&amp;$D331,2)))</f>
        <v/>
      </c>
      <c r="F331">
        <f>IF(OR($E331="",$E331="نامعتبر"),"",LEFT($E331,4)&amp;"/"&amp;MID($E331,6,2))</f>
        <v/>
      </c>
      <c r="G331">
        <f>IF(OR($E331="",$E331="نامعتبر",Sync!$Y328=""),"",Sync!$Y328)</f>
        <v/>
      </c>
      <c r="H331">
        <f>IF($G331="","",IF(Sync!$X328="","",Sync!$X328))</f>
        <v/>
      </c>
      <c r="I331">
        <f>IF($G331="","",IFERROR(VLOOKUP(Sync!$X328,OpTbl,3,0),""))</f>
        <v/>
      </c>
      <c r="J331">
        <f>IF(OR($G331="",Sync!$Z328=""),"",Sync!$Z328)</f>
        <v/>
      </c>
      <c r="K331">
        <f>IF(OR($G331="",Sync!$AA328=""),"",Sync!$AA328)</f>
        <v/>
      </c>
      <c r="L331">
        <f>IF($G331="",0,IF(Sync!$AB328="",0,Sync!$AB328))</f>
        <v/>
      </c>
      <c r="M331">
        <f>IF($G331="",0,IF(Sync!$AC328="",0,Sync!$AC328))</f>
        <v/>
      </c>
      <c r="N331">
        <f>IF($G331="","",IF($H331="مرجوعی خرید",-1,1)*($L331-$M331*IFERROR(VLOOKUP("P01",ParamTbl,3,0),1.5))*(1-IF($I331="خرید",IFERROR(VLOOKUP("P02",ParamTbl,3,0),1),0)/100))</f>
        <v/>
      </c>
      <c r="O331">
        <f>IF($G331="",0,IF($H331="مرجوعی خرید",-1,1)*IF(Sync!$AD328="",0,Sync!$AD328))</f>
        <v/>
      </c>
      <c r="P331">
        <f>IF(OR($G331="",Sync!$W328=""),"",Sync!$W328)</f>
        <v/>
      </c>
      <c r="Q331">
        <f>IF(OR($G331="",Sync!$AE328=""),"",Sync!$AE328)</f>
        <v/>
      </c>
      <c r="R331">
        <f>IF($G331="","",IF(Sync!$V328="","0000",IF(AND(ISNUMBER(Sync!$V328),Sync!$V328&gt;=0,Sync!$V328&lt;1),RIGHT("00"&amp;HOUR(Sync!$V328),2)&amp;RIGHT("00"&amp;MINUTE(Sync!$V328),2),IFERROR(RIGHT("00"&amp;VALUE(LEFT(Sync!$V328,FIND(":",Sync!$V328)-1)),2)&amp;RIGHT("00"&amp;VALUE(MID(Sync!$V328,FIND(":",Sync!$V328)+1,2)),2),"0000"))))</f>
        <v/>
      </c>
    </row>
    <row r="332">
      <c r="A332">
        <f>IF(Sync!$U329="","",Sync!$U329)</f>
        <v/>
      </c>
      <c r="B332">
        <f>IF($A332="","",IF(ISNUMBER($A332),IF(AND($A332&gt;=10000101,$A332&lt;=99991231),INT($A332/10000),""),IFERROR(VALUE(TRIM(LEFT($A332,FIND("/",$A332)-1))),"")))</f>
        <v/>
      </c>
      <c r="C332">
        <f>IF(OR($A332="",$B332=""),"",IF(ISNUMBER($A332),INT(MOD($A332,10000)/100),IFERROR(VALUE(TRIM(LEFT(MID($A332,FIND("/",$A332)+1,20),FIND("/",MID($A332,FIND("/",$A332)+1,20))-1))),"")))</f>
        <v/>
      </c>
      <c r="D332">
        <f>IF(OR($A332="",$B332=""),"",IF(ISNUMBER($A332),MOD($A332,100),IFERROR(VALUE(TRIM(MID(MID($A332,FIND("/",$A332)+1,20),FIND("/",MID($A332,FIND("/",$A332)+1,20))+1,20))),"")))</f>
        <v/>
      </c>
      <c r="E332">
        <f>IF($A332="","",IF(OR($B332="",$C332="",$D332="",$B332&lt;1300,$B332&gt;1500,$C332&lt;1,$C332&gt;12,$D332&lt;1,$D332&gt;31),"نامعتبر",RIGHT("0000"&amp;$B332,4)&amp;"/"&amp;RIGHT("00"&amp;$C332,2)&amp;"/"&amp;RIGHT("00"&amp;$D332,2)))</f>
        <v/>
      </c>
      <c r="F332">
        <f>IF(OR($E332="",$E332="نامعتبر"),"",LEFT($E332,4)&amp;"/"&amp;MID($E332,6,2))</f>
        <v/>
      </c>
      <c r="G332">
        <f>IF(OR($E332="",$E332="نامعتبر",Sync!$Y329=""),"",Sync!$Y329)</f>
        <v/>
      </c>
      <c r="H332">
        <f>IF($G332="","",IF(Sync!$X329="","",Sync!$X329))</f>
        <v/>
      </c>
      <c r="I332">
        <f>IF($G332="","",IFERROR(VLOOKUP(Sync!$X329,OpTbl,3,0),""))</f>
        <v/>
      </c>
      <c r="J332">
        <f>IF(OR($G332="",Sync!$Z329=""),"",Sync!$Z329)</f>
        <v/>
      </c>
      <c r="K332">
        <f>IF(OR($G332="",Sync!$AA329=""),"",Sync!$AA329)</f>
        <v/>
      </c>
      <c r="L332">
        <f>IF($G332="",0,IF(Sync!$AB329="",0,Sync!$AB329))</f>
        <v/>
      </c>
      <c r="M332">
        <f>IF($G332="",0,IF(Sync!$AC329="",0,Sync!$AC329))</f>
        <v/>
      </c>
      <c r="N332">
        <f>IF($G332="","",IF($H332="مرجوعی خرید",-1,1)*($L332-$M332*IFERROR(VLOOKUP("P01",ParamTbl,3,0),1.5))*(1-IF($I332="خرید",IFERROR(VLOOKUP("P02",ParamTbl,3,0),1),0)/100))</f>
        <v/>
      </c>
      <c r="O332">
        <f>IF($G332="",0,IF($H332="مرجوعی خرید",-1,1)*IF(Sync!$AD329="",0,Sync!$AD329))</f>
        <v/>
      </c>
      <c r="P332">
        <f>IF(OR($G332="",Sync!$W329=""),"",Sync!$W329)</f>
        <v/>
      </c>
      <c r="Q332">
        <f>IF(OR($G332="",Sync!$AE329=""),"",Sync!$AE329)</f>
        <v/>
      </c>
      <c r="R332">
        <f>IF($G332="","",IF(Sync!$V329="","0000",IF(AND(ISNUMBER(Sync!$V329),Sync!$V329&gt;=0,Sync!$V329&lt;1),RIGHT("00"&amp;HOUR(Sync!$V329),2)&amp;RIGHT("00"&amp;MINUTE(Sync!$V329),2),IFERROR(RIGHT("00"&amp;VALUE(LEFT(Sync!$V329,FIND(":",Sync!$V329)-1)),2)&amp;RIGHT("00"&amp;VALUE(MID(Sync!$V329,FIND(":",Sync!$V329)+1,2)),2),"0000"))))</f>
        <v/>
      </c>
    </row>
    <row r="333">
      <c r="A333">
        <f>IF(Sync!$U330="","",Sync!$U330)</f>
        <v/>
      </c>
      <c r="B333">
        <f>IF($A333="","",IF(ISNUMBER($A333),IF(AND($A333&gt;=10000101,$A333&lt;=99991231),INT($A333/10000),""),IFERROR(VALUE(TRIM(LEFT($A333,FIND("/",$A333)-1))),"")))</f>
        <v/>
      </c>
      <c r="C333">
        <f>IF(OR($A333="",$B333=""),"",IF(ISNUMBER($A333),INT(MOD($A333,10000)/100),IFERROR(VALUE(TRIM(LEFT(MID($A333,FIND("/",$A333)+1,20),FIND("/",MID($A333,FIND("/",$A333)+1,20))-1))),"")))</f>
        <v/>
      </c>
      <c r="D333">
        <f>IF(OR($A333="",$B333=""),"",IF(ISNUMBER($A333),MOD($A333,100),IFERROR(VALUE(TRIM(MID(MID($A333,FIND("/",$A333)+1,20),FIND("/",MID($A333,FIND("/",$A333)+1,20))+1,20))),"")))</f>
        <v/>
      </c>
      <c r="E333">
        <f>IF($A333="","",IF(OR($B333="",$C333="",$D333="",$B333&lt;1300,$B333&gt;1500,$C333&lt;1,$C333&gt;12,$D333&lt;1,$D333&gt;31),"نامعتبر",RIGHT("0000"&amp;$B333,4)&amp;"/"&amp;RIGHT("00"&amp;$C333,2)&amp;"/"&amp;RIGHT("00"&amp;$D333,2)))</f>
        <v/>
      </c>
      <c r="F333">
        <f>IF(OR($E333="",$E333="نامعتبر"),"",LEFT($E333,4)&amp;"/"&amp;MID($E333,6,2))</f>
        <v/>
      </c>
      <c r="G333">
        <f>IF(OR($E333="",$E333="نامعتبر",Sync!$Y330=""),"",Sync!$Y330)</f>
        <v/>
      </c>
      <c r="H333">
        <f>IF($G333="","",IF(Sync!$X330="","",Sync!$X330))</f>
        <v/>
      </c>
      <c r="I333">
        <f>IF($G333="","",IFERROR(VLOOKUP(Sync!$X330,OpTbl,3,0),""))</f>
        <v/>
      </c>
      <c r="J333">
        <f>IF(OR($G333="",Sync!$Z330=""),"",Sync!$Z330)</f>
        <v/>
      </c>
      <c r="K333">
        <f>IF(OR($G333="",Sync!$AA330=""),"",Sync!$AA330)</f>
        <v/>
      </c>
      <c r="L333">
        <f>IF($G333="",0,IF(Sync!$AB330="",0,Sync!$AB330))</f>
        <v/>
      </c>
      <c r="M333">
        <f>IF($G333="",0,IF(Sync!$AC330="",0,Sync!$AC330))</f>
        <v/>
      </c>
      <c r="N333">
        <f>IF($G333="","",IF($H333="مرجوعی خرید",-1,1)*($L333-$M333*IFERROR(VLOOKUP("P01",ParamTbl,3,0),1.5))*(1-IF($I333="خرید",IFERROR(VLOOKUP("P02",ParamTbl,3,0),1),0)/100))</f>
        <v/>
      </c>
      <c r="O333">
        <f>IF($G333="",0,IF($H333="مرجوعی خرید",-1,1)*IF(Sync!$AD330="",0,Sync!$AD330))</f>
        <v/>
      </c>
      <c r="P333">
        <f>IF(OR($G333="",Sync!$W330=""),"",Sync!$W330)</f>
        <v/>
      </c>
      <c r="Q333">
        <f>IF(OR($G333="",Sync!$AE330=""),"",Sync!$AE330)</f>
        <v/>
      </c>
      <c r="R333">
        <f>IF($G333="","",IF(Sync!$V330="","0000",IF(AND(ISNUMBER(Sync!$V330),Sync!$V330&gt;=0,Sync!$V330&lt;1),RIGHT("00"&amp;HOUR(Sync!$V330),2)&amp;RIGHT("00"&amp;MINUTE(Sync!$V330),2),IFERROR(RIGHT("00"&amp;VALUE(LEFT(Sync!$V330,FIND(":",Sync!$V330)-1)),2)&amp;RIGHT("00"&amp;VALUE(MID(Sync!$V330,FIND(":",Sync!$V330)+1,2)),2),"0000"))))</f>
        <v/>
      </c>
    </row>
    <row r="334">
      <c r="A334">
        <f>IF(Sync!$U331="","",Sync!$U331)</f>
        <v/>
      </c>
      <c r="B334">
        <f>IF($A334="","",IF(ISNUMBER($A334),IF(AND($A334&gt;=10000101,$A334&lt;=99991231),INT($A334/10000),""),IFERROR(VALUE(TRIM(LEFT($A334,FIND("/",$A334)-1))),"")))</f>
        <v/>
      </c>
      <c r="C334">
        <f>IF(OR($A334="",$B334=""),"",IF(ISNUMBER($A334),INT(MOD($A334,10000)/100),IFERROR(VALUE(TRIM(LEFT(MID($A334,FIND("/",$A334)+1,20),FIND("/",MID($A334,FIND("/",$A334)+1,20))-1))),"")))</f>
        <v/>
      </c>
      <c r="D334">
        <f>IF(OR($A334="",$B334=""),"",IF(ISNUMBER($A334),MOD($A334,100),IFERROR(VALUE(TRIM(MID(MID($A334,FIND("/",$A334)+1,20),FIND("/",MID($A334,FIND("/",$A334)+1,20))+1,20))),"")))</f>
        <v/>
      </c>
      <c r="E334">
        <f>IF($A334="","",IF(OR($B334="",$C334="",$D334="",$B334&lt;1300,$B334&gt;1500,$C334&lt;1,$C334&gt;12,$D334&lt;1,$D334&gt;31),"نامعتبر",RIGHT("0000"&amp;$B334,4)&amp;"/"&amp;RIGHT("00"&amp;$C334,2)&amp;"/"&amp;RIGHT("00"&amp;$D334,2)))</f>
        <v/>
      </c>
      <c r="F334">
        <f>IF(OR($E334="",$E334="نامعتبر"),"",LEFT($E334,4)&amp;"/"&amp;MID($E334,6,2))</f>
        <v/>
      </c>
      <c r="G334">
        <f>IF(OR($E334="",$E334="نامعتبر",Sync!$Y331=""),"",Sync!$Y331)</f>
        <v/>
      </c>
      <c r="H334">
        <f>IF($G334="","",IF(Sync!$X331="","",Sync!$X331))</f>
        <v/>
      </c>
      <c r="I334">
        <f>IF($G334="","",IFERROR(VLOOKUP(Sync!$X331,OpTbl,3,0),""))</f>
        <v/>
      </c>
      <c r="J334">
        <f>IF(OR($G334="",Sync!$Z331=""),"",Sync!$Z331)</f>
        <v/>
      </c>
      <c r="K334">
        <f>IF(OR($G334="",Sync!$AA331=""),"",Sync!$AA331)</f>
        <v/>
      </c>
      <c r="L334">
        <f>IF($G334="",0,IF(Sync!$AB331="",0,Sync!$AB331))</f>
        <v/>
      </c>
      <c r="M334">
        <f>IF($G334="",0,IF(Sync!$AC331="",0,Sync!$AC331))</f>
        <v/>
      </c>
      <c r="N334">
        <f>IF($G334="","",IF($H334="مرجوعی خرید",-1,1)*($L334-$M334*IFERROR(VLOOKUP("P01",ParamTbl,3,0),1.5))*(1-IF($I334="خرید",IFERROR(VLOOKUP("P02",ParamTbl,3,0),1),0)/100))</f>
        <v/>
      </c>
      <c r="O334">
        <f>IF($G334="",0,IF($H334="مرجوعی خرید",-1,1)*IF(Sync!$AD331="",0,Sync!$AD331))</f>
        <v/>
      </c>
      <c r="P334">
        <f>IF(OR($G334="",Sync!$W331=""),"",Sync!$W331)</f>
        <v/>
      </c>
      <c r="Q334">
        <f>IF(OR($G334="",Sync!$AE331=""),"",Sync!$AE331)</f>
        <v/>
      </c>
      <c r="R334">
        <f>IF($G334="","",IF(Sync!$V331="","0000",IF(AND(ISNUMBER(Sync!$V331),Sync!$V331&gt;=0,Sync!$V331&lt;1),RIGHT("00"&amp;HOUR(Sync!$V331),2)&amp;RIGHT("00"&amp;MINUTE(Sync!$V331),2),IFERROR(RIGHT("00"&amp;VALUE(LEFT(Sync!$V331,FIND(":",Sync!$V331)-1)),2)&amp;RIGHT("00"&amp;VALUE(MID(Sync!$V331,FIND(":",Sync!$V331)+1,2)),2),"0000"))))</f>
        <v/>
      </c>
    </row>
    <row r="335">
      <c r="A335">
        <f>IF(Sync!$U332="","",Sync!$U332)</f>
        <v/>
      </c>
      <c r="B335">
        <f>IF($A335="","",IF(ISNUMBER($A335),IF(AND($A335&gt;=10000101,$A335&lt;=99991231),INT($A335/10000),""),IFERROR(VALUE(TRIM(LEFT($A335,FIND("/",$A335)-1))),"")))</f>
        <v/>
      </c>
      <c r="C335">
        <f>IF(OR($A335="",$B335=""),"",IF(ISNUMBER($A335),INT(MOD($A335,10000)/100),IFERROR(VALUE(TRIM(LEFT(MID($A335,FIND("/",$A335)+1,20),FIND("/",MID($A335,FIND("/",$A335)+1,20))-1))),"")))</f>
        <v/>
      </c>
      <c r="D335">
        <f>IF(OR($A335="",$B335=""),"",IF(ISNUMBER($A335),MOD($A335,100),IFERROR(VALUE(TRIM(MID(MID($A335,FIND("/",$A335)+1,20),FIND("/",MID($A335,FIND("/",$A335)+1,20))+1,20))),"")))</f>
        <v/>
      </c>
      <c r="E335">
        <f>IF($A335="","",IF(OR($B335="",$C335="",$D335="",$B335&lt;1300,$B335&gt;1500,$C335&lt;1,$C335&gt;12,$D335&lt;1,$D335&gt;31),"نامعتبر",RIGHT("0000"&amp;$B335,4)&amp;"/"&amp;RIGHT("00"&amp;$C335,2)&amp;"/"&amp;RIGHT("00"&amp;$D335,2)))</f>
        <v/>
      </c>
      <c r="F335">
        <f>IF(OR($E335="",$E335="نامعتبر"),"",LEFT($E335,4)&amp;"/"&amp;MID($E335,6,2))</f>
        <v/>
      </c>
      <c r="G335">
        <f>IF(OR($E335="",$E335="نامعتبر",Sync!$Y332=""),"",Sync!$Y332)</f>
        <v/>
      </c>
      <c r="H335">
        <f>IF($G335="","",IF(Sync!$X332="","",Sync!$X332))</f>
        <v/>
      </c>
      <c r="I335">
        <f>IF($G335="","",IFERROR(VLOOKUP(Sync!$X332,OpTbl,3,0),""))</f>
        <v/>
      </c>
      <c r="J335">
        <f>IF(OR($G335="",Sync!$Z332=""),"",Sync!$Z332)</f>
        <v/>
      </c>
      <c r="K335">
        <f>IF(OR($G335="",Sync!$AA332=""),"",Sync!$AA332)</f>
        <v/>
      </c>
      <c r="L335">
        <f>IF($G335="",0,IF(Sync!$AB332="",0,Sync!$AB332))</f>
        <v/>
      </c>
      <c r="M335">
        <f>IF($G335="",0,IF(Sync!$AC332="",0,Sync!$AC332))</f>
        <v/>
      </c>
      <c r="N335">
        <f>IF($G335="","",IF($H335="مرجوعی خرید",-1,1)*($L335-$M335*IFERROR(VLOOKUP("P01",ParamTbl,3,0),1.5))*(1-IF($I335="خرید",IFERROR(VLOOKUP("P02",ParamTbl,3,0),1),0)/100))</f>
        <v/>
      </c>
      <c r="O335">
        <f>IF($G335="",0,IF($H335="مرجوعی خرید",-1,1)*IF(Sync!$AD332="",0,Sync!$AD332))</f>
        <v/>
      </c>
      <c r="P335">
        <f>IF(OR($G335="",Sync!$W332=""),"",Sync!$W332)</f>
        <v/>
      </c>
      <c r="Q335">
        <f>IF(OR($G335="",Sync!$AE332=""),"",Sync!$AE332)</f>
        <v/>
      </c>
      <c r="R335">
        <f>IF($G335="","",IF(Sync!$V332="","0000",IF(AND(ISNUMBER(Sync!$V332),Sync!$V332&gt;=0,Sync!$V332&lt;1),RIGHT("00"&amp;HOUR(Sync!$V332),2)&amp;RIGHT("00"&amp;MINUTE(Sync!$V332),2),IFERROR(RIGHT("00"&amp;VALUE(LEFT(Sync!$V332,FIND(":",Sync!$V332)-1)),2)&amp;RIGHT("00"&amp;VALUE(MID(Sync!$V332,FIND(":",Sync!$V332)+1,2)),2),"0000"))))</f>
        <v/>
      </c>
    </row>
    <row r="336">
      <c r="A336">
        <f>IF(Sync!$U333="","",Sync!$U333)</f>
        <v/>
      </c>
      <c r="B336">
        <f>IF($A336="","",IF(ISNUMBER($A336),IF(AND($A336&gt;=10000101,$A336&lt;=99991231),INT($A336/10000),""),IFERROR(VALUE(TRIM(LEFT($A336,FIND("/",$A336)-1))),"")))</f>
        <v/>
      </c>
      <c r="C336">
        <f>IF(OR($A336="",$B336=""),"",IF(ISNUMBER($A336),INT(MOD($A336,10000)/100),IFERROR(VALUE(TRIM(LEFT(MID($A336,FIND("/",$A336)+1,20),FIND("/",MID($A336,FIND("/",$A336)+1,20))-1))),"")))</f>
        <v/>
      </c>
      <c r="D336">
        <f>IF(OR($A336="",$B336=""),"",IF(ISNUMBER($A336),MOD($A336,100),IFERROR(VALUE(TRIM(MID(MID($A336,FIND("/",$A336)+1,20),FIND("/",MID($A336,FIND("/",$A336)+1,20))+1,20))),"")))</f>
        <v/>
      </c>
      <c r="E336">
        <f>IF($A336="","",IF(OR($B336="",$C336="",$D336="",$B336&lt;1300,$B336&gt;1500,$C336&lt;1,$C336&gt;12,$D336&lt;1,$D336&gt;31),"نامعتبر",RIGHT("0000"&amp;$B336,4)&amp;"/"&amp;RIGHT("00"&amp;$C336,2)&amp;"/"&amp;RIGHT("00"&amp;$D336,2)))</f>
        <v/>
      </c>
      <c r="F336">
        <f>IF(OR($E336="",$E336="نامعتبر"),"",LEFT($E336,4)&amp;"/"&amp;MID($E336,6,2))</f>
        <v/>
      </c>
      <c r="G336">
        <f>IF(OR($E336="",$E336="نامعتبر",Sync!$Y333=""),"",Sync!$Y333)</f>
        <v/>
      </c>
      <c r="H336">
        <f>IF($G336="","",IF(Sync!$X333="","",Sync!$X333))</f>
        <v/>
      </c>
      <c r="I336">
        <f>IF($G336="","",IFERROR(VLOOKUP(Sync!$X333,OpTbl,3,0),""))</f>
        <v/>
      </c>
      <c r="J336">
        <f>IF(OR($G336="",Sync!$Z333=""),"",Sync!$Z333)</f>
        <v/>
      </c>
      <c r="K336">
        <f>IF(OR($G336="",Sync!$AA333=""),"",Sync!$AA333)</f>
        <v/>
      </c>
      <c r="L336">
        <f>IF($G336="",0,IF(Sync!$AB333="",0,Sync!$AB333))</f>
        <v/>
      </c>
      <c r="M336">
        <f>IF($G336="",0,IF(Sync!$AC333="",0,Sync!$AC333))</f>
        <v/>
      </c>
      <c r="N336">
        <f>IF($G336="","",IF($H336="مرجوعی خرید",-1,1)*($L336-$M336*IFERROR(VLOOKUP("P01",ParamTbl,3,0),1.5))*(1-IF($I336="خرید",IFERROR(VLOOKUP("P02",ParamTbl,3,0),1),0)/100))</f>
        <v/>
      </c>
      <c r="O336">
        <f>IF($G336="",0,IF($H336="مرجوعی خرید",-1,1)*IF(Sync!$AD333="",0,Sync!$AD333))</f>
        <v/>
      </c>
      <c r="P336">
        <f>IF(OR($G336="",Sync!$W333=""),"",Sync!$W333)</f>
        <v/>
      </c>
      <c r="Q336">
        <f>IF(OR($G336="",Sync!$AE333=""),"",Sync!$AE333)</f>
        <v/>
      </c>
      <c r="R336">
        <f>IF($G336="","",IF(Sync!$V333="","0000",IF(AND(ISNUMBER(Sync!$V333),Sync!$V333&gt;=0,Sync!$V333&lt;1),RIGHT("00"&amp;HOUR(Sync!$V333),2)&amp;RIGHT("00"&amp;MINUTE(Sync!$V333),2),IFERROR(RIGHT("00"&amp;VALUE(LEFT(Sync!$V333,FIND(":",Sync!$V333)-1)),2)&amp;RIGHT("00"&amp;VALUE(MID(Sync!$V333,FIND(":",Sync!$V333)+1,2)),2),"0000"))))</f>
        <v/>
      </c>
    </row>
    <row r="337">
      <c r="A337">
        <f>IF(Sync!$U334="","",Sync!$U334)</f>
        <v/>
      </c>
      <c r="B337">
        <f>IF($A337="","",IF(ISNUMBER($A337),IF(AND($A337&gt;=10000101,$A337&lt;=99991231),INT($A337/10000),""),IFERROR(VALUE(TRIM(LEFT($A337,FIND("/",$A337)-1))),"")))</f>
        <v/>
      </c>
      <c r="C337">
        <f>IF(OR($A337="",$B337=""),"",IF(ISNUMBER($A337),INT(MOD($A337,10000)/100),IFERROR(VALUE(TRIM(LEFT(MID($A337,FIND("/",$A337)+1,20),FIND("/",MID($A337,FIND("/",$A337)+1,20))-1))),"")))</f>
        <v/>
      </c>
      <c r="D337">
        <f>IF(OR($A337="",$B337=""),"",IF(ISNUMBER($A337),MOD($A337,100),IFERROR(VALUE(TRIM(MID(MID($A337,FIND("/",$A337)+1,20),FIND("/",MID($A337,FIND("/",$A337)+1,20))+1,20))),"")))</f>
        <v/>
      </c>
      <c r="E337">
        <f>IF($A337="","",IF(OR($B337="",$C337="",$D337="",$B337&lt;1300,$B337&gt;1500,$C337&lt;1,$C337&gt;12,$D337&lt;1,$D337&gt;31),"نامعتبر",RIGHT("0000"&amp;$B337,4)&amp;"/"&amp;RIGHT("00"&amp;$C337,2)&amp;"/"&amp;RIGHT("00"&amp;$D337,2)))</f>
        <v/>
      </c>
      <c r="F337">
        <f>IF(OR($E337="",$E337="نامعتبر"),"",LEFT($E337,4)&amp;"/"&amp;MID($E337,6,2))</f>
        <v/>
      </c>
      <c r="G337">
        <f>IF(OR($E337="",$E337="نامعتبر",Sync!$Y334=""),"",Sync!$Y334)</f>
        <v/>
      </c>
      <c r="H337">
        <f>IF($G337="","",IF(Sync!$X334="","",Sync!$X334))</f>
        <v/>
      </c>
      <c r="I337">
        <f>IF($G337="","",IFERROR(VLOOKUP(Sync!$X334,OpTbl,3,0),""))</f>
        <v/>
      </c>
      <c r="J337">
        <f>IF(OR($G337="",Sync!$Z334=""),"",Sync!$Z334)</f>
        <v/>
      </c>
      <c r="K337">
        <f>IF(OR($G337="",Sync!$AA334=""),"",Sync!$AA334)</f>
        <v/>
      </c>
      <c r="L337">
        <f>IF($G337="",0,IF(Sync!$AB334="",0,Sync!$AB334))</f>
        <v/>
      </c>
      <c r="M337">
        <f>IF($G337="",0,IF(Sync!$AC334="",0,Sync!$AC334))</f>
        <v/>
      </c>
      <c r="N337">
        <f>IF($G337="","",IF($H337="مرجوعی خرید",-1,1)*($L337-$M337*IFERROR(VLOOKUP("P01",ParamTbl,3,0),1.5))*(1-IF($I337="خرید",IFERROR(VLOOKUP("P02",ParamTbl,3,0),1),0)/100))</f>
        <v/>
      </c>
      <c r="O337">
        <f>IF($G337="",0,IF($H337="مرجوعی خرید",-1,1)*IF(Sync!$AD334="",0,Sync!$AD334))</f>
        <v/>
      </c>
      <c r="P337">
        <f>IF(OR($G337="",Sync!$W334=""),"",Sync!$W334)</f>
        <v/>
      </c>
      <c r="Q337">
        <f>IF(OR($G337="",Sync!$AE334=""),"",Sync!$AE334)</f>
        <v/>
      </c>
      <c r="R337">
        <f>IF($G337="","",IF(Sync!$V334="","0000",IF(AND(ISNUMBER(Sync!$V334),Sync!$V334&gt;=0,Sync!$V334&lt;1),RIGHT("00"&amp;HOUR(Sync!$V334),2)&amp;RIGHT("00"&amp;MINUTE(Sync!$V334),2),IFERROR(RIGHT("00"&amp;VALUE(LEFT(Sync!$V334,FIND(":",Sync!$V334)-1)),2)&amp;RIGHT("00"&amp;VALUE(MID(Sync!$V334,FIND(":",Sync!$V334)+1,2)),2),"0000"))))</f>
        <v/>
      </c>
    </row>
    <row r="338">
      <c r="A338">
        <f>IF(Sync!$U335="","",Sync!$U335)</f>
        <v/>
      </c>
      <c r="B338">
        <f>IF($A338="","",IF(ISNUMBER($A338),IF(AND($A338&gt;=10000101,$A338&lt;=99991231),INT($A338/10000),""),IFERROR(VALUE(TRIM(LEFT($A338,FIND("/",$A338)-1))),"")))</f>
        <v/>
      </c>
      <c r="C338">
        <f>IF(OR($A338="",$B338=""),"",IF(ISNUMBER($A338),INT(MOD($A338,10000)/100),IFERROR(VALUE(TRIM(LEFT(MID($A338,FIND("/",$A338)+1,20),FIND("/",MID($A338,FIND("/",$A338)+1,20))-1))),"")))</f>
        <v/>
      </c>
      <c r="D338">
        <f>IF(OR($A338="",$B338=""),"",IF(ISNUMBER($A338),MOD($A338,100),IFERROR(VALUE(TRIM(MID(MID($A338,FIND("/",$A338)+1,20),FIND("/",MID($A338,FIND("/",$A338)+1,20))+1,20))),"")))</f>
        <v/>
      </c>
      <c r="E338">
        <f>IF($A338="","",IF(OR($B338="",$C338="",$D338="",$B338&lt;1300,$B338&gt;1500,$C338&lt;1,$C338&gt;12,$D338&lt;1,$D338&gt;31),"نامعتبر",RIGHT("0000"&amp;$B338,4)&amp;"/"&amp;RIGHT("00"&amp;$C338,2)&amp;"/"&amp;RIGHT("00"&amp;$D338,2)))</f>
        <v/>
      </c>
      <c r="F338">
        <f>IF(OR($E338="",$E338="نامعتبر"),"",LEFT($E338,4)&amp;"/"&amp;MID($E338,6,2))</f>
        <v/>
      </c>
      <c r="G338">
        <f>IF(OR($E338="",$E338="نامعتبر",Sync!$Y335=""),"",Sync!$Y335)</f>
        <v/>
      </c>
      <c r="H338">
        <f>IF($G338="","",IF(Sync!$X335="","",Sync!$X335))</f>
        <v/>
      </c>
      <c r="I338">
        <f>IF($G338="","",IFERROR(VLOOKUP(Sync!$X335,OpTbl,3,0),""))</f>
        <v/>
      </c>
      <c r="J338">
        <f>IF(OR($G338="",Sync!$Z335=""),"",Sync!$Z335)</f>
        <v/>
      </c>
      <c r="K338">
        <f>IF(OR($G338="",Sync!$AA335=""),"",Sync!$AA335)</f>
        <v/>
      </c>
      <c r="L338">
        <f>IF($G338="",0,IF(Sync!$AB335="",0,Sync!$AB335))</f>
        <v/>
      </c>
      <c r="M338">
        <f>IF($G338="",0,IF(Sync!$AC335="",0,Sync!$AC335))</f>
        <v/>
      </c>
      <c r="N338">
        <f>IF($G338="","",IF($H338="مرجوعی خرید",-1,1)*($L338-$M338*IFERROR(VLOOKUP("P01",ParamTbl,3,0),1.5))*(1-IF($I338="خرید",IFERROR(VLOOKUP("P02",ParamTbl,3,0),1),0)/100))</f>
        <v/>
      </c>
      <c r="O338">
        <f>IF($G338="",0,IF($H338="مرجوعی خرید",-1,1)*IF(Sync!$AD335="",0,Sync!$AD335))</f>
        <v/>
      </c>
      <c r="P338">
        <f>IF(OR($G338="",Sync!$W335=""),"",Sync!$W335)</f>
        <v/>
      </c>
      <c r="Q338">
        <f>IF(OR($G338="",Sync!$AE335=""),"",Sync!$AE335)</f>
        <v/>
      </c>
      <c r="R338">
        <f>IF($G338="","",IF(Sync!$V335="","0000",IF(AND(ISNUMBER(Sync!$V335),Sync!$V335&gt;=0,Sync!$V335&lt;1),RIGHT("00"&amp;HOUR(Sync!$V335),2)&amp;RIGHT("00"&amp;MINUTE(Sync!$V335),2),IFERROR(RIGHT("00"&amp;VALUE(LEFT(Sync!$V335,FIND(":",Sync!$V335)-1)),2)&amp;RIGHT("00"&amp;VALUE(MID(Sync!$V335,FIND(":",Sync!$V335)+1,2)),2),"0000"))))</f>
        <v/>
      </c>
    </row>
    <row r="339">
      <c r="A339">
        <f>IF(Sync!$U336="","",Sync!$U336)</f>
        <v/>
      </c>
      <c r="B339">
        <f>IF($A339="","",IF(ISNUMBER($A339),IF(AND($A339&gt;=10000101,$A339&lt;=99991231),INT($A339/10000),""),IFERROR(VALUE(TRIM(LEFT($A339,FIND("/",$A339)-1))),"")))</f>
        <v/>
      </c>
      <c r="C339">
        <f>IF(OR($A339="",$B339=""),"",IF(ISNUMBER($A339),INT(MOD($A339,10000)/100),IFERROR(VALUE(TRIM(LEFT(MID($A339,FIND("/",$A339)+1,20),FIND("/",MID($A339,FIND("/",$A339)+1,20))-1))),"")))</f>
        <v/>
      </c>
      <c r="D339">
        <f>IF(OR($A339="",$B339=""),"",IF(ISNUMBER($A339),MOD($A339,100),IFERROR(VALUE(TRIM(MID(MID($A339,FIND("/",$A339)+1,20),FIND("/",MID($A339,FIND("/",$A339)+1,20))+1,20))),"")))</f>
        <v/>
      </c>
      <c r="E339">
        <f>IF($A339="","",IF(OR($B339="",$C339="",$D339="",$B339&lt;1300,$B339&gt;1500,$C339&lt;1,$C339&gt;12,$D339&lt;1,$D339&gt;31),"نامعتبر",RIGHT("0000"&amp;$B339,4)&amp;"/"&amp;RIGHT("00"&amp;$C339,2)&amp;"/"&amp;RIGHT("00"&amp;$D339,2)))</f>
        <v/>
      </c>
      <c r="F339">
        <f>IF(OR($E339="",$E339="نامعتبر"),"",LEFT($E339,4)&amp;"/"&amp;MID($E339,6,2))</f>
        <v/>
      </c>
      <c r="G339">
        <f>IF(OR($E339="",$E339="نامعتبر",Sync!$Y336=""),"",Sync!$Y336)</f>
        <v/>
      </c>
      <c r="H339">
        <f>IF($G339="","",IF(Sync!$X336="","",Sync!$X336))</f>
        <v/>
      </c>
      <c r="I339">
        <f>IF($G339="","",IFERROR(VLOOKUP(Sync!$X336,OpTbl,3,0),""))</f>
        <v/>
      </c>
      <c r="J339">
        <f>IF(OR($G339="",Sync!$Z336=""),"",Sync!$Z336)</f>
        <v/>
      </c>
      <c r="K339">
        <f>IF(OR($G339="",Sync!$AA336=""),"",Sync!$AA336)</f>
        <v/>
      </c>
      <c r="L339">
        <f>IF($G339="",0,IF(Sync!$AB336="",0,Sync!$AB336))</f>
        <v/>
      </c>
      <c r="M339">
        <f>IF($G339="",0,IF(Sync!$AC336="",0,Sync!$AC336))</f>
        <v/>
      </c>
      <c r="N339">
        <f>IF($G339="","",IF($H339="مرجوعی خرید",-1,1)*($L339-$M339*IFERROR(VLOOKUP("P01",ParamTbl,3,0),1.5))*(1-IF($I339="خرید",IFERROR(VLOOKUP("P02",ParamTbl,3,0),1),0)/100))</f>
        <v/>
      </c>
      <c r="O339">
        <f>IF($G339="",0,IF($H339="مرجوعی خرید",-1,1)*IF(Sync!$AD336="",0,Sync!$AD336))</f>
        <v/>
      </c>
      <c r="P339">
        <f>IF(OR($G339="",Sync!$W336=""),"",Sync!$W336)</f>
        <v/>
      </c>
      <c r="Q339">
        <f>IF(OR($G339="",Sync!$AE336=""),"",Sync!$AE336)</f>
        <v/>
      </c>
      <c r="R339">
        <f>IF($G339="","",IF(Sync!$V336="","0000",IF(AND(ISNUMBER(Sync!$V336),Sync!$V336&gt;=0,Sync!$V336&lt;1),RIGHT("00"&amp;HOUR(Sync!$V336),2)&amp;RIGHT("00"&amp;MINUTE(Sync!$V336),2),IFERROR(RIGHT("00"&amp;VALUE(LEFT(Sync!$V336,FIND(":",Sync!$V336)-1)),2)&amp;RIGHT("00"&amp;VALUE(MID(Sync!$V336,FIND(":",Sync!$V336)+1,2)),2),"0000"))))</f>
        <v/>
      </c>
    </row>
    <row r="340">
      <c r="A340">
        <f>IF(Sync!$U337="","",Sync!$U337)</f>
        <v/>
      </c>
      <c r="B340">
        <f>IF($A340="","",IF(ISNUMBER($A340),IF(AND($A340&gt;=10000101,$A340&lt;=99991231),INT($A340/10000),""),IFERROR(VALUE(TRIM(LEFT($A340,FIND("/",$A340)-1))),"")))</f>
        <v/>
      </c>
      <c r="C340">
        <f>IF(OR($A340="",$B340=""),"",IF(ISNUMBER($A340),INT(MOD($A340,10000)/100),IFERROR(VALUE(TRIM(LEFT(MID($A340,FIND("/",$A340)+1,20),FIND("/",MID($A340,FIND("/",$A340)+1,20))-1))),"")))</f>
        <v/>
      </c>
      <c r="D340">
        <f>IF(OR($A340="",$B340=""),"",IF(ISNUMBER($A340),MOD($A340,100),IFERROR(VALUE(TRIM(MID(MID($A340,FIND("/",$A340)+1,20),FIND("/",MID($A340,FIND("/",$A340)+1,20))+1,20))),"")))</f>
        <v/>
      </c>
      <c r="E340">
        <f>IF($A340="","",IF(OR($B340="",$C340="",$D340="",$B340&lt;1300,$B340&gt;1500,$C340&lt;1,$C340&gt;12,$D340&lt;1,$D340&gt;31),"نامعتبر",RIGHT("0000"&amp;$B340,4)&amp;"/"&amp;RIGHT("00"&amp;$C340,2)&amp;"/"&amp;RIGHT("00"&amp;$D340,2)))</f>
        <v/>
      </c>
      <c r="F340">
        <f>IF(OR($E340="",$E340="نامعتبر"),"",LEFT($E340,4)&amp;"/"&amp;MID($E340,6,2))</f>
        <v/>
      </c>
      <c r="G340">
        <f>IF(OR($E340="",$E340="نامعتبر",Sync!$Y337=""),"",Sync!$Y337)</f>
        <v/>
      </c>
      <c r="H340">
        <f>IF($G340="","",IF(Sync!$X337="","",Sync!$X337))</f>
        <v/>
      </c>
      <c r="I340">
        <f>IF($G340="","",IFERROR(VLOOKUP(Sync!$X337,OpTbl,3,0),""))</f>
        <v/>
      </c>
      <c r="J340">
        <f>IF(OR($G340="",Sync!$Z337=""),"",Sync!$Z337)</f>
        <v/>
      </c>
      <c r="K340">
        <f>IF(OR($G340="",Sync!$AA337=""),"",Sync!$AA337)</f>
        <v/>
      </c>
      <c r="L340">
        <f>IF($G340="",0,IF(Sync!$AB337="",0,Sync!$AB337))</f>
        <v/>
      </c>
      <c r="M340">
        <f>IF($G340="",0,IF(Sync!$AC337="",0,Sync!$AC337))</f>
        <v/>
      </c>
      <c r="N340">
        <f>IF($G340="","",IF($H340="مرجوعی خرید",-1,1)*($L340-$M340*IFERROR(VLOOKUP("P01",ParamTbl,3,0),1.5))*(1-IF($I340="خرید",IFERROR(VLOOKUP("P02",ParamTbl,3,0),1),0)/100))</f>
        <v/>
      </c>
      <c r="O340">
        <f>IF($G340="",0,IF($H340="مرجوعی خرید",-1,1)*IF(Sync!$AD337="",0,Sync!$AD337))</f>
        <v/>
      </c>
      <c r="P340">
        <f>IF(OR($G340="",Sync!$W337=""),"",Sync!$W337)</f>
        <v/>
      </c>
      <c r="Q340">
        <f>IF(OR($G340="",Sync!$AE337=""),"",Sync!$AE337)</f>
        <v/>
      </c>
      <c r="R340">
        <f>IF($G340="","",IF(Sync!$V337="","0000",IF(AND(ISNUMBER(Sync!$V337),Sync!$V337&gt;=0,Sync!$V337&lt;1),RIGHT("00"&amp;HOUR(Sync!$V337),2)&amp;RIGHT("00"&amp;MINUTE(Sync!$V337),2),IFERROR(RIGHT("00"&amp;VALUE(LEFT(Sync!$V337,FIND(":",Sync!$V337)-1)),2)&amp;RIGHT("00"&amp;VALUE(MID(Sync!$V337,FIND(":",Sync!$V337)+1,2)),2),"0000"))))</f>
        <v/>
      </c>
    </row>
    <row r="341">
      <c r="A341">
        <f>IF(Sync!$U338="","",Sync!$U338)</f>
        <v/>
      </c>
      <c r="B341">
        <f>IF($A341="","",IF(ISNUMBER($A341),IF(AND($A341&gt;=10000101,$A341&lt;=99991231),INT($A341/10000),""),IFERROR(VALUE(TRIM(LEFT($A341,FIND("/",$A341)-1))),"")))</f>
        <v/>
      </c>
      <c r="C341">
        <f>IF(OR($A341="",$B341=""),"",IF(ISNUMBER($A341),INT(MOD($A341,10000)/100),IFERROR(VALUE(TRIM(LEFT(MID($A341,FIND("/",$A341)+1,20),FIND("/",MID($A341,FIND("/",$A341)+1,20))-1))),"")))</f>
        <v/>
      </c>
      <c r="D341">
        <f>IF(OR($A341="",$B341=""),"",IF(ISNUMBER($A341),MOD($A341,100),IFERROR(VALUE(TRIM(MID(MID($A341,FIND("/",$A341)+1,20),FIND("/",MID($A341,FIND("/",$A341)+1,20))+1,20))),"")))</f>
        <v/>
      </c>
      <c r="E341">
        <f>IF($A341="","",IF(OR($B341="",$C341="",$D341="",$B341&lt;1300,$B341&gt;1500,$C341&lt;1,$C341&gt;12,$D341&lt;1,$D341&gt;31),"نامعتبر",RIGHT("0000"&amp;$B341,4)&amp;"/"&amp;RIGHT("00"&amp;$C341,2)&amp;"/"&amp;RIGHT("00"&amp;$D341,2)))</f>
        <v/>
      </c>
      <c r="F341">
        <f>IF(OR($E341="",$E341="نامعتبر"),"",LEFT($E341,4)&amp;"/"&amp;MID($E341,6,2))</f>
        <v/>
      </c>
      <c r="G341">
        <f>IF(OR($E341="",$E341="نامعتبر",Sync!$Y338=""),"",Sync!$Y338)</f>
        <v/>
      </c>
      <c r="H341">
        <f>IF($G341="","",IF(Sync!$X338="","",Sync!$X338))</f>
        <v/>
      </c>
      <c r="I341">
        <f>IF($G341="","",IFERROR(VLOOKUP(Sync!$X338,OpTbl,3,0),""))</f>
        <v/>
      </c>
      <c r="J341">
        <f>IF(OR($G341="",Sync!$Z338=""),"",Sync!$Z338)</f>
        <v/>
      </c>
      <c r="K341">
        <f>IF(OR($G341="",Sync!$AA338=""),"",Sync!$AA338)</f>
        <v/>
      </c>
      <c r="L341">
        <f>IF($G341="",0,IF(Sync!$AB338="",0,Sync!$AB338))</f>
        <v/>
      </c>
      <c r="M341">
        <f>IF($G341="",0,IF(Sync!$AC338="",0,Sync!$AC338))</f>
        <v/>
      </c>
      <c r="N341">
        <f>IF($G341="","",IF($H341="مرجوعی خرید",-1,1)*($L341-$M341*IFERROR(VLOOKUP("P01",ParamTbl,3,0),1.5))*(1-IF($I341="خرید",IFERROR(VLOOKUP("P02",ParamTbl,3,0),1),0)/100))</f>
        <v/>
      </c>
      <c r="O341">
        <f>IF($G341="",0,IF($H341="مرجوعی خرید",-1,1)*IF(Sync!$AD338="",0,Sync!$AD338))</f>
        <v/>
      </c>
      <c r="P341">
        <f>IF(OR($G341="",Sync!$W338=""),"",Sync!$W338)</f>
        <v/>
      </c>
      <c r="Q341">
        <f>IF(OR($G341="",Sync!$AE338=""),"",Sync!$AE338)</f>
        <v/>
      </c>
      <c r="R341">
        <f>IF($G341="","",IF(Sync!$V338="","0000",IF(AND(ISNUMBER(Sync!$V338),Sync!$V338&gt;=0,Sync!$V338&lt;1),RIGHT("00"&amp;HOUR(Sync!$V338),2)&amp;RIGHT("00"&amp;MINUTE(Sync!$V338),2),IFERROR(RIGHT("00"&amp;VALUE(LEFT(Sync!$V338,FIND(":",Sync!$V338)-1)),2)&amp;RIGHT("00"&amp;VALUE(MID(Sync!$V338,FIND(":",Sync!$V338)+1,2)),2),"0000"))))</f>
        <v/>
      </c>
    </row>
    <row r="342">
      <c r="A342">
        <f>IF(Sync!$U339="","",Sync!$U339)</f>
        <v/>
      </c>
      <c r="B342">
        <f>IF($A342="","",IF(ISNUMBER($A342),IF(AND($A342&gt;=10000101,$A342&lt;=99991231),INT($A342/10000),""),IFERROR(VALUE(TRIM(LEFT($A342,FIND("/",$A342)-1))),"")))</f>
        <v/>
      </c>
      <c r="C342">
        <f>IF(OR($A342="",$B342=""),"",IF(ISNUMBER($A342),INT(MOD($A342,10000)/100),IFERROR(VALUE(TRIM(LEFT(MID($A342,FIND("/",$A342)+1,20),FIND("/",MID($A342,FIND("/",$A342)+1,20))-1))),"")))</f>
        <v/>
      </c>
      <c r="D342">
        <f>IF(OR($A342="",$B342=""),"",IF(ISNUMBER($A342),MOD($A342,100),IFERROR(VALUE(TRIM(MID(MID($A342,FIND("/",$A342)+1,20),FIND("/",MID($A342,FIND("/",$A342)+1,20))+1,20))),"")))</f>
        <v/>
      </c>
      <c r="E342">
        <f>IF($A342="","",IF(OR($B342="",$C342="",$D342="",$B342&lt;1300,$B342&gt;1500,$C342&lt;1,$C342&gt;12,$D342&lt;1,$D342&gt;31),"نامعتبر",RIGHT("0000"&amp;$B342,4)&amp;"/"&amp;RIGHT("00"&amp;$C342,2)&amp;"/"&amp;RIGHT("00"&amp;$D342,2)))</f>
        <v/>
      </c>
      <c r="F342">
        <f>IF(OR($E342="",$E342="نامعتبر"),"",LEFT($E342,4)&amp;"/"&amp;MID($E342,6,2))</f>
        <v/>
      </c>
      <c r="G342">
        <f>IF(OR($E342="",$E342="نامعتبر",Sync!$Y339=""),"",Sync!$Y339)</f>
        <v/>
      </c>
      <c r="H342">
        <f>IF($G342="","",IF(Sync!$X339="","",Sync!$X339))</f>
        <v/>
      </c>
      <c r="I342">
        <f>IF($G342="","",IFERROR(VLOOKUP(Sync!$X339,OpTbl,3,0),""))</f>
        <v/>
      </c>
      <c r="J342">
        <f>IF(OR($G342="",Sync!$Z339=""),"",Sync!$Z339)</f>
        <v/>
      </c>
      <c r="K342">
        <f>IF(OR($G342="",Sync!$AA339=""),"",Sync!$AA339)</f>
        <v/>
      </c>
      <c r="L342">
        <f>IF($G342="",0,IF(Sync!$AB339="",0,Sync!$AB339))</f>
        <v/>
      </c>
      <c r="M342">
        <f>IF($G342="",0,IF(Sync!$AC339="",0,Sync!$AC339))</f>
        <v/>
      </c>
      <c r="N342">
        <f>IF($G342="","",IF($H342="مرجوعی خرید",-1,1)*($L342-$M342*IFERROR(VLOOKUP("P01",ParamTbl,3,0),1.5))*(1-IF($I342="خرید",IFERROR(VLOOKUP("P02",ParamTbl,3,0),1),0)/100))</f>
        <v/>
      </c>
      <c r="O342">
        <f>IF($G342="",0,IF($H342="مرجوعی خرید",-1,1)*IF(Sync!$AD339="",0,Sync!$AD339))</f>
        <v/>
      </c>
      <c r="P342">
        <f>IF(OR($G342="",Sync!$W339=""),"",Sync!$W339)</f>
        <v/>
      </c>
      <c r="Q342">
        <f>IF(OR($G342="",Sync!$AE339=""),"",Sync!$AE339)</f>
        <v/>
      </c>
      <c r="R342">
        <f>IF($G342="","",IF(Sync!$V339="","0000",IF(AND(ISNUMBER(Sync!$V339),Sync!$V339&gt;=0,Sync!$V339&lt;1),RIGHT("00"&amp;HOUR(Sync!$V339),2)&amp;RIGHT("00"&amp;MINUTE(Sync!$V339),2),IFERROR(RIGHT("00"&amp;VALUE(LEFT(Sync!$V339,FIND(":",Sync!$V339)-1)),2)&amp;RIGHT("00"&amp;VALUE(MID(Sync!$V339,FIND(":",Sync!$V339)+1,2)),2),"0000"))))</f>
        <v/>
      </c>
    </row>
    <row r="343">
      <c r="A343">
        <f>IF(Sync!$U340="","",Sync!$U340)</f>
        <v/>
      </c>
      <c r="B343">
        <f>IF($A343="","",IF(ISNUMBER($A343),IF(AND($A343&gt;=10000101,$A343&lt;=99991231),INT($A343/10000),""),IFERROR(VALUE(TRIM(LEFT($A343,FIND("/",$A343)-1))),"")))</f>
        <v/>
      </c>
      <c r="C343">
        <f>IF(OR($A343="",$B343=""),"",IF(ISNUMBER($A343),INT(MOD($A343,10000)/100),IFERROR(VALUE(TRIM(LEFT(MID($A343,FIND("/",$A343)+1,20),FIND("/",MID($A343,FIND("/",$A343)+1,20))-1))),"")))</f>
        <v/>
      </c>
      <c r="D343">
        <f>IF(OR($A343="",$B343=""),"",IF(ISNUMBER($A343),MOD($A343,100),IFERROR(VALUE(TRIM(MID(MID($A343,FIND("/",$A343)+1,20),FIND("/",MID($A343,FIND("/",$A343)+1,20))+1,20))),"")))</f>
        <v/>
      </c>
      <c r="E343">
        <f>IF($A343="","",IF(OR($B343="",$C343="",$D343="",$B343&lt;1300,$B343&gt;1500,$C343&lt;1,$C343&gt;12,$D343&lt;1,$D343&gt;31),"نامعتبر",RIGHT("0000"&amp;$B343,4)&amp;"/"&amp;RIGHT("00"&amp;$C343,2)&amp;"/"&amp;RIGHT("00"&amp;$D343,2)))</f>
        <v/>
      </c>
      <c r="F343">
        <f>IF(OR($E343="",$E343="نامعتبر"),"",LEFT($E343,4)&amp;"/"&amp;MID($E343,6,2))</f>
        <v/>
      </c>
      <c r="G343">
        <f>IF(OR($E343="",$E343="نامعتبر",Sync!$Y340=""),"",Sync!$Y340)</f>
        <v/>
      </c>
      <c r="H343">
        <f>IF($G343="","",IF(Sync!$X340="","",Sync!$X340))</f>
        <v/>
      </c>
      <c r="I343">
        <f>IF($G343="","",IFERROR(VLOOKUP(Sync!$X340,OpTbl,3,0),""))</f>
        <v/>
      </c>
      <c r="J343">
        <f>IF(OR($G343="",Sync!$Z340=""),"",Sync!$Z340)</f>
        <v/>
      </c>
      <c r="K343">
        <f>IF(OR($G343="",Sync!$AA340=""),"",Sync!$AA340)</f>
        <v/>
      </c>
      <c r="L343">
        <f>IF($G343="",0,IF(Sync!$AB340="",0,Sync!$AB340))</f>
        <v/>
      </c>
      <c r="M343">
        <f>IF($G343="",0,IF(Sync!$AC340="",0,Sync!$AC340))</f>
        <v/>
      </c>
      <c r="N343">
        <f>IF($G343="","",IF($H343="مرجوعی خرید",-1,1)*($L343-$M343*IFERROR(VLOOKUP("P01",ParamTbl,3,0),1.5))*(1-IF($I343="خرید",IFERROR(VLOOKUP("P02",ParamTbl,3,0),1),0)/100))</f>
        <v/>
      </c>
      <c r="O343">
        <f>IF($G343="",0,IF($H343="مرجوعی خرید",-1,1)*IF(Sync!$AD340="",0,Sync!$AD340))</f>
        <v/>
      </c>
      <c r="P343">
        <f>IF(OR($G343="",Sync!$W340=""),"",Sync!$W340)</f>
        <v/>
      </c>
      <c r="Q343">
        <f>IF(OR($G343="",Sync!$AE340=""),"",Sync!$AE340)</f>
        <v/>
      </c>
      <c r="R343">
        <f>IF($G343="","",IF(Sync!$V340="","0000",IF(AND(ISNUMBER(Sync!$V340),Sync!$V340&gt;=0,Sync!$V340&lt;1),RIGHT("00"&amp;HOUR(Sync!$V340),2)&amp;RIGHT("00"&amp;MINUTE(Sync!$V340),2),IFERROR(RIGHT("00"&amp;VALUE(LEFT(Sync!$V340,FIND(":",Sync!$V340)-1)),2)&amp;RIGHT("00"&amp;VALUE(MID(Sync!$V340,FIND(":",Sync!$V340)+1,2)),2),"0000"))))</f>
        <v/>
      </c>
    </row>
    <row r="344">
      <c r="A344">
        <f>IF(Sync!$U341="","",Sync!$U341)</f>
        <v/>
      </c>
      <c r="B344">
        <f>IF($A344="","",IF(ISNUMBER($A344),IF(AND($A344&gt;=10000101,$A344&lt;=99991231),INT($A344/10000),""),IFERROR(VALUE(TRIM(LEFT($A344,FIND("/",$A344)-1))),"")))</f>
        <v/>
      </c>
      <c r="C344">
        <f>IF(OR($A344="",$B344=""),"",IF(ISNUMBER($A344),INT(MOD($A344,10000)/100),IFERROR(VALUE(TRIM(LEFT(MID($A344,FIND("/",$A344)+1,20),FIND("/",MID($A344,FIND("/",$A344)+1,20))-1))),"")))</f>
        <v/>
      </c>
      <c r="D344">
        <f>IF(OR($A344="",$B344=""),"",IF(ISNUMBER($A344),MOD($A344,100),IFERROR(VALUE(TRIM(MID(MID($A344,FIND("/",$A344)+1,20),FIND("/",MID($A344,FIND("/",$A344)+1,20))+1,20))),"")))</f>
        <v/>
      </c>
      <c r="E344">
        <f>IF($A344="","",IF(OR($B344="",$C344="",$D344="",$B344&lt;1300,$B344&gt;1500,$C344&lt;1,$C344&gt;12,$D344&lt;1,$D344&gt;31),"نامعتبر",RIGHT("0000"&amp;$B344,4)&amp;"/"&amp;RIGHT("00"&amp;$C344,2)&amp;"/"&amp;RIGHT("00"&amp;$D344,2)))</f>
        <v/>
      </c>
      <c r="F344">
        <f>IF(OR($E344="",$E344="نامعتبر"),"",LEFT($E344,4)&amp;"/"&amp;MID($E344,6,2))</f>
        <v/>
      </c>
      <c r="G344">
        <f>IF(OR($E344="",$E344="نامعتبر",Sync!$Y341=""),"",Sync!$Y341)</f>
        <v/>
      </c>
      <c r="H344">
        <f>IF($G344="","",IF(Sync!$X341="","",Sync!$X341))</f>
        <v/>
      </c>
      <c r="I344">
        <f>IF($G344="","",IFERROR(VLOOKUP(Sync!$X341,OpTbl,3,0),""))</f>
        <v/>
      </c>
      <c r="J344">
        <f>IF(OR($G344="",Sync!$Z341=""),"",Sync!$Z341)</f>
        <v/>
      </c>
      <c r="K344">
        <f>IF(OR($G344="",Sync!$AA341=""),"",Sync!$AA341)</f>
        <v/>
      </c>
      <c r="L344">
        <f>IF($G344="",0,IF(Sync!$AB341="",0,Sync!$AB341))</f>
        <v/>
      </c>
      <c r="M344">
        <f>IF($G344="",0,IF(Sync!$AC341="",0,Sync!$AC341))</f>
        <v/>
      </c>
      <c r="N344">
        <f>IF($G344="","",IF($H344="مرجوعی خرید",-1,1)*($L344-$M344*IFERROR(VLOOKUP("P01",ParamTbl,3,0),1.5))*(1-IF($I344="خرید",IFERROR(VLOOKUP("P02",ParamTbl,3,0),1),0)/100))</f>
        <v/>
      </c>
      <c r="O344">
        <f>IF($G344="",0,IF($H344="مرجوعی خرید",-1,1)*IF(Sync!$AD341="",0,Sync!$AD341))</f>
        <v/>
      </c>
      <c r="P344">
        <f>IF(OR($G344="",Sync!$W341=""),"",Sync!$W341)</f>
        <v/>
      </c>
      <c r="Q344">
        <f>IF(OR($G344="",Sync!$AE341=""),"",Sync!$AE341)</f>
        <v/>
      </c>
      <c r="R344">
        <f>IF($G344="","",IF(Sync!$V341="","0000",IF(AND(ISNUMBER(Sync!$V341),Sync!$V341&gt;=0,Sync!$V341&lt;1),RIGHT("00"&amp;HOUR(Sync!$V341),2)&amp;RIGHT("00"&amp;MINUTE(Sync!$V341),2),IFERROR(RIGHT("00"&amp;VALUE(LEFT(Sync!$V341,FIND(":",Sync!$V341)-1)),2)&amp;RIGHT("00"&amp;VALUE(MID(Sync!$V341,FIND(":",Sync!$V341)+1,2)),2),"0000"))))</f>
        <v/>
      </c>
    </row>
    <row r="345">
      <c r="A345">
        <f>IF(Sync!$U342="","",Sync!$U342)</f>
        <v/>
      </c>
      <c r="B345">
        <f>IF($A345="","",IF(ISNUMBER($A345),IF(AND($A345&gt;=10000101,$A345&lt;=99991231),INT($A345/10000),""),IFERROR(VALUE(TRIM(LEFT($A345,FIND("/",$A345)-1))),"")))</f>
        <v/>
      </c>
      <c r="C345">
        <f>IF(OR($A345="",$B345=""),"",IF(ISNUMBER($A345),INT(MOD($A345,10000)/100),IFERROR(VALUE(TRIM(LEFT(MID($A345,FIND("/",$A345)+1,20),FIND("/",MID($A345,FIND("/",$A345)+1,20))-1))),"")))</f>
        <v/>
      </c>
      <c r="D345">
        <f>IF(OR($A345="",$B345=""),"",IF(ISNUMBER($A345),MOD($A345,100),IFERROR(VALUE(TRIM(MID(MID($A345,FIND("/",$A345)+1,20),FIND("/",MID($A345,FIND("/",$A345)+1,20))+1,20))),"")))</f>
        <v/>
      </c>
      <c r="E345">
        <f>IF($A345="","",IF(OR($B345="",$C345="",$D345="",$B345&lt;1300,$B345&gt;1500,$C345&lt;1,$C345&gt;12,$D345&lt;1,$D345&gt;31),"نامعتبر",RIGHT("0000"&amp;$B345,4)&amp;"/"&amp;RIGHT("00"&amp;$C345,2)&amp;"/"&amp;RIGHT("00"&amp;$D345,2)))</f>
        <v/>
      </c>
      <c r="F345">
        <f>IF(OR($E345="",$E345="نامعتبر"),"",LEFT($E345,4)&amp;"/"&amp;MID($E345,6,2))</f>
        <v/>
      </c>
      <c r="G345">
        <f>IF(OR($E345="",$E345="نامعتبر",Sync!$Y342=""),"",Sync!$Y342)</f>
        <v/>
      </c>
      <c r="H345">
        <f>IF($G345="","",IF(Sync!$X342="","",Sync!$X342))</f>
        <v/>
      </c>
      <c r="I345">
        <f>IF($G345="","",IFERROR(VLOOKUP(Sync!$X342,OpTbl,3,0),""))</f>
        <v/>
      </c>
      <c r="J345">
        <f>IF(OR($G345="",Sync!$Z342=""),"",Sync!$Z342)</f>
        <v/>
      </c>
      <c r="K345">
        <f>IF(OR($G345="",Sync!$AA342=""),"",Sync!$AA342)</f>
        <v/>
      </c>
      <c r="L345">
        <f>IF($G345="",0,IF(Sync!$AB342="",0,Sync!$AB342))</f>
        <v/>
      </c>
      <c r="M345">
        <f>IF($G345="",0,IF(Sync!$AC342="",0,Sync!$AC342))</f>
        <v/>
      </c>
      <c r="N345">
        <f>IF($G345="","",IF($H345="مرجوعی خرید",-1,1)*($L345-$M345*IFERROR(VLOOKUP("P01",ParamTbl,3,0),1.5))*(1-IF($I345="خرید",IFERROR(VLOOKUP("P02",ParamTbl,3,0),1),0)/100))</f>
        <v/>
      </c>
      <c r="O345">
        <f>IF($G345="",0,IF($H345="مرجوعی خرید",-1,1)*IF(Sync!$AD342="",0,Sync!$AD342))</f>
        <v/>
      </c>
      <c r="P345">
        <f>IF(OR($G345="",Sync!$W342=""),"",Sync!$W342)</f>
        <v/>
      </c>
      <c r="Q345">
        <f>IF(OR($G345="",Sync!$AE342=""),"",Sync!$AE342)</f>
        <v/>
      </c>
      <c r="R345">
        <f>IF($G345="","",IF(Sync!$V342="","0000",IF(AND(ISNUMBER(Sync!$V342),Sync!$V342&gt;=0,Sync!$V342&lt;1),RIGHT("00"&amp;HOUR(Sync!$V342),2)&amp;RIGHT("00"&amp;MINUTE(Sync!$V342),2),IFERROR(RIGHT("00"&amp;VALUE(LEFT(Sync!$V342,FIND(":",Sync!$V342)-1)),2)&amp;RIGHT("00"&amp;VALUE(MID(Sync!$V342,FIND(":",Sync!$V342)+1,2)),2),"0000"))))</f>
        <v/>
      </c>
    </row>
    <row r="346">
      <c r="A346">
        <f>IF(Sync!$U343="","",Sync!$U343)</f>
        <v/>
      </c>
      <c r="B346">
        <f>IF($A346="","",IF(ISNUMBER($A346),IF(AND($A346&gt;=10000101,$A346&lt;=99991231),INT($A346/10000),""),IFERROR(VALUE(TRIM(LEFT($A346,FIND("/",$A346)-1))),"")))</f>
        <v/>
      </c>
      <c r="C346">
        <f>IF(OR($A346="",$B346=""),"",IF(ISNUMBER($A346),INT(MOD($A346,10000)/100),IFERROR(VALUE(TRIM(LEFT(MID($A346,FIND("/",$A346)+1,20),FIND("/",MID($A346,FIND("/",$A346)+1,20))-1))),"")))</f>
        <v/>
      </c>
      <c r="D346">
        <f>IF(OR($A346="",$B346=""),"",IF(ISNUMBER($A346),MOD($A346,100),IFERROR(VALUE(TRIM(MID(MID($A346,FIND("/",$A346)+1,20),FIND("/",MID($A346,FIND("/",$A346)+1,20))+1,20))),"")))</f>
        <v/>
      </c>
      <c r="E346">
        <f>IF($A346="","",IF(OR($B346="",$C346="",$D346="",$B346&lt;1300,$B346&gt;1500,$C346&lt;1,$C346&gt;12,$D346&lt;1,$D346&gt;31),"نامعتبر",RIGHT("0000"&amp;$B346,4)&amp;"/"&amp;RIGHT("00"&amp;$C346,2)&amp;"/"&amp;RIGHT("00"&amp;$D346,2)))</f>
        <v/>
      </c>
      <c r="F346">
        <f>IF(OR($E346="",$E346="نامعتبر"),"",LEFT($E346,4)&amp;"/"&amp;MID($E346,6,2))</f>
        <v/>
      </c>
      <c r="G346">
        <f>IF(OR($E346="",$E346="نامعتبر",Sync!$Y343=""),"",Sync!$Y343)</f>
        <v/>
      </c>
      <c r="H346">
        <f>IF($G346="","",IF(Sync!$X343="","",Sync!$X343))</f>
        <v/>
      </c>
      <c r="I346">
        <f>IF($G346="","",IFERROR(VLOOKUP(Sync!$X343,OpTbl,3,0),""))</f>
        <v/>
      </c>
      <c r="J346">
        <f>IF(OR($G346="",Sync!$Z343=""),"",Sync!$Z343)</f>
        <v/>
      </c>
      <c r="K346">
        <f>IF(OR($G346="",Sync!$AA343=""),"",Sync!$AA343)</f>
        <v/>
      </c>
      <c r="L346">
        <f>IF($G346="",0,IF(Sync!$AB343="",0,Sync!$AB343))</f>
        <v/>
      </c>
      <c r="M346">
        <f>IF($G346="",0,IF(Sync!$AC343="",0,Sync!$AC343))</f>
        <v/>
      </c>
      <c r="N346">
        <f>IF($G346="","",IF($H346="مرجوعی خرید",-1,1)*($L346-$M346*IFERROR(VLOOKUP("P01",ParamTbl,3,0),1.5))*(1-IF($I346="خرید",IFERROR(VLOOKUP("P02",ParamTbl,3,0),1),0)/100))</f>
        <v/>
      </c>
      <c r="O346">
        <f>IF($G346="",0,IF($H346="مرجوعی خرید",-1,1)*IF(Sync!$AD343="",0,Sync!$AD343))</f>
        <v/>
      </c>
      <c r="P346">
        <f>IF(OR($G346="",Sync!$W343=""),"",Sync!$W343)</f>
        <v/>
      </c>
      <c r="Q346">
        <f>IF(OR($G346="",Sync!$AE343=""),"",Sync!$AE343)</f>
        <v/>
      </c>
      <c r="R346">
        <f>IF($G346="","",IF(Sync!$V343="","0000",IF(AND(ISNUMBER(Sync!$V343),Sync!$V343&gt;=0,Sync!$V343&lt;1),RIGHT("00"&amp;HOUR(Sync!$V343),2)&amp;RIGHT("00"&amp;MINUTE(Sync!$V343),2),IFERROR(RIGHT("00"&amp;VALUE(LEFT(Sync!$V343,FIND(":",Sync!$V343)-1)),2)&amp;RIGHT("00"&amp;VALUE(MID(Sync!$V343,FIND(":",Sync!$V343)+1,2)),2),"0000"))))</f>
        <v/>
      </c>
    </row>
    <row r="347">
      <c r="A347">
        <f>IF(Sync!$U344="","",Sync!$U344)</f>
        <v/>
      </c>
      <c r="B347">
        <f>IF($A347="","",IF(ISNUMBER($A347),IF(AND($A347&gt;=10000101,$A347&lt;=99991231),INT($A347/10000),""),IFERROR(VALUE(TRIM(LEFT($A347,FIND("/",$A347)-1))),"")))</f>
        <v/>
      </c>
      <c r="C347">
        <f>IF(OR($A347="",$B347=""),"",IF(ISNUMBER($A347),INT(MOD($A347,10000)/100),IFERROR(VALUE(TRIM(LEFT(MID($A347,FIND("/",$A347)+1,20),FIND("/",MID($A347,FIND("/",$A347)+1,20))-1))),"")))</f>
        <v/>
      </c>
      <c r="D347">
        <f>IF(OR($A347="",$B347=""),"",IF(ISNUMBER($A347),MOD($A347,100),IFERROR(VALUE(TRIM(MID(MID($A347,FIND("/",$A347)+1,20),FIND("/",MID($A347,FIND("/",$A347)+1,20))+1,20))),"")))</f>
        <v/>
      </c>
      <c r="E347">
        <f>IF($A347="","",IF(OR($B347="",$C347="",$D347="",$B347&lt;1300,$B347&gt;1500,$C347&lt;1,$C347&gt;12,$D347&lt;1,$D347&gt;31),"نامعتبر",RIGHT("0000"&amp;$B347,4)&amp;"/"&amp;RIGHT("00"&amp;$C347,2)&amp;"/"&amp;RIGHT("00"&amp;$D347,2)))</f>
        <v/>
      </c>
      <c r="F347">
        <f>IF(OR($E347="",$E347="نامعتبر"),"",LEFT($E347,4)&amp;"/"&amp;MID($E347,6,2))</f>
        <v/>
      </c>
      <c r="G347">
        <f>IF(OR($E347="",$E347="نامعتبر",Sync!$Y344=""),"",Sync!$Y344)</f>
        <v/>
      </c>
      <c r="H347">
        <f>IF($G347="","",IF(Sync!$X344="","",Sync!$X344))</f>
        <v/>
      </c>
      <c r="I347">
        <f>IF($G347="","",IFERROR(VLOOKUP(Sync!$X344,OpTbl,3,0),""))</f>
        <v/>
      </c>
      <c r="J347">
        <f>IF(OR($G347="",Sync!$Z344=""),"",Sync!$Z344)</f>
        <v/>
      </c>
      <c r="K347">
        <f>IF(OR($G347="",Sync!$AA344=""),"",Sync!$AA344)</f>
        <v/>
      </c>
      <c r="L347">
        <f>IF($G347="",0,IF(Sync!$AB344="",0,Sync!$AB344))</f>
        <v/>
      </c>
      <c r="M347">
        <f>IF($G347="",0,IF(Sync!$AC344="",0,Sync!$AC344))</f>
        <v/>
      </c>
      <c r="N347">
        <f>IF($G347="","",IF($H347="مرجوعی خرید",-1,1)*($L347-$M347*IFERROR(VLOOKUP("P01",ParamTbl,3,0),1.5))*(1-IF($I347="خرید",IFERROR(VLOOKUP("P02",ParamTbl,3,0),1),0)/100))</f>
        <v/>
      </c>
      <c r="O347">
        <f>IF($G347="",0,IF($H347="مرجوعی خرید",-1,1)*IF(Sync!$AD344="",0,Sync!$AD344))</f>
        <v/>
      </c>
      <c r="P347">
        <f>IF(OR($G347="",Sync!$W344=""),"",Sync!$W344)</f>
        <v/>
      </c>
      <c r="Q347">
        <f>IF(OR($G347="",Sync!$AE344=""),"",Sync!$AE344)</f>
        <v/>
      </c>
      <c r="R347">
        <f>IF($G347="","",IF(Sync!$V344="","0000",IF(AND(ISNUMBER(Sync!$V344),Sync!$V344&gt;=0,Sync!$V344&lt;1),RIGHT("00"&amp;HOUR(Sync!$V344),2)&amp;RIGHT("00"&amp;MINUTE(Sync!$V344),2),IFERROR(RIGHT("00"&amp;VALUE(LEFT(Sync!$V344,FIND(":",Sync!$V344)-1)),2)&amp;RIGHT("00"&amp;VALUE(MID(Sync!$V344,FIND(":",Sync!$V344)+1,2)),2),"0000"))))</f>
        <v/>
      </c>
    </row>
    <row r="348">
      <c r="A348">
        <f>IF(Sync!$U345="","",Sync!$U345)</f>
        <v/>
      </c>
      <c r="B348">
        <f>IF($A348="","",IF(ISNUMBER($A348),IF(AND($A348&gt;=10000101,$A348&lt;=99991231),INT($A348/10000),""),IFERROR(VALUE(TRIM(LEFT($A348,FIND("/",$A348)-1))),"")))</f>
        <v/>
      </c>
      <c r="C348">
        <f>IF(OR($A348="",$B348=""),"",IF(ISNUMBER($A348),INT(MOD($A348,10000)/100),IFERROR(VALUE(TRIM(LEFT(MID($A348,FIND("/",$A348)+1,20),FIND("/",MID($A348,FIND("/",$A348)+1,20))-1))),"")))</f>
        <v/>
      </c>
      <c r="D348">
        <f>IF(OR($A348="",$B348=""),"",IF(ISNUMBER($A348),MOD($A348,100),IFERROR(VALUE(TRIM(MID(MID($A348,FIND("/",$A348)+1,20),FIND("/",MID($A348,FIND("/",$A348)+1,20))+1,20))),"")))</f>
        <v/>
      </c>
      <c r="E348">
        <f>IF($A348="","",IF(OR($B348="",$C348="",$D348="",$B348&lt;1300,$B348&gt;1500,$C348&lt;1,$C348&gt;12,$D348&lt;1,$D348&gt;31),"نامعتبر",RIGHT("0000"&amp;$B348,4)&amp;"/"&amp;RIGHT("00"&amp;$C348,2)&amp;"/"&amp;RIGHT("00"&amp;$D348,2)))</f>
        <v/>
      </c>
      <c r="F348">
        <f>IF(OR($E348="",$E348="نامعتبر"),"",LEFT($E348,4)&amp;"/"&amp;MID($E348,6,2))</f>
        <v/>
      </c>
      <c r="G348">
        <f>IF(OR($E348="",$E348="نامعتبر",Sync!$Y345=""),"",Sync!$Y345)</f>
        <v/>
      </c>
      <c r="H348">
        <f>IF($G348="","",IF(Sync!$X345="","",Sync!$X345))</f>
        <v/>
      </c>
      <c r="I348">
        <f>IF($G348="","",IFERROR(VLOOKUP(Sync!$X345,OpTbl,3,0),""))</f>
        <v/>
      </c>
      <c r="J348">
        <f>IF(OR($G348="",Sync!$Z345=""),"",Sync!$Z345)</f>
        <v/>
      </c>
      <c r="K348">
        <f>IF(OR($G348="",Sync!$AA345=""),"",Sync!$AA345)</f>
        <v/>
      </c>
      <c r="L348">
        <f>IF($G348="",0,IF(Sync!$AB345="",0,Sync!$AB345))</f>
        <v/>
      </c>
      <c r="M348">
        <f>IF($G348="",0,IF(Sync!$AC345="",0,Sync!$AC345))</f>
        <v/>
      </c>
      <c r="N348">
        <f>IF($G348="","",IF($H348="مرجوعی خرید",-1,1)*($L348-$M348*IFERROR(VLOOKUP("P01",ParamTbl,3,0),1.5))*(1-IF($I348="خرید",IFERROR(VLOOKUP("P02",ParamTbl,3,0),1),0)/100))</f>
        <v/>
      </c>
      <c r="O348">
        <f>IF($G348="",0,IF($H348="مرجوعی خرید",-1,1)*IF(Sync!$AD345="",0,Sync!$AD345))</f>
        <v/>
      </c>
      <c r="P348">
        <f>IF(OR($G348="",Sync!$W345=""),"",Sync!$W345)</f>
        <v/>
      </c>
      <c r="Q348">
        <f>IF(OR($G348="",Sync!$AE345=""),"",Sync!$AE345)</f>
        <v/>
      </c>
      <c r="R348">
        <f>IF($G348="","",IF(Sync!$V345="","0000",IF(AND(ISNUMBER(Sync!$V345),Sync!$V345&gt;=0,Sync!$V345&lt;1),RIGHT("00"&amp;HOUR(Sync!$V345),2)&amp;RIGHT("00"&amp;MINUTE(Sync!$V345),2),IFERROR(RIGHT("00"&amp;VALUE(LEFT(Sync!$V345,FIND(":",Sync!$V345)-1)),2)&amp;RIGHT("00"&amp;VALUE(MID(Sync!$V345,FIND(":",Sync!$V345)+1,2)),2),"0000"))))</f>
        <v/>
      </c>
    </row>
    <row r="349">
      <c r="A349">
        <f>IF(Sync!$U346="","",Sync!$U346)</f>
        <v/>
      </c>
      <c r="B349">
        <f>IF($A349="","",IF(ISNUMBER($A349),IF(AND($A349&gt;=10000101,$A349&lt;=99991231),INT($A349/10000),""),IFERROR(VALUE(TRIM(LEFT($A349,FIND("/",$A349)-1))),"")))</f>
        <v/>
      </c>
      <c r="C349">
        <f>IF(OR($A349="",$B349=""),"",IF(ISNUMBER($A349),INT(MOD($A349,10000)/100),IFERROR(VALUE(TRIM(LEFT(MID($A349,FIND("/",$A349)+1,20),FIND("/",MID($A349,FIND("/",$A349)+1,20))-1))),"")))</f>
        <v/>
      </c>
      <c r="D349">
        <f>IF(OR($A349="",$B349=""),"",IF(ISNUMBER($A349),MOD($A349,100),IFERROR(VALUE(TRIM(MID(MID($A349,FIND("/",$A349)+1,20),FIND("/",MID($A349,FIND("/",$A349)+1,20))+1,20))),"")))</f>
        <v/>
      </c>
      <c r="E349">
        <f>IF($A349="","",IF(OR($B349="",$C349="",$D349="",$B349&lt;1300,$B349&gt;1500,$C349&lt;1,$C349&gt;12,$D349&lt;1,$D349&gt;31),"نامعتبر",RIGHT("0000"&amp;$B349,4)&amp;"/"&amp;RIGHT("00"&amp;$C349,2)&amp;"/"&amp;RIGHT("00"&amp;$D349,2)))</f>
        <v/>
      </c>
      <c r="F349">
        <f>IF(OR($E349="",$E349="نامعتبر"),"",LEFT($E349,4)&amp;"/"&amp;MID($E349,6,2))</f>
        <v/>
      </c>
      <c r="G349">
        <f>IF(OR($E349="",$E349="نامعتبر",Sync!$Y346=""),"",Sync!$Y346)</f>
        <v/>
      </c>
      <c r="H349">
        <f>IF($G349="","",IF(Sync!$X346="","",Sync!$X346))</f>
        <v/>
      </c>
      <c r="I349">
        <f>IF($G349="","",IFERROR(VLOOKUP(Sync!$X346,OpTbl,3,0),""))</f>
        <v/>
      </c>
      <c r="J349">
        <f>IF(OR($G349="",Sync!$Z346=""),"",Sync!$Z346)</f>
        <v/>
      </c>
      <c r="K349">
        <f>IF(OR($G349="",Sync!$AA346=""),"",Sync!$AA346)</f>
        <v/>
      </c>
      <c r="L349">
        <f>IF($G349="",0,IF(Sync!$AB346="",0,Sync!$AB346))</f>
        <v/>
      </c>
      <c r="M349">
        <f>IF($G349="",0,IF(Sync!$AC346="",0,Sync!$AC346))</f>
        <v/>
      </c>
      <c r="N349">
        <f>IF($G349="","",IF($H349="مرجوعی خرید",-1,1)*($L349-$M349*IFERROR(VLOOKUP("P01",ParamTbl,3,0),1.5))*(1-IF($I349="خرید",IFERROR(VLOOKUP("P02",ParamTbl,3,0),1),0)/100))</f>
        <v/>
      </c>
      <c r="O349">
        <f>IF($G349="",0,IF($H349="مرجوعی خرید",-1,1)*IF(Sync!$AD346="",0,Sync!$AD346))</f>
        <v/>
      </c>
      <c r="P349">
        <f>IF(OR($G349="",Sync!$W346=""),"",Sync!$W346)</f>
        <v/>
      </c>
      <c r="Q349">
        <f>IF(OR($G349="",Sync!$AE346=""),"",Sync!$AE346)</f>
        <v/>
      </c>
      <c r="R349">
        <f>IF($G349="","",IF(Sync!$V346="","0000",IF(AND(ISNUMBER(Sync!$V346),Sync!$V346&gt;=0,Sync!$V346&lt;1),RIGHT("00"&amp;HOUR(Sync!$V346),2)&amp;RIGHT("00"&amp;MINUTE(Sync!$V346),2),IFERROR(RIGHT("00"&amp;VALUE(LEFT(Sync!$V346,FIND(":",Sync!$V346)-1)),2)&amp;RIGHT("00"&amp;VALUE(MID(Sync!$V346,FIND(":",Sync!$V346)+1,2)),2),"0000"))))</f>
        <v/>
      </c>
    </row>
    <row r="350">
      <c r="A350">
        <f>IF(Sync!$U347="","",Sync!$U347)</f>
        <v/>
      </c>
      <c r="B350">
        <f>IF($A350="","",IF(ISNUMBER($A350),IF(AND($A350&gt;=10000101,$A350&lt;=99991231),INT($A350/10000),""),IFERROR(VALUE(TRIM(LEFT($A350,FIND("/",$A350)-1))),"")))</f>
        <v/>
      </c>
      <c r="C350">
        <f>IF(OR($A350="",$B350=""),"",IF(ISNUMBER($A350),INT(MOD($A350,10000)/100),IFERROR(VALUE(TRIM(LEFT(MID($A350,FIND("/",$A350)+1,20),FIND("/",MID($A350,FIND("/",$A350)+1,20))-1))),"")))</f>
        <v/>
      </c>
      <c r="D350">
        <f>IF(OR($A350="",$B350=""),"",IF(ISNUMBER($A350),MOD($A350,100),IFERROR(VALUE(TRIM(MID(MID($A350,FIND("/",$A350)+1,20),FIND("/",MID($A350,FIND("/",$A350)+1,20))+1,20))),"")))</f>
        <v/>
      </c>
      <c r="E350">
        <f>IF($A350="","",IF(OR($B350="",$C350="",$D350="",$B350&lt;1300,$B350&gt;1500,$C350&lt;1,$C350&gt;12,$D350&lt;1,$D350&gt;31),"نامعتبر",RIGHT("0000"&amp;$B350,4)&amp;"/"&amp;RIGHT("00"&amp;$C350,2)&amp;"/"&amp;RIGHT("00"&amp;$D350,2)))</f>
        <v/>
      </c>
      <c r="F350">
        <f>IF(OR($E350="",$E350="نامعتبر"),"",LEFT($E350,4)&amp;"/"&amp;MID($E350,6,2))</f>
        <v/>
      </c>
      <c r="G350">
        <f>IF(OR($E350="",$E350="نامعتبر",Sync!$Y347=""),"",Sync!$Y347)</f>
        <v/>
      </c>
      <c r="H350">
        <f>IF($G350="","",IF(Sync!$X347="","",Sync!$X347))</f>
        <v/>
      </c>
      <c r="I350">
        <f>IF($G350="","",IFERROR(VLOOKUP(Sync!$X347,OpTbl,3,0),""))</f>
        <v/>
      </c>
      <c r="J350">
        <f>IF(OR($G350="",Sync!$Z347=""),"",Sync!$Z347)</f>
        <v/>
      </c>
      <c r="K350">
        <f>IF(OR($G350="",Sync!$AA347=""),"",Sync!$AA347)</f>
        <v/>
      </c>
      <c r="L350">
        <f>IF($G350="",0,IF(Sync!$AB347="",0,Sync!$AB347))</f>
        <v/>
      </c>
      <c r="M350">
        <f>IF($G350="",0,IF(Sync!$AC347="",0,Sync!$AC347))</f>
        <v/>
      </c>
      <c r="N350">
        <f>IF($G350="","",IF($H350="مرجوعی خرید",-1,1)*($L350-$M350*IFERROR(VLOOKUP("P01",ParamTbl,3,0),1.5))*(1-IF($I350="خرید",IFERROR(VLOOKUP("P02",ParamTbl,3,0),1),0)/100))</f>
        <v/>
      </c>
      <c r="O350">
        <f>IF($G350="",0,IF($H350="مرجوعی خرید",-1,1)*IF(Sync!$AD347="",0,Sync!$AD347))</f>
        <v/>
      </c>
      <c r="P350">
        <f>IF(OR($G350="",Sync!$W347=""),"",Sync!$W347)</f>
        <v/>
      </c>
      <c r="Q350">
        <f>IF(OR($G350="",Sync!$AE347=""),"",Sync!$AE347)</f>
        <v/>
      </c>
      <c r="R350">
        <f>IF($G350="","",IF(Sync!$V347="","0000",IF(AND(ISNUMBER(Sync!$V347),Sync!$V347&gt;=0,Sync!$V347&lt;1),RIGHT("00"&amp;HOUR(Sync!$V347),2)&amp;RIGHT("00"&amp;MINUTE(Sync!$V347),2),IFERROR(RIGHT("00"&amp;VALUE(LEFT(Sync!$V347,FIND(":",Sync!$V347)-1)),2)&amp;RIGHT("00"&amp;VALUE(MID(Sync!$V347,FIND(":",Sync!$V347)+1,2)),2),"0000"))))</f>
        <v/>
      </c>
    </row>
    <row r="351">
      <c r="A351">
        <f>IF(Sync!$U348="","",Sync!$U348)</f>
        <v/>
      </c>
      <c r="B351">
        <f>IF($A351="","",IF(ISNUMBER($A351),IF(AND($A351&gt;=10000101,$A351&lt;=99991231),INT($A351/10000),""),IFERROR(VALUE(TRIM(LEFT($A351,FIND("/",$A351)-1))),"")))</f>
        <v/>
      </c>
      <c r="C351">
        <f>IF(OR($A351="",$B351=""),"",IF(ISNUMBER($A351),INT(MOD($A351,10000)/100),IFERROR(VALUE(TRIM(LEFT(MID($A351,FIND("/",$A351)+1,20),FIND("/",MID($A351,FIND("/",$A351)+1,20))-1))),"")))</f>
        <v/>
      </c>
      <c r="D351">
        <f>IF(OR($A351="",$B351=""),"",IF(ISNUMBER($A351),MOD($A351,100),IFERROR(VALUE(TRIM(MID(MID($A351,FIND("/",$A351)+1,20),FIND("/",MID($A351,FIND("/",$A351)+1,20))+1,20))),"")))</f>
        <v/>
      </c>
      <c r="E351">
        <f>IF($A351="","",IF(OR($B351="",$C351="",$D351="",$B351&lt;1300,$B351&gt;1500,$C351&lt;1,$C351&gt;12,$D351&lt;1,$D351&gt;31),"نامعتبر",RIGHT("0000"&amp;$B351,4)&amp;"/"&amp;RIGHT("00"&amp;$C351,2)&amp;"/"&amp;RIGHT("00"&amp;$D351,2)))</f>
        <v/>
      </c>
      <c r="F351">
        <f>IF(OR($E351="",$E351="نامعتبر"),"",LEFT($E351,4)&amp;"/"&amp;MID($E351,6,2))</f>
        <v/>
      </c>
      <c r="G351">
        <f>IF(OR($E351="",$E351="نامعتبر",Sync!$Y348=""),"",Sync!$Y348)</f>
        <v/>
      </c>
      <c r="H351">
        <f>IF($G351="","",IF(Sync!$X348="","",Sync!$X348))</f>
        <v/>
      </c>
      <c r="I351">
        <f>IF($G351="","",IFERROR(VLOOKUP(Sync!$X348,OpTbl,3,0),""))</f>
        <v/>
      </c>
      <c r="J351">
        <f>IF(OR($G351="",Sync!$Z348=""),"",Sync!$Z348)</f>
        <v/>
      </c>
      <c r="K351">
        <f>IF(OR($G351="",Sync!$AA348=""),"",Sync!$AA348)</f>
        <v/>
      </c>
      <c r="L351">
        <f>IF($G351="",0,IF(Sync!$AB348="",0,Sync!$AB348))</f>
        <v/>
      </c>
      <c r="M351">
        <f>IF($G351="",0,IF(Sync!$AC348="",0,Sync!$AC348))</f>
        <v/>
      </c>
      <c r="N351">
        <f>IF($G351="","",IF($H351="مرجوعی خرید",-1,1)*($L351-$M351*IFERROR(VLOOKUP("P01",ParamTbl,3,0),1.5))*(1-IF($I351="خرید",IFERROR(VLOOKUP("P02",ParamTbl,3,0),1),0)/100))</f>
        <v/>
      </c>
      <c r="O351">
        <f>IF($G351="",0,IF($H351="مرجوعی خرید",-1,1)*IF(Sync!$AD348="",0,Sync!$AD348))</f>
        <v/>
      </c>
      <c r="P351">
        <f>IF(OR($G351="",Sync!$W348=""),"",Sync!$W348)</f>
        <v/>
      </c>
      <c r="Q351">
        <f>IF(OR($G351="",Sync!$AE348=""),"",Sync!$AE348)</f>
        <v/>
      </c>
      <c r="R351">
        <f>IF($G351="","",IF(Sync!$V348="","0000",IF(AND(ISNUMBER(Sync!$V348),Sync!$V348&gt;=0,Sync!$V348&lt;1),RIGHT("00"&amp;HOUR(Sync!$V348),2)&amp;RIGHT("00"&amp;MINUTE(Sync!$V348),2),IFERROR(RIGHT("00"&amp;VALUE(LEFT(Sync!$V348,FIND(":",Sync!$V348)-1)),2)&amp;RIGHT("00"&amp;VALUE(MID(Sync!$V348,FIND(":",Sync!$V348)+1,2)),2),"0000"))))</f>
        <v/>
      </c>
    </row>
    <row r="352">
      <c r="A352">
        <f>IF(Sync!$U349="","",Sync!$U349)</f>
        <v/>
      </c>
      <c r="B352">
        <f>IF($A352="","",IF(ISNUMBER($A352),IF(AND($A352&gt;=10000101,$A352&lt;=99991231),INT($A352/10000),""),IFERROR(VALUE(TRIM(LEFT($A352,FIND("/",$A352)-1))),"")))</f>
        <v/>
      </c>
      <c r="C352">
        <f>IF(OR($A352="",$B352=""),"",IF(ISNUMBER($A352),INT(MOD($A352,10000)/100),IFERROR(VALUE(TRIM(LEFT(MID($A352,FIND("/",$A352)+1,20),FIND("/",MID($A352,FIND("/",$A352)+1,20))-1))),"")))</f>
        <v/>
      </c>
      <c r="D352">
        <f>IF(OR($A352="",$B352=""),"",IF(ISNUMBER($A352),MOD($A352,100),IFERROR(VALUE(TRIM(MID(MID($A352,FIND("/",$A352)+1,20),FIND("/",MID($A352,FIND("/",$A352)+1,20))+1,20))),"")))</f>
        <v/>
      </c>
      <c r="E352">
        <f>IF($A352="","",IF(OR($B352="",$C352="",$D352="",$B352&lt;1300,$B352&gt;1500,$C352&lt;1,$C352&gt;12,$D352&lt;1,$D352&gt;31),"نامعتبر",RIGHT("0000"&amp;$B352,4)&amp;"/"&amp;RIGHT("00"&amp;$C352,2)&amp;"/"&amp;RIGHT("00"&amp;$D352,2)))</f>
        <v/>
      </c>
      <c r="F352">
        <f>IF(OR($E352="",$E352="نامعتبر"),"",LEFT($E352,4)&amp;"/"&amp;MID($E352,6,2))</f>
        <v/>
      </c>
      <c r="G352">
        <f>IF(OR($E352="",$E352="نامعتبر",Sync!$Y349=""),"",Sync!$Y349)</f>
        <v/>
      </c>
      <c r="H352">
        <f>IF($G352="","",IF(Sync!$X349="","",Sync!$X349))</f>
        <v/>
      </c>
      <c r="I352">
        <f>IF($G352="","",IFERROR(VLOOKUP(Sync!$X349,OpTbl,3,0),""))</f>
        <v/>
      </c>
      <c r="J352">
        <f>IF(OR($G352="",Sync!$Z349=""),"",Sync!$Z349)</f>
        <v/>
      </c>
      <c r="K352">
        <f>IF(OR($G352="",Sync!$AA349=""),"",Sync!$AA349)</f>
        <v/>
      </c>
      <c r="L352">
        <f>IF($G352="",0,IF(Sync!$AB349="",0,Sync!$AB349))</f>
        <v/>
      </c>
      <c r="M352">
        <f>IF($G352="",0,IF(Sync!$AC349="",0,Sync!$AC349))</f>
        <v/>
      </c>
      <c r="N352">
        <f>IF($G352="","",IF($H352="مرجوعی خرید",-1,1)*($L352-$M352*IFERROR(VLOOKUP("P01",ParamTbl,3,0),1.5))*(1-IF($I352="خرید",IFERROR(VLOOKUP("P02",ParamTbl,3,0),1),0)/100))</f>
        <v/>
      </c>
      <c r="O352">
        <f>IF($G352="",0,IF($H352="مرجوعی خرید",-1,1)*IF(Sync!$AD349="",0,Sync!$AD349))</f>
        <v/>
      </c>
      <c r="P352">
        <f>IF(OR($G352="",Sync!$W349=""),"",Sync!$W349)</f>
        <v/>
      </c>
      <c r="Q352">
        <f>IF(OR($G352="",Sync!$AE349=""),"",Sync!$AE349)</f>
        <v/>
      </c>
      <c r="R352">
        <f>IF($G352="","",IF(Sync!$V349="","0000",IF(AND(ISNUMBER(Sync!$V349),Sync!$V349&gt;=0,Sync!$V349&lt;1),RIGHT("00"&amp;HOUR(Sync!$V349),2)&amp;RIGHT("00"&amp;MINUTE(Sync!$V349),2),IFERROR(RIGHT("00"&amp;VALUE(LEFT(Sync!$V349,FIND(":",Sync!$V349)-1)),2)&amp;RIGHT("00"&amp;VALUE(MID(Sync!$V349,FIND(":",Sync!$V349)+1,2)),2),"0000"))))</f>
        <v/>
      </c>
    </row>
    <row r="353">
      <c r="A353">
        <f>IF(Sync!$U350="","",Sync!$U350)</f>
        <v/>
      </c>
      <c r="B353">
        <f>IF($A353="","",IF(ISNUMBER($A353),IF(AND($A353&gt;=10000101,$A353&lt;=99991231),INT($A353/10000),""),IFERROR(VALUE(TRIM(LEFT($A353,FIND("/",$A353)-1))),"")))</f>
        <v/>
      </c>
      <c r="C353">
        <f>IF(OR($A353="",$B353=""),"",IF(ISNUMBER($A353),INT(MOD($A353,10000)/100),IFERROR(VALUE(TRIM(LEFT(MID($A353,FIND("/",$A353)+1,20),FIND("/",MID($A353,FIND("/",$A353)+1,20))-1))),"")))</f>
        <v/>
      </c>
      <c r="D353">
        <f>IF(OR($A353="",$B353=""),"",IF(ISNUMBER($A353),MOD($A353,100),IFERROR(VALUE(TRIM(MID(MID($A353,FIND("/",$A353)+1,20),FIND("/",MID($A353,FIND("/",$A353)+1,20))+1,20))),"")))</f>
        <v/>
      </c>
      <c r="E353">
        <f>IF($A353="","",IF(OR($B353="",$C353="",$D353="",$B353&lt;1300,$B353&gt;1500,$C353&lt;1,$C353&gt;12,$D353&lt;1,$D353&gt;31),"نامعتبر",RIGHT("0000"&amp;$B353,4)&amp;"/"&amp;RIGHT("00"&amp;$C353,2)&amp;"/"&amp;RIGHT("00"&amp;$D353,2)))</f>
        <v/>
      </c>
      <c r="F353">
        <f>IF(OR($E353="",$E353="نامعتبر"),"",LEFT($E353,4)&amp;"/"&amp;MID($E353,6,2))</f>
        <v/>
      </c>
      <c r="G353">
        <f>IF(OR($E353="",$E353="نامعتبر",Sync!$Y350=""),"",Sync!$Y350)</f>
        <v/>
      </c>
      <c r="H353">
        <f>IF($G353="","",IF(Sync!$X350="","",Sync!$X350))</f>
        <v/>
      </c>
      <c r="I353">
        <f>IF($G353="","",IFERROR(VLOOKUP(Sync!$X350,OpTbl,3,0),""))</f>
        <v/>
      </c>
      <c r="J353">
        <f>IF(OR($G353="",Sync!$Z350=""),"",Sync!$Z350)</f>
        <v/>
      </c>
      <c r="K353">
        <f>IF(OR($G353="",Sync!$AA350=""),"",Sync!$AA350)</f>
        <v/>
      </c>
      <c r="L353">
        <f>IF($G353="",0,IF(Sync!$AB350="",0,Sync!$AB350))</f>
        <v/>
      </c>
      <c r="M353">
        <f>IF($G353="",0,IF(Sync!$AC350="",0,Sync!$AC350))</f>
        <v/>
      </c>
      <c r="N353">
        <f>IF($G353="","",IF($H353="مرجوعی خرید",-1,1)*($L353-$M353*IFERROR(VLOOKUP("P01",ParamTbl,3,0),1.5))*(1-IF($I353="خرید",IFERROR(VLOOKUP("P02",ParamTbl,3,0),1),0)/100))</f>
        <v/>
      </c>
      <c r="O353">
        <f>IF($G353="",0,IF($H353="مرجوعی خرید",-1,1)*IF(Sync!$AD350="",0,Sync!$AD350))</f>
        <v/>
      </c>
      <c r="P353">
        <f>IF(OR($G353="",Sync!$W350=""),"",Sync!$W350)</f>
        <v/>
      </c>
      <c r="Q353">
        <f>IF(OR($G353="",Sync!$AE350=""),"",Sync!$AE350)</f>
        <v/>
      </c>
      <c r="R353">
        <f>IF($G353="","",IF(Sync!$V350="","0000",IF(AND(ISNUMBER(Sync!$V350),Sync!$V350&gt;=0,Sync!$V350&lt;1),RIGHT("00"&amp;HOUR(Sync!$V350),2)&amp;RIGHT("00"&amp;MINUTE(Sync!$V350),2),IFERROR(RIGHT("00"&amp;VALUE(LEFT(Sync!$V350,FIND(":",Sync!$V350)-1)),2)&amp;RIGHT("00"&amp;VALUE(MID(Sync!$V350,FIND(":",Sync!$V350)+1,2)),2),"0000"))))</f>
        <v/>
      </c>
    </row>
    <row r="354">
      <c r="A354">
        <f>IF(Sync!$U351="","",Sync!$U351)</f>
        <v/>
      </c>
      <c r="B354">
        <f>IF($A354="","",IF(ISNUMBER($A354),IF(AND($A354&gt;=10000101,$A354&lt;=99991231),INT($A354/10000),""),IFERROR(VALUE(TRIM(LEFT($A354,FIND("/",$A354)-1))),"")))</f>
        <v/>
      </c>
      <c r="C354">
        <f>IF(OR($A354="",$B354=""),"",IF(ISNUMBER($A354),INT(MOD($A354,10000)/100),IFERROR(VALUE(TRIM(LEFT(MID($A354,FIND("/",$A354)+1,20),FIND("/",MID($A354,FIND("/",$A354)+1,20))-1))),"")))</f>
        <v/>
      </c>
      <c r="D354">
        <f>IF(OR($A354="",$B354=""),"",IF(ISNUMBER($A354),MOD($A354,100),IFERROR(VALUE(TRIM(MID(MID($A354,FIND("/",$A354)+1,20),FIND("/",MID($A354,FIND("/",$A354)+1,20))+1,20))),"")))</f>
        <v/>
      </c>
      <c r="E354">
        <f>IF($A354="","",IF(OR($B354="",$C354="",$D354="",$B354&lt;1300,$B354&gt;1500,$C354&lt;1,$C354&gt;12,$D354&lt;1,$D354&gt;31),"نامعتبر",RIGHT("0000"&amp;$B354,4)&amp;"/"&amp;RIGHT("00"&amp;$C354,2)&amp;"/"&amp;RIGHT("00"&amp;$D354,2)))</f>
        <v/>
      </c>
      <c r="F354">
        <f>IF(OR($E354="",$E354="نامعتبر"),"",LEFT($E354,4)&amp;"/"&amp;MID($E354,6,2))</f>
        <v/>
      </c>
      <c r="G354">
        <f>IF(OR($E354="",$E354="نامعتبر",Sync!$Y351=""),"",Sync!$Y351)</f>
        <v/>
      </c>
      <c r="H354">
        <f>IF($G354="","",IF(Sync!$X351="","",Sync!$X351))</f>
        <v/>
      </c>
      <c r="I354">
        <f>IF($G354="","",IFERROR(VLOOKUP(Sync!$X351,OpTbl,3,0),""))</f>
        <v/>
      </c>
      <c r="J354">
        <f>IF(OR($G354="",Sync!$Z351=""),"",Sync!$Z351)</f>
        <v/>
      </c>
      <c r="K354">
        <f>IF(OR($G354="",Sync!$AA351=""),"",Sync!$AA351)</f>
        <v/>
      </c>
      <c r="L354">
        <f>IF($G354="",0,IF(Sync!$AB351="",0,Sync!$AB351))</f>
        <v/>
      </c>
      <c r="M354">
        <f>IF($G354="",0,IF(Sync!$AC351="",0,Sync!$AC351))</f>
        <v/>
      </c>
      <c r="N354">
        <f>IF($G354="","",IF($H354="مرجوعی خرید",-1,1)*($L354-$M354*IFERROR(VLOOKUP("P01",ParamTbl,3,0),1.5))*(1-IF($I354="خرید",IFERROR(VLOOKUP("P02",ParamTbl,3,0),1),0)/100))</f>
        <v/>
      </c>
      <c r="O354">
        <f>IF($G354="",0,IF($H354="مرجوعی خرید",-1,1)*IF(Sync!$AD351="",0,Sync!$AD351))</f>
        <v/>
      </c>
      <c r="P354">
        <f>IF(OR($G354="",Sync!$W351=""),"",Sync!$W351)</f>
        <v/>
      </c>
      <c r="Q354">
        <f>IF(OR($G354="",Sync!$AE351=""),"",Sync!$AE351)</f>
        <v/>
      </c>
      <c r="R354">
        <f>IF($G354="","",IF(Sync!$V351="","0000",IF(AND(ISNUMBER(Sync!$V351),Sync!$V351&gt;=0,Sync!$V351&lt;1),RIGHT("00"&amp;HOUR(Sync!$V351),2)&amp;RIGHT("00"&amp;MINUTE(Sync!$V351),2),IFERROR(RIGHT("00"&amp;VALUE(LEFT(Sync!$V351,FIND(":",Sync!$V351)-1)),2)&amp;RIGHT("00"&amp;VALUE(MID(Sync!$V351,FIND(":",Sync!$V351)+1,2)),2),"0000"))))</f>
        <v/>
      </c>
    </row>
    <row r="355">
      <c r="A355">
        <f>IF(Sync!$U352="","",Sync!$U352)</f>
        <v/>
      </c>
      <c r="B355">
        <f>IF($A355="","",IF(ISNUMBER($A355),IF(AND($A355&gt;=10000101,$A355&lt;=99991231),INT($A355/10000),""),IFERROR(VALUE(TRIM(LEFT($A355,FIND("/",$A355)-1))),"")))</f>
        <v/>
      </c>
      <c r="C355">
        <f>IF(OR($A355="",$B355=""),"",IF(ISNUMBER($A355),INT(MOD($A355,10000)/100),IFERROR(VALUE(TRIM(LEFT(MID($A355,FIND("/",$A355)+1,20),FIND("/",MID($A355,FIND("/",$A355)+1,20))-1))),"")))</f>
        <v/>
      </c>
      <c r="D355">
        <f>IF(OR($A355="",$B355=""),"",IF(ISNUMBER($A355),MOD($A355,100),IFERROR(VALUE(TRIM(MID(MID($A355,FIND("/",$A355)+1,20),FIND("/",MID($A355,FIND("/",$A355)+1,20))+1,20))),"")))</f>
        <v/>
      </c>
      <c r="E355">
        <f>IF($A355="","",IF(OR($B355="",$C355="",$D355="",$B355&lt;1300,$B355&gt;1500,$C355&lt;1,$C355&gt;12,$D355&lt;1,$D355&gt;31),"نامعتبر",RIGHT("0000"&amp;$B355,4)&amp;"/"&amp;RIGHT("00"&amp;$C355,2)&amp;"/"&amp;RIGHT("00"&amp;$D355,2)))</f>
        <v/>
      </c>
      <c r="F355">
        <f>IF(OR($E355="",$E355="نامعتبر"),"",LEFT($E355,4)&amp;"/"&amp;MID($E355,6,2))</f>
        <v/>
      </c>
      <c r="G355">
        <f>IF(OR($E355="",$E355="نامعتبر",Sync!$Y352=""),"",Sync!$Y352)</f>
        <v/>
      </c>
      <c r="H355">
        <f>IF($G355="","",IF(Sync!$X352="","",Sync!$X352))</f>
        <v/>
      </c>
      <c r="I355">
        <f>IF($G355="","",IFERROR(VLOOKUP(Sync!$X352,OpTbl,3,0),""))</f>
        <v/>
      </c>
      <c r="J355">
        <f>IF(OR($G355="",Sync!$Z352=""),"",Sync!$Z352)</f>
        <v/>
      </c>
      <c r="K355">
        <f>IF(OR($G355="",Sync!$AA352=""),"",Sync!$AA352)</f>
        <v/>
      </c>
      <c r="L355">
        <f>IF($G355="",0,IF(Sync!$AB352="",0,Sync!$AB352))</f>
        <v/>
      </c>
      <c r="M355">
        <f>IF($G355="",0,IF(Sync!$AC352="",0,Sync!$AC352))</f>
        <v/>
      </c>
      <c r="N355">
        <f>IF($G355="","",IF($H355="مرجوعی خرید",-1,1)*($L355-$M355*IFERROR(VLOOKUP("P01",ParamTbl,3,0),1.5))*(1-IF($I355="خرید",IFERROR(VLOOKUP("P02",ParamTbl,3,0),1),0)/100))</f>
        <v/>
      </c>
      <c r="O355">
        <f>IF($G355="",0,IF($H355="مرجوعی خرید",-1,1)*IF(Sync!$AD352="",0,Sync!$AD352))</f>
        <v/>
      </c>
      <c r="P355">
        <f>IF(OR($G355="",Sync!$W352=""),"",Sync!$W352)</f>
        <v/>
      </c>
      <c r="Q355">
        <f>IF(OR($G355="",Sync!$AE352=""),"",Sync!$AE352)</f>
        <v/>
      </c>
      <c r="R355">
        <f>IF($G355="","",IF(Sync!$V352="","0000",IF(AND(ISNUMBER(Sync!$V352),Sync!$V352&gt;=0,Sync!$V352&lt;1),RIGHT("00"&amp;HOUR(Sync!$V352),2)&amp;RIGHT("00"&amp;MINUTE(Sync!$V352),2),IFERROR(RIGHT("00"&amp;VALUE(LEFT(Sync!$V352,FIND(":",Sync!$V352)-1)),2)&amp;RIGHT("00"&amp;VALUE(MID(Sync!$V352,FIND(":",Sync!$V352)+1,2)),2),"0000"))))</f>
        <v/>
      </c>
    </row>
    <row r="356">
      <c r="A356">
        <f>IF(Sync!$U353="","",Sync!$U353)</f>
        <v/>
      </c>
      <c r="B356">
        <f>IF($A356="","",IF(ISNUMBER($A356),IF(AND($A356&gt;=10000101,$A356&lt;=99991231),INT($A356/10000),""),IFERROR(VALUE(TRIM(LEFT($A356,FIND("/",$A356)-1))),"")))</f>
        <v/>
      </c>
      <c r="C356">
        <f>IF(OR($A356="",$B356=""),"",IF(ISNUMBER($A356),INT(MOD($A356,10000)/100),IFERROR(VALUE(TRIM(LEFT(MID($A356,FIND("/",$A356)+1,20),FIND("/",MID($A356,FIND("/",$A356)+1,20))-1))),"")))</f>
        <v/>
      </c>
      <c r="D356">
        <f>IF(OR($A356="",$B356=""),"",IF(ISNUMBER($A356),MOD($A356,100),IFERROR(VALUE(TRIM(MID(MID($A356,FIND("/",$A356)+1,20),FIND("/",MID($A356,FIND("/",$A356)+1,20))+1,20))),"")))</f>
        <v/>
      </c>
      <c r="E356">
        <f>IF($A356="","",IF(OR($B356="",$C356="",$D356="",$B356&lt;1300,$B356&gt;1500,$C356&lt;1,$C356&gt;12,$D356&lt;1,$D356&gt;31),"نامعتبر",RIGHT("0000"&amp;$B356,4)&amp;"/"&amp;RIGHT("00"&amp;$C356,2)&amp;"/"&amp;RIGHT("00"&amp;$D356,2)))</f>
        <v/>
      </c>
      <c r="F356">
        <f>IF(OR($E356="",$E356="نامعتبر"),"",LEFT($E356,4)&amp;"/"&amp;MID($E356,6,2))</f>
        <v/>
      </c>
      <c r="G356">
        <f>IF(OR($E356="",$E356="نامعتبر",Sync!$Y353=""),"",Sync!$Y353)</f>
        <v/>
      </c>
      <c r="H356">
        <f>IF($G356="","",IF(Sync!$X353="","",Sync!$X353))</f>
        <v/>
      </c>
      <c r="I356">
        <f>IF($G356="","",IFERROR(VLOOKUP(Sync!$X353,OpTbl,3,0),""))</f>
        <v/>
      </c>
      <c r="J356">
        <f>IF(OR($G356="",Sync!$Z353=""),"",Sync!$Z353)</f>
        <v/>
      </c>
      <c r="K356">
        <f>IF(OR($G356="",Sync!$AA353=""),"",Sync!$AA353)</f>
        <v/>
      </c>
      <c r="L356">
        <f>IF($G356="",0,IF(Sync!$AB353="",0,Sync!$AB353))</f>
        <v/>
      </c>
      <c r="M356">
        <f>IF($G356="",0,IF(Sync!$AC353="",0,Sync!$AC353))</f>
        <v/>
      </c>
      <c r="N356">
        <f>IF($G356="","",IF($H356="مرجوعی خرید",-1,1)*($L356-$M356*IFERROR(VLOOKUP("P01",ParamTbl,3,0),1.5))*(1-IF($I356="خرید",IFERROR(VLOOKUP("P02",ParamTbl,3,0),1),0)/100))</f>
        <v/>
      </c>
      <c r="O356">
        <f>IF($G356="",0,IF($H356="مرجوعی خرید",-1,1)*IF(Sync!$AD353="",0,Sync!$AD353))</f>
        <v/>
      </c>
      <c r="P356">
        <f>IF(OR($G356="",Sync!$W353=""),"",Sync!$W353)</f>
        <v/>
      </c>
      <c r="Q356">
        <f>IF(OR($G356="",Sync!$AE353=""),"",Sync!$AE353)</f>
        <v/>
      </c>
      <c r="R356">
        <f>IF($G356="","",IF(Sync!$V353="","0000",IF(AND(ISNUMBER(Sync!$V353),Sync!$V353&gt;=0,Sync!$V353&lt;1),RIGHT("00"&amp;HOUR(Sync!$V353),2)&amp;RIGHT("00"&amp;MINUTE(Sync!$V353),2),IFERROR(RIGHT("00"&amp;VALUE(LEFT(Sync!$V353,FIND(":",Sync!$V353)-1)),2)&amp;RIGHT("00"&amp;VALUE(MID(Sync!$V353,FIND(":",Sync!$V353)+1,2)),2),"0000"))))</f>
        <v/>
      </c>
    </row>
    <row r="357">
      <c r="A357">
        <f>IF(Sync!$U354="","",Sync!$U354)</f>
        <v/>
      </c>
      <c r="B357">
        <f>IF($A357="","",IF(ISNUMBER($A357),IF(AND($A357&gt;=10000101,$A357&lt;=99991231),INT($A357/10000),""),IFERROR(VALUE(TRIM(LEFT($A357,FIND("/",$A357)-1))),"")))</f>
        <v/>
      </c>
      <c r="C357">
        <f>IF(OR($A357="",$B357=""),"",IF(ISNUMBER($A357),INT(MOD($A357,10000)/100),IFERROR(VALUE(TRIM(LEFT(MID($A357,FIND("/",$A357)+1,20),FIND("/",MID($A357,FIND("/",$A357)+1,20))-1))),"")))</f>
        <v/>
      </c>
      <c r="D357">
        <f>IF(OR($A357="",$B357=""),"",IF(ISNUMBER($A357),MOD($A357,100),IFERROR(VALUE(TRIM(MID(MID($A357,FIND("/",$A357)+1,20),FIND("/",MID($A357,FIND("/",$A357)+1,20))+1,20))),"")))</f>
        <v/>
      </c>
      <c r="E357">
        <f>IF($A357="","",IF(OR($B357="",$C357="",$D357="",$B357&lt;1300,$B357&gt;1500,$C357&lt;1,$C357&gt;12,$D357&lt;1,$D357&gt;31),"نامعتبر",RIGHT("0000"&amp;$B357,4)&amp;"/"&amp;RIGHT("00"&amp;$C357,2)&amp;"/"&amp;RIGHT("00"&amp;$D357,2)))</f>
        <v/>
      </c>
      <c r="F357">
        <f>IF(OR($E357="",$E357="نامعتبر"),"",LEFT($E357,4)&amp;"/"&amp;MID($E357,6,2))</f>
        <v/>
      </c>
      <c r="G357">
        <f>IF(OR($E357="",$E357="نامعتبر",Sync!$Y354=""),"",Sync!$Y354)</f>
        <v/>
      </c>
      <c r="H357">
        <f>IF($G357="","",IF(Sync!$X354="","",Sync!$X354))</f>
        <v/>
      </c>
      <c r="I357">
        <f>IF($G357="","",IFERROR(VLOOKUP(Sync!$X354,OpTbl,3,0),""))</f>
        <v/>
      </c>
      <c r="J357">
        <f>IF(OR($G357="",Sync!$Z354=""),"",Sync!$Z354)</f>
        <v/>
      </c>
      <c r="K357">
        <f>IF(OR($G357="",Sync!$AA354=""),"",Sync!$AA354)</f>
        <v/>
      </c>
      <c r="L357">
        <f>IF($G357="",0,IF(Sync!$AB354="",0,Sync!$AB354))</f>
        <v/>
      </c>
      <c r="M357">
        <f>IF($G357="",0,IF(Sync!$AC354="",0,Sync!$AC354))</f>
        <v/>
      </c>
      <c r="N357">
        <f>IF($G357="","",IF($H357="مرجوعی خرید",-1,1)*($L357-$M357*IFERROR(VLOOKUP("P01",ParamTbl,3,0),1.5))*(1-IF($I357="خرید",IFERROR(VLOOKUP("P02",ParamTbl,3,0),1),0)/100))</f>
        <v/>
      </c>
      <c r="O357">
        <f>IF($G357="",0,IF($H357="مرجوعی خرید",-1,1)*IF(Sync!$AD354="",0,Sync!$AD354))</f>
        <v/>
      </c>
      <c r="P357">
        <f>IF(OR($G357="",Sync!$W354=""),"",Sync!$W354)</f>
        <v/>
      </c>
      <c r="Q357">
        <f>IF(OR($G357="",Sync!$AE354=""),"",Sync!$AE354)</f>
        <v/>
      </c>
      <c r="R357">
        <f>IF($G357="","",IF(Sync!$V354="","0000",IF(AND(ISNUMBER(Sync!$V354),Sync!$V354&gt;=0,Sync!$V354&lt;1),RIGHT("00"&amp;HOUR(Sync!$V354),2)&amp;RIGHT("00"&amp;MINUTE(Sync!$V354),2),IFERROR(RIGHT("00"&amp;VALUE(LEFT(Sync!$V354,FIND(":",Sync!$V354)-1)),2)&amp;RIGHT("00"&amp;VALUE(MID(Sync!$V354,FIND(":",Sync!$V354)+1,2)),2),"0000"))))</f>
        <v/>
      </c>
    </row>
    <row r="358">
      <c r="A358">
        <f>IF(Sync!$U355="","",Sync!$U355)</f>
        <v/>
      </c>
      <c r="B358">
        <f>IF($A358="","",IF(ISNUMBER($A358),IF(AND($A358&gt;=10000101,$A358&lt;=99991231),INT($A358/10000),""),IFERROR(VALUE(TRIM(LEFT($A358,FIND("/",$A358)-1))),"")))</f>
        <v/>
      </c>
      <c r="C358">
        <f>IF(OR($A358="",$B358=""),"",IF(ISNUMBER($A358),INT(MOD($A358,10000)/100),IFERROR(VALUE(TRIM(LEFT(MID($A358,FIND("/",$A358)+1,20),FIND("/",MID($A358,FIND("/",$A358)+1,20))-1))),"")))</f>
        <v/>
      </c>
      <c r="D358">
        <f>IF(OR($A358="",$B358=""),"",IF(ISNUMBER($A358),MOD($A358,100),IFERROR(VALUE(TRIM(MID(MID($A358,FIND("/",$A358)+1,20),FIND("/",MID($A358,FIND("/",$A358)+1,20))+1,20))),"")))</f>
        <v/>
      </c>
      <c r="E358">
        <f>IF($A358="","",IF(OR($B358="",$C358="",$D358="",$B358&lt;1300,$B358&gt;1500,$C358&lt;1,$C358&gt;12,$D358&lt;1,$D358&gt;31),"نامعتبر",RIGHT("0000"&amp;$B358,4)&amp;"/"&amp;RIGHT("00"&amp;$C358,2)&amp;"/"&amp;RIGHT("00"&amp;$D358,2)))</f>
        <v/>
      </c>
      <c r="F358">
        <f>IF(OR($E358="",$E358="نامعتبر"),"",LEFT($E358,4)&amp;"/"&amp;MID($E358,6,2))</f>
        <v/>
      </c>
      <c r="G358">
        <f>IF(OR($E358="",$E358="نامعتبر",Sync!$Y355=""),"",Sync!$Y355)</f>
        <v/>
      </c>
      <c r="H358">
        <f>IF($G358="","",IF(Sync!$X355="","",Sync!$X355))</f>
        <v/>
      </c>
      <c r="I358">
        <f>IF($G358="","",IFERROR(VLOOKUP(Sync!$X355,OpTbl,3,0),""))</f>
        <v/>
      </c>
      <c r="J358">
        <f>IF(OR($G358="",Sync!$Z355=""),"",Sync!$Z355)</f>
        <v/>
      </c>
      <c r="K358">
        <f>IF(OR($G358="",Sync!$AA355=""),"",Sync!$AA355)</f>
        <v/>
      </c>
      <c r="L358">
        <f>IF($G358="",0,IF(Sync!$AB355="",0,Sync!$AB355))</f>
        <v/>
      </c>
      <c r="M358">
        <f>IF($G358="",0,IF(Sync!$AC355="",0,Sync!$AC355))</f>
        <v/>
      </c>
      <c r="N358">
        <f>IF($G358="","",IF($H358="مرجوعی خرید",-1,1)*($L358-$M358*IFERROR(VLOOKUP("P01",ParamTbl,3,0),1.5))*(1-IF($I358="خرید",IFERROR(VLOOKUP("P02",ParamTbl,3,0),1),0)/100))</f>
        <v/>
      </c>
      <c r="O358">
        <f>IF($G358="",0,IF($H358="مرجوعی خرید",-1,1)*IF(Sync!$AD355="",0,Sync!$AD355))</f>
        <v/>
      </c>
      <c r="P358">
        <f>IF(OR($G358="",Sync!$W355=""),"",Sync!$W355)</f>
        <v/>
      </c>
      <c r="Q358">
        <f>IF(OR($G358="",Sync!$AE355=""),"",Sync!$AE355)</f>
        <v/>
      </c>
      <c r="R358">
        <f>IF($G358="","",IF(Sync!$V355="","0000",IF(AND(ISNUMBER(Sync!$V355),Sync!$V355&gt;=0,Sync!$V355&lt;1),RIGHT("00"&amp;HOUR(Sync!$V355),2)&amp;RIGHT("00"&amp;MINUTE(Sync!$V355),2),IFERROR(RIGHT("00"&amp;VALUE(LEFT(Sync!$V355,FIND(":",Sync!$V355)-1)),2)&amp;RIGHT("00"&amp;VALUE(MID(Sync!$V355,FIND(":",Sync!$V355)+1,2)),2),"0000"))))</f>
        <v/>
      </c>
    </row>
    <row r="359">
      <c r="A359">
        <f>IF(Sync!$U356="","",Sync!$U356)</f>
        <v/>
      </c>
      <c r="B359">
        <f>IF($A359="","",IF(ISNUMBER($A359),IF(AND($A359&gt;=10000101,$A359&lt;=99991231),INT($A359/10000),""),IFERROR(VALUE(TRIM(LEFT($A359,FIND("/",$A359)-1))),"")))</f>
        <v/>
      </c>
      <c r="C359">
        <f>IF(OR($A359="",$B359=""),"",IF(ISNUMBER($A359),INT(MOD($A359,10000)/100),IFERROR(VALUE(TRIM(LEFT(MID($A359,FIND("/",$A359)+1,20),FIND("/",MID($A359,FIND("/",$A359)+1,20))-1))),"")))</f>
        <v/>
      </c>
      <c r="D359">
        <f>IF(OR($A359="",$B359=""),"",IF(ISNUMBER($A359),MOD($A359,100),IFERROR(VALUE(TRIM(MID(MID($A359,FIND("/",$A359)+1,20),FIND("/",MID($A359,FIND("/",$A359)+1,20))+1,20))),"")))</f>
        <v/>
      </c>
      <c r="E359">
        <f>IF($A359="","",IF(OR($B359="",$C359="",$D359="",$B359&lt;1300,$B359&gt;1500,$C359&lt;1,$C359&gt;12,$D359&lt;1,$D359&gt;31),"نامعتبر",RIGHT("0000"&amp;$B359,4)&amp;"/"&amp;RIGHT("00"&amp;$C359,2)&amp;"/"&amp;RIGHT("00"&amp;$D359,2)))</f>
        <v/>
      </c>
      <c r="F359">
        <f>IF(OR($E359="",$E359="نامعتبر"),"",LEFT($E359,4)&amp;"/"&amp;MID($E359,6,2))</f>
        <v/>
      </c>
      <c r="G359">
        <f>IF(OR($E359="",$E359="نامعتبر",Sync!$Y356=""),"",Sync!$Y356)</f>
        <v/>
      </c>
      <c r="H359">
        <f>IF($G359="","",IF(Sync!$X356="","",Sync!$X356))</f>
        <v/>
      </c>
      <c r="I359">
        <f>IF($G359="","",IFERROR(VLOOKUP(Sync!$X356,OpTbl,3,0),""))</f>
        <v/>
      </c>
      <c r="J359">
        <f>IF(OR($G359="",Sync!$Z356=""),"",Sync!$Z356)</f>
        <v/>
      </c>
      <c r="K359">
        <f>IF(OR($G359="",Sync!$AA356=""),"",Sync!$AA356)</f>
        <v/>
      </c>
      <c r="L359">
        <f>IF($G359="",0,IF(Sync!$AB356="",0,Sync!$AB356))</f>
        <v/>
      </c>
      <c r="M359">
        <f>IF($G359="",0,IF(Sync!$AC356="",0,Sync!$AC356))</f>
        <v/>
      </c>
      <c r="N359">
        <f>IF($G359="","",IF($H359="مرجوعی خرید",-1,1)*($L359-$M359*IFERROR(VLOOKUP("P01",ParamTbl,3,0),1.5))*(1-IF($I359="خرید",IFERROR(VLOOKUP("P02",ParamTbl,3,0),1),0)/100))</f>
        <v/>
      </c>
      <c r="O359">
        <f>IF($G359="",0,IF($H359="مرجوعی خرید",-1,1)*IF(Sync!$AD356="",0,Sync!$AD356))</f>
        <v/>
      </c>
      <c r="P359">
        <f>IF(OR($G359="",Sync!$W356=""),"",Sync!$W356)</f>
        <v/>
      </c>
      <c r="Q359">
        <f>IF(OR($G359="",Sync!$AE356=""),"",Sync!$AE356)</f>
        <v/>
      </c>
      <c r="R359">
        <f>IF($G359="","",IF(Sync!$V356="","0000",IF(AND(ISNUMBER(Sync!$V356),Sync!$V356&gt;=0,Sync!$V356&lt;1),RIGHT("00"&amp;HOUR(Sync!$V356),2)&amp;RIGHT("00"&amp;MINUTE(Sync!$V356),2),IFERROR(RIGHT("00"&amp;VALUE(LEFT(Sync!$V356,FIND(":",Sync!$V356)-1)),2)&amp;RIGHT("00"&amp;VALUE(MID(Sync!$V356,FIND(":",Sync!$V356)+1,2)),2),"0000"))))</f>
        <v/>
      </c>
    </row>
    <row r="360">
      <c r="A360">
        <f>IF(Sync!$U357="","",Sync!$U357)</f>
        <v/>
      </c>
      <c r="B360">
        <f>IF($A360="","",IF(ISNUMBER($A360),IF(AND($A360&gt;=10000101,$A360&lt;=99991231),INT($A360/10000),""),IFERROR(VALUE(TRIM(LEFT($A360,FIND("/",$A360)-1))),"")))</f>
        <v/>
      </c>
      <c r="C360">
        <f>IF(OR($A360="",$B360=""),"",IF(ISNUMBER($A360),INT(MOD($A360,10000)/100),IFERROR(VALUE(TRIM(LEFT(MID($A360,FIND("/",$A360)+1,20),FIND("/",MID($A360,FIND("/",$A360)+1,20))-1))),"")))</f>
        <v/>
      </c>
      <c r="D360">
        <f>IF(OR($A360="",$B360=""),"",IF(ISNUMBER($A360),MOD($A360,100),IFERROR(VALUE(TRIM(MID(MID($A360,FIND("/",$A360)+1,20),FIND("/",MID($A360,FIND("/",$A360)+1,20))+1,20))),"")))</f>
        <v/>
      </c>
      <c r="E360">
        <f>IF($A360="","",IF(OR($B360="",$C360="",$D360="",$B360&lt;1300,$B360&gt;1500,$C360&lt;1,$C360&gt;12,$D360&lt;1,$D360&gt;31),"نامعتبر",RIGHT("0000"&amp;$B360,4)&amp;"/"&amp;RIGHT("00"&amp;$C360,2)&amp;"/"&amp;RIGHT("00"&amp;$D360,2)))</f>
        <v/>
      </c>
      <c r="F360">
        <f>IF(OR($E360="",$E360="نامعتبر"),"",LEFT($E360,4)&amp;"/"&amp;MID($E360,6,2))</f>
        <v/>
      </c>
      <c r="G360">
        <f>IF(OR($E360="",$E360="نامعتبر",Sync!$Y357=""),"",Sync!$Y357)</f>
        <v/>
      </c>
      <c r="H360">
        <f>IF($G360="","",IF(Sync!$X357="","",Sync!$X357))</f>
        <v/>
      </c>
      <c r="I360">
        <f>IF($G360="","",IFERROR(VLOOKUP(Sync!$X357,OpTbl,3,0),""))</f>
        <v/>
      </c>
      <c r="J360">
        <f>IF(OR($G360="",Sync!$Z357=""),"",Sync!$Z357)</f>
        <v/>
      </c>
      <c r="K360">
        <f>IF(OR($G360="",Sync!$AA357=""),"",Sync!$AA357)</f>
        <v/>
      </c>
      <c r="L360">
        <f>IF($G360="",0,IF(Sync!$AB357="",0,Sync!$AB357))</f>
        <v/>
      </c>
      <c r="M360">
        <f>IF($G360="",0,IF(Sync!$AC357="",0,Sync!$AC357))</f>
        <v/>
      </c>
      <c r="N360">
        <f>IF($G360="","",IF($H360="مرجوعی خرید",-1,1)*($L360-$M360*IFERROR(VLOOKUP("P01",ParamTbl,3,0),1.5))*(1-IF($I360="خرید",IFERROR(VLOOKUP("P02",ParamTbl,3,0),1),0)/100))</f>
        <v/>
      </c>
      <c r="O360">
        <f>IF($G360="",0,IF($H360="مرجوعی خرید",-1,1)*IF(Sync!$AD357="",0,Sync!$AD357))</f>
        <v/>
      </c>
      <c r="P360">
        <f>IF(OR($G360="",Sync!$W357=""),"",Sync!$W357)</f>
        <v/>
      </c>
      <c r="Q360">
        <f>IF(OR($G360="",Sync!$AE357=""),"",Sync!$AE357)</f>
        <v/>
      </c>
      <c r="R360">
        <f>IF($G360="","",IF(Sync!$V357="","0000",IF(AND(ISNUMBER(Sync!$V357),Sync!$V357&gt;=0,Sync!$V357&lt;1),RIGHT("00"&amp;HOUR(Sync!$V357),2)&amp;RIGHT("00"&amp;MINUTE(Sync!$V357),2),IFERROR(RIGHT("00"&amp;VALUE(LEFT(Sync!$V357,FIND(":",Sync!$V357)-1)),2)&amp;RIGHT("00"&amp;VALUE(MID(Sync!$V357,FIND(":",Sync!$V357)+1,2)),2),"0000"))))</f>
        <v/>
      </c>
    </row>
    <row r="361">
      <c r="A361">
        <f>IF(Sync!$U358="","",Sync!$U358)</f>
        <v/>
      </c>
      <c r="B361">
        <f>IF($A361="","",IF(ISNUMBER($A361),IF(AND($A361&gt;=10000101,$A361&lt;=99991231),INT($A361/10000),""),IFERROR(VALUE(TRIM(LEFT($A361,FIND("/",$A361)-1))),"")))</f>
        <v/>
      </c>
      <c r="C361">
        <f>IF(OR($A361="",$B361=""),"",IF(ISNUMBER($A361),INT(MOD($A361,10000)/100),IFERROR(VALUE(TRIM(LEFT(MID($A361,FIND("/",$A361)+1,20),FIND("/",MID($A361,FIND("/",$A361)+1,20))-1))),"")))</f>
        <v/>
      </c>
      <c r="D361">
        <f>IF(OR($A361="",$B361=""),"",IF(ISNUMBER($A361),MOD($A361,100),IFERROR(VALUE(TRIM(MID(MID($A361,FIND("/",$A361)+1,20),FIND("/",MID($A361,FIND("/",$A361)+1,20))+1,20))),"")))</f>
        <v/>
      </c>
      <c r="E361">
        <f>IF($A361="","",IF(OR($B361="",$C361="",$D361="",$B361&lt;1300,$B361&gt;1500,$C361&lt;1,$C361&gt;12,$D361&lt;1,$D361&gt;31),"نامعتبر",RIGHT("0000"&amp;$B361,4)&amp;"/"&amp;RIGHT("00"&amp;$C361,2)&amp;"/"&amp;RIGHT("00"&amp;$D361,2)))</f>
        <v/>
      </c>
      <c r="F361">
        <f>IF(OR($E361="",$E361="نامعتبر"),"",LEFT($E361,4)&amp;"/"&amp;MID($E361,6,2))</f>
        <v/>
      </c>
      <c r="G361">
        <f>IF(OR($E361="",$E361="نامعتبر",Sync!$Y358=""),"",Sync!$Y358)</f>
        <v/>
      </c>
      <c r="H361">
        <f>IF($G361="","",IF(Sync!$X358="","",Sync!$X358))</f>
        <v/>
      </c>
      <c r="I361">
        <f>IF($G361="","",IFERROR(VLOOKUP(Sync!$X358,OpTbl,3,0),""))</f>
        <v/>
      </c>
      <c r="J361">
        <f>IF(OR($G361="",Sync!$Z358=""),"",Sync!$Z358)</f>
        <v/>
      </c>
      <c r="K361">
        <f>IF(OR($G361="",Sync!$AA358=""),"",Sync!$AA358)</f>
        <v/>
      </c>
      <c r="L361">
        <f>IF($G361="",0,IF(Sync!$AB358="",0,Sync!$AB358))</f>
        <v/>
      </c>
      <c r="M361">
        <f>IF($G361="",0,IF(Sync!$AC358="",0,Sync!$AC358))</f>
        <v/>
      </c>
      <c r="N361">
        <f>IF($G361="","",IF($H361="مرجوعی خرید",-1,1)*($L361-$M361*IFERROR(VLOOKUP("P01",ParamTbl,3,0),1.5))*(1-IF($I361="خرید",IFERROR(VLOOKUP("P02",ParamTbl,3,0),1),0)/100))</f>
        <v/>
      </c>
      <c r="O361">
        <f>IF($G361="",0,IF($H361="مرجوعی خرید",-1,1)*IF(Sync!$AD358="",0,Sync!$AD358))</f>
        <v/>
      </c>
      <c r="P361">
        <f>IF(OR($G361="",Sync!$W358=""),"",Sync!$W358)</f>
        <v/>
      </c>
      <c r="Q361">
        <f>IF(OR($G361="",Sync!$AE358=""),"",Sync!$AE358)</f>
        <v/>
      </c>
      <c r="R361">
        <f>IF($G361="","",IF(Sync!$V358="","0000",IF(AND(ISNUMBER(Sync!$V358),Sync!$V358&gt;=0,Sync!$V358&lt;1),RIGHT("00"&amp;HOUR(Sync!$V358),2)&amp;RIGHT("00"&amp;MINUTE(Sync!$V358),2),IFERROR(RIGHT("00"&amp;VALUE(LEFT(Sync!$V358,FIND(":",Sync!$V358)-1)),2)&amp;RIGHT("00"&amp;VALUE(MID(Sync!$V358,FIND(":",Sync!$V358)+1,2)),2),"0000"))))</f>
        <v/>
      </c>
    </row>
    <row r="362">
      <c r="A362">
        <f>IF(Sync!$U359="","",Sync!$U359)</f>
        <v/>
      </c>
      <c r="B362">
        <f>IF($A362="","",IF(ISNUMBER($A362),IF(AND($A362&gt;=10000101,$A362&lt;=99991231),INT($A362/10000),""),IFERROR(VALUE(TRIM(LEFT($A362,FIND("/",$A362)-1))),"")))</f>
        <v/>
      </c>
      <c r="C362">
        <f>IF(OR($A362="",$B362=""),"",IF(ISNUMBER($A362),INT(MOD($A362,10000)/100),IFERROR(VALUE(TRIM(LEFT(MID($A362,FIND("/",$A362)+1,20),FIND("/",MID($A362,FIND("/",$A362)+1,20))-1))),"")))</f>
        <v/>
      </c>
      <c r="D362">
        <f>IF(OR($A362="",$B362=""),"",IF(ISNUMBER($A362),MOD($A362,100),IFERROR(VALUE(TRIM(MID(MID($A362,FIND("/",$A362)+1,20),FIND("/",MID($A362,FIND("/",$A362)+1,20))+1,20))),"")))</f>
        <v/>
      </c>
      <c r="E362">
        <f>IF($A362="","",IF(OR($B362="",$C362="",$D362="",$B362&lt;1300,$B362&gt;1500,$C362&lt;1,$C362&gt;12,$D362&lt;1,$D362&gt;31),"نامعتبر",RIGHT("0000"&amp;$B362,4)&amp;"/"&amp;RIGHT("00"&amp;$C362,2)&amp;"/"&amp;RIGHT("00"&amp;$D362,2)))</f>
        <v/>
      </c>
      <c r="F362">
        <f>IF(OR($E362="",$E362="نامعتبر"),"",LEFT($E362,4)&amp;"/"&amp;MID($E362,6,2))</f>
        <v/>
      </c>
      <c r="G362">
        <f>IF(OR($E362="",$E362="نامعتبر",Sync!$Y359=""),"",Sync!$Y359)</f>
        <v/>
      </c>
      <c r="H362">
        <f>IF($G362="","",IF(Sync!$X359="","",Sync!$X359))</f>
        <v/>
      </c>
      <c r="I362">
        <f>IF($G362="","",IFERROR(VLOOKUP(Sync!$X359,OpTbl,3,0),""))</f>
        <v/>
      </c>
      <c r="J362">
        <f>IF(OR($G362="",Sync!$Z359=""),"",Sync!$Z359)</f>
        <v/>
      </c>
      <c r="K362">
        <f>IF(OR($G362="",Sync!$AA359=""),"",Sync!$AA359)</f>
        <v/>
      </c>
      <c r="L362">
        <f>IF($G362="",0,IF(Sync!$AB359="",0,Sync!$AB359))</f>
        <v/>
      </c>
      <c r="M362">
        <f>IF($G362="",0,IF(Sync!$AC359="",0,Sync!$AC359))</f>
        <v/>
      </c>
      <c r="N362">
        <f>IF($G362="","",IF($H362="مرجوعی خرید",-1,1)*($L362-$M362*IFERROR(VLOOKUP("P01",ParamTbl,3,0),1.5))*(1-IF($I362="خرید",IFERROR(VLOOKUP("P02",ParamTbl,3,0),1),0)/100))</f>
        <v/>
      </c>
      <c r="O362">
        <f>IF($G362="",0,IF($H362="مرجوعی خرید",-1,1)*IF(Sync!$AD359="",0,Sync!$AD359))</f>
        <v/>
      </c>
      <c r="P362">
        <f>IF(OR($G362="",Sync!$W359=""),"",Sync!$W359)</f>
        <v/>
      </c>
      <c r="Q362">
        <f>IF(OR($G362="",Sync!$AE359=""),"",Sync!$AE359)</f>
        <v/>
      </c>
      <c r="R362">
        <f>IF($G362="","",IF(Sync!$V359="","0000",IF(AND(ISNUMBER(Sync!$V359),Sync!$V359&gt;=0,Sync!$V359&lt;1),RIGHT("00"&amp;HOUR(Sync!$V359),2)&amp;RIGHT("00"&amp;MINUTE(Sync!$V359),2),IFERROR(RIGHT("00"&amp;VALUE(LEFT(Sync!$V359,FIND(":",Sync!$V359)-1)),2)&amp;RIGHT("00"&amp;VALUE(MID(Sync!$V359,FIND(":",Sync!$V359)+1,2)),2),"0000"))))</f>
        <v/>
      </c>
    </row>
    <row r="363">
      <c r="A363">
        <f>IF(Sync!$U360="","",Sync!$U360)</f>
        <v/>
      </c>
      <c r="B363">
        <f>IF($A363="","",IF(ISNUMBER($A363),IF(AND($A363&gt;=10000101,$A363&lt;=99991231),INT($A363/10000),""),IFERROR(VALUE(TRIM(LEFT($A363,FIND("/",$A363)-1))),"")))</f>
        <v/>
      </c>
      <c r="C363">
        <f>IF(OR($A363="",$B363=""),"",IF(ISNUMBER($A363),INT(MOD($A363,10000)/100),IFERROR(VALUE(TRIM(LEFT(MID($A363,FIND("/",$A363)+1,20),FIND("/",MID($A363,FIND("/",$A363)+1,20))-1))),"")))</f>
        <v/>
      </c>
      <c r="D363">
        <f>IF(OR($A363="",$B363=""),"",IF(ISNUMBER($A363),MOD($A363,100),IFERROR(VALUE(TRIM(MID(MID($A363,FIND("/",$A363)+1,20),FIND("/",MID($A363,FIND("/",$A363)+1,20))+1,20))),"")))</f>
        <v/>
      </c>
      <c r="E363">
        <f>IF($A363="","",IF(OR($B363="",$C363="",$D363="",$B363&lt;1300,$B363&gt;1500,$C363&lt;1,$C363&gt;12,$D363&lt;1,$D363&gt;31),"نامعتبر",RIGHT("0000"&amp;$B363,4)&amp;"/"&amp;RIGHT("00"&amp;$C363,2)&amp;"/"&amp;RIGHT("00"&amp;$D363,2)))</f>
        <v/>
      </c>
      <c r="F363">
        <f>IF(OR($E363="",$E363="نامعتبر"),"",LEFT($E363,4)&amp;"/"&amp;MID($E363,6,2))</f>
        <v/>
      </c>
      <c r="G363">
        <f>IF(OR($E363="",$E363="نامعتبر",Sync!$Y360=""),"",Sync!$Y360)</f>
        <v/>
      </c>
      <c r="H363">
        <f>IF($G363="","",IF(Sync!$X360="","",Sync!$X360))</f>
        <v/>
      </c>
      <c r="I363">
        <f>IF($G363="","",IFERROR(VLOOKUP(Sync!$X360,OpTbl,3,0),""))</f>
        <v/>
      </c>
      <c r="J363">
        <f>IF(OR($G363="",Sync!$Z360=""),"",Sync!$Z360)</f>
        <v/>
      </c>
      <c r="K363">
        <f>IF(OR($G363="",Sync!$AA360=""),"",Sync!$AA360)</f>
        <v/>
      </c>
      <c r="L363">
        <f>IF($G363="",0,IF(Sync!$AB360="",0,Sync!$AB360))</f>
        <v/>
      </c>
      <c r="M363">
        <f>IF($G363="",0,IF(Sync!$AC360="",0,Sync!$AC360))</f>
        <v/>
      </c>
      <c r="N363">
        <f>IF($G363="","",IF($H363="مرجوعی خرید",-1,1)*($L363-$M363*IFERROR(VLOOKUP("P01",ParamTbl,3,0),1.5))*(1-IF($I363="خرید",IFERROR(VLOOKUP("P02",ParamTbl,3,0),1),0)/100))</f>
        <v/>
      </c>
      <c r="O363">
        <f>IF($G363="",0,IF($H363="مرجوعی خرید",-1,1)*IF(Sync!$AD360="",0,Sync!$AD360))</f>
        <v/>
      </c>
      <c r="P363">
        <f>IF(OR($G363="",Sync!$W360=""),"",Sync!$W360)</f>
        <v/>
      </c>
      <c r="Q363">
        <f>IF(OR($G363="",Sync!$AE360=""),"",Sync!$AE360)</f>
        <v/>
      </c>
      <c r="R363">
        <f>IF($G363="","",IF(Sync!$V360="","0000",IF(AND(ISNUMBER(Sync!$V360),Sync!$V360&gt;=0,Sync!$V360&lt;1),RIGHT("00"&amp;HOUR(Sync!$V360),2)&amp;RIGHT("00"&amp;MINUTE(Sync!$V360),2),IFERROR(RIGHT("00"&amp;VALUE(LEFT(Sync!$V360,FIND(":",Sync!$V360)-1)),2)&amp;RIGHT("00"&amp;VALUE(MID(Sync!$V360,FIND(":",Sync!$V360)+1,2)),2),"0000"))))</f>
        <v/>
      </c>
    </row>
    <row r="364">
      <c r="A364">
        <f>IF(Sync!$U361="","",Sync!$U361)</f>
        <v/>
      </c>
      <c r="B364">
        <f>IF($A364="","",IF(ISNUMBER($A364),IF(AND($A364&gt;=10000101,$A364&lt;=99991231),INT($A364/10000),""),IFERROR(VALUE(TRIM(LEFT($A364,FIND("/",$A364)-1))),"")))</f>
        <v/>
      </c>
      <c r="C364">
        <f>IF(OR($A364="",$B364=""),"",IF(ISNUMBER($A364),INT(MOD($A364,10000)/100),IFERROR(VALUE(TRIM(LEFT(MID($A364,FIND("/",$A364)+1,20),FIND("/",MID($A364,FIND("/",$A364)+1,20))-1))),"")))</f>
        <v/>
      </c>
      <c r="D364">
        <f>IF(OR($A364="",$B364=""),"",IF(ISNUMBER($A364),MOD($A364,100),IFERROR(VALUE(TRIM(MID(MID($A364,FIND("/",$A364)+1,20),FIND("/",MID($A364,FIND("/",$A364)+1,20))+1,20))),"")))</f>
        <v/>
      </c>
      <c r="E364">
        <f>IF($A364="","",IF(OR($B364="",$C364="",$D364="",$B364&lt;1300,$B364&gt;1500,$C364&lt;1,$C364&gt;12,$D364&lt;1,$D364&gt;31),"نامعتبر",RIGHT("0000"&amp;$B364,4)&amp;"/"&amp;RIGHT("00"&amp;$C364,2)&amp;"/"&amp;RIGHT("00"&amp;$D364,2)))</f>
        <v/>
      </c>
      <c r="F364">
        <f>IF(OR($E364="",$E364="نامعتبر"),"",LEFT($E364,4)&amp;"/"&amp;MID($E364,6,2))</f>
        <v/>
      </c>
      <c r="G364">
        <f>IF(OR($E364="",$E364="نامعتبر",Sync!$Y361=""),"",Sync!$Y361)</f>
        <v/>
      </c>
      <c r="H364">
        <f>IF($G364="","",IF(Sync!$X361="","",Sync!$X361))</f>
        <v/>
      </c>
      <c r="I364">
        <f>IF($G364="","",IFERROR(VLOOKUP(Sync!$X361,OpTbl,3,0),""))</f>
        <v/>
      </c>
      <c r="J364">
        <f>IF(OR($G364="",Sync!$Z361=""),"",Sync!$Z361)</f>
        <v/>
      </c>
      <c r="K364">
        <f>IF(OR($G364="",Sync!$AA361=""),"",Sync!$AA361)</f>
        <v/>
      </c>
      <c r="L364">
        <f>IF($G364="",0,IF(Sync!$AB361="",0,Sync!$AB361))</f>
        <v/>
      </c>
      <c r="M364">
        <f>IF($G364="",0,IF(Sync!$AC361="",0,Sync!$AC361))</f>
        <v/>
      </c>
      <c r="N364">
        <f>IF($G364="","",IF($H364="مرجوعی خرید",-1,1)*($L364-$M364*IFERROR(VLOOKUP("P01",ParamTbl,3,0),1.5))*(1-IF($I364="خرید",IFERROR(VLOOKUP("P02",ParamTbl,3,0),1),0)/100))</f>
        <v/>
      </c>
      <c r="O364">
        <f>IF($G364="",0,IF($H364="مرجوعی خرید",-1,1)*IF(Sync!$AD361="",0,Sync!$AD361))</f>
        <v/>
      </c>
      <c r="P364">
        <f>IF(OR($G364="",Sync!$W361=""),"",Sync!$W361)</f>
        <v/>
      </c>
      <c r="Q364">
        <f>IF(OR($G364="",Sync!$AE361=""),"",Sync!$AE361)</f>
        <v/>
      </c>
      <c r="R364">
        <f>IF($G364="","",IF(Sync!$V361="","0000",IF(AND(ISNUMBER(Sync!$V361),Sync!$V361&gt;=0,Sync!$V361&lt;1),RIGHT("00"&amp;HOUR(Sync!$V361),2)&amp;RIGHT("00"&amp;MINUTE(Sync!$V361),2),IFERROR(RIGHT("00"&amp;VALUE(LEFT(Sync!$V361,FIND(":",Sync!$V361)-1)),2)&amp;RIGHT("00"&amp;VALUE(MID(Sync!$V361,FIND(":",Sync!$V361)+1,2)),2),"0000"))))</f>
        <v/>
      </c>
    </row>
    <row r="365">
      <c r="A365">
        <f>IF(Sync!$U362="","",Sync!$U362)</f>
        <v/>
      </c>
      <c r="B365">
        <f>IF($A365="","",IF(ISNUMBER($A365),IF(AND($A365&gt;=10000101,$A365&lt;=99991231),INT($A365/10000),""),IFERROR(VALUE(TRIM(LEFT($A365,FIND("/",$A365)-1))),"")))</f>
        <v/>
      </c>
      <c r="C365">
        <f>IF(OR($A365="",$B365=""),"",IF(ISNUMBER($A365),INT(MOD($A365,10000)/100),IFERROR(VALUE(TRIM(LEFT(MID($A365,FIND("/",$A365)+1,20),FIND("/",MID($A365,FIND("/",$A365)+1,20))-1))),"")))</f>
        <v/>
      </c>
      <c r="D365">
        <f>IF(OR($A365="",$B365=""),"",IF(ISNUMBER($A365),MOD($A365,100),IFERROR(VALUE(TRIM(MID(MID($A365,FIND("/",$A365)+1,20),FIND("/",MID($A365,FIND("/",$A365)+1,20))+1,20))),"")))</f>
        <v/>
      </c>
      <c r="E365">
        <f>IF($A365="","",IF(OR($B365="",$C365="",$D365="",$B365&lt;1300,$B365&gt;1500,$C365&lt;1,$C365&gt;12,$D365&lt;1,$D365&gt;31),"نامعتبر",RIGHT("0000"&amp;$B365,4)&amp;"/"&amp;RIGHT("00"&amp;$C365,2)&amp;"/"&amp;RIGHT("00"&amp;$D365,2)))</f>
        <v/>
      </c>
      <c r="F365">
        <f>IF(OR($E365="",$E365="نامعتبر"),"",LEFT($E365,4)&amp;"/"&amp;MID($E365,6,2))</f>
        <v/>
      </c>
      <c r="G365">
        <f>IF(OR($E365="",$E365="نامعتبر",Sync!$Y362=""),"",Sync!$Y362)</f>
        <v/>
      </c>
      <c r="H365">
        <f>IF($G365="","",IF(Sync!$X362="","",Sync!$X362))</f>
        <v/>
      </c>
      <c r="I365">
        <f>IF($G365="","",IFERROR(VLOOKUP(Sync!$X362,OpTbl,3,0),""))</f>
        <v/>
      </c>
      <c r="J365">
        <f>IF(OR($G365="",Sync!$Z362=""),"",Sync!$Z362)</f>
        <v/>
      </c>
      <c r="K365">
        <f>IF(OR($G365="",Sync!$AA362=""),"",Sync!$AA362)</f>
        <v/>
      </c>
      <c r="L365">
        <f>IF($G365="",0,IF(Sync!$AB362="",0,Sync!$AB362))</f>
        <v/>
      </c>
      <c r="M365">
        <f>IF($G365="",0,IF(Sync!$AC362="",0,Sync!$AC362))</f>
        <v/>
      </c>
      <c r="N365">
        <f>IF($G365="","",IF($H365="مرجوعی خرید",-1,1)*($L365-$M365*IFERROR(VLOOKUP("P01",ParamTbl,3,0),1.5))*(1-IF($I365="خرید",IFERROR(VLOOKUP("P02",ParamTbl,3,0),1),0)/100))</f>
        <v/>
      </c>
      <c r="O365">
        <f>IF($G365="",0,IF($H365="مرجوعی خرید",-1,1)*IF(Sync!$AD362="",0,Sync!$AD362))</f>
        <v/>
      </c>
      <c r="P365">
        <f>IF(OR($G365="",Sync!$W362=""),"",Sync!$W362)</f>
        <v/>
      </c>
      <c r="Q365">
        <f>IF(OR($G365="",Sync!$AE362=""),"",Sync!$AE362)</f>
        <v/>
      </c>
      <c r="R365">
        <f>IF($G365="","",IF(Sync!$V362="","0000",IF(AND(ISNUMBER(Sync!$V362),Sync!$V362&gt;=0,Sync!$V362&lt;1),RIGHT("00"&amp;HOUR(Sync!$V362),2)&amp;RIGHT("00"&amp;MINUTE(Sync!$V362),2),IFERROR(RIGHT("00"&amp;VALUE(LEFT(Sync!$V362,FIND(":",Sync!$V362)-1)),2)&amp;RIGHT("00"&amp;VALUE(MID(Sync!$V362,FIND(":",Sync!$V362)+1,2)),2),"0000"))))</f>
        <v/>
      </c>
    </row>
    <row r="366">
      <c r="A366">
        <f>IF(Sync!$U363="","",Sync!$U363)</f>
        <v/>
      </c>
      <c r="B366">
        <f>IF($A366="","",IF(ISNUMBER($A366),IF(AND($A366&gt;=10000101,$A366&lt;=99991231),INT($A366/10000),""),IFERROR(VALUE(TRIM(LEFT($A366,FIND("/",$A366)-1))),"")))</f>
        <v/>
      </c>
      <c r="C366">
        <f>IF(OR($A366="",$B366=""),"",IF(ISNUMBER($A366),INT(MOD($A366,10000)/100),IFERROR(VALUE(TRIM(LEFT(MID($A366,FIND("/",$A366)+1,20),FIND("/",MID($A366,FIND("/",$A366)+1,20))-1))),"")))</f>
        <v/>
      </c>
      <c r="D366">
        <f>IF(OR($A366="",$B366=""),"",IF(ISNUMBER($A366),MOD($A366,100),IFERROR(VALUE(TRIM(MID(MID($A366,FIND("/",$A366)+1,20),FIND("/",MID($A366,FIND("/",$A366)+1,20))+1,20))),"")))</f>
        <v/>
      </c>
      <c r="E366">
        <f>IF($A366="","",IF(OR($B366="",$C366="",$D366="",$B366&lt;1300,$B366&gt;1500,$C366&lt;1,$C366&gt;12,$D366&lt;1,$D366&gt;31),"نامعتبر",RIGHT("0000"&amp;$B366,4)&amp;"/"&amp;RIGHT("00"&amp;$C366,2)&amp;"/"&amp;RIGHT("00"&amp;$D366,2)))</f>
        <v/>
      </c>
      <c r="F366">
        <f>IF(OR($E366="",$E366="نامعتبر"),"",LEFT($E366,4)&amp;"/"&amp;MID($E366,6,2))</f>
        <v/>
      </c>
      <c r="G366">
        <f>IF(OR($E366="",$E366="نامعتبر",Sync!$Y363=""),"",Sync!$Y363)</f>
        <v/>
      </c>
      <c r="H366">
        <f>IF($G366="","",IF(Sync!$X363="","",Sync!$X363))</f>
        <v/>
      </c>
      <c r="I366">
        <f>IF($G366="","",IFERROR(VLOOKUP(Sync!$X363,OpTbl,3,0),""))</f>
        <v/>
      </c>
      <c r="J366">
        <f>IF(OR($G366="",Sync!$Z363=""),"",Sync!$Z363)</f>
        <v/>
      </c>
      <c r="K366">
        <f>IF(OR($G366="",Sync!$AA363=""),"",Sync!$AA363)</f>
        <v/>
      </c>
      <c r="L366">
        <f>IF($G366="",0,IF(Sync!$AB363="",0,Sync!$AB363))</f>
        <v/>
      </c>
      <c r="M366">
        <f>IF($G366="",0,IF(Sync!$AC363="",0,Sync!$AC363))</f>
        <v/>
      </c>
      <c r="N366">
        <f>IF($G366="","",IF($H366="مرجوعی خرید",-1,1)*($L366-$M366*IFERROR(VLOOKUP("P01",ParamTbl,3,0),1.5))*(1-IF($I366="خرید",IFERROR(VLOOKUP("P02",ParamTbl,3,0),1),0)/100))</f>
        <v/>
      </c>
      <c r="O366">
        <f>IF($G366="",0,IF($H366="مرجوعی خرید",-1,1)*IF(Sync!$AD363="",0,Sync!$AD363))</f>
        <v/>
      </c>
      <c r="P366">
        <f>IF(OR($G366="",Sync!$W363=""),"",Sync!$W363)</f>
        <v/>
      </c>
      <c r="Q366">
        <f>IF(OR($G366="",Sync!$AE363=""),"",Sync!$AE363)</f>
        <v/>
      </c>
      <c r="R366">
        <f>IF($G366="","",IF(Sync!$V363="","0000",IF(AND(ISNUMBER(Sync!$V363),Sync!$V363&gt;=0,Sync!$V363&lt;1),RIGHT("00"&amp;HOUR(Sync!$V363),2)&amp;RIGHT("00"&amp;MINUTE(Sync!$V363),2),IFERROR(RIGHT("00"&amp;VALUE(LEFT(Sync!$V363,FIND(":",Sync!$V363)-1)),2)&amp;RIGHT("00"&amp;VALUE(MID(Sync!$V363,FIND(":",Sync!$V363)+1,2)),2),"0000"))))</f>
        <v/>
      </c>
    </row>
    <row r="367">
      <c r="A367">
        <f>IF(Sync!$U364="","",Sync!$U364)</f>
        <v/>
      </c>
      <c r="B367">
        <f>IF($A367="","",IF(ISNUMBER($A367),IF(AND($A367&gt;=10000101,$A367&lt;=99991231),INT($A367/10000),""),IFERROR(VALUE(TRIM(LEFT($A367,FIND("/",$A367)-1))),"")))</f>
        <v/>
      </c>
      <c r="C367">
        <f>IF(OR($A367="",$B367=""),"",IF(ISNUMBER($A367),INT(MOD($A367,10000)/100),IFERROR(VALUE(TRIM(LEFT(MID($A367,FIND("/",$A367)+1,20),FIND("/",MID($A367,FIND("/",$A367)+1,20))-1))),"")))</f>
        <v/>
      </c>
      <c r="D367">
        <f>IF(OR($A367="",$B367=""),"",IF(ISNUMBER($A367),MOD($A367,100),IFERROR(VALUE(TRIM(MID(MID($A367,FIND("/",$A367)+1,20),FIND("/",MID($A367,FIND("/",$A367)+1,20))+1,20))),"")))</f>
        <v/>
      </c>
      <c r="E367">
        <f>IF($A367="","",IF(OR($B367="",$C367="",$D367="",$B367&lt;1300,$B367&gt;1500,$C367&lt;1,$C367&gt;12,$D367&lt;1,$D367&gt;31),"نامعتبر",RIGHT("0000"&amp;$B367,4)&amp;"/"&amp;RIGHT("00"&amp;$C367,2)&amp;"/"&amp;RIGHT("00"&amp;$D367,2)))</f>
        <v/>
      </c>
      <c r="F367">
        <f>IF(OR($E367="",$E367="نامعتبر"),"",LEFT($E367,4)&amp;"/"&amp;MID($E367,6,2))</f>
        <v/>
      </c>
      <c r="G367">
        <f>IF(OR($E367="",$E367="نامعتبر",Sync!$Y364=""),"",Sync!$Y364)</f>
        <v/>
      </c>
      <c r="H367">
        <f>IF($G367="","",IF(Sync!$X364="","",Sync!$X364))</f>
        <v/>
      </c>
      <c r="I367">
        <f>IF($G367="","",IFERROR(VLOOKUP(Sync!$X364,OpTbl,3,0),""))</f>
        <v/>
      </c>
      <c r="J367">
        <f>IF(OR($G367="",Sync!$Z364=""),"",Sync!$Z364)</f>
        <v/>
      </c>
      <c r="K367">
        <f>IF(OR($G367="",Sync!$AA364=""),"",Sync!$AA364)</f>
        <v/>
      </c>
      <c r="L367">
        <f>IF($G367="",0,IF(Sync!$AB364="",0,Sync!$AB364))</f>
        <v/>
      </c>
      <c r="M367">
        <f>IF($G367="",0,IF(Sync!$AC364="",0,Sync!$AC364))</f>
        <v/>
      </c>
      <c r="N367">
        <f>IF($G367="","",IF($H367="مرجوعی خرید",-1,1)*($L367-$M367*IFERROR(VLOOKUP("P01",ParamTbl,3,0),1.5))*(1-IF($I367="خرید",IFERROR(VLOOKUP("P02",ParamTbl,3,0),1),0)/100))</f>
        <v/>
      </c>
      <c r="O367">
        <f>IF($G367="",0,IF($H367="مرجوعی خرید",-1,1)*IF(Sync!$AD364="",0,Sync!$AD364))</f>
        <v/>
      </c>
      <c r="P367">
        <f>IF(OR($G367="",Sync!$W364=""),"",Sync!$W364)</f>
        <v/>
      </c>
      <c r="Q367">
        <f>IF(OR($G367="",Sync!$AE364=""),"",Sync!$AE364)</f>
        <v/>
      </c>
      <c r="R367">
        <f>IF($G367="","",IF(Sync!$V364="","0000",IF(AND(ISNUMBER(Sync!$V364),Sync!$V364&gt;=0,Sync!$V364&lt;1),RIGHT("00"&amp;HOUR(Sync!$V364),2)&amp;RIGHT("00"&amp;MINUTE(Sync!$V364),2),IFERROR(RIGHT("00"&amp;VALUE(LEFT(Sync!$V364,FIND(":",Sync!$V364)-1)),2)&amp;RIGHT("00"&amp;VALUE(MID(Sync!$V364,FIND(":",Sync!$V364)+1,2)),2),"0000"))))</f>
        <v/>
      </c>
    </row>
    <row r="368">
      <c r="A368">
        <f>IF(Sync!$U365="","",Sync!$U365)</f>
        <v/>
      </c>
      <c r="B368">
        <f>IF($A368="","",IF(ISNUMBER($A368),IF(AND($A368&gt;=10000101,$A368&lt;=99991231),INT($A368/10000),""),IFERROR(VALUE(TRIM(LEFT($A368,FIND("/",$A368)-1))),"")))</f>
        <v/>
      </c>
      <c r="C368">
        <f>IF(OR($A368="",$B368=""),"",IF(ISNUMBER($A368),INT(MOD($A368,10000)/100),IFERROR(VALUE(TRIM(LEFT(MID($A368,FIND("/",$A368)+1,20),FIND("/",MID($A368,FIND("/",$A368)+1,20))-1))),"")))</f>
        <v/>
      </c>
      <c r="D368">
        <f>IF(OR($A368="",$B368=""),"",IF(ISNUMBER($A368),MOD($A368,100),IFERROR(VALUE(TRIM(MID(MID($A368,FIND("/",$A368)+1,20),FIND("/",MID($A368,FIND("/",$A368)+1,20))+1,20))),"")))</f>
        <v/>
      </c>
      <c r="E368">
        <f>IF($A368="","",IF(OR($B368="",$C368="",$D368="",$B368&lt;1300,$B368&gt;1500,$C368&lt;1,$C368&gt;12,$D368&lt;1,$D368&gt;31),"نامعتبر",RIGHT("0000"&amp;$B368,4)&amp;"/"&amp;RIGHT("00"&amp;$C368,2)&amp;"/"&amp;RIGHT("00"&amp;$D368,2)))</f>
        <v/>
      </c>
      <c r="F368">
        <f>IF(OR($E368="",$E368="نامعتبر"),"",LEFT($E368,4)&amp;"/"&amp;MID($E368,6,2))</f>
        <v/>
      </c>
      <c r="G368">
        <f>IF(OR($E368="",$E368="نامعتبر",Sync!$Y365=""),"",Sync!$Y365)</f>
        <v/>
      </c>
      <c r="H368">
        <f>IF($G368="","",IF(Sync!$X365="","",Sync!$X365))</f>
        <v/>
      </c>
      <c r="I368">
        <f>IF($G368="","",IFERROR(VLOOKUP(Sync!$X365,OpTbl,3,0),""))</f>
        <v/>
      </c>
      <c r="J368">
        <f>IF(OR($G368="",Sync!$Z365=""),"",Sync!$Z365)</f>
        <v/>
      </c>
      <c r="K368">
        <f>IF(OR($G368="",Sync!$AA365=""),"",Sync!$AA365)</f>
        <v/>
      </c>
      <c r="L368">
        <f>IF($G368="",0,IF(Sync!$AB365="",0,Sync!$AB365))</f>
        <v/>
      </c>
      <c r="M368">
        <f>IF($G368="",0,IF(Sync!$AC365="",0,Sync!$AC365))</f>
        <v/>
      </c>
      <c r="N368">
        <f>IF($G368="","",IF($H368="مرجوعی خرید",-1,1)*($L368-$M368*IFERROR(VLOOKUP("P01",ParamTbl,3,0),1.5))*(1-IF($I368="خرید",IFERROR(VLOOKUP("P02",ParamTbl,3,0),1),0)/100))</f>
        <v/>
      </c>
      <c r="O368">
        <f>IF($G368="",0,IF($H368="مرجوعی خرید",-1,1)*IF(Sync!$AD365="",0,Sync!$AD365))</f>
        <v/>
      </c>
      <c r="P368">
        <f>IF(OR($G368="",Sync!$W365=""),"",Sync!$W365)</f>
        <v/>
      </c>
      <c r="Q368">
        <f>IF(OR($G368="",Sync!$AE365=""),"",Sync!$AE365)</f>
        <v/>
      </c>
      <c r="R368">
        <f>IF($G368="","",IF(Sync!$V365="","0000",IF(AND(ISNUMBER(Sync!$V365),Sync!$V365&gt;=0,Sync!$V365&lt;1),RIGHT("00"&amp;HOUR(Sync!$V365),2)&amp;RIGHT("00"&amp;MINUTE(Sync!$V365),2),IFERROR(RIGHT("00"&amp;VALUE(LEFT(Sync!$V365,FIND(":",Sync!$V365)-1)),2)&amp;RIGHT("00"&amp;VALUE(MID(Sync!$V365,FIND(":",Sync!$V365)+1,2)),2),"0000"))))</f>
        <v/>
      </c>
    </row>
    <row r="369">
      <c r="A369">
        <f>IF(Sync!$U366="","",Sync!$U366)</f>
        <v/>
      </c>
      <c r="B369">
        <f>IF($A369="","",IF(ISNUMBER($A369),IF(AND($A369&gt;=10000101,$A369&lt;=99991231),INT($A369/10000),""),IFERROR(VALUE(TRIM(LEFT($A369,FIND("/",$A369)-1))),"")))</f>
        <v/>
      </c>
      <c r="C369">
        <f>IF(OR($A369="",$B369=""),"",IF(ISNUMBER($A369),INT(MOD($A369,10000)/100),IFERROR(VALUE(TRIM(LEFT(MID($A369,FIND("/",$A369)+1,20),FIND("/",MID($A369,FIND("/",$A369)+1,20))-1))),"")))</f>
        <v/>
      </c>
      <c r="D369">
        <f>IF(OR($A369="",$B369=""),"",IF(ISNUMBER($A369),MOD($A369,100),IFERROR(VALUE(TRIM(MID(MID($A369,FIND("/",$A369)+1,20),FIND("/",MID($A369,FIND("/",$A369)+1,20))+1,20))),"")))</f>
        <v/>
      </c>
      <c r="E369">
        <f>IF($A369="","",IF(OR($B369="",$C369="",$D369="",$B369&lt;1300,$B369&gt;1500,$C369&lt;1,$C369&gt;12,$D369&lt;1,$D369&gt;31),"نامعتبر",RIGHT("0000"&amp;$B369,4)&amp;"/"&amp;RIGHT("00"&amp;$C369,2)&amp;"/"&amp;RIGHT("00"&amp;$D369,2)))</f>
        <v/>
      </c>
      <c r="F369">
        <f>IF(OR($E369="",$E369="نامعتبر"),"",LEFT($E369,4)&amp;"/"&amp;MID($E369,6,2))</f>
        <v/>
      </c>
      <c r="G369">
        <f>IF(OR($E369="",$E369="نامعتبر",Sync!$Y366=""),"",Sync!$Y366)</f>
        <v/>
      </c>
      <c r="H369">
        <f>IF($G369="","",IF(Sync!$X366="","",Sync!$X366))</f>
        <v/>
      </c>
      <c r="I369">
        <f>IF($G369="","",IFERROR(VLOOKUP(Sync!$X366,OpTbl,3,0),""))</f>
        <v/>
      </c>
      <c r="J369">
        <f>IF(OR($G369="",Sync!$Z366=""),"",Sync!$Z366)</f>
        <v/>
      </c>
      <c r="K369">
        <f>IF(OR($G369="",Sync!$AA366=""),"",Sync!$AA366)</f>
        <v/>
      </c>
      <c r="L369">
        <f>IF($G369="",0,IF(Sync!$AB366="",0,Sync!$AB366))</f>
        <v/>
      </c>
      <c r="M369">
        <f>IF($G369="",0,IF(Sync!$AC366="",0,Sync!$AC366))</f>
        <v/>
      </c>
      <c r="N369">
        <f>IF($G369="","",IF($H369="مرجوعی خرید",-1,1)*($L369-$M369*IFERROR(VLOOKUP("P01",ParamTbl,3,0),1.5))*(1-IF($I369="خرید",IFERROR(VLOOKUP("P02",ParamTbl,3,0),1),0)/100))</f>
        <v/>
      </c>
      <c r="O369">
        <f>IF($G369="",0,IF($H369="مرجوعی خرید",-1,1)*IF(Sync!$AD366="",0,Sync!$AD366))</f>
        <v/>
      </c>
      <c r="P369">
        <f>IF(OR($G369="",Sync!$W366=""),"",Sync!$W366)</f>
        <v/>
      </c>
      <c r="Q369">
        <f>IF(OR($G369="",Sync!$AE366=""),"",Sync!$AE366)</f>
        <v/>
      </c>
      <c r="R369">
        <f>IF($G369="","",IF(Sync!$V366="","0000",IF(AND(ISNUMBER(Sync!$V366),Sync!$V366&gt;=0,Sync!$V366&lt;1),RIGHT("00"&amp;HOUR(Sync!$V366),2)&amp;RIGHT("00"&amp;MINUTE(Sync!$V366),2),IFERROR(RIGHT("00"&amp;VALUE(LEFT(Sync!$V366,FIND(":",Sync!$V366)-1)),2)&amp;RIGHT("00"&amp;VALUE(MID(Sync!$V366,FIND(":",Sync!$V366)+1,2)),2),"0000"))))</f>
        <v/>
      </c>
    </row>
    <row r="370">
      <c r="A370">
        <f>IF(Sync!$U367="","",Sync!$U367)</f>
        <v/>
      </c>
      <c r="B370">
        <f>IF($A370="","",IF(ISNUMBER($A370),IF(AND($A370&gt;=10000101,$A370&lt;=99991231),INT($A370/10000),""),IFERROR(VALUE(TRIM(LEFT($A370,FIND("/",$A370)-1))),"")))</f>
        <v/>
      </c>
      <c r="C370">
        <f>IF(OR($A370="",$B370=""),"",IF(ISNUMBER($A370),INT(MOD($A370,10000)/100),IFERROR(VALUE(TRIM(LEFT(MID($A370,FIND("/",$A370)+1,20),FIND("/",MID($A370,FIND("/",$A370)+1,20))-1))),"")))</f>
        <v/>
      </c>
      <c r="D370">
        <f>IF(OR($A370="",$B370=""),"",IF(ISNUMBER($A370),MOD($A370,100),IFERROR(VALUE(TRIM(MID(MID($A370,FIND("/",$A370)+1,20),FIND("/",MID($A370,FIND("/",$A370)+1,20))+1,20))),"")))</f>
        <v/>
      </c>
      <c r="E370">
        <f>IF($A370="","",IF(OR($B370="",$C370="",$D370="",$B370&lt;1300,$B370&gt;1500,$C370&lt;1,$C370&gt;12,$D370&lt;1,$D370&gt;31),"نامعتبر",RIGHT("0000"&amp;$B370,4)&amp;"/"&amp;RIGHT("00"&amp;$C370,2)&amp;"/"&amp;RIGHT("00"&amp;$D370,2)))</f>
        <v/>
      </c>
      <c r="F370">
        <f>IF(OR($E370="",$E370="نامعتبر"),"",LEFT($E370,4)&amp;"/"&amp;MID($E370,6,2))</f>
        <v/>
      </c>
      <c r="G370">
        <f>IF(OR($E370="",$E370="نامعتبر",Sync!$Y367=""),"",Sync!$Y367)</f>
        <v/>
      </c>
      <c r="H370">
        <f>IF($G370="","",IF(Sync!$X367="","",Sync!$X367))</f>
        <v/>
      </c>
      <c r="I370">
        <f>IF($G370="","",IFERROR(VLOOKUP(Sync!$X367,OpTbl,3,0),""))</f>
        <v/>
      </c>
      <c r="J370">
        <f>IF(OR($G370="",Sync!$Z367=""),"",Sync!$Z367)</f>
        <v/>
      </c>
      <c r="K370">
        <f>IF(OR($G370="",Sync!$AA367=""),"",Sync!$AA367)</f>
        <v/>
      </c>
      <c r="L370">
        <f>IF($G370="",0,IF(Sync!$AB367="",0,Sync!$AB367))</f>
        <v/>
      </c>
      <c r="M370">
        <f>IF($G370="",0,IF(Sync!$AC367="",0,Sync!$AC367))</f>
        <v/>
      </c>
      <c r="N370">
        <f>IF($G370="","",IF($H370="مرجوعی خرید",-1,1)*($L370-$M370*IFERROR(VLOOKUP("P01",ParamTbl,3,0),1.5))*(1-IF($I370="خرید",IFERROR(VLOOKUP("P02",ParamTbl,3,0),1),0)/100))</f>
        <v/>
      </c>
      <c r="O370">
        <f>IF($G370="",0,IF($H370="مرجوعی خرید",-1,1)*IF(Sync!$AD367="",0,Sync!$AD367))</f>
        <v/>
      </c>
      <c r="P370">
        <f>IF(OR($G370="",Sync!$W367=""),"",Sync!$W367)</f>
        <v/>
      </c>
      <c r="Q370">
        <f>IF(OR($G370="",Sync!$AE367=""),"",Sync!$AE367)</f>
        <v/>
      </c>
      <c r="R370">
        <f>IF($G370="","",IF(Sync!$V367="","0000",IF(AND(ISNUMBER(Sync!$V367),Sync!$V367&gt;=0,Sync!$V367&lt;1),RIGHT("00"&amp;HOUR(Sync!$V367),2)&amp;RIGHT("00"&amp;MINUTE(Sync!$V367),2),IFERROR(RIGHT("00"&amp;VALUE(LEFT(Sync!$V367,FIND(":",Sync!$V367)-1)),2)&amp;RIGHT("00"&amp;VALUE(MID(Sync!$V367,FIND(":",Sync!$V367)+1,2)),2),"0000"))))</f>
        <v/>
      </c>
    </row>
    <row r="371">
      <c r="A371">
        <f>IF(Sync!$U368="","",Sync!$U368)</f>
        <v/>
      </c>
      <c r="B371">
        <f>IF($A371="","",IF(ISNUMBER($A371),IF(AND($A371&gt;=10000101,$A371&lt;=99991231),INT($A371/10000),""),IFERROR(VALUE(TRIM(LEFT($A371,FIND("/",$A371)-1))),"")))</f>
        <v/>
      </c>
      <c r="C371">
        <f>IF(OR($A371="",$B371=""),"",IF(ISNUMBER($A371),INT(MOD($A371,10000)/100),IFERROR(VALUE(TRIM(LEFT(MID($A371,FIND("/",$A371)+1,20),FIND("/",MID($A371,FIND("/",$A371)+1,20))-1))),"")))</f>
        <v/>
      </c>
      <c r="D371">
        <f>IF(OR($A371="",$B371=""),"",IF(ISNUMBER($A371),MOD($A371,100),IFERROR(VALUE(TRIM(MID(MID($A371,FIND("/",$A371)+1,20),FIND("/",MID($A371,FIND("/",$A371)+1,20))+1,20))),"")))</f>
        <v/>
      </c>
      <c r="E371">
        <f>IF($A371="","",IF(OR($B371="",$C371="",$D371="",$B371&lt;1300,$B371&gt;1500,$C371&lt;1,$C371&gt;12,$D371&lt;1,$D371&gt;31),"نامعتبر",RIGHT("0000"&amp;$B371,4)&amp;"/"&amp;RIGHT("00"&amp;$C371,2)&amp;"/"&amp;RIGHT("00"&amp;$D371,2)))</f>
        <v/>
      </c>
      <c r="F371">
        <f>IF(OR($E371="",$E371="نامعتبر"),"",LEFT($E371,4)&amp;"/"&amp;MID($E371,6,2))</f>
        <v/>
      </c>
      <c r="G371">
        <f>IF(OR($E371="",$E371="نامعتبر",Sync!$Y368=""),"",Sync!$Y368)</f>
        <v/>
      </c>
      <c r="H371">
        <f>IF($G371="","",IF(Sync!$X368="","",Sync!$X368))</f>
        <v/>
      </c>
      <c r="I371">
        <f>IF($G371="","",IFERROR(VLOOKUP(Sync!$X368,OpTbl,3,0),""))</f>
        <v/>
      </c>
      <c r="J371">
        <f>IF(OR($G371="",Sync!$Z368=""),"",Sync!$Z368)</f>
        <v/>
      </c>
      <c r="K371">
        <f>IF(OR($G371="",Sync!$AA368=""),"",Sync!$AA368)</f>
        <v/>
      </c>
      <c r="L371">
        <f>IF($G371="",0,IF(Sync!$AB368="",0,Sync!$AB368))</f>
        <v/>
      </c>
      <c r="M371">
        <f>IF($G371="",0,IF(Sync!$AC368="",0,Sync!$AC368))</f>
        <v/>
      </c>
      <c r="N371">
        <f>IF($G371="","",IF($H371="مرجوعی خرید",-1,1)*($L371-$M371*IFERROR(VLOOKUP("P01",ParamTbl,3,0),1.5))*(1-IF($I371="خرید",IFERROR(VLOOKUP("P02",ParamTbl,3,0),1),0)/100))</f>
        <v/>
      </c>
      <c r="O371">
        <f>IF($G371="",0,IF($H371="مرجوعی خرید",-1,1)*IF(Sync!$AD368="",0,Sync!$AD368))</f>
        <v/>
      </c>
      <c r="P371">
        <f>IF(OR($G371="",Sync!$W368=""),"",Sync!$W368)</f>
        <v/>
      </c>
      <c r="Q371">
        <f>IF(OR($G371="",Sync!$AE368=""),"",Sync!$AE368)</f>
        <v/>
      </c>
      <c r="R371">
        <f>IF($G371="","",IF(Sync!$V368="","0000",IF(AND(ISNUMBER(Sync!$V368),Sync!$V368&gt;=0,Sync!$V368&lt;1),RIGHT("00"&amp;HOUR(Sync!$V368),2)&amp;RIGHT("00"&amp;MINUTE(Sync!$V368),2),IFERROR(RIGHT("00"&amp;VALUE(LEFT(Sync!$V368,FIND(":",Sync!$V368)-1)),2)&amp;RIGHT("00"&amp;VALUE(MID(Sync!$V368,FIND(":",Sync!$V368)+1,2)),2),"0000"))))</f>
        <v/>
      </c>
    </row>
    <row r="372">
      <c r="A372">
        <f>IF(Sync!$U369="","",Sync!$U369)</f>
        <v/>
      </c>
      <c r="B372">
        <f>IF($A372="","",IF(ISNUMBER($A372),IF(AND($A372&gt;=10000101,$A372&lt;=99991231),INT($A372/10000),""),IFERROR(VALUE(TRIM(LEFT($A372,FIND("/",$A372)-1))),"")))</f>
        <v/>
      </c>
      <c r="C372">
        <f>IF(OR($A372="",$B372=""),"",IF(ISNUMBER($A372),INT(MOD($A372,10000)/100),IFERROR(VALUE(TRIM(LEFT(MID($A372,FIND("/",$A372)+1,20),FIND("/",MID($A372,FIND("/",$A372)+1,20))-1))),"")))</f>
        <v/>
      </c>
      <c r="D372">
        <f>IF(OR($A372="",$B372=""),"",IF(ISNUMBER($A372),MOD($A372,100),IFERROR(VALUE(TRIM(MID(MID($A372,FIND("/",$A372)+1,20),FIND("/",MID($A372,FIND("/",$A372)+1,20))+1,20))),"")))</f>
        <v/>
      </c>
      <c r="E372">
        <f>IF($A372="","",IF(OR($B372="",$C372="",$D372="",$B372&lt;1300,$B372&gt;1500,$C372&lt;1,$C372&gt;12,$D372&lt;1,$D372&gt;31),"نامعتبر",RIGHT("0000"&amp;$B372,4)&amp;"/"&amp;RIGHT("00"&amp;$C372,2)&amp;"/"&amp;RIGHT("00"&amp;$D372,2)))</f>
        <v/>
      </c>
      <c r="F372">
        <f>IF(OR($E372="",$E372="نامعتبر"),"",LEFT($E372,4)&amp;"/"&amp;MID($E372,6,2))</f>
        <v/>
      </c>
      <c r="G372">
        <f>IF(OR($E372="",$E372="نامعتبر",Sync!$Y369=""),"",Sync!$Y369)</f>
        <v/>
      </c>
      <c r="H372">
        <f>IF($G372="","",IF(Sync!$X369="","",Sync!$X369))</f>
        <v/>
      </c>
      <c r="I372">
        <f>IF($G372="","",IFERROR(VLOOKUP(Sync!$X369,OpTbl,3,0),""))</f>
        <v/>
      </c>
      <c r="J372">
        <f>IF(OR($G372="",Sync!$Z369=""),"",Sync!$Z369)</f>
        <v/>
      </c>
      <c r="K372">
        <f>IF(OR($G372="",Sync!$AA369=""),"",Sync!$AA369)</f>
        <v/>
      </c>
      <c r="L372">
        <f>IF($G372="",0,IF(Sync!$AB369="",0,Sync!$AB369))</f>
        <v/>
      </c>
      <c r="M372">
        <f>IF($G372="",0,IF(Sync!$AC369="",0,Sync!$AC369))</f>
        <v/>
      </c>
      <c r="N372">
        <f>IF($G372="","",IF($H372="مرجوعی خرید",-1,1)*($L372-$M372*IFERROR(VLOOKUP("P01",ParamTbl,3,0),1.5))*(1-IF($I372="خرید",IFERROR(VLOOKUP("P02",ParamTbl,3,0),1),0)/100))</f>
        <v/>
      </c>
      <c r="O372">
        <f>IF($G372="",0,IF($H372="مرجوعی خرید",-1,1)*IF(Sync!$AD369="",0,Sync!$AD369))</f>
        <v/>
      </c>
      <c r="P372">
        <f>IF(OR($G372="",Sync!$W369=""),"",Sync!$W369)</f>
        <v/>
      </c>
      <c r="Q372">
        <f>IF(OR($G372="",Sync!$AE369=""),"",Sync!$AE369)</f>
        <v/>
      </c>
      <c r="R372">
        <f>IF($G372="","",IF(Sync!$V369="","0000",IF(AND(ISNUMBER(Sync!$V369),Sync!$V369&gt;=0,Sync!$V369&lt;1),RIGHT("00"&amp;HOUR(Sync!$V369),2)&amp;RIGHT("00"&amp;MINUTE(Sync!$V369),2),IFERROR(RIGHT("00"&amp;VALUE(LEFT(Sync!$V369,FIND(":",Sync!$V369)-1)),2)&amp;RIGHT("00"&amp;VALUE(MID(Sync!$V369,FIND(":",Sync!$V369)+1,2)),2),"0000"))))</f>
        <v/>
      </c>
    </row>
    <row r="373">
      <c r="A373">
        <f>IF(Sync!$U370="","",Sync!$U370)</f>
        <v/>
      </c>
      <c r="B373">
        <f>IF($A373="","",IF(ISNUMBER($A373),IF(AND($A373&gt;=10000101,$A373&lt;=99991231),INT($A373/10000),""),IFERROR(VALUE(TRIM(LEFT($A373,FIND("/",$A373)-1))),"")))</f>
        <v/>
      </c>
      <c r="C373">
        <f>IF(OR($A373="",$B373=""),"",IF(ISNUMBER($A373),INT(MOD($A373,10000)/100),IFERROR(VALUE(TRIM(LEFT(MID($A373,FIND("/",$A373)+1,20),FIND("/",MID($A373,FIND("/",$A373)+1,20))-1))),"")))</f>
        <v/>
      </c>
      <c r="D373">
        <f>IF(OR($A373="",$B373=""),"",IF(ISNUMBER($A373),MOD($A373,100),IFERROR(VALUE(TRIM(MID(MID($A373,FIND("/",$A373)+1,20),FIND("/",MID($A373,FIND("/",$A373)+1,20))+1,20))),"")))</f>
        <v/>
      </c>
      <c r="E373">
        <f>IF($A373="","",IF(OR($B373="",$C373="",$D373="",$B373&lt;1300,$B373&gt;1500,$C373&lt;1,$C373&gt;12,$D373&lt;1,$D373&gt;31),"نامعتبر",RIGHT("0000"&amp;$B373,4)&amp;"/"&amp;RIGHT("00"&amp;$C373,2)&amp;"/"&amp;RIGHT("00"&amp;$D373,2)))</f>
        <v/>
      </c>
      <c r="F373">
        <f>IF(OR($E373="",$E373="نامعتبر"),"",LEFT($E373,4)&amp;"/"&amp;MID($E373,6,2))</f>
        <v/>
      </c>
      <c r="G373">
        <f>IF(OR($E373="",$E373="نامعتبر",Sync!$Y370=""),"",Sync!$Y370)</f>
        <v/>
      </c>
      <c r="H373">
        <f>IF($G373="","",IF(Sync!$X370="","",Sync!$X370))</f>
        <v/>
      </c>
      <c r="I373">
        <f>IF($G373="","",IFERROR(VLOOKUP(Sync!$X370,OpTbl,3,0),""))</f>
        <v/>
      </c>
      <c r="J373">
        <f>IF(OR($G373="",Sync!$Z370=""),"",Sync!$Z370)</f>
        <v/>
      </c>
      <c r="K373">
        <f>IF(OR($G373="",Sync!$AA370=""),"",Sync!$AA370)</f>
        <v/>
      </c>
      <c r="L373">
        <f>IF($G373="",0,IF(Sync!$AB370="",0,Sync!$AB370))</f>
        <v/>
      </c>
      <c r="M373">
        <f>IF($G373="",0,IF(Sync!$AC370="",0,Sync!$AC370))</f>
        <v/>
      </c>
      <c r="N373">
        <f>IF($G373="","",IF($H373="مرجوعی خرید",-1,1)*($L373-$M373*IFERROR(VLOOKUP("P01",ParamTbl,3,0),1.5))*(1-IF($I373="خرید",IFERROR(VLOOKUP("P02",ParamTbl,3,0),1),0)/100))</f>
        <v/>
      </c>
      <c r="O373">
        <f>IF($G373="",0,IF($H373="مرجوعی خرید",-1,1)*IF(Sync!$AD370="",0,Sync!$AD370))</f>
        <v/>
      </c>
      <c r="P373">
        <f>IF(OR($G373="",Sync!$W370=""),"",Sync!$W370)</f>
        <v/>
      </c>
      <c r="Q373">
        <f>IF(OR($G373="",Sync!$AE370=""),"",Sync!$AE370)</f>
        <v/>
      </c>
      <c r="R373">
        <f>IF($G373="","",IF(Sync!$V370="","0000",IF(AND(ISNUMBER(Sync!$V370),Sync!$V370&gt;=0,Sync!$V370&lt;1),RIGHT("00"&amp;HOUR(Sync!$V370),2)&amp;RIGHT("00"&amp;MINUTE(Sync!$V370),2),IFERROR(RIGHT("00"&amp;VALUE(LEFT(Sync!$V370,FIND(":",Sync!$V370)-1)),2)&amp;RIGHT("00"&amp;VALUE(MID(Sync!$V370,FIND(":",Sync!$V370)+1,2)),2),"0000"))))</f>
        <v/>
      </c>
    </row>
    <row r="374">
      <c r="A374">
        <f>IF(Sync!$U371="","",Sync!$U371)</f>
        <v/>
      </c>
      <c r="B374">
        <f>IF($A374="","",IF(ISNUMBER($A374),IF(AND($A374&gt;=10000101,$A374&lt;=99991231),INT($A374/10000),""),IFERROR(VALUE(TRIM(LEFT($A374,FIND("/",$A374)-1))),"")))</f>
        <v/>
      </c>
      <c r="C374">
        <f>IF(OR($A374="",$B374=""),"",IF(ISNUMBER($A374),INT(MOD($A374,10000)/100),IFERROR(VALUE(TRIM(LEFT(MID($A374,FIND("/",$A374)+1,20),FIND("/",MID($A374,FIND("/",$A374)+1,20))-1))),"")))</f>
        <v/>
      </c>
      <c r="D374">
        <f>IF(OR($A374="",$B374=""),"",IF(ISNUMBER($A374),MOD($A374,100),IFERROR(VALUE(TRIM(MID(MID($A374,FIND("/",$A374)+1,20),FIND("/",MID($A374,FIND("/",$A374)+1,20))+1,20))),"")))</f>
        <v/>
      </c>
      <c r="E374">
        <f>IF($A374="","",IF(OR($B374="",$C374="",$D374="",$B374&lt;1300,$B374&gt;1500,$C374&lt;1,$C374&gt;12,$D374&lt;1,$D374&gt;31),"نامعتبر",RIGHT("0000"&amp;$B374,4)&amp;"/"&amp;RIGHT("00"&amp;$C374,2)&amp;"/"&amp;RIGHT("00"&amp;$D374,2)))</f>
        <v/>
      </c>
      <c r="F374">
        <f>IF(OR($E374="",$E374="نامعتبر"),"",LEFT($E374,4)&amp;"/"&amp;MID($E374,6,2))</f>
        <v/>
      </c>
      <c r="G374">
        <f>IF(OR($E374="",$E374="نامعتبر",Sync!$Y371=""),"",Sync!$Y371)</f>
        <v/>
      </c>
      <c r="H374">
        <f>IF($G374="","",IF(Sync!$X371="","",Sync!$X371))</f>
        <v/>
      </c>
      <c r="I374">
        <f>IF($G374="","",IFERROR(VLOOKUP(Sync!$X371,OpTbl,3,0),""))</f>
        <v/>
      </c>
      <c r="J374">
        <f>IF(OR($G374="",Sync!$Z371=""),"",Sync!$Z371)</f>
        <v/>
      </c>
      <c r="K374">
        <f>IF(OR($G374="",Sync!$AA371=""),"",Sync!$AA371)</f>
        <v/>
      </c>
      <c r="L374">
        <f>IF($G374="",0,IF(Sync!$AB371="",0,Sync!$AB371))</f>
        <v/>
      </c>
      <c r="M374">
        <f>IF($G374="",0,IF(Sync!$AC371="",0,Sync!$AC371))</f>
        <v/>
      </c>
      <c r="N374">
        <f>IF($G374="","",IF($H374="مرجوعی خرید",-1,1)*($L374-$M374*IFERROR(VLOOKUP("P01",ParamTbl,3,0),1.5))*(1-IF($I374="خرید",IFERROR(VLOOKUP("P02",ParamTbl,3,0),1),0)/100))</f>
        <v/>
      </c>
      <c r="O374">
        <f>IF($G374="",0,IF($H374="مرجوعی خرید",-1,1)*IF(Sync!$AD371="",0,Sync!$AD371))</f>
        <v/>
      </c>
      <c r="P374">
        <f>IF(OR($G374="",Sync!$W371=""),"",Sync!$W371)</f>
        <v/>
      </c>
      <c r="Q374">
        <f>IF(OR($G374="",Sync!$AE371=""),"",Sync!$AE371)</f>
        <v/>
      </c>
      <c r="R374">
        <f>IF($G374="","",IF(Sync!$V371="","0000",IF(AND(ISNUMBER(Sync!$V371),Sync!$V371&gt;=0,Sync!$V371&lt;1),RIGHT("00"&amp;HOUR(Sync!$V371),2)&amp;RIGHT("00"&amp;MINUTE(Sync!$V371),2),IFERROR(RIGHT("00"&amp;VALUE(LEFT(Sync!$V371,FIND(":",Sync!$V371)-1)),2)&amp;RIGHT("00"&amp;VALUE(MID(Sync!$V371,FIND(":",Sync!$V371)+1,2)),2),"0000"))))</f>
        <v/>
      </c>
    </row>
    <row r="375">
      <c r="A375">
        <f>IF(Sync!$U372="","",Sync!$U372)</f>
        <v/>
      </c>
      <c r="B375">
        <f>IF($A375="","",IF(ISNUMBER($A375),IF(AND($A375&gt;=10000101,$A375&lt;=99991231),INT($A375/10000),""),IFERROR(VALUE(TRIM(LEFT($A375,FIND("/",$A375)-1))),"")))</f>
        <v/>
      </c>
      <c r="C375">
        <f>IF(OR($A375="",$B375=""),"",IF(ISNUMBER($A375),INT(MOD($A375,10000)/100),IFERROR(VALUE(TRIM(LEFT(MID($A375,FIND("/",$A375)+1,20),FIND("/",MID($A375,FIND("/",$A375)+1,20))-1))),"")))</f>
        <v/>
      </c>
      <c r="D375">
        <f>IF(OR($A375="",$B375=""),"",IF(ISNUMBER($A375),MOD($A375,100),IFERROR(VALUE(TRIM(MID(MID($A375,FIND("/",$A375)+1,20),FIND("/",MID($A375,FIND("/",$A375)+1,20))+1,20))),"")))</f>
        <v/>
      </c>
      <c r="E375">
        <f>IF($A375="","",IF(OR($B375="",$C375="",$D375="",$B375&lt;1300,$B375&gt;1500,$C375&lt;1,$C375&gt;12,$D375&lt;1,$D375&gt;31),"نامعتبر",RIGHT("0000"&amp;$B375,4)&amp;"/"&amp;RIGHT("00"&amp;$C375,2)&amp;"/"&amp;RIGHT("00"&amp;$D375,2)))</f>
        <v/>
      </c>
      <c r="F375">
        <f>IF(OR($E375="",$E375="نامعتبر"),"",LEFT($E375,4)&amp;"/"&amp;MID($E375,6,2))</f>
        <v/>
      </c>
      <c r="G375">
        <f>IF(OR($E375="",$E375="نامعتبر",Sync!$Y372=""),"",Sync!$Y372)</f>
        <v/>
      </c>
      <c r="H375">
        <f>IF($G375="","",IF(Sync!$X372="","",Sync!$X372))</f>
        <v/>
      </c>
      <c r="I375">
        <f>IF($G375="","",IFERROR(VLOOKUP(Sync!$X372,OpTbl,3,0),""))</f>
        <v/>
      </c>
      <c r="J375">
        <f>IF(OR($G375="",Sync!$Z372=""),"",Sync!$Z372)</f>
        <v/>
      </c>
      <c r="K375">
        <f>IF(OR($G375="",Sync!$AA372=""),"",Sync!$AA372)</f>
        <v/>
      </c>
      <c r="L375">
        <f>IF($G375="",0,IF(Sync!$AB372="",0,Sync!$AB372))</f>
        <v/>
      </c>
      <c r="M375">
        <f>IF($G375="",0,IF(Sync!$AC372="",0,Sync!$AC372))</f>
        <v/>
      </c>
      <c r="N375">
        <f>IF($G375="","",IF($H375="مرجوعی خرید",-1,1)*($L375-$M375*IFERROR(VLOOKUP("P01",ParamTbl,3,0),1.5))*(1-IF($I375="خرید",IFERROR(VLOOKUP("P02",ParamTbl,3,0),1),0)/100))</f>
        <v/>
      </c>
      <c r="O375">
        <f>IF($G375="",0,IF($H375="مرجوعی خرید",-1,1)*IF(Sync!$AD372="",0,Sync!$AD372))</f>
        <v/>
      </c>
      <c r="P375">
        <f>IF(OR($G375="",Sync!$W372=""),"",Sync!$W372)</f>
        <v/>
      </c>
      <c r="Q375">
        <f>IF(OR($G375="",Sync!$AE372=""),"",Sync!$AE372)</f>
        <v/>
      </c>
      <c r="R375">
        <f>IF($G375="","",IF(Sync!$V372="","0000",IF(AND(ISNUMBER(Sync!$V372),Sync!$V372&gt;=0,Sync!$V372&lt;1),RIGHT("00"&amp;HOUR(Sync!$V372),2)&amp;RIGHT("00"&amp;MINUTE(Sync!$V372),2),IFERROR(RIGHT("00"&amp;VALUE(LEFT(Sync!$V372,FIND(":",Sync!$V372)-1)),2)&amp;RIGHT("00"&amp;VALUE(MID(Sync!$V372,FIND(":",Sync!$V372)+1,2)),2),"0000"))))</f>
        <v/>
      </c>
    </row>
    <row r="376">
      <c r="A376">
        <f>IF(Sync!$U373="","",Sync!$U373)</f>
        <v/>
      </c>
      <c r="B376">
        <f>IF($A376="","",IF(ISNUMBER($A376),IF(AND($A376&gt;=10000101,$A376&lt;=99991231),INT($A376/10000),""),IFERROR(VALUE(TRIM(LEFT($A376,FIND("/",$A376)-1))),"")))</f>
        <v/>
      </c>
      <c r="C376">
        <f>IF(OR($A376="",$B376=""),"",IF(ISNUMBER($A376),INT(MOD($A376,10000)/100),IFERROR(VALUE(TRIM(LEFT(MID($A376,FIND("/",$A376)+1,20),FIND("/",MID($A376,FIND("/",$A376)+1,20))-1))),"")))</f>
        <v/>
      </c>
      <c r="D376">
        <f>IF(OR($A376="",$B376=""),"",IF(ISNUMBER($A376),MOD($A376,100),IFERROR(VALUE(TRIM(MID(MID($A376,FIND("/",$A376)+1,20),FIND("/",MID($A376,FIND("/",$A376)+1,20))+1,20))),"")))</f>
        <v/>
      </c>
      <c r="E376">
        <f>IF($A376="","",IF(OR($B376="",$C376="",$D376="",$B376&lt;1300,$B376&gt;1500,$C376&lt;1,$C376&gt;12,$D376&lt;1,$D376&gt;31),"نامعتبر",RIGHT("0000"&amp;$B376,4)&amp;"/"&amp;RIGHT("00"&amp;$C376,2)&amp;"/"&amp;RIGHT("00"&amp;$D376,2)))</f>
        <v/>
      </c>
      <c r="F376">
        <f>IF(OR($E376="",$E376="نامعتبر"),"",LEFT($E376,4)&amp;"/"&amp;MID($E376,6,2))</f>
        <v/>
      </c>
      <c r="G376">
        <f>IF(OR($E376="",$E376="نامعتبر",Sync!$Y373=""),"",Sync!$Y373)</f>
        <v/>
      </c>
      <c r="H376">
        <f>IF($G376="","",IF(Sync!$X373="","",Sync!$X373))</f>
        <v/>
      </c>
      <c r="I376">
        <f>IF($G376="","",IFERROR(VLOOKUP(Sync!$X373,OpTbl,3,0),""))</f>
        <v/>
      </c>
      <c r="J376">
        <f>IF(OR($G376="",Sync!$Z373=""),"",Sync!$Z373)</f>
        <v/>
      </c>
      <c r="K376">
        <f>IF(OR($G376="",Sync!$AA373=""),"",Sync!$AA373)</f>
        <v/>
      </c>
      <c r="L376">
        <f>IF($G376="",0,IF(Sync!$AB373="",0,Sync!$AB373))</f>
        <v/>
      </c>
      <c r="M376">
        <f>IF($G376="",0,IF(Sync!$AC373="",0,Sync!$AC373))</f>
        <v/>
      </c>
      <c r="N376">
        <f>IF($G376="","",IF($H376="مرجوعی خرید",-1,1)*($L376-$M376*IFERROR(VLOOKUP("P01",ParamTbl,3,0),1.5))*(1-IF($I376="خرید",IFERROR(VLOOKUP("P02",ParamTbl,3,0),1),0)/100))</f>
        <v/>
      </c>
      <c r="O376">
        <f>IF($G376="",0,IF($H376="مرجوعی خرید",-1,1)*IF(Sync!$AD373="",0,Sync!$AD373))</f>
        <v/>
      </c>
      <c r="P376">
        <f>IF(OR($G376="",Sync!$W373=""),"",Sync!$W373)</f>
        <v/>
      </c>
      <c r="Q376">
        <f>IF(OR($G376="",Sync!$AE373=""),"",Sync!$AE373)</f>
        <v/>
      </c>
      <c r="R376">
        <f>IF($G376="","",IF(Sync!$V373="","0000",IF(AND(ISNUMBER(Sync!$V373),Sync!$V373&gt;=0,Sync!$V373&lt;1),RIGHT("00"&amp;HOUR(Sync!$V373),2)&amp;RIGHT("00"&amp;MINUTE(Sync!$V373),2),IFERROR(RIGHT("00"&amp;VALUE(LEFT(Sync!$V373,FIND(":",Sync!$V373)-1)),2)&amp;RIGHT("00"&amp;VALUE(MID(Sync!$V373,FIND(":",Sync!$V373)+1,2)),2),"0000"))))</f>
        <v/>
      </c>
    </row>
    <row r="377">
      <c r="A377">
        <f>IF(Sync!$U374="","",Sync!$U374)</f>
        <v/>
      </c>
      <c r="B377">
        <f>IF($A377="","",IF(ISNUMBER($A377),IF(AND($A377&gt;=10000101,$A377&lt;=99991231),INT($A377/10000),""),IFERROR(VALUE(TRIM(LEFT($A377,FIND("/",$A377)-1))),"")))</f>
        <v/>
      </c>
      <c r="C377">
        <f>IF(OR($A377="",$B377=""),"",IF(ISNUMBER($A377),INT(MOD($A377,10000)/100),IFERROR(VALUE(TRIM(LEFT(MID($A377,FIND("/",$A377)+1,20),FIND("/",MID($A377,FIND("/",$A377)+1,20))-1))),"")))</f>
        <v/>
      </c>
      <c r="D377">
        <f>IF(OR($A377="",$B377=""),"",IF(ISNUMBER($A377),MOD($A377,100),IFERROR(VALUE(TRIM(MID(MID($A377,FIND("/",$A377)+1,20),FIND("/",MID($A377,FIND("/",$A377)+1,20))+1,20))),"")))</f>
        <v/>
      </c>
      <c r="E377">
        <f>IF($A377="","",IF(OR($B377="",$C377="",$D377="",$B377&lt;1300,$B377&gt;1500,$C377&lt;1,$C377&gt;12,$D377&lt;1,$D377&gt;31),"نامعتبر",RIGHT("0000"&amp;$B377,4)&amp;"/"&amp;RIGHT("00"&amp;$C377,2)&amp;"/"&amp;RIGHT("00"&amp;$D377,2)))</f>
        <v/>
      </c>
      <c r="F377">
        <f>IF(OR($E377="",$E377="نامعتبر"),"",LEFT($E377,4)&amp;"/"&amp;MID($E377,6,2))</f>
        <v/>
      </c>
      <c r="G377">
        <f>IF(OR($E377="",$E377="نامعتبر",Sync!$Y374=""),"",Sync!$Y374)</f>
        <v/>
      </c>
      <c r="H377">
        <f>IF($G377="","",IF(Sync!$X374="","",Sync!$X374))</f>
        <v/>
      </c>
      <c r="I377">
        <f>IF($G377="","",IFERROR(VLOOKUP(Sync!$X374,OpTbl,3,0),""))</f>
        <v/>
      </c>
      <c r="J377">
        <f>IF(OR($G377="",Sync!$Z374=""),"",Sync!$Z374)</f>
        <v/>
      </c>
      <c r="K377">
        <f>IF(OR($G377="",Sync!$AA374=""),"",Sync!$AA374)</f>
        <v/>
      </c>
      <c r="L377">
        <f>IF($G377="",0,IF(Sync!$AB374="",0,Sync!$AB374))</f>
        <v/>
      </c>
      <c r="M377">
        <f>IF($G377="",0,IF(Sync!$AC374="",0,Sync!$AC374))</f>
        <v/>
      </c>
      <c r="N377">
        <f>IF($G377="","",IF($H377="مرجوعی خرید",-1,1)*($L377-$M377*IFERROR(VLOOKUP("P01",ParamTbl,3,0),1.5))*(1-IF($I377="خرید",IFERROR(VLOOKUP("P02",ParamTbl,3,0),1),0)/100))</f>
        <v/>
      </c>
      <c r="O377">
        <f>IF($G377="",0,IF($H377="مرجوعی خرید",-1,1)*IF(Sync!$AD374="",0,Sync!$AD374))</f>
        <v/>
      </c>
      <c r="P377">
        <f>IF(OR($G377="",Sync!$W374=""),"",Sync!$W374)</f>
        <v/>
      </c>
      <c r="Q377">
        <f>IF(OR($G377="",Sync!$AE374=""),"",Sync!$AE374)</f>
        <v/>
      </c>
      <c r="R377">
        <f>IF($G377="","",IF(Sync!$V374="","0000",IF(AND(ISNUMBER(Sync!$V374),Sync!$V374&gt;=0,Sync!$V374&lt;1),RIGHT("00"&amp;HOUR(Sync!$V374),2)&amp;RIGHT("00"&amp;MINUTE(Sync!$V374),2),IFERROR(RIGHT("00"&amp;VALUE(LEFT(Sync!$V374,FIND(":",Sync!$V374)-1)),2)&amp;RIGHT("00"&amp;VALUE(MID(Sync!$V374,FIND(":",Sync!$V374)+1,2)),2),"0000"))))</f>
        <v/>
      </c>
    </row>
    <row r="378">
      <c r="A378">
        <f>IF(Sync!$U375="","",Sync!$U375)</f>
        <v/>
      </c>
      <c r="B378">
        <f>IF($A378="","",IF(ISNUMBER($A378),IF(AND($A378&gt;=10000101,$A378&lt;=99991231),INT($A378/10000),""),IFERROR(VALUE(TRIM(LEFT($A378,FIND("/",$A378)-1))),"")))</f>
        <v/>
      </c>
      <c r="C378">
        <f>IF(OR($A378="",$B378=""),"",IF(ISNUMBER($A378),INT(MOD($A378,10000)/100),IFERROR(VALUE(TRIM(LEFT(MID($A378,FIND("/",$A378)+1,20),FIND("/",MID($A378,FIND("/",$A378)+1,20))-1))),"")))</f>
        <v/>
      </c>
      <c r="D378">
        <f>IF(OR($A378="",$B378=""),"",IF(ISNUMBER($A378),MOD($A378,100),IFERROR(VALUE(TRIM(MID(MID($A378,FIND("/",$A378)+1,20),FIND("/",MID($A378,FIND("/",$A378)+1,20))+1,20))),"")))</f>
        <v/>
      </c>
      <c r="E378">
        <f>IF($A378="","",IF(OR($B378="",$C378="",$D378="",$B378&lt;1300,$B378&gt;1500,$C378&lt;1,$C378&gt;12,$D378&lt;1,$D378&gt;31),"نامعتبر",RIGHT("0000"&amp;$B378,4)&amp;"/"&amp;RIGHT("00"&amp;$C378,2)&amp;"/"&amp;RIGHT("00"&amp;$D378,2)))</f>
        <v/>
      </c>
      <c r="F378">
        <f>IF(OR($E378="",$E378="نامعتبر"),"",LEFT($E378,4)&amp;"/"&amp;MID($E378,6,2))</f>
        <v/>
      </c>
      <c r="G378">
        <f>IF(OR($E378="",$E378="نامعتبر",Sync!$Y375=""),"",Sync!$Y375)</f>
        <v/>
      </c>
      <c r="H378">
        <f>IF($G378="","",IF(Sync!$X375="","",Sync!$X375))</f>
        <v/>
      </c>
      <c r="I378">
        <f>IF($G378="","",IFERROR(VLOOKUP(Sync!$X375,OpTbl,3,0),""))</f>
        <v/>
      </c>
      <c r="J378">
        <f>IF(OR($G378="",Sync!$Z375=""),"",Sync!$Z375)</f>
        <v/>
      </c>
      <c r="K378">
        <f>IF(OR($G378="",Sync!$AA375=""),"",Sync!$AA375)</f>
        <v/>
      </c>
      <c r="L378">
        <f>IF($G378="",0,IF(Sync!$AB375="",0,Sync!$AB375))</f>
        <v/>
      </c>
      <c r="M378">
        <f>IF($G378="",0,IF(Sync!$AC375="",0,Sync!$AC375))</f>
        <v/>
      </c>
      <c r="N378">
        <f>IF($G378="","",IF($H378="مرجوعی خرید",-1,1)*($L378-$M378*IFERROR(VLOOKUP("P01",ParamTbl,3,0),1.5))*(1-IF($I378="خرید",IFERROR(VLOOKUP("P02",ParamTbl,3,0),1),0)/100))</f>
        <v/>
      </c>
      <c r="O378">
        <f>IF($G378="",0,IF($H378="مرجوعی خرید",-1,1)*IF(Sync!$AD375="",0,Sync!$AD375))</f>
        <v/>
      </c>
      <c r="P378">
        <f>IF(OR($G378="",Sync!$W375=""),"",Sync!$W375)</f>
        <v/>
      </c>
      <c r="Q378">
        <f>IF(OR($G378="",Sync!$AE375=""),"",Sync!$AE375)</f>
        <v/>
      </c>
      <c r="R378">
        <f>IF($G378="","",IF(Sync!$V375="","0000",IF(AND(ISNUMBER(Sync!$V375),Sync!$V375&gt;=0,Sync!$V375&lt;1),RIGHT("00"&amp;HOUR(Sync!$V375),2)&amp;RIGHT("00"&amp;MINUTE(Sync!$V375),2),IFERROR(RIGHT("00"&amp;VALUE(LEFT(Sync!$V375,FIND(":",Sync!$V375)-1)),2)&amp;RIGHT("00"&amp;VALUE(MID(Sync!$V375,FIND(":",Sync!$V375)+1,2)),2),"0000"))))</f>
        <v/>
      </c>
    </row>
    <row r="379">
      <c r="A379">
        <f>IF(Sync!$U376="","",Sync!$U376)</f>
        <v/>
      </c>
      <c r="B379">
        <f>IF($A379="","",IF(ISNUMBER($A379),IF(AND($A379&gt;=10000101,$A379&lt;=99991231),INT($A379/10000),""),IFERROR(VALUE(TRIM(LEFT($A379,FIND("/",$A379)-1))),"")))</f>
        <v/>
      </c>
      <c r="C379">
        <f>IF(OR($A379="",$B379=""),"",IF(ISNUMBER($A379),INT(MOD($A379,10000)/100),IFERROR(VALUE(TRIM(LEFT(MID($A379,FIND("/",$A379)+1,20),FIND("/",MID($A379,FIND("/",$A379)+1,20))-1))),"")))</f>
        <v/>
      </c>
      <c r="D379">
        <f>IF(OR($A379="",$B379=""),"",IF(ISNUMBER($A379),MOD($A379,100),IFERROR(VALUE(TRIM(MID(MID($A379,FIND("/",$A379)+1,20),FIND("/",MID($A379,FIND("/",$A379)+1,20))+1,20))),"")))</f>
        <v/>
      </c>
      <c r="E379">
        <f>IF($A379="","",IF(OR($B379="",$C379="",$D379="",$B379&lt;1300,$B379&gt;1500,$C379&lt;1,$C379&gt;12,$D379&lt;1,$D379&gt;31),"نامعتبر",RIGHT("0000"&amp;$B379,4)&amp;"/"&amp;RIGHT("00"&amp;$C379,2)&amp;"/"&amp;RIGHT("00"&amp;$D379,2)))</f>
        <v/>
      </c>
      <c r="F379">
        <f>IF(OR($E379="",$E379="نامعتبر"),"",LEFT($E379,4)&amp;"/"&amp;MID($E379,6,2))</f>
        <v/>
      </c>
      <c r="G379">
        <f>IF(OR($E379="",$E379="نامعتبر",Sync!$Y376=""),"",Sync!$Y376)</f>
        <v/>
      </c>
      <c r="H379">
        <f>IF($G379="","",IF(Sync!$X376="","",Sync!$X376))</f>
        <v/>
      </c>
      <c r="I379">
        <f>IF($G379="","",IFERROR(VLOOKUP(Sync!$X376,OpTbl,3,0),""))</f>
        <v/>
      </c>
      <c r="J379">
        <f>IF(OR($G379="",Sync!$Z376=""),"",Sync!$Z376)</f>
        <v/>
      </c>
      <c r="K379">
        <f>IF(OR($G379="",Sync!$AA376=""),"",Sync!$AA376)</f>
        <v/>
      </c>
      <c r="L379">
        <f>IF($G379="",0,IF(Sync!$AB376="",0,Sync!$AB376))</f>
        <v/>
      </c>
      <c r="M379">
        <f>IF($G379="",0,IF(Sync!$AC376="",0,Sync!$AC376))</f>
        <v/>
      </c>
      <c r="N379">
        <f>IF($G379="","",IF($H379="مرجوعی خرید",-1,1)*($L379-$M379*IFERROR(VLOOKUP("P01",ParamTbl,3,0),1.5))*(1-IF($I379="خرید",IFERROR(VLOOKUP("P02",ParamTbl,3,0),1),0)/100))</f>
        <v/>
      </c>
      <c r="O379">
        <f>IF($G379="",0,IF($H379="مرجوعی خرید",-1,1)*IF(Sync!$AD376="",0,Sync!$AD376))</f>
        <v/>
      </c>
      <c r="P379">
        <f>IF(OR($G379="",Sync!$W376=""),"",Sync!$W376)</f>
        <v/>
      </c>
      <c r="Q379">
        <f>IF(OR($G379="",Sync!$AE376=""),"",Sync!$AE376)</f>
        <v/>
      </c>
      <c r="R379">
        <f>IF($G379="","",IF(Sync!$V376="","0000",IF(AND(ISNUMBER(Sync!$V376),Sync!$V376&gt;=0,Sync!$V376&lt;1),RIGHT("00"&amp;HOUR(Sync!$V376),2)&amp;RIGHT("00"&amp;MINUTE(Sync!$V376),2),IFERROR(RIGHT("00"&amp;VALUE(LEFT(Sync!$V376,FIND(":",Sync!$V376)-1)),2)&amp;RIGHT("00"&amp;VALUE(MID(Sync!$V376,FIND(":",Sync!$V376)+1,2)),2),"0000"))))</f>
        <v/>
      </c>
    </row>
    <row r="380">
      <c r="A380">
        <f>IF(Sync!$U377="","",Sync!$U377)</f>
        <v/>
      </c>
      <c r="B380">
        <f>IF($A380="","",IF(ISNUMBER($A380),IF(AND($A380&gt;=10000101,$A380&lt;=99991231),INT($A380/10000),""),IFERROR(VALUE(TRIM(LEFT($A380,FIND("/",$A380)-1))),"")))</f>
        <v/>
      </c>
      <c r="C380">
        <f>IF(OR($A380="",$B380=""),"",IF(ISNUMBER($A380),INT(MOD($A380,10000)/100),IFERROR(VALUE(TRIM(LEFT(MID($A380,FIND("/",$A380)+1,20),FIND("/",MID($A380,FIND("/",$A380)+1,20))-1))),"")))</f>
        <v/>
      </c>
      <c r="D380">
        <f>IF(OR($A380="",$B380=""),"",IF(ISNUMBER($A380),MOD($A380,100),IFERROR(VALUE(TRIM(MID(MID($A380,FIND("/",$A380)+1,20),FIND("/",MID($A380,FIND("/",$A380)+1,20))+1,20))),"")))</f>
        <v/>
      </c>
      <c r="E380">
        <f>IF($A380="","",IF(OR($B380="",$C380="",$D380="",$B380&lt;1300,$B380&gt;1500,$C380&lt;1,$C380&gt;12,$D380&lt;1,$D380&gt;31),"نامعتبر",RIGHT("0000"&amp;$B380,4)&amp;"/"&amp;RIGHT("00"&amp;$C380,2)&amp;"/"&amp;RIGHT("00"&amp;$D380,2)))</f>
        <v/>
      </c>
      <c r="F380">
        <f>IF(OR($E380="",$E380="نامعتبر"),"",LEFT($E380,4)&amp;"/"&amp;MID($E380,6,2))</f>
        <v/>
      </c>
      <c r="G380">
        <f>IF(OR($E380="",$E380="نامعتبر",Sync!$Y377=""),"",Sync!$Y377)</f>
        <v/>
      </c>
      <c r="H380">
        <f>IF($G380="","",IF(Sync!$X377="","",Sync!$X377))</f>
        <v/>
      </c>
      <c r="I380">
        <f>IF($G380="","",IFERROR(VLOOKUP(Sync!$X377,OpTbl,3,0),""))</f>
        <v/>
      </c>
      <c r="J380">
        <f>IF(OR($G380="",Sync!$Z377=""),"",Sync!$Z377)</f>
        <v/>
      </c>
      <c r="K380">
        <f>IF(OR($G380="",Sync!$AA377=""),"",Sync!$AA377)</f>
        <v/>
      </c>
      <c r="L380">
        <f>IF($G380="",0,IF(Sync!$AB377="",0,Sync!$AB377))</f>
        <v/>
      </c>
      <c r="M380">
        <f>IF($G380="",0,IF(Sync!$AC377="",0,Sync!$AC377))</f>
        <v/>
      </c>
      <c r="N380">
        <f>IF($G380="","",IF($H380="مرجوعی خرید",-1,1)*($L380-$M380*IFERROR(VLOOKUP("P01",ParamTbl,3,0),1.5))*(1-IF($I380="خرید",IFERROR(VLOOKUP("P02",ParamTbl,3,0),1),0)/100))</f>
        <v/>
      </c>
      <c r="O380">
        <f>IF($G380="",0,IF($H380="مرجوعی خرید",-1,1)*IF(Sync!$AD377="",0,Sync!$AD377))</f>
        <v/>
      </c>
      <c r="P380">
        <f>IF(OR($G380="",Sync!$W377=""),"",Sync!$W377)</f>
        <v/>
      </c>
      <c r="Q380">
        <f>IF(OR($G380="",Sync!$AE377=""),"",Sync!$AE377)</f>
        <v/>
      </c>
      <c r="R380">
        <f>IF($G380="","",IF(Sync!$V377="","0000",IF(AND(ISNUMBER(Sync!$V377),Sync!$V377&gt;=0,Sync!$V377&lt;1),RIGHT("00"&amp;HOUR(Sync!$V377),2)&amp;RIGHT("00"&amp;MINUTE(Sync!$V377),2),IFERROR(RIGHT("00"&amp;VALUE(LEFT(Sync!$V377,FIND(":",Sync!$V377)-1)),2)&amp;RIGHT("00"&amp;VALUE(MID(Sync!$V377,FIND(":",Sync!$V377)+1,2)),2),"0000"))))</f>
        <v/>
      </c>
    </row>
    <row r="381">
      <c r="A381">
        <f>IF(Sync!$U378="","",Sync!$U378)</f>
        <v/>
      </c>
      <c r="B381">
        <f>IF($A381="","",IF(ISNUMBER($A381),IF(AND($A381&gt;=10000101,$A381&lt;=99991231),INT($A381/10000),""),IFERROR(VALUE(TRIM(LEFT($A381,FIND("/",$A381)-1))),"")))</f>
        <v/>
      </c>
      <c r="C381">
        <f>IF(OR($A381="",$B381=""),"",IF(ISNUMBER($A381),INT(MOD($A381,10000)/100),IFERROR(VALUE(TRIM(LEFT(MID($A381,FIND("/",$A381)+1,20),FIND("/",MID($A381,FIND("/",$A381)+1,20))-1))),"")))</f>
        <v/>
      </c>
      <c r="D381">
        <f>IF(OR($A381="",$B381=""),"",IF(ISNUMBER($A381),MOD($A381,100),IFERROR(VALUE(TRIM(MID(MID($A381,FIND("/",$A381)+1,20),FIND("/",MID($A381,FIND("/",$A381)+1,20))+1,20))),"")))</f>
        <v/>
      </c>
      <c r="E381">
        <f>IF($A381="","",IF(OR($B381="",$C381="",$D381="",$B381&lt;1300,$B381&gt;1500,$C381&lt;1,$C381&gt;12,$D381&lt;1,$D381&gt;31),"نامعتبر",RIGHT("0000"&amp;$B381,4)&amp;"/"&amp;RIGHT("00"&amp;$C381,2)&amp;"/"&amp;RIGHT("00"&amp;$D381,2)))</f>
        <v/>
      </c>
      <c r="F381">
        <f>IF(OR($E381="",$E381="نامعتبر"),"",LEFT($E381,4)&amp;"/"&amp;MID($E381,6,2))</f>
        <v/>
      </c>
      <c r="G381">
        <f>IF(OR($E381="",$E381="نامعتبر",Sync!$Y378=""),"",Sync!$Y378)</f>
        <v/>
      </c>
      <c r="H381">
        <f>IF($G381="","",IF(Sync!$X378="","",Sync!$X378))</f>
        <v/>
      </c>
      <c r="I381">
        <f>IF($G381="","",IFERROR(VLOOKUP(Sync!$X378,OpTbl,3,0),""))</f>
        <v/>
      </c>
      <c r="J381">
        <f>IF(OR($G381="",Sync!$Z378=""),"",Sync!$Z378)</f>
        <v/>
      </c>
      <c r="K381">
        <f>IF(OR($G381="",Sync!$AA378=""),"",Sync!$AA378)</f>
        <v/>
      </c>
      <c r="L381">
        <f>IF($G381="",0,IF(Sync!$AB378="",0,Sync!$AB378))</f>
        <v/>
      </c>
      <c r="M381">
        <f>IF($G381="",0,IF(Sync!$AC378="",0,Sync!$AC378))</f>
        <v/>
      </c>
      <c r="N381">
        <f>IF($G381="","",IF($H381="مرجوعی خرید",-1,1)*($L381-$M381*IFERROR(VLOOKUP("P01",ParamTbl,3,0),1.5))*(1-IF($I381="خرید",IFERROR(VLOOKUP("P02",ParamTbl,3,0),1),0)/100))</f>
        <v/>
      </c>
      <c r="O381">
        <f>IF($G381="",0,IF($H381="مرجوعی خرید",-1,1)*IF(Sync!$AD378="",0,Sync!$AD378))</f>
        <v/>
      </c>
      <c r="P381">
        <f>IF(OR($G381="",Sync!$W378=""),"",Sync!$W378)</f>
        <v/>
      </c>
      <c r="Q381">
        <f>IF(OR($G381="",Sync!$AE378=""),"",Sync!$AE378)</f>
        <v/>
      </c>
      <c r="R381">
        <f>IF($G381="","",IF(Sync!$V378="","0000",IF(AND(ISNUMBER(Sync!$V378),Sync!$V378&gt;=0,Sync!$V378&lt;1),RIGHT("00"&amp;HOUR(Sync!$V378),2)&amp;RIGHT("00"&amp;MINUTE(Sync!$V378),2),IFERROR(RIGHT("00"&amp;VALUE(LEFT(Sync!$V378,FIND(":",Sync!$V378)-1)),2)&amp;RIGHT("00"&amp;VALUE(MID(Sync!$V378,FIND(":",Sync!$V378)+1,2)),2),"0000"))))</f>
        <v/>
      </c>
    </row>
    <row r="382">
      <c r="A382">
        <f>IF(Sync!$U379="","",Sync!$U379)</f>
        <v/>
      </c>
      <c r="B382">
        <f>IF($A382="","",IF(ISNUMBER($A382),IF(AND($A382&gt;=10000101,$A382&lt;=99991231),INT($A382/10000),""),IFERROR(VALUE(TRIM(LEFT($A382,FIND("/",$A382)-1))),"")))</f>
        <v/>
      </c>
      <c r="C382">
        <f>IF(OR($A382="",$B382=""),"",IF(ISNUMBER($A382),INT(MOD($A382,10000)/100),IFERROR(VALUE(TRIM(LEFT(MID($A382,FIND("/",$A382)+1,20),FIND("/",MID($A382,FIND("/",$A382)+1,20))-1))),"")))</f>
        <v/>
      </c>
      <c r="D382">
        <f>IF(OR($A382="",$B382=""),"",IF(ISNUMBER($A382),MOD($A382,100),IFERROR(VALUE(TRIM(MID(MID($A382,FIND("/",$A382)+1,20),FIND("/",MID($A382,FIND("/",$A382)+1,20))+1,20))),"")))</f>
        <v/>
      </c>
      <c r="E382">
        <f>IF($A382="","",IF(OR($B382="",$C382="",$D382="",$B382&lt;1300,$B382&gt;1500,$C382&lt;1,$C382&gt;12,$D382&lt;1,$D382&gt;31),"نامعتبر",RIGHT("0000"&amp;$B382,4)&amp;"/"&amp;RIGHT("00"&amp;$C382,2)&amp;"/"&amp;RIGHT("00"&amp;$D382,2)))</f>
        <v/>
      </c>
      <c r="F382">
        <f>IF(OR($E382="",$E382="نامعتبر"),"",LEFT($E382,4)&amp;"/"&amp;MID($E382,6,2))</f>
        <v/>
      </c>
      <c r="G382">
        <f>IF(OR($E382="",$E382="نامعتبر",Sync!$Y379=""),"",Sync!$Y379)</f>
        <v/>
      </c>
      <c r="H382">
        <f>IF($G382="","",IF(Sync!$X379="","",Sync!$X379))</f>
        <v/>
      </c>
      <c r="I382">
        <f>IF($G382="","",IFERROR(VLOOKUP(Sync!$X379,OpTbl,3,0),""))</f>
        <v/>
      </c>
      <c r="J382">
        <f>IF(OR($G382="",Sync!$Z379=""),"",Sync!$Z379)</f>
        <v/>
      </c>
      <c r="K382">
        <f>IF(OR($G382="",Sync!$AA379=""),"",Sync!$AA379)</f>
        <v/>
      </c>
      <c r="L382">
        <f>IF($G382="",0,IF(Sync!$AB379="",0,Sync!$AB379))</f>
        <v/>
      </c>
      <c r="M382">
        <f>IF($G382="",0,IF(Sync!$AC379="",0,Sync!$AC379))</f>
        <v/>
      </c>
      <c r="N382">
        <f>IF($G382="","",IF($H382="مرجوعی خرید",-1,1)*($L382-$M382*IFERROR(VLOOKUP("P01",ParamTbl,3,0),1.5))*(1-IF($I382="خرید",IFERROR(VLOOKUP("P02",ParamTbl,3,0),1),0)/100))</f>
        <v/>
      </c>
      <c r="O382">
        <f>IF($G382="",0,IF($H382="مرجوعی خرید",-1,1)*IF(Sync!$AD379="",0,Sync!$AD379))</f>
        <v/>
      </c>
      <c r="P382">
        <f>IF(OR($G382="",Sync!$W379=""),"",Sync!$W379)</f>
        <v/>
      </c>
      <c r="Q382">
        <f>IF(OR($G382="",Sync!$AE379=""),"",Sync!$AE379)</f>
        <v/>
      </c>
      <c r="R382">
        <f>IF($G382="","",IF(Sync!$V379="","0000",IF(AND(ISNUMBER(Sync!$V379),Sync!$V379&gt;=0,Sync!$V379&lt;1),RIGHT("00"&amp;HOUR(Sync!$V379),2)&amp;RIGHT("00"&amp;MINUTE(Sync!$V379),2),IFERROR(RIGHT("00"&amp;VALUE(LEFT(Sync!$V379,FIND(":",Sync!$V379)-1)),2)&amp;RIGHT("00"&amp;VALUE(MID(Sync!$V379,FIND(":",Sync!$V379)+1,2)),2),"0000"))))</f>
        <v/>
      </c>
    </row>
    <row r="383">
      <c r="A383">
        <f>IF(Sync!$U380="","",Sync!$U380)</f>
        <v/>
      </c>
      <c r="B383">
        <f>IF($A383="","",IF(ISNUMBER($A383),IF(AND($A383&gt;=10000101,$A383&lt;=99991231),INT($A383/10000),""),IFERROR(VALUE(TRIM(LEFT($A383,FIND("/",$A383)-1))),"")))</f>
        <v/>
      </c>
      <c r="C383">
        <f>IF(OR($A383="",$B383=""),"",IF(ISNUMBER($A383),INT(MOD($A383,10000)/100),IFERROR(VALUE(TRIM(LEFT(MID($A383,FIND("/",$A383)+1,20),FIND("/",MID($A383,FIND("/",$A383)+1,20))-1))),"")))</f>
        <v/>
      </c>
      <c r="D383">
        <f>IF(OR($A383="",$B383=""),"",IF(ISNUMBER($A383),MOD($A383,100),IFERROR(VALUE(TRIM(MID(MID($A383,FIND("/",$A383)+1,20),FIND("/",MID($A383,FIND("/",$A383)+1,20))+1,20))),"")))</f>
        <v/>
      </c>
      <c r="E383">
        <f>IF($A383="","",IF(OR($B383="",$C383="",$D383="",$B383&lt;1300,$B383&gt;1500,$C383&lt;1,$C383&gt;12,$D383&lt;1,$D383&gt;31),"نامعتبر",RIGHT("0000"&amp;$B383,4)&amp;"/"&amp;RIGHT("00"&amp;$C383,2)&amp;"/"&amp;RIGHT("00"&amp;$D383,2)))</f>
        <v/>
      </c>
      <c r="F383">
        <f>IF(OR($E383="",$E383="نامعتبر"),"",LEFT($E383,4)&amp;"/"&amp;MID($E383,6,2))</f>
        <v/>
      </c>
      <c r="G383">
        <f>IF(OR($E383="",$E383="نامعتبر",Sync!$Y380=""),"",Sync!$Y380)</f>
        <v/>
      </c>
      <c r="H383">
        <f>IF($G383="","",IF(Sync!$X380="","",Sync!$X380))</f>
        <v/>
      </c>
      <c r="I383">
        <f>IF($G383="","",IFERROR(VLOOKUP(Sync!$X380,OpTbl,3,0),""))</f>
        <v/>
      </c>
      <c r="J383">
        <f>IF(OR($G383="",Sync!$Z380=""),"",Sync!$Z380)</f>
        <v/>
      </c>
      <c r="K383">
        <f>IF(OR($G383="",Sync!$AA380=""),"",Sync!$AA380)</f>
        <v/>
      </c>
      <c r="L383">
        <f>IF($G383="",0,IF(Sync!$AB380="",0,Sync!$AB380))</f>
        <v/>
      </c>
      <c r="M383">
        <f>IF($G383="",0,IF(Sync!$AC380="",0,Sync!$AC380))</f>
        <v/>
      </c>
      <c r="N383">
        <f>IF($G383="","",IF($H383="مرجوعی خرید",-1,1)*($L383-$M383*IFERROR(VLOOKUP("P01",ParamTbl,3,0),1.5))*(1-IF($I383="خرید",IFERROR(VLOOKUP("P02",ParamTbl,3,0),1),0)/100))</f>
        <v/>
      </c>
      <c r="O383">
        <f>IF($G383="",0,IF($H383="مرجوعی خرید",-1,1)*IF(Sync!$AD380="",0,Sync!$AD380))</f>
        <v/>
      </c>
      <c r="P383">
        <f>IF(OR($G383="",Sync!$W380=""),"",Sync!$W380)</f>
        <v/>
      </c>
      <c r="Q383">
        <f>IF(OR($G383="",Sync!$AE380=""),"",Sync!$AE380)</f>
        <v/>
      </c>
      <c r="R383">
        <f>IF($G383="","",IF(Sync!$V380="","0000",IF(AND(ISNUMBER(Sync!$V380),Sync!$V380&gt;=0,Sync!$V380&lt;1),RIGHT("00"&amp;HOUR(Sync!$V380),2)&amp;RIGHT("00"&amp;MINUTE(Sync!$V380),2),IFERROR(RIGHT("00"&amp;VALUE(LEFT(Sync!$V380,FIND(":",Sync!$V380)-1)),2)&amp;RIGHT("00"&amp;VALUE(MID(Sync!$V380,FIND(":",Sync!$V380)+1,2)),2),"0000"))))</f>
        <v/>
      </c>
    </row>
    <row r="384">
      <c r="A384">
        <f>IF(Sync!$U381="","",Sync!$U381)</f>
        <v/>
      </c>
      <c r="B384">
        <f>IF($A384="","",IF(ISNUMBER($A384),IF(AND($A384&gt;=10000101,$A384&lt;=99991231),INT($A384/10000),""),IFERROR(VALUE(TRIM(LEFT($A384,FIND("/",$A384)-1))),"")))</f>
        <v/>
      </c>
      <c r="C384">
        <f>IF(OR($A384="",$B384=""),"",IF(ISNUMBER($A384),INT(MOD($A384,10000)/100),IFERROR(VALUE(TRIM(LEFT(MID($A384,FIND("/",$A384)+1,20),FIND("/",MID($A384,FIND("/",$A384)+1,20))-1))),"")))</f>
        <v/>
      </c>
      <c r="D384">
        <f>IF(OR($A384="",$B384=""),"",IF(ISNUMBER($A384),MOD($A384,100),IFERROR(VALUE(TRIM(MID(MID($A384,FIND("/",$A384)+1,20),FIND("/",MID($A384,FIND("/",$A384)+1,20))+1,20))),"")))</f>
        <v/>
      </c>
      <c r="E384">
        <f>IF($A384="","",IF(OR($B384="",$C384="",$D384="",$B384&lt;1300,$B384&gt;1500,$C384&lt;1,$C384&gt;12,$D384&lt;1,$D384&gt;31),"نامعتبر",RIGHT("0000"&amp;$B384,4)&amp;"/"&amp;RIGHT("00"&amp;$C384,2)&amp;"/"&amp;RIGHT("00"&amp;$D384,2)))</f>
        <v/>
      </c>
      <c r="F384">
        <f>IF(OR($E384="",$E384="نامعتبر"),"",LEFT($E384,4)&amp;"/"&amp;MID($E384,6,2))</f>
        <v/>
      </c>
      <c r="G384">
        <f>IF(OR($E384="",$E384="نامعتبر",Sync!$Y381=""),"",Sync!$Y381)</f>
        <v/>
      </c>
      <c r="H384">
        <f>IF($G384="","",IF(Sync!$X381="","",Sync!$X381))</f>
        <v/>
      </c>
      <c r="I384">
        <f>IF($G384="","",IFERROR(VLOOKUP(Sync!$X381,OpTbl,3,0),""))</f>
        <v/>
      </c>
      <c r="J384">
        <f>IF(OR($G384="",Sync!$Z381=""),"",Sync!$Z381)</f>
        <v/>
      </c>
      <c r="K384">
        <f>IF(OR($G384="",Sync!$AA381=""),"",Sync!$AA381)</f>
        <v/>
      </c>
      <c r="L384">
        <f>IF($G384="",0,IF(Sync!$AB381="",0,Sync!$AB381))</f>
        <v/>
      </c>
      <c r="M384">
        <f>IF($G384="",0,IF(Sync!$AC381="",0,Sync!$AC381))</f>
        <v/>
      </c>
      <c r="N384">
        <f>IF($G384="","",IF($H384="مرجوعی خرید",-1,1)*($L384-$M384*IFERROR(VLOOKUP("P01",ParamTbl,3,0),1.5))*(1-IF($I384="خرید",IFERROR(VLOOKUP("P02",ParamTbl,3,0),1),0)/100))</f>
        <v/>
      </c>
      <c r="O384">
        <f>IF($G384="",0,IF($H384="مرجوعی خرید",-1,1)*IF(Sync!$AD381="",0,Sync!$AD381))</f>
        <v/>
      </c>
      <c r="P384">
        <f>IF(OR($G384="",Sync!$W381=""),"",Sync!$W381)</f>
        <v/>
      </c>
      <c r="Q384">
        <f>IF(OR($G384="",Sync!$AE381=""),"",Sync!$AE381)</f>
        <v/>
      </c>
      <c r="R384">
        <f>IF($G384="","",IF(Sync!$V381="","0000",IF(AND(ISNUMBER(Sync!$V381),Sync!$V381&gt;=0,Sync!$V381&lt;1),RIGHT("00"&amp;HOUR(Sync!$V381),2)&amp;RIGHT("00"&amp;MINUTE(Sync!$V381),2),IFERROR(RIGHT("00"&amp;VALUE(LEFT(Sync!$V381,FIND(":",Sync!$V381)-1)),2)&amp;RIGHT("00"&amp;VALUE(MID(Sync!$V381,FIND(":",Sync!$V381)+1,2)),2),"0000"))))</f>
        <v/>
      </c>
    </row>
    <row r="385">
      <c r="A385">
        <f>IF(Sync!$U382="","",Sync!$U382)</f>
        <v/>
      </c>
      <c r="B385">
        <f>IF($A385="","",IF(ISNUMBER($A385),IF(AND($A385&gt;=10000101,$A385&lt;=99991231),INT($A385/10000),""),IFERROR(VALUE(TRIM(LEFT($A385,FIND("/",$A385)-1))),"")))</f>
        <v/>
      </c>
      <c r="C385">
        <f>IF(OR($A385="",$B385=""),"",IF(ISNUMBER($A385),INT(MOD($A385,10000)/100),IFERROR(VALUE(TRIM(LEFT(MID($A385,FIND("/",$A385)+1,20),FIND("/",MID($A385,FIND("/",$A385)+1,20))-1))),"")))</f>
        <v/>
      </c>
      <c r="D385">
        <f>IF(OR($A385="",$B385=""),"",IF(ISNUMBER($A385),MOD($A385,100),IFERROR(VALUE(TRIM(MID(MID($A385,FIND("/",$A385)+1,20),FIND("/",MID($A385,FIND("/",$A385)+1,20))+1,20))),"")))</f>
        <v/>
      </c>
      <c r="E385">
        <f>IF($A385="","",IF(OR($B385="",$C385="",$D385="",$B385&lt;1300,$B385&gt;1500,$C385&lt;1,$C385&gt;12,$D385&lt;1,$D385&gt;31),"نامعتبر",RIGHT("0000"&amp;$B385,4)&amp;"/"&amp;RIGHT("00"&amp;$C385,2)&amp;"/"&amp;RIGHT("00"&amp;$D385,2)))</f>
        <v/>
      </c>
      <c r="F385">
        <f>IF(OR($E385="",$E385="نامعتبر"),"",LEFT($E385,4)&amp;"/"&amp;MID($E385,6,2))</f>
        <v/>
      </c>
      <c r="G385">
        <f>IF(OR($E385="",$E385="نامعتبر",Sync!$Y382=""),"",Sync!$Y382)</f>
        <v/>
      </c>
      <c r="H385">
        <f>IF($G385="","",IF(Sync!$X382="","",Sync!$X382))</f>
        <v/>
      </c>
      <c r="I385">
        <f>IF($G385="","",IFERROR(VLOOKUP(Sync!$X382,OpTbl,3,0),""))</f>
        <v/>
      </c>
      <c r="J385">
        <f>IF(OR($G385="",Sync!$Z382=""),"",Sync!$Z382)</f>
        <v/>
      </c>
      <c r="K385">
        <f>IF(OR($G385="",Sync!$AA382=""),"",Sync!$AA382)</f>
        <v/>
      </c>
      <c r="L385">
        <f>IF($G385="",0,IF(Sync!$AB382="",0,Sync!$AB382))</f>
        <v/>
      </c>
      <c r="M385">
        <f>IF($G385="",0,IF(Sync!$AC382="",0,Sync!$AC382))</f>
        <v/>
      </c>
      <c r="N385">
        <f>IF($G385="","",IF($H385="مرجوعی خرید",-1,1)*($L385-$M385*IFERROR(VLOOKUP("P01",ParamTbl,3,0),1.5))*(1-IF($I385="خرید",IFERROR(VLOOKUP("P02",ParamTbl,3,0),1),0)/100))</f>
        <v/>
      </c>
      <c r="O385">
        <f>IF($G385="",0,IF($H385="مرجوعی خرید",-1,1)*IF(Sync!$AD382="",0,Sync!$AD382))</f>
        <v/>
      </c>
      <c r="P385">
        <f>IF(OR($G385="",Sync!$W382=""),"",Sync!$W382)</f>
        <v/>
      </c>
      <c r="Q385">
        <f>IF(OR($G385="",Sync!$AE382=""),"",Sync!$AE382)</f>
        <v/>
      </c>
      <c r="R385">
        <f>IF($G385="","",IF(Sync!$V382="","0000",IF(AND(ISNUMBER(Sync!$V382),Sync!$V382&gt;=0,Sync!$V382&lt;1),RIGHT("00"&amp;HOUR(Sync!$V382),2)&amp;RIGHT("00"&amp;MINUTE(Sync!$V382),2),IFERROR(RIGHT("00"&amp;VALUE(LEFT(Sync!$V382,FIND(":",Sync!$V382)-1)),2)&amp;RIGHT("00"&amp;VALUE(MID(Sync!$V382,FIND(":",Sync!$V382)+1,2)),2),"0000"))))</f>
        <v/>
      </c>
    </row>
    <row r="386">
      <c r="A386">
        <f>IF(Sync!$U383="","",Sync!$U383)</f>
        <v/>
      </c>
      <c r="B386">
        <f>IF($A386="","",IF(ISNUMBER($A386),IF(AND($A386&gt;=10000101,$A386&lt;=99991231),INT($A386/10000),""),IFERROR(VALUE(TRIM(LEFT($A386,FIND("/",$A386)-1))),"")))</f>
        <v/>
      </c>
      <c r="C386">
        <f>IF(OR($A386="",$B386=""),"",IF(ISNUMBER($A386),INT(MOD($A386,10000)/100),IFERROR(VALUE(TRIM(LEFT(MID($A386,FIND("/",$A386)+1,20),FIND("/",MID($A386,FIND("/",$A386)+1,20))-1))),"")))</f>
        <v/>
      </c>
      <c r="D386">
        <f>IF(OR($A386="",$B386=""),"",IF(ISNUMBER($A386),MOD($A386,100),IFERROR(VALUE(TRIM(MID(MID($A386,FIND("/",$A386)+1,20),FIND("/",MID($A386,FIND("/",$A386)+1,20))+1,20))),"")))</f>
        <v/>
      </c>
      <c r="E386">
        <f>IF($A386="","",IF(OR($B386="",$C386="",$D386="",$B386&lt;1300,$B386&gt;1500,$C386&lt;1,$C386&gt;12,$D386&lt;1,$D386&gt;31),"نامعتبر",RIGHT("0000"&amp;$B386,4)&amp;"/"&amp;RIGHT("00"&amp;$C386,2)&amp;"/"&amp;RIGHT("00"&amp;$D386,2)))</f>
        <v/>
      </c>
      <c r="F386">
        <f>IF(OR($E386="",$E386="نامعتبر"),"",LEFT($E386,4)&amp;"/"&amp;MID($E386,6,2))</f>
        <v/>
      </c>
      <c r="G386">
        <f>IF(OR($E386="",$E386="نامعتبر",Sync!$Y383=""),"",Sync!$Y383)</f>
        <v/>
      </c>
      <c r="H386">
        <f>IF($G386="","",IF(Sync!$X383="","",Sync!$X383))</f>
        <v/>
      </c>
      <c r="I386">
        <f>IF($G386="","",IFERROR(VLOOKUP(Sync!$X383,OpTbl,3,0),""))</f>
        <v/>
      </c>
      <c r="J386">
        <f>IF(OR($G386="",Sync!$Z383=""),"",Sync!$Z383)</f>
        <v/>
      </c>
      <c r="K386">
        <f>IF(OR($G386="",Sync!$AA383=""),"",Sync!$AA383)</f>
        <v/>
      </c>
      <c r="L386">
        <f>IF($G386="",0,IF(Sync!$AB383="",0,Sync!$AB383))</f>
        <v/>
      </c>
      <c r="M386">
        <f>IF($G386="",0,IF(Sync!$AC383="",0,Sync!$AC383))</f>
        <v/>
      </c>
      <c r="N386">
        <f>IF($G386="","",IF($H386="مرجوعی خرید",-1,1)*($L386-$M386*IFERROR(VLOOKUP("P01",ParamTbl,3,0),1.5))*(1-IF($I386="خرید",IFERROR(VLOOKUP("P02",ParamTbl,3,0),1),0)/100))</f>
        <v/>
      </c>
      <c r="O386">
        <f>IF($G386="",0,IF($H386="مرجوعی خرید",-1,1)*IF(Sync!$AD383="",0,Sync!$AD383))</f>
        <v/>
      </c>
      <c r="P386">
        <f>IF(OR($G386="",Sync!$W383=""),"",Sync!$W383)</f>
        <v/>
      </c>
      <c r="Q386">
        <f>IF(OR($G386="",Sync!$AE383=""),"",Sync!$AE383)</f>
        <v/>
      </c>
      <c r="R386">
        <f>IF($G386="","",IF(Sync!$V383="","0000",IF(AND(ISNUMBER(Sync!$V383),Sync!$V383&gt;=0,Sync!$V383&lt;1),RIGHT("00"&amp;HOUR(Sync!$V383),2)&amp;RIGHT("00"&amp;MINUTE(Sync!$V383),2),IFERROR(RIGHT("00"&amp;VALUE(LEFT(Sync!$V383,FIND(":",Sync!$V383)-1)),2)&amp;RIGHT("00"&amp;VALUE(MID(Sync!$V383,FIND(":",Sync!$V383)+1,2)),2),"0000"))))</f>
        <v/>
      </c>
    </row>
    <row r="387">
      <c r="A387">
        <f>IF(Sync!$U384="","",Sync!$U384)</f>
        <v/>
      </c>
      <c r="B387">
        <f>IF($A387="","",IF(ISNUMBER($A387),IF(AND($A387&gt;=10000101,$A387&lt;=99991231),INT($A387/10000),""),IFERROR(VALUE(TRIM(LEFT($A387,FIND("/",$A387)-1))),"")))</f>
        <v/>
      </c>
      <c r="C387">
        <f>IF(OR($A387="",$B387=""),"",IF(ISNUMBER($A387),INT(MOD($A387,10000)/100),IFERROR(VALUE(TRIM(LEFT(MID($A387,FIND("/",$A387)+1,20),FIND("/",MID($A387,FIND("/",$A387)+1,20))-1))),"")))</f>
        <v/>
      </c>
      <c r="D387">
        <f>IF(OR($A387="",$B387=""),"",IF(ISNUMBER($A387),MOD($A387,100),IFERROR(VALUE(TRIM(MID(MID($A387,FIND("/",$A387)+1,20),FIND("/",MID($A387,FIND("/",$A387)+1,20))+1,20))),"")))</f>
        <v/>
      </c>
      <c r="E387">
        <f>IF($A387="","",IF(OR($B387="",$C387="",$D387="",$B387&lt;1300,$B387&gt;1500,$C387&lt;1,$C387&gt;12,$D387&lt;1,$D387&gt;31),"نامعتبر",RIGHT("0000"&amp;$B387,4)&amp;"/"&amp;RIGHT("00"&amp;$C387,2)&amp;"/"&amp;RIGHT("00"&amp;$D387,2)))</f>
        <v/>
      </c>
      <c r="F387">
        <f>IF(OR($E387="",$E387="نامعتبر"),"",LEFT($E387,4)&amp;"/"&amp;MID($E387,6,2))</f>
        <v/>
      </c>
      <c r="G387">
        <f>IF(OR($E387="",$E387="نامعتبر",Sync!$Y384=""),"",Sync!$Y384)</f>
        <v/>
      </c>
      <c r="H387">
        <f>IF($G387="","",IF(Sync!$X384="","",Sync!$X384))</f>
        <v/>
      </c>
      <c r="I387">
        <f>IF($G387="","",IFERROR(VLOOKUP(Sync!$X384,OpTbl,3,0),""))</f>
        <v/>
      </c>
      <c r="J387">
        <f>IF(OR($G387="",Sync!$Z384=""),"",Sync!$Z384)</f>
        <v/>
      </c>
      <c r="K387">
        <f>IF(OR($G387="",Sync!$AA384=""),"",Sync!$AA384)</f>
        <v/>
      </c>
      <c r="L387">
        <f>IF($G387="",0,IF(Sync!$AB384="",0,Sync!$AB384))</f>
        <v/>
      </c>
      <c r="M387">
        <f>IF($G387="",0,IF(Sync!$AC384="",0,Sync!$AC384))</f>
        <v/>
      </c>
      <c r="N387">
        <f>IF($G387="","",IF($H387="مرجوعی خرید",-1,1)*($L387-$M387*IFERROR(VLOOKUP("P01",ParamTbl,3,0),1.5))*(1-IF($I387="خرید",IFERROR(VLOOKUP("P02",ParamTbl,3,0),1),0)/100))</f>
        <v/>
      </c>
      <c r="O387">
        <f>IF($G387="",0,IF($H387="مرجوعی خرید",-1,1)*IF(Sync!$AD384="",0,Sync!$AD384))</f>
        <v/>
      </c>
      <c r="P387">
        <f>IF(OR($G387="",Sync!$W384=""),"",Sync!$W384)</f>
        <v/>
      </c>
      <c r="Q387">
        <f>IF(OR($G387="",Sync!$AE384=""),"",Sync!$AE384)</f>
        <v/>
      </c>
      <c r="R387">
        <f>IF($G387="","",IF(Sync!$V384="","0000",IF(AND(ISNUMBER(Sync!$V384),Sync!$V384&gt;=0,Sync!$V384&lt;1),RIGHT("00"&amp;HOUR(Sync!$V384),2)&amp;RIGHT("00"&amp;MINUTE(Sync!$V384),2),IFERROR(RIGHT("00"&amp;VALUE(LEFT(Sync!$V384,FIND(":",Sync!$V384)-1)),2)&amp;RIGHT("00"&amp;VALUE(MID(Sync!$V384,FIND(":",Sync!$V384)+1,2)),2),"0000"))))</f>
        <v/>
      </c>
    </row>
    <row r="388">
      <c r="A388">
        <f>IF(Sync!$U385="","",Sync!$U385)</f>
        <v/>
      </c>
      <c r="B388">
        <f>IF($A388="","",IF(ISNUMBER($A388),IF(AND($A388&gt;=10000101,$A388&lt;=99991231),INT($A388/10000),""),IFERROR(VALUE(TRIM(LEFT($A388,FIND("/",$A388)-1))),"")))</f>
        <v/>
      </c>
      <c r="C388">
        <f>IF(OR($A388="",$B388=""),"",IF(ISNUMBER($A388),INT(MOD($A388,10000)/100),IFERROR(VALUE(TRIM(LEFT(MID($A388,FIND("/",$A388)+1,20),FIND("/",MID($A388,FIND("/",$A388)+1,20))-1))),"")))</f>
        <v/>
      </c>
      <c r="D388">
        <f>IF(OR($A388="",$B388=""),"",IF(ISNUMBER($A388),MOD($A388,100),IFERROR(VALUE(TRIM(MID(MID($A388,FIND("/",$A388)+1,20),FIND("/",MID($A388,FIND("/",$A388)+1,20))+1,20))),"")))</f>
        <v/>
      </c>
      <c r="E388">
        <f>IF($A388="","",IF(OR($B388="",$C388="",$D388="",$B388&lt;1300,$B388&gt;1500,$C388&lt;1,$C388&gt;12,$D388&lt;1,$D388&gt;31),"نامعتبر",RIGHT("0000"&amp;$B388,4)&amp;"/"&amp;RIGHT("00"&amp;$C388,2)&amp;"/"&amp;RIGHT("00"&amp;$D388,2)))</f>
        <v/>
      </c>
      <c r="F388">
        <f>IF(OR($E388="",$E388="نامعتبر"),"",LEFT($E388,4)&amp;"/"&amp;MID($E388,6,2))</f>
        <v/>
      </c>
      <c r="G388">
        <f>IF(OR($E388="",$E388="نامعتبر",Sync!$Y385=""),"",Sync!$Y385)</f>
        <v/>
      </c>
      <c r="H388">
        <f>IF($G388="","",IF(Sync!$X385="","",Sync!$X385))</f>
        <v/>
      </c>
      <c r="I388">
        <f>IF($G388="","",IFERROR(VLOOKUP(Sync!$X385,OpTbl,3,0),""))</f>
        <v/>
      </c>
      <c r="J388">
        <f>IF(OR($G388="",Sync!$Z385=""),"",Sync!$Z385)</f>
        <v/>
      </c>
      <c r="K388">
        <f>IF(OR($G388="",Sync!$AA385=""),"",Sync!$AA385)</f>
        <v/>
      </c>
      <c r="L388">
        <f>IF($G388="",0,IF(Sync!$AB385="",0,Sync!$AB385))</f>
        <v/>
      </c>
      <c r="M388">
        <f>IF($G388="",0,IF(Sync!$AC385="",0,Sync!$AC385))</f>
        <v/>
      </c>
      <c r="N388">
        <f>IF($G388="","",IF($H388="مرجوعی خرید",-1,1)*($L388-$M388*IFERROR(VLOOKUP("P01",ParamTbl,3,0),1.5))*(1-IF($I388="خرید",IFERROR(VLOOKUP("P02",ParamTbl,3,0),1),0)/100))</f>
        <v/>
      </c>
      <c r="O388">
        <f>IF($G388="",0,IF($H388="مرجوعی خرید",-1,1)*IF(Sync!$AD385="",0,Sync!$AD385))</f>
        <v/>
      </c>
      <c r="P388">
        <f>IF(OR($G388="",Sync!$W385=""),"",Sync!$W385)</f>
        <v/>
      </c>
      <c r="Q388">
        <f>IF(OR($G388="",Sync!$AE385=""),"",Sync!$AE385)</f>
        <v/>
      </c>
      <c r="R388">
        <f>IF($G388="","",IF(Sync!$V385="","0000",IF(AND(ISNUMBER(Sync!$V385),Sync!$V385&gt;=0,Sync!$V385&lt;1),RIGHT("00"&amp;HOUR(Sync!$V385),2)&amp;RIGHT("00"&amp;MINUTE(Sync!$V385),2),IFERROR(RIGHT("00"&amp;VALUE(LEFT(Sync!$V385,FIND(":",Sync!$V385)-1)),2)&amp;RIGHT("00"&amp;VALUE(MID(Sync!$V385,FIND(":",Sync!$V385)+1,2)),2),"0000"))))</f>
        <v/>
      </c>
    </row>
    <row r="389">
      <c r="A389">
        <f>IF(Sync!$U386="","",Sync!$U386)</f>
        <v/>
      </c>
      <c r="B389">
        <f>IF($A389="","",IF(ISNUMBER($A389),IF(AND($A389&gt;=10000101,$A389&lt;=99991231),INT($A389/10000),""),IFERROR(VALUE(TRIM(LEFT($A389,FIND("/",$A389)-1))),"")))</f>
        <v/>
      </c>
      <c r="C389">
        <f>IF(OR($A389="",$B389=""),"",IF(ISNUMBER($A389),INT(MOD($A389,10000)/100),IFERROR(VALUE(TRIM(LEFT(MID($A389,FIND("/",$A389)+1,20),FIND("/",MID($A389,FIND("/",$A389)+1,20))-1))),"")))</f>
        <v/>
      </c>
      <c r="D389">
        <f>IF(OR($A389="",$B389=""),"",IF(ISNUMBER($A389),MOD($A389,100),IFERROR(VALUE(TRIM(MID(MID($A389,FIND("/",$A389)+1,20),FIND("/",MID($A389,FIND("/",$A389)+1,20))+1,20))),"")))</f>
        <v/>
      </c>
      <c r="E389">
        <f>IF($A389="","",IF(OR($B389="",$C389="",$D389="",$B389&lt;1300,$B389&gt;1500,$C389&lt;1,$C389&gt;12,$D389&lt;1,$D389&gt;31),"نامعتبر",RIGHT("0000"&amp;$B389,4)&amp;"/"&amp;RIGHT("00"&amp;$C389,2)&amp;"/"&amp;RIGHT("00"&amp;$D389,2)))</f>
        <v/>
      </c>
      <c r="F389">
        <f>IF(OR($E389="",$E389="نامعتبر"),"",LEFT($E389,4)&amp;"/"&amp;MID($E389,6,2))</f>
        <v/>
      </c>
      <c r="G389">
        <f>IF(OR($E389="",$E389="نامعتبر",Sync!$Y386=""),"",Sync!$Y386)</f>
        <v/>
      </c>
      <c r="H389">
        <f>IF($G389="","",IF(Sync!$X386="","",Sync!$X386))</f>
        <v/>
      </c>
      <c r="I389">
        <f>IF($G389="","",IFERROR(VLOOKUP(Sync!$X386,OpTbl,3,0),""))</f>
        <v/>
      </c>
      <c r="J389">
        <f>IF(OR($G389="",Sync!$Z386=""),"",Sync!$Z386)</f>
        <v/>
      </c>
      <c r="K389">
        <f>IF(OR($G389="",Sync!$AA386=""),"",Sync!$AA386)</f>
        <v/>
      </c>
      <c r="L389">
        <f>IF($G389="",0,IF(Sync!$AB386="",0,Sync!$AB386))</f>
        <v/>
      </c>
      <c r="M389">
        <f>IF($G389="",0,IF(Sync!$AC386="",0,Sync!$AC386))</f>
        <v/>
      </c>
      <c r="N389">
        <f>IF($G389="","",IF($H389="مرجوعی خرید",-1,1)*($L389-$M389*IFERROR(VLOOKUP("P01",ParamTbl,3,0),1.5))*(1-IF($I389="خرید",IFERROR(VLOOKUP("P02",ParamTbl,3,0),1),0)/100))</f>
        <v/>
      </c>
      <c r="O389">
        <f>IF($G389="",0,IF($H389="مرجوعی خرید",-1,1)*IF(Sync!$AD386="",0,Sync!$AD386))</f>
        <v/>
      </c>
      <c r="P389">
        <f>IF(OR($G389="",Sync!$W386=""),"",Sync!$W386)</f>
        <v/>
      </c>
      <c r="Q389">
        <f>IF(OR($G389="",Sync!$AE386=""),"",Sync!$AE386)</f>
        <v/>
      </c>
      <c r="R389">
        <f>IF($G389="","",IF(Sync!$V386="","0000",IF(AND(ISNUMBER(Sync!$V386),Sync!$V386&gt;=0,Sync!$V386&lt;1),RIGHT("00"&amp;HOUR(Sync!$V386),2)&amp;RIGHT("00"&amp;MINUTE(Sync!$V386),2),IFERROR(RIGHT("00"&amp;VALUE(LEFT(Sync!$V386,FIND(":",Sync!$V386)-1)),2)&amp;RIGHT("00"&amp;VALUE(MID(Sync!$V386,FIND(":",Sync!$V386)+1,2)),2),"0000"))))</f>
        <v/>
      </c>
    </row>
    <row r="390">
      <c r="A390">
        <f>IF(Sync!$U387="","",Sync!$U387)</f>
        <v/>
      </c>
      <c r="B390">
        <f>IF($A390="","",IF(ISNUMBER($A390),IF(AND($A390&gt;=10000101,$A390&lt;=99991231),INT($A390/10000),""),IFERROR(VALUE(TRIM(LEFT($A390,FIND("/",$A390)-1))),"")))</f>
        <v/>
      </c>
      <c r="C390">
        <f>IF(OR($A390="",$B390=""),"",IF(ISNUMBER($A390),INT(MOD($A390,10000)/100),IFERROR(VALUE(TRIM(LEFT(MID($A390,FIND("/",$A390)+1,20),FIND("/",MID($A390,FIND("/",$A390)+1,20))-1))),"")))</f>
        <v/>
      </c>
      <c r="D390">
        <f>IF(OR($A390="",$B390=""),"",IF(ISNUMBER($A390),MOD($A390,100),IFERROR(VALUE(TRIM(MID(MID($A390,FIND("/",$A390)+1,20),FIND("/",MID($A390,FIND("/",$A390)+1,20))+1,20))),"")))</f>
        <v/>
      </c>
      <c r="E390">
        <f>IF($A390="","",IF(OR($B390="",$C390="",$D390="",$B390&lt;1300,$B390&gt;1500,$C390&lt;1,$C390&gt;12,$D390&lt;1,$D390&gt;31),"نامعتبر",RIGHT("0000"&amp;$B390,4)&amp;"/"&amp;RIGHT("00"&amp;$C390,2)&amp;"/"&amp;RIGHT("00"&amp;$D390,2)))</f>
        <v/>
      </c>
      <c r="F390">
        <f>IF(OR($E390="",$E390="نامعتبر"),"",LEFT($E390,4)&amp;"/"&amp;MID($E390,6,2))</f>
        <v/>
      </c>
      <c r="G390">
        <f>IF(OR($E390="",$E390="نامعتبر",Sync!$Y387=""),"",Sync!$Y387)</f>
        <v/>
      </c>
      <c r="H390">
        <f>IF($G390="","",IF(Sync!$X387="","",Sync!$X387))</f>
        <v/>
      </c>
      <c r="I390">
        <f>IF($G390="","",IFERROR(VLOOKUP(Sync!$X387,OpTbl,3,0),""))</f>
        <v/>
      </c>
      <c r="J390">
        <f>IF(OR($G390="",Sync!$Z387=""),"",Sync!$Z387)</f>
        <v/>
      </c>
      <c r="K390">
        <f>IF(OR($G390="",Sync!$AA387=""),"",Sync!$AA387)</f>
        <v/>
      </c>
      <c r="L390">
        <f>IF($G390="",0,IF(Sync!$AB387="",0,Sync!$AB387))</f>
        <v/>
      </c>
      <c r="M390">
        <f>IF($G390="",0,IF(Sync!$AC387="",0,Sync!$AC387))</f>
        <v/>
      </c>
      <c r="N390">
        <f>IF($G390="","",IF($H390="مرجوعی خرید",-1,1)*($L390-$M390*IFERROR(VLOOKUP("P01",ParamTbl,3,0),1.5))*(1-IF($I390="خرید",IFERROR(VLOOKUP("P02",ParamTbl,3,0),1),0)/100))</f>
        <v/>
      </c>
      <c r="O390">
        <f>IF($G390="",0,IF($H390="مرجوعی خرید",-1,1)*IF(Sync!$AD387="",0,Sync!$AD387))</f>
        <v/>
      </c>
      <c r="P390">
        <f>IF(OR($G390="",Sync!$W387=""),"",Sync!$W387)</f>
        <v/>
      </c>
      <c r="Q390">
        <f>IF(OR($G390="",Sync!$AE387=""),"",Sync!$AE387)</f>
        <v/>
      </c>
      <c r="R390">
        <f>IF($G390="","",IF(Sync!$V387="","0000",IF(AND(ISNUMBER(Sync!$V387),Sync!$V387&gt;=0,Sync!$V387&lt;1),RIGHT("00"&amp;HOUR(Sync!$V387),2)&amp;RIGHT("00"&amp;MINUTE(Sync!$V387),2),IFERROR(RIGHT("00"&amp;VALUE(LEFT(Sync!$V387,FIND(":",Sync!$V387)-1)),2)&amp;RIGHT("00"&amp;VALUE(MID(Sync!$V387,FIND(":",Sync!$V387)+1,2)),2),"0000"))))</f>
        <v/>
      </c>
    </row>
    <row r="391">
      <c r="A391">
        <f>IF(Sync!$U388="","",Sync!$U388)</f>
        <v/>
      </c>
      <c r="B391">
        <f>IF($A391="","",IF(ISNUMBER($A391),IF(AND($A391&gt;=10000101,$A391&lt;=99991231),INT($A391/10000),""),IFERROR(VALUE(TRIM(LEFT($A391,FIND("/",$A391)-1))),"")))</f>
        <v/>
      </c>
      <c r="C391">
        <f>IF(OR($A391="",$B391=""),"",IF(ISNUMBER($A391),INT(MOD($A391,10000)/100),IFERROR(VALUE(TRIM(LEFT(MID($A391,FIND("/",$A391)+1,20),FIND("/",MID($A391,FIND("/",$A391)+1,20))-1))),"")))</f>
        <v/>
      </c>
      <c r="D391">
        <f>IF(OR($A391="",$B391=""),"",IF(ISNUMBER($A391),MOD($A391,100),IFERROR(VALUE(TRIM(MID(MID($A391,FIND("/",$A391)+1,20),FIND("/",MID($A391,FIND("/",$A391)+1,20))+1,20))),"")))</f>
        <v/>
      </c>
      <c r="E391">
        <f>IF($A391="","",IF(OR($B391="",$C391="",$D391="",$B391&lt;1300,$B391&gt;1500,$C391&lt;1,$C391&gt;12,$D391&lt;1,$D391&gt;31),"نامعتبر",RIGHT("0000"&amp;$B391,4)&amp;"/"&amp;RIGHT("00"&amp;$C391,2)&amp;"/"&amp;RIGHT("00"&amp;$D391,2)))</f>
        <v/>
      </c>
      <c r="F391">
        <f>IF(OR($E391="",$E391="نامعتبر"),"",LEFT($E391,4)&amp;"/"&amp;MID($E391,6,2))</f>
        <v/>
      </c>
      <c r="G391">
        <f>IF(OR($E391="",$E391="نامعتبر",Sync!$Y388=""),"",Sync!$Y388)</f>
        <v/>
      </c>
      <c r="H391">
        <f>IF($G391="","",IF(Sync!$X388="","",Sync!$X388))</f>
        <v/>
      </c>
      <c r="I391">
        <f>IF($G391="","",IFERROR(VLOOKUP(Sync!$X388,OpTbl,3,0),""))</f>
        <v/>
      </c>
      <c r="J391">
        <f>IF(OR($G391="",Sync!$Z388=""),"",Sync!$Z388)</f>
        <v/>
      </c>
      <c r="K391">
        <f>IF(OR($G391="",Sync!$AA388=""),"",Sync!$AA388)</f>
        <v/>
      </c>
      <c r="L391">
        <f>IF($G391="",0,IF(Sync!$AB388="",0,Sync!$AB388))</f>
        <v/>
      </c>
      <c r="M391">
        <f>IF($G391="",0,IF(Sync!$AC388="",0,Sync!$AC388))</f>
        <v/>
      </c>
      <c r="N391">
        <f>IF($G391="","",IF($H391="مرجوعی خرید",-1,1)*($L391-$M391*IFERROR(VLOOKUP("P01",ParamTbl,3,0),1.5))*(1-IF($I391="خرید",IFERROR(VLOOKUP("P02",ParamTbl,3,0),1),0)/100))</f>
        <v/>
      </c>
      <c r="O391">
        <f>IF($G391="",0,IF($H391="مرجوعی خرید",-1,1)*IF(Sync!$AD388="",0,Sync!$AD388))</f>
        <v/>
      </c>
      <c r="P391">
        <f>IF(OR($G391="",Sync!$W388=""),"",Sync!$W388)</f>
        <v/>
      </c>
      <c r="Q391">
        <f>IF(OR($G391="",Sync!$AE388=""),"",Sync!$AE388)</f>
        <v/>
      </c>
      <c r="R391">
        <f>IF($G391="","",IF(Sync!$V388="","0000",IF(AND(ISNUMBER(Sync!$V388),Sync!$V388&gt;=0,Sync!$V388&lt;1),RIGHT("00"&amp;HOUR(Sync!$V388),2)&amp;RIGHT("00"&amp;MINUTE(Sync!$V388),2),IFERROR(RIGHT("00"&amp;VALUE(LEFT(Sync!$V388,FIND(":",Sync!$V388)-1)),2)&amp;RIGHT("00"&amp;VALUE(MID(Sync!$V388,FIND(":",Sync!$V388)+1,2)),2),"0000"))))</f>
        <v/>
      </c>
    </row>
    <row r="392">
      <c r="A392">
        <f>IF(Sync!$U389="","",Sync!$U389)</f>
        <v/>
      </c>
      <c r="B392">
        <f>IF($A392="","",IF(ISNUMBER($A392),IF(AND($A392&gt;=10000101,$A392&lt;=99991231),INT($A392/10000),""),IFERROR(VALUE(TRIM(LEFT($A392,FIND("/",$A392)-1))),"")))</f>
        <v/>
      </c>
      <c r="C392">
        <f>IF(OR($A392="",$B392=""),"",IF(ISNUMBER($A392),INT(MOD($A392,10000)/100),IFERROR(VALUE(TRIM(LEFT(MID($A392,FIND("/",$A392)+1,20),FIND("/",MID($A392,FIND("/",$A392)+1,20))-1))),"")))</f>
        <v/>
      </c>
      <c r="D392">
        <f>IF(OR($A392="",$B392=""),"",IF(ISNUMBER($A392),MOD($A392,100),IFERROR(VALUE(TRIM(MID(MID($A392,FIND("/",$A392)+1,20),FIND("/",MID($A392,FIND("/",$A392)+1,20))+1,20))),"")))</f>
        <v/>
      </c>
      <c r="E392">
        <f>IF($A392="","",IF(OR($B392="",$C392="",$D392="",$B392&lt;1300,$B392&gt;1500,$C392&lt;1,$C392&gt;12,$D392&lt;1,$D392&gt;31),"نامعتبر",RIGHT("0000"&amp;$B392,4)&amp;"/"&amp;RIGHT("00"&amp;$C392,2)&amp;"/"&amp;RIGHT("00"&amp;$D392,2)))</f>
        <v/>
      </c>
      <c r="F392">
        <f>IF(OR($E392="",$E392="نامعتبر"),"",LEFT($E392,4)&amp;"/"&amp;MID($E392,6,2))</f>
        <v/>
      </c>
      <c r="G392">
        <f>IF(OR($E392="",$E392="نامعتبر",Sync!$Y389=""),"",Sync!$Y389)</f>
        <v/>
      </c>
      <c r="H392">
        <f>IF($G392="","",IF(Sync!$X389="","",Sync!$X389))</f>
        <v/>
      </c>
      <c r="I392">
        <f>IF($G392="","",IFERROR(VLOOKUP(Sync!$X389,OpTbl,3,0),""))</f>
        <v/>
      </c>
      <c r="J392">
        <f>IF(OR($G392="",Sync!$Z389=""),"",Sync!$Z389)</f>
        <v/>
      </c>
      <c r="K392">
        <f>IF(OR($G392="",Sync!$AA389=""),"",Sync!$AA389)</f>
        <v/>
      </c>
      <c r="L392">
        <f>IF($G392="",0,IF(Sync!$AB389="",0,Sync!$AB389))</f>
        <v/>
      </c>
      <c r="M392">
        <f>IF($G392="",0,IF(Sync!$AC389="",0,Sync!$AC389))</f>
        <v/>
      </c>
      <c r="N392">
        <f>IF($G392="","",IF($H392="مرجوعی خرید",-1,1)*($L392-$M392*IFERROR(VLOOKUP("P01",ParamTbl,3,0),1.5))*(1-IF($I392="خرید",IFERROR(VLOOKUP("P02",ParamTbl,3,0),1),0)/100))</f>
        <v/>
      </c>
      <c r="O392">
        <f>IF($G392="",0,IF($H392="مرجوعی خرید",-1,1)*IF(Sync!$AD389="",0,Sync!$AD389))</f>
        <v/>
      </c>
      <c r="P392">
        <f>IF(OR($G392="",Sync!$W389=""),"",Sync!$W389)</f>
        <v/>
      </c>
      <c r="Q392">
        <f>IF(OR($G392="",Sync!$AE389=""),"",Sync!$AE389)</f>
        <v/>
      </c>
      <c r="R392">
        <f>IF($G392="","",IF(Sync!$V389="","0000",IF(AND(ISNUMBER(Sync!$V389),Sync!$V389&gt;=0,Sync!$V389&lt;1),RIGHT("00"&amp;HOUR(Sync!$V389),2)&amp;RIGHT("00"&amp;MINUTE(Sync!$V389),2),IFERROR(RIGHT("00"&amp;VALUE(LEFT(Sync!$V389,FIND(":",Sync!$V389)-1)),2)&amp;RIGHT("00"&amp;VALUE(MID(Sync!$V389,FIND(":",Sync!$V389)+1,2)),2),"0000"))))</f>
        <v/>
      </c>
    </row>
    <row r="393">
      <c r="A393">
        <f>IF(Sync!$U390="","",Sync!$U390)</f>
        <v/>
      </c>
      <c r="B393">
        <f>IF($A393="","",IF(ISNUMBER($A393),IF(AND($A393&gt;=10000101,$A393&lt;=99991231),INT($A393/10000),""),IFERROR(VALUE(TRIM(LEFT($A393,FIND("/",$A393)-1))),"")))</f>
        <v/>
      </c>
      <c r="C393">
        <f>IF(OR($A393="",$B393=""),"",IF(ISNUMBER($A393),INT(MOD($A393,10000)/100),IFERROR(VALUE(TRIM(LEFT(MID($A393,FIND("/",$A393)+1,20),FIND("/",MID($A393,FIND("/",$A393)+1,20))-1))),"")))</f>
        <v/>
      </c>
      <c r="D393">
        <f>IF(OR($A393="",$B393=""),"",IF(ISNUMBER($A393),MOD($A393,100),IFERROR(VALUE(TRIM(MID(MID($A393,FIND("/",$A393)+1,20),FIND("/",MID($A393,FIND("/",$A393)+1,20))+1,20))),"")))</f>
        <v/>
      </c>
      <c r="E393">
        <f>IF($A393="","",IF(OR($B393="",$C393="",$D393="",$B393&lt;1300,$B393&gt;1500,$C393&lt;1,$C393&gt;12,$D393&lt;1,$D393&gt;31),"نامعتبر",RIGHT("0000"&amp;$B393,4)&amp;"/"&amp;RIGHT("00"&amp;$C393,2)&amp;"/"&amp;RIGHT("00"&amp;$D393,2)))</f>
        <v/>
      </c>
      <c r="F393">
        <f>IF(OR($E393="",$E393="نامعتبر"),"",LEFT($E393,4)&amp;"/"&amp;MID($E393,6,2))</f>
        <v/>
      </c>
      <c r="G393">
        <f>IF(OR($E393="",$E393="نامعتبر",Sync!$Y390=""),"",Sync!$Y390)</f>
        <v/>
      </c>
      <c r="H393">
        <f>IF($G393="","",IF(Sync!$X390="","",Sync!$X390))</f>
        <v/>
      </c>
      <c r="I393">
        <f>IF($G393="","",IFERROR(VLOOKUP(Sync!$X390,OpTbl,3,0),""))</f>
        <v/>
      </c>
      <c r="J393">
        <f>IF(OR($G393="",Sync!$Z390=""),"",Sync!$Z390)</f>
        <v/>
      </c>
      <c r="K393">
        <f>IF(OR($G393="",Sync!$AA390=""),"",Sync!$AA390)</f>
        <v/>
      </c>
      <c r="L393">
        <f>IF($G393="",0,IF(Sync!$AB390="",0,Sync!$AB390))</f>
        <v/>
      </c>
      <c r="M393">
        <f>IF($G393="",0,IF(Sync!$AC390="",0,Sync!$AC390))</f>
        <v/>
      </c>
      <c r="N393">
        <f>IF($G393="","",IF($H393="مرجوعی خرید",-1,1)*($L393-$M393*IFERROR(VLOOKUP("P01",ParamTbl,3,0),1.5))*(1-IF($I393="خرید",IFERROR(VLOOKUP("P02",ParamTbl,3,0),1),0)/100))</f>
        <v/>
      </c>
      <c r="O393">
        <f>IF($G393="",0,IF($H393="مرجوعی خرید",-1,1)*IF(Sync!$AD390="",0,Sync!$AD390))</f>
        <v/>
      </c>
      <c r="P393">
        <f>IF(OR($G393="",Sync!$W390=""),"",Sync!$W390)</f>
        <v/>
      </c>
      <c r="Q393">
        <f>IF(OR($G393="",Sync!$AE390=""),"",Sync!$AE390)</f>
        <v/>
      </c>
      <c r="R393">
        <f>IF($G393="","",IF(Sync!$V390="","0000",IF(AND(ISNUMBER(Sync!$V390),Sync!$V390&gt;=0,Sync!$V390&lt;1),RIGHT("00"&amp;HOUR(Sync!$V390),2)&amp;RIGHT("00"&amp;MINUTE(Sync!$V390),2),IFERROR(RIGHT("00"&amp;VALUE(LEFT(Sync!$V390,FIND(":",Sync!$V390)-1)),2)&amp;RIGHT("00"&amp;VALUE(MID(Sync!$V390,FIND(":",Sync!$V390)+1,2)),2),"0000"))))</f>
        <v/>
      </c>
    </row>
    <row r="394">
      <c r="A394">
        <f>IF(Sync!$U391="","",Sync!$U391)</f>
        <v/>
      </c>
      <c r="B394">
        <f>IF($A394="","",IF(ISNUMBER($A394),IF(AND($A394&gt;=10000101,$A394&lt;=99991231),INT($A394/10000),""),IFERROR(VALUE(TRIM(LEFT($A394,FIND("/",$A394)-1))),"")))</f>
        <v/>
      </c>
      <c r="C394">
        <f>IF(OR($A394="",$B394=""),"",IF(ISNUMBER($A394),INT(MOD($A394,10000)/100),IFERROR(VALUE(TRIM(LEFT(MID($A394,FIND("/",$A394)+1,20),FIND("/",MID($A394,FIND("/",$A394)+1,20))-1))),"")))</f>
        <v/>
      </c>
      <c r="D394">
        <f>IF(OR($A394="",$B394=""),"",IF(ISNUMBER($A394),MOD($A394,100),IFERROR(VALUE(TRIM(MID(MID($A394,FIND("/",$A394)+1,20),FIND("/",MID($A394,FIND("/",$A394)+1,20))+1,20))),"")))</f>
        <v/>
      </c>
      <c r="E394">
        <f>IF($A394="","",IF(OR($B394="",$C394="",$D394="",$B394&lt;1300,$B394&gt;1500,$C394&lt;1,$C394&gt;12,$D394&lt;1,$D394&gt;31),"نامعتبر",RIGHT("0000"&amp;$B394,4)&amp;"/"&amp;RIGHT("00"&amp;$C394,2)&amp;"/"&amp;RIGHT("00"&amp;$D394,2)))</f>
        <v/>
      </c>
      <c r="F394">
        <f>IF(OR($E394="",$E394="نامعتبر"),"",LEFT($E394,4)&amp;"/"&amp;MID($E394,6,2))</f>
        <v/>
      </c>
      <c r="G394">
        <f>IF(OR($E394="",$E394="نامعتبر",Sync!$Y391=""),"",Sync!$Y391)</f>
        <v/>
      </c>
      <c r="H394">
        <f>IF($G394="","",IF(Sync!$X391="","",Sync!$X391))</f>
        <v/>
      </c>
      <c r="I394">
        <f>IF($G394="","",IFERROR(VLOOKUP(Sync!$X391,OpTbl,3,0),""))</f>
        <v/>
      </c>
      <c r="J394">
        <f>IF(OR($G394="",Sync!$Z391=""),"",Sync!$Z391)</f>
        <v/>
      </c>
      <c r="K394">
        <f>IF(OR($G394="",Sync!$AA391=""),"",Sync!$AA391)</f>
        <v/>
      </c>
      <c r="L394">
        <f>IF($G394="",0,IF(Sync!$AB391="",0,Sync!$AB391))</f>
        <v/>
      </c>
      <c r="M394">
        <f>IF($G394="",0,IF(Sync!$AC391="",0,Sync!$AC391))</f>
        <v/>
      </c>
      <c r="N394">
        <f>IF($G394="","",IF($H394="مرجوعی خرید",-1,1)*($L394-$M394*IFERROR(VLOOKUP("P01",ParamTbl,3,0),1.5))*(1-IF($I394="خرید",IFERROR(VLOOKUP("P02",ParamTbl,3,0),1),0)/100))</f>
        <v/>
      </c>
      <c r="O394">
        <f>IF($G394="",0,IF($H394="مرجوعی خرید",-1,1)*IF(Sync!$AD391="",0,Sync!$AD391))</f>
        <v/>
      </c>
      <c r="P394">
        <f>IF(OR($G394="",Sync!$W391=""),"",Sync!$W391)</f>
        <v/>
      </c>
      <c r="Q394">
        <f>IF(OR($G394="",Sync!$AE391=""),"",Sync!$AE391)</f>
        <v/>
      </c>
      <c r="R394">
        <f>IF($G394="","",IF(Sync!$V391="","0000",IF(AND(ISNUMBER(Sync!$V391),Sync!$V391&gt;=0,Sync!$V391&lt;1),RIGHT("00"&amp;HOUR(Sync!$V391),2)&amp;RIGHT("00"&amp;MINUTE(Sync!$V391),2),IFERROR(RIGHT("00"&amp;VALUE(LEFT(Sync!$V391,FIND(":",Sync!$V391)-1)),2)&amp;RIGHT("00"&amp;VALUE(MID(Sync!$V391,FIND(":",Sync!$V391)+1,2)),2),"0000"))))</f>
        <v/>
      </c>
    </row>
    <row r="395">
      <c r="A395">
        <f>IF(Sync!$U392="","",Sync!$U392)</f>
        <v/>
      </c>
      <c r="B395">
        <f>IF($A395="","",IF(ISNUMBER($A395),IF(AND($A395&gt;=10000101,$A395&lt;=99991231),INT($A395/10000),""),IFERROR(VALUE(TRIM(LEFT($A395,FIND("/",$A395)-1))),"")))</f>
        <v/>
      </c>
      <c r="C395">
        <f>IF(OR($A395="",$B395=""),"",IF(ISNUMBER($A395),INT(MOD($A395,10000)/100),IFERROR(VALUE(TRIM(LEFT(MID($A395,FIND("/",$A395)+1,20),FIND("/",MID($A395,FIND("/",$A395)+1,20))-1))),"")))</f>
        <v/>
      </c>
      <c r="D395">
        <f>IF(OR($A395="",$B395=""),"",IF(ISNUMBER($A395),MOD($A395,100),IFERROR(VALUE(TRIM(MID(MID($A395,FIND("/",$A395)+1,20),FIND("/",MID($A395,FIND("/",$A395)+1,20))+1,20))),"")))</f>
        <v/>
      </c>
      <c r="E395">
        <f>IF($A395="","",IF(OR($B395="",$C395="",$D395="",$B395&lt;1300,$B395&gt;1500,$C395&lt;1,$C395&gt;12,$D395&lt;1,$D395&gt;31),"نامعتبر",RIGHT("0000"&amp;$B395,4)&amp;"/"&amp;RIGHT("00"&amp;$C395,2)&amp;"/"&amp;RIGHT("00"&amp;$D395,2)))</f>
        <v/>
      </c>
      <c r="F395">
        <f>IF(OR($E395="",$E395="نامعتبر"),"",LEFT($E395,4)&amp;"/"&amp;MID($E395,6,2))</f>
        <v/>
      </c>
      <c r="G395">
        <f>IF(OR($E395="",$E395="نامعتبر",Sync!$Y392=""),"",Sync!$Y392)</f>
        <v/>
      </c>
      <c r="H395">
        <f>IF($G395="","",IF(Sync!$X392="","",Sync!$X392))</f>
        <v/>
      </c>
      <c r="I395">
        <f>IF($G395="","",IFERROR(VLOOKUP(Sync!$X392,OpTbl,3,0),""))</f>
        <v/>
      </c>
      <c r="J395">
        <f>IF(OR($G395="",Sync!$Z392=""),"",Sync!$Z392)</f>
        <v/>
      </c>
      <c r="K395">
        <f>IF(OR($G395="",Sync!$AA392=""),"",Sync!$AA392)</f>
        <v/>
      </c>
      <c r="L395">
        <f>IF($G395="",0,IF(Sync!$AB392="",0,Sync!$AB392))</f>
        <v/>
      </c>
      <c r="M395">
        <f>IF($G395="",0,IF(Sync!$AC392="",0,Sync!$AC392))</f>
        <v/>
      </c>
      <c r="N395">
        <f>IF($G395="","",IF($H395="مرجوعی خرید",-1,1)*($L395-$M395*IFERROR(VLOOKUP("P01",ParamTbl,3,0),1.5))*(1-IF($I395="خرید",IFERROR(VLOOKUP("P02",ParamTbl,3,0),1),0)/100))</f>
        <v/>
      </c>
      <c r="O395">
        <f>IF($G395="",0,IF($H395="مرجوعی خرید",-1,1)*IF(Sync!$AD392="",0,Sync!$AD392))</f>
        <v/>
      </c>
      <c r="P395">
        <f>IF(OR($G395="",Sync!$W392=""),"",Sync!$W392)</f>
        <v/>
      </c>
      <c r="Q395">
        <f>IF(OR($G395="",Sync!$AE392=""),"",Sync!$AE392)</f>
        <v/>
      </c>
      <c r="R395">
        <f>IF($G395="","",IF(Sync!$V392="","0000",IF(AND(ISNUMBER(Sync!$V392),Sync!$V392&gt;=0,Sync!$V392&lt;1),RIGHT("00"&amp;HOUR(Sync!$V392),2)&amp;RIGHT("00"&amp;MINUTE(Sync!$V392),2),IFERROR(RIGHT("00"&amp;VALUE(LEFT(Sync!$V392,FIND(":",Sync!$V392)-1)),2)&amp;RIGHT("00"&amp;VALUE(MID(Sync!$V392,FIND(":",Sync!$V392)+1,2)),2),"0000"))))</f>
        <v/>
      </c>
    </row>
    <row r="396">
      <c r="A396">
        <f>IF(Sync!$U393="","",Sync!$U393)</f>
        <v/>
      </c>
      <c r="B396">
        <f>IF($A396="","",IF(ISNUMBER($A396),IF(AND($A396&gt;=10000101,$A396&lt;=99991231),INT($A396/10000),""),IFERROR(VALUE(TRIM(LEFT($A396,FIND("/",$A396)-1))),"")))</f>
        <v/>
      </c>
      <c r="C396">
        <f>IF(OR($A396="",$B396=""),"",IF(ISNUMBER($A396),INT(MOD($A396,10000)/100),IFERROR(VALUE(TRIM(LEFT(MID($A396,FIND("/",$A396)+1,20),FIND("/",MID($A396,FIND("/",$A396)+1,20))-1))),"")))</f>
        <v/>
      </c>
      <c r="D396">
        <f>IF(OR($A396="",$B396=""),"",IF(ISNUMBER($A396),MOD($A396,100),IFERROR(VALUE(TRIM(MID(MID($A396,FIND("/",$A396)+1,20),FIND("/",MID($A396,FIND("/",$A396)+1,20))+1,20))),"")))</f>
        <v/>
      </c>
      <c r="E396">
        <f>IF($A396="","",IF(OR($B396="",$C396="",$D396="",$B396&lt;1300,$B396&gt;1500,$C396&lt;1,$C396&gt;12,$D396&lt;1,$D396&gt;31),"نامعتبر",RIGHT("0000"&amp;$B396,4)&amp;"/"&amp;RIGHT("00"&amp;$C396,2)&amp;"/"&amp;RIGHT("00"&amp;$D396,2)))</f>
        <v/>
      </c>
      <c r="F396">
        <f>IF(OR($E396="",$E396="نامعتبر"),"",LEFT($E396,4)&amp;"/"&amp;MID($E396,6,2))</f>
        <v/>
      </c>
      <c r="G396">
        <f>IF(OR($E396="",$E396="نامعتبر",Sync!$Y393=""),"",Sync!$Y393)</f>
        <v/>
      </c>
      <c r="H396">
        <f>IF($G396="","",IF(Sync!$X393="","",Sync!$X393))</f>
        <v/>
      </c>
      <c r="I396">
        <f>IF($G396="","",IFERROR(VLOOKUP(Sync!$X393,OpTbl,3,0),""))</f>
        <v/>
      </c>
      <c r="J396">
        <f>IF(OR($G396="",Sync!$Z393=""),"",Sync!$Z393)</f>
        <v/>
      </c>
      <c r="K396">
        <f>IF(OR($G396="",Sync!$AA393=""),"",Sync!$AA393)</f>
        <v/>
      </c>
      <c r="L396">
        <f>IF($G396="",0,IF(Sync!$AB393="",0,Sync!$AB393))</f>
        <v/>
      </c>
      <c r="M396">
        <f>IF($G396="",0,IF(Sync!$AC393="",0,Sync!$AC393))</f>
        <v/>
      </c>
      <c r="N396">
        <f>IF($G396="","",IF($H396="مرجوعی خرید",-1,1)*($L396-$M396*IFERROR(VLOOKUP("P01",ParamTbl,3,0),1.5))*(1-IF($I396="خرید",IFERROR(VLOOKUP("P02",ParamTbl,3,0),1),0)/100))</f>
        <v/>
      </c>
      <c r="O396">
        <f>IF($G396="",0,IF($H396="مرجوعی خرید",-1,1)*IF(Sync!$AD393="",0,Sync!$AD393))</f>
        <v/>
      </c>
      <c r="P396">
        <f>IF(OR($G396="",Sync!$W393=""),"",Sync!$W393)</f>
        <v/>
      </c>
      <c r="Q396">
        <f>IF(OR($G396="",Sync!$AE393=""),"",Sync!$AE393)</f>
        <v/>
      </c>
      <c r="R396">
        <f>IF($G396="","",IF(Sync!$V393="","0000",IF(AND(ISNUMBER(Sync!$V393),Sync!$V393&gt;=0,Sync!$V393&lt;1),RIGHT("00"&amp;HOUR(Sync!$V393),2)&amp;RIGHT("00"&amp;MINUTE(Sync!$V393),2),IFERROR(RIGHT("00"&amp;VALUE(LEFT(Sync!$V393,FIND(":",Sync!$V393)-1)),2)&amp;RIGHT("00"&amp;VALUE(MID(Sync!$V393,FIND(":",Sync!$V393)+1,2)),2),"0000"))))</f>
        <v/>
      </c>
    </row>
    <row r="397">
      <c r="A397">
        <f>IF(Sync!$U394="","",Sync!$U394)</f>
        <v/>
      </c>
      <c r="B397">
        <f>IF($A397="","",IF(ISNUMBER($A397),IF(AND($A397&gt;=10000101,$A397&lt;=99991231),INT($A397/10000),""),IFERROR(VALUE(TRIM(LEFT($A397,FIND("/",$A397)-1))),"")))</f>
        <v/>
      </c>
      <c r="C397">
        <f>IF(OR($A397="",$B397=""),"",IF(ISNUMBER($A397),INT(MOD($A397,10000)/100),IFERROR(VALUE(TRIM(LEFT(MID($A397,FIND("/",$A397)+1,20),FIND("/",MID($A397,FIND("/",$A397)+1,20))-1))),"")))</f>
        <v/>
      </c>
      <c r="D397">
        <f>IF(OR($A397="",$B397=""),"",IF(ISNUMBER($A397),MOD($A397,100),IFERROR(VALUE(TRIM(MID(MID($A397,FIND("/",$A397)+1,20),FIND("/",MID($A397,FIND("/",$A397)+1,20))+1,20))),"")))</f>
        <v/>
      </c>
      <c r="E397">
        <f>IF($A397="","",IF(OR($B397="",$C397="",$D397="",$B397&lt;1300,$B397&gt;1500,$C397&lt;1,$C397&gt;12,$D397&lt;1,$D397&gt;31),"نامعتبر",RIGHT("0000"&amp;$B397,4)&amp;"/"&amp;RIGHT("00"&amp;$C397,2)&amp;"/"&amp;RIGHT("00"&amp;$D397,2)))</f>
        <v/>
      </c>
      <c r="F397">
        <f>IF(OR($E397="",$E397="نامعتبر"),"",LEFT($E397,4)&amp;"/"&amp;MID($E397,6,2))</f>
        <v/>
      </c>
      <c r="G397">
        <f>IF(OR($E397="",$E397="نامعتبر",Sync!$Y394=""),"",Sync!$Y394)</f>
        <v/>
      </c>
      <c r="H397">
        <f>IF($G397="","",IF(Sync!$X394="","",Sync!$X394))</f>
        <v/>
      </c>
      <c r="I397">
        <f>IF($G397="","",IFERROR(VLOOKUP(Sync!$X394,OpTbl,3,0),""))</f>
        <v/>
      </c>
      <c r="J397">
        <f>IF(OR($G397="",Sync!$Z394=""),"",Sync!$Z394)</f>
        <v/>
      </c>
      <c r="K397">
        <f>IF(OR($G397="",Sync!$AA394=""),"",Sync!$AA394)</f>
        <v/>
      </c>
      <c r="L397">
        <f>IF($G397="",0,IF(Sync!$AB394="",0,Sync!$AB394))</f>
        <v/>
      </c>
      <c r="M397">
        <f>IF($G397="",0,IF(Sync!$AC394="",0,Sync!$AC394))</f>
        <v/>
      </c>
      <c r="N397">
        <f>IF($G397="","",IF($H397="مرجوعی خرید",-1,1)*($L397-$M397*IFERROR(VLOOKUP("P01",ParamTbl,3,0),1.5))*(1-IF($I397="خرید",IFERROR(VLOOKUP("P02",ParamTbl,3,0),1),0)/100))</f>
        <v/>
      </c>
      <c r="O397">
        <f>IF($G397="",0,IF($H397="مرجوعی خرید",-1,1)*IF(Sync!$AD394="",0,Sync!$AD394))</f>
        <v/>
      </c>
      <c r="P397">
        <f>IF(OR($G397="",Sync!$W394=""),"",Sync!$W394)</f>
        <v/>
      </c>
      <c r="Q397">
        <f>IF(OR($G397="",Sync!$AE394=""),"",Sync!$AE394)</f>
        <v/>
      </c>
      <c r="R397">
        <f>IF($G397="","",IF(Sync!$V394="","0000",IF(AND(ISNUMBER(Sync!$V394),Sync!$V394&gt;=0,Sync!$V394&lt;1),RIGHT("00"&amp;HOUR(Sync!$V394),2)&amp;RIGHT("00"&amp;MINUTE(Sync!$V394),2),IFERROR(RIGHT("00"&amp;VALUE(LEFT(Sync!$V394,FIND(":",Sync!$V394)-1)),2)&amp;RIGHT("00"&amp;VALUE(MID(Sync!$V394,FIND(":",Sync!$V394)+1,2)),2),"0000"))))</f>
        <v/>
      </c>
    </row>
    <row r="398">
      <c r="A398">
        <f>IF(Sync!$U395="","",Sync!$U395)</f>
        <v/>
      </c>
      <c r="B398">
        <f>IF($A398="","",IF(ISNUMBER($A398),IF(AND($A398&gt;=10000101,$A398&lt;=99991231),INT($A398/10000),""),IFERROR(VALUE(TRIM(LEFT($A398,FIND("/",$A398)-1))),"")))</f>
        <v/>
      </c>
      <c r="C398">
        <f>IF(OR($A398="",$B398=""),"",IF(ISNUMBER($A398),INT(MOD($A398,10000)/100),IFERROR(VALUE(TRIM(LEFT(MID($A398,FIND("/",$A398)+1,20),FIND("/",MID($A398,FIND("/",$A398)+1,20))-1))),"")))</f>
        <v/>
      </c>
      <c r="D398">
        <f>IF(OR($A398="",$B398=""),"",IF(ISNUMBER($A398),MOD($A398,100),IFERROR(VALUE(TRIM(MID(MID($A398,FIND("/",$A398)+1,20),FIND("/",MID($A398,FIND("/",$A398)+1,20))+1,20))),"")))</f>
        <v/>
      </c>
      <c r="E398">
        <f>IF($A398="","",IF(OR($B398="",$C398="",$D398="",$B398&lt;1300,$B398&gt;1500,$C398&lt;1,$C398&gt;12,$D398&lt;1,$D398&gt;31),"نامعتبر",RIGHT("0000"&amp;$B398,4)&amp;"/"&amp;RIGHT("00"&amp;$C398,2)&amp;"/"&amp;RIGHT("00"&amp;$D398,2)))</f>
        <v/>
      </c>
      <c r="F398">
        <f>IF(OR($E398="",$E398="نامعتبر"),"",LEFT($E398,4)&amp;"/"&amp;MID($E398,6,2))</f>
        <v/>
      </c>
      <c r="G398">
        <f>IF(OR($E398="",$E398="نامعتبر",Sync!$Y395=""),"",Sync!$Y395)</f>
        <v/>
      </c>
      <c r="H398">
        <f>IF($G398="","",IF(Sync!$X395="","",Sync!$X395))</f>
        <v/>
      </c>
      <c r="I398">
        <f>IF($G398="","",IFERROR(VLOOKUP(Sync!$X395,OpTbl,3,0),""))</f>
        <v/>
      </c>
      <c r="J398">
        <f>IF(OR($G398="",Sync!$Z395=""),"",Sync!$Z395)</f>
        <v/>
      </c>
      <c r="K398">
        <f>IF(OR($G398="",Sync!$AA395=""),"",Sync!$AA395)</f>
        <v/>
      </c>
      <c r="L398">
        <f>IF($G398="",0,IF(Sync!$AB395="",0,Sync!$AB395))</f>
        <v/>
      </c>
      <c r="M398">
        <f>IF($G398="",0,IF(Sync!$AC395="",0,Sync!$AC395))</f>
        <v/>
      </c>
      <c r="N398">
        <f>IF($G398="","",IF($H398="مرجوعی خرید",-1,1)*($L398-$M398*IFERROR(VLOOKUP("P01",ParamTbl,3,0),1.5))*(1-IF($I398="خرید",IFERROR(VLOOKUP("P02",ParamTbl,3,0),1),0)/100))</f>
        <v/>
      </c>
      <c r="O398">
        <f>IF($G398="",0,IF($H398="مرجوعی خرید",-1,1)*IF(Sync!$AD395="",0,Sync!$AD395))</f>
        <v/>
      </c>
      <c r="P398">
        <f>IF(OR($G398="",Sync!$W395=""),"",Sync!$W395)</f>
        <v/>
      </c>
      <c r="Q398">
        <f>IF(OR($G398="",Sync!$AE395=""),"",Sync!$AE395)</f>
        <v/>
      </c>
      <c r="R398">
        <f>IF($G398="","",IF(Sync!$V395="","0000",IF(AND(ISNUMBER(Sync!$V395),Sync!$V395&gt;=0,Sync!$V395&lt;1),RIGHT("00"&amp;HOUR(Sync!$V395),2)&amp;RIGHT("00"&amp;MINUTE(Sync!$V395),2),IFERROR(RIGHT("00"&amp;VALUE(LEFT(Sync!$V395,FIND(":",Sync!$V395)-1)),2)&amp;RIGHT("00"&amp;VALUE(MID(Sync!$V395,FIND(":",Sync!$V395)+1,2)),2),"0000"))))</f>
        <v/>
      </c>
    </row>
    <row r="399">
      <c r="A399">
        <f>IF(Sync!$U396="","",Sync!$U396)</f>
        <v/>
      </c>
      <c r="B399">
        <f>IF($A399="","",IF(ISNUMBER($A399),IF(AND($A399&gt;=10000101,$A399&lt;=99991231),INT($A399/10000),""),IFERROR(VALUE(TRIM(LEFT($A399,FIND("/",$A399)-1))),"")))</f>
        <v/>
      </c>
      <c r="C399">
        <f>IF(OR($A399="",$B399=""),"",IF(ISNUMBER($A399),INT(MOD($A399,10000)/100),IFERROR(VALUE(TRIM(LEFT(MID($A399,FIND("/",$A399)+1,20),FIND("/",MID($A399,FIND("/",$A399)+1,20))-1))),"")))</f>
        <v/>
      </c>
      <c r="D399">
        <f>IF(OR($A399="",$B399=""),"",IF(ISNUMBER($A399),MOD($A399,100),IFERROR(VALUE(TRIM(MID(MID($A399,FIND("/",$A399)+1,20),FIND("/",MID($A399,FIND("/",$A399)+1,20))+1,20))),"")))</f>
        <v/>
      </c>
      <c r="E399">
        <f>IF($A399="","",IF(OR($B399="",$C399="",$D399="",$B399&lt;1300,$B399&gt;1500,$C399&lt;1,$C399&gt;12,$D399&lt;1,$D399&gt;31),"نامعتبر",RIGHT("0000"&amp;$B399,4)&amp;"/"&amp;RIGHT("00"&amp;$C399,2)&amp;"/"&amp;RIGHT("00"&amp;$D399,2)))</f>
        <v/>
      </c>
      <c r="F399">
        <f>IF(OR($E399="",$E399="نامعتبر"),"",LEFT($E399,4)&amp;"/"&amp;MID($E399,6,2))</f>
        <v/>
      </c>
      <c r="G399">
        <f>IF(OR($E399="",$E399="نامعتبر",Sync!$Y396=""),"",Sync!$Y396)</f>
        <v/>
      </c>
      <c r="H399">
        <f>IF($G399="","",IF(Sync!$X396="","",Sync!$X396))</f>
        <v/>
      </c>
      <c r="I399">
        <f>IF($G399="","",IFERROR(VLOOKUP(Sync!$X396,OpTbl,3,0),""))</f>
        <v/>
      </c>
      <c r="J399">
        <f>IF(OR($G399="",Sync!$Z396=""),"",Sync!$Z396)</f>
        <v/>
      </c>
      <c r="K399">
        <f>IF(OR($G399="",Sync!$AA396=""),"",Sync!$AA396)</f>
        <v/>
      </c>
      <c r="L399">
        <f>IF($G399="",0,IF(Sync!$AB396="",0,Sync!$AB396))</f>
        <v/>
      </c>
      <c r="M399">
        <f>IF($G399="",0,IF(Sync!$AC396="",0,Sync!$AC396))</f>
        <v/>
      </c>
      <c r="N399">
        <f>IF($G399="","",IF($H399="مرجوعی خرید",-1,1)*($L399-$M399*IFERROR(VLOOKUP("P01",ParamTbl,3,0),1.5))*(1-IF($I399="خرید",IFERROR(VLOOKUP("P02",ParamTbl,3,0),1),0)/100))</f>
        <v/>
      </c>
      <c r="O399">
        <f>IF($G399="",0,IF($H399="مرجوعی خرید",-1,1)*IF(Sync!$AD396="",0,Sync!$AD396))</f>
        <v/>
      </c>
      <c r="P399">
        <f>IF(OR($G399="",Sync!$W396=""),"",Sync!$W396)</f>
        <v/>
      </c>
      <c r="Q399">
        <f>IF(OR($G399="",Sync!$AE396=""),"",Sync!$AE396)</f>
        <v/>
      </c>
      <c r="R399">
        <f>IF($G399="","",IF(Sync!$V396="","0000",IF(AND(ISNUMBER(Sync!$V396),Sync!$V396&gt;=0,Sync!$V396&lt;1),RIGHT("00"&amp;HOUR(Sync!$V396),2)&amp;RIGHT("00"&amp;MINUTE(Sync!$V396),2),IFERROR(RIGHT("00"&amp;VALUE(LEFT(Sync!$V396,FIND(":",Sync!$V396)-1)),2)&amp;RIGHT("00"&amp;VALUE(MID(Sync!$V396,FIND(":",Sync!$V396)+1,2)),2),"0000"))))</f>
        <v/>
      </c>
    </row>
    <row r="400">
      <c r="A400">
        <f>IF(Sync!$U397="","",Sync!$U397)</f>
        <v/>
      </c>
      <c r="B400">
        <f>IF($A400="","",IF(ISNUMBER($A400),IF(AND($A400&gt;=10000101,$A400&lt;=99991231),INT($A400/10000),""),IFERROR(VALUE(TRIM(LEFT($A400,FIND("/",$A400)-1))),"")))</f>
        <v/>
      </c>
      <c r="C400">
        <f>IF(OR($A400="",$B400=""),"",IF(ISNUMBER($A400),INT(MOD($A400,10000)/100),IFERROR(VALUE(TRIM(LEFT(MID($A400,FIND("/",$A400)+1,20),FIND("/",MID($A400,FIND("/",$A400)+1,20))-1))),"")))</f>
        <v/>
      </c>
      <c r="D400">
        <f>IF(OR($A400="",$B400=""),"",IF(ISNUMBER($A400),MOD($A400,100),IFERROR(VALUE(TRIM(MID(MID($A400,FIND("/",$A400)+1,20),FIND("/",MID($A400,FIND("/",$A400)+1,20))+1,20))),"")))</f>
        <v/>
      </c>
      <c r="E400">
        <f>IF($A400="","",IF(OR($B400="",$C400="",$D400="",$B400&lt;1300,$B400&gt;1500,$C400&lt;1,$C400&gt;12,$D400&lt;1,$D400&gt;31),"نامعتبر",RIGHT("0000"&amp;$B400,4)&amp;"/"&amp;RIGHT("00"&amp;$C400,2)&amp;"/"&amp;RIGHT("00"&amp;$D400,2)))</f>
        <v/>
      </c>
      <c r="F400">
        <f>IF(OR($E400="",$E400="نامعتبر"),"",LEFT($E400,4)&amp;"/"&amp;MID($E400,6,2))</f>
        <v/>
      </c>
      <c r="G400">
        <f>IF(OR($E400="",$E400="نامعتبر",Sync!$Y397=""),"",Sync!$Y397)</f>
        <v/>
      </c>
      <c r="H400">
        <f>IF($G400="","",IF(Sync!$X397="","",Sync!$X397))</f>
        <v/>
      </c>
      <c r="I400">
        <f>IF($G400="","",IFERROR(VLOOKUP(Sync!$X397,OpTbl,3,0),""))</f>
        <v/>
      </c>
      <c r="J400">
        <f>IF(OR($G400="",Sync!$Z397=""),"",Sync!$Z397)</f>
        <v/>
      </c>
      <c r="K400">
        <f>IF(OR($G400="",Sync!$AA397=""),"",Sync!$AA397)</f>
        <v/>
      </c>
      <c r="L400">
        <f>IF($G400="",0,IF(Sync!$AB397="",0,Sync!$AB397))</f>
        <v/>
      </c>
      <c r="M400">
        <f>IF($G400="",0,IF(Sync!$AC397="",0,Sync!$AC397))</f>
        <v/>
      </c>
      <c r="N400">
        <f>IF($G400="","",IF($H400="مرجوعی خرید",-1,1)*($L400-$M400*IFERROR(VLOOKUP("P01",ParamTbl,3,0),1.5))*(1-IF($I400="خرید",IFERROR(VLOOKUP("P02",ParamTbl,3,0),1),0)/100))</f>
        <v/>
      </c>
      <c r="O400">
        <f>IF($G400="",0,IF($H400="مرجوعی خرید",-1,1)*IF(Sync!$AD397="",0,Sync!$AD397))</f>
        <v/>
      </c>
      <c r="P400">
        <f>IF(OR($G400="",Sync!$W397=""),"",Sync!$W397)</f>
        <v/>
      </c>
      <c r="Q400">
        <f>IF(OR($G400="",Sync!$AE397=""),"",Sync!$AE397)</f>
        <v/>
      </c>
      <c r="R400">
        <f>IF($G400="","",IF(Sync!$V397="","0000",IF(AND(ISNUMBER(Sync!$V397),Sync!$V397&gt;=0,Sync!$V397&lt;1),RIGHT("00"&amp;HOUR(Sync!$V397),2)&amp;RIGHT("00"&amp;MINUTE(Sync!$V397),2),IFERROR(RIGHT("00"&amp;VALUE(LEFT(Sync!$V397,FIND(":",Sync!$V397)-1)),2)&amp;RIGHT("00"&amp;VALUE(MID(Sync!$V397,FIND(":",Sync!$V397)+1,2)),2),"0000"))))</f>
        <v/>
      </c>
    </row>
    <row r="401">
      <c r="A401">
        <f>IF(Sync!$U398="","",Sync!$U398)</f>
        <v/>
      </c>
      <c r="B401">
        <f>IF($A401="","",IF(ISNUMBER($A401),IF(AND($A401&gt;=10000101,$A401&lt;=99991231),INT($A401/10000),""),IFERROR(VALUE(TRIM(LEFT($A401,FIND("/",$A401)-1))),"")))</f>
        <v/>
      </c>
      <c r="C401">
        <f>IF(OR($A401="",$B401=""),"",IF(ISNUMBER($A401),INT(MOD($A401,10000)/100),IFERROR(VALUE(TRIM(LEFT(MID($A401,FIND("/",$A401)+1,20),FIND("/",MID($A401,FIND("/",$A401)+1,20))-1))),"")))</f>
        <v/>
      </c>
      <c r="D401">
        <f>IF(OR($A401="",$B401=""),"",IF(ISNUMBER($A401),MOD($A401,100),IFERROR(VALUE(TRIM(MID(MID($A401,FIND("/",$A401)+1,20),FIND("/",MID($A401,FIND("/",$A401)+1,20))+1,20))),"")))</f>
        <v/>
      </c>
      <c r="E401">
        <f>IF($A401="","",IF(OR($B401="",$C401="",$D401="",$B401&lt;1300,$B401&gt;1500,$C401&lt;1,$C401&gt;12,$D401&lt;1,$D401&gt;31),"نامعتبر",RIGHT("0000"&amp;$B401,4)&amp;"/"&amp;RIGHT("00"&amp;$C401,2)&amp;"/"&amp;RIGHT("00"&amp;$D401,2)))</f>
        <v/>
      </c>
      <c r="F401">
        <f>IF(OR($E401="",$E401="نامعتبر"),"",LEFT($E401,4)&amp;"/"&amp;MID($E401,6,2))</f>
        <v/>
      </c>
      <c r="G401">
        <f>IF(OR($E401="",$E401="نامعتبر",Sync!$Y398=""),"",Sync!$Y398)</f>
        <v/>
      </c>
      <c r="H401">
        <f>IF($G401="","",IF(Sync!$X398="","",Sync!$X398))</f>
        <v/>
      </c>
      <c r="I401">
        <f>IF($G401="","",IFERROR(VLOOKUP(Sync!$X398,OpTbl,3,0),""))</f>
        <v/>
      </c>
      <c r="J401">
        <f>IF(OR($G401="",Sync!$Z398=""),"",Sync!$Z398)</f>
        <v/>
      </c>
      <c r="K401">
        <f>IF(OR($G401="",Sync!$AA398=""),"",Sync!$AA398)</f>
        <v/>
      </c>
      <c r="L401">
        <f>IF($G401="",0,IF(Sync!$AB398="",0,Sync!$AB398))</f>
        <v/>
      </c>
      <c r="M401">
        <f>IF($G401="",0,IF(Sync!$AC398="",0,Sync!$AC398))</f>
        <v/>
      </c>
      <c r="N401">
        <f>IF($G401="","",IF($H401="مرجوعی خرید",-1,1)*($L401-$M401*IFERROR(VLOOKUP("P01",ParamTbl,3,0),1.5))*(1-IF($I401="خرید",IFERROR(VLOOKUP("P02",ParamTbl,3,0),1),0)/100))</f>
        <v/>
      </c>
      <c r="O401">
        <f>IF($G401="",0,IF($H401="مرجوعی خرید",-1,1)*IF(Sync!$AD398="",0,Sync!$AD398))</f>
        <v/>
      </c>
      <c r="P401">
        <f>IF(OR($G401="",Sync!$W398=""),"",Sync!$W398)</f>
        <v/>
      </c>
      <c r="Q401">
        <f>IF(OR($G401="",Sync!$AE398=""),"",Sync!$AE398)</f>
        <v/>
      </c>
      <c r="R401">
        <f>IF($G401="","",IF(Sync!$V398="","0000",IF(AND(ISNUMBER(Sync!$V398),Sync!$V398&gt;=0,Sync!$V398&lt;1),RIGHT("00"&amp;HOUR(Sync!$V398),2)&amp;RIGHT("00"&amp;MINUTE(Sync!$V398),2),IFERROR(RIGHT("00"&amp;VALUE(LEFT(Sync!$V398,FIND(":",Sync!$V398)-1)),2)&amp;RIGHT("00"&amp;VALUE(MID(Sync!$V398,FIND(":",Sync!$V398)+1,2)),2),"0000"))))</f>
        <v/>
      </c>
    </row>
    <row r="402">
      <c r="A402">
        <f>IF(Sync!$U399="","",Sync!$U399)</f>
        <v/>
      </c>
      <c r="B402">
        <f>IF($A402="","",IF(ISNUMBER($A402),IF(AND($A402&gt;=10000101,$A402&lt;=99991231),INT($A402/10000),""),IFERROR(VALUE(TRIM(LEFT($A402,FIND("/",$A402)-1))),"")))</f>
        <v/>
      </c>
      <c r="C402">
        <f>IF(OR($A402="",$B402=""),"",IF(ISNUMBER($A402),INT(MOD($A402,10000)/100),IFERROR(VALUE(TRIM(LEFT(MID($A402,FIND("/",$A402)+1,20),FIND("/",MID($A402,FIND("/",$A402)+1,20))-1))),"")))</f>
        <v/>
      </c>
      <c r="D402">
        <f>IF(OR($A402="",$B402=""),"",IF(ISNUMBER($A402),MOD($A402,100),IFERROR(VALUE(TRIM(MID(MID($A402,FIND("/",$A402)+1,20),FIND("/",MID($A402,FIND("/",$A402)+1,20))+1,20))),"")))</f>
        <v/>
      </c>
      <c r="E402">
        <f>IF($A402="","",IF(OR($B402="",$C402="",$D402="",$B402&lt;1300,$B402&gt;1500,$C402&lt;1,$C402&gt;12,$D402&lt;1,$D402&gt;31),"نامعتبر",RIGHT("0000"&amp;$B402,4)&amp;"/"&amp;RIGHT("00"&amp;$C402,2)&amp;"/"&amp;RIGHT("00"&amp;$D402,2)))</f>
        <v/>
      </c>
      <c r="F402">
        <f>IF(OR($E402="",$E402="نامعتبر"),"",LEFT($E402,4)&amp;"/"&amp;MID($E402,6,2))</f>
        <v/>
      </c>
      <c r="G402">
        <f>IF(OR($E402="",$E402="نامعتبر",Sync!$Y399=""),"",Sync!$Y399)</f>
        <v/>
      </c>
      <c r="H402">
        <f>IF($G402="","",IF(Sync!$X399="","",Sync!$X399))</f>
        <v/>
      </c>
      <c r="I402">
        <f>IF($G402="","",IFERROR(VLOOKUP(Sync!$X399,OpTbl,3,0),""))</f>
        <v/>
      </c>
      <c r="J402">
        <f>IF(OR($G402="",Sync!$Z399=""),"",Sync!$Z399)</f>
        <v/>
      </c>
      <c r="K402">
        <f>IF(OR($G402="",Sync!$AA399=""),"",Sync!$AA399)</f>
        <v/>
      </c>
      <c r="L402">
        <f>IF($G402="",0,IF(Sync!$AB399="",0,Sync!$AB399))</f>
        <v/>
      </c>
      <c r="M402">
        <f>IF($G402="",0,IF(Sync!$AC399="",0,Sync!$AC399))</f>
        <v/>
      </c>
      <c r="N402">
        <f>IF($G402="","",IF($H402="مرجوعی خرید",-1,1)*($L402-$M402*IFERROR(VLOOKUP("P01",ParamTbl,3,0),1.5))*(1-IF($I402="خرید",IFERROR(VLOOKUP("P02",ParamTbl,3,0),1),0)/100))</f>
        <v/>
      </c>
      <c r="O402">
        <f>IF($G402="",0,IF($H402="مرجوعی خرید",-1,1)*IF(Sync!$AD399="",0,Sync!$AD399))</f>
        <v/>
      </c>
      <c r="P402">
        <f>IF(OR($G402="",Sync!$W399=""),"",Sync!$W399)</f>
        <v/>
      </c>
      <c r="Q402">
        <f>IF(OR($G402="",Sync!$AE399=""),"",Sync!$AE399)</f>
        <v/>
      </c>
      <c r="R402">
        <f>IF($G402="","",IF(Sync!$V399="","0000",IF(AND(ISNUMBER(Sync!$V399),Sync!$V399&gt;=0,Sync!$V399&lt;1),RIGHT("00"&amp;HOUR(Sync!$V399),2)&amp;RIGHT("00"&amp;MINUTE(Sync!$V399),2),IFERROR(RIGHT("00"&amp;VALUE(LEFT(Sync!$V399,FIND(":",Sync!$V399)-1)),2)&amp;RIGHT("00"&amp;VALUE(MID(Sync!$V399,FIND(":",Sync!$V399)+1,2)),2),"0000"))))</f>
        <v/>
      </c>
    </row>
    <row r="403">
      <c r="A403">
        <f>IF(Sync!$U400="","",Sync!$U400)</f>
        <v/>
      </c>
      <c r="B403">
        <f>IF($A403="","",IF(ISNUMBER($A403),IF(AND($A403&gt;=10000101,$A403&lt;=99991231),INT($A403/10000),""),IFERROR(VALUE(TRIM(LEFT($A403,FIND("/",$A403)-1))),"")))</f>
        <v/>
      </c>
      <c r="C403">
        <f>IF(OR($A403="",$B403=""),"",IF(ISNUMBER($A403),INT(MOD($A403,10000)/100),IFERROR(VALUE(TRIM(LEFT(MID($A403,FIND("/",$A403)+1,20),FIND("/",MID($A403,FIND("/",$A403)+1,20))-1))),"")))</f>
        <v/>
      </c>
      <c r="D403">
        <f>IF(OR($A403="",$B403=""),"",IF(ISNUMBER($A403),MOD($A403,100),IFERROR(VALUE(TRIM(MID(MID($A403,FIND("/",$A403)+1,20),FIND("/",MID($A403,FIND("/",$A403)+1,20))+1,20))),"")))</f>
        <v/>
      </c>
      <c r="E403">
        <f>IF($A403="","",IF(OR($B403="",$C403="",$D403="",$B403&lt;1300,$B403&gt;1500,$C403&lt;1,$C403&gt;12,$D403&lt;1,$D403&gt;31),"نامعتبر",RIGHT("0000"&amp;$B403,4)&amp;"/"&amp;RIGHT("00"&amp;$C403,2)&amp;"/"&amp;RIGHT("00"&amp;$D403,2)))</f>
        <v/>
      </c>
      <c r="F403">
        <f>IF(OR($E403="",$E403="نامعتبر"),"",LEFT($E403,4)&amp;"/"&amp;MID($E403,6,2))</f>
        <v/>
      </c>
      <c r="G403">
        <f>IF(OR($E403="",$E403="نامعتبر",Sync!$Y400=""),"",Sync!$Y400)</f>
        <v/>
      </c>
      <c r="H403">
        <f>IF($G403="","",IF(Sync!$X400="","",Sync!$X400))</f>
        <v/>
      </c>
      <c r="I403">
        <f>IF($G403="","",IFERROR(VLOOKUP(Sync!$X400,OpTbl,3,0),""))</f>
        <v/>
      </c>
      <c r="J403">
        <f>IF(OR($G403="",Sync!$Z400=""),"",Sync!$Z400)</f>
        <v/>
      </c>
      <c r="K403">
        <f>IF(OR($G403="",Sync!$AA400=""),"",Sync!$AA400)</f>
        <v/>
      </c>
      <c r="L403">
        <f>IF($G403="",0,IF(Sync!$AB400="",0,Sync!$AB400))</f>
        <v/>
      </c>
      <c r="M403">
        <f>IF($G403="",0,IF(Sync!$AC400="",0,Sync!$AC400))</f>
        <v/>
      </c>
      <c r="N403">
        <f>IF($G403="","",IF($H403="مرجوعی خرید",-1,1)*($L403-$M403*IFERROR(VLOOKUP("P01",ParamTbl,3,0),1.5))*(1-IF($I403="خرید",IFERROR(VLOOKUP("P02",ParamTbl,3,0),1),0)/100))</f>
        <v/>
      </c>
      <c r="O403">
        <f>IF($G403="",0,IF($H403="مرجوعی خرید",-1,1)*IF(Sync!$AD400="",0,Sync!$AD400))</f>
        <v/>
      </c>
      <c r="P403">
        <f>IF(OR($G403="",Sync!$W400=""),"",Sync!$W400)</f>
        <v/>
      </c>
      <c r="Q403">
        <f>IF(OR($G403="",Sync!$AE400=""),"",Sync!$AE400)</f>
        <v/>
      </c>
      <c r="R403">
        <f>IF($G403="","",IF(Sync!$V400="","0000",IF(AND(ISNUMBER(Sync!$V400),Sync!$V400&gt;=0,Sync!$V400&lt;1),RIGHT("00"&amp;HOUR(Sync!$V400),2)&amp;RIGHT("00"&amp;MINUTE(Sync!$V400),2),IFERROR(RIGHT("00"&amp;VALUE(LEFT(Sync!$V400,FIND(":",Sync!$V400)-1)),2)&amp;RIGHT("00"&amp;VALUE(MID(Sync!$V400,FIND(":",Sync!$V400)+1,2)),2),"0000"))))</f>
        <v/>
      </c>
    </row>
    <row r="404">
      <c r="A404">
        <f>IF(Sync!$U401="","",Sync!$U401)</f>
        <v/>
      </c>
      <c r="B404">
        <f>IF($A404="","",IF(ISNUMBER($A404),IF(AND($A404&gt;=10000101,$A404&lt;=99991231),INT($A404/10000),""),IFERROR(VALUE(TRIM(LEFT($A404,FIND("/",$A404)-1))),"")))</f>
        <v/>
      </c>
      <c r="C404">
        <f>IF(OR($A404="",$B404=""),"",IF(ISNUMBER($A404),INT(MOD($A404,10000)/100),IFERROR(VALUE(TRIM(LEFT(MID($A404,FIND("/",$A404)+1,20),FIND("/",MID($A404,FIND("/",$A404)+1,20))-1))),"")))</f>
        <v/>
      </c>
      <c r="D404">
        <f>IF(OR($A404="",$B404=""),"",IF(ISNUMBER($A404),MOD($A404,100),IFERROR(VALUE(TRIM(MID(MID($A404,FIND("/",$A404)+1,20),FIND("/",MID($A404,FIND("/",$A404)+1,20))+1,20))),"")))</f>
        <v/>
      </c>
      <c r="E404">
        <f>IF($A404="","",IF(OR($B404="",$C404="",$D404="",$B404&lt;1300,$B404&gt;1500,$C404&lt;1,$C404&gt;12,$D404&lt;1,$D404&gt;31),"نامعتبر",RIGHT("0000"&amp;$B404,4)&amp;"/"&amp;RIGHT("00"&amp;$C404,2)&amp;"/"&amp;RIGHT("00"&amp;$D404,2)))</f>
        <v/>
      </c>
      <c r="F404">
        <f>IF(OR($E404="",$E404="نامعتبر"),"",LEFT($E404,4)&amp;"/"&amp;MID($E404,6,2))</f>
        <v/>
      </c>
      <c r="G404">
        <f>IF(OR($E404="",$E404="نامعتبر",Sync!$Y401=""),"",Sync!$Y401)</f>
        <v/>
      </c>
      <c r="H404">
        <f>IF($G404="","",IF(Sync!$X401="","",Sync!$X401))</f>
        <v/>
      </c>
      <c r="I404">
        <f>IF($G404="","",IFERROR(VLOOKUP(Sync!$X401,OpTbl,3,0),""))</f>
        <v/>
      </c>
      <c r="J404">
        <f>IF(OR($G404="",Sync!$Z401=""),"",Sync!$Z401)</f>
        <v/>
      </c>
      <c r="K404">
        <f>IF(OR($G404="",Sync!$AA401=""),"",Sync!$AA401)</f>
        <v/>
      </c>
      <c r="L404">
        <f>IF($G404="",0,IF(Sync!$AB401="",0,Sync!$AB401))</f>
        <v/>
      </c>
      <c r="M404">
        <f>IF($G404="",0,IF(Sync!$AC401="",0,Sync!$AC401))</f>
        <v/>
      </c>
      <c r="N404">
        <f>IF($G404="","",IF($H404="مرجوعی خرید",-1,1)*($L404-$M404*IFERROR(VLOOKUP("P01",ParamTbl,3,0),1.5))*(1-IF($I404="خرید",IFERROR(VLOOKUP("P02",ParamTbl,3,0),1),0)/100))</f>
        <v/>
      </c>
      <c r="O404">
        <f>IF($G404="",0,IF($H404="مرجوعی خرید",-1,1)*IF(Sync!$AD401="",0,Sync!$AD401))</f>
        <v/>
      </c>
      <c r="P404">
        <f>IF(OR($G404="",Sync!$W401=""),"",Sync!$W401)</f>
        <v/>
      </c>
      <c r="Q404">
        <f>IF(OR($G404="",Sync!$AE401=""),"",Sync!$AE401)</f>
        <v/>
      </c>
      <c r="R404">
        <f>IF($G404="","",IF(Sync!$V401="","0000",IF(AND(ISNUMBER(Sync!$V401),Sync!$V401&gt;=0,Sync!$V401&lt;1),RIGHT("00"&amp;HOUR(Sync!$V401),2)&amp;RIGHT("00"&amp;MINUTE(Sync!$V401),2),IFERROR(RIGHT("00"&amp;VALUE(LEFT(Sync!$V401,FIND(":",Sync!$V401)-1)),2)&amp;RIGHT("00"&amp;VALUE(MID(Sync!$V401,FIND(":",Sync!$V401)+1,2)),2),"0000"))))</f>
        <v/>
      </c>
    </row>
    <row r="405">
      <c r="A405">
        <f>IF(Sync!$U402="","",Sync!$U402)</f>
        <v/>
      </c>
      <c r="B405">
        <f>IF($A405="","",IF(ISNUMBER($A405),IF(AND($A405&gt;=10000101,$A405&lt;=99991231),INT($A405/10000),""),IFERROR(VALUE(TRIM(LEFT($A405,FIND("/",$A405)-1))),"")))</f>
        <v/>
      </c>
      <c r="C405">
        <f>IF(OR($A405="",$B405=""),"",IF(ISNUMBER($A405),INT(MOD($A405,10000)/100),IFERROR(VALUE(TRIM(LEFT(MID($A405,FIND("/",$A405)+1,20),FIND("/",MID($A405,FIND("/",$A405)+1,20))-1))),"")))</f>
        <v/>
      </c>
      <c r="D405">
        <f>IF(OR($A405="",$B405=""),"",IF(ISNUMBER($A405),MOD($A405,100),IFERROR(VALUE(TRIM(MID(MID($A405,FIND("/",$A405)+1,20),FIND("/",MID($A405,FIND("/",$A405)+1,20))+1,20))),"")))</f>
        <v/>
      </c>
      <c r="E405">
        <f>IF($A405="","",IF(OR($B405="",$C405="",$D405="",$B405&lt;1300,$B405&gt;1500,$C405&lt;1,$C405&gt;12,$D405&lt;1,$D405&gt;31),"نامعتبر",RIGHT("0000"&amp;$B405,4)&amp;"/"&amp;RIGHT("00"&amp;$C405,2)&amp;"/"&amp;RIGHT("00"&amp;$D405,2)))</f>
        <v/>
      </c>
      <c r="F405">
        <f>IF(OR($E405="",$E405="نامعتبر"),"",LEFT($E405,4)&amp;"/"&amp;MID($E405,6,2))</f>
        <v/>
      </c>
      <c r="G405">
        <f>IF(OR($E405="",$E405="نامعتبر",Sync!$Y402=""),"",Sync!$Y402)</f>
        <v/>
      </c>
      <c r="H405">
        <f>IF($G405="","",IF(Sync!$X402="","",Sync!$X402))</f>
        <v/>
      </c>
      <c r="I405">
        <f>IF($G405="","",IFERROR(VLOOKUP(Sync!$X402,OpTbl,3,0),""))</f>
        <v/>
      </c>
      <c r="J405">
        <f>IF(OR($G405="",Sync!$Z402=""),"",Sync!$Z402)</f>
        <v/>
      </c>
      <c r="K405">
        <f>IF(OR($G405="",Sync!$AA402=""),"",Sync!$AA402)</f>
        <v/>
      </c>
      <c r="L405">
        <f>IF($G405="",0,IF(Sync!$AB402="",0,Sync!$AB402))</f>
        <v/>
      </c>
      <c r="M405">
        <f>IF($G405="",0,IF(Sync!$AC402="",0,Sync!$AC402))</f>
        <v/>
      </c>
      <c r="N405">
        <f>IF($G405="","",IF($H405="مرجوعی خرید",-1,1)*($L405-$M405*IFERROR(VLOOKUP("P01",ParamTbl,3,0),1.5))*(1-IF($I405="خرید",IFERROR(VLOOKUP("P02",ParamTbl,3,0),1),0)/100))</f>
        <v/>
      </c>
      <c r="O405">
        <f>IF($G405="",0,IF($H405="مرجوعی خرید",-1,1)*IF(Sync!$AD402="",0,Sync!$AD402))</f>
        <v/>
      </c>
      <c r="P405">
        <f>IF(OR($G405="",Sync!$W402=""),"",Sync!$W402)</f>
        <v/>
      </c>
      <c r="Q405">
        <f>IF(OR($G405="",Sync!$AE402=""),"",Sync!$AE402)</f>
        <v/>
      </c>
      <c r="R405">
        <f>IF($G405="","",IF(Sync!$V402="","0000",IF(AND(ISNUMBER(Sync!$V402),Sync!$V402&gt;=0,Sync!$V402&lt;1),RIGHT("00"&amp;HOUR(Sync!$V402),2)&amp;RIGHT("00"&amp;MINUTE(Sync!$V402),2),IFERROR(RIGHT("00"&amp;VALUE(LEFT(Sync!$V402,FIND(":",Sync!$V402)-1)),2)&amp;RIGHT("00"&amp;VALUE(MID(Sync!$V402,FIND(":",Sync!$V402)+1,2)),2),"0000"))))</f>
        <v/>
      </c>
    </row>
    <row r="406">
      <c r="A406">
        <f>IF(Sync!$U403="","",Sync!$U403)</f>
        <v/>
      </c>
      <c r="B406">
        <f>IF($A406="","",IF(ISNUMBER($A406),IF(AND($A406&gt;=10000101,$A406&lt;=99991231),INT($A406/10000),""),IFERROR(VALUE(TRIM(LEFT($A406,FIND("/",$A406)-1))),"")))</f>
        <v/>
      </c>
      <c r="C406">
        <f>IF(OR($A406="",$B406=""),"",IF(ISNUMBER($A406),INT(MOD($A406,10000)/100),IFERROR(VALUE(TRIM(LEFT(MID($A406,FIND("/",$A406)+1,20),FIND("/",MID($A406,FIND("/",$A406)+1,20))-1))),"")))</f>
        <v/>
      </c>
      <c r="D406">
        <f>IF(OR($A406="",$B406=""),"",IF(ISNUMBER($A406),MOD($A406,100),IFERROR(VALUE(TRIM(MID(MID($A406,FIND("/",$A406)+1,20),FIND("/",MID($A406,FIND("/",$A406)+1,20))+1,20))),"")))</f>
        <v/>
      </c>
      <c r="E406">
        <f>IF($A406="","",IF(OR($B406="",$C406="",$D406="",$B406&lt;1300,$B406&gt;1500,$C406&lt;1,$C406&gt;12,$D406&lt;1,$D406&gt;31),"نامعتبر",RIGHT("0000"&amp;$B406,4)&amp;"/"&amp;RIGHT("00"&amp;$C406,2)&amp;"/"&amp;RIGHT("00"&amp;$D406,2)))</f>
        <v/>
      </c>
      <c r="F406">
        <f>IF(OR($E406="",$E406="نامعتبر"),"",LEFT($E406,4)&amp;"/"&amp;MID($E406,6,2))</f>
        <v/>
      </c>
      <c r="G406">
        <f>IF(OR($E406="",$E406="نامعتبر",Sync!$Y403=""),"",Sync!$Y403)</f>
        <v/>
      </c>
      <c r="H406">
        <f>IF($G406="","",IF(Sync!$X403="","",Sync!$X403))</f>
        <v/>
      </c>
      <c r="I406">
        <f>IF($G406="","",IFERROR(VLOOKUP(Sync!$X403,OpTbl,3,0),""))</f>
        <v/>
      </c>
      <c r="J406">
        <f>IF(OR($G406="",Sync!$Z403=""),"",Sync!$Z403)</f>
        <v/>
      </c>
      <c r="K406">
        <f>IF(OR($G406="",Sync!$AA403=""),"",Sync!$AA403)</f>
        <v/>
      </c>
      <c r="L406">
        <f>IF($G406="",0,IF(Sync!$AB403="",0,Sync!$AB403))</f>
        <v/>
      </c>
      <c r="M406">
        <f>IF($G406="",0,IF(Sync!$AC403="",0,Sync!$AC403))</f>
        <v/>
      </c>
      <c r="N406">
        <f>IF($G406="","",IF($H406="مرجوعی خرید",-1,1)*($L406-$M406*IFERROR(VLOOKUP("P01",ParamTbl,3,0),1.5))*(1-IF($I406="خرید",IFERROR(VLOOKUP("P02",ParamTbl,3,0),1),0)/100))</f>
        <v/>
      </c>
      <c r="O406">
        <f>IF($G406="",0,IF($H406="مرجوعی خرید",-1,1)*IF(Sync!$AD403="",0,Sync!$AD403))</f>
        <v/>
      </c>
      <c r="P406">
        <f>IF(OR($G406="",Sync!$W403=""),"",Sync!$W403)</f>
        <v/>
      </c>
      <c r="Q406">
        <f>IF(OR($G406="",Sync!$AE403=""),"",Sync!$AE403)</f>
        <v/>
      </c>
      <c r="R406">
        <f>IF($G406="","",IF(Sync!$V403="","0000",IF(AND(ISNUMBER(Sync!$V403),Sync!$V403&gt;=0,Sync!$V403&lt;1),RIGHT("00"&amp;HOUR(Sync!$V403),2)&amp;RIGHT("00"&amp;MINUTE(Sync!$V403),2),IFERROR(RIGHT("00"&amp;VALUE(LEFT(Sync!$V403,FIND(":",Sync!$V403)-1)),2)&amp;RIGHT("00"&amp;VALUE(MID(Sync!$V403,FIND(":",Sync!$V403)+1,2)),2),"0000"))))</f>
        <v/>
      </c>
    </row>
    <row r="407">
      <c r="A407">
        <f>IF(Sync!$U404="","",Sync!$U404)</f>
        <v/>
      </c>
      <c r="B407">
        <f>IF($A407="","",IF(ISNUMBER($A407),IF(AND($A407&gt;=10000101,$A407&lt;=99991231),INT($A407/10000),""),IFERROR(VALUE(TRIM(LEFT($A407,FIND("/",$A407)-1))),"")))</f>
        <v/>
      </c>
      <c r="C407">
        <f>IF(OR($A407="",$B407=""),"",IF(ISNUMBER($A407),INT(MOD($A407,10000)/100),IFERROR(VALUE(TRIM(LEFT(MID($A407,FIND("/",$A407)+1,20),FIND("/",MID($A407,FIND("/",$A407)+1,20))-1))),"")))</f>
        <v/>
      </c>
      <c r="D407">
        <f>IF(OR($A407="",$B407=""),"",IF(ISNUMBER($A407),MOD($A407,100),IFERROR(VALUE(TRIM(MID(MID($A407,FIND("/",$A407)+1,20),FIND("/",MID($A407,FIND("/",$A407)+1,20))+1,20))),"")))</f>
        <v/>
      </c>
      <c r="E407">
        <f>IF($A407="","",IF(OR($B407="",$C407="",$D407="",$B407&lt;1300,$B407&gt;1500,$C407&lt;1,$C407&gt;12,$D407&lt;1,$D407&gt;31),"نامعتبر",RIGHT("0000"&amp;$B407,4)&amp;"/"&amp;RIGHT("00"&amp;$C407,2)&amp;"/"&amp;RIGHT("00"&amp;$D407,2)))</f>
        <v/>
      </c>
      <c r="F407">
        <f>IF(OR($E407="",$E407="نامعتبر"),"",LEFT($E407,4)&amp;"/"&amp;MID($E407,6,2))</f>
        <v/>
      </c>
      <c r="G407">
        <f>IF(OR($E407="",$E407="نامعتبر",Sync!$Y404=""),"",Sync!$Y404)</f>
        <v/>
      </c>
      <c r="H407">
        <f>IF($G407="","",IF(Sync!$X404="","",Sync!$X404))</f>
        <v/>
      </c>
      <c r="I407">
        <f>IF($G407="","",IFERROR(VLOOKUP(Sync!$X404,OpTbl,3,0),""))</f>
        <v/>
      </c>
      <c r="J407">
        <f>IF(OR($G407="",Sync!$Z404=""),"",Sync!$Z404)</f>
        <v/>
      </c>
      <c r="K407">
        <f>IF(OR($G407="",Sync!$AA404=""),"",Sync!$AA404)</f>
        <v/>
      </c>
      <c r="L407">
        <f>IF($G407="",0,IF(Sync!$AB404="",0,Sync!$AB404))</f>
        <v/>
      </c>
      <c r="M407">
        <f>IF($G407="",0,IF(Sync!$AC404="",0,Sync!$AC404))</f>
        <v/>
      </c>
      <c r="N407">
        <f>IF($G407="","",IF($H407="مرجوعی خرید",-1,1)*($L407-$M407*IFERROR(VLOOKUP("P01",ParamTbl,3,0),1.5))*(1-IF($I407="خرید",IFERROR(VLOOKUP("P02",ParamTbl,3,0),1),0)/100))</f>
        <v/>
      </c>
      <c r="O407">
        <f>IF($G407="",0,IF($H407="مرجوعی خرید",-1,1)*IF(Sync!$AD404="",0,Sync!$AD404))</f>
        <v/>
      </c>
      <c r="P407">
        <f>IF(OR($G407="",Sync!$W404=""),"",Sync!$W404)</f>
        <v/>
      </c>
      <c r="Q407">
        <f>IF(OR($G407="",Sync!$AE404=""),"",Sync!$AE404)</f>
        <v/>
      </c>
      <c r="R407">
        <f>IF($G407="","",IF(Sync!$V404="","0000",IF(AND(ISNUMBER(Sync!$V404),Sync!$V404&gt;=0,Sync!$V404&lt;1),RIGHT("00"&amp;HOUR(Sync!$V404),2)&amp;RIGHT("00"&amp;MINUTE(Sync!$V404),2),IFERROR(RIGHT("00"&amp;VALUE(LEFT(Sync!$V404,FIND(":",Sync!$V404)-1)),2)&amp;RIGHT("00"&amp;VALUE(MID(Sync!$V404,FIND(":",Sync!$V404)+1,2)),2),"0000"))))</f>
        <v/>
      </c>
    </row>
    <row r="408">
      <c r="A408">
        <f>IF(Sync!$U405="","",Sync!$U405)</f>
        <v/>
      </c>
      <c r="B408">
        <f>IF($A408="","",IF(ISNUMBER($A408),IF(AND($A408&gt;=10000101,$A408&lt;=99991231),INT($A408/10000),""),IFERROR(VALUE(TRIM(LEFT($A408,FIND("/",$A408)-1))),"")))</f>
        <v/>
      </c>
      <c r="C408">
        <f>IF(OR($A408="",$B408=""),"",IF(ISNUMBER($A408),INT(MOD($A408,10000)/100),IFERROR(VALUE(TRIM(LEFT(MID($A408,FIND("/",$A408)+1,20),FIND("/",MID($A408,FIND("/",$A408)+1,20))-1))),"")))</f>
        <v/>
      </c>
      <c r="D408">
        <f>IF(OR($A408="",$B408=""),"",IF(ISNUMBER($A408),MOD($A408,100),IFERROR(VALUE(TRIM(MID(MID($A408,FIND("/",$A408)+1,20),FIND("/",MID($A408,FIND("/",$A408)+1,20))+1,20))),"")))</f>
        <v/>
      </c>
      <c r="E408">
        <f>IF($A408="","",IF(OR($B408="",$C408="",$D408="",$B408&lt;1300,$B408&gt;1500,$C408&lt;1,$C408&gt;12,$D408&lt;1,$D408&gt;31),"نامعتبر",RIGHT("0000"&amp;$B408,4)&amp;"/"&amp;RIGHT("00"&amp;$C408,2)&amp;"/"&amp;RIGHT("00"&amp;$D408,2)))</f>
        <v/>
      </c>
      <c r="F408">
        <f>IF(OR($E408="",$E408="نامعتبر"),"",LEFT($E408,4)&amp;"/"&amp;MID($E408,6,2))</f>
        <v/>
      </c>
      <c r="G408">
        <f>IF(OR($E408="",$E408="نامعتبر",Sync!$Y405=""),"",Sync!$Y405)</f>
        <v/>
      </c>
      <c r="H408">
        <f>IF($G408="","",IF(Sync!$X405="","",Sync!$X405))</f>
        <v/>
      </c>
      <c r="I408">
        <f>IF($G408="","",IFERROR(VLOOKUP(Sync!$X405,OpTbl,3,0),""))</f>
        <v/>
      </c>
      <c r="J408">
        <f>IF(OR($G408="",Sync!$Z405=""),"",Sync!$Z405)</f>
        <v/>
      </c>
      <c r="K408">
        <f>IF(OR($G408="",Sync!$AA405=""),"",Sync!$AA405)</f>
        <v/>
      </c>
      <c r="L408">
        <f>IF($G408="",0,IF(Sync!$AB405="",0,Sync!$AB405))</f>
        <v/>
      </c>
      <c r="M408">
        <f>IF($G408="",0,IF(Sync!$AC405="",0,Sync!$AC405))</f>
        <v/>
      </c>
      <c r="N408">
        <f>IF($G408="","",IF($H408="مرجوعی خرید",-1,1)*($L408-$M408*IFERROR(VLOOKUP("P01",ParamTbl,3,0),1.5))*(1-IF($I408="خرید",IFERROR(VLOOKUP("P02",ParamTbl,3,0),1),0)/100))</f>
        <v/>
      </c>
      <c r="O408">
        <f>IF($G408="",0,IF($H408="مرجوعی خرید",-1,1)*IF(Sync!$AD405="",0,Sync!$AD405))</f>
        <v/>
      </c>
      <c r="P408">
        <f>IF(OR($G408="",Sync!$W405=""),"",Sync!$W405)</f>
        <v/>
      </c>
      <c r="Q408">
        <f>IF(OR($G408="",Sync!$AE405=""),"",Sync!$AE405)</f>
        <v/>
      </c>
      <c r="R408">
        <f>IF($G408="","",IF(Sync!$V405="","0000",IF(AND(ISNUMBER(Sync!$V405),Sync!$V405&gt;=0,Sync!$V405&lt;1),RIGHT("00"&amp;HOUR(Sync!$V405),2)&amp;RIGHT("00"&amp;MINUTE(Sync!$V405),2),IFERROR(RIGHT("00"&amp;VALUE(LEFT(Sync!$V405,FIND(":",Sync!$V405)-1)),2)&amp;RIGHT("00"&amp;VALUE(MID(Sync!$V405,FIND(":",Sync!$V405)+1,2)),2),"0000"))))</f>
        <v/>
      </c>
    </row>
    <row r="409">
      <c r="A409">
        <f>IF(Sync!$U406="","",Sync!$U406)</f>
        <v/>
      </c>
      <c r="B409">
        <f>IF($A409="","",IF(ISNUMBER($A409),IF(AND($A409&gt;=10000101,$A409&lt;=99991231),INT($A409/10000),""),IFERROR(VALUE(TRIM(LEFT($A409,FIND("/",$A409)-1))),"")))</f>
        <v/>
      </c>
      <c r="C409">
        <f>IF(OR($A409="",$B409=""),"",IF(ISNUMBER($A409),INT(MOD($A409,10000)/100),IFERROR(VALUE(TRIM(LEFT(MID($A409,FIND("/",$A409)+1,20),FIND("/",MID($A409,FIND("/",$A409)+1,20))-1))),"")))</f>
        <v/>
      </c>
      <c r="D409">
        <f>IF(OR($A409="",$B409=""),"",IF(ISNUMBER($A409),MOD($A409,100),IFERROR(VALUE(TRIM(MID(MID($A409,FIND("/",$A409)+1,20),FIND("/",MID($A409,FIND("/",$A409)+1,20))+1,20))),"")))</f>
        <v/>
      </c>
      <c r="E409">
        <f>IF($A409="","",IF(OR($B409="",$C409="",$D409="",$B409&lt;1300,$B409&gt;1500,$C409&lt;1,$C409&gt;12,$D409&lt;1,$D409&gt;31),"نامعتبر",RIGHT("0000"&amp;$B409,4)&amp;"/"&amp;RIGHT("00"&amp;$C409,2)&amp;"/"&amp;RIGHT("00"&amp;$D409,2)))</f>
        <v/>
      </c>
      <c r="F409">
        <f>IF(OR($E409="",$E409="نامعتبر"),"",LEFT($E409,4)&amp;"/"&amp;MID($E409,6,2))</f>
        <v/>
      </c>
      <c r="G409">
        <f>IF(OR($E409="",$E409="نامعتبر",Sync!$Y406=""),"",Sync!$Y406)</f>
        <v/>
      </c>
      <c r="H409">
        <f>IF($G409="","",IF(Sync!$X406="","",Sync!$X406))</f>
        <v/>
      </c>
      <c r="I409">
        <f>IF($G409="","",IFERROR(VLOOKUP(Sync!$X406,OpTbl,3,0),""))</f>
        <v/>
      </c>
      <c r="J409">
        <f>IF(OR($G409="",Sync!$Z406=""),"",Sync!$Z406)</f>
        <v/>
      </c>
      <c r="K409">
        <f>IF(OR($G409="",Sync!$AA406=""),"",Sync!$AA406)</f>
        <v/>
      </c>
      <c r="L409">
        <f>IF($G409="",0,IF(Sync!$AB406="",0,Sync!$AB406))</f>
        <v/>
      </c>
      <c r="M409">
        <f>IF($G409="",0,IF(Sync!$AC406="",0,Sync!$AC406))</f>
        <v/>
      </c>
      <c r="N409">
        <f>IF($G409="","",IF($H409="مرجوعی خرید",-1,1)*($L409-$M409*IFERROR(VLOOKUP("P01",ParamTbl,3,0),1.5))*(1-IF($I409="خرید",IFERROR(VLOOKUP("P02",ParamTbl,3,0),1),0)/100))</f>
        <v/>
      </c>
      <c r="O409">
        <f>IF($G409="",0,IF($H409="مرجوعی خرید",-1,1)*IF(Sync!$AD406="",0,Sync!$AD406))</f>
        <v/>
      </c>
      <c r="P409">
        <f>IF(OR($G409="",Sync!$W406=""),"",Sync!$W406)</f>
        <v/>
      </c>
      <c r="Q409">
        <f>IF(OR($G409="",Sync!$AE406=""),"",Sync!$AE406)</f>
        <v/>
      </c>
      <c r="R409">
        <f>IF($G409="","",IF(Sync!$V406="","0000",IF(AND(ISNUMBER(Sync!$V406),Sync!$V406&gt;=0,Sync!$V406&lt;1),RIGHT("00"&amp;HOUR(Sync!$V406),2)&amp;RIGHT("00"&amp;MINUTE(Sync!$V406),2),IFERROR(RIGHT("00"&amp;VALUE(LEFT(Sync!$V406,FIND(":",Sync!$V406)-1)),2)&amp;RIGHT("00"&amp;VALUE(MID(Sync!$V406,FIND(":",Sync!$V406)+1,2)),2),"0000"))))</f>
        <v/>
      </c>
    </row>
    <row r="410">
      <c r="A410">
        <f>IF(Sync!$U407="","",Sync!$U407)</f>
        <v/>
      </c>
      <c r="B410">
        <f>IF($A410="","",IF(ISNUMBER($A410),IF(AND($A410&gt;=10000101,$A410&lt;=99991231),INT($A410/10000),""),IFERROR(VALUE(TRIM(LEFT($A410,FIND("/",$A410)-1))),"")))</f>
        <v/>
      </c>
      <c r="C410">
        <f>IF(OR($A410="",$B410=""),"",IF(ISNUMBER($A410),INT(MOD($A410,10000)/100),IFERROR(VALUE(TRIM(LEFT(MID($A410,FIND("/",$A410)+1,20),FIND("/",MID($A410,FIND("/",$A410)+1,20))-1))),"")))</f>
        <v/>
      </c>
      <c r="D410">
        <f>IF(OR($A410="",$B410=""),"",IF(ISNUMBER($A410),MOD($A410,100),IFERROR(VALUE(TRIM(MID(MID($A410,FIND("/",$A410)+1,20),FIND("/",MID($A410,FIND("/",$A410)+1,20))+1,20))),"")))</f>
        <v/>
      </c>
      <c r="E410">
        <f>IF($A410="","",IF(OR($B410="",$C410="",$D410="",$B410&lt;1300,$B410&gt;1500,$C410&lt;1,$C410&gt;12,$D410&lt;1,$D410&gt;31),"نامعتبر",RIGHT("0000"&amp;$B410,4)&amp;"/"&amp;RIGHT("00"&amp;$C410,2)&amp;"/"&amp;RIGHT("00"&amp;$D410,2)))</f>
        <v/>
      </c>
      <c r="F410">
        <f>IF(OR($E410="",$E410="نامعتبر"),"",LEFT($E410,4)&amp;"/"&amp;MID($E410,6,2))</f>
        <v/>
      </c>
      <c r="G410">
        <f>IF(OR($E410="",$E410="نامعتبر",Sync!$Y407=""),"",Sync!$Y407)</f>
        <v/>
      </c>
      <c r="H410">
        <f>IF($G410="","",IF(Sync!$X407="","",Sync!$X407))</f>
        <v/>
      </c>
      <c r="I410">
        <f>IF($G410="","",IFERROR(VLOOKUP(Sync!$X407,OpTbl,3,0),""))</f>
        <v/>
      </c>
      <c r="J410">
        <f>IF(OR($G410="",Sync!$Z407=""),"",Sync!$Z407)</f>
        <v/>
      </c>
      <c r="K410">
        <f>IF(OR($G410="",Sync!$AA407=""),"",Sync!$AA407)</f>
        <v/>
      </c>
      <c r="L410">
        <f>IF($G410="",0,IF(Sync!$AB407="",0,Sync!$AB407))</f>
        <v/>
      </c>
      <c r="M410">
        <f>IF($G410="",0,IF(Sync!$AC407="",0,Sync!$AC407))</f>
        <v/>
      </c>
      <c r="N410">
        <f>IF($G410="","",IF($H410="مرجوعی خرید",-1,1)*($L410-$M410*IFERROR(VLOOKUP("P01",ParamTbl,3,0),1.5))*(1-IF($I410="خرید",IFERROR(VLOOKUP("P02",ParamTbl,3,0),1),0)/100))</f>
        <v/>
      </c>
      <c r="O410">
        <f>IF($G410="",0,IF($H410="مرجوعی خرید",-1,1)*IF(Sync!$AD407="",0,Sync!$AD407))</f>
        <v/>
      </c>
      <c r="P410">
        <f>IF(OR($G410="",Sync!$W407=""),"",Sync!$W407)</f>
        <v/>
      </c>
      <c r="Q410">
        <f>IF(OR($G410="",Sync!$AE407=""),"",Sync!$AE407)</f>
        <v/>
      </c>
      <c r="R410">
        <f>IF($G410="","",IF(Sync!$V407="","0000",IF(AND(ISNUMBER(Sync!$V407),Sync!$V407&gt;=0,Sync!$V407&lt;1),RIGHT("00"&amp;HOUR(Sync!$V407),2)&amp;RIGHT("00"&amp;MINUTE(Sync!$V407),2),IFERROR(RIGHT("00"&amp;VALUE(LEFT(Sync!$V407,FIND(":",Sync!$V407)-1)),2)&amp;RIGHT("00"&amp;VALUE(MID(Sync!$V407,FIND(":",Sync!$V407)+1,2)),2),"0000"))))</f>
        <v/>
      </c>
    </row>
    <row r="411">
      <c r="A411">
        <f>IF(Sync!$U408="","",Sync!$U408)</f>
        <v/>
      </c>
      <c r="B411">
        <f>IF($A411="","",IF(ISNUMBER($A411),IF(AND($A411&gt;=10000101,$A411&lt;=99991231),INT($A411/10000),""),IFERROR(VALUE(TRIM(LEFT($A411,FIND("/",$A411)-1))),"")))</f>
        <v/>
      </c>
      <c r="C411">
        <f>IF(OR($A411="",$B411=""),"",IF(ISNUMBER($A411),INT(MOD($A411,10000)/100),IFERROR(VALUE(TRIM(LEFT(MID($A411,FIND("/",$A411)+1,20),FIND("/",MID($A411,FIND("/",$A411)+1,20))-1))),"")))</f>
        <v/>
      </c>
      <c r="D411">
        <f>IF(OR($A411="",$B411=""),"",IF(ISNUMBER($A411),MOD($A411,100),IFERROR(VALUE(TRIM(MID(MID($A411,FIND("/",$A411)+1,20),FIND("/",MID($A411,FIND("/",$A411)+1,20))+1,20))),"")))</f>
        <v/>
      </c>
      <c r="E411">
        <f>IF($A411="","",IF(OR($B411="",$C411="",$D411="",$B411&lt;1300,$B411&gt;1500,$C411&lt;1,$C411&gt;12,$D411&lt;1,$D411&gt;31),"نامعتبر",RIGHT("0000"&amp;$B411,4)&amp;"/"&amp;RIGHT("00"&amp;$C411,2)&amp;"/"&amp;RIGHT("00"&amp;$D411,2)))</f>
        <v/>
      </c>
      <c r="F411">
        <f>IF(OR($E411="",$E411="نامعتبر"),"",LEFT($E411,4)&amp;"/"&amp;MID($E411,6,2))</f>
        <v/>
      </c>
      <c r="G411">
        <f>IF(OR($E411="",$E411="نامعتبر",Sync!$Y408=""),"",Sync!$Y408)</f>
        <v/>
      </c>
      <c r="H411">
        <f>IF($G411="","",IF(Sync!$X408="","",Sync!$X408))</f>
        <v/>
      </c>
      <c r="I411">
        <f>IF($G411="","",IFERROR(VLOOKUP(Sync!$X408,OpTbl,3,0),""))</f>
        <v/>
      </c>
      <c r="J411">
        <f>IF(OR($G411="",Sync!$Z408=""),"",Sync!$Z408)</f>
        <v/>
      </c>
      <c r="K411">
        <f>IF(OR($G411="",Sync!$AA408=""),"",Sync!$AA408)</f>
        <v/>
      </c>
      <c r="L411">
        <f>IF($G411="",0,IF(Sync!$AB408="",0,Sync!$AB408))</f>
        <v/>
      </c>
      <c r="M411">
        <f>IF($G411="",0,IF(Sync!$AC408="",0,Sync!$AC408))</f>
        <v/>
      </c>
      <c r="N411">
        <f>IF($G411="","",IF($H411="مرجوعی خرید",-1,1)*($L411-$M411*IFERROR(VLOOKUP("P01",ParamTbl,3,0),1.5))*(1-IF($I411="خرید",IFERROR(VLOOKUP("P02",ParamTbl,3,0),1),0)/100))</f>
        <v/>
      </c>
      <c r="O411">
        <f>IF($G411="",0,IF($H411="مرجوعی خرید",-1,1)*IF(Sync!$AD408="",0,Sync!$AD408))</f>
        <v/>
      </c>
      <c r="P411">
        <f>IF(OR($G411="",Sync!$W408=""),"",Sync!$W408)</f>
        <v/>
      </c>
      <c r="Q411">
        <f>IF(OR($G411="",Sync!$AE408=""),"",Sync!$AE408)</f>
        <v/>
      </c>
      <c r="R411">
        <f>IF($G411="","",IF(Sync!$V408="","0000",IF(AND(ISNUMBER(Sync!$V408),Sync!$V408&gt;=0,Sync!$V408&lt;1),RIGHT("00"&amp;HOUR(Sync!$V408),2)&amp;RIGHT("00"&amp;MINUTE(Sync!$V408),2),IFERROR(RIGHT("00"&amp;VALUE(LEFT(Sync!$V408,FIND(":",Sync!$V408)-1)),2)&amp;RIGHT("00"&amp;VALUE(MID(Sync!$V408,FIND(":",Sync!$V408)+1,2)),2),"0000"))))</f>
        <v/>
      </c>
    </row>
    <row r="412">
      <c r="A412">
        <f>IF(Sync!$U409="","",Sync!$U409)</f>
        <v/>
      </c>
      <c r="B412">
        <f>IF($A412="","",IF(ISNUMBER($A412),IF(AND($A412&gt;=10000101,$A412&lt;=99991231),INT($A412/10000),""),IFERROR(VALUE(TRIM(LEFT($A412,FIND("/",$A412)-1))),"")))</f>
        <v/>
      </c>
      <c r="C412">
        <f>IF(OR($A412="",$B412=""),"",IF(ISNUMBER($A412),INT(MOD($A412,10000)/100),IFERROR(VALUE(TRIM(LEFT(MID($A412,FIND("/",$A412)+1,20),FIND("/",MID($A412,FIND("/",$A412)+1,20))-1))),"")))</f>
        <v/>
      </c>
      <c r="D412">
        <f>IF(OR($A412="",$B412=""),"",IF(ISNUMBER($A412),MOD($A412,100),IFERROR(VALUE(TRIM(MID(MID($A412,FIND("/",$A412)+1,20),FIND("/",MID($A412,FIND("/",$A412)+1,20))+1,20))),"")))</f>
        <v/>
      </c>
      <c r="E412">
        <f>IF($A412="","",IF(OR($B412="",$C412="",$D412="",$B412&lt;1300,$B412&gt;1500,$C412&lt;1,$C412&gt;12,$D412&lt;1,$D412&gt;31),"نامعتبر",RIGHT("0000"&amp;$B412,4)&amp;"/"&amp;RIGHT("00"&amp;$C412,2)&amp;"/"&amp;RIGHT("00"&amp;$D412,2)))</f>
        <v/>
      </c>
      <c r="F412">
        <f>IF(OR($E412="",$E412="نامعتبر"),"",LEFT($E412,4)&amp;"/"&amp;MID($E412,6,2))</f>
        <v/>
      </c>
      <c r="G412">
        <f>IF(OR($E412="",$E412="نامعتبر",Sync!$Y409=""),"",Sync!$Y409)</f>
        <v/>
      </c>
      <c r="H412">
        <f>IF($G412="","",IF(Sync!$X409="","",Sync!$X409))</f>
        <v/>
      </c>
      <c r="I412">
        <f>IF($G412="","",IFERROR(VLOOKUP(Sync!$X409,OpTbl,3,0),""))</f>
        <v/>
      </c>
      <c r="J412">
        <f>IF(OR($G412="",Sync!$Z409=""),"",Sync!$Z409)</f>
        <v/>
      </c>
      <c r="K412">
        <f>IF(OR($G412="",Sync!$AA409=""),"",Sync!$AA409)</f>
        <v/>
      </c>
      <c r="L412">
        <f>IF($G412="",0,IF(Sync!$AB409="",0,Sync!$AB409))</f>
        <v/>
      </c>
      <c r="M412">
        <f>IF($G412="",0,IF(Sync!$AC409="",0,Sync!$AC409))</f>
        <v/>
      </c>
      <c r="N412">
        <f>IF($G412="","",IF($H412="مرجوعی خرید",-1,1)*($L412-$M412*IFERROR(VLOOKUP("P01",ParamTbl,3,0),1.5))*(1-IF($I412="خرید",IFERROR(VLOOKUP("P02",ParamTbl,3,0),1),0)/100))</f>
        <v/>
      </c>
      <c r="O412">
        <f>IF($G412="",0,IF($H412="مرجوعی خرید",-1,1)*IF(Sync!$AD409="",0,Sync!$AD409))</f>
        <v/>
      </c>
      <c r="P412">
        <f>IF(OR($G412="",Sync!$W409=""),"",Sync!$W409)</f>
        <v/>
      </c>
      <c r="Q412">
        <f>IF(OR($G412="",Sync!$AE409=""),"",Sync!$AE409)</f>
        <v/>
      </c>
      <c r="R412">
        <f>IF($G412="","",IF(Sync!$V409="","0000",IF(AND(ISNUMBER(Sync!$V409),Sync!$V409&gt;=0,Sync!$V409&lt;1),RIGHT("00"&amp;HOUR(Sync!$V409),2)&amp;RIGHT("00"&amp;MINUTE(Sync!$V409),2),IFERROR(RIGHT("00"&amp;VALUE(LEFT(Sync!$V409,FIND(":",Sync!$V409)-1)),2)&amp;RIGHT("00"&amp;VALUE(MID(Sync!$V409,FIND(":",Sync!$V409)+1,2)),2),"0000"))))</f>
        <v/>
      </c>
    </row>
    <row r="413">
      <c r="A413">
        <f>IF(Sync!$U410="","",Sync!$U410)</f>
        <v/>
      </c>
      <c r="B413">
        <f>IF($A413="","",IF(ISNUMBER($A413),IF(AND($A413&gt;=10000101,$A413&lt;=99991231),INT($A413/10000),""),IFERROR(VALUE(TRIM(LEFT($A413,FIND("/",$A413)-1))),"")))</f>
        <v/>
      </c>
      <c r="C413">
        <f>IF(OR($A413="",$B413=""),"",IF(ISNUMBER($A413),INT(MOD($A413,10000)/100),IFERROR(VALUE(TRIM(LEFT(MID($A413,FIND("/",$A413)+1,20),FIND("/",MID($A413,FIND("/",$A413)+1,20))-1))),"")))</f>
        <v/>
      </c>
      <c r="D413">
        <f>IF(OR($A413="",$B413=""),"",IF(ISNUMBER($A413),MOD($A413,100),IFERROR(VALUE(TRIM(MID(MID($A413,FIND("/",$A413)+1,20),FIND("/",MID($A413,FIND("/",$A413)+1,20))+1,20))),"")))</f>
        <v/>
      </c>
      <c r="E413">
        <f>IF($A413="","",IF(OR($B413="",$C413="",$D413="",$B413&lt;1300,$B413&gt;1500,$C413&lt;1,$C413&gt;12,$D413&lt;1,$D413&gt;31),"نامعتبر",RIGHT("0000"&amp;$B413,4)&amp;"/"&amp;RIGHT("00"&amp;$C413,2)&amp;"/"&amp;RIGHT("00"&amp;$D413,2)))</f>
        <v/>
      </c>
      <c r="F413">
        <f>IF(OR($E413="",$E413="نامعتبر"),"",LEFT($E413,4)&amp;"/"&amp;MID($E413,6,2))</f>
        <v/>
      </c>
      <c r="G413">
        <f>IF(OR($E413="",$E413="نامعتبر",Sync!$Y410=""),"",Sync!$Y410)</f>
        <v/>
      </c>
      <c r="H413">
        <f>IF($G413="","",IF(Sync!$X410="","",Sync!$X410))</f>
        <v/>
      </c>
      <c r="I413">
        <f>IF($G413="","",IFERROR(VLOOKUP(Sync!$X410,OpTbl,3,0),""))</f>
        <v/>
      </c>
      <c r="J413">
        <f>IF(OR($G413="",Sync!$Z410=""),"",Sync!$Z410)</f>
        <v/>
      </c>
      <c r="K413">
        <f>IF(OR($G413="",Sync!$AA410=""),"",Sync!$AA410)</f>
        <v/>
      </c>
      <c r="L413">
        <f>IF($G413="",0,IF(Sync!$AB410="",0,Sync!$AB410))</f>
        <v/>
      </c>
      <c r="M413">
        <f>IF($G413="",0,IF(Sync!$AC410="",0,Sync!$AC410))</f>
        <v/>
      </c>
      <c r="N413">
        <f>IF($G413="","",IF($H413="مرجوعی خرید",-1,1)*($L413-$M413*IFERROR(VLOOKUP("P01",ParamTbl,3,0),1.5))*(1-IF($I413="خرید",IFERROR(VLOOKUP("P02",ParamTbl,3,0),1),0)/100))</f>
        <v/>
      </c>
      <c r="O413">
        <f>IF($G413="",0,IF($H413="مرجوعی خرید",-1,1)*IF(Sync!$AD410="",0,Sync!$AD410))</f>
        <v/>
      </c>
      <c r="P413">
        <f>IF(OR($G413="",Sync!$W410=""),"",Sync!$W410)</f>
        <v/>
      </c>
      <c r="Q413">
        <f>IF(OR($G413="",Sync!$AE410=""),"",Sync!$AE410)</f>
        <v/>
      </c>
      <c r="R413">
        <f>IF($G413="","",IF(Sync!$V410="","0000",IF(AND(ISNUMBER(Sync!$V410),Sync!$V410&gt;=0,Sync!$V410&lt;1),RIGHT("00"&amp;HOUR(Sync!$V410),2)&amp;RIGHT("00"&amp;MINUTE(Sync!$V410),2),IFERROR(RIGHT("00"&amp;VALUE(LEFT(Sync!$V410,FIND(":",Sync!$V410)-1)),2)&amp;RIGHT("00"&amp;VALUE(MID(Sync!$V410,FIND(":",Sync!$V410)+1,2)),2),"0000"))))</f>
        <v/>
      </c>
    </row>
    <row r="414">
      <c r="A414">
        <f>IF(Sync!$U411="","",Sync!$U411)</f>
        <v/>
      </c>
      <c r="B414">
        <f>IF($A414="","",IF(ISNUMBER($A414),IF(AND($A414&gt;=10000101,$A414&lt;=99991231),INT($A414/10000),""),IFERROR(VALUE(TRIM(LEFT($A414,FIND("/",$A414)-1))),"")))</f>
        <v/>
      </c>
      <c r="C414">
        <f>IF(OR($A414="",$B414=""),"",IF(ISNUMBER($A414),INT(MOD($A414,10000)/100),IFERROR(VALUE(TRIM(LEFT(MID($A414,FIND("/",$A414)+1,20),FIND("/",MID($A414,FIND("/",$A414)+1,20))-1))),"")))</f>
        <v/>
      </c>
      <c r="D414">
        <f>IF(OR($A414="",$B414=""),"",IF(ISNUMBER($A414),MOD($A414,100),IFERROR(VALUE(TRIM(MID(MID($A414,FIND("/",$A414)+1,20),FIND("/",MID($A414,FIND("/",$A414)+1,20))+1,20))),"")))</f>
        <v/>
      </c>
      <c r="E414">
        <f>IF($A414="","",IF(OR($B414="",$C414="",$D414="",$B414&lt;1300,$B414&gt;1500,$C414&lt;1,$C414&gt;12,$D414&lt;1,$D414&gt;31),"نامعتبر",RIGHT("0000"&amp;$B414,4)&amp;"/"&amp;RIGHT("00"&amp;$C414,2)&amp;"/"&amp;RIGHT("00"&amp;$D414,2)))</f>
        <v/>
      </c>
      <c r="F414">
        <f>IF(OR($E414="",$E414="نامعتبر"),"",LEFT($E414,4)&amp;"/"&amp;MID($E414,6,2))</f>
        <v/>
      </c>
      <c r="G414">
        <f>IF(OR($E414="",$E414="نامعتبر",Sync!$Y411=""),"",Sync!$Y411)</f>
        <v/>
      </c>
      <c r="H414">
        <f>IF($G414="","",IF(Sync!$X411="","",Sync!$X411))</f>
        <v/>
      </c>
      <c r="I414">
        <f>IF($G414="","",IFERROR(VLOOKUP(Sync!$X411,OpTbl,3,0),""))</f>
        <v/>
      </c>
      <c r="J414">
        <f>IF(OR($G414="",Sync!$Z411=""),"",Sync!$Z411)</f>
        <v/>
      </c>
      <c r="K414">
        <f>IF(OR($G414="",Sync!$AA411=""),"",Sync!$AA411)</f>
        <v/>
      </c>
      <c r="L414">
        <f>IF($G414="",0,IF(Sync!$AB411="",0,Sync!$AB411))</f>
        <v/>
      </c>
      <c r="M414">
        <f>IF($G414="",0,IF(Sync!$AC411="",0,Sync!$AC411))</f>
        <v/>
      </c>
      <c r="N414">
        <f>IF($G414="","",IF($H414="مرجوعی خرید",-1,1)*($L414-$M414*IFERROR(VLOOKUP("P01",ParamTbl,3,0),1.5))*(1-IF($I414="خرید",IFERROR(VLOOKUP("P02",ParamTbl,3,0),1),0)/100))</f>
        <v/>
      </c>
      <c r="O414">
        <f>IF($G414="",0,IF($H414="مرجوعی خرید",-1,1)*IF(Sync!$AD411="",0,Sync!$AD411))</f>
        <v/>
      </c>
      <c r="P414">
        <f>IF(OR($G414="",Sync!$W411=""),"",Sync!$W411)</f>
        <v/>
      </c>
      <c r="Q414">
        <f>IF(OR($G414="",Sync!$AE411=""),"",Sync!$AE411)</f>
        <v/>
      </c>
      <c r="R414">
        <f>IF($G414="","",IF(Sync!$V411="","0000",IF(AND(ISNUMBER(Sync!$V411),Sync!$V411&gt;=0,Sync!$V411&lt;1),RIGHT("00"&amp;HOUR(Sync!$V411),2)&amp;RIGHT("00"&amp;MINUTE(Sync!$V411),2),IFERROR(RIGHT("00"&amp;VALUE(LEFT(Sync!$V411,FIND(":",Sync!$V411)-1)),2)&amp;RIGHT("00"&amp;VALUE(MID(Sync!$V411,FIND(":",Sync!$V411)+1,2)),2),"0000"))))</f>
        <v/>
      </c>
    </row>
    <row r="415">
      <c r="A415">
        <f>IF(Sync!$U412="","",Sync!$U412)</f>
        <v/>
      </c>
      <c r="B415">
        <f>IF($A415="","",IF(ISNUMBER($A415),IF(AND($A415&gt;=10000101,$A415&lt;=99991231),INT($A415/10000),""),IFERROR(VALUE(TRIM(LEFT($A415,FIND("/",$A415)-1))),"")))</f>
        <v/>
      </c>
      <c r="C415">
        <f>IF(OR($A415="",$B415=""),"",IF(ISNUMBER($A415),INT(MOD($A415,10000)/100),IFERROR(VALUE(TRIM(LEFT(MID($A415,FIND("/",$A415)+1,20),FIND("/",MID($A415,FIND("/",$A415)+1,20))-1))),"")))</f>
        <v/>
      </c>
      <c r="D415">
        <f>IF(OR($A415="",$B415=""),"",IF(ISNUMBER($A415),MOD($A415,100),IFERROR(VALUE(TRIM(MID(MID($A415,FIND("/",$A415)+1,20),FIND("/",MID($A415,FIND("/",$A415)+1,20))+1,20))),"")))</f>
        <v/>
      </c>
      <c r="E415">
        <f>IF($A415="","",IF(OR($B415="",$C415="",$D415="",$B415&lt;1300,$B415&gt;1500,$C415&lt;1,$C415&gt;12,$D415&lt;1,$D415&gt;31),"نامعتبر",RIGHT("0000"&amp;$B415,4)&amp;"/"&amp;RIGHT("00"&amp;$C415,2)&amp;"/"&amp;RIGHT("00"&amp;$D415,2)))</f>
        <v/>
      </c>
      <c r="F415">
        <f>IF(OR($E415="",$E415="نامعتبر"),"",LEFT($E415,4)&amp;"/"&amp;MID($E415,6,2))</f>
        <v/>
      </c>
      <c r="G415">
        <f>IF(OR($E415="",$E415="نامعتبر",Sync!$Y412=""),"",Sync!$Y412)</f>
        <v/>
      </c>
      <c r="H415">
        <f>IF($G415="","",IF(Sync!$X412="","",Sync!$X412))</f>
        <v/>
      </c>
      <c r="I415">
        <f>IF($G415="","",IFERROR(VLOOKUP(Sync!$X412,OpTbl,3,0),""))</f>
        <v/>
      </c>
      <c r="J415">
        <f>IF(OR($G415="",Sync!$Z412=""),"",Sync!$Z412)</f>
        <v/>
      </c>
      <c r="K415">
        <f>IF(OR($G415="",Sync!$AA412=""),"",Sync!$AA412)</f>
        <v/>
      </c>
      <c r="L415">
        <f>IF($G415="",0,IF(Sync!$AB412="",0,Sync!$AB412))</f>
        <v/>
      </c>
      <c r="M415">
        <f>IF($G415="",0,IF(Sync!$AC412="",0,Sync!$AC412))</f>
        <v/>
      </c>
      <c r="N415">
        <f>IF($G415="","",IF($H415="مرجوعی خرید",-1,1)*($L415-$M415*IFERROR(VLOOKUP("P01",ParamTbl,3,0),1.5))*(1-IF($I415="خرید",IFERROR(VLOOKUP("P02",ParamTbl,3,0),1),0)/100))</f>
        <v/>
      </c>
      <c r="O415">
        <f>IF($G415="",0,IF($H415="مرجوعی خرید",-1,1)*IF(Sync!$AD412="",0,Sync!$AD412))</f>
        <v/>
      </c>
      <c r="P415">
        <f>IF(OR($G415="",Sync!$W412=""),"",Sync!$W412)</f>
        <v/>
      </c>
      <c r="Q415">
        <f>IF(OR($G415="",Sync!$AE412=""),"",Sync!$AE412)</f>
        <v/>
      </c>
      <c r="R415">
        <f>IF($G415="","",IF(Sync!$V412="","0000",IF(AND(ISNUMBER(Sync!$V412),Sync!$V412&gt;=0,Sync!$V412&lt;1),RIGHT("00"&amp;HOUR(Sync!$V412),2)&amp;RIGHT("00"&amp;MINUTE(Sync!$V412),2),IFERROR(RIGHT("00"&amp;VALUE(LEFT(Sync!$V412,FIND(":",Sync!$V412)-1)),2)&amp;RIGHT("00"&amp;VALUE(MID(Sync!$V412,FIND(":",Sync!$V412)+1,2)),2),"0000"))))</f>
        <v/>
      </c>
    </row>
    <row r="416">
      <c r="A416">
        <f>IF(Sync!$U413="","",Sync!$U413)</f>
        <v/>
      </c>
      <c r="B416">
        <f>IF($A416="","",IF(ISNUMBER($A416),IF(AND($A416&gt;=10000101,$A416&lt;=99991231),INT($A416/10000),""),IFERROR(VALUE(TRIM(LEFT($A416,FIND("/",$A416)-1))),"")))</f>
        <v/>
      </c>
      <c r="C416">
        <f>IF(OR($A416="",$B416=""),"",IF(ISNUMBER($A416),INT(MOD($A416,10000)/100),IFERROR(VALUE(TRIM(LEFT(MID($A416,FIND("/",$A416)+1,20),FIND("/",MID($A416,FIND("/",$A416)+1,20))-1))),"")))</f>
        <v/>
      </c>
      <c r="D416">
        <f>IF(OR($A416="",$B416=""),"",IF(ISNUMBER($A416),MOD($A416,100),IFERROR(VALUE(TRIM(MID(MID($A416,FIND("/",$A416)+1,20),FIND("/",MID($A416,FIND("/",$A416)+1,20))+1,20))),"")))</f>
        <v/>
      </c>
      <c r="E416">
        <f>IF($A416="","",IF(OR($B416="",$C416="",$D416="",$B416&lt;1300,$B416&gt;1500,$C416&lt;1,$C416&gt;12,$D416&lt;1,$D416&gt;31),"نامعتبر",RIGHT("0000"&amp;$B416,4)&amp;"/"&amp;RIGHT("00"&amp;$C416,2)&amp;"/"&amp;RIGHT("00"&amp;$D416,2)))</f>
        <v/>
      </c>
      <c r="F416">
        <f>IF(OR($E416="",$E416="نامعتبر"),"",LEFT($E416,4)&amp;"/"&amp;MID($E416,6,2))</f>
        <v/>
      </c>
      <c r="G416">
        <f>IF(OR($E416="",$E416="نامعتبر",Sync!$Y413=""),"",Sync!$Y413)</f>
        <v/>
      </c>
      <c r="H416">
        <f>IF($G416="","",IF(Sync!$X413="","",Sync!$X413))</f>
        <v/>
      </c>
      <c r="I416">
        <f>IF($G416="","",IFERROR(VLOOKUP(Sync!$X413,OpTbl,3,0),""))</f>
        <v/>
      </c>
      <c r="J416">
        <f>IF(OR($G416="",Sync!$Z413=""),"",Sync!$Z413)</f>
        <v/>
      </c>
      <c r="K416">
        <f>IF(OR($G416="",Sync!$AA413=""),"",Sync!$AA413)</f>
        <v/>
      </c>
      <c r="L416">
        <f>IF($G416="",0,IF(Sync!$AB413="",0,Sync!$AB413))</f>
        <v/>
      </c>
      <c r="M416">
        <f>IF($G416="",0,IF(Sync!$AC413="",0,Sync!$AC413))</f>
        <v/>
      </c>
      <c r="N416">
        <f>IF($G416="","",IF($H416="مرجوعی خرید",-1,1)*($L416-$M416*IFERROR(VLOOKUP("P01",ParamTbl,3,0),1.5))*(1-IF($I416="خرید",IFERROR(VLOOKUP("P02",ParamTbl,3,0),1),0)/100))</f>
        <v/>
      </c>
      <c r="O416">
        <f>IF($G416="",0,IF($H416="مرجوعی خرید",-1,1)*IF(Sync!$AD413="",0,Sync!$AD413))</f>
        <v/>
      </c>
      <c r="P416">
        <f>IF(OR($G416="",Sync!$W413=""),"",Sync!$W413)</f>
        <v/>
      </c>
      <c r="Q416">
        <f>IF(OR($G416="",Sync!$AE413=""),"",Sync!$AE413)</f>
        <v/>
      </c>
      <c r="R416">
        <f>IF($G416="","",IF(Sync!$V413="","0000",IF(AND(ISNUMBER(Sync!$V413),Sync!$V413&gt;=0,Sync!$V413&lt;1),RIGHT("00"&amp;HOUR(Sync!$V413),2)&amp;RIGHT("00"&amp;MINUTE(Sync!$V413),2),IFERROR(RIGHT("00"&amp;VALUE(LEFT(Sync!$V413,FIND(":",Sync!$V413)-1)),2)&amp;RIGHT("00"&amp;VALUE(MID(Sync!$V413,FIND(":",Sync!$V413)+1,2)),2),"0000"))))</f>
        <v/>
      </c>
    </row>
    <row r="417">
      <c r="A417">
        <f>IF(Sync!$U414="","",Sync!$U414)</f>
        <v/>
      </c>
      <c r="B417">
        <f>IF($A417="","",IF(ISNUMBER($A417),IF(AND($A417&gt;=10000101,$A417&lt;=99991231),INT($A417/10000),""),IFERROR(VALUE(TRIM(LEFT($A417,FIND("/",$A417)-1))),"")))</f>
        <v/>
      </c>
      <c r="C417">
        <f>IF(OR($A417="",$B417=""),"",IF(ISNUMBER($A417),INT(MOD($A417,10000)/100),IFERROR(VALUE(TRIM(LEFT(MID($A417,FIND("/",$A417)+1,20),FIND("/",MID($A417,FIND("/",$A417)+1,20))-1))),"")))</f>
        <v/>
      </c>
      <c r="D417">
        <f>IF(OR($A417="",$B417=""),"",IF(ISNUMBER($A417),MOD($A417,100),IFERROR(VALUE(TRIM(MID(MID($A417,FIND("/",$A417)+1,20),FIND("/",MID($A417,FIND("/",$A417)+1,20))+1,20))),"")))</f>
        <v/>
      </c>
      <c r="E417">
        <f>IF($A417="","",IF(OR($B417="",$C417="",$D417="",$B417&lt;1300,$B417&gt;1500,$C417&lt;1,$C417&gt;12,$D417&lt;1,$D417&gt;31),"نامعتبر",RIGHT("0000"&amp;$B417,4)&amp;"/"&amp;RIGHT("00"&amp;$C417,2)&amp;"/"&amp;RIGHT("00"&amp;$D417,2)))</f>
        <v/>
      </c>
      <c r="F417">
        <f>IF(OR($E417="",$E417="نامعتبر"),"",LEFT($E417,4)&amp;"/"&amp;MID($E417,6,2))</f>
        <v/>
      </c>
      <c r="G417">
        <f>IF(OR($E417="",$E417="نامعتبر",Sync!$Y414=""),"",Sync!$Y414)</f>
        <v/>
      </c>
      <c r="H417">
        <f>IF($G417="","",IF(Sync!$X414="","",Sync!$X414))</f>
        <v/>
      </c>
      <c r="I417">
        <f>IF($G417="","",IFERROR(VLOOKUP(Sync!$X414,OpTbl,3,0),""))</f>
        <v/>
      </c>
      <c r="J417">
        <f>IF(OR($G417="",Sync!$Z414=""),"",Sync!$Z414)</f>
        <v/>
      </c>
      <c r="K417">
        <f>IF(OR($G417="",Sync!$AA414=""),"",Sync!$AA414)</f>
        <v/>
      </c>
      <c r="L417">
        <f>IF($G417="",0,IF(Sync!$AB414="",0,Sync!$AB414))</f>
        <v/>
      </c>
      <c r="M417">
        <f>IF($G417="",0,IF(Sync!$AC414="",0,Sync!$AC414))</f>
        <v/>
      </c>
      <c r="N417">
        <f>IF($G417="","",IF($H417="مرجوعی خرید",-1,1)*($L417-$M417*IFERROR(VLOOKUP("P01",ParamTbl,3,0),1.5))*(1-IF($I417="خرید",IFERROR(VLOOKUP("P02",ParamTbl,3,0),1),0)/100))</f>
        <v/>
      </c>
      <c r="O417">
        <f>IF($G417="",0,IF($H417="مرجوعی خرید",-1,1)*IF(Sync!$AD414="",0,Sync!$AD414))</f>
        <v/>
      </c>
      <c r="P417">
        <f>IF(OR($G417="",Sync!$W414=""),"",Sync!$W414)</f>
        <v/>
      </c>
      <c r="Q417">
        <f>IF(OR($G417="",Sync!$AE414=""),"",Sync!$AE414)</f>
        <v/>
      </c>
      <c r="R417">
        <f>IF($G417="","",IF(Sync!$V414="","0000",IF(AND(ISNUMBER(Sync!$V414),Sync!$V414&gt;=0,Sync!$V414&lt;1),RIGHT("00"&amp;HOUR(Sync!$V414),2)&amp;RIGHT("00"&amp;MINUTE(Sync!$V414),2),IFERROR(RIGHT("00"&amp;VALUE(LEFT(Sync!$V414,FIND(":",Sync!$V414)-1)),2)&amp;RIGHT("00"&amp;VALUE(MID(Sync!$V414,FIND(":",Sync!$V414)+1,2)),2),"0000"))))</f>
        <v/>
      </c>
    </row>
    <row r="418">
      <c r="A418">
        <f>IF(Sync!$U415="","",Sync!$U415)</f>
        <v/>
      </c>
      <c r="B418">
        <f>IF($A418="","",IF(ISNUMBER($A418),IF(AND($A418&gt;=10000101,$A418&lt;=99991231),INT($A418/10000),""),IFERROR(VALUE(TRIM(LEFT($A418,FIND("/",$A418)-1))),"")))</f>
        <v/>
      </c>
      <c r="C418">
        <f>IF(OR($A418="",$B418=""),"",IF(ISNUMBER($A418),INT(MOD($A418,10000)/100),IFERROR(VALUE(TRIM(LEFT(MID($A418,FIND("/",$A418)+1,20),FIND("/",MID($A418,FIND("/",$A418)+1,20))-1))),"")))</f>
        <v/>
      </c>
      <c r="D418">
        <f>IF(OR($A418="",$B418=""),"",IF(ISNUMBER($A418),MOD($A418,100),IFERROR(VALUE(TRIM(MID(MID($A418,FIND("/",$A418)+1,20),FIND("/",MID($A418,FIND("/",$A418)+1,20))+1,20))),"")))</f>
        <v/>
      </c>
      <c r="E418">
        <f>IF($A418="","",IF(OR($B418="",$C418="",$D418="",$B418&lt;1300,$B418&gt;1500,$C418&lt;1,$C418&gt;12,$D418&lt;1,$D418&gt;31),"نامعتبر",RIGHT("0000"&amp;$B418,4)&amp;"/"&amp;RIGHT("00"&amp;$C418,2)&amp;"/"&amp;RIGHT("00"&amp;$D418,2)))</f>
        <v/>
      </c>
      <c r="F418">
        <f>IF(OR($E418="",$E418="نامعتبر"),"",LEFT($E418,4)&amp;"/"&amp;MID($E418,6,2))</f>
        <v/>
      </c>
      <c r="G418">
        <f>IF(OR($E418="",$E418="نامعتبر",Sync!$Y415=""),"",Sync!$Y415)</f>
        <v/>
      </c>
      <c r="H418">
        <f>IF($G418="","",IF(Sync!$X415="","",Sync!$X415))</f>
        <v/>
      </c>
      <c r="I418">
        <f>IF($G418="","",IFERROR(VLOOKUP(Sync!$X415,OpTbl,3,0),""))</f>
        <v/>
      </c>
      <c r="J418">
        <f>IF(OR($G418="",Sync!$Z415=""),"",Sync!$Z415)</f>
        <v/>
      </c>
      <c r="K418">
        <f>IF(OR($G418="",Sync!$AA415=""),"",Sync!$AA415)</f>
        <v/>
      </c>
      <c r="L418">
        <f>IF($G418="",0,IF(Sync!$AB415="",0,Sync!$AB415))</f>
        <v/>
      </c>
      <c r="M418">
        <f>IF($G418="",0,IF(Sync!$AC415="",0,Sync!$AC415))</f>
        <v/>
      </c>
      <c r="N418">
        <f>IF($G418="","",IF($H418="مرجوعی خرید",-1,1)*($L418-$M418*IFERROR(VLOOKUP("P01",ParamTbl,3,0),1.5))*(1-IF($I418="خرید",IFERROR(VLOOKUP("P02",ParamTbl,3,0),1),0)/100))</f>
        <v/>
      </c>
      <c r="O418">
        <f>IF($G418="",0,IF($H418="مرجوعی خرید",-1,1)*IF(Sync!$AD415="",0,Sync!$AD415))</f>
        <v/>
      </c>
      <c r="P418">
        <f>IF(OR($G418="",Sync!$W415=""),"",Sync!$W415)</f>
        <v/>
      </c>
      <c r="Q418">
        <f>IF(OR($G418="",Sync!$AE415=""),"",Sync!$AE415)</f>
        <v/>
      </c>
      <c r="R418">
        <f>IF($G418="","",IF(Sync!$V415="","0000",IF(AND(ISNUMBER(Sync!$V415),Sync!$V415&gt;=0,Sync!$V415&lt;1),RIGHT("00"&amp;HOUR(Sync!$V415),2)&amp;RIGHT("00"&amp;MINUTE(Sync!$V415),2),IFERROR(RIGHT("00"&amp;VALUE(LEFT(Sync!$V415,FIND(":",Sync!$V415)-1)),2)&amp;RIGHT("00"&amp;VALUE(MID(Sync!$V415,FIND(":",Sync!$V415)+1,2)),2),"0000"))))</f>
        <v/>
      </c>
    </row>
    <row r="419">
      <c r="A419">
        <f>IF(Sync!$U416="","",Sync!$U416)</f>
        <v/>
      </c>
      <c r="B419">
        <f>IF($A419="","",IF(ISNUMBER($A419),IF(AND($A419&gt;=10000101,$A419&lt;=99991231),INT($A419/10000),""),IFERROR(VALUE(TRIM(LEFT($A419,FIND("/",$A419)-1))),"")))</f>
        <v/>
      </c>
      <c r="C419">
        <f>IF(OR($A419="",$B419=""),"",IF(ISNUMBER($A419),INT(MOD($A419,10000)/100),IFERROR(VALUE(TRIM(LEFT(MID($A419,FIND("/",$A419)+1,20),FIND("/",MID($A419,FIND("/",$A419)+1,20))-1))),"")))</f>
        <v/>
      </c>
      <c r="D419">
        <f>IF(OR($A419="",$B419=""),"",IF(ISNUMBER($A419),MOD($A419,100),IFERROR(VALUE(TRIM(MID(MID($A419,FIND("/",$A419)+1,20),FIND("/",MID($A419,FIND("/",$A419)+1,20))+1,20))),"")))</f>
        <v/>
      </c>
      <c r="E419">
        <f>IF($A419="","",IF(OR($B419="",$C419="",$D419="",$B419&lt;1300,$B419&gt;1500,$C419&lt;1,$C419&gt;12,$D419&lt;1,$D419&gt;31),"نامعتبر",RIGHT("0000"&amp;$B419,4)&amp;"/"&amp;RIGHT("00"&amp;$C419,2)&amp;"/"&amp;RIGHT("00"&amp;$D419,2)))</f>
        <v/>
      </c>
      <c r="F419">
        <f>IF(OR($E419="",$E419="نامعتبر"),"",LEFT($E419,4)&amp;"/"&amp;MID($E419,6,2))</f>
        <v/>
      </c>
      <c r="G419">
        <f>IF(OR($E419="",$E419="نامعتبر",Sync!$Y416=""),"",Sync!$Y416)</f>
        <v/>
      </c>
      <c r="H419">
        <f>IF($G419="","",IF(Sync!$X416="","",Sync!$X416))</f>
        <v/>
      </c>
      <c r="I419">
        <f>IF($G419="","",IFERROR(VLOOKUP(Sync!$X416,OpTbl,3,0),""))</f>
        <v/>
      </c>
      <c r="J419">
        <f>IF(OR($G419="",Sync!$Z416=""),"",Sync!$Z416)</f>
        <v/>
      </c>
      <c r="K419">
        <f>IF(OR($G419="",Sync!$AA416=""),"",Sync!$AA416)</f>
        <v/>
      </c>
      <c r="L419">
        <f>IF($G419="",0,IF(Sync!$AB416="",0,Sync!$AB416))</f>
        <v/>
      </c>
      <c r="M419">
        <f>IF($G419="",0,IF(Sync!$AC416="",0,Sync!$AC416))</f>
        <v/>
      </c>
      <c r="N419">
        <f>IF($G419="","",IF($H419="مرجوعی خرید",-1,1)*($L419-$M419*IFERROR(VLOOKUP("P01",ParamTbl,3,0),1.5))*(1-IF($I419="خرید",IFERROR(VLOOKUP("P02",ParamTbl,3,0),1),0)/100))</f>
        <v/>
      </c>
      <c r="O419">
        <f>IF($G419="",0,IF($H419="مرجوعی خرید",-1,1)*IF(Sync!$AD416="",0,Sync!$AD416))</f>
        <v/>
      </c>
      <c r="P419">
        <f>IF(OR($G419="",Sync!$W416=""),"",Sync!$W416)</f>
        <v/>
      </c>
      <c r="Q419">
        <f>IF(OR($G419="",Sync!$AE416=""),"",Sync!$AE416)</f>
        <v/>
      </c>
      <c r="R419">
        <f>IF($G419="","",IF(Sync!$V416="","0000",IF(AND(ISNUMBER(Sync!$V416),Sync!$V416&gt;=0,Sync!$V416&lt;1),RIGHT("00"&amp;HOUR(Sync!$V416),2)&amp;RIGHT("00"&amp;MINUTE(Sync!$V416),2),IFERROR(RIGHT("00"&amp;VALUE(LEFT(Sync!$V416,FIND(":",Sync!$V416)-1)),2)&amp;RIGHT("00"&amp;VALUE(MID(Sync!$V416,FIND(":",Sync!$V416)+1,2)),2),"0000"))))</f>
        <v/>
      </c>
    </row>
    <row r="420">
      <c r="A420">
        <f>IF(Sync!$U417="","",Sync!$U417)</f>
        <v/>
      </c>
      <c r="B420">
        <f>IF($A420="","",IF(ISNUMBER($A420),IF(AND($A420&gt;=10000101,$A420&lt;=99991231),INT($A420/10000),""),IFERROR(VALUE(TRIM(LEFT($A420,FIND("/",$A420)-1))),"")))</f>
        <v/>
      </c>
      <c r="C420">
        <f>IF(OR($A420="",$B420=""),"",IF(ISNUMBER($A420),INT(MOD($A420,10000)/100),IFERROR(VALUE(TRIM(LEFT(MID($A420,FIND("/",$A420)+1,20),FIND("/",MID($A420,FIND("/",$A420)+1,20))-1))),"")))</f>
        <v/>
      </c>
      <c r="D420">
        <f>IF(OR($A420="",$B420=""),"",IF(ISNUMBER($A420),MOD($A420,100),IFERROR(VALUE(TRIM(MID(MID($A420,FIND("/",$A420)+1,20),FIND("/",MID($A420,FIND("/",$A420)+1,20))+1,20))),"")))</f>
        <v/>
      </c>
      <c r="E420">
        <f>IF($A420="","",IF(OR($B420="",$C420="",$D420="",$B420&lt;1300,$B420&gt;1500,$C420&lt;1,$C420&gt;12,$D420&lt;1,$D420&gt;31),"نامعتبر",RIGHT("0000"&amp;$B420,4)&amp;"/"&amp;RIGHT("00"&amp;$C420,2)&amp;"/"&amp;RIGHT("00"&amp;$D420,2)))</f>
        <v/>
      </c>
      <c r="F420">
        <f>IF(OR($E420="",$E420="نامعتبر"),"",LEFT($E420,4)&amp;"/"&amp;MID($E420,6,2))</f>
        <v/>
      </c>
      <c r="G420">
        <f>IF(OR($E420="",$E420="نامعتبر",Sync!$Y417=""),"",Sync!$Y417)</f>
        <v/>
      </c>
      <c r="H420">
        <f>IF($G420="","",IF(Sync!$X417="","",Sync!$X417))</f>
        <v/>
      </c>
      <c r="I420">
        <f>IF($G420="","",IFERROR(VLOOKUP(Sync!$X417,OpTbl,3,0),""))</f>
        <v/>
      </c>
      <c r="J420">
        <f>IF(OR($G420="",Sync!$Z417=""),"",Sync!$Z417)</f>
        <v/>
      </c>
      <c r="K420">
        <f>IF(OR($G420="",Sync!$AA417=""),"",Sync!$AA417)</f>
        <v/>
      </c>
      <c r="L420">
        <f>IF($G420="",0,IF(Sync!$AB417="",0,Sync!$AB417))</f>
        <v/>
      </c>
      <c r="M420">
        <f>IF($G420="",0,IF(Sync!$AC417="",0,Sync!$AC417))</f>
        <v/>
      </c>
      <c r="N420">
        <f>IF($G420="","",IF($H420="مرجوعی خرید",-1,1)*($L420-$M420*IFERROR(VLOOKUP("P01",ParamTbl,3,0),1.5))*(1-IF($I420="خرید",IFERROR(VLOOKUP("P02",ParamTbl,3,0),1),0)/100))</f>
        <v/>
      </c>
      <c r="O420">
        <f>IF($G420="",0,IF($H420="مرجوعی خرید",-1,1)*IF(Sync!$AD417="",0,Sync!$AD417))</f>
        <v/>
      </c>
      <c r="P420">
        <f>IF(OR($G420="",Sync!$W417=""),"",Sync!$W417)</f>
        <v/>
      </c>
      <c r="Q420">
        <f>IF(OR($G420="",Sync!$AE417=""),"",Sync!$AE417)</f>
        <v/>
      </c>
      <c r="R420">
        <f>IF($G420="","",IF(Sync!$V417="","0000",IF(AND(ISNUMBER(Sync!$V417),Sync!$V417&gt;=0,Sync!$V417&lt;1),RIGHT("00"&amp;HOUR(Sync!$V417),2)&amp;RIGHT("00"&amp;MINUTE(Sync!$V417),2),IFERROR(RIGHT("00"&amp;VALUE(LEFT(Sync!$V417,FIND(":",Sync!$V417)-1)),2)&amp;RIGHT("00"&amp;VALUE(MID(Sync!$V417,FIND(":",Sync!$V417)+1,2)),2),"0000"))))</f>
        <v/>
      </c>
    </row>
    <row r="421">
      <c r="A421">
        <f>IF(Sync!$U418="","",Sync!$U418)</f>
        <v/>
      </c>
      <c r="B421">
        <f>IF($A421="","",IF(ISNUMBER($A421),IF(AND($A421&gt;=10000101,$A421&lt;=99991231),INT($A421/10000),""),IFERROR(VALUE(TRIM(LEFT($A421,FIND("/",$A421)-1))),"")))</f>
        <v/>
      </c>
      <c r="C421">
        <f>IF(OR($A421="",$B421=""),"",IF(ISNUMBER($A421),INT(MOD($A421,10000)/100),IFERROR(VALUE(TRIM(LEFT(MID($A421,FIND("/",$A421)+1,20),FIND("/",MID($A421,FIND("/",$A421)+1,20))-1))),"")))</f>
        <v/>
      </c>
      <c r="D421">
        <f>IF(OR($A421="",$B421=""),"",IF(ISNUMBER($A421),MOD($A421,100),IFERROR(VALUE(TRIM(MID(MID($A421,FIND("/",$A421)+1,20),FIND("/",MID($A421,FIND("/",$A421)+1,20))+1,20))),"")))</f>
        <v/>
      </c>
      <c r="E421">
        <f>IF($A421="","",IF(OR($B421="",$C421="",$D421="",$B421&lt;1300,$B421&gt;1500,$C421&lt;1,$C421&gt;12,$D421&lt;1,$D421&gt;31),"نامعتبر",RIGHT("0000"&amp;$B421,4)&amp;"/"&amp;RIGHT("00"&amp;$C421,2)&amp;"/"&amp;RIGHT("00"&amp;$D421,2)))</f>
        <v/>
      </c>
      <c r="F421">
        <f>IF(OR($E421="",$E421="نامعتبر"),"",LEFT($E421,4)&amp;"/"&amp;MID($E421,6,2))</f>
        <v/>
      </c>
      <c r="G421">
        <f>IF(OR($E421="",$E421="نامعتبر",Sync!$Y418=""),"",Sync!$Y418)</f>
        <v/>
      </c>
      <c r="H421">
        <f>IF($G421="","",IF(Sync!$X418="","",Sync!$X418))</f>
        <v/>
      </c>
      <c r="I421">
        <f>IF($G421="","",IFERROR(VLOOKUP(Sync!$X418,OpTbl,3,0),""))</f>
        <v/>
      </c>
      <c r="J421">
        <f>IF(OR($G421="",Sync!$Z418=""),"",Sync!$Z418)</f>
        <v/>
      </c>
      <c r="K421">
        <f>IF(OR($G421="",Sync!$AA418=""),"",Sync!$AA418)</f>
        <v/>
      </c>
      <c r="L421">
        <f>IF($G421="",0,IF(Sync!$AB418="",0,Sync!$AB418))</f>
        <v/>
      </c>
      <c r="M421">
        <f>IF($G421="",0,IF(Sync!$AC418="",0,Sync!$AC418))</f>
        <v/>
      </c>
      <c r="N421">
        <f>IF($G421="","",IF($H421="مرجوعی خرید",-1,1)*($L421-$M421*IFERROR(VLOOKUP("P01",ParamTbl,3,0),1.5))*(1-IF($I421="خرید",IFERROR(VLOOKUP("P02",ParamTbl,3,0),1),0)/100))</f>
        <v/>
      </c>
      <c r="O421">
        <f>IF($G421="",0,IF($H421="مرجوعی خرید",-1,1)*IF(Sync!$AD418="",0,Sync!$AD418))</f>
        <v/>
      </c>
      <c r="P421">
        <f>IF(OR($G421="",Sync!$W418=""),"",Sync!$W418)</f>
        <v/>
      </c>
      <c r="Q421">
        <f>IF(OR($G421="",Sync!$AE418=""),"",Sync!$AE418)</f>
        <v/>
      </c>
      <c r="R421">
        <f>IF($G421="","",IF(Sync!$V418="","0000",IF(AND(ISNUMBER(Sync!$V418),Sync!$V418&gt;=0,Sync!$V418&lt;1),RIGHT("00"&amp;HOUR(Sync!$V418),2)&amp;RIGHT("00"&amp;MINUTE(Sync!$V418),2),IFERROR(RIGHT("00"&amp;VALUE(LEFT(Sync!$V418,FIND(":",Sync!$V418)-1)),2)&amp;RIGHT("00"&amp;VALUE(MID(Sync!$V418,FIND(":",Sync!$V418)+1,2)),2),"0000"))))</f>
        <v/>
      </c>
    </row>
    <row r="422">
      <c r="A422">
        <f>IF(Sync!$U419="","",Sync!$U419)</f>
        <v/>
      </c>
      <c r="B422">
        <f>IF($A422="","",IF(ISNUMBER($A422),IF(AND($A422&gt;=10000101,$A422&lt;=99991231),INT($A422/10000),""),IFERROR(VALUE(TRIM(LEFT($A422,FIND("/",$A422)-1))),"")))</f>
        <v/>
      </c>
      <c r="C422">
        <f>IF(OR($A422="",$B422=""),"",IF(ISNUMBER($A422),INT(MOD($A422,10000)/100),IFERROR(VALUE(TRIM(LEFT(MID($A422,FIND("/",$A422)+1,20),FIND("/",MID($A422,FIND("/",$A422)+1,20))-1))),"")))</f>
        <v/>
      </c>
      <c r="D422">
        <f>IF(OR($A422="",$B422=""),"",IF(ISNUMBER($A422),MOD($A422,100),IFERROR(VALUE(TRIM(MID(MID($A422,FIND("/",$A422)+1,20),FIND("/",MID($A422,FIND("/",$A422)+1,20))+1,20))),"")))</f>
        <v/>
      </c>
      <c r="E422">
        <f>IF($A422="","",IF(OR($B422="",$C422="",$D422="",$B422&lt;1300,$B422&gt;1500,$C422&lt;1,$C422&gt;12,$D422&lt;1,$D422&gt;31),"نامعتبر",RIGHT("0000"&amp;$B422,4)&amp;"/"&amp;RIGHT("00"&amp;$C422,2)&amp;"/"&amp;RIGHT("00"&amp;$D422,2)))</f>
        <v/>
      </c>
      <c r="F422">
        <f>IF(OR($E422="",$E422="نامعتبر"),"",LEFT($E422,4)&amp;"/"&amp;MID($E422,6,2))</f>
        <v/>
      </c>
      <c r="G422">
        <f>IF(OR($E422="",$E422="نامعتبر",Sync!$Y419=""),"",Sync!$Y419)</f>
        <v/>
      </c>
      <c r="H422">
        <f>IF($G422="","",IF(Sync!$X419="","",Sync!$X419))</f>
        <v/>
      </c>
      <c r="I422">
        <f>IF($G422="","",IFERROR(VLOOKUP(Sync!$X419,OpTbl,3,0),""))</f>
        <v/>
      </c>
      <c r="J422">
        <f>IF(OR($G422="",Sync!$Z419=""),"",Sync!$Z419)</f>
        <v/>
      </c>
      <c r="K422">
        <f>IF(OR($G422="",Sync!$AA419=""),"",Sync!$AA419)</f>
        <v/>
      </c>
      <c r="L422">
        <f>IF($G422="",0,IF(Sync!$AB419="",0,Sync!$AB419))</f>
        <v/>
      </c>
      <c r="M422">
        <f>IF($G422="",0,IF(Sync!$AC419="",0,Sync!$AC419))</f>
        <v/>
      </c>
      <c r="N422">
        <f>IF($G422="","",IF($H422="مرجوعی خرید",-1,1)*($L422-$M422*IFERROR(VLOOKUP("P01",ParamTbl,3,0),1.5))*(1-IF($I422="خرید",IFERROR(VLOOKUP("P02",ParamTbl,3,0),1),0)/100))</f>
        <v/>
      </c>
      <c r="O422">
        <f>IF($G422="",0,IF($H422="مرجوعی خرید",-1,1)*IF(Sync!$AD419="",0,Sync!$AD419))</f>
        <v/>
      </c>
      <c r="P422">
        <f>IF(OR($G422="",Sync!$W419=""),"",Sync!$W419)</f>
        <v/>
      </c>
      <c r="Q422">
        <f>IF(OR($G422="",Sync!$AE419=""),"",Sync!$AE419)</f>
        <v/>
      </c>
      <c r="R422">
        <f>IF($G422="","",IF(Sync!$V419="","0000",IF(AND(ISNUMBER(Sync!$V419),Sync!$V419&gt;=0,Sync!$V419&lt;1),RIGHT("00"&amp;HOUR(Sync!$V419),2)&amp;RIGHT("00"&amp;MINUTE(Sync!$V419),2),IFERROR(RIGHT("00"&amp;VALUE(LEFT(Sync!$V419,FIND(":",Sync!$V419)-1)),2)&amp;RIGHT("00"&amp;VALUE(MID(Sync!$V419,FIND(":",Sync!$V419)+1,2)),2),"0000"))))</f>
        <v/>
      </c>
    </row>
    <row r="423">
      <c r="A423">
        <f>IF(Sync!$U420="","",Sync!$U420)</f>
        <v/>
      </c>
      <c r="B423">
        <f>IF($A423="","",IF(ISNUMBER($A423),IF(AND($A423&gt;=10000101,$A423&lt;=99991231),INT($A423/10000),""),IFERROR(VALUE(TRIM(LEFT($A423,FIND("/",$A423)-1))),"")))</f>
        <v/>
      </c>
      <c r="C423">
        <f>IF(OR($A423="",$B423=""),"",IF(ISNUMBER($A423),INT(MOD($A423,10000)/100),IFERROR(VALUE(TRIM(LEFT(MID($A423,FIND("/",$A423)+1,20),FIND("/",MID($A423,FIND("/",$A423)+1,20))-1))),"")))</f>
        <v/>
      </c>
      <c r="D423">
        <f>IF(OR($A423="",$B423=""),"",IF(ISNUMBER($A423),MOD($A423,100),IFERROR(VALUE(TRIM(MID(MID($A423,FIND("/",$A423)+1,20),FIND("/",MID($A423,FIND("/",$A423)+1,20))+1,20))),"")))</f>
        <v/>
      </c>
      <c r="E423">
        <f>IF($A423="","",IF(OR($B423="",$C423="",$D423="",$B423&lt;1300,$B423&gt;1500,$C423&lt;1,$C423&gt;12,$D423&lt;1,$D423&gt;31),"نامعتبر",RIGHT("0000"&amp;$B423,4)&amp;"/"&amp;RIGHT("00"&amp;$C423,2)&amp;"/"&amp;RIGHT("00"&amp;$D423,2)))</f>
        <v/>
      </c>
      <c r="F423">
        <f>IF(OR($E423="",$E423="نامعتبر"),"",LEFT($E423,4)&amp;"/"&amp;MID($E423,6,2))</f>
        <v/>
      </c>
      <c r="G423">
        <f>IF(OR($E423="",$E423="نامعتبر",Sync!$Y420=""),"",Sync!$Y420)</f>
        <v/>
      </c>
      <c r="H423">
        <f>IF($G423="","",IF(Sync!$X420="","",Sync!$X420))</f>
        <v/>
      </c>
      <c r="I423">
        <f>IF($G423="","",IFERROR(VLOOKUP(Sync!$X420,OpTbl,3,0),""))</f>
        <v/>
      </c>
      <c r="J423">
        <f>IF(OR($G423="",Sync!$Z420=""),"",Sync!$Z420)</f>
        <v/>
      </c>
      <c r="K423">
        <f>IF(OR($G423="",Sync!$AA420=""),"",Sync!$AA420)</f>
        <v/>
      </c>
      <c r="L423">
        <f>IF($G423="",0,IF(Sync!$AB420="",0,Sync!$AB420))</f>
        <v/>
      </c>
      <c r="M423">
        <f>IF($G423="",0,IF(Sync!$AC420="",0,Sync!$AC420))</f>
        <v/>
      </c>
      <c r="N423">
        <f>IF($G423="","",IF($H423="مرجوعی خرید",-1,1)*($L423-$M423*IFERROR(VLOOKUP("P01",ParamTbl,3,0),1.5))*(1-IF($I423="خرید",IFERROR(VLOOKUP("P02",ParamTbl,3,0),1),0)/100))</f>
        <v/>
      </c>
      <c r="O423">
        <f>IF($G423="",0,IF($H423="مرجوعی خرید",-1,1)*IF(Sync!$AD420="",0,Sync!$AD420))</f>
        <v/>
      </c>
      <c r="P423">
        <f>IF(OR($G423="",Sync!$W420=""),"",Sync!$W420)</f>
        <v/>
      </c>
      <c r="Q423">
        <f>IF(OR($G423="",Sync!$AE420=""),"",Sync!$AE420)</f>
        <v/>
      </c>
      <c r="R423">
        <f>IF($G423="","",IF(Sync!$V420="","0000",IF(AND(ISNUMBER(Sync!$V420),Sync!$V420&gt;=0,Sync!$V420&lt;1),RIGHT("00"&amp;HOUR(Sync!$V420),2)&amp;RIGHT("00"&amp;MINUTE(Sync!$V420),2),IFERROR(RIGHT("00"&amp;VALUE(LEFT(Sync!$V420,FIND(":",Sync!$V420)-1)),2)&amp;RIGHT("00"&amp;VALUE(MID(Sync!$V420,FIND(":",Sync!$V420)+1,2)),2),"0000"))))</f>
        <v/>
      </c>
    </row>
    <row r="424">
      <c r="A424">
        <f>IF(Sync!$U421="","",Sync!$U421)</f>
        <v/>
      </c>
      <c r="B424">
        <f>IF($A424="","",IF(ISNUMBER($A424),IF(AND($A424&gt;=10000101,$A424&lt;=99991231),INT($A424/10000),""),IFERROR(VALUE(TRIM(LEFT($A424,FIND("/",$A424)-1))),"")))</f>
        <v/>
      </c>
      <c r="C424">
        <f>IF(OR($A424="",$B424=""),"",IF(ISNUMBER($A424),INT(MOD($A424,10000)/100),IFERROR(VALUE(TRIM(LEFT(MID($A424,FIND("/",$A424)+1,20),FIND("/",MID($A424,FIND("/",$A424)+1,20))-1))),"")))</f>
        <v/>
      </c>
      <c r="D424">
        <f>IF(OR($A424="",$B424=""),"",IF(ISNUMBER($A424),MOD($A424,100),IFERROR(VALUE(TRIM(MID(MID($A424,FIND("/",$A424)+1,20),FIND("/",MID($A424,FIND("/",$A424)+1,20))+1,20))),"")))</f>
        <v/>
      </c>
      <c r="E424">
        <f>IF($A424="","",IF(OR($B424="",$C424="",$D424="",$B424&lt;1300,$B424&gt;1500,$C424&lt;1,$C424&gt;12,$D424&lt;1,$D424&gt;31),"نامعتبر",RIGHT("0000"&amp;$B424,4)&amp;"/"&amp;RIGHT("00"&amp;$C424,2)&amp;"/"&amp;RIGHT("00"&amp;$D424,2)))</f>
        <v/>
      </c>
      <c r="F424">
        <f>IF(OR($E424="",$E424="نامعتبر"),"",LEFT($E424,4)&amp;"/"&amp;MID($E424,6,2))</f>
        <v/>
      </c>
      <c r="G424">
        <f>IF(OR($E424="",$E424="نامعتبر",Sync!$Y421=""),"",Sync!$Y421)</f>
        <v/>
      </c>
      <c r="H424">
        <f>IF($G424="","",IF(Sync!$X421="","",Sync!$X421))</f>
        <v/>
      </c>
      <c r="I424">
        <f>IF($G424="","",IFERROR(VLOOKUP(Sync!$X421,OpTbl,3,0),""))</f>
        <v/>
      </c>
      <c r="J424">
        <f>IF(OR($G424="",Sync!$Z421=""),"",Sync!$Z421)</f>
        <v/>
      </c>
      <c r="K424">
        <f>IF(OR($G424="",Sync!$AA421=""),"",Sync!$AA421)</f>
        <v/>
      </c>
      <c r="L424">
        <f>IF($G424="",0,IF(Sync!$AB421="",0,Sync!$AB421))</f>
        <v/>
      </c>
      <c r="M424">
        <f>IF($G424="",0,IF(Sync!$AC421="",0,Sync!$AC421))</f>
        <v/>
      </c>
      <c r="N424">
        <f>IF($G424="","",IF($H424="مرجوعی خرید",-1,1)*($L424-$M424*IFERROR(VLOOKUP("P01",ParamTbl,3,0),1.5))*(1-IF($I424="خرید",IFERROR(VLOOKUP("P02",ParamTbl,3,0),1),0)/100))</f>
        <v/>
      </c>
      <c r="O424">
        <f>IF($G424="",0,IF($H424="مرجوعی خرید",-1,1)*IF(Sync!$AD421="",0,Sync!$AD421))</f>
        <v/>
      </c>
      <c r="P424">
        <f>IF(OR($G424="",Sync!$W421=""),"",Sync!$W421)</f>
        <v/>
      </c>
      <c r="Q424">
        <f>IF(OR($G424="",Sync!$AE421=""),"",Sync!$AE421)</f>
        <v/>
      </c>
      <c r="R424">
        <f>IF($G424="","",IF(Sync!$V421="","0000",IF(AND(ISNUMBER(Sync!$V421),Sync!$V421&gt;=0,Sync!$V421&lt;1),RIGHT("00"&amp;HOUR(Sync!$V421),2)&amp;RIGHT("00"&amp;MINUTE(Sync!$V421),2),IFERROR(RIGHT("00"&amp;VALUE(LEFT(Sync!$V421,FIND(":",Sync!$V421)-1)),2)&amp;RIGHT("00"&amp;VALUE(MID(Sync!$V421,FIND(":",Sync!$V421)+1,2)),2),"0000"))))</f>
        <v/>
      </c>
    </row>
    <row r="425">
      <c r="A425">
        <f>IF(Sync!$U422="","",Sync!$U422)</f>
        <v/>
      </c>
      <c r="B425">
        <f>IF($A425="","",IF(ISNUMBER($A425),IF(AND($A425&gt;=10000101,$A425&lt;=99991231),INT($A425/10000),""),IFERROR(VALUE(TRIM(LEFT($A425,FIND("/",$A425)-1))),"")))</f>
        <v/>
      </c>
      <c r="C425">
        <f>IF(OR($A425="",$B425=""),"",IF(ISNUMBER($A425),INT(MOD($A425,10000)/100),IFERROR(VALUE(TRIM(LEFT(MID($A425,FIND("/",$A425)+1,20),FIND("/",MID($A425,FIND("/",$A425)+1,20))-1))),"")))</f>
        <v/>
      </c>
      <c r="D425">
        <f>IF(OR($A425="",$B425=""),"",IF(ISNUMBER($A425),MOD($A425,100),IFERROR(VALUE(TRIM(MID(MID($A425,FIND("/",$A425)+1,20),FIND("/",MID($A425,FIND("/",$A425)+1,20))+1,20))),"")))</f>
        <v/>
      </c>
      <c r="E425">
        <f>IF($A425="","",IF(OR($B425="",$C425="",$D425="",$B425&lt;1300,$B425&gt;1500,$C425&lt;1,$C425&gt;12,$D425&lt;1,$D425&gt;31),"نامعتبر",RIGHT("0000"&amp;$B425,4)&amp;"/"&amp;RIGHT("00"&amp;$C425,2)&amp;"/"&amp;RIGHT("00"&amp;$D425,2)))</f>
        <v/>
      </c>
      <c r="F425">
        <f>IF(OR($E425="",$E425="نامعتبر"),"",LEFT($E425,4)&amp;"/"&amp;MID($E425,6,2))</f>
        <v/>
      </c>
      <c r="G425">
        <f>IF(OR($E425="",$E425="نامعتبر",Sync!$Y422=""),"",Sync!$Y422)</f>
        <v/>
      </c>
      <c r="H425">
        <f>IF($G425="","",IF(Sync!$X422="","",Sync!$X422))</f>
        <v/>
      </c>
      <c r="I425">
        <f>IF($G425="","",IFERROR(VLOOKUP(Sync!$X422,OpTbl,3,0),""))</f>
        <v/>
      </c>
      <c r="J425">
        <f>IF(OR($G425="",Sync!$Z422=""),"",Sync!$Z422)</f>
        <v/>
      </c>
      <c r="K425">
        <f>IF(OR($G425="",Sync!$AA422=""),"",Sync!$AA422)</f>
        <v/>
      </c>
      <c r="L425">
        <f>IF($G425="",0,IF(Sync!$AB422="",0,Sync!$AB422))</f>
        <v/>
      </c>
      <c r="M425">
        <f>IF($G425="",0,IF(Sync!$AC422="",0,Sync!$AC422))</f>
        <v/>
      </c>
      <c r="N425">
        <f>IF($G425="","",IF($H425="مرجوعی خرید",-1,1)*($L425-$M425*IFERROR(VLOOKUP("P01",ParamTbl,3,0),1.5))*(1-IF($I425="خرید",IFERROR(VLOOKUP("P02",ParamTbl,3,0),1),0)/100))</f>
        <v/>
      </c>
      <c r="O425">
        <f>IF($G425="",0,IF($H425="مرجوعی خرید",-1,1)*IF(Sync!$AD422="",0,Sync!$AD422))</f>
        <v/>
      </c>
      <c r="P425">
        <f>IF(OR($G425="",Sync!$W422=""),"",Sync!$W422)</f>
        <v/>
      </c>
      <c r="Q425">
        <f>IF(OR($G425="",Sync!$AE422=""),"",Sync!$AE422)</f>
        <v/>
      </c>
      <c r="R425">
        <f>IF($G425="","",IF(Sync!$V422="","0000",IF(AND(ISNUMBER(Sync!$V422),Sync!$V422&gt;=0,Sync!$V422&lt;1),RIGHT("00"&amp;HOUR(Sync!$V422),2)&amp;RIGHT("00"&amp;MINUTE(Sync!$V422),2),IFERROR(RIGHT("00"&amp;VALUE(LEFT(Sync!$V422,FIND(":",Sync!$V422)-1)),2)&amp;RIGHT("00"&amp;VALUE(MID(Sync!$V422,FIND(":",Sync!$V422)+1,2)),2),"0000"))))</f>
        <v/>
      </c>
    </row>
    <row r="426">
      <c r="A426">
        <f>IF(Sync!$U423="","",Sync!$U423)</f>
        <v/>
      </c>
      <c r="B426">
        <f>IF($A426="","",IF(ISNUMBER($A426),IF(AND($A426&gt;=10000101,$A426&lt;=99991231),INT($A426/10000),""),IFERROR(VALUE(TRIM(LEFT($A426,FIND("/",$A426)-1))),"")))</f>
        <v/>
      </c>
      <c r="C426">
        <f>IF(OR($A426="",$B426=""),"",IF(ISNUMBER($A426),INT(MOD($A426,10000)/100),IFERROR(VALUE(TRIM(LEFT(MID($A426,FIND("/",$A426)+1,20),FIND("/",MID($A426,FIND("/",$A426)+1,20))-1))),"")))</f>
        <v/>
      </c>
      <c r="D426">
        <f>IF(OR($A426="",$B426=""),"",IF(ISNUMBER($A426),MOD($A426,100),IFERROR(VALUE(TRIM(MID(MID($A426,FIND("/",$A426)+1,20),FIND("/",MID($A426,FIND("/",$A426)+1,20))+1,20))),"")))</f>
        <v/>
      </c>
      <c r="E426">
        <f>IF($A426="","",IF(OR($B426="",$C426="",$D426="",$B426&lt;1300,$B426&gt;1500,$C426&lt;1,$C426&gt;12,$D426&lt;1,$D426&gt;31),"نامعتبر",RIGHT("0000"&amp;$B426,4)&amp;"/"&amp;RIGHT("00"&amp;$C426,2)&amp;"/"&amp;RIGHT("00"&amp;$D426,2)))</f>
        <v/>
      </c>
      <c r="F426">
        <f>IF(OR($E426="",$E426="نامعتبر"),"",LEFT($E426,4)&amp;"/"&amp;MID($E426,6,2))</f>
        <v/>
      </c>
      <c r="G426">
        <f>IF(OR($E426="",$E426="نامعتبر",Sync!$Y423=""),"",Sync!$Y423)</f>
        <v/>
      </c>
      <c r="H426">
        <f>IF($G426="","",IF(Sync!$X423="","",Sync!$X423))</f>
        <v/>
      </c>
      <c r="I426">
        <f>IF($G426="","",IFERROR(VLOOKUP(Sync!$X423,OpTbl,3,0),""))</f>
        <v/>
      </c>
      <c r="J426">
        <f>IF(OR($G426="",Sync!$Z423=""),"",Sync!$Z423)</f>
        <v/>
      </c>
      <c r="K426">
        <f>IF(OR($G426="",Sync!$AA423=""),"",Sync!$AA423)</f>
        <v/>
      </c>
      <c r="L426">
        <f>IF($G426="",0,IF(Sync!$AB423="",0,Sync!$AB423))</f>
        <v/>
      </c>
      <c r="M426">
        <f>IF($G426="",0,IF(Sync!$AC423="",0,Sync!$AC423))</f>
        <v/>
      </c>
      <c r="N426">
        <f>IF($G426="","",IF($H426="مرجوعی خرید",-1,1)*($L426-$M426*IFERROR(VLOOKUP("P01",ParamTbl,3,0),1.5))*(1-IF($I426="خرید",IFERROR(VLOOKUP("P02",ParamTbl,3,0),1),0)/100))</f>
        <v/>
      </c>
      <c r="O426">
        <f>IF($G426="",0,IF($H426="مرجوعی خرید",-1,1)*IF(Sync!$AD423="",0,Sync!$AD423))</f>
        <v/>
      </c>
      <c r="P426">
        <f>IF(OR($G426="",Sync!$W423=""),"",Sync!$W423)</f>
        <v/>
      </c>
      <c r="Q426">
        <f>IF(OR($G426="",Sync!$AE423=""),"",Sync!$AE423)</f>
        <v/>
      </c>
      <c r="R426">
        <f>IF($G426="","",IF(Sync!$V423="","0000",IF(AND(ISNUMBER(Sync!$V423),Sync!$V423&gt;=0,Sync!$V423&lt;1),RIGHT("00"&amp;HOUR(Sync!$V423),2)&amp;RIGHT("00"&amp;MINUTE(Sync!$V423),2),IFERROR(RIGHT("00"&amp;VALUE(LEFT(Sync!$V423,FIND(":",Sync!$V423)-1)),2)&amp;RIGHT("00"&amp;VALUE(MID(Sync!$V423,FIND(":",Sync!$V423)+1,2)),2),"0000"))))</f>
        <v/>
      </c>
    </row>
    <row r="427">
      <c r="A427">
        <f>IF(Sync!$U424="","",Sync!$U424)</f>
        <v/>
      </c>
      <c r="B427">
        <f>IF($A427="","",IF(ISNUMBER($A427),IF(AND($A427&gt;=10000101,$A427&lt;=99991231),INT($A427/10000),""),IFERROR(VALUE(TRIM(LEFT($A427,FIND("/",$A427)-1))),"")))</f>
        <v/>
      </c>
      <c r="C427">
        <f>IF(OR($A427="",$B427=""),"",IF(ISNUMBER($A427),INT(MOD($A427,10000)/100),IFERROR(VALUE(TRIM(LEFT(MID($A427,FIND("/",$A427)+1,20),FIND("/",MID($A427,FIND("/",$A427)+1,20))-1))),"")))</f>
        <v/>
      </c>
      <c r="D427">
        <f>IF(OR($A427="",$B427=""),"",IF(ISNUMBER($A427),MOD($A427,100),IFERROR(VALUE(TRIM(MID(MID($A427,FIND("/",$A427)+1,20),FIND("/",MID($A427,FIND("/",$A427)+1,20))+1,20))),"")))</f>
        <v/>
      </c>
      <c r="E427">
        <f>IF($A427="","",IF(OR($B427="",$C427="",$D427="",$B427&lt;1300,$B427&gt;1500,$C427&lt;1,$C427&gt;12,$D427&lt;1,$D427&gt;31),"نامعتبر",RIGHT("0000"&amp;$B427,4)&amp;"/"&amp;RIGHT("00"&amp;$C427,2)&amp;"/"&amp;RIGHT("00"&amp;$D427,2)))</f>
        <v/>
      </c>
      <c r="F427">
        <f>IF(OR($E427="",$E427="نامعتبر"),"",LEFT($E427,4)&amp;"/"&amp;MID($E427,6,2))</f>
        <v/>
      </c>
      <c r="G427">
        <f>IF(OR($E427="",$E427="نامعتبر",Sync!$Y424=""),"",Sync!$Y424)</f>
        <v/>
      </c>
      <c r="H427">
        <f>IF($G427="","",IF(Sync!$X424="","",Sync!$X424))</f>
        <v/>
      </c>
      <c r="I427">
        <f>IF($G427="","",IFERROR(VLOOKUP(Sync!$X424,OpTbl,3,0),""))</f>
        <v/>
      </c>
      <c r="J427">
        <f>IF(OR($G427="",Sync!$Z424=""),"",Sync!$Z424)</f>
        <v/>
      </c>
      <c r="K427">
        <f>IF(OR($G427="",Sync!$AA424=""),"",Sync!$AA424)</f>
        <v/>
      </c>
      <c r="L427">
        <f>IF($G427="",0,IF(Sync!$AB424="",0,Sync!$AB424))</f>
        <v/>
      </c>
      <c r="M427">
        <f>IF($G427="",0,IF(Sync!$AC424="",0,Sync!$AC424))</f>
        <v/>
      </c>
      <c r="N427">
        <f>IF($G427="","",IF($H427="مرجوعی خرید",-1,1)*($L427-$M427*IFERROR(VLOOKUP("P01",ParamTbl,3,0),1.5))*(1-IF($I427="خرید",IFERROR(VLOOKUP("P02",ParamTbl,3,0),1),0)/100))</f>
        <v/>
      </c>
      <c r="O427">
        <f>IF($G427="",0,IF($H427="مرجوعی خرید",-1,1)*IF(Sync!$AD424="",0,Sync!$AD424))</f>
        <v/>
      </c>
      <c r="P427">
        <f>IF(OR($G427="",Sync!$W424=""),"",Sync!$W424)</f>
        <v/>
      </c>
      <c r="Q427">
        <f>IF(OR($G427="",Sync!$AE424=""),"",Sync!$AE424)</f>
        <v/>
      </c>
      <c r="R427">
        <f>IF($G427="","",IF(Sync!$V424="","0000",IF(AND(ISNUMBER(Sync!$V424),Sync!$V424&gt;=0,Sync!$V424&lt;1),RIGHT("00"&amp;HOUR(Sync!$V424),2)&amp;RIGHT("00"&amp;MINUTE(Sync!$V424),2),IFERROR(RIGHT("00"&amp;VALUE(LEFT(Sync!$V424,FIND(":",Sync!$V424)-1)),2)&amp;RIGHT("00"&amp;VALUE(MID(Sync!$V424,FIND(":",Sync!$V424)+1,2)),2),"0000"))))</f>
        <v/>
      </c>
    </row>
    <row r="428">
      <c r="A428">
        <f>IF(Sync!$U425="","",Sync!$U425)</f>
        <v/>
      </c>
      <c r="B428">
        <f>IF($A428="","",IF(ISNUMBER($A428),IF(AND($A428&gt;=10000101,$A428&lt;=99991231),INT($A428/10000),""),IFERROR(VALUE(TRIM(LEFT($A428,FIND("/",$A428)-1))),"")))</f>
        <v/>
      </c>
      <c r="C428">
        <f>IF(OR($A428="",$B428=""),"",IF(ISNUMBER($A428),INT(MOD($A428,10000)/100),IFERROR(VALUE(TRIM(LEFT(MID($A428,FIND("/",$A428)+1,20),FIND("/",MID($A428,FIND("/",$A428)+1,20))-1))),"")))</f>
        <v/>
      </c>
      <c r="D428">
        <f>IF(OR($A428="",$B428=""),"",IF(ISNUMBER($A428),MOD($A428,100),IFERROR(VALUE(TRIM(MID(MID($A428,FIND("/",$A428)+1,20),FIND("/",MID($A428,FIND("/",$A428)+1,20))+1,20))),"")))</f>
        <v/>
      </c>
      <c r="E428">
        <f>IF($A428="","",IF(OR($B428="",$C428="",$D428="",$B428&lt;1300,$B428&gt;1500,$C428&lt;1,$C428&gt;12,$D428&lt;1,$D428&gt;31),"نامعتبر",RIGHT("0000"&amp;$B428,4)&amp;"/"&amp;RIGHT("00"&amp;$C428,2)&amp;"/"&amp;RIGHT("00"&amp;$D428,2)))</f>
        <v/>
      </c>
      <c r="F428">
        <f>IF(OR($E428="",$E428="نامعتبر"),"",LEFT($E428,4)&amp;"/"&amp;MID($E428,6,2))</f>
        <v/>
      </c>
      <c r="G428">
        <f>IF(OR($E428="",$E428="نامعتبر",Sync!$Y425=""),"",Sync!$Y425)</f>
        <v/>
      </c>
      <c r="H428">
        <f>IF($G428="","",IF(Sync!$X425="","",Sync!$X425))</f>
        <v/>
      </c>
      <c r="I428">
        <f>IF($G428="","",IFERROR(VLOOKUP(Sync!$X425,OpTbl,3,0),""))</f>
        <v/>
      </c>
      <c r="J428">
        <f>IF(OR($G428="",Sync!$Z425=""),"",Sync!$Z425)</f>
        <v/>
      </c>
      <c r="K428">
        <f>IF(OR($G428="",Sync!$AA425=""),"",Sync!$AA425)</f>
        <v/>
      </c>
      <c r="L428">
        <f>IF($G428="",0,IF(Sync!$AB425="",0,Sync!$AB425))</f>
        <v/>
      </c>
      <c r="M428">
        <f>IF($G428="",0,IF(Sync!$AC425="",0,Sync!$AC425))</f>
        <v/>
      </c>
      <c r="N428">
        <f>IF($G428="","",IF($H428="مرجوعی خرید",-1,1)*($L428-$M428*IFERROR(VLOOKUP("P01",ParamTbl,3,0),1.5))*(1-IF($I428="خرید",IFERROR(VLOOKUP("P02",ParamTbl,3,0),1),0)/100))</f>
        <v/>
      </c>
      <c r="O428">
        <f>IF($G428="",0,IF($H428="مرجوعی خرید",-1,1)*IF(Sync!$AD425="",0,Sync!$AD425))</f>
        <v/>
      </c>
      <c r="P428">
        <f>IF(OR($G428="",Sync!$W425=""),"",Sync!$W425)</f>
        <v/>
      </c>
      <c r="Q428">
        <f>IF(OR($G428="",Sync!$AE425=""),"",Sync!$AE425)</f>
        <v/>
      </c>
      <c r="R428">
        <f>IF($G428="","",IF(Sync!$V425="","0000",IF(AND(ISNUMBER(Sync!$V425),Sync!$V425&gt;=0,Sync!$V425&lt;1),RIGHT("00"&amp;HOUR(Sync!$V425),2)&amp;RIGHT("00"&amp;MINUTE(Sync!$V425),2),IFERROR(RIGHT("00"&amp;VALUE(LEFT(Sync!$V425,FIND(":",Sync!$V425)-1)),2)&amp;RIGHT("00"&amp;VALUE(MID(Sync!$V425,FIND(":",Sync!$V425)+1,2)),2),"0000"))))</f>
        <v/>
      </c>
    </row>
    <row r="429">
      <c r="A429">
        <f>IF(Sync!$U426="","",Sync!$U426)</f>
        <v/>
      </c>
      <c r="B429">
        <f>IF($A429="","",IF(ISNUMBER($A429),IF(AND($A429&gt;=10000101,$A429&lt;=99991231),INT($A429/10000),""),IFERROR(VALUE(TRIM(LEFT($A429,FIND("/",$A429)-1))),"")))</f>
        <v/>
      </c>
      <c r="C429">
        <f>IF(OR($A429="",$B429=""),"",IF(ISNUMBER($A429),INT(MOD($A429,10000)/100),IFERROR(VALUE(TRIM(LEFT(MID($A429,FIND("/",$A429)+1,20),FIND("/",MID($A429,FIND("/",$A429)+1,20))-1))),"")))</f>
        <v/>
      </c>
      <c r="D429">
        <f>IF(OR($A429="",$B429=""),"",IF(ISNUMBER($A429),MOD($A429,100),IFERROR(VALUE(TRIM(MID(MID($A429,FIND("/",$A429)+1,20),FIND("/",MID($A429,FIND("/",$A429)+1,20))+1,20))),"")))</f>
        <v/>
      </c>
      <c r="E429">
        <f>IF($A429="","",IF(OR($B429="",$C429="",$D429="",$B429&lt;1300,$B429&gt;1500,$C429&lt;1,$C429&gt;12,$D429&lt;1,$D429&gt;31),"نامعتبر",RIGHT("0000"&amp;$B429,4)&amp;"/"&amp;RIGHT("00"&amp;$C429,2)&amp;"/"&amp;RIGHT("00"&amp;$D429,2)))</f>
        <v/>
      </c>
      <c r="F429">
        <f>IF(OR($E429="",$E429="نامعتبر"),"",LEFT($E429,4)&amp;"/"&amp;MID($E429,6,2))</f>
        <v/>
      </c>
      <c r="G429">
        <f>IF(OR($E429="",$E429="نامعتبر",Sync!$Y426=""),"",Sync!$Y426)</f>
        <v/>
      </c>
      <c r="H429">
        <f>IF($G429="","",IF(Sync!$X426="","",Sync!$X426))</f>
        <v/>
      </c>
      <c r="I429">
        <f>IF($G429="","",IFERROR(VLOOKUP(Sync!$X426,OpTbl,3,0),""))</f>
        <v/>
      </c>
      <c r="J429">
        <f>IF(OR($G429="",Sync!$Z426=""),"",Sync!$Z426)</f>
        <v/>
      </c>
      <c r="K429">
        <f>IF(OR($G429="",Sync!$AA426=""),"",Sync!$AA426)</f>
        <v/>
      </c>
      <c r="L429">
        <f>IF($G429="",0,IF(Sync!$AB426="",0,Sync!$AB426))</f>
        <v/>
      </c>
      <c r="M429">
        <f>IF($G429="",0,IF(Sync!$AC426="",0,Sync!$AC426))</f>
        <v/>
      </c>
      <c r="N429">
        <f>IF($G429="","",IF($H429="مرجوعی خرید",-1,1)*($L429-$M429*IFERROR(VLOOKUP("P01",ParamTbl,3,0),1.5))*(1-IF($I429="خرید",IFERROR(VLOOKUP("P02",ParamTbl,3,0),1),0)/100))</f>
        <v/>
      </c>
      <c r="O429">
        <f>IF($G429="",0,IF($H429="مرجوعی خرید",-1,1)*IF(Sync!$AD426="",0,Sync!$AD426))</f>
        <v/>
      </c>
      <c r="P429">
        <f>IF(OR($G429="",Sync!$W426=""),"",Sync!$W426)</f>
        <v/>
      </c>
      <c r="Q429">
        <f>IF(OR($G429="",Sync!$AE426=""),"",Sync!$AE426)</f>
        <v/>
      </c>
      <c r="R429">
        <f>IF($G429="","",IF(Sync!$V426="","0000",IF(AND(ISNUMBER(Sync!$V426),Sync!$V426&gt;=0,Sync!$V426&lt;1),RIGHT("00"&amp;HOUR(Sync!$V426),2)&amp;RIGHT("00"&amp;MINUTE(Sync!$V426),2),IFERROR(RIGHT("00"&amp;VALUE(LEFT(Sync!$V426,FIND(":",Sync!$V426)-1)),2)&amp;RIGHT("00"&amp;VALUE(MID(Sync!$V426,FIND(":",Sync!$V426)+1,2)),2),"0000"))))</f>
        <v/>
      </c>
    </row>
    <row r="430">
      <c r="A430">
        <f>IF(Sync!$U427="","",Sync!$U427)</f>
        <v/>
      </c>
      <c r="B430">
        <f>IF($A430="","",IF(ISNUMBER($A430),IF(AND($A430&gt;=10000101,$A430&lt;=99991231),INT($A430/10000),""),IFERROR(VALUE(TRIM(LEFT($A430,FIND("/",$A430)-1))),"")))</f>
        <v/>
      </c>
      <c r="C430">
        <f>IF(OR($A430="",$B430=""),"",IF(ISNUMBER($A430),INT(MOD($A430,10000)/100),IFERROR(VALUE(TRIM(LEFT(MID($A430,FIND("/",$A430)+1,20),FIND("/",MID($A430,FIND("/",$A430)+1,20))-1))),"")))</f>
        <v/>
      </c>
      <c r="D430">
        <f>IF(OR($A430="",$B430=""),"",IF(ISNUMBER($A430),MOD($A430,100),IFERROR(VALUE(TRIM(MID(MID($A430,FIND("/",$A430)+1,20),FIND("/",MID($A430,FIND("/",$A430)+1,20))+1,20))),"")))</f>
        <v/>
      </c>
      <c r="E430">
        <f>IF($A430="","",IF(OR($B430="",$C430="",$D430="",$B430&lt;1300,$B430&gt;1500,$C430&lt;1,$C430&gt;12,$D430&lt;1,$D430&gt;31),"نامعتبر",RIGHT("0000"&amp;$B430,4)&amp;"/"&amp;RIGHT("00"&amp;$C430,2)&amp;"/"&amp;RIGHT("00"&amp;$D430,2)))</f>
        <v/>
      </c>
      <c r="F430">
        <f>IF(OR($E430="",$E430="نامعتبر"),"",LEFT($E430,4)&amp;"/"&amp;MID($E430,6,2))</f>
        <v/>
      </c>
      <c r="G430">
        <f>IF(OR($E430="",$E430="نامعتبر",Sync!$Y427=""),"",Sync!$Y427)</f>
        <v/>
      </c>
      <c r="H430">
        <f>IF($G430="","",IF(Sync!$X427="","",Sync!$X427))</f>
        <v/>
      </c>
      <c r="I430">
        <f>IF($G430="","",IFERROR(VLOOKUP(Sync!$X427,OpTbl,3,0),""))</f>
        <v/>
      </c>
      <c r="J430">
        <f>IF(OR($G430="",Sync!$Z427=""),"",Sync!$Z427)</f>
        <v/>
      </c>
      <c r="K430">
        <f>IF(OR($G430="",Sync!$AA427=""),"",Sync!$AA427)</f>
        <v/>
      </c>
      <c r="L430">
        <f>IF($G430="",0,IF(Sync!$AB427="",0,Sync!$AB427))</f>
        <v/>
      </c>
      <c r="M430">
        <f>IF($G430="",0,IF(Sync!$AC427="",0,Sync!$AC427))</f>
        <v/>
      </c>
      <c r="N430">
        <f>IF($G430="","",IF($H430="مرجوعی خرید",-1,1)*($L430-$M430*IFERROR(VLOOKUP("P01",ParamTbl,3,0),1.5))*(1-IF($I430="خرید",IFERROR(VLOOKUP("P02",ParamTbl,3,0),1),0)/100))</f>
        <v/>
      </c>
      <c r="O430">
        <f>IF($G430="",0,IF($H430="مرجوعی خرید",-1,1)*IF(Sync!$AD427="",0,Sync!$AD427))</f>
        <v/>
      </c>
      <c r="P430">
        <f>IF(OR($G430="",Sync!$W427=""),"",Sync!$W427)</f>
        <v/>
      </c>
      <c r="Q430">
        <f>IF(OR($G430="",Sync!$AE427=""),"",Sync!$AE427)</f>
        <v/>
      </c>
      <c r="R430">
        <f>IF($G430="","",IF(Sync!$V427="","0000",IF(AND(ISNUMBER(Sync!$V427),Sync!$V427&gt;=0,Sync!$V427&lt;1),RIGHT("00"&amp;HOUR(Sync!$V427),2)&amp;RIGHT("00"&amp;MINUTE(Sync!$V427),2),IFERROR(RIGHT("00"&amp;VALUE(LEFT(Sync!$V427,FIND(":",Sync!$V427)-1)),2)&amp;RIGHT("00"&amp;VALUE(MID(Sync!$V427,FIND(":",Sync!$V427)+1,2)),2),"0000"))))</f>
        <v/>
      </c>
    </row>
    <row r="431">
      <c r="A431">
        <f>IF(Sync!$U428="","",Sync!$U428)</f>
        <v/>
      </c>
      <c r="B431">
        <f>IF($A431="","",IF(ISNUMBER($A431),IF(AND($A431&gt;=10000101,$A431&lt;=99991231),INT($A431/10000),""),IFERROR(VALUE(TRIM(LEFT($A431,FIND("/",$A431)-1))),"")))</f>
        <v/>
      </c>
      <c r="C431">
        <f>IF(OR($A431="",$B431=""),"",IF(ISNUMBER($A431),INT(MOD($A431,10000)/100),IFERROR(VALUE(TRIM(LEFT(MID($A431,FIND("/",$A431)+1,20),FIND("/",MID($A431,FIND("/",$A431)+1,20))-1))),"")))</f>
        <v/>
      </c>
      <c r="D431">
        <f>IF(OR($A431="",$B431=""),"",IF(ISNUMBER($A431),MOD($A431,100),IFERROR(VALUE(TRIM(MID(MID($A431,FIND("/",$A431)+1,20),FIND("/",MID($A431,FIND("/",$A431)+1,20))+1,20))),"")))</f>
        <v/>
      </c>
      <c r="E431">
        <f>IF($A431="","",IF(OR($B431="",$C431="",$D431="",$B431&lt;1300,$B431&gt;1500,$C431&lt;1,$C431&gt;12,$D431&lt;1,$D431&gt;31),"نامعتبر",RIGHT("0000"&amp;$B431,4)&amp;"/"&amp;RIGHT("00"&amp;$C431,2)&amp;"/"&amp;RIGHT("00"&amp;$D431,2)))</f>
        <v/>
      </c>
      <c r="F431">
        <f>IF(OR($E431="",$E431="نامعتبر"),"",LEFT($E431,4)&amp;"/"&amp;MID($E431,6,2))</f>
        <v/>
      </c>
      <c r="G431">
        <f>IF(OR($E431="",$E431="نامعتبر",Sync!$Y428=""),"",Sync!$Y428)</f>
        <v/>
      </c>
      <c r="H431">
        <f>IF($G431="","",IF(Sync!$X428="","",Sync!$X428))</f>
        <v/>
      </c>
      <c r="I431">
        <f>IF($G431="","",IFERROR(VLOOKUP(Sync!$X428,OpTbl,3,0),""))</f>
        <v/>
      </c>
      <c r="J431">
        <f>IF(OR($G431="",Sync!$Z428=""),"",Sync!$Z428)</f>
        <v/>
      </c>
      <c r="K431">
        <f>IF(OR($G431="",Sync!$AA428=""),"",Sync!$AA428)</f>
        <v/>
      </c>
      <c r="L431">
        <f>IF($G431="",0,IF(Sync!$AB428="",0,Sync!$AB428))</f>
        <v/>
      </c>
      <c r="M431">
        <f>IF($G431="",0,IF(Sync!$AC428="",0,Sync!$AC428))</f>
        <v/>
      </c>
      <c r="N431">
        <f>IF($G431="","",IF($H431="مرجوعی خرید",-1,1)*($L431-$M431*IFERROR(VLOOKUP("P01",ParamTbl,3,0),1.5))*(1-IF($I431="خرید",IFERROR(VLOOKUP("P02",ParamTbl,3,0),1),0)/100))</f>
        <v/>
      </c>
      <c r="O431">
        <f>IF($G431="",0,IF($H431="مرجوعی خرید",-1,1)*IF(Sync!$AD428="",0,Sync!$AD428))</f>
        <v/>
      </c>
      <c r="P431">
        <f>IF(OR($G431="",Sync!$W428=""),"",Sync!$W428)</f>
        <v/>
      </c>
      <c r="Q431">
        <f>IF(OR($G431="",Sync!$AE428=""),"",Sync!$AE428)</f>
        <v/>
      </c>
      <c r="R431">
        <f>IF($G431="","",IF(Sync!$V428="","0000",IF(AND(ISNUMBER(Sync!$V428),Sync!$V428&gt;=0,Sync!$V428&lt;1),RIGHT("00"&amp;HOUR(Sync!$V428),2)&amp;RIGHT("00"&amp;MINUTE(Sync!$V428),2),IFERROR(RIGHT("00"&amp;VALUE(LEFT(Sync!$V428,FIND(":",Sync!$V428)-1)),2)&amp;RIGHT("00"&amp;VALUE(MID(Sync!$V428,FIND(":",Sync!$V428)+1,2)),2),"0000"))))</f>
        <v/>
      </c>
    </row>
    <row r="432">
      <c r="A432">
        <f>IF(Sync!$U429="","",Sync!$U429)</f>
        <v/>
      </c>
      <c r="B432">
        <f>IF($A432="","",IF(ISNUMBER($A432),IF(AND($A432&gt;=10000101,$A432&lt;=99991231),INT($A432/10000),""),IFERROR(VALUE(TRIM(LEFT($A432,FIND("/",$A432)-1))),"")))</f>
        <v/>
      </c>
      <c r="C432">
        <f>IF(OR($A432="",$B432=""),"",IF(ISNUMBER($A432),INT(MOD($A432,10000)/100),IFERROR(VALUE(TRIM(LEFT(MID($A432,FIND("/",$A432)+1,20),FIND("/",MID($A432,FIND("/",$A432)+1,20))-1))),"")))</f>
        <v/>
      </c>
      <c r="D432">
        <f>IF(OR($A432="",$B432=""),"",IF(ISNUMBER($A432),MOD($A432,100),IFERROR(VALUE(TRIM(MID(MID($A432,FIND("/",$A432)+1,20),FIND("/",MID($A432,FIND("/",$A432)+1,20))+1,20))),"")))</f>
        <v/>
      </c>
      <c r="E432">
        <f>IF($A432="","",IF(OR($B432="",$C432="",$D432="",$B432&lt;1300,$B432&gt;1500,$C432&lt;1,$C432&gt;12,$D432&lt;1,$D432&gt;31),"نامعتبر",RIGHT("0000"&amp;$B432,4)&amp;"/"&amp;RIGHT("00"&amp;$C432,2)&amp;"/"&amp;RIGHT("00"&amp;$D432,2)))</f>
        <v/>
      </c>
      <c r="F432">
        <f>IF(OR($E432="",$E432="نامعتبر"),"",LEFT($E432,4)&amp;"/"&amp;MID($E432,6,2))</f>
        <v/>
      </c>
      <c r="G432">
        <f>IF(OR($E432="",$E432="نامعتبر",Sync!$Y429=""),"",Sync!$Y429)</f>
        <v/>
      </c>
      <c r="H432">
        <f>IF($G432="","",IF(Sync!$X429="","",Sync!$X429))</f>
        <v/>
      </c>
      <c r="I432">
        <f>IF($G432="","",IFERROR(VLOOKUP(Sync!$X429,OpTbl,3,0),""))</f>
        <v/>
      </c>
      <c r="J432">
        <f>IF(OR($G432="",Sync!$Z429=""),"",Sync!$Z429)</f>
        <v/>
      </c>
      <c r="K432">
        <f>IF(OR($G432="",Sync!$AA429=""),"",Sync!$AA429)</f>
        <v/>
      </c>
      <c r="L432">
        <f>IF($G432="",0,IF(Sync!$AB429="",0,Sync!$AB429))</f>
        <v/>
      </c>
      <c r="M432">
        <f>IF($G432="",0,IF(Sync!$AC429="",0,Sync!$AC429))</f>
        <v/>
      </c>
      <c r="N432">
        <f>IF($G432="","",IF($H432="مرجوعی خرید",-1,1)*($L432-$M432*IFERROR(VLOOKUP("P01",ParamTbl,3,0),1.5))*(1-IF($I432="خرید",IFERROR(VLOOKUP("P02",ParamTbl,3,0),1),0)/100))</f>
        <v/>
      </c>
      <c r="O432">
        <f>IF($G432="",0,IF($H432="مرجوعی خرید",-1,1)*IF(Sync!$AD429="",0,Sync!$AD429))</f>
        <v/>
      </c>
      <c r="P432">
        <f>IF(OR($G432="",Sync!$W429=""),"",Sync!$W429)</f>
        <v/>
      </c>
      <c r="Q432">
        <f>IF(OR($G432="",Sync!$AE429=""),"",Sync!$AE429)</f>
        <v/>
      </c>
      <c r="R432">
        <f>IF($G432="","",IF(Sync!$V429="","0000",IF(AND(ISNUMBER(Sync!$V429),Sync!$V429&gt;=0,Sync!$V429&lt;1),RIGHT("00"&amp;HOUR(Sync!$V429),2)&amp;RIGHT("00"&amp;MINUTE(Sync!$V429),2),IFERROR(RIGHT("00"&amp;VALUE(LEFT(Sync!$V429,FIND(":",Sync!$V429)-1)),2)&amp;RIGHT("00"&amp;VALUE(MID(Sync!$V429,FIND(":",Sync!$V429)+1,2)),2),"0000"))))</f>
        <v/>
      </c>
    </row>
    <row r="433">
      <c r="A433">
        <f>IF(Sync!$U430="","",Sync!$U430)</f>
        <v/>
      </c>
      <c r="B433">
        <f>IF($A433="","",IF(ISNUMBER($A433),IF(AND($A433&gt;=10000101,$A433&lt;=99991231),INT($A433/10000),""),IFERROR(VALUE(TRIM(LEFT($A433,FIND("/",$A433)-1))),"")))</f>
        <v/>
      </c>
      <c r="C433">
        <f>IF(OR($A433="",$B433=""),"",IF(ISNUMBER($A433),INT(MOD($A433,10000)/100),IFERROR(VALUE(TRIM(LEFT(MID($A433,FIND("/",$A433)+1,20),FIND("/",MID($A433,FIND("/",$A433)+1,20))-1))),"")))</f>
        <v/>
      </c>
      <c r="D433">
        <f>IF(OR($A433="",$B433=""),"",IF(ISNUMBER($A433),MOD($A433,100),IFERROR(VALUE(TRIM(MID(MID($A433,FIND("/",$A433)+1,20),FIND("/",MID($A433,FIND("/",$A433)+1,20))+1,20))),"")))</f>
        <v/>
      </c>
      <c r="E433">
        <f>IF($A433="","",IF(OR($B433="",$C433="",$D433="",$B433&lt;1300,$B433&gt;1500,$C433&lt;1,$C433&gt;12,$D433&lt;1,$D433&gt;31),"نامعتبر",RIGHT("0000"&amp;$B433,4)&amp;"/"&amp;RIGHT("00"&amp;$C433,2)&amp;"/"&amp;RIGHT("00"&amp;$D433,2)))</f>
        <v/>
      </c>
      <c r="F433">
        <f>IF(OR($E433="",$E433="نامعتبر"),"",LEFT($E433,4)&amp;"/"&amp;MID($E433,6,2))</f>
        <v/>
      </c>
      <c r="G433">
        <f>IF(OR($E433="",$E433="نامعتبر",Sync!$Y430=""),"",Sync!$Y430)</f>
        <v/>
      </c>
      <c r="H433">
        <f>IF($G433="","",IF(Sync!$X430="","",Sync!$X430))</f>
        <v/>
      </c>
      <c r="I433">
        <f>IF($G433="","",IFERROR(VLOOKUP(Sync!$X430,OpTbl,3,0),""))</f>
        <v/>
      </c>
      <c r="J433">
        <f>IF(OR($G433="",Sync!$Z430=""),"",Sync!$Z430)</f>
        <v/>
      </c>
      <c r="K433">
        <f>IF(OR($G433="",Sync!$AA430=""),"",Sync!$AA430)</f>
        <v/>
      </c>
      <c r="L433">
        <f>IF($G433="",0,IF(Sync!$AB430="",0,Sync!$AB430))</f>
        <v/>
      </c>
      <c r="M433">
        <f>IF($G433="",0,IF(Sync!$AC430="",0,Sync!$AC430))</f>
        <v/>
      </c>
      <c r="N433">
        <f>IF($G433="","",IF($H433="مرجوعی خرید",-1,1)*($L433-$M433*IFERROR(VLOOKUP("P01",ParamTbl,3,0),1.5))*(1-IF($I433="خرید",IFERROR(VLOOKUP("P02",ParamTbl,3,0),1),0)/100))</f>
        <v/>
      </c>
      <c r="O433">
        <f>IF($G433="",0,IF($H433="مرجوعی خرید",-1,1)*IF(Sync!$AD430="",0,Sync!$AD430))</f>
        <v/>
      </c>
      <c r="P433">
        <f>IF(OR($G433="",Sync!$W430=""),"",Sync!$W430)</f>
        <v/>
      </c>
      <c r="Q433">
        <f>IF(OR($G433="",Sync!$AE430=""),"",Sync!$AE430)</f>
        <v/>
      </c>
      <c r="R433">
        <f>IF($G433="","",IF(Sync!$V430="","0000",IF(AND(ISNUMBER(Sync!$V430),Sync!$V430&gt;=0,Sync!$V430&lt;1),RIGHT("00"&amp;HOUR(Sync!$V430),2)&amp;RIGHT("00"&amp;MINUTE(Sync!$V430),2),IFERROR(RIGHT("00"&amp;VALUE(LEFT(Sync!$V430,FIND(":",Sync!$V430)-1)),2)&amp;RIGHT("00"&amp;VALUE(MID(Sync!$V430,FIND(":",Sync!$V430)+1,2)),2),"0000"))))</f>
        <v/>
      </c>
    </row>
    <row r="434">
      <c r="A434">
        <f>IF(Sync!$U431="","",Sync!$U431)</f>
        <v/>
      </c>
      <c r="B434">
        <f>IF($A434="","",IF(ISNUMBER($A434),IF(AND($A434&gt;=10000101,$A434&lt;=99991231),INT($A434/10000),""),IFERROR(VALUE(TRIM(LEFT($A434,FIND("/",$A434)-1))),"")))</f>
        <v/>
      </c>
      <c r="C434">
        <f>IF(OR($A434="",$B434=""),"",IF(ISNUMBER($A434),INT(MOD($A434,10000)/100),IFERROR(VALUE(TRIM(LEFT(MID($A434,FIND("/",$A434)+1,20),FIND("/",MID($A434,FIND("/",$A434)+1,20))-1))),"")))</f>
        <v/>
      </c>
      <c r="D434">
        <f>IF(OR($A434="",$B434=""),"",IF(ISNUMBER($A434),MOD($A434,100),IFERROR(VALUE(TRIM(MID(MID($A434,FIND("/",$A434)+1,20),FIND("/",MID($A434,FIND("/",$A434)+1,20))+1,20))),"")))</f>
        <v/>
      </c>
      <c r="E434">
        <f>IF($A434="","",IF(OR($B434="",$C434="",$D434="",$B434&lt;1300,$B434&gt;1500,$C434&lt;1,$C434&gt;12,$D434&lt;1,$D434&gt;31),"نامعتبر",RIGHT("0000"&amp;$B434,4)&amp;"/"&amp;RIGHT("00"&amp;$C434,2)&amp;"/"&amp;RIGHT("00"&amp;$D434,2)))</f>
        <v/>
      </c>
      <c r="F434">
        <f>IF(OR($E434="",$E434="نامعتبر"),"",LEFT($E434,4)&amp;"/"&amp;MID($E434,6,2))</f>
        <v/>
      </c>
      <c r="G434">
        <f>IF(OR($E434="",$E434="نامعتبر",Sync!$Y431=""),"",Sync!$Y431)</f>
        <v/>
      </c>
      <c r="H434">
        <f>IF($G434="","",IF(Sync!$X431="","",Sync!$X431))</f>
        <v/>
      </c>
      <c r="I434">
        <f>IF($G434="","",IFERROR(VLOOKUP(Sync!$X431,OpTbl,3,0),""))</f>
        <v/>
      </c>
      <c r="J434">
        <f>IF(OR($G434="",Sync!$Z431=""),"",Sync!$Z431)</f>
        <v/>
      </c>
      <c r="K434">
        <f>IF(OR($G434="",Sync!$AA431=""),"",Sync!$AA431)</f>
        <v/>
      </c>
      <c r="L434">
        <f>IF($G434="",0,IF(Sync!$AB431="",0,Sync!$AB431))</f>
        <v/>
      </c>
      <c r="M434">
        <f>IF($G434="",0,IF(Sync!$AC431="",0,Sync!$AC431))</f>
        <v/>
      </c>
      <c r="N434">
        <f>IF($G434="","",IF($H434="مرجوعی خرید",-1,1)*($L434-$M434*IFERROR(VLOOKUP("P01",ParamTbl,3,0),1.5))*(1-IF($I434="خرید",IFERROR(VLOOKUP("P02",ParamTbl,3,0),1),0)/100))</f>
        <v/>
      </c>
      <c r="O434">
        <f>IF($G434="",0,IF($H434="مرجوعی خرید",-1,1)*IF(Sync!$AD431="",0,Sync!$AD431))</f>
        <v/>
      </c>
      <c r="P434">
        <f>IF(OR($G434="",Sync!$W431=""),"",Sync!$W431)</f>
        <v/>
      </c>
      <c r="Q434">
        <f>IF(OR($G434="",Sync!$AE431=""),"",Sync!$AE431)</f>
        <v/>
      </c>
      <c r="R434">
        <f>IF($G434="","",IF(Sync!$V431="","0000",IF(AND(ISNUMBER(Sync!$V431),Sync!$V431&gt;=0,Sync!$V431&lt;1),RIGHT("00"&amp;HOUR(Sync!$V431),2)&amp;RIGHT("00"&amp;MINUTE(Sync!$V431),2),IFERROR(RIGHT("00"&amp;VALUE(LEFT(Sync!$V431,FIND(":",Sync!$V431)-1)),2)&amp;RIGHT("00"&amp;VALUE(MID(Sync!$V431,FIND(":",Sync!$V431)+1,2)),2),"0000"))))</f>
        <v/>
      </c>
    </row>
    <row r="435">
      <c r="A435">
        <f>IF(Sync!$U432="","",Sync!$U432)</f>
        <v/>
      </c>
      <c r="B435">
        <f>IF($A435="","",IF(ISNUMBER($A435),IF(AND($A435&gt;=10000101,$A435&lt;=99991231),INT($A435/10000),""),IFERROR(VALUE(TRIM(LEFT($A435,FIND("/",$A435)-1))),"")))</f>
        <v/>
      </c>
      <c r="C435">
        <f>IF(OR($A435="",$B435=""),"",IF(ISNUMBER($A435),INT(MOD($A435,10000)/100),IFERROR(VALUE(TRIM(LEFT(MID($A435,FIND("/",$A435)+1,20),FIND("/",MID($A435,FIND("/",$A435)+1,20))-1))),"")))</f>
        <v/>
      </c>
      <c r="D435">
        <f>IF(OR($A435="",$B435=""),"",IF(ISNUMBER($A435),MOD($A435,100),IFERROR(VALUE(TRIM(MID(MID($A435,FIND("/",$A435)+1,20),FIND("/",MID($A435,FIND("/",$A435)+1,20))+1,20))),"")))</f>
        <v/>
      </c>
      <c r="E435">
        <f>IF($A435="","",IF(OR($B435="",$C435="",$D435="",$B435&lt;1300,$B435&gt;1500,$C435&lt;1,$C435&gt;12,$D435&lt;1,$D435&gt;31),"نامعتبر",RIGHT("0000"&amp;$B435,4)&amp;"/"&amp;RIGHT("00"&amp;$C435,2)&amp;"/"&amp;RIGHT("00"&amp;$D435,2)))</f>
        <v/>
      </c>
      <c r="F435">
        <f>IF(OR($E435="",$E435="نامعتبر"),"",LEFT($E435,4)&amp;"/"&amp;MID($E435,6,2))</f>
        <v/>
      </c>
      <c r="G435">
        <f>IF(OR($E435="",$E435="نامعتبر",Sync!$Y432=""),"",Sync!$Y432)</f>
        <v/>
      </c>
      <c r="H435">
        <f>IF($G435="","",IF(Sync!$X432="","",Sync!$X432))</f>
        <v/>
      </c>
      <c r="I435">
        <f>IF($G435="","",IFERROR(VLOOKUP(Sync!$X432,OpTbl,3,0),""))</f>
        <v/>
      </c>
      <c r="J435">
        <f>IF(OR($G435="",Sync!$Z432=""),"",Sync!$Z432)</f>
        <v/>
      </c>
      <c r="K435">
        <f>IF(OR($G435="",Sync!$AA432=""),"",Sync!$AA432)</f>
        <v/>
      </c>
      <c r="L435">
        <f>IF($G435="",0,IF(Sync!$AB432="",0,Sync!$AB432))</f>
        <v/>
      </c>
      <c r="M435">
        <f>IF($G435="",0,IF(Sync!$AC432="",0,Sync!$AC432))</f>
        <v/>
      </c>
      <c r="N435">
        <f>IF($G435="","",IF($H435="مرجوعی خرید",-1,1)*($L435-$M435*IFERROR(VLOOKUP("P01",ParamTbl,3,0),1.5))*(1-IF($I435="خرید",IFERROR(VLOOKUP("P02",ParamTbl,3,0),1),0)/100))</f>
        <v/>
      </c>
      <c r="O435">
        <f>IF($G435="",0,IF($H435="مرجوعی خرید",-1,1)*IF(Sync!$AD432="",0,Sync!$AD432))</f>
        <v/>
      </c>
      <c r="P435">
        <f>IF(OR($G435="",Sync!$W432=""),"",Sync!$W432)</f>
        <v/>
      </c>
      <c r="Q435">
        <f>IF(OR($G435="",Sync!$AE432=""),"",Sync!$AE432)</f>
        <v/>
      </c>
      <c r="R435">
        <f>IF($G435="","",IF(Sync!$V432="","0000",IF(AND(ISNUMBER(Sync!$V432),Sync!$V432&gt;=0,Sync!$V432&lt;1),RIGHT("00"&amp;HOUR(Sync!$V432),2)&amp;RIGHT("00"&amp;MINUTE(Sync!$V432),2),IFERROR(RIGHT("00"&amp;VALUE(LEFT(Sync!$V432,FIND(":",Sync!$V432)-1)),2)&amp;RIGHT("00"&amp;VALUE(MID(Sync!$V432,FIND(":",Sync!$V432)+1,2)),2),"0000"))))</f>
        <v/>
      </c>
    </row>
    <row r="436">
      <c r="A436">
        <f>IF(Sync!$U433="","",Sync!$U433)</f>
        <v/>
      </c>
      <c r="B436">
        <f>IF($A436="","",IF(ISNUMBER($A436),IF(AND($A436&gt;=10000101,$A436&lt;=99991231),INT($A436/10000),""),IFERROR(VALUE(TRIM(LEFT($A436,FIND("/",$A436)-1))),"")))</f>
        <v/>
      </c>
      <c r="C436">
        <f>IF(OR($A436="",$B436=""),"",IF(ISNUMBER($A436),INT(MOD($A436,10000)/100),IFERROR(VALUE(TRIM(LEFT(MID($A436,FIND("/",$A436)+1,20),FIND("/",MID($A436,FIND("/",$A436)+1,20))-1))),"")))</f>
        <v/>
      </c>
      <c r="D436">
        <f>IF(OR($A436="",$B436=""),"",IF(ISNUMBER($A436),MOD($A436,100),IFERROR(VALUE(TRIM(MID(MID($A436,FIND("/",$A436)+1,20),FIND("/",MID($A436,FIND("/",$A436)+1,20))+1,20))),"")))</f>
        <v/>
      </c>
      <c r="E436">
        <f>IF($A436="","",IF(OR($B436="",$C436="",$D436="",$B436&lt;1300,$B436&gt;1500,$C436&lt;1,$C436&gt;12,$D436&lt;1,$D436&gt;31),"نامعتبر",RIGHT("0000"&amp;$B436,4)&amp;"/"&amp;RIGHT("00"&amp;$C436,2)&amp;"/"&amp;RIGHT("00"&amp;$D436,2)))</f>
        <v/>
      </c>
      <c r="F436">
        <f>IF(OR($E436="",$E436="نامعتبر"),"",LEFT($E436,4)&amp;"/"&amp;MID($E436,6,2))</f>
        <v/>
      </c>
      <c r="G436">
        <f>IF(OR($E436="",$E436="نامعتبر",Sync!$Y433=""),"",Sync!$Y433)</f>
        <v/>
      </c>
      <c r="H436">
        <f>IF($G436="","",IF(Sync!$X433="","",Sync!$X433))</f>
        <v/>
      </c>
      <c r="I436">
        <f>IF($G436="","",IFERROR(VLOOKUP(Sync!$X433,OpTbl,3,0),""))</f>
        <v/>
      </c>
      <c r="J436">
        <f>IF(OR($G436="",Sync!$Z433=""),"",Sync!$Z433)</f>
        <v/>
      </c>
      <c r="K436">
        <f>IF(OR($G436="",Sync!$AA433=""),"",Sync!$AA433)</f>
        <v/>
      </c>
      <c r="L436">
        <f>IF($G436="",0,IF(Sync!$AB433="",0,Sync!$AB433))</f>
        <v/>
      </c>
      <c r="M436">
        <f>IF($G436="",0,IF(Sync!$AC433="",0,Sync!$AC433))</f>
        <v/>
      </c>
      <c r="N436">
        <f>IF($G436="","",IF($H436="مرجوعی خرید",-1,1)*($L436-$M436*IFERROR(VLOOKUP("P01",ParamTbl,3,0),1.5))*(1-IF($I436="خرید",IFERROR(VLOOKUP("P02",ParamTbl,3,0),1),0)/100))</f>
        <v/>
      </c>
      <c r="O436">
        <f>IF($G436="",0,IF($H436="مرجوعی خرید",-1,1)*IF(Sync!$AD433="",0,Sync!$AD433))</f>
        <v/>
      </c>
      <c r="P436">
        <f>IF(OR($G436="",Sync!$W433=""),"",Sync!$W433)</f>
        <v/>
      </c>
      <c r="Q436">
        <f>IF(OR($G436="",Sync!$AE433=""),"",Sync!$AE433)</f>
        <v/>
      </c>
      <c r="R436">
        <f>IF($G436="","",IF(Sync!$V433="","0000",IF(AND(ISNUMBER(Sync!$V433),Sync!$V433&gt;=0,Sync!$V433&lt;1),RIGHT("00"&amp;HOUR(Sync!$V433),2)&amp;RIGHT("00"&amp;MINUTE(Sync!$V433),2),IFERROR(RIGHT("00"&amp;VALUE(LEFT(Sync!$V433,FIND(":",Sync!$V433)-1)),2)&amp;RIGHT("00"&amp;VALUE(MID(Sync!$V433,FIND(":",Sync!$V433)+1,2)),2),"0000"))))</f>
        <v/>
      </c>
    </row>
    <row r="437">
      <c r="A437">
        <f>IF(Sync!$U434="","",Sync!$U434)</f>
        <v/>
      </c>
      <c r="B437">
        <f>IF($A437="","",IF(ISNUMBER($A437),IF(AND($A437&gt;=10000101,$A437&lt;=99991231),INT($A437/10000),""),IFERROR(VALUE(TRIM(LEFT($A437,FIND("/",$A437)-1))),"")))</f>
        <v/>
      </c>
      <c r="C437">
        <f>IF(OR($A437="",$B437=""),"",IF(ISNUMBER($A437),INT(MOD($A437,10000)/100),IFERROR(VALUE(TRIM(LEFT(MID($A437,FIND("/",$A437)+1,20),FIND("/",MID($A437,FIND("/",$A437)+1,20))-1))),"")))</f>
        <v/>
      </c>
      <c r="D437">
        <f>IF(OR($A437="",$B437=""),"",IF(ISNUMBER($A437),MOD($A437,100),IFERROR(VALUE(TRIM(MID(MID($A437,FIND("/",$A437)+1,20),FIND("/",MID($A437,FIND("/",$A437)+1,20))+1,20))),"")))</f>
        <v/>
      </c>
      <c r="E437">
        <f>IF($A437="","",IF(OR($B437="",$C437="",$D437="",$B437&lt;1300,$B437&gt;1500,$C437&lt;1,$C437&gt;12,$D437&lt;1,$D437&gt;31),"نامعتبر",RIGHT("0000"&amp;$B437,4)&amp;"/"&amp;RIGHT("00"&amp;$C437,2)&amp;"/"&amp;RIGHT("00"&amp;$D437,2)))</f>
        <v/>
      </c>
      <c r="F437">
        <f>IF(OR($E437="",$E437="نامعتبر"),"",LEFT($E437,4)&amp;"/"&amp;MID($E437,6,2))</f>
        <v/>
      </c>
      <c r="G437">
        <f>IF(OR($E437="",$E437="نامعتبر",Sync!$Y434=""),"",Sync!$Y434)</f>
        <v/>
      </c>
      <c r="H437">
        <f>IF($G437="","",IF(Sync!$X434="","",Sync!$X434))</f>
        <v/>
      </c>
      <c r="I437">
        <f>IF($G437="","",IFERROR(VLOOKUP(Sync!$X434,OpTbl,3,0),""))</f>
        <v/>
      </c>
      <c r="J437">
        <f>IF(OR($G437="",Sync!$Z434=""),"",Sync!$Z434)</f>
        <v/>
      </c>
      <c r="K437">
        <f>IF(OR($G437="",Sync!$AA434=""),"",Sync!$AA434)</f>
        <v/>
      </c>
      <c r="L437">
        <f>IF($G437="",0,IF(Sync!$AB434="",0,Sync!$AB434))</f>
        <v/>
      </c>
      <c r="M437">
        <f>IF($G437="",0,IF(Sync!$AC434="",0,Sync!$AC434))</f>
        <v/>
      </c>
      <c r="N437">
        <f>IF($G437="","",IF($H437="مرجوعی خرید",-1,1)*($L437-$M437*IFERROR(VLOOKUP("P01",ParamTbl,3,0),1.5))*(1-IF($I437="خرید",IFERROR(VLOOKUP("P02",ParamTbl,3,0),1),0)/100))</f>
        <v/>
      </c>
      <c r="O437">
        <f>IF($G437="",0,IF($H437="مرجوعی خرید",-1,1)*IF(Sync!$AD434="",0,Sync!$AD434))</f>
        <v/>
      </c>
      <c r="P437">
        <f>IF(OR($G437="",Sync!$W434=""),"",Sync!$W434)</f>
        <v/>
      </c>
      <c r="Q437">
        <f>IF(OR($G437="",Sync!$AE434=""),"",Sync!$AE434)</f>
        <v/>
      </c>
      <c r="R437">
        <f>IF($G437="","",IF(Sync!$V434="","0000",IF(AND(ISNUMBER(Sync!$V434),Sync!$V434&gt;=0,Sync!$V434&lt;1),RIGHT("00"&amp;HOUR(Sync!$V434),2)&amp;RIGHT("00"&amp;MINUTE(Sync!$V434),2),IFERROR(RIGHT("00"&amp;VALUE(LEFT(Sync!$V434,FIND(":",Sync!$V434)-1)),2)&amp;RIGHT("00"&amp;VALUE(MID(Sync!$V434,FIND(":",Sync!$V434)+1,2)),2),"0000"))))</f>
        <v/>
      </c>
    </row>
    <row r="438">
      <c r="A438">
        <f>IF(Sync!$U435="","",Sync!$U435)</f>
        <v/>
      </c>
      <c r="B438">
        <f>IF($A438="","",IF(ISNUMBER($A438),IF(AND($A438&gt;=10000101,$A438&lt;=99991231),INT($A438/10000),""),IFERROR(VALUE(TRIM(LEFT($A438,FIND("/",$A438)-1))),"")))</f>
        <v/>
      </c>
      <c r="C438">
        <f>IF(OR($A438="",$B438=""),"",IF(ISNUMBER($A438),INT(MOD($A438,10000)/100),IFERROR(VALUE(TRIM(LEFT(MID($A438,FIND("/",$A438)+1,20),FIND("/",MID($A438,FIND("/",$A438)+1,20))-1))),"")))</f>
        <v/>
      </c>
      <c r="D438">
        <f>IF(OR($A438="",$B438=""),"",IF(ISNUMBER($A438),MOD($A438,100),IFERROR(VALUE(TRIM(MID(MID($A438,FIND("/",$A438)+1,20),FIND("/",MID($A438,FIND("/",$A438)+1,20))+1,20))),"")))</f>
        <v/>
      </c>
      <c r="E438">
        <f>IF($A438="","",IF(OR($B438="",$C438="",$D438="",$B438&lt;1300,$B438&gt;1500,$C438&lt;1,$C438&gt;12,$D438&lt;1,$D438&gt;31),"نامعتبر",RIGHT("0000"&amp;$B438,4)&amp;"/"&amp;RIGHT("00"&amp;$C438,2)&amp;"/"&amp;RIGHT("00"&amp;$D438,2)))</f>
        <v/>
      </c>
      <c r="F438">
        <f>IF(OR($E438="",$E438="نامعتبر"),"",LEFT($E438,4)&amp;"/"&amp;MID($E438,6,2))</f>
        <v/>
      </c>
      <c r="G438">
        <f>IF(OR($E438="",$E438="نامعتبر",Sync!$Y435=""),"",Sync!$Y435)</f>
        <v/>
      </c>
      <c r="H438">
        <f>IF($G438="","",IF(Sync!$X435="","",Sync!$X435))</f>
        <v/>
      </c>
      <c r="I438">
        <f>IF($G438="","",IFERROR(VLOOKUP(Sync!$X435,OpTbl,3,0),""))</f>
        <v/>
      </c>
      <c r="J438">
        <f>IF(OR($G438="",Sync!$Z435=""),"",Sync!$Z435)</f>
        <v/>
      </c>
      <c r="K438">
        <f>IF(OR($G438="",Sync!$AA435=""),"",Sync!$AA435)</f>
        <v/>
      </c>
      <c r="L438">
        <f>IF($G438="",0,IF(Sync!$AB435="",0,Sync!$AB435))</f>
        <v/>
      </c>
      <c r="M438">
        <f>IF($G438="",0,IF(Sync!$AC435="",0,Sync!$AC435))</f>
        <v/>
      </c>
      <c r="N438">
        <f>IF($G438="","",IF($H438="مرجوعی خرید",-1,1)*($L438-$M438*IFERROR(VLOOKUP("P01",ParamTbl,3,0),1.5))*(1-IF($I438="خرید",IFERROR(VLOOKUP("P02",ParamTbl,3,0),1),0)/100))</f>
        <v/>
      </c>
      <c r="O438">
        <f>IF($G438="",0,IF($H438="مرجوعی خرید",-1,1)*IF(Sync!$AD435="",0,Sync!$AD435))</f>
        <v/>
      </c>
      <c r="P438">
        <f>IF(OR($G438="",Sync!$W435=""),"",Sync!$W435)</f>
        <v/>
      </c>
      <c r="Q438">
        <f>IF(OR($G438="",Sync!$AE435=""),"",Sync!$AE435)</f>
        <v/>
      </c>
      <c r="R438">
        <f>IF($G438="","",IF(Sync!$V435="","0000",IF(AND(ISNUMBER(Sync!$V435),Sync!$V435&gt;=0,Sync!$V435&lt;1),RIGHT("00"&amp;HOUR(Sync!$V435),2)&amp;RIGHT("00"&amp;MINUTE(Sync!$V435),2),IFERROR(RIGHT("00"&amp;VALUE(LEFT(Sync!$V435,FIND(":",Sync!$V435)-1)),2)&amp;RIGHT("00"&amp;VALUE(MID(Sync!$V435,FIND(":",Sync!$V435)+1,2)),2),"0000"))))</f>
        <v/>
      </c>
    </row>
    <row r="439">
      <c r="A439">
        <f>IF(Sync!$U436="","",Sync!$U436)</f>
        <v/>
      </c>
      <c r="B439">
        <f>IF($A439="","",IF(ISNUMBER($A439),IF(AND($A439&gt;=10000101,$A439&lt;=99991231),INT($A439/10000),""),IFERROR(VALUE(TRIM(LEFT($A439,FIND("/",$A439)-1))),"")))</f>
        <v/>
      </c>
      <c r="C439">
        <f>IF(OR($A439="",$B439=""),"",IF(ISNUMBER($A439),INT(MOD($A439,10000)/100),IFERROR(VALUE(TRIM(LEFT(MID($A439,FIND("/",$A439)+1,20),FIND("/",MID($A439,FIND("/",$A439)+1,20))-1))),"")))</f>
        <v/>
      </c>
      <c r="D439">
        <f>IF(OR($A439="",$B439=""),"",IF(ISNUMBER($A439),MOD($A439,100),IFERROR(VALUE(TRIM(MID(MID($A439,FIND("/",$A439)+1,20),FIND("/",MID($A439,FIND("/",$A439)+1,20))+1,20))),"")))</f>
        <v/>
      </c>
      <c r="E439">
        <f>IF($A439="","",IF(OR($B439="",$C439="",$D439="",$B439&lt;1300,$B439&gt;1500,$C439&lt;1,$C439&gt;12,$D439&lt;1,$D439&gt;31),"نامعتبر",RIGHT("0000"&amp;$B439,4)&amp;"/"&amp;RIGHT("00"&amp;$C439,2)&amp;"/"&amp;RIGHT("00"&amp;$D439,2)))</f>
        <v/>
      </c>
      <c r="F439">
        <f>IF(OR($E439="",$E439="نامعتبر"),"",LEFT($E439,4)&amp;"/"&amp;MID($E439,6,2))</f>
        <v/>
      </c>
      <c r="G439">
        <f>IF(OR($E439="",$E439="نامعتبر",Sync!$Y436=""),"",Sync!$Y436)</f>
        <v/>
      </c>
      <c r="H439">
        <f>IF($G439="","",IF(Sync!$X436="","",Sync!$X436))</f>
        <v/>
      </c>
      <c r="I439">
        <f>IF($G439="","",IFERROR(VLOOKUP(Sync!$X436,OpTbl,3,0),""))</f>
        <v/>
      </c>
      <c r="J439">
        <f>IF(OR($G439="",Sync!$Z436=""),"",Sync!$Z436)</f>
        <v/>
      </c>
      <c r="K439">
        <f>IF(OR($G439="",Sync!$AA436=""),"",Sync!$AA436)</f>
        <v/>
      </c>
      <c r="L439">
        <f>IF($G439="",0,IF(Sync!$AB436="",0,Sync!$AB436))</f>
        <v/>
      </c>
      <c r="M439">
        <f>IF($G439="",0,IF(Sync!$AC436="",0,Sync!$AC436))</f>
        <v/>
      </c>
      <c r="N439">
        <f>IF($G439="","",IF($H439="مرجوعی خرید",-1,1)*($L439-$M439*IFERROR(VLOOKUP("P01",ParamTbl,3,0),1.5))*(1-IF($I439="خرید",IFERROR(VLOOKUP("P02",ParamTbl,3,0),1),0)/100))</f>
        <v/>
      </c>
      <c r="O439">
        <f>IF($G439="",0,IF($H439="مرجوعی خرید",-1,1)*IF(Sync!$AD436="",0,Sync!$AD436))</f>
        <v/>
      </c>
      <c r="P439">
        <f>IF(OR($G439="",Sync!$W436=""),"",Sync!$W436)</f>
        <v/>
      </c>
      <c r="Q439">
        <f>IF(OR($G439="",Sync!$AE436=""),"",Sync!$AE436)</f>
        <v/>
      </c>
      <c r="R439">
        <f>IF($G439="","",IF(Sync!$V436="","0000",IF(AND(ISNUMBER(Sync!$V436),Sync!$V436&gt;=0,Sync!$V436&lt;1),RIGHT("00"&amp;HOUR(Sync!$V436),2)&amp;RIGHT("00"&amp;MINUTE(Sync!$V436),2),IFERROR(RIGHT("00"&amp;VALUE(LEFT(Sync!$V436,FIND(":",Sync!$V436)-1)),2)&amp;RIGHT("00"&amp;VALUE(MID(Sync!$V436,FIND(":",Sync!$V436)+1,2)),2),"0000"))))</f>
        <v/>
      </c>
    </row>
    <row r="440">
      <c r="A440">
        <f>IF(Sync!$U437="","",Sync!$U437)</f>
        <v/>
      </c>
      <c r="B440">
        <f>IF($A440="","",IF(ISNUMBER($A440),IF(AND($A440&gt;=10000101,$A440&lt;=99991231),INT($A440/10000),""),IFERROR(VALUE(TRIM(LEFT($A440,FIND("/",$A440)-1))),"")))</f>
        <v/>
      </c>
      <c r="C440">
        <f>IF(OR($A440="",$B440=""),"",IF(ISNUMBER($A440),INT(MOD($A440,10000)/100),IFERROR(VALUE(TRIM(LEFT(MID($A440,FIND("/",$A440)+1,20),FIND("/",MID($A440,FIND("/",$A440)+1,20))-1))),"")))</f>
        <v/>
      </c>
      <c r="D440">
        <f>IF(OR($A440="",$B440=""),"",IF(ISNUMBER($A440),MOD($A440,100),IFERROR(VALUE(TRIM(MID(MID($A440,FIND("/",$A440)+1,20),FIND("/",MID($A440,FIND("/",$A440)+1,20))+1,20))),"")))</f>
        <v/>
      </c>
      <c r="E440">
        <f>IF($A440="","",IF(OR($B440="",$C440="",$D440="",$B440&lt;1300,$B440&gt;1500,$C440&lt;1,$C440&gt;12,$D440&lt;1,$D440&gt;31),"نامعتبر",RIGHT("0000"&amp;$B440,4)&amp;"/"&amp;RIGHT("00"&amp;$C440,2)&amp;"/"&amp;RIGHT("00"&amp;$D440,2)))</f>
        <v/>
      </c>
      <c r="F440">
        <f>IF(OR($E440="",$E440="نامعتبر"),"",LEFT($E440,4)&amp;"/"&amp;MID($E440,6,2))</f>
        <v/>
      </c>
      <c r="G440">
        <f>IF(OR($E440="",$E440="نامعتبر",Sync!$Y437=""),"",Sync!$Y437)</f>
        <v/>
      </c>
      <c r="H440">
        <f>IF($G440="","",IF(Sync!$X437="","",Sync!$X437))</f>
        <v/>
      </c>
      <c r="I440">
        <f>IF($G440="","",IFERROR(VLOOKUP(Sync!$X437,OpTbl,3,0),""))</f>
        <v/>
      </c>
      <c r="J440">
        <f>IF(OR($G440="",Sync!$Z437=""),"",Sync!$Z437)</f>
        <v/>
      </c>
      <c r="K440">
        <f>IF(OR($G440="",Sync!$AA437=""),"",Sync!$AA437)</f>
        <v/>
      </c>
      <c r="L440">
        <f>IF($G440="",0,IF(Sync!$AB437="",0,Sync!$AB437))</f>
        <v/>
      </c>
      <c r="M440">
        <f>IF($G440="",0,IF(Sync!$AC437="",0,Sync!$AC437))</f>
        <v/>
      </c>
      <c r="N440">
        <f>IF($G440="","",IF($H440="مرجوعی خرید",-1,1)*($L440-$M440*IFERROR(VLOOKUP("P01",ParamTbl,3,0),1.5))*(1-IF($I440="خرید",IFERROR(VLOOKUP("P02",ParamTbl,3,0),1),0)/100))</f>
        <v/>
      </c>
      <c r="O440">
        <f>IF($G440="",0,IF($H440="مرجوعی خرید",-1,1)*IF(Sync!$AD437="",0,Sync!$AD437))</f>
        <v/>
      </c>
      <c r="P440">
        <f>IF(OR($G440="",Sync!$W437=""),"",Sync!$W437)</f>
        <v/>
      </c>
      <c r="Q440">
        <f>IF(OR($G440="",Sync!$AE437=""),"",Sync!$AE437)</f>
        <v/>
      </c>
      <c r="R440">
        <f>IF($G440="","",IF(Sync!$V437="","0000",IF(AND(ISNUMBER(Sync!$V437),Sync!$V437&gt;=0,Sync!$V437&lt;1),RIGHT("00"&amp;HOUR(Sync!$V437),2)&amp;RIGHT("00"&amp;MINUTE(Sync!$V437),2),IFERROR(RIGHT("00"&amp;VALUE(LEFT(Sync!$V437,FIND(":",Sync!$V437)-1)),2)&amp;RIGHT("00"&amp;VALUE(MID(Sync!$V437,FIND(":",Sync!$V437)+1,2)),2),"0000"))))</f>
        <v/>
      </c>
    </row>
    <row r="441">
      <c r="A441">
        <f>IF(Sync!$U438="","",Sync!$U438)</f>
        <v/>
      </c>
      <c r="B441">
        <f>IF($A441="","",IF(ISNUMBER($A441),IF(AND($A441&gt;=10000101,$A441&lt;=99991231),INT($A441/10000),""),IFERROR(VALUE(TRIM(LEFT($A441,FIND("/",$A441)-1))),"")))</f>
        <v/>
      </c>
      <c r="C441">
        <f>IF(OR($A441="",$B441=""),"",IF(ISNUMBER($A441),INT(MOD($A441,10000)/100),IFERROR(VALUE(TRIM(LEFT(MID($A441,FIND("/",$A441)+1,20),FIND("/",MID($A441,FIND("/",$A441)+1,20))-1))),"")))</f>
        <v/>
      </c>
      <c r="D441">
        <f>IF(OR($A441="",$B441=""),"",IF(ISNUMBER($A441),MOD($A441,100),IFERROR(VALUE(TRIM(MID(MID($A441,FIND("/",$A441)+1,20),FIND("/",MID($A441,FIND("/",$A441)+1,20))+1,20))),"")))</f>
        <v/>
      </c>
      <c r="E441">
        <f>IF($A441="","",IF(OR($B441="",$C441="",$D441="",$B441&lt;1300,$B441&gt;1500,$C441&lt;1,$C441&gt;12,$D441&lt;1,$D441&gt;31),"نامعتبر",RIGHT("0000"&amp;$B441,4)&amp;"/"&amp;RIGHT("00"&amp;$C441,2)&amp;"/"&amp;RIGHT("00"&amp;$D441,2)))</f>
        <v/>
      </c>
      <c r="F441">
        <f>IF(OR($E441="",$E441="نامعتبر"),"",LEFT($E441,4)&amp;"/"&amp;MID($E441,6,2))</f>
        <v/>
      </c>
      <c r="G441">
        <f>IF(OR($E441="",$E441="نامعتبر",Sync!$Y438=""),"",Sync!$Y438)</f>
        <v/>
      </c>
      <c r="H441">
        <f>IF($G441="","",IF(Sync!$X438="","",Sync!$X438))</f>
        <v/>
      </c>
      <c r="I441">
        <f>IF($G441="","",IFERROR(VLOOKUP(Sync!$X438,OpTbl,3,0),""))</f>
        <v/>
      </c>
      <c r="J441">
        <f>IF(OR($G441="",Sync!$Z438=""),"",Sync!$Z438)</f>
        <v/>
      </c>
      <c r="K441">
        <f>IF(OR($G441="",Sync!$AA438=""),"",Sync!$AA438)</f>
        <v/>
      </c>
      <c r="L441">
        <f>IF($G441="",0,IF(Sync!$AB438="",0,Sync!$AB438))</f>
        <v/>
      </c>
      <c r="M441">
        <f>IF($G441="",0,IF(Sync!$AC438="",0,Sync!$AC438))</f>
        <v/>
      </c>
      <c r="N441">
        <f>IF($G441="","",IF($H441="مرجوعی خرید",-1,1)*($L441-$M441*IFERROR(VLOOKUP("P01",ParamTbl,3,0),1.5))*(1-IF($I441="خرید",IFERROR(VLOOKUP("P02",ParamTbl,3,0),1),0)/100))</f>
        <v/>
      </c>
      <c r="O441">
        <f>IF($G441="",0,IF($H441="مرجوعی خرید",-1,1)*IF(Sync!$AD438="",0,Sync!$AD438))</f>
        <v/>
      </c>
      <c r="P441">
        <f>IF(OR($G441="",Sync!$W438=""),"",Sync!$W438)</f>
        <v/>
      </c>
      <c r="Q441">
        <f>IF(OR($G441="",Sync!$AE438=""),"",Sync!$AE438)</f>
        <v/>
      </c>
      <c r="R441">
        <f>IF($G441="","",IF(Sync!$V438="","0000",IF(AND(ISNUMBER(Sync!$V438),Sync!$V438&gt;=0,Sync!$V438&lt;1),RIGHT("00"&amp;HOUR(Sync!$V438),2)&amp;RIGHT("00"&amp;MINUTE(Sync!$V438),2),IFERROR(RIGHT("00"&amp;VALUE(LEFT(Sync!$V438,FIND(":",Sync!$V438)-1)),2)&amp;RIGHT("00"&amp;VALUE(MID(Sync!$V438,FIND(":",Sync!$V438)+1,2)),2),"0000"))))</f>
        <v/>
      </c>
    </row>
    <row r="442">
      <c r="A442">
        <f>IF(Sync!$U439="","",Sync!$U439)</f>
        <v/>
      </c>
      <c r="B442">
        <f>IF($A442="","",IF(ISNUMBER($A442),IF(AND($A442&gt;=10000101,$A442&lt;=99991231),INT($A442/10000),""),IFERROR(VALUE(TRIM(LEFT($A442,FIND("/",$A442)-1))),"")))</f>
        <v/>
      </c>
      <c r="C442">
        <f>IF(OR($A442="",$B442=""),"",IF(ISNUMBER($A442),INT(MOD($A442,10000)/100),IFERROR(VALUE(TRIM(LEFT(MID($A442,FIND("/",$A442)+1,20),FIND("/",MID($A442,FIND("/",$A442)+1,20))-1))),"")))</f>
        <v/>
      </c>
      <c r="D442">
        <f>IF(OR($A442="",$B442=""),"",IF(ISNUMBER($A442),MOD($A442,100),IFERROR(VALUE(TRIM(MID(MID($A442,FIND("/",$A442)+1,20),FIND("/",MID($A442,FIND("/",$A442)+1,20))+1,20))),"")))</f>
        <v/>
      </c>
      <c r="E442">
        <f>IF($A442="","",IF(OR($B442="",$C442="",$D442="",$B442&lt;1300,$B442&gt;1500,$C442&lt;1,$C442&gt;12,$D442&lt;1,$D442&gt;31),"نامعتبر",RIGHT("0000"&amp;$B442,4)&amp;"/"&amp;RIGHT("00"&amp;$C442,2)&amp;"/"&amp;RIGHT("00"&amp;$D442,2)))</f>
        <v/>
      </c>
      <c r="F442">
        <f>IF(OR($E442="",$E442="نامعتبر"),"",LEFT($E442,4)&amp;"/"&amp;MID($E442,6,2))</f>
        <v/>
      </c>
      <c r="G442">
        <f>IF(OR($E442="",$E442="نامعتبر",Sync!$Y439=""),"",Sync!$Y439)</f>
        <v/>
      </c>
      <c r="H442">
        <f>IF($G442="","",IF(Sync!$X439="","",Sync!$X439))</f>
        <v/>
      </c>
      <c r="I442">
        <f>IF($G442="","",IFERROR(VLOOKUP(Sync!$X439,OpTbl,3,0),""))</f>
        <v/>
      </c>
      <c r="J442">
        <f>IF(OR($G442="",Sync!$Z439=""),"",Sync!$Z439)</f>
        <v/>
      </c>
      <c r="K442">
        <f>IF(OR($G442="",Sync!$AA439=""),"",Sync!$AA439)</f>
        <v/>
      </c>
      <c r="L442">
        <f>IF($G442="",0,IF(Sync!$AB439="",0,Sync!$AB439))</f>
        <v/>
      </c>
      <c r="M442">
        <f>IF($G442="",0,IF(Sync!$AC439="",0,Sync!$AC439))</f>
        <v/>
      </c>
      <c r="N442">
        <f>IF($G442="","",IF($H442="مرجوعی خرید",-1,1)*($L442-$M442*IFERROR(VLOOKUP("P01",ParamTbl,3,0),1.5))*(1-IF($I442="خرید",IFERROR(VLOOKUP("P02",ParamTbl,3,0),1),0)/100))</f>
        <v/>
      </c>
      <c r="O442">
        <f>IF($G442="",0,IF($H442="مرجوعی خرید",-1,1)*IF(Sync!$AD439="",0,Sync!$AD439))</f>
        <v/>
      </c>
      <c r="P442">
        <f>IF(OR($G442="",Sync!$W439=""),"",Sync!$W439)</f>
        <v/>
      </c>
      <c r="Q442">
        <f>IF(OR($G442="",Sync!$AE439=""),"",Sync!$AE439)</f>
        <v/>
      </c>
      <c r="R442">
        <f>IF($G442="","",IF(Sync!$V439="","0000",IF(AND(ISNUMBER(Sync!$V439),Sync!$V439&gt;=0,Sync!$V439&lt;1),RIGHT("00"&amp;HOUR(Sync!$V439),2)&amp;RIGHT("00"&amp;MINUTE(Sync!$V439),2),IFERROR(RIGHT("00"&amp;VALUE(LEFT(Sync!$V439,FIND(":",Sync!$V439)-1)),2)&amp;RIGHT("00"&amp;VALUE(MID(Sync!$V439,FIND(":",Sync!$V439)+1,2)),2),"0000"))))</f>
        <v/>
      </c>
    </row>
    <row r="443">
      <c r="A443">
        <f>IF(Sync!$U440="","",Sync!$U440)</f>
        <v/>
      </c>
      <c r="B443">
        <f>IF($A443="","",IF(ISNUMBER($A443),IF(AND($A443&gt;=10000101,$A443&lt;=99991231),INT($A443/10000),""),IFERROR(VALUE(TRIM(LEFT($A443,FIND("/",$A443)-1))),"")))</f>
        <v/>
      </c>
      <c r="C443">
        <f>IF(OR($A443="",$B443=""),"",IF(ISNUMBER($A443),INT(MOD($A443,10000)/100),IFERROR(VALUE(TRIM(LEFT(MID($A443,FIND("/",$A443)+1,20),FIND("/",MID($A443,FIND("/",$A443)+1,20))-1))),"")))</f>
        <v/>
      </c>
      <c r="D443">
        <f>IF(OR($A443="",$B443=""),"",IF(ISNUMBER($A443),MOD($A443,100),IFERROR(VALUE(TRIM(MID(MID($A443,FIND("/",$A443)+1,20),FIND("/",MID($A443,FIND("/",$A443)+1,20))+1,20))),"")))</f>
        <v/>
      </c>
      <c r="E443">
        <f>IF($A443="","",IF(OR($B443="",$C443="",$D443="",$B443&lt;1300,$B443&gt;1500,$C443&lt;1,$C443&gt;12,$D443&lt;1,$D443&gt;31),"نامعتبر",RIGHT("0000"&amp;$B443,4)&amp;"/"&amp;RIGHT("00"&amp;$C443,2)&amp;"/"&amp;RIGHT("00"&amp;$D443,2)))</f>
        <v/>
      </c>
      <c r="F443">
        <f>IF(OR($E443="",$E443="نامعتبر"),"",LEFT($E443,4)&amp;"/"&amp;MID($E443,6,2))</f>
        <v/>
      </c>
      <c r="G443">
        <f>IF(OR($E443="",$E443="نامعتبر",Sync!$Y440=""),"",Sync!$Y440)</f>
        <v/>
      </c>
      <c r="H443">
        <f>IF($G443="","",IF(Sync!$X440="","",Sync!$X440))</f>
        <v/>
      </c>
      <c r="I443">
        <f>IF($G443="","",IFERROR(VLOOKUP(Sync!$X440,OpTbl,3,0),""))</f>
        <v/>
      </c>
      <c r="J443">
        <f>IF(OR($G443="",Sync!$Z440=""),"",Sync!$Z440)</f>
        <v/>
      </c>
      <c r="K443">
        <f>IF(OR($G443="",Sync!$AA440=""),"",Sync!$AA440)</f>
        <v/>
      </c>
      <c r="L443">
        <f>IF($G443="",0,IF(Sync!$AB440="",0,Sync!$AB440))</f>
        <v/>
      </c>
      <c r="M443">
        <f>IF($G443="",0,IF(Sync!$AC440="",0,Sync!$AC440))</f>
        <v/>
      </c>
      <c r="N443">
        <f>IF($G443="","",IF($H443="مرجوعی خرید",-1,1)*($L443-$M443*IFERROR(VLOOKUP("P01",ParamTbl,3,0),1.5))*(1-IF($I443="خرید",IFERROR(VLOOKUP("P02",ParamTbl,3,0),1),0)/100))</f>
        <v/>
      </c>
      <c r="O443">
        <f>IF($G443="",0,IF($H443="مرجوعی خرید",-1,1)*IF(Sync!$AD440="",0,Sync!$AD440))</f>
        <v/>
      </c>
      <c r="P443">
        <f>IF(OR($G443="",Sync!$W440=""),"",Sync!$W440)</f>
        <v/>
      </c>
      <c r="Q443">
        <f>IF(OR($G443="",Sync!$AE440=""),"",Sync!$AE440)</f>
        <v/>
      </c>
      <c r="R443">
        <f>IF($G443="","",IF(Sync!$V440="","0000",IF(AND(ISNUMBER(Sync!$V440),Sync!$V440&gt;=0,Sync!$V440&lt;1),RIGHT("00"&amp;HOUR(Sync!$V440),2)&amp;RIGHT("00"&amp;MINUTE(Sync!$V440),2),IFERROR(RIGHT("00"&amp;VALUE(LEFT(Sync!$V440,FIND(":",Sync!$V440)-1)),2)&amp;RIGHT("00"&amp;VALUE(MID(Sync!$V440,FIND(":",Sync!$V440)+1,2)),2),"0000"))))</f>
        <v/>
      </c>
    </row>
    <row r="444">
      <c r="A444">
        <f>IF(Sync!$U441="","",Sync!$U441)</f>
        <v/>
      </c>
      <c r="B444">
        <f>IF($A444="","",IF(ISNUMBER($A444),IF(AND($A444&gt;=10000101,$A444&lt;=99991231),INT($A444/10000),""),IFERROR(VALUE(TRIM(LEFT($A444,FIND("/",$A444)-1))),"")))</f>
        <v/>
      </c>
      <c r="C444">
        <f>IF(OR($A444="",$B444=""),"",IF(ISNUMBER($A444),INT(MOD($A444,10000)/100),IFERROR(VALUE(TRIM(LEFT(MID($A444,FIND("/",$A444)+1,20),FIND("/",MID($A444,FIND("/",$A444)+1,20))-1))),"")))</f>
        <v/>
      </c>
      <c r="D444">
        <f>IF(OR($A444="",$B444=""),"",IF(ISNUMBER($A444),MOD($A444,100),IFERROR(VALUE(TRIM(MID(MID($A444,FIND("/",$A444)+1,20),FIND("/",MID($A444,FIND("/",$A444)+1,20))+1,20))),"")))</f>
        <v/>
      </c>
      <c r="E444">
        <f>IF($A444="","",IF(OR($B444="",$C444="",$D444="",$B444&lt;1300,$B444&gt;1500,$C444&lt;1,$C444&gt;12,$D444&lt;1,$D444&gt;31),"نامعتبر",RIGHT("0000"&amp;$B444,4)&amp;"/"&amp;RIGHT("00"&amp;$C444,2)&amp;"/"&amp;RIGHT("00"&amp;$D444,2)))</f>
        <v/>
      </c>
      <c r="F444">
        <f>IF(OR($E444="",$E444="نامعتبر"),"",LEFT($E444,4)&amp;"/"&amp;MID($E444,6,2))</f>
        <v/>
      </c>
      <c r="G444">
        <f>IF(OR($E444="",$E444="نامعتبر",Sync!$Y441=""),"",Sync!$Y441)</f>
        <v/>
      </c>
      <c r="H444">
        <f>IF($G444="","",IF(Sync!$X441="","",Sync!$X441))</f>
        <v/>
      </c>
      <c r="I444">
        <f>IF($G444="","",IFERROR(VLOOKUP(Sync!$X441,OpTbl,3,0),""))</f>
        <v/>
      </c>
      <c r="J444">
        <f>IF(OR($G444="",Sync!$Z441=""),"",Sync!$Z441)</f>
        <v/>
      </c>
      <c r="K444">
        <f>IF(OR($G444="",Sync!$AA441=""),"",Sync!$AA441)</f>
        <v/>
      </c>
      <c r="L444">
        <f>IF($G444="",0,IF(Sync!$AB441="",0,Sync!$AB441))</f>
        <v/>
      </c>
      <c r="M444">
        <f>IF($G444="",0,IF(Sync!$AC441="",0,Sync!$AC441))</f>
        <v/>
      </c>
      <c r="N444">
        <f>IF($G444="","",IF($H444="مرجوعی خرید",-1,1)*($L444-$M444*IFERROR(VLOOKUP("P01",ParamTbl,3,0),1.5))*(1-IF($I444="خرید",IFERROR(VLOOKUP("P02",ParamTbl,3,0),1),0)/100))</f>
        <v/>
      </c>
      <c r="O444">
        <f>IF($G444="",0,IF($H444="مرجوعی خرید",-1,1)*IF(Sync!$AD441="",0,Sync!$AD441))</f>
        <v/>
      </c>
      <c r="P444">
        <f>IF(OR($G444="",Sync!$W441=""),"",Sync!$W441)</f>
        <v/>
      </c>
      <c r="Q444">
        <f>IF(OR($G444="",Sync!$AE441=""),"",Sync!$AE441)</f>
        <v/>
      </c>
      <c r="R444">
        <f>IF($G444="","",IF(Sync!$V441="","0000",IF(AND(ISNUMBER(Sync!$V441),Sync!$V441&gt;=0,Sync!$V441&lt;1),RIGHT("00"&amp;HOUR(Sync!$V441),2)&amp;RIGHT("00"&amp;MINUTE(Sync!$V441),2),IFERROR(RIGHT("00"&amp;VALUE(LEFT(Sync!$V441,FIND(":",Sync!$V441)-1)),2)&amp;RIGHT("00"&amp;VALUE(MID(Sync!$V441,FIND(":",Sync!$V441)+1,2)),2),"0000"))))</f>
        <v/>
      </c>
    </row>
    <row r="445">
      <c r="A445">
        <f>IF(Sync!$U442="","",Sync!$U442)</f>
        <v/>
      </c>
      <c r="B445">
        <f>IF($A445="","",IF(ISNUMBER($A445),IF(AND($A445&gt;=10000101,$A445&lt;=99991231),INT($A445/10000),""),IFERROR(VALUE(TRIM(LEFT($A445,FIND("/",$A445)-1))),"")))</f>
        <v/>
      </c>
      <c r="C445">
        <f>IF(OR($A445="",$B445=""),"",IF(ISNUMBER($A445),INT(MOD($A445,10000)/100),IFERROR(VALUE(TRIM(LEFT(MID($A445,FIND("/",$A445)+1,20),FIND("/",MID($A445,FIND("/",$A445)+1,20))-1))),"")))</f>
        <v/>
      </c>
      <c r="D445">
        <f>IF(OR($A445="",$B445=""),"",IF(ISNUMBER($A445),MOD($A445,100),IFERROR(VALUE(TRIM(MID(MID($A445,FIND("/",$A445)+1,20),FIND("/",MID($A445,FIND("/",$A445)+1,20))+1,20))),"")))</f>
        <v/>
      </c>
      <c r="E445">
        <f>IF($A445="","",IF(OR($B445="",$C445="",$D445="",$B445&lt;1300,$B445&gt;1500,$C445&lt;1,$C445&gt;12,$D445&lt;1,$D445&gt;31),"نامعتبر",RIGHT("0000"&amp;$B445,4)&amp;"/"&amp;RIGHT("00"&amp;$C445,2)&amp;"/"&amp;RIGHT("00"&amp;$D445,2)))</f>
        <v/>
      </c>
      <c r="F445">
        <f>IF(OR($E445="",$E445="نامعتبر"),"",LEFT($E445,4)&amp;"/"&amp;MID($E445,6,2))</f>
        <v/>
      </c>
      <c r="G445">
        <f>IF(OR($E445="",$E445="نامعتبر",Sync!$Y442=""),"",Sync!$Y442)</f>
        <v/>
      </c>
      <c r="H445">
        <f>IF($G445="","",IF(Sync!$X442="","",Sync!$X442))</f>
        <v/>
      </c>
      <c r="I445">
        <f>IF($G445="","",IFERROR(VLOOKUP(Sync!$X442,OpTbl,3,0),""))</f>
        <v/>
      </c>
      <c r="J445">
        <f>IF(OR($G445="",Sync!$Z442=""),"",Sync!$Z442)</f>
        <v/>
      </c>
      <c r="K445">
        <f>IF(OR($G445="",Sync!$AA442=""),"",Sync!$AA442)</f>
        <v/>
      </c>
      <c r="L445">
        <f>IF($G445="",0,IF(Sync!$AB442="",0,Sync!$AB442))</f>
        <v/>
      </c>
      <c r="M445">
        <f>IF($G445="",0,IF(Sync!$AC442="",0,Sync!$AC442))</f>
        <v/>
      </c>
      <c r="N445">
        <f>IF($G445="","",IF($H445="مرجوعی خرید",-1,1)*($L445-$M445*IFERROR(VLOOKUP("P01",ParamTbl,3,0),1.5))*(1-IF($I445="خرید",IFERROR(VLOOKUP("P02",ParamTbl,3,0),1),0)/100))</f>
        <v/>
      </c>
      <c r="O445">
        <f>IF($G445="",0,IF($H445="مرجوعی خرید",-1,1)*IF(Sync!$AD442="",0,Sync!$AD442))</f>
        <v/>
      </c>
      <c r="P445">
        <f>IF(OR($G445="",Sync!$W442=""),"",Sync!$W442)</f>
        <v/>
      </c>
      <c r="Q445">
        <f>IF(OR($G445="",Sync!$AE442=""),"",Sync!$AE442)</f>
        <v/>
      </c>
      <c r="R445">
        <f>IF($G445="","",IF(Sync!$V442="","0000",IF(AND(ISNUMBER(Sync!$V442),Sync!$V442&gt;=0,Sync!$V442&lt;1),RIGHT("00"&amp;HOUR(Sync!$V442),2)&amp;RIGHT("00"&amp;MINUTE(Sync!$V442),2),IFERROR(RIGHT("00"&amp;VALUE(LEFT(Sync!$V442,FIND(":",Sync!$V442)-1)),2)&amp;RIGHT("00"&amp;VALUE(MID(Sync!$V442,FIND(":",Sync!$V442)+1,2)),2),"0000"))))</f>
        <v/>
      </c>
    </row>
    <row r="446">
      <c r="A446">
        <f>IF(Sync!$U443="","",Sync!$U443)</f>
        <v/>
      </c>
      <c r="B446">
        <f>IF($A446="","",IF(ISNUMBER($A446),IF(AND($A446&gt;=10000101,$A446&lt;=99991231),INT($A446/10000),""),IFERROR(VALUE(TRIM(LEFT($A446,FIND("/",$A446)-1))),"")))</f>
        <v/>
      </c>
      <c r="C446">
        <f>IF(OR($A446="",$B446=""),"",IF(ISNUMBER($A446),INT(MOD($A446,10000)/100),IFERROR(VALUE(TRIM(LEFT(MID($A446,FIND("/",$A446)+1,20),FIND("/",MID($A446,FIND("/",$A446)+1,20))-1))),"")))</f>
        <v/>
      </c>
      <c r="D446">
        <f>IF(OR($A446="",$B446=""),"",IF(ISNUMBER($A446),MOD($A446,100),IFERROR(VALUE(TRIM(MID(MID($A446,FIND("/",$A446)+1,20),FIND("/",MID($A446,FIND("/",$A446)+1,20))+1,20))),"")))</f>
        <v/>
      </c>
      <c r="E446">
        <f>IF($A446="","",IF(OR($B446="",$C446="",$D446="",$B446&lt;1300,$B446&gt;1500,$C446&lt;1,$C446&gt;12,$D446&lt;1,$D446&gt;31),"نامعتبر",RIGHT("0000"&amp;$B446,4)&amp;"/"&amp;RIGHT("00"&amp;$C446,2)&amp;"/"&amp;RIGHT("00"&amp;$D446,2)))</f>
        <v/>
      </c>
      <c r="F446">
        <f>IF(OR($E446="",$E446="نامعتبر"),"",LEFT($E446,4)&amp;"/"&amp;MID($E446,6,2))</f>
        <v/>
      </c>
      <c r="G446">
        <f>IF(OR($E446="",$E446="نامعتبر",Sync!$Y443=""),"",Sync!$Y443)</f>
        <v/>
      </c>
      <c r="H446">
        <f>IF($G446="","",IF(Sync!$X443="","",Sync!$X443))</f>
        <v/>
      </c>
      <c r="I446">
        <f>IF($G446="","",IFERROR(VLOOKUP(Sync!$X443,OpTbl,3,0),""))</f>
        <v/>
      </c>
      <c r="J446">
        <f>IF(OR($G446="",Sync!$Z443=""),"",Sync!$Z443)</f>
        <v/>
      </c>
      <c r="K446">
        <f>IF(OR($G446="",Sync!$AA443=""),"",Sync!$AA443)</f>
        <v/>
      </c>
      <c r="L446">
        <f>IF($G446="",0,IF(Sync!$AB443="",0,Sync!$AB443))</f>
        <v/>
      </c>
      <c r="M446">
        <f>IF($G446="",0,IF(Sync!$AC443="",0,Sync!$AC443))</f>
        <v/>
      </c>
      <c r="N446">
        <f>IF($G446="","",IF($H446="مرجوعی خرید",-1,1)*($L446-$M446*IFERROR(VLOOKUP("P01",ParamTbl,3,0),1.5))*(1-IF($I446="خرید",IFERROR(VLOOKUP("P02",ParamTbl,3,0),1),0)/100))</f>
        <v/>
      </c>
      <c r="O446">
        <f>IF($G446="",0,IF($H446="مرجوعی خرید",-1,1)*IF(Sync!$AD443="",0,Sync!$AD443))</f>
        <v/>
      </c>
      <c r="P446">
        <f>IF(OR($G446="",Sync!$W443=""),"",Sync!$W443)</f>
        <v/>
      </c>
      <c r="Q446">
        <f>IF(OR($G446="",Sync!$AE443=""),"",Sync!$AE443)</f>
        <v/>
      </c>
      <c r="R446">
        <f>IF($G446="","",IF(Sync!$V443="","0000",IF(AND(ISNUMBER(Sync!$V443),Sync!$V443&gt;=0,Sync!$V443&lt;1),RIGHT("00"&amp;HOUR(Sync!$V443),2)&amp;RIGHT("00"&amp;MINUTE(Sync!$V443),2),IFERROR(RIGHT("00"&amp;VALUE(LEFT(Sync!$V443,FIND(":",Sync!$V443)-1)),2)&amp;RIGHT("00"&amp;VALUE(MID(Sync!$V443,FIND(":",Sync!$V443)+1,2)),2),"0000"))))</f>
        <v/>
      </c>
    </row>
    <row r="447">
      <c r="A447">
        <f>IF(Sync!$U444="","",Sync!$U444)</f>
        <v/>
      </c>
      <c r="B447">
        <f>IF($A447="","",IF(ISNUMBER($A447),IF(AND($A447&gt;=10000101,$A447&lt;=99991231),INT($A447/10000),""),IFERROR(VALUE(TRIM(LEFT($A447,FIND("/",$A447)-1))),"")))</f>
        <v/>
      </c>
      <c r="C447">
        <f>IF(OR($A447="",$B447=""),"",IF(ISNUMBER($A447),INT(MOD($A447,10000)/100),IFERROR(VALUE(TRIM(LEFT(MID($A447,FIND("/",$A447)+1,20),FIND("/",MID($A447,FIND("/",$A447)+1,20))-1))),"")))</f>
        <v/>
      </c>
      <c r="D447">
        <f>IF(OR($A447="",$B447=""),"",IF(ISNUMBER($A447),MOD($A447,100),IFERROR(VALUE(TRIM(MID(MID($A447,FIND("/",$A447)+1,20),FIND("/",MID($A447,FIND("/",$A447)+1,20))+1,20))),"")))</f>
        <v/>
      </c>
      <c r="E447">
        <f>IF($A447="","",IF(OR($B447="",$C447="",$D447="",$B447&lt;1300,$B447&gt;1500,$C447&lt;1,$C447&gt;12,$D447&lt;1,$D447&gt;31),"نامعتبر",RIGHT("0000"&amp;$B447,4)&amp;"/"&amp;RIGHT("00"&amp;$C447,2)&amp;"/"&amp;RIGHT("00"&amp;$D447,2)))</f>
        <v/>
      </c>
      <c r="F447">
        <f>IF(OR($E447="",$E447="نامعتبر"),"",LEFT($E447,4)&amp;"/"&amp;MID($E447,6,2))</f>
        <v/>
      </c>
      <c r="G447">
        <f>IF(OR($E447="",$E447="نامعتبر",Sync!$Y444=""),"",Sync!$Y444)</f>
        <v/>
      </c>
      <c r="H447">
        <f>IF($G447="","",IF(Sync!$X444="","",Sync!$X444))</f>
        <v/>
      </c>
      <c r="I447">
        <f>IF($G447="","",IFERROR(VLOOKUP(Sync!$X444,OpTbl,3,0),""))</f>
        <v/>
      </c>
      <c r="J447">
        <f>IF(OR($G447="",Sync!$Z444=""),"",Sync!$Z444)</f>
        <v/>
      </c>
      <c r="K447">
        <f>IF(OR($G447="",Sync!$AA444=""),"",Sync!$AA444)</f>
        <v/>
      </c>
      <c r="L447">
        <f>IF($G447="",0,IF(Sync!$AB444="",0,Sync!$AB444))</f>
        <v/>
      </c>
      <c r="M447">
        <f>IF($G447="",0,IF(Sync!$AC444="",0,Sync!$AC444))</f>
        <v/>
      </c>
      <c r="N447">
        <f>IF($G447="","",IF($H447="مرجوعی خرید",-1,1)*($L447-$M447*IFERROR(VLOOKUP("P01",ParamTbl,3,0),1.5))*(1-IF($I447="خرید",IFERROR(VLOOKUP("P02",ParamTbl,3,0),1),0)/100))</f>
        <v/>
      </c>
      <c r="O447">
        <f>IF($G447="",0,IF($H447="مرجوعی خرید",-1,1)*IF(Sync!$AD444="",0,Sync!$AD444))</f>
        <v/>
      </c>
      <c r="P447">
        <f>IF(OR($G447="",Sync!$W444=""),"",Sync!$W444)</f>
        <v/>
      </c>
      <c r="Q447">
        <f>IF(OR($G447="",Sync!$AE444=""),"",Sync!$AE444)</f>
        <v/>
      </c>
      <c r="R447">
        <f>IF($G447="","",IF(Sync!$V444="","0000",IF(AND(ISNUMBER(Sync!$V444),Sync!$V444&gt;=0,Sync!$V444&lt;1),RIGHT("00"&amp;HOUR(Sync!$V444),2)&amp;RIGHT("00"&amp;MINUTE(Sync!$V444),2),IFERROR(RIGHT("00"&amp;VALUE(LEFT(Sync!$V444,FIND(":",Sync!$V444)-1)),2)&amp;RIGHT("00"&amp;VALUE(MID(Sync!$V444,FIND(":",Sync!$V444)+1,2)),2),"0000"))))</f>
        <v/>
      </c>
    </row>
    <row r="448">
      <c r="A448">
        <f>IF(Sync!$U445="","",Sync!$U445)</f>
        <v/>
      </c>
      <c r="B448">
        <f>IF($A448="","",IF(ISNUMBER($A448),IF(AND($A448&gt;=10000101,$A448&lt;=99991231),INT($A448/10000),""),IFERROR(VALUE(TRIM(LEFT($A448,FIND("/",$A448)-1))),"")))</f>
        <v/>
      </c>
      <c r="C448">
        <f>IF(OR($A448="",$B448=""),"",IF(ISNUMBER($A448),INT(MOD($A448,10000)/100),IFERROR(VALUE(TRIM(LEFT(MID($A448,FIND("/",$A448)+1,20),FIND("/",MID($A448,FIND("/",$A448)+1,20))-1))),"")))</f>
        <v/>
      </c>
      <c r="D448">
        <f>IF(OR($A448="",$B448=""),"",IF(ISNUMBER($A448),MOD($A448,100),IFERROR(VALUE(TRIM(MID(MID($A448,FIND("/",$A448)+1,20),FIND("/",MID($A448,FIND("/",$A448)+1,20))+1,20))),"")))</f>
        <v/>
      </c>
      <c r="E448">
        <f>IF($A448="","",IF(OR($B448="",$C448="",$D448="",$B448&lt;1300,$B448&gt;1500,$C448&lt;1,$C448&gt;12,$D448&lt;1,$D448&gt;31),"نامعتبر",RIGHT("0000"&amp;$B448,4)&amp;"/"&amp;RIGHT("00"&amp;$C448,2)&amp;"/"&amp;RIGHT("00"&amp;$D448,2)))</f>
        <v/>
      </c>
      <c r="F448">
        <f>IF(OR($E448="",$E448="نامعتبر"),"",LEFT($E448,4)&amp;"/"&amp;MID($E448,6,2))</f>
        <v/>
      </c>
      <c r="G448">
        <f>IF(OR($E448="",$E448="نامعتبر",Sync!$Y445=""),"",Sync!$Y445)</f>
        <v/>
      </c>
      <c r="H448">
        <f>IF($G448="","",IF(Sync!$X445="","",Sync!$X445))</f>
        <v/>
      </c>
      <c r="I448">
        <f>IF($G448="","",IFERROR(VLOOKUP(Sync!$X445,OpTbl,3,0),""))</f>
        <v/>
      </c>
      <c r="J448">
        <f>IF(OR($G448="",Sync!$Z445=""),"",Sync!$Z445)</f>
        <v/>
      </c>
      <c r="K448">
        <f>IF(OR($G448="",Sync!$AA445=""),"",Sync!$AA445)</f>
        <v/>
      </c>
      <c r="L448">
        <f>IF($G448="",0,IF(Sync!$AB445="",0,Sync!$AB445))</f>
        <v/>
      </c>
      <c r="M448">
        <f>IF($G448="",0,IF(Sync!$AC445="",0,Sync!$AC445))</f>
        <v/>
      </c>
      <c r="N448">
        <f>IF($G448="","",IF($H448="مرجوعی خرید",-1,1)*($L448-$M448*IFERROR(VLOOKUP("P01",ParamTbl,3,0),1.5))*(1-IF($I448="خرید",IFERROR(VLOOKUP("P02",ParamTbl,3,0),1),0)/100))</f>
        <v/>
      </c>
      <c r="O448">
        <f>IF($G448="",0,IF($H448="مرجوعی خرید",-1,1)*IF(Sync!$AD445="",0,Sync!$AD445))</f>
        <v/>
      </c>
      <c r="P448">
        <f>IF(OR($G448="",Sync!$W445=""),"",Sync!$W445)</f>
        <v/>
      </c>
      <c r="Q448">
        <f>IF(OR($G448="",Sync!$AE445=""),"",Sync!$AE445)</f>
        <v/>
      </c>
      <c r="R448">
        <f>IF($G448="","",IF(Sync!$V445="","0000",IF(AND(ISNUMBER(Sync!$V445),Sync!$V445&gt;=0,Sync!$V445&lt;1),RIGHT("00"&amp;HOUR(Sync!$V445),2)&amp;RIGHT("00"&amp;MINUTE(Sync!$V445),2),IFERROR(RIGHT("00"&amp;VALUE(LEFT(Sync!$V445,FIND(":",Sync!$V445)-1)),2)&amp;RIGHT("00"&amp;VALUE(MID(Sync!$V445,FIND(":",Sync!$V445)+1,2)),2),"0000"))))</f>
        <v/>
      </c>
    </row>
    <row r="449">
      <c r="A449">
        <f>IF(Sync!$U446="","",Sync!$U446)</f>
        <v/>
      </c>
      <c r="B449">
        <f>IF($A449="","",IF(ISNUMBER($A449),IF(AND($A449&gt;=10000101,$A449&lt;=99991231),INT($A449/10000),""),IFERROR(VALUE(TRIM(LEFT($A449,FIND("/",$A449)-1))),"")))</f>
        <v/>
      </c>
      <c r="C449">
        <f>IF(OR($A449="",$B449=""),"",IF(ISNUMBER($A449),INT(MOD($A449,10000)/100),IFERROR(VALUE(TRIM(LEFT(MID($A449,FIND("/",$A449)+1,20),FIND("/",MID($A449,FIND("/",$A449)+1,20))-1))),"")))</f>
        <v/>
      </c>
      <c r="D449">
        <f>IF(OR($A449="",$B449=""),"",IF(ISNUMBER($A449),MOD($A449,100),IFERROR(VALUE(TRIM(MID(MID($A449,FIND("/",$A449)+1,20),FIND("/",MID($A449,FIND("/",$A449)+1,20))+1,20))),"")))</f>
        <v/>
      </c>
      <c r="E449">
        <f>IF($A449="","",IF(OR($B449="",$C449="",$D449="",$B449&lt;1300,$B449&gt;1500,$C449&lt;1,$C449&gt;12,$D449&lt;1,$D449&gt;31),"نامعتبر",RIGHT("0000"&amp;$B449,4)&amp;"/"&amp;RIGHT("00"&amp;$C449,2)&amp;"/"&amp;RIGHT("00"&amp;$D449,2)))</f>
        <v/>
      </c>
      <c r="F449">
        <f>IF(OR($E449="",$E449="نامعتبر"),"",LEFT($E449,4)&amp;"/"&amp;MID($E449,6,2))</f>
        <v/>
      </c>
      <c r="G449">
        <f>IF(OR($E449="",$E449="نامعتبر",Sync!$Y446=""),"",Sync!$Y446)</f>
        <v/>
      </c>
      <c r="H449">
        <f>IF($G449="","",IF(Sync!$X446="","",Sync!$X446))</f>
        <v/>
      </c>
      <c r="I449">
        <f>IF($G449="","",IFERROR(VLOOKUP(Sync!$X446,OpTbl,3,0),""))</f>
        <v/>
      </c>
      <c r="J449">
        <f>IF(OR($G449="",Sync!$Z446=""),"",Sync!$Z446)</f>
        <v/>
      </c>
      <c r="K449">
        <f>IF(OR($G449="",Sync!$AA446=""),"",Sync!$AA446)</f>
        <v/>
      </c>
      <c r="L449">
        <f>IF($G449="",0,IF(Sync!$AB446="",0,Sync!$AB446))</f>
        <v/>
      </c>
      <c r="M449">
        <f>IF($G449="",0,IF(Sync!$AC446="",0,Sync!$AC446))</f>
        <v/>
      </c>
      <c r="N449">
        <f>IF($G449="","",IF($H449="مرجوعی خرید",-1,1)*($L449-$M449*IFERROR(VLOOKUP("P01",ParamTbl,3,0),1.5))*(1-IF($I449="خرید",IFERROR(VLOOKUP("P02",ParamTbl,3,0),1),0)/100))</f>
        <v/>
      </c>
      <c r="O449">
        <f>IF($G449="",0,IF($H449="مرجوعی خرید",-1,1)*IF(Sync!$AD446="",0,Sync!$AD446))</f>
        <v/>
      </c>
      <c r="P449">
        <f>IF(OR($G449="",Sync!$W446=""),"",Sync!$W446)</f>
        <v/>
      </c>
      <c r="Q449">
        <f>IF(OR($G449="",Sync!$AE446=""),"",Sync!$AE446)</f>
        <v/>
      </c>
      <c r="R449">
        <f>IF($G449="","",IF(Sync!$V446="","0000",IF(AND(ISNUMBER(Sync!$V446),Sync!$V446&gt;=0,Sync!$V446&lt;1),RIGHT("00"&amp;HOUR(Sync!$V446),2)&amp;RIGHT("00"&amp;MINUTE(Sync!$V446),2),IFERROR(RIGHT("00"&amp;VALUE(LEFT(Sync!$V446,FIND(":",Sync!$V446)-1)),2)&amp;RIGHT("00"&amp;VALUE(MID(Sync!$V446,FIND(":",Sync!$V446)+1,2)),2),"0000"))))</f>
        <v/>
      </c>
    </row>
    <row r="450">
      <c r="A450">
        <f>IF(Sync!$U447="","",Sync!$U447)</f>
        <v/>
      </c>
      <c r="B450">
        <f>IF($A450="","",IF(ISNUMBER($A450),IF(AND($A450&gt;=10000101,$A450&lt;=99991231),INT($A450/10000),""),IFERROR(VALUE(TRIM(LEFT($A450,FIND("/",$A450)-1))),"")))</f>
        <v/>
      </c>
      <c r="C450">
        <f>IF(OR($A450="",$B450=""),"",IF(ISNUMBER($A450),INT(MOD($A450,10000)/100),IFERROR(VALUE(TRIM(LEFT(MID($A450,FIND("/",$A450)+1,20),FIND("/",MID($A450,FIND("/",$A450)+1,20))-1))),"")))</f>
        <v/>
      </c>
      <c r="D450">
        <f>IF(OR($A450="",$B450=""),"",IF(ISNUMBER($A450),MOD($A450,100),IFERROR(VALUE(TRIM(MID(MID($A450,FIND("/",$A450)+1,20),FIND("/",MID($A450,FIND("/",$A450)+1,20))+1,20))),"")))</f>
        <v/>
      </c>
      <c r="E450">
        <f>IF($A450="","",IF(OR($B450="",$C450="",$D450="",$B450&lt;1300,$B450&gt;1500,$C450&lt;1,$C450&gt;12,$D450&lt;1,$D450&gt;31),"نامعتبر",RIGHT("0000"&amp;$B450,4)&amp;"/"&amp;RIGHT("00"&amp;$C450,2)&amp;"/"&amp;RIGHT("00"&amp;$D450,2)))</f>
        <v/>
      </c>
      <c r="F450">
        <f>IF(OR($E450="",$E450="نامعتبر"),"",LEFT($E450,4)&amp;"/"&amp;MID($E450,6,2))</f>
        <v/>
      </c>
      <c r="G450">
        <f>IF(OR($E450="",$E450="نامعتبر",Sync!$Y447=""),"",Sync!$Y447)</f>
        <v/>
      </c>
      <c r="H450">
        <f>IF($G450="","",IF(Sync!$X447="","",Sync!$X447))</f>
        <v/>
      </c>
      <c r="I450">
        <f>IF($G450="","",IFERROR(VLOOKUP(Sync!$X447,OpTbl,3,0),""))</f>
        <v/>
      </c>
      <c r="J450">
        <f>IF(OR($G450="",Sync!$Z447=""),"",Sync!$Z447)</f>
        <v/>
      </c>
      <c r="K450">
        <f>IF(OR($G450="",Sync!$AA447=""),"",Sync!$AA447)</f>
        <v/>
      </c>
      <c r="L450">
        <f>IF($G450="",0,IF(Sync!$AB447="",0,Sync!$AB447))</f>
        <v/>
      </c>
      <c r="M450">
        <f>IF($G450="",0,IF(Sync!$AC447="",0,Sync!$AC447))</f>
        <v/>
      </c>
      <c r="N450">
        <f>IF($G450="","",IF($H450="مرجوعی خرید",-1,1)*($L450-$M450*IFERROR(VLOOKUP("P01",ParamTbl,3,0),1.5))*(1-IF($I450="خرید",IFERROR(VLOOKUP("P02",ParamTbl,3,0),1),0)/100))</f>
        <v/>
      </c>
      <c r="O450">
        <f>IF($G450="",0,IF($H450="مرجوعی خرید",-1,1)*IF(Sync!$AD447="",0,Sync!$AD447))</f>
        <v/>
      </c>
      <c r="P450">
        <f>IF(OR($G450="",Sync!$W447=""),"",Sync!$W447)</f>
        <v/>
      </c>
      <c r="Q450">
        <f>IF(OR($G450="",Sync!$AE447=""),"",Sync!$AE447)</f>
        <v/>
      </c>
      <c r="R450">
        <f>IF($G450="","",IF(Sync!$V447="","0000",IF(AND(ISNUMBER(Sync!$V447),Sync!$V447&gt;=0,Sync!$V447&lt;1),RIGHT("00"&amp;HOUR(Sync!$V447),2)&amp;RIGHT("00"&amp;MINUTE(Sync!$V447),2),IFERROR(RIGHT("00"&amp;VALUE(LEFT(Sync!$V447,FIND(":",Sync!$V447)-1)),2)&amp;RIGHT("00"&amp;VALUE(MID(Sync!$V447,FIND(":",Sync!$V447)+1,2)),2),"0000"))))</f>
        <v/>
      </c>
    </row>
    <row r="451">
      <c r="A451">
        <f>IF(Sync!$U448="","",Sync!$U448)</f>
        <v/>
      </c>
      <c r="B451">
        <f>IF($A451="","",IF(ISNUMBER($A451),IF(AND($A451&gt;=10000101,$A451&lt;=99991231),INT($A451/10000),""),IFERROR(VALUE(TRIM(LEFT($A451,FIND("/",$A451)-1))),"")))</f>
        <v/>
      </c>
      <c r="C451">
        <f>IF(OR($A451="",$B451=""),"",IF(ISNUMBER($A451),INT(MOD($A451,10000)/100),IFERROR(VALUE(TRIM(LEFT(MID($A451,FIND("/",$A451)+1,20),FIND("/",MID($A451,FIND("/",$A451)+1,20))-1))),"")))</f>
        <v/>
      </c>
      <c r="D451">
        <f>IF(OR($A451="",$B451=""),"",IF(ISNUMBER($A451),MOD($A451,100),IFERROR(VALUE(TRIM(MID(MID($A451,FIND("/",$A451)+1,20),FIND("/",MID($A451,FIND("/",$A451)+1,20))+1,20))),"")))</f>
        <v/>
      </c>
      <c r="E451">
        <f>IF($A451="","",IF(OR($B451="",$C451="",$D451="",$B451&lt;1300,$B451&gt;1500,$C451&lt;1,$C451&gt;12,$D451&lt;1,$D451&gt;31),"نامعتبر",RIGHT("0000"&amp;$B451,4)&amp;"/"&amp;RIGHT("00"&amp;$C451,2)&amp;"/"&amp;RIGHT("00"&amp;$D451,2)))</f>
        <v/>
      </c>
      <c r="F451">
        <f>IF(OR($E451="",$E451="نامعتبر"),"",LEFT($E451,4)&amp;"/"&amp;MID($E451,6,2))</f>
        <v/>
      </c>
      <c r="G451">
        <f>IF(OR($E451="",$E451="نامعتبر",Sync!$Y448=""),"",Sync!$Y448)</f>
        <v/>
      </c>
      <c r="H451">
        <f>IF($G451="","",IF(Sync!$X448="","",Sync!$X448))</f>
        <v/>
      </c>
      <c r="I451">
        <f>IF($G451="","",IFERROR(VLOOKUP(Sync!$X448,OpTbl,3,0),""))</f>
        <v/>
      </c>
      <c r="J451">
        <f>IF(OR($G451="",Sync!$Z448=""),"",Sync!$Z448)</f>
        <v/>
      </c>
      <c r="K451">
        <f>IF(OR($G451="",Sync!$AA448=""),"",Sync!$AA448)</f>
        <v/>
      </c>
      <c r="L451">
        <f>IF($G451="",0,IF(Sync!$AB448="",0,Sync!$AB448))</f>
        <v/>
      </c>
      <c r="M451">
        <f>IF($G451="",0,IF(Sync!$AC448="",0,Sync!$AC448))</f>
        <v/>
      </c>
      <c r="N451">
        <f>IF($G451="","",IF($H451="مرجوعی خرید",-1,1)*($L451-$M451*IFERROR(VLOOKUP("P01",ParamTbl,3,0),1.5))*(1-IF($I451="خرید",IFERROR(VLOOKUP("P02",ParamTbl,3,0),1),0)/100))</f>
        <v/>
      </c>
      <c r="O451">
        <f>IF($G451="",0,IF($H451="مرجوعی خرید",-1,1)*IF(Sync!$AD448="",0,Sync!$AD448))</f>
        <v/>
      </c>
      <c r="P451">
        <f>IF(OR($G451="",Sync!$W448=""),"",Sync!$W448)</f>
        <v/>
      </c>
      <c r="Q451">
        <f>IF(OR($G451="",Sync!$AE448=""),"",Sync!$AE448)</f>
        <v/>
      </c>
      <c r="R451">
        <f>IF($G451="","",IF(Sync!$V448="","0000",IF(AND(ISNUMBER(Sync!$V448),Sync!$V448&gt;=0,Sync!$V448&lt;1),RIGHT("00"&amp;HOUR(Sync!$V448),2)&amp;RIGHT("00"&amp;MINUTE(Sync!$V448),2),IFERROR(RIGHT("00"&amp;VALUE(LEFT(Sync!$V448,FIND(":",Sync!$V448)-1)),2)&amp;RIGHT("00"&amp;VALUE(MID(Sync!$V448,FIND(":",Sync!$V448)+1,2)),2),"0000"))))</f>
        <v/>
      </c>
    </row>
    <row r="452">
      <c r="A452">
        <f>IF(Sync!$U449="","",Sync!$U449)</f>
        <v/>
      </c>
      <c r="B452">
        <f>IF($A452="","",IF(ISNUMBER($A452),IF(AND($A452&gt;=10000101,$A452&lt;=99991231),INT($A452/10000),""),IFERROR(VALUE(TRIM(LEFT($A452,FIND("/",$A452)-1))),"")))</f>
        <v/>
      </c>
      <c r="C452">
        <f>IF(OR($A452="",$B452=""),"",IF(ISNUMBER($A452),INT(MOD($A452,10000)/100),IFERROR(VALUE(TRIM(LEFT(MID($A452,FIND("/",$A452)+1,20),FIND("/",MID($A452,FIND("/",$A452)+1,20))-1))),"")))</f>
        <v/>
      </c>
      <c r="D452">
        <f>IF(OR($A452="",$B452=""),"",IF(ISNUMBER($A452),MOD($A452,100),IFERROR(VALUE(TRIM(MID(MID($A452,FIND("/",$A452)+1,20),FIND("/",MID($A452,FIND("/",$A452)+1,20))+1,20))),"")))</f>
        <v/>
      </c>
      <c r="E452">
        <f>IF($A452="","",IF(OR($B452="",$C452="",$D452="",$B452&lt;1300,$B452&gt;1500,$C452&lt;1,$C452&gt;12,$D452&lt;1,$D452&gt;31),"نامعتبر",RIGHT("0000"&amp;$B452,4)&amp;"/"&amp;RIGHT("00"&amp;$C452,2)&amp;"/"&amp;RIGHT("00"&amp;$D452,2)))</f>
        <v/>
      </c>
      <c r="F452">
        <f>IF(OR($E452="",$E452="نامعتبر"),"",LEFT($E452,4)&amp;"/"&amp;MID($E452,6,2))</f>
        <v/>
      </c>
      <c r="G452">
        <f>IF(OR($E452="",$E452="نامعتبر",Sync!$Y449=""),"",Sync!$Y449)</f>
        <v/>
      </c>
      <c r="H452">
        <f>IF($G452="","",IF(Sync!$X449="","",Sync!$X449))</f>
        <v/>
      </c>
      <c r="I452">
        <f>IF($G452="","",IFERROR(VLOOKUP(Sync!$X449,OpTbl,3,0),""))</f>
        <v/>
      </c>
      <c r="J452">
        <f>IF(OR($G452="",Sync!$Z449=""),"",Sync!$Z449)</f>
        <v/>
      </c>
      <c r="K452">
        <f>IF(OR($G452="",Sync!$AA449=""),"",Sync!$AA449)</f>
        <v/>
      </c>
      <c r="L452">
        <f>IF($G452="",0,IF(Sync!$AB449="",0,Sync!$AB449))</f>
        <v/>
      </c>
      <c r="M452">
        <f>IF($G452="",0,IF(Sync!$AC449="",0,Sync!$AC449))</f>
        <v/>
      </c>
      <c r="N452">
        <f>IF($G452="","",IF($H452="مرجوعی خرید",-1,1)*($L452-$M452*IFERROR(VLOOKUP("P01",ParamTbl,3,0),1.5))*(1-IF($I452="خرید",IFERROR(VLOOKUP("P02",ParamTbl,3,0),1),0)/100))</f>
        <v/>
      </c>
      <c r="O452">
        <f>IF($G452="",0,IF($H452="مرجوعی خرید",-1,1)*IF(Sync!$AD449="",0,Sync!$AD449))</f>
        <v/>
      </c>
      <c r="P452">
        <f>IF(OR($G452="",Sync!$W449=""),"",Sync!$W449)</f>
        <v/>
      </c>
      <c r="Q452">
        <f>IF(OR($G452="",Sync!$AE449=""),"",Sync!$AE449)</f>
        <v/>
      </c>
      <c r="R452">
        <f>IF($G452="","",IF(Sync!$V449="","0000",IF(AND(ISNUMBER(Sync!$V449),Sync!$V449&gt;=0,Sync!$V449&lt;1),RIGHT("00"&amp;HOUR(Sync!$V449),2)&amp;RIGHT("00"&amp;MINUTE(Sync!$V449),2),IFERROR(RIGHT("00"&amp;VALUE(LEFT(Sync!$V449,FIND(":",Sync!$V449)-1)),2)&amp;RIGHT("00"&amp;VALUE(MID(Sync!$V449,FIND(":",Sync!$V449)+1,2)),2),"0000"))))</f>
        <v/>
      </c>
    </row>
    <row r="453">
      <c r="A453">
        <f>IF(Sync!$U450="","",Sync!$U450)</f>
        <v/>
      </c>
      <c r="B453">
        <f>IF($A453="","",IF(ISNUMBER($A453),IF(AND($A453&gt;=10000101,$A453&lt;=99991231),INT($A453/10000),""),IFERROR(VALUE(TRIM(LEFT($A453,FIND("/",$A453)-1))),"")))</f>
        <v/>
      </c>
      <c r="C453">
        <f>IF(OR($A453="",$B453=""),"",IF(ISNUMBER($A453),INT(MOD($A453,10000)/100),IFERROR(VALUE(TRIM(LEFT(MID($A453,FIND("/",$A453)+1,20),FIND("/",MID($A453,FIND("/",$A453)+1,20))-1))),"")))</f>
        <v/>
      </c>
      <c r="D453">
        <f>IF(OR($A453="",$B453=""),"",IF(ISNUMBER($A453),MOD($A453,100),IFERROR(VALUE(TRIM(MID(MID($A453,FIND("/",$A453)+1,20),FIND("/",MID($A453,FIND("/",$A453)+1,20))+1,20))),"")))</f>
        <v/>
      </c>
      <c r="E453">
        <f>IF($A453="","",IF(OR($B453="",$C453="",$D453="",$B453&lt;1300,$B453&gt;1500,$C453&lt;1,$C453&gt;12,$D453&lt;1,$D453&gt;31),"نامعتبر",RIGHT("0000"&amp;$B453,4)&amp;"/"&amp;RIGHT("00"&amp;$C453,2)&amp;"/"&amp;RIGHT("00"&amp;$D453,2)))</f>
        <v/>
      </c>
      <c r="F453">
        <f>IF(OR($E453="",$E453="نامعتبر"),"",LEFT($E453,4)&amp;"/"&amp;MID($E453,6,2))</f>
        <v/>
      </c>
      <c r="G453">
        <f>IF(OR($E453="",$E453="نامعتبر",Sync!$Y450=""),"",Sync!$Y450)</f>
        <v/>
      </c>
      <c r="H453">
        <f>IF($G453="","",IF(Sync!$X450="","",Sync!$X450))</f>
        <v/>
      </c>
      <c r="I453">
        <f>IF($G453="","",IFERROR(VLOOKUP(Sync!$X450,OpTbl,3,0),""))</f>
        <v/>
      </c>
      <c r="J453">
        <f>IF(OR($G453="",Sync!$Z450=""),"",Sync!$Z450)</f>
        <v/>
      </c>
      <c r="K453">
        <f>IF(OR($G453="",Sync!$AA450=""),"",Sync!$AA450)</f>
        <v/>
      </c>
      <c r="L453">
        <f>IF($G453="",0,IF(Sync!$AB450="",0,Sync!$AB450))</f>
        <v/>
      </c>
      <c r="M453">
        <f>IF($G453="",0,IF(Sync!$AC450="",0,Sync!$AC450))</f>
        <v/>
      </c>
      <c r="N453">
        <f>IF($G453="","",IF($H453="مرجوعی خرید",-1,1)*($L453-$M453*IFERROR(VLOOKUP("P01",ParamTbl,3,0),1.5))*(1-IF($I453="خرید",IFERROR(VLOOKUP("P02",ParamTbl,3,0),1),0)/100))</f>
        <v/>
      </c>
      <c r="O453">
        <f>IF($G453="",0,IF($H453="مرجوعی خرید",-1,1)*IF(Sync!$AD450="",0,Sync!$AD450))</f>
        <v/>
      </c>
      <c r="P453">
        <f>IF(OR($G453="",Sync!$W450=""),"",Sync!$W450)</f>
        <v/>
      </c>
      <c r="Q453">
        <f>IF(OR($G453="",Sync!$AE450=""),"",Sync!$AE450)</f>
        <v/>
      </c>
      <c r="R453">
        <f>IF($G453="","",IF(Sync!$V450="","0000",IF(AND(ISNUMBER(Sync!$V450),Sync!$V450&gt;=0,Sync!$V450&lt;1),RIGHT("00"&amp;HOUR(Sync!$V450),2)&amp;RIGHT("00"&amp;MINUTE(Sync!$V450),2),IFERROR(RIGHT("00"&amp;VALUE(LEFT(Sync!$V450,FIND(":",Sync!$V450)-1)),2)&amp;RIGHT("00"&amp;VALUE(MID(Sync!$V450,FIND(":",Sync!$V450)+1,2)),2),"0000"))))</f>
        <v/>
      </c>
    </row>
    <row r="454">
      <c r="A454">
        <f>IF(Sync!$U451="","",Sync!$U451)</f>
        <v/>
      </c>
      <c r="B454">
        <f>IF($A454="","",IF(ISNUMBER($A454),IF(AND($A454&gt;=10000101,$A454&lt;=99991231),INT($A454/10000),""),IFERROR(VALUE(TRIM(LEFT($A454,FIND("/",$A454)-1))),"")))</f>
        <v/>
      </c>
      <c r="C454">
        <f>IF(OR($A454="",$B454=""),"",IF(ISNUMBER($A454),INT(MOD($A454,10000)/100),IFERROR(VALUE(TRIM(LEFT(MID($A454,FIND("/",$A454)+1,20),FIND("/",MID($A454,FIND("/",$A454)+1,20))-1))),"")))</f>
        <v/>
      </c>
      <c r="D454">
        <f>IF(OR($A454="",$B454=""),"",IF(ISNUMBER($A454),MOD($A454,100),IFERROR(VALUE(TRIM(MID(MID($A454,FIND("/",$A454)+1,20),FIND("/",MID($A454,FIND("/",$A454)+1,20))+1,20))),"")))</f>
        <v/>
      </c>
      <c r="E454">
        <f>IF($A454="","",IF(OR($B454="",$C454="",$D454="",$B454&lt;1300,$B454&gt;1500,$C454&lt;1,$C454&gt;12,$D454&lt;1,$D454&gt;31),"نامعتبر",RIGHT("0000"&amp;$B454,4)&amp;"/"&amp;RIGHT("00"&amp;$C454,2)&amp;"/"&amp;RIGHT("00"&amp;$D454,2)))</f>
        <v/>
      </c>
      <c r="F454">
        <f>IF(OR($E454="",$E454="نامعتبر"),"",LEFT($E454,4)&amp;"/"&amp;MID($E454,6,2))</f>
        <v/>
      </c>
      <c r="G454">
        <f>IF(OR($E454="",$E454="نامعتبر",Sync!$Y451=""),"",Sync!$Y451)</f>
        <v/>
      </c>
      <c r="H454">
        <f>IF($G454="","",IF(Sync!$X451="","",Sync!$X451))</f>
        <v/>
      </c>
      <c r="I454">
        <f>IF($G454="","",IFERROR(VLOOKUP(Sync!$X451,OpTbl,3,0),""))</f>
        <v/>
      </c>
      <c r="J454">
        <f>IF(OR($G454="",Sync!$Z451=""),"",Sync!$Z451)</f>
        <v/>
      </c>
      <c r="K454">
        <f>IF(OR($G454="",Sync!$AA451=""),"",Sync!$AA451)</f>
        <v/>
      </c>
      <c r="L454">
        <f>IF($G454="",0,IF(Sync!$AB451="",0,Sync!$AB451))</f>
        <v/>
      </c>
      <c r="M454">
        <f>IF($G454="",0,IF(Sync!$AC451="",0,Sync!$AC451))</f>
        <v/>
      </c>
      <c r="N454">
        <f>IF($G454="","",IF($H454="مرجوعی خرید",-1,1)*($L454-$M454*IFERROR(VLOOKUP("P01",ParamTbl,3,0),1.5))*(1-IF($I454="خرید",IFERROR(VLOOKUP("P02",ParamTbl,3,0),1),0)/100))</f>
        <v/>
      </c>
      <c r="O454">
        <f>IF($G454="",0,IF($H454="مرجوعی خرید",-1,1)*IF(Sync!$AD451="",0,Sync!$AD451))</f>
        <v/>
      </c>
      <c r="P454">
        <f>IF(OR($G454="",Sync!$W451=""),"",Sync!$W451)</f>
        <v/>
      </c>
      <c r="Q454">
        <f>IF(OR($G454="",Sync!$AE451=""),"",Sync!$AE451)</f>
        <v/>
      </c>
      <c r="R454">
        <f>IF($G454="","",IF(Sync!$V451="","0000",IF(AND(ISNUMBER(Sync!$V451),Sync!$V451&gt;=0,Sync!$V451&lt;1),RIGHT("00"&amp;HOUR(Sync!$V451),2)&amp;RIGHT("00"&amp;MINUTE(Sync!$V451),2),IFERROR(RIGHT("00"&amp;VALUE(LEFT(Sync!$V451,FIND(":",Sync!$V451)-1)),2)&amp;RIGHT("00"&amp;VALUE(MID(Sync!$V451,FIND(":",Sync!$V451)+1,2)),2),"0000"))))</f>
        <v/>
      </c>
    </row>
    <row r="455">
      <c r="A455">
        <f>IF(Sync!$U452="","",Sync!$U452)</f>
        <v/>
      </c>
      <c r="B455">
        <f>IF($A455="","",IF(ISNUMBER($A455),IF(AND($A455&gt;=10000101,$A455&lt;=99991231),INT($A455/10000),""),IFERROR(VALUE(TRIM(LEFT($A455,FIND("/",$A455)-1))),"")))</f>
        <v/>
      </c>
      <c r="C455">
        <f>IF(OR($A455="",$B455=""),"",IF(ISNUMBER($A455),INT(MOD($A455,10000)/100),IFERROR(VALUE(TRIM(LEFT(MID($A455,FIND("/",$A455)+1,20),FIND("/",MID($A455,FIND("/",$A455)+1,20))-1))),"")))</f>
        <v/>
      </c>
      <c r="D455">
        <f>IF(OR($A455="",$B455=""),"",IF(ISNUMBER($A455),MOD($A455,100),IFERROR(VALUE(TRIM(MID(MID($A455,FIND("/",$A455)+1,20),FIND("/",MID($A455,FIND("/",$A455)+1,20))+1,20))),"")))</f>
        <v/>
      </c>
      <c r="E455">
        <f>IF($A455="","",IF(OR($B455="",$C455="",$D455="",$B455&lt;1300,$B455&gt;1500,$C455&lt;1,$C455&gt;12,$D455&lt;1,$D455&gt;31),"نامعتبر",RIGHT("0000"&amp;$B455,4)&amp;"/"&amp;RIGHT("00"&amp;$C455,2)&amp;"/"&amp;RIGHT("00"&amp;$D455,2)))</f>
        <v/>
      </c>
      <c r="F455">
        <f>IF(OR($E455="",$E455="نامعتبر"),"",LEFT($E455,4)&amp;"/"&amp;MID($E455,6,2))</f>
        <v/>
      </c>
      <c r="G455">
        <f>IF(OR($E455="",$E455="نامعتبر",Sync!$Y452=""),"",Sync!$Y452)</f>
        <v/>
      </c>
      <c r="H455">
        <f>IF($G455="","",IF(Sync!$X452="","",Sync!$X452))</f>
        <v/>
      </c>
      <c r="I455">
        <f>IF($G455="","",IFERROR(VLOOKUP(Sync!$X452,OpTbl,3,0),""))</f>
        <v/>
      </c>
      <c r="J455">
        <f>IF(OR($G455="",Sync!$Z452=""),"",Sync!$Z452)</f>
        <v/>
      </c>
      <c r="K455">
        <f>IF(OR($G455="",Sync!$AA452=""),"",Sync!$AA452)</f>
        <v/>
      </c>
      <c r="L455">
        <f>IF($G455="",0,IF(Sync!$AB452="",0,Sync!$AB452))</f>
        <v/>
      </c>
      <c r="M455">
        <f>IF($G455="",0,IF(Sync!$AC452="",0,Sync!$AC452))</f>
        <v/>
      </c>
      <c r="N455">
        <f>IF($G455="","",IF($H455="مرجوعی خرید",-1,1)*($L455-$M455*IFERROR(VLOOKUP("P01",ParamTbl,3,0),1.5))*(1-IF($I455="خرید",IFERROR(VLOOKUP("P02",ParamTbl,3,0),1),0)/100))</f>
        <v/>
      </c>
      <c r="O455">
        <f>IF($G455="",0,IF($H455="مرجوعی خرید",-1,1)*IF(Sync!$AD452="",0,Sync!$AD452))</f>
        <v/>
      </c>
      <c r="P455">
        <f>IF(OR($G455="",Sync!$W452=""),"",Sync!$W452)</f>
        <v/>
      </c>
      <c r="Q455">
        <f>IF(OR($G455="",Sync!$AE452=""),"",Sync!$AE452)</f>
        <v/>
      </c>
      <c r="R455">
        <f>IF($G455="","",IF(Sync!$V452="","0000",IF(AND(ISNUMBER(Sync!$V452),Sync!$V452&gt;=0,Sync!$V452&lt;1),RIGHT("00"&amp;HOUR(Sync!$V452),2)&amp;RIGHT("00"&amp;MINUTE(Sync!$V452),2),IFERROR(RIGHT("00"&amp;VALUE(LEFT(Sync!$V452,FIND(":",Sync!$V452)-1)),2)&amp;RIGHT("00"&amp;VALUE(MID(Sync!$V452,FIND(":",Sync!$V452)+1,2)),2),"0000"))))</f>
        <v/>
      </c>
    </row>
    <row r="456">
      <c r="A456">
        <f>IF(Sync!$U453="","",Sync!$U453)</f>
        <v/>
      </c>
      <c r="B456">
        <f>IF($A456="","",IF(ISNUMBER($A456),IF(AND($A456&gt;=10000101,$A456&lt;=99991231),INT($A456/10000),""),IFERROR(VALUE(TRIM(LEFT($A456,FIND("/",$A456)-1))),"")))</f>
        <v/>
      </c>
      <c r="C456">
        <f>IF(OR($A456="",$B456=""),"",IF(ISNUMBER($A456),INT(MOD($A456,10000)/100),IFERROR(VALUE(TRIM(LEFT(MID($A456,FIND("/",$A456)+1,20),FIND("/",MID($A456,FIND("/",$A456)+1,20))-1))),"")))</f>
        <v/>
      </c>
      <c r="D456">
        <f>IF(OR($A456="",$B456=""),"",IF(ISNUMBER($A456),MOD($A456,100),IFERROR(VALUE(TRIM(MID(MID($A456,FIND("/",$A456)+1,20),FIND("/",MID($A456,FIND("/",$A456)+1,20))+1,20))),"")))</f>
        <v/>
      </c>
      <c r="E456">
        <f>IF($A456="","",IF(OR($B456="",$C456="",$D456="",$B456&lt;1300,$B456&gt;1500,$C456&lt;1,$C456&gt;12,$D456&lt;1,$D456&gt;31),"نامعتبر",RIGHT("0000"&amp;$B456,4)&amp;"/"&amp;RIGHT("00"&amp;$C456,2)&amp;"/"&amp;RIGHT("00"&amp;$D456,2)))</f>
        <v/>
      </c>
      <c r="F456">
        <f>IF(OR($E456="",$E456="نامعتبر"),"",LEFT($E456,4)&amp;"/"&amp;MID($E456,6,2))</f>
        <v/>
      </c>
      <c r="G456">
        <f>IF(OR($E456="",$E456="نامعتبر",Sync!$Y453=""),"",Sync!$Y453)</f>
        <v/>
      </c>
      <c r="H456">
        <f>IF($G456="","",IF(Sync!$X453="","",Sync!$X453))</f>
        <v/>
      </c>
      <c r="I456">
        <f>IF($G456="","",IFERROR(VLOOKUP(Sync!$X453,OpTbl,3,0),""))</f>
        <v/>
      </c>
      <c r="J456">
        <f>IF(OR($G456="",Sync!$Z453=""),"",Sync!$Z453)</f>
        <v/>
      </c>
      <c r="K456">
        <f>IF(OR($G456="",Sync!$AA453=""),"",Sync!$AA453)</f>
        <v/>
      </c>
      <c r="L456">
        <f>IF($G456="",0,IF(Sync!$AB453="",0,Sync!$AB453))</f>
        <v/>
      </c>
      <c r="M456">
        <f>IF($G456="",0,IF(Sync!$AC453="",0,Sync!$AC453))</f>
        <v/>
      </c>
      <c r="N456">
        <f>IF($G456="","",IF($H456="مرجوعی خرید",-1,1)*($L456-$M456*IFERROR(VLOOKUP("P01",ParamTbl,3,0),1.5))*(1-IF($I456="خرید",IFERROR(VLOOKUP("P02",ParamTbl,3,0),1),0)/100))</f>
        <v/>
      </c>
      <c r="O456">
        <f>IF($G456="",0,IF($H456="مرجوعی خرید",-1,1)*IF(Sync!$AD453="",0,Sync!$AD453))</f>
        <v/>
      </c>
      <c r="P456">
        <f>IF(OR($G456="",Sync!$W453=""),"",Sync!$W453)</f>
        <v/>
      </c>
      <c r="Q456">
        <f>IF(OR($G456="",Sync!$AE453=""),"",Sync!$AE453)</f>
        <v/>
      </c>
      <c r="R456">
        <f>IF($G456="","",IF(Sync!$V453="","0000",IF(AND(ISNUMBER(Sync!$V453),Sync!$V453&gt;=0,Sync!$V453&lt;1),RIGHT("00"&amp;HOUR(Sync!$V453),2)&amp;RIGHT("00"&amp;MINUTE(Sync!$V453),2),IFERROR(RIGHT("00"&amp;VALUE(LEFT(Sync!$V453,FIND(":",Sync!$V453)-1)),2)&amp;RIGHT("00"&amp;VALUE(MID(Sync!$V453,FIND(":",Sync!$V453)+1,2)),2),"0000"))))</f>
        <v/>
      </c>
    </row>
    <row r="457">
      <c r="A457">
        <f>IF(Sync!$U454="","",Sync!$U454)</f>
        <v/>
      </c>
      <c r="B457">
        <f>IF($A457="","",IF(ISNUMBER($A457),IF(AND($A457&gt;=10000101,$A457&lt;=99991231),INT($A457/10000),""),IFERROR(VALUE(TRIM(LEFT($A457,FIND("/",$A457)-1))),"")))</f>
        <v/>
      </c>
      <c r="C457">
        <f>IF(OR($A457="",$B457=""),"",IF(ISNUMBER($A457),INT(MOD($A457,10000)/100),IFERROR(VALUE(TRIM(LEFT(MID($A457,FIND("/",$A457)+1,20),FIND("/",MID($A457,FIND("/",$A457)+1,20))-1))),"")))</f>
        <v/>
      </c>
      <c r="D457">
        <f>IF(OR($A457="",$B457=""),"",IF(ISNUMBER($A457),MOD($A457,100),IFERROR(VALUE(TRIM(MID(MID($A457,FIND("/",$A457)+1,20),FIND("/",MID($A457,FIND("/",$A457)+1,20))+1,20))),"")))</f>
        <v/>
      </c>
      <c r="E457">
        <f>IF($A457="","",IF(OR($B457="",$C457="",$D457="",$B457&lt;1300,$B457&gt;1500,$C457&lt;1,$C457&gt;12,$D457&lt;1,$D457&gt;31),"نامعتبر",RIGHT("0000"&amp;$B457,4)&amp;"/"&amp;RIGHT("00"&amp;$C457,2)&amp;"/"&amp;RIGHT("00"&amp;$D457,2)))</f>
        <v/>
      </c>
      <c r="F457">
        <f>IF(OR($E457="",$E457="نامعتبر"),"",LEFT($E457,4)&amp;"/"&amp;MID($E457,6,2))</f>
        <v/>
      </c>
      <c r="G457">
        <f>IF(OR($E457="",$E457="نامعتبر",Sync!$Y454=""),"",Sync!$Y454)</f>
        <v/>
      </c>
      <c r="H457">
        <f>IF($G457="","",IF(Sync!$X454="","",Sync!$X454))</f>
        <v/>
      </c>
      <c r="I457">
        <f>IF($G457="","",IFERROR(VLOOKUP(Sync!$X454,OpTbl,3,0),""))</f>
        <v/>
      </c>
      <c r="J457">
        <f>IF(OR($G457="",Sync!$Z454=""),"",Sync!$Z454)</f>
        <v/>
      </c>
      <c r="K457">
        <f>IF(OR($G457="",Sync!$AA454=""),"",Sync!$AA454)</f>
        <v/>
      </c>
      <c r="L457">
        <f>IF($G457="",0,IF(Sync!$AB454="",0,Sync!$AB454))</f>
        <v/>
      </c>
      <c r="M457">
        <f>IF($G457="",0,IF(Sync!$AC454="",0,Sync!$AC454))</f>
        <v/>
      </c>
      <c r="N457">
        <f>IF($G457="","",IF($H457="مرجوعی خرید",-1,1)*($L457-$M457*IFERROR(VLOOKUP("P01",ParamTbl,3,0),1.5))*(1-IF($I457="خرید",IFERROR(VLOOKUP("P02",ParamTbl,3,0),1),0)/100))</f>
        <v/>
      </c>
      <c r="O457">
        <f>IF($G457="",0,IF($H457="مرجوعی خرید",-1,1)*IF(Sync!$AD454="",0,Sync!$AD454))</f>
        <v/>
      </c>
      <c r="P457">
        <f>IF(OR($G457="",Sync!$W454=""),"",Sync!$W454)</f>
        <v/>
      </c>
      <c r="Q457">
        <f>IF(OR($G457="",Sync!$AE454=""),"",Sync!$AE454)</f>
        <v/>
      </c>
      <c r="R457">
        <f>IF($G457="","",IF(Sync!$V454="","0000",IF(AND(ISNUMBER(Sync!$V454),Sync!$V454&gt;=0,Sync!$V454&lt;1),RIGHT("00"&amp;HOUR(Sync!$V454),2)&amp;RIGHT("00"&amp;MINUTE(Sync!$V454),2),IFERROR(RIGHT("00"&amp;VALUE(LEFT(Sync!$V454,FIND(":",Sync!$V454)-1)),2)&amp;RIGHT("00"&amp;VALUE(MID(Sync!$V454,FIND(":",Sync!$V454)+1,2)),2),"0000"))))</f>
        <v/>
      </c>
    </row>
    <row r="458">
      <c r="A458">
        <f>IF(Sync!$U455="","",Sync!$U455)</f>
        <v/>
      </c>
      <c r="B458">
        <f>IF($A458="","",IF(ISNUMBER($A458),IF(AND($A458&gt;=10000101,$A458&lt;=99991231),INT($A458/10000),""),IFERROR(VALUE(TRIM(LEFT($A458,FIND("/",$A458)-1))),"")))</f>
        <v/>
      </c>
      <c r="C458">
        <f>IF(OR($A458="",$B458=""),"",IF(ISNUMBER($A458),INT(MOD($A458,10000)/100),IFERROR(VALUE(TRIM(LEFT(MID($A458,FIND("/",$A458)+1,20),FIND("/",MID($A458,FIND("/",$A458)+1,20))-1))),"")))</f>
        <v/>
      </c>
      <c r="D458">
        <f>IF(OR($A458="",$B458=""),"",IF(ISNUMBER($A458),MOD($A458,100),IFERROR(VALUE(TRIM(MID(MID($A458,FIND("/",$A458)+1,20),FIND("/",MID($A458,FIND("/",$A458)+1,20))+1,20))),"")))</f>
        <v/>
      </c>
      <c r="E458">
        <f>IF($A458="","",IF(OR($B458="",$C458="",$D458="",$B458&lt;1300,$B458&gt;1500,$C458&lt;1,$C458&gt;12,$D458&lt;1,$D458&gt;31),"نامعتبر",RIGHT("0000"&amp;$B458,4)&amp;"/"&amp;RIGHT("00"&amp;$C458,2)&amp;"/"&amp;RIGHT("00"&amp;$D458,2)))</f>
        <v/>
      </c>
      <c r="F458">
        <f>IF(OR($E458="",$E458="نامعتبر"),"",LEFT($E458,4)&amp;"/"&amp;MID($E458,6,2))</f>
        <v/>
      </c>
      <c r="G458">
        <f>IF(OR($E458="",$E458="نامعتبر",Sync!$Y455=""),"",Sync!$Y455)</f>
        <v/>
      </c>
      <c r="H458">
        <f>IF($G458="","",IF(Sync!$X455="","",Sync!$X455))</f>
        <v/>
      </c>
      <c r="I458">
        <f>IF($G458="","",IFERROR(VLOOKUP(Sync!$X455,OpTbl,3,0),""))</f>
        <v/>
      </c>
      <c r="J458">
        <f>IF(OR($G458="",Sync!$Z455=""),"",Sync!$Z455)</f>
        <v/>
      </c>
      <c r="K458">
        <f>IF(OR($G458="",Sync!$AA455=""),"",Sync!$AA455)</f>
        <v/>
      </c>
      <c r="L458">
        <f>IF($G458="",0,IF(Sync!$AB455="",0,Sync!$AB455))</f>
        <v/>
      </c>
      <c r="M458">
        <f>IF($G458="",0,IF(Sync!$AC455="",0,Sync!$AC455))</f>
        <v/>
      </c>
      <c r="N458">
        <f>IF($G458="","",IF($H458="مرجوعی خرید",-1,1)*($L458-$M458*IFERROR(VLOOKUP("P01",ParamTbl,3,0),1.5))*(1-IF($I458="خرید",IFERROR(VLOOKUP("P02",ParamTbl,3,0),1),0)/100))</f>
        <v/>
      </c>
      <c r="O458">
        <f>IF($G458="",0,IF($H458="مرجوعی خرید",-1,1)*IF(Sync!$AD455="",0,Sync!$AD455))</f>
        <v/>
      </c>
      <c r="P458">
        <f>IF(OR($G458="",Sync!$W455=""),"",Sync!$W455)</f>
        <v/>
      </c>
      <c r="Q458">
        <f>IF(OR($G458="",Sync!$AE455=""),"",Sync!$AE455)</f>
        <v/>
      </c>
      <c r="R458">
        <f>IF($G458="","",IF(Sync!$V455="","0000",IF(AND(ISNUMBER(Sync!$V455),Sync!$V455&gt;=0,Sync!$V455&lt;1),RIGHT("00"&amp;HOUR(Sync!$V455),2)&amp;RIGHT("00"&amp;MINUTE(Sync!$V455),2),IFERROR(RIGHT("00"&amp;VALUE(LEFT(Sync!$V455,FIND(":",Sync!$V455)-1)),2)&amp;RIGHT("00"&amp;VALUE(MID(Sync!$V455,FIND(":",Sync!$V455)+1,2)),2),"0000"))))</f>
        <v/>
      </c>
    </row>
    <row r="459">
      <c r="A459">
        <f>IF(Sync!$U456="","",Sync!$U456)</f>
        <v/>
      </c>
      <c r="B459">
        <f>IF($A459="","",IF(ISNUMBER($A459),IF(AND($A459&gt;=10000101,$A459&lt;=99991231),INT($A459/10000),""),IFERROR(VALUE(TRIM(LEFT($A459,FIND("/",$A459)-1))),"")))</f>
        <v/>
      </c>
      <c r="C459">
        <f>IF(OR($A459="",$B459=""),"",IF(ISNUMBER($A459),INT(MOD($A459,10000)/100),IFERROR(VALUE(TRIM(LEFT(MID($A459,FIND("/",$A459)+1,20),FIND("/",MID($A459,FIND("/",$A459)+1,20))-1))),"")))</f>
        <v/>
      </c>
      <c r="D459">
        <f>IF(OR($A459="",$B459=""),"",IF(ISNUMBER($A459),MOD($A459,100),IFERROR(VALUE(TRIM(MID(MID($A459,FIND("/",$A459)+1,20),FIND("/",MID($A459,FIND("/",$A459)+1,20))+1,20))),"")))</f>
        <v/>
      </c>
      <c r="E459">
        <f>IF($A459="","",IF(OR($B459="",$C459="",$D459="",$B459&lt;1300,$B459&gt;1500,$C459&lt;1,$C459&gt;12,$D459&lt;1,$D459&gt;31),"نامعتبر",RIGHT("0000"&amp;$B459,4)&amp;"/"&amp;RIGHT("00"&amp;$C459,2)&amp;"/"&amp;RIGHT("00"&amp;$D459,2)))</f>
        <v/>
      </c>
      <c r="F459">
        <f>IF(OR($E459="",$E459="نامعتبر"),"",LEFT($E459,4)&amp;"/"&amp;MID($E459,6,2))</f>
        <v/>
      </c>
      <c r="G459">
        <f>IF(OR($E459="",$E459="نامعتبر",Sync!$Y456=""),"",Sync!$Y456)</f>
        <v/>
      </c>
      <c r="H459">
        <f>IF($G459="","",IF(Sync!$X456="","",Sync!$X456))</f>
        <v/>
      </c>
      <c r="I459">
        <f>IF($G459="","",IFERROR(VLOOKUP(Sync!$X456,OpTbl,3,0),""))</f>
        <v/>
      </c>
      <c r="J459">
        <f>IF(OR($G459="",Sync!$Z456=""),"",Sync!$Z456)</f>
        <v/>
      </c>
      <c r="K459">
        <f>IF(OR($G459="",Sync!$AA456=""),"",Sync!$AA456)</f>
        <v/>
      </c>
      <c r="L459">
        <f>IF($G459="",0,IF(Sync!$AB456="",0,Sync!$AB456))</f>
        <v/>
      </c>
      <c r="M459">
        <f>IF($G459="",0,IF(Sync!$AC456="",0,Sync!$AC456))</f>
        <v/>
      </c>
      <c r="N459">
        <f>IF($G459="","",IF($H459="مرجوعی خرید",-1,1)*($L459-$M459*IFERROR(VLOOKUP("P01",ParamTbl,3,0),1.5))*(1-IF($I459="خرید",IFERROR(VLOOKUP("P02",ParamTbl,3,0),1),0)/100))</f>
        <v/>
      </c>
      <c r="O459">
        <f>IF($G459="",0,IF($H459="مرجوعی خرید",-1,1)*IF(Sync!$AD456="",0,Sync!$AD456))</f>
        <v/>
      </c>
      <c r="P459">
        <f>IF(OR($G459="",Sync!$W456=""),"",Sync!$W456)</f>
        <v/>
      </c>
      <c r="Q459">
        <f>IF(OR($G459="",Sync!$AE456=""),"",Sync!$AE456)</f>
        <v/>
      </c>
      <c r="R459">
        <f>IF($G459="","",IF(Sync!$V456="","0000",IF(AND(ISNUMBER(Sync!$V456),Sync!$V456&gt;=0,Sync!$V456&lt;1),RIGHT("00"&amp;HOUR(Sync!$V456),2)&amp;RIGHT("00"&amp;MINUTE(Sync!$V456),2),IFERROR(RIGHT("00"&amp;VALUE(LEFT(Sync!$V456,FIND(":",Sync!$V456)-1)),2)&amp;RIGHT("00"&amp;VALUE(MID(Sync!$V456,FIND(":",Sync!$V456)+1,2)),2),"0000"))))</f>
        <v/>
      </c>
    </row>
    <row r="460">
      <c r="A460">
        <f>IF(Sync!$U457="","",Sync!$U457)</f>
        <v/>
      </c>
      <c r="B460">
        <f>IF($A460="","",IF(ISNUMBER($A460),IF(AND($A460&gt;=10000101,$A460&lt;=99991231),INT($A460/10000),""),IFERROR(VALUE(TRIM(LEFT($A460,FIND("/",$A460)-1))),"")))</f>
        <v/>
      </c>
      <c r="C460">
        <f>IF(OR($A460="",$B460=""),"",IF(ISNUMBER($A460),INT(MOD($A460,10000)/100),IFERROR(VALUE(TRIM(LEFT(MID($A460,FIND("/",$A460)+1,20),FIND("/",MID($A460,FIND("/",$A460)+1,20))-1))),"")))</f>
        <v/>
      </c>
      <c r="D460">
        <f>IF(OR($A460="",$B460=""),"",IF(ISNUMBER($A460),MOD($A460,100),IFERROR(VALUE(TRIM(MID(MID($A460,FIND("/",$A460)+1,20),FIND("/",MID($A460,FIND("/",$A460)+1,20))+1,20))),"")))</f>
        <v/>
      </c>
      <c r="E460">
        <f>IF($A460="","",IF(OR($B460="",$C460="",$D460="",$B460&lt;1300,$B460&gt;1500,$C460&lt;1,$C460&gt;12,$D460&lt;1,$D460&gt;31),"نامعتبر",RIGHT("0000"&amp;$B460,4)&amp;"/"&amp;RIGHT("00"&amp;$C460,2)&amp;"/"&amp;RIGHT("00"&amp;$D460,2)))</f>
        <v/>
      </c>
      <c r="F460">
        <f>IF(OR($E460="",$E460="نامعتبر"),"",LEFT($E460,4)&amp;"/"&amp;MID($E460,6,2))</f>
        <v/>
      </c>
      <c r="G460">
        <f>IF(OR($E460="",$E460="نامعتبر",Sync!$Y457=""),"",Sync!$Y457)</f>
        <v/>
      </c>
      <c r="H460">
        <f>IF($G460="","",IF(Sync!$X457="","",Sync!$X457))</f>
        <v/>
      </c>
      <c r="I460">
        <f>IF($G460="","",IFERROR(VLOOKUP(Sync!$X457,OpTbl,3,0),""))</f>
        <v/>
      </c>
      <c r="J460">
        <f>IF(OR($G460="",Sync!$Z457=""),"",Sync!$Z457)</f>
        <v/>
      </c>
      <c r="K460">
        <f>IF(OR($G460="",Sync!$AA457=""),"",Sync!$AA457)</f>
        <v/>
      </c>
      <c r="L460">
        <f>IF($G460="",0,IF(Sync!$AB457="",0,Sync!$AB457))</f>
        <v/>
      </c>
      <c r="M460">
        <f>IF($G460="",0,IF(Sync!$AC457="",0,Sync!$AC457))</f>
        <v/>
      </c>
      <c r="N460">
        <f>IF($G460="","",IF($H460="مرجوعی خرید",-1,1)*($L460-$M460*IFERROR(VLOOKUP("P01",ParamTbl,3,0),1.5))*(1-IF($I460="خرید",IFERROR(VLOOKUP("P02",ParamTbl,3,0),1),0)/100))</f>
        <v/>
      </c>
      <c r="O460">
        <f>IF($G460="",0,IF($H460="مرجوعی خرید",-1,1)*IF(Sync!$AD457="",0,Sync!$AD457))</f>
        <v/>
      </c>
      <c r="P460">
        <f>IF(OR($G460="",Sync!$W457=""),"",Sync!$W457)</f>
        <v/>
      </c>
      <c r="Q460">
        <f>IF(OR($G460="",Sync!$AE457=""),"",Sync!$AE457)</f>
        <v/>
      </c>
      <c r="R460">
        <f>IF($G460="","",IF(Sync!$V457="","0000",IF(AND(ISNUMBER(Sync!$V457),Sync!$V457&gt;=0,Sync!$V457&lt;1),RIGHT("00"&amp;HOUR(Sync!$V457),2)&amp;RIGHT("00"&amp;MINUTE(Sync!$V457),2),IFERROR(RIGHT("00"&amp;VALUE(LEFT(Sync!$V457,FIND(":",Sync!$V457)-1)),2)&amp;RIGHT("00"&amp;VALUE(MID(Sync!$V457,FIND(":",Sync!$V457)+1,2)),2),"0000"))))</f>
        <v/>
      </c>
    </row>
    <row r="461">
      <c r="A461">
        <f>IF(Sync!$U458="","",Sync!$U458)</f>
        <v/>
      </c>
      <c r="B461">
        <f>IF($A461="","",IF(ISNUMBER($A461),IF(AND($A461&gt;=10000101,$A461&lt;=99991231),INT($A461/10000),""),IFERROR(VALUE(TRIM(LEFT($A461,FIND("/",$A461)-1))),"")))</f>
        <v/>
      </c>
      <c r="C461">
        <f>IF(OR($A461="",$B461=""),"",IF(ISNUMBER($A461),INT(MOD($A461,10000)/100),IFERROR(VALUE(TRIM(LEFT(MID($A461,FIND("/",$A461)+1,20),FIND("/",MID($A461,FIND("/",$A461)+1,20))-1))),"")))</f>
        <v/>
      </c>
      <c r="D461">
        <f>IF(OR($A461="",$B461=""),"",IF(ISNUMBER($A461),MOD($A461,100),IFERROR(VALUE(TRIM(MID(MID($A461,FIND("/",$A461)+1,20),FIND("/",MID($A461,FIND("/",$A461)+1,20))+1,20))),"")))</f>
        <v/>
      </c>
      <c r="E461">
        <f>IF($A461="","",IF(OR($B461="",$C461="",$D461="",$B461&lt;1300,$B461&gt;1500,$C461&lt;1,$C461&gt;12,$D461&lt;1,$D461&gt;31),"نامعتبر",RIGHT("0000"&amp;$B461,4)&amp;"/"&amp;RIGHT("00"&amp;$C461,2)&amp;"/"&amp;RIGHT("00"&amp;$D461,2)))</f>
        <v/>
      </c>
      <c r="F461">
        <f>IF(OR($E461="",$E461="نامعتبر"),"",LEFT($E461,4)&amp;"/"&amp;MID($E461,6,2))</f>
        <v/>
      </c>
      <c r="G461">
        <f>IF(OR($E461="",$E461="نامعتبر",Sync!$Y458=""),"",Sync!$Y458)</f>
        <v/>
      </c>
      <c r="H461">
        <f>IF($G461="","",IF(Sync!$X458="","",Sync!$X458))</f>
        <v/>
      </c>
      <c r="I461">
        <f>IF($G461="","",IFERROR(VLOOKUP(Sync!$X458,OpTbl,3,0),""))</f>
        <v/>
      </c>
      <c r="J461">
        <f>IF(OR($G461="",Sync!$Z458=""),"",Sync!$Z458)</f>
        <v/>
      </c>
      <c r="K461">
        <f>IF(OR($G461="",Sync!$AA458=""),"",Sync!$AA458)</f>
        <v/>
      </c>
      <c r="L461">
        <f>IF($G461="",0,IF(Sync!$AB458="",0,Sync!$AB458))</f>
        <v/>
      </c>
      <c r="M461">
        <f>IF($G461="",0,IF(Sync!$AC458="",0,Sync!$AC458))</f>
        <v/>
      </c>
      <c r="N461">
        <f>IF($G461="","",IF($H461="مرجوعی خرید",-1,1)*($L461-$M461*IFERROR(VLOOKUP("P01",ParamTbl,3,0),1.5))*(1-IF($I461="خرید",IFERROR(VLOOKUP("P02",ParamTbl,3,0),1),0)/100))</f>
        <v/>
      </c>
      <c r="O461">
        <f>IF($G461="",0,IF($H461="مرجوعی خرید",-1,1)*IF(Sync!$AD458="",0,Sync!$AD458))</f>
        <v/>
      </c>
      <c r="P461">
        <f>IF(OR($G461="",Sync!$W458=""),"",Sync!$W458)</f>
        <v/>
      </c>
      <c r="Q461">
        <f>IF(OR($G461="",Sync!$AE458=""),"",Sync!$AE458)</f>
        <v/>
      </c>
      <c r="R461">
        <f>IF($G461="","",IF(Sync!$V458="","0000",IF(AND(ISNUMBER(Sync!$V458),Sync!$V458&gt;=0,Sync!$V458&lt;1),RIGHT("00"&amp;HOUR(Sync!$V458),2)&amp;RIGHT("00"&amp;MINUTE(Sync!$V458),2),IFERROR(RIGHT("00"&amp;VALUE(LEFT(Sync!$V458,FIND(":",Sync!$V458)-1)),2)&amp;RIGHT("00"&amp;VALUE(MID(Sync!$V458,FIND(":",Sync!$V458)+1,2)),2),"0000"))))</f>
        <v/>
      </c>
    </row>
    <row r="462">
      <c r="A462">
        <f>IF(Sync!$U459="","",Sync!$U459)</f>
        <v/>
      </c>
      <c r="B462">
        <f>IF($A462="","",IF(ISNUMBER($A462),IF(AND($A462&gt;=10000101,$A462&lt;=99991231),INT($A462/10000),""),IFERROR(VALUE(TRIM(LEFT($A462,FIND("/",$A462)-1))),"")))</f>
        <v/>
      </c>
      <c r="C462">
        <f>IF(OR($A462="",$B462=""),"",IF(ISNUMBER($A462),INT(MOD($A462,10000)/100),IFERROR(VALUE(TRIM(LEFT(MID($A462,FIND("/",$A462)+1,20),FIND("/",MID($A462,FIND("/",$A462)+1,20))-1))),"")))</f>
        <v/>
      </c>
      <c r="D462">
        <f>IF(OR($A462="",$B462=""),"",IF(ISNUMBER($A462),MOD($A462,100),IFERROR(VALUE(TRIM(MID(MID($A462,FIND("/",$A462)+1,20),FIND("/",MID($A462,FIND("/",$A462)+1,20))+1,20))),"")))</f>
        <v/>
      </c>
      <c r="E462">
        <f>IF($A462="","",IF(OR($B462="",$C462="",$D462="",$B462&lt;1300,$B462&gt;1500,$C462&lt;1,$C462&gt;12,$D462&lt;1,$D462&gt;31),"نامعتبر",RIGHT("0000"&amp;$B462,4)&amp;"/"&amp;RIGHT("00"&amp;$C462,2)&amp;"/"&amp;RIGHT("00"&amp;$D462,2)))</f>
        <v/>
      </c>
      <c r="F462">
        <f>IF(OR($E462="",$E462="نامعتبر"),"",LEFT($E462,4)&amp;"/"&amp;MID($E462,6,2))</f>
        <v/>
      </c>
      <c r="G462">
        <f>IF(OR($E462="",$E462="نامعتبر",Sync!$Y459=""),"",Sync!$Y459)</f>
        <v/>
      </c>
      <c r="H462">
        <f>IF($G462="","",IF(Sync!$X459="","",Sync!$X459))</f>
        <v/>
      </c>
      <c r="I462">
        <f>IF($G462="","",IFERROR(VLOOKUP(Sync!$X459,OpTbl,3,0),""))</f>
        <v/>
      </c>
      <c r="J462">
        <f>IF(OR($G462="",Sync!$Z459=""),"",Sync!$Z459)</f>
        <v/>
      </c>
      <c r="K462">
        <f>IF(OR($G462="",Sync!$AA459=""),"",Sync!$AA459)</f>
        <v/>
      </c>
      <c r="L462">
        <f>IF($G462="",0,IF(Sync!$AB459="",0,Sync!$AB459))</f>
        <v/>
      </c>
      <c r="M462">
        <f>IF($G462="",0,IF(Sync!$AC459="",0,Sync!$AC459))</f>
        <v/>
      </c>
      <c r="N462">
        <f>IF($G462="","",IF($H462="مرجوعی خرید",-1,1)*($L462-$M462*IFERROR(VLOOKUP("P01",ParamTbl,3,0),1.5))*(1-IF($I462="خرید",IFERROR(VLOOKUP("P02",ParamTbl,3,0),1),0)/100))</f>
        <v/>
      </c>
      <c r="O462">
        <f>IF($G462="",0,IF($H462="مرجوعی خرید",-1,1)*IF(Sync!$AD459="",0,Sync!$AD459))</f>
        <v/>
      </c>
      <c r="P462">
        <f>IF(OR($G462="",Sync!$W459=""),"",Sync!$W459)</f>
        <v/>
      </c>
      <c r="Q462">
        <f>IF(OR($G462="",Sync!$AE459=""),"",Sync!$AE459)</f>
        <v/>
      </c>
      <c r="R462">
        <f>IF($G462="","",IF(Sync!$V459="","0000",IF(AND(ISNUMBER(Sync!$V459),Sync!$V459&gt;=0,Sync!$V459&lt;1),RIGHT("00"&amp;HOUR(Sync!$V459),2)&amp;RIGHT("00"&amp;MINUTE(Sync!$V459),2),IFERROR(RIGHT("00"&amp;VALUE(LEFT(Sync!$V459,FIND(":",Sync!$V459)-1)),2)&amp;RIGHT("00"&amp;VALUE(MID(Sync!$V459,FIND(":",Sync!$V459)+1,2)),2),"0000"))))</f>
        <v/>
      </c>
    </row>
    <row r="463">
      <c r="A463">
        <f>IF(Sync!$U460="","",Sync!$U460)</f>
        <v/>
      </c>
      <c r="B463">
        <f>IF($A463="","",IF(ISNUMBER($A463),IF(AND($A463&gt;=10000101,$A463&lt;=99991231),INT($A463/10000),""),IFERROR(VALUE(TRIM(LEFT($A463,FIND("/",$A463)-1))),"")))</f>
        <v/>
      </c>
      <c r="C463">
        <f>IF(OR($A463="",$B463=""),"",IF(ISNUMBER($A463),INT(MOD($A463,10000)/100),IFERROR(VALUE(TRIM(LEFT(MID($A463,FIND("/",$A463)+1,20),FIND("/",MID($A463,FIND("/",$A463)+1,20))-1))),"")))</f>
        <v/>
      </c>
      <c r="D463">
        <f>IF(OR($A463="",$B463=""),"",IF(ISNUMBER($A463),MOD($A463,100),IFERROR(VALUE(TRIM(MID(MID($A463,FIND("/",$A463)+1,20),FIND("/",MID($A463,FIND("/",$A463)+1,20))+1,20))),"")))</f>
        <v/>
      </c>
      <c r="E463">
        <f>IF($A463="","",IF(OR($B463="",$C463="",$D463="",$B463&lt;1300,$B463&gt;1500,$C463&lt;1,$C463&gt;12,$D463&lt;1,$D463&gt;31),"نامعتبر",RIGHT("0000"&amp;$B463,4)&amp;"/"&amp;RIGHT("00"&amp;$C463,2)&amp;"/"&amp;RIGHT("00"&amp;$D463,2)))</f>
        <v/>
      </c>
      <c r="F463">
        <f>IF(OR($E463="",$E463="نامعتبر"),"",LEFT($E463,4)&amp;"/"&amp;MID($E463,6,2))</f>
        <v/>
      </c>
      <c r="G463">
        <f>IF(OR($E463="",$E463="نامعتبر",Sync!$Y460=""),"",Sync!$Y460)</f>
        <v/>
      </c>
      <c r="H463">
        <f>IF($G463="","",IF(Sync!$X460="","",Sync!$X460))</f>
        <v/>
      </c>
      <c r="I463">
        <f>IF($G463="","",IFERROR(VLOOKUP(Sync!$X460,OpTbl,3,0),""))</f>
        <v/>
      </c>
      <c r="J463">
        <f>IF(OR($G463="",Sync!$Z460=""),"",Sync!$Z460)</f>
        <v/>
      </c>
      <c r="K463">
        <f>IF(OR($G463="",Sync!$AA460=""),"",Sync!$AA460)</f>
        <v/>
      </c>
      <c r="L463">
        <f>IF($G463="",0,IF(Sync!$AB460="",0,Sync!$AB460))</f>
        <v/>
      </c>
      <c r="M463">
        <f>IF($G463="",0,IF(Sync!$AC460="",0,Sync!$AC460))</f>
        <v/>
      </c>
      <c r="N463">
        <f>IF($G463="","",IF($H463="مرجوعی خرید",-1,1)*($L463-$M463*IFERROR(VLOOKUP("P01",ParamTbl,3,0),1.5))*(1-IF($I463="خرید",IFERROR(VLOOKUP("P02",ParamTbl,3,0),1),0)/100))</f>
        <v/>
      </c>
      <c r="O463">
        <f>IF($G463="",0,IF($H463="مرجوعی خرید",-1,1)*IF(Sync!$AD460="",0,Sync!$AD460))</f>
        <v/>
      </c>
      <c r="P463">
        <f>IF(OR($G463="",Sync!$W460=""),"",Sync!$W460)</f>
        <v/>
      </c>
      <c r="Q463">
        <f>IF(OR($G463="",Sync!$AE460=""),"",Sync!$AE460)</f>
        <v/>
      </c>
      <c r="R463">
        <f>IF($G463="","",IF(Sync!$V460="","0000",IF(AND(ISNUMBER(Sync!$V460),Sync!$V460&gt;=0,Sync!$V460&lt;1),RIGHT("00"&amp;HOUR(Sync!$V460),2)&amp;RIGHT("00"&amp;MINUTE(Sync!$V460),2),IFERROR(RIGHT("00"&amp;VALUE(LEFT(Sync!$V460,FIND(":",Sync!$V460)-1)),2)&amp;RIGHT("00"&amp;VALUE(MID(Sync!$V460,FIND(":",Sync!$V460)+1,2)),2),"0000"))))</f>
        <v/>
      </c>
    </row>
    <row r="464">
      <c r="A464">
        <f>IF(Sync!$U461="","",Sync!$U461)</f>
        <v/>
      </c>
      <c r="B464">
        <f>IF($A464="","",IF(ISNUMBER($A464),IF(AND($A464&gt;=10000101,$A464&lt;=99991231),INT($A464/10000),""),IFERROR(VALUE(TRIM(LEFT($A464,FIND("/",$A464)-1))),"")))</f>
        <v/>
      </c>
      <c r="C464">
        <f>IF(OR($A464="",$B464=""),"",IF(ISNUMBER($A464),INT(MOD($A464,10000)/100),IFERROR(VALUE(TRIM(LEFT(MID($A464,FIND("/",$A464)+1,20),FIND("/",MID($A464,FIND("/",$A464)+1,20))-1))),"")))</f>
        <v/>
      </c>
      <c r="D464">
        <f>IF(OR($A464="",$B464=""),"",IF(ISNUMBER($A464),MOD($A464,100),IFERROR(VALUE(TRIM(MID(MID($A464,FIND("/",$A464)+1,20),FIND("/",MID($A464,FIND("/",$A464)+1,20))+1,20))),"")))</f>
        <v/>
      </c>
      <c r="E464">
        <f>IF($A464="","",IF(OR($B464="",$C464="",$D464="",$B464&lt;1300,$B464&gt;1500,$C464&lt;1,$C464&gt;12,$D464&lt;1,$D464&gt;31),"نامعتبر",RIGHT("0000"&amp;$B464,4)&amp;"/"&amp;RIGHT("00"&amp;$C464,2)&amp;"/"&amp;RIGHT("00"&amp;$D464,2)))</f>
        <v/>
      </c>
      <c r="F464">
        <f>IF(OR($E464="",$E464="نامعتبر"),"",LEFT($E464,4)&amp;"/"&amp;MID($E464,6,2))</f>
        <v/>
      </c>
      <c r="G464">
        <f>IF(OR($E464="",$E464="نامعتبر",Sync!$Y461=""),"",Sync!$Y461)</f>
        <v/>
      </c>
      <c r="H464">
        <f>IF($G464="","",IF(Sync!$X461="","",Sync!$X461))</f>
        <v/>
      </c>
      <c r="I464">
        <f>IF($G464="","",IFERROR(VLOOKUP(Sync!$X461,OpTbl,3,0),""))</f>
        <v/>
      </c>
      <c r="J464">
        <f>IF(OR($G464="",Sync!$Z461=""),"",Sync!$Z461)</f>
        <v/>
      </c>
      <c r="K464">
        <f>IF(OR($G464="",Sync!$AA461=""),"",Sync!$AA461)</f>
        <v/>
      </c>
      <c r="L464">
        <f>IF($G464="",0,IF(Sync!$AB461="",0,Sync!$AB461))</f>
        <v/>
      </c>
      <c r="M464">
        <f>IF($G464="",0,IF(Sync!$AC461="",0,Sync!$AC461))</f>
        <v/>
      </c>
      <c r="N464">
        <f>IF($G464="","",IF($H464="مرجوعی خرید",-1,1)*($L464-$M464*IFERROR(VLOOKUP("P01",ParamTbl,3,0),1.5))*(1-IF($I464="خرید",IFERROR(VLOOKUP("P02",ParamTbl,3,0),1),0)/100))</f>
        <v/>
      </c>
      <c r="O464">
        <f>IF($G464="",0,IF($H464="مرجوعی خرید",-1,1)*IF(Sync!$AD461="",0,Sync!$AD461))</f>
        <v/>
      </c>
      <c r="P464">
        <f>IF(OR($G464="",Sync!$W461=""),"",Sync!$W461)</f>
        <v/>
      </c>
      <c r="Q464">
        <f>IF(OR($G464="",Sync!$AE461=""),"",Sync!$AE461)</f>
        <v/>
      </c>
      <c r="R464">
        <f>IF($G464="","",IF(Sync!$V461="","0000",IF(AND(ISNUMBER(Sync!$V461),Sync!$V461&gt;=0,Sync!$V461&lt;1),RIGHT("00"&amp;HOUR(Sync!$V461),2)&amp;RIGHT("00"&amp;MINUTE(Sync!$V461),2),IFERROR(RIGHT("00"&amp;VALUE(LEFT(Sync!$V461,FIND(":",Sync!$V461)-1)),2)&amp;RIGHT("00"&amp;VALUE(MID(Sync!$V461,FIND(":",Sync!$V461)+1,2)),2),"0000"))))</f>
        <v/>
      </c>
    </row>
    <row r="465">
      <c r="A465">
        <f>IF(Sync!$U462="","",Sync!$U462)</f>
        <v/>
      </c>
      <c r="B465">
        <f>IF($A465="","",IF(ISNUMBER($A465),IF(AND($A465&gt;=10000101,$A465&lt;=99991231),INT($A465/10000),""),IFERROR(VALUE(TRIM(LEFT($A465,FIND("/",$A465)-1))),"")))</f>
        <v/>
      </c>
      <c r="C465">
        <f>IF(OR($A465="",$B465=""),"",IF(ISNUMBER($A465),INT(MOD($A465,10000)/100),IFERROR(VALUE(TRIM(LEFT(MID($A465,FIND("/",$A465)+1,20),FIND("/",MID($A465,FIND("/",$A465)+1,20))-1))),"")))</f>
        <v/>
      </c>
      <c r="D465">
        <f>IF(OR($A465="",$B465=""),"",IF(ISNUMBER($A465),MOD($A465,100),IFERROR(VALUE(TRIM(MID(MID($A465,FIND("/",$A465)+1,20),FIND("/",MID($A465,FIND("/",$A465)+1,20))+1,20))),"")))</f>
        <v/>
      </c>
      <c r="E465">
        <f>IF($A465="","",IF(OR($B465="",$C465="",$D465="",$B465&lt;1300,$B465&gt;1500,$C465&lt;1,$C465&gt;12,$D465&lt;1,$D465&gt;31),"نامعتبر",RIGHT("0000"&amp;$B465,4)&amp;"/"&amp;RIGHT("00"&amp;$C465,2)&amp;"/"&amp;RIGHT("00"&amp;$D465,2)))</f>
        <v/>
      </c>
      <c r="F465">
        <f>IF(OR($E465="",$E465="نامعتبر"),"",LEFT($E465,4)&amp;"/"&amp;MID($E465,6,2))</f>
        <v/>
      </c>
      <c r="G465">
        <f>IF(OR($E465="",$E465="نامعتبر",Sync!$Y462=""),"",Sync!$Y462)</f>
        <v/>
      </c>
      <c r="H465">
        <f>IF($G465="","",IF(Sync!$X462="","",Sync!$X462))</f>
        <v/>
      </c>
      <c r="I465">
        <f>IF($G465="","",IFERROR(VLOOKUP(Sync!$X462,OpTbl,3,0),""))</f>
        <v/>
      </c>
      <c r="J465">
        <f>IF(OR($G465="",Sync!$Z462=""),"",Sync!$Z462)</f>
        <v/>
      </c>
      <c r="K465">
        <f>IF(OR($G465="",Sync!$AA462=""),"",Sync!$AA462)</f>
        <v/>
      </c>
      <c r="L465">
        <f>IF($G465="",0,IF(Sync!$AB462="",0,Sync!$AB462))</f>
        <v/>
      </c>
      <c r="M465">
        <f>IF($G465="",0,IF(Sync!$AC462="",0,Sync!$AC462))</f>
        <v/>
      </c>
      <c r="N465">
        <f>IF($G465="","",IF($H465="مرجوعی خرید",-1,1)*($L465-$M465*IFERROR(VLOOKUP("P01",ParamTbl,3,0),1.5))*(1-IF($I465="خرید",IFERROR(VLOOKUP("P02",ParamTbl,3,0),1),0)/100))</f>
        <v/>
      </c>
      <c r="O465">
        <f>IF($G465="",0,IF($H465="مرجوعی خرید",-1,1)*IF(Sync!$AD462="",0,Sync!$AD462))</f>
        <v/>
      </c>
      <c r="P465">
        <f>IF(OR($G465="",Sync!$W462=""),"",Sync!$W462)</f>
        <v/>
      </c>
      <c r="Q465">
        <f>IF(OR($G465="",Sync!$AE462=""),"",Sync!$AE462)</f>
        <v/>
      </c>
      <c r="R465">
        <f>IF($G465="","",IF(Sync!$V462="","0000",IF(AND(ISNUMBER(Sync!$V462),Sync!$V462&gt;=0,Sync!$V462&lt;1),RIGHT("00"&amp;HOUR(Sync!$V462),2)&amp;RIGHT("00"&amp;MINUTE(Sync!$V462),2),IFERROR(RIGHT("00"&amp;VALUE(LEFT(Sync!$V462,FIND(":",Sync!$V462)-1)),2)&amp;RIGHT("00"&amp;VALUE(MID(Sync!$V462,FIND(":",Sync!$V462)+1,2)),2),"0000"))))</f>
        <v/>
      </c>
    </row>
    <row r="466">
      <c r="A466">
        <f>IF(Sync!$U463="","",Sync!$U463)</f>
        <v/>
      </c>
      <c r="B466">
        <f>IF($A466="","",IF(ISNUMBER($A466),IF(AND($A466&gt;=10000101,$A466&lt;=99991231),INT($A466/10000),""),IFERROR(VALUE(TRIM(LEFT($A466,FIND("/",$A466)-1))),"")))</f>
        <v/>
      </c>
      <c r="C466">
        <f>IF(OR($A466="",$B466=""),"",IF(ISNUMBER($A466),INT(MOD($A466,10000)/100),IFERROR(VALUE(TRIM(LEFT(MID($A466,FIND("/",$A466)+1,20),FIND("/",MID($A466,FIND("/",$A466)+1,20))-1))),"")))</f>
        <v/>
      </c>
      <c r="D466">
        <f>IF(OR($A466="",$B466=""),"",IF(ISNUMBER($A466),MOD($A466,100),IFERROR(VALUE(TRIM(MID(MID($A466,FIND("/",$A466)+1,20),FIND("/",MID($A466,FIND("/",$A466)+1,20))+1,20))),"")))</f>
        <v/>
      </c>
      <c r="E466">
        <f>IF($A466="","",IF(OR($B466="",$C466="",$D466="",$B466&lt;1300,$B466&gt;1500,$C466&lt;1,$C466&gt;12,$D466&lt;1,$D466&gt;31),"نامعتبر",RIGHT("0000"&amp;$B466,4)&amp;"/"&amp;RIGHT("00"&amp;$C466,2)&amp;"/"&amp;RIGHT("00"&amp;$D466,2)))</f>
        <v/>
      </c>
      <c r="F466">
        <f>IF(OR($E466="",$E466="نامعتبر"),"",LEFT($E466,4)&amp;"/"&amp;MID($E466,6,2))</f>
        <v/>
      </c>
      <c r="G466">
        <f>IF(OR($E466="",$E466="نامعتبر",Sync!$Y463=""),"",Sync!$Y463)</f>
        <v/>
      </c>
      <c r="H466">
        <f>IF($G466="","",IF(Sync!$X463="","",Sync!$X463))</f>
        <v/>
      </c>
      <c r="I466">
        <f>IF($G466="","",IFERROR(VLOOKUP(Sync!$X463,OpTbl,3,0),""))</f>
        <v/>
      </c>
      <c r="J466">
        <f>IF(OR($G466="",Sync!$Z463=""),"",Sync!$Z463)</f>
        <v/>
      </c>
      <c r="K466">
        <f>IF(OR($G466="",Sync!$AA463=""),"",Sync!$AA463)</f>
        <v/>
      </c>
      <c r="L466">
        <f>IF($G466="",0,IF(Sync!$AB463="",0,Sync!$AB463))</f>
        <v/>
      </c>
      <c r="M466">
        <f>IF($G466="",0,IF(Sync!$AC463="",0,Sync!$AC463))</f>
        <v/>
      </c>
      <c r="N466">
        <f>IF($G466="","",IF($H466="مرجوعی خرید",-1,1)*($L466-$M466*IFERROR(VLOOKUP("P01",ParamTbl,3,0),1.5))*(1-IF($I466="خرید",IFERROR(VLOOKUP("P02",ParamTbl,3,0),1),0)/100))</f>
        <v/>
      </c>
      <c r="O466">
        <f>IF($G466="",0,IF($H466="مرجوعی خرید",-1,1)*IF(Sync!$AD463="",0,Sync!$AD463))</f>
        <v/>
      </c>
      <c r="P466">
        <f>IF(OR($G466="",Sync!$W463=""),"",Sync!$W463)</f>
        <v/>
      </c>
      <c r="Q466">
        <f>IF(OR($G466="",Sync!$AE463=""),"",Sync!$AE463)</f>
        <v/>
      </c>
      <c r="R466">
        <f>IF($G466="","",IF(Sync!$V463="","0000",IF(AND(ISNUMBER(Sync!$V463),Sync!$V463&gt;=0,Sync!$V463&lt;1),RIGHT("00"&amp;HOUR(Sync!$V463),2)&amp;RIGHT("00"&amp;MINUTE(Sync!$V463),2),IFERROR(RIGHT("00"&amp;VALUE(LEFT(Sync!$V463,FIND(":",Sync!$V463)-1)),2)&amp;RIGHT("00"&amp;VALUE(MID(Sync!$V463,FIND(":",Sync!$V463)+1,2)),2),"0000"))))</f>
        <v/>
      </c>
    </row>
    <row r="467">
      <c r="A467">
        <f>IF(Sync!$U464="","",Sync!$U464)</f>
        <v/>
      </c>
      <c r="B467">
        <f>IF($A467="","",IF(ISNUMBER($A467),IF(AND($A467&gt;=10000101,$A467&lt;=99991231),INT($A467/10000),""),IFERROR(VALUE(TRIM(LEFT($A467,FIND("/",$A467)-1))),"")))</f>
        <v/>
      </c>
      <c r="C467">
        <f>IF(OR($A467="",$B467=""),"",IF(ISNUMBER($A467),INT(MOD($A467,10000)/100),IFERROR(VALUE(TRIM(LEFT(MID($A467,FIND("/",$A467)+1,20),FIND("/",MID($A467,FIND("/",$A467)+1,20))-1))),"")))</f>
        <v/>
      </c>
      <c r="D467">
        <f>IF(OR($A467="",$B467=""),"",IF(ISNUMBER($A467),MOD($A467,100),IFERROR(VALUE(TRIM(MID(MID($A467,FIND("/",$A467)+1,20),FIND("/",MID($A467,FIND("/",$A467)+1,20))+1,20))),"")))</f>
        <v/>
      </c>
      <c r="E467">
        <f>IF($A467="","",IF(OR($B467="",$C467="",$D467="",$B467&lt;1300,$B467&gt;1500,$C467&lt;1,$C467&gt;12,$D467&lt;1,$D467&gt;31),"نامعتبر",RIGHT("0000"&amp;$B467,4)&amp;"/"&amp;RIGHT("00"&amp;$C467,2)&amp;"/"&amp;RIGHT("00"&amp;$D467,2)))</f>
        <v/>
      </c>
      <c r="F467">
        <f>IF(OR($E467="",$E467="نامعتبر"),"",LEFT($E467,4)&amp;"/"&amp;MID($E467,6,2))</f>
        <v/>
      </c>
      <c r="G467">
        <f>IF(OR($E467="",$E467="نامعتبر",Sync!$Y464=""),"",Sync!$Y464)</f>
        <v/>
      </c>
      <c r="H467">
        <f>IF($G467="","",IF(Sync!$X464="","",Sync!$X464))</f>
        <v/>
      </c>
      <c r="I467">
        <f>IF($G467="","",IFERROR(VLOOKUP(Sync!$X464,OpTbl,3,0),""))</f>
        <v/>
      </c>
      <c r="J467">
        <f>IF(OR($G467="",Sync!$Z464=""),"",Sync!$Z464)</f>
        <v/>
      </c>
      <c r="K467">
        <f>IF(OR($G467="",Sync!$AA464=""),"",Sync!$AA464)</f>
        <v/>
      </c>
      <c r="L467">
        <f>IF($G467="",0,IF(Sync!$AB464="",0,Sync!$AB464))</f>
        <v/>
      </c>
      <c r="M467">
        <f>IF($G467="",0,IF(Sync!$AC464="",0,Sync!$AC464))</f>
        <v/>
      </c>
      <c r="N467">
        <f>IF($G467="","",IF($H467="مرجوعی خرید",-1,1)*($L467-$M467*IFERROR(VLOOKUP("P01",ParamTbl,3,0),1.5))*(1-IF($I467="خرید",IFERROR(VLOOKUP("P02",ParamTbl,3,0),1),0)/100))</f>
        <v/>
      </c>
      <c r="O467">
        <f>IF($G467="",0,IF($H467="مرجوعی خرید",-1,1)*IF(Sync!$AD464="",0,Sync!$AD464))</f>
        <v/>
      </c>
      <c r="P467">
        <f>IF(OR($G467="",Sync!$W464=""),"",Sync!$W464)</f>
        <v/>
      </c>
      <c r="Q467">
        <f>IF(OR($G467="",Sync!$AE464=""),"",Sync!$AE464)</f>
        <v/>
      </c>
      <c r="R467">
        <f>IF($G467="","",IF(Sync!$V464="","0000",IF(AND(ISNUMBER(Sync!$V464),Sync!$V464&gt;=0,Sync!$V464&lt;1),RIGHT("00"&amp;HOUR(Sync!$V464),2)&amp;RIGHT("00"&amp;MINUTE(Sync!$V464),2),IFERROR(RIGHT("00"&amp;VALUE(LEFT(Sync!$V464,FIND(":",Sync!$V464)-1)),2)&amp;RIGHT("00"&amp;VALUE(MID(Sync!$V464,FIND(":",Sync!$V464)+1,2)),2),"0000"))))</f>
        <v/>
      </c>
    </row>
    <row r="468">
      <c r="A468">
        <f>IF(Sync!$U465="","",Sync!$U465)</f>
        <v/>
      </c>
      <c r="B468">
        <f>IF($A468="","",IF(ISNUMBER($A468),IF(AND($A468&gt;=10000101,$A468&lt;=99991231),INT($A468/10000),""),IFERROR(VALUE(TRIM(LEFT($A468,FIND("/",$A468)-1))),"")))</f>
        <v/>
      </c>
      <c r="C468">
        <f>IF(OR($A468="",$B468=""),"",IF(ISNUMBER($A468),INT(MOD($A468,10000)/100),IFERROR(VALUE(TRIM(LEFT(MID($A468,FIND("/",$A468)+1,20),FIND("/",MID($A468,FIND("/",$A468)+1,20))-1))),"")))</f>
        <v/>
      </c>
      <c r="D468">
        <f>IF(OR($A468="",$B468=""),"",IF(ISNUMBER($A468),MOD($A468,100),IFERROR(VALUE(TRIM(MID(MID($A468,FIND("/",$A468)+1,20),FIND("/",MID($A468,FIND("/",$A468)+1,20))+1,20))),"")))</f>
        <v/>
      </c>
      <c r="E468">
        <f>IF($A468="","",IF(OR($B468="",$C468="",$D468="",$B468&lt;1300,$B468&gt;1500,$C468&lt;1,$C468&gt;12,$D468&lt;1,$D468&gt;31),"نامعتبر",RIGHT("0000"&amp;$B468,4)&amp;"/"&amp;RIGHT("00"&amp;$C468,2)&amp;"/"&amp;RIGHT("00"&amp;$D468,2)))</f>
        <v/>
      </c>
      <c r="F468">
        <f>IF(OR($E468="",$E468="نامعتبر"),"",LEFT($E468,4)&amp;"/"&amp;MID($E468,6,2))</f>
        <v/>
      </c>
      <c r="G468">
        <f>IF(OR($E468="",$E468="نامعتبر",Sync!$Y465=""),"",Sync!$Y465)</f>
        <v/>
      </c>
      <c r="H468">
        <f>IF($G468="","",IF(Sync!$X465="","",Sync!$X465))</f>
        <v/>
      </c>
      <c r="I468">
        <f>IF($G468="","",IFERROR(VLOOKUP(Sync!$X465,OpTbl,3,0),""))</f>
        <v/>
      </c>
      <c r="J468">
        <f>IF(OR($G468="",Sync!$Z465=""),"",Sync!$Z465)</f>
        <v/>
      </c>
      <c r="K468">
        <f>IF(OR($G468="",Sync!$AA465=""),"",Sync!$AA465)</f>
        <v/>
      </c>
      <c r="L468">
        <f>IF($G468="",0,IF(Sync!$AB465="",0,Sync!$AB465))</f>
        <v/>
      </c>
      <c r="M468">
        <f>IF($G468="",0,IF(Sync!$AC465="",0,Sync!$AC465))</f>
        <v/>
      </c>
      <c r="N468">
        <f>IF($G468="","",IF($H468="مرجوعی خرید",-1,1)*($L468-$M468*IFERROR(VLOOKUP("P01",ParamTbl,3,0),1.5))*(1-IF($I468="خرید",IFERROR(VLOOKUP("P02",ParamTbl,3,0),1),0)/100))</f>
        <v/>
      </c>
      <c r="O468">
        <f>IF($G468="",0,IF($H468="مرجوعی خرید",-1,1)*IF(Sync!$AD465="",0,Sync!$AD465))</f>
        <v/>
      </c>
      <c r="P468">
        <f>IF(OR($G468="",Sync!$W465=""),"",Sync!$W465)</f>
        <v/>
      </c>
      <c r="Q468">
        <f>IF(OR($G468="",Sync!$AE465=""),"",Sync!$AE465)</f>
        <v/>
      </c>
      <c r="R468">
        <f>IF($G468="","",IF(Sync!$V465="","0000",IF(AND(ISNUMBER(Sync!$V465),Sync!$V465&gt;=0,Sync!$V465&lt;1),RIGHT("00"&amp;HOUR(Sync!$V465),2)&amp;RIGHT("00"&amp;MINUTE(Sync!$V465),2),IFERROR(RIGHT("00"&amp;VALUE(LEFT(Sync!$V465,FIND(":",Sync!$V465)-1)),2)&amp;RIGHT("00"&amp;VALUE(MID(Sync!$V465,FIND(":",Sync!$V465)+1,2)),2),"0000"))))</f>
        <v/>
      </c>
    </row>
    <row r="469">
      <c r="A469">
        <f>IF(Sync!$U466="","",Sync!$U466)</f>
        <v/>
      </c>
      <c r="B469">
        <f>IF($A469="","",IF(ISNUMBER($A469),IF(AND($A469&gt;=10000101,$A469&lt;=99991231),INT($A469/10000),""),IFERROR(VALUE(TRIM(LEFT($A469,FIND("/",$A469)-1))),"")))</f>
        <v/>
      </c>
      <c r="C469">
        <f>IF(OR($A469="",$B469=""),"",IF(ISNUMBER($A469),INT(MOD($A469,10000)/100),IFERROR(VALUE(TRIM(LEFT(MID($A469,FIND("/",$A469)+1,20),FIND("/",MID($A469,FIND("/",$A469)+1,20))-1))),"")))</f>
        <v/>
      </c>
      <c r="D469">
        <f>IF(OR($A469="",$B469=""),"",IF(ISNUMBER($A469),MOD($A469,100),IFERROR(VALUE(TRIM(MID(MID($A469,FIND("/",$A469)+1,20),FIND("/",MID($A469,FIND("/",$A469)+1,20))+1,20))),"")))</f>
        <v/>
      </c>
      <c r="E469">
        <f>IF($A469="","",IF(OR($B469="",$C469="",$D469="",$B469&lt;1300,$B469&gt;1500,$C469&lt;1,$C469&gt;12,$D469&lt;1,$D469&gt;31),"نامعتبر",RIGHT("0000"&amp;$B469,4)&amp;"/"&amp;RIGHT("00"&amp;$C469,2)&amp;"/"&amp;RIGHT("00"&amp;$D469,2)))</f>
        <v/>
      </c>
      <c r="F469">
        <f>IF(OR($E469="",$E469="نامعتبر"),"",LEFT($E469,4)&amp;"/"&amp;MID($E469,6,2))</f>
        <v/>
      </c>
      <c r="G469">
        <f>IF(OR($E469="",$E469="نامعتبر",Sync!$Y466=""),"",Sync!$Y466)</f>
        <v/>
      </c>
      <c r="H469">
        <f>IF($G469="","",IF(Sync!$X466="","",Sync!$X466))</f>
        <v/>
      </c>
      <c r="I469">
        <f>IF($G469="","",IFERROR(VLOOKUP(Sync!$X466,OpTbl,3,0),""))</f>
        <v/>
      </c>
      <c r="J469">
        <f>IF(OR($G469="",Sync!$Z466=""),"",Sync!$Z466)</f>
        <v/>
      </c>
      <c r="K469">
        <f>IF(OR($G469="",Sync!$AA466=""),"",Sync!$AA466)</f>
        <v/>
      </c>
      <c r="L469">
        <f>IF($G469="",0,IF(Sync!$AB466="",0,Sync!$AB466))</f>
        <v/>
      </c>
      <c r="M469">
        <f>IF($G469="",0,IF(Sync!$AC466="",0,Sync!$AC466))</f>
        <v/>
      </c>
      <c r="N469">
        <f>IF($G469="","",IF($H469="مرجوعی خرید",-1,1)*($L469-$M469*IFERROR(VLOOKUP("P01",ParamTbl,3,0),1.5))*(1-IF($I469="خرید",IFERROR(VLOOKUP("P02",ParamTbl,3,0),1),0)/100))</f>
        <v/>
      </c>
      <c r="O469">
        <f>IF($G469="",0,IF($H469="مرجوعی خرید",-1,1)*IF(Sync!$AD466="",0,Sync!$AD466))</f>
        <v/>
      </c>
      <c r="P469">
        <f>IF(OR($G469="",Sync!$W466=""),"",Sync!$W466)</f>
        <v/>
      </c>
      <c r="Q469">
        <f>IF(OR($G469="",Sync!$AE466=""),"",Sync!$AE466)</f>
        <v/>
      </c>
      <c r="R469">
        <f>IF($G469="","",IF(Sync!$V466="","0000",IF(AND(ISNUMBER(Sync!$V466),Sync!$V466&gt;=0,Sync!$V466&lt;1),RIGHT("00"&amp;HOUR(Sync!$V466),2)&amp;RIGHT("00"&amp;MINUTE(Sync!$V466),2),IFERROR(RIGHT("00"&amp;VALUE(LEFT(Sync!$V466,FIND(":",Sync!$V466)-1)),2)&amp;RIGHT("00"&amp;VALUE(MID(Sync!$V466,FIND(":",Sync!$V466)+1,2)),2),"0000"))))</f>
        <v/>
      </c>
    </row>
    <row r="470">
      <c r="A470">
        <f>IF(Sync!$U467="","",Sync!$U467)</f>
        <v/>
      </c>
      <c r="B470">
        <f>IF($A470="","",IF(ISNUMBER($A470),IF(AND($A470&gt;=10000101,$A470&lt;=99991231),INT($A470/10000),""),IFERROR(VALUE(TRIM(LEFT($A470,FIND("/",$A470)-1))),"")))</f>
        <v/>
      </c>
      <c r="C470">
        <f>IF(OR($A470="",$B470=""),"",IF(ISNUMBER($A470),INT(MOD($A470,10000)/100),IFERROR(VALUE(TRIM(LEFT(MID($A470,FIND("/",$A470)+1,20),FIND("/",MID($A470,FIND("/",$A470)+1,20))-1))),"")))</f>
        <v/>
      </c>
      <c r="D470">
        <f>IF(OR($A470="",$B470=""),"",IF(ISNUMBER($A470),MOD($A470,100),IFERROR(VALUE(TRIM(MID(MID($A470,FIND("/",$A470)+1,20),FIND("/",MID($A470,FIND("/",$A470)+1,20))+1,20))),"")))</f>
        <v/>
      </c>
      <c r="E470">
        <f>IF($A470="","",IF(OR($B470="",$C470="",$D470="",$B470&lt;1300,$B470&gt;1500,$C470&lt;1,$C470&gt;12,$D470&lt;1,$D470&gt;31),"نامعتبر",RIGHT("0000"&amp;$B470,4)&amp;"/"&amp;RIGHT("00"&amp;$C470,2)&amp;"/"&amp;RIGHT("00"&amp;$D470,2)))</f>
        <v/>
      </c>
      <c r="F470">
        <f>IF(OR($E470="",$E470="نامعتبر"),"",LEFT($E470,4)&amp;"/"&amp;MID($E470,6,2))</f>
        <v/>
      </c>
      <c r="G470">
        <f>IF(OR($E470="",$E470="نامعتبر",Sync!$Y467=""),"",Sync!$Y467)</f>
        <v/>
      </c>
      <c r="H470">
        <f>IF($G470="","",IF(Sync!$X467="","",Sync!$X467))</f>
        <v/>
      </c>
      <c r="I470">
        <f>IF($G470="","",IFERROR(VLOOKUP(Sync!$X467,OpTbl,3,0),""))</f>
        <v/>
      </c>
      <c r="J470">
        <f>IF(OR($G470="",Sync!$Z467=""),"",Sync!$Z467)</f>
        <v/>
      </c>
      <c r="K470">
        <f>IF(OR($G470="",Sync!$AA467=""),"",Sync!$AA467)</f>
        <v/>
      </c>
      <c r="L470">
        <f>IF($G470="",0,IF(Sync!$AB467="",0,Sync!$AB467))</f>
        <v/>
      </c>
      <c r="M470">
        <f>IF($G470="",0,IF(Sync!$AC467="",0,Sync!$AC467))</f>
        <v/>
      </c>
      <c r="N470">
        <f>IF($G470="","",IF($H470="مرجوعی خرید",-1,1)*($L470-$M470*IFERROR(VLOOKUP("P01",ParamTbl,3,0),1.5))*(1-IF($I470="خرید",IFERROR(VLOOKUP("P02",ParamTbl,3,0),1),0)/100))</f>
        <v/>
      </c>
      <c r="O470">
        <f>IF($G470="",0,IF($H470="مرجوعی خرید",-1,1)*IF(Sync!$AD467="",0,Sync!$AD467))</f>
        <v/>
      </c>
      <c r="P470">
        <f>IF(OR($G470="",Sync!$W467=""),"",Sync!$W467)</f>
        <v/>
      </c>
      <c r="Q470">
        <f>IF(OR($G470="",Sync!$AE467=""),"",Sync!$AE467)</f>
        <v/>
      </c>
      <c r="R470">
        <f>IF($G470="","",IF(Sync!$V467="","0000",IF(AND(ISNUMBER(Sync!$V467),Sync!$V467&gt;=0,Sync!$V467&lt;1),RIGHT("00"&amp;HOUR(Sync!$V467),2)&amp;RIGHT("00"&amp;MINUTE(Sync!$V467),2),IFERROR(RIGHT("00"&amp;VALUE(LEFT(Sync!$V467,FIND(":",Sync!$V467)-1)),2)&amp;RIGHT("00"&amp;VALUE(MID(Sync!$V467,FIND(":",Sync!$V467)+1,2)),2),"0000"))))</f>
        <v/>
      </c>
    </row>
    <row r="471">
      <c r="A471">
        <f>IF(Sync!$U468="","",Sync!$U468)</f>
        <v/>
      </c>
      <c r="B471">
        <f>IF($A471="","",IF(ISNUMBER($A471),IF(AND($A471&gt;=10000101,$A471&lt;=99991231),INT($A471/10000),""),IFERROR(VALUE(TRIM(LEFT($A471,FIND("/",$A471)-1))),"")))</f>
        <v/>
      </c>
      <c r="C471">
        <f>IF(OR($A471="",$B471=""),"",IF(ISNUMBER($A471),INT(MOD($A471,10000)/100),IFERROR(VALUE(TRIM(LEFT(MID($A471,FIND("/",$A471)+1,20),FIND("/",MID($A471,FIND("/",$A471)+1,20))-1))),"")))</f>
        <v/>
      </c>
      <c r="D471">
        <f>IF(OR($A471="",$B471=""),"",IF(ISNUMBER($A471),MOD($A471,100),IFERROR(VALUE(TRIM(MID(MID($A471,FIND("/",$A471)+1,20),FIND("/",MID($A471,FIND("/",$A471)+1,20))+1,20))),"")))</f>
        <v/>
      </c>
      <c r="E471">
        <f>IF($A471="","",IF(OR($B471="",$C471="",$D471="",$B471&lt;1300,$B471&gt;1500,$C471&lt;1,$C471&gt;12,$D471&lt;1,$D471&gt;31),"نامعتبر",RIGHT("0000"&amp;$B471,4)&amp;"/"&amp;RIGHT("00"&amp;$C471,2)&amp;"/"&amp;RIGHT("00"&amp;$D471,2)))</f>
        <v/>
      </c>
      <c r="F471">
        <f>IF(OR($E471="",$E471="نامعتبر"),"",LEFT($E471,4)&amp;"/"&amp;MID($E471,6,2))</f>
        <v/>
      </c>
      <c r="G471">
        <f>IF(OR($E471="",$E471="نامعتبر",Sync!$Y468=""),"",Sync!$Y468)</f>
        <v/>
      </c>
      <c r="H471">
        <f>IF($G471="","",IF(Sync!$X468="","",Sync!$X468))</f>
        <v/>
      </c>
      <c r="I471">
        <f>IF($G471="","",IFERROR(VLOOKUP(Sync!$X468,OpTbl,3,0),""))</f>
        <v/>
      </c>
      <c r="J471">
        <f>IF(OR($G471="",Sync!$Z468=""),"",Sync!$Z468)</f>
        <v/>
      </c>
      <c r="K471">
        <f>IF(OR($G471="",Sync!$AA468=""),"",Sync!$AA468)</f>
        <v/>
      </c>
      <c r="L471">
        <f>IF($G471="",0,IF(Sync!$AB468="",0,Sync!$AB468))</f>
        <v/>
      </c>
      <c r="M471">
        <f>IF($G471="",0,IF(Sync!$AC468="",0,Sync!$AC468))</f>
        <v/>
      </c>
      <c r="N471">
        <f>IF($G471="","",IF($H471="مرجوعی خرید",-1,1)*($L471-$M471*IFERROR(VLOOKUP("P01",ParamTbl,3,0),1.5))*(1-IF($I471="خرید",IFERROR(VLOOKUP("P02",ParamTbl,3,0),1),0)/100))</f>
        <v/>
      </c>
      <c r="O471">
        <f>IF($G471="",0,IF($H471="مرجوعی خرید",-1,1)*IF(Sync!$AD468="",0,Sync!$AD468))</f>
        <v/>
      </c>
      <c r="P471">
        <f>IF(OR($G471="",Sync!$W468=""),"",Sync!$W468)</f>
        <v/>
      </c>
      <c r="Q471">
        <f>IF(OR($G471="",Sync!$AE468=""),"",Sync!$AE468)</f>
        <v/>
      </c>
      <c r="R471">
        <f>IF($G471="","",IF(Sync!$V468="","0000",IF(AND(ISNUMBER(Sync!$V468),Sync!$V468&gt;=0,Sync!$V468&lt;1),RIGHT("00"&amp;HOUR(Sync!$V468),2)&amp;RIGHT("00"&amp;MINUTE(Sync!$V468),2),IFERROR(RIGHT("00"&amp;VALUE(LEFT(Sync!$V468,FIND(":",Sync!$V468)-1)),2)&amp;RIGHT("00"&amp;VALUE(MID(Sync!$V468,FIND(":",Sync!$V468)+1,2)),2),"0000"))))</f>
        <v/>
      </c>
    </row>
    <row r="472">
      <c r="A472">
        <f>IF(Sync!$U469="","",Sync!$U469)</f>
        <v/>
      </c>
      <c r="B472">
        <f>IF($A472="","",IF(ISNUMBER($A472),IF(AND($A472&gt;=10000101,$A472&lt;=99991231),INT($A472/10000),""),IFERROR(VALUE(TRIM(LEFT($A472,FIND("/",$A472)-1))),"")))</f>
        <v/>
      </c>
      <c r="C472">
        <f>IF(OR($A472="",$B472=""),"",IF(ISNUMBER($A472),INT(MOD($A472,10000)/100),IFERROR(VALUE(TRIM(LEFT(MID($A472,FIND("/",$A472)+1,20),FIND("/",MID($A472,FIND("/",$A472)+1,20))-1))),"")))</f>
        <v/>
      </c>
      <c r="D472">
        <f>IF(OR($A472="",$B472=""),"",IF(ISNUMBER($A472),MOD($A472,100),IFERROR(VALUE(TRIM(MID(MID($A472,FIND("/",$A472)+1,20),FIND("/",MID($A472,FIND("/",$A472)+1,20))+1,20))),"")))</f>
        <v/>
      </c>
      <c r="E472">
        <f>IF($A472="","",IF(OR($B472="",$C472="",$D472="",$B472&lt;1300,$B472&gt;1500,$C472&lt;1,$C472&gt;12,$D472&lt;1,$D472&gt;31),"نامعتبر",RIGHT("0000"&amp;$B472,4)&amp;"/"&amp;RIGHT("00"&amp;$C472,2)&amp;"/"&amp;RIGHT("00"&amp;$D472,2)))</f>
        <v/>
      </c>
      <c r="F472">
        <f>IF(OR($E472="",$E472="نامعتبر"),"",LEFT($E472,4)&amp;"/"&amp;MID($E472,6,2))</f>
        <v/>
      </c>
      <c r="G472">
        <f>IF(OR($E472="",$E472="نامعتبر",Sync!$Y469=""),"",Sync!$Y469)</f>
        <v/>
      </c>
      <c r="H472">
        <f>IF($G472="","",IF(Sync!$X469="","",Sync!$X469))</f>
        <v/>
      </c>
      <c r="I472">
        <f>IF($G472="","",IFERROR(VLOOKUP(Sync!$X469,OpTbl,3,0),""))</f>
        <v/>
      </c>
      <c r="J472">
        <f>IF(OR($G472="",Sync!$Z469=""),"",Sync!$Z469)</f>
        <v/>
      </c>
      <c r="K472">
        <f>IF(OR($G472="",Sync!$AA469=""),"",Sync!$AA469)</f>
        <v/>
      </c>
      <c r="L472">
        <f>IF($G472="",0,IF(Sync!$AB469="",0,Sync!$AB469))</f>
        <v/>
      </c>
      <c r="M472">
        <f>IF($G472="",0,IF(Sync!$AC469="",0,Sync!$AC469))</f>
        <v/>
      </c>
      <c r="N472">
        <f>IF($G472="","",IF($H472="مرجوعی خرید",-1,1)*($L472-$M472*IFERROR(VLOOKUP("P01",ParamTbl,3,0),1.5))*(1-IF($I472="خرید",IFERROR(VLOOKUP("P02",ParamTbl,3,0),1),0)/100))</f>
        <v/>
      </c>
      <c r="O472">
        <f>IF($G472="",0,IF($H472="مرجوعی خرید",-1,1)*IF(Sync!$AD469="",0,Sync!$AD469))</f>
        <v/>
      </c>
      <c r="P472">
        <f>IF(OR($G472="",Sync!$W469=""),"",Sync!$W469)</f>
        <v/>
      </c>
      <c r="Q472">
        <f>IF(OR($G472="",Sync!$AE469=""),"",Sync!$AE469)</f>
        <v/>
      </c>
      <c r="R472">
        <f>IF($G472="","",IF(Sync!$V469="","0000",IF(AND(ISNUMBER(Sync!$V469),Sync!$V469&gt;=0,Sync!$V469&lt;1),RIGHT("00"&amp;HOUR(Sync!$V469),2)&amp;RIGHT("00"&amp;MINUTE(Sync!$V469),2),IFERROR(RIGHT("00"&amp;VALUE(LEFT(Sync!$V469,FIND(":",Sync!$V469)-1)),2)&amp;RIGHT("00"&amp;VALUE(MID(Sync!$V469,FIND(":",Sync!$V469)+1,2)),2),"0000"))))</f>
        <v/>
      </c>
    </row>
    <row r="473">
      <c r="A473">
        <f>IF(Sync!$U470="","",Sync!$U470)</f>
        <v/>
      </c>
      <c r="B473">
        <f>IF($A473="","",IF(ISNUMBER($A473),IF(AND($A473&gt;=10000101,$A473&lt;=99991231),INT($A473/10000),""),IFERROR(VALUE(TRIM(LEFT($A473,FIND("/",$A473)-1))),"")))</f>
        <v/>
      </c>
      <c r="C473">
        <f>IF(OR($A473="",$B473=""),"",IF(ISNUMBER($A473),INT(MOD($A473,10000)/100),IFERROR(VALUE(TRIM(LEFT(MID($A473,FIND("/",$A473)+1,20),FIND("/",MID($A473,FIND("/",$A473)+1,20))-1))),"")))</f>
        <v/>
      </c>
      <c r="D473">
        <f>IF(OR($A473="",$B473=""),"",IF(ISNUMBER($A473),MOD($A473,100),IFERROR(VALUE(TRIM(MID(MID($A473,FIND("/",$A473)+1,20),FIND("/",MID($A473,FIND("/",$A473)+1,20))+1,20))),"")))</f>
        <v/>
      </c>
      <c r="E473">
        <f>IF($A473="","",IF(OR($B473="",$C473="",$D473="",$B473&lt;1300,$B473&gt;1500,$C473&lt;1,$C473&gt;12,$D473&lt;1,$D473&gt;31),"نامعتبر",RIGHT("0000"&amp;$B473,4)&amp;"/"&amp;RIGHT("00"&amp;$C473,2)&amp;"/"&amp;RIGHT("00"&amp;$D473,2)))</f>
        <v/>
      </c>
      <c r="F473">
        <f>IF(OR($E473="",$E473="نامعتبر"),"",LEFT($E473,4)&amp;"/"&amp;MID($E473,6,2))</f>
        <v/>
      </c>
      <c r="G473">
        <f>IF(OR($E473="",$E473="نامعتبر",Sync!$Y470=""),"",Sync!$Y470)</f>
        <v/>
      </c>
      <c r="H473">
        <f>IF($G473="","",IF(Sync!$X470="","",Sync!$X470))</f>
        <v/>
      </c>
      <c r="I473">
        <f>IF($G473="","",IFERROR(VLOOKUP(Sync!$X470,OpTbl,3,0),""))</f>
        <v/>
      </c>
      <c r="J473">
        <f>IF(OR($G473="",Sync!$Z470=""),"",Sync!$Z470)</f>
        <v/>
      </c>
      <c r="K473">
        <f>IF(OR($G473="",Sync!$AA470=""),"",Sync!$AA470)</f>
        <v/>
      </c>
      <c r="L473">
        <f>IF($G473="",0,IF(Sync!$AB470="",0,Sync!$AB470))</f>
        <v/>
      </c>
      <c r="M473">
        <f>IF($G473="",0,IF(Sync!$AC470="",0,Sync!$AC470))</f>
        <v/>
      </c>
      <c r="N473">
        <f>IF($G473="","",IF($H473="مرجوعی خرید",-1,1)*($L473-$M473*IFERROR(VLOOKUP("P01",ParamTbl,3,0),1.5))*(1-IF($I473="خرید",IFERROR(VLOOKUP("P02",ParamTbl,3,0),1),0)/100))</f>
        <v/>
      </c>
      <c r="O473">
        <f>IF($G473="",0,IF($H473="مرجوعی خرید",-1,1)*IF(Sync!$AD470="",0,Sync!$AD470))</f>
        <v/>
      </c>
      <c r="P473">
        <f>IF(OR($G473="",Sync!$W470=""),"",Sync!$W470)</f>
        <v/>
      </c>
      <c r="Q473">
        <f>IF(OR($G473="",Sync!$AE470=""),"",Sync!$AE470)</f>
        <v/>
      </c>
      <c r="R473">
        <f>IF($G473="","",IF(Sync!$V470="","0000",IF(AND(ISNUMBER(Sync!$V470),Sync!$V470&gt;=0,Sync!$V470&lt;1),RIGHT("00"&amp;HOUR(Sync!$V470),2)&amp;RIGHT("00"&amp;MINUTE(Sync!$V470),2),IFERROR(RIGHT("00"&amp;VALUE(LEFT(Sync!$V470,FIND(":",Sync!$V470)-1)),2)&amp;RIGHT("00"&amp;VALUE(MID(Sync!$V470,FIND(":",Sync!$V470)+1,2)),2),"0000"))))</f>
        <v/>
      </c>
    </row>
    <row r="474">
      <c r="A474">
        <f>IF(Sync!$U471="","",Sync!$U471)</f>
        <v/>
      </c>
      <c r="B474">
        <f>IF($A474="","",IF(ISNUMBER($A474),IF(AND($A474&gt;=10000101,$A474&lt;=99991231),INT($A474/10000),""),IFERROR(VALUE(TRIM(LEFT($A474,FIND("/",$A474)-1))),"")))</f>
        <v/>
      </c>
      <c r="C474">
        <f>IF(OR($A474="",$B474=""),"",IF(ISNUMBER($A474),INT(MOD($A474,10000)/100),IFERROR(VALUE(TRIM(LEFT(MID($A474,FIND("/",$A474)+1,20),FIND("/",MID($A474,FIND("/",$A474)+1,20))-1))),"")))</f>
        <v/>
      </c>
      <c r="D474">
        <f>IF(OR($A474="",$B474=""),"",IF(ISNUMBER($A474),MOD($A474,100),IFERROR(VALUE(TRIM(MID(MID($A474,FIND("/",$A474)+1,20),FIND("/",MID($A474,FIND("/",$A474)+1,20))+1,20))),"")))</f>
        <v/>
      </c>
      <c r="E474">
        <f>IF($A474="","",IF(OR($B474="",$C474="",$D474="",$B474&lt;1300,$B474&gt;1500,$C474&lt;1,$C474&gt;12,$D474&lt;1,$D474&gt;31),"نامعتبر",RIGHT("0000"&amp;$B474,4)&amp;"/"&amp;RIGHT("00"&amp;$C474,2)&amp;"/"&amp;RIGHT("00"&amp;$D474,2)))</f>
        <v/>
      </c>
      <c r="F474">
        <f>IF(OR($E474="",$E474="نامعتبر"),"",LEFT($E474,4)&amp;"/"&amp;MID($E474,6,2))</f>
        <v/>
      </c>
      <c r="G474">
        <f>IF(OR($E474="",$E474="نامعتبر",Sync!$Y471=""),"",Sync!$Y471)</f>
        <v/>
      </c>
      <c r="H474">
        <f>IF($G474="","",IF(Sync!$X471="","",Sync!$X471))</f>
        <v/>
      </c>
      <c r="I474">
        <f>IF($G474="","",IFERROR(VLOOKUP(Sync!$X471,OpTbl,3,0),""))</f>
        <v/>
      </c>
      <c r="J474">
        <f>IF(OR($G474="",Sync!$Z471=""),"",Sync!$Z471)</f>
        <v/>
      </c>
      <c r="K474">
        <f>IF(OR($G474="",Sync!$AA471=""),"",Sync!$AA471)</f>
        <v/>
      </c>
      <c r="L474">
        <f>IF($G474="",0,IF(Sync!$AB471="",0,Sync!$AB471))</f>
        <v/>
      </c>
      <c r="M474">
        <f>IF($G474="",0,IF(Sync!$AC471="",0,Sync!$AC471))</f>
        <v/>
      </c>
      <c r="N474">
        <f>IF($G474="","",IF($H474="مرجوعی خرید",-1,1)*($L474-$M474*IFERROR(VLOOKUP("P01",ParamTbl,3,0),1.5))*(1-IF($I474="خرید",IFERROR(VLOOKUP("P02",ParamTbl,3,0),1),0)/100))</f>
        <v/>
      </c>
      <c r="O474">
        <f>IF($G474="",0,IF($H474="مرجوعی خرید",-1,1)*IF(Sync!$AD471="",0,Sync!$AD471))</f>
        <v/>
      </c>
      <c r="P474">
        <f>IF(OR($G474="",Sync!$W471=""),"",Sync!$W471)</f>
        <v/>
      </c>
      <c r="Q474">
        <f>IF(OR($G474="",Sync!$AE471=""),"",Sync!$AE471)</f>
        <v/>
      </c>
      <c r="R474">
        <f>IF($G474="","",IF(Sync!$V471="","0000",IF(AND(ISNUMBER(Sync!$V471),Sync!$V471&gt;=0,Sync!$V471&lt;1),RIGHT("00"&amp;HOUR(Sync!$V471),2)&amp;RIGHT("00"&amp;MINUTE(Sync!$V471),2),IFERROR(RIGHT("00"&amp;VALUE(LEFT(Sync!$V471,FIND(":",Sync!$V471)-1)),2)&amp;RIGHT("00"&amp;VALUE(MID(Sync!$V471,FIND(":",Sync!$V471)+1,2)),2),"0000"))))</f>
        <v/>
      </c>
    </row>
    <row r="475">
      <c r="A475">
        <f>IF(Sync!$U472="","",Sync!$U472)</f>
        <v/>
      </c>
      <c r="B475">
        <f>IF($A475="","",IF(ISNUMBER($A475),IF(AND($A475&gt;=10000101,$A475&lt;=99991231),INT($A475/10000),""),IFERROR(VALUE(TRIM(LEFT($A475,FIND("/",$A475)-1))),"")))</f>
        <v/>
      </c>
      <c r="C475">
        <f>IF(OR($A475="",$B475=""),"",IF(ISNUMBER($A475),INT(MOD($A475,10000)/100),IFERROR(VALUE(TRIM(LEFT(MID($A475,FIND("/",$A475)+1,20),FIND("/",MID($A475,FIND("/",$A475)+1,20))-1))),"")))</f>
        <v/>
      </c>
      <c r="D475">
        <f>IF(OR($A475="",$B475=""),"",IF(ISNUMBER($A475),MOD($A475,100),IFERROR(VALUE(TRIM(MID(MID($A475,FIND("/",$A475)+1,20),FIND("/",MID($A475,FIND("/",$A475)+1,20))+1,20))),"")))</f>
        <v/>
      </c>
      <c r="E475">
        <f>IF($A475="","",IF(OR($B475="",$C475="",$D475="",$B475&lt;1300,$B475&gt;1500,$C475&lt;1,$C475&gt;12,$D475&lt;1,$D475&gt;31),"نامعتبر",RIGHT("0000"&amp;$B475,4)&amp;"/"&amp;RIGHT("00"&amp;$C475,2)&amp;"/"&amp;RIGHT("00"&amp;$D475,2)))</f>
        <v/>
      </c>
      <c r="F475">
        <f>IF(OR($E475="",$E475="نامعتبر"),"",LEFT($E475,4)&amp;"/"&amp;MID($E475,6,2))</f>
        <v/>
      </c>
      <c r="G475">
        <f>IF(OR($E475="",$E475="نامعتبر",Sync!$Y472=""),"",Sync!$Y472)</f>
        <v/>
      </c>
      <c r="H475">
        <f>IF($G475="","",IF(Sync!$X472="","",Sync!$X472))</f>
        <v/>
      </c>
      <c r="I475">
        <f>IF($G475="","",IFERROR(VLOOKUP(Sync!$X472,OpTbl,3,0),""))</f>
        <v/>
      </c>
      <c r="J475">
        <f>IF(OR($G475="",Sync!$Z472=""),"",Sync!$Z472)</f>
        <v/>
      </c>
      <c r="K475">
        <f>IF(OR($G475="",Sync!$AA472=""),"",Sync!$AA472)</f>
        <v/>
      </c>
      <c r="L475">
        <f>IF($G475="",0,IF(Sync!$AB472="",0,Sync!$AB472))</f>
        <v/>
      </c>
      <c r="M475">
        <f>IF($G475="",0,IF(Sync!$AC472="",0,Sync!$AC472))</f>
        <v/>
      </c>
      <c r="N475">
        <f>IF($G475="","",IF($H475="مرجوعی خرید",-1,1)*($L475-$M475*IFERROR(VLOOKUP("P01",ParamTbl,3,0),1.5))*(1-IF($I475="خرید",IFERROR(VLOOKUP("P02",ParamTbl,3,0),1),0)/100))</f>
        <v/>
      </c>
      <c r="O475">
        <f>IF($G475="",0,IF($H475="مرجوعی خرید",-1,1)*IF(Sync!$AD472="",0,Sync!$AD472))</f>
        <v/>
      </c>
      <c r="P475">
        <f>IF(OR($G475="",Sync!$W472=""),"",Sync!$W472)</f>
        <v/>
      </c>
      <c r="Q475">
        <f>IF(OR($G475="",Sync!$AE472=""),"",Sync!$AE472)</f>
        <v/>
      </c>
      <c r="R475">
        <f>IF($G475="","",IF(Sync!$V472="","0000",IF(AND(ISNUMBER(Sync!$V472),Sync!$V472&gt;=0,Sync!$V472&lt;1),RIGHT("00"&amp;HOUR(Sync!$V472),2)&amp;RIGHT("00"&amp;MINUTE(Sync!$V472),2),IFERROR(RIGHT("00"&amp;VALUE(LEFT(Sync!$V472,FIND(":",Sync!$V472)-1)),2)&amp;RIGHT("00"&amp;VALUE(MID(Sync!$V472,FIND(":",Sync!$V472)+1,2)),2),"0000"))))</f>
        <v/>
      </c>
    </row>
    <row r="476">
      <c r="A476">
        <f>IF(Sync!$U473="","",Sync!$U473)</f>
        <v/>
      </c>
      <c r="B476">
        <f>IF($A476="","",IF(ISNUMBER($A476),IF(AND($A476&gt;=10000101,$A476&lt;=99991231),INT($A476/10000),""),IFERROR(VALUE(TRIM(LEFT($A476,FIND("/",$A476)-1))),"")))</f>
        <v/>
      </c>
      <c r="C476">
        <f>IF(OR($A476="",$B476=""),"",IF(ISNUMBER($A476),INT(MOD($A476,10000)/100),IFERROR(VALUE(TRIM(LEFT(MID($A476,FIND("/",$A476)+1,20),FIND("/",MID($A476,FIND("/",$A476)+1,20))-1))),"")))</f>
        <v/>
      </c>
      <c r="D476">
        <f>IF(OR($A476="",$B476=""),"",IF(ISNUMBER($A476),MOD($A476,100),IFERROR(VALUE(TRIM(MID(MID($A476,FIND("/",$A476)+1,20),FIND("/",MID($A476,FIND("/",$A476)+1,20))+1,20))),"")))</f>
        <v/>
      </c>
      <c r="E476">
        <f>IF($A476="","",IF(OR($B476="",$C476="",$D476="",$B476&lt;1300,$B476&gt;1500,$C476&lt;1,$C476&gt;12,$D476&lt;1,$D476&gt;31),"نامعتبر",RIGHT("0000"&amp;$B476,4)&amp;"/"&amp;RIGHT("00"&amp;$C476,2)&amp;"/"&amp;RIGHT("00"&amp;$D476,2)))</f>
        <v/>
      </c>
      <c r="F476">
        <f>IF(OR($E476="",$E476="نامعتبر"),"",LEFT($E476,4)&amp;"/"&amp;MID($E476,6,2))</f>
        <v/>
      </c>
      <c r="G476">
        <f>IF(OR($E476="",$E476="نامعتبر",Sync!$Y473=""),"",Sync!$Y473)</f>
        <v/>
      </c>
      <c r="H476">
        <f>IF($G476="","",IF(Sync!$X473="","",Sync!$X473))</f>
        <v/>
      </c>
      <c r="I476">
        <f>IF($G476="","",IFERROR(VLOOKUP(Sync!$X473,OpTbl,3,0),""))</f>
        <v/>
      </c>
      <c r="J476">
        <f>IF(OR($G476="",Sync!$Z473=""),"",Sync!$Z473)</f>
        <v/>
      </c>
      <c r="K476">
        <f>IF(OR($G476="",Sync!$AA473=""),"",Sync!$AA473)</f>
        <v/>
      </c>
      <c r="L476">
        <f>IF($G476="",0,IF(Sync!$AB473="",0,Sync!$AB473))</f>
        <v/>
      </c>
      <c r="M476">
        <f>IF($G476="",0,IF(Sync!$AC473="",0,Sync!$AC473))</f>
        <v/>
      </c>
      <c r="N476">
        <f>IF($G476="","",IF($H476="مرجوعی خرید",-1,1)*($L476-$M476*IFERROR(VLOOKUP("P01",ParamTbl,3,0),1.5))*(1-IF($I476="خرید",IFERROR(VLOOKUP("P02",ParamTbl,3,0),1),0)/100))</f>
        <v/>
      </c>
      <c r="O476">
        <f>IF($G476="",0,IF($H476="مرجوعی خرید",-1,1)*IF(Sync!$AD473="",0,Sync!$AD473))</f>
        <v/>
      </c>
      <c r="P476">
        <f>IF(OR($G476="",Sync!$W473=""),"",Sync!$W473)</f>
        <v/>
      </c>
      <c r="Q476">
        <f>IF(OR($G476="",Sync!$AE473=""),"",Sync!$AE473)</f>
        <v/>
      </c>
      <c r="R476">
        <f>IF($G476="","",IF(Sync!$V473="","0000",IF(AND(ISNUMBER(Sync!$V473),Sync!$V473&gt;=0,Sync!$V473&lt;1),RIGHT("00"&amp;HOUR(Sync!$V473),2)&amp;RIGHT("00"&amp;MINUTE(Sync!$V473),2),IFERROR(RIGHT("00"&amp;VALUE(LEFT(Sync!$V473,FIND(":",Sync!$V473)-1)),2)&amp;RIGHT("00"&amp;VALUE(MID(Sync!$V473,FIND(":",Sync!$V473)+1,2)),2),"0000"))))</f>
        <v/>
      </c>
    </row>
    <row r="477">
      <c r="A477">
        <f>IF(Sync!$U474="","",Sync!$U474)</f>
        <v/>
      </c>
      <c r="B477">
        <f>IF($A477="","",IF(ISNUMBER($A477),IF(AND($A477&gt;=10000101,$A477&lt;=99991231),INT($A477/10000),""),IFERROR(VALUE(TRIM(LEFT($A477,FIND("/",$A477)-1))),"")))</f>
        <v/>
      </c>
      <c r="C477">
        <f>IF(OR($A477="",$B477=""),"",IF(ISNUMBER($A477),INT(MOD($A477,10000)/100),IFERROR(VALUE(TRIM(LEFT(MID($A477,FIND("/",$A477)+1,20),FIND("/",MID($A477,FIND("/",$A477)+1,20))-1))),"")))</f>
        <v/>
      </c>
      <c r="D477">
        <f>IF(OR($A477="",$B477=""),"",IF(ISNUMBER($A477),MOD($A477,100),IFERROR(VALUE(TRIM(MID(MID($A477,FIND("/",$A477)+1,20),FIND("/",MID($A477,FIND("/",$A477)+1,20))+1,20))),"")))</f>
        <v/>
      </c>
      <c r="E477">
        <f>IF($A477="","",IF(OR($B477="",$C477="",$D477="",$B477&lt;1300,$B477&gt;1500,$C477&lt;1,$C477&gt;12,$D477&lt;1,$D477&gt;31),"نامعتبر",RIGHT("0000"&amp;$B477,4)&amp;"/"&amp;RIGHT("00"&amp;$C477,2)&amp;"/"&amp;RIGHT("00"&amp;$D477,2)))</f>
        <v/>
      </c>
      <c r="F477">
        <f>IF(OR($E477="",$E477="نامعتبر"),"",LEFT($E477,4)&amp;"/"&amp;MID($E477,6,2))</f>
        <v/>
      </c>
      <c r="G477">
        <f>IF(OR($E477="",$E477="نامعتبر",Sync!$Y474=""),"",Sync!$Y474)</f>
        <v/>
      </c>
      <c r="H477">
        <f>IF($G477="","",IF(Sync!$X474="","",Sync!$X474))</f>
        <v/>
      </c>
      <c r="I477">
        <f>IF($G477="","",IFERROR(VLOOKUP(Sync!$X474,OpTbl,3,0),""))</f>
        <v/>
      </c>
      <c r="J477">
        <f>IF(OR($G477="",Sync!$Z474=""),"",Sync!$Z474)</f>
        <v/>
      </c>
      <c r="K477">
        <f>IF(OR($G477="",Sync!$AA474=""),"",Sync!$AA474)</f>
        <v/>
      </c>
      <c r="L477">
        <f>IF($G477="",0,IF(Sync!$AB474="",0,Sync!$AB474))</f>
        <v/>
      </c>
      <c r="M477">
        <f>IF($G477="",0,IF(Sync!$AC474="",0,Sync!$AC474))</f>
        <v/>
      </c>
      <c r="N477">
        <f>IF($G477="","",IF($H477="مرجوعی خرید",-1,1)*($L477-$M477*IFERROR(VLOOKUP("P01",ParamTbl,3,0),1.5))*(1-IF($I477="خرید",IFERROR(VLOOKUP("P02",ParamTbl,3,0),1),0)/100))</f>
        <v/>
      </c>
      <c r="O477">
        <f>IF($G477="",0,IF($H477="مرجوعی خرید",-1,1)*IF(Sync!$AD474="",0,Sync!$AD474))</f>
        <v/>
      </c>
      <c r="P477">
        <f>IF(OR($G477="",Sync!$W474=""),"",Sync!$W474)</f>
        <v/>
      </c>
      <c r="Q477">
        <f>IF(OR($G477="",Sync!$AE474=""),"",Sync!$AE474)</f>
        <v/>
      </c>
      <c r="R477">
        <f>IF($G477="","",IF(Sync!$V474="","0000",IF(AND(ISNUMBER(Sync!$V474),Sync!$V474&gt;=0,Sync!$V474&lt;1),RIGHT("00"&amp;HOUR(Sync!$V474),2)&amp;RIGHT("00"&amp;MINUTE(Sync!$V474),2),IFERROR(RIGHT("00"&amp;VALUE(LEFT(Sync!$V474,FIND(":",Sync!$V474)-1)),2)&amp;RIGHT("00"&amp;VALUE(MID(Sync!$V474,FIND(":",Sync!$V474)+1,2)),2),"0000"))))</f>
        <v/>
      </c>
    </row>
    <row r="478">
      <c r="A478">
        <f>IF(Sync!$U475="","",Sync!$U475)</f>
        <v/>
      </c>
      <c r="B478">
        <f>IF($A478="","",IF(ISNUMBER($A478),IF(AND($A478&gt;=10000101,$A478&lt;=99991231),INT($A478/10000),""),IFERROR(VALUE(TRIM(LEFT($A478,FIND("/",$A478)-1))),"")))</f>
        <v/>
      </c>
      <c r="C478">
        <f>IF(OR($A478="",$B478=""),"",IF(ISNUMBER($A478),INT(MOD($A478,10000)/100),IFERROR(VALUE(TRIM(LEFT(MID($A478,FIND("/",$A478)+1,20),FIND("/",MID($A478,FIND("/",$A478)+1,20))-1))),"")))</f>
        <v/>
      </c>
      <c r="D478">
        <f>IF(OR($A478="",$B478=""),"",IF(ISNUMBER($A478),MOD($A478,100),IFERROR(VALUE(TRIM(MID(MID($A478,FIND("/",$A478)+1,20),FIND("/",MID($A478,FIND("/",$A478)+1,20))+1,20))),"")))</f>
        <v/>
      </c>
      <c r="E478">
        <f>IF($A478="","",IF(OR($B478="",$C478="",$D478="",$B478&lt;1300,$B478&gt;1500,$C478&lt;1,$C478&gt;12,$D478&lt;1,$D478&gt;31),"نامعتبر",RIGHT("0000"&amp;$B478,4)&amp;"/"&amp;RIGHT("00"&amp;$C478,2)&amp;"/"&amp;RIGHT("00"&amp;$D478,2)))</f>
        <v/>
      </c>
      <c r="F478">
        <f>IF(OR($E478="",$E478="نامعتبر"),"",LEFT($E478,4)&amp;"/"&amp;MID($E478,6,2))</f>
        <v/>
      </c>
      <c r="G478">
        <f>IF(OR($E478="",$E478="نامعتبر",Sync!$Y475=""),"",Sync!$Y475)</f>
        <v/>
      </c>
      <c r="H478">
        <f>IF($G478="","",IF(Sync!$X475="","",Sync!$X475))</f>
        <v/>
      </c>
      <c r="I478">
        <f>IF($G478="","",IFERROR(VLOOKUP(Sync!$X475,OpTbl,3,0),""))</f>
        <v/>
      </c>
      <c r="J478">
        <f>IF(OR($G478="",Sync!$Z475=""),"",Sync!$Z475)</f>
        <v/>
      </c>
      <c r="K478">
        <f>IF(OR($G478="",Sync!$AA475=""),"",Sync!$AA475)</f>
        <v/>
      </c>
      <c r="L478">
        <f>IF($G478="",0,IF(Sync!$AB475="",0,Sync!$AB475))</f>
        <v/>
      </c>
      <c r="M478">
        <f>IF($G478="",0,IF(Sync!$AC475="",0,Sync!$AC475))</f>
        <v/>
      </c>
      <c r="N478">
        <f>IF($G478="","",IF($H478="مرجوعی خرید",-1,1)*($L478-$M478*IFERROR(VLOOKUP("P01",ParamTbl,3,0),1.5))*(1-IF($I478="خرید",IFERROR(VLOOKUP("P02",ParamTbl,3,0),1),0)/100))</f>
        <v/>
      </c>
      <c r="O478">
        <f>IF($G478="",0,IF($H478="مرجوعی خرید",-1,1)*IF(Sync!$AD475="",0,Sync!$AD475))</f>
        <v/>
      </c>
      <c r="P478">
        <f>IF(OR($G478="",Sync!$W475=""),"",Sync!$W475)</f>
        <v/>
      </c>
      <c r="Q478">
        <f>IF(OR($G478="",Sync!$AE475=""),"",Sync!$AE475)</f>
        <v/>
      </c>
      <c r="R478">
        <f>IF($G478="","",IF(Sync!$V475="","0000",IF(AND(ISNUMBER(Sync!$V475),Sync!$V475&gt;=0,Sync!$V475&lt;1),RIGHT("00"&amp;HOUR(Sync!$V475),2)&amp;RIGHT("00"&amp;MINUTE(Sync!$V475),2),IFERROR(RIGHT("00"&amp;VALUE(LEFT(Sync!$V475,FIND(":",Sync!$V475)-1)),2)&amp;RIGHT("00"&amp;VALUE(MID(Sync!$V475,FIND(":",Sync!$V475)+1,2)),2),"0000"))))</f>
        <v/>
      </c>
    </row>
    <row r="479">
      <c r="A479">
        <f>IF(Sync!$U476="","",Sync!$U476)</f>
        <v/>
      </c>
      <c r="B479">
        <f>IF($A479="","",IF(ISNUMBER($A479),IF(AND($A479&gt;=10000101,$A479&lt;=99991231),INT($A479/10000),""),IFERROR(VALUE(TRIM(LEFT($A479,FIND("/",$A479)-1))),"")))</f>
        <v/>
      </c>
      <c r="C479">
        <f>IF(OR($A479="",$B479=""),"",IF(ISNUMBER($A479),INT(MOD($A479,10000)/100),IFERROR(VALUE(TRIM(LEFT(MID($A479,FIND("/",$A479)+1,20),FIND("/",MID($A479,FIND("/",$A479)+1,20))-1))),"")))</f>
        <v/>
      </c>
      <c r="D479">
        <f>IF(OR($A479="",$B479=""),"",IF(ISNUMBER($A479),MOD($A479,100),IFERROR(VALUE(TRIM(MID(MID($A479,FIND("/",$A479)+1,20),FIND("/",MID($A479,FIND("/",$A479)+1,20))+1,20))),"")))</f>
        <v/>
      </c>
      <c r="E479">
        <f>IF($A479="","",IF(OR($B479="",$C479="",$D479="",$B479&lt;1300,$B479&gt;1500,$C479&lt;1,$C479&gt;12,$D479&lt;1,$D479&gt;31),"نامعتبر",RIGHT("0000"&amp;$B479,4)&amp;"/"&amp;RIGHT("00"&amp;$C479,2)&amp;"/"&amp;RIGHT("00"&amp;$D479,2)))</f>
        <v/>
      </c>
      <c r="F479">
        <f>IF(OR($E479="",$E479="نامعتبر"),"",LEFT($E479,4)&amp;"/"&amp;MID($E479,6,2))</f>
        <v/>
      </c>
      <c r="G479">
        <f>IF(OR($E479="",$E479="نامعتبر",Sync!$Y476=""),"",Sync!$Y476)</f>
        <v/>
      </c>
      <c r="H479">
        <f>IF($G479="","",IF(Sync!$X476="","",Sync!$X476))</f>
        <v/>
      </c>
      <c r="I479">
        <f>IF($G479="","",IFERROR(VLOOKUP(Sync!$X476,OpTbl,3,0),""))</f>
        <v/>
      </c>
      <c r="J479">
        <f>IF(OR($G479="",Sync!$Z476=""),"",Sync!$Z476)</f>
        <v/>
      </c>
      <c r="K479">
        <f>IF(OR($G479="",Sync!$AA476=""),"",Sync!$AA476)</f>
        <v/>
      </c>
      <c r="L479">
        <f>IF($G479="",0,IF(Sync!$AB476="",0,Sync!$AB476))</f>
        <v/>
      </c>
      <c r="M479">
        <f>IF($G479="",0,IF(Sync!$AC476="",0,Sync!$AC476))</f>
        <v/>
      </c>
      <c r="N479">
        <f>IF($G479="","",IF($H479="مرجوعی خرید",-1,1)*($L479-$M479*IFERROR(VLOOKUP("P01",ParamTbl,3,0),1.5))*(1-IF($I479="خرید",IFERROR(VLOOKUP("P02",ParamTbl,3,0),1),0)/100))</f>
        <v/>
      </c>
      <c r="O479">
        <f>IF($G479="",0,IF($H479="مرجوعی خرید",-1,1)*IF(Sync!$AD476="",0,Sync!$AD476))</f>
        <v/>
      </c>
      <c r="P479">
        <f>IF(OR($G479="",Sync!$W476=""),"",Sync!$W476)</f>
        <v/>
      </c>
      <c r="Q479">
        <f>IF(OR($G479="",Sync!$AE476=""),"",Sync!$AE476)</f>
        <v/>
      </c>
      <c r="R479">
        <f>IF($G479="","",IF(Sync!$V476="","0000",IF(AND(ISNUMBER(Sync!$V476),Sync!$V476&gt;=0,Sync!$V476&lt;1),RIGHT("00"&amp;HOUR(Sync!$V476),2)&amp;RIGHT("00"&amp;MINUTE(Sync!$V476),2),IFERROR(RIGHT("00"&amp;VALUE(LEFT(Sync!$V476,FIND(":",Sync!$V476)-1)),2)&amp;RIGHT("00"&amp;VALUE(MID(Sync!$V476,FIND(":",Sync!$V476)+1,2)),2),"0000"))))</f>
        <v/>
      </c>
    </row>
    <row r="480">
      <c r="A480">
        <f>IF(Sync!$U477="","",Sync!$U477)</f>
        <v/>
      </c>
      <c r="B480">
        <f>IF($A480="","",IF(ISNUMBER($A480),IF(AND($A480&gt;=10000101,$A480&lt;=99991231),INT($A480/10000),""),IFERROR(VALUE(TRIM(LEFT($A480,FIND("/",$A480)-1))),"")))</f>
        <v/>
      </c>
      <c r="C480">
        <f>IF(OR($A480="",$B480=""),"",IF(ISNUMBER($A480),INT(MOD($A480,10000)/100),IFERROR(VALUE(TRIM(LEFT(MID($A480,FIND("/",$A480)+1,20),FIND("/",MID($A480,FIND("/",$A480)+1,20))-1))),"")))</f>
        <v/>
      </c>
      <c r="D480">
        <f>IF(OR($A480="",$B480=""),"",IF(ISNUMBER($A480),MOD($A480,100),IFERROR(VALUE(TRIM(MID(MID($A480,FIND("/",$A480)+1,20),FIND("/",MID($A480,FIND("/",$A480)+1,20))+1,20))),"")))</f>
        <v/>
      </c>
      <c r="E480">
        <f>IF($A480="","",IF(OR($B480="",$C480="",$D480="",$B480&lt;1300,$B480&gt;1500,$C480&lt;1,$C480&gt;12,$D480&lt;1,$D480&gt;31),"نامعتبر",RIGHT("0000"&amp;$B480,4)&amp;"/"&amp;RIGHT("00"&amp;$C480,2)&amp;"/"&amp;RIGHT("00"&amp;$D480,2)))</f>
        <v/>
      </c>
      <c r="F480">
        <f>IF(OR($E480="",$E480="نامعتبر"),"",LEFT($E480,4)&amp;"/"&amp;MID($E480,6,2))</f>
        <v/>
      </c>
      <c r="G480">
        <f>IF(OR($E480="",$E480="نامعتبر",Sync!$Y477=""),"",Sync!$Y477)</f>
        <v/>
      </c>
      <c r="H480">
        <f>IF($G480="","",IF(Sync!$X477="","",Sync!$X477))</f>
        <v/>
      </c>
      <c r="I480">
        <f>IF($G480="","",IFERROR(VLOOKUP(Sync!$X477,OpTbl,3,0),""))</f>
        <v/>
      </c>
      <c r="J480">
        <f>IF(OR($G480="",Sync!$Z477=""),"",Sync!$Z477)</f>
        <v/>
      </c>
      <c r="K480">
        <f>IF(OR($G480="",Sync!$AA477=""),"",Sync!$AA477)</f>
        <v/>
      </c>
      <c r="L480">
        <f>IF($G480="",0,IF(Sync!$AB477="",0,Sync!$AB477))</f>
        <v/>
      </c>
      <c r="M480">
        <f>IF($G480="",0,IF(Sync!$AC477="",0,Sync!$AC477))</f>
        <v/>
      </c>
      <c r="N480">
        <f>IF($G480="","",IF($H480="مرجوعی خرید",-1,1)*($L480-$M480*IFERROR(VLOOKUP("P01",ParamTbl,3,0),1.5))*(1-IF($I480="خرید",IFERROR(VLOOKUP("P02",ParamTbl,3,0),1),0)/100))</f>
        <v/>
      </c>
      <c r="O480">
        <f>IF($G480="",0,IF($H480="مرجوعی خرید",-1,1)*IF(Sync!$AD477="",0,Sync!$AD477))</f>
        <v/>
      </c>
      <c r="P480">
        <f>IF(OR($G480="",Sync!$W477=""),"",Sync!$W477)</f>
        <v/>
      </c>
      <c r="Q480">
        <f>IF(OR($G480="",Sync!$AE477=""),"",Sync!$AE477)</f>
        <v/>
      </c>
      <c r="R480">
        <f>IF($G480="","",IF(Sync!$V477="","0000",IF(AND(ISNUMBER(Sync!$V477),Sync!$V477&gt;=0,Sync!$V477&lt;1),RIGHT("00"&amp;HOUR(Sync!$V477),2)&amp;RIGHT("00"&amp;MINUTE(Sync!$V477),2),IFERROR(RIGHT("00"&amp;VALUE(LEFT(Sync!$V477,FIND(":",Sync!$V477)-1)),2)&amp;RIGHT("00"&amp;VALUE(MID(Sync!$V477,FIND(":",Sync!$V477)+1,2)),2),"0000"))))</f>
        <v/>
      </c>
    </row>
    <row r="481">
      <c r="A481">
        <f>IF(Sync!$U478="","",Sync!$U478)</f>
        <v/>
      </c>
      <c r="B481">
        <f>IF($A481="","",IF(ISNUMBER($A481),IF(AND($A481&gt;=10000101,$A481&lt;=99991231),INT($A481/10000),""),IFERROR(VALUE(TRIM(LEFT($A481,FIND("/",$A481)-1))),"")))</f>
        <v/>
      </c>
      <c r="C481">
        <f>IF(OR($A481="",$B481=""),"",IF(ISNUMBER($A481),INT(MOD($A481,10000)/100),IFERROR(VALUE(TRIM(LEFT(MID($A481,FIND("/",$A481)+1,20),FIND("/",MID($A481,FIND("/",$A481)+1,20))-1))),"")))</f>
        <v/>
      </c>
      <c r="D481">
        <f>IF(OR($A481="",$B481=""),"",IF(ISNUMBER($A481),MOD($A481,100),IFERROR(VALUE(TRIM(MID(MID($A481,FIND("/",$A481)+1,20),FIND("/",MID($A481,FIND("/",$A481)+1,20))+1,20))),"")))</f>
        <v/>
      </c>
      <c r="E481">
        <f>IF($A481="","",IF(OR($B481="",$C481="",$D481="",$B481&lt;1300,$B481&gt;1500,$C481&lt;1,$C481&gt;12,$D481&lt;1,$D481&gt;31),"نامعتبر",RIGHT("0000"&amp;$B481,4)&amp;"/"&amp;RIGHT("00"&amp;$C481,2)&amp;"/"&amp;RIGHT("00"&amp;$D481,2)))</f>
        <v/>
      </c>
      <c r="F481">
        <f>IF(OR($E481="",$E481="نامعتبر"),"",LEFT($E481,4)&amp;"/"&amp;MID($E481,6,2))</f>
        <v/>
      </c>
      <c r="G481">
        <f>IF(OR($E481="",$E481="نامعتبر",Sync!$Y478=""),"",Sync!$Y478)</f>
        <v/>
      </c>
      <c r="H481">
        <f>IF($G481="","",IF(Sync!$X478="","",Sync!$X478))</f>
        <v/>
      </c>
      <c r="I481">
        <f>IF($G481="","",IFERROR(VLOOKUP(Sync!$X478,OpTbl,3,0),""))</f>
        <v/>
      </c>
      <c r="J481">
        <f>IF(OR($G481="",Sync!$Z478=""),"",Sync!$Z478)</f>
        <v/>
      </c>
      <c r="K481">
        <f>IF(OR($G481="",Sync!$AA478=""),"",Sync!$AA478)</f>
        <v/>
      </c>
      <c r="L481">
        <f>IF($G481="",0,IF(Sync!$AB478="",0,Sync!$AB478))</f>
        <v/>
      </c>
      <c r="M481">
        <f>IF($G481="",0,IF(Sync!$AC478="",0,Sync!$AC478))</f>
        <v/>
      </c>
      <c r="N481">
        <f>IF($G481="","",IF($H481="مرجوعی خرید",-1,1)*($L481-$M481*IFERROR(VLOOKUP("P01",ParamTbl,3,0),1.5))*(1-IF($I481="خرید",IFERROR(VLOOKUP("P02",ParamTbl,3,0),1),0)/100))</f>
        <v/>
      </c>
      <c r="O481">
        <f>IF($G481="",0,IF($H481="مرجوعی خرید",-1,1)*IF(Sync!$AD478="",0,Sync!$AD478))</f>
        <v/>
      </c>
      <c r="P481">
        <f>IF(OR($G481="",Sync!$W478=""),"",Sync!$W478)</f>
        <v/>
      </c>
      <c r="Q481">
        <f>IF(OR($G481="",Sync!$AE478=""),"",Sync!$AE478)</f>
        <v/>
      </c>
      <c r="R481">
        <f>IF($G481="","",IF(Sync!$V478="","0000",IF(AND(ISNUMBER(Sync!$V478),Sync!$V478&gt;=0,Sync!$V478&lt;1),RIGHT("00"&amp;HOUR(Sync!$V478),2)&amp;RIGHT("00"&amp;MINUTE(Sync!$V478),2),IFERROR(RIGHT("00"&amp;VALUE(LEFT(Sync!$V478,FIND(":",Sync!$V478)-1)),2)&amp;RIGHT("00"&amp;VALUE(MID(Sync!$V478,FIND(":",Sync!$V478)+1,2)),2),"0000"))))</f>
        <v/>
      </c>
    </row>
    <row r="482">
      <c r="A482">
        <f>IF(Sync!$U479="","",Sync!$U479)</f>
        <v/>
      </c>
      <c r="B482">
        <f>IF($A482="","",IF(ISNUMBER($A482),IF(AND($A482&gt;=10000101,$A482&lt;=99991231),INT($A482/10000),""),IFERROR(VALUE(TRIM(LEFT($A482,FIND("/",$A482)-1))),"")))</f>
        <v/>
      </c>
      <c r="C482">
        <f>IF(OR($A482="",$B482=""),"",IF(ISNUMBER($A482),INT(MOD($A482,10000)/100),IFERROR(VALUE(TRIM(LEFT(MID($A482,FIND("/",$A482)+1,20),FIND("/",MID($A482,FIND("/",$A482)+1,20))-1))),"")))</f>
        <v/>
      </c>
      <c r="D482">
        <f>IF(OR($A482="",$B482=""),"",IF(ISNUMBER($A482),MOD($A482,100),IFERROR(VALUE(TRIM(MID(MID($A482,FIND("/",$A482)+1,20),FIND("/",MID($A482,FIND("/",$A482)+1,20))+1,20))),"")))</f>
        <v/>
      </c>
      <c r="E482">
        <f>IF($A482="","",IF(OR($B482="",$C482="",$D482="",$B482&lt;1300,$B482&gt;1500,$C482&lt;1,$C482&gt;12,$D482&lt;1,$D482&gt;31),"نامعتبر",RIGHT("0000"&amp;$B482,4)&amp;"/"&amp;RIGHT("00"&amp;$C482,2)&amp;"/"&amp;RIGHT("00"&amp;$D482,2)))</f>
        <v/>
      </c>
      <c r="F482">
        <f>IF(OR($E482="",$E482="نامعتبر"),"",LEFT($E482,4)&amp;"/"&amp;MID($E482,6,2))</f>
        <v/>
      </c>
      <c r="G482">
        <f>IF(OR($E482="",$E482="نامعتبر",Sync!$Y479=""),"",Sync!$Y479)</f>
        <v/>
      </c>
      <c r="H482">
        <f>IF($G482="","",IF(Sync!$X479="","",Sync!$X479))</f>
        <v/>
      </c>
      <c r="I482">
        <f>IF($G482="","",IFERROR(VLOOKUP(Sync!$X479,OpTbl,3,0),""))</f>
        <v/>
      </c>
      <c r="J482">
        <f>IF(OR($G482="",Sync!$Z479=""),"",Sync!$Z479)</f>
        <v/>
      </c>
      <c r="K482">
        <f>IF(OR($G482="",Sync!$AA479=""),"",Sync!$AA479)</f>
        <v/>
      </c>
      <c r="L482">
        <f>IF($G482="",0,IF(Sync!$AB479="",0,Sync!$AB479))</f>
        <v/>
      </c>
      <c r="M482">
        <f>IF($G482="",0,IF(Sync!$AC479="",0,Sync!$AC479))</f>
        <v/>
      </c>
      <c r="N482">
        <f>IF($G482="","",IF($H482="مرجوعی خرید",-1,1)*($L482-$M482*IFERROR(VLOOKUP("P01",ParamTbl,3,0),1.5))*(1-IF($I482="خرید",IFERROR(VLOOKUP("P02",ParamTbl,3,0),1),0)/100))</f>
        <v/>
      </c>
      <c r="O482">
        <f>IF($G482="",0,IF($H482="مرجوعی خرید",-1,1)*IF(Sync!$AD479="",0,Sync!$AD479))</f>
        <v/>
      </c>
      <c r="P482">
        <f>IF(OR($G482="",Sync!$W479=""),"",Sync!$W479)</f>
        <v/>
      </c>
      <c r="Q482">
        <f>IF(OR($G482="",Sync!$AE479=""),"",Sync!$AE479)</f>
        <v/>
      </c>
      <c r="R482">
        <f>IF($G482="","",IF(Sync!$V479="","0000",IF(AND(ISNUMBER(Sync!$V479),Sync!$V479&gt;=0,Sync!$V479&lt;1),RIGHT("00"&amp;HOUR(Sync!$V479),2)&amp;RIGHT("00"&amp;MINUTE(Sync!$V479),2),IFERROR(RIGHT("00"&amp;VALUE(LEFT(Sync!$V479,FIND(":",Sync!$V479)-1)),2)&amp;RIGHT("00"&amp;VALUE(MID(Sync!$V479,FIND(":",Sync!$V479)+1,2)),2),"0000"))))</f>
        <v/>
      </c>
    </row>
    <row r="483">
      <c r="A483">
        <f>IF(Sync!$U480="","",Sync!$U480)</f>
        <v/>
      </c>
      <c r="B483">
        <f>IF($A483="","",IF(ISNUMBER($A483),IF(AND($A483&gt;=10000101,$A483&lt;=99991231),INT($A483/10000),""),IFERROR(VALUE(TRIM(LEFT($A483,FIND("/",$A483)-1))),"")))</f>
        <v/>
      </c>
      <c r="C483">
        <f>IF(OR($A483="",$B483=""),"",IF(ISNUMBER($A483),INT(MOD($A483,10000)/100),IFERROR(VALUE(TRIM(LEFT(MID($A483,FIND("/",$A483)+1,20),FIND("/",MID($A483,FIND("/",$A483)+1,20))-1))),"")))</f>
        <v/>
      </c>
      <c r="D483">
        <f>IF(OR($A483="",$B483=""),"",IF(ISNUMBER($A483),MOD($A483,100),IFERROR(VALUE(TRIM(MID(MID($A483,FIND("/",$A483)+1,20),FIND("/",MID($A483,FIND("/",$A483)+1,20))+1,20))),"")))</f>
        <v/>
      </c>
      <c r="E483">
        <f>IF($A483="","",IF(OR($B483="",$C483="",$D483="",$B483&lt;1300,$B483&gt;1500,$C483&lt;1,$C483&gt;12,$D483&lt;1,$D483&gt;31),"نامعتبر",RIGHT("0000"&amp;$B483,4)&amp;"/"&amp;RIGHT("00"&amp;$C483,2)&amp;"/"&amp;RIGHT("00"&amp;$D483,2)))</f>
        <v/>
      </c>
      <c r="F483">
        <f>IF(OR($E483="",$E483="نامعتبر"),"",LEFT($E483,4)&amp;"/"&amp;MID($E483,6,2))</f>
        <v/>
      </c>
      <c r="G483">
        <f>IF(OR($E483="",$E483="نامعتبر",Sync!$Y480=""),"",Sync!$Y480)</f>
        <v/>
      </c>
      <c r="H483">
        <f>IF($G483="","",IF(Sync!$X480="","",Sync!$X480))</f>
        <v/>
      </c>
      <c r="I483">
        <f>IF($G483="","",IFERROR(VLOOKUP(Sync!$X480,OpTbl,3,0),""))</f>
        <v/>
      </c>
      <c r="J483">
        <f>IF(OR($G483="",Sync!$Z480=""),"",Sync!$Z480)</f>
        <v/>
      </c>
      <c r="K483">
        <f>IF(OR($G483="",Sync!$AA480=""),"",Sync!$AA480)</f>
        <v/>
      </c>
      <c r="L483">
        <f>IF($G483="",0,IF(Sync!$AB480="",0,Sync!$AB480))</f>
        <v/>
      </c>
      <c r="M483">
        <f>IF($G483="",0,IF(Sync!$AC480="",0,Sync!$AC480))</f>
        <v/>
      </c>
      <c r="N483">
        <f>IF($G483="","",IF($H483="مرجوعی خرید",-1,1)*($L483-$M483*IFERROR(VLOOKUP("P01",ParamTbl,3,0),1.5))*(1-IF($I483="خرید",IFERROR(VLOOKUP("P02",ParamTbl,3,0),1),0)/100))</f>
        <v/>
      </c>
      <c r="O483">
        <f>IF($G483="",0,IF($H483="مرجوعی خرید",-1,1)*IF(Sync!$AD480="",0,Sync!$AD480))</f>
        <v/>
      </c>
      <c r="P483">
        <f>IF(OR($G483="",Sync!$W480=""),"",Sync!$W480)</f>
        <v/>
      </c>
      <c r="Q483">
        <f>IF(OR($G483="",Sync!$AE480=""),"",Sync!$AE480)</f>
        <v/>
      </c>
      <c r="R483">
        <f>IF($G483="","",IF(Sync!$V480="","0000",IF(AND(ISNUMBER(Sync!$V480),Sync!$V480&gt;=0,Sync!$V480&lt;1),RIGHT("00"&amp;HOUR(Sync!$V480),2)&amp;RIGHT("00"&amp;MINUTE(Sync!$V480),2),IFERROR(RIGHT("00"&amp;VALUE(LEFT(Sync!$V480,FIND(":",Sync!$V480)-1)),2)&amp;RIGHT("00"&amp;VALUE(MID(Sync!$V480,FIND(":",Sync!$V480)+1,2)),2),"0000"))))</f>
        <v/>
      </c>
    </row>
    <row r="484">
      <c r="A484">
        <f>IF(Sync!$U481="","",Sync!$U481)</f>
        <v/>
      </c>
      <c r="B484">
        <f>IF($A484="","",IF(ISNUMBER($A484),IF(AND($A484&gt;=10000101,$A484&lt;=99991231),INT($A484/10000),""),IFERROR(VALUE(TRIM(LEFT($A484,FIND("/",$A484)-1))),"")))</f>
        <v/>
      </c>
      <c r="C484">
        <f>IF(OR($A484="",$B484=""),"",IF(ISNUMBER($A484),INT(MOD($A484,10000)/100),IFERROR(VALUE(TRIM(LEFT(MID($A484,FIND("/",$A484)+1,20),FIND("/",MID($A484,FIND("/",$A484)+1,20))-1))),"")))</f>
        <v/>
      </c>
      <c r="D484">
        <f>IF(OR($A484="",$B484=""),"",IF(ISNUMBER($A484),MOD($A484,100),IFERROR(VALUE(TRIM(MID(MID($A484,FIND("/",$A484)+1,20),FIND("/",MID($A484,FIND("/",$A484)+1,20))+1,20))),"")))</f>
        <v/>
      </c>
      <c r="E484">
        <f>IF($A484="","",IF(OR($B484="",$C484="",$D484="",$B484&lt;1300,$B484&gt;1500,$C484&lt;1,$C484&gt;12,$D484&lt;1,$D484&gt;31),"نامعتبر",RIGHT("0000"&amp;$B484,4)&amp;"/"&amp;RIGHT("00"&amp;$C484,2)&amp;"/"&amp;RIGHT("00"&amp;$D484,2)))</f>
        <v/>
      </c>
      <c r="F484">
        <f>IF(OR($E484="",$E484="نامعتبر"),"",LEFT($E484,4)&amp;"/"&amp;MID($E484,6,2))</f>
        <v/>
      </c>
      <c r="G484">
        <f>IF(OR($E484="",$E484="نامعتبر",Sync!$Y481=""),"",Sync!$Y481)</f>
        <v/>
      </c>
      <c r="H484">
        <f>IF($G484="","",IF(Sync!$X481="","",Sync!$X481))</f>
        <v/>
      </c>
      <c r="I484">
        <f>IF($G484="","",IFERROR(VLOOKUP(Sync!$X481,OpTbl,3,0),""))</f>
        <v/>
      </c>
      <c r="J484">
        <f>IF(OR($G484="",Sync!$Z481=""),"",Sync!$Z481)</f>
        <v/>
      </c>
      <c r="K484">
        <f>IF(OR($G484="",Sync!$AA481=""),"",Sync!$AA481)</f>
        <v/>
      </c>
      <c r="L484">
        <f>IF($G484="",0,IF(Sync!$AB481="",0,Sync!$AB481))</f>
        <v/>
      </c>
      <c r="M484">
        <f>IF($G484="",0,IF(Sync!$AC481="",0,Sync!$AC481))</f>
        <v/>
      </c>
      <c r="N484">
        <f>IF($G484="","",IF($H484="مرجوعی خرید",-1,1)*($L484-$M484*IFERROR(VLOOKUP("P01",ParamTbl,3,0),1.5))*(1-IF($I484="خرید",IFERROR(VLOOKUP("P02",ParamTbl,3,0),1),0)/100))</f>
        <v/>
      </c>
      <c r="O484">
        <f>IF($G484="",0,IF($H484="مرجوعی خرید",-1,1)*IF(Sync!$AD481="",0,Sync!$AD481))</f>
        <v/>
      </c>
      <c r="P484">
        <f>IF(OR($G484="",Sync!$W481=""),"",Sync!$W481)</f>
        <v/>
      </c>
      <c r="Q484">
        <f>IF(OR($G484="",Sync!$AE481=""),"",Sync!$AE481)</f>
        <v/>
      </c>
      <c r="R484">
        <f>IF($G484="","",IF(Sync!$V481="","0000",IF(AND(ISNUMBER(Sync!$V481),Sync!$V481&gt;=0,Sync!$V481&lt;1),RIGHT("00"&amp;HOUR(Sync!$V481),2)&amp;RIGHT("00"&amp;MINUTE(Sync!$V481),2),IFERROR(RIGHT("00"&amp;VALUE(LEFT(Sync!$V481,FIND(":",Sync!$V481)-1)),2)&amp;RIGHT("00"&amp;VALUE(MID(Sync!$V481,FIND(":",Sync!$V481)+1,2)),2),"0000"))))</f>
        <v/>
      </c>
    </row>
    <row r="485">
      <c r="A485">
        <f>IF(Sync!$U482="","",Sync!$U482)</f>
        <v/>
      </c>
      <c r="B485">
        <f>IF($A485="","",IF(ISNUMBER($A485),IF(AND($A485&gt;=10000101,$A485&lt;=99991231),INT($A485/10000),""),IFERROR(VALUE(TRIM(LEFT($A485,FIND("/",$A485)-1))),"")))</f>
        <v/>
      </c>
      <c r="C485">
        <f>IF(OR($A485="",$B485=""),"",IF(ISNUMBER($A485),INT(MOD($A485,10000)/100),IFERROR(VALUE(TRIM(LEFT(MID($A485,FIND("/",$A485)+1,20),FIND("/",MID($A485,FIND("/",$A485)+1,20))-1))),"")))</f>
        <v/>
      </c>
      <c r="D485">
        <f>IF(OR($A485="",$B485=""),"",IF(ISNUMBER($A485),MOD($A485,100),IFERROR(VALUE(TRIM(MID(MID($A485,FIND("/",$A485)+1,20),FIND("/",MID($A485,FIND("/",$A485)+1,20))+1,20))),"")))</f>
        <v/>
      </c>
      <c r="E485">
        <f>IF($A485="","",IF(OR($B485="",$C485="",$D485="",$B485&lt;1300,$B485&gt;1500,$C485&lt;1,$C485&gt;12,$D485&lt;1,$D485&gt;31),"نامعتبر",RIGHT("0000"&amp;$B485,4)&amp;"/"&amp;RIGHT("00"&amp;$C485,2)&amp;"/"&amp;RIGHT("00"&amp;$D485,2)))</f>
        <v/>
      </c>
      <c r="F485">
        <f>IF(OR($E485="",$E485="نامعتبر"),"",LEFT($E485,4)&amp;"/"&amp;MID($E485,6,2))</f>
        <v/>
      </c>
      <c r="G485">
        <f>IF(OR($E485="",$E485="نامعتبر",Sync!$Y482=""),"",Sync!$Y482)</f>
        <v/>
      </c>
      <c r="H485">
        <f>IF($G485="","",IF(Sync!$X482="","",Sync!$X482))</f>
        <v/>
      </c>
      <c r="I485">
        <f>IF($G485="","",IFERROR(VLOOKUP(Sync!$X482,OpTbl,3,0),""))</f>
        <v/>
      </c>
      <c r="J485">
        <f>IF(OR($G485="",Sync!$Z482=""),"",Sync!$Z482)</f>
        <v/>
      </c>
      <c r="K485">
        <f>IF(OR($G485="",Sync!$AA482=""),"",Sync!$AA482)</f>
        <v/>
      </c>
      <c r="L485">
        <f>IF($G485="",0,IF(Sync!$AB482="",0,Sync!$AB482))</f>
        <v/>
      </c>
      <c r="M485">
        <f>IF($G485="",0,IF(Sync!$AC482="",0,Sync!$AC482))</f>
        <v/>
      </c>
      <c r="N485">
        <f>IF($G485="","",IF($H485="مرجوعی خرید",-1,1)*($L485-$M485*IFERROR(VLOOKUP("P01",ParamTbl,3,0),1.5))*(1-IF($I485="خرید",IFERROR(VLOOKUP("P02",ParamTbl,3,0),1),0)/100))</f>
        <v/>
      </c>
      <c r="O485">
        <f>IF($G485="",0,IF($H485="مرجوعی خرید",-1,1)*IF(Sync!$AD482="",0,Sync!$AD482))</f>
        <v/>
      </c>
      <c r="P485">
        <f>IF(OR($G485="",Sync!$W482=""),"",Sync!$W482)</f>
        <v/>
      </c>
      <c r="Q485">
        <f>IF(OR($G485="",Sync!$AE482=""),"",Sync!$AE482)</f>
        <v/>
      </c>
      <c r="R485">
        <f>IF($G485="","",IF(Sync!$V482="","0000",IF(AND(ISNUMBER(Sync!$V482),Sync!$V482&gt;=0,Sync!$V482&lt;1),RIGHT("00"&amp;HOUR(Sync!$V482),2)&amp;RIGHT("00"&amp;MINUTE(Sync!$V482),2),IFERROR(RIGHT("00"&amp;VALUE(LEFT(Sync!$V482,FIND(":",Sync!$V482)-1)),2)&amp;RIGHT("00"&amp;VALUE(MID(Sync!$V482,FIND(":",Sync!$V482)+1,2)),2),"0000"))))</f>
        <v/>
      </c>
    </row>
    <row r="486">
      <c r="A486">
        <f>IF(Sync!$U483="","",Sync!$U483)</f>
        <v/>
      </c>
      <c r="B486">
        <f>IF($A486="","",IF(ISNUMBER($A486),IF(AND($A486&gt;=10000101,$A486&lt;=99991231),INT($A486/10000),""),IFERROR(VALUE(TRIM(LEFT($A486,FIND("/",$A486)-1))),"")))</f>
        <v/>
      </c>
      <c r="C486">
        <f>IF(OR($A486="",$B486=""),"",IF(ISNUMBER($A486),INT(MOD($A486,10000)/100),IFERROR(VALUE(TRIM(LEFT(MID($A486,FIND("/",$A486)+1,20),FIND("/",MID($A486,FIND("/",$A486)+1,20))-1))),"")))</f>
        <v/>
      </c>
      <c r="D486">
        <f>IF(OR($A486="",$B486=""),"",IF(ISNUMBER($A486),MOD($A486,100),IFERROR(VALUE(TRIM(MID(MID($A486,FIND("/",$A486)+1,20),FIND("/",MID($A486,FIND("/",$A486)+1,20))+1,20))),"")))</f>
        <v/>
      </c>
      <c r="E486">
        <f>IF($A486="","",IF(OR($B486="",$C486="",$D486="",$B486&lt;1300,$B486&gt;1500,$C486&lt;1,$C486&gt;12,$D486&lt;1,$D486&gt;31),"نامعتبر",RIGHT("0000"&amp;$B486,4)&amp;"/"&amp;RIGHT("00"&amp;$C486,2)&amp;"/"&amp;RIGHT("00"&amp;$D486,2)))</f>
        <v/>
      </c>
      <c r="F486">
        <f>IF(OR($E486="",$E486="نامعتبر"),"",LEFT($E486,4)&amp;"/"&amp;MID($E486,6,2))</f>
        <v/>
      </c>
      <c r="G486">
        <f>IF(OR($E486="",$E486="نامعتبر",Sync!$Y483=""),"",Sync!$Y483)</f>
        <v/>
      </c>
      <c r="H486">
        <f>IF($G486="","",IF(Sync!$X483="","",Sync!$X483))</f>
        <v/>
      </c>
      <c r="I486">
        <f>IF($G486="","",IFERROR(VLOOKUP(Sync!$X483,OpTbl,3,0),""))</f>
        <v/>
      </c>
      <c r="J486">
        <f>IF(OR($G486="",Sync!$Z483=""),"",Sync!$Z483)</f>
        <v/>
      </c>
      <c r="K486">
        <f>IF(OR($G486="",Sync!$AA483=""),"",Sync!$AA483)</f>
        <v/>
      </c>
      <c r="L486">
        <f>IF($G486="",0,IF(Sync!$AB483="",0,Sync!$AB483))</f>
        <v/>
      </c>
      <c r="M486">
        <f>IF($G486="",0,IF(Sync!$AC483="",0,Sync!$AC483))</f>
        <v/>
      </c>
      <c r="N486">
        <f>IF($G486="","",IF($H486="مرجوعی خرید",-1,1)*($L486-$M486*IFERROR(VLOOKUP("P01",ParamTbl,3,0),1.5))*(1-IF($I486="خرید",IFERROR(VLOOKUP("P02",ParamTbl,3,0),1),0)/100))</f>
        <v/>
      </c>
      <c r="O486">
        <f>IF($G486="",0,IF($H486="مرجوعی خرید",-1,1)*IF(Sync!$AD483="",0,Sync!$AD483))</f>
        <v/>
      </c>
      <c r="P486">
        <f>IF(OR($G486="",Sync!$W483=""),"",Sync!$W483)</f>
        <v/>
      </c>
      <c r="Q486">
        <f>IF(OR($G486="",Sync!$AE483=""),"",Sync!$AE483)</f>
        <v/>
      </c>
      <c r="R486">
        <f>IF($G486="","",IF(Sync!$V483="","0000",IF(AND(ISNUMBER(Sync!$V483),Sync!$V483&gt;=0,Sync!$V483&lt;1),RIGHT("00"&amp;HOUR(Sync!$V483),2)&amp;RIGHT("00"&amp;MINUTE(Sync!$V483),2),IFERROR(RIGHT("00"&amp;VALUE(LEFT(Sync!$V483,FIND(":",Sync!$V483)-1)),2)&amp;RIGHT("00"&amp;VALUE(MID(Sync!$V483,FIND(":",Sync!$V483)+1,2)),2),"0000"))))</f>
        <v/>
      </c>
    </row>
    <row r="487">
      <c r="A487">
        <f>IF(Sync!$U484="","",Sync!$U484)</f>
        <v/>
      </c>
      <c r="B487">
        <f>IF($A487="","",IF(ISNUMBER($A487),IF(AND($A487&gt;=10000101,$A487&lt;=99991231),INT($A487/10000),""),IFERROR(VALUE(TRIM(LEFT($A487,FIND("/",$A487)-1))),"")))</f>
        <v/>
      </c>
      <c r="C487">
        <f>IF(OR($A487="",$B487=""),"",IF(ISNUMBER($A487),INT(MOD($A487,10000)/100),IFERROR(VALUE(TRIM(LEFT(MID($A487,FIND("/",$A487)+1,20),FIND("/",MID($A487,FIND("/",$A487)+1,20))-1))),"")))</f>
        <v/>
      </c>
      <c r="D487">
        <f>IF(OR($A487="",$B487=""),"",IF(ISNUMBER($A487),MOD($A487,100),IFERROR(VALUE(TRIM(MID(MID($A487,FIND("/",$A487)+1,20),FIND("/",MID($A487,FIND("/",$A487)+1,20))+1,20))),"")))</f>
        <v/>
      </c>
      <c r="E487">
        <f>IF($A487="","",IF(OR($B487="",$C487="",$D487="",$B487&lt;1300,$B487&gt;1500,$C487&lt;1,$C487&gt;12,$D487&lt;1,$D487&gt;31),"نامعتبر",RIGHT("0000"&amp;$B487,4)&amp;"/"&amp;RIGHT("00"&amp;$C487,2)&amp;"/"&amp;RIGHT("00"&amp;$D487,2)))</f>
        <v/>
      </c>
      <c r="F487">
        <f>IF(OR($E487="",$E487="نامعتبر"),"",LEFT($E487,4)&amp;"/"&amp;MID($E487,6,2))</f>
        <v/>
      </c>
      <c r="G487">
        <f>IF(OR($E487="",$E487="نامعتبر",Sync!$Y484=""),"",Sync!$Y484)</f>
        <v/>
      </c>
      <c r="H487">
        <f>IF($G487="","",IF(Sync!$X484="","",Sync!$X484))</f>
        <v/>
      </c>
      <c r="I487">
        <f>IF($G487="","",IFERROR(VLOOKUP(Sync!$X484,OpTbl,3,0),""))</f>
        <v/>
      </c>
      <c r="J487">
        <f>IF(OR($G487="",Sync!$Z484=""),"",Sync!$Z484)</f>
        <v/>
      </c>
      <c r="K487">
        <f>IF(OR($G487="",Sync!$AA484=""),"",Sync!$AA484)</f>
        <v/>
      </c>
      <c r="L487">
        <f>IF($G487="",0,IF(Sync!$AB484="",0,Sync!$AB484))</f>
        <v/>
      </c>
      <c r="M487">
        <f>IF($G487="",0,IF(Sync!$AC484="",0,Sync!$AC484))</f>
        <v/>
      </c>
      <c r="N487">
        <f>IF($G487="","",IF($H487="مرجوعی خرید",-1,1)*($L487-$M487*IFERROR(VLOOKUP("P01",ParamTbl,3,0),1.5))*(1-IF($I487="خرید",IFERROR(VLOOKUP("P02",ParamTbl,3,0),1),0)/100))</f>
        <v/>
      </c>
      <c r="O487">
        <f>IF($G487="",0,IF($H487="مرجوعی خرید",-1,1)*IF(Sync!$AD484="",0,Sync!$AD484))</f>
        <v/>
      </c>
      <c r="P487">
        <f>IF(OR($G487="",Sync!$W484=""),"",Sync!$W484)</f>
        <v/>
      </c>
      <c r="Q487">
        <f>IF(OR($G487="",Sync!$AE484=""),"",Sync!$AE484)</f>
        <v/>
      </c>
      <c r="R487">
        <f>IF($G487="","",IF(Sync!$V484="","0000",IF(AND(ISNUMBER(Sync!$V484),Sync!$V484&gt;=0,Sync!$V484&lt;1),RIGHT("00"&amp;HOUR(Sync!$V484),2)&amp;RIGHT("00"&amp;MINUTE(Sync!$V484),2),IFERROR(RIGHT("00"&amp;VALUE(LEFT(Sync!$V484,FIND(":",Sync!$V484)-1)),2)&amp;RIGHT("00"&amp;VALUE(MID(Sync!$V484,FIND(":",Sync!$V484)+1,2)),2),"0000"))))</f>
        <v/>
      </c>
    </row>
    <row r="488">
      <c r="A488">
        <f>IF(Sync!$U485="","",Sync!$U485)</f>
        <v/>
      </c>
      <c r="B488">
        <f>IF($A488="","",IF(ISNUMBER($A488),IF(AND($A488&gt;=10000101,$A488&lt;=99991231),INT($A488/10000),""),IFERROR(VALUE(TRIM(LEFT($A488,FIND("/",$A488)-1))),"")))</f>
        <v/>
      </c>
      <c r="C488">
        <f>IF(OR($A488="",$B488=""),"",IF(ISNUMBER($A488),INT(MOD($A488,10000)/100),IFERROR(VALUE(TRIM(LEFT(MID($A488,FIND("/",$A488)+1,20),FIND("/",MID($A488,FIND("/",$A488)+1,20))-1))),"")))</f>
        <v/>
      </c>
      <c r="D488">
        <f>IF(OR($A488="",$B488=""),"",IF(ISNUMBER($A488),MOD($A488,100),IFERROR(VALUE(TRIM(MID(MID($A488,FIND("/",$A488)+1,20),FIND("/",MID($A488,FIND("/",$A488)+1,20))+1,20))),"")))</f>
        <v/>
      </c>
      <c r="E488">
        <f>IF($A488="","",IF(OR($B488="",$C488="",$D488="",$B488&lt;1300,$B488&gt;1500,$C488&lt;1,$C488&gt;12,$D488&lt;1,$D488&gt;31),"نامعتبر",RIGHT("0000"&amp;$B488,4)&amp;"/"&amp;RIGHT("00"&amp;$C488,2)&amp;"/"&amp;RIGHT("00"&amp;$D488,2)))</f>
        <v/>
      </c>
      <c r="F488">
        <f>IF(OR($E488="",$E488="نامعتبر"),"",LEFT($E488,4)&amp;"/"&amp;MID($E488,6,2))</f>
        <v/>
      </c>
      <c r="G488">
        <f>IF(OR($E488="",$E488="نامعتبر",Sync!$Y485=""),"",Sync!$Y485)</f>
        <v/>
      </c>
      <c r="H488">
        <f>IF($G488="","",IF(Sync!$X485="","",Sync!$X485))</f>
        <v/>
      </c>
      <c r="I488">
        <f>IF($G488="","",IFERROR(VLOOKUP(Sync!$X485,OpTbl,3,0),""))</f>
        <v/>
      </c>
      <c r="J488">
        <f>IF(OR($G488="",Sync!$Z485=""),"",Sync!$Z485)</f>
        <v/>
      </c>
      <c r="K488">
        <f>IF(OR($G488="",Sync!$AA485=""),"",Sync!$AA485)</f>
        <v/>
      </c>
      <c r="L488">
        <f>IF($G488="",0,IF(Sync!$AB485="",0,Sync!$AB485))</f>
        <v/>
      </c>
      <c r="M488">
        <f>IF($G488="",0,IF(Sync!$AC485="",0,Sync!$AC485))</f>
        <v/>
      </c>
      <c r="N488">
        <f>IF($G488="","",IF($H488="مرجوعی خرید",-1,1)*($L488-$M488*IFERROR(VLOOKUP("P01",ParamTbl,3,0),1.5))*(1-IF($I488="خرید",IFERROR(VLOOKUP("P02",ParamTbl,3,0),1),0)/100))</f>
        <v/>
      </c>
      <c r="O488">
        <f>IF($G488="",0,IF($H488="مرجوعی خرید",-1,1)*IF(Sync!$AD485="",0,Sync!$AD485))</f>
        <v/>
      </c>
      <c r="P488">
        <f>IF(OR($G488="",Sync!$W485=""),"",Sync!$W485)</f>
        <v/>
      </c>
      <c r="Q488">
        <f>IF(OR($G488="",Sync!$AE485=""),"",Sync!$AE485)</f>
        <v/>
      </c>
      <c r="R488">
        <f>IF($G488="","",IF(Sync!$V485="","0000",IF(AND(ISNUMBER(Sync!$V485),Sync!$V485&gt;=0,Sync!$V485&lt;1),RIGHT("00"&amp;HOUR(Sync!$V485),2)&amp;RIGHT("00"&amp;MINUTE(Sync!$V485),2),IFERROR(RIGHT("00"&amp;VALUE(LEFT(Sync!$V485,FIND(":",Sync!$V485)-1)),2)&amp;RIGHT("00"&amp;VALUE(MID(Sync!$V485,FIND(":",Sync!$V485)+1,2)),2),"0000"))))</f>
        <v/>
      </c>
    </row>
    <row r="489">
      <c r="A489">
        <f>IF(Sync!$U486="","",Sync!$U486)</f>
        <v/>
      </c>
      <c r="B489">
        <f>IF($A489="","",IF(ISNUMBER($A489),IF(AND($A489&gt;=10000101,$A489&lt;=99991231),INT($A489/10000),""),IFERROR(VALUE(TRIM(LEFT($A489,FIND("/",$A489)-1))),"")))</f>
        <v/>
      </c>
      <c r="C489">
        <f>IF(OR($A489="",$B489=""),"",IF(ISNUMBER($A489),INT(MOD($A489,10000)/100),IFERROR(VALUE(TRIM(LEFT(MID($A489,FIND("/",$A489)+1,20),FIND("/",MID($A489,FIND("/",$A489)+1,20))-1))),"")))</f>
        <v/>
      </c>
      <c r="D489">
        <f>IF(OR($A489="",$B489=""),"",IF(ISNUMBER($A489),MOD($A489,100),IFERROR(VALUE(TRIM(MID(MID($A489,FIND("/",$A489)+1,20),FIND("/",MID($A489,FIND("/",$A489)+1,20))+1,20))),"")))</f>
        <v/>
      </c>
      <c r="E489">
        <f>IF($A489="","",IF(OR($B489="",$C489="",$D489="",$B489&lt;1300,$B489&gt;1500,$C489&lt;1,$C489&gt;12,$D489&lt;1,$D489&gt;31),"نامعتبر",RIGHT("0000"&amp;$B489,4)&amp;"/"&amp;RIGHT("00"&amp;$C489,2)&amp;"/"&amp;RIGHT("00"&amp;$D489,2)))</f>
        <v/>
      </c>
      <c r="F489">
        <f>IF(OR($E489="",$E489="نامعتبر"),"",LEFT($E489,4)&amp;"/"&amp;MID($E489,6,2))</f>
        <v/>
      </c>
      <c r="G489">
        <f>IF(OR($E489="",$E489="نامعتبر",Sync!$Y486=""),"",Sync!$Y486)</f>
        <v/>
      </c>
      <c r="H489">
        <f>IF($G489="","",IF(Sync!$X486="","",Sync!$X486))</f>
        <v/>
      </c>
      <c r="I489">
        <f>IF($G489="","",IFERROR(VLOOKUP(Sync!$X486,OpTbl,3,0),""))</f>
        <v/>
      </c>
      <c r="J489">
        <f>IF(OR($G489="",Sync!$Z486=""),"",Sync!$Z486)</f>
        <v/>
      </c>
      <c r="K489">
        <f>IF(OR($G489="",Sync!$AA486=""),"",Sync!$AA486)</f>
        <v/>
      </c>
      <c r="L489">
        <f>IF($G489="",0,IF(Sync!$AB486="",0,Sync!$AB486))</f>
        <v/>
      </c>
      <c r="M489">
        <f>IF($G489="",0,IF(Sync!$AC486="",0,Sync!$AC486))</f>
        <v/>
      </c>
      <c r="N489">
        <f>IF($G489="","",IF($H489="مرجوعی خرید",-1,1)*($L489-$M489*IFERROR(VLOOKUP("P01",ParamTbl,3,0),1.5))*(1-IF($I489="خرید",IFERROR(VLOOKUP("P02",ParamTbl,3,0),1),0)/100))</f>
        <v/>
      </c>
      <c r="O489">
        <f>IF($G489="",0,IF($H489="مرجوعی خرید",-1,1)*IF(Sync!$AD486="",0,Sync!$AD486))</f>
        <v/>
      </c>
      <c r="P489">
        <f>IF(OR($G489="",Sync!$W486=""),"",Sync!$W486)</f>
        <v/>
      </c>
      <c r="Q489">
        <f>IF(OR($G489="",Sync!$AE486=""),"",Sync!$AE486)</f>
        <v/>
      </c>
      <c r="R489">
        <f>IF($G489="","",IF(Sync!$V486="","0000",IF(AND(ISNUMBER(Sync!$V486),Sync!$V486&gt;=0,Sync!$V486&lt;1),RIGHT("00"&amp;HOUR(Sync!$V486),2)&amp;RIGHT("00"&amp;MINUTE(Sync!$V486),2),IFERROR(RIGHT("00"&amp;VALUE(LEFT(Sync!$V486,FIND(":",Sync!$V486)-1)),2)&amp;RIGHT("00"&amp;VALUE(MID(Sync!$V486,FIND(":",Sync!$V486)+1,2)),2),"0000"))))</f>
        <v/>
      </c>
    </row>
    <row r="490">
      <c r="A490">
        <f>IF(Sync!$U487="","",Sync!$U487)</f>
        <v/>
      </c>
      <c r="B490">
        <f>IF($A490="","",IF(ISNUMBER($A490),IF(AND($A490&gt;=10000101,$A490&lt;=99991231),INT($A490/10000),""),IFERROR(VALUE(TRIM(LEFT($A490,FIND("/",$A490)-1))),"")))</f>
        <v/>
      </c>
      <c r="C490">
        <f>IF(OR($A490="",$B490=""),"",IF(ISNUMBER($A490),INT(MOD($A490,10000)/100),IFERROR(VALUE(TRIM(LEFT(MID($A490,FIND("/",$A490)+1,20),FIND("/",MID($A490,FIND("/",$A490)+1,20))-1))),"")))</f>
        <v/>
      </c>
      <c r="D490">
        <f>IF(OR($A490="",$B490=""),"",IF(ISNUMBER($A490),MOD($A490,100),IFERROR(VALUE(TRIM(MID(MID($A490,FIND("/",$A490)+1,20),FIND("/",MID($A490,FIND("/",$A490)+1,20))+1,20))),"")))</f>
        <v/>
      </c>
      <c r="E490">
        <f>IF($A490="","",IF(OR($B490="",$C490="",$D490="",$B490&lt;1300,$B490&gt;1500,$C490&lt;1,$C490&gt;12,$D490&lt;1,$D490&gt;31),"نامعتبر",RIGHT("0000"&amp;$B490,4)&amp;"/"&amp;RIGHT("00"&amp;$C490,2)&amp;"/"&amp;RIGHT("00"&amp;$D490,2)))</f>
        <v/>
      </c>
      <c r="F490">
        <f>IF(OR($E490="",$E490="نامعتبر"),"",LEFT($E490,4)&amp;"/"&amp;MID($E490,6,2))</f>
        <v/>
      </c>
      <c r="G490">
        <f>IF(OR($E490="",$E490="نامعتبر",Sync!$Y487=""),"",Sync!$Y487)</f>
        <v/>
      </c>
      <c r="H490">
        <f>IF($G490="","",IF(Sync!$X487="","",Sync!$X487))</f>
        <v/>
      </c>
      <c r="I490">
        <f>IF($G490="","",IFERROR(VLOOKUP(Sync!$X487,OpTbl,3,0),""))</f>
        <v/>
      </c>
      <c r="J490">
        <f>IF(OR($G490="",Sync!$Z487=""),"",Sync!$Z487)</f>
        <v/>
      </c>
      <c r="K490">
        <f>IF(OR($G490="",Sync!$AA487=""),"",Sync!$AA487)</f>
        <v/>
      </c>
      <c r="L490">
        <f>IF($G490="",0,IF(Sync!$AB487="",0,Sync!$AB487))</f>
        <v/>
      </c>
      <c r="M490">
        <f>IF($G490="",0,IF(Sync!$AC487="",0,Sync!$AC487))</f>
        <v/>
      </c>
      <c r="N490">
        <f>IF($G490="","",IF($H490="مرجوعی خرید",-1,1)*($L490-$M490*IFERROR(VLOOKUP("P01",ParamTbl,3,0),1.5))*(1-IF($I490="خرید",IFERROR(VLOOKUP("P02",ParamTbl,3,0),1),0)/100))</f>
        <v/>
      </c>
      <c r="O490">
        <f>IF($G490="",0,IF($H490="مرجوعی خرید",-1,1)*IF(Sync!$AD487="",0,Sync!$AD487))</f>
        <v/>
      </c>
      <c r="P490">
        <f>IF(OR($G490="",Sync!$W487=""),"",Sync!$W487)</f>
        <v/>
      </c>
      <c r="Q490">
        <f>IF(OR($G490="",Sync!$AE487=""),"",Sync!$AE487)</f>
        <v/>
      </c>
      <c r="R490">
        <f>IF($G490="","",IF(Sync!$V487="","0000",IF(AND(ISNUMBER(Sync!$V487),Sync!$V487&gt;=0,Sync!$V487&lt;1),RIGHT("00"&amp;HOUR(Sync!$V487),2)&amp;RIGHT("00"&amp;MINUTE(Sync!$V487),2),IFERROR(RIGHT("00"&amp;VALUE(LEFT(Sync!$V487,FIND(":",Sync!$V487)-1)),2)&amp;RIGHT("00"&amp;VALUE(MID(Sync!$V487,FIND(":",Sync!$V487)+1,2)),2),"0000"))))</f>
        <v/>
      </c>
    </row>
    <row r="491">
      <c r="A491">
        <f>IF(Sync!$U488="","",Sync!$U488)</f>
        <v/>
      </c>
      <c r="B491">
        <f>IF($A491="","",IF(ISNUMBER($A491),IF(AND($A491&gt;=10000101,$A491&lt;=99991231),INT($A491/10000),""),IFERROR(VALUE(TRIM(LEFT($A491,FIND("/",$A491)-1))),"")))</f>
        <v/>
      </c>
      <c r="C491">
        <f>IF(OR($A491="",$B491=""),"",IF(ISNUMBER($A491),INT(MOD($A491,10000)/100),IFERROR(VALUE(TRIM(LEFT(MID($A491,FIND("/",$A491)+1,20),FIND("/",MID($A491,FIND("/",$A491)+1,20))-1))),"")))</f>
        <v/>
      </c>
      <c r="D491">
        <f>IF(OR($A491="",$B491=""),"",IF(ISNUMBER($A491),MOD($A491,100),IFERROR(VALUE(TRIM(MID(MID($A491,FIND("/",$A491)+1,20),FIND("/",MID($A491,FIND("/",$A491)+1,20))+1,20))),"")))</f>
        <v/>
      </c>
      <c r="E491">
        <f>IF($A491="","",IF(OR($B491="",$C491="",$D491="",$B491&lt;1300,$B491&gt;1500,$C491&lt;1,$C491&gt;12,$D491&lt;1,$D491&gt;31),"نامعتبر",RIGHT("0000"&amp;$B491,4)&amp;"/"&amp;RIGHT("00"&amp;$C491,2)&amp;"/"&amp;RIGHT("00"&amp;$D491,2)))</f>
        <v/>
      </c>
      <c r="F491">
        <f>IF(OR($E491="",$E491="نامعتبر"),"",LEFT($E491,4)&amp;"/"&amp;MID($E491,6,2))</f>
        <v/>
      </c>
      <c r="G491">
        <f>IF(OR($E491="",$E491="نامعتبر",Sync!$Y488=""),"",Sync!$Y488)</f>
        <v/>
      </c>
      <c r="H491">
        <f>IF($G491="","",IF(Sync!$X488="","",Sync!$X488))</f>
        <v/>
      </c>
      <c r="I491">
        <f>IF($G491="","",IFERROR(VLOOKUP(Sync!$X488,OpTbl,3,0),""))</f>
        <v/>
      </c>
      <c r="J491">
        <f>IF(OR($G491="",Sync!$Z488=""),"",Sync!$Z488)</f>
        <v/>
      </c>
      <c r="K491">
        <f>IF(OR($G491="",Sync!$AA488=""),"",Sync!$AA488)</f>
        <v/>
      </c>
      <c r="L491">
        <f>IF($G491="",0,IF(Sync!$AB488="",0,Sync!$AB488))</f>
        <v/>
      </c>
      <c r="M491">
        <f>IF($G491="",0,IF(Sync!$AC488="",0,Sync!$AC488))</f>
        <v/>
      </c>
      <c r="N491">
        <f>IF($G491="","",IF($H491="مرجوعی خرید",-1,1)*($L491-$M491*IFERROR(VLOOKUP("P01",ParamTbl,3,0),1.5))*(1-IF($I491="خرید",IFERROR(VLOOKUP("P02",ParamTbl,3,0),1),0)/100))</f>
        <v/>
      </c>
      <c r="O491">
        <f>IF($G491="",0,IF($H491="مرجوعی خرید",-1,1)*IF(Sync!$AD488="",0,Sync!$AD488))</f>
        <v/>
      </c>
      <c r="P491">
        <f>IF(OR($G491="",Sync!$W488=""),"",Sync!$W488)</f>
        <v/>
      </c>
      <c r="Q491">
        <f>IF(OR($G491="",Sync!$AE488=""),"",Sync!$AE488)</f>
        <v/>
      </c>
      <c r="R491">
        <f>IF($G491="","",IF(Sync!$V488="","0000",IF(AND(ISNUMBER(Sync!$V488),Sync!$V488&gt;=0,Sync!$V488&lt;1),RIGHT("00"&amp;HOUR(Sync!$V488),2)&amp;RIGHT("00"&amp;MINUTE(Sync!$V488),2),IFERROR(RIGHT("00"&amp;VALUE(LEFT(Sync!$V488,FIND(":",Sync!$V488)-1)),2)&amp;RIGHT("00"&amp;VALUE(MID(Sync!$V488,FIND(":",Sync!$V488)+1,2)),2),"0000"))))</f>
        <v/>
      </c>
    </row>
    <row r="492">
      <c r="A492">
        <f>IF(Sync!$U489="","",Sync!$U489)</f>
        <v/>
      </c>
      <c r="B492">
        <f>IF($A492="","",IF(ISNUMBER($A492),IF(AND($A492&gt;=10000101,$A492&lt;=99991231),INT($A492/10000),""),IFERROR(VALUE(TRIM(LEFT($A492,FIND("/",$A492)-1))),"")))</f>
        <v/>
      </c>
      <c r="C492">
        <f>IF(OR($A492="",$B492=""),"",IF(ISNUMBER($A492),INT(MOD($A492,10000)/100),IFERROR(VALUE(TRIM(LEFT(MID($A492,FIND("/",$A492)+1,20),FIND("/",MID($A492,FIND("/",$A492)+1,20))-1))),"")))</f>
        <v/>
      </c>
      <c r="D492">
        <f>IF(OR($A492="",$B492=""),"",IF(ISNUMBER($A492),MOD($A492,100),IFERROR(VALUE(TRIM(MID(MID($A492,FIND("/",$A492)+1,20),FIND("/",MID($A492,FIND("/",$A492)+1,20))+1,20))),"")))</f>
        <v/>
      </c>
      <c r="E492">
        <f>IF($A492="","",IF(OR($B492="",$C492="",$D492="",$B492&lt;1300,$B492&gt;1500,$C492&lt;1,$C492&gt;12,$D492&lt;1,$D492&gt;31),"نامعتبر",RIGHT("0000"&amp;$B492,4)&amp;"/"&amp;RIGHT("00"&amp;$C492,2)&amp;"/"&amp;RIGHT("00"&amp;$D492,2)))</f>
        <v/>
      </c>
      <c r="F492">
        <f>IF(OR($E492="",$E492="نامعتبر"),"",LEFT($E492,4)&amp;"/"&amp;MID($E492,6,2))</f>
        <v/>
      </c>
      <c r="G492">
        <f>IF(OR($E492="",$E492="نامعتبر",Sync!$Y489=""),"",Sync!$Y489)</f>
        <v/>
      </c>
      <c r="H492">
        <f>IF($G492="","",IF(Sync!$X489="","",Sync!$X489))</f>
        <v/>
      </c>
      <c r="I492">
        <f>IF($G492="","",IFERROR(VLOOKUP(Sync!$X489,OpTbl,3,0),""))</f>
        <v/>
      </c>
      <c r="J492">
        <f>IF(OR($G492="",Sync!$Z489=""),"",Sync!$Z489)</f>
        <v/>
      </c>
      <c r="K492">
        <f>IF(OR($G492="",Sync!$AA489=""),"",Sync!$AA489)</f>
        <v/>
      </c>
      <c r="L492">
        <f>IF($G492="",0,IF(Sync!$AB489="",0,Sync!$AB489))</f>
        <v/>
      </c>
      <c r="M492">
        <f>IF($G492="",0,IF(Sync!$AC489="",0,Sync!$AC489))</f>
        <v/>
      </c>
      <c r="N492">
        <f>IF($G492="","",IF($H492="مرجوعی خرید",-1,1)*($L492-$M492*IFERROR(VLOOKUP("P01",ParamTbl,3,0),1.5))*(1-IF($I492="خرید",IFERROR(VLOOKUP("P02",ParamTbl,3,0),1),0)/100))</f>
        <v/>
      </c>
      <c r="O492">
        <f>IF($G492="",0,IF($H492="مرجوعی خرید",-1,1)*IF(Sync!$AD489="",0,Sync!$AD489))</f>
        <v/>
      </c>
      <c r="P492">
        <f>IF(OR($G492="",Sync!$W489=""),"",Sync!$W489)</f>
        <v/>
      </c>
      <c r="Q492">
        <f>IF(OR($G492="",Sync!$AE489=""),"",Sync!$AE489)</f>
        <v/>
      </c>
      <c r="R492">
        <f>IF($G492="","",IF(Sync!$V489="","0000",IF(AND(ISNUMBER(Sync!$V489),Sync!$V489&gt;=0,Sync!$V489&lt;1),RIGHT("00"&amp;HOUR(Sync!$V489),2)&amp;RIGHT("00"&amp;MINUTE(Sync!$V489),2),IFERROR(RIGHT("00"&amp;VALUE(LEFT(Sync!$V489,FIND(":",Sync!$V489)-1)),2)&amp;RIGHT("00"&amp;VALUE(MID(Sync!$V489,FIND(":",Sync!$V489)+1,2)),2),"0000"))))</f>
        <v/>
      </c>
    </row>
    <row r="493">
      <c r="A493">
        <f>IF(Sync!$U490="","",Sync!$U490)</f>
        <v/>
      </c>
      <c r="B493">
        <f>IF($A493="","",IF(ISNUMBER($A493),IF(AND($A493&gt;=10000101,$A493&lt;=99991231),INT($A493/10000),""),IFERROR(VALUE(TRIM(LEFT($A493,FIND("/",$A493)-1))),"")))</f>
        <v/>
      </c>
      <c r="C493">
        <f>IF(OR($A493="",$B493=""),"",IF(ISNUMBER($A493),INT(MOD($A493,10000)/100),IFERROR(VALUE(TRIM(LEFT(MID($A493,FIND("/",$A493)+1,20),FIND("/",MID($A493,FIND("/",$A493)+1,20))-1))),"")))</f>
        <v/>
      </c>
      <c r="D493">
        <f>IF(OR($A493="",$B493=""),"",IF(ISNUMBER($A493),MOD($A493,100),IFERROR(VALUE(TRIM(MID(MID($A493,FIND("/",$A493)+1,20),FIND("/",MID($A493,FIND("/",$A493)+1,20))+1,20))),"")))</f>
        <v/>
      </c>
      <c r="E493">
        <f>IF($A493="","",IF(OR($B493="",$C493="",$D493="",$B493&lt;1300,$B493&gt;1500,$C493&lt;1,$C493&gt;12,$D493&lt;1,$D493&gt;31),"نامعتبر",RIGHT("0000"&amp;$B493,4)&amp;"/"&amp;RIGHT("00"&amp;$C493,2)&amp;"/"&amp;RIGHT("00"&amp;$D493,2)))</f>
        <v/>
      </c>
      <c r="F493">
        <f>IF(OR($E493="",$E493="نامعتبر"),"",LEFT($E493,4)&amp;"/"&amp;MID($E493,6,2))</f>
        <v/>
      </c>
      <c r="G493">
        <f>IF(OR($E493="",$E493="نامعتبر",Sync!$Y490=""),"",Sync!$Y490)</f>
        <v/>
      </c>
      <c r="H493">
        <f>IF($G493="","",IF(Sync!$X490="","",Sync!$X490))</f>
        <v/>
      </c>
      <c r="I493">
        <f>IF($G493="","",IFERROR(VLOOKUP(Sync!$X490,OpTbl,3,0),""))</f>
        <v/>
      </c>
      <c r="J493">
        <f>IF(OR($G493="",Sync!$Z490=""),"",Sync!$Z490)</f>
        <v/>
      </c>
      <c r="K493">
        <f>IF(OR($G493="",Sync!$AA490=""),"",Sync!$AA490)</f>
        <v/>
      </c>
      <c r="L493">
        <f>IF($G493="",0,IF(Sync!$AB490="",0,Sync!$AB490))</f>
        <v/>
      </c>
      <c r="M493">
        <f>IF($G493="",0,IF(Sync!$AC490="",0,Sync!$AC490))</f>
        <v/>
      </c>
      <c r="N493">
        <f>IF($G493="","",IF($H493="مرجوعی خرید",-1,1)*($L493-$M493*IFERROR(VLOOKUP("P01",ParamTbl,3,0),1.5))*(1-IF($I493="خرید",IFERROR(VLOOKUP("P02",ParamTbl,3,0),1),0)/100))</f>
        <v/>
      </c>
      <c r="O493">
        <f>IF($G493="",0,IF($H493="مرجوعی خرید",-1,1)*IF(Sync!$AD490="",0,Sync!$AD490))</f>
        <v/>
      </c>
      <c r="P493">
        <f>IF(OR($G493="",Sync!$W490=""),"",Sync!$W490)</f>
        <v/>
      </c>
      <c r="Q493">
        <f>IF(OR($G493="",Sync!$AE490=""),"",Sync!$AE490)</f>
        <v/>
      </c>
      <c r="R493">
        <f>IF($G493="","",IF(Sync!$V490="","0000",IF(AND(ISNUMBER(Sync!$V490),Sync!$V490&gt;=0,Sync!$V490&lt;1),RIGHT("00"&amp;HOUR(Sync!$V490),2)&amp;RIGHT("00"&amp;MINUTE(Sync!$V490),2),IFERROR(RIGHT("00"&amp;VALUE(LEFT(Sync!$V490,FIND(":",Sync!$V490)-1)),2)&amp;RIGHT("00"&amp;VALUE(MID(Sync!$V490,FIND(":",Sync!$V490)+1,2)),2),"0000"))))</f>
        <v/>
      </c>
    </row>
    <row r="494">
      <c r="A494">
        <f>IF(Sync!$U491="","",Sync!$U491)</f>
        <v/>
      </c>
      <c r="B494">
        <f>IF($A494="","",IF(ISNUMBER($A494),IF(AND($A494&gt;=10000101,$A494&lt;=99991231),INT($A494/10000),""),IFERROR(VALUE(TRIM(LEFT($A494,FIND("/",$A494)-1))),"")))</f>
        <v/>
      </c>
      <c r="C494">
        <f>IF(OR($A494="",$B494=""),"",IF(ISNUMBER($A494),INT(MOD($A494,10000)/100),IFERROR(VALUE(TRIM(LEFT(MID($A494,FIND("/",$A494)+1,20),FIND("/",MID($A494,FIND("/",$A494)+1,20))-1))),"")))</f>
        <v/>
      </c>
      <c r="D494">
        <f>IF(OR($A494="",$B494=""),"",IF(ISNUMBER($A494),MOD($A494,100),IFERROR(VALUE(TRIM(MID(MID($A494,FIND("/",$A494)+1,20),FIND("/",MID($A494,FIND("/",$A494)+1,20))+1,20))),"")))</f>
        <v/>
      </c>
      <c r="E494">
        <f>IF($A494="","",IF(OR($B494="",$C494="",$D494="",$B494&lt;1300,$B494&gt;1500,$C494&lt;1,$C494&gt;12,$D494&lt;1,$D494&gt;31),"نامعتبر",RIGHT("0000"&amp;$B494,4)&amp;"/"&amp;RIGHT("00"&amp;$C494,2)&amp;"/"&amp;RIGHT("00"&amp;$D494,2)))</f>
        <v/>
      </c>
      <c r="F494">
        <f>IF(OR($E494="",$E494="نامعتبر"),"",LEFT($E494,4)&amp;"/"&amp;MID($E494,6,2))</f>
        <v/>
      </c>
      <c r="G494">
        <f>IF(OR($E494="",$E494="نامعتبر",Sync!$Y491=""),"",Sync!$Y491)</f>
        <v/>
      </c>
      <c r="H494">
        <f>IF($G494="","",IF(Sync!$X491="","",Sync!$X491))</f>
        <v/>
      </c>
      <c r="I494">
        <f>IF($G494="","",IFERROR(VLOOKUP(Sync!$X491,OpTbl,3,0),""))</f>
        <v/>
      </c>
      <c r="J494">
        <f>IF(OR($G494="",Sync!$Z491=""),"",Sync!$Z491)</f>
        <v/>
      </c>
      <c r="K494">
        <f>IF(OR($G494="",Sync!$AA491=""),"",Sync!$AA491)</f>
        <v/>
      </c>
      <c r="L494">
        <f>IF($G494="",0,IF(Sync!$AB491="",0,Sync!$AB491))</f>
        <v/>
      </c>
      <c r="M494">
        <f>IF($G494="",0,IF(Sync!$AC491="",0,Sync!$AC491))</f>
        <v/>
      </c>
      <c r="N494">
        <f>IF($G494="","",IF($H494="مرجوعی خرید",-1,1)*($L494-$M494*IFERROR(VLOOKUP("P01",ParamTbl,3,0),1.5))*(1-IF($I494="خرید",IFERROR(VLOOKUP("P02",ParamTbl,3,0),1),0)/100))</f>
        <v/>
      </c>
      <c r="O494">
        <f>IF($G494="",0,IF($H494="مرجوعی خرید",-1,1)*IF(Sync!$AD491="",0,Sync!$AD491))</f>
        <v/>
      </c>
      <c r="P494">
        <f>IF(OR($G494="",Sync!$W491=""),"",Sync!$W491)</f>
        <v/>
      </c>
      <c r="Q494">
        <f>IF(OR($G494="",Sync!$AE491=""),"",Sync!$AE491)</f>
        <v/>
      </c>
      <c r="R494">
        <f>IF($G494="","",IF(Sync!$V491="","0000",IF(AND(ISNUMBER(Sync!$V491),Sync!$V491&gt;=0,Sync!$V491&lt;1),RIGHT("00"&amp;HOUR(Sync!$V491),2)&amp;RIGHT("00"&amp;MINUTE(Sync!$V491),2),IFERROR(RIGHT("00"&amp;VALUE(LEFT(Sync!$V491,FIND(":",Sync!$V491)-1)),2)&amp;RIGHT("00"&amp;VALUE(MID(Sync!$V491,FIND(":",Sync!$V491)+1,2)),2),"0000"))))</f>
        <v/>
      </c>
    </row>
    <row r="495">
      <c r="A495">
        <f>IF(Sync!$U492="","",Sync!$U492)</f>
        <v/>
      </c>
      <c r="B495">
        <f>IF($A495="","",IF(ISNUMBER($A495),IF(AND($A495&gt;=10000101,$A495&lt;=99991231),INT($A495/10000),""),IFERROR(VALUE(TRIM(LEFT($A495,FIND("/",$A495)-1))),"")))</f>
        <v/>
      </c>
      <c r="C495">
        <f>IF(OR($A495="",$B495=""),"",IF(ISNUMBER($A495),INT(MOD($A495,10000)/100),IFERROR(VALUE(TRIM(LEFT(MID($A495,FIND("/",$A495)+1,20),FIND("/",MID($A495,FIND("/",$A495)+1,20))-1))),"")))</f>
        <v/>
      </c>
      <c r="D495">
        <f>IF(OR($A495="",$B495=""),"",IF(ISNUMBER($A495),MOD($A495,100),IFERROR(VALUE(TRIM(MID(MID($A495,FIND("/",$A495)+1,20),FIND("/",MID($A495,FIND("/",$A495)+1,20))+1,20))),"")))</f>
        <v/>
      </c>
      <c r="E495">
        <f>IF($A495="","",IF(OR($B495="",$C495="",$D495="",$B495&lt;1300,$B495&gt;1500,$C495&lt;1,$C495&gt;12,$D495&lt;1,$D495&gt;31),"نامعتبر",RIGHT("0000"&amp;$B495,4)&amp;"/"&amp;RIGHT("00"&amp;$C495,2)&amp;"/"&amp;RIGHT("00"&amp;$D495,2)))</f>
        <v/>
      </c>
      <c r="F495">
        <f>IF(OR($E495="",$E495="نامعتبر"),"",LEFT($E495,4)&amp;"/"&amp;MID($E495,6,2))</f>
        <v/>
      </c>
      <c r="G495">
        <f>IF(OR($E495="",$E495="نامعتبر",Sync!$Y492=""),"",Sync!$Y492)</f>
        <v/>
      </c>
      <c r="H495">
        <f>IF($G495="","",IF(Sync!$X492="","",Sync!$X492))</f>
        <v/>
      </c>
      <c r="I495">
        <f>IF($G495="","",IFERROR(VLOOKUP(Sync!$X492,OpTbl,3,0),""))</f>
        <v/>
      </c>
      <c r="J495">
        <f>IF(OR($G495="",Sync!$Z492=""),"",Sync!$Z492)</f>
        <v/>
      </c>
      <c r="K495">
        <f>IF(OR($G495="",Sync!$AA492=""),"",Sync!$AA492)</f>
        <v/>
      </c>
      <c r="L495">
        <f>IF($G495="",0,IF(Sync!$AB492="",0,Sync!$AB492))</f>
        <v/>
      </c>
      <c r="M495">
        <f>IF($G495="",0,IF(Sync!$AC492="",0,Sync!$AC492))</f>
        <v/>
      </c>
      <c r="N495">
        <f>IF($G495="","",IF($H495="مرجوعی خرید",-1,1)*($L495-$M495*IFERROR(VLOOKUP("P01",ParamTbl,3,0),1.5))*(1-IF($I495="خرید",IFERROR(VLOOKUP("P02",ParamTbl,3,0),1),0)/100))</f>
        <v/>
      </c>
      <c r="O495">
        <f>IF($G495="",0,IF($H495="مرجوعی خرید",-1,1)*IF(Sync!$AD492="",0,Sync!$AD492))</f>
        <v/>
      </c>
      <c r="P495">
        <f>IF(OR($G495="",Sync!$W492=""),"",Sync!$W492)</f>
        <v/>
      </c>
      <c r="Q495">
        <f>IF(OR($G495="",Sync!$AE492=""),"",Sync!$AE492)</f>
        <v/>
      </c>
      <c r="R495">
        <f>IF($G495="","",IF(Sync!$V492="","0000",IF(AND(ISNUMBER(Sync!$V492),Sync!$V492&gt;=0,Sync!$V492&lt;1),RIGHT("00"&amp;HOUR(Sync!$V492),2)&amp;RIGHT("00"&amp;MINUTE(Sync!$V492),2),IFERROR(RIGHT("00"&amp;VALUE(LEFT(Sync!$V492,FIND(":",Sync!$V492)-1)),2)&amp;RIGHT("00"&amp;VALUE(MID(Sync!$V492,FIND(":",Sync!$V492)+1,2)),2),"0000"))))</f>
        <v/>
      </c>
    </row>
    <row r="496">
      <c r="A496">
        <f>IF(Sync!$U493="","",Sync!$U493)</f>
        <v/>
      </c>
      <c r="B496">
        <f>IF($A496="","",IF(ISNUMBER($A496),IF(AND($A496&gt;=10000101,$A496&lt;=99991231),INT($A496/10000),""),IFERROR(VALUE(TRIM(LEFT($A496,FIND("/",$A496)-1))),"")))</f>
        <v/>
      </c>
      <c r="C496">
        <f>IF(OR($A496="",$B496=""),"",IF(ISNUMBER($A496),INT(MOD($A496,10000)/100),IFERROR(VALUE(TRIM(LEFT(MID($A496,FIND("/",$A496)+1,20),FIND("/",MID($A496,FIND("/",$A496)+1,20))-1))),"")))</f>
        <v/>
      </c>
      <c r="D496">
        <f>IF(OR($A496="",$B496=""),"",IF(ISNUMBER($A496),MOD($A496,100),IFERROR(VALUE(TRIM(MID(MID($A496,FIND("/",$A496)+1,20),FIND("/",MID($A496,FIND("/",$A496)+1,20))+1,20))),"")))</f>
        <v/>
      </c>
      <c r="E496">
        <f>IF($A496="","",IF(OR($B496="",$C496="",$D496="",$B496&lt;1300,$B496&gt;1500,$C496&lt;1,$C496&gt;12,$D496&lt;1,$D496&gt;31),"نامعتبر",RIGHT("0000"&amp;$B496,4)&amp;"/"&amp;RIGHT("00"&amp;$C496,2)&amp;"/"&amp;RIGHT("00"&amp;$D496,2)))</f>
        <v/>
      </c>
      <c r="F496">
        <f>IF(OR($E496="",$E496="نامعتبر"),"",LEFT($E496,4)&amp;"/"&amp;MID($E496,6,2))</f>
        <v/>
      </c>
      <c r="G496">
        <f>IF(OR($E496="",$E496="نامعتبر",Sync!$Y493=""),"",Sync!$Y493)</f>
        <v/>
      </c>
      <c r="H496">
        <f>IF($G496="","",IF(Sync!$X493="","",Sync!$X493))</f>
        <v/>
      </c>
      <c r="I496">
        <f>IF($G496="","",IFERROR(VLOOKUP(Sync!$X493,OpTbl,3,0),""))</f>
        <v/>
      </c>
      <c r="J496">
        <f>IF(OR($G496="",Sync!$Z493=""),"",Sync!$Z493)</f>
        <v/>
      </c>
      <c r="K496">
        <f>IF(OR($G496="",Sync!$AA493=""),"",Sync!$AA493)</f>
        <v/>
      </c>
      <c r="L496">
        <f>IF($G496="",0,IF(Sync!$AB493="",0,Sync!$AB493))</f>
        <v/>
      </c>
      <c r="M496">
        <f>IF($G496="",0,IF(Sync!$AC493="",0,Sync!$AC493))</f>
        <v/>
      </c>
      <c r="N496">
        <f>IF($G496="","",IF($H496="مرجوعی خرید",-1,1)*($L496-$M496*IFERROR(VLOOKUP("P01",ParamTbl,3,0),1.5))*(1-IF($I496="خرید",IFERROR(VLOOKUP("P02",ParamTbl,3,0),1),0)/100))</f>
        <v/>
      </c>
      <c r="O496">
        <f>IF($G496="",0,IF($H496="مرجوعی خرید",-1,1)*IF(Sync!$AD493="",0,Sync!$AD493))</f>
        <v/>
      </c>
      <c r="P496">
        <f>IF(OR($G496="",Sync!$W493=""),"",Sync!$W493)</f>
        <v/>
      </c>
      <c r="Q496">
        <f>IF(OR($G496="",Sync!$AE493=""),"",Sync!$AE493)</f>
        <v/>
      </c>
      <c r="R496">
        <f>IF($G496="","",IF(Sync!$V493="","0000",IF(AND(ISNUMBER(Sync!$V493),Sync!$V493&gt;=0,Sync!$V493&lt;1),RIGHT("00"&amp;HOUR(Sync!$V493),2)&amp;RIGHT("00"&amp;MINUTE(Sync!$V493),2),IFERROR(RIGHT("00"&amp;VALUE(LEFT(Sync!$V493,FIND(":",Sync!$V493)-1)),2)&amp;RIGHT("00"&amp;VALUE(MID(Sync!$V493,FIND(":",Sync!$V493)+1,2)),2),"0000"))))</f>
        <v/>
      </c>
    </row>
    <row r="497">
      <c r="A497">
        <f>IF(Sync!$U494="","",Sync!$U494)</f>
        <v/>
      </c>
      <c r="B497">
        <f>IF($A497="","",IF(ISNUMBER($A497),IF(AND($A497&gt;=10000101,$A497&lt;=99991231),INT($A497/10000),""),IFERROR(VALUE(TRIM(LEFT($A497,FIND("/",$A497)-1))),"")))</f>
        <v/>
      </c>
      <c r="C497">
        <f>IF(OR($A497="",$B497=""),"",IF(ISNUMBER($A497),INT(MOD($A497,10000)/100),IFERROR(VALUE(TRIM(LEFT(MID($A497,FIND("/",$A497)+1,20),FIND("/",MID($A497,FIND("/",$A497)+1,20))-1))),"")))</f>
        <v/>
      </c>
      <c r="D497">
        <f>IF(OR($A497="",$B497=""),"",IF(ISNUMBER($A497),MOD($A497,100),IFERROR(VALUE(TRIM(MID(MID($A497,FIND("/",$A497)+1,20),FIND("/",MID($A497,FIND("/",$A497)+1,20))+1,20))),"")))</f>
        <v/>
      </c>
      <c r="E497">
        <f>IF($A497="","",IF(OR($B497="",$C497="",$D497="",$B497&lt;1300,$B497&gt;1500,$C497&lt;1,$C497&gt;12,$D497&lt;1,$D497&gt;31),"نامعتبر",RIGHT("0000"&amp;$B497,4)&amp;"/"&amp;RIGHT("00"&amp;$C497,2)&amp;"/"&amp;RIGHT("00"&amp;$D497,2)))</f>
        <v/>
      </c>
      <c r="F497">
        <f>IF(OR($E497="",$E497="نامعتبر"),"",LEFT($E497,4)&amp;"/"&amp;MID($E497,6,2))</f>
        <v/>
      </c>
      <c r="G497">
        <f>IF(OR($E497="",$E497="نامعتبر",Sync!$Y494=""),"",Sync!$Y494)</f>
        <v/>
      </c>
      <c r="H497">
        <f>IF($G497="","",IF(Sync!$X494="","",Sync!$X494))</f>
        <v/>
      </c>
      <c r="I497">
        <f>IF($G497="","",IFERROR(VLOOKUP(Sync!$X494,OpTbl,3,0),""))</f>
        <v/>
      </c>
      <c r="J497">
        <f>IF(OR($G497="",Sync!$Z494=""),"",Sync!$Z494)</f>
        <v/>
      </c>
      <c r="K497">
        <f>IF(OR($G497="",Sync!$AA494=""),"",Sync!$AA494)</f>
        <v/>
      </c>
      <c r="L497">
        <f>IF($G497="",0,IF(Sync!$AB494="",0,Sync!$AB494))</f>
        <v/>
      </c>
      <c r="M497">
        <f>IF($G497="",0,IF(Sync!$AC494="",0,Sync!$AC494))</f>
        <v/>
      </c>
      <c r="N497">
        <f>IF($G497="","",IF($H497="مرجوعی خرید",-1,1)*($L497-$M497*IFERROR(VLOOKUP("P01",ParamTbl,3,0),1.5))*(1-IF($I497="خرید",IFERROR(VLOOKUP("P02",ParamTbl,3,0),1),0)/100))</f>
        <v/>
      </c>
      <c r="O497">
        <f>IF($G497="",0,IF($H497="مرجوعی خرید",-1,1)*IF(Sync!$AD494="",0,Sync!$AD494))</f>
        <v/>
      </c>
      <c r="P497">
        <f>IF(OR($G497="",Sync!$W494=""),"",Sync!$W494)</f>
        <v/>
      </c>
      <c r="Q497">
        <f>IF(OR($G497="",Sync!$AE494=""),"",Sync!$AE494)</f>
        <v/>
      </c>
      <c r="R497">
        <f>IF($G497="","",IF(Sync!$V494="","0000",IF(AND(ISNUMBER(Sync!$V494),Sync!$V494&gt;=0,Sync!$V494&lt;1),RIGHT("00"&amp;HOUR(Sync!$V494),2)&amp;RIGHT("00"&amp;MINUTE(Sync!$V494),2),IFERROR(RIGHT("00"&amp;VALUE(LEFT(Sync!$V494,FIND(":",Sync!$V494)-1)),2)&amp;RIGHT("00"&amp;VALUE(MID(Sync!$V494,FIND(":",Sync!$V494)+1,2)),2),"0000"))))</f>
        <v/>
      </c>
    </row>
    <row r="498">
      <c r="A498">
        <f>IF(Sync!$U495="","",Sync!$U495)</f>
        <v/>
      </c>
      <c r="B498">
        <f>IF($A498="","",IF(ISNUMBER($A498),IF(AND($A498&gt;=10000101,$A498&lt;=99991231),INT($A498/10000),""),IFERROR(VALUE(TRIM(LEFT($A498,FIND("/",$A498)-1))),"")))</f>
        <v/>
      </c>
      <c r="C498">
        <f>IF(OR($A498="",$B498=""),"",IF(ISNUMBER($A498),INT(MOD($A498,10000)/100),IFERROR(VALUE(TRIM(LEFT(MID($A498,FIND("/",$A498)+1,20),FIND("/",MID($A498,FIND("/",$A498)+1,20))-1))),"")))</f>
        <v/>
      </c>
      <c r="D498">
        <f>IF(OR($A498="",$B498=""),"",IF(ISNUMBER($A498),MOD($A498,100),IFERROR(VALUE(TRIM(MID(MID($A498,FIND("/",$A498)+1,20),FIND("/",MID($A498,FIND("/",$A498)+1,20))+1,20))),"")))</f>
        <v/>
      </c>
      <c r="E498">
        <f>IF($A498="","",IF(OR($B498="",$C498="",$D498="",$B498&lt;1300,$B498&gt;1500,$C498&lt;1,$C498&gt;12,$D498&lt;1,$D498&gt;31),"نامعتبر",RIGHT("0000"&amp;$B498,4)&amp;"/"&amp;RIGHT("00"&amp;$C498,2)&amp;"/"&amp;RIGHT("00"&amp;$D498,2)))</f>
        <v/>
      </c>
      <c r="F498">
        <f>IF(OR($E498="",$E498="نامعتبر"),"",LEFT($E498,4)&amp;"/"&amp;MID($E498,6,2))</f>
        <v/>
      </c>
      <c r="G498">
        <f>IF(OR($E498="",$E498="نامعتبر",Sync!$Y495=""),"",Sync!$Y495)</f>
        <v/>
      </c>
      <c r="H498">
        <f>IF($G498="","",IF(Sync!$X495="","",Sync!$X495))</f>
        <v/>
      </c>
      <c r="I498">
        <f>IF($G498="","",IFERROR(VLOOKUP(Sync!$X495,OpTbl,3,0),""))</f>
        <v/>
      </c>
      <c r="J498">
        <f>IF(OR($G498="",Sync!$Z495=""),"",Sync!$Z495)</f>
        <v/>
      </c>
      <c r="K498">
        <f>IF(OR($G498="",Sync!$AA495=""),"",Sync!$AA495)</f>
        <v/>
      </c>
      <c r="L498">
        <f>IF($G498="",0,IF(Sync!$AB495="",0,Sync!$AB495))</f>
        <v/>
      </c>
      <c r="M498">
        <f>IF($G498="",0,IF(Sync!$AC495="",0,Sync!$AC495))</f>
        <v/>
      </c>
      <c r="N498">
        <f>IF($G498="","",IF($H498="مرجوعی خرید",-1,1)*($L498-$M498*IFERROR(VLOOKUP("P01",ParamTbl,3,0),1.5))*(1-IF($I498="خرید",IFERROR(VLOOKUP("P02",ParamTbl,3,0),1),0)/100))</f>
        <v/>
      </c>
      <c r="O498">
        <f>IF($G498="",0,IF($H498="مرجوعی خرید",-1,1)*IF(Sync!$AD495="",0,Sync!$AD495))</f>
        <v/>
      </c>
      <c r="P498">
        <f>IF(OR($G498="",Sync!$W495=""),"",Sync!$W495)</f>
        <v/>
      </c>
      <c r="Q498">
        <f>IF(OR($G498="",Sync!$AE495=""),"",Sync!$AE495)</f>
        <v/>
      </c>
      <c r="R498">
        <f>IF($G498="","",IF(Sync!$V495="","0000",IF(AND(ISNUMBER(Sync!$V495),Sync!$V495&gt;=0,Sync!$V495&lt;1),RIGHT("00"&amp;HOUR(Sync!$V495),2)&amp;RIGHT("00"&amp;MINUTE(Sync!$V495),2),IFERROR(RIGHT("00"&amp;VALUE(LEFT(Sync!$V495,FIND(":",Sync!$V495)-1)),2)&amp;RIGHT("00"&amp;VALUE(MID(Sync!$V495,FIND(":",Sync!$V495)+1,2)),2),"0000"))))</f>
        <v/>
      </c>
    </row>
    <row r="499">
      <c r="A499">
        <f>IF(Sync!$U496="","",Sync!$U496)</f>
        <v/>
      </c>
      <c r="B499">
        <f>IF($A499="","",IF(ISNUMBER($A499),IF(AND($A499&gt;=10000101,$A499&lt;=99991231),INT($A499/10000),""),IFERROR(VALUE(TRIM(LEFT($A499,FIND("/",$A499)-1))),"")))</f>
        <v/>
      </c>
      <c r="C499">
        <f>IF(OR($A499="",$B499=""),"",IF(ISNUMBER($A499),INT(MOD($A499,10000)/100),IFERROR(VALUE(TRIM(LEFT(MID($A499,FIND("/",$A499)+1,20),FIND("/",MID($A499,FIND("/",$A499)+1,20))-1))),"")))</f>
        <v/>
      </c>
      <c r="D499">
        <f>IF(OR($A499="",$B499=""),"",IF(ISNUMBER($A499),MOD($A499,100),IFERROR(VALUE(TRIM(MID(MID($A499,FIND("/",$A499)+1,20),FIND("/",MID($A499,FIND("/",$A499)+1,20))+1,20))),"")))</f>
        <v/>
      </c>
      <c r="E499">
        <f>IF($A499="","",IF(OR($B499="",$C499="",$D499="",$B499&lt;1300,$B499&gt;1500,$C499&lt;1,$C499&gt;12,$D499&lt;1,$D499&gt;31),"نامعتبر",RIGHT("0000"&amp;$B499,4)&amp;"/"&amp;RIGHT("00"&amp;$C499,2)&amp;"/"&amp;RIGHT("00"&amp;$D499,2)))</f>
        <v/>
      </c>
      <c r="F499">
        <f>IF(OR($E499="",$E499="نامعتبر"),"",LEFT($E499,4)&amp;"/"&amp;MID($E499,6,2))</f>
        <v/>
      </c>
      <c r="G499">
        <f>IF(OR($E499="",$E499="نامعتبر",Sync!$Y496=""),"",Sync!$Y496)</f>
        <v/>
      </c>
      <c r="H499">
        <f>IF($G499="","",IF(Sync!$X496="","",Sync!$X496))</f>
        <v/>
      </c>
      <c r="I499">
        <f>IF($G499="","",IFERROR(VLOOKUP(Sync!$X496,OpTbl,3,0),""))</f>
        <v/>
      </c>
      <c r="J499">
        <f>IF(OR($G499="",Sync!$Z496=""),"",Sync!$Z496)</f>
        <v/>
      </c>
      <c r="K499">
        <f>IF(OR($G499="",Sync!$AA496=""),"",Sync!$AA496)</f>
        <v/>
      </c>
      <c r="L499">
        <f>IF($G499="",0,IF(Sync!$AB496="",0,Sync!$AB496))</f>
        <v/>
      </c>
      <c r="M499">
        <f>IF($G499="",0,IF(Sync!$AC496="",0,Sync!$AC496))</f>
        <v/>
      </c>
      <c r="N499">
        <f>IF($G499="","",IF($H499="مرجوعی خرید",-1,1)*($L499-$M499*IFERROR(VLOOKUP("P01",ParamTbl,3,0),1.5))*(1-IF($I499="خرید",IFERROR(VLOOKUP("P02",ParamTbl,3,0),1),0)/100))</f>
        <v/>
      </c>
      <c r="O499">
        <f>IF($G499="",0,IF($H499="مرجوعی خرید",-1,1)*IF(Sync!$AD496="",0,Sync!$AD496))</f>
        <v/>
      </c>
      <c r="P499">
        <f>IF(OR($G499="",Sync!$W496=""),"",Sync!$W496)</f>
        <v/>
      </c>
      <c r="Q499">
        <f>IF(OR($G499="",Sync!$AE496=""),"",Sync!$AE496)</f>
        <v/>
      </c>
      <c r="R499">
        <f>IF($G499="","",IF(Sync!$V496="","0000",IF(AND(ISNUMBER(Sync!$V496),Sync!$V496&gt;=0,Sync!$V496&lt;1),RIGHT("00"&amp;HOUR(Sync!$V496),2)&amp;RIGHT("00"&amp;MINUTE(Sync!$V496),2),IFERROR(RIGHT("00"&amp;VALUE(LEFT(Sync!$V496,FIND(":",Sync!$V496)-1)),2)&amp;RIGHT("00"&amp;VALUE(MID(Sync!$V496,FIND(":",Sync!$V496)+1,2)),2),"0000"))))</f>
        <v/>
      </c>
    </row>
    <row r="500">
      <c r="A500">
        <f>IF(Sync!$U497="","",Sync!$U497)</f>
        <v/>
      </c>
      <c r="B500">
        <f>IF($A500="","",IF(ISNUMBER($A500),IF(AND($A500&gt;=10000101,$A500&lt;=99991231),INT($A500/10000),""),IFERROR(VALUE(TRIM(LEFT($A500,FIND("/",$A500)-1))),"")))</f>
        <v/>
      </c>
      <c r="C500">
        <f>IF(OR($A500="",$B500=""),"",IF(ISNUMBER($A500),INT(MOD($A500,10000)/100),IFERROR(VALUE(TRIM(LEFT(MID($A500,FIND("/",$A500)+1,20),FIND("/",MID($A500,FIND("/",$A500)+1,20))-1))),"")))</f>
        <v/>
      </c>
      <c r="D500">
        <f>IF(OR($A500="",$B500=""),"",IF(ISNUMBER($A500),MOD($A500,100),IFERROR(VALUE(TRIM(MID(MID($A500,FIND("/",$A500)+1,20),FIND("/",MID($A500,FIND("/",$A500)+1,20))+1,20))),"")))</f>
        <v/>
      </c>
      <c r="E500">
        <f>IF($A500="","",IF(OR($B500="",$C500="",$D500="",$B500&lt;1300,$B500&gt;1500,$C500&lt;1,$C500&gt;12,$D500&lt;1,$D500&gt;31),"نامعتبر",RIGHT("0000"&amp;$B500,4)&amp;"/"&amp;RIGHT("00"&amp;$C500,2)&amp;"/"&amp;RIGHT("00"&amp;$D500,2)))</f>
        <v/>
      </c>
      <c r="F500">
        <f>IF(OR($E500="",$E500="نامعتبر"),"",LEFT($E500,4)&amp;"/"&amp;MID($E500,6,2))</f>
        <v/>
      </c>
      <c r="G500">
        <f>IF(OR($E500="",$E500="نامعتبر",Sync!$Y497=""),"",Sync!$Y497)</f>
        <v/>
      </c>
      <c r="H500">
        <f>IF($G500="","",IF(Sync!$X497="","",Sync!$X497))</f>
        <v/>
      </c>
      <c r="I500">
        <f>IF($G500="","",IFERROR(VLOOKUP(Sync!$X497,OpTbl,3,0),""))</f>
        <v/>
      </c>
      <c r="J500">
        <f>IF(OR($G500="",Sync!$Z497=""),"",Sync!$Z497)</f>
        <v/>
      </c>
      <c r="K500">
        <f>IF(OR($G500="",Sync!$AA497=""),"",Sync!$AA497)</f>
        <v/>
      </c>
      <c r="L500">
        <f>IF($G500="",0,IF(Sync!$AB497="",0,Sync!$AB497))</f>
        <v/>
      </c>
      <c r="M500">
        <f>IF($G500="",0,IF(Sync!$AC497="",0,Sync!$AC497))</f>
        <v/>
      </c>
      <c r="N500">
        <f>IF($G500="","",IF($H500="مرجوعی خرید",-1,1)*($L500-$M500*IFERROR(VLOOKUP("P01",ParamTbl,3,0),1.5))*(1-IF($I500="خرید",IFERROR(VLOOKUP("P02",ParamTbl,3,0),1),0)/100))</f>
        <v/>
      </c>
      <c r="O500">
        <f>IF($G500="",0,IF($H500="مرجوعی خرید",-1,1)*IF(Sync!$AD497="",0,Sync!$AD497))</f>
        <v/>
      </c>
      <c r="P500">
        <f>IF(OR($G500="",Sync!$W497=""),"",Sync!$W497)</f>
        <v/>
      </c>
      <c r="Q500">
        <f>IF(OR($G500="",Sync!$AE497=""),"",Sync!$AE497)</f>
        <v/>
      </c>
      <c r="R500">
        <f>IF($G500="","",IF(Sync!$V497="","0000",IF(AND(ISNUMBER(Sync!$V497),Sync!$V497&gt;=0,Sync!$V497&lt;1),RIGHT("00"&amp;HOUR(Sync!$V497),2)&amp;RIGHT("00"&amp;MINUTE(Sync!$V497),2),IFERROR(RIGHT("00"&amp;VALUE(LEFT(Sync!$V497,FIND(":",Sync!$V497)-1)),2)&amp;RIGHT("00"&amp;VALUE(MID(Sync!$V497,FIND(":",Sync!$V497)+1,2)),2),"0000"))))</f>
        <v/>
      </c>
    </row>
    <row r="501">
      <c r="A501">
        <f>IF(Sync!$U498="","",Sync!$U498)</f>
        <v/>
      </c>
      <c r="B501">
        <f>IF($A501="","",IF(ISNUMBER($A501),IF(AND($A501&gt;=10000101,$A501&lt;=99991231),INT($A501/10000),""),IFERROR(VALUE(TRIM(LEFT($A501,FIND("/",$A501)-1))),"")))</f>
        <v/>
      </c>
      <c r="C501">
        <f>IF(OR($A501="",$B501=""),"",IF(ISNUMBER($A501),INT(MOD($A501,10000)/100),IFERROR(VALUE(TRIM(LEFT(MID($A501,FIND("/",$A501)+1,20),FIND("/",MID($A501,FIND("/",$A501)+1,20))-1))),"")))</f>
        <v/>
      </c>
      <c r="D501">
        <f>IF(OR($A501="",$B501=""),"",IF(ISNUMBER($A501),MOD($A501,100),IFERROR(VALUE(TRIM(MID(MID($A501,FIND("/",$A501)+1,20),FIND("/",MID($A501,FIND("/",$A501)+1,20))+1,20))),"")))</f>
        <v/>
      </c>
      <c r="E501">
        <f>IF($A501="","",IF(OR($B501="",$C501="",$D501="",$B501&lt;1300,$B501&gt;1500,$C501&lt;1,$C501&gt;12,$D501&lt;1,$D501&gt;31),"نامعتبر",RIGHT("0000"&amp;$B501,4)&amp;"/"&amp;RIGHT("00"&amp;$C501,2)&amp;"/"&amp;RIGHT("00"&amp;$D501,2)))</f>
        <v/>
      </c>
      <c r="F501">
        <f>IF(OR($E501="",$E501="نامعتبر"),"",LEFT($E501,4)&amp;"/"&amp;MID($E501,6,2))</f>
        <v/>
      </c>
      <c r="G501">
        <f>IF(OR($E501="",$E501="نامعتبر",Sync!$Y498=""),"",Sync!$Y498)</f>
        <v/>
      </c>
      <c r="H501">
        <f>IF($G501="","",IF(Sync!$X498="","",Sync!$X498))</f>
        <v/>
      </c>
      <c r="I501">
        <f>IF($G501="","",IFERROR(VLOOKUP(Sync!$X498,OpTbl,3,0),""))</f>
        <v/>
      </c>
      <c r="J501">
        <f>IF(OR($G501="",Sync!$Z498=""),"",Sync!$Z498)</f>
        <v/>
      </c>
      <c r="K501">
        <f>IF(OR($G501="",Sync!$AA498=""),"",Sync!$AA498)</f>
        <v/>
      </c>
      <c r="L501">
        <f>IF($G501="",0,IF(Sync!$AB498="",0,Sync!$AB498))</f>
        <v/>
      </c>
      <c r="M501">
        <f>IF($G501="",0,IF(Sync!$AC498="",0,Sync!$AC498))</f>
        <v/>
      </c>
      <c r="N501">
        <f>IF($G501="","",IF($H501="مرجوعی خرید",-1,1)*($L501-$M501*IFERROR(VLOOKUP("P01",ParamTbl,3,0),1.5))*(1-IF($I501="خرید",IFERROR(VLOOKUP("P02",ParamTbl,3,0),1),0)/100))</f>
        <v/>
      </c>
      <c r="O501">
        <f>IF($G501="",0,IF($H501="مرجوعی خرید",-1,1)*IF(Sync!$AD498="",0,Sync!$AD498))</f>
        <v/>
      </c>
      <c r="P501">
        <f>IF(OR($G501="",Sync!$W498=""),"",Sync!$W498)</f>
        <v/>
      </c>
      <c r="Q501">
        <f>IF(OR($G501="",Sync!$AE498=""),"",Sync!$AE498)</f>
        <v/>
      </c>
      <c r="R501">
        <f>IF($G501="","",IF(Sync!$V498="","0000",IF(AND(ISNUMBER(Sync!$V498),Sync!$V498&gt;=0,Sync!$V498&lt;1),RIGHT("00"&amp;HOUR(Sync!$V498),2)&amp;RIGHT("00"&amp;MINUTE(Sync!$V498),2),IFERROR(RIGHT("00"&amp;VALUE(LEFT(Sync!$V498,FIND(":",Sync!$V498)-1)),2)&amp;RIGHT("00"&amp;VALUE(MID(Sync!$V498,FIND(":",Sync!$V498)+1,2)),2),"0000"))))</f>
        <v/>
      </c>
    </row>
    <row r="502">
      <c r="A502">
        <f>IF(Sync!$U499="","",Sync!$U499)</f>
        <v/>
      </c>
      <c r="B502">
        <f>IF($A502="","",IF(ISNUMBER($A502),IF(AND($A502&gt;=10000101,$A502&lt;=99991231),INT($A502/10000),""),IFERROR(VALUE(TRIM(LEFT($A502,FIND("/",$A502)-1))),"")))</f>
        <v/>
      </c>
      <c r="C502">
        <f>IF(OR($A502="",$B502=""),"",IF(ISNUMBER($A502),INT(MOD($A502,10000)/100),IFERROR(VALUE(TRIM(LEFT(MID($A502,FIND("/",$A502)+1,20),FIND("/",MID($A502,FIND("/",$A502)+1,20))-1))),"")))</f>
        <v/>
      </c>
      <c r="D502">
        <f>IF(OR($A502="",$B502=""),"",IF(ISNUMBER($A502),MOD($A502,100),IFERROR(VALUE(TRIM(MID(MID($A502,FIND("/",$A502)+1,20),FIND("/",MID($A502,FIND("/",$A502)+1,20))+1,20))),"")))</f>
        <v/>
      </c>
      <c r="E502">
        <f>IF($A502="","",IF(OR($B502="",$C502="",$D502="",$B502&lt;1300,$B502&gt;1500,$C502&lt;1,$C502&gt;12,$D502&lt;1,$D502&gt;31),"نامعتبر",RIGHT("0000"&amp;$B502,4)&amp;"/"&amp;RIGHT("00"&amp;$C502,2)&amp;"/"&amp;RIGHT("00"&amp;$D502,2)))</f>
        <v/>
      </c>
      <c r="F502">
        <f>IF(OR($E502="",$E502="نامعتبر"),"",LEFT($E502,4)&amp;"/"&amp;MID($E502,6,2))</f>
        <v/>
      </c>
      <c r="G502">
        <f>IF(OR($E502="",$E502="نامعتبر",Sync!$Y499=""),"",Sync!$Y499)</f>
        <v/>
      </c>
      <c r="H502">
        <f>IF($G502="","",IF(Sync!$X499="","",Sync!$X499))</f>
        <v/>
      </c>
      <c r="I502">
        <f>IF($G502="","",IFERROR(VLOOKUP(Sync!$X499,OpTbl,3,0),""))</f>
        <v/>
      </c>
      <c r="J502">
        <f>IF(OR($G502="",Sync!$Z499=""),"",Sync!$Z499)</f>
        <v/>
      </c>
      <c r="K502">
        <f>IF(OR($G502="",Sync!$AA499=""),"",Sync!$AA499)</f>
        <v/>
      </c>
      <c r="L502">
        <f>IF($G502="",0,IF(Sync!$AB499="",0,Sync!$AB499))</f>
        <v/>
      </c>
      <c r="M502">
        <f>IF($G502="",0,IF(Sync!$AC499="",0,Sync!$AC499))</f>
        <v/>
      </c>
      <c r="N502">
        <f>IF($G502="","",IF($H502="مرجوعی خرید",-1,1)*($L502-$M502*IFERROR(VLOOKUP("P01",ParamTbl,3,0),1.5))*(1-IF($I502="خرید",IFERROR(VLOOKUP("P02",ParamTbl,3,0),1),0)/100))</f>
        <v/>
      </c>
      <c r="O502">
        <f>IF($G502="",0,IF($H502="مرجوعی خرید",-1,1)*IF(Sync!$AD499="",0,Sync!$AD499))</f>
        <v/>
      </c>
      <c r="P502">
        <f>IF(OR($G502="",Sync!$W499=""),"",Sync!$W499)</f>
        <v/>
      </c>
      <c r="Q502">
        <f>IF(OR($G502="",Sync!$AE499=""),"",Sync!$AE499)</f>
        <v/>
      </c>
      <c r="R502">
        <f>IF($G502="","",IF(Sync!$V499="","0000",IF(AND(ISNUMBER(Sync!$V499),Sync!$V499&gt;=0,Sync!$V499&lt;1),RIGHT("00"&amp;HOUR(Sync!$V499),2)&amp;RIGHT("00"&amp;MINUTE(Sync!$V499),2),IFERROR(RIGHT("00"&amp;VALUE(LEFT(Sync!$V499,FIND(":",Sync!$V499)-1)),2)&amp;RIGHT("00"&amp;VALUE(MID(Sync!$V499,FIND(":",Sync!$V499)+1,2)),2),"0000"))))</f>
        <v/>
      </c>
    </row>
    <row r="503">
      <c r="A503">
        <f>IF(Sync!$U500="","",Sync!$U500)</f>
        <v/>
      </c>
      <c r="B503">
        <f>IF($A503="","",IF(ISNUMBER($A503),IF(AND($A503&gt;=10000101,$A503&lt;=99991231),INT($A503/10000),""),IFERROR(VALUE(TRIM(LEFT($A503,FIND("/",$A503)-1))),"")))</f>
        <v/>
      </c>
      <c r="C503">
        <f>IF(OR($A503="",$B503=""),"",IF(ISNUMBER($A503),INT(MOD($A503,10000)/100),IFERROR(VALUE(TRIM(LEFT(MID($A503,FIND("/",$A503)+1,20),FIND("/",MID($A503,FIND("/",$A503)+1,20))-1))),"")))</f>
        <v/>
      </c>
      <c r="D503">
        <f>IF(OR($A503="",$B503=""),"",IF(ISNUMBER($A503),MOD($A503,100),IFERROR(VALUE(TRIM(MID(MID($A503,FIND("/",$A503)+1,20),FIND("/",MID($A503,FIND("/",$A503)+1,20))+1,20))),"")))</f>
        <v/>
      </c>
      <c r="E503">
        <f>IF($A503="","",IF(OR($B503="",$C503="",$D503="",$B503&lt;1300,$B503&gt;1500,$C503&lt;1,$C503&gt;12,$D503&lt;1,$D503&gt;31),"نامعتبر",RIGHT("0000"&amp;$B503,4)&amp;"/"&amp;RIGHT("00"&amp;$C503,2)&amp;"/"&amp;RIGHT("00"&amp;$D503,2)))</f>
        <v/>
      </c>
      <c r="F503">
        <f>IF(OR($E503="",$E503="نامعتبر"),"",LEFT($E503,4)&amp;"/"&amp;MID($E503,6,2))</f>
        <v/>
      </c>
      <c r="G503">
        <f>IF(OR($E503="",$E503="نامعتبر",Sync!$Y500=""),"",Sync!$Y500)</f>
        <v/>
      </c>
      <c r="H503">
        <f>IF($G503="","",IF(Sync!$X500="","",Sync!$X500))</f>
        <v/>
      </c>
      <c r="I503">
        <f>IF($G503="","",IFERROR(VLOOKUP(Sync!$X500,OpTbl,3,0),""))</f>
        <v/>
      </c>
      <c r="J503">
        <f>IF(OR($G503="",Sync!$Z500=""),"",Sync!$Z500)</f>
        <v/>
      </c>
      <c r="K503">
        <f>IF(OR($G503="",Sync!$AA500=""),"",Sync!$AA500)</f>
        <v/>
      </c>
      <c r="L503">
        <f>IF($G503="",0,IF(Sync!$AB500="",0,Sync!$AB500))</f>
        <v/>
      </c>
      <c r="M503">
        <f>IF($G503="",0,IF(Sync!$AC500="",0,Sync!$AC500))</f>
        <v/>
      </c>
      <c r="N503">
        <f>IF($G503="","",IF($H503="مرجوعی خرید",-1,1)*($L503-$M503*IFERROR(VLOOKUP("P01",ParamTbl,3,0),1.5))*(1-IF($I503="خرید",IFERROR(VLOOKUP("P02",ParamTbl,3,0),1),0)/100))</f>
        <v/>
      </c>
      <c r="O503">
        <f>IF($G503="",0,IF($H503="مرجوعی خرید",-1,1)*IF(Sync!$AD500="",0,Sync!$AD500))</f>
        <v/>
      </c>
      <c r="P503">
        <f>IF(OR($G503="",Sync!$W500=""),"",Sync!$W500)</f>
        <v/>
      </c>
      <c r="Q503">
        <f>IF(OR($G503="",Sync!$AE500=""),"",Sync!$AE500)</f>
        <v/>
      </c>
      <c r="R503">
        <f>IF($G503="","",IF(Sync!$V500="","0000",IF(AND(ISNUMBER(Sync!$V500),Sync!$V500&gt;=0,Sync!$V500&lt;1),RIGHT("00"&amp;HOUR(Sync!$V500),2)&amp;RIGHT("00"&amp;MINUTE(Sync!$V500),2),IFERROR(RIGHT("00"&amp;VALUE(LEFT(Sync!$V500,FIND(":",Sync!$V500)-1)),2)&amp;RIGHT("00"&amp;VALUE(MID(Sync!$V500,FIND(":",Sync!$V500)+1,2)),2),"0000"))))</f>
        <v/>
      </c>
    </row>
    <row r="504">
      <c r="A504">
        <f>IF(Sync!$U501="","",Sync!$U501)</f>
        <v/>
      </c>
      <c r="B504">
        <f>IF($A504="","",IF(ISNUMBER($A504),IF(AND($A504&gt;=10000101,$A504&lt;=99991231),INT($A504/10000),""),IFERROR(VALUE(TRIM(LEFT($A504,FIND("/",$A504)-1))),"")))</f>
        <v/>
      </c>
      <c r="C504">
        <f>IF(OR($A504="",$B504=""),"",IF(ISNUMBER($A504),INT(MOD($A504,10000)/100),IFERROR(VALUE(TRIM(LEFT(MID($A504,FIND("/",$A504)+1,20),FIND("/",MID($A504,FIND("/",$A504)+1,20))-1))),"")))</f>
        <v/>
      </c>
      <c r="D504">
        <f>IF(OR($A504="",$B504=""),"",IF(ISNUMBER($A504),MOD($A504,100),IFERROR(VALUE(TRIM(MID(MID($A504,FIND("/",$A504)+1,20),FIND("/",MID($A504,FIND("/",$A504)+1,20))+1,20))),"")))</f>
        <v/>
      </c>
      <c r="E504">
        <f>IF($A504="","",IF(OR($B504="",$C504="",$D504="",$B504&lt;1300,$B504&gt;1500,$C504&lt;1,$C504&gt;12,$D504&lt;1,$D504&gt;31),"نامعتبر",RIGHT("0000"&amp;$B504,4)&amp;"/"&amp;RIGHT("00"&amp;$C504,2)&amp;"/"&amp;RIGHT("00"&amp;$D504,2)))</f>
        <v/>
      </c>
      <c r="F504">
        <f>IF(OR($E504="",$E504="نامعتبر"),"",LEFT($E504,4)&amp;"/"&amp;MID($E504,6,2))</f>
        <v/>
      </c>
      <c r="G504">
        <f>IF(OR($E504="",$E504="نامعتبر",Sync!$Y501=""),"",Sync!$Y501)</f>
        <v/>
      </c>
      <c r="H504">
        <f>IF($G504="","",IF(Sync!$X501="","",Sync!$X501))</f>
        <v/>
      </c>
      <c r="I504">
        <f>IF($G504="","",IFERROR(VLOOKUP(Sync!$X501,OpTbl,3,0),""))</f>
        <v/>
      </c>
      <c r="J504">
        <f>IF(OR($G504="",Sync!$Z501=""),"",Sync!$Z501)</f>
        <v/>
      </c>
      <c r="K504">
        <f>IF(OR($G504="",Sync!$AA501=""),"",Sync!$AA501)</f>
        <v/>
      </c>
      <c r="L504">
        <f>IF($G504="",0,IF(Sync!$AB501="",0,Sync!$AB501))</f>
        <v/>
      </c>
      <c r="M504">
        <f>IF($G504="",0,IF(Sync!$AC501="",0,Sync!$AC501))</f>
        <v/>
      </c>
      <c r="N504">
        <f>IF($G504="","",IF($H504="مرجوعی خرید",-1,1)*($L504-$M504*IFERROR(VLOOKUP("P01",ParamTbl,3,0),1.5))*(1-IF($I504="خرید",IFERROR(VLOOKUP("P02",ParamTbl,3,0),1),0)/100))</f>
        <v/>
      </c>
      <c r="O504">
        <f>IF($G504="",0,IF($H504="مرجوعی خرید",-1,1)*IF(Sync!$AD501="",0,Sync!$AD501))</f>
        <v/>
      </c>
      <c r="P504">
        <f>IF(OR($G504="",Sync!$W501=""),"",Sync!$W501)</f>
        <v/>
      </c>
      <c r="Q504">
        <f>IF(OR($G504="",Sync!$AE501=""),"",Sync!$AE501)</f>
        <v/>
      </c>
      <c r="R504">
        <f>IF($G504="","",IF(Sync!$V501="","0000",IF(AND(ISNUMBER(Sync!$V501),Sync!$V501&gt;=0,Sync!$V501&lt;1),RIGHT("00"&amp;HOUR(Sync!$V501),2)&amp;RIGHT("00"&amp;MINUTE(Sync!$V501),2),IFERROR(RIGHT("00"&amp;VALUE(LEFT(Sync!$V501,FIND(":",Sync!$V501)-1)),2)&amp;RIGHT("00"&amp;VALUE(MID(Sync!$V501,FIND(":",Sync!$V501)+1,2)),2),"0000"))))</f>
        <v/>
      </c>
    </row>
    <row r="505">
      <c r="A505">
        <f>IF(Sync!$U502="","",Sync!$U502)</f>
        <v/>
      </c>
      <c r="B505">
        <f>IF($A505="","",IF(ISNUMBER($A505),IF(AND($A505&gt;=10000101,$A505&lt;=99991231),INT($A505/10000),""),IFERROR(VALUE(TRIM(LEFT($A505,FIND("/",$A505)-1))),"")))</f>
        <v/>
      </c>
      <c r="C505">
        <f>IF(OR($A505="",$B505=""),"",IF(ISNUMBER($A505),INT(MOD($A505,10000)/100),IFERROR(VALUE(TRIM(LEFT(MID($A505,FIND("/",$A505)+1,20),FIND("/",MID($A505,FIND("/",$A505)+1,20))-1))),"")))</f>
        <v/>
      </c>
      <c r="D505">
        <f>IF(OR($A505="",$B505=""),"",IF(ISNUMBER($A505),MOD($A505,100),IFERROR(VALUE(TRIM(MID(MID($A505,FIND("/",$A505)+1,20),FIND("/",MID($A505,FIND("/",$A505)+1,20))+1,20))),"")))</f>
        <v/>
      </c>
      <c r="E505">
        <f>IF($A505="","",IF(OR($B505="",$C505="",$D505="",$B505&lt;1300,$B505&gt;1500,$C505&lt;1,$C505&gt;12,$D505&lt;1,$D505&gt;31),"نامعتبر",RIGHT("0000"&amp;$B505,4)&amp;"/"&amp;RIGHT("00"&amp;$C505,2)&amp;"/"&amp;RIGHT("00"&amp;$D505,2)))</f>
        <v/>
      </c>
      <c r="F505">
        <f>IF(OR($E505="",$E505="نامعتبر"),"",LEFT($E505,4)&amp;"/"&amp;MID($E505,6,2))</f>
        <v/>
      </c>
      <c r="G505">
        <f>IF(OR($E505="",$E505="نامعتبر",Sync!$Y502=""),"",Sync!$Y502)</f>
        <v/>
      </c>
      <c r="H505">
        <f>IF($G505="","",IF(Sync!$X502="","",Sync!$X502))</f>
        <v/>
      </c>
      <c r="I505">
        <f>IF($G505="","",IFERROR(VLOOKUP(Sync!$X502,OpTbl,3,0),""))</f>
        <v/>
      </c>
      <c r="J505">
        <f>IF(OR($G505="",Sync!$Z502=""),"",Sync!$Z502)</f>
        <v/>
      </c>
      <c r="K505">
        <f>IF(OR($G505="",Sync!$AA502=""),"",Sync!$AA502)</f>
        <v/>
      </c>
      <c r="L505">
        <f>IF($G505="",0,IF(Sync!$AB502="",0,Sync!$AB502))</f>
        <v/>
      </c>
      <c r="M505">
        <f>IF($G505="",0,IF(Sync!$AC502="",0,Sync!$AC502))</f>
        <v/>
      </c>
      <c r="N505">
        <f>IF($G505="","",IF($H505="مرجوعی خرید",-1,1)*($L505-$M505*IFERROR(VLOOKUP("P01",ParamTbl,3,0),1.5))*(1-IF($I505="خرید",IFERROR(VLOOKUP("P02",ParamTbl,3,0),1),0)/100))</f>
        <v/>
      </c>
      <c r="O505">
        <f>IF($G505="",0,IF($H505="مرجوعی خرید",-1,1)*IF(Sync!$AD502="",0,Sync!$AD502))</f>
        <v/>
      </c>
      <c r="P505">
        <f>IF(OR($G505="",Sync!$W502=""),"",Sync!$W502)</f>
        <v/>
      </c>
      <c r="Q505">
        <f>IF(OR($G505="",Sync!$AE502=""),"",Sync!$AE502)</f>
        <v/>
      </c>
      <c r="R505">
        <f>IF($G505="","",IF(Sync!$V502="","0000",IF(AND(ISNUMBER(Sync!$V502),Sync!$V502&gt;=0,Sync!$V502&lt;1),RIGHT("00"&amp;HOUR(Sync!$V502),2)&amp;RIGHT("00"&amp;MINUTE(Sync!$V502),2),IFERROR(RIGHT("00"&amp;VALUE(LEFT(Sync!$V502,FIND(":",Sync!$V502)-1)),2)&amp;RIGHT("00"&amp;VALUE(MID(Sync!$V502,FIND(":",Sync!$V502)+1,2)),2),"0000"))))</f>
        <v/>
      </c>
    </row>
    <row r="506">
      <c r="A506">
        <f>IF(Sync!$U503="","",Sync!$U503)</f>
        <v/>
      </c>
      <c r="B506">
        <f>IF($A506="","",IF(ISNUMBER($A506),IF(AND($A506&gt;=10000101,$A506&lt;=99991231),INT($A506/10000),""),IFERROR(VALUE(TRIM(LEFT($A506,FIND("/",$A506)-1))),"")))</f>
        <v/>
      </c>
      <c r="C506">
        <f>IF(OR($A506="",$B506=""),"",IF(ISNUMBER($A506),INT(MOD($A506,10000)/100),IFERROR(VALUE(TRIM(LEFT(MID($A506,FIND("/",$A506)+1,20),FIND("/",MID($A506,FIND("/",$A506)+1,20))-1))),"")))</f>
        <v/>
      </c>
      <c r="D506">
        <f>IF(OR($A506="",$B506=""),"",IF(ISNUMBER($A506),MOD($A506,100),IFERROR(VALUE(TRIM(MID(MID($A506,FIND("/",$A506)+1,20),FIND("/",MID($A506,FIND("/",$A506)+1,20))+1,20))),"")))</f>
        <v/>
      </c>
      <c r="E506">
        <f>IF($A506="","",IF(OR($B506="",$C506="",$D506="",$B506&lt;1300,$B506&gt;1500,$C506&lt;1,$C506&gt;12,$D506&lt;1,$D506&gt;31),"نامعتبر",RIGHT("0000"&amp;$B506,4)&amp;"/"&amp;RIGHT("00"&amp;$C506,2)&amp;"/"&amp;RIGHT("00"&amp;$D506,2)))</f>
        <v/>
      </c>
      <c r="F506">
        <f>IF(OR($E506="",$E506="نامعتبر"),"",LEFT($E506,4)&amp;"/"&amp;MID($E506,6,2))</f>
        <v/>
      </c>
      <c r="G506">
        <f>IF(OR($E506="",$E506="نامعتبر",Sync!$Y503=""),"",Sync!$Y503)</f>
        <v/>
      </c>
      <c r="H506">
        <f>IF($G506="","",IF(Sync!$X503="","",Sync!$X503))</f>
        <v/>
      </c>
      <c r="I506">
        <f>IF($G506="","",IFERROR(VLOOKUP(Sync!$X503,OpTbl,3,0),""))</f>
        <v/>
      </c>
      <c r="J506">
        <f>IF(OR($G506="",Sync!$Z503=""),"",Sync!$Z503)</f>
        <v/>
      </c>
      <c r="K506">
        <f>IF(OR($G506="",Sync!$AA503=""),"",Sync!$AA503)</f>
        <v/>
      </c>
      <c r="L506">
        <f>IF($G506="",0,IF(Sync!$AB503="",0,Sync!$AB503))</f>
        <v/>
      </c>
      <c r="M506">
        <f>IF($G506="",0,IF(Sync!$AC503="",0,Sync!$AC503))</f>
        <v/>
      </c>
      <c r="N506">
        <f>IF($G506="","",IF($H506="مرجوعی خرید",-1,1)*($L506-$M506*IFERROR(VLOOKUP("P01",ParamTbl,3,0),1.5))*(1-IF($I506="خرید",IFERROR(VLOOKUP("P02",ParamTbl,3,0),1),0)/100))</f>
        <v/>
      </c>
      <c r="O506">
        <f>IF($G506="",0,IF($H506="مرجوعی خرید",-1,1)*IF(Sync!$AD503="",0,Sync!$AD503))</f>
        <v/>
      </c>
      <c r="P506">
        <f>IF(OR($G506="",Sync!$W503=""),"",Sync!$W503)</f>
        <v/>
      </c>
      <c r="Q506">
        <f>IF(OR($G506="",Sync!$AE503=""),"",Sync!$AE503)</f>
        <v/>
      </c>
      <c r="R506">
        <f>IF($G506="","",IF(Sync!$V503="","0000",IF(AND(ISNUMBER(Sync!$V503),Sync!$V503&gt;=0,Sync!$V503&lt;1),RIGHT("00"&amp;HOUR(Sync!$V503),2)&amp;RIGHT("00"&amp;MINUTE(Sync!$V503),2),IFERROR(RIGHT("00"&amp;VALUE(LEFT(Sync!$V503,FIND(":",Sync!$V503)-1)),2)&amp;RIGHT("00"&amp;VALUE(MID(Sync!$V503,FIND(":",Sync!$V503)+1,2)),2),"0000"))))</f>
        <v/>
      </c>
    </row>
    <row r="507">
      <c r="A507">
        <f>IF(Sync!$U504="","",Sync!$U504)</f>
        <v/>
      </c>
      <c r="B507">
        <f>IF($A507="","",IF(ISNUMBER($A507),IF(AND($A507&gt;=10000101,$A507&lt;=99991231),INT($A507/10000),""),IFERROR(VALUE(TRIM(LEFT($A507,FIND("/",$A507)-1))),"")))</f>
        <v/>
      </c>
      <c r="C507">
        <f>IF(OR($A507="",$B507=""),"",IF(ISNUMBER($A507),INT(MOD($A507,10000)/100),IFERROR(VALUE(TRIM(LEFT(MID($A507,FIND("/",$A507)+1,20),FIND("/",MID($A507,FIND("/",$A507)+1,20))-1))),"")))</f>
        <v/>
      </c>
      <c r="D507">
        <f>IF(OR($A507="",$B507=""),"",IF(ISNUMBER($A507),MOD($A507,100),IFERROR(VALUE(TRIM(MID(MID($A507,FIND("/",$A507)+1,20),FIND("/",MID($A507,FIND("/",$A507)+1,20))+1,20))),"")))</f>
        <v/>
      </c>
      <c r="E507">
        <f>IF($A507="","",IF(OR($B507="",$C507="",$D507="",$B507&lt;1300,$B507&gt;1500,$C507&lt;1,$C507&gt;12,$D507&lt;1,$D507&gt;31),"نامعتبر",RIGHT("0000"&amp;$B507,4)&amp;"/"&amp;RIGHT("00"&amp;$C507,2)&amp;"/"&amp;RIGHT("00"&amp;$D507,2)))</f>
        <v/>
      </c>
      <c r="F507">
        <f>IF(OR($E507="",$E507="نامعتبر"),"",LEFT($E507,4)&amp;"/"&amp;MID($E507,6,2))</f>
        <v/>
      </c>
      <c r="G507">
        <f>IF(OR($E507="",$E507="نامعتبر",Sync!$Y504=""),"",Sync!$Y504)</f>
        <v/>
      </c>
      <c r="H507">
        <f>IF($G507="","",IF(Sync!$X504="","",Sync!$X504))</f>
        <v/>
      </c>
      <c r="I507">
        <f>IF($G507="","",IFERROR(VLOOKUP(Sync!$X504,OpTbl,3,0),""))</f>
        <v/>
      </c>
      <c r="J507">
        <f>IF(OR($G507="",Sync!$Z504=""),"",Sync!$Z504)</f>
        <v/>
      </c>
      <c r="K507">
        <f>IF(OR($G507="",Sync!$AA504=""),"",Sync!$AA504)</f>
        <v/>
      </c>
      <c r="L507">
        <f>IF($G507="",0,IF(Sync!$AB504="",0,Sync!$AB504))</f>
        <v/>
      </c>
      <c r="M507">
        <f>IF($G507="",0,IF(Sync!$AC504="",0,Sync!$AC504))</f>
        <v/>
      </c>
      <c r="N507">
        <f>IF($G507="","",IF($H507="مرجوعی خرید",-1,1)*($L507-$M507*IFERROR(VLOOKUP("P01",ParamTbl,3,0),1.5))*(1-IF($I507="خرید",IFERROR(VLOOKUP("P02",ParamTbl,3,0),1),0)/100))</f>
        <v/>
      </c>
      <c r="O507">
        <f>IF($G507="",0,IF($H507="مرجوعی خرید",-1,1)*IF(Sync!$AD504="",0,Sync!$AD504))</f>
        <v/>
      </c>
      <c r="P507">
        <f>IF(OR($G507="",Sync!$W504=""),"",Sync!$W504)</f>
        <v/>
      </c>
      <c r="Q507">
        <f>IF(OR($G507="",Sync!$AE504=""),"",Sync!$AE504)</f>
        <v/>
      </c>
      <c r="R507">
        <f>IF($G507="","",IF(Sync!$V504="","0000",IF(AND(ISNUMBER(Sync!$V504),Sync!$V504&gt;=0,Sync!$V504&lt;1),RIGHT("00"&amp;HOUR(Sync!$V504),2)&amp;RIGHT("00"&amp;MINUTE(Sync!$V504),2),IFERROR(RIGHT("00"&amp;VALUE(LEFT(Sync!$V504,FIND(":",Sync!$V504)-1)),2)&amp;RIGHT("00"&amp;VALUE(MID(Sync!$V504,FIND(":",Sync!$V504)+1,2)),2),"0000"))))</f>
        <v/>
      </c>
    </row>
    <row r="508">
      <c r="A508">
        <f>IF(Sync!$U505="","",Sync!$U505)</f>
        <v/>
      </c>
      <c r="B508">
        <f>IF($A508="","",IF(ISNUMBER($A508),IF(AND($A508&gt;=10000101,$A508&lt;=99991231),INT($A508/10000),""),IFERROR(VALUE(TRIM(LEFT($A508,FIND("/",$A508)-1))),"")))</f>
        <v/>
      </c>
      <c r="C508">
        <f>IF(OR($A508="",$B508=""),"",IF(ISNUMBER($A508),INT(MOD($A508,10000)/100),IFERROR(VALUE(TRIM(LEFT(MID($A508,FIND("/",$A508)+1,20),FIND("/",MID($A508,FIND("/",$A508)+1,20))-1))),"")))</f>
        <v/>
      </c>
      <c r="D508">
        <f>IF(OR($A508="",$B508=""),"",IF(ISNUMBER($A508),MOD($A508,100),IFERROR(VALUE(TRIM(MID(MID($A508,FIND("/",$A508)+1,20),FIND("/",MID($A508,FIND("/",$A508)+1,20))+1,20))),"")))</f>
        <v/>
      </c>
      <c r="E508">
        <f>IF($A508="","",IF(OR($B508="",$C508="",$D508="",$B508&lt;1300,$B508&gt;1500,$C508&lt;1,$C508&gt;12,$D508&lt;1,$D508&gt;31),"نامعتبر",RIGHT("0000"&amp;$B508,4)&amp;"/"&amp;RIGHT("00"&amp;$C508,2)&amp;"/"&amp;RIGHT("00"&amp;$D508,2)))</f>
        <v/>
      </c>
      <c r="F508">
        <f>IF(OR($E508="",$E508="نامعتبر"),"",LEFT($E508,4)&amp;"/"&amp;MID($E508,6,2))</f>
        <v/>
      </c>
      <c r="G508">
        <f>IF(OR($E508="",$E508="نامعتبر",Sync!$Y505=""),"",Sync!$Y505)</f>
        <v/>
      </c>
      <c r="H508">
        <f>IF($G508="","",IF(Sync!$X505="","",Sync!$X505))</f>
        <v/>
      </c>
      <c r="I508">
        <f>IF($G508="","",IFERROR(VLOOKUP(Sync!$X505,OpTbl,3,0),""))</f>
        <v/>
      </c>
      <c r="J508">
        <f>IF(OR($G508="",Sync!$Z505=""),"",Sync!$Z505)</f>
        <v/>
      </c>
      <c r="K508">
        <f>IF(OR($G508="",Sync!$AA505=""),"",Sync!$AA505)</f>
        <v/>
      </c>
      <c r="L508">
        <f>IF($G508="",0,IF(Sync!$AB505="",0,Sync!$AB505))</f>
        <v/>
      </c>
      <c r="M508">
        <f>IF($G508="",0,IF(Sync!$AC505="",0,Sync!$AC505))</f>
        <v/>
      </c>
      <c r="N508">
        <f>IF($G508="","",IF($H508="مرجوعی خرید",-1,1)*($L508-$M508*IFERROR(VLOOKUP("P01",ParamTbl,3,0),1.5))*(1-IF($I508="خرید",IFERROR(VLOOKUP("P02",ParamTbl,3,0),1),0)/100))</f>
        <v/>
      </c>
      <c r="O508">
        <f>IF($G508="",0,IF($H508="مرجوعی خرید",-1,1)*IF(Sync!$AD505="",0,Sync!$AD505))</f>
        <v/>
      </c>
      <c r="P508">
        <f>IF(OR($G508="",Sync!$W505=""),"",Sync!$W505)</f>
        <v/>
      </c>
      <c r="Q508">
        <f>IF(OR($G508="",Sync!$AE505=""),"",Sync!$AE505)</f>
        <v/>
      </c>
      <c r="R508">
        <f>IF($G508="","",IF(Sync!$V505="","0000",IF(AND(ISNUMBER(Sync!$V505),Sync!$V505&gt;=0,Sync!$V505&lt;1),RIGHT("00"&amp;HOUR(Sync!$V505),2)&amp;RIGHT("00"&amp;MINUTE(Sync!$V505),2),IFERROR(RIGHT("00"&amp;VALUE(LEFT(Sync!$V505,FIND(":",Sync!$V505)-1)),2)&amp;RIGHT("00"&amp;VALUE(MID(Sync!$V505,FIND(":",Sync!$V505)+1,2)),2),"0000"))))</f>
        <v/>
      </c>
    </row>
    <row r="509">
      <c r="A509">
        <f>IF(Sync!$U506="","",Sync!$U506)</f>
        <v/>
      </c>
      <c r="B509">
        <f>IF($A509="","",IF(ISNUMBER($A509),IF(AND($A509&gt;=10000101,$A509&lt;=99991231),INT($A509/10000),""),IFERROR(VALUE(TRIM(LEFT($A509,FIND("/",$A509)-1))),"")))</f>
        <v/>
      </c>
      <c r="C509">
        <f>IF(OR($A509="",$B509=""),"",IF(ISNUMBER($A509),INT(MOD($A509,10000)/100),IFERROR(VALUE(TRIM(LEFT(MID($A509,FIND("/",$A509)+1,20),FIND("/",MID($A509,FIND("/",$A509)+1,20))-1))),"")))</f>
        <v/>
      </c>
      <c r="D509">
        <f>IF(OR($A509="",$B509=""),"",IF(ISNUMBER($A509),MOD($A509,100),IFERROR(VALUE(TRIM(MID(MID($A509,FIND("/",$A509)+1,20),FIND("/",MID($A509,FIND("/",$A509)+1,20))+1,20))),"")))</f>
        <v/>
      </c>
      <c r="E509">
        <f>IF($A509="","",IF(OR($B509="",$C509="",$D509="",$B509&lt;1300,$B509&gt;1500,$C509&lt;1,$C509&gt;12,$D509&lt;1,$D509&gt;31),"نامعتبر",RIGHT("0000"&amp;$B509,4)&amp;"/"&amp;RIGHT("00"&amp;$C509,2)&amp;"/"&amp;RIGHT("00"&amp;$D509,2)))</f>
        <v/>
      </c>
      <c r="F509">
        <f>IF(OR($E509="",$E509="نامعتبر"),"",LEFT($E509,4)&amp;"/"&amp;MID($E509,6,2))</f>
        <v/>
      </c>
      <c r="G509">
        <f>IF(OR($E509="",$E509="نامعتبر",Sync!$Y506=""),"",Sync!$Y506)</f>
        <v/>
      </c>
      <c r="H509">
        <f>IF($G509="","",IF(Sync!$X506="","",Sync!$X506))</f>
        <v/>
      </c>
      <c r="I509">
        <f>IF($G509="","",IFERROR(VLOOKUP(Sync!$X506,OpTbl,3,0),""))</f>
        <v/>
      </c>
      <c r="J509">
        <f>IF(OR($G509="",Sync!$Z506=""),"",Sync!$Z506)</f>
        <v/>
      </c>
      <c r="K509">
        <f>IF(OR($G509="",Sync!$AA506=""),"",Sync!$AA506)</f>
        <v/>
      </c>
      <c r="L509">
        <f>IF($G509="",0,IF(Sync!$AB506="",0,Sync!$AB506))</f>
        <v/>
      </c>
      <c r="M509">
        <f>IF($G509="",0,IF(Sync!$AC506="",0,Sync!$AC506))</f>
        <v/>
      </c>
      <c r="N509">
        <f>IF($G509="","",IF($H509="مرجوعی خرید",-1,1)*($L509-$M509*IFERROR(VLOOKUP("P01",ParamTbl,3,0),1.5))*(1-IF($I509="خرید",IFERROR(VLOOKUP("P02",ParamTbl,3,0),1),0)/100))</f>
        <v/>
      </c>
      <c r="O509">
        <f>IF($G509="",0,IF($H509="مرجوعی خرید",-1,1)*IF(Sync!$AD506="",0,Sync!$AD506))</f>
        <v/>
      </c>
      <c r="P509">
        <f>IF(OR($G509="",Sync!$W506=""),"",Sync!$W506)</f>
        <v/>
      </c>
      <c r="Q509">
        <f>IF(OR($G509="",Sync!$AE506=""),"",Sync!$AE506)</f>
        <v/>
      </c>
      <c r="R509">
        <f>IF($G509="","",IF(Sync!$V506="","0000",IF(AND(ISNUMBER(Sync!$V506),Sync!$V506&gt;=0,Sync!$V506&lt;1),RIGHT("00"&amp;HOUR(Sync!$V506),2)&amp;RIGHT("00"&amp;MINUTE(Sync!$V506),2),IFERROR(RIGHT("00"&amp;VALUE(LEFT(Sync!$V506,FIND(":",Sync!$V506)-1)),2)&amp;RIGHT("00"&amp;VALUE(MID(Sync!$V506,FIND(":",Sync!$V506)+1,2)),2),"0000"))))</f>
        <v/>
      </c>
    </row>
    <row r="510">
      <c r="A510">
        <f>IF(Sync!$U507="","",Sync!$U507)</f>
        <v/>
      </c>
      <c r="B510">
        <f>IF($A510="","",IF(ISNUMBER($A510),IF(AND($A510&gt;=10000101,$A510&lt;=99991231),INT($A510/10000),""),IFERROR(VALUE(TRIM(LEFT($A510,FIND("/",$A510)-1))),"")))</f>
        <v/>
      </c>
      <c r="C510">
        <f>IF(OR($A510="",$B510=""),"",IF(ISNUMBER($A510),INT(MOD($A510,10000)/100),IFERROR(VALUE(TRIM(LEFT(MID($A510,FIND("/",$A510)+1,20),FIND("/",MID($A510,FIND("/",$A510)+1,20))-1))),"")))</f>
        <v/>
      </c>
      <c r="D510">
        <f>IF(OR($A510="",$B510=""),"",IF(ISNUMBER($A510),MOD($A510,100),IFERROR(VALUE(TRIM(MID(MID($A510,FIND("/",$A510)+1,20),FIND("/",MID($A510,FIND("/",$A510)+1,20))+1,20))),"")))</f>
        <v/>
      </c>
      <c r="E510">
        <f>IF($A510="","",IF(OR($B510="",$C510="",$D510="",$B510&lt;1300,$B510&gt;1500,$C510&lt;1,$C510&gt;12,$D510&lt;1,$D510&gt;31),"نامعتبر",RIGHT("0000"&amp;$B510,4)&amp;"/"&amp;RIGHT("00"&amp;$C510,2)&amp;"/"&amp;RIGHT("00"&amp;$D510,2)))</f>
        <v/>
      </c>
      <c r="F510">
        <f>IF(OR($E510="",$E510="نامعتبر"),"",LEFT($E510,4)&amp;"/"&amp;MID($E510,6,2))</f>
        <v/>
      </c>
      <c r="G510">
        <f>IF(OR($E510="",$E510="نامعتبر",Sync!$Y507=""),"",Sync!$Y507)</f>
        <v/>
      </c>
      <c r="H510">
        <f>IF($G510="","",IF(Sync!$X507="","",Sync!$X507))</f>
        <v/>
      </c>
      <c r="I510">
        <f>IF($G510="","",IFERROR(VLOOKUP(Sync!$X507,OpTbl,3,0),""))</f>
        <v/>
      </c>
      <c r="J510">
        <f>IF(OR($G510="",Sync!$Z507=""),"",Sync!$Z507)</f>
        <v/>
      </c>
      <c r="K510">
        <f>IF(OR($G510="",Sync!$AA507=""),"",Sync!$AA507)</f>
        <v/>
      </c>
      <c r="L510">
        <f>IF($G510="",0,IF(Sync!$AB507="",0,Sync!$AB507))</f>
        <v/>
      </c>
      <c r="M510">
        <f>IF($G510="",0,IF(Sync!$AC507="",0,Sync!$AC507))</f>
        <v/>
      </c>
      <c r="N510">
        <f>IF($G510="","",IF($H510="مرجوعی خرید",-1,1)*($L510-$M510*IFERROR(VLOOKUP("P01",ParamTbl,3,0),1.5))*(1-IF($I510="خرید",IFERROR(VLOOKUP("P02",ParamTbl,3,0),1),0)/100))</f>
        <v/>
      </c>
      <c r="O510">
        <f>IF($G510="",0,IF($H510="مرجوعی خرید",-1,1)*IF(Sync!$AD507="",0,Sync!$AD507))</f>
        <v/>
      </c>
      <c r="P510">
        <f>IF(OR($G510="",Sync!$W507=""),"",Sync!$W507)</f>
        <v/>
      </c>
      <c r="Q510">
        <f>IF(OR($G510="",Sync!$AE507=""),"",Sync!$AE507)</f>
        <v/>
      </c>
      <c r="R510">
        <f>IF($G510="","",IF(Sync!$V507="","0000",IF(AND(ISNUMBER(Sync!$V507),Sync!$V507&gt;=0,Sync!$V507&lt;1),RIGHT("00"&amp;HOUR(Sync!$V507),2)&amp;RIGHT("00"&amp;MINUTE(Sync!$V507),2),IFERROR(RIGHT("00"&amp;VALUE(LEFT(Sync!$V507,FIND(":",Sync!$V507)-1)),2)&amp;RIGHT("00"&amp;VALUE(MID(Sync!$V507,FIND(":",Sync!$V507)+1,2)),2),"0000"))))</f>
        <v/>
      </c>
    </row>
    <row r="511">
      <c r="A511">
        <f>IF(Sync!$U508="","",Sync!$U508)</f>
        <v/>
      </c>
      <c r="B511">
        <f>IF($A511="","",IF(ISNUMBER($A511),IF(AND($A511&gt;=10000101,$A511&lt;=99991231),INT($A511/10000),""),IFERROR(VALUE(TRIM(LEFT($A511,FIND("/",$A511)-1))),"")))</f>
        <v/>
      </c>
      <c r="C511">
        <f>IF(OR($A511="",$B511=""),"",IF(ISNUMBER($A511),INT(MOD($A511,10000)/100),IFERROR(VALUE(TRIM(LEFT(MID($A511,FIND("/",$A511)+1,20),FIND("/",MID($A511,FIND("/",$A511)+1,20))-1))),"")))</f>
        <v/>
      </c>
      <c r="D511">
        <f>IF(OR($A511="",$B511=""),"",IF(ISNUMBER($A511),MOD($A511,100),IFERROR(VALUE(TRIM(MID(MID($A511,FIND("/",$A511)+1,20),FIND("/",MID($A511,FIND("/",$A511)+1,20))+1,20))),"")))</f>
        <v/>
      </c>
      <c r="E511">
        <f>IF($A511="","",IF(OR($B511="",$C511="",$D511="",$B511&lt;1300,$B511&gt;1500,$C511&lt;1,$C511&gt;12,$D511&lt;1,$D511&gt;31),"نامعتبر",RIGHT("0000"&amp;$B511,4)&amp;"/"&amp;RIGHT("00"&amp;$C511,2)&amp;"/"&amp;RIGHT("00"&amp;$D511,2)))</f>
        <v/>
      </c>
      <c r="F511">
        <f>IF(OR($E511="",$E511="نامعتبر"),"",LEFT($E511,4)&amp;"/"&amp;MID($E511,6,2))</f>
        <v/>
      </c>
      <c r="G511">
        <f>IF(OR($E511="",$E511="نامعتبر",Sync!$Y508=""),"",Sync!$Y508)</f>
        <v/>
      </c>
      <c r="H511">
        <f>IF($G511="","",IF(Sync!$X508="","",Sync!$X508))</f>
        <v/>
      </c>
      <c r="I511">
        <f>IF($G511="","",IFERROR(VLOOKUP(Sync!$X508,OpTbl,3,0),""))</f>
        <v/>
      </c>
      <c r="J511">
        <f>IF(OR($G511="",Sync!$Z508=""),"",Sync!$Z508)</f>
        <v/>
      </c>
      <c r="K511">
        <f>IF(OR($G511="",Sync!$AA508=""),"",Sync!$AA508)</f>
        <v/>
      </c>
      <c r="L511">
        <f>IF($G511="",0,IF(Sync!$AB508="",0,Sync!$AB508))</f>
        <v/>
      </c>
      <c r="M511">
        <f>IF($G511="",0,IF(Sync!$AC508="",0,Sync!$AC508))</f>
        <v/>
      </c>
      <c r="N511">
        <f>IF($G511="","",IF($H511="مرجوعی خرید",-1,1)*($L511-$M511*IFERROR(VLOOKUP("P01",ParamTbl,3,0),1.5))*(1-IF($I511="خرید",IFERROR(VLOOKUP("P02",ParamTbl,3,0),1),0)/100))</f>
        <v/>
      </c>
      <c r="O511">
        <f>IF($G511="",0,IF($H511="مرجوعی خرید",-1,1)*IF(Sync!$AD508="",0,Sync!$AD508))</f>
        <v/>
      </c>
      <c r="P511">
        <f>IF(OR($G511="",Sync!$W508=""),"",Sync!$W508)</f>
        <v/>
      </c>
      <c r="Q511">
        <f>IF(OR($G511="",Sync!$AE508=""),"",Sync!$AE508)</f>
        <v/>
      </c>
      <c r="R511">
        <f>IF($G511="","",IF(Sync!$V508="","0000",IF(AND(ISNUMBER(Sync!$V508),Sync!$V508&gt;=0,Sync!$V508&lt;1),RIGHT("00"&amp;HOUR(Sync!$V508),2)&amp;RIGHT("00"&amp;MINUTE(Sync!$V508),2),IFERROR(RIGHT("00"&amp;VALUE(LEFT(Sync!$V508,FIND(":",Sync!$V508)-1)),2)&amp;RIGHT("00"&amp;VALUE(MID(Sync!$V508,FIND(":",Sync!$V508)+1,2)),2),"0000"))))</f>
        <v/>
      </c>
    </row>
    <row r="512">
      <c r="A512">
        <f>IF(Sync!$U509="","",Sync!$U509)</f>
        <v/>
      </c>
      <c r="B512">
        <f>IF($A512="","",IF(ISNUMBER($A512),IF(AND($A512&gt;=10000101,$A512&lt;=99991231),INT($A512/10000),""),IFERROR(VALUE(TRIM(LEFT($A512,FIND("/",$A512)-1))),"")))</f>
        <v/>
      </c>
      <c r="C512">
        <f>IF(OR($A512="",$B512=""),"",IF(ISNUMBER($A512),INT(MOD($A512,10000)/100),IFERROR(VALUE(TRIM(LEFT(MID($A512,FIND("/",$A512)+1,20),FIND("/",MID($A512,FIND("/",$A512)+1,20))-1))),"")))</f>
        <v/>
      </c>
      <c r="D512">
        <f>IF(OR($A512="",$B512=""),"",IF(ISNUMBER($A512),MOD($A512,100),IFERROR(VALUE(TRIM(MID(MID($A512,FIND("/",$A512)+1,20),FIND("/",MID($A512,FIND("/",$A512)+1,20))+1,20))),"")))</f>
        <v/>
      </c>
      <c r="E512">
        <f>IF($A512="","",IF(OR($B512="",$C512="",$D512="",$B512&lt;1300,$B512&gt;1500,$C512&lt;1,$C512&gt;12,$D512&lt;1,$D512&gt;31),"نامعتبر",RIGHT("0000"&amp;$B512,4)&amp;"/"&amp;RIGHT("00"&amp;$C512,2)&amp;"/"&amp;RIGHT("00"&amp;$D512,2)))</f>
        <v/>
      </c>
      <c r="F512">
        <f>IF(OR($E512="",$E512="نامعتبر"),"",LEFT($E512,4)&amp;"/"&amp;MID($E512,6,2))</f>
        <v/>
      </c>
      <c r="G512">
        <f>IF(OR($E512="",$E512="نامعتبر",Sync!$Y509=""),"",Sync!$Y509)</f>
        <v/>
      </c>
      <c r="H512">
        <f>IF($G512="","",IF(Sync!$X509="","",Sync!$X509))</f>
        <v/>
      </c>
      <c r="I512">
        <f>IF($G512="","",IFERROR(VLOOKUP(Sync!$X509,OpTbl,3,0),""))</f>
        <v/>
      </c>
      <c r="J512">
        <f>IF(OR($G512="",Sync!$Z509=""),"",Sync!$Z509)</f>
        <v/>
      </c>
      <c r="K512">
        <f>IF(OR($G512="",Sync!$AA509=""),"",Sync!$AA509)</f>
        <v/>
      </c>
      <c r="L512">
        <f>IF($G512="",0,IF(Sync!$AB509="",0,Sync!$AB509))</f>
        <v/>
      </c>
      <c r="M512">
        <f>IF($G512="",0,IF(Sync!$AC509="",0,Sync!$AC509))</f>
        <v/>
      </c>
      <c r="N512">
        <f>IF($G512="","",IF($H512="مرجوعی خرید",-1,1)*($L512-$M512*IFERROR(VLOOKUP("P01",ParamTbl,3,0),1.5))*(1-IF($I512="خرید",IFERROR(VLOOKUP("P02",ParamTbl,3,0),1),0)/100))</f>
        <v/>
      </c>
      <c r="O512">
        <f>IF($G512="",0,IF($H512="مرجوعی خرید",-1,1)*IF(Sync!$AD509="",0,Sync!$AD509))</f>
        <v/>
      </c>
      <c r="P512">
        <f>IF(OR($G512="",Sync!$W509=""),"",Sync!$W509)</f>
        <v/>
      </c>
      <c r="Q512">
        <f>IF(OR($G512="",Sync!$AE509=""),"",Sync!$AE509)</f>
        <v/>
      </c>
      <c r="R512">
        <f>IF($G512="","",IF(Sync!$V509="","0000",IF(AND(ISNUMBER(Sync!$V509),Sync!$V509&gt;=0,Sync!$V509&lt;1),RIGHT("00"&amp;HOUR(Sync!$V509),2)&amp;RIGHT("00"&amp;MINUTE(Sync!$V509),2),IFERROR(RIGHT("00"&amp;VALUE(LEFT(Sync!$V509,FIND(":",Sync!$V509)-1)),2)&amp;RIGHT("00"&amp;VALUE(MID(Sync!$V509,FIND(":",Sync!$V509)+1,2)),2),"0000"))))</f>
        <v/>
      </c>
    </row>
    <row r="513">
      <c r="A513">
        <f>IF(Sync!$U510="","",Sync!$U510)</f>
        <v/>
      </c>
      <c r="B513">
        <f>IF($A513="","",IF(ISNUMBER($A513),IF(AND($A513&gt;=10000101,$A513&lt;=99991231),INT($A513/10000),""),IFERROR(VALUE(TRIM(LEFT($A513,FIND("/",$A513)-1))),"")))</f>
        <v/>
      </c>
      <c r="C513">
        <f>IF(OR($A513="",$B513=""),"",IF(ISNUMBER($A513),INT(MOD($A513,10000)/100),IFERROR(VALUE(TRIM(LEFT(MID($A513,FIND("/",$A513)+1,20),FIND("/",MID($A513,FIND("/",$A513)+1,20))-1))),"")))</f>
        <v/>
      </c>
      <c r="D513">
        <f>IF(OR($A513="",$B513=""),"",IF(ISNUMBER($A513),MOD($A513,100),IFERROR(VALUE(TRIM(MID(MID($A513,FIND("/",$A513)+1,20),FIND("/",MID($A513,FIND("/",$A513)+1,20))+1,20))),"")))</f>
        <v/>
      </c>
      <c r="E513">
        <f>IF($A513="","",IF(OR($B513="",$C513="",$D513="",$B513&lt;1300,$B513&gt;1500,$C513&lt;1,$C513&gt;12,$D513&lt;1,$D513&gt;31),"نامعتبر",RIGHT("0000"&amp;$B513,4)&amp;"/"&amp;RIGHT("00"&amp;$C513,2)&amp;"/"&amp;RIGHT("00"&amp;$D513,2)))</f>
        <v/>
      </c>
      <c r="F513">
        <f>IF(OR($E513="",$E513="نامعتبر"),"",LEFT($E513,4)&amp;"/"&amp;MID($E513,6,2))</f>
        <v/>
      </c>
      <c r="G513">
        <f>IF(OR($E513="",$E513="نامعتبر",Sync!$Y510=""),"",Sync!$Y510)</f>
        <v/>
      </c>
      <c r="H513">
        <f>IF($G513="","",IF(Sync!$X510="","",Sync!$X510))</f>
        <v/>
      </c>
      <c r="I513">
        <f>IF($G513="","",IFERROR(VLOOKUP(Sync!$X510,OpTbl,3,0),""))</f>
        <v/>
      </c>
      <c r="J513">
        <f>IF(OR($G513="",Sync!$Z510=""),"",Sync!$Z510)</f>
        <v/>
      </c>
      <c r="K513">
        <f>IF(OR($G513="",Sync!$AA510=""),"",Sync!$AA510)</f>
        <v/>
      </c>
      <c r="L513">
        <f>IF($G513="",0,IF(Sync!$AB510="",0,Sync!$AB510))</f>
        <v/>
      </c>
      <c r="M513">
        <f>IF($G513="",0,IF(Sync!$AC510="",0,Sync!$AC510))</f>
        <v/>
      </c>
      <c r="N513">
        <f>IF($G513="","",IF($H513="مرجوعی خرید",-1,1)*($L513-$M513*IFERROR(VLOOKUP("P01",ParamTbl,3,0),1.5))*(1-IF($I513="خرید",IFERROR(VLOOKUP("P02",ParamTbl,3,0),1),0)/100))</f>
        <v/>
      </c>
      <c r="O513">
        <f>IF($G513="",0,IF($H513="مرجوعی خرید",-1,1)*IF(Sync!$AD510="",0,Sync!$AD510))</f>
        <v/>
      </c>
      <c r="P513">
        <f>IF(OR($G513="",Sync!$W510=""),"",Sync!$W510)</f>
        <v/>
      </c>
      <c r="Q513">
        <f>IF(OR($G513="",Sync!$AE510=""),"",Sync!$AE510)</f>
        <v/>
      </c>
      <c r="R513">
        <f>IF($G513="","",IF(Sync!$V510="","0000",IF(AND(ISNUMBER(Sync!$V510),Sync!$V510&gt;=0,Sync!$V510&lt;1),RIGHT("00"&amp;HOUR(Sync!$V510),2)&amp;RIGHT("00"&amp;MINUTE(Sync!$V510),2),IFERROR(RIGHT("00"&amp;VALUE(LEFT(Sync!$V510,FIND(":",Sync!$V510)-1)),2)&amp;RIGHT("00"&amp;VALUE(MID(Sync!$V510,FIND(":",Sync!$V510)+1,2)),2),"0000"))))</f>
        <v/>
      </c>
    </row>
    <row r="514">
      <c r="A514">
        <f>IF(Sync!$U511="","",Sync!$U511)</f>
        <v/>
      </c>
      <c r="B514">
        <f>IF($A514="","",IF(ISNUMBER($A514),IF(AND($A514&gt;=10000101,$A514&lt;=99991231),INT($A514/10000),""),IFERROR(VALUE(TRIM(LEFT($A514,FIND("/",$A514)-1))),"")))</f>
        <v/>
      </c>
      <c r="C514">
        <f>IF(OR($A514="",$B514=""),"",IF(ISNUMBER($A514),INT(MOD($A514,10000)/100),IFERROR(VALUE(TRIM(LEFT(MID($A514,FIND("/",$A514)+1,20),FIND("/",MID($A514,FIND("/",$A514)+1,20))-1))),"")))</f>
        <v/>
      </c>
      <c r="D514">
        <f>IF(OR($A514="",$B514=""),"",IF(ISNUMBER($A514),MOD($A514,100),IFERROR(VALUE(TRIM(MID(MID($A514,FIND("/",$A514)+1,20),FIND("/",MID($A514,FIND("/",$A514)+1,20))+1,20))),"")))</f>
        <v/>
      </c>
      <c r="E514">
        <f>IF($A514="","",IF(OR($B514="",$C514="",$D514="",$B514&lt;1300,$B514&gt;1500,$C514&lt;1,$C514&gt;12,$D514&lt;1,$D514&gt;31),"نامعتبر",RIGHT("0000"&amp;$B514,4)&amp;"/"&amp;RIGHT("00"&amp;$C514,2)&amp;"/"&amp;RIGHT("00"&amp;$D514,2)))</f>
        <v/>
      </c>
      <c r="F514">
        <f>IF(OR($E514="",$E514="نامعتبر"),"",LEFT($E514,4)&amp;"/"&amp;MID($E514,6,2))</f>
        <v/>
      </c>
      <c r="G514">
        <f>IF(OR($E514="",$E514="نامعتبر",Sync!$Y511=""),"",Sync!$Y511)</f>
        <v/>
      </c>
      <c r="H514">
        <f>IF($G514="","",IF(Sync!$X511="","",Sync!$X511))</f>
        <v/>
      </c>
      <c r="I514">
        <f>IF($G514="","",IFERROR(VLOOKUP(Sync!$X511,OpTbl,3,0),""))</f>
        <v/>
      </c>
      <c r="J514">
        <f>IF(OR($G514="",Sync!$Z511=""),"",Sync!$Z511)</f>
        <v/>
      </c>
      <c r="K514">
        <f>IF(OR($G514="",Sync!$AA511=""),"",Sync!$AA511)</f>
        <v/>
      </c>
      <c r="L514">
        <f>IF($G514="",0,IF(Sync!$AB511="",0,Sync!$AB511))</f>
        <v/>
      </c>
      <c r="M514">
        <f>IF($G514="",0,IF(Sync!$AC511="",0,Sync!$AC511))</f>
        <v/>
      </c>
      <c r="N514">
        <f>IF($G514="","",IF($H514="مرجوعی خرید",-1,1)*($L514-$M514*IFERROR(VLOOKUP("P01",ParamTbl,3,0),1.5))*(1-IF($I514="خرید",IFERROR(VLOOKUP("P02",ParamTbl,3,0),1),0)/100))</f>
        <v/>
      </c>
      <c r="O514">
        <f>IF($G514="",0,IF($H514="مرجوعی خرید",-1,1)*IF(Sync!$AD511="",0,Sync!$AD511))</f>
        <v/>
      </c>
      <c r="P514">
        <f>IF(OR($G514="",Sync!$W511=""),"",Sync!$W511)</f>
        <v/>
      </c>
      <c r="Q514">
        <f>IF(OR($G514="",Sync!$AE511=""),"",Sync!$AE511)</f>
        <v/>
      </c>
      <c r="R514">
        <f>IF($G514="","",IF(Sync!$V511="","0000",IF(AND(ISNUMBER(Sync!$V511),Sync!$V511&gt;=0,Sync!$V511&lt;1),RIGHT("00"&amp;HOUR(Sync!$V511),2)&amp;RIGHT("00"&amp;MINUTE(Sync!$V511),2),IFERROR(RIGHT("00"&amp;VALUE(LEFT(Sync!$V511,FIND(":",Sync!$V511)-1)),2)&amp;RIGHT("00"&amp;VALUE(MID(Sync!$V511,FIND(":",Sync!$V511)+1,2)),2),"0000"))))</f>
        <v/>
      </c>
    </row>
    <row r="515">
      <c r="A515">
        <f>IF(Sync!$U512="","",Sync!$U512)</f>
        <v/>
      </c>
      <c r="B515">
        <f>IF($A515="","",IF(ISNUMBER($A515),IF(AND($A515&gt;=10000101,$A515&lt;=99991231),INT($A515/10000),""),IFERROR(VALUE(TRIM(LEFT($A515,FIND("/",$A515)-1))),"")))</f>
        <v/>
      </c>
      <c r="C515">
        <f>IF(OR($A515="",$B515=""),"",IF(ISNUMBER($A515),INT(MOD($A515,10000)/100),IFERROR(VALUE(TRIM(LEFT(MID($A515,FIND("/",$A515)+1,20),FIND("/",MID($A515,FIND("/",$A515)+1,20))-1))),"")))</f>
        <v/>
      </c>
      <c r="D515">
        <f>IF(OR($A515="",$B515=""),"",IF(ISNUMBER($A515),MOD($A515,100),IFERROR(VALUE(TRIM(MID(MID($A515,FIND("/",$A515)+1,20),FIND("/",MID($A515,FIND("/",$A515)+1,20))+1,20))),"")))</f>
        <v/>
      </c>
      <c r="E515">
        <f>IF($A515="","",IF(OR($B515="",$C515="",$D515="",$B515&lt;1300,$B515&gt;1500,$C515&lt;1,$C515&gt;12,$D515&lt;1,$D515&gt;31),"نامعتبر",RIGHT("0000"&amp;$B515,4)&amp;"/"&amp;RIGHT("00"&amp;$C515,2)&amp;"/"&amp;RIGHT("00"&amp;$D515,2)))</f>
        <v/>
      </c>
      <c r="F515">
        <f>IF(OR($E515="",$E515="نامعتبر"),"",LEFT($E515,4)&amp;"/"&amp;MID($E515,6,2))</f>
        <v/>
      </c>
      <c r="G515">
        <f>IF(OR($E515="",$E515="نامعتبر",Sync!$Y512=""),"",Sync!$Y512)</f>
        <v/>
      </c>
      <c r="H515">
        <f>IF($G515="","",IF(Sync!$X512="","",Sync!$X512))</f>
        <v/>
      </c>
      <c r="I515">
        <f>IF($G515="","",IFERROR(VLOOKUP(Sync!$X512,OpTbl,3,0),""))</f>
        <v/>
      </c>
      <c r="J515">
        <f>IF(OR($G515="",Sync!$Z512=""),"",Sync!$Z512)</f>
        <v/>
      </c>
      <c r="K515">
        <f>IF(OR($G515="",Sync!$AA512=""),"",Sync!$AA512)</f>
        <v/>
      </c>
      <c r="L515">
        <f>IF($G515="",0,IF(Sync!$AB512="",0,Sync!$AB512))</f>
        <v/>
      </c>
      <c r="M515">
        <f>IF($G515="",0,IF(Sync!$AC512="",0,Sync!$AC512))</f>
        <v/>
      </c>
      <c r="N515">
        <f>IF($G515="","",IF($H515="مرجوعی خرید",-1,1)*($L515-$M515*IFERROR(VLOOKUP("P01",ParamTbl,3,0),1.5))*(1-IF($I515="خرید",IFERROR(VLOOKUP("P02",ParamTbl,3,0),1),0)/100))</f>
        <v/>
      </c>
      <c r="O515">
        <f>IF($G515="",0,IF($H515="مرجوعی خرید",-1,1)*IF(Sync!$AD512="",0,Sync!$AD512))</f>
        <v/>
      </c>
      <c r="P515">
        <f>IF(OR($G515="",Sync!$W512=""),"",Sync!$W512)</f>
        <v/>
      </c>
      <c r="Q515">
        <f>IF(OR($G515="",Sync!$AE512=""),"",Sync!$AE512)</f>
        <v/>
      </c>
      <c r="R515">
        <f>IF($G515="","",IF(Sync!$V512="","0000",IF(AND(ISNUMBER(Sync!$V512),Sync!$V512&gt;=0,Sync!$V512&lt;1),RIGHT("00"&amp;HOUR(Sync!$V512),2)&amp;RIGHT("00"&amp;MINUTE(Sync!$V512),2),IFERROR(RIGHT("00"&amp;VALUE(LEFT(Sync!$V512,FIND(":",Sync!$V512)-1)),2)&amp;RIGHT("00"&amp;VALUE(MID(Sync!$V512,FIND(":",Sync!$V512)+1,2)),2),"0000"))))</f>
        <v/>
      </c>
    </row>
    <row r="516">
      <c r="A516">
        <f>IF(Sync!$U513="","",Sync!$U513)</f>
        <v/>
      </c>
      <c r="B516">
        <f>IF($A516="","",IF(ISNUMBER($A516),IF(AND($A516&gt;=10000101,$A516&lt;=99991231),INT($A516/10000),""),IFERROR(VALUE(TRIM(LEFT($A516,FIND("/",$A516)-1))),"")))</f>
        <v/>
      </c>
      <c r="C516">
        <f>IF(OR($A516="",$B516=""),"",IF(ISNUMBER($A516),INT(MOD($A516,10000)/100),IFERROR(VALUE(TRIM(LEFT(MID($A516,FIND("/",$A516)+1,20),FIND("/",MID($A516,FIND("/",$A516)+1,20))-1))),"")))</f>
        <v/>
      </c>
      <c r="D516">
        <f>IF(OR($A516="",$B516=""),"",IF(ISNUMBER($A516),MOD($A516,100),IFERROR(VALUE(TRIM(MID(MID($A516,FIND("/",$A516)+1,20),FIND("/",MID($A516,FIND("/",$A516)+1,20))+1,20))),"")))</f>
        <v/>
      </c>
      <c r="E516">
        <f>IF($A516="","",IF(OR($B516="",$C516="",$D516="",$B516&lt;1300,$B516&gt;1500,$C516&lt;1,$C516&gt;12,$D516&lt;1,$D516&gt;31),"نامعتبر",RIGHT("0000"&amp;$B516,4)&amp;"/"&amp;RIGHT("00"&amp;$C516,2)&amp;"/"&amp;RIGHT("00"&amp;$D516,2)))</f>
        <v/>
      </c>
      <c r="F516">
        <f>IF(OR($E516="",$E516="نامعتبر"),"",LEFT($E516,4)&amp;"/"&amp;MID($E516,6,2))</f>
        <v/>
      </c>
      <c r="G516">
        <f>IF(OR($E516="",$E516="نامعتبر",Sync!$Y513=""),"",Sync!$Y513)</f>
        <v/>
      </c>
      <c r="H516">
        <f>IF($G516="","",IF(Sync!$X513="","",Sync!$X513))</f>
        <v/>
      </c>
      <c r="I516">
        <f>IF($G516="","",IFERROR(VLOOKUP(Sync!$X513,OpTbl,3,0),""))</f>
        <v/>
      </c>
      <c r="J516">
        <f>IF(OR($G516="",Sync!$Z513=""),"",Sync!$Z513)</f>
        <v/>
      </c>
      <c r="K516">
        <f>IF(OR($G516="",Sync!$AA513=""),"",Sync!$AA513)</f>
        <v/>
      </c>
      <c r="L516">
        <f>IF($G516="",0,IF(Sync!$AB513="",0,Sync!$AB513))</f>
        <v/>
      </c>
      <c r="M516">
        <f>IF($G516="",0,IF(Sync!$AC513="",0,Sync!$AC513))</f>
        <v/>
      </c>
      <c r="N516">
        <f>IF($G516="","",IF($H516="مرجوعی خرید",-1,1)*($L516-$M516*IFERROR(VLOOKUP("P01",ParamTbl,3,0),1.5))*(1-IF($I516="خرید",IFERROR(VLOOKUP("P02",ParamTbl,3,0),1),0)/100))</f>
        <v/>
      </c>
      <c r="O516">
        <f>IF($G516="",0,IF($H516="مرجوعی خرید",-1,1)*IF(Sync!$AD513="",0,Sync!$AD513))</f>
        <v/>
      </c>
      <c r="P516">
        <f>IF(OR($G516="",Sync!$W513=""),"",Sync!$W513)</f>
        <v/>
      </c>
      <c r="Q516">
        <f>IF(OR($G516="",Sync!$AE513=""),"",Sync!$AE513)</f>
        <v/>
      </c>
      <c r="R516">
        <f>IF($G516="","",IF(Sync!$V513="","0000",IF(AND(ISNUMBER(Sync!$V513),Sync!$V513&gt;=0,Sync!$V513&lt;1),RIGHT("00"&amp;HOUR(Sync!$V513),2)&amp;RIGHT("00"&amp;MINUTE(Sync!$V513),2),IFERROR(RIGHT("00"&amp;VALUE(LEFT(Sync!$V513,FIND(":",Sync!$V513)-1)),2)&amp;RIGHT("00"&amp;VALUE(MID(Sync!$V513,FIND(":",Sync!$V513)+1,2)),2),"0000"))))</f>
        <v/>
      </c>
    </row>
    <row r="517">
      <c r="A517">
        <f>IF(Sync!$U514="","",Sync!$U514)</f>
        <v/>
      </c>
      <c r="B517">
        <f>IF($A517="","",IF(ISNUMBER($A517),IF(AND($A517&gt;=10000101,$A517&lt;=99991231),INT($A517/10000),""),IFERROR(VALUE(TRIM(LEFT($A517,FIND("/",$A517)-1))),"")))</f>
        <v/>
      </c>
      <c r="C517">
        <f>IF(OR($A517="",$B517=""),"",IF(ISNUMBER($A517),INT(MOD($A517,10000)/100),IFERROR(VALUE(TRIM(LEFT(MID($A517,FIND("/",$A517)+1,20),FIND("/",MID($A517,FIND("/",$A517)+1,20))-1))),"")))</f>
        <v/>
      </c>
      <c r="D517">
        <f>IF(OR($A517="",$B517=""),"",IF(ISNUMBER($A517),MOD($A517,100),IFERROR(VALUE(TRIM(MID(MID($A517,FIND("/",$A517)+1,20),FIND("/",MID($A517,FIND("/",$A517)+1,20))+1,20))),"")))</f>
        <v/>
      </c>
      <c r="E517">
        <f>IF($A517="","",IF(OR($B517="",$C517="",$D517="",$B517&lt;1300,$B517&gt;1500,$C517&lt;1,$C517&gt;12,$D517&lt;1,$D517&gt;31),"نامعتبر",RIGHT("0000"&amp;$B517,4)&amp;"/"&amp;RIGHT("00"&amp;$C517,2)&amp;"/"&amp;RIGHT("00"&amp;$D517,2)))</f>
        <v/>
      </c>
      <c r="F517">
        <f>IF(OR($E517="",$E517="نامعتبر"),"",LEFT($E517,4)&amp;"/"&amp;MID($E517,6,2))</f>
        <v/>
      </c>
      <c r="G517">
        <f>IF(OR($E517="",$E517="نامعتبر",Sync!$Y514=""),"",Sync!$Y514)</f>
        <v/>
      </c>
      <c r="H517">
        <f>IF($G517="","",IF(Sync!$X514="","",Sync!$X514))</f>
        <v/>
      </c>
      <c r="I517">
        <f>IF($G517="","",IFERROR(VLOOKUP(Sync!$X514,OpTbl,3,0),""))</f>
        <v/>
      </c>
      <c r="J517">
        <f>IF(OR($G517="",Sync!$Z514=""),"",Sync!$Z514)</f>
        <v/>
      </c>
      <c r="K517">
        <f>IF(OR($G517="",Sync!$AA514=""),"",Sync!$AA514)</f>
        <v/>
      </c>
      <c r="L517">
        <f>IF($G517="",0,IF(Sync!$AB514="",0,Sync!$AB514))</f>
        <v/>
      </c>
      <c r="M517">
        <f>IF($G517="",0,IF(Sync!$AC514="",0,Sync!$AC514))</f>
        <v/>
      </c>
      <c r="N517">
        <f>IF($G517="","",IF($H517="مرجوعی خرید",-1,1)*($L517-$M517*IFERROR(VLOOKUP("P01",ParamTbl,3,0),1.5))*(1-IF($I517="خرید",IFERROR(VLOOKUP("P02",ParamTbl,3,0),1),0)/100))</f>
        <v/>
      </c>
      <c r="O517">
        <f>IF($G517="",0,IF($H517="مرجوعی خرید",-1,1)*IF(Sync!$AD514="",0,Sync!$AD514))</f>
        <v/>
      </c>
      <c r="P517">
        <f>IF(OR($G517="",Sync!$W514=""),"",Sync!$W514)</f>
        <v/>
      </c>
      <c r="Q517">
        <f>IF(OR($G517="",Sync!$AE514=""),"",Sync!$AE514)</f>
        <v/>
      </c>
      <c r="R517">
        <f>IF($G517="","",IF(Sync!$V514="","0000",IF(AND(ISNUMBER(Sync!$V514),Sync!$V514&gt;=0,Sync!$V514&lt;1),RIGHT("00"&amp;HOUR(Sync!$V514),2)&amp;RIGHT("00"&amp;MINUTE(Sync!$V514),2),IFERROR(RIGHT("00"&amp;VALUE(LEFT(Sync!$V514,FIND(":",Sync!$V514)-1)),2)&amp;RIGHT("00"&amp;VALUE(MID(Sync!$V514,FIND(":",Sync!$V514)+1,2)),2),"0000"))))</f>
        <v/>
      </c>
    </row>
    <row r="518">
      <c r="A518">
        <f>IF(Sync!$U515="","",Sync!$U515)</f>
        <v/>
      </c>
      <c r="B518">
        <f>IF($A518="","",IF(ISNUMBER($A518),IF(AND($A518&gt;=10000101,$A518&lt;=99991231),INT($A518/10000),""),IFERROR(VALUE(TRIM(LEFT($A518,FIND("/",$A518)-1))),"")))</f>
        <v/>
      </c>
      <c r="C518">
        <f>IF(OR($A518="",$B518=""),"",IF(ISNUMBER($A518),INT(MOD($A518,10000)/100),IFERROR(VALUE(TRIM(LEFT(MID($A518,FIND("/",$A518)+1,20),FIND("/",MID($A518,FIND("/",$A518)+1,20))-1))),"")))</f>
        <v/>
      </c>
      <c r="D518">
        <f>IF(OR($A518="",$B518=""),"",IF(ISNUMBER($A518),MOD($A518,100),IFERROR(VALUE(TRIM(MID(MID($A518,FIND("/",$A518)+1,20),FIND("/",MID($A518,FIND("/",$A518)+1,20))+1,20))),"")))</f>
        <v/>
      </c>
      <c r="E518">
        <f>IF($A518="","",IF(OR($B518="",$C518="",$D518="",$B518&lt;1300,$B518&gt;1500,$C518&lt;1,$C518&gt;12,$D518&lt;1,$D518&gt;31),"نامعتبر",RIGHT("0000"&amp;$B518,4)&amp;"/"&amp;RIGHT("00"&amp;$C518,2)&amp;"/"&amp;RIGHT("00"&amp;$D518,2)))</f>
        <v/>
      </c>
      <c r="F518">
        <f>IF(OR($E518="",$E518="نامعتبر"),"",LEFT($E518,4)&amp;"/"&amp;MID($E518,6,2))</f>
        <v/>
      </c>
      <c r="G518">
        <f>IF(OR($E518="",$E518="نامعتبر",Sync!$Y515=""),"",Sync!$Y515)</f>
        <v/>
      </c>
      <c r="H518">
        <f>IF($G518="","",IF(Sync!$X515="","",Sync!$X515))</f>
        <v/>
      </c>
      <c r="I518">
        <f>IF($G518="","",IFERROR(VLOOKUP(Sync!$X515,OpTbl,3,0),""))</f>
        <v/>
      </c>
      <c r="J518">
        <f>IF(OR($G518="",Sync!$Z515=""),"",Sync!$Z515)</f>
        <v/>
      </c>
      <c r="K518">
        <f>IF(OR($G518="",Sync!$AA515=""),"",Sync!$AA515)</f>
        <v/>
      </c>
      <c r="L518">
        <f>IF($G518="",0,IF(Sync!$AB515="",0,Sync!$AB515))</f>
        <v/>
      </c>
      <c r="M518">
        <f>IF($G518="",0,IF(Sync!$AC515="",0,Sync!$AC515))</f>
        <v/>
      </c>
      <c r="N518">
        <f>IF($G518="","",IF($H518="مرجوعی خرید",-1,1)*($L518-$M518*IFERROR(VLOOKUP("P01",ParamTbl,3,0),1.5))*(1-IF($I518="خرید",IFERROR(VLOOKUP("P02",ParamTbl,3,0),1),0)/100))</f>
        <v/>
      </c>
      <c r="O518">
        <f>IF($G518="",0,IF($H518="مرجوعی خرید",-1,1)*IF(Sync!$AD515="",0,Sync!$AD515))</f>
        <v/>
      </c>
      <c r="P518">
        <f>IF(OR($G518="",Sync!$W515=""),"",Sync!$W515)</f>
        <v/>
      </c>
      <c r="Q518">
        <f>IF(OR($G518="",Sync!$AE515=""),"",Sync!$AE515)</f>
        <v/>
      </c>
      <c r="R518">
        <f>IF($G518="","",IF(Sync!$V515="","0000",IF(AND(ISNUMBER(Sync!$V515),Sync!$V515&gt;=0,Sync!$V515&lt;1),RIGHT("00"&amp;HOUR(Sync!$V515),2)&amp;RIGHT("00"&amp;MINUTE(Sync!$V515),2),IFERROR(RIGHT("00"&amp;VALUE(LEFT(Sync!$V515,FIND(":",Sync!$V515)-1)),2)&amp;RIGHT("00"&amp;VALUE(MID(Sync!$V515,FIND(":",Sync!$V515)+1,2)),2),"0000"))))</f>
        <v/>
      </c>
    </row>
    <row r="519">
      <c r="A519">
        <f>IF(Sync!$U516="","",Sync!$U516)</f>
        <v/>
      </c>
      <c r="B519">
        <f>IF($A519="","",IF(ISNUMBER($A519),IF(AND($A519&gt;=10000101,$A519&lt;=99991231),INT($A519/10000),""),IFERROR(VALUE(TRIM(LEFT($A519,FIND("/",$A519)-1))),"")))</f>
        <v/>
      </c>
      <c r="C519">
        <f>IF(OR($A519="",$B519=""),"",IF(ISNUMBER($A519),INT(MOD($A519,10000)/100),IFERROR(VALUE(TRIM(LEFT(MID($A519,FIND("/",$A519)+1,20),FIND("/",MID($A519,FIND("/",$A519)+1,20))-1))),"")))</f>
        <v/>
      </c>
      <c r="D519">
        <f>IF(OR($A519="",$B519=""),"",IF(ISNUMBER($A519),MOD($A519,100),IFERROR(VALUE(TRIM(MID(MID($A519,FIND("/",$A519)+1,20),FIND("/",MID($A519,FIND("/",$A519)+1,20))+1,20))),"")))</f>
        <v/>
      </c>
      <c r="E519">
        <f>IF($A519="","",IF(OR($B519="",$C519="",$D519="",$B519&lt;1300,$B519&gt;1500,$C519&lt;1,$C519&gt;12,$D519&lt;1,$D519&gt;31),"نامعتبر",RIGHT("0000"&amp;$B519,4)&amp;"/"&amp;RIGHT("00"&amp;$C519,2)&amp;"/"&amp;RIGHT("00"&amp;$D519,2)))</f>
        <v/>
      </c>
      <c r="F519">
        <f>IF(OR($E519="",$E519="نامعتبر"),"",LEFT($E519,4)&amp;"/"&amp;MID($E519,6,2))</f>
        <v/>
      </c>
      <c r="G519">
        <f>IF(OR($E519="",$E519="نامعتبر",Sync!$Y516=""),"",Sync!$Y516)</f>
        <v/>
      </c>
      <c r="H519">
        <f>IF($G519="","",IF(Sync!$X516="","",Sync!$X516))</f>
        <v/>
      </c>
      <c r="I519">
        <f>IF($G519="","",IFERROR(VLOOKUP(Sync!$X516,OpTbl,3,0),""))</f>
        <v/>
      </c>
      <c r="J519">
        <f>IF(OR($G519="",Sync!$Z516=""),"",Sync!$Z516)</f>
        <v/>
      </c>
      <c r="K519">
        <f>IF(OR($G519="",Sync!$AA516=""),"",Sync!$AA516)</f>
        <v/>
      </c>
      <c r="L519">
        <f>IF($G519="",0,IF(Sync!$AB516="",0,Sync!$AB516))</f>
        <v/>
      </c>
      <c r="M519">
        <f>IF($G519="",0,IF(Sync!$AC516="",0,Sync!$AC516))</f>
        <v/>
      </c>
      <c r="N519">
        <f>IF($G519="","",IF($H519="مرجوعی خرید",-1,1)*($L519-$M519*IFERROR(VLOOKUP("P01",ParamTbl,3,0),1.5))*(1-IF($I519="خرید",IFERROR(VLOOKUP("P02",ParamTbl,3,0),1),0)/100))</f>
        <v/>
      </c>
      <c r="O519">
        <f>IF($G519="",0,IF($H519="مرجوعی خرید",-1,1)*IF(Sync!$AD516="",0,Sync!$AD516))</f>
        <v/>
      </c>
      <c r="P519">
        <f>IF(OR($G519="",Sync!$W516=""),"",Sync!$W516)</f>
        <v/>
      </c>
      <c r="Q519">
        <f>IF(OR($G519="",Sync!$AE516=""),"",Sync!$AE516)</f>
        <v/>
      </c>
      <c r="R519">
        <f>IF($G519="","",IF(Sync!$V516="","0000",IF(AND(ISNUMBER(Sync!$V516),Sync!$V516&gt;=0,Sync!$V516&lt;1),RIGHT("00"&amp;HOUR(Sync!$V516),2)&amp;RIGHT("00"&amp;MINUTE(Sync!$V516),2),IFERROR(RIGHT("00"&amp;VALUE(LEFT(Sync!$V516,FIND(":",Sync!$V516)-1)),2)&amp;RIGHT("00"&amp;VALUE(MID(Sync!$V516,FIND(":",Sync!$V516)+1,2)),2),"0000"))))</f>
        <v/>
      </c>
    </row>
    <row r="520">
      <c r="A520">
        <f>IF(Sync!$U517="","",Sync!$U517)</f>
        <v/>
      </c>
      <c r="B520">
        <f>IF($A520="","",IF(ISNUMBER($A520),IF(AND($A520&gt;=10000101,$A520&lt;=99991231),INT($A520/10000),""),IFERROR(VALUE(TRIM(LEFT($A520,FIND("/",$A520)-1))),"")))</f>
        <v/>
      </c>
      <c r="C520">
        <f>IF(OR($A520="",$B520=""),"",IF(ISNUMBER($A520),INT(MOD($A520,10000)/100),IFERROR(VALUE(TRIM(LEFT(MID($A520,FIND("/",$A520)+1,20),FIND("/",MID($A520,FIND("/",$A520)+1,20))-1))),"")))</f>
        <v/>
      </c>
      <c r="D520">
        <f>IF(OR($A520="",$B520=""),"",IF(ISNUMBER($A520),MOD($A520,100),IFERROR(VALUE(TRIM(MID(MID($A520,FIND("/",$A520)+1,20),FIND("/",MID($A520,FIND("/",$A520)+1,20))+1,20))),"")))</f>
        <v/>
      </c>
      <c r="E520">
        <f>IF($A520="","",IF(OR($B520="",$C520="",$D520="",$B520&lt;1300,$B520&gt;1500,$C520&lt;1,$C520&gt;12,$D520&lt;1,$D520&gt;31),"نامعتبر",RIGHT("0000"&amp;$B520,4)&amp;"/"&amp;RIGHT("00"&amp;$C520,2)&amp;"/"&amp;RIGHT("00"&amp;$D520,2)))</f>
        <v/>
      </c>
      <c r="F520">
        <f>IF(OR($E520="",$E520="نامعتبر"),"",LEFT($E520,4)&amp;"/"&amp;MID($E520,6,2))</f>
        <v/>
      </c>
      <c r="G520">
        <f>IF(OR($E520="",$E520="نامعتبر",Sync!$Y517=""),"",Sync!$Y517)</f>
        <v/>
      </c>
      <c r="H520">
        <f>IF($G520="","",IF(Sync!$X517="","",Sync!$X517))</f>
        <v/>
      </c>
      <c r="I520">
        <f>IF($G520="","",IFERROR(VLOOKUP(Sync!$X517,OpTbl,3,0),""))</f>
        <v/>
      </c>
      <c r="J520">
        <f>IF(OR($G520="",Sync!$Z517=""),"",Sync!$Z517)</f>
        <v/>
      </c>
      <c r="K520">
        <f>IF(OR($G520="",Sync!$AA517=""),"",Sync!$AA517)</f>
        <v/>
      </c>
      <c r="L520">
        <f>IF($G520="",0,IF(Sync!$AB517="",0,Sync!$AB517))</f>
        <v/>
      </c>
      <c r="M520">
        <f>IF($G520="",0,IF(Sync!$AC517="",0,Sync!$AC517))</f>
        <v/>
      </c>
      <c r="N520">
        <f>IF($G520="","",IF($H520="مرجوعی خرید",-1,1)*($L520-$M520*IFERROR(VLOOKUP("P01",ParamTbl,3,0),1.5))*(1-IF($I520="خرید",IFERROR(VLOOKUP("P02",ParamTbl,3,0),1),0)/100))</f>
        <v/>
      </c>
      <c r="O520">
        <f>IF($G520="",0,IF($H520="مرجوعی خرید",-1,1)*IF(Sync!$AD517="",0,Sync!$AD517))</f>
        <v/>
      </c>
      <c r="P520">
        <f>IF(OR($G520="",Sync!$W517=""),"",Sync!$W517)</f>
        <v/>
      </c>
      <c r="Q520">
        <f>IF(OR($G520="",Sync!$AE517=""),"",Sync!$AE517)</f>
        <v/>
      </c>
      <c r="R520">
        <f>IF($G520="","",IF(Sync!$V517="","0000",IF(AND(ISNUMBER(Sync!$V517),Sync!$V517&gt;=0,Sync!$V517&lt;1),RIGHT("00"&amp;HOUR(Sync!$V517),2)&amp;RIGHT("00"&amp;MINUTE(Sync!$V517),2),IFERROR(RIGHT("00"&amp;VALUE(LEFT(Sync!$V517,FIND(":",Sync!$V517)-1)),2)&amp;RIGHT("00"&amp;VALUE(MID(Sync!$V517,FIND(":",Sync!$V517)+1,2)),2),"0000"))))</f>
        <v/>
      </c>
    </row>
    <row r="521">
      <c r="A521">
        <f>IF(Sync!$U518="","",Sync!$U518)</f>
        <v/>
      </c>
      <c r="B521">
        <f>IF($A521="","",IF(ISNUMBER($A521),IF(AND($A521&gt;=10000101,$A521&lt;=99991231),INT($A521/10000),""),IFERROR(VALUE(TRIM(LEFT($A521,FIND("/",$A521)-1))),"")))</f>
        <v/>
      </c>
      <c r="C521">
        <f>IF(OR($A521="",$B521=""),"",IF(ISNUMBER($A521),INT(MOD($A521,10000)/100),IFERROR(VALUE(TRIM(LEFT(MID($A521,FIND("/",$A521)+1,20),FIND("/",MID($A521,FIND("/",$A521)+1,20))-1))),"")))</f>
        <v/>
      </c>
      <c r="D521">
        <f>IF(OR($A521="",$B521=""),"",IF(ISNUMBER($A521),MOD($A521,100),IFERROR(VALUE(TRIM(MID(MID($A521,FIND("/",$A521)+1,20),FIND("/",MID($A521,FIND("/",$A521)+1,20))+1,20))),"")))</f>
        <v/>
      </c>
      <c r="E521">
        <f>IF($A521="","",IF(OR($B521="",$C521="",$D521="",$B521&lt;1300,$B521&gt;1500,$C521&lt;1,$C521&gt;12,$D521&lt;1,$D521&gt;31),"نامعتبر",RIGHT("0000"&amp;$B521,4)&amp;"/"&amp;RIGHT("00"&amp;$C521,2)&amp;"/"&amp;RIGHT("00"&amp;$D521,2)))</f>
        <v/>
      </c>
      <c r="F521">
        <f>IF(OR($E521="",$E521="نامعتبر"),"",LEFT($E521,4)&amp;"/"&amp;MID($E521,6,2))</f>
        <v/>
      </c>
      <c r="G521">
        <f>IF(OR($E521="",$E521="نامعتبر",Sync!$Y518=""),"",Sync!$Y518)</f>
        <v/>
      </c>
      <c r="H521">
        <f>IF($G521="","",IF(Sync!$X518="","",Sync!$X518))</f>
        <v/>
      </c>
      <c r="I521">
        <f>IF($G521="","",IFERROR(VLOOKUP(Sync!$X518,OpTbl,3,0),""))</f>
        <v/>
      </c>
      <c r="J521">
        <f>IF(OR($G521="",Sync!$Z518=""),"",Sync!$Z518)</f>
        <v/>
      </c>
      <c r="K521">
        <f>IF(OR($G521="",Sync!$AA518=""),"",Sync!$AA518)</f>
        <v/>
      </c>
      <c r="L521">
        <f>IF($G521="",0,IF(Sync!$AB518="",0,Sync!$AB518))</f>
        <v/>
      </c>
      <c r="M521">
        <f>IF($G521="",0,IF(Sync!$AC518="",0,Sync!$AC518))</f>
        <v/>
      </c>
      <c r="N521">
        <f>IF($G521="","",IF($H521="مرجوعی خرید",-1,1)*($L521-$M521*IFERROR(VLOOKUP("P01",ParamTbl,3,0),1.5))*(1-IF($I521="خرید",IFERROR(VLOOKUP("P02",ParamTbl,3,0),1),0)/100))</f>
        <v/>
      </c>
      <c r="O521">
        <f>IF($G521="",0,IF($H521="مرجوعی خرید",-1,1)*IF(Sync!$AD518="",0,Sync!$AD518))</f>
        <v/>
      </c>
      <c r="P521">
        <f>IF(OR($G521="",Sync!$W518=""),"",Sync!$W518)</f>
        <v/>
      </c>
      <c r="Q521">
        <f>IF(OR($G521="",Sync!$AE518=""),"",Sync!$AE518)</f>
        <v/>
      </c>
      <c r="R521">
        <f>IF($G521="","",IF(Sync!$V518="","0000",IF(AND(ISNUMBER(Sync!$V518),Sync!$V518&gt;=0,Sync!$V518&lt;1),RIGHT("00"&amp;HOUR(Sync!$V518),2)&amp;RIGHT("00"&amp;MINUTE(Sync!$V518),2),IFERROR(RIGHT("00"&amp;VALUE(LEFT(Sync!$V518,FIND(":",Sync!$V518)-1)),2)&amp;RIGHT("00"&amp;VALUE(MID(Sync!$V518,FIND(":",Sync!$V518)+1,2)),2),"0000"))))</f>
        <v/>
      </c>
    </row>
    <row r="522">
      <c r="A522">
        <f>IF(Sync!$U519="","",Sync!$U519)</f>
        <v/>
      </c>
      <c r="B522">
        <f>IF($A522="","",IF(ISNUMBER($A522),IF(AND($A522&gt;=10000101,$A522&lt;=99991231),INT($A522/10000),""),IFERROR(VALUE(TRIM(LEFT($A522,FIND("/",$A522)-1))),"")))</f>
        <v/>
      </c>
      <c r="C522">
        <f>IF(OR($A522="",$B522=""),"",IF(ISNUMBER($A522),INT(MOD($A522,10000)/100),IFERROR(VALUE(TRIM(LEFT(MID($A522,FIND("/",$A522)+1,20),FIND("/",MID($A522,FIND("/",$A522)+1,20))-1))),"")))</f>
        <v/>
      </c>
      <c r="D522">
        <f>IF(OR($A522="",$B522=""),"",IF(ISNUMBER($A522),MOD($A522,100),IFERROR(VALUE(TRIM(MID(MID($A522,FIND("/",$A522)+1,20),FIND("/",MID($A522,FIND("/",$A522)+1,20))+1,20))),"")))</f>
        <v/>
      </c>
      <c r="E522">
        <f>IF($A522="","",IF(OR($B522="",$C522="",$D522="",$B522&lt;1300,$B522&gt;1500,$C522&lt;1,$C522&gt;12,$D522&lt;1,$D522&gt;31),"نامعتبر",RIGHT("0000"&amp;$B522,4)&amp;"/"&amp;RIGHT("00"&amp;$C522,2)&amp;"/"&amp;RIGHT("00"&amp;$D522,2)))</f>
        <v/>
      </c>
      <c r="F522">
        <f>IF(OR($E522="",$E522="نامعتبر"),"",LEFT($E522,4)&amp;"/"&amp;MID($E522,6,2))</f>
        <v/>
      </c>
      <c r="G522">
        <f>IF(OR($E522="",$E522="نامعتبر",Sync!$Y519=""),"",Sync!$Y519)</f>
        <v/>
      </c>
      <c r="H522">
        <f>IF($G522="","",IF(Sync!$X519="","",Sync!$X519))</f>
        <v/>
      </c>
      <c r="I522">
        <f>IF($G522="","",IFERROR(VLOOKUP(Sync!$X519,OpTbl,3,0),""))</f>
        <v/>
      </c>
      <c r="J522">
        <f>IF(OR($G522="",Sync!$Z519=""),"",Sync!$Z519)</f>
        <v/>
      </c>
      <c r="K522">
        <f>IF(OR($G522="",Sync!$AA519=""),"",Sync!$AA519)</f>
        <v/>
      </c>
      <c r="L522">
        <f>IF($G522="",0,IF(Sync!$AB519="",0,Sync!$AB519))</f>
        <v/>
      </c>
      <c r="M522">
        <f>IF($G522="",0,IF(Sync!$AC519="",0,Sync!$AC519))</f>
        <v/>
      </c>
      <c r="N522">
        <f>IF($G522="","",IF($H522="مرجوعی خرید",-1,1)*($L522-$M522*IFERROR(VLOOKUP("P01",ParamTbl,3,0),1.5))*(1-IF($I522="خرید",IFERROR(VLOOKUP("P02",ParamTbl,3,0),1),0)/100))</f>
        <v/>
      </c>
      <c r="O522">
        <f>IF($G522="",0,IF($H522="مرجوعی خرید",-1,1)*IF(Sync!$AD519="",0,Sync!$AD519))</f>
        <v/>
      </c>
      <c r="P522">
        <f>IF(OR($G522="",Sync!$W519=""),"",Sync!$W519)</f>
        <v/>
      </c>
      <c r="Q522">
        <f>IF(OR($G522="",Sync!$AE519=""),"",Sync!$AE519)</f>
        <v/>
      </c>
      <c r="R522">
        <f>IF($G522="","",IF(Sync!$V519="","0000",IF(AND(ISNUMBER(Sync!$V519),Sync!$V519&gt;=0,Sync!$V519&lt;1),RIGHT("00"&amp;HOUR(Sync!$V519),2)&amp;RIGHT("00"&amp;MINUTE(Sync!$V519),2),IFERROR(RIGHT("00"&amp;VALUE(LEFT(Sync!$V519,FIND(":",Sync!$V519)-1)),2)&amp;RIGHT("00"&amp;VALUE(MID(Sync!$V519,FIND(":",Sync!$V519)+1,2)),2),"0000"))))</f>
        <v/>
      </c>
    </row>
    <row r="523">
      <c r="A523">
        <f>IF(Sync!$U520="","",Sync!$U520)</f>
        <v/>
      </c>
      <c r="B523">
        <f>IF($A523="","",IF(ISNUMBER($A523),IF(AND($A523&gt;=10000101,$A523&lt;=99991231),INT($A523/10000),""),IFERROR(VALUE(TRIM(LEFT($A523,FIND("/",$A523)-1))),"")))</f>
        <v/>
      </c>
      <c r="C523">
        <f>IF(OR($A523="",$B523=""),"",IF(ISNUMBER($A523),INT(MOD($A523,10000)/100),IFERROR(VALUE(TRIM(LEFT(MID($A523,FIND("/",$A523)+1,20),FIND("/",MID($A523,FIND("/",$A523)+1,20))-1))),"")))</f>
        <v/>
      </c>
      <c r="D523">
        <f>IF(OR($A523="",$B523=""),"",IF(ISNUMBER($A523),MOD($A523,100),IFERROR(VALUE(TRIM(MID(MID($A523,FIND("/",$A523)+1,20),FIND("/",MID($A523,FIND("/",$A523)+1,20))+1,20))),"")))</f>
        <v/>
      </c>
      <c r="E523">
        <f>IF($A523="","",IF(OR($B523="",$C523="",$D523="",$B523&lt;1300,$B523&gt;1500,$C523&lt;1,$C523&gt;12,$D523&lt;1,$D523&gt;31),"نامعتبر",RIGHT("0000"&amp;$B523,4)&amp;"/"&amp;RIGHT("00"&amp;$C523,2)&amp;"/"&amp;RIGHT("00"&amp;$D523,2)))</f>
        <v/>
      </c>
      <c r="F523">
        <f>IF(OR($E523="",$E523="نامعتبر"),"",LEFT($E523,4)&amp;"/"&amp;MID($E523,6,2))</f>
        <v/>
      </c>
      <c r="G523">
        <f>IF(OR($E523="",$E523="نامعتبر",Sync!$Y520=""),"",Sync!$Y520)</f>
        <v/>
      </c>
      <c r="H523">
        <f>IF($G523="","",IF(Sync!$X520="","",Sync!$X520))</f>
        <v/>
      </c>
      <c r="I523">
        <f>IF($G523="","",IFERROR(VLOOKUP(Sync!$X520,OpTbl,3,0),""))</f>
        <v/>
      </c>
      <c r="J523">
        <f>IF(OR($G523="",Sync!$Z520=""),"",Sync!$Z520)</f>
        <v/>
      </c>
      <c r="K523">
        <f>IF(OR($G523="",Sync!$AA520=""),"",Sync!$AA520)</f>
        <v/>
      </c>
      <c r="L523">
        <f>IF($G523="",0,IF(Sync!$AB520="",0,Sync!$AB520))</f>
        <v/>
      </c>
      <c r="M523">
        <f>IF($G523="",0,IF(Sync!$AC520="",0,Sync!$AC520))</f>
        <v/>
      </c>
      <c r="N523">
        <f>IF($G523="","",IF($H523="مرجوعی خرید",-1,1)*($L523-$M523*IFERROR(VLOOKUP("P01",ParamTbl,3,0),1.5))*(1-IF($I523="خرید",IFERROR(VLOOKUP("P02",ParamTbl,3,0),1),0)/100))</f>
        <v/>
      </c>
      <c r="O523">
        <f>IF($G523="",0,IF($H523="مرجوعی خرید",-1,1)*IF(Sync!$AD520="",0,Sync!$AD520))</f>
        <v/>
      </c>
      <c r="P523">
        <f>IF(OR($G523="",Sync!$W520=""),"",Sync!$W520)</f>
        <v/>
      </c>
      <c r="Q523">
        <f>IF(OR($G523="",Sync!$AE520=""),"",Sync!$AE520)</f>
        <v/>
      </c>
      <c r="R523">
        <f>IF($G523="","",IF(Sync!$V520="","0000",IF(AND(ISNUMBER(Sync!$V520),Sync!$V520&gt;=0,Sync!$V520&lt;1),RIGHT("00"&amp;HOUR(Sync!$V520),2)&amp;RIGHT("00"&amp;MINUTE(Sync!$V520),2),IFERROR(RIGHT("00"&amp;VALUE(LEFT(Sync!$V520,FIND(":",Sync!$V520)-1)),2)&amp;RIGHT("00"&amp;VALUE(MID(Sync!$V520,FIND(":",Sync!$V520)+1,2)),2),"0000"))))</f>
        <v/>
      </c>
    </row>
    <row r="524">
      <c r="A524">
        <f>IF(Sync!$U521="","",Sync!$U521)</f>
        <v/>
      </c>
      <c r="B524">
        <f>IF($A524="","",IF(ISNUMBER($A524),IF(AND($A524&gt;=10000101,$A524&lt;=99991231),INT($A524/10000),""),IFERROR(VALUE(TRIM(LEFT($A524,FIND("/",$A524)-1))),"")))</f>
        <v/>
      </c>
      <c r="C524">
        <f>IF(OR($A524="",$B524=""),"",IF(ISNUMBER($A524),INT(MOD($A524,10000)/100),IFERROR(VALUE(TRIM(LEFT(MID($A524,FIND("/",$A524)+1,20),FIND("/",MID($A524,FIND("/",$A524)+1,20))-1))),"")))</f>
        <v/>
      </c>
      <c r="D524">
        <f>IF(OR($A524="",$B524=""),"",IF(ISNUMBER($A524),MOD($A524,100),IFERROR(VALUE(TRIM(MID(MID($A524,FIND("/",$A524)+1,20),FIND("/",MID($A524,FIND("/",$A524)+1,20))+1,20))),"")))</f>
        <v/>
      </c>
      <c r="E524">
        <f>IF($A524="","",IF(OR($B524="",$C524="",$D524="",$B524&lt;1300,$B524&gt;1500,$C524&lt;1,$C524&gt;12,$D524&lt;1,$D524&gt;31),"نامعتبر",RIGHT("0000"&amp;$B524,4)&amp;"/"&amp;RIGHT("00"&amp;$C524,2)&amp;"/"&amp;RIGHT("00"&amp;$D524,2)))</f>
        <v/>
      </c>
      <c r="F524">
        <f>IF(OR($E524="",$E524="نامعتبر"),"",LEFT($E524,4)&amp;"/"&amp;MID($E524,6,2))</f>
        <v/>
      </c>
      <c r="G524">
        <f>IF(OR($E524="",$E524="نامعتبر",Sync!$Y521=""),"",Sync!$Y521)</f>
        <v/>
      </c>
      <c r="H524">
        <f>IF($G524="","",IF(Sync!$X521="","",Sync!$X521))</f>
        <v/>
      </c>
      <c r="I524">
        <f>IF($G524="","",IFERROR(VLOOKUP(Sync!$X521,OpTbl,3,0),""))</f>
        <v/>
      </c>
      <c r="J524">
        <f>IF(OR($G524="",Sync!$Z521=""),"",Sync!$Z521)</f>
        <v/>
      </c>
      <c r="K524">
        <f>IF(OR($G524="",Sync!$AA521=""),"",Sync!$AA521)</f>
        <v/>
      </c>
      <c r="L524">
        <f>IF($G524="",0,IF(Sync!$AB521="",0,Sync!$AB521))</f>
        <v/>
      </c>
      <c r="M524">
        <f>IF($G524="",0,IF(Sync!$AC521="",0,Sync!$AC521))</f>
        <v/>
      </c>
      <c r="N524">
        <f>IF($G524="","",IF($H524="مرجوعی خرید",-1,1)*($L524-$M524*IFERROR(VLOOKUP("P01",ParamTbl,3,0),1.5))*(1-IF($I524="خرید",IFERROR(VLOOKUP("P02",ParamTbl,3,0),1),0)/100))</f>
        <v/>
      </c>
      <c r="O524">
        <f>IF($G524="",0,IF($H524="مرجوعی خرید",-1,1)*IF(Sync!$AD521="",0,Sync!$AD521))</f>
        <v/>
      </c>
      <c r="P524">
        <f>IF(OR($G524="",Sync!$W521=""),"",Sync!$W521)</f>
        <v/>
      </c>
      <c r="Q524">
        <f>IF(OR($G524="",Sync!$AE521=""),"",Sync!$AE521)</f>
        <v/>
      </c>
      <c r="R524">
        <f>IF($G524="","",IF(Sync!$V521="","0000",IF(AND(ISNUMBER(Sync!$V521),Sync!$V521&gt;=0,Sync!$V521&lt;1),RIGHT("00"&amp;HOUR(Sync!$V521),2)&amp;RIGHT("00"&amp;MINUTE(Sync!$V521),2),IFERROR(RIGHT("00"&amp;VALUE(LEFT(Sync!$V521,FIND(":",Sync!$V521)-1)),2)&amp;RIGHT("00"&amp;VALUE(MID(Sync!$V521,FIND(":",Sync!$V521)+1,2)),2),"0000"))))</f>
        <v/>
      </c>
    </row>
    <row r="525">
      <c r="A525">
        <f>IF(Sync!$U522="","",Sync!$U522)</f>
        <v/>
      </c>
      <c r="B525">
        <f>IF($A525="","",IF(ISNUMBER($A525),IF(AND($A525&gt;=10000101,$A525&lt;=99991231),INT($A525/10000),""),IFERROR(VALUE(TRIM(LEFT($A525,FIND("/",$A525)-1))),"")))</f>
        <v/>
      </c>
      <c r="C525">
        <f>IF(OR($A525="",$B525=""),"",IF(ISNUMBER($A525),INT(MOD($A525,10000)/100),IFERROR(VALUE(TRIM(LEFT(MID($A525,FIND("/",$A525)+1,20),FIND("/",MID($A525,FIND("/",$A525)+1,20))-1))),"")))</f>
        <v/>
      </c>
      <c r="D525">
        <f>IF(OR($A525="",$B525=""),"",IF(ISNUMBER($A525),MOD($A525,100),IFERROR(VALUE(TRIM(MID(MID($A525,FIND("/",$A525)+1,20),FIND("/",MID($A525,FIND("/",$A525)+1,20))+1,20))),"")))</f>
        <v/>
      </c>
      <c r="E525">
        <f>IF($A525="","",IF(OR($B525="",$C525="",$D525="",$B525&lt;1300,$B525&gt;1500,$C525&lt;1,$C525&gt;12,$D525&lt;1,$D525&gt;31),"نامعتبر",RIGHT("0000"&amp;$B525,4)&amp;"/"&amp;RIGHT("00"&amp;$C525,2)&amp;"/"&amp;RIGHT("00"&amp;$D525,2)))</f>
        <v/>
      </c>
      <c r="F525">
        <f>IF(OR($E525="",$E525="نامعتبر"),"",LEFT($E525,4)&amp;"/"&amp;MID($E525,6,2))</f>
        <v/>
      </c>
      <c r="G525">
        <f>IF(OR($E525="",$E525="نامعتبر",Sync!$Y522=""),"",Sync!$Y522)</f>
        <v/>
      </c>
      <c r="H525">
        <f>IF($G525="","",IF(Sync!$X522="","",Sync!$X522))</f>
        <v/>
      </c>
      <c r="I525">
        <f>IF($G525="","",IFERROR(VLOOKUP(Sync!$X522,OpTbl,3,0),""))</f>
        <v/>
      </c>
      <c r="J525">
        <f>IF(OR($G525="",Sync!$Z522=""),"",Sync!$Z522)</f>
        <v/>
      </c>
      <c r="K525">
        <f>IF(OR($G525="",Sync!$AA522=""),"",Sync!$AA522)</f>
        <v/>
      </c>
      <c r="L525">
        <f>IF($G525="",0,IF(Sync!$AB522="",0,Sync!$AB522))</f>
        <v/>
      </c>
      <c r="M525">
        <f>IF($G525="",0,IF(Sync!$AC522="",0,Sync!$AC522))</f>
        <v/>
      </c>
      <c r="N525">
        <f>IF($G525="","",IF($H525="مرجوعی خرید",-1,1)*($L525-$M525*IFERROR(VLOOKUP("P01",ParamTbl,3,0),1.5))*(1-IF($I525="خرید",IFERROR(VLOOKUP("P02",ParamTbl,3,0),1),0)/100))</f>
        <v/>
      </c>
      <c r="O525">
        <f>IF($G525="",0,IF($H525="مرجوعی خرید",-1,1)*IF(Sync!$AD522="",0,Sync!$AD522))</f>
        <v/>
      </c>
      <c r="P525">
        <f>IF(OR($G525="",Sync!$W522=""),"",Sync!$W522)</f>
        <v/>
      </c>
      <c r="Q525">
        <f>IF(OR($G525="",Sync!$AE522=""),"",Sync!$AE522)</f>
        <v/>
      </c>
      <c r="R525">
        <f>IF($G525="","",IF(Sync!$V522="","0000",IF(AND(ISNUMBER(Sync!$V522),Sync!$V522&gt;=0,Sync!$V522&lt;1),RIGHT("00"&amp;HOUR(Sync!$V522),2)&amp;RIGHT("00"&amp;MINUTE(Sync!$V522),2),IFERROR(RIGHT("00"&amp;VALUE(LEFT(Sync!$V522,FIND(":",Sync!$V522)-1)),2)&amp;RIGHT("00"&amp;VALUE(MID(Sync!$V522,FIND(":",Sync!$V522)+1,2)),2),"0000"))))</f>
        <v/>
      </c>
    </row>
    <row r="526">
      <c r="A526">
        <f>IF(Sync!$U523="","",Sync!$U523)</f>
        <v/>
      </c>
      <c r="B526">
        <f>IF($A526="","",IF(ISNUMBER($A526),IF(AND($A526&gt;=10000101,$A526&lt;=99991231),INT($A526/10000),""),IFERROR(VALUE(TRIM(LEFT($A526,FIND("/",$A526)-1))),"")))</f>
        <v/>
      </c>
      <c r="C526">
        <f>IF(OR($A526="",$B526=""),"",IF(ISNUMBER($A526),INT(MOD($A526,10000)/100),IFERROR(VALUE(TRIM(LEFT(MID($A526,FIND("/",$A526)+1,20),FIND("/",MID($A526,FIND("/",$A526)+1,20))-1))),"")))</f>
        <v/>
      </c>
      <c r="D526">
        <f>IF(OR($A526="",$B526=""),"",IF(ISNUMBER($A526),MOD($A526,100),IFERROR(VALUE(TRIM(MID(MID($A526,FIND("/",$A526)+1,20),FIND("/",MID($A526,FIND("/",$A526)+1,20))+1,20))),"")))</f>
        <v/>
      </c>
      <c r="E526">
        <f>IF($A526="","",IF(OR($B526="",$C526="",$D526="",$B526&lt;1300,$B526&gt;1500,$C526&lt;1,$C526&gt;12,$D526&lt;1,$D526&gt;31),"نامعتبر",RIGHT("0000"&amp;$B526,4)&amp;"/"&amp;RIGHT("00"&amp;$C526,2)&amp;"/"&amp;RIGHT("00"&amp;$D526,2)))</f>
        <v/>
      </c>
      <c r="F526">
        <f>IF(OR($E526="",$E526="نامعتبر"),"",LEFT($E526,4)&amp;"/"&amp;MID($E526,6,2))</f>
        <v/>
      </c>
      <c r="G526">
        <f>IF(OR($E526="",$E526="نامعتبر",Sync!$Y523=""),"",Sync!$Y523)</f>
        <v/>
      </c>
      <c r="H526">
        <f>IF($G526="","",IF(Sync!$X523="","",Sync!$X523))</f>
        <v/>
      </c>
      <c r="I526">
        <f>IF($G526="","",IFERROR(VLOOKUP(Sync!$X523,OpTbl,3,0),""))</f>
        <v/>
      </c>
      <c r="J526">
        <f>IF(OR($G526="",Sync!$Z523=""),"",Sync!$Z523)</f>
        <v/>
      </c>
      <c r="K526">
        <f>IF(OR($G526="",Sync!$AA523=""),"",Sync!$AA523)</f>
        <v/>
      </c>
      <c r="L526">
        <f>IF($G526="",0,IF(Sync!$AB523="",0,Sync!$AB523))</f>
        <v/>
      </c>
      <c r="M526">
        <f>IF($G526="",0,IF(Sync!$AC523="",0,Sync!$AC523))</f>
        <v/>
      </c>
      <c r="N526">
        <f>IF($G526="","",IF($H526="مرجوعی خرید",-1,1)*($L526-$M526*IFERROR(VLOOKUP("P01",ParamTbl,3,0),1.5))*(1-IF($I526="خرید",IFERROR(VLOOKUP("P02",ParamTbl,3,0),1),0)/100))</f>
        <v/>
      </c>
      <c r="O526">
        <f>IF($G526="",0,IF($H526="مرجوعی خرید",-1,1)*IF(Sync!$AD523="",0,Sync!$AD523))</f>
        <v/>
      </c>
      <c r="P526">
        <f>IF(OR($G526="",Sync!$W523=""),"",Sync!$W523)</f>
        <v/>
      </c>
      <c r="Q526">
        <f>IF(OR($G526="",Sync!$AE523=""),"",Sync!$AE523)</f>
        <v/>
      </c>
      <c r="R526">
        <f>IF($G526="","",IF(Sync!$V523="","0000",IF(AND(ISNUMBER(Sync!$V523),Sync!$V523&gt;=0,Sync!$V523&lt;1),RIGHT("00"&amp;HOUR(Sync!$V523),2)&amp;RIGHT("00"&amp;MINUTE(Sync!$V523),2),IFERROR(RIGHT("00"&amp;VALUE(LEFT(Sync!$V523,FIND(":",Sync!$V523)-1)),2)&amp;RIGHT("00"&amp;VALUE(MID(Sync!$V523,FIND(":",Sync!$V523)+1,2)),2),"0000"))))</f>
        <v/>
      </c>
    </row>
    <row r="527">
      <c r="A527">
        <f>IF(Sync!$U524="","",Sync!$U524)</f>
        <v/>
      </c>
      <c r="B527">
        <f>IF($A527="","",IF(ISNUMBER($A527),IF(AND($A527&gt;=10000101,$A527&lt;=99991231),INT($A527/10000),""),IFERROR(VALUE(TRIM(LEFT($A527,FIND("/",$A527)-1))),"")))</f>
        <v/>
      </c>
      <c r="C527">
        <f>IF(OR($A527="",$B527=""),"",IF(ISNUMBER($A527),INT(MOD($A527,10000)/100),IFERROR(VALUE(TRIM(LEFT(MID($A527,FIND("/",$A527)+1,20),FIND("/",MID($A527,FIND("/",$A527)+1,20))-1))),"")))</f>
        <v/>
      </c>
      <c r="D527">
        <f>IF(OR($A527="",$B527=""),"",IF(ISNUMBER($A527),MOD($A527,100),IFERROR(VALUE(TRIM(MID(MID($A527,FIND("/",$A527)+1,20),FIND("/",MID($A527,FIND("/",$A527)+1,20))+1,20))),"")))</f>
        <v/>
      </c>
      <c r="E527">
        <f>IF($A527="","",IF(OR($B527="",$C527="",$D527="",$B527&lt;1300,$B527&gt;1500,$C527&lt;1,$C527&gt;12,$D527&lt;1,$D527&gt;31),"نامعتبر",RIGHT("0000"&amp;$B527,4)&amp;"/"&amp;RIGHT("00"&amp;$C527,2)&amp;"/"&amp;RIGHT("00"&amp;$D527,2)))</f>
        <v/>
      </c>
      <c r="F527">
        <f>IF(OR($E527="",$E527="نامعتبر"),"",LEFT($E527,4)&amp;"/"&amp;MID($E527,6,2))</f>
        <v/>
      </c>
      <c r="G527">
        <f>IF(OR($E527="",$E527="نامعتبر",Sync!$Y524=""),"",Sync!$Y524)</f>
        <v/>
      </c>
      <c r="H527">
        <f>IF($G527="","",IF(Sync!$X524="","",Sync!$X524))</f>
        <v/>
      </c>
      <c r="I527">
        <f>IF($G527="","",IFERROR(VLOOKUP(Sync!$X524,OpTbl,3,0),""))</f>
        <v/>
      </c>
      <c r="J527">
        <f>IF(OR($G527="",Sync!$Z524=""),"",Sync!$Z524)</f>
        <v/>
      </c>
      <c r="K527">
        <f>IF(OR($G527="",Sync!$AA524=""),"",Sync!$AA524)</f>
        <v/>
      </c>
      <c r="L527">
        <f>IF($G527="",0,IF(Sync!$AB524="",0,Sync!$AB524))</f>
        <v/>
      </c>
      <c r="M527">
        <f>IF($G527="",0,IF(Sync!$AC524="",0,Sync!$AC524))</f>
        <v/>
      </c>
      <c r="N527">
        <f>IF($G527="","",IF($H527="مرجوعی خرید",-1,1)*($L527-$M527*IFERROR(VLOOKUP("P01",ParamTbl,3,0),1.5))*(1-IF($I527="خرید",IFERROR(VLOOKUP("P02",ParamTbl,3,0),1),0)/100))</f>
        <v/>
      </c>
      <c r="O527">
        <f>IF($G527="",0,IF($H527="مرجوعی خرید",-1,1)*IF(Sync!$AD524="",0,Sync!$AD524))</f>
        <v/>
      </c>
      <c r="P527">
        <f>IF(OR($G527="",Sync!$W524=""),"",Sync!$W524)</f>
        <v/>
      </c>
      <c r="Q527">
        <f>IF(OR($G527="",Sync!$AE524=""),"",Sync!$AE524)</f>
        <v/>
      </c>
      <c r="R527">
        <f>IF($G527="","",IF(Sync!$V524="","0000",IF(AND(ISNUMBER(Sync!$V524),Sync!$V524&gt;=0,Sync!$V524&lt;1),RIGHT("00"&amp;HOUR(Sync!$V524),2)&amp;RIGHT("00"&amp;MINUTE(Sync!$V524),2),IFERROR(RIGHT("00"&amp;VALUE(LEFT(Sync!$V524,FIND(":",Sync!$V524)-1)),2)&amp;RIGHT("00"&amp;VALUE(MID(Sync!$V524,FIND(":",Sync!$V524)+1,2)),2),"0000"))))</f>
        <v/>
      </c>
    </row>
    <row r="528">
      <c r="A528">
        <f>IF(Sync!$U525="","",Sync!$U525)</f>
        <v/>
      </c>
      <c r="B528">
        <f>IF($A528="","",IF(ISNUMBER($A528),IF(AND($A528&gt;=10000101,$A528&lt;=99991231),INT($A528/10000),""),IFERROR(VALUE(TRIM(LEFT($A528,FIND("/",$A528)-1))),"")))</f>
        <v/>
      </c>
      <c r="C528">
        <f>IF(OR($A528="",$B528=""),"",IF(ISNUMBER($A528),INT(MOD($A528,10000)/100),IFERROR(VALUE(TRIM(LEFT(MID($A528,FIND("/",$A528)+1,20),FIND("/",MID($A528,FIND("/",$A528)+1,20))-1))),"")))</f>
        <v/>
      </c>
      <c r="D528">
        <f>IF(OR($A528="",$B528=""),"",IF(ISNUMBER($A528),MOD($A528,100),IFERROR(VALUE(TRIM(MID(MID($A528,FIND("/",$A528)+1,20),FIND("/",MID($A528,FIND("/",$A528)+1,20))+1,20))),"")))</f>
        <v/>
      </c>
      <c r="E528">
        <f>IF($A528="","",IF(OR($B528="",$C528="",$D528="",$B528&lt;1300,$B528&gt;1500,$C528&lt;1,$C528&gt;12,$D528&lt;1,$D528&gt;31),"نامعتبر",RIGHT("0000"&amp;$B528,4)&amp;"/"&amp;RIGHT("00"&amp;$C528,2)&amp;"/"&amp;RIGHT("00"&amp;$D528,2)))</f>
        <v/>
      </c>
      <c r="F528">
        <f>IF(OR($E528="",$E528="نامعتبر"),"",LEFT($E528,4)&amp;"/"&amp;MID($E528,6,2))</f>
        <v/>
      </c>
      <c r="G528">
        <f>IF(OR($E528="",$E528="نامعتبر",Sync!$Y525=""),"",Sync!$Y525)</f>
        <v/>
      </c>
      <c r="H528">
        <f>IF($G528="","",IF(Sync!$X525="","",Sync!$X525))</f>
        <v/>
      </c>
      <c r="I528">
        <f>IF($G528="","",IFERROR(VLOOKUP(Sync!$X525,OpTbl,3,0),""))</f>
        <v/>
      </c>
      <c r="J528">
        <f>IF(OR($G528="",Sync!$Z525=""),"",Sync!$Z525)</f>
        <v/>
      </c>
      <c r="K528">
        <f>IF(OR($G528="",Sync!$AA525=""),"",Sync!$AA525)</f>
        <v/>
      </c>
      <c r="L528">
        <f>IF($G528="",0,IF(Sync!$AB525="",0,Sync!$AB525))</f>
        <v/>
      </c>
      <c r="M528">
        <f>IF($G528="",0,IF(Sync!$AC525="",0,Sync!$AC525))</f>
        <v/>
      </c>
      <c r="N528">
        <f>IF($G528="","",IF($H528="مرجوعی خرید",-1,1)*($L528-$M528*IFERROR(VLOOKUP("P01",ParamTbl,3,0),1.5))*(1-IF($I528="خرید",IFERROR(VLOOKUP("P02",ParamTbl,3,0),1),0)/100))</f>
        <v/>
      </c>
      <c r="O528">
        <f>IF($G528="",0,IF($H528="مرجوعی خرید",-1,1)*IF(Sync!$AD525="",0,Sync!$AD525))</f>
        <v/>
      </c>
      <c r="P528">
        <f>IF(OR($G528="",Sync!$W525=""),"",Sync!$W525)</f>
        <v/>
      </c>
      <c r="Q528">
        <f>IF(OR($G528="",Sync!$AE525=""),"",Sync!$AE525)</f>
        <v/>
      </c>
      <c r="R528">
        <f>IF($G528="","",IF(Sync!$V525="","0000",IF(AND(ISNUMBER(Sync!$V525),Sync!$V525&gt;=0,Sync!$V525&lt;1),RIGHT("00"&amp;HOUR(Sync!$V525),2)&amp;RIGHT("00"&amp;MINUTE(Sync!$V525),2),IFERROR(RIGHT("00"&amp;VALUE(LEFT(Sync!$V525,FIND(":",Sync!$V525)-1)),2)&amp;RIGHT("00"&amp;VALUE(MID(Sync!$V525,FIND(":",Sync!$V525)+1,2)),2),"0000"))))</f>
        <v/>
      </c>
    </row>
    <row r="529">
      <c r="A529">
        <f>IF(Sync!$U526="","",Sync!$U526)</f>
        <v/>
      </c>
      <c r="B529">
        <f>IF($A529="","",IF(ISNUMBER($A529),IF(AND($A529&gt;=10000101,$A529&lt;=99991231),INT($A529/10000),""),IFERROR(VALUE(TRIM(LEFT($A529,FIND("/",$A529)-1))),"")))</f>
        <v/>
      </c>
      <c r="C529">
        <f>IF(OR($A529="",$B529=""),"",IF(ISNUMBER($A529),INT(MOD($A529,10000)/100),IFERROR(VALUE(TRIM(LEFT(MID($A529,FIND("/",$A529)+1,20),FIND("/",MID($A529,FIND("/",$A529)+1,20))-1))),"")))</f>
        <v/>
      </c>
      <c r="D529">
        <f>IF(OR($A529="",$B529=""),"",IF(ISNUMBER($A529),MOD($A529,100),IFERROR(VALUE(TRIM(MID(MID($A529,FIND("/",$A529)+1,20),FIND("/",MID($A529,FIND("/",$A529)+1,20))+1,20))),"")))</f>
        <v/>
      </c>
      <c r="E529">
        <f>IF($A529="","",IF(OR($B529="",$C529="",$D529="",$B529&lt;1300,$B529&gt;1500,$C529&lt;1,$C529&gt;12,$D529&lt;1,$D529&gt;31),"نامعتبر",RIGHT("0000"&amp;$B529,4)&amp;"/"&amp;RIGHT("00"&amp;$C529,2)&amp;"/"&amp;RIGHT("00"&amp;$D529,2)))</f>
        <v/>
      </c>
      <c r="F529">
        <f>IF(OR($E529="",$E529="نامعتبر"),"",LEFT($E529,4)&amp;"/"&amp;MID($E529,6,2))</f>
        <v/>
      </c>
      <c r="G529">
        <f>IF(OR($E529="",$E529="نامعتبر",Sync!$Y526=""),"",Sync!$Y526)</f>
        <v/>
      </c>
      <c r="H529">
        <f>IF($G529="","",IF(Sync!$X526="","",Sync!$X526))</f>
        <v/>
      </c>
      <c r="I529">
        <f>IF($G529="","",IFERROR(VLOOKUP(Sync!$X526,OpTbl,3,0),""))</f>
        <v/>
      </c>
      <c r="J529">
        <f>IF(OR($G529="",Sync!$Z526=""),"",Sync!$Z526)</f>
        <v/>
      </c>
      <c r="K529">
        <f>IF(OR($G529="",Sync!$AA526=""),"",Sync!$AA526)</f>
        <v/>
      </c>
      <c r="L529">
        <f>IF($G529="",0,IF(Sync!$AB526="",0,Sync!$AB526))</f>
        <v/>
      </c>
      <c r="M529">
        <f>IF($G529="",0,IF(Sync!$AC526="",0,Sync!$AC526))</f>
        <v/>
      </c>
      <c r="N529">
        <f>IF($G529="","",IF($H529="مرجوعی خرید",-1,1)*($L529-$M529*IFERROR(VLOOKUP("P01",ParamTbl,3,0),1.5))*(1-IF($I529="خرید",IFERROR(VLOOKUP("P02",ParamTbl,3,0),1),0)/100))</f>
        <v/>
      </c>
      <c r="O529">
        <f>IF($G529="",0,IF($H529="مرجوعی خرید",-1,1)*IF(Sync!$AD526="",0,Sync!$AD526))</f>
        <v/>
      </c>
      <c r="P529">
        <f>IF(OR($G529="",Sync!$W526=""),"",Sync!$W526)</f>
        <v/>
      </c>
      <c r="Q529">
        <f>IF(OR($G529="",Sync!$AE526=""),"",Sync!$AE526)</f>
        <v/>
      </c>
      <c r="R529">
        <f>IF($G529="","",IF(Sync!$V526="","0000",IF(AND(ISNUMBER(Sync!$V526),Sync!$V526&gt;=0,Sync!$V526&lt;1),RIGHT("00"&amp;HOUR(Sync!$V526),2)&amp;RIGHT("00"&amp;MINUTE(Sync!$V526),2),IFERROR(RIGHT("00"&amp;VALUE(LEFT(Sync!$V526,FIND(":",Sync!$V526)-1)),2)&amp;RIGHT("00"&amp;VALUE(MID(Sync!$V526,FIND(":",Sync!$V526)+1,2)),2),"0000"))))</f>
        <v/>
      </c>
    </row>
    <row r="530">
      <c r="A530">
        <f>IF(Sync!$U527="","",Sync!$U527)</f>
        <v/>
      </c>
      <c r="B530">
        <f>IF($A530="","",IF(ISNUMBER($A530),IF(AND($A530&gt;=10000101,$A530&lt;=99991231),INT($A530/10000),""),IFERROR(VALUE(TRIM(LEFT($A530,FIND("/",$A530)-1))),"")))</f>
        <v/>
      </c>
      <c r="C530">
        <f>IF(OR($A530="",$B530=""),"",IF(ISNUMBER($A530),INT(MOD($A530,10000)/100),IFERROR(VALUE(TRIM(LEFT(MID($A530,FIND("/",$A530)+1,20),FIND("/",MID($A530,FIND("/",$A530)+1,20))-1))),"")))</f>
        <v/>
      </c>
      <c r="D530">
        <f>IF(OR($A530="",$B530=""),"",IF(ISNUMBER($A530),MOD($A530,100),IFERROR(VALUE(TRIM(MID(MID($A530,FIND("/",$A530)+1,20),FIND("/",MID($A530,FIND("/",$A530)+1,20))+1,20))),"")))</f>
        <v/>
      </c>
      <c r="E530">
        <f>IF($A530="","",IF(OR($B530="",$C530="",$D530="",$B530&lt;1300,$B530&gt;1500,$C530&lt;1,$C530&gt;12,$D530&lt;1,$D530&gt;31),"نامعتبر",RIGHT("0000"&amp;$B530,4)&amp;"/"&amp;RIGHT("00"&amp;$C530,2)&amp;"/"&amp;RIGHT("00"&amp;$D530,2)))</f>
        <v/>
      </c>
      <c r="F530">
        <f>IF(OR($E530="",$E530="نامعتبر"),"",LEFT($E530,4)&amp;"/"&amp;MID($E530,6,2))</f>
        <v/>
      </c>
      <c r="G530">
        <f>IF(OR($E530="",$E530="نامعتبر",Sync!$Y527=""),"",Sync!$Y527)</f>
        <v/>
      </c>
      <c r="H530">
        <f>IF($G530="","",IF(Sync!$X527="","",Sync!$X527))</f>
        <v/>
      </c>
      <c r="I530">
        <f>IF($G530="","",IFERROR(VLOOKUP(Sync!$X527,OpTbl,3,0),""))</f>
        <v/>
      </c>
      <c r="J530">
        <f>IF(OR($G530="",Sync!$Z527=""),"",Sync!$Z527)</f>
        <v/>
      </c>
      <c r="K530">
        <f>IF(OR($G530="",Sync!$AA527=""),"",Sync!$AA527)</f>
        <v/>
      </c>
      <c r="L530">
        <f>IF($G530="",0,IF(Sync!$AB527="",0,Sync!$AB527))</f>
        <v/>
      </c>
      <c r="M530">
        <f>IF($G530="",0,IF(Sync!$AC527="",0,Sync!$AC527))</f>
        <v/>
      </c>
      <c r="N530">
        <f>IF($G530="","",IF($H530="مرجوعی خرید",-1,1)*($L530-$M530*IFERROR(VLOOKUP("P01",ParamTbl,3,0),1.5))*(1-IF($I530="خرید",IFERROR(VLOOKUP("P02",ParamTbl,3,0),1),0)/100))</f>
        <v/>
      </c>
      <c r="O530">
        <f>IF($G530="",0,IF($H530="مرجوعی خرید",-1,1)*IF(Sync!$AD527="",0,Sync!$AD527))</f>
        <v/>
      </c>
      <c r="P530">
        <f>IF(OR($G530="",Sync!$W527=""),"",Sync!$W527)</f>
        <v/>
      </c>
      <c r="Q530">
        <f>IF(OR($G530="",Sync!$AE527=""),"",Sync!$AE527)</f>
        <v/>
      </c>
      <c r="R530">
        <f>IF($G530="","",IF(Sync!$V527="","0000",IF(AND(ISNUMBER(Sync!$V527),Sync!$V527&gt;=0,Sync!$V527&lt;1),RIGHT("00"&amp;HOUR(Sync!$V527),2)&amp;RIGHT("00"&amp;MINUTE(Sync!$V527),2),IFERROR(RIGHT("00"&amp;VALUE(LEFT(Sync!$V527,FIND(":",Sync!$V527)-1)),2)&amp;RIGHT("00"&amp;VALUE(MID(Sync!$V527,FIND(":",Sync!$V527)+1,2)),2),"0000"))))</f>
        <v/>
      </c>
    </row>
    <row r="531">
      <c r="A531">
        <f>IF(Sync!$U528="","",Sync!$U528)</f>
        <v/>
      </c>
      <c r="B531">
        <f>IF($A531="","",IF(ISNUMBER($A531),IF(AND($A531&gt;=10000101,$A531&lt;=99991231),INT($A531/10000),""),IFERROR(VALUE(TRIM(LEFT($A531,FIND("/",$A531)-1))),"")))</f>
        <v/>
      </c>
      <c r="C531">
        <f>IF(OR($A531="",$B531=""),"",IF(ISNUMBER($A531),INT(MOD($A531,10000)/100),IFERROR(VALUE(TRIM(LEFT(MID($A531,FIND("/",$A531)+1,20),FIND("/",MID($A531,FIND("/",$A531)+1,20))-1))),"")))</f>
        <v/>
      </c>
      <c r="D531">
        <f>IF(OR($A531="",$B531=""),"",IF(ISNUMBER($A531),MOD($A531,100),IFERROR(VALUE(TRIM(MID(MID($A531,FIND("/",$A531)+1,20),FIND("/",MID($A531,FIND("/",$A531)+1,20))+1,20))),"")))</f>
        <v/>
      </c>
      <c r="E531">
        <f>IF($A531="","",IF(OR($B531="",$C531="",$D531="",$B531&lt;1300,$B531&gt;1500,$C531&lt;1,$C531&gt;12,$D531&lt;1,$D531&gt;31),"نامعتبر",RIGHT("0000"&amp;$B531,4)&amp;"/"&amp;RIGHT("00"&amp;$C531,2)&amp;"/"&amp;RIGHT("00"&amp;$D531,2)))</f>
        <v/>
      </c>
      <c r="F531">
        <f>IF(OR($E531="",$E531="نامعتبر"),"",LEFT($E531,4)&amp;"/"&amp;MID($E531,6,2))</f>
        <v/>
      </c>
      <c r="G531">
        <f>IF(OR($E531="",$E531="نامعتبر",Sync!$Y528=""),"",Sync!$Y528)</f>
        <v/>
      </c>
      <c r="H531">
        <f>IF($G531="","",IF(Sync!$X528="","",Sync!$X528))</f>
        <v/>
      </c>
      <c r="I531">
        <f>IF($G531="","",IFERROR(VLOOKUP(Sync!$X528,OpTbl,3,0),""))</f>
        <v/>
      </c>
      <c r="J531">
        <f>IF(OR($G531="",Sync!$Z528=""),"",Sync!$Z528)</f>
        <v/>
      </c>
      <c r="K531">
        <f>IF(OR($G531="",Sync!$AA528=""),"",Sync!$AA528)</f>
        <v/>
      </c>
      <c r="L531">
        <f>IF($G531="",0,IF(Sync!$AB528="",0,Sync!$AB528))</f>
        <v/>
      </c>
      <c r="M531">
        <f>IF($G531="",0,IF(Sync!$AC528="",0,Sync!$AC528))</f>
        <v/>
      </c>
      <c r="N531">
        <f>IF($G531="","",IF($H531="مرجوعی خرید",-1,1)*($L531-$M531*IFERROR(VLOOKUP("P01",ParamTbl,3,0),1.5))*(1-IF($I531="خرید",IFERROR(VLOOKUP("P02",ParamTbl,3,0),1),0)/100))</f>
        <v/>
      </c>
      <c r="O531">
        <f>IF($G531="",0,IF($H531="مرجوعی خرید",-1,1)*IF(Sync!$AD528="",0,Sync!$AD528))</f>
        <v/>
      </c>
      <c r="P531">
        <f>IF(OR($G531="",Sync!$W528=""),"",Sync!$W528)</f>
        <v/>
      </c>
      <c r="Q531">
        <f>IF(OR($G531="",Sync!$AE528=""),"",Sync!$AE528)</f>
        <v/>
      </c>
      <c r="R531">
        <f>IF($G531="","",IF(Sync!$V528="","0000",IF(AND(ISNUMBER(Sync!$V528),Sync!$V528&gt;=0,Sync!$V528&lt;1),RIGHT("00"&amp;HOUR(Sync!$V528),2)&amp;RIGHT("00"&amp;MINUTE(Sync!$V528),2),IFERROR(RIGHT("00"&amp;VALUE(LEFT(Sync!$V528,FIND(":",Sync!$V528)-1)),2)&amp;RIGHT("00"&amp;VALUE(MID(Sync!$V528,FIND(":",Sync!$V528)+1,2)),2),"0000"))))</f>
        <v/>
      </c>
    </row>
    <row r="532">
      <c r="A532">
        <f>IF(Sync!$U529="","",Sync!$U529)</f>
        <v/>
      </c>
      <c r="B532">
        <f>IF($A532="","",IF(ISNUMBER($A532),IF(AND($A532&gt;=10000101,$A532&lt;=99991231),INT($A532/10000),""),IFERROR(VALUE(TRIM(LEFT($A532,FIND("/",$A532)-1))),"")))</f>
        <v/>
      </c>
      <c r="C532">
        <f>IF(OR($A532="",$B532=""),"",IF(ISNUMBER($A532),INT(MOD($A532,10000)/100),IFERROR(VALUE(TRIM(LEFT(MID($A532,FIND("/",$A532)+1,20),FIND("/",MID($A532,FIND("/",$A532)+1,20))-1))),"")))</f>
        <v/>
      </c>
      <c r="D532">
        <f>IF(OR($A532="",$B532=""),"",IF(ISNUMBER($A532),MOD($A532,100),IFERROR(VALUE(TRIM(MID(MID($A532,FIND("/",$A532)+1,20),FIND("/",MID($A532,FIND("/",$A532)+1,20))+1,20))),"")))</f>
        <v/>
      </c>
      <c r="E532">
        <f>IF($A532="","",IF(OR($B532="",$C532="",$D532="",$B532&lt;1300,$B532&gt;1500,$C532&lt;1,$C532&gt;12,$D532&lt;1,$D532&gt;31),"نامعتبر",RIGHT("0000"&amp;$B532,4)&amp;"/"&amp;RIGHT("00"&amp;$C532,2)&amp;"/"&amp;RIGHT("00"&amp;$D532,2)))</f>
        <v/>
      </c>
      <c r="F532">
        <f>IF(OR($E532="",$E532="نامعتبر"),"",LEFT($E532,4)&amp;"/"&amp;MID($E532,6,2))</f>
        <v/>
      </c>
      <c r="G532">
        <f>IF(OR($E532="",$E532="نامعتبر",Sync!$Y529=""),"",Sync!$Y529)</f>
        <v/>
      </c>
      <c r="H532">
        <f>IF($G532="","",IF(Sync!$X529="","",Sync!$X529))</f>
        <v/>
      </c>
      <c r="I532">
        <f>IF($G532="","",IFERROR(VLOOKUP(Sync!$X529,OpTbl,3,0),""))</f>
        <v/>
      </c>
      <c r="J532">
        <f>IF(OR($G532="",Sync!$Z529=""),"",Sync!$Z529)</f>
        <v/>
      </c>
      <c r="K532">
        <f>IF(OR($G532="",Sync!$AA529=""),"",Sync!$AA529)</f>
        <v/>
      </c>
      <c r="L532">
        <f>IF($G532="",0,IF(Sync!$AB529="",0,Sync!$AB529))</f>
        <v/>
      </c>
      <c r="M532">
        <f>IF($G532="",0,IF(Sync!$AC529="",0,Sync!$AC529))</f>
        <v/>
      </c>
      <c r="N532">
        <f>IF($G532="","",IF($H532="مرجوعی خرید",-1,1)*($L532-$M532*IFERROR(VLOOKUP("P01",ParamTbl,3,0),1.5))*(1-IF($I532="خرید",IFERROR(VLOOKUP("P02",ParamTbl,3,0),1),0)/100))</f>
        <v/>
      </c>
      <c r="O532">
        <f>IF($G532="",0,IF($H532="مرجوعی خرید",-1,1)*IF(Sync!$AD529="",0,Sync!$AD529))</f>
        <v/>
      </c>
      <c r="P532">
        <f>IF(OR($G532="",Sync!$W529=""),"",Sync!$W529)</f>
        <v/>
      </c>
      <c r="Q532">
        <f>IF(OR($G532="",Sync!$AE529=""),"",Sync!$AE529)</f>
        <v/>
      </c>
      <c r="R532">
        <f>IF($G532="","",IF(Sync!$V529="","0000",IF(AND(ISNUMBER(Sync!$V529),Sync!$V529&gt;=0,Sync!$V529&lt;1),RIGHT("00"&amp;HOUR(Sync!$V529),2)&amp;RIGHT("00"&amp;MINUTE(Sync!$V529),2),IFERROR(RIGHT("00"&amp;VALUE(LEFT(Sync!$V529,FIND(":",Sync!$V529)-1)),2)&amp;RIGHT("00"&amp;VALUE(MID(Sync!$V529,FIND(":",Sync!$V529)+1,2)),2),"0000"))))</f>
        <v/>
      </c>
    </row>
    <row r="533">
      <c r="A533">
        <f>IF(Sync!$U530="","",Sync!$U530)</f>
        <v/>
      </c>
      <c r="B533">
        <f>IF($A533="","",IF(ISNUMBER($A533),IF(AND($A533&gt;=10000101,$A533&lt;=99991231),INT($A533/10000),""),IFERROR(VALUE(TRIM(LEFT($A533,FIND("/",$A533)-1))),"")))</f>
        <v/>
      </c>
      <c r="C533">
        <f>IF(OR($A533="",$B533=""),"",IF(ISNUMBER($A533),INT(MOD($A533,10000)/100),IFERROR(VALUE(TRIM(LEFT(MID($A533,FIND("/",$A533)+1,20),FIND("/",MID($A533,FIND("/",$A533)+1,20))-1))),"")))</f>
        <v/>
      </c>
      <c r="D533">
        <f>IF(OR($A533="",$B533=""),"",IF(ISNUMBER($A533),MOD($A533,100),IFERROR(VALUE(TRIM(MID(MID($A533,FIND("/",$A533)+1,20),FIND("/",MID($A533,FIND("/",$A533)+1,20))+1,20))),"")))</f>
        <v/>
      </c>
      <c r="E533">
        <f>IF($A533="","",IF(OR($B533="",$C533="",$D533="",$B533&lt;1300,$B533&gt;1500,$C533&lt;1,$C533&gt;12,$D533&lt;1,$D533&gt;31),"نامعتبر",RIGHT("0000"&amp;$B533,4)&amp;"/"&amp;RIGHT("00"&amp;$C533,2)&amp;"/"&amp;RIGHT("00"&amp;$D533,2)))</f>
        <v/>
      </c>
      <c r="F533">
        <f>IF(OR($E533="",$E533="نامعتبر"),"",LEFT($E533,4)&amp;"/"&amp;MID($E533,6,2))</f>
        <v/>
      </c>
      <c r="G533">
        <f>IF(OR($E533="",$E533="نامعتبر",Sync!$Y530=""),"",Sync!$Y530)</f>
        <v/>
      </c>
      <c r="H533">
        <f>IF($G533="","",IF(Sync!$X530="","",Sync!$X530))</f>
        <v/>
      </c>
      <c r="I533">
        <f>IF($G533="","",IFERROR(VLOOKUP(Sync!$X530,OpTbl,3,0),""))</f>
        <v/>
      </c>
      <c r="J533">
        <f>IF(OR($G533="",Sync!$Z530=""),"",Sync!$Z530)</f>
        <v/>
      </c>
      <c r="K533">
        <f>IF(OR($G533="",Sync!$AA530=""),"",Sync!$AA530)</f>
        <v/>
      </c>
      <c r="L533">
        <f>IF($G533="",0,IF(Sync!$AB530="",0,Sync!$AB530))</f>
        <v/>
      </c>
      <c r="M533">
        <f>IF($G533="",0,IF(Sync!$AC530="",0,Sync!$AC530))</f>
        <v/>
      </c>
      <c r="N533">
        <f>IF($G533="","",IF($H533="مرجوعی خرید",-1,1)*($L533-$M533*IFERROR(VLOOKUP("P01",ParamTbl,3,0),1.5))*(1-IF($I533="خرید",IFERROR(VLOOKUP("P02",ParamTbl,3,0),1),0)/100))</f>
        <v/>
      </c>
      <c r="O533">
        <f>IF($G533="",0,IF($H533="مرجوعی خرید",-1,1)*IF(Sync!$AD530="",0,Sync!$AD530))</f>
        <v/>
      </c>
      <c r="P533">
        <f>IF(OR($G533="",Sync!$W530=""),"",Sync!$W530)</f>
        <v/>
      </c>
      <c r="Q533">
        <f>IF(OR($G533="",Sync!$AE530=""),"",Sync!$AE530)</f>
        <v/>
      </c>
      <c r="R533">
        <f>IF($G533="","",IF(Sync!$V530="","0000",IF(AND(ISNUMBER(Sync!$V530),Sync!$V530&gt;=0,Sync!$V530&lt;1),RIGHT("00"&amp;HOUR(Sync!$V530),2)&amp;RIGHT("00"&amp;MINUTE(Sync!$V530),2),IFERROR(RIGHT("00"&amp;VALUE(LEFT(Sync!$V530,FIND(":",Sync!$V530)-1)),2)&amp;RIGHT("00"&amp;VALUE(MID(Sync!$V530,FIND(":",Sync!$V530)+1,2)),2),"0000"))))</f>
        <v/>
      </c>
    </row>
    <row r="534">
      <c r="A534">
        <f>IF(Sync!$U531="","",Sync!$U531)</f>
        <v/>
      </c>
      <c r="B534">
        <f>IF($A534="","",IF(ISNUMBER($A534),IF(AND($A534&gt;=10000101,$A534&lt;=99991231),INT($A534/10000),""),IFERROR(VALUE(TRIM(LEFT($A534,FIND("/",$A534)-1))),"")))</f>
        <v/>
      </c>
      <c r="C534">
        <f>IF(OR($A534="",$B534=""),"",IF(ISNUMBER($A534),INT(MOD($A534,10000)/100),IFERROR(VALUE(TRIM(LEFT(MID($A534,FIND("/",$A534)+1,20),FIND("/",MID($A534,FIND("/",$A534)+1,20))-1))),"")))</f>
        <v/>
      </c>
      <c r="D534">
        <f>IF(OR($A534="",$B534=""),"",IF(ISNUMBER($A534),MOD($A534,100),IFERROR(VALUE(TRIM(MID(MID($A534,FIND("/",$A534)+1,20),FIND("/",MID($A534,FIND("/",$A534)+1,20))+1,20))),"")))</f>
        <v/>
      </c>
      <c r="E534">
        <f>IF($A534="","",IF(OR($B534="",$C534="",$D534="",$B534&lt;1300,$B534&gt;1500,$C534&lt;1,$C534&gt;12,$D534&lt;1,$D534&gt;31),"نامعتبر",RIGHT("0000"&amp;$B534,4)&amp;"/"&amp;RIGHT("00"&amp;$C534,2)&amp;"/"&amp;RIGHT("00"&amp;$D534,2)))</f>
        <v/>
      </c>
      <c r="F534">
        <f>IF(OR($E534="",$E534="نامعتبر"),"",LEFT($E534,4)&amp;"/"&amp;MID($E534,6,2))</f>
        <v/>
      </c>
      <c r="G534">
        <f>IF(OR($E534="",$E534="نامعتبر",Sync!$Y531=""),"",Sync!$Y531)</f>
        <v/>
      </c>
      <c r="H534">
        <f>IF($G534="","",IF(Sync!$X531="","",Sync!$X531))</f>
        <v/>
      </c>
      <c r="I534">
        <f>IF($G534="","",IFERROR(VLOOKUP(Sync!$X531,OpTbl,3,0),""))</f>
        <v/>
      </c>
      <c r="J534">
        <f>IF(OR($G534="",Sync!$Z531=""),"",Sync!$Z531)</f>
        <v/>
      </c>
      <c r="K534">
        <f>IF(OR($G534="",Sync!$AA531=""),"",Sync!$AA531)</f>
        <v/>
      </c>
      <c r="L534">
        <f>IF($G534="",0,IF(Sync!$AB531="",0,Sync!$AB531))</f>
        <v/>
      </c>
      <c r="M534">
        <f>IF($G534="",0,IF(Sync!$AC531="",0,Sync!$AC531))</f>
        <v/>
      </c>
      <c r="N534">
        <f>IF($G534="","",IF($H534="مرجوعی خرید",-1,1)*($L534-$M534*IFERROR(VLOOKUP("P01",ParamTbl,3,0),1.5))*(1-IF($I534="خرید",IFERROR(VLOOKUP("P02",ParamTbl,3,0),1),0)/100))</f>
        <v/>
      </c>
      <c r="O534">
        <f>IF($G534="",0,IF($H534="مرجوعی خرید",-1,1)*IF(Sync!$AD531="",0,Sync!$AD531))</f>
        <v/>
      </c>
      <c r="P534">
        <f>IF(OR($G534="",Sync!$W531=""),"",Sync!$W531)</f>
        <v/>
      </c>
      <c r="Q534">
        <f>IF(OR($G534="",Sync!$AE531=""),"",Sync!$AE531)</f>
        <v/>
      </c>
      <c r="R534">
        <f>IF($G534="","",IF(Sync!$V531="","0000",IF(AND(ISNUMBER(Sync!$V531),Sync!$V531&gt;=0,Sync!$V531&lt;1),RIGHT("00"&amp;HOUR(Sync!$V531),2)&amp;RIGHT("00"&amp;MINUTE(Sync!$V531),2),IFERROR(RIGHT("00"&amp;VALUE(LEFT(Sync!$V531,FIND(":",Sync!$V531)-1)),2)&amp;RIGHT("00"&amp;VALUE(MID(Sync!$V531,FIND(":",Sync!$V531)+1,2)),2),"0000"))))</f>
        <v/>
      </c>
    </row>
    <row r="535">
      <c r="A535">
        <f>IF(Sync!$U532="","",Sync!$U532)</f>
        <v/>
      </c>
      <c r="B535">
        <f>IF($A535="","",IF(ISNUMBER($A535),IF(AND($A535&gt;=10000101,$A535&lt;=99991231),INT($A535/10000),""),IFERROR(VALUE(TRIM(LEFT($A535,FIND("/",$A535)-1))),"")))</f>
        <v/>
      </c>
      <c r="C535">
        <f>IF(OR($A535="",$B535=""),"",IF(ISNUMBER($A535),INT(MOD($A535,10000)/100),IFERROR(VALUE(TRIM(LEFT(MID($A535,FIND("/",$A535)+1,20),FIND("/",MID($A535,FIND("/",$A535)+1,20))-1))),"")))</f>
        <v/>
      </c>
      <c r="D535">
        <f>IF(OR($A535="",$B535=""),"",IF(ISNUMBER($A535),MOD($A535,100),IFERROR(VALUE(TRIM(MID(MID($A535,FIND("/",$A535)+1,20),FIND("/",MID($A535,FIND("/",$A535)+1,20))+1,20))),"")))</f>
        <v/>
      </c>
      <c r="E535">
        <f>IF($A535="","",IF(OR($B535="",$C535="",$D535="",$B535&lt;1300,$B535&gt;1500,$C535&lt;1,$C535&gt;12,$D535&lt;1,$D535&gt;31),"نامعتبر",RIGHT("0000"&amp;$B535,4)&amp;"/"&amp;RIGHT("00"&amp;$C535,2)&amp;"/"&amp;RIGHT("00"&amp;$D535,2)))</f>
        <v/>
      </c>
      <c r="F535">
        <f>IF(OR($E535="",$E535="نامعتبر"),"",LEFT($E535,4)&amp;"/"&amp;MID($E535,6,2))</f>
        <v/>
      </c>
      <c r="G535">
        <f>IF(OR($E535="",$E535="نامعتبر",Sync!$Y532=""),"",Sync!$Y532)</f>
        <v/>
      </c>
      <c r="H535">
        <f>IF($G535="","",IF(Sync!$X532="","",Sync!$X532))</f>
        <v/>
      </c>
      <c r="I535">
        <f>IF($G535="","",IFERROR(VLOOKUP(Sync!$X532,OpTbl,3,0),""))</f>
        <v/>
      </c>
      <c r="J535">
        <f>IF(OR($G535="",Sync!$Z532=""),"",Sync!$Z532)</f>
        <v/>
      </c>
      <c r="K535">
        <f>IF(OR($G535="",Sync!$AA532=""),"",Sync!$AA532)</f>
        <v/>
      </c>
      <c r="L535">
        <f>IF($G535="",0,IF(Sync!$AB532="",0,Sync!$AB532))</f>
        <v/>
      </c>
      <c r="M535">
        <f>IF($G535="",0,IF(Sync!$AC532="",0,Sync!$AC532))</f>
        <v/>
      </c>
      <c r="N535">
        <f>IF($G535="","",IF($H535="مرجوعی خرید",-1,1)*($L535-$M535*IFERROR(VLOOKUP("P01",ParamTbl,3,0),1.5))*(1-IF($I535="خرید",IFERROR(VLOOKUP("P02",ParamTbl,3,0),1),0)/100))</f>
        <v/>
      </c>
      <c r="O535">
        <f>IF($G535="",0,IF($H535="مرجوعی خرید",-1,1)*IF(Sync!$AD532="",0,Sync!$AD532))</f>
        <v/>
      </c>
      <c r="P535">
        <f>IF(OR($G535="",Sync!$W532=""),"",Sync!$W532)</f>
        <v/>
      </c>
      <c r="Q535">
        <f>IF(OR($G535="",Sync!$AE532=""),"",Sync!$AE532)</f>
        <v/>
      </c>
      <c r="R535">
        <f>IF($G535="","",IF(Sync!$V532="","0000",IF(AND(ISNUMBER(Sync!$V532),Sync!$V532&gt;=0,Sync!$V532&lt;1),RIGHT("00"&amp;HOUR(Sync!$V532),2)&amp;RIGHT("00"&amp;MINUTE(Sync!$V532),2),IFERROR(RIGHT("00"&amp;VALUE(LEFT(Sync!$V532,FIND(":",Sync!$V532)-1)),2)&amp;RIGHT("00"&amp;VALUE(MID(Sync!$V532,FIND(":",Sync!$V532)+1,2)),2),"0000"))))</f>
        <v/>
      </c>
    </row>
    <row r="536">
      <c r="A536">
        <f>IF(Sync!$U533="","",Sync!$U533)</f>
        <v/>
      </c>
      <c r="B536">
        <f>IF($A536="","",IF(ISNUMBER($A536),IF(AND($A536&gt;=10000101,$A536&lt;=99991231),INT($A536/10000),""),IFERROR(VALUE(TRIM(LEFT($A536,FIND("/",$A536)-1))),"")))</f>
        <v/>
      </c>
      <c r="C536">
        <f>IF(OR($A536="",$B536=""),"",IF(ISNUMBER($A536),INT(MOD($A536,10000)/100),IFERROR(VALUE(TRIM(LEFT(MID($A536,FIND("/",$A536)+1,20),FIND("/",MID($A536,FIND("/",$A536)+1,20))-1))),"")))</f>
        <v/>
      </c>
      <c r="D536">
        <f>IF(OR($A536="",$B536=""),"",IF(ISNUMBER($A536),MOD($A536,100),IFERROR(VALUE(TRIM(MID(MID($A536,FIND("/",$A536)+1,20),FIND("/",MID($A536,FIND("/",$A536)+1,20))+1,20))),"")))</f>
        <v/>
      </c>
      <c r="E536">
        <f>IF($A536="","",IF(OR($B536="",$C536="",$D536="",$B536&lt;1300,$B536&gt;1500,$C536&lt;1,$C536&gt;12,$D536&lt;1,$D536&gt;31),"نامعتبر",RIGHT("0000"&amp;$B536,4)&amp;"/"&amp;RIGHT("00"&amp;$C536,2)&amp;"/"&amp;RIGHT("00"&amp;$D536,2)))</f>
        <v/>
      </c>
      <c r="F536">
        <f>IF(OR($E536="",$E536="نامعتبر"),"",LEFT($E536,4)&amp;"/"&amp;MID($E536,6,2))</f>
        <v/>
      </c>
      <c r="G536">
        <f>IF(OR($E536="",$E536="نامعتبر",Sync!$Y533=""),"",Sync!$Y533)</f>
        <v/>
      </c>
      <c r="H536">
        <f>IF($G536="","",IF(Sync!$X533="","",Sync!$X533))</f>
        <v/>
      </c>
      <c r="I536">
        <f>IF($G536="","",IFERROR(VLOOKUP(Sync!$X533,OpTbl,3,0),""))</f>
        <v/>
      </c>
      <c r="J536">
        <f>IF(OR($G536="",Sync!$Z533=""),"",Sync!$Z533)</f>
        <v/>
      </c>
      <c r="K536">
        <f>IF(OR($G536="",Sync!$AA533=""),"",Sync!$AA533)</f>
        <v/>
      </c>
      <c r="L536">
        <f>IF($G536="",0,IF(Sync!$AB533="",0,Sync!$AB533))</f>
        <v/>
      </c>
      <c r="M536">
        <f>IF($G536="",0,IF(Sync!$AC533="",0,Sync!$AC533))</f>
        <v/>
      </c>
      <c r="N536">
        <f>IF($G536="","",IF($H536="مرجوعی خرید",-1,1)*($L536-$M536*IFERROR(VLOOKUP("P01",ParamTbl,3,0),1.5))*(1-IF($I536="خرید",IFERROR(VLOOKUP("P02",ParamTbl,3,0),1),0)/100))</f>
        <v/>
      </c>
      <c r="O536">
        <f>IF($G536="",0,IF($H536="مرجوعی خرید",-1,1)*IF(Sync!$AD533="",0,Sync!$AD533))</f>
        <v/>
      </c>
      <c r="P536">
        <f>IF(OR($G536="",Sync!$W533=""),"",Sync!$W533)</f>
        <v/>
      </c>
      <c r="Q536">
        <f>IF(OR($G536="",Sync!$AE533=""),"",Sync!$AE533)</f>
        <v/>
      </c>
      <c r="R536">
        <f>IF($G536="","",IF(Sync!$V533="","0000",IF(AND(ISNUMBER(Sync!$V533),Sync!$V533&gt;=0,Sync!$V533&lt;1),RIGHT("00"&amp;HOUR(Sync!$V533),2)&amp;RIGHT("00"&amp;MINUTE(Sync!$V533),2),IFERROR(RIGHT("00"&amp;VALUE(LEFT(Sync!$V533,FIND(":",Sync!$V533)-1)),2)&amp;RIGHT("00"&amp;VALUE(MID(Sync!$V533,FIND(":",Sync!$V533)+1,2)),2),"0000"))))</f>
        <v/>
      </c>
    </row>
    <row r="537">
      <c r="A537">
        <f>IF(Sync!$U534="","",Sync!$U534)</f>
        <v/>
      </c>
      <c r="B537">
        <f>IF($A537="","",IF(ISNUMBER($A537),IF(AND($A537&gt;=10000101,$A537&lt;=99991231),INT($A537/10000),""),IFERROR(VALUE(TRIM(LEFT($A537,FIND("/",$A537)-1))),"")))</f>
        <v/>
      </c>
      <c r="C537">
        <f>IF(OR($A537="",$B537=""),"",IF(ISNUMBER($A537),INT(MOD($A537,10000)/100),IFERROR(VALUE(TRIM(LEFT(MID($A537,FIND("/",$A537)+1,20),FIND("/",MID($A537,FIND("/",$A537)+1,20))-1))),"")))</f>
        <v/>
      </c>
      <c r="D537">
        <f>IF(OR($A537="",$B537=""),"",IF(ISNUMBER($A537),MOD($A537,100),IFERROR(VALUE(TRIM(MID(MID($A537,FIND("/",$A537)+1,20),FIND("/",MID($A537,FIND("/",$A537)+1,20))+1,20))),"")))</f>
        <v/>
      </c>
      <c r="E537">
        <f>IF($A537="","",IF(OR($B537="",$C537="",$D537="",$B537&lt;1300,$B537&gt;1500,$C537&lt;1,$C537&gt;12,$D537&lt;1,$D537&gt;31),"نامعتبر",RIGHT("0000"&amp;$B537,4)&amp;"/"&amp;RIGHT("00"&amp;$C537,2)&amp;"/"&amp;RIGHT("00"&amp;$D537,2)))</f>
        <v/>
      </c>
      <c r="F537">
        <f>IF(OR($E537="",$E537="نامعتبر"),"",LEFT($E537,4)&amp;"/"&amp;MID($E537,6,2))</f>
        <v/>
      </c>
      <c r="G537">
        <f>IF(OR($E537="",$E537="نامعتبر",Sync!$Y534=""),"",Sync!$Y534)</f>
        <v/>
      </c>
      <c r="H537">
        <f>IF($G537="","",IF(Sync!$X534="","",Sync!$X534))</f>
        <v/>
      </c>
      <c r="I537">
        <f>IF($G537="","",IFERROR(VLOOKUP(Sync!$X534,OpTbl,3,0),""))</f>
        <v/>
      </c>
      <c r="J537">
        <f>IF(OR($G537="",Sync!$Z534=""),"",Sync!$Z534)</f>
        <v/>
      </c>
      <c r="K537">
        <f>IF(OR($G537="",Sync!$AA534=""),"",Sync!$AA534)</f>
        <v/>
      </c>
      <c r="L537">
        <f>IF($G537="",0,IF(Sync!$AB534="",0,Sync!$AB534))</f>
        <v/>
      </c>
      <c r="M537">
        <f>IF($G537="",0,IF(Sync!$AC534="",0,Sync!$AC534))</f>
        <v/>
      </c>
      <c r="N537">
        <f>IF($G537="","",IF($H537="مرجوعی خرید",-1,1)*($L537-$M537*IFERROR(VLOOKUP("P01",ParamTbl,3,0),1.5))*(1-IF($I537="خرید",IFERROR(VLOOKUP("P02",ParamTbl,3,0),1),0)/100))</f>
        <v/>
      </c>
      <c r="O537">
        <f>IF($G537="",0,IF($H537="مرجوعی خرید",-1,1)*IF(Sync!$AD534="",0,Sync!$AD534))</f>
        <v/>
      </c>
      <c r="P537">
        <f>IF(OR($G537="",Sync!$W534=""),"",Sync!$W534)</f>
        <v/>
      </c>
      <c r="Q537">
        <f>IF(OR($G537="",Sync!$AE534=""),"",Sync!$AE534)</f>
        <v/>
      </c>
      <c r="R537">
        <f>IF($G537="","",IF(Sync!$V534="","0000",IF(AND(ISNUMBER(Sync!$V534),Sync!$V534&gt;=0,Sync!$V534&lt;1),RIGHT("00"&amp;HOUR(Sync!$V534),2)&amp;RIGHT("00"&amp;MINUTE(Sync!$V534),2),IFERROR(RIGHT("00"&amp;VALUE(LEFT(Sync!$V534,FIND(":",Sync!$V534)-1)),2)&amp;RIGHT("00"&amp;VALUE(MID(Sync!$V534,FIND(":",Sync!$V534)+1,2)),2),"0000"))))</f>
        <v/>
      </c>
    </row>
    <row r="538">
      <c r="A538">
        <f>IF(Sync!$U535="","",Sync!$U535)</f>
        <v/>
      </c>
      <c r="B538">
        <f>IF($A538="","",IF(ISNUMBER($A538),IF(AND($A538&gt;=10000101,$A538&lt;=99991231),INT($A538/10000),""),IFERROR(VALUE(TRIM(LEFT($A538,FIND("/",$A538)-1))),"")))</f>
        <v/>
      </c>
      <c r="C538">
        <f>IF(OR($A538="",$B538=""),"",IF(ISNUMBER($A538),INT(MOD($A538,10000)/100),IFERROR(VALUE(TRIM(LEFT(MID($A538,FIND("/",$A538)+1,20),FIND("/",MID($A538,FIND("/",$A538)+1,20))-1))),"")))</f>
        <v/>
      </c>
      <c r="D538">
        <f>IF(OR($A538="",$B538=""),"",IF(ISNUMBER($A538),MOD($A538,100),IFERROR(VALUE(TRIM(MID(MID($A538,FIND("/",$A538)+1,20),FIND("/",MID($A538,FIND("/",$A538)+1,20))+1,20))),"")))</f>
        <v/>
      </c>
      <c r="E538">
        <f>IF($A538="","",IF(OR($B538="",$C538="",$D538="",$B538&lt;1300,$B538&gt;1500,$C538&lt;1,$C538&gt;12,$D538&lt;1,$D538&gt;31),"نامعتبر",RIGHT("0000"&amp;$B538,4)&amp;"/"&amp;RIGHT("00"&amp;$C538,2)&amp;"/"&amp;RIGHT("00"&amp;$D538,2)))</f>
        <v/>
      </c>
      <c r="F538">
        <f>IF(OR($E538="",$E538="نامعتبر"),"",LEFT($E538,4)&amp;"/"&amp;MID($E538,6,2))</f>
        <v/>
      </c>
      <c r="G538">
        <f>IF(OR($E538="",$E538="نامعتبر",Sync!$Y535=""),"",Sync!$Y535)</f>
        <v/>
      </c>
      <c r="H538">
        <f>IF($G538="","",IF(Sync!$X535="","",Sync!$X535))</f>
        <v/>
      </c>
      <c r="I538">
        <f>IF($G538="","",IFERROR(VLOOKUP(Sync!$X535,OpTbl,3,0),""))</f>
        <v/>
      </c>
      <c r="J538">
        <f>IF(OR($G538="",Sync!$Z535=""),"",Sync!$Z535)</f>
        <v/>
      </c>
      <c r="K538">
        <f>IF(OR($G538="",Sync!$AA535=""),"",Sync!$AA535)</f>
        <v/>
      </c>
      <c r="L538">
        <f>IF($G538="",0,IF(Sync!$AB535="",0,Sync!$AB535))</f>
        <v/>
      </c>
      <c r="M538">
        <f>IF($G538="",0,IF(Sync!$AC535="",0,Sync!$AC535))</f>
        <v/>
      </c>
      <c r="N538">
        <f>IF($G538="","",IF($H538="مرجوعی خرید",-1,1)*($L538-$M538*IFERROR(VLOOKUP("P01",ParamTbl,3,0),1.5))*(1-IF($I538="خرید",IFERROR(VLOOKUP("P02",ParamTbl,3,0),1),0)/100))</f>
        <v/>
      </c>
      <c r="O538">
        <f>IF($G538="",0,IF($H538="مرجوعی خرید",-1,1)*IF(Sync!$AD535="",0,Sync!$AD535))</f>
        <v/>
      </c>
      <c r="P538">
        <f>IF(OR($G538="",Sync!$W535=""),"",Sync!$W535)</f>
        <v/>
      </c>
      <c r="Q538">
        <f>IF(OR($G538="",Sync!$AE535=""),"",Sync!$AE535)</f>
        <v/>
      </c>
      <c r="R538">
        <f>IF($G538="","",IF(Sync!$V535="","0000",IF(AND(ISNUMBER(Sync!$V535),Sync!$V535&gt;=0,Sync!$V535&lt;1),RIGHT("00"&amp;HOUR(Sync!$V535),2)&amp;RIGHT("00"&amp;MINUTE(Sync!$V535),2),IFERROR(RIGHT("00"&amp;VALUE(LEFT(Sync!$V535,FIND(":",Sync!$V535)-1)),2)&amp;RIGHT("00"&amp;VALUE(MID(Sync!$V535,FIND(":",Sync!$V535)+1,2)),2),"0000"))))</f>
        <v/>
      </c>
    </row>
    <row r="539">
      <c r="A539">
        <f>IF(Sync!$U536="","",Sync!$U536)</f>
        <v/>
      </c>
      <c r="B539">
        <f>IF($A539="","",IF(ISNUMBER($A539),IF(AND($A539&gt;=10000101,$A539&lt;=99991231),INT($A539/10000),""),IFERROR(VALUE(TRIM(LEFT($A539,FIND("/",$A539)-1))),"")))</f>
        <v/>
      </c>
      <c r="C539">
        <f>IF(OR($A539="",$B539=""),"",IF(ISNUMBER($A539),INT(MOD($A539,10000)/100),IFERROR(VALUE(TRIM(LEFT(MID($A539,FIND("/",$A539)+1,20),FIND("/",MID($A539,FIND("/",$A539)+1,20))-1))),"")))</f>
        <v/>
      </c>
      <c r="D539">
        <f>IF(OR($A539="",$B539=""),"",IF(ISNUMBER($A539),MOD($A539,100),IFERROR(VALUE(TRIM(MID(MID($A539,FIND("/",$A539)+1,20),FIND("/",MID($A539,FIND("/",$A539)+1,20))+1,20))),"")))</f>
        <v/>
      </c>
      <c r="E539">
        <f>IF($A539="","",IF(OR($B539="",$C539="",$D539="",$B539&lt;1300,$B539&gt;1500,$C539&lt;1,$C539&gt;12,$D539&lt;1,$D539&gt;31),"نامعتبر",RIGHT("0000"&amp;$B539,4)&amp;"/"&amp;RIGHT("00"&amp;$C539,2)&amp;"/"&amp;RIGHT("00"&amp;$D539,2)))</f>
        <v/>
      </c>
      <c r="F539">
        <f>IF(OR($E539="",$E539="نامعتبر"),"",LEFT($E539,4)&amp;"/"&amp;MID($E539,6,2))</f>
        <v/>
      </c>
      <c r="G539">
        <f>IF(OR($E539="",$E539="نامعتبر",Sync!$Y536=""),"",Sync!$Y536)</f>
        <v/>
      </c>
      <c r="H539">
        <f>IF($G539="","",IF(Sync!$X536="","",Sync!$X536))</f>
        <v/>
      </c>
      <c r="I539">
        <f>IF($G539="","",IFERROR(VLOOKUP(Sync!$X536,OpTbl,3,0),""))</f>
        <v/>
      </c>
      <c r="J539">
        <f>IF(OR($G539="",Sync!$Z536=""),"",Sync!$Z536)</f>
        <v/>
      </c>
      <c r="K539">
        <f>IF(OR($G539="",Sync!$AA536=""),"",Sync!$AA536)</f>
        <v/>
      </c>
      <c r="L539">
        <f>IF($G539="",0,IF(Sync!$AB536="",0,Sync!$AB536))</f>
        <v/>
      </c>
      <c r="M539">
        <f>IF($G539="",0,IF(Sync!$AC536="",0,Sync!$AC536))</f>
        <v/>
      </c>
      <c r="N539">
        <f>IF($G539="","",IF($H539="مرجوعی خرید",-1,1)*($L539-$M539*IFERROR(VLOOKUP("P01",ParamTbl,3,0),1.5))*(1-IF($I539="خرید",IFERROR(VLOOKUP("P02",ParamTbl,3,0),1),0)/100))</f>
        <v/>
      </c>
      <c r="O539">
        <f>IF($G539="",0,IF($H539="مرجوعی خرید",-1,1)*IF(Sync!$AD536="",0,Sync!$AD536))</f>
        <v/>
      </c>
      <c r="P539">
        <f>IF(OR($G539="",Sync!$W536=""),"",Sync!$W536)</f>
        <v/>
      </c>
      <c r="Q539">
        <f>IF(OR($G539="",Sync!$AE536=""),"",Sync!$AE536)</f>
        <v/>
      </c>
      <c r="R539">
        <f>IF($G539="","",IF(Sync!$V536="","0000",IF(AND(ISNUMBER(Sync!$V536),Sync!$V536&gt;=0,Sync!$V536&lt;1),RIGHT("00"&amp;HOUR(Sync!$V536),2)&amp;RIGHT("00"&amp;MINUTE(Sync!$V536),2),IFERROR(RIGHT("00"&amp;VALUE(LEFT(Sync!$V536,FIND(":",Sync!$V536)-1)),2)&amp;RIGHT("00"&amp;VALUE(MID(Sync!$V536,FIND(":",Sync!$V536)+1,2)),2),"0000"))))</f>
        <v/>
      </c>
    </row>
    <row r="540">
      <c r="A540">
        <f>IF(Sync!$U537="","",Sync!$U537)</f>
        <v/>
      </c>
      <c r="B540">
        <f>IF($A540="","",IF(ISNUMBER($A540),IF(AND($A540&gt;=10000101,$A540&lt;=99991231),INT($A540/10000),""),IFERROR(VALUE(TRIM(LEFT($A540,FIND("/",$A540)-1))),"")))</f>
        <v/>
      </c>
      <c r="C540">
        <f>IF(OR($A540="",$B540=""),"",IF(ISNUMBER($A540),INT(MOD($A540,10000)/100),IFERROR(VALUE(TRIM(LEFT(MID($A540,FIND("/",$A540)+1,20),FIND("/",MID($A540,FIND("/",$A540)+1,20))-1))),"")))</f>
        <v/>
      </c>
      <c r="D540">
        <f>IF(OR($A540="",$B540=""),"",IF(ISNUMBER($A540),MOD($A540,100),IFERROR(VALUE(TRIM(MID(MID($A540,FIND("/",$A540)+1,20),FIND("/",MID($A540,FIND("/",$A540)+1,20))+1,20))),"")))</f>
        <v/>
      </c>
      <c r="E540">
        <f>IF($A540="","",IF(OR($B540="",$C540="",$D540="",$B540&lt;1300,$B540&gt;1500,$C540&lt;1,$C540&gt;12,$D540&lt;1,$D540&gt;31),"نامعتبر",RIGHT("0000"&amp;$B540,4)&amp;"/"&amp;RIGHT("00"&amp;$C540,2)&amp;"/"&amp;RIGHT("00"&amp;$D540,2)))</f>
        <v/>
      </c>
      <c r="F540">
        <f>IF(OR($E540="",$E540="نامعتبر"),"",LEFT($E540,4)&amp;"/"&amp;MID($E540,6,2))</f>
        <v/>
      </c>
      <c r="G540">
        <f>IF(OR($E540="",$E540="نامعتبر",Sync!$Y537=""),"",Sync!$Y537)</f>
        <v/>
      </c>
      <c r="H540">
        <f>IF($G540="","",IF(Sync!$X537="","",Sync!$X537))</f>
        <v/>
      </c>
      <c r="I540">
        <f>IF($G540="","",IFERROR(VLOOKUP(Sync!$X537,OpTbl,3,0),""))</f>
        <v/>
      </c>
      <c r="J540">
        <f>IF(OR($G540="",Sync!$Z537=""),"",Sync!$Z537)</f>
        <v/>
      </c>
      <c r="K540">
        <f>IF(OR($G540="",Sync!$AA537=""),"",Sync!$AA537)</f>
        <v/>
      </c>
      <c r="L540">
        <f>IF($G540="",0,IF(Sync!$AB537="",0,Sync!$AB537))</f>
        <v/>
      </c>
      <c r="M540">
        <f>IF($G540="",0,IF(Sync!$AC537="",0,Sync!$AC537))</f>
        <v/>
      </c>
      <c r="N540">
        <f>IF($G540="","",IF($H540="مرجوعی خرید",-1,1)*($L540-$M540*IFERROR(VLOOKUP("P01",ParamTbl,3,0),1.5))*(1-IF($I540="خرید",IFERROR(VLOOKUP("P02",ParamTbl,3,0),1),0)/100))</f>
        <v/>
      </c>
      <c r="O540">
        <f>IF($G540="",0,IF($H540="مرجوعی خرید",-1,1)*IF(Sync!$AD537="",0,Sync!$AD537))</f>
        <v/>
      </c>
      <c r="P540">
        <f>IF(OR($G540="",Sync!$W537=""),"",Sync!$W537)</f>
        <v/>
      </c>
      <c r="Q540">
        <f>IF(OR($G540="",Sync!$AE537=""),"",Sync!$AE537)</f>
        <v/>
      </c>
      <c r="R540">
        <f>IF($G540="","",IF(Sync!$V537="","0000",IF(AND(ISNUMBER(Sync!$V537),Sync!$V537&gt;=0,Sync!$V537&lt;1),RIGHT("00"&amp;HOUR(Sync!$V537),2)&amp;RIGHT("00"&amp;MINUTE(Sync!$V537),2),IFERROR(RIGHT("00"&amp;VALUE(LEFT(Sync!$V537,FIND(":",Sync!$V537)-1)),2)&amp;RIGHT("00"&amp;VALUE(MID(Sync!$V537,FIND(":",Sync!$V537)+1,2)),2),"0000"))))</f>
        <v/>
      </c>
    </row>
    <row r="541">
      <c r="A541">
        <f>IF(Sync!$U538="","",Sync!$U538)</f>
        <v/>
      </c>
      <c r="B541">
        <f>IF($A541="","",IF(ISNUMBER($A541),IF(AND($A541&gt;=10000101,$A541&lt;=99991231),INT($A541/10000),""),IFERROR(VALUE(TRIM(LEFT($A541,FIND("/",$A541)-1))),"")))</f>
        <v/>
      </c>
      <c r="C541">
        <f>IF(OR($A541="",$B541=""),"",IF(ISNUMBER($A541),INT(MOD($A541,10000)/100),IFERROR(VALUE(TRIM(LEFT(MID($A541,FIND("/",$A541)+1,20),FIND("/",MID($A541,FIND("/",$A541)+1,20))-1))),"")))</f>
        <v/>
      </c>
      <c r="D541">
        <f>IF(OR($A541="",$B541=""),"",IF(ISNUMBER($A541),MOD($A541,100),IFERROR(VALUE(TRIM(MID(MID($A541,FIND("/",$A541)+1,20),FIND("/",MID($A541,FIND("/",$A541)+1,20))+1,20))),"")))</f>
        <v/>
      </c>
      <c r="E541">
        <f>IF($A541="","",IF(OR($B541="",$C541="",$D541="",$B541&lt;1300,$B541&gt;1500,$C541&lt;1,$C541&gt;12,$D541&lt;1,$D541&gt;31),"نامعتبر",RIGHT("0000"&amp;$B541,4)&amp;"/"&amp;RIGHT("00"&amp;$C541,2)&amp;"/"&amp;RIGHT("00"&amp;$D541,2)))</f>
        <v/>
      </c>
      <c r="F541">
        <f>IF(OR($E541="",$E541="نامعتبر"),"",LEFT($E541,4)&amp;"/"&amp;MID($E541,6,2))</f>
        <v/>
      </c>
      <c r="G541">
        <f>IF(OR($E541="",$E541="نامعتبر",Sync!$Y538=""),"",Sync!$Y538)</f>
        <v/>
      </c>
      <c r="H541">
        <f>IF($G541="","",IF(Sync!$X538="","",Sync!$X538))</f>
        <v/>
      </c>
      <c r="I541">
        <f>IF($G541="","",IFERROR(VLOOKUP(Sync!$X538,OpTbl,3,0),""))</f>
        <v/>
      </c>
      <c r="J541">
        <f>IF(OR($G541="",Sync!$Z538=""),"",Sync!$Z538)</f>
        <v/>
      </c>
      <c r="K541">
        <f>IF(OR($G541="",Sync!$AA538=""),"",Sync!$AA538)</f>
        <v/>
      </c>
      <c r="L541">
        <f>IF($G541="",0,IF(Sync!$AB538="",0,Sync!$AB538))</f>
        <v/>
      </c>
      <c r="M541">
        <f>IF($G541="",0,IF(Sync!$AC538="",0,Sync!$AC538))</f>
        <v/>
      </c>
      <c r="N541">
        <f>IF($G541="","",IF($H541="مرجوعی خرید",-1,1)*($L541-$M541*IFERROR(VLOOKUP("P01",ParamTbl,3,0),1.5))*(1-IF($I541="خرید",IFERROR(VLOOKUP("P02",ParamTbl,3,0),1),0)/100))</f>
        <v/>
      </c>
      <c r="O541">
        <f>IF($G541="",0,IF($H541="مرجوعی خرید",-1,1)*IF(Sync!$AD538="",0,Sync!$AD538))</f>
        <v/>
      </c>
      <c r="P541">
        <f>IF(OR($G541="",Sync!$W538=""),"",Sync!$W538)</f>
        <v/>
      </c>
      <c r="Q541">
        <f>IF(OR($G541="",Sync!$AE538=""),"",Sync!$AE538)</f>
        <v/>
      </c>
      <c r="R541">
        <f>IF($G541="","",IF(Sync!$V538="","0000",IF(AND(ISNUMBER(Sync!$V538),Sync!$V538&gt;=0,Sync!$V538&lt;1),RIGHT("00"&amp;HOUR(Sync!$V538),2)&amp;RIGHT("00"&amp;MINUTE(Sync!$V538),2),IFERROR(RIGHT("00"&amp;VALUE(LEFT(Sync!$V538,FIND(":",Sync!$V538)-1)),2)&amp;RIGHT("00"&amp;VALUE(MID(Sync!$V538,FIND(":",Sync!$V538)+1,2)),2),"0000"))))</f>
        <v/>
      </c>
    </row>
    <row r="542">
      <c r="A542">
        <f>IF(Sync!$U539="","",Sync!$U539)</f>
        <v/>
      </c>
      <c r="B542">
        <f>IF($A542="","",IF(ISNUMBER($A542),IF(AND($A542&gt;=10000101,$A542&lt;=99991231),INT($A542/10000),""),IFERROR(VALUE(TRIM(LEFT($A542,FIND("/",$A542)-1))),"")))</f>
        <v/>
      </c>
      <c r="C542">
        <f>IF(OR($A542="",$B542=""),"",IF(ISNUMBER($A542),INT(MOD($A542,10000)/100),IFERROR(VALUE(TRIM(LEFT(MID($A542,FIND("/",$A542)+1,20),FIND("/",MID($A542,FIND("/",$A542)+1,20))-1))),"")))</f>
        <v/>
      </c>
      <c r="D542">
        <f>IF(OR($A542="",$B542=""),"",IF(ISNUMBER($A542),MOD($A542,100),IFERROR(VALUE(TRIM(MID(MID($A542,FIND("/",$A542)+1,20),FIND("/",MID($A542,FIND("/",$A542)+1,20))+1,20))),"")))</f>
        <v/>
      </c>
      <c r="E542">
        <f>IF($A542="","",IF(OR($B542="",$C542="",$D542="",$B542&lt;1300,$B542&gt;1500,$C542&lt;1,$C542&gt;12,$D542&lt;1,$D542&gt;31),"نامعتبر",RIGHT("0000"&amp;$B542,4)&amp;"/"&amp;RIGHT("00"&amp;$C542,2)&amp;"/"&amp;RIGHT("00"&amp;$D542,2)))</f>
        <v/>
      </c>
      <c r="F542">
        <f>IF(OR($E542="",$E542="نامعتبر"),"",LEFT($E542,4)&amp;"/"&amp;MID($E542,6,2))</f>
        <v/>
      </c>
      <c r="G542">
        <f>IF(OR($E542="",$E542="نامعتبر",Sync!$Y539=""),"",Sync!$Y539)</f>
        <v/>
      </c>
      <c r="H542">
        <f>IF($G542="","",IF(Sync!$X539="","",Sync!$X539))</f>
        <v/>
      </c>
      <c r="I542">
        <f>IF($G542="","",IFERROR(VLOOKUP(Sync!$X539,OpTbl,3,0),""))</f>
        <v/>
      </c>
      <c r="J542">
        <f>IF(OR($G542="",Sync!$Z539=""),"",Sync!$Z539)</f>
        <v/>
      </c>
      <c r="K542">
        <f>IF(OR($G542="",Sync!$AA539=""),"",Sync!$AA539)</f>
        <v/>
      </c>
      <c r="L542">
        <f>IF($G542="",0,IF(Sync!$AB539="",0,Sync!$AB539))</f>
        <v/>
      </c>
      <c r="M542">
        <f>IF($G542="",0,IF(Sync!$AC539="",0,Sync!$AC539))</f>
        <v/>
      </c>
      <c r="N542">
        <f>IF($G542="","",IF($H542="مرجوعی خرید",-1,1)*($L542-$M542*IFERROR(VLOOKUP("P01",ParamTbl,3,0),1.5))*(1-IF($I542="خرید",IFERROR(VLOOKUP("P02",ParamTbl,3,0),1),0)/100))</f>
        <v/>
      </c>
      <c r="O542">
        <f>IF($G542="",0,IF($H542="مرجوعی خرید",-1,1)*IF(Sync!$AD539="",0,Sync!$AD539))</f>
        <v/>
      </c>
      <c r="P542">
        <f>IF(OR($G542="",Sync!$W539=""),"",Sync!$W539)</f>
        <v/>
      </c>
      <c r="Q542">
        <f>IF(OR($G542="",Sync!$AE539=""),"",Sync!$AE539)</f>
        <v/>
      </c>
      <c r="R542">
        <f>IF($G542="","",IF(Sync!$V539="","0000",IF(AND(ISNUMBER(Sync!$V539),Sync!$V539&gt;=0,Sync!$V539&lt;1),RIGHT("00"&amp;HOUR(Sync!$V539),2)&amp;RIGHT("00"&amp;MINUTE(Sync!$V539),2),IFERROR(RIGHT("00"&amp;VALUE(LEFT(Sync!$V539,FIND(":",Sync!$V539)-1)),2)&amp;RIGHT("00"&amp;VALUE(MID(Sync!$V539,FIND(":",Sync!$V539)+1,2)),2),"0000"))))</f>
        <v/>
      </c>
    </row>
    <row r="543">
      <c r="A543">
        <f>IF(Sync!$U540="","",Sync!$U540)</f>
        <v/>
      </c>
      <c r="B543">
        <f>IF($A543="","",IF(ISNUMBER($A543),IF(AND($A543&gt;=10000101,$A543&lt;=99991231),INT($A543/10000),""),IFERROR(VALUE(TRIM(LEFT($A543,FIND("/",$A543)-1))),"")))</f>
        <v/>
      </c>
      <c r="C543">
        <f>IF(OR($A543="",$B543=""),"",IF(ISNUMBER($A543),INT(MOD($A543,10000)/100),IFERROR(VALUE(TRIM(LEFT(MID($A543,FIND("/",$A543)+1,20),FIND("/",MID($A543,FIND("/",$A543)+1,20))-1))),"")))</f>
        <v/>
      </c>
      <c r="D543">
        <f>IF(OR($A543="",$B543=""),"",IF(ISNUMBER($A543),MOD($A543,100),IFERROR(VALUE(TRIM(MID(MID($A543,FIND("/",$A543)+1,20),FIND("/",MID($A543,FIND("/",$A543)+1,20))+1,20))),"")))</f>
        <v/>
      </c>
      <c r="E543">
        <f>IF($A543="","",IF(OR($B543="",$C543="",$D543="",$B543&lt;1300,$B543&gt;1500,$C543&lt;1,$C543&gt;12,$D543&lt;1,$D543&gt;31),"نامعتبر",RIGHT("0000"&amp;$B543,4)&amp;"/"&amp;RIGHT("00"&amp;$C543,2)&amp;"/"&amp;RIGHT("00"&amp;$D543,2)))</f>
        <v/>
      </c>
      <c r="F543">
        <f>IF(OR($E543="",$E543="نامعتبر"),"",LEFT($E543,4)&amp;"/"&amp;MID($E543,6,2))</f>
        <v/>
      </c>
      <c r="G543">
        <f>IF(OR($E543="",$E543="نامعتبر",Sync!$Y540=""),"",Sync!$Y540)</f>
        <v/>
      </c>
      <c r="H543">
        <f>IF($G543="","",IF(Sync!$X540="","",Sync!$X540))</f>
        <v/>
      </c>
      <c r="I543">
        <f>IF($G543="","",IFERROR(VLOOKUP(Sync!$X540,OpTbl,3,0),""))</f>
        <v/>
      </c>
      <c r="J543">
        <f>IF(OR($G543="",Sync!$Z540=""),"",Sync!$Z540)</f>
        <v/>
      </c>
      <c r="K543">
        <f>IF(OR($G543="",Sync!$AA540=""),"",Sync!$AA540)</f>
        <v/>
      </c>
      <c r="L543">
        <f>IF($G543="",0,IF(Sync!$AB540="",0,Sync!$AB540))</f>
        <v/>
      </c>
      <c r="M543">
        <f>IF($G543="",0,IF(Sync!$AC540="",0,Sync!$AC540))</f>
        <v/>
      </c>
      <c r="N543">
        <f>IF($G543="","",IF($H543="مرجوعی خرید",-1,1)*($L543-$M543*IFERROR(VLOOKUP("P01",ParamTbl,3,0),1.5))*(1-IF($I543="خرید",IFERROR(VLOOKUP("P02",ParamTbl,3,0),1),0)/100))</f>
        <v/>
      </c>
      <c r="O543">
        <f>IF($G543="",0,IF($H543="مرجوعی خرید",-1,1)*IF(Sync!$AD540="",0,Sync!$AD540))</f>
        <v/>
      </c>
      <c r="P543">
        <f>IF(OR($G543="",Sync!$W540=""),"",Sync!$W540)</f>
        <v/>
      </c>
      <c r="Q543">
        <f>IF(OR($G543="",Sync!$AE540=""),"",Sync!$AE540)</f>
        <v/>
      </c>
      <c r="R543">
        <f>IF($G543="","",IF(Sync!$V540="","0000",IF(AND(ISNUMBER(Sync!$V540),Sync!$V540&gt;=0,Sync!$V540&lt;1),RIGHT("00"&amp;HOUR(Sync!$V540),2)&amp;RIGHT("00"&amp;MINUTE(Sync!$V540),2),IFERROR(RIGHT("00"&amp;VALUE(LEFT(Sync!$V540,FIND(":",Sync!$V540)-1)),2)&amp;RIGHT("00"&amp;VALUE(MID(Sync!$V540,FIND(":",Sync!$V540)+1,2)),2),"0000"))))</f>
        <v/>
      </c>
    </row>
    <row r="544">
      <c r="A544">
        <f>IF(Sync!$U541="","",Sync!$U541)</f>
        <v/>
      </c>
      <c r="B544">
        <f>IF($A544="","",IF(ISNUMBER($A544),IF(AND($A544&gt;=10000101,$A544&lt;=99991231),INT($A544/10000),""),IFERROR(VALUE(TRIM(LEFT($A544,FIND("/",$A544)-1))),"")))</f>
        <v/>
      </c>
      <c r="C544">
        <f>IF(OR($A544="",$B544=""),"",IF(ISNUMBER($A544),INT(MOD($A544,10000)/100),IFERROR(VALUE(TRIM(LEFT(MID($A544,FIND("/",$A544)+1,20),FIND("/",MID($A544,FIND("/",$A544)+1,20))-1))),"")))</f>
        <v/>
      </c>
      <c r="D544">
        <f>IF(OR($A544="",$B544=""),"",IF(ISNUMBER($A544),MOD($A544,100),IFERROR(VALUE(TRIM(MID(MID($A544,FIND("/",$A544)+1,20),FIND("/",MID($A544,FIND("/",$A544)+1,20))+1,20))),"")))</f>
        <v/>
      </c>
      <c r="E544">
        <f>IF($A544="","",IF(OR($B544="",$C544="",$D544="",$B544&lt;1300,$B544&gt;1500,$C544&lt;1,$C544&gt;12,$D544&lt;1,$D544&gt;31),"نامعتبر",RIGHT("0000"&amp;$B544,4)&amp;"/"&amp;RIGHT("00"&amp;$C544,2)&amp;"/"&amp;RIGHT("00"&amp;$D544,2)))</f>
        <v/>
      </c>
      <c r="F544">
        <f>IF(OR($E544="",$E544="نامعتبر"),"",LEFT($E544,4)&amp;"/"&amp;MID($E544,6,2))</f>
        <v/>
      </c>
      <c r="G544">
        <f>IF(OR($E544="",$E544="نامعتبر",Sync!$Y541=""),"",Sync!$Y541)</f>
        <v/>
      </c>
      <c r="H544">
        <f>IF($G544="","",IF(Sync!$X541="","",Sync!$X541))</f>
        <v/>
      </c>
      <c r="I544">
        <f>IF($G544="","",IFERROR(VLOOKUP(Sync!$X541,OpTbl,3,0),""))</f>
        <v/>
      </c>
      <c r="J544">
        <f>IF(OR($G544="",Sync!$Z541=""),"",Sync!$Z541)</f>
        <v/>
      </c>
      <c r="K544">
        <f>IF(OR($G544="",Sync!$AA541=""),"",Sync!$AA541)</f>
        <v/>
      </c>
      <c r="L544">
        <f>IF($G544="",0,IF(Sync!$AB541="",0,Sync!$AB541))</f>
        <v/>
      </c>
      <c r="M544">
        <f>IF($G544="",0,IF(Sync!$AC541="",0,Sync!$AC541))</f>
        <v/>
      </c>
      <c r="N544">
        <f>IF($G544="","",IF($H544="مرجوعی خرید",-1,1)*($L544-$M544*IFERROR(VLOOKUP("P01",ParamTbl,3,0),1.5))*(1-IF($I544="خرید",IFERROR(VLOOKUP("P02",ParamTbl,3,0),1),0)/100))</f>
        <v/>
      </c>
      <c r="O544">
        <f>IF($G544="",0,IF($H544="مرجوعی خرید",-1,1)*IF(Sync!$AD541="",0,Sync!$AD541))</f>
        <v/>
      </c>
      <c r="P544">
        <f>IF(OR($G544="",Sync!$W541=""),"",Sync!$W541)</f>
        <v/>
      </c>
      <c r="Q544">
        <f>IF(OR($G544="",Sync!$AE541=""),"",Sync!$AE541)</f>
        <v/>
      </c>
      <c r="R544">
        <f>IF($G544="","",IF(Sync!$V541="","0000",IF(AND(ISNUMBER(Sync!$V541),Sync!$V541&gt;=0,Sync!$V541&lt;1),RIGHT("00"&amp;HOUR(Sync!$V541),2)&amp;RIGHT("00"&amp;MINUTE(Sync!$V541),2),IFERROR(RIGHT("00"&amp;VALUE(LEFT(Sync!$V541,FIND(":",Sync!$V541)-1)),2)&amp;RIGHT("00"&amp;VALUE(MID(Sync!$V541,FIND(":",Sync!$V541)+1,2)),2),"0000"))))</f>
        <v/>
      </c>
    </row>
    <row r="545">
      <c r="A545">
        <f>IF(Sync!$U542="","",Sync!$U542)</f>
        <v/>
      </c>
      <c r="B545">
        <f>IF($A545="","",IF(ISNUMBER($A545),IF(AND($A545&gt;=10000101,$A545&lt;=99991231),INT($A545/10000),""),IFERROR(VALUE(TRIM(LEFT($A545,FIND("/",$A545)-1))),"")))</f>
        <v/>
      </c>
      <c r="C545">
        <f>IF(OR($A545="",$B545=""),"",IF(ISNUMBER($A545),INT(MOD($A545,10000)/100),IFERROR(VALUE(TRIM(LEFT(MID($A545,FIND("/",$A545)+1,20),FIND("/",MID($A545,FIND("/",$A545)+1,20))-1))),"")))</f>
        <v/>
      </c>
      <c r="D545">
        <f>IF(OR($A545="",$B545=""),"",IF(ISNUMBER($A545),MOD($A545,100),IFERROR(VALUE(TRIM(MID(MID($A545,FIND("/",$A545)+1,20),FIND("/",MID($A545,FIND("/",$A545)+1,20))+1,20))),"")))</f>
        <v/>
      </c>
      <c r="E545">
        <f>IF($A545="","",IF(OR($B545="",$C545="",$D545="",$B545&lt;1300,$B545&gt;1500,$C545&lt;1,$C545&gt;12,$D545&lt;1,$D545&gt;31),"نامعتبر",RIGHT("0000"&amp;$B545,4)&amp;"/"&amp;RIGHT("00"&amp;$C545,2)&amp;"/"&amp;RIGHT("00"&amp;$D545,2)))</f>
        <v/>
      </c>
      <c r="F545">
        <f>IF(OR($E545="",$E545="نامعتبر"),"",LEFT($E545,4)&amp;"/"&amp;MID($E545,6,2))</f>
        <v/>
      </c>
      <c r="G545">
        <f>IF(OR($E545="",$E545="نامعتبر",Sync!$Y542=""),"",Sync!$Y542)</f>
        <v/>
      </c>
      <c r="H545">
        <f>IF($G545="","",IF(Sync!$X542="","",Sync!$X542))</f>
        <v/>
      </c>
      <c r="I545">
        <f>IF($G545="","",IFERROR(VLOOKUP(Sync!$X542,OpTbl,3,0),""))</f>
        <v/>
      </c>
      <c r="J545">
        <f>IF(OR($G545="",Sync!$Z542=""),"",Sync!$Z542)</f>
        <v/>
      </c>
      <c r="K545">
        <f>IF(OR($G545="",Sync!$AA542=""),"",Sync!$AA542)</f>
        <v/>
      </c>
      <c r="L545">
        <f>IF($G545="",0,IF(Sync!$AB542="",0,Sync!$AB542))</f>
        <v/>
      </c>
      <c r="M545">
        <f>IF($G545="",0,IF(Sync!$AC542="",0,Sync!$AC542))</f>
        <v/>
      </c>
      <c r="N545">
        <f>IF($G545="","",IF($H545="مرجوعی خرید",-1,1)*($L545-$M545*IFERROR(VLOOKUP("P01",ParamTbl,3,0),1.5))*(1-IF($I545="خرید",IFERROR(VLOOKUP("P02",ParamTbl,3,0),1),0)/100))</f>
        <v/>
      </c>
      <c r="O545">
        <f>IF($G545="",0,IF($H545="مرجوعی خرید",-1,1)*IF(Sync!$AD542="",0,Sync!$AD542))</f>
        <v/>
      </c>
      <c r="P545">
        <f>IF(OR($G545="",Sync!$W542=""),"",Sync!$W542)</f>
        <v/>
      </c>
      <c r="Q545">
        <f>IF(OR($G545="",Sync!$AE542=""),"",Sync!$AE542)</f>
        <v/>
      </c>
      <c r="R545">
        <f>IF($G545="","",IF(Sync!$V542="","0000",IF(AND(ISNUMBER(Sync!$V542),Sync!$V542&gt;=0,Sync!$V542&lt;1),RIGHT("00"&amp;HOUR(Sync!$V542),2)&amp;RIGHT("00"&amp;MINUTE(Sync!$V542),2),IFERROR(RIGHT("00"&amp;VALUE(LEFT(Sync!$V542,FIND(":",Sync!$V542)-1)),2)&amp;RIGHT("00"&amp;VALUE(MID(Sync!$V542,FIND(":",Sync!$V542)+1,2)),2),"0000"))))</f>
        <v/>
      </c>
    </row>
    <row r="546">
      <c r="A546">
        <f>IF(Sync!$U543="","",Sync!$U543)</f>
        <v/>
      </c>
      <c r="B546">
        <f>IF($A546="","",IF(ISNUMBER($A546),IF(AND($A546&gt;=10000101,$A546&lt;=99991231),INT($A546/10000),""),IFERROR(VALUE(TRIM(LEFT($A546,FIND("/",$A546)-1))),"")))</f>
        <v/>
      </c>
      <c r="C546">
        <f>IF(OR($A546="",$B546=""),"",IF(ISNUMBER($A546),INT(MOD($A546,10000)/100),IFERROR(VALUE(TRIM(LEFT(MID($A546,FIND("/",$A546)+1,20),FIND("/",MID($A546,FIND("/",$A546)+1,20))-1))),"")))</f>
        <v/>
      </c>
      <c r="D546">
        <f>IF(OR($A546="",$B546=""),"",IF(ISNUMBER($A546),MOD($A546,100),IFERROR(VALUE(TRIM(MID(MID($A546,FIND("/",$A546)+1,20),FIND("/",MID($A546,FIND("/",$A546)+1,20))+1,20))),"")))</f>
        <v/>
      </c>
      <c r="E546">
        <f>IF($A546="","",IF(OR($B546="",$C546="",$D546="",$B546&lt;1300,$B546&gt;1500,$C546&lt;1,$C546&gt;12,$D546&lt;1,$D546&gt;31),"نامعتبر",RIGHT("0000"&amp;$B546,4)&amp;"/"&amp;RIGHT("00"&amp;$C546,2)&amp;"/"&amp;RIGHT("00"&amp;$D546,2)))</f>
        <v/>
      </c>
      <c r="F546">
        <f>IF(OR($E546="",$E546="نامعتبر"),"",LEFT($E546,4)&amp;"/"&amp;MID($E546,6,2))</f>
        <v/>
      </c>
      <c r="G546">
        <f>IF(OR($E546="",$E546="نامعتبر",Sync!$Y543=""),"",Sync!$Y543)</f>
        <v/>
      </c>
      <c r="H546">
        <f>IF($G546="","",IF(Sync!$X543="","",Sync!$X543))</f>
        <v/>
      </c>
      <c r="I546">
        <f>IF($G546="","",IFERROR(VLOOKUP(Sync!$X543,OpTbl,3,0),""))</f>
        <v/>
      </c>
      <c r="J546">
        <f>IF(OR($G546="",Sync!$Z543=""),"",Sync!$Z543)</f>
        <v/>
      </c>
      <c r="K546">
        <f>IF(OR($G546="",Sync!$AA543=""),"",Sync!$AA543)</f>
        <v/>
      </c>
      <c r="L546">
        <f>IF($G546="",0,IF(Sync!$AB543="",0,Sync!$AB543))</f>
        <v/>
      </c>
      <c r="M546">
        <f>IF($G546="",0,IF(Sync!$AC543="",0,Sync!$AC543))</f>
        <v/>
      </c>
      <c r="N546">
        <f>IF($G546="","",IF($H546="مرجوعی خرید",-1,1)*($L546-$M546*IFERROR(VLOOKUP("P01",ParamTbl,3,0),1.5))*(1-IF($I546="خرید",IFERROR(VLOOKUP("P02",ParamTbl,3,0),1),0)/100))</f>
        <v/>
      </c>
      <c r="O546">
        <f>IF($G546="",0,IF($H546="مرجوعی خرید",-1,1)*IF(Sync!$AD543="",0,Sync!$AD543))</f>
        <v/>
      </c>
      <c r="P546">
        <f>IF(OR($G546="",Sync!$W543=""),"",Sync!$W543)</f>
        <v/>
      </c>
      <c r="Q546">
        <f>IF(OR($G546="",Sync!$AE543=""),"",Sync!$AE543)</f>
        <v/>
      </c>
      <c r="R546">
        <f>IF($G546="","",IF(Sync!$V543="","0000",IF(AND(ISNUMBER(Sync!$V543),Sync!$V543&gt;=0,Sync!$V543&lt;1),RIGHT("00"&amp;HOUR(Sync!$V543),2)&amp;RIGHT("00"&amp;MINUTE(Sync!$V543),2),IFERROR(RIGHT("00"&amp;VALUE(LEFT(Sync!$V543,FIND(":",Sync!$V543)-1)),2)&amp;RIGHT("00"&amp;VALUE(MID(Sync!$V543,FIND(":",Sync!$V543)+1,2)),2),"0000"))))</f>
        <v/>
      </c>
    </row>
    <row r="547">
      <c r="A547">
        <f>IF(Sync!$U544="","",Sync!$U544)</f>
        <v/>
      </c>
      <c r="B547">
        <f>IF($A547="","",IF(ISNUMBER($A547),IF(AND($A547&gt;=10000101,$A547&lt;=99991231),INT($A547/10000),""),IFERROR(VALUE(TRIM(LEFT($A547,FIND("/",$A547)-1))),"")))</f>
        <v/>
      </c>
      <c r="C547">
        <f>IF(OR($A547="",$B547=""),"",IF(ISNUMBER($A547),INT(MOD($A547,10000)/100),IFERROR(VALUE(TRIM(LEFT(MID($A547,FIND("/",$A547)+1,20),FIND("/",MID($A547,FIND("/",$A547)+1,20))-1))),"")))</f>
        <v/>
      </c>
      <c r="D547">
        <f>IF(OR($A547="",$B547=""),"",IF(ISNUMBER($A547),MOD($A547,100),IFERROR(VALUE(TRIM(MID(MID($A547,FIND("/",$A547)+1,20),FIND("/",MID($A547,FIND("/",$A547)+1,20))+1,20))),"")))</f>
        <v/>
      </c>
      <c r="E547">
        <f>IF($A547="","",IF(OR($B547="",$C547="",$D547="",$B547&lt;1300,$B547&gt;1500,$C547&lt;1,$C547&gt;12,$D547&lt;1,$D547&gt;31),"نامعتبر",RIGHT("0000"&amp;$B547,4)&amp;"/"&amp;RIGHT("00"&amp;$C547,2)&amp;"/"&amp;RIGHT("00"&amp;$D547,2)))</f>
        <v/>
      </c>
      <c r="F547">
        <f>IF(OR($E547="",$E547="نامعتبر"),"",LEFT($E547,4)&amp;"/"&amp;MID($E547,6,2))</f>
        <v/>
      </c>
      <c r="G547">
        <f>IF(OR($E547="",$E547="نامعتبر",Sync!$Y544=""),"",Sync!$Y544)</f>
        <v/>
      </c>
      <c r="H547">
        <f>IF($G547="","",IF(Sync!$X544="","",Sync!$X544))</f>
        <v/>
      </c>
      <c r="I547">
        <f>IF($G547="","",IFERROR(VLOOKUP(Sync!$X544,OpTbl,3,0),""))</f>
        <v/>
      </c>
      <c r="J547">
        <f>IF(OR($G547="",Sync!$Z544=""),"",Sync!$Z544)</f>
        <v/>
      </c>
      <c r="K547">
        <f>IF(OR($G547="",Sync!$AA544=""),"",Sync!$AA544)</f>
        <v/>
      </c>
      <c r="L547">
        <f>IF($G547="",0,IF(Sync!$AB544="",0,Sync!$AB544))</f>
        <v/>
      </c>
      <c r="M547">
        <f>IF($G547="",0,IF(Sync!$AC544="",0,Sync!$AC544))</f>
        <v/>
      </c>
      <c r="N547">
        <f>IF($G547="","",IF($H547="مرجوعی خرید",-1,1)*($L547-$M547*IFERROR(VLOOKUP("P01",ParamTbl,3,0),1.5))*(1-IF($I547="خرید",IFERROR(VLOOKUP("P02",ParamTbl,3,0),1),0)/100))</f>
        <v/>
      </c>
      <c r="O547">
        <f>IF($G547="",0,IF($H547="مرجوعی خرید",-1,1)*IF(Sync!$AD544="",0,Sync!$AD544))</f>
        <v/>
      </c>
      <c r="P547">
        <f>IF(OR($G547="",Sync!$W544=""),"",Sync!$W544)</f>
        <v/>
      </c>
      <c r="Q547">
        <f>IF(OR($G547="",Sync!$AE544=""),"",Sync!$AE544)</f>
        <v/>
      </c>
      <c r="R547">
        <f>IF($G547="","",IF(Sync!$V544="","0000",IF(AND(ISNUMBER(Sync!$V544),Sync!$V544&gt;=0,Sync!$V544&lt;1),RIGHT("00"&amp;HOUR(Sync!$V544),2)&amp;RIGHT("00"&amp;MINUTE(Sync!$V544),2),IFERROR(RIGHT("00"&amp;VALUE(LEFT(Sync!$V544,FIND(":",Sync!$V544)-1)),2)&amp;RIGHT("00"&amp;VALUE(MID(Sync!$V544,FIND(":",Sync!$V544)+1,2)),2),"0000"))))</f>
        <v/>
      </c>
    </row>
    <row r="548">
      <c r="A548">
        <f>IF(Sync!$U545="","",Sync!$U545)</f>
        <v/>
      </c>
      <c r="B548">
        <f>IF($A548="","",IF(ISNUMBER($A548),IF(AND($A548&gt;=10000101,$A548&lt;=99991231),INT($A548/10000),""),IFERROR(VALUE(TRIM(LEFT($A548,FIND("/",$A548)-1))),"")))</f>
        <v/>
      </c>
      <c r="C548">
        <f>IF(OR($A548="",$B548=""),"",IF(ISNUMBER($A548),INT(MOD($A548,10000)/100),IFERROR(VALUE(TRIM(LEFT(MID($A548,FIND("/",$A548)+1,20),FIND("/",MID($A548,FIND("/",$A548)+1,20))-1))),"")))</f>
        <v/>
      </c>
      <c r="D548">
        <f>IF(OR($A548="",$B548=""),"",IF(ISNUMBER($A548),MOD($A548,100),IFERROR(VALUE(TRIM(MID(MID($A548,FIND("/",$A548)+1,20),FIND("/",MID($A548,FIND("/",$A548)+1,20))+1,20))),"")))</f>
        <v/>
      </c>
      <c r="E548">
        <f>IF($A548="","",IF(OR($B548="",$C548="",$D548="",$B548&lt;1300,$B548&gt;1500,$C548&lt;1,$C548&gt;12,$D548&lt;1,$D548&gt;31),"نامعتبر",RIGHT("0000"&amp;$B548,4)&amp;"/"&amp;RIGHT("00"&amp;$C548,2)&amp;"/"&amp;RIGHT("00"&amp;$D548,2)))</f>
        <v/>
      </c>
      <c r="F548">
        <f>IF(OR($E548="",$E548="نامعتبر"),"",LEFT($E548,4)&amp;"/"&amp;MID($E548,6,2))</f>
        <v/>
      </c>
      <c r="G548">
        <f>IF(OR($E548="",$E548="نامعتبر",Sync!$Y545=""),"",Sync!$Y545)</f>
        <v/>
      </c>
      <c r="H548">
        <f>IF($G548="","",IF(Sync!$X545="","",Sync!$X545))</f>
        <v/>
      </c>
      <c r="I548">
        <f>IF($G548="","",IFERROR(VLOOKUP(Sync!$X545,OpTbl,3,0),""))</f>
        <v/>
      </c>
      <c r="J548">
        <f>IF(OR($G548="",Sync!$Z545=""),"",Sync!$Z545)</f>
        <v/>
      </c>
      <c r="K548">
        <f>IF(OR($G548="",Sync!$AA545=""),"",Sync!$AA545)</f>
        <v/>
      </c>
      <c r="L548">
        <f>IF($G548="",0,IF(Sync!$AB545="",0,Sync!$AB545))</f>
        <v/>
      </c>
      <c r="M548">
        <f>IF($G548="",0,IF(Sync!$AC545="",0,Sync!$AC545))</f>
        <v/>
      </c>
      <c r="N548">
        <f>IF($G548="","",IF($H548="مرجوعی خرید",-1,1)*($L548-$M548*IFERROR(VLOOKUP("P01",ParamTbl,3,0),1.5))*(1-IF($I548="خرید",IFERROR(VLOOKUP("P02",ParamTbl,3,0),1),0)/100))</f>
        <v/>
      </c>
      <c r="O548">
        <f>IF($G548="",0,IF($H548="مرجوعی خرید",-1,1)*IF(Sync!$AD545="",0,Sync!$AD545))</f>
        <v/>
      </c>
      <c r="P548">
        <f>IF(OR($G548="",Sync!$W545=""),"",Sync!$W545)</f>
        <v/>
      </c>
      <c r="Q548">
        <f>IF(OR($G548="",Sync!$AE545=""),"",Sync!$AE545)</f>
        <v/>
      </c>
      <c r="R548">
        <f>IF($G548="","",IF(Sync!$V545="","0000",IF(AND(ISNUMBER(Sync!$V545),Sync!$V545&gt;=0,Sync!$V545&lt;1),RIGHT("00"&amp;HOUR(Sync!$V545),2)&amp;RIGHT("00"&amp;MINUTE(Sync!$V545),2),IFERROR(RIGHT("00"&amp;VALUE(LEFT(Sync!$V545,FIND(":",Sync!$V545)-1)),2)&amp;RIGHT("00"&amp;VALUE(MID(Sync!$V545,FIND(":",Sync!$V545)+1,2)),2),"0000"))))</f>
        <v/>
      </c>
    </row>
    <row r="549">
      <c r="A549">
        <f>IF(Sync!$U546="","",Sync!$U546)</f>
        <v/>
      </c>
      <c r="B549">
        <f>IF($A549="","",IF(ISNUMBER($A549),IF(AND($A549&gt;=10000101,$A549&lt;=99991231),INT($A549/10000),""),IFERROR(VALUE(TRIM(LEFT($A549,FIND("/",$A549)-1))),"")))</f>
        <v/>
      </c>
      <c r="C549">
        <f>IF(OR($A549="",$B549=""),"",IF(ISNUMBER($A549),INT(MOD($A549,10000)/100),IFERROR(VALUE(TRIM(LEFT(MID($A549,FIND("/",$A549)+1,20),FIND("/",MID($A549,FIND("/",$A549)+1,20))-1))),"")))</f>
        <v/>
      </c>
      <c r="D549">
        <f>IF(OR($A549="",$B549=""),"",IF(ISNUMBER($A549),MOD($A549,100),IFERROR(VALUE(TRIM(MID(MID($A549,FIND("/",$A549)+1,20),FIND("/",MID($A549,FIND("/",$A549)+1,20))+1,20))),"")))</f>
        <v/>
      </c>
      <c r="E549">
        <f>IF($A549="","",IF(OR($B549="",$C549="",$D549="",$B549&lt;1300,$B549&gt;1500,$C549&lt;1,$C549&gt;12,$D549&lt;1,$D549&gt;31),"نامعتبر",RIGHT("0000"&amp;$B549,4)&amp;"/"&amp;RIGHT("00"&amp;$C549,2)&amp;"/"&amp;RIGHT("00"&amp;$D549,2)))</f>
        <v/>
      </c>
      <c r="F549">
        <f>IF(OR($E549="",$E549="نامعتبر"),"",LEFT($E549,4)&amp;"/"&amp;MID($E549,6,2))</f>
        <v/>
      </c>
      <c r="G549">
        <f>IF(OR($E549="",$E549="نامعتبر",Sync!$Y546=""),"",Sync!$Y546)</f>
        <v/>
      </c>
      <c r="H549">
        <f>IF($G549="","",IF(Sync!$X546="","",Sync!$X546))</f>
        <v/>
      </c>
      <c r="I549">
        <f>IF($G549="","",IFERROR(VLOOKUP(Sync!$X546,OpTbl,3,0),""))</f>
        <v/>
      </c>
      <c r="J549">
        <f>IF(OR($G549="",Sync!$Z546=""),"",Sync!$Z546)</f>
        <v/>
      </c>
      <c r="K549">
        <f>IF(OR($G549="",Sync!$AA546=""),"",Sync!$AA546)</f>
        <v/>
      </c>
      <c r="L549">
        <f>IF($G549="",0,IF(Sync!$AB546="",0,Sync!$AB546))</f>
        <v/>
      </c>
      <c r="M549">
        <f>IF($G549="",0,IF(Sync!$AC546="",0,Sync!$AC546))</f>
        <v/>
      </c>
      <c r="N549">
        <f>IF($G549="","",IF($H549="مرجوعی خرید",-1,1)*($L549-$M549*IFERROR(VLOOKUP("P01",ParamTbl,3,0),1.5))*(1-IF($I549="خرید",IFERROR(VLOOKUP("P02",ParamTbl,3,0),1),0)/100))</f>
        <v/>
      </c>
      <c r="O549">
        <f>IF($G549="",0,IF($H549="مرجوعی خرید",-1,1)*IF(Sync!$AD546="",0,Sync!$AD546))</f>
        <v/>
      </c>
      <c r="P549">
        <f>IF(OR($G549="",Sync!$W546=""),"",Sync!$W546)</f>
        <v/>
      </c>
      <c r="Q549">
        <f>IF(OR($G549="",Sync!$AE546=""),"",Sync!$AE546)</f>
        <v/>
      </c>
      <c r="R549">
        <f>IF($G549="","",IF(Sync!$V546="","0000",IF(AND(ISNUMBER(Sync!$V546),Sync!$V546&gt;=0,Sync!$V546&lt;1),RIGHT("00"&amp;HOUR(Sync!$V546),2)&amp;RIGHT("00"&amp;MINUTE(Sync!$V546),2),IFERROR(RIGHT("00"&amp;VALUE(LEFT(Sync!$V546,FIND(":",Sync!$V546)-1)),2)&amp;RIGHT("00"&amp;VALUE(MID(Sync!$V546,FIND(":",Sync!$V546)+1,2)),2),"0000"))))</f>
        <v/>
      </c>
    </row>
    <row r="550">
      <c r="A550">
        <f>IF(Sync!$U547="","",Sync!$U547)</f>
        <v/>
      </c>
      <c r="B550">
        <f>IF($A550="","",IF(ISNUMBER($A550),IF(AND($A550&gt;=10000101,$A550&lt;=99991231),INT($A550/10000),""),IFERROR(VALUE(TRIM(LEFT($A550,FIND("/",$A550)-1))),"")))</f>
        <v/>
      </c>
      <c r="C550">
        <f>IF(OR($A550="",$B550=""),"",IF(ISNUMBER($A550),INT(MOD($A550,10000)/100),IFERROR(VALUE(TRIM(LEFT(MID($A550,FIND("/",$A550)+1,20),FIND("/",MID($A550,FIND("/",$A550)+1,20))-1))),"")))</f>
        <v/>
      </c>
      <c r="D550">
        <f>IF(OR($A550="",$B550=""),"",IF(ISNUMBER($A550),MOD($A550,100),IFERROR(VALUE(TRIM(MID(MID($A550,FIND("/",$A550)+1,20),FIND("/",MID($A550,FIND("/",$A550)+1,20))+1,20))),"")))</f>
        <v/>
      </c>
      <c r="E550">
        <f>IF($A550="","",IF(OR($B550="",$C550="",$D550="",$B550&lt;1300,$B550&gt;1500,$C550&lt;1,$C550&gt;12,$D550&lt;1,$D550&gt;31),"نامعتبر",RIGHT("0000"&amp;$B550,4)&amp;"/"&amp;RIGHT("00"&amp;$C550,2)&amp;"/"&amp;RIGHT("00"&amp;$D550,2)))</f>
        <v/>
      </c>
      <c r="F550">
        <f>IF(OR($E550="",$E550="نامعتبر"),"",LEFT($E550,4)&amp;"/"&amp;MID($E550,6,2))</f>
        <v/>
      </c>
      <c r="G550">
        <f>IF(OR($E550="",$E550="نامعتبر",Sync!$Y547=""),"",Sync!$Y547)</f>
        <v/>
      </c>
      <c r="H550">
        <f>IF($G550="","",IF(Sync!$X547="","",Sync!$X547))</f>
        <v/>
      </c>
      <c r="I550">
        <f>IF($G550="","",IFERROR(VLOOKUP(Sync!$X547,OpTbl,3,0),""))</f>
        <v/>
      </c>
      <c r="J550">
        <f>IF(OR($G550="",Sync!$Z547=""),"",Sync!$Z547)</f>
        <v/>
      </c>
      <c r="K550">
        <f>IF(OR($G550="",Sync!$AA547=""),"",Sync!$AA547)</f>
        <v/>
      </c>
      <c r="L550">
        <f>IF($G550="",0,IF(Sync!$AB547="",0,Sync!$AB547))</f>
        <v/>
      </c>
      <c r="M550">
        <f>IF($G550="",0,IF(Sync!$AC547="",0,Sync!$AC547))</f>
        <v/>
      </c>
      <c r="N550">
        <f>IF($G550="","",IF($H550="مرجوعی خرید",-1,1)*($L550-$M550*IFERROR(VLOOKUP("P01",ParamTbl,3,0),1.5))*(1-IF($I550="خرید",IFERROR(VLOOKUP("P02",ParamTbl,3,0),1),0)/100))</f>
        <v/>
      </c>
      <c r="O550">
        <f>IF($G550="",0,IF($H550="مرجوعی خرید",-1,1)*IF(Sync!$AD547="",0,Sync!$AD547))</f>
        <v/>
      </c>
      <c r="P550">
        <f>IF(OR($G550="",Sync!$W547=""),"",Sync!$W547)</f>
        <v/>
      </c>
      <c r="Q550">
        <f>IF(OR($G550="",Sync!$AE547=""),"",Sync!$AE547)</f>
        <v/>
      </c>
      <c r="R550">
        <f>IF($G550="","",IF(Sync!$V547="","0000",IF(AND(ISNUMBER(Sync!$V547),Sync!$V547&gt;=0,Sync!$V547&lt;1),RIGHT("00"&amp;HOUR(Sync!$V547),2)&amp;RIGHT("00"&amp;MINUTE(Sync!$V547),2),IFERROR(RIGHT("00"&amp;VALUE(LEFT(Sync!$V547,FIND(":",Sync!$V547)-1)),2)&amp;RIGHT("00"&amp;VALUE(MID(Sync!$V547,FIND(":",Sync!$V547)+1,2)),2),"0000"))))</f>
        <v/>
      </c>
    </row>
    <row r="551">
      <c r="A551">
        <f>IF(Sync!$U548="","",Sync!$U548)</f>
        <v/>
      </c>
      <c r="B551">
        <f>IF($A551="","",IF(ISNUMBER($A551),IF(AND($A551&gt;=10000101,$A551&lt;=99991231),INT($A551/10000),""),IFERROR(VALUE(TRIM(LEFT($A551,FIND("/",$A551)-1))),"")))</f>
        <v/>
      </c>
      <c r="C551">
        <f>IF(OR($A551="",$B551=""),"",IF(ISNUMBER($A551),INT(MOD($A551,10000)/100),IFERROR(VALUE(TRIM(LEFT(MID($A551,FIND("/",$A551)+1,20),FIND("/",MID($A551,FIND("/",$A551)+1,20))-1))),"")))</f>
        <v/>
      </c>
      <c r="D551">
        <f>IF(OR($A551="",$B551=""),"",IF(ISNUMBER($A551),MOD($A551,100),IFERROR(VALUE(TRIM(MID(MID($A551,FIND("/",$A551)+1,20),FIND("/",MID($A551,FIND("/",$A551)+1,20))+1,20))),"")))</f>
        <v/>
      </c>
      <c r="E551">
        <f>IF($A551="","",IF(OR($B551="",$C551="",$D551="",$B551&lt;1300,$B551&gt;1500,$C551&lt;1,$C551&gt;12,$D551&lt;1,$D551&gt;31),"نامعتبر",RIGHT("0000"&amp;$B551,4)&amp;"/"&amp;RIGHT("00"&amp;$C551,2)&amp;"/"&amp;RIGHT("00"&amp;$D551,2)))</f>
        <v/>
      </c>
      <c r="F551">
        <f>IF(OR($E551="",$E551="نامعتبر"),"",LEFT($E551,4)&amp;"/"&amp;MID($E551,6,2))</f>
        <v/>
      </c>
      <c r="G551">
        <f>IF(OR($E551="",$E551="نامعتبر",Sync!$Y548=""),"",Sync!$Y548)</f>
        <v/>
      </c>
      <c r="H551">
        <f>IF($G551="","",IF(Sync!$X548="","",Sync!$X548))</f>
        <v/>
      </c>
      <c r="I551">
        <f>IF($G551="","",IFERROR(VLOOKUP(Sync!$X548,OpTbl,3,0),""))</f>
        <v/>
      </c>
      <c r="J551">
        <f>IF(OR($G551="",Sync!$Z548=""),"",Sync!$Z548)</f>
        <v/>
      </c>
      <c r="K551">
        <f>IF(OR($G551="",Sync!$AA548=""),"",Sync!$AA548)</f>
        <v/>
      </c>
      <c r="L551">
        <f>IF($G551="",0,IF(Sync!$AB548="",0,Sync!$AB548))</f>
        <v/>
      </c>
      <c r="M551">
        <f>IF($G551="",0,IF(Sync!$AC548="",0,Sync!$AC548))</f>
        <v/>
      </c>
      <c r="N551">
        <f>IF($G551="","",IF($H551="مرجوعی خرید",-1,1)*($L551-$M551*IFERROR(VLOOKUP("P01",ParamTbl,3,0),1.5))*(1-IF($I551="خرید",IFERROR(VLOOKUP("P02",ParamTbl,3,0),1),0)/100))</f>
        <v/>
      </c>
      <c r="O551">
        <f>IF($G551="",0,IF($H551="مرجوعی خرید",-1,1)*IF(Sync!$AD548="",0,Sync!$AD548))</f>
        <v/>
      </c>
      <c r="P551">
        <f>IF(OR($G551="",Sync!$W548=""),"",Sync!$W548)</f>
        <v/>
      </c>
      <c r="Q551">
        <f>IF(OR($G551="",Sync!$AE548=""),"",Sync!$AE548)</f>
        <v/>
      </c>
      <c r="R551">
        <f>IF($G551="","",IF(Sync!$V548="","0000",IF(AND(ISNUMBER(Sync!$V548),Sync!$V548&gt;=0,Sync!$V548&lt;1),RIGHT("00"&amp;HOUR(Sync!$V548),2)&amp;RIGHT("00"&amp;MINUTE(Sync!$V548),2),IFERROR(RIGHT("00"&amp;VALUE(LEFT(Sync!$V548,FIND(":",Sync!$V548)-1)),2)&amp;RIGHT("00"&amp;VALUE(MID(Sync!$V548,FIND(":",Sync!$V548)+1,2)),2),"0000"))))</f>
        <v/>
      </c>
    </row>
    <row r="552">
      <c r="A552">
        <f>IF(Sync!$U549="","",Sync!$U549)</f>
        <v/>
      </c>
      <c r="B552">
        <f>IF($A552="","",IF(ISNUMBER($A552),IF(AND($A552&gt;=10000101,$A552&lt;=99991231),INT($A552/10000),""),IFERROR(VALUE(TRIM(LEFT($A552,FIND("/",$A552)-1))),"")))</f>
        <v/>
      </c>
      <c r="C552">
        <f>IF(OR($A552="",$B552=""),"",IF(ISNUMBER($A552),INT(MOD($A552,10000)/100),IFERROR(VALUE(TRIM(LEFT(MID($A552,FIND("/",$A552)+1,20),FIND("/",MID($A552,FIND("/",$A552)+1,20))-1))),"")))</f>
        <v/>
      </c>
      <c r="D552">
        <f>IF(OR($A552="",$B552=""),"",IF(ISNUMBER($A552),MOD($A552,100),IFERROR(VALUE(TRIM(MID(MID($A552,FIND("/",$A552)+1,20),FIND("/",MID($A552,FIND("/",$A552)+1,20))+1,20))),"")))</f>
        <v/>
      </c>
      <c r="E552">
        <f>IF($A552="","",IF(OR($B552="",$C552="",$D552="",$B552&lt;1300,$B552&gt;1500,$C552&lt;1,$C552&gt;12,$D552&lt;1,$D552&gt;31),"نامعتبر",RIGHT("0000"&amp;$B552,4)&amp;"/"&amp;RIGHT("00"&amp;$C552,2)&amp;"/"&amp;RIGHT("00"&amp;$D552,2)))</f>
        <v/>
      </c>
      <c r="F552">
        <f>IF(OR($E552="",$E552="نامعتبر"),"",LEFT($E552,4)&amp;"/"&amp;MID($E552,6,2))</f>
        <v/>
      </c>
      <c r="G552">
        <f>IF(OR($E552="",$E552="نامعتبر",Sync!$Y549=""),"",Sync!$Y549)</f>
        <v/>
      </c>
      <c r="H552">
        <f>IF($G552="","",IF(Sync!$X549="","",Sync!$X549))</f>
        <v/>
      </c>
      <c r="I552">
        <f>IF($G552="","",IFERROR(VLOOKUP(Sync!$X549,OpTbl,3,0),""))</f>
        <v/>
      </c>
      <c r="J552">
        <f>IF(OR($G552="",Sync!$Z549=""),"",Sync!$Z549)</f>
        <v/>
      </c>
      <c r="K552">
        <f>IF(OR($G552="",Sync!$AA549=""),"",Sync!$AA549)</f>
        <v/>
      </c>
      <c r="L552">
        <f>IF($G552="",0,IF(Sync!$AB549="",0,Sync!$AB549))</f>
        <v/>
      </c>
      <c r="M552">
        <f>IF($G552="",0,IF(Sync!$AC549="",0,Sync!$AC549))</f>
        <v/>
      </c>
      <c r="N552">
        <f>IF($G552="","",IF($H552="مرجوعی خرید",-1,1)*($L552-$M552*IFERROR(VLOOKUP("P01",ParamTbl,3,0),1.5))*(1-IF($I552="خرید",IFERROR(VLOOKUP("P02",ParamTbl,3,0),1),0)/100))</f>
        <v/>
      </c>
      <c r="O552">
        <f>IF($G552="",0,IF($H552="مرجوعی خرید",-1,1)*IF(Sync!$AD549="",0,Sync!$AD549))</f>
        <v/>
      </c>
      <c r="P552">
        <f>IF(OR($G552="",Sync!$W549=""),"",Sync!$W549)</f>
        <v/>
      </c>
      <c r="Q552">
        <f>IF(OR($G552="",Sync!$AE549=""),"",Sync!$AE549)</f>
        <v/>
      </c>
      <c r="R552">
        <f>IF($G552="","",IF(Sync!$V549="","0000",IF(AND(ISNUMBER(Sync!$V549),Sync!$V549&gt;=0,Sync!$V549&lt;1),RIGHT("00"&amp;HOUR(Sync!$V549),2)&amp;RIGHT("00"&amp;MINUTE(Sync!$V549),2),IFERROR(RIGHT("00"&amp;VALUE(LEFT(Sync!$V549,FIND(":",Sync!$V549)-1)),2)&amp;RIGHT("00"&amp;VALUE(MID(Sync!$V549,FIND(":",Sync!$V549)+1,2)),2),"0000"))))</f>
        <v/>
      </c>
    </row>
    <row r="553">
      <c r="A553">
        <f>IF(Sync!$U550="","",Sync!$U550)</f>
        <v/>
      </c>
      <c r="B553">
        <f>IF($A553="","",IF(ISNUMBER($A553),IF(AND($A553&gt;=10000101,$A553&lt;=99991231),INT($A553/10000),""),IFERROR(VALUE(TRIM(LEFT($A553,FIND("/",$A553)-1))),"")))</f>
        <v/>
      </c>
      <c r="C553">
        <f>IF(OR($A553="",$B553=""),"",IF(ISNUMBER($A553),INT(MOD($A553,10000)/100),IFERROR(VALUE(TRIM(LEFT(MID($A553,FIND("/",$A553)+1,20),FIND("/",MID($A553,FIND("/",$A553)+1,20))-1))),"")))</f>
        <v/>
      </c>
      <c r="D553">
        <f>IF(OR($A553="",$B553=""),"",IF(ISNUMBER($A553),MOD($A553,100),IFERROR(VALUE(TRIM(MID(MID($A553,FIND("/",$A553)+1,20),FIND("/",MID($A553,FIND("/",$A553)+1,20))+1,20))),"")))</f>
        <v/>
      </c>
      <c r="E553">
        <f>IF($A553="","",IF(OR($B553="",$C553="",$D553="",$B553&lt;1300,$B553&gt;1500,$C553&lt;1,$C553&gt;12,$D553&lt;1,$D553&gt;31),"نامعتبر",RIGHT("0000"&amp;$B553,4)&amp;"/"&amp;RIGHT("00"&amp;$C553,2)&amp;"/"&amp;RIGHT("00"&amp;$D553,2)))</f>
        <v/>
      </c>
      <c r="F553">
        <f>IF(OR($E553="",$E553="نامعتبر"),"",LEFT($E553,4)&amp;"/"&amp;MID($E553,6,2))</f>
        <v/>
      </c>
      <c r="G553">
        <f>IF(OR($E553="",$E553="نامعتبر",Sync!$Y550=""),"",Sync!$Y550)</f>
        <v/>
      </c>
      <c r="H553">
        <f>IF($G553="","",IF(Sync!$X550="","",Sync!$X550))</f>
        <v/>
      </c>
      <c r="I553">
        <f>IF($G553="","",IFERROR(VLOOKUP(Sync!$X550,OpTbl,3,0),""))</f>
        <v/>
      </c>
      <c r="J553">
        <f>IF(OR($G553="",Sync!$Z550=""),"",Sync!$Z550)</f>
        <v/>
      </c>
      <c r="K553">
        <f>IF(OR($G553="",Sync!$AA550=""),"",Sync!$AA550)</f>
        <v/>
      </c>
      <c r="L553">
        <f>IF($G553="",0,IF(Sync!$AB550="",0,Sync!$AB550))</f>
        <v/>
      </c>
      <c r="M553">
        <f>IF($G553="",0,IF(Sync!$AC550="",0,Sync!$AC550))</f>
        <v/>
      </c>
      <c r="N553">
        <f>IF($G553="","",IF($H553="مرجوعی خرید",-1,1)*($L553-$M553*IFERROR(VLOOKUP("P01",ParamTbl,3,0),1.5))*(1-IF($I553="خرید",IFERROR(VLOOKUP("P02",ParamTbl,3,0),1),0)/100))</f>
        <v/>
      </c>
      <c r="O553">
        <f>IF($G553="",0,IF($H553="مرجوعی خرید",-1,1)*IF(Sync!$AD550="",0,Sync!$AD550))</f>
        <v/>
      </c>
      <c r="P553">
        <f>IF(OR($G553="",Sync!$W550=""),"",Sync!$W550)</f>
        <v/>
      </c>
      <c r="Q553">
        <f>IF(OR($G553="",Sync!$AE550=""),"",Sync!$AE550)</f>
        <v/>
      </c>
      <c r="R553">
        <f>IF($G553="","",IF(Sync!$V550="","0000",IF(AND(ISNUMBER(Sync!$V550),Sync!$V550&gt;=0,Sync!$V550&lt;1),RIGHT("00"&amp;HOUR(Sync!$V550),2)&amp;RIGHT("00"&amp;MINUTE(Sync!$V550),2),IFERROR(RIGHT("00"&amp;VALUE(LEFT(Sync!$V550,FIND(":",Sync!$V550)-1)),2)&amp;RIGHT("00"&amp;VALUE(MID(Sync!$V550,FIND(":",Sync!$V550)+1,2)),2),"0000"))))</f>
        <v/>
      </c>
    </row>
    <row r="554">
      <c r="A554">
        <f>IF(Sync!$U551="","",Sync!$U551)</f>
        <v/>
      </c>
      <c r="B554">
        <f>IF($A554="","",IF(ISNUMBER($A554),IF(AND($A554&gt;=10000101,$A554&lt;=99991231),INT($A554/10000),""),IFERROR(VALUE(TRIM(LEFT($A554,FIND("/",$A554)-1))),"")))</f>
        <v/>
      </c>
      <c r="C554">
        <f>IF(OR($A554="",$B554=""),"",IF(ISNUMBER($A554),INT(MOD($A554,10000)/100),IFERROR(VALUE(TRIM(LEFT(MID($A554,FIND("/",$A554)+1,20),FIND("/",MID($A554,FIND("/",$A554)+1,20))-1))),"")))</f>
        <v/>
      </c>
      <c r="D554">
        <f>IF(OR($A554="",$B554=""),"",IF(ISNUMBER($A554),MOD($A554,100),IFERROR(VALUE(TRIM(MID(MID($A554,FIND("/",$A554)+1,20),FIND("/",MID($A554,FIND("/",$A554)+1,20))+1,20))),"")))</f>
        <v/>
      </c>
      <c r="E554">
        <f>IF($A554="","",IF(OR($B554="",$C554="",$D554="",$B554&lt;1300,$B554&gt;1500,$C554&lt;1,$C554&gt;12,$D554&lt;1,$D554&gt;31),"نامعتبر",RIGHT("0000"&amp;$B554,4)&amp;"/"&amp;RIGHT("00"&amp;$C554,2)&amp;"/"&amp;RIGHT("00"&amp;$D554,2)))</f>
        <v/>
      </c>
      <c r="F554">
        <f>IF(OR($E554="",$E554="نامعتبر"),"",LEFT($E554,4)&amp;"/"&amp;MID($E554,6,2))</f>
        <v/>
      </c>
      <c r="G554">
        <f>IF(OR($E554="",$E554="نامعتبر",Sync!$Y551=""),"",Sync!$Y551)</f>
        <v/>
      </c>
      <c r="H554">
        <f>IF($G554="","",IF(Sync!$X551="","",Sync!$X551))</f>
        <v/>
      </c>
      <c r="I554">
        <f>IF($G554="","",IFERROR(VLOOKUP(Sync!$X551,OpTbl,3,0),""))</f>
        <v/>
      </c>
      <c r="J554">
        <f>IF(OR($G554="",Sync!$Z551=""),"",Sync!$Z551)</f>
        <v/>
      </c>
      <c r="K554">
        <f>IF(OR($G554="",Sync!$AA551=""),"",Sync!$AA551)</f>
        <v/>
      </c>
      <c r="L554">
        <f>IF($G554="",0,IF(Sync!$AB551="",0,Sync!$AB551))</f>
        <v/>
      </c>
      <c r="M554">
        <f>IF($G554="",0,IF(Sync!$AC551="",0,Sync!$AC551))</f>
        <v/>
      </c>
      <c r="N554">
        <f>IF($G554="","",IF($H554="مرجوعی خرید",-1,1)*($L554-$M554*IFERROR(VLOOKUP("P01",ParamTbl,3,0),1.5))*(1-IF($I554="خرید",IFERROR(VLOOKUP("P02",ParamTbl,3,0),1),0)/100))</f>
        <v/>
      </c>
      <c r="O554">
        <f>IF($G554="",0,IF($H554="مرجوعی خرید",-1,1)*IF(Sync!$AD551="",0,Sync!$AD551))</f>
        <v/>
      </c>
      <c r="P554">
        <f>IF(OR($G554="",Sync!$W551=""),"",Sync!$W551)</f>
        <v/>
      </c>
      <c r="Q554">
        <f>IF(OR($G554="",Sync!$AE551=""),"",Sync!$AE551)</f>
        <v/>
      </c>
      <c r="R554">
        <f>IF($G554="","",IF(Sync!$V551="","0000",IF(AND(ISNUMBER(Sync!$V551),Sync!$V551&gt;=0,Sync!$V551&lt;1),RIGHT("00"&amp;HOUR(Sync!$V551),2)&amp;RIGHT("00"&amp;MINUTE(Sync!$V551),2),IFERROR(RIGHT("00"&amp;VALUE(LEFT(Sync!$V551,FIND(":",Sync!$V551)-1)),2)&amp;RIGHT("00"&amp;VALUE(MID(Sync!$V551,FIND(":",Sync!$V551)+1,2)),2),"0000"))))</f>
        <v/>
      </c>
    </row>
    <row r="555">
      <c r="A555">
        <f>IF(Sync!$U552="","",Sync!$U552)</f>
        <v/>
      </c>
      <c r="B555">
        <f>IF($A555="","",IF(ISNUMBER($A555),IF(AND($A555&gt;=10000101,$A555&lt;=99991231),INT($A555/10000),""),IFERROR(VALUE(TRIM(LEFT($A555,FIND("/",$A555)-1))),"")))</f>
        <v/>
      </c>
      <c r="C555">
        <f>IF(OR($A555="",$B555=""),"",IF(ISNUMBER($A555),INT(MOD($A555,10000)/100),IFERROR(VALUE(TRIM(LEFT(MID($A555,FIND("/",$A555)+1,20),FIND("/",MID($A555,FIND("/",$A555)+1,20))-1))),"")))</f>
        <v/>
      </c>
      <c r="D555">
        <f>IF(OR($A555="",$B555=""),"",IF(ISNUMBER($A555),MOD($A555,100),IFERROR(VALUE(TRIM(MID(MID($A555,FIND("/",$A555)+1,20),FIND("/",MID($A555,FIND("/",$A555)+1,20))+1,20))),"")))</f>
        <v/>
      </c>
      <c r="E555">
        <f>IF($A555="","",IF(OR($B555="",$C555="",$D555="",$B555&lt;1300,$B555&gt;1500,$C555&lt;1,$C555&gt;12,$D555&lt;1,$D555&gt;31),"نامعتبر",RIGHT("0000"&amp;$B555,4)&amp;"/"&amp;RIGHT("00"&amp;$C555,2)&amp;"/"&amp;RIGHT("00"&amp;$D555,2)))</f>
        <v/>
      </c>
      <c r="F555">
        <f>IF(OR($E555="",$E555="نامعتبر"),"",LEFT($E555,4)&amp;"/"&amp;MID($E555,6,2))</f>
        <v/>
      </c>
      <c r="G555">
        <f>IF(OR($E555="",$E555="نامعتبر",Sync!$Y552=""),"",Sync!$Y552)</f>
        <v/>
      </c>
      <c r="H555">
        <f>IF($G555="","",IF(Sync!$X552="","",Sync!$X552))</f>
        <v/>
      </c>
      <c r="I555">
        <f>IF($G555="","",IFERROR(VLOOKUP(Sync!$X552,OpTbl,3,0),""))</f>
        <v/>
      </c>
      <c r="J555">
        <f>IF(OR($G555="",Sync!$Z552=""),"",Sync!$Z552)</f>
        <v/>
      </c>
      <c r="K555">
        <f>IF(OR($G555="",Sync!$AA552=""),"",Sync!$AA552)</f>
        <v/>
      </c>
      <c r="L555">
        <f>IF($G555="",0,IF(Sync!$AB552="",0,Sync!$AB552))</f>
        <v/>
      </c>
      <c r="M555">
        <f>IF($G555="",0,IF(Sync!$AC552="",0,Sync!$AC552))</f>
        <v/>
      </c>
      <c r="N555">
        <f>IF($G555="","",IF($H555="مرجوعی خرید",-1,1)*($L555-$M555*IFERROR(VLOOKUP("P01",ParamTbl,3,0),1.5))*(1-IF($I555="خرید",IFERROR(VLOOKUP("P02",ParamTbl,3,0),1),0)/100))</f>
        <v/>
      </c>
      <c r="O555">
        <f>IF($G555="",0,IF($H555="مرجوعی خرید",-1,1)*IF(Sync!$AD552="",0,Sync!$AD552))</f>
        <v/>
      </c>
      <c r="P555">
        <f>IF(OR($G555="",Sync!$W552=""),"",Sync!$W552)</f>
        <v/>
      </c>
      <c r="Q555">
        <f>IF(OR($G555="",Sync!$AE552=""),"",Sync!$AE552)</f>
        <v/>
      </c>
      <c r="R555">
        <f>IF($G555="","",IF(Sync!$V552="","0000",IF(AND(ISNUMBER(Sync!$V552),Sync!$V552&gt;=0,Sync!$V552&lt;1),RIGHT("00"&amp;HOUR(Sync!$V552),2)&amp;RIGHT("00"&amp;MINUTE(Sync!$V552),2),IFERROR(RIGHT("00"&amp;VALUE(LEFT(Sync!$V552,FIND(":",Sync!$V552)-1)),2)&amp;RIGHT("00"&amp;VALUE(MID(Sync!$V552,FIND(":",Sync!$V552)+1,2)),2),"0000"))))</f>
        <v/>
      </c>
    </row>
    <row r="556">
      <c r="A556">
        <f>IF(Sync!$U553="","",Sync!$U553)</f>
        <v/>
      </c>
      <c r="B556">
        <f>IF($A556="","",IF(ISNUMBER($A556),IF(AND($A556&gt;=10000101,$A556&lt;=99991231),INT($A556/10000),""),IFERROR(VALUE(TRIM(LEFT($A556,FIND("/",$A556)-1))),"")))</f>
        <v/>
      </c>
      <c r="C556">
        <f>IF(OR($A556="",$B556=""),"",IF(ISNUMBER($A556),INT(MOD($A556,10000)/100),IFERROR(VALUE(TRIM(LEFT(MID($A556,FIND("/",$A556)+1,20),FIND("/",MID($A556,FIND("/",$A556)+1,20))-1))),"")))</f>
        <v/>
      </c>
      <c r="D556">
        <f>IF(OR($A556="",$B556=""),"",IF(ISNUMBER($A556),MOD($A556,100),IFERROR(VALUE(TRIM(MID(MID($A556,FIND("/",$A556)+1,20),FIND("/",MID($A556,FIND("/",$A556)+1,20))+1,20))),"")))</f>
        <v/>
      </c>
      <c r="E556">
        <f>IF($A556="","",IF(OR($B556="",$C556="",$D556="",$B556&lt;1300,$B556&gt;1500,$C556&lt;1,$C556&gt;12,$D556&lt;1,$D556&gt;31),"نامعتبر",RIGHT("0000"&amp;$B556,4)&amp;"/"&amp;RIGHT("00"&amp;$C556,2)&amp;"/"&amp;RIGHT("00"&amp;$D556,2)))</f>
        <v/>
      </c>
      <c r="F556">
        <f>IF(OR($E556="",$E556="نامعتبر"),"",LEFT($E556,4)&amp;"/"&amp;MID($E556,6,2))</f>
        <v/>
      </c>
      <c r="G556">
        <f>IF(OR($E556="",$E556="نامعتبر",Sync!$Y553=""),"",Sync!$Y553)</f>
        <v/>
      </c>
      <c r="H556">
        <f>IF($G556="","",IF(Sync!$X553="","",Sync!$X553))</f>
        <v/>
      </c>
      <c r="I556">
        <f>IF($G556="","",IFERROR(VLOOKUP(Sync!$X553,OpTbl,3,0),""))</f>
        <v/>
      </c>
      <c r="J556">
        <f>IF(OR($G556="",Sync!$Z553=""),"",Sync!$Z553)</f>
        <v/>
      </c>
      <c r="K556">
        <f>IF(OR($G556="",Sync!$AA553=""),"",Sync!$AA553)</f>
        <v/>
      </c>
      <c r="L556">
        <f>IF($G556="",0,IF(Sync!$AB553="",0,Sync!$AB553))</f>
        <v/>
      </c>
      <c r="M556">
        <f>IF($G556="",0,IF(Sync!$AC553="",0,Sync!$AC553))</f>
        <v/>
      </c>
      <c r="N556">
        <f>IF($G556="","",IF($H556="مرجوعی خرید",-1,1)*($L556-$M556*IFERROR(VLOOKUP("P01",ParamTbl,3,0),1.5))*(1-IF($I556="خرید",IFERROR(VLOOKUP("P02",ParamTbl,3,0),1),0)/100))</f>
        <v/>
      </c>
      <c r="O556">
        <f>IF($G556="",0,IF($H556="مرجوعی خرید",-1,1)*IF(Sync!$AD553="",0,Sync!$AD553))</f>
        <v/>
      </c>
      <c r="P556">
        <f>IF(OR($G556="",Sync!$W553=""),"",Sync!$W553)</f>
        <v/>
      </c>
      <c r="Q556">
        <f>IF(OR($G556="",Sync!$AE553=""),"",Sync!$AE553)</f>
        <v/>
      </c>
      <c r="R556">
        <f>IF($G556="","",IF(Sync!$V553="","0000",IF(AND(ISNUMBER(Sync!$V553),Sync!$V553&gt;=0,Sync!$V553&lt;1),RIGHT("00"&amp;HOUR(Sync!$V553),2)&amp;RIGHT("00"&amp;MINUTE(Sync!$V553),2),IFERROR(RIGHT("00"&amp;VALUE(LEFT(Sync!$V553,FIND(":",Sync!$V553)-1)),2)&amp;RIGHT("00"&amp;VALUE(MID(Sync!$V553,FIND(":",Sync!$V553)+1,2)),2),"0000"))))</f>
        <v/>
      </c>
    </row>
    <row r="557">
      <c r="A557">
        <f>IF(Sync!$U554="","",Sync!$U554)</f>
        <v/>
      </c>
      <c r="B557">
        <f>IF($A557="","",IF(ISNUMBER($A557),IF(AND($A557&gt;=10000101,$A557&lt;=99991231),INT($A557/10000),""),IFERROR(VALUE(TRIM(LEFT($A557,FIND("/",$A557)-1))),"")))</f>
        <v/>
      </c>
      <c r="C557">
        <f>IF(OR($A557="",$B557=""),"",IF(ISNUMBER($A557),INT(MOD($A557,10000)/100),IFERROR(VALUE(TRIM(LEFT(MID($A557,FIND("/",$A557)+1,20),FIND("/",MID($A557,FIND("/",$A557)+1,20))-1))),"")))</f>
        <v/>
      </c>
      <c r="D557">
        <f>IF(OR($A557="",$B557=""),"",IF(ISNUMBER($A557),MOD($A557,100),IFERROR(VALUE(TRIM(MID(MID($A557,FIND("/",$A557)+1,20),FIND("/",MID($A557,FIND("/",$A557)+1,20))+1,20))),"")))</f>
        <v/>
      </c>
      <c r="E557">
        <f>IF($A557="","",IF(OR($B557="",$C557="",$D557="",$B557&lt;1300,$B557&gt;1500,$C557&lt;1,$C557&gt;12,$D557&lt;1,$D557&gt;31),"نامعتبر",RIGHT("0000"&amp;$B557,4)&amp;"/"&amp;RIGHT("00"&amp;$C557,2)&amp;"/"&amp;RIGHT("00"&amp;$D557,2)))</f>
        <v/>
      </c>
      <c r="F557">
        <f>IF(OR($E557="",$E557="نامعتبر"),"",LEFT($E557,4)&amp;"/"&amp;MID($E557,6,2))</f>
        <v/>
      </c>
      <c r="G557">
        <f>IF(OR($E557="",$E557="نامعتبر",Sync!$Y554=""),"",Sync!$Y554)</f>
        <v/>
      </c>
      <c r="H557">
        <f>IF($G557="","",IF(Sync!$X554="","",Sync!$X554))</f>
        <v/>
      </c>
      <c r="I557">
        <f>IF($G557="","",IFERROR(VLOOKUP(Sync!$X554,OpTbl,3,0),""))</f>
        <v/>
      </c>
      <c r="J557">
        <f>IF(OR($G557="",Sync!$Z554=""),"",Sync!$Z554)</f>
        <v/>
      </c>
      <c r="K557">
        <f>IF(OR($G557="",Sync!$AA554=""),"",Sync!$AA554)</f>
        <v/>
      </c>
      <c r="L557">
        <f>IF($G557="",0,IF(Sync!$AB554="",0,Sync!$AB554))</f>
        <v/>
      </c>
      <c r="M557">
        <f>IF($G557="",0,IF(Sync!$AC554="",0,Sync!$AC554))</f>
        <v/>
      </c>
      <c r="N557">
        <f>IF($G557="","",IF($H557="مرجوعی خرید",-1,1)*($L557-$M557*IFERROR(VLOOKUP("P01",ParamTbl,3,0),1.5))*(1-IF($I557="خرید",IFERROR(VLOOKUP("P02",ParamTbl,3,0),1),0)/100))</f>
        <v/>
      </c>
      <c r="O557">
        <f>IF($G557="",0,IF($H557="مرجوعی خرید",-1,1)*IF(Sync!$AD554="",0,Sync!$AD554))</f>
        <v/>
      </c>
      <c r="P557">
        <f>IF(OR($G557="",Sync!$W554=""),"",Sync!$W554)</f>
        <v/>
      </c>
      <c r="Q557">
        <f>IF(OR($G557="",Sync!$AE554=""),"",Sync!$AE554)</f>
        <v/>
      </c>
      <c r="R557">
        <f>IF($G557="","",IF(Sync!$V554="","0000",IF(AND(ISNUMBER(Sync!$V554),Sync!$V554&gt;=0,Sync!$V554&lt;1),RIGHT("00"&amp;HOUR(Sync!$V554),2)&amp;RIGHT("00"&amp;MINUTE(Sync!$V554),2),IFERROR(RIGHT("00"&amp;VALUE(LEFT(Sync!$V554,FIND(":",Sync!$V554)-1)),2)&amp;RIGHT("00"&amp;VALUE(MID(Sync!$V554,FIND(":",Sync!$V554)+1,2)),2),"0000"))))</f>
        <v/>
      </c>
    </row>
    <row r="558">
      <c r="A558">
        <f>IF(Sync!$U555="","",Sync!$U555)</f>
        <v/>
      </c>
      <c r="B558">
        <f>IF($A558="","",IF(ISNUMBER($A558),IF(AND($A558&gt;=10000101,$A558&lt;=99991231),INT($A558/10000),""),IFERROR(VALUE(TRIM(LEFT($A558,FIND("/",$A558)-1))),"")))</f>
        <v/>
      </c>
      <c r="C558">
        <f>IF(OR($A558="",$B558=""),"",IF(ISNUMBER($A558),INT(MOD($A558,10000)/100),IFERROR(VALUE(TRIM(LEFT(MID($A558,FIND("/",$A558)+1,20),FIND("/",MID($A558,FIND("/",$A558)+1,20))-1))),"")))</f>
        <v/>
      </c>
      <c r="D558">
        <f>IF(OR($A558="",$B558=""),"",IF(ISNUMBER($A558),MOD($A558,100),IFERROR(VALUE(TRIM(MID(MID($A558,FIND("/",$A558)+1,20),FIND("/",MID($A558,FIND("/",$A558)+1,20))+1,20))),"")))</f>
        <v/>
      </c>
      <c r="E558">
        <f>IF($A558="","",IF(OR($B558="",$C558="",$D558="",$B558&lt;1300,$B558&gt;1500,$C558&lt;1,$C558&gt;12,$D558&lt;1,$D558&gt;31),"نامعتبر",RIGHT("0000"&amp;$B558,4)&amp;"/"&amp;RIGHT("00"&amp;$C558,2)&amp;"/"&amp;RIGHT("00"&amp;$D558,2)))</f>
        <v/>
      </c>
      <c r="F558">
        <f>IF(OR($E558="",$E558="نامعتبر"),"",LEFT($E558,4)&amp;"/"&amp;MID($E558,6,2))</f>
        <v/>
      </c>
      <c r="G558">
        <f>IF(OR($E558="",$E558="نامعتبر",Sync!$Y555=""),"",Sync!$Y555)</f>
        <v/>
      </c>
      <c r="H558">
        <f>IF($G558="","",IF(Sync!$X555="","",Sync!$X555))</f>
        <v/>
      </c>
      <c r="I558">
        <f>IF($G558="","",IFERROR(VLOOKUP(Sync!$X555,OpTbl,3,0),""))</f>
        <v/>
      </c>
      <c r="J558">
        <f>IF(OR($G558="",Sync!$Z555=""),"",Sync!$Z555)</f>
        <v/>
      </c>
      <c r="K558">
        <f>IF(OR($G558="",Sync!$AA555=""),"",Sync!$AA555)</f>
        <v/>
      </c>
      <c r="L558">
        <f>IF($G558="",0,IF(Sync!$AB555="",0,Sync!$AB555))</f>
        <v/>
      </c>
      <c r="M558">
        <f>IF($G558="",0,IF(Sync!$AC555="",0,Sync!$AC555))</f>
        <v/>
      </c>
      <c r="N558">
        <f>IF($G558="","",IF($H558="مرجوعی خرید",-1,1)*($L558-$M558*IFERROR(VLOOKUP("P01",ParamTbl,3,0),1.5))*(1-IF($I558="خرید",IFERROR(VLOOKUP("P02",ParamTbl,3,0),1),0)/100))</f>
        <v/>
      </c>
      <c r="O558">
        <f>IF($G558="",0,IF($H558="مرجوعی خرید",-1,1)*IF(Sync!$AD555="",0,Sync!$AD555))</f>
        <v/>
      </c>
      <c r="P558">
        <f>IF(OR($G558="",Sync!$W555=""),"",Sync!$W555)</f>
        <v/>
      </c>
      <c r="Q558">
        <f>IF(OR($G558="",Sync!$AE555=""),"",Sync!$AE555)</f>
        <v/>
      </c>
      <c r="R558">
        <f>IF($G558="","",IF(Sync!$V555="","0000",IF(AND(ISNUMBER(Sync!$V555),Sync!$V555&gt;=0,Sync!$V555&lt;1),RIGHT("00"&amp;HOUR(Sync!$V555),2)&amp;RIGHT("00"&amp;MINUTE(Sync!$V555),2),IFERROR(RIGHT("00"&amp;VALUE(LEFT(Sync!$V555,FIND(":",Sync!$V555)-1)),2)&amp;RIGHT("00"&amp;VALUE(MID(Sync!$V555,FIND(":",Sync!$V555)+1,2)),2),"0000"))))</f>
        <v/>
      </c>
    </row>
    <row r="559">
      <c r="A559">
        <f>IF(Sync!$U556="","",Sync!$U556)</f>
        <v/>
      </c>
      <c r="B559">
        <f>IF($A559="","",IF(ISNUMBER($A559),IF(AND($A559&gt;=10000101,$A559&lt;=99991231),INT($A559/10000),""),IFERROR(VALUE(TRIM(LEFT($A559,FIND("/",$A559)-1))),"")))</f>
        <v/>
      </c>
      <c r="C559">
        <f>IF(OR($A559="",$B559=""),"",IF(ISNUMBER($A559),INT(MOD($A559,10000)/100),IFERROR(VALUE(TRIM(LEFT(MID($A559,FIND("/",$A559)+1,20),FIND("/",MID($A559,FIND("/",$A559)+1,20))-1))),"")))</f>
        <v/>
      </c>
      <c r="D559">
        <f>IF(OR($A559="",$B559=""),"",IF(ISNUMBER($A559),MOD($A559,100),IFERROR(VALUE(TRIM(MID(MID($A559,FIND("/",$A559)+1,20),FIND("/",MID($A559,FIND("/",$A559)+1,20))+1,20))),"")))</f>
        <v/>
      </c>
      <c r="E559">
        <f>IF($A559="","",IF(OR($B559="",$C559="",$D559="",$B559&lt;1300,$B559&gt;1500,$C559&lt;1,$C559&gt;12,$D559&lt;1,$D559&gt;31),"نامعتبر",RIGHT("0000"&amp;$B559,4)&amp;"/"&amp;RIGHT("00"&amp;$C559,2)&amp;"/"&amp;RIGHT("00"&amp;$D559,2)))</f>
        <v/>
      </c>
      <c r="F559">
        <f>IF(OR($E559="",$E559="نامعتبر"),"",LEFT($E559,4)&amp;"/"&amp;MID($E559,6,2))</f>
        <v/>
      </c>
      <c r="G559">
        <f>IF(OR($E559="",$E559="نامعتبر",Sync!$Y556=""),"",Sync!$Y556)</f>
        <v/>
      </c>
      <c r="H559">
        <f>IF($G559="","",IF(Sync!$X556="","",Sync!$X556))</f>
        <v/>
      </c>
      <c r="I559">
        <f>IF($G559="","",IFERROR(VLOOKUP(Sync!$X556,OpTbl,3,0),""))</f>
        <v/>
      </c>
      <c r="J559">
        <f>IF(OR($G559="",Sync!$Z556=""),"",Sync!$Z556)</f>
        <v/>
      </c>
      <c r="K559">
        <f>IF(OR($G559="",Sync!$AA556=""),"",Sync!$AA556)</f>
        <v/>
      </c>
      <c r="L559">
        <f>IF($G559="",0,IF(Sync!$AB556="",0,Sync!$AB556))</f>
        <v/>
      </c>
      <c r="M559">
        <f>IF($G559="",0,IF(Sync!$AC556="",0,Sync!$AC556))</f>
        <v/>
      </c>
      <c r="N559">
        <f>IF($G559="","",IF($H559="مرجوعی خرید",-1,1)*($L559-$M559*IFERROR(VLOOKUP("P01",ParamTbl,3,0),1.5))*(1-IF($I559="خرید",IFERROR(VLOOKUP("P02",ParamTbl,3,0),1),0)/100))</f>
        <v/>
      </c>
      <c r="O559">
        <f>IF($G559="",0,IF($H559="مرجوعی خرید",-1,1)*IF(Sync!$AD556="",0,Sync!$AD556))</f>
        <v/>
      </c>
      <c r="P559">
        <f>IF(OR($G559="",Sync!$W556=""),"",Sync!$W556)</f>
        <v/>
      </c>
      <c r="Q559">
        <f>IF(OR($G559="",Sync!$AE556=""),"",Sync!$AE556)</f>
        <v/>
      </c>
      <c r="R559">
        <f>IF($G559="","",IF(Sync!$V556="","0000",IF(AND(ISNUMBER(Sync!$V556),Sync!$V556&gt;=0,Sync!$V556&lt;1),RIGHT("00"&amp;HOUR(Sync!$V556),2)&amp;RIGHT("00"&amp;MINUTE(Sync!$V556),2),IFERROR(RIGHT("00"&amp;VALUE(LEFT(Sync!$V556,FIND(":",Sync!$V556)-1)),2)&amp;RIGHT("00"&amp;VALUE(MID(Sync!$V556,FIND(":",Sync!$V556)+1,2)),2),"0000"))))</f>
        <v/>
      </c>
    </row>
    <row r="560">
      <c r="A560">
        <f>IF(Sync!$U557="","",Sync!$U557)</f>
        <v/>
      </c>
      <c r="B560">
        <f>IF($A560="","",IF(ISNUMBER($A560),IF(AND($A560&gt;=10000101,$A560&lt;=99991231),INT($A560/10000),""),IFERROR(VALUE(TRIM(LEFT($A560,FIND("/",$A560)-1))),"")))</f>
        <v/>
      </c>
      <c r="C560">
        <f>IF(OR($A560="",$B560=""),"",IF(ISNUMBER($A560),INT(MOD($A560,10000)/100),IFERROR(VALUE(TRIM(LEFT(MID($A560,FIND("/",$A560)+1,20),FIND("/",MID($A560,FIND("/",$A560)+1,20))-1))),"")))</f>
        <v/>
      </c>
      <c r="D560">
        <f>IF(OR($A560="",$B560=""),"",IF(ISNUMBER($A560),MOD($A560,100),IFERROR(VALUE(TRIM(MID(MID($A560,FIND("/",$A560)+1,20),FIND("/",MID($A560,FIND("/",$A560)+1,20))+1,20))),"")))</f>
        <v/>
      </c>
      <c r="E560">
        <f>IF($A560="","",IF(OR($B560="",$C560="",$D560="",$B560&lt;1300,$B560&gt;1500,$C560&lt;1,$C560&gt;12,$D560&lt;1,$D560&gt;31),"نامعتبر",RIGHT("0000"&amp;$B560,4)&amp;"/"&amp;RIGHT("00"&amp;$C560,2)&amp;"/"&amp;RIGHT("00"&amp;$D560,2)))</f>
        <v/>
      </c>
      <c r="F560">
        <f>IF(OR($E560="",$E560="نامعتبر"),"",LEFT($E560,4)&amp;"/"&amp;MID($E560,6,2))</f>
        <v/>
      </c>
      <c r="G560">
        <f>IF(OR($E560="",$E560="نامعتبر",Sync!$Y557=""),"",Sync!$Y557)</f>
        <v/>
      </c>
      <c r="H560">
        <f>IF($G560="","",IF(Sync!$X557="","",Sync!$X557))</f>
        <v/>
      </c>
      <c r="I560">
        <f>IF($G560="","",IFERROR(VLOOKUP(Sync!$X557,OpTbl,3,0),""))</f>
        <v/>
      </c>
      <c r="J560">
        <f>IF(OR($G560="",Sync!$Z557=""),"",Sync!$Z557)</f>
        <v/>
      </c>
      <c r="K560">
        <f>IF(OR($G560="",Sync!$AA557=""),"",Sync!$AA557)</f>
        <v/>
      </c>
      <c r="L560">
        <f>IF($G560="",0,IF(Sync!$AB557="",0,Sync!$AB557))</f>
        <v/>
      </c>
      <c r="M560">
        <f>IF($G560="",0,IF(Sync!$AC557="",0,Sync!$AC557))</f>
        <v/>
      </c>
      <c r="N560">
        <f>IF($G560="","",IF($H560="مرجوعی خرید",-1,1)*($L560-$M560*IFERROR(VLOOKUP("P01",ParamTbl,3,0),1.5))*(1-IF($I560="خرید",IFERROR(VLOOKUP("P02",ParamTbl,3,0),1),0)/100))</f>
        <v/>
      </c>
      <c r="O560">
        <f>IF($G560="",0,IF($H560="مرجوعی خرید",-1,1)*IF(Sync!$AD557="",0,Sync!$AD557))</f>
        <v/>
      </c>
      <c r="P560">
        <f>IF(OR($G560="",Sync!$W557=""),"",Sync!$W557)</f>
        <v/>
      </c>
      <c r="Q560">
        <f>IF(OR($G560="",Sync!$AE557=""),"",Sync!$AE557)</f>
        <v/>
      </c>
      <c r="R560">
        <f>IF($G560="","",IF(Sync!$V557="","0000",IF(AND(ISNUMBER(Sync!$V557),Sync!$V557&gt;=0,Sync!$V557&lt;1),RIGHT("00"&amp;HOUR(Sync!$V557),2)&amp;RIGHT("00"&amp;MINUTE(Sync!$V557),2),IFERROR(RIGHT("00"&amp;VALUE(LEFT(Sync!$V557,FIND(":",Sync!$V557)-1)),2)&amp;RIGHT("00"&amp;VALUE(MID(Sync!$V557,FIND(":",Sync!$V557)+1,2)),2),"0000"))))</f>
        <v/>
      </c>
    </row>
    <row r="561">
      <c r="A561">
        <f>IF(Sync!$U558="","",Sync!$U558)</f>
        <v/>
      </c>
      <c r="B561">
        <f>IF($A561="","",IF(ISNUMBER($A561),IF(AND($A561&gt;=10000101,$A561&lt;=99991231),INT($A561/10000),""),IFERROR(VALUE(TRIM(LEFT($A561,FIND("/",$A561)-1))),"")))</f>
        <v/>
      </c>
      <c r="C561">
        <f>IF(OR($A561="",$B561=""),"",IF(ISNUMBER($A561),INT(MOD($A561,10000)/100),IFERROR(VALUE(TRIM(LEFT(MID($A561,FIND("/",$A561)+1,20),FIND("/",MID($A561,FIND("/",$A561)+1,20))-1))),"")))</f>
        <v/>
      </c>
      <c r="D561">
        <f>IF(OR($A561="",$B561=""),"",IF(ISNUMBER($A561),MOD($A561,100),IFERROR(VALUE(TRIM(MID(MID($A561,FIND("/",$A561)+1,20),FIND("/",MID($A561,FIND("/",$A561)+1,20))+1,20))),"")))</f>
        <v/>
      </c>
      <c r="E561">
        <f>IF($A561="","",IF(OR($B561="",$C561="",$D561="",$B561&lt;1300,$B561&gt;1500,$C561&lt;1,$C561&gt;12,$D561&lt;1,$D561&gt;31),"نامعتبر",RIGHT("0000"&amp;$B561,4)&amp;"/"&amp;RIGHT("00"&amp;$C561,2)&amp;"/"&amp;RIGHT("00"&amp;$D561,2)))</f>
        <v/>
      </c>
      <c r="F561">
        <f>IF(OR($E561="",$E561="نامعتبر"),"",LEFT($E561,4)&amp;"/"&amp;MID($E561,6,2))</f>
        <v/>
      </c>
      <c r="G561">
        <f>IF(OR($E561="",$E561="نامعتبر",Sync!$Y558=""),"",Sync!$Y558)</f>
        <v/>
      </c>
      <c r="H561">
        <f>IF($G561="","",IF(Sync!$X558="","",Sync!$X558))</f>
        <v/>
      </c>
      <c r="I561">
        <f>IF($G561="","",IFERROR(VLOOKUP(Sync!$X558,OpTbl,3,0),""))</f>
        <v/>
      </c>
      <c r="J561">
        <f>IF(OR($G561="",Sync!$Z558=""),"",Sync!$Z558)</f>
        <v/>
      </c>
      <c r="K561">
        <f>IF(OR($G561="",Sync!$AA558=""),"",Sync!$AA558)</f>
        <v/>
      </c>
      <c r="L561">
        <f>IF($G561="",0,IF(Sync!$AB558="",0,Sync!$AB558))</f>
        <v/>
      </c>
      <c r="M561">
        <f>IF($G561="",0,IF(Sync!$AC558="",0,Sync!$AC558))</f>
        <v/>
      </c>
      <c r="N561">
        <f>IF($G561="","",IF($H561="مرجوعی خرید",-1,1)*($L561-$M561*IFERROR(VLOOKUP("P01",ParamTbl,3,0),1.5))*(1-IF($I561="خرید",IFERROR(VLOOKUP("P02",ParamTbl,3,0),1),0)/100))</f>
        <v/>
      </c>
      <c r="O561">
        <f>IF($G561="",0,IF($H561="مرجوعی خرید",-1,1)*IF(Sync!$AD558="",0,Sync!$AD558))</f>
        <v/>
      </c>
      <c r="P561">
        <f>IF(OR($G561="",Sync!$W558=""),"",Sync!$W558)</f>
        <v/>
      </c>
      <c r="Q561">
        <f>IF(OR($G561="",Sync!$AE558=""),"",Sync!$AE558)</f>
        <v/>
      </c>
      <c r="R561">
        <f>IF($G561="","",IF(Sync!$V558="","0000",IF(AND(ISNUMBER(Sync!$V558),Sync!$V558&gt;=0,Sync!$V558&lt;1),RIGHT("00"&amp;HOUR(Sync!$V558),2)&amp;RIGHT("00"&amp;MINUTE(Sync!$V558),2),IFERROR(RIGHT("00"&amp;VALUE(LEFT(Sync!$V558,FIND(":",Sync!$V558)-1)),2)&amp;RIGHT("00"&amp;VALUE(MID(Sync!$V558,FIND(":",Sync!$V558)+1,2)),2),"0000"))))</f>
        <v/>
      </c>
    </row>
    <row r="562">
      <c r="A562">
        <f>IF(Sync!$U559="","",Sync!$U559)</f>
        <v/>
      </c>
      <c r="B562">
        <f>IF($A562="","",IF(ISNUMBER($A562),IF(AND($A562&gt;=10000101,$A562&lt;=99991231),INT($A562/10000),""),IFERROR(VALUE(TRIM(LEFT($A562,FIND("/",$A562)-1))),"")))</f>
        <v/>
      </c>
      <c r="C562">
        <f>IF(OR($A562="",$B562=""),"",IF(ISNUMBER($A562),INT(MOD($A562,10000)/100),IFERROR(VALUE(TRIM(LEFT(MID($A562,FIND("/",$A562)+1,20),FIND("/",MID($A562,FIND("/",$A562)+1,20))-1))),"")))</f>
        <v/>
      </c>
      <c r="D562">
        <f>IF(OR($A562="",$B562=""),"",IF(ISNUMBER($A562),MOD($A562,100),IFERROR(VALUE(TRIM(MID(MID($A562,FIND("/",$A562)+1,20),FIND("/",MID($A562,FIND("/",$A562)+1,20))+1,20))),"")))</f>
        <v/>
      </c>
      <c r="E562">
        <f>IF($A562="","",IF(OR($B562="",$C562="",$D562="",$B562&lt;1300,$B562&gt;1500,$C562&lt;1,$C562&gt;12,$D562&lt;1,$D562&gt;31),"نامعتبر",RIGHT("0000"&amp;$B562,4)&amp;"/"&amp;RIGHT("00"&amp;$C562,2)&amp;"/"&amp;RIGHT("00"&amp;$D562,2)))</f>
        <v/>
      </c>
      <c r="F562">
        <f>IF(OR($E562="",$E562="نامعتبر"),"",LEFT($E562,4)&amp;"/"&amp;MID($E562,6,2))</f>
        <v/>
      </c>
      <c r="G562">
        <f>IF(OR($E562="",$E562="نامعتبر",Sync!$Y559=""),"",Sync!$Y559)</f>
        <v/>
      </c>
      <c r="H562">
        <f>IF($G562="","",IF(Sync!$X559="","",Sync!$X559))</f>
        <v/>
      </c>
      <c r="I562">
        <f>IF($G562="","",IFERROR(VLOOKUP(Sync!$X559,OpTbl,3,0),""))</f>
        <v/>
      </c>
      <c r="J562">
        <f>IF(OR($G562="",Sync!$Z559=""),"",Sync!$Z559)</f>
        <v/>
      </c>
      <c r="K562">
        <f>IF(OR($G562="",Sync!$AA559=""),"",Sync!$AA559)</f>
        <v/>
      </c>
      <c r="L562">
        <f>IF($G562="",0,IF(Sync!$AB559="",0,Sync!$AB559))</f>
        <v/>
      </c>
      <c r="M562">
        <f>IF($G562="",0,IF(Sync!$AC559="",0,Sync!$AC559))</f>
        <v/>
      </c>
      <c r="N562">
        <f>IF($G562="","",IF($H562="مرجوعی خرید",-1,1)*($L562-$M562*IFERROR(VLOOKUP("P01",ParamTbl,3,0),1.5))*(1-IF($I562="خرید",IFERROR(VLOOKUP("P02",ParamTbl,3,0),1),0)/100))</f>
        <v/>
      </c>
      <c r="O562">
        <f>IF($G562="",0,IF($H562="مرجوعی خرید",-1,1)*IF(Sync!$AD559="",0,Sync!$AD559))</f>
        <v/>
      </c>
      <c r="P562">
        <f>IF(OR($G562="",Sync!$W559=""),"",Sync!$W559)</f>
        <v/>
      </c>
      <c r="Q562">
        <f>IF(OR($G562="",Sync!$AE559=""),"",Sync!$AE559)</f>
        <v/>
      </c>
      <c r="R562">
        <f>IF($G562="","",IF(Sync!$V559="","0000",IF(AND(ISNUMBER(Sync!$V559),Sync!$V559&gt;=0,Sync!$V559&lt;1),RIGHT("00"&amp;HOUR(Sync!$V559),2)&amp;RIGHT("00"&amp;MINUTE(Sync!$V559),2),IFERROR(RIGHT("00"&amp;VALUE(LEFT(Sync!$V559,FIND(":",Sync!$V559)-1)),2)&amp;RIGHT("00"&amp;VALUE(MID(Sync!$V559,FIND(":",Sync!$V559)+1,2)),2),"0000"))))</f>
        <v/>
      </c>
    </row>
    <row r="563">
      <c r="A563">
        <f>IF(Sync!$U560="","",Sync!$U560)</f>
        <v/>
      </c>
      <c r="B563">
        <f>IF($A563="","",IF(ISNUMBER($A563),IF(AND($A563&gt;=10000101,$A563&lt;=99991231),INT($A563/10000),""),IFERROR(VALUE(TRIM(LEFT($A563,FIND("/",$A563)-1))),"")))</f>
        <v/>
      </c>
      <c r="C563">
        <f>IF(OR($A563="",$B563=""),"",IF(ISNUMBER($A563),INT(MOD($A563,10000)/100),IFERROR(VALUE(TRIM(LEFT(MID($A563,FIND("/",$A563)+1,20),FIND("/",MID($A563,FIND("/",$A563)+1,20))-1))),"")))</f>
        <v/>
      </c>
      <c r="D563">
        <f>IF(OR($A563="",$B563=""),"",IF(ISNUMBER($A563),MOD($A563,100),IFERROR(VALUE(TRIM(MID(MID($A563,FIND("/",$A563)+1,20),FIND("/",MID($A563,FIND("/",$A563)+1,20))+1,20))),"")))</f>
        <v/>
      </c>
      <c r="E563">
        <f>IF($A563="","",IF(OR($B563="",$C563="",$D563="",$B563&lt;1300,$B563&gt;1500,$C563&lt;1,$C563&gt;12,$D563&lt;1,$D563&gt;31),"نامعتبر",RIGHT("0000"&amp;$B563,4)&amp;"/"&amp;RIGHT("00"&amp;$C563,2)&amp;"/"&amp;RIGHT("00"&amp;$D563,2)))</f>
        <v/>
      </c>
      <c r="F563">
        <f>IF(OR($E563="",$E563="نامعتبر"),"",LEFT($E563,4)&amp;"/"&amp;MID($E563,6,2))</f>
        <v/>
      </c>
      <c r="G563">
        <f>IF(OR($E563="",$E563="نامعتبر",Sync!$Y560=""),"",Sync!$Y560)</f>
        <v/>
      </c>
      <c r="H563">
        <f>IF($G563="","",IF(Sync!$X560="","",Sync!$X560))</f>
        <v/>
      </c>
      <c r="I563">
        <f>IF($G563="","",IFERROR(VLOOKUP(Sync!$X560,OpTbl,3,0),""))</f>
        <v/>
      </c>
      <c r="J563">
        <f>IF(OR($G563="",Sync!$Z560=""),"",Sync!$Z560)</f>
        <v/>
      </c>
      <c r="K563">
        <f>IF(OR($G563="",Sync!$AA560=""),"",Sync!$AA560)</f>
        <v/>
      </c>
      <c r="L563">
        <f>IF($G563="",0,IF(Sync!$AB560="",0,Sync!$AB560))</f>
        <v/>
      </c>
      <c r="M563">
        <f>IF($G563="",0,IF(Sync!$AC560="",0,Sync!$AC560))</f>
        <v/>
      </c>
      <c r="N563">
        <f>IF($G563="","",IF($H563="مرجوعی خرید",-1,1)*($L563-$M563*IFERROR(VLOOKUP("P01",ParamTbl,3,0),1.5))*(1-IF($I563="خرید",IFERROR(VLOOKUP("P02",ParamTbl,3,0),1),0)/100))</f>
        <v/>
      </c>
      <c r="O563">
        <f>IF($G563="",0,IF($H563="مرجوعی خرید",-1,1)*IF(Sync!$AD560="",0,Sync!$AD560))</f>
        <v/>
      </c>
      <c r="P563">
        <f>IF(OR($G563="",Sync!$W560=""),"",Sync!$W560)</f>
        <v/>
      </c>
      <c r="Q563">
        <f>IF(OR($G563="",Sync!$AE560=""),"",Sync!$AE560)</f>
        <v/>
      </c>
      <c r="R563">
        <f>IF($G563="","",IF(Sync!$V560="","0000",IF(AND(ISNUMBER(Sync!$V560),Sync!$V560&gt;=0,Sync!$V560&lt;1),RIGHT("00"&amp;HOUR(Sync!$V560),2)&amp;RIGHT("00"&amp;MINUTE(Sync!$V560),2),IFERROR(RIGHT("00"&amp;VALUE(LEFT(Sync!$V560,FIND(":",Sync!$V560)-1)),2)&amp;RIGHT("00"&amp;VALUE(MID(Sync!$V560,FIND(":",Sync!$V560)+1,2)),2),"0000"))))</f>
        <v/>
      </c>
    </row>
    <row r="564">
      <c r="A564">
        <f>IF(Sync!$U561="","",Sync!$U561)</f>
        <v/>
      </c>
      <c r="B564">
        <f>IF($A564="","",IF(ISNUMBER($A564),IF(AND($A564&gt;=10000101,$A564&lt;=99991231),INT($A564/10000),""),IFERROR(VALUE(TRIM(LEFT($A564,FIND("/",$A564)-1))),"")))</f>
        <v/>
      </c>
      <c r="C564">
        <f>IF(OR($A564="",$B564=""),"",IF(ISNUMBER($A564),INT(MOD($A564,10000)/100),IFERROR(VALUE(TRIM(LEFT(MID($A564,FIND("/",$A564)+1,20),FIND("/",MID($A564,FIND("/",$A564)+1,20))-1))),"")))</f>
        <v/>
      </c>
      <c r="D564">
        <f>IF(OR($A564="",$B564=""),"",IF(ISNUMBER($A564),MOD($A564,100),IFERROR(VALUE(TRIM(MID(MID($A564,FIND("/",$A564)+1,20),FIND("/",MID($A564,FIND("/",$A564)+1,20))+1,20))),"")))</f>
        <v/>
      </c>
      <c r="E564">
        <f>IF($A564="","",IF(OR($B564="",$C564="",$D564="",$B564&lt;1300,$B564&gt;1500,$C564&lt;1,$C564&gt;12,$D564&lt;1,$D564&gt;31),"نامعتبر",RIGHT("0000"&amp;$B564,4)&amp;"/"&amp;RIGHT("00"&amp;$C564,2)&amp;"/"&amp;RIGHT("00"&amp;$D564,2)))</f>
        <v/>
      </c>
      <c r="F564">
        <f>IF(OR($E564="",$E564="نامعتبر"),"",LEFT($E564,4)&amp;"/"&amp;MID($E564,6,2))</f>
        <v/>
      </c>
      <c r="G564">
        <f>IF(OR($E564="",$E564="نامعتبر",Sync!$Y561=""),"",Sync!$Y561)</f>
        <v/>
      </c>
      <c r="H564">
        <f>IF($G564="","",IF(Sync!$X561="","",Sync!$X561))</f>
        <v/>
      </c>
      <c r="I564">
        <f>IF($G564="","",IFERROR(VLOOKUP(Sync!$X561,OpTbl,3,0),""))</f>
        <v/>
      </c>
      <c r="J564">
        <f>IF(OR($G564="",Sync!$Z561=""),"",Sync!$Z561)</f>
        <v/>
      </c>
      <c r="K564">
        <f>IF(OR($G564="",Sync!$AA561=""),"",Sync!$AA561)</f>
        <v/>
      </c>
      <c r="L564">
        <f>IF($G564="",0,IF(Sync!$AB561="",0,Sync!$AB561))</f>
        <v/>
      </c>
      <c r="M564">
        <f>IF($G564="",0,IF(Sync!$AC561="",0,Sync!$AC561))</f>
        <v/>
      </c>
      <c r="N564">
        <f>IF($G564="","",IF($H564="مرجوعی خرید",-1,1)*($L564-$M564*IFERROR(VLOOKUP("P01",ParamTbl,3,0),1.5))*(1-IF($I564="خرید",IFERROR(VLOOKUP("P02",ParamTbl,3,0),1),0)/100))</f>
        <v/>
      </c>
      <c r="O564">
        <f>IF($G564="",0,IF($H564="مرجوعی خرید",-1,1)*IF(Sync!$AD561="",0,Sync!$AD561))</f>
        <v/>
      </c>
      <c r="P564">
        <f>IF(OR($G564="",Sync!$W561=""),"",Sync!$W561)</f>
        <v/>
      </c>
      <c r="Q564">
        <f>IF(OR($G564="",Sync!$AE561=""),"",Sync!$AE561)</f>
        <v/>
      </c>
      <c r="R564">
        <f>IF($G564="","",IF(Sync!$V561="","0000",IF(AND(ISNUMBER(Sync!$V561),Sync!$V561&gt;=0,Sync!$V561&lt;1),RIGHT("00"&amp;HOUR(Sync!$V561),2)&amp;RIGHT("00"&amp;MINUTE(Sync!$V561),2),IFERROR(RIGHT("00"&amp;VALUE(LEFT(Sync!$V561,FIND(":",Sync!$V561)-1)),2)&amp;RIGHT("00"&amp;VALUE(MID(Sync!$V561,FIND(":",Sync!$V561)+1,2)),2),"0000"))))</f>
        <v/>
      </c>
    </row>
    <row r="565">
      <c r="A565">
        <f>IF(Sync!$U562="","",Sync!$U562)</f>
        <v/>
      </c>
      <c r="B565">
        <f>IF($A565="","",IF(ISNUMBER($A565),IF(AND($A565&gt;=10000101,$A565&lt;=99991231),INT($A565/10000),""),IFERROR(VALUE(TRIM(LEFT($A565,FIND("/",$A565)-1))),"")))</f>
        <v/>
      </c>
      <c r="C565">
        <f>IF(OR($A565="",$B565=""),"",IF(ISNUMBER($A565),INT(MOD($A565,10000)/100),IFERROR(VALUE(TRIM(LEFT(MID($A565,FIND("/",$A565)+1,20),FIND("/",MID($A565,FIND("/",$A565)+1,20))-1))),"")))</f>
        <v/>
      </c>
      <c r="D565">
        <f>IF(OR($A565="",$B565=""),"",IF(ISNUMBER($A565),MOD($A565,100),IFERROR(VALUE(TRIM(MID(MID($A565,FIND("/",$A565)+1,20),FIND("/",MID($A565,FIND("/",$A565)+1,20))+1,20))),"")))</f>
        <v/>
      </c>
      <c r="E565">
        <f>IF($A565="","",IF(OR($B565="",$C565="",$D565="",$B565&lt;1300,$B565&gt;1500,$C565&lt;1,$C565&gt;12,$D565&lt;1,$D565&gt;31),"نامعتبر",RIGHT("0000"&amp;$B565,4)&amp;"/"&amp;RIGHT("00"&amp;$C565,2)&amp;"/"&amp;RIGHT("00"&amp;$D565,2)))</f>
        <v/>
      </c>
      <c r="F565">
        <f>IF(OR($E565="",$E565="نامعتبر"),"",LEFT($E565,4)&amp;"/"&amp;MID($E565,6,2))</f>
        <v/>
      </c>
      <c r="G565">
        <f>IF(OR($E565="",$E565="نامعتبر",Sync!$Y562=""),"",Sync!$Y562)</f>
        <v/>
      </c>
      <c r="H565">
        <f>IF($G565="","",IF(Sync!$X562="","",Sync!$X562))</f>
        <v/>
      </c>
      <c r="I565">
        <f>IF($G565="","",IFERROR(VLOOKUP(Sync!$X562,OpTbl,3,0),""))</f>
        <v/>
      </c>
      <c r="J565">
        <f>IF(OR($G565="",Sync!$Z562=""),"",Sync!$Z562)</f>
        <v/>
      </c>
      <c r="K565">
        <f>IF(OR($G565="",Sync!$AA562=""),"",Sync!$AA562)</f>
        <v/>
      </c>
      <c r="L565">
        <f>IF($G565="",0,IF(Sync!$AB562="",0,Sync!$AB562))</f>
        <v/>
      </c>
      <c r="M565">
        <f>IF($G565="",0,IF(Sync!$AC562="",0,Sync!$AC562))</f>
        <v/>
      </c>
      <c r="N565">
        <f>IF($G565="","",IF($H565="مرجوعی خرید",-1,1)*($L565-$M565*IFERROR(VLOOKUP("P01",ParamTbl,3,0),1.5))*(1-IF($I565="خرید",IFERROR(VLOOKUP("P02",ParamTbl,3,0),1),0)/100))</f>
        <v/>
      </c>
      <c r="O565">
        <f>IF($G565="",0,IF($H565="مرجوعی خرید",-1,1)*IF(Sync!$AD562="",0,Sync!$AD562))</f>
        <v/>
      </c>
      <c r="P565">
        <f>IF(OR($G565="",Sync!$W562=""),"",Sync!$W562)</f>
        <v/>
      </c>
      <c r="Q565">
        <f>IF(OR($G565="",Sync!$AE562=""),"",Sync!$AE562)</f>
        <v/>
      </c>
      <c r="R565">
        <f>IF($G565="","",IF(Sync!$V562="","0000",IF(AND(ISNUMBER(Sync!$V562),Sync!$V562&gt;=0,Sync!$V562&lt;1),RIGHT("00"&amp;HOUR(Sync!$V562),2)&amp;RIGHT("00"&amp;MINUTE(Sync!$V562),2),IFERROR(RIGHT("00"&amp;VALUE(LEFT(Sync!$V562,FIND(":",Sync!$V562)-1)),2)&amp;RIGHT("00"&amp;VALUE(MID(Sync!$V562,FIND(":",Sync!$V562)+1,2)),2),"0000"))))</f>
        <v/>
      </c>
    </row>
    <row r="566">
      <c r="A566">
        <f>IF(Sync!$U563="","",Sync!$U563)</f>
        <v/>
      </c>
      <c r="B566">
        <f>IF($A566="","",IF(ISNUMBER($A566),IF(AND($A566&gt;=10000101,$A566&lt;=99991231),INT($A566/10000),""),IFERROR(VALUE(TRIM(LEFT($A566,FIND("/",$A566)-1))),"")))</f>
        <v/>
      </c>
      <c r="C566">
        <f>IF(OR($A566="",$B566=""),"",IF(ISNUMBER($A566),INT(MOD($A566,10000)/100),IFERROR(VALUE(TRIM(LEFT(MID($A566,FIND("/",$A566)+1,20),FIND("/",MID($A566,FIND("/",$A566)+1,20))-1))),"")))</f>
        <v/>
      </c>
      <c r="D566">
        <f>IF(OR($A566="",$B566=""),"",IF(ISNUMBER($A566),MOD($A566,100),IFERROR(VALUE(TRIM(MID(MID($A566,FIND("/",$A566)+1,20),FIND("/",MID($A566,FIND("/",$A566)+1,20))+1,20))),"")))</f>
        <v/>
      </c>
      <c r="E566">
        <f>IF($A566="","",IF(OR($B566="",$C566="",$D566="",$B566&lt;1300,$B566&gt;1500,$C566&lt;1,$C566&gt;12,$D566&lt;1,$D566&gt;31),"نامعتبر",RIGHT("0000"&amp;$B566,4)&amp;"/"&amp;RIGHT("00"&amp;$C566,2)&amp;"/"&amp;RIGHT("00"&amp;$D566,2)))</f>
        <v/>
      </c>
      <c r="F566">
        <f>IF(OR($E566="",$E566="نامعتبر"),"",LEFT($E566,4)&amp;"/"&amp;MID($E566,6,2))</f>
        <v/>
      </c>
      <c r="G566">
        <f>IF(OR($E566="",$E566="نامعتبر",Sync!$Y563=""),"",Sync!$Y563)</f>
        <v/>
      </c>
      <c r="H566">
        <f>IF($G566="","",IF(Sync!$X563="","",Sync!$X563))</f>
        <v/>
      </c>
      <c r="I566">
        <f>IF($G566="","",IFERROR(VLOOKUP(Sync!$X563,OpTbl,3,0),""))</f>
        <v/>
      </c>
      <c r="J566">
        <f>IF(OR($G566="",Sync!$Z563=""),"",Sync!$Z563)</f>
        <v/>
      </c>
      <c r="K566">
        <f>IF(OR($G566="",Sync!$AA563=""),"",Sync!$AA563)</f>
        <v/>
      </c>
      <c r="L566">
        <f>IF($G566="",0,IF(Sync!$AB563="",0,Sync!$AB563))</f>
        <v/>
      </c>
      <c r="M566">
        <f>IF($G566="",0,IF(Sync!$AC563="",0,Sync!$AC563))</f>
        <v/>
      </c>
      <c r="N566">
        <f>IF($G566="","",IF($H566="مرجوعی خرید",-1,1)*($L566-$M566*IFERROR(VLOOKUP("P01",ParamTbl,3,0),1.5))*(1-IF($I566="خرید",IFERROR(VLOOKUP("P02",ParamTbl,3,0),1),0)/100))</f>
        <v/>
      </c>
      <c r="O566">
        <f>IF($G566="",0,IF($H566="مرجوعی خرید",-1,1)*IF(Sync!$AD563="",0,Sync!$AD563))</f>
        <v/>
      </c>
      <c r="P566">
        <f>IF(OR($G566="",Sync!$W563=""),"",Sync!$W563)</f>
        <v/>
      </c>
      <c r="Q566">
        <f>IF(OR($G566="",Sync!$AE563=""),"",Sync!$AE563)</f>
        <v/>
      </c>
      <c r="R566">
        <f>IF($G566="","",IF(Sync!$V563="","0000",IF(AND(ISNUMBER(Sync!$V563),Sync!$V563&gt;=0,Sync!$V563&lt;1),RIGHT("00"&amp;HOUR(Sync!$V563),2)&amp;RIGHT("00"&amp;MINUTE(Sync!$V563),2),IFERROR(RIGHT("00"&amp;VALUE(LEFT(Sync!$V563,FIND(":",Sync!$V563)-1)),2)&amp;RIGHT("00"&amp;VALUE(MID(Sync!$V563,FIND(":",Sync!$V563)+1,2)),2),"0000"))))</f>
        <v/>
      </c>
    </row>
    <row r="567">
      <c r="A567">
        <f>IF(Sync!$U564="","",Sync!$U564)</f>
        <v/>
      </c>
      <c r="B567">
        <f>IF($A567="","",IF(ISNUMBER($A567),IF(AND($A567&gt;=10000101,$A567&lt;=99991231),INT($A567/10000),""),IFERROR(VALUE(TRIM(LEFT($A567,FIND("/",$A567)-1))),"")))</f>
        <v/>
      </c>
      <c r="C567">
        <f>IF(OR($A567="",$B567=""),"",IF(ISNUMBER($A567),INT(MOD($A567,10000)/100),IFERROR(VALUE(TRIM(LEFT(MID($A567,FIND("/",$A567)+1,20),FIND("/",MID($A567,FIND("/",$A567)+1,20))-1))),"")))</f>
        <v/>
      </c>
      <c r="D567">
        <f>IF(OR($A567="",$B567=""),"",IF(ISNUMBER($A567),MOD($A567,100),IFERROR(VALUE(TRIM(MID(MID($A567,FIND("/",$A567)+1,20),FIND("/",MID($A567,FIND("/",$A567)+1,20))+1,20))),"")))</f>
        <v/>
      </c>
      <c r="E567">
        <f>IF($A567="","",IF(OR($B567="",$C567="",$D567="",$B567&lt;1300,$B567&gt;1500,$C567&lt;1,$C567&gt;12,$D567&lt;1,$D567&gt;31),"نامعتبر",RIGHT("0000"&amp;$B567,4)&amp;"/"&amp;RIGHT("00"&amp;$C567,2)&amp;"/"&amp;RIGHT("00"&amp;$D567,2)))</f>
        <v/>
      </c>
      <c r="F567">
        <f>IF(OR($E567="",$E567="نامعتبر"),"",LEFT($E567,4)&amp;"/"&amp;MID($E567,6,2))</f>
        <v/>
      </c>
      <c r="G567">
        <f>IF(OR($E567="",$E567="نامعتبر",Sync!$Y564=""),"",Sync!$Y564)</f>
        <v/>
      </c>
      <c r="H567">
        <f>IF($G567="","",IF(Sync!$X564="","",Sync!$X564))</f>
        <v/>
      </c>
      <c r="I567">
        <f>IF($G567="","",IFERROR(VLOOKUP(Sync!$X564,OpTbl,3,0),""))</f>
        <v/>
      </c>
      <c r="J567">
        <f>IF(OR($G567="",Sync!$Z564=""),"",Sync!$Z564)</f>
        <v/>
      </c>
      <c r="K567">
        <f>IF(OR($G567="",Sync!$AA564=""),"",Sync!$AA564)</f>
        <v/>
      </c>
      <c r="L567">
        <f>IF($G567="",0,IF(Sync!$AB564="",0,Sync!$AB564))</f>
        <v/>
      </c>
      <c r="M567">
        <f>IF($G567="",0,IF(Sync!$AC564="",0,Sync!$AC564))</f>
        <v/>
      </c>
      <c r="N567">
        <f>IF($G567="","",IF($H567="مرجوعی خرید",-1,1)*($L567-$M567*IFERROR(VLOOKUP("P01",ParamTbl,3,0),1.5))*(1-IF($I567="خرید",IFERROR(VLOOKUP("P02",ParamTbl,3,0),1),0)/100))</f>
        <v/>
      </c>
      <c r="O567">
        <f>IF($G567="",0,IF($H567="مرجوعی خرید",-1,1)*IF(Sync!$AD564="",0,Sync!$AD564))</f>
        <v/>
      </c>
      <c r="P567">
        <f>IF(OR($G567="",Sync!$W564=""),"",Sync!$W564)</f>
        <v/>
      </c>
      <c r="Q567">
        <f>IF(OR($G567="",Sync!$AE564=""),"",Sync!$AE564)</f>
        <v/>
      </c>
      <c r="R567">
        <f>IF($G567="","",IF(Sync!$V564="","0000",IF(AND(ISNUMBER(Sync!$V564),Sync!$V564&gt;=0,Sync!$V564&lt;1),RIGHT("00"&amp;HOUR(Sync!$V564),2)&amp;RIGHT("00"&amp;MINUTE(Sync!$V564),2),IFERROR(RIGHT("00"&amp;VALUE(LEFT(Sync!$V564,FIND(":",Sync!$V564)-1)),2)&amp;RIGHT("00"&amp;VALUE(MID(Sync!$V564,FIND(":",Sync!$V564)+1,2)),2),"0000"))))</f>
        <v/>
      </c>
    </row>
    <row r="568">
      <c r="A568">
        <f>IF(Sync!$U565="","",Sync!$U565)</f>
        <v/>
      </c>
      <c r="B568">
        <f>IF($A568="","",IF(ISNUMBER($A568),IF(AND($A568&gt;=10000101,$A568&lt;=99991231),INT($A568/10000),""),IFERROR(VALUE(TRIM(LEFT($A568,FIND("/",$A568)-1))),"")))</f>
        <v/>
      </c>
      <c r="C568">
        <f>IF(OR($A568="",$B568=""),"",IF(ISNUMBER($A568),INT(MOD($A568,10000)/100),IFERROR(VALUE(TRIM(LEFT(MID($A568,FIND("/",$A568)+1,20),FIND("/",MID($A568,FIND("/",$A568)+1,20))-1))),"")))</f>
        <v/>
      </c>
      <c r="D568">
        <f>IF(OR($A568="",$B568=""),"",IF(ISNUMBER($A568),MOD($A568,100),IFERROR(VALUE(TRIM(MID(MID($A568,FIND("/",$A568)+1,20),FIND("/",MID($A568,FIND("/",$A568)+1,20))+1,20))),"")))</f>
        <v/>
      </c>
      <c r="E568">
        <f>IF($A568="","",IF(OR($B568="",$C568="",$D568="",$B568&lt;1300,$B568&gt;1500,$C568&lt;1,$C568&gt;12,$D568&lt;1,$D568&gt;31),"نامعتبر",RIGHT("0000"&amp;$B568,4)&amp;"/"&amp;RIGHT("00"&amp;$C568,2)&amp;"/"&amp;RIGHT("00"&amp;$D568,2)))</f>
        <v/>
      </c>
      <c r="F568">
        <f>IF(OR($E568="",$E568="نامعتبر"),"",LEFT($E568,4)&amp;"/"&amp;MID($E568,6,2))</f>
        <v/>
      </c>
      <c r="G568">
        <f>IF(OR($E568="",$E568="نامعتبر",Sync!$Y565=""),"",Sync!$Y565)</f>
        <v/>
      </c>
      <c r="H568">
        <f>IF($G568="","",IF(Sync!$X565="","",Sync!$X565))</f>
        <v/>
      </c>
      <c r="I568">
        <f>IF($G568="","",IFERROR(VLOOKUP(Sync!$X565,OpTbl,3,0),""))</f>
        <v/>
      </c>
      <c r="J568">
        <f>IF(OR($G568="",Sync!$Z565=""),"",Sync!$Z565)</f>
        <v/>
      </c>
      <c r="K568">
        <f>IF(OR($G568="",Sync!$AA565=""),"",Sync!$AA565)</f>
        <v/>
      </c>
      <c r="L568">
        <f>IF($G568="",0,IF(Sync!$AB565="",0,Sync!$AB565))</f>
        <v/>
      </c>
      <c r="M568">
        <f>IF($G568="",0,IF(Sync!$AC565="",0,Sync!$AC565))</f>
        <v/>
      </c>
      <c r="N568">
        <f>IF($G568="","",IF($H568="مرجوعی خرید",-1,1)*($L568-$M568*IFERROR(VLOOKUP("P01",ParamTbl,3,0),1.5))*(1-IF($I568="خرید",IFERROR(VLOOKUP("P02",ParamTbl,3,0),1),0)/100))</f>
        <v/>
      </c>
      <c r="O568">
        <f>IF($G568="",0,IF($H568="مرجوعی خرید",-1,1)*IF(Sync!$AD565="",0,Sync!$AD565))</f>
        <v/>
      </c>
      <c r="P568">
        <f>IF(OR($G568="",Sync!$W565=""),"",Sync!$W565)</f>
        <v/>
      </c>
      <c r="Q568">
        <f>IF(OR($G568="",Sync!$AE565=""),"",Sync!$AE565)</f>
        <v/>
      </c>
      <c r="R568">
        <f>IF($G568="","",IF(Sync!$V565="","0000",IF(AND(ISNUMBER(Sync!$V565),Sync!$V565&gt;=0,Sync!$V565&lt;1),RIGHT("00"&amp;HOUR(Sync!$V565),2)&amp;RIGHT("00"&amp;MINUTE(Sync!$V565),2),IFERROR(RIGHT("00"&amp;VALUE(LEFT(Sync!$V565,FIND(":",Sync!$V565)-1)),2)&amp;RIGHT("00"&amp;VALUE(MID(Sync!$V565,FIND(":",Sync!$V565)+1,2)),2),"0000"))))</f>
        <v/>
      </c>
    </row>
    <row r="569">
      <c r="A569">
        <f>IF(Sync!$U566="","",Sync!$U566)</f>
        <v/>
      </c>
      <c r="B569">
        <f>IF($A569="","",IF(ISNUMBER($A569),IF(AND($A569&gt;=10000101,$A569&lt;=99991231),INT($A569/10000),""),IFERROR(VALUE(TRIM(LEFT($A569,FIND("/",$A569)-1))),"")))</f>
        <v/>
      </c>
      <c r="C569">
        <f>IF(OR($A569="",$B569=""),"",IF(ISNUMBER($A569),INT(MOD($A569,10000)/100),IFERROR(VALUE(TRIM(LEFT(MID($A569,FIND("/",$A569)+1,20),FIND("/",MID($A569,FIND("/",$A569)+1,20))-1))),"")))</f>
        <v/>
      </c>
      <c r="D569">
        <f>IF(OR($A569="",$B569=""),"",IF(ISNUMBER($A569),MOD($A569,100),IFERROR(VALUE(TRIM(MID(MID($A569,FIND("/",$A569)+1,20),FIND("/",MID($A569,FIND("/",$A569)+1,20))+1,20))),"")))</f>
        <v/>
      </c>
      <c r="E569">
        <f>IF($A569="","",IF(OR($B569="",$C569="",$D569="",$B569&lt;1300,$B569&gt;1500,$C569&lt;1,$C569&gt;12,$D569&lt;1,$D569&gt;31),"نامعتبر",RIGHT("0000"&amp;$B569,4)&amp;"/"&amp;RIGHT("00"&amp;$C569,2)&amp;"/"&amp;RIGHT("00"&amp;$D569,2)))</f>
        <v/>
      </c>
      <c r="F569">
        <f>IF(OR($E569="",$E569="نامعتبر"),"",LEFT($E569,4)&amp;"/"&amp;MID($E569,6,2))</f>
        <v/>
      </c>
      <c r="G569">
        <f>IF(OR($E569="",$E569="نامعتبر",Sync!$Y566=""),"",Sync!$Y566)</f>
        <v/>
      </c>
      <c r="H569">
        <f>IF($G569="","",IF(Sync!$X566="","",Sync!$X566))</f>
        <v/>
      </c>
      <c r="I569">
        <f>IF($G569="","",IFERROR(VLOOKUP(Sync!$X566,OpTbl,3,0),""))</f>
        <v/>
      </c>
      <c r="J569">
        <f>IF(OR($G569="",Sync!$Z566=""),"",Sync!$Z566)</f>
        <v/>
      </c>
      <c r="K569">
        <f>IF(OR($G569="",Sync!$AA566=""),"",Sync!$AA566)</f>
        <v/>
      </c>
      <c r="L569">
        <f>IF($G569="",0,IF(Sync!$AB566="",0,Sync!$AB566))</f>
        <v/>
      </c>
      <c r="M569">
        <f>IF($G569="",0,IF(Sync!$AC566="",0,Sync!$AC566))</f>
        <v/>
      </c>
      <c r="N569">
        <f>IF($G569="","",IF($H569="مرجوعی خرید",-1,1)*($L569-$M569*IFERROR(VLOOKUP("P01",ParamTbl,3,0),1.5))*(1-IF($I569="خرید",IFERROR(VLOOKUP("P02",ParamTbl,3,0),1),0)/100))</f>
        <v/>
      </c>
      <c r="O569">
        <f>IF($G569="",0,IF($H569="مرجوعی خرید",-1,1)*IF(Sync!$AD566="",0,Sync!$AD566))</f>
        <v/>
      </c>
      <c r="P569">
        <f>IF(OR($G569="",Sync!$W566=""),"",Sync!$W566)</f>
        <v/>
      </c>
      <c r="Q569">
        <f>IF(OR($G569="",Sync!$AE566=""),"",Sync!$AE566)</f>
        <v/>
      </c>
      <c r="R569">
        <f>IF($G569="","",IF(Sync!$V566="","0000",IF(AND(ISNUMBER(Sync!$V566),Sync!$V566&gt;=0,Sync!$V566&lt;1),RIGHT("00"&amp;HOUR(Sync!$V566),2)&amp;RIGHT("00"&amp;MINUTE(Sync!$V566),2),IFERROR(RIGHT("00"&amp;VALUE(LEFT(Sync!$V566,FIND(":",Sync!$V566)-1)),2)&amp;RIGHT("00"&amp;VALUE(MID(Sync!$V566,FIND(":",Sync!$V566)+1,2)),2),"0000"))))</f>
        <v/>
      </c>
    </row>
    <row r="570">
      <c r="A570">
        <f>IF(Sync!$U567="","",Sync!$U567)</f>
        <v/>
      </c>
      <c r="B570">
        <f>IF($A570="","",IF(ISNUMBER($A570),IF(AND($A570&gt;=10000101,$A570&lt;=99991231),INT($A570/10000),""),IFERROR(VALUE(TRIM(LEFT($A570,FIND("/",$A570)-1))),"")))</f>
        <v/>
      </c>
      <c r="C570">
        <f>IF(OR($A570="",$B570=""),"",IF(ISNUMBER($A570),INT(MOD($A570,10000)/100),IFERROR(VALUE(TRIM(LEFT(MID($A570,FIND("/",$A570)+1,20),FIND("/",MID($A570,FIND("/",$A570)+1,20))-1))),"")))</f>
        <v/>
      </c>
      <c r="D570">
        <f>IF(OR($A570="",$B570=""),"",IF(ISNUMBER($A570),MOD($A570,100),IFERROR(VALUE(TRIM(MID(MID($A570,FIND("/",$A570)+1,20),FIND("/",MID($A570,FIND("/",$A570)+1,20))+1,20))),"")))</f>
        <v/>
      </c>
      <c r="E570">
        <f>IF($A570="","",IF(OR($B570="",$C570="",$D570="",$B570&lt;1300,$B570&gt;1500,$C570&lt;1,$C570&gt;12,$D570&lt;1,$D570&gt;31),"نامعتبر",RIGHT("0000"&amp;$B570,4)&amp;"/"&amp;RIGHT("00"&amp;$C570,2)&amp;"/"&amp;RIGHT("00"&amp;$D570,2)))</f>
        <v/>
      </c>
      <c r="F570">
        <f>IF(OR($E570="",$E570="نامعتبر"),"",LEFT($E570,4)&amp;"/"&amp;MID($E570,6,2))</f>
        <v/>
      </c>
      <c r="G570">
        <f>IF(OR($E570="",$E570="نامعتبر",Sync!$Y567=""),"",Sync!$Y567)</f>
        <v/>
      </c>
      <c r="H570">
        <f>IF($G570="","",IF(Sync!$X567="","",Sync!$X567))</f>
        <v/>
      </c>
      <c r="I570">
        <f>IF($G570="","",IFERROR(VLOOKUP(Sync!$X567,OpTbl,3,0),""))</f>
        <v/>
      </c>
      <c r="J570">
        <f>IF(OR($G570="",Sync!$Z567=""),"",Sync!$Z567)</f>
        <v/>
      </c>
      <c r="K570">
        <f>IF(OR($G570="",Sync!$AA567=""),"",Sync!$AA567)</f>
        <v/>
      </c>
      <c r="L570">
        <f>IF($G570="",0,IF(Sync!$AB567="",0,Sync!$AB567))</f>
        <v/>
      </c>
      <c r="M570">
        <f>IF($G570="",0,IF(Sync!$AC567="",0,Sync!$AC567))</f>
        <v/>
      </c>
      <c r="N570">
        <f>IF($G570="","",IF($H570="مرجوعی خرید",-1,1)*($L570-$M570*IFERROR(VLOOKUP("P01",ParamTbl,3,0),1.5))*(1-IF($I570="خرید",IFERROR(VLOOKUP("P02",ParamTbl,3,0),1),0)/100))</f>
        <v/>
      </c>
      <c r="O570">
        <f>IF($G570="",0,IF($H570="مرجوعی خرید",-1,1)*IF(Sync!$AD567="",0,Sync!$AD567))</f>
        <v/>
      </c>
      <c r="P570">
        <f>IF(OR($G570="",Sync!$W567=""),"",Sync!$W567)</f>
        <v/>
      </c>
      <c r="Q570">
        <f>IF(OR($G570="",Sync!$AE567=""),"",Sync!$AE567)</f>
        <v/>
      </c>
      <c r="R570">
        <f>IF($G570="","",IF(Sync!$V567="","0000",IF(AND(ISNUMBER(Sync!$V567),Sync!$V567&gt;=0,Sync!$V567&lt;1),RIGHT("00"&amp;HOUR(Sync!$V567),2)&amp;RIGHT("00"&amp;MINUTE(Sync!$V567),2),IFERROR(RIGHT("00"&amp;VALUE(LEFT(Sync!$V567,FIND(":",Sync!$V567)-1)),2)&amp;RIGHT("00"&amp;VALUE(MID(Sync!$V567,FIND(":",Sync!$V567)+1,2)),2),"0000"))))</f>
        <v/>
      </c>
    </row>
    <row r="571">
      <c r="A571">
        <f>IF(Sync!$U568="","",Sync!$U568)</f>
        <v/>
      </c>
      <c r="B571">
        <f>IF($A571="","",IF(ISNUMBER($A571),IF(AND($A571&gt;=10000101,$A571&lt;=99991231),INT($A571/10000),""),IFERROR(VALUE(TRIM(LEFT($A571,FIND("/",$A571)-1))),"")))</f>
        <v/>
      </c>
      <c r="C571">
        <f>IF(OR($A571="",$B571=""),"",IF(ISNUMBER($A571),INT(MOD($A571,10000)/100),IFERROR(VALUE(TRIM(LEFT(MID($A571,FIND("/",$A571)+1,20),FIND("/",MID($A571,FIND("/",$A571)+1,20))-1))),"")))</f>
        <v/>
      </c>
      <c r="D571">
        <f>IF(OR($A571="",$B571=""),"",IF(ISNUMBER($A571),MOD($A571,100),IFERROR(VALUE(TRIM(MID(MID($A571,FIND("/",$A571)+1,20),FIND("/",MID($A571,FIND("/",$A571)+1,20))+1,20))),"")))</f>
        <v/>
      </c>
      <c r="E571">
        <f>IF($A571="","",IF(OR($B571="",$C571="",$D571="",$B571&lt;1300,$B571&gt;1500,$C571&lt;1,$C571&gt;12,$D571&lt;1,$D571&gt;31),"نامعتبر",RIGHT("0000"&amp;$B571,4)&amp;"/"&amp;RIGHT("00"&amp;$C571,2)&amp;"/"&amp;RIGHT("00"&amp;$D571,2)))</f>
        <v/>
      </c>
      <c r="F571">
        <f>IF(OR($E571="",$E571="نامعتبر"),"",LEFT($E571,4)&amp;"/"&amp;MID($E571,6,2))</f>
        <v/>
      </c>
      <c r="G571">
        <f>IF(OR($E571="",$E571="نامعتبر",Sync!$Y568=""),"",Sync!$Y568)</f>
        <v/>
      </c>
      <c r="H571">
        <f>IF($G571="","",IF(Sync!$X568="","",Sync!$X568))</f>
        <v/>
      </c>
      <c r="I571">
        <f>IF($G571="","",IFERROR(VLOOKUP(Sync!$X568,OpTbl,3,0),""))</f>
        <v/>
      </c>
      <c r="J571">
        <f>IF(OR($G571="",Sync!$Z568=""),"",Sync!$Z568)</f>
        <v/>
      </c>
      <c r="K571">
        <f>IF(OR($G571="",Sync!$AA568=""),"",Sync!$AA568)</f>
        <v/>
      </c>
      <c r="L571">
        <f>IF($G571="",0,IF(Sync!$AB568="",0,Sync!$AB568))</f>
        <v/>
      </c>
      <c r="M571">
        <f>IF($G571="",0,IF(Sync!$AC568="",0,Sync!$AC568))</f>
        <v/>
      </c>
      <c r="N571">
        <f>IF($G571="","",IF($H571="مرجوعی خرید",-1,1)*($L571-$M571*IFERROR(VLOOKUP("P01",ParamTbl,3,0),1.5))*(1-IF($I571="خرید",IFERROR(VLOOKUP("P02",ParamTbl,3,0),1),0)/100))</f>
        <v/>
      </c>
      <c r="O571">
        <f>IF($G571="",0,IF($H571="مرجوعی خرید",-1,1)*IF(Sync!$AD568="",0,Sync!$AD568))</f>
        <v/>
      </c>
      <c r="P571">
        <f>IF(OR($G571="",Sync!$W568=""),"",Sync!$W568)</f>
        <v/>
      </c>
      <c r="Q571">
        <f>IF(OR($G571="",Sync!$AE568=""),"",Sync!$AE568)</f>
        <v/>
      </c>
      <c r="R571">
        <f>IF($G571="","",IF(Sync!$V568="","0000",IF(AND(ISNUMBER(Sync!$V568),Sync!$V568&gt;=0,Sync!$V568&lt;1),RIGHT("00"&amp;HOUR(Sync!$V568),2)&amp;RIGHT("00"&amp;MINUTE(Sync!$V568),2),IFERROR(RIGHT("00"&amp;VALUE(LEFT(Sync!$V568,FIND(":",Sync!$V568)-1)),2)&amp;RIGHT("00"&amp;VALUE(MID(Sync!$V568,FIND(":",Sync!$V568)+1,2)),2),"0000"))))</f>
        <v/>
      </c>
    </row>
    <row r="572">
      <c r="A572">
        <f>IF(Sync!$U569="","",Sync!$U569)</f>
        <v/>
      </c>
      <c r="B572">
        <f>IF($A572="","",IF(ISNUMBER($A572),IF(AND($A572&gt;=10000101,$A572&lt;=99991231),INT($A572/10000),""),IFERROR(VALUE(TRIM(LEFT($A572,FIND("/",$A572)-1))),"")))</f>
        <v/>
      </c>
      <c r="C572">
        <f>IF(OR($A572="",$B572=""),"",IF(ISNUMBER($A572),INT(MOD($A572,10000)/100),IFERROR(VALUE(TRIM(LEFT(MID($A572,FIND("/",$A572)+1,20),FIND("/",MID($A572,FIND("/",$A572)+1,20))-1))),"")))</f>
        <v/>
      </c>
      <c r="D572">
        <f>IF(OR($A572="",$B572=""),"",IF(ISNUMBER($A572),MOD($A572,100),IFERROR(VALUE(TRIM(MID(MID($A572,FIND("/",$A572)+1,20),FIND("/",MID($A572,FIND("/",$A572)+1,20))+1,20))),"")))</f>
        <v/>
      </c>
      <c r="E572">
        <f>IF($A572="","",IF(OR($B572="",$C572="",$D572="",$B572&lt;1300,$B572&gt;1500,$C572&lt;1,$C572&gt;12,$D572&lt;1,$D572&gt;31),"نامعتبر",RIGHT("0000"&amp;$B572,4)&amp;"/"&amp;RIGHT("00"&amp;$C572,2)&amp;"/"&amp;RIGHT("00"&amp;$D572,2)))</f>
        <v/>
      </c>
      <c r="F572">
        <f>IF(OR($E572="",$E572="نامعتبر"),"",LEFT($E572,4)&amp;"/"&amp;MID($E572,6,2))</f>
        <v/>
      </c>
      <c r="G572">
        <f>IF(OR($E572="",$E572="نامعتبر",Sync!$Y569=""),"",Sync!$Y569)</f>
        <v/>
      </c>
      <c r="H572">
        <f>IF($G572="","",IF(Sync!$X569="","",Sync!$X569))</f>
        <v/>
      </c>
      <c r="I572">
        <f>IF($G572="","",IFERROR(VLOOKUP(Sync!$X569,OpTbl,3,0),""))</f>
        <v/>
      </c>
      <c r="J572">
        <f>IF(OR($G572="",Sync!$Z569=""),"",Sync!$Z569)</f>
        <v/>
      </c>
      <c r="K572">
        <f>IF(OR($G572="",Sync!$AA569=""),"",Sync!$AA569)</f>
        <v/>
      </c>
      <c r="L572">
        <f>IF($G572="",0,IF(Sync!$AB569="",0,Sync!$AB569))</f>
        <v/>
      </c>
      <c r="M572">
        <f>IF($G572="",0,IF(Sync!$AC569="",0,Sync!$AC569))</f>
        <v/>
      </c>
      <c r="N572">
        <f>IF($G572="","",IF($H572="مرجوعی خرید",-1,1)*($L572-$M572*IFERROR(VLOOKUP("P01",ParamTbl,3,0),1.5))*(1-IF($I572="خرید",IFERROR(VLOOKUP("P02",ParamTbl,3,0),1),0)/100))</f>
        <v/>
      </c>
      <c r="O572">
        <f>IF($G572="",0,IF($H572="مرجوعی خرید",-1,1)*IF(Sync!$AD569="",0,Sync!$AD569))</f>
        <v/>
      </c>
      <c r="P572">
        <f>IF(OR($G572="",Sync!$W569=""),"",Sync!$W569)</f>
        <v/>
      </c>
      <c r="Q572">
        <f>IF(OR($G572="",Sync!$AE569=""),"",Sync!$AE569)</f>
        <v/>
      </c>
      <c r="R572">
        <f>IF($G572="","",IF(Sync!$V569="","0000",IF(AND(ISNUMBER(Sync!$V569),Sync!$V569&gt;=0,Sync!$V569&lt;1),RIGHT("00"&amp;HOUR(Sync!$V569),2)&amp;RIGHT("00"&amp;MINUTE(Sync!$V569),2),IFERROR(RIGHT("00"&amp;VALUE(LEFT(Sync!$V569,FIND(":",Sync!$V569)-1)),2)&amp;RIGHT("00"&amp;VALUE(MID(Sync!$V569,FIND(":",Sync!$V569)+1,2)),2),"0000"))))</f>
        <v/>
      </c>
    </row>
    <row r="573">
      <c r="A573">
        <f>IF(Sync!$U570="","",Sync!$U570)</f>
        <v/>
      </c>
      <c r="B573">
        <f>IF($A573="","",IF(ISNUMBER($A573),IF(AND($A573&gt;=10000101,$A573&lt;=99991231),INT($A573/10000),""),IFERROR(VALUE(TRIM(LEFT($A573,FIND("/",$A573)-1))),"")))</f>
        <v/>
      </c>
      <c r="C573">
        <f>IF(OR($A573="",$B573=""),"",IF(ISNUMBER($A573),INT(MOD($A573,10000)/100),IFERROR(VALUE(TRIM(LEFT(MID($A573,FIND("/",$A573)+1,20),FIND("/",MID($A573,FIND("/",$A573)+1,20))-1))),"")))</f>
        <v/>
      </c>
      <c r="D573">
        <f>IF(OR($A573="",$B573=""),"",IF(ISNUMBER($A573),MOD($A573,100),IFERROR(VALUE(TRIM(MID(MID($A573,FIND("/",$A573)+1,20),FIND("/",MID($A573,FIND("/",$A573)+1,20))+1,20))),"")))</f>
        <v/>
      </c>
      <c r="E573">
        <f>IF($A573="","",IF(OR($B573="",$C573="",$D573="",$B573&lt;1300,$B573&gt;1500,$C573&lt;1,$C573&gt;12,$D573&lt;1,$D573&gt;31),"نامعتبر",RIGHT("0000"&amp;$B573,4)&amp;"/"&amp;RIGHT("00"&amp;$C573,2)&amp;"/"&amp;RIGHT("00"&amp;$D573,2)))</f>
        <v/>
      </c>
      <c r="F573">
        <f>IF(OR($E573="",$E573="نامعتبر"),"",LEFT($E573,4)&amp;"/"&amp;MID($E573,6,2))</f>
        <v/>
      </c>
      <c r="G573">
        <f>IF(OR($E573="",$E573="نامعتبر",Sync!$Y570=""),"",Sync!$Y570)</f>
        <v/>
      </c>
      <c r="H573">
        <f>IF($G573="","",IF(Sync!$X570="","",Sync!$X570))</f>
        <v/>
      </c>
      <c r="I573">
        <f>IF($G573="","",IFERROR(VLOOKUP(Sync!$X570,OpTbl,3,0),""))</f>
        <v/>
      </c>
      <c r="J573">
        <f>IF(OR($G573="",Sync!$Z570=""),"",Sync!$Z570)</f>
        <v/>
      </c>
      <c r="K573">
        <f>IF(OR($G573="",Sync!$AA570=""),"",Sync!$AA570)</f>
        <v/>
      </c>
      <c r="L573">
        <f>IF($G573="",0,IF(Sync!$AB570="",0,Sync!$AB570))</f>
        <v/>
      </c>
      <c r="M573">
        <f>IF($G573="",0,IF(Sync!$AC570="",0,Sync!$AC570))</f>
        <v/>
      </c>
      <c r="N573">
        <f>IF($G573="","",IF($H573="مرجوعی خرید",-1,1)*($L573-$M573*IFERROR(VLOOKUP("P01",ParamTbl,3,0),1.5))*(1-IF($I573="خرید",IFERROR(VLOOKUP("P02",ParamTbl,3,0),1),0)/100))</f>
        <v/>
      </c>
      <c r="O573">
        <f>IF($G573="",0,IF($H573="مرجوعی خرید",-1,1)*IF(Sync!$AD570="",0,Sync!$AD570))</f>
        <v/>
      </c>
      <c r="P573">
        <f>IF(OR($G573="",Sync!$W570=""),"",Sync!$W570)</f>
        <v/>
      </c>
      <c r="Q573">
        <f>IF(OR($G573="",Sync!$AE570=""),"",Sync!$AE570)</f>
        <v/>
      </c>
      <c r="R573">
        <f>IF($G573="","",IF(Sync!$V570="","0000",IF(AND(ISNUMBER(Sync!$V570),Sync!$V570&gt;=0,Sync!$V570&lt;1),RIGHT("00"&amp;HOUR(Sync!$V570),2)&amp;RIGHT("00"&amp;MINUTE(Sync!$V570),2),IFERROR(RIGHT("00"&amp;VALUE(LEFT(Sync!$V570,FIND(":",Sync!$V570)-1)),2)&amp;RIGHT("00"&amp;VALUE(MID(Sync!$V570,FIND(":",Sync!$V570)+1,2)),2),"0000"))))</f>
        <v/>
      </c>
    </row>
    <row r="574">
      <c r="A574">
        <f>IF(Sync!$U571="","",Sync!$U571)</f>
        <v/>
      </c>
      <c r="B574">
        <f>IF($A574="","",IF(ISNUMBER($A574),IF(AND($A574&gt;=10000101,$A574&lt;=99991231),INT($A574/10000),""),IFERROR(VALUE(TRIM(LEFT($A574,FIND("/",$A574)-1))),"")))</f>
        <v/>
      </c>
      <c r="C574">
        <f>IF(OR($A574="",$B574=""),"",IF(ISNUMBER($A574),INT(MOD($A574,10000)/100),IFERROR(VALUE(TRIM(LEFT(MID($A574,FIND("/",$A574)+1,20),FIND("/",MID($A574,FIND("/",$A574)+1,20))-1))),"")))</f>
        <v/>
      </c>
      <c r="D574">
        <f>IF(OR($A574="",$B574=""),"",IF(ISNUMBER($A574),MOD($A574,100),IFERROR(VALUE(TRIM(MID(MID($A574,FIND("/",$A574)+1,20),FIND("/",MID($A574,FIND("/",$A574)+1,20))+1,20))),"")))</f>
        <v/>
      </c>
      <c r="E574">
        <f>IF($A574="","",IF(OR($B574="",$C574="",$D574="",$B574&lt;1300,$B574&gt;1500,$C574&lt;1,$C574&gt;12,$D574&lt;1,$D574&gt;31),"نامعتبر",RIGHT("0000"&amp;$B574,4)&amp;"/"&amp;RIGHT("00"&amp;$C574,2)&amp;"/"&amp;RIGHT("00"&amp;$D574,2)))</f>
        <v/>
      </c>
      <c r="F574">
        <f>IF(OR($E574="",$E574="نامعتبر"),"",LEFT($E574,4)&amp;"/"&amp;MID($E574,6,2))</f>
        <v/>
      </c>
      <c r="G574">
        <f>IF(OR($E574="",$E574="نامعتبر",Sync!$Y571=""),"",Sync!$Y571)</f>
        <v/>
      </c>
      <c r="H574">
        <f>IF($G574="","",IF(Sync!$X571="","",Sync!$X571))</f>
        <v/>
      </c>
      <c r="I574">
        <f>IF($G574="","",IFERROR(VLOOKUP(Sync!$X571,OpTbl,3,0),""))</f>
        <v/>
      </c>
      <c r="J574">
        <f>IF(OR($G574="",Sync!$Z571=""),"",Sync!$Z571)</f>
        <v/>
      </c>
      <c r="K574">
        <f>IF(OR($G574="",Sync!$AA571=""),"",Sync!$AA571)</f>
        <v/>
      </c>
      <c r="L574">
        <f>IF($G574="",0,IF(Sync!$AB571="",0,Sync!$AB571))</f>
        <v/>
      </c>
      <c r="M574">
        <f>IF($G574="",0,IF(Sync!$AC571="",0,Sync!$AC571))</f>
        <v/>
      </c>
      <c r="N574">
        <f>IF($G574="","",IF($H574="مرجوعی خرید",-1,1)*($L574-$M574*IFERROR(VLOOKUP("P01",ParamTbl,3,0),1.5))*(1-IF($I574="خرید",IFERROR(VLOOKUP("P02",ParamTbl,3,0),1),0)/100))</f>
        <v/>
      </c>
      <c r="O574">
        <f>IF($G574="",0,IF($H574="مرجوعی خرید",-1,1)*IF(Sync!$AD571="",0,Sync!$AD571))</f>
        <v/>
      </c>
      <c r="P574">
        <f>IF(OR($G574="",Sync!$W571=""),"",Sync!$W571)</f>
        <v/>
      </c>
      <c r="Q574">
        <f>IF(OR($G574="",Sync!$AE571=""),"",Sync!$AE571)</f>
        <v/>
      </c>
      <c r="R574">
        <f>IF($G574="","",IF(Sync!$V571="","0000",IF(AND(ISNUMBER(Sync!$V571),Sync!$V571&gt;=0,Sync!$V571&lt;1),RIGHT("00"&amp;HOUR(Sync!$V571),2)&amp;RIGHT("00"&amp;MINUTE(Sync!$V571),2),IFERROR(RIGHT("00"&amp;VALUE(LEFT(Sync!$V571,FIND(":",Sync!$V571)-1)),2)&amp;RIGHT("00"&amp;VALUE(MID(Sync!$V571,FIND(":",Sync!$V571)+1,2)),2),"0000"))))</f>
        <v/>
      </c>
    </row>
    <row r="575">
      <c r="A575">
        <f>IF(Sync!$U572="","",Sync!$U572)</f>
        <v/>
      </c>
      <c r="B575">
        <f>IF($A575="","",IF(ISNUMBER($A575),IF(AND($A575&gt;=10000101,$A575&lt;=99991231),INT($A575/10000),""),IFERROR(VALUE(TRIM(LEFT($A575,FIND("/",$A575)-1))),"")))</f>
        <v/>
      </c>
      <c r="C575">
        <f>IF(OR($A575="",$B575=""),"",IF(ISNUMBER($A575),INT(MOD($A575,10000)/100),IFERROR(VALUE(TRIM(LEFT(MID($A575,FIND("/",$A575)+1,20),FIND("/",MID($A575,FIND("/",$A575)+1,20))-1))),"")))</f>
        <v/>
      </c>
      <c r="D575">
        <f>IF(OR($A575="",$B575=""),"",IF(ISNUMBER($A575),MOD($A575,100),IFERROR(VALUE(TRIM(MID(MID($A575,FIND("/",$A575)+1,20),FIND("/",MID($A575,FIND("/",$A575)+1,20))+1,20))),"")))</f>
        <v/>
      </c>
      <c r="E575">
        <f>IF($A575="","",IF(OR($B575="",$C575="",$D575="",$B575&lt;1300,$B575&gt;1500,$C575&lt;1,$C575&gt;12,$D575&lt;1,$D575&gt;31),"نامعتبر",RIGHT("0000"&amp;$B575,4)&amp;"/"&amp;RIGHT("00"&amp;$C575,2)&amp;"/"&amp;RIGHT("00"&amp;$D575,2)))</f>
        <v/>
      </c>
      <c r="F575">
        <f>IF(OR($E575="",$E575="نامعتبر"),"",LEFT($E575,4)&amp;"/"&amp;MID($E575,6,2))</f>
        <v/>
      </c>
      <c r="G575">
        <f>IF(OR($E575="",$E575="نامعتبر",Sync!$Y572=""),"",Sync!$Y572)</f>
        <v/>
      </c>
      <c r="H575">
        <f>IF($G575="","",IF(Sync!$X572="","",Sync!$X572))</f>
        <v/>
      </c>
      <c r="I575">
        <f>IF($G575="","",IFERROR(VLOOKUP(Sync!$X572,OpTbl,3,0),""))</f>
        <v/>
      </c>
      <c r="J575">
        <f>IF(OR($G575="",Sync!$Z572=""),"",Sync!$Z572)</f>
        <v/>
      </c>
      <c r="K575">
        <f>IF(OR($G575="",Sync!$AA572=""),"",Sync!$AA572)</f>
        <v/>
      </c>
      <c r="L575">
        <f>IF($G575="",0,IF(Sync!$AB572="",0,Sync!$AB572))</f>
        <v/>
      </c>
      <c r="M575">
        <f>IF($G575="",0,IF(Sync!$AC572="",0,Sync!$AC572))</f>
        <v/>
      </c>
      <c r="N575">
        <f>IF($G575="","",IF($H575="مرجوعی خرید",-1,1)*($L575-$M575*IFERROR(VLOOKUP("P01",ParamTbl,3,0),1.5))*(1-IF($I575="خرید",IFERROR(VLOOKUP("P02",ParamTbl,3,0),1),0)/100))</f>
        <v/>
      </c>
      <c r="O575">
        <f>IF($G575="",0,IF($H575="مرجوعی خرید",-1,1)*IF(Sync!$AD572="",0,Sync!$AD572))</f>
        <v/>
      </c>
      <c r="P575">
        <f>IF(OR($G575="",Sync!$W572=""),"",Sync!$W572)</f>
        <v/>
      </c>
      <c r="Q575">
        <f>IF(OR($G575="",Sync!$AE572=""),"",Sync!$AE572)</f>
        <v/>
      </c>
      <c r="R575">
        <f>IF($G575="","",IF(Sync!$V572="","0000",IF(AND(ISNUMBER(Sync!$V572),Sync!$V572&gt;=0,Sync!$V572&lt;1),RIGHT("00"&amp;HOUR(Sync!$V572),2)&amp;RIGHT("00"&amp;MINUTE(Sync!$V572),2),IFERROR(RIGHT("00"&amp;VALUE(LEFT(Sync!$V572,FIND(":",Sync!$V572)-1)),2)&amp;RIGHT("00"&amp;VALUE(MID(Sync!$V572,FIND(":",Sync!$V572)+1,2)),2),"0000"))))</f>
        <v/>
      </c>
    </row>
    <row r="576">
      <c r="A576">
        <f>IF(Sync!$U573="","",Sync!$U573)</f>
        <v/>
      </c>
      <c r="B576">
        <f>IF($A576="","",IF(ISNUMBER($A576),IF(AND($A576&gt;=10000101,$A576&lt;=99991231),INT($A576/10000),""),IFERROR(VALUE(TRIM(LEFT($A576,FIND("/",$A576)-1))),"")))</f>
        <v/>
      </c>
      <c r="C576">
        <f>IF(OR($A576="",$B576=""),"",IF(ISNUMBER($A576),INT(MOD($A576,10000)/100),IFERROR(VALUE(TRIM(LEFT(MID($A576,FIND("/",$A576)+1,20),FIND("/",MID($A576,FIND("/",$A576)+1,20))-1))),"")))</f>
        <v/>
      </c>
      <c r="D576">
        <f>IF(OR($A576="",$B576=""),"",IF(ISNUMBER($A576),MOD($A576,100),IFERROR(VALUE(TRIM(MID(MID($A576,FIND("/",$A576)+1,20),FIND("/",MID($A576,FIND("/",$A576)+1,20))+1,20))),"")))</f>
        <v/>
      </c>
      <c r="E576">
        <f>IF($A576="","",IF(OR($B576="",$C576="",$D576="",$B576&lt;1300,$B576&gt;1500,$C576&lt;1,$C576&gt;12,$D576&lt;1,$D576&gt;31),"نامعتبر",RIGHT("0000"&amp;$B576,4)&amp;"/"&amp;RIGHT("00"&amp;$C576,2)&amp;"/"&amp;RIGHT("00"&amp;$D576,2)))</f>
        <v/>
      </c>
      <c r="F576">
        <f>IF(OR($E576="",$E576="نامعتبر"),"",LEFT($E576,4)&amp;"/"&amp;MID($E576,6,2))</f>
        <v/>
      </c>
      <c r="G576">
        <f>IF(OR($E576="",$E576="نامعتبر",Sync!$Y573=""),"",Sync!$Y573)</f>
        <v/>
      </c>
      <c r="H576">
        <f>IF($G576="","",IF(Sync!$X573="","",Sync!$X573))</f>
        <v/>
      </c>
      <c r="I576">
        <f>IF($G576="","",IFERROR(VLOOKUP(Sync!$X573,OpTbl,3,0),""))</f>
        <v/>
      </c>
      <c r="J576">
        <f>IF(OR($G576="",Sync!$Z573=""),"",Sync!$Z573)</f>
        <v/>
      </c>
      <c r="K576">
        <f>IF(OR($G576="",Sync!$AA573=""),"",Sync!$AA573)</f>
        <v/>
      </c>
      <c r="L576">
        <f>IF($G576="",0,IF(Sync!$AB573="",0,Sync!$AB573))</f>
        <v/>
      </c>
      <c r="M576">
        <f>IF($G576="",0,IF(Sync!$AC573="",0,Sync!$AC573))</f>
        <v/>
      </c>
      <c r="N576">
        <f>IF($G576="","",IF($H576="مرجوعی خرید",-1,1)*($L576-$M576*IFERROR(VLOOKUP("P01",ParamTbl,3,0),1.5))*(1-IF($I576="خرید",IFERROR(VLOOKUP("P02",ParamTbl,3,0),1),0)/100))</f>
        <v/>
      </c>
      <c r="O576">
        <f>IF($G576="",0,IF($H576="مرجوعی خرید",-1,1)*IF(Sync!$AD573="",0,Sync!$AD573))</f>
        <v/>
      </c>
      <c r="P576">
        <f>IF(OR($G576="",Sync!$W573=""),"",Sync!$W573)</f>
        <v/>
      </c>
      <c r="Q576">
        <f>IF(OR($G576="",Sync!$AE573=""),"",Sync!$AE573)</f>
        <v/>
      </c>
      <c r="R576">
        <f>IF($G576="","",IF(Sync!$V573="","0000",IF(AND(ISNUMBER(Sync!$V573),Sync!$V573&gt;=0,Sync!$V573&lt;1),RIGHT("00"&amp;HOUR(Sync!$V573),2)&amp;RIGHT("00"&amp;MINUTE(Sync!$V573),2),IFERROR(RIGHT("00"&amp;VALUE(LEFT(Sync!$V573,FIND(":",Sync!$V573)-1)),2)&amp;RIGHT("00"&amp;VALUE(MID(Sync!$V573,FIND(":",Sync!$V573)+1,2)),2),"0000"))))</f>
        <v/>
      </c>
    </row>
    <row r="577">
      <c r="A577">
        <f>IF(Sync!$U574="","",Sync!$U574)</f>
        <v/>
      </c>
      <c r="B577">
        <f>IF($A577="","",IF(ISNUMBER($A577),IF(AND($A577&gt;=10000101,$A577&lt;=99991231),INT($A577/10000),""),IFERROR(VALUE(TRIM(LEFT($A577,FIND("/",$A577)-1))),"")))</f>
        <v/>
      </c>
      <c r="C577">
        <f>IF(OR($A577="",$B577=""),"",IF(ISNUMBER($A577),INT(MOD($A577,10000)/100),IFERROR(VALUE(TRIM(LEFT(MID($A577,FIND("/",$A577)+1,20),FIND("/",MID($A577,FIND("/",$A577)+1,20))-1))),"")))</f>
        <v/>
      </c>
      <c r="D577">
        <f>IF(OR($A577="",$B577=""),"",IF(ISNUMBER($A577),MOD($A577,100),IFERROR(VALUE(TRIM(MID(MID($A577,FIND("/",$A577)+1,20),FIND("/",MID($A577,FIND("/",$A577)+1,20))+1,20))),"")))</f>
        <v/>
      </c>
      <c r="E577">
        <f>IF($A577="","",IF(OR($B577="",$C577="",$D577="",$B577&lt;1300,$B577&gt;1500,$C577&lt;1,$C577&gt;12,$D577&lt;1,$D577&gt;31),"نامعتبر",RIGHT("0000"&amp;$B577,4)&amp;"/"&amp;RIGHT("00"&amp;$C577,2)&amp;"/"&amp;RIGHT("00"&amp;$D577,2)))</f>
        <v/>
      </c>
      <c r="F577">
        <f>IF(OR($E577="",$E577="نامعتبر"),"",LEFT($E577,4)&amp;"/"&amp;MID($E577,6,2))</f>
        <v/>
      </c>
      <c r="G577">
        <f>IF(OR($E577="",$E577="نامعتبر",Sync!$Y574=""),"",Sync!$Y574)</f>
        <v/>
      </c>
      <c r="H577">
        <f>IF($G577="","",IF(Sync!$X574="","",Sync!$X574))</f>
        <v/>
      </c>
      <c r="I577">
        <f>IF($G577="","",IFERROR(VLOOKUP(Sync!$X574,OpTbl,3,0),""))</f>
        <v/>
      </c>
      <c r="J577">
        <f>IF(OR($G577="",Sync!$Z574=""),"",Sync!$Z574)</f>
        <v/>
      </c>
      <c r="K577">
        <f>IF(OR($G577="",Sync!$AA574=""),"",Sync!$AA574)</f>
        <v/>
      </c>
      <c r="L577">
        <f>IF($G577="",0,IF(Sync!$AB574="",0,Sync!$AB574))</f>
        <v/>
      </c>
      <c r="M577">
        <f>IF($G577="",0,IF(Sync!$AC574="",0,Sync!$AC574))</f>
        <v/>
      </c>
      <c r="N577">
        <f>IF($G577="","",IF($H577="مرجوعی خرید",-1,1)*($L577-$M577*IFERROR(VLOOKUP("P01",ParamTbl,3,0),1.5))*(1-IF($I577="خرید",IFERROR(VLOOKUP("P02",ParamTbl,3,0),1),0)/100))</f>
        <v/>
      </c>
      <c r="O577">
        <f>IF($G577="",0,IF($H577="مرجوعی خرید",-1,1)*IF(Sync!$AD574="",0,Sync!$AD574))</f>
        <v/>
      </c>
      <c r="P577">
        <f>IF(OR($G577="",Sync!$W574=""),"",Sync!$W574)</f>
        <v/>
      </c>
      <c r="Q577">
        <f>IF(OR($G577="",Sync!$AE574=""),"",Sync!$AE574)</f>
        <v/>
      </c>
      <c r="R577">
        <f>IF($G577="","",IF(Sync!$V574="","0000",IF(AND(ISNUMBER(Sync!$V574),Sync!$V574&gt;=0,Sync!$V574&lt;1),RIGHT("00"&amp;HOUR(Sync!$V574),2)&amp;RIGHT("00"&amp;MINUTE(Sync!$V574),2),IFERROR(RIGHT("00"&amp;VALUE(LEFT(Sync!$V574,FIND(":",Sync!$V574)-1)),2)&amp;RIGHT("00"&amp;VALUE(MID(Sync!$V574,FIND(":",Sync!$V574)+1,2)),2),"0000"))))</f>
        <v/>
      </c>
    </row>
    <row r="578">
      <c r="A578">
        <f>IF(Sync!$U575="","",Sync!$U575)</f>
        <v/>
      </c>
      <c r="B578">
        <f>IF($A578="","",IF(ISNUMBER($A578),IF(AND($A578&gt;=10000101,$A578&lt;=99991231),INT($A578/10000),""),IFERROR(VALUE(TRIM(LEFT($A578,FIND("/",$A578)-1))),"")))</f>
        <v/>
      </c>
      <c r="C578">
        <f>IF(OR($A578="",$B578=""),"",IF(ISNUMBER($A578),INT(MOD($A578,10000)/100),IFERROR(VALUE(TRIM(LEFT(MID($A578,FIND("/",$A578)+1,20),FIND("/",MID($A578,FIND("/",$A578)+1,20))-1))),"")))</f>
        <v/>
      </c>
      <c r="D578">
        <f>IF(OR($A578="",$B578=""),"",IF(ISNUMBER($A578),MOD($A578,100),IFERROR(VALUE(TRIM(MID(MID($A578,FIND("/",$A578)+1,20),FIND("/",MID($A578,FIND("/",$A578)+1,20))+1,20))),"")))</f>
        <v/>
      </c>
      <c r="E578">
        <f>IF($A578="","",IF(OR($B578="",$C578="",$D578="",$B578&lt;1300,$B578&gt;1500,$C578&lt;1,$C578&gt;12,$D578&lt;1,$D578&gt;31),"نامعتبر",RIGHT("0000"&amp;$B578,4)&amp;"/"&amp;RIGHT("00"&amp;$C578,2)&amp;"/"&amp;RIGHT("00"&amp;$D578,2)))</f>
        <v/>
      </c>
      <c r="F578">
        <f>IF(OR($E578="",$E578="نامعتبر"),"",LEFT($E578,4)&amp;"/"&amp;MID($E578,6,2))</f>
        <v/>
      </c>
      <c r="G578">
        <f>IF(OR($E578="",$E578="نامعتبر",Sync!$Y575=""),"",Sync!$Y575)</f>
        <v/>
      </c>
      <c r="H578">
        <f>IF($G578="","",IF(Sync!$X575="","",Sync!$X575))</f>
        <v/>
      </c>
      <c r="I578">
        <f>IF($G578="","",IFERROR(VLOOKUP(Sync!$X575,OpTbl,3,0),""))</f>
        <v/>
      </c>
      <c r="J578">
        <f>IF(OR($G578="",Sync!$Z575=""),"",Sync!$Z575)</f>
        <v/>
      </c>
      <c r="K578">
        <f>IF(OR($G578="",Sync!$AA575=""),"",Sync!$AA575)</f>
        <v/>
      </c>
      <c r="L578">
        <f>IF($G578="",0,IF(Sync!$AB575="",0,Sync!$AB575))</f>
        <v/>
      </c>
      <c r="M578">
        <f>IF($G578="",0,IF(Sync!$AC575="",0,Sync!$AC575))</f>
        <v/>
      </c>
      <c r="N578">
        <f>IF($G578="","",IF($H578="مرجوعی خرید",-1,1)*($L578-$M578*IFERROR(VLOOKUP("P01",ParamTbl,3,0),1.5))*(1-IF($I578="خرید",IFERROR(VLOOKUP("P02",ParamTbl,3,0),1),0)/100))</f>
        <v/>
      </c>
      <c r="O578">
        <f>IF($G578="",0,IF($H578="مرجوعی خرید",-1,1)*IF(Sync!$AD575="",0,Sync!$AD575))</f>
        <v/>
      </c>
      <c r="P578">
        <f>IF(OR($G578="",Sync!$W575=""),"",Sync!$W575)</f>
        <v/>
      </c>
      <c r="Q578">
        <f>IF(OR($G578="",Sync!$AE575=""),"",Sync!$AE575)</f>
        <v/>
      </c>
      <c r="R578">
        <f>IF($G578="","",IF(Sync!$V575="","0000",IF(AND(ISNUMBER(Sync!$V575),Sync!$V575&gt;=0,Sync!$V575&lt;1),RIGHT("00"&amp;HOUR(Sync!$V575),2)&amp;RIGHT("00"&amp;MINUTE(Sync!$V575),2),IFERROR(RIGHT("00"&amp;VALUE(LEFT(Sync!$V575,FIND(":",Sync!$V575)-1)),2)&amp;RIGHT("00"&amp;VALUE(MID(Sync!$V575,FIND(":",Sync!$V575)+1,2)),2),"0000"))))</f>
        <v/>
      </c>
    </row>
    <row r="579">
      <c r="A579">
        <f>IF(Sync!$U576="","",Sync!$U576)</f>
        <v/>
      </c>
      <c r="B579">
        <f>IF($A579="","",IF(ISNUMBER($A579),IF(AND($A579&gt;=10000101,$A579&lt;=99991231),INT($A579/10000),""),IFERROR(VALUE(TRIM(LEFT($A579,FIND("/",$A579)-1))),"")))</f>
        <v/>
      </c>
      <c r="C579">
        <f>IF(OR($A579="",$B579=""),"",IF(ISNUMBER($A579),INT(MOD($A579,10000)/100),IFERROR(VALUE(TRIM(LEFT(MID($A579,FIND("/",$A579)+1,20),FIND("/",MID($A579,FIND("/",$A579)+1,20))-1))),"")))</f>
        <v/>
      </c>
      <c r="D579">
        <f>IF(OR($A579="",$B579=""),"",IF(ISNUMBER($A579),MOD($A579,100),IFERROR(VALUE(TRIM(MID(MID($A579,FIND("/",$A579)+1,20),FIND("/",MID($A579,FIND("/",$A579)+1,20))+1,20))),"")))</f>
        <v/>
      </c>
      <c r="E579">
        <f>IF($A579="","",IF(OR($B579="",$C579="",$D579="",$B579&lt;1300,$B579&gt;1500,$C579&lt;1,$C579&gt;12,$D579&lt;1,$D579&gt;31),"نامعتبر",RIGHT("0000"&amp;$B579,4)&amp;"/"&amp;RIGHT("00"&amp;$C579,2)&amp;"/"&amp;RIGHT("00"&amp;$D579,2)))</f>
        <v/>
      </c>
      <c r="F579">
        <f>IF(OR($E579="",$E579="نامعتبر"),"",LEFT($E579,4)&amp;"/"&amp;MID($E579,6,2))</f>
        <v/>
      </c>
      <c r="G579">
        <f>IF(OR($E579="",$E579="نامعتبر",Sync!$Y576=""),"",Sync!$Y576)</f>
        <v/>
      </c>
      <c r="H579">
        <f>IF($G579="","",IF(Sync!$X576="","",Sync!$X576))</f>
        <v/>
      </c>
      <c r="I579">
        <f>IF($G579="","",IFERROR(VLOOKUP(Sync!$X576,OpTbl,3,0),""))</f>
        <v/>
      </c>
      <c r="J579">
        <f>IF(OR($G579="",Sync!$Z576=""),"",Sync!$Z576)</f>
        <v/>
      </c>
      <c r="K579">
        <f>IF(OR($G579="",Sync!$AA576=""),"",Sync!$AA576)</f>
        <v/>
      </c>
      <c r="L579">
        <f>IF($G579="",0,IF(Sync!$AB576="",0,Sync!$AB576))</f>
        <v/>
      </c>
      <c r="M579">
        <f>IF($G579="",0,IF(Sync!$AC576="",0,Sync!$AC576))</f>
        <v/>
      </c>
      <c r="N579">
        <f>IF($G579="","",IF($H579="مرجوعی خرید",-1,1)*($L579-$M579*IFERROR(VLOOKUP("P01",ParamTbl,3,0),1.5))*(1-IF($I579="خرید",IFERROR(VLOOKUP("P02",ParamTbl,3,0),1),0)/100))</f>
        <v/>
      </c>
      <c r="O579">
        <f>IF($G579="",0,IF($H579="مرجوعی خرید",-1,1)*IF(Sync!$AD576="",0,Sync!$AD576))</f>
        <v/>
      </c>
      <c r="P579">
        <f>IF(OR($G579="",Sync!$W576=""),"",Sync!$W576)</f>
        <v/>
      </c>
      <c r="Q579">
        <f>IF(OR($G579="",Sync!$AE576=""),"",Sync!$AE576)</f>
        <v/>
      </c>
      <c r="R579">
        <f>IF($G579="","",IF(Sync!$V576="","0000",IF(AND(ISNUMBER(Sync!$V576),Sync!$V576&gt;=0,Sync!$V576&lt;1),RIGHT("00"&amp;HOUR(Sync!$V576),2)&amp;RIGHT("00"&amp;MINUTE(Sync!$V576),2),IFERROR(RIGHT("00"&amp;VALUE(LEFT(Sync!$V576,FIND(":",Sync!$V576)-1)),2)&amp;RIGHT("00"&amp;VALUE(MID(Sync!$V576,FIND(":",Sync!$V576)+1,2)),2),"0000"))))</f>
        <v/>
      </c>
    </row>
    <row r="580">
      <c r="A580">
        <f>IF(Sync!$U577="","",Sync!$U577)</f>
        <v/>
      </c>
      <c r="B580">
        <f>IF($A580="","",IF(ISNUMBER($A580),IF(AND($A580&gt;=10000101,$A580&lt;=99991231),INT($A580/10000),""),IFERROR(VALUE(TRIM(LEFT($A580,FIND("/",$A580)-1))),"")))</f>
        <v/>
      </c>
      <c r="C580">
        <f>IF(OR($A580="",$B580=""),"",IF(ISNUMBER($A580),INT(MOD($A580,10000)/100),IFERROR(VALUE(TRIM(LEFT(MID($A580,FIND("/",$A580)+1,20),FIND("/",MID($A580,FIND("/",$A580)+1,20))-1))),"")))</f>
        <v/>
      </c>
      <c r="D580">
        <f>IF(OR($A580="",$B580=""),"",IF(ISNUMBER($A580),MOD($A580,100),IFERROR(VALUE(TRIM(MID(MID($A580,FIND("/",$A580)+1,20),FIND("/",MID($A580,FIND("/",$A580)+1,20))+1,20))),"")))</f>
        <v/>
      </c>
      <c r="E580">
        <f>IF($A580="","",IF(OR($B580="",$C580="",$D580="",$B580&lt;1300,$B580&gt;1500,$C580&lt;1,$C580&gt;12,$D580&lt;1,$D580&gt;31),"نامعتبر",RIGHT("0000"&amp;$B580,4)&amp;"/"&amp;RIGHT("00"&amp;$C580,2)&amp;"/"&amp;RIGHT("00"&amp;$D580,2)))</f>
        <v/>
      </c>
      <c r="F580">
        <f>IF(OR($E580="",$E580="نامعتبر"),"",LEFT($E580,4)&amp;"/"&amp;MID($E580,6,2))</f>
        <v/>
      </c>
      <c r="G580">
        <f>IF(OR($E580="",$E580="نامعتبر",Sync!$Y577=""),"",Sync!$Y577)</f>
        <v/>
      </c>
      <c r="H580">
        <f>IF($G580="","",IF(Sync!$X577="","",Sync!$X577))</f>
        <v/>
      </c>
      <c r="I580">
        <f>IF($G580="","",IFERROR(VLOOKUP(Sync!$X577,OpTbl,3,0),""))</f>
        <v/>
      </c>
      <c r="J580">
        <f>IF(OR($G580="",Sync!$Z577=""),"",Sync!$Z577)</f>
        <v/>
      </c>
      <c r="K580">
        <f>IF(OR($G580="",Sync!$AA577=""),"",Sync!$AA577)</f>
        <v/>
      </c>
      <c r="L580">
        <f>IF($G580="",0,IF(Sync!$AB577="",0,Sync!$AB577))</f>
        <v/>
      </c>
      <c r="M580">
        <f>IF($G580="",0,IF(Sync!$AC577="",0,Sync!$AC577))</f>
        <v/>
      </c>
      <c r="N580">
        <f>IF($G580="","",IF($H580="مرجوعی خرید",-1,1)*($L580-$M580*IFERROR(VLOOKUP("P01",ParamTbl,3,0),1.5))*(1-IF($I580="خرید",IFERROR(VLOOKUP("P02",ParamTbl,3,0),1),0)/100))</f>
        <v/>
      </c>
      <c r="O580">
        <f>IF($G580="",0,IF($H580="مرجوعی خرید",-1,1)*IF(Sync!$AD577="",0,Sync!$AD577))</f>
        <v/>
      </c>
      <c r="P580">
        <f>IF(OR($G580="",Sync!$W577=""),"",Sync!$W577)</f>
        <v/>
      </c>
      <c r="Q580">
        <f>IF(OR($G580="",Sync!$AE577=""),"",Sync!$AE577)</f>
        <v/>
      </c>
      <c r="R580">
        <f>IF($G580="","",IF(Sync!$V577="","0000",IF(AND(ISNUMBER(Sync!$V577),Sync!$V577&gt;=0,Sync!$V577&lt;1),RIGHT("00"&amp;HOUR(Sync!$V577),2)&amp;RIGHT("00"&amp;MINUTE(Sync!$V577),2),IFERROR(RIGHT("00"&amp;VALUE(LEFT(Sync!$V577,FIND(":",Sync!$V577)-1)),2)&amp;RIGHT("00"&amp;VALUE(MID(Sync!$V577,FIND(":",Sync!$V577)+1,2)),2),"0000"))))</f>
        <v/>
      </c>
    </row>
    <row r="581">
      <c r="A581">
        <f>IF(Sync!$U578="","",Sync!$U578)</f>
        <v/>
      </c>
      <c r="B581">
        <f>IF($A581="","",IF(ISNUMBER($A581),IF(AND($A581&gt;=10000101,$A581&lt;=99991231),INT($A581/10000),""),IFERROR(VALUE(TRIM(LEFT($A581,FIND("/",$A581)-1))),"")))</f>
        <v/>
      </c>
      <c r="C581">
        <f>IF(OR($A581="",$B581=""),"",IF(ISNUMBER($A581),INT(MOD($A581,10000)/100),IFERROR(VALUE(TRIM(LEFT(MID($A581,FIND("/",$A581)+1,20),FIND("/",MID($A581,FIND("/",$A581)+1,20))-1))),"")))</f>
        <v/>
      </c>
      <c r="D581">
        <f>IF(OR($A581="",$B581=""),"",IF(ISNUMBER($A581),MOD($A581,100),IFERROR(VALUE(TRIM(MID(MID($A581,FIND("/",$A581)+1,20),FIND("/",MID($A581,FIND("/",$A581)+1,20))+1,20))),"")))</f>
        <v/>
      </c>
      <c r="E581">
        <f>IF($A581="","",IF(OR($B581="",$C581="",$D581="",$B581&lt;1300,$B581&gt;1500,$C581&lt;1,$C581&gt;12,$D581&lt;1,$D581&gt;31),"نامعتبر",RIGHT("0000"&amp;$B581,4)&amp;"/"&amp;RIGHT("00"&amp;$C581,2)&amp;"/"&amp;RIGHT("00"&amp;$D581,2)))</f>
        <v/>
      </c>
      <c r="F581">
        <f>IF(OR($E581="",$E581="نامعتبر"),"",LEFT($E581,4)&amp;"/"&amp;MID($E581,6,2))</f>
        <v/>
      </c>
      <c r="G581">
        <f>IF(OR($E581="",$E581="نامعتبر",Sync!$Y578=""),"",Sync!$Y578)</f>
        <v/>
      </c>
      <c r="H581">
        <f>IF($G581="","",IF(Sync!$X578="","",Sync!$X578))</f>
        <v/>
      </c>
      <c r="I581">
        <f>IF($G581="","",IFERROR(VLOOKUP(Sync!$X578,OpTbl,3,0),""))</f>
        <v/>
      </c>
      <c r="J581">
        <f>IF(OR($G581="",Sync!$Z578=""),"",Sync!$Z578)</f>
        <v/>
      </c>
      <c r="K581">
        <f>IF(OR($G581="",Sync!$AA578=""),"",Sync!$AA578)</f>
        <v/>
      </c>
      <c r="L581">
        <f>IF($G581="",0,IF(Sync!$AB578="",0,Sync!$AB578))</f>
        <v/>
      </c>
      <c r="M581">
        <f>IF($G581="",0,IF(Sync!$AC578="",0,Sync!$AC578))</f>
        <v/>
      </c>
      <c r="N581">
        <f>IF($G581="","",IF($H581="مرجوعی خرید",-1,1)*($L581-$M581*IFERROR(VLOOKUP("P01",ParamTbl,3,0),1.5))*(1-IF($I581="خرید",IFERROR(VLOOKUP("P02",ParamTbl,3,0),1),0)/100))</f>
        <v/>
      </c>
      <c r="O581">
        <f>IF($G581="",0,IF($H581="مرجوعی خرید",-1,1)*IF(Sync!$AD578="",0,Sync!$AD578))</f>
        <v/>
      </c>
      <c r="P581">
        <f>IF(OR($G581="",Sync!$W578=""),"",Sync!$W578)</f>
        <v/>
      </c>
      <c r="Q581">
        <f>IF(OR($G581="",Sync!$AE578=""),"",Sync!$AE578)</f>
        <v/>
      </c>
      <c r="R581">
        <f>IF($G581="","",IF(Sync!$V578="","0000",IF(AND(ISNUMBER(Sync!$V578),Sync!$V578&gt;=0,Sync!$V578&lt;1),RIGHT("00"&amp;HOUR(Sync!$V578),2)&amp;RIGHT("00"&amp;MINUTE(Sync!$V578),2),IFERROR(RIGHT("00"&amp;VALUE(LEFT(Sync!$V578,FIND(":",Sync!$V578)-1)),2)&amp;RIGHT("00"&amp;VALUE(MID(Sync!$V578,FIND(":",Sync!$V578)+1,2)),2),"0000"))))</f>
        <v/>
      </c>
    </row>
    <row r="582">
      <c r="A582">
        <f>IF(Sync!$U579="","",Sync!$U579)</f>
        <v/>
      </c>
      <c r="B582">
        <f>IF($A582="","",IF(ISNUMBER($A582),IF(AND($A582&gt;=10000101,$A582&lt;=99991231),INT($A582/10000),""),IFERROR(VALUE(TRIM(LEFT($A582,FIND("/",$A582)-1))),"")))</f>
        <v/>
      </c>
      <c r="C582">
        <f>IF(OR($A582="",$B582=""),"",IF(ISNUMBER($A582),INT(MOD($A582,10000)/100),IFERROR(VALUE(TRIM(LEFT(MID($A582,FIND("/",$A582)+1,20),FIND("/",MID($A582,FIND("/",$A582)+1,20))-1))),"")))</f>
        <v/>
      </c>
      <c r="D582">
        <f>IF(OR($A582="",$B582=""),"",IF(ISNUMBER($A582),MOD($A582,100),IFERROR(VALUE(TRIM(MID(MID($A582,FIND("/",$A582)+1,20),FIND("/",MID($A582,FIND("/",$A582)+1,20))+1,20))),"")))</f>
        <v/>
      </c>
      <c r="E582">
        <f>IF($A582="","",IF(OR($B582="",$C582="",$D582="",$B582&lt;1300,$B582&gt;1500,$C582&lt;1,$C582&gt;12,$D582&lt;1,$D582&gt;31),"نامعتبر",RIGHT("0000"&amp;$B582,4)&amp;"/"&amp;RIGHT("00"&amp;$C582,2)&amp;"/"&amp;RIGHT("00"&amp;$D582,2)))</f>
        <v/>
      </c>
      <c r="F582">
        <f>IF(OR($E582="",$E582="نامعتبر"),"",LEFT($E582,4)&amp;"/"&amp;MID($E582,6,2))</f>
        <v/>
      </c>
      <c r="G582">
        <f>IF(OR($E582="",$E582="نامعتبر",Sync!$Y579=""),"",Sync!$Y579)</f>
        <v/>
      </c>
      <c r="H582">
        <f>IF($G582="","",IF(Sync!$X579="","",Sync!$X579))</f>
        <v/>
      </c>
      <c r="I582">
        <f>IF($G582="","",IFERROR(VLOOKUP(Sync!$X579,OpTbl,3,0),""))</f>
        <v/>
      </c>
      <c r="J582">
        <f>IF(OR($G582="",Sync!$Z579=""),"",Sync!$Z579)</f>
        <v/>
      </c>
      <c r="K582">
        <f>IF(OR($G582="",Sync!$AA579=""),"",Sync!$AA579)</f>
        <v/>
      </c>
      <c r="L582">
        <f>IF($G582="",0,IF(Sync!$AB579="",0,Sync!$AB579))</f>
        <v/>
      </c>
      <c r="M582">
        <f>IF($G582="",0,IF(Sync!$AC579="",0,Sync!$AC579))</f>
        <v/>
      </c>
      <c r="N582">
        <f>IF($G582="","",IF($H582="مرجوعی خرید",-1,1)*($L582-$M582*IFERROR(VLOOKUP("P01",ParamTbl,3,0),1.5))*(1-IF($I582="خرید",IFERROR(VLOOKUP("P02",ParamTbl,3,0),1),0)/100))</f>
        <v/>
      </c>
      <c r="O582">
        <f>IF($G582="",0,IF($H582="مرجوعی خرید",-1,1)*IF(Sync!$AD579="",0,Sync!$AD579))</f>
        <v/>
      </c>
      <c r="P582">
        <f>IF(OR($G582="",Sync!$W579=""),"",Sync!$W579)</f>
        <v/>
      </c>
      <c r="Q582">
        <f>IF(OR($G582="",Sync!$AE579=""),"",Sync!$AE579)</f>
        <v/>
      </c>
      <c r="R582">
        <f>IF($G582="","",IF(Sync!$V579="","0000",IF(AND(ISNUMBER(Sync!$V579),Sync!$V579&gt;=0,Sync!$V579&lt;1),RIGHT("00"&amp;HOUR(Sync!$V579),2)&amp;RIGHT("00"&amp;MINUTE(Sync!$V579),2),IFERROR(RIGHT("00"&amp;VALUE(LEFT(Sync!$V579,FIND(":",Sync!$V579)-1)),2)&amp;RIGHT("00"&amp;VALUE(MID(Sync!$V579,FIND(":",Sync!$V579)+1,2)),2),"0000"))))</f>
        <v/>
      </c>
    </row>
    <row r="583">
      <c r="A583">
        <f>IF(Sync!$U580="","",Sync!$U580)</f>
        <v/>
      </c>
      <c r="B583">
        <f>IF($A583="","",IF(ISNUMBER($A583),IF(AND($A583&gt;=10000101,$A583&lt;=99991231),INT($A583/10000),""),IFERROR(VALUE(TRIM(LEFT($A583,FIND("/",$A583)-1))),"")))</f>
        <v/>
      </c>
      <c r="C583">
        <f>IF(OR($A583="",$B583=""),"",IF(ISNUMBER($A583),INT(MOD($A583,10000)/100),IFERROR(VALUE(TRIM(LEFT(MID($A583,FIND("/",$A583)+1,20),FIND("/",MID($A583,FIND("/",$A583)+1,20))-1))),"")))</f>
        <v/>
      </c>
      <c r="D583">
        <f>IF(OR($A583="",$B583=""),"",IF(ISNUMBER($A583),MOD($A583,100),IFERROR(VALUE(TRIM(MID(MID($A583,FIND("/",$A583)+1,20),FIND("/",MID($A583,FIND("/",$A583)+1,20))+1,20))),"")))</f>
        <v/>
      </c>
      <c r="E583">
        <f>IF($A583="","",IF(OR($B583="",$C583="",$D583="",$B583&lt;1300,$B583&gt;1500,$C583&lt;1,$C583&gt;12,$D583&lt;1,$D583&gt;31),"نامعتبر",RIGHT("0000"&amp;$B583,4)&amp;"/"&amp;RIGHT("00"&amp;$C583,2)&amp;"/"&amp;RIGHT("00"&amp;$D583,2)))</f>
        <v/>
      </c>
      <c r="F583">
        <f>IF(OR($E583="",$E583="نامعتبر"),"",LEFT($E583,4)&amp;"/"&amp;MID($E583,6,2))</f>
        <v/>
      </c>
      <c r="G583">
        <f>IF(OR($E583="",$E583="نامعتبر",Sync!$Y580=""),"",Sync!$Y580)</f>
        <v/>
      </c>
      <c r="H583">
        <f>IF($G583="","",IF(Sync!$X580="","",Sync!$X580))</f>
        <v/>
      </c>
      <c r="I583">
        <f>IF($G583="","",IFERROR(VLOOKUP(Sync!$X580,OpTbl,3,0),""))</f>
        <v/>
      </c>
      <c r="J583">
        <f>IF(OR($G583="",Sync!$Z580=""),"",Sync!$Z580)</f>
        <v/>
      </c>
      <c r="K583">
        <f>IF(OR($G583="",Sync!$AA580=""),"",Sync!$AA580)</f>
        <v/>
      </c>
      <c r="L583">
        <f>IF($G583="",0,IF(Sync!$AB580="",0,Sync!$AB580))</f>
        <v/>
      </c>
      <c r="M583">
        <f>IF($G583="",0,IF(Sync!$AC580="",0,Sync!$AC580))</f>
        <v/>
      </c>
      <c r="N583">
        <f>IF($G583="","",IF($H583="مرجوعی خرید",-1,1)*($L583-$M583*IFERROR(VLOOKUP("P01",ParamTbl,3,0),1.5))*(1-IF($I583="خرید",IFERROR(VLOOKUP("P02",ParamTbl,3,0),1),0)/100))</f>
        <v/>
      </c>
      <c r="O583">
        <f>IF($G583="",0,IF($H583="مرجوعی خرید",-1,1)*IF(Sync!$AD580="",0,Sync!$AD580))</f>
        <v/>
      </c>
      <c r="P583">
        <f>IF(OR($G583="",Sync!$W580=""),"",Sync!$W580)</f>
        <v/>
      </c>
      <c r="Q583">
        <f>IF(OR($G583="",Sync!$AE580=""),"",Sync!$AE580)</f>
        <v/>
      </c>
      <c r="R583">
        <f>IF($G583="","",IF(Sync!$V580="","0000",IF(AND(ISNUMBER(Sync!$V580),Sync!$V580&gt;=0,Sync!$V580&lt;1),RIGHT("00"&amp;HOUR(Sync!$V580),2)&amp;RIGHT("00"&amp;MINUTE(Sync!$V580),2),IFERROR(RIGHT("00"&amp;VALUE(LEFT(Sync!$V580,FIND(":",Sync!$V580)-1)),2)&amp;RIGHT("00"&amp;VALUE(MID(Sync!$V580,FIND(":",Sync!$V580)+1,2)),2),"0000"))))</f>
        <v/>
      </c>
    </row>
    <row r="584">
      <c r="A584">
        <f>IF(Sync!$U581="","",Sync!$U581)</f>
        <v/>
      </c>
      <c r="B584">
        <f>IF($A584="","",IF(ISNUMBER($A584),IF(AND($A584&gt;=10000101,$A584&lt;=99991231),INT($A584/10000),""),IFERROR(VALUE(TRIM(LEFT($A584,FIND("/",$A584)-1))),"")))</f>
        <v/>
      </c>
      <c r="C584">
        <f>IF(OR($A584="",$B584=""),"",IF(ISNUMBER($A584),INT(MOD($A584,10000)/100),IFERROR(VALUE(TRIM(LEFT(MID($A584,FIND("/",$A584)+1,20),FIND("/",MID($A584,FIND("/",$A584)+1,20))-1))),"")))</f>
        <v/>
      </c>
      <c r="D584">
        <f>IF(OR($A584="",$B584=""),"",IF(ISNUMBER($A584),MOD($A584,100),IFERROR(VALUE(TRIM(MID(MID($A584,FIND("/",$A584)+1,20),FIND("/",MID($A584,FIND("/",$A584)+1,20))+1,20))),"")))</f>
        <v/>
      </c>
      <c r="E584">
        <f>IF($A584="","",IF(OR($B584="",$C584="",$D584="",$B584&lt;1300,$B584&gt;1500,$C584&lt;1,$C584&gt;12,$D584&lt;1,$D584&gt;31),"نامعتبر",RIGHT("0000"&amp;$B584,4)&amp;"/"&amp;RIGHT("00"&amp;$C584,2)&amp;"/"&amp;RIGHT("00"&amp;$D584,2)))</f>
        <v/>
      </c>
      <c r="F584">
        <f>IF(OR($E584="",$E584="نامعتبر"),"",LEFT($E584,4)&amp;"/"&amp;MID($E584,6,2))</f>
        <v/>
      </c>
      <c r="G584">
        <f>IF(OR($E584="",$E584="نامعتبر",Sync!$Y581=""),"",Sync!$Y581)</f>
        <v/>
      </c>
      <c r="H584">
        <f>IF($G584="","",IF(Sync!$X581="","",Sync!$X581))</f>
        <v/>
      </c>
      <c r="I584">
        <f>IF($G584="","",IFERROR(VLOOKUP(Sync!$X581,OpTbl,3,0),""))</f>
        <v/>
      </c>
      <c r="J584">
        <f>IF(OR($G584="",Sync!$Z581=""),"",Sync!$Z581)</f>
        <v/>
      </c>
      <c r="K584">
        <f>IF(OR($G584="",Sync!$AA581=""),"",Sync!$AA581)</f>
        <v/>
      </c>
      <c r="L584">
        <f>IF($G584="",0,IF(Sync!$AB581="",0,Sync!$AB581))</f>
        <v/>
      </c>
      <c r="M584">
        <f>IF($G584="",0,IF(Sync!$AC581="",0,Sync!$AC581))</f>
        <v/>
      </c>
      <c r="N584">
        <f>IF($G584="","",IF($H584="مرجوعی خرید",-1,1)*($L584-$M584*IFERROR(VLOOKUP("P01",ParamTbl,3,0),1.5))*(1-IF($I584="خرید",IFERROR(VLOOKUP("P02",ParamTbl,3,0),1),0)/100))</f>
        <v/>
      </c>
      <c r="O584">
        <f>IF($G584="",0,IF($H584="مرجوعی خرید",-1,1)*IF(Sync!$AD581="",0,Sync!$AD581))</f>
        <v/>
      </c>
      <c r="P584">
        <f>IF(OR($G584="",Sync!$W581=""),"",Sync!$W581)</f>
        <v/>
      </c>
      <c r="Q584">
        <f>IF(OR($G584="",Sync!$AE581=""),"",Sync!$AE581)</f>
        <v/>
      </c>
      <c r="R584">
        <f>IF($G584="","",IF(Sync!$V581="","0000",IF(AND(ISNUMBER(Sync!$V581),Sync!$V581&gt;=0,Sync!$V581&lt;1),RIGHT("00"&amp;HOUR(Sync!$V581),2)&amp;RIGHT("00"&amp;MINUTE(Sync!$V581),2),IFERROR(RIGHT("00"&amp;VALUE(LEFT(Sync!$V581,FIND(":",Sync!$V581)-1)),2)&amp;RIGHT("00"&amp;VALUE(MID(Sync!$V581,FIND(":",Sync!$V581)+1,2)),2),"0000"))))</f>
        <v/>
      </c>
    </row>
    <row r="585">
      <c r="A585">
        <f>IF(Sync!$U582="","",Sync!$U582)</f>
        <v/>
      </c>
      <c r="B585">
        <f>IF($A585="","",IF(ISNUMBER($A585),IF(AND($A585&gt;=10000101,$A585&lt;=99991231),INT($A585/10000),""),IFERROR(VALUE(TRIM(LEFT($A585,FIND("/",$A585)-1))),"")))</f>
        <v/>
      </c>
      <c r="C585">
        <f>IF(OR($A585="",$B585=""),"",IF(ISNUMBER($A585),INT(MOD($A585,10000)/100),IFERROR(VALUE(TRIM(LEFT(MID($A585,FIND("/",$A585)+1,20),FIND("/",MID($A585,FIND("/",$A585)+1,20))-1))),"")))</f>
        <v/>
      </c>
      <c r="D585">
        <f>IF(OR($A585="",$B585=""),"",IF(ISNUMBER($A585),MOD($A585,100),IFERROR(VALUE(TRIM(MID(MID($A585,FIND("/",$A585)+1,20),FIND("/",MID($A585,FIND("/",$A585)+1,20))+1,20))),"")))</f>
        <v/>
      </c>
      <c r="E585">
        <f>IF($A585="","",IF(OR($B585="",$C585="",$D585="",$B585&lt;1300,$B585&gt;1500,$C585&lt;1,$C585&gt;12,$D585&lt;1,$D585&gt;31),"نامعتبر",RIGHT("0000"&amp;$B585,4)&amp;"/"&amp;RIGHT("00"&amp;$C585,2)&amp;"/"&amp;RIGHT("00"&amp;$D585,2)))</f>
        <v/>
      </c>
      <c r="F585">
        <f>IF(OR($E585="",$E585="نامعتبر"),"",LEFT($E585,4)&amp;"/"&amp;MID($E585,6,2))</f>
        <v/>
      </c>
      <c r="G585">
        <f>IF(OR($E585="",$E585="نامعتبر",Sync!$Y582=""),"",Sync!$Y582)</f>
        <v/>
      </c>
      <c r="H585">
        <f>IF($G585="","",IF(Sync!$X582="","",Sync!$X582))</f>
        <v/>
      </c>
      <c r="I585">
        <f>IF($G585="","",IFERROR(VLOOKUP(Sync!$X582,OpTbl,3,0),""))</f>
        <v/>
      </c>
      <c r="J585">
        <f>IF(OR($G585="",Sync!$Z582=""),"",Sync!$Z582)</f>
        <v/>
      </c>
      <c r="K585">
        <f>IF(OR($G585="",Sync!$AA582=""),"",Sync!$AA582)</f>
        <v/>
      </c>
      <c r="L585">
        <f>IF($G585="",0,IF(Sync!$AB582="",0,Sync!$AB582))</f>
        <v/>
      </c>
      <c r="M585">
        <f>IF($G585="",0,IF(Sync!$AC582="",0,Sync!$AC582))</f>
        <v/>
      </c>
      <c r="N585">
        <f>IF($G585="","",IF($H585="مرجوعی خرید",-1,1)*($L585-$M585*IFERROR(VLOOKUP("P01",ParamTbl,3,0),1.5))*(1-IF($I585="خرید",IFERROR(VLOOKUP("P02",ParamTbl,3,0),1),0)/100))</f>
        <v/>
      </c>
      <c r="O585">
        <f>IF($G585="",0,IF($H585="مرجوعی خرید",-1,1)*IF(Sync!$AD582="",0,Sync!$AD582))</f>
        <v/>
      </c>
      <c r="P585">
        <f>IF(OR($G585="",Sync!$W582=""),"",Sync!$W582)</f>
        <v/>
      </c>
      <c r="Q585">
        <f>IF(OR($G585="",Sync!$AE582=""),"",Sync!$AE582)</f>
        <v/>
      </c>
      <c r="R585">
        <f>IF($G585="","",IF(Sync!$V582="","0000",IF(AND(ISNUMBER(Sync!$V582),Sync!$V582&gt;=0,Sync!$V582&lt;1),RIGHT("00"&amp;HOUR(Sync!$V582),2)&amp;RIGHT("00"&amp;MINUTE(Sync!$V582),2),IFERROR(RIGHT("00"&amp;VALUE(LEFT(Sync!$V582,FIND(":",Sync!$V582)-1)),2)&amp;RIGHT("00"&amp;VALUE(MID(Sync!$V582,FIND(":",Sync!$V582)+1,2)),2),"0000"))))</f>
        <v/>
      </c>
    </row>
    <row r="586">
      <c r="A586">
        <f>IF(Sync!$U583="","",Sync!$U583)</f>
        <v/>
      </c>
      <c r="B586">
        <f>IF($A586="","",IF(ISNUMBER($A586),IF(AND($A586&gt;=10000101,$A586&lt;=99991231),INT($A586/10000),""),IFERROR(VALUE(TRIM(LEFT($A586,FIND("/",$A586)-1))),"")))</f>
        <v/>
      </c>
      <c r="C586">
        <f>IF(OR($A586="",$B586=""),"",IF(ISNUMBER($A586),INT(MOD($A586,10000)/100),IFERROR(VALUE(TRIM(LEFT(MID($A586,FIND("/",$A586)+1,20),FIND("/",MID($A586,FIND("/",$A586)+1,20))-1))),"")))</f>
        <v/>
      </c>
      <c r="D586">
        <f>IF(OR($A586="",$B586=""),"",IF(ISNUMBER($A586),MOD($A586,100),IFERROR(VALUE(TRIM(MID(MID($A586,FIND("/",$A586)+1,20),FIND("/",MID($A586,FIND("/",$A586)+1,20))+1,20))),"")))</f>
        <v/>
      </c>
      <c r="E586">
        <f>IF($A586="","",IF(OR($B586="",$C586="",$D586="",$B586&lt;1300,$B586&gt;1500,$C586&lt;1,$C586&gt;12,$D586&lt;1,$D586&gt;31),"نامعتبر",RIGHT("0000"&amp;$B586,4)&amp;"/"&amp;RIGHT("00"&amp;$C586,2)&amp;"/"&amp;RIGHT("00"&amp;$D586,2)))</f>
        <v/>
      </c>
      <c r="F586">
        <f>IF(OR($E586="",$E586="نامعتبر"),"",LEFT($E586,4)&amp;"/"&amp;MID($E586,6,2))</f>
        <v/>
      </c>
      <c r="G586">
        <f>IF(OR($E586="",$E586="نامعتبر",Sync!$Y583=""),"",Sync!$Y583)</f>
        <v/>
      </c>
      <c r="H586">
        <f>IF($G586="","",IF(Sync!$X583="","",Sync!$X583))</f>
        <v/>
      </c>
      <c r="I586">
        <f>IF($G586="","",IFERROR(VLOOKUP(Sync!$X583,OpTbl,3,0),""))</f>
        <v/>
      </c>
      <c r="J586">
        <f>IF(OR($G586="",Sync!$Z583=""),"",Sync!$Z583)</f>
        <v/>
      </c>
      <c r="K586">
        <f>IF(OR($G586="",Sync!$AA583=""),"",Sync!$AA583)</f>
        <v/>
      </c>
      <c r="L586">
        <f>IF($G586="",0,IF(Sync!$AB583="",0,Sync!$AB583))</f>
        <v/>
      </c>
      <c r="M586">
        <f>IF($G586="",0,IF(Sync!$AC583="",0,Sync!$AC583))</f>
        <v/>
      </c>
      <c r="N586">
        <f>IF($G586="","",IF($H586="مرجوعی خرید",-1,1)*($L586-$M586*IFERROR(VLOOKUP("P01",ParamTbl,3,0),1.5))*(1-IF($I586="خرید",IFERROR(VLOOKUP("P02",ParamTbl,3,0),1),0)/100))</f>
        <v/>
      </c>
      <c r="O586">
        <f>IF($G586="",0,IF($H586="مرجوعی خرید",-1,1)*IF(Sync!$AD583="",0,Sync!$AD583))</f>
        <v/>
      </c>
      <c r="P586">
        <f>IF(OR($G586="",Sync!$W583=""),"",Sync!$W583)</f>
        <v/>
      </c>
      <c r="Q586">
        <f>IF(OR($G586="",Sync!$AE583=""),"",Sync!$AE583)</f>
        <v/>
      </c>
      <c r="R586">
        <f>IF($G586="","",IF(Sync!$V583="","0000",IF(AND(ISNUMBER(Sync!$V583),Sync!$V583&gt;=0,Sync!$V583&lt;1),RIGHT("00"&amp;HOUR(Sync!$V583),2)&amp;RIGHT("00"&amp;MINUTE(Sync!$V583),2),IFERROR(RIGHT("00"&amp;VALUE(LEFT(Sync!$V583,FIND(":",Sync!$V583)-1)),2)&amp;RIGHT("00"&amp;VALUE(MID(Sync!$V583,FIND(":",Sync!$V583)+1,2)),2),"0000"))))</f>
        <v/>
      </c>
    </row>
    <row r="587">
      <c r="A587">
        <f>IF(Sync!$U584="","",Sync!$U584)</f>
        <v/>
      </c>
      <c r="B587">
        <f>IF($A587="","",IF(ISNUMBER($A587),IF(AND($A587&gt;=10000101,$A587&lt;=99991231),INT($A587/10000),""),IFERROR(VALUE(TRIM(LEFT($A587,FIND("/",$A587)-1))),"")))</f>
        <v/>
      </c>
      <c r="C587">
        <f>IF(OR($A587="",$B587=""),"",IF(ISNUMBER($A587),INT(MOD($A587,10000)/100),IFERROR(VALUE(TRIM(LEFT(MID($A587,FIND("/",$A587)+1,20),FIND("/",MID($A587,FIND("/",$A587)+1,20))-1))),"")))</f>
        <v/>
      </c>
      <c r="D587">
        <f>IF(OR($A587="",$B587=""),"",IF(ISNUMBER($A587),MOD($A587,100),IFERROR(VALUE(TRIM(MID(MID($A587,FIND("/",$A587)+1,20),FIND("/",MID($A587,FIND("/",$A587)+1,20))+1,20))),"")))</f>
        <v/>
      </c>
      <c r="E587">
        <f>IF($A587="","",IF(OR($B587="",$C587="",$D587="",$B587&lt;1300,$B587&gt;1500,$C587&lt;1,$C587&gt;12,$D587&lt;1,$D587&gt;31),"نامعتبر",RIGHT("0000"&amp;$B587,4)&amp;"/"&amp;RIGHT("00"&amp;$C587,2)&amp;"/"&amp;RIGHT("00"&amp;$D587,2)))</f>
        <v/>
      </c>
      <c r="F587">
        <f>IF(OR($E587="",$E587="نامعتبر"),"",LEFT($E587,4)&amp;"/"&amp;MID($E587,6,2))</f>
        <v/>
      </c>
      <c r="G587">
        <f>IF(OR($E587="",$E587="نامعتبر",Sync!$Y584=""),"",Sync!$Y584)</f>
        <v/>
      </c>
      <c r="H587">
        <f>IF($G587="","",IF(Sync!$X584="","",Sync!$X584))</f>
        <v/>
      </c>
      <c r="I587">
        <f>IF($G587="","",IFERROR(VLOOKUP(Sync!$X584,OpTbl,3,0),""))</f>
        <v/>
      </c>
      <c r="J587">
        <f>IF(OR($G587="",Sync!$Z584=""),"",Sync!$Z584)</f>
        <v/>
      </c>
      <c r="K587">
        <f>IF(OR($G587="",Sync!$AA584=""),"",Sync!$AA584)</f>
        <v/>
      </c>
      <c r="L587">
        <f>IF($G587="",0,IF(Sync!$AB584="",0,Sync!$AB584))</f>
        <v/>
      </c>
      <c r="M587">
        <f>IF($G587="",0,IF(Sync!$AC584="",0,Sync!$AC584))</f>
        <v/>
      </c>
      <c r="N587">
        <f>IF($G587="","",IF($H587="مرجوعی خرید",-1,1)*($L587-$M587*IFERROR(VLOOKUP("P01",ParamTbl,3,0),1.5))*(1-IF($I587="خرید",IFERROR(VLOOKUP("P02",ParamTbl,3,0),1),0)/100))</f>
        <v/>
      </c>
      <c r="O587">
        <f>IF($G587="",0,IF($H587="مرجوعی خرید",-1,1)*IF(Sync!$AD584="",0,Sync!$AD584))</f>
        <v/>
      </c>
      <c r="P587">
        <f>IF(OR($G587="",Sync!$W584=""),"",Sync!$W584)</f>
        <v/>
      </c>
      <c r="Q587">
        <f>IF(OR($G587="",Sync!$AE584=""),"",Sync!$AE584)</f>
        <v/>
      </c>
      <c r="R587">
        <f>IF($G587="","",IF(Sync!$V584="","0000",IF(AND(ISNUMBER(Sync!$V584),Sync!$V584&gt;=0,Sync!$V584&lt;1),RIGHT("00"&amp;HOUR(Sync!$V584),2)&amp;RIGHT("00"&amp;MINUTE(Sync!$V584),2),IFERROR(RIGHT("00"&amp;VALUE(LEFT(Sync!$V584,FIND(":",Sync!$V584)-1)),2)&amp;RIGHT("00"&amp;VALUE(MID(Sync!$V584,FIND(":",Sync!$V584)+1,2)),2),"0000"))))</f>
        <v/>
      </c>
    </row>
    <row r="588">
      <c r="A588">
        <f>IF(Sync!$U585="","",Sync!$U585)</f>
        <v/>
      </c>
      <c r="B588">
        <f>IF($A588="","",IF(ISNUMBER($A588),IF(AND($A588&gt;=10000101,$A588&lt;=99991231),INT($A588/10000),""),IFERROR(VALUE(TRIM(LEFT($A588,FIND("/",$A588)-1))),"")))</f>
        <v/>
      </c>
      <c r="C588">
        <f>IF(OR($A588="",$B588=""),"",IF(ISNUMBER($A588),INT(MOD($A588,10000)/100),IFERROR(VALUE(TRIM(LEFT(MID($A588,FIND("/",$A588)+1,20),FIND("/",MID($A588,FIND("/",$A588)+1,20))-1))),"")))</f>
        <v/>
      </c>
      <c r="D588">
        <f>IF(OR($A588="",$B588=""),"",IF(ISNUMBER($A588),MOD($A588,100),IFERROR(VALUE(TRIM(MID(MID($A588,FIND("/",$A588)+1,20),FIND("/",MID($A588,FIND("/",$A588)+1,20))+1,20))),"")))</f>
        <v/>
      </c>
      <c r="E588">
        <f>IF($A588="","",IF(OR($B588="",$C588="",$D588="",$B588&lt;1300,$B588&gt;1500,$C588&lt;1,$C588&gt;12,$D588&lt;1,$D588&gt;31),"نامعتبر",RIGHT("0000"&amp;$B588,4)&amp;"/"&amp;RIGHT("00"&amp;$C588,2)&amp;"/"&amp;RIGHT("00"&amp;$D588,2)))</f>
        <v/>
      </c>
      <c r="F588">
        <f>IF(OR($E588="",$E588="نامعتبر"),"",LEFT($E588,4)&amp;"/"&amp;MID($E588,6,2))</f>
        <v/>
      </c>
      <c r="G588">
        <f>IF(OR($E588="",$E588="نامعتبر",Sync!$Y585=""),"",Sync!$Y585)</f>
        <v/>
      </c>
      <c r="H588">
        <f>IF($G588="","",IF(Sync!$X585="","",Sync!$X585))</f>
        <v/>
      </c>
      <c r="I588">
        <f>IF($G588="","",IFERROR(VLOOKUP(Sync!$X585,OpTbl,3,0),""))</f>
        <v/>
      </c>
      <c r="J588">
        <f>IF(OR($G588="",Sync!$Z585=""),"",Sync!$Z585)</f>
        <v/>
      </c>
      <c r="K588">
        <f>IF(OR($G588="",Sync!$AA585=""),"",Sync!$AA585)</f>
        <v/>
      </c>
      <c r="L588">
        <f>IF($G588="",0,IF(Sync!$AB585="",0,Sync!$AB585))</f>
        <v/>
      </c>
      <c r="M588">
        <f>IF($G588="",0,IF(Sync!$AC585="",0,Sync!$AC585))</f>
        <v/>
      </c>
      <c r="N588">
        <f>IF($G588="","",IF($H588="مرجوعی خرید",-1,1)*($L588-$M588*IFERROR(VLOOKUP("P01",ParamTbl,3,0),1.5))*(1-IF($I588="خرید",IFERROR(VLOOKUP("P02",ParamTbl,3,0),1),0)/100))</f>
        <v/>
      </c>
      <c r="O588">
        <f>IF($G588="",0,IF($H588="مرجوعی خرید",-1,1)*IF(Sync!$AD585="",0,Sync!$AD585))</f>
        <v/>
      </c>
      <c r="P588">
        <f>IF(OR($G588="",Sync!$W585=""),"",Sync!$W585)</f>
        <v/>
      </c>
      <c r="Q588">
        <f>IF(OR($G588="",Sync!$AE585=""),"",Sync!$AE585)</f>
        <v/>
      </c>
      <c r="R588">
        <f>IF($G588="","",IF(Sync!$V585="","0000",IF(AND(ISNUMBER(Sync!$V585),Sync!$V585&gt;=0,Sync!$V585&lt;1),RIGHT("00"&amp;HOUR(Sync!$V585),2)&amp;RIGHT("00"&amp;MINUTE(Sync!$V585),2),IFERROR(RIGHT("00"&amp;VALUE(LEFT(Sync!$V585,FIND(":",Sync!$V585)-1)),2)&amp;RIGHT("00"&amp;VALUE(MID(Sync!$V585,FIND(":",Sync!$V585)+1,2)),2),"0000"))))</f>
        <v/>
      </c>
    </row>
    <row r="589">
      <c r="A589">
        <f>IF(Sync!$U586="","",Sync!$U586)</f>
        <v/>
      </c>
      <c r="B589">
        <f>IF($A589="","",IF(ISNUMBER($A589),IF(AND($A589&gt;=10000101,$A589&lt;=99991231),INT($A589/10000),""),IFERROR(VALUE(TRIM(LEFT($A589,FIND("/",$A589)-1))),"")))</f>
        <v/>
      </c>
      <c r="C589">
        <f>IF(OR($A589="",$B589=""),"",IF(ISNUMBER($A589),INT(MOD($A589,10000)/100),IFERROR(VALUE(TRIM(LEFT(MID($A589,FIND("/",$A589)+1,20),FIND("/",MID($A589,FIND("/",$A589)+1,20))-1))),"")))</f>
        <v/>
      </c>
      <c r="D589">
        <f>IF(OR($A589="",$B589=""),"",IF(ISNUMBER($A589),MOD($A589,100),IFERROR(VALUE(TRIM(MID(MID($A589,FIND("/",$A589)+1,20),FIND("/",MID($A589,FIND("/",$A589)+1,20))+1,20))),"")))</f>
        <v/>
      </c>
      <c r="E589">
        <f>IF($A589="","",IF(OR($B589="",$C589="",$D589="",$B589&lt;1300,$B589&gt;1500,$C589&lt;1,$C589&gt;12,$D589&lt;1,$D589&gt;31),"نامعتبر",RIGHT("0000"&amp;$B589,4)&amp;"/"&amp;RIGHT("00"&amp;$C589,2)&amp;"/"&amp;RIGHT("00"&amp;$D589,2)))</f>
        <v/>
      </c>
      <c r="F589">
        <f>IF(OR($E589="",$E589="نامعتبر"),"",LEFT($E589,4)&amp;"/"&amp;MID($E589,6,2))</f>
        <v/>
      </c>
      <c r="G589">
        <f>IF(OR($E589="",$E589="نامعتبر",Sync!$Y586=""),"",Sync!$Y586)</f>
        <v/>
      </c>
      <c r="H589">
        <f>IF($G589="","",IF(Sync!$X586="","",Sync!$X586))</f>
        <v/>
      </c>
      <c r="I589">
        <f>IF($G589="","",IFERROR(VLOOKUP(Sync!$X586,OpTbl,3,0),""))</f>
        <v/>
      </c>
      <c r="J589">
        <f>IF(OR($G589="",Sync!$Z586=""),"",Sync!$Z586)</f>
        <v/>
      </c>
      <c r="K589">
        <f>IF(OR($G589="",Sync!$AA586=""),"",Sync!$AA586)</f>
        <v/>
      </c>
      <c r="L589">
        <f>IF($G589="",0,IF(Sync!$AB586="",0,Sync!$AB586))</f>
        <v/>
      </c>
      <c r="M589">
        <f>IF($G589="",0,IF(Sync!$AC586="",0,Sync!$AC586))</f>
        <v/>
      </c>
      <c r="N589">
        <f>IF($G589="","",IF($H589="مرجوعی خرید",-1,1)*($L589-$M589*IFERROR(VLOOKUP("P01",ParamTbl,3,0),1.5))*(1-IF($I589="خرید",IFERROR(VLOOKUP("P02",ParamTbl,3,0),1),0)/100))</f>
        <v/>
      </c>
      <c r="O589">
        <f>IF($G589="",0,IF($H589="مرجوعی خرید",-1,1)*IF(Sync!$AD586="",0,Sync!$AD586))</f>
        <v/>
      </c>
      <c r="P589">
        <f>IF(OR($G589="",Sync!$W586=""),"",Sync!$W586)</f>
        <v/>
      </c>
      <c r="Q589">
        <f>IF(OR($G589="",Sync!$AE586=""),"",Sync!$AE586)</f>
        <v/>
      </c>
      <c r="R589">
        <f>IF($G589="","",IF(Sync!$V586="","0000",IF(AND(ISNUMBER(Sync!$V586),Sync!$V586&gt;=0,Sync!$V586&lt;1),RIGHT("00"&amp;HOUR(Sync!$V586),2)&amp;RIGHT("00"&amp;MINUTE(Sync!$V586),2),IFERROR(RIGHT("00"&amp;VALUE(LEFT(Sync!$V586,FIND(":",Sync!$V586)-1)),2)&amp;RIGHT("00"&amp;VALUE(MID(Sync!$V586,FIND(":",Sync!$V586)+1,2)),2),"0000"))))</f>
        <v/>
      </c>
    </row>
    <row r="590">
      <c r="A590">
        <f>IF(Sync!$U587="","",Sync!$U587)</f>
        <v/>
      </c>
      <c r="B590">
        <f>IF($A590="","",IF(ISNUMBER($A590),IF(AND($A590&gt;=10000101,$A590&lt;=99991231),INT($A590/10000),""),IFERROR(VALUE(TRIM(LEFT($A590,FIND("/",$A590)-1))),"")))</f>
        <v/>
      </c>
      <c r="C590">
        <f>IF(OR($A590="",$B590=""),"",IF(ISNUMBER($A590),INT(MOD($A590,10000)/100),IFERROR(VALUE(TRIM(LEFT(MID($A590,FIND("/",$A590)+1,20),FIND("/",MID($A590,FIND("/",$A590)+1,20))-1))),"")))</f>
        <v/>
      </c>
      <c r="D590">
        <f>IF(OR($A590="",$B590=""),"",IF(ISNUMBER($A590),MOD($A590,100),IFERROR(VALUE(TRIM(MID(MID($A590,FIND("/",$A590)+1,20),FIND("/",MID($A590,FIND("/",$A590)+1,20))+1,20))),"")))</f>
        <v/>
      </c>
      <c r="E590">
        <f>IF($A590="","",IF(OR($B590="",$C590="",$D590="",$B590&lt;1300,$B590&gt;1500,$C590&lt;1,$C590&gt;12,$D590&lt;1,$D590&gt;31),"نامعتبر",RIGHT("0000"&amp;$B590,4)&amp;"/"&amp;RIGHT("00"&amp;$C590,2)&amp;"/"&amp;RIGHT("00"&amp;$D590,2)))</f>
        <v/>
      </c>
      <c r="F590">
        <f>IF(OR($E590="",$E590="نامعتبر"),"",LEFT($E590,4)&amp;"/"&amp;MID($E590,6,2))</f>
        <v/>
      </c>
      <c r="G590">
        <f>IF(OR($E590="",$E590="نامعتبر",Sync!$Y587=""),"",Sync!$Y587)</f>
        <v/>
      </c>
      <c r="H590">
        <f>IF($G590="","",IF(Sync!$X587="","",Sync!$X587))</f>
        <v/>
      </c>
      <c r="I590">
        <f>IF($G590="","",IFERROR(VLOOKUP(Sync!$X587,OpTbl,3,0),""))</f>
        <v/>
      </c>
      <c r="J590">
        <f>IF(OR($G590="",Sync!$Z587=""),"",Sync!$Z587)</f>
        <v/>
      </c>
      <c r="K590">
        <f>IF(OR($G590="",Sync!$AA587=""),"",Sync!$AA587)</f>
        <v/>
      </c>
      <c r="L590">
        <f>IF($G590="",0,IF(Sync!$AB587="",0,Sync!$AB587))</f>
        <v/>
      </c>
      <c r="M590">
        <f>IF($G590="",0,IF(Sync!$AC587="",0,Sync!$AC587))</f>
        <v/>
      </c>
      <c r="N590">
        <f>IF($G590="","",IF($H590="مرجوعی خرید",-1,1)*($L590-$M590*IFERROR(VLOOKUP("P01",ParamTbl,3,0),1.5))*(1-IF($I590="خرید",IFERROR(VLOOKUP("P02",ParamTbl,3,0),1),0)/100))</f>
        <v/>
      </c>
      <c r="O590">
        <f>IF($G590="",0,IF($H590="مرجوعی خرید",-1,1)*IF(Sync!$AD587="",0,Sync!$AD587))</f>
        <v/>
      </c>
      <c r="P590">
        <f>IF(OR($G590="",Sync!$W587=""),"",Sync!$W587)</f>
        <v/>
      </c>
      <c r="Q590">
        <f>IF(OR($G590="",Sync!$AE587=""),"",Sync!$AE587)</f>
        <v/>
      </c>
      <c r="R590">
        <f>IF($G590="","",IF(Sync!$V587="","0000",IF(AND(ISNUMBER(Sync!$V587),Sync!$V587&gt;=0,Sync!$V587&lt;1),RIGHT("00"&amp;HOUR(Sync!$V587),2)&amp;RIGHT("00"&amp;MINUTE(Sync!$V587),2),IFERROR(RIGHT("00"&amp;VALUE(LEFT(Sync!$V587,FIND(":",Sync!$V587)-1)),2)&amp;RIGHT("00"&amp;VALUE(MID(Sync!$V587,FIND(":",Sync!$V587)+1,2)),2),"0000"))))</f>
        <v/>
      </c>
    </row>
    <row r="591">
      <c r="A591">
        <f>IF(Sync!$U588="","",Sync!$U588)</f>
        <v/>
      </c>
      <c r="B591">
        <f>IF($A591="","",IF(ISNUMBER($A591),IF(AND($A591&gt;=10000101,$A591&lt;=99991231),INT($A591/10000),""),IFERROR(VALUE(TRIM(LEFT($A591,FIND("/",$A591)-1))),"")))</f>
        <v/>
      </c>
      <c r="C591">
        <f>IF(OR($A591="",$B591=""),"",IF(ISNUMBER($A591),INT(MOD($A591,10000)/100),IFERROR(VALUE(TRIM(LEFT(MID($A591,FIND("/",$A591)+1,20),FIND("/",MID($A591,FIND("/",$A591)+1,20))-1))),"")))</f>
        <v/>
      </c>
      <c r="D591">
        <f>IF(OR($A591="",$B591=""),"",IF(ISNUMBER($A591),MOD($A591,100),IFERROR(VALUE(TRIM(MID(MID($A591,FIND("/",$A591)+1,20),FIND("/",MID($A591,FIND("/",$A591)+1,20))+1,20))),"")))</f>
        <v/>
      </c>
      <c r="E591">
        <f>IF($A591="","",IF(OR($B591="",$C591="",$D591="",$B591&lt;1300,$B591&gt;1500,$C591&lt;1,$C591&gt;12,$D591&lt;1,$D591&gt;31),"نامعتبر",RIGHT("0000"&amp;$B591,4)&amp;"/"&amp;RIGHT("00"&amp;$C591,2)&amp;"/"&amp;RIGHT("00"&amp;$D591,2)))</f>
        <v/>
      </c>
      <c r="F591">
        <f>IF(OR($E591="",$E591="نامعتبر"),"",LEFT($E591,4)&amp;"/"&amp;MID($E591,6,2))</f>
        <v/>
      </c>
      <c r="G591">
        <f>IF(OR($E591="",$E591="نامعتبر",Sync!$Y588=""),"",Sync!$Y588)</f>
        <v/>
      </c>
      <c r="H591">
        <f>IF($G591="","",IF(Sync!$X588="","",Sync!$X588))</f>
        <v/>
      </c>
      <c r="I591">
        <f>IF($G591="","",IFERROR(VLOOKUP(Sync!$X588,OpTbl,3,0),""))</f>
        <v/>
      </c>
      <c r="J591">
        <f>IF(OR($G591="",Sync!$Z588=""),"",Sync!$Z588)</f>
        <v/>
      </c>
      <c r="K591">
        <f>IF(OR($G591="",Sync!$AA588=""),"",Sync!$AA588)</f>
        <v/>
      </c>
      <c r="L591">
        <f>IF($G591="",0,IF(Sync!$AB588="",0,Sync!$AB588))</f>
        <v/>
      </c>
      <c r="M591">
        <f>IF($G591="",0,IF(Sync!$AC588="",0,Sync!$AC588))</f>
        <v/>
      </c>
      <c r="N591">
        <f>IF($G591="","",IF($H591="مرجوعی خرید",-1,1)*($L591-$M591*IFERROR(VLOOKUP("P01",ParamTbl,3,0),1.5))*(1-IF($I591="خرید",IFERROR(VLOOKUP("P02",ParamTbl,3,0),1),0)/100))</f>
        <v/>
      </c>
      <c r="O591">
        <f>IF($G591="",0,IF($H591="مرجوعی خرید",-1,1)*IF(Sync!$AD588="",0,Sync!$AD588))</f>
        <v/>
      </c>
      <c r="P591">
        <f>IF(OR($G591="",Sync!$W588=""),"",Sync!$W588)</f>
        <v/>
      </c>
      <c r="Q591">
        <f>IF(OR($G591="",Sync!$AE588=""),"",Sync!$AE588)</f>
        <v/>
      </c>
      <c r="R591">
        <f>IF($G591="","",IF(Sync!$V588="","0000",IF(AND(ISNUMBER(Sync!$V588),Sync!$V588&gt;=0,Sync!$V588&lt;1),RIGHT("00"&amp;HOUR(Sync!$V588),2)&amp;RIGHT("00"&amp;MINUTE(Sync!$V588),2),IFERROR(RIGHT("00"&amp;VALUE(LEFT(Sync!$V588,FIND(":",Sync!$V588)-1)),2)&amp;RIGHT("00"&amp;VALUE(MID(Sync!$V588,FIND(":",Sync!$V588)+1,2)),2),"0000"))))</f>
        <v/>
      </c>
    </row>
    <row r="592">
      <c r="A592">
        <f>IF(Sync!$U589="","",Sync!$U589)</f>
        <v/>
      </c>
      <c r="B592">
        <f>IF($A592="","",IF(ISNUMBER($A592),IF(AND($A592&gt;=10000101,$A592&lt;=99991231),INT($A592/10000),""),IFERROR(VALUE(TRIM(LEFT($A592,FIND("/",$A592)-1))),"")))</f>
        <v/>
      </c>
      <c r="C592">
        <f>IF(OR($A592="",$B592=""),"",IF(ISNUMBER($A592),INT(MOD($A592,10000)/100),IFERROR(VALUE(TRIM(LEFT(MID($A592,FIND("/",$A592)+1,20),FIND("/",MID($A592,FIND("/",$A592)+1,20))-1))),"")))</f>
        <v/>
      </c>
      <c r="D592">
        <f>IF(OR($A592="",$B592=""),"",IF(ISNUMBER($A592),MOD($A592,100),IFERROR(VALUE(TRIM(MID(MID($A592,FIND("/",$A592)+1,20),FIND("/",MID($A592,FIND("/",$A592)+1,20))+1,20))),"")))</f>
        <v/>
      </c>
      <c r="E592">
        <f>IF($A592="","",IF(OR($B592="",$C592="",$D592="",$B592&lt;1300,$B592&gt;1500,$C592&lt;1,$C592&gt;12,$D592&lt;1,$D592&gt;31),"نامعتبر",RIGHT("0000"&amp;$B592,4)&amp;"/"&amp;RIGHT("00"&amp;$C592,2)&amp;"/"&amp;RIGHT("00"&amp;$D592,2)))</f>
        <v/>
      </c>
      <c r="F592">
        <f>IF(OR($E592="",$E592="نامعتبر"),"",LEFT($E592,4)&amp;"/"&amp;MID($E592,6,2))</f>
        <v/>
      </c>
      <c r="G592">
        <f>IF(OR($E592="",$E592="نامعتبر",Sync!$Y589=""),"",Sync!$Y589)</f>
        <v/>
      </c>
      <c r="H592">
        <f>IF($G592="","",IF(Sync!$X589="","",Sync!$X589))</f>
        <v/>
      </c>
      <c r="I592">
        <f>IF($G592="","",IFERROR(VLOOKUP(Sync!$X589,OpTbl,3,0),""))</f>
        <v/>
      </c>
      <c r="J592">
        <f>IF(OR($G592="",Sync!$Z589=""),"",Sync!$Z589)</f>
        <v/>
      </c>
      <c r="K592">
        <f>IF(OR($G592="",Sync!$AA589=""),"",Sync!$AA589)</f>
        <v/>
      </c>
      <c r="L592">
        <f>IF($G592="",0,IF(Sync!$AB589="",0,Sync!$AB589))</f>
        <v/>
      </c>
      <c r="M592">
        <f>IF($G592="",0,IF(Sync!$AC589="",0,Sync!$AC589))</f>
        <v/>
      </c>
      <c r="N592">
        <f>IF($G592="","",IF($H592="مرجوعی خرید",-1,1)*($L592-$M592*IFERROR(VLOOKUP("P01",ParamTbl,3,0),1.5))*(1-IF($I592="خرید",IFERROR(VLOOKUP("P02",ParamTbl,3,0),1),0)/100))</f>
        <v/>
      </c>
      <c r="O592">
        <f>IF($G592="",0,IF($H592="مرجوعی خرید",-1,1)*IF(Sync!$AD589="",0,Sync!$AD589))</f>
        <v/>
      </c>
      <c r="P592">
        <f>IF(OR($G592="",Sync!$W589=""),"",Sync!$W589)</f>
        <v/>
      </c>
      <c r="Q592">
        <f>IF(OR($G592="",Sync!$AE589=""),"",Sync!$AE589)</f>
        <v/>
      </c>
      <c r="R592">
        <f>IF($G592="","",IF(Sync!$V589="","0000",IF(AND(ISNUMBER(Sync!$V589),Sync!$V589&gt;=0,Sync!$V589&lt;1),RIGHT("00"&amp;HOUR(Sync!$V589),2)&amp;RIGHT("00"&amp;MINUTE(Sync!$V589),2),IFERROR(RIGHT("00"&amp;VALUE(LEFT(Sync!$V589,FIND(":",Sync!$V589)-1)),2)&amp;RIGHT("00"&amp;VALUE(MID(Sync!$V589,FIND(":",Sync!$V589)+1,2)),2),"0000"))))</f>
        <v/>
      </c>
    </row>
    <row r="593">
      <c r="A593">
        <f>IF(Sync!$U590="","",Sync!$U590)</f>
        <v/>
      </c>
      <c r="B593">
        <f>IF($A593="","",IF(ISNUMBER($A593),IF(AND($A593&gt;=10000101,$A593&lt;=99991231),INT($A593/10000),""),IFERROR(VALUE(TRIM(LEFT($A593,FIND("/",$A593)-1))),"")))</f>
        <v/>
      </c>
      <c r="C593">
        <f>IF(OR($A593="",$B593=""),"",IF(ISNUMBER($A593),INT(MOD($A593,10000)/100),IFERROR(VALUE(TRIM(LEFT(MID($A593,FIND("/",$A593)+1,20),FIND("/",MID($A593,FIND("/",$A593)+1,20))-1))),"")))</f>
        <v/>
      </c>
      <c r="D593">
        <f>IF(OR($A593="",$B593=""),"",IF(ISNUMBER($A593),MOD($A593,100),IFERROR(VALUE(TRIM(MID(MID($A593,FIND("/",$A593)+1,20),FIND("/",MID($A593,FIND("/",$A593)+1,20))+1,20))),"")))</f>
        <v/>
      </c>
      <c r="E593">
        <f>IF($A593="","",IF(OR($B593="",$C593="",$D593="",$B593&lt;1300,$B593&gt;1500,$C593&lt;1,$C593&gt;12,$D593&lt;1,$D593&gt;31),"نامعتبر",RIGHT("0000"&amp;$B593,4)&amp;"/"&amp;RIGHT("00"&amp;$C593,2)&amp;"/"&amp;RIGHT("00"&amp;$D593,2)))</f>
        <v/>
      </c>
      <c r="F593">
        <f>IF(OR($E593="",$E593="نامعتبر"),"",LEFT($E593,4)&amp;"/"&amp;MID($E593,6,2))</f>
        <v/>
      </c>
      <c r="G593">
        <f>IF(OR($E593="",$E593="نامعتبر",Sync!$Y590=""),"",Sync!$Y590)</f>
        <v/>
      </c>
      <c r="H593">
        <f>IF($G593="","",IF(Sync!$X590="","",Sync!$X590))</f>
        <v/>
      </c>
      <c r="I593">
        <f>IF($G593="","",IFERROR(VLOOKUP(Sync!$X590,OpTbl,3,0),""))</f>
        <v/>
      </c>
      <c r="J593">
        <f>IF(OR($G593="",Sync!$Z590=""),"",Sync!$Z590)</f>
        <v/>
      </c>
      <c r="K593">
        <f>IF(OR($G593="",Sync!$AA590=""),"",Sync!$AA590)</f>
        <v/>
      </c>
      <c r="L593">
        <f>IF($G593="",0,IF(Sync!$AB590="",0,Sync!$AB590))</f>
        <v/>
      </c>
      <c r="M593">
        <f>IF($G593="",0,IF(Sync!$AC590="",0,Sync!$AC590))</f>
        <v/>
      </c>
      <c r="N593">
        <f>IF($G593="","",IF($H593="مرجوعی خرید",-1,1)*($L593-$M593*IFERROR(VLOOKUP("P01",ParamTbl,3,0),1.5))*(1-IF($I593="خرید",IFERROR(VLOOKUP("P02",ParamTbl,3,0),1),0)/100))</f>
        <v/>
      </c>
      <c r="O593">
        <f>IF($G593="",0,IF($H593="مرجوعی خرید",-1,1)*IF(Sync!$AD590="",0,Sync!$AD590))</f>
        <v/>
      </c>
      <c r="P593">
        <f>IF(OR($G593="",Sync!$W590=""),"",Sync!$W590)</f>
        <v/>
      </c>
      <c r="Q593">
        <f>IF(OR($G593="",Sync!$AE590=""),"",Sync!$AE590)</f>
        <v/>
      </c>
      <c r="R593">
        <f>IF($G593="","",IF(Sync!$V590="","0000",IF(AND(ISNUMBER(Sync!$V590),Sync!$V590&gt;=0,Sync!$V590&lt;1),RIGHT("00"&amp;HOUR(Sync!$V590),2)&amp;RIGHT("00"&amp;MINUTE(Sync!$V590),2),IFERROR(RIGHT("00"&amp;VALUE(LEFT(Sync!$V590,FIND(":",Sync!$V590)-1)),2)&amp;RIGHT("00"&amp;VALUE(MID(Sync!$V590,FIND(":",Sync!$V590)+1,2)),2),"0000"))))</f>
        <v/>
      </c>
    </row>
    <row r="594">
      <c r="A594">
        <f>IF(Sync!$U591="","",Sync!$U591)</f>
        <v/>
      </c>
      <c r="B594">
        <f>IF($A594="","",IF(ISNUMBER($A594),IF(AND($A594&gt;=10000101,$A594&lt;=99991231),INT($A594/10000),""),IFERROR(VALUE(TRIM(LEFT($A594,FIND("/",$A594)-1))),"")))</f>
        <v/>
      </c>
      <c r="C594">
        <f>IF(OR($A594="",$B594=""),"",IF(ISNUMBER($A594),INT(MOD($A594,10000)/100),IFERROR(VALUE(TRIM(LEFT(MID($A594,FIND("/",$A594)+1,20),FIND("/",MID($A594,FIND("/",$A594)+1,20))-1))),"")))</f>
        <v/>
      </c>
      <c r="D594">
        <f>IF(OR($A594="",$B594=""),"",IF(ISNUMBER($A594),MOD($A594,100),IFERROR(VALUE(TRIM(MID(MID($A594,FIND("/",$A594)+1,20),FIND("/",MID($A594,FIND("/",$A594)+1,20))+1,20))),"")))</f>
        <v/>
      </c>
      <c r="E594">
        <f>IF($A594="","",IF(OR($B594="",$C594="",$D594="",$B594&lt;1300,$B594&gt;1500,$C594&lt;1,$C594&gt;12,$D594&lt;1,$D594&gt;31),"نامعتبر",RIGHT("0000"&amp;$B594,4)&amp;"/"&amp;RIGHT("00"&amp;$C594,2)&amp;"/"&amp;RIGHT("00"&amp;$D594,2)))</f>
        <v/>
      </c>
      <c r="F594">
        <f>IF(OR($E594="",$E594="نامعتبر"),"",LEFT($E594,4)&amp;"/"&amp;MID($E594,6,2))</f>
        <v/>
      </c>
      <c r="G594">
        <f>IF(OR($E594="",$E594="نامعتبر",Sync!$Y591=""),"",Sync!$Y591)</f>
        <v/>
      </c>
      <c r="H594">
        <f>IF($G594="","",IF(Sync!$X591="","",Sync!$X591))</f>
        <v/>
      </c>
      <c r="I594">
        <f>IF($G594="","",IFERROR(VLOOKUP(Sync!$X591,OpTbl,3,0),""))</f>
        <v/>
      </c>
      <c r="J594">
        <f>IF(OR($G594="",Sync!$Z591=""),"",Sync!$Z591)</f>
        <v/>
      </c>
      <c r="K594">
        <f>IF(OR($G594="",Sync!$AA591=""),"",Sync!$AA591)</f>
        <v/>
      </c>
      <c r="L594">
        <f>IF($G594="",0,IF(Sync!$AB591="",0,Sync!$AB591))</f>
        <v/>
      </c>
      <c r="M594">
        <f>IF($G594="",0,IF(Sync!$AC591="",0,Sync!$AC591))</f>
        <v/>
      </c>
      <c r="N594">
        <f>IF($G594="","",IF($H594="مرجوعی خرید",-1,1)*($L594-$M594*IFERROR(VLOOKUP("P01",ParamTbl,3,0),1.5))*(1-IF($I594="خرید",IFERROR(VLOOKUP("P02",ParamTbl,3,0),1),0)/100))</f>
        <v/>
      </c>
      <c r="O594">
        <f>IF($G594="",0,IF($H594="مرجوعی خرید",-1,1)*IF(Sync!$AD591="",0,Sync!$AD591))</f>
        <v/>
      </c>
      <c r="P594">
        <f>IF(OR($G594="",Sync!$W591=""),"",Sync!$W591)</f>
        <v/>
      </c>
      <c r="Q594">
        <f>IF(OR($G594="",Sync!$AE591=""),"",Sync!$AE591)</f>
        <v/>
      </c>
      <c r="R594">
        <f>IF($G594="","",IF(Sync!$V591="","0000",IF(AND(ISNUMBER(Sync!$V591),Sync!$V591&gt;=0,Sync!$V591&lt;1),RIGHT("00"&amp;HOUR(Sync!$V591),2)&amp;RIGHT("00"&amp;MINUTE(Sync!$V591),2),IFERROR(RIGHT("00"&amp;VALUE(LEFT(Sync!$V591,FIND(":",Sync!$V591)-1)),2)&amp;RIGHT("00"&amp;VALUE(MID(Sync!$V591,FIND(":",Sync!$V591)+1,2)),2),"0000"))))</f>
        <v/>
      </c>
    </row>
    <row r="595">
      <c r="A595">
        <f>IF(Sync!$U592="","",Sync!$U592)</f>
        <v/>
      </c>
      <c r="B595">
        <f>IF($A595="","",IF(ISNUMBER($A595),IF(AND($A595&gt;=10000101,$A595&lt;=99991231),INT($A595/10000),""),IFERROR(VALUE(TRIM(LEFT($A595,FIND("/",$A595)-1))),"")))</f>
        <v/>
      </c>
      <c r="C595">
        <f>IF(OR($A595="",$B595=""),"",IF(ISNUMBER($A595),INT(MOD($A595,10000)/100),IFERROR(VALUE(TRIM(LEFT(MID($A595,FIND("/",$A595)+1,20),FIND("/",MID($A595,FIND("/",$A595)+1,20))-1))),"")))</f>
        <v/>
      </c>
      <c r="D595">
        <f>IF(OR($A595="",$B595=""),"",IF(ISNUMBER($A595),MOD($A595,100),IFERROR(VALUE(TRIM(MID(MID($A595,FIND("/",$A595)+1,20),FIND("/",MID($A595,FIND("/",$A595)+1,20))+1,20))),"")))</f>
        <v/>
      </c>
      <c r="E595">
        <f>IF($A595="","",IF(OR($B595="",$C595="",$D595="",$B595&lt;1300,$B595&gt;1500,$C595&lt;1,$C595&gt;12,$D595&lt;1,$D595&gt;31),"نامعتبر",RIGHT("0000"&amp;$B595,4)&amp;"/"&amp;RIGHT("00"&amp;$C595,2)&amp;"/"&amp;RIGHT("00"&amp;$D595,2)))</f>
        <v/>
      </c>
      <c r="F595">
        <f>IF(OR($E595="",$E595="نامعتبر"),"",LEFT($E595,4)&amp;"/"&amp;MID($E595,6,2))</f>
        <v/>
      </c>
      <c r="G595">
        <f>IF(OR($E595="",$E595="نامعتبر",Sync!$Y592=""),"",Sync!$Y592)</f>
        <v/>
      </c>
      <c r="H595">
        <f>IF($G595="","",IF(Sync!$X592="","",Sync!$X592))</f>
        <v/>
      </c>
      <c r="I595">
        <f>IF($G595="","",IFERROR(VLOOKUP(Sync!$X592,OpTbl,3,0),""))</f>
        <v/>
      </c>
      <c r="J595">
        <f>IF(OR($G595="",Sync!$Z592=""),"",Sync!$Z592)</f>
        <v/>
      </c>
      <c r="K595">
        <f>IF(OR($G595="",Sync!$AA592=""),"",Sync!$AA592)</f>
        <v/>
      </c>
      <c r="L595">
        <f>IF($G595="",0,IF(Sync!$AB592="",0,Sync!$AB592))</f>
        <v/>
      </c>
      <c r="M595">
        <f>IF($G595="",0,IF(Sync!$AC592="",0,Sync!$AC592))</f>
        <v/>
      </c>
      <c r="N595">
        <f>IF($G595="","",IF($H595="مرجوعی خرید",-1,1)*($L595-$M595*IFERROR(VLOOKUP("P01",ParamTbl,3,0),1.5))*(1-IF($I595="خرید",IFERROR(VLOOKUP("P02",ParamTbl,3,0),1),0)/100))</f>
        <v/>
      </c>
      <c r="O595">
        <f>IF($G595="",0,IF($H595="مرجوعی خرید",-1,1)*IF(Sync!$AD592="",0,Sync!$AD592))</f>
        <v/>
      </c>
      <c r="P595">
        <f>IF(OR($G595="",Sync!$W592=""),"",Sync!$W592)</f>
        <v/>
      </c>
      <c r="Q595">
        <f>IF(OR($G595="",Sync!$AE592=""),"",Sync!$AE592)</f>
        <v/>
      </c>
      <c r="R595">
        <f>IF($G595="","",IF(Sync!$V592="","0000",IF(AND(ISNUMBER(Sync!$V592),Sync!$V592&gt;=0,Sync!$V592&lt;1),RIGHT("00"&amp;HOUR(Sync!$V592),2)&amp;RIGHT("00"&amp;MINUTE(Sync!$V592),2),IFERROR(RIGHT("00"&amp;VALUE(LEFT(Sync!$V592,FIND(":",Sync!$V592)-1)),2)&amp;RIGHT("00"&amp;VALUE(MID(Sync!$V592,FIND(":",Sync!$V592)+1,2)),2),"0000"))))</f>
        <v/>
      </c>
    </row>
    <row r="596">
      <c r="A596">
        <f>IF(Sync!$U593="","",Sync!$U593)</f>
        <v/>
      </c>
      <c r="B596">
        <f>IF($A596="","",IF(ISNUMBER($A596),IF(AND($A596&gt;=10000101,$A596&lt;=99991231),INT($A596/10000),""),IFERROR(VALUE(TRIM(LEFT($A596,FIND("/",$A596)-1))),"")))</f>
        <v/>
      </c>
      <c r="C596">
        <f>IF(OR($A596="",$B596=""),"",IF(ISNUMBER($A596),INT(MOD($A596,10000)/100),IFERROR(VALUE(TRIM(LEFT(MID($A596,FIND("/",$A596)+1,20),FIND("/",MID($A596,FIND("/",$A596)+1,20))-1))),"")))</f>
        <v/>
      </c>
      <c r="D596">
        <f>IF(OR($A596="",$B596=""),"",IF(ISNUMBER($A596),MOD($A596,100),IFERROR(VALUE(TRIM(MID(MID($A596,FIND("/",$A596)+1,20),FIND("/",MID($A596,FIND("/",$A596)+1,20))+1,20))),"")))</f>
        <v/>
      </c>
      <c r="E596">
        <f>IF($A596="","",IF(OR($B596="",$C596="",$D596="",$B596&lt;1300,$B596&gt;1500,$C596&lt;1,$C596&gt;12,$D596&lt;1,$D596&gt;31),"نامعتبر",RIGHT("0000"&amp;$B596,4)&amp;"/"&amp;RIGHT("00"&amp;$C596,2)&amp;"/"&amp;RIGHT("00"&amp;$D596,2)))</f>
        <v/>
      </c>
      <c r="F596">
        <f>IF(OR($E596="",$E596="نامعتبر"),"",LEFT($E596,4)&amp;"/"&amp;MID($E596,6,2))</f>
        <v/>
      </c>
      <c r="G596">
        <f>IF(OR($E596="",$E596="نامعتبر",Sync!$Y593=""),"",Sync!$Y593)</f>
        <v/>
      </c>
      <c r="H596">
        <f>IF($G596="","",IF(Sync!$X593="","",Sync!$X593))</f>
        <v/>
      </c>
      <c r="I596">
        <f>IF($G596="","",IFERROR(VLOOKUP(Sync!$X593,OpTbl,3,0),""))</f>
        <v/>
      </c>
      <c r="J596">
        <f>IF(OR($G596="",Sync!$Z593=""),"",Sync!$Z593)</f>
        <v/>
      </c>
      <c r="K596">
        <f>IF(OR($G596="",Sync!$AA593=""),"",Sync!$AA593)</f>
        <v/>
      </c>
      <c r="L596">
        <f>IF($G596="",0,IF(Sync!$AB593="",0,Sync!$AB593))</f>
        <v/>
      </c>
      <c r="M596">
        <f>IF($G596="",0,IF(Sync!$AC593="",0,Sync!$AC593))</f>
        <v/>
      </c>
      <c r="N596">
        <f>IF($G596="","",IF($H596="مرجوعی خرید",-1,1)*($L596-$M596*IFERROR(VLOOKUP("P01",ParamTbl,3,0),1.5))*(1-IF($I596="خرید",IFERROR(VLOOKUP("P02",ParamTbl,3,0),1),0)/100))</f>
        <v/>
      </c>
      <c r="O596">
        <f>IF($G596="",0,IF($H596="مرجوعی خرید",-1,1)*IF(Sync!$AD593="",0,Sync!$AD593))</f>
        <v/>
      </c>
      <c r="P596">
        <f>IF(OR($G596="",Sync!$W593=""),"",Sync!$W593)</f>
        <v/>
      </c>
      <c r="Q596">
        <f>IF(OR($G596="",Sync!$AE593=""),"",Sync!$AE593)</f>
        <v/>
      </c>
      <c r="R596">
        <f>IF($G596="","",IF(Sync!$V593="","0000",IF(AND(ISNUMBER(Sync!$V593),Sync!$V593&gt;=0,Sync!$V593&lt;1),RIGHT("00"&amp;HOUR(Sync!$V593),2)&amp;RIGHT("00"&amp;MINUTE(Sync!$V593),2),IFERROR(RIGHT("00"&amp;VALUE(LEFT(Sync!$V593,FIND(":",Sync!$V593)-1)),2)&amp;RIGHT("00"&amp;VALUE(MID(Sync!$V593,FIND(":",Sync!$V593)+1,2)),2),"0000"))))</f>
        <v/>
      </c>
    </row>
    <row r="597">
      <c r="A597">
        <f>IF(Sync!$U594="","",Sync!$U594)</f>
        <v/>
      </c>
      <c r="B597">
        <f>IF($A597="","",IF(ISNUMBER($A597),IF(AND($A597&gt;=10000101,$A597&lt;=99991231),INT($A597/10000),""),IFERROR(VALUE(TRIM(LEFT($A597,FIND("/",$A597)-1))),"")))</f>
        <v/>
      </c>
      <c r="C597">
        <f>IF(OR($A597="",$B597=""),"",IF(ISNUMBER($A597),INT(MOD($A597,10000)/100),IFERROR(VALUE(TRIM(LEFT(MID($A597,FIND("/",$A597)+1,20),FIND("/",MID($A597,FIND("/",$A597)+1,20))-1))),"")))</f>
        <v/>
      </c>
      <c r="D597">
        <f>IF(OR($A597="",$B597=""),"",IF(ISNUMBER($A597),MOD($A597,100),IFERROR(VALUE(TRIM(MID(MID($A597,FIND("/",$A597)+1,20),FIND("/",MID($A597,FIND("/",$A597)+1,20))+1,20))),"")))</f>
        <v/>
      </c>
      <c r="E597">
        <f>IF($A597="","",IF(OR($B597="",$C597="",$D597="",$B597&lt;1300,$B597&gt;1500,$C597&lt;1,$C597&gt;12,$D597&lt;1,$D597&gt;31),"نامعتبر",RIGHT("0000"&amp;$B597,4)&amp;"/"&amp;RIGHT("00"&amp;$C597,2)&amp;"/"&amp;RIGHT("00"&amp;$D597,2)))</f>
        <v/>
      </c>
      <c r="F597">
        <f>IF(OR($E597="",$E597="نامعتبر"),"",LEFT($E597,4)&amp;"/"&amp;MID($E597,6,2))</f>
        <v/>
      </c>
      <c r="G597">
        <f>IF(OR($E597="",$E597="نامعتبر",Sync!$Y594=""),"",Sync!$Y594)</f>
        <v/>
      </c>
      <c r="H597">
        <f>IF($G597="","",IF(Sync!$X594="","",Sync!$X594))</f>
        <v/>
      </c>
      <c r="I597">
        <f>IF($G597="","",IFERROR(VLOOKUP(Sync!$X594,OpTbl,3,0),""))</f>
        <v/>
      </c>
      <c r="J597">
        <f>IF(OR($G597="",Sync!$Z594=""),"",Sync!$Z594)</f>
        <v/>
      </c>
      <c r="K597">
        <f>IF(OR($G597="",Sync!$AA594=""),"",Sync!$AA594)</f>
        <v/>
      </c>
      <c r="L597">
        <f>IF($G597="",0,IF(Sync!$AB594="",0,Sync!$AB594))</f>
        <v/>
      </c>
      <c r="M597">
        <f>IF($G597="",0,IF(Sync!$AC594="",0,Sync!$AC594))</f>
        <v/>
      </c>
      <c r="N597">
        <f>IF($G597="","",IF($H597="مرجوعی خرید",-1,1)*($L597-$M597*IFERROR(VLOOKUP("P01",ParamTbl,3,0),1.5))*(1-IF($I597="خرید",IFERROR(VLOOKUP("P02",ParamTbl,3,0),1),0)/100))</f>
        <v/>
      </c>
      <c r="O597">
        <f>IF($G597="",0,IF($H597="مرجوعی خرید",-1,1)*IF(Sync!$AD594="",0,Sync!$AD594))</f>
        <v/>
      </c>
      <c r="P597">
        <f>IF(OR($G597="",Sync!$W594=""),"",Sync!$W594)</f>
        <v/>
      </c>
      <c r="Q597">
        <f>IF(OR($G597="",Sync!$AE594=""),"",Sync!$AE594)</f>
        <v/>
      </c>
      <c r="R597">
        <f>IF($G597="","",IF(Sync!$V594="","0000",IF(AND(ISNUMBER(Sync!$V594),Sync!$V594&gt;=0,Sync!$V594&lt;1),RIGHT("00"&amp;HOUR(Sync!$V594),2)&amp;RIGHT("00"&amp;MINUTE(Sync!$V594),2),IFERROR(RIGHT("00"&amp;VALUE(LEFT(Sync!$V594,FIND(":",Sync!$V594)-1)),2)&amp;RIGHT("00"&amp;VALUE(MID(Sync!$V594,FIND(":",Sync!$V594)+1,2)),2),"0000"))))</f>
        <v/>
      </c>
    </row>
    <row r="598">
      <c r="A598">
        <f>IF(Sync!$U595="","",Sync!$U595)</f>
        <v/>
      </c>
      <c r="B598">
        <f>IF($A598="","",IF(ISNUMBER($A598),IF(AND($A598&gt;=10000101,$A598&lt;=99991231),INT($A598/10000),""),IFERROR(VALUE(TRIM(LEFT($A598,FIND("/",$A598)-1))),"")))</f>
        <v/>
      </c>
      <c r="C598">
        <f>IF(OR($A598="",$B598=""),"",IF(ISNUMBER($A598),INT(MOD($A598,10000)/100),IFERROR(VALUE(TRIM(LEFT(MID($A598,FIND("/",$A598)+1,20),FIND("/",MID($A598,FIND("/",$A598)+1,20))-1))),"")))</f>
        <v/>
      </c>
      <c r="D598">
        <f>IF(OR($A598="",$B598=""),"",IF(ISNUMBER($A598),MOD($A598,100),IFERROR(VALUE(TRIM(MID(MID($A598,FIND("/",$A598)+1,20),FIND("/",MID($A598,FIND("/",$A598)+1,20))+1,20))),"")))</f>
        <v/>
      </c>
      <c r="E598">
        <f>IF($A598="","",IF(OR($B598="",$C598="",$D598="",$B598&lt;1300,$B598&gt;1500,$C598&lt;1,$C598&gt;12,$D598&lt;1,$D598&gt;31),"نامعتبر",RIGHT("0000"&amp;$B598,4)&amp;"/"&amp;RIGHT("00"&amp;$C598,2)&amp;"/"&amp;RIGHT("00"&amp;$D598,2)))</f>
        <v/>
      </c>
      <c r="F598">
        <f>IF(OR($E598="",$E598="نامعتبر"),"",LEFT($E598,4)&amp;"/"&amp;MID($E598,6,2))</f>
        <v/>
      </c>
      <c r="G598">
        <f>IF(OR($E598="",$E598="نامعتبر",Sync!$Y595=""),"",Sync!$Y595)</f>
        <v/>
      </c>
      <c r="H598">
        <f>IF($G598="","",IF(Sync!$X595="","",Sync!$X595))</f>
        <v/>
      </c>
      <c r="I598">
        <f>IF($G598="","",IFERROR(VLOOKUP(Sync!$X595,OpTbl,3,0),""))</f>
        <v/>
      </c>
      <c r="J598">
        <f>IF(OR($G598="",Sync!$Z595=""),"",Sync!$Z595)</f>
        <v/>
      </c>
      <c r="K598">
        <f>IF(OR($G598="",Sync!$AA595=""),"",Sync!$AA595)</f>
        <v/>
      </c>
      <c r="L598">
        <f>IF($G598="",0,IF(Sync!$AB595="",0,Sync!$AB595))</f>
        <v/>
      </c>
      <c r="M598">
        <f>IF($G598="",0,IF(Sync!$AC595="",0,Sync!$AC595))</f>
        <v/>
      </c>
      <c r="N598">
        <f>IF($G598="","",IF($H598="مرجوعی خرید",-1,1)*($L598-$M598*IFERROR(VLOOKUP("P01",ParamTbl,3,0),1.5))*(1-IF($I598="خرید",IFERROR(VLOOKUP("P02",ParamTbl,3,0),1),0)/100))</f>
        <v/>
      </c>
      <c r="O598">
        <f>IF($G598="",0,IF($H598="مرجوعی خرید",-1,1)*IF(Sync!$AD595="",0,Sync!$AD595))</f>
        <v/>
      </c>
      <c r="P598">
        <f>IF(OR($G598="",Sync!$W595=""),"",Sync!$W595)</f>
        <v/>
      </c>
      <c r="Q598">
        <f>IF(OR($G598="",Sync!$AE595=""),"",Sync!$AE595)</f>
        <v/>
      </c>
      <c r="R598">
        <f>IF($G598="","",IF(Sync!$V595="","0000",IF(AND(ISNUMBER(Sync!$V595),Sync!$V595&gt;=0,Sync!$V595&lt;1),RIGHT("00"&amp;HOUR(Sync!$V595),2)&amp;RIGHT("00"&amp;MINUTE(Sync!$V595),2),IFERROR(RIGHT("00"&amp;VALUE(LEFT(Sync!$V595,FIND(":",Sync!$V595)-1)),2)&amp;RIGHT("00"&amp;VALUE(MID(Sync!$V595,FIND(":",Sync!$V595)+1,2)),2),"0000"))))</f>
        <v/>
      </c>
    </row>
    <row r="599">
      <c r="A599">
        <f>IF(Sync!$U596="","",Sync!$U596)</f>
        <v/>
      </c>
      <c r="B599">
        <f>IF($A599="","",IF(ISNUMBER($A599),IF(AND($A599&gt;=10000101,$A599&lt;=99991231),INT($A599/10000),""),IFERROR(VALUE(TRIM(LEFT($A599,FIND("/",$A599)-1))),"")))</f>
        <v/>
      </c>
      <c r="C599">
        <f>IF(OR($A599="",$B599=""),"",IF(ISNUMBER($A599),INT(MOD($A599,10000)/100),IFERROR(VALUE(TRIM(LEFT(MID($A599,FIND("/",$A599)+1,20),FIND("/",MID($A599,FIND("/",$A599)+1,20))-1))),"")))</f>
        <v/>
      </c>
      <c r="D599">
        <f>IF(OR($A599="",$B599=""),"",IF(ISNUMBER($A599),MOD($A599,100),IFERROR(VALUE(TRIM(MID(MID($A599,FIND("/",$A599)+1,20),FIND("/",MID($A599,FIND("/",$A599)+1,20))+1,20))),"")))</f>
        <v/>
      </c>
      <c r="E599">
        <f>IF($A599="","",IF(OR($B599="",$C599="",$D599="",$B599&lt;1300,$B599&gt;1500,$C599&lt;1,$C599&gt;12,$D599&lt;1,$D599&gt;31),"نامعتبر",RIGHT("0000"&amp;$B599,4)&amp;"/"&amp;RIGHT("00"&amp;$C599,2)&amp;"/"&amp;RIGHT("00"&amp;$D599,2)))</f>
        <v/>
      </c>
      <c r="F599">
        <f>IF(OR($E599="",$E599="نامعتبر"),"",LEFT($E599,4)&amp;"/"&amp;MID($E599,6,2))</f>
        <v/>
      </c>
      <c r="G599">
        <f>IF(OR($E599="",$E599="نامعتبر",Sync!$Y596=""),"",Sync!$Y596)</f>
        <v/>
      </c>
      <c r="H599">
        <f>IF($G599="","",IF(Sync!$X596="","",Sync!$X596))</f>
        <v/>
      </c>
      <c r="I599">
        <f>IF($G599="","",IFERROR(VLOOKUP(Sync!$X596,OpTbl,3,0),""))</f>
        <v/>
      </c>
      <c r="J599">
        <f>IF(OR($G599="",Sync!$Z596=""),"",Sync!$Z596)</f>
        <v/>
      </c>
      <c r="K599">
        <f>IF(OR($G599="",Sync!$AA596=""),"",Sync!$AA596)</f>
        <v/>
      </c>
      <c r="L599">
        <f>IF($G599="",0,IF(Sync!$AB596="",0,Sync!$AB596))</f>
        <v/>
      </c>
      <c r="M599">
        <f>IF($G599="",0,IF(Sync!$AC596="",0,Sync!$AC596))</f>
        <v/>
      </c>
      <c r="N599">
        <f>IF($G599="","",IF($H599="مرجوعی خرید",-1,1)*($L599-$M599*IFERROR(VLOOKUP("P01",ParamTbl,3,0),1.5))*(1-IF($I599="خرید",IFERROR(VLOOKUP("P02",ParamTbl,3,0),1),0)/100))</f>
        <v/>
      </c>
      <c r="O599">
        <f>IF($G599="",0,IF($H599="مرجوعی خرید",-1,1)*IF(Sync!$AD596="",0,Sync!$AD596))</f>
        <v/>
      </c>
      <c r="P599">
        <f>IF(OR($G599="",Sync!$W596=""),"",Sync!$W596)</f>
        <v/>
      </c>
      <c r="Q599">
        <f>IF(OR($G599="",Sync!$AE596=""),"",Sync!$AE596)</f>
        <v/>
      </c>
      <c r="R599">
        <f>IF($G599="","",IF(Sync!$V596="","0000",IF(AND(ISNUMBER(Sync!$V596),Sync!$V596&gt;=0,Sync!$V596&lt;1),RIGHT("00"&amp;HOUR(Sync!$V596),2)&amp;RIGHT("00"&amp;MINUTE(Sync!$V596),2),IFERROR(RIGHT("00"&amp;VALUE(LEFT(Sync!$V596,FIND(":",Sync!$V596)-1)),2)&amp;RIGHT("00"&amp;VALUE(MID(Sync!$V596,FIND(":",Sync!$V596)+1,2)),2),"0000"))))</f>
        <v/>
      </c>
    </row>
    <row r="600">
      <c r="A600">
        <f>IF(Sync!$U597="","",Sync!$U597)</f>
        <v/>
      </c>
      <c r="B600">
        <f>IF($A600="","",IF(ISNUMBER($A600),IF(AND($A600&gt;=10000101,$A600&lt;=99991231),INT($A600/10000),""),IFERROR(VALUE(TRIM(LEFT($A600,FIND("/",$A600)-1))),"")))</f>
        <v/>
      </c>
      <c r="C600">
        <f>IF(OR($A600="",$B600=""),"",IF(ISNUMBER($A600),INT(MOD($A600,10000)/100),IFERROR(VALUE(TRIM(LEFT(MID($A600,FIND("/",$A600)+1,20),FIND("/",MID($A600,FIND("/",$A600)+1,20))-1))),"")))</f>
        <v/>
      </c>
      <c r="D600">
        <f>IF(OR($A600="",$B600=""),"",IF(ISNUMBER($A600),MOD($A600,100),IFERROR(VALUE(TRIM(MID(MID($A600,FIND("/",$A600)+1,20),FIND("/",MID($A600,FIND("/",$A600)+1,20))+1,20))),"")))</f>
        <v/>
      </c>
      <c r="E600">
        <f>IF($A600="","",IF(OR($B600="",$C600="",$D600="",$B600&lt;1300,$B600&gt;1500,$C600&lt;1,$C600&gt;12,$D600&lt;1,$D600&gt;31),"نامعتبر",RIGHT("0000"&amp;$B600,4)&amp;"/"&amp;RIGHT("00"&amp;$C600,2)&amp;"/"&amp;RIGHT("00"&amp;$D600,2)))</f>
        <v/>
      </c>
      <c r="F600">
        <f>IF(OR($E600="",$E600="نامعتبر"),"",LEFT($E600,4)&amp;"/"&amp;MID($E600,6,2))</f>
        <v/>
      </c>
      <c r="G600">
        <f>IF(OR($E600="",$E600="نامعتبر",Sync!$Y597=""),"",Sync!$Y597)</f>
        <v/>
      </c>
      <c r="H600">
        <f>IF($G600="","",IF(Sync!$X597="","",Sync!$X597))</f>
        <v/>
      </c>
      <c r="I600">
        <f>IF($G600="","",IFERROR(VLOOKUP(Sync!$X597,OpTbl,3,0),""))</f>
        <v/>
      </c>
      <c r="J600">
        <f>IF(OR($G600="",Sync!$Z597=""),"",Sync!$Z597)</f>
        <v/>
      </c>
      <c r="K600">
        <f>IF(OR($G600="",Sync!$AA597=""),"",Sync!$AA597)</f>
        <v/>
      </c>
      <c r="L600">
        <f>IF($G600="",0,IF(Sync!$AB597="",0,Sync!$AB597))</f>
        <v/>
      </c>
      <c r="M600">
        <f>IF($G600="",0,IF(Sync!$AC597="",0,Sync!$AC597))</f>
        <v/>
      </c>
      <c r="N600">
        <f>IF($G600="","",IF($H600="مرجوعی خرید",-1,1)*($L600-$M600*IFERROR(VLOOKUP("P01",ParamTbl,3,0),1.5))*(1-IF($I600="خرید",IFERROR(VLOOKUP("P02",ParamTbl,3,0),1),0)/100))</f>
        <v/>
      </c>
      <c r="O600">
        <f>IF($G600="",0,IF($H600="مرجوعی خرید",-1,1)*IF(Sync!$AD597="",0,Sync!$AD597))</f>
        <v/>
      </c>
      <c r="P600">
        <f>IF(OR($G600="",Sync!$W597=""),"",Sync!$W597)</f>
        <v/>
      </c>
      <c r="Q600">
        <f>IF(OR($G600="",Sync!$AE597=""),"",Sync!$AE597)</f>
        <v/>
      </c>
      <c r="R600">
        <f>IF($G600="","",IF(Sync!$V597="","0000",IF(AND(ISNUMBER(Sync!$V597),Sync!$V597&gt;=0,Sync!$V597&lt;1),RIGHT("00"&amp;HOUR(Sync!$V597),2)&amp;RIGHT("00"&amp;MINUTE(Sync!$V597),2),IFERROR(RIGHT("00"&amp;VALUE(LEFT(Sync!$V597,FIND(":",Sync!$V597)-1)),2)&amp;RIGHT("00"&amp;VALUE(MID(Sync!$V597,FIND(":",Sync!$V597)+1,2)),2),"0000"))))</f>
        <v/>
      </c>
    </row>
    <row r="601">
      <c r="A601">
        <f>IF(Sync!$U598="","",Sync!$U598)</f>
        <v/>
      </c>
      <c r="B601">
        <f>IF($A601="","",IF(ISNUMBER($A601),IF(AND($A601&gt;=10000101,$A601&lt;=99991231),INT($A601/10000),""),IFERROR(VALUE(TRIM(LEFT($A601,FIND("/",$A601)-1))),"")))</f>
        <v/>
      </c>
      <c r="C601">
        <f>IF(OR($A601="",$B601=""),"",IF(ISNUMBER($A601),INT(MOD($A601,10000)/100),IFERROR(VALUE(TRIM(LEFT(MID($A601,FIND("/",$A601)+1,20),FIND("/",MID($A601,FIND("/",$A601)+1,20))-1))),"")))</f>
        <v/>
      </c>
      <c r="D601">
        <f>IF(OR($A601="",$B601=""),"",IF(ISNUMBER($A601),MOD($A601,100),IFERROR(VALUE(TRIM(MID(MID($A601,FIND("/",$A601)+1,20),FIND("/",MID($A601,FIND("/",$A601)+1,20))+1,20))),"")))</f>
        <v/>
      </c>
      <c r="E601">
        <f>IF($A601="","",IF(OR($B601="",$C601="",$D601="",$B601&lt;1300,$B601&gt;1500,$C601&lt;1,$C601&gt;12,$D601&lt;1,$D601&gt;31),"نامعتبر",RIGHT("0000"&amp;$B601,4)&amp;"/"&amp;RIGHT("00"&amp;$C601,2)&amp;"/"&amp;RIGHT("00"&amp;$D601,2)))</f>
        <v/>
      </c>
      <c r="F601">
        <f>IF(OR($E601="",$E601="نامعتبر"),"",LEFT($E601,4)&amp;"/"&amp;MID($E601,6,2))</f>
        <v/>
      </c>
      <c r="G601">
        <f>IF(OR($E601="",$E601="نامعتبر",Sync!$Y598=""),"",Sync!$Y598)</f>
        <v/>
      </c>
      <c r="H601">
        <f>IF($G601="","",IF(Sync!$X598="","",Sync!$X598))</f>
        <v/>
      </c>
      <c r="I601">
        <f>IF($G601="","",IFERROR(VLOOKUP(Sync!$X598,OpTbl,3,0),""))</f>
        <v/>
      </c>
      <c r="J601">
        <f>IF(OR($G601="",Sync!$Z598=""),"",Sync!$Z598)</f>
        <v/>
      </c>
      <c r="K601">
        <f>IF(OR($G601="",Sync!$AA598=""),"",Sync!$AA598)</f>
        <v/>
      </c>
      <c r="L601">
        <f>IF($G601="",0,IF(Sync!$AB598="",0,Sync!$AB598))</f>
        <v/>
      </c>
      <c r="M601">
        <f>IF($G601="",0,IF(Sync!$AC598="",0,Sync!$AC598))</f>
        <v/>
      </c>
      <c r="N601">
        <f>IF($G601="","",IF($H601="مرجوعی خرید",-1,1)*($L601-$M601*IFERROR(VLOOKUP("P01",ParamTbl,3,0),1.5))*(1-IF($I601="خرید",IFERROR(VLOOKUP("P02",ParamTbl,3,0),1),0)/100))</f>
        <v/>
      </c>
      <c r="O601">
        <f>IF($G601="",0,IF($H601="مرجوعی خرید",-1,1)*IF(Sync!$AD598="",0,Sync!$AD598))</f>
        <v/>
      </c>
      <c r="P601">
        <f>IF(OR($G601="",Sync!$W598=""),"",Sync!$W598)</f>
        <v/>
      </c>
      <c r="Q601">
        <f>IF(OR($G601="",Sync!$AE598=""),"",Sync!$AE598)</f>
        <v/>
      </c>
      <c r="R601">
        <f>IF($G601="","",IF(Sync!$V598="","0000",IF(AND(ISNUMBER(Sync!$V598),Sync!$V598&gt;=0,Sync!$V598&lt;1),RIGHT("00"&amp;HOUR(Sync!$V598),2)&amp;RIGHT("00"&amp;MINUTE(Sync!$V598),2),IFERROR(RIGHT("00"&amp;VALUE(LEFT(Sync!$V598,FIND(":",Sync!$V598)-1)),2)&amp;RIGHT("00"&amp;VALUE(MID(Sync!$V598,FIND(":",Sync!$V598)+1,2)),2),"0000"))))</f>
        <v/>
      </c>
    </row>
    <row r="602">
      <c r="A602">
        <f>IF(Sync!$U599="","",Sync!$U599)</f>
        <v/>
      </c>
      <c r="B602">
        <f>IF($A602="","",IF(ISNUMBER($A602),IF(AND($A602&gt;=10000101,$A602&lt;=99991231),INT($A602/10000),""),IFERROR(VALUE(TRIM(LEFT($A602,FIND("/",$A602)-1))),"")))</f>
        <v/>
      </c>
      <c r="C602">
        <f>IF(OR($A602="",$B602=""),"",IF(ISNUMBER($A602),INT(MOD($A602,10000)/100),IFERROR(VALUE(TRIM(LEFT(MID($A602,FIND("/",$A602)+1,20),FIND("/",MID($A602,FIND("/",$A602)+1,20))-1))),"")))</f>
        <v/>
      </c>
      <c r="D602">
        <f>IF(OR($A602="",$B602=""),"",IF(ISNUMBER($A602),MOD($A602,100),IFERROR(VALUE(TRIM(MID(MID($A602,FIND("/",$A602)+1,20),FIND("/",MID($A602,FIND("/",$A602)+1,20))+1,20))),"")))</f>
        <v/>
      </c>
      <c r="E602">
        <f>IF($A602="","",IF(OR($B602="",$C602="",$D602="",$B602&lt;1300,$B602&gt;1500,$C602&lt;1,$C602&gt;12,$D602&lt;1,$D602&gt;31),"نامعتبر",RIGHT("0000"&amp;$B602,4)&amp;"/"&amp;RIGHT("00"&amp;$C602,2)&amp;"/"&amp;RIGHT("00"&amp;$D602,2)))</f>
        <v/>
      </c>
      <c r="F602">
        <f>IF(OR($E602="",$E602="نامعتبر"),"",LEFT($E602,4)&amp;"/"&amp;MID($E602,6,2))</f>
        <v/>
      </c>
      <c r="G602">
        <f>IF(OR($E602="",$E602="نامعتبر",Sync!$Y599=""),"",Sync!$Y599)</f>
        <v/>
      </c>
      <c r="H602">
        <f>IF($G602="","",IF(Sync!$X599="","",Sync!$X599))</f>
        <v/>
      </c>
      <c r="I602">
        <f>IF($G602="","",IFERROR(VLOOKUP(Sync!$X599,OpTbl,3,0),""))</f>
        <v/>
      </c>
      <c r="J602">
        <f>IF(OR($G602="",Sync!$Z599=""),"",Sync!$Z599)</f>
        <v/>
      </c>
      <c r="K602">
        <f>IF(OR($G602="",Sync!$AA599=""),"",Sync!$AA599)</f>
        <v/>
      </c>
      <c r="L602">
        <f>IF($G602="",0,IF(Sync!$AB599="",0,Sync!$AB599))</f>
        <v/>
      </c>
      <c r="M602">
        <f>IF($G602="",0,IF(Sync!$AC599="",0,Sync!$AC599))</f>
        <v/>
      </c>
      <c r="N602">
        <f>IF($G602="","",IF($H602="مرجوعی خرید",-1,1)*($L602-$M602*IFERROR(VLOOKUP("P01",ParamTbl,3,0),1.5))*(1-IF($I602="خرید",IFERROR(VLOOKUP("P02",ParamTbl,3,0),1),0)/100))</f>
        <v/>
      </c>
      <c r="O602">
        <f>IF($G602="",0,IF($H602="مرجوعی خرید",-1,1)*IF(Sync!$AD599="",0,Sync!$AD599))</f>
        <v/>
      </c>
      <c r="P602">
        <f>IF(OR($G602="",Sync!$W599=""),"",Sync!$W599)</f>
        <v/>
      </c>
      <c r="Q602">
        <f>IF(OR($G602="",Sync!$AE599=""),"",Sync!$AE599)</f>
        <v/>
      </c>
      <c r="R602">
        <f>IF($G602="","",IF(Sync!$V599="","0000",IF(AND(ISNUMBER(Sync!$V599),Sync!$V599&gt;=0,Sync!$V599&lt;1),RIGHT("00"&amp;HOUR(Sync!$V599),2)&amp;RIGHT("00"&amp;MINUTE(Sync!$V599),2),IFERROR(RIGHT("00"&amp;VALUE(LEFT(Sync!$V599,FIND(":",Sync!$V599)-1)),2)&amp;RIGHT("00"&amp;VALUE(MID(Sync!$V599,FIND(":",Sync!$V599)+1,2)),2),"0000"))))</f>
        <v/>
      </c>
    </row>
    <row r="603">
      <c r="A603">
        <f>IF(Sync!$U600="","",Sync!$U600)</f>
        <v/>
      </c>
      <c r="B603">
        <f>IF($A603="","",IF(ISNUMBER($A603),IF(AND($A603&gt;=10000101,$A603&lt;=99991231),INT($A603/10000),""),IFERROR(VALUE(TRIM(LEFT($A603,FIND("/",$A603)-1))),"")))</f>
        <v/>
      </c>
      <c r="C603">
        <f>IF(OR($A603="",$B603=""),"",IF(ISNUMBER($A603),INT(MOD($A603,10000)/100),IFERROR(VALUE(TRIM(LEFT(MID($A603,FIND("/",$A603)+1,20),FIND("/",MID($A603,FIND("/",$A603)+1,20))-1))),"")))</f>
        <v/>
      </c>
      <c r="D603">
        <f>IF(OR($A603="",$B603=""),"",IF(ISNUMBER($A603),MOD($A603,100),IFERROR(VALUE(TRIM(MID(MID($A603,FIND("/",$A603)+1,20),FIND("/",MID($A603,FIND("/",$A603)+1,20))+1,20))),"")))</f>
        <v/>
      </c>
      <c r="E603">
        <f>IF($A603="","",IF(OR($B603="",$C603="",$D603="",$B603&lt;1300,$B603&gt;1500,$C603&lt;1,$C603&gt;12,$D603&lt;1,$D603&gt;31),"نامعتبر",RIGHT("0000"&amp;$B603,4)&amp;"/"&amp;RIGHT("00"&amp;$C603,2)&amp;"/"&amp;RIGHT("00"&amp;$D603,2)))</f>
        <v/>
      </c>
      <c r="F603">
        <f>IF(OR($E603="",$E603="نامعتبر"),"",LEFT($E603,4)&amp;"/"&amp;MID($E603,6,2))</f>
        <v/>
      </c>
      <c r="G603">
        <f>IF(OR($E603="",$E603="نامعتبر",Sync!$Y600=""),"",Sync!$Y600)</f>
        <v/>
      </c>
      <c r="H603">
        <f>IF($G603="","",IF(Sync!$X600="","",Sync!$X600))</f>
        <v/>
      </c>
      <c r="I603">
        <f>IF($G603="","",IFERROR(VLOOKUP(Sync!$X600,OpTbl,3,0),""))</f>
        <v/>
      </c>
      <c r="J603">
        <f>IF(OR($G603="",Sync!$Z600=""),"",Sync!$Z600)</f>
        <v/>
      </c>
      <c r="K603">
        <f>IF(OR($G603="",Sync!$AA600=""),"",Sync!$AA600)</f>
        <v/>
      </c>
      <c r="L603">
        <f>IF($G603="",0,IF(Sync!$AB600="",0,Sync!$AB600))</f>
        <v/>
      </c>
      <c r="M603">
        <f>IF($G603="",0,IF(Sync!$AC600="",0,Sync!$AC600))</f>
        <v/>
      </c>
      <c r="N603">
        <f>IF($G603="","",IF($H603="مرجوعی خرید",-1,1)*($L603-$M603*IFERROR(VLOOKUP("P01",ParamTbl,3,0),1.5))*(1-IF($I603="خرید",IFERROR(VLOOKUP("P02",ParamTbl,3,0),1),0)/100))</f>
        <v/>
      </c>
      <c r="O603">
        <f>IF($G603="",0,IF($H603="مرجوعی خرید",-1,1)*IF(Sync!$AD600="",0,Sync!$AD600))</f>
        <v/>
      </c>
      <c r="P603">
        <f>IF(OR($G603="",Sync!$W600=""),"",Sync!$W600)</f>
        <v/>
      </c>
      <c r="Q603">
        <f>IF(OR($G603="",Sync!$AE600=""),"",Sync!$AE600)</f>
        <v/>
      </c>
      <c r="R603">
        <f>IF($G603="","",IF(Sync!$V600="","0000",IF(AND(ISNUMBER(Sync!$V600),Sync!$V600&gt;=0,Sync!$V600&lt;1),RIGHT("00"&amp;HOUR(Sync!$V600),2)&amp;RIGHT("00"&amp;MINUTE(Sync!$V600),2),IFERROR(RIGHT("00"&amp;VALUE(LEFT(Sync!$V600,FIND(":",Sync!$V600)-1)),2)&amp;RIGHT("00"&amp;VALUE(MID(Sync!$V600,FIND(":",Sync!$V600)+1,2)),2),"0000"))))</f>
        <v/>
      </c>
    </row>
    <row r="604">
      <c r="A604">
        <f>IF(Sync!$U601="","",Sync!$U601)</f>
        <v/>
      </c>
      <c r="B604">
        <f>IF($A604="","",IF(ISNUMBER($A604),IF(AND($A604&gt;=10000101,$A604&lt;=99991231),INT($A604/10000),""),IFERROR(VALUE(TRIM(LEFT($A604,FIND("/",$A604)-1))),"")))</f>
        <v/>
      </c>
      <c r="C604">
        <f>IF(OR($A604="",$B604=""),"",IF(ISNUMBER($A604),INT(MOD($A604,10000)/100),IFERROR(VALUE(TRIM(LEFT(MID($A604,FIND("/",$A604)+1,20),FIND("/",MID($A604,FIND("/",$A604)+1,20))-1))),"")))</f>
        <v/>
      </c>
      <c r="D604">
        <f>IF(OR($A604="",$B604=""),"",IF(ISNUMBER($A604),MOD($A604,100),IFERROR(VALUE(TRIM(MID(MID($A604,FIND("/",$A604)+1,20),FIND("/",MID($A604,FIND("/",$A604)+1,20))+1,20))),"")))</f>
        <v/>
      </c>
      <c r="E604">
        <f>IF($A604="","",IF(OR($B604="",$C604="",$D604="",$B604&lt;1300,$B604&gt;1500,$C604&lt;1,$C604&gt;12,$D604&lt;1,$D604&gt;31),"نامعتبر",RIGHT("0000"&amp;$B604,4)&amp;"/"&amp;RIGHT("00"&amp;$C604,2)&amp;"/"&amp;RIGHT("00"&amp;$D604,2)))</f>
        <v/>
      </c>
      <c r="F604">
        <f>IF(OR($E604="",$E604="نامعتبر"),"",LEFT($E604,4)&amp;"/"&amp;MID($E604,6,2))</f>
        <v/>
      </c>
      <c r="G604">
        <f>IF(OR($E604="",$E604="نامعتبر",Sync!$Y601=""),"",Sync!$Y601)</f>
        <v/>
      </c>
      <c r="H604">
        <f>IF($G604="","",IF(Sync!$X601="","",Sync!$X601))</f>
        <v/>
      </c>
      <c r="I604">
        <f>IF($G604="","",IFERROR(VLOOKUP(Sync!$X601,OpTbl,3,0),""))</f>
        <v/>
      </c>
      <c r="J604">
        <f>IF(OR($G604="",Sync!$Z601=""),"",Sync!$Z601)</f>
        <v/>
      </c>
      <c r="K604">
        <f>IF(OR($G604="",Sync!$AA601=""),"",Sync!$AA601)</f>
        <v/>
      </c>
      <c r="L604">
        <f>IF($G604="",0,IF(Sync!$AB601="",0,Sync!$AB601))</f>
        <v/>
      </c>
      <c r="M604">
        <f>IF($G604="",0,IF(Sync!$AC601="",0,Sync!$AC601))</f>
        <v/>
      </c>
      <c r="N604">
        <f>IF($G604="","",IF($H604="مرجوعی خرید",-1,1)*($L604-$M604*IFERROR(VLOOKUP("P01",ParamTbl,3,0),1.5))*(1-IF($I604="خرید",IFERROR(VLOOKUP("P02",ParamTbl,3,0),1),0)/100))</f>
        <v/>
      </c>
      <c r="O604">
        <f>IF($G604="",0,IF($H604="مرجوعی خرید",-1,1)*IF(Sync!$AD601="",0,Sync!$AD601))</f>
        <v/>
      </c>
      <c r="P604">
        <f>IF(OR($G604="",Sync!$W601=""),"",Sync!$W601)</f>
        <v/>
      </c>
      <c r="Q604">
        <f>IF(OR($G604="",Sync!$AE601=""),"",Sync!$AE601)</f>
        <v/>
      </c>
      <c r="R604">
        <f>IF($G604="","",IF(Sync!$V601="","0000",IF(AND(ISNUMBER(Sync!$V601),Sync!$V601&gt;=0,Sync!$V601&lt;1),RIGHT("00"&amp;HOUR(Sync!$V601),2)&amp;RIGHT("00"&amp;MINUTE(Sync!$V601),2),IFERROR(RIGHT("00"&amp;VALUE(LEFT(Sync!$V601,FIND(":",Sync!$V601)-1)),2)&amp;RIGHT("00"&amp;VALUE(MID(Sync!$V601,FIND(":",Sync!$V601)+1,2)),2),"0000"))))</f>
        <v/>
      </c>
    </row>
    <row r="605">
      <c r="A605">
        <f>IF(Sync!$U602="","",Sync!$U602)</f>
        <v/>
      </c>
      <c r="B605">
        <f>IF($A605="","",IF(ISNUMBER($A605),IF(AND($A605&gt;=10000101,$A605&lt;=99991231),INT($A605/10000),""),IFERROR(VALUE(TRIM(LEFT($A605,FIND("/",$A605)-1))),"")))</f>
        <v/>
      </c>
      <c r="C605">
        <f>IF(OR($A605="",$B605=""),"",IF(ISNUMBER($A605),INT(MOD($A605,10000)/100),IFERROR(VALUE(TRIM(LEFT(MID($A605,FIND("/",$A605)+1,20),FIND("/",MID($A605,FIND("/",$A605)+1,20))-1))),"")))</f>
        <v/>
      </c>
      <c r="D605">
        <f>IF(OR($A605="",$B605=""),"",IF(ISNUMBER($A605),MOD($A605,100),IFERROR(VALUE(TRIM(MID(MID($A605,FIND("/",$A605)+1,20),FIND("/",MID($A605,FIND("/",$A605)+1,20))+1,20))),"")))</f>
        <v/>
      </c>
      <c r="E605">
        <f>IF($A605="","",IF(OR($B605="",$C605="",$D605="",$B605&lt;1300,$B605&gt;1500,$C605&lt;1,$C605&gt;12,$D605&lt;1,$D605&gt;31),"نامعتبر",RIGHT("0000"&amp;$B605,4)&amp;"/"&amp;RIGHT("00"&amp;$C605,2)&amp;"/"&amp;RIGHT("00"&amp;$D605,2)))</f>
        <v/>
      </c>
      <c r="F605">
        <f>IF(OR($E605="",$E605="نامعتبر"),"",LEFT($E605,4)&amp;"/"&amp;MID($E605,6,2))</f>
        <v/>
      </c>
      <c r="G605">
        <f>IF(OR($E605="",$E605="نامعتبر",Sync!$Y602=""),"",Sync!$Y602)</f>
        <v/>
      </c>
      <c r="H605">
        <f>IF($G605="","",IF(Sync!$X602="","",Sync!$X602))</f>
        <v/>
      </c>
      <c r="I605">
        <f>IF($G605="","",IFERROR(VLOOKUP(Sync!$X602,OpTbl,3,0),""))</f>
        <v/>
      </c>
      <c r="J605">
        <f>IF(OR($G605="",Sync!$Z602=""),"",Sync!$Z602)</f>
        <v/>
      </c>
      <c r="K605">
        <f>IF(OR($G605="",Sync!$AA602=""),"",Sync!$AA602)</f>
        <v/>
      </c>
      <c r="L605">
        <f>IF($G605="",0,IF(Sync!$AB602="",0,Sync!$AB602))</f>
        <v/>
      </c>
      <c r="M605">
        <f>IF($G605="",0,IF(Sync!$AC602="",0,Sync!$AC602))</f>
        <v/>
      </c>
      <c r="N605">
        <f>IF($G605="","",IF($H605="مرجوعی خرید",-1,1)*($L605-$M605*IFERROR(VLOOKUP("P01",ParamTbl,3,0),1.5))*(1-IF($I605="خرید",IFERROR(VLOOKUP("P02",ParamTbl,3,0),1),0)/100))</f>
        <v/>
      </c>
      <c r="O605">
        <f>IF($G605="",0,IF($H605="مرجوعی خرید",-1,1)*IF(Sync!$AD602="",0,Sync!$AD602))</f>
        <v/>
      </c>
      <c r="P605">
        <f>IF(OR($G605="",Sync!$W602=""),"",Sync!$W602)</f>
        <v/>
      </c>
      <c r="Q605">
        <f>IF(OR($G605="",Sync!$AE602=""),"",Sync!$AE602)</f>
        <v/>
      </c>
      <c r="R605">
        <f>IF($G605="","",IF(Sync!$V602="","0000",IF(AND(ISNUMBER(Sync!$V602),Sync!$V602&gt;=0,Sync!$V602&lt;1),RIGHT("00"&amp;HOUR(Sync!$V602),2)&amp;RIGHT("00"&amp;MINUTE(Sync!$V602),2),IFERROR(RIGHT("00"&amp;VALUE(LEFT(Sync!$V602,FIND(":",Sync!$V602)-1)),2)&amp;RIGHT("00"&amp;VALUE(MID(Sync!$V602,FIND(":",Sync!$V602)+1,2)),2),"0000"))))</f>
        <v/>
      </c>
    </row>
    <row r="606">
      <c r="A606">
        <f>IF(Sync!$U603="","",Sync!$U603)</f>
        <v/>
      </c>
      <c r="B606">
        <f>IF($A606="","",IF(ISNUMBER($A606),IF(AND($A606&gt;=10000101,$A606&lt;=99991231),INT($A606/10000),""),IFERROR(VALUE(TRIM(LEFT($A606,FIND("/",$A606)-1))),"")))</f>
        <v/>
      </c>
      <c r="C606">
        <f>IF(OR($A606="",$B606=""),"",IF(ISNUMBER($A606),INT(MOD($A606,10000)/100),IFERROR(VALUE(TRIM(LEFT(MID($A606,FIND("/",$A606)+1,20),FIND("/",MID($A606,FIND("/",$A606)+1,20))-1))),"")))</f>
        <v/>
      </c>
      <c r="D606">
        <f>IF(OR($A606="",$B606=""),"",IF(ISNUMBER($A606),MOD($A606,100),IFERROR(VALUE(TRIM(MID(MID($A606,FIND("/",$A606)+1,20),FIND("/",MID($A606,FIND("/",$A606)+1,20))+1,20))),"")))</f>
        <v/>
      </c>
      <c r="E606">
        <f>IF($A606="","",IF(OR($B606="",$C606="",$D606="",$B606&lt;1300,$B606&gt;1500,$C606&lt;1,$C606&gt;12,$D606&lt;1,$D606&gt;31),"نامعتبر",RIGHT("0000"&amp;$B606,4)&amp;"/"&amp;RIGHT("00"&amp;$C606,2)&amp;"/"&amp;RIGHT("00"&amp;$D606,2)))</f>
        <v/>
      </c>
      <c r="F606">
        <f>IF(OR($E606="",$E606="نامعتبر"),"",LEFT($E606,4)&amp;"/"&amp;MID($E606,6,2))</f>
        <v/>
      </c>
      <c r="G606">
        <f>IF(OR($E606="",$E606="نامعتبر",Sync!$Y603=""),"",Sync!$Y603)</f>
        <v/>
      </c>
      <c r="H606">
        <f>IF($G606="","",IF(Sync!$X603="","",Sync!$X603))</f>
        <v/>
      </c>
      <c r="I606">
        <f>IF($G606="","",IFERROR(VLOOKUP(Sync!$X603,OpTbl,3,0),""))</f>
        <v/>
      </c>
      <c r="J606">
        <f>IF(OR($G606="",Sync!$Z603=""),"",Sync!$Z603)</f>
        <v/>
      </c>
      <c r="K606">
        <f>IF(OR($G606="",Sync!$AA603=""),"",Sync!$AA603)</f>
        <v/>
      </c>
      <c r="L606">
        <f>IF($G606="",0,IF(Sync!$AB603="",0,Sync!$AB603))</f>
        <v/>
      </c>
      <c r="M606">
        <f>IF($G606="",0,IF(Sync!$AC603="",0,Sync!$AC603))</f>
        <v/>
      </c>
      <c r="N606">
        <f>IF($G606="","",IF($H606="مرجوعی خرید",-1,1)*($L606-$M606*IFERROR(VLOOKUP("P01",ParamTbl,3,0),1.5))*(1-IF($I606="خرید",IFERROR(VLOOKUP("P02",ParamTbl,3,0),1),0)/100))</f>
        <v/>
      </c>
      <c r="O606">
        <f>IF($G606="",0,IF($H606="مرجوعی خرید",-1,1)*IF(Sync!$AD603="",0,Sync!$AD603))</f>
        <v/>
      </c>
      <c r="P606">
        <f>IF(OR($G606="",Sync!$W603=""),"",Sync!$W603)</f>
        <v/>
      </c>
      <c r="Q606">
        <f>IF(OR($G606="",Sync!$AE603=""),"",Sync!$AE603)</f>
        <v/>
      </c>
      <c r="R606">
        <f>IF($G606="","",IF(Sync!$V603="","0000",IF(AND(ISNUMBER(Sync!$V603),Sync!$V603&gt;=0,Sync!$V603&lt;1),RIGHT("00"&amp;HOUR(Sync!$V603),2)&amp;RIGHT("00"&amp;MINUTE(Sync!$V603),2),IFERROR(RIGHT("00"&amp;VALUE(LEFT(Sync!$V603,FIND(":",Sync!$V603)-1)),2)&amp;RIGHT("00"&amp;VALUE(MID(Sync!$V603,FIND(":",Sync!$V603)+1,2)),2),"0000"))))</f>
        <v/>
      </c>
    </row>
    <row r="607">
      <c r="A607">
        <f>IF(Sync!$U604="","",Sync!$U604)</f>
        <v/>
      </c>
      <c r="B607">
        <f>IF($A607="","",IF(ISNUMBER($A607),IF(AND($A607&gt;=10000101,$A607&lt;=99991231),INT($A607/10000),""),IFERROR(VALUE(TRIM(LEFT($A607,FIND("/",$A607)-1))),"")))</f>
        <v/>
      </c>
      <c r="C607">
        <f>IF(OR($A607="",$B607=""),"",IF(ISNUMBER($A607),INT(MOD($A607,10000)/100),IFERROR(VALUE(TRIM(LEFT(MID($A607,FIND("/",$A607)+1,20),FIND("/",MID($A607,FIND("/",$A607)+1,20))-1))),"")))</f>
        <v/>
      </c>
      <c r="D607">
        <f>IF(OR($A607="",$B607=""),"",IF(ISNUMBER($A607),MOD($A607,100),IFERROR(VALUE(TRIM(MID(MID($A607,FIND("/",$A607)+1,20),FIND("/",MID($A607,FIND("/",$A607)+1,20))+1,20))),"")))</f>
        <v/>
      </c>
      <c r="E607">
        <f>IF($A607="","",IF(OR($B607="",$C607="",$D607="",$B607&lt;1300,$B607&gt;1500,$C607&lt;1,$C607&gt;12,$D607&lt;1,$D607&gt;31),"نامعتبر",RIGHT("0000"&amp;$B607,4)&amp;"/"&amp;RIGHT("00"&amp;$C607,2)&amp;"/"&amp;RIGHT("00"&amp;$D607,2)))</f>
        <v/>
      </c>
      <c r="F607">
        <f>IF(OR($E607="",$E607="نامعتبر"),"",LEFT($E607,4)&amp;"/"&amp;MID($E607,6,2))</f>
        <v/>
      </c>
      <c r="G607">
        <f>IF(OR($E607="",$E607="نامعتبر",Sync!$Y604=""),"",Sync!$Y604)</f>
        <v/>
      </c>
      <c r="H607">
        <f>IF($G607="","",IF(Sync!$X604="","",Sync!$X604))</f>
        <v/>
      </c>
      <c r="I607">
        <f>IF($G607="","",IFERROR(VLOOKUP(Sync!$X604,OpTbl,3,0),""))</f>
        <v/>
      </c>
      <c r="J607">
        <f>IF(OR($G607="",Sync!$Z604=""),"",Sync!$Z604)</f>
        <v/>
      </c>
      <c r="K607">
        <f>IF(OR($G607="",Sync!$AA604=""),"",Sync!$AA604)</f>
        <v/>
      </c>
      <c r="L607">
        <f>IF($G607="",0,IF(Sync!$AB604="",0,Sync!$AB604))</f>
        <v/>
      </c>
      <c r="M607">
        <f>IF($G607="",0,IF(Sync!$AC604="",0,Sync!$AC604))</f>
        <v/>
      </c>
      <c r="N607">
        <f>IF($G607="","",IF($H607="مرجوعی خرید",-1,1)*($L607-$M607*IFERROR(VLOOKUP("P01",ParamTbl,3,0),1.5))*(1-IF($I607="خرید",IFERROR(VLOOKUP("P02",ParamTbl,3,0),1),0)/100))</f>
        <v/>
      </c>
      <c r="O607">
        <f>IF($G607="",0,IF($H607="مرجوعی خرید",-1,1)*IF(Sync!$AD604="",0,Sync!$AD604))</f>
        <v/>
      </c>
      <c r="P607">
        <f>IF(OR($G607="",Sync!$W604=""),"",Sync!$W604)</f>
        <v/>
      </c>
      <c r="Q607">
        <f>IF(OR($G607="",Sync!$AE604=""),"",Sync!$AE604)</f>
        <v/>
      </c>
      <c r="R607">
        <f>IF($G607="","",IF(Sync!$V604="","0000",IF(AND(ISNUMBER(Sync!$V604),Sync!$V604&gt;=0,Sync!$V604&lt;1),RIGHT("00"&amp;HOUR(Sync!$V604),2)&amp;RIGHT("00"&amp;MINUTE(Sync!$V604),2),IFERROR(RIGHT("00"&amp;VALUE(LEFT(Sync!$V604,FIND(":",Sync!$V604)-1)),2)&amp;RIGHT("00"&amp;VALUE(MID(Sync!$V604,FIND(":",Sync!$V604)+1,2)),2),"0000"))))</f>
        <v/>
      </c>
    </row>
    <row r="608">
      <c r="A608">
        <f>IF(Sync!$U605="","",Sync!$U605)</f>
        <v/>
      </c>
      <c r="B608">
        <f>IF($A608="","",IF(ISNUMBER($A608),IF(AND($A608&gt;=10000101,$A608&lt;=99991231),INT($A608/10000),""),IFERROR(VALUE(TRIM(LEFT($A608,FIND("/",$A608)-1))),"")))</f>
        <v/>
      </c>
      <c r="C608">
        <f>IF(OR($A608="",$B608=""),"",IF(ISNUMBER($A608),INT(MOD($A608,10000)/100),IFERROR(VALUE(TRIM(LEFT(MID($A608,FIND("/",$A608)+1,20),FIND("/",MID($A608,FIND("/",$A608)+1,20))-1))),"")))</f>
        <v/>
      </c>
      <c r="D608">
        <f>IF(OR($A608="",$B608=""),"",IF(ISNUMBER($A608),MOD($A608,100),IFERROR(VALUE(TRIM(MID(MID($A608,FIND("/",$A608)+1,20),FIND("/",MID($A608,FIND("/",$A608)+1,20))+1,20))),"")))</f>
        <v/>
      </c>
      <c r="E608">
        <f>IF($A608="","",IF(OR($B608="",$C608="",$D608="",$B608&lt;1300,$B608&gt;1500,$C608&lt;1,$C608&gt;12,$D608&lt;1,$D608&gt;31),"نامعتبر",RIGHT("0000"&amp;$B608,4)&amp;"/"&amp;RIGHT("00"&amp;$C608,2)&amp;"/"&amp;RIGHT("00"&amp;$D608,2)))</f>
        <v/>
      </c>
      <c r="F608">
        <f>IF(OR($E608="",$E608="نامعتبر"),"",LEFT($E608,4)&amp;"/"&amp;MID($E608,6,2))</f>
        <v/>
      </c>
      <c r="G608">
        <f>IF(OR($E608="",$E608="نامعتبر",Sync!$Y605=""),"",Sync!$Y605)</f>
        <v/>
      </c>
      <c r="H608">
        <f>IF($G608="","",IF(Sync!$X605="","",Sync!$X605))</f>
        <v/>
      </c>
      <c r="I608">
        <f>IF($G608="","",IFERROR(VLOOKUP(Sync!$X605,OpTbl,3,0),""))</f>
        <v/>
      </c>
      <c r="J608">
        <f>IF(OR($G608="",Sync!$Z605=""),"",Sync!$Z605)</f>
        <v/>
      </c>
      <c r="K608">
        <f>IF(OR($G608="",Sync!$AA605=""),"",Sync!$AA605)</f>
        <v/>
      </c>
      <c r="L608">
        <f>IF($G608="",0,IF(Sync!$AB605="",0,Sync!$AB605))</f>
        <v/>
      </c>
      <c r="M608">
        <f>IF($G608="",0,IF(Sync!$AC605="",0,Sync!$AC605))</f>
        <v/>
      </c>
      <c r="N608">
        <f>IF($G608="","",IF($H608="مرجوعی خرید",-1,1)*($L608-$M608*IFERROR(VLOOKUP("P01",ParamTbl,3,0),1.5))*(1-IF($I608="خرید",IFERROR(VLOOKUP("P02",ParamTbl,3,0),1),0)/100))</f>
        <v/>
      </c>
      <c r="O608">
        <f>IF($G608="",0,IF($H608="مرجوعی خرید",-1,1)*IF(Sync!$AD605="",0,Sync!$AD605))</f>
        <v/>
      </c>
      <c r="P608">
        <f>IF(OR($G608="",Sync!$W605=""),"",Sync!$W605)</f>
        <v/>
      </c>
      <c r="Q608">
        <f>IF(OR($G608="",Sync!$AE605=""),"",Sync!$AE605)</f>
        <v/>
      </c>
      <c r="R608">
        <f>IF($G608="","",IF(Sync!$V605="","0000",IF(AND(ISNUMBER(Sync!$V605),Sync!$V605&gt;=0,Sync!$V605&lt;1),RIGHT("00"&amp;HOUR(Sync!$V605),2)&amp;RIGHT("00"&amp;MINUTE(Sync!$V605),2),IFERROR(RIGHT("00"&amp;VALUE(LEFT(Sync!$V605,FIND(":",Sync!$V605)-1)),2)&amp;RIGHT("00"&amp;VALUE(MID(Sync!$V605,FIND(":",Sync!$V605)+1,2)),2),"0000"))))</f>
        <v/>
      </c>
    </row>
    <row r="609">
      <c r="A609">
        <f>IF(Sync!$U606="","",Sync!$U606)</f>
        <v/>
      </c>
      <c r="B609">
        <f>IF($A609="","",IF(ISNUMBER($A609),IF(AND($A609&gt;=10000101,$A609&lt;=99991231),INT($A609/10000),""),IFERROR(VALUE(TRIM(LEFT($A609,FIND("/",$A609)-1))),"")))</f>
        <v/>
      </c>
      <c r="C609">
        <f>IF(OR($A609="",$B609=""),"",IF(ISNUMBER($A609),INT(MOD($A609,10000)/100),IFERROR(VALUE(TRIM(LEFT(MID($A609,FIND("/",$A609)+1,20),FIND("/",MID($A609,FIND("/",$A609)+1,20))-1))),"")))</f>
        <v/>
      </c>
      <c r="D609">
        <f>IF(OR($A609="",$B609=""),"",IF(ISNUMBER($A609),MOD($A609,100),IFERROR(VALUE(TRIM(MID(MID($A609,FIND("/",$A609)+1,20),FIND("/",MID($A609,FIND("/",$A609)+1,20))+1,20))),"")))</f>
        <v/>
      </c>
      <c r="E609">
        <f>IF($A609="","",IF(OR($B609="",$C609="",$D609="",$B609&lt;1300,$B609&gt;1500,$C609&lt;1,$C609&gt;12,$D609&lt;1,$D609&gt;31),"نامعتبر",RIGHT("0000"&amp;$B609,4)&amp;"/"&amp;RIGHT("00"&amp;$C609,2)&amp;"/"&amp;RIGHT("00"&amp;$D609,2)))</f>
        <v/>
      </c>
      <c r="F609">
        <f>IF(OR($E609="",$E609="نامعتبر"),"",LEFT($E609,4)&amp;"/"&amp;MID($E609,6,2))</f>
        <v/>
      </c>
      <c r="G609">
        <f>IF(OR($E609="",$E609="نامعتبر",Sync!$Y606=""),"",Sync!$Y606)</f>
        <v/>
      </c>
      <c r="H609">
        <f>IF($G609="","",IF(Sync!$X606="","",Sync!$X606))</f>
        <v/>
      </c>
      <c r="I609">
        <f>IF($G609="","",IFERROR(VLOOKUP(Sync!$X606,OpTbl,3,0),""))</f>
        <v/>
      </c>
      <c r="J609">
        <f>IF(OR($G609="",Sync!$Z606=""),"",Sync!$Z606)</f>
        <v/>
      </c>
      <c r="K609">
        <f>IF(OR($G609="",Sync!$AA606=""),"",Sync!$AA606)</f>
        <v/>
      </c>
      <c r="L609">
        <f>IF($G609="",0,IF(Sync!$AB606="",0,Sync!$AB606))</f>
        <v/>
      </c>
      <c r="M609">
        <f>IF($G609="",0,IF(Sync!$AC606="",0,Sync!$AC606))</f>
        <v/>
      </c>
      <c r="N609">
        <f>IF($G609="","",IF($H609="مرجوعی خرید",-1,1)*($L609-$M609*IFERROR(VLOOKUP("P01",ParamTbl,3,0),1.5))*(1-IF($I609="خرید",IFERROR(VLOOKUP("P02",ParamTbl,3,0),1),0)/100))</f>
        <v/>
      </c>
      <c r="O609">
        <f>IF($G609="",0,IF($H609="مرجوعی خرید",-1,1)*IF(Sync!$AD606="",0,Sync!$AD606))</f>
        <v/>
      </c>
      <c r="P609">
        <f>IF(OR($G609="",Sync!$W606=""),"",Sync!$W606)</f>
        <v/>
      </c>
      <c r="Q609">
        <f>IF(OR($G609="",Sync!$AE606=""),"",Sync!$AE606)</f>
        <v/>
      </c>
      <c r="R609">
        <f>IF($G609="","",IF(Sync!$V606="","0000",IF(AND(ISNUMBER(Sync!$V606),Sync!$V606&gt;=0,Sync!$V606&lt;1),RIGHT("00"&amp;HOUR(Sync!$V606),2)&amp;RIGHT("00"&amp;MINUTE(Sync!$V606),2),IFERROR(RIGHT("00"&amp;VALUE(LEFT(Sync!$V606,FIND(":",Sync!$V606)-1)),2)&amp;RIGHT("00"&amp;VALUE(MID(Sync!$V606,FIND(":",Sync!$V606)+1,2)),2),"0000"))))</f>
        <v/>
      </c>
    </row>
    <row r="610">
      <c r="A610">
        <f>IF(Sync!$U607="","",Sync!$U607)</f>
        <v/>
      </c>
      <c r="B610">
        <f>IF($A610="","",IF(ISNUMBER($A610),IF(AND($A610&gt;=10000101,$A610&lt;=99991231),INT($A610/10000),""),IFERROR(VALUE(TRIM(LEFT($A610,FIND("/",$A610)-1))),"")))</f>
        <v/>
      </c>
      <c r="C610">
        <f>IF(OR($A610="",$B610=""),"",IF(ISNUMBER($A610),INT(MOD($A610,10000)/100),IFERROR(VALUE(TRIM(LEFT(MID($A610,FIND("/",$A610)+1,20),FIND("/",MID($A610,FIND("/",$A610)+1,20))-1))),"")))</f>
        <v/>
      </c>
      <c r="D610">
        <f>IF(OR($A610="",$B610=""),"",IF(ISNUMBER($A610),MOD($A610,100),IFERROR(VALUE(TRIM(MID(MID($A610,FIND("/",$A610)+1,20),FIND("/",MID($A610,FIND("/",$A610)+1,20))+1,20))),"")))</f>
        <v/>
      </c>
      <c r="E610">
        <f>IF($A610="","",IF(OR($B610="",$C610="",$D610="",$B610&lt;1300,$B610&gt;1500,$C610&lt;1,$C610&gt;12,$D610&lt;1,$D610&gt;31),"نامعتبر",RIGHT("0000"&amp;$B610,4)&amp;"/"&amp;RIGHT("00"&amp;$C610,2)&amp;"/"&amp;RIGHT("00"&amp;$D610,2)))</f>
        <v/>
      </c>
      <c r="F610">
        <f>IF(OR($E610="",$E610="نامعتبر"),"",LEFT($E610,4)&amp;"/"&amp;MID($E610,6,2))</f>
        <v/>
      </c>
      <c r="G610">
        <f>IF(OR($E610="",$E610="نامعتبر",Sync!$Y607=""),"",Sync!$Y607)</f>
        <v/>
      </c>
      <c r="H610">
        <f>IF($G610="","",IF(Sync!$X607="","",Sync!$X607))</f>
        <v/>
      </c>
      <c r="I610">
        <f>IF($G610="","",IFERROR(VLOOKUP(Sync!$X607,OpTbl,3,0),""))</f>
        <v/>
      </c>
      <c r="J610">
        <f>IF(OR($G610="",Sync!$Z607=""),"",Sync!$Z607)</f>
        <v/>
      </c>
      <c r="K610">
        <f>IF(OR($G610="",Sync!$AA607=""),"",Sync!$AA607)</f>
        <v/>
      </c>
      <c r="L610">
        <f>IF($G610="",0,IF(Sync!$AB607="",0,Sync!$AB607))</f>
        <v/>
      </c>
      <c r="M610">
        <f>IF($G610="",0,IF(Sync!$AC607="",0,Sync!$AC607))</f>
        <v/>
      </c>
      <c r="N610">
        <f>IF($G610="","",IF($H610="مرجوعی خرید",-1,1)*($L610-$M610*IFERROR(VLOOKUP("P01",ParamTbl,3,0),1.5))*(1-IF($I610="خرید",IFERROR(VLOOKUP("P02",ParamTbl,3,0),1),0)/100))</f>
        <v/>
      </c>
      <c r="O610">
        <f>IF($G610="",0,IF($H610="مرجوعی خرید",-1,1)*IF(Sync!$AD607="",0,Sync!$AD607))</f>
        <v/>
      </c>
      <c r="P610">
        <f>IF(OR($G610="",Sync!$W607=""),"",Sync!$W607)</f>
        <v/>
      </c>
      <c r="Q610">
        <f>IF(OR($G610="",Sync!$AE607=""),"",Sync!$AE607)</f>
        <v/>
      </c>
      <c r="R610">
        <f>IF($G610="","",IF(Sync!$V607="","0000",IF(AND(ISNUMBER(Sync!$V607),Sync!$V607&gt;=0,Sync!$V607&lt;1),RIGHT("00"&amp;HOUR(Sync!$V607),2)&amp;RIGHT("00"&amp;MINUTE(Sync!$V607),2),IFERROR(RIGHT("00"&amp;VALUE(LEFT(Sync!$V607,FIND(":",Sync!$V607)-1)),2)&amp;RIGHT("00"&amp;VALUE(MID(Sync!$V607,FIND(":",Sync!$V607)+1,2)),2),"0000"))))</f>
        <v/>
      </c>
    </row>
    <row r="611">
      <c r="A611">
        <f>IF(Sync!$U608="","",Sync!$U608)</f>
        <v/>
      </c>
      <c r="B611">
        <f>IF($A611="","",IF(ISNUMBER($A611),IF(AND($A611&gt;=10000101,$A611&lt;=99991231),INT($A611/10000),""),IFERROR(VALUE(TRIM(LEFT($A611,FIND("/",$A611)-1))),"")))</f>
        <v/>
      </c>
      <c r="C611">
        <f>IF(OR($A611="",$B611=""),"",IF(ISNUMBER($A611),INT(MOD($A611,10000)/100),IFERROR(VALUE(TRIM(LEFT(MID($A611,FIND("/",$A611)+1,20),FIND("/",MID($A611,FIND("/",$A611)+1,20))-1))),"")))</f>
        <v/>
      </c>
      <c r="D611">
        <f>IF(OR($A611="",$B611=""),"",IF(ISNUMBER($A611),MOD($A611,100),IFERROR(VALUE(TRIM(MID(MID($A611,FIND("/",$A611)+1,20),FIND("/",MID($A611,FIND("/",$A611)+1,20))+1,20))),"")))</f>
        <v/>
      </c>
      <c r="E611">
        <f>IF($A611="","",IF(OR($B611="",$C611="",$D611="",$B611&lt;1300,$B611&gt;1500,$C611&lt;1,$C611&gt;12,$D611&lt;1,$D611&gt;31),"نامعتبر",RIGHT("0000"&amp;$B611,4)&amp;"/"&amp;RIGHT("00"&amp;$C611,2)&amp;"/"&amp;RIGHT("00"&amp;$D611,2)))</f>
        <v/>
      </c>
      <c r="F611">
        <f>IF(OR($E611="",$E611="نامعتبر"),"",LEFT($E611,4)&amp;"/"&amp;MID($E611,6,2))</f>
        <v/>
      </c>
      <c r="G611">
        <f>IF(OR($E611="",$E611="نامعتبر",Sync!$Y608=""),"",Sync!$Y608)</f>
        <v/>
      </c>
      <c r="H611">
        <f>IF($G611="","",IF(Sync!$X608="","",Sync!$X608))</f>
        <v/>
      </c>
      <c r="I611">
        <f>IF($G611="","",IFERROR(VLOOKUP(Sync!$X608,OpTbl,3,0),""))</f>
        <v/>
      </c>
      <c r="J611">
        <f>IF(OR($G611="",Sync!$Z608=""),"",Sync!$Z608)</f>
        <v/>
      </c>
      <c r="K611">
        <f>IF(OR($G611="",Sync!$AA608=""),"",Sync!$AA608)</f>
        <v/>
      </c>
      <c r="L611">
        <f>IF($G611="",0,IF(Sync!$AB608="",0,Sync!$AB608))</f>
        <v/>
      </c>
      <c r="M611">
        <f>IF($G611="",0,IF(Sync!$AC608="",0,Sync!$AC608))</f>
        <v/>
      </c>
      <c r="N611">
        <f>IF($G611="","",IF($H611="مرجوعی خرید",-1,1)*($L611-$M611*IFERROR(VLOOKUP("P01",ParamTbl,3,0),1.5))*(1-IF($I611="خرید",IFERROR(VLOOKUP("P02",ParamTbl,3,0),1),0)/100))</f>
        <v/>
      </c>
      <c r="O611">
        <f>IF($G611="",0,IF($H611="مرجوعی خرید",-1,1)*IF(Sync!$AD608="",0,Sync!$AD608))</f>
        <v/>
      </c>
      <c r="P611">
        <f>IF(OR($G611="",Sync!$W608=""),"",Sync!$W608)</f>
        <v/>
      </c>
      <c r="Q611">
        <f>IF(OR($G611="",Sync!$AE608=""),"",Sync!$AE608)</f>
        <v/>
      </c>
      <c r="R611">
        <f>IF($G611="","",IF(Sync!$V608="","0000",IF(AND(ISNUMBER(Sync!$V608),Sync!$V608&gt;=0,Sync!$V608&lt;1),RIGHT("00"&amp;HOUR(Sync!$V608),2)&amp;RIGHT("00"&amp;MINUTE(Sync!$V608),2),IFERROR(RIGHT("00"&amp;VALUE(LEFT(Sync!$V608,FIND(":",Sync!$V608)-1)),2)&amp;RIGHT("00"&amp;VALUE(MID(Sync!$V608,FIND(":",Sync!$V608)+1,2)),2),"0000"))))</f>
        <v/>
      </c>
    </row>
    <row r="612">
      <c r="A612">
        <f>IF(Sync!$U609="","",Sync!$U609)</f>
        <v/>
      </c>
      <c r="B612">
        <f>IF($A612="","",IF(ISNUMBER($A612),IF(AND($A612&gt;=10000101,$A612&lt;=99991231),INT($A612/10000),""),IFERROR(VALUE(TRIM(LEFT($A612,FIND("/",$A612)-1))),"")))</f>
        <v/>
      </c>
      <c r="C612">
        <f>IF(OR($A612="",$B612=""),"",IF(ISNUMBER($A612),INT(MOD($A612,10000)/100),IFERROR(VALUE(TRIM(LEFT(MID($A612,FIND("/",$A612)+1,20),FIND("/",MID($A612,FIND("/",$A612)+1,20))-1))),"")))</f>
        <v/>
      </c>
      <c r="D612">
        <f>IF(OR($A612="",$B612=""),"",IF(ISNUMBER($A612),MOD($A612,100),IFERROR(VALUE(TRIM(MID(MID($A612,FIND("/",$A612)+1,20),FIND("/",MID($A612,FIND("/",$A612)+1,20))+1,20))),"")))</f>
        <v/>
      </c>
      <c r="E612">
        <f>IF($A612="","",IF(OR($B612="",$C612="",$D612="",$B612&lt;1300,$B612&gt;1500,$C612&lt;1,$C612&gt;12,$D612&lt;1,$D612&gt;31),"نامعتبر",RIGHT("0000"&amp;$B612,4)&amp;"/"&amp;RIGHT("00"&amp;$C612,2)&amp;"/"&amp;RIGHT("00"&amp;$D612,2)))</f>
        <v/>
      </c>
      <c r="F612">
        <f>IF(OR($E612="",$E612="نامعتبر"),"",LEFT($E612,4)&amp;"/"&amp;MID($E612,6,2))</f>
        <v/>
      </c>
      <c r="G612">
        <f>IF(OR($E612="",$E612="نامعتبر",Sync!$Y609=""),"",Sync!$Y609)</f>
        <v/>
      </c>
      <c r="H612">
        <f>IF($G612="","",IF(Sync!$X609="","",Sync!$X609))</f>
        <v/>
      </c>
      <c r="I612">
        <f>IF($G612="","",IFERROR(VLOOKUP(Sync!$X609,OpTbl,3,0),""))</f>
        <v/>
      </c>
      <c r="J612">
        <f>IF(OR($G612="",Sync!$Z609=""),"",Sync!$Z609)</f>
        <v/>
      </c>
      <c r="K612">
        <f>IF(OR($G612="",Sync!$AA609=""),"",Sync!$AA609)</f>
        <v/>
      </c>
      <c r="L612">
        <f>IF($G612="",0,IF(Sync!$AB609="",0,Sync!$AB609))</f>
        <v/>
      </c>
      <c r="M612">
        <f>IF($G612="",0,IF(Sync!$AC609="",0,Sync!$AC609))</f>
        <v/>
      </c>
      <c r="N612">
        <f>IF($G612="","",IF($H612="مرجوعی خرید",-1,1)*($L612-$M612*IFERROR(VLOOKUP("P01",ParamTbl,3,0),1.5))*(1-IF($I612="خرید",IFERROR(VLOOKUP("P02",ParamTbl,3,0),1),0)/100))</f>
        <v/>
      </c>
      <c r="O612">
        <f>IF($G612="",0,IF($H612="مرجوعی خرید",-1,1)*IF(Sync!$AD609="",0,Sync!$AD609))</f>
        <v/>
      </c>
      <c r="P612">
        <f>IF(OR($G612="",Sync!$W609=""),"",Sync!$W609)</f>
        <v/>
      </c>
      <c r="Q612">
        <f>IF(OR($G612="",Sync!$AE609=""),"",Sync!$AE609)</f>
        <v/>
      </c>
      <c r="R612">
        <f>IF($G612="","",IF(Sync!$V609="","0000",IF(AND(ISNUMBER(Sync!$V609),Sync!$V609&gt;=0,Sync!$V609&lt;1),RIGHT("00"&amp;HOUR(Sync!$V609),2)&amp;RIGHT("00"&amp;MINUTE(Sync!$V609),2),IFERROR(RIGHT("00"&amp;VALUE(LEFT(Sync!$V609,FIND(":",Sync!$V609)-1)),2)&amp;RIGHT("00"&amp;VALUE(MID(Sync!$V609,FIND(":",Sync!$V609)+1,2)),2),"0000"))))</f>
        <v/>
      </c>
    </row>
    <row r="613">
      <c r="A613">
        <f>IF(Sync!$U610="","",Sync!$U610)</f>
        <v/>
      </c>
      <c r="B613">
        <f>IF($A613="","",IF(ISNUMBER($A613),IF(AND($A613&gt;=10000101,$A613&lt;=99991231),INT($A613/10000),""),IFERROR(VALUE(TRIM(LEFT($A613,FIND("/",$A613)-1))),"")))</f>
        <v/>
      </c>
      <c r="C613">
        <f>IF(OR($A613="",$B613=""),"",IF(ISNUMBER($A613),INT(MOD($A613,10000)/100),IFERROR(VALUE(TRIM(LEFT(MID($A613,FIND("/",$A613)+1,20),FIND("/",MID($A613,FIND("/",$A613)+1,20))-1))),"")))</f>
        <v/>
      </c>
      <c r="D613">
        <f>IF(OR($A613="",$B613=""),"",IF(ISNUMBER($A613),MOD($A613,100),IFERROR(VALUE(TRIM(MID(MID($A613,FIND("/",$A613)+1,20),FIND("/",MID($A613,FIND("/",$A613)+1,20))+1,20))),"")))</f>
        <v/>
      </c>
      <c r="E613">
        <f>IF($A613="","",IF(OR($B613="",$C613="",$D613="",$B613&lt;1300,$B613&gt;1500,$C613&lt;1,$C613&gt;12,$D613&lt;1,$D613&gt;31),"نامعتبر",RIGHT("0000"&amp;$B613,4)&amp;"/"&amp;RIGHT("00"&amp;$C613,2)&amp;"/"&amp;RIGHT("00"&amp;$D613,2)))</f>
        <v/>
      </c>
      <c r="F613">
        <f>IF(OR($E613="",$E613="نامعتبر"),"",LEFT($E613,4)&amp;"/"&amp;MID($E613,6,2))</f>
        <v/>
      </c>
      <c r="G613">
        <f>IF(OR($E613="",$E613="نامعتبر",Sync!$Y610=""),"",Sync!$Y610)</f>
        <v/>
      </c>
      <c r="H613">
        <f>IF($G613="","",IF(Sync!$X610="","",Sync!$X610))</f>
        <v/>
      </c>
      <c r="I613">
        <f>IF($G613="","",IFERROR(VLOOKUP(Sync!$X610,OpTbl,3,0),""))</f>
        <v/>
      </c>
      <c r="J613">
        <f>IF(OR($G613="",Sync!$Z610=""),"",Sync!$Z610)</f>
        <v/>
      </c>
      <c r="K613">
        <f>IF(OR($G613="",Sync!$AA610=""),"",Sync!$AA610)</f>
        <v/>
      </c>
      <c r="L613">
        <f>IF($G613="",0,IF(Sync!$AB610="",0,Sync!$AB610))</f>
        <v/>
      </c>
      <c r="M613">
        <f>IF($G613="",0,IF(Sync!$AC610="",0,Sync!$AC610))</f>
        <v/>
      </c>
      <c r="N613">
        <f>IF($G613="","",IF($H613="مرجوعی خرید",-1,1)*($L613-$M613*IFERROR(VLOOKUP("P01",ParamTbl,3,0),1.5))*(1-IF($I613="خرید",IFERROR(VLOOKUP("P02",ParamTbl,3,0),1),0)/100))</f>
        <v/>
      </c>
      <c r="O613">
        <f>IF($G613="",0,IF($H613="مرجوعی خرید",-1,1)*IF(Sync!$AD610="",0,Sync!$AD610))</f>
        <v/>
      </c>
      <c r="P613">
        <f>IF(OR($G613="",Sync!$W610=""),"",Sync!$W610)</f>
        <v/>
      </c>
      <c r="Q613">
        <f>IF(OR($G613="",Sync!$AE610=""),"",Sync!$AE610)</f>
        <v/>
      </c>
      <c r="R613">
        <f>IF($G613="","",IF(Sync!$V610="","0000",IF(AND(ISNUMBER(Sync!$V610),Sync!$V610&gt;=0,Sync!$V610&lt;1),RIGHT("00"&amp;HOUR(Sync!$V610),2)&amp;RIGHT("00"&amp;MINUTE(Sync!$V610),2),IFERROR(RIGHT("00"&amp;VALUE(LEFT(Sync!$V610,FIND(":",Sync!$V610)-1)),2)&amp;RIGHT("00"&amp;VALUE(MID(Sync!$V610,FIND(":",Sync!$V610)+1,2)),2),"0000"))))</f>
        <v/>
      </c>
    </row>
    <row r="614">
      <c r="A614">
        <f>IF(Sync!$U611="","",Sync!$U611)</f>
        <v/>
      </c>
      <c r="B614">
        <f>IF($A614="","",IF(ISNUMBER($A614),IF(AND($A614&gt;=10000101,$A614&lt;=99991231),INT($A614/10000),""),IFERROR(VALUE(TRIM(LEFT($A614,FIND("/",$A614)-1))),"")))</f>
        <v/>
      </c>
      <c r="C614">
        <f>IF(OR($A614="",$B614=""),"",IF(ISNUMBER($A614),INT(MOD($A614,10000)/100),IFERROR(VALUE(TRIM(LEFT(MID($A614,FIND("/",$A614)+1,20),FIND("/",MID($A614,FIND("/",$A614)+1,20))-1))),"")))</f>
        <v/>
      </c>
      <c r="D614">
        <f>IF(OR($A614="",$B614=""),"",IF(ISNUMBER($A614),MOD($A614,100),IFERROR(VALUE(TRIM(MID(MID($A614,FIND("/",$A614)+1,20),FIND("/",MID($A614,FIND("/",$A614)+1,20))+1,20))),"")))</f>
        <v/>
      </c>
      <c r="E614">
        <f>IF($A614="","",IF(OR($B614="",$C614="",$D614="",$B614&lt;1300,$B614&gt;1500,$C614&lt;1,$C614&gt;12,$D614&lt;1,$D614&gt;31),"نامعتبر",RIGHT("0000"&amp;$B614,4)&amp;"/"&amp;RIGHT("00"&amp;$C614,2)&amp;"/"&amp;RIGHT("00"&amp;$D614,2)))</f>
        <v/>
      </c>
      <c r="F614">
        <f>IF(OR($E614="",$E614="نامعتبر"),"",LEFT($E614,4)&amp;"/"&amp;MID($E614,6,2))</f>
        <v/>
      </c>
      <c r="G614">
        <f>IF(OR($E614="",$E614="نامعتبر",Sync!$Y611=""),"",Sync!$Y611)</f>
        <v/>
      </c>
      <c r="H614">
        <f>IF($G614="","",IF(Sync!$X611="","",Sync!$X611))</f>
        <v/>
      </c>
      <c r="I614">
        <f>IF($G614="","",IFERROR(VLOOKUP(Sync!$X611,OpTbl,3,0),""))</f>
        <v/>
      </c>
      <c r="J614">
        <f>IF(OR($G614="",Sync!$Z611=""),"",Sync!$Z611)</f>
        <v/>
      </c>
      <c r="K614">
        <f>IF(OR($G614="",Sync!$AA611=""),"",Sync!$AA611)</f>
        <v/>
      </c>
      <c r="L614">
        <f>IF($G614="",0,IF(Sync!$AB611="",0,Sync!$AB611))</f>
        <v/>
      </c>
      <c r="M614">
        <f>IF($G614="",0,IF(Sync!$AC611="",0,Sync!$AC611))</f>
        <v/>
      </c>
      <c r="N614">
        <f>IF($G614="","",IF($H614="مرجوعی خرید",-1,1)*($L614-$M614*IFERROR(VLOOKUP("P01",ParamTbl,3,0),1.5))*(1-IF($I614="خرید",IFERROR(VLOOKUP("P02",ParamTbl,3,0),1),0)/100))</f>
        <v/>
      </c>
      <c r="O614">
        <f>IF($G614="",0,IF($H614="مرجوعی خرید",-1,1)*IF(Sync!$AD611="",0,Sync!$AD611))</f>
        <v/>
      </c>
      <c r="P614">
        <f>IF(OR($G614="",Sync!$W611=""),"",Sync!$W611)</f>
        <v/>
      </c>
      <c r="Q614">
        <f>IF(OR($G614="",Sync!$AE611=""),"",Sync!$AE611)</f>
        <v/>
      </c>
      <c r="R614">
        <f>IF($G614="","",IF(Sync!$V611="","0000",IF(AND(ISNUMBER(Sync!$V611),Sync!$V611&gt;=0,Sync!$V611&lt;1),RIGHT("00"&amp;HOUR(Sync!$V611),2)&amp;RIGHT("00"&amp;MINUTE(Sync!$V611),2),IFERROR(RIGHT("00"&amp;VALUE(LEFT(Sync!$V611,FIND(":",Sync!$V611)-1)),2)&amp;RIGHT("00"&amp;VALUE(MID(Sync!$V611,FIND(":",Sync!$V611)+1,2)),2),"0000"))))</f>
        <v/>
      </c>
    </row>
    <row r="615">
      <c r="A615">
        <f>IF(Sync!$U612="","",Sync!$U612)</f>
        <v/>
      </c>
      <c r="B615">
        <f>IF($A615="","",IF(ISNUMBER($A615),IF(AND($A615&gt;=10000101,$A615&lt;=99991231),INT($A615/10000),""),IFERROR(VALUE(TRIM(LEFT($A615,FIND("/",$A615)-1))),"")))</f>
        <v/>
      </c>
      <c r="C615">
        <f>IF(OR($A615="",$B615=""),"",IF(ISNUMBER($A615),INT(MOD($A615,10000)/100),IFERROR(VALUE(TRIM(LEFT(MID($A615,FIND("/",$A615)+1,20),FIND("/",MID($A615,FIND("/",$A615)+1,20))-1))),"")))</f>
        <v/>
      </c>
      <c r="D615">
        <f>IF(OR($A615="",$B615=""),"",IF(ISNUMBER($A615),MOD($A615,100),IFERROR(VALUE(TRIM(MID(MID($A615,FIND("/",$A615)+1,20),FIND("/",MID($A615,FIND("/",$A615)+1,20))+1,20))),"")))</f>
        <v/>
      </c>
      <c r="E615">
        <f>IF($A615="","",IF(OR($B615="",$C615="",$D615="",$B615&lt;1300,$B615&gt;1500,$C615&lt;1,$C615&gt;12,$D615&lt;1,$D615&gt;31),"نامعتبر",RIGHT("0000"&amp;$B615,4)&amp;"/"&amp;RIGHT("00"&amp;$C615,2)&amp;"/"&amp;RIGHT("00"&amp;$D615,2)))</f>
        <v/>
      </c>
      <c r="F615">
        <f>IF(OR($E615="",$E615="نامعتبر"),"",LEFT($E615,4)&amp;"/"&amp;MID($E615,6,2))</f>
        <v/>
      </c>
      <c r="G615">
        <f>IF(OR($E615="",$E615="نامعتبر",Sync!$Y612=""),"",Sync!$Y612)</f>
        <v/>
      </c>
      <c r="H615">
        <f>IF($G615="","",IF(Sync!$X612="","",Sync!$X612))</f>
        <v/>
      </c>
      <c r="I615">
        <f>IF($G615="","",IFERROR(VLOOKUP(Sync!$X612,OpTbl,3,0),""))</f>
        <v/>
      </c>
      <c r="J615">
        <f>IF(OR($G615="",Sync!$Z612=""),"",Sync!$Z612)</f>
        <v/>
      </c>
      <c r="K615">
        <f>IF(OR($G615="",Sync!$AA612=""),"",Sync!$AA612)</f>
        <v/>
      </c>
      <c r="L615">
        <f>IF($G615="",0,IF(Sync!$AB612="",0,Sync!$AB612))</f>
        <v/>
      </c>
      <c r="M615">
        <f>IF($G615="",0,IF(Sync!$AC612="",0,Sync!$AC612))</f>
        <v/>
      </c>
      <c r="N615">
        <f>IF($G615="","",IF($H615="مرجوعی خرید",-1,1)*($L615-$M615*IFERROR(VLOOKUP("P01",ParamTbl,3,0),1.5))*(1-IF($I615="خرید",IFERROR(VLOOKUP("P02",ParamTbl,3,0),1),0)/100))</f>
        <v/>
      </c>
      <c r="O615">
        <f>IF($G615="",0,IF($H615="مرجوعی خرید",-1,1)*IF(Sync!$AD612="",0,Sync!$AD612))</f>
        <v/>
      </c>
      <c r="P615">
        <f>IF(OR($G615="",Sync!$W612=""),"",Sync!$W612)</f>
        <v/>
      </c>
      <c r="Q615">
        <f>IF(OR($G615="",Sync!$AE612=""),"",Sync!$AE612)</f>
        <v/>
      </c>
      <c r="R615">
        <f>IF($G615="","",IF(Sync!$V612="","0000",IF(AND(ISNUMBER(Sync!$V612),Sync!$V612&gt;=0,Sync!$V612&lt;1),RIGHT("00"&amp;HOUR(Sync!$V612),2)&amp;RIGHT("00"&amp;MINUTE(Sync!$V612),2),IFERROR(RIGHT("00"&amp;VALUE(LEFT(Sync!$V612,FIND(":",Sync!$V612)-1)),2)&amp;RIGHT("00"&amp;VALUE(MID(Sync!$V612,FIND(":",Sync!$V612)+1,2)),2),"0000"))))</f>
        <v/>
      </c>
    </row>
    <row r="616">
      <c r="A616">
        <f>IF(Sync!$U613="","",Sync!$U613)</f>
        <v/>
      </c>
      <c r="B616">
        <f>IF($A616="","",IF(ISNUMBER($A616),IF(AND($A616&gt;=10000101,$A616&lt;=99991231),INT($A616/10000),""),IFERROR(VALUE(TRIM(LEFT($A616,FIND("/",$A616)-1))),"")))</f>
        <v/>
      </c>
      <c r="C616">
        <f>IF(OR($A616="",$B616=""),"",IF(ISNUMBER($A616),INT(MOD($A616,10000)/100),IFERROR(VALUE(TRIM(LEFT(MID($A616,FIND("/",$A616)+1,20),FIND("/",MID($A616,FIND("/",$A616)+1,20))-1))),"")))</f>
        <v/>
      </c>
      <c r="D616">
        <f>IF(OR($A616="",$B616=""),"",IF(ISNUMBER($A616),MOD($A616,100),IFERROR(VALUE(TRIM(MID(MID($A616,FIND("/",$A616)+1,20),FIND("/",MID($A616,FIND("/",$A616)+1,20))+1,20))),"")))</f>
        <v/>
      </c>
      <c r="E616">
        <f>IF($A616="","",IF(OR($B616="",$C616="",$D616="",$B616&lt;1300,$B616&gt;1500,$C616&lt;1,$C616&gt;12,$D616&lt;1,$D616&gt;31),"نامعتبر",RIGHT("0000"&amp;$B616,4)&amp;"/"&amp;RIGHT("00"&amp;$C616,2)&amp;"/"&amp;RIGHT("00"&amp;$D616,2)))</f>
        <v/>
      </c>
      <c r="F616">
        <f>IF(OR($E616="",$E616="نامعتبر"),"",LEFT($E616,4)&amp;"/"&amp;MID($E616,6,2))</f>
        <v/>
      </c>
      <c r="G616">
        <f>IF(OR($E616="",$E616="نامعتبر",Sync!$Y613=""),"",Sync!$Y613)</f>
        <v/>
      </c>
      <c r="H616">
        <f>IF($G616="","",IF(Sync!$X613="","",Sync!$X613))</f>
        <v/>
      </c>
      <c r="I616">
        <f>IF($G616="","",IFERROR(VLOOKUP(Sync!$X613,OpTbl,3,0),""))</f>
        <v/>
      </c>
      <c r="J616">
        <f>IF(OR($G616="",Sync!$Z613=""),"",Sync!$Z613)</f>
        <v/>
      </c>
      <c r="K616">
        <f>IF(OR($G616="",Sync!$AA613=""),"",Sync!$AA613)</f>
        <v/>
      </c>
      <c r="L616">
        <f>IF($G616="",0,IF(Sync!$AB613="",0,Sync!$AB613))</f>
        <v/>
      </c>
      <c r="M616">
        <f>IF($G616="",0,IF(Sync!$AC613="",0,Sync!$AC613))</f>
        <v/>
      </c>
      <c r="N616">
        <f>IF($G616="","",IF($H616="مرجوعی خرید",-1,1)*($L616-$M616*IFERROR(VLOOKUP("P01",ParamTbl,3,0),1.5))*(1-IF($I616="خرید",IFERROR(VLOOKUP("P02",ParamTbl,3,0),1),0)/100))</f>
        <v/>
      </c>
      <c r="O616">
        <f>IF($G616="",0,IF($H616="مرجوعی خرید",-1,1)*IF(Sync!$AD613="",0,Sync!$AD613))</f>
        <v/>
      </c>
      <c r="P616">
        <f>IF(OR($G616="",Sync!$W613=""),"",Sync!$W613)</f>
        <v/>
      </c>
      <c r="Q616">
        <f>IF(OR($G616="",Sync!$AE613=""),"",Sync!$AE613)</f>
        <v/>
      </c>
      <c r="R616">
        <f>IF($G616="","",IF(Sync!$V613="","0000",IF(AND(ISNUMBER(Sync!$V613),Sync!$V613&gt;=0,Sync!$V613&lt;1),RIGHT("00"&amp;HOUR(Sync!$V613),2)&amp;RIGHT("00"&amp;MINUTE(Sync!$V613),2),IFERROR(RIGHT("00"&amp;VALUE(LEFT(Sync!$V613,FIND(":",Sync!$V613)-1)),2)&amp;RIGHT("00"&amp;VALUE(MID(Sync!$V613,FIND(":",Sync!$V613)+1,2)),2),"0000"))))</f>
        <v/>
      </c>
    </row>
    <row r="617">
      <c r="A617">
        <f>IF(Sync!$U614="","",Sync!$U614)</f>
        <v/>
      </c>
      <c r="B617">
        <f>IF($A617="","",IF(ISNUMBER($A617),IF(AND($A617&gt;=10000101,$A617&lt;=99991231),INT($A617/10000),""),IFERROR(VALUE(TRIM(LEFT($A617,FIND("/",$A617)-1))),"")))</f>
        <v/>
      </c>
      <c r="C617">
        <f>IF(OR($A617="",$B617=""),"",IF(ISNUMBER($A617),INT(MOD($A617,10000)/100),IFERROR(VALUE(TRIM(LEFT(MID($A617,FIND("/",$A617)+1,20),FIND("/",MID($A617,FIND("/",$A617)+1,20))-1))),"")))</f>
        <v/>
      </c>
      <c r="D617">
        <f>IF(OR($A617="",$B617=""),"",IF(ISNUMBER($A617),MOD($A617,100),IFERROR(VALUE(TRIM(MID(MID($A617,FIND("/",$A617)+1,20),FIND("/",MID($A617,FIND("/",$A617)+1,20))+1,20))),"")))</f>
        <v/>
      </c>
      <c r="E617">
        <f>IF($A617="","",IF(OR($B617="",$C617="",$D617="",$B617&lt;1300,$B617&gt;1500,$C617&lt;1,$C617&gt;12,$D617&lt;1,$D617&gt;31),"نامعتبر",RIGHT("0000"&amp;$B617,4)&amp;"/"&amp;RIGHT("00"&amp;$C617,2)&amp;"/"&amp;RIGHT("00"&amp;$D617,2)))</f>
        <v/>
      </c>
      <c r="F617">
        <f>IF(OR($E617="",$E617="نامعتبر"),"",LEFT($E617,4)&amp;"/"&amp;MID($E617,6,2))</f>
        <v/>
      </c>
      <c r="G617">
        <f>IF(OR($E617="",$E617="نامعتبر",Sync!$Y614=""),"",Sync!$Y614)</f>
        <v/>
      </c>
      <c r="H617">
        <f>IF($G617="","",IF(Sync!$X614="","",Sync!$X614))</f>
        <v/>
      </c>
      <c r="I617">
        <f>IF($G617="","",IFERROR(VLOOKUP(Sync!$X614,OpTbl,3,0),""))</f>
        <v/>
      </c>
      <c r="J617">
        <f>IF(OR($G617="",Sync!$Z614=""),"",Sync!$Z614)</f>
        <v/>
      </c>
      <c r="K617">
        <f>IF(OR($G617="",Sync!$AA614=""),"",Sync!$AA614)</f>
        <v/>
      </c>
      <c r="L617">
        <f>IF($G617="",0,IF(Sync!$AB614="",0,Sync!$AB614))</f>
        <v/>
      </c>
      <c r="M617">
        <f>IF($G617="",0,IF(Sync!$AC614="",0,Sync!$AC614))</f>
        <v/>
      </c>
      <c r="N617">
        <f>IF($G617="","",IF($H617="مرجوعی خرید",-1,1)*($L617-$M617*IFERROR(VLOOKUP("P01",ParamTbl,3,0),1.5))*(1-IF($I617="خرید",IFERROR(VLOOKUP("P02",ParamTbl,3,0),1),0)/100))</f>
        <v/>
      </c>
      <c r="O617">
        <f>IF($G617="",0,IF($H617="مرجوعی خرید",-1,1)*IF(Sync!$AD614="",0,Sync!$AD614))</f>
        <v/>
      </c>
      <c r="P617">
        <f>IF(OR($G617="",Sync!$W614=""),"",Sync!$W614)</f>
        <v/>
      </c>
      <c r="Q617">
        <f>IF(OR($G617="",Sync!$AE614=""),"",Sync!$AE614)</f>
        <v/>
      </c>
      <c r="R617">
        <f>IF($G617="","",IF(Sync!$V614="","0000",IF(AND(ISNUMBER(Sync!$V614),Sync!$V614&gt;=0,Sync!$V614&lt;1),RIGHT("00"&amp;HOUR(Sync!$V614),2)&amp;RIGHT("00"&amp;MINUTE(Sync!$V614),2),IFERROR(RIGHT("00"&amp;VALUE(LEFT(Sync!$V614,FIND(":",Sync!$V614)-1)),2)&amp;RIGHT("00"&amp;VALUE(MID(Sync!$V614,FIND(":",Sync!$V614)+1,2)),2),"0000"))))</f>
        <v/>
      </c>
    </row>
    <row r="618">
      <c r="A618">
        <f>IF(Sync!$U615="","",Sync!$U615)</f>
        <v/>
      </c>
      <c r="B618">
        <f>IF($A618="","",IF(ISNUMBER($A618),IF(AND($A618&gt;=10000101,$A618&lt;=99991231),INT($A618/10000),""),IFERROR(VALUE(TRIM(LEFT($A618,FIND("/",$A618)-1))),"")))</f>
        <v/>
      </c>
      <c r="C618">
        <f>IF(OR($A618="",$B618=""),"",IF(ISNUMBER($A618),INT(MOD($A618,10000)/100),IFERROR(VALUE(TRIM(LEFT(MID($A618,FIND("/",$A618)+1,20),FIND("/",MID($A618,FIND("/",$A618)+1,20))-1))),"")))</f>
        <v/>
      </c>
      <c r="D618">
        <f>IF(OR($A618="",$B618=""),"",IF(ISNUMBER($A618),MOD($A618,100),IFERROR(VALUE(TRIM(MID(MID($A618,FIND("/",$A618)+1,20),FIND("/",MID($A618,FIND("/",$A618)+1,20))+1,20))),"")))</f>
        <v/>
      </c>
      <c r="E618">
        <f>IF($A618="","",IF(OR($B618="",$C618="",$D618="",$B618&lt;1300,$B618&gt;1500,$C618&lt;1,$C618&gt;12,$D618&lt;1,$D618&gt;31),"نامعتبر",RIGHT("0000"&amp;$B618,4)&amp;"/"&amp;RIGHT("00"&amp;$C618,2)&amp;"/"&amp;RIGHT("00"&amp;$D618,2)))</f>
        <v/>
      </c>
      <c r="F618">
        <f>IF(OR($E618="",$E618="نامعتبر"),"",LEFT($E618,4)&amp;"/"&amp;MID($E618,6,2))</f>
        <v/>
      </c>
      <c r="G618">
        <f>IF(OR($E618="",$E618="نامعتبر",Sync!$Y615=""),"",Sync!$Y615)</f>
        <v/>
      </c>
      <c r="H618">
        <f>IF($G618="","",IF(Sync!$X615="","",Sync!$X615))</f>
        <v/>
      </c>
      <c r="I618">
        <f>IF($G618="","",IFERROR(VLOOKUP(Sync!$X615,OpTbl,3,0),""))</f>
        <v/>
      </c>
      <c r="J618">
        <f>IF(OR($G618="",Sync!$Z615=""),"",Sync!$Z615)</f>
        <v/>
      </c>
      <c r="K618">
        <f>IF(OR($G618="",Sync!$AA615=""),"",Sync!$AA615)</f>
        <v/>
      </c>
      <c r="L618">
        <f>IF($G618="",0,IF(Sync!$AB615="",0,Sync!$AB615))</f>
        <v/>
      </c>
      <c r="M618">
        <f>IF($G618="",0,IF(Sync!$AC615="",0,Sync!$AC615))</f>
        <v/>
      </c>
      <c r="N618">
        <f>IF($G618="","",IF($H618="مرجوعی خرید",-1,1)*($L618-$M618*IFERROR(VLOOKUP("P01",ParamTbl,3,0),1.5))*(1-IF($I618="خرید",IFERROR(VLOOKUP("P02",ParamTbl,3,0),1),0)/100))</f>
        <v/>
      </c>
      <c r="O618">
        <f>IF($G618="",0,IF($H618="مرجوعی خرید",-1,1)*IF(Sync!$AD615="",0,Sync!$AD615))</f>
        <v/>
      </c>
      <c r="P618">
        <f>IF(OR($G618="",Sync!$W615=""),"",Sync!$W615)</f>
        <v/>
      </c>
      <c r="Q618">
        <f>IF(OR($G618="",Sync!$AE615=""),"",Sync!$AE615)</f>
        <v/>
      </c>
      <c r="R618">
        <f>IF($G618="","",IF(Sync!$V615="","0000",IF(AND(ISNUMBER(Sync!$V615),Sync!$V615&gt;=0,Sync!$V615&lt;1),RIGHT("00"&amp;HOUR(Sync!$V615),2)&amp;RIGHT("00"&amp;MINUTE(Sync!$V615),2),IFERROR(RIGHT("00"&amp;VALUE(LEFT(Sync!$V615,FIND(":",Sync!$V615)-1)),2)&amp;RIGHT("00"&amp;VALUE(MID(Sync!$V615,FIND(":",Sync!$V615)+1,2)),2),"0000"))))</f>
        <v/>
      </c>
    </row>
    <row r="619">
      <c r="A619">
        <f>IF(Sync!$U616="","",Sync!$U616)</f>
        <v/>
      </c>
      <c r="B619">
        <f>IF($A619="","",IF(ISNUMBER($A619),IF(AND($A619&gt;=10000101,$A619&lt;=99991231),INT($A619/10000),""),IFERROR(VALUE(TRIM(LEFT($A619,FIND("/",$A619)-1))),"")))</f>
        <v/>
      </c>
      <c r="C619">
        <f>IF(OR($A619="",$B619=""),"",IF(ISNUMBER($A619),INT(MOD($A619,10000)/100),IFERROR(VALUE(TRIM(LEFT(MID($A619,FIND("/",$A619)+1,20),FIND("/",MID($A619,FIND("/",$A619)+1,20))-1))),"")))</f>
        <v/>
      </c>
      <c r="D619">
        <f>IF(OR($A619="",$B619=""),"",IF(ISNUMBER($A619),MOD($A619,100),IFERROR(VALUE(TRIM(MID(MID($A619,FIND("/",$A619)+1,20),FIND("/",MID($A619,FIND("/",$A619)+1,20))+1,20))),"")))</f>
        <v/>
      </c>
      <c r="E619">
        <f>IF($A619="","",IF(OR($B619="",$C619="",$D619="",$B619&lt;1300,$B619&gt;1500,$C619&lt;1,$C619&gt;12,$D619&lt;1,$D619&gt;31),"نامعتبر",RIGHT("0000"&amp;$B619,4)&amp;"/"&amp;RIGHT("00"&amp;$C619,2)&amp;"/"&amp;RIGHT("00"&amp;$D619,2)))</f>
        <v/>
      </c>
      <c r="F619">
        <f>IF(OR($E619="",$E619="نامعتبر"),"",LEFT($E619,4)&amp;"/"&amp;MID($E619,6,2))</f>
        <v/>
      </c>
      <c r="G619">
        <f>IF(OR($E619="",$E619="نامعتبر",Sync!$Y616=""),"",Sync!$Y616)</f>
        <v/>
      </c>
      <c r="H619">
        <f>IF($G619="","",IF(Sync!$X616="","",Sync!$X616))</f>
        <v/>
      </c>
      <c r="I619">
        <f>IF($G619="","",IFERROR(VLOOKUP(Sync!$X616,OpTbl,3,0),""))</f>
        <v/>
      </c>
      <c r="J619">
        <f>IF(OR($G619="",Sync!$Z616=""),"",Sync!$Z616)</f>
        <v/>
      </c>
      <c r="K619">
        <f>IF(OR($G619="",Sync!$AA616=""),"",Sync!$AA616)</f>
        <v/>
      </c>
      <c r="L619">
        <f>IF($G619="",0,IF(Sync!$AB616="",0,Sync!$AB616))</f>
        <v/>
      </c>
      <c r="M619">
        <f>IF($G619="",0,IF(Sync!$AC616="",0,Sync!$AC616))</f>
        <v/>
      </c>
      <c r="N619">
        <f>IF($G619="","",IF($H619="مرجوعی خرید",-1,1)*($L619-$M619*IFERROR(VLOOKUP("P01",ParamTbl,3,0),1.5))*(1-IF($I619="خرید",IFERROR(VLOOKUP("P02",ParamTbl,3,0),1),0)/100))</f>
        <v/>
      </c>
      <c r="O619">
        <f>IF($G619="",0,IF($H619="مرجوعی خرید",-1,1)*IF(Sync!$AD616="",0,Sync!$AD616))</f>
        <v/>
      </c>
      <c r="P619">
        <f>IF(OR($G619="",Sync!$W616=""),"",Sync!$W616)</f>
        <v/>
      </c>
      <c r="Q619">
        <f>IF(OR($G619="",Sync!$AE616=""),"",Sync!$AE616)</f>
        <v/>
      </c>
      <c r="R619">
        <f>IF($G619="","",IF(Sync!$V616="","0000",IF(AND(ISNUMBER(Sync!$V616),Sync!$V616&gt;=0,Sync!$V616&lt;1),RIGHT("00"&amp;HOUR(Sync!$V616),2)&amp;RIGHT("00"&amp;MINUTE(Sync!$V616),2),IFERROR(RIGHT("00"&amp;VALUE(LEFT(Sync!$V616,FIND(":",Sync!$V616)-1)),2)&amp;RIGHT("00"&amp;VALUE(MID(Sync!$V616,FIND(":",Sync!$V616)+1,2)),2),"0000"))))</f>
        <v/>
      </c>
    </row>
    <row r="620">
      <c r="A620">
        <f>IF(Sync!$U617="","",Sync!$U617)</f>
        <v/>
      </c>
      <c r="B620">
        <f>IF($A620="","",IF(ISNUMBER($A620),IF(AND($A620&gt;=10000101,$A620&lt;=99991231),INT($A620/10000),""),IFERROR(VALUE(TRIM(LEFT($A620,FIND("/",$A620)-1))),"")))</f>
        <v/>
      </c>
      <c r="C620">
        <f>IF(OR($A620="",$B620=""),"",IF(ISNUMBER($A620),INT(MOD($A620,10000)/100),IFERROR(VALUE(TRIM(LEFT(MID($A620,FIND("/",$A620)+1,20),FIND("/",MID($A620,FIND("/",$A620)+1,20))-1))),"")))</f>
        <v/>
      </c>
      <c r="D620">
        <f>IF(OR($A620="",$B620=""),"",IF(ISNUMBER($A620),MOD($A620,100),IFERROR(VALUE(TRIM(MID(MID($A620,FIND("/",$A620)+1,20),FIND("/",MID($A620,FIND("/",$A620)+1,20))+1,20))),"")))</f>
        <v/>
      </c>
      <c r="E620">
        <f>IF($A620="","",IF(OR($B620="",$C620="",$D620="",$B620&lt;1300,$B620&gt;1500,$C620&lt;1,$C620&gt;12,$D620&lt;1,$D620&gt;31),"نامعتبر",RIGHT("0000"&amp;$B620,4)&amp;"/"&amp;RIGHT("00"&amp;$C620,2)&amp;"/"&amp;RIGHT("00"&amp;$D620,2)))</f>
        <v/>
      </c>
      <c r="F620">
        <f>IF(OR($E620="",$E620="نامعتبر"),"",LEFT($E620,4)&amp;"/"&amp;MID($E620,6,2))</f>
        <v/>
      </c>
      <c r="G620">
        <f>IF(OR($E620="",$E620="نامعتبر",Sync!$Y617=""),"",Sync!$Y617)</f>
        <v/>
      </c>
      <c r="H620">
        <f>IF($G620="","",IF(Sync!$X617="","",Sync!$X617))</f>
        <v/>
      </c>
      <c r="I620">
        <f>IF($G620="","",IFERROR(VLOOKUP(Sync!$X617,OpTbl,3,0),""))</f>
        <v/>
      </c>
      <c r="J620">
        <f>IF(OR($G620="",Sync!$Z617=""),"",Sync!$Z617)</f>
        <v/>
      </c>
      <c r="K620">
        <f>IF(OR($G620="",Sync!$AA617=""),"",Sync!$AA617)</f>
        <v/>
      </c>
      <c r="L620">
        <f>IF($G620="",0,IF(Sync!$AB617="",0,Sync!$AB617))</f>
        <v/>
      </c>
      <c r="M620">
        <f>IF($G620="",0,IF(Sync!$AC617="",0,Sync!$AC617))</f>
        <v/>
      </c>
      <c r="N620">
        <f>IF($G620="","",IF($H620="مرجوعی خرید",-1,1)*($L620-$M620*IFERROR(VLOOKUP("P01",ParamTbl,3,0),1.5))*(1-IF($I620="خرید",IFERROR(VLOOKUP("P02",ParamTbl,3,0),1),0)/100))</f>
        <v/>
      </c>
      <c r="O620">
        <f>IF($G620="",0,IF($H620="مرجوعی خرید",-1,1)*IF(Sync!$AD617="",0,Sync!$AD617))</f>
        <v/>
      </c>
      <c r="P620">
        <f>IF(OR($G620="",Sync!$W617=""),"",Sync!$W617)</f>
        <v/>
      </c>
      <c r="Q620">
        <f>IF(OR($G620="",Sync!$AE617=""),"",Sync!$AE617)</f>
        <v/>
      </c>
      <c r="R620">
        <f>IF($G620="","",IF(Sync!$V617="","0000",IF(AND(ISNUMBER(Sync!$V617),Sync!$V617&gt;=0,Sync!$V617&lt;1),RIGHT("00"&amp;HOUR(Sync!$V617),2)&amp;RIGHT("00"&amp;MINUTE(Sync!$V617),2),IFERROR(RIGHT("00"&amp;VALUE(LEFT(Sync!$V617,FIND(":",Sync!$V617)-1)),2)&amp;RIGHT("00"&amp;VALUE(MID(Sync!$V617,FIND(":",Sync!$V617)+1,2)),2),"0000"))))</f>
        <v/>
      </c>
    </row>
    <row r="621">
      <c r="A621">
        <f>IF(Sync!$U618="","",Sync!$U618)</f>
        <v/>
      </c>
      <c r="B621">
        <f>IF($A621="","",IF(ISNUMBER($A621),IF(AND($A621&gt;=10000101,$A621&lt;=99991231),INT($A621/10000),""),IFERROR(VALUE(TRIM(LEFT($A621,FIND("/",$A621)-1))),"")))</f>
        <v/>
      </c>
      <c r="C621">
        <f>IF(OR($A621="",$B621=""),"",IF(ISNUMBER($A621),INT(MOD($A621,10000)/100),IFERROR(VALUE(TRIM(LEFT(MID($A621,FIND("/",$A621)+1,20),FIND("/",MID($A621,FIND("/",$A621)+1,20))-1))),"")))</f>
        <v/>
      </c>
      <c r="D621">
        <f>IF(OR($A621="",$B621=""),"",IF(ISNUMBER($A621),MOD($A621,100),IFERROR(VALUE(TRIM(MID(MID($A621,FIND("/",$A621)+1,20),FIND("/",MID($A621,FIND("/",$A621)+1,20))+1,20))),"")))</f>
        <v/>
      </c>
      <c r="E621">
        <f>IF($A621="","",IF(OR($B621="",$C621="",$D621="",$B621&lt;1300,$B621&gt;1500,$C621&lt;1,$C621&gt;12,$D621&lt;1,$D621&gt;31),"نامعتبر",RIGHT("0000"&amp;$B621,4)&amp;"/"&amp;RIGHT("00"&amp;$C621,2)&amp;"/"&amp;RIGHT("00"&amp;$D621,2)))</f>
        <v/>
      </c>
      <c r="F621">
        <f>IF(OR($E621="",$E621="نامعتبر"),"",LEFT($E621,4)&amp;"/"&amp;MID($E621,6,2))</f>
        <v/>
      </c>
      <c r="G621">
        <f>IF(OR($E621="",$E621="نامعتبر",Sync!$Y618=""),"",Sync!$Y618)</f>
        <v/>
      </c>
      <c r="H621">
        <f>IF($G621="","",IF(Sync!$X618="","",Sync!$X618))</f>
        <v/>
      </c>
      <c r="I621">
        <f>IF($G621="","",IFERROR(VLOOKUP(Sync!$X618,OpTbl,3,0),""))</f>
        <v/>
      </c>
      <c r="J621">
        <f>IF(OR($G621="",Sync!$Z618=""),"",Sync!$Z618)</f>
        <v/>
      </c>
      <c r="K621">
        <f>IF(OR($G621="",Sync!$AA618=""),"",Sync!$AA618)</f>
        <v/>
      </c>
      <c r="L621">
        <f>IF($G621="",0,IF(Sync!$AB618="",0,Sync!$AB618))</f>
        <v/>
      </c>
      <c r="M621">
        <f>IF($G621="",0,IF(Sync!$AC618="",0,Sync!$AC618))</f>
        <v/>
      </c>
      <c r="N621">
        <f>IF($G621="","",IF($H621="مرجوعی خرید",-1,1)*($L621-$M621*IFERROR(VLOOKUP("P01",ParamTbl,3,0),1.5))*(1-IF($I621="خرید",IFERROR(VLOOKUP("P02",ParamTbl,3,0),1),0)/100))</f>
        <v/>
      </c>
      <c r="O621">
        <f>IF($G621="",0,IF($H621="مرجوعی خرید",-1,1)*IF(Sync!$AD618="",0,Sync!$AD618))</f>
        <v/>
      </c>
      <c r="P621">
        <f>IF(OR($G621="",Sync!$W618=""),"",Sync!$W618)</f>
        <v/>
      </c>
      <c r="Q621">
        <f>IF(OR($G621="",Sync!$AE618=""),"",Sync!$AE618)</f>
        <v/>
      </c>
      <c r="R621">
        <f>IF($G621="","",IF(Sync!$V618="","0000",IF(AND(ISNUMBER(Sync!$V618),Sync!$V618&gt;=0,Sync!$V618&lt;1),RIGHT("00"&amp;HOUR(Sync!$V618),2)&amp;RIGHT("00"&amp;MINUTE(Sync!$V618),2),IFERROR(RIGHT("00"&amp;VALUE(LEFT(Sync!$V618,FIND(":",Sync!$V618)-1)),2)&amp;RIGHT("00"&amp;VALUE(MID(Sync!$V618,FIND(":",Sync!$V618)+1,2)),2),"0000"))))</f>
        <v/>
      </c>
    </row>
    <row r="622">
      <c r="A622">
        <f>IF(Sync!$U619="","",Sync!$U619)</f>
        <v/>
      </c>
      <c r="B622">
        <f>IF($A622="","",IF(ISNUMBER($A622),IF(AND($A622&gt;=10000101,$A622&lt;=99991231),INT($A622/10000),""),IFERROR(VALUE(TRIM(LEFT($A622,FIND("/",$A622)-1))),"")))</f>
        <v/>
      </c>
      <c r="C622">
        <f>IF(OR($A622="",$B622=""),"",IF(ISNUMBER($A622),INT(MOD($A622,10000)/100),IFERROR(VALUE(TRIM(LEFT(MID($A622,FIND("/",$A622)+1,20),FIND("/",MID($A622,FIND("/",$A622)+1,20))-1))),"")))</f>
        <v/>
      </c>
      <c r="D622">
        <f>IF(OR($A622="",$B622=""),"",IF(ISNUMBER($A622),MOD($A622,100),IFERROR(VALUE(TRIM(MID(MID($A622,FIND("/",$A622)+1,20),FIND("/",MID($A622,FIND("/",$A622)+1,20))+1,20))),"")))</f>
        <v/>
      </c>
      <c r="E622">
        <f>IF($A622="","",IF(OR($B622="",$C622="",$D622="",$B622&lt;1300,$B622&gt;1500,$C622&lt;1,$C622&gt;12,$D622&lt;1,$D622&gt;31),"نامعتبر",RIGHT("0000"&amp;$B622,4)&amp;"/"&amp;RIGHT("00"&amp;$C622,2)&amp;"/"&amp;RIGHT("00"&amp;$D622,2)))</f>
        <v/>
      </c>
      <c r="F622">
        <f>IF(OR($E622="",$E622="نامعتبر"),"",LEFT($E622,4)&amp;"/"&amp;MID($E622,6,2))</f>
        <v/>
      </c>
      <c r="G622">
        <f>IF(OR($E622="",$E622="نامعتبر",Sync!$Y619=""),"",Sync!$Y619)</f>
        <v/>
      </c>
      <c r="H622">
        <f>IF($G622="","",IF(Sync!$X619="","",Sync!$X619))</f>
        <v/>
      </c>
      <c r="I622">
        <f>IF($G622="","",IFERROR(VLOOKUP(Sync!$X619,OpTbl,3,0),""))</f>
        <v/>
      </c>
      <c r="J622">
        <f>IF(OR($G622="",Sync!$Z619=""),"",Sync!$Z619)</f>
        <v/>
      </c>
      <c r="K622">
        <f>IF(OR($G622="",Sync!$AA619=""),"",Sync!$AA619)</f>
        <v/>
      </c>
      <c r="L622">
        <f>IF($G622="",0,IF(Sync!$AB619="",0,Sync!$AB619))</f>
        <v/>
      </c>
      <c r="M622">
        <f>IF($G622="",0,IF(Sync!$AC619="",0,Sync!$AC619))</f>
        <v/>
      </c>
      <c r="N622">
        <f>IF($G622="","",IF($H622="مرجوعی خرید",-1,1)*($L622-$M622*IFERROR(VLOOKUP("P01",ParamTbl,3,0),1.5))*(1-IF($I622="خرید",IFERROR(VLOOKUP("P02",ParamTbl,3,0),1),0)/100))</f>
        <v/>
      </c>
      <c r="O622">
        <f>IF($G622="",0,IF($H622="مرجوعی خرید",-1,1)*IF(Sync!$AD619="",0,Sync!$AD619))</f>
        <v/>
      </c>
      <c r="P622">
        <f>IF(OR($G622="",Sync!$W619=""),"",Sync!$W619)</f>
        <v/>
      </c>
      <c r="Q622">
        <f>IF(OR($G622="",Sync!$AE619=""),"",Sync!$AE619)</f>
        <v/>
      </c>
      <c r="R622">
        <f>IF($G622="","",IF(Sync!$V619="","0000",IF(AND(ISNUMBER(Sync!$V619),Sync!$V619&gt;=0,Sync!$V619&lt;1),RIGHT("00"&amp;HOUR(Sync!$V619),2)&amp;RIGHT("00"&amp;MINUTE(Sync!$V619),2),IFERROR(RIGHT("00"&amp;VALUE(LEFT(Sync!$V619,FIND(":",Sync!$V619)-1)),2)&amp;RIGHT("00"&amp;VALUE(MID(Sync!$V619,FIND(":",Sync!$V619)+1,2)),2),"0000"))))</f>
        <v/>
      </c>
    </row>
    <row r="623">
      <c r="A623">
        <f>IF(Sync!$U620="","",Sync!$U620)</f>
        <v/>
      </c>
      <c r="B623">
        <f>IF($A623="","",IF(ISNUMBER($A623),IF(AND($A623&gt;=10000101,$A623&lt;=99991231),INT($A623/10000),""),IFERROR(VALUE(TRIM(LEFT($A623,FIND("/",$A623)-1))),"")))</f>
        <v/>
      </c>
      <c r="C623">
        <f>IF(OR($A623="",$B623=""),"",IF(ISNUMBER($A623),INT(MOD($A623,10000)/100),IFERROR(VALUE(TRIM(LEFT(MID($A623,FIND("/",$A623)+1,20),FIND("/",MID($A623,FIND("/",$A623)+1,20))-1))),"")))</f>
        <v/>
      </c>
      <c r="D623">
        <f>IF(OR($A623="",$B623=""),"",IF(ISNUMBER($A623),MOD($A623,100),IFERROR(VALUE(TRIM(MID(MID($A623,FIND("/",$A623)+1,20),FIND("/",MID($A623,FIND("/",$A623)+1,20))+1,20))),"")))</f>
        <v/>
      </c>
      <c r="E623">
        <f>IF($A623="","",IF(OR($B623="",$C623="",$D623="",$B623&lt;1300,$B623&gt;1500,$C623&lt;1,$C623&gt;12,$D623&lt;1,$D623&gt;31),"نامعتبر",RIGHT("0000"&amp;$B623,4)&amp;"/"&amp;RIGHT("00"&amp;$C623,2)&amp;"/"&amp;RIGHT("00"&amp;$D623,2)))</f>
        <v/>
      </c>
      <c r="F623">
        <f>IF(OR($E623="",$E623="نامعتبر"),"",LEFT($E623,4)&amp;"/"&amp;MID($E623,6,2))</f>
        <v/>
      </c>
      <c r="G623">
        <f>IF(OR($E623="",$E623="نامعتبر",Sync!$Y620=""),"",Sync!$Y620)</f>
        <v/>
      </c>
      <c r="H623">
        <f>IF($G623="","",IF(Sync!$X620="","",Sync!$X620))</f>
        <v/>
      </c>
      <c r="I623">
        <f>IF($G623="","",IFERROR(VLOOKUP(Sync!$X620,OpTbl,3,0),""))</f>
        <v/>
      </c>
      <c r="J623">
        <f>IF(OR($G623="",Sync!$Z620=""),"",Sync!$Z620)</f>
        <v/>
      </c>
      <c r="K623">
        <f>IF(OR($G623="",Sync!$AA620=""),"",Sync!$AA620)</f>
        <v/>
      </c>
      <c r="L623">
        <f>IF($G623="",0,IF(Sync!$AB620="",0,Sync!$AB620))</f>
        <v/>
      </c>
      <c r="M623">
        <f>IF($G623="",0,IF(Sync!$AC620="",0,Sync!$AC620))</f>
        <v/>
      </c>
      <c r="N623">
        <f>IF($G623="","",IF($H623="مرجوعی خرید",-1,1)*($L623-$M623*IFERROR(VLOOKUP("P01",ParamTbl,3,0),1.5))*(1-IF($I623="خرید",IFERROR(VLOOKUP("P02",ParamTbl,3,0),1),0)/100))</f>
        <v/>
      </c>
      <c r="O623">
        <f>IF($G623="",0,IF($H623="مرجوعی خرید",-1,1)*IF(Sync!$AD620="",0,Sync!$AD620))</f>
        <v/>
      </c>
      <c r="P623">
        <f>IF(OR($G623="",Sync!$W620=""),"",Sync!$W620)</f>
        <v/>
      </c>
      <c r="Q623">
        <f>IF(OR($G623="",Sync!$AE620=""),"",Sync!$AE620)</f>
        <v/>
      </c>
      <c r="R623">
        <f>IF($G623="","",IF(Sync!$V620="","0000",IF(AND(ISNUMBER(Sync!$V620),Sync!$V620&gt;=0,Sync!$V620&lt;1),RIGHT("00"&amp;HOUR(Sync!$V620),2)&amp;RIGHT("00"&amp;MINUTE(Sync!$V620),2),IFERROR(RIGHT("00"&amp;VALUE(LEFT(Sync!$V620,FIND(":",Sync!$V620)-1)),2)&amp;RIGHT("00"&amp;VALUE(MID(Sync!$V620,FIND(":",Sync!$V620)+1,2)),2),"0000"))))</f>
        <v/>
      </c>
    </row>
    <row r="624">
      <c r="A624">
        <f>IF(Sync!$U621="","",Sync!$U621)</f>
        <v/>
      </c>
      <c r="B624">
        <f>IF($A624="","",IF(ISNUMBER($A624),IF(AND($A624&gt;=10000101,$A624&lt;=99991231),INT($A624/10000),""),IFERROR(VALUE(TRIM(LEFT($A624,FIND("/",$A624)-1))),"")))</f>
        <v/>
      </c>
      <c r="C624">
        <f>IF(OR($A624="",$B624=""),"",IF(ISNUMBER($A624),INT(MOD($A624,10000)/100),IFERROR(VALUE(TRIM(LEFT(MID($A624,FIND("/",$A624)+1,20),FIND("/",MID($A624,FIND("/",$A624)+1,20))-1))),"")))</f>
        <v/>
      </c>
      <c r="D624">
        <f>IF(OR($A624="",$B624=""),"",IF(ISNUMBER($A624),MOD($A624,100),IFERROR(VALUE(TRIM(MID(MID($A624,FIND("/",$A624)+1,20),FIND("/",MID($A624,FIND("/",$A624)+1,20))+1,20))),"")))</f>
        <v/>
      </c>
      <c r="E624">
        <f>IF($A624="","",IF(OR($B624="",$C624="",$D624="",$B624&lt;1300,$B624&gt;1500,$C624&lt;1,$C624&gt;12,$D624&lt;1,$D624&gt;31),"نامعتبر",RIGHT("0000"&amp;$B624,4)&amp;"/"&amp;RIGHT("00"&amp;$C624,2)&amp;"/"&amp;RIGHT("00"&amp;$D624,2)))</f>
        <v/>
      </c>
      <c r="F624">
        <f>IF(OR($E624="",$E624="نامعتبر"),"",LEFT($E624,4)&amp;"/"&amp;MID($E624,6,2))</f>
        <v/>
      </c>
      <c r="G624">
        <f>IF(OR($E624="",$E624="نامعتبر",Sync!$Y621=""),"",Sync!$Y621)</f>
        <v/>
      </c>
      <c r="H624">
        <f>IF($G624="","",IF(Sync!$X621="","",Sync!$X621))</f>
        <v/>
      </c>
      <c r="I624">
        <f>IF($G624="","",IFERROR(VLOOKUP(Sync!$X621,OpTbl,3,0),""))</f>
        <v/>
      </c>
      <c r="J624">
        <f>IF(OR($G624="",Sync!$Z621=""),"",Sync!$Z621)</f>
        <v/>
      </c>
      <c r="K624">
        <f>IF(OR($G624="",Sync!$AA621=""),"",Sync!$AA621)</f>
        <v/>
      </c>
      <c r="L624">
        <f>IF($G624="",0,IF(Sync!$AB621="",0,Sync!$AB621))</f>
        <v/>
      </c>
      <c r="M624">
        <f>IF($G624="",0,IF(Sync!$AC621="",0,Sync!$AC621))</f>
        <v/>
      </c>
      <c r="N624">
        <f>IF($G624="","",IF($H624="مرجوعی خرید",-1,1)*($L624-$M624*IFERROR(VLOOKUP("P01",ParamTbl,3,0),1.5))*(1-IF($I624="خرید",IFERROR(VLOOKUP("P02",ParamTbl,3,0),1),0)/100))</f>
        <v/>
      </c>
      <c r="O624">
        <f>IF($G624="",0,IF($H624="مرجوعی خرید",-1,1)*IF(Sync!$AD621="",0,Sync!$AD621))</f>
        <v/>
      </c>
      <c r="P624">
        <f>IF(OR($G624="",Sync!$W621=""),"",Sync!$W621)</f>
        <v/>
      </c>
      <c r="Q624">
        <f>IF(OR($G624="",Sync!$AE621=""),"",Sync!$AE621)</f>
        <v/>
      </c>
      <c r="R624">
        <f>IF($G624="","",IF(Sync!$V621="","0000",IF(AND(ISNUMBER(Sync!$V621),Sync!$V621&gt;=0,Sync!$V621&lt;1),RIGHT("00"&amp;HOUR(Sync!$V621),2)&amp;RIGHT("00"&amp;MINUTE(Sync!$V621),2),IFERROR(RIGHT("00"&amp;VALUE(LEFT(Sync!$V621,FIND(":",Sync!$V621)-1)),2)&amp;RIGHT("00"&amp;VALUE(MID(Sync!$V621,FIND(":",Sync!$V621)+1,2)),2),"0000"))))</f>
        <v/>
      </c>
    </row>
    <row r="625">
      <c r="A625">
        <f>IF(Sync!$U622="","",Sync!$U622)</f>
        <v/>
      </c>
      <c r="B625">
        <f>IF($A625="","",IF(ISNUMBER($A625),IF(AND($A625&gt;=10000101,$A625&lt;=99991231),INT($A625/10000),""),IFERROR(VALUE(TRIM(LEFT($A625,FIND("/",$A625)-1))),"")))</f>
        <v/>
      </c>
      <c r="C625">
        <f>IF(OR($A625="",$B625=""),"",IF(ISNUMBER($A625),INT(MOD($A625,10000)/100),IFERROR(VALUE(TRIM(LEFT(MID($A625,FIND("/",$A625)+1,20),FIND("/",MID($A625,FIND("/",$A625)+1,20))-1))),"")))</f>
        <v/>
      </c>
      <c r="D625">
        <f>IF(OR($A625="",$B625=""),"",IF(ISNUMBER($A625),MOD($A625,100),IFERROR(VALUE(TRIM(MID(MID($A625,FIND("/",$A625)+1,20),FIND("/",MID($A625,FIND("/",$A625)+1,20))+1,20))),"")))</f>
        <v/>
      </c>
      <c r="E625">
        <f>IF($A625="","",IF(OR($B625="",$C625="",$D625="",$B625&lt;1300,$B625&gt;1500,$C625&lt;1,$C625&gt;12,$D625&lt;1,$D625&gt;31),"نامعتبر",RIGHT("0000"&amp;$B625,4)&amp;"/"&amp;RIGHT("00"&amp;$C625,2)&amp;"/"&amp;RIGHT("00"&amp;$D625,2)))</f>
        <v/>
      </c>
      <c r="F625">
        <f>IF(OR($E625="",$E625="نامعتبر"),"",LEFT($E625,4)&amp;"/"&amp;MID($E625,6,2))</f>
        <v/>
      </c>
      <c r="G625">
        <f>IF(OR($E625="",$E625="نامعتبر",Sync!$Y622=""),"",Sync!$Y622)</f>
        <v/>
      </c>
      <c r="H625">
        <f>IF($G625="","",IF(Sync!$X622="","",Sync!$X622))</f>
        <v/>
      </c>
      <c r="I625">
        <f>IF($G625="","",IFERROR(VLOOKUP(Sync!$X622,OpTbl,3,0),""))</f>
        <v/>
      </c>
      <c r="J625">
        <f>IF(OR($G625="",Sync!$Z622=""),"",Sync!$Z622)</f>
        <v/>
      </c>
      <c r="K625">
        <f>IF(OR($G625="",Sync!$AA622=""),"",Sync!$AA622)</f>
        <v/>
      </c>
      <c r="L625">
        <f>IF($G625="",0,IF(Sync!$AB622="",0,Sync!$AB622))</f>
        <v/>
      </c>
      <c r="M625">
        <f>IF($G625="",0,IF(Sync!$AC622="",0,Sync!$AC622))</f>
        <v/>
      </c>
      <c r="N625">
        <f>IF($G625="","",IF($H625="مرجوعی خرید",-1,1)*($L625-$M625*IFERROR(VLOOKUP("P01",ParamTbl,3,0),1.5))*(1-IF($I625="خرید",IFERROR(VLOOKUP("P02",ParamTbl,3,0),1),0)/100))</f>
        <v/>
      </c>
      <c r="O625">
        <f>IF($G625="",0,IF($H625="مرجوعی خرید",-1,1)*IF(Sync!$AD622="",0,Sync!$AD622))</f>
        <v/>
      </c>
      <c r="P625">
        <f>IF(OR($G625="",Sync!$W622=""),"",Sync!$W622)</f>
        <v/>
      </c>
      <c r="Q625">
        <f>IF(OR($G625="",Sync!$AE622=""),"",Sync!$AE622)</f>
        <v/>
      </c>
      <c r="R625">
        <f>IF($G625="","",IF(Sync!$V622="","0000",IF(AND(ISNUMBER(Sync!$V622),Sync!$V622&gt;=0,Sync!$V622&lt;1),RIGHT("00"&amp;HOUR(Sync!$V622),2)&amp;RIGHT("00"&amp;MINUTE(Sync!$V622),2),IFERROR(RIGHT("00"&amp;VALUE(LEFT(Sync!$V622,FIND(":",Sync!$V622)-1)),2)&amp;RIGHT("00"&amp;VALUE(MID(Sync!$V622,FIND(":",Sync!$V622)+1,2)),2),"0000"))))</f>
        <v/>
      </c>
    </row>
    <row r="626">
      <c r="A626">
        <f>IF(Sync!$U623="","",Sync!$U623)</f>
        <v/>
      </c>
      <c r="B626">
        <f>IF($A626="","",IF(ISNUMBER($A626),IF(AND($A626&gt;=10000101,$A626&lt;=99991231),INT($A626/10000),""),IFERROR(VALUE(TRIM(LEFT($A626,FIND("/",$A626)-1))),"")))</f>
        <v/>
      </c>
      <c r="C626">
        <f>IF(OR($A626="",$B626=""),"",IF(ISNUMBER($A626),INT(MOD($A626,10000)/100),IFERROR(VALUE(TRIM(LEFT(MID($A626,FIND("/",$A626)+1,20),FIND("/",MID($A626,FIND("/",$A626)+1,20))-1))),"")))</f>
        <v/>
      </c>
      <c r="D626">
        <f>IF(OR($A626="",$B626=""),"",IF(ISNUMBER($A626),MOD($A626,100),IFERROR(VALUE(TRIM(MID(MID($A626,FIND("/",$A626)+1,20),FIND("/",MID($A626,FIND("/",$A626)+1,20))+1,20))),"")))</f>
        <v/>
      </c>
      <c r="E626">
        <f>IF($A626="","",IF(OR($B626="",$C626="",$D626="",$B626&lt;1300,$B626&gt;1500,$C626&lt;1,$C626&gt;12,$D626&lt;1,$D626&gt;31),"نامعتبر",RIGHT("0000"&amp;$B626,4)&amp;"/"&amp;RIGHT("00"&amp;$C626,2)&amp;"/"&amp;RIGHT("00"&amp;$D626,2)))</f>
        <v/>
      </c>
      <c r="F626">
        <f>IF(OR($E626="",$E626="نامعتبر"),"",LEFT($E626,4)&amp;"/"&amp;MID($E626,6,2))</f>
        <v/>
      </c>
      <c r="G626">
        <f>IF(OR($E626="",$E626="نامعتبر",Sync!$Y623=""),"",Sync!$Y623)</f>
        <v/>
      </c>
      <c r="H626">
        <f>IF($G626="","",IF(Sync!$X623="","",Sync!$X623))</f>
        <v/>
      </c>
      <c r="I626">
        <f>IF($G626="","",IFERROR(VLOOKUP(Sync!$X623,OpTbl,3,0),""))</f>
        <v/>
      </c>
      <c r="J626">
        <f>IF(OR($G626="",Sync!$Z623=""),"",Sync!$Z623)</f>
        <v/>
      </c>
      <c r="K626">
        <f>IF(OR($G626="",Sync!$AA623=""),"",Sync!$AA623)</f>
        <v/>
      </c>
      <c r="L626">
        <f>IF($G626="",0,IF(Sync!$AB623="",0,Sync!$AB623))</f>
        <v/>
      </c>
      <c r="M626">
        <f>IF($G626="",0,IF(Sync!$AC623="",0,Sync!$AC623))</f>
        <v/>
      </c>
      <c r="N626">
        <f>IF($G626="","",IF($H626="مرجوعی خرید",-1,1)*($L626-$M626*IFERROR(VLOOKUP("P01",ParamTbl,3,0),1.5))*(1-IF($I626="خرید",IFERROR(VLOOKUP("P02",ParamTbl,3,0),1),0)/100))</f>
        <v/>
      </c>
      <c r="O626">
        <f>IF($G626="",0,IF($H626="مرجوعی خرید",-1,1)*IF(Sync!$AD623="",0,Sync!$AD623))</f>
        <v/>
      </c>
      <c r="P626">
        <f>IF(OR($G626="",Sync!$W623=""),"",Sync!$W623)</f>
        <v/>
      </c>
      <c r="Q626">
        <f>IF(OR($G626="",Sync!$AE623=""),"",Sync!$AE623)</f>
        <v/>
      </c>
      <c r="R626">
        <f>IF($G626="","",IF(Sync!$V623="","0000",IF(AND(ISNUMBER(Sync!$V623),Sync!$V623&gt;=0,Sync!$V623&lt;1),RIGHT("00"&amp;HOUR(Sync!$V623),2)&amp;RIGHT("00"&amp;MINUTE(Sync!$V623),2),IFERROR(RIGHT("00"&amp;VALUE(LEFT(Sync!$V623,FIND(":",Sync!$V623)-1)),2)&amp;RIGHT("00"&amp;VALUE(MID(Sync!$V623,FIND(":",Sync!$V623)+1,2)),2),"0000"))))</f>
        <v/>
      </c>
    </row>
    <row r="627">
      <c r="A627">
        <f>IF(Sync!$U624="","",Sync!$U624)</f>
        <v/>
      </c>
      <c r="B627">
        <f>IF($A627="","",IF(ISNUMBER($A627),IF(AND($A627&gt;=10000101,$A627&lt;=99991231),INT($A627/10000),""),IFERROR(VALUE(TRIM(LEFT($A627,FIND("/",$A627)-1))),"")))</f>
        <v/>
      </c>
      <c r="C627">
        <f>IF(OR($A627="",$B627=""),"",IF(ISNUMBER($A627),INT(MOD($A627,10000)/100),IFERROR(VALUE(TRIM(LEFT(MID($A627,FIND("/",$A627)+1,20),FIND("/",MID($A627,FIND("/",$A627)+1,20))-1))),"")))</f>
        <v/>
      </c>
      <c r="D627">
        <f>IF(OR($A627="",$B627=""),"",IF(ISNUMBER($A627),MOD($A627,100),IFERROR(VALUE(TRIM(MID(MID($A627,FIND("/",$A627)+1,20),FIND("/",MID($A627,FIND("/",$A627)+1,20))+1,20))),"")))</f>
        <v/>
      </c>
      <c r="E627">
        <f>IF($A627="","",IF(OR($B627="",$C627="",$D627="",$B627&lt;1300,$B627&gt;1500,$C627&lt;1,$C627&gt;12,$D627&lt;1,$D627&gt;31),"نامعتبر",RIGHT("0000"&amp;$B627,4)&amp;"/"&amp;RIGHT("00"&amp;$C627,2)&amp;"/"&amp;RIGHT("00"&amp;$D627,2)))</f>
        <v/>
      </c>
      <c r="F627">
        <f>IF(OR($E627="",$E627="نامعتبر"),"",LEFT($E627,4)&amp;"/"&amp;MID($E627,6,2))</f>
        <v/>
      </c>
      <c r="G627">
        <f>IF(OR($E627="",$E627="نامعتبر",Sync!$Y624=""),"",Sync!$Y624)</f>
        <v/>
      </c>
      <c r="H627">
        <f>IF($G627="","",IF(Sync!$X624="","",Sync!$X624))</f>
        <v/>
      </c>
      <c r="I627">
        <f>IF($G627="","",IFERROR(VLOOKUP(Sync!$X624,OpTbl,3,0),""))</f>
        <v/>
      </c>
      <c r="J627">
        <f>IF(OR($G627="",Sync!$Z624=""),"",Sync!$Z624)</f>
        <v/>
      </c>
      <c r="K627">
        <f>IF(OR($G627="",Sync!$AA624=""),"",Sync!$AA624)</f>
        <v/>
      </c>
      <c r="L627">
        <f>IF($G627="",0,IF(Sync!$AB624="",0,Sync!$AB624))</f>
        <v/>
      </c>
      <c r="M627">
        <f>IF($G627="",0,IF(Sync!$AC624="",0,Sync!$AC624))</f>
        <v/>
      </c>
      <c r="N627">
        <f>IF($G627="","",IF($H627="مرجوعی خرید",-1,1)*($L627-$M627*IFERROR(VLOOKUP("P01",ParamTbl,3,0),1.5))*(1-IF($I627="خرید",IFERROR(VLOOKUP("P02",ParamTbl,3,0),1),0)/100))</f>
        <v/>
      </c>
      <c r="O627">
        <f>IF($G627="",0,IF($H627="مرجوعی خرید",-1,1)*IF(Sync!$AD624="",0,Sync!$AD624))</f>
        <v/>
      </c>
      <c r="P627">
        <f>IF(OR($G627="",Sync!$W624=""),"",Sync!$W624)</f>
        <v/>
      </c>
      <c r="Q627">
        <f>IF(OR($G627="",Sync!$AE624=""),"",Sync!$AE624)</f>
        <v/>
      </c>
      <c r="R627">
        <f>IF($G627="","",IF(Sync!$V624="","0000",IF(AND(ISNUMBER(Sync!$V624),Sync!$V624&gt;=0,Sync!$V624&lt;1),RIGHT("00"&amp;HOUR(Sync!$V624),2)&amp;RIGHT("00"&amp;MINUTE(Sync!$V624),2),IFERROR(RIGHT("00"&amp;VALUE(LEFT(Sync!$V624,FIND(":",Sync!$V624)-1)),2)&amp;RIGHT("00"&amp;VALUE(MID(Sync!$V624,FIND(":",Sync!$V624)+1,2)),2),"0000"))))</f>
        <v/>
      </c>
    </row>
    <row r="628">
      <c r="A628">
        <f>IF(Sync!$U625="","",Sync!$U625)</f>
        <v/>
      </c>
      <c r="B628">
        <f>IF($A628="","",IF(ISNUMBER($A628),IF(AND($A628&gt;=10000101,$A628&lt;=99991231),INT($A628/10000),""),IFERROR(VALUE(TRIM(LEFT($A628,FIND("/",$A628)-1))),"")))</f>
        <v/>
      </c>
      <c r="C628">
        <f>IF(OR($A628="",$B628=""),"",IF(ISNUMBER($A628),INT(MOD($A628,10000)/100),IFERROR(VALUE(TRIM(LEFT(MID($A628,FIND("/",$A628)+1,20),FIND("/",MID($A628,FIND("/",$A628)+1,20))-1))),"")))</f>
        <v/>
      </c>
      <c r="D628">
        <f>IF(OR($A628="",$B628=""),"",IF(ISNUMBER($A628),MOD($A628,100),IFERROR(VALUE(TRIM(MID(MID($A628,FIND("/",$A628)+1,20),FIND("/",MID($A628,FIND("/",$A628)+1,20))+1,20))),"")))</f>
        <v/>
      </c>
      <c r="E628">
        <f>IF($A628="","",IF(OR($B628="",$C628="",$D628="",$B628&lt;1300,$B628&gt;1500,$C628&lt;1,$C628&gt;12,$D628&lt;1,$D628&gt;31),"نامعتبر",RIGHT("0000"&amp;$B628,4)&amp;"/"&amp;RIGHT("00"&amp;$C628,2)&amp;"/"&amp;RIGHT("00"&amp;$D628,2)))</f>
        <v/>
      </c>
      <c r="F628">
        <f>IF(OR($E628="",$E628="نامعتبر"),"",LEFT($E628,4)&amp;"/"&amp;MID($E628,6,2))</f>
        <v/>
      </c>
      <c r="G628">
        <f>IF(OR($E628="",$E628="نامعتبر",Sync!$Y625=""),"",Sync!$Y625)</f>
        <v/>
      </c>
      <c r="H628">
        <f>IF($G628="","",IF(Sync!$X625="","",Sync!$X625))</f>
        <v/>
      </c>
      <c r="I628">
        <f>IF($G628="","",IFERROR(VLOOKUP(Sync!$X625,OpTbl,3,0),""))</f>
        <v/>
      </c>
      <c r="J628">
        <f>IF(OR($G628="",Sync!$Z625=""),"",Sync!$Z625)</f>
        <v/>
      </c>
      <c r="K628">
        <f>IF(OR($G628="",Sync!$AA625=""),"",Sync!$AA625)</f>
        <v/>
      </c>
      <c r="L628">
        <f>IF($G628="",0,IF(Sync!$AB625="",0,Sync!$AB625))</f>
        <v/>
      </c>
      <c r="M628">
        <f>IF($G628="",0,IF(Sync!$AC625="",0,Sync!$AC625))</f>
        <v/>
      </c>
      <c r="N628">
        <f>IF($G628="","",IF($H628="مرجوعی خرید",-1,1)*($L628-$M628*IFERROR(VLOOKUP("P01",ParamTbl,3,0),1.5))*(1-IF($I628="خرید",IFERROR(VLOOKUP("P02",ParamTbl,3,0),1),0)/100))</f>
        <v/>
      </c>
      <c r="O628">
        <f>IF($G628="",0,IF($H628="مرجوعی خرید",-1,1)*IF(Sync!$AD625="",0,Sync!$AD625))</f>
        <v/>
      </c>
      <c r="P628">
        <f>IF(OR($G628="",Sync!$W625=""),"",Sync!$W625)</f>
        <v/>
      </c>
      <c r="Q628">
        <f>IF(OR($G628="",Sync!$AE625=""),"",Sync!$AE625)</f>
        <v/>
      </c>
      <c r="R628">
        <f>IF($G628="","",IF(Sync!$V625="","0000",IF(AND(ISNUMBER(Sync!$V625),Sync!$V625&gt;=0,Sync!$V625&lt;1),RIGHT("00"&amp;HOUR(Sync!$V625),2)&amp;RIGHT("00"&amp;MINUTE(Sync!$V625),2),IFERROR(RIGHT("00"&amp;VALUE(LEFT(Sync!$V625,FIND(":",Sync!$V625)-1)),2)&amp;RIGHT("00"&amp;VALUE(MID(Sync!$V625,FIND(":",Sync!$V625)+1,2)),2),"0000"))))</f>
        <v/>
      </c>
    </row>
    <row r="629">
      <c r="A629">
        <f>IF(Sync!$U626="","",Sync!$U626)</f>
        <v/>
      </c>
      <c r="B629">
        <f>IF($A629="","",IF(ISNUMBER($A629),IF(AND($A629&gt;=10000101,$A629&lt;=99991231),INT($A629/10000),""),IFERROR(VALUE(TRIM(LEFT($A629,FIND("/",$A629)-1))),"")))</f>
        <v/>
      </c>
      <c r="C629">
        <f>IF(OR($A629="",$B629=""),"",IF(ISNUMBER($A629),INT(MOD($A629,10000)/100),IFERROR(VALUE(TRIM(LEFT(MID($A629,FIND("/",$A629)+1,20),FIND("/",MID($A629,FIND("/",$A629)+1,20))-1))),"")))</f>
        <v/>
      </c>
      <c r="D629">
        <f>IF(OR($A629="",$B629=""),"",IF(ISNUMBER($A629),MOD($A629,100),IFERROR(VALUE(TRIM(MID(MID($A629,FIND("/",$A629)+1,20),FIND("/",MID($A629,FIND("/",$A629)+1,20))+1,20))),"")))</f>
        <v/>
      </c>
      <c r="E629">
        <f>IF($A629="","",IF(OR($B629="",$C629="",$D629="",$B629&lt;1300,$B629&gt;1500,$C629&lt;1,$C629&gt;12,$D629&lt;1,$D629&gt;31),"نامعتبر",RIGHT("0000"&amp;$B629,4)&amp;"/"&amp;RIGHT("00"&amp;$C629,2)&amp;"/"&amp;RIGHT("00"&amp;$D629,2)))</f>
        <v/>
      </c>
      <c r="F629">
        <f>IF(OR($E629="",$E629="نامعتبر"),"",LEFT($E629,4)&amp;"/"&amp;MID($E629,6,2))</f>
        <v/>
      </c>
      <c r="G629">
        <f>IF(OR($E629="",$E629="نامعتبر",Sync!$Y626=""),"",Sync!$Y626)</f>
        <v/>
      </c>
      <c r="H629">
        <f>IF($G629="","",IF(Sync!$X626="","",Sync!$X626))</f>
        <v/>
      </c>
      <c r="I629">
        <f>IF($G629="","",IFERROR(VLOOKUP(Sync!$X626,OpTbl,3,0),""))</f>
        <v/>
      </c>
      <c r="J629">
        <f>IF(OR($G629="",Sync!$Z626=""),"",Sync!$Z626)</f>
        <v/>
      </c>
      <c r="K629">
        <f>IF(OR($G629="",Sync!$AA626=""),"",Sync!$AA626)</f>
        <v/>
      </c>
      <c r="L629">
        <f>IF($G629="",0,IF(Sync!$AB626="",0,Sync!$AB626))</f>
        <v/>
      </c>
      <c r="M629">
        <f>IF($G629="",0,IF(Sync!$AC626="",0,Sync!$AC626))</f>
        <v/>
      </c>
      <c r="N629">
        <f>IF($G629="","",IF($H629="مرجوعی خرید",-1,1)*($L629-$M629*IFERROR(VLOOKUP("P01",ParamTbl,3,0),1.5))*(1-IF($I629="خرید",IFERROR(VLOOKUP("P02",ParamTbl,3,0),1),0)/100))</f>
        <v/>
      </c>
      <c r="O629">
        <f>IF($G629="",0,IF($H629="مرجوعی خرید",-1,1)*IF(Sync!$AD626="",0,Sync!$AD626))</f>
        <v/>
      </c>
      <c r="P629">
        <f>IF(OR($G629="",Sync!$W626=""),"",Sync!$W626)</f>
        <v/>
      </c>
      <c r="Q629">
        <f>IF(OR($G629="",Sync!$AE626=""),"",Sync!$AE626)</f>
        <v/>
      </c>
      <c r="R629">
        <f>IF($G629="","",IF(Sync!$V626="","0000",IF(AND(ISNUMBER(Sync!$V626),Sync!$V626&gt;=0,Sync!$V626&lt;1),RIGHT("00"&amp;HOUR(Sync!$V626),2)&amp;RIGHT("00"&amp;MINUTE(Sync!$V626),2),IFERROR(RIGHT("00"&amp;VALUE(LEFT(Sync!$V626,FIND(":",Sync!$V626)-1)),2)&amp;RIGHT("00"&amp;VALUE(MID(Sync!$V626,FIND(":",Sync!$V626)+1,2)),2),"0000"))))</f>
        <v/>
      </c>
    </row>
    <row r="630">
      <c r="A630">
        <f>IF(Sync!$U627="","",Sync!$U627)</f>
        <v/>
      </c>
      <c r="B630">
        <f>IF($A630="","",IF(ISNUMBER($A630),IF(AND($A630&gt;=10000101,$A630&lt;=99991231),INT($A630/10000),""),IFERROR(VALUE(TRIM(LEFT($A630,FIND("/",$A630)-1))),"")))</f>
        <v/>
      </c>
      <c r="C630">
        <f>IF(OR($A630="",$B630=""),"",IF(ISNUMBER($A630),INT(MOD($A630,10000)/100),IFERROR(VALUE(TRIM(LEFT(MID($A630,FIND("/",$A630)+1,20),FIND("/",MID($A630,FIND("/",$A630)+1,20))-1))),"")))</f>
        <v/>
      </c>
      <c r="D630">
        <f>IF(OR($A630="",$B630=""),"",IF(ISNUMBER($A630),MOD($A630,100),IFERROR(VALUE(TRIM(MID(MID($A630,FIND("/",$A630)+1,20),FIND("/",MID($A630,FIND("/",$A630)+1,20))+1,20))),"")))</f>
        <v/>
      </c>
      <c r="E630">
        <f>IF($A630="","",IF(OR($B630="",$C630="",$D630="",$B630&lt;1300,$B630&gt;1500,$C630&lt;1,$C630&gt;12,$D630&lt;1,$D630&gt;31),"نامعتبر",RIGHT("0000"&amp;$B630,4)&amp;"/"&amp;RIGHT("00"&amp;$C630,2)&amp;"/"&amp;RIGHT("00"&amp;$D630,2)))</f>
        <v/>
      </c>
      <c r="F630">
        <f>IF(OR($E630="",$E630="نامعتبر"),"",LEFT($E630,4)&amp;"/"&amp;MID($E630,6,2))</f>
        <v/>
      </c>
      <c r="G630">
        <f>IF(OR($E630="",$E630="نامعتبر",Sync!$Y627=""),"",Sync!$Y627)</f>
        <v/>
      </c>
      <c r="H630">
        <f>IF($G630="","",IF(Sync!$X627="","",Sync!$X627))</f>
        <v/>
      </c>
      <c r="I630">
        <f>IF($G630="","",IFERROR(VLOOKUP(Sync!$X627,OpTbl,3,0),""))</f>
        <v/>
      </c>
      <c r="J630">
        <f>IF(OR($G630="",Sync!$Z627=""),"",Sync!$Z627)</f>
        <v/>
      </c>
      <c r="K630">
        <f>IF(OR($G630="",Sync!$AA627=""),"",Sync!$AA627)</f>
        <v/>
      </c>
      <c r="L630">
        <f>IF($G630="",0,IF(Sync!$AB627="",0,Sync!$AB627))</f>
        <v/>
      </c>
      <c r="M630">
        <f>IF($G630="",0,IF(Sync!$AC627="",0,Sync!$AC627))</f>
        <v/>
      </c>
      <c r="N630">
        <f>IF($G630="","",IF($H630="مرجوعی خرید",-1,1)*($L630-$M630*IFERROR(VLOOKUP("P01",ParamTbl,3,0),1.5))*(1-IF($I630="خرید",IFERROR(VLOOKUP("P02",ParamTbl,3,0),1),0)/100))</f>
        <v/>
      </c>
      <c r="O630">
        <f>IF($G630="",0,IF($H630="مرجوعی خرید",-1,1)*IF(Sync!$AD627="",0,Sync!$AD627))</f>
        <v/>
      </c>
      <c r="P630">
        <f>IF(OR($G630="",Sync!$W627=""),"",Sync!$W627)</f>
        <v/>
      </c>
      <c r="Q630">
        <f>IF(OR($G630="",Sync!$AE627=""),"",Sync!$AE627)</f>
        <v/>
      </c>
      <c r="R630">
        <f>IF($G630="","",IF(Sync!$V627="","0000",IF(AND(ISNUMBER(Sync!$V627),Sync!$V627&gt;=0,Sync!$V627&lt;1),RIGHT("00"&amp;HOUR(Sync!$V627),2)&amp;RIGHT("00"&amp;MINUTE(Sync!$V627),2),IFERROR(RIGHT("00"&amp;VALUE(LEFT(Sync!$V627,FIND(":",Sync!$V627)-1)),2)&amp;RIGHT("00"&amp;VALUE(MID(Sync!$V627,FIND(":",Sync!$V627)+1,2)),2),"0000"))))</f>
        <v/>
      </c>
    </row>
    <row r="631">
      <c r="A631">
        <f>IF(Sync!$U628="","",Sync!$U628)</f>
        <v/>
      </c>
      <c r="B631">
        <f>IF($A631="","",IF(ISNUMBER($A631),IF(AND($A631&gt;=10000101,$A631&lt;=99991231),INT($A631/10000),""),IFERROR(VALUE(TRIM(LEFT($A631,FIND("/",$A631)-1))),"")))</f>
        <v/>
      </c>
      <c r="C631">
        <f>IF(OR($A631="",$B631=""),"",IF(ISNUMBER($A631),INT(MOD($A631,10000)/100),IFERROR(VALUE(TRIM(LEFT(MID($A631,FIND("/",$A631)+1,20),FIND("/",MID($A631,FIND("/",$A631)+1,20))-1))),"")))</f>
        <v/>
      </c>
      <c r="D631">
        <f>IF(OR($A631="",$B631=""),"",IF(ISNUMBER($A631),MOD($A631,100),IFERROR(VALUE(TRIM(MID(MID($A631,FIND("/",$A631)+1,20),FIND("/",MID($A631,FIND("/",$A631)+1,20))+1,20))),"")))</f>
        <v/>
      </c>
      <c r="E631">
        <f>IF($A631="","",IF(OR($B631="",$C631="",$D631="",$B631&lt;1300,$B631&gt;1500,$C631&lt;1,$C631&gt;12,$D631&lt;1,$D631&gt;31),"نامعتبر",RIGHT("0000"&amp;$B631,4)&amp;"/"&amp;RIGHT("00"&amp;$C631,2)&amp;"/"&amp;RIGHT("00"&amp;$D631,2)))</f>
        <v/>
      </c>
      <c r="F631">
        <f>IF(OR($E631="",$E631="نامعتبر"),"",LEFT($E631,4)&amp;"/"&amp;MID($E631,6,2))</f>
        <v/>
      </c>
      <c r="G631">
        <f>IF(OR($E631="",$E631="نامعتبر",Sync!$Y628=""),"",Sync!$Y628)</f>
        <v/>
      </c>
      <c r="H631">
        <f>IF($G631="","",IF(Sync!$X628="","",Sync!$X628))</f>
        <v/>
      </c>
      <c r="I631">
        <f>IF($G631="","",IFERROR(VLOOKUP(Sync!$X628,OpTbl,3,0),""))</f>
        <v/>
      </c>
      <c r="J631">
        <f>IF(OR($G631="",Sync!$Z628=""),"",Sync!$Z628)</f>
        <v/>
      </c>
      <c r="K631">
        <f>IF(OR($G631="",Sync!$AA628=""),"",Sync!$AA628)</f>
        <v/>
      </c>
      <c r="L631">
        <f>IF($G631="",0,IF(Sync!$AB628="",0,Sync!$AB628))</f>
        <v/>
      </c>
      <c r="M631">
        <f>IF($G631="",0,IF(Sync!$AC628="",0,Sync!$AC628))</f>
        <v/>
      </c>
      <c r="N631">
        <f>IF($G631="","",IF($H631="مرجوعی خرید",-1,1)*($L631-$M631*IFERROR(VLOOKUP("P01",ParamTbl,3,0),1.5))*(1-IF($I631="خرید",IFERROR(VLOOKUP("P02",ParamTbl,3,0),1),0)/100))</f>
        <v/>
      </c>
      <c r="O631">
        <f>IF($G631="",0,IF($H631="مرجوعی خرید",-1,1)*IF(Sync!$AD628="",0,Sync!$AD628))</f>
        <v/>
      </c>
      <c r="P631">
        <f>IF(OR($G631="",Sync!$W628=""),"",Sync!$W628)</f>
        <v/>
      </c>
      <c r="Q631">
        <f>IF(OR($G631="",Sync!$AE628=""),"",Sync!$AE628)</f>
        <v/>
      </c>
      <c r="R631">
        <f>IF($G631="","",IF(Sync!$V628="","0000",IF(AND(ISNUMBER(Sync!$V628),Sync!$V628&gt;=0,Sync!$V628&lt;1),RIGHT("00"&amp;HOUR(Sync!$V628),2)&amp;RIGHT("00"&amp;MINUTE(Sync!$V628),2),IFERROR(RIGHT("00"&amp;VALUE(LEFT(Sync!$V628,FIND(":",Sync!$V628)-1)),2)&amp;RIGHT("00"&amp;VALUE(MID(Sync!$V628,FIND(":",Sync!$V628)+1,2)),2),"0000"))))</f>
        <v/>
      </c>
    </row>
    <row r="632">
      <c r="A632">
        <f>IF(Sync!$U629="","",Sync!$U629)</f>
        <v/>
      </c>
      <c r="B632">
        <f>IF($A632="","",IF(ISNUMBER($A632),IF(AND($A632&gt;=10000101,$A632&lt;=99991231),INT($A632/10000),""),IFERROR(VALUE(TRIM(LEFT($A632,FIND("/",$A632)-1))),"")))</f>
        <v/>
      </c>
      <c r="C632">
        <f>IF(OR($A632="",$B632=""),"",IF(ISNUMBER($A632),INT(MOD($A632,10000)/100),IFERROR(VALUE(TRIM(LEFT(MID($A632,FIND("/",$A632)+1,20),FIND("/",MID($A632,FIND("/",$A632)+1,20))-1))),"")))</f>
        <v/>
      </c>
      <c r="D632">
        <f>IF(OR($A632="",$B632=""),"",IF(ISNUMBER($A632),MOD($A632,100),IFERROR(VALUE(TRIM(MID(MID($A632,FIND("/",$A632)+1,20),FIND("/",MID($A632,FIND("/",$A632)+1,20))+1,20))),"")))</f>
        <v/>
      </c>
      <c r="E632">
        <f>IF($A632="","",IF(OR($B632="",$C632="",$D632="",$B632&lt;1300,$B632&gt;1500,$C632&lt;1,$C632&gt;12,$D632&lt;1,$D632&gt;31),"نامعتبر",RIGHT("0000"&amp;$B632,4)&amp;"/"&amp;RIGHT("00"&amp;$C632,2)&amp;"/"&amp;RIGHT("00"&amp;$D632,2)))</f>
        <v/>
      </c>
      <c r="F632">
        <f>IF(OR($E632="",$E632="نامعتبر"),"",LEFT($E632,4)&amp;"/"&amp;MID($E632,6,2))</f>
        <v/>
      </c>
      <c r="G632">
        <f>IF(OR($E632="",$E632="نامعتبر",Sync!$Y629=""),"",Sync!$Y629)</f>
        <v/>
      </c>
      <c r="H632">
        <f>IF($G632="","",IF(Sync!$X629="","",Sync!$X629))</f>
        <v/>
      </c>
      <c r="I632">
        <f>IF($G632="","",IFERROR(VLOOKUP(Sync!$X629,OpTbl,3,0),""))</f>
        <v/>
      </c>
      <c r="J632">
        <f>IF(OR($G632="",Sync!$Z629=""),"",Sync!$Z629)</f>
        <v/>
      </c>
      <c r="K632">
        <f>IF(OR($G632="",Sync!$AA629=""),"",Sync!$AA629)</f>
        <v/>
      </c>
      <c r="L632">
        <f>IF($G632="",0,IF(Sync!$AB629="",0,Sync!$AB629))</f>
        <v/>
      </c>
      <c r="M632">
        <f>IF($G632="",0,IF(Sync!$AC629="",0,Sync!$AC629))</f>
        <v/>
      </c>
      <c r="N632">
        <f>IF($G632="","",IF($H632="مرجوعی خرید",-1,1)*($L632-$M632*IFERROR(VLOOKUP("P01",ParamTbl,3,0),1.5))*(1-IF($I632="خرید",IFERROR(VLOOKUP("P02",ParamTbl,3,0),1),0)/100))</f>
        <v/>
      </c>
      <c r="O632">
        <f>IF($G632="",0,IF($H632="مرجوعی خرید",-1,1)*IF(Sync!$AD629="",0,Sync!$AD629))</f>
        <v/>
      </c>
      <c r="P632">
        <f>IF(OR($G632="",Sync!$W629=""),"",Sync!$W629)</f>
        <v/>
      </c>
      <c r="Q632">
        <f>IF(OR($G632="",Sync!$AE629=""),"",Sync!$AE629)</f>
        <v/>
      </c>
      <c r="R632">
        <f>IF($G632="","",IF(Sync!$V629="","0000",IF(AND(ISNUMBER(Sync!$V629),Sync!$V629&gt;=0,Sync!$V629&lt;1),RIGHT("00"&amp;HOUR(Sync!$V629),2)&amp;RIGHT("00"&amp;MINUTE(Sync!$V629),2),IFERROR(RIGHT("00"&amp;VALUE(LEFT(Sync!$V629,FIND(":",Sync!$V629)-1)),2)&amp;RIGHT("00"&amp;VALUE(MID(Sync!$V629,FIND(":",Sync!$V629)+1,2)),2),"0000"))))</f>
        <v/>
      </c>
    </row>
    <row r="633">
      <c r="A633">
        <f>IF(Sync!$U630="","",Sync!$U630)</f>
        <v/>
      </c>
      <c r="B633">
        <f>IF($A633="","",IF(ISNUMBER($A633),IF(AND($A633&gt;=10000101,$A633&lt;=99991231),INT($A633/10000),""),IFERROR(VALUE(TRIM(LEFT($A633,FIND("/",$A633)-1))),"")))</f>
        <v/>
      </c>
      <c r="C633">
        <f>IF(OR($A633="",$B633=""),"",IF(ISNUMBER($A633),INT(MOD($A633,10000)/100),IFERROR(VALUE(TRIM(LEFT(MID($A633,FIND("/",$A633)+1,20),FIND("/",MID($A633,FIND("/",$A633)+1,20))-1))),"")))</f>
        <v/>
      </c>
      <c r="D633">
        <f>IF(OR($A633="",$B633=""),"",IF(ISNUMBER($A633),MOD($A633,100),IFERROR(VALUE(TRIM(MID(MID($A633,FIND("/",$A633)+1,20),FIND("/",MID($A633,FIND("/",$A633)+1,20))+1,20))),"")))</f>
        <v/>
      </c>
      <c r="E633">
        <f>IF($A633="","",IF(OR($B633="",$C633="",$D633="",$B633&lt;1300,$B633&gt;1500,$C633&lt;1,$C633&gt;12,$D633&lt;1,$D633&gt;31),"نامعتبر",RIGHT("0000"&amp;$B633,4)&amp;"/"&amp;RIGHT("00"&amp;$C633,2)&amp;"/"&amp;RIGHT("00"&amp;$D633,2)))</f>
        <v/>
      </c>
      <c r="F633">
        <f>IF(OR($E633="",$E633="نامعتبر"),"",LEFT($E633,4)&amp;"/"&amp;MID($E633,6,2))</f>
        <v/>
      </c>
      <c r="G633">
        <f>IF(OR($E633="",$E633="نامعتبر",Sync!$Y630=""),"",Sync!$Y630)</f>
        <v/>
      </c>
      <c r="H633">
        <f>IF($G633="","",IF(Sync!$X630="","",Sync!$X630))</f>
        <v/>
      </c>
      <c r="I633">
        <f>IF($G633="","",IFERROR(VLOOKUP(Sync!$X630,OpTbl,3,0),""))</f>
        <v/>
      </c>
      <c r="J633">
        <f>IF(OR($G633="",Sync!$Z630=""),"",Sync!$Z630)</f>
        <v/>
      </c>
      <c r="K633">
        <f>IF(OR($G633="",Sync!$AA630=""),"",Sync!$AA630)</f>
        <v/>
      </c>
      <c r="L633">
        <f>IF($G633="",0,IF(Sync!$AB630="",0,Sync!$AB630))</f>
        <v/>
      </c>
      <c r="M633">
        <f>IF($G633="",0,IF(Sync!$AC630="",0,Sync!$AC630))</f>
        <v/>
      </c>
      <c r="N633">
        <f>IF($G633="","",IF($H633="مرجوعی خرید",-1,1)*($L633-$M633*IFERROR(VLOOKUP("P01",ParamTbl,3,0),1.5))*(1-IF($I633="خرید",IFERROR(VLOOKUP("P02",ParamTbl,3,0),1),0)/100))</f>
        <v/>
      </c>
      <c r="O633">
        <f>IF($G633="",0,IF($H633="مرجوعی خرید",-1,1)*IF(Sync!$AD630="",0,Sync!$AD630))</f>
        <v/>
      </c>
      <c r="P633">
        <f>IF(OR($G633="",Sync!$W630=""),"",Sync!$W630)</f>
        <v/>
      </c>
      <c r="Q633">
        <f>IF(OR($G633="",Sync!$AE630=""),"",Sync!$AE630)</f>
        <v/>
      </c>
      <c r="R633">
        <f>IF($G633="","",IF(Sync!$V630="","0000",IF(AND(ISNUMBER(Sync!$V630),Sync!$V630&gt;=0,Sync!$V630&lt;1),RIGHT("00"&amp;HOUR(Sync!$V630),2)&amp;RIGHT("00"&amp;MINUTE(Sync!$V630),2),IFERROR(RIGHT("00"&amp;VALUE(LEFT(Sync!$V630,FIND(":",Sync!$V630)-1)),2)&amp;RIGHT("00"&amp;VALUE(MID(Sync!$V630,FIND(":",Sync!$V630)+1,2)),2),"0000"))))</f>
        <v/>
      </c>
    </row>
    <row r="634">
      <c r="A634">
        <f>IF(Sync!$U631="","",Sync!$U631)</f>
        <v/>
      </c>
      <c r="B634">
        <f>IF($A634="","",IF(ISNUMBER($A634),IF(AND($A634&gt;=10000101,$A634&lt;=99991231),INT($A634/10000),""),IFERROR(VALUE(TRIM(LEFT($A634,FIND("/",$A634)-1))),"")))</f>
        <v/>
      </c>
      <c r="C634">
        <f>IF(OR($A634="",$B634=""),"",IF(ISNUMBER($A634),INT(MOD($A634,10000)/100),IFERROR(VALUE(TRIM(LEFT(MID($A634,FIND("/",$A634)+1,20),FIND("/",MID($A634,FIND("/",$A634)+1,20))-1))),"")))</f>
        <v/>
      </c>
      <c r="D634">
        <f>IF(OR($A634="",$B634=""),"",IF(ISNUMBER($A634),MOD($A634,100),IFERROR(VALUE(TRIM(MID(MID($A634,FIND("/",$A634)+1,20),FIND("/",MID($A634,FIND("/",$A634)+1,20))+1,20))),"")))</f>
        <v/>
      </c>
      <c r="E634">
        <f>IF($A634="","",IF(OR($B634="",$C634="",$D634="",$B634&lt;1300,$B634&gt;1500,$C634&lt;1,$C634&gt;12,$D634&lt;1,$D634&gt;31),"نامعتبر",RIGHT("0000"&amp;$B634,4)&amp;"/"&amp;RIGHT("00"&amp;$C634,2)&amp;"/"&amp;RIGHT("00"&amp;$D634,2)))</f>
        <v/>
      </c>
      <c r="F634">
        <f>IF(OR($E634="",$E634="نامعتبر"),"",LEFT($E634,4)&amp;"/"&amp;MID($E634,6,2))</f>
        <v/>
      </c>
      <c r="G634">
        <f>IF(OR($E634="",$E634="نامعتبر",Sync!$Y631=""),"",Sync!$Y631)</f>
        <v/>
      </c>
      <c r="H634">
        <f>IF($G634="","",IF(Sync!$X631="","",Sync!$X631))</f>
        <v/>
      </c>
      <c r="I634">
        <f>IF($G634="","",IFERROR(VLOOKUP(Sync!$X631,OpTbl,3,0),""))</f>
        <v/>
      </c>
      <c r="J634">
        <f>IF(OR($G634="",Sync!$Z631=""),"",Sync!$Z631)</f>
        <v/>
      </c>
      <c r="K634">
        <f>IF(OR($G634="",Sync!$AA631=""),"",Sync!$AA631)</f>
        <v/>
      </c>
      <c r="L634">
        <f>IF($G634="",0,IF(Sync!$AB631="",0,Sync!$AB631))</f>
        <v/>
      </c>
      <c r="M634">
        <f>IF($G634="",0,IF(Sync!$AC631="",0,Sync!$AC631))</f>
        <v/>
      </c>
      <c r="N634">
        <f>IF($G634="","",IF($H634="مرجوعی خرید",-1,1)*($L634-$M634*IFERROR(VLOOKUP("P01",ParamTbl,3,0),1.5))*(1-IF($I634="خرید",IFERROR(VLOOKUP("P02",ParamTbl,3,0),1),0)/100))</f>
        <v/>
      </c>
      <c r="O634">
        <f>IF($G634="",0,IF($H634="مرجوعی خرید",-1,1)*IF(Sync!$AD631="",0,Sync!$AD631))</f>
        <v/>
      </c>
      <c r="P634">
        <f>IF(OR($G634="",Sync!$W631=""),"",Sync!$W631)</f>
        <v/>
      </c>
      <c r="Q634">
        <f>IF(OR($G634="",Sync!$AE631=""),"",Sync!$AE631)</f>
        <v/>
      </c>
      <c r="R634">
        <f>IF($G634="","",IF(Sync!$V631="","0000",IF(AND(ISNUMBER(Sync!$V631),Sync!$V631&gt;=0,Sync!$V631&lt;1),RIGHT("00"&amp;HOUR(Sync!$V631),2)&amp;RIGHT("00"&amp;MINUTE(Sync!$V631),2),IFERROR(RIGHT("00"&amp;VALUE(LEFT(Sync!$V631,FIND(":",Sync!$V631)-1)),2)&amp;RIGHT("00"&amp;VALUE(MID(Sync!$V631,FIND(":",Sync!$V631)+1,2)),2),"0000"))))</f>
        <v/>
      </c>
    </row>
    <row r="635">
      <c r="A635">
        <f>IF(Sync!$U632="","",Sync!$U632)</f>
        <v/>
      </c>
      <c r="B635">
        <f>IF($A635="","",IF(ISNUMBER($A635),IF(AND($A635&gt;=10000101,$A635&lt;=99991231),INT($A635/10000),""),IFERROR(VALUE(TRIM(LEFT($A635,FIND("/",$A635)-1))),"")))</f>
        <v/>
      </c>
      <c r="C635">
        <f>IF(OR($A635="",$B635=""),"",IF(ISNUMBER($A635),INT(MOD($A635,10000)/100),IFERROR(VALUE(TRIM(LEFT(MID($A635,FIND("/",$A635)+1,20),FIND("/",MID($A635,FIND("/",$A635)+1,20))-1))),"")))</f>
        <v/>
      </c>
      <c r="D635">
        <f>IF(OR($A635="",$B635=""),"",IF(ISNUMBER($A635),MOD($A635,100),IFERROR(VALUE(TRIM(MID(MID($A635,FIND("/",$A635)+1,20),FIND("/",MID($A635,FIND("/",$A635)+1,20))+1,20))),"")))</f>
        <v/>
      </c>
      <c r="E635">
        <f>IF($A635="","",IF(OR($B635="",$C635="",$D635="",$B635&lt;1300,$B635&gt;1500,$C635&lt;1,$C635&gt;12,$D635&lt;1,$D635&gt;31),"نامعتبر",RIGHT("0000"&amp;$B635,4)&amp;"/"&amp;RIGHT("00"&amp;$C635,2)&amp;"/"&amp;RIGHT("00"&amp;$D635,2)))</f>
        <v/>
      </c>
      <c r="F635">
        <f>IF(OR($E635="",$E635="نامعتبر"),"",LEFT($E635,4)&amp;"/"&amp;MID($E635,6,2))</f>
        <v/>
      </c>
      <c r="G635">
        <f>IF(OR($E635="",$E635="نامعتبر",Sync!$Y632=""),"",Sync!$Y632)</f>
        <v/>
      </c>
      <c r="H635">
        <f>IF($G635="","",IF(Sync!$X632="","",Sync!$X632))</f>
        <v/>
      </c>
      <c r="I635">
        <f>IF($G635="","",IFERROR(VLOOKUP(Sync!$X632,OpTbl,3,0),""))</f>
        <v/>
      </c>
      <c r="J635">
        <f>IF(OR($G635="",Sync!$Z632=""),"",Sync!$Z632)</f>
        <v/>
      </c>
      <c r="K635">
        <f>IF(OR($G635="",Sync!$AA632=""),"",Sync!$AA632)</f>
        <v/>
      </c>
      <c r="L635">
        <f>IF($G635="",0,IF(Sync!$AB632="",0,Sync!$AB632))</f>
        <v/>
      </c>
      <c r="M635">
        <f>IF($G635="",0,IF(Sync!$AC632="",0,Sync!$AC632))</f>
        <v/>
      </c>
      <c r="N635">
        <f>IF($G635="","",IF($H635="مرجوعی خرید",-1,1)*($L635-$M635*IFERROR(VLOOKUP("P01",ParamTbl,3,0),1.5))*(1-IF($I635="خرید",IFERROR(VLOOKUP("P02",ParamTbl,3,0),1),0)/100))</f>
        <v/>
      </c>
      <c r="O635">
        <f>IF($G635="",0,IF($H635="مرجوعی خرید",-1,1)*IF(Sync!$AD632="",0,Sync!$AD632))</f>
        <v/>
      </c>
      <c r="P635">
        <f>IF(OR($G635="",Sync!$W632=""),"",Sync!$W632)</f>
        <v/>
      </c>
      <c r="Q635">
        <f>IF(OR($G635="",Sync!$AE632=""),"",Sync!$AE632)</f>
        <v/>
      </c>
      <c r="R635">
        <f>IF($G635="","",IF(Sync!$V632="","0000",IF(AND(ISNUMBER(Sync!$V632),Sync!$V632&gt;=0,Sync!$V632&lt;1),RIGHT("00"&amp;HOUR(Sync!$V632),2)&amp;RIGHT("00"&amp;MINUTE(Sync!$V632),2),IFERROR(RIGHT("00"&amp;VALUE(LEFT(Sync!$V632,FIND(":",Sync!$V632)-1)),2)&amp;RIGHT("00"&amp;VALUE(MID(Sync!$V632,FIND(":",Sync!$V632)+1,2)),2),"0000"))))</f>
        <v/>
      </c>
    </row>
    <row r="636">
      <c r="A636">
        <f>IF(Sync!$U633="","",Sync!$U633)</f>
        <v/>
      </c>
      <c r="B636">
        <f>IF($A636="","",IF(ISNUMBER($A636),IF(AND($A636&gt;=10000101,$A636&lt;=99991231),INT($A636/10000),""),IFERROR(VALUE(TRIM(LEFT($A636,FIND("/",$A636)-1))),"")))</f>
        <v/>
      </c>
      <c r="C636">
        <f>IF(OR($A636="",$B636=""),"",IF(ISNUMBER($A636),INT(MOD($A636,10000)/100),IFERROR(VALUE(TRIM(LEFT(MID($A636,FIND("/",$A636)+1,20),FIND("/",MID($A636,FIND("/",$A636)+1,20))-1))),"")))</f>
        <v/>
      </c>
      <c r="D636">
        <f>IF(OR($A636="",$B636=""),"",IF(ISNUMBER($A636),MOD($A636,100),IFERROR(VALUE(TRIM(MID(MID($A636,FIND("/",$A636)+1,20),FIND("/",MID($A636,FIND("/",$A636)+1,20))+1,20))),"")))</f>
        <v/>
      </c>
      <c r="E636">
        <f>IF($A636="","",IF(OR($B636="",$C636="",$D636="",$B636&lt;1300,$B636&gt;1500,$C636&lt;1,$C636&gt;12,$D636&lt;1,$D636&gt;31),"نامعتبر",RIGHT("0000"&amp;$B636,4)&amp;"/"&amp;RIGHT("00"&amp;$C636,2)&amp;"/"&amp;RIGHT("00"&amp;$D636,2)))</f>
        <v/>
      </c>
      <c r="F636">
        <f>IF(OR($E636="",$E636="نامعتبر"),"",LEFT($E636,4)&amp;"/"&amp;MID($E636,6,2))</f>
        <v/>
      </c>
      <c r="G636">
        <f>IF(OR($E636="",$E636="نامعتبر",Sync!$Y633=""),"",Sync!$Y633)</f>
        <v/>
      </c>
      <c r="H636">
        <f>IF($G636="","",IF(Sync!$X633="","",Sync!$X633))</f>
        <v/>
      </c>
      <c r="I636">
        <f>IF($G636="","",IFERROR(VLOOKUP(Sync!$X633,OpTbl,3,0),""))</f>
        <v/>
      </c>
      <c r="J636">
        <f>IF(OR($G636="",Sync!$Z633=""),"",Sync!$Z633)</f>
        <v/>
      </c>
      <c r="K636">
        <f>IF(OR($G636="",Sync!$AA633=""),"",Sync!$AA633)</f>
        <v/>
      </c>
      <c r="L636">
        <f>IF($G636="",0,IF(Sync!$AB633="",0,Sync!$AB633))</f>
        <v/>
      </c>
      <c r="M636">
        <f>IF($G636="",0,IF(Sync!$AC633="",0,Sync!$AC633))</f>
        <v/>
      </c>
      <c r="N636">
        <f>IF($G636="","",IF($H636="مرجوعی خرید",-1,1)*($L636-$M636*IFERROR(VLOOKUP("P01",ParamTbl,3,0),1.5))*(1-IF($I636="خرید",IFERROR(VLOOKUP("P02",ParamTbl,3,0),1),0)/100))</f>
        <v/>
      </c>
      <c r="O636">
        <f>IF($G636="",0,IF($H636="مرجوعی خرید",-1,1)*IF(Sync!$AD633="",0,Sync!$AD633))</f>
        <v/>
      </c>
      <c r="P636">
        <f>IF(OR($G636="",Sync!$W633=""),"",Sync!$W633)</f>
        <v/>
      </c>
      <c r="Q636">
        <f>IF(OR($G636="",Sync!$AE633=""),"",Sync!$AE633)</f>
        <v/>
      </c>
      <c r="R636">
        <f>IF($G636="","",IF(Sync!$V633="","0000",IF(AND(ISNUMBER(Sync!$V633),Sync!$V633&gt;=0,Sync!$V633&lt;1),RIGHT("00"&amp;HOUR(Sync!$V633),2)&amp;RIGHT("00"&amp;MINUTE(Sync!$V633),2),IFERROR(RIGHT("00"&amp;VALUE(LEFT(Sync!$V633,FIND(":",Sync!$V633)-1)),2)&amp;RIGHT("00"&amp;VALUE(MID(Sync!$V633,FIND(":",Sync!$V633)+1,2)),2),"0000"))))</f>
        <v/>
      </c>
    </row>
    <row r="637">
      <c r="A637">
        <f>IF(Sync!$U634="","",Sync!$U634)</f>
        <v/>
      </c>
      <c r="B637">
        <f>IF($A637="","",IF(ISNUMBER($A637),IF(AND($A637&gt;=10000101,$A637&lt;=99991231),INT($A637/10000),""),IFERROR(VALUE(TRIM(LEFT($A637,FIND("/",$A637)-1))),"")))</f>
        <v/>
      </c>
      <c r="C637">
        <f>IF(OR($A637="",$B637=""),"",IF(ISNUMBER($A637),INT(MOD($A637,10000)/100),IFERROR(VALUE(TRIM(LEFT(MID($A637,FIND("/",$A637)+1,20),FIND("/",MID($A637,FIND("/",$A637)+1,20))-1))),"")))</f>
        <v/>
      </c>
      <c r="D637">
        <f>IF(OR($A637="",$B637=""),"",IF(ISNUMBER($A637),MOD($A637,100),IFERROR(VALUE(TRIM(MID(MID($A637,FIND("/",$A637)+1,20),FIND("/",MID($A637,FIND("/",$A637)+1,20))+1,20))),"")))</f>
        <v/>
      </c>
      <c r="E637">
        <f>IF($A637="","",IF(OR($B637="",$C637="",$D637="",$B637&lt;1300,$B637&gt;1500,$C637&lt;1,$C637&gt;12,$D637&lt;1,$D637&gt;31),"نامعتبر",RIGHT("0000"&amp;$B637,4)&amp;"/"&amp;RIGHT("00"&amp;$C637,2)&amp;"/"&amp;RIGHT("00"&amp;$D637,2)))</f>
        <v/>
      </c>
      <c r="F637">
        <f>IF(OR($E637="",$E637="نامعتبر"),"",LEFT($E637,4)&amp;"/"&amp;MID($E637,6,2))</f>
        <v/>
      </c>
      <c r="G637">
        <f>IF(OR($E637="",$E637="نامعتبر",Sync!$Y634=""),"",Sync!$Y634)</f>
        <v/>
      </c>
      <c r="H637">
        <f>IF($G637="","",IF(Sync!$X634="","",Sync!$X634))</f>
        <v/>
      </c>
      <c r="I637">
        <f>IF($G637="","",IFERROR(VLOOKUP(Sync!$X634,OpTbl,3,0),""))</f>
        <v/>
      </c>
      <c r="J637">
        <f>IF(OR($G637="",Sync!$Z634=""),"",Sync!$Z634)</f>
        <v/>
      </c>
      <c r="K637">
        <f>IF(OR($G637="",Sync!$AA634=""),"",Sync!$AA634)</f>
        <v/>
      </c>
      <c r="L637">
        <f>IF($G637="",0,IF(Sync!$AB634="",0,Sync!$AB634))</f>
        <v/>
      </c>
      <c r="M637">
        <f>IF($G637="",0,IF(Sync!$AC634="",0,Sync!$AC634))</f>
        <v/>
      </c>
      <c r="N637">
        <f>IF($G637="","",IF($H637="مرجوعی خرید",-1,1)*($L637-$M637*IFERROR(VLOOKUP("P01",ParamTbl,3,0),1.5))*(1-IF($I637="خرید",IFERROR(VLOOKUP("P02",ParamTbl,3,0),1),0)/100))</f>
        <v/>
      </c>
      <c r="O637">
        <f>IF($G637="",0,IF($H637="مرجوعی خرید",-1,1)*IF(Sync!$AD634="",0,Sync!$AD634))</f>
        <v/>
      </c>
      <c r="P637">
        <f>IF(OR($G637="",Sync!$W634=""),"",Sync!$W634)</f>
        <v/>
      </c>
      <c r="Q637">
        <f>IF(OR($G637="",Sync!$AE634=""),"",Sync!$AE634)</f>
        <v/>
      </c>
      <c r="R637">
        <f>IF($G637="","",IF(Sync!$V634="","0000",IF(AND(ISNUMBER(Sync!$V634),Sync!$V634&gt;=0,Sync!$V634&lt;1),RIGHT("00"&amp;HOUR(Sync!$V634),2)&amp;RIGHT("00"&amp;MINUTE(Sync!$V634),2),IFERROR(RIGHT("00"&amp;VALUE(LEFT(Sync!$V634,FIND(":",Sync!$V634)-1)),2)&amp;RIGHT("00"&amp;VALUE(MID(Sync!$V634,FIND(":",Sync!$V634)+1,2)),2),"0000"))))</f>
        <v/>
      </c>
    </row>
    <row r="638">
      <c r="A638">
        <f>IF(Sync!$U635="","",Sync!$U635)</f>
        <v/>
      </c>
      <c r="B638">
        <f>IF($A638="","",IF(ISNUMBER($A638),IF(AND($A638&gt;=10000101,$A638&lt;=99991231),INT($A638/10000),""),IFERROR(VALUE(TRIM(LEFT($A638,FIND("/",$A638)-1))),"")))</f>
        <v/>
      </c>
      <c r="C638">
        <f>IF(OR($A638="",$B638=""),"",IF(ISNUMBER($A638),INT(MOD($A638,10000)/100),IFERROR(VALUE(TRIM(LEFT(MID($A638,FIND("/",$A638)+1,20),FIND("/",MID($A638,FIND("/",$A638)+1,20))-1))),"")))</f>
        <v/>
      </c>
      <c r="D638">
        <f>IF(OR($A638="",$B638=""),"",IF(ISNUMBER($A638),MOD($A638,100),IFERROR(VALUE(TRIM(MID(MID($A638,FIND("/",$A638)+1,20),FIND("/",MID($A638,FIND("/",$A638)+1,20))+1,20))),"")))</f>
        <v/>
      </c>
      <c r="E638">
        <f>IF($A638="","",IF(OR($B638="",$C638="",$D638="",$B638&lt;1300,$B638&gt;1500,$C638&lt;1,$C638&gt;12,$D638&lt;1,$D638&gt;31),"نامعتبر",RIGHT("0000"&amp;$B638,4)&amp;"/"&amp;RIGHT("00"&amp;$C638,2)&amp;"/"&amp;RIGHT("00"&amp;$D638,2)))</f>
        <v/>
      </c>
      <c r="F638">
        <f>IF(OR($E638="",$E638="نامعتبر"),"",LEFT($E638,4)&amp;"/"&amp;MID($E638,6,2))</f>
        <v/>
      </c>
      <c r="G638">
        <f>IF(OR($E638="",$E638="نامعتبر",Sync!$Y635=""),"",Sync!$Y635)</f>
        <v/>
      </c>
      <c r="H638">
        <f>IF($G638="","",IF(Sync!$X635="","",Sync!$X635))</f>
        <v/>
      </c>
      <c r="I638">
        <f>IF($G638="","",IFERROR(VLOOKUP(Sync!$X635,OpTbl,3,0),""))</f>
        <v/>
      </c>
      <c r="J638">
        <f>IF(OR($G638="",Sync!$Z635=""),"",Sync!$Z635)</f>
        <v/>
      </c>
      <c r="K638">
        <f>IF(OR($G638="",Sync!$AA635=""),"",Sync!$AA635)</f>
        <v/>
      </c>
      <c r="L638">
        <f>IF($G638="",0,IF(Sync!$AB635="",0,Sync!$AB635))</f>
        <v/>
      </c>
      <c r="M638">
        <f>IF($G638="",0,IF(Sync!$AC635="",0,Sync!$AC635))</f>
        <v/>
      </c>
      <c r="N638">
        <f>IF($G638="","",IF($H638="مرجوعی خرید",-1,1)*($L638-$M638*IFERROR(VLOOKUP("P01",ParamTbl,3,0),1.5))*(1-IF($I638="خرید",IFERROR(VLOOKUP("P02",ParamTbl,3,0),1),0)/100))</f>
        <v/>
      </c>
      <c r="O638">
        <f>IF($G638="",0,IF($H638="مرجوعی خرید",-1,1)*IF(Sync!$AD635="",0,Sync!$AD635))</f>
        <v/>
      </c>
      <c r="P638">
        <f>IF(OR($G638="",Sync!$W635=""),"",Sync!$W635)</f>
        <v/>
      </c>
      <c r="Q638">
        <f>IF(OR($G638="",Sync!$AE635=""),"",Sync!$AE635)</f>
        <v/>
      </c>
      <c r="R638">
        <f>IF($G638="","",IF(Sync!$V635="","0000",IF(AND(ISNUMBER(Sync!$V635),Sync!$V635&gt;=0,Sync!$V635&lt;1),RIGHT("00"&amp;HOUR(Sync!$V635),2)&amp;RIGHT("00"&amp;MINUTE(Sync!$V635),2),IFERROR(RIGHT("00"&amp;VALUE(LEFT(Sync!$V635,FIND(":",Sync!$V635)-1)),2)&amp;RIGHT("00"&amp;VALUE(MID(Sync!$V635,FIND(":",Sync!$V635)+1,2)),2),"0000"))))</f>
        <v/>
      </c>
    </row>
    <row r="639">
      <c r="A639">
        <f>IF(Sync!$U636="","",Sync!$U636)</f>
        <v/>
      </c>
      <c r="B639">
        <f>IF($A639="","",IF(ISNUMBER($A639),IF(AND($A639&gt;=10000101,$A639&lt;=99991231),INT($A639/10000),""),IFERROR(VALUE(TRIM(LEFT($A639,FIND("/",$A639)-1))),"")))</f>
        <v/>
      </c>
      <c r="C639">
        <f>IF(OR($A639="",$B639=""),"",IF(ISNUMBER($A639),INT(MOD($A639,10000)/100),IFERROR(VALUE(TRIM(LEFT(MID($A639,FIND("/",$A639)+1,20),FIND("/",MID($A639,FIND("/",$A639)+1,20))-1))),"")))</f>
        <v/>
      </c>
      <c r="D639">
        <f>IF(OR($A639="",$B639=""),"",IF(ISNUMBER($A639),MOD($A639,100),IFERROR(VALUE(TRIM(MID(MID($A639,FIND("/",$A639)+1,20),FIND("/",MID($A639,FIND("/",$A639)+1,20))+1,20))),"")))</f>
        <v/>
      </c>
      <c r="E639">
        <f>IF($A639="","",IF(OR($B639="",$C639="",$D639="",$B639&lt;1300,$B639&gt;1500,$C639&lt;1,$C639&gt;12,$D639&lt;1,$D639&gt;31),"نامعتبر",RIGHT("0000"&amp;$B639,4)&amp;"/"&amp;RIGHT("00"&amp;$C639,2)&amp;"/"&amp;RIGHT("00"&amp;$D639,2)))</f>
        <v/>
      </c>
      <c r="F639">
        <f>IF(OR($E639="",$E639="نامعتبر"),"",LEFT($E639,4)&amp;"/"&amp;MID($E639,6,2))</f>
        <v/>
      </c>
      <c r="G639">
        <f>IF(OR($E639="",$E639="نامعتبر",Sync!$Y636=""),"",Sync!$Y636)</f>
        <v/>
      </c>
      <c r="H639">
        <f>IF($G639="","",IF(Sync!$X636="","",Sync!$X636))</f>
        <v/>
      </c>
      <c r="I639">
        <f>IF($G639="","",IFERROR(VLOOKUP(Sync!$X636,OpTbl,3,0),""))</f>
        <v/>
      </c>
      <c r="J639">
        <f>IF(OR($G639="",Sync!$Z636=""),"",Sync!$Z636)</f>
        <v/>
      </c>
      <c r="K639">
        <f>IF(OR($G639="",Sync!$AA636=""),"",Sync!$AA636)</f>
        <v/>
      </c>
      <c r="L639">
        <f>IF($G639="",0,IF(Sync!$AB636="",0,Sync!$AB636))</f>
        <v/>
      </c>
      <c r="M639">
        <f>IF($G639="",0,IF(Sync!$AC636="",0,Sync!$AC636))</f>
        <v/>
      </c>
      <c r="N639">
        <f>IF($G639="","",IF($H639="مرجوعی خرید",-1,1)*($L639-$M639*IFERROR(VLOOKUP("P01",ParamTbl,3,0),1.5))*(1-IF($I639="خرید",IFERROR(VLOOKUP("P02",ParamTbl,3,0),1),0)/100))</f>
        <v/>
      </c>
      <c r="O639">
        <f>IF($G639="",0,IF($H639="مرجوعی خرید",-1,1)*IF(Sync!$AD636="",0,Sync!$AD636))</f>
        <v/>
      </c>
      <c r="P639">
        <f>IF(OR($G639="",Sync!$W636=""),"",Sync!$W636)</f>
        <v/>
      </c>
      <c r="Q639">
        <f>IF(OR($G639="",Sync!$AE636=""),"",Sync!$AE636)</f>
        <v/>
      </c>
      <c r="R639">
        <f>IF($G639="","",IF(Sync!$V636="","0000",IF(AND(ISNUMBER(Sync!$V636),Sync!$V636&gt;=0,Sync!$V636&lt;1),RIGHT("00"&amp;HOUR(Sync!$V636),2)&amp;RIGHT("00"&amp;MINUTE(Sync!$V636),2),IFERROR(RIGHT("00"&amp;VALUE(LEFT(Sync!$V636,FIND(":",Sync!$V636)-1)),2)&amp;RIGHT("00"&amp;VALUE(MID(Sync!$V636,FIND(":",Sync!$V636)+1,2)),2),"0000"))))</f>
        <v/>
      </c>
    </row>
    <row r="640">
      <c r="A640">
        <f>IF(Sync!$U637="","",Sync!$U637)</f>
        <v/>
      </c>
      <c r="B640">
        <f>IF($A640="","",IF(ISNUMBER($A640),IF(AND($A640&gt;=10000101,$A640&lt;=99991231),INT($A640/10000),""),IFERROR(VALUE(TRIM(LEFT($A640,FIND("/",$A640)-1))),"")))</f>
        <v/>
      </c>
      <c r="C640">
        <f>IF(OR($A640="",$B640=""),"",IF(ISNUMBER($A640),INT(MOD($A640,10000)/100),IFERROR(VALUE(TRIM(LEFT(MID($A640,FIND("/",$A640)+1,20),FIND("/",MID($A640,FIND("/",$A640)+1,20))-1))),"")))</f>
        <v/>
      </c>
      <c r="D640">
        <f>IF(OR($A640="",$B640=""),"",IF(ISNUMBER($A640),MOD($A640,100),IFERROR(VALUE(TRIM(MID(MID($A640,FIND("/",$A640)+1,20),FIND("/",MID($A640,FIND("/",$A640)+1,20))+1,20))),"")))</f>
        <v/>
      </c>
      <c r="E640">
        <f>IF($A640="","",IF(OR($B640="",$C640="",$D640="",$B640&lt;1300,$B640&gt;1500,$C640&lt;1,$C640&gt;12,$D640&lt;1,$D640&gt;31),"نامعتبر",RIGHT("0000"&amp;$B640,4)&amp;"/"&amp;RIGHT("00"&amp;$C640,2)&amp;"/"&amp;RIGHT("00"&amp;$D640,2)))</f>
        <v/>
      </c>
      <c r="F640">
        <f>IF(OR($E640="",$E640="نامعتبر"),"",LEFT($E640,4)&amp;"/"&amp;MID($E640,6,2))</f>
        <v/>
      </c>
      <c r="G640">
        <f>IF(OR($E640="",$E640="نامعتبر",Sync!$Y637=""),"",Sync!$Y637)</f>
        <v/>
      </c>
      <c r="H640">
        <f>IF($G640="","",IF(Sync!$X637="","",Sync!$X637))</f>
        <v/>
      </c>
      <c r="I640">
        <f>IF($G640="","",IFERROR(VLOOKUP(Sync!$X637,OpTbl,3,0),""))</f>
        <v/>
      </c>
      <c r="J640">
        <f>IF(OR($G640="",Sync!$Z637=""),"",Sync!$Z637)</f>
        <v/>
      </c>
      <c r="K640">
        <f>IF(OR($G640="",Sync!$AA637=""),"",Sync!$AA637)</f>
        <v/>
      </c>
      <c r="L640">
        <f>IF($G640="",0,IF(Sync!$AB637="",0,Sync!$AB637))</f>
        <v/>
      </c>
      <c r="M640">
        <f>IF($G640="",0,IF(Sync!$AC637="",0,Sync!$AC637))</f>
        <v/>
      </c>
      <c r="N640">
        <f>IF($G640="","",IF($H640="مرجوعی خرید",-1,1)*($L640-$M640*IFERROR(VLOOKUP("P01",ParamTbl,3,0),1.5))*(1-IF($I640="خرید",IFERROR(VLOOKUP("P02",ParamTbl,3,0),1),0)/100))</f>
        <v/>
      </c>
      <c r="O640">
        <f>IF($G640="",0,IF($H640="مرجوعی خرید",-1,1)*IF(Sync!$AD637="",0,Sync!$AD637))</f>
        <v/>
      </c>
      <c r="P640">
        <f>IF(OR($G640="",Sync!$W637=""),"",Sync!$W637)</f>
        <v/>
      </c>
      <c r="Q640">
        <f>IF(OR($G640="",Sync!$AE637=""),"",Sync!$AE637)</f>
        <v/>
      </c>
      <c r="R640">
        <f>IF($G640="","",IF(Sync!$V637="","0000",IF(AND(ISNUMBER(Sync!$V637),Sync!$V637&gt;=0,Sync!$V637&lt;1),RIGHT("00"&amp;HOUR(Sync!$V637),2)&amp;RIGHT("00"&amp;MINUTE(Sync!$V637),2),IFERROR(RIGHT("00"&amp;VALUE(LEFT(Sync!$V637,FIND(":",Sync!$V637)-1)),2)&amp;RIGHT("00"&amp;VALUE(MID(Sync!$V637,FIND(":",Sync!$V637)+1,2)),2),"0000"))))</f>
        <v/>
      </c>
    </row>
    <row r="641">
      <c r="A641">
        <f>IF(Sync!$U638="","",Sync!$U638)</f>
        <v/>
      </c>
      <c r="B641">
        <f>IF($A641="","",IF(ISNUMBER($A641),IF(AND($A641&gt;=10000101,$A641&lt;=99991231),INT($A641/10000),""),IFERROR(VALUE(TRIM(LEFT($A641,FIND("/",$A641)-1))),"")))</f>
        <v/>
      </c>
      <c r="C641">
        <f>IF(OR($A641="",$B641=""),"",IF(ISNUMBER($A641),INT(MOD($A641,10000)/100),IFERROR(VALUE(TRIM(LEFT(MID($A641,FIND("/",$A641)+1,20),FIND("/",MID($A641,FIND("/",$A641)+1,20))-1))),"")))</f>
        <v/>
      </c>
      <c r="D641">
        <f>IF(OR($A641="",$B641=""),"",IF(ISNUMBER($A641),MOD($A641,100),IFERROR(VALUE(TRIM(MID(MID($A641,FIND("/",$A641)+1,20),FIND("/",MID($A641,FIND("/",$A641)+1,20))+1,20))),"")))</f>
        <v/>
      </c>
      <c r="E641">
        <f>IF($A641="","",IF(OR($B641="",$C641="",$D641="",$B641&lt;1300,$B641&gt;1500,$C641&lt;1,$C641&gt;12,$D641&lt;1,$D641&gt;31),"نامعتبر",RIGHT("0000"&amp;$B641,4)&amp;"/"&amp;RIGHT("00"&amp;$C641,2)&amp;"/"&amp;RIGHT("00"&amp;$D641,2)))</f>
        <v/>
      </c>
      <c r="F641">
        <f>IF(OR($E641="",$E641="نامعتبر"),"",LEFT($E641,4)&amp;"/"&amp;MID($E641,6,2))</f>
        <v/>
      </c>
      <c r="G641">
        <f>IF(OR($E641="",$E641="نامعتبر",Sync!$Y638=""),"",Sync!$Y638)</f>
        <v/>
      </c>
      <c r="H641">
        <f>IF($G641="","",IF(Sync!$X638="","",Sync!$X638))</f>
        <v/>
      </c>
      <c r="I641">
        <f>IF($G641="","",IFERROR(VLOOKUP(Sync!$X638,OpTbl,3,0),""))</f>
        <v/>
      </c>
      <c r="J641">
        <f>IF(OR($G641="",Sync!$Z638=""),"",Sync!$Z638)</f>
        <v/>
      </c>
      <c r="K641">
        <f>IF(OR($G641="",Sync!$AA638=""),"",Sync!$AA638)</f>
        <v/>
      </c>
      <c r="L641">
        <f>IF($G641="",0,IF(Sync!$AB638="",0,Sync!$AB638))</f>
        <v/>
      </c>
      <c r="M641">
        <f>IF($G641="",0,IF(Sync!$AC638="",0,Sync!$AC638))</f>
        <v/>
      </c>
      <c r="N641">
        <f>IF($G641="","",IF($H641="مرجوعی خرید",-1,1)*($L641-$M641*IFERROR(VLOOKUP("P01",ParamTbl,3,0),1.5))*(1-IF($I641="خرید",IFERROR(VLOOKUP("P02",ParamTbl,3,0),1),0)/100))</f>
        <v/>
      </c>
      <c r="O641">
        <f>IF($G641="",0,IF($H641="مرجوعی خرید",-1,1)*IF(Sync!$AD638="",0,Sync!$AD638))</f>
        <v/>
      </c>
      <c r="P641">
        <f>IF(OR($G641="",Sync!$W638=""),"",Sync!$W638)</f>
        <v/>
      </c>
      <c r="Q641">
        <f>IF(OR($G641="",Sync!$AE638=""),"",Sync!$AE638)</f>
        <v/>
      </c>
      <c r="R641">
        <f>IF($G641="","",IF(Sync!$V638="","0000",IF(AND(ISNUMBER(Sync!$V638),Sync!$V638&gt;=0,Sync!$V638&lt;1),RIGHT("00"&amp;HOUR(Sync!$V638),2)&amp;RIGHT("00"&amp;MINUTE(Sync!$V638),2),IFERROR(RIGHT("00"&amp;VALUE(LEFT(Sync!$V638,FIND(":",Sync!$V638)-1)),2)&amp;RIGHT("00"&amp;VALUE(MID(Sync!$V638,FIND(":",Sync!$V638)+1,2)),2),"0000"))))</f>
        <v/>
      </c>
    </row>
    <row r="642">
      <c r="A642">
        <f>IF(Sync!$U639="","",Sync!$U639)</f>
        <v/>
      </c>
      <c r="B642">
        <f>IF($A642="","",IF(ISNUMBER($A642),IF(AND($A642&gt;=10000101,$A642&lt;=99991231),INT($A642/10000),""),IFERROR(VALUE(TRIM(LEFT($A642,FIND("/",$A642)-1))),"")))</f>
        <v/>
      </c>
      <c r="C642">
        <f>IF(OR($A642="",$B642=""),"",IF(ISNUMBER($A642),INT(MOD($A642,10000)/100),IFERROR(VALUE(TRIM(LEFT(MID($A642,FIND("/",$A642)+1,20),FIND("/",MID($A642,FIND("/",$A642)+1,20))-1))),"")))</f>
        <v/>
      </c>
      <c r="D642">
        <f>IF(OR($A642="",$B642=""),"",IF(ISNUMBER($A642),MOD($A642,100),IFERROR(VALUE(TRIM(MID(MID($A642,FIND("/",$A642)+1,20),FIND("/",MID($A642,FIND("/",$A642)+1,20))+1,20))),"")))</f>
        <v/>
      </c>
      <c r="E642">
        <f>IF($A642="","",IF(OR($B642="",$C642="",$D642="",$B642&lt;1300,$B642&gt;1500,$C642&lt;1,$C642&gt;12,$D642&lt;1,$D642&gt;31),"نامعتبر",RIGHT("0000"&amp;$B642,4)&amp;"/"&amp;RIGHT("00"&amp;$C642,2)&amp;"/"&amp;RIGHT("00"&amp;$D642,2)))</f>
        <v/>
      </c>
      <c r="F642">
        <f>IF(OR($E642="",$E642="نامعتبر"),"",LEFT($E642,4)&amp;"/"&amp;MID($E642,6,2))</f>
        <v/>
      </c>
      <c r="G642">
        <f>IF(OR($E642="",$E642="نامعتبر",Sync!$Y639=""),"",Sync!$Y639)</f>
        <v/>
      </c>
      <c r="H642">
        <f>IF($G642="","",IF(Sync!$X639="","",Sync!$X639))</f>
        <v/>
      </c>
      <c r="I642">
        <f>IF($G642="","",IFERROR(VLOOKUP(Sync!$X639,OpTbl,3,0),""))</f>
        <v/>
      </c>
      <c r="J642">
        <f>IF(OR($G642="",Sync!$Z639=""),"",Sync!$Z639)</f>
        <v/>
      </c>
      <c r="K642">
        <f>IF(OR($G642="",Sync!$AA639=""),"",Sync!$AA639)</f>
        <v/>
      </c>
      <c r="L642">
        <f>IF($G642="",0,IF(Sync!$AB639="",0,Sync!$AB639))</f>
        <v/>
      </c>
      <c r="M642">
        <f>IF($G642="",0,IF(Sync!$AC639="",0,Sync!$AC639))</f>
        <v/>
      </c>
      <c r="N642">
        <f>IF($G642="","",IF($H642="مرجوعی خرید",-1,1)*($L642-$M642*IFERROR(VLOOKUP("P01",ParamTbl,3,0),1.5))*(1-IF($I642="خرید",IFERROR(VLOOKUP("P02",ParamTbl,3,0),1),0)/100))</f>
        <v/>
      </c>
      <c r="O642">
        <f>IF($G642="",0,IF($H642="مرجوعی خرید",-1,1)*IF(Sync!$AD639="",0,Sync!$AD639))</f>
        <v/>
      </c>
      <c r="P642">
        <f>IF(OR($G642="",Sync!$W639=""),"",Sync!$W639)</f>
        <v/>
      </c>
      <c r="Q642">
        <f>IF(OR($G642="",Sync!$AE639=""),"",Sync!$AE639)</f>
        <v/>
      </c>
      <c r="R642">
        <f>IF($G642="","",IF(Sync!$V639="","0000",IF(AND(ISNUMBER(Sync!$V639),Sync!$V639&gt;=0,Sync!$V639&lt;1),RIGHT("00"&amp;HOUR(Sync!$V639),2)&amp;RIGHT("00"&amp;MINUTE(Sync!$V639),2),IFERROR(RIGHT("00"&amp;VALUE(LEFT(Sync!$V639,FIND(":",Sync!$V639)-1)),2)&amp;RIGHT("00"&amp;VALUE(MID(Sync!$V639,FIND(":",Sync!$V639)+1,2)),2),"0000"))))</f>
        <v/>
      </c>
    </row>
    <row r="643">
      <c r="A643">
        <f>IF(Sync!$U640="","",Sync!$U640)</f>
        <v/>
      </c>
      <c r="B643">
        <f>IF($A643="","",IF(ISNUMBER($A643),IF(AND($A643&gt;=10000101,$A643&lt;=99991231),INT($A643/10000),""),IFERROR(VALUE(TRIM(LEFT($A643,FIND("/",$A643)-1))),"")))</f>
        <v/>
      </c>
      <c r="C643">
        <f>IF(OR($A643="",$B643=""),"",IF(ISNUMBER($A643),INT(MOD($A643,10000)/100),IFERROR(VALUE(TRIM(LEFT(MID($A643,FIND("/",$A643)+1,20),FIND("/",MID($A643,FIND("/",$A643)+1,20))-1))),"")))</f>
        <v/>
      </c>
      <c r="D643">
        <f>IF(OR($A643="",$B643=""),"",IF(ISNUMBER($A643),MOD($A643,100),IFERROR(VALUE(TRIM(MID(MID($A643,FIND("/",$A643)+1,20),FIND("/",MID($A643,FIND("/",$A643)+1,20))+1,20))),"")))</f>
        <v/>
      </c>
      <c r="E643">
        <f>IF($A643="","",IF(OR($B643="",$C643="",$D643="",$B643&lt;1300,$B643&gt;1500,$C643&lt;1,$C643&gt;12,$D643&lt;1,$D643&gt;31),"نامعتبر",RIGHT("0000"&amp;$B643,4)&amp;"/"&amp;RIGHT("00"&amp;$C643,2)&amp;"/"&amp;RIGHT("00"&amp;$D643,2)))</f>
        <v/>
      </c>
      <c r="F643">
        <f>IF(OR($E643="",$E643="نامعتبر"),"",LEFT($E643,4)&amp;"/"&amp;MID($E643,6,2))</f>
        <v/>
      </c>
      <c r="G643">
        <f>IF(OR($E643="",$E643="نامعتبر",Sync!$Y640=""),"",Sync!$Y640)</f>
        <v/>
      </c>
      <c r="H643">
        <f>IF($G643="","",IF(Sync!$X640="","",Sync!$X640))</f>
        <v/>
      </c>
      <c r="I643">
        <f>IF($G643="","",IFERROR(VLOOKUP(Sync!$X640,OpTbl,3,0),""))</f>
        <v/>
      </c>
      <c r="J643">
        <f>IF(OR($G643="",Sync!$Z640=""),"",Sync!$Z640)</f>
        <v/>
      </c>
      <c r="K643">
        <f>IF(OR($G643="",Sync!$AA640=""),"",Sync!$AA640)</f>
        <v/>
      </c>
      <c r="L643">
        <f>IF($G643="",0,IF(Sync!$AB640="",0,Sync!$AB640))</f>
        <v/>
      </c>
      <c r="M643">
        <f>IF($G643="",0,IF(Sync!$AC640="",0,Sync!$AC640))</f>
        <v/>
      </c>
      <c r="N643">
        <f>IF($G643="","",IF($H643="مرجوعی خرید",-1,1)*($L643-$M643*IFERROR(VLOOKUP("P01",ParamTbl,3,0),1.5))*(1-IF($I643="خرید",IFERROR(VLOOKUP("P02",ParamTbl,3,0),1),0)/100))</f>
        <v/>
      </c>
      <c r="O643">
        <f>IF($G643="",0,IF($H643="مرجوعی خرید",-1,1)*IF(Sync!$AD640="",0,Sync!$AD640))</f>
        <v/>
      </c>
      <c r="P643">
        <f>IF(OR($G643="",Sync!$W640=""),"",Sync!$W640)</f>
        <v/>
      </c>
      <c r="Q643">
        <f>IF(OR($G643="",Sync!$AE640=""),"",Sync!$AE640)</f>
        <v/>
      </c>
      <c r="R643">
        <f>IF($G643="","",IF(Sync!$V640="","0000",IF(AND(ISNUMBER(Sync!$V640),Sync!$V640&gt;=0,Sync!$V640&lt;1),RIGHT("00"&amp;HOUR(Sync!$V640),2)&amp;RIGHT("00"&amp;MINUTE(Sync!$V640),2),IFERROR(RIGHT("00"&amp;VALUE(LEFT(Sync!$V640,FIND(":",Sync!$V640)-1)),2)&amp;RIGHT("00"&amp;VALUE(MID(Sync!$V640,FIND(":",Sync!$V640)+1,2)),2),"0000"))))</f>
        <v/>
      </c>
    </row>
    <row r="644">
      <c r="A644">
        <f>IF(Sync!$U641="","",Sync!$U641)</f>
        <v/>
      </c>
      <c r="B644">
        <f>IF($A644="","",IF(ISNUMBER($A644),IF(AND($A644&gt;=10000101,$A644&lt;=99991231),INT($A644/10000),""),IFERROR(VALUE(TRIM(LEFT($A644,FIND("/",$A644)-1))),"")))</f>
        <v/>
      </c>
      <c r="C644">
        <f>IF(OR($A644="",$B644=""),"",IF(ISNUMBER($A644),INT(MOD($A644,10000)/100),IFERROR(VALUE(TRIM(LEFT(MID($A644,FIND("/",$A644)+1,20),FIND("/",MID($A644,FIND("/",$A644)+1,20))-1))),"")))</f>
        <v/>
      </c>
      <c r="D644">
        <f>IF(OR($A644="",$B644=""),"",IF(ISNUMBER($A644),MOD($A644,100),IFERROR(VALUE(TRIM(MID(MID($A644,FIND("/",$A644)+1,20),FIND("/",MID($A644,FIND("/",$A644)+1,20))+1,20))),"")))</f>
        <v/>
      </c>
      <c r="E644">
        <f>IF($A644="","",IF(OR($B644="",$C644="",$D644="",$B644&lt;1300,$B644&gt;1500,$C644&lt;1,$C644&gt;12,$D644&lt;1,$D644&gt;31),"نامعتبر",RIGHT("0000"&amp;$B644,4)&amp;"/"&amp;RIGHT("00"&amp;$C644,2)&amp;"/"&amp;RIGHT("00"&amp;$D644,2)))</f>
        <v/>
      </c>
      <c r="F644">
        <f>IF(OR($E644="",$E644="نامعتبر"),"",LEFT($E644,4)&amp;"/"&amp;MID($E644,6,2))</f>
        <v/>
      </c>
      <c r="G644">
        <f>IF(OR($E644="",$E644="نامعتبر",Sync!$Y641=""),"",Sync!$Y641)</f>
        <v/>
      </c>
      <c r="H644">
        <f>IF($G644="","",IF(Sync!$X641="","",Sync!$X641))</f>
        <v/>
      </c>
      <c r="I644">
        <f>IF($G644="","",IFERROR(VLOOKUP(Sync!$X641,OpTbl,3,0),""))</f>
        <v/>
      </c>
      <c r="J644">
        <f>IF(OR($G644="",Sync!$Z641=""),"",Sync!$Z641)</f>
        <v/>
      </c>
      <c r="K644">
        <f>IF(OR($G644="",Sync!$AA641=""),"",Sync!$AA641)</f>
        <v/>
      </c>
      <c r="L644">
        <f>IF($G644="",0,IF(Sync!$AB641="",0,Sync!$AB641))</f>
        <v/>
      </c>
      <c r="M644">
        <f>IF($G644="",0,IF(Sync!$AC641="",0,Sync!$AC641))</f>
        <v/>
      </c>
      <c r="N644">
        <f>IF($G644="","",IF($H644="مرجوعی خرید",-1,1)*($L644-$M644*IFERROR(VLOOKUP("P01",ParamTbl,3,0),1.5))*(1-IF($I644="خرید",IFERROR(VLOOKUP("P02",ParamTbl,3,0),1),0)/100))</f>
        <v/>
      </c>
      <c r="O644">
        <f>IF($G644="",0,IF($H644="مرجوعی خرید",-1,1)*IF(Sync!$AD641="",0,Sync!$AD641))</f>
        <v/>
      </c>
      <c r="P644">
        <f>IF(OR($G644="",Sync!$W641=""),"",Sync!$W641)</f>
        <v/>
      </c>
      <c r="Q644">
        <f>IF(OR($G644="",Sync!$AE641=""),"",Sync!$AE641)</f>
        <v/>
      </c>
      <c r="R644">
        <f>IF($G644="","",IF(Sync!$V641="","0000",IF(AND(ISNUMBER(Sync!$V641),Sync!$V641&gt;=0,Sync!$V641&lt;1),RIGHT("00"&amp;HOUR(Sync!$V641),2)&amp;RIGHT("00"&amp;MINUTE(Sync!$V641),2),IFERROR(RIGHT("00"&amp;VALUE(LEFT(Sync!$V641,FIND(":",Sync!$V641)-1)),2)&amp;RIGHT("00"&amp;VALUE(MID(Sync!$V641,FIND(":",Sync!$V641)+1,2)),2),"0000"))))</f>
        <v/>
      </c>
    </row>
    <row r="645">
      <c r="A645">
        <f>IF(Sync!$U642="","",Sync!$U642)</f>
        <v/>
      </c>
      <c r="B645">
        <f>IF($A645="","",IF(ISNUMBER($A645),IF(AND($A645&gt;=10000101,$A645&lt;=99991231),INT($A645/10000),""),IFERROR(VALUE(TRIM(LEFT($A645,FIND("/",$A645)-1))),"")))</f>
        <v/>
      </c>
      <c r="C645">
        <f>IF(OR($A645="",$B645=""),"",IF(ISNUMBER($A645),INT(MOD($A645,10000)/100),IFERROR(VALUE(TRIM(LEFT(MID($A645,FIND("/",$A645)+1,20),FIND("/",MID($A645,FIND("/",$A645)+1,20))-1))),"")))</f>
        <v/>
      </c>
      <c r="D645">
        <f>IF(OR($A645="",$B645=""),"",IF(ISNUMBER($A645),MOD($A645,100),IFERROR(VALUE(TRIM(MID(MID($A645,FIND("/",$A645)+1,20),FIND("/",MID($A645,FIND("/",$A645)+1,20))+1,20))),"")))</f>
        <v/>
      </c>
      <c r="E645">
        <f>IF($A645="","",IF(OR($B645="",$C645="",$D645="",$B645&lt;1300,$B645&gt;1500,$C645&lt;1,$C645&gt;12,$D645&lt;1,$D645&gt;31),"نامعتبر",RIGHT("0000"&amp;$B645,4)&amp;"/"&amp;RIGHT("00"&amp;$C645,2)&amp;"/"&amp;RIGHT("00"&amp;$D645,2)))</f>
        <v/>
      </c>
      <c r="F645">
        <f>IF(OR($E645="",$E645="نامعتبر"),"",LEFT($E645,4)&amp;"/"&amp;MID($E645,6,2))</f>
        <v/>
      </c>
      <c r="G645">
        <f>IF(OR($E645="",$E645="نامعتبر",Sync!$Y642=""),"",Sync!$Y642)</f>
        <v/>
      </c>
      <c r="H645">
        <f>IF($G645="","",IF(Sync!$X642="","",Sync!$X642))</f>
        <v/>
      </c>
      <c r="I645">
        <f>IF($G645="","",IFERROR(VLOOKUP(Sync!$X642,OpTbl,3,0),""))</f>
        <v/>
      </c>
      <c r="J645">
        <f>IF(OR($G645="",Sync!$Z642=""),"",Sync!$Z642)</f>
        <v/>
      </c>
      <c r="K645">
        <f>IF(OR($G645="",Sync!$AA642=""),"",Sync!$AA642)</f>
        <v/>
      </c>
      <c r="L645">
        <f>IF($G645="",0,IF(Sync!$AB642="",0,Sync!$AB642))</f>
        <v/>
      </c>
      <c r="M645">
        <f>IF($G645="",0,IF(Sync!$AC642="",0,Sync!$AC642))</f>
        <v/>
      </c>
      <c r="N645">
        <f>IF($G645="","",IF($H645="مرجوعی خرید",-1,1)*($L645-$M645*IFERROR(VLOOKUP("P01",ParamTbl,3,0),1.5))*(1-IF($I645="خرید",IFERROR(VLOOKUP("P02",ParamTbl,3,0),1),0)/100))</f>
        <v/>
      </c>
      <c r="O645">
        <f>IF($G645="",0,IF($H645="مرجوعی خرید",-1,1)*IF(Sync!$AD642="",0,Sync!$AD642))</f>
        <v/>
      </c>
      <c r="P645">
        <f>IF(OR($G645="",Sync!$W642=""),"",Sync!$W642)</f>
        <v/>
      </c>
      <c r="Q645">
        <f>IF(OR($G645="",Sync!$AE642=""),"",Sync!$AE642)</f>
        <v/>
      </c>
      <c r="R645">
        <f>IF($G645="","",IF(Sync!$V642="","0000",IF(AND(ISNUMBER(Sync!$V642),Sync!$V642&gt;=0,Sync!$V642&lt;1),RIGHT("00"&amp;HOUR(Sync!$V642),2)&amp;RIGHT("00"&amp;MINUTE(Sync!$V642),2),IFERROR(RIGHT("00"&amp;VALUE(LEFT(Sync!$V642,FIND(":",Sync!$V642)-1)),2)&amp;RIGHT("00"&amp;VALUE(MID(Sync!$V642,FIND(":",Sync!$V642)+1,2)),2),"0000"))))</f>
        <v/>
      </c>
    </row>
    <row r="646">
      <c r="A646">
        <f>IF(Sync!$U643="","",Sync!$U643)</f>
        <v/>
      </c>
      <c r="B646">
        <f>IF($A646="","",IF(ISNUMBER($A646),IF(AND($A646&gt;=10000101,$A646&lt;=99991231),INT($A646/10000),""),IFERROR(VALUE(TRIM(LEFT($A646,FIND("/",$A646)-1))),"")))</f>
        <v/>
      </c>
      <c r="C646">
        <f>IF(OR($A646="",$B646=""),"",IF(ISNUMBER($A646),INT(MOD($A646,10000)/100),IFERROR(VALUE(TRIM(LEFT(MID($A646,FIND("/",$A646)+1,20),FIND("/",MID($A646,FIND("/",$A646)+1,20))-1))),"")))</f>
        <v/>
      </c>
      <c r="D646">
        <f>IF(OR($A646="",$B646=""),"",IF(ISNUMBER($A646),MOD($A646,100),IFERROR(VALUE(TRIM(MID(MID($A646,FIND("/",$A646)+1,20),FIND("/",MID($A646,FIND("/",$A646)+1,20))+1,20))),"")))</f>
        <v/>
      </c>
      <c r="E646">
        <f>IF($A646="","",IF(OR($B646="",$C646="",$D646="",$B646&lt;1300,$B646&gt;1500,$C646&lt;1,$C646&gt;12,$D646&lt;1,$D646&gt;31),"نامعتبر",RIGHT("0000"&amp;$B646,4)&amp;"/"&amp;RIGHT("00"&amp;$C646,2)&amp;"/"&amp;RIGHT("00"&amp;$D646,2)))</f>
        <v/>
      </c>
      <c r="F646">
        <f>IF(OR($E646="",$E646="نامعتبر"),"",LEFT($E646,4)&amp;"/"&amp;MID($E646,6,2))</f>
        <v/>
      </c>
      <c r="G646">
        <f>IF(OR($E646="",$E646="نامعتبر",Sync!$Y643=""),"",Sync!$Y643)</f>
        <v/>
      </c>
      <c r="H646">
        <f>IF($G646="","",IF(Sync!$X643="","",Sync!$X643))</f>
        <v/>
      </c>
      <c r="I646">
        <f>IF($G646="","",IFERROR(VLOOKUP(Sync!$X643,OpTbl,3,0),""))</f>
        <v/>
      </c>
      <c r="J646">
        <f>IF(OR($G646="",Sync!$Z643=""),"",Sync!$Z643)</f>
        <v/>
      </c>
      <c r="K646">
        <f>IF(OR($G646="",Sync!$AA643=""),"",Sync!$AA643)</f>
        <v/>
      </c>
      <c r="L646">
        <f>IF($G646="",0,IF(Sync!$AB643="",0,Sync!$AB643))</f>
        <v/>
      </c>
      <c r="M646">
        <f>IF($G646="",0,IF(Sync!$AC643="",0,Sync!$AC643))</f>
        <v/>
      </c>
      <c r="N646">
        <f>IF($G646="","",IF($H646="مرجوعی خرید",-1,1)*($L646-$M646*IFERROR(VLOOKUP("P01",ParamTbl,3,0),1.5))*(1-IF($I646="خرید",IFERROR(VLOOKUP("P02",ParamTbl,3,0),1),0)/100))</f>
        <v/>
      </c>
      <c r="O646">
        <f>IF($G646="",0,IF($H646="مرجوعی خرید",-1,1)*IF(Sync!$AD643="",0,Sync!$AD643))</f>
        <v/>
      </c>
      <c r="P646">
        <f>IF(OR($G646="",Sync!$W643=""),"",Sync!$W643)</f>
        <v/>
      </c>
      <c r="Q646">
        <f>IF(OR($G646="",Sync!$AE643=""),"",Sync!$AE643)</f>
        <v/>
      </c>
      <c r="R646">
        <f>IF($G646="","",IF(Sync!$V643="","0000",IF(AND(ISNUMBER(Sync!$V643),Sync!$V643&gt;=0,Sync!$V643&lt;1),RIGHT("00"&amp;HOUR(Sync!$V643),2)&amp;RIGHT("00"&amp;MINUTE(Sync!$V643),2),IFERROR(RIGHT("00"&amp;VALUE(LEFT(Sync!$V643,FIND(":",Sync!$V643)-1)),2)&amp;RIGHT("00"&amp;VALUE(MID(Sync!$V643,FIND(":",Sync!$V643)+1,2)),2),"0000"))))</f>
        <v/>
      </c>
    </row>
    <row r="647">
      <c r="A647">
        <f>IF(Sync!$U644="","",Sync!$U644)</f>
        <v/>
      </c>
      <c r="B647">
        <f>IF($A647="","",IF(ISNUMBER($A647),IF(AND($A647&gt;=10000101,$A647&lt;=99991231),INT($A647/10000),""),IFERROR(VALUE(TRIM(LEFT($A647,FIND("/",$A647)-1))),"")))</f>
        <v/>
      </c>
      <c r="C647">
        <f>IF(OR($A647="",$B647=""),"",IF(ISNUMBER($A647),INT(MOD($A647,10000)/100),IFERROR(VALUE(TRIM(LEFT(MID($A647,FIND("/",$A647)+1,20),FIND("/",MID($A647,FIND("/",$A647)+1,20))-1))),"")))</f>
        <v/>
      </c>
      <c r="D647">
        <f>IF(OR($A647="",$B647=""),"",IF(ISNUMBER($A647),MOD($A647,100),IFERROR(VALUE(TRIM(MID(MID($A647,FIND("/",$A647)+1,20),FIND("/",MID($A647,FIND("/",$A647)+1,20))+1,20))),"")))</f>
        <v/>
      </c>
      <c r="E647">
        <f>IF($A647="","",IF(OR($B647="",$C647="",$D647="",$B647&lt;1300,$B647&gt;1500,$C647&lt;1,$C647&gt;12,$D647&lt;1,$D647&gt;31),"نامعتبر",RIGHT("0000"&amp;$B647,4)&amp;"/"&amp;RIGHT("00"&amp;$C647,2)&amp;"/"&amp;RIGHT("00"&amp;$D647,2)))</f>
        <v/>
      </c>
      <c r="F647">
        <f>IF(OR($E647="",$E647="نامعتبر"),"",LEFT($E647,4)&amp;"/"&amp;MID($E647,6,2))</f>
        <v/>
      </c>
      <c r="G647">
        <f>IF(OR($E647="",$E647="نامعتبر",Sync!$Y644=""),"",Sync!$Y644)</f>
        <v/>
      </c>
      <c r="H647">
        <f>IF($G647="","",IF(Sync!$X644="","",Sync!$X644))</f>
        <v/>
      </c>
      <c r="I647">
        <f>IF($G647="","",IFERROR(VLOOKUP(Sync!$X644,OpTbl,3,0),""))</f>
        <v/>
      </c>
      <c r="J647">
        <f>IF(OR($G647="",Sync!$Z644=""),"",Sync!$Z644)</f>
        <v/>
      </c>
      <c r="K647">
        <f>IF(OR($G647="",Sync!$AA644=""),"",Sync!$AA644)</f>
        <v/>
      </c>
      <c r="L647">
        <f>IF($G647="",0,IF(Sync!$AB644="",0,Sync!$AB644))</f>
        <v/>
      </c>
      <c r="M647">
        <f>IF($G647="",0,IF(Sync!$AC644="",0,Sync!$AC644))</f>
        <v/>
      </c>
      <c r="N647">
        <f>IF($G647="","",IF($H647="مرجوعی خرید",-1,1)*($L647-$M647*IFERROR(VLOOKUP("P01",ParamTbl,3,0),1.5))*(1-IF($I647="خرید",IFERROR(VLOOKUP("P02",ParamTbl,3,0),1),0)/100))</f>
        <v/>
      </c>
      <c r="O647">
        <f>IF($G647="",0,IF($H647="مرجوعی خرید",-1,1)*IF(Sync!$AD644="",0,Sync!$AD644))</f>
        <v/>
      </c>
      <c r="P647">
        <f>IF(OR($G647="",Sync!$W644=""),"",Sync!$W644)</f>
        <v/>
      </c>
      <c r="Q647">
        <f>IF(OR($G647="",Sync!$AE644=""),"",Sync!$AE644)</f>
        <v/>
      </c>
      <c r="R647">
        <f>IF($G647="","",IF(Sync!$V644="","0000",IF(AND(ISNUMBER(Sync!$V644),Sync!$V644&gt;=0,Sync!$V644&lt;1),RIGHT("00"&amp;HOUR(Sync!$V644),2)&amp;RIGHT("00"&amp;MINUTE(Sync!$V644),2),IFERROR(RIGHT("00"&amp;VALUE(LEFT(Sync!$V644,FIND(":",Sync!$V644)-1)),2)&amp;RIGHT("00"&amp;VALUE(MID(Sync!$V644,FIND(":",Sync!$V644)+1,2)),2),"0000"))))</f>
        <v/>
      </c>
    </row>
    <row r="648">
      <c r="A648">
        <f>IF(Sync!$U645="","",Sync!$U645)</f>
        <v/>
      </c>
      <c r="B648">
        <f>IF($A648="","",IF(ISNUMBER($A648),IF(AND($A648&gt;=10000101,$A648&lt;=99991231),INT($A648/10000),""),IFERROR(VALUE(TRIM(LEFT($A648,FIND("/",$A648)-1))),"")))</f>
        <v/>
      </c>
      <c r="C648">
        <f>IF(OR($A648="",$B648=""),"",IF(ISNUMBER($A648),INT(MOD($A648,10000)/100),IFERROR(VALUE(TRIM(LEFT(MID($A648,FIND("/",$A648)+1,20),FIND("/",MID($A648,FIND("/",$A648)+1,20))-1))),"")))</f>
        <v/>
      </c>
      <c r="D648">
        <f>IF(OR($A648="",$B648=""),"",IF(ISNUMBER($A648),MOD($A648,100),IFERROR(VALUE(TRIM(MID(MID($A648,FIND("/",$A648)+1,20),FIND("/",MID($A648,FIND("/",$A648)+1,20))+1,20))),"")))</f>
        <v/>
      </c>
      <c r="E648">
        <f>IF($A648="","",IF(OR($B648="",$C648="",$D648="",$B648&lt;1300,$B648&gt;1500,$C648&lt;1,$C648&gt;12,$D648&lt;1,$D648&gt;31),"نامعتبر",RIGHT("0000"&amp;$B648,4)&amp;"/"&amp;RIGHT("00"&amp;$C648,2)&amp;"/"&amp;RIGHT("00"&amp;$D648,2)))</f>
        <v/>
      </c>
      <c r="F648">
        <f>IF(OR($E648="",$E648="نامعتبر"),"",LEFT($E648,4)&amp;"/"&amp;MID($E648,6,2))</f>
        <v/>
      </c>
      <c r="G648">
        <f>IF(OR($E648="",$E648="نامعتبر",Sync!$Y645=""),"",Sync!$Y645)</f>
        <v/>
      </c>
      <c r="H648">
        <f>IF($G648="","",IF(Sync!$X645="","",Sync!$X645))</f>
        <v/>
      </c>
      <c r="I648">
        <f>IF($G648="","",IFERROR(VLOOKUP(Sync!$X645,OpTbl,3,0),""))</f>
        <v/>
      </c>
      <c r="J648">
        <f>IF(OR($G648="",Sync!$Z645=""),"",Sync!$Z645)</f>
        <v/>
      </c>
      <c r="K648">
        <f>IF(OR($G648="",Sync!$AA645=""),"",Sync!$AA645)</f>
        <v/>
      </c>
      <c r="L648">
        <f>IF($G648="",0,IF(Sync!$AB645="",0,Sync!$AB645))</f>
        <v/>
      </c>
      <c r="M648">
        <f>IF($G648="",0,IF(Sync!$AC645="",0,Sync!$AC645))</f>
        <v/>
      </c>
      <c r="N648">
        <f>IF($G648="","",IF($H648="مرجوعی خرید",-1,1)*($L648-$M648*IFERROR(VLOOKUP("P01",ParamTbl,3,0),1.5))*(1-IF($I648="خرید",IFERROR(VLOOKUP("P02",ParamTbl,3,0),1),0)/100))</f>
        <v/>
      </c>
      <c r="O648">
        <f>IF($G648="",0,IF($H648="مرجوعی خرید",-1,1)*IF(Sync!$AD645="",0,Sync!$AD645))</f>
        <v/>
      </c>
      <c r="P648">
        <f>IF(OR($G648="",Sync!$W645=""),"",Sync!$W645)</f>
        <v/>
      </c>
      <c r="Q648">
        <f>IF(OR($G648="",Sync!$AE645=""),"",Sync!$AE645)</f>
        <v/>
      </c>
      <c r="R648">
        <f>IF($G648="","",IF(Sync!$V645="","0000",IF(AND(ISNUMBER(Sync!$V645),Sync!$V645&gt;=0,Sync!$V645&lt;1),RIGHT("00"&amp;HOUR(Sync!$V645),2)&amp;RIGHT("00"&amp;MINUTE(Sync!$V645),2),IFERROR(RIGHT("00"&amp;VALUE(LEFT(Sync!$V645,FIND(":",Sync!$V645)-1)),2)&amp;RIGHT("00"&amp;VALUE(MID(Sync!$V645,FIND(":",Sync!$V645)+1,2)),2),"0000"))))</f>
        <v/>
      </c>
    </row>
    <row r="649">
      <c r="A649">
        <f>IF(Sync!$U646="","",Sync!$U646)</f>
        <v/>
      </c>
      <c r="B649">
        <f>IF($A649="","",IF(ISNUMBER($A649),IF(AND($A649&gt;=10000101,$A649&lt;=99991231),INT($A649/10000),""),IFERROR(VALUE(TRIM(LEFT($A649,FIND("/",$A649)-1))),"")))</f>
        <v/>
      </c>
      <c r="C649">
        <f>IF(OR($A649="",$B649=""),"",IF(ISNUMBER($A649),INT(MOD($A649,10000)/100),IFERROR(VALUE(TRIM(LEFT(MID($A649,FIND("/",$A649)+1,20),FIND("/",MID($A649,FIND("/",$A649)+1,20))-1))),"")))</f>
        <v/>
      </c>
      <c r="D649">
        <f>IF(OR($A649="",$B649=""),"",IF(ISNUMBER($A649),MOD($A649,100),IFERROR(VALUE(TRIM(MID(MID($A649,FIND("/",$A649)+1,20),FIND("/",MID($A649,FIND("/",$A649)+1,20))+1,20))),"")))</f>
        <v/>
      </c>
      <c r="E649">
        <f>IF($A649="","",IF(OR($B649="",$C649="",$D649="",$B649&lt;1300,$B649&gt;1500,$C649&lt;1,$C649&gt;12,$D649&lt;1,$D649&gt;31),"نامعتبر",RIGHT("0000"&amp;$B649,4)&amp;"/"&amp;RIGHT("00"&amp;$C649,2)&amp;"/"&amp;RIGHT("00"&amp;$D649,2)))</f>
        <v/>
      </c>
      <c r="F649">
        <f>IF(OR($E649="",$E649="نامعتبر"),"",LEFT($E649,4)&amp;"/"&amp;MID($E649,6,2))</f>
        <v/>
      </c>
      <c r="G649">
        <f>IF(OR($E649="",$E649="نامعتبر",Sync!$Y646=""),"",Sync!$Y646)</f>
        <v/>
      </c>
      <c r="H649">
        <f>IF($G649="","",IF(Sync!$X646="","",Sync!$X646))</f>
        <v/>
      </c>
      <c r="I649">
        <f>IF($G649="","",IFERROR(VLOOKUP(Sync!$X646,OpTbl,3,0),""))</f>
        <v/>
      </c>
      <c r="J649">
        <f>IF(OR($G649="",Sync!$Z646=""),"",Sync!$Z646)</f>
        <v/>
      </c>
      <c r="K649">
        <f>IF(OR($G649="",Sync!$AA646=""),"",Sync!$AA646)</f>
        <v/>
      </c>
      <c r="L649">
        <f>IF($G649="",0,IF(Sync!$AB646="",0,Sync!$AB646))</f>
        <v/>
      </c>
      <c r="M649">
        <f>IF($G649="",0,IF(Sync!$AC646="",0,Sync!$AC646))</f>
        <v/>
      </c>
      <c r="N649">
        <f>IF($G649="","",IF($H649="مرجوعی خرید",-1,1)*($L649-$M649*IFERROR(VLOOKUP("P01",ParamTbl,3,0),1.5))*(1-IF($I649="خرید",IFERROR(VLOOKUP("P02",ParamTbl,3,0),1),0)/100))</f>
        <v/>
      </c>
      <c r="O649">
        <f>IF($G649="",0,IF($H649="مرجوعی خرید",-1,1)*IF(Sync!$AD646="",0,Sync!$AD646))</f>
        <v/>
      </c>
      <c r="P649">
        <f>IF(OR($G649="",Sync!$W646=""),"",Sync!$W646)</f>
        <v/>
      </c>
      <c r="Q649">
        <f>IF(OR($G649="",Sync!$AE646=""),"",Sync!$AE646)</f>
        <v/>
      </c>
      <c r="R649">
        <f>IF($G649="","",IF(Sync!$V646="","0000",IF(AND(ISNUMBER(Sync!$V646),Sync!$V646&gt;=0,Sync!$V646&lt;1),RIGHT("00"&amp;HOUR(Sync!$V646),2)&amp;RIGHT("00"&amp;MINUTE(Sync!$V646),2),IFERROR(RIGHT("00"&amp;VALUE(LEFT(Sync!$V646,FIND(":",Sync!$V646)-1)),2)&amp;RIGHT("00"&amp;VALUE(MID(Sync!$V646,FIND(":",Sync!$V646)+1,2)),2),"0000"))))</f>
        <v/>
      </c>
    </row>
    <row r="650">
      <c r="A650">
        <f>IF(Sync!$U647="","",Sync!$U647)</f>
        <v/>
      </c>
      <c r="B650">
        <f>IF($A650="","",IF(ISNUMBER($A650),IF(AND($A650&gt;=10000101,$A650&lt;=99991231),INT($A650/10000),""),IFERROR(VALUE(TRIM(LEFT($A650,FIND("/",$A650)-1))),"")))</f>
        <v/>
      </c>
      <c r="C650">
        <f>IF(OR($A650="",$B650=""),"",IF(ISNUMBER($A650),INT(MOD($A650,10000)/100),IFERROR(VALUE(TRIM(LEFT(MID($A650,FIND("/",$A650)+1,20),FIND("/",MID($A650,FIND("/",$A650)+1,20))-1))),"")))</f>
        <v/>
      </c>
      <c r="D650">
        <f>IF(OR($A650="",$B650=""),"",IF(ISNUMBER($A650),MOD($A650,100),IFERROR(VALUE(TRIM(MID(MID($A650,FIND("/",$A650)+1,20),FIND("/",MID($A650,FIND("/",$A650)+1,20))+1,20))),"")))</f>
        <v/>
      </c>
      <c r="E650">
        <f>IF($A650="","",IF(OR($B650="",$C650="",$D650="",$B650&lt;1300,$B650&gt;1500,$C650&lt;1,$C650&gt;12,$D650&lt;1,$D650&gt;31),"نامعتبر",RIGHT("0000"&amp;$B650,4)&amp;"/"&amp;RIGHT("00"&amp;$C650,2)&amp;"/"&amp;RIGHT("00"&amp;$D650,2)))</f>
        <v/>
      </c>
      <c r="F650">
        <f>IF(OR($E650="",$E650="نامعتبر"),"",LEFT($E650,4)&amp;"/"&amp;MID($E650,6,2))</f>
        <v/>
      </c>
      <c r="G650">
        <f>IF(OR($E650="",$E650="نامعتبر",Sync!$Y647=""),"",Sync!$Y647)</f>
        <v/>
      </c>
      <c r="H650">
        <f>IF($G650="","",IF(Sync!$X647="","",Sync!$X647))</f>
        <v/>
      </c>
      <c r="I650">
        <f>IF($G650="","",IFERROR(VLOOKUP(Sync!$X647,OpTbl,3,0),""))</f>
        <v/>
      </c>
      <c r="J650">
        <f>IF(OR($G650="",Sync!$Z647=""),"",Sync!$Z647)</f>
        <v/>
      </c>
      <c r="K650">
        <f>IF(OR($G650="",Sync!$AA647=""),"",Sync!$AA647)</f>
        <v/>
      </c>
      <c r="L650">
        <f>IF($G650="",0,IF(Sync!$AB647="",0,Sync!$AB647))</f>
        <v/>
      </c>
      <c r="M650">
        <f>IF($G650="",0,IF(Sync!$AC647="",0,Sync!$AC647))</f>
        <v/>
      </c>
      <c r="N650">
        <f>IF($G650="","",IF($H650="مرجوعی خرید",-1,1)*($L650-$M650*IFERROR(VLOOKUP("P01",ParamTbl,3,0),1.5))*(1-IF($I650="خرید",IFERROR(VLOOKUP("P02",ParamTbl,3,0),1),0)/100))</f>
        <v/>
      </c>
      <c r="O650">
        <f>IF($G650="",0,IF($H650="مرجوعی خرید",-1,1)*IF(Sync!$AD647="",0,Sync!$AD647))</f>
        <v/>
      </c>
      <c r="P650">
        <f>IF(OR($G650="",Sync!$W647=""),"",Sync!$W647)</f>
        <v/>
      </c>
      <c r="Q650">
        <f>IF(OR($G650="",Sync!$AE647=""),"",Sync!$AE647)</f>
        <v/>
      </c>
      <c r="R650">
        <f>IF($G650="","",IF(Sync!$V647="","0000",IF(AND(ISNUMBER(Sync!$V647),Sync!$V647&gt;=0,Sync!$V647&lt;1),RIGHT("00"&amp;HOUR(Sync!$V647),2)&amp;RIGHT("00"&amp;MINUTE(Sync!$V647),2),IFERROR(RIGHT("00"&amp;VALUE(LEFT(Sync!$V647,FIND(":",Sync!$V647)-1)),2)&amp;RIGHT("00"&amp;VALUE(MID(Sync!$V647,FIND(":",Sync!$V647)+1,2)),2),"0000"))))</f>
        <v/>
      </c>
    </row>
    <row r="651">
      <c r="A651">
        <f>IF(Sync!$U648="","",Sync!$U648)</f>
        <v/>
      </c>
      <c r="B651">
        <f>IF($A651="","",IF(ISNUMBER($A651),IF(AND($A651&gt;=10000101,$A651&lt;=99991231),INT($A651/10000),""),IFERROR(VALUE(TRIM(LEFT($A651,FIND("/",$A651)-1))),"")))</f>
        <v/>
      </c>
      <c r="C651">
        <f>IF(OR($A651="",$B651=""),"",IF(ISNUMBER($A651),INT(MOD($A651,10000)/100),IFERROR(VALUE(TRIM(LEFT(MID($A651,FIND("/",$A651)+1,20),FIND("/",MID($A651,FIND("/",$A651)+1,20))-1))),"")))</f>
        <v/>
      </c>
      <c r="D651">
        <f>IF(OR($A651="",$B651=""),"",IF(ISNUMBER($A651),MOD($A651,100),IFERROR(VALUE(TRIM(MID(MID($A651,FIND("/",$A651)+1,20),FIND("/",MID($A651,FIND("/",$A651)+1,20))+1,20))),"")))</f>
        <v/>
      </c>
      <c r="E651">
        <f>IF($A651="","",IF(OR($B651="",$C651="",$D651="",$B651&lt;1300,$B651&gt;1500,$C651&lt;1,$C651&gt;12,$D651&lt;1,$D651&gt;31),"نامعتبر",RIGHT("0000"&amp;$B651,4)&amp;"/"&amp;RIGHT("00"&amp;$C651,2)&amp;"/"&amp;RIGHT("00"&amp;$D651,2)))</f>
        <v/>
      </c>
      <c r="F651">
        <f>IF(OR($E651="",$E651="نامعتبر"),"",LEFT($E651,4)&amp;"/"&amp;MID($E651,6,2))</f>
        <v/>
      </c>
      <c r="G651">
        <f>IF(OR($E651="",$E651="نامعتبر",Sync!$Y648=""),"",Sync!$Y648)</f>
        <v/>
      </c>
      <c r="H651">
        <f>IF($G651="","",IF(Sync!$X648="","",Sync!$X648))</f>
        <v/>
      </c>
      <c r="I651">
        <f>IF($G651="","",IFERROR(VLOOKUP(Sync!$X648,OpTbl,3,0),""))</f>
        <v/>
      </c>
      <c r="J651">
        <f>IF(OR($G651="",Sync!$Z648=""),"",Sync!$Z648)</f>
        <v/>
      </c>
      <c r="K651">
        <f>IF(OR($G651="",Sync!$AA648=""),"",Sync!$AA648)</f>
        <v/>
      </c>
      <c r="L651">
        <f>IF($G651="",0,IF(Sync!$AB648="",0,Sync!$AB648))</f>
        <v/>
      </c>
      <c r="M651">
        <f>IF($G651="",0,IF(Sync!$AC648="",0,Sync!$AC648))</f>
        <v/>
      </c>
      <c r="N651">
        <f>IF($G651="","",IF($H651="مرجوعی خرید",-1,1)*($L651-$M651*IFERROR(VLOOKUP("P01",ParamTbl,3,0),1.5))*(1-IF($I651="خرید",IFERROR(VLOOKUP("P02",ParamTbl,3,0),1),0)/100))</f>
        <v/>
      </c>
      <c r="O651">
        <f>IF($G651="",0,IF($H651="مرجوعی خرید",-1,1)*IF(Sync!$AD648="",0,Sync!$AD648))</f>
        <v/>
      </c>
      <c r="P651">
        <f>IF(OR($G651="",Sync!$W648=""),"",Sync!$W648)</f>
        <v/>
      </c>
      <c r="Q651">
        <f>IF(OR($G651="",Sync!$AE648=""),"",Sync!$AE648)</f>
        <v/>
      </c>
      <c r="R651">
        <f>IF($G651="","",IF(Sync!$V648="","0000",IF(AND(ISNUMBER(Sync!$V648),Sync!$V648&gt;=0,Sync!$V648&lt;1),RIGHT("00"&amp;HOUR(Sync!$V648),2)&amp;RIGHT("00"&amp;MINUTE(Sync!$V648),2),IFERROR(RIGHT("00"&amp;VALUE(LEFT(Sync!$V648,FIND(":",Sync!$V648)-1)),2)&amp;RIGHT("00"&amp;VALUE(MID(Sync!$V648,FIND(":",Sync!$V648)+1,2)),2),"0000"))))</f>
        <v/>
      </c>
    </row>
    <row r="652">
      <c r="A652">
        <f>IF(Sync!$U649="","",Sync!$U649)</f>
        <v/>
      </c>
      <c r="B652">
        <f>IF($A652="","",IF(ISNUMBER($A652),IF(AND($A652&gt;=10000101,$A652&lt;=99991231),INT($A652/10000),""),IFERROR(VALUE(TRIM(LEFT($A652,FIND("/",$A652)-1))),"")))</f>
        <v/>
      </c>
      <c r="C652">
        <f>IF(OR($A652="",$B652=""),"",IF(ISNUMBER($A652),INT(MOD($A652,10000)/100),IFERROR(VALUE(TRIM(LEFT(MID($A652,FIND("/",$A652)+1,20),FIND("/",MID($A652,FIND("/",$A652)+1,20))-1))),"")))</f>
        <v/>
      </c>
      <c r="D652">
        <f>IF(OR($A652="",$B652=""),"",IF(ISNUMBER($A652),MOD($A652,100),IFERROR(VALUE(TRIM(MID(MID($A652,FIND("/",$A652)+1,20),FIND("/",MID($A652,FIND("/",$A652)+1,20))+1,20))),"")))</f>
        <v/>
      </c>
      <c r="E652">
        <f>IF($A652="","",IF(OR($B652="",$C652="",$D652="",$B652&lt;1300,$B652&gt;1500,$C652&lt;1,$C652&gt;12,$D652&lt;1,$D652&gt;31),"نامعتبر",RIGHT("0000"&amp;$B652,4)&amp;"/"&amp;RIGHT("00"&amp;$C652,2)&amp;"/"&amp;RIGHT("00"&amp;$D652,2)))</f>
        <v/>
      </c>
      <c r="F652">
        <f>IF(OR($E652="",$E652="نامعتبر"),"",LEFT($E652,4)&amp;"/"&amp;MID($E652,6,2))</f>
        <v/>
      </c>
      <c r="G652">
        <f>IF(OR($E652="",$E652="نامعتبر",Sync!$Y649=""),"",Sync!$Y649)</f>
        <v/>
      </c>
      <c r="H652">
        <f>IF($G652="","",IF(Sync!$X649="","",Sync!$X649))</f>
        <v/>
      </c>
      <c r="I652">
        <f>IF($G652="","",IFERROR(VLOOKUP(Sync!$X649,OpTbl,3,0),""))</f>
        <v/>
      </c>
      <c r="J652">
        <f>IF(OR($G652="",Sync!$Z649=""),"",Sync!$Z649)</f>
        <v/>
      </c>
      <c r="K652">
        <f>IF(OR($G652="",Sync!$AA649=""),"",Sync!$AA649)</f>
        <v/>
      </c>
      <c r="L652">
        <f>IF($G652="",0,IF(Sync!$AB649="",0,Sync!$AB649))</f>
        <v/>
      </c>
      <c r="M652">
        <f>IF($G652="",0,IF(Sync!$AC649="",0,Sync!$AC649))</f>
        <v/>
      </c>
      <c r="N652">
        <f>IF($G652="","",IF($H652="مرجوعی خرید",-1,1)*($L652-$M652*IFERROR(VLOOKUP("P01",ParamTbl,3,0),1.5))*(1-IF($I652="خرید",IFERROR(VLOOKUP("P02",ParamTbl,3,0),1),0)/100))</f>
        <v/>
      </c>
      <c r="O652">
        <f>IF($G652="",0,IF($H652="مرجوعی خرید",-1,1)*IF(Sync!$AD649="",0,Sync!$AD649))</f>
        <v/>
      </c>
      <c r="P652">
        <f>IF(OR($G652="",Sync!$W649=""),"",Sync!$W649)</f>
        <v/>
      </c>
      <c r="Q652">
        <f>IF(OR($G652="",Sync!$AE649=""),"",Sync!$AE649)</f>
        <v/>
      </c>
      <c r="R652">
        <f>IF($G652="","",IF(Sync!$V649="","0000",IF(AND(ISNUMBER(Sync!$V649),Sync!$V649&gt;=0,Sync!$V649&lt;1),RIGHT("00"&amp;HOUR(Sync!$V649),2)&amp;RIGHT("00"&amp;MINUTE(Sync!$V649),2),IFERROR(RIGHT("00"&amp;VALUE(LEFT(Sync!$V649,FIND(":",Sync!$V649)-1)),2)&amp;RIGHT("00"&amp;VALUE(MID(Sync!$V649,FIND(":",Sync!$V649)+1,2)),2),"0000"))))</f>
        <v/>
      </c>
    </row>
    <row r="653">
      <c r="A653">
        <f>IF(Sync!$U650="","",Sync!$U650)</f>
        <v/>
      </c>
      <c r="B653">
        <f>IF($A653="","",IF(ISNUMBER($A653),IF(AND($A653&gt;=10000101,$A653&lt;=99991231),INT($A653/10000),""),IFERROR(VALUE(TRIM(LEFT($A653,FIND("/",$A653)-1))),"")))</f>
        <v/>
      </c>
      <c r="C653">
        <f>IF(OR($A653="",$B653=""),"",IF(ISNUMBER($A653),INT(MOD($A653,10000)/100),IFERROR(VALUE(TRIM(LEFT(MID($A653,FIND("/",$A653)+1,20),FIND("/",MID($A653,FIND("/",$A653)+1,20))-1))),"")))</f>
        <v/>
      </c>
      <c r="D653">
        <f>IF(OR($A653="",$B653=""),"",IF(ISNUMBER($A653),MOD($A653,100),IFERROR(VALUE(TRIM(MID(MID($A653,FIND("/",$A653)+1,20),FIND("/",MID($A653,FIND("/",$A653)+1,20))+1,20))),"")))</f>
        <v/>
      </c>
      <c r="E653">
        <f>IF($A653="","",IF(OR($B653="",$C653="",$D653="",$B653&lt;1300,$B653&gt;1500,$C653&lt;1,$C653&gt;12,$D653&lt;1,$D653&gt;31),"نامعتبر",RIGHT("0000"&amp;$B653,4)&amp;"/"&amp;RIGHT("00"&amp;$C653,2)&amp;"/"&amp;RIGHT("00"&amp;$D653,2)))</f>
        <v/>
      </c>
      <c r="F653">
        <f>IF(OR($E653="",$E653="نامعتبر"),"",LEFT($E653,4)&amp;"/"&amp;MID($E653,6,2))</f>
        <v/>
      </c>
      <c r="G653">
        <f>IF(OR($E653="",$E653="نامعتبر",Sync!$Y650=""),"",Sync!$Y650)</f>
        <v/>
      </c>
      <c r="H653">
        <f>IF($G653="","",IF(Sync!$X650="","",Sync!$X650))</f>
        <v/>
      </c>
      <c r="I653">
        <f>IF($G653="","",IFERROR(VLOOKUP(Sync!$X650,OpTbl,3,0),""))</f>
        <v/>
      </c>
      <c r="J653">
        <f>IF(OR($G653="",Sync!$Z650=""),"",Sync!$Z650)</f>
        <v/>
      </c>
      <c r="K653">
        <f>IF(OR($G653="",Sync!$AA650=""),"",Sync!$AA650)</f>
        <v/>
      </c>
      <c r="L653">
        <f>IF($G653="",0,IF(Sync!$AB650="",0,Sync!$AB650))</f>
        <v/>
      </c>
      <c r="M653">
        <f>IF($G653="",0,IF(Sync!$AC650="",0,Sync!$AC650))</f>
        <v/>
      </c>
      <c r="N653">
        <f>IF($G653="","",IF($H653="مرجوعی خرید",-1,1)*($L653-$M653*IFERROR(VLOOKUP("P01",ParamTbl,3,0),1.5))*(1-IF($I653="خرید",IFERROR(VLOOKUP("P02",ParamTbl,3,0),1),0)/100))</f>
        <v/>
      </c>
      <c r="O653">
        <f>IF($G653="",0,IF($H653="مرجوعی خرید",-1,1)*IF(Sync!$AD650="",0,Sync!$AD650))</f>
        <v/>
      </c>
      <c r="P653">
        <f>IF(OR($G653="",Sync!$W650=""),"",Sync!$W650)</f>
        <v/>
      </c>
      <c r="Q653">
        <f>IF(OR($G653="",Sync!$AE650=""),"",Sync!$AE650)</f>
        <v/>
      </c>
      <c r="R653">
        <f>IF($G653="","",IF(Sync!$V650="","0000",IF(AND(ISNUMBER(Sync!$V650),Sync!$V650&gt;=0,Sync!$V650&lt;1),RIGHT("00"&amp;HOUR(Sync!$V650),2)&amp;RIGHT("00"&amp;MINUTE(Sync!$V650),2),IFERROR(RIGHT("00"&amp;VALUE(LEFT(Sync!$V650,FIND(":",Sync!$V650)-1)),2)&amp;RIGHT("00"&amp;VALUE(MID(Sync!$V650,FIND(":",Sync!$V650)+1,2)),2),"0000"))))</f>
        <v/>
      </c>
    </row>
    <row r="654">
      <c r="A654">
        <f>IF(Sync!$U651="","",Sync!$U651)</f>
        <v/>
      </c>
      <c r="B654">
        <f>IF($A654="","",IF(ISNUMBER($A654),IF(AND($A654&gt;=10000101,$A654&lt;=99991231),INT($A654/10000),""),IFERROR(VALUE(TRIM(LEFT($A654,FIND("/",$A654)-1))),"")))</f>
        <v/>
      </c>
      <c r="C654">
        <f>IF(OR($A654="",$B654=""),"",IF(ISNUMBER($A654),INT(MOD($A654,10000)/100),IFERROR(VALUE(TRIM(LEFT(MID($A654,FIND("/",$A654)+1,20),FIND("/",MID($A654,FIND("/",$A654)+1,20))-1))),"")))</f>
        <v/>
      </c>
      <c r="D654">
        <f>IF(OR($A654="",$B654=""),"",IF(ISNUMBER($A654),MOD($A654,100),IFERROR(VALUE(TRIM(MID(MID($A654,FIND("/",$A654)+1,20),FIND("/",MID($A654,FIND("/",$A654)+1,20))+1,20))),"")))</f>
        <v/>
      </c>
      <c r="E654">
        <f>IF($A654="","",IF(OR($B654="",$C654="",$D654="",$B654&lt;1300,$B654&gt;1500,$C654&lt;1,$C654&gt;12,$D654&lt;1,$D654&gt;31),"نامعتبر",RIGHT("0000"&amp;$B654,4)&amp;"/"&amp;RIGHT("00"&amp;$C654,2)&amp;"/"&amp;RIGHT("00"&amp;$D654,2)))</f>
        <v/>
      </c>
      <c r="F654">
        <f>IF(OR($E654="",$E654="نامعتبر"),"",LEFT($E654,4)&amp;"/"&amp;MID($E654,6,2))</f>
        <v/>
      </c>
      <c r="G654">
        <f>IF(OR($E654="",$E654="نامعتبر",Sync!$Y651=""),"",Sync!$Y651)</f>
        <v/>
      </c>
      <c r="H654">
        <f>IF($G654="","",IF(Sync!$X651="","",Sync!$X651))</f>
        <v/>
      </c>
      <c r="I654">
        <f>IF($G654="","",IFERROR(VLOOKUP(Sync!$X651,OpTbl,3,0),""))</f>
        <v/>
      </c>
      <c r="J654">
        <f>IF(OR($G654="",Sync!$Z651=""),"",Sync!$Z651)</f>
        <v/>
      </c>
      <c r="K654">
        <f>IF(OR($G654="",Sync!$AA651=""),"",Sync!$AA651)</f>
        <v/>
      </c>
      <c r="L654">
        <f>IF($G654="",0,IF(Sync!$AB651="",0,Sync!$AB651))</f>
        <v/>
      </c>
      <c r="M654">
        <f>IF($G654="",0,IF(Sync!$AC651="",0,Sync!$AC651))</f>
        <v/>
      </c>
      <c r="N654">
        <f>IF($G654="","",IF($H654="مرجوعی خرید",-1,1)*($L654-$M654*IFERROR(VLOOKUP("P01",ParamTbl,3,0),1.5))*(1-IF($I654="خرید",IFERROR(VLOOKUP("P02",ParamTbl,3,0),1),0)/100))</f>
        <v/>
      </c>
      <c r="O654">
        <f>IF($G654="",0,IF($H654="مرجوعی خرید",-1,1)*IF(Sync!$AD651="",0,Sync!$AD651))</f>
        <v/>
      </c>
      <c r="P654">
        <f>IF(OR($G654="",Sync!$W651=""),"",Sync!$W651)</f>
        <v/>
      </c>
      <c r="Q654">
        <f>IF(OR($G654="",Sync!$AE651=""),"",Sync!$AE651)</f>
        <v/>
      </c>
      <c r="R654">
        <f>IF($G654="","",IF(Sync!$V651="","0000",IF(AND(ISNUMBER(Sync!$V651),Sync!$V651&gt;=0,Sync!$V651&lt;1),RIGHT("00"&amp;HOUR(Sync!$V651),2)&amp;RIGHT("00"&amp;MINUTE(Sync!$V651),2),IFERROR(RIGHT("00"&amp;VALUE(LEFT(Sync!$V651,FIND(":",Sync!$V651)-1)),2)&amp;RIGHT("00"&amp;VALUE(MID(Sync!$V651,FIND(":",Sync!$V651)+1,2)),2),"0000"))))</f>
        <v/>
      </c>
    </row>
    <row r="655">
      <c r="A655">
        <f>IF(Sync!$U652="","",Sync!$U652)</f>
        <v/>
      </c>
      <c r="B655">
        <f>IF($A655="","",IF(ISNUMBER($A655),IF(AND($A655&gt;=10000101,$A655&lt;=99991231),INT($A655/10000),""),IFERROR(VALUE(TRIM(LEFT($A655,FIND("/",$A655)-1))),"")))</f>
        <v/>
      </c>
      <c r="C655">
        <f>IF(OR($A655="",$B655=""),"",IF(ISNUMBER($A655),INT(MOD($A655,10000)/100),IFERROR(VALUE(TRIM(LEFT(MID($A655,FIND("/",$A655)+1,20),FIND("/",MID($A655,FIND("/",$A655)+1,20))-1))),"")))</f>
        <v/>
      </c>
      <c r="D655">
        <f>IF(OR($A655="",$B655=""),"",IF(ISNUMBER($A655),MOD($A655,100),IFERROR(VALUE(TRIM(MID(MID($A655,FIND("/",$A655)+1,20),FIND("/",MID($A655,FIND("/",$A655)+1,20))+1,20))),"")))</f>
        <v/>
      </c>
      <c r="E655">
        <f>IF($A655="","",IF(OR($B655="",$C655="",$D655="",$B655&lt;1300,$B655&gt;1500,$C655&lt;1,$C655&gt;12,$D655&lt;1,$D655&gt;31),"نامعتبر",RIGHT("0000"&amp;$B655,4)&amp;"/"&amp;RIGHT("00"&amp;$C655,2)&amp;"/"&amp;RIGHT("00"&amp;$D655,2)))</f>
        <v/>
      </c>
      <c r="F655">
        <f>IF(OR($E655="",$E655="نامعتبر"),"",LEFT($E655,4)&amp;"/"&amp;MID($E655,6,2))</f>
        <v/>
      </c>
      <c r="G655">
        <f>IF(OR($E655="",$E655="نامعتبر",Sync!$Y652=""),"",Sync!$Y652)</f>
        <v/>
      </c>
      <c r="H655">
        <f>IF($G655="","",IF(Sync!$X652="","",Sync!$X652))</f>
        <v/>
      </c>
      <c r="I655">
        <f>IF($G655="","",IFERROR(VLOOKUP(Sync!$X652,OpTbl,3,0),""))</f>
        <v/>
      </c>
      <c r="J655">
        <f>IF(OR($G655="",Sync!$Z652=""),"",Sync!$Z652)</f>
        <v/>
      </c>
      <c r="K655">
        <f>IF(OR($G655="",Sync!$AA652=""),"",Sync!$AA652)</f>
        <v/>
      </c>
      <c r="L655">
        <f>IF($G655="",0,IF(Sync!$AB652="",0,Sync!$AB652))</f>
        <v/>
      </c>
      <c r="M655">
        <f>IF($G655="",0,IF(Sync!$AC652="",0,Sync!$AC652))</f>
        <v/>
      </c>
      <c r="N655">
        <f>IF($G655="","",IF($H655="مرجوعی خرید",-1,1)*($L655-$M655*IFERROR(VLOOKUP("P01",ParamTbl,3,0),1.5))*(1-IF($I655="خرید",IFERROR(VLOOKUP("P02",ParamTbl,3,0),1),0)/100))</f>
        <v/>
      </c>
      <c r="O655">
        <f>IF($G655="",0,IF($H655="مرجوعی خرید",-1,1)*IF(Sync!$AD652="",0,Sync!$AD652))</f>
        <v/>
      </c>
      <c r="P655">
        <f>IF(OR($G655="",Sync!$W652=""),"",Sync!$W652)</f>
        <v/>
      </c>
      <c r="Q655">
        <f>IF(OR($G655="",Sync!$AE652=""),"",Sync!$AE652)</f>
        <v/>
      </c>
      <c r="R655">
        <f>IF($G655="","",IF(Sync!$V652="","0000",IF(AND(ISNUMBER(Sync!$V652),Sync!$V652&gt;=0,Sync!$V652&lt;1),RIGHT("00"&amp;HOUR(Sync!$V652),2)&amp;RIGHT("00"&amp;MINUTE(Sync!$V652),2),IFERROR(RIGHT("00"&amp;VALUE(LEFT(Sync!$V652,FIND(":",Sync!$V652)-1)),2)&amp;RIGHT("00"&amp;VALUE(MID(Sync!$V652,FIND(":",Sync!$V652)+1,2)),2),"0000"))))</f>
        <v/>
      </c>
    </row>
    <row r="656">
      <c r="A656">
        <f>IF(Sync!$U653="","",Sync!$U653)</f>
        <v/>
      </c>
      <c r="B656">
        <f>IF($A656="","",IF(ISNUMBER($A656),IF(AND($A656&gt;=10000101,$A656&lt;=99991231),INT($A656/10000),""),IFERROR(VALUE(TRIM(LEFT($A656,FIND("/",$A656)-1))),"")))</f>
        <v/>
      </c>
      <c r="C656">
        <f>IF(OR($A656="",$B656=""),"",IF(ISNUMBER($A656),INT(MOD($A656,10000)/100),IFERROR(VALUE(TRIM(LEFT(MID($A656,FIND("/",$A656)+1,20),FIND("/",MID($A656,FIND("/",$A656)+1,20))-1))),"")))</f>
        <v/>
      </c>
      <c r="D656">
        <f>IF(OR($A656="",$B656=""),"",IF(ISNUMBER($A656),MOD($A656,100),IFERROR(VALUE(TRIM(MID(MID($A656,FIND("/",$A656)+1,20),FIND("/",MID($A656,FIND("/",$A656)+1,20))+1,20))),"")))</f>
        <v/>
      </c>
      <c r="E656">
        <f>IF($A656="","",IF(OR($B656="",$C656="",$D656="",$B656&lt;1300,$B656&gt;1500,$C656&lt;1,$C656&gt;12,$D656&lt;1,$D656&gt;31),"نامعتبر",RIGHT("0000"&amp;$B656,4)&amp;"/"&amp;RIGHT("00"&amp;$C656,2)&amp;"/"&amp;RIGHT("00"&amp;$D656,2)))</f>
        <v/>
      </c>
      <c r="F656">
        <f>IF(OR($E656="",$E656="نامعتبر"),"",LEFT($E656,4)&amp;"/"&amp;MID($E656,6,2))</f>
        <v/>
      </c>
      <c r="G656">
        <f>IF(OR($E656="",$E656="نامعتبر",Sync!$Y653=""),"",Sync!$Y653)</f>
        <v/>
      </c>
      <c r="H656">
        <f>IF($G656="","",IF(Sync!$X653="","",Sync!$X653))</f>
        <v/>
      </c>
      <c r="I656">
        <f>IF($G656="","",IFERROR(VLOOKUP(Sync!$X653,OpTbl,3,0),""))</f>
        <v/>
      </c>
      <c r="J656">
        <f>IF(OR($G656="",Sync!$Z653=""),"",Sync!$Z653)</f>
        <v/>
      </c>
      <c r="K656">
        <f>IF(OR($G656="",Sync!$AA653=""),"",Sync!$AA653)</f>
        <v/>
      </c>
      <c r="L656">
        <f>IF($G656="",0,IF(Sync!$AB653="",0,Sync!$AB653))</f>
        <v/>
      </c>
      <c r="M656">
        <f>IF($G656="",0,IF(Sync!$AC653="",0,Sync!$AC653))</f>
        <v/>
      </c>
      <c r="N656">
        <f>IF($G656="","",IF($H656="مرجوعی خرید",-1,1)*($L656-$M656*IFERROR(VLOOKUP("P01",ParamTbl,3,0),1.5))*(1-IF($I656="خرید",IFERROR(VLOOKUP("P02",ParamTbl,3,0),1),0)/100))</f>
        <v/>
      </c>
      <c r="O656">
        <f>IF($G656="",0,IF($H656="مرجوعی خرید",-1,1)*IF(Sync!$AD653="",0,Sync!$AD653))</f>
        <v/>
      </c>
      <c r="P656">
        <f>IF(OR($G656="",Sync!$W653=""),"",Sync!$W653)</f>
        <v/>
      </c>
      <c r="Q656">
        <f>IF(OR($G656="",Sync!$AE653=""),"",Sync!$AE653)</f>
        <v/>
      </c>
      <c r="R656">
        <f>IF($G656="","",IF(Sync!$V653="","0000",IF(AND(ISNUMBER(Sync!$V653),Sync!$V653&gt;=0,Sync!$V653&lt;1),RIGHT("00"&amp;HOUR(Sync!$V653),2)&amp;RIGHT("00"&amp;MINUTE(Sync!$V653),2),IFERROR(RIGHT("00"&amp;VALUE(LEFT(Sync!$V653,FIND(":",Sync!$V653)-1)),2)&amp;RIGHT("00"&amp;VALUE(MID(Sync!$V653,FIND(":",Sync!$V653)+1,2)),2),"0000"))))</f>
        <v/>
      </c>
    </row>
    <row r="657">
      <c r="A657">
        <f>IF(Sync!$U654="","",Sync!$U654)</f>
        <v/>
      </c>
      <c r="B657">
        <f>IF($A657="","",IF(ISNUMBER($A657),IF(AND($A657&gt;=10000101,$A657&lt;=99991231),INT($A657/10000),""),IFERROR(VALUE(TRIM(LEFT($A657,FIND("/",$A657)-1))),"")))</f>
        <v/>
      </c>
      <c r="C657">
        <f>IF(OR($A657="",$B657=""),"",IF(ISNUMBER($A657),INT(MOD($A657,10000)/100),IFERROR(VALUE(TRIM(LEFT(MID($A657,FIND("/",$A657)+1,20),FIND("/",MID($A657,FIND("/",$A657)+1,20))-1))),"")))</f>
        <v/>
      </c>
      <c r="D657">
        <f>IF(OR($A657="",$B657=""),"",IF(ISNUMBER($A657),MOD($A657,100),IFERROR(VALUE(TRIM(MID(MID($A657,FIND("/",$A657)+1,20),FIND("/",MID($A657,FIND("/",$A657)+1,20))+1,20))),"")))</f>
        <v/>
      </c>
      <c r="E657">
        <f>IF($A657="","",IF(OR($B657="",$C657="",$D657="",$B657&lt;1300,$B657&gt;1500,$C657&lt;1,$C657&gt;12,$D657&lt;1,$D657&gt;31),"نامعتبر",RIGHT("0000"&amp;$B657,4)&amp;"/"&amp;RIGHT("00"&amp;$C657,2)&amp;"/"&amp;RIGHT("00"&amp;$D657,2)))</f>
        <v/>
      </c>
      <c r="F657">
        <f>IF(OR($E657="",$E657="نامعتبر"),"",LEFT($E657,4)&amp;"/"&amp;MID($E657,6,2))</f>
        <v/>
      </c>
      <c r="G657">
        <f>IF(OR($E657="",$E657="نامعتبر",Sync!$Y654=""),"",Sync!$Y654)</f>
        <v/>
      </c>
      <c r="H657">
        <f>IF($G657="","",IF(Sync!$X654="","",Sync!$X654))</f>
        <v/>
      </c>
      <c r="I657">
        <f>IF($G657="","",IFERROR(VLOOKUP(Sync!$X654,OpTbl,3,0),""))</f>
        <v/>
      </c>
      <c r="J657">
        <f>IF(OR($G657="",Sync!$Z654=""),"",Sync!$Z654)</f>
        <v/>
      </c>
      <c r="K657">
        <f>IF(OR($G657="",Sync!$AA654=""),"",Sync!$AA654)</f>
        <v/>
      </c>
      <c r="L657">
        <f>IF($G657="",0,IF(Sync!$AB654="",0,Sync!$AB654))</f>
        <v/>
      </c>
      <c r="M657">
        <f>IF($G657="",0,IF(Sync!$AC654="",0,Sync!$AC654))</f>
        <v/>
      </c>
      <c r="N657">
        <f>IF($G657="","",IF($H657="مرجوعی خرید",-1,1)*($L657-$M657*IFERROR(VLOOKUP("P01",ParamTbl,3,0),1.5))*(1-IF($I657="خرید",IFERROR(VLOOKUP("P02",ParamTbl,3,0),1),0)/100))</f>
        <v/>
      </c>
      <c r="O657">
        <f>IF($G657="",0,IF($H657="مرجوعی خرید",-1,1)*IF(Sync!$AD654="",0,Sync!$AD654))</f>
        <v/>
      </c>
      <c r="P657">
        <f>IF(OR($G657="",Sync!$W654=""),"",Sync!$W654)</f>
        <v/>
      </c>
      <c r="Q657">
        <f>IF(OR($G657="",Sync!$AE654=""),"",Sync!$AE654)</f>
        <v/>
      </c>
      <c r="R657">
        <f>IF($G657="","",IF(Sync!$V654="","0000",IF(AND(ISNUMBER(Sync!$V654),Sync!$V654&gt;=0,Sync!$V654&lt;1),RIGHT("00"&amp;HOUR(Sync!$V654),2)&amp;RIGHT("00"&amp;MINUTE(Sync!$V654),2),IFERROR(RIGHT("00"&amp;VALUE(LEFT(Sync!$V654,FIND(":",Sync!$V654)-1)),2)&amp;RIGHT("00"&amp;VALUE(MID(Sync!$V654,FIND(":",Sync!$V654)+1,2)),2),"0000"))))</f>
        <v/>
      </c>
    </row>
    <row r="658">
      <c r="A658">
        <f>IF(Sync!$U655="","",Sync!$U655)</f>
        <v/>
      </c>
      <c r="B658">
        <f>IF($A658="","",IF(ISNUMBER($A658),IF(AND($A658&gt;=10000101,$A658&lt;=99991231),INT($A658/10000),""),IFERROR(VALUE(TRIM(LEFT($A658,FIND("/",$A658)-1))),"")))</f>
        <v/>
      </c>
      <c r="C658">
        <f>IF(OR($A658="",$B658=""),"",IF(ISNUMBER($A658),INT(MOD($A658,10000)/100),IFERROR(VALUE(TRIM(LEFT(MID($A658,FIND("/",$A658)+1,20),FIND("/",MID($A658,FIND("/",$A658)+1,20))-1))),"")))</f>
        <v/>
      </c>
      <c r="D658">
        <f>IF(OR($A658="",$B658=""),"",IF(ISNUMBER($A658),MOD($A658,100),IFERROR(VALUE(TRIM(MID(MID($A658,FIND("/",$A658)+1,20),FIND("/",MID($A658,FIND("/",$A658)+1,20))+1,20))),"")))</f>
        <v/>
      </c>
      <c r="E658">
        <f>IF($A658="","",IF(OR($B658="",$C658="",$D658="",$B658&lt;1300,$B658&gt;1500,$C658&lt;1,$C658&gt;12,$D658&lt;1,$D658&gt;31),"نامعتبر",RIGHT("0000"&amp;$B658,4)&amp;"/"&amp;RIGHT("00"&amp;$C658,2)&amp;"/"&amp;RIGHT("00"&amp;$D658,2)))</f>
        <v/>
      </c>
      <c r="F658">
        <f>IF(OR($E658="",$E658="نامعتبر"),"",LEFT($E658,4)&amp;"/"&amp;MID($E658,6,2))</f>
        <v/>
      </c>
      <c r="G658">
        <f>IF(OR($E658="",$E658="نامعتبر",Sync!$Y655=""),"",Sync!$Y655)</f>
        <v/>
      </c>
      <c r="H658">
        <f>IF($G658="","",IF(Sync!$X655="","",Sync!$X655))</f>
        <v/>
      </c>
      <c r="I658">
        <f>IF($G658="","",IFERROR(VLOOKUP(Sync!$X655,OpTbl,3,0),""))</f>
        <v/>
      </c>
      <c r="J658">
        <f>IF(OR($G658="",Sync!$Z655=""),"",Sync!$Z655)</f>
        <v/>
      </c>
      <c r="K658">
        <f>IF(OR($G658="",Sync!$AA655=""),"",Sync!$AA655)</f>
        <v/>
      </c>
      <c r="L658">
        <f>IF($G658="",0,IF(Sync!$AB655="",0,Sync!$AB655))</f>
        <v/>
      </c>
      <c r="M658">
        <f>IF($G658="",0,IF(Sync!$AC655="",0,Sync!$AC655))</f>
        <v/>
      </c>
      <c r="N658">
        <f>IF($G658="","",IF($H658="مرجوعی خرید",-1,1)*($L658-$M658*IFERROR(VLOOKUP("P01",ParamTbl,3,0),1.5))*(1-IF($I658="خرید",IFERROR(VLOOKUP("P02",ParamTbl,3,0),1),0)/100))</f>
        <v/>
      </c>
      <c r="O658">
        <f>IF($G658="",0,IF($H658="مرجوعی خرید",-1,1)*IF(Sync!$AD655="",0,Sync!$AD655))</f>
        <v/>
      </c>
      <c r="P658">
        <f>IF(OR($G658="",Sync!$W655=""),"",Sync!$W655)</f>
        <v/>
      </c>
      <c r="Q658">
        <f>IF(OR($G658="",Sync!$AE655=""),"",Sync!$AE655)</f>
        <v/>
      </c>
      <c r="R658">
        <f>IF($G658="","",IF(Sync!$V655="","0000",IF(AND(ISNUMBER(Sync!$V655),Sync!$V655&gt;=0,Sync!$V655&lt;1),RIGHT("00"&amp;HOUR(Sync!$V655),2)&amp;RIGHT("00"&amp;MINUTE(Sync!$V655),2),IFERROR(RIGHT("00"&amp;VALUE(LEFT(Sync!$V655,FIND(":",Sync!$V655)-1)),2)&amp;RIGHT("00"&amp;VALUE(MID(Sync!$V655,FIND(":",Sync!$V655)+1,2)),2),"0000"))))</f>
        <v/>
      </c>
    </row>
    <row r="659">
      <c r="A659">
        <f>IF(Sync!$U656="","",Sync!$U656)</f>
        <v/>
      </c>
      <c r="B659">
        <f>IF($A659="","",IF(ISNUMBER($A659),IF(AND($A659&gt;=10000101,$A659&lt;=99991231),INT($A659/10000),""),IFERROR(VALUE(TRIM(LEFT($A659,FIND("/",$A659)-1))),"")))</f>
        <v/>
      </c>
      <c r="C659">
        <f>IF(OR($A659="",$B659=""),"",IF(ISNUMBER($A659),INT(MOD($A659,10000)/100),IFERROR(VALUE(TRIM(LEFT(MID($A659,FIND("/",$A659)+1,20),FIND("/",MID($A659,FIND("/",$A659)+1,20))-1))),"")))</f>
        <v/>
      </c>
      <c r="D659">
        <f>IF(OR($A659="",$B659=""),"",IF(ISNUMBER($A659),MOD($A659,100),IFERROR(VALUE(TRIM(MID(MID($A659,FIND("/",$A659)+1,20),FIND("/",MID($A659,FIND("/",$A659)+1,20))+1,20))),"")))</f>
        <v/>
      </c>
      <c r="E659">
        <f>IF($A659="","",IF(OR($B659="",$C659="",$D659="",$B659&lt;1300,$B659&gt;1500,$C659&lt;1,$C659&gt;12,$D659&lt;1,$D659&gt;31),"نامعتبر",RIGHT("0000"&amp;$B659,4)&amp;"/"&amp;RIGHT("00"&amp;$C659,2)&amp;"/"&amp;RIGHT("00"&amp;$D659,2)))</f>
        <v/>
      </c>
      <c r="F659">
        <f>IF(OR($E659="",$E659="نامعتبر"),"",LEFT($E659,4)&amp;"/"&amp;MID($E659,6,2))</f>
        <v/>
      </c>
      <c r="G659">
        <f>IF(OR($E659="",$E659="نامعتبر",Sync!$Y656=""),"",Sync!$Y656)</f>
        <v/>
      </c>
      <c r="H659">
        <f>IF($G659="","",IF(Sync!$X656="","",Sync!$X656))</f>
        <v/>
      </c>
      <c r="I659">
        <f>IF($G659="","",IFERROR(VLOOKUP(Sync!$X656,OpTbl,3,0),""))</f>
        <v/>
      </c>
      <c r="J659">
        <f>IF(OR($G659="",Sync!$Z656=""),"",Sync!$Z656)</f>
        <v/>
      </c>
      <c r="K659">
        <f>IF(OR($G659="",Sync!$AA656=""),"",Sync!$AA656)</f>
        <v/>
      </c>
      <c r="L659">
        <f>IF($G659="",0,IF(Sync!$AB656="",0,Sync!$AB656))</f>
        <v/>
      </c>
      <c r="M659">
        <f>IF($G659="",0,IF(Sync!$AC656="",0,Sync!$AC656))</f>
        <v/>
      </c>
      <c r="N659">
        <f>IF($G659="","",IF($H659="مرجوعی خرید",-1,1)*($L659-$M659*IFERROR(VLOOKUP("P01",ParamTbl,3,0),1.5))*(1-IF($I659="خرید",IFERROR(VLOOKUP("P02",ParamTbl,3,0),1),0)/100))</f>
        <v/>
      </c>
      <c r="O659">
        <f>IF($G659="",0,IF($H659="مرجوعی خرید",-1,1)*IF(Sync!$AD656="",0,Sync!$AD656))</f>
        <v/>
      </c>
      <c r="P659">
        <f>IF(OR($G659="",Sync!$W656=""),"",Sync!$W656)</f>
        <v/>
      </c>
      <c r="Q659">
        <f>IF(OR($G659="",Sync!$AE656=""),"",Sync!$AE656)</f>
        <v/>
      </c>
      <c r="R659">
        <f>IF($G659="","",IF(Sync!$V656="","0000",IF(AND(ISNUMBER(Sync!$V656),Sync!$V656&gt;=0,Sync!$V656&lt;1),RIGHT("00"&amp;HOUR(Sync!$V656),2)&amp;RIGHT("00"&amp;MINUTE(Sync!$V656),2),IFERROR(RIGHT("00"&amp;VALUE(LEFT(Sync!$V656,FIND(":",Sync!$V656)-1)),2)&amp;RIGHT("00"&amp;VALUE(MID(Sync!$V656,FIND(":",Sync!$V656)+1,2)),2),"0000"))))</f>
        <v/>
      </c>
    </row>
    <row r="660">
      <c r="A660">
        <f>IF(Sync!$U657="","",Sync!$U657)</f>
        <v/>
      </c>
      <c r="B660">
        <f>IF($A660="","",IF(ISNUMBER($A660),IF(AND($A660&gt;=10000101,$A660&lt;=99991231),INT($A660/10000),""),IFERROR(VALUE(TRIM(LEFT($A660,FIND("/",$A660)-1))),"")))</f>
        <v/>
      </c>
      <c r="C660">
        <f>IF(OR($A660="",$B660=""),"",IF(ISNUMBER($A660),INT(MOD($A660,10000)/100),IFERROR(VALUE(TRIM(LEFT(MID($A660,FIND("/",$A660)+1,20),FIND("/",MID($A660,FIND("/",$A660)+1,20))-1))),"")))</f>
        <v/>
      </c>
      <c r="D660">
        <f>IF(OR($A660="",$B660=""),"",IF(ISNUMBER($A660),MOD($A660,100),IFERROR(VALUE(TRIM(MID(MID($A660,FIND("/",$A660)+1,20),FIND("/",MID($A660,FIND("/",$A660)+1,20))+1,20))),"")))</f>
        <v/>
      </c>
      <c r="E660">
        <f>IF($A660="","",IF(OR($B660="",$C660="",$D660="",$B660&lt;1300,$B660&gt;1500,$C660&lt;1,$C660&gt;12,$D660&lt;1,$D660&gt;31),"نامعتبر",RIGHT("0000"&amp;$B660,4)&amp;"/"&amp;RIGHT("00"&amp;$C660,2)&amp;"/"&amp;RIGHT("00"&amp;$D660,2)))</f>
        <v/>
      </c>
      <c r="F660">
        <f>IF(OR($E660="",$E660="نامعتبر"),"",LEFT($E660,4)&amp;"/"&amp;MID($E660,6,2))</f>
        <v/>
      </c>
      <c r="G660">
        <f>IF(OR($E660="",$E660="نامعتبر",Sync!$Y657=""),"",Sync!$Y657)</f>
        <v/>
      </c>
      <c r="H660">
        <f>IF($G660="","",IF(Sync!$X657="","",Sync!$X657))</f>
        <v/>
      </c>
      <c r="I660">
        <f>IF($G660="","",IFERROR(VLOOKUP(Sync!$X657,OpTbl,3,0),""))</f>
        <v/>
      </c>
      <c r="J660">
        <f>IF(OR($G660="",Sync!$Z657=""),"",Sync!$Z657)</f>
        <v/>
      </c>
      <c r="K660">
        <f>IF(OR($G660="",Sync!$AA657=""),"",Sync!$AA657)</f>
        <v/>
      </c>
      <c r="L660">
        <f>IF($G660="",0,IF(Sync!$AB657="",0,Sync!$AB657))</f>
        <v/>
      </c>
      <c r="M660">
        <f>IF($G660="",0,IF(Sync!$AC657="",0,Sync!$AC657))</f>
        <v/>
      </c>
      <c r="N660">
        <f>IF($G660="","",IF($H660="مرجوعی خرید",-1,1)*($L660-$M660*IFERROR(VLOOKUP("P01",ParamTbl,3,0),1.5))*(1-IF($I660="خرید",IFERROR(VLOOKUP("P02",ParamTbl,3,0),1),0)/100))</f>
        <v/>
      </c>
      <c r="O660">
        <f>IF($G660="",0,IF($H660="مرجوعی خرید",-1,1)*IF(Sync!$AD657="",0,Sync!$AD657))</f>
        <v/>
      </c>
      <c r="P660">
        <f>IF(OR($G660="",Sync!$W657=""),"",Sync!$W657)</f>
        <v/>
      </c>
      <c r="Q660">
        <f>IF(OR($G660="",Sync!$AE657=""),"",Sync!$AE657)</f>
        <v/>
      </c>
      <c r="R660">
        <f>IF($G660="","",IF(Sync!$V657="","0000",IF(AND(ISNUMBER(Sync!$V657),Sync!$V657&gt;=0,Sync!$V657&lt;1),RIGHT("00"&amp;HOUR(Sync!$V657),2)&amp;RIGHT("00"&amp;MINUTE(Sync!$V657),2),IFERROR(RIGHT("00"&amp;VALUE(LEFT(Sync!$V657,FIND(":",Sync!$V657)-1)),2)&amp;RIGHT("00"&amp;VALUE(MID(Sync!$V657,FIND(":",Sync!$V657)+1,2)),2),"0000"))))</f>
        <v/>
      </c>
    </row>
    <row r="661">
      <c r="A661">
        <f>IF(Sync!$U658="","",Sync!$U658)</f>
        <v/>
      </c>
      <c r="B661">
        <f>IF($A661="","",IF(ISNUMBER($A661),IF(AND($A661&gt;=10000101,$A661&lt;=99991231),INT($A661/10000),""),IFERROR(VALUE(TRIM(LEFT($A661,FIND("/",$A661)-1))),"")))</f>
        <v/>
      </c>
      <c r="C661">
        <f>IF(OR($A661="",$B661=""),"",IF(ISNUMBER($A661),INT(MOD($A661,10000)/100),IFERROR(VALUE(TRIM(LEFT(MID($A661,FIND("/",$A661)+1,20),FIND("/",MID($A661,FIND("/",$A661)+1,20))-1))),"")))</f>
        <v/>
      </c>
      <c r="D661">
        <f>IF(OR($A661="",$B661=""),"",IF(ISNUMBER($A661),MOD($A661,100),IFERROR(VALUE(TRIM(MID(MID($A661,FIND("/",$A661)+1,20),FIND("/",MID($A661,FIND("/",$A661)+1,20))+1,20))),"")))</f>
        <v/>
      </c>
      <c r="E661">
        <f>IF($A661="","",IF(OR($B661="",$C661="",$D661="",$B661&lt;1300,$B661&gt;1500,$C661&lt;1,$C661&gt;12,$D661&lt;1,$D661&gt;31),"نامعتبر",RIGHT("0000"&amp;$B661,4)&amp;"/"&amp;RIGHT("00"&amp;$C661,2)&amp;"/"&amp;RIGHT("00"&amp;$D661,2)))</f>
        <v/>
      </c>
      <c r="F661">
        <f>IF(OR($E661="",$E661="نامعتبر"),"",LEFT($E661,4)&amp;"/"&amp;MID($E661,6,2))</f>
        <v/>
      </c>
      <c r="G661">
        <f>IF(OR($E661="",$E661="نامعتبر",Sync!$Y658=""),"",Sync!$Y658)</f>
        <v/>
      </c>
      <c r="H661">
        <f>IF($G661="","",IF(Sync!$X658="","",Sync!$X658))</f>
        <v/>
      </c>
      <c r="I661">
        <f>IF($G661="","",IFERROR(VLOOKUP(Sync!$X658,OpTbl,3,0),""))</f>
        <v/>
      </c>
      <c r="J661">
        <f>IF(OR($G661="",Sync!$Z658=""),"",Sync!$Z658)</f>
        <v/>
      </c>
      <c r="K661">
        <f>IF(OR($G661="",Sync!$AA658=""),"",Sync!$AA658)</f>
        <v/>
      </c>
      <c r="L661">
        <f>IF($G661="",0,IF(Sync!$AB658="",0,Sync!$AB658))</f>
        <v/>
      </c>
      <c r="M661">
        <f>IF($G661="",0,IF(Sync!$AC658="",0,Sync!$AC658))</f>
        <v/>
      </c>
      <c r="N661">
        <f>IF($G661="","",IF($H661="مرجوعی خرید",-1,1)*($L661-$M661*IFERROR(VLOOKUP("P01",ParamTbl,3,0),1.5))*(1-IF($I661="خرید",IFERROR(VLOOKUP("P02",ParamTbl,3,0),1),0)/100))</f>
        <v/>
      </c>
      <c r="O661">
        <f>IF($G661="",0,IF($H661="مرجوعی خرید",-1,1)*IF(Sync!$AD658="",0,Sync!$AD658))</f>
        <v/>
      </c>
      <c r="P661">
        <f>IF(OR($G661="",Sync!$W658=""),"",Sync!$W658)</f>
        <v/>
      </c>
      <c r="Q661">
        <f>IF(OR($G661="",Sync!$AE658=""),"",Sync!$AE658)</f>
        <v/>
      </c>
      <c r="R661">
        <f>IF($G661="","",IF(Sync!$V658="","0000",IF(AND(ISNUMBER(Sync!$V658),Sync!$V658&gt;=0,Sync!$V658&lt;1),RIGHT("00"&amp;HOUR(Sync!$V658),2)&amp;RIGHT("00"&amp;MINUTE(Sync!$V658),2),IFERROR(RIGHT("00"&amp;VALUE(LEFT(Sync!$V658,FIND(":",Sync!$V658)-1)),2)&amp;RIGHT("00"&amp;VALUE(MID(Sync!$V658,FIND(":",Sync!$V658)+1,2)),2),"0000"))))</f>
        <v/>
      </c>
    </row>
    <row r="662">
      <c r="A662">
        <f>IF(Sync!$U659="","",Sync!$U659)</f>
        <v/>
      </c>
      <c r="B662">
        <f>IF($A662="","",IF(ISNUMBER($A662),IF(AND($A662&gt;=10000101,$A662&lt;=99991231),INT($A662/10000),""),IFERROR(VALUE(TRIM(LEFT($A662,FIND("/",$A662)-1))),"")))</f>
        <v/>
      </c>
      <c r="C662">
        <f>IF(OR($A662="",$B662=""),"",IF(ISNUMBER($A662),INT(MOD($A662,10000)/100),IFERROR(VALUE(TRIM(LEFT(MID($A662,FIND("/",$A662)+1,20),FIND("/",MID($A662,FIND("/",$A662)+1,20))-1))),"")))</f>
        <v/>
      </c>
      <c r="D662">
        <f>IF(OR($A662="",$B662=""),"",IF(ISNUMBER($A662),MOD($A662,100),IFERROR(VALUE(TRIM(MID(MID($A662,FIND("/",$A662)+1,20),FIND("/",MID($A662,FIND("/",$A662)+1,20))+1,20))),"")))</f>
        <v/>
      </c>
      <c r="E662">
        <f>IF($A662="","",IF(OR($B662="",$C662="",$D662="",$B662&lt;1300,$B662&gt;1500,$C662&lt;1,$C662&gt;12,$D662&lt;1,$D662&gt;31),"نامعتبر",RIGHT("0000"&amp;$B662,4)&amp;"/"&amp;RIGHT("00"&amp;$C662,2)&amp;"/"&amp;RIGHT("00"&amp;$D662,2)))</f>
        <v/>
      </c>
      <c r="F662">
        <f>IF(OR($E662="",$E662="نامعتبر"),"",LEFT($E662,4)&amp;"/"&amp;MID($E662,6,2))</f>
        <v/>
      </c>
      <c r="G662">
        <f>IF(OR($E662="",$E662="نامعتبر",Sync!$Y659=""),"",Sync!$Y659)</f>
        <v/>
      </c>
      <c r="H662">
        <f>IF($G662="","",IF(Sync!$X659="","",Sync!$X659))</f>
        <v/>
      </c>
      <c r="I662">
        <f>IF($G662="","",IFERROR(VLOOKUP(Sync!$X659,OpTbl,3,0),""))</f>
        <v/>
      </c>
      <c r="J662">
        <f>IF(OR($G662="",Sync!$Z659=""),"",Sync!$Z659)</f>
        <v/>
      </c>
      <c r="K662">
        <f>IF(OR($G662="",Sync!$AA659=""),"",Sync!$AA659)</f>
        <v/>
      </c>
      <c r="L662">
        <f>IF($G662="",0,IF(Sync!$AB659="",0,Sync!$AB659))</f>
        <v/>
      </c>
      <c r="M662">
        <f>IF($G662="",0,IF(Sync!$AC659="",0,Sync!$AC659))</f>
        <v/>
      </c>
      <c r="N662">
        <f>IF($G662="","",IF($H662="مرجوعی خرید",-1,1)*($L662-$M662*IFERROR(VLOOKUP("P01",ParamTbl,3,0),1.5))*(1-IF($I662="خرید",IFERROR(VLOOKUP("P02",ParamTbl,3,0),1),0)/100))</f>
        <v/>
      </c>
      <c r="O662">
        <f>IF($G662="",0,IF($H662="مرجوعی خرید",-1,1)*IF(Sync!$AD659="",0,Sync!$AD659))</f>
        <v/>
      </c>
      <c r="P662">
        <f>IF(OR($G662="",Sync!$W659=""),"",Sync!$W659)</f>
        <v/>
      </c>
      <c r="Q662">
        <f>IF(OR($G662="",Sync!$AE659=""),"",Sync!$AE659)</f>
        <v/>
      </c>
      <c r="R662">
        <f>IF($G662="","",IF(Sync!$V659="","0000",IF(AND(ISNUMBER(Sync!$V659),Sync!$V659&gt;=0,Sync!$V659&lt;1),RIGHT("00"&amp;HOUR(Sync!$V659),2)&amp;RIGHT("00"&amp;MINUTE(Sync!$V659),2),IFERROR(RIGHT("00"&amp;VALUE(LEFT(Sync!$V659,FIND(":",Sync!$V659)-1)),2)&amp;RIGHT("00"&amp;VALUE(MID(Sync!$V659,FIND(":",Sync!$V659)+1,2)),2),"0000"))))</f>
        <v/>
      </c>
    </row>
    <row r="663">
      <c r="A663">
        <f>IF(Sync!$U660="","",Sync!$U660)</f>
        <v/>
      </c>
      <c r="B663">
        <f>IF($A663="","",IF(ISNUMBER($A663),IF(AND($A663&gt;=10000101,$A663&lt;=99991231),INT($A663/10000),""),IFERROR(VALUE(TRIM(LEFT($A663,FIND("/",$A663)-1))),"")))</f>
        <v/>
      </c>
      <c r="C663">
        <f>IF(OR($A663="",$B663=""),"",IF(ISNUMBER($A663),INT(MOD($A663,10000)/100),IFERROR(VALUE(TRIM(LEFT(MID($A663,FIND("/",$A663)+1,20),FIND("/",MID($A663,FIND("/",$A663)+1,20))-1))),"")))</f>
        <v/>
      </c>
      <c r="D663">
        <f>IF(OR($A663="",$B663=""),"",IF(ISNUMBER($A663),MOD($A663,100),IFERROR(VALUE(TRIM(MID(MID($A663,FIND("/",$A663)+1,20),FIND("/",MID($A663,FIND("/",$A663)+1,20))+1,20))),"")))</f>
        <v/>
      </c>
      <c r="E663">
        <f>IF($A663="","",IF(OR($B663="",$C663="",$D663="",$B663&lt;1300,$B663&gt;1500,$C663&lt;1,$C663&gt;12,$D663&lt;1,$D663&gt;31),"نامعتبر",RIGHT("0000"&amp;$B663,4)&amp;"/"&amp;RIGHT("00"&amp;$C663,2)&amp;"/"&amp;RIGHT("00"&amp;$D663,2)))</f>
        <v/>
      </c>
      <c r="F663">
        <f>IF(OR($E663="",$E663="نامعتبر"),"",LEFT($E663,4)&amp;"/"&amp;MID($E663,6,2))</f>
        <v/>
      </c>
      <c r="G663">
        <f>IF(OR($E663="",$E663="نامعتبر",Sync!$Y660=""),"",Sync!$Y660)</f>
        <v/>
      </c>
      <c r="H663">
        <f>IF($G663="","",IF(Sync!$X660="","",Sync!$X660))</f>
        <v/>
      </c>
      <c r="I663">
        <f>IF($G663="","",IFERROR(VLOOKUP(Sync!$X660,OpTbl,3,0),""))</f>
        <v/>
      </c>
      <c r="J663">
        <f>IF(OR($G663="",Sync!$Z660=""),"",Sync!$Z660)</f>
        <v/>
      </c>
      <c r="K663">
        <f>IF(OR($G663="",Sync!$AA660=""),"",Sync!$AA660)</f>
        <v/>
      </c>
      <c r="L663">
        <f>IF($G663="",0,IF(Sync!$AB660="",0,Sync!$AB660))</f>
        <v/>
      </c>
      <c r="M663">
        <f>IF($G663="",0,IF(Sync!$AC660="",0,Sync!$AC660))</f>
        <v/>
      </c>
      <c r="N663">
        <f>IF($G663="","",IF($H663="مرجوعی خرید",-1,1)*($L663-$M663*IFERROR(VLOOKUP("P01",ParamTbl,3,0),1.5))*(1-IF($I663="خرید",IFERROR(VLOOKUP("P02",ParamTbl,3,0),1),0)/100))</f>
        <v/>
      </c>
      <c r="O663">
        <f>IF($G663="",0,IF($H663="مرجوعی خرید",-1,1)*IF(Sync!$AD660="",0,Sync!$AD660))</f>
        <v/>
      </c>
      <c r="P663">
        <f>IF(OR($G663="",Sync!$W660=""),"",Sync!$W660)</f>
        <v/>
      </c>
      <c r="Q663">
        <f>IF(OR($G663="",Sync!$AE660=""),"",Sync!$AE660)</f>
        <v/>
      </c>
      <c r="R663">
        <f>IF($G663="","",IF(Sync!$V660="","0000",IF(AND(ISNUMBER(Sync!$V660),Sync!$V660&gt;=0,Sync!$V660&lt;1),RIGHT("00"&amp;HOUR(Sync!$V660),2)&amp;RIGHT("00"&amp;MINUTE(Sync!$V660),2),IFERROR(RIGHT("00"&amp;VALUE(LEFT(Sync!$V660,FIND(":",Sync!$V660)-1)),2)&amp;RIGHT("00"&amp;VALUE(MID(Sync!$V660,FIND(":",Sync!$V660)+1,2)),2),"0000"))))</f>
        <v/>
      </c>
    </row>
    <row r="664">
      <c r="A664">
        <f>IF(Sync!$U661="","",Sync!$U661)</f>
        <v/>
      </c>
      <c r="B664">
        <f>IF($A664="","",IF(ISNUMBER($A664),IF(AND($A664&gt;=10000101,$A664&lt;=99991231),INT($A664/10000),""),IFERROR(VALUE(TRIM(LEFT($A664,FIND("/",$A664)-1))),"")))</f>
        <v/>
      </c>
      <c r="C664">
        <f>IF(OR($A664="",$B664=""),"",IF(ISNUMBER($A664),INT(MOD($A664,10000)/100),IFERROR(VALUE(TRIM(LEFT(MID($A664,FIND("/",$A664)+1,20),FIND("/",MID($A664,FIND("/",$A664)+1,20))-1))),"")))</f>
        <v/>
      </c>
      <c r="D664">
        <f>IF(OR($A664="",$B664=""),"",IF(ISNUMBER($A664),MOD($A664,100),IFERROR(VALUE(TRIM(MID(MID($A664,FIND("/",$A664)+1,20),FIND("/",MID($A664,FIND("/",$A664)+1,20))+1,20))),"")))</f>
        <v/>
      </c>
      <c r="E664">
        <f>IF($A664="","",IF(OR($B664="",$C664="",$D664="",$B664&lt;1300,$B664&gt;1500,$C664&lt;1,$C664&gt;12,$D664&lt;1,$D664&gt;31),"نامعتبر",RIGHT("0000"&amp;$B664,4)&amp;"/"&amp;RIGHT("00"&amp;$C664,2)&amp;"/"&amp;RIGHT("00"&amp;$D664,2)))</f>
        <v/>
      </c>
      <c r="F664">
        <f>IF(OR($E664="",$E664="نامعتبر"),"",LEFT($E664,4)&amp;"/"&amp;MID($E664,6,2))</f>
        <v/>
      </c>
      <c r="G664">
        <f>IF(OR($E664="",$E664="نامعتبر",Sync!$Y661=""),"",Sync!$Y661)</f>
        <v/>
      </c>
      <c r="H664">
        <f>IF($G664="","",IF(Sync!$X661="","",Sync!$X661))</f>
        <v/>
      </c>
      <c r="I664">
        <f>IF($G664="","",IFERROR(VLOOKUP(Sync!$X661,OpTbl,3,0),""))</f>
        <v/>
      </c>
      <c r="J664">
        <f>IF(OR($G664="",Sync!$Z661=""),"",Sync!$Z661)</f>
        <v/>
      </c>
      <c r="K664">
        <f>IF(OR($G664="",Sync!$AA661=""),"",Sync!$AA661)</f>
        <v/>
      </c>
      <c r="L664">
        <f>IF($G664="",0,IF(Sync!$AB661="",0,Sync!$AB661))</f>
        <v/>
      </c>
      <c r="M664">
        <f>IF($G664="",0,IF(Sync!$AC661="",0,Sync!$AC661))</f>
        <v/>
      </c>
      <c r="N664">
        <f>IF($G664="","",IF($H664="مرجوعی خرید",-1,1)*($L664-$M664*IFERROR(VLOOKUP("P01",ParamTbl,3,0),1.5))*(1-IF($I664="خرید",IFERROR(VLOOKUP("P02",ParamTbl,3,0),1),0)/100))</f>
        <v/>
      </c>
      <c r="O664">
        <f>IF($G664="",0,IF($H664="مرجوعی خرید",-1,1)*IF(Sync!$AD661="",0,Sync!$AD661))</f>
        <v/>
      </c>
      <c r="P664">
        <f>IF(OR($G664="",Sync!$W661=""),"",Sync!$W661)</f>
        <v/>
      </c>
      <c r="Q664">
        <f>IF(OR($G664="",Sync!$AE661=""),"",Sync!$AE661)</f>
        <v/>
      </c>
      <c r="R664">
        <f>IF($G664="","",IF(Sync!$V661="","0000",IF(AND(ISNUMBER(Sync!$V661),Sync!$V661&gt;=0,Sync!$V661&lt;1),RIGHT("00"&amp;HOUR(Sync!$V661),2)&amp;RIGHT("00"&amp;MINUTE(Sync!$V661),2),IFERROR(RIGHT("00"&amp;VALUE(LEFT(Sync!$V661,FIND(":",Sync!$V661)-1)),2)&amp;RIGHT("00"&amp;VALUE(MID(Sync!$V661,FIND(":",Sync!$V661)+1,2)),2),"0000"))))</f>
        <v/>
      </c>
    </row>
    <row r="665">
      <c r="A665">
        <f>IF(Sync!$U662="","",Sync!$U662)</f>
        <v/>
      </c>
      <c r="B665">
        <f>IF($A665="","",IF(ISNUMBER($A665),IF(AND($A665&gt;=10000101,$A665&lt;=99991231),INT($A665/10000),""),IFERROR(VALUE(TRIM(LEFT($A665,FIND("/",$A665)-1))),"")))</f>
        <v/>
      </c>
      <c r="C665">
        <f>IF(OR($A665="",$B665=""),"",IF(ISNUMBER($A665),INT(MOD($A665,10000)/100),IFERROR(VALUE(TRIM(LEFT(MID($A665,FIND("/",$A665)+1,20),FIND("/",MID($A665,FIND("/",$A665)+1,20))-1))),"")))</f>
        <v/>
      </c>
      <c r="D665">
        <f>IF(OR($A665="",$B665=""),"",IF(ISNUMBER($A665),MOD($A665,100),IFERROR(VALUE(TRIM(MID(MID($A665,FIND("/",$A665)+1,20),FIND("/",MID($A665,FIND("/",$A665)+1,20))+1,20))),"")))</f>
        <v/>
      </c>
      <c r="E665">
        <f>IF($A665="","",IF(OR($B665="",$C665="",$D665="",$B665&lt;1300,$B665&gt;1500,$C665&lt;1,$C665&gt;12,$D665&lt;1,$D665&gt;31),"نامعتبر",RIGHT("0000"&amp;$B665,4)&amp;"/"&amp;RIGHT("00"&amp;$C665,2)&amp;"/"&amp;RIGHT("00"&amp;$D665,2)))</f>
        <v/>
      </c>
      <c r="F665">
        <f>IF(OR($E665="",$E665="نامعتبر"),"",LEFT($E665,4)&amp;"/"&amp;MID($E665,6,2))</f>
        <v/>
      </c>
      <c r="G665">
        <f>IF(OR($E665="",$E665="نامعتبر",Sync!$Y662=""),"",Sync!$Y662)</f>
        <v/>
      </c>
      <c r="H665">
        <f>IF($G665="","",IF(Sync!$X662="","",Sync!$X662))</f>
        <v/>
      </c>
      <c r="I665">
        <f>IF($G665="","",IFERROR(VLOOKUP(Sync!$X662,OpTbl,3,0),""))</f>
        <v/>
      </c>
      <c r="J665">
        <f>IF(OR($G665="",Sync!$Z662=""),"",Sync!$Z662)</f>
        <v/>
      </c>
      <c r="K665">
        <f>IF(OR($G665="",Sync!$AA662=""),"",Sync!$AA662)</f>
        <v/>
      </c>
      <c r="L665">
        <f>IF($G665="",0,IF(Sync!$AB662="",0,Sync!$AB662))</f>
        <v/>
      </c>
      <c r="M665">
        <f>IF($G665="",0,IF(Sync!$AC662="",0,Sync!$AC662))</f>
        <v/>
      </c>
      <c r="N665">
        <f>IF($G665="","",IF($H665="مرجوعی خرید",-1,1)*($L665-$M665*IFERROR(VLOOKUP("P01",ParamTbl,3,0),1.5))*(1-IF($I665="خرید",IFERROR(VLOOKUP("P02",ParamTbl,3,0),1),0)/100))</f>
        <v/>
      </c>
      <c r="O665">
        <f>IF($G665="",0,IF($H665="مرجوعی خرید",-1,1)*IF(Sync!$AD662="",0,Sync!$AD662))</f>
        <v/>
      </c>
      <c r="P665">
        <f>IF(OR($G665="",Sync!$W662=""),"",Sync!$W662)</f>
        <v/>
      </c>
      <c r="Q665">
        <f>IF(OR($G665="",Sync!$AE662=""),"",Sync!$AE662)</f>
        <v/>
      </c>
      <c r="R665">
        <f>IF($G665="","",IF(Sync!$V662="","0000",IF(AND(ISNUMBER(Sync!$V662),Sync!$V662&gt;=0,Sync!$V662&lt;1),RIGHT("00"&amp;HOUR(Sync!$V662),2)&amp;RIGHT("00"&amp;MINUTE(Sync!$V662),2),IFERROR(RIGHT("00"&amp;VALUE(LEFT(Sync!$V662,FIND(":",Sync!$V662)-1)),2)&amp;RIGHT("00"&amp;VALUE(MID(Sync!$V662,FIND(":",Sync!$V662)+1,2)),2),"0000"))))</f>
        <v/>
      </c>
    </row>
    <row r="666">
      <c r="A666">
        <f>IF(Sync!$U663="","",Sync!$U663)</f>
        <v/>
      </c>
      <c r="B666">
        <f>IF($A666="","",IF(ISNUMBER($A666),IF(AND($A666&gt;=10000101,$A666&lt;=99991231),INT($A666/10000),""),IFERROR(VALUE(TRIM(LEFT($A666,FIND("/",$A666)-1))),"")))</f>
        <v/>
      </c>
      <c r="C666">
        <f>IF(OR($A666="",$B666=""),"",IF(ISNUMBER($A666),INT(MOD($A666,10000)/100),IFERROR(VALUE(TRIM(LEFT(MID($A666,FIND("/",$A666)+1,20),FIND("/",MID($A666,FIND("/",$A666)+1,20))-1))),"")))</f>
        <v/>
      </c>
      <c r="D666">
        <f>IF(OR($A666="",$B666=""),"",IF(ISNUMBER($A666),MOD($A666,100),IFERROR(VALUE(TRIM(MID(MID($A666,FIND("/",$A666)+1,20),FIND("/",MID($A666,FIND("/",$A666)+1,20))+1,20))),"")))</f>
        <v/>
      </c>
      <c r="E666">
        <f>IF($A666="","",IF(OR($B666="",$C666="",$D666="",$B666&lt;1300,$B666&gt;1500,$C666&lt;1,$C666&gt;12,$D666&lt;1,$D666&gt;31),"نامعتبر",RIGHT("0000"&amp;$B666,4)&amp;"/"&amp;RIGHT("00"&amp;$C666,2)&amp;"/"&amp;RIGHT("00"&amp;$D666,2)))</f>
        <v/>
      </c>
      <c r="F666">
        <f>IF(OR($E666="",$E666="نامعتبر"),"",LEFT($E666,4)&amp;"/"&amp;MID($E666,6,2))</f>
        <v/>
      </c>
      <c r="G666">
        <f>IF(OR($E666="",$E666="نامعتبر",Sync!$Y663=""),"",Sync!$Y663)</f>
        <v/>
      </c>
      <c r="H666">
        <f>IF($G666="","",IF(Sync!$X663="","",Sync!$X663))</f>
        <v/>
      </c>
      <c r="I666">
        <f>IF($G666="","",IFERROR(VLOOKUP(Sync!$X663,OpTbl,3,0),""))</f>
        <v/>
      </c>
      <c r="J666">
        <f>IF(OR($G666="",Sync!$Z663=""),"",Sync!$Z663)</f>
        <v/>
      </c>
      <c r="K666">
        <f>IF(OR($G666="",Sync!$AA663=""),"",Sync!$AA663)</f>
        <v/>
      </c>
      <c r="L666">
        <f>IF($G666="",0,IF(Sync!$AB663="",0,Sync!$AB663))</f>
        <v/>
      </c>
      <c r="M666">
        <f>IF($G666="",0,IF(Sync!$AC663="",0,Sync!$AC663))</f>
        <v/>
      </c>
      <c r="N666">
        <f>IF($G666="","",IF($H666="مرجوعی خرید",-1,1)*($L666-$M666*IFERROR(VLOOKUP("P01",ParamTbl,3,0),1.5))*(1-IF($I666="خرید",IFERROR(VLOOKUP("P02",ParamTbl,3,0),1),0)/100))</f>
        <v/>
      </c>
      <c r="O666">
        <f>IF($G666="",0,IF($H666="مرجوعی خرید",-1,1)*IF(Sync!$AD663="",0,Sync!$AD663))</f>
        <v/>
      </c>
      <c r="P666">
        <f>IF(OR($G666="",Sync!$W663=""),"",Sync!$W663)</f>
        <v/>
      </c>
      <c r="Q666">
        <f>IF(OR($G666="",Sync!$AE663=""),"",Sync!$AE663)</f>
        <v/>
      </c>
      <c r="R666">
        <f>IF($G666="","",IF(Sync!$V663="","0000",IF(AND(ISNUMBER(Sync!$V663),Sync!$V663&gt;=0,Sync!$V663&lt;1),RIGHT("00"&amp;HOUR(Sync!$V663),2)&amp;RIGHT("00"&amp;MINUTE(Sync!$V663),2),IFERROR(RIGHT("00"&amp;VALUE(LEFT(Sync!$V663,FIND(":",Sync!$V663)-1)),2)&amp;RIGHT("00"&amp;VALUE(MID(Sync!$V663,FIND(":",Sync!$V663)+1,2)),2),"0000"))))</f>
        <v/>
      </c>
    </row>
    <row r="667">
      <c r="A667">
        <f>IF(Sync!$U664="","",Sync!$U664)</f>
        <v/>
      </c>
      <c r="B667">
        <f>IF($A667="","",IF(ISNUMBER($A667),IF(AND($A667&gt;=10000101,$A667&lt;=99991231),INT($A667/10000),""),IFERROR(VALUE(TRIM(LEFT($A667,FIND("/",$A667)-1))),"")))</f>
        <v/>
      </c>
      <c r="C667">
        <f>IF(OR($A667="",$B667=""),"",IF(ISNUMBER($A667),INT(MOD($A667,10000)/100),IFERROR(VALUE(TRIM(LEFT(MID($A667,FIND("/",$A667)+1,20),FIND("/",MID($A667,FIND("/",$A667)+1,20))-1))),"")))</f>
        <v/>
      </c>
      <c r="D667">
        <f>IF(OR($A667="",$B667=""),"",IF(ISNUMBER($A667),MOD($A667,100),IFERROR(VALUE(TRIM(MID(MID($A667,FIND("/",$A667)+1,20),FIND("/",MID($A667,FIND("/",$A667)+1,20))+1,20))),"")))</f>
        <v/>
      </c>
      <c r="E667">
        <f>IF($A667="","",IF(OR($B667="",$C667="",$D667="",$B667&lt;1300,$B667&gt;1500,$C667&lt;1,$C667&gt;12,$D667&lt;1,$D667&gt;31),"نامعتبر",RIGHT("0000"&amp;$B667,4)&amp;"/"&amp;RIGHT("00"&amp;$C667,2)&amp;"/"&amp;RIGHT("00"&amp;$D667,2)))</f>
        <v/>
      </c>
      <c r="F667">
        <f>IF(OR($E667="",$E667="نامعتبر"),"",LEFT($E667,4)&amp;"/"&amp;MID($E667,6,2))</f>
        <v/>
      </c>
      <c r="G667">
        <f>IF(OR($E667="",$E667="نامعتبر",Sync!$Y664=""),"",Sync!$Y664)</f>
        <v/>
      </c>
      <c r="H667">
        <f>IF($G667="","",IF(Sync!$X664="","",Sync!$X664))</f>
        <v/>
      </c>
      <c r="I667">
        <f>IF($G667="","",IFERROR(VLOOKUP(Sync!$X664,OpTbl,3,0),""))</f>
        <v/>
      </c>
      <c r="J667">
        <f>IF(OR($G667="",Sync!$Z664=""),"",Sync!$Z664)</f>
        <v/>
      </c>
      <c r="K667">
        <f>IF(OR($G667="",Sync!$AA664=""),"",Sync!$AA664)</f>
        <v/>
      </c>
      <c r="L667">
        <f>IF($G667="",0,IF(Sync!$AB664="",0,Sync!$AB664))</f>
        <v/>
      </c>
      <c r="M667">
        <f>IF($G667="",0,IF(Sync!$AC664="",0,Sync!$AC664))</f>
        <v/>
      </c>
      <c r="N667">
        <f>IF($G667="","",IF($H667="مرجوعی خرید",-1,1)*($L667-$M667*IFERROR(VLOOKUP("P01",ParamTbl,3,0),1.5))*(1-IF($I667="خرید",IFERROR(VLOOKUP("P02",ParamTbl,3,0),1),0)/100))</f>
        <v/>
      </c>
      <c r="O667">
        <f>IF($G667="",0,IF($H667="مرجوعی خرید",-1,1)*IF(Sync!$AD664="",0,Sync!$AD664))</f>
        <v/>
      </c>
      <c r="P667">
        <f>IF(OR($G667="",Sync!$W664=""),"",Sync!$W664)</f>
        <v/>
      </c>
      <c r="Q667">
        <f>IF(OR($G667="",Sync!$AE664=""),"",Sync!$AE664)</f>
        <v/>
      </c>
      <c r="R667">
        <f>IF($G667="","",IF(Sync!$V664="","0000",IF(AND(ISNUMBER(Sync!$V664),Sync!$V664&gt;=0,Sync!$V664&lt;1),RIGHT("00"&amp;HOUR(Sync!$V664),2)&amp;RIGHT("00"&amp;MINUTE(Sync!$V664),2),IFERROR(RIGHT("00"&amp;VALUE(LEFT(Sync!$V664,FIND(":",Sync!$V664)-1)),2)&amp;RIGHT("00"&amp;VALUE(MID(Sync!$V664,FIND(":",Sync!$V664)+1,2)),2),"0000"))))</f>
        <v/>
      </c>
    </row>
    <row r="668">
      <c r="A668">
        <f>IF(Sync!$U665="","",Sync!$U665)</f>
        <v/>
      </c>
      <c r="B668">
        <f>IF($A668="","",IF(ISNUMBER($A668),IF(AND($A668&gt;=10000101,$A668&lt;=99991231),INT($A668/10000),""),IFERROR(VALUE(TRIM(LEFT($A668,FIND("/",$A668)-1))),"")))</f>
        <v/>
      </c>
      <c r="C668">
        <f>IF(OR($A668="",$B668=""),"",IF(ISNUMBER($A668),INT(MOD($A668,10000)/100),IFERROR(VALUE(TRIM(LEFT(MID($A668,FIND("/",$A668)+1,20),FIND("/",MID($A668,FIND("/",$A668)+1,20))-1))),"")))</f>
        <v/>
      </c>
      <c r="D668">
        <f>IF(OR($A668="",$B668=""),"",IF(ISNUMBER($A668),MOD($A668,100),IFERROR(VALUE(TRIM(MID(MID($A668,FIND("/",$A668)+1,20),FIND("/",MID($A668,FIND("/",$A668)+1,20))+1,20))),"")))</f>
        <v/>
      </c>
      <c r="E668">
        <f>IF($A668="","",IF(OR($B668="",$C668="",$D668="",$B668&lt;1300,$B668&gt;1500,$C668&lt;1,$C668&gt;12,$D668&lt;1,$D668&gt;31),"نامعتبر",RIGHT("0000"&amp;$B668,4)&amp;"/"&amp;RIGHT("00"&amp;$C668,2)&amp;"/"&amp;RIGHT("00"&amp;$D668,2)))</f>
        <v/>
      </c>
      <c r="F668">
        <f>IF(OR($E668="",$E668="نامعتبر"),"",LEFT($E668,4)&amp;"/"&amp;MID($E668,6,2))</f>
        <v/>
      </c>
      <c r="G668">
        <f>IF(OR($E668="",$E668="نامعتبر",Sync!$Y665=""),"",Sync!$Y665)</f>
        <v/>
      </c>
      <c r="H668">
        <f>IF($G668="","",IF(Sync!$X665="","",Sync!$X665))</f>
        <v/>
      </c>
      <c r="I668">
        <f>IF($G668="","",IFERROR(VLOOKUP(Sync!$X665,OpTbl,3,0),""))</f>
        <v/>
      </c>
      <c r="J668">
        <f>IF(OR($G668="",Sync!$Z665=""),"",Sync!$Z665)</f>
        <v/>
      </c>
      <c r="K668">
        <f>IF(OR($G668="",Sync!$AA665=""),"",Sync!$AA665)</f>
        <v/>
      </c>
      <c r="L668">
        <f>IF($G668="",0,IF(Sync!$AB665="",0,Sync!$AB665))</f>
        <v/>
      </c>
      <c r="M668">
        <f>IF($G668="",0,IF(Sync!$AC665="",0,Sync!$AC665))</f>
        <v/>
      </c>
      <c r="N668">
        <f>IF($G668="","",IF($H668="مرجوعی خرید",-1,1)*($L668-$M668*IFERROR(VLOOKUP("P01",ParamTbl,3,0),1.5))*(1-IF($I668="خرید",IFERROR(VLOOKUP("P02",ParamTbl,3,0),1),0)/100))</f>
        <v/>
      </c>
      <c r="O668">
        <f>IF($G668="",0,IF($H668="مرجوعی خرید",-1,1)*IF(Sync!$AD665="",0,Sync!$AD665))</f>
        <v/>
      </c>
      <c r="P668">
        <f>IF(OR($G668="",Sync!$W665=""),"",Sync!$W665)</f>
        <v/>
      </c>
      <c r="Q668">
        <f>IF(OR($G668="",Sync!$AE665=""),"",Sync!$AE665)</f>
        <v/>
      </c>
      <c r="R668">
        <f>IF($G668="","",IF(Sync!$V665="","0000",IF(AND(ISNUMBER(Sync!$V665),Sync!$V665&gt;=0,Sync!$V665&lt;1),RIGHT("00"&amp;HOUR(Sync!$V665),2)&amp;RIGHT("00"&amp;MINUTE(Sync!$V665),2),IFERROR(RIGHT("00"&amp;VALUE(LEFT(Sync!$V665,FIND(":",Sync!$V665)-1)),2)&amp;RIGHT("00"&amp;VALUE(MID(Sync!$V665,FIND(":",Sync!$V665)+1,2)),2),"0000"))))</f>
        <v/>
      </c>
    </row>
    <row r="669">
      <c r="A669">
        <f>IF(Sync!$U666="","",Sync!$U666)</f>
        <v/>
      </c>
      <c r="B669">
        <f>IF($A669="","",IF(ISNUMBER($A669),IF(AND($A669&gt;=10000101,$A669&lt;=99991231),INT($A669/10000),""),IFERROR(VALUE(TRIM(LEFT($A669,FIND("/",$A669)-1))),"")))</f>
        <v/>
      </c>
      <c r="C669">
        <f>IF(OR($A669="",$B669=""),"",IF(ISNUMBER($A669),INT(MOD($A669,10000)/100),IFERROR(VALUE(TRIM(LEFT(MID($A669,FIND("/",$A669)+1,20),FIND("/",MID($A669,FIND("/",$A669)+1,20))-1))),"")))</f>
        <v/>
      </c>
      <c r="D669">
        <f>IF(OR($A669="",$B669=""),"",IF(ISNUMBER($A669),MOD($A669,100),IFERROR(VALUE(TRIM(MID(MID($A669,FIND("/",$A669)+1,20),FIND("/",MID($A669,FIND("/",$A669)+1,20))+1,20))),"")))</f>
        <v/>
      </c>
      <c r="E669">
        <f>IF($A669="","",IF(OR($B669="",$C669="",$D669="",$B669&lt;1300,$B669&gt;1500,$C669&lt;1,$C669&gt;12,$D669&lt;1,$D669&gt;31),"نامعتبر",RIGHT("0000"&amp;$B669,4)&amp;"/"&amp;RIGHT("00"&amp;$C669,2)&amp;"/"&amp;RIGHT("00"&amp;$D669,2)))</f>
        <v/>
      </c>
      <c r="F669">
        <f>IF(OR($E669="",$E669="نامعتبر"),"",LEFT($E669,4)&amp;"/"&amp;MID($E669,6,2))</f>
        <v/>
      </c>
      <c r="G669">
        <f>IF(OR($E669="",$E669="نامعتبر",Sync!$Y666=""),"",Sync!$Y666)</f>
        <v/>
      </c>
      <c r="H669">
        <f>IF($G669="","",IF(Sync!$X666="","",Sync!$X666))</f>
        <v/>
      </c>
      <c r="I669">
        <f>IF($G669="","",IFERROR(VLOOKUP(Sync!$X666,OpTbl,3,0),""))</f>
        <v/>
      </c>
      <c r="J669">
        <f>IF(OR($G669="",Sync!$Z666=""),"",Sync!$Z666)</f>
        <v/>
      </c>
      <c r="K669">
        <f>IF(OR($G669="",Sync!$AA666=""),"",Sync!$AA666)</f>
        <v/>
      </c>
      <c r="L669">
        <f>IF($G669="",0,IF(Sync!$AB666="",0,Sync!$AB666))</f>
        <v/>
      </c>
      <c r="M669">
        <f>IF($G669="",0,IF(Sync!$AC666="",0,Sync!$AC666))</f>
        <v/>
      </c>
      <c r="N669">
        <f>IF($G669="","",IF($H669="مرجوعی خرید",-1,1)*($L669-$M669*IFERROR(VLOOKUP("P01",ParamTbl,3,0),1.5))*(1-IF($I669="خرید",IFERROR(VLOOKUP("P02",ParamTbl,3,0),1),0)/100))</f>
        <v/>
      </c>
      <c r="O669">
        <f>IF($G669="",0,IF($H669="مرجوعی خرید",-1,1)*IF(Sync!$AD666="",0,Sync!$AD666))</f>
        <v/>
      </c>
      <c r="P669">
        <f>IF(OR($G669="",Sync!$W666=""),"",Sync!$W666)</f>
        <v/>
      </c>
      <c r="Q669">
        <f>IF(OR($G669="",Sync!$AE666=""),"",Sync!$AE666)</f>
        <v/>
      </c>
      <c r="R669">
        <f>IF($G669="","",IF(Sync!$V666="","0000",IF(AND(ISNUMBER(Sync!$V666),Sync!$V666&gt;=0,Sync!$V666&lt;1),RIGHT("00"&amp;HOUR(Sync!$V666),2)&amp;RIGHT("00"&amp;MINUTE(Sync!$V666),2),IFERROR(RIGHT("00"&amp;VALUE(LEFT(Sync!$V666,FIND(":",Sync!$V666)-1)),2)&amp;RIGHT("00"&amp;VALUE(MID(Sync!$V666,FIND(":",Sync!$V666)+1,2)),2),"0000"))))</f>
        <v/>
      </c>
    </row>
    <row r="670">
      <c r="A670">
        <f>IF(Sync!$U667="","",Sync!$U667)</f>
        <v/>
      </c>
      <c r="B670">
        <f>IF($A670="","",IF(ISNUMBER($A670),IF(AND($A670&gt;=10000101,$A670&lt;=99991231),INT($A670/10000),""),IFERROR(VALUE(TRIM(LEFT($A670,FIND("/",$A670)-1))),"")))</f>
        <v/>
      </c>
      <c r="C670">
        <f>IF(OR($A670="",$B670=""),"",IF(ISNUMBER($A670),INT(MOD($A670,10000)/100),IFERROR(VALUE(TRIM(LEFT(MID($A670,FIND("/",$A670)+1,20),FIND("/",MID($A670,FIND("/",$A670)+1,20))-1))),"")))</f>
        <v/>
      </c>
      <c r="D670">
        <f>IF(OR($A670="",$B670=""),"",IF(ISNUMBER($A670),MOD($A670,100),IFERROR(VALUE(TRIM(MID(MID($A670,FIND("/",$A670)+1,20),FIND("/",MID($A670,FIND("/",$A670)+1,20))+1,20))),"")))</f>
        <v/>
      </c>
      <c r="E670">
        <f>IF($A670="","",IF(OR($B670="",$C670="",$D670="",$B670&lt;1300,$B670&gt;1500,$C670&lt;1,$C670&gt;12,$D670&lt;1,$D670&gt;31),"نامعتبر",RIGHT("0000"&amp;$B670,4)&amp;"/"&amp;RIGHT("00"&amp;$C670,2)&amp;"/"&amp;RIGHT("00"&amp;$D670,2)))</f>
        <v/>
      </c>
      <c r="F670">
        <f>IF(OR($E670="",$E670="نامعتبر"),"",LEFT($E670,4)&amp;"/"&amp;MID($E670,6,2))</f>
        <v/>
      </c>
      <c r="G670">
        <f>IF(OR($E670="",$E670="نامعتبر",Sync!$Y667=""),"",Sync!$Y667)</f>
        <v/>
      </c>
      <c r="H670">
        <f>IF($G670="","",IF(Sync!$X667="","",Sync!$X667))</f>
        <v/>
      </c>
      <c r="I670">
        <f>IF($G670="","",IFERROR(VLOOKUP(Sync!$X667,OpTbl,3,0),""))</f>
        <v/>
      </c>
      <c r="J670">
        <f>IF(OR($G670="",Sync!$Z667=""),"",Sync!$Z667)</f>
        <v/>
      </c>
      <c r="K670">
        <f>IF(OR($G670="",Sync!$AA667=""),"",Sync!$AA667)</f>
        <v/>
      </c>
      <c r="L670">
        <f>IF($G670="",0,IF(Sync!$AB667="",0,Sync!$AB667))</f>
        <v/>
      </c>
      <c r="M670">
        <f>IF($G670="",0,IF(Sync!$AC667="",0,Sync!$AC667))</f>
        <v/>
      </c>
      <c r="N670">
        <f>IF($G670="","",IF($H670="مرجوعی خرید",-1,1)*($L670-$M670*IFERROR(VLOOKUP("P01",ParamTbl,3,0),1.5))*(1-IF($I670="خرید",IFERROR(VLOOKUP("P02",ParamTbl,3,0),1),0)/100))</f>
        <v/>
      </c>
      <c r="O670">
        <f>IF($G670="",0,IF($H670="مرجوعی خرید",-1,1)*IF(Sync!$AD667="",0,Sync!$AD667))</f>
        <v/>
      </c>
      <c r="P670">
        <f>IF(OR($G670="",Sync!$W667=""),"",Sync!$W667)</f>
        <v/>
      </c>
      <c r="Q670">
        <f>IF(OR($G670="",Sync!$AE667=""),"",Sync!$AE667)</f>
        <v/>
      </c>
      <c r="R670">
        <f>IF($G670="","",IF(Sync!$V667="","0000",IF(AND(ISNUMBER(Sync!$V667),Sync!$V667&gt;=0,Sync!$V667&lt;1),RIGHT("00"&amp;HOUR(Sync!$V667),2)&amp;RIGHT("00"&amp;MINUTE(Sync!$V667),2),IFERROR(RIGHT("00"&amp;VALUE(LEFT(Sync!$V667,FIND(":",Sync!$V667)-1)),2)&amp;RIGHT("00"&amp;VALUE(MID(Sync!$V667,FIND(":",Sync!$V667)+1,2)),2),"0000"))))</f>
        <v/>
      </c>
    </row>
    <row r="671">
      <c r="A671">
        <f>IF(Sync!$U668="","",Sync!$U668)</f>
        <v/>
      </c>
      <c r="B671">
        <f>IF($A671="","",IF(ISNUMBER($A671),IF(AND($A671&gt;=10000101,$A671&lt;=99991231),INT($A671/10000),""),IFERROR(VALUE(TRIM(LEFT($A671,FIND("/",$A671)-1))),"")))</f>
        <v/>
      </c>
      <c r="C671">
        <f>IF(OR($A671="",$B671=""),"",IF(ISNUMBER($A671),INT(MOD($A671,10000)/100),IFERROR(VALUE(TRIM(LEFT(MID($A671,FIND("/",$A671)+1,20),FIND("/",MID($A671,FIND("/",$A671)+1,20))-1))),"")))</f>
        <v/>
      </c>
      <c r="D671">
        <f>IF(OR($A671="",$B671=""),"",IF(ISNUMBER($A671),MOD($A671,100),IFERROR(VALUE(TRIM(MID(MID($A671,FIND("/",$A671)+1,20),FIND("/",MID($A671,FIND("/",$A671)+1,20))+1,20))),"")))</f>
        <v/>
      </c>
      <c r="E671">
        <f>IF($A671="","",IF(OR($B671="",$C671="",$D671="",$B671&lt;1300,$B671&gt;1500,$C671&lt;1,$C671&gt;12,$D671&lt;1,$D671&gt;31),"نامعتبر",RIGHT("0000"&amp;$B671,4)&amp;"/"&amp;RIGHT("00"&amp;$C671,2)&amp;"/"&amp;RIGHT("00"&amp;$D671,2)))</f>
        <v/>
      </c>
      <c r="F671">
        <f>IF(OR($E671="",$E671="نامعتبر"),"",LEFT($E671,4)&amp;"/"&amp;MID($E671,6,2))</f>
        <v/>
      </c>
      <c r="G671">
        <f>IF(OR($E671="",$E671="نامعتبر",Sync!$Y668=""),"",Sync!$Y668)</f>
        <v/>
      </c>
      <c r="H671">
        <f>IF($G671="","",IF(Sync!$X668="","",Sync!$X668))</f>
        <v/>
      </c>
      <c r="I671">
        <f>IF($G671="","",IFERROR(VLOOKUP(Sync!$X668,OpTbl,3,0),""))</f>
        <v/>
      </c>
      <c r="J671">
        <f>IF(OR($G671="",Sync!$Z668=""),"",Sync!$Z668)</f>
        <v/>
      </c>
      <c r="K671">
        <f>IF(OR($G671="",Sync!$AA668=""),"",Sync!$AA668)</f>
        <v/>
      </c>
      <c r="L671">
        <f>IF($G671="",0,IF(Sync!$AB668="",0,Sync!$AB668))</f>
        <v/>
      </c>
      <c r="M671">
        <f>IF($G671="",0,IF(Sync!$AC668="",0,Sync!$AC668))</f>
        <v/>
      </c>
      <c r="N671">
        <f>IF($G671="","",IF($H671="مرجوعی خرید",-1,1)*($L671-$M671*IFERROR(VLOOKUP("P01",ParamTbl,3,0),1.5))*(1-IF($I671="خرید",IFERROR(VLOOKUP("P02",ParamTbl,3,0),1),0)/100))</f>
        <v/>
      </c>
      <c r="O671">
        <f>IF($G671="",0,IF($H671="مرجوعی خرید",-1,1)*IF(Sync!$AD668="",0,Sync!$AD668))</f>
        <v/>
      </c>
      <c r="P671">
        <f>IF(OR($G671="",Sync!$W668=""),"",Sync!$W668)</f>
        <v/>
      </c>
      <c r="Q671">
        <f>IF(OR($G671="",Sync!$AE668=""),"",Sync!$AE668)</f>
        <v/>
      </c>
      <c r="R671">
        <f>IF($G671="","",IF(Sync!$V668="","0000",IF(AND(ISNUMBER(Sync!$V668),Sync!$V668&gt;=0,Sync!$V668&lt;1),RIGHT("00"&amp;HOUR(Sync!$V668),2)&amp;RIGHT("00"&amp;MINUTE(Sync!$V668),2),IFERROR(RIGHT("00"&amp;VALUE(LEFT(Sync!$V668,FIND(":",Sync!$V668)-1)),2)&amp;RIGHT("00"&amp;VALUE(MID(Sync!$V668,FIND(":",Sync!$V668)+1,2)),2),"0000"))))</f>
        <v/>
      </c>
    </row>
    <row r="672">
      <c r="A672">
        <f>IF(Sync!$U669="","",Sync!$U669)</f>
        <v/>
      </c>
      <c r="B672">
        <f>IF($A672="","",IF(ISNUMBER($A672),IF(AND($A672&gt;=10000101,$A672&lt;=99991231),INT($A672/10000),""),IFERROR(VALUE(TRIM(LEFT($A672,FIND("/",$A672)-1))),"")))</f>
        <v/>
      </c>
      <c r="C672">
        <f>IF(OR($A672="",$B672=""),"",IF(ISNUMBER($A672),INT(MOD($A672,10000)/100),IFERROR(VALUE(TRIM(LEFT(MID($A672,FIND("/",$A672)+1,20),FIND("/",MID($A672,FIND("/",$A672)+1,20))-1))),"")))</f>
        <v/>
      </c>
      <c r="D672">
        <f>IF(OR($A672="",$B672=""),"",IF(ISNUMBER($A672),MOD($A672,100),IFERROR(VALUE(TRIM(MID(MID($A672,FIND("/",$A672)+1,20),FIND("/",MID($A672,FIND("/",$A672)+1,20))+1,20))),"")))</f>
        <v/>
      </c>
      <c r="E672">
        <f>IF($A672="","",IF(OR($B672="",$C672="",$D672="",$B672&lt;1300,$B672&gt;1500,$C672&lt;1,$C672&gt;12,$D672&lt;1,$D672&gt;31),"نامعتبر",RIGHT("0000"&amp;$B672,4)&amp;"/"&amp;RIGHT("00"&amp;$C672,2)&amp;"/"&amp;RIGHT("00"&amp;$D672,2)))</f>
        <v/>
      </c>
      <c r="F672">
        <f>IF(OR($E672="",$E672="نامعتبر"),"",LEFT($E672,4)&amp;"/"&amp;MID($E672,6,2))</f>
        <v/>
      </c>
      <c r="G672">
        <f>IF(OR($E672="",$E672="نامعتبر",Sync!$Y669=""),"",Sync!$Y669)</f>
        <v/>
      </c>
      <c r="H672">
        <f>IF($G672="","",IF(Sync!$X669="","",Sync!$X669))</f>
        <v/>
      </c>
      <c r="I672">
        <f>IF($G672="","",IFERROR(VLOOKUP(Sync!$X669,OpTbl,3,0),""))</f>
        <v/>
      </c>
      <c r="J672">
        <f>IF(OR($G672="",Sync!$Z669=""),"",Sync!$Z669)</f>
        <v/>
      </c>
      <c r="K672">
        <f>IF(OR($G672="",Sync!$AA669=""),"",Sync!$AA669)</f>
        <v/>
      </c>
      <c r="L672">
        <f>IF($G672="",0,IF(Sync!$AB669="",0,Sync!$AB669))</f>
        <v/>
      </c>
      <c r="M672">
        <f>IF($G672="",0,IF(Sync!$AC669="",0,Sync!$AC669))</f>
        <v/>
      </c>
      <c r="N672">
        <f>IF($G672="","",IF($H672="مرجوعی خرید",-1,1)*($L672-$M672*IFERROR(VLOOKUP("P01",ParamTbl,3,0),1.5))*(1-IF($I672="خرید",IFERROR(VLOOKUP("P02",ParamTbl,3,0),1),0)/100))</f>
        <v/>
      </c>
      <c r="O672">
        <f>IF($G672="",0,IF($H672="مرجوعی خرید",-1,1)*IF(Sync!$AD669="",0,Sync!$AD669))</f>
        <v/>
      </c>
      <c r="P672">
        <f>IF(OR($G672="",Sync!$W669=""),"",Sync!$W669)</f>
        <v/>
      </c>
      <c r="Q672">
        <f>IF(OR($G672="",Sync!$AE669=""),"",Sync!$AE669)</f>
        <v/>
      </c>
      <c r="R672">
        <f>IF($G672="","",IF(Sync!$V669="","0000",IF(AND(ISNUMBER(Sync!$V669),Sync!$V669&gt;=0,Sync!$V669&lt;1),RIGHT("00"&amp;HOUR(Sync!$V669),2)&amp;RIGHT("00"&amp;MINUTE(Sync!$V669),2),IFERROR(RIGHT("00"&amp;VALUE(LEFT(Sync!$V669,FIND(":",Sync!$V669)-1)),2)&amp;RIGHT("00"&amp;VALUE(MID(Sync!$V669,FIND(":",Sync!$V669)+1,2)),2),"0000"))))</f>
        <v/>
      </c>
    </row>
    <row r="673">
      <c r="A673">
        <f>IF(Sync!$U670="","",Sync!$U670)</f>
        <v/>
      </c>
      <c r="B673">
        <f>IF($A673="","",IF(ISNUMBER($A673),IF(AND($A673&gt;=10000101,$A673&lt;=99991231),INT($A673/10000),""),IFERROR(VALUE(TRIM(LEFT($A673,FIND("/",$A673)-1))),"")))</f>
        <v/>
      </c>
      <c r="C673">
        <f>IF(OR($A673="",$B673=""),"",IF(ISNUMBER($A673),INT(MOD($A673,10000)/100),IFERROR(VALUE(TRIM(LEFT(MID($A673,FIND("/",$A673)+1,20),FIND("/",MID($A673,FIND("/",$A673)+1,20))-1))),"")))</f>
        <v/>
      </c>
      <c r="D673">
        <f>IF(OR($A673="",$B673=""),"",IF(ISNUMBER($A673),MOD($A673,100),IFERROR(VALUE(TRIM(MID(MID($A673,FIND("/",$A673)+1,20),FIND("/",MID($A673,FIND("/",$A673)+1,20))+1,20))),"")))</f>
        <v/>
      </c>
      <c r="E673">
        <f>IF($A673="","",IF(OR($B673="",$C673="",$D673="",$B673&lt;1300,$B673&gt;1500,$C673&lt;1,$C673&gt;12,$D673&lt;1,$D673&gt;31),"نامعتبر",RIGHT("0000"&amp;$B673,4)&amp;"/"&amp;RIGHT("00"&amp;$C673,2)&amp;"/"&amp;RIGHT("00"&amp;$D673,2)))</f>
        <v/>
      </c>
      <c r="F673">
        <f>IF(OR($E673="",$E673="نامعتبر"),"",LEFT($E673,4)&amp;"/"&amp;MID($E673,6,2))</f>
        <v/>
      </c>
      <c r="G673">
        <f>IF(OR($E673="",$E673="نامعتبر",Sync!$Y670=""),"",Sync!$Y670)</f>
        <v/>
      </c>
      <c r="H673">
        <f>IF($G673="","",IF(Sync!$X670="","",Sync!$X670))</f>
        <v/>
      </c>
      <c r="I673">
        <f>IF($G673="","",IFERROR(VLOOKUP(Sync!$X670,OpTbl,3,0),""))</f>
        <v/>
      </c>
      <c r="J673">
        <f>IF(OR($G673="",Sync!$Z670=""),"",Sync!$Z670)</f>
        <v/>
      </c>
      <c r="K673">
        <f>IF(OR($G673="",Sync!$AA670=""),"",Sync!$AA670)</f>
        <v/>
      </c>
      <c r="L673">
        <f>IF($G673="",0,IF(Sync!$AB670="",0,Sync!$AB670))</f>
        <v/>
      </c>
      <c r="M673">
        <f>IF($G673="",0,IF(Sync!$AC670="",0,Sync!$AC670))</f>
        <v/>
      </c>
      <c r="N673">
        <f>IF($G673="","",IF($H673="مرجوعی خرید",-1,1)*($L673-$M673*IFERROR(VLOOKUP("P01",ParamTbl,3,0),1.5))*(1-IF($I673="خرید",IFERROR(VLOOKUP("P02",ParamTbl,3,0),1),0)/100))</f>
        <v/>
      </c>
      <c r="O673">
        <f>IF($G673="",0,IF($H673="مرجوعی خرید",-1,1)*IF(Sync!$AD670="",0,Sync!$AD670))</f>
        <v/>
      </c>
      <c r="P673">
        <f>IF(OR($G673="",Sync!$W670=""),"",Sync!$W670)</f>
        <v/>
      </c>
      <c r="Q673">
        <f>IF(OR($G673="",Sync!$AE670=""),"",Sync!$AE670)</f>
        <v/>
      </c>
      <c r="R673">
        <f>IF($G673="","",IF(Sync!$V670="","0000",IF(AND(ISNUMBER(Sync!$V670),Sync!$V670&gt;=0,Sync!$V670&lt;1),RIGHT("00"&amp;HOUR(Sync!$V670),2)&amp;RIGHT("00"&amp;MINUTE(Sync!$V670),2),IFERROR(RIGHT("00"&amp;VALUE(LEFT(Sync!$V670,FIND(":",Sync!$V670)-1)),2)&amp;RIGHT("00"&amp;VALUE(MID(Sync!$V670,FIND(":",Sync!$V670)+1,2)),2),"0000"))))</f>
        <v/>
      </c>
    </row>
    <row r="674">
      <c r="A674">
        <f>IF(Sync!$U671="","",Sync!$U671)</f>
        <v/>
      </c>
      <c r="B674">
        <f>IF($A674="","",IF(ISNUMBER($A674),IF(AND($A674&gt;=10000101,$A674&lt;=99991231),INT($A674/10000),""),IFERROR(VALUE(TRIM(LEFT($A674,FIND("/",$A674)-1))),"")))</f>
        <v/>
      </c>
      <c r="C674">
        <f>IF(OR($A674="",$B674=""),"",IF(ISNUMBER($A674),INT(MOD($A674,10000)/100),IFERROR(VALUE(TRIM(LEFT(MID($A674,FIND("/",$A674)+1,20),FIND("/",MID($A674,FIND("/",$A674)+1,20))-1))),"")))</f>
        <v/>
      </c>
      <c r="D674">
        <f>IF(OR($A674="",$B674=""),"",IF(ISNUMBER($A674),MOD($A674,100),IFERROR(VALUE(TRIM(MID(MID($A674,FIND("/",$A674)+1,20),FIND("/",MID($A674,FIND("/",$A674)+1,20))+1,20))),"")))</f>
        <v/>
      </c>
      <c r="E674">
        <f>IF($A674="","",IF(OR($B674="",$C674="",$D674="",$B674&lt;1300,$B674&gt;1500,$C674&lt;1,$C674&gt;12,$D674&lt;1,$D674&gt;31),"نامعتبر",RIGHT("0000"&amp;$B674,4)&amp;"/"&amp;RIGHT("00"&amp;$C674,2)&amp;"/"&amp;RIGHT("00"&amp;$D674,2)))</f>
        <v/>
      </c>
      <c r="F674">
        <f>IF(OR($E674="",$E674="نامعتبر"),"",LEFT($E674,4)&amp;"/"&amp;MID($E674,6,2))</f>
        <v/>
      </c>
      <c r="G674">
        <f>IF(OR($E674="",$E674="نامعتبر",Sync!$Y671=""),"",Sync!$Y671)</f>
        <v/>
      </c>
      <c r="H674">
        <f>IF($G674="","",IF(Sync!$X671="","",Sync!$X671))</f>
        <v/>
      </c>
      <c r="I674">
        <f>IF($G674="","",IFERROR(VLOOKUP(Sync!$X671,OpTbl,3,0),""))</f>
        <v/>
      </c>
      <c r="J674">
        <f>IF(OR($G674="",Sync!$Z671=""),"",Sync!$Z671)</f>
        <v/>
      </c>
      <c r="K674">
        <f>IF(OR($G674="",Sync!$AA671=""),"",Sync!$AA671)</f>
        <v/>
      </c>
      <c r="L674">
        <f>IF($G674="",0,IF(Sync!$AB671="",0,Sync!$AB671))</f>
        <v/>
      </c>
      <c r="M674">
        <f>IF($G674="",0,IF(Sync!$AC671="",0,Sync!$AC671))</f>
        <v/>
      </c>
      <c r="N674">
        <f>IF($G674="","",IF($H674="مرجوعی خرید",-1,1)*($L674-$M674*IFERROR(VLOOKUP("P01",ParamTbl,3,0),1.5))*(1-IF($I674="خرید",IFERROR(VLOOKUP("P02",ParamTbl,3,0),1),0)/100))</f>
        <v/>
      </c>
      <c r="O674">
        <f>IF($G674="",0,IF($H674="مرجوعی خرید",-1,1)*IF(Sync!$AD671="",0,Sync!$AD671))</f>
        <v/>
      </c>
      <c r="P674">
        <f>IF(OR($G674="",Sync!$W671=""),"",Sync!$W671)</f>
        <v/>
      </c>
      <c r="Q674">
        <f>IF(OR($G674="",Sync!$AE671=""),"",Sync!$AE671)</f>
        <v/>
      </c>
      <c r="R674">
        <f>IF($G674="","",IF(Sync!$V671="","0000",IF(AND(ISNUMBER(Sync!$V671),Sync!$V671&gt;=0,Sync!$V671&lt;1),RIGHT("00"&amp;HOUR(Sync!$V671),2)&amp;RIGHT("00"&amp;MINUTE(Sync!$V671),2),IFERROR(RIGHT("00"&amp;VALUE(LEFT(Sync!$V671,FIND(":",Sync!$V671)-1)),2)&amp;RIGHT("00"&amp;VALUE(MID(Sync!$V671,FIND(":",Sync!$V671)+1,2)),2),"0000"))))</f>
        <v/>
      </c>
    </row>
    <row r="675">
      <c r="A675">
        <f>IF(Sync!$U672="","",Sync!$U672)</f>
        <v/>
      </c>
      <c r="B675">
        <f>IF($A675="","",IF(ISNUMBER($A675),IF(AND($A675&gt;=10000101,$A675&lt;=99991231),INT($A675/10000),""),IFERROR(VALUE(TRIM(LEFT($A675,FIND("/",$A675)-1))),"")))</f>
        <v/>
      </c>
      <c r="C675">
        <f>IF(OR($A675="",$B675=""),"",IF(ISNUMBER($A675),INT(MOD($A675,10000)/100),IFERROR(VALUE(TRIM(LEFT(MID($A675,FIND("/",$A675)+1,20),FIND("/",MID($A675,FIND("/",$A675)+1,20))-1))),"")))</f>
        <v/>
      </c>
      <c r="D675">
        <f>IF(OR($A675="",$B675=""),"",IF(ISNUMBER($A675),MOD($A675,100),IFERROR(VALUE(TRIM(MID(MID($A675,FIND("/",$A675)+1,20),FIND("/",MID($A675,FIND("/",$A675)+1,20))+1,20))),"")))</f>
        <v/>
      </c>
      <c r="E675">
        <f>IF($A675="","",IF(OR($B675="",$C675="",$D675="",$B675&lt;1300,$B675&gt;1500,$C675&lt;1,$C675&gt;12,$D675&lt;1,$D675&gt;31),"نامعتبر",RIGHT("0000"&amp;$B675,4)&amp;"/"&amp;RIGHT("00"&amp;$C675,2)&amp;"/"&amp;RIGHT("00"&amp;$D675,2)))</f>
        <v/>
      </c>
      <c r="F675">
        <f>IF(OR($E675="",$E675="نامعتبر"),"",LEFT($E675,4)&amp;"/"&amp;MID($E675,6,2))</f>
        <v/>
      </c>
      <c r="G675">
        <f>IF(OR($E675="",$E675="نامعتبر",Sync!$Y672=""),"",Sync!$Y672)</f>
        <v/>
      </c>
      <c r="H675">
        <f>IF($G675="","",IF(Sync!$X672="","",Sync!$X672))</f>
        <v/>
      </c>
      <c r="I675">
        <f>IF($G675="","",IFERROR(VLOOKUP(Sync!$X672,OpTbl,3,0),""))</f>
        <v/>
      </c>
      <c r="J675">
        <f>IF(OR($G675="",Sync!$Z672=""),"",Sync!$Z672)</f>
        <v/>
      </c>
      <c r="K675">
        <f>IF(OR($G675="",Sync!$AA672=""),"",Sync!$AA672)</f>
        <v/>
      </c>
      <c r="L675">
        <f>IF($G675="",0,IF(Sync!$AB672="",0,Sync!$AB672))</f>
        <v/>
      </c>
      <c r="M675">
        <f>IF($G675="",0,IF(Sync!$AC672="",0,Sync!$AC672))</f>
        <v/>
      </c>
      <c r="N675">
        <f>IF($G675="","",IF($H675="مرجوعی خرید",-1,1)*($L675-$M675*IFERROR(VLOOKUP("P01",ParamTbl,3,0),1.5))*(1-IF($I675="خرید",IFERROR(VLOOKUP("P02",ParamTbl,3,0),1),0)/100))</f>
        <v/>
      </c>
      <c r="O675">
        <f>IF($G675="",0,IF($H675="مرجوعی خرید",-1,1)*IF(Sync!$AD672="",0,Sync!$AD672))</f>
        <v/>
      </c>
      <c r="P675">
        <f>IF(OR($G675="",Sync!$W672=""),"",Sync!$W672)</f>
        <v/>
      </c>
      <c r="Q675">
        <f>IF(OR($G675="",Sync!$AE672=""),"",Sync!$AE672)</f>
        <v/>
      </c>
      <c r="R675">
        <f>IF($G675="","",IF(Sync!$V672="","0000",IF(AND(ISNUMBER(Sync!$V672),Sync!$V672&gt;=0,Sync!$V672&lt;1),RIGHT("00"&amp;HOUR(Sync!$V672),2)&amp;RIGHT("00"&amp;MINUTE(Sync!$V672),2),IFERROR(RIGHT("00"&amp;VALUE(LEFT(Sync!$V672,FIND(":",Sync!$V672)-1)),2)&amp;RIGHT("00"&amp;VALUE(MID(Sync!$V672,FIND(":",Sync!$V672)+1,2)),2),"0000"))))</f>
        <v/>
      </c>
    </row>
    <row r="676">
      <c r="A676">
        <f>IF(Sync!$U673="","",Sync!$U673)</f>
        <v/>
      </c>
      <c r="B676">
        <f>IF($A676="","",IF(ISNUMBER($A676),IF(AND($A676&gt;=10000101,$A676&lt;=99991231),INT($A676/10000),""),IFERROR(VALUE(TRIM(LEFT($A676,FIND("/",$A676)-1))),"")))</f>
        <v/>
      </c>
      <c r="C676">
        <f>IF(OR($A676="",$B676=""),"",IF(ISNUMBER($A676),INT(MOD($A676,10000)/100),IFERROR(VALUE(TRIM(LEFT(MID($A676,FIND("/",$A676)+1,20),FIND("/",MID($A676,FIND("/",$A676)+1,20))-1))),"")))</f>
        <v/>
      </c>
      <c r="D676">
        <f>IF(OR($A676="",$B676=""),"",IF(ISNUMBER($A676),MOD($A676,100),IFERROR(VALUE(TRIM(MID(MID($A676,FIND("/",$A676)+1,20),FIND("/",MID($A676,FIND("/",$A676)+1,20))+1,20))),"")))</f>
        <v/>
      </c>
      <c r="E676">
        <f>IF($A676="","",IF(OR($B676="",$C676="",$D676="",$B676&lt;1300,$B676&gt;1500,$C676&lt;1,$C676&gt;12,$D676&lt;1,$D676&gt;31),"نامعتبر",RIGHT("0000"&amp;$B676,4)&amp;"/"&amp;RIGHT("00"&amp;$C676,2)&amp;"/"&amp;RIGHT("00"&amp;$D676,2)))</f>
        <v/>
      </c>
      <c r="F676">
        <f>IF(OR($E676="",$E676="نامعتبر"),"",LEFT($E676,4)&amp;"/"&amp;MID($E676,6,2))</f>
        <v/>
      </c>
      <c r="G676">
        <f>IF(OR($E676="",$E676="نامعتبر",Sync!$Y673=""),"",Sync!$Y673)</f>
        <v/>
      </c>
      <c r="H676">
        <f>IF($G676="","",IF(Sync!$X673="","",Sync!$X673))</f>
        <v/>
      </c>
      <c r="I676">
        <f>IF($G676="","",IFERROR(VLOOKUP(Sync!$X673,OpTbl,3,0),""))</f>
        <v/>
      </c>
      <c r="J676">
        <f>IF(OR($G676="",Sync!$Z673=""),"",Sync!$Z673)</f>
        <v/>
      </c>
      <c r="K676">
        <f>IF(OR($G676="",Sync!$AA673=""),"",Sync!$AA673)</f>
        <v/>
      </c>
      <c r="L676">
        <f>IF($G676="",0,IF(Sync!$AB673="",0,Sync!$AB673))</f>
        <v/>
      </c>
      <c r="M676">
        <f>IF($G676="",0,IF(Sync!$AC673="",0,Sync!$AC673))</f>
        <v/>
      </c>
      <c r="N676">
        <f>IF($G676="","",IF($H676="مرجوعی خرید",-1,1)*($L676-$M676*IFERROR(VLOOKUP("P01",ParamTbl,3,0),1.5))*(1-IF($I676="خرید",IFERROR(VLOOKUP("P02",ParamTbl,3,0),1),0)/100))</f>
        <v/>
      </c>
      <c r="O676">
        <f>IF($G676="",0,IF($H676="مرجوعی خرید",-1,1)*IF(Sync!$AD673="",0,Sync!$AD673))</f>
        <v/>
      </c>
      <c r="P676">
        <f>IF(OR($G676="",Sync!$W673=""),"",Sync!$W673)</f>
        <v/>
      </c>
      <c r="Q676">
        <f>IF(OR($G676="",Sync!$AE673=""),"",Sync!$AE673)</f>
        <v/>
      </c>
      <c r="R676">
        <f>IF($G676="","",IF(Sync!$V673="","0000",IF(AND(ISNUMBER(Sync!$V673),Sync!$V673&gt;=0,Sync!$V673&lt;1),RIGHT("00"&amp;HOUR(Sync!$V673),2)&amp;RIGHT("00"&amp;MINUTE(Sync!$V673),2),IFERROR(RIGHT("00"&amp;VALUE(LEFT(Sync!$V673,FIND(":",Sync!$V673)-1)),2)&amp;RIGHT("00"&amp;VALUE(MID(Sync!$V673,FIND(":",Sync!$V673)+1,2)),2),"0000"))))</f>
        <v/>
      </c>
    </row>
    <row r="677">
      <c r="A677">
        <f>IF(Sync!$U674="","",Sync!$U674)</f>
        <v/>
      </c>
      <c r="B677">
        <f>IF($A677="","",IF(ISNUMBER($A677),IF(AND($A677&gt;=10000101,$A677&lt;=99991231),INT($A677/10000),""),IFERROR(VALUE(TRIM(LEFT($A677,FIND("/",$A677)-1))),"")))</f>
        <v/>
      </c>
      <c r="C677">
        <f>IF(OR($A677="",$B677=""),"",IF(ISNUMBER($A677),INT(MOD($A677,10000)/100),IFERROR(VALUE(TRIM(LEFT(MID($A677,FIND("/",$A677)+1,20),FIND("/",MID($A677,FIND("/",$A677)+1,20))-1))),"")))</f>
        <v/>
      </c>
      <c r="D677">
        <f>IF(OR($A677="",$B677=""),"",IF(ISNUMBER($A677),MOD($A677,100),IFERROR(VALUE(TRIM(MID(MID($A677,FIND("/",$A677)+1,20),FIND("/",MID($A677,FIND("/",$A677)+1,20))+1,20))),"")))</f>
        <v/>
      </c>
      <c r="E677">
        <f>IF($A677="","",IF(OR($B677="",$C677="",$D677="",$B677&lt;1300,$B677&gt;1500,$C677&lt;1,$C677&gt;12,$D677&lt;1,$D677&gt;31),"نامعتبر",RIGHT("0000"&amp;$B677,4)&amp;"/"&amp;RIGHT("00"&amp;$C677,2)&amp;"/"&amp;RIGHT("00"&amp;$D677,2)))</f>
        <v/>
      </c>
      <c r="F677">
        <f>IF(OR($E677="",$E677="نامعتبر"),"",LEFT($E677,4)&amp;"/"&amp;MID($E677,6,2))</f>
        <v/>
      </c>
      <c r="G677">
        <f>IF(OR($E677="",$E677="نامعتبر",Sync!$Y674=""),"",Sync!$Y674)</f>
        <v/>
      </c>
      <c r="H677">
        <f>IF($G677="","",IF(Sync!$X674="","",Sync!$X674))</f>
        <v/>
      </c>
      <c r="I677">
        <f>IF($G677="","",IFERROR(VLOOKUP(Sync!$X674,OpTbl,3,0),""))</f>
        <v/>
      </c>
      <c r="J677">
        <f>IF(OR($G677="",Sync!$Z674=""),"",Sync!$Z674)</f>
        <v/>
      </c>
      <c r="K677">
        <f>IF(OR($G677="",Sync!$AA674=""),"",Sync!$AA674)</f>
        <v/>
      </c>
      <c r="L677">
        <f>IF($G677="",0,IF(Sync!$AB674="",0,Sync!$AB674))</f>
        <v/>
      </c>
      <c r="M677">
        <f>IF($G677="",0,IF(Sync!$AC674="",0,Sync!$AC674))</f>
        <v/>
      </c>
      <c r="N677">
        <f>IF($G677="","",IF($H677="مرجوعی خرید",-1,1)*($L677-$M677*IFERROR(VLOOKUP("P01",ParamTbl,3,0),1.5))*(1-IF($I677="خرید",IFERROR(VLOOKUP("P02",ParamTbl,3,0),1),0)/100))</f>
        <v/>
      </c>
      <c r="O677">
        <f>IF($G677="",0,IF($H677="مرجوعی خرید",-1,1)*IF(Sync!$AD674="",0,Sync!$AD674))</f>
        <v/>
      </c>
      <c r="P677">
        <f>IF(OR($G677="",Sync!$W674=""),"",Sync!$W674)</f>
        <v/>
      </c>
      <c r="Q677">
        <f>IF(OR($G677="",Sync!$AE674=""),"",Sync!$AE674)</f>
        <v/>
      </c>
      <c r="R677">
        <f>IF($G677="","",IF(Sync!$V674="","0000",IF(AND(ISNUMBER(Sync!$V674),Sync!$V674&gt;=0,Sync!$V674&lt;1),RIGHT("00"&amp;HOUR(Sync!$V674),2)&amp;RIGHT("00"&amp;MINUTE(Sync!$V674),2),IFERROR(RIGHT("00"&amp;VALUE(LEFT(Sync!$V674,FIND(":",Sync!$V674)-1)),2)&amp;RIGHT("00"&amp;VALUE(MID(Sync!$V674,FIND(":",Sync!$V674)+1,2)),2),"0000"))))</f>
        <v/>
      </c>
    </row>
    <row r="678">
      <c r="A678">
        <f>IF(Sync!$U675="","",Sync!$U675)</f>
        <v/>
      </c>
      <c r="B678">
        <f>IF($A678="","",IF(ISNUMBER($A678),IF(AND($A678&gt;=10000101,$A678&lt;=99991231),INT($A678/10000),""),IFERROR(VALUE(TRIM(LEFT($A678,FIND("/",$A678)-1))),"")))</f>
        <v/>
      </c>
      <c r="C678">
        <f>IF(OR($A678="",$B678=""),"",IF(ISNUMBER($A678),INT(MOD($A678,10000)/100),IFERROR(VALUE(TRIM(LEFT(MID($A678,FIND("/",$A678)+1,20),FIND("/",MID($A678,FIND("/",$A678)+1,20))-1))),"")))</f>
        <v/>
      </c>
      <c r="D678">
        <f>IF(OR($A678="",$B678=""),"",IF(ISNUMBER($A678),MOD($A678,100),IFERROR(VALUE(TRIM(MID(MID($A678,FIND("/",$A678)+1,20),FIND("/",MID($A678,FIND("/",$A678)+1,20))+1,20))),"")))</f>
        <v/>
      </c>
      <c r="E678">
        <f>IF($A678="","",IF(OR($B678="",$C678="",$D678="",$B678&lt;1300,$B678&gt;1500,$C678&lt;1,$C678&gt;12,$D678&lt;1,$D678&gt;31),"نامعتبر",RIGHT("0000"&amp;$B678,4)&amp;"/"&amp;RIGHT("00"&amp;$C678,2)&amp;"/"&amp;RIGHT("00"&amp;$D678,2)))</f>
        <v/>
      </c>
      <c r="F678">
        <f>IF(OR($E678="",$E678="نامعتبر"),"",LEFT($E678,4)&amp;"/"&amp;MID($E678,6,2))</f>
        <v/>
      </c>
      <c r="G678">
        <f>IF(OR($E678="",$E678="نامعتبر",Sync!$Y675=""),"",Sync!$Y675)</f>
        <v/>
      </c>
      <c r="H678">
        <f>IF($G678="","",IF(Sync!$X675="","",Sync!$X675))</f>
        <v/>
      </c>
      <c r="I678">
        <f>IF($G678="","",IFERROR(VLOOKUP(Sync!$X675,OpTbl,3,0),""))</f>
        <v/>
      </c>
      <c r="J678">
        <f>IF(OR($G678="",Sync!$Z675=""),"",Sync!$Z675)</f>
        <v/>
      </c>
      <c r="K678">
        <f>IF(OR($G678="",Sync!$AA675=""),"",Sync!$AA675)</f>
        <v/>
      </c>
      <c r="L678">
        <f>IF($G678="",0,IF(Sync!$AB675="",0,Sync!$AB675))</f>
        <v/>
      </c>
      <c r="M678">
        <f>IF($G678="",0,IF(Sync!$AC675="",0,Sync!$AC675))</f>
        <v/>
      </c>
      <c r="N678">
        <f>IF($G678="","",IF($H678="مرجوعی خرید",-1,1)*($L678-$M678*IFERROR(VLOOKUP("P01",ParamTbl,3,0),1.5))*(1-IF($I678="خرید",IFERROR(VLOOKUP("P02",ParamTbl,3,0),1),0)/100))</f>
        <v/>
      </c>
      <c r="O678">
        <f>IF($G678="",0,IF($H678="مرجوعی خرید",-1,1)*IF(Sync!$AD675="",0,Sync!$AD675))</f>
        <v/>
      </c>
      <c r="P678">
        <f>IF(OR($G678="",Sync!$W675=""),"",Sync!$W675)</f>
        <v/>
      </c>
      <c r="Q678">
        <f>IF(OR($G678="",Sync!$AE675=""),"",Sync!$AE675)</f>
        <v/>
      </c>
      <c r="R678">
        <f>IF($G678="","",IF(Sync!$V675="","0000",IF(AND(ISNUMBER(Sync!$V675),Sync!$V675&gt;=0,Sync!$V675&lt;1),RIGHT("00"&amp;HOUR(Sync!$V675),2)&amp;RIGHT("00"&amp;MINUTE(Sync!$V675),2),IFERROR(RIGHT("00"&amp;VALUE(LEFT(Sync!$V675,FIND(":",Sync!$V675)-1)),2)&amp;RIGHT("00"&amp;VALUE(MID(Sync!$V675,FIND(":",Sync!$V675)+1,2)),2),"0000"))))</f>
        <v/>
      </c>
    </row>
    <row r="679">
      <c r="A679">
        <f>IF(Sync!$U676="","",Sync!$U676)</f>
        <v/>
      </c>
      <c r="B679">
        <f>IF($A679="","",IF(ISNUMBER($A679),IF(AND($A679&gt;=10000101,$A679&lt;=99991231),INT($A679/10000),""),IFERROR(VALUE(TRIM(LEFT($A679,FIND("/",$A679)-1))),"")))</f>
        <v/>
      </c>
      <c r="C679">
        <f>IF(OR($A679="",$B679=""),"",IF(ISNUMBER($A679),INT(MOD($A679,10000)/100),IFERROR(VALUE(TRIM(LEFT(MID($A679,FIND("/",$A679)+1,20),FIND("/",MID($A679,FIND("/",$A679)+1,20))-1))),"")))</f>
        <v/>
      </c>
      <c r="D679">
        <f>IF(OR($A679="",$B679=""),"",IF(ISNUMBER($A679),MOD($A679,100),IFERROR(VALUE(TRIM(MID(MID($A679,FIND("/",$A679)+1,20),FIND("/",MID($A679,FIND("/",$A679)+1,20))+1,20))),"")))</f>
        <v/>
      </c>
      <c r="E679">
        <f>IF($A679="","",IF(OR($B679="",$C679="",$D679="",$B679&lt;1300,$B679&gt;1500,$C679&lt;1,$C679&gt;12,$D679&lt;1,$D679&gt;31),"نامعتبر",RIGHT("0000"&amp;$B679,4)&amp;"/"&amp;RIGHT("00"&amp;$C679,2)&amp;"/"&amp;RIGHT("00"&amp;$D679,2)))</f>
        <v/>
      </c>
      <c r="F679">
        <f>IF(OR($E679="",$E679="نامعتبر"),"",LEFT($E679,4)&amp;"/"&amp;MID($E679,6,2))</f>
        <v/>
      </c>
      <c r="G679">
        <f>IF(OR($E679="",$E679="نامعتبر",Sync!$Y676=""),"",Sync!$Y676)</f>
        <v/>
      </c>
      <c r="H679">
        <f>IF($G679="","",IF(Sync!$X676="","",Sync!$X676))</f>
        <v/>
      </c>
      <c r="I679">
        <f>IF($G679="","",IFERROR(VLOOKUP(Sync!$X676,OpTbl,3,0),""))</f>
        <v/>
      </c>
      <c r="J679">
        <f>IF(OR($G679="",Sync!$Z676=""),"",Sync!$Z676)</f>
        <v/>
      </c>
      <c r="K679">
        <f>IF(OR($G679="",Sync!$AA676=""),"",Sync!$AA676)</f>
        <v/>
      </c>
      <c r="L679">
        <f>IF($G679="",0,IF(Sync!$AB676="",0,Sync!$AB676))</f>
        <v/>
      </c>
      <c r="M679">
        <f>IF($G679="",0,IF(Sync!$AC676="",0,Sync!$AC676))</f>
        <v/>
      </c>
      <c r="N679">
        <f>IF($G679="","",IF($H679="مرجوعی خرید",-1,1)*($L679-$M679*IFERROR(VLOOKUP("P01",ParamTbl,3,0),1.5))*(1-IF($I679="خرید",IFERROR(VLOOKUP("P02",ParamTbl,3,0),1),0)/100))</f>
        <v/>
      </c>
      <c r="O679">
        <f>IF($G679="",0,IF($H679="مرجوعی خرید",-1,1)*IF(Sync!$AD676="",0,Sync!$AD676))</f>
        <v/>
      </c>
      <c r="P679">
        <f>IF(OR($G679="",Sync!$W676=""),"",Sync!$W676)</f>
        <v/>
      </c>
      <c r="Q679">
        <f>IF(OR($G679="",Sync!$AE676=""),"",Sync!$AE676)</f>
        <v/>
      </c>
      <c r="R679">
        <f>IF($G679="","",IF(Sync!$V676="","0000",IF(AND(ISNUMBER(Sync!$V676),Sync!$V676&gt;=0,Sync!$V676&lt;1),RIGHT("00"&amp;HOUR(Sync!$V676),2)&amp;RIGHT("00"&amp;MINUTE(Sync!$V676),2),IFERROR(RIGHT("00"&amp;VALUE(LEFT(Sync!$V676,FIND(":",Sync!$V676)-1)),2)&amp;RIGHT("00"&amp;VALUE(MID(Sync!$V676,FIND(":",Sync!$V676)+1,2)),2),"0000"))))</f>
        <v/>
      </c>
    </row>
    <row r="680">
      <c r="A680">
        <f>IF(Sync!$U677="","",Sync!$U677)</f>
        <v/>
      </c>
      <c r="B680">
        <f>IF($A680="","",IF(ISNUMBER($A680),IF(AND($A680&gt;=10000101,$A680&lt;=99991231),INT($A680/10000),""),IFERROR(VALUE(TRIM(LEFT($A680,FIND("/",$A680)-1))),"")))</f>
        <v/>
      </c>
      <c r="C680">
        <f>IF(OR($A680="",$B680=""),"",IF(ISNUMBER($A680),INT(MOD($A680,10000)/100),IFERROR(VALUE(TRIM(LEFT(MID($A680,FIND("/",$A680)+1,20),FIND("/",MID($A680,FIND("/",$A680)+1,20))-1))),"")))</f>
        <v/>
      </c>
      <c r="D680">
        <f>IF(OR($A680="",$B680=""),"",IF(ISNUMBER($A680),MOD($A680,100),IFERROR(VALUE(TRIM(MID(MID($A680,FIND("/",$A680)+1,20),FIND("/",MID($A680,FIND("/",$A680)+1,20))+1,20))),"")))</f>
        <v/>
      </c>
      <c r="E680">
        <f>IF($A680="","",IF(OR($B680="",$C680="",$D680="",$B680&lt;1300,$B680&gt;1500,$C680&lt;1,$C680&gt;12,$D680&lt;1,$D680&gt;31),"نامعتبر",RIGHT("0000"&amp;$B680,4)&amp;"/"&amp;RIGHT("00"&amp;$C680,2)&amp;"/"&amp;RIGHT("00"&amp;$D680,2)))</f>
        <v/>
      </c>
      <c r="F680">
        <f>IF(OR($E680="",$E680="نامعتبر"),"",LEFT($E680,4)&amp;"/"&amp;MID($E680,6,2))</f>
        <v/>
      </c>
      <c r="G680">
        <f>IF(OR($E680="",$E680="نامعتبر",Sync!$Y677=""),"",Sync!$Y677)</f>
        <v/>
      </c>
      <c r="H680">
        <f>IF($G680="","",IF(Sync!$X677="","",Sync!$X677))</f>
        <v/>
      </c>
      <c r="I680">
        <f>IF($G680="","",IFERROR(VLOOKUP(Sync!$X677,OpTbl,3,0),""))</f>
        <v/>
      </c>
      <c r="J680">
        <f>IF(OR($G680="",Sync!$Z677=""),"",Sync!$Z677)</f>
        <v/>
      </c>
      <c r="K680">
        <f>IF(OR($G680="",Sync!$AA677=""),"",Sync!$AA677)</f>
        <v/>
      </c>
      <c r="L680">
        <f>IF($G680="",0,IF(Sync!$AB677="",0,Sync!$AB677))</f>
        <v/>
      </c>
      <c r="M680">
        <f>IF($G680="",0,IF(Sync!$AC677="",0,Sync!$AC677))</f>
        <v/>
      </c>
      <c r="N680">
        <f>IF($G680="","",IF($H680="مرجوعی خرید",-1,1)*($L680-$M680*IFERROR(VLOOKUP("P01",ParamTbl,3,0),1.5))*(1-IF($I680="خرید",IFERROR(VLOOKUP("P02",ParamTbl,3,0),1),0)/100))</f>
        <v/>
      </c>
      <c r="O680">
        <f>IF($G680="",0,IF($H680="مرجوعی خرید",-1,1)*IF(Sync!$AD677="",0,Sync!$AD677))</f>
        <v/>
      </c>
      <c r="P680">
        <f>IF(OR($G680="",Sync!$W677=""),"",Sync!$W677)</f>
        <v/>
      </c>
      <c r="Q680">
        <f>IF(OR($G680="",Sync!$AE677=""),"",Sync!$AE677)</f>
        <v/>
      </c>
      <c r="R680">
        <f>IF($G680="","",IF(Sync!$V677="","0000",IF(AND(ISNUMBER(Sync!$V677),Sync!$V677&gt;=0,Sync!$V677&lt;1),RIGHT("00"&amp;HOUR(Sync!$V677),2)&amp;RIGHT("00"&amp;MINUTE(Sync!$V677),2),IFERROR(RIGHT("00"&amp;VALUE(LEFT(Sync!$V677,FIND(":",Sync!$V677)-1)),2)&amp;RIGHT("00"&amp;VALUE(MID(Sync!$V677,FIND(":",Sync!$V677)+1,2)),2),"0000"))))</f>
        <v/>
      </c>
    </row>
    <row r="681">
      <c r="A681">
        <f>IF(Sync!$U678="","",Sync!$U678)</f>
        <v/>
      </c>
      <c r="B681">
        <f>IF($A681="","",IF(ISNUMBER($A681),IF(AND($A681&gt;=10000101,$A681&lt;=99991231),INT($A681/10000),""),IFERROR(VALUE(TRIM(LEFT($A681,FIND("/",$A681)-1))),"")))</f>
        <v/>
      </c>
      <c r="C681">
        <f>IF(OR($A681="",$B681=""),"",IF(ISNUMBER($A681),INT(MOD($A681,10000)/100),IFERROR(VALUE(TRIM(LEFT(MID($A681,FIND("/",$A681)+1,20),FIND("/",MID($A681,FIND("/",$A681)+1,20))-1))),"")))</f>
        <v/>
      </c>
      <c r="D681">
        <f>IF(OR($A681="",$B681=""),"",IF(ISNUMBER($A681),MOD($A681,100),IFERROR(VALUE(TRIM(MID(MID($A681,FIND("/",$A681)+1,20),FIND("/",MID($A681,FIND("/",$A681)+1,20))+1,20))),"")))</f>
        <v/>
      </c>
      <c r="E681">
        <f>IF($A681="","",IF(OR($B681="",$C681="",$D681="",$B681&lt;1300,$B681&gt;1500,$C681&lt;1,$C681&gt;12,$D681&lt;1,$D681&gt;31),"نامعتبر",RIGHT("0000"&amp;$B681,4)&amp;"/"&amp;RIGHT("00"&amp;$C681,2)&amp;"/"&amp;RIGHT("00"&amp;$D681,2)))</f>
        <v/>
      </c>
      <c r="F681">
        <f>IF(OR($E681="",$E681="نامعتبر"),"",LEFT($E681,4)&amp;"/"&amp;MID($E681,6,2))</f>
        <v/>
      </c>
      <c r="G681">
        <f>IF(OR($E681="",$E681="نامعتبر",Sync!$Y678=""),"",Sync!$Y678)</f>
        <v/>
      </c>
      <c r="H681">
        <f>IF($G681="","",IF(Sync!$X678="","",Sync!$X678))</f>
        <v/>
      </c>
      <c r="I681">
        <f>IF($G681="","",IFERROR(VLOOKUP(Sync!$X678,OpTbl,3,0),""))</f>
        <v/>
      </c>
      <c r="J681">
        <f>IF(OR($G681="",Sync!$Z678=""),"",Sync!$Z678)</f>
        <v/>
      </c>
      <c r="K681">
        <f>IF(OR($G681="",Sync!$AA678=""),"",Sync!$AA678)</f>
        <v/>
      </c>
      <c r="L681">
        <f>IF($G681="",0,IF(Sync!$AB678="",0,Sync!$AB678))</f>
        <v/>
      </c>
      <c r="M681">
        <f>IF($G681="",0,IF(Sync!$AC678="",0,Sync!$AC678))</f>
        <v/>
      </c>
      <c r="N681">
        <f>IF($G681="","",IF($H681="مرجوعی خرید",-1,1)*($L681-$M681*IFERROR(VLOOKUP("P01",ParamTbl,3,0),1.5))*(1-IF($I681="خرید",IFERROR(VLOOKUP("P02",ParamTbl,3,0),1),0)/100))</f>
        <v/>
      </c>
      <c r="O681">
        <f>IF($G681="",0,IF($H681="مرجوعی خرید",-1,1)*IF(Sync!$AD678="",0,Sync!$AD678))</f>
        <v/>
      </c>
      <c r="P681">
        <f>IF(OR($G681="",Sync!$W678=""),"",Sync!$W678)</f>
        <v/>
      </c>
      <c r="Q681">
        <f>IF(OR($G681="",Sync!$AE678=""),"",Sync!$AE678)</f>
        <v/>
      </c>
      <c r="R681">
        <f>IF($G681="","",IF(Sync!$V678="","0000",IF(AND(ISNUMBER(Sync!$V678),Sync!$V678&gt;=0,Sync!$V678&lt;1),RIGHT("00"&amp;HOUR(Sync!$V678),2)&amp;RIGHT("00"&amp;MINUTE(Sync!$V678),2),IFERROR(RIGHT("00"&amp;VALUE(LEFT(Sync!$V678,FIND(":",Sync!$V678)-1)),2)&amp;RIGHT("00"&amp;VALUE(MID(Sync!$V678,FIND(":",Sync!$V678)+1,2)),2),"0000"))))</f>
        <v/>
      </c>
    </row>
    <row r="682">
      <c r="A682">
        <f>IF(Sync!$U679="","",Sync!$U679)</f>
        <v/>
      </c>
      <c r="B682">
        <f>IF($A682="","",IF(ISNUMBER($A682),IF(AND($A682&gt;=10000101,$A682&lt;=99991231),INT($A682/10000),""),IFERROR(VALUE(TRIM(LEFT($A682,FIND("/",$A682)-1))),"")))</f>
        <v/>
      </c>
      <c r="C682">
        <f>IF(OR($A682="",$B682=""),"",IF(ISNUMBER($A682),INT(MOD($A682,10000)/100),IFERROR(VALUE(TRIM(LEFT(MID($A682,FIND("/",$A682)+1,20),FIND("/",MID($A682,FIND("/",$A682)+1,20))-1))),"")))</f>
        <v/>
      </c>
      <c r="D682">
        <f>IF(OR($A682="",$B682=""),"",IF(ISNUMBER($A682),MOD($A682,100),IFERROR(VALUE(TRIM(MID(MID($A682,FIND("/",$A682)+1,20),FIND("/",MID($A682,FIND("/",$A682)+1,20))+1,20))),"")))</f>
        <v/>
      </c>
      <c r="E682">
        <f>IF($A682="","",IF(OR($B682="",$C682="",$D682="",$B682&lt;1300,$B682&gt;1500,$C682&lt;1,$C682&gt;12,$D682&lt;1,$D682&gt;31),"نامعتبر",RIGHT("0000"&amp;$B682,4)&amp;"/"&amp;RIGHT("00"&amp;$C682,2)&amp;"/"&amp;RIGHT("00"&amp;$D682,2)))</f>
        <v/>
      </c>
      <c r="F682">
        <f>IF(OR($E682="",$E682="نامعتبر"),"",LEFT($E682,4)&amp;"/"&amp;MID($E682,6,2))</f>
        <v/>
      </c>
      <c r="G682">
        <f>IF(OR($E682="",$E682="نامعتبر",Sync!$Y679=""),"",Sync!$Y679)</f>
        <v/>
      </c>
      <c r="H682">
        <f>IF($G682="","",IF(Sync!$X679="","",Sync!$X679))</f>
        <v/>
      </c>
      <c r="I682">
        <f>IF($G682="","",IFERROR(VLOOKUP(Sync!$X679,OpTbl,3,0),""))</f>
        <v/>
      </c>
      <c r="J682">
        <f>IF(OR($G682="",Sync!$Z679=""),"",Sync!$Z679)</f>
        <v/>
      </c>
      <c r="K682">
        <f>IF(OR($G682="",Sync!$AA679=""),"",Sync!$AA679)</f>
        <v/>
      </c>
      <c r="L682">
        <f>IF($G682="",0,IF(Sync!$AB679="",0,Sync!$AB679))</f>
        <v/>
      </c>
      <c r="M682">
        <f>IF($G682="",0,IF(Sync!$AC679="",0,Sync!$AC679))</f>
        <v/>
      </c>
      <c r="N682">
        <f>IF($G682="","",IF($H682="مرجوعی خرید",-1,1)*($L682-$M682*IFERROR(VLOOKUP("P01",ParamTbl,3,0),1.5))*(1-IF($I682="خرید",IFERROR(VLOOKUP("P02",ParamTbl,3,0),1),0)/100))</f>
        <v/>
      </c>
      <c r="O682">
        <f>IF($G682="",0,IF($H682="مرجوعی خرید",-1,1)*IF(Sync!$AD679="",0,Sync!$AD679))</f>
        <v/>
      </c>
      <c r="P682">
        <f>IF(OR($G682="",Sync!$W679=""),"",Sync!$W679)</f>
        <v/>
      </c>
      <c r="Q682">
        <f>IF(OR($G682="",Sync!$AE679=""),"",Sync!$AE679)</f>
        <v/>
      </c>
      <c r="R682">
        <f>IF($G682="","",IF(Sync!$V679="","0000",IF(AND(ISNUMBER(Sync!$V679),Sync!$V679&gt;=0,Sync!$V679&lt;1),RIGHT("00"&amp;HOUR(Sync!$V679),2)&amp;RIGHT("00"&amp;MINUTE(Sync!$V679),2),IFERROR(RIGHT("00"&amp;VALUE(LEFT(Sync!$V679,FIND(":",Sync!$V679)-1)),2)&amp;RIGHT("00"&amp;VALUE(MID(Sync!$V679,FIND(":",Sync!$V679)+1,2)),2),"0000"))))</f>
        <v/>
      </c>
    </row>
    <row r="683">
      <c r="A683">
        <f>IF(Sync!$U680="","",Sync!$U680)</f>
        <v/>
      </c>
      <c r="B683">
        <f>IF($A683="","",IF(ISNUMBER($A683),IF(AND($A683&gt;=10000101,$A683&lt;=99991231),INT($A683/10000),""),IFERROR(VALUE(TRIM(LEFT($A683,FIND("/",$A683)-1))),"")))</f>
        <v/>
      </c>
      <c r="C683">
        <f>IF(OR($A683="",$B683=""),"",IF(ISNUMBER($A683),INT(MOD($A683,10000)/100),IFERROR(VALUE(TRIM(LEFT(MID($A683,FIND("/",$A683)+1,20),FIND("/",MID($A683,FIND("/",$A683)+1,20))-1))),"")))</f>
        <v/>
      </c>
      <c r="D683">
        <f>IF(OR($A683="",$B683=""),"",IF(ISNUMBER($A683),MOD($A683,100),IFERROR(VALUE(TRIM(MID(MID($A683,FIND("/",$A683)+1,20),FIND("/",MID($A683,FIND("/",$A683)+1,20))+1,20))),"")))</f>
        <v/>
      </c>
      <c r="E683">
        <f>IF($A683="","",IF(OR($B683="",$C683="",$D683="",$B683&lt;1300,$B683&gt;1500,$C683&lt;1,$C683&gt;12,$D683&lt;1,$D683&gt;31),"نامعتبر",RIGHT("0000"&amp;$B683,4)&amp;"/"&amp;RIGHT("00"&amp;$C683,2)&amp;"/"&amp;RIGHT("00"&amp;$D683,2)))</f>
        <v/>
      </c>
      <c r="F683">
        <f>IF(OR($E683="",$E683="نامعتبر"),"",LEFT($E683,4)&amp;"/"&amp;MID($E683,6,2))</f>
        <v/>
      </c>
      <c r="G683">
        <f>IF(OR($E683="",$E683="نامعتبر",Sync!$Y680=""),"",Sync!$Y680)</f>
        <v/>
      </c>
      <c r="H683">
        <f>IF($G683="","",IF(Sync!$X680="","",Sync!$X680))</f>
        <v/>
      </c>
      <c r="I683">
        <f>IF($G683="","",IFERROR(VLOOKUP(Sync!$X680,OpTbl,3,0),""))</f>
        <v/>
      </c>
      <c r="J683">
        <f>IF(OR($G683="",Sync!$Z680=""),"",Sync!$Z680)</f>
        <v/>
      </c>
      <c r="K683">
        <f>IF(OR($G683="",Sync!$AA680=""),"",Sync!$AA680)</f>
        <v/>
      </c>
      <c r="L683">
        <f>IF($G683="",0,IF(Sync!$AB680="",0,Sync!$AB680))</f>
        <v/>
      </c>
      <c r="M683">
        <f>IF($G683="",0,IF(Sync!$AC680="",0,Sync!$AC680))</f>
        <v/>
      </c>
      <c r="N683">
        <f>IF($G683="","",IF($H683="مرجوعی خرید",-1,1)*($L683-$M683*IFERROR(VLOOKUP("P01",ParamTbl,3,0),1.5))*(1-IF($I683="خرید",IFERROR(VLOOKUP("P02",ParamTbl,3,0),1),0)/100))</f>
        <v/>
      </c>
      <c r="O683">
        <f>IF($G683="",0,IF($H683="مرجوعی خرید",-1,1)*IF(Sync!$AD680="",0,Sync!$AD680))</f>
        <v/>
      </c>
      <c r="P683">
        <f>IF(OR($G683="",Sync!$W680=""),"",Sync!$W680)</f>
        <v/>
      </c>
      <c r="Q683">
        <f>IF(OR($G683="",Sync!$AE680=""),"",Sync!$AE680)</f>
        <v/>
      </c>
      <c r="R683">
        <f>IF($G683="","",IF(Sync!$V680="","0000",IF(AND(ISNUMBER(Sync!$V680),Sync!$V680&gt;=0,Sync!$V680&lt;1),RIGHT("00"&amp;HOUR(Sync!$V680),2)&amp;RIGHT("00"&amp;MINUTE(Sync!$V680),2),IFERROR(RIGHT("00"&amp;VALUE(LEFT(Sync!$V680,FIND(":",Sync!$V680)-1)),2)&amp;RIGHT("00"&amp;VALUE(MID(Sync!$V680,FIND(":",Sync!$V680)+1,2)),2),"0000"))))</f>
        <v/>
      </c>
    </row>
    <row r="684">
      <c r="A684">
        <f>IF(Sync!$U681="","",Sync!$U681)</f>
        <v/>
      </c>
      <c r="B684">
        <f>IF($A684="","",IF(ISNUMBER($A684),IF(AND($A684&gt;=10000101,$A684&lt;=99991231),INT($A684/10000),""),IFERROR(VALUE(TRIM(LEFT($A684,FIND("/",$A684)-1))),"")))</f>
        <v/>
      </c>
      <c r="C684">
        <f>IF(OR($A684="",$B684=""),"",IF(ISNUMBER($A684),INT(MOD($A684,10000)/100),IFERROR(VALUE(TRIM(LEFT(MID($A684,FIND("/",$A684)+1,20),FIND("/",MID($A684,FIND("/",$A684)+1,20))-1))),"")))</f>
        <v/>
      </c>
      <c r="D684">
        <f>IF(OR($A684="",$B684=""),"",IF(ISNUMBER($A684),MOD($A684,100),IFERROR(VALUE(TRIM(MID(MID($A684,FIND("/",$A684)+1,20),FIND("/",MID($A684,FIND("/",$A684)+1,20))+1,20))),"")))</f>
        <v/>
      </c>
      <c r="E684">
        <f>IF($A684="","",IF(OR($B684="",$C684="",$D684="",$B684&lt;1300,$B684&gt;1500,$C684&lt;1,$C684&gt;12,$D684&lt;1,$D684&gt;31),"نامعتبر",RIGHT("0000"&amp;$B684,4)&amp;"/"&amp;RIGHT("00"&amp;$C684,2)&amp;"/"&amp;RIGHT("00"&amp;$D684,2)))</f>
        <v/>
      </c>
      <c r="F684">
        <f>IF(OR($E684="",$E684="نامعتبر"),"",LEFT($E684,4)&amp;"/"&amp;MID($E684,6,2))</f>
        <v/>
      </c>
      <c r="G684">
        <f>IF(OR($E684="",$E684="نامعتبر",Sync!$Y681=""),"",Sync!$Y681)</f>
        <v/>
      </c>
      <c r="H684">
        <f>IF($G684="","",IF(Sync!$X681="","",Sync!$X681))</f>
        <v/>
      </c>
      <c r="I684">
        <f>IF($G684="","",IFERROR(VLOOKUP(Sync!$X681,OpTbl,3,0),""))</f>
        <v/>
      </c>
      <c r="J684">
        <f>IF(OR($G684="",Sync!$Z681=""),"",Sync!$Z681)</f>
        <v/>
      </c>
      <c r="K684">
        <f>IF(OR($G684="",Sync!$AA681=""),"",Sync!$AA681)</f>
        <v/>
      </c>
      <c r="L684">
        <f>IF($G684="",0,IF(Sync!$AB681="",0,Sync!$AB681))</f>
        <v/>
      </c>
      <c r="M684">
        <f>IF($G684="",0,IF(Sync!$AC681="",0,Sync!$AC681))</f>
        <v/>
      </c>
      <c r="N684">
        <f>IF($G684="","",IF($H684="مرجوعی خرید",-1,1)*($L684-$M684*IFERROR(VLOOKUP("P01",ParamTbl,3,0),1.5))*(1-IF($I684="خرید",IFERROR(VLOOKUP("P02",ParamTbl,3,0),1),0)/100))</f>
        <v/>
      </c>
      <c r="O684">
        <f>IF($G684="",0,IF($H684="مرجوعی خرید",-1,1)*IF(Sync!$AD681="",0,Sync!$AD681))</f>
        <v/>
      </c>
      <c r="P684">
        <f>IF(OR($G684="",Sync!$W681=""),"",Sync!$W681)</f>
        <v/>
      </c>
      <c r="Q684">
        <f>IF(OR($G684="",Sync!$AE681=""),"",Sync!$AE681)</f>
        <v/>
      </c>
      <c r="R684">
        <f>IF($G684="","",IF(Sync!$V681="","0000",IF(AND(ISNUMBER(Sync!$V681),Sync!$V681&gt;=0,Sync!$V681&lt;1),RIGHT("00"&amp;HOUR(Sync!$V681),2)&amp;RIGHT("00"&amp;MINUTE(Sync!$V681),2),IFERROR(RIGHT("00"&amp;VALUE(LEFT(Sync!$V681,FIND(":",Sync!$V681)-1)),2)&amp;RIGHT("00"&amp;VALUE(MID(Sync!$V681,FIND(":",Sync!$V681)+1,2)),2),"0000"))))</f>
        <v/>
      </c>
    </row>
    <row r="685">
      <c r="A685">
        <f>IF(Sync!$U682="","",Sync!$U682)</f>
        <v/>
      </c>
      <c r="B685">
        <f>IF($A685="","",IF(ISNUMBER($A685),IF(AND($A685&gt;=10000101,$A685&lt;=99991231),INT($A685/10000),""),IFERROR(VALUE(TRIM(LEFT($A685,FIND("/",$A685)-1))),"")))</f>
        <v/>
      </c>
      <c r="C685">
        <f>IF(OR($A685="",$B685=""),"",IF(ISNUMBER($A685),INT(MOD($A685,10000)/100),IFERROR(VALUE(TRIM(LEFT(MID($A685,FIND("/",$A685)+1,20),FIND("/",MID($A685,FIND("/",$A685)+1,20))-1))),"")))</f>
        <v/>
      </c>
      <c r="D685">
        <f>IF(OR($A685="",$B685=""),"",IF(ISNUMBER($A685),MOD($A685,100),IFERROR(VALUE(TRIM(MID(MID($A685,FIND("/",$A685)+1,20),FIND("/",MID($A685,FIND("/",$A685)+1,20))+1,20))),"")))</f>
        <v/>
      </c>
      <c r="E685">
        <f>IF($A685="","",IF(OR($B685="",$C685="",$D685="",$B685&lt;1300,$B685&gt;1500,$C685&lt;1,$C685&gt;12,$D685&lt;1,$D685&gt;31),"نامعتبر",RIGHT("0000"&amp;$B685,4)&amp;"/"&amp;RIGHT("00"&amp;$C685,2)&amp;"/"&amp;RIGHT("00"&amp;$D685,2)))</f>
        <v/>
      </c>
      <c r="F685">
        <f>IF(OR($E685="",$E685="نامعتبر"),"",LEFT($E685,4)&amp;"/"&amp;MID($E685,6,2))</f>
        <v/>
      </c>
      <c r="G685">
        <f>IF(OR($E685="",$E685="نامعتبر",Sync!$Y682=""),"",Sync!$Y682)</f>
        <v/>
      </c>
      <c r="H685">
        <f>IF($G685="","",IF(Sync!$X682="","",Sync!$X682))</f>
        <v/>
      </c>
      <c r="I685">
        <f>IF($G685="","",IFERROR(VLOOKUP(Sync!$X682,OpTbl,3,0),""))</f>
        <v/>
      </c>
      <c r="J685">
        <f>IF(OR($G685="",Sync!$Z682=""),"",Sync!$Z682)</f>
        <v/>
      </c>
      <c r="K685">
        <f>IF(OR($G685="",Sync!$AA682=""),"",Sync!$AA682)</f>
        <v/>
      </c>
      <c r="L685">
        <f>IF($G685="",0,IF(Sync!$AB682="",0,Sync!$AB682))</f>
        <v/>
      </c>
      <c r="M685">
        <f>IF($G685="",0,IF(Sync!$AC682="",0,Sync!$AC682))</f>
        <v/>
      </c>
      <c r="N685">
        <f>IF($G685="","",IF($H685="مرجوعی خرید",-1,1)*($L685-$M685*IFERROR(VLOOKUP("P01",ParamTbl,3,0),1.5))*(1-IF($I685="خرید",IFERROR(VLOOKUP("P02",ParamTbl,3,0),1),0)/100))</f>
        <v/>
      </c>
      <c r="O685">
        <f>IF($G685="",0,IF($H685="مرجوعی خرید",-1,1)*IF(Sync!$AD682="",0,Sync!$AD682))</f>
        <v/>
      </c>
      <c r="P685">
        <f>IF(OR($G685="",Sync!$W682=""),"",Sync!$W682)</f>
        <v/>
      </c>
      <c r="Q685">
        <f>IF(OR($G685="",Sync!$AE682=""),"",Sync!$AE682)</f>
        <v/>
      </c>
      <c r="R685">
        <f>IF($G685="","",IF(Sync!$V682="","0000",IF(AND(ISNUMBER(Sync!$V682),Sync!$V682&gt;=0,Sync!$V682&lt;1),RIGHT("00"&amp;HOUR(Sync!$V682),2)&amp;RIGHT("00"&amp;MINUTE(Sync!$V682),2),IFERROR(RIGHT("00"&amp;VALUE(LEFT(Sync!$V682,FIND(":",Sync!$V682)-1)),2)&amp;RIGHT("00"&amp;VALUE(MID(Sync!$V682,FIND(":",Sync!$V682)+1,2)),2),"0000"))))</f>
        <v/>
      </c>
    </row>
    <row r="686">
      <c r="A686">
        <f>IF(Sync!$U683="","",Sync!$U683)</f>
        <v/>
      </c>
      <c r="B686">
        <f>IF($A686="","",IF(ISNUMBER($A686),IF(AND($A686&gt;=10000101,$A686&lt;=99991231),INT($A686/10000),""),IFERROR(VALUE(TRIM(LEFT($A686,FIND("/",$A686)-1))),"")))</f>
        <v/>
      </c>
      <c r="C686">
        <f>IF(OR($A686="",$B686=""),"",IF(ISNUMBER($A686),INT(MOD($A686,10000)/100),IFERROR(VALUE(TRIM(LEFT(MID($A686,FIND("/",$A686)+1,20),FIND("/",MID($A686,FIND("/",$A686)+1,20))-1))),"")))</f>
        <v/>
      </c>
      <c r="D686">
        <f>IF(OR($A686="",$B686=""),"",IF(ISNUMBER($A686),MOD($A686,100),IFERROR(VALUE(TRIM(MID(MID($A686,FIND("/",$A686)+1,20),FIND("/",MID($A686,FIND("/",$A686)+1,20))+1,20))),"")))</f>
        <v/>
      </c>
      <c r="E686">
        <f>IF($A686="","",IF(OR($B686="",$C686="",$D686="",$B686&lt;1300,$B686&gt;1500,$C686&lt;1,$C686&gt;12,$D686&lt;1,$D686&gt;31),"نامعتبر",RIGHT("0000"&amp;$B686,4)&amp;"/"&amp;RIGHT("00"&amp;$C686,2)&amp;"/"&amp;RIGHT("00"&amp;$D686,2)))</f>
        <v/>
      </c>
      <c r="F686">
        <f>IF(OR($E686="",$E686="نامعتبر"),"",LEFT($E686,4)&amp;"/"&amp;MID($E686,6,2))</f>
        <v/>
      </c>
      <c r="G686">
        <f>IF(OR($E686="",$E686="نامعتبر",Sync!$Y683=""),"",Sync!$Y683)</f>
        <v/>
      </c>
      <c r="H686">
        <f>IF($G686="","",IF(Sync!$X683="","",Sync!$X683))</f>
        <v/>
      </c>
      <c r="I686">
        <f>IF($G686="","",IFERROR(VLOOKUP(Sync!$X683,OpTbl,3,0),""))</f>
        <v/>
      </c>
      <c r="J686">
        <f>IF(OR($G686="",Sync!$Z683=""),"",Sync!$Z683)</f>
        <v/>
      </c>
      <c r="K686">
        <f>IF(OR($G686="",Sync!$AA683=""),"",Sync!$AA683)</f>
        <v/>
      </c>
      <c r="L686">
        <f>IF($G686="",0,IF(Sync!$AB683="",0,Sync!$AB683))</f>
        <v/>
      </c>
      <c r="M686">
        <f>IF($G686="",0,IF(Sync!$AC683="",0,Sync!$AC683))</f>
        <v/>
      </c>
      <c r="N686">
        <f>IF($G686="","",IF($H686="مرجوعی خرید",-1,1)*($L686-$M686*IFERROR(VLOOKUP("P01",ParamTbl,3,0),1.5))*(1-IF($I686="خرید",IFERROR(VLOOKUP("P02",ParamTbl,3,0),1),0)/100))</f>
        <v/>
      </c>
      <c r="O686">
        <f>IF($G686="",0,IF($H686="مرجوعی خرید",-1,1)*IF(Sync!$AD683="",0,Sync!$AD683))</f>
        <v/>
      </c>
      <c r="P686">
        <f>IF(OR($G686="",Sync!$W683=""),"",Sync!$W683)</f>
        <v/>
      </c>
      <c r="Q686">
        <f>IF(OR($G686="",Sync!$AE683=""),"",Sync!$AE683)</f>
        <v/>
      </c>
      <c r="R686">
        <f>IF($G686="","",IF(Sync!$V683="","0000",IF(AND(ISNUMBER(Sync!$V683),Sync!$V683&gt;=0,Sync!$V683&lt;1),RIGHT("00"&amp;HOUR(Sync!$V683),2)&amp;RIGHT("00"&amp;MINUTE(Sync!$V683),2),IFERROR(RIGHT("00"&amp;VALUE(LEFT(Sync!$V683,FIND(":",Sync!$V683)-1)),2)&amp;RIGHT("00"&amp;VALUE(MID(Sync!$V683,FIND(":",Sync!$V683)+1,2)),2),"0000"))))</f>
        <v/>
      </c>
    </row>
    <row r="687">
      <c r="A687">
        <f>IF(Sync!$U684="","",Sync!$U684)</f>
        <v/>
      </c>
      <c r="B687">
        <f>IF($A687="","",IF(ISNUMBER($A687),IF(AND($A687&gt;=10000101,$A687&lt;=99991231),INT($A687/10000),""),IFERROR(VALUE(TRIM(LEFT($A687,FIND("/",$A687)-1))),"")))</f>
        <v/>
      </c>
      <c r="C687">
        <f>IF(OR($A687="",$B687=""),"",IF(ISNUMBER($A687),INT(MOD($A687,10000)/100),IFERROR(VALUE(TRIM(LEFT(MID($A687,FIND("/",$A687)+1,20),FIND("/",MID($A687,FIND("/",$A687)+1,20))-1))),"")))</f>
        <v/>
      </c>
      <c r="D687">
        <f>IF(OR($A687="",$B687=""),"",IF(ISNUMBER($A687),MOD($A687,100),IFERROR(VALUE(TRIM(MID(MID($A687,FIND("/",$A687)+1,20),FIND("/",MID($A687,FIND("/",$A687)+1,20))+1,20))),"")))</f>
        <v/>
      </c>
      <c r="E687">
        <f>IF($A687="","",IF(OR($B687="",$C687="",$D687="",$B687&lt;1300,$B687&gt;1500,$C687&lt;1,$C687&gt;12,$D687&lt;1,$D687&gt;31),"نامعتبر",RIGHT("0000"&amp;$B687,4)&amp;"/"&amp;RIGHT("00"&amp;$C687,2)&amp;"/"&amp;RIGHT("00"&amp;$D687,2)))</f>
        <v/>
      </c>
      <c r="F687">
        <f>IF(OR($E687="",$E687="نامعتبر"),"",LEFT($E687,4)&amp;"/"&amp;MID($E687,6,2))</f>
        <v/>
      </c>
      <c r="G687">
        <f>IF(OR($E687="",$E687="نامعتبر",Sync!$Y684=""),"",Sync!$Y684)</f>
        <v/>
      </c>
      <c r="H687">
        <f>IF($G687="","",IF(Sync!$X684="","",Sync!$X684))</f>
        <v/>
      </c>
      <c r="I687">
        <f>IF($G687="","",IFERROR(VLOOKUP(Sync!$X684,OpTbl,3,0),""))</f>
        <v/>
      </c>
      <c r="J687">
        <f>IF(OR($G687="",Sync!$Z684=""),"",Sync!$Z684)</f>
        <v/>
      </c>
      <c r="K687">
        <f>IF(OR($G687="",Sync!$AA684=""),"",Sync!$AA684)</f>
        <v/>
      </c>
      <c r="L687">
        <f>IF($G687="",0,IF(Sync!$AB684="",0,Sync!$AB684))</f>
        <v/>
      </c>
      <c r="M687">
        <f>IF($G687="",0,IF(Sync!$AC684="",0,Sync!$AC684))</f>
        <v/>
      </c>
      <c r="N687">
        <f>IF($G687="","",IF($H687="مرجوعی خرید",-1,1)*($L687-$M687*IFERROR(VLOOKUP("P01",ParamTbl,3,0),1.5))*(1-IF($I687="خرید",IFERROR(VLOOKUP("P02",ParamTbl,3,0),1),0)/100))</f>
        <v/>
      </c>
      <c r="O687">
        <f>IF($G687="",0,IF($H687="مرجوعی خرید",-1,1)*IF(Sync!$AD684="",0,Sync!$AD684))</f>
        <v/>
      </c>
      <c r="P687">
        <f>IF(OR($G687="",Sync!$W684=""),"",Sync!$W684)</f>
        <v/>
      </c>
      <c r="Q687">
        <f>IF(OR($G687="",Sync!$AE684=""),"",Sync!$AE684)</f>
        <v/>
      </c>
      <c r="R687">
        <f>IF($G687="","",IF(Sync!$V684="","0000",IF(AND(ISNUMBER(Sync!$V684),Sync!$V684&gt;=0,Sync!$V684&lt;1),RIGHT("00"&amp;HOUR(Sync!$V684),2)&amp;RIGHT("00"&amp;MINUTE(Sync!$V684),2),IFERROR(RIGHT("00"&amp;VALUE(LEFT(Sync!$V684,FIND(":",Sync!$V684)-1)),2)&amp;RIGHT("00"&amp;VALUE(MID(Sync!$V684,FIND(":",Sync!$V684)+1,2)),2),"0000"))))</f>
        <v/>
      </c>
    </row>
    <row r="688">
      <c r="A688">
        <f>IF(Sync!$U685="","",Sync!$U685)</f>
        <v/>
      </c>
      <c r="B688">
        <f>IF($A688="","",IF(ISNUMBER($A688),IF(AND($A688&gt;=10000101,$A688&lt;=99991231),INT($A688/10000),""),IFERROR(VALUE(TRIM(LEFT($A688,FIND("/",$A688)-1))),"")))</f>
        <v/>
      </c>
      <c r="C688">
        <f>IF(OR($A688="",$B688=""),"",IF(ISNUMBER($A688),INT(MOD($A688,10000)/100),IFERROR(VALUE(TRIM(LEFT(MID($A688,FIND("/",$A688)+1,20),FIND("/",MID($A688,FIND("/",$A688)+1,20))-1))),"")))</f>
        <v/>
      </c>
      <c r="D688">
        <f>IF(OR($A688="",$B688=""),"",IF(ISNUMBER($A688),MOD($A688,100),IFERROR(VALUE(TRIM(MID(MID($A688,FIND("/",$A688)+1,20),FIND("/",MID($A688,FIND("/",$A688)+1,20))+1,20))),"")))</f>
        <v/>
      </c>
      <c r="E688">
        <f>IF($A688="","",IF(OR($B688="",$C688="",$D688="",$B688&lt;1300,$B688&gt;1500,$C688&lt;1,$C688&gt;12,$D688&lt;1,$D688&gt;31),"نامعتبر",RIGHT("0000"&amp;$B688,4)&amp;"/"&amp;RIGHT("00"&amp;$C688,2)&amp;"/"&amp;RIGHT("00"&amp;$D688,2)))</f>
        <v/>
      </c>
      <c r="F688">
        <f>IF(OR($E688="",$E688="نامعتبر"),"",LEFT($E688,4)&amp;"/"&amp;MID($E688,6,2))</f>
        <v/>
      </c>
      <c r="G688">
        <f>IF(OR($E688="",$E688="نامعتبر",Sync!$Y685=""),"",Sync!$Y685)</f>
        <v/>
      </c>
      <c r="H688">
        <f>IF($G688="","",IF(Sync!$X685="","",Sync!$X685))</f>
        <v/>
      </c>
      <c r="I688">
        <f>IF($G688="","",IFERROR(VLOOKUP(Sync!$X685,OpTbl,3,0),""))</f>
        <v/>
      </c>
      <c r="J688">
        <f>IF(OR($G688="",Sync!$Z685=""),"",Sync!$Z685)</f>
        <v/>
      </c>
      <c r="K688">
        <f>IF(OR($G688="",Sync!$AA685=""),"",Sync!$AA685)</f>
        <v/>
      </c>
      <c r="L688">
        <f>IF($G688="",0,IF(Sync!$AB685="",0,Sync!$AB685))</f>
        <v/>
      </c>
      <c r="M688">
        <f>IF($G688="",0,IF(Sync!$AC685="",0,Sync!$AC685))</f>
        <v/>
      </c>
      <c r="N688">
        <f>IF($G688="","",IF($H688="مرجوعی خرید",-1,1)*($L688-$M688*IFERROR(VLOOKUP("P01",ParamTbl,3,0),1.5))*(1-IF($I688="خرید",IFERROR(VLOOKUP("P02",ParamTbl,3,0),1),0)/100))</f>
        <v/>
      </c>
      <c r="O688">
        <f>IF($G688="",0,IF($H688="مرجوعی خرید",-1,1)*IF(Sync!$AD685="",0,Sync!$AD685))</f>
        <v/>
      </c>
      <c r="P688">
        <f>IF(OR($G688="",Sync!$W685=""),"",Sync!$W685)</f>
        <v/>
      </c>
      <c r="Q688">
        <f>IF(OR($G688="",Sync!$AE685=""),"",Sync!$AE685)</f>
        <v/>
      </c>
      <c r="R688">
        <f>IF($G688="","",IF(Sync!$V685="","0000",IF(AND(ISNUMBER(Sync!$V685),Sync!$V685&gt;=0,Sync!$V685&lt;1),RIGHT("00"&amp;HOUR(Sync!$V685),2)&amp;RIGHT("00"&amp;MINUTE(Sync!$V685),2),IFERROR(RIGHT("00"&amp;VALUE(LEFT(Sync!$V685,FIND(":",Sync!$V685)-1)),2)&amp;RIGHT("00"&amp;VALUE(MID(Sync!$V685,FIND(":",Sync!$V685)+1,2)),2),"0000"))))</f>
        <v/>
      </c>
    </row>
    <row r="689">
      <c r="A689">
        <f>IF(Sync!$U686="","",Sync!$U686)</f>
        <v/>
      </c>
      <c r="B689">
        <f>IF($A689="","",IF(ISNUMBER($A689),IF(AND($A689&gt;=10000101,$A689&lt;=99991231),INT($A689/10000),""),IFERROR(VALUE(TRIM(LEFT($A689,FIND("/",$A689)-1))),"")))</f>
        <v/>
      </c>
      <c r="C689">
        <f>IF(OR($A689="",$B689=""),"",IF(ISNUMBER($A689),INT(MOD($A689,10000)/100),IFERROR(VALUE(TRIM(LEFT(MID($A689,FIND("/",$A689)+1,20),FIND("/",MID($A689,FIND("/",$A689)+1,20))-1))),"")))</f>
        <v/>
      </c>
      <c r="D689">
        <f>IF(OR($A689="",$B689=""),"",IF(ISNUMBER($A689),MOD($A689,100),IFERROR(VALUE(TRIM(MID(MID($A689,FIND("/",$A689)+1,20),FIND("/",MID($A689,FIND("/",$A689)+1,20))+1,20))),"")))</f>
        <v/>
      </c>
      <c r="E689">
        <f>IF($A689="","",IF(OR($B689="",$C689="",$D689="",$B689&lt;1300,$B689&gt;1500,$C689&lt;1,$C689&gt;12,$D689&lt;1,$D689&gt;31),"نامعتبر",RIGHT("0000"&amp;$B689,4)&amp;"/"&amp;RIGHT("00"&amp;$C689,2)&amp;"/"&amp;RIGHT("00"&amp;$D689,2)))</f>
        <v/>
      </c>
      <c r="F689">
        <f>IF(OR($E689="",$E689="نامعتبر"),"",LEFT($E689,4)&amp;"/"&amp;MID($E689,6,2))</f>
        <v/>
      </c>
      <c r="G689">
        <f>IF(OR($E689="",$E689="نامعتبر",Sync!$Y686=""),"",Sync!$Y686)</f>
        <v/>
      </c>
      <c r="H689">
        <f>IF($G689="","",IF(Sync!$X686="","",Sync!$X686))</f>
        <v/>
      </c>
      <c r="I689">
        <f>IF($G689="","",IFERROR(VLOOKUP(Sync!$X686,OpTbl,3,0),""))</f>
        <v/>
      </c>
      <c r="J689">
        <f>IF(OR($G689="",Sync!$Z686=""),"",Sync!$Z686)</f>
        <v/>
      </c>
      <c r="K689">
        <f>IF(OR($G689="",Sync!$AA686=""),"",Sync!$AA686)</f>
        <v/>
      </c>
      <c r="L689">
        <f>IF($G689="",0,IF(Sync!$AB686="",0,Sync!$AB686))</f>
        <v/>
      </c>
      <c r="M689">
        <f>IF($G689="",0,IF(Sync!$AC686="",0,Sync!$AC686))</f>
        <v/>
      </c>
      <c r="N689">
        <f>IF($G689="","",IF($H689="مرجوعی خرید",-1,1)*($L689-$M689*IFERROR(VLOOKUP("P01",ParamTbl,3,0),1.5))*(1-IF($I689="خرید",IFERROR(VLOOKUP("P02",ParamTbl,3,0),1),0)/100))</f>
        <v/>
      </c>
      <c r="O689">
        <f>IF($G689="",0,IF($H689="مرجوعی خرید",-1,1)*IF(Sync!$AD686="",0,Sync!$AD686))</f>
        <v/>
      </c>
      <c r="P689">
        <f>IF(OR($G689="",Sync!$W686=""),"",Sync!$W686)</f>
        <v/>
      </c>
      <c r="Q689">
        <f>IF(OR($G689="",Sync!$AE686=""),"",Sync!$AE686)</f>
        <v/>
      </c>
      <c r="R689">
        <f>IF($G689="","",IF(Sync!$V686="","0000",IF(AND(ISNUMBER(Sync!$V686),Sync!$V686&gt;=0,Sync!$V686&lt;1),RIGHT("00"&amp;HOUR(Sync!$V686),2)&amp;RIGHT("00"&amp;MINUTE(Sync!$V686),2),IFERROR(RIGHT("00"&amp;VALUE(LEFT(Sync!$V686,FIND(":",Sync!$V686)-1)),2)&amp;RIGHT("00"&amp;VALUE(MID(Sync!$V686,FIND(":",Sync!$V686)+1,2)),2),"0000"))))</f>
        <v/>
      </c>
    </row>
    <row r="690">
      <c r="A690">
        <f>IF(Sync!$U687="","",Sync!$U687)</f>
        <v/>
      </c>
      <c r="B690">
        <f>IF($A690="","",IF(ISNUMBER($A690),IF(AND($A690&gt;=10000101,$A690&lt;=99991231),INT($A690/10000),""),IFERROR(VALUE(TRIM(LEFT($A690,FIND("/",$A690)-1))),"")))</f>
        <v/>
      </c>
      <c r="C690">
        <f>IF(OR($A690="",$B690=""),"",IF(ISNUMBER($A690),INT(MOD($A690,10000)/100),IFERROR(VALUE(TRIM(LEFT(MID($A690,FIND("/",$A690)+1,20),FIND("/",MID($A690,FIND("/",$A690)+1,20))-1))),"")))</f>
        <v/>
      </c>
      <c r="D690">
        <f>IF(OR($A690="",$B690=""),"",IF(ISNUMBER($A690),MOD($A690,100),IFERROR(VALUE(TRIM(MID(MID($A690,FIND("/",$A690)+1,20),FIND("/",MID($A690,FIND("/",$A690)+1,20))+1,20))),"")))</f>
        <v/>
      </c>
      <c r="E690">
        <f>IF($A690="","",IF(OR($B690="",$C690="",$D690="",$B690&lt;1300,$B690&gt;1500,$C690&lt;1,$C690&gt;12,$D690&lt;1,$D690&gt;31),"نامعتبر",RIGHT("0000"&amp;$B690,4)&amp;"/"&amp;RIGHT("00"&amp;$C690,2)&amp;"/"&amp;RIGHT("00"&amp;$D690,2)))</f>
        <v/>
      </c>
      <c r="F690">
        <f>IF(OR($E690="",$E690="نامعتبر"),"",LEFT($E690,4)&amp;"/"&amp;MID($E690,6,2))</f>
        <v/>
      </c>
      <c r="G690">
        <f>IF(OR($E690="",$E690="نامعتبر",Sync!$Y687=""),"",Sync!$Y687)</f>
        <v/>
      </c>
      <c r="H690">
        <f>IF($G690="","",IF(Sync!$X687="","",Sync!$X687))</f>
        <v/>
      </c>
      <c r="I690">
        <f>IF($G690="","",IFERROR(VLOOKUP(Sync!$X687,OpTbl,3,0),""))</f>
        <v/>
      </c>
      <c r="J690">
        <f>IF(OR($G690="",Sync!$Z687=""),"",Sync!$Z687)</f>
        <v/>
      </c>
      <c r="K690">
        <f>IF(OR($G690="",Sync!$AA687=""),"",Sync!$AA687)</f>
        <v/>
      </c>
      <c r="L690">
        <f>IF($G690="",0,IF(Sync!$AB687="",0,Sync!$AB687))</f>
        <v/>
      </c>
      <c r="M690">
        <f>IF($G690="",0,IF(Sync!$AC687="",0,Sync!$AC687))</f>
        <v/>
      </c>
      <c r="N690">
        <f>IF($G690="","",IF($H690="مرجوعی خرید",-1,1)*($L690-$M690*IFERROR(VLOOKUP("P01",ParamTbl,3,0),1.5))*(1-IF($I690="خرید",IFERROR(VLOOKUP("P02",ParamTbl,3,0),1),0)/100))</f>
        <v/>
      </c>
      <c r="O690">
        <f>IF($G690="",0,IF($H690="مرجوعی خرید",-1,1)*IF(Sync!$AD687="",0,Sync!$AD687))</f>
        <v/>
      </c>
      <c r="P690">
        <f>IF(OR($G690="",Sync!$W687=""),"",Sync!$W687)</f>
        <v/>
      </c>
      <c r="Q690">
        <f>IF(OR($G690="",Sync!$AE687=""),"",Sync!$AE687)</f>
        <v/>
      </c>
      <c r="R690">
        <f>IF($G690="","",IF(Sync!$V687="","0000",IF(AND(ISNUMBER(Sync!$V687),Sync!$V687&gt;=0,Sync!$V687&lt;1),RIGHT("00"&amp;HOUR(Sync!$V687),2)&amp;RIGHT("00"&amp;MINUTE(Sync!$V687),2),IFERROR(RIGHT("00"&amp;VALUE(LEFT(Sync!$V687,FIND(":",Sync!$V687)-1)),2)&amp;RIGHT("00"&amp;VALUE(MID(Sync!$V687,FIND(":",Sync!$V687)+1,2)),2),"0000"))))</f>
        <v/>
      </c>
    </row>
    <row r="691">
      <c r="A691">
        <f>IF(Sync!$U688="","",Sync!$U688)</f>
        <v/>
      </c>
      <c r="B691">
        <f>IF($A691="","",IF(ISNUMBER($A691),IF(AND($A691&gt;=10000101,$A691&lt;=99991231),INT($A691/10000),""),IFERROR(VALUE(TRIM(LEFT($A691,FIND("/",$A691)-1))),"")))</f>
        <v/>
      </c>
      <c r="C691">
        <f>IF(OR($A691="",$B691=""),"",IF(ISNUMBER($A691),INT(MOD($A691,10000)/100),IFERROR(VALUE(TRIM(LEFT(MID($A691,FIND("/",$A691)+1,20),FIND("/",MID($A691,FIND("/",$A691)+1,20))-1))),"")))</f>
        <v/>
      </c>
      <c r="D691">
        <f>IF(OR($A691="",$B691=""),"",IF(ISNUMBER($A691),MOD($A691,100),IFERROR(VALUE(TRIM(MID(MID($A691,FIND("/",$A691)+1,20),FIND("/",MID($A691,FIND("/",$A691)+1,20))+1,20))),"")))</f>
        <v/>
      </c>
      <c r="E691">
        <f>IF($A691="","",IF(OR($B691="",$C691="",$D691="",$B691&lt;1300,$B691&gt;1500,$C691&lt;1,$C691&gt;12,$D691&lt;1,$D691&gt;31),"نامعتبر",RIGHT("0000"&amp;$B691,4)&amp;"/"&amp;RIGHT("00"&amp;$C691,2)&amp;"/"&amp;RIGHT("00"&amp;$D691,2)))</f>
        <v/>
      </c>
      <c r="F691">
        <f>IF(OR($E691="",$E691="نامعتبر"),"",LEFT($E691,4)&amp;"/"&amp;MID($E691,6,2))</f>
        <v/>
      </c>
      <c r="G691">
        <f>IF(OR($E691="",$E691="نامعتبر",Sync!$Y688=""),"",Sync!$Y688)</f>
        <v/>
      </c>
      <c r="H691">
        <f>IF($G691="","",IF(Sync!$X688="","",Sync!$X688))</f>
        <v/>
      </c>
      <c r="I691">
        <f>IF($G691="","",IFERROR(VLOOKUP(Sync!$X688,OpTbl,3,0),""))</f>
        <v/>
      </c>
      <c r="J691">
        <f>IF(OR($G691="",Sync!$Z688=""),"",Sync!$Z688)</f>
        <v/>
      </c>
      <c r="K691">
        <f>IF(OR($G691="",Sync!$AA688=""),"",Sync!$AA688)</f>
        <v/>
      </c>
      <c r="L691">
        <f>IF($G691="",0,IF(Sync!$AB688="",0,Sync!$AB688))</f>
        <v/>
      </c>
      <c r="M691">
        <f>IF($G691="",0,IF(Sync!$AC688="",0,Sync!$AC688))</f>
        <v/>
      </c>
      <c r="N691">
        <f>IF($G691="","",IF($H691="مرجوعی خرید",-1,1)*($L691-$M691*IFERROR(VLOOKUP("P01",ParamTbl,3,0),1.5))*(1-IF($I691="خرید",IFERROR(VLOOKUP("P02",ParamTbl,3,0),1),0)/100))</f>
        <v/>
      </c>
      <c r="O691">
        <f>IF($G691="",0,IF($H691="مرجوعی خرید",-1,1)*IF(Sync!$AD688="",0,Sync!$AD688))</f>
        <v/>
      </c>
      <c r="P691">
        <f>IF(OR($G691="",Sync!$W688=""),"",Sync!$W688)</f>
        <v/>
      </c>
      <c r="Q691">
        <f>IF(OR($G691="",Sync!$AE688=""),"",Sync!$AE688)</f>
        <v/>
      </c>
      <c r="R691">
        <f>IF($G691="","",IF(Sync!$V688="","0000",IF(AND(ISNUMBER(Sync!$V688),Sync!$V688&gt;=0,Sync!$V688&lt;1),RIGHT("00"&amp;HOUR(Sync!$V688),2)&amp;RIGHT("00"&amp;MINUTE(Sync!$V688),2),IFERROR(RIGHT("00"&amp;VALUE(LEFT(Sync!$V688,FIND(":",Sync!$V688)-1)),2)&amp;RIGHT("00"&amp;VALUE(MID(Sync!$V688,FIND(":",Sync!$V688)+1,2)),2),"0000"))))</f>
        <v/>
      </c>
    </row>
    <row r="692">
      <c r="A692">
        <f>IF(Sync!$U689="","",Sync!$U689)</f>
        <v/>
      </c>
      <c r="B692">
        <f>IF($A692="","",IF(ISNUMBER($A692),IF(AND($A692&gt;=10000101,$A692&lt;=99991231),INT($A692/10000),""),IFERROR(VALUE(TRIM(LEFT($A692,FIND("/",$A692)-1))),"")))</f>
        <v/>
      </c>
      <c r="C692">
        <f>IF(OR($A692="",$B692=""),"",IF(ISNUMBER($A692),INT(MOD($A692,10000)/100),IFERROR(VALUE(TRIM(LEFT(MID($A692,FIND("/",$A692)+1,20),FIND("/",MID($A692,FIND("/",$A692)+1,20))-1))),"")))</f>
        <v/>
      </c>
      <c r="D692">
        <f>IF(OR($A692="",$B692=""),"",IF(ISNUMBER($A692),MOD($A692,100),IFERROR(VALUE(TRIM(MID(MID($A692,FIND("/",$A692)+1,20),FIND("/",MID($A692,FIND("/",$A692)+1,20))+1,20))),"")))</f>
        <v/>
      </c>
      <c r="E692">
        <f>IF($A692="","",IF(OR($B692="",$C692="",$D692="",$B692&lt;1300,$B692&gt;1500,$C692&lt;1,$C692&gt;12,$D692&lt;1,$D692&gt;31),"نامعتبر",RIGHT("0000"&amp;$B692,4)&amp;"/"&amp;RIGHT("00"&amp;$C692,2)&amp;"/"&amp;RIGHT("00"&amp;$D692,2)))</f>
        <v/>
      </c>
      <c r="F692">
        <f>IF(OR($E692="",$E692="نامعتبر"),"",LEFT($E692,4)&amp;"/"&amp;MID($E692,6,2))</f>
        <v/>
      </c>
      <c r="G692">
        <f>IF(OR($E692="",$E692="نامعتبر",Sync!$Y689=""),"",Sync!$Y689)</f>
        <v/>
      </c>
      <c r="H692">
        <f>IF($G692="","",IF(Sync!$X689="","",Sync!$X689))</f>
        <v/>
      </c>
      <c r="I692">
        <f>IF($G692="","",IFERROR(VLOOKUP(Sync!$X689,OpTbl,3,0),""))</f>
        <v/>
      </c>
      <c r="J692">
        <f>IF(OR($G692="",Sync!$Z689=""),"",Sync!$Z689)</f>
        <v/>
      </c>
      <c r="K692">
        <f>IF(OR($G692="",Sync!$AA689=""),"",Sync!$AA689)</f>
        <v/>
      </c>
      <c r="L692">
        <f>IF($G692="",0,IF(Sync!$AB689="",0,Sync!$AB689))</f>
        <v/>
      </c>
      <c r="M692">
        <f>IF($G692="",0,IF(Sync!$AC689="",0,Sync!$AC689))</f>
        <v/>
      </c>
      <c r="N692">
        <f>IF($G692="","",IF($H692="مرجوعی خرید",-1,1)*($L692-$M692*IFERROR(VLOOKUP("P01",ParamTbl,3,0),1.5))*(1-IF($I692="خرید",IFERROR(VLOOKUP("P02",ParamTbl,3,0),1),0)/100))</f>
        <v/>
      </c>
      <c r="O692">
        <f>IF($G692="",0,IF($H692="مرجوعی خرید",-1,1)*IF(Sync!$AD689="",0,Sync!$AD689))</f>
        <v/>
      </c>
      <c r="P692">
        <f>IF(OR($G692="",Sync!$W689=""),"",Sync!$W689)</f>
        <v/>
      </c>
      <c r="Q692">
        <f>IF(OR($G692="",Sync!$AE689=""),"",Sync!$AE689)</f>
        <v/>
      </c>
      <c r="R692">
        <f>IF($G692="","",IF(Sync!$V689="","0000",IF(AND(ISNUMBER(Sync!$V689),Sync!$V689&gt;=0,Sync!$V689&lt;1),RIGHT("00"&amp;HOUR(Sync!$V689),2)&amp;RIGHT("00"&amp;MINUTE(Sync!$V689),2),IFERROR(RIGHT("00"&amp;VALUE(LEFT(Sync!$V689,FIND(":",Sync!$V689)-1)),2)&amp;RIGHT("00"&amp;VALUE(MID(Sync!$V689,FIND(":",Sync!$V689)+1,2)),2),"0000"))))</f>
        <v/>
      </c>
    </row>
    <row r="693">
      <c r="A693">
        <f>IF(Sync!$U690="","",Sync!$U690)</f>
        <v/>
      </c>
      <c r="B693">
        <f>IF($A693="","",IF(ISNUMBER($A693),IF(AND($A693&gt;=10000101,$A693&lt;=99991231),INT($A693/10000),""),IFERROR(VALUE(TRIM(LEFT($A693,FIND("/",$A693)-1))),"")))</f>
        <v/>
      </c>
      <c r="C693">
        <f>IF(OR($A693="",$B693=""),"",IF(ISNUMBER($A693),INT(MOD($A693,10000)/100),IFERROR(VALUE(TRIM(LEFT(MID($A693,FIND("/",$A693)+1,20),FIND("/",MID($A693,FIND("/",$A693)+1,20))-1))),"")))</f>
        <v/>
      </c>
      <c r="D693">
        <f>IF(OR($A693="",$B693=""),"",IF(ISNUMBER($A693),MOD($A693,100),IFERROR(VALUE(TRIM(MID(MID($A693,FIND("/",$A693)+1,20),FIND("/",MID($A693,FIND("/",$A693)+1,20))+1,20))),"")))</f>
        <v/>
      </c>
      <c r="E693">
        <f>IF($A693="","",IF(OR($B693="",$C693="",$D693="",$B693&lt;1300,$B693&gt;1500,$C693&lt;1,$C693&gt;12,$D693&lt;1,$D693&gt;31),"نامعتبر",RIGHT("0000"&amp;$B693,4)&amp;"/"&amp;RIGHT("00"&amp;$C693,2)&amp;"/"&amp;RIGHT("00"&amp;$D693,2)))</f>
        <v/>
      </c>
      <c r="F693">
        <f>IF(OR($E693="",$E693="نامعتبر"),"",LEFT($E693,4)&amp;"/"&amp;MID($E693,6,2))</f>
        <v/>
      </c>
      <c r="G693">
        <f>IF(OR($E693="",$E693="نامعتبر",Sync!$Y690=""),"",Sync!$Y690)</f>
        <v/>
      </c>
      <c r="H693">
        <f>IF($G693="","",IF(Sync!$X690="","",Sync!$X690))</f>
        <v/>
      </c>
      <c r="I693">
        <f>IF($G693="","",IFERROR(VLOOKUP(Sync!$X690,OpTbl,3,0),""))</f>
        <v/>
      </c>
      <c r="J693">
        <f>IF(OR($G693="",Sync!$Z690=""),"",Sync!$Z690)</f>
        <v/>
      </c>
      <c r="K693">
        <f>IF(OR($G693="",Sync!$AA690=""),"",Sync!$AA690)</f>
        <v/>
      </c>
      <c r="L693">
        <f>IF($G693="",0,IF(Sync!$AB690="",0,Sync!$AB690))</f>
        <v/>
      </c>
      <c r="M693">
        <f>IF($G693="",0,IF(Sync!$AC690="",0,Sync!$AC690))</f>
        <v/>
      </c>
      <c r="N693">
        <f>IF($G693="","",IF($H693="مرجوعی خرید",-1,1)*($L693-$M693*IFERROR(VLOOKUP("P01",ParamTbl,3,0),1.5))*(1-IF($I693="خرید",IFERROR(VLOOKUP("P02",ParamTbl,3,0),1),0)/100))</f>
        <v/>
      </c>
      <c r="O693">
        <f>IF($G693="",0,IF($H693="مرجوعی خرید",-1,1)*IF(Sync!$AD690="",0,Sync!$AD690))</f>
        <v/>
      </c>
      <c r="P693">
        <f>IF(OR($G693="",Sync!$W690=""),"",Sync!$W690)</f>
        <v/>
      </c>
      <c r="Q693">
        <f>IF(OR($G693="",Sync!$AE690=""),"",Sync!$AE690)</f>
        <v/>
      </c>
      <c r="R693">
        <f>IF($G693="","",IF(Sync!$V690="","0000",IF(AND(ISNUMBER(Sync!$V690),Sync!$V690&gt;=0,Sync!$V690&lt;1),RIGHT("00"&amp;HOUR(Sync!$V690),2)&amp;RIGHT("00"&amp;MINUTE(Sync!$V690),2),IFERROR(RIGHT("00"&amp;VALUE(LEFT(Sync!$V690,FIND(":",Sync!$V690)-1)),2)&amp;RIGHT("00"&amp;VALUE(MID(Sync!$V690,FIND(":",Sync!$V690)+1,2)),2),"0000"))))</f>
        <v/>
      </c>
    </row>
    <row r="694">
      <c r="A694">
        <f>IF(Sync!$U691="","",Sync!$U691)</f>
        <v/>
      </c>
      <c r="B694">
        <f>IF($A694="","",IF(ISNUMBER($A694),IF(AND($A694&gt;=10000101,$A694&lt;=99991231),INT($A694/10000),""),IFERROR(VALUE(TRIM(LEFT($A694,FIND("/",$A694)-1))),"")))</f>
        <v/>
      </c>
      <c r="C694">
        <f>IF(OR($A694="",$B694=""),"",IF(ISNUMBER($A694),INT(MOD($A694,10000)/100),IFERROR(VALUE(TRIM(LEFT(MID($A694,FIND("/",$A694)+1,20),FIND("/",MID($A694,FIND("/",$A694)+1,20))-1))),"")))</f>
        <v/>
      </c>
      <c r="D694">
        <f>IF(OR($A694="",$B694=""),"",IF(ISNUMBER($A694),MOD($A694,100),IFERROR(VALUE(TRIM(MID(MID($A694,FIND("/",$A694)+1,20),FIND("/",MID($A694,FIND("/",$A694)+1,20))+1,20))),"")))</f>
        <v/>
      </c>
      <c r="E694">
        <f>IF($A694="","",IF(OR($B694="",$C694="",$D694="",$B694&lt;1300,$B694&gt;1500,$C694&lt;1,$C694&gt;12,$D694&lt;1,$D694&gt;31),"نامعتبر",RIGHT("0000"&amp;$B694,4)&amp;"/"&amp;RIGHT("00"&amp;$C694,2)&amp;"/"&amp;RIGHT("00"&amp;$D694,2)))</f>
        <v/>
      </c>
      <c r="F694">
        <f>IF(OR($E694="",$E694="نامعتبر"),"",LEFT($E694,4)&amp;"/"&amp;MID($E694,6,2))</f>
        <v/>
      </c>
      <c r="G694">
        <f>IF(OR($E694="",$E694="نامعتبر",Sync!$Y691=""),"",Sync!$Y691)</f>
        <v/>
      </c>
      <c r="H694">
        <f>IF($G694="","",IF(Sync!$X691="","",Sync!$X691))</f>
        <v/>
      </c>
      <c r="I694">
        <f>IF($G694="","",IFERROR(VLOOKUP(Sync!$X691,OpTbl,3,0),""))</f>
        <v/>
      </c>
      <c r="J694">
        <f>IF(OR($G694="",Sync!$Z691=""),"",Sync!$Z691)</f>
        <v/>
      </c>
      <c r="K694">
        <f>IF(OR($G694="",Sync!$AA691=""),"",Sync!$AA691)</f>
        <v/>
      </c>
      <c r="L694">
        <f>IF($G694="",0,IF(Sync!$AB691="",0,Sync!$AB691))</f>
        <v/>
      </c>
      <c r="M694">
        <f>IF($G694="",0,IF(Sync!$AC691="",0,Sync!$AC691))</f>
        <v/>
      </c>
      <c r="N694">
        <f>IF($G694="","",IF($H694="مرجوعی خرید",-1,1)*($L694-$M694*IFERROR(VLOOKUP("P01",ParamTbl,3,0),1.5))*(1-IF($I694="خرید",IFERROR(VLOOKUP("P02",ParamTbl,3,0),1),0)/100))</f>
        <v/>
      </c>
      <c r="O694">
        <f>IF($G694="",0,IF($H694="مرجوعی خرید",-1,1)*IF(Sync!$AD691="",0,Sync!$AD691))</f>
        <v/>
      </c>
      <c r="P694">
        <f>IF(OR($G694="",Sync!$W691=""),"",Sync!$W691)</f>
        <v/>
      </c>
      <c r="Q694">
        <f>IF(OR($G694="",Sync!$AE691=""),"",Sync!$AE691)</f>
        <v/>
      </c>
      <c r="R694">
        <f>IF($G694="","",IF(Sync!$V691="","0000",IF(AND(ISNUMBER(Sync!$V691),Sync!$V691&gt;=0,Sync!$V691&lt;1),RIGHT("00"&amp;HOUR(Sync!$V691),2)&amp;RIGHT("00"&amp;MINUTE(Sync!$V691),2),IFERROR(RIGHT("00"&amp;VALUE(LEFT(Sync!$V691,FIND(":",Sync!$V691)-1)),2)&amp;RIGHT("00"&amp;VALUE(MID(Sync!$V691,FIND(":",Sync!$V691)+1,2)),2),"0000"))))</f>
        <v/>
      </c>
    </row>
    <row r="695">
      <c r="A695">
        <f>IF(Sync!$U692="","",Sync!$U692)</f>
        <v/>
      </c>
      <c r="B695">
        <f>IF($A695="","",IF(ISNUMBER($A695),IF(AND($A695&gt;=10000101,$A695&lt;=99991231),INT($A695/10000),""),IFERROR(VALUE(TRIM(LEFT($A695,FIND("/",$A695)-1))),"")))</f>
        <v/>
      </c>
      <c r="C695">
        <f>IF(OR($A695="",$B695=""),"",IF(ISNUMBER($A695),INT(MOD($A695,10000)/100),IFERROR(VALUE(TRIM(LEFT(MID($A695,FIND("/",$A695)+1,20),FIND("/",MID($A695,FIND("/",$A695)+1,20))-1))),"")))</f>
        <v/>
      </c>
      <c r="D695">
        <f>IF(OR($A695="",$B695=""),"",IF(ISNUMBER($A695),MOD($A695,100),IFERROR(VALUE(TRIM(MID(MID($A695,FIND("/",$A695)+1,20),FIND("/",MID($A695,FIND("/",$A695)+1,20))+1,20))),"")))</f>
        <v/>
      </c>
      <c r="E695">
        <f>IF($A695="","",IF(OR($B695="",$C695="",$D695="",$B695&lt;1300,$B695&gt;1500,$C695&lt;1,$C695&gt;12,$D695&lt;1,$D695&gt;31),"نامعتبر",RIGHT("0000"&amp;$B695,4)&amp;"/"&amp;RIGHT("00"&amp;$C695,2)&amp;"/"&amp;RIGHT("00"&amp;$D695,2)))</f>
        <v/>
      </c>
      <c r="F695">
        <f>IF(OR($E695="",$E695="نامعتبر"),"",LEFT($E695,4)&amp;"/"&amp;MID($E695,6,2))</f>
        <v/>
      </c>
      <c r="G695">
        <f>IF(OR($E695="",$E695="نامعتبر",Sync!$Y692=""),"",Sync!$Y692)</f>
        <v/>
      </c>
      <c r="H695">
        <f>IF($G695="","",IF(Sync!$X692="","",Sync!$X692))</f>
        <v/>
      </c>
      <c r="I695">
        <f>IF($G695="","",IFERROR(VLOOKUP(Sync!$X692,OpTbl,3,0),""))</f>
        <v/>
      </c>
      <c r="J695">
        <f>IF(OR($G695="",Sync!$Z692=""),"",Sync!$Z692)</f>
        <v/>
      </c>
      <c r="K695">
        <f>IF(OR($G695="",Sync!$AA692=""),"",Sync!$AA692)</f>
        <v/>
      </c>
      <c r="L695">
        <f>IF($G695="",0,IF(Sync!$AB692="",0,Sync!$AB692))</f>
        <v/>
      </c>
      <c r="M695">
        <f>IF($G695="",0,IF(Sync!$AC692="",0,Sync!$AC692))</f>
        <v/>
      </c>
      <c r="N695">
        <f>IF($G695="","",IF($H695="مرجوعی خرید",-1,1)*($L695-$M695*IFERROR(VLOOKUP("P01",ParamTbl,3,0),1.5))*(1-IF($I695="خرید",IFERROR(VLOOKUP("P02",ParamTbl,3,0),1),0)/100))</f>
        <v/>
      </c>
      <c r="O695">
        <f>IF($G695="",0,IF($H695="مرجوعی خرید",-1,1)*IF(Sync!$AD692="",0,Sync!$AD692))</f>
        <v/>
      </c>
      <c r="P695">
        <f>IF(OR($G695="",Sync!$W692=""),"",Sync!$W692)</f>
        <v/>
      </c>
      <c r="Q695">
        <f>IF(OR($G695="",Sync!$AE692=""),"",Sync!$AE692)</f>
        <v/>
      </c>
      <c r="R695">
        <f>IF($G695="","",IF(Sync!$V692="","0000",IF(AND(ISNUMBER(Sync!$V692),Sync!$V692&gt;=0,Sync!$V692&lt;1),RIGHT("00"&amp;HOUR(Sync!$V692),2)&amp;RIGHT("00"&amp;MINUTE(Sync!$V692),2),IFERROR(RIGHT("00"&amp;VALUE(LEFT(Sync!$V692,FIND(":",Sync!$V692)-1)),2)&amp;RIGHT("00"&amp;VALUE(MID(Sync!$V692,FIND(":",Sync!$V692)+1,2)),2),"0000"))))</f>
        <v/>
      </c>
    </row>
    <row r="696">
      <c r="A696">
        <f>IF(Sync!$U693="","",Sync!$U693)</f>
        <v/>
      </c>
      <c r="B696">
        <f>IF($A696="","",IF(ISNUMBER($A696),IF(AND($A696&gt;=10000101,$A696&lt;=99991231),INT($A696/10000),""),IFERROR(VALUE(TRIM(LEFT($A696,FIND("/",$A696)-1))),"")))</f>
        <v/>
      </c>
      <c r="C696">
        <f>IF(OR($A696="",$B696=""),"",IF(ISNUMBER($A696),INT(MOD($A696,10000)/100),IFERROR(VALUE(TRIM(LEFT(MID($A696,FIND("/",$A696)+1,20),FIND("/",MID($A696,FIND("/",$A696)+1,20))-1))),"")))</f>
        <v/>
      </c>
      <c r="D696">
        <f>IF(OR($A696="",$B696=""),"",IF(ISNUMBER($A696),MOD($A696,100),IFERROR(VALUE(TRIM(MID(MID($A696,FIND("/",$A696)+1,20),FIND("/",MID($A696,FIND("/",$A696)+1,20))+1,20))),"")))</f>
        <v/>
      </c>
      <c r="E696">
        <f>IF($A696="","",IF(OR($B696="",$C696="",$D696="",$B696&lt;1300,$B696&gt;1500,$C696&lt;1,$C696&gt;12,$D696&lt;1,$D696&gt;31),"نامعتبر",RIGHT("0000"&amp;$B696,4)&amp;"/"&amp;RIGHT("00"&amp;$C696,2)&amp;"/"&amp;RIGHT("00"&amp;$D696,2)))</f>
        <v/>
      </c>
      <c r="F696">
        <f>IF(OR($E696="",$E696="نامعتبر"),"",LEFT($E696,4)&amp;"/"&amp;MID($E696,6,2))</f>
        <v/>
      </c>
      <c r="G696">
        <f>IF(OR($E696="",$E696="نامعتبر",Sync!$Y693=""),"",Sync!$Y693)</f>
        <v/>
      </c>
      <c r="H696">
        <f>IF($G696="","",IF(Sync!$X693="","",Sync!$X693))</f>
        <v/>
      </c>
      <c r="I696">
        <f>IF($G696="","",IFERROR(VLOOKUP(Sync!$X693,OpTbl,3,0),""))</f>
        <v/>
      </c>
      <c r="J696">
        <f>IF(OR($G696="",Sync!$Z693=""),"",Sync!$Z693)</f>
        <v/>
      </c>
      <c r="K696">
        <f>IF(OR($G696="",Sync!$AA693=""),"",Sync!$AA693)</f>
        <v/>
      </c>
      <c r="L696">
        <f>IF($G696="",0,IF(Sync!$AB693="",0,Sync!$AB693))</f>
        <v/>
      </c>
      <c r="M696">
        <f>IF($G696="",0,IF(Sync!$AC693="",0,Sync!$AC693))</f>
        <v/>
      </c>
      <c r="N696">
        <f>IF($G696="","",IF($H696="مرجوعی خرید",-1,1)*($L696-$M696*IFERROR(VLOOKUP("P01",ParamTbl,3,0),1.5))*(1-IF($I696="خرید",IFERROR(VLOOKUP("P02",ParamTbl,3,0),1),0)/100))</f>
        <v/>
      </c>
      <c r="O696">
        <f>IF($G696="",0,IF($H696="مرجوعی خرید",-1,1)*IF(Sync!$AD693="",0,Sync!$AD693))</f>
        <v/>
      </c>
      <c r="P696">
        <f>IF(OR($G696="",Sync!$W693=""),"",Sync!$W693)</f>
        <v/>
      </c>
      <c r="Q696">
        <f>IF(OR($G696="",Sync!$AE693=""),"",Sync!$AE693)</f>
        <v/>
      </c>
      <c r="R696">
        <f>IF($G696="","",IF(Sync!$V693="","0000",IF(AND(ISNUMBER(Sync!$V693),Sync!$V693&gt;=0,Sync!$V693&lt;1),RIGHT("00"&amp;HOUR(Sync!$V693),2)&amp;RIGHT("00"&amp;MINUTE(Sync!$V693),2),IFERROR(RIGHT("00"&amp;VALUE(LEFT(Sync!$V693,FIND(":",Sync!$V693)-1)),2)&amp;RIGHT("00"&amp;VALUE(MID(Sync!$V693,FIND(":",Sync!$V693)+1,2)),2),"0000"))))</f>
        <v/>
      </c>
    </row>
    <row r="697">
      <c r="A697">
        <f>IF(Sync!$U694="","",Sync!$U694)</f>
        <v/>
      </c>
      <c r="B697">
        <f>IF($A697="","",IF(ISNUMBER($A697),IF(AND($A697&gt;=10000101,$A697&lt;=99991231),INT($A697/10000),""),IFERROR(VALUE(TRIM(LEFT($A697,FIND("/",$A697)-1))),"")))</f>
        <v/>
      </c>
      <c r="C697">
        <f>IF(OR($A697="",$B697=""),"",IF(ISNUMBER($A697),INT(MOD($A697,10000)/100),IFERROR(VALUE(TRIM(LEFT(MID($A697,FIND("/",$A697)+1,20),FIND("/",MID($A697,FIND("/",$A697)+1,20))-1))),"")))</f>
        <v/>
      </c>
      <c r="D697">
        <f>IF(OR($A697="",$B697=""),"",IF(ISNUMBER($A697),MOD($A697,100),IFERROR(VALUE(TRIM(MID(MID($A697,FIND("/",$A697)+1,20),FIND("/",MID($A697,FIND("/",$A697)+1,20))+1,20))),"")))</f>
        <v/>
      </c>
      <c r="E697">
        <f>IF($A697="","",IF(OR($B697="",$C697="",$D697="",$B697&lt;1300,$B697&gt;1500,$C697&lt;1,$C697&gt;12,$D697&lt;1,$D697&gt;31),"نامعتبر",RIGHT("0000"&amp;$B697,4)&amp;"/"&amp;RIGHT("00"&amp;$C697,2)&amp;"/"&amp;RIGHT("00"&amp;$D697,2)))</f>
        <v/>
      </c>
      <c r="F697">
        <f>IF(OR($E697="",$E697="نامعتبر"),"",LEFT($E697,4)&amp;"/"&amp;MID($E697,6,2))</f>
        <v/>
      </c>
      <c r="G697">
        <f>IF(OR($E697="",$E697="نامعتبر",Sync!$Y694=""),"",Sync!$Y694)</f>
        <v/>
      </c>
      <c r="H697">
        <f>IF($G697="","",IF(Sync!$X694="","",Sync!$X694))</f>
        <v/>
      </c>
      <c r="I697">
        <f>IF($G697="","",IFERROR(VLOOKUP(Sync!$X694,OpTbl,3,0),""))</f>
        <v/>
      </c>
      <c r="J697">
        <f>IF(OR($G697="",Sync!$Z694=""),"",Sync!$Z694)</f>
        <v/>
      </c>
      <c r="K697">
        <f>IF(OR($G697="",Sync!$AA694=""),"",Sync!$AA694)</f>
        <v/>
      </c>
      <c r="L697">
        <f>IF($G697="",0,IF(Sync!$AB694="",0,Sync!$AB694))</f>
        <v/>
      </c>
      <c r="M697">
        <f>IF($G697="",0,IF(Sync!$AC694="",0,Sync!$AC694))</f>
        <v/>
      </c>
      <c r="N697">
        <f>IF($G697="","",IF($H697="مرجوعی خرید",-1,1)*($L697-$M697*IFERROR(VLOOKUP("P01",ParamTbl,3,0),1.5))*(1-IF($I697="خرید",IFERROR(VLOOKUP("P02",ParamTbl,3,0),1),0)/100))</f>
        <v/>
      </c>
      <c r="O697">
        <f>IF($G697="",0,IF($H697="مرجوعی خرید",-1,1)*IF(Sync!$AD694="",0,Sync!$AD694))</f>
        <v/>
      </c>
      <c r="P697">
        <f>IF(OR($G697="",Sync!$W694=""),"",Sync!$W694)</f>
        <v/>
      </c>
      <c r="Q697">
        <f>IF(OR($G697="",Sync!$AE694=""),"",Sync!$AE694)</f>
        <v/>
      </c>
      <c r="R697">
        <f>IF($G697="","",IF(Sync!$V694="","0000",IF(AND(ISNUMBER(Sync!$V694),Sync!$V694&gt;=0,Sync!$V694&lt;1),RIGHT("00"&amp;HOUR(Sync!$V694),2)&amp;RIGHT("00"&amp;MINUTE(Sync!$V694),2),IFERROR(RIGHT("00"&amp;VALUE(LEFT(Sync!$V694,FIND(":",Sync!$V694)-1)),2)&amp;RIGHT("00"&amp;VALUE(MID(Sync!$V694,FIND(":",Sync!$V694)+1,2)),2),"0000"))))</f>
        <v/>
      </c>
    </row>
    <row r="698">
      <c r="A698">
        <f>IF(Sync!$U695="","",Sync!$U695)</f>
        <v/>
      </c>
      <c r="B698">
        <f>IF($A698="","",IF(ISNUMBER($A698),IF(AND($A698&gt;=10000101,$A698&lt;=99991231),INT($A698/10000),""),IFERROR(VALUE(TRIM(LEFT($A698,FIND("/",$A698)-1))),"")))</f>
        <v/>
      </c>
      <c r="C698">
        <f>IF(OR($A698="",$B698=""),"",IF(ISNUMBER($A698),INT(MOD($A698,10000)/100),IFERROR(VALUE(TRIM(LEFT(MID($A698,FIND("/",$A698)+1,20),FIND("/",MID($A698,FIND("/",$A698)+1,20))-1))),"")))</f>
        <v/>
      </c>
      <c r="D698">
        <f>IF(OR($A698="",$B698=""),"",IF(ISNUMBER($A698),MOD($A698,100),IFERROR(VALUE(TRIM(MID(MID($A698,FIND("/",$A698)+1,20),FIND("/",MID($A698,FIND("/",$A698)+1,20))+1,20))),"")))</f>
        <v/>
      </c>
      <c r="E698">
        <f>IF($A698="","",IF(OR($B698="",$C698="",$D698="",$B698&lt;1300,$B698&gt;1500,$C698&lt;1,$C698&gt;12,$D698&lt;1,$D698&gt;31),"نامعتبر",RIGHT("0000"&amp;$B698,4)&amp;"/"&amp;RIGHT("00"&amp;$C698,2)&amp;"/"&amp;RIGHT("00"&amp;$D698,2)))</f>
        <v/>
      </c>
      <c r="F698">
        <f>IF(OR($E698="",$E698="نامعتبر"),"",LEFT($E698,4)&amp;"/"&amp;MID($E698,6,2))</f>
        <v/>
      </c>
      <c r="G698">
        <f>IF(OR($E698="",$E698="نامعتبر",Sync!$Y695=""),"",Sync!$Y695)</f>
        <v/>
      </c>
      <c r="H698">
        <f>IF($G698="","",IF(Sync!$X695="","",Sync!$X695))</f>
        <v/>
      </c>
      <c r="I698">
        <f>IF($G698="","",IFERROR(VLOOKUP(Sync!$X695,OpTbl,3,0),""))</f>
        <v/>
      </c>
      <c r="J698">
        <f>IF(OR($G698="",Sync!$Z695=""),"",Sync!$Z695)</f>
        <v/>
      </c>
      <c r="K698">
        <f>IF(OR($G698="",Sync!$AA695=""),"",Sync!$AA695)</f>
        <v/>
      </c>
      <c r="L698">
        <f>IF($G698="",0,IF(Sync!$AB695="",0,Sync!$AB695))</f>
        <v/>
      </c>
      <c r="M698">
        <f>IF($G698="",0,IF(Sync!$AC695="",0,Sync!$AC695))</f>
        <v/>
      </c>
      <c r="N698">
        <f>IF($G698="","",IF($H698="مرجوعی خرید",-1,1)*($L698-$M698*IFERROR(VLOOKUP("P01",ParamTbl,3,0),1.5))*(1-IF($I698="خرید",IFERROR(VLOOKUP("P02",ParamTbl,3,0),1),0)/100))</f>
        <v/>
      </c>
      <c r="O698">
        <f>IF($G698="",0,IF($H698="مرجوعی خرید",-1,1)*IF(Sync!$AD695="",0,Sync!$AD695))</f>
        <v/>
      </c>
      <c r="P698">
        <f>IF(OR($G698="",Sync!$W695=""),"",Sync!$W695)</f>
        <v/>
      </c>
      <c r="Q698">
        <f>IF(OR($G698="",Sync!$AE695=""),"",Sync!$AE695)</f>
        <v/>
      </c>
      <c r="R698">
        <f>IF($G698="","",IF(Sync!$V695="","0000",IF(AND(ISNUMBER(Sync!$V695),Sync!$V695&gt;=0,Sync!$V695&lt;1),RIGHT("00"&amp;HOUR(Sync!$V695),2)&amp;RIGHT("00"&amp;MINUTE(Sync!$V695),2),IFERROR(RIGHT("00"&amp;VALUE(LEFT(Sync!$V695,FIND(":",Sync!$V695)-1)),2)&amp;RIGHT("00"&amp;VALUE(MID(Sync!$V695,FIND(":",Sync!$V695)+1,2)),2),"0000"))))</f>
        <v/>
      </c>
    </row>
    <row r="699">
      <c r="A699">
        <f>IF(Sync!$U696="","",Sync!$U696)</f>
        <v/>
      </c>
      <c r="B699">
        <f>IF($A699="","",IF(ISNUMBER($A699),IF(AND($A699&gt;=10000101,$A699&lt;=99991231),INT($A699/10000),""),IFERROR(VALUE(TRIM(LEFT($A699,FIND("/",$A699)-1))),"")))</f>
        <v/>
      </c>
      <c r="C699">
        <f>IF(OR($A699="",$B699=""),"",IF(ISNUMBER($A699),INT(MOD($A699,10000)/100),IFERROR(VALUE(TRIM(LEFT(MID($A699,FIND("/",$A699)+1,20),FIND("/",MID($A699,FIND("/",$A699)+1,20))-1))),"")))</f>
        <v/>
      </c>
      <c r="D699">
        <f>IF(OR($A699="",$B699=""),"",IF(ISNUMBER($A699),MOD($A699,100),IFERROR(VALUE(TRIM(MID(MID($A699,FIND("/",$A699)+1,20),FIND("/",MID($A699,FIND("/",$A699)+1,20))+1,20))),"")))</f>
        <v/>
      </c>
      <c r="E699">
        <f>IF($A699="","",IF(OR($B699="",$C699="",$D699="",$B699&lt;1300,$B699&gt;1500,$C699&lt;1,$C699&gt;12,$D699&lt;1,$D699&gt;31),"نامعتبر",RIGHT("0000"&amp;$B699,4)&amp;"/"&amp;RIGHT("00"&amp;$C699,2)&amp;"/"&amp;RIGHT("00"&amp;$D699,2)))</f>
        <v/>
      </c>
      <c r="F699">
        <f>IF(OR($E699="",$E699="نامعتبر"),"",LEFT($E699,4)&amp;"/"&amp;MID($E699,6,2))</f>
        <v/>
      </c>
      <c r="G699">
        <f>IF(OR($E699="",$E699="نامعتبر",Sync!$Y696=""),"",Sync!$Y696)</f>
        <v/>
      </c>
      <c r="H699">
        <f>IF($G699="","",IF(Sync!$X696="","",Sync!$X696))</f>
        <v/>
      </c>
      <c r="I699">
        <f>IF($G699="","",IFERROR(VLOOKUP(Sync!$X696,OpTbl,3,0),""))</f>
        <v/>
      </c>
      <c r="J699">
        <f>IF(OR($G699="",Sync!$Z696=""),"",Sync!$Z696)</f>
        <v/>
      </c>
      <c r="K699">
        <f>IF(OR($G699="",Sync!$AA696=""),"",Sync!$AA696)</f>
        <v/>
      </c>
      <c r="L699">
        <f>IF($G699="",0,IF(Sync!$AB696="",0,Sync!$AB696))</f>
        <v/>
      </c>
      <c r="M699">
        <f>IF($G699="",0,IF(Sync!$AC696="",0,Sync!$AC696))</f>
        <v/>
      </c>
      <c r="N699">
        <f>IF($G699="","",IF($H699="مرجوعی خرید",-1,1)*($L699-$M699*IFERROR(VLOOKUP("P01",ParamTbl,3,0),1.5))*(1-IF($I699="خرید",IFERROR(VLOOKUP("P02",ParamTbl,3,0),1),0)/100))</f>
        <v/>
      </c>
      <c r="O699">
        <f>IF($G699="",0,IF($H699="مرجوعی خرید",-1,1)*IF(Sync!$AD696="",0,Sync!$AD696))</f>
        <v/>
      </c>
      <c r="P699">
        <f>IF(OR($G699="",Sync!$W696=""),"",Sync!$W696)</f>
        <v/>
      </c>
      <c r="Q699">
        <f>IF(OR($G699="",Sync!$AE696=""),"",Sync!$AE696)</f>
        <v/>
      </c>
      <c r="R699">
        <f>IF($G699="","",IF(Sync!$V696="","0000",IF(AND(ISNUMBER(Sync!$V696),Sync!$V696&gt;=0,Sync!$V696&lt;1),RIGHT("00"&amp;HOUR(Sync!$V696),2)&amp;RIGHT("00"&amp;MINUTE(Sync!$V696),2),IFERROR(RIGHT("00"&amp;VALUE(LEFT(Sync!$V696,FIND(":",Sync!$V696)-1)),2)&amp;RIGHT("00"&amp;VALUE(MID(Sync!$V696,FIND(":",Sync!$V696)+1,2)),2),"0000"))))</f>
        <v/>
      </c>
    </row>
    <row r="700">
      <c r="A700">
        <f>IF(Sync!$U697="","",Sync!$U697)</f>
        <v/>
      </c>
      <c r="B700">
        <f>IF($A700="","",IF(ISNUMBER($A700),IF(AND($A700&gt;=10000101,$A700&lt;=99991231),INT($A700/10000),""),IFERROR(VALUE(TRIM(LEFT($A700,FIND("/",$A700)-1))),"")))</f>
        <v/>
      </c>
      <c r="C700">
        <f>IF(OR($A700="",$B700=""),"",IF(ISNUMBER($A700),INT(MOD($A700,10000)/100),IFERROR(VALUE(TRIM(LEFT(MID($A700,FIND("/",$A700)+1,20),FIND("/",MID($A700,FIND("/",$A700)+1,20))-1))),"")))</f>
        <v/>
      </c>
      <c r="D700">
        <f>IF(OR($A700="",$B700=""),"",IF(ISNUMBER($A700),MOD($A700,100),IFERROR(VALUE(TRIM(MID(MID($A700,FIND("/",$A700)+1,20),FIND("/",MID($A700,FIND("/",$A700)+1,20))+1,20))),"")))</f>
        <v/>
      </c>
      <c r="E700">
        <f>IF($A700="","",IF(OR($B700="",$C700="",$D700="",$B700&lt;1300,$B700&gt;1500,$C700&lt;1,$C700&gt;12,$D700&lt;1,$D700&gt;31),"نامعتبر",RIGHT("0000"&amp;$B700,4)&amp;"/"&amp;RIGHT("00"&amp;$C700,2)&amp;"/"&amp;RIGHT("00"&amp;$D700,2)))</f>
        <v/>
      </c>
      <c r="F700">
        <f>IF(OR($E700="",$E700="نامعتبر"),"",LEFT($E700,4)&amp;"/"&amp;MID($E700,6,2))</f>
        <v/>
      </c>
      <c r="G700">
        <f>IF(OR($E700="",$E700="نامعتبر",Sync!$Y697=""),"",Sync!$Y697)</f>
        <v/>
      </c>
      <c r="H700">
        <f>IF($G700="","",IF(Sync!$X697="","",Sync!$X697))</f>
        <v/>
      </c>
      <c r="I700">
        <f>IF($G700="","",IFERROR(VLOOKUP(Sync!$X697,OpTbl,3,0),""))</f>
        <v/>
      </c>
      <c r="J700">
        <f>IF(OR($G700="",Sync!$Z697=""),"",Sync!$Z697)</f>
        <v/>
      </c>
      <c r="K700">
        <f>IF(OR($G700="",Sync!$AA697=""),"",Sync!$AA697)</f>
        <v/>
      </c>
      <c r="L700">
        <f>IF($G700="",0,IF(Sync!$AB697="",0,Sync!$AB697))</f>
        <v/>
      </c>
      <c r="M700">
        <f>IF($G700="",0,IF(Sync!$AC697="",0,Sync!$AC697))</f>
        <v/>
      </c>
      <c r="N700">
        <f>IF($G700="","",IF($H700="مرجوعی خرید",-1,1)*($L700-$M700*IFERROR(VLOOKUP("P01",ParamTbl,3,0),1.5))*(1-IF($I700="خرید",IFERROR(VLOOKUP("P02",ParamTbl,3,0),1),0)/100))</f>
        <v/>
      </c>
      <c r="O700">
        <f>IF($G700="",0,IF($H700="مرجوعی خرید",-1,1)*IF(Sync!$AD697="",0,Sync!$AD697))</f>
        <v/>
      </c>
      <c r="P700">
        <f>IF(OR($G700="",Sync!$W697=""),"",Sync!$W697)</f>
        <v/>
      </c>
      <c r="Q700">
        <f>IF(OR($G700="",Sync!$AE697=""),"",Sync!$AE697)</f>
        <v/>
      </c>
      <c r="R700">
        <f>IF($G700="","",IF(Sync!$V697="","0000",IF(AND(ISNUMBER(Sync!$V697),Sync!$V697&gt;=0,Sync!$V697&lt;1),RIGHT("00"&amp;HOUR(Sync!$V697),2)&amp;RIGHT("00"&amp;MINUTE(Sync!$V697),2),IFERROR(RIGHT("00"&amp;VALUE(LEFT(Sync!$V697,FIND(":",Sync!$V697)-1)),2)&amp;RIGHT("00"&amp;VALUE(MID(Sync!$V697,FIND(":",Sync!$V697)+1,2)),2),"0000"))))</f>
        <v/>
      </c>
    </row>
    <row r="701">
      <c r="A701">
        <f>IF(Sync!$U698="","",Sync!$U698)</f>
        <v/>
      </c>
      <c r="B701">
        <f>IF($A701="","",IF(ISNUMBER($A701),IF(AND($A701&gt;=10000101,$A701&lt;=99991231),INT($A701/10000),""),IFERROR(VALUE(TRIM(LEFT($A701,FIND("/",$A701)-1))),"")))</f>
        <v/>
      </c>
      <c r="C701">
        <f>IF(OR($A701="",$B701=""),"",IF(ISNUMBER($A701),INT(MOD($A701,10000)/100),IFERROR(VALUE(TRIM(LEFT(MID($A701,FIND("/",$A701)+1,20),FIND("/",MID($A701,FIND("/",$A701)+1,20))-1))),"")))</f>
        <v/>
      </c>
      <c r="D701">
        <f>IF(OR($A701="",$B701=""),"",IF(ISNUMBER($A701),MOD($A701,100),IFERROR(VALUE(TRIM(MID(MID($A701,FIND("/",$A701)+1,20),FIND("/",MID($A701,FIND("/",$A701)+1,20))+1,20))),"")))</f>
        <v/>
      </c>
      <c r="E701">
        <f>IF($A701="","",IF(OR($B701="",$C701="",$D701="",$B701&lt;1300,$B701&gt;1500,$C701&lt;1,$C701&gt;12,$D701&lt;1,$D701&gt;31),"نامعتبر",RIGHT("0000"&amp;$B701,4)&amp;"/"&amp;RIGHT("00"&amp;$C701,2)&amp;"/"&amp;RIGHT("00"&amp;$D701,2)))</f>
        <v/>
      </c>
      <c r="F701">
        <f>IF(OR($E701="",$E701="نامعتبر"),"",LEFT($E701,4)&amp;"/"&amp;MID($E701,6,2))</f>
        <v/>
      </c>
      <c r="G701">
        <f>IF(OR($E701="",$E701="نامعتبر",Sync!$Y698=""),"",Sync!$Y698)</f>
        <v/>
      </c>
      <c r="H701">
        <f>IF($G701="","",IF(Sync!$X698="","",Sync!$X698))</f>
        <v/>
      </c>
      <c r="I701">
        <f>IF($G701="","",IFERROR(VLOOKUP(Sync!$X698,OpTbl,3,0),""))</f>
        <v/>
      </c>
      <c r="J701">
        <f>IF(OR($G701="",Sync!$Z698=""),"",Sync!$Z698)</f>
        <v/>
      </c>
      <c r="K701">
        <f>IF(OR($G701="",Sync!$AA698=""),"",Sync!$AA698)</f>
        <v/>
      </c>
      <c r="L701">
        <f>IF($G701="",0,IF(Sync!$AB698="",0,Sync!$AB698))</f>
        <v/>
      </c>
      <c r="M701">
        <f>IF($G701="",0,IF(Sync!$AC698="",0,Sync!$AC698))</f>
        <v/>
      </c>
      <c r="N701">
        <f>IF($G701="","",IF($H701="مرجوعی خرید",-1,1)*($L701-$M701*IFERROR(VLOOKUP("P01",ParamTbl,3,0),1.5))*(1-IF($I701="خرید",IFERROR(VLOOKUP("P02",ParamTbl,3,0),1),0)/100))</f>
        <v/>
      </c>
      <c r="O701">
        <f>IF($G701="",0,IF($H701="مرجوعی خرید",-1,1)*IF(Sync!$AD698="",0,Sync!$AD698))</f>
        <v/>
      </c>
      <c r="P701">
        <f>IF(OR($G701="",Sync!$W698=""),"",Sync!$W698)</f>
        <v/>
      </c>
      <c r="Q701">
        <f>IF(OR($G701="",Sync!$AE698=""),"",Sync!$AE698)</f>
        <v/>
      </c>
      <c r="R701">
        <f>IF($G701="","",IF(Sync!$V698="","0000",IF(AND(ISNUMBER(Sync!$V698),Sync!$V698&gt;=0,Sync!$V698&lt;1),RIGHT("00"&amp;HOUR(Sync!$V698),2)&amp;RIGHT("00"&amp;MINUTE(Sync!$V698),2),IFERROR(RIGHT("00"&amp;VALUE(LEFT(Sync!$V698,FIND(":",Sync!$V698)-1)),2)&amp;RIGHT("00"&amp;VALUE(MID(Sync!$V698,FIND(":",Sync!$V698)+1,2)),2),"0000"))))</f>
        <v/>
      </c>
    </row>
    <row r="702">
      <c r="A702">
        <f>IF(Sync!$U699="","",Sync!$U699)</f>
        <v/>
      </c>
      <c r="B702">
        <f>IF($A702="","",IF(ISNUMBER($A702),IF(AND($A702&gt;=10000101,$A702&lt;=99991231),INT($A702/10000),""),IFERROR(VALUE(TRIM(LEFT($A702,FIND("/",$A702)-1))),"")))</f>
        <v/>
      </c>
      <c r="C702">
        <f>IF(OR($A702="",$B702=""),"",IF(ISNUMBER($A702),INT(MOD($A702,10000)/100),IFERROR(VALUE(TRIM(LEFT(MID($A702,FIND("/",$A702)+1,20),FIND("/",MID($A702,FIND("/",$A702)+1,20))-1))),"")))</f>
        <v/>
      </c>
      <c r="D702">
        <f>IF(OR($A702="",$B702=""),"",IF(ISNUMBER($A702),MOD($A702,100),IFERROR(VALUE(TRIM(MID(MID($A702,FIND("/",$A702)+1,20),FIND("/",MID($A702,FIND("/",$A702)+1,20))+1,20))),"")))</f>
        <v/>
      </c>
      <c r="E702">
        <f>IF($A702="","",IF(OR($B702="",$C702="",$D702="",$B702&lt;1300,$B702&gt;1500,$C702&lt;1,$C702&gt;12,$D702&lt;1,$D702&gt;31),"نامعتبر",RIGHT("0000"&amp;$B702,4)&amp;"/"&amp;RIGHT("00"&amp;$C702,2)&amp;"/"&amp;RIGHT("00"&amp;$D702,2)))</f>
        <v/>
      </c>
      <c r="F702">
        <f>IF(OR($E702="",$E702="نامعتبر"),"",LEFT($E702,4)&amp;"/"&amp;MID($E702,6,2))</f>
        <v/>
      </c>
      <c r="G702">
        <f>IF(OR($E702="",$E702="نامعتبر",Sync!$Y699=""),"",Sync!$Y699)</f>
        <v/>
      </c>
      <c r="H702">
        <f>IF($G702="","",IF(Sync!$X699="","",Sync!$X699))</f>
        <v/>
      </c>
      <c r="I702">
        <f>IF($G702="","",IFERROR(VLOOKUP(Sync!$X699,OpTbl,3,0),""))</f>
        <v/>
      </c>
      <c r="J702">
        <f>IF(OR($G702="",Sync!$Z699=""),"",Sync!$Z699)</f>
        <v/>
      </c>
      <c r="K702">
        <f>IF(OR($G702="",Sync!$AA699=""),"",Sync!$AA699)</f>
        <v/>
      </c>
      <c r="L702">
        <f>IF($G702="",0,IF(Sync!$AB699="",0,Sync!$AB699))</f>
        <v/>
      </c>
      <c r="M702">
        <f>IF($G702="",0,IF(Sync!$AC699="",0,Sync!$AC699))</f>
        <v/>
      </c>
      <c r="N702">
        <f>IF($G702="","",IF($H702="مرجوعی خرید",-1,1)*($L702-$M702*IFERROR(VLOOKUP("P01",ParamTbl,3,0),1.5))*(1-IF($I702="خرید",IFERROR(VLOOKUP("P02",ParamTbl,3,0),1),0)/100))</f>
        <v/>
      </c>
      <c r="O702">
        <f>IF($G702="",0,IF($H702="مرجوعی خرید",-1,1)*IF(Sync!$AD699="",0,Sync!$AD699))</f>
        <v/>
      </c>
      <c r="P702">
        <f>IF(OR($G702="",Sync!$W699=""),"",Sync!$W699)</f>
        <v/>
      </c>
      <c r="Q702">
        <f>IF(OR($G702="",Sync!$AE699=""),"",Sync!$AE699)</f>
        <v/>
      </c>
      <c r="R702">
        <f>IF($G702="","",IF(Sync!$V699="","0000",IF(AND(ISNUMBER(Sync!$V699),Sync!$V699&gt;=0,Sync!$V699&lt;1),RIGHT("00"&amp;HOUR(Sync!$V699),2)&amp;RIGHT("00"&amp;MINUTE(Sync!$V699),2),IFERROR(RIGHT("00"&amp;VALUE(LEFT(Sync!$V699,FIND(":",Sync!$V699)-1)),2)&amp;RIGHT("00"&amp;VALUE(MID(Sync!$V699,FIND(":",Sync!$V699)+1,2)),2),"0000"))))</f>
        <v/>
      </c>
    </row>
    <row r="703">
      <c r="A703">
        <f>IF(Sync!$U700="","",Sync!$U700)</f>
        <v/>
      </c>
      <c r="B703">
        <f>IF($A703="","",IF(ISNUMBER($A703),IF(AND($A703&gt;=10000101,$A703&lt;=99991231),INT($A703/10000),""),IFERROR(VALUE(TRIM(LEFT($A703,FIND("/",$A703)-1))),"")))</f>
        <v/>
      </c>
      <c r="C703">
        <f>IF(OR($A703="",$B703=""),"",IF(ISNUMBER($A703),INT(MOD($A703,10000)/100),IFERROR(VALUE(TRIM(LEFT(MID($A703,FIND("/",$A703)+1,20),FIND("/",MID($A703,FIND("/",$A703)+1,20))-1))),"")))</f>
        <v/>
      </c>
      <c r="D703">
        <f>IF(OR($A703="",$B703=""),"",IF(ISNUMBER($A703),MOD($A703,100),IFERROR(VALUE(TRIM(MID(MID($A703,FIND("/",$A703)+1,20),FIND("/",MID($A703,FIND("/",$A703)+1,20))+1,20))),"")))</f>
        <v/>
      </c>
      <c r="E703">
        <f>IF($A703="","",IF(OR($B703="",$C703="",$D703="",$B703&lt;1300,$B703&gt;1500,$C703&lt;1,$C703&gt;12,$D703&lt;1,$D703&gt;31),"نامعتبر",RIGHT("0000"&amp;$B703,4)&amp;"/"&amp;RIGHT("00"&amp;$C703,2)&amp;"/"&amp;RIGHT("00"&amp;$D703,2)))</f>
        <v/>
      </c>
      <c r="F703">
        <f>IF(OR($E703="",$E703="نامعتبر"),"",LEFT($E703,4)&amp;"/"&amp;MID($E703,6,2))</f>
        <v/>
      </c>
      <c r="G703">
        <f>IF(OR($E703="",$E703="نامعتبر",Sync!$Y700=""),"",Sync!$Y700)</f>
        <v/>
      </c>
      <c r="H703">
        <f>IF($G703="","",IF(Sync!$X700="","",Sync!$X700))</f>
        <v/>
      </c>
      <c r="I703">
        <f>IF($G703="","",IFERROR(VLOOKUP(Sync!$X700,OpTbl,3,0),""))</f>
        <v/>
      </c>
      <c r="J703">
        <f>IF(OR($G703="",Sync!$Z700=""),"",Sync!$Z700)</f>
        <v/>
      </c>
      <c r="K703">
        <f>IF(OR($G703="",Sync!$AA700=""),"",Sync!$AA700)</f>
        <v/>
      </c>
      <c r="L703">
        <f>IF($G703="",0,IF(Sync!$AB700="",0,Sync!$AB700))</f>
        <v/>
      </c>
      <c r="M703">
        <f>IF($G703="",0,IF(Sync!$AC700="",0,Sync!$AC700))</f>
        <v/>
      </c>
      <c r="N703">
        <f>IF($G703="","",IF($H703="مرجوعی خرید",-1,1)*($L703-$M703*IFERROR(VLOOKUP("P01",ParamTbl,3,0),1.5))*(1-IF($I703="خرید",IFERROR(VLOOKUP("P02",ParamTbl,3,0),1),0)/100))</f>
        <v/>
      </c>
      <c r="O703">
        <f>IF($G703="",0,IF($H703="مرجوعی خرید",-1,1)*IF(Sync!$AD700="",0,Sync!$AD700))</f>
        <v/>
      </c>
      <c r="P703">
        <f>IF(OR($G703="",Sync!$W700=""),"",Sync!$W700)</f>
        <v/>
      </c>
      <c r="Q703">
        <f>IF(OR($G703="",Sync!$AE700=""),"",Sync!$AE700)</f>
        <v/>
      </c>
      <c r="R703">
        <f>IF($G703="","",IF(Sync!$V700="","0000",IF(AND(ISNUMBER(Sync!$V700),Sync!$V700&gt;=0,Sync!$V700&lt;1),RIGHT("00"&amp;HOUR(Sync!$V700),2)&amp;RIGHT("00"&amp;MINUTE(Sync!$V700),2),IFERROR(RIGHT("00"&amp;VALUE(LEFT(Sync!$V700,FIND(":",Sync!$V700)-1)),2)&amp;RIGHT("00"&amp;VALUE(MID(Sync!$V700,FIND(":",Sync!$V700)+1,2)),2),"0000"))))</f>
        <v/>
      </c>
    </row>
    <row r="704">
      <c r="A704">
        <f>IF(Sync!$U701="","",Sync!$U701)</f>
        <v/>
      </c>
      <c r="B704">
        <f>IF($A704="","",IF(ISNUMBER($A704),IF(AND($A704&gt;=10000101,$A704&lt;=99991231),INT($A704/10000),""),IFERROR(VALUE(TRIM(LEFT($A704,FIND("/",$A704)-1))),"")))</f>
        <v/>
      </c>
      <c r="C704">
        <f>IF(OR($A704="",$B704=""),"",IF(ISNUMBER($A704),INT(MOD($A704,10000)/100),IFERROR(VALUE(TRIM(LEFT(MID($A704,FIND("/",$A704)+1,20),FIND("/",MID($A704,FIND("/",$A704)+1,20))-1))),"")))</f>
        <v/>
      </c>
      <c r="D704">
        <f>IF(OR($A704="",$B704=""),"",IF(ISNUMBER($A704),MOD($A704,100),IFERROR(VALUE(TRIM(MID(MID($A704,FIND("/",$A704)+1,20),FIND("/",MID($A704,FIND("/",$A704)+1,20))+1,20))),"")))</f>
        <v/>
      </c>
      <c r="E704">
        <f>IF($A704="","",IF(OR($B704="",$C704="",$D704="",$B704&lt;1300,$B704&gt;1500,$C704&lt;1,$C704&gt;12,$D704&lt;1,$D704&gt;31),"نامعتبر",RIGHT("0000"&amp;$B704,4)&amp;"/"&amp;RIGHT("00"&amp;$C704,2)&amp;"/"&amp;RIGHT("00"&amp;$D704,2)))</f>
        <v/>
      </c>
      <c r="F704">
        <f>IF(OR($E704="",$E704="نامعتبر"),"",LEFT($E704,4)&amp;"/"&amp;MID($E704,6,2))</f>
        <v/>
      </c>
      <c r="G704">
        <f>IF(OR($E704="",$E704="نامعتبر",Sync!$Y701=""),"",Sync!$Y701)</f>
        <v/>
      </c>
      <c r="H704">
        <f>IF($G704="","",IF(Sync!$X701="","",Sync!$X701))</f>
        <v/>
      </c>
      <c r="I704">
        <f>IF($G704="","",IFERROR(VLOOKUP(Sync!$X701,OpTbl,3,0),""))</f>
        <v/>
      </c>
      <c r="J704">
        <f>IF(OR($G704="",Sync!$Z701=""),"",Sync!$Z701)</f>
        <v/>
      </c>
      <c r="K704">
        <f>IF(OR($G704="",Sync!$AA701=""),"",Sync!$AA701)</f>
        <v/>
      </c>
      <c r="L704">
        <f>IF($G704="",0,IF(Sync!$AB701="",0,Sync!$AB701))</f>
        <v/>
      </c>
      <c r="M704">
        <f>IF($G704="",0,IF(Sync!$AC701="",0,Sync!$AC701))</f>
        <v/>
      </c>
      <c r="N704">
        <f>IF($G704="","",IF($H704="مرجوعی خرید",-1,1)*($L704-$M704*IFERROR(VLOOKUP("P01",ParamTbl,3,0),1.5))*(1-IF($I704="خرید",IFERROR(VLOOKUP("P02",ParamTbl,3,0),1),0)/100))</f>
        <v/>
      </c>
      <c r="O704">
        <f>IF($G704="",0,IF($H704="مرجوعی خرید",-1,1)*IF(Sync!$AD701="",0,Sync!$AD701))</f>
        <v/>
      </c>
      <c r="P704">
        <f>IF(OR($G704="",Sync!$W701=""),"",Sync!$W701)</f>
        <v/>
      </c>
      <c r="Q704">
        <f>IF(OR($G704="",Sync!$AE701=""),"",Sync!$AE701)</f>
        <v/>
      </c>
      <c r="R704">
        <f>IF($G704="","",IF(Sync!$V701="","0000",IF(AND(ISNUMBER(Sync!$V701),Sync!$V701&gt;=0,Sync!$V701&lt;1),RIGHT("00"&amp;HOUR(Sync!$V701),2)&amp;RIGHT("00"&amp;MINUTE(Sync!$V701),2),IFERROR(RIGHT("00"&amp;VALUE(LEFT(Sync!$V701,FIND(":",Sync!$V701)-1)),2)&amp;RIGHT("00"&amp;VALUE(MID(Sync!$V701,FIND(":",Sync!$V701)+1,2)),2),"0000"))))</f>
        <v/>
      </c>
    </row>
    <row r="705">
      <c r="A705">
        <f>IF(Sync!$U702="","",Sync!$U702)</f>
        <v/>
      </c>
      <c r="B705">
        <f>IF($A705="","",IF(ISNUMBER($A705),IF(AND($A705&gt;=10000101,$A705&lt;=99991231),INT($A705/10000),""),IFERROR(VALUE(TRIM(LEFT($A705,FIND("/",$A705)-1))),"")))</f>
        <v/>
      </c>
      <c r="C705">
        <f>IF(OR($A705="",$B705=""),"",IF(ISNUMBER($A705),INT(MOD($A705,10000)/100),IFERROR(VALUE(TRIM(LEFT(MID($A705,FIND("/",$A705)+1,20),FIND("/",MID($A705,FIND("/",$A705)+1,20))-1))),"")))</f>
        <v/>
      </c>
      <c r="D705">
        <f>IF(OR($A705="",$B705=""),"",IF(ISNUMBER($A705),MOD($A705,100),IFERROR(VALUE(TRIM(MID(MID($A705,FIND("/",$A705)+1,20),FIND("/",MID($A705,FIND("/",$A705)+1,20))+1,20))),"")))</f>
        <v/>
      </c>
      <c r="E705">
        <f>IF($A705="","",IF(OR($B705="",$C705="",$D705="",$B705&lt;1300,$B705&gt;1500,$C705&lt;1,$C705&gt;12,$D705&lt;1,$D705&gt;31),"نامعتبر",RIGHT("0000"&amp;$B705,4)&amp;"/"&amp;RIGHT("00"&amp;$C705,2)&amp;"/"&amp;RIGHT("00"&amp;$D705,2)))</f>
        <v/>
      </c>
      <c r="F705">
        <f>IF(OR($E705="",$E705="نامعتبر"),"",LEFT($E705,4)&amp;"/"&amp;MID($E705,6,2))</f>
        <v/>
      </c>
      <c r="G705">
        <f>IF(OR($E705="",$E705="نامعتبر",Sync!$Y702=""),"",Sync!$Y702)</f>
        <v/>
      </c>
      <c r="H705">
        <f>IF($G705="","",IF(Sync!$X702="","",Sync!$X702))</f>
        <v/>
      </c>
      <c r="I705">
        <f>IF($G705="","",IFERROR(VLOOKUP(Sync!$X702,OpTbl,3,0),""))</f>
        <v/>
      </c>
      <c r="J705">
        <f>IF(OR($G705="",Sync!$Z702=""),"",Sync!$Z702)</f>
        <v/>
      </c>
      <c r="K705">
        <f>IF(OR($G705="",Sync!$AA702=""),"",Sync!$AA702)</f>
        <v/>
      </c>
      <c r="L705">
        <f>IF($G705="",0,IF(Sync!$AB702="",0,Sync!$AB702))</f>
        <v/>
      </c>
      <c r="M705">
        <f>IF($G705="",0,IF(Sync!$AC702="",0,Sync!$AC702))</f>
        <v/>
      </c>
      <c r="N705">
        <f>IF($G705="","",IF($H705="مرجوعی خرید",-1,1)*($L705-$M705*IFERROR(VLOOKUP("P01",ParamTbl,3,0),1.5))*(1-IF($I705="خرید",IFERROR(VLOOKUP("P02",ParamTbl,3,0),1),0)/100))</f>
        <v/>
      </c>
      <c r="O705">
        <f>IF($G705="",0,IF($H705="مرجوعی خرید",-1,1)*IF(Sync!$AD702="",0,Sync!$AD702))</f>
        <v/>
      </c>
      <c r="P705">
        <f>IF(OR($G705="",Sync!$W702=""),"",Sync!$W702)</f>
        <v/>
      </c>
      <c r="Q705">
        <f>IF(OR($G705="",Sync!$AE702=""),"",Sync!$AE702)</f>
        <v/>
      </c>
      <c r="R705">
        <f>IF($G705="","",IF(Sync!$V702="","0000",IF(AND(ISNUMBER(Sync!$V702),Sync!$V702&gt;=0,Sync!$V702&lt;1),RIGHT("00"&amp;HOUR(Sync!$V702),2)&amp;RIGHT("00"&amp;MINUTE(Sync!$V702),2),IFERROR(RIGHT("00"&amp;VALUE(LEFT(Sync!$V702,FIND(":",Sync!$V702)-1)),2)&amp;RIGHT("00"&amp;VALUE(MID(Sync!$V702,FIND(":",Sync!$V702)+1,2)),2),"0000"))))</f>
        <v/>
      </c>
    </row>
    <row r="706">
      <c r="A706">
        <f>IF(Sync!$U703="","",Sync!$U703)</f>
        <v/>
      </c>
      <c r="B706">
        <f>IF($A706="","",IF(ISNUMBER($A706),IF(AND($A706&gt;=10000101,$A706&lt;=99991231),INT($A706/10000),""),IFERROR(VALUE(TRIM(LEFT($A706,FIND("/",$A706)-1))),"")))</f>
        <v/>
      </c>
      <c r="C706">
        <f>IF(OR($A706="",$B706=""),"",IF(ISNUMBER($A706),INT(MOD($A706,10000)/100),IFERROR(VALUE(TRIM(LEFT(MID($A706,FIND("/",$A706)+1,20),FIND("/",MID($A706,FIND("/",$A706)+1,20))-1))),"")))</f>
        <v/>
      </c>
      <c r="D706">
        <f>IF(OR($A706="",$B706=""),"",IF(ISNUMBER($A706),MOD($A706,100),IFERROR(VALUE(TRIM(MID(MID($A706,FIND("/",$A706)+1,20),FIND("/",MID($A706,FIND("/",$A706)+1,20))+1,20))),"")))</f>
        <v/>
      </c>
      <c r="E706">
        <f>IF($A706="","",IF(OR($B706="",$C706="",$D706="",$B706&lt;1300,$B706&gt;1500,$C706&lt;1,$C706&gt;12,$D706&lt;1,$D706&gt;31),"نامعتبر",RIGHT("0000"&amp;$B706,4)&amp;"/"&amp;RIGHT("00"&amp;$C706,2)&amp;"/"&amp;RIGHT("00"&amp;$D706,2)))</f>
        <v/>
      </c>
      <c r="F706">
        <f>IF(OR($E706="",$E706="نامعتبر"),"",LEFT($E706,4)&amp;"/"&amp;MID($E706,6,2))</f>
        <v/>
      </c>
      <c r="G706">
        <f>IF(OR($E706="",$E706="نامعتبر",Sync!$Y703=""),"",Sync!$Y703)</f>
        <v/>
      </c>
      <c r="H706">
        <f>IF($G706="","",IF(Sync!$X703="","",Sync!$X703))</f>
        <v/>
      </c>
      <c r="I706">
        <f>IF($G706="","",IFERROR(VLOOKUP(Sync!$X703,OpTbl,3,0),""))</f>
        <v/>
      </c>
      <c r="J706">
        <f>IF(OR($G706="",Sync!$Z703=""),"",Sync!$Z703)</f>
        <v/>
      </c>
      <c r="K706">
        <f>IF(OR($G706="",Sync!$AA703=""),"",Sync!$AA703)</f>
        <v/>
      </c>
      <c r="L706">
        <f>IF($G706="",0,IF(Sync!$AB703="",0,Sync!$AB703))</f>
        <v/>
      </c>
      <c r="M706">
        <f>IF($G706="",0,IF(Sync!$AC703="",0,Sync!$AC703))</f>
        <v/>
      </c>
      <c r="N706">
        <f>IF($G706="","",IF($H706="مرجوعی خرید",-1,1)*($L706-$M706*IFERROR(VLOOKUP("P01",ParamTbl,3,0),1.5))*(1-IF($I706="خرید",IFERROR(VLOOKUP("P02",ParamTbl,3,0),1),0)/100))</f>
        <v/>
      </c>
      <c r="O706">
        <f>IF($G706="",0,IF($H706="مرجوعی خرید",-1,1)*IF(Sync!$AD703="",0,Sync!$AD703))</f>
        <v/>
      </c>
      <c r="P706">
        <f>IF(OR($G706="",Sync!$W703=""),"",Sync!$W703)</f>
        <v/>
      </c>
      <c r="Q706">
        <f>IF(OR($G706="",Sync!$AE703=""),"",Sync!$AE703)</f>
        <v/>
      </c>
      <c r="R706">
        <f>IF($G706="","",IF(Sync!$V703="","0000",IF(AND(ISNUMBER(Sync!$V703),Sync!$V703&gt;=0,Sync!$V703&lt;1),RIGHT("00"&amp;HOUR(Sync!$V703),2)&amp;RIGHT("00"&amp;MINUTE(Sync!$V703),2),IFERROR(RIGHT("00"&amp;VALUE(LEFT(Sync!$V703,FIND(":",Sync!$V703)-1)),2)&amp;RIGHT("00"&amp;VALUE(MID(Sync!$V703,FIND(":",Sync!$V703)+1,2)),2),"0000"))))</f>
        <v/>
      </c>
    </row>
    <row r="707">
      <c r="A707">
        <f>IF(Sync!$U704="","",Sync!$U704)</f>
        <v/>
      </c>
      <c r="B707">
        <f>IF($A707="","",IF(ISNUMBER($A707),IF(AND($A707&gt;=10000101,$A707&lt;=99991231),INT($A707/10000),""),IFERROR(VALUE(TRIM(LEFT($A707,FIND("/",$A707)-1))),"")))</f>
        <v/>
      </c>
      <c r="C707">
        <f>IF(OR($A707="",$B707=""),"",IF(ISNUMBER($A707),INT(MOD($A707,10000)/100),IFERROR(VALUE(TRIM(LEFT(MID($A707,FIND("/",$A707)+1,20),FIND("/",MID($A707,FIND("/",$A707)+1,20))-1))),"")))</f>
        <v/>
      </c>
      <c r="D707">
        <f>IF(OR($A707="",$B707=""),"",IF(ISNUMBER($A707),MOD($A707,100),IFERROR(VALUE(TRIM(MID(MID($A707,FIND("/",$A707)+1,20),FIND("/",MID($A707,FIND("/",$A707)+1,20))+1,20))),"")))</f>
        <v/>
      </c>
      <c r="E707">
        <f>IF($A707="","",IF(OR($B707="",$C707="",$D707="",$B707&lt;1300,$B707&gt;1500,$C707&lt;1,$C707&gt;12,$D707&lt;1,$D707&gt;31),"نامعتبر",RIGHT("0000"&amp;$B707,4)&amp;"/"&amp;RIGHT("00"&amp;$C707,2)&amp;"/"&amp;RIGHT("00"&amp;$D707,2)))</f>
        <v/>
      </c>
      <c r="F707">
        <f>IF(OR($E707="",$E707="نامعتبر"),"",LEFT($E707,4)&amp;"/"&amp;MID($E707,6,2))</f>
        <v/>
      </c>
      <c r="G707">
        <f>IF(OR($E707="",$E707="نامعتبر",Sync!$Y704=""),"",Sync!$Y704)</f>
        <v/>
      </c>
      <c r="H707">
        <f>IF($G707="","",IF(Sync!$X704="","",Sync!$X704))</f>
        <v/>
      </c>
      <c r="I707">
        <f>IF($G707="","",IFERROR(VLOOKUP(Sync!$X704,OpTbl,3,0),""))</f>
        <v/>
      </c>
      <c r="J707">
        <f>IF(OR($G707="",Sync!$Z704=""),"",Sync!$Z704)</f>
        <v/>
      </c>
      <c r="K707">
        <f>IF(OR($G707="",Sync!$AA704=""),"",Sync!$AA704)</f>
        <v/>
      </c>
      <c r="L707">
        <f>IF($G707="",0,IF(Sync!$AB704="",0,Sync!$AB704))</f>
        <v/>
      </c>
      <c r="M707">
        <f>IF($G707="",0,IF(Sync!$AC704="",0,Sync!$AC704))</f>
        <v/>
      </c>
      <c r="N707">
        <f>IF($G707="","",IF($H707="مرجوعی خرید",-1,1)*($L707-$M707*IFERROR(VLOOKUP("P01",ParamTbl,3,0),1.5))*(1-IF($I707="خرید",IFERROR(VLOOKUP("P02",ParamTbl,3,0),1),0)/100))</f>
        <v/>
      </c>
      <c r="O707">
        <f>IF($G707="",0,IF($H707="مرجوعی خرید",-1,1)*IF(Sync!$AD704="",0,Sync!$AD704))</f>
        <v/>
      </c>
      <c r="P707">
        <f>IF(OR($G707="",Sync!$W704=""),"",Sync!$W704)</f>
        <v/>
      </c>
      <c r="Q707">
        <f>IF(OR($G707="",Sync!$AE704=""),"",Sync!$AE704)</f>
        <v/>
      </c>
      <c r="R707">
        <f>IF($G707="","",IF(Sync!$V704="","0000",IF(AND(ISNUMBER(Sync!$V704),Sync!$V704&gt;=0,Sync!$V704&lt;1),RIGHT("00"&amp;HOUR(Sync!$V704),2)&amp;RIGHT("00"&amp;MINUTE(Sync!$V704),2),IFERROR(RIGHT("00"&amp;VALUE(LEFT(Sync!$V704,FIND(":",Sync!$V704)-1)),2)&amp;RIGHT("00"&amp;VALUE(MID(Sync!$V704,FIND(":",Sync!$V704)+1,2)),2),"0000"))))</f>
        <v/>
      </c>
    </row>
    <row r="708">
      <c r="A708">
        <f>IF(Sync!$U705="","",Sync!$U705)</f>
        <v/>
      </c>
      <c r="B708">
        <f>IF($A708="","",IF(ISNUMBER($A708),IF(AND($A708&gt;=10000101,$A708&lt;=99991231),INT($A708/10000),""),IFERROR(VALUE(TRIM(LEFT($A708,FIND("/",$A708)-1))),"")))</f>
        <v/>
      </c>
      <c r="C708">
        <f>IF(OR($A708="",$B708=""),"",IF(ISNUMBER($A708),INT(MOD($A708,10000)/100),IFERROR(VALUE(TRIM(LEFT(MID($A708,FIND("/",$A708)+1,20),FIND("/",MID($A708,FIND("/",$A708)+1,20))-1))),"")))</f>
        <v/>
      </c>
      <c r="D708">
        <f>IF(OR($A708="",$B708=""),"",IF(ISNUMBER($A708),MOD($A708,100),IFERROR(VALUE(TRIM(MID(MID($A708,FIND("/",$A708)+1,20),FIND("/",MID($A708,FIND("/",$A708)+1,20))+1,20))),"")))</f>
        <v/>
      </c>
      <c r="E708">
        <f>IF($A708="","",IF(OR($B708="",$C708="",$D708="",$B708&lt;1300,$B708&gt;1500,$C708&lt;1,$C708&gt;12,$D708&lt;1,$D708&gt;31),"نامعتبر",RIGHT("0000"&amp;$B708,4)&amp;"/"&amp;RIGHT("00"&amp;$C708,2)&amp;"/"&amp;RIGHT("00"&amp;$D708,2)))</f>
        <v/>
      </c>
      <c r="F708">
        <f>IF(OR($E708="",$E708="نامعتبر"),"",LEFT($E708,4)&amp;"/"&amp;MID($E708,6,2))</f>
        <v/>
      </c>
      <c r="G708">
        <f>IF(OR($E708="",$E708="نامعتبر",Sync!$Y705=""),"",Sync!$Y705)</f>
        <v/>
      </c>
      <c r="H708">
        <f>IF($G708="","",IF(Sync!$X705="","",Sync!$X705))</f>
        <v/>
      </c>
      <c r="I708">
        <f>IF($G708="","",IFERROR(VLOOKUP(Sync!$X705,OpTbl,3,0),""))</f>
        <v/>
      </c>
      <c r="J708">
        <f>IF(OR($G708="",Sync!$Z705=""),"",Sync!$Z705)</f>
        <v/>
      </c>
      <c r="K708">
        <f>IF(OR($G708="",Sync!$AA705=""),"",Sync!$AA705)</f>
        <v/>
      </c>
      <c r="L708">
        <f>IF($G708="",0,IF(Sync!$AB705="",0,Sync!$AB705))</f>
        <v/>
      </c>
      <c r="M708">
        <f>IF($G708="",0,IF(Sync!$AC705="",0,Sync!$AC705))</f>
        <v/>
      </c>
      <c r="N708">
        <f>IF($G708="","",IF($H708="مرجوعی خرید",-1,1)*($L708-$M708*IFERROR(VLOOKUP("P01",ParamTbl,3,0),1.5))*(1-IF($I708="خرید",IFERROR(VLOOKUP("P02",ParamTbl,3,0),1),0)/100))</f>
        <v/>
      </c>
      <c r="O708">
        <f>IF($G708="",0,IF($H708="مرجوعی خرید",-1,1)*IF(Sync!$AD705="",0,Sync!$AD705))</f>
        <v/>
      </c>
      <c r="P708">
        <f>IF(OR($G708="",Sync!$W705=""),"",Sync!$W705)</f>
        <v/>
      </c>
      <c r="Q708">
        <f>IF(OR($G708="",Sync!$AE705=""),"",Sync!$AE705)</f>
        <v/>
      </c>
      <c r="R708">
        <f>IF($G708="","",IF(Sync!$V705="","0000",IF(AND(ISNUMBER(Sync!$V705),Sync!$V705&gt;=0,Sync!$V705&lt;1),RIGHT("00"&amp;HOUR(Sync!$V705),2)&amp;RIGHT("00"&amp;MINUTE(Sync!$V705),2),IFERROR(RIGHT("00"&amp;VALUE(LEFT(Sync!$V705,FIND(":",Sync!$V705)-1)),2)&amp;RIGHT("00"&amp;VALUE(MID(Sync!$V705,FIND(":",Sync!$V705)+1,2)),2),"0000"))))</f>
        <v/>
      </c>
    </row>
    <row r="709">
      <c r="A709">
        <f>IF(Sync!$U706="","",Sync!$U706)</f>
        <v/>
      </c>
      <c r="B709">
        <f>IF($A709="","",IF(ISNUMBER($A709),IF(AND($A709&gt;=10000101,$A709&lt;=99991231),INT($A709/10000),""),IFERROR(VALUE(TRIM(LEFT($A709,FIND("/",$A709)-1))),"")))</f>
        <v/>
      </c>
      <c r="C709">
        <f>IF(OR($A709="",$B709=""),"",IF(ISNUMBER($A709),INT(MOD($A709,10000)/100),IFERROR(VALUE(TRIM(LEFT(MID($A709,FIND("/",$A709)+1,20),FIND("/",MID($A709,FIND("/",$A709)+1,20))-1))),"")))</f>
        <v/>
      </c>
      <c r="D709">
        <f>IF(OR($A709="",$B709=""),"",IF(ISNUMBER($A709),MOD($A709,100),IFERROR(VALUE(TRIM(MID(MID($A709,FIND("/",$A709)+1,20),FIND("/",MID($A709,FIND("/",$A709)+1,20))+1,20))),"")))</f>
        <v/>
      </c>
      <c r="E709">
        <f>IF($A709="","",IF(OR($B709="",$C709="",$D709="",$B709&lt;1300,$B709&gt;1500,$C709&lt;1,$C709&gt;12,$D709&lt;1,$D709&gt;31),"نامعتبر",RIGHT("0000"&amp;$B709,4)&amp;"/"&amp;RIGHT("00"&amp;$C709,2)&amp;"/"&amp;RIGHT("00"&amp;$D709,2)))</f>
        <v/>
      </c>
      <c r="F709">
        <f>IF(OR($E709="",$E709="نامعتبر"),"",LEFT($E709,4)&amp;"/"&amp;MID($E709,6,2))</f>
        <v/>
      </c>
      <c r="G709">
        <f>IF(OR($E709="",$E709="نامعتبر",Sync!$Y706=""),"",Sync!$Y706)</f>
        <v/>
      </c>
      <c r="H709">
        <f>IF($G709="","",IF(Sync!$X706="","",Sync!$X706))</f>
        <v/>
      </c>
      <c r="I709">
        <f>IF($G709="","",IFERROR(VLOOKUP(Sync!$X706,OpTbl,3,0),""))</f>
        <v/>
      </c>
      <c r="J709">
        <f>IF(OR($G709="",Sync!$Z706=""),"",Sync!$Z706)</f>
        <v/>
      </c>
      <c r="K709">
        <f>IF(OR($G709="",Sync!$AA706=""),"",Sync!$AA706)</f>
        <v/>
      </c>
      <c r="L709">
        <f>IF($G709="",0,IF(Sync!$AB706="",0,Sync!$AB706))</f>
        <v/>
      </c>
      <c r="M709">
        <f>IF($G709="",0,IF(Sync!$AC706="",0,Sync!$AC706))</f>
        <v/>
      </c>
      <c r="N709">
        <f>IF($G709="","",IF($H709="مرجوعی خرید",-1,1)*($L709-$M709*IFERROR(VLOOKUP("P01",ParamTbl,3,0),1.5))*(1-IF($I709="خرید",IFERROR(VLOOKUP("P02",ParamTbl,3,0),1),0)/100))</f>
        <v/>
      </c>
      <c r="O709">
        <f>IF($G709="",0,IF($H709="مرجوعی خرید",-1,1)*IF(Sync!$AD706="",0,Sync!$AD706))</f>
        <v/>
      </c>
      <c r="P709">
        <f>IF(OR($G709="",Sync!$W706=""),"",Sync!$W706)</f>
        <v/>
      </c>
      <c r="Q709">
        <f>IF(OR($G709="",Sync!$AE706=""),"",Sync!$AE706)</f>
        <v/>
      </c>
      <c r="R709">
        <f>IF($G709="","",IF(Sync!$V706="","0000",IF(AND(ISNUMBER(Sync!$V706),Sync!$V706&gt;=0,Sync!$V706&lt;1),RIGHT("00"&amp;HOUR(Sync!$V706),2)&amp;RIGHT("00"&amp;MINUTE(Sync!$V706),2),IFERROR(RIGHT("00"&amp;VALUE(LEFT(Sync!$V706,FIND(":",Sync!$V706)-1)),2)&amp;RIGHT("00"&amp;VALUE(MID(Sync!$V706,FIND(":",Sync!$V706)+1,2)),2),"0000"))))</f>
        <v/>
      </c>
    </row>
    <row r="710">
      <c r="A710">
        <f>IF(Sync!$U707="","",Sync!$U707)</f>
        <v/>
      </c>
      <c r="B710">
        <f>IF($A710="","",IF(ISNUMBER($A710),IF(AND($A710&gt;=10000101,$A710&lt;=99991231),INT($A710/10000),""),IFERROR(VALUE(TRIM(LEFT($A710,FIND("/",$A710)-1))),"")))</f>
        <v/>
      </c>
      <c r="C710">
        <f>IF(OR($A710="",$B710=""),"",IF(ISNUMBER($A710),INT(MOD($A710,10000)/100),IFERROR(VALUE(TRIM(LEFT(MID($A710,FIND("/",$A710)+1,20),FIND("/",MID($A710,FIND("/",$A710)+1,20))-1))),"")))</f>
        <v/>
      </c>
      <c r="D710">
        <f>IF(OR($A710="",$B710=""),"",IF(ISNUMBER($A710),MOD($A710,100),IFERROR(VALUE(TRIM(MID(MID($A710,FIND("/",$A710)+1,20),FIND("/",MID($A710,FIND("/",$A710)+1,20))+1,20))),"")))</f>
        <v/>
      </c>
      <c r="E710">
        <f>IF($A710="","",IF(OR($B710="",$C710="",$D710="",$B710&lt;1300,$B710&gt;1500,$C710&lt;1,$C710&gt;12,$D710&lt;1,$D710&gt;31),"نامعتبر",RIGHT("0000"&amp;$B710,4)&amp;"/"&amp;RIGHT("00"&amp;$C710,2)&amp;"/"&amp;RIGHT("00"&amp;$D710,2)))</f>
        <v/>
      </c>
      <c r="F710">
        <f>IF(OR($E710="",$E710="نامعتبر"),"",LEFT($E710,4)&amp;"/"&amp;MID($E710,6,2))</f>
        <v/>
      </c>
      <c r="G710">
        <f>IF(OR($E710="",$E710="نامعتبر",Sync!$Y707=""),"",Sync!$Y707)</f>
        <v/>
      </c>
      <c r="H710">
        <f>IF($G710="","",IF(Sync!$X707="","",Sync!$X707))</f>
        <v/>
      </c>
      <c r="I710">
        <f>IF($G710="","",IFERROR(VLOOKUP(Sync!$X707,OpTbl,3,0),""))</f>
        <v/>
      </c>
      <c r="J710">
        <f>IF(OR($G710="",Sync!$Z707=""),"",Sync!$Z707)</f>
        <v/>
      </c>
      <c r="K710">
        <f>IF(OR($G710="",Sync!$AA707=""),"",Sync!$AA707)</f>
        <v/>
      </c>
      <c r="L710">
        <f>IF($G710="",0,IF(Sync!$AB707="",0,Sync!$AB707))</f>
        <v/>
      </c>
      <c r="M710">
        <f>IF($G710="",0,IF(Sync!$AC707="",0,Sync!$AC707))</f>
        <v/>
      </c>
      <c r="N710">
        <f>IF($G710="","",IF($H710="مرجوعی خرید",-1,1)*($L710-$M710*IFERROR(VLOOKUP("P01",ParamTbl,3,0),1.5))*(1-IF($I710="خرید",IFERROR(VLOOKUP("P02",ParamTbl,3,0),1),0)/100))</f>
        <v/>
      </c>
      <c r="O710">
        <f>IF($G710="",0,IF($H710="مرجوعی خرید",-1,1)*IF(Sync!$AD707="",0,Sync!$AD707))</f>
        <v/>
      </c>
      <c r="P710">
        <f>IF(OR($G710="",Sync!$W707=""),"",Sync!$W707)</f>
        <v/>
      </c>
      <c r="Q710">
        <f>IF(OR($G710="",Sync!$AE707=""),"",Sync!$AE707)</f>
        <v/>
      </c>
      <c r="R710">
        <f>IF($G710="","",IF(Sync!$V707="","0000",IF(AND(ISNUMBER(Sync!$V707),Sync!$V707&gt;=0,Sync!$V707&lt;1),RIGHT("00"&amp;HOUR(Sync!$V707),2)&amp;RIGHT("00"&amp;MINUTE(Sync!$V707),2),IFERROR(RIGHT("00"&amp;VALUE(LEFT(Sync!$V707,FIND(":",Sync!$V707)-1)),2)&amp;RIGHT("00"&amp;VALUE(MID(Sync!$V707,FIND(":",Sync!$V707)+1,2)),2),"0000"))))</f>
        <v/>
      </c>
    </row>
    <row r="711">
      <c r="A711">
        <f>IF(Sync!$U708="","",Sync!$U708)</f>
        <v/>
      </c>
      <c r="B711">
        <f>IF($A711="","",IF(ISNUMBER($A711),IF(AND($A711&gt;=10000101,$A711&lt;=99991231),INT($A711/10000),""),IFERROR(VALUE(TRIM(LEFT($A711,FIND("/",$A711)-1))),"")))</f>
        <v/>
      </c>
      <c r="C711">
        <f>IF(OR($A711="",$B711=""),"",IF(ISNUMBER($A711),INT(MOD($A711,10000)/100),IFERROR(VALUE(TRIM(LEFT(MID($A711,FIND("/",$A711)+1,20),FIND("/",MID($A711,FIND("/",$A711)+1,20))-1))),"")))</f>
        <v/>
      </c>
      <c r="D711">
        <f>IF(OR($A711="",$B711=""),"",IF(ISNUMBER($A711),MOD($A711,100),IFERROR(VALUE(TRIM(MID(MID($A711,FIND("/",$A711)+1,20),FIND("/",MID($A711,FIND("/",$A711)+1,20))+1,20))),"")))</f>
        <v/>
      </c>
      <c r="E711">
        <f>IF($A711="","",IF(OR($B711="",$C711="",$D711="",$B711&lt;1300,$B711&gt;1500,$C711&lt;1,$C711&gt;12,$D711&lt;1,$D711&gt;31),"نامعتبر",RIGHT("0000"&amp;$B711,4)&amp;"/"&amp;RIGHT("00"&amp;$C711,2)&amp;"/"&amp;RIGHT("00"&amp;$D711,2)))</f>
        <v/>
      </c>
      <c r="F711">
        <f>IF(OR($E711="",$E711="نامعتبر"),"",LEFT($E711,4)&amp;"/"&amp;MID($E711,6,2))</f>
        <v/>
      </c>
      <c r="G711">
        <f>IF(OR($E711="",$E711="نامعتبر",Sync!$Y708=""),"",Sync!$Y708)</f>
        <v/>
      </c>
      <c r="H711">
        <f>IF($G711="","",IF(Sync!$X708="","",Sync!$X708))</f>
        <v/>
      </c>
      <c r="I711">
        <f>IF($G711="","",IFERROR(VLOOKUP(Sync!$X708,OpTbl,3,0),""))</f>
        <v/>
      </c>
      <c r="J711">
        <f>IF(OR($G711="",Sync!$Z708=""),"",Sync!$Z708)</f>
        <v/>
      </c>
      <c r="K711">
        <f>IF(OR($G711="",Sync!$AA708=""),"",Sync!$AA708)</f>
        <v/>
      </c>
      <c r="L711">
        <f>IF($G711="",0,IF(Sync!$AB708="",0,Sync!$AB708))</f>
        <v/>
      </c>
      <c r="M711">
        <f>IF($G711="",0,IF(Sync!$AC708="",0,Sync!$AC708))</f>
        <v/>
      </c>
      <c r="N711">
        <f>IF($G711="","",IF($H711="مرجوعی خرید",-1,1)*($L711-$M711*IFERROR(VLOOKUP("P01",ParamTbl,3,0),1.5))*(1-IF($I711="خرید",IFERROR(VLOOKUP("P02",ParamTbl,3,0),1),0)/100))</f>
        <v/>
      </c>
      <c r="O711">
        <f>IF($G711="",0,IF($H711="مرجوعی خرید",-1,1)*IF(Sync!$AD708="",0,Sync!$AD708))</f>
        <v/>
      </c>
      <c r="P711">
        <f>IF(OR($G711="",Sync!$W708=""),"",Sync!$W708)</f>
        <v/>
      </c>
      <c r="Q711">
        <f>IF(OR($G711="",Sync!$AE708=""),"",Sync!$AE708)</f>
        <v/>
      </c>
      <c r="R711">
        <f>IF($G711="","",IF(Sync!$V708="","0000",IF(AND(ISNUMBER(Sync!$V708),Sync!$V708&gt;=0,Sync!$V708&lt;1),RIGHT("00"&amp;HOUR(Sync!$V708),2)&amp;RIGHT("00"&amp;MINUTE(Sync!$V708),2),IFERROR(RIGHT("00"&amp;VALUE(LEFT(Sync!$V708,FIND(":",Sync!$V708)-1)),2)&amp;RIGHT("00"&amp;VALUE(MID(Sync!$V708,FIND(":",Sync!$V708)+1,2)),2),"0000"))))</f>
        <v/>
      </c>
    </row>
    <row r="712">
      <c r="A712">
        <f>IF(Sync!$U709="","",Sync!$U709)</f>
        <v/>
      </c>
      <c r="B712">
        <f>IF($A712="","",IF(ISNUMBER($A712),IF(AND($A712&gt;=10000101,$A712&lt;=99991231),INT($A712/10000),""),IFERROR(VALUE(TRIM(LEFT($A712,FIND("/",$A712)-1))),"")))</f>
        <v/>
      </c>
      <c r="C712">
        <f>IF(OR($A712="",$B712=""),"",IF(ISNUMBER($A712),INT(MOD($A712,10000)/100),IFERROR(VALUE(TRIM(LEFT(MID($A712,FIND("/",$A712)+1,20),FIND("/",MID($A712,FIND("/",$A712)+1,20))-1))),"")))</f>
        <v/>
      </c>
      <c r="D712">
        <f>IF(OR($A712="",$B712=""),"",IF(ISNUMBER($A712),MOD($A712,100),IFERROR(VALUE(TRIM(MID(MID($A712,FIND("/",$A712)+1,20),FIND("/",MID($A712,FIND("/",$A712)+1,20))+1,20))),"")))</f>
        <v/>
      </c>
      <c r="E712">
        <f>IF($A712="","",IF(OR($B712="",$C712="",$D712="",$B712&lt;1300,$B712&gt;1500,$C712&lt;1,$C712&gt;12,$D712&lt;1,$D712&gt;31),"نامعتبر",RIGHT("0000"&amp;$B712,4)&amp;"/"&amp;RIGHT("00"&amp;$C712,2)&amp;"/"&amp;RIGHT("00"&amp;$D712,2)))</f>
        <v/>
      </c>
      <c r="F712">
        <f>IF(OR($E712="",$E712="نامعتبر"),"",LEFT($E712,4)&amp;"/"&amp;MID($E712,6,2))</f>
        <v/>
      </c>
      <c r="G712">
        <f>IF(OR($E712="",$E712="نامعتبر",Sync!$Y709=""),"",Sync!$Y709)</f>
        <v/>
      </c>
      <c r="H712">
        <f>IF($G712="","",IF(Sync!$X709="","",Sync!$X709))</f>
        <v/>
      </c>
      <c r="I712">
        <f>IF($G712="","",IFERROR(VLOOKUP(Sync!$X709,OpTbl,3,0),""))</f>
        <v/>
      </c>
      <c r="J712">
        <f>IF(OR($G712="",Sync!$Z709=""),"",Sync!$Z709)</f>
        <v/>
      </c>
      <c r="K712">
        <f>IF(OR($G712="",Sync!$AA709=""),"",Sync!$AA709)</f>
        <v/>
      </c>
      <c r="L712">
        <f>IF($G712="",0,IF(Sync!$AB709="",0,Sync!$AB709))</f>
        <v/>
      </c>
      <c r="M712">
        <f>IF($G712="",0,IF(Sync!$AC709="",0,Sync!$AC709))</f>
        <v/>
      </c>
      <c r="N712">
        <f>IF($G712="","",IF($H712="مرجوعی خرید",-1,1)*($L712-$M712*IFERROR(VLOOKUP("P01",ParamTbl,3,0),1.5))*(1-IF($I712="خرید",IFERROR(VLOOKUP("P02",ParamTbl,3,0),1),0)/100))</f>
        <v/>
      </c>
      <c r="O712">
        <f>IF($G712="",0,IF($H712="مرجوعی خرید",-1,1)*IF(Sync!$AD709="",0,Sync!$AD709))</f>
        <v/>
      </c>
      <c r="P712">
        <f>IF(OR($G712="",Sync!$W709=""),"",Sync!$W709)</f>
        <v/>
      </c>
      <c r="Q712">
        <f>IF(OR($G712="",Sync!$AE709=""),"",Sync!$AE709)</f>
        <v/>
      </c>
      <c r="R712">
        <f>IF($G712="","",IF(Sync!$V709="","0000",IF(AND(ISNUMBER(Sync!$V709),Sync!$V709&gt;=0,Sync!$V709&lt;1),RIGHT("00"&amp;HOUR(Sync!$V709),2)&amp;RIGHT("00"&amp;MINUTE(Sync!$V709),2),IFERROR(RIGHT("00"&amp;VALUE(LEFT(Sync!$V709,FIND(":",Sync!$V709)-1)),2)&amp;RIGHT("00"&amp;VALUE(MID(Sync!$V709,FIND(":",Sync!$V709)+1,2)),2),"0000"))))</f>
        <v/>
      </c>
    </row>
    <row r="713">
      <c r="A713">
        <f>IF(Sync!$U710="","",Sync!$U710)</f>
        <v/>
      </c>
      <c r="B713">
        <f>IF($A713="","",IF(ISNUMBER($A713),IF(AND($A713&gt;=10000101,$A713&lt;=99991231),INT($A713/10000),""),IFERROR(VALUE(TRIM(LEFT($A713,FIND("/",$A713)-1))),"")))</f>
        <v/>
      </c>
      <c r="C713">
        <f>IF(OR($A713="",$B713=""),"",IF(ISNUMBER($A713),INT(MOD($A713,10000)/100),IFERROR(VALUE(TRIM(LEFT(MID($A713,FIND("/",$A713)+1,20),FIND("/",MID($A713,FIND("/",$A713)+1,20))-1))),"")))</f>
        <v/>
      </c>
      <c r="D713">
        <f>IF(OR($A713="",$B713=""),"",IF(ISNUMBER($A713),MOD($A713,100),IFERROR(VALUE(TRIM(MID(MID($A713,FIND("/",$A713)+1,20),FIND("/",MID($A713,FIND("/",$A713)+1,20))+1,20))),"")))</f>
        <v/>
      </c>
      <c r="E713">
        <f>IF($A713="","",IF(OR($B713="",$C713="",$D713="",$B713&lt;1300,$B713&gt;1500,$C713&lt;1,$C713&gt;12,$D713&lt;1,$D713&gt;31),"نامعتبر",RIGHT("0000"&amp;$B713,4)&amp;"/"&amp;RIGHT("00"&amp;$C713,2)&amp;"/"&amp;RIGHT("00"&amp;$D713,2)))</f>
        <v/>
      </c>
      <c r="F713">
        <f>IF(OR($E713="",$E713="نامعتبر"),"",LEFT($E713,4)&amp;"/"&amp;MID($E713,6,2))</f>
        <v/>
      </c>
      <c r="G713">
        <f>IF(OR($E713="",$E713="نامعتبر",Sync!$Y710=""),"",Sync!$Y710)</f>
        <v/>
      </c>
      <c r="H713">
        <f>IF($G713="","",IF(Sync!$X710="","",Sync!$X710))</f>
        <v/>
      </c>
      <c r="I713">
        <f>IF($G713="","",IFERROR(VLOOKUP(Sync!$X710,OpTbl,3,0),""))</f>
        <v/>
      </c>
      <c r="J713">
        <f>IF(OR($G713="",Sync!$Z710=""),"",Sync!$Z710)</f>
        <v/>
      </c>
      <c r="K713">
        <f>IF(OR($G713="",Sync!$AA710=""),"",Sync!$AA710)</f>
        <v/>
      </c>
      <c r="L713">
        <f>IF($G713="",0,IF(Sync!$AB710="",0,Sync!$AB710))</f>
        <v/>
      </c>
      <c r="M713">
        <f>IF($G713="",0,IF(Sync!$AC710="",0,Sync!$AC710))</f>
        <v/>
      </c>
      <c r="N713">
        <f>IF($G713="","",IF($H713="مرجوعی خرید",-1,1)*($L713-$M713*IFERROR(VLOOKUP("P01",ParamTbl,3,0),1.5))*(1-IF($I713="خرید",IFERROR(VLOOKUP("P02",ParamTbl,3,0),1),0)/100))</f>
        <v/>
      </c>
      <c r="O713">
        <f>IF($G713="",0,IF($H713="مرجوعی خرید",-1,1)*IF(Sync!$AD710="",0,Sync!$AD710))</f>
        <v/>
      </c>
      <c r="P713">
        <f>IF(OR($G713="",Sync!$W710=""),"",Sync!$W710)</f>
        <v/>
      </c>
      <c r="Q713">
        <f>IF(OR($G713="",Sync!$AE710=""),"",Sync!$AE710)</f>
        <v/>
      </c>
      <c r="R713">
        <f>IF($G713="","",IF(Sync!$V710="","0000",IF(AND(ISNUMBER(Sync!$V710),Sync!$V710&gt;=0,Sync!$V710&lt;1),RIGHT("00"&amp;HOUR(Sync!$V710),2)&amp;RIGHT("00"&amp;MINUTE(Sync!$V710),2),IFERROR(RIGHT("00"&amp;VALUE(LEFT(Sync!$V710,FIND(":",Sync!$V710)-1)),2)&amp;RIGHT("00"&amp;VALUE(MID(Sync!$V710,FIND(":",Sync!$V710)+1,2)),2),"0000"))))</f>
        <v/>
      </c>
    </row>
    <row r="714">
      <c r="A714">
        <f>IF(Sync!$U711="","",Sync!$U711)</f>
        <v/>
      </c>
      <c r="B714">
        <f>IF($A714="","",IF(ISNUMBER($A714),IF(AND($A714&gt;=10000101,$A714&lt;=99991231),INT($A714/10000),""),IFERROR(VALUE(TRIM(LEFT($A714,FIND("/",$A714)-1))),"")))</f>
        <v/>
      </c>
      <c r="C714">
        <f>IF(OR($A714="",$B714=""),"",IF(ISNUMBER($A714),INT(MOD($A714,10000)/100),IFERROR(VALUE(TRIM(LEFT(MID($A714,FIND("/",$A714)+1,20),FIND("/",MID($A714,FIND("/",$A714)+1,20))-1))),"")))</f>
        <v/>
      </c>
      <c r="D714">
        <f>IF(OR($A714="",$B714=""),"",IF(ISNUMBER($A714),MOD($A714,100),IFERROR(VALUE(TRIM(MID(MID($A714,FIND("/",$A714)+1,20),FIND("/",MID($A714,FIND("/",$A714)+1,20))+1,20))),"")))</f>
        <v/>
      </c>
      <c r="E714">
        <f>IF($A714="","",IF(OR($B714="",$C714="",$D714="",$B714&lt;1300,$B714&gt;1500,$C714&lt;1,$C714&gt;12,$D714&lt;1,$D714&gt;31),"نامعتبر",RIGHT("0000"&amp;$B714,4)&amp;"/"&amp;RIGHT("00"&amp;$C714,2)&amp;"/"&amp;RIGHT("00"&amp;$D714,2)))</f>
        <v/>
      </c>
      <c r="F714">
        <f>IF(OR($E714="",$E714="نامعتبر"),"",LEFT($E714,4)&amp;"/"&amp;MID($E714,6,2))</f>
        <v/>
      </c>
      <c r="G714">
        <f>IF(OR($E714="",$E714="نامعتبر",Sync!$Y711=""),"",Sync!$Y711)</f>
        <v/>
      </c>
      <c r="H714">
        <f>IF($G714="","",IF(Sync!$X711="","",Sync!$X711))</f>
        <v/>
      </c>
      <c r="I714">
        <f>IF($G714="","",IFERROR(VLOOKUP(Sync!$X711,OpTbl,3,0),""))</f>
        <v/>
      </c>
      <c r="J714">
        <f>IF(OR($G714="",Sync!$Z711=""),"",Sync!$Z711)</f>
        <v/>
      </c>
      <c r="K714">
        <f>IF(OR($G714="",Sync!$AA711=""),"",Sync!$AA711)</f>
        <v/>
      </c>
      <c r="L714">
        <f>IF($G714="",0,IF(Sync!$AB711="",0,Sync!$AB711))</f>
        <v/>
      </c>
      <c r="M714">
        <f>IF($G714="",0,IF(Sync!$AC711="",0,Sync!$AC711))</f>
        <v/>
      </c>
      <c r="N714">
        <f>IF($G714="","",IF($H714="مرجوعی خرید",-1,1)*($L714-$M714*IFERROR(VLOOKUP("P01",ParamTbl,3,0),1.5))*(1-IF($I714="خرید",IFERROR(VLOOKUP("P02",ParamTbl,3,0),1),0)/100))</f>
        <v/>
      </c>
      <c r="O714">
        <f>IF($G714="",0,IF($H714="مرجوعی خرید",-1,1)*IF(Sync!$AD711="",0,Sync!$AD711))</f>
        <v/>
      </c>
      <c r="P714">
        <f>IF(OR($G714="",Sync!$W711=""),"",Sync!$W711)</f>
        <v/>
      </c>
      <c r="Q714">
        <f>IF(OR($G714="",Sync!$AE711=""),"",Sync!$AE711)</f>
        <v/>
      </c>
      <c r="R714">
        <f>IF($G714="","",IF(Sync!$V711="","0000",IF(AND(ISNUMBER(Sync!$V711),Sync!$V711&gt;=0,Sync!$V711&lt;1),RIGHT("00"&amp;HOUR(Sync!$V711),2)&amp;RIGHT("00"&amp;MINUTE(Sync!$V711),2),IFERROR(RIGHT("00"&amp;VALUE(LEFT(Sync!$V711,FIND(":",Sync!$V711)-1)),2)&amp;RIGHT("00"&amp;VALUE(MID(Sync!$V711,FIND(":",Sync!$V711)+1,2)),2),"0000"))))</f>
        <v/>
      </c>
    </row>
    <row r="715">
      <c r="A715">
        <f>IF(Sync!$U712="","",Sync!$U712)</f>
        <v/>
      </c>
      <c r="B715">
        <f>IF($A715="","",IF(ISNUMBER($A715),IF(AND($A715&gt;=10000101,$A715&lt;=99991231),INT($A715/10000),""),IFERROR(VALUE(TRIM(LEFT($A715,FIND("/",$A715)-1))),"")))</f>
        <v/>
      </c>
      <c r="C715">
        <f>IF(OR($A715="",$B715=""),"",IF(ISNUMBER($A715),INT(MOD($A715,10000)/100),IFERROR(VALUE(TRIM(LEFT(MID($A715,FIND("/",$A715)+1,20),FIND("/",MID($A715,FIND("/",$A715)+1,20))-1))),"")))</f>
        <v/>
      </c>
      <c r="D715">
        <f>IF(OR($A715="",$B715=""),"",IF(ISNUMBER($A715),MOD($A715,100),IFERROR(VALUE(TRIM(MID(MID($A715,FIND("/",$A715)+1,20),FIND("/",MID($A715,FIND("/",$A715)+1,20))+1,20))),"")))</f>
        <v/>
      </c>
      <c r="E715">
        <f>IF($A715="","",IF(OR($B715="",$C715="",$D715="",$B715&lt;1300,$B715&gt;1500,$C715&lt;1,$C715&gt;12,$D715&lt;1,$D715&gt;31),"نامعتبر",RIGHT("0000"&amp;$B715,4)&amp;"/"&amp;RIGHT("00"&amp;$C715,2)&amp;"/"&amp;RIGHT("00"&amp;$D715,2)))</f>
        <v/>
      </c>
      <c r="F715">
        <f>IF(OR($E715="",$E715="نامعتبر"),"",LEFT($E715,4)&amp;"/"&amp;MID($E715,6,2))</f>
        <v/>
      </c>
      <c r="G715">
        <f>IF(OR($E715="",$E715="نامعتبر",Sync!$Y712=""),"",Sync!$Y712)</f>
        <v/>
      </c>
      <c r="H715">
        <f>IF($G715="","",IF(Sync!$X712="","",Sync!$X712))</f>
        <v/>
      </c>
      <c r="I715">
        <f>IF($G715="","",IFERROR(VLOOKUP(Sync!$X712,OpTbl,3,0),""))</f>
        <v/>
      </c>
      <c r="J715">
        <f>IF(OR($G715="",Sync!$Z712=""),"",Sync!$Z712)</f>
        <v/>
      </c>
      <c r="K715">
        <f>IF(OR($G715="",Sync!$AA712=""),"",Sync!$AA712)</f>
        <v/>
      </c>
      <c r="L715">
        <f>IF($G715="",0,IF(Sync!$AB712="",0,Sync!$AB712))</f>
        <v/>
      </c>
      <c r="M715">
        <f>IF($G715="",0,IF(Sync!$AC712="",0,Sync!$AC712))</f>
        <v/>
      </c>
      <c r="N715">
        <f>IF($G715="","",IF($H715="مرجوعی خرید",-1,1)*($L715-$M715*IFERROR(VLOOKUP("P01",ParamTbl,3,0),1.5))*(1-IF($I715="خرید",IFERROR(VLOOKUP("P02",ParamTbl,3,0),1),0)/100))</f>
        <v/>
      </c>
      <c r="O715">
        <f>IF($G715="",0,IF($H715="مرجوعی خرید",-1,1)*IF(Sync!$AD712="",0,Sync!$AD712))</f>
        <v/>
      </c>
      <c r="P715">
        <f>IF(OR($G715="",Sync!$W712=""),"",Sync!$W712)</f>
        <v/>
      </c>
      <c r="Q715">
        <f>IF(OR($G715="",Sync!$AE712=""),"",Sync!$AE712)</f>
        <v/>
      </c>
      <c r="R715">
        <f>IF($G715="","",IF(Sync!$V712="","0000",IF(AND(ISNUMBER(Sync!$V712),Sync!$V712&gt;=0,Sync!$V712&lt;1),RIGHT("00"&amp;HOUR(Sync!$V712),2)&amp;RIGHT("00"&amp;MINUTE(Sync!$V712),2),IFERROR(RIGHT("00"&amp;VALUE(LEFT(Sync!$V712,FIND(":",Sync!$V712)-1)),2)&amp;RIGHT("00"&amp;VALUE(MID(Sync!$V712,FIND(":",Sync!$V712)+1,2)),2),"0000"))))</f>
        <v/>
      </c>
    </row>
    <row r="716">
      <c r="A716">
        <f>IF(Sync!$U713="","",Sync!$U713)</f>
        <v/>
      </c>
      <c r="B716">
        <f>IF($A716="","",IF(ISNUMBER($A716),IF(AND($A716&gt;=10000101,$A716&lt;=99991231),INT($A716/10000),""),IFERROR(VALUE(TRIM(LEFT($A716,FIND("/",$A716)-1))),"")))</f>
        <v/>
      </c>
      <c r="C716">
        <f>IF(OR($A716="",$B716=""),"",IF(ISNUMBER($A716),INT(MOD($A716,10000)/100),IFERROR(VALUE(TRIM(LEFT(MID($A716,FIND("/",$A716)+1,20),FIND("/",MID($A716,FIND("/",$A716)+1,20))-1))),"")))</f>
        <v/>
      </c>
      <c r="D716">
        <f>IF(OR($A716="",$B716=""),"",IF(ISNUMBER($A716),MOD($A716,100),IFERROR(VALUE(TRIM(MID(MID($A716,FIND("/",$A716)+1,20),FIND("/",MID($A716,FIND("/",$A716)+1,20))+1,20))),"")))</f>
        <v/>
      </c>
      <c r="E716">
        <f>IF($A716="","",IF(OR($B716="",$C716="",$D716="",$B716&lt;1300,$B716&gt;1500,$C716&lt;1,$C716&gt;12,$D716&lt;1,$D716&gt;31),"نامعتبر",RIGHT("0000"&amp;$B716,4)&amp;"/"&amp;RIGHT("00"&amp;$C716,2)&amp;"/"&amp;RIGHT("00"&amp;$D716,2)))</f>
        <v/>
      </c>
      <c r="F716">
        <f>IF(OR($E716="",$E716="نامعتبر"),"",LEFT($E716,4)&amp;"/"&amp;MID($E716,6,2))</f>
        <v/>
      </c>
      <c r="G716">
        <f>IF(OR($E716="",$E716="نامعتبر",Sync!$Y713=""),"",Sync!$Y713)</f>
        <v/>
      </c>
      <c r="H716">
        <f>IF($G716="","",IF(Sync!$X713="","",Sync!$X713))</f>
        <v/>
      </c>
      <c r="I716">
        <f>IF($G716="","",IFERROR(VLOOKUP(Sync!$X713,OpTbl,3,0),""))</f>
        <v/>
      </c>
      <c r="J716">
        <f>IF(OR($G716="",Sync!$Z713=""),"",Sync!$Z713)</f>
        <v/>
      </c>
      <c r="K716">
        <f>IF(OR($G716="",Sync!$AA713=""),"",Sync!$AA713)</f>
        <v/>
      </c>
      <c r="L716">
        <f>IF($G716="",0,IF(Sync!$AB713="",0,Sync!$AB713))</f>
        <v/>
      </c>
      <c r="M716">
        <f>IF($G716="",0,IF(Sync!$AC713="",0,Sync!$AC713))</f>
        <v/>
      </c>
      <c r="N716">
        <f>IF($G716="","",IF($H716="مرجوعی خرید",-1,1)*($L716-$M716*IFERROR(VLOOKUP("P01",ParamTbl,3,0),1.5))*(1-IF($I716="خرید",IFERROR(VLOOKUP("P02",ParamTbl,3,0),1),0)/100))</f>
        <v/>
      </c>
      <c r="O716">
        <f>IF($G716="",0,IF($H716="مرجوعی خرید",-1,1)*IF(Sync!$AD713="",0,Sync!$AD713))</f>
        <v/>
      </c>
      <c r="P716">
        <f>IF(OR($G716="",Sync!$W713=""),"",Sync!$W713)</f>
        <v/>
      </c>
      <c r="Q716">
        <f>IF(OR($G716="",Sync!$AE713=""),"",Sync!$AE713)</f>
        <v/>
      </c>
      <c r="R716">
        <f>IF($G716="","",IF(Sync!$V713="","0000",IF(AND(ISNUMBER(Sync!$V713),Sync!$V713&gt;=0,Sync!$V713&lt;1),RIGHT("00"&amp;HOUR(Sync!$V713),2)&amp;RIGHT("00"&amp;MINUTE(Sync!$V713),2),IFERROR(RIGHT("00"&amp;VALUE(LEFT(Sync!$V713,FIND(":",Sync!$V713)-1)),2)&amp;RIGHT("00"&amp;VALUE(MID(Sync!$V713,FIND(":",Sync!$V713)+1,2)),2),"0000"))))</f>
        <v/>
      </c>
    </row>
    <row r="717">
      <c r="A717">
        <f>IF(Sync!$U714="","",Sync!$U714)</f>
        <v/>
      </c>
      <c r="B717">
        <f>IF($A717="","",IF(ISNUMBER($A717),IF(AND($A717&gt;=10000101,$A717&lt;=99991231),INT($A717/10000),""),IFERROR(VALUE(TRIM(LEFT($A717,FIND("/",$A717)-1))),"")))</f>
        <v/>
      </c>
      <c r="C717">
        <f>IF(OR($A717="",$B717=""),"",IF(ISNUMBER($A717),INT(MOD($A717,10000)/100),IFERROR(VALUE(TRIM(LEFT(MID($A717,FIND("/",$A717)+1,20),FIND("/",MID($A717,FIND("/",$A717)+1,20))-1))),"")))</f>
        <v/>
      </c>
      <c r="D717">
        <f>IF(OR($A717="",$B717=""),"",IF(ISNUMBER($A717),MOD($A717,100),IFERROR(VALUE(TRIM(MID(MID($A717,FIND("/",$A717)+1,20),FIND("/",MID($A717,FIND("/",$A717)+1,20))+1,20))),"")))</f>
        <v/>
      </c>
      <c r="E717">
        <f>IF($A717="","",IF(OR($B717="",$C717="",$D717="",$B717&lt;1300,$B717&gt;1500,$C717&lt;1,$C717&gt;12,$D717&lt;1,$D717&gt;31),"نامعتبر",RIGHT("0000"&amp;$B717,4)&amp;"/"&amp;RIGHT("00"&amp;$C717,2)&amp;"/"&amp;RIGHT("00"&amp;$D717,2)))</f>
        <v/>
      </c>
      <c r="F717">
        <f>IF(OR($E717="",$E717="نامعتبر"),"",LEFT($E717,4)&amp;"/"&amp;MID($E717,6,2))</f>
        <v/>
      </c>
      <c r="G717">
        <f>IF(OR($E717="",$E717="نامعتبر",Sync!$Y714=""),"",Sync!$Y714)</f>
        <v/>
      </c>
      <c r="H717">
        <f>IF($G717="","",IF(Sync!$X714="","",Sync!$X714))</f>
        <v/>
      </c>
      <c r="I717">
        <f>IF($G717="","",IFERROR(VLOOKUP(Sync!$X714,OpTbl,3,0),""))</f>
        <v/>
      </c>
      <c r="J717">
        <f>IF(OR($G717="",Sync!$Z714=""),"",Sync!$Z714)</f>
        <v/>
      </c>
      <c r="K717">
        <f>IF(OR($G717="",Sync!$AA714=""),"",Sync!$AA714)</f>
        <v/>
      </c>
      <c r="L717">
        <f>IF($G717="",0,IF(Sync!$AB714="",0,Sync!$AB714))</f>
        <v/>
      </c>
      <c r="M717">
        <f>IF($G717="",0,IF(Sync!$AC714="",0,Sync!$AC714))</f>
        <v/>
      </c>
      <c r="N717">
        <f>IF($G717="","",IF($H717="مرجوعی خرید",-1,1)*($L717-$M717*IFERROR(VLOOKUP("P01",ParamTbl,3,0),1.5))*(1-IF($I717="خرید",IFERROR(VLOOKUP("P02",ParamTbl,3,0),1),0)/100))</f>
        <v/>
      </c>
      <c r="O717">
        <f>IF($G717="",0,IF($H717="مرجوعی خرید",-1,1)*IF(Sync!$AD714="",0,Sync!$AD714))</f>
        <v/>
      </c>
      <c r="P717">
        <f>IF(OR($G717="",Sync!$W714=""),"",Sync!$W714)</f>
        <v/>
      </c>
      <c r="Q717">
        <f>IF(OR($G717="",Sync!$AE714=""),"",Sync!$AE714)</f>
        <v/>
      </c>
      <c r="R717">
        <f>IF($G717="","",IF(Sync!$V714="","0000",IF(AND(ISNUMBER(Sync!$V714),Sync!$V714&gt;=0,Sync!$V714&lt;1),RIGHT("00"&amp;HOUR(Sync!$V714),2)&amp;RIGHT("00"&amp;MINUTE(Sync!$V714),2),IFERROR(RIGHT("00"&amp;VALUE(LEFT(Sync!$V714,FIND(":",Sync!$V714)-1)),2)&amp;RIGHT("00"&amp;VALUE(MID(Sync!$V714,FIND(":",Sync!$V714)+1,2)),2),"0000"))))</f>
        <v/>
      </c>
    </row>
    <row r="718">
      <c r="A718">
        <f>IF(Sync!$U715="","",Sync!$U715)</f>
        <v/>
      </c>
      <c r="B718">
        <f>IF($A718="","",IF(ISNUMBER($A718),IF(AND($A718&gt;=10000101,$A718&lt;=99991231),INT($A718/10000),""),IFERROR(VALUE(TRIM(LEFT($A718,FIND("/",$A718)-1))),"")))</f>
        <v/>
      </c>
      <c r="C718">
        <f>IF(OR($A718="",$B718=""),"",IF(ISNUMBER($A718),INT(MOD($A718,10000)/100),IFERROR(VALUE(TRIM(LEFT(MID($A718,FIND("/",$A718)+1,20),FIND("/",MID($A718,FIND("/",$A718)+1,20))-1))),"")))</f>
        <v/>
      </c>
      <c r="D718">
        <f>IF(OR($A718="",$B718=""),"",IF(ISNUMBER($A718),MOD($A718,100),IFERROR(VALUE(TRIM(MID(MID($A718,FIND("/",$A718)+1,20),FIND("/",MID($A718,FIND("/",$A718)+1,20))+1,20))),"")))</f>
        <v/>
      </c>
      <c r="E718">
        <f>IF($A718="","",IF(OR($B718="",$C718="",$D718="",$B718&lt;1300,$B718&gt;1500,$C718&lt;1,$C718&gt;12,$D718&lt;1,$D718&gt;31),"نامعتبر",RIGHT("0000"&amp;$B718,4)&amp;"/"&amp;RIGHT("00"&amp;$C718,2)&amp;"/"&amp;RIGHT("00"&amp;$D718,2)))</f>
        <v/>
      </c>
      <c r="F718">
        <f>IF(OR($E718="",$E718="نامعتبر"),"",LEFT($E718,4)&amp;"/"&amp;MID($E718,6,2))</f>
        <v/>
      </c>
      <c r="G718">
        <f>IF(OR($E718="",$E718="نامعتبر",Sync!$Y715=""),"",Sync!$Y715)</f>
        <v/>
      </c>
      <c r="H718">
        <f>IF($G718="","",IF(Sync!$X715="","",Sync!$X715))</f>
        <v/>
      </c>
      <c r="I718">
        <f>IF($G718="","",IFERROR(VLOOKUP(Sync!$X715,OpTbl,3,0),""))</f>
        <v/>
      </c>
      <c r="J718">
        <f>IF(OR($G718="",Sync!$Z715=""),"",Sync!$Z715)</f>
        <v/>
      </c>
      <c r="K718">
        <f>IF(OR($G718="",Sync!$AA715=""),"",Sync!$AA715)</f>
        <v/>
      </c>
      <c r="L718">
        <f>IF($G718="",0,IF(Sync!$AB715="",0,Sync!$AB715))</f>
        <v/>
      </c>
      <c r="M718">
        <f>IF($G718="",0,IF(Sync!$AC715="",0,Sync!$AC715))</f>
        <v/>
      </c>
      <c r="N718">
        <f>IF($G718="","",IF($H718="مرجوعی خرید",-1,1)*($L718-$M718*IFERROR(VLOOKUP("P01",ParamTbl,3,0),1.5))*(1-IF($I718="خرید",IFERROR(VLOOKUP("P02",ParamTbl,3,0),1),0)/100))</f>
        <v/>
      </c>
      <c r="O718">
        <f>IF($G718="",0,IF($H718="مرجوعی خرید",-1,1)*IF(Sync!$AD715="",0,Sync!$AD715))</f>
        <v/>
      </c>
      <c r="P718">
        <f>IF(OR($G718="",Sync!$W715=""),"",Sync!$W715)</f>
        <v/>
      </c>
      <c r="Q718">
        <f>IF(OR($G718="",Sync!$AE715=""),"",Sync!$AE715)</f>
        <v/>
      </c>
      <c r="R718">
        <f>IF($G718="","",IF(Sync!$V715="","0000",IF(AND(ISNUMBER(Sync!$V715),Sync!$V715&gt;=0,Sync!$V715&lt;1),RIGHT("00"&amp;HOUR(Sync!$V715),2)&amp;RIGHT("00"&amp;MINUTE(Sync!$V715),2),IFERROR(RIGHT("00"&amp;VALUE(LEFT(Sync!$V715,FIND(":",Sync!$V715)-1)),2)&amp;RIGHT("00"&amp;VALUE(MID(Sync!$V715,FIND(":",Sync!$V715)+1,2)),2),"0000"))))</f>
        <v/>
      </c>
    </row>
    <row r="719">
      <c r="A719">
        <f>IF(Sync!$U716="","",Sync!$U716)</f>
        <v/>
      </c>
      <c r="B719">
        <f>IF($A719="","",IF(ISNUMBER($A719),IF(AND($A719&gt;=10000101,$A719&lt;=99991231),INT($A719/10000),""),IFERROR(VALUE(TRIM(LEFT($A719,FIND("/",$A719)-1))),"")))</f>
        <v/>
      </c>
      <c r="C719">
        <f>IF(OR($A719="",$B719=""),"",IF(ISNUMBER($A719),INT(MOD($A719,10000)/100),IFERROR(VALUE(TRIM(LEFT(MID($A719,FIND("/",$A719)+1,20),FIND("/",MID($A719,FIND("/",$A719)+1,20))-1))),"")))</f>
        <v/>
      </c>
      <c r="D719">
        <f>IF(OR($A719="",$B719=""),"",IF(ISNUMBER($A719),MOD($A719,100),IFERROR(VALUE(TRIM(MID(MID($A719,FIND("/",$A719)+1,20),FIND("/",MID($A719,FIND("/",$A719)+1,20))+1,20))),"")))</f>
        <v/>
      </c>
      <c r="E719">
        <f>IF($A719="","",IF(OR($B719="",$C719="",$D719="",$B719&lt;1300,$B719&gt;1500,$C719&lt;1,$C719&gt;12,$D719&lt;1,$D719&gt;31),"نامعتبر",RIGHT("0000"&amp;$B719,4)&amp;"/"&amp;RIGHT("00"&amp;$C719,2)&amp;"/"&amp;RIGHT("00"&amp;$D719,2)))</f>
        <v/>
      </c>
      <c r="F719">
        <f>IF(OR($E719="",$E719="نامعتبر"),"",LEFT($E719,4)&amp;"/"&amp;MID($E719,6,2))</f>
        <v/>
      </c>
      <c r="G719">
        <f>IF(OR($E719="",$E719="نامعتبر",Sync!$Y716=""),"",Sync!$Y716)</f>
        <v/>
      </c>
      <c r="H719">
        <f>IF($G719="","",IF(Sync!$X716="","",Sync!$X716))</f>
        <v/>
      </c>
      <c r="I719">
        <f>IF($G719="","",IFERROR(VLOOKUP(Sync!$X716,OpTbl,3,0),""))</f>
        <v/>
      </c>
      <c r="J719">
        <f>IF(OR($G719="",Sync!$Z716=""),"",Sync!$Z716)</f>
        <v/>
      </c>
      <c r="K719">
        <f>IF(OR($G719="",Sync!$AA716=""),"",Sync!$AA716)</f>
        <v/>
      </c>
      <c r="L719">
        <f>IF($G719="",0,IF(Sync!$AB716="",0,Sync!$AB716))</f>
        <v/>
      </c>
      <c r="M719">
        <f>IF($G719="",0,IF(Sync!$AC716="",0,Sync!$AC716))</f>
        <v/>
      </c>
      <c r="N719">
        <f>IF($G719="","",IF($H719="مرجوعی خرید",-1,1)*($L719-$M719*IFERROR(VLOOKUP("P01",ParamTbl,3,0),1.5))*(1-IF($I719="خرید",IFERROR(VLOOKUP("P02",ParamTbl,3,0),1),0)/100))</f>
        <v/>
      </c>
      <c r="O719">
        <f>IF($G719="",0,IF($H719="مرجوعی خرید",-1,1)*IF(Sync!$AD716="",0,Sync!$AD716))</f>
        <v/>
      </c>
      <c r="P719">
        <f>IF(OR($G719="",Sync!$W716=""),"",Sync!$W716)</f>
        <v/>
      </c>
      <c r="Q719">
        <f>IF(OR($G719="",Sync!$AE716=""),"",Sync!$AE716)</f>
        <v/>
      </c>
      <c r="R719">
        <f>IF($G719="","",IF(Sync!$V716="","0000",IF(AND(ISNUMBER(Sync!$V716),Sync!$V716&gt;=0,Sync!$V716&lt;1),RIGHT("00"&amp;HOUR(Sync!$V716),2)&amp;RIGHT("00"&amp;MINUTE(Sync!$V716),2),IFERROR(RIGHT("00"&amp;VALUE(LEFT(Sync!$V716,FIND(":",Sync!$V716)-1)),2)&amp;RIGHT("00"&amp;VALUE(MID(Sync!$V716,FIND(":",Sync!$V716)+1,2)),2),"0000"))))</f>
        <v/>
      </c>
    </row>
    <row r="720">
      <c r="A720">
        <f>IF(Sync!$U717="","",Sync!$U717)</f>
        <v/>
      </c>
      <c r="B720">
        <f>IF($A720="","",IF(ISNUMBER($A720),IF(AND($A720&gt;=10000101,$A720&lt;=99991231),INT($A720/10000),""),IFERROR(VALUE(TRIM(LEFT($A720,FIND("/",$A720)-1))),"")))</f>
        <v/>
      </c>
      <c r="C720">
        <f>IF(OR($A720="",$B720=""),"",IF(ISNUMBER($A720),INT(MOD($A720,10000)/100),IFERROR(VALUE(TRIM(LEFT(MID($A720,FIND("/",$A720)+1,20),FIND("/",MID($A720,FIND("/",$A720)+1,20))-1))),"")))</f>
        <v/>
      </c>
      <c r="D720">
        <f>IF(OR($A720="",$B720=""),"",IF(ISNUMBER($A720),MOD($A720,100),IFERROR(VALUE(TRIM(MID(MID($A720,FIND("/",$A720)+1,20),FIND("/",MID($A720,FIND("/",$A720)+1,20))+1,20))),"")))</f>
        <v/>
      </c>
      <c r="E720">
        <f>IF($A720="","",IF(OR($B720="",$C720="",$D720="",$B720&lt;1300,$B720&gt;1500,$C720&lt;1,$C720&gt;12,$D720&lt;1,$D720&gt;31),"نامعتبر",RIGHT("0000"&amp;$B720,4)&amp;"/"&amp;RIGHT("00"&amp;$C720,2)&amp;"/"&amp;RIGHT("00"&amp;$D720,2)))</f>
        <v/>
      </c>
      <c r="F720">
        <f>IF(OR($E720="",$E720="نامعتبر"),"",LEFT($E720,4)&amp;"/"&amp;MID($E720,6,2))</f>
        <v/>
      </c>
      <c r="G720">
        <f>IF(OR($E720="",$E720="نامعتبر",Sync!$Y717=""),"",Sync!$Y717)</f>
        <v/>
      </c>
      <c r="H720">
        <f>IF($G720="","",IF(Sync!$X717="","",Sync!$X717))</f>
        <v/>
      </c>
      <c r="I720">
        <f>IF($G720="","",IFERROR(VLOOKUP(Sync!$X717,OpTbl,3,0),""))</f>
        <v/>
      </c>
      <c r="J720">
        <f>IF(OR($G720="",Sync!$Z717=""),"",Sync!$Z717)</f>
        <v/>
      </c>
      <c r="K720">
        <f>IF(OR($G720="",Sync!$AA717=""),"",Sync!$AA717)</f>
        <v/>
      </c>
      <c r="L720">
        <f>IF($G720="",0,IF(Sync!$AB717="",0,Sync!$AB717))</f>
        <v/>
      </c>
      <c r="M720">
        <f>IF($G720="",0,IF(Sync!$AC717="",0,Sync!$AC717))</f>
        <v/>
      </c>
      <c r="N720">
        <f>IF($G720="","",IF($H720="مرجوعی خرید",-1,1)*($L720-$M720*IFERROR(VLOOKUP("P01",ParamTbl,3,0),1.5))*(1-IF($I720="خرید",IFERROR(VLOOKUP("P02",ParamTbl,3,0),1),0)/100))</f>
        <v/>
      </c>
      <c r="O720">
        <f>IF($G720="",0,IF($H720="مرجوعی خرید",-1,1)*IF(Sync!$AD717="",0,Sync!$AD717))</f>
        <v/>
      </c>
      <c r="P720">
        <f>IF(OR($G720="",Sync!$W717=""),"",Sync!$W717)</f>
        <v/>
      </c>
      <c r="Q720">
        <f>IF(OR($G720="",Sync!$AE717=""),"",Sync!$AE717)</f>
        <v/>
      </c>
      <c r="R720">
        <f>IF($G720="","",IF(Sync!$V717="","0000",IF(AND(ISNUMBER(Sync!$V717),Sync!$V717&gt;=0,Sync!$V717&lt;1),RIGHT("00"&amp;HOUR(Sync!$V717),2)&amp;RIGHT("00"&amp;MINUTE(Sync!$V717),2),IFERROR(RIGHT("00"&amp;VALUE(LEFT(Sync!$V717,FIND(":",Sync!$V717)-1)),2)&amp;RIGHT("00"&amp;VALUE(MID(Sync!$V717,FIND(":",Sync!$V717)+1,2)),2),"0000"))))</f>
        <v/>
      </c>
    </row>
    <row r="721">
      <c r="A721">
        <f>IF(Sync!$U718="","",Sync!$U718)</f>
        <v/>
      </c>
      <c r="B721">
        <f>IF($A721="","",IF(ISNUMBER($A721),IF(AND($A721&gt;=10000101,$A721&lt;=99991231),INT($A721/10000),""),IFERROR(VALUE(TRIM(LEFT($A721,FIND("/",$A721)-1))),"")))</f>
        <v/>
      </c>
      <c r="C721">
        <f>IF(OR($A721="",$B721=""),"",IF(ISNUMBER($A721),INT(MOD($A721,10000)/100),IFERROR(VALUE(TRIM(LEFT(MID($A721,FIND("/",$A721)+1,20),FIND("/",MID($A721,FIND("/",$A721)+1,20))-1))),"")))</f>
        <v/>
      </c>
      <c r="D721">
        <f>IF(OR($A721="",$B721=""),"",IF(ISNUMBER($A721),MOD($A721,100),IFERROR(VALUE(TRIM(MID(MID($A721,FIND("/",$A721)+1,20),FIND("/",MID($A721,FIND("/",$A721)+1,20))+1,20))),"")))</f>
        <v/>
      </c>
      <c r="E721">
        <f>IF($A721="","",IF(OR($B721="",$C721="",$D721="",$B721&lt;1300,$B721&gt;1500,$C721&lt;1,$C721&gt;12,$D721&lt;1,$D721&gt;31),"نامعتبر",RIGHT("0000"&amp;$B721,4)&amp;"/"&amp;RIGHT("00"&amp;$C721,2)&amp;"/"&amp;RIGHT("00"&amp;$D721,2)))</f>
        <v/>
      </c>
      <c r="F721">
        <f>IF(OR($E721="",$E721="نامعتبر"),"",LEFT($E721,4)&amp;"/"&amp;MID($E721,6,2))</f>
        <v/>
      </c>
      <c r="G721">
        <f>IF(OR($E721="",$E721="نامعتبر",Sync!$Y718=""),"",Sync!$Y718)</f>
        <v/>
      </c>
      <c r="H721">
        <f>IF($G721="","",IF(Sync!$X718="","",Sync!$X718))</f>
        <v/>
      </c>
      <c r="I721">
        <f>IF($G721="","",IFERROR(VLOOKUP(Sync!$X718,OpTbl,3,0),""))</f>
        <v/>
      </c>
      <c r="J721">
        <f>IF(OR($G721="",Sync!$Z718=""),"",Sync!$Z718)</f>
        <v/>
      </c>
      <c r="K721">
        <f>IF(OR($G721="",Sync!$AA718=""),"",Sync!$AA718)</f>
        <v/>
      </c>
      <c r="L721">
        <f>IF($G721="",0,IF(Sync!$AB718="",0,Sync!$AB718))</f>
        <v/>
      </c>
      <c r="M721">
        <f>IF($G721="",0,IF(Sync!$AC718="",0,Sync!$AC718))</f>
        <v/>
      </c>
      <c r="N721">
        <f>IF($G721="","",IF($H721="مرجوعی خرید",-1,1)*($L721-$M721*IFERROR(VLOOKUP("P01",ParamTbl,3,0),1.5))*(1-IF($I721="خرید",IFERROR(VLOOKUP("P02",ParamTbl,3,0),1),0)/100))</f>
        <v/>
      </c>
      <c r="O721">
        <f>IF($G721="",0,IF($H721="مرجوعی خرید",-1,1)*IF(Sync!$AD718="",0,Sync!$AD718))</f>
        <v/>
      </c>
      <c r="P721">
        <f>IF(OR($G721="",Sync!$W718=""),"",Sync!$W718)</f>
        <v/>
      </c>
      <c r="Q721">
        <f>IF(OR($G721="",Sync!$AE718=""),"",Sync!$AE718)</f>
        <v/>
      </c>
      <c r="R721">
        <f>IF($G721="","",IF(Sync!$V718="","0000",IF(AND(ISNUMBER(Sync!$V718),Sync!$V718&gt;=0,Sync!$V718&lt;1),RIGHT("00"&amp;HOUR(Sync!$V718),2)&amp;RIGHT("00"&amp;MINUTE(Sync!$V718),2),IFERROR(RIGHT("00"&amp;VALUE(LEFT(Sync!$V718,FIND(":",Sync!$V718)-1)),2)&amp;RIGHT("00"&amp;VALUE(MID(Sync!$V718,FIND(":",Sync!$V718)+1,2)),2),"0000"))))</f>
        <v/>
      </c>
    </row>
    <row r="722">
      <c r="A722">
        <f>IF(Sync!$U719="","",Sync!$U719)</f>
        <v/>
      </c>
      <c r="B722">
        <f>IF($A722="","",IF(ISNUMBER($A722),IF(AND($A722&gt;=10000101,$A722&lt;=99991231),INT($A722/10000),""),IFERROR(VALUE(TRIM(LEFT($A722,FIND("/",$A722)-1))),"")))</f>
        <v/>
      </c>
      <c r="C722">
        <f>IF(OR($A722="",$B722=""),"",IF(ISNUMBER($A722),INT(MOD($A722,10000)/100),IFERROR(VALUE(TRIM(LEFT(MID($A722,FIND("/",$A722)+1,20),FIND("/",MID($A722,FIND("/",$A722)+1,20))-1))),"")))</f>
        <v/>
      </c>
      <c r="D722">
        <f>IF(OR($A722="",$B722=""),"",IF(ISNUMBER($A722),MOD($A722,100),IFERROR(VALUE(TRIM(MID(MID($A722,FIND("/",$A722)+1,20),FIND("/",MID($A722,FIND("/",$A722)+1,20))+1,20))),"")))</f>
        <v/>
      </c>
      <c r="E722">
        <f>IF($A722="","",IF(OR($B722="",$C722="",$D722="",$B722&lt;1300,$B722&gt;1500,$C722&lt;1,$C722&gt;12,$D722&lt;1,$D722&gt;31),"نامعتبر",RIGHT("0000"&amp;$B722,4)&amp;"/"&amp;RIGHT("00"&amp;$C722,2)&amp;"/"&amp;RIGHT("00"&amp;$D722,2)))</f>
        <v/>
      </c>
      <c r="F722">
        <f>IF(OR($E722="",$E722="نامعتبر"),"",LEFT($E722,4)&amp;"/"&amp;MID($E722,6,2))</f>
        <v/>
      </c>
      <c r="G722">
        <f>IF(OR($E722="",$E722="نامعتبر",Sync!$Y719=""),"",Sync!$Y719)</f>
        <v/>
      </c>
      <c r="H722">
        <f>IF($G722="","",IF(Sync!$X719="","",Sync!$X719))</f>
        <v/>
      </c>
      <c r="I722">
        <f>IF($G722="","",IFERROR(VLOOKUP(Sync!$X719,OpTbl,3,0),""))</f>
        <v/>
      </c>
      <c r="J722">
        <f>IF(OR($G722="",Sync!$Z719=""),"",Sync!$Z719)</f>
        <v/>
      </c>
      <c r="K722">
        <f>IF(OR($G722="",Sync!$AA719=""),"",Sync!$AA719)</f>
        <v/>
      </c>
      <c r="L722">
        <f>IF($G722="",0,IF(Sync!$AB719="",0,Sync!$AB719))</f>
        <v/>
      </c>
      <c r="M722">
        <f>IF($G722="",0,IF(Sync!$AC719="",0,Sync!$AC719))</f>
        <v/>
      </c>
      <c r="N722">
        <f>IF($G722="","",IF($H722="مرجوعی خرید",-1,1)*($L722-$M722*IFERROR(VLOOKUP("P01",ParamTbl,3,0),1.5))*(1-IF($I722="خرید",IFERROR(VLOOKUP("P02",ParamTbl,3,0),1),0)/100))</f>
        <v/>
      </c>
      <c r="O722">
        <f>IF($G722="",0,IF($H722="مرجوعی خرید",-1,1)*IF(Sync!$AD719="",0,Sync!$AD719))</f>
        <v/>
      </c>
      <c r="P722">
        <f>IF(OR($G722="",Sync!$W719=""),"",Sync!$W719)</f>
        <v/>
      </c>
      <c r="Q722">
        <f>IF(OR($G722="",Sync!$AE719=""),"",Sync!$AE719)</f>
        <v/>
      </c>
      <c r="R722">
        <f>IF($G722="","",IF(Sync!$V719="","0000",IF(AND(ISNUMBER(Sync!$V719),Sync!$V719&gt;=0,Sync!$V719&lt;1),RIGHT("00"&amp;HOUR(Sync!$V719),2)&amp;RIGHT("00"&amp;MINUTE(Sync!$V719),2),IFERROR(RIGHT("00"&amp;VALUE(LEFT(Sync!$V719,FIND(":",Sync!$V719)-1)),2)&amp;RIGHT("00"&amp;VALUE(MID(Sync!$V719,FIND(":",Sync!$V719)+1,2)),2),"0000"))))</f>
        <v/>
      </c>
    </row>
    <row r="723">
      <c r="A723">
        <f>IF(Sync!$U720="","",Sync!$U720)</f>
        <v/>
      </c>
      <c r="B723">
        <f>IF($A723="","",IF(ISNUMBER($A723),IF(AND($A723&gt;=10000101,$A723&lt;=99991231),INT($A723/10000),""),IFERROR(VALUE(TRIM(LEFT($A723,FIND("/",$A723)-1))),"")))</f>
        <v/>
      </c>
      <c r="C723">
        <f>IF(OR($A723="",$B723=""),"",IF(ISNUMBER($A723),INT(MOD($A723,10000)/100),IFERROR(VALUE(TRIM(LEFT(MID($A723,FIND("/",$A723)+1,20),FIND("/",MID($A723,FIND("/",$A723)+1,20))-1))),"")))</f>
        <v/>
      </c>
      <c r="D723">
        <f>IF(OR($A723="",$B723=""),"",IF(ISNUMBER($A723),MOD($A723,100),IFERROR(VALUE(TRIM(MID(MID($A723,FIND("/",$A723)+1,20),FIND("/",MID($A723,FIND("/",$A723)+1,20))+1,20))),"")))</f>
        <v/>
      </c>
      <c r="E723">
        <f>IF($A723="","",IF(OR($B723="",$C723="",$D723="",$B723&lt;1300,$B723&gt;1500,$C723&lt;1,$C723&gt;12,$D723&lt;1,$D723&gt;31),"نامعتبر",RIGHT("0000"&amp;$B723,4)&amp;"/"&amp;RIGHT("00"&amp;$C723,2)&amp;"/"&amp;RIGHT("00"&amp;$D723,2)))</f>
        <v/>
      </c>
      <c r="F723">
        <f>IF(OR($E723="",$E723="نامعتبر"),"",LEFT($E723,4)&amp;"/"&amp;MID($E723,6,2))</f>
        <v/>
      </c>
      <c r="G723">
        <f>IF(OR($E723="",$E723="نامعتبر",Sync!$Y720=""),"",Sync!$Y720)</f>
        <v/>
      </c>
      <c r="H723">
        <f>IF($G723="","",IF(Sync!$X720="","",Sync!$X720))</f>
        <v/>
      </c>
      <c r="I723">
        <f>IF($G723="","",IFERROR(VLOOKUP(Sync!$X720,OpTbl,3,0),""))</f>
        <v/>
      </c>
      <c r="J723">
        <f>IF(OR($G723="",Sync!$Z720=""),"",Sync!$Z720)</f>
        <v/>
      </c>
      <c r="K723">
        <f>IF(OR($G723="",Sync!$AA720=""),"",Sync!$AA720)</f>
        <v/>
      </c>
      <c r="L723">
        <f>IF($G723="",0,IF(Sync!$AB720="",0,Sync!$AB720))</f>
        <v/>
      </c>
      <c r="M723">
        <f>IF($G723="",0,IF(Sync!$AC720="",0,Sync!$AC720))</f>
        <v/>
      </c>
      <c r="N723">
        <f>IF($G723="","",IF($H723="مرجوعی خرید",-1,1)*($L723-$M723*IFERROR(VLOOKUP("P01",ParamTbl,3,0),1.5))*(1-IF($I723="خرید",IFERROR(VLOOKUP("P02",ParamTbl,3,0),1),0)/100))</f>
        <v/>
      </c>
      <c r="O723">
        <f>IF($G723="",0,IF($H723="مرجوعی خرید",-1,1)*IF(Sync!$AD720="",0,Sync!$AD720))</f>
        <v/>
      </c>
      <c r="P723">
        <f>IF(OR($G723="",Sync!$W720=""),"",Sync!$W720)</f>
        <v/>
      </c>
      <c r="Q723">
        <f>IF(OR($G723="",Sync!$AE720=""),"",Sync!$AE720)</f>
        <v/>
      </c>
      <c r="R723">
        <f>IF($G723="","",IF(Sync!$V720="","0000",IF(AND(ISNUMBER(Sync!$V720),Sync!$V720&gt;=0,Sync!$V720&lt;1),RIGHT("00"&amp;HOUR(Sync!$V720),2)&amp;RIGHT("00"&amp;MINUTE(Sync!$V720),2),IFERROR(RIGHT("00"&amp;VALUE(LEFT(Sync!$V720,FIND(":",Sync!$V720)-1)),2)&amp;RIGHT("00"&amp;VALUE(MID(Sync!$V720,FIND(":",Sync!$V720)+1,2)),2),"0000"))))</f>
        <v/>
      </c>
    </row>
    <row r="724">
      <c r="A724">
        <f>IF(Sync!$U721="","",Sync!$U721)</f>
        <v/>
      </c>
      <c r="B724">
        <f>IF($A724="","",IF(ISNUMBER($A724),IF(AND($A724&gt;=10000101,$A724&lt;=99991231),INT($A724/10000),""),IFERROR(VALUE(TRIM(LEFT($A724,FIND("/",$A724)-1))),"")))</f>
        <v/>
      </c>
      <c r="C724">
        <f>IF(OR($A724="",$B724=""),"",IF(ISNUMBER($A724),INT(MOD($A724,10000)/100),IFERROR(VALUE(TRIM(LEFT(MID($A724,FIND("/",$A724)+1,20),FIND("/",MID($A724,FIND("/",$A724)+1,20))-1))),"")))</f>
        <v/>
      </c>
      <c r="D724">
        <f>IF(OR($A724="",$B724=""),"",IF(ISNUMBER($A724),MOD($A724,100),IFERROR(VALUE(TRIM(MID(MID($A724,FIND("/",$A724)+1,20),FIND("/",MID($A724,FIND("/",$A724)+1,20))+1,20))),"")))</f>
        <v/>
      </c>
      <c r="E724">
        <f>IF($A724="","",IF(OR($B724="",$C724="",$D724="",$B724&lt;1300,$B724&gt;1500,$C724&lt;1,$C724&gt;12,$D724&lt;1,$D724&gt;31),"نامعتبر",RIGHT("0000"&amp;$B724,4)&amp;"/"&amp;RIGHT("00"&amp;$C724,2)&amp;"/"&amp;RIGHT("00"&amp;$D724,2)))</f>
        <v/>
      </c>
      <c r="F724">
        <f>IF(OR($E724="",$E724="نامعتبر"),"",LEFT($E724,4)&amp;"/"&amp;MID($E724,6,2))</f>
        <v/>
      </c>
      <c r="G724">
        <f>IF(OR($E724="",$E724="نامعتبر",Sync!$Y721=""),"",Sync!$Y721)</f>
        <v/>
      </c>
      <c r="H724">
        <f>IF($G724="","",IF(Sync!$X721="","",Sync!$X721))</f>
        <v/>
      </c>
      <c r="I724">
        <f>IF($G724="","",IFERROR(VLOOKUP(Sync!$X721,OpTbl,3,0),""))</f>
        <v/>
      </c>
      <c r="J724">
        <f>IF(OR($G724="",Sync!$Z721=""),"",Sync!$Z721)</f>
        <v/>
      </c>
      <c r="K724">
        <f>IF(OR($G724="",Sync!$AA721=""),"",Sync!$AA721)</f>
        <v/>
      </c>
      <c r="L724">
        <f>IF($G724="",0,IF(Sync!$AB721="",0,Sync!$AB721))</f>
        <v/>
      </c>
      <c r="M724">
        <f>IF($G724="",0,IF(Sync!$AC721="",0,Sync!$AC721))</f>
        <v/>
      </c>
      <c r="N724">
        <f>IF($G724="","",IF($H724="مرجوعی خرید",-1,1)*($L724-$M724*IFERROR(VLOOKUP("P01",ParamTbl,3,0),1.5))*(1-IF($I724="خرید",IFERROR(VLOOKUP("P02",ParamTbl,3,0),1),0)/100))</f>
        <v/>
      </c>
      <c r="O724">
        <f>IF($G724="",0,IF($H724="مرجوعی خرید",-1,1)*IF(Sync!$AD721="",0,Sync!$AD721))</f>
        <v/>
      </c>
      <c r="P724">
        <f>IF(OR($G724="",Sync!$W721=""),"",Sync!$W721)</f>
        <v/>
      </c>
      <c r="Q724">
        <f>IF(OR($G724="",Sync!$AE721=""),"",Sync!$AE721)</f>
        <v/>
      </c>
      <c r="R724">
        <f>IF($G724="","",IF(Sync!$V721="","0000",IF(AND(ISNUMBER(Sync!$V721),Sync!$V721&gt;=0,Sync!$V721&lt;1),RIGHT("00"&amp;HOUR(Sync!$V721),2)&amp;RIGHT("00"&amp;MINUTE(Sync!$V721),2),IFERROR(RIGHT("00"&amp;VALUE(LEFT(Sync!$V721,FIND(":",Sync!$V721)-1)),2)&amp;RIGHT("00"&amp;VALUE(MID(Sync!$V721,FIND(":",Sync!$V721)+1,2)),2),"0000"))))</f>
        <v/>
      </c>
    </row>
    <row r="725">
      <c r="A725">
        <f>IF(Sync!$U722="","",Sync!$U722)</f>
        <v/>
      </c>
      <c r="B725">
        <f>IF($A725="","",IF(ISNUMBER($A725),IF(AND($A725&gt;=10000101,$A725&lt;=99991231),INT($A725/10000),""),IFERROR(VALUE(TRIM(LEFT($A725,FIND("/",$A725)-1))),"")))</f>
        <v/>
      </c>
      <c r="C725">
        <f>IF(OR($A725="",$B725=""),"",IF(ISNUMBER($A725),INT(MOD($A725,10000)/100),IFERROR(VALUE(TRIM(LEFT(MID($A725,FIND("/",$A725)+1,20),FIND("/",MID($A725,FIND("/",$A725)+1,20))-1))),"")))</f>
        <v/>
      </c>
      <c r="D725">
        <f>IF(OR($A725="",$B725=""),"",IF(ISNUMBER($A725),MOD($A725,100),IFERROR(VALUE(TRIM(MID(MID($A725,FIND("/",$A725)+1,20),FIND("/",MID($A725,FIND("/",$A725)+1,20))+1,20))),"")))</f>
        <v/>
      </c>
      <c r="E725">
        <f>IF($A725="","",IF(OR($B725="",$C725="",$D725="",$B725&lt;1300,$B725&gt;1500,$C725&lt;1,$C725&gt;12,$D725&lt;1,$D725&gt;31),"نامعتبر",RIGHT("0000"&amp;$B725,4)&amp;"/"&amp;RIGHT("00"&amp;$C725,2)&amp;"/"&amp;RIGHT("00"&amp;$D725,2)))</f>
        <v/>
      </c>
      <c r="F725">
        <f>IF(OR($E725="",$E725="نامعتبر"),"",LEFT($E725,4)&amp;"/"&amp;MID($E725,6,2))</f>
        <v/>
      </c>
      <c r="G725">
        <f>IF(OR($E725="",$E725="نامعتبر",Sync!$Y722=""),"",Sync!$Y722)</f>
        <v/>
      </c>
      <c r="H725">
        <f>IF($G725="","",IF(Sync!$X722="","",Sync!$X722))</f>
        <v/>
      </c>
      <c r="I725">
        <f>IF($G725="","",IFERROR(VLOOKUP(Sync!$X722,OpTbl,3,0),""))</f>
        <v/>
      </c>
      <c r="J725">
        <f>IF(OR($G725="",Sync!$Z722=""),"",Sync!$Z722)</f>
        <v/>
      </c>
      <c r="K725">
        <f>IF(OR($G725="",Sync!$AA722=""),"",Sync!$AA722)</f>
        <v/>
      </c>
      <c r="L725">
        <f>IF($G725="",0,IF(Sync!$AB722="",0,Sync!$AB722))</f>
        <v/>
      </c>
      <c r="M725">
        <f>IF($G725="",0,IF(Sync!$AC722="",0,Sync!$AC722))</f>
        <v/>
      </c>
      <c r="N725">
        <f>IF($G725="","",IF($H725="مرجوعی خرید",-1,1)*($L725-$M725*IFERROR(VLOOKUP("P01",ParamTbl,3,0),1.5))*(1-IF($I725="خرید",IFERROR(VLOOKUP("P02",ParamTbl,3,0),1),0)/100))</f>
        <v/>
      </c>
      <c r="O725">
        <f>IF($G725="",0,IF($H725="مرجوعی خرید",-1,1)*IF(Sync!$AD722="",0,Sync!$AD722))</f>
        <v/>
      </c>
      <c r="P725">
        <f>IF(OR($G725="",Sync!$W722=""),"",Sync!$W722)</f>
        <v/>
      </c>
      <c r="Q725">
        <f>IF(OR($G725="",Sync!$AE722=""),"",Sync!$AE722)</f>
        <v/>
      </c>
      <c r="R725">
        <f>IF($G725="","",IF(Sync!$V722="","0000",IF(AND(ISNUMBER(Sync!$V722),Sync!$V722&gt;=0,Sync!$V722&lt;1),RIGHT("00"&amp;HOUR(Sync!$V722),2)&amp;RIGHT("00"&amp;MINUTE(Sync!$V722),2),IFERROR(RIGHT("00"&amp;VALUE(LEFT(Sync!$V722,FIND(":",Sync!$V722)-1)),2)&amp;RIGHT("00"&amp;VALUE(MID(Sync!$V722,FIND(":",Sync!$V722)+1,2)),2),"0000"))))</f>
        <v/>
      </c>
    </row>
    <row r="726">
      <c r="A726">
        <f>IF(Sync!$U723="","",Sync!$U723)</f>
        <v/>
      </c>
      <c r="B726">
        <f>IF($A726="","",IF(ISNUMBER($A726),IF(AND($A726&gt;=10000101,$A726&lt;=99991231),INT($A726/10000),""),IFERROR(VALUE(TRIM(LEFT($A726,FIND("/",$A726)-1))),"")))</f>
        <v/>
      </c>
      <c r="C726">
        <f>IF(OR($A726="",$B726=""),"",IF(ISNUMBER($A726),INT(MOD($A726,10000)/100),IFERROR(VALUE(TRIM(LEFT(MID($A726,FIND("/",$A726)+1,20),FIND("/",MID($A726,FIND("/",$A726)+1,20))-1))),"")))</f>
        <v/>
      </c>
      <c r="D726">
        <f>IF(OR($A726="",$B726=""),"",IF(ISNUMBER($A726),MOD($A726,100),IFERROR(VALUE(TRIM(MID(MID($A726,FIND("/",$A726)+1,20),FIND("/",MID($A726,FIND("/",$A726)+1,20))+1,20))),"")))</f>
        <v/>
      </c>
      <c r="E726">
        <f>IF($A726="","",IF(OR($B726="",$C726="",$D726="",$B726&lt;1300,$B726&gt;1500,$C726&lt;1,$C726&gt;12,$D726&lt;1,$D726&gt;31),"نامعتبر",RIGHT("0000"&amp;$B726,4)&amp;"/"&amp;RIGHT("00"&amp;$C726,2)&amp;"/"&amp;RIGHT("00"&amp;$D726,2)))</f>
        <v/>
      </c>
      <c r="F726">
        <f>IF(OR($E726="",$E726="نامعتبر"),"",LEFT($E726,4)&amp;"/"&amp;MID($E726,6,2))</f>
        <v/>
      </c>
      <c r="G726">
        <f>IF(OR($E726="",$E726="نامعتبر",Sync!$Y723=""),"",Sync!$Y723)</f>
        <v/>
      </c>
      <c r="H726">
        <f>IF($G726="","",IF(Sync!$X723="","",Sync!$X723))</f>
        <v/>
      </c>
      <c r="I726">
        <f>IF($G726="","",IFERROR(VLOOKUP(Sync!$X723,OpTbl,3,0),""))</f>
        <v/>
      </c>
      <c r="J726">
        <f>IF(OR($G726="",Sync!$Z723=""),"",Sync!$Z723)</f>
        <v/>
      </c>
      <c r="K726">
        <f>IF(OR($G726="",Sync!$AA723=""),"",Sync!$AA723)</f>
        <v/>
      </c>
      <c r="L726">
        <f>IF($G726="",0,IF(Sync!$AB723="",0,Sync!$AB723))</f>
        <v/>
      </c>
      <c r="M726">
        <f>IF($G726="",0,IF(Sync!$AC723="",0,Sync!$AC723))</f>
        <v/>
      </c>
      <c r="N726">
        <f>IF($G726="","",IF($H726="مرجوعی خرید",-1,1)*($L726-$M726*IFERROR(VLOOKUP("P01",ParamTbl,3,0),1.5))*(1-IF($I726="خرید",IFERROR(VLOOKUP("P02",ParamTbl,3,0),1),0)/100))</f>
        <v/>
      </c>
      <c r="O726">
        <f>IF($G726="",0,IF($H726="مرجوعی خرید",-1,1)*IF(Sync!$AD723="",0,Sync!$AD723))</f>
        <v/>
      </c>
      <c r="P726">
        <f>IF(OR($G726="",Sync!$W723=""),"",Sync!$W723)</f>
        <v/>
      </c>
      <c r="Q726">
        <f>IF(OR($G726="",Sync!$AE723=""),"",Sync!$AE723)</f>
        <v/>
      </c>
      <c r="R726">
        <f>IF($G726="","",IF(Sync!$V723="","0000",IF(AND(ISNUMBER(Sync!$V723),Sync!$V723&gt;=0,Sync!$V723&lt;1),RIGHT("00"&amp;HOUR(Sync!$V723),2)&amp;RIGHT("00"&amp;MINUTE(Sync!$V723),2),IFERROR(RIGHT("00"&amp;VALUE(LEFT(Sync!$V723,FIND(":",Sync!$V723)-1)),2)&amp;RIGHT("00"&amp;VALUE(MID(Sync!$V723,FIND(":",Sync!$V723)+1,2)),2),"0000"))))</f>
        <v/>
      </c>
    </row>
    <row r="727">
      <c r="A727">
        <f>IF(Sync!$U724="","",Sync!$U724)</f>
        <v/>
      </c>
      <c r="B727">
        <f>IF($A727="","",IF(ISNUMBER($A727),IF(AND($A727&gt;=10000101,$A727&lt;=99991231),INT($A727/10000),""),IFERROR(VALUE(TRIM(LEFT($A727,FIND("/",$A727)-1))),"")))</f>
        <v/>
      </c>
      <c r="C727">
        <f>IF(OR($A727="",$B727=""),"",IF(ISNUMBER($A727),INT(MOD($A727,10000)/100),IFERROR(VALUE(TRIM(LEFT(MID($A727,FIND("/",$A727)+1,20),FIND("/",MID($A727,FIND("/",$A727)+1,20))-1))),"")))</f>
        <v/>
      </c>
      <c r="D727">
        <f>IF(OR($A727="",$B727=""),"",IF(ISNUMBER($A727),MOD($A727,100),IFERROR(VALUE(TRIM(MID(MID($A727,FIND("/",$A727)+1,20),FIND("/",MID($A727,FIND("/",$A727)+1,20))+1,20))),"")))</f>
        <v/>
      </c>
      <c r="E727">
        <f>IF($A727="","",IF(OR($B727="",$C727="",$D727="",$B727&lt;1300,$B727&gt;1500,$C727&lt;1,$C727&gt;12,$D727&lt;1,$D727&gt;31),"نامعتبر",RIGHT("0000"&amp;$B727,4)&amp;"/"&amp;RIGHT("00"&amp;$C727,2)&amp;"/"&amp;RIGHT("00"&amp;$D727,2)))</f>
        <v/>
      </c>
      <c r="F727">
        <f>IF(OR($E727="",$E727="نامعتبر"),"",LEFT($E727,4)&amp;"/"&amp;MID($E727,6,2))</f>
        <v/>
      </c>
      <c r="G727">
        <f>IF(OR($E727="",$E727="نامعتبر",Sync!$Y724=""),"",Sync!$Y724)</f>
        <v/>
      </c>
      <c r="H727">
        <f>IF($G727="","",IF(Sync!$X724="","",Sync!$X724))</f>
        <v/>
      </c>
      <c r="I727">
        <f>IF($G727="","",IFERROR(VLOOKUP(Sync!$X724,OpTbl,3,0),""))</f>
        <v/>
      </c>
      <c r="J727">
        <f>IF(OR($G727="",Sync!$Z724=""),"",Sync!$Z724)</f>
        <v/>
      </c>
      <c r="K727">
        <f>IF(OR($G727="",Sync!$AA724=""),"",Sync!$AA724)</f>
        <v/>
      </c>
      <c r="L727">
        <f>IF($G727="",0,IF(Sync!$AB724="",0,Sync!$AB724))</f>
        <v/>
      </c>
      <c r="M727">
        <f>IF($G727="",0,IF(Sync!$AC724="",0,Sync!$AC724))</f>
        <v/>
      </c>
      <c r="N727">
        <f>IF($G727="","",IF($H727="مرجوعی خرید",-1,1)*($L727-$M727*IFERROR(VLOOKUP("P01",ParamTbl,3,0),1.5))*(1-IF($I727="خرید",IFERROR(VLOOKUP("P02",ParamTbl,3,0),1),0)/100))</f>
        <v/>
      </c>
      <c r="O727">
        <f>IF($G727="",0,IF($H727="مرجوعی خرید",-1,1)*IF(Sync!$AD724="",0,Sync!$AD724))</f>
        <v/>
      </c>
      <c r="P727">
        <f>IF(OR($G727="",Sync!$W724=""),"",Sync!$W724)</f>
        <v/>
      </c>
      <c r="Q727">
        <f>IF(OR($G727="",Sync!$AE724=""),"",Sync!$AE724)</f>
        <v/>
      </c>
      <c r="R727">
        <f>IF($G727="","",IF(Sync!$V724="","0000",IF(AND(ISNUMBER(Sync!$V724),Sync!$V724&gt;=0,Sync!$V724&lt;1),RIGHT("00"&amp;HOUR(Sync!$V724),2)&amp;RIGHT("00"&amp;MINUTE(Sync!$V724),2),IFERROR(RIGHT("00"&amp;VALUE(LEFT(Sync!$V724,FIND(":",Sync!$V724)-1)),2)&amp;RIGHT("00"&amp;VALUE(MID(Sync!$V724,FIND(":",Sync!$V724)+1,2)),2),"0000"))))</f>
        <v/>
      </c>
    </row>
    <row r="728">
      <c r="A728">
        <f>IF(Sync!$U725="","",Sync!$U725)</f>
        <v/>
      </c>
      <c r="B728">
        <f>IF($A728="","",IF(ISNUMBER($A728),IF(AND($A728&gt;=10000101,$A728&lt;=99991231),INT($A728/10000),""),IFERROR(VALUE(TRIM(LEFT($A728,FIND("/",$A728)-1))),"")))</f>
        <v/>
      </c>
      <c r="C728">
        <f>IF(OR($A728="",$B728=""),"",IF(ISNUMBER($A728),INT(MOD($A728,10000)/100),IFERROR(VALUE(TRIM(LEFT(MID($A728,FIND("/",$A728)+1,20),FIND("/",MID($A728,FIND("/",$A728)+1,20))-1))),"")))</f>
        <v/>
      </c>
      <c r="D728">
        <f>IF(OR($A728="",$B728=""),"",IF(ISNUMBER($A728),MOD($A728,100),IFERROR(VALUE(TRIM(MID(MID($A728,FIND("/",$A728)+1,20),FIND("/",MID($A728,FIND("/",$A728)+1,20))+1,20))),"")))</f>
        <v/>
      </c>
      <c r="E728">
        <f>IF($A728="","",IF(OR($B728="",$C728="",$D728="",$B728&lt;1300,$B728&gt;1500,$C728&lt;1,$C728&gt;12,$D728&lt;1,$D728&gt;31),"نامعتبر",RIGHT("0000"&amp;$B728,4)&amp;"/"&amp;RIGHT("00"&amp;$C728,2)&amp;"/"&amp;RIGHT("00"&amp;$D728,2)))</f>
        <v/>
      </c>
      <c r="F728">
        <f>IF(OR($E728="",$E728="نامعتبر"),"",LEFT($E728,4)&amp;"/"&amp;MID($E728,6,2))</f>
        <v/>
      </c>
      <c r="G728">
        <f>IF(OR($E728="",$E728="نامعتبر",Sync!$Y725=""),"",Sync!$Y725)</f>
        <v/>
      </c>
      <c r="H728">
        <f>IF($G728="","",IF(Sync!$X725="","",Sync!$X725))</f>
        <v/>
      </c>
      <c r="I728">
        <f>IF($G728="","",IFERROR(VLOOKUP(Sync!$X725,OpTbl,3,0),""))</f>
        <v/>
      </c>
      <c r="J728">
        <f>IF(OR($G728="",Sync!$Z725=""),"",Sync!$Z725)</f>
        <v/>
      </c>
      <c r="K728">
        <f>IF(OR($G728="",Sync!$AA725=""),"",Sync!$AA725)</f>
        <v/>
      </c>
      <c r="L728">
        <f>IF($G728="",0,IF(Sync!$AB725="",0,Sync!$AB725))</f>
        <v/>
      </c>
      <c r="M728">
        <f>IF($G728="",0,IF(Sync!$AC725="",0,Sync!$AC725))</f>
        <v/>
      </c>
      <c r="N728">
        <f>IF($G728="","",IF($H728="مرجوعی خرید",-1,1)*($L728-$M728*IFERROR(VLOOKUP("P01",ParamTbl,3,0),1.5))*(1-IF($I728="خرید",IFERROR(VLOOKUP("P02",ParamTbl,3,0),1),0)/100))</f>
        <v/>
      </c>
      <c r="O728">
        <f>IF($G728="",0,IF($H728="مرجوعی خرید",-1,1)*IF(Sync!$AD725="",0,Sync!$AD725))</f>
        <v/>
      </c>
      <c r="P728">
        <f>IF(OR($G728="",Sync!$W725=""),"",Sync!$W725)</f>
        <v/>
      </c>
      <c r="Q728">
        <f>IF(OR($G728="",Sync!$AE725=""),"",Sync!$AE725)</f>
        <v/>
      </c>
      <c r="R728">
        <f>IF($G728="","",IF(Sync!$V725="","0000",IF(AND(ISNUMBER(Sync!$V725),Sync!$V725&gt;=0,Sync!$V725&lt;1),RIGHT("00"&amp;HOUR(Sync!$V725),2)&amp;RIGHT("00"&amp;MINUTE(Sync!$V725),2),IFERROR(RIGHT("00"&amp;VALUE(LEFT(Sync!$V725,FIND(":",Sync!$V725)-1)),2)&amp;RIGHT("00"&amp;VALUE(MID(Sync!$V725,FIND(":",Sync!$V725)+1,2)),2),"0000"))))</f>
        <v/>
      </c>
    </row>
    <row r="729">
      <c r="A729">
        <f>IF(Sync!$U726="","",Sync!$U726)</f>
        <v/>
      </c>
      <c r="B729">
        <f>IF($A729="","",IF(ISNUMBER($A729),IF(AND($A729&gt;=10000101,$A729&lt;=99991231),INT($A729/10000),""),IFERROR(VALUE(TRIM(LEFT($A729,FIND("/",$A729)-1))),"")))</f>
        <v/>
      </c>
      <c r="C729">
        <f>IF(OR($A729="",$B729=""),"",IF(ISNUMBER($A729),INT(MOD($A729,10000)/100),IFERROR(VALUE(TRIM(LEFT(MID($A729,FIND("/",$A729)+1,20),FIND("/",MID($A729,FIND("/",$A729)+1,20))-1))),"")))</f>
        <v/>
      </c>
      <c r="D729">
        <f>IF(OR($A729="",$B729=""),"",IF(ISNUMBER($A729),MOD($A729,100),IFERROR(VALUE(TRIM(MID(MID($A729,FIND("/",$A729)+1,20),FIND("/",MID($A729,FIND("/",$A729)+1,20))+1,20))),"")))</f>
        <v/>
      </c>
      <c r="E729">
        <f>IF($A729="","",IF(OR($B729="",$C729="",$D729="",$B729&lt;1300,$B729&gt;1500,$C729&lt;1,$C729&gt;12,$D729&lt;1,$D729&gt;31),"نامعتبر",RIGHT("0000"&amp;$B729,4)&amp;"/"&amp;RIGHT("00"&amp;$C729,2)&amp;"/"&amp;RIGHT("00"&amp;$D729,2)))</f>
        <v/>
      </c>
      <c r="F729">
        <f>IF(OR($E729="",$E729="نامعتبر"),"",LEFT($E729,4)&amp;"/"&amp;MID($E729,6,2))</f>
        <v/>
      </c>
      <c r="G729">
        <f>IF(OR($E729="",$E729="نامعتبر",Sync!$Y726=""),"",Sync!$Y726)</f>
        <v/>
      </c>
      <c r="H729">
        <f>IF($G729="","",IF(Sync!$X726="","",Sync!$X726))</f>
        <v/>
      </c>
      <c r="I729">
        <f>IF($G729="","",IFERROR(VLOOKUP(Sync!$X726,OpTbl,3,0),""))</f>
        <v/>
      </c>
      <c r="J729">
        <f>IF(OR($G729="",Sync!$Z726=""),"",Sync!$Z726)</f>
        <v/>
      </c>
      <c r="K729">
        <f>IF(OR($G729="",Sync!$AA726=""),"",Sync!$AA726)</f>
        <v/>
      </c>
      <c r="L729">
        <f>IF($G729="",0,IF(Sync!$AB726="",0,Sync!$AB726))</f>
        <v/>
      </c>
      <c r="M729">
        <f>IF($G729="",0,IF(Sync!$AC726="",0,Sync!$AC726))</f>
        <v/>
      </c>
      <c r="N729">
        <f>IF($G729="","",IF($H729="مرجوعی خرید",-1,1)*($L729-$M729*IFERROR(VLOOKUP("P01",ParamTbl,3,0),1.5))*(1-IF($I729="خرید",IFERROR(VLOOKUP("P02",ParamTbl,3,0),1),0)/100))</f>
        <v/>
      </c>
      <c r="O729">
        <f>IF($G729="",0,IF($H729="مرجوعی خرید",-1,1)*IF(Sync!$AD726="",0,Sync!$AD726))</f>
        <v/>
      </c>
      <c r="P729">
        <f>IF(OR($G729="",Sync!$W726=""),"",Sync!$W726)</f>
        <v/>
      </c>
      <c r="Q729">
        <f>IF(OR($G729="",Sync!$AE726=""),"",Sync!$AE726)</f>
        <v/>
      </c>
      <c r="R729">
        <f>IF($G729="","",IF(Sync!$V726="","0000",IF(AND(ISNUMBER(Sync!$V726),Sync!$V726&gt;=0,Sync!$V726&lt;1),RIGHT("00"&amp;HOUR(Sync!$V726),2)&amp;RIGHT("00"&amp;MINUTE(Sync!$V726),2),IFERROR(RIGHT("00"&amp;VALUE(LEFT(Sync!$V726,FIND(":",Sync!$V726)-1)),2)&amp;RIGHT("00"&amp;VALUE(MID(Sync!$V726,FIND(":",Sync!$V726)+1,2)),2),"0000"))))</f>
        <v/>
      </c>
    </row>
    <row r="730">
      <c r="A730">
        <f>IF(Sync!$U727="","",Sync!$U727)</f>
        <v/>
      </c>
      <c r="B730">
        <f>IF($A730="","",IF(ISNUMBER($A730),IF(AND($A730&gt;=10000101,$A730&lt;=99991231),INT($A730/10000),""),IFERROR(VALUE(TRIM(LEFT($A730,FIND("/",$A730)-1))),"")))</f>
        <v/>
      </c>
      <c r="C730">
        <f>IF(OR($A730="",$B730=""),"",IF(ISNUMBER($A730),INT(MOD($A730,10000)/100),IFERROR(VALUE(TRIM(LEFT(MID($A730,FIND("/",$A730)+1,20),FIND("/",MID($A730,FIND("/",$A730)+1,20))-1))),"")))</f>
        <v/>
      </c>
      <c r="D730">
        <f>IF(OR($A730="",$B730=""),"",IF(ISNUMBER($A730),MOD($A730,100),IFERROR(VALUE(TRIM(MID(MID($A730,FIND("/",$A730)+1,20),FIND("/",MID($A730,FIND("/",$A730)+1,20))+1,20))),"")))</f>
        <v/>
      </c>
      <c r="E730">
        <f>IF($A730="","",IF(OR($B730="",$C730="",$D730="",$B730&lt;1300,$B730&gt;1500,$C730&lt;1,$C730&gt;12,$D730&lt;1,$D730&gt;31),"نامعتبر",RIGHT("0000"&amp;$B730,4)&amp;"/"&amp;RIGHT("00"&amp;$C730,2)&amp;"/"&amp;RIGHT("00"&amp;$D730,2)))</f>
        <v/>
      </c>
      <c r="F730">
        <f>IF(OR($E730="",$E730="نامعتبر"),"",LEFT($E730,4)&amp;"/"&amp;MID($E730,6,2))</f>
        <v/>
      </c>
      <c r="G730">
        <f>IF(OR($E730="",$E730="نامعتبر",Sync!$Y727=""),"",Sync!$Y727)</f>
        <v/>
      </c>
      <c r="H730">
        <f>IF($G730="","",IF(Sync!$X727="","",Sync!$X727))</f>
        <v/>
      </c>
      <c r="I730">
        <f>IF($G730="","",IFERROR(VLOOKUP(Sync!$X727,OpTbl,3,0),""))</f>
        <v/>
      </c>
      <c r="J730">
        <f>IF(OR($G730="",Sync!$Z727=""),"",Sync!$Z727)</f>
        <v/>
      </c>
      <c r="K730">
        <f>IF(OR($G730="",Sync!$AA727=""),"",Sync!$AA727)</f>
        <v/>
      </c>
      <c r="L730">
        <f>IF($G730="",0,IF(Sync!$AB727="",0,Sync!$AB727))</f>
        <v/>
      </c>
      <c r="M730">
        <f>IF($G730="",0,IF(Sync!$AC727="",0,Sync!$AC727))</f>
        <v/>
      </c>
      <c r="N730">
        <f>IF($G730="","",IF($H730="مرجوعی خرید",-1,1)*($L730-$M730*IFERROR(VLOOKUP("P01",ParamTbl,3,0),1.5))*(1-IF($I730="خرید",IFERROR(VLOOKUP("P02",ParamTbl,3,0),1),0)/100))</f>
        <v/>
      </c>
      <c r="O730">
        <f>IF($G730="",0,IF($H730="مرجوعی خرید",-1,1)*IF(Sync!$AD727="",0,Sync!$AD727))</f>
        <v/>
      </c>
      <c r="P730">
        <f>IF(OR($G730="",Sync!$W727=""),"",Sync!$W727)</f>
        <v/>
      </c>
      <c r="Q730">
        <f>IF(OR($G730="",Sync!$AE727=""),"",Sync!$AE727)</f>
        <v/>
      </c>
      <c r="R730">
        <f>IF($G730="","",IF(Sync!$V727="","0000",IF(AND(ISNUMBER(Sync!$V727),Sync!$V727&gt;=0,Sync!$V727&lt;1),RIGHT("00"&amp;HOUR(Sync!$V727),2)&amp;RIGHT("00"&amp;MINUTE(Sync!$V727),2),IFERROR(RIGHT("00"&amp;VALUE(LEFT(Sync!$V727,FIND(":",Sync!$V727)-1)),2)&amp;RIGHT("00"&amp;VALUE(MID(Sync!$V727,FIND(":",Sync!$V727)+1,2)),2),"0000"))))</f>
        <v/>
      </c>
    </row>
    <row r="731">
      <c r="A731">
        <f>IF(Sync!$U728="","",Sync!$U728)</f>
        <v/>
      </c>
      <c r="B731">
        <f>IF($A731="","",IF(ISNUMBER($A731),IF(AND($A731&gt;=10000101,$A731&lt;=99991231),INT($A731/10000),""),IFERROR(VALUE(TRIM(LEFT($A731,FIND("/",$A731)-1))),"")))</f>
        <v/>
      </c>
      <c r="C731">
        <f>IF(OR($A731="",$B731=""),"",IF(ISNUMBER($A731),INT(MOD($A731,10000)/100),IFERROR(VALUE(TRIM(LEFT(MID($A731,FIND("/",$A731)+1,20),FIND("/",MID($A731,FIND("/",$A731)+1,20))-1))),"")))</f>
        <v/>
      </c>
      <c r="D731">
        <f>IF(OR($A731="",$B731=""),"",IF(ISNUMBER($A731),MOD($A731,100),IFERROR(VALUE(TRIM(MID(MID($A731,FIND("/",$A731)+1,20),FIND("/",MID($A731,FIND("/",$A731)+1,20))+1,20))),"")))</f>
        <v/>
      </c>
      <c r="E731">
        <f>IF($A731="","",IF(OR($B731="",$C731="",$D731="",$B731&lt;1300,$B731&gt;1500,$C731&lt;1,$C731&gt;12,$D731&lt;1,$D731&gt;31),"نامعتبر",RIGHT("0000"&amp;$B731,4)&amp;"/"&amp;RIGHT("00"&amp;$C731,2)&amp;"/"&amp;RIGHT("00"&amp;$D731,2)))</f>
        <v/>
      </c>
      <c r="F731">
        <f>IF(OR($E731="",$E731="نامعتبر"),"",LEFT($E731,4)&amp;"/"&amp;MID($E731,6,2))</f>
        <v/>
      </c>
      <c r="G731">
        <f>IF(OR($E731="",$E731="نامعتبر",Sync!$Y728=""),"",Sync!$Y728)</f>
        <v/>
      </c>
      <c r="H731">
        <f>IF($G731="","",IF(Sync!$X728="","",Sync!$X728))</f>
        <v/>
      </c>
      <c r="I731">
        <f>IF($G731="","",IFERROR(VLOOKUP(Sync!$X728,OpTbl,3,0),""))</f>
        <v/>
      </c>
      <c r="J731">
        <f>IF(OR($G731="",Sync!$Z728=""),"",Sync!$Z728)</f>
        <v/>
      </c>
      <c r="K731">
        <f>IF(OR($G731="",Sync!$AA728=""),"",Sync!$AA728)</f>
        <v/>
      </c>
      <c r="L731">
        <f>IF($G731="",0,IF(Sync!$AB728="",0,Sync!$AB728))</f>
        <v/>
      </c>
      <c r="M731">
        <f>IF($G731="",0,IF(Sync!$AC728="",0,Sync!$AC728))</f>
        <v/>
      </c>
      <c r="N731">
        <f>IF($G731="","",IF($H731="مرجوعی خرید",-1,1)*($L731-$M731*IFERROR(VLOOKUP("P01",ParamTbl,3,0),1.5))*(1-IF($I731="خرید",IFERROR(VLOOKUP("P02",ParamTbl,3,0),1),0)/100))</f>
        <v/>
      </c>
      <c r="O731">
        <f>IF($G731="",0,IF($H731="مرجوعی خرید",-1,1)*IF(Sync!$AD728="",0,Sync!$AD728))</f>
        <v/>
      </c>
      <c r="P731">
        <f>IF(OR($G731="",Sync!$W728=""),"",Sync!$W728)</f>
        <v/>
      </c>
      <c r="Q731">
        <f>IF(OR($G731="",Sync!$AE728=""),"",Sync!$AE728)</f>
        <v/>
      </c>
      <c r="R731">
        <f>IF($G731="","",IF(Sync!$V728="","0000",IF(AND(ISNUMBER(Sync!$V728),Sync!$V728&gt;=0,Sync!$V728&lt;1),RIGHT("00"&amp;HOUR(Sync!$V728),2)&amp;RIGHT("00"&amp;MINUTE(Sync!$V728),2),IFERROR(RIGHT("00"&amp;VALUE(LEFT(Sync!$V728,FIND(":",Sync!$V728)-1)),2)&amp;RIGHT("00"&amp;VALUE(MID(Sync!$V728,FIND(":",Sync!$V728)+1,2)),2),"0000"))))</f>
        <v/>
      </c>
    </row>
    <row r="732">
      <c r="A732">
        <f>IF(Sync!$U729="","",Sync!$U729)</f>
        <v/>
      </c>
      <c r="B732">
        <f>IF($A732="","",IF(ISNUMBER($A732),IF(AND($A732&gt;=10000101,$A732&lt;=99991231),INT($A732/10000),""),IFERROR(VALUE(TRIM(LEFT($A732,FIND("/",$A732)-1))),"")))</f>
        <v/>
      </c>
      <c r="C732">
        <f>IF(OR($A732="",$B732=""),"",IF(ISNUMBER($A732),INT(MOD($A732,10000)/100),IFERROR(VALUE(TRIM(LEFT(MID($A732,FIND("/",$A732)+1,20),FIND("/",MID($A732,FIND("/",$A732)+1,20))-1))),"")))</f>
        <v/>
      </c>
      <c r="D732">
        <f>IF(OR($A732="",$B732=""),"",IF(ISNUMBER($A732),MOD($A732,100),IFERROR(VALUE(TRIM(MID(MID($A732,FIND("/",$A732)+1,20),FIND("/",MID($A732,FIND("/",$A732)+1,20))+1,20))),"")))</f>
        <v/>
      </c>
      <c r="E732">
        <f>IF($A732="","",IF(OR($B732="",$C732="",$D732="",$B732&lt;1300,$B732&gt;1500,$C732&lt;1,$C732&gt;12,$D732&lt;1,$D732&gt;31),"نامعتبر",RIGHT("0000"&amp;$B732,4)&amp;"/"&amp;RIGHT("00"&amp;$C732,2)&amp;"/"&amp;RIGHT("00"&amp;$D732,2)))</f>
        <v/>
      </c>
      <c r="F732">
        <f>IF(OR($E732="",$E732="نامعتبر"),"",LEFT($E732,4)&amp;"/"&amp;MID($E732,6,2))</f>
        <v/>
      </c>
      <c r="G732">
        <f>IF(OR($E732="",$E732="نامعتبر",Sync!$Y729=""),"",Sync!$Y729)</f>
        <v/>
      </c>
      <c r="H732">
        <f>IF($G732="","",IF(Sync!$X729="","",Sync!$X729))</f>
        <v/>
      </c>
      <c r="I732">
        <f>IF($G732="","",IFERROR(VLOOKUP(Sync!$X729,OpTbl,3,0),""))</f>
        <v/>
      </c>
      <c r="J732">
        <f>IF(OR($G732="",Sync!$Z729=""),"",Sync!$Z729)</f>
        <v/>
      </c>
      <c r="K732">
        <f>IF(OR($G732="",Sync!$AA729=""),"",Sync!$AA729)</f>
        <v/>
      </c>
      <c r="L732">
        <f>IF($G732="",0,IF(Sync!$AB729="",0,Sync!$AB729))</f>
        <v/>
      </c>
      <c r="M732">
        <f>IF($G732="",0,IF(Sync!$AC729="",0,Sync!$AC729))</f>
        <v/>
      </c>
      <c r="N732">
        <f>IF($G732="","",IF($H732="مرجوعی خرید",-1,1)*($L732-$M732*IFERROR(VLOOKUP("P01",ParamTbl,3,0),1.5))*(1-IF($I732="خرید",IFERROR(VLOOKUP("P02",ParamTbl,3,0),1),0)/100))</f>
        <v/>
      </c>
      <c r="O732">
        <f>IF($G732="",0,IF($H732="مرجوعی خرید",-1,1)*IF(Sync!$AD729="",0,Sync!$AD729))</f>
        <v/>
      </c>
      <c r="P732">
        <f>IF(OR($G732="",Sync!$W729=""),"",Sync!$W729)</f>
        <v/>
      </c>
      <c r="Q732">
        <f>IF(OR($G732="",Sync!$AE729=""),"",Sync!$AE729)</f>
        <v/>
      </c>
      <c r="R732">
        <f>IF($G732="","",IF(Sync!$V729="","0000",IF(AND(ISNUMBER(Sync!$V729),Sync!$V729&gt;=0,Sync!$V729&lt;1),RIGHT("00"&amp;HOUR(Sync!$V729),2)&amp;RIGHT("00"&amp;MINUTE(Sync!$V729),2),IFERROR(RIGHT("00"&amp;VALUE(LEFT(Sync!$V729,FIND(":",Sync!$V729)-1)),2)&amp;RIGHT("00"&amp;VALUE(MID(Sync!$V729,FIND(":",Sync!$V729)+1,2)),2),"0000"))))</f>
        <v/>
      </c>
    </row>
    <row r="733">
      <c r="A733">
        <f>IF(Sync!$U730="","",Sync!$U730)</f>
        <v/>
      </c>
      <c r="B733">
        <f>IF($A733="","",IF(ISNUMBER($A733),IF(AND($A733&gt;=10000101,$A733&lt;=99991231),INT($A733/10000),""),IFERROR(VALUE(TRIM(LEFT($A733,FIND("/",$A733)-1))),"")))</f>
        <v/>
      </c>
      <c r="C733">
        <f>IF(OR($A733="",$B733=""),"",IF(ISNUMBER($A733),INT(MOD($A733,10000)/100),IFERROR(VALUE(TRIM(LEFT(MID($A733,FIND("/",$A733)+1,20),FIND("/",MID($A733,FIND("/",$A733)+1,20))-1))),"")))</f>
        <v/>
      </c>
      <c r="D733">
        <f>IF(OR($A733="",$B733=""),"",IF(ISNUMBER($A733),MOD($A733,100),IFERROR(VALUE(TRIM(MID(MID($A733,FIND("/",$A733)+1,20),FIND("/",MID($A733,FIND("/",$A733)+1,20))+1,20))),"")))</f>
        <v/>
      </c>
      <c r="E733">
        <f>IF($A733="","",IF(OR($B733="",$C733="",$D733="",$B733&lt;1300,$B733&gt;1500,$C733&lt;1,$C733&gt;12,$D733&lt;1,$D733&gt;31),"نامعتبر",RIGHT("0000"&amp;$B733,4)&amp;"/"&amp;RIGHT("00"&amp;$C733,2)&amp;"/"&amp;RIGHT("00"&amp;$D733,2)))</f>
        <v/>
      </c>
      <c r="F733">
        <f>IF(OR($E733="",$E733="نامعتبر"),"",LEFT($E733,4)&amp;"/"&amp;MID($E733,6,2))</f>
        <v/>
      </c>
      <c r="G733">
        <f>IF(OR($E733="",$E733="نامعتبر",Sync!$Y730=""),"",Sync!$Y730)</f>
        <v/>
      </c>
      <c r="H733">
        <f>IF($G733="","",IF(Sync!$X730="","",Sync!$X730))</f>
        <v/>
      </c>
      <c r="I733">
        <f>IF($G733="","",IFERROR(VLOOKUP(Sync!$X730,OpTbl,3,0),""))</f>
        <v/>
      </c>
      <c r="J733">
        <f>IF(OR($G733="",Sync!$Z730=""),"",Sync!$Z730)</f>
        <v/>
      </c>
      <c r="K733">
        <f>IF(OR($G733="",Sync!$AA730=""),"",Sync!$AA730)</f>
        <v/>
      </c>
      <c r="L733">
        <f>IF($G733="",0,IF(Sync!$AB730="",0,Sync!$AB730))</f>
        <v/>
      </c>
      <c r="M733">
        <f>IF($G733="",0,IF(Sync!$AC730="",0,Sync!$AC730))</f>
        <v/>
      </c>
      <c r="N733">
        <f>IF($G733="","",IF($H733="مرجوعی خرید",-1,1)*($L733-$M733*IFERROR(VLOOKUP("P01",ParamTbl,3,0),1.5))*(1-IF($I733="خرید",IFERROR(VLOOKUP("P02",ParamTbl,3,0),1),0)/100))</f>
        <v/>
      </c>
      <c r="O733">
        <f>IF($G733="",0,IF($H733="مرجوعی خرید",-1,1)*IF(Sync!$AD730="",0,Sync!$AD730))</f>
        <v/>
      </c>
      <c r="P733">
        <f>IF(OR($G733="",Sync!$W730=""),"",Sync!$W730)</f>
        <v/>
      </c>
      <c r="Q733">
        <f>IF(OR($G733="",Sync!$AE730=""),"",Sync!$AE730)</f>
        <v/>
      </c>
      <c r="R733">
        <f>IF($G733="","",IF(Sync!$V730="","0000",IF(AND(ISNUMBER(Sync!$V730),Sync!$V730&gt;=0,Sync!$V730&lt;1),RIGHT("00"&amp;HOUR(Sync!$V730),2)&amp;RIGHT("00"&amp;MINUTE(Sync!$V730),2),IFERROR(RIGHT("00"&amp;VALUE(LEFT(Sync!$V730,FIND(":",Sync!$V730)-1)),2)&amp;RIGHT("00"&amp;VALUE(MID(Sync!$V730,FIND(":",Sync!$V730)+1,2)),2),"0000"))))</f>
        <v/>
      </c>
    </row>
    <row r="734">
      <c r="A734">
        <f>IF(Sync!$U731="","",Sync!$U731)</f>
        <v/>
      </c>
      <c r="B734">
        <f>IF($A734="","",IF(ISNUMBER($A734),IF(AND($A734&gt;=10000101,$A734&lt;=99991231),INT($A734/10000),""),IFERROR(VALUE(TRIM(LEFT($A734,FIND("/",$A734)-1))),"")))</f>
        <v/>
      </c>
      <c r="C734">
        <f>IF(OR($A734="",$B734=""),"",IF(ISNUMBER($A734),INT(MOD($A734,10000)/100),IFERROR(VALUE(TRIM(LEFT(MID($A734,FIND("/",$A734)+1,20),FIND("/",MID($A734,FIND("/",$A734)+1,20))-1))),"")))</f>
        <v/>
      </c>
      <c r="D734">
        <f>IF(OR($A734="",$B734=""),"",IF(ISNUMBER($A734),MOD($A734,100),IFERROR(VALUE(TRIM(MID(MID($A734,FIND("/",$A734)+1,20),FIND("/",MID($A734,FIND("/",$A734)+1,20))+1,20))),"")))</f>
        <v/>
      </c>
      <c r="E734">
        <f>IF($A734="","",IF(OR($B734="",$C734="",$D734="",$B734&lt;1300,$B734&gt;1500,$C734&lt;1,$C734&gt;12,$D734&lt;1,$D734&gt;31),"نامعتبر",RIGHT("0000"&amp;$B734,4)&amp;"/"&amp;RIGHT("00"&amp;$C734,2)&amp;"/"&amp;RIGHT("00"&amp;$D734,2)))</f>
        <v/>
      </c>
      <c r="F734">
        <f>IF(OR($E734="",$E734="نامعتبر"),"",LEFT($E734,4)&amp;"/"&amp;MID($E734,6,2))</f>
        <v/>
      </c>
      <c r="G734">
        <f>IF(OR($E734="",$E734="نامعتبر",Sync!$Y731=""),"",Sync!$Y731)</f>
        <v/>
      </c>
      <c r="H734">
        <f>IF($G734="","",IF(Sync!$X731="","",Sync!$X731))</f>
        <v/>
      </c>
      <c r="I734">
        <f>IF($G734="","",IFERROR(VLOOKUP(Sync!$X731,OpTbl,3,0),""))</f>
        <v/>
      </c>
      <c r="J734">
        <f>IF(OR($G734="",Sync!$Z731=""),"",Sync!$Z731)</f>
        <v/>
      </c>
      <c r="K734">
        <f>IF(OR($G734="",Sync!$AA731=""),"",Sync!$AA731)</f>
        <v/>
      </c>
      <c r="L734">
        <f>IF($G734="",0,IF(Sync!$AB731="",0,Sync!$AB731))</f>
        <v/>
      </c>
      <c r="M734">
        <f>IF($G734="",0,IF(Sync!$AC731="",0,Sync!$AC731))</f>
        <v/>
      </c>
      <c r="N734">
        <f>IF($G734="","",IF($H734="مرجوعی خرید",-1,1)*($L734-$M734*IFERROR(VLOOKUP("P01",ParamTbl,3,0),1.5))*(1-IF($I734="خرید",IFERROR(VLOOKUP("P02",ParamTbl,3,0),1),0)/100))</f>
        <v/>
      </c>
      <c r="O734">
        <f>IF($G734="",0,IF($H734="مرجوعی خرید",-1,1)*IF(Sync!$AD731="",0,Sync!$AD731))</f>
        <v/>
      </c>
      <c r="P734">
        <f>IF(OR($G734="",Sync!$W731=""),"",Sync!$W731)</f>
        <v/>
      </c>
      <c r="Q734">
        <f>IF(OR($G734="",Sync!$AE731=""),"",Sync!$AE731)</f>
        <v/>
      </c>
      <c r="R734">
        <f>IF($G734="","",IF(Sync!$V731="","0000",IF(AND(ISNUMBER(Sync!$V731),Sync!$V731&gt;=0,Sync!$V731&lt;1),RIGHT("00"&amp;HOUR(Sync!$V731),2)&amp;RIGHT("00"&amp;MINUTE(Sync!$V731),2),IFERROR(RIGHT("00"&amp;VALUE(LEFT(Sync!$V731,FIND(":",Sync!$V731)-1)),2)&amp;RIGHT("00"&amp;VALUE(MID(Sync!$V731,FIND(":",Sync!$V731)+1,2)),2),"0000"))))</f>
        <v/>
      </c>
    </row>
    <row r="735">
      <c r="A735">
        <f>IF(Sync!$U732="","",Sync!$U732)</f>
        <v/>
      </c>
      <c r="B735">
        <f>IF($A735="","",IF(ISNUMBER($A735),IF(AND($A735&gt;=10000101,$A735&lt;=99991231),INT($A735/10000),""),IFERROR(VALUE(TRIM(LEFT($A735,FIND("/",$A735)-1))),"")))</f>
        <v/>
      </c>
      <c r="C735">
        <f>IF(OR($A735="",$B735=""),"",IF(ISNUMBER($A735),INT(MOD($A735,10000)/100),IFERROR(VALUE(TRIM(LEFT(MID($A735,FIND("/",$A735)+1,20),FIND("/",MID($A735,FIND("/",$A735)+1,20))-1))),"")))</f>
        <v/>
      </c>
      <c r="D735">
        <f>IF(OR($A735="",$B735=""),"",IF(ISNUMBER($A735),MOD($A735,100),IFERROR(VALUE(TRIM(MID(MID($A735,FIND("/",$A735)+1,20),FIND("/",MID($A735,FIND("/",$A735)+1,20))+1,20))),"")))</f>
        <v/>
      </c>
      <c r="E735">
        <f>IF($A735="","",IF(OR($B735="",$C735="",$D735="",$B735&lt;1300,$B735&gt;1500,$C735&lt;1,$C735&gt;12,$D735&lt;1,$D735&gt;31),"نامعتبر",RIGHT("0000"&amp;$B735,4)&amp;"/"&amp;RIGHT("00"&amp;$C735,2)&amp;"/"&amp;RIGHT("00"&amp;$D735,2)))</f>
        <v/>
      </c>
      <c r="F735">
        <f>IF(OR($E735="",$E735="نامعتبر"),"",LEFT($E735,4)&amp;"/"&amp;MID($E735,6,2))</f>
        <v/>
      </c>
      <c r="G735">
        <f>IF(OR($E735="",$E735="نامعتبر",Sync!$Y732=""),"",Sync!$Y732)</f>
        <v/>
      </c>
      <c r="H735">
        <f>IF($G735="","",IF(Sync!$X732="","",Sync!$X732))</f>
        <v/>
      </c>
      <c r="I735">
        <f>IF($G735="","",IFERROR(VLOOKUP(Sync!$X732,OpTbl,3,0),""))</f>
        <v/>
      </c>
      <c r="J735">
        <f>IF(OR($G735="",Sync!$Z732=""),"",Sync!$Z732)</f>
        <v/>
      </c>
      <c r="K735">
        <f>IF(OR($G735="",Sync!$AA732=""),"",Sync!$AA732)</f>
        <v/>
      </c>
      <c r="L735">
        <f>IF($G735="",0,IF(Sync!$AB732="",0,Sync!$AB732))</f>
        <v/>
      </c>
      <c r="M735">
        <f>IF($G735="",0,IF(Sync!$AC732="",0,Sync!$AC732))</f>
        <v/>
      </c>
      <c r="N735">
        <f>IF($G735="","",IF($H735="مرجوعی خرید",-1,1)*($L735-$M735*IFERROR(VLOOKUP("P01",ParamTbl,3,0),1.5))*(1-IF($I735="خرید",IFERROR(VLOOKUP("P02",ParamTbl,3,0),1),0)/100))</f>
        <v/>
      </c>
      <c r="O735">
        <f>IF($G735="",0,IF($H735="مرجوعی خرید",-1,1)*IF(Sync!$AD732="",0,Sync!$AD732))</f>
        <v/>
      </c>
      <c r="P735">
        <f>IF(OR($G735="",Sync!$W732=""),"",Sync!$W732)</f>
        <v/>
      </c>
      <c r="Q735">
        <f>IF(OR($G735="",Sync!$AE732=""),"",Sync!$AE732)</f>
        <v/>
      </c>
      <c r="R735">
        <f>IF($G735="","",IF(Sync!$V732="","0000",IF(AND(ISNUMBER(Sync!$V732),Sync!$V732&gt;=0,Sync!$V732&lt;1),RIGHT("00"&amp;HOUR(Sync!$V732),2)&amp;RIGHT("00"&amp;MINUTE(Sync!$V732),2),IFERROR(RIGHT("00"&amp;VALUE(LEFT(Sync!$V732,FIND(":",Sync!$V732)-1)),2)&amp;RIGHT("00"&amp;VALUE(MID(Sync!$V732,FIND(":",Sync!$V732)+1,2)),2),"0000"))))</f>
        <v/>
      </c>
    </row>
    <row r="736">
      <c r="A736">
        <f>IF(Sync!$U733="","",Sync!$U733)</f>
        <v/>
      </c>
      <c r="B736">
        <f>IF($A736="","",IF(ISNUMBER($A736),IF(AND($A736&gt;=10000101,$A736&lt;=99991231),INT($A736/10000),""),IFERROR(VALUE(TRIM(LEFT($A736,FIND("/",$A736)-1))),"")))</f>
        <v/>
      </c>
      <c r="C736">
        <f>IF(OR($A736="",$B736=""),"",IF(ISNUMBER($A736),INT(MOD($A736,10000)/100),IFERROR(VALUE(TRIM(LEFT(MID($A736,FIND("/",$A736)+1,20),FIND("/",MID($A736,FIND("/",$A736)+1,20))-1))),"")))</f>
        <v/>
      </c>
      <c r="D736">
        <f>IF(OR($A736="",$B736=""),"",IF(ISNUMBER($A736),MOD($A736,100),IFERROR(VALUE(TRIM(MID(MID($A736,FIND("/",$A736)+1,20),FIND("/",MID($A736,FIND("/",$A736)+1,20))+1,20))),"")))</f>
        <v/>
      </c>
      <c r="E736">
        <f>IF($A736="","",IF(OR($B736="",$C736="",$D736="",$B736&lt;1300,$B736&gt;1500,$C736&lt;1,$C736&gt;12,$D736&lt;1,$D736&gt;31),"نامعتبر",RIGHT("0000"&amp;$B736,4)&amp;"/"&amp;RIGHT("00"&amp;$C736,2)&amp;"/"&amp;RIGHT("00"&amp;$D736,2)))</f>
        <v/>
      </c>
      <c r="F736">
        <f>IF(OR($E736="",$E736="نامعتبر"),"",LEFT($E736,4)&amp;"/"&amp;MID($E736,6,2))</f>
        <v/>
      </c>
      <c r="G736">
        <f>IF(OR($E736="",$E736="نامعتبر",Sync!$Y733=""),"",Sync!$Y733)</f>
        <v/>
      </c>
      <c r="H736">
        <f>IF($G736="","",IF(Sync!$X733="","",Sync!$X733))</f>
        <v/>
      </c>
      <c r="I736">
        <f>IF($G736="","",IFERROR(VLOOKUP(Sync!$X733,OpTbl,3,0),""))</f>
        <v/>
      </c>
      <c r="J736">
        <f>IF(OR($G736="",Sync!$Z733=""),"",Sync!$Z733)</f>
        <v/>
      </c>
      <c r="K736">
        <f>IF(OR($G736="",Sync!$AA733=""),"",Sync!$AA733)</f>
        <v/>
      </c>
      <c r="L736">
        <f>IF($G736="",0,IF(Sync!$AB733="",0,Sync!$AB733))</f>
        <v/>
      </c>
      <c r="M736">
        <f>IF($G736="",0,IF(Sync!$AC733="",0,Sync!$AC733))</f>
        <v/>
      </c>
      <c r="N736">
        <f>IF($G736="","",IF($H736="مرجوعی خرید",-1,1)*($L736-$M736*IFERROR(VLOOKUP("P01",ParamTbl,3,0),1.5))*(1-IF($I736="خرید",IFERROR(VLOOKUP("P02",ParamTbl,3,0),1),0)/100))</f>
        <v/>
      </c>
      <c r="O736">
        <f>IF($G736="",0,IF($H736="مرجوعی خرید",-1,1)*IF(Sync!$AD733="",0,Sync!$AD733))</f>
        <v/>
      </c>
      <c r="P736">
        <f>IF(OR($G736="",Sync!$W733=""),"",Sync!$W733)</f>
        <v/>
      </c>
      <c r="Q736">
        <f>IF(OR($G736="",Sync!$AE733=""),"",Sync!$AE733)</f>
        <v/>
      </c>
      <c r="R736">
        <f>IF($G736="","",IF(Sync!$V733="","0000",IF(AND(ISNUMBER(Sync!$V733),Sync!$V733&gt;=0,Sync!$V733&lt;1),RIGHT("00"&amp;HOUR(Sync!$V733),2)&amp;RIGHT("00"&amp;MINUTE(Sync!$V733),2),IFERROR(RIGHT("00"&amp;VALUE(LEFT(Sync!$V733,FIND(":",Sync!$V733)-1)),2)&amp;RIGHT("00"&amp;VALUE(MID(Sync!$V733,FIND(":",Sync!$V733)+1,2)),2),"0000"))))</f>
        <v/>
      </c>
    </row>
    <row r="737">
      <c r="A737">
        <f>IF(Sync!$U734="","",Sync!$U734)</f>
        <v/>
      </c>
      <c r="B737">
        <f>IF($A737="","",IF(ISNUMBER($A737),IF(AND($A737&gt;=10000101,$A737&lt;=99991231),INT($A737/10000),""),IFERROR(VALUE(TRIM(LEFT($A737,FIND("/",$A737)-1))),"")))</f>
        <v/>
      </c>
      <c r="C737">
        <f>IF(OR($A737="",$B737=""),"",IF(ISNUMBER($A737),INT(MOD($A737,10000)/100),IFERROR(VALUE(TRIM(LEFT(MID($A737,FIND("/",$A737)+1,20),FIND("/",MID($A737,FIND("/",$A737)+1,20))-1))),"")))</f>
        <v/>
      </c>
      <c r="D737">
        <f>IF(OR($A737="",$B737=""),"",IF(ISNUMBER($A737),MOD($A737,100),IFERROR(VALUE(TRIM(MID(MID($A737,FIND("/",$A737)+1,20),FIND("/",MID($A737,FIND("/",$A737)+1,20))+1,20))),"")))</f>
        <v/>
      </c>
      <c r="E737">
        <f>IF($A737="","",IF(OR($B737="",$C737="",$D737="",$B737&lt;1300,$B737&gt;1500,$C737&lt;1,$C737&gt;12,$D737&lt;1,$D737&gt;31),"نامعتبر",RIGHT("0000"&amp;$B737,4)&amp;"/"&amp;RIGHT("00"&amp;$C737,2)&amp;"/"&amp;RIGHT("00"&amp;$D737,2)))</f>
        <v/>
      </c>
      <c r="F737">
        <f>IF(OR($E737="",$E737="نامعتبر"),"",LEFT($E737,4)&amp;"/"&amp;MID($E737,6,2))</f>
        <v/>
      </c>
      <c r="G737">
        <f>IF(OR($E737="",$E737="نامعتبر",Sync!$Y734=""),"",Sync!$Y734)</f>
        <v/>
      </c>
      <c r="H737">
        <f>IF($G737="","",IF(Sync!$X734="","",Sync!$X734))</f>
        <v/>
      </c>
      <c r="I737">
        <f>IF($G737="","",IFERROR(VLOOKUP(Sync!$X734,OpTbl,3,0),""))</f>
        <v/>
      </c>
      <c r="J737">
        <f>IF(OR($G737="",Sync!$Z734=""),"",Sync!$Z734)</f>
        <v/>
      </c>
      <c r="K737">
        <f>IF(OR($G737="",Sync!$AA734=""),"",Sync!$AA734)</f>
        <v/>
      </c>
      <c r="L737">
        <f>IF($G737="",0,IF(Sync!$AB734="",0,Sync!$AB734))</f>
        <v/>
      </c>
      <c r="M737">
        <f>IF($G737="",0,IF(Sync!$AC734="",0,Sync!$AC734))</f>
        <v/>
      </c>
      <c r="N737">
        <f>IF($G737="","",IF($H737="مرجوعی خرید",-1,1)*($L737-$M737*IFERROR(VLOOKUP("P01",ParamTbl,3,0),1.5))*(1-IF($I737="خرید",IFERROR(VLOOKUP("P02",ParamTbl,3,0),1),0)/100))</f>
        <v/>
      </c>
      <c r="O737">
        <f>IF($G737="",0,IF($H737="مرجوعی خرید",-1,1)*IF(Sync!$AD734="",0,Sync!$AD734))</f>
        <v/>
      </c>
      <c r="P737">
        <f>IF(OR($G737="",Sync!$W734=""),"",Sync!$W734)</f>
        <v/>
      </c>
      <c r="Q737">
        <f>IF(OR($G737="",Sync!$AE734=""),"",Sync!$AE734)</f>
        <v/>
      </c>
      <c r="R737">
        <f>IF($G737="","",IF(Sync!$V734="","0000",IF(AND(ISNUMBER(Sync!$V734),Sync!$V734&gt;=0,Sync!$V734&lt;1),RIGHT("00"&amp;HOUR(Sync!$V734),2)&amp;RIGHT("00"&amp;MINUTE(Sync!$V734),2),IFERROR(RIGHT("00"&amp;VALUE(LEFT(Sync!$V734,FIND(":",Sync!$V734)-1)),2)&amp;RIGHT("00"&amp;VALUE(MID(Sync!$V734,FIND(":",Sync!$V734)+1,2)),2),"0000"))))</f>
        <v/>
      </c>
    </row>
    <row r="738">
      <c r="A738">
        <f>IF(Sync!$U735="","",Sync!$U735)</f>
        <v/>
      </c>
      <c r="B738">
        <f>IF($A738="","",IF(ISNUMBER($A738),IF(AND($A738&gt;=10000101,$A738&lt;=99991231),INT($A738/10000),""),IFERROR(VALUE(TRIM(LEFT($A738,FIND("/",$A738)-1))),"")))</f>
        <v/>
      </c>
      <c r="C738">
        <f>IF(OR($A738="",$B738=""),"",IF(ISNUMBER($A738),INT(MOD($A738,10000)/100),IFERROR(VALUE(TRIM(LEFT(MID($A738,FIND("/",$A738)+1,20),FIND("/",MID($A738,FIND("/",$A738)+1,20))-1))),"")))</f>
        <v/>
      </c>
      <c r="D738">
        <f>IF(OR($A738="",$B738=""),"",IF(ISNUMBER($A738),MOD($A738,100),IFERROR(VALUE(TRIM(MID(MID($A738,FIND("/",$A738)+1,20),FIND("/",MID($A738,FIND("/",$A738)+1,20))+1,20))),"")))</f>
        <v/>
      </c>
      <c r="E738">
        <f>IF($A738="","",IF(OR($B738="",$C738="",$D738="",$B738&lt;1300,$B738&gt;1500,$C738&lt;1,$C738&gt;12,$D738&lt;1,$D738&gt;31),"نامعتبر",RIGHT("0000"&amp;$B738,4)&amp;"/"&amp;RIGHT("00"&amp;$C738,2)&amp;"/"&amp;RIGHT("00"&amp;$D738,2)))</f>
        <v/>
      </c>
      <c r="F738">
        <f>IF(OR($E738="",$E738="نامعتبر"),"",LEFT($E738,4)&amp;"/"&amp;MID($E738,6,2))</f>
        <v/>
      </c>
      <c r="G738">
        <f>IF(OR($E738="",$E738="نامعتبر",Sync!$Y735=""),"",Sync!$Y735)</f>
        <v/>
      </c>
      <c r="H738">
        <f>IF($G738="","",IF(Sync!$X735="","",Sync!$X735))</f>
        <v/>
      </c>
      <c r="I738">
        <f>IF($G738="","",IFERROR(VLOOKUP(Sync!$X735,OpTbl,3,0),""))</f>
        <v/>
      </c>
      <c r="J738">
        <f>IF(OR($G738="",Sync!$Z735=""),"",Sync!$Z735)</f>
        <v/>
      </c>
      <c r="K738">
        <f>IF(OR($G738="",Sync!$AA735=""),"",Sync!$AA735)</f>
        <v/>
      </c>
      <c r="L738">
        <f>IF($G738="",0,IF(Sync!$AB735="",0,Sync!$AB735))</f>
        <v/>
      </c>
      <c r="M738">
        <f>IF($G738="",0,IF(Sync!$AC735="",0,Sync!$AC735))</f>
        <v/>
      </c>
      <c r="N738">
        <f>IF($G738="","",IF($H738="مرجوعی خرید",-1,1)*($L738-$M738*IFERROR(VLOOKUP("P01",ParamTbl,3,0),1.5))*(1-IF($I738="خرید",IFERROR(VLOOKUP("P02",ParamTbl,3,0),1),0)/100))</f>
        <v/>
      </c>
      <c r="O738">
        <f>IF($G738="",0,IF($H738="مرجوعی خرید",-1,1)*IF(Sync!$AD735="",0,Sync!$AD735))</f>
        <v/>
      </c>
      <c r="P738">
        <f>IF(OR($G738="",Sync!$W735=""),"",Sync!$W735)</f>
        <v/>
      </c>
      <c r="Q738">
        <f>IF(OR($G738="",Sync!$AE735=""),"",Sync!$AE735)</f>
        <v/>
      </c>
      <c r="R738">
        <f>IF($G738="","",IF(Sync!$V735="","0000",IF(AND(ISNUMBER(Sync!$V735),Sync!$V735&gt;=0,Sync!$V735&lt;1),RIGHT("00"&amp;HOUR(Sync!$V735),2)&amp;RIGHT("00"&amp;MINUTE(Sync!$V735),2),IFERROR(RIGHT("00"&amp;VALUE(LEFT(Sync!$V735,FIND(":",Sync!$V735)-1)),2)&amp;RIGHT("00"&amp;VALUE(MID(Sync!$V735,FIND(":",Sync!$V735)+1,2)),2),"0000"))))</f>
        <v/>
      </c>
    </row>
    <row r="739">
      <c r="A739">
        <f>IF(Sync!$U736="","",Sync!$U736)</f>
        <v/>
      </c>
      <c r="B739">
        <f>IF($A739="","",IF(ISNUMBER($A739),IF(AND($A739&gt;=10000101,$A739&lt;=99991231),INT($A739/10000),""),IFERROR(VALUE(TRIM(LEFT($A739,FIND("/",$A739)-1))),"")))</f>
        <v/>
      </c>
      <c r="C739">
        <f>IF(OR($A739="",$B739=""),"",IF(ISNUMBER($A739),INT(MOD($A739,10000)/100),IFERROR(VALUE(TRIM(LEFT(MID($A739,FIND("/",$A739)+1,20),FIND("/",MID($A739,FIND("/",$A739)+1,20))-1))),"")))</f>
        <v/>
      </c>
      <c r="D739">
        <f>IF(OR($A739="",$B739=""),"",IF(ISNUMBER($A739),MOD($A739,100),IFERROR(VALUE(TRIM(MID(MID($A739,FIND("/",$A739)+1,20),FIND("/",MID($A739,FIND("/",$A739)+1,20))+1,20))),"")))</f>
        <v/>
      </c>
      <c r="E739">
        <f>IF($A739="","",IF(OR($B739="",$C739="",$D739="",$B739&lt;1300,$B739&gt;1500,$C739&lt;1,$C739&gt;12,$D739&lt;1,$D739&gt;31),"نامعتبر",RIGHT("0000"&amp;$B739,4)&amp;"/"&amp;RIGHT("00"&amp;$C739,2)&amp;"/"&amp;RIGHT("00"&amp;$D739,2)))</f>
        <v/>
      </c>
      <c r="F739">
        <f>IF(OR($E739="",$E739="نامعتبر"),"",LEFT($E739,4)&amp;"/"&amp;MID($E739,6,2))</f>
        <v/>
      </c>
      <c r="G739">
        <f>IF(OR($E739="",$E739="نامعتبر",Sync!$Y736=""),"",Sync!$Y736)</f>
        <v/>
      </c>
      <c r="H739">
        <f>IF($G739="","",IF(Sync!$X736="","",Sync!$X736))</f>
        <v/>
      </c>
      <c r="I739">
        <f>IF($G739="","",IFERROR(VLOOKUP(Sync!$X736,OpTbl,3,0),""))</f>
        <v/>
      </c>
      <c r="J739">
        <f>IF(OR($G739="",Sync!$Z736=""),"",Sync!$Z736)</f>
        <v/>
      </c>
      <c r="K739">
        <f>IF(OR($G739="",Sync!$AA736=""),"",Sync!$AA736)</f>
        <v/>
      </c>
      <c r="L739">
        <f>IF($G739="",0,IF(Sync!$AB736="",0,Sync!$AB736))</f>
        <v/>
      </c>
      <c r="M739">
        <f>IF($G739="",0,IF(Sync!$AC736="",0,Sync!$AC736))</f>
        <v/>
      </c>
      <c r="N739">
        <f>IF($G739="","",IF($H739="مرجوعی خرید",-1,1)*($L739-$M739*IFERROR(VLOOKUP("P01",ParamTbl,3,0),1.5))*(1-IF($I739="خرید",IFERROR(VLOOKUP("P02",ParamTbl,3,0),1),0)/100))</f>
        <v/>
      </c>
      <c r="O739">
        <f>IF($G739="",0,IF($H739="مرجوعی خرید",-1,1)*IF(Sync!$AD736="",0,Sync!$AD736))</f>
        <v/>
      </c>
      <c r="P739">
        <f>IF(OR($G739="",Sync!$W736=""),"",Sync!$W736)</f>
        <v/>
      </c>
      <c r="Q739">
        <f>IF(OR($G739="",Sync!$AE736=""),"",Sync!$AE736)</f>
        <v/>
      </c>
      <c r="R739">
        <f>IF($G739="","",IF(Sync!$V736="","0000",IF(AND(ISNUMBER(Sync!$V736),Sync!$V736&gt;=0,Sync!$V736&lt;1),RIGHT("00"&amp;HOUR(Sync!$V736),2)&amp;RIGHT("00"&amp;MINUTE(Sync!$V736),2),IFERROR(RIGHT("00"&amp;VALUE(LEFT(Sync!$V736,FIND(":",Sync!$V736)-1)),2)&amp;RIGHT("00"&amp;VALUE(MID(Sync!$V736,FIND(":",Sync!$V736)+1,2)),2),"0000"))))</f>
        <v/>
      </c>
    </row>
    <row r="740">
      <c r="A740">
        <f>IF(Sync!$U737="","",Sync!$U737)</f>
        <v/>
      </c>
      <c r="B740">
        <f>IF($A740="","",IF(ISNUMBER($A740),IF(AND($A740&gt;=10000101,$A740&lt;=99991231),INT($A740/10000),""),IFERROR(VALUE(TRIM(LEFT($A740,FIND("/",$A740)-1))),"")))</f>
        <v/>
      </c>
      <c r="C740">
        <f>IF(OR($A740="",$B740=""),"",IF(ISNUMBER($A740),INT(MOD($A740,10000)/100),IFERROR(VALUE(TRIM(LEFT(MID($A740,FIND("/",$A740)+1,20),FIND("/",MID($A740,FIND("/",$A740)+1,20))-1))),"")))</f>
        <v/>
      </c>
      <c r="D740">
        <f>IF(OR($A740="",$B740=""),"",IF(ISNUMBER($A740),MOD($A740,100),IFERROR(VALUE(TRIM(MID(MID($A740,FIND("/",$A740)+1,20),FIND("/",MID($A740,FIND("/",$A740)+1,20))+1,20))),"")))</f>
        <v/>
      </c>
      <c r="E740">
        <f>IF($A740="","",IF(OR($B740="",$C740="",$D740="",$B740&lt;1300,$B740&gt;1500,$C740&lt;1,$C740&gt;12,$D740&lt;1,$D740&gt;31),"نامعتبر",RIGHT("0000"&amp;$B740,4)&amp;"/"&amp;RIGHT("00"&amp;$C740,2)&amp;"/"&amp;RIGHT("00"&amp;$D740,2)))</f>
        <v/>
      </c>
      <c r="F740">
        <f>IF(OR($E740="",$E740="نامعتبر"),"",LEFT($E740,4)&amp;"/"&amp;MID($E740,6,2))</f>
        <v/>
      </c>
      <c r="G740">
        <f>IF(OR($E740="",$E740="نامعتبر",Sync!$Y737=""),"",Sync!$Y737)</f>
        <v/>
      </c>
      <c r="H740">
        <f>IF($G740="","",IF(Sync!$X737="","",Sync!$X737))</f>
        <v/>
      </c>
      <c r="I740">
        <f>IF($G740="","",IFERROR(VLOOKUP(Sync!$X737,OpTbl,3,0),""))</f>
        <v/>
      </c>
      <c r="J740">
        <f>IF(OR($G740="",Sync!$Z737=""),"",Sync!$Z737)</f>
        <v/>
      </c>
      <c r="K740">
        <f>IF(OR($G740="",Sync!$AA737=""),"",Sync!$AA737)</f>
        <v/>
      </c>
      <c r="L740">
        <f>IF($G740="",0,IF(Sync!$AB737="",0,Sync!$AB737))</f>
        <v/>
      </c>
      <c r="M740">
        <f>IF($G740="",0,IF(Sync!$AC737="",0,Sync!$AC737))</f>
        <v/>
      </c>
      <c r="N740">
        <f>IF($G740="","",IF($H740="مرجوعی خرید",-1,1)*($L740-$M740*IFERROR(VLOOKUP("P01",ParamTbl,3,0),1.5))*(1-IF($I740="خرید",IFERROR(VLOOKUP("P02",ParamTbl,3,0),1),0)/100))</f>
        <v/>
      </c>
      <c r="O740">
        <f>IF($G740="",0,IF($H740="مرجوعی خرید",-1,1)*IF(Sync!$AD737="",0,Sync!$AD737))</f>
        <v/>
      </c>
      <c r="P740">
        <f>IF(OR($G740="",Sync!$W737=""),"",Sync!$W737)</f>
        <v/>
      </c>
      <c r="Q740">
        <f>IF(OR($G740="",Sync!$AE737=""),"",Sync!$AE737)</f>
        <v/>
      </c>
      <c r="R740">
        <f>IF($G740="","",IF(Sync!$V737="","0000",IF(AND(ISNUMBER(Sync!$V737),Sync!$V737&gt;=0,Sync!$V737&lt;1),RIGHT("00"&amp;HOUR(Sync!$V737),2)&amp;RIGHT("00"&amp;MINUTE(Sync!$V737),2),IFERROR(RIGHT("00"&amp;VALUE(LEFT(Sync!$V737,FIND(":",Sync!$V737)-1)),2)&amp;RIGHT("00"&amp;VALUE(MID(Sync!$V737,FIND(":",Sync!$V737)+1,2)),2),"0000"))))</f>
        <v/>
      </c>
    </row>
    <row r="741">
      <c r="A741">
        <f>IF(Sync!$U738="","",Sync!$U738)</f>
        <v/>
      </c>
      <c r="B741">
        <f>IF($A741="","",IF(ISNUMBER($A741),IF(AND($A741&gt;=10000101,$A741&lt;=99991231),INT($A741/10000),""),IFERROR(VALUE(TRIM(LEFT($A741,FIND("/",$A741)-1))),"")))</f>
        <v/>
      </c>
      <c r="C741">
        <f>IF(OR($A741="",$B741=""),"",IF(ISNUMBER($A741),INT(MOD($A741,10000)/100),IFERROR(VALUE(TRIM(LEFT(MID($A741,FIND("/",$A741)+1,20),FIND("/",MID($A741,FIND("/",$A741)+1,20))-1))),"")))</f>
        <v/>
      </c>
      <c r="D741">
        <f>IF(OR($A741="",$B741=""),"",IF(ISNUMBER($A741),MOD($A741,100),IFERROR(VALUE(TRIM(MID(MID($A741,FIND("/",$A741)+1,20),FIND("/",MID($A741,FIND("/",$A741)+1,20))+1,20))),"")))</f>
        <v/>
      </c>
      <c r="E741">
        <f>IF($A741="","",IF(OR($B741="",$C741="",$D741="",$B741&lt;1300,$B741&gt;1500,$C741&lt;1,$C741&gt;12,$D741&lt;1,$D741&gt;31),"نامعتبر",RIGHT("0000"&amp;$B741,4)&amp;"/"&amp;RIGHT("00"&amp;$C741,2)&amp;"/"&amp;RIGHT("00"&amp;$D741,2)))</f>
        <v/>
      </c>
      <c r="F741">
        <f>IF(OR($E741="",$E741="نامعتبر"),"",LEFT($E741,4)&amp;"/"&amp;MID($E741,6,2))</f>
        <v/>
      </c>
      <c r="G741">
        <f>IF(OR($E741="",$E741="نامعتبر",Sync!$Y738=""),"",Sync!$Y738)</f>
        <v/>
      </c>
      <c r="H741">
        <f>IF($G741="","",IF(Sync!$X738="","",Sync!$X738))</f>
        <v/>
      </c>
      <c r="I741">
        <f>IF($G741="","",IFERROR(VLOOKUP(Sync!$X738,OpTbl,3,0),""))</f>
        <v/>
      </c>
      <c r="J741">
        <f>IF(OR($G741="",Sync!$Z738=""),"",Sync!$Z738)</f>
        <v/>
      </c>
      <c r="K741">
        <f>IF(OR($G741="",Sync!$AA738=""),"",Sync!$AA738)</f>
        <v/>
      </c>
      <c r="L741">
        <f>IF($G741="",0,IF(Sync!$AB738="",0,Sync!$AB738))</f>
        <v/>
      </c>
      <c r="M741">
        <f>IF($G741="",0,IF(Sync!$AC738="",0,Sync!$AC738))</f>
        <v/>
      </c>
      <c r="N741">
        <f>IF($G741="","",IF($H741="مرجوعی خرید",-1,1)*($L741-$M741*IFERROR(VLOOKUP("P01",ParamTbl,3,0),1.5))*(1-IF($I741="خرید",IFERROR(VLOOKUP("P02",ParamTbl,3,0),1),0)/100))</f>
        <v/>
      </c>
      <c r="O741">
        <f>IF($G741="",0,IF($H741="مرجوعی خرید",-1,1)*IF(Sync!$AD738="",0,Sync!$AD738))</f>
        <v/>
      </c>
      <c r="P741">
        <f>IF(OR($G741="",Sync!$W738=""),"",Sync!$W738)</f>
        <v/>
      </c>
      <c r="Q741">
        <f>IF(OR($G741="",Sync!$AE738=""),"",Sync!$AE738)</f>
        <v/>
      </c>
      <c r="R741">
        <f>IF($G741="","",IF(Sync!$V738="","0000",IF(AND(ISNUMBER(Sync!$V738),Sync!$V738&gt;=0,Sync!$V738&lt;1),RIGHT("00"&amp;HOUR(Sync!$V738),2)&amp;RIGHT("00"&amp;MINUTE(Sync!$V738),2),IFERROR(RIGHT("00"&amp;VALUE(LEFT(Sync!$V738,FIND(":",Sync!$V738)-1)),2)&amp;RIGHT("00"&amp;VALUE(MID(Sync!$V738,FIND(":",Sync!$V738)+1,2)),2),"0000"))))</f>
        <v/>
      </c>
    </row>
    <row r="742">
      <c r="A742">
        <f>IF(Sync!$U739="","",Sync!$U739)</f>
        <v/>
      </c>
      <c r="B742">
        <f>IF($A742="","",IF(ISNUMBER($A742),IF(AND($A742&gt;=10000101,$A742&lt;=99991231),INT($A742/10000),""),IFERROR(VALUE(TRIM(LEFT($A742,FIND("/",$A742)-1))),"")))</f>
        <v/>
      </c>
      <c r="C742">
        <f>IF(OR($A742="",$B742=""),"",IF(ISNUMBER($A742),INT(MOD($A742,10000)/100),IFERROR(VALUE(TRIM(LEFT(MID($A742,FIND("/",$A742)+1,20),FIND("/",MID($A742,FIND("/",$A742)+1,20))-1))),"")))</f>
        <v/>
      </c>
      <c r="D742">
        <f>IF(OR($A742="",$B742=""),"",IF(ISNUMBER($A742),MOD($A742,100),IFERROR(VALUE(TRIM(MID(MID($A742,FIND("/",$A742)+1,20),FIND("/",MID($A742,FIND("/",$A742)+1,20))+1,20))),"")))</f>
        <v/>
      </c>
      <c r="E742">
        <f>IF($A742="","",IF(OR($B742="",$C742="",$D742="",$B742&lt;1300,$B742&gt;1500,$C742&lt;1,$C742&gt;12,$D742&lt;1,$D742&gt;31),"نامعتبر",RIGHT("0000"&amp;$B742,4)&amp;"/"&amp;RIGHT("00"&amp;$C742,2)&amp;"/"&amp;RIGHT("00"&amp;$D742,2)))</f>
        <v/>
      </c>
      <c r="F742">
        <f>IF(OR($E742="",$E742="نامعتبر"),"",LEFT($E742,4)&amp;"/"&amp;MID($E742,6,2))</f>
        <v/>
      </c>
      <c r="G742">
        <f>IF(OR($E742="",$E742="نامعتبر",Sync!$Y739=""),"",Sync!$Y739)</f>
        <v/>
      </c>
      <c r="H742">
        <f>IF($G742="","",IF(Sync!$X739="","",Sync!$X739))</f>
        <v/>
      </c>
      <c r="I742">
        <f>IF($G742="","",IFERROR(VLOOKUP(Sync!$X739,OpTbl,3,0),""))</f>
        <v/>
      </c>
      <c r="J742">
        <f>IF(OR($G742="",Sync!$Z739=""),"",Sync!$Z739)</f>
        <v/>
      </c>
      <c r="K742">
        <f>IF(OR($G742="",Sync!$AA739=""),"",Sync!$AA739)</f>
        <v/>
      </c>
      <c r="L742">
        <f>IF($G742="",0,IF(Sync!$AB739="",0,Sync!$AB739))</f>
        <v/>
      </c>
      <c r="M742">
        <f>IF($G742="",0,IF(Sync!$AC739="",0,Sync!$AC739))</f>
        <v/>
      </c>
      <c r="N742">
        <f>IF($G742="","",IF($H742="مرجوعی خرید",-1,1)*($L742-$M742*IFERROR(VLOOKUP("P01",ParamTbl,3,0),1.5))*(1-IF($I742="خرید",IFERROR(VLOOKUP("P02",ParamTbl,3,0),1),0)/100))</f>
        <v/>
      </c>
      <c r="O742">
        <f>IF($G742="",0,IF($H742="مرجوعی خرید",-1,1)*IF(Sync!$AD739="",0,Sync!$AD739))</f>
        <v/>
      </c>
      <c r="P742">
        <f>IF(OR($G742="",Sync!$W739=""),"",Sync!$W739)</f>
        <v/>
      </c>
      <c r="Q742">
        <f>IF(OR($G742="",Sync!$AE739=""),"",Sync!$AE739)</f>
        <v/>
      </c>
      <c r="R742">
        <f>IF($G742="","",IF(Sync!$V739="","0000",IF(AND(ISNUMBER(Sync!$V739),Sync!$V739&gt;=0,Sync!$V739&lt;1),RIGHT("00"&amp;HOUR(Sync!$V739),2)&amp;RIGHT("00"&amp;MINUTE(Sync!$V739),2),IFERROR(RIGHT("00"&amp;VALUE(LEFT(Sync!$V739,FIND(":",Sync!$V739)-1)),2)&amp;RIGHT("00"&amp;VALUE(MID(Sync!$V739,FIND(":",Sync!$V739)+1,2)),2),"0000"))))</f>
        <v/>
      </c>
    </row>
    <row r="743">
      <c r="A743">
        <f>IF(Sync!$U740="","",Sync!$U740)</f>
        <v/>
      </c>
      <c r="B743">
        <f>IF($A743="","",IF(ISNUMBER($A743),IF(AND($A743&gt;=10000101,$A743&lt;=99991231),INT($A743/10000),""),IFERROR(VALUE(TRIM(LEFT($A743,FIND("/",$A743)-1))),"")))</f>
        <v/>
      </c>
      <c r="C743">
        <f>IF(OR($A743="",$B743=""),"",IF(ISNUMBER($A743),INT(MOD($A743,10000)/100),IFERROR(VALUE(TRIM(LEFT(MID($A743,FIND("/",$A743)+1,20),FIND("/",MID($A743,FIND("/",$A743)+1,20))-1))),"")))</f>
        <v/>
      </c>
      <c r="D743">
        <f>IF(OR($A743="",$B743=""),"",IF(ISNUMBER($A743),MOD($A743,100),IFERROR(VALUE(TRIM(MID(MID($A743,FIND("/",$A743)+1,20),FIND("/",MID($A743,FIND("/",$A743)+1,20))+1,20))),"")))</f>
        <v/>
      </c>
      <c r="E743">
        <f>IF($A743="","",IF(OR($B743="",$C743="",$D743="",$B743&lt;1300,$B743&gt;1500,$C743&lt;1,$C743&gt;12,$D743&lt;1,$D743&gt;31),"نامعتبر",RIGHT("0000"&amp;$B743,4)&amp;"/"&amp;RIGHT("00"&amp;$C743,2)&amp;"/"&amp;RIGHT("00"&amp;$D743,2)))</f>
        <v/>
      </c>
      <c r="F743">
        <f>IF(OR($E743="",$E743="نامعتبر"),"",LEFT($E743,4)&amp;"/"&amp;MID($E743,6,2))</f>
        <v/>
      </c>
      <c r="G743">
        <f>IF(OR($E743="",$E743="نامعتبر",Sync!$Y740=""),"",Sync!$Y740)</f>
        <v/>
      </c>
      <c r="H743">
        <f>IF($G743="","",IF(Sync!$X740="","",Sync!$X740))</f>
        <v/>
      </c>
      <c r="I743">
        <f>IF($G743="","",IFERROR(VLOOKUP(Sync!$X740,OpTbl,3,0),""))</f>
        <v/>
      </c>
      <c r="J743">
        <f>IF(OR($G743="",Sync!$Z740=""),"",Sync!$Z740)</f>
        <v/>
      </c>
      <c r="K743">
        <f>IF(OR($G743="",Sync!$AA740=""),"",Sync!$AA740)</f>
        <v/>
      </c>
      <c r="L743">
        <f>IF($G743="",0,IF(Sync!$AB740="",0,Sync!$AB740))</f>
        <v/>
      </c>
      <c r="M743">
        <f>IF($G743="",0,IF(Sync!$AC740="",0,Sync!$AC740))</f>
        <v/>
      </c>
      <c r="N743">
        <f>IF($G743="","",IF($H743="مرجوعی خرید",-1,1)*($L743-$M743*IFERROR(VLOOKUP("P01",ParamTbl,3,0),1.5))*(1-IF($I743="خرید",IFERROR(VLOOKUP("P02",ParamTbl,3,0),1),0)/100))</f>
        <v/>
      </c>
      <c r="O743">
        <f>IF($G743="",0,IF($H743="مرجوعی خرید",-1,1)*IF(Sync!$AD740="",0,Sync!$AD740))</f>
        <v/>
      </c>
      <c r="P743">
        <f>IF(OR($G743="",Sync!$W740=""),"",Sync!$W740)</f>
        <v/>
      </c>
      <c r="Q743">
        <f>IF(OR($G743="",Sync!$AE740=""),"",Sync!$AE740)</f>
        <v/>
      </c>
      <c r="R743">
        <f>IF($G743="","",IF(Sync!$V740="","0000",IF(AND(ISNUMBER(Sync!$V740),Sync!$V740&gt;=0,Sync!$V740&lt;1),RIGHT("00"&amp;HOUR(Sync!$V740),2)&amp;RIGHT("00"&amp;MINUTE(Sync!$V740),2),IFERROR(RIGHT("00"&amp;VALUE(LEFT(Sync!$V740,FIND(":",Sync!$V740)-1)),2)&amp;RIGHT("00"&amp;VALUE(MID(Sync!$V740,FIND(":",Sync!$V740)+1,2)),2),"0000"))))</f>
        <v/>
      </c>
    </row>
    <row r="744">
      <c r="A744">
        <f>IF(Sync!$U741="","",Sync!$U741)</f>
        <v/>
      </c>
      <c r="B744">
        <f>IF($A744="","",IF(ISNUMBER($A744),IF(AND($A744&gt;=10000101,$A744&lt;=99991231),INT($A744/10000),""),IFERROR(VALUE(TRIM(LEFT($A744,FIND("/",$A744)-1))),"")))</f>
        <v/>
      </c>
      <c r="C744">
        <f>IF(OR($A744="",$B744=""),"",IF(ISNUMBER($A744),INT(MOD($A744,10000)/100),IFERROR(VALUE(TRIM(LEFT(MID($A744,FIND("/",$A744)+1,20),FIND("/",MID($A744,FIND("/",$A744)+1,20))-1))),"")))</f>
        <v/>
      </c>
      <c r="D744">
        <f>IF(OR($A744="",$B744=""),"",IF(ISNUMBER($A744),MOD($A744,100),IFERROR(VALUE(TRIM(MID(MID($A744,FIND("/",$A744)+1,20),FIND("/",MID($A744,FIND("/",$A744)+1,20))+1,20))),"")))</f>
        <v/>
      </c>
      <c r="E744">
        <f>IF($A744="","",IF(OR($B744="",$C744="",$D744="",$B744&lt;1300,$B744&gt;1500,$C744&lt;1,$C744&gt;12,$D744&lt;1,$D744&gt;31),"نامعتبر",RIGHT("0000"&amp;$B744,4)&amp;"/"&amp;RIGHT("00"&amp;$C744,2)&amp;"/"&amp;RIGHT("00"&amp;$D744,2)))</f>
        <v/>
      </c>
      <c r="F744">
        <f>IF(OR($E744="",$E744="نامعتبر"),"",LEFT($E744,4)&amp;"/"&amp;MID($E744,6,2))</f>
        <v/>
      </c>
      <c r="G744">
        <f>IF(OR($E744="",$E744="نامعتبر",Sync!$Y741=""),"",Sync!$Y741)</f>
        <v/>
      </c>
      <c r="H744">
        <f>IF($G744="","",IF(Sync!$X741="","",Sync!$X741))</f>
        <v/>
      </c>
      <c r="I744">
        <f>IF($G744="","",IFERROR(VLOOKUP(Sync!$X741,OpTbl,3,0),""))</f>
        <v/>
      </c>
      <c r="J744">
        <f>IF(OR($G744="",Sync!$Z741=""),"",Sync!$Z741)</f>
        <v/>
      </c>
      <c r="K744">
        <f>IF(OR($G744="",Sync!$AA741=""),"",Sync!$AA741)</f>
        <v/>
      </c>
      <c r="L744">
        <f>IF($G744="",0,IF(Sync!$AB741="",0,Sync!$AB741))</f>
        <v/>
      </c>
      <c r="M744">
        <f>IF($G744="",0,IF(Sync!$AC741="",0,Sync!$AC741))</f>
        <v/>
      </c>
      <c r="N744">
        <f>IF($G744="","",IF($H744="مرجوعی خرید",-1,1)*($L744-$M744*IFERROR(VLOOKUP("P01",ParamTbl,3,0),1.5))*(1-IF($I744="خرید",IFERROR(VLOOKUP("P02",ParamTbl,3,0),1),0)/100))</f>
        <v/>
      </c>
      <c r="O744">
        <f>IF($G744="",0,IF($H744="مرجوعی خرید",-1,1)*IF(Sync!$AD741="",0,Sync!$AD741))</f>
        <v/>
      </c>
      <c r="P744">
        <f>IF(OR($G744="",Sync!$W741=""),"",Sync!$W741)</f>
        <v/>
      </c>
      <c r="Q744">
        <f>IF(OR($G744="",Sync!$AE741=""),"",Sync!$AE741)</f>
        <v/>
      </c>
      <c r="R744">
        <f>IF($G744="","",IF(Sync!$V741="","0000",IF(AND(ISNUMBER(Sync!$V741),Sync!$V741&gt;=0,Sync!$V741&lt;1),RIGHT("00"&amp;HOUR(Sync!$V741),2)&amp;RIGHT("00"&amp;MINUTE(Sync!$V741),2),IFERROR(RIGHT("00"&amp;VALUE(LEFT(Sync!$V741,FIND(":",Sync!$V741)-1)),2)&amp;RIGHT("00"&amp;VALUE(MID(Sync!$V741,FIND(":",Sync!$V741)+1,2)),2),"0000"))))</f>
        <v/>
      </c>
    </row>
    <row r="745">
      <c r="A745">
        <f>IF(Sync!$U742="","",Sync!$U742)</f>
        <v/>
      </c>
      <c r="B745">
        <f>IF($A745="","",IF(ISNUMBER($A745),IF(AND($A745&gt;=10000101,$A745&lt;=99991231),INT($A745/10000),""),IFERROR(VALUE(TRIM(LEFT($A745,FIND("/",$A745)-1))),"")))</f>
        <v/>
      </c>
      <c r="C745">
        <f>IF(OR($A745="",$B745=""),"",IF(ISNUMBER($A745),INT(MOD($A745,10000)/100),IFERROR(VALUE(TRIM(LEFT(MID($A745,FIND("/",$A745)+1,20),FIND("/",MID($A745,FIND("/",$A745)+1,20))-1))),"")))</f>
        <v/>
      </c>
      <c r="D745">
        <f>IF(OR($A745="",$B745=""),"",IF(ISNUMBER($A745),MOD($A745,100),IFERROR(VALUE(TRIM(MID(MID($A745,FIND("/",$A745)+1,20),FIND("/",MID($A745,FIND("/",$A745)+1,20))+1,20))),"")))</f>
        <v/>
      </c>
      <c r="E745">
        <f>IF($A745="","",IF(OR($B745="",$C745="",$D745="",$B745&lt;1300,$B745&gt;1500,$C745&lt;1,$C745&gt;12,$D745&lt;1,$D745&gt;31),"نامعتبر",RIGHT("0000"&amp;$B745,4)&amp;"/"&amp;RIGHT("00"&amp;$C745,2)&amp;"/"&amp;RIGHT("00"&amp;$D745,2)))</f>
        <v/>
      </c>
      <c r="F745">
        <f>IF(OR($E745="",$E745="نامعتبر"),"",LEFT($E745,4)&amp;"/"&amp;MID($E745,6,2))</f>
        <v/>
      </c>
      <c r="G745">
        <f>IF(OR($E745="",$E745="نامعتبر",Sync!$Y742=""),"",Sync!$Y742)</f>
        <v/>
      </c>
      <c r="H745">
        <f>IF($G745="","",IF(Sync!$X742="","",Sync!$X742))</f>
        <v/>
      </c>
      <c r="I745">
        <f>IF($G745="","",IFERROR(VLOOKUP(Sync!$X742,OpTbl,3,0),""))</f>
        <v/>
      </c>
      <c r="J745">
        <f>IF(OR($G745="",Sync!$Z742=""),"",Sync!$Z742)</f>
        <v/>
      </c>
      <c r="K745">
        <f>IF(OR($G745="",Sync!$AA742=""),"",Sync!$AA742)</f>
        <v/>
      </c>
      <c r="L745">
        <f>IF($G745="",0,IF(Sync!$AB742="",0,Sync!$AB742))</f>
        <v/>
      </c>
      <c r="M745">
        <f>IF($G745="",0,IF(Sync!$AC742="",0,Sync!$AC742))</f>
        <v/>
      </c>
      <c r="N745">
        <f>IF($G745="","",IF($H745="مرجوعی خرید",-1,1)*($L745-$M745*IFERROR(VLOOKUP("P01",ParamTbl,3,0),1.5))*(1-IF($I745="خرید",IFERROR(VLOOKUP("P02",ParamTbl,3,0),1),0)/100))</f>
        <v/>
      </c>
      <c r="O745">
        <f>IF($G745="",0,IF($H745="مرجوعی خرید",-1,1)*IF(Sync!$AD742="",0,Sync!$AD742))</f>
        <v/>
      </c>
      <c r="P745">
        <f>IF(OR($G745="",Sync!$W742=""),"",Sync!$W742)</f>
        <v/>
      </c>
      <c r="Q745">
        <f>IF(OR($G745="",Sync!$AE742=""),"",Sync!$AE742)</f>
        <v/>
      </c>
      <c r="R745">
        <f>IF($G745="","",IF(Sync!$V742="","0000",IF(AND(ISNUMBER(Sync!$V742),Sync!$V742&gt;=0,Sync!$V742&lt;1),RIGHT("00"&amp;HOUR(Sync!$V742),2)&amp;RIGHT("00"&amp;MINUTE(Sync!$V742),2),IFERROR(RIGHT("00"&amp;VALUE(LEFT(Sync!$V742,FIND(":",Sync!$V742)-1)),2)&amp;RIGHT("00"&amp;VALUE(MID(Sync!$V742,FIND(":",Sync!$V742)+1,2)),2),"0000"))))</f>
        <v/>
      </c>
    </row>
    <row r="746">
      <c r="A746">
        <f>IF(Sync!$U743="","",Sync!$U743)</f>
        <v/>
      </c>
      <c r="B746">
        <f>IF($A746="","",IF(ISNUMBER($A746),IF(AND($A746&gt;=10000101,$A746&lt;=99991231),INT($A746/10000),""),IFERROR(VALUE(TRIM(LEFT($A746,FIND("/",$A746)-1))),"")))</f>
        <v/>
      </c>
      <c r="C746">
        <f>IF(OR($A746="",$B746=""),"",IF(ISNUMBER($A746),INT(MOD($A746,10000)/100),IFERROR(VALUE(TRIM(LEFT(MID($A746,FIND("/",$A746)+1,20),FIND("/",MID($A746,FIND("/",$A746)+1,20))-1))),"")))</f>
        <v/>
      </c>
      <c r="D746">
        <f>IF(OR($A746="",$B746=""),"",IF(ISNUMBER($A746),MOD($A746,100),IFERROR(VALUE(TRIM(MID(MID($A746,FIND("/",$A746)+1,20),FIND("/",MID($A746,FIND("/",$A746)+1,20))+1,20))),"")))</f>
        <v/>
      </c>
      <c r="E746">
        <f>IF($A746="","",IF(OR($B746="",$C746="",$D746="",$B746&lt;1300,$B746&gt;1500,$C746&lt;1,$C746&gt;12,$D746&lt;1,$D746&gt;31),"نامعتبر",RIGHT("0000"&amp;$B746,4)&amp;"/"&amp;RIGHT("00"&amp;$C746,2)&amp;"/"&amp;RIGHT("00"&amp;$D746,2)))</f>
        <v/>
      </c>
      <c r="F746">
        <f>IF(OR($E746="",$E746="نامعتبر"),"",LEFT($E746,4)&amp;"/"&amp;MID($E746,6,2))</f>
        <v/>
      </c>
      <c r="G746">
        <f>IF(OR($E746="",$E746="نامعتبر",Sync!$Y743=""),"",Sync!$Y743)</f>
        <v/>
      </c>
      <c r="H746">
        <f>IF($G746="","",IF(Sync!$X743="","",Sync!$X743))</f>
        <v/>
      </c>
      <c r="I746">
        <f>IF($G746="","",IFERROR(VLOOKUP(Sync!$X743,OpTbl,3,0),""))</f>
        <v/>
      </c>
      <c r="J746">
        <f>IF(OR($G746="",Sync!$Z743=""),"",Sync!$Z743)</f>
        <v/>
      </c>
      <c r="K746">
        <f>IF(OR($G746="",Sync!$AA743=""),"",Sync!$AA743)</f>
        <v/>
      </c>
      <c r="L746">
        <f>IF($G746="",0,IF(Sync!$AB743="",0,Sync!$AB743))</f>
        <v/>
      </c>
      <c r="M746">
        <f>IF($G746="",0,IF(Sync!$AC743="",0,Sync!$AC743))</f>
        <v/>
      </c>
      <c r="N746">
        <f>IF($G746="","",IF($H746="مرجوعی خرید",-1,1)*($L746-$M746*IFERROR(VLOOKUP("P01",ParamTbl,3,0),1.5))*(1-IF($I746="خرید",IFERROR(VLOOKUP("P02",ParamTbl,3,0),1),0)/100))</f>
        <v/>
      </c>
      <c r="O746">
        <f>IF($G746="",0,IF($H746="مرجوعی خرید",-1,1)*IF(Sync!$AD743="",0,Sync!$AD743))</f>
        <v/>
      </c>
      <c r="P746">
        <f>IF(OR($G746="",Sync!$W743=""),"",Sync!$W743)</f>
        <v/>
      </c>
      <c r="Q746">
        <f>IF(OR($G746="",Sync!$AE743=""),"",Sync!$AE743)</f>
        <v/>
      </c>
      <c r="R746">
        <f>IF($G746="","",IF(Sync!$V743="","0000",IF(AND(ISNUMBER(Sync!$V743),Sync!$V743&gt;=0,Sync!$V743&lt;1),RIGHT("00"&amp;HOUR(Sync!$V743),2)&amp;RIGHT("00"&amp;MINUTE(Sync!$V743),2),IFERROR(RIGHT("00"&amp;VALUE(LEFT(Sync!$V743,FIND(":",Sync!$V743)-1)),2)&amp;RIGHT("00"&amp;VALUE(MID(Sync!$V743,FIND(":",Sync!$V743)+1,2)),2),"0000"))))</f>
        <v/>
      </c>
    </row>
    <row r="747">
      <c r="A747">
        <f>IF(Sync!$U744="","",Sync!$U744)</f>
        <v/>
      </c>
      <c r="B747">
        <f>IF($A747="","",IF(ISNUMBER($A747),IF(AND($A747&gt;=10000101,$A747&lt;=99991231),INT($A747/10000),""),IFERROR(VALUE(TRIM(LEFT($A747,FIND("/",$A747)-1))),"")))</f>
        <v/>
      </c>
      <c r="C747">
        <f>IF(OR($A747="",$B747=""),"",IF(ISNUMBER($A747),INT(MOD($A747,10000)/100),IFERROR(VALUE(TRIM(LEFT(MID($A747,FIND("/",$A747)+1,20),FIND("/",MID($A747,FIND("/",$A747)+1,20))-1))),"")))</f>
        <v/>
      </c>
      <c r="D747">
        <f>IF(OR($A747="",$B747=""),"",IF(ISNUMBER($A747),MOD($A747,100),IFERROR(VALUE(TRIM(MID(MID($A747,FIND("/",$A747)+1,20),FIND("/",MID($A747,FIND("/",$A747)+1,20))+1,20))),"")))</f>
        <v/>
      </c>
      <c r="E747">
        <f>IF($A747="","",IF(OR($B747="",$C747="",$D747="",$B747&lt;1300,$B747&gt;1500,$C747&lt;1,$C747&gt;12,$D747&lt;1,$D747&gt;31),"نامعتبر",RIGHT("0000"&amp;$B747,4)&amp;"/"&amp;RIGHT("00"&amp;$C747,2)&amp;"/"&amp;RIGHT("00"&amp;$D747,2)))</f>
        <v/>
      </c>
      <c r="F747">
        <f>IF(OR($E747="",$E747="نامعتبر"),"",LEFT($E747,4)&amp;"/"&amp;MID($E747,6,2))</f>
        <v/>
      </c>
      <c r="G747">
        <f>IF(OR($E747="",$E747="نامعتبر",Sync!$Y744=""),"",Sync!$Y744)</f>
        <v/>
      </c>
      <c r="H747">
        <f>IF($G747="","",IF(Sync!$X744="","",Sync!$X744))</f>
        <v/>
      </c>
      <c r="I747">
        <f>IF($G747="","",IFERROR(VLOOKUP(Sync!$X744,OpTbl,3,0),""))</f>
        <v/>
      </c>
      <c r="J747">
        <f>IF(OR($G747="",Sync!$Z744=""),"",Sync!$Z744)</f>
        <v/>
      </c>
      <c r="K747">
        <f>IF(OR($G747="",Sync!$AA744=""),"",Sync!$AA744)</f>
        <v/>
      </c>
      <c r="L747">
        <f>IF($G747="",0,IF(Sync!$AB744="",0,Sync!$AB744))</f>
        <v/>
      </c>
      <c r="M747">
        <f>IF($G747="",0,IF(Sync!$AC744="",0,Sync!$AC744))</f>
        <v/>
      </c>
      <c r="N747">
        <f>IF($G747="","",IF($H747="مرجوعی خرید",-1,1)*($L747-$M747*IFERROR(VLOOKUP("P01",ParamTbl,3,0),1.5))*(1-IF($I747="خرید",IFERROR(VLOOKUP("P02",ParamTbl,3,0),1),0)/100))</f>
        <v/>
      </c>
      <c r="O747">
        <f>IF($G747="",0,IF($H747="مرجوعی خرید",-1,1)*IF(Sync!$AD744="",0,Sync!$AD744))</f>
        <v/>
      </c>
      <c r="P747">
        <f>IF(OR($G747="",Sync!$W744=""),"",Sync!$W744)</f>
        <v/>
      </c>
      <c r="Q747">
        <f>IF(OR($G747="",Sync!$AE744=""),"",Sync!$AE744)</f>
        <v/>
      </c>
      <c r="R747">
        <f>IF($G747="","",IF(Sync!$V744="","0000",IF(AND(ISNUMBER(Sync!$V744),Sync!$V744&gt;=0,Sync!$V744&lt;1),RIGHT("00"&amp;HOUR(Sync!$V744),2)&amp;RIGHT("00"&amp;MINUTE(Sync!$V744),2),IFERROR(RIGHT("00"&amp;VALUE(LEFT(Sync!$V744,FIND(":",Sync!$V744)-1)),2)&amp;RIGHT("00"&amp;VALUE(MID(Sync!$V744,FIND(":",Sync!$V744)+1,2)),2),"0000"))))</f>
        <v/>
      </c>
    </row>
    <row r="748">
      <c r="A748">
        <f>IF(Sync!$U745="","",Sync!$U745)</f>
        <v/>
      </c>
      <c r="B748">
        <f>IF($A748="","",IF(ISNUMBER($A748),IF(AND($A748&gt;=10000101,$A748&lt;=99991231),INT($A748/10000),""),IFERROR(VALUE(TRIM(LEFT($A748,FIND("/",$A748)-1))),"")))</f>
        <v/>
      </c>
      <c r="C748">
        <f>IF(OR($A748="",$B748=""),"",IF(ISNUMBER($A748),INT(MOD($A748,10000)/100),IFERROR(VALUE(TRIM(LEFT(MID($A748,FIND("/",$A748)+1,20),FIND("/",MID($A748,FIND("/",$A748)+1,20))-1))),"")))</f>
        <v/>
      </c>
      <c r="D748">
        <f>IF(OR($A748="",$B748=""),"",IF(ISNUMBER($A748),MOD($A748,100),IFERROR(VALUE(TRIM(MID(MID($A748,FIND("/",$A748)+1,20),FIND("/",MID($A748,FIND("/",$A748)+1,20))+1,20))),"")))</f>
        <v/>
      </c>
      <c r="E748">
        <f>IF($A748="","",IF(OR($B748="",$C748="",$D748="",$B748&lt;1300,$B748&gt;1500,$C748&lt;1,$C748&gt;12,$D748&lt;1,$D748&gt;31),"نامعتبر",RIGHT("0000"&amp;$B748,4)&amp;"/"&amp;RIGHT("00"&amp;$C748,2)&amp;"/"&amp;RIGHT("00"&amp;$D748,2)))</f>
        <v/>
      </c>
      <c r="F748">
        <f>IF(OR($E748="",$E748="نامعتبر"),"",LEFT($E748,4)&amp;"/"&amp;MID($E748,6,2))</f>
        <v/>
      </c>
      <c r="G748">
        <f>IF(OR($E748="",$E748="نامعتبر",Sync!$Y745=""),"",Sync!$Y745)</f>
        <v/>
      </c>
      <c r="H748">
        <f>IF($G748="","",IF(Sync!$X745="","",Sync!$X745))</f>
        <v/>
      </c>
      <c r="I748">
        <f>IF($G748="","",IFERROR(VLOOKUP(Sync!$X745,OpTbl,3,0),""))</f>
        <v/>
      </c>
      <c r="J748">
        <f>IF(OR($G748="",Sync!$Z745=""),"",Sync!$Z745)</f>
        <v/>
      </c>
      <c r="K748">
        <f>IF(OR($G748="",Sync!$AA745=""),"",Sync!$AA745)</f>
        <v/>
      </c>
      <c r="L748">
        <f>IF($G748="",0,IF(Sync!$AB745="",0,Sync!$AB745))</f>
        <v/>
      </c>
      <c r="M748">
        <f>IF($G748="",0,IF(Sync!$AC745="",0,Sync!$AC745))</f>
        <v/>
      </c>
      <c r="N748">
        <f>IF($G748="","",IF($H748="مرجوعی خرید",-1,1)*($L748-$M748*IFERROR(VLOOKUP("P01",ParamTbl,3,0),1.5))*(1-IF($I748="خرید",IFERROR(VLOOKUP("P02",ParamTbl,3,0),1),0)/100))</f>
        <v/>
      </c>
      <c r="O748">
        <f>IF($G748="",0,IF($H748="مرجوعی خرید",-1,1)*IF(Sync!$AD745="",0,Sync!$AD745))</f>
        <v/>
      </c>
      <c r="P748">
        <f>IF(OR($G748="",Sync!$W745=""),"",Sync!$W745)</f>
        <v/>
      </c>
      <c r="Q748">
        <f>IF(OR($G748="",Sync!$AE745=""),"",Sync!$AE745)</f>
        <v/>
      </c>
      <c r="R748">
        <f>IF($G748="","",IF(Sync!$V745="","0000",IF(AND(ISNUMBER(Sync!$V745),Sync!$V745&gt;=0,Sync!$V745&lt;1),RIGHT("00"&amp;HOUR(Sync!$V745),2)&amp;RIGHT("00"&amp;MINUTE(Sync!$V745),2),IFERROR(RIGHT("00"&amp;VALUE(LEFT(Sync!$V745,FIND(":",Sync!$V745)-1)),2)&amp;RIGHT("00"&amp;VALUE(MID(Sync!$V745,FIND(":",Sync!$V745)+1,2)),2),"0000"))))</f>
        <v/>
      </c>
    </row>
    <row r="749">
      <c r="A749">
        <f>IF(Sync!$U746="","",Sync!$U746)</f>
        <v/>
      </c>
      <c r="B749">
        <f>IF($A749="","",IF(ISNUMBER($A749),IF(AND($A749&gt;=10000101,$A749&lt;=99991231),INT($A749/10000),""),IFERROR(VALUE(TRIM(LEFT($A749,FIND("/",$A749)-1))),"")))</f>
        <v/>
      </c>
      <c r="C749">
        <f>IF(OR($A749="",$B749=""),"",IF(ISNUMBER($A749),INT(MOD($A749,10000)/100),IFERROR(VALUE(TRIM(LEFT(MID($A749,FIND("/",$A749)+1,20),FIND("/",MID($A749,FIND("/",$A749)+1,20))-1))),"")))</f>
        <v/>
      </c>
      <c r="D749">
        <f>IF(OR($A749="",$B749=""),"",IF(ISNUMBER($A749),MOD($A749,100),IFERROR(VALUE(TRIM(MID(MID($A749,FIND("/",$A749)+1,20),FIND("/",MID($A749,FIND("/",$A749)+1,20))+1,20))),"")))</f>
        <v/>
      </c>
      <c r="E749">
        <f>IF($A749="","",IF(OR($B749="",$C749="",$D749="",$B749&lt;1300,$B749&gt;1500,$C749&lt;1,$C749&gt;12,$D749&lt;1,$D749&gt;31),"نامعتبر",RIGHT("0000"&amp;$B749,4)&amp;"/"&amp;RIGHT("00"&amp;$C749,2)&amp;"/"&amp;RIGHT("00"&amp;$D749,2)))</f>
        <v/>
      </c>
      <c r="F749">
        <f>IF(OR($E749="",$E749="نامعتبر"),"",LEFT($E749,4)&amp;"/"&amp;MID($E749,6,2))</f>
        <v/>
      </c>
      <c r="G749">
        <f>IF(OR($E749="",$E749="نامعتبر",Sync!$Y746=""),"",Sync!$Y746)</f>
        <v/>
      </c>
      <c r="H749">
        <f>IF($G749="","",IF(Sync!$X746="","",Sync!$X746))</f>
        <v/>
      </c>
      <c r="I749">
        <f>IF($G749="","",IFERROR(VLOOKUP(Sync!$X746,OpTbl,3,0),""))</f>
        <v/>
      </c>
      <c r="J749">
        <f>IF(OR($G749="",Sync!$Z746=""),"",Sync!$Z746)</f>
        <v/>
      </c>
      <c r="K749">
        <f>IF(OR($G749="",Sync!$AA746=""),"",Sync!$AA746)</f>
        <v/>
      </c>
      <c r="L749">
        <f>IF($G749="",0,IF(Sync!$AB746="",0,Sync!$AB746))</f>
        <v/>
      </c>
      <c r="M749">
        <f>IF($G749="",0,IF(Sync!$AC746="",0,Sync!$AC746))</f>
        <v/>
      </c>
      <c r="N749">
        <f>IF($G749="","",IF($H749="مرجوعی خرید",-1,1)*($L749-$M749*IFERROR(VLOOKUP("P01",ParamTbl,3,0),1.5))*(1-IF($I749="خرید",IFERROR(VLOOKUP("P02",ParamTbl,3,0),1),0)/100))</f>
        <v/>
      </c>
      <c r="O749">
        <f>IF($G749="",0,IF($H749="مرجوعی خرید",-1,1)*IF(Sync!$AD746="",0,Sync!$AD746))</f>
        <v/>
      </c>
      <c r="P749">
        <f>IF(OR($G749="",Sync!$W746=""),"",Sync!$W746)</f>
        <v/>
      </c>
      <c r="Q749">
        <f>IF(OR($G749="",Sync!$AE746=""),"",Sync!$AE746)</f>
        <v/>
      </c>
      <c r="R749">
        <f>IF($G749="","",IF(Sync!$V746="","0000",IF(AND(ISNUMBER(Sync!$V746),Sync!$V746&gt;=0,Sync!$V746&lt;1),RIGHT("00"&amp;HOUR(Sync!$V746),2)&amp;RIGHT("00"&amp;MINUTE(Sync!$V746),2),IFERROR(RIGHT("00"&amp;VALUE(LEFT(Sync!$V746,FIND(":",Sync!$V746)-1)),2)&amp;RIGHT("00"&amp;VALUE(MID(Sync!$V746,FIND(":",Sync!$V746)+1,2)),2),"0000"))))</f>
        <v/>
      </c>
    </row>
    <row r="750">
      <c r="A750">
        <f>IF(Sync!$U747="","",Sync!$U747)</f>
        <v/>
      </c>
      <c r="B750">
        <f>IF($A750="","",IF(ISNUMBER($A750),IF(AND($A750&gt;=10000101,$A750&lt;=99991231),INT($A750/10000),""),IFERROR(VALUE(TRIM(LEFT($A750,FIND("/",$A750)-1))),"")))</f>
        <v/>
      </c>
      <c r="C750">
        <f>IF(OR($A750="",$B750=""),"",IF(ISNUMBER($A750),INT(MOD($A750,10000)/100),IFERROR(VALUE(TRIM(LEFT(MID($A750,FIND("/",$A750)+1,20),FIND("/",MID($A750,FIND("/",$A750)+1,20))-1))),"")))</f>
        <v/>
      </c>
      <c r="D750">
        <f>IF(OR($A750="",$B750=""),"",IF(ISNUMBER($A750),MOD($A750,100),IFERROR(VALUE(TRIM(MID(MID($A750,FIND("/",$A750)+1,20),FIND("/",MID($A750,FIND("/",$A750)+1,20))+1,20))),"")))</f>
        <v/>
      </c>
      <c r="E750">
        <f>IF($A750="","",IF(OR($B750="",$C750="",$D750="",$B750&lt;1300,$B750&gt;1500,$C750&lt;1,$C750&gt;12,$D750&lt;1,$D750&gt;31),"نامعتبر",RIGHT("0000"&amp;$B750,4)&amp;"/"&amp;RIGHT("00"&amp;$C750,2)&amp;"/"&amp;RIGHT("00"&amp;$D750,2)))</f>
        <v/>
      </c>
      <c r="F750">
        <f>IF(OR($E750="",$E750="نامعتبر"),"",LEFT($E750,4)&amp;"/"&amp;MID($E750,6,2))</f>
        <v/>
      </c>
      <c r="G750">
        <f>IF(OR($E750="",$E750="نامعتبر",Sync!$Y747=""),"",Sync!$Y747)</f>
        <v/>
      </c>
      <c r="H750">
        <f>IF($G750="","",IF(Sync!$X747="","",Sync!$X747))</f>
        <v/>
      </c>
      <c r="I750">
        <f>IF($G750="","",IFERROR(VLOOKUP(Sync!$X747,OpTbl,3,0),""))</f>
        <v/>
      </c>
      <c r="J750">
        <f>IF(OR($G750="",Sync!$Z747=""),"",Sync!$Z747)</f>
        <v/>
      </c>
      <c r="K750">
        <f>IF(OR($G750="",Sync!$AA747=""),"",Sync!$AA747)</f>
        <v/>
      </c>
      <c r="L750">
        <f>IF($G750="",0,IF(Sync!$AB747="",0,Sync!$AB747))</f>
        <v/>
      </c>
      <c r="M750">
        <f>IF($G750="",0,IF(Sync!$AC747="",0,Sync!$AC747))</f>
        <v/>
      </c>
      <c r="N750">
        <f>IF($G750="","",IF($H750="مرجوعی خرید",-1,1)*($L750-$M750*IFERROR(VLOOKUP("P01",ParamTbl,3,0),1.5))*(1-IF($I750="خرید",IFERROR(VLOOKUP("P02",ParamTbl,3,0),1),0)/100))</f>
        <v/>
      </c>
      <c r="O750">
        <f>IF($G750="",0,IF($H750="مرجوعی خرید",-1,1)*IF(Sync!$AD747="",0,Sync!$AD747))</f>
        <v/>
      </c>
      <c r="P750">
        <f>IF(OR($G750="",Sync!$W747=""),"",Sync!$W747)</f>
        <v/>
      </c>
      <c r="Q750">
        <f>IF(OR($G750="",Sync!$AE747=""),"",Sync!$AE747)</f>
        <v/>
      </c>
      <c r="R750">
        <f>IF($G750="","",IF(Sync!$V747="","0000",IF(AND(ISNUMBER(Sync!$V747),Sync!$V747&gt;=0,Sync!$V747&lt;1),RIGHT("00"&amp;HOUR(Sync!$V747),2)&amp;RIGHT("00"&amp;MINUTE(Sync!$V747),2),IFERROR(RIGHT("00"&amp;VALUE(LEFT(Sync!$V747,FIND(":",Sync!$V747)-1)),2)&amp;RIGHT("00"&amp;VALUE(MID(Sync!$V747,FIND(":",Sync!$V747)+1,2)),2),"0000"))))</f>
        <v/>
      </c>
    </row>
    <row r="751">
      <c r="A751">
        <f>IF(Sync!$U748="","",Sync!$U748)</f>
        <v/>
      </c>
      <c r="B751">
        <f>IF($A751="","",IF(ISNUMBER($A751),IF(AND($A751&gt;=10000101,$A751&lt;=99991231),INT($A751/10000),""),IFERROR(VALUE(TRIM(LEFT($A751,FIND("/",$A751)-1))),"")))</f>
        <v/>
      </c>
      <c r="C751">
        <f>IF(OR($A751="",$B751=""),"",IF(ISNUMBER($A751),INT(MOD($A751,10000)/100),IFERROR(VALUE(TRIM(LEFT(MID($A751,FIND("/",$A751)+1,20),FIND("/",MID($A751,FIND("/",$A751)+1,20))-1))),"")))</f>
        <v/>
      </c>
      <c r="D751">
        <f>IF(OR($A751="",$B751=""),"",IF(ISNUMBER($A751),MOD($A751,100),IFERROR(VALUE(TRIM(MID(MID($A751,FIND("/",$A751)+1,20),FIND("/",MID($A751,FIND("/",$A751)+1,20))+1,20))),"")))</f>
        <v/>
      </c>
      <c r="E751">
        <f>IF($A751="","",IF(OR($B751="",$C751="",$D751="",$B751&lt;1300,$B751&gt;1500,$C751&lt;1,$C751&gt;12,$D751&lt;1,$D751&gt;31),"نامعتبر",RIGHT("0000"&amp;$B751,4)&amp;"/"&amp;RIGHT("00"&amp;$C751,2)&amp;"/"&amp;RIGHT("00"&amp;$D751,2)))</f>
        <v/>
      </c>
      <c r="F751">
        <f>IF(OR($E751="",$E751="نامعتبر"),"",LEFT($E751,4)&amp;"/"&amp;MID($E751,6,2))</f>
        <v/>
      </c>
      <c r="G751">
        <f>IF(OR($E751="",$E751="نامعتبر",Sync!$Y748=""),"",Sync!$Y748)</f>
        <v/>
      </c>
      <c r="H751">
        <f>IF($G751="","",IF(Sync!$X748="","",Sync!$X748))</f>
        <v/>
      </c>
      <c r="I751">
        <f>IF($G751="","",IFERROR(VLOOKUP(Sync!$X748,OpTbl,3,0),""))</f>
        <v/>
      </c>
      <c r="J751">
        <f>IF(OR($G751="",Sync!$Z748=""),"",Sync!$Z748)</f>
        <v/>
      </c>
      <c r="K751">
        <f>IF(OR($G751="",Sync!$AA748=""),"",Sync!$AA748)</f>
        <v/>
      </c>
      <c r="L751">
        <f>IF($G751="",0,IF(Sync!$AB748="",0,Sync!$AB748))</f>
        <v/>
      </c>
      <c r="M751">
        <f>IF($G751="",0,IF(Sync!$AC748="",0,Sync!$AC748))</f>
        <v/>
      </c>
      <c r="N751">
        <f>IF($G751="","",IF($H751="مرجوعی خرید",-1,1)*($L751-$M751*IFERROR(VLOOKUP("P01",ParamTbl,3,0),1.5))*(1-IF($I751="خرید",IFERROR(VLOOKUP("P02",ParamTbl,3,0),1),0)/100))</f>
        <v/>
      </c>
      <c r="O751">
        <f>IF($G751="",0,IF($H751="مرجوعی خرید",-1,1)*IF(Sync!$AD748="",0,Sync!$AD748))</f>
        <v/>
      </c>
      <c r="P751">
        <f>IF(OR($G751="",Sync!$W748=""),"",Sync!$W748)</f>
        <v/>
      </c>
      <c r="Q751">
        <f>IF(OR($G751="",Sync!$AE748=""),"",Sync!$AE748)</f>
        <v/>
      </c>
      <c r="R751">
        <f>IF($G751="","",IF(Sync!$V748="","0000",IF(AND(ISNUMBER(Sync!$V748),Sync!$V748&gt;=0,Sync!$V748&lt;1),RIGHT("00"&amp;HOUR(Sync!$V748),2)&amp;RIGHT("00"&amp;MINUTE(Sync!$V748),2),IFERROR(RIGHT("00"&amp;VALUE(LEFT(Sync!$V748,FIND(":",Sync!$V748)-1)),2)&amp;RIGHT("00"&amp;VALUE(MID(Sync!$V748,FIND(":",Sync!$V748)+1,2)),2),"0000"))))</f>
        <v/>
      </c>
    </row>
    <row r="752">
      <c r="A752">
        <f>IF(Sync!$U749="","",Sync!$U749)</f>
        <v/>
      </c>
      <c r="B752">
        <f>IF($A752="","",IF(ISNUMBER($A752),IF(AND($A752&gt;=10000101,$A752&lt;=99991231),INT($A752/10000),""),IFERROR(VALUE(TRIM(LEFT($A752,FIND("/",$A752)-1))),"")))</f>
        <v/>
      </c>
      <c r="C752">
        <f>IF(OR($A752="",$B752=""),"",IF(ISNUMBER($A752),INT(MOD($A752,10000)/100),IFERROR(VALUE(TRIM(LEFT(MID($A752,FIND("/",$A752)+1,20),FIND("/",MID($A752,FIND("/",$A752)+1,20))-1))),"")))</f>
        <v/>
      </c>
      <c r="D752">
        <f>IF(OR($A752="",$B752=""),"",IF(ISNUMBER($A752),MOD($A752,100),IFERROR(VALUE(TRIM(MID(MID($A752,FIND("/",$A752)+1,20),FIND("/",MID($A752,FIND("/",$A752)+1,20))+1,20))),"")))</f>
        <v/>
      </c>
      <c r="E752">
        <f>IF($A752="","",IF(OR($B752="",$C752="",$D752="",$B752&lt;1300,$B752&gt;1500,$C752&lt;1,$C752&gt;12,$D752&lt;1,$D752&gt;31),"نامعتبر",RIGHT("0000"&amp;$B752,4)&amp;"/"&amp;RIGHT("00"&amp;$C752,2)&amp;"/"&amp;RIGHT("00"&amp;$D752,2)))</f>
        <v/>
      </c>
      <c r="F752">
        <f>IF(OR($E752="",$E752="نامعتبر"),"",LEFT($E752,4)&amp;"/"&amp;MID($E752,6,2))</f>
        <v/>
      </c>
      <c r="G752">
        <f>IF(OR($E752="",$E752="نامعتبر",Sync!$Y749=""),"",Sync!$Y749)</f>
        <v/>
      </c>
      <c r="H752">
        <f>IF($G752="","",IF(Sync!$X749="","",Sync!$X749))</f>
        <v/>
      </c>
      <c r="I752">
        <f>IF($G752="","",IFERROR(VLOOKUP(Sync!$X749,OpTbl,3,0),""))</f>
        <v/>
      </c>
      <c r="J752">
        <f>IF(OR($G752="",Sync!$Z749=""),"",Sync!$Z749)</f>
        <v/>
      </c>
      <c r="K752">
        <f>IF(OR($G752="",Sync!$AA749=""),"",Sync!$AA749)</f>
        <v/>
      </c>
      <c r="L752">
        <f>IF($G752="",0,IF(Sync!$AB749="",0,Sync!$AB749))</f>
        <v/>
      </c>
      <c r="M752">
        <f>IF($G752="",0,IF(Sync!$AC749="",0,Sync!$AC749))</f>
        <v/>
      </c>
      <c r="N752">
        <f>IF($G752="","",IF($H752="مرجوعی خرید",-1,1)*($L752-$M752*IFERROR(VLOOKUP("P01",ParamTbl,3,0),1.5))*(1-IF($I752="خرید",IFERROR(VLOOKUP("P02",ParamTbl,3,0),1),0)/100))</f>
        <v/>
      </c>
      <c r="O752">
        <f>IF($G752="",0,IF($H752="مرجوعی خرید",-1,1)*IF(Sync!$AD749="",0,Sync!$AD749))</f>
        <v/>
      </c>
      <c r="P752">
        <f>IF(OR($G752="",Sync!$W749=""),"",Sync!$W749)</f>
        <v/>
      </c>
      <c r="Q752">
        <f>IF(OR($G752="",Sync!$AE749=""),"",Sync!$AE749)</f>
        <v/>
      </c>
      <c r="R752">
        <f>IF($G752="","",IF(Sync!$V749="","0000",IF(AND(ISNUMBER(Sync!$V749),Sync!$V749&gt;=0,Sync!$V749&lt;1),RIGHT("00"&amp;HOUR(Sync!$V749),2)&amp;RIGHT("00"&amp;MINUTE(Sync!$V749),2),IFERROR(RIGHT("00"&amp;VALUE(LEFT(Sync!$V749,FIND(":",Sync!$V749)-1)),2)&amp;RIGHT("00"&amp;VALUE(MID(Sync!$V749,FIND(":",Sync!$V749)+1,2)),2),"0000"))))</f>
        <v/>
      </c>
    </row>
    <row r="753">
      <c r="A753">
        <f>IF(Sync!$U750="","",Sync!$U750)</f>
        <v/>
      </c>
      <c r="B753">
        <f>IF($A753="","",IF(ISNUMBER($A753),IF(AND($A753&gt;=10000101,$A753&lt;=99991231),INT($A753/10000),""),IFERROR(VALUE(TRIM(LEFT($A753,FIND("/",$A753)-1))),"")))</f>
        <v/>
      </c>
      <c r="C753">
        <f>IF(OR($A753="",$B753=""),"",IF(ISNUMBER($A753),INT(MOD($A753,10000)/100),IFERROR(VALUE(TRIM(LEFT(MID($A753,FIND("/",$A753)+1,20),FIND("/",MID($A753,FIND("/",$A753)+1,20))-1))),"")))</f>
        <v/>
      </c>
      <c r="D753">
        <f>IF(OR($A753="",$B753=""),"",IF(ISNUMBER($A753),MOD($A753,100),IFERROR(VALUE(TRIM(MID(MID($A753,FIND("/",$A753)+1,20),FIND("/",MID($A753,FIND("/",$A753)+1,20))+1,20))),"")))</f>
        <v/>
      </c>
      <c r="E753">
        <f>IF($A753="","",IF(OR($B753="",$C753="",$D753="",$B753&lt;1300,$B753&gt;1500,$C753&lt;1,$C753&gt;12,$D753&lt;1,$D753&gt;31),"نامعتبر",RIGHT("0000"&amp;$B753,4)&amp;"/"&amp;RIGHT("00"&amp;$C753,2)&amp;"/"&amp;RIGHT("00"&amp;$D753,2)))</f>
        <v/>
      </c>
      <c r="F753">
        <f>IF(OR($E753="",$E753="نامعتبر"),"",LEFT($E753,4)&amp;"/"&amp;MID($E753,6,2))</f>
        <v/>
      </c>
      <c r="G753">
        <f>IF(OR($E753="",$E753="نامعتبر",Sync!$Y750=""),"",Sync!$Y750)</f>
        <v/>
      </c>
      <c r="H753">
        <f>IF($G753="","",IF(Sync!$X750="","",Sync!$X750))</f>
        <v/>
      </c>
      <c r="I753">
        <f>IF($G753="","",IFERROR(VLOOKUP(Sync!$X750,OpTbl,3,0),""))</f>
        <v/>
      </c>
      <c r="J753">
        <f>IF(OR($G753="",Sync!$Z750=""),"",Sync!$Z750)</f>
        <v/>
      </c>
      <c r="K753">
        <f>IF(OR($G753="",Sync!$AA750=""),"",Sync!$AA750)</f>
        <v/>
      </c>
      <c r="L753">
        <f>IF($G753="",0,IF(Sync!$AB750="",0,Sync!$AB750))</f>
        <v/>
      </c>
      <c r="M753">
        <f>IF($G753="",0,IF(Sync!$AC750="",0,Sync!$AC750))</f>
        <v/>
      </c>
      <c r="N753">
        <f>IF($G753="","",IF($H753="مرجوعی خرید",-1,1)*($L753-$M753*IFERROR(VLOOKUP("P01",ParamTbl,3,0),1.5))*(1-IF($I753="خرید",IFERROR(VLOOKUP("P02",ParamTbl,3,0),1),0)/100))</f>
        <v/>
      </c>
      <c r="O753">
        <f>IF($G753="",0,IF($H753="مرجوعی خرید",-1,1)*IF(Sync!$AD750="",0,Sync!$AD750))</f>
        <v/>
      </c>
      <c r="P753">
        <f>IF(OR($G753="",Sync!$W750=""),"",Sync!$W750)</f>
        <v/>
      </c>
      <c r="Q753">
        <f>IF(OR($G753="",Sync!$AE750=""),"",Sync!$AE750)</f>
        <v/>
      </c>
      <c r="R753">
        <f>IF($G753="","",IF(Sync!$V750="","0000",IF(AND(ISNUMBER(Sync!$V750),Sync!$V750&gt;=0,Sync!$V750&lt;1),RIGHT("00"&amp;HOUR(Sync!$V750),2)&amp;RIGHT("00"&amp;MINUTE(Sync!$V750),2),IFERROR(RIGHT("00"&amp;VALUE(LEFT(Sync!$V750,FIND(":",Sync!$V750)-1)),2)&amp;RIGHT("00"&amp;VALUE(MID(Sync!$V750,FIND(":",Sync!$V750)+1,2)),2),"0000"))))</f>
        <v/>
      </c>
    </row>
    <row r="754">
      <c r="A754">
        <f>IF(Sync!$U751="","",Sync!$U751)</f>
        <v/>
      </c>
      <c r="B754">
        <f>IF($A754="","",IF(ISNUMBER($A754),IF(AND($A754&gt;=10000101,$A754&lt;=99991231),INT($A754/10000),""),IFERROR(VALUE(TRIM(LEFT($A754,FIND("/",$A754)-1))),"")))</f>
        <v/>
      </c>
      <c r="C754">
        <f>IF(OR($A754="",$B754=""),"",IF(ISNUMBER($A754),INT(MOD($A754,10000)/100),IFERROR(VALUE(TRIM(LEFT(MID($A754,FIND("/",$A754)+1,20),FIND("/",MID($A754,FIND("/",$A754)+1,20))-1))),"")))</f>
        <v/>
      </c>
      <c r="D754">
        <f>IF(OR($A754="",$B754=""),"",IF(ISNUMBER($A754),MOD($A754,100),IFERROR(VALUE(TRIM(MID(MID($A754,FIND("/",$A754)+1,20),FIND("/",MID($A754,FIND("/",$A754)+1,20))+1,20))),"")))</f>
        <v/>
      </c>
      <c r="E754">
        <f>IF($A754="","",IF(OR($B754="",$C754="",$D754="",$B754&lt;1300,$B754&gt;1500,$C754&lt;1,$C754&gt;12,$D754&lt;1,$D754&gt;31),"نامعتبر",RIGHT("0000"&amp;$B754,4)&amp;"/"&amp;RIGHT("00"&amp;$C754,2)&amp;"/"&amp;RIGHT("00"&amp;$D754,2)))</f>
        <v/>
      </c>
      <c r="F754">
        <f>IF(OR($E754="",$E754="نامعتبر"),"",LEFT($E754,4)&amp;"/"&amp;MID($E754,6,2))</f>
        <v/>
      </c>
      <c r="G754">
        <f>IF(OR($E754="",$E754="نامعتبر",Sync!$Y751=""),"",Sync!$Y751)</f>
        <v/>
      </c>
      <c r="H754">
        <f>IF($G754="","",IF(Sync!$X751="","",Sync!$X751))</f>
        <v/>
      </c>
      <c r="I754">
        <f>IF($G754="","",IFERROR(VLOOKUP(Sync!$X751,OpTbl,3,0),""))</f>
        <v/>
      </c>
      <c r="J754">
        <f>IF(OR($G754="",Sync!$Z751=""),"",Sync!$Z751)</f>
        <v/>
      </c>
      <c r="K754">
        <f>IF(OR($G754="",Sync!$AA751=""),"",Sync!$AA751)</f>
        <v/>
      </c>
      <c r="L754">
        <f>IF($G754="",0,IF(Sync!$AB751="",0,Sync!$AB751))</f>
        <v/>
      </c>
      <c r="M754">
        <f>IF($G754="",0,IF(Sync!$AC751="",0,Sync!$AC751))</f>
        <v/>
      </c>
      <c r="N754">
        <f>IF($G754="","",IF($H754="مرجوعی خرید",-1,1)*($L754-$M754*IFERROR(VLOOKUP("P01",ParamTbl,3,0),1.5))*(1-IF($I754="خرید",IFERROR(VLOOKUP("P02",ParamTbl,3,0),1),0)/100))</f>
        <v/>
      </c>
      <c r="O754">
        <f>IF($G754="",0,IF($H754="مرجوعی خرید",-1,1)*IF(Sync!$AD751="",0,Sync!$AD751))</f>
        <v/>
      </c>
      <c r="P754">
        <f>IF(OR($G754="",Sync!$W751=""),"",Sync!$W751)</f>
        <v/>
      </c>
      <c r="Q754">
        <f>IF(OR($G754="",Sync!$AE751=""),"",Sync!$AE751)</f>
        <v/>
      </c>
      <c r="R754">
        <f>IF($G754="","",IF(Sync!$V751="","0000",IF(AND(ISNUMBER(Sync!$V751),Sync!$V751&gt;=0,Sync!$V751&lt;1),RIGHT("00"&amp;HOUR(Sync!$V751),2)&amp;RIGHT("00"&amp;MINUTE(Sync!$V751),2),IFERROR(RIGHT("00"&amp;VALUE(LEFT(Sync!$V751,FIND(":",Sync!$V751)-1)),2)&amp;RIGHT("00"&amp;VALUE(MID(Sync!$V751,FIND(":",Sync!$V751)+1,2)),2),"0000"))))</f>
        <v/>
      </c>
    </row>
    <row r="755">
      <c r="A755">
        <f>IF(Sync!$U752="","",Sync!$U752)</f>
        <v/>
      </c>
      <c r="B755">
        <f>IF($A755="","",IF(ISNUMBER($A755),IF(AND($A755&gt;=10000101,$A755&lt;=99991231),INT($A755/10000),""),IFERROR(VALUE(TRIM(LEFT($A755,FIND("/",$A755)-1))),"")))</f>
        <v/>
      </c>
      <c r="C755">
        <f>IF(OR($A755="",$B755=""),"",IF(ISNUMBER($A755),INT(MOD($A755,10000)/100),IFERROR(VALUE(TRIM(LEFT(MID($A755,FIND("/",$A755)+1,20),FIND("/",MID($A755,FIND("/",$A755)+1,20))-1))),"")))</f>
        <v/>
      </c>
      <c r="D755">
        <f>IF(OR($A755="",$B755=""),"",IF(ISNUMBER($A755),MOD($A755,100),IFERROR(VALUE(TRIM(MID(MID($A755,FIND("/",$A755)+1,20),FIND("/",MID($A755,FIND("/",$A755)+1,20))+1,20))),"")))</f>
        <v/>
      </c>
      <c r="E755">
        <f>IF($A755="","",IF(OR($B755="",$C755="",$D755="",$B755&lt;1300,$B755&gt;1500,$C755&lt;1,$C755&gt;12,$D755&lt;1,$D755&gt;31),"نامعتبر",RIGHT("0000"&amp;$B755,4)&amp;"/"&amp;RIGHT("00"&amp;$C755,2)&amp;"/"&amp;RIGHT("00"&amp;$D755,2)))</f>
        <v/>
      </c>
      <c r="F755">
        <f>IF(OR($E755="",$E755="نامعتبر"),"",LEFT($E755,4)&amp;"/"&amp;MID($E755,6,2))</f>
        <v/>
      </c>
      <c r="G755">
        <f>IF(OR($E755="",$E755="نامعتبر",Sync!$Y752=""),"",Sync!$Y752)</f>
        <v/>
      </c>
      <c r="H755">
        <f>IF($G755="","",IF(Sync!$X752="","",Sync!$X752))</f>
        <v/>
      </c>
      <c r="I755">
        <f>IF($G755="","",IFERROR(VLOOKUP(Sync!$X752,OpTbl,3,0),""))</f>
        <v/>
      </c>
      <c r="J755">
        <f>IF(OR($G755="",Sync!$Z752=""),"",Sync!$Z752)</f>
        <v/>
      </c>
      <c r="K755">
        <f>IF(OR($G755="",Sync!$AA752=""),"",Sync!$AA752)</f>
        <v/>
      </c>
      <c r="L755">
        <f>IF($G755="",0,IF(Sync!$AB752="",0,Sync!$AB752))</f>
        <v/>
      </c>
      <c r="M755">
        <f>IF($G755="",0,IF(Sync!$AC752="",0,Sync!$AC752))</f>
        <v/>
      </c>
      <c r="N755">
        <f>IF($G755="","",IF($H755="مرجوعی خرید",-1,1)*($L755-$M755*IFERROR(VLOOKUP("P01",ParamTbl,3,0),1.5))*(1-IF($I755="خرید",IFERROR(VLOOKUP("P02",ParamTbl,3,0),1),0)/100))</f>
        <v/>
      </c>
      <c r="O755">
        <f>IF($G755="",0,IF($H755="مرجوعی خرید",-1,1)*IF(Sync!$AD752="",0,Sync!$AD752))</f>
        <v/>
      </c>
      <c r="P755">
        <f>IF(OR($G755="",Sync!$W752=""),"",Sync!$W752)</f>
        <v/>
      </c>
      <c r="Q755">
        <f>IF(OR($G755="",Sync!$AE752=""),"",Sync!$AE752)</f>
        <v/>
      </c>
      <c r="R755">
        <f>IF($G755="","",IF(Sync!$V752="","0000",IF(AND(ISNUMBER(Sync!$V752),Sync!$V752&gt;=0,Sync!$V752&lt;1),RIGHT("00"&amp;HOUR(Sync!$V752),2)&amp;RIGHT("00"&amp;MINUTE(Sync!$V752),2),IFERROR(RIGHT("00"&amp;VALUE(LEFT(Sync!$V752,FIND(":",Sync!$V752)-1)),2)&amp;RIGHT("00"&amp;VALUE(MID(Sync!$V752,FIND(":",Sync!$V752)+1,2)),2),"0000"))))</f>
        <v/>
      </c>
    </row>
    <row r="756">
      <c r="A756">
        <f>IF(Sync!$U753="","",Sync!$U753)</f>
        <v/>
      </c>
      <c r="B756">
        <f>IF($A756="","",IF(ISNUMBER($A756),IF(AND($A756&gt;=10000101,$A756&lt;=99991231),INT($A756/10000),""),IFERROR(VALUE(TRIM(LEFT($A756,FIND("/",$A756)-1))),"")))</f>
        <v/>
      </c>
      <c r="C756">
        <f>IF(OR($A756="",$B756=""),"",IF(ISNUMBER($A756),INT(MOD($A756,10000)/100),IFERROR(VALUE(TRIM(LEFT(MID($A756,FIND("/",$A756)+1,20),FIND("/",MID($A756,FIND("/",$A756)+1,20))-1))),"")))</f>
        <v/>
      </c>
      <c r="D756">
        <f>IF(OR($A756="",$B756=""),"",IF(ISNUMBER($A756),MOD($A756,100),IFERROR(VALUE(TRIM(MID(MID($A756,FIND("/",$A756)+1,20),FIND("/",MID($A756,FIND("/",$A756)+1,20))+1,20))),"")))</f>
        <v/>
      </c>
      <c r="E756">
        <f>IF($A756="","",IF(OR($B756="",$C756="",$D756="",$B756&lt;1300,$B756&gt;1500,$C756&lt;1,$C756&gt;12,$D756&lt;1,$D756&gt;31),"نامعتبر",RIGHT("0000"&amp;$B756,4)&amp;"/"&amp;RIGHT("00"&amp;$C756,2)&amp;"/"&amp;RIGHT("00"&amp;$D756,2)))</f>
        <v/>
      </c>
      <c r="F756">
        <f>IF(OR($E756="",$E756="نامعتبر"),"",LEFT($E756,4)&amp;"/"&amp;MID($E756,6,2))</f>
        <v/>
      </c>
      <c r="G756">
        <f>IF(OR($E756="",$E756="نامعتبر",Sync!$Y753=""),"",Sync!$Y753)</f>
        <v/>
      </c>
      <c r="H756">
        <f>IF($G756="","",IF(Sync!$X753="","",Sync!$X753))</f>
        <v/>
      </c>
      <c r="I756">
        <f>IF($G756="","",IFERROR(VLOOKUP(Sync!$X753,OpTbl,3,0),""))</f>
        <v/>
      </c>
      <c r="J756">
        <f>IF(OR($G756="",Sync!$Z753=""),"",Sync!$Z753)</f>
        <v/>
      </c>
      <c r="K756">
        <f>IF(OR($G756="",Sync!$AA753=""),"",Sync!$AA753)</f>
        <v/>
      </c>
      <c r="L756">
        <f>IF($G756="",0,IF(Sync!$AB753="",0,Sync!$AB753))</f>
        <v/>
      </c>
      <c r="M756">
        <f>IF($G756="",0,IF(Sync!$AC753="",0,Sync!$AC753))</f>
        <v/>
      </c>
      <c r="N756">
        <f>IF($G756="","",IF($H756="مرجوعی خرید",-1,1)*($L756-$M756*IFERROR(VLOOKUP("P01",ParamTbl,3,0),1.5))*(1-IF($I756="خرید",IFERROR(VLOOKUP("P02",ParamTbl,3,0),1),0)/100))</f>
        <v/>
      </c>
      <c r="O756">
        <f>IF($G756="",0,IF($H756="مرجوعی خرید",-1,1)*IF(Sync!$AD753="",0,Sync!$AD753))</f>
        <v/>
      </c>
      <c r="P756">
        <f>IF(OR($G756="",Sync!$W753=""),"",Sync!$W753)</f>
        <v/>
      </c>
      <c r="Q756">
        <f>IF(OR($G756="",Sync!$AE753=""),"",Sync!$AE753)</f>
        <v/>
      </c>
      <c r="R756">
        <f>IF($G756="","",IF(Sync!$V753="","0000",IF(AND(ISNUMBER(Sync!$V753),Sync!$V753&gt;=0,Sync!$V753&lt;1),RIGHT("00"&amp;HOUR(Sync!$V753),2)&amp;RIGHT("00"&amp;MINUTE(Sync!$V753),2),IFERROR(RIGHT("00"&amp;VALUE(LEFT(Sync!$V753,FIND(":",Sync!$V753)-1)),2)&amp;RIGHT("00"&amp;VALUE(MID(Sync!$V753,FIND(":",Sync!$V753)+1,2)),2),"0000"))))</f>
        <v/>
      </c>
    </row>
    <row r="757">
      <c r="A757">
        <f>IF(Sync!$U754="","",Sync!$U754)</f>
        <v/>
      </c>
      <c r="B757">
        <f>IF($A757="","",IF(ISNUMBER($A757),IF(AND($A757&gt;=10000101,$A757&lt;=99991231),INT($A757/10000),""),IFERROR(VALUE(TRIM(LEFT($A757,FIND("/",$A757)-1))),"")))</f>
        <v/>
      </c>
      <c r="C757">
        <f>IF(OR($A757="",$B757=""),"",IF(ISNUMBER($A757),INT(MOD($A757,10000)/100),IFERROR(VALUE(TRIM(LEFT(MID($A757,FIND("/",$A757)+1,20),FIND("/",MID($A757,FIND("/",$A757)+1,20))-1))),"")))</f>
        <v/>
      </c>
      <c r="D757">
        <f>IF(OR($A757="",$B757=""),"",IF(ISNUMBER($A757),MOD($A757,100),IFERROR(VALUE(TRIM(MID(MID($A757,FIND("/",$A757)+1,20),FIND("/",MID($A757,FIND("/",$A757)+1,20))+1,20))),"")))</f>
        <v/>
      </c>
      <c r="E757">
        <f>IF($A757="","",IF(OR($B757="",$C757="",$D757="",$B757&lt;1300,$B757&gt;1500,$C757&lt;1,$C757&gt;12,$D757&lt;1,$D757&gt;31),"نامعتبر",RIGHT("0000"&amp;$B757,4)&amp;"/"&amp;RIGHT("00"&amp;$C757,2)&amp;"/"&amp;RIGHT("00"&amp;$D757,2)))</f>
        <v/>
      </c>
      <c r="F757">
        <f>IF(OR($E757="",$E757="نامعتبر"),"",LEFT($E757,4)&amp;"/"&amp;MID($E757,6,2))</f>
        <v/>
      </c>
      <c r="G757">
        <f>IF(OR($E757="",$E757="نامعتبر",Sync!$Y754=""),"",Sync!$Y754)</f>
        <v/>
      </c>
      <c r="H757">
        <f>IF($G757="","",IF(Sync!$X754="","",Sync!$X754))</f>
        <v/>
      </c>
      <c r="I757">
        <f>IF($G757="","",IFERROR(VLOOKUP(Sync!$X754,OpTbl,3,0),""))</f>
        <v/>
      </c>
      <c r="J757">
        <f>IF(OR($G757="",Sync!$Z754=""),"",Sync!$Z754)</f>
        <v/>
      </c>
      <c r="K757">
        <f>IF(OR($G757="",Sync!$AA754=""),"",Sync!$AA754)</f>
        <v/>
      </c>
      <c r="L757">
        <f>IF($G757="",0,IF(Sync!$AB754="",0,Sync!$AB754))</f>
        <v/>
      </c>
      <c r="M757">
        <f>IF($G757="",0,IF(Sync!$AC754="",0,Sync!$AC754))</f>
        <v/>
      </c>
      <c r="N757">
        <f>IF($G757="","",IF($H757="مرجوعی خرید",-1,1)*($L757-$M757*IFERROR(VLOOKUP("P01",ParamTbl,3,0),1.5))*(1-IF($I757="خرید",IFERROR(VLOOKUP("P02",ParamTbl,3,0),1),0)/100))</f>
        <v/>
      </c>
      <c r="O757">
        <f>IF($G757="",0,IF($H757="مرجوعی خرید",-1,1)*IF(Sync!$AD754="",0,Sync!$AD754))</f>
        <v/>
      </c>
      <c r="P757">
        <f>IF(OR($G757="",Sync!$W754=""),"",Sync!$W754)</f>
        <v/>
      </c>
      <c r="Q757">
        <f>IF(OR($G757="",Sync!$AE754=""),"",Sync!$AE754)</f>
        <v/>
      </c>
      <c r="R757">
        <f>IF($G757="","",IF(Sync!$V754="","0000",IF(AND(ISNUMBER(Sync!$V754),Sync!$V754&gt;=0,Sync!$V754&lt;1),RIGHT("00"&amp;HOUR(Sync!$V754),2)&amp;RIGHT("00"&amp;MINUTE(Sync!$V754),2),IFERROR(RIGHT("00"&amp;VALUE(LEFT(Sync!$V754,FIND(":",Sync!$V754)-1)),2)&amp;RIGHT("00"&amp;VALUE(MID(Sync!$V754,FIND(":",Sync!$V754)+1,2)),2),"0000"))))</f>
        <v/>
      </c>
    </row>
    <row r="758">
      <c r="A758">
        <f>IF(Sync!$U755="","",Sync!$U755)</f>
        <v/>
      </c>
      <c r="B758">
        <f>IF($A758="","",IF(ISNUMBER($A758),IF(AND($A758&gt;=10000101,$A758&lt;=99991231),INT($A758/10000),""),IFERROR(VALUE(TRIM(LEFT($A758,FIND("/",$A758)-1))),"")))</f>
        <v/>
      </c>
      <c r="C758">
        <f>IF(OR($A758="",$B758=""),"",IF(ISNUMBER($A758),INT(MOD($A758,10000)/100),IFERROR(VALUE(TRIM(LEFT(MID($A758,FIND("/",$A758)+1,20),FIND("/",MID($A758,FIND("/",$A758)+1,20))-1))),"")))</f>
        <v/>
      </c>
      <c r="D758">
        <f>IF(OR($A758="",$B758=""),"",IF(ISNUMBER($A758),MOD($A758,100),IFERROR(VALUE(TRIM(MID(MID($A758,FIND("/",$A758)+1,20),FIND("/",MID($A758,FIND("/",$A758)+1,20))+1,20))),"")))</f>
        <v/>
      </c>
      <c r="E758">
        <f>IF($A758="","",IF(OR($B758="",$C758="",$D758="",$B758&lt;1300,$B758&gt;1500,$C758&lt;1,$C758&gt;12,$D758&lt;1,$D758&gt;31),"نامعتبر",RIGHT("0000"&amp;$B758,4)&amp;"/"&amp;RIGHT("00"&amp;$C758,2)&amp;"/"&amp;RIGHT("00"&amp;$D758,2)))</f>
        <v/>
      </c>
      <c r="F758">
        <f>IF(OR($E758="",$E758="نامعتبر"),"",LEFT($E758,4)&amp;"/"&amp;MID($E758,6,2))</f>
        <v/>
      </c>
      <c r="G758">
        <f>IF(OR($E758="",$E758="نامعتبر",Sync!$Y755=""),"",Sync!$Y755)</f>
        <v/>
      </c>
      <c r="H758">
        <f>IF($G758="","",IF(Sync!$X755="","",Sync!$X755))</f>
        <v/>
      </c>
      <c r="I758">
        <f>IF($G758="","",IFERROR(VLOOKUP(Sync!$X755,OpTbl,3,0),""))</f>
        <v/>
      </c>
      <c r="J758">
        <f>IF(OR($G758="",Sync!$Z755=""),"",Sync!$Z755)</f>
        <v/>
      </c>
      <c r="K758">
        <f>IF(OR($G758="",Sync!$AA755=""),"",Sync!$AA755)</f>
        <v/>
      </c>
      <c r="L758">
        <f>IF($G758="",0,IF(Sync!$AB755="",0,Sync!$AB755))</f>
        <v/>
      </c>
      <c r="M758">
        <f>IF($G758="",0,IF(Sync!$AC755="",0,Sync!$AC755))</f>
        <v/>
      </c>
      <c r="N758">
        <f>IF($G758="","",IF($H758="مرجوعی خرید",-1,1)*($L758-$M758*IFERROR(VLOOKUP("P01",ParamTbl,3,0),1.5))*(1-IF($I758="خرید",IFERROR(VLOOKUP("P02",ParamTbl,3,0),1),0)/100))</f>
        <v/>
      </c>
      <c r="O758">
        <f>IF($G758="",0,IF($H758="مرجوعی خرید",-1,1)*IF(Sync!$AD755="",0,Sync!$AD755))</f>
        <v/>
      </c>
      <c r="P758">
        <f>IF(OR($G758="",Sync!$W755=""),"",Sync!$W755)</f>
        <v/>
      </c>
      <c r="Q758">
        <f>IF(OR($G758="",Sync!$AE755=""),"",Sync!$AE755)</f>
        <v/>
      </c>
      <c r="R758">
        <f>IF($G758="","",IF(Sync!$V755="","0000",IF(AND(ISNUMBER(Sync!$V755),Sync!$V755&gt;=0,Sync!$V755&lt;1),RIGHT("00"&amp;HOUR(Sync!$V755),2)&amp;RIGHT("00"&amp;MINUTE(Sync!$V755),2),IFERROR(RIGHT("00"&amp;VALUE(LEFT(Sync!$V755,FIND(":",Sync!$V755)-1)),2)&amp;RIGHT("00"&amp;VALUE(MID(Sync!$V755,FIND(":",Sync!$V755)+1,2)),2),"0000"))))</f>
        <v/>
      </c>
    </row>
    <row r="759">
      <c r="A759">
        <f>IF(Sync!$U756="","",Sync!$U756)</f>
        <v/>
      </c>
      <c r="B759">
        <f>IF($A759="","",IF(ISNUMBER($A759),IF(AND($A759&gt;=10000101,$A759&lt;=99991231),INT($A759/10000),""),IFERROR(VALUE(TRIM(LEFT($A759,FIND("/",$A759)-1))),"")))</f>
        <v/>
      </c>
      <c r="C759">
        <f>IF(OR($A759="",$B759=""),"",IF(ISNUMBER($A759),INT(MOD($A759,10000)/100),IFERROR(VALUE(TRIM(LEFT(MID($A759,FIND("/",$A759)+1,20),FIND("/",MID($A759,FIND("/",$A759)+1,20))-1))),"")))</f>
        <v/>
      </c>
      <c r="D759">
        <f>IF(OR($A759="",$B759=""),"",IF(ISNUMBER($A759),MOD($A759,100),IFERROR(VALUE(TRIM(MID(MID($A759,FIND("/",$A759)+1,20),FIND("/",MID($A759,FIND("/",$A759)+1,20))+1,20))),"")))</f>
        <v/>
      </c>
      <c r="E759">
        <f>IF($A759="","",IF(OR($B759="",$C759="",$D759="",$B759&lt;1300,$B759&gt;1500,$C759&lt;1,$C759&gt;12,$D759&lt;1,$D759&gt;31),"نامعتبر",RIGHT("0000"&amp;$B759,4)&amp;"/"&amp;RIGHT("00"&amp;$C759,2)&amp;"/"&amp;RIGHT("00"&amp;$D759,2)))</f>
        <v/>
      </c>
      <c r="F759">
        <f>IF(OR($E759="",$E759="نامعتبر"),"",LEFT($E759,4)&amp;"/"&amp;MID($E759,6,2))</f>
        <v/>
      </c>
      <c r="G759">
        <f>IF(OR($E759="",$E759="نامعتبر",Sync!$Y756=""),"",Sync!$Y756)</f>
        <v/>
      </c>
      <c r="H759">
        <f>IF($G759="","",IF(Sync!$X756="","",Sync!$X756))</f>
        <v/>
      </c>
      <c r="I759">
        <f>IF($G759="","",IFERROR(VLOOKUP(Sync!$X756,OpTbl,3,0),""))</f>
        <v/>
      </c>
      <c r="J759">
        <f>IF(OR($G759="",Sync!$Z756=""),"",Sync!$Z756)</f>
        <v/>
      </c>
      <c r="K759">
        <f>IF(OR($G759="",Sync!$AA756=""),"",Sync!$AA756)</f>
        <v/>
      </c>
      <c r="L759">
        <f>IF($G759="",0,IF(Sync!$AB756="",0,Sync!$AB756))</f>
        <v/>
      </c>
      <c r="M759">
        <f>IF($G759="",0,IF(Sync!$AC756="",0,Sync!$AC756))</f>
        <v/>
      </c>
      <c r="N759">
        <f>IF($G759="","",IF($H759="مرجوعی خرید",-1,1)*($L759-$M759*IFERROR(VLOOKUP("P01",ParamTbl,3,0),1.5))*(1-IF($I759="خرید",IFERROR(VLOOKUP("P02",ParamTbl,3,0),1),0)/100))</f>
        <v/>
      </c>
      <c r="O759">
        <f>IF($G759="",0,IF($H759="مرجوعی خرید",-1,1)*IF(Sync!$AD756="",0,Sync!$AD756))</f>
        <v/>
      </c>
      <c r="P759">
        <f>IF(OR($G759="",Sync!$W756=""),"",Sync!$W756)</f>
        <v/>
      </c>
      <c r="Q759">
        <f>IF(OR($G759="",Sync!$AE756=""),"",Sync!$AE756)</f>
        <v/>
      </c>
      <c r="R759">
        <f>IF($G759="","",IF(Sync!$V756="","0000",IF(AND(ISNUMBER(Sync!$V756),Sync!$V756&gt;=0,Sync!$V756&lt;1),RIGHT("00"&amp;HOUR(Sync!$V756),2)&amp;RIGHT("00"&amp;MINUTE(Sync!$V756),2),IFERROR(RIGHT("00"&amp;VALUE(LEFT(Sync!$V756,FIND(":",Sync!$V756)-1)),2)&amp;RIGHT("00"&amp;VALUE(MID(Sync!$V756,FIND(":",Sync!$V756)+1,2)),2),"0000"))))</f>
        <v/>
      </c>
    </row>
    <row r="760">
      <c r="A760">
        <f>IF(Sync!$U757="","",Sync!$U757)</f>
        <v/>
      </c>
      <c r="B760">
        <f>IF($A760="","",IF(ISNUMBER($A760),IF(AND($A760&gt;=10000101,$A760&lt;=99991231),INT($A760/10000),""),IFERROR(VALUE(TRIM(LEFT($A760,FIND("/",$A760)-1))),"")))</f>
        <v/>
      </c>
      <c r="C760">
        <f>IF(OR($A760="",$B760=""),"",IF(ISNUMBER($A760),INT(MOD($A760,10000)/100),IFERROR(VALUE(TRIM(LEFT(MID($A760,FIND("/",$A760)+1,20),FIND("/",MID($A760,FIND("/",$A760)+1,20))-1))),"")))</f>
        <v/>
      </c>
      <c r="D760">
        <f>IF(OR($A760="",$B760=""),"",IF(ISNUMBER($A760),MOD($A760,100),IFERROR(VALUE(TRIM(MID(MID($A760,FIND("/",$A760)+1,20),FIND("/",MID($A760,FIND("/",$A760)+1,20))+1,20))),"")))</f>
        <v/>
      </c>
      <c r="E760">
        <f>IF($A760="","",IF(OR($B760="",$C760="",$D760="",$B760&lt;1300,$B760&gt;1500,$C760&lt;1,$C760&gt;12,$D760&lt;1,$D760&gt;31),"نامعتبر",RIGHT("0000"&amp;$B760,4)&amp;"/"&amp;RIGHT("00"&amp;$C760,2)&amp;"/"&amp;RIGHT("00"&amp;$D760,2)))</f>
        <v/>
      </c>
      <c r="F760">
        <f>IF(OR($E760="",$E760="نامعتبر"),"",LEFT($E760,4)&amp;"/"&amp;MID($E760,6,2))</f>
        <v/>
      </c>
      <c r="G760">
        <f>IF(OR($E760="",$E760="نامعتبر",Sync!$Y757=""),"",Sync!$Y757)</f>
        <v/>
      </c>
      <c r="H760">
        <f>IF($G760="","",IF(Sync!$X757="","",Sync!$X757))</f>
        <v/>
      </c>
      <c r="I760">
        <f>IF($G760="","",IFERROR(VLOOKUP(Sync!$X757,OpTbl,3,0),""))</f>
        <v/>
      </c>
      <c r="J760">
        <f>IF(OR($G760="",Sync!$Z757=""),"",Sync!$Z757)</f>
        <v/>
      </c>
      <c r="K760">
        <f>IF(OR($G760="",Sync!$AA757=""),"",Sync!$AA757)</f>
        <v/>
      </c>
      <c r="L760">
        <f>IF($G760="",0,IF(Sync!$AB757="",0,Sync!$AB757))</f>
        <v/>
      </c>
      <c r="M760">
        <f>IF($G760="",0,IF(Sync!$AC757="",0,Sync!$AC757))</f>
        <v/>
      </c>
      <c r="N760">
        <f>IF($G760="","",IF($H760="مرجوعی خرید",-1,1)*($L760-$M760*IFERROR(VLOOKUP("P01",ParamTbl,3,0),1.5))*(1-IF($I760="خرید",IFERROR(VLOOKUP("P02",ParamTbl,3,0),1),0)/100))</f>
        <v/>
      </c>
      <c r="O760">
        <f>IF($G760="",0,IF($H760="مرجوعی خرید",-1,1)*IF(Sync!$AD757="",0,Sync!$AD757))</f>
        <v/>
      </c>
      <c r="P760">
        <f>IF(OR($G760="",Sync!$W757=""),"",Sync!$W757)</f>
        <v/>
      </c>
      <c r="Q760">
        <f>IF(OR($G760="",Sync!$AE757=""),"",Sync!$AE757)</f>
        <v/>
      </c>
      <c r="R760">
        <f>IF($G760="","",IF(Sync!$V757="","0000",IF(AND(ISNUMBER(Sync!$V757),Sync!$V757&gt;=0,Sync!$V757&lt;1),RIGHT("00"&amp;HOUR(Sync!$V757),2)&amp;RIGHT("00"&amp;MINUTE(Sync!$V757),2),IFERROR(RIGHT("00"&amp;VALUE(LEFT(Sync!$V757,FIND(":",Sync!$V757)-1)),2)&amp;RIGHT("00"&amp;VALUE(MID(Sync!$V757,FIND(":",Sync!$V757)+1,2)),2),"0000"))))</f>
        <v/>
      </c>
    </row>
    <row r="761">
      <c r="A761">
        <f>IF(Sync!$U758="","",Sync!$U758)</f>
        <v/>
      </c>
      <c r="B761">
        <f>IF($A761="","",IF(ISNUMBER($A761),IF(AND($A761&gt;=10000101,$A761&lt;=99991231),INT($A761/10000),""),IFERROR(VALUE(TRIM(LEFT($A761,FIND("/",$A761)-1))),"")))</f>
        <v/>
      </c>
      <c r="C761">
        <f>IF(OR($A761="",$B761=""),"",IF(ISNUMBER($A761),INT(MOD($A761,10000)/100),IFERROR(VALUE(TRIM(LEFT(MID($A761,FIND("/",$A761)+1,20),FIND("/",MID($A761,FIND("/",$A761)+1,20))-1))),"")))</f>
        <v/>
      </c>
      <c r="D761">
        <f>IF(OR($A761="",$B761=""),"",IF(ISNUMBER($A761),MOD($A761,100),IFERROR(VALUE(TRIM(MID(MID($A761,FIND("/",$A761)+1,20),FIND("/",MID($A761,FIND("/",$A761)+1,20))+1,20))),"")))</f>
        <v/>
      </c>
      <c r="E761">
        <f>IF($A761="","",IF(OR($B761="",$C761="",$D761="",$B761&lt;1300,$B761&gt;1500,$C761&lt;1,$C761&gt;12,$D761&lt;1,$D761&gt;31),"نامعتبر",RIGHT("0000"&amp;$B761,4)&amp;"/"&amp;RIGHT("00"&amp;$C761,2)&amp;"/"&amp;RIGHT("00"&amp;$D761,2)))</f>
        <v/>
      </c>
      <c r="F761">
        <f>IF(OR($E761="",$E761="نامعتبر"),"",LEFT($E761,4)&amp;"/"&amp;MID($E761,6,2))</f>
        <v/>
      </c>
      <c r="G761">
        <f>IF(OR($E761="",$E761="نامعتبر",Sync!$Y758=""),"",Sync!$Y758)</f>
        <v/>
      </c>
      <c r="H761">
        <f>IF($G761="","",IF(Sync!$X758="","",Sync!$X758))</f>
        <v/>
      </c>
      <c r="I761">
        <f>IF($G761="","",IFERROR(VLOOKUP(Sync!$X758,OpTbl,3,0),""))</f>
        <v/>
      </c>
      <c r="J761">
        <f>IF(OR($G761="",Sync!$Z758=""),"",Sync!$Z758)</f>
        <v/>
      </c>
      <c r="K761">
        <f>IF(OR($G761="",Sync!$AA758=""),"",Sync!$AA758)</f>
        <v/>
      </c>
      <c r="L761">
        <f>IF($G761="",0,IF(Sync!$AB758="",0,Sync!$AB758))</f>
        <v/>
      </c>
      <c r="M761">
        <f>IF($G761="",0,IF(Sync!$AC758="",0,Sync!$AC758))</f>
        <v/>
      </c>
      <c r="N761">
        <f>IF($G761="","",IF($H761="مرجوعی خرید",-1,1)*($L761-$M761*IFERROR(VLOOKUP("P01",ParamTbl,3,0),1.5))*(1-IF($I761="خرید",IFERROR(VLOOKUP("P02",ParamTbl,3,0),1),0)/100))</f>
        <v/>
      </c>
      <c r="O761">
        <f>IF($G761="",0,IF($H761="مرجوعی خرید",-1,1)*IF(Sync!$AD758="",0,Sync!$AD758))</f>
        <v/>
      </c>
      <c r="P761">
        <f>IF(OR($G761="",Sync!$W758=""),"",Sync!$W758)</f>
        <v/>
      </c>
      <c r="Q761">
        <f>IF(OR($G761="",Sync!$AE758=""),"",Sync!$AE758)</f>
        <v/>
      </c>
      <c r="R761">
        <f>IF($G761="","",IF(Sync!$V758="","0000",IF(AND(ISNUMBER(Sync!$V758),Sync!$V758&gt;=0,Sync!$V758&lt;1),RIGHT("00"&amp;HOUR(Sync!$V758),2)&amp;RIGHT("00"&amp;MINUTE(Sync!$V758),2),IFERROR(RIGHT("00"&amp;VALUE(LEFT(Sync!$V758,FIND(":",Sync!$V758)-1)),2)&amp;RIGHT("00"&amp;VALUE(MID(Sync!$V758,FIND(":",Sync!$V758)+1,2)),2),"0000"))))</f>
        <v/>
      </c>
    </row>
    <row r="762">
      <c r="A762">
        <f>IF(Sync!$U759="","",Sync!$U759)</f>
        <v/>
      </c>
      <c r="B762">
        <f>IF($A762="","",IF(ISNUMBER($A762),IF(AND($A762&gt;=10000101,$A762&lt;=99991231),INT($A762/10000),""),IFERROR(VALUE(TRIM(LEFT($A762,FIND("/",$A762)-1))),"")))</f>
        <v/>
      </c>
      <c r="C762">
        <f>IF(OR($A762="",$B762=""),"",IF(ISNUMBER($A762),INT(MOD($A762,10000)/100),IFERROR(VALUE(TRIM(LEFT(MID($A762,FIND("/",$A762)+1,20),FIND("/",MID($A762,FIND("/",$A762)+1,20))-1))),"")))</f>
        <v/>
      </c>
      <c r="D762">
        <f>IF(OR($A762="",$B762=""),"",IF(ISNUMBER($A762),MOD($A762,100),IFERROR(VALUE(TRIM(MID(MID($A762,FIND("/",$A762)+1,20),FIND("/",MID($A762,FIND("/",$A762)+1,20))+1,20))),"")))</f>
        <v/>
      </c>
      <c r="E762">
        <f>IF($A762="","",IF(OR($B762="",$C762="",$D762="",$B762&lt;1300,$B762&gt;1500,$C762&lt;1,$C762&gt;12,$D762&lt;1,$D762&gt;31),"نامعتبر",RIGHT("0000"&amp;$B762,4)&amp;"/"&amp;RIGHT("00"&amp;$C762,2)&amp;"/"&amp;RIGHT("00"&amp;$D762,2)))</f>
        <v/>
      </c>
      <c r="F762">
        <f>IF(OR($E762="",$E762="نامعتبر"),"",LEFT($E762,4)&amp;"/"&amp;MID($E762,6,2))</f>
        <v/>
      </c>
      <c r="G762">
        <f>IF(OR($E762="",$E762="نامعتبر",Sync!$Y759=""),"",Sync!$Y759)</f>
        <v/>
      </c>
      <c r="H762">
        <f>IF($G762="","",IF(Sync!$X759="","",Sync!$X759))</f>
        <v/>
      </c>
      <c r="I762">
        <f>IF($G762="","",IFERROR(VLOOKUP(Sync!$X759,OpTbl,3,0),""))</f>
        <v/>
      </c>
      <c r="J762">
        <f>IF(OR($G762="",Sync!$Z759=""),"",Sync!$Z759)</f>
        <v/>
      </c>
      <c r="K762">
        <f>IF(OR($G762="",Sync!$AA759=""),"",Sync!$AA759)</f>
        <v/>
      </c>
      <c r="L762">
        <f>IF($G762="",0,IF(Sync!$AB759="",0,Sync!$AB759))</f>
        <v/>
      </c>
      <c r="M762">
        <f>IF($G762="",0,IF(Sync!$AC759="",0,Sync!$AC759))</f>
        <v/>
      </c>
      <c r="N762">
        <f>IF($G762="","",IF($H762="مرجوعی خرید",-1,1)*($L762-$M762*IFERROR(VLOOKUP("P01",ParamTbl,3,0),1.5))*(1-IF($I762="خرید",IFERROR(VLOOKUP("P02",ParamTbl,3,0),1),0)/100))</f>
        <v/>
      </c>
      <c r="O762">
        <f>IF($G762="",0,IF($H762="مرجوعی خرید",-1,1)*IF(Sync!$AD759="",0,Sync!$AD759))</f>
        <v/>
      </c>
      <c r="P762">
        <f>IF(OR($G762="",Sync!$W759=""),"",Sync!$W759)</f>
        <v/>
      </c>
      <c r="Q762">
        <f>IF(OR($G762="",Sync!$AE759=""),"",Sync!$AE759)</f>
        <v/>
      </c>
      <c r="R762">
        <f>IF($G762="","",IF(Sync!$V759="","0000",IF(AND(ISNUMBER(Sync!$V759),Sync!$V759&gt;=0,Sync!$V759&lt;1),RIGHT("00"&amp;HOUR(Sync!$V759),2)&amp;RIGHT("00"&amp;MINUTE(Sync!$V759),2),IFERROR(RIGHT("00"&amp;VALUE(LEFT(Sync!$V759,FIND(":",Sync!$V759)-1)),2)&amp;RIGHT("00"&amp;VALUE(MID(Sync!$V759,FIND(":",Sync!$V759)+1,2)),2),"0000"))))</f>
        <v/>
      </c>
    </row>
    <row r="763">
      <c r="A763">
        <f>IF(Sync!$U760="","",Sync!$U760)</f>
        <v/>
      </c>
      <c r="B763">
        <f>IF($A763="","",IF(ISNUMBER($A763),IF(AND($A763&gt;=10000101,$A763&lt;=99991231),INT($A763/10000),""),IFERROR(VALUE(TRIM(LEFT($A763,FIND("/",$A763)-1))),"")))</f>
        <v/>
      </c>
      <c r="C763">
        <f>IF(OR($A763="",$B763=""),"",IF(ISNUMBER($A763),INT(MOD($A763,10000)/100),IFERROR(VALUE(TRIM(LEFT(MID($A763,FIND("/",$A763)+1,20),FIND("/",MID($A763,FIND("/",$A763)+1,20))-1))),"")))</f>
        <v/>
      </c>
      <c r="D763">
        <f>IF(OR($A763="",$B763=""),"",IF(ISNUMBER($A763),MOD($A763,100),IFERROR(VALUE(TRIM(MID(MID($A763,FIND("/",$A763)+1,20),FIND("/",MID($A763,FIND("/",$A763)+1,20))+1,20))),"")))</f>
        <v/>
      </c>
      <c r="E763">
        <f>IF($A763="","",IF(OR($B763="",$C763="",$D763="",$B763&lt;1300,$B763&gt;1500,$C763&lt;1,$C763&gt;12,$D763&lt;1,$D763&gt;31),"نامعتبر",RIGHT("0000"&amp;$B763,4)&amp;"/"&amp;RIGHT("00"&amp;$C763,2)&amp;"/"&amp;RIGHT("00"&amp;$D763,2)))</f>
        <v/>
      </c>
      <c r="F763">
        <f>IF(OR($E763="",$E763="نامعتبر"),"",LEFT($E763,4)&amp;"/"&amp;MID($E763,6,2))</f>
        <v/>
      </c>
      <c r="G763">
        <f>IF(OR($E763="",$E763="نامعتبر",Sync!$Y760=""),"",Sync!$Y760)</f>
        <v/>
      </c>
      <c r="H763">
        <f>IF($G763="","",IF(Sync!$X760="","",Sync!$X760))</f>
        <v/>
      </c>
      <c r="I763">
        <f>IF($G763="","",IFERROR(VLOOKUP(Sync!$X760,OpTbl,3,0),""))</f>
        <v/>
      </c>
      <c r="J763">
        <f>IF(OR($G763="",Sync!$Z760=""),"",Sync!$Z760)</f>
        <v/>
      </c>
      <c r="K763">
        <f>IF(OR($G763="",Sync!$AA760=""),"",Sync!$AA760)</f>
        <v/>
      </c>
      <c r="L763">
        <f>IF($G763="",0,IF(Sync!$AB760="",0,Sync!$AB760))</f>
        <v/>
      </c>
      <c r="M763">
        <f>IF($G763="",0,IF(Sync!$AC760="",0,Sync!$AC760))</f>
        <v/>
      </c>
      <c r="N763">
        <f>IF($G763="","",IF($H763="مرجوعی خرید",-1,1)*($L763-$M763*IFERROR(VLOOKUP("P01",ParamTbl,3,0),1.5))*(1-IF($I763="خرید",IFERROR(VLOOKUP("P02",ParamTbl,3,0),1),0)/100))</f>
        <v/>
      </c>
      <c r="O763">
        <f>IF($G763="",0,IF($H763="مرجوعی خرید",-1,1)*IF(Sync!$AD760="",0,Sync!$AD760))</f>
        <v/>
      </c>
      <c r="P763">
        <f>IF(OR($G763="",Sync!$W760=""),"",Sync!$W760)</f>
        <v/>
      </c>
      <c r="Q763">
        <f>IF(OR($G763="",Sync!$AE760=""),"",Sync!$AE760)</f>
        <v/>
      </c>
      <c r="R763">
        <f>IF($G763="","",IF(Sync!$V760="","0000",IF(AND(ISNUMBER(Sync!$V760),Sync!$V760&gt;=0,Sync!$V760&lt;1),RIGHT("00"&amp;HOUR(Sync!$V760),2)&amp;RIGHT("00"&amp;MINUTE(Sync!$V760),2),IFERROR(RIGHT("00"&amp;VALUE(LEFT(Sync!$V760,FIND(":",Sync!$V760)-1)),2)&amp;RIGHT("00"&amp;VALUE(MID(Sync!$V760,FIND(":",Sync!$V760)+1,2)),2),"0000"))))</f>
        <v/>
      </c>
    </row>
    <row r="764">
      <c r="A764">
        <f>IF(Sync!$U761="","",Sync!$U761)</f>
        <v/>
      </c>
      <c r="B764">
        <f>IF($A764="","",IF(ISNUMBER($A764),IF(AND($A764&gt;=10000101,$A764&lt;=99991231),INT($A764/10000),""),IFERROR(VALUE(TRIM(LEFT($A764,FIND("/",$A764)-1))),"")))</f>
        <v/>
      </c>
      <c r="C764">
        <f>IF(OR($A764="",$B764=""),"",IF(ISNUMBER($A764),INT(MOD($A764,10000)/100),IFERROR(VALUE(TRIM(LEFT(MID($A764,FIND("/",$A764)+1,20),FIND("/",MID($A764,FIND("/",$A764)+1,20))-1))),"")))</f>
        <v/>
      </c>
      <c r="D764">
        <f>IF(OR($A764="",$B764=""),"",IF(ISNUMBER($A764),MOD($A764,100),IFERROR(VALUE(TRIM(MID(MID($A764,FIND("/",$A764)+1,20),FIND("/",MID($A764,FIND("/",$A764)+1,20))+1,20))),"")))</f>
        <v/>
      </c>
      <c r="E764">
        <f>IF($A764="","",IF(OR($B764="",$C764="",$D764="",$B764&lt;1300,$B764&gt;1500,$C764&lt;1,$C764&gt;12,$D764&lt;1,$D764&gt;31),"نامعتبر",RIGHT("0000"&amp;$B764,4)&amp;"/"&amp;RIGHT("00"&amp;$C764,2)&amp;"/"&amp;RIGHT("00"&amp;$D764,2)))</f>
        <v/>
      </c>
      <c r="F764">
        <f>IF(OR($E764="",$E764="نامعتبر"),"",LEFT($E764,4)&amp;"/"&amp;MID($E764,6,2))</f>
        <v/>
      </c>
      <c r="G764">
        <f>IF(OR($E764="",$E764="نامعتبر",Sync!$Y761=""),"",Sync!$Y761)</f>
        <v/>
      </c>
      <c r="H764">
        <f>IF($G764="","",IF(Sync!$X761="","",Sync!$X761))</f>
        <v/>
      </c>
      <c r="I764">
        <f>IF($G764="","",IFERROR(VLOOKUP(Sync!$X761,OpTbl,3,0),""))</f>
        <v/>
      </c>
      <c r="J764">
        <f>IF(OR($G764="",Sync!$Z761=""),"",Sync!$Z761)</f>
        <v/>
      </c>
      <c r="K764">
        <f>IF(OR($G764="",Sync!$AA761=""),"",Sync!$AA761)</f>
        <v/>
      </c>
      <c r="L764">
        <f>IF($G764="",0,IF(Sync!$AB761="",0,Sync!$AB761))</f>
        <v/>
      </c>
      <c r="M764">
        <f>IF($G764="",0,IF(Sync!$AC761="",0,Sync!$AC761))</f>
        <v/>
      </c>
      <c r="N764">
        <f>IF($G764="","",IF($H764="مرجوعی خرید",-1,1)*($L764-$M764*IFERROR(VLOOKUP("P01",ParamTbl,3,0),1.5))*(1-IF($I764="خرید",IFERROR(VLOOKUP("P02",ParamTbl,3,0),1),0)/100))</f>
        <v/>
      </c>
      <c r="O764">
        <f>IF($G764="",0,IF($H764="مرجوعی خرید",-1,1)*IF(Sync!$AD761="",0,Sync!$AD761))</f>
        <v/>
      </c>
      <c r="P764">
        <f>IF(OR($G764="",Sync!$W761=""),"",Sync!$W761)</f>
        <v/>
      </c>
      <c r="Q764">
        <f>IF(OR($G764="",Sync!$AE761=""),"",Sync!$AE761)</f>
        <v/>
      </c>
      <c r="R764">
        <f>IF($G764="","",IF(Sync!$V761="","0000",IF(AND(ISNUMBER(Sync!$V761),Sync!$V761&gt;=0,Sync!$V761&lt;1),RIGHT("00"&amp;HOUR(Sync!$V761),2)&amp;RIGHT("00"&amp;MINUTE(Sync!$V761),2),IFERROR(RIGHT("00"&amp;VALUE(LEFT(Sync!$V761,FIND(":",Sync!$V761)-1)),2)&amp;RIGHT("00"&amp;VALUE(MID(Sync!$V761,FIND(":",Sync!$V761)+1,2)),2),"0000"))))</f>
        <v/>
      </c>
    </row>
    <row r="765">
      <c r="A765">
        <f>IF(Sync!$U762="","",Sync!$U762)</f>
        <v/>
      </c>
      <c r="B765">
        <f>IF($A765="","",IF(ISNUMBER($A765),IF(AND($A765&gt;=10000101,$A765&lt;=99991231),INT($A765/10000),""),IFERROR(VALUE(TRIM(LEFT($A765,FIND("/",$A765)-1))),"")))</f>
        <v/>
      </c>
      <c r="C765">
        <f>IF(OR($A765="",$B765=""),"",IF(ISNUMBER($A765),INT(MOD($A765,10000)/100),IFERROR(VALUE(TRIM(LEFT(MID($A765,FIND("/",$A765)+1,20),FIND("/",MID($A765,FIND("/",$A765)+1,20))-1))),"")))</f>
        <v/>
      </c>
      <c r="D765">
        <f>IF(OR($A765="",$B765=""),"",IF(ISNUMBER($A765),MOD($A765,100),IFERROR(VALUE(TRIM(MID(MID($A765,FIND("/",$A765)+1,20),FIND("/",MID($A765,FIND("/",$A765)+1,20))+1,20))),"")))</f>
        <v/>
      </c>
      <c r="E765">
        <f>IF($A765="","",IF(OR($B765="",$C765="",$D765="",$B765&lt;1300,$B765&gt;1500,$C765&lt;1,$C765&gt;12,$D765&lt;1,$D765&gt;31),"نامعتبر",RIGHT("0000"&amp;$B765,4)&amp;"/"&amp;RIGHT("00"&amp;$C765,2)&amp;"/"&amp;RIGHT("00"&amp;$D765,2)))</f>
        <v/>
      </c>
      <c r="F765">
        <f>IF(OR($E765="",$E765="نامعتبر"),"",LEFT($E765,4)&amp;"/"&amp;MID($E765,6,2))</f>
        <v/>
      </c>
      <c r="G765">
        <f>IF(OR($E765="",$E765="نامعتبر",Sync!$Y762=""),"",Sync!$Y762)</f>
        <v/>
      </c>
      <c r="H765">
        <f>IF($G765="","",IF(Sync!$X762="","",Sync!$X762))</f>
        <v/>
      </c>
      <c r="I765">
        <f>IF($G765="","",IFERROR(VLOOKUP(Sync!$X762,OpTbl,3,0),""))</f>
        <v/>
      </c>
      <c r="J765">
        <f>IF(OR($G765="",Sync!$Z762=""),"",Sync!$Z762)</f>
        <v/>
      </c>
      <c r="K765">
        <f>IF(OR($G765="",Sync!$AA762=""),"",Sync!$AA762)</f>
        <v/>
      </c>
      <c r="L765">
        <f>IF($G765="",0,IF(Sync!$AB762="",0,Sync!$AB762))</f>
        <v/>
      </c>
      <c r="M765">
        <f>IF($G765="",0,IF(Sync!$AC762="",0,Sync!$AC762))</f>
        <v/>
      </c>
      <c r="N765">
        <f>IF($G765="","",IF($H765="مرجوعی خرید",-1,1)*($L765-$M765*IFERROR(VLOOKUP("P01",ParamTbl,3,0),1.5))*(1-IF($I765="خرید",IFERROR(VLOOKUP("P02",ParamTbl,3,0),1),0)/100))</f>
        <v/>
      </c>
      <c r="O765">
        <f>IF($G765="",0,IF($H765="مرجوعی خرید",-1,1)*IF(Sync!$AD762="",0,Sync!$AD762))</f>
        <v/>
      </c>
      <c r="P765">
        <f>IF(OR($G765="",Sync!$W762=""),"",Sync!$W762)</f>
        <v/>
      </c>
      <c r="Q765">
        <f>IF(OR($G765="",Sync!$AE762=""),"",Sync!$AE762)</f>
        <v/>
      </c>
      <c r="R765">
        <f>IF($G765="","",IF(Sync!$V762="","0000",IF(AND(ISNUMBER(Sync!$V762),Sync!$V762&gt;=0,Sync!$V762&lt;1),RIGHT("00"&amp;HOUR(Sync!$V762),2)&amp;RIGHT("00"&amp;MINUTE(Sync!$V762),2),IFERROR(RIGHT("00"&amp;VALUE(LEFT(Sync!$V762,FIND(":",Sync!$V762)-1)),2)&amp;RIGHT("00"&amp;VALUE(MID(Sync!$V762,FIND(":",Sync!$V762)+1,2)),2),"0000"))))</f>
        <v/>
      </c>
    </row>
    <row r="766">
      <c r="A766">
        <f>IF(Sync!$U763="","",Sync!$U763)</f>
        <v/>
      </c>
      <c r="B766">
        <f>IF($A766="","",IF(ISNUMBER($A766),IF(AND($A766&gt;=10000101,$A766&lt;=99991231),INT($A766/10000),""),IFERROR(VALUE(TRIM(LEFT($A766,FIND("/",$A766)-1))),"")))</f>
        <v/>
      </c>
      <c r="C766">
        <f>IF(OR($A766="",$B766=""),"",IF(ISNUMBER($A766),INT(MOD($A766,10000)/100),IFERROR(VALUE(TRIM(LEFT(MID($A766,FIND("/",$A766)+1,20),FIND("/",MID($A766,FIND("/",$A766)+1,20))-1))),"")))</f>
        <v/>
      </c>
      <c r="D766">
        <f>IF(OR($A766="",$B766=""),"",IF(ISNUMBER($A766),MOD($A766,100),IFERROR(VALUE(TRIM(MID(MID($A766,FIND("/",$A766)+1,20),FIND("/",MID($A766,FIND("/",$A766)+1,20))+1,20))),"")))</f>
        <v/>
      </c>
      <c r="E766">
        <f>IF($A766="","",IF(OR($B766="",$C766="",$D766="",$B766&lt;1300,$B766&gt;1500,$C766&lt;1,$C766&gt;12,$D766&lt;1,$D766&gt;31),"نامعتبر",RIGHT("0000"&amp;$B766,4)&amp;"/"&amp;RIGHT("00"&amp;$C766,2)&amp;"/"&amp;RIGHT("00"&amp;$D766,2)))</f>
        <v/>
      </c>
      <c r="F766">
        <f>IF(OR($E766="",$E766="نامعتبر"),"",LEFT($E766,4)&amp;"/"&amp;MID($E766,6,2))</f>
        <v/>
      </c>
      <c r="G766">
        <f>IF(OR($E766="",$E766="نامعتبر",Sync!$Y763=""),"",Sync!$Y763)</f>
        <v/>
      </c>
      <c r="H766">
        <f>IF($G766="","",IF(Sync!$X763="","",Sync!$X763))</f>
        <v/>
      </c>
      <c r="I766">
        <f>IF($G766="","",IFERROR(VLOOKUP(Sync!$X763,OpTbl,3,0),""))</f>
        <v/>
      </c>
      <c r="J766">
        <f>IF(OR($G766="",Sync!$Z763=""),"",Sync!$Z763)</f>
        <v/>
      </c>
      <c r="K766">
        <f>IF(OR($G766="",Sync!$AA763=""),"",Sync!$AA763)</f>
        <v/>
      </c>
      <c r="L766">
        <f>IF($G766="",0,IF(Sync!$AB763="",0,Sync!$AB763))</f>
        <v/>
      </c>
      <c r="M766">
        <f>IF($G766="",0,IF(Sync!$AC763="",0,Sync!$AC763))</f>
        <v/>
      </c>
      <c r="N766">
        <f>IF($G766="","",IF($H766="مرجوعی خرید",-1,1)*($L766-$M766*IFERROR(VLOOKUP("P01",ParamTbl,3,0),1.5))*(1-IF($I766="خرید",IFERROR(VLOOKUP("P02",ParamTbl,3,0),1),0)/100))</f>
        <v/>
      </c>
      <c r="O766">
        <f>IF($G766="",0,IF($H766="مرجوعی خرید",-1,1)*IF(Sync!$AD763="",0,Sync!$AD763))</f>
        <v/>
      </c>
      <c r="P766">
        <f>IF(OR($G766="",Sync!$W763=""),"",Sync!$W763)</f>
        <v/>
      </c>
      <c r="Q766">
        <f>IF(OR($G766="",Sync!$AE763=""),"",Sync!$AE763)</f>
        <v/>
      </c>
      <c r="R766">
        <f>IF($G766="","",IF(Sync!$V763="","0000",IF(AND(ISNUMBER(Sync!$V763),Sync!$V763&gt;=0,Sync!$V763&lt;1),RIGHT("00"&amp;HOUR(Sync!$V763),2)&amp;RIGHT("00"&amp;MINUTE(Sync!$V763),2),IFERROR(RIGHT("00"&amp;VALUE(LEFT(Sync!$V763,FIND(":",Sync!$V763)-1)),2)&amp;RIGHT("00"&amp;VALUE(MID(Sync!$V763,FIND(":",Sync!$V763)+1,2)),2),"0000"))))</f>
        <v/>
      </c>
    </row>
    <row r="767">
      <c r="A767">
        <f>IF(Sync!$U764="","",Sync!$U764)</f>
        <v/>
      </c>
      <c r="B767">
        <f>IF($A767="","",IF(ISNUMBER($A767),IF(AND($A767&gt;=10000101,$A767&lt;=99991231),INT($A767/10000),""),IFERROR(VALUE(TRIM(LEFT($A767,FIND("/",$A767)-1))),"")))</f>
        <v/>
      </c>
      <c r="C767">
        <f>IF(OR($A767="",$B767=""),"",IF(ISNUMBER($A767),INT(MOD($A767,10000)/100),IFERROR(VALUE(TRIM(LEFT(MID($A767,FIND("/",$A767)+1,20),FIND("/",MID($A767,FIND("/",$A767)+1,20))-1))),"")))</f>
        <v/>
      </c>
      <c r="D767">
        <f>IF(OR($A767="",$B767=""),"",IF(ISNUMBER($A767),MOD($A767,100),IFERROR(VALUE(TRIM(MID(MID($A767,FIND("/",$A767)+1,20),FIND("/",MID($A767,FIND("/",$A767)+1,20))+1,20))),"")))</f>
        <v/>
      </c>
      <c r="E767">
        <f>IF($A767="","",IF(OR($B767="",$C767="",$D767="",$B767&lt;1300,$B767&gt;1500,$C767&lt;1,$C767&gt;12,$D767&lt;1,$D767&gt;31),"نامعتبر",RIGHT("0000"&amp;$B767,4)&amp;"/"&amp;RIGHT("00"&amp;$C767,2)&amp;"/"&amp;RIGHT("00"&amp;$D767,2)))</f>
        <v/>
      </c>
      <c r="F767">
        <f>IF(OR($E767="",$E767="نامعتبر"),"",LEFT($E767,4)&amp;"/"&amp;MID($E767,6,2))</f>
        <v/>
      </c>
      <c r="G767">
        <f>IF(OR($E767="",$E767="نامعتبر",Sync!$Y764=""),"",Sync!$Y764)</f>
        <v/>
      </c>
      <c r="H767">
        <f>IF($G767="","",IF(Sync!$X764="","",Sync!$X764))</f>
        <v/>
      </c>
      <c r="I767">
        <f>IF($G767="","",IFERROR(VLOOKUP(Sync!$X764,OpTbl,3,0),""))</f>
        <v/>
      </c>
      <c r="J767">
        <f>IF(OR($G767="",Sync!$Z764=""),"",Sync!$Z764)</f>
        <v/>
      </c>
      <c r="K767">
        <f>IF(OR($G767="",Sync!$AA764=""),"",Sync!$AA764)</f>
        <v/>
      </c>
      <c r="L767">
        <f>IF($G767="",0,IF(Sync!$AB764="",0,Sync!$AB764))</f>
        <v/>
      </c>
      <c r="M767">
        <f>IF($G767="",0,IF(Sync!$AC764="",0,Sync!$AC764))</f>
        <v/>
      </c>
      <c r="N767">
        <f>IF($G767="","",IF($H767="مرجوعی خرید",-1,1)*($L767-$M767*IFERROR(VLOOKUP("P01",ParamTbl,3,0),1.5))*(1-IF($I767="خرید",IFERROR(VLOOKUP("P02",ParamTbl,3,0),1),0)/100))</f>
        <v/>
      </c>
      <c r="O767">
        <f>IF($G767="",0,IF($H767="مرجوعی خرید",-1,1)*IF(Sync!$AD764="",0,Sync!$AD764))</f>
        <v/>
      </c>
      <c r="P767">
        <f>IF(OR($G767="",Sync!$W764=""),"",Sync!$W764)</f>
        <v/>
      </c>
      <c r="Q767">
        <f>IF(OR($G767="",Sync!$AE764=""),"",Sync!$AE764)</f>
        <v/>
      </c>
      <c r="R767">
        <f>IF($G767="","",IF(Sync!$V764="","0000",IF(AND(ISNUMBER(Sync!$V764),Sync!$V764&gt;=0,Sync!$V764&lt;1),RIGHT("00"&amp;HOUR(Sync!$V764),2)&amp;RIGHT("00"&amp;MINUTE(Sync!$V764),2),IFERROR(RIGHT("00"&amp;VALUE(LEFT(Sync!$V764,FIND(":",Sync!$V764)-1)),2)&amp;RIGHT("00"&amp;VALUE(MID(Sync!$V764,FIND(":",Sync!$V764)+1,2)),2),"0000"))))</f>
        <v/>
      </c>
    </row>
    <row r="768">
      <c r="A768">
        <f>IF(Sync!$U765="","",Sync!$U765)</f>
        <v/>
      </c>
      <c r="B768">
        <f>IF($A768="","",IF(ISNUMBER($A768),IF(AND($A768&gt;=10000101,$A768&lt;=99991231),INT($A768/10000),""),IFERROR(VALUE(TRIM(LEFT($A768,FIND("/",$A768)-1))),"")))</f>
        <v/>
      </c>
      <c r="C768">
        <f>IF(OR($A768="",$B768=""),"",IF(ISNUMBER($A768),INT(MOD($A768,10000)/100),IFERROR(VALUE(TRIM(LEFT(MID($A768,FIND("/",$A768)+1,20),FIND("/",MID($A768,FIND("/",$A768)+1,20))-1))),"")))</f>
        <v/>
      </c>
      <c r="D768">
        <f>IF(OR($A768="",$B768=""),"",IF(ISNUMBER($A768),MOD($A768,100),IFERROR(VALUE(TRIM(MID(MID($A768,FIND("/",$A768)+1,20),FIND("/",MID($A768,FIND("/",$A768)+1,20))+1,20))),"")))</f>
        <v/>
      </c>
      <c r="E768">
        <f>IF($A768="","",IF(OR($B768="",$C768="",$D768="",$B768&lt;1300,$B768&gt;1500,$C768&lt;1,$C768&gt;12,$D768&lt;1,$D768&gt;31),"نامعتبر",RIGHT("0000"&amp;$B768,4)&amp;"/"&amp;RIGHT("00"&amp;$C768,2)&amp;"/"&amp;RIGHT("00"&amp;$D768,2)))</f>
        <v/>
      </c>
      <c r="F768">
        <f>IF(OR($E768="",$E768="نامعتبر"),"",LEFT($E768,4)&amp;"/"&amp;MID($E768,6,2))</f>
        <v/>
      </c>
      <c r="G768">
        <f>IF(OR($E768="",$E768="نامعتبر",Sync!$Y765=""),"",Sync!$Y765)</f>
        <v/>
      </c>
      <c r="H768">
        <f>IF($G768="","",IF(Sync!$X765="","",Sync!$X765))</f>
        <v/>
      </c>
      <c r="I768">
        <f>IF($G768="","",IFERROR(VLOOKUP(Sync!$X765,OpTbl,3,0),""))</f>
        <v/>
      </c>
      <c r="J768">
        <f>IF(OR($G768="",Sync!$Z765=""),"",Sync!$Z765)</f>
        <v/>
      </c>
      <c r="K768">
        <f>IF(OR($G768="",Sync!$AA765=""),"",Sync!$AA765)</f>
        <v/>
      </c>
      <c r="L768">
        <f>IF($G768="",0,IF(Sync!$AB765="",0,Sync!$AB765))</f>
        <v/>
      </c>
      <c r="M768">
        <f>IF($G768="",0,IF(Sync!$AC765="",0,Sync!$AC765))</f>
        <v/>
      </c>
      <c r="N768">
        <f>IF($G768="","",IF($H768="مرجوعی خرید",-1,1)*($L768-$M768*IFERROR(VLOOKUP("P01",ParamTbl,3,0),1.5))*(1-IF($I768="خرید",IFERROR(VLOOKUP("P02",ParamTbl,3,0),1),0)/100))</f>
        <v/>
      </c>
      <c r="O768">
        <f>IF($G768="",0,IF($H768="مرجوعی خرید",-1,1)*IF(Sync!$AD765="",0,Sync!$AD765))</f>
        <v/>
      </c>
      <c r="P768">
        <f>IF(OR($G768="",Sync!$W765=""),"",Sync!$W765)</f>
        <v/>
      </c>
      <c r="Q768">
        <f>IF(OR($G768="",Sync!$AE765=""),"",Sync!$AE765)</f>
        <v/>
      </c>
      <c r="R768">
        <f>IF($G768="","",IF(Sync!$V765="","0000",IF(AND(ISNUMBER(Sync!$V765),Sync!$V765&gt;=0,Sync!$V765&lt;1),RIGHT("00"&amp;HOUR(Sync!$V765),2)&amp;RIGHT("00"&amp;MINUTE(Sync!$V765),2),IFERROR(RIGHT("00"&amp;VALUE(LEFT(Sync!$V765,FIND(":",Sync!$V765)-1)),2)&amp;RIGHT("00"&amp;VALUE(MID(Sync!$V765,FIND(":",Sync!$V765)+1,2)),2),"0000"))))</f>
        <v/>
      </c>
    </row>
    <row r="769">
      <c r="A769">
        <f>IF(Sync!$U766="","",Sync!$U766)</f>
        <v/>
      </c>
      <c r="B769">
        <f>IF($A769="","",IF(ISNUMBER($A769),IF(AND($A769&gt;=10000101,$A769&lt;=99991231),INT($A769/10000),""),IFERROR(VALUE(TRIM(LEFT($A769,FIND("/",$A769)-1))),"")))</f>
        <v/>
      </c>
      <c r="C769">
        <f>IF(OR($A769="",$B769=""),"",IF(ISNUMBER($A769),INT(MOD($A769,10000)/100),IFERROR(VALUE(TRIM(LEFT(MID($A769,FIND("/",$A769)+1,20),FIND("/",MID($A769,FIND("/",$A769)+1,20))-1))),"")))</f>
        <v/>
      </c>
      <c r="D769">
        <f>IF(OR($A769="",$B769=""),"",IF(ISNUMBER($A769),MOD($A769,100),IFERROR(VALUE(TRIM(MID(MID($A769,FIND("/",$A769)+1,20),FIND("/",MID($A769,FIND("/",$A769)+1,20))+1,20))),"")))</f>
        <v/>
      </c>
      <c r="E769">
        <f>IF($A769="","",IF(OR($B769="",$C769="",$D769="",$B769&lt;1300,$B769&gt;1500,$C769&lt;1,$C769&gt;12,$D769&lt;1,$D769&gt;31),"نامعتبر",RIGHT("0000"&amp;$B769,4)&amp;"/"&amp;RIGHT("00"&amp;$C769,2)&amp;"/"&amp;RIGHT("00"&amp;$D769,2)))</f>
        <v/>
      </c>
      <c r="F769">
        <f>IF(OR($E769="",$E769="نامعتبر"),"",LEFT($E769,4)&amp;"/"&amp;MID($E769,6,2))</f>
        <v/>
      </c>
      <c r="G769">
        <f>IF(OR($E769="",$E769="نامعتبر",Sync!$Y766=""),"",Sync!$Y766)</f>
        <v/>
      </c>
      <c r="H769">
        <f>IF($G769="","",IF(Sync!$X766="","",Sync!$X766))</f>
        <v/>
      </c>
      <c r="I769">
        <f>IF($G769="","",IFERROR(VLOOKUP(Sync!$X766,OpTbl,3,0),""))</f>
        <v/>
      </c>
      <c r="J769">
        <f>IF(OR($G769="",Sync!$Z766=""),"",Sync!$Z766)</f>
        <v/>
      </c>
      <c r="K769">
        <f>IF(OR($G769="",Sync!$AA766=""),"",Sync!$AA766)</f>
        <v/>
      </c>
      <c r="L769">
        <f>IF($G769="",0,IF(Sync!$AB766="",0,Sync!$AB766))</f>
        <v/>
      </c>
      <c r="M769">
        <f>IF($G769="",0,IF(Sync!$AC766="",0,Sync!$AC766))</f>
        <v/>
      </c>
      <c r="N769">
        <f>IF($G769="","",IF($H769="مرجوعی خرید",-1,1)*($L769-$M769*IFERROR(VLOOKUP("P01",ParamTbl,3,0),1.5))*(1-IF($I769="خرید",IFERROR(VLOOKUP("P02",ParamTbl,3,0),1),0)/100))</f>
        <v/>
      </c>
      <c r="O769">
        <f>IF($G769="",0,IF($H769="مرجوعی خرید",-1,1)*IF(Sync!$AD766="",0,Sync!$AD766))</f>
        <v/>
      </c>
      <c r="P769">
        <f>IF(OR($G769="",Sync!$W766=""),"",Sync!$W766)</f>
        <v/>
      </c>
      <c r="Q769">
        <f>IF(OR($G769="",Sync!$AE766=""),"",Sync!$AE766)</f>
        <v/>
      </c>
      <c r="R769">
        <f>IF($G769="","",IF(Sync!$V766="","0000",IF(AND(ISNUMBER(Sync!$V766),Sync!$V766&gt;=0,Sync!$V766&lt;1),RIGHT("00"&amp;HOUR(Sync!$V766),2)&amp;RIGHT("00"&amp;MINUTE(Sync!$V766),2),IFERROR(RIGHT("00"&amp;VALUE(LEFT(Sync!$V766,FIND(":",Sync!$V766)-1)),2)&amp;RIGHT("00"&amp;VALUE(MID(Sync!$V766,FIND(":",Sync!$V766)+1,2)),2),"0000"))))</f>
        <v/>
      </c>
    </row>
    <row r="770">
      <c r="A770">
        <f>IF(Sync!$U767="","",Sync!$U767)</f>
        <v/>
      </c>
      <c r="B770">
        <f>IF($A770="","",IF(ISNUMBER($A770),IF(AND($A770&gt;=10000101,$A770&lt;=99991231),INT($A770/10000),""),IFERROR(VALUE(TRIM(LEFT($A770,FIND("/",$A770)-1))),"")))</f>
        <v/>
      </c>
      <c r="C770">
        <f>IF(OR($A770="",$B770=""),"",IF(ISNUMBER($A770),INT(MOD($A770,10000)/100),IFERROR(VALUE(TRIM(LEFT(MID($A770,FIND("/",$A770)+1,20),FIND("/",MID($A770,FIND("/",$A770)+1,20))-1))),"")))</f>
        <v/>
      </c>
      <c r="D770">
        <f>IF(OR($A770="",$B770=""),"",IF(ISNUMBER($A770),MOD($A770,100),IFERROR(VALUE(TRIM(MID(MID($A770,FIND("/",$A770)+1,20),FIND("/",MID($A770,FIND("/",$A770)+1,20))+1,20))),"")))</f>
        <v/>
      </c>
      <c r="E770">
        <f>IF($A770="","",IF(OR($B770="",$C770="",$D770="",$B770&lt;1300,$B770&gt;1500,$C770&lt;1,$C770&gt;12,$D770&lt;1,$D770&gt;31),"نامعتبر",RIGHT("0000"&amp;$B770,4)&amp;"/"&amp;RIGHT("00"&amp;$C770,2)&amp;"/"&amp;RIGHT("00"&amp;$D770,2)))</f>
        <v/>
      </c>
      <c r="F770">
        <f>IF(OR($E770="",$E770="نامعتبر"),"",LEFT($E770,4)&amp;"/"&amp;MID($E770,6,2))</f>
        <v/>
      </c>
      <c r="G770">
        <f>IF(OR($E770="",$E770="نامعتبر",Sync!$Y767=""),"",Sync!$Y767)</f>
        <v/>
      </c>
      <c r="H770">
        <f>IF($G770="","",IF(Sync!$X767="","",Sync!$X767))</f>
        <v/>
      </c>
      <c r="I770">
        <f>IF($G770="","",IFERROR(VLOOKUP(Sync!$X767,OpTbl,3,0),""))</f>
        <v/>
      </c>
      <c r="J770">
        <f>IF(OR($G770="",Sync!$Z767=""),"",Sync!$Z767)</f>
        <v/>
      </c>
      <c r="K770">
        <f>IF(OR($G770="",Sync!$AA767=""),"",Sync!$AA767)</f>
        <v/>
      </c>
      <c r="L770">
        <f>IF($G770="",0,IF(Sync!$AB767="",0,Sync!$AB767))</f>
        <v/>
      </c>
      <c r="M770">
        <f>IF($G770="",0,IF(Sync!$AC767="",0,Sync!$AC767))</f>
        <v/>
      </c>
      <c r="N770">
        <f>IF($G770="","",IF($H770="مرجوعی خرید",-1,1)*($L770-$M770*IFERROR(VLOOKUP("P01",ParamTbl,3,0),1.5))*(1-IF($I770="خرید",IFERROR(VLOOKUP("P02",ParamTbl,3,0),1),0)/100))</f>
        <v/>
      </c>
      <c r="O770">
        <f>IF($G770="",0,IF($H770="مرجوعی خرید",-1,1)*IF(Sync!$AD767="",0,Sync!$AD767))</f>
        <v/>
      </c>
      <c r="P770">
        <f>IF(OR($G770="",Sync!$W767=""),"",Sync!$W767)</f>
        <v/>
      </c>
      <c r="Q770">
        <f>IF(OR($G770="",Sync!$AE767=""),"",Sync!$AE767)</f>
        <v/>
      </c>
      <c r="R770">
        <f>IF($G770="","",IF(Sync!$V767="","0000",IF(AND(ISNUMBER(Sync!$V767),Sync!$V767&gt;=0,Sync!$V767&lt;1),RIGHT("00"&amp;HOUR(Sync!$V767),2)&amp;RIGHT("00"&amp;MINUTE(Sync!$V767),2),IFERROR(RIGHT("00"&amp;VALUE(LEFT(Sync!$V767,FIND(":",Sync!$V767)-1)),2)&amp;RIGHT("00"&amp;VALUE(MID(Sync!$V767,FIND(":",Sync!$V767)+1,2)),2),"0000"))))</f>
        <v/>
      </c>
    </row>
    <row r="771">
      <c r="A771">
        <f>IF(Sync!$U768="","",Sync!$U768)</f>
        <v/>
      </c>
      <c r="B771">
        <f>IF($A771="","",IF(ISNUMBER($A771),IF(AND($A771&gt;=10000101,$A771&lt;=99991231),INT($A771/10000),""),IFERROR(VALUE(TRIM(LEFT($A771,FIND("/",$A771)-1))),"")))</f>
        <v/>
      </c>
      <c r="C771">
        <f>IF(OR($A771="",$B771=""),"",IF(ISNUMBER($A771),INT(MOD($A771,10000)/100),IFERROR(VALUE(TRIM(LEFT(MID($A771,FIND("/",$A771)+1,20),FIND("/",MID($A771,FIND("/",$A771)+1,20))-1))),"")))</f>
        <v/>
      </c>
      <c r="D771">
        <f>IF(OR($A771="",$B771=""),"",IF(ISNUMBER($A771),MOD($A771,100),IFERROR(VALUE(TRIM(MID(MID($A771,FIND("/",$A771)+1,20),FIND("/",MID($A771,FIND("/",$A771)+1,20))+1,20))),"")))</f>
        <v/>
      </c>
      <c r="E771">
        <f>IF($A771="","",IF(OR($B771="",$C771="",$D771="",$B771&lt;1300,$B771&gt;1500,$C771&lt;1,$C771&gt;12,$D771&lt;1,$D771&gt;31),"نامعتبر",RIGHT("0000"&amp;$B771,4)&amp;"/"&amp;RIGHT("00"&amp;$C771,2)&amp;"/"&amp;RIGHT("00"&amp;$D771,2)))</f>
        <v/>
      </c>
      <c r="F771">
        <f>IF(OR($E771="",$E771="نامعتبر"),"",LEFT($E771,4)&amp;"/"&amp;MID($E771,6,2))</f>
        <v/>
      </c>
      <c r="G771">
        <f>IF(OR($E771="",$E771="نامعتبر",Sync!$Y768=""),"",Sync!$Y768)</f>
        <v/>
      </c>
      <c r="H771">
        <f>IF($G771="","",IF(Sync!$X768="","",Sync!$X768))</f>
        <v/>
      </c>
      <c r="I771">
        <f>IF($G771="","",IFERROR(VLOOKUP(Sync!$X768,OpTbl,3,0),""))</f>
        <v/>
      </c>
      <c r="J771">
        <f>IF(OR($G771="",Sync!$Z768=""),"",Sync!$Z768)</f>
        <v/>
      </c>
      <c r="K771">
        <f>IF(OR($G771="",Sync!$AA768=""),"",Sync!$AA768)</f>
        <v/>
      </c>
      <c r="L771">
        <f>IF($G771="",0,IF(Sync!$AB768="",0,Sync!$AB768))</f>
        <v/>
      </c>
      <c r="M771">
        <f>IF($G771="",0,IF(Sync!$AC768="",0,Sync!$AC768))</f>
        <v/>
      </c>
      <c r="N771">
        <f>IF($G771="","",IF($H771="مرجوعی خرید",-1,1)*($L771-$M771*IFERROR(VLOOKUP("P01",ParamTbl,3,0),1.5))*(1-IF($I771="خرید",IFERROR(VLOOKUP("P02",ParamTbl,3,0),1),0)/100))</f>
        <v/>
      </c>
      <c r="O771">
        <f>IF($G771="",0,IF($H771="مرجوعی خرید",-1,1)*IF(Sync!$AD768="",0,Sync!$AD768))</f>
        <v/>
      </c>
      <c r="P771">
        <f>IF(OR($G771="",Sync!$W768=""),"",Sync!$W768)</f>
        <v/>
      </c>
      <c r="Q771">
        <f>IF(OR($G771="",Sync!$AE768=""),"",Sync!$AE768)</f>
        <v/>
      </c>
      <c r="R771">
        <f>IF($G771="","",IF(Sync!$V768="","0000",IF(AND(ISNUMBER(Sync!$V768),Sync!$V768&gt;=0,Sync!$V768&lt;1),RIGHT("00"&amp;HOUR(Sync!$V768),2)&amp;RIGHT("00"&amp;MINUTE(Sync!$V768),2),IFERROR(RIGHT("00"&amp;VALUE(LEFT(Sync!$V768,FIND(":",Sync!$V768)-1)),2)&amp;RIGHT("00"&amp;VALUE(MID(Sync!$V768,FIND(":",Sync!$V768)+1,2)),2),"0000"))))</f>
        <v/>
      </c>
    </row>
    <row r="772">
      <c r="A772">
        <f>IF(Sync!$U769="","",Sync!$U769)</f>
        <v/>
      </c>
      <c r="B772">
        <f>IF($A772="","",IF(ISNUMBER($A772),IF(AND($A772&gt;=10000101,$A772&lt;=99991231),INT($A772/10000),""),IFERROR(VALUE(TRIM(LEFT($A772,FIND("/",$A772)-1))),"")))</f>
        <v/>
      </c>
      <c r="C772">
        <f>IF(OR($A772="",$B772=""),"",IF(ISNUMBER($A772),INT(MOD($A772,10000)/100),IFERROR(VALUE(TRIM(LEFT(MID($A772,FIND("/",$A772)+1,20),FIND("/",MID($A772,FIND("/",$A772)+1,20))-1))),"")))</f>
        <v/>
      </c>
      <c r="D772">
        <f>IF(OR($A772="",$B772=""),"",IF(ISNUMBER($A772),MOD($A772,100),IFERROR(VALUE(TRIM(MID(MID($A772,FIND("/",$A772)+1,20),FIND("/",MID($A772,FIND("/",$A772)+1,20))+1,20))),"")))</f>
        <v/>
      </c>
      <c r="E772">
        <f>IF($A772="","",IF(OR($B772="",$C772="",$D772="",$B772&lt;1300,$B772&gt;1500,$C772&lt;1,$C772&gt;12,$D772&lt;1,$D772&gt;31),"نامعتبر",RIGHT("0000"&amp;$B772,4)&amp;"/"&amp;RIGHT("00"&amp;$C772,2)&amp;"/"&amp;RIGHT("00"&amp;$D772,2)))</f>
        <v/>
      </c>
      <c r="F772">
        <f>IF(OR($E772="",$E772="نامعتبر"),"",LEFT($E772,4)&amp;"/"&amp;MID($E772,6,2))</f>
        <v/>
      </c>
      <c r="G772">
        <f>IF(OR($E772="",$E772="نامعتبر",Sync!$Y769=""),"",Sync!$Y769)</f>
        <v/>
      </c>
      <c r="H772">
        <f>IF($G772="","",IF(Sync!$X769="","",Sync!$X769))</f>
        <v/>
      </c>
      <c r="I772">
        <f>IF($G772="","",IFERROR(VLOOKUP(Sync!$X769,OpTbl,3,0),""))</f>
        <v/>
      </c>
      <c r="J772">
        <f>IF(OR($G772="",Sync!$Z769=""),"",Sync!$Z769)</f>
        <v/>
      </c>
      <c r="K772">
        <f>IF(OR($G772="",Sync!$AA769=""),"",Sync!$AA769)</f>
        <v/>
      </c>
      <c r="L772">
        <f>IF($G772="",0,IF(Sync!$AB769="",0,Sync!$AB769))</f>
        <v/>
      </c>
      <c r="M772">
        <f>IF($G772="",0,IF(Sync!$AC769="",0,Sync!$AC769))</f>
        <v/>
      </c>
      <c r="N772">
        <f>IF($G772="","",IF($H772="مرجوعی خرید",-1,1)*($L772-$M772*IFERROR(VLOOKUP("P01",ParamTbl,3,0),1.5))*(1-IF($I772="خرید",IFERROR(VLOOKUP("P02",ParamTbl,3,0),1),0)/100))</f>
        <v/>
      </c>
      <c r="O772">
        <f>IF($G772="",0,IF($H772="مرجوعی خرید",-1,1)*IF(Sync!$AD769="",0,Sync!$AD769))</f>
        <v/>
      </c>
      <c r="P772">
        <f>IF(OR($G772="",Sync!$W769=""),"",Sync!$W769)</f>
        <v/>
      </c>
      <c r="Q772">
        <f>IF(OR($G772="",Sync!$AE769=""),"",Sync!$AE769)</f>
        <v/>
      </c>
      <c r="R772">
        <f>IF($G772="","",IF(Sync!$V769="","0000",IF(AND(ISNUMBER(Sync!$V769),Sync!$V769&gt;=0,Sync!$V769&lt;1),RIGHT("00"&amp;HOUR(Sync!$V769),2)&amp;RIGHT("00"&amp;MINUTE(Sync!$V769),2),IFERROR(RIGHT("00"&amp;VALUE(LEFT(Sync!$V769,FIND(":",Sync!$V769)-1)),2)&amp;RIGHT("00"&amp;VALUE(MID(Sync!$V769,FIND(":",Sync!$V769)+1,2)),2),"0000"))))</f>
        <v/>
      </c>
    </row>
    <row r="773">
      <c r="A773">
        <f>IF(Sync!$U770="","",Sync!$U770)</f>
        <v/>
      </c>
      <c r="B773">
        <f>IF($A773="","",IF(ISNUMBER($A773),IF(AND($A773&gt;=10000101,$A773&lt;=99991231),INT($A773/10000),""),IFERROR(VALUE(TRIM(LEFT($A773,FIND("/",$A773)-1))),"")))</f>
        <v/>
      </c>
      <c r="C773">
        <f>IF(OR($A773="",$B773=""),"",IF(ISNUMBER($A773),INT(MOD($A773,10000)/100),IFERROR(VALUE(TRIM(LEFT(MID($A773,FIND("/",$A773)+1,20),FIND("/",MID($A773,FIND("/",$A773)+1,20))-1))),"")))</f>
        <v/>
      </c>
      <c r="D773">
        <f>IF(OR($A773="",$B773=""),"",IF(ISNUMBER($A773),MOD($A773,100),IFERROR(VALUE(TRIM(MID(MID($A773,FIND("/",$A773)+1,20),FIND("/",MID($A773,FIND("/",$A773)+1,20))+1,20))),"")))</f>
        <v/>
      </c>
      <c r="E773">
        <f>IF($A773="","",IF(OR($B773="",$C773="",$D773="",$B773&lt;1300,$B773&gt;1500,$C773&lt;1,$C773&gt;12,$D773&lt;1,$D773&gt;31),"نامعتبر",RIGHT("0000"&amp;$B773,4)&amp;"/"&amp;RIGHT("00"&amp;$C773,2)&amp;"/"&amp;RIGHT("00"&amp;$D773,2)))</f>
        <v/>
      </c>
      <c r="F773">
        <f>IF(OR($E773="",$E773="نامعتبر"),"",LEFT($E773,4)&amp;"/"&amp;MID($E773,6,2))</f>
        <v/>
      </c>
      <c r="G773">
        <f>IF(OR($E773="",$E773="نامعتبر",Sync!$Y770=""),"",Sync!$Y770)</f>
        <v/>
      </c>
      <c r="H773">
        <f>IF($G773="","",IF(Sync!$X770="","",Sync!$X770))</f>
        <v/>
      </c>
      <c r="I773">
        <f>IF($G773="","",IFERROR(VLOOKUP(Sync!$X770,OpTbl,3,0),""))</f>
        <v/>
      </c>
      <c r="J773">
        <f>IF(OR($G773="",Sync!$Z770=""),"",Sync!$Z770)</f>
        <v/>
      </c>
      <c r="K773">
        <f>IF(OR($G773="",Sync!$AA770=""),"",Sync!$AA770)</f>
        <v/>
      </c>
      <c r="L773">
        <f>IF($G773="",0,IF(Sync!$AB770="",0,Sync!$AB770))</f>
        <v/>
      </c>
      <c r="M773">
        <f>IF($G773="",0,IF(Sync!$AC770="",0,Sync!$AC770))</f>
        <v/>
      </c>
      <c r="N773">
        <f>IF($G773="","",IF($H773="مرجوعی خرید",-1,1)*($L773-$M773*IFERROR(VLOOKUP("P01",ParamTbl,3,0),1.5))*(1-IF($I773="خرید",IFERROR(VLOOKUP("P02",ParamTbl,3,0),1),0)/100))</f>
        <v/>
      </c>
      <c r="O773">
        <f>IF($G773="",0,IF($H773="مرجوعی خرید",-1,1)*IF(Sync!$AD770="",0,Sync!$AD770))</f>
        <v/>
      </c>
      <c r="P773">
        <f>IF(OR($G773="",Sync!$W770=""),"",Sync!$W770)</f>
        <v/>
      </c>
      <c r="Q773">
        <f>IF(OR($G773="",Sync!$AE770=""),"",Sync!$AE770)</f>
        <v/>
      </c>
      <c r="R773">
        <f>IF($G773="","",IF(Sync!$V770="","0000",IF(AND(ISNUMBER(Sync!$V770),Sync!$V770&gt;=0,Sync!$V770&lt;1),RIGHT("00"&amp;HOUR(Sync!$V770),2)&amp;RIGHT("00"&amp;MINUTE(Sync!$V770),2),IFERROR(RIGHT("00"&amp;VALUE(LEFT(Sync!$V770,FIND(":",Sync!$V770)-1)),2)&amp;RIGHT("00"&amp;VALUE(MID(Sync!$V770,FIND(":",Sync!$V770)+1,2)),2),"0000"))))</f>
        <v/>
      </c>
    </row>
    <row r="774">
      <c r="A774">
        <f>IF(Sync!$U771="","",Sync!$U771)</f>
        <v/>
      </c>
      <c r="B774">
        <f>IF($A774="","",IF(ISNUMBER($A774),IF(AND($A774&gt;=10000101,$A774&lt;=99991231),INT($A774/10000),""),IFERROR(VALUE(TRIM(LEFT($A774,FIND("/",$A774)-1))),"")))</f>
        <v/>
      </c>
      <c r="C774">
        <f>IF(OR($A774="",$B774=""),"",IF(ISNUMBER($A774),INT(MOD($A774,10000)/100),IFERROR(VALUE(TRIM(LEFT(MID($A774,FIND("/",$A774)+1,20),FIND("/",MID($A774,FIND("/",$A774)+1,20))-1))),"")))</f>
        <v/>
      </c>
      <c r="D774">
        <f>IF(OR($A774="",$B774=""),"",IF(ISNUMBER($A774),MOD($A774,100),IFERROR(VALUE(TRIM(MID(MID($A774,FIND("/",$A774)+1,20),FIND("/",MID($A774,FIND("/",$A774)+1,20))+1,20))),"")))</f>
        <v/>
      </c>
      <c r="E774">
        <f>IF($A774="","",IF(OR($B774="",$C774="",$D774="",$B774&lt;1300,$B774&gt;1500,$C774&lt;1,$C774&gt;12,$D774&lt;1,$D774&gt;31),"نامعتبر",RIGHT("0000"&amp;$B774,4)&amp;"/"&amp;RIGHT("00"&amp;$C774,2)&amp;"/"&amp;RIGHT("00"&amp;$D774,2)))</f>
        <v/>
      </c>
      <c r="F774">
        <f>IF(OR($E774="",$E774="نامعتبر"),"",LEFT($E774,4)&amp;"/"&amp;MID($E774,6,2))</f>
        <v/>
      </c>
      <c r="G774">
        <f>IF(OR($E774="",$E774="نامعتبر",Sync!$Y771=""),"",Sync!$Y771)</f>
        <v/>
      </c>
      <c r="H774">
        <f>IF($G774="","",IF(Sync!$X771="","",Sync!$X771))</f>
        <v/>
      </c>
      <c r="I774">
        <f>IF($G774="","",IFERROR(VLOOKUP(Sync!$X771,OpTbl,3,0),""))</f>
        <v/>
      </c>
      <c r="J774">
        <f>IF(OR($G774="",Sync!$Z771=""),"",Sync!$Z771)</f>
        <v/>
      </c>
      <c r="K774">
        <f>IF(OR($G774="",Sync!$AA771=""),"",Sync!$AA771)</f>
        <v/>
      </c>
      <c r="L774">
        <f>IF($G774="",0,IF(Sync!$AB771="",0,Sync!$AB771))</f>
        <v/>
      </c>
      <c r="M774">
        <f>IF($G774="",0,IF(Sync!$AC771="",0,Sync!$AC771))</f>
        <v/>
      </c>
      <c r="N774">
        <f>IF($G774="","",IF($H774="مرجوعی خرید",-1,1)*($L774-$M774*IFERROR(VLOOKUP("P01",ParamTbl,3,0),1.5))*(1-IF($I774="خرید",IFERROR(VLOOKUP("P02",ParamTbl,3,0),1),0)/100))</f>
        <v/>
      </c>
      <c r="O774">
        <f>IF($G774="",0,IF($H774="مرجوعی خرید",-1,1)*IF(Sync!$AD771="",0,Sync!$AD771))</f>
        <v/>
      </c>
      <c r="P774">
        <f>IF(OR($G774="",Sync!$W771=""),"",Sync!$W771)</f>
        <v/>
      </c>
      <c r="Q774">
        <f>IF(OR($G774="",Sync!$AE771=""),"",Sync!$AE771)</f>
        <v/>
      </c>
      <c r="R774">
        <f>IF($G774="","",IF(Sync!$V771="","0000",IF(AND(ISNUMBER(Sync!$V771),Sync!$V771&gt;=0,Sync!$V771&lt;1),RIGHT("00"&amp;HOUR(Sync!$V771),2)&amp;RIGHT("00"&amp;MINUTE(Sync!$V771),2),IFERROR(RIGHT("00"&amp;VALUE(LEFT(Sync!$V771,FIND(":",Sync!$V771)-1)),2)&amp;RIGHT("00"&amp;VALUE(MID(Sync!$V771,FIND(":",Sync!$V771)+1,2)),2),"0000"))))</f>
        <v/>
      </c>
    </row>
    <row r="775">
      <c r="A775">
        <f>IF(Sync!$U772="","",Sync!$U772)</f>
        <v/>
      </c>
      <c r="B775">
        <f>IF($A775="","",IF(ISNUMBER($A775),IF(AND($A775&gt;=10000101,$A775&lt;=99991231),INT($A775/10000),""),IFERROR(VALUE(TRIM(LEFT($A775,FIND("/",$A775)-1))),"")))</f>
        <v/>
      </c>
      <c r="C775">
        <f>IF(OR($A775="",$B775=""),"",IF(ISNUMBER($A775),INT(MOD($A775,10000)/100),IFERROR(VALUE(TRIM(LEFT(MID($A775,FIND("/",$A775)+1,20),FIND("/",MID($A775,FIND("/",$A775)+1,20))-1))),"")))</f>
        <v/>
      </c>
      <c r="D775">
        <f>IF(OR($A775="",$B775=""),"",IF(ISNUMBER($A775),MOD($A775,100),IFERROR(VALUE(TRIM(MID(MID($A775,FIND("/",$A775)+1,20),FIND("/",MID($A775,FIND("/",$A775)+1,20))+1,20))),"")))</f>
        <v/>
      </c>
      <c r="E775">
        <f>IF($A775="","",IF(OR($B775="",$C775="",$D775="",$B775&lt;1300,$B775&gt;1500,$C775&lt;1,$C775&gt;12,$D775&lt;1,$D775&gt;31),"نامعتبر",RIGHT("0000"&amp;$B775,4)&amp;"/"&amp;RIGHT("00"&amp;$C775,2)&amp;"/"&amp;RIGHT("00"&amp;$D775,2)))</f>
        <v/>
      </c>
      <c r="F775">
        <f>IF(OR($E775="",$E775="نامعتبر"),"",LEFT($E775,4)&amp;"/"&amp;MID($E775,6,2))</f>
        <v/>
      </c>
      <c r="G775">
        <f>IF(OR($E775="",$E775="نامعتبر",Sync!$Y772=""),"",Sync!$Y772)</f>
        <v/>
      </c>
      <c r="H775">
        <f>IF($G775="","",IF(Sync!$X772="","",Sync!$X772))</f>
        <v/>
      </c>
      <c r="I775">
        <f>IF($G775="","",IFERROR(VLOOKUP(Sync!$X772,OpTbl,3,0),""))</f>
        <v/>
      </c>
      <c r="J775">
        <f>IF(OR($G775="",Sync!$Z772=""),"",Sync!$Z772)</f>
        <v/>
      </c>
      <c r="K775">
        <f>IF(OR($G775="",Sync!$AA772=""),"",Sync!$AA772)</f>
        <v/>
      </c>
      <c r="L775">
        <f>IF($G775="",0,IF(Sync!$AB772="",0,Sync!$AB772))</f>
        <v/>
      </c>
      <c r="M775">
        <f>IF($G775="",0,IF(Sync!$AC772="",0,Sync!$AC772))</f>
        <v/>
      </c>
      <c r="N775">
        <f>IF($G775="","",IF($H775="مرجوعی خرید",-1,1)*($L775-$M775*IFERROR(VLOOKUP("P01",ParamTbl,3,0),1.5))*(1-IF($I775="خرید",IFERROR(VLOOKUP("P02",ParamTbl,3,0),1),0)/100))</f>
        <v/>
      </c>
      <c r="O775">
        <f>IF($G775="",0,IF($H775="مرجوعی خرید",-1,1)*IF(Sync!$AD772="",0,Sync!$AD772))</f>
        <v/>
      </c>
      <c r="P775">
        <f>IF(OR($G775="",Sync!$W772=""),"",Sync!$W772)</f>
        <v/>
      </c>
      <c r="Q775">
        <f>IF(OR($G775="",Sync!$AE772=""),"",Sync!$AE772)</f>
        <v/>
      </c>
      <c r="R775">
        <f>IF($G775="","",IF(Sync!$V772="","0000",IF(AND(ISNUMBER(Sync!$V772),Sync!$V772&gt;=0,Sync!$V772&lt;1),RIGHT("00"&amp;HOUR(Sync!$V772),2)&amp;RIGHT("00"&amp;MINUTE(Sync!$V772),2),IFERROR(RIGHT("00"&amp;VALUE(LEFT(Sync!$V772,FIND(":",Sync!$V772)-1)),2)&amp;RIGHT("00"&amp;VALUE(MID(Sync!$V772,FIND(":",Sync!$V772)+1,2)),2),"0000"))))</f>
        <v/>
      </c>
    </row>
    <row r="776">
      <c r="A776">
        <f>IF(Sync!$U773="","",Sync!$U773)</f>
        <v/>
      </c>
      <c r="B776">
        <f>IF($A776="","",IF(ISNUMBER($A776),IF(AND($A776&gt;=10000101,$A776&lt;=99991231),INT($A776/10000),""),IFERROR(VALUE(TRIM(LEFT($A776,FIND("/",$A776)-1))),"")))</f>
        <v/>
      </c>
      <c r="C776">
        <f>IF(OR($A776="",$B776=""),"",IF(ISNUMBER($A776),INT(MOD($A776,10000)/100),IFERROR(VALUE(TRIM(LEFT(MID($A776,FIND("/",$A776)+1,20),FIND("/",MID($A776,FIND("/",$A776)+1,20))-1))),"")))</f>
        <v/>
      </c>
      <c r="D776">
        <f>IF(OR($A776="",$B776=""),"",IF(ISNUMBER($A776),MOD($A776,100),IFERROR(VALUE(TRIM(MID(MID($A776,FIND("/",$A776)+1,20),FIND("/",MID($A776,FIND("/",$A776)+1,20))+1,20))),"")))</f>
        <v/>
      </c>
      <c r="E776">
        <f>IF($A776="","",IF(OR($B776="",$C776="",$D776="",$B776&lt;1300,$B776&gt;1500,$C776&lt;1,$C776&gt;12,$D776&lt;1,$D776&gt;31),"نامعتبر",RIGHT("0000"&amp;$B776,4)&amp;"/"&amp;RIGHT("00"&amp;$C776,2)&amp;"/"&amp;RIGHT("00"&amp;$D776,2)))</f>
        <v/>
      </c>
      <c r="F776">
        <f>IF(OR($E776="",$E776="نامعتبر"),"",LEFT($E776,4)&amp;"/"&amp;MID($E776,6,2))</f>
        <v/>
      </c>
      <c r="G776">
        <f>IF(OR($E776="",$E776="نامعتبر",Sync!$Y773=""),"",Sync!$Y773)</f>
        <v/>
      </c>
      <c r="H776">
        <f>IF($G776="","",IF(Sync!$X773="","",Sync!$X773))</f>
        <v/>
      </c>
      <c r="I776">
        <f>IF($G776="","",IFERROR(VLOOKUP(Sync!$X773,OpTbl,3,0),""))</f>
        <v/>
      </c>
      <c r="J776">
        <f>IF(OR($G776="",Sync!$Z773=""),"",Sync!$Z773)</f>
        <v/>
      </c>
      <c r="K776">
        <f>IF(OR($G776="",Sync!$AA773=""),"",Sync!$AA773)</f>
        <v/>
      </c>
      <c r="L776">
        <f>IF($G776="",0,IF(Sync!$AB773="",0,Sync!$AB773))</f>
        <v/>
      </c>
      <c r="M776">
        <f>IF($G776="",0,IF(Sync!$AC773="",0,Sync!$AC773))</f>
        <v/>
      </c>
      <c r="N776">
        <f>IF($G776="","",IF($H776="مرجوعی خرید",-1,1)*($L776-$M776*IFERROR(VLOOKUP("P01",ParamTbl,3,0),1.5))*(1-IF($I776="خرید",IFERROR(VLOOKUP("P02",ParamTbl,3,0),1),0)/100))</f>
        <v/>
      </c>
      <c r="O776">
        <f>IF($G776="",0,IF($H776="مرجوعی خرید",-1,1)*IF(Sync!$AD773="",0,Sync!$AD773))</f>
        <v/>
      </c>
      <c r="P776">
        <f>IF(OR($G776="",Sync!$W773=""),"",Sync!$W773)</f>
        <v/>
      </c>
      <c r="Q776">
        <f>IF(OR($G776="",Sync!$AE773=""),"",Sync!$AE773)</f>
        <v/>
      </c>
      <c r="R776">
        <f>IF($G776="","",IF(Sync!$V773="","0000",IF(AND(ISNUMBER(Sync!$V773),Sync!$V773&gt;=0,Sync!$V773&lt;1),RIGHT("00"&amp;HOUR(Sync!$V773),2)&amp;RIGHT("00"&amp;MINUTE(Sync!$V773),2),IFERROR(RIGHT("00"&amp;VALUE(LEFT(Sync!$V773,FIND(":",Sync!$V773)-1)),2)&amp;RIGHT("00"&amp;VALUE(MID(Sync!$V773,FIND(":",Sync!$V773)+1,2)),2),"0000"))))</f>
        <v/>
      </c>
    </row>
    <row r="777">
      <c r="A777">
        <f>IF(Sync!$U774="","",Sync!$U774)</f>
        <v/>
      </c>
      <c r="B777">
        <f>IF($A777="","",IF(ISNUMBER($A777),IF(AND($A777&gt;=10000101,$A777&lt;=99991231),INT($A777/10000),""),IFERROR(VALUE(TRIM(LEFT($A777,FIND("/",$A777)-1))),"")))</f>
        <v/>
      </c>
      <c r="C777">
        <f>IF(OR($A777="",$B777=""),"",IF(ISNUMBER($A777),INT(MOD($A777,10000)/100),IFERROR(VALUE(TRIM(LEFT(MID($A777,FIND("/",$A777)+1,20),FIND("/",MID($A777,FIND("/",$A777)+1,20))-1))),"")))</f>
        <v/>
      </c>
      <c r="D777">
        <f>IF(OR($A777="",$B777=""),"",IF(ISNUMBER($A777),MOD($A777,100),IFERROR(VALUE(TRIM(MID(MID($A777,FIND("/",$A777)+1,20),FIND("/",MID($A777,FIND("/",$A777)+1,20))+1,20))),"")))</f>
        <v/>
      </c>
      <c r="E777">
        <f>IF($A777="","",IF(OR($B777="",$C777="",$D777="",$B777&lt;1300,$B777&gt;1500,$C777&lt;1,$C777&gt;12,$D777&lt;1,$D777&gt;31),"نامعتبر",RIGHT("0000"&amp;$B777,4)&amp;"/"&amp;RIGHT("00"&amp;$C777,2)&amp;"/"&amp;RIGHT("00"&amp;$D777,2)))</f>
        <v/>
      </c>
      <c r="F777">
        <f>IF(OR($E777="",$E777="نامعتبر"),"",LEFT($E777,4)&amp;"/"&amp;MID($E777,6,2))</f>
        <v/>
      </c>
      <c r="G777">
        <f>IF(OR($E777="",$E777="نامعتبر",Sync!$Y774=""),"",Sync!$Y774)</f>
        <v/>
      </c>
      <c r="H777">
        <f>IF($G777="","",IF(Sync!$X774="","",Sync!$X774))</f>
        <v/>
      </c>
      <c r="I777">
        <f>IF($G777="","",IFERROR(VLOOKUP(Sync!$X774,OpTbl,3,0),""))</f>
        <v/>
      </c>
      <c r="J777">
        <f>IF(OR($G777="",Sync!$Z774=""),"",Sync!$Z774)</f>
        <v/>
      </c>
      <c r="K777">
        <f>IF(OR($G777="",Sync!$AA774=""),"",Sync!$AA774)</f>
        <v/>
      </c>
      <c r="L777">
        <f>IF($G777="",0,IF(Sync!$AB774="",0,Sync!$AB774))</f>
        <v/>
      </c>
      <c r="M777">
        <f>IF($G777="",0,IF(Sync!$AC774="",0,Sync!$AC774))</f>
        <v/>
      </c>
      <c r="N777">
        <f>IF($G777="","",IF($H777="مرجوعی خرید",-1,1)*($L777-$M777*IFERROR(VLOOKUP("P01",ParamTbl,3,0),1.5))*(1-IF($I777="خرید",IFERROR(VLOOKUP("P02",ParamTbl,3,0),1),0)/100))</f>
        <v/>
      </c>
      <c r="O777">
        <f>IF($G777="",0,IF($H777="مرجوعی خرید",-1,1)*IF(Sync!$AD774="",0,Sync!$AD774))</f>
        <v/>
      </c>
      <c r="P777">
        <f>IF(OR($G777="",Sync!$W774=""),"",Sync!$W774)</f>
        <v/>
      </c>
      <c r="Q777">
        <f>IF(OR($G777="",Sync!$AE774=""),"",Sync!$AE774)</f>
        <v/>
      </c>
      <c r="R777">
        <f>IF($G777="","",IF(Sync!$V774="","0000",IF(AND(ISNUMBER(Sync!$V774),Sync!$V774&gt;=0,Sync!$V774&lt;1),RIGHT("00"&amp;HOUR(Sync!$V774),2)&amp;RIGHT("00"&amp;MINUTE(Sync!$V774),2),IFERROR(RIGHT("00"&amp;VALUE(LEFT(Sync!$V774,FIND(":",Sync!$V774)-1)),2)&amp;RIGHT("00"&amp;VALUE(MID(Sync!$V774,FIND(":",Sync!$V774)+1,2)),2),"0000"))))</f>
        <v/>
      </c>
    </row>
    <row r="778">
      <c r="A778">
        <f>IF(Sync!$U775="","",Sync!$U775)</f>
        <v/>
      </c>
      <c r="B778">
        <f>IF($A778="","",IF(ISNUMBER($A778),IF(AND($A778&gt;=10000101,$A778&lt;=99991231),INT($A778/10000),""),IFERROR(VALUE(TRIM(LEFT($A778,FIND("/",$A778)-1))),"")))</f>
        <v/>
      </c>
      <c r="C778">
        <f>IF(OR($A778="",$B778=""),"",IF(ISNUMBER($A778),INT(MOD($A778,10000)/100),IFERROR(VALUE(TRIM(LEFT(MID($A778,FIND("/",$A778)+1,20),FIND("/",MID($A778,FIND("/",$A778)+1,20))-1))),"")))</f>
        <v/>
      </c>
      <c r="D778">
        <f>IF(OR($A778="",$B778=""),"",IF(ISNUMBER($A778),MOD($A778,100),IFERROR(VALUE(TRIM(MID(MID($A778,FIND("/",$A778)+1,20),FIND("/",MID($A778,FIND("/",$A778)+1,20))+1,20))),"")))</f>
        <v/>
      </c>
      <c r="E778">
        <f>IF($A778="","",IF(OR($B778="",$C778="",$D778="",$B778&lt;1300,$B778&gt;1500,$C778&lt;1,$C778&gt;12,$D778&lt;1,$D778&gt;31),"نامعتبر",RIGHT("0000"&amp;$B778,4)&amp;"/"&amp;RIGHT("00"&amp;$C778,2)&amp;"/"&amp;RIGHT("00"&amp;$D778,2)))</f>
        <v/>
      </c>
      <c r="F778">
        <f>IF(OR($E778="",$E778="نامعتبر"),"",LEFT($E778,4)&amp;"/"&amp;MID($E778,6,2))</f>
        <v/>
      </c>
      <c r="G778">
        <f>IF(OR($E778="",$E778="نامعتبر",Sync!$Y775=""),"",Sync!$Y775)</f>
        <v/>
      </c>
      <c r="H778">
        <f>IF($G778="","",IF(Sync!$X775="","",Sync!$X775))</f>
        <v/>
      </c>
      <c r="I778">
        <f>IF($G778="","",IFERROR(VLOOKUP(Sync!$X775,OpTbl,3,0),""))</f>
        <v/>
      </c>
      <c r="J778">
        <f>IF(OR($G778="",Sync!$Z775=""),"",Sync!$Z775)</f>
        <v/>
      </c>
      <c r="K778">
        <f>IF(OR($G778="",Sync!$AA775=""),"",Sync!$AA775)</f>
        <v/>
      </c>
      <c r="L778">
        <f>IF($G778="",0,IF(Sync!$AB775="",0,Sync!$AB775))</f>
        <v/>
      </c>
      <c r="M778">
        <f>IF($G778="",0,IF(Sync!$AC775="",0,Sync!$AC775))</f>
        <v/>
      </c>
      <c r="N778">
        <f>IF($G778="","",IF($H778="مرجوعی خرید",-1,1)*($L778-$M778*IFERROR(VLOOKUP("P01",ParamTbl,3,0),1.5))*(1-IF($I778="خرید",IFERROR(VLOOKUP("P02",ParamTbl,3,0),1),0)/100))</f>
        <v/>
      </c>
      <c r="O778">
        <f>IF($G778="",0,IF($H778="مرجوعی خرید",-1,1)*IF(Sync!$AD775="",0,Sync!$AD775))</f>
        <v/>
      </c>
      <c r="P778">
        <f>IF(OR($G778="",Sync!$W775=""),"",Sync!$W775)</f>
        <v/>
      </c>
      <c r="Q778">
        <f>IF(OR($G778="",Sync!$AE775=""),"",Sync!$AE775)</f>
        <v/>
      </c>
      <c r="R778">
        <f>IF($G778="","",IF(Sync!$V775="","0000",IF(AND(ISNUMBER(Sync!$V775),Sync!$V775&gt;=0,Sync!$V775&lt;1),RIGHT("00"&amp;HOUR(Sync!$V775),2)&amp;RIGHT("00"&amp;MINUTE(Sync!$V775),2),IFERROR(RIGHT("00"&amp;VALUE(LEFT(Sync!$V775,FIND(":",Sync!$V775)-1)),2)&amp;RIGHT("00"&amp;VALUE(MID(Sync!$V775,FIND(":",Sync!$V775)+1,2)),2),"0000"))))</f>
        <v/>
      </c>
    </row>
    <row r="779">
      <c r="A779">
        <f>IF(Sync!$U776="","",Sync!$U776)</f>
        <v/>
      </c>
      <c r="B779">
        <f>IF($A779="","",IF(ISNUMBER($A779),IF(AND($A779&gt;=10000101,$A779&lt;=99991231),INT($A779/10000),""),IFERROR(VALUE(TRIM(LEFT($A779,FIND("/",$A779)-1))),"")))</f>
        <v/>
      </c>
      <c r="C779">
        <f>IF(OR($A779="",$B779=""),"",IF(ISNUMBER($A779),INT(MOD($A779,10000)/100),IFERROR(VALUE(TRIM(LEFT(MID($A779,FIND("/",$A779)+1,20),FIND("/",MID($A779,FIND("/",$A779)+1,20))-1))),"")))</f>
        <v/>
      </c>
      <c r="D779">
        <f>IF(OR($A779="",$B779=""),"",IF(ISNUMBER($A779),MOD($A779,100),IFERROR(VALUE(TRIM(MID(MID($A779,FIND("/",$A779)+1,20),FIND("/",MID($A779,FIND("/",$A779)+1,20))+1,20))),"")))</f>
        <v/>
      </c>
      <c r="E779">
        <f>IF($A779="","",IF(OR($B779="",$C779="",$D779="",$B779&lt;1300,$B779&gt;1500,$C779&lt;1,$C779&gt;12,$D779&lt;1,$D779&gt;31),"نامعتبر",RIGHT("0000"&amp;$B779,4)&amp;"/"&amp;RIGHT("00"&amp;$C779,2)&amp;"/"&amp;RIGHT("00"&amp;$D779,2)))</f>
        <v/>
      </c>
      <c r="F779">
        <f>IF(OR($E779="",$E779="نامعتبر"),"",LEFT($E779,4)&amp;"/"&amp;MID($E779,6,2))</f>
        <v/>
      </c>
      <c r="G779">
        <f>IF(OR($E779="",$E779="نامعتبر",Sync!$Y776=""),"",Sync!$Y776)</f>
        <v/>
      </c>
      <c r="H779">
        <f>IF($G779="","",IF(Sync!$X776="","",Sync!$X776))</f>
        <v/>
      </c>
      <c r="I779">
        <f>IF($G779="","",IFERROR(VLOOKUP(Sync!$X776,OpTbl,3,0),""))</f>
        <v/>
      </c>
      <c r="J779">
        <f>IF(OR($G779="",Sync!$Z776=""),"",Sync!$Z776)</f>
        <v/>
      </c>
      <c r="K779">
        <f>IF(OR($G779="",Sync!$AA776=""),"",Sync!$AA776)</f>
        <v/>
      </c>
      <c r="L779">
        <f>IF($G779="",0,IF(Sync!$AB776="",0,Sync!$AB776))</f>
        <v/>
      </c>
      <c r="M779">
        <f>IF($G779="",0,IF(Sync!$AC776="",0,Sync!$AC776))</f>
        <v/>
      </c>
      <c r="N779">
        <f>IF($G779="","",IF($H779="مرجوعی خرید",-1,1)*($L779-$M779*IFERROR(VLOOKUP("P01",ParamTbl,3,0),1.5))*(1-IF($I779="خرید",IFERROR(VLOOKUP("P02",ParamTbl,3,0),1),0)/100))</f>
        <v/>
      </c>
      <c r="O779">
        <f>IF($G779="",0,IF($H779="مرجوعی خرید",-1,1)*IF(Sync!$AD776="",0,Sync!$AD776))</f>
        <v/>
      </c>
      <c r="P779">
        <f>IF(OR($G779="",Sync!$W776=""),"",Sync!$W776)</f>
        <v/>
      </c>
      <c r="Q779">
        <f>IF(OR($G779="",Sync!$AE776=""),"",Sync!$AE776)</f>
        <v/>
      </c>
      <c r="R779">
        <f>IF($G779="","",IF(Sync!$V776="","0000",IF(AND(ISNUMBER(Sync!$V776),Sync!$V776&gt;=0,Sync!$V776&lt;1),RIGHT("00"&amp;HOUR(Sync!$V776),2)&amp;RIGHT("00"&amp;MINUTE(Sync!$V776),2),IFERROR(RIGHT("00"&amp;VALUE(LEFT(Sync!$V776,FIND(":",Sync!$V776)-1)),2)&amp;RIGHT("00"&amp;VALUE(MID(Sync!$V776,FIND(":",Sync!$V776)+1,2)),2),"0000"))))</f>
        <v/>
      </c>
    </row>
    <row r="780">
      <c r="A780">
        <f>IF(Sync!$U777="","",Sync!$U777)</f>
        <v/>
      </c>
      <c r="B780">
        <f>IF($A780="","",IF(ISNUMBER($A780),IF(AND($A780&gt;=10000101,$A780&lt;=99991231),INT($A780/10000),""),IFERROR(VALUE(TRIM(LEFT($A780,FIND("/",$A780)-1))),"")))</f>
        <v/>
      </c>
      <c r="C780">
        <f>IF(OR($A780="",$B780=""),"",IF(ISNUMBER($A780),INT(MOD($A780,10000)/100),IFERROR(VALUE(TRIM(LEFT(MID($A780,FIND("/",$A780)+1,20),FIND("/",MID($A780,FIND("/",$A780)+1,20))-1))),"")))</f>
        <v/>
      </c>
      <c r="D780">
        <f>IF(OR($A780="",$B780=""),"",IF(ISNUMBER($A780),MOD($A780,100),IFERROR(VALUE(TRIM(MID(MID($A780,FIND("/",$A780)+1,20),FIND("/",MID($A780,FIND("/",$A780)+1,20))+1,20))),"")))</f>
        <v/>
      </c>
      <c r="E780">
        <f>IF($A780="","",IF(OR($B780="",$C780="",$D780="",$B780&lt;1300,$B780&gt;1500,$C780&lt;1,$C780&gt;12,$D780&lt;1,$D780&gt;31),"نامعتبر",RIGHT("0000"&amp;$B780,4)&amp;"/"&amp;RIGHT("00"&amp;$C780,2)&amp;"/"&amp;RIGHT("00"&amp;$D780,2)))</f>
        <v/>
      </c>
      <c r="F780">
        <f>IF(OR($E780="",$E780="نامعتبر"),"",LEFT($E780,4)&amp;"/"&amp;MID($E780,6,2))</f>
        <v/>
      </c>
      <c r="G780">
        <f>IF(OR($E780="",$E780="نامعتبر",Sync!$Y777=""),"",Sync!$Y777)</f>
        <v/>
      </c>
      <c r="H780">
        <f>IF($G780="","",IF(Sync!$X777="","",Sync!$X777))</f>
        <v/>
      </c>
      <c r="I780">
        <f>IF($G780="","",IFERROR(VLOOKUP(Sync!$X777,OpTbl,3,0),""))</f>
        <v/>
      </c>
      <c r="J780">
        <f>IF(OR($G780="",Sync!$Z777=""),"",Sync!$Z777)</f>
        <v/>
      </c>
      <c r="K780">
        <f>IF(OR($G780="",Sync!$AA777=""),"",Sync!$AA777)</f>
        <v/>
      </c>
      <c r="L780">
        <f>IF($G780="",0,IF(Sync!$AB777="",0,Sync!$AB777))</f>
        <v/>
      </c>
      <c r="M780">
        <f>IF($G780="",0,IF(Sync!$AC777="",0,Sync!$AC777))</f>
        <v/>
      </c>
      <c r="N780">
        <f>IF($G780="","",IF($H780="مرجوعی خرید",-1,1)*($L780-$M780*IFERROR(VLOOKUP("P01",ParamTbl,3,0),1.5))*(1-IF($I780="خرید",IFERROR(VLOOKUP("P02",ParamTbl,3,0),1),0)/100))</f>
        <v/>
      </c>
      <c r="O780">
        <f>IF($G780="",0,IF($H780="مرجوعی خرید",-1,1)*IF(Sync!$AD777="",0,Sync!$AD777))</f>
        <v/>
      </c>
      <c r="P780">
        <f>IF(OR($G780="",Sync!$W777=""),"",Sync!$W777)</f>
        <v/>
      </c>
      <c r="Q780">
        <f>IF(OR($G780="",Sync!$AE777=""),"",Sync!$AE777)</f>
        <v/>
      </c>
      <c r="R780">
        <f>IF($G780="","",IF(Sync!$V777="","0000",IF(AND(ISNUMBER(Sync!$V777),Sync!$V777&gt;=0,Sync!$V777&lt;1),RIGHT("00"&amp;HOUR(Sync!$V777),2)&amp;RIGHT("00"&amp;MINUTE(Sync!$V777),2),IFERROR(RIGHT("00"&amp;VALUE(LEFT(Sync!$V777,FIND(":",Sync!$V777)-1)),2)&amp;RIGHT("00"&amp;VALUE(MID(Sync!$V777,FIND(":",Sync!$V777)+1,2)),2),"0000"))))</f>
        <v/>
      </c>
    </row>
    <row r="781">
      <c r="A781">
        <f>IF(Sync!$U778="","",Sync!$U778)</f>
        <v/>
      </c>
      <c r="B781">
        <f>IF($A781="","",IF(ISNUMBER($A781),IF(AND($A781&gt;=10000101,$A781&lt;=99991231),INT($A781/10000),""),IFERROR(VALUE(TRIM(LEFT($A781,FIND("/",$A781)-1))),"")))</f>
        <v/>
      </c>
      <c r="C781">
        <f>IF(OR($A781="",$B781=""),"",IF(ISNUMBER($A781),INT(MOD($A781,10000)/100),IFERROR(VALUE(TRIM(LEFT(MID($A781,FIND("/",$A781)+1,20),FIND("/",MID($A781,FIND("/",$A781)+1,20))-1))),"")))</f>
        <v/>
      </c>
      <c r="D781">
        <f>IF(OR($A781="",$B781=""),"",IF(ISNUMBER($A781),MOD($A781,100),IFERROR(VALUE(TRIM(MID(MID($A781,FIND("/",$A781)+1,20),FIND("/",MID($A781,FIND("/",$A781)+1,20))+1,20))),"")))</f>
        <v/>
      </c>
      <c r="E781">
        <f>IF($A781="","",IF(OR($B781="",$C781="",$D781="",$B781&lt;1300,$B781&gt;1500,$C781&lt;1,$C781&gt;12,$D781&lt;1,$D781&gt;31),"نامعتبر",RIGHT("0000"&amp;$B781,4)&amp;"/"&amp;RIGHT("00"&amp;$C781,2)&amp;"/"&amp;RIGHT("00"&amp;$D781,2)))</f>
        <v/>
      </c>
      <c r="F781">
        <f>IF(OR($E781="",$E781="نامعتبر"),"",LEFT($E781,4)&amp;"/"&amp;MID($E781,6,2))</f>
        <v/>
      </c>
      <c r="G781">
        <f>IF(OR($E781="",$E781="نامعتبر",Sync!$Y778=""),"",Sync!$Y778)</f>
        <v/>
      </c>
      <c r="H781">
        <f>IF($G781="","",IF(Sync!$X778="","",Sync!$X778))</f>
        <v/>
      </c>
      <c r="I781">
        <f>IF($G781="","",IFERROR(VLOOKUP(Sync!$X778,OpTbl,3,0),""))</f>
        <v/>
      </c>
      <c r="J781">
        <f>IF(OR($G781="",Sync!$Z778=""),"",Sync!$Z778)</f>
        <v/>
      </c>
      <c r="K781">
        <f>IF(OR($G781="",Sync!$AA778=""),"",Sync!$AA778)</f>
        <v/>
      </c>
      <c r="L781">
        <f>IF($G781="",0,IF(Sync!$AB778="",0,Sync!$AB778))</f>
        <v/>
      </c>
      <c r="M781">
        <f>IF($G781="",0,IF(Sync!$AC778="",0,Sync!$AC778))</f>
        <v/>
      </c>
      <c r="N781">
        <f>IF($G781="","",IF($H781="مرجوعی خرید",-1,1)*($L781-$M781*IFERROR(VLOOKUP("P01",ParamTbl,3,0),1.5))*(1-IF($I781="خرید",IFERROR(VLOOKUP("P02",ParamTbl,3,0),1),0)/100))</f>
        <v/>
      </c>
      <c r="O781">
        <f>IF($G781="",0,IF($H781="مرجوعی خرید",-1,1)*IF(Sync!$AD778="",0,Sync!$AD778))</f>
        <v/>
      </c>
      <c r="P781">
        <f>IF(OR($G781="",Sync!$W778=""),"",Sync!$W778)</f>
        <v/>
      </c>
      <c r="Q781">
        <f>IF(OR($G781="",Sync!$AE778=""),"",Sync!$AE778)</f>
        <v/>
      </c>
      <c r="R781">
        <f>IF($G781="","",IF(Sync!$V778="","0000",IF(AND(ISNUMBER(Sync!$V778),Sync!$V778&gt;=0,Sync!$V778&lt;1),RIGHT("00"&amp;HOUR(Sync!$V778),2)&amp;RIGHT("00"&amp;MINUTE(Sync!$V778),2),IFERROR(RIGHT("00"&amp;VALUE(LEFT(Sync!$V778,FIND(":",Sync!$V778)-1)),2)&amp;RIGHT("00"&amp;VALUE(MID(Sync!$V778,FIND(":",Sync!$V778)+1,2)),2),"0000"))))</f>
        <v/>
      </c>
    </row>
    <row r="782">
      <c r="A782">
        <f>IF(Sync!$U779="","",Sync!$U779)</f>
        <v/>
      </c>
      <c r="B782">
        <f>IF($A782="","",IF(ISNUMBER($A782),IF(AND($A782&gt;=10000101,$A782&lt;=99991231),INT($A782/10000),""),IFERROR(VALUE(TRIM(LEFT($A782,FIND("/",$A782)-1))),"")))</f>
        <v/>
      </c>
      <c r="C782">
        <f>IF(OR($A782="",$B782=""),"",IF(ISNUMBER($A782),INT(MOD($A782,10000)/100),IFERROR(VALUE(TRIM(LEFT(MID($A782,FIND("/",$A782)+1,20),FIND("/",MID($A782,FIND("/",$A782)+1,20))-1))),"")))</f>
        <v/>
      </c>
      <c r="D782">
        <f>IF(OR($A782="",$B782=""),"",IF(ISNUMBER($A782),MOD($A782,100),IFERROR(VALUE(TRIM(MID(MID($A782,FIND("/",$A782)+1,20),FIND("/",MID($A782,FIND("/",$A782)+1,20))+1,20))),"")))</f>
        <v/>
      </c>
      <c r="E782">
        <f>IF($A782="","",IF(OR($B782="",$C782="",$D782="",$B782&lt;1300,$B782&gt;1500,$C782&lt;1,$C782&gt;12,$D782&lt;1,$D782&gt;31),"نامعتبر",RIGHT("0000"&amp;$B782,4)&amp;"/"&amp;RIGHT("00"&amp;$C782,2)&amp;"/"&amp;RIGHT("00"&amp;$D782,2)))</f>
        <v/>
      </c>
      <c r="F782">
        <f>IF(OR($E782="",$E782="نامعتبر"),"",LEFT($E782,4)&amp;"/"&amp;MID($E782,6,2))</f>
        <v/>
      </c>
      <c r="G782">
        <f>IF(OR($E782="",$E782="نامعتبر",Sync!$Y779=""),"",Sync!$Y779)</f>
        <v/>
      </c>
      <c r="H782">
        <f>IF($G782="","",IF(Sync!$X779="","",Sync!$X779))</f>
        <v/>
      </c>
      <c r="I782">
        <f>IF($G782="","",IFERROR(VLOOKUP(Sync!$X779,OpTbl,3,0),""))</f>
        <v/>
      </c>
      <c r="J782">
        <f>IF(OR($G782="",Sync!$Z779=""),"",Sync!$Z779)</f>
        <v/>
      </c>
      <c r="K782">
        <f>IF(OR($G782="",Sync!$AA779=""),"",Sync!$AA779)</f>
        <v/>
      </c>
      <c r="L782">
        <f>IF($G782="",0,IF(Sync!$AB779="",0,Sync!$AB779))</f>
        <v/>
      </c>
      <c r="M782">
        <f>IF($G782="",0,IF(Sync!$AC779="",0,Sync!$AC779))</f>
        <v/>
      </c>
      <c r="N782">
        <f>IF($G782="","",IF($H782="مرجوعی خرید",-1,1)*($L782-$M782*IFERROR(VLOOKUP("P01",ParamTbl,3,0),1.5))*(1-IF($I782="خرید",IFERROR(VLOOKUP("P02",ParamTbl,3,0),1),0)/100))</f>
        <v/>
      </c>
      <c r="O782">
        <f>IF($G782="",0,IF($H782="مرجوعی خرید",-1,1)*IF(Sync!$AD779="",0,Sync!$AD779))</f>
        <v/>
      </c>
      <c r="P782">
        <f>IF(OR($G782="",Sync!$W779=""),"",Sync!$W779)</f>
        <v/>
      </c>
      <c r="Q782">
        <f>IF(OR($G782="",Sync!$AE779=""),"",Sync!$AE779)</f>
        <v/>
      </c>
      <c r="R782">
        <f>IF($G782="","",IF(Sync!$V779="","0000",IF(AND(ISNUMBER(Sync!$V779),Sync!$V779&gt;=0,Sync!$V779&lt;1),RIGHT("00"&amp;HOUR(Sync!$V779),2)&amp;RIGHT("00"&amp;MINUTE(Sync!$V779),2),IFERROR(RIGHT("00"&amp;VALUE(LEFT(Sync!$V779,FIND(":",Sync!$V779)-1)),2)&amp;RIGHT("00"&amp;VALUE(MID(Sync!$V779,FIND(":",Sync!$V779)+1,2)),2),"0000"))))</f>
        <v/>
      </c>
    </row>
    <row r="783">
      <c r="A783">
        <f>IF(Sync!$U780="","",Sync!$U780)</f>
        <v/>
      </c>
      <c r="B783">
        <f>IF($A783="","",IF(ISNUMBER($A783),IF(AND($A783&gt;=10000101,$A783&lt;=99991231),INT($A783/10000),""),IFERROR(VALUE(TRIM(LEFT($A783,FIND("/",$A783)-1))),"")))</f>
        <v/>
      </c>
      <c r="C783">
        <f>IF(OR($A783="",$B783=""),"",IF(ISNUMBER($A783),INT(MOD($A783,10000)/100),IFERROR(VALUE(TRIM(LEFT(MID($A783,FIND("/",$A783)+1,20),FIND("/",MID($A783,FIND("/",$A783)+1,20))-1))),"")))</f>
        <v/>
      </c>
      <c r="D783">
        <f>IF(OR($A783="",$B783=""),"",IF(ISNUMBER($A783),MOD($A783,100),IFERROR(VALUE(TRIM(MID(MID($A783,FIND("/",$A783)+1,20),FIND("/",MID($A783,FIND("/",$A783)+1,20))+1,20))),"")))</f>
        <v/>
      </c>
      <c r="E783">
        <f>IF($A783="","",IF(OR($B783="",$C783="",$D783="",$B783&lt;1300,$B783&gt;1500,$C783&lt;1,$C783&gt;12,$D783&lt;1,$D783&gt;31),"نامعتبر",RIGHT("0000"&amp;$B783,4)&amp;"/"&amp;RIGHT("00"&amp;$C783,2)&amp;"/"&amp;RIGHT("00"&amp;$D783,2)))</f>
        <v/>
      </c>
      <c r="F783">
        <f>IF(OR($E783="",$E783="نامعتبر"),"",LEFT($E783,4)&amp;"/"&amp;MID($E783,6,2))</f>
        <v/>
      </c>
      <c r="G783">
        <f>IF(OR($E783="",$E783="نامعتبر",Sync!$Y780=""),"",Sync!$Y780)</f>
        <v/>
      </c>
      <c r="H783">
        <f>IF($G783="","",IF(Sync!$X780="","",Sync!$X780))</f>
        <v/>
      </c>
      <c r="I783">
        <f>IF($G783="","",IFERROR(VLOOKUP(Sync!$X780,OpTbl,3,0),""))</f>
        <v/>
      </c>
      <c r="J783">
        <f>IF(OR($G783="",Sync!$Z780=""),"",Sync!$Z780)</f>
        <v/>
      </c>
      <c r="K783">
        <f>IF(OR($G783="",Sync!$AA780=""),"",Sync!$AA780)</f>
        <v/>
      </c>
      <c r="L783">
        <f>IF($G783="",0,IF(Sync!$AB780="",0,Sync!$AB780))</f>
        <v/>
      </c>
      <c r="M783">
        <f>IF($G783="",0,IF(Sync!$AC780="",0,Sync!$AC780))</f>
        <v/>
      </c>
      <c r="N783">
        <f>IF($G783="","",IF($H783="مرجوعی خرید",-1,1)*($L783-$M783*IFERROR(VLOOKUP("P01",ParamTbl,3,0),1.5))*(1-IF($I783="خرید",IFERROR(VLOOKUP("P02",ParamTbl,3,0),1),0)/100))</f>
        <v/>
      </c>
      <c r="O783">
        <f>IF($G783="",0,IF($H783="مرجوعی خرید",-1,1)*IF(Sync!$AD780="",0,Sync!$AD780))</f>
        <v/>
      </c>
      <c r="P783">
        <f>IF(OR($G783="",Sync!$W780=""),"",Sync!$W780)</f>
        <v/>
      </c>
      <c r="Q783">
        <f>IF(OR($G783="",Sync!$AE780=""),"",Sync!$AE780)</f>
        <v/>
      </c>
      <c r="R783">
        <f>IF($G783="","",IF(Sync!$V780="","0000",IF(AND(ISNUMBER(Sync!$V780),Sync!$V780&gt;=0,Sync!$V780&lt;1),RIGHT("00"&amp;HOUR(Sync!$V780),2)&amp;RIGHT("00"&amp;MINUTE(Sync!$V780),2),IFERROR(RIGHT("00"&amp;VALUE(LEFT(Sync!$V780,FIND(":",Sync!$V780)-1)),2)&amp;RIGHT("00"&amp;VALUE(MID(Sync!$V780,FIND(":",Sync!$V780)+1,2)),2),"0000"))))</f>
        <v/>
      </c>
    </row>
    <row r="784">
      <c r="A784">
        <f>IF(Sync!$U781="","",Sync!$U781)</f>
        <v/>
      </c>
      <c r="B784">
        <f>IF($A784="","",IF(ISNUMBER($A784),IF(AND($A784&gt;=10000101,$A784&lt;=99991231),INT($A784/10000),""),IFERROR(VALUE(TRIM(LEFT($A784,FIND("/",$A784)-1))),"")))</f>
        <v/>
      </c>
      <c r="C784">
        <f>IF(OR($A784="",$B784=""),"",IF(ISNUMBER($A784),INT(MOD($A784,10000)/100),IFERROR(VALUE(TRIM(LEFT(MID($A784,FIND("/",$A784)+1,20),FIND("/",MID($A784,FIND("/",$A784)+1,20))-1))),"")))</f>
        <v/>
      </c>
      <c r="D784">
        <f>IF(OR($A784="",$B784=""),"",IF(ISNUMBER($A784),MOD($A784,100),IFERROR(VALUE(TRIM(MID(MID($A784,FIND("/",$A784)+1,20),FIND("/",MID($A784,FIND("/",$A784)+1,20))+1,20))),"")))</f>
        <v/>
      </c>
      <c r="E784">
        <f>IF($A784="","",IF(OR($B784="",$C784="",$D784="",$B784&lt;1300,$B784&gt;1500,$C784&lt;1,$C784&gt;12,$D784&lt;1,$D784&gt;31),"نامعتبر",RIGHT("0000"&amp;$B784,4)&amp;"/"&amp;RIGHT("00"&amp;$C784,2)&amp;"/"&amp;RIGHT("00"&amp;$D784,2)))</f>
        <v/>
      </c>
      <c r="F784">
        <f>IF(OR($E784="",$E784="نامعتبر"),"",LEFT($E784,4)&amp;"/"&amp;MID($E784,6,2))</f>
        <v/>
      </c>
      <c r="G784">
        <f>IF(OR($E784="",$E784="نامعتبر",Sync!$Y781=""),"",Sync!$Y781)</f>
        <v/>
      </c>
      <c r="H784">
        <f>IF($G784="","",IF(Sync!$X781="","",Sync!$X781))</f>
        <v/>
      </c>
      <c r="I784">
        <f>IF($G784="","",IFERROR(VLOOKUP(Sync!$X781,OpTbl,3,0),""))</f>
        <v/>
      </c>
      <c r="J784">
        <f>IF(OR($G784="",Sync!$Z781=""),"",Sync!$Z781)</f>
        <v/>
      </c>
      <c r="K784">
        <f>IF(OR($G784="",Sync!$AA781=""),"",Sync!$AA781)</f>
        <v/>
      </c>
      <c r="L784">
        <f>IF($G784="",0,IF(Sync!$AB781="",0,Sync!$AB781))</f>
        <v/>
      </c>
      <c r="M784">
        <f>IF($G784="",0,IF(Sync!$AC781="",0,Sync!$AC781))</f>
        <v/>
      </c>
      <c r="N784">
        <f>IF($G784="","",IF($H784="مرجوعی خرید",-1,1)*($L784-$M784*IFERROR(VLOOKUP("P01",ParamTbl,3,0),1.5))*(1-IF($I784="خرید",IFERROR(VLOOKUP("P02",ParamTbl,3,0),1),0)/100))</f>
        <v/>
      </c>
      <c r="O784">
        <f>IF($G784="",0,IF($H784="مرجوعی خرید",-1,1)*IF(Sync!$AD781="",0,Sync!$AD781))</f>
        <v/>
      </c>
      <c r="P784">
        <f>IF(OR($G784="",Sync!$W781=""),"",Sync!$W781)</f>
        <v/>
      </c>
      <c r="Q784">
        <f>IF(OR($G784="",Sync!$AE781=""),"",Sync!$AE781)</f>
        <v/>
      </c>
      <c r="R784">
        <f>IF($G784="","",IF(Sync!$V781="","0000",IF(AND(ISNUMBER(Sync!$V781),Sync!$V781&gt;=0,Sync!$V781&lt;1),RIGHT("00"&amp;HOUR(Sync!$V781),2)&amp;RIGHT("00"&amp;MINUTE(Sync!$V781),2),IFERROR(RIGHT("00"&amp;VALUE(LEFT(Sync!$V781,FIND(":",Sync!$V781)-1)),2)&amp;RIGHT("00"&amp;VALUE(MID(Sync!$V781,FIND(":",Sync!$V781)+1,2)),2),"0000"))))</f>
        <v/>
      </c>
    </row>
    <row r="785">
      <c r="A785">
        <f>IF(Sync!$U782="","",Sync!$U782)</f>
        <v/>
      </c>
      <c r="B785">
        <f>IF($A785="","",IF(ISNUMBER($A785),IF(AND($A785&gt;=10000101,$A785&lt;=99991231),INT($A785/10000),""),IFERROR(VALUE(TRIM(LEFT($A785,FIND("/",$A785)-1))),"")))</f>
        <v/>
      </c>
      <c r="C785">
        <f>IF(OR($A785="",$B785=""),"",IF(ISNUMBER($A785),INT(MOD($A785,10000)/100),IFERROR(VALUE(TRIM(LEFT(MID($A785,FIND("/",$A785)+1,20),FIND("/",MID($A785,FIND("/",$A785)+1,20))-1))),"")))</f>
        <v/>
      </c>
      <c r="D785">
        <f>IF(OR($A785="",$B785=""),"",IF(ISNUMBER($A785),MOD($A785,100),IFERROR(VALUE(TRIM(MID(MID($A785,FIND("/",$A785)+1,20),FIND("/",MID($A785,FIND("/",$A785)+1,20))+1,20))),"")))</f>
        <v/>
      </c>
      <c r="E785">
        <f>IF($A785="","",IF(OR($B785="",$C785="",$D785="",$B785&lt;1300,$B785&gt;1500,$C785&lt;1,$C785&gt;12,$D785&lt;1,$D785&gt;31),"نامعتبر",RIGHT("0000"&amp;$B785,4)&amp;"/"&amp;RIGHT("00"&amp;$C785,2)&amp;"/"&amp;RIGHT("00"&amp;$D785,2)))</f>
        <v/>
      </c>
      <c r="F785">
        <f>IF(OR($E785="",$E785="نامعتبر"),"",LEFT($E785,4)&amp;"/"&amp;MID($E785,6,2))</f>
        <v/>
      </c>
      <c r="G785">
        <f>IF(OR($E785="",$E785="نامعتبر",Sync!$Y782=""),"",Sync!$Y782)</f>
        <v/>
      </c>
      <c r="H785">
        <f>IF($G785="","",IF(Sync!$X782="","",Sync!$X782))</f>
        <v/>
      </c>
      <c r="I785">
        <f>IF($G785="","",IFERROR(VLOOKUP(Sync!$X782,OpTbl,3,0),""))</f>
        <v/>
      </c>
      <c r="J785">
        <f>IF(OR($G785="",Sync!$Z782=""),"",Sync!$Z782)</f>
        <v/>
      </c>
      <c r="K785">
        <f>IF(OR($G785="",Sync!$AA782=""),"",Sync!$AA782)</f>
        <v/>
      </c>
      <c r="L785">
        <f>IF($G785="",0,IF(Sync!$AB782="",0,Sync!$AB782))</f>
        <v/>
      </c>
      <c r="M785">
        <f>IF($G785="",0,IF(Sync!$AC782="",0,Sync!$AC782))</f>
        <v/>
      </c>
      <c r="N785">
        <f>IF($G785="","",IF($H785="مرجوعی خرید",-1,1)*($L785-$M785*IFERROR(VLOOKUP("P01",ParamTbl,3,0),1.5))*(1-IF($I785="خرید",IFERROR(VLOOKUP("P02",ParamTbl,3,0),1),0)/100))</f>
        <v/>
      </c>
      <c r="O785">
        <f>IF($G785="",0,IF($H785="مرجوعی خرید",-1,1)*IF(Sync!$AD782="",0,Sync!$AD782))</f>
        <v/>
      </c>
      <c r="P785">
        <f>IF(OR($G785="",Sync!$W782=""),"",Sync!$W782)</f>
        <v/>
      </c>
      <c r="Q785">
        <f>IF(OR($G785="",Sync!$AE782=""),"",Sync!$AE782)</f>
        <v/>
      </c>
      <c r="R785">
        <f>IF($G785="","",IF(Sync!$V782="","0000",IF(AND(ISNUMBER(Sync!$V782),Sync!$V782&gt;=0,Sync!$V782&lt;1),RIGHT("00"&amp;HOUR(Sync!$V782),2)&amp;RIGHT("00"&amp;MINUTE(Sync!$V782),2),IFERROR(RIGHT("00"&amp;VALUE(LEFT(Sync!$V782,FIND(":",Sync!$V782)-1)),2)&amp;RIGHT("00"&amp;VALUE(MID(Sync!$V782,FIND(":",Sync!$V782)+1,2)),2),"0000"))))</f>
        <v/>
      </c>
    </row>
    <row r="786">
      <c r="A786">
        <f>IF(Sync!$U783="","",Sync!$U783)</f>
        <v/>
      </c>
      <c r="B786">
        <f>IF($A786="","",IF(ISNUMBER($A786),IF(AND($A786&gt;=10000101,$A786&lt;=99991231),INT($A786/10000),""),IFERROR(VALUE(TRIM(LEFT($A786,FIND("/",$A786)-1))),"")))</f>
        <v/>
      </c>
      <c r="C786">
        <f>IF(OR($A786="",$B786=""),"",IF(ISNUMBER($A786),INT(MOD($A786,10000)/100),IFERROR(VALUE(TRIM(LEFT(MID($A786,FIND("/",$A786)+1,20),FIND("/",MID($A786,FIND("/",$A786)+1,20))-1))),"")))</f>
        <v/>
      </c>
      <c r="D786">
        <f>IF(OR($A786="",$B786=""),"",IF(ISNUMBER($A786),MOD($A786,100),IFERROR(VALUE(TRIM(MID(MID($A786,FIND("/",$A786)+1,20),FIND("/",MID($A786,FIND("/",$A786)+1,20))+1,20))),"")))</f>
        <v/>
      </c>
      <c r="E786">
        <f>IF($A786="","",IF(OR($B786="",$C786="",$D786="",$B786&lt;1300,$B786&gt;1500,$C786&lt;1,$C786&gt;12,$D786&lt;1,$D786&gt;31),"نامعتبر",RIGHT("0000"&amp;$B786,4)&amp;"/"&amp;RIGHT("00"&amp;$C786,2)&amp;"/"&amp;RIGHT("00"&amp;$D786,2)))</f>
        <v/>
      </c>
      <c r="F786">
        <f>IF(OR($E786="",$E786="نامعتبر"),"",LEFT($E786,4)&amp;"/"&amp;MID($E786,6,2))</f>
        <v/>
      </c>
      <c r="G786">
        <f>IF(OR($E786="",$E786="نامعتبر",Sync!$Y783=""),"",Sync!$Y783)</f>
        <v/>
      </c>
      <c r="H786">
        <f>IF($G786="","",IF(Sync!$X783="","",Sync!$X783))</f>
        <v/>
      </c>
      <c r="I786">
        <f>IF($G786="","",IFERROR(VLOOKUP(Sync!$X783,OpTbl,3,0),""))</f>
        <v/>
      </c>
      <c r="J786">
        <f>IF(OR($G786="",Sync!$Z783=""),"",Sync!$Z783)</f>
        <v/>
      </c>
      <c r="K786">
        <f>IF(OR($G786="",Sync!$AA783=""),"",Sync!$AA783)</f>
        <v/>
      </c>
      <c r="L786">
        <f>IF($G786="",0,IF(Sync!$AB783="",0,Sync!$AB783))</f>
        <v/>
      </c>
      <c r="M786">
        <f>IF($G786="",0,IF(Sync!$AC783="",0,Sync!$AC783))</f>
        <v/>
      </c>
      <c r="N786">
        <f>IF($G786="","",IF($H786="مرجوعی خرید",-1,1)*($L786-$M786*IFERROR(VLOOKUP("P01",ParamTbl,3,0),1.5))*(1-IF($I786="خرید",IFERROR(VLOOKUP("P02",ParamTbl,3,0),1),0)/100))</f>
        <v/>
      </c>
      <c r="O786">
        <f>IF($G786="",0,IF($H786="مرجوعی خرید",-1,1)*IF(Sync!$AD783="",0,Sync!$AD783))</f>
        <v/>
      </c>
      <c r="P786">
        <f>IF(OR($G786="",Sync!$W783=""),"",Sync!$W783)</f>
        <v/>
      </c>
      <c r="Q786">
        <f>IF(OR($G786="",Sync!$AE783=""),"",Sync!$AE783)</f>
        <v/>
      </c>
      <c r="R786">
        <f>IF($G786="","",IF(Sync!$V783="","0000",IF(AND(ISNUMBER(Sync!$V783),Sync!$V783&gt;=0,Sync!$V783&lt;1),RIGHT("00"&amp;HOUR(Sync!$V783),2)&amp;RIGHT("00"&amp;MINUTE(Sync!$V783),2),IFERROR(RIGHT("00"&amp;VALUE(LEFT(Sync!$V783,FIND(":",Sync!$V783)-1)),2)&amp;RIGHT("00"&amp;VALUE(MID(Sync!$V783,FIND(":",Sync!$V783)+1,2)),2),"0000"))))</f>
        <v/>
      </c>
    </row>
    <row r="787">
      <c r="A787">
        <f>IF(Sync!$U784="","",Sync!$U784)</f>
        <v/>
      </c>
      <c r="B787">
        <f>IF($A787="","",IF(ISNUMBER($A787),IF(AND($A787&gt;=10000101,$A787&lt;=99991231),INT($A787/10000),""),IFERROR(VALUE(TRIM(LEFT($A787,FIND("/",$A787)-1))),"")))</f>
        <v/>
      </c>
      <c r="C787">
        <f>IF(OR($A787="",$B787=""),"",IF(ISNUMBER($A787),INT(MOD($A787,10000)/100),IFERROR(VALUE(TRIM(LEFT(MID($A787,FIND("/",$A787)+1,20),FIND("/",MID($A787,FIND("/",$A787)+1,20))-1))),"")))</f>
        <v/>
      </c>
      <c r="D787">
        <f>IF(OR($A787="",$B787=""),"",IF(ISNUMBER($A787),MOD($A787,100),IFERROR(VALUE(TRIM(MID(MID($A787,FIND("/",$A787)+1,20),FIND("/",MID($A787,FIND("/",$A787)+1,20))+1,20))),"")))</f>
        <v/>
      </c>
      <c r="E787">
        <f>IF($A787="","",IF(OR($B787="",$C787="",$D787="",$B787&lt;1300,$B787&gt;1500,$C787&lt;1,$C787&gt;12,$D787&lt;1,$D787&gt;31),"نامعتبر",RIGHT("0000"&amp;$B787,4)&amp;"/"&amp;RIGHT("00"&amp;$C787,2)&amp;"/"&amp;RIGHT("00"&amp;$D787,2)))</f>
        <v/>
      </c>
      <c r="F787">
        <f>IF(OR($E787="",$E787="نامعتبر"),"",LEFT($E787,4)&amp;"/"&amp;MID($E787,6,2))</f>
        <v/>
      </c>
      <c r="G787">
        <f>IF(OR($E787="",$E787="نامعتبر",Sync!$Y784=""),"",Sync!$Y784)</f>
        <v/>
      </c>
      <c r="H787">
        <f>IF($G787="","",IF(Sync!$X784="","",Sync!$X784))</f>
        <v/>
      </c>
      <c r="I787">
        <f>IF($G787="","",IFERROR(VLOOKUP(Sync!$X784,OpTbl,3,0),""))</f>
        <v/>
      </c>
      <c r="J787">
        <f>IF(OR($G787="",Sync!$Z784=""),"",Sync!$Z784)</f>
        <v/>
      </c>
      <c r="K787">
        <f>IF(OR($G787="",Sync!$AA784=""),"",Sync!$AA784)</f>
        <v/>
      </c>
      <c r="L787">
        <f>IF($G787="",0,IF(Sync!$AB784="",0,Sync!$AB784))</f>
        <v/>
      </c>
      <c r="M787">
        <f>IF($G787="",0,IF(Sync!$AC784="",0,Sync!$AC784))</f>
        <v/>
      </c>
      <c r="N787">
        <f>IF($G787="","",IF($H787="مرجوعی خرید",-1,1)*($L787-$M787*IFERROR(VLOOKUP("P01",ParamTbl,3,0),1.5))*(1-IF($I787="خرید",IFERROR(VLOOKUP("P02",ParamTbl,3,0),1),0)/100))</f>
        <v/>
      </c>
      <c r="O787">
        <f>IF($G787="",0,IF($H787="مرجوعی خرید",-1,1)*IF(Sync!$AD784="",0,Sync!$AD784))</f>
        <v/>
      </c>
      <c r="P787">
        <f>IF(OR($G787="",Sync!$W784=""),"",Sync!$W784)</f>
        <v/>
      </c>
      <c r="Q787">
        <f>IF(OR($G787="",Sync!$AE784=""),"",Sync!$AE784)</f>
        <v/>
      </c>
      <c r="R787">
        <f>IF($G787="","",IF(Sync!$V784="","0000",IF(AND(ISNUMBER(Sync!$V784),Sync!$V784&gt;=0,Sync!$V784&lt;1),RIGHT("00"&amp;HOUR(Sync!$V784),2)&amp;RIGHT("00"&amp;MINUTE(Sync!$V784),2),IFERROR(RIGHT("00"&amp;VALUE(LEFT(Sync!$V784,FIND(":",Sync!$V784)-1)),2)&amp;RIGHT("00"&amp;VALUE(MID(Sync!$V784,FIND(":",Sync!$V784)+1,2)),2),"0000"))))</f>
        <v/>
      </c>
    </row>
    <row r="788">
      <c r="A788">
        <f>IF(Sync!$U785="","",Sync!$U785)</f>
        <v/>
      </c>
      <c r="B788">
        <f>IF($A788="","",IF(ISNUMBER($A788),IF(AND($A788&gt;=10000101,$A788&lt;=99991231),INT($A788/10000),""),IFERROR(VALUE(TRIM(LEFT($A788,FIND("/",$A788)-1))),"")))</f>
        <v/>
      </c>
      <c r="C788">
        <f>IF(OR($A788="",$B788=""),"",IF(ISNUMBER($A788),INT(MOD($A788,10000)/100),IFERROR(VALUE(TRIM(LEFT(MID($A788,FIND("/",$A788)+1,20),FIND("/",MID($A788,FIND("/",$A788)+1,20))-1))),"")))</f>
        <v/>
      </c>
      <c r="D788">
        <f>IF(OR($A788="",$B788=""),"",IF(ISNUMBER($A788),MOD($A788,100),IFERROR(VALUE(TRIM(MID(MID($A788,FIND("/",$A788)+1,20),FIND("/",MID($A788,FIND("/",$A788)+1,20))+1,20))),"")))</f>
        <v/>
      </c>
      <c r="E788">
        <f>IF($A788="","",IF(OR($B788="",$C788="",$D788="",$B788&lt;1300,$B788&gt;1500,$C788&lt;1,$C788&gt;12,$D788&lt;1,$D788&gt;31),"نامعتبر",RIGHT("0000"&amp;$B788,4)&amp;"/"&amp;RIGHT("00"&amp;$C788,2)&amp;"/"&amp;RIGHT("00"&amp;$D788,2)))</f>
        <v/>
      </c>
      <c r="F788">
        <f>IF(OR($E788="",$E788="نامعتبر"),"",LEFT($E788,4)&amp;"/"&amp;MID($E788,6,2))</f>
        <v/>
      </c>
      <c r="G788">
        <f>IF(OR($E788="",$E788="نامعتبر",Sync!$Y785=""),"",Sync!$Y785)</f>
        <v/>
      </c>
      <c r="H788">
        <f>IF($G788="","",IF(Sync!$X785="","",Sync!$X785))</f>
        <v/>
      </c>
      <c r="I788">
        <f>IF($G788="","",IFERROR(VLOOKUP(Sync!$X785,OpTbl,3,0),""))</f>
        <v/>
      </c>
      <c r="J788">
        <f>IF(OR($G788="",Sync!$Z785=""),"",Sync!$Z785)</f>
        <v/>
      </c>
      <c r="K788">
        <f>IF(OR($G788="",Sync!$AA785=""),"",Sync!$AA785)</f>
        <v/>
      </c>
      <c r="L788">
        <f>IF($G788="",0,IF(Sync!$AB785="",0,Sync!$AB785))</f>
        <v/>
      </c>
      <c r="M788">
        <f>IF($G788="",0,IF(Sync!$AC785="",0,Sync!$AC785))</f>
        <v/>
      </c>
      <c r="N788">
        <f>IF($G788="","",IF($H788="مرجوعی خرید",-1,1)*($L788-$M788*IFERROR(VLOOKUP("P01",ParamTbl,3,0),1.5))*(1-IF($I788="خرید",IFERROR(VLOOKUP("P02",ParamTbl,3,0),1),0)/100))</f>
        <v/>
      </c>
      <c r="O788">
        <f>IF($G788="",0,IF($H788="مرجوعی خرید",-1,1)*IF(Sync!$AD785="",0,Sync!$AD785))</f>
        <v/>
      </c>
      <c r="P788">
        <f>IF(OR($G788="",Sync!$W785=""),"",Sync!$W785)</f>
        <v/>
      </c>
      <c r="Q788">
        <f>IF(OR($G788="",Sync!$AE785=""),"",Sync!$AE785)</f>
        <v/>
      </c>
      <c r="R788">
        <f>IF($G788="","",IF(Sync!$V785="","0000",IF(AND(ISNUMBER(Sync!$V785),Sync!$V785&gt;=0,Sync!$V785&lt;1),RIGHT("00"&amp;HOUR(Sync!$V785),2)&amp;RIGHT("00"&amp;MINUTE(Sync!$V785),2),IFERROR(RIGHT("00"&amp;VALUE(LEFT(Sync!$V785,FIND(":",Sync!$V785)-1)),2)&amp;RIGHT("00"&amp;VALUE(MID(Sync!$V785,FIND(":",Sync!$V785)+1,2)),2),"0000"))))</f>
        <v/>
      </c>
    </row>
    <row r="789">
      <c r="A789">
        <f>IF(Sync!$U786="","",Sync!$U786)</f>
        <v/>
      </c>
      <c r="B789">
        <f>IF($A789="","",IF(ISNUMBER($A789),IF(AND($A789&gt;=10000101,$A789&lt;=99991231),INT($A789/10000),""),IFERROR(VALUE(TRIM(LEFT($A789,FIND("/",$A789)-1))),"")))</f>
        <v/>
      </c>
      <c r="C789">
        <f>IF(OR($A789="",$B789=""),"",IF(ISNUMBER($A789),INT(MOD($A789,10000)/100),IFERROR(VALUE(TRIM(LEFT(MID($A789,FIND("/",$A789)+1,20),FIND("/",MID($A789,FIND("/",$A789)+1,20))-1))),"")))</f>
        <v/>
      </c>
      <c r="D789">
        <f>IF(OR($A789="",$B789=""),"",IF(ISNUMBER($A789),MOD($A789,100),IFERROR(VALUE(TRIM(MID(MID($A789,FIND("/",$A789)+1,20),FIND("/",MID($A789,FIND("/",$A789)+1,20))+1,20))),"")))</f>
        <v/>
      </c>
      <c r="E789">
        <f>IF($A789="","",IF(OR($B789="",$C789="",$D789="",$B789&lt;1300,$B789&gt;1500,$C789&lt;1,$C789&gt;12,$D789&lt;1,$D789&gt;31),"نامعتبر",RIGHT("0000"&amp;$B789,4)&amp;"/"&amp;RIGHT("00"&amp;$C789,2)&amp;"/"&amp;RIGHT("00"&amp;$D789,2)))</f>
        <v/>
      </c>
      <c r="F789">
        <f>IF(OR($E789="",$E789="نامعتبر"),"",LEFT($E789,4)&amp;"/"&amp;MID($E789,6,2))</f>
        <v/>
      </c>
      <c r="G789">
        <f>IF(OR($E789="",$E789="نامعتبر",Sync!$Y786=""),"",Sync!$Y786)</f>
        <v/>
      </c>
      <c r="H789">
        <f>IF($G789="","",IF(Sync!$X786="","",Sync!$X786))</f>
        <v/>
      </c>
      <c r="I789">
        <f>IF($G789="","",IFERROR(VLOOKUP(Sync!$X786,OpTbl,3,0),""))</f>
        <v/>
      </c>
      <c r="J789">
        <f>IF(OR($G789="",Sync!$Z786=""),"",Sync!$Z786)</f>
        <v/>
      </c>
      <c r="K789">
        <f>IF(OR($G789="",Sync!$AA786=""),"",Sync!$AA786)</f>
        <v/>
      </c>
      <c r="L789">
        <f>IF($G789="",0,IF(Sync!$AB786="",0,Sync!$AB786))</f>
        <v/>
      </c>
      <c r="M789">
        <f>IF($G789="",0,IF(Sync!$AC786="",0,Sync!$AC786))</f>
        <v/>
      </c>
      <c r="N789">
        <f>IF($G789="","",IF($H789="مرجوعی خرید",-1,1)*($L789-$M789*IFERROR(VLOOKUP("P01",ParamTbl,3,0),1.5))*(1-IF($I789="خرید",IFERROR(VLOOKUP("P02",ParamTbl,3,0),1),0)/100))</f>
        <v/>
      </c>
      <c r="O789">
        <f>IF($G789="",0,IF($H789="مرجوعی خرید",-1,1)*IF(Sync!$AD786="",0,Sync!$AD786))</f>
        <v/>
      </c>
      <c r="P789">
        <f>IF(OR($G789="",Sync!$W786=""),"",Sync!$W786)</f>
        <v/>
      </c>
      <c r="Q789">
        <f>IF(OR($G789="",Sync!$AE786=""),"",Sync!$AE786)</f>
        <v/>
      </c>
      <c r="R789">
        <f>IF($G789="","",IF(Sync!$V786="","0000",IF(AND(ISNUMBER(Sync!$V786),Sync!$V786&gt;=0,Sync!$V786&lt;1),RIGHT("00"&amp;HOUR(Sync!$V786),2)&amp;RIGHT("00"&amp;MINUTE(Sync!$V786),2),IFERROR(RIGHT("00"&amp;VALUE(LEFT(Sync!$V786,FIND(":",Sync!$V786)-1)),2)&amp;RIGHT("00"&amp;VALUE(MID(Sync!$V786,FIND(":",Sync!$V786)+1,2)),2),"0000"))))</f>
        <v/>
      </c>
    </row>
    <row r="790">
      <c r="A790">
        <f>IF(Sync!$U787="","",Sync!$U787)</f>
        <v/>
      </c>
      <c r="B790">
        <f>IF($A790="","",IF(ISNUMBER($A790),IF(AND($A790&gt;=10000101,$A790&lt;=99991231),INT($A790/10000),""),IFERROR(VALUE(TRIM(LEFT($A790,FIND("/",$A790)-1))),"")))</f>
        <v/>
      </c>
      <c r="C790">
        <f>IF(OR($A790="",$B790=""),"",IF(ISNUMBER($A790),INT(MOD($A790,10000)/100),IFERROR(VALUE(TRIM(LEFT(MID($A790,FIND("/",$A790)+1,20),FIND("/",MID($A790,FIND("/",$A790)+1,20))-1))),"")))</f>
        <v/>
      </c>
      <c r="D790">
        <f>IF(OR($A790="",$B790=""),"",IF(ISNUMBER($A790),MOD($A790,100),IFERROR(VALUE(TRIM(MID(MID($A790,FIND("/",$A790)+1,20),FIND("/",MID($A790,FIND("/",$A790)+1,20))+1,20))),"")))</f>
        <v/>
      </c>
      <c r="E790">
        <f>IF($A790="","",IF(OR($B790="",$C790="",$D790="",$B790&lt;1300,$B790&gt;1500,$C790&lt;1,$C790&gt;12,$D790&lt;1,$D790&gt;31),"نامعتبر",RIGHT("0000"&amp;$B790,4)&amp;"/"&amp;RIGHT("00"&amp;$C790,2)&amp;"/"&amp;RIGHT("00"&amp;$D790,2)))</f>
        <v/>
      </c>
      <c r="F790">
        <f>IF(OR($E790="",$E790="نامعتبر"),"",LEFT($E790,4)&amp;"/"&amp;MID($E790,6,2))</f>
        <v/>
      </c>
      <c r="G790">
        <f>IF(OR($E790="",$E790="نامعتبر",Sync!$Y787=""),"",Sync!$Y787)</f>
        <v/>
      </c>
      <c r="H790">
        <f>IF($G790="","",IF(Sync!$X787="","",Sync!$X787))</f>
        <v/>
      </c>
      <c r="I790">
        <f>IF($G790="","",IFERROR(VLOOKUP(Sync!$X787,OpTbl,3,0),""))</f>
        <v/>
      </c>
      <c r="J790">
        <f>IF(OR($G790="",Sync!$Z787=""),"",Sync!$Z787)</f>
        <v/>
      </c>
      <c r="K790">
        <f>IF(OR($G790="",Sync!$AA787=""),"",Sync!$AA787)</f>
        <v/>
      </c>
      <c r="L790">
        <f>IF($G790="",0,IF(Sync!$AB787="",0,Sync!$AB787))</f>
        <v/>
      </c>
      <c r="M790">
        <f>IF($G790="",0,IF(Sync!$AC787="",0,Sync!$AC787))</f>
        <v/>
      </c>
      <c r="N790">
        <f>IF($G790="","",IF($H790="مرجوعی خرید",-1,1)*($L790-$M790*IFERROR(VLOOKUP("P01",ParamTbl,3,0),1.5))*(1-IF($I790="خرید",IFERROR(VLOOKUP("P02",ParamTbl,3,0),1),0)/100))</f>
        <v/>
      </c>
      <c r="O790">
        <f>IF($G790="",0,IF($H790="مرجوعی خرید",-1,1)*IF(Sync!$AD787="",0,Sync!$AD787))</f>
        <v/>
      </c>
      <c r="P790">
        <f>IF(OR($G790="",Sync!$W787=""),"",Sync!$W787)</f>
        <v/>
      </c>
      <c r="Q790">
        <f>IF(OR($G790="",Sync!$AE787=""),"",Sync!$AE787)</f>
        <v/>
      </c>
      <c r="R790">
        <f>IF($G790="","",IF(Sync!$V787="","0000",IF(AND(ISNUMBER(Sync!$V787),Sync!$V787&gt;=0,Sync!$V787&lt;1),RIGHT("00"&amp;HOUR(Sync!$V787),2)&amp;RIGHT("00"&amp;MINUTE(Sync!$V787),2),IFERROR(RIGHT("00"&amp;VALUE(LEFT(Sync!$V787,FIND(":",Sync!$V787)-1)),2)&amp;RIGHT("00"&amp;VALUE(MID(Sync!$V787,FIND(":",Sync!$V787)+1,2)),2),"0000"))))</f>
        <v/>
      </c>
    </row>
    <row r="791">
      <c r="A791">
        <f>IF(Sync!$U788="","",Sync!$U788)</f>
        <v/>
      </c>
      <c r="B791">
        <f>IF($A791="","",IF(ISNUMBER($A791),IF(AND($A791&gt;=10000101,$A791&lt;=99991231),INT($A791/10000),""),IFERROR(VALUE(TRIM(LEFT($A791,FIND("/",$A791)-1))),"")))</f>
        <v/>
      </c>
      <c r="C791">
        <f>IF(OR($A791="",$B791=""),"",IF(ISNUMBER($A791),INT(MOD($A791,10000)/100),IFERROR(VALUE(TRIM(LEFT(MID($A791,FIND("/",$A791)+1,20),FIND("/",MID($A791,FIND("/",$A791)+1,20))-1))),"")))</f>
        <v/>
      </c>
      <c r="D791">
        <f>IF(OR($A791="",$B791=""),"",IF(ISNUMBER($A791),MOD($A791,100),IFERROR(VALUE(TRIM(MID(MID($A791,FIND("/",$A791)+1,20),FIND("/",MID($A791,FIND("/",$A791)+1,20))+1,20))),"")))</f>
        <v/>
      </c>
      <c r="E791">
        <f>IF($A791="","",IF(OR($B791="",$C791="",$D791="",$B791&lt;1300,$B791&gt;1500,$C791&lt;1,$C791&gt;12,$D791&lt;1,$D791&gt;31),"نامعتبر",RIGHT("0000"&amp;$B791,4)&amp;"/"&amp;RIGHT("00"&amp;$C791,2)&amp;"/"&amp;RIGHT("00"&amp;$D791,2)))</f>
        <v/>
      </c>
      <c r="F791">
        <f>IF(OR($E791="",$E791="نامعتبر"),"",LEFT($E791,4)&amp;"/"&amp;MID($E791,6,2))</f>
        <v/>
      </c>
      <c r="G791">
        <f>IF(OR($E791="",$E791="نامعتبر",Sync!$Y788=""),"",Sync!$Y788)</f>
        <v/>
      </c>
      <c r="H791">
        <f>IF($G791="","",IF(Sync!$X788="","",Sync!$X788))</f>
        <v/>
      </c>
      <c r="I791">
        <f>IF($G791="","",IFERROR(VLOOKUP(Sync!$X788,OpTbl,3,0),""))</f>
        <v/>
      </c>
      <c r="J791">
        <f>IF(OR($G791="",Sync!$Z788=""),"",Sync!$Z788)</f>
        <v/>
      </c>
      <c r="K791">
        <f>IF(OR($G791="",Sync!$AA788=""),"",Sync!$AA788)</f>
        <v/>
      </c>
      <c r="L791">
        <f>IF($G791="",0,IF(Sync!$AB788="",0,Sync!$AB788))</f>
        <v/>
      </c>
      <c r="M791">
        <f>IF($G791="",0,IF(Sync!$AC788="",0,Sync!$AC788))</f>
        <v/>
      </c>
      <c r="N791">
        <f>IF($G791="","",IF($H791="مرجوعی خرید",-1,1)*($L791-$M791*IFERROR(VLOOKUP("P01",ParamTbl,3,0),1.5))*(1-IF($I791="خرید",IFERROR(VLOOKUP("P02",ParamTbl,3,0),1),0)/100))</f>
        <v/>
      </c>
      <c r="O791">
        <f>IF($G791="",0,IF($H791="مرجوعی خرید",-1,1)*IF(Sync!$AD788="",0,Sync!$AD788))</f>
        <v/>
      </c>
      <c r="P791">
        <f>IF(OR($G791="",Sync!$W788=""),"",Sync!$W788)</f>
        <v/>
      </c>
      <c r="Q791">
        <f>IF(OR($G791="",Sync!$AE788=""),"",Sync!$AE788)</f>
        <v/>
      </c>
      <c r="R791">
        <f>IF($G791="","",IF(Sync!$V788="","0000",IF(AND(ISNUMBER(Sync!$V788),Sync!$V788&gt;=0,Sync!$V788&lt;1),RIGHT("00"&amp;HOUR(Sync!$V788),2)&amp;RIGHT("00"&amp;MINUTE(Sync!$V788),2),IFERROR(RIGHT("00"&amp;VALUE(LEFT(Sync!$V788,FIND(":",Sync!$V788)-1)),2)&amp;RIGHT("00"&amp;VALUE(MID(Sync!$V788,FIND(":",Sync!$V788)+1,2)),2),"0000"))))</f>
        <v/>
      </c>
    </row>
    <row r="792">
      <c r="A792">
        <f>IF(Sync!$U789="","",Sync!$U789)</f>
        <v/>
      </c>
      <c r="B792">
        <f>IF($A792="","",IF(ISNUMBER($A792),IF(AND($A792&gt;=10000101,$A792&lt;=99991231),INT($A792/10000),""),IFERROR(VALUE(TRIM(LEFT($A792,FIND("/",$A792)-1))),"")))</f>
        <v/>
      </c>
      <c r="C792">
        <f>IF(OR($A792="",$B792=""),"",IF(ISNUMBER($A792),INT(MOD($A792,10000)/100),IFERROR(VALUE(TRIM(LEFT(MID($A792,FIND("/",$A792)+1,20),FIND("/",MID($A792,FIND("/",$A792)+1,20))-1))),"")))</f>
        <v/>
      </c>
      <c r="D792">
        <f>IF(OR($A792="",$B792=""),"",IF(ISNUMBER($A792),MOD($A792,100),IFERROR(VALUE(TRIM(MID(MID($A792,FIND("/",$A792)+1,20),FIND("/",MID($A792,FIND("/",$A792)+1,20))+1,20))),"")))</f>
        <v/>
      </c>
      <c r="E792">
        <f>IF($A792="","",IF(OR($B792="",$C792="",$D792="",$B792&lt;1300,$B792&gt;1500,$C792&lt;1,$C792&gt;12,$D792&lt;1,$D792&gt;31),"نامعتبر",RIGHT("0000"&amp;$B792,4)&amp;"/"&amp;RIGHT("00"&amp;$C792,2)&amp;"/"&amp;RIGHT("00"&amp;$D792,2)))</f>
        <v/>
      </c>
      <c r="F792">
        <f>IF(OR($E792="",$E792="نامعتبر"),"",LEFT($E792,4)&amp;"/"&amp;MID($E792,6,2))</f>
        <v/>
      </c>
      <c r="G792">
        <f>IF(OR($E792="",$E792="نامعتبر",Sync!$Y789=""),"",Sync!$Y789)</f>
        <v/>
      </c>
      <c r="H792">
        <f>IF($G792="","",IF(Sync!$X789="","",Sync!$X789))</f>
        <v/>
      </c>
      <c r="I792">
        <f>IF($G792="","",IFERROR(VLOOKUP(Sync!$X789,OpTbl,3,0),""))</f>
        <v/>
      </c>
      <c r="J792">
        <f>IF(OR($G792="",Sync!$Z789=""),"",Sync!$Z789)</f>
        <v/>
      </c>
      <c r="K792">
        <f>IF(OR($G792="",Sync!$AA789=""),"",Sync!$AA789)</f>
        <v/>
      </c>
      <c r="L792">
        <f>IF($G792="",0,IF(Sync!$AB789="",0,Sync!$AB789))</f>
        <v/>
      </c>
      <c r="M792">
        <f>IF($G792="",0,IF(Sync!$AC789="",0,Sync!$AC789))</f>
        <v/>
      </c>
      <c r="N792">
        <f>IF($G792="","",IF($H792="مرجوعی خرید",-1,1)*($L792-$M792*IFERROR(VLOOKUP("P01",ParamTbl,3,0),1.5))*(1-IF($I792="خرید",IFERROR(VLOOKUP("P02",ParamTbl,3,0),1),0)/100))</f>
        <v/>
      </c>
      <c r="O792">
        <f>IF($G792="",0,IF($H792="مرجوعی خرید",-1,1)*IF(Sync!$AD789="",0,Sync!$AD789))</f>
        <v/>
      </c>
      <c r="P792">
        <f>IF(OR($G792="",Sync!$W789=""),"",Sync!$W789)</f>
        <v/>
      </c>
      <c r="Q792">
        <f>IF(OR($G792="",Sync!$AE789=""),"",Sync!$AE789)</f>
        <v/>
      </c>
      <c r="R792">
        <f>IF($G792="","",IF(Sync!$V789="","0000",IF(AND(ISNUMBER(Sync!$V789),Sync!$V789&gt;=0,Sync!$V789&lt;1),RIGHT("00"&amp;HOUR(Sync!$V789),2)&amp;RIGHT("00"&amp;MINUTE(Sync!$V789),2),IFERROR(RIGHT("00"&amp;VALUE(LEFT(Sync!$V789,FIND(":",Sync!$V789)-1)),2)&amp;RIGHT("00"&amp;VALUE(MID(Sync!$V789,FIND(":",Sync!$V789)+1,2)),2),"0000"))))</f>
        <v/>
      </c>
    </row>
    <row r="793">
      <c r="A793">
        <f>IF(Sync!$U790="","",Sync!$U790)</f>
        <v/>
      </c>
      <c r="B793">
        <f>IF($A793="","",IF(ISNUMBER($A793),IF(AND($A793&gt;=10000101,$A793&lt;=99991231),INT($A793/10000),""),IFERROR(VALUE(TRIM(LEFT($A793,FIND("/",$A793)-1))),"")))</f>
        <v/>
      </c>
      <c r="C793">
        <f>IF(OR($A793="",$B793=""),"",IF(ISNUMBER($A793),INT(MOD($A793,10000)/100),IFERROR(VALUE(TRIM(LEFT(MID($A793,FIND("/",$A793)+1,20),FIND("/",MID($A793,FIND("/",$A793)+1,20))-1))),"")))</f>
        <v/>
      </c>
      <c r="D793">
        <f>IF(OR($A793="",$B793=""),"",IF(ISNUMBER($A793),MOD($A793,100),IFERROR(VALUE(TRIM(MID(MID($A793,FIND("/",$A793)+1,20),FIND("/",MID($A793,FIND("/",$A793)+1,20))+1,20))),"")))</f>
        <v/>
      </c>
      <c r="E793">
        <f>IF($A793="","",IF(OR($B793="",$C793="",$D793="",$B793&lt;1300,$B793&gt;1500,$C793&lt;1,$C793&gt;12,$D793&lt;1,$D793&gt;31),"نامعتبر",RIGHT("0000"&amp;$B793,4)&amp;"/"&amp;RIGHT("00"&amp;$C793,2)&amp;"/"&amp;RIGHT("00"&amp;$D793,2)))</f>
        <v/>
      </c>
      <c r="F793">
        <f>IF(OR($E793="",$E793="نامعتبر"),"",LEFT($E793,4)&amp;"/"&amp;MID($E793,6,2))</f>
        <v/>
      </c>
      <c r="G793">
        <f>IF(OR($E793="",$E793="نامعتبر",Sync!$Y790=""),"",Sync!$Y790)</f>
        <v/>
      </c>
      <c r="H793">
        <f>IF($G793="","",IF(Sync!$X790="","",Sync!$X790))</f>
        <v/>
      </c>
      <c r="I793">
        <f>IF($G793="","",IFERROR(VLOOKUP(Sync!$X790,OpTbl,3,0),""))</f>
        <v/>
      </c>
      <c r="J793">
        <f>IF(OR($G793="",Sync!$Z790=""),"",Sync!$Z790)</f>
        <v/>
      </c>
      <c r="K793">
        <f>IF(OR($G793="",Sync!$AA790=""),"",Sync!$AA790)</f>
        <v/>
      </c>
      <c r="L793">
        <f>IF($G793="",0,IF(Sync!$AB790="",0,Sync!$AB790))</f>
        <v/>
      </c>
      <c r="M793">
        <f>IF($G793="",0,IF(Sync!$AC790="",0,Sync!$AC790))</f>
        <v/>
      </c>
      <c r="N793">
        <f>IF($G793="","",IF($H793="مرجوعی خرید",-1,1)*($L793-$M793*IFERROR(VLOOKUP("P01",ParamTbl,3,0),1.5))*(1-IF($I793="خرید",IFERROR(VLOOKUP("P02",ParamTbl,3,0),1),0)/100))</f>
        <v/>
      </c>
      <c r="O793">
        <f>IF($G793="",0,IF($H793="مرجوعی خرید",-1,1)*IF(Sync!$AD790="",0,Sync!$AD790))</f>
        <v/>
      </c>
      <c r="P793">
        <f>IF(OR($G793="",Sync!$W790=""),"",Sync!$W790)</f>
        <v/>
      </c>
      <c r="Q793">
        <f>IF(OR($G793="",Sync!$AE790=""),"",Sync!$AE790)</f>
        <v/>
      </c>
      <c r="R793">
        <f>IF($G793="","",IF(Sync!$V790="","0000",IF(AND(ISNUMBER(Sync!$V790),Sync!$V790&gt;=0,Sync!$V790&lt;1),RIGHT("00"&amp;HOUR(Sync!$V790),2)&amp;RIGHT("00"&amp;MINUTE(Sync!$V790),2),IFERROR(RIGHT("00"&amp;VALUE(LEFT(Sync!$V790,FIND(":",Sync!$V790)-1)),2)&amp;RIGHT("00"&amp;VALUE(MID(Sync!$V790,FIND(":",Sync!$V790)+1,2)),2),"0000"))))</f>
        <v/>
      </c>
    </row>
    <row r="794">
      <c r="A794">
        <f>IF(Sync!$U791="","",Sync!$U791)</f>
        <v/>
      </c>
      <c r="B794">
        <f>IF($A794="","",IF(ISNUMBER($A794),IF(AND($A794&gt;=10000101,$A794&lt;=99991231),INT($A794/10000),""),IFERROR(VALUE(TRIM(LEFT($A794,FIND("/",$A794)-1))),"")))</f>
        <v/>
      </c>
      <c r="C794">
        <f>IF(OR($A794="",$B794=""),"",IF(ISNUMBER($A794),INT(MOD($A794,10000)/100),IFERROR(VALUE(TRIM(LEFT(MID($A794,FIND("/",$A794)+1,20),FIND("/",MID($A794,FIND("/",$A794)+1,20))-1))),"")))</f>
        <v/>
      </c>
      <c r="D794">
        <f>IF(OR($A794="",$B794=""),"",IF(ISNUMBER($A794),MOD($A794,100),IFERROR(VALUE(TRIM(MID(MID($A794,FIND("/",$A794)+1,20),FIND("/",MID($A794,FIND("/",$A794)+1,20))+1,20))),"")))</f>
        <v/>
      </c>
      <c r="E794">
        <f>IF($A794="","",IF(OR($B794="",$C794="",$D794="",$B794&lt;1300,$B794&gt;1500,$C794&lt;1,$C794&gt;12,$D794&lt;1,$D794&gt;31),"نامعتبر",RIGHT("0000"&amp;$B794,4)&amp;"/"&amp;RIGHT("00"&amp;$C794,2)&amp;"/"&amp;RIGHT("00"&amp;$D794,2)))</f>
        <v/>
      </c>
      <c r="F794">
        <f>IF(OR($E794="",$E794="نامعتبر"),"",LEFT($E794,4)&amp;"/"&amp;MID($E794,6,2))</f>
        <v/>
      </c>
      <c r="G794">
        <f>IF(OR($E794="",$E794="نامعتبر",Sync!$Y791=""),"",Sync!$Y791)</f>
        <v/>
      </c>
      <c r="H794">
        <f>IF($G794="","",IF(Sync!$X791="","",Sync!$X791))</f>
        <v/>
      </c>
      <c r="I794">
        <f>IF($G794="","",IFERROR(VLOOKUP(Sync!$X791,OpTbl,3,0),""))</f>
        <v/>
      </c>
      <c r="J794">
        <f>IF(OR($G794="",Sync!$Z791=""),"",Sync!$Z791)</f>
        <v/>
      </c>
      <c r="K794">
        <f>IF(OR($G794="",Sync!$AA791=""),"",Sync!$AA791)</f>
        <v/>
      </c>
      <c r="L794">
        <f>IF($G794="",0,IF(Sync!$AB791="",0,Sync!$AB791))</f>
        <v/>
      </c>
      <c r="M794">
        <f>IF($G794="",0,IF(Sync!$AC791="",0,Sync!$AC791))</f>
        <v/>
      </c>
      <c r="N794">
        <f>IF($G794="","",IF($H794="مرجوعی خرید",-1,1)*($L794-$M794*IFERROR(VLOOKUP("P01",ParamTbl,3,0),1.5))*(1-IF($I794="خرید",IFERROR(VLOOKUP("P02",ParamTbl,3,0),1),0)/100))</f>
        <v/>
      </c>
      <c r="O794">
        <f>IF($G794="",0,IF($H794="مرجوعی خرید",-1,1)*IF(Sync!$AD791="",0,Sync!$AD791))</f>
        <v/>
      </c>
      <c r="P794">
        <f>IF(OR($G794="",Sync!$W791=""),"",Sync!$W791)</f>
        <v/>
      </c>
      <c r="Q794">
        <f>IF(OR($G794="",Sync!$AE791=""),"",Sync!$AE791)</f>
        <v/>
      </c>
      <c r="R794">
        <f>IF($G794="","",IF(Sync!$V791="","0000",IF(AND(ISNUMBER(Sync!$V791),Sync!$V791&gt;=0,Sync!$V791&lt;1),RIGHT("00"&amp;HOUR(Sync!$V791),2)&amp;RIGHT("00"&amp;MINUTE(Sync!$V791),2),IFERROR(RIGHT("00"&amp;VALUE(LEFT(Sync!$V791,FIND(":",Sync!$V791)-1)),2)&amp;RIGHT("00"&amp;VALUE(MID(Sync!$V791,FIND(":",Sync!$V791)+1,2)),2),"0000"))))</f>
        <v/>
      </c>
    </row>
    <row r="795">
      <c r="A795">
        <f>IF(Sync!$U792="","",Sync!$U792)</f>
        <v/>
      </c>
      <c r="B795">
        <f>IF($A795="","",IF(ISNUMBER($A795),IF(AND($A795&gt;=10000101,$A795&lt;=99991231),INT($A795/10000),""),IFERROR(VALUE(TRIM(LEFT($A795,FIND("/",$A795)-1))),"")))</f>
        <v/>
      </c>
      <c r="C795">
        <f>IF(OR($A795="",$B795=""),"",IF(ISNUMBER($A795),INT(MOD($A795,10000)/100),IFERROR(VALUE(TRIM(LEFT(MID($A795,FIND("/",$A795)+1,20),FIND("/",MID($A795,FIND("/",$A795)+1,20))-1))),"")))</f>
        <v/>
      </c>
      <c r="D795">
        <f>IF(OR($A795="",$B795=""),"",IF(ISNUMBER($A795),MOD($A795,100),IFERROR(VALUE(TRIM(MID(MID($A795,FIND("/",$A795)+1,20),FIND("/",MID($A795,FIND("/",$A795)+1,20))+1,20))),"")))</f>
        <v/>
      </c>
      <c r="E795">
        <f>IF($A795="","",IF(OR($B795="",$C795="",$D795="",$B795&lt;1300,$B795&gt;1500,$C795&lt;1,$C795&gt;12,$D795&lt;1,$D795&gt;31),"نامعتبر",RIGHT("0000"&amp;$B795,4)&amp;"/"&amp;RIGHT("00"&amp;$C795,2)&amp;"/"&amp;RIGHT("00"&amp;$D795,2)))</f>
        <v/>
      </c>
      <c r="F795">
        <f>IF(OR($E795="",$E795="نامعتبر"),"",LEFT($E795,4)&amp;"/"&amp;MID($E795,6,2))</f>
        <v/>
      </c>
      <c r="G795">
        <f>IF(OR($E795="",$E795="نامعتبر",Sync!$Y792=""),"",Sync!$Y792)</f>
        <v/>
      </c>
      <c r="H795">
        <f>IF($G795="","",IF(Sync!$X792="","",Sync!$X792))</f>
        <v/>
      </c>
      <c r="I795">
        <f>IF($G795="","",IFERROR(VLOOKUP(Sync!$X792,OpTbl,3,0),""))</f>
        <v/>
      </c>
      <c r="J795">
        <f>IF(OR($G795="",Sync!$Z792=""),"",Sync!$Z792)</f>
        <v/>
      </c>
      <c r="K795">
        <f>IF(OR($G795="",Sync!$AA792=""),"",Sync!$AA792)</f>
        <v/>
      </c>
      <c r="L795">
        <f>IF($G795="",0,IF(Sync!$AB792="",0,Sync!$AB792))</f>
        <v/>
      </c>
      <c r="M795">
        <f>IF($G795="",0,IF(Sync!$AC792="",0,Sync!$AC792))</f>
        <v/>
      </c>
      <c r="N795">
        <f>IF($G795="","",IF($H795="مرجوعی خرید",-1,1)*($L795-$M795*IFERROR(VLOOKUP("P01",ParamTbl,3,0),1.5))*(1-IF($I795="خرید",IFERROR(VLOOKUP("P02",ParamTbl,3,0),1),0)/100))</f>
        <v/>
      </c>
      <c r="O795">
        <f>IF($G795="",0,IF($H795="مرجوعی خرید",-1,1)*IF(Sync!$AD792="",0,Sync!$AD792))</f>
        <v/>
      </c>
      <c r="P795">
        <f>IF(OR($G795="",Sync!$W792=""),"",Sync!$W792)</f>
        <v/>
      </c>
      <c r="Q795">
        <f>IF(OR($G795="",Sync!$AE792=""),"",Sync!$AE792)</f>
        <v/>
      </c>
      <c r="R795">
        <f>IF($G795="","",IF(Sync!$V792="","0000",IF(AND(ISNUMBER(Sync!$V792),Sync!$V792&gt;=0,Sync!$V792&lt;1),RIGHT("00"&amp;HOUR(Sync!$V792),2)&amp;RIGHT("00"&amp;MINUTE(Sync!$V792),2),IFERROR(RIGHT("00"&amp;VALUE(LEFT(Sync!$V792,FIND(":",Sync!$V792)-1)),2)&amp;RIGHT("00"&amp;VALUE(MID(Sync!$V792,FIND(":",Sync!$V792)+1,2)),2),"0000"))))</f>
        <v/>
      </c>
    </row>
    <row r="796">
      <c r="A796">
        <f>IF(Sync!$U793="","",Sync!$U793)</f>
        <v/>
      </c>
      <c r="B796">
        <f>IF($A796="","",IF(ISNUMBER($A796),IF(AND($A796&gt;=10000101,$A796&lt;=99991231),INT($A796/10000),""),IFERROR(VALUE(TRIM(LEFT($A796,FIND("/",$A796)-1))),"")))</f>
        <v/>
      </c>
      <c r="C796">
        <f>IF(OR($A796="",$B796=""),"",IF(ISNUMBER($A796),INT(MOD($A796,10000)/100),IFERROR(VALUE(TRIM(LEFT(MID($A796,FIND("/",$A796)+1,20),FIND("/",MID($A796,FIND("/",$A796)+1,20))-1))),"")))</f>
        <v/>
      </c>
      <c r="D796">
        <f>IF(OR($A796="",$B796=""),"",IF(ISNUMBER($A796),MOD($A796,100),IFERROR(VALUE(TRIM(MID(MID($A796,FIND("/",$A796)+1,20),FIND("/",MID($A796,FIND("/",$A796)+1,20))+1,20))),"")))</f>
        <v/>
      </c>
      <c r="E796">
        <f>IF($A796="","",IF(OR($B796="",$C796="",$D796="",$B796&lt;1300,$B796&gt;1500,$C796&lt;1,$C796&gt;12,$D796&lt;1,$D796&gt;31),"نامعتبر",RIGHT("0000"&amp;$B796,4)&amp;"/"&amp;RIGHT("00"&amp;$C796,2)&amp;"/"&amp;RIGHT("00"&amp;$D796,2)))</f>
        <v/>
      </c>
      <c r="F796">
        <f>IF(OR($E796="",$E796="نامعتبر"),"",LEFT($E796,4)&amp;"/"&amp;MID($E796,6,2))</f>
        <v/>
      </c>
      <c r="G796">
        <f>IF(OR($E796="",$E796="نامعتبر",Sync!$Y793=""),"",Sync!$Y793)</f>
        <v/>
      </c>
      <c r="H796">
        <f>IF($G796="","",IF(Sync!$X793="","",Sync!$X793))</f>
        <v/>
      </c>
      <c r="I796">
        <f>IF($G796="","",IFERROR(VLOOKUP(Sync!$X793,OpTbl,3,0),""))</f>
        <v/>
      </c>
      <c r="J796">
        <f>IF(OR($G796="",Sync!$Z793=""),"",Sync!$Z793)</f>
        <v/>
      </c>
      <c r="K796">
        <f>IF(OR($G796="",Sync!$AA793=""),"",Sync!$AA793)</f>
        <v/>
      </c>
      <c r="L796">
        <f>IF($G796="",0,IF(Sync!$AB793="",0,Sync!$AB793))</f>
        <v/>
      </c>
      <c r="M796">
        <f>IF($G796="",0,IF(Sync!$AC793="",0,Sync!$AC793))</f>
        <v/>
      </c>
      <c r="N796">
        <f>IF($G796="","",IF($H796="مرجوعی خرید",-1,1)*($L796-$M796*IFERROR(VLOOKUP("P01",ParamTbl,3,0),1.5))*(1-IF($I796="خرید",IFERROR(VLOOKUP("P02",ParamTbl,3,0),1),0)/100))</f>
        <v/>
      </c>
      <c r="O796">
        <f>IF($G796="",0,IF($H796="مرجوعی خرید",-1,1)*IF(Sync!$AD793="",0,Sync!$AD793))</f>
        <v/>
      </c>
      <c r="P796">
        <f>IF(OR($G796="",Sync!$W793=""),"",Sync!$W793)</f>
        <v/>
      </c>
      <c r="Q796">
        <f>IF(OR($G796="",Sync!$AE793=""),"",Sync!$AE793)</f>
        <v/>
      </c>
      <c r="R796">
        <f>IF($G796="","",IF(Sync!$V793="","0000",IF(AND(ISNUMBER(Sync!$V793),Sync!$V793&gt;=0,Sync!$V793&lt;1),RIGHT("00"&amp;HOUR(Sync!$V793),2)&amp;RIGHT("00"&amp;MINUTE(Sync!$V793),2),IFERROR(RIGHT("00"&amp;VALUE(LEFT(Sync!$V793,FIND(":",Sync!$V793)-1)),2)&amp;RIGHT("00"&amp;VALUE(MID(Sync!$V793,FIND(":",Sync!$V793)+1,2)),2),"0000"))))</f>
        <v/>
      </c>
    </row>
    <row r="797">
      <c r="A797">
        <f>IF(Sync!$U794="","",Sync!$U794)</f>
        <v/>
      </c>
      <c r="B797">
        <f>IF($A797="","",IF(ISNUMBER($A797),IF(AND($A797&gt;=10000101,$A797&lt;=99991231),INT($A797/10000),""),IFERROR(VALUE(TRIM(LEFT($A797,FIND("/",$A797)-1))),"")))</f>
        <v/>
      </c>
      <c r="C797">
        <f>IF(OR($A797="",$B797=""),"",IF(ISNUMBER($A797),INT(MOD($A797,10000)/100),IFERROR(VALUE(TRIM(LEFT(MID($A797,FIND("/",$A797)+1,20),FIND("/",MID($A797,FIND("/",$A797)+1,20))-1))),"")))</f>
        <v/>
      </c>
      <c r="D797">
        <f>IF(OR($A797="",$B797=""),"",IF(ISNUMBER($A797),MOD($A797,100),IFERROR(VALUE(TRIM(MID(MID($A797,FIND("/",$A797)+1,20),FIND("/",MID($A797,FIND("/",$A797)+1,20))+1,20))),"")))</f>
        <v/>
      </c>
      <c r="E797">
        <f>IF($A797="","",IF(OR($B797="",$C797="",$D797="",$B797&lt;1300,$B797&gt;1500,$C797&lt;1,$C797&gt;12,$D797&lt;1,$D797&gt;31),"نامعتبر",RIGHT("0000"&amp;$B797,4)&amp;"/"&amp;RIGHT("00"&amp;$C797,2)&amp;"/"&amp;RIGHT("00"&amp;$D797,2)))</f>
        <v/>
      </c>
      <c r="F797">
        <f>IF(OR($E797="",$E797="نامعتبر"),"",LEFT($E797,4)&amp;"/"&amp;MID($E797,6,2))</f>
        <v/>
      </c>
      <c r="G797">
        <f>IF(OR($E797="",$E797="نامعتبر",Sync!$Y794=""),"",Sync!$Y794)</f>
        <v/>
      </c>
      <c r="H797">
        <f>IF($G797="","",IF(Sync!$X794="","",Sync!$X794))</f>
        <v/>
      </c>
      <c r="I797">
        <f>IF($G797="","",IFERROR(VLOOKUP(Sync!$X794,OpTbl,3,0),""))</f>
        <v/>
      </c>
      <c r="J797">
        <f>IF(OR($G797="",Sync!$Z794=""),"",Sync!$Z794)</f>
        <v/>
      </c>
      <c r="K797">
        <f>IF(OR($G797="",Sync!$AA794=""),"",Sync!$AA794)</f>
        <v/>
      </c>
      <c r="L797">
        <f>IF($G797="",0,IF(Sync!$AB794="",0,Sync!$AB794))</f>
        <v/>
      </c>
      <c r="M797">
        <f>IF($G797="",0,IF(Sync!$AC794="",0,Sync!$AC794))</f>
        <v/>
      </c>
      <c r="N797">
        <f>IF($G797="","",IF($H797="مرجوعی خرید",-1,1)*($L797-$M797*IFERROR(VLOOKUP("P01",ParamTbl,3,0),1.5))*(1-IF($I797="خرید",IFERROR(VLOOKUP("P02",ParamTbl,3,0),1),0)/100))</f>
        <v/>
      </c>
      <c r="O797">
        <f>IF($G797="",0,IF($H797="مرجوعی خرید",-1,1)*IF(Sync!$AD794="",0,Sync!$AD794))</f>
        <v/>
      </c>
      <c r="P797">
        <f>IF(OR($G797="",Sync!$W794=""),"",Sync!$W794)</f>
        <v/>
      </c>
      <c r="Q797">
        <f>IF(OR($G797="",Sync!$AE794=""),"",Sync!$AE794)</f>
        <v/>
      </c>
      <c r="R797">
        <f>IF($G797="","",IF(Sync!$V794="","0000",IF(AND(ISNUMBER(Sync!$V794),Sync!$V794&gt;=0,Sync!$V794&lt;1),RIGHT("00"&amp;HOUR(Sync!$V794),2)&amp;RIGHT("00"&amp;MINUTE(Sync!$V794),2),IFERROR(RIGHT("00"&amp;VALUE(LEFT(Sync!$V794,FIND(":",Sync!$V794)-1)),2)&amp;RIGHT("00"&amp;VALUE(MID(Sync!$V794,FIND(":",Sync!$V794)+1,2)),2),"0000"))))</f>
        <v/>
      </c>
    </row>
    <row r="798">
      <c r="A798">
        <f>IF(Sync!$U795="","",Sync!$U795)</f>
        <v/>
      </c>
      <c r="B798">
        <f>IF($A798="","",IF(ISNUMBER($A798),IF(AND($A798&gt;=10000101,$A798&lt;=99991231),INT($A798/10000),""),IFERROR(VALUE(TRIM(LEFT($A798,FIND("/",$A798)-1))),"")))</f>
        <v/>
      </c>
      <c r="C798">
        <f>IF(OR($A798="",$B798=""),"",IF(ISNUMBER($A798),INT(MOD($A798,10000)/100),IFERROR(VALUE(TRIM(LEFT(MID($A798,FIND("/",$A798)+1,20),FIND("/",MID($A798,FIND("/",$A798)+1,20))-1))),"")))</f>
        <v/>
      </c>
      <c r="D798">
        <f>IF(OR($A798="",$B798=""),"",IF(ISNUMBER($A798),MOD($A798,100),IFERROR(VALUE(TRIM(MID(MID($A798,FIND("/",$A798)+1,20),FIND("/",MID($A798,FIND("/",$A798)+1,20))+1,20))),"")))</f>
        <v/>
      </c>
      <c r="E798">
        <f>IF($A798="","",IF(OR($B798="",$C798="",$D798="",$B798&lt;1300,$B798&gt;1500,$C798&lt;1,$C798&gt;12,$D798&lt;1,$D798&gt;31),"نامعتبر",RIGHT("0000"&amp;$B798,4)&amp;"/"&amp;RIGHT("00"&amp;$C798,2)&amp;"/"&amp;RIGHT("00"&amp;$D798,2)))</f>
        <v/>
      </c>
      <c r="F798">
        <f>IF(OR($E798="",$E798="نامعتبر"),"",LEFT($E798,4)&amp;"/"&amp;MID($E798,6,2))</f>
        <v/>
      </c>
      <c r="G798">
        <f>IF(OR($E798="",$E798="نامعتبر",Sync!$Y795=""),"",Sync!$Y795)</f>
        <v/>
      </c>
      <c r="H798">
        <f>IF($G798="","",IF(Sync!$X795="","",Sync!$X795))</f>
        <v/>
      </c>
      <c r="I798">
        <f>IF($G798="","",IFERROR(VLOOKUP(Sync!$X795,OpTbl,3,0),""))</f>
        <v/>
      </c>
      <c r="J798">
        <f>IF(OR($G798="",Sync!$Z795=""),"",Sync!$Z795)</f>
        <v/>
      </c>
      <c r="K798">
        <f>IF(OR($G798="",Sync!$AA795=""),"",Sync!$AA795)</f>
        <v/>
      </c>
      <c r="L798">
        <f>IF($G798="",0,IF(Sync!$AB795="",0,Sync!$AB795))</f>
        <v/>
      </c>
      <c r="M798">
        <f>IF($G798="",0,IF(Sync!$AC795="",0,Sync!$AC795))</f>
        <v/>
      </c>
      <c r="N798">
        <f>IF($G798="","",IF($H798="مرجوعی خرید",-1,1)*($L798-$M798*IFERROR(VLOOKUP("P01",ParamTbl,3,0),1.5))*(1-IF($I798="خرید",IFERROR(VLOOKUP("P02",ParamTbl,3,0),1),0)/100))</f>
        <v/>
      </c>
      <c r="O798">
        <f>IF($G798="",0,IF($H798="مرجوعی خرید",-1,1)*IF(Sync!$AD795="",0,Sync!$AD795))</f>
        <v/>
      </c>
      <c r="P798">
        <f>IF(OR($G798="",Sync!$W795=""),"",Sync!$W795)</f>
        <v/>
      </c>
      <c r="Q798">
        <f>IF(OR($G798="",Sync!$AE795=""),"",Sync!$AE795)</f>
        <v/>
      </c>
      <c r="R798">
        <f>IF($G798="","",IF(Sync!$V795="","0000",IF(AND(ISNUMBER(Sync!$V795),Sync!$V795&gt;=0,Sync!$V795&lt;1),RIGHT("00"&amp;HOUR(Sync!$V795),2)&amp;RIGHT("00"&amp;MINUTE(Sync!$V795),2),IFERROR(RIGHT("00"&amp;VALUE(LEFT(Sync!$V795,FIND(":",Sync!$V795)-1)),2)&amp;RIGHT("00"&amp;VALUE(MID(Sync!$V795,FIND(":",Sync!$V795)+1,2)),2),"0000"))))</f>
        <v/>
      </c>
    </row>
    <row r="799">
      <c r="A799">
        <f>IF(Sync!$U796="","",Sync!$U796)</f>
        <v/>
      </c>
      <c r="B799">
        <f>IF($A799="","",IF(ISNUMBER($A799),IF(AND($A799&gt;=10000101,$A799&lt;=99991231),INT($A799/10000),""),IFERROR(VALUE(TRIM(LEFT($A799,FIND("/",$A799)-1))),"")))</f>
        <v/>
      </c>
      <c r="C799">
        <f>IF(OR($A799="",$B799=""),"",IF(ISNUMBER($A799),INT(MOD($A799,10000)/100),IFERROR(VALUE(TRIM(LEFT(MID($A799,FIND("/",$A799)+1,20),FIND("/",MID($A799,FIND("/",$A799)+1,20))-1))),"")))</f>
        <v/>
      </c>
      <c r="D799">
        <f>IF(OR($A799="",$B799=""),"",IF(ISNUMBER($A799),MOD($A799,100),IFERROR(VALUE(TRIM(MID(MID($A799,FIND("/",$A799)+1,20),FIND("/",MID($A799,FIND("/",$A799)+1,20))+1,20))),"")))</f>
        <v/>
      </c>
      <c r="E799">
        <f>IF($A799="","",IF(OR($B799="",$C799="",$D799="",$B799&lt;1300,$B799&gt;1500,$C799&lt;1,$C799&gt;12,$D799&lt;1,$D799&gt;31),"نامعتبر",RIGHT("0000"&amp;$B799,4)&amp;"/"&amp;RIGHT("00"&amp;$C799,2)&amp;"/"&amp;RIGHT("00"&amp;$D799,2)))</f>
        <v/>
      </c>
      <c r="F799">
        <f>IF(OR($E799="",$E799="نامعتبر"),"",LEFT($E799,4)&amp;"/"&amp;MID($E799,6,2))</f>
        <v/>
      </c>
      <c r="G799">
        <f>IF(OR($E799="",$E799="نامعتبر",Sync!$Y796=""),"",Sync!$Y796)</f>
        <v/>
      </c>
      <c r="H799">
        <f>IF($G799="","",IF(Sync!$X796="","",Sync!$X796))</f>
        <v/>
      </c>
      <c r="I799">
        <f>IF($G799="","",IFERROR(VLOOKUP(Sync!$X796,OpTbl,3,0),""))</f>
        <v/>
      </c>
      <c r="J799">
        <f>IF(OR($G799="",Sync!$Z796=""),"",Sync!$Z796)</f>
        <v/>
      </c>
      <c r="K799">
        <f>IF(OR($G799="",Sync!$AA796=""),"",Sync!$AA796)</f>
        <v/>
      </c>
      <c r="L799">
        <f>IF($G799="",0,IF(Sync!$AB796="",0,Sync!$AB796))</f>
        <v/>
      </c>
      <c r="M799">
        <f>IF($G799="",0,IF(Sync!$AC796="",0,Sync!$AC796))</f>
        <v/>
      </c>
      <c r="N799">
        <f>IF($G799="","",IF($H799="مرجوعی خرید",-1,1)*($L799-$M799*IFERROR(VLOOKUP("P01",ParamTbl,3,0),1.5))*(1-IF($I799="خرید",IFERROR(VLOOKUP("P02",ParamTbl,3,0),1),0)/100))</f>
        <v/>
      </c>
      <c r="O799">
        <f>IF($G799="",0,IF($H799="مرجوعی خرید",-1,1)*IF(Sync!$AD796="",0,Sync!$AD796))</f>
        <v/>
      </c>
      <c r="P799">
        <f>IF(OR($G799="",Sync!$W796=""),"",Sync!$W796)</f>
        <v/>
      </c>
      <c r="Q799">
        <f>IF(OR($G799="",Sync!$AE796=""),"",Sync!$AE796)</f>
        <v/>
      </c>
      <c r="R799">
        <f>IF($G799="","",IF(Sync!$V796="","0000",IF(AND(ISNUMBER(Sync!$V796),Sync!$V796&gt;=0,Sync!$V796&lt;1),RIGHT("00"&amp;HOUR(Sync!$V796),2)&amp;RIGHT("00"&amp;MINUTE(Sync!$V796),2),IFERROR(RIGHT("00"&amp;VALUE(LEFT(Sync!$V796,FIND(":",Sync!$V796)-1)),2)&amp;RIGHT("00"&amp;VALUE(MID(Sync!$V796,FIND(":",Sync!$V796)+1,2)),2),"0000"))))</f>
        <v/>
      </c>
    </row>
    <row r="800">
      <c r="A800">
        <f>IF(Sync!$U797="","",Sync!$U797)</f>
        <v/>
      </c>
      <c r="B800">
        <f>IF($A800="","",IF(ISNUMBER($A800),IF(AND($A800&gt;=10000101,$A800&lt;=99991231),INT($A800/10000),""),IFERROR(VALUE(TRIM(LEFT($A800,FIND("/",$A800)-1))),"")))</f>
        <v/>
      </c>
      <c r="C800">
        <f>IF(OR($A800="",$B800=""),"",IF(ISNUMBER($A800),INT(MOD($A800,10000)/100),IFERROR(VALUE(TRIM(LEFT(MID($A800,FIND("/",$A800)+1,20),FIND("/",MID($A800,FIND("/",$A800)+1,20))-1))),"")))</f>
        <v/>
      </c>
      <c r="D800">
        <f>IF(OR($A800="",$B800=""),"",IF(ISNUMBER($A800),MOD($A800,100),IFERROR(VALUE(TRIM(MID(MID($A800,FIND("/",$A800)+1,20),FIND("/",MID($A800,FIND("/",$A800)+1,20))+1,20))),"")))</f>
        <v/>
      </c>
      <c r="E800">
        <f>IF($A800="","",IF(OR($B800="",$C800="",$D800="",$B800&lt;1300,$B800&gt;1500,$C800&lt;1,$C800&gt;12,$D800&lt;1,$D800&gt;31),"نامعتبر",RIGHT("0000"&amp;$B800,4)&amp;"/"&amp;RIGHT("00"&amp;$C800,2)&amp;"/"&amp;RIGHT("00"&amp;$D800,2)))</f>
        <v/>
      </c>
      <c r="F800">
        <f>IF(OR($E800="",$E800="نامعتبر"),"",LEFT($E800,4)&amp;"/"&amp;MID($E800,6,2))</f>
        <v/>
      </c>
      <c r="G800">
        <f>IF(OR($E800="",$E800="نامعتبر",Sync!$Y797=""),"",Sync!$Y797)</f>
        <v/>
      </c>
      <c r="H800">
        <f>IF($G800="","",IF(Sync!$X797="","",Sync!$X797))</f>
        <v/>
      </c>
      <c r="I800">
        <f>IF($G800="","",IFERROR(VLOOKUP(Sync!$X797,OpTbl,3,0),""))</f>
        <v/>
      </c>
      <c r="J800">
        <f>IF(OR($G800="",Sync!$Z797=""),"",Sync!$Z797)</f>
        <v/>
      </c>
      <c r="K800">
        <f>IF(OR($G800="",Sync!$AA797=""),"",Sync!$AA797)</f>
        <v/>
      </c>
      <c r="L800">
        <f>IF($G800="",0,IF(Sync!$AB797="",0,Sync!$AB797))</f>
        <v/>
      </c>
      <c r="M800">
        <f>IF($G800="",0,IF(Sync!$AC797="",0,Sync!$AC797))</f>
        <v/>
      </c>
      <c r="N800">
        <f>IF($G800="","",IF($H800="مرجوعی خرید",-1,1)*($L800-$M800*IFERROR(VLOOKUP("P01",ParamTbl,3,0),1.5))*(1-IF($I800="خرید",IFERROR(VLOOKUP("P02",ParamTbl,3,0),1),0)/100))</f>
        <v/>
      </c>
      <c r="O800">
        <f>IF($G800="",0,IF($H800="مرجوعی خرید",-1,1)*IF(Sync!$AD797="",0,Sync!$AD797))</f>
        <v/>
      </c>
      <c r="P800">
        <f>IF(OR($G800="",Sync!$W797=""),"",Sync!$W797)</f>
        <v/>
      </c>
      <c r="Q800">
        <f>IF(OR($G800="",Sync!$AE797=""),"",Sync!$AE797)</f>
        <v/>
      </c>
      <c r="R800">
        <f>IF($G800="","",IF(Sync!$V797="","0000",IF(AND(ISNUMBER(Sync!$V797),Sync!$V797&gt;=0,Sync!$V797&lt;1),RIGHT("00"&amp;HOUR(Sync!$V797),2)&amp;RIGHT("00"&amp;MINUTE(Sync!$V797),2),IFERROR(RIGHT("00"&amp;VALUE(LEFT(Sync!$V797,FIND(":",Sync!$V797)-1)),2)&amp;RIGHT("00"&amp;VALUE(MID(Sync!$V797,FIND(":",Sync!$V797)+1,2)),2),"0000"))))</f>
        <v/>
      </c>
    </row>
    <row r="801">
      <c r="A801">
        <f>IF(Sync!$U798="","",Sync!$U798)</f>
        <v/>
      </c>
      <c r="B801">
        <f>IF($A801="","",IF(ISNUMBER($A801),IF(AND($A801&gt;=10000101,$A801&lt;=99991231),INT($A801/10000),""),IFERROR(VALUE(TRIM(LEFT($A801,FIND("/",$A801)-1))),"")))</f>
        <v/>
      </c>
      <c r="C801">
        <f>IF(OR($A801="",$B801=""),"",IF(ISNUMBER($A801),INT(MOD($A801,10000)/100),IFERROR(VALUE(TRIM(LEFT(MID($A801,FIND("/",$A801)+1,20),FIND("/",MID($A801,FIND("/",$A801)+1,20))-1))),"")))</f>
        <v/>
      </c>
      <c r="D801">
        <f>IF(OR($A801="",$B801=""),"",IF(ISNUMBER($A801),MOD($A801,100),IFERROR(VALUE(TRIM(MID(MID($A801,FIND("/",$A801)+1,20),FIND("/",MID($A801,FIND("/",$A801)+1,20))+1,20))),"")))</f>
        <v/>
      </c>
      <c r="E801">
        <f>IF($A801="","",IF(OR($B801="",$C801="",$D801="",$B801&lt;1300,$B801&gt;1500,$C801&lt;1,$C801&gt;12,$D801&lt;1,$D801&gt;31),"نامعتبر",RIGHT("0000"&amp;$B801,4)&amp;"/"&amp;RIGHT("00"&amp;$C801,2)&amp;"/"&amp;RIGHT("00"&amp;$D801,2)))</f>
        <v/>
      </c>
      <c r="F801">
        <f>IF(OR($E801="",$E801="نامعتبر"),"",LEFT($E801,4)&amp;"/"&amp;MID($E801,6,2))</f>
        <v/>
      </c>
      <c r="G801">
        <f>IF(OR($E801="",$E801="نامعتبر",Sync!$Y798=""),"",Sync!$Y798)</f>
        <v/>
      </c>
      <c r="H801">
        <f>IF($G801="","",IF(Sync!$X798="","",Sync!$X798))</f>
        <v/>
      </c>
      <c r="I801">
        <f>IF($G801="","",IFERROR(VLOOKUP(Sync!$X798,OpTbl,3,0),""))</f>
        <v/>
      </c>
      <c r="J801">
        <f>IF(OR($G801="",Sync!$Z798=""),"",Sync!$Z798)</f>
        <v/>
      </c>
      <c r="K801">
        <f>IF(OR($G801="",Sync!$AA798=""),"",Sync!$AA798)</f>
        <v/>
      </c>
      <c r="L801">
        <f>IF($G801="",0,IF(Sync!$AB798="",0,Sync!$AB798))</f>
        <v/>
      </c>
      <c r="M801">
        <f>IF($G801="",0,IF(Sync!$AC798="",0,Sync!$AC798))</f>
        <v/>
      </c>
      <c r="N801">
        <f>IF($G801="","",IF($H801="مرجوعی خرید",-1,1)*($L801-$M801*IFERROR(VLOOKUP("P01",ParamTbl,3,0),1.5))*(1-IF($I801="خرید",IFERROR(VLOOKUP("P02",ParamTbl,3,0),1),0)/100))</f>
        <v/>
      </c>
      <c r="O801">
        <f>IF($G801="",0,IF($H801="مرجوعی خرید",-1,1)*IF(Sync!$AD798="",0,Sync!$AD798))</f>
        <v/>
      </c>
      <c r="P801">
        <f>IF(OR($G801="",Sync!$W798=""),"",Sync!$W798)</f>
        <v/>
      </c>
      <c r="Q801">
        <f>IF(OR($G801="",Sync!$AE798=""),"",Sync!$AE798)</f>
        <v/>
      </c>
      <c r="R801">
        <f>IF($G801="","",IF(Sync!$V798="","0000",IF(AND(ISNUMBER(Sync!$V798),Sync!$V798&gt;=0,Sync!$V798&lt;1),RIGHT("00"&amp;HOUR(Sync!$V798),2)&amp;RIGHT("00"&amp;MINUTE(Sync!$V798),2),IFERROR(RIGHT("00"&amp;VALUE(LEFT(Sync!$V798,FIND(":",Sync!$V798)-1)),2)&amp;RIGHT("00"&amp;VALUE(MID(Sync!$V798,FIND(":",Sync!$V798)+1,2)),2),"0000"))))</f>
        <v/>
      </c>
    </row>
    <row r="802">
      <c r="A802">
        <f>IF(Sync!$U799="","",Sync!$U799)</f>
        <v/>
      </c>
      <c r="B802">
        <f>IF($A802="","",IF(ISNUMBER($A802),IF(AND($A802&gt;=10000101,$A802&lt;=99991231),INT($A802/10000),""),IFERROR(VALUE(TRIM(LEFT($A802,FIND("/",$A802)-1))),"")))</f>
        <v/>
      </c>
      <c r="C802">
        <f>IF(OR($A802="",$B802=""),"",IF(ISNUMBER($A802),INT(MOD($A802,10000)/100),IFERROR(VALUE(TRIM(LEFT(MID($A802,FIND("/",$A802)+1,20),FIND("/",MID($A802,FIND("/",$A802)+1,20))-1))),"")))</f>
        <v/>
      </c>
      <c r="D802">
        <f>IF(OR($A802="",$B802=""),"",IF(ISNUMBER($A802),MOD($A802,100),IFERROR(VALUE(TRIM(MID(MID($A802,FIND("/",$A802)+1,20),FIND("/",MID($A802,FIND("/",$A802)+1,20))+1,20))),"")))</f>
        <v/>
      </c>
      <c r="E802">
        <f>IF($A802="","",IF(OR($B802="",$C802="",$D802="",$B802&lt;1300,$B802&gt;1500,$C802&lt;1,$C802&gt;12,$D802&lt;1,$D802&gt;31),"نامعتبر",RIGHT("0000"&amp;$B802,4)&amp;"/"&amp;RIGHT("00"&amp;$C802,2)&amp;"/"&amp;RIGHT("00"&amp;$D802,2)))</f>
        <v/>
      </c>
      <c r="F802">
        <f>IF(OR($E802="",$E802="نامعتبر"),"",LEFT($E802,4)&amp;"/"&amp;MID($E802,6,2))</f>
        <v/>
      </c>
      <c r="G802">
        <f>IF(OR($E802="",$E802="نامعتبر",Sync!$Y799=""),"",Sync!$Y799)</f>
        <v/>
      </c>
      <c r="H802">
        <f>IF($G802="","",IF(Sync!$X799="","",Sync!$X799))</f>
        <v/>
      </c>
      <c r="I802">
        <f>IF($G802="","",IFERROR(VLOOKUP(Sync!$X799,OpTbl,3,0),""))</f>
        <v/>
      </c>
      <c r="J802">
        <f>IF(OR($G802="",Sync!$Z799=""),"",Sync!$Z799)</f>
        <v/>
      </c>
      <c r="K802">
        <f>IF(OR($G802="",Sync!$AA799=""),"",Sync!$AA799)</f>
        <v/>
      </c>
      <c r="L802">
        <f>IF($G802="",0,IF(Sync!$AB799="",0,Sync!$AB799))</f>
        <v/>
      </c>
      <c r="M802">
        <f>IF($G802="",0,IF(Sync!$AC799="",0,Sync!$AC799))</f>
        <v/>
      </c>
      <c r="N802">
        <f>IF($G802="","",IF($H802="مرجوعی خرید",-1,1)*($L802-$M802*IFERROR(VLOOKUP("P01",ParamTbl,3,0),1.5))*(1-IF($I802="خرید",IFERROR(VLOOKUP("P02",ParamTbl,3,0),1),0)/100))</f>
        <v/>
      </c>
      <c r="O802">
        <f>IF($G802="",0,IF($H802="مرجوعی خرید",-1,1)*IF(Sync!$AD799="",0,Sync!$AD799))</f>
        <v/>
      </c>
      <c r="P802">
        <f>IF(OR($G802="",Sync!$W799=""),"",Sync!$W799)</f>
        <v/>
      </c>
      <c r="Q802">
        <f>IF(OR($G802="",Sync!$AE799=""),"",Sync!$AE799)</f>
        <v/>
      </c>
      <c r="R802">
        <f>IF($G802="","",IF(Sync!$V799="","0000",IF(AND(ISNUMBER(Sync!$V799),Sync!$V799&gt;=0,Sync!$V799&lt;1),RIGHT("00"&amp;HOUR(Sync!$V799),2)&amp;RIGHT("00"&amp;MINUTE(Sync!$V799),2),IFERROR(RIGHT("00"&amp;VALUE(LEFT(Sync!$V799,FIND(":",Sync!$V799)-1)),2)&amp;RIGHT("00"&amp;VALUE(MID(Sync!$V799,FIND(":",Sync!$V799)+1,2)),2),"0000"))))</f>
        <v/>
      </c>
    </row>
    <row r="803">
      <c r="A803">
        <f>IF(Sync!$U800="","",Sync!$U800)</f>
        <v/>
      </c>
      <c r="B803">
        <f>IF($A803="","",IF(ISNUMBER($A803),IF(AND($A803&gt;=10000101,$A803&lt;=99991231),INT($A803/10000),""),IFERROR(VALUE(TRIM(LEFT($A803,FIND("/",$A803)-1))),"")))</f>
        <v/>
      </c>
      <c r="C803">
        <f>IF(OR($A803="",$B803=""),"",IF(ISNUMBER($A803),INT(MOD($A803,10000)/100),IFERROR(VALUE(TRIM(LEFT(MID($A803,FIND("/",$A803)+1,20),FIND("/",MID($A803,FIND("/",$A803)+1,20))-1))),"")))</f>
        <v/>
      </c>
      <c r="D803">
        <f>IF(OR($A803="",$B803=""),"",IF(ISNUMBER($A803),MOD($A803,100),IFERROR(VALUE(TRIM(MID(MID($A803,FIND("/",$A803)+1,20),FIND("/",MID($A803,FIND("/",$A803)+1,20))+1,20))),"")))</f>
        <v/>
      </c>
      <c r="E803">
        <f>IF($A803="","",IF(OR($B803="",$C803="",$D803="",$B803&lt;1300,$B803&gt;1500,$C803&lt;1,$C803&gt;12,$D803&lt;1,$D803&gt;31),"نامعتبر",RIGHT("0000"&amp;$B803,4)&amp;"/"&amp;RIGHT("00"&amp;$C803,2)&amp;"/"&amp;RIGHT("00"&amp;$D803,2)))</f>
        <v/>
      </c>
      <c r="F803">
        <f>IF(OR($E803="",$E803="نامعتبر"),"",LEFT($E803,4)&amp;"/"&amp;MID($E803,6,2))</f>
        <v/>
      </c>
      <c r="G803">
        <f>IF(OR($E803="",$E803="نامعتبر",Sync!$Y800=""),"",Sync!$Y800)</f>
        <v/>
      </c>
      <c r="H803">
        <f>IF($G803="","",IF(Sync!$X800="","",Sync!$X800))</f>
        <v/>
      </c>
      <c r="I803">
        <f>IF($G803="","",IFERROR(VLOOKUP(Sync!$X800,OpTbl,3,0),""))</f>
        <v/>
      </c>
      <c r="J803">
        <f>IF(OR($G803="",Sync!$Z800=""),"",Sync!$Z800)</f>
        <v/>
      </c>
      <c r="K803">
        <f>IF(OR($G803="",Sync!$AA800=""),"",Sync!$AA800)</f>
        <v/>
      </c>
      <c r="L803">
        <f>IF($G803="",0,IF(Sync!$AB800="",0,Sync!$AB800))</f>
        <v/>
      </c>
      <c r="M803">
        <f>IF($G803="",0,IF(Sync!$AC800="",0,Sync!$AC800))</f>
        <v/>
      </c>
      <c r="N803">
        <f>IF($G803="","",IF($H803="مرجوعی خرید",-1,1)*($L803-$M803*IFERROR(VLOOKUP("P01",ParamTbl,3,0),1.5))*(1-IF($I803="خرید",IFERROR(VLOOKUP("P02",ParamTbl,3,0),1),0)/100))</f>
        <v/>
      </c>
      <c r="O803">
        <f>IF($G803="",0,IF($H803="مرجوعی خرید",-1,1)*IF(Sync!$AD800="",0,Sync!$AD800))</f>
        <v/>
      </c>
      <c r="P803">
        <f>IF(OR($G803="",Sync!$W800=""),"",Sync!$W800)</f>
        <v/>
      </c>
      <c r="Q803">
        <f>IF(OR($G803="",Sync!$AE800=""),"",Sync!$AE800)</f>
        <v/>
      </c>
      <c r="R803">
        <f>IF($G803="","",IF(Sync!$V800="","0000",IF(AND(ISNUMBER(Sync!$V800),Sync!$V800&gt;=0,Sync!$V800&lt;1),RIGHT("00"&amp;HOUR(Sync!$V800),2)&amp;RIGHT("00"&amp;MINUTE(Sync!$V800),2),IFERROR(RIGHT("00"&amp;VALUE(LEFT(Sync!$V800,FIND(":",Sync!$V800)-1)),2)&amp;RIGHT("00"&amp;VALUE(MID(Sync!$V800,FIND(":",Sync!$V800)+1,2)),2),"0000"))))</f>
        <v/>
      </c>
    </row>
    <row r="804">
      <c r="A804">
        <f>IF(Sync!$U801="","",Sync!$U801)</f>
        <v/>
      </c>
      <c r="B804">
        <f>IF($A804="","",IF(ISNUMBER($A804),IF(AND($A804&gt;=10000101,$A804&lt;=99991231),INT($A804/10000),""),IFERROR(VALUE(TRIM(LEFT($A804,FIND("/",$A804)-1))),"")))</f>
        <v/>
      </c>
      <c r="C804">
        <f>IF(OR($A804="",$B804=""),"",IF(ISNUMBER($A804),INT(MOD($A804,10000)/100),IFERROR(VALUE(TRIM(LEFT(MID($A804,FIND("/",$A804)+1,20),FIND("/",MID($A804,FIND("/",$A804)+1,20))-1))),"")))</f>
        <v/>
      </c>
      <c r="D804">
        <f>IF(OR($A804="",$B804=""),"",IF(ISNUMBER($A804),MOD($A804,100),IFERROR(VALUE(TRIM(MID(MID($A804,FIND("/",$A804)+1,20),FIND("/",MID($A804,FIND("/",$A804)+1,20))+1,20))),"")))</f>
        <v/>
      </c>
      <c r="E804">
        <f>IF($A804="","",IF(OR($B804="",$C804="",$D804="",$B804&lt;1300,$B804&gt;1500,$C804&lt;1,$C804&gt;12,$D804&lt;1,$D804&gt;31),"نامعتبر",RIGHT("0000"&amp;$B804,4)&amp;"/"&amp;RIGHT("00"&amp;$C804,2)&amp;"/"&amp;RIGHT("00"&amp;$D804,2)))</f>
        <v/>
      </c>
      <c r="F804">
        <f>IF(OR($E804="",$E804="نامعتبر"),"",LEFT($E804,4)&amp;"/"&amp;MID($E804,6,2))</f>
        <v/>
      </c>
      <c r="G804">
        <f>IF(OR($E804="",$E804="نامعتبر",Sync!$Y801=""),"",Sync!$Y801)</f>
        <v/>
      </c>
      <c r="H804">
        <f>IF($G804="","",IF(Sync!$X801="","",Sync!$X801))</f>
        <v/>
      </c>
      <c r="I804">
        <f>IF($G804="","",IFERROR(VLOOKUP(Sync!$X801,OpTbl,3,0),""))</f>
        <v/>
      </c>
      <c r="J804">
        <f>IF(OR($G804="",Sync!$Z801=""),"",Sync!$Z801)</f>
        <v/>
      </c>
      <c r="K804">
        <f>IF(OR($G804="",Sync!$AA801=""),"",Sync!$AA801)</f>
        <v/>
      </c>
      <c r="L804">
        <f>IF($G804="",0,IF(Sync!$AB801="",0,Sync!$AB801))</f>
        <v/>
      </c>
      <c r="M804">
        <f>IF($G804="",0,IF(Sync!$AC801="",0,Sync!$AC801))</f>
        <v/>
      </c>
      <c r="N804">
        <f>IF($G804="","",IF($H804="مرجوعی خرید",-1,1)*($L804-$M804*IFERROR(VLOOKUP("P01",ParamTbl,3,0),1.5))*(1-IF($I804="خرید",IFERROR(VLOOKUP("P02",ParamTbl,3,0),1),0)/100))</f>
        <v/>
      </c>
      <c r="O804">
        <f>IF($G804="",0,IF($H804="مرجوعی خرید",-1,1)*IF(Sync!$AD801="",0,Sync!$AD801))</f>
        <v/>
      </c>
      <c r="P804">
        <f>IF(OR($G804="",Sync!$W801=""),"",Sync!$W801)</f>
        <v/>
      </c>
      <c r="Q804">
        <f>IF(OR($G804="",Sync!$AE801=""),"",Sync!$AE801)</f>
        <v/>
      </c>
      <c r="R804">
        <f>IF($G804="","",IF(Sync!$V801="","0000",IF(AND(ISNUMBER(Sync!$V801),Sync!$V801&gt;=0,Sync!$V801&lt;1),RIGHT("00"&amp;HOUR(Sync!$V801),2)&amp;RIGHT("00"&amp;MINUTE(Sync!$V801),2),IFERROR(RIGHT("00"&amp;VALUE(LEFT(Sync!$V801,FIND(":",Sync!$V801)-1)),2)&amp;RIGHT("00"&amp;VALUE(MID(Sync!$V801,FIND(":",Sync!$V801)+1,2)),2),"0000"))))</f>
        <v/>
      </c>
    </row>
    <row r="805">
      <c r="A805">
        <f>IF(Sync!$U802="","",Sync!$U802)</f>
        <v/>
      </c>
      <c r="B805">
        <f>IF($A805="","",IF(ISNUMBER($A805),IF(AND($A805&gt;=10000101,$A805&lt;=99991231),INT($A805/10000),""),IFERROR(VALUE(TRIM(LEFT($A805,FIND("/",$A805)-1))),"")))</f>
        <v/>
      </c>
      <c r="C805">
        <f>IF(OR($A805="",$B805=""),"",IF(ISNUMBER($A805),INT(MOD($A805,10000)/100),IFERROR(VALUE(TRIM(LEFT(MID($A805,FIND("/",$A805)+1,20),FIND("/",MID($A805,FIND("/",$A805)+1,20))-1))),"")))</f>
        <v/>
      </c>
      <c r="D805">
        <f>IF(OR($A805="",$B805=""),"",IF(ISNUMBER($A805),MOD($A805,100),IFERROR(VALUE(TRIM(MID(MID($A805,FIND("/",$A805)+1,20),FIND("/",MID($A805,FIND("/",$A805)+1,20))+1,20))),"")))</f>
        <v/>
      </c>
      <c r="E805">
        <f>IF($A805="","",IF(OR($B805="",$C805="",$D805="",$B805&lt;1300,$B805&gt;1500,$C805&lt;1,$C805&gt;12,$D805&lt;1,$D805&gt;31),"نامعتبر",RIGHT("0000"&amp;$B805,4)&amp;"/"&amp;RIGHT("00"&amp;$C805,2)&amp;"/"&amp;RIGHT("00"&amp;$D805,2)))</f>
        <v/>
      </c>
      <c r="F805">
        <f>IF(OR($E805="",$E805="نامعتبر"),"",LEFT($E805,4)&amp;"/"&amp;MID($E805,6,2))</f>
        <v/>
      </c>
      <c r="G805">
        <f>IF(OR($E805="",$E805="نامعتبر",Sync!$Y802=""),"",Sync!$Y802)</f>
        <v/>
      </c>
      <c r="H805">
        <f>IF($G805="","",IF(Sync!$X802="","",Sync!$X802))</f>
        <v/>
      </c>
      <c r="I805">
        <f>IF($G805="","",IFERROR(VLOOKUP(Sync!$X802,OpTbl,3,0),""))</f>
        <v/>
      </c>
      <c r="J805">
        <f>IF(OR($G805="",Sync!$Z802=""),"",Sync!$Z802)</f>
        <v/>
      </c>
      <c r="K805">
        <f>IF(OR($G805="",Sync!$AA802=""),"",Sync!$AA802)</f>
        <v/>
      </c>
      <c r="L805">
        <f>IF($G805="",0,IF(Sync!$AB802="",0,Sync!$AB802))</f>
        <v/>
      </c>
      <c r="M805">
        <f>IF($G805="",0,IF(Sync!$AC802="",0,Sync!$AC802))</f>
        <v/>
      </c>
      <c r="N805">
        <f>IF($G805="","",IF($H805="مرجوعی خرید",-1,1)*($L805-$M805*IFERROR(VLOOKUP("P01",ParamTbl,3,0),1.5))*(1-IF($I805="خرید",IFERROR(VLOOKUP("P02",ParamTbl,3,0),1),0)/100))</f>
        <v/>
      </c>
      <c r="O805">
        <f>IF($G805="",0,IF($H805="مرجوعی خرید",-1,1)*IF(Sync!$AD802="",0,Sync!$AD802))</f>
        <v/>
      </c>
      <c r="P805">
        <f>IF(OR($G805="",Sync!$W802=""),"",Sync!$W802)</f>
        <v/>
      </c>
      <c r="Q805">
        <f>IF(OR($G805="",Sync!$AE802=""),"",Sync!$AE802)</f>
        <v/>
      </c>
      <c r="R805">
        <f>IF($G805="","",IF(Sync!$V802="","0000",IF(AND(ISNUMBER(Sync!$V802),Sync!$V802&gt;=0,Sync!$V802&lt;1),RIGHT("00"&amp;HOUR(Sync!$V802),2)&amp;RIGHT("00"&amp;MINUTE(Sync!$V802),2),IFERROR(RIGHT("00"&amp;VALUE(LEFT(Sync!$V802,FIND(":",Sync!$V802)-1)),2)&amp;RIGHT("00"&amp;VALUE(MID(Sync!$V802,FIND(":",Sync!$V802)+1,2)),2),"0000"))))</f>
        <v/>
      </c>
    </row>
    <row r="806">
      <c r="A806">
        <f>IF(Sync!$U803="","",Sync!$U803)</f>
        <v/>
      </c>
      <c r="B806">
        <f>IF($A806="","",IF(ISNUMBER($A806),IF(AND($A806&gt;=10000101,$A806&lt;=99991231),INT($A806/10000),""),IFERROR(VALUE(TRIM(LEFT($A806,FIND("/",$A806)-1))),"")))</f>
        <v/>
      </c>
      <c r="C806">
        <f>IF(OR($A806="",$B806=""),"",IF(ISNUMBER($A806),INT(MOD($A806,10000)/100),IFERROR(VALUE(TRIM(LEFT(MID($A806,FIND("/",$A806)+1,20),FIND("/",MID($A806,FIND("/",$A806)+1,20))-1))),"")))</f>
        <v/>
      </c>
      <c r="D806">
        <f>IF(OR($A806="",$B806=""),"",IF(ISNUMBER($A806),MOD($A806,100),IFERROR(VALUE(TRIM(MID(MID($A806,FIND("/",$A806)+1,20),FIND("/",MID($A806,FIND("/",$A806)+1,20))+1,20))),"")))</f>
        <v/>
      </c>
      <c r="E806">
        <f>IF($A806="","",IF(OR($B806="",$C806="",$D806="",$B806&lt;1300,$B806&gt;1500,$C806&lt;1,$C806&gt;12,$D806&lt;1,$D806&gt;31),"نامعتبر",RIGHT("0000"&amp;$B806,4)&amp;"/"&amp;RIGHT("00"&amp;$C806,2)&amp;"/"&amp;RIGHT("00"&amp;$D806,2)))</f>
        <v/>
      </c>
      <c r="F806">
        <f>IF(OR($E806="",$E806="نامعتبر"),"",LEFT($E806,4)&amp;"/"&amp;MID($E806,6,2))</f>
        <v/>
      </c>
      <c r="G806">
        <f>IF(OR($E806="",$E806="نامعتبر",Sync!$Y803=""),"",Sync!$Y803)</f>
        <v/>
      </c>
      <c r="H806">
        <f>IF($G806="","",IF(Sync!$X803="","",Sync!$X803))</f>
        <v/>
      </c>
      <c r="I806">
        <f>IF($G806="","",IFERROR(VLOOKUP(Sync!$X803,OpTbl,3,0),""))</f>
        <v/>
      </c>
      <c r="J806">
        <f>IF(OR($G806="",Sync!$Z803=""),"",Sync!$Z803)</f>
        <v/>
      </c>
      <c r="K806">
        <f>IF(OR($G806="",Sync!$AA803=""),"",Sync!$AA803)</f>
        <v/>
      </c>
      <c r="L806">
        <f>IF($G806="",0,IF(Sync!$AB803="",0,Sync!$AB803))</f>
        <v/>
      </c>
      <c r="M806">
        <f>IF($G806="",0,IF(Sync!$AC803="",0,Sync!$AC803))</f>
        <v/>
      </c>
      <c r="N806">
        <f>IF($G806="","",IF($H806="مرجوعی خرید",-1,1)*($L806-$M806*IFERROR(VLOOKUP("P01",ParamTbl,3,0),1.5))*(1-IF($I806="خرید",IFERROR(VLOOKUP("P02",ParamTbl,3,0),1),0)/100))</f>
        <v/>
      </c>
      <c r="O806">
        <f>IF($G806="",0,IF($H806="مرجوعی خرید",-1,1)*IF(Sync!$AD803="",0,Sync!$AD803))</f>
        <v/>
      </c>
      <c r="P806">
        <f>IF(OR($G806="",Sync!$W803=""),"",Sync!$W803)</f>
        <v/>
      </c>
      <c r="Q806">
        <f>IF(OR($G806="",Sync!$AE803=""),"",Sync!$AE803)</f>
        <v/>
      </c>
      <c r="R806">
        <f>IF($G806="","",IF(Sync!$V803="","0000",IF(AND(ISNUMBER(Sync!$V803),Sync!$V803&gt;=0,Sync!$V803&lt;1),RIGHT("00"&amp;HOUR(Sync!$V803),2)&amp;RIGHT("00"&amp;MINUTE(Sync!$V803),2),IFERROR(RIGHT("00"&amp;VALUE(LEFT(Sync!$V803,FIND(":",Sync!$V803)-1)),2)&amp;RIGHT("00"&amp;VALUE(MID(Sync!$V803,FIND(":",Sync!$V803)+1,2)),2),"0000"))))</f>
        <v/>
      </c>
    </row>
    <row r="807">
      <c r="A807">
        <f>IF(Sync!$U804="","",Sync!$U804)</f>
        <v/>
      </c>
      <c r="B807">
        <f>IF($A807="","",IF(ISNUMBER($A807),IF(AND($A807&gt;=10000101,$A807&lt;=99991231),INT($A807/10000),""),IFERROR(VALUE(TRIM(LEFT($A807,FIND("/",$A807)-1))),"")))</f>
        <v/>
      </c>
      <c r="C807">
        <f>IF(OR($A807="",$B807=""),"",IF(ISNUMBER($A807),INT(MOD($A807,10000)/100),IFERROR(VALUE(TRIM(LEFT(MID($A807,FIND("/",$A807)+1,20),FIND("/",MID($A807,FIND("/",$A807)+1,20))-1))),"")))</f>
        <v/>
      </c>
      <c r="D807">
        <f>IF(OR($A807="",$B807=""),"",IF(ISNUMBER($A807),MOD($A807,100),IFERROR(VALUE(TRIM(MID(MID($A807,FIND("/",$A807)+1,20),FIND("/",MID($A807,FIND("/",$A807)+1,20))+1,20))),"")))</f>
        <v/>
      </c>
      <c r="E807">
        <f>IF($A807="","",IF(OR($B807="",$C807="",$D807="",$B807&lt;1300,$B807&gt;1500,$C807&lt;1,$C807&gt;12,$D807&lt;1,$D807&gt;31),"نامعتبر",RIGHT("0000"&amp;$B807,4)&amp;"/"&amp;RIGHT("00"&amp;$C807,2)&amp;"/"&amp;RIGHT("00"&amp;$D807,2)))</f>
        <v/>
      </c>
      <c r="F807">
        <f>IF(OR($E807="",$E807="نامعتبر"),"",LEFT($E807,4)&amp;"/"&amp;MID($E807,6,2))</f>
        <v/>
      </c>
      <c r="G807">
        <f>IF(OR($E807="",$E807="نامعتبر",Sync!$Y804=""),"",Sync!$Y804)</f>
        <v/>
      </c>
      <c r="H807">
        <f>IF($G807="","",IF(Sync!$X804="","",Sync!$X804))</f>
        <v/>
      </c>
      <c r="I807">
        <f>IF($G807="","",IFERROR(VLOOKUP(Sync!$X804,OpTbl,3,0),""))</f>
        <v/>
      </c>
      <c r="J807">
        <f>IF(OR($G807="",Sync!$Z804=""),"",Sync!$Z804)</f>
        <v/>
      </c>
      <c r="K807">
        <f>IF(OR($G807="",Sync!$AA804=""),"",Sync!$AA804)</f>
        <v/>
      </c>
      <c r="L807">
        <f>IF($G807="",0,IF(Sync!$AB804="",0,Sync!$AB804))</f>
        <v/>
      </c>
      <c r="M807">
        <f>IF($G807="",0,IF(Sync!$AC804="",0,Sync!$AC804))</f>
        <v/>
      </c>
      <c r="N807">
        <f>IF($G807="","",IF($H807="مرجوعی خرید",-1,1)*($L807-$M807*IFERROR(VLOOKUP("P01",ParamTbl,3,0),1.5))*(1-IF($I807="خرید",IFERROR(VLOOKUP("P02",ParamTbl,3,0),1),0)/100))</f>
        <v/>
      </c>
      <c r="O807">
        <f>IF($G807="",0,IF($H807="مرجوعی خرید",-1,1)*IF(Sync!$AD804="",0,Sync!$AD804))</f>
        <v/>
      </c>
      <c r="P807">
        <f>IF(OR($G807="",Sync!$W804=""),"",Sync!$W804)</f>
        <v/>
      </c>
      <c r="Q807">
        <f>IF(OR($G807="",Sync!$AE804=""),"",Sync!$AE804)</f>
        <v/>
      </c>
      <c r="R807">
        <f>IF($G807="","",IF(Sync!$V804="","0000",IF(AND(ISNUMBER(Sync!$V804),Sync!$V804&gt;=0,Sync!$V804&lt;1),RIGHT("00"&amp;HOUR(Sync!$V804),2)&amp;RIGHT("00"&amp;MINUTE(Sync!$V804),2),IFERROR(RIGHT("00"&amp;VALUE(LEFT(Sync!$V804,FIND(":",Sync!$V804)-1)),2)&amp;RIGHT("00"&amp;VALUE(MID(Sync!$V804,FIND(":",Sync!$V804)+1,2)),2),"0000"))))</f>
        <v/>
      </c>
    </row>
    <row r="808">
      <c r="A808">
        <f>IF(Sync!$U805="","",Sync!$U805)</f>
        <v/>
      </c>
      <c r="B808">
        <f>IF($A808="","",IF(ISNUMBER($A808),IF(AND($A808&gt;=10000101,$A808&lt;=99991231),INT($A808/10000),""),IFERROR(VALUE(TRIM(LEFT($A808,FIND("/",$A808)-1))),"")))</f>
        <v/>
      </c>
      <c r="C808">
        <f>IF(OR($A808="",$B808=""),"",IF(ISNUMBER($A808),INT(MOD($A808,10000)/100),IFERROR(VALUE(TRIM(LEFT(MID($A808,FIND("/",$A808)+1,20),FIND("/",MID($A808,FIND("/",$A808)+1,20))-1))),"")))</f>
        <v/>
      </c>
      <c r="D808">
        <f>IF(OR($A808="",$B808=""),"",IF(ISNUMBER($A808),MOD($A808,100),IFERROR(VALUE(TRIM(MID(MID($A808,FIND("/",$A808)+1,20),FIND("/",MID($A808,FIND("/",$A808)+1,20))+1,20))),"")))</f>
        <v/>
      </c>
      <c r="E808">
        <f>IF($A808="","",IF(OR($B808="",$C808="",$D808="",$B808&lt;1300,$B808&gt;1500,$C808&lt;1,$C808&gt;12,$D808&lt;1,$D808&gt;31),"نامعتبر",RIGHT("0000"&amp;$B808,4)&amp;"/"&amp;RIGHT("00"&amp;$C808,2)&amp;"/"&amp;RIGHT("00"&amp;$D808,2)))</f>
        <v/>
      </c>
      <c r="F808">
        <f>IF(OR($E808="",$E808="نامعتبر"),"",LEFT($E808,4)&amp;"/"&amp;MID($E808,6,2))</f>
        <v/>
      </c>
      <c r="G808">
        <f>IF(OR($E808="",$E808="نامعتبر",Sync!$Y805=""),"",Sync!$Y805)</f>
        <v/>
      </c>
      <c r="H808">
        <f>IF($G808="","",IF(Sync!$X805="","",Sync!$X805))</f>
        <v/>
      </c>
      <c r="I808">
        <f>IF($G808="","",IFERROR(VLOOKUP(Sync!$X805,OpTbl,3,0),""))</f>
        <v/>
      </c>
      <c r="J808">
        <f>IF(OR($G808="",Sync!$Z805=""),"",Sync!$Z805)</f>
        <v/>
      </c>
      <c r="K808">
        <f>IF(OR($G808="",Sync!$AA805=""),"",Sync!$AA805)</f>
        <v/>
      </c>
      <c r="L808">
        <f>IF($G808="",0,IF(Sync!$AB805="",0,Sync!$AB805))</f>
        <v/>
      </c>
      <c r="M808">
        <f>IF($G808="",0,IF(Sync!$AC805="",0,Sync!$AC805))</f>
        <v/>
      </c>
      <c r="N808">
        <f>IF($G808="","",IF($H808="مرجوعی خرید",-1,1)*($L808-$M808*IFERROR(VLOOKUP("P01",ParamTbl,3,0),1.5))*(1-IF($I808="خرید",IFERROR(VLOOKUP("P02",ParamTbl,3,0),1),0)/100))</f>
        <v/>
      </c>
      <c r="O808">
        <f>IF($G808="",0,IF($H808="مرجوعی خرید",-1,1)*IF(Sync!$AD805="",0,Sync!$AD805))</f>
        <v/>
      </c>
      <c r="P808">
        <f>IF(OR($G808="",Sync!$W805=""),"",Sync!$W805)</f>
        <v/>
      </c>
      <c r="Q808">
        <f>IF(OR($G808="",Sync!$AE805=""),"",Sync!$AE805)</f>
        <v/>
      </c>
      <c r="R808">
        <f>IF($G808="","",IF(Sync!$V805="","0000",IF(AND(ISNUMBER(Sync!$V805),Sync!$V805&gt;=0,Sync!$V805&lt;1),RIGHT("00"&amp;HOUR(Sync!$V805),2)&amp;RIGHT("00"&amp;MINUTE(Sync!$V805),2),IFERROR(RIGHT("00"&amp;VALUE(LEFT(Sync!$V805,FIND(":",Sync!$V805)-1)),2)&amp;RIGHT("00"&amp;VALUE(MID(Sync!$V805,FIND(":",Sync!$V805)+1,2)),2),"0000"))))</f>
        <v/>
      </c>
    </row>
    <row r="809">
      <c r="A809">
        <f>IF(Sync!$U806="","",Sync!$U806)</f>
        <v/>
      </c>
      <c r="B809">
        <f>IF($A809="","",IF(ISNUMBER($A809),IF(AND($A809&gt;=10000101,$A809&lt;=99991231),INT($A809/10000),""),IFERROR(VALUE(TRIM(LEFT($A809,FIND("/",$A809)-1))),"")))</f>
        <v/>
      </c>
      <c r="C809">
        <f>IF(OR($A809="",$B809=""),"",IF(ISNUMBER($A809),INT(MOD($A809,10000)/100),IFERROR(VALUE(TRIM(LEFT(MID($A809,FIND("/",$A809)+1,20),FIND("/",MID($A809,FIND("/",$A809)+1,20))-1))),"")))</f>
        <v/>
      </c>
      <c r="D809">
        <f>IF(OR($A809="",$B809=""),"",IF(ISNUMBER($A809),MOD($A809,100),IFERROR(VALUE(TRIM(MID(MID($A809,FIND("/",$A809)+1,20),FIND("/",MID($A809,FIND("/",$A809)+1,20))+1,20))),"")))</f>
        <v/>
      </c>
      <c r="E809">
        <f>IF($A809="","",IF(OR($B809="",$C809="",$D809="",$B809&lt;1300,$B809&gt;1500,$C809&lt;1,$C809&gt;12,$D809&lt;1,$D809&gt;31),"نامعتبر",RIGHT("0000"&amp;$B809,4)&amp;"/"&amp;RIGHT("00"&amp;$C809,2)&amp;"/"&amp;RIGHT("00"&amp;$D809,2)))</f>
        <v/>
      </c>
      <c r="F809">
        <f>IF(OR($E809="",$E809="نامعتبر"),"",LEFT($E809,4)&amp;"/"&amp;MID($E809,6,2))</f>
        <v/>
      </c>
      <c r="G809">
        <f>IF(OR($E809="",$E809="نامعتبر",Sync!$Y806=""),"",Sync!$Y806)</f>
        <v/>
      </c>
      <c r="H809">
        <f>IF($G809="","",IF(Sync!$X806="","",Sync!$X806))</f>
        <v/>
      </c>
      <c r="I809">
        <f>IF($G809="","",IFERROR(VLOOKUP(Sync!$X806,OpTbl,3,0),""))</f>
        <v/>
      </c>
      <c r="J809">
        <f>IF(OR($G809="",Sync!$Z806=""),"",Sync!$Z806)</f>
        <v/>
      </c>
      <c r="K809">
        <f>IF(OR($G809="",Sync!$AA806=""),"",Sync!$AA806)</f>
        <v/>
      </c>
      <c r="L809">
        <f>IF($G809="",0,IF(Sync!$AB806="",0,Sync!$AB806))</f>
        <v/>
      </c>
      <c r="M809">
        <f>IF($G809="",0,IF(Sync!$AC806="",0,Sync!$AC806))</f>
        <v/>
      </c>
      <c r="N809">
        <f>IF($G809="","",IF($H809="مرجوعی خرید",-1,1)*($L809-$M809*IFERROR(VLOOKUP("P01",ParamTbl,3,0),1.5))*(1-IF($I809="خرید",IFERROR(VLOOKUP("P02",ParamTbl,3,0),1),0)/100))</f>
        <v/>
      </c>
      <c r="O809">
        <f>IF($G809="",0,IF($H809="مرجوعی خرید",-1,1)*IF(Sync!$AD806="",0,Sync!$AD806))</f>
        <v/>
      </c>
      <c r="P809">
        <f>IF(OR($G809="",Sync!$W806=""),"",Sync!$W806)</f>
        <v/>
      </c>
      <c r="Q809">
        <f>IF(OR($G809="",Sync!$AE806=""),"",Sync!$AE806)</f>
        <v/>
      </c>
      <c r="R809">
        <f>IF($G809="","",IF(Sync!$V806="","0000",IF(AND(ISNUMBER(Sync!$V806),Sync!$V806&gt;=0,Sync!$V806&lt;1),RIGHT("00"&amp;HOUR(Sync!$V806),2)&amp;RIGHT("00"&amp;MINUTE(Sync!$V806),2),IFERROR(RIGHT("00"&amp;VALUE(LEFT(Sync!$V806,FIND(":",Sync!$V806)-1)),2)&amp;RIGHT("00"&amp;VALUE(MID(Sync!$V806,FIND(":",Sync!$V806)+1,2)),2),"0000"))))</f>
        <v/>
      </c>
    </row>
    <row r="810">
      <c r="A810">
        <f>IF(Sync!$U807="","",Sync!$U807)</f>
        <v/>
      </c>
      <c r="B810">
        <f>IF($A810="","",IF(ISNUMBER($A810),IF(AND($A810&gt;=10000101,$A810&lt;=99991231),INT($A810/10000),""),IFERROR(VALUE(TRIM(LEFT($A810,FIND("/",$A810)-1))),"")))</f>
        <v/>
      </c>
      <c r="C810">
        <f>IF(OR($A810="",$B810=""),"",IF(ISNUMBER($A810),INT(MOD($A810,10000)/100),IFERROR(VALUE(TRIM(LEFT(MID($A810,FIND("/",$A810)+1,20),FIND("/",MID($A810,FIND("/",$A810)+1,20))-1))),"")))</f>
        <v/>
      </c>
      <c r="D810">
        <f>IF(OR($A810="",$B810=""),"",IF(ISNUMBER($A810),MOD($A810,100),IFERROR(VALUE(TRIM(MID(MID($A810,FIND("/",$A810)+1,20),FIND("/",MID($A810,FIND("/",$A810)+1,20))+1,20))),"")))</f>
        <v/>
      </c>
      <c r="E810">
        <f>IF($A810="","",IF(OR($B810="",$C810="",$D810="",$B810&lt;1300,$B810&gt;1500,$C810&lt;1,$C810&gt;12,$D810&lt;1,$D810&gt;31),"نامعتبر",RIGHT("0000"&amp;$B810,4)&amp;"/"&amp;RIGHT("00"&amp;$C810,2)&amp;"/"&amp;RIGHT("00"&amp;$D810,2)))</f>
        <v/>
      </c>
      <c r="F810">
        <f>IF(OR($E810="",$E810="نامعتبر"),"",LEFT($E810,4)&amp;"/"&amp;MID($E810,6,2))</f>
        <v/>
      </c>
      <c r="G810">
        <f>IF(OR($E810="",$E810="نامعتبر",Sync!$Y807=""),"",Sync!$Y807)</f>
        <v/>
      </c>
      <c r="H810">
        <f>IF($G810="","",IF(Sync!$X807="","",Sync!$X807))</f>
        <v/>
      </c>
      <c r="I810">
        <f>IF($G810="","",IFERROR(VLOOKUP(Sync!$X807,OpTbl,3,0),""))</f>
        <v/>
      </c>
      <c r="J810">
        <f>IF(OR($G810="",Sync!$Z807=""),"",Sync!$Z807)</f>
        <v/>
      </c>
      <c r="K810">
        <f>IF(OR($G810="",Sync!$AA807=""),"",Sync!$AA807)</f>
        <v/>
      </c>
      <c r="L810">
        <f>IF($G810="",0,IF(Sync!$AB807="",0,Sync!$AB807))</f>
        <v/>
      </c>
      <c r="M810">
        <f>IF($G810="",0,IF(Sync!$AC807="",0,Sync!$AC807))</f>
        <v/>
      </c>
      <c r="N810">
        <f>IF($G810="","",IF($H810="مرجوعی خرید",-1,1)*($L810-$M810*IFERROR(VLOOKUP("P01",ParamTbl,3,0),1.5))*(1-IF($I810="خرید",IFERROR(VLOOKUP("P02",ParamTbl,3,0),1),0)/100))</f>
        <v/>
      </c>
      <c r="O810">
        <f>IF($G810="",0,IF($H810="مرجوعی خرید",-1,1)*IF(Sync!$AD807="",0,Sync!$AD807))</f>
        <v/>
      </c>
      <c r="P810">
        <f>IF(OR($G810="",Sync!$W807=""),"",Sync!$W807)</f>
        <v/>
      </c>
      <c r="Q810">
        <f>IF(OR($G810="",Sync!$AE807=""),"",Sync!$AE807)</f>
        <v/>
      </c>
      <c r="R810">
        <f>IF($G810="","",IF(Sync!$V807="","0000",IF(AND(ISNUMBER(Sync!$V807),Sync!$V807&gt;=0,Sync!$V807&lt;1),RIGHT("00"&amp;HOUR(Sync!$V807),2)&amp;RIGHT("00"&amp;MINUTE(Sync!$V807),2),IFERROR(RIGHT("00"&amp;VALUE(LEFT(Sync!$V807,FIND(":",Sync!$V807)-1)),2)&amp;RIGHT("00"&amp;VALUE(MID(Sync!$V807,FIND(":",Sync!$V807)+1,2)),2),"0000"))))</f>
        <v/>
      </c>
    </row>
    <row r="811">
      <c r="A811">
        <f>IF(Sync!$U808="","",Sync!$U808)</f>
        <v/>
      </c>
      <c r="B811">
        <f>IF($A811="","",IF(ISNUMBER($A811),IF(AND($A811&gt;=10000101,$A811&lt;=99991231),INT($A811/10000),""),IFERROR(VALUE(TRIM(LEFT($A811,FIND("/",$A811)-1))),"")))</f>
        <v/>
      </c>
      <c r="C811">
        <f>IF(OR($A811="",$B811=""),"",IF(ISNUMBER($A811),INT(MOD($A811,10000)/100),IFERROR(VALUE(TRIM(LEFT(MID($A811,FIND("/",$A811)+1,20),FIND("/",MID($A811,FIND("/",$A811)+1,20))-1))),"")))</f>
        <v/>
      </c>
      <c r="D811">
        <f>IF(OR($A811="",$B811=""),"",IF(ISNUMBER($A811),MOD($A811,100),IFERROR(VALUE(TRIM(MID(MID($A811,FIND("/",$A811)+1,20),FIND("/",MID($A811,FIND("/",$A811)+1,20))+1,20))),"")))</f>
        <v/>
      </c>
      <c r="E811">
        <f>IF($A811="","",IF(OR($B811="",$C811="",$D811="",$B811&lt;1300,$B811&gt;1500,$C811&lt;1,$C811&gt;12,$D811&lt;1,$D811&gt;31),"نامعتبر",RIGHT("0000"&amp;$B811,4)&amp;"/"&amp;RIGHT("00"&amp;$C811,2)&amp;"/"&amp;RIGHT("00"&amp;$D811,2)))</f>
        <v/>
      </c>
      <c r="F811">
        <f>IF(OR($E811="",$E811="نامعتبر"),"",LEFT($E811,4)&amp;"/"&amp;MID($E811,6,2))</f>
        <v/>
      </c>
      <c r="G811">
        <f>IF(OR($E811="",$E811="نامعتبر",Sync!$Y808=""),"",Sync!$Y808)</f>
        <v/>
      </c>
      <c r="H811">
        <f>IF($G811="","",IF(Sync!$X808="","",Sync!$X808))</f>
        <v/>
      </c>
      <c r="I811">
        <f>IF($G811="","",IFERROR(VLOOKUP(Sync!$X808,OpTbl,3,0),""))</f>
        <v/>
      </c>
      <c r="J811">
        <f>IF(OR($G811="",Sync!$Z808=""),"",Sync!$Z808)</f>
        <v/>
      </c>
      <c r="K811">
        <f>IF(OR($G811="",Sync!$AA808=""),"",Sync!$AA808)</f>
        <v/>
      </c>
      <c r="L811">
        <f>IF($G811="",0,IF(Sync!$AB808="",0,Sync!$AB808))</f>
        <v/>
      </c>
      <c r="M811">
        <f>IF($G811="",0,IF(Sync!$AC808="",0,Sync!$AC808))</f>
        <v/>
      </c>
      <c r="N811">
        <f>IF($G811="","",IF($H811="مرجوعی خرید",-1,1)*($L811-$M811*IFERROR(VLOOKUP("P01",ParamTbl,3,0),1.5))*(1-IF($I811="خرید",IFERROR(VLOOKUP("P02",ParamTbl,3,0),1),0)/100))</f>
        <v/>
      </c>
      <c r="O811">
        <f>IF($G811="",0,IF($H811="مرجوعی خرید",-1,1)*IF(Sync!$AD808="",0,Sync!$AD808))</f>
        <v/>
      </c>
      <c r="P811">
        <f>IF(OR($G811="",Sync!$W808=""),"",Sync!$W808)</f>
        <v/>
      </c>
      <c r="Q811">
        <f>IF(OR($G811="",Sync!$AE808=""),"",Sync!$AE808)</f>
        <v/>
      </c>
      <c r="R811">
        <f>IF($G811="","",IF(Sync!$V808="","0000",IF(AND(ISNUMBER(Sync!$V808),Sync!$V808&gt;=0,Sync!$V808&lt;1),RIGHT("00"&amp;HOUR(Sync!$V808),2)&amp;RIGHT("00"&amp;MINUTE(Sync!$V808),2),IFERROR(RIGHT("00"&amp;VALUE(LEFT(Sync!$V808,FIND(":",Sync!$V808)-1)),2)&amp;RIGHT("00"&amp;VALUE(MID(Sync!$V808,FIND(":",Sync!$V808)+1,2)),2),"0000"))))</f>
        <v/>
      </c>
    </row>
    <row r="812">
      <c r="A812">
        <f>IF(Sync!$U809="","",Sync!$U809)</f>
        <v/>
      </c>
      <c r="B812">
        <f>IF($A812="","",IF(ISNUMBER($A812),IF(AND($A812&gt;=10000101,$A812&lt;=99991231),INT($A812/10000),""),IFERROR(VALUE(TRIM(LEFT($A812,FIND("/",$A812)-1))),"")))</f>
        <v/>
      </c>
      <c r="C812">
        <f>IF(OR($A812="",$B812=""),"",IF(ISNUMBER($A812),INT(MOD($A812,10000)/100),IFERROR(VALUE(TRIM(LEFT(MID($A812,FIND("/",$A812)+1,20),FIND("/",MID($A812,FIND("/",$A812)+1,20))-1))),"")))</f>
        <v/>
      </c>
      <c r="D812">
        <f>IF(OR($A812="",$B812=""),"",IF(ISNUMBER($A812),MOD($A812,100),IFERROR(VALUE(TRIM(MID(MID($A812,FIND("/",$A812)+1,20),FIND("/",MID($A812,FIND("/",$A812)+1,20))+1,20))),"")))</f>
        <v/>
      </c>
      <c r="E812">
        <f>IF($A812="","",IF(OR($B812="",$C812="",$D812="",$B812&lt;1300,$B812&gt;1500,$C812&lt;1,$C812&gt;12,$D812&lt;1,$D812&gt;31),"نامعتبر",RIGHT("0000"&amp;$B812,4)&amp;"/"&amp;RIGHT("00"&amp;$C812,2)&amp;"/"&amp;RIGHT("00"&amp;$D812,2)))</f>
        <v/>
      </c>
      <c r="F812">
        <f>IF(OR($E812="",$E812="نامعتبر"),"",LEFT($E812,4)&amp;"/"&amp;MID($E812,6,2))</f>
        <v/>
      </c>
      <c r="G812">
        <f>IF(OR($E812="",$E812="نامعتبر",Sync!$Y809=""),"",Sync!$Y809)</f>
        <v/>
      </c>
      <c r="H812">
        <f>IF($G812="","",IF(Sync!$X809="","",Sync!$X809))</f>
        <v/>
      </c>
      <c r="I812">
        <f>IF($G812="","",IFERROR(VLOOKUP(Sync!$X809,OpTbl,3,0),""))</f>
        <v/>
      </c>
      <c r="J812">
        <f>IF(OR($G812="",Sync!$Z809=""),"",Sync!$Z809)</f>
        <v/>
      </c>
      <c r="K812">
        <f>IF(OR($G812="",Sync!$AA809=""),"",Sync!$AA809)</f>
        <v/>
      </c>
      <c r="L812">
        <f>IF($G812="",0,IF(Sync!$AB809="",0,Sync!$AB809))</f>
        <v/>
      </c>
      <c r="M812">
        <f>IF($G812="",0,IF(Sync!$AC809="",0,Sync!$AC809))</f>
        <v/>
      </c>
      <c r="N812">
        <f>IF($G812="","",IF($H812="مرجوعی خرید",-1,1)*($L812-$M812*IFERROR(VLOOKUP("P01",ParamTbl,3,0),1.5))*(1-IF($I812="خرید",IFERROR(VLOOKUP("P02",ParamTbl,3,0),1),0)/100))</f>
        <v/>
      </c>
      <c r="O812">
        <f>IF($G812="",0,IF($H812="مرجوعی خرید",-1,1)*IF(Sync!$AD809="",0,Sync!$AD809))</f>
        <v/>
      </c>
      <c r="P812">
        <f>IF(OR($G812="",Sync!$W809=""),"",Sync!$W809)</f>
        <v/>
      </c>
      <c r="Q812">
        <f>IF(OR($G812="",Sync!$AE809=""),"",Sync!$AE809)</f>
        <v/>
      </c>
      <c r="R812">
        <f>IF($G812="","",IF(Sync!$V809="","0000",IF(AND(ISNUMBER(Sync!$V809),Sync!$V809&gt;=0,Sync!$V809&lt;1),RIGHT("00"&amp;HOUR(Sync!$V809),2)&amp;RIGHT("00"&amp;MINUTE(Sync!$V809),2),IFERROR(RIGHT("00"&amp;VALUE(LEFT(Sync!$V809,FIND(":",Sync!$V809)-1)),2)&amp;RIGHT("00"&amp;VALUE(MID(Sync!$V809,FIND(":",Sync!$V809)+1,2)),2),"0000"))))</f>
        <v/>
      </c>
    </row>
    <row r="813">
      <c r="A813">
        <f>IF(Sync!$U810="","",Sync!$U810)</f>
        <v/>
      </c>
      <c r="B813">
        <f>IF($A813="","",IF(ISNUMBER($A813),IF(AND($A813&gt;=10000101,$A813&lt;=99991231),INT($A813/10000),""),IFERROR(VALUE(TRIM(LEFT($A813,FIND("/",$A813)-1))),"")))</f>
        <v/>
      </c>
      <c r="C813">
        <f>IF(OR($A813="",$B813=""),"",IF(ISNUMBER($A813),INT(MOD($A813,10000)/100),IFERROR(VALUE(TRIM(LEFT(MID($A813,FIND("/",$A813)+1,20),FIND("/",MID($A813,FIND("/",$A813)+1,20))-1))),"")))</f>
        <v/>
      </c>
      <c r="D813">
        <f>IF(OR($A813="",$B813=""),"",IF(ISNUMBER($A813),MOD($A813,100),IFERROR(VALUE(TRIM(MID(MID($A813,FIND("/",$A813)+1,20),FIND("/",MID($A813,FIND("/",$A813)+1,20))+1,20))),"")))</f>
        <v/>
      </c>
      <c r="E813">
        <f>IF($A813="","",IF(OR($B813="",$C813="",$D813="",$B813&lt;1300,$B813&gt;1500,$C813&lt;1,$C813&gt;12,$D813&lt;1,$D813&gt;31),"نامعتبر",RIGHT("0000"&amp;$B813,4)&amp;"/"&amp;RIGHT("00"&amp;$C813,2)&amp;"/"&amp;RIGHT("00"&amp;$D813,2)))</f>
        <v/>
      </c>
      <c r="F813">
        <f>IF(OR($E813="",$E813="نامعتبر"),"",LEFT($E813,4)&amp;"/"&amp;MID($E813,6,2))</f>
        <v/>
      </c>
      <c r="G813">
        <f>IF(OR($E813="",$E813="نامعتبر",Sync!$Y810=""),"",Sync!$Y810)</f>
        <v/>
      </c>
      <c r="H813">
        <f>IF($G813="","",IF(Sync!$X810="","",Sync!$X810))</f>
        <v/>
      </c>
      <c r="I813">
        <f>IF($G813="","",IFERROR(VLOOKUP(Sync!$X810,OpTbl,3,0),""))</f>
        <v/>
      </c>
      <c r="J813">
        <f>IF(OR($G813="",Sync!$Z810=""),"",Sync!$Z810)</f>
        <v/>
      </c>
      <c r="K813">
        <f>IF(OR($G813="",Sync!$AA810=""),"",Sync!$AA810)</f>
        <v/>
      </c>
      <c r="L813">
        <f>IF($G813="",0,IF(Sync!$AB810="",0,Sync!$AB810))</f>
        <v/>
      </c>
      <c r="M813">
        <f>IF($G813="",0,IF(Sync!$AC810="",0,Sync!$AC810))</f>
        <v/>
      </c>
      <c r="N813">
        <f>IF($G813="","",IF($H813="مرجوعی خرید",-1,1)*($L813-$M813*IFERROR(VLOOKUP("P01",ParamTbl,3,0),1.5))*(1-IF($I813="خرید",IFERROR(VLOOKUP("P02",ParamTbl,3,0),1),0)/100))</f>
        <v/>
      </c>
      <c r="O813">
        <f>IF($G813="",0,IF($H813="مرجوعی خرید",-1,1)*IF(Sync!$AD810="",0,Sync!$AD810))</f>
        <v/>
      </c>
      <c r="P813">
        <f>IF(OR($G813="",Sync!$W810=""),"",Sync!$W810)</f>
        <v/>
      </c>
      <c r="Q813">
        <f>IF(OR($G813="",Sync!$AE810=""),"",Sync!$AE810)</f>
        <v/>
      </c>
      <c r="R813">
        <f>IF($G813="","",IF(Sync!$V810="","0000",IF(AND(ISNUMBER(Sync!$V810),Sync!$V810&gt;=0,Sync!$V810&lt;1),RIGHT("00"&amp;HOUR(Sync!$V810),2)&amp;RIGHT("00"&amp;MINUTE(Sync!$V810),2),IFERROR(RIGHT("00"&amp;VALUE(LEFT(Sync!$V810,FIND(":",Sync!$V810)-1)),2)&amp;RIGHT("00"&amp;VALUE(MID(Sync!$V810,FIND(":",Sync!$V810)+1,2)),2),"0000"))))</f>
        <v/>
      </c>
    </row>
    <row r="814">
      <c r="A814">
        <f>IF(Sync!$U811="","",Sync!$U811)</f>
        <v/>
      </c>
      <c r="B814">
        <f>IF($A814="","",IF(ISNUMBER($A814),IF(AND($A814&gt;=10000101,$A814&lt;=99991231),INT($A814/10000),""),IFERROR(VALUE(TRIM(LEFT($A814,FIND("/",$A814)-1))),"")))</f>
        <v/>
      </c>
      <c r="C814">
        <f>IF(OR($A814="",$B814=""),"",IF(ISNUMBER($A814),INT(MOD($A814,10000)/100),IFERROR(VALUE(TRIM(LEFT(MID($A814,FIND("/",$A814)+1,20),FIND("/",MID($A814,FIND("/",$A814)+1,20))-1))),"")))</f>
        <v/>
      </c>
      <c r="D814">
        <f>IF(OR($A814="",$B814=""),"",IF(ISNUMBER($A814),MOD($A814,100),IFERROR(VALUE(TRIM(MID(MID($A814,FIND("/",$A814)+1,20),FIND("/",MID($A814,FIND("/",$A814)+1,20))+1,20))),"")))</f>
        <v/>
      </c>
      <c r="E814">
        <f>IF($A814="","",IF(OR($B814="",$C814="",$D814="",$B814&lt;1300,$B814&gt;1500,$C814&lt;1,$C814&gt;12,$D814&lt;1,$D814&gt;31),"نامعتبر",RIGHT("0000"&amp;$B814,4)&amp;"/"&amp;RIGHT("00"&amp;$C814,2)&amp;"/"&amp;RIGHT("00"&amp;$D814,2)))</f>
        <v/>
      </c>
      <c r="F814">
        <f>IF(OR($E814="",$E814="نامعتبر"),"",LEFT($E814,4)&amp;"/"&amp;MID($E814,6,2))</f>
        <v/>
      </c>
      <c r="G814">
        <f>IF(OR($E814="",$E814="نامعتبر",Sync!$Y811=""),"",Sync!$Y811)</f>
        <v/>
      </c>
      <c r="H814">
        <f>IF($G814="","",IF(Sync!$X811="","",Sync!$X811))</f>
        <v/>
      </c>
      <c r="I814">
        <f>IF($G814="","",IFERROR(VLOOKUP(Sync!$X811,OpTbl,3,0),""))</f>
        <v/>
      </c>
      <c r="J814">
        <f>IF(OR($G814="",Sync!$Z811=""),"",Sync!$Z811)</f>
        <v/>
      </c>
      <c r="K814">
        <f>IF(OR($G814="",Sync!$AA811=""),"",Sync!$AA811)</f>
        <v/>
      </c>
      <c r="L814">
        <f>IF($G814="",0,IF(Sync!$AB811="",0,Sync!$AB811))</f>
        <v/>
      </c>
      <c r="M814">
        <f>IF($G814="",0,IF(Sync!$AC811="",0,Sync!$AC811))</f>
        <v/>
      </c>
      <c r="N814">
        <f>IF($G814="","",IF($H814="مرجوعی خرید",-1,1)*($L814-$M814*IFERROR(VLOOKUP("P01",ParamTbl,3,0),1.5))*(1-IF($I814="خرید",IFERROR(VLOOKUP("P02",ParamTbl,3,0),1),0)/100))</f>
        <v/>
      </c>
      <c r="O814">
        <f>IF($G814="",0,IF($H814="مرجوعی خرید",-1,1)*IF(Sync!$AD811="",0,Sync!$AD811))</f>
        <v/>
      </c>
      <c r="P814">
        <f>IF(OR($G814="",Sync!$W811=""),"",Sync!$W811)</f>
        <v/>
      </c>
      <c r="Q814">
        <f>IF(OR($G814="",Sync!$AE811=""),"",Sync!$AE811)</f>
        <v/>
      </c>
      <c r="R814">
        <f>IF($G814="","",IF(Sync!$V811="","0000",IF(AND(ISNUMBER(Sync!$V811),Sync!$V811&gt;=0,Sync!$V811&lt;1),RIGHT("00"&amp;HOUR(Sync!$V811),2)&amp;RIGHT("00"&amp;MINUTE(Sync!$V811),2),IFERROR(RIGHT("00"&amp;VALUE(LEFT(Sync!$V811,FIND(":",Sync!$V811)-1)),2)&amp;RIGHT("00"&amp;VALUE(MID(Sync!$V811,FIND(":",Sync!$V811)+1,2)),2),"0000"))))</f>
        <v/>
      </c>
    </row>
    <row r="815">
      <c r="A815">
        <f>IF(Sync!$U812="","",Sync!$U812)</f>
        <v/>
      </c>
      <c r="B815">
        <f>IF($A815="","",IF(ISNUMBER($A815),IF(AND($A815&gt;=10000101,$A815&lt;=99991231),INT($A815/10000),""),IFERROR(VALUE(TRIM(LEFT($A815,FIND("/",$A815)-1))),"")))</f>
        <v/>
      </c>
      <c r="C815">
        <f>IF(OR($A815="",$B815=""),"",IF(ISNUMBER($A815),INT(MOD($A815,10000)/100),IFERROR(VALUE(TRIM(LEFT(MID($A815,FIND("/",$A815)+1,20),FIND("/",MID($A815,FIND("/",$A815)+1,20))-1))),"")))</f>
        <v/>
      </c>
      <c r="D815">
        <f>IF(OR($A815="",$B815=""),"",IF(ISNUMBER($A815),MOD($A815,100),IFERROR(VALUE(TRIM(MID(MID($A815,FIND("/",$A815)+1,20),FIND("/",MID($A815,FIND("/",$A815)+1,20))+1,20))),"")))</f>
        <v/>
      </c>
      <c r="E815">
        <f>IF($A815="","",IF(OR($B815="",$C815="",$D815="",$B815&lt;1300,$B815&gt;1500,$C815&lt;1,$C815&gt;12,$D815&lt;1,$D815&gt;31),"نامعتبر",RIGHT("0000"&amp;$B815,4)&amp;"/"&amp;RIGHT("00"&amp;$C815,2)&amp;"/"&amp;RIGHT("00"&amp;$D815,2)))</f>
        <v/>
      </c>
      <c r="F815">
        <f>IF(OR($E815="",$E815="نامعتبر"),"",LEFT($E815,4)&amp;"/"&amp;MID($E815,6,2))</f>
        <v/>
      </c>
      <c r="G815">
        <f>IF(OR($E815="",$E815="نامعتبر",Sync!$Y812=""),"",Sync!$Y812)</f>
        <v/>
      </c>
      <c r="H815">
        <f>IF($G815="","",IF(Sync!$X812="","",Sync!$X812))</f>
        <v/>
      </c>
      <c r="I815">
        <f>IF($G815="","",IFERROR(VLOOKUP(Sync!$X812,OpTbl,3,0),""))</f>
        <v/>
      </c>
      <c r="J815">
        <f>IF(OR($G815="",Sync!$Z812=""),"",Sync!$Z812)</f>
        <v/>
      </c>
      <c r="K815">
        <f>IF(OR($G815="",Sync!$AA812=""),"",Sync!$AA812)</f>
        <v/>
      </c>
      <c r="L815">
        <f>IF($G815="",0,IF(Sync!$AB812="",0,Sync!$AB812))</f>
        <v/>
      </c>
      <c r="M815">
        <f>IF($G815="",0,IF(Sync!$AC812="",0,Sync!$AC812))</f>
        <v/>
      </c>
      <c r="N815">
        <f>IF($G815="","",IF($H815="مرجوعی خرید",-1,1)*($L815-$M815*IFERROR(VLOOKUP("P01",ParamTbl,3,0),1.5))*(1-IF($I815="خرید",IFERROR(VLOOKUP("P02",ParamTbl,3,0),1),0)/100))</f>
        <v/>
      </c>
      <c r="O815">
        <f>IF($G815="",0,IF($H815="مرجوعی خرید",-1,1)*IF(Sync!$AD812="",0,Sync!$AD812))</f>
        <v/>
      </c>
      <c r="P815">
        <f>IF(OR($G815="",Sync!$W812=""),"",Sync!$W812)</f>
        <v/>
      </c>
      <c r="Q815">
        <f>IF(OR($G815="",Sync!$AE812=""),"",Sync!$AE812)</f>
        <v/>
      </c>
      <c r="R815">
        <f>IF($G815="","",IF(Sync!$V812="","0000",IF(AND(ISNUMBER(Sync!$V812),Sync!$V812&gt;=0,Sync!$V812&lt;1),RIGHT("00"&amp;HOUR(Sync!$V812),2)&amp;RIGHT("00"&amp;MINUTE(Sync!$V812),2),IFERROR(RIGHT("00"&amp;VALUE(LEFT(Sync!$V812,FIND(":",Sync!$V812)-1)),2)&amp;RIGHT("00"&amp;VALUE(MID(Sync!$V812,FIND(":",Sync!$V812)+1,2)),2),"0000"))))</f>
        <v/>
      </c>
    </row>
    <row r="816">
      <c r="A816">
        <f>IF(Sync!$U813="","",Sync!$U813)</f>
        <v/>
      </c>
      <c r="B816">
        <f>IF($A816="","",IF(ISNUMBER($A816),IF(AND($A816&gt;=10000101,$A816&lt;=99991231),INT($A816/10000),""),IFERROR(VALUE(TRIM(LEFT($A816,FIND("/",$A816)-1))),"")))</f>
        <v/>
      </c>
      <c r="C816">
        <f>IF(OR($A816="",$B816=""),"",IF(ISNUMBER($A816),INT(MOD($A816,10000)/100),IFERROR(VALUE(TRIM(LEFT(MID($A816,FIND("/",$A816)+1,20),FIND("/",MID($A816,FIND("/",$A816)+1,20))-1))),"")))</f>
        <v/>
      </c>
      <c r="D816">
        <f>IF(OR($A816="",$B816=""),"",IF(ISNUMBER($A816),MOD($A816,100),IFERROR(VALUE(TRIM(MID(MID($A816,FIND("/",$A816)+1,20),FIND("/",MID($A816,FIND("/",$A816)+1,20))+1,20))),"")))</f>
        <v/>
      </c>
      <c r="E816">
        <f>IF($A816="","",IF(OR($B816="",$C816="",$D816="",$B816&lt;1300,$B816&gt;1500,$C816&lt;1,$C816&gt;12,$D816&lt;1,$D816&gt;31),"نامعتبر",RIGHT("0000"&amp;$B816,4)&amp;"/"&amp;RIGHT("00"&amp;$C816,2)&amp;"/"&amp;RIGHT("00"&amp;$D816,2)))</f>
        <v/>
      </c>
      <c r="F816">
        <f>IF(OR($E816="",$E816="نامعتبر"),"",LEFT($E816,4)&amp;"/"&amp;MID($E816,6,2))</f>
        <v/>
      </c>
      <c r="G816">
        <f>IF(OR($E816="",$E816="نامعتبر",Sync!$Y813=""),"",Sync!$Y813)</f>
        <v/>
      </c>
      <c r="H816">
        <f>IF($G816="","",IF(Sync!$X813="","",Sync!$X813))</f>
        <v/>
      </c>
      <c r="I816">
        <f>IF($G816="","",IFERROR(VLOOKUP(Sync!$X813,OpTbl,3,0),""))</f>
        <v/>
      </c>
      <c r="J816">
        <f>IF(OR($G816="",Sync!$Z813=""),"",Sync!$Z813)</f>
        <v/>
      </c>
      <c r="K816">
        <f>IF(OR($G816="",Sync!$AA813=""),"",Sync!$AA813)</f>
        <v/>
      </c>
      <c r="L816">
        <f>IF($G816="",0,IF(Sync!$AB813="",0,Sync!$AB813))</f>
        <v/>
      </c>
      <c r="M816">
        <f>IF($G816="",0,IF(Sync!$AC813="",0,Sync!$AC813))</f>
        <v/>
      </c>
      <c r="N816">
        <f>IF($G816="","",IF($H816="مرجوعی خرید",-1,1)*($L816-$M816*IFERROR(VLOOKUP("P01",ParamTbl,3,0),1.5))*(1-IF($I816="خرید",IFERROR(VLOOKUP("P02",ParamTbl,3,0),1),0)/100))</f>
        <v/>
      </c>
      <c r="O816">
        <f>IF($G816="",0,IF($H816="مرجوعی خرید",-1,1)*IF(Sync!$AD813="",0,Sync!$AD813))</f>
        <v/>
      </c>
      <c r="P816">
        <f>IF(OR($G816="",Sync!$W813=""),"",Sync!$W813)</f>
        <v/>
      </c>
      <c r="Q816">
        <f>IF(OR($G816="",Sync!$AE813=""),"",Sync!$AE813)</f>
        <v/>
      </c>
      <c r="R816">
        <f>IF($G816="","",IF(Sync!$V813="","0000",IF(AND(ISNUMBER(Sync!$V813),Sync!$V813&gt;=0,Sync!$V813&lt;1),RIGHT("00"&amp;HOUR(Sync!$V813),2)&amp;RIGHT("00"&amp;MINUTE(Sync!$V813),2),IFERROR(RIGHT("00"&amp;VALUE(LEFT(Sync!$V813,FIND(":",Sync!$V813)-1)),2)&amp;RIGHT("00"&amp;VALUE(MID(Sync!$V813,FIND(":",Sync!$V813)+1,2)),2),"0000"))))</f>
        <v/>
      </c>
    </row>
    <row r="817">
      <c r="A817">
        <f>IF(Sync!$U814="","",Sync!$U814)</f>
        <v/>
      </c>
      <c r="B817">
        <f>IF($A817="","",IF(ISNUMBER($A817),IF(AND($A817&gt;=10000101,$A817&lt;=99991231),INT($A817/10000),""),IFERROR(VALUE(TRIM(LEFT($A817,FIND("/",$A817)-1))),"")))</f>
        <v/>
      </c>
      <c r="C817">
        <f>IF(OR($A817="",$B817=""),"",IF(ISNUMBER($A817),INT(MOD($A817,10000)/100),IFERROR(VALUE(TRIM(LEFT(MID($A817,FIND("/",$A817)+1,20),FIND("/",MID($A817,FIND("/",$A817)+1,20))-1))),"")))</f>
        <v/>
      </c>
      <c r="D817">
        <f>IF(OR($A817="",$B817=""),"",IF(ISNUMBER($A817),MOD($A817,100),IFERROR(VALUE(TRIM(MID(MID($A817,FIND("/",$A817)+1,20),FIND("/",MID($A817,FIND("/",$A817)+1,20))+1,20))),"")))</f>
        <v/>
      </c>
      <c r="E817">
        <f>IF($A817="","",IF(OR($B817="",$C817="",$D817="",$B817&lt;1300,$B817&gt;1500,$C817&lt;1,$C817&gt;12,$D817&lt;1,$D817&gt;31),"نامعتبر",RIGHT("0000"&amp;$B817,4)&amp;"/"&amp;RIGHT("00"&amp;$C817,2)&amp;"/"&amp;RIGHT("00"&amp;$D817,2)))</f>
        <v/>
      </c>
      <c r="F817">
        <f>IF(OR($E817="",$E817="نامعتبر"),"",LEFT($E817,4)&amp;"/"&amp;MID($E817,6,2))</f>
        <v/>
      </c>
      <c r="G817">
        <f>IF(OR($E817="",$E817="نامعتبر",Sync!$Y814=""),"",Sync!$Y814)</f>
        <v/>
      </c>
      <c r="H817">
        <f>IF($G817="","",IF(Sync!$X814="","",Sync!$X814))</f>
        <v/>
      </c>
      <c r="I817">
        <f>IF($G817="","",IFERROR(VLOOKUP(Sync!$X814,OpTbl,3,0),""))</f>
        <v/>
      </c>
      <c r="J817">
        <f>IF(OR($G817="",Sync!$Z814=""),"",Sync!$Z814)</f>
        <v/>
      </c>
      <c r="K817">
        <f>IF(OR($G817="",Sync!$AA814=""),"",Sync!$AA814)</f>
        <v/>
      </c>
      <c r="L817">
        <f>IF($G817="",0,IF(Sync!$AB814="",0,Sync!$AB814))</f>
        <v/>
      </c>
      <c r="M817">
        <f>IF($G817="",0,IF(Sync!$AC814="",0,Sync!$AC814))</f>
        <v/>
      </c>
      <c r="N817">
        <f>IF($G817="","",IF($H817="مرجوعی خرید",-1,1)*($L817-$M817*IFERROR(VLOOKUP("P01",ParamTbl,3,0),1.5))*(1-IF($I817="خرید",IFERROR(VLOOKUP("P02",ParamTbl,3,0),1),0)/100))</f>
        <v/>
      </c>
      <c r="O817">
        <f>IF($G817="",0,IF($H817="مرجوعی خرید",-1,1)*IF(Sync!$AD814="",0,Sync!$AD814))</f>
        <v/>
      </c>
      <c r="P817">
        <f>IF(OR($G817="",Sync!$W814=""),"",Sync!$W814)</f>
        <v/>
      </c>
      <c r="Q817">
        <f>IF(OR($G817="",Sync!$AE814=""),"",Sync!$AE814)</f>
        <v/>
      </c>
      <c r="R817">
        <f>IF($G817="","",IF(Sync!$V814="","0000",IF(AND(ISNUMBER(Sync!$V814),Sync!$V814&gt;=0,Sync!$V814&lt;1),RIGHT("00"&amp;HOUR(Sync!$V814),2)&amp;RIGHT("00"&amp;MINUTE(Sync!$V814),2),IFERROR(RIGHT("00"&amp;VALUE(LEFT(Sync!$V814,FIND(":",Sync!$V814)-1)),2)&amp;RIGHT("00"&amp;VALUE(MID(Sync!$V814,FIND(":",Sync!$V814)+1,2)),2),"0000"))))</f>
        <v/>
      </c>
    </row>
    <row r="818">
      <c r="A818">
        <f>IF(Sync!$U815="","",Sync!$U815)</f>
        <v/>
      </c>
      <c r="B818">
        <f>IF($A818="","",IF(ISNUMBER($A818),IF(AND($A818&gt;=10000101,$A818&lt;=99991231),INT($A818/10000),""),IFERROR(VALUE(TRIM(LEFT($A818,FIND("/",$A818)-1))),"")))</f>
        <v/>
      </c>
      <c r="C818">
        <f>IF(OR($A818="",$B818=""),"",IF(ISNUMBER($A818),INT(MOD($A818,10000)/100),IFERROR(VALUE(TRIM(LEFT(MID($A818,FIND("/",$A818)+1,20),FIND("/",MID($A818,FIND("/",$A818)+1,20))-1))),"")))</f>
        <v/>
      </c>
      <c r="D818">
        <f>IF(OR($A818="",$B818=""),"",IF(ISNUMBER($A818),MOD($A818,100),IFERROR(VALUE(TRIM(MID(MID($A818,FIND("/",$A818)+1,20),FIND("/",MID($A818,FIND("/",$A818)+1,20))+1,20))),"")))</f>
        <v/>
      </c>
      <c r="E818">
        <f>IF($A818="","",IF(OR($B818="",$C818="",$D818="",$B818&lt;1300,$B818&gt;1500,$C818&lt;1,$C818&gt;12,$D818&lt;1,$D818&gt;31),"نامعتبر",RIGHT("0000"&amp;$B818,4)&amp;"/"&amp;RIGHT("00"&amp;$C818,2)&amp;"/"&amp;RIGHT("00"&amp;$D818,2)))</f>
        <v/>
      </c>
      <c r="F818">
        <f>IF(OR($E818="",$E818="نامعتبر"),"",LEFT($E818,4)&amp;"/"&amp;MID($E818,6,2))</f>
        <v/>
      </c>
      <c r="G818">
        <f>IF(OR($E818="",$E818="نامعتبر",Sync!$Y815=""),"",Sync!$Y815)</f>
        <v/>
      </c>
      <c r="H818">
        <f>IF($G818="","",IF(Sync!$X815="","",Sync!$X815))</f>
        <v/>
      </c>
      <c r="I818">
        <f>IF($G818="","",IFERROR(VLOOKUP(Sync!$X815,OpTbl,3,0),""))</f>
        <v/>
      </c>
      <c r="J818">
        <f>IF(OR($G818="",Sync!$Z815=""),"",Sync!$Z815)</f>
        <v/>
      </c>
      <c r="K818">
        <f>IF(OR($G818="",Sync!$AA815=""),"",Sync!$AA815)</f>
        <v/>
      </c>
      <c r="L818">
        <f>IF($G818="",0,IF(Sync!$AB815="",0,Sync!$AB815))</f>
        <v/>
      </c>
      <c r="M818">
        <f>IF($G818="",0,IF(Sync!$AC815="",0,Sync!$AC815))</f>
        <v/>
      </c>
      <c r="N818">
        <f>IF($G818="","",IF($H818="مرجوعی خرید",-1,1)*($L818-$M818*IFERROR(VLOOKUP("P01",ParamTbl,3,0),1.5))*(1-IF($I818="خرید",IFERROR(VLOOKUP("P02",ParamTbl,3,0),1),0)/100))</f>
        <v/>
      </c>
      <c r="O818">
        <f>IF($G818="",0,IF($H818="مرجوعی خرید",-1,1)*IF(Sync!$AD815="",0,Sync!$AD815))</f>
        <v/>
      </c>
      <c r="P818">
        <f>IF(OR($G818="",Sync!$W815=""),"",Sync!$W815)</f>
        <v/>
      </c>
      <c r="Q818">
        <f>IF(OR($G818="",Sync!$AE815=""),"",Sync!$AE815)</f>
        <v/>
      </c>
      <c r="R818">
        <f>IF($G818="","",IF(Sync!$V815="","0000",IF(AND(ISNUMBER(Sync!$V815),Sync!$V815&gt;=0,Sync!$V815&lt;1),RIGHT("00"&amp;HOUR(Sync!$V815),2)&amp;RIGHT("00"&amp;MINUTE(Sync!$V815),2),IFERROR(RIGHT("00"&amp;VALUE(LEFT(Sync!$V815,FIND(":",Sync!$V815)-1)),2)&amp;RIGHT("00"&amp;VALUE(MID(Sync!$V815,FIND(":",Sync!$V815)+1,2)),2),"0000"))))</f>
        <v/>
      </c>
    </row>
    <row r="819">
      <c r="A819">
        <f>IF(Sync!$U816="","",Sync!$U816)</f>
        <v/>
      </c>
      <c r="B819">
        <f>IF($A819="","",IF(ISNUMBER($A819),IF(AND($A819&gt;=10000101,$A819&lt;=99991231),INT($A819/10000),""),IFERROR(VALUE(TRIM(LEFT($A819,FIND("/",$A819)-1))),"")))</f>
        <v/>
      </c>
      <c r="C819">
        <f>IF(OR($A819="",$B819=""),"",IF(ISNUMBER($A819),INT(MOD($A819,10000)/100),IFERROR(VALUE(TRIM(LEFT(MID($A819,FIND("/",$A819)+1,20),FIND("/",MID($A819,FIND("/",$A819)+1,20))-1))),"")))</f>
        <v/>
      </c>
      <c r="D819">
        <f>IF(OR($A819="",$B819=""),"",IF(ISNUMBER($A819),MOD($A819,100),IFERROR(VALUE(TRIM(MID(MID($A819,FIND("/",$A819)+1,20),FIND("/",MID($A819,FIND("/",$A819)+1,20))+1,20))),"")))</f>
        <v/>
      </c>
      <c r="E819">
        <f>IF($A819="","",IF(OR($B819="",$C819="",$D819="",$B819&lt;1300,$B819&gt;1500,$C819&lt;1,$C819&gt;12,$D819&lt;1,$D819&gt;31),"نامعتبر",RIGHT("0000"&amp;$B819,4)&amp;"/"&amp;RIGHT("00"&amp;$C819,2)&amp;"/"&amp;RIGHT("00"&amp;$D819,2)))</f>
        <v/>
      </c>
      <c r="F819">
        <f>IF(OR($E819="",$E819="نامعتبر"),"",LEFT($E819,4)&amp;"/"&amp;MID($E819,6,2))</f>
        <v/>
      </c>
      <c r="G819">
        <f>IF(OR($E819="",$E819="نامعتبر",Sync!$Y816=""),"",Sync!$Y816)</f>
        <v/>
      </c>
      <c r="H819">
        <f>IF($G819="","",IF(Sync!$X816="","",Sync!$X816))</f>
        <v/>
      </c>
      <c r="I819">
        <f>IF($G819="","",IFERROR(VLOOKUP(Sync!$X816,OpTbl,3,0),""))</f>
        <v/>
      </c>
      <c r="J819">
        <f>IF(OR($G819="",Sync!$Z816=""),"",Sync!$Z816)</f>
        <v/>
      </c>
      <c r="K819">
        <f>IF(OR($G819="",Sync!$AA816=""),"",Sync!$AA816)</f>
        <v/>
      </c>
      <c r="L819">
        <f>IF($G819="",0,IF(Sync!$AB816="",0,Sync!$AB816))</f>
        <v/>
      </c>
      <c r="M819">
        <f>IF($G819="",0,IF(Sync!$AC816="",0,Sync!$AC816))</f>
        <v/>
      </c>
      <c r="N819">
        <f>IF($G819="","",IF($H819="مرجوعی خرید",-1,1)*($L819-$M819*IFERROR(VLOOKUP("P01",ParamTbl,3,0),1.5))*(1-IF($I819="خرید",IFERROR(VLOOKUP("P02",ParamTbl,3,0),1),0)/100))</f>
        <v/>
      </c>
      <c r="O819">
        <f>IF($G819="",0,IF($H819="مرجوعی خرید",-1,1)*IF(Sync!$AD816="",0,Sync!$AD816))</f>
        <v/>
      </c>
      <c r="P819">
        <f>IF(OR($G819="",Sync!$W816=""),"",Sync!$W816)</f>
        <v/>
      </c>
      <c r="Q819">
        <f>IF(OR($G819="",Sync!$AE816=""),"",Sync!$AE816)</f>
        <v/>
      </c>
      <c r="R819">
        <f>IF($G819="","",IF(Sync!$V816="","0000",IF(AND(ISNUMBER(Sync!$V816),Sync!$V816&gt;=0,Sync!$V816&lt;1),RIGHT("00"&amp;HOUR(Sync!$V816),2)&amp;RIGHT("00"&amp;MINUTE(Sync!$V816),2),IFERROR(RIGHT("00"&amp;VALUE(LEFT(Sync!$V816,FIND(":",Sync!$V816)-1)),2)&amp;RIGHT("00"&amp;VALUE(MID(Sync!$V816,FIND(":",Sync!$V816)+1,2)),2),"0000"))))</f>
        <v/>
      </c>
    </row>
    <row r="820">
      <c r="A820">
        <f>IF(Sync!$U817="","",Sync!$U817)</f>
        <v/>
      </c>
      <c r="B820">
        <f>IF($A820="","",IF(ISNUMBER($A820),IF(AND($A820&gt;=10000101,$A820&lt;=99991231),INT($A820/10000),""),IFERROR(VALUE(TRIM(LEFT($A820,FIND("/",$A820)-1))),"")))</f>
        <v/>
      </c>
      <c r="C820">
        <f>IF(OR($A820="",$B820=""),"",IF(ISNUMBER($A820),INT(MOD($A820,10000)/100),IFERROR(VALUE(TRIM(LEFT(MID($A820,FIND("/",$A820)+1,20),FIND("/",MID($A820,FIND("/",$A820)+1,20))-1))),"")))</f>
        <v/>
      </c>
      <c r="D820">
        <f>IF(OR($A820="",$B820=""),"",IF(ISNUMBER($A820),MOD($A820,100),IFERROR(VALUE(TRIM(MID(MID($A820,FIND("/",$A820)+1,20),FIND("/",MID($A820,FIND("/",$A820)+1,20))+1,20))),"")))</f>
        <v/>
      </c>
      <c r="E820">
        <f>IF($A820="","",IF(OR($B820="",$C820="",$D820="",$B820&lt;1300,$B820&gt;1500,$C820&lt;1,$C820&gt;12,$D820&lt;1,$D820&gt;31),"نامعتبر",RIGHT("0000"&amp;$B820,4)&amp;"/"&amp;RIGHT("00"&amp;$C820,2)&amp;"/"&amp;RIGHT("00"&amp;$D820,2)))</f>
        <v/>
      </c>
      <c r="F820">
        <f>IF(OR($E820="",$E820="نامعتبر"),"",LEFT($E820,4)&amp;"/"&amp;MID($E820,6,2))</f>
        <v/>
      </c>
      <c r="G820">
        <f>IF(OR($E820="",$E820="نامعتبر",Sync!$Y817=""),"",Sync!$Y817)</f>
        <v/>
      </c>
      <c r="H820">
        <f>IF($G820="","",IF(Sync!$X817="","",Sync!$X817))</f>
        <v/>
      </c>
      <c r="I820">
        <f>IF($G820="","",IFERROR(VLOOKUP(Sync!$X817,OpTbl,3,0),""))</f>
        <v/>
      </c>
      <c r="J820">
        <f>IF(OR($G820="",Sync!$Z817=""),"",Sync!$Z817)</f>
        <v/>
      </c>
      <c r="K820">
        <f>IF(OR($G820="",Sync!$AA817=""),"",Sync!$AA817)</f>
        <v/>
      </c>
      <c r="L820">
        <f>IF($G820="",0,IF(Sync!$AB817="",0,Sync!$AB817))</f>
        <v/>
      </c>
      <c r="M820">
        <f>IF($G820="",0,IF(Sync!$AC817="",0,Sync!$AC817))</f>
        <v/>
      </c>
      <c r="N820">
        <f>IF($G820="","",IF($H820="مرجوعی خرید",-1,1)*($L820-$M820*IFERROR(VLOOKUP("P01",ParamTbl,3,0),1.5))*(1-IF($I820="خرید",IFERROR(VLOOKUP("P02",ParamTbl,3,0),1),0)/100))</f>
        <v/>
      </c>
      <c r="O820">
        <f>IF($G820="",0,IF($H820="مرجوعی خرید",-1,1)*IF(Sync!$AD817="",0,Sync!$AD817))</f>
        <v/>
      </c>
      <c r="P820">
        <f>IF(OR($G820="",Sync!$W817=""),"",Sync!$W817)</f>
        <v/>
      </c>
      <c r="Q820">
        <f>IF(OR($G820="",Sync!$AE817=""),"",Sync!$AE817)</f>
        <v/>
      </c>
      <c r="R820">
        <f>IF($G820="","",IF(Sync!$V817="","0000",IF(AND(ISNUMBER(Sync!$V817),Sync!$V817&gt;=0,Sync!$V817&lt;1),RIGHT("00"&amp;HOUR(Sync!$V817),2)&amp;RIGHT("00"&amp;MINUTE(Sync!$V817),2),IFERROR(RIGHT("00"&amp;VALUE(LEFT(Sync!$V817,FIND(":",Sync!$V817)-1)),2)&amp;RIGHT("00"&amp;VALUE(MID(Sync!$V817,FIND(":",Sync!$V817)+1,2)),2),"0000"))))</f>
        <v/>
      </c>
    </row>
    <row r="821">
      <c r="A821">
        <f>IF(Sync!$U818="","",Sync!$U818)</f>
        <v/>
      </c>
      <c r="B821">
        <f>IF($A821="","",IF(ISNUMBER($A821),IF(AND($A821&gt;=10000101,$A821&lt;=99991231),INT($A821/10000),""),IFERROR(VALUE(TRIM(LEFT($A821,FIND("/",$A821)-1))),"")))</f>
        <v/>
      </c>
      <c r="C821">
        <f>IF(OR($A821="",$B821=""),"",IF(ISNUMBER($A821),INT(MOD($A821,10000)/100),IFERROR(VALUE(TRIM(LEFT(MID($A821,FIND("/",$A821)+1,20),FIND("/",MID($A821,FIND("/",$A821)+1,20))-1))),"")))</f>
        <v/>
      </c>
      <c r="D821">
        <f>IF(OR($A821="",$B821=""),"",IF(ISNUMBER($A821),MOD($A821,100),IFERROR(VALUE(TRIM(MID(MID($A821,FIND("/",$A821)+1,20),FIND("/",MID($A821,FIND("/",$A821)+1,20))+1,20))),"")))</f>
        <v/>
      </c>
      <c r="E821">
        <f>IF($A821="","",IF(OR($B821="",$C821="",$D821="",$B821&lt;1300,$B821&gt;1500,$C821&lt;1,$C821&gt;12,$D821&lt;1,$D821&gt;31),"نامعتبر",RIGHT("0000"&amp;$B821,4)&amp;"/"&amp;RIGHT("00"&amp;$C821,2)&amp;"/"&amp;RIGHT("00"&amp;$D821,2)))</f>
        <v/>
      </c>
      <c r="F821">
        <f>IF(OR($E821="",$E821="نامعتبر"),"",LEFT($E821,4)&amp;"/"&amp;MID($E821,6,2))</f>
        <v/>
      </c>
      <c r="G821">
        <f>IF(OR($E821="",$E821="نامعتبر",Sync!$Y818=""),"",Sync!$Y818)</f>
        <v/>
      </c>
      <c r="H821">
        <f>IF($G821="","",IF(Sync!$X818="","",Sync!$X818))</f>
        <v/>
      </c>
      <c r="I821">
        <f>IF($G821="","",IFERROR(VLOOKUP(Sync!$X818,OpTbl,3,0),""))</f>
        <v/>
      </c>
      <c r="J821">
        <f>IF(OR($G821="",Sync!$Z818=""),"",Sync!$Z818)</f>
        <v/>
      </c>
      <c r="K821">
        <f>IF(OR($G821="",Sync!$AA818=""),"",Sync!$AA818)</f>
        <v/>
      </c>
      <c r="L821">
        <f>IF($G821="",0,IF(Sync!$AB818="",0,Sync!$AB818))</f>
        <v/>
      </c>
      <c r="M821">
        <f>IF($G821="",0,IF(Sync!$AC818="",0,Sync!$AC818))</f>
        <v/>
      </c>
      <c r="N821">
        <f>IF($G821="","",IF($H821="مرجوعی خرید",-1,1)*($L821-$M821*IFERROR(VLOOKUP("P01",ParamTbl,3,0),1.5))*(1-IF($I821="خرید",IFERROR(VLOOKUP("P02",ParamTbl,3,0),1),0)/100))</f>
        <v/>
      </c>
      <c r="O821">
        <f>IF($G821="",0,IF($H821="مرجوعی خرید",-1,1)*IF(Sync!$AD818="",0,Sync!$AD818))</f>
        <v/>
      </c>
      <c r="P821">
        <f>IF(OR($G821="",Sync!$W818=""),"",Sync!$W818)</f>
        <v/>
      </c>
      <c r="Q821">
        <f>IF(OR($G821="",Sync!$AE818=""),"",Sync!$AE818)</f>
        <v/>
      </c>
      <c r="R821">
        <f>IF($G821="","",IF(Sync!$V818="","0000",IF(AND(ISNUMBER(Sync!$V818),Sync!$V818&gt;=0,Sync!$V818&lt;1),RIGHT("00"&amp;HOUR(Sync!$V818),2)&amp;RIGHT("00"&amp;MINUTE(Sync!$V818),2),IFERROR(RIGHT("00"&amp;VALUE(LEFT(Sync!$V818,FIND(":",Sync!$V818)-1)),2)&amp;RIGHT("00"&amp;VALUE(MID(Sync!$V818,FIND(":",Sync!$V818)+1,2)),2),"0000"))))</f>
        <v/>
      </c>
    </row>
    <row r="822">
      <c r="A822">
        <f>IF(Sync!$U819="","",Sync!$U819)</f>
        <v/>
      </c>
      <c r="B822">
        <f>IF($A822="","",IF(ISNUMBER($A822),IF(AND($A822&gt;=10000101,$A822&lt;=99991231),INT($A822/10000),""),IFERROR(VALUE(TRIM(LEFT($A822,FIND("/",$A822)-1))),"")))</f>
        <v/>
      </c>
      <c r="C822">
        <f>IF(OR($A822="",$B822=""),"",IF(ISNUMBER($A822),INT(MOD($A822,10000)/100),IFERROR(VALUE(TRIM(LEFT(MID($A822,FIND("/",$A822)+1,20),FIND("/",MID($A822,FIND("/",$A822)+1,20))-1))),"")))</f>
        <v/>
      </c>
      <c r="D822">
        <f>IF(OR($A822="",$B822=""),"",IF(ISNUMBER($A822),MOD($A822,100),IFERROR(VALUE(TRIM(MID(MID($A822,FIND("/",$A822)+1,20),FIND("/",MID($A822,FIND("/",$A822)+1,20))+1,20))),"")))</f>
        <v/>
      </c>
      <c r="E822">
        <f>IF($A822="","",IF(OR($B822="",$C822="",$D822="",$B822&lt;1300,$B822&gt;1500,$C822&lt;1,$C822&gt;12,$D822&lt;1,$D822&gt;31),"نامعتبر",RIGHT("0000"&amp;$B822,4)&amp;"/"&amp;RIGHT("00"&amp;$C822,2)&amp;"/"&amp;RIGHT("00"&amp;$D822,2)))</f>
        <v/>
      </c>
      <c r="F822">
        <f>IF(OR($E822="",$E822="نامعتبر"),"",LEFT($E822,4)&amp;"/"&amp;MID($E822,6,2))</f>
        <v/>
      </c>
      <c r="G822">
        <f>IF(OR($E822="",$E822="نامعتبر",Sync!$Y819=""),"",Sync!$Y819)</f>
        <v/>
      </c>
      <c r="H822">
        <f>IF($G822="","",IF(Sync!$X819="","",Sync!$X819))</f>
        <v/>
      </c>
      <c r="I822">
        <f>IF($G822="","",IFERROR(VLOOKUP(Sync!$X819,OpTbl,3,0),""))</f>
        <v/>
      </c>
      <c r="J822">
        <f>IF(OR($G822="",Sync!$Z819=""),"",Sync!$Z819)</f>
        <v/>
      </c>
      <c r="K822">
        <f>IF(OR($G822="",Sync!$AA819=""),"",Sync!$AA819)</f>
        <v/>
      </c>
      <c r="L822">
        <f>IF($G822="",0,IF(Sync!$AB819="",0,Sync!$AB819))</f>
        <v/>
      </c>
      <c r="M822">
        <f>IF($G822="",0,IF(Sync!$AC819="",0,Sync!$AC819))</f>
        <v/>
      </c>
      <c r="N822">
        <f>IF($G822="","",IF($H822="مرجوعی خرید",-1,1)*($L822-$M822*IFERROR(VLOOKUP("P01",ParamTbl,3,0),1.5))*(1-IF($I822="خرید",IFERROR(VLOOKUP("P02",ParamTbl,3,0),1),0)/100))</f>
        <v/>
      </c>
      <c r="O822">
        <f>IF($G822="",0,IF($H822="مرجوعی خرید",-1,1)*IF(Sync!$AD819="",0,Sync!$AD819))</f>
        <v/>
      </c>
      <c r="P822">
        <f>IF(OR($G822="",Sync!$W819=""),"",Sync!$W819)</f>
        <v/>
      </c>
      <c r="Q822">
        <f>IF(OR($G822="",Sync!$AE819=""),"",Sync!$AE819)</f>
        <v/>
      </c>
      <c r="R822">
        <f>IF($G822="","",IF(Sync!$V819="","0000",IF(AND(ISNUMBER(Sync!$V819),Sync!$V819&gt;=0,Sync!$V819&lt;1),RIGHT("00"&amp;HOUR(Sync!$V819),2)&amp;RIGHT("00"&amp;MINUTE(Sync!$V819),2),IFERROR(RIGHT("00"&amp;VALUE(LEFT(Sync!$V819,FIND(":",Sync!$V819)-1)),2)&amp;RIGHT("00"&amp;VALUE(MID(Sync!$V819,FIND(":",Sync!$V819)+1,2)),2),"0000"))))</f>
        <v/>
      </c>
    </row>
    <row r="823">
      <c r="A823">
        <f>IF(Sync!$U820="","",Sync!$U820)</f>
        <v/>
      </c>
      <c r="B823">
        <f>IF($A823="","",IF(ISNUMBER($A823),IF(AND($A823&gt;=10000101,$A823&lt;=99991231),INT($A823/10000),""),IFERROR(VALUE(TRIM(LEFT($A823,FIND("/",$A823)-1))),"")))</f>
        <v/>
      </c>
      <c r="C823">
        <f>IF(OR($A823="",$B823=""),"",IF(ISNUMBER($A823),INT(MOD($A823,10000)/100),IFERROR(VALUE(TRIM(LEFT(MID($A823,FIND("/",$A823)+1,20),FIND("/",MID($A823,FIND("/",$A823)+1,20))-1))),"")))</f>
        <v/>
      </c>
      <c r="D823">
        <f>IF(OR($A823="",$B823=""),"",IF(ISNUMBER($A823),MOD($A823,100),IFERROR(VALUE(TRIM(MID(MID($A823,FIND("/",$A823)+1,20),FIND("/",MID($A823,FIND("/",$A823)+1,20))+1,20))),"")))</f>
        <v/>
      </c>
      <c r="E823">
        <f>IF($A823="","",IF(OR($B823="",$C823="",$D823="",$B823&lt;1300,$B823&gt;1500,$C823&lt;1,$C823&gt;12,$D823&lt;1,$D823&gt;31),"نامعتبر",RIGHT("0000"&amp;$B823,4)&amp;"/"&amp;RIGHT("00"&amp;$C823,2)&amp;"/"&amp;RIGHT("00"&amp;$D823,2)))</f>
        <v/>
      </c>
      <c r="F823">
        <f>IF(OR($E823="",$E823="نامعتبر"),"",LEFT($E823,4)&amp;"/"&amp;MID($E823,6,2))</f>
        <v/>
      </c>
      <c r="G823">
        <f>IF(OR($E823="",$E823="نامعتبر",Sync!$Y820=""),"",Sync!$Y820)</f>
        <v/>
      </c>
      <c r="H823">
        <f>IF($G823="","",IF(Sync!$X820="","",Sync!$X820))</f>
        <v/>
      </c>
      <c r="I823">
        <f>IF($G823="","",IFERROR(VLOOKUP(Sync!$X820,OpTbl,3,0),""))</f>
        <v/>
      </c>
      <c r="J823">
        <f>IF(OR($G823="",Sync!$Z820=""),"",Sync!$Z820)</f>
        <v/>
      </c>
      <c r="K823">
        <f>IF(OR($G823="",Sync!$AA820=""),"",Sync!$AA820)</f>
        <v/>
      </c>
      <c r="L823">
        <f>IF($G823="",0,IF(Sync!$AB820="",0,Sync!$AB820))</f>
        <v/>
      </c>
      <c r="M823">
        <f>IF($G823="",0,IF(Sync!$AC820="",0,Sync!$AC820))</f>
        <v/>
      </c>
      <c r="N823">
        <f>IF($G823="","",IF($H823="مرجوعی خرید",-1,1)*($L823-$M823*IFERROR(VLOOKUP("P01",ParamTbl,3,0),1.5))*(1-IF($I823="خرید",IFERROR(VLOOKUP("P02",ParamTbl,3,0),1),0)/100))</f>
        <v/>
      </c>
      <c r="O823">
        <f>IF($G823="",0,IF($H823="مرجوعی خرید",-1,1)*IF(Sync!$AD820="",0,Sync!$AD820))</f>
        <v/>
      </c>
      <c r="P823">
        <f>IF(OR($G823="",Sync!$W820=""),"",Sync!$W820)</f>
        <v/>
      </c>
      <c r="Q823">
        <f>IF(OR($G823="",Sync!$AE820=""),"",Sync!$AE820)</f>
        <v/>
      </c>
      <c r="R823">
        <f>IF($G823="","",IF(Sync!$V820="","0000",IF(AND(ISNUMBER(Sync!$V820),Sync!$V820&gt;=0,Sync!$V820&lt;1),RIGHT("00"&amp;HOUR(Sync!$V820),2)&amp;RIGHT("00"&amp;MINUTE(Sync!$V820),2),IFERROR(RIGHT("00"&amp;VALUE(LEFT(Sync!$V820,FIND(":",Sync!$V820)-1)),2)&amp;RIGHT("00"&amp;VALUE(MID(Sync!$V820,FIND(":",Sync!$V820)+1,2)),2),"0000"))))</f>
        <v/>
      </c>
    </row>
    <row r="824">
      <c r="A824">
        <f>IF(Sync!$U821="","",Sync!$U821)</f>
        <v/>
      </c>
      <c r="B824">
        <f>IF($A824="","",IF(ISNUMBER($A824),IF(AND($A824&gt;=10000101,$A824&lt;=99991231),INT($A824/10000),""),IFERROR(VALUE(TRIM(LEFT($A824,FIND("/",$A824)-1))),"")))</f>
        <v/>
      </c>
      <c r="C824">
        <f>IF(OR($A824="",$B824=""),"",IF(ISNUMBER($A824),INT(MOD($A824,10000)/100),IFERROR(VALUE(TRIM(LEFT(MID($A824,FIND("/",$A824)+1,20),FIND("/",MID($A824,FIND("/",$A824)+1,20))-1))),"")))</f>
        <v/>
      </c>
      <c r="D824">
        <f>IF(OR($A824="",$B824=""),"",IF(ISNUMBER($A824),MOD($A824,100),IFERROR(VALUE(TRIM(MID(MID($A824,FIND("/",$A824)+1,20),FIND("/",MID($A824,FIND("/",$A824)+1,20))+1,20))),"")))</f>
        <v/>
      </c>
      <c r="E824">
        <f>IF($A824="","",IF(OR($B824="",$C824="",$D824="",$B824&lt;1300,$B824&gt;1500,$C824&lt;1,$C824&gt;12,$D824&lt;1,$D824&gt;31),"نامعتبر",RIGHT("0000"&amp;$B824,4)&amp;"/"&amp;RIGHT("00"&amp;$C824,2)&amp;"/"&amp;RIGHT("00"&amp;$D824,2)))</f>
        <v/>
      </c>
      <c r="F824">
        <f>IF(OR($E824="",$E824="نامعتبر"),"",LEFT($E824,4)&amp;"/"&amp;MID($E824,6,2))</f>
        <v/>
      </c>
      <c r="G824">
        <f>IF(OR($E824="",$E824="نامعتبر",Sync!$Y821=""),"",Sync!$Y821)</f>
        <v/>
      </c>
      <c r="H824">
        <f>IF($G824="","",IF(Sync!$X821="","",Sync!$X821))</f>
        <v/>
      </c>
      <c r="I824">
        <f>IF($G824="","",IFERROR(VLOOKUP(Sync!$X821,OpTbl,3,0),""))</f>
        <v/>
      </c>
      <c r="J824">
        <f>IF(OR($G824="",Sync!$Z821=""),"",Sync!$Z821)</f>
        <v/>
      </c>
      <c r="K824">
        <f>IF(OR($G824="",Sync!$AA821=""),"",Sync!$AA821)</f>
        <v/>
      </c>
      <c r="L824">
        <f>IF($G824="",0,IF(Sync!$AB821="",0,Sync!$AB821))</f>
        <v/>
      </c>
      <c r="M824">
        <f>IF($G824="",0,IF(Sync!$AC821="",0,Sync!$AC821))</f>
        <v/>
      </c>
      <c r="N824">
        <f>IF($G824="","",IF($H824="مرجوعی خرید",-1,1)*($L824-$M824*IFERROR(VLOOKUP("P01",ParamTbl,3,0),1.5))*(1-IF($I824="خرید",IFERROR(VLOOKUP("P02",ParamTbl,3,0),1),0)/100))</f>
        <v/>
      </c>
      <c r="O824">
        <f>IF($G824="",0,IF($H824="مرجوعی خرید",-1,1)*IF(Sync!$AD821="",0,Sync!$AD821))</f>
        <v/>
      </c>
      <c r="P824">
        <f>IF(OR($G824="",Sync!$W821=""),"",Sync!$W821)</f>
        <v/>
      </c>
      <c r="Q824">
        <f>IF(OR($G824="",Sync!$AE821=""),"",Sync!$AE821)</f>
        <v/>
      </c>
      <c r="R824">
        <f>IF($G824="","",IF(Sync!$V821="","0000",IF(AND(ISNUMBER(Sync!$V821),Sync!$V821&gt;=0,Sync!$V821&lt;1),RIGHT("00"&amp;HOUR(Sync!$V821),2)&amp;RIGHT("00"&amp;MINUTE(Sync!$V821),2),IFERROR(RIGHT("00"&amp;VALUE(LEFT(Sync!$V821,FIND(":",Sync!$V821)-1)),2)&amp;RIGHT("00"&amp;VALUE(MID(Sync!$V821,FIND(":",Sync!$V821)+1,2)),2),"0000"))))</f>
        <v/>
      </c>
    </row>
    <row r="825">
      <c r="A825">
        <f>IF(Sync!$U822="","",Sync!$U822)</f>
        <v/>
      </c>
      <c r="B825">
        <f>IF($A825="","",IF(ISNUMBER($A825),IF(AND($A825&gt;=10000101,$A825&lt;=99991231),INT($A825/10000),""),IFERROR(VALUE(TRIM(LEFT($A825,FIND("/",$A825)-1))),"")))</f>
        <v/>
      </c>
      <c r="C825">
        <f>IF(OR($A825="",$B825=""),"",IF(ISNUMBER($A825),INT(MOD($A825,10000)/100),IFERROR(VALUE(TRIM(LEFT(MID($A825,FIND("/",$A825)+1,20),FIND("/",MID($A825,FIND("/",$A825)+1,20))-1))),"")))</f>
        <v/>
      </c>
      <c r="D825">
        <f>IF(OR($A825="",$B825=""),"",IF(ISNUMBER($A825),MOD($A825,100),IFERROR(VALUE(TRIM(MID(MID($A825,FIND("/",$A825)+1,20),FIND("/",MID($A825,FIND("/",$A825)+1,20))+1,20))),"")))</f>
        <v/>
      </c>
      <c r="E825">
        <f>IF($A825="","",IF(OR($B825="",$C825="",$D825="",$B825&lt;1300,$B825&gt;1500,$C825&lt;1,$C825&gt;12,$D825&lt;1,$D825&gt;31),"نامعتبر",RIGHT("0000"&amp;$B825,4)&amp;"/"&amp;RIGHT("00"&amp;$C825,2)&amp;"/"&amp;RIGHT("00"&amp;$D825,2)))</f>
        <v/>
      </c>
      <c r="F825">
        <f>IF(OR($E825="",$E825="نامعتبر"),"",LEFT($E825,4)&amp;"/"&amp;MID($E825,6,2))</f>
        <v/>
      </c>
      <c r="G825">
        <f>IF(OR($E825="",$E825="نامعتبر",Sync!$Y822=""),"",Sync!$Y822)</f>
        <v/>
      </c>
      <c r="H825">
        <f>IF($G825="","",IF(Sync!$X822="","",Sync!$X822))</f>
        <v/>
      </c>
      <c r="I825">
        <f>IF($G825="","",IFERROR(VLOOKUP(Sync!$X822,OpTbl,3,0),""))</f>
        <v/>
      </c>
      <c r="J825">
        <f>IF(OR($G825="",Sync!$Z822=""),"",Sync!$Z822)</f>
        <v/>
      </c>
      <c r="K825">
        <f>IF(OR($G825="",Sync!$AA822=""),"",Sync!$AA822)</f>
        <v/>
      </c>
      <c r="L825">
        <f>IF($G825="",0,IF(Sync!$AB822="",0,Sync!$AB822))</f>
        <v/>
      </c>
      <c r="M825">
        <f>IF($G825="",0,IF(Sync!$AC822="",0,Sync!$AC822))</f>
        <v/>
      </c>
      <c r="N825">
        <f>IF($G825="","",IF($H825="مرجوعی خرید",-1,1)*($L825-$M825*IFERROR(VLOOKUP("P01",ParamTbl,3,0),1.5))*(1-IF($I825="خرید",IFERROR(VLOOKUP("P02",ParamTbl,3,0),1),0)/100))</f>
        <v/>
      </c>
      <c r="O825">
        <f>IF($G825="",0,IF($H825="مرجوعی خرید",-1,1)*IF(Sync!$AD822="",0,Sync!$AD822))</f>
        <v/>
      </c>
      <c r="P825">
        <f>IF(OR($G825="",Sync!$W822=""),"",Sync!$W822)</f>
        <v/>
      </c>
      <c r="Q825">
        <f>IF(OR($G825="",Sync!$AE822=""),"",Sync!$AE822)</f>
        <v/>
      </c>
      <c r="R825">
        <f>IF($G825="","",IF(Sync!$V822="","0000",IF(AND(ISNUMBER(Sync!$V822),Sync!$V822&gt;=0,Sync!$V822&lt;1),RIGHT("00"&amp;HOUR(Sync!$V822),2)&amp;RIGHT("00"&amp;MINUTE(Sync!$V822),2),IFERROR(RIGHT("00"&amp;VALUE(LEFT(Sync!$V822,FIND(":",Sync!$V822)-1)),2)&amp;RIGHT("00"&amp;VALUE(MID(Sync!$V822,FIND(":",Sync!$V822)+1,2)),2),"0000"))))</f>
        <v/>
      </c>
    </row>
    <row r="826">
      <c r="A826">
        <f>IF(Sync!$U823="","",Sync!$U823)</f>
        <v/>
      </c>
      <c r="B826">
        <f>IF($A826="","",IF(ISNUMBER($A826),IF(AND($A826&gt;=10000101,$A826&lt;=99991231),INT($A826/10000),""),IFERROR(VALUE(TRIM(LEFT($A826,FIND("/",$A826)-1))),"")))</f>
        <v/>
      </c>
      <c r="C826">
        <f>IF(OR($A826="",$B826=""),"",IF(ISNUMBER($A826),INT(MOD($A826,10000)/100),IFERROR(VALUE(TRIM(LEFT(MID($A826,FIND("/",$A826)+1,20),FIND("/",MID($A826,FIND("/",$A826)+1,20))-1))),"")))</f>
        <v/>
      </c>
      <c r="D826">
        <f>IF(OR($A826="",$B826=""),"",IF(ISNUMBER($A826),MOD($A826,100),IFERROR(VALUE(TRIM(MID(MID($A826,FIND("/",$A826)+1,20),FIND("/",MID($A826,FIND("/",$A826)+1,20))+1,20))),"")))</f>
        <v/>
      </c>
      <c r="E826">
        <f>IF($A826="","",IF(OR($B826="",$C826="",$D826="",$B826&lt;1300,$B826&gt;1500,$C826&lt;1,$C826&gt;12,$D826&lt;1,$D826&gt;31),"نامعتبر",RIGHT("0000"&amp;$B826,4)&amp;"/"&amp;RIGHT("00"&amp;$C826,2)&amp;"/"&amp;RIGHT("00"&amp;$D826,2)))</f>
        <v/>
      </c>
      <c r="F826">
        <f>IF(OR($E826="",$E826="نامعتبر"),"",LEFT($E826,4)&amp;"/"&amp;MID($E826,6,2))</f>
        <v/>
      </c>
      <c r="G826">
        <f>IF(OR($E826="",$E826="نامعتبر",Sync!$Y823=""),"",Sync!$Y823)</f>
        <v/>
      </c>
      <c r="H826">
        <f>IF($G826="","",IF(Sync!$X823="","",Sync!$X823))</f>
        <v/>
      </c>
      <c r="I826">
        <f>IF($G826="","",IFERROR(VLOOKUP(Sync!$X823,OpTbl,3,0),""))</f>
        <v/>
      </c>
      <c r="J826">
        <f>IF(OR($G826="",Sync!$Z823=""),"",Sync!$Z823)</f>
        <v/>
      </c>
      <c r="K826">
        <f>IF(OR($G826="",Sync!$AA823=""),"",Sync!$AA823)</f>
        <v/>
      </c>
      <c r="L826">
        <f>IF($G826="",0,IF(Sync!$AB823="",0,Sync!$AB823))</f>
        <v/>
      </c>
      <c r="M826">
        <f>IF($G826="",0,IF(Sync!$AC823="",0,Sync!$AC823))</f>
        <v/>
      </c>
      <c r="N826">
        <f>IF($G826="","",IF($H826="مرجوعی خرید",-1,1)*($L826-$M826*IFERROR(VLOOKUP("P01",ParamTbl,3,0),1.5))*(1-IF($I826="خرید",IFERROR(VLOOKUP("P02",ParamTbl,3,0),1),0)/100))</f>
        <v/>
      </c>
      <c r="O826">
        <f>IF($G826="",0,IF($H826="مرجوعی خرید",-1,1)*IF(Sync!$AD823="",0,Sync!$AD823))</f>
        <v/>
      </c>
      <c r="P826">
        <f>IF(OR($G826="",Sync!$W823=""),"",Sync!$W823)</f>
        <v/>
      </c>
      <c r="Q826">
        <f>IF(OR($G826="",Sync!$AE823=""),"",Sync!$AE823)</f>
        <v/>
      </c>
      <c r="R826">
        <f>IF($G826="","",IF(Sync!$V823="","0000",IF(AND(ISNUMBER(Sync!$V823),Sync!$V823&gt;=0,Sync!$V823&lt;1),RIGHT("00"&amp;HOUR(Sync!$V823),2)&amp;RIGHT("00"&amp;MINUTE(Sync!$V823),2),IFERROR(RIGHT("00"&amp;VALUE(LEFT(Sync!$V823,FIND(":",Sync!$V823)-1)),2)&amp;RIGHT("00"&amp;VALUE(MID(Sync!$V823,FIND(":",Sync!$V823)+1,2)),2),"0000"))))</f>
        <v/>
      </c>
    </row>
    <row r="827">
      <c r="A827">
        <f>IF(Sync!$U824="","",Sync!$U824)</f>
        <v/>
      </c>
      <c r="B827">
        <f>IF($A827="","",IF(ISNUMBER($A827),IF(AND($A827&gt;=10000101,$A827&lt;=99991231),INT($A827/10000),""),IFERROR(VALUE(TRIM(LEFT($A827,FIND("/",$A827)-1))),"")))</f>
        <v/>
      </c>
      <c r="C827">
        <f>IF(OR($A827="",$B827=""),"",IF(ISNUMBER($A827),INT(MOD($A827,10000)/100),IFERROR(VALUE(TRIM(LEFT(MID($A827,FIND("/",$A827)+1,20),FIND("/",MID($A827,FIND("/",$A827)+1,20))-1))),"")))</f>
        <v/>
      </c>
      <c r="D827">
        <f>IF(OR($A827="",$B827=""),"",IF(ISNUMBER($A827),MOD($A827,100),IFERROR(VALUE(TRIM(MID(MID($A827,FIND("/",$A827)+1,20),FIND("/",MID($A827,FIND("/",$A827)+1,20))+1,20))),"")))</f>
        <v/>
      </c>
      <c r="E827">
        <f>IF($A827="","",IF(OR($B827="",$C827="",$D827="",$B827&lt;1300,$B827&gt;1500,$C827&lt;1,$C827&gt;12,$D827&lt;1,$D827&gt;31),"نامعتبر",RIGHT("0000"&amp;$B827,4)&amp;"/"&amp;RIGHT("00"&amp;$C827,2)&amp;"/"&amp;RIGHT("00"&amp;$D827,2)))</f>
        <v/>
      </c>
      <c r="F827">
        <f>IF(OR($E827="",$E827="نامعتبر"),"",LEFT($E827,4)&amp;"/"&amp;MID($E827,6,2))</f>
        <v/>
      </c>
      <c r="G827">
        <f>IF(OR($E827="",$E827="نامعتبر",Sync!$Y824=""),"",Sync!$Y824)</f>
        <v/>
      </c>
      <c r="H827">
        <f>IF($G827="","",IF(Sync!$X824="","",Sync!$X824))</f>
        <v/>
      </c>
      <c r="I827">
        <f>IF($G827="","",IFERROR(VLOOKUP(Sync!$X824,OpTbl,3,0),""))</f>
        <v/>
      </c>
      <c r="J827">
        <f>IF(OR($G827="",Sync!$Z824=""),"",Sync!$Z824)</f>
        <v/>
      </c>
      <c r="K827">
        <f>IF(OR($G827="",Sync!$AA824=""),"",Sync!$AA824)</f>
        <v/>
      </c>
      <c r="L827">
        <f>IF($G827="",0,IF(Sync!$AB824="",0,Sync!$AB824))</f>
        <v/>
      </c>
      <c r="M827">
        <f>IF($G827="",0,IF(Sync!$AC824="",0,Sync!$AC824))</f>
        <v/>
      </c>
      <c r="N827">
        <f>IF($G827="","",IF($H827="مرجوعی خرید",-1,1)*($L827-$M827*IFERROR(VLOOKUP("P01",ParamTbl,3,0),1.5))*(1-IF($I827="خرید",IFERROR(VLOOKUP("P02",ParamTbl,3,0),1),0)/100))</f>
        <v/>
      </c>
      <c r="O827">
        <f>IF($G827="",0,IF($H827="مرجوعی خرید",-1,1)*IF(Sync!$AD824="",0,Sync!$AD824))</f>
        <v/>
      </c>
      <c r="P827">
        <f>IF(OR($G827="",Sync!$W824=""),"",Sync!$W824)</f>
        <v/>
      </c>
      <c r="Q827">
        <f>IF(OR($G827="",Sync!$AE824=""),"",Sync!$AE824)</f>
        <v/>
      </c>
      <c r="R827">
        <f>IF($G827="","",IF(Sync!$V824="","0000",IF(AND(ISNUMBER(Sync!$V824),Sync!$V824&gt;=0,Sync!$V824&lt;1),RIGHT("00"&amp;HOUR(Sync!$V824),2)&amp;RIGHT("00"&amp;MINUTE(Sync!$V824),2),IFERROR(RIGHT("00"&amp;VALUE(LEFT(Sync!$V824,FIND(":",Sync!$V824)-1)),2)&amp;RIGHT("00"&amp;VALUE(MID(Sync!$V824,FIND(":",Sync!$V824)+1,2)),2),"0000"))))</f>
        <v/>
      </c>
    </row>
    <row r="828">
      <c r="A828">
        <f>IF(Sync!$U825="","",Sync!$U825)</f>
        <v/>
      </c>
      <c r="B828">
        <f>IF($A828="","",IF(ISNUMBER($A828),IF(AND($A828&gt;=10000101,$A828&lt;=99991231),INT($A828/10000),""),IFERROR(VALUE(TRIM(LEFT($A828,FIND("/",$A828)-1))),"")))</f>
        <v/>
      </c>
      <c r="C828">
        <f>IF(OR($A828="",$B828=""),"",IF(ISNUMBER($A828),INT(MOD($A828,10000)/100),IFERROR(VALUE(TRIM(LEFT(MID($A828,FIND("/",$A828)+1,20),FIND("/",MID($A828,FIND("/",$A828)+1,20))-1))),"")))</f>
        <v/>
      </c>
      <c r="D828">
        <f>IF(OR($A828="",$B828=""),"",IF(ISNUMBER($A828),MOD($A828,100),IFERROR(VALUE(TRIM(MID(MID($A828,FIND("/",$A828)+1,20),FIND("/",MID($A828,FIND("/",$A828)+1,20))+1,20))),"")))</f>
        <v/>
      </c>
      <c r="E828">
        <f>IF($A828="","",IF(OR($B828="",$C828="",$D828="",$B828&lt;1300,$B828&gt;1500,$C828&lt;1,$C828&gt;12,$D828&lt;1,$D828&gt;31),"نامعتبر",RIGHT("0000"&amp;$B828,4)&amp;"/"&amp;RIGHT("00"&amp;$C828,2)&amp;"/"&amp;RIGHT("00"&amp;$D828,2)))</f>
        <v/>
      </c>
      <c r="F828">
        <f>IF(OR($E828="",$E828="نامعتبر"),"",LEFT($E828,4)&amp;"/"&amp;MID($E828,6,2))</f>
        <v/>
      </c>
      <c r="G828">
        <f>IF(OR($E828="",$E828="نامعتبر",Sync!$Y825=""),"",Sync!$Y825)</f>
        <v/>
      </c>
      <c r="H828">
        <f>IF($G828="","",IF(Sync!$X825="","",Sync!$X825))</f>
        <v/>
      </c>
      <c r="I828">
        <f>IF($G828="","",IFERROR(VLOOKUP(Sync!$X825,OpTbl,3,0),""))</f>
        <v/>
      </c>
      <c r="J828">
        <f>IF(OR($G828="",Sync!$Z825=""),"",Sync!$Z825)</f>
        <v/>
      </c>
      <c r="K828">
        <f>IF(OR($G828="",Sync!$AA825=""),"",Sync!$AA825)</f>
        <v/>
      </c>
      <c r="L828">
        <f>IF($G828="",0,IF(Sync!$AB825="",0,Sync!$AB825))</f>
        <v/>
      </c>
      <c r="M828">
        <f>IF($G828="",0,IF(Sync!$AC825="",0,Sync!$AC825))</f>
        <v/>
      </c>
      <c r="N828">
        <f>IF($G828="","",IF($H828="مرجوعی خرید",-1,1)*($L828-$M828*IFERROR(VLOOKUP("P01",ParamTbl,3,0),1.5))*(1-IF($I828="خرید",IFERROR(VLOOKUP("P02",ParamTbl,3,0),1),0)/100))</f>
        <v/>
      </c>
      <c r="O828">
        <f>IF($G828="",0,IF($H828="مرجوعی خرید",-1,1)*IF(Sync!$AD825="",0,Sync!$AD825))</f>
        <v/>
      </c>
      <c r="P828">
        <f>IF(OR($G828="",Sync!$W825=""),"",Sync!$W825)</f>
        <v/>
      </c>
      <c r="Q828">
        <f>IF(OR($G828="",Sync!$AE825=""),"",Sync!$AE825)</f>
        <v/>
      </c>
      <c r="R828">
        <f>IF($G828="","",IF(Sync!$V825="","0000",IF(AND(ISNUMBER(Sync!$V825),Sync!$V825&gt;=0,Sync!$V825&lt;1),RIGHT("00"&amp;HOUR(Sync!$V825),2)&amp;RIGHT("00"&amp;MINUTE(Sync!$V825),2),IFERROR(RIGHT("00"&amp;VALUE(LEFT(Sync!$V825,FIND(":",Sync!$V825)-1)),2)&amp;RIGHT("00"&amp;VALUE(MID(Sync!$V825,FIND(":",Sync!$V825)+1,2)),2),"0000"))))</f>
        <v/>
      </c>
    </row>
    <row r="829">
      <c r="A829">
        <f>IF(Sync!$U826="","",Sync!$U826)</f>
        <v/>
      </c>
      <c r="B829">
        <f>IF($A829="","",IF(ISNUMBER($A829),IF(AND($A829&gt;=10000101,$A829&lt;=99991231),INT($A829/10000),""),IFERROR(VALUE(TRIM(LEFT($A829,FIND("/",$A829)-1))),"")))</f>
        <v/>
      </c>
      <c r="C829">
        <f>IF(OR($A829="",$B829=""),"",IF(ISNUMBER($A829),INT(MOD($A829,10000)/100),IFERROR(VALUE(TRIM(LEFT(MID($A829,FIND("/",$A829)+1,20),FIND("/",MID($A829,FIND("/",$A829)+1,20))-1))),"")))</f>
        <v/>
      </c>
      <c r="D829">
        <f>IF(OR($A829="",$B829=""),"",IF(ISNUMBER($A829),MOD($A829,100),IFERROR(VALUE(TRIM(MID(MID($A829,FIND("/",$A829)+1,20),FIND("/",MID($A829,FIND("/",$A829)+1,20))+1,20))),"")))</f>
        <v/>
      </c>
      <c r="E829">
        <f>IF($A829="","",IF(OR($B829="",$C829="",$D829="",$B829&lt;1300,$B829&gt;1500,$C829&lt;1,$C829&gt;12,$D829&lt;1,$D829&gt;31),"نامعتبر",RIGHT("0000"&amp;$B829,4)&amp;"/"&amp;RIGHT("00"&amp;$C829,2)&amp;"/"&amp;RIGHT("00"&amp;$D829,2)))</f>
        <v/>
      </c>
      <c r="F829">
        <f>IF(OR($E829="",$E829="نامعتبر"),"",LEFT($E829,4)&amp;"/"&amp;MID($E829,6,2))</f>
        <v/>
      </c>
      <c r="G829">
        <f>IF(OR($E829="",$E829="نامعتبر",Sync!$Y826=""),"",Sync!$Y826)</f>
        <v/>
      </c>
      <c r="H829">
        <f>IF($G829="","",IF(Sync!$X826="","",Sync!$X826))</f>
        <v/>
      </c>
      <c r="I829">
        <f>IF($G829="","",IFERROR(VLOOKUP(Sync!$X826,OpTbl,3,0),""))</f>
        <v/>
      </c>
      <c r="J829">
        <f>IF(OR($G829="",Sync!$Z826=""),"",Sync!$Z826)</f>
        <v/>
      </c>
      <c r="K829">
        <f>IF(OR($G829="",Sync!$AA826=""),"",Sync!$AA826)</f>
        <v/>
      </c>
      <c r="L829">
        <f>IF($G829="",0,IF(Sync!$AB826="",0,Sync!$AB826))</f>
        <v/>
      </c>
      <c r="M829">
        <f>IF($G829="",0,IF(Sync!$AC826="",0,Sync!$AC826))</f>
        <v/>
      </c>
      <c r="N829">
        <f>IF($G829="","",IF($H829="مرجوعی خرید",-1,1)*($L829-$M829*IFERROR(VLOOKUP("P01",ParamTbl,3,0),1.5))*(1-IF($I829="خرید",IFERROR(VLOOKUP("P02",ParamTbl,3,0),1),0)/100))</f>
        <v/>
      </c>
      <c r="O829">
        <f>IF($G829="",0,IF($H829="مرجوعی خرید",-1,1)*IF(Sync!$AD826="",0,Sync!$AD826))</f>
        <v/>
      </c>
      <c r="P829">
        <f>IF(OR($G829="",Sync!$W826=""),"",Sync!$W826)</f>
        <v/>
      </c>
      <c r="Q829">
        <f>IF(OR($G829="",Sync!$AE826=""),"",Sync!$AE826)</f>
        <v/>
      </c>
      <c r="R829">
        <f>IF($G829="","",IF(Sync!$V826="","0000",IF(AND(ISNUMBER(Sync!$V826),Sync!$V826&gt;=0,Sync!$V826&lt;1),RIGHT("00"&amp;HOUR(Sync!$V826),2)&amp;RIGHT("00"&amp;MINUTE(Sync!$V826),2),IFERROR(RIGHT("00"&amp;VALUE(LEFT(Sync!$V826,FIND(":",Sync!$V826)-1)),2)&amp;RIGHT("00"&amp;VALUE(MID(Sync!$V826,FIND(":",Sync!$V826)+1,2)),2),"0000"))))</f>
        <v/>
      </c>
    </row>
    <row r="830">
      <c r="A830">
        <f>IF(Sync!$U827="","",Sync!$U827)</f>
        <v/>
      </c>
      <c r="B830">
        <f>IF($A830="","",IF(ISNUMBER($A830),IF(AND($A830&gt;=10000101,$A830&lt;=99991231),INT($A830/10000),""),IFERROR(VALUE(TRIM(LEFT($A830,FIND("/",$A830)-1))),"")))</f>
        <v/>
      </c>
      <c r="C830">
        <f>IF(OR($A830="",$B830=""),"",IF(ISNUMBER($A830),INT(MOD($A830,10000)/100),IFERROR(VALUE(TRIM(LEFT(MID($A830,FIND("/",$A830)+1,20),FIND("/",MID($A830,FIND("/",$A830)+1,20))-1))),"")))</f>
        <v/>
      </c>
      <c r="D830">
        <f>IF(OR($A830="",$B830=""),"",IF(ISNUMBER($A830),MOD($A830,100),IFERROR(VALUE(TRIM(MID(MID($A830,FIND("/",$A830)+1,20),FIND("/",MID($A830,FIND("/",$A830)+1,20))+1,20))),"")))</f>
        <v/>
      </c>
      <c r="E830">
        <f>IF($A830="","",IF(OR($B830="",$C830="",$D830="",$B830&lt;1300,$B830&gt;1500,$C830&lt;1,$C830&gt;12,$D830&lt;1,$D830&gt;31),"نامعتبر",RIGHT("0000"&amp;$B830,4)&amp;"/"&amp;RIGHT("00"&amp;$C830,2)&amp;"/"&amp;RIGHT("00"&amp;$D830,2)))</f>
        <v/>
      </c>
      <c r="F830">
        <f>IF(OR($E830="",$E830="نامعتبر"),"",LEFT($E830,4)&amp;"/"&amp;MID($E830,6,2))</f>
        <v/>
      </c>
      <c r="G830">
        <f>IF(OR($E830="",$E830="نامعتبر",Sync!$Y827=""),"",Sync!$Y827)</f>
        <v/>
      </c>
      <c r="H830">
        <f>IF($G830="","",IF(Sync!$X827="","",Sync!$X827))</f>
        <v/>
      </c>
      <c r="I830">
        <f>IF($G830="","",IFERROR(VLOOKUP(Sync!$X827,OpTbl,3,0),""))</f>
        <v/>
      </c>
      <c r="J830">
        <f>IF(OR($G830="",Sync!$Z827=""),"",Sync!$Z827)</f>
        <v/>
      </c>
      <c r="K830">
        <f>IF(OR($G830="",Sync!$AA827=""),"",Sync!$AA827)</f>
        <v/>
      </c>
      <c r="L830">
        <f>IF($G830="",0,IF(Sync!$AB827="",0,Sync!$AB827))</f>
        <v/>
      </c>
      <c r="M830">
        <f>IF($G830="",0,IF(Sync!$AC827="",0,Sync!$AC827))</f>
        <v/>
      </c>
      <c r="N830">
        <f>IF($G830="","",IF($H830="مرجوعی خرید",-1,1)*($L830-$M830*IFERROR(VLOOKUP("P01",ParamTbl,3,0),1.5))*(1-IF($I830="خرید",IFERROR(VLOOKUP("P02",ParamTbl,3,0),1),0)/100))</f>
        <v/>
      </c>
      <c r="O830">
        <f>IF($G830="",0,IF($H830="مرجوعی خرید",-1,1)*IF(Sync!$AD827="",0,Sync!$AD827))</f>
        <v/>
      </c>
      <c r="P830">
        <f>IF(OR($G830="",Sync!$W827=""),"",Sync!$W827)</f>
        <v/>
      </c>
      <c r="Q830">
        <f>IF(OR($G830="",Sync!$AE827=""),"",Sync!$AE827)</f>
        <v/>
      </c>
      <c r="R830">
        <f>IF($G830="","",IF(Sync!$V827="","0000",IF(AND(ISNUMBER(Sync!$V827),Sync!$V827&gt;=0,Sync!$V827&lt;1),RIGHT("00"&amp;HOUR(Sync!$V827),2)&amp;RIGHT("00"&amp;MINUTE(Sync!$V827),2),IFERROR(RIGHT("00"&amp;VALUE(LEFT(Sync!$V827,FIND(":",Sync!$V827)-1)),2)&amp;RIGHT("00"&amp;VALUE(MID(Sync!$V827,FIND(":",Sync!$V827)+1,2)),2),"0000"))))</f>
        <v/>
      </c>
    </row>
    <row r="831">
      <c r="A831">
        <f>IF(Sync!$U828="","",Sync!$U828)</f>
        <v/>
      </c>
      <c r="B831">
        <f>IF($A831="","",IF(ISNUMBER($A831),IF(AND($A831&gt;=10000101,$A831&lt;=99991231),INT($A831/10000),""),IFERROR(VALUE(TRIM(LEFT($A831,FIND("/",$A831)-1))),"")))</f>
        <v/>
      </c>
      <c r="C831">
        <f>IF(OR($A831="",$B831=""),"",IF(ISNUMBER($A831),INT(MOD($A831,10000)/100),IFERROR(VALUE(TRIM(LEFT(MID($A831,FIND("/",$A831)+1,20),FIND("/",MID($A831,FIND("/",$A831)+1,20))-1))),"")))</f>
        <v/>
      </c>
      <c r="D831">
        <f>IF(OR($A831="",$B831=""),"",IF(ISNUMBER($A831),MOD($A831,100),IFERROR(VALUE(TRIM(MID(MID($A831,FIND("/",$A831)+1,20),FIND("/",MID($A831,FIND("/",$A831)+1,20))+1,20))),"")))</f>
        <v/>
      </c>
      <c r="E831">
        <f>IF($A831="","",IF(OR($B831="",$C831="",$D831="",$B831&lt;1300,$B831&gt;1500,$C831&lt;1,$C831&gt;12,$D831&lt;1,$D831&gt;31),"نامعتبر",RIGHT("0000"&amp;$B831,4)&amp;"/"&amp;RIGHT("00"&amp;$C831,2)&amp;"/"&amp;RIGHT("00"&amp;$D831,2)))</f>
        <v/>
      </c>
      <c r="F831">
        <f>IF(OR($E831="",$E831="نامعتبر"),"",LEFT($E831,4)&amp;"/"&amp;MID($E831,6,2))</f>
        <v/>
      </c>
      <c r="G831">
        <f>IF(OR($E831="",$E831="نامعتبر",Sync!$Y828=""),"",Sync!$Y828)</f>
        <v/>
      </c>
      <c r="H831">
        <f>IF($G831="","",IF(Sync!$X828="","",Sync!$X828))</f>
        <v/>
      </c>
      <c r="I831">
        <f>IF($G831="","",IFERROR(VLOOKUP(Sync!$X828,OpTbl,3,0),""))</f>
        <v/>
      </c>
      <c r="J831">
        <f>IF(OR($G831="",Sync!$Z828=""),"",Sync!$Z828)</f>
        <v/>
      </c>
      <c r="K831">
        <f>IF(OR($G831="",Sync!$AA828=""),"",Sync!$AA828)</f>
        <v/>
      </c>
      <c r="L831">
        <f>IF($G831="",0,IF(Sync!$AB828="",0,Sync!$AB828))</f>
        <v/>
      </c>
      <c r="M831">
        <f>IF($G831="",0,IF(Sync!$AC828="",0,Sync!$AC828))</f>
        <v/>
      </c>
      <c r="N831">
        <f>IF($G831="","",IF($H831="مرجوعی خرید",-1,1)*($L831-$M831*IFERROR(VLOOKUP("P01",ParamTbl,3,0),1.5))*(1-IF($I831="خرید",IFERROR(VLOOKUP("P02",ParamTbl,3,0),1),0)/100))</f>
        <v/>
      </c>
      <c r="O831">
        <f>IF($G831="",0,IF($H831="مرجوعی خرید",-1,1)*IF(Sync!$AD828="",0,Sync!$AD828))</f>
        <v/>
      </c>
      <c r="P831">
        <f>IF(OR($G831="",Sync!$W828=""),"",Sync!$W828)</f>
        <v/>
      </c>
      <c r="Q831">
        <f>IF(OR($G831="",Sync!$AE828=""),"",Sync!$AE828)</f>
        <v/>
      </c>
      <c r="R831">
        <f>IF($G831="","",IF(Sync!$V828="","0000",IF(AND(ISNUMBER(Sync!$V828),Sync!$V828&gt;=0,Sync!$V828&lt;1),RIGHT("00"&amp;HOUR(Sync!$V828),2)&amp;RIGHT("00"&amp;MINUTE(Sync!$V828),2),IFERROR(RIGHT("00"&amp;VALUE(LEFT(Sync!$V828,FIND(":",Sync!$V828)-1)),2)&amp;RIGHT("00"&amp;VALUE(MID(Sync!$V828,FIND(":",Sync!$V828)+1,2)),2),"0000"))))</f>
        <v/>
      </c>
    </row>
    <row r="832">
      <c r="A832">
        <f>IF(Sync!$U829="","",Sync!$U829)</f>
        <v/>
      </c>
      <c r="B832">
        <f>IF($A832="","",IF(ISNUMBER($A832),IF(AND($A832&gt;=10000101,$A832&lt;=99991231),INT($A832/10000),""),IFERROR(VALUE(TRIM(LEFT($A832,FIND("/",$A832)-1))),"")))</f>
        <v/>
      </c>
      <c r="C832">
        <f>IF(OR($A832="",$B832=""),"",IF(ISNUMBER($A832),INT(MOD($A832,10000)/100),IFERROR(VALUE(TRIM(LEFT(MID($A832,FIND("/",$A832)+1,20),FIND("/",MID($A832,FIND("/",$A832)+1,20))-1))),"")))</f>
        <v/>
      </c>
      <c r="D832">
        <f>IF(OR($A832="",$B832=""),"",IF(ISNUMBER($A832),MOD($A832,100),IFERROR(VALUE(TRIM(MID(MID($A832,FIND("/",$A832)+1,20),FIND("/",MID($A832,FIND("/",$A832)+1,20))+1,20))),"")))</f>
        <v/>
      </c>
      <c r="E832">
        <f>IF($A832="","",IF(OR($B832="",$C832="",$D832="",$B832&lt;1300,$B832&gt;1500,$C832&lt;1,$C832&gt;12,$D832&lt;1,$D832&gt;31),"نامعتبر",RIGHT("0000"&amp;$B832,4)&amp;"/"&amp;RIGHT("00"&amp;$C832,2)&amp;"/"&amp;RIGHT("00"&amp;$D832,2)))</f>
        <v/>
      </c>
      <c r="F832">
        <f>IF(OR($E832="",$E832="نامعتبر"),"",LEFT($E832,4)&amp;"/"&amp;MID($E832,6,2))</f>
        <v/>
      </c>
      <c r="G832">
        <f>IF(OR($E832="",$E832="نامعتبر",Sync!$Y829=""),"",Sync!$Y829)</f>
        <v/>
      </c>
      <c r="H832">
        <f>IF($G832="","",IF(Sync!$X829="","",Sync!$X829))</f>
        <v/>
      </c>
      <c r="I832">
        <f>IF($G832="","",IFERROR(VLOOKUP(Sync!$X829,OpTbl,3,0),""))</f>
        <v/>
      </c>
      <c r="J832">
        <f>IF(OR($G832="",Sync!$Z829=""),"",Sync!$Z829)</f>
        <v/>
      </c>
      <c r="K832">
        <f>IF(OR($G832="",Sync!$AA829=""),"",Sync!$AA829)</f>
        <v/>
      </c>
      <c r="L832">
        <f>IF($G832="",0,IF(Sync!$AB829="",0,Sync!$AB829))</f>
        <v/>
      </c>
      <c r="M832">
        <f>IF($G832="",0,IF(Sync!$AC829="",0,Sync!$AC829))</f>
        <v/>
      </c>
      <c r="N832">
        <f>IF($G832="","",IF($H832="مرجوعی خرید",-1,1)*($L832-$M832*IFERROR(VLOOKUP("P01",ParamTbl,3,0),1.5))*(1-IF($I832="خرید",IFERROR(VLOOKUP("P02",ParamTbl,3,0),1),0)/100))</f>
        <v/>
      </c>
      <c r="O832">
        <f>IF($G832="",0,IF($H832="مرجوعی خرید",-1,1)*IF(Sync!$AD829="",0,Sync!$AD829))</f>
        <v/>
      </c>
      <c r="P832">
        <f>IF(OR($G832="",Sync!$W829=""),"",Sync!$W829)</f>
        <v/>
      </c>
      <c r="Q832">
        <f>IF(OR($G832="",Sync!$AE829=""),"",Sync!$AE829)</f>
        <v/>
      </c>
      <c r="R832">
        <f>IF($G832="","",IF(Sync!$V829="","0000",IF(AND(ISNUMBER(Sync!$V829),Sync!$V829&gt;=0,Sync!$V829&lt;1),RIGHT("00"&amp;HOUR(Sync!$V829),2)&amp;RIGHT("00"&amp;MINUTE(Sync!$V829),2),IFERROR(RIGHT("00"&amp;VALUE(LEFT(Sync!$V829,FIND(":",Sync!$V829)-1)),2)&amp;RIGHT("00"&amp;VALUE(MID(Sync!$V829,FIND(":",Sync!$V829)+1,2)),2),"0000"))))</f>
        <v/>
      </c>
    </row>
    <row r="833">
      <c r="A833">
        <f>IF(Sync!$U830="","",Sync!$U830)</f>
        <v/>
      </c>
      <c r="B833">
        <f>IF($A833="","",IF(ISNUMBER($A833),IF(AND($A833&gt;=10000101,$A833&lt;=99991231),INT($A833/10000),""),IFERROR(VALUE(TRIM(LEFT($A833,FIND("/",$A833)-1))),"")))</f>
        <v/>
      </c>
      <c r="C833">
        <f>IF(OR($A833="",$B833=""),"",IF(ISNUMBER($A833),INT(MOD($A833,10000)/100),IFERROR(VALUE(TRIM(LEFT(MID($A833,FIND("/",$A833)+1,20),FIND("/",MID($A833,FIND("/",$A833)+1,20))-1))),"")))</f>
        <v/>
      </c>
      <c r="D833">
        <f>IF(OR($A833="",$B833=""),"",IF(ISNUMBER($A833),MOD($A833,100),IFERROR(VALUE(TRIM(MID(MID($A833,FIND("/",$A833)+1,20),FIND("/",MID($A833,FIND("/",$A833)+1,20))+1,20))),"")))</f>
        <v/>
      </c>
      <c r="E833">
        <f>IF($A833="","",IF(OR($B833="",$C833="",$D833="",$B833&lt;1300,$B833&gt;1500,$C833&lt;1,$C833&gt;12,$D833&lt;1,$D833&gt;31),"نامعتبر",RIGHT("0000"&amp;$B833,4)&amp;"/"&amp;RIGHT("00"&amp;$C833,2)&amp;"/"&amp;RIGHT("00"&amp;$D833,2)))</f>
        <v/>
      </c>
      <c r="F833">
        <f>IF(OR($E833="",$E833="نامعتبر"),"",LEFT($E833,4)&amp;"/"&amp;MID($E833,6,2))</f>
        <v/>
      </c>
      <c r="G833">
        <f>IF(OR($E833="",$E833="نامعتبر",Sync!$Y830=""),"",Sync!$Y830)</f>
        <v/>
      </c>
      <c r="H833">
        <f>IF($G833="","",IF(Sync!$X830="","",Sync!$X830))</f>
        <v/>
      </c>
      <c r="I833">
        <f>IF($G833="","",IFERROR(VLOOKUP(Sync!$X830,OpTbl,3,0),""))</f>
        <v/>
      </c>
      <c r="J833">
        <f>IF(OR($G833="",Sync!$Z830=""),"",Sync!$Z830)</f>
        <v/>
      </c>
      <c r="K833">
        <f>IF(OR($G833="",Sync!$AA830=""),"",Sync!$AA830)</f>
        <v/>
      </c>
      <c r="L833">
        <f>IF($G833="",0,IF(Sync!$AB830="",0,Sync!$AB830))</f>
        <v/>
      </c>
      <c r="M833">
        <f>IF($G833="",0,IF(Sync!$AC830="",0,Sync!$AC830))</f>
        <v/>
      </c>
      <c r="N833">
        <f>IF($G833="","",IF($H833="مرجوعی خرید",-1,1)*($L833-$M833*IFERROR(VLOOKUP("P01",ParamTbl,3,0),1.5))*(1-IF($I833="خرید",IFERROR(VLOOKUP("P02",ParamTbl,3,0),1),0)/100))</f>
        <v/>
      </c>
      <c r="O833">
        <f>IF($G833="",0,IF($H833="مرجوعی خرید",-1,1)*IF(Sync!$AD830="",0,Sync!$AD830))</f>
        <v/>
      </c>
      <c r="P833">
        <f>IF(OR($G833="",Sync!$W830=""),"",Sync!$W830)</f>
        <v/>
      </c>
      <c r="Q833">
        <f>IF(OR($G833="",Sync!$AE830=""),"",Sync!$AE830)</f>
        <v/>
      </c>
      <c r="R833">
        <f>IF($G833="","",IF(Sync!$V830="","0000",IF(AND(ISNUMBER(Sync!$V830),Sync!$V830&gt;=0,Sync!$V830&lt;1),RIGHT("00"&amp;HOUR(Sync!$V830),2)&amp;RIGHT("00"&amp;MINUTE(Sync!$V830),2),IFERROR(RIGHT("00"&amp;VALUE(LEFT(Sync!$V830,FIND(":",Sync!$V830)-1)),2)&amp;RIGHT("00"&amp;VALUE(MID(Sync!$V830,FIND(":",Sync!$V830)+1,2)),2),"0000"))))</f>
        <v/>
      </c>
    </row>
    <row r="834">
      <c r="A834">
        <f>IF(Sync!$U831="","",Sync!$U831)</f>
        <v/>
      </c>
      <c r="B834">
        <f>IF($A834="","",IF(ISNUMBER($A834),IF(AND($A834&gt;=10000101,$A834&lt;=99991231),INT($A834/10000),""),IFERROR(VALUE(TRIM(LEFT($A834,FIND("/",$A834)-1))),"")))</f>
        <v/>
      </c>
      <c r="C834">
        <f>IF(OR($A834="",$B834=""),"",IF(ISNUMBER($A834),INT(MOD($A834,10000)/100),IFERROR(VALUE(TRIM(LEFT(MID($A834,FIND("/",$A834)+1,20),FIND("/",MID($A834,FIND("/",$A834)+1,20))-1))),"")))</f>
        <v/>
      </c>
      <c r="D834">
        <f>IF(OR($A834="",$B834=""),"",IF(ISNUMBER($A834),MOD($A834,100),IFERROR(VALUE(TRIM(MID(MID($A834,FIND("/",$A834)+1,20),FIND("/",MID($A834,FIND("/",$A834)+1,20))+1,20))),"")))</f>
        <v/>
      </c>
      <c r="E834">
        <f>IF($A834="","",IF(OR($B834="",$C834="",$D834="",$B834&lt;1300,$B834&gt;1500,$C834&lt;1,$C834&gt;12,$D834&lt;1,$D834&gt;31),"نامعتبر",RIGHT("0000"&amp;$B834,4)&amp;"/"&amp;RIGHT("00"&amp;$C834,2)&amp;"/"&amp;RIGHT("00"&amp;$D834,2)))</f>
        <v/>
      </c>
      <c r="F834">
        <f>IF(OR($E834="",$E834="نامعتبر"),"",LEFT($E834,4)&amp;"/"&amp;MID($E834,6,2))</f>
        <v/>
      </c>
      <c r="G834">
        <f>IF(OR($E834="",$E834="نامعتبر",Sync!$Y831=""),"",Sync!$Y831)</f>
        <v/>
      </c>
      <c r="H834">
        <f>IF($G834="","",IF(Sync!$X831="","",Sync!$X831))</f>
        <v/>
      </c>
      <c r="I834">
        <f>IF($G834="","",IFERROR(VLOOKUP(Sync!$X831,OpTbl,3,0),""))</f>
        <v/>
      </c>
      <c r="J834">
        <f>IF(OR($G834="",Sync!$Z831=""),"",Sync!$Z831)</f>
        <v/>
      </c>
      <c r="K834">
        <f>IF(OR($G834="",Sync!$AA831=""),"",Sync!$AA831)</f>
        <v/>
      </c>
      <c r="L834">
        <f>IF($G834="",0,IF(Sync!$AB831="",0,Sync!$AB831))</f>
        <v/>
      </c>
      <c r="M834">
        <f>IF($G834="",0,IF(Sync!$AC831="",0,Sync!$AC831))</f>
        <v/>
      </c>
      <c r="N834">
        <f>IF($G834="","",IF($H834="مرجوعی خرید",-1,1)*($L834-$M834*IFERROR(VLOOKUP("P01",ParamTbl,3,0),1.5))*(1-IF($I834="خرید",IFERROR(VLOOKUP("P02",ParamTbl,3,0),1),0)/100))</f>
        <v/>
      </c>
      <c r="O834">
        <f>IF($G834="",0,IF($H834="مرجوعی خرید",-1,1)*IF(Sync!$AD831="",0,Sync!$AD831))</f>
        <v/>
      </c>
      <c r="P834">
        <f>IF(OR($G834="",Sync!$W831=""),"",Sync!$W831)</f>
        <v/>
      </c>
      <c r="Q834">
        <f>IF(OR($G834="",Sync!$AE831=""),"",Sync!$AE831)</f>
        <v/>
      </c>
      <c r="R834">
        <f>IF($G834="","",IF(Sync!$V831="","0000",IF(AND(ISNUMBER(Sync!$V831),Sync!$V831&gt;=0,Sync!$V831&lt;1),RIGHT("00"&amp;HOUR(Sync!$V831),2)&amp;RIGHT("00"&amp;MINUTE(Sync!$V831),2),IFERROR(RIGHT("00"&amp;VALUE(LEFT(Sync!$V831,FIND(":",Sync!$V831)-1)),2)&amp;RIGHT("00"&amp;VALUE(MID(Sync!$V831,FIND(":",Sync!$V831)+1,2)),2),"0000"))))</f>
        <v/>
      </c>
    </row>
    <row r="835">
      <c r="A835">
        <f>IF(Sync!$U832="","",Sync!$U832)</f>
        <v/>
      </c>
      <c r="B835">
        <f>IF($A835="","",IF(ISNUMBER($A835),IF(AND($A835&gt;=10000101,$A835&lt;=99991231),INT($A835/10000),""),IFERROR(VALUE(TRIM(LEFT($A835,FIND("/",$A835)-1))),"")))</f>
        <v/>
      </c>
      <c r="C835">
        <f>IF(OR($A835="",$B835=""),"",IF(ISNUMBER($A835),INT(MOD($A835,10000)/100),IFERROR(VALUE(TRIM(LEFT(MID($A835,FIND("/",$A835)+1,20),FIND("/",MID($A835,FIND("/",$A835)+1,20))-1))),"")))</f>
        <v/>
      </c>
      <c r="D835">
        <f>IF(OR($A835="",$B835=""),"",IF(ISNUMBER($A835),MOD($A835,100),IFERROR(VALUE(TRIM(MID(MID($A835,FIND("/",$A835)+1,20),FIND("/",MID($A835,FIND("/",$A835)+1,20))+1,20))),"")))</f>
        <v/>
      </c>
      <c r="E835">
        <f>IF($A835="","",IF(OR($B835="",$C835="",$D835="",$B835&lt;1300,$B835&gt;1500,$C835&lt;1,$C835&gt;12,$D835&lt;1,$D835&gt;31),"نامعتبر",RIGHT("0000"&amp;$B835,4)&amp;"/"&amp;RIGHT("00"&amp;$C835,2)&amp;"/"&amp;RIGHT("00"&amp;$D835,2)))</f>
        <v/>
      </c>
      <c r="F835">
        <f>IF(OR($E835="",$E835="نامعتبر"),"",LEFT($E835,4)&amp;"/"&amp;MID($E835,6,2))</f>
        <v/>
      </c>
      <c r="G835">
        <f>IF(OR($E835="",$E835="نامعتبر",Sync!$Y832=""),"",Sync!$Y832)</f>
        <v/>
      </c>
      <c r="H835">
        <f>IF($G835="","",IF(Sync!$X832="","",Sync!$X832))</f>
        <v/>
      </c>
      <c r="I835">
        <f>IF($G835="","",IFERROR(VLOOKUP(Sync!$X832,OpTbl,3,0),""))</f>
        <v/>
      </c>
      <c r="J835">
        <f>IF(OR($G835="",Sync!$Z832=""),"",Sync!$Z832)</f>
        <v/>
      </c>
      <c r="K835">
        <f>IF(OR($G835="",Sync!$AA832=""),"",Sync!$AA832)</f>
        <v/>
      </c>
      <c r="L835">
        <f>IF($G835="",0,IF(Sync!$AB832="",0,Sync!$AB832))</f>
        <v/>
      </c>
      <c r="M835">
        <f>IF($G835="",0,IF(Sync!$AC832="",0,Sync!$AC832))</f>
        <v/>
      </c>
      <c r="N835">
        <f>IF($G835="","",IF($H835="مرجوعی خرید",-1,1)*($L835-$M835*IFERROR(VLOOKUP("P01",ParamTbl,3,0),1.5))*(1-IF($I835="خرید",IFERROR(VLOOKUP("P02",ParamTbl,3,0),1),0)/100))</f>
        <v/>
      </c>
      <c r="O835">
        <f>IF($G835="",0,IF($H835="مرجوعی خرید",-1,1)*IF(Sync!$AD832="",0,Sync!$AD832))</f>
        <v/>
      </c>
      <c r="P835">
        <f>IF(OR($G835="",Sync!$W832=""),"",Sync!$W832)</f>
        <v/>
      </c>
      <c r="Q835">
        <f>IF(OR($G835="",Sync!$AE832=""),"",Sync!$AE832)</f>
        <v/>
      </c>
      <c r="R835">
        <f>IF($G835="","",IF(Sync!$V832="","0000",IF(AND(ISNUMBER(Sync!$V832),Sync!$V832&gt;=0,Sync!$V832&lt;1),RIGHT("00"&amp;HOUR(Sync!$V832),2)&amp;RIGHT("00"&amp;MINUTE(Sync!$V832),2),IFERROR(RIGHT("00"&amp;VALUE(LEFT(Sync!$V832,FIND(":",Sync!$V832)-1)),2)&amp;RIGHT("00"&amp;VALUE(MID(Sync!$V832,FIND(":",Sync!$V832)+1,2)),2),"0000"))))</f>
        <v/>
      </c>
    </row>
    <row r="836">
      <c r="A836">
        <f>IF(Sync!$U833="","",Sync!$U833)</f>
        <v/>
      </c>
      <c r="B836">
        <f>IF($A836="","",IF(ISNUMBER($A836),IF(AND($A836&gt;=10000101,$A836&lt;=99991231),INT($A836/10000),""),IFERROR(VALUE(TRIM(LEFT($A836,FIND("/",$A836)-1))),"")))</f>
        <v/>
      </c>
      <c r="C836">
        <f>IF(OR($A836="",$B836=""),"",IF(ISNUMBER($A836),INT(MOD($A836,10000)/100),IFERROR(VALUE(TRIM(LEFT(MID($A836,FIND("/",$A836)+1,20),FIND("/",MID($A836,FIND("/",$A836)+1,20))-1))),"")))</f>
        <v/>
      </c>
      <c r="D836">
        <f>IF(OR($A836="",$B836=""),"",IF(ISNUMBER($A836),MOD($A836,100),IFERROR(VALUE(TRIM(MID(MID($A836,FIND("/",$A836)+1,20),FIND("/",MID($A836,FIND("/",$A836)+1,20))+1,20))),"")))</f>
        <v/>
      </c>
      <c r="E836">
        <f>IF($A836="","",IF(OR($B836="",$C836="",$D836="",$B836&lt;1300,$B836&gt;1500,$C836&lt;1,$C836&gt;12,$D836&lt;1,$D836&gt;31),"نامعتبر",RIGHT("0000"&amp;$B836,4)&amp;"/"&amp;RIGHT("00"&amp;$C836,2)&amp;"/"&amp;RIGHT("00"&amp;$D836,2)))</f>
        <v/>
      </c>
      <c r="F836">
        <f>IF(OR($E836="",$E836="نامعتبر"),"",LEFT($E836,4)&amp;"/"&amp;MID($E836,6,2))</f>
        <v/>
      </c>
      <c r="G836">
        <f>IF(OR($E836="",$E836="نامعتبر",Sync!$Y833=""),"",Sync!$Y833)</f>
        <v/>
      </c>
      <c r="H836">
        <f>IF($G836="","",IF(Sync!$X833="","",Sync!$X833))</f>
        <v/>
      </c>
      <c r="I836">
        <f>IF($G836="","",IFERROR(VLOOKUP(Sync!$X833,OpTbl,3,0),""))</f>
        <v/>
      </c>
      <c r="J836">
        <f>IF(OR($G836="",Sync!$Z833=""),"",Sync!$Z833)</f>
        <v/>
      </c>
      <c r="K836">
        <f>IF(OR($G836="",Sync!$AA833=""),"",Sync!$AA833)</f>
        <v/>
      </c>
      <c r="L836">
        <f>IF($G836="",0,IF(Sync!$AB833="",0,Sync!$AB833))</f>
        <v/>
      </c>
      <c r="M836">
        <f>IF($G836="",0,IF(Sync!$AC833="",0,Sync!$AC833))</f>
        <v/>
      </c>
      <c r="N836">
        <f>IF($G836="","",IF($H836="مرجوعی خرید",-1,1)*($L836-$M836*IFERROR(VLOOKUP("P01",ParamTbl,3,0),1.5))*(1-IF($I836="خرید",IFERROR(VLOOKUP("P02",ParamTbl,3,0),1),0)/100))</f>
        <v/>
      </c>
      <c r="O836">
        <f>IF($G836="",0,IF($H836="مرجوعی خرید",-1,1)*IF(Sync!$AD833="",0,Sync!$AD833))</f>
        <v/>
      </c>
      <c r="P836">
        <f>IF(OR($G836="",Sync!$W833=""),"",Sync!$W833)</f>
        <v/>
      </c>
      <c r="Q836">
        <f>IF(OR($G836="",Sync!$AE833=""),"",Sync!$AE833)</f>
        <v/>
      </c>
      <c r="R836">
        <f>IF($G836="","",IF(Sync!$V833="","0000",IF(AND(ISNUMBER(Sync!$V833),Sync!$V833&gt;=0,Sync!$V833&lt;1),RIGHT("00"&amp;HOUR(Sync!$V833),2)&amp;RIGHT("00"&amp;MINUTE(Sync!$V833),2),IFERROR(RIGHT("00"&amp;VALUE(LEFT(Sync!$V833,FIND(":",Sync!$V833)-1)),2)&amp;RIGHT("00"&amp;VALUE(MID(Sync!$V833,FIND(":",Sync!$V833)+1,2)),2),"0000"))))</f>
        <v/>
      </c>
    </row>
    <row r="837">
      <c r="A837">
        <f>IF(Sync!$U834="","",Sync!$U834)</f>
        <v/>
      </c>
      <c r="B837">
        <f>IF($A837="","",IF(ISNUMBER($A837),IF(AND($A837&gt;=10000101,$A837&lt;=99991231),INT($A837/10000),""),IFERROR(VALUE(TRIM(LEFT($A837,FIND("/",$A837)-1))),"")))</f>
        <v/>
      </c>
      <c r="C837">
        <f>IF(OR($A837="",$B837=""),"",IF(ISNUMBER($A837),INT(MOD($A837,10000)/100),IFERROR(VALUE(TRIM(LEFT(MID($A837,FIND("/",$A837)+1,20),FIND("/",MID($A837,FIND("/",$A837)+1,20))-1))),"")))</f>
        <v/>
      </c>
      <c r="D837">
        <f>IF(OR($A837="",$B837=""),"",IF(ISNUMBER($A837),MOD($A837,100),IFERROR(VALUE(TRIM(MID(MID($A837,FIND("/",$A837)+1,20),FIND("/",MID($A837,FIND("/",$A837)+1,20))+1,20))),"")))</f>
        <v/>
      </c>
      <c r="E837">
        <f>IF($A837="","",IF(OR($B837="",$C837="",$D837="",$B837&lt;1300,$B837&gt;1500,$C837&lt;1,$C837&gt;12,$D837&lt;1,$D837&gt;31),"نامعتبر",RIGHT("0000"&amp;$B837,4)&amp;"/"&amp;RIGHT("00"&amp;$C837,2)&amp;"/"&amp;RIGHT("00"&amp;$D837,2)))</f>
        <v/>
      </c>
      <c r="F837">
        <f>IF(OR($E837="",$E837="نامعتبر"),"",LEFT($E837,4)&amp;"/"&amp;MID($E837,6,2))</f>
        <v/>
      </c>
      <c r="G837">
        <f>IF(OR($E837="",$E837="نامعتبر",Sync!$Y834=""),"",Sync!$Y834)</f>
        <v/>
      </c>
      <c r="H837">
        <f>IF($G837="","",IF(Sync!$X834="","",Sync!$X834))</f>
        <v/>
      </c>
      <c r="I837">
        <f>IF($G837="","",IFERROR(VLOOKUP(Sync!$X834,OpTbl,3,0),""))</f>
        <v/>
      </c>
      <c r="J837">
        <f>IF(OR($G837="",Sync!$Z834=""),"",Sync!$Z834)</f>
        <v/>
      </c>
      <c r="K837">
        <f>IF(OR($G837="",Sync!$AA834=""),"",Sync!$AA834)</f>
        <v/>
      </c>
      <c r="L837">
        <f>IF($G837="",0,IF(Sync!$AB834="",0,Sync!$AB834))</f>
        <v/>
      </c>
      <c r="M837">
        <f>IF($G837="",0,IF(Sync!$AC834="",0,Sync!$AC834))</f>
        <v/>
      </c>
      <c r="N837">
        <f>IF($G837="","",IF($H837="مرجوعی خرید",-1,1)*($L837-$M837*IFERROR(VLOOKUP("P01",ParamTbl,3,0),1.5))*(1-IF($I837="خرید",IFERROR(VLOOKUP("P02",ParamTbl,3,0),1),0)/100))</f>
        <v/>
      </c>
      <c r="O837">
        <f>IF($G837="",0,IF($H837="مرجوعی خرید",-1,1)*IF(Sync!$AD834="",0,Sync!$AD834))</f>
        <v/>
      </c>
      <c r="P837">
        <f>IF(OR($G837="",Sync!$W834=""),"",Sync!$W834)</f>
        <v/>
      </c>
      <c r="Q837">
        <f>IF(OR($G837="",Sync!$AE834=""),"",Sync!$AE834)</f>
        <v/>
      </c>
      <c r="R837">
        <f>IF($G837="","",IF(Sync!$V834="","0000",IF(AND(ISNUMBER(Sync!$V834),Sync!$V834&gt;=0,Sync!$V834&lt;1),RIGHT("00"&amp;HOUR(Sync!$V834),2)&amp;RIGHT("00"&amp;MINUTE(Sync!$V834),2),IFERROR(RIGHT("00"&amp;VALUE(LEFT(Sync!$V834,FIND(":",Sync!$V834)-1)),2)&amp;RIGHT("00"&amp;VALUE(MID(Sync!$V834,FIND(":",Sync!$V834)+1,2)),2),"0000"))))</f>
        <v/>
      </c>
    </row>
    <row r="838">
      <c r="A838">
        <f>IF(Sync!$U835="","",Sync!$U835)</f>
        <v/>
      </c>
      <c r="B838">
        <f>IF($A838="","",IF(ISNUMBER($A838),IF(AND($A838&gt;=10000101,$A838&lt;=99991231),INT($A838/10000),""),IFERROR(VALUE(TRIM(LEFT($A838,FIND("/",$A838)-1))),"")))</f>
        <v/>
      </c>
      <c r="C838">
        <f>IF(OR($A838="",$B838=""),"",IF(ISNUMBER($A838),INT(MOD($A838,10000)/100),IFERROR(VALUE(TRIM(LEFT(MID($A838,FIND("/",$A838)+1,20),FIND("/",MID($A838,FIND("/",$A838)+1,20))-1))),"")))</f>
        <v/>
      </c>
      <c r="D838">
        <f>IF(OR($A838="",$B838=""),"",IF(ISNUMBER($A838),MOD($A838,100),IFERROR(VALUE(TRIM(MID(MID($A838,FIND("/",$A838)+1,20),FIND("/",MID($A838,FIND("/",$A838)+1,20))+1,20))),"")))</f>
        <v/>
      </c>
      <c r="E838">
        <f>IF($A838="","",IF(OR($B838="",$C838="",$D838="",$B838&lt;1300,$B838&gt;1500,$C838&lt;1,$C838&gt;12,$D838&lt;1,$D838&gt;31),"نامعتبر",RIGHT("0000"&amp;$B838,4)&amp;"/"&amp;RIGHT("00"&amp;$C838,2)&amp;"/"&amp;RIGHT("00"&amp;$D838,2)))</f>
        <v/>
      </c>
      <c r="F838">
        <f>IF(OR($E838="",$E838="نامعتبر"),"",LEFT($E838,4)&amp;"/"&amp;MID($E838,6,2))</f>
        <v/>
      </c>
      <c r="G838">
        <f>IF(OR($E838="",$E838="نامعتبر",Sync!$Y835=""),"",Sync!$Y835)</f>
        <v/>
      </c>
      <c r="H838">
        <f>IF($G838="","",IF(Sync!$X835="","",Sync!$X835))</f>
        <v/>
      </c>
      <c r="I838">
        <f>IF($G838="","",IFERROR(VLOOKUP(Sync!$X835,OpTbl,3,0),""))</f>
        <v/>
      </c>
      <c r="J838">
        <f>IF(OR($G838="",Sync!$Z835=""),"",Sync!$Z835)</f>
        <v/>
      </c>
      <c r="K838">
        <f>IF(OR($G838="",Sync!$AA835=""),"",Sync!$AA835)</f>
        <v/>
      </c>
      <c r="L838">
        <f>IF($G838="",0,IF(Sync!$AB835="",0,Sync!$AB835))</f>
        <v/>
      </c>
      <c r="M838">
        <f>IF($G838="",0,IF(Sync!$AC835="",0,Sync!$AC835))</f>
        <v/>
      </c>
      <c r="N838">
        <f>IF($G838="","",IF($H838="مرجوعی خرید",-1,1)*($L838-$M838*IFERROR(VLOOKUP("P01",ParamTbl,3,0),1.5))*(1-IF($I838="خرید",IFERROR(VLOOKUP("P02",ParamTbl,3,0),1),0)/100))</f>
        <v/>
      </c>
      <c r="O838">
        <f>IF($G838="",0,IF($H838="مرجوعی خرید",-1,1)*IF(Sync!$AD835="",0,Sync!$AD835))</f>
        <v/>
      </c>
      <c r="P838">
        <f>IF(OR($G838="",Sync!$W835=""),"",Sync!$W835)</f>
        <v/>
      </c>
      <c r="Q838">
        <f>IF(OR($G838="",Sync!$AE835=""),"",Sync!$AE835)</f>
        <v/>
      </c>
      <c r="R838">
        <f>IF($G838="","",IF(Sync!$V835="","0000",IF(AND(ISNUMBER(Sync!$V835),Sync!$V835&gt;=0,Sync!$V835&lt;1),RIGHT("00"&amp;HOUR(Sync!$V835),2)&amp;RIGHT("00"&amp;MINUTE(Sync!$V835),2),IFERROR(RIGHT("00"&amp;VALUE(LEFT(Sync!$V835,FIND(":",Sync!$V835)-1)),2)&amp;RIGHT("00"&amp;VALUE(MID(Sync!$V835,FIND(":",Sync!$V835)+1,2)),2),"0000"))))</f>
        <v/>
      </c>
    </row>
    <row r="839">
      <c r="A839">
        <f>IF(Sync!$U836="","",Sync!$U836)</f>
        <v/>
      </c>
      <c r="B839">
        <f>IF($A839="","",IF(ISNUMBER($A839),IF(AND($A839&gt;=10000101,$A839&lt;=99991231),INT($A839/10000),""),IFERROR(VALUE(TRIM(LEFT($A839,FIND("/",$A839)-1))),"")))</f>
        <v/>
      </c>
      <c r="C839">
        <f>IF(OR($A839="",$B839=""),"",IF(ISNUMBER($A839),INT(MOD($A839,10000)/100),IFERROR(VALUE(TRIM(LEFT(MID($A839,FIND("/",$A839)+1,20),FIND("/",MID($A839,FIND("/",$A839)+1,20))-1))),"")))</f>
        <v/>
      </c>
      <c r="D839">
        <f>IF(OR($A839="",$B839=""),"",IF(ISNUMBER($A839),MOD($A839,100),IFERROR(VALUE(TRIM(MID(MID($A839,FIND("/",$A839)+1,20),FIND("/",MID($A839,FIND("/",$A839)+1,20))+1,20))),"")))</f>
        <v/>
      </c>
      <c r="E839">
        <f>IF($A839="","",IF(OR($B839="",$C839="",$D839="",$B839&lt;1300,$B839&gt;1500,$C839&lt;1,$C839&gt;12,$D839&lt;1,$D839&gt;31),"نامعتبر",RIGHT("0000"&amp;$B839,4)&amp;"/"&amp;RIGHT("00"&amp;$C839,2)&amp;"/"&amp;RIGHT("00"&amp;$D839,2)))</f>
        <v/>
      </c>
      <c r="F839">
        <f>IF(OR($E839="",$E839="نامعتبر"),"",LEFT($E839,4)&amp;"/"&amp;MID($E839,6,2))</f>
        <v/>
      </c>
      <c r="G839">
        <f>IF(OR($E839="",$E839="نامعتبر",Sync!$Y836=""),"",Sync!$Y836)</f>
        <v/>
      </c>
      <c r="H839">
        <f>IF($G839="","",IF(Sync!$X836="","",Sync!$X836))</f>
        <v/>
      </c>
      <c r="I839">
        <f>IF($G839="","",IFERROR(VLOOKUP(Sync!$X836,OpTbl,3,0),""))</f>
        <v/>
      </c>
      <c r="J839">
        <f>IF(OR($G839="",Sync!$Z836=""),"",Sync!$Z836)</f>
        <v/>
      </c>
      <c r="K839">
        <f>IF(OR($G839="",Sync!$AA836=""),"",Sync!$AA836)</f>
        <v/>
      </c>
      <c r="L839">
        <f>IF($G839="",0,IF(Sync!$AB836="",0,Sync!$AB836))</f>
        <v/>
      </c>
      <c r="M839">
        <f>IF($G839="",0,IF(Sync!$AC836="",0,Sync!$AC836))</f>
        <v/>
      </c>
      <c r="N839">
        <f>IF($G839="","",IF($H839="مرجوعی خرید",-1,1)*($L839-$M839*IFERROR(VLOOKUP("P01",ParamTbl,3,0),1.5))*(1-IF($I839="خرید",IFERROR(VLOOKUP("P02",ParamTbl,3,0),1),0)/100))</f>
        <v/>
      </c>
      <c r="O839">
        <f>IF($G839="",0,IF($H839="مرجوعی خرید",-1,1)*IF(Sync!$AD836="",0,Sync!$AD836))</f>
        <v/>
      </c>
      <c r="P839">
        <f>IF(OR($G839="",Sync!$W836=""),"",Sync!$W836)</f>
        <v/>
      </c>
      <c r="Q839">
        <f>IF(OR($G839="",Sync!$AE836=""),"",Sync!$AE836)</f>
        <v/>
      </c>
      <c r="R839">
        <f>IF($G839="","",IF(Sync!$V836="","0000",IF(AND(ISNUMBER(Sync!$V836),Sync!$V836&gt;=0,Sync!$V836&lt;1),RIGHT("00"&amp;HOUR(Sync!$V836),2)&amp;RIGHT("00"&amp;MINUTE(Sync!$V836),2),IFERROR(RIGHT("00"&amp;VALUE(LEFT(Sync!$V836,FIND(":",Sync!$V836)-1)),2)&amp;RIGHT("00"&amp;VALUE(MID(Sync!$V836,FIND(":",Sync!$V836)+1,2)),2),"0000"))))</f>
        <v/>
      </c>
    </row>
    <row r="840">
      <c r="A840">
        <f>IF(Sync!$U837="","",Sync!$U837)</f>
        <v/>
      </c>
      <c r="B840">
        <f>IF($A840="","",IF(ISNUMBER($A840),IF(AND($A840&gt;=10000101,$A840&lt;=99991231),INT($A840/10000),""),IFERROR(VALUE(TRIM(LEFT($A840,FIND("/",$A840)-1))),"")))</f>
        <v/>
      </c>
      <c r="C840">
        <f>IF(OR($A840="",$B840=""),"",IF(ISNUMBER($A840),INT(MOD($A840,10000)/100),IFERROR(VALUE(TRIM(LEFT(MID($A840,FIND("/",$A840)+1,20),FIND("/",MID($A840,FIND("/",$A840)+1,20))-1))),"")))</f>
        <v/>
      </c>
      <c r="D840">
        <f>IF(OR($A840="",$B840=""),"",IF(ISNUMBER($A840),MOD($A840,100),IFERROR(VALUE(TRIM(MID(MID($A840,FIND("/",$A840)+1,20),FIND("/",MID($A840,FIND("/",$A840)+1,20))+1,20))),"")))</f>
        <v/>
      </c>
      <c r="E840">
        <f>IF($A840="","",IF(OR($B840="",$C840="",$D840="",$B840&lt;1300,$B840&gt;1500,$C840&lt;1,$C840&gt;12,$D840&lt;1,$D840&gt;31),"نامعتبر",RIGHT("0000"&amp;$B840,4)&amp;"/"&amp;RIGHT("00"&amp;$C840,2)&amp;"/"&amp;RIGHT("00"&amp;$D840,2)))</f>
        <v/>
      </c>
      <c r="F840">
        <f>IF(OR($E840="",$E840="نامعتبر"),"",LEFT($E840,4)&amp;"/"&amp;MID($E840,6,2))</f>
        <v/>
      </c>
      <c r="G840">
        <f>IF(OR($E840="",$E840="نامعتبر",Sync!$Y837=""),"",Sync!$Y837)</f>
        <v/>
      </c>
      <c r="H840">
        <f>IF($G840="","",IF(Sync!$X837="","",Sync!$X837))</f>
        <v/>
      </c>
      <c r="I840">
        <f>IF($G840="","",IFERROR(VLOOKUP(Sync!$X837,OpTbl,3,0),""))</f>
        <v/>
      </c>
      <c r="J840">
        <f>IF(OR($G840="",Sync!$Z837=""),"",Sync!$Z837)</f>
        <v/>
      </c>
      <c r="K840">
        <f>IF(OR($G840="",Sync!$AA837=""),"",Sync!$AA837)</f>
        <v/>
      </c>
      <c r="L840">
        <f>IF($G840="",0,IF(Sync!$AB837="",0,Sync!$AB837))</f>
        <v/>
      </c>
      <c r="M840">
        <f>IF($G840="",0,IF(Sync!$AC837="",0,Sync!$AC837))</f>
        <v/>
      </c>
      <c r="N840">
        <f>IF($G840="","",IF($H840="مرجوعی خرید",-1,1)*($L840-$M840*IFERROR(VLOOKUP("P01",ParamTbl,3,0),1.5))*(1-IF($I840="خرید",IFERROR(VLOOKUP("P02",ParamTbl,3,0),1),0)/100))</f>
        <v/>
      </c>
      <c r="O840">
        <f>IF($G840="",0,IF($H840="مرجوعی خرید",-1,1)*IF(Sync!$AD837="",0,Sync!$AD837))</f>
        <v/>
      </c>
      <c r="P840">
        <f>IF(OR($G840="",Sync!$W837=""),"",Sync!$W837)</f>
        <v/>
      </c>
      <c r="Q840">
        <f>IF(OR($G840="",Sync!$AE837=""),"",Sync!$AE837)</f>
        <v/>
      </c>
      <c r="R840">
        <f>IF($G840="","",IF(Sync!$V837="","0000",IF(AND(ISNUMBER(Sync!$V837),Sync!$V837&gt;=0,Sync!$V837&lt;1),RIGHT("00"&amp;HOUR(Sync!$V837),2)&amp;RIGHT("00"&amp;MINUTE(Sync!$V837),2),IFERROR(RIGHT("00"&amp;VALUE(LEFT(Sync!$V837,FIND(":",Sync!$V837)-1)),2)&amp;RIGHT("00"&amp;VALUE(MID(Sync!$V837,FIND(":",Sync!$V837)+1,2)),2),"0000"))))</f>
        <v/>
      </c>
    </row>
    <row r="841">
      <c r="A841">
        <f>IF(Sync!$U838="","",Sync!$U838)</f>
        <v/>
      </c>
      <c r="B841">
        <f>IF($A841="","",IF(ISNUMBER($A841),IF(AND($A841&gt;=10000101,$A841&lt;=99991231),INT($A841/10000),""),IFERROR(VALUE(TRIM(LEFT($A841,FIND("/",$A841)-1))),"")))</f>
        <v/>
      </c>
      <c r="C841">
        <f>IF(OR($A841="",$B841=""),"",IF(ISNUMBER($A841),INT(MOD($A841,10000)/100),IFERROR(VALUE(TRIM(LEFT(MID($A841,FIND("/",$A841)+1,20),FIND("/",MID($A841,FIND("/",$A841)+1,20))-1))),"")))</f>
        <v/>
      </c>
      <c r="D841">
        <f>IF(OR($A841="",$B841=""),"",IF(ISNUMBER($A841),MOD($A841,100),IFERROR(VALUE(TRIM(MID(MID($A841,FIND("/",$A841)+1,20),FIND("/",MID($A841,FIND("/",$A841)+1,20))+1,20))),"")))</f>
        <v/>
      </c>
      <c r="E841">
        <f>IF($A841="","",IF(OR($B841="",$C841="",$D841="",$B841&lt;1300,$B841&gt;1500,$C841&lt;1,$C841&gt;12,$D841&lt;1,$D841&gt;31),"نامعتبر",RIGHT("0000"&amp;$B841,4)&amp;"/"&amp;RIGHT("00"&amp;$C841,2)&amp;"/"&amp;RIGHT("00"&amp;$D841,2)))</f>
        <v/>
      </c>
      <c r="F841">
        <f>IF(OR($E841="",$E841="نامعتبر"),"",LEFT($E841,4)&amp;"/"&amp;MID($E841,6,2))</f>
        <v/>
      </c>
      <c r="G841">
        <f>IF(OR($E841="",$E841="نامعتبر",Sync!$Y838=""),"",Sync!$Y838)</f>
        <v/>
      </c>
      <c r="H841">
        <f>IF($G841="","",IF(Sync!$X838="","",Sync!$X838))</f>
        <v/>
      </c>
      <c r="I841">
        <f>IF($G841="","",IFERROR(VLOOKUP(Sync!$X838,OpTbl,3,0),""))</f>
        <v/>
      </c>
      <c r="J841">
        <f>IF(OR($G841="",Sync!$Z838=""),"",Sync!$Z838)</f>
        <v/>
      </c>
      <c r="K841">
        <f>IF(OR($G841="",Sync!$AA838=""),"",Sync!$AA838)</f>
        <v/>
      </c>
      <c r="L841">
        <f>IF($G841="",0,IF(Sync!$AB838="",0,Sync!$AB838))</f>
        <v/>
      </c>
      <c r="M841">
        <f>IF($G841="",0,IF(Sync!$AC838="",0,Sync!$AC838))</f>
        <v/>
      </c>
      <c r="N841">
        <f>IF($G841="","",IF($H841="مرجوعی خرید",-1,1)*($L841-$M841*IFERROR(VLOOKUP("P01",ParamTbl,3,0),1.5))*(1-IF($I841="خرید",IFERROR(VLOOKUP("P02",ParamTbl,3,0),1),0)/100))</f>
        <v/>
      </c>
      <c r="O841">
        <f>IF($G841="",0,IF($H841="مرجوعی خرید",-1,1)*IF(Sync!$AD838="",0,Sync!$AD838))</f>
        <v/>
      </c>
      <c r="P841">
        <f>IF(OR($G841="",Sync!$W838=""),"",Sync!$W838)</f>
        <v/>
      </c>
      <c r="Q841">
        <f>IF(OR($G841="",Sync!$AE838=""),"",Sync!$AE838)</f>
        <v/>
      </c>
      <c r="R841">
        <f>IF($G841="","",IF(Sync!$V838="","0000",IF(AND(ISNUMBER(Sync!$V838),Sync!$V838&gt;=0,Sync!$V838&lt;1),RIGHT("00"&amp;HOUR(Sync!$V838),2)&amp;RIGHT("00"&amp;MINUTE(Sync!$V838),2),IFERROR(RIGHT("00"&amp;VALUE(LEFT(Sync!$V838,FIND(":",Sync!$V838)-1)),2)&amp;RIGHT("00"&amp;VALUE(MID(Sync!$V838,FIND(":",Sync!$V838)+1,2)),2),"0000"))))</f>
        <v/>
      </c>
    </row>
    <row r="842">
      <c r="A842">
        <f>IF(Sync!$U839="","",Sync!$U839)</f>
        <v/>
      </c>
      <c r="B842">
        <f>IF($A842="","",IF(ISNUMBER($A842),IF(AND($A842&gt;=10000101,$A842&lt;=99991231),INT($A842/10000),""),IFERROR(VALUE(TRIM(LEFT($A842,FIND("/",$A842)-1))),"")))</f>
        <v/>
      </c>
      <c r="C842">
        <f>IF(OR($A842="",$B842=""),"",IF(ISNUMBER($A842),INT(MOD($A842,10000)/100),IFERROR(VALUE(TRIM(LEFT(MID($A842,FIND("/",$A842)+1,20),FIND("/",MID($A842,FIND("/",$A842)+1,20))-1))),"")))</f>
        <v/>
      </c>
      <c r="D842">
        <f>IF(OR($A842="",$B842=""),"",IF(ISNUMBER($A842),MOD($A842,100),IFERROR(VALUE(TRIM(MID(MID($A842,FIND("/",$A842)+1,20),FIND("/",MID($A842,FIND("/",$A842)+1,20))+1,20))),"")))</f>
        <v/>
      </c>
      <c r="E842">
        <f>IF($A842="","",IF(OR($B842="",$C842="",$D842="",$B842&lt;1300,$B842&gt;1500,$C842&lt;1,$C842&gt;12,$D842&lt;1,$D842&gt;31),"نامعتبر",RIGHT("0000"&amp;$B842,4)&amp;"/"&amp;RIGHT("00"&amp;$C842,2)&amp;"/"&amp;RIGHT("00"&amp;$D842,2)))</f>
        <v/>
      </c>
      <c r="F842">
        <f>IF(OR($E842="",$E842="نامعتبر"),"",LEFT($E842,4)&amp;"/"&amp;MID($E842,6,2))</f>
        <v/>
      </c>
      <c r="G842">
        <f>IF(OR($E842="",$E842="نامعتبر",Sync!$Y839=""),"",Sync!$Y839)</f>
        <v/>
      </c>
      <c r="H842">
        <f>IF($G842="","",IF(Sync!$X839="","",Sync!$X839))</f>
        <v/>
      </c>
      <c r="I842">
        <f>IF($G842="","",IFERROR(VLOOKUP(Sync!$X839,OpTbl,3,0),""))</f>
        <v/>
      </c>
      <c r="J842">
        <f>IF(OR($G842="",Sync!$Z839=""),"",Sync!$Z839)</f>
        <v/>
      </c>
      <c r="K842">
        <f>IF(OR($G842="",Sync!$AA839=""),"",Sync!$AA839)</f>
        <v/>
      </c>
      <c r="L842">
        <f>IF($G842="",0,IF(Sync!$AB839="",0,Sync!$AB839))</f>
        <v/>
      </c>
      <c r="M842">
        <f>IF($G842="",0,IF(Sync!$AC839="",0,Sync!$AC839))</f>
        <v/>
      </c>
      <c r="N842">
        <f>IF($G842="","",IF($H842="مرجوعی خرید",-1,1)*($L842-$M842*IFERROR(VLOOKUP("P01",ParamTbl,3,0),1.5))*(1-IF($I842="خرید",IFERROR(VLOOKUP("P02",ParamTbl,3,0),1),0)/100))</f>
        <v/>
      </c>
      <c r="O842">
        <f>IF($G842="",0,IF($H842="مرجوعی خرید",-1,1)*IF(Sync!$AD839="",0,Sync!$AD839))</f>
        <v/>
      </c>
      <c r="P842">
        <f>IF(OR($G842="",Sync!$W839=""),"",Sync!$W839)</f>
        <v/>
      </c>
      <c r="Q842">
        <f>IF(OR($G842="",Sync!$AE839=""),"",Sync!$AE839)</f>
        <v/>
      </c>
      <c r="R842">
        <f>IF($G842="","",IF(Sync!$V839="","0000",IF(AND(ISNUMBER(Sync!$V839),Sync!$V839&gt;=0,Sync!$V839&lt;1),RIGHT("00"&amp;HOUR(Sync!$V839),2)&amp;RIGHT("00"&amp;MINUTE(Sync!$V839),2),IFERROR(RIGHT("00"&amp;VALUE(LEFT(Sync!$V839,FIND(":",Sync!$V839)-1)),2)&amp;RIGHT("00"&amp;VALUE(MID(Sync!$V839,FIND(":",Sync!$V839)+1,2)),2),"0000"))))</f>
        <v/>
      </c>
    </row>
    <row r="843">
      <c r="A843">
        <f>IF(Sync!$U840="","",Sync!$U840)</f>
        <v/>
      </c>
      <c r="B843">
        <f>IF($A843="","",IF(ISNUMBER($A843),IF(AND($A843&gt;=10000101,$A843&lt;=99991231),INT($A843/10000),""),IFERROR(VALUE(TRIM(LEFT($A843,FIND("/",$A843)-1))),"")))</f>
        <v/>
      </c>
      <c r="C843">
        <f>IF(OR($A843="",$B843=""),"",IF(ISNUMBER($A843),INT(MOD($A843,10000)/100),IFERROR(VALUE(TRIM(LEFT(MID($A843,FIND("/",$A843)+1,20),FIND("/",MID($A843,FIND("/",$A843)+1,20))-1))),"")))</f>
        <v/>
      </c>
      <c r="D843">
        <f>IF(OR($A843="",$B843=""),"",IF(ISNUMBER($A843),MOD($A843,100),IFERROR(VALUE(TRIM(MID(MID($A843,FIND("/",$A843)+1,20),FIND("/",MID($A843,FIND("/",$A843)+1,20))+1,20))),"")))</f>
        <v/>
      </c>
      <c r="E843">
        <f>IF($A843="","",IF(OR($B843="",$C843="",$D843="",$B843&lt;1300,$B843&gt;1500,$C843&lt;1,$C843&gt;12,$D843&lt;1,$D843&gt;31),"نامعتبر",RIGHT("0000"&amp;$B843,4)&amp;"/"&amp;RIGHT("00"&amp;$C843,2)&amp;"/"&amp;RIGHT("00"&amp;$D843,2)))</f>
        <v/>
      </c>
      <c r="F843">
        <f>IF(OR($E843="",$E843="نامعتبر"),"",LEFT($E843,4)&amp;"/"&amp;MID($E843,6,2))</f>
        <v/>
      </c>
      <c r="G843">
        <f>IF(OR($E843="",$E843="نامعتبر",Sync!$Y840=""),"",Sync!$Y840)</f>
        <v/>
      </c>
      <c r="H843">
        <f>IF($G843="","",IF(Sync!$X840="","",Sync!$X840))</f>
        <v/>
      </c>
      <c r="I843">
        <f>IF($G843="","",IFERROR(VLOOKUP(Sync!$X840,OpTbl,3,0),""))</f>
        <v/>
      </c>
      <c r="J843">
        <f>IF(OR($G843="",Sync!$Z840=""),"",Sync!$Z840)</f>
        <v/>
      </c>
      <c r="K843">
        <f>IF(OR($G843="",Sync!$AA840=""),"",Sync!$AA840)</f>
        <v/>
      </c>
      <c r="L843">
        <f>IF($G843="",0,IF(Sync!$AB840="",0,Sync!$AB840))</f>
        <v/>
      </c>
      <c r="M843">
        <f>IF($G843="",0,IF(Sync!$AC840="",0,Sync!$AC840))</f>
        <v/>
      </c>
      <c r="N843">
        <f>IF($G843="","",IF($H843="مرجوعی خرید",-1,1)*($L843-$M843*IFERROR(VLOOKUP("P01",ParamTbl,3,0),1.5))*(1-IF($I843="خرید",IFERROR(VLOOKUP("P02",ParamTbl,3,0),1),0)/100))</f>
        <v/>
      </c>
      <c r="O843">
        <f>IF($G843="",0,IF($H843="مرجوعی خرید",-1,1)*IF(Sync!$AD840="",0,Sync!$AD840))</f>
        <v/>
      </c>
      <c r="P843">
        <f>IF(OR($G843="",Sync!$W840=""),"",Sync!$W840)</f>
        <v/>
      </c>
      <c r="Q843">
        <f>IF(OR($G843="",Sync!$AE840=""),"",Sync!$AE840)</f>
        <v/>
      </c>
      <c r="R843">
        <f>IF($G843="","",IF(Sync!$V840="","0000",IF(AND(ISNUMBER(Sync!$V840),Sync!$V840&gt;=0,Sync!$V840&lt;1),RIGHT("00"&amp;HOUR(Sync!$V840),2)&amp;RIGHT("00"&amp;MINUTE(Sync!$V840),2),IFERROR(RIGHT("00"&amp;VALUE(LEFT(Sync!$V840,FIND(":",Sync!$V840)-1)),2)&amp;RIGHT("00"&amp;VALUE(MID(Sync!$V840,FIND(":",Sync!$V840)+1,2)),2),"0000"))))</f>
        <v/>
      </c>
    </row>
    <row r="844">
      <c r="A844">
        <f>IF(Sync!$U841="","",Sync!$U841)</f>
        <v/>
      </c>
      <c r="B844">
        <f>IF($A844="","",IF(ISNUMBER($A844),IF(AND($A844&gt;=10000101,$A844&lt;=99991231),INT($A844/10000),""),IFERROR(VALUE(TRIM(LEFT($A844,FIND("/",$A844)-1))),"")))</f>
        <v/>
      </c>
      <c r="C844">
        <f>IF(OR($A844="",$B844=""),"",IF(ISNUMBER($A844),INT(MOD($A844,10000)/100),IFERROR(VALUE(TRIM(LEFT(MID($A844,FIND("/",$A844)+1,20),FIND("/",MID($A844,FIND("/",$A844)+1,20))-1))),"")))</f>
        <v/>
      </c>
      <c r="D844">
        <f>IF(OR($A844="",$B844=""),"",IF(ISNUMBER($A844),MOD($A844,100),IFERROR(VALUE(TRIM(MID(MID($A844,FIND("/",$A844)+1,20),FIND("/",MID($A844,FIND("/",$A844)+1,20))+1,20))),"")))</f>
        <v/>
      </c>
      <c r="E844">
        <f>IF($A844="","",IF(OR($B844="",$C844="",$D844="",$B844&lt;1300,$B844&gt;1500,$C844&lt;1,$C844&gt;12,$D844&lt;1,$D844&gt;31),"نامعتبر",RIGHT("0000"&amp;$B844,4)&amp;"/"&amp;RIGHT("00"&amp;$C844,2)&amp;"/"&amp;RIGHT("00"&amp;$D844,2)))</f>
        <v/>
      </c>
      <c r="F844">
        <f>IF(OR($E844="",$E844="نامعتبر"),"",LEFT($E844,4)&amp;"/"&amp;MID($E844,6,2))</f>
        <v/>
      </c>
      <c r="G844">
        <f>IF(OR($E844="",$E844="نامعتبر",Sync!$Y841=""),"",Sync!$Y841)</f>
        <v/>
      </c>
      <c r="H844">
        <f>IF($G844="","",IF(Sync!$X841="","",Sync!$X841))</f>
        <v/>
      </c>
      <c r="I844">
        <f>IF($G844="","",IFERROR(VLOOKUP(Sync!$X841,OpTbl,3,0),""))</f>
        <v/>
      </c>
      <c r="J844">
        <f>IF(OR($G844="",Sync!$Z841=""),"",Sync!$Z841)</f>
        <v/>
      </c>
      <c r="K844">
        <f>IF(OR($G844="",Sync!$AA841=""),"",Sync!$AA841)</f>
        <v/>
      </c>
      <c r="L844">
        <f>IF($G844="",0,IF(Sync!$AB841="",0,Sync!$AB841))</f>
        <v/>
      </c>
      <c r="M844">
        <f>IF($G844="",0,IF(Sync!$AC841="",0,Sync!$AC841))</f>
        <v/>
      </c>
      <c r="N844">
        <f>IF($G844="","",IF($H844="مرجوعی خرید",-1,1)*($L844-$M844*IFERROR(VLOOKUP("P01",ParamTbl,3,0),1.5))*(1-IF($I844="خرید",IFERROR(VLOOKUP("P02",ParamTbl,3,0),1),0)/100))</f>
        <v/>
      </c>
      <c r="O844">
        <f>IF($G844="",0,IF($H844="مرجوعی خرید",-1,1)*IF(Sync!$AD841="",0,Sync!$AD841))</f>
        <v/>
      </c>
      <c r="P844">
        <f>IF(OR($G844="",Sync!$W841=""),"",Sync!$W841)</f>
        <v/>
      </c>
      <c r="Q844">
        <f>IF(OR($G844="",Sync!$AE841=""),"",Sync!$AE841)</f>
        <v/>
      </c>
      <c r="R844">
        <f>IF($G844="","",IF(Sync!$V841="","0000",IF(AND(ISNUMBER(Sync!$V841),Sync!$V841&gt;=0,Sync!$V841&lt;1),RIGHT("00"&amp;HOUR(Sync!$V841),2)&amp;RIGHT("00"&amp;MINUTE(Sync!$V841),2),IFERROR(RIGHT("00"&amp;VALUE(LEFT(Sync!$V841,FIND(":",Sync!$V841)-1)),2)&amp;RIGHT("00"&amp;VALUE(MID(Sync!$V841,FIND(":",Sync!$V841)+1,2)),2),"0000"))))</f>
        <v/>
      </c>
    </row>
    <row r="845">
      <c r="A845">
        <f>IF(Sync!$U842="","",Sync!$U842)</f>
        <v/>
      </c>
      <c r="B845">
        <f>IF($A845="","",IF(ISNUMBER($A845),IF(AND($A845&gt;=10000101,$A845&lt;=99991231),INT($A845/10000),""),IFERROR(VALUE(TRIM(LEFT($A845,FIND("/",$A845)-1))),"")))</f>
        <v/>
      </c>
      <c r="C845">
        <f>IF(OR($A845="",$B845=""),"",IF(ISNUMBER($A845),INT(MOD($A845,10000)/100),IFERROR(VALUE(TRIM(LEFT(MID($A845,FIND("/",$A845)+1,20),FIND("/",MID($A845,FIND("/",$A845)+1,20))-1))),"")))</f>
        <v/>
      </c>
      <c r="D845">
        <f>IF(OR($A845="",$B845=""),"",IF(ISNUMBER($A845),MOD($A845,100),IFERROR(VALUE(TRIM(MID(MID($A845,FIND("/",$A845)+1,20),FIND("/",MID($A845,FIND("/",$A845)+1,20))+1,20))),"")))</f>
        <v/>
      </c>
      <c r="E845">
        <f>IF($A845="","",IF(OR($B845="",$C845="",$D845="",$B845&lt;1300,$B845&gt;1500,$C845&lt;1,$C845&gt;12,$D845&lt;1,$D845&gt;31),"نامعتبر",RIGHT("0000"&amp;$B845,4)&amp;"/"&amp;RIGHT("00"&amp;$C845,2)&amp;"/"&amp;RIGHT("00"&amp;$D845,2)))</f>
        <v/>
      </c>
      <c r="F845">
        <f>IF(OR($E845="",$E845="نامعتبر"),"",LEFT($E845,4)&amp;"/"&amp;MID($E845,6,2))</f>
        <v/>
      </c>
      <c r="G845">
        <f>IF(OR($E845="",$E845="نامعتبر",Sync!$Y842=""),"",Sync!$Y842)</f>
        <v/>
      </c>
      <c r="H845">
        <f>IF($G845="","",IF(Sync!$X842="","",Sync!$X842))</f>
        <v/>
      </c>
      <c r="I845">
        <f>IF($G845="","",IFERROR(VLOOKUP(Sync!$X842,OpTbl,3,0),""))</f>
        <v/>
      </c>
      <c r="J845">
        <f>IF(OR($G845="",Sync!$Z842=""),"",Sync!$Z842)</f>
        <v/>
      </c>
      <c r="K845">
        <f>IF(OR($G845="",Sync!$AA842=""),"",Sync!$AA842)</f>
        <v/>
      </c>
      <c r="L845">
        <f>IF($G845="",0,IF(Sync!$AB842="",0,Sync!$AB842))</f>
        <v/>
      </c>
      <c r="M845">
        <f>IF($G845="",0,IF(Sync!$AC842="",0,Sync!$AC842))</f>
        <v/>
      </c>
      <c r="N845">
        <f>IF($G845="","",IF($H845="مرجوعی خرید",-1,1)*($L845-$M845*IFERROR(VLOOKUP("P01",ParamTbl,3,0),1.5))*(1-IF($I845="خرید",IFERROR(VLOOKUP("P02",ParamTbl,3,0),1),0)/100))</f>
        <v/>
      </c>
      <c r="O845">
        <f>IF($G845="",0,IF($H845="مرجوعی خرید",-1,1)*IF(Sync!$AD842="",0,Sync!$AD842))</f>
        <v/>
      </c>
      <c r="P845">
        <f>IF(OR($G845="",Sync!$W842=""),"",Sync!$W842)</f>
        <v/>
      </c>
      <c r="Q845">
        <f>IF(OR($G845="",Sync!$AE842=""),"",Sync!$AE842)</f>
        <v/>
      </c>
      <c r="R845">
        <f>IF($G845="","",IF(Sync!$V842="","0000",IF(AND(ISNUMBER(Sync!$V842),Sync!$V842&gt;=0,Sync!$V842&lt;1),RIGHT("00"&amp;HOUR(Sync!$V842),2)&amp;RIGHT("00"&amp;MINUTE(Sync!$V842),2),IFERROR(RIGHT("00"&amp;VALUE(LEFT(Sync!$V842,FIND(":",Sync!$V842)-1)),2)&amp;RIGHT("00"&amp;VALUE(MID(Sync!$V842,FIND(":",Sync!$V842)+1,2)),2),"0000"))))</f>
        <v/>
      </c>
    </row>
    <row r="846">
      <c r="A846">
        <f>IF(Sync!$U843="","",Sync!$U843)</f>
        <v/>
      </c>
      <c r="B846">
        <f>IF($A846="","",IF(ISNUMBER($A846),IF(AND($A846&gt;=10000101,$A846&lt;=99991231),INT($A846/10000),""),IFERROR(VALUE(TRIM(LEFT($A846,FIND("/",$A846)-1))),"")))</f>
        <v/>
      </c>
      <c r="C846">
        <f>IF(OR($A846="",$B846=""),"",IF(ISNUMBER($A846),INT(MOD($A846,10000)/100),IFERROR(VALUE(TRIM(LEFT(MID($A846,FIND("/",$A846)+1,20),FIND("/",MID($A846,FIND("/",$A846)+1,20))-1))),"")))</f>
        <v/>
      </c>
      <c r="D846">
        <f>IF(OR($A846="",$B846=""),"",IF(ISNUMBER($A846),MOD($A846,100),IFERROR(VALUE(TRIM(MID(MID($A846,FIND("/",$A846)+1,20),FIND("/",MID($A846,FIND("/",$A846)+1,20))+1,20))),"")))</f>
        <v/>
      </c>
      <c r="E846">
        <f>IF($A846="","",IF(OR($B846="",$C846="",$D846="",$B846&lt;1300,$B846&gt;1500,$C846&lt;1,$C846&gt;12,$D846&lt;1,$D846&gt;31),"نامعتبر",RIGHT("0000"&amp;$B846,4)&amp;"/"&amp;RIGHT("00"&amp;$C846,2)&amp;"/"&amp;RIGHT("00"&amp;$D846,2)))</f>
        <v/>
      </c>
      <c r="F846">
        <f>IF(OR($E846="",$E846="نامعتبر"),"",LEFT($E846,4)&amp;"/"&amp;MID($E846,6,2))</f>
        <v/>
      </c>
      <c r="G846">
        <f>IF(OR($E846="",$E846="نامعتبر",Sync!$Y843=""),"",Sync!$Y843)</f>
        <v/>
      </c>
      <c r="H846">
        <f>IF($G846="","",IF(Sync!$X843="","",Sync!$X843))</f>
        <v/>
      </c>
      <c r="I846">
        <f>IF($G846="","",IFERROR(VLOOKUP(Sync!$X843,OpTbl,3,0),""))</f>
        <v/>
      </c>
      <c r="J846">
        <f>IF(OR($G846="",Sync!$Z843=""),"",Sync!$Z843)</f>
        <v/>
      </c>
      <c r="K846">
        <f>IF(OR($G846="",Sync!$AA843=""),"",Sync!$AA843)</f>
        <v/>
      </c>
      <c r="L846">
        <f>IF($G846="",0,IF(Sync!$AB843="",0,Sync!$AB843))</f>
        <v/>
      </c>
      <c r="M846">
        <f>IF($G846="",0,IF(Sync!$AC843="",0,Sync!$AC843))</f>
        <v/>
      </c>
      <c r="N846">
        <f>IF($G846="","",IF($H846="مرجوعی خرید",-1,1)*($L846-$M846*IFERROR(VLOOKUP("P01",ParamTbl,3,0),1.5))*(1-IF($I846="خرید",IFERROR(VLOOKUP("P02",ParamTbl,3,0),1),0)/100))</f>
        <v/>
      </c>
      <c r="O846">
        <f>IF($G846="",0,IF($H846="مرجوعی خرید",-1,1)*IF(Sync!$AD843="",0,Sync!$AD843))</f>
        <v/>
      </c>
      <c r="P846">
        <f>IF(OR($G846="",Sync!$W843=""),"",Sync!$W843)</f>
        <v/>
      </c>
      <c r="Q846">
        <f>IF(OR($G846="",Sync!$AE843=""),"",Sync!$AE843)</f>
        <v/>
      </c>
      <c r="R846">
        <f>IF($G846="","",IF(Sync!$V843="","0000",IF(AND(ISNUMBER(Sync!$V843),Sync!$V843&gt;=0,Sync!$V843&lt;1),RIGHT("00"&amp;HOUR(Sync!$V843),2)&amp;RIGHT("00"&amp;MINUTE(Sync!$V843),2),IFERROR(RIGHT("00"&amp;VALUE(LEFT(Sync!$V843,FIND(":",Sync!$V843)-1)),2)&amp;RIGHT("00"&amp;VALUE(MID(Sync!$V843,FIND(":",Sync!$V843)+1,2)),2),"0000"))))</f>
        <v/>
      </c>
    </row>
    <row r="847">
      <c r="A847">
        <f>IF(Sync!$U844="","",Sync!$U844)</f>
        <v/>
      </c>
      <c r="B847">
        <f>IF($A847="","",IF(ISNUMBER($A847),IF(AND($A847&gt;=10000101,$A847&lt;=99991231),INT($A847/10000),""),IFERROR(VALUE(TRIM(LEFT($A847,FIND("/",$A847)-1))),"")))</f>
        <v/>
      </c>
      <c r="C847">
        <f>IF(OR($A847="",$B847=""),"",IF(ISNUMBER($A847),INT(MOD($A847,10000)/100),IFERROR(VALUE(TRIM(LEFT(MID($A847,FIND("/",$A847)+1,20),FIND("/",MID($A847,FIND("/",$A847)+1,20))-1))),"")))</f>
        <v/>
      </c>
      <c r="D847">
        <f>IF(OR($A847="",$B847=""),"",IF(ISNUMBER($A847),MOD($A847,100),IFERROR(VALUE(TRIM(MID(MID($A847,FIND("/",$A847)+1,20),FIND("/",MID($A847,FIND("/",$A847)+1,20))+1,20))),"")))</f>
        <v/>
      </c>
      <c r="E847">
        <f>IF($A847="","",IF(OR($B847="",$C847="",$D847="",$B847&lt;1300,$B847&gt;1500,$C847&lt;1,$C847&gt;12,$D847&lt;1,$D847&gt;31),"نامعتبر",RIGHT("0000"&amp;$B847,4)&amp;"/"&amp;RIGHT("00"&amp;$C847,2)&amp;"/"&amp;RIGHT("00"&amp;$D847,2)))</f>
        <v/>
      </c>
      <c r="F847">
        <f>IF(OR($E847="",$E847="نامعتبر"),"",LEFT($E847,4)&amp;"/"&amp;MID($E847,6,2))</f>
        <v/>
      </c>
      <c r="G847">
        <f>IF(OR($E847="",$E847="نامعتبر",Sync!$Y844=""),"",Sync!$Y844)</f>
        <v/>
      </c>
      <c r="H847">
        <f>IF($G847="","",IF(Sync!$X844="","",Sync!$X844))</f>
        <v/>
      </c>
      <c r="I847">
        <f>IF($G847="","",IFERROR(VLOOKUP(Sync!$X844,OpTbl,3,0),""))</f>
        <v/>
      </c>
      <c r="J847">
        <f>IF(OR($G847="",Sync!$Z844=""),"",Sync!$Z844)</f>
        <v/>
      </c>
      <c r="K847">
        <f>IF(OR($G847="",Sync!$AA844=""),"",Sync!$AA844)</f>
        <v/>
      </c>
      <c r="L847">
        <f>IF($G847="",0,IF(Sync!$AB844="",0,Sync!$AB844))</f>
        <v/>
      </c>
      <c r="M847">
        <f>IF($G847="",0,IF(Sync!$AC844="",0,Sync!$AC844))</f>
        <v/>
      </c>
      <c r="N847">
        <f>IF($G847="","",IF($H847="مرجوعی خرید",-1,1)*($L847-$M847*IFERROR(VLOOKUP("P01",ParamTbl,3,0),1.5))*(1-IF($I847="خرید",IFERROR(VLOOKUP("P02",ParamTbl,3,0),1),0)/100))</f>
        <v/>
      </c>
      <c r="O847">
        <f>IF($G847="",0,IF($H847="مرجوعی خرید",-1,1)*IF(Sync!$AD844="",0,Sync!$AD844))</f>
        <v/>
      </c>
      <c r="P847">
        <f>IF(OR($G847="",Sync!$W844=""),"",Sync!$W844)</f>
        <v/>
      </c>
      <c r="Q847">
        <f>IF(OR($G847="",Sync!$AE844=""),"",Sync!$AE844)</f>
        <v/>
      </c>
      <c r="R847">
        <f>IF($G847="","",IF(Sync!$V844="","0000",IF(AND(ISNUMBER(Sync!$V844),Sync!$V844&gt;=0,Sync!$V844&lt;1),RIGHT("00"&amp;HOUR(Sync!$V844),2)&amp;RIGHT("00"&amp;MINUTE(Sync!$V844),2),IFERROR(RIGHT("00"&amp;VALUE(LEFT(Sync!$V844,FIND(":",Sync!$V844)-1)),2)&amp;RIGHT("00"&amp;VALUE(MID(Sync!$V844,FIND(":",Sync!$V844)+1,2)),2),"0000"))))</f>
        <v/>
      </c>
    </row>
    <row r="848">
      <c r="A848">
        <f>IF(Sync!$U845="","",Sync!$U845)</f>
        <v/>
      </c>
      <c r="B848">
        <f>IF($A848="","",IF(ISNUMBER($A848),IF(AND($A848&gt;=10000101,$A848&lt;=99991231),INT($A848/10000),""),IFERROR(VALUE(TRIM(LEFT($A848,FIND("/",$A848)-1))),"")))</f>
        <v/>
      </c>
      <c r="C848">
        <f>IF(OR($A848="",$B848=""),"",IF(ISNUMBER($A848),INT(MOD($A848,10000)/100),IFERROR(VALUE(TRIM(LEFT(MID($A848,FIND("/",$A848)+1,20),FIND("/",MID($A848,FIND("/",$A848)+1,20))-1))),"")))</f>
        <v/>
      </c>
      <c r="D848">
        <f>IF(OR($A848="",$B848=""),"",IF(ISNUMBER($A848),MOD($A848,100),IFERROR(VALUE(TRIM(MID(MID($A848,FIND("/",$A848)+1,20),FIND("/",MID($A848,FIND("/",$A848)+1,20))+1,20))),"")))</f>
        <v/>
      </c>
      <c r="E848">
        <f>IF($A848="","",IF(OR($B848="",$C848="",$D848="",$B848&lt;1300,$B848&gt;1500,$C848&lt;1,$C848&gt;12,$D848&lt;1,$D848&gt;31),"نامعتبر",RIGHT("0000"&amp;$B848,4)&amp;"/"&amp;RIGHT("00"&amp;$C848,2)&amp;"/"&amp;RIGHT("00"&amp;$D848,2)))</f>
        <v/>
      </c>
      <c r="F848">
        <f>IF(OR($E848="",$E848="نامعتبر"),"",LEFT($E848,4)&amp;"/"&amp;MID($E848,6,2))</f>
        <v/>
      </c>
      <c r="G848">
        <f>IF(OR($E848="",$E848="نامعتبر",Sync!$Y845=""),"",Sync!$Y845)</f>
        <v/>
      </c>
      <c r="H848">
        <f>IF($G848="","",IF(Sync!$X845="","",Sync!$X845))</f>
        <v/>
      </c>
      <c r="I848">
        <f>IF($G848="","",IFERROR(VLOOKUP(Sync!$X845,OpTbl,3,0),""))</f>
        <v/>
      </c>
      <c r="J848">
        <f>IF(OR($G848="",Sync!$Z845=""),"",Sync!$Z845)</f>
        <v/>
      </c>
      <c r="K848">
        <f>IF(OR($G848="",Sync!$AA845=""),"",Sync!$AA845)</f>
        <v/>
      </c>
      <c r="L848">
        <f>IF($G848="",0,IF(Sync!$AB845="",0,Sync!$AB845))</f>
        <v/>
      </c>
      <c r="M848">
        <f>IF($G848="",0,IF(Sync!$AC845="",0,Sync!$AC845))</f>
        <v/>
      </c>
      <c r="N848">
        <f>IF($G848="","",IF($H848="مرجوعی خرید",-1,1)*($L848-$M848*IFERROR(VLOOKUP("P01",ParamTbl,3,0),1.5))*(1-IF($I848="خرید",IFERROR(VLOOKUP("P02",ParamTbl,3,0),1),0)/100))</f>
        <v/>
      </c>
      <c r="O848">
        <f>IF($G848="",0,IF($H848="مرجوعی خرید",-1,1)*IF(Sync!$AD845="",0,Sync!$AD845))</f>
        <v/>
      </c>
      <c r="P848">
        <f>IF(OR($G848="",Sync!$W845=""),"",Sync!$W845)</f>
        <v/>
      </c>
      <c r="Q848">
        <f>IF(OR($G848="",Sync!$AE845=""),"",Sync!$AE845)</f>
        <v/>
      </c>
      <c r="R848">
        <f>IF($G848="","",IF(Sync!$V845="","0000",IF(AND(ISNUMBER(Sync!$V845),Sync!$V845&gt;=0,Sync!$V845&lt;1),RIGHT("00"&amp;HOUR(Sync!$V845),2)&amp;RIGHT("00"&amp;MINUTE(Sync!$V845),2),IFERROR(RIGHT("00"&amp;VALUE(LEFT(Sync!$V845,FIND(":",Sync!$V845)-1)),2)&amp;RIGHT("00"&amp;VALUE(MID(Sync!$V845,FIND(":",Sync!$V845)+1,2)),2),"0000"))))</f>
        <v/>
      </c>
    </row>
    <row r="849">
      <c r="A849">
        <f>IF(Sync!$U846="","",Sync!$U846)</f>
        <v/>
      </c>
      <c r="B849">
        <f>IF($A849="","",IF(ISNUMBER($A849),IF(AND($A849&gt;=10000101,$A849&lt;=99991231),INT($A849/10000),""),IFERROR(VALUE(TRIM(LEFT($A849,FIND("/",$A849)-1))),"")))</f>
        <v/>
      </c>
      <c r="C849">
        <f>IF(OR($A849="",$B849=""),"",IF(ISNUMBER($A849),INT(MOD($A849,10000)/100),IFERROR(VALUE(TRIM(LEFT(MID($A849,FIND("/",$A849)+1,20),FIND("/",MID($A849,FIND("/",$A849)+1,20))-1))),"")))</f>
        <v/>
      </c>
      <c r="D849">
        <f>IF(OR($A849="",$B849=""),"",IF(ISNUMBER($A849),MOD($A849,100),IFERROR(VALUE(TRIM(MID(MID($A849,FIND("/",$A849)+1,20),FIND("/",MID($A849,FIND("/",$A849)+1,20))+1,20))),"")))</f>
        <v/>
      </c>
      <c r="E849">
        <f>IF($A849="","",IF(OR($B849="",$C849="",$D849="",$B849&lt;1300,$B849&gt;1500,$C849&lt;1,$C849&gt;12,$D849&lt;1,$D849&gt;31),"نامعتبر",RIGHT("0000"&amp;$B849,4)&amp;"/"&amp;RIGHT("00"&amp;$C849,2)&amp;"/"&amp;RIGHT("00"&amp;$D849,2)))</f>
        <v/>
      </c>
      <c r="F849">
        <f>IF(OR($E849="",$E849="نامعتبر"),"",LEFT($E849,4)&amp;"/"&amp;MID($E849,6,2))</f>
        <v/>
      </c>
      <c r="G849">
        <f>IF(OR($E849="",$E849="نامعتبر",Sync!$Y846=""),"",Sync!$Y846)</f>
        <v/>
      </c>
      <c r="H849">
        <f>IF($G849="","",IF(Sync!$X846="","",Sync!$X846))</f>
        <v/>
      </c>
      <c r="I849">
        <f>IF($G849="","",IFERROR(VLOOKUP(Sync!$X846,OpTbl,3,0),""))</f>
        <v/>
      </c>
      <c r="J849">
        <f>IF(OR($G849="",Sync!$Z846=""),"",Sync!$Z846)</f>
        <v/>
      </c>
      <c r="K849">
        <f>IF(OR($G849="",Sync!$AA846=""),"",Sync!$AA846)</f>
        <v/>
      </c>
      <c r="L849">
        <f>IF($G849="",0,IF(Sync!$AB846="",0,Sync!$AB846))</f>
        <v/>
      </c>
      <c r="M849">
        <f>IF($G849="",0,IF(Sync!$AC846="",0,Sync!$AC846))</f>
        <v/>
      </c>
      <c r="N849">
        <f>IF($G849="","",IF($H849="مرجوعی خرید",-1,1)*($L849-$M849*IFERROR(VLOOKUP("P01",ParamTbl,3,0),1.5))*(1-IF($I849="خرید",IFERROR(VLOOKUP("P02",ParamTbl,3,0),1),0)/100))</f>
        <v/>
      </c>
      <c r="O849">
        <f>IF($G849="",0,IF($H849="مرجوعی خرید",-1,1)*IF(Sync!$AD846="",0,Sync!$AD846))</f>
        <v/>
      </c>
      <c r="P849">
        <f>IF(OR($G849="",Sync!$W846=""),"",Sync!$W846)</f>
        <v/>
      </c>
      <c r="Q849">
        <f>IF(OR($G849="",Sync!$AE846=""),"",Sync!$AE846)</f>
        <v/>
      </c>
      <c r="R849">
        <f>IF($G849="","",IF(Sync!$V846="","0000",IF(AND(ISNUMBER(Sync!$V846),Sync!$V846&gt;=0,Sync!$V846&lt;1),RIGHT("00"&amp;HOUR(Sync!$V846),2)&amp;RIGHT("00"&amp;MINUTE(Sync!$V846),2),IFERROR(RIGHT("00"&amp;VALUE(LEFT(Sync!$V846,FIND(":",Sync!$V846)-1)),2)&amp;RIGHT("00"&amp;VALUE(MID(Sync!$V846,FIND(":",Sync!$V846)+1,2)),2),"0000"))))</f>
        <v/>
      </c>
    </row>
    <row r="850">
      <c r="A850">
        <f>IF(Sync!$U847="","",Sync!$U847)</f>
        <v/>
      </c>
      <c r="B850">
        <f>IF($A850="","",IF(ISNUMBER($A850),IF(AND($A850&gt;=10000101,$A850&lt;=99991231),INT($A850/10000),""),IFERROR(VALUE(TRIM(LEFT($A850,FIND("/",$A850)-1))),"")))</f>
        <v/>
      </c>
      <c r="C850">
        <f>IF(OR($A850="",$B850=""),"",IF(ISNUMBER($A850),INT(MOD($A850,10000)/100),IFERROR(VALUE(TRIM(LEFT(MID($A850,FIND("/",$A850)+1,20),FIND("/",MID($A850,FIND("/",$A850)+1,20))-1))),"")))</f>
        <v/>
      </c>
      <c r="D850">
        <f>IF(OR($A850="",$B850=""),"",IF(ISNUMBER($A850),MOD($A850,100),IFERROR(VALUE(TRIM(MID(MID($A850,FIND("/",$A850)+1,20),FIND("/",MID($A850,FIND("/",$A850)+1,20))+1,20))),"")))</f>
        <v/>
      </c>
      <c r="E850">
        <f>IF($A850="","",IF(OR($B850="",$C850="",$D850="",$B850&lt;1300,$B850&gt;1500,$C850&lt;1,$C850&gt;12,$D850&lt;1,$D850&gt;31),"نامعتبر",RIGHT("0000"&amp;$B850,4)&amp;"/"&amp;RIGHT("00"&amp;$C850,2)&amp;"/"&amp;RIGHT("00"&amp;$D850,2)))</f>
        <v/>
      </c>
      <c r="F850">
        <f>IF(OR($E850="",$E850="نامعتبر"),"",LEFT($E850,4)&amp;"/"&amp;MID($E850,6,2))</f>
        <v/>
      </c>
      <c r="G850">
        <f>IF(OR($E850="",$E850="نامعتبر",Sync!$Y847=""),"",Sync!$Y847)</f>
        <v/>
      </c>
      <c r="H850">
        <f>IF($G850="","",IF(Sync!$X847="","",Sync!$X847))</f>
        <v/>
      </c>
      <c r="I850">
        <f>IF($G850="","",IFERROR(VLOOKUP(Sync!$X847,OpTbl,3,0),""))</f>
        <v/>
      </c>
      <c r="J850">
        <f>IF(OR($G850="",Sync!$Z847=""),"",Sync!$Z847)</f>
        <v/>
      </c>
      <c r="K850">
        <f>IF(OR($G850="",Sync!$AA847=""),"",Sync!$AA847)</f>
        <v/>
      </c>
      <c r="L850">
        <f>IF($G850="",0,IF(Sync!$AB847="",0,Sync!$AB847))</f>
        <v/>
      </c>
      <c r="M850">
        <f>IF($G850="",0,IF(Sync!$AC847="",0,Sync!$AC847))</f>
        <v/>
      </c>
      <c r="N850">
        <f>IF($G850="","",IF($H850="مرجوعی خرید",-1,1)*($L850-$M850*IFERROR(VLOOKUP("P01",ParamTbl,3,0),1.5))*(1-IF($I850="خرید",IFERROR(VLOOKUP("P02",ParamTbl,3,0),1),0)/100))</f>
        <v/>
      </c>
      <c r="O850">
        <f>IF($G850="",0,IF($H850="مرجوعی خرید",-1,1)*IF(Sync!$AD847="",0,Sync!$AD847))</f>
        <v/>
      </c>
      <c r="P850">
        <f>IF(OR($G850="",Sync!$W847=""),"",Sync!$W847)</f>
        <v/>
      </c>
      <c r="Q850">
        <f>IF(OR($G850="",Sync!$AE847=""),"",Sync!$AE847)</f>
        <v/>
      </c>
      <c r="R850">
        <f>IF($G850="","",IF(Sync!$V847="","0000",IF(AND(ISNUMBER(Sync!$V847),Sync!$V847&gt;=0,Sync!$V847&lt;1),RIGHT("00"&amp;HOUR(Sync!$V847),2)&amp;RIGHT("00"&amp;MINUTE(Sync!$V847),2),IFERROR(RIGHT("00"&amp;VALUE(LEFT(Sync!$V847,FIND(":",Sync!$V847)-1)),2)&amp;RIGHT("00"&amp;VALUE(MID(Sync!$V847,FIND(":",Sync!$V847)+1,2)),2),"0000"))))</f>
        <v/>
      </c>
    </row>
    <row r="851">
      <c r="A851">
        <f>IF(Sync!$U848="","",Sync!$U848)</f>
        <v/>
      </c>
      <c r="B851">
        <f>IF($A851="","",IF(ISNUMBER($A851),IF(AND($A851&gt;=10000101,$A851&lt;=99991231),INT($A851/10000),""),IFERROR(VALUE(TRIM(LEFT($A851,FIND("/",$A851)-1))),"")))</f>
        <v/>
      </c>
      <c r="C851">
        <f>IF(OR($A851="",$B851=""),"",IF(ISNUMBER($A851),INT(MOD($A851,10000)/100),IFERROR(VALUE(TRIM(LEFT(MID($A851,FIND("/",$A851)+1,20),FIND("/",MID($A851,FIND("/",$A851)+1,20))-1))),"")))</f>
        <v/>
      </c>
      <c r="D851">
        <f>IF(OR($A851="",$B851=""),"",IF(ISNUMBER($A851),MOD($A851,100),IFERROR(VALUE(TRIM(MID(MID($A851,FIND("/",$A851)+1,20),FIND("/",MID($A851,FIND("/",$A851)+1,20))+1,20))),"")))</f>
        <v/>
      </c>
      <c r="E851">
        <f>IF($A851="","",IF(OR($B851="",$C851="",$D851="",$B851&lt;1300,$B851&gt;1500,$C851&lt;1,$C851&gt;12,$D851&lt;1,$D851&gt;31),"نامعتبر",RIGHT("0000"&amp;$B851,4)&amp;"/"&amp;RIGHT("00"&amp;$C851,2)&amp;"/"&amp;RIGHT("00"&amp;$D851,2)))</f>
        <v/>
      </c>
      <c r="F851">
        <f>IF(OR($E851="",$E851="نامعتبر"),"",LEFT($E851,4)&amp;"/"&amp;MID($E851,6,2))</f>
        <v/>
      </c>
      <c r="G851">
        <f>IF(OR($E851="",$E851="نامعتبر",Sync!$Y848=""),"",Sync!$Y848)</f>
        <v/>
      </c>
      <c r="H851">
        <f>IF($G851="","",IF(Sync!$X848="","",Sync!$X848))</f>
        <v/>
      </c>
      <c r="I851">
        <f>IF($G851="","",IFERROR(VLOOKUP(Sync!$X848,OpTbl,3,0),""))</f>
        <v/>
      </c>
      <c r="J851">
        <f>IF(OR($G851="",Sync!$Z848=""),"",Sync!$Z848)</f>
        <v/>
      </c>
      <c r="K851">
        <f>IF(OR($G851="",Sync!$AA848=""),"",Sync!$AA848)</f>
        <v/>
      </c>
      <c r="L851">
        <f>IF($G851="",0,IF(Sync!$AB848="",0,Sync!$AB848))</f>
        <v/>
      </c>
      <c r="M851">
        <f>IF($G851="",0,IF(Sync!$AC848="",0,Sync!$AC848))</f>
        <v/>
      </c>
      <c r="N851">
        <f>IF($G851="","",IF($H851="مرجوعی خرید",-1,1)*($L851-$M851*IFERROR(VLOOKUP("P01",ParamTbl,3,0),1.5))*(1-IF($I851="خرید",IFERROR(VLOOKUP("P02",ParamTbl,3,0),1),0)/100))</f>
        <v/>
      </c>
      <c r="O851">
        <f>IF($G851="",0,IF($H851="مرجوعی خرید",-1,1)*IF(Sync!$AD848="",0,Sync!$AD848))</f>
        <v/>
      </c>
      <c r="P851">
        <f>IF(OR($G851="",Sync!$W848=""),"",Sync!$W848)</f>
        <v/>
      </c>
      <c r="Q851">
        <f>IF(OR($G851="",Sync!$AE848=""),"",Sync!$AE848)</f>
        <v/>
      </c>
      <c r="R851">
        <f>IF($G851="","",IF(Sync!$V848="","0000",IF(AND(ISNUMBER(Sync!$V848),Sync!$V848&gt;=0,Sync!$V848&lt;1),RIGHT("00"&amp;HOUR(Sync!$V848),2)&amp;RIGHT("00"&amp;MINUTE(Sync!$V848),2),IFERROR(RIGHT("00"&amp;VALUE(LEFT(Sync!$V848,FIND(":",Sync!$V848)-1)),2)&amp;RIGHT("00"&amp;VALUE(MID(Sync!$V848,FIND(":",Sync!$V848)+1,2)),2),"0000"))))</f>
        <v/>
      </c>
    </row>
    <row r="852">
      <c r="A852">
        <f>IF(Sync!$U849="","",Sync!$U849)</f>
        <v/>
      </c>
      <c r="B852">
        <f>IF($A852="","",IF(ISNUMBER($A852),IF(AND($A852&gt;=10000101,$A852&lt;=99991231),INT($A852/10000),""),IFERROR(VALUE(TRIM(LEFT($A852,FIND("/",$A852)-1))),"")))</f>
        <v/>
      </c>
      <c r="C852">
        <f>IF(OR($A852="",$B852=""),"",IF(ISNUMBER($A852),INT(MOD($A852,10000)/100),IFERROR(VALUE(TRIM(LEFT(MID($A852,FIND("/",$A852)+1,20),FIND("/",MID($A852,FIND("/",$A852)+1,20))-1))),"")))</f>
        <v/>
      </c>
      <c r="D852">
        <f>IF(OR($A852="",$B852=""),"",IF(ISNUMBER($A852),MOD($A852,100),IFERROR(VALUE(TRIM(MID(MID($A852,FIND("/",$A852)+1,20),FIND("/",MID($A852,FIND("/",$A852)+1,20))+1,20))),"")))</f>
        <v/>
      </c>
      <c r="E852">
        <f>IF($A852="","",IF(OR($B852="",$C852="",$D852="",$B852&lt;1300,$B852&gt;1500,$C852&lt;1,$C852&gt;12,$D852&lt;1,$D852&gt;31),"نامعتبر",RIGHT("0000"&amp;$B852,4)&amp;"/"&amp;RIGHT("00"&amp;$C852,2)&amp;"/"&amp;RIGHT("00"&amp;$D852,2)))</f>
        <v/>
      </c>
      <c r="F852">
        <f>IF(OR($E852="",$E852="نامعتبر"),"",LEFT($E852,4)&amp;"/"&amp;MID($E852,6,2))</f>
        <v/>
      </c>
      <c r="G852">
        <f>IF(OR($E852="",$E852="نامعتبر",Sync!$Y849=""),"",Sync!$Y849)</f>
        <v/>
      </c>
      <c r="H852">
        <f>IF($G852="","",IF(Sync!$X849="","",Sync!$X849))</f>
        <v/>
      </c>
      <c r="I852">
        <f>IF($G852="","",IFERROR(VLOOKUP(Sync!$X849,OpTbl,3,0),""))</f>
        <v/>
      </c>
      <c r="J852">
        <f>IF(OR($G852="",Sync!$Z849=""),"",Sync!$Z849)</f>
        <v/>
      </c>
      <c r="K852">
        <f>IF(OR($G852="",Sync!$AA849=""),"",Sync!$AA849)</f>
        <v/>
      </c>
      <c r="L852">
        <f>IF($G852="",0,IF(Sync!$AB849="",0,Sync!$AB849))</f>
        <v/>
      </c>
      <c r="M852">
        <f>IF($G852="",0,IF(Sync!$AC849="",0,Sync!$AC849))</f>
        <v/>
      </c>
      <c r="N852">
        <f>IF($G852="","",IF($H852="مرجوعی خرید",-1,1)*($L852-$M852*IFERROR(VLOOKUP("P01",ParamTbl,3,0),1.5))*(1-IF($I852="خرید",IFERROR(VLOOKUP("P02",ParamTbl,3,0),1),0)/100))</f>
        <v/>
      </c>
      <c r="O852">
        <f>IF($G852="",0,IF($H852="مرجوعی خرید",-1,1)*IF(Sync!$AD849="",0,Sync!$AD849))</f>
        <v/>
      </c>
      <c r="P852">
        <f>IF(OR($G852="",Sync!$W849=""),"",Sync!$W849)</f>
        <v/>
      </c>
      <c r="Q852">
        <f>IF(OR($G852="",Sync!$AE849=""),"",Sync!$AE849)</f>
        <v/>
      </c>
      <c r="R852">
        <f>IF($G852="","",IF(Sync!$V849="","0000",IF(AND(ISNUMBER(Sync!$V849),Sync!$V849&gt;=0,Sync!$V849&lt;1),RIGHT("00"&amp;HOUR(Sync!$V849),2)&amp;RIGHT("00"&amp;MINUTE(Sync!$V849),2),IFERROR(RIGHT("00"&amp;VALUE(LEFT(Sync!$V849,FIND(":",Sync!$V849)-1)),2)&amp;RIGHT("00"&amp;VALUE(MID(Sync!$V849,FIND(":",Sync!$V849)+1,2)),2),"0000"))))</f>
        <v/>
      </c>
    </row>
    <row r="853">
      <c r="A853">
        <f>IF(Sync!$U850="","",Sync!$U850)</f>
        <v/>
      </c>
      <c r="B853">
        <f>IF($A853="","",IF(ISNUMBER($A853),IF(AND($A853&gt;=10000101,$A853&lt;=99991231),INT($A853/10000),""),IFERROR(VALUE(TRIM(LEFT($A853,FIND("/",$A853)-1))),"")))</f>
        <v/>
      </c>
      <c r="C853">
        <f>IF(OR($A853="",$B853=""),"",IF(ISNUMBER($A853),INT(MOD($A853,10000)/100),IFERROR(VALUE(TRIM(LEFT(MID($A853,FIND("/",$A853)+1,20),FIND("/",MID($A853,FIND("/",$A853)+1,20))-1))),"")))</f>
        <v/>
      </c>
      <c r="D853">
        <f>IF(OR($A853="",$B853=""),"",IF(ISNUMBER($A853),MOD($A853,100),IFERROR(VALUE(TRIM(MID(MID($A853,FIND("/",$A853)+1,20),FIND("/",MID($A853,FIND("/",$A853)+1,20))+1,20))),"")))</f>
        <v/>
      </c>
      <c r="E853">
        <f>IF($A853="","",IF(OR($B853="",$C853="",$D853="",$B853&lt;1300,$B853&gt;1500,$C853&lt;1,$C853&gt;12,$D853&lt;1,$D853&gt;31),"نامعتبر",RIGHT("0000"&amp;$B853,4)&amp;"/"&amp;RIGHT("00"&amp;$C853,2)&amp;"/"&amp;RIGHT("00"&amp;$D853,2)))</f>
        <v/>
      </c>
      <c r="F853">
        <f>IF(OR($E853="",$E853="نامعتبر"),"",LEFT($E853,4)&amp;"/"&amp;MID($E853,6,2))</f>
        <v/>
      </c>
      <c r="G853">
        <f>IF(OR($E853="",$E853="نامعتبر",Sync!$Y850=""),"",Sync!$Y850)</f>
        <v/>
      </c>
      <c r="H853">
        <f>IF($G853="","",IF(Sync!$X850="","",Sync!$X850))</f>
        <v/>
      </c>
      <c r="I853">
        <f>IF($G853="","",IFERROR(VLOOKUP(Sync!$X850,OpTbl,3,0),""))</f>
        <v/>
      </c>
      <c r="J853">
        <f>IF(OR($G853="",Sync!$Z850=""),"",Sync!$Z850)</f>
        <v/>
      </c>
      <c r="K853">
        <f>IF(OR($G853="",Sync!$AA850=""),"",Sync!$AA850)</f>
        <v/>
      </c>
      <c r="L853">
        <f>IF($G853="",0,IF(Sync!$AB850="",0,Sync!$AB850))</f>
        <v/>
      </c>
      <c r="M853">
        <f>IF($G853="",0,IF(Sync!$AC850="",0,Sync!$AC850))</f>
        <v/>
      </c>
      <c r="N853">
        <f>IF($G853="","",IF($H853="مرجوعی خرید",-1,1)*($L853-$M853*IFERROR(VLOOKUP("P01",ParamTbl,3,0),1.5))*(1-IF($I853="خرید",IFERROR(VLOOKUP("P02",ParamTbl,3,0),1),0)/100))</f>
        <v/>
      </c>
      <c r="O853">
        <f>IF($G853="",0,IF($H853="مرجوعی خرید",-1,1)*IF(Sync!$AD850="",0,Sync!$AD850))</f>
        <v/>
      </c>
      <c r="P853">
        <f>IF(OR($G853="",Sync!$W850=""),"",Sync!$W850)</f>
        <v/>
      </c>
      <c r="Q853">
        <f>IF(OR($G853="",Sync!$AE850=""),"",Sync!$AE850)</f>
        <v/>
      </c>
      <c r="R853">
        <f>IF($G853="","",IF(Sync!$V850="","0000",IF(AND(ISNUMBER(Sync!$V850),Sync!$V850&gt;=0,Sync!$V850&lt;1),RIGHT("00"&amp;HOUR(Sync!$V850),2)&amp;RIGHT("00"&amp;MINUTE(Sync!$V850),2),IFERROR(RIGHT("00"&amp;VALUE(LEFT(Sync!$V850,FIND(":",Sync!$V850)-1)),2)&amp;RIGHT("00"&amp;VALUE(MID(Sync!$V850,FIND(":",Sync!$V850)+1,2)),2),"0000"))))</f>
        <v/>
      </c>
    </row>
    <row r="854">
      <c r="A854">
        <f>IF(Sync!$U851="","",Sync!$U851)</f>
        <v/>
      </c>
      <c r="B854">
        <f>IF($A854="","",IF(ISNUMBER($A854),IF(AND($A854&gt;=10000101,$A854&lt;=99991231),INT($A854/10000),""),IFERROR(VALUE(TRIM(LEFT($A854,FIND("/",$A854)-1))),"")))</f>
        <v/>
      </c>
      <c r="C854">
        <f>IF(OR($A854="",$B854=""),"",IF(ISNUMBER($A854),INT(MOD($A854,10000)/100),IFERROR(VALUE(TRIM(LEFT(MID($A854,FIND("/",$A854)+1,20),FIND("/",MID($A854,FIND("/",$A854)+1,20))-1))),"")))</f>
        <v/>
      </c>
      <c r="D854">
        <f>IF(OR($A854="",$B854=""),"",IF(ISNUMBER($A854),MOD($A854,100),IFERROR(VALUE(TRIM(MID(MID($A854,FIND("/",$A854)+1,20),FIND("/",MID($A854,FIND("/",$A854)+1,20))+1,20))),"")))</f>
        <v/>
      </c>
      <c r="E854">
        <f>IF($A854="","",IF(OR($B854="",$C854="",$D854="",$B854&lt;1300,$B854&gt;1500,$C854&lt;1,$C854&gt;12,$D854&lt;1,$D854&gt;31),"نامعتبر",RIGHT("0000"&amp;$B854,4)&amp;"/"&amp;RIGHT("00"&amp;$C854,2)&amp;"/"&amp;RIGHT("00"&amp;$D854,2)))</f>
        <v/>
      </c>
      <c r="F854">
        <f>IF(OR($E854="",$E854="نامعتبر"),"",LEFT($E854,4)&amp;"/"&amp;MID($E854,6,2))</f>
        <v/>
      </c>
      <c r="G854">
        <f>IF(OR($E854="",$E854="نامعتبر",Sync!$Y851=""),"",Sync!$Y851)</f>
        <v/>
      </c>
      <c r="H854">
        <f>IF($G854="","",IF(Sync!$X851="","",Sync!$X851))</f>
        <v/>
      </c>
      <c r="I854">
        <f>IF($G854="","",IFERROR(VLOOKUP(Sync!$X851,OpTbl,3,0),""))</f>
        <v/>
      </c>
      <c r="J854">
        <f>IF(OR($G854="",Sync!$Z851=""),"",Sync!$Z851)</f>
        <v/>
      </c>
      <c r="K854">
        <f>IF(OR($G854="",Sync!$AA851=""),"",Sync!$AA851)</f>
        <v/>
      </c>
      <c r="L854">
        <f>IF($G854="",0,IF(Sync!$AB851="",0,Sync!$AB851))</f>
        <v/>
      </c>
      <c r="M854">
        <f>IF($G854="",0,IF(Sync!$AC851="",0,Sync!$AC851))</f>
        <v/>
      </c>
      <c r="N854">
        <f>IF($G854="","",IF($H854="مرجوعی خرید",-1,1)*($L854-$M854*IFERROR(VLOOKUP("P01",ParamTbl,3,0),1.5))*(1-IF($I854="خرید",IFERROR(VLOOKUP("P02",ParamTbl,3,0),1),0)/100))</f>
        <v/>
      </c>
      <c r="O854">
        <f>IF($G854="",0,IF($H854="مرجوعی خرید",-1,1)*IF(Sync!$AD851="",0,Sync!$AD851))</f>
        <v/>
      </c>
      <c r="P854">
        <f>IF(OR($G854="",Sync!$W851=""),"",Sync!$W851)</f>
        <v/>
      </c>
      <c r="Q854">
        <f>IF(OR($G854="",Sync!$AE851=""),"",Sync!$AE851)</f>
        <v/>
      </c>
      <c r="R854">
        <f>IF($G854="","",IF(Sync!$V851="","0000",IF(AND(ISNUMBER(Sync!$V851),Sync!$V851&gt;=0,Sync!$V851&lt;1),RIGHT("00"&amp;HOUR(Sync!$V851),2)&amp;RIGHT("00"&amp;MINUTE(Sync!$V851),2),IFERROR(RIGHT("00"&amp;VALUE(LEFT(Sync!$V851,FIND(":",Sync!$V851)-1)),2)&amp;RIGHT("00"&amp;VALUE(MID(Sync!$V851,FIND(":",Sync!$V851)+1,2)),2),"0000"))))</f>
        <v/>
      </c>
    </row>
    <row r="855">
      <c r="A855">
        <f>IF(Sync!$U852="","",Sync!$U852)</f>
        <v/>
      </c>
      <c r="B855">
        <f>IF($A855="","",IF(ISNUMBER($A855),IF(AND($A855&gt;=10000101,$A855&lt;=99991231),INT($A855/10000),""),IFERROR(VALUE(TRIM(LEFT($A855,FIND("/",$A855)-1))),"")))</f>
        <v/>
      </c>
      <c r="C855">
        <f>IF(OR($A855="",$B855=""),"",IF(ISNUMBER($A855),INT(MOD($A855,10000)/100),IFERROR(VALUE(TRIM(LEFT(MID($A855,FIND("/",$A855)+1,20),FIND("/",MID($A855,FIND("/",$A855)+1,20))-1))),"")))</f>
        <v/>
      </c>
      <c r="D855">
        <f>IF(OR($A855="",$B855=""),"",IF(ISNUMBER($A855),MOD($A855,100),IFERROR(VALUE(TRIM(MID(MID($A855,FIND("/",$A855)+1,20),FIND("/",MID($A855,FIND("/",$A855)+1,20))+1,20))),"")))</f>
        <v/>
      </c>
      <c r="E855">
        <f>IF($A855="","",IF(OR($B855="",$C855="",$D855="",$B855&lt;1300,$B855&gt;1500,$C855&lt;1,$C855&gt;12,$D855&lt;1,$D855&gt;31),"نامعتبر",RIGHT("0000"&amp;$B855,4)&amp;"/"&amp;RIGHT("00"&amp;$C855,2)&amp;"/"&amp;RIGHT("00"&amp;$D855,2)))</f>
        <v/>
      </c>
      <c r="F855">
        <f>IF(OR($E855="",$E855="نامعتبر"),"",LEFT($E855,4)&amp;"/"&amp;MID($E855,6,2))</f>
        <v/>
      </c>
      <c r="G855">
        <f>IF(OR($E855="",$E855="نامعتبر",Sync!$Y852=""),"",Sync!$Y852)</f>
        <v/>
      </c>
      <c r="H855">
        <f>IF($G855="","",IF(Sync!$X852="","",Sync!$X852))</f>
        <v/>
      </c>
      <c r="I855">
        <f>IF($G855="","",IFERROR(VLOOKUP(Sync!$X852,OpTbl,3,0),""))</f>
        <v/>
      </c>
      <c r="J855">
        <f>IF(OR($G855="",Sync!$Z852=""),"",Sync!$Z852)</f>
        <v/>
      </c>
      <c r="K855">
        <f>IF(OR($G855="",Sync!$AA852=""),"",Sync!$AA852)</f>
        <v/>
      </c>
      <c r="L855">
        <f>IF($G855="",0,IF(Sync!$AB852="",0,Sync!$AB852))</f>
        <v/>
      </c>
      <c r="M855">
        <f>IF($G855="",0,IF(Sync!$AC852="",0,Sync!$AC852))</f>
        <v/>
      </c>
      <c r="N855">
        <f>IF($G855="","",IF($H855="مرجوعی خرید",-1,1)*($L855-$M855*IFERROR(VLOOKUP("P01",ParamTbl,3,0),1.5))*(1-IF($I855="خرید",IFERROR(VLOOKUP("P02",ParamTbl,3,0),1),0)/100))</f>
        <v/>
      </c>
      <c r="O855">
        <f>IF($G855="",0,IF($H855="مرجوعی خرید",-1,1)*IF(Sync!$AD852="",0,Sync!$AD852))</f>
        <v/>
      </c>
      <c r="P855">
        <f>IF(OR($G855="",Sync!$W852=""),"",Sync!$W852)</f>
        <v/>
      </c>
      <c r="Q855">
        <f>IF(OR($G855="",Sync!$AE852=""),"",Sync!$AE852)</f>
        <v/>
      </c>
      <c r="R855">
        <f>IF($G855="","",IF(Sync!$V852="","0000",IF(AND(ISNUMBER(Sync!$V852),Sync!$V852&gt;=0,Sync!$V852&lt;1),RIGHT("00"&amp;HOUR(Sync!$V852),2)&amp;RIGHT("00"&amp;MINUTE(Sync!$V852),2),IFERROR(RIGHT("00"&amp;VALUE(LEFT(Sync!$V852,FIND(":",Sync!$V852)-1)),2)&amp;RIGHT("00"&amp;VALUE(MID(Sync!$V852,FIND(":",Sync!$V852)+1,2)),2),"0000"))))</f>
        <v/>
      </c>
    </row>
    <row r="856">
      <c r="A856">
        <f>IF(Sync!$U853="","",Sync!$U853)</f>
        <v/>
      </c>
      <c r="B856">
        <f>IF($A856="","",IF(ISNUMBER($A856),IF(AND($A856&gt;=10000101,$A856&lt;=99991231),INT($A856/10000),""),IFERROR(VALUE(TRIM(LEFT($A856,FIND("/",$A856)-1))),"")))</f>
        <v/>
      </c>
      <c r="C856">
        <f>IF(OR($A856="",$B856=""),"",IF(ISNUMBER($A856),INT(MOD($A856,10000)/100),IFERROR(VALUE(TRIM(LEFT(MID($A856,FIND("/",$A856)+1,20),FIND("/",MID($A856,FIND("/",$A856)+1,20))-1))),"")))</f>
        <v/>
      </c>
      <c r="D856">
        <f>IF(OR($A856="",$B856=""),"",IF(ISNUMBER($A856),MOD($A856,100),IFERROR(VALUE(TRIM(MID(MID($A856,FIND("/",$A856)+1,20),FIND("/",MID($A856,FIND("/",$A856)+1,20))+1,20))),"")))</f>
        <v/>
      </c>
      <c r="E856">
        <f>IF($A856="","",IF(OR($B856="",$C856="",$D856="",$B856&lt;1300,$B856&gt;1500,$C856&lt;1,$C856&gt;12,$D856&lt;1,$D856&gt;31),"نامعتبر",RIGHT("0000"&amp;$B856,4)&amp;"/"&amp;RIGHT("00"&amp;$C856,2)&amp;"/"&amp;RIGHT("00"&amp;$D856,2)))</f>
        <v/>
      </c>
      <c r="F856">
        <f>IF(OR($E856="",$E856="نامعتبر"),"",LEFT($E856,4)&amp;"/"&amp;MID($E856,6,2))</f>
        <v/>
      </c>
      <c r="G856">
        <f>IF(OR($E856="",$E856="نامعتبر",Sync!$Y853=""),"",Sync!$Y853)</f>
        <v/>
      </c>
      <c r="H856">
        <f>IF($G856="","",IF(Sync!$X853="","",Sync!$X853))</f>
        <v/>
      </c>
      <c r="I856">
        <f>IF($G856="","",IFERROR(VLOOKUP(Sync!$X853,OpTbl,3,0),""))</f>
        <v/>
      </c>
      <c r="J856">
        <f>IF(OR($G856="",Sync!$Z853=""),"",Sync!$Z853)</f>
        <v/>
      </c>
      <c r="K856">
        <f>IF(OR($G856="",Sync!$AA853=""),"",Sync!$AA853)</f>
        <v/>
      </c>
      <c r="L856">
        <f>IF($G856="",0,IF(Sync!$AB853="",0,Sync!$AB853))</f>
        <v/>
      </c>
      <c r="M856">
        <f>IF($G856="",0,IF(Sync!$AC853="",0,Sync!$AC853))</f>
        <v/>
      </c>
      <c r="N856">
        <f>IF($G856="","",IF($H856="مرجوعی خرید",-1,1)*($L856-$M856*IFERROR(VLOOKUP("P01",ParamTbl,3,0),1.5))*(1-IF($I856="خرید",IFERROR(VLOOKUP("P02",ParamTbl,3,0),1),0)/100))</f>
        <v/>
      </c>
      <c r="O856">
        <f>IF($G856="",0,IF($H856="مرجوعی خرید",-1,1)*IF(Sync!$AD853="",0,Sync!$AD853))</f>
        <v/>
      </c>
      <c r="P856">
        <f>IF(OR($G856="",Sync!$W853=""),"",Sync!$W853)</f>
        <v/>
      </c>
      <c r="Q856">
        <f>IF(OR($G856="",Sync!$AE853=""),"",Sync!$AE853)</f>
        <v/>
      </c>
      <c r="R856">
        <f>IF($G856="","",IF(Sync!$V853="","0000",IF(AND(ISNUMBER(Sync!$V853),Sync!$V853&gt;=0,Sync!$V853&lt;1),RIGHT("00"&amp;HOUR(Sync!$V853),2)&amp;RIGHT("00"&amp;MINUTE(Sync!$V853),2),IFERROR(RIGHT("00"&amp;VALUE(LEFT(Sync!$V853,FIND(":",Sync!$V853)-1)),2)&amp;RIGHT("00"&amp;VALUE(MID(Sync!$V853,FIND(":",Sync!$V853)+1,2)),2),"0000"))))</f>
        <v/>
      </c>
    </row>
    <row r="857">
      <c r="A857">
        <f>IF(Sync!$U854="","",Sync!$U854)</f>
        <v/>
      </c>
      <c r="B857">
        <f>IF($A857="","",IF(ISNUMBER($A857),IF(AND($A857&gt;=10000101,$A857&lt;=99991231),INT($A857/10000),""),IFERROR(VALUE(TRIM(LEFT($A857,FIND("/",$A857)-1))),"")))</f>
        <v/>
      </c>
      <c r="C857">
        <f>IF(OR($A857="",$B857=""),"",IF(ISNUMBER($A857),INT(MOD($A857,10000)/100),IFERROR(VALUE(TRIM(LEFT(MID($A857,FIND("/",$A857)+1,20),FIND("/",MID($A857,FIND("/",$A857)+1,20))-1))),"")))</f>
        <v/>
      </c>
      <c r="D857">
        <f>IF(OR($A857="",$B857=""),"",IF(ISNUMBER($A857),MOD($A857,100),IFERROR(VALUE(TRIM(MID(MID($A857,FIND("/",$A857)+1,20),FIND("/",MID($A857,FIND("/",$A857)+1,20))+1,20))),"")))</f>
        <v/>
      </c>
      <c r="E857">
        <f>IF($A857="","",IF(OR($B857="",$C857="",$D857="",$B857&lt;1300,$B857&gt;1500,$C857&lt;1,$C857&gt;12,$D857&lt;1,$D857&gt;31),"نامعتبر",RIGHT("0000"&amp;$B857,4)&amp;"/"&amp;RIGHT("00"&amp;$C857,2)&amp;"/"&amp;RIGHT("00"&amp;$D857,2)))</f>
        <v/>
      </c>
      <c r="F857">
        <f>IF(OR($E857="",$E857="نامعتبر"),"",LEFT($E857,4)&amp;"/"&amp;MID($E857,6,2))</f>
        <v/>
      </c>
      <c r="G857">
        <f>IF(OR($E857="",$E857="نامعتبر",Sync!$Y854=""),"",Sync!$Y854)</f>
        <v/>
      </c>
      <c r="H857">
        <f>IF($G857="","",IF(Sync!$X854="","",Sync!$X854))</f>
        <v/>
      </c>
      <c r="I857">
        <f>IF($G857="","",IFERROR(VLOOKUP(Sync!$X854,OpTbl,3,0),""))</f>
        <v/>
      </c>
      <c r="J857">
        <f>IF(OR($G857="",Sync!$Z854=""),"",Sync!$Z854)</f>
        <v/>
      </c>
      <c r="K857">
        <f>IF(OR($G857="",Sync!$AA854=""),"",Sync!$AA854)</f>
        <v/>
      </c>
      <c r="L857">
        <f>IF($G857="",0,IF(Sync!$AB854="",0,Sync!$AB854))</f>
        <v/>
      </c>
      <c r="M857">
        <f>IF($G857="",0,IF(Sync!$AC854="",0,Sync!$AC854))</f>
        <v/>
      </c>
      <c r="N857">
        <f>IF($G857="","",IF($H857="مرجوعی خرید",-1,1)*($L857-$M857*IFERROR(VLOOKUP("P01",ParamTbl,3,0),1.5))*(1-IF($I857="خرید",IFERROR(VLOOKUP("P02",ParamTbl,3,0),1),0)/100))</f>
        <v/>
      </c>
      <c r="O857">
        <f>IF($G857="",0,IF($H857="مرجوعی خرید",-1,1)*IF(Sync!$AD854="",0,Sync!$AD854))</f>
        <v/>
      </c>
      <c r="P857">
        <f>IF(OR($G857="",Sync!$W854=""),"",Sync!$W854)</f>
        <v/>
      </c>
      <c r="Q857">
        <f>IF(OR($G857="",Sync!$AE854=""),"",Sync!$AE854)</f>
        <v/>
      </c>
      <c r="R857">
        <f>IF($G857="","",IF(Sync!$V854="","0000",IF(AND(ISNUMBER(Sync!$V854),Sync!$V854&gt;=0,Sync!$V854&lt;1),RIGHT("00"&amp;HOUR(Sync!$V854),2)&amp;RIGHT("00"&amp;MINUTE(Sync!$V854),2),IFERROR(RIGHT("00"&amp;VALUE(LEFT(Sync!$V854,FIND(":",Sync!$V854)-1)),2)&amp;RIGHT("00"&amp;VALUE(MID(Sync!$V854,FIND(":",Sync!$V854)+1,2)),2),"0000"))))</f>
        <v/>
      </c>
    </row>
    <row r="858">
      <c r="A858">
        <f>IF(Sync!$U855="","",Sync!$U855)</f>
        <v/>
      </c>
      <c r="B858">
        <f>IF($A858="","",IF(ISNUMBER($A858),IF(AND($A858&gt;=10000101,$A858&lt;=99991231),INT($A858/10000),""),IFERROR(VALUE(TRIM(LEFT($A858,FIND("/",$A858)-1))),"")))</f>
        <v/>
      </c>
      <c r="C858">
        <f>IF(OR($A858="",$B858=""),"",IF(ISNUMBER($A858),INT(MOD($A858,10000)/100),IFERROR(VALUE(TRIM(LEFT(MID($A858,FIND("/",$A858)+1,20),FIND("/",MID($A858,FIND("/",$A858)+1,20))-1))),"")))</f>
        <v/>
      </c>
      <c r="D858">
        <f>IF(OR($A858="",$B858=""),"",IF(ISNUMBER($A858),MOD($A858,100),IFERROR(VALUE(TRIM(MID(MID($A858,FIND("/",$A858)+1,20),FIND("/",MID($A858,FIND("/",$A858)+1,20))+1,20))),"")))</f>
        <v/>
      </c>
      <c r="E858">
        <f>IF($A858="","",IF(OR($B858="",$C858="",$D858="",$B858&lt;1300,$B858&gt;1500,$C858&lt;1,$C858&gt;12,$D858&lt;1,$D858&gt;31),"نامعتبر",RIGHT("0000"&amp;$B858,4)&amp;"/"&amp;RIGHT("00"&amp;$C858,2)&amp;"/"&amp;RIGHT("00"&amp;$D858,2)))</f>
        <v/>
      </c>
      <c r="F858">
        <f>IF(OR($E858="",$E858="نامعتبر"),"",LEFT($E858,4)&amp;"/"&amp;MID($E858,6,2))</f>
        <v/>
      </c>
      <c r="G858">
        <f>IF(OR($E858="",$E858="نامعتبر",Sync!$Y855=""),"",Sync!$Y855)</f>
        <v/>
      </c>
      <c r="H858">
        <f>IF($G858="","",IF(Sync!$X855="","",Sync!$X855))</f>
        <v/>
      </c>
      <c r="I858">
        <f>IF($G858="","",IFERROR(VLOOKUP(Sync!$X855,OpTbl,3,0),""))</f>
        <v/>
      </c>
      <c r="J858">
        <f>IF(OR($G858="",Sync!$Z855=""),"",Sync!$Z855)</f>
        <v/>
      </c>
      <c r="K858">
        <f>IF(OR($G858="",Sync!$AA855=""),"",Sync!$AA855)</f>
        <v/>
      </c>
      <c r="L858">
        <f>IF($G858="",0,IF(Sync!$AB855="",0,Sync!$AB855))</f>
        <v/>
      </c>
      <c r="M858">
        <f>IF($G858="",0,IF(Sync!$AC855="",0,Sync!$AC855))</f>
        <v/>
      </c>
      <c r="N858">
        <f>IF($G858="","",IF($H858="مرجوعی خرید",-1,1)*($L858-$M858*IFERROR(VLOOKUP("P01",ParamTbl,3,0),1.5))*(1-IF($I858="خرید",IFERROR(VLOOKUP("P02",ParamTbl,3,0),1),0)/100))</f>
        <v/>
      </c>
      <c r="O858">
        <f>IF($G858="",0,IF($H858="مرجوعی خرید",-1,1)*IF(Sync!$AD855="",0,Sync!$AD855))</f>
        <v/>
      </c>
      <c r="P858">
        <f>IF(OR($G858="",Sync!$W855=""),"",Sync!$W855)</f>
        <v/>
      </c>
      <c r="Q858">
        <f>IF(OR($G858="",Sync!$AE855=""),"",Sync!$AE855)</f>
        <v/>
      </c>
      <c r="R858">
        <f>IF($G858="","",IF(Sync!$V855="","0000",IF(AND(ISNUMBER(Sync!$V855),Sync!$V855&gt;=0,Sync!$V855&lt;1),RIGHT("00"&amp;HOUR(Sync!$V855),2)&amp;RIGHT("00"&amp;MINUTE(Sync!$V855),2),IFERROR(RIGHT("00"&amp;VALUE(LEFT(Sync!$V855,FIND(":",Sync!$V855)-1)),2)&amp;RIGHT("00"&amp;VALUE(MID(Sync!$V855,FIND(":",Sync!$V855)+1,2)),2),"0000"))))</f>
        <v/>
      </c>
    </row>
    <row r="859">
      <c r="A859">
        <f>IF(Sync!$U856="","",Sync!$U856)</f>
        <v/>
      </c>
      <c r="B859">
        <f>IF($A859="","",IF(ISNUMBER($A859),IF(AND($A859&gt;=10000101,$A859&lt;=99991231),INT($A859/10000),""),IFERROR(VALUE(TRIM(LEFT($A859,FIND("/",$A859)-1))),"")))</f>
        <v/>
      </c>
      <c r="C859">
        <f>IF(OR($A859="",$B859=""),"",IF(ISNUMBER($A859),INT(MOD($A859,10000)/100),IFERROR(VALUE(TRIM(LEFT(MID($A859,FIND("/",$A859)+1,20),FIND("/",MID($A859,FIND("/",$A859)+1,20))-1))),"")))</f>
        <v/>
      </c>
      <c r="D859">
        <f>IF(OR($A859="",$B859=""),"",IF(ISNUMBER($A859),MOD($A859,100),IFERROR(VALUE(TRIM(MID(MID($A859,FIND("/",$A859)+1,20),FIND("/",MID($A859,FIND("/",$A859)+1,20))+1,20))),"")))</f>
        <v/>
      </c>
      <c r="E859">
        <f>IF($A859="","",IF(OR($B859="",$C859="",$D859="",$B859&lt;1300,$B859&gt;1500,$C859&lt;1,$C859&gt;12,$D859&lt;1,$D859&gt;31),"نامعتبر",RIGHT("0000"&amp;$B859,4)&amp;"/"&amp;RIGHT("00"&amp;$C859,2)&amp;"/"&amp;RIGHT("00"&amp;$D859,2)))</f>
        <v/>
      </c>
      <c r="F859">
        <f>IF(OR($E859="",$E859="نامعتبر"),"",LEFT($E859,4)&amp;"/"&amp;MID($E859,6,2))</f>
        <v/>
      </c>
      <c r="G859">
        <f>IF(OR($E859="",$E859="نامعتبر",Sync!$Y856=""),"",Sync!$Y856)</f>
        <v/>
      </c>
      <c r="H859">
        <f>IF($G859="","",IF(Sync!$X856="","",Sync!$X856))</f>
        <v/>
      </c>
      <c r="I859">
        <f>IF($G859="","",IFERROR(VLOOKUP(Sync!$X856,OpTbl,3,0),""))</f>
        <v/>
      </c>
      <c r="J859">
        <f>IF(OR($G859="",Sync!$Z856=""),"",Sync!$Z856)</f>
        <v/>
      </c>
      <c r="K859">
        <f>IF(OR($G859="",Sync!$AA856=""),"",Sync!$AA856)</f>
        <v/>
      </c>
      <c r="L859">
        <f>IF($G859="",0,IF(Sync!$AB856="",0,Sync!$AB856))</f>
        <v/>
      </c>
      <c r="M859">
        <f>IF($G859="",0,IF(Sync!$AC856="",0,Sync!$AC856))</f>
        <v/>
      </c>
      <c r="N859">
        <f>IF($G859="","",IF($H859="مرجوعی خرید",-1,1)*($L859-$M859*IFERROR(VLOOKUP("P01",ParamTbl,3,0),1.5))*(1-IF($I859="خرید",IFERROR(VLOOKUP("P02",ParamTbl,3,0),1),0)/100))</f>
        <v/>
      </c>
      <c r="O859">
        <f>IF($G859="",0,IF($H859="مرجوعی خرید",-1,1)*IF(Sync!$AD856="",0,Sync!$AD856))</f>
        <v/>
      </c>
      <c r="P859">
        <f>IF(OR($G859="",Sync!$W856=""),"",Sync!$W856)</f>
        <v/>
      </c>
      <c r="Q859">
        <f>IF(OR($G859="",Sync!$AE856=""),"",Sync!$AE856)</f>
        <v/>
      </c>
      <c r="R859">
        <f>IF($G859="","",IF(Sync!$V856="","0000",IF(AND(ISNUMBER(Sync!$V856),Sync!$V856&gt;=0,Sync!$V856&lt;1),RIGHT("00"&amp;HOUR(Sync!$V856),2)&amp;RIGHT("00"&amp;MINUTE(Sync!$V856),2),IFERROR(RIGHT("00"&amp;VALUE(LEFT(Sync!$V856,FIND(":",Sync!$V856)-1)),2)&amp;RIGHT("00"&amp;VALUE(MID(Sync!$V856,FIND(":",Sync!$V856)+1,2)),2),"0000"))))</f>
        <v/>
      </c>
    </row>
    <row r="860">
      <c r="A860">
        <f>IF(Sync!$U857="","",Sync!$U857)</f>
        <v/>
      </c>
      <c r="B860">
        <f>IF($A860="","",IF(ISNUMBER($A860),IF(AND($A860&gt;=10000101,$A860&lt;=99991231),INT($A860/10000),""),IFERROR(VALUE(TRIM(LEFT($A860,FIND("/",$A860)-1))),"")))</f>
        <v/>
      </c>
      <c r="C860">
        <f>IF(OR($A860="",$B860=""),"",IF(ISNUMBER($A860),INT(MOD($A860,10000)/100),IFERROR(VALUE(TRIM(LEFT(MID($A860,FIND("/",$A860)+1,20),FIND("/",MID($A860,FIND("/",$A860)+1,20))-1))),"")))</f>
        <v/>
      </c>
      <c r="D860">
        <f>IF(OR($A860="",$B860=""),"",IF(ISNUMBER($A860),MOD($A860,100),IFERROR(VALUE(TRIM(MID(MID($A860,FIND("/",$A860)+1,20),FIND("/",MID($A860,FIND("/",$A860)+1,20))+1,20))),"")))</f>
        <v/>
      </c>
      <c r="E860">
        <f>IF($A860="","",IF(OR($B860="",$C860="",$D860="",$B860&lt;1300,$B860&gt;1500,$C860&lt;1,$C860&gt;12,$D860&lt;1,$D860&gt;31),"نامعتبر",RIGHT("0000"&amp;$B860,4)&amp;"/"&amp;RIGHT("00"&amp;$C860,2)&amp;"/"&amp;RIGHT("00"&amp;$D860,2)))</f>
        <v/>
      </c>
      <c r="F860">
        <f>IF(OR($E860="",$E860="نامعتبر"),"",LEFT($E860,4)&amp;"/"&amp;MID($E860,6,2))</f>
        <v/>
      </c>
      <c r="G860">
        <f>IF(OR($E860="",$E860="نامعتبر",Sync!$Y857=""),"",Sync!$Y857)</f>
        <v/>
      </c>
      <c r="H860">
        <f>IF($G860="","",IF(Sync!$X857="","",Sync!$X857))</f>
        <v/>
      </c>
      <c r="I860">
        <f>IF($G860="","",IFERROR(VLOOKUP(Sync!$X857,OpTbl,3,0),""))</f>
        <v/>
      </c>
      <c r="J860">
        <f>IF(OR($G860="",Sync!$Z857=""),"",Sync!$Z857)</f>
        <v/>
      </c>
      <c r="K860">
        <f>IF(OR($G860="",Sync!$AA857=""),"",Sync!$AA857)</f>
        <v/>
      </c>
      <c r="L860">
        <f>IF($G860="",0,IF(Sync!$AB857="",0,Sync!$AB857))</f>
        <v/>
      </c>
      <c r="M860">
        <f>IF($G860="",0,IF(Sync!$AC857="",0,Sync!$AC857))</f>
        <v/>
      </c>
      <c r="N860">
        <f>IF($G860="","",IF($H860="مرجوعی خرید",-1,1)*($L860-$M860*IFERROR(VLOOKUP("P01",ParamTbl,3,0),1.5))*(1-IF($I860="خرید",IFERROR(VLOOKUP("P02",ParamTbl,3,0),1),0)/100))</f>
        <v/>
      </c>
      <c r="O860">
        <f>IF($G860="",0,IF($H860="مرجوعی خرید",-1,1)*IF(Sync!$AD857="",0,Sync!$AD857))</f>
        <v/>
      </c>
      <c r="P860">
        <f>IF(OR($G860="",Sync!$W857=""),"",Sync!$W857)</f>
        <v/>
      </c>
      <c r="Q860">
        <f>IF(OR($G860="",Sync!$AE857=""),"",Sync!$AE857)</f>
        <v/>
      </c>
      <c r="R860">
        <f>IF($G860="","",IF(Sync!$V857="","0000",IF(AND(ISNUMBER(Sync!$V857),Sync!$V857&gt;=0,Sync!$V857&lt;1),RIGHT("00"&amp;HOUR(Sync!$V857),2)&amp;RIGHT("00"&amp;MINUTE(Sync!$V857),2),IFERROR(RIGHT("00"&amp;VALUE(LEFT(Sync!$V857,FIND(":",Sync!$V857)-1)),2)&amp;RIGHT("00"&amp;VALUE(MID(Sync!$V857,FIND(":",Sync!$V857)+1,2)),2),"0000"))))</f>
        <v/>
      </c>
    </row>
    <row r="861">
      <c r="A861">
        <f>IF(Sync!$U858="","",Sync!$U858)</f>
        <v/>
      </c>
      <c r="B861">
        <f>IF($A861="","",IF(ISNUMBER($A861),IF(AND($A861&gt;=10000101,$A861&lt;=99991231),INT($A861/10000),""),IFERROR(VALUE(TRIM(LEFT($A861,FIND("/",$A861)-1))),"")))</f>
        <v/>
      </c>
      <c r="C861">
        <f>IF(OR($A861="",$B861=""),"",IF(ISNUMBER($A861),INT(MOD($A861,10000)/100),IFERROR(VALUE(TRIM(LEFT(MID($A861,FIND("/",$A861)+1,20),FIND("/",MID($A861,FIND("/",$A861)+1,20))-1))),"")))</f>
        <v/>
      </c>
      <c r="D861">
        <f>IF(OR($A861="",$B861=""),"",IF(ISNUMBER($A861),MOD($A861,100),IFERROR(VALUE(TRIM(MID(MID($A861,FIND("/",$A861)+1,20),FIND("/",MID($A861,FIND("/",$A861)+1,20))+1,20))),"")))</f>
        <v/>
      </c>
      <c r="E861">
        <f>IF($A861="","",IF(OR($B861="",$C861="",$D861="",$B861&lt;1300,$B861&gt;1500,$C861&lt;1,$C861&gt;12,$D861&lt;1,$D861&gt;31),"نامعتبر",RIGHT("0000"&amp;$B861,4)&amp;"/"&amp;RIGHT("00"&amp;$C861,2)&amp;"/"&amp;RIGHT("00"&amp;$D861,2)))</f>
        <v/>
      </c>
      <c r="F861">
        <f>IF(OR($E861="",$E861="نامعتبر"),"",LEFT($E861,4)&amp;"/"&amp;MID($E861,6,2))</f>
        <v/>
      </c>
      <c r="G861">
        <f>IF(OR($E861="",$E861="نامعتبر",Sync!$Y858=""),"",Sync!$Y858)</f>
        <v/>
      </c>
      <c r="H861">
        <f>IF($G861="","",IF(Sync!$X858="","",Sync!$X858))</f>
        <v/>
      </c>
      <c r="I861">
        <f>IF($G861="","",IFERROR(VLOOKUP(Sync!$X858,OpTbl,3,0),""))</f>
        <v/>
      </c>
      <c r="J861">
        <f>IF(OR($G861="",Sync!$Z858=""),"",Sync!$Z858)</f>
        <v/>
      </c>
      <c r="K861">
        <f>IF(OR($G861="",Sync!$AA858=""),"",Sync!$AA858)</f>
        <v/>
      </c>
      <c r="L861">
        <f>IF($G861="",0,IF(Sync!$AB858="",0,Sync!$AB858))</f>
        <v/>
      </c>
      <c r="M861">
        <f>IF($G861="",0,IF(Sync!$AC858="",0,Sync!$AC858))</f>
        <v/>
      </c>
      <c r="N861">
        <f>IF($G861="","",IF($H861="مرجوعی خرید",-1,1)*($L861-$M861*IFERROR(VLOOKUP("P01",ParamTbl,3,0),1.5))*(1-IF($I861="خرید",IFERROR(VLOOKUP("P02",ParamTbl,3,0),1),0)/100))</f>
        <v/>
      </c>
      <c r="O861">
        <f>IF($G861="",0,IF($H861="مرجوعی خرید",-1,1)*IF(Sync!$AD858="",0,Sync!$AD858))</f>
        <v/>
      </c>
      <c r="P861">
        <f>IF(OR($G861="",Sync!$W858=""),"",Sync!$W858)</f>
        <v/>
      </c>
      <c r="Q861">
        <f>IF(OR($G861="",Sync!$AE858=""),"",Sync!$AE858)</f>
        <v/>
      </c>
      <c r="R861">
        <f>IF($G861="","",IF(Sync!$V858="","0000",IF(AND(ISNUMBER(Sync!$V858),Sync!$V858&gt;=0,Sync!$V858&lt;1),RIGHT("00"&amp;HOUR(Sync!$V858),2)&amp;RIGHT("00"&amp;MINUTE(Sync!$V858),2),IFERROR(RIGHT("00"&amp;VALUE(LEFT(Sync!$V858,FIND(":",Sync!$V858)-1)),2)&amp;RIGHT("00"&amp;VALUE(MID(Sync!$V858,FIND(":",Sync!$V858)+1,2)),2),"0000"))))</f>
        <v/>
      </c>
    </row>
    <row r="862">
      <c r="A862">
        <f>IF(Sync!$U859="","",Sync!$U859)</f>
        <v/>
      </c>
      <c r="B862">
        <f>IF($A862="","",IF(ISNUMBER($A862),IF(AND($A862&gt;=10000101,$A862&lt;=99991231),INT($A862/10000),""),IFERROR(VALUE(TRIM(LEFT($A862,FIND("/",$A862)-1))),"")))</f>
        <v/>
      </c>
      <c r="C862">
        <f>IF(OR($A862="",$B862=""),"",IF(ISNUMBER($A862),INT(MOD($A862,10000)/100),IFERROR(VALUE(TRIM(LEFT(MID($A862,FIND("/",$A862)+1,20),FIND("/",MID($A862,FIND("/",$A862)+1,20))-1))),"")))</f>
        <v/>
      </c>
      <c r="D862">
        <f>IF(OR($A862="",$B862=""),"",IF(ISNUMBER($A862),MOD($A862,100),IFERROR(VALUE(TRIM(MID(MID($A862,FIND("/",$A862)+1,20),FIND("/",MID($A862,FIND("/",$A862)+1,20))+1,20))),"")))</f>
        <v/>
      </c>
      <c r="E862">
        <f>IF($A862="","",IF(OR($B862="",$C862="",$D862="",$B862&lt;1300,$B862&gt;1500,$C862&lt;1,$C862&gt;12,$D862&lt;1,$D862&gt;31),"نامعتبر",RIGHT("0000"&amp;$B862,4)&amp;"/"&amp;RIGHT("00"&amp;$C862,2)&amp;"/"&amp;RIGHT("00"&amp;$D862,2)))</f>
        <v/>
      </c>
      <c r="F862">
        <f>IF(OR($E862="",$E862="نامعتبر"),"",LEFT($E862,4)&amp;"/"&amp;MID($E862,6,2))</f>
        <v/>
      </c>
      <c r="G862">
        <f>IF(OR($E862="",$E862="نامعتبر",Sync!$Y859=""),"",Sync!$Y859)</f>
        <v/>
      </c>
      <c r="H862">
        <f>IF($G862="","",IF(Sync!$X859="","",Sync!$X859))</f>
        <v/>
      </c>
      <c r="I862">
        <f>IF($G862="","",IFERROR(VLOOKUP(Sync!$X859,OpTbl,3,0),""))</f>
        <v/>
      </c>
      <c r="J862">
        <f>IF(OR($G862="",Sync!$Z859=""),"",Sync!$Z859)</f>
        <v/>
      </c>
      <c r="K862">
        <f>IF(OR($G862="",Sync!$AA859=""),"",Sync!$AA859)</f>
        <v/>
      </c>
      <c r="L862">
        <f>IF($G862="",0,IF(Sync!$AB859="",0,Sync!$AB859))</f>
        <v/>
      </c>
      <c r="M862">
        <f>IF($G862="",0,IF(Sync!$AC859="",0,Sync!$AC859))</f>
        <v/>
      </c>
      <c r="N862">
        <f>IF($G862="","",IF($H862="مرجوعی خرید",-1,1)*($L862-$M862*IFERROR(VLOOKUP("P01",ParamTbl,3,0),1.5))*(1-IF($I862="خرید",IFERROR(VLOOKUP("P02",ParamTbl,3,0),1),0)/100))</f>
        <v/>
      </c>
      <c r="O862">
        <f>IF($G862="",0,IF($H862="مرجوعی خرید",-1,1)*IF(Sync!$AD859="",0,Sync!$AD859))</f>
        <v/>
      </c>
      <c r="P862">
        <f>IF(OR($G862="",Sync!$W859=""),"",Sync!$W859)</f>
        <v/>
      </c>
      <c r="Q862">
        <f>IF(OR($G862="",Sync!$AE859=""),"",Sync!$AE859)</f>
        <v/>
      </c>
      <c r="R862">
        <f>IF($G862="","",IF(Sync!$V859="","0000",IF(AND(ISNUMBER(Sync!$V859),Sync!$V859&gt;=0,Sync!$V859&lt;1),RIGHT("00"&amp;HOUR(Sync!$V859),2)&amp;RIGHT("00"&amp;MINUTE(Sync!$V859),2),IFERROR(RIGHT("00"&amp;VALUE(LEFT(Sync!$V859,FIND(":",Sync!$V859)-1)),2)&amp;RIGHT("00"&amp;VALUE(MID(Sync!$V859,FIND(":",Sync!$V859)+1,2)),2),"0000"))))</f>
        <v/>
      </c>
    </row>
    <row r="863">
      <c r="A863">
        <f>IF(Sync!$U860="","",Sync!$U860)</f>
        <v/>
      </c>
      <c r="B863">
        <f>IF($A863="","",IF(ISNUMBER($A863),IF(AND($A863&gt;=10000101,$A863&lt;=99991231),INT($A863/10000),""),IFERROR(VALUE(TRIM(LEFT($A863,FIND("/",$A863)-1))),"")))</f>
        <v/>
      </c>
      <c r="C863">
        <f>IF(OR($A863="",$B863=""),"",IF(ISNUMBER($A863),INT(MOD($A863,10000)/100),IFERROR(VALUE(TRIM(LEFT(MID($A863,FIND("/",$A863)+1,20),FIND("/",MID($A863,FIND("/",$A863)+1,20))-1))),"")))</f>
        <v/>
      </c>
      <c r="D863">
        <f>IF(OR($A863="",$B863=""),"",IF(ISNUMBER($A863),MOD($A863,100),IFERROR(VALUE(TRIM(MID(MID($A863,FIND("/",$A863)+1,20),FIND("/",MID($A863,FIND("/",$A863)+1,20))+1,20))),"")))</f>
        <v/>
      </c>
      <c r="E863">
        <f>IF($A863="","",IF(OR($B863="",$C863="",$D863="",$B863&lt;1300,$B863&gt;1500,$C863&lt;1,$C863&gt;12,$D863&lt;1,$D863&gt;31),"نامعتبر",RIGHT("0000"&amp;$B863,4)&amp;"/"&amp;RIGHT("00"&amp;$C863,2)&amp;"/"&amp;RIGHT("00"&amp;$D863,2)))</f>
        <v/>
      </c>
      <c r="F863">
        <f>IF(OR($E863="",$E863="نامعتبر"),"",LEFT($E863,4)&amp;"/"&amp;MID($E863,6,2))</f>
        <v/>
      </c>
      <c r="G863">
        <f>IF(OR($E863="",$E863="نامعتبر",Sync!$Y860=""),"",Sync!$Y860)</f>
        <v/>
      </c>
      <c r="H863">
        <f>IF($G863="","",IF(Sync!$X860="","",Sync!$X860))</f>
        <v/>
      </c>
      <c r="I863">
        <f>IF($G863="","",IFERROR(VLOOKUP(Sync!$X860,OpTbl,3,0),""))</f>
        <v/>
      </c>
      <c r="J863">
        <f>IF(OR($G863="",Sync!$Z860=""),"",Sync!$Z860)</f>
        <v/>
      </c>
      <c r="K863">
        <f>IF(OR($G863="",Sync!$AA860=""),"",Sync!$AA860)</f>
        <v/>
      </c>
      <c r="L863">
        <f>IF($G863="",0,IF(Sync!$AB860="",0,Sync!$AB860))</f>
        <v/>
      </c>
      <c r="M863">
        <f>IF($G863="",0,IF(Sync!$AC860="",0,Sync!$AC860))</f>
        <v/>
      </c>
      <c r="N863">
        <f>IF($G863="","",IF($H863="مرجوعی خرید",-1,1)*($L863-$M863*IFERROR(VLOOKUP("P01",ParamTbl,3,0),1.5))*(1-IF($I863="خرید",IFERROR(VLOOKUP("P02",ParamTbl,3,0),1),0)/100))</f>
        <v/>
      </c>
      <c r="O863">
        <f>IF($G863="",0,IF($H863="مرجوعی خرید",-1,1)*IF(Sync!$AD860="",0,Sync!$AD860))</f>
        <v/>
      </c>
      <c r="P863">
        <f>IF(OR($G863="",Sync!$W860=""),"",Sync!$W860)</f>
        <v/>
      </c>
      <c r="Q863">
        <f>IF(OR($G863="",Sync!$AE860=""),"",Sync!$AE860)</f>
        <v/>
      </c>
      <c r="R863">
        <f>IF($G863="","",IF(Sync!$V860="","0000",IF(AND(ISNUMBER(Sync!$V860),Sync!$V860&gt;=0,Sync!$V860&lt;1),RIGHT("00"&amp;HOUR(Sync!$V860),2)&amp;RIGHT("00"&amp;MINUTE(Sync!$V860),2),IFERROR(RIGHT("00"&amp;VALUE(LEFT(Sync!$V860,FIND(":",Sync!$V860)-1)),2)&amp;RIGHT("00"&amp;VALUE(MID(Sync!$V860,FIND(":",Sync!$V860)+1,2)),2),"0000"))))</f>
        <v/>
      </c>
    </row>
    <row r="864">
      <c r="A864">
        <f>IF(Sync!$U861="","",Sync!$U861)</f>
        <v/>
      </c>
      <c r="B864">
        <f>IF($A864="","",IF(ISNUMBER($A864),IF(AND($A864&gt;=10000101,$A864&lt;=99991231),INT($A864/10000),""),IFERROR(VALUE(TRIM(LEFT($A864,FIND("/",$A864)-1))),"")))</f>
        <v/>
      </c>
      <c r="C864">
        <f>IF(OR($A864="",$B864=""),"",IF(ISNUMBER($A864),INT(MOD($A864,10000)/100),IFERROR(VALUE(TRIM(LEFT(MID($A864,FIND("/",$A864)+1,20),FIND("/",MID($A864,FIND("/",$A864)+1,20))-1))),"")))</f>
        <v/>
      </c>
      <c r="D864">
        <f>IF(OR($A864="",$B864=""),"",IF(ISNUMBER($A864),MOD($A864,100),IFERROR(VALUE(TRIM(MID(MID($A864,FIND("/",$A864)+1,20),FIND("/",MID($A864,FIND("/",$A864)+1,20))+1,20))),"")))</f>
        <v/>
      </c>
      <c r="E864">
        <f>IF($A864="","",IF(OR($B864="",$C864="",$D864="",$B864&lt;1300,$B864&gt;1500,$C864&lt;1,$C864&gt;12,$D864&lt;1,$D864&gt;31),"نامعتبر",RIGHT("0000"&amp;$B864,4)&amp;"/"&amp;RIGHT("00"&amp;$C864,2)&amp;"/"&amp;RIGHT("00"&amp;$D864,2)))</f>
        <v/>
      </c>
      <c r="F864">
        <f>IF(OR($E864="",$E864="نامعتبر"),"",LEFT($E864,4)&amp;"/"&amp;MID($E864,6,2))</f>
        <v/>
      </c>
      <c r="G864">
        <f>IF(OR($E864="",$E864="نامعتبر",Sync!$Y861=""),"",Sync!$Y861)</f>
        <v/>
      </c>
      <c r="H864">
        <f>IF($G864="","",IF(Sync!$X861="","",Sync!$X861))</f>
        <v/>
      </c>
      <c r="I864">
        <f>IF($G864="","",IFERROR(VLOOKUP(Sync!$X861,OpTbl,3,0),""))</f>
        <v/>
      </c>
      <c r="J864">
        <f>IF(OR($G864="",Sync!$Z861=""),"",Sync!$Z861)</f>
        <v/>
      </c>
      <c r="K864">
        <f>IF(OR($G864="",Sync!$AA861=""),"",Sync!$AA861)</f>
        <v/>
      </c>
      <c r="L864">
        <f>IF($G864="",0,IF(Sync!$AB861="",0,Sync!$AB861))</f>
        <v/>
      </c>
      <c r="M864">
        <f>IF($G864="",0,IF(Sync!$AC861="",0,Sync!$AC861))</f>
        <v/>
      </c>
      <c r="N864">
        <f>IF($G864="","",IF($H864="مرجوعی خرید",-1,1)*($L864-$M864*IFERROR(VLOOKUP("P01",ParamTbl,3,0),1.5))*(1-IF($I864="خرید",IFERROR(VLOOKUP("P02",ParamTbl,3,0),1),0)/100))</f>
        <v/>
      </c>
      <c r="O864">
        <f>IF($G864="",0,IF($H864="مرجوعی خرید",-1,1)*IF(Sync!$AD861="",0,Sync!$AD861))</f>
        <v/>
      </c>
      <c r="P864">
        <f>IF(OR($G864="",Sync!$W861=""),"",Sync!$W861)</f>
        <v/>
      </c>
      <c r="Q864">
        <f>IF(OR($G864="",Sync!$AE861=""),"",Sync!$AE861)</f>
        <v/>
      </c>
      <c r="R864">
        <f>IF($G864="","",IF(Sync!$V861="","0000",IF(AND(ISNUMBER(Sync!$V861),Sync!$V861&gt;=0,Sync!$V861&lt;1),RIGHT("00"&amp;HOUR(Sync!$V861),2)&amp;RIGHT("00"&amp;MINUTE(Sync!$V861),2),IFERROR(RIGHT("00"&amp;VALUE(LEFT(Sync!$V861,FIND(":",Sync!$V861)-1)),2)&amp;RIGHT("00"&amp;VALUE(MID(Sync!$V861,FIND(":",Sync!$V861)+1,2)),2),"0000"))))</f>
        <v/>
      </c>
    </row>
    <row r="865">
      <c r="A865">
        <f>IF(Sync!$U862="","",Sync!$U862)</f>
        <v/>
      </c>
      <c r="B865">
        <f>IF($A865="","",IF(ISNUMBER($A865),IF(AND($A865&gt;=10000101,$A865&lt;=99991231),INT($A865/10000),""),IFERROR(VALUE(TRIM(LEFT($A865,FIND("/",$A865)-1))),"")))</f>
        <v/>
      </c>
      <c r="C865">
        <f>IF(OR($A865="",$B865=""),"",IF(ISNUMBER($A865),INT(MOD($A865,10000)/100),IFERROR(VALUE(TRIM(LEFT(MID($A865,FIND("/",$A865)+1,20),FIND("/",MID($A865,FIND("/",$A865)+1,20))-1))),"")))</f>
        <v/>
      </c>
      <c r="D865">
        <f>IF(OR($A865="",$B865=""),"",IF(ISNUMBER($A865),MOD($A865,100),IFERROR(VALUE(TRIM(MID(MID($A865,FIND("/",$A865)+1,20),FIND("/",MID($A865,FIND("/",$A865)+1,20))+1,20))),"")))</f>
        <v/>
      </c>
      <c r="E865">
        <f>IF($A865="","",IF(OR($B865="",$C865="",$D865="",$B865&lt;1300,$B865&gt;1500,$C865&lt;1,$C865&gt;12,$D865&lt;1,$D865&gt;31),"نامعتبر",RIGHT("0000"&amp;$B865,4)&amp;"/"&amp;RIGHT("00"&amp;$C865,2)&amp;"/"&amp;RIGHT("00"&amp;$D865,2)))</f>
        <v/>
      </c>
      <c r="F865">
        <f>IF(OR($E865="",$E865="نامعتبر"),"",LEFT($E865,4)&amp;"/"&amp;MID($E865,6,2))</f>
        <v/>
      </c>
      <c r="G865">
        <f>IF(OR($E865="",$E865="نامعتبر",Sync!$Y862=""),"",Sync!$Y862)</f>
        <v/>
      </c>
      <c r="H865">
        <f>IF($G865="","",IF(Sync!$X862="","",Sync!$X862))</f>
        <v/>
      </c>
      <c r="I865">
        <f>IF($G865="","",IFERROR(VLOOKUP(Sync!$X862,OpTbl,3,0),""))</f>
        <v/>
      </c>
      <c r="J865">
        <f>IF(OR($G865="",Sync!$Z862=""),"",Sync!$Z862)</f>
        <v/>
      </c>
      <c r="K865">
        <f>IF(OR($G865="",Sync!$AA862=""),"",Sync!$AA862)</f>
        <v/>
      </c>
      <c r="L865">
        <f>IF($G865="",0,IF(Sync!$AB862="",0,Sync!$AB862))</f>
        <v/>
      </c>
      <c r="M865">
        <f>IF($G865="",0,IF(Sync!$AC862="",0,Sync!$AC862))</f>
        <v/>
      </c>
      <c r="N865">
        <f>IF($G865="","",IF($H865="مرجوعی خرید",-1,1)*($L865-$M865*IFERROR(VLOOKUP("P01",ParamTbl,3,0),1.5))*(1-IF($I865="خرید",IFERROR(VLOOKUP("P02",ParamTbl,3,0),1),0)/100))</f>
        <v/>
      </c>
      <c r="O865">
        <f>IF($G865="",0,IF($H865="مرجوعی خرید",-1,1)*IF(Sync!$AD862="",0,Sync!$AD862))</f>
        <v/>
      </c>
      <c r="P865">
        <f>IF(OR($G865="",Sync!$W862=""),"",Sync!$W862)</f>
        <v/>
      </c>
      <c r="Q865">
        <f>IF(OR($G865="",Sync!$AE862=""),"",Sync!$AE862)</f>
        <v/>
      </c>
      <c r="R865">
        <f>IF($G865="","",IF(Sync!$V862="","0000",IF(AND(ISNUMBER(Sync!$V862),Sync!$V862&gt;=0,Sync!$V862&lt;1),RIGHT("00"&amp;HOUR(Sync!$V862),2)&amp;RIGHT("00"&amp;MINUTE(Sync!$V862),2),IFERROR(RIGHT("00"&amp;VALUE(LEFT(Sync!$V862,FIND(":",Sync!$V862)-1)),2)&amp;RIGHT("00"&amp;VALUE(MID(Sync!$V862,FIND(":",Sync!$V862)+1,2)),2),"0000"))))</f>
        <v/>
      </c>
    </row>
    <row r="866">
      <c r="A866">
        <f>IF(Sync!$U863="","",Sync!$U863)</f>
        <v/>
      </c>
      <c r="B866">
        <f>IF($A866="","",IF(ISNUMBER($A866),IF(AND($A866&gt;=10000101,$A866&lt;=99991231),INT($A866/10000),""),IFERROR(VALUE(TRIM(LEFT($A866,FIND("/",$A866)-1))),"")))</f>
        <v/>
      </c>
      <c r="C866">
        <f>IF(OR($A866="",$B866=""),"",IF(ISNUMBER($A866),INT(MOD($A866,10000)/100),IFERROR(VALUE(TRIM(LEFT(MID($A866,FIND("/",$A866)+1,20),FIND("/",MID($A866,FIND("/",$A866)+1,20))-1))),"")))</f>
        <v/>
      </c>
      <c r="D866">
        <f>IF(OR($A866="",$B866=""),"",IF(ISNUMBER($A866),MOD($A866,100),IFERROR(VALUE(TRIM(MID(MID($A866,FIND("/",$A866)+1,20),FIND("/",MID($A866,FIND("/",$A866)+1,20))+1,20))),"")))</f>
        <v/>
      </c>
      <c r="E866">
        <f>IF($A866="","",IF(OR($B866="",$C866="",$D866="",$B866&lt;1300,$B866&gt;1500,$C866&lt;1,$C866&gt;12,$D866&lt;1,$D866&gt;31),"نامعتبر",RIGHT("0000"&amp;$B866,4)&amp;"/"&amp;RIGHT("00"&amp;$C866,2)&amp;"/"&amp;RIGHT("00"&amp;$D866,2)))</f>
        <v/>
      </c>
      <c r="F866">
        <f>IF(OR($E866="",$E866="نامعتبر"),"",LEFT($E866,4)&amp;"/"&amp;MID($E866,6,2))</f>
        <v/>
      </c>
      <c r="G866">
        <f>IF(OR($E866="",$E866="نامعتبر",Sync!$Y863=""),"",Sync!$Y863)</f>
        <v/>
      </c>
      <c r="H866">
        <f>IF($G866="","",IF(Sync!$X863="","",Sync!$X863))</f>
        <v/>
      </c>
      <c r="I866">
        <f>IF($G866="","",IFERROR(VLOOKUP(Sync!$X863,OpTbl,3,0),""))</f>
        <v/>
      </c>
      <c r="J866">
        <f>IF(OR($G866="",Sync!$Z863=""),"",Sync!$Z863)</f>
        <v/>
      </c>
      <c r="K866">
        <f>IF(OR($G866="",Sync!$AA863=""),"",Sync!$AA863)</f>
        <v/>
      </c>
      <c r="L866">
        <f>IF($G866="",0,IF(Sync!$AB863="",0,Sync!$AB863))</f>
        <v/>
      </c>
      <c r="M866">
        <f>IF($G866="",0,IF(Sync!$AC863="",0,Sync!$AC863))</f>
        <v/>
      </c>
      <c r="N866">
        <f>IF($G866="","",IF($H866="مرجوعی خرید",-1,1)*($L866-$M866*IFERROR(VLOOKUP("P01",ParamTbl,3,0),1.5))*(1-IF($I866="خرید",IFERROR(VLOOKUP("P02",ParamTbl,3,0),1),0)/100))</f>
        <v/>
      </c>
      <c r="O866">
        <f>IF($G866="",0,IF($H866="مرجوعی خرید",-1,1)*IF(Sync!$AD863="",0,Sync!$AD863))</f>
        <v/>
      </c>
      <c r="P866">
        <f>IF(OR($G866="",Sync!$W863=""),"",Sync!$W863)</f>
        <v/>
      </c>
      <c r="Q866">
        <f>IF(OR($G866="",Sync!$AE863=""),"",Sync!$AE863)</f>
        <v/>
      </c>
      <c r="R866">
        <f>IF($G866="","",IF(Sync!$V863="","0000",IF(AND(ISNUMBER(Sync!$V863),Sync!$V863&gt;=0,Sync!$V863&lt;1),RIGHT("00"&amp;HOUR(Sync!$V863),2)&amp;RIGHT("00"&amp;MINUTE(Sync!$V863),2),IFERROR(RIGHT("00"&amp;VALUE(LEFT(Sync!$V863,FIND(":",Sync!$V863)-1)),2)&amp;RIGHT("00"&amp;VALUE(MID(Sync!$V863,FIND(":",Sync!$V863)+1,2)),2),"0000"))))</f>
        <v/>
      </c>
    </row>
    <row r="867">
      <c r="A867">
        <f>IF(Sync!$U864="","",Sync!$U864)</f>
        <v/>
      </c>
      <c r="B867">
        <f>IF($A867="","",IF(ISNUMBER($A867),IF(AND($A867&gt;=10000101,$A867&lt;=99991231),INT($A867/10000),""),IFERROR(VALUE(TRIM(LEFT($A867,FIND("/",$A867)-1))),"")))</f>
        <v/>
      </c>
      <c r="C867">
        <f>IF(OR($A867="",$B867=""),"",IF(ISNUMBER($A867),INT(MOD($A867,10000)/100),IFERROR(VALUE(TRIM(LEFT(MID($A867,FIND("/",$A867)+1,20),FIND("/",MID($A867,FIND("/",$A867)+1,20))-1))),"")))</f>
        <v/>
      </c>
      <c r="D867">
        <f>IF(OR($A867="",$B867=""),"",IF(ISNUMBER($A867),MOD($A867,100),IFERROR(VALUE(TRIM(MID(MID($A867,FIND("/",$A867)+1,20),FIND("/",MID($A867,FIND("/",$A867)+1,20))+1,20))),"")))</f>
        <v/>
      </c>
      <c r="E867">
        <f>IF($A867="","",IF(OR($B867="",$C867="",$D867="",$B867&lt;1300,$B867&gt;1500,$C867&lt;1,$C867&gt;12,$D867&lt;1,$D867&gt;31),"نامعتبر",RIGHT("0000"&amp;$B867,4)&amp;"/"&amp;RIGHT("00"&amp;$C867,2)&amp;"/"&amp;RIGHT("00"&amp;$D867,2)))</f>
        <v/>
      </c>
      <c r="F867">
        <f>IF(OR($E867="",$E867="نامعتبر"),"",LEFT($E867,4)&amp;"/"&amp;MID($E867,6,2))</f>
        <v/>
      </c>
      <c r="G867">
        <f>IF(OR($E867="",$E867="نامعتبر",Sync!$Y864=""),"",Sync!$Y864)</f>
        <v/>
      </c>
      <c r="H867">
        <f>IF($G867="","",IF(Sync!$X864="","",Sync!$X864))</f>
        <v/>
      </c>
      <c r="I867">
        <f>IF($G867="","",IFERROR(VLOOKUP(Sync!$X864,OpTbl,3,0),""))</f>
        <v/>
      </c>
      <c r="J867">
        <f>IF(OR($G867="",Sync!$Z864=""),"",Sync!$Z864)</f>
        <v/>
      </c>
      <c r="K867">
        <f>IF(OR($G867="",Sync!$AA864=""),"",Sync!$AA864)</f>
        <v/>
      </c>
      <c r="L867">
        <f>IF($G867="",0,IF(Sync!$AB864="",0,Sync!$AB864))</f>
        <v/>
      </c>
      <c r="M867">
        <f>IF($G867="",0,IF(Sync!$AC864="",0,Sync!$AC864))</f>
        <v/>
      </c>
      <c r="N867">
        <f>IF($G867="","",IF($H867="مرجوعی خرید",-1,1)*($L867-$M867*IFERROR(VLOOKUP("P01",ParamTbl,3,0),1.5))*(1-IF($I867="خرید",IFERROR(VLOOKUP("P02",ParamTbl,3,0),1),0)/100))</f>
        <v/>
      </c>
      <c r="O867">
        <f>IF($G867="",0,IF($H867="مرجوعی خرید",-1,1)*IF(Sync!$AD864="",0,Sync!$AD864))</f>
        <v/>
      </c>
      <c r="P867">
        <f>IF(OR($G867="",Sync!$W864=""),"",Sync!$W864)</f>
        <v/>
      </c>
      <c r="Q867">
        <f>IF(OR($G867="",Sync!$AE864=""),"",Sync!$AE864)</f>
        <v/>
      </c>
      <c r="R867">
        <f>IF($G867="","",IF(Sync!$V864="","0000",IF(AND(ISNUMBER(Sync!$V864),Sync!$V864&gt;=0,Sync!$V864&lt;1),RIGHT("00"&amp;HOUR(Sync!$V864),2)&amp;RIGHT("00"&amp;MINUTE(Sync!$V864),2),IFERROR(RIGHT("00"&amp;VALUE(LEFT(Sync!$V864,FIND(":",Sync!$V864)-1)),2)&amp;RIGHT("00"&amp;VALUE(MID(Sync!$V864,FIND(":",Sync!$V864)+1,2)),2),"0000"))))</f>
        <v/>
      </c>
    </row>
    <row r="868">
      <c r="A868">
        <f>IF(Sync!$U865="","",Sync!$U865)</f>
        <v/>
      </c>
      <c r="B868">
        <f>IF($A868="","",IF(ISNUMBER($A868),IF(AND($A868&gt;=10000101,$A868&lt;=99991231),INT($A868/10000),""),IFERROR(VALUE(TRIM(LEFT($A868,FIND("/",$A868)-1))),"")))</f>
        <v/>
      </c>
      <c r="C868">
        <f>IF(OR($A868="",$B868=""),"",IF(ISNUMBER($A868),INT(MOD($A868,10000)/100),IFERROR(VALUE(TRIM(LEFT(MID($A868,FIND("/",$A868)+1,20),FIND("/",MID($A868,FIND("/",$A868)+1,20))-1))),"")))</f>
        <v/>
      </c>
      <c r="D868">
        <f>IF(OR($A868="",$B868=""),"",IF(ISNUMBER($A868),MOD($A868,100),IFERROR(VALUE(TRIM(MID(MID($A868,FIND("/",$A868)+1,20),FIND("/",MID($A868,FIND("/",$A868)+1,20))+1,20))),"")))</f>
        <v/>
      </c>
      <c r="E868">
        <f>IF($A868="","",IF(OR($B868="",$C868="",$D868="",$B868&lt;1300,$B868&gt;1500,$C868&lt;1,$C868&gt;12,$D868&lt;1,$D868&gt;31),"نامعتبر",RIGHT("0000"&amp;$B868,4)&amp;"/"&amp;RIGHT("00"&amp;$C868,2)&amp;"/"&amp;RIGHT("00"&amp;$D868,2)))</f>
        <v/>
      </c>
      <c r="F868">
        <f>IF(OR($E868="",$E868="نامعتبر"),"",LEFT($E868,4)&amp;"/"&amp;MID($E868,6,2))</f>
        <v/>
      </c>
      <c r="G868">
        <f>IF(OR($E868="",$E868="نامعتبر",Sync!$Y865=""),"",Sync!$Y865)</f>
        <v/>
      </c>
      <c r="H868">
        <f>IF($G868="","",IF(Sync!$X865="","",Sync!$X865))</f>
        <v/>
      </c>
      <c r="I868">
        <f>IF($G868="","",IFERROR(VLOOKUP(Sync!$X865,OpTbl,3,0),""))</f>
        <v/>
      </c>
      <c r="J868">
        <f>IF(OR($G868="",Sync!$Z865=""),"",Sync!$Z865)</f>
        <v/>
      </c>
      <c r="K868">
        <f>IF(OR($G868="",Sync!$AA865=""),"",Sync!$AA865)</f>
        <v/>
      </c>
      <c r="L868">
        <f>IF($G868="",0,IF(Sync!$AB865="",0,Sync!$AB865))</f>
        <v/>
      </c>
      <c r="M868">
        <f>IF($G868="",0,IF(Sync!$AC865="",0,Sync!$AC865))</f>
        <v/>
      </c>
      <c r="N868">
        <f>IF($G868="","",IF($H868="مرجوعی خرید",-1,1)*($L868-$M868*IFERROR(VLOOKUP("P01",ParamTbl,3,0),1.5))*(1-IF($I868="خرید",IFERROR(VLOOKUP("P02",ParamTbl,3,0),1),0)/100))</f>
        <v/>
      </c>
      <c r="O868">
        <f>IF($G868="",0,IF($H868="مرجوعی خرید",-1,1)*IF(Sync!$AD865="",0,Sync!$AD865))</f>
        <v/>
      </c>
      <c r="P868">
        <f>IF(OR($G868="",Sync!$W865=""),"",Sync!$W865)</f>
        <v/>
      </c>
      <c r="Q868">
        <f>IF(OR($G868="",Sync!$AE865=""),"",Sync!$AE865)</f>
        <v/>
      </c>
      <c r="R868">
        <f>IF($G868="","",IF(Sync!$V865="","0000",IF(AND(ISNUMBER(Sync!$V865),Sync!$V865&gt;=0,Sync!$V865&lt;1),RIGHT("00"&amp;HOUR(Sync!$V865),2)&amp;RIGHT("00"&amp;MINUTE(Sync!$V865),2),IFERROR(RIGHT("00"&amp;VALUE(LEFT(Sync!$V865,FIND(":",Sync!$V865)-1)),2)&amp;RIGHT("00"&amp;VALUE(MID(Sync!$V865,FIND(":",Sync!$V865)+1,2)),2),"0000"))))</f>
        <v/>
      </c>
    </row>
    <row r="869">
      <c r="A869">
        <f>IF(Sync!$U866="","",Sync!$U866)</f>
        <v/>
      </c>
      <c r="B869">
        <f>IF($A869="","",IF(ISNUMBER($A869),IF(AND($A869&gt;=10000101,$A869&lt;=99991231),INT($A869/10000),""),IFERROR(VALUE(TRIM(LEFT($A869,FIND("/",$A869)-1))),"")))</f>
        <v/>
      </c>
      <c r="C869">
        <f>IF(OR($A869="",$B869=""),"",IF(ISNUMBER($A869),INT(MOD($A869,10000)/100),IFERROR(VALUE(TRIM(LEFT(MID($A869,FIND("/",$A869)+1,20),FIND("/",MID($A869,FIND("/",$A869)+1,20))-1))),"")))</f>
        <v/>
      </c>
      <c r="D869">
        <f>IF(OR($A869="",$B869=""),"",IF(ISNUMBER($A869),MOD($A869,100),IFERROR(VALUE(TRIM(MID(MID($A869,FIND("/",$A869)+1,20),FIND("/",MID($A869,FIND("/",$A869)+1,20))+1,20))),"")))</f>
        <v/>
      </c>
      <c r="E869">
        <f>IF($A869="","",IF(OR($B869="",$C869="",$D869="",$B869&lt;1300,$B869&gt;1500,$C869&lt;1,$C869&gt;12,$D869&lt;1,$D869&gt;31),"نامعتبر",RIGHT("0000"&amp;$B869,4)&amp;"/"&amp;RIGHT("00"&amp;$C869,2)&amp;"/"&amp;RIGHT("00"&amp;$D869,2)))</f>
        <v/>
      </c>
      <c r="F869">
        <f>IF(OR($E869="",$E869="نامعتبر"),"",LEFT($E869,4)&amp;"/"&amp;MID($E869,6,2))</f>
        <v/>
      </c>
      <c r="G869">
        <f>IF(OR($E869="",$E869="نامعتبر",Sync!$Y866=""),"",Sync!$Y866)</f>
        <v/>
      </c>
      <c r="H869">
        <f>IF($G869="","",IF(Sync!$X866="","",Sync!$X866))</f>
        <v/>
      </c>
      <c r="I869">
        <f>IF($G869="","",IFERROR(VLOOKUP(Sync!$X866,OpTbl,3,0),""))</f>
        <v/>
      </c>
      <c r="J869">
        <f>IF(OR($G869="",Sync!$Z866=""),"",Sync!$Z866)</f>
        <v/>
      </c>
      <c r="K869">
        <f>IF(OR($G869="",Sync!$AA866=""),"",Sync!$AA866)</f>
        <v/>
      </c>
      <c r="L869">
        <f>IF($G869="",0,IF(Sync!$AB866="",0,Sync!$AB866))</f>
        <v/>
      </c>
      <c r="M869">
        <f>IF($G869="",0,IF(Sync!$AC866="",0,Sync!$AC866))</f>
        <v/>
      </c>
      <c r="N869">
        <f>IF($G869="","",IF($H869="مرجوعی خرید",-1,1)*($L869-$M869*IFERROR(VLOOKUP("P01",ParamTbl,3,0),1.5))*(1-IF($I869="خرید",IFERROR(VLOOKUP("P02",ParamTbl,3,0),1),0)/100))</f>
        <v/>
      </c>
      <c r="O869">
        <f>IF($G869="",0,IF($H869="مرجوعی خرید",-1,1)*IF(Sync!$AD866="",0,Sync!$AD866))</f>
        <v/>
      </c>
      <c r="P869">
        <f>IF(OR($G869="",Sync!$W866=""),"",Sync!$W866)</f>
        <v/>
      </c>
      <c r="Q869">
        <f>IF(OR($G869="",Sync!$AE866=""),"",Sync!$AE866)</f>
        <v/>
      </c>
      <c r="R869">
        <f>IF($G869="","",IF(Sync!$V866="","0000",IF(AND(ISNUMBER(Sync!$V866),Sync!$V866&gt;=0,Sync!$V866&lt;1),RIGHT("00"&amp;HOUR(Sync!$V866),2)&amp;RIGHT("00"&amp;MINUTE(Sync!$V866),2),IFERROR(RIGHT("00"&amp;VALUE(LEFT(Sync!$V866,FIND(":",Sync!$V866)-1)),2)&amp;RIGHT("00"&amp;VALUE(MID(Sync!$V866,FIND(":",Sync!$V866)+1,2)),2),"0000"))))</f>
        <v/>
      </c>
    </row>
    <row r="870">
      <c r="A870">
        <f>IF(Sync!$U867="","",Sync!$U867)</f>
        <v/>
      </c>
      <c r="B870">
        <f>IF($A870="","",IF(ISNUMBER($A870),IF(AND($A870&gt;=10000101,$A870&lt;=99991231),INT($A870/10000),""),IFERROR(VALUE(TRIM(LEFT($A870,FIND("/",$A870)-1))),"")))</f>
        <v/>
      </c>
      <c r="C870">
        <f>IF(OR($A870="",$B870=""),"",IF(ISNUMBER($A870),INT(MOD($A870,10000)/100),IFERROR(VALUE(TRIM(LEFT(MID($A870,FIND("/",$A870)+1,20),FIND("/",MID($A870,FIND("/",$A870)+1,20))-1))),"")))</f>
        <v/>
      </c>
      <c r="D870">
        <f>IF(OR($A870="",$B870=""),"",IF(ISNUMBER($A870),MOD($A870,100),IFERROR(VALUE(TRIM(MID(MID($A870,FIND("/",$A870)+1,20),FIND("/",MID($A870,FIND("/",$A870)+1,20))+1,20))),"")))</f>
        <v/>
      </c>
      <c r="E870">
        <f>IF($A870="","",IF(OR($B870="",$C870="",$D870="",$B870&lt;1300,$B870&gt;1500,$C870&lt;1,$C870&gt;12,$D870&lt;1,$D870&gt;31),"نامعتبر",RIGHT("0000"&amp;$B870,4)&amp;"/"&amp;RIGHT("00"&amp;$C870,2)&amp;"/"&amp;RIGHT("00"&amp;$D870,2)))</f>
        <v/>
      </c>
      <c r="F870">
        <f>IF(OR($E870="",$E870="نامعتبر"),"",LEFT($E870,4)&amp;"/"&amp;MID($E870,6,2))</f>
        <v/>
      </c>
      <c r="G870">
        <f>IF(OR($E870="",$E870="نامعتبر",Sync!$Y867=""),"",Sync!$Y867)</f>
        <v/>
      </c>
      <c r="H870">
        <f>IF($G870="","",IF(Sync!$X867="","",Sync!$X867))</f>
        <v/>
      </c>
      <c r="I870">
        <f>IF($G870="","",IFERROR(VLOOKUP(Sync!$X867,OpTbl,3,0),""))</f>
        <v/>
      </c>
      <c r="J870">
        <f>IF(OR($G870="",Sync!$Z867=""),"",Sync!$Z867)</f>
        <v/>
      </c>
      <c r="K870">
        <f>IF(OR($G870="",Sync!$AA867=""),"",Sync!$AA867)</f>
        <v/>
      </c>
      <c r="L870">
        <f>IF($G870="",0,IF(Sync!$AB867="",0,Sync!$AB867))</f>
        <v/>
      </c>
      <c r="M870">
        <f>IF($G870="",0,IF(Sync!$AC867="",0,Sync!$AC867))</f>
        <v/>
      </c>
      <c r="N870">
        <f>IF($G870="","",IF($H870="مرجوعی خرید",-1,1)*($L870-$M870*IFERROR(VLOOKUP("P01",ParamTbl,3,0),1.5))*(1-IF($I870="خرید",IFERROR(VLOOKUP("P02",ParamTbl,3,0),1),0)/100))</f>
        <v/>
      </c>
      <c r="O870">
        <f>IF($G870="",0,IF($H870="مرجوعی خرید",-1,1)*IF(Sync!$AD867="",0,Sync!$AD867))</f>
        <v/>
      </c>
      <c r="P870">
        <f>IF(OR($G870="",Sync!$W867=""),"",Sync!$W867)</f>
        <v/>
      </c>
      <c r="Q870">
        <f>IF(OR($G870="",Sync!$AE867=""),"",Sync!$AE867)</f>
        <v/>
      </c>
      <c r="R870">
        <f>IF($G870="","",IF(Sync!$V867="","0000",IF(AND(ISNUMBER(Sync!$V867),Sync!$V867&gt;=0,Sync!$V867&lt;1),RIGHT("00"&amp;HOUR(Sync!$V867),2)&amp;RIGHT("00"&amp;MINUTE(Sync!$V867),2),IFERROR(RIGHT("00"&amp;VALUE(LEFT(Sync!$V867,FIND(":",Sync!$V867)-1)),2)&amp;RIGHT("00"&amp;VALUE(MID(Sync!$V867,FIND(":",Sync!$V867)+1,2)),2),"0000"))))</f>
        <v/>
      </c>
    </row>
    <row r="871">
      <c r="A871">
        <f>IF(Sync!$U868="","",Sync!$U868)</f>
        <v/>
      </c>
      <c r="B871">
        <f>IF($A871="","",IF(ISNUMBER($A871),IF(AND($A871&gt;=10000101,$A871&lt;=99991231),INT($A871/10000),""),IFERROR(VALUE(TRIM(LEFT($A871,FIND("/",$A871)-1))),"")))</f>
        <v/>
      </c>
      <c r="C871">
        <f>IF(OR($A871="",$B871=""),"",IF(ISNUMBER($A871),INT(MOD($A871,10000)/100),IFERROR(VALUE(TRIM(LEFT(MID($A871,FIND("/",$A871)+1,20),FIND("/",MID($A871,FIND("/",$A871)+1,20))-1))),"")))</f>
        <v/>
      </c>
      <c r="D871">
        <f>IF(OR($A871="",$B871=""),"",IF(ISNUMBER($A871),MOD($A871,100),IFERROR(VALUE(TRIM(MID(MID($A871,FIND("/",$A871)+1,20),FIND("/",MID($A871,FIND("/",$A871)+1,20))+1,20))),"")))</f>
        <v/>
      </c>
      <c r="E871">
        <f>IF($A871="","",IF(OR($B871="",$C871="",$D871="",$B871&lt;1300,$B871&gt;1500,$C871&lt;1,$C871&gt;12,$D871&lt;1,$D871&gt;31),"نامعتبر",RIGHT("0000"&amp;$B871,4)&amp;"/"&amp;RIGHT("00"&amp;$C871,2)&amp;"/"&amp;RIGHT("00"&amp;$D871,2)))</f>
        <v/>
      </c>
      <c r="F871">
        <f>IF(OR($E871="",$E871="نامعتبر"),"",LEFT($E871,4)&amp;"/"&amp;MID($E871,6,2))</f>
        <v/>
      </c>
      <c r="G871">
        <f>IF(OR($E871="",$E871="نامعتبر",Sync!$Y868=""),"",Sync!$Y868)</f>
        <v/>
      </c>
      <c r="H871">
        <f>IF($G871="","",IF(Sync!$X868="","",Sync!$X868))</f>
        <v/>
      </c>
      <c r="I871">
        <f>IF($G871="","",IFERROR(VLOOKUP(Sync!$X868,OpTbl,3,0),""))</f>
        <v/>
      </c>
      <c r="J871">
        <f>IF(OR($G871="",Sync!$Z868=""),"",Sync!$Z868)</f>
        <v/>
      </c>
      <c r="K871">
        <f>IF(OR($G871="",Sync!$AA868=""),"",Sync!$AA868)</f>
        <v/>
      </c>
      <c r="L871">
        <f>IF($G871="",0,IF(Sync!$AB868="",0,Sync!$AB868))</f>
        <v/>
      </c>
      <c r="M871">
        <f>IF($G871="",0,IF(Sync!$AC868="",0,Sync!$AC868))</f>
        <v/>
      </c>
      <c r="N871">
        <f>IF($G871="","",IF($H871="مرجوعی خرید",-1,1)*($L871-$M871*IFERROR(VLOOKUP("P01",ParamTbl,3,0),1.5))*(1-IF($I871="خرید",IFERROR(VLOOKUP("P02",ParamTbl,3,0),1),0)/100))</f>
        <v/>
      </c>
      <c r="O871">
        <f>IF($G871="",0,IF($H871="مرجوعی خرید",-1,1)*IF(Sync!$AD868="",0,Sync!$AD868))</f>
        <v/>
      </c>
      <c r="P871">
        <f>IF(OR($G871="",Sync!$W868=""),"",Sync!$W868)</f>
        <v/>
      </c>
      <c r="Q871">
        <f>IF(OR($G871="",Sync!$AE868=""),"",Sync!$AE868)</f>
        <v/>
      </c>
      <c r="R871">
        <f>IF($G871="","",IF(Sync!$V868="","0000",IF(AND(ISNUMBER(Sync!$V868),Sync!$V868&gt;=0,Sync!$V868&lt;1),RIGHT("00"&amp;HOUR(Sync!$V868),2)&amp;RIGHT("00"&amp;MINUTE(Sync!$V868),2),IFERROR(RIGHT("00"&amp;VALUE(LEFT(Sync!$V868,FIND(":",Sync!$V868)-1)),2)&amp;RIGHT("00"&amp;VALUE(MID(Sync!$V868,FIND(":",Sync!$V868)+1,2)),2),"0000"))))</f>
        <v/>
      </c>
    </row>
    <row r="872">
      <c r="A872">
        <f>IF(Sync!$U869="","",Sync!$U869)</f>
        <v/>
      </c>
      <c r="B872">
        <f>IF($A872="","",IF(ISNUMBER($A872),IF(AND($A872&gt;=10000101,$A872&lt;=99991231),INT($A872/10000),""),IFERROR(VALUE(TRIM(LEFT($A872,FIND("/",$A872)-1))),"")))</f>
        <v/>
      </c>
      <c r="C872">
        <f>IF(OR($A872="",$B872=""),"",IF(ISNUMBER($A872),INT(MOD($A872,10000)/100),IFERROR(VALUE(TRIM(LEFT(MID($A872,FIND("/",$A872)+1,20),FIND("/",MID($A872,FIND("/",$A872)+1,20))-1))),"")))</f>
        <v/>
      </c>
      <c r="D872">
        <f>IF(OR($A872="",$B872=""),"",IF(ISNUMBER($A872),MOD($A872,100),IFERROR(VALUE(TRIM(MID(MID($A872,FIND("/",$A872)+1,20),FIND("/",MID($A872,FIND("/",$A872)+1,20))+1,20))),"")))</f>
        <v/>
      </c>
      <c r="E872">
        <f>IF($A872="","",IF(OR($B872="",$C872="",$D872="",$B872&lt;1300,$B872&gt;1500,$C872&lt;1,$C872&gt;12,$D872&lt;1,$D872&gt;31),"نامعتبر",RIGHT("0000"&amp;$B872,4)&amp;"/"&amp;RIGHT("00"&amp;$C872,2)&amp;"/"&amp;RIGHT("00"&amp;$D872,2)))</f>
        <v/>
      </c>
      <c r="F872">
        <f>IF(OR($E872="",$E872="نامعتبر"),"",LEFT($E872,4)&amp;"/"&amp;MID($E872,6,2))</f>
        <v/>
      </c>
      <c r="G872">
        <f>IF(OR($E872="",$E872="نامعتبر",Sync!$Y869=""),"",Sync!$Y869)</f>
        <v/>
      </c>
      <c r="H872">
        <f>IF($G872="","",IF(Sync!$X869="","",Sync!$X869))</f>
        <v/>
      </c>
      <c r="I872">
        <f>IF($G872="","",IFERROR(VLOOKUP(Sync!$X869,OpTbl,3,0),""))</f>
        <v/>
      </c>
      <c r="J872">
        <f>IF(OR($G872="",Sync!$Z869=""),"",Sync!$Z869)</f>
        <v/>
      </c>
      <c r="K872">
        <f>IF(OR($G872="",Sync!$AA869=""),"",Sync!$AA869)</f>
        <v/>
      </c>
      <c r="L872">
        <f>IF($G872="",0,IF(Sync!$AB869="",0,Sync!$AB869))</f>
        <v/>
      </c>
      <c r="M872">
        <f>IF($G872="",0,IF(Sync!$AC869="",0,Sync!$AC869))</f>
        <v/>
      </c>
      <c r="N872">
        <f>IF($G872="","",IF($H872="مرجوعی خرید",-1,1)*($L872-$M872*IFERROR(VLOOKUP("P01",ParamTbl,3,0),1.5))*(1-IF($I872="خرید",IFERROR(VLOOKUP("P02",ParamTbl,3,0),1),0)/100))</f>
        <v/>
      </c>
      <c r="O872">
        <f>IF($G872="",0,IF($H872="مرجوعی خرید",-1,1)*IF(Sync!$AD869="",0,Sync!$AD869))</f>
        <v/>
      </c>
      <c r="P872">
        <f>IF(OR($G872="",Sync!$W869=""),"",Sync!$W869)</f>
        <v/>
      </c>
      <c r="Q872">
        <f>IF(OR($G872="",Sync!$AE869=""),"",Sync!$AE869)</f>
        <v/>
      </c>
      <c r="R872">
        <f>IF($G872="","",IF(Sync!$V869="","0000",IF(AND(ISNUMBER(Sync!$V869),Sync!$V869&gt;=0,Sync!$V869&lt;1),RIGHT("00"&amp;HOUR(Sync!$V869),2)&amp;RIGHT("00"&amp;MINUTE(Sync!$V869),2),IFERROR(RIGHT("00"&amp;VALUE(LEFT(Sync!$V869,FIND(":",Sync!$V869)-1)),2)&amp;RIGHT("00"&amp;VALUE(MID(Sync!$V869,FIND(":",Sync!$V869)+1,2)),2),"0000"))))</f>
        <v/>
      </c>
    </row>
    <row r="873">
      <c r="A873">
        <f>IF(Sync!$U870="","",Sync!$U870)</f>
        <v/>
      </c>
      <c r="B873">
        <f>IF($A873="","",IF(ISNUMBER($A873),IF(AND($A873&gt;=10000101,$A873&lt;=99991231),INT($A873/10000),""),IFERROR(VALUE(TRIM(LEFT($A873,FIND("/",$A873)-1))),"")))</f>
        <v/>
      </c>
      <c r="C873">
        <f>IF(OR($A873="",$B873=""),"",IF(ISNUMBER($A873),INT(MOD($A873,10000)/100),IFERROR(VALUE(TRIM(LEFT(MID($A873,FIND("/",$A873)+1,20),FIND("/",MID($A873,FIND("/",$A873)+1,20))-1))),"")))</f>
        <v/>
      </c>
      <c r="D873">
        <f>IF(OR($A873="",$B873=""),"",IF(ISNUMBER($A873),MOD($A873,100),IFERROR(VALUE(TRIM(MID(MID($A873,FIND("/",$A873)+1,20),FIND("/",MID($A873,FIND("/",$A873)+1,20))+1,20))),"")))</f>
        <v/>
      </c>
      <c r="E873">
        <f>IF($A873="","",IF(OR($B873="",$C873="",$D873="",$B873&lt;1300,$B873&gt;1500,$C873&lt;1,$C873&gt;12,$D873&lt;1,$D873&gt;31),"نامعتبر",RIGHT("0000"&amp;$B873,4)&amp;"/"&amp;RIGHT("00"&amp;$C873,2)&amp;"/"&amp;RIGHT("00"&amp;$D873,2)))</f>
        <v/>
      </c>
      <c r="F873">
        <f>IF(OR($E873="",$E873="نامعتبر"),"",LEFT($E873,4)&amp;"/"&amp;MID($E873,6,2))</f>
        <v/>
      </c>
      <c r="G873">
        <f>IF(OR($E873="",$E873="نامعتبر",Sync!$Y870=""),"",Sync!$Y870)</f>
        <v/>
      </c>
      <c r="H873">
        <f>IF($G873="","",IF(Sync!$X870="","",Sync!$X870))</f>
        <v/>
      </c>
      <c r="I873">
        <f>IF($G873="","",IFERROR(VLOOKUP(Sync!$X870,OpTbl,3,0),""))</f>
        <v/>
      </c>
      <c r="J873">
        <f>IF(OR($G873="",Sync!$Z870=""),"",Sync!$Z870)</f>
        <v/>
      </c>
      <c r="K873">
        <f>IF(OR($G873="",Sync!$AA870=""),"",Sync!$AA870)</f>
        <v/>
      </c>
      <c r="L873">
        <f>IF($G873="",0,IF(Sync!$AB870="",0,Sync!$AB870))</f>
        <v/>
      </c>
      <c r="M873">
        <f>IF($G873="",0,IF(Sync!$AC870="",0,Sync!$AC870))</f>
        <v/>
      </c>
      <c r="N873">
        <f>IF($G873="","",IF($H873="مرجوعی خرید",-1,1)*($L873-$M873*IFERROR(VLOOKUP("P01",ParamTbl,3,0),1.5))*(1-IF($I873="خرید",IFERROR(VLOOKUP("P02",ParamTbl,3,0),1),0)/100))</f>
        <v/>
      </c>
      <c r="O873">
        <f>IF($G873="",0,IF($H873="مرجوعی خرید",-1,1)*IF(Sync!$AD870="",0,Sync!$AD870))</f>
        <v/>
      </c>
      <c r="P873">
        <f>IF(OR($G873="",Sync!$W870=""),"",Sync!$W870)</f>
        <v/>
      </c>
      <c r="Q873">
        <f>IF(OR($G873="",Sync!$AE870=""),"",Sync!$AE870)</f>
        <v/>
      </c>
      <c r="R873">
        <f>IF($G873="","",IF(Sync!$V870="","0000",IF(AND(ISNUMBER(Sync!$V870),Sync!$V870&gt;=0,Sync!$V870&lt;1),RIGHT("00"&amp;HOUR(Sync!$V870),2)&amp;RIGHT("00"&amp;MINUTE(Sync!$V870),2),IFERROR(RIGHT("00"&amp;VALUE(LEFT(Sync!$V870,FIND(":",Sync!$V870)-1)),2)&amp;RIGHT("00"&amp;VALUE(MID(Sync!$V870,FIND(":",Sync!$V870)+1,2)),2),"0000"))))</f>
        <v/>
      </c>
    </row>
    <row r="874">
      <c r="A874">
        <f>IF(Sync!$U871="","",Sync!$U871)</f>
        <v/>
      </c>
      <c r="B874">
        <f>IF($A874="","",IF(ISNUMBER($A874),IF(AND($A874&gt;=10000101,$A874&lt;=99991231),INT($A874/10000),""),IFERROR(VALUE(TRIM(LEFT($A874,FIND("/",$A874)-1))),"")))</f>
        <v/>
      </c>
      <c r="C874">
        <f>IF(OR($A874="",$B874=""),"",IF(ISNUMBER($A874),INT(MOD($A874,10000)/100),IFERROR(VALUE(TRIM(LEFT(MID($A874,FIND("/",$A874)+1,20),FIND("/",MID($A874,FIND("/",$A874)+1,20))-1))),"")))</f>
        <v/>
      </c>
      <c r="D874">
        <f>IF(OR($A874="",$B874=""),"",IF(ISNUMBER($A874),MOD($A874,100),IFERROR(VALUE(TRIM(MID(MID($A874,FIND("/",$A874)+1,20),FIND("/",MID($A874,FIND("/",$A874)+1,20))+1,20))),"")))</f>
        <v/>
      </c>
      <c r="E874">
        <f>IF($A874="","",IF(OR($B874="",$C874="",$D874="",$B874&lt;1300,$B874&gt;1500,$C874&lt;1,$C874&gt;12,$D874&lt;1,$D874&gt;31),"نامعتبر",RIGHT("0000"&amp;$B874,4)&amp;"/"&amp;RIGHT("00"&amp;$C874,2)&amp;"/"&amp;RIGHT("00"&amp;$D874,2)))</f>
        <v/>
      </c>
      <c r="F874">
        <f>IF(OR($E874="",$E874="نامعتبر"),"",LEFT($E874,4)&amp;"/"&amp;MID($E874,6,2))</f>
        <v/>
      </c>
      <c r="G874">
        <f>IF(OR($E874="",$E874="نامعتبر",Sync!$Y871=""),"",Sync!$Y871)</f>
        <v/>
      </c>
      <c r="H874">
        <f>IF($G874="","",IF(Sync!$X871="","",Sync!$X871))</f>
        <v/>
      </c>
      <c r="I874">
        <f>IF($G874="","",IFERROR(VLOOKUP(Sync!$X871,OpTbl,3,0),""))</f>
        <v/>
      </c>
      <c r="J874">
        <f>IF(OR($G874="",Sync!$Z871=""),"",Sync!$Z871)</f>
        <v/>
      </c>
      <c r="K874">
        <f>IF(OR($G874="",Sync!$AA871=""),"",Sync!$AA871)</f>
        <v/>
      </c>
      <c r="L874">
        <f>IF($G874="",0,IF(Sync!$AB871="",0,Sync!$AB871))</f>
        <v/>
      </c>
      <c r="M874">
        <f>IF($G874="",0,IF(Sync!$AC871="",0,Sync!$AC871))</f>
        <v/>
      </c>
      <c r="N874">
        <f>IF($G874="","",IF($H874="مرجوعی خرید",-1,1)*($L874-$M874*IFERROR(VLOOKUP("P01",ParamTbl,3,0),1.5))*(1-IF($I874="خرید",IFERROR(VLOOKUP("P02",ParamTbl,3,0),1),0)/100))</f>
        <v/>
      </c>
      <c r="O874">
        <f>IF($G874="",0,IF($H874="مرجوعی خرید",-1,1)*IF(Sync!$AD871="",0,Sync!$AD871))</f>
        <v/>
      </c>
      <c r="P874">
        <f>IF(OR($G874="",Sync!$W871=""),"",Sync!$W871)</f>
        <v/>
      </c>
      <c r="Q874">
        <f>IF(OR($G874="",Sync!$AE871=""),"",Sync!$AE871)</f>
        <v/>
      </c>
      <c r="R874">
        <f>IF($G874="","",IF(Sync!$V871="","0000",IF(AND(ISNUMBER(Sync!$V871),Sync!$V871&gt;=0,Sync!$V871&lt;1),RIGHT("00"&amp;HOUR(Sync!$V871),2)&amp;RIGHT("00"&amp;MINUTE(Sync!$V871),2),IFERROR(RIGHT("00"&amp;VALUE(LEFT(Sync!$V871,FIND(":",Sync!$V871)-1)),2)&amp;RIGHT("00"&amp;VALUE(MID(Sync!$V871,FIND(":",Sync!$V871)+1,2)),2),"0000"))))</f>
        <v/>
      </c>
    </row>
    <row r="875">
      <c r="A875">
        <f>IF(Sync!$U872="","",Sync!$U872)</f>
        <v/>
      </c>
      <c r="B875">
        <f>IF($A875="","",IF(ISNUMBER($A875),IF(AND($A875&gt;=10000101,$A875&lt;=99991231),INT($A875/10000),""),IFERROR(VALUE(TRIM(LEFT($A875,FIND("/",$A875)-1))),"")))</f>
        <v/>
      </c>
      <c r="C875">
        <f>IF(OR($A875="",$B875=""),"",IF(ISNUMBER($A875),INT(MOD($A875,10000)/100),IFERROR(VALUE(TRIM(LEFT(MID($A875,FIND("/",$A875)+1,20),FIND("/",MID($A875,FIND("/",$A875)+1,20))-1))),"")))</f>
        <v/>
      </c>
      <c r="D875">
        <f>IF(OR($A875="",$B875=""),"",IF(ISNUMBER($A875),MOD($A875,100),IFERROR(VALUE(TRIM(MID(MID($A875,FIND("/",$A875)+1,20),FIND("/",MID($A875,FIND("/",$A875)+1,20))+1,20))),"")))</f>
        <v/>
      </c>
      <c r="E875">
        <f>IF($A875="","",IF(OR($B875="",$C875="",$D875="",$B875&lt;1300,$B875&gt;1500,$C875&lt;1,$C875&gt;12,$D875&lt;1,$D875&gt;31),"نامعتبر",RIGHT("0000"&amp;$B875,4)&amp;"/"&amp;RIGHT("00"&amp;$C875,2)&amp;"/"&amp;RIGHT("00"&amp;$D875,2)))</f>
        <v/>
      </c>
      <c r="F875">
        <f>IF(OR($E875="",$E875="نامعتبر"),"",LEFT($E875,4)&amp;"/"&amp;MID($E875,6,2))</f>
        <v/>
      </c>
      <c r="G875">
        <f>IF(OR($E875="",$E875="نامعتبر",Sync!$Y872=""),"",Sync!$Y872)</f>
        <v/>
      </c>
      <c r="H875">
        <f>IF($G875="","",IF(Sync!$X872="","",Sync!$X872))</f>
        <v/>
      </c>
      <c r="I875">
        <f>IF($G875="","",IFERROR(VLOOKUP(Sync!$X872,OpTbl,3,0),""))</f>
        <v/>
      </c>
      <c r="J875">
        <f>IF(OR($G875="",Sync!$Z872=""),"",Sync!$Z872)</f>
        <v/>
      </c>
      <c r="K875">
        <f>IF(OR($G875="",Sync!$AA872=""),"",Sync!$AA872)</f>
        <v/>
      </c>
      <c r="L875">
        <f>IF($G875="",0,IF(Sync!$AB872="",0,Sync!$AB872))</f>
        <v/>
      </c>
      <c r="M875">
        <f>IF($G875="",0,IF(Sync!$AC872="",0,Sync!$AC872))</f>
        <v/>
      </c>
      <c r="N875">
        <f>IF($G875="","",IF($H875="مرجوعی خرید",-1,1)*($L875-$M875*IFERROR(VLOOKUP("P01",ParamTbl,3,0),1.5))*(1-IF($I875="خرید",IFERROR(VLOOKUP("P02",ParamTbl,3,0),1),0)/100))</f>
        <v/>
      </c>
      <c r="O875">
        <f>IF($G875="",0,IF($H875="مرجوعی خرید",-1,1)*IF(Sync!$AD872="",0,Sync!$AD872))</f>
        <v/>
      </c>
      <c r="P875">
        <f>IF(OR($G875="",Sync!$W872=""),"",Sync!$W872)</f>
        <v/>
      </c>
      <c r="Q875">
        <f>IF(OR($G875="",Sync!$AE872=""),"",Sync!$AE872)</f>
        <v/>
      </c>
      <c r="R875">
        <f>IF($G875="","",IF(Sync!$V872="","0000",IF(AND(ISNUMBER(Sync!$V872),Sync!$V872&gt;=0,Sync!$V872&lt;1),RIGHT("00"&amp;HOUR(Sync!$V872),2)&amp;RIGHT("00"&amp;MINUTE(Sync!$V872),2),IFERROR(RIGHT("00"&amp;VALUE(LEFT(Sync!$V872,FIND(":",Sync!$V872)-1)),2)&amp;RIGHT("00"&amp;VALUE(MID(Sync!$V872,FIND(":",Sync!$V872)+1,2)),2),"0000"))))</f>
        <v/>
      </c>
    </row>
    <row r="876">
      <c r="A876">
        <f>IF(Sync!$U873="","",Sync!$U873)</f>
        <v/>
      </c>
      <c r="B876">
        <f>IF($A876="","",IF(ISNUMBER($A876),IF(AND($A876&gt;=10000101,$A876&lt;=99991231),INT($A876/10000),""),IFERROR(VALUE(TRIM(LEFT($A876,FIND("/",$A876)-1))),"")))</f>
        <v/>
      </c>
      <c r="C876">
        <f>IF(OR($A876="",$B876=""),"",IF(ISNUMBER($A876),INT(MOD($A876,10000)/100),IFERROR(VALUE(TRIM(LEFT(MID($A876,FIND("/",$A876)+1,20),FIND("/",MID($A876,FIND("/",$A876)+1,20))-1))),"")))</f>
        <v/>
      </c>
      <c r="D876">
        <f>IF(OR($A876="",$B876=""),"",IF(ISNUMBER($A876),MOD($A876,100),IFERROR(VALUE(TRIM(MID(MID($A876,FIND("/",$A876)+1,20),FIND("/",MID($A876,FIND("/",$A876)+1,20))+1,20))),"")))</f>
        <v/>
      </c>
      <c r="E876">
        <f>IF($A876="","",IF(OR($B876="",$C876="",$D876="",$B876&lt;1300,$B876&gt;1500,$C876&lt;1,$C876&gt;12,$D876&lt;1,$D876&gt;31),"نامعتبر",RIGHT("0000"&amp;$B876,4)&amp;"/"&amp;RIGHT("00"&amp;$C876,2)&amp;"/"&amp;RIGHT("00"&amp;$D876,2)))</f>
        <v/>
      </c>
      <c r="F876">
        <f>IF(OR($E876="",$E876="نامعتبر"),"",LEFT($E876,4)&amp;"/"&amp;MID($E876,6,2))</f>
        <v/>
      </c>
      <c r="G876">
        <f>IF(OR($E876="",$E876="نامعتبر",Sync!$Y873=""),"",Sync!$Y873)</f>
        <v/>
      </c>
      <c r="H876">
        <f>IF($G876="","",IF(Sync!$X873="","",Sync!$X873))</f>
        <v/>
      </c>
      <c r="I876">
        <f>IF($G876="","",IFERROR(VLOOKUP(Sync!$X873,OpTbl,3,0),""))</f>
        <v/>
      </c>
      <c r="J876">
        <f>IF(OR($G876="",Sync!$Z873=""),"",Sync!$Z873)</f>
        <v/>
      </c>
      <c r="K876">
        <f>IF(OR($G876="",Sync!$AA873=""),"",Sync!$AA873)</f>
        <v/>
      </c>
      <c r="L876">
        <f>IF($G876="",0,IF(Sync!$AB873="",0,Sync!$AB873))</f>
        <v/>
      </c>
      <c r="M876">
        <f>IF($G876="",0,IF(Sync!$AC873="",0,Sync!$AC873))</f>
        <v/>
      </c>
      <c r="N876">
        <f>IF($G876="","",IF($H876="مرجوعی خرید",-1,1)*($L876-$M876*IFERROR(VLOOKUP("P01",ParamTbl,3,0),1.5))*(1-IF($I876="خرید",IFERROR(VLOOKUP("P02",ParamTbl,3,0),1),0)/100))</f>
        <v/>
      </c>
      <c r="O876">
        <f>IF($G876="",0,IF($H876="مرجوعی خرید",-1,1)*IF(Sync!$AD873="",0,Sync!$AD873))</f>
        <v/>
      </c>
      <c r="P876">
        <f>IF(OR($G876="",Sync!$W873=""),"",Sync!$W873)</f>
        <v/>
      </c>
      <c r="Q876">
        <f>IF(OR($G876="",Sync!$AE873=""),"",Sync!$AE873)</f>
        <v/>
      </c>
      <c r="R876">
        <f>IF($G876="","",IF(Sync!$V873="","0000",IF(AND(ISNUMBER(Sync!$V873),Sync!$V873&gt;=0,Sync!$V873&lt;1),RIGHT("00"&amp;HOUR(Sync!$V873),2)&amp;RIGHT("00"&amp;MINUTE(Sync!$V873),2),IFERROR(RIGHT("00"&amp;VALUE(LEFT(Sync!$V873,FIND(":",Sync!$V873)-1)),2)&amp;RIGHT("00"&amp;VALUE(MID(Sync!$V873,FIND(":",Sync!$V873)+1,2)),2),"0000"))))</f>
        <v/>
      </c>
    </row>
    <row r="877">
      <c r="A877">
        <f>IF(Sync!$U874="","",Sync!$U874)</f>
        <v/>
      </c>
      <c r="B877">
        <f>IF($A877="","",IF(ISNUMBER($A877),IF(AND($A877&gt;=10000101,$A877&lt;=99991231),INT($A877/10000),""),IFERROR(VALUE(TRIM(LEFT($A877,FIND("/",$A877)-1))),"")))</f>
        <v/>
      </c>
      <c r="C877">
        <f>IF(OR($A877="",$B877=""),"",IF(ISNUMBER($A877),INT(MOD($A877,10000)/100),IFERROR(VALUE(TRIM(LEFT(MID($A877,FIND("/",$A877)+1,20),FIND("/",MID($A877,FIND("/",$A877)+1,20))-1))),"")))</f>
        <v/>
      </c>
      <c r="D877">
        <f>IF(OR($A877="",$B877=""),"",IF(ISNUMBER($A877),MOD($A877,100),IFERROR(VALUE(TRIM(MID(MID($A877,FIND("/",$A877)+1,20),FIND("/",MID($A877,FIND("/",$A877)+1,20))+1,20))),"")))</f>
        <v/>
      </c>
      <c r="E877">
        <f>IF($A877="","",IF(OR($B877="",$C877="",$D877="",$B877&lt;1300,$B877&gt;1500,$C877&lt;1,$C877&gt;12,$D877&lt;1,$D877&gt;31),"نامعتبر",RIGHT("0000"&amp;$B877,4)&amp;"/"&amp;RIGHT("00"&amp;$C877,2)&amp;"/"&amp;RIGHT("00"&amp;$D877,2)))</f>
        <v/>
      </c>
      <c r="F877">
        <f>IF(OR($E877="",$E877="نامعتبر"),"",LEFT($E877,4)&amp;"/"&amp;MID($E877,6,2))</f>
        <v/>
      </c>
      <c r="G877">
        <f>IF(OR($E877="",$E877="نامعتبر",Sync!$Y874=""),"",Sync!$Y874)</f>
        <v/>
      </c>
      <c r="H877">
        <f>IF($G877="","",IF(Sync!$X874="","",Sync!$X874))</f>
        <v/>
      </c>
      <c r="I877">
        <f>IF($G877="","",IFERROR(VLOOKUP(Sync!$X874,OpTbl,3,0),""))</f>
        <v/>
      </c>
      <c r="J877">
        <f>IF(OR($G877="",Sync!$Z874=""),"",Sync!$Z874)</f>
        <v/>
      </c>
      <c r="K877">
        <f>IF(OR($G877="",Sync!$AA874=""),"",Sync!$AA874)</f>
        <v/>
      </c>
      <c r="L877">
        <f>IF($G877="",0,IF(Sync!$AB874="",0,Sync!$AB874))</f>
        <v/>
      </c>
      <c r="M877">
        <f>IF($G877="",0,IF(Sync!$AC874="",0,Sync!$AC874))</f>
        <v/>
      </c>
      <c r="N877">
        <f>IF($G877="","",IF($H877="مرجوعی خرید",-1,1)*($L877-$M877*IFERROR(VLOOKUP("P01",ParamTbl,3,0),1.5))*(1-IF($I877="خرید",IFERROR(VLOOKUP("P02",ParamTbl,3,0),1),0)/100))</f>
        <v/>
      </c>
      <c r="O877">
        <f>IF($G877="",0,IF($H877="مرجوعی خرید",-1,1)*IF(Sync!$AD874="",0,Sync!$AD874))</f>
        <v/>
      </c>
      <c r="P877">
        <f>IF(OR($G877="",Sync!$W874=""),"",Sync!$W874)</f>
        <v/>
      </c>
      <c r="Q877">
        <f>IF(OR($G877="",Sync!$AE874=""),"",Sync!$AE874)</f>
        <v/>
      </c>
      <c r="R877">
        <f>IF($G877="","",IF(Sync!$V874="","0000",IF(AND(ISNUMBER(Sync!$V874),Sync!$V874&gt;=0,Sync!$V874&lt;1),RIGHT("00"&amp;HOUR(Sync!$V874),2)&amp;RIGHT("00"&amp;MINUTE(Sync!$V874),2),IFERROR(RIGHT("00"&amp;VALUE(LEFT(Sync!$V874,FIND(":",Sync!$V874)-1)),2)&amp;RIGHT("00"&amp;VALUE(MID(Sync!$V874,FIND(":",Sync!$V874)+1,2)),2),"0000"))))</f>
        <v/>
      </c>
    </row>
    <row r="878">
      <c r="A878">
        <f>IF(Sync!$U875="","",Sync!$U875)</f>
        <v/>
      </c>
      <c r="B878">
        <f>IF($A878="","",IF(ISNUMBER($A878),IF(AND($A878&gt;=10000101,$A878&lt;=99991231),INT($A878/10000),""),IFERROR(VALUE(TRIM(LEFT($A878,FIND("/",$A878)-1))),"")))</f>
        <v/>
      </c>
      <c r="C878">
        <f>IF(OR($A878="",$B878=""),"",IF(ISNUMBER($A878),INT(MOD($A878,10000)/100),IFERROR(VALUE(TRIM(LEFT(MID($A878,FIND("/",$A878)+1,20),FIND("/",MID($A878,FIND("/",$A878)+1,20))-1))),"")))</f>
        <v/>
      </c>
      <c r="D878">
        <f>IF(OR($A878="",$B878=""),"",IF(ISNUMBER($A878),MOD($A878,100),IFERROR(VALUE(TRIM(MID(MID($A878,FIND("/",$A878)+1,20),FIND("/",MID($A878,FIND("/",$A878)+1,20))+1,20))),"")))</f>
        <v/>
      </c>
      <c r="E878">
        <f>IF($A878="","",IF(OR($B878="",$C878="",$D878="",$B878&lt;1300,$B878&gt;1500,$C878&lt;1,$C878&gt;12,$D878&lt;1,$D878&gt;31),"نامعتبر",RIGHT("0000"&amp;$B878,4)&amp;"/"&amp;RIGHT("00"&amp;$C878,2)&amp;"/"&amp;RIGHT("00"&amp;$D878,2)))</f>
        <v/>
      </c>
      <c r="F878">
        <f>IF(OR($E878="",$E878="نامعتبر"),"",LEFT($E878,4)&amp;"/"&amp;MID($E878,6,2))</f>
        <v/>
      </c>
      <c r="G878">
        <f>IF(OR($E878="",$E878="نامعتبر",Sync!$Y875=""),"",Sync!$Y875)</f>
        <v/>
      </c>
      <c r="H878">
        <f>IF($G878="","",IF(Sync!$X875="","",Sync!$X875))</f>
        <v/>
      </c>
      <c r="I878">
        <f>IF($G878="","",IFERROR(VLOOKUP(Sync!$X875,OpTbl,3,0),""))</f>
        <v/>
      </c>
      <c r="J878">
        <f>IF(OR($G878="",Sync!$Z875=""),"",Sync!$Z875)</f>
        <v/>
      </c>
      <c r="K878">
        <f>IF(OR($G878="",Sync!$AA875=""),"",Sync!$AA875)</f>
        <v/>
      </c>
      <c r="L878">
        <f>IF($G878="",0,IF(Sync!$AB875="",0,Sync!$AB875))</f>
        <v/>
      </c>
      <c r="M878">
        <f>IF($G878="",0,IF(Sync!$AC875="",0,Sync!$AC875))</f>
        <v/>
      </c>
      <c r="N878">
        <f>IF($G878="","",IF($H878="مرجوعی خرید",-1,1)*($L878-$M878*IFERROR(VLOOKUP("P01",ParamTbl,3,0),1.5))*(1-IF($I878="خرید",IFERROR(VLOOKUP("P02",ParamTbl,3,0),1),0)/100))</f>
        <v/>
      </c>
      <c r="O878">
        <f>IF($G878="",0,IF($H878="مرجوعی خرید",-1,1)*IF(Sync!$AD875="",0,Sync!$AD875))</f>
        <v/>
      </c>
      <c r="P878">
        <f>IF(OR($G878="",Sync!$W875=""),"",Sync!$W875)</f>
        <v/>
      </c>
      <c r="Q878">
        <f>IF(OR($G878="",Sync!$AE875=""),"",Sync!$AE875)</f>
        <v/>
      </c>
      <c r="R878">
        <f>IF($G878="","",IF(Sync!$V875="","0000",IF(AND(ISNUMBER(Sync!$V875),Sync!$V875&gt;=0,Sync!$V875&lt;1),RIGHT("00"&amp;HOUR(Sync!$V875),2)&amp;RIGHT("00"&amp;MINUTE(Sync!$V875),2),IFERROR(RIGHT("00"&amp;VALUE(LEFT(Sync!$V875,FIND(":",Sync!$V875)-1)),2)&amp;RIGHT("00"&amp;VALUE(MID(Sync!$V875,FIND(":",Sync!$V875)+1,2)),2),"0000"))))</f>
        <v/>
      </c>
    </row>
    <row r="879">
      <c r="A879">
        <f>IF(Sync!$U876="","",Sync!$U876)</f>
        <v/>
      </c>
      <c r="B879">
        <f>IF($A879="","",IF(ISNUMBER($A879),IF(AND($A879&gt;=10000101,$A879&lt;=99991231),INT($A879/10000),""),IFERROR(VALUE(TRIM(LEFT($A879,FIND("/",$A879)-1))),"")))</f>
        <v/>
      </c>
      <c r="C879">
        <f>IF(OR($A879="",$B879=""),"",IF(ISNUMBER($A879),INT(MOD($A879,10000)/100),IFERROR(VALUE(TRIM(LEFT(MID($A879,FIND("/",$A879)+1,20),FIND("/",MID($A879,FIND("/",$A879)+1,20))-1))),"")))</f>
        <v/>
      </c>
      <c r="D879">
        <f>IF(OR($A879="",$B879=""),"",IF(ISNUMBER($A879),MOD($A879,100),IFERROR(VALUE(TRIM(MID(MID($A879,FIND("/",$A879)+1,20),FIND("/",MID($A879,FIND("/",$A879)+1,20))+1,20))),"")))</f>
        <v/>
      </c>
      <c r="E879">
        <f>IF($A879="","",IF(OR($B879="",$C879="",$D879="",$B879&lt;1300,$B879&gt;1500,$C879&lt;1,$C879&gt;12,$D879&lt;1,$D879&gt;31),"نامعتبر",RIGHT("0000"&amp;$B879,4)&amp;"/"&amp;RIGHT("00"&amp;$C879,2)&amp;"/"&amp;RIGHT("00"&amp;$D879,2)))</f>
        <v/>
      </c>
      <c r="F879">
        <f>IF(OR($E879="",$E879="نامعتبر"),"",LEFT($E879,4)&amp;"/"&amp;MID($E879,6,2))</f>
        <v/>
      </c>
      <c r="G879">
        <f>IF(OR($E879="",$E879="نامعتبر",Sync!$Y876=""),"",Sync!$Y876)</f>
        <v/>
      </c>
      <c r="H879">
        <f>IF($G879="","",IF(Sync!$X876="","",Sync!$X876))</f>
        <v/>
      </c>
      <c r="I879">
        <f>IF($G879="","",IFERROR(VLOOKUP(Sync!$X876,OpTbl,3,0),""))</f>
        <v/>
      </c>
      <c r="J879">
        <f>IF(OR($G879="",Sync!$Z876=""),"",Sync!$Z876)</f>
        <v/>
      </c>
      <c r="K879">
        <f>IF(OR($G879="",Sync!$AA876=""),"",Sync!$AA876)</f>
        <v/>
      </c>
      <c r="L879">
        <f>IF($G879="",0,IF(Sync!$AB876="",0,Sync!$AB876))</f>
        <v/>
      </c>
      <c r="M879">
        <f>IF($G879="",0,IF(Sync!$AC876="",0,Sync!$AC876))</f>
        <v/>
      </c>
      <c r="N879">
        <f>IF($G879="","",IF($H879="مرجوعی خرید",-1,1)*($L879-$M879*IFERROR(VLOOKUP("P01",ParamTbl,3,0),1.5))*(1-IF($I879="خرید",IFERROR(VLOOKUP("P02",ParamTbl,3,0),1),0)/100))</f>
        <v/>
      </c>
      <c r="O879">
        <f>IF($G879="",0,IF($H879="مرجوعی خرید",-1,1)*IF(Sync!$AD876="",0,Sync!$AD876))</f>
        <v/>
      </c>
      <c r="P879">
        <f>IF(OR($G879="",Sync!$W876=""),"",Sync!$W876)</f>
        <v/>
      </c>
      <c r="Q879">
        <f>IF(OR($G879="",Sync!$AE876=""),"",Sync!$AE876)</f>
        <v/>
      </c>
      <c r="R879">
        <f>IF($G879="","",IF(Sync!$V876="","0000",IF(AND(ISNUMBER(Sync!$V876),Sync!$V876&gt;=0,Sync!$V876&lt;1),RIGHT("00"&amp;HOUR(Sync!$V876),2)&amp;RIGHT("00"&amp;MINUTE(Sync!$V876),2),IFERROR(RIGHT("00"&amp;VALUE(LEFT(Sync!$V876,FIND(":",Sync!$V876)-1)),2)&amp;RIGHT("00"&amp;VALUE(MID(Sync!$V876,FIND(":",Sync!$V876)+1,2)),2),"0000"))))</f>
        <v/>
      </c>
    </row>
    <row r="880">
      <c r="A880">
        <f>IF(Sync!$U877="","",Sync!$U877)</f>
        <v/>
      </c>
      <c r="B880">
        <f>IF($A880="","",IF(ISNUMBER($A880),IF(AND($A880&gt;=10000101,$A880&lt;=99991231),INT($A880/10000),""),IFERROR(VALUE(TRIM(LEFT($A880,FIND("/",$A880)-1))),"")))</f>
        <v/>
      </c>
      <c r="C880">
        <f>IF(OR($A880="",$B880=""),"",IF(ISNUMBER($A880),INT(MOD($A880,10000)/100),IFERROR(VALUE(TRIM(LEFT(MID($A880,FIND("/",$A880)+1,20),FIND("/",MID($A880,FIND("/",$A880)+1,20))-1))),"")))</f>
        <v/>
      </c>
      <c r="D880">
        <f>IF(OR($A880="",$B880=""),"",IF(ISNUMBER($A880),MOD($A880,100),IFERROR(VALUE(TRIM(MID(MID($A880,FIND("/",$A880)+1,20),FIND("/",MID($A880,FIND("/",$A880)+1,20))+1,20))),"")))</f>
        <v/>
      </c>
      <c r="E880">
        <f>IF($A880="","",IF(OR($B880="",$C880="",$D880="",$B880&lt;1300,$B880&gt;1500,$C880&lt;1,$C880&gt;12,$D880&lt;1,$D880&gt;31),"نامعتبر",RIGHT("0000"&amp;$B880,4)&amp;"/"&amp;RIGHT("00"&amp;$C880,2)&amp;"/"&amp;RIGHT("00"&amp;$D880,2)))</f>
        <v/>
      </c>
      <c r="F880">
        <f>IF(OR($E880="",$E880="نامعتبر"),"",LEFT($E880,4)&amp;"/"&amp;MID($E880,6,2))</f>
        <v/>
      </c>
      <c r="G880">
        <f>IF(OR($E880="",$E880="نامعتبر",Sync!$Y877=""),"",Sync!$Y877)</f>
        <v/>
      </c>
      <c r="H880">
        <f>IF($G880="","",IF(Sync!$X877="","",Sync!$X877))</f>
        <v/>
      </c>
      <c r="I880">
        <f>IF($G880="","",IFERROR(VLOOKUP(Sync!$X877,OpTbl,3,0),""))</f>
        <v/>
      </c>
      <c r="J880">
        <f>IF(OR($G880="",Sync!$Z877=""),"",Sync!$Z877)</f>
        <v/>
      </c>
      <c r="K880">
        <f>IF(OR($G880="",Sync!$AA877=""),"",Sync!$AA877)</f>
        <v/>
      </c>
      <c r="L880">
        <f>IF($G880="",0,IF(Sync!$AB877="",0,Sync!$AB877))</f>
        <v/>
      </c>
      <c r="M880">
        <f>IF($G880="",0,IF(Sync!$AC877="",0,Sync!$AC877))</f>
        <v/>
      </c>
      <c r="N880">
        <f>IF($G880="","",IF($H880="مرجوعی خرید",-1,1)*($L880-$M880*IFERROR(VLOOKUP("P01",ParamTbl,3,0),1.5))*(1-IF($I880="خرید",IFERROR(VLOOKUP("P02",ParamTbl,3,0),1),0)/100))</f>
        <v/>
      </c>
      <c r="O880">
        <f>IF($G880="",0,IF($H880="مرجوعی خرید",-1,1)*IF(Sync!$AD877="",0,Sync!$AD877))</f>
        <v/>
      </c>
      <c r="P880">
        <f>IF(OR($G880="",Sync!$W877=""),"",Sync!$W877)</f>
        <v/>
      </c>
      <c r="Q880">
        <f>IF(OR($G880="",Sync!$AE877=""),"",Sync!$AE877)</f>
        <v/>
      </c>
      <c r="R880">
        <f>IF($G880="","",IF(Sync!$V877="","0000",IF(AND(ISNUMBER(Sync!$V877),Sync!$V877&gt;=0,Sync!$V877&lt;1),RIGHT("00"&amp;HOUR(Sync!$V877),2)&amp;RIGHT("00"&amp;MINUTE(Sync!$V877),2),IFERROR(RIGHT("00"&amp;VALUE(LEFT(Sync!$V877,FIND(":",Sync!$V877)-1)),2)&amp;RIGHT("00"&amp;VALUE(MID(Sync!$V877,FIND(":",Sync!$V877)+1,2)),2),"0000"))))</f>
        <v/>
      </c>
    </row>
    <row r="881">
      <c r="A881">
        <f>IF(Sync!$U878="","",Sync!$U878)</f>
        <v/>
      </c>
      <c r="B881">
        <f>IF($A881="","",IF(ISNUMBER($A881),IF(AND($A881&gt;=10000101,$A881&lt;=99991231),INT($A881/10000),""),IFERROR(VALUE(TRIM(LEFT($A881,FIND("/",$A881)-1))),"")))</f>
        <v/>
      </c>
      <c r="C881">
        <f>IF(OR($A881="",$B881=""),"",IF(ISNUMBER($A881),INT(MOD($A881,10000)/100),IFERROR(VALUE(TRIM(LEFT(MID($A881,FIND("/",$A881)+1,20),FIND("/",MID($A881,FIND("/",$A881)+1,20))-1))),"")))</f>
        <v/>
      </c>
      <c r="D881">
        <f>IF(OR($A881="",$B881=""),"",IF(ISNUMBER($A881),MOD($A881,100),IFERROR(VALUE(TRIM(MID(MID($A881,FIND("/",$A881)+1,20),FIND("/",MID($A881,FIND("/",$A881)+1,20))+1,20))),"")))</f>
        <v/>
      </c>
      <c r="E881">
        <f>IF($A881="","",IF(OR($B881="",$C881="",$D881="",$B881&lt;1300,$B881&gt;1500,$C881&lt;1,$C881&gt;12,$D881&lt;1,$D881&gt;31),"نامعتبر",RIGHT("0000"&amp;$B881,4)&amp;"/"&amp;RIGHT("00"&amp;$C881,2)&amp;"/"&amp;RIGHT("00"&amp;$D881,2)))</f>
        <v/>
      </c>
      <c r="F881">
        <f>IF(OR($E881="",$E881="نامعتبر"),"",LEFT($E881,4)&amp;"/"&amp;MID($E881,6,2))</f>
        <v/>
      </c>
      <c r="G881">
        <f>IF(OR($E881="",$E881="نامعتبر",Sync!$Y878=""),"",Sync!$Y878)</f>
        <v/>
      </c>
      <c r="H881">
        <f>IF($G881="","",IF(Sync!$X878="","",Sync!$X878))</f>
        <v/>
      </c>
      <c r="I881">
        <f>IF($G881="","",IFERROR(VLOOKUP(Sync!$X878,OpTbl,3,0),""))</f>
        <v/>
      </c>
      <c r="J881">
        <f>IF(OR($G881="",Sync!$Z878=""),"",Sync!$Z878)</f>
        <v/>
      </c>
      <c r="K881">
        <f>IF(OR($G881="",Sync!$AA878=""),"",Sync!$AA878)</f>
        <v/>
      </c>
      <c r="L881">
        <f>IF($G881="",0,IF(Sync!$AB878="",0,Sync!$AB878))</f>
        <v/>
      </c>
      <c r="M881">
        <f>IF($G881="",0,IF(Sync!$AC878="",0,Sync!$AC878))</f>
        <v/>
      </c>
      <c r="N881">
        <f>IF($G881="","",IF($H881="مرجوعی خرید",-1,1)*($L881-$M881*IFERROR(VLOOKUP("P01",ParamTbl,3,0),1.5))*(1-IF($I881="خرید",IFERROR(VLOOKUP("P02",ParamTbl,3,0),1),0)/100))</f>
        <v/>
      </c>
      <c r="O881">
        <f>IF($G881="",0,IF($H881="مرجوعی خرید",-1,1)*IF(Sync!$AD878="",0,Sync!$AD878))</f>
        <v/>
      </c>
      <c r="P881">
        <f>IF(OR($G881="",Sync!$W878=""),"",Sync!$W878)</f>
        <v/>
      </c>
      <c r="Q881">
        <f>IF(OR($G881="",Sync!$AE878=""),"",Sync!$AE878)</f>
        <v/>
      </c>
      <c r="R881">
        <f>IF($G881="","",IF(Sync!$V878="","0000",IF(AND(ISNUMBER(Sync!$V878),Sync!$V878&gt;=0,Sync!$V878&lt;1),RIGHT("00"&amp;HOUR(Sync!$V878),2)&amp;RIGHT("00"&amp;MINUTE(Sync!$V878),2),IFERROR(RIGHT("00"&amp;VALUE(LEFT(Sync!$V878,FIND(":",Sync!$V878)-1)),2)&amp;RIGHT("00"&amp;VALUE(MID(Sync!$V878,FIND(":",Sync!$V878)+1,2)),2),"0000"))))</f>
        <v/>
      </c>
    </row>
    <row r="882">
      <c r="A882">
        <f>IF(Sync!$U879="","",Sync!$U879)</f>
        <v/>
      </c>
      <c r="B882">
        <f>IF($A882="","",IF(ISNUMBER($A882),IF(AND($A882&gt;=10000101,$A882&lt;=99991231),INT($A882/10000),""),IFERROR(VALUE(TRIM(LEFT($A882,FIND("/",$A882)-1))),"")))</f>
        <v/>
      </c>
      <c r="C882">
        <f>IF(OR($A882="",$B882=""),"",IF(ISNUMBER($A882),INT(MOD($A882,10000)/100),IFERROR(VALUE(TRIM(LEFT(MID($A882,FIND("/",$A882)+1,20),FIND("/",MID($A882,FIND("/",$A882)+1,20))-1))),"")))</f>
        <v/>
      </c>
      <c r="D882">
        <f>IF(OR($A882="",$B882=""),"",IF(ISNUMBER($A882),MOD($A882,100),IFERROR(VALUE(TRIM(MID(MID($A882,FIND("/",$A882)+1,20),FIND("/",MID($A882,FIND("/",$A882)+1,20))+1,20))),"")))</f>
        <v/>
      </c>
      <c r="E882">
        <f>IF($A882="","",IF(OR($B882="",$C882="",$D882="",$B882&lt;1300,$B882&gt;1500,$C882&lt;1,$C882&gt;12,$D882&lt;1,$D882&gt;31),"نامعتبر",RIGHT("0000"&amp;$B882,4)&amp;"/"&amp;RIGHT("00"&amp;$C882,2)&amp;"/"&amp;RIGHT("00"&amp;$D882,2)))</f>
        <v/>
      </c>
      <c r="F882">
        <f>IF(OR($E882="",$E882="نامعتبر"),"",LEFT($E882,4)&amp;"/"&amp;MID($E882,6,2))</f>
        <v/>
      </c>
      <c r="G882">
        <f>IF(OR($E882="",$E882="نامعتبر",Sync!$Y879=""),"",Sync!$Y879)</f>
        <v/>
      </c>
      <c r="H882">
        <f>IF($G882="","",IF(Sync!$X879="","",Sync!$X879))</f>
        <v/>
      </c>
      <c r="I882">
        <f>IF($G882="","",IFERROR(VLOOKUP(Sync!$X879,OpTbl,3,0),""))</f>
        <v/>
      </c>
      <c r="J882">
        <f>IF(OR($G882="",Sync!$Z879=""),"",Sync!$Z879)</f>
        <v/>
      </c>
      <c r="K882">
        <f>IF(OR($G882="",Sync!$AA879=""),"",Sync!$AA879)</f>
        <v/>
      </c>
      <c r="L882">
        <f>IF($G882="",0,IF(Sync!$AB879="",0,Sync!$AB879))</f>
        <v/>
      </c>
      <c r="M882">
        <f>IF($G882="",0,IF(Sync!$AC879="",0,Sync!$AC879))</f>
        <v/>
      </c>
      <c r="N882">
        <f>IF($G882="","",IF($H882="مرجوعی خرید",-1,1)*($L882-$M882*IFERROR(VLOOKUP("P01",ParamTbl,3,0),1.5))*(1-IF($I882="خرید",IFERROR(VLOOKUP("P02",ParamTbl,3,0),1),0)/100))</f>
        <v/>
      </c>
      <c r="O882">
        <f>IF($G882="",0,IF($H882="مرجوعی خرید",-1,1)*IF(Sync!$AD879="",0,Sync!$AD879))</f>
        <v/>
      </c>
      <c r="P882">
        <f>IF(OR($G882="",Sync!$W879=""),"",Sync!$W879)</f>
        <v/>
      </c>
      <c r="Q882">
        <f>IF(OR($G882="",Sync!$AE879=""),"",Sync!$AE879)</f>
        <v/>
      </c>
      <c r="R882">
        <f>IF($G882="","",IF(Sync!$V879="","0000",IF(AND(ISNUMBER(Sync!$V879),Sync!$V879&gt;=0,Sync!$V879&lt;1),RIGHT("00"&amp;HOUR(Sync!$V879),2)&amp;RIGHT("00"&amp;MINUTE(Sync!$V879),2),IFERROR(RIGHT("00"&amp;VALUE(LEFT(Sync!$V879,FIND(":",Sync!$V879)-1)),2)&amp;RIGHT("00"&amp;VALUE(MID(Sync!$V879,FIND(":",Sync!$V879)+1,2)),2),"0000"))))</f>
        <v/>
      </c>
    </row>
    <row r="883">
      <c r="A883">
        <f>IF(Sync!$U880="","",Sync!$U880)</f>
        <v/>
      </c>
      <c r="B883">
        <f>IF($A883="","",IF(ISNUMBER($A883),IF(AND($A883&gt;=10000101,$A883&lt;=99991231),INT($A883/10000),""),IFERROR(VALUE(TRIM(LEFT($A883,FIND("/",$A883)-1))),"")))</f>
        <v/>
      </c>
      <c r="C883">
        <f>IF(OR($A883="",$B883=""),"",IF(ISNUMBER($A883),INT(MOD($A883,10000)/100),IFERROR(VALUE(TRIM(LEFT(MID($A883,FIND("/",$A883)+1,20),FIND("/",MID($A883,FIND("/",$A883)+1,20))-1))),"")))</f>
        <v/>
      </c>
      <c r="D883">
        <f>IF(OR($A883="",$B883=""),"",IF(ISNUMBER($A883),MOD($A883,100),IFERROR(VALUE(TRIM(MID(MID($A883,FIND("/",$A883)+1,20),FIND("/",MID($A883,FIND("/",$A883)+1,20))+1,20))),"")))</f>
        <v/>
      </c>
      <c r="E883">
        <f>IF($A883="","",IF(OR($B883="",$C883="",$D883="",$B883&lt;1300,$B883&gt;1500,$C883&lt;1,$C883&gt;12,$D883&lt;1,$D883&gt;31),"نامعتبر",RIGHT("0000"&amp;$B883,4)&amp;"/"&amp;RIGHT("00"&amp;$C883,2)&amp;"/"&amp;RIGHT("00"&amp;$D883,2)))</f>
        <v/>
      </c>
      <c r="F883">
        <f>IF(OR($E883="",$E883="نامعتبر"),"",LEFT($E883,4)&amp;"/"&amp;MID($E883,6,2))</f>
        <v/>
      </c>
      <c r="G883">
        <f>IF(OR($E883="",$E883="نامعتبر",Sync!$Y880=""),"",Sync!$Y880)</f>
        <v/>
      </c>
      <c r="H883">
        <f>IF($G883="","",IF(Sync!$X880="","",Sync!$X880))</f>
        <v/>
      </c>
      <c r="I883">
        <f>IF($G883="","",IFERROR(VLOOKUP(Sync!$X880,OpTbl,3,0),""))</f>
        <v/>
      </c>
      <c r="J883">
        <f>IF(OR($G883="",Sync!$Z880=""),"",Sync!$Z880)</f>
        <v/>
      </c>
      <c r="K883">
        <f>IF(OR($G883="",Sync!$AA880=""),"",Sync!$AA880)</f>
        <v/>
      </c>
      <c r="L883">
        <f>IF($G883="",0,IF(Sync!$AB880="",0,Sync!$AB880))</f>
        <v/>
      </c>
      <c r="M883">
        <f>IF($G883="",0,IF(Sync!$AC880="",0,Sync!$AC880))</f>
        <v/>
      </c>
      <c r="N883">
        <f>IF($G883="","",IF($H883="مرجوعی خرید",-1,1)*($L883-$M883*IFERROR(VLOOKUP("P01",ParamTbl,3,0),1.5))*(1-IF($I883="خرید",IFERROR(VLOOKUP("P02",ParamTbl,3,0),1),0)/100))</f>
        <v/>
      </c>
      <c r="O883">
        <f>IF($G883="",0,IF($H883="مرجوعی خرید",-1,1)*IF(Sync!$AD880="",0,Sync!$AD880))</f>
        <v/>
      </c>
      <c r="P883">
        <f>IF(OR($G883="",Sync!$W880=""),"",Sync!$W880)</f>
        <v/>
      </c>
      <c r="Q883">
        <f>IF(OR($G883="",Sync!$AE880=""),"",Sync!$AE880)</f>
        <v/>
      </c>
      <c r="R883">
        <f>IF($G883="","",IF(Sync!$V880="","0000",IF(AND(ISNUMBER(Sync!$V880),Sync!$V880&gt;=0,Sync!$V880&lt;1),RIGHT("00"&amp;HOUR(Sync!$V880),2)&amp;RIGHT("00"&amp;MINUTE(Sync!$V880),2),IFERROR(RIGHT("00"&amp;VALUE(LEFT(Sync!$V880,FIND(":",Sync!$V880)-1)),2)&amp;RIGHT("00"&amp;VALUE(MID(Sync!$V880,FIND(":",Sync!$V880)+1,2)),2),"0000"))))</f>
        <v/>
      </c>
    </row>
    <row r="884">
      <c r="A884">
        <f>IF(Sync!$U881="","",Sync!$U881)</f>
        <v/>
      </c>
      <c r="B884">
        <f>IF($A884="","",IF(ISNUMBER($A884),IF(AND($A884&gt;=10000101,$A884&lt;=99991231),INT($A884/10000),""),IFERROR(VALUE(TRIM(LEFT($A884,FIND("/",$A884)-1))),"")))</f>
        <v/>
      </c>
      <c r="C884">
        <f>IF(OR($A884="",$B884=""),"",IF(ISNUMBER($A884),INT(MOD($A884,10000)/100),IFERROR(VALUE(TRIM(LEFT(MID($A884,FIND("/",$A884)+1,20),FIND("/",MID($A884,FIND("/",$A884)+1,20))-1))),"")))</f>
        <v/>
      </c>
      <c r="D884">
        <f>IF(OR($A884="",$B884=""),"",IF(ISNUMBER($A884),MOD($A884,100),IFERROR(VALUE(TRIM(MID(MID($A884,FIND("/",$A884)+1,20),FIND("/",MID($A884,FIND("/",$A884)+1,20))+1,20))),"")))</f>
        <v/>
      </c>
      <c r="E884">
        <f>IF($A884="","",IF(OR($B884="",$C884="",$D884="",$B884&lt;1300,$B884&gt;1500,$C884&lt;1,$C884&gt;12,$D884&lt;1,$D884&gt;31),"نامعتبر",RIGHT("0000"&amp;$B884,4)&amp;"/"&amp;RIGHT("00"&amp;$C884,2)&amp;"/"&amp;RIGHT("00"&amp;$D884,2)))</f>
        <v/>
      </c>
      <c r="F884">
        <f>IF(OR($E884="",$E884="نامعتبر"),"",LEFT($E884,4)&amp;"/"&amp;MID($E884,6,2))</f>
        <v/>
      </c>
      <c r="G884">
        <f>IF(OR($E884="",$E884="نامعتبر",Sync!$Y881=""),"",Sync!$Y881)</f>
        <v/>
      </c>
      <c r="H884">
        <f>IF($G884="","",IF(Sync!$X881="","",Sync!$X881))</f>
        <v/>
      </c>
      <c r="I884">
        <f>IF($G884="","",IFERROR(VLOOKUP(Sync!$X881,OpTbl,3,0),""))</f>
        <v/>
      </c>
      <c r="J884">
        <f>IF(OR($G884="",Sync!$Z881=""),"",Sync!$Z881)</f>
        <v/>
      </c>
      <c r="K884">
        <f>IF(OR($G884="",Sync!$AA881=""),"",Sync!$AA881)</f>
        <v/>
      </c>
      <c r="L884">
        <f>IF($G884="",0,IF(Sync!$AB881="",0,Sync!$AB881))</f>
        <v/>
      </c>
      <c r="M884">
        <f>IF($G884="",0,IF(Sync!$AC881="",0,Sync!$AC881))</f>
        <v/>
      </c>
      <c r="N884">
        <f>IF($G884="","",IF($H884="مرجوعی خرید",-1,1)*($L884-$M884*IFERROR(VLOOKUP("P01",ParamTbl,3,0),1.5))*(1-IF($I884="خرید",IFERROR(VLOOKUP("P02",ParamTbl,3,0),1),0)/100))</f>
        <v/>
      </c>
      <c r="O884">
        <f>IF($G884="",0,IF($H884="مرجوعی خرید",-1,1)*IF(Sync!$AD881="",0,Sync!$AD881))</f>
        <v/>
      </c>
      <c r="P884">
        <f>IF(OR($G884="",Sync!$W881=""),"",Sync!$W881)</f>
        <v/>
      </c>
      <c r="Q884">
        <f>IF(OR($G884="",Sync!$AE881=""),"",Sync!$AE881)</f>
        <v/>
      </c>
      <c r="R884">
        <f>IF($G884="","",IF(Sync!$V881="","0000",IF(AND(ISNUMBER(Sync!$V881),Sync!$V881&gt;=0,Sync!$V881&lt;1),RIGHT("00"&amp;HOUR(Sync!$V881),2)&amp;RIGHT("00"&amp;MINUTE(Sync!$V881),2),IFERROR(RIGHT("00"&amp;VALUE(LEFT(Sync!$V881,FIND(":",Sync!$V881)-1)),2)&amp;RIGHT("00"&amp;VALUE(MID(Sync!$V881,FIND(":",Sync!$V881)+1,2)),2),"0000"))))</f>
        <v/>
      </c>
    </row>
    <row r="885">
      <c r="A885">
        <f>IF(Sync!$U882="","",Sync!$U882)</f>
        <v/>
      </c>
      <c r="B885">
        <f>IF($A885="","",IF(ISNUMBER($A885),IF(AND($A885&gt;=10000101,$A885&lt;=99991231),INT($A885/10000),""),IFERROR(VALUE(TRIM(LEFT($A885,FIND("/",$A885)-1))),"")))</f>
        <v/>
      </c>
      <c r="C885">
        <f>IF(OR($A885="",$B885=""),"",IF(ISNUMBER($A885),INT(MOD($A885,10000)/100),IFERROR(VALUE(TRIM(LEFT(MID($A885,FIND("/",$A885)+1,20),FIND("/",MID($A885,FIND("/",$A885)+1,20))-1))),"")))</f>
        <v/>
      </c>
      <c r="D885">
        <f>IF(OR($A885="",$B885=""),"",IF(ISNUMBER($A885),MOD($A885,100),IFERROR(VALUE(TRIM(MID(MID($A885,FIND("/",$A885)+1,20),FIND("/",MID($A885,FIND("/",$A885)+1,20))+1,20))),"")))</f>
        <v/>
      </c>
      <c r="E885">
        <f>IF($A885="","",IF(OR($B885="",$C885="",$D885="",$B885&lt;1300,$B885&gt;1500,$C885&lt;1,$C885&gt;12,$D885&lt;1,$D885&gt;31),"نامعتبر",RIGHT("0000"&amp;$B885,4)&amp;"/"&amp;RIGHT("00"&amp;$C885,2)&amp;"/"&amp;RIGHT("00"&amp;$D885,2)))</f>
        <v/>
      </c>
      <c r="F885">
        <f>IF(OR($E885="",$E885="نامعتبر"),"",LEFT($E885,4)&amp;"/"&amp;MID($E885,6,2))</f>
        <v/>
      </c>
      <c r="G885">
        <f>IF(OR($E885="",$E885="نامعتبر",Sync!$Y882=""),"",Sync!$Y882)</f>
        <v/>
      </c>
      <c r="H885">
        <f>IF($G885="","",IF(Sync!$X882="","",Sync!$X882))</f>
        <v/>
      </c>
      <c r="I885">
        <f>IF($G885="","",IFERROR(VLOOKUP(Sync!$X882,OpTbl,3,0),""))</f>
        <v/>
      </c>
      <c r="J885">
        <f>IF(OR($G885="",Sync!$Z882=""),"",Sync!$Z882)</f>
        <v/>
      </c>
      <c r="K885">
        <f>IF(OR($G885="",Sync!$AA882=""),"",Sync!$AA882)</f>
        <v/>
      </c>
      <c r="L885">
        <f>IF($G885="",0,IF(Sync!$AB882="",0,Sync!$AB882))</f>
        <v/>
      </c>
      <c r="M885">
        <f>IF($G885="",0,IF(Sync!$AC882="",0,Sync!$AC882))</f>
        <v/>
      </c>
      <c r="N885">
        <f>IF($G885="","",IF($H885="مرجوعی خرید",-1,1)*($L885-$M885*IFERROR(VLOOKUP("P01",ParamTbl,3,0),1.5))*(1-IF($I885="خرید",IFERROR(VLOOKUP("P02",ParamTbl,3,0),1),0)/100))</f>
        <v/>
      </c>
      <c r="O885">
        <f>IF($G885="",0,IF($H885="مرجوعی خرید",-1,1)*IF(Sync!$AD882="",0,Sync!$AD882))</f>
        <v/>
      </c>
      <c r="P885">
        <f>IF(OR($G885="",Sync!$W882=""),"",Sync!$W882)</f>
        <v/>
      </c>
      <c r="Q885">
        <f>IF(OR($G885="",Sync!$AE882=""),"",Sync!$AE882)</f>
        <v/>
      </c>
      <c r="R885">
        <f>IF($G885="","",IF(Sync!$V882="","0000",IF(AND(ISNUMBER(Sync!$V882),Sync!$V882&gt;=0,Sync!$V882&lt;1),RIGHT("00"&amp;HOUR(Sync!$V882),2)&amp;RIGHT("00"&amp;MINUTE(Sync!$V882),2),IFERROR(RIGHT("00"&amp;VALUE(LEFT(Sync!$V882,FIND(":",Sync!$V882)-1)),2)&amp;RIGHT("00"&amp;VALUE(MID(Sync!$V882,FIND(":",Sync!$V882)+1,2)),2),"0000"))))</f>
        <v/>
      </c>
    </row>
    <row r="886">
      <c r="A886">
        <f>IF(Sync!$U883="","",Sync!$U883)</f>
        <v/>
      </c>
      <c r="B886">
        <f>IF($A886="","",IF(ISNUMBER($A886),IF(AND($A886&gt;=10000101,$A886&lt;=99991231),INT($A886/10000),""),IFERROR(VALUE(TRIM(LEFT($A886,FIND("/",$A886)-1))),"")))</f>
        <v/>
      </c>
      <c r="C886">
        <f>IF(OR($A886="",$B886=""),"",IF(ISNUMBER($A886),INT(MOD($A886,10000)/100),IFERROR(VALUE(TRIM(LEFT(MID($A886,FIND("/",$A886)+1,20),FIND("/",MID($A886,FIND("/",$A886)+1,20))-1))),"")))</f>
        <v/>
      </c>
      <c r="D886">
        <f>IF(OR($A886="",$B886=""),"",IF(ISNUMBER($A886),MOD($A886,100),IFERROR(VALUE(TRIM(MID(MID($A886,FIND("/",$A886)+1,20),FIND("/",MID($A886,FIND("/",$A886)+1,20))+1,20))),"")))</f>
        <v/>
      </c>
      <c r="E886">
        <f>IF($A886="","",IF(OR($B886="",$C886="",$D886="",$B886&lt;1300,$B886&gt;1500,$C886&lt;1,$C886&gt;12,$D886&lt;1,$D886&gt;31),"نامعتبر",RIGHT("0000"&amp;$B886,4)&amp;"/"&amp;RIGHT("00"&amp;$C886,2)&amp;"/"&amp;RIGHT("00"&amp;$D886,2)))</f>
        <v/>
      </c>
      <c r="F886">
        <f>IF(OR($E886="",$E886="نامعتبر"),"",LEFT($E886,4)&amp;"/"&amp;MID($E886,6,2))</f>
        <v/>
      </c>
      <c r="G886">
        <f>IF(OR($E886="",$E886="نامعتبر",Sync!$Y883=""),"",Sync!$Y883)</f>
        <v/>
      </c>
      <c r="H886">
        <f>IF($G886="","",IF(Sync!$X883="","",Sync!$X883))</f>
        <v/>
      </c>
      <c r="I886">
        <f>IF($G886="","",IFERROR(VLOOKUP(Sync!$X883,OpTbl,3,0),""))</f>
        <v/>
      </c>
      <c r="J886">
        <f>IF(OR($G886="",Sync!$Z883=""),"",Sync!$Z883)</f>
        <v/>
      </c>
      <c r="K886">
        <f>IF(OR($G886="",Sync!$AA883=""),"",Sync!$AA883)</f>
        <v/>
      </c>
      <c r="L886">
        <f>IF($G886="",0,IF(Sync!$AB883="",0,Sync!$AB883))</f>
        <v/>
      </c>
      <c r="M886">
        <f>IF($G886="",0,IF(Sync!$AC883="",0,Sync!$AC883))</f>
        <v/>
      </c>
      <c r="N886">
        <f>IF($G886="","",IF($H886="مرجوعی خرید",-1,1)*($L886-$M886*IFERROR(VLOOKUP("P01",ParamTbl,3,0),1.5))*(1-IF($I886="خرید",IFERROR(VLOOKUP("P02",ParamTbl,3,0),1),0)/100))</f>
        <v/>
      </c>
      <c r="O886">
        <f>IF($G886="",0,IF($H886="مرجوعی خرید",-1,1)*IF(Sync!$AD883="",0,Sync!$AD883))</f>
        <v/>
      </c>
      <c r="P886">
        <f>IF(OR($G886="",Sync!$W883=""),"",Sync!$W883)</f>
        <v/>
      </c>
      <c r="Q886">
        <f>IF(OR($G886="",Sync!$AE883=""),"",Sync!$AE883)</f>
        <v/>
      </c>
      <c r="R886">
        <f>IF($G886="","",IF(Sync!$V883="","0000",IF(AND(ISNUMBER(Sync!$V883),Sync!$V883&gt;=0,Sync!$V883&lt;1),RIGHT("00"&amp;HOUR(Sync!$V883),2)&amp;RIGHT("00"&amp;MINUTE(Sync!$V883),2),IFERROR(RIGHT("00"&amp;VALUE(LEFT(Sync!$V883,FIND(":",Sync!$V883)-1)),2)&amp;RIGHT("00"&amp;VALUE(MID(Sync!$V883,FIND(":",Sync!$V883)+1,2)),2),"0000"))))</f>
        <v/>
      </c>
    </row>
    <row r="887">
      <c r="A887">
        <f>IF(Sync!$U884="","",Sync!$U884)</f>
        <v/>
      </c>
      <c r="B887">
        <f>IF($A887="","",IF(ISNUMBER($A887),IF(AND($A887&gt;=10000101,$A887&lt;=99991231),INT($A887/10000),""),IFERROR(VALUE(TRIM(LEFT($A887,FIND("/",$A887)-1))),"")))</f>
        <v/>
      </c>
      <c r="C887">
        <f>IF(OR($A887="",$B887=""),"",IF(ISNUMBER($A887),INT(MOD($A887,10000)/100),IFERROR(VALUE(TRIM(LEFT(MID($A887,FIND("/",$A887)+1,20),FIND("/",MID($A887,FIND("/",$A887)+1,20))-1))),"")))</f>
        <v/>
      </c>
      <c r="D887">
        <f>IF(OR($A887="",$B887=""),"",IF(ISNUMBER($A887),MOD($A887,100),IFERROR(VALUE(TRIM(MID(MID($A887,FIND("/",$A887)+1,20),FIND("/",MID($A887,FIND("/",$A887)+1,20))+1,20))),"")))</f>
        <v/>
      </c>
      <c r="E887">
        <f>IF($A887="","",IF(OR($B887="",$C887="",$D887="",$B887&lt;1300,$B887&gt;1500,$C887&lt;1,$C887&gt;12,$D887&lt;1,$D887&gt;31),"نامعتبر",RIGHT("0000"&amp;$B887,4)&amp;"/"&amp;RIGHT("00"&amp;$C887,2)&amp;"/"&amp;RIGHT("00"&amp;$D887,2)))</f>
        <v/>
      </c>
      <c r="F887">
        <f>IF(OR($E887="",$E887="نامعتبر"),"",LEFT($E887,4)&amp;"/"&amp;MID($E887,6,2))</f>
        <v/>
      </c>
      <c r="G887">
        <f>IF(OR($E887="",$E887="نامعتبر",Sync!$Y884=""),"",Sync!$Y884)</f>
        <v/>
      </c>
      <c r="H887">
        <f>IF($G887="","",IF(Sync!$X884="","",Sync!$X884))</f>
        <v/>
      </c>
      <c r="I887">
        <f>IF($G887="","",IFERROR(VLOOKUP(Sync!$X884,OpTbl,3,0),""))</f>
        <v/>
      </c>
      <c r="J887">
        <f>IF(OR($G887="",Sync!$Z884=""),"",Sync!$Z884)</f>
        <v/>
      </c>
      <c r="K887">
        <f>IF(OR($G887="",Sync!$AA884=""),"",Sync!$AA884)</f>
        <v/>
      </c>
      <c r="L887">
        <f>IF($G887="",0,IF(Sync!$AB884="",0,Sync!$AB884))</f>
        <v/>
      </c>
      <c r="M887">
        <f>IF($G887="",0,IF(Sync!$AC884="",0,Sync!$AC884))</f>
        <v/>
      </c>
      <c r="N887">
        <f>IF($G887="","",IF($H887="مرجوعی خرید",-1,1)*($L887-$M887*IFERROR(VLOOKUP("P01",ParamTbl,3,0),1.5))*(1-IF($I887="خرید",IFERROR(VLOOKUP("P02",ParamTbl,3,0),1),0)/100))</f>
        <v/>
      </c>
      <c r="O887">
        <f>IF($G887="",0,IF($H887="مرجوعی خرید",-1,1)*IF(Sync!$AD884="",0,Sync!$AD884))</f>
        <v/>
      </c>
      <c r="P887">
        <f>IF(OR($G887="",Sync!$W884=""),"",Sync!$W884)</f>
        <v/>
      </c>
      <c r="Q887">
        <f>IF(OR($G887="",Sync!$AE884=""),"",Sync!$AE884)</f>
        <v/>
      </c>
      <c r="R887">
        <f>IF($G887="","",IF(Sync!$V884="","0000",IF(AND(ISNUMBER(Sync!$V884),Sync!$V884&gt;=0,Sync!$V884&lt;1),RIGHT("00"&amp;HOUR(Sync!$V884),2)&amp;RIGHT("00"&amp;MINUTE(Sync!$V884),2),IFERROR(RIGHT("00"&amp;VALUE(LEFT(Sync!$V884,FIND(":",Sync!$V884)-1)),2)&amp;RIGHT("00"&amp;VALUE(MID(Sync!$V884,FIND(":",Sync!$V884)+1,2)),2),"0000"))))</f>
        <v/>
      </c>
    </row>
    <row r="888">
      <c r="A888">
        <f>IF(Sync!$U885="","",Sync!$U885)</f>
        <v/>
      </c>
      <c r="B888">
        <f>IF($A888="","",IF(ISNUMBER($A888),IF(AND($A888&gt;=10000101,$A888&lt;=99991231),INT($A888/10000),""),IFERROR(VALUE(TRIM(LEFT($A888,FIND("/",$A888)-1))),"")))</f>
        <v/>
      </c>
      <c r="C888">
        <f>IF(OR($A888="",$B888=""),"",IF(ISNUMBER($A888),INT(MOD($A888,10000)/100),IFERROR(VALUE(TRIM(LEFT(MID($A888,FIND("/",$A888)+1,20),FIND("/",MID($A888,FIND("/",$A888)+1,20))-1))),"")))</f>
        <v/>
      </c>
      <c r="D888">
        <f>IF(OR($A888="",$B888=""),"",IF(ISNUMBER($A888),MOD($A888,100),IFERROR(VALUE(TRIM(MID(MID($A888,FIND("/",$A888)+1,20),FIND("/",MID($A888,FIND("/",$A888)+1,20))+1,20))),"")))</f>
        <v/>
      </c>
      <c r="E888">
        <f>IF($A888="","",IF(OR($B888="",$C888="",$D888="",$B888&lt;1300,$B888&gt;1500,$C888&lt;1,$C888&gt;12,$D888&lt;1,$D888&gt;31),"نامعتبر",RIGHT("0000"&amp;$B888,4)&amp;"/"&amp;RIGHT("00"&amp;$C888,2)&amp;"/"&amp;RIGHT("00"&amp;$D888,2)))</f>
        <v/>
      </c>
      <c r="F888">
        <f>IF(OR($E888="",$E888="نامعتبر"),"",LEFT($E888,4)&amp;"/"&amp;MID($E888,6,2))</f>
        <v/>
      </c>
      <c r="G888">
        <f>IF(OR($E888="",$E888="نامعتبر",Sync!$Y885=""),"",Sync!$Y885)</f>
        <v/>
      </c>
      <c r="H888">
        <f>IF($G888="","",IF(Sync!$X885="","",Sync!$X885))</f>
        <v/>
      </c>
      <c r="I888">
        <f>IF($G888="","",IFERROR(VLOOKUP(Sync!$X885,OpTbl,3,0),""))</f>
        <v/>
      </c>
      <c r="J888">
        <f>IF(OR($G888="",Sync!$Z885=""),"",Sync!$Z885)</f>
        <v/>
      </c>
      <c r="K888">
        <f>IF(OR($G888="",Sync!$AA885=""),"",Sync!$AA885)</f>
        <v/>
      </c>
      <c r="L888">
        <f>IF($G888="",0,IF(Sync!$AB885="",0,Sync!$AB885))</f>
        <v/>
      </c>
      <c r="M888">
        <f>IF($G888="",0,IF(Sync!$AC885="",0,Sync!$AC885))</f>
        <v/>
      </c>
      <c r="N888">
        <f>IF($G888="","",IF($H888="مرجوعی خرید",-1,1)*($L888-$M888*IFERROR(VLOOKUP("P01",ParamTbl,3,0),1.5))*(1-IF($I888="خرید",IFERROR(VLOOKUP("P02",ParamTbl,3,0),1),0)/100))</f>
        <v/>
      </c>
      <c r="O888">
        <f>IF($G888="",0,IF($H888="مرجوعی خرید",-1,1)*IF(Sync!$AD885="",0,Sync!$AD885))</f>
        <v/>
      </c>
      <c r="P888">
        <f>IF(OR($G888="",Sync!$W885=""),"",Sync!$W885)</f>
        <v/>
      </c>
      <c r="Q888">
        <f>IF(OR($G888="",Sync!$AE885=""),"",Sync!$AE885)</f>
        <v/>
      </c>
      <c r="R888">
        <f>IF($G888="","",IF(Sync!$V885="","0000",IF(AND(ISNUMBER(Sync!$V885),Sync!$V885&gt;=0,Sync!$V885&lt;1),RIGHT("00"&amp;HOUR(Sync!$V885),2)&amp;RIGHT("00"&amp;MINUTE(Sync!$V885),2),IFERROR(RIGHT("00"&amp;VALUE(LEFT(Sync!$V885,FIND(":",Sync!$V885)-1)),2)&amp;RIGHT("00"&amp;VALUE(MID(Sync!$V885,FIND(":",Sync!$V885)+1,2)),2),"0000"))))</f>
        <v/>
      </c>
    </row>
    <row r="889">
      <c r="A889">
        <f>IF(Sync!$U886="","",Sync!$U886)</f>
        <v/>
      </c>
      <c r="B889">
        <f>IF($A889="","",IF(ISNUMBER($A889),IF(AND($A889&gt;=10000101,$A889&lt;=99991231),INT($A889/10000),""),IFERROR(VALUE(TRIM(LEFT($A889,FIND("/",$A889)-1))),"")))</f>
        <v/>
      </c>
      <c r="C889">
        <f>IF(OR($A889="",$B889=""),"",IF(ISNUMBER($A889),INT(MOD($A889,10000)/100),IFERROR(VALUE(TRIM(LEFT(MID($A889,FIND("/",$A889)+1,20),FIND("/",MID($A889,FIND("/",$A889)+1,20))-1))),"")))</f>
        <v/>
      </c>
      <c r="D889">
        <f>IF(OR($A889="",$B889=""),"",IF(ISNUMBER($A889),MOD($A889,100),IFERROR(VALUE(TRIM(MID(MID($A889,FIND("/",$A889)+1,20),FIND("/",MID($A889,FIND("/",$A889)+1,20))+1,20))),"")))</f>
        <v/>
      </c>
      <c r="E889">
        <f>IF($A889="","",IF(OR($B889="",$C889="",$D889="",$B889&lt;1300,$B889&gt;1500,$C889&lt;1,$C889&gt;12,$D889&lt;1,$D889&gt;31),"نامعتبر",RIGHT("0000"&amp;$B889,4)&amp;"/"&amp;RIGHT("00"&amp;$C889,2)&amp;"/"&amp;RIGHT("00"&amp;$D889,2)))</f>
        <v/>
      </c>
      <c r="F889">
        <f>IF(OR($E889="",$E889="نامعتبر"),"",LEFT($E889,4)&amp;"/"&amp;MID($E889,6,2))</f>
        <v/>
      </c>
      <c r="G889">
        <f>IF(OR($E889="",$E889="نامعتبر",Sync!$Y886=""),"",Sync!$Y886)</f>
        <v/>
      </c>
      <c r="H889">
        <f>IF($G889="","",IF(Sync!$X886="","",Sync!$X886))</f>
        <v/>
      </c>
      <c r="I889">
        <f>IF($G889="","",IFERROR(VLOOKUP(Sync!$X886,OpTbl,3,0),""))</f>
        <v/>
      </c>
      <c r="J889">
        <f>IF(OR($G889="",Sync!$Z886=""),"",Sync!$Z886)</f>
        <v/>
      </c>
      <c r="K889">
        <f>IF(OR($G889="",Sync!$AA886=""),"",Sync!$AA886)</f>
        <v/>
      </c>
      <c r="L889">
        <f>IF($G889="",0,IF(Sync!$AB886="",0,Sync!$AB886))</f>
        <v/>
      </c>
      <c r="M889">
        <f>IF($G889="",0,IF(Sync!$AC886="",0,Sync!$AC886))</f>
        <v/>
      </c>
      <c r="N889">
        <f>IF($G889="","",IF($H889="مرجوعی خرید",-1,1)*($L889-$M889*IFERROR(VLOOKUP("P01",ParamTbl,3,0),1.5))*(1-IF($I889="خرید",IFERROR(VLOOKUP("P02",ParamTbl,3,0),1),0)/100))</f>
        <v/>
      </c>
      <c r="O889">
        <f>IF($G889="",0,IF($H889="مرجوعی خرید",-1,1)*IF(Sync!$AD886="",0,Sync!$AD886))</f>
        <v/>
      </c>
      <c r="P889">
        <f>IF(OR($G889="",Sync!$W886=""),"",Sync!$W886)</f>
        <v/>
      </c>
      <c r="Q889">
        <f>IF(OR($G889="",Sync!$AE886=""),"",Sync!$AE886)</f>
        <v/>
      </c>
      <c r="R889">
        <f>IF($G889="","",IF(Sync!$V886="","0000",IF(AND(ISNUMBER(Sync!$V886),Sync!$V886&gt;=0,Sync!$V886&lt;1),RIGHT("00"&amp;HOUR(Sync!$V886),2)&amp;RIGHT("00"&amp;MINUTE(Sync!$V886),2),IFERROR(RIGHT("00"&amp;VALUE(LEFT(Sync!$V886,FIND(":",Sync!$V886)-1)),2)&amp;RIGHT("00"&amp;VALUE(MID(Sync!$V886,FIND(":",Sync!$V886)+1,2)),2),"0000"))))</f>
        <v/>
      </c>
    </row>
    <row r="890">
      <c r="A890">
        <f>IF(Sync!$U887="","",Sync!$U887)</f>
        <v/>
      </c>
      <c r="B890">
        <f>IF($A890="","",IF(ISNUMBER($A890),IF(AND($A890&gt;=10000101,$A890&lt;=99991231),INT($A890/10000),""),IFERROR(VALUE(TRIM(LEFT($A890,FIND("/",$A890)-1))),"")))</f>
        <v/>
      </c>
      <c r="C890">
        <f>IF(OR($A890="",$B890=""),"",IF(ISNUMBER($A890),INT(MOD($A890,10000)/100),IFERROR(VALUE(TRIM(LEFT(MID($A890,FIND("/",$A890)+1,20),FIND("/",MID($A890,FIND("/",$A890)+1,20))-1))),"")))</f>
        <v/>
      </c>
      <c r="D890">
        <f>IF(OR($A890="",$B890=""),"",IF(ISNUMBER($A890),MOD($A890,100),IFERROR(VALUE(TRIM(MID(MID($A890,FIND("/",$A890)+1,20),FIND("/",MID($A890,FIND("/",$A890)+1,20))+1,20))),"")))</f>
        <v/>
      </c>
      <c r="E890">
        <f>IF($A890="","",IF(OR($B890="",$C890="",$D890="",$B890&lt;1300,$B890&gt;1500,$C890&lt;1,$C890&gt;12,$D890&lt;1,$D890&gt;31),"نامعتبر",RIGHT("0000"&amp;$B890,4)&amp;"/"&amp;RIGHT("00"&amp;$C890,2)&amp;"/"&amp;RIGHT("00"&amp;$D890,2)))</f>
        <v/>
      </c>
      <c r="F890">
        <f>IF(OR($E890="",$E890="نامعتبر"),"",LEFT($E890,4)&amp;"/"&amp;MID($E890,6,2))</f>
        <v/>
      </c>
      <c r="G890">
        <f>IF(OR($E890="",$E890="نامعتبر",Sync!$Y887=""),"",Sync!$Y887)</f>
        <v/>
      </c>
      <c r="H890">
        <f>IF($G890="","",IF(Sync!$X887="","",Sync!$X887))</f>
        <v/>
      </c>
      <c r="I890">
        <f>IF($G890="","",IFERROR(VLOOKUP(Sync!$X887,OpTbl,3,0),""))</f>
        <v/>
      </c>
      <c r="J890">
        <f>IF(OR($G890="",Sync!$Z887=""),"",Sync!$Z887)</f>
        <v/>
      </c>
      <c r="K890">
        <f>IF(OR($G890="",Sync!$AA887=""),"",Sync!$AA887)</f>
        <v/>
      </c>
      <c r="L890">
        <f>IF($G890="",0,IF(Sync!$AB887="",0,Sync!$AB887))</f>
        <v/>
      </c>
      <c r="M890">
        <f>IF($G890="",0,IF(Sync!$AC887="",0,Sync!$AC887))</f>
        <v/>
      </c>
      <c r="N890">
        <f>IF($G890="","",IF($H890="مرجوعی خرید",-1,1)*($L890-$M890*IFERROR(VLOOKUP("P01",ParamTbl,3,0),1.5))*(1-IF($I890="خرید",IFERROR(VLOOKUP("P02",ParamTbl,3,0),1),0)/100))</f>
        <v/>
      </c>
      <c r="O890">
        <f>IF($G890="",0,IF($H890="مرجوعی خرید",-1,1)*IF(Sync!$AD887="",0,Sync!$AD887))</f>
        <v/>
      </c>
      <c r="P890">
        <f>IF(OR($G890="",Sync!$W887=""),"",Sync!$W887)</f>
        <v/>
      </c>
      <c r="Q890">
        <f>IF(OR($G890="",Sync!$AE887=""),"",Sync!$AE887)</f>
        <v/>
      </c>
      <c r="R890">
        <f>IF($G890="","",IF(Sync!$V887="","0000",IF(AND(ISNUMBER(Sync!$V887),Sync!$V887&gt;=0,Sync!$V887&lt;1),RIGHT("00"&amp;HOUR(Sync!$V887),2)&amp;RIGHT("00"&amp;MINUTE(Sync!$V887),2),IFERROR(RIGHT("00"&amp;VALUE(LEFT(Sync!$V887,FIND(":",Sync!$V887)-1)),2)&amp;RIGHT("00"&amp;VALUE(MID(Sync!$V887,FIND(":",Sync!$V887)+1,2)),2),"0000"))))</f>
        <v/>
      </c>
    </row>
    <row r="891">
      <c r="A891">
        <f>IF(Sync!$U888="","",Sync!$U888)</f>
        <v/>
      </c>
      <c r="B891">
        <f>IF($A891="","",IF(ISNUMBER($A891),IF(AND($A891&gt;=10000101,$A891&lt;=99991231),INT($A891/10000),""),IFERROR(VALUE(TRIM(LEFT($A891,FIND("/",$A891)-1))),"")))</f>
        <v/>
      </c>
      <c r="C891">
        <f>IF(OR($A891="",$B891=""),"",IF(ISNUMBER($A891),INT(MOD($A891,10000)/100),IFERROR(VALUE(TRIM(LEFT(MID($A891,FIND("/",$A891)+1,20),FIND("/",MID($A891,FIND("/",$A891)+1,20))-1))),"")))</f>
        <v/>
      </c>
      <c r="D891">
        <f>IF(OR($A891="",$B891=""),"",IF(ISNUMBER($A891),MOD($A891,100),IFERROR(VALUE(TRIM(MID(MID($A891,FIND("/",$A891)+1,20),FIND("/",MID($A891,FIND("/",$A891)+1,20))+1,20))),"")))</f>
        <v/>
      </c>
      <c r="E891">
        <f>IF($A891="","",IF(OR($B891="",$C891="",$D891="",$B891&lt;1300,$B891&gt;1500,$C891&lt;1,$C891&gt;12,$D891&lt;1,$D891&gt;31),"نامعتبر",RIGHT("0000"&amp;$B891,4)&amp;"/"&amp;RIGHT("00"&amp;$C891,2)&amp;"/"&amp;RIGHT("00"&amp;$D891,2)))</f>
        <v/>
      </c>
      <c r="F891">
        <f>IF(OR($E891="",$E891="نامعتبر"),"",LEFT($E891,4)&amp;"/"&amp;MID($E891,6,2))</f>
        <v/>
      </c>
      <c r="G891">
        <f>IF(OR($E891="",$E891="نامعتبر",Sync!$Y888=""),"",Sync!$Y888)</f>
        <v/>
      </c>
      <c r="H891">
        <f>IF($G891="","",IF(Sync!$X888="","",Sync!$X888))</f>
        <v/>
      </c>
      <c r="I891">
        <f>IF($G891="","",IFERROR(VLOOKUP(Sync!$X888,OpTbl,3,0),""))</f>
        <v/>
      </c>
      <c r="J891">
        <f>IF(OR($G891="",Sync!$Z888=""),"",Sync!$Z888)</f>
        <v/>
      </c>
      <c r="K891">
        <f>IF(OR($G891="",Sync!$AA888=""),"",Sync!$AA888)</f>
        <v/>
      </c>
      <c r="L891">
        <f>IF($G891="",0,IF(Sync!$AB888="",0,Sync!$AB888))</f>
        <v/>
      </c>
      <c r="M891">
        <f>IF($G891="",0,IF(Sync!$AC888="",0,Sync!$AC888))</f>
        <v/>
      </c>
      <c r="N891">
        <f>IF($G891="","",IF($H891="مرجوعی خرید",-1,1)*($L891-$M891*IFERROR(VLOOKUP("P01",ParamTbl,3,0),1.5))*(1-IF($I891="خرید",IFERROR(VLOOKUP("P02",ParamTbl,3,0),1),0)/100))</f>
        <v/>
      </c>
      <c r="O891">
        <f>IF($G891="",0,IF($H891="مرجوعی خرید",-1,1)*IF(Sync!$AD888="",0,Sync!$AD888))</f>
        <v/>
      </c>
      <c r="P891">
        <f>IF(OR($G891="",Sync!$W888=""),"",Sync!$W888)</f>
        <v/>
      </c>
      <c r="Q891">
        <f>IF(OR($G891="",Sync!$AE888=""),"",Sync!$AE888)</f>
        <v/>
      </c>
      <c r="R891">
        <f>IF($G891="","",IF(Sync!$V888="","0000",IF(AND(ISNUMBER(Sync!$V888),Sync!$V888&gt;=0,Sync!$V888&lt;1),RIGHT("00"&amp;HOUR(Sync!$V888),2)&amp;RIGHT("00"&amp;MINUTE(Sync!$V888),2),IFERROR(RIGHT("00"&amp;VALUE(LEFT(Sync!$V888,FIND(":",Sync!$V888)-1)),2)&amp;RIGHT("00"&amp;VALUE(MID(Sync!$V888,FIND(":",Sync!$V888)+1,2)),2),"0000"))))</f>
        <v/>
      </c>
    </row>
    <row r="892">
      <c r="A892">
        <f>IF(Sync!$U889="","",Sync!$U889)</f>
        <v/>
      </c>
      <c r="B892">
        <f>IF($A892="","",IF(ISNUMBER($A892),IF(AND($A892&gt;=10000101,$A892&lt;=99991231),INT($A892/10000),""),IFERROR(VALUE(TRIM(LEFT($A892,FIND("/",$A892)-1))),"")))</f>
        <v/>
      </c>
      <c r="C892">
        <f>IF(OR($A892="",$B892=""),"",IF(ISNUMBER($A892),INT(MOD($A892,10000)/100),IFERROR(VALUE(TRIM(LEFT(MID($A892,FIND("/",$A892)+1,20),FIND("/",MID($A892,FIND("/",$A892)+1,20))-1))),"")))</f>
        <v/>
      </c>
      <c r="D892">
        <f>IF(OR($A892="",$B892=""),"",IF(ISNUMBER($A892),MOD($A892,100),IFERROR(VALUE(TRIM(MID(MID($A892,FIND("/",$A892)+1,20),FIND("/",MID($A892,FIND("/",$A892)+1,20))+1,20))),"")))</f>
        <v/>
      </c>
      <c r="E892">
        <f>IF($A892="","",IF(OR($B892="",$C892="",$D892="",$B892&lt;1300,$B892&gt;1500,$C892&lt;1,$C892&gt;12,$D892&lt;1,$D892&gt;31),"نامعتبر",RIGHT("0000"&amp;$B892,4)&amp;"/"&amp;RIGHT("00"&amp;$C892,2)&amp;"/"&amp;RIGHT("00"&amp;$D892,2)))</f>
        <v/>
      </c>
      <c r="F892">
        <f>IF(OR($E892="",$E892="نامعتبر"),"",LEFT($E892,4)&amp;"/"&amp;MID($E892,6,2))</f>
        <v/>
      </c>
      <c r="G892">
        <f>IF(OR($E892="",$E892="نامعتبر",Sync!$Y889=""),"",Sync!$Y889)</f>
        <v/>
      </c>
      <c r="H892">
        <f>IF($G892="","",IF(Sync!$X889="","",Sync!$X889))</f>
        <v/>
      </c>
      <c r="I892">
        <f>IF($G892="","",IFERROR(VLOOKUP(Sync!$X889,OpTbl,3,0),""))</f>
        <v/>
      </c>
      <c r="J892">
        <f>IF(OR($G892="",Sync!$Z889=""),"",Sync!$Z889)</f>
        <v/>
      </c>
      <c r="K892">
        <f>IF(OR($G892="",Sync!$AA889=""),"",Sync!$AA889)</f>
        <v/>
      </c>
      <c r="L892">
        <f>IF($G892="",0,IF(Sync!$AB889="",0,Sync!$AB889))</f>
        <v/>
      </c>
      <c r="M892">
        <f>IF($G892="",0,IF(Sync!$AC889="",0,Sync!$AC889))</f>
        <v/>
      </c>
      <c r="N892">
        <f>IF($G892="","",IF($H892="مرجوعی خرید",-1,1)*($L892-$M892*IFERROR(VLOOKUP("P01",ParamTbl,3,0),1.5))*(1-IF($I892="خرید",IFERROR(VLOOKUP("P02",ParamTbl,3,0),1),0)/100))</f>
        <v/>
      </c>
      <c r="O892">
        <f>IF($G892="",0,IF($H892="مرجوعی خرید",-1,1)*IF(Sync!$AD889="",0,Sync!$AD889))</f>
        <v/>
      </c>
      <c r="P892">
        <f>IF(OR($G892="",Sync!$W889=""),"",Sync!$W889)</f>
        <v/>
      </c>
      <c r="Q892">
        <f>IF(OR($G892="",Sync!$AE889=""),"",Sync!$AE889)</f>
        <v/>
      </c>
      <c r="R892">
        <f>IF($G892="","",IF(Sync!$V889="","0000",IF(AND(ISNUMBER(Sync!$V889),Sync!$V889&gt;=0,Sync!$V889&lt;1),RIGHT("00"&amp;HOUR(Sync!$V889),2)&amp;RIGHT("00"&amp;MINUTE(Sync!$V889),2),IFERROR(RIGHT("00"&amp;VALUE(LEFT(Sync!$V889,FIND(":",Sync!$V889)-1)),2)&amp;RIGHT("00"&amp;VALUE(MID(Sync!$V889,FIND(":",Sync!$V889)+1,2)),2),"0000"))))</f>
        <v/>
      </c>
    </row>
    <row r="893">
      <c r="A893">
        <f>IF(Sync!$U890="","",Sync!$U890)</f>
        <v/>
      </c>
      <c r="B893">
        <f>IF($A893="","",IF(ISNUMBER($A893),IF(AND($A893&gt;=10000101,$A893&lt;=99991231),INT($A893/10000),""),IFERROR(VALUE(TRIM(LEFT($A893,FIND("/",$A893)-1))),"")))</f>
        <v/>
      </c>
      <c r="C893">
        <f>IF(OR($A893="",$B893=""),"",IF(ISNUMBER($A893),INT(MOD($A893,10000)/100),IFERROR(VALUE(TRIM(LEFT(MID($A893,FIND("/",$A893)+1,20),FIND("/",MID($A893,FIND("/",$A893)+1,20))-1))),"")))</f>
        <v/>
      </c>
      <c r="D893">
        <f>IF(OR($A893="",$B893=""),"",IF(ISNUMBER($A893),MOD($A893,100),IFERROR(VALUE(TRIM(MID(MID($A893,FIND("/",$A893)+1,20),FIND("/",MID($A893,FIND("/",$A893)+1,20))+1,20))),"")))</f>
        <v/>
      </c>
      <c r="E893">
        <f>IF($A893="","",IF(OR($B893="",$C893="",$D893="",$B893&lt;1300,$B893&gt;1500,$C893&lt;1,$C893&gt;12,$D893&lt;1,$D893&gt;31),"نامعتبر",RIGHT("0000"&amp;$B893,4)&amp;"/"&amp;RIGHT("00"&amp;$C893,2)&amp;"/"&amp;RIGHT("00"&amp;$D893,2)))</f>
        <v/>
      </c>
      <c r="F893">
        <f>IF(OR($E893="",$E893="نامعتبر"),"",LEFT($E893,4)&amp;"/"&amp;MID($E893,6,2))</f>
        <v/>
      </c>
      <c r="G893">
        <f>IF(OR($E893="",$E893="نامعتبر",Sync!$Y890=""),"",Sync!$Y890)</f>
        <v/>
      </c>
      <c r="H893">
        <f>IF($G893="","",IF(Sync!$X890="","",Sync!$X890))</f>
        <v/>
      </c>
      <c r="I893">
        <f>IF($G893="","",IFERROR(VLOOKUP(Sync!$X890,OpTbl,3,0),""))</f>
        <v/>
      </c>
      <c r="J893">
        <f>IF(OR($G893="",Sync!$Z890=""),"",Sync!$Z890)</f>
        <v/>
      </c>
      <c r="K893">
        <f>IF(OR($G893="",Sync!$AA890=""),"",Sync!$AA890)</f>
        <v/>
      </c>
      <c r="L893">
        <f>IF($G893="",0,IF(Sync!$AB890="",0,Sync!$AB890))</f>
        <v/>
      </c>
      <c r="M893">
        <f>IF($G893="",0,IF(Sync!$AC890="",0,Sync!$AC890))</f>
        <v/>
      </c>
      <c r="N893">
        <f>IF($G893="","",IF($H893="مرجوعی خرید",-1,1)*($L893-$M893*IFERROR(VLOOKUP("P01",ParamTbl,3,0),1.5))*(1-IF($I893="خرید",IFERROR(VLOOKUP("P02",ParamTbl,3,0),1),0)/100))</f>
        <v/>
      </c>
      <c r="O893">
        <f>IF($G893="",0,IF($H893="مرجوعی خرید",-1,1)*IF(Sync!$AD890="",0,Sync!$AD890))</f>
        <v/>
      </c>
      <c r="P893">
        <f>IF(OR($G893="",Sync!$W890=""),"",Sync!$W890)</f>
        <v/>
      </c>
      <c r="Q893">
        <f>IF(OR($G893="",Sync!$AE890=""),"",Sync!$AE890)</f>
        <v/>
      </c>
      <c r="R893">
        <f>IF($G893="","",IF(Sync!$V890="","0000",IF(AND(ISNUMBER(Sync!$V890),Sync!$V890&gt;=0,Sync!$V890&lt;1),RIGHT("00"&amp;HOUR(Sync!$V890),2)&amp;RIGHT("00"&amp;MINUTE(Sync!$V890),2),IFERROR(RIGHT("00"&amp;VALUE(LEFT(Sync!$V890,FIND(":",Sync!$V890)-1)),2)&amp;RIGHT("00"&amp;VALUE(MID(Sync!$V890,FIND(":",Sync!$V890)+1,2)),2),"0000"))))</f>
        <v/>
      </c>
    </row>
    <row r="894">
      <c r="A894">
        <f>IF(Sync!$U891="","",Sync!$U891)</f>
        <v/>
      </c>
      <c r="B894">
        <f>IF($A894="","",IF(ISNUMBER($A894),IF(AND($A894&gt;=10000101,$A894&lt;=99991231),INT($A894/10000),""),IFERROR(VALUE(TRIM(LEFT($A894,FIND("/",$A894)-1))),"")))</f>
        <v/>
      </c>
      <c r="C894">
        <f>IF(OR($A894="",$B894=""),"",IF(ISNUMBER($A894),INT(MOD($A894,10000)/100),IFERROR(VALUE(TRIM(LEFT(MID($A894,FIND("/",$A894)+1,20),FIND("/",MID($A894,FIND("/",$A894)+1,20))-1))),"")))</f>
        <v/>
      </c>
      <c r="D894">
        <f>IF(OR($A894="",$B894=""),"",IF(ISNUMBER($A894),MOD($A894,100),IFERROR(VALUE(TRIM(MID(MID($A894,FIND("/",$A894)+1,20),FIND("/",MID($A894,FIND("/",$A894)+1,20))+1,20))),"")))</f>
        <v/>
      </c>
      <c r="E894">
        <f>IF($A894="","",IF(OR($B894="",$C894="",$D894="",$B894&lt;1300,$B894&gt;1500,$C894&lt;1,$C894&gt;12,$D894&lt;1,$D894&gt;31),"نامعتبر",RIGHT("0000"&amp;$B894,4)&amp;"/"&amp;RIGHT("00"&amp;$C894,2)&amp;"/"&amp;RIGHT("00"&amp;$D894,2)))</f>
        <v/>
      </c>
      <c r="F894">
        <f>IF(OR($E894="",$E894="نامعتبر"),"",LEFT($E894,4)&amp;"/"&amp;MID($E894,6,2))</f>
        <v/>
      </c>
      <c r="G894">
        <f>IF(OR($E894="",$E894="نامعتبر",Sync!$Y891=""),"",Sync!$Y891)</f>
        <v/>
      </c>
      <c r="H894">
        <f>IF($G894="","",IF(Sync!$X891="","",Sync!$X891))</f>
        <v/>
      </c>
      <c r="I894">
        <f>IF($G894="","",IFERROR(VLOOKUP(Sync!$X891,OpTbl,3,0),""))</f>
        <v/>
      </c>
      <c r="J894">
        <f>IF(OR($G894="",Sync!$Z891=""),"",Sync!$Z891)</f>
        <v/>
      </c>
      <c r="K894">
        <f>IF(OR($G894="",Sync!$AA891=""),"",Sync!$AA891)</f>
        <v/>
      </c>
      <c r="L894">
        <f>IF($G894="",0,IF(Sync!$AB891="",0,Sync!$AB891))</f>
        <v/>
      </c>
      <c r="M894">
        <f>IF($G894="",0,IF(Sync!$AC891="",0,Sync!$AC891))</f>
        <v/>
      </c>
      <c r="N894">
        <f>IF($G894="","",IF($H894="مرجوعی خرید",-1,1)*($L894-$M894*IFERROR(VLOOKUP("P01",ParamTbl,3,0),1.5))*(1-IF($I894="خرید",IFERROR(VLOOKUP("P02",ParamTbl,3,0),1),0)/100))</f>
        <v/>
      </c>
      <c r="O894">
        <f>IF($G894="",0,IF($H894="مرجوعی خرید",-1,1)*IF(Sync!$AD891="",0,Sync!$AD891))</f>
        <v/>
      </c>
      <c r="P894">
        <f>IF(OR($G894="",Sync!$W891=""),"",Sync!$W891)</f>
        <v/>
      </c>
      <c r="Q894">
        <f>IF(OR($G894="",Sync!$AE891=""),"",Sync!$AE891)</f>
        <v/>
      </c>
      <c r="R894">
        <f>IF($G894="","",IF(Sync!$V891="","0000",IF(AND(ISNUMBER(Sync!$V891),Sync!$V891&gt;=0,Sync!$V891&lt;1),RIGHT("00"&amp;HOUR(Sync!$V891),2)&amp;RIGHT("00"&amp;MINUTE(Sync!$V891),2),IFERROR(RIGHT("00"&amp;VALUE(LEFT(Sync!$V891,FIND(":",Sync!$V891)-1)),2)&amp;RIGHT("00"&amp;VALUE(MID(Sync!$V891,FIND(":",Sync!$V891)+1,2)),2),"0000"))))</f>
        <v/>
      </c>
    </row>
    <row r="895">
      <c r="A895">
        <f>IF(Sync!$U892="","",Sync!$U892)</f>
        <v/>
      </c>
      <c r="B895">
        <f>IF($A895="","",IF(ISNUMBER($A895),IF(AND($A895&gt;=10000101,$A895&lt;=99991231),INT($A895/10000),""),IFERROR(VALUE(TRIM(LEFT($A895,FIND("/",$A895)-1))),"")))</f>
        <v/>
      </c>
      <c r="C895">
        <f>IF(OR($A895="",$B895=""),"",IF(ISNUMBER($A895),INT(MOD($A895,10000)/100),IFERROR(VALUE(TRIM(LEFT(MID($A895,FIND("/",$A895)+1,20),FIND("/",MID($A895,FIND("/",$A895)+1,20))-1))),"")))</f>
        <v/>
      </c>
      <c r="D895">
        <f>IF(OR($A895="",$B895=""),"",IF(ISNUMBER($A895),MOD($A895,100),IFERROR(VALUE(TRIM(MID(MID($A895,FIND("/",$A895)+1,20),FIND("/",MID($A895,FIND("/",$A895)+1,20))+1,20))),"")))</f>
        <v/>
      </c>
      <c r="E895">
        <f>IF($A895="","",IF(OR($B895="",$C895="",$D895="",$B895&lt;1300,$B895&gt;1500,$C895&lt;1,$C895&gt;12,$D895&lt;1,$D895&gt;31),"نامعتبر",RIGHT("0000"&amp;$B895,4)&amp;"/"&amp;RIGHT("00"&amp;$C895,2)&amp;"/"&amp;RIGHT("00"&amp;$D895,2)))</f>
        <v/>
      </c>
      <c r="F895">
        <f>IF(OR($E895="",$E895="نامعتبر"),"",LEFT($E895,4)&amp;"/"&amp;MID($E895,6,2))</f>
        <v/>
      </c>
      <c r="G895">
        <f>IF(OR($E895="",$E895="نامعتبر",Sync!$Y892=""),"",Sync!$Y892)</f>
        <v/>
      </c>
      <c r="H895">
        <f>IF($G895="","",IF(Sync!$X892="","",Sync!$X892))</f>
        <v/>
      </c>
      <c r="I895">
        <f>IF($G895="","",IFERROR(VLOOKUP(Sync!$X892,OpTbl,3,0),""))</f>
        <v/>
      </c>
      <c r="J895">
        <f>IF(OR($G895="",Sync!$Z892=""),"",Sync!$Z892)</f>
        <v/>
      </c>
      <c r="K895">
        <f>IF(OR($G895="",Sync!$AA892=""),"",Sync!$AA892)</f>
        <v/>
      </c>
      <c r="L895">
        <f>IF($G895="",0,IF(Sync!$AB892="",0,Sync!$AB892))</f>
        <v/>
      </c>
      <c r="M895">
        <f>IF($G895="",0,IF(Sync!$AC892="",0,Sync!$AC892))</f>
        <v/>
      </c>
      <c r="N895">
        <f>IF($G895="","",IF($H895="مرجوعی خرید",-1,1)*($L895-$M895*IFERROR(VLOOKUP("P01",ParamTbl,3,0),1.5))*(1-IF($I895="خرید",IFERROR(VLOOKUP("P02",ParamTbl,3,0),1),0)/100))</f>
        <v/>
      </c>
      <c r="O895">
        <f>IF($G895="",0,IF($H895="مرجوعی خرید",-1,1)*IF(Sync!$AD892="",0,Sync!$AD892))</f>
        <v/>
      </c>
      <c r="P895">
        <f>IF(OR($G895="",Sync!$W892=""),"",Sync!$W892)</f>
        <v/>
      </c>
      <c r="Q895">
        <f>IF(OR($G895="",Sync!$AE892=""),"",Sync!$AE892)</f>
        <v/>
      </c>
      <c r="R895">
        <f>IF($G895="","",IF(Sync!$V892="","0000",IF(AND(ISNUMBER(Sync!$V892),Sync!$V892&gt;=0,Sync!$V892&lt;1),RIGHT("00"&amp;HOUR(Sync!$V892),2)&amp;RIGHT("00"&amp;MINUTE(Sync!$V892),2),IFERROR(RIGHT("00"&amp;VALUE(LEFT(Sync!$V892,FIND(":",Sync!$V892)-1)),2)&amp;RIGHT("00"&amp;VALUE(MID(Sync!$V892,FIND(":",Sync!$V892)+1,2)),2),"0000"))))</f>
        <v/>
      </c>
    </row>
    <row r="896">
      <c r="A896">
        <f>IF(Sync!$U893="","",Sync!$U893)</f>
        <v/>
      </c>
      <c r="B896">
        <f>IF($A896="","",IF(ISNUMBER($A896),IF(AND($A896&gt;=10000101,$A896&lt;=99991231),INT($A896/10000),""),IFERROR(VALUE(TRIM(LEFT($A896,FIND("/",$A896)-1))),"")))</f>
        <v/>
      </c>
      <c r="C896">
        <f>IF(OR($A896="",$B896=""),"",IF(ISNUMBER($A896),INT(MOD($A896,10000)/100),IFERROR(VALUE(TRIM(LEFT(MID($A896,FIND("/",$A896)+1,20),FIND("/",MID($A896,FIND("/",$A896)+1,20))-1))),"")))</f>
        <v/>
      </c>
      <c r="D896">
        <f>IF(OR($A896="",$B896=""),"",IF(ISNUMBER($A896),MOD($A896,100),IFERROR(VALUE(TRIM(MID(MID($A896,FIND("/",$A896)+1,20),FIND("/",MID($A896,FIND("/",$A896)+1,20))+1,20))),"")))</f>
        <v/>
      </c>
      <c r="E896">
        <f>IF($A896="","",IF(OR($B896="",$C896="",$D896="",$B896&lt;1300,$B896&gt;1500,$C896&lt;1,$C896&gt;12,$D896&lt;1,$D896&gt;31),"نامعتبر",RIGHT("0000"&amp;$B896,4)&amp;"/"&amp;RIGHT("00"&amp;$C896,2)&amp;"/"&amp;RIGHT("00"&amp;$D896,2)))</f>
        <v/>
      </c>
      <c r="F896">
        <f>IF(OR($E896="",$E896="نامعتبر"),"",LEFT($E896,4)&amp;"/"&amp;MID($E896,6,2))</f>
        <v/>
      </c>
      <c r="G896">
        <f>IF(OR($E896="",$E896="نامعتبر",Sync!$Y893=""),"",Sync!$Y893)</f>
        <v/>
      </c>
      <c r="H896">
        <f>IF($G896="","",IF(Sync!$X893="","",Sync!$X893))</f>
        <v/>
      </c>
      <c r="I896">
        <f>IF($G896="","",IFERROR(VLOOKUP(Sync!$X893,OpTbl,3,0),""))</f>
        <v/>
      </c>
      <c r="J896">
        <f>IF(OR($G896="",Sync!$Z893=""),"",Sync!$Z893)</f>
        <v/>
      </c>
      <c r="K896">
        <f>IF(OR($G896="",Sync!$AA893=""),"",Sync!$AA893)</f>
        <v/>
      </c>
      <c r="L896">
        <f>IF($G896="",0,IF(Sync!$AB893="",0,Sync!$AB893))</f>
        <v/>
      </c>
      <c r="M896">
        <f>IF($G896="",0,IF(Sync!$AC893="",0,Sync!$AC893))</f>
        <v/>
      </c>
      <c r="N896">
        <f>IF($G896="","",IF($H896="مرجوعی خرید",-1,1)*($L896-$M896*IFERROR(VLOOKUP("P01",ParamTbl,3,0),1.5))*(1-IF($I896="خرید",IFERROR(VLOOKUP("P02",ParamTbl,3,0),1),0)/100))</f>
        <v/>
      </c>
      <c r="O896">
        <f>IF($G896="",0,IF($H896="مرجوعی خرید",-1,1)*IF(Sync!$AD893="",0,Sync!$AD893))</f>
        <v/>
      </c>
      <c r="P896">
        <f>IF(OR($G896="",Sync!$W893=""),"",Sync!$W893)</f>
        <v/>
      </c>
      <c r="Q896">
        <f>IF(OR($G896="",Sync!$AE893=""),"",Sync!$AE893)</f>
        <v/>
      </c>
      <c r="R896">
        <f>IF($G896="","",IF(Sync!$V893="","0000",IF(AND(ISNUMBER(Sync!$V893),Sync!$V893&gt;=0,Sync!$V893&lt;1),RIGHT("00"&amp;HOUR(Sync!$V893),2)&amp;RIGHT("00"&amp;MINUTE(Sync!$V893),2),IFERROR(RIGHT("00"&amp;VALUE(LEFT(Sync!$V893,FIND(":",Sync!$V893)-1)),2)&amp;RIGHT("00"&amp;VALUE(MID(Sync!$V893,FIND(":",Sync!$V893)+1,2)),2),"0000"))))</f>
        <v/>
      </c>
    </row>
    <row r="897">
      <c r="A897">
        <f>IF(Sync!$U894="","",Sync!$U894)</f>
        <v/>
      </c>
      <c r="B897">
        <f>IF($A897="","",IF(ISNUMBER($A897),IF(AND($A897&gt;=10000101,$A897&lt;=99991231),INT($A897/10000),""),IFERROR(VALUE(TRIM(LEFT($A897,FIND("/",$A897)-1))),"")))</f>
        <v/>
      </c>
      <c r="C897">
        <f>IF(OR($A897="",$B897=""),"",IF(ISNUMBER($A897),INT(MOD($A897,10000)/100),IFERROR(VALUE(TRIM(LEFT(MID($A897,FIND("/",$A897)+1,20),FIND("/",MID($A897,FIND("/",$A897)+1,20))-1))),"")))</f>
        <v/>
      </c>
      <c r="D897">
        <f>IF(OR($A897="",$B897=""),"",IF(ISNUMBER($A897),MOD($A897,100),IFERROR(VALUE(TRIM(MID(MID($A897,FIND("/",$A897)+1,20),FIND("/",MID($A897,FIND("/",$A897)+1,20))+1,20))),"")))</f>
        <v/>
      </c>
      <c r="E897">
        <f>IF($A897="","",IF(OR($B897="",$C897="",$D897="",$B897&lt;1300,$B897&gt;1500,$C897&lt;1,$C897&gt;12,$D897&lt;1,$D897&gt;31),"نامعتبر",RIGHT("0000"&amp;$B897,4)&amp;"/"&amp;RIGHT("00"&amp;$C897,2)&amp;"/"&amp;RIGHT("00"&amp;$D897,2)))</f>
        <v/>
      </c>
      <c r="F897">
        <f>IF(OR($E897="",$E897="نامعتبر"),"",LEFT($E897,4)&amp;"/"&amp;MID($E897,6,2))</f>
        <v/>
      </c>
      <c r="G897">
        <f>IF(OR($E897="",$E897="نامعتبر",Sync!$Y894=""),"",Sync!$Y894)</f>
        <v/>
      </c>
      <c r="H897">
        <f>IF($G897="","",IF(Sync!$X894="","",Sync!$X894))</f>
        <v/>
      </c>
      <c r="I897">
        <f>IF($G897="","",IFERROR(VLOOKUP(Sync!$X894,OpTbl,3,0),""))</f>
        <v/>
      </c>
      <c r="J897">
        <f>IF(OR($G897="",Sync!$Z894=""),"",Sync!$Z894)</f>
        <v/>
      </c>
      <c r="K897">
        <f>IF(OR($G897="",Sync!$AA894=""),"",Sync!$AA894)</f>
        <v/>
      </c>
      <c r="L897">
        <f>IF($G897="",0,IF(Sync!$AB894="",0,Sync!$AB894))</f>
        <v/>
      </c>
      <c r="M897">
        <f>IF($G897="",0,IF(Sync!$AC894="",0,Sync!$AC894))</f>
        <v/>
      </c>
      <c r="N897">
        <f>IF($G897="","",IF($H897="مرجوعی خرید",-1,1)*($L897-$M897*IFERROR(VLOOKUP("P01",ParamTbl,3,0),1.5))*(1-IF($I897="خرید",IFERROR(VLOOKUP("P02",ParamTbl,3,0),1),0)/100))</f>
        <v/>
      </c>
      <c r="O897">
        <f>IF($G897="",0,IF($H897="مرجوعی خرید",-1,1)*IF(Sync!$AD894="",0,Sync!$AD894))</f>
        <v/>
      </c>
      <c r="P897">
        <f>IF(OR($G897="",Sync!$W894=""),"",Sync!$W894)</f>
        <v/>
      </c>
      <c r="Q897">
        <f>IF(OR($G897="",Sync!$AE894=""),"",Sync!$AE894)</f>
        <v/>
      </c>
      <c r="R897">
        <f>IF($G897="","",IF(Sync!$V894="","0000",IF(AND(ISNUMBER(Sync!$V894),Sync!$V894&gt;=0,Sync!$V894&lt;1),RIGHT("00"&amp;HOUR(Sync!$V894),2)&amp;RIGHT("00"&amp;MINUTE(Sync!$V894),2),IFERROR(RIGHT("00"&amp;VALUE(LEFT(Sync!$V894,FIND(":",Sync!$V894)-1)),2)&amp;RIGHT("00"&amp;VALUE(MID(Sync!$V894,FIND(":",Sync!$V894)+1,2)),2),"0000"))))</f>
        <v/>
      </c>
    </row>
    <row r="898">
      <c r="A898">
        <f>IF(Sync!$U895="","",Sync!$U895)</f>
        <v/>
      </c>
      <c r="B898">
        <f>IF($A898="","",IF(ISNUMBER($A898),IF(AND($A898&gt;=10000101,$A898&lt;=99991231),INT($A898/10000),""),IFERROR(VALUE(TRIM(LEFT($A898,FIND("/",$A898)-1))),"")))</f>
        <v/>
      </c>
      <c r="C898">
        <f>IF(OR($A898="",$B898=""),"",IF(ISNUMBER($A898),INT(MOD($A898,10000)/100),IFERROR(VALUE(TRIM(LEFT(MID($A898,FIND("/",$A898)+1,20),FIND("/",MID($A898,FIND("/",$A898)+1,20))-1))),"")))</f>
        <v/>
      </c>
      <c r="D898">
        <f>IF(OR($A898="",$B898=""),"",IF(ISNUMBER($A898),MOD($A898,100),IFERROR(VALUE(TRIM(MID(MID($A898,FIND("/",$A898)+1,20),FIND("/",MID($A898,FIND("/",$A898)+1,20))+1,20))),"")))</f>
        <v/>
      </c>
      <c r="E898">
        <f>IF($A898="","",IF(OR($B898="",$C898="",$D898="",$B898&lt;1300,$B898&gt;1500,$C898&lt;1,$C898&gt;12,$D898&lt;1,$D898&gt;31),"نامعتبر",RIGHT("0000"&amp;$B898,4)&amp;"/"&amp;RIGHT("00"&amp;$C898,2)&amp;"/"&amp;RIGHT("00"&amp;$D898,2)))</f>
        <v/>
      </c>
      <c r="F898">
        <f>IF(OR($E898="",$E898="نامعتبر"),"",LEFT($E898,4)&amp;"/"&amp;MID($E898,6,2))</f>
        <v/>
      </c>
      <c r="G898">
        <f>IF(OR($E898="",$E898="نامعتبر",Sync!$Y895=""),"",Sync!$Y895)</f>
        <v/>
      </c>
      <c r="H898">
        <f>IF($G898="","",IF(Sync!$X895="","",Sync!$X895))</f>
        <v/>
      </c>
      <c r="I898">
        <f>IF($G898="","",IFERROR(VLOOKUP(Sync!$X895,OpTbl,3,0),""))</f>
        <v/>
      </c>
      <c r="J898">
        <f>IF(OR($G898="",Sync!$Z895=""),"",Sync!$Z895)</f>
        <v/>
      </c>
      <c r="K898">
        <f>IF(OR($G898="",Sync!$AA895=""),"",Sync!$AA895)</f>
        <v/>
      </c>
      <c r="L898">
        <f>IF($G898="",0,IF(Sync!$AB895="",0,Sync!$AB895))</f>
        <v/>
      </c>
      <c r="M898">
        <f>IF($G898="",0,IF(Sync!$AC895="",0,Sync!$AC895))</f>
        <v/>
      </c>
      <c r="N898">
        <f>IF($G898="","",IF($H898="مرجوعی خرید",-1,1)*($L898-$M898*IFERROR(VLOOKUP("P01",ParamTbl,3,0),1.5))*(1-IF($I898="خرید",IFERROR(VLOOKUP("P02",ParamTbl,3,0),1),0)/100))</f>
        <v/>
      </c>
      <c r="O898">
        <f>IF($G898="",0,IF($H898="مرجوعی خرید",-1,1)*IF(Sync!$AD895="",0,Sync!$AD895))</f>
        <v/>
      </c>
      <c r="P898">
        <f>IF(OR($G898="",Sync!$W895=""),"",Sync!$W895)</f>
        <v/>
      </c>
      <c r="Q898">
        <f>IF(OR($G898="",Sync!$AE895=""),"",Sync!$AE895)</f>
        <v/>
      </c>
      <c r="R898">
        <f>IF($G898="","",IF(Sync!$V895="","0000",IF(AND(ISNUMBER(Sync!$V895),Sync!$V895&gt;=0,Sync!$V895&lt;1),RIGHT("00"&amp;HOUR(Sync!$V895),2)&amp;RIGHT("00"&amp;MINUTE(Sync!$V895),2),IFERROR(RIGHT("00"&amp;VALUE(LEFT(Sync!$V895,FIND(":",Sync!$V895)-1)),2)&amp;RIGHT("00"&amp;VALUE(MID(Sync!$V895,FIND(":",Sync!$V895)+1,2)),2),"0000"))))</f>
        <v/>
      </c>
    </row>
    <row r="899">
      <c r="A899">
        <f>IF(Sync!$U896="","",Sync!$U896)</f>
        <v/>
      </c>
      <c r="B899">
        <f>IF($A899="","",IF(ISNUMBER($A899),IF(AND($A899&gt;=10000101,$A899&lt;=99991231),INT($A899/10000),""),IFERROR(VALUE(TRIM(LEFT($A899,FIND("/",$A899)-1))),"")))</f>
        <v/>
      </c>
      <c r="C899">
        <f>IF(OR($A899="",$B899=""),"",IF(ISNUMBER($A899),INT(MOD($A899,10000)/100),IFERROR(VALUE(TRIM(LEFT(MID($A899,FIND("/",$A899)+1,20),FIND("/",MID($A899,FIND("/",$A899)+1,20))-1))),"")))</f>
        <v/>
      </c>
      <c r="D899">
        <f>IF(OR($A899="",$B899=""),"",IF(ISNUMBER($A899),MOD($A899,100),IFERROR(VALUE(TRIM(MID(MID($A899,FIND("/",$A899)+1,20),FIND("/",MID($A899,FIND("/",$A899)+1,20))+1,20))),"")))</f>
        <v/>
      </c>
      <c r="E899">
        <f>IF($A899="","",IF(OR($B899="",$C899="",$D899="",$B899&lt;1300,$B899&gt;1500,$C899&lt;1,$C899&gt;12,$D899&lt;1,$D899&gt;31),"نامعتبر",RIGHT("0000"&amp;$B899,4)&amp;"/"&amp;RIGHT("00"&amp;$C899,2)&amp;"/"&amp;RIGHT("00"&amp;$D899,2)))</f>
        <v/>
      </c>
      <c r="F899">
        <f>IF(OR($E899="",$E899="نامعتبر"),"",LEFT($E899,4)&amp;"/"&amp;MID($E899,6,2))</f>
        <v/>
      </c>
      <c r="G899">
        <f>IF(OR($E899="",$E899="نامعتبر",Sync!$Y896=""),"",Sync!$Y896)</f>
        <v/>
      </c>
      <c r="H899">
        <f>IF($G899="","",IF(Sync!$X896="","",Sync!$X896))</f>
        <v/>
      </c>
      <c r="I899">
        <f>IF($G899="","",IFERROR(VLOOKUP(Sync!$X896,OpTbl,3,0),""))</f>
        <v/>
      </c>
      <c r="J899">
        <f>IF(OR($G899="",Sync!$Z896=""),"",Sync!$Z896)</f>
        <v/>
      </c>
      <c r="K899">
        <f>IF(OR($G899="",Sync!$AA896=""),"",Sync!$AA896)</f>
        <v/>
      </c>
      <c r="L899">
        <f>IF($G899="",0,IF(Sync!$AB896="",0,Sync!$AB896))</f>
        <v/>
      </c>
      <c r="M899">
        <f>IF($G899="",0,IF(Sync!$AC896="",0,Sync!$AC896))</f>
        <v/>
      </c>
      <c r="N899">
        <f>IF($G899="","",IF($H899="مرجوعی خرید",-1,1)*($L899-$M899*IFERROR(VLOOKUP("P01",ParamTbl,3,0),1.5))*(1-IF($I899="خرید",IFERROR(VLOOKUP("P02",ParamTbl,3,0),1),0)/100))</f>
        <v/>
      </c>
      <c r="O899">
        <f>IF($G899="",0,IF($H899="مرجوعی خرید",-1,1)*IF(Sync!$AD896="",0,Sync!$AD896))</f>
        <v/>
      </c>
      <c r="P899">
        <f>IF(OR($G899="",Sync!$W896=""),"",Sync!$W896)</f>
        <v/>
      </c>
      <c r="Q899">
        <f>IF(OR($G899="",Sync!$AE896=""),"",Sync!$AE896)</f>
        <v/>
      </c>
      <c r="R899">
        <f>IF($G899="","",IF(Sync!$V896="","0000",IF(AND(ISNUMBER(Sync!$V896),Sync!$V896&gt;=0,Sync!$V896&lt;1),RIGHT("00"&amp;HOUR(Sync!$V896),2)&amp;RIGHT("00"&amp;MINUTE(Sync!$V896),2),IFERROR(RIGHT("00"&amp;VALUE(LEFT(Sync!$V896,FIND(":",Sync!$V896)-1)),2)&amp;RIGHT("00"&amp;VALUE(MID(Sync!$V896,FIND(":",Sync!$V896)+1,2)),2),"0000"))))</f>
        <v/>
      </c>
    </row>
    <row r="900">
      <c r="A900">
        <f>IF(Sync!$U897="","",Sync!$U897)</f>
        <v/>
      </c>
      <c r="B900">
        <f>IF($A900="","",IF(ISNUMBER($A900),IF(AND($A900&gt;=10000101,$A900&lt;=99991231),INT($A900/10000),""),IFERROR(VALUE(TRIM(LEFT($A900,FIND("/",$A900)-1))),"")))</f>
        <v/>
      </c>
      <c r="C900">
        <f>IF(OR($A900="",$B900=""),"",IF(ISNUMBER($A900),INT(MOD($A900,10000)/100),IFERROR(VALUE(TRIM(LEFT(MID($A900,FIND("/",$A900)+1,20),FIND("/",MID($A900,FIND("/",$A900)+1,20))-1))),"")))</f>
        <v/>
      </c>
      <c r="D900">
        <f>IF(OR($A900="",$B900=""),"",IF(ISNUMBER($A900),MOD($A900,100),IFERROR(VALUE(TRIM(MID(MID($A900,FIND("/",$A900)+1,20),FIND("/",MID($A900,FIND("/",$A900)+1,20))+1,20))),"")))</f>
        <v/>
      </c>
      <c r="E900">
        <f>IF($A900="","",IF(OR($B900="",$C900="",$D900="",$B900&lt;1300,$B900&gt;1500,$C900&lt;1,$C900&gt;12,$D900&lt;1,$D900&gt;31),"نامعتبر",RIGHT("0000"&amp;$B900,4)&amp;"/"&amp;RIGHT("00"&amp;$C900,2)&amp;"/"&amp;RIGHT("00"&amp;$D900,2)))</f>
        <v/>
      </c>
      <c r="F900">
        <f>IF(OR($E900="",$E900="نامعتبر"),"",LEFT($E900,4)&amp;"/"&amp;MID($E900,6,2))</f>
        <v/>
      </c>
      <c r="G900">
        <f>IF(OR($E900="",$E900="نامعتبر",Sync!$Y897=""),"",Sync!$Y897)</f>
        <v/>
      </c>
      <c r="H900">
        <f>IF($G900="","",IF(Sync!$X897="","",Sync!$X897))</f>
        <v/>
      </c>
      <c r="I900">
        <f>IF($G900="","",IFERROR(VLOOKUP(Sync!$X897,OpTbl,3,0),""))</f>
        <v/>
      </c>
      <c r="J900">
        <f>IF(OR($G900="",Sync!$Z897=""),"",Sync!$Z897)</f>
        <v/>
      </c>
      <c r="K900">
        <f>IF(OR($G900="",Sync!$AA897=""),"",Sync!$AA897)</f>
        <v/>
      </c>
      <c r="L900">
        <f>IF($G900="",0,IF(Sync!$AB897="",0,Sync!$AB897))</f>
        <v/>
      </c>
      <c r="M900">
        <f>IF($G900="",0,IF(Sync!$AC897="",0,Sync!$AC897))</f>
        <v/>
      </c>
      <c r="N900">
        <f>IF($G900="","",IF($H900="مرجوعی خرید",-1,1)*($L900-$M900*IFERROR(VLOOKUP("P01",ParamTbl,3,0),1.5))*(1-IF($I900="خرید",IFERROR(VLOOKUP("P02",ParamTbl,3,0),1),0)/100))</f>
        <v/>
      </c>
      <c r="O900">
        <f>IF($G900="",0,IF($H900="مرجوعی خرید",-1,1)*IF(Sync!$AD897="",0,Sync!$AD897))</f>
        <v/>
      </c>
      <c r="P900">
        <f>IF(OR($G900="",Sync!$W897=""),"",Sync!$W897)</f>
        <v/>
      </c>
      <c r="Q900">
        <f>IF(OR($G900="",Sync!$AE897=""),"",Sync!$AE897)</f>
        <v/>
      </c>
      <c r="R900">
        <f>IF($G900="","",IF(Sync!$V897="","0000",IF(AND(ISNUMBER(Sync!$V897),Sync!$V897&gt;=0,Sync!$V897&lt;1),RIGHT("00"&amp;HOUR(Sync!$V897),2)&amp;RIGHT("00"&amp;MINUTE(Sync!$V897),2),IFERROR(RIGHT("00"&amp;VALUE(LEFT(Sync!$V897,FIND(":",Sync!$V897)-1)),2)&amp;RIGHT("00"&amp;VALUE(MID(Sync!$V897,FIND(":",Sync!$V897)+1,2)),2),"0000"))))</f>
        <v/>
      </c>
    </row>
    <row r="901">
      <c r="A901">
        <f>IF(Sync!$U898="","",Sync!$U898)</f>
        <v/>
      </c>
      <c r="B901">
        <f>IF($A901="","",IF(ISNUMBER($A901),IF(AND($A901&gt;=10000101,$A901&lt;=99991231),INT($A901/10000),""),IFERROR(VALUE(TRIM(LEFT($A901,FIND("/",$A901)-1))),"")))</f>
        <v/>
      </c>
      <c r="C901">
        <f>IF(OR($A901="",$B901=""),"",IF(ISNUMBER($A901),INT(MOD($A901,10000)/100),IFERROR(VALUE(TRIM(LEFT(MID($A901,FIND("/",$A901)+1,20),FIND("/",MID($A901,FIND("/",$A901)+1,20))-1))),"")))</f>
        <v/>
      </c>
      <c r="D901">
        <f>IF(OR($A901="",$B901=""),"",IF(ISNUMBER($A901),MOD($A901,100),IFERROR(VALUE(TRIM(MID(MID($A901,FIND("/",$A901)+1,20),FIND("/",MID($A901,FIND("/",$A901)+1,20))+1,20))),"")))</f>
        <v/>
      </c>
      <c r="E901">
        <f>IF($A901="","",IF(OR($B901="",$C901="",$D901="",$B901&lt;1300,$B901&gt;1500,$C901&lt;1,$C901&gt;12,$D901&lt;1,$D901&gt;31),"نامعتبر",RIGHT("0000"&amp;$B901,4)&amp;"/"&amp;RIGHT("00"&amp;$C901,2)&amp;"/"&amp;RIGHT("00"&amp;$D901,2)))</f>
        <v/>
      </c>
      <c r="F901">
        <f>IF(OR($E901="",$E901="نامعتبر"),"",LEFT($E901,4)&amp;"/"&amp;MID($E901,6,2))</f>
        <v/>
      </c>
      <c r="G901">
        <f>IF(OR($E901="",$E901="نامعتبر",Sync!$Y898=""),"",Sync!$Y898)</f>
        <v/>
      </c>
      <c r="H901">
        <f>IF($G901="","",IF(Sync!$X898="","",Sync!$X898))</f>
        <v/>
      </c>
      <c r="I901">
        <f>IF($G901="","",IFERROR(VLOOKUP(Sync!$X898,OpTbl,3,0),""))</f>
        <v/>
      </c>
      <c r="J901">
        <f>IF(OR($G901="",Sync!$Z898=""),"",Sync!$Z898)</f>
        <v/>
      </c>
      <c r="K901">
        <f>IF(OR($G901="",Sync!$AA898=""),"",Sync!$AA898)</f>
        <v/>
      </c>
      <c r="L901">
        <f>IF($G901="",0,IF(Sync!$AB898="",0,Sync!$AB898))</f>
        <v/>
      </c>
      <c r="M901">
        <f>IF($G901="",0,IF(Sync!$AC898="",0,Sync!$AC898))</f>
        <v/>
      </c>
      <c r="N901">
        <f>IF($G901="","",IF($H901="مرجوعی خرید",-1,1)*($L901-$M901*IFERROR(VLOOKUP("P01",ParamTbl,3,0),1.5))*(1-IF($I901="خرید",IFERROR(VLOOKUP("P02",ParamTbl,3,0),1),0)/100))</f>
        <v/>
      </c>
      <c r="O901">
        <f>IF($G901="",0,IF($H901="مرجوعی خرید",-1,1)*IF(Sync!$AD898="",0,Sync!$AD898))</f>
        <v/>
      </c>
      <c r="P901">
        <f>IF(OR($G901="",Sync!$W898=""),"",Sync!$W898)</f>
        <v/>
      </c>
      <c r="Q901">
        <f>IF(OR($G901="",Sync!$AE898=""),"",Sync!$AE898)</f>
        <v/>
      </c>
      <c r="R901">
        <f>IF($G901="","",IF(Sync!$V898="","0000",IF(AND(ISNUMBER(Sync!$V898),Sync!$V898&gt;=0,Sync!$V898&lt;1),RIGHT("00"&amp;HOUR(Sync!$V898),2)&amp;RIGHT("00"&amp;MINUTE(Sync!$V898),2),IFERROR(RIGHT("00"&amp;VALUE(LEFT(Sync!$V898,FIND(":",Sync!$V898)-1)),2)&amp;RIGHT("00"&amp;VALUE(MID(Sync!$V898,FIND(":",Sync!$V898)+1,2)),2),"0000"))))</f>
        <v/>
      </c>
    </row>
    <row r="902">
      <c r="A902">
        <f>IF(Sync!$U899="","",Sync!$U899)</f>
        <v/>
      </c>
      <c r="B902">
        <f>IF($A902="","",IF(ISNUMBER($A902),IF(AND($A902&gt;=10000101,$A902&lt;=99991231),INT($A902/10000),""),IFERROR(VALUE(TRIM(LEFT($A902,FIND("/",$A902)-1))),"")))</f>
        <v/>
      </c>
      <c r="C902">
        <f>IF(OR($A902="",$B902=""),"",IF(ISNUMBER($A902),INT(MOD($A902,10000)/100),IFERROR(VALUE(TRIM(LEFT(MID($A902,FIND("/",$A902)+1,20),FIND("/",MID($A902,FIND("/",$A902)+1,20))-1))),"")))</f>
        <v/>
      </c>
      <c r="D902">
        <f>IF(OR($A902="",$B902=""),"",IF(ISNUMBER($A902),MOD($A902,100),IFERROR(VALUE(TRIM(MID(MID($A902,FIND("/",$A902)+1,20),FIND("/",MID($A902,FIND("/",$A902)+1,20))+1,20))),"")))</f>
        <v/>
      </c>
      <c r="E902">
        <f>IF($A902="","",IF(OR($B902="",$C902="",$D902="",$B902&lt;1300,$B902&gt;1500,$C902&lt;1,$C902&gt;12,$D902&lt;1,$D902&gt;31),"نامعتبر",RIGHT("0000"&amp;$B902,4)&amp;"/"&amp;RIGHT("00"&amp;$C902,2)&amp;"/"&amp;RIGHT("00"&amp;$D902,2)))</f>
        <v/>
      </c>
      <c r="F902">
        <f>IF(OR($E902="",$E902="نامعتبر"),"",LEFT($E902,4)&amp;"/"&amp;MID($E902,6,2))</f>
        <v/>
      </c>
      <c r="G902">
        <f>IF(OR($E902="",$E902="نامعتبر",Sync!$Y899=""),"",Sync!$Y899)</f>
        <v/>
      </c>
      <c r="H902">
        <f>IF($G902="","",IF(Sync!$X899="","",Sync!$X899))</f>
        <v/>
      </c>
      <c r="I902">
        <f>IF($G902="","",IFERROR(VLOOKUP(Sync!$X899,OpTbl,3,0),""))</f>
        <v/>
      </c>
      <c r="J902">
        <f>IF(OR($G902="",Sync!$Z899=""),"",Sync!$Z899)</f>
        <v/>
      </c>
      <c r="K902">
        <f>IF(OR($G902="",Sync!$AA899=""),"",Sync!$AA899)</f>
        <v/>
      </c>
      <c r="L902">
        <f>IF($G902="",0,IF(Sync!$AB899="",0,Sync!$AB899))</f>
        <v/>
      </c>
      <c r="M902">
        <f>IF($G902="",0,IF(Sync!$AC899="",0,Sync!$AC899))</f>
        <v/>
      </c>
      <c r="N902">
        <f>IF($G902="","",IF($H902="مرجوعی خرید",-1,1)*($L902-$M902*IFERROR(VLOOKUP("P01",ParamTbl,3,0),1.5))*(1-IF($I902="خرید",IFERROR(VLOOKUP("P02",ParamTbl,3,0),1),0)/100))</f>
        <v/>
      </c>
      <c r="O902">
        <f>IF($G902="",0,IF($H902="مرجوعی خرید",-1,1)*IF(Sync!$AD899="",0,Sync!$AD899))</f>
        <v/>
      </c>
      <c r="P902">
        <f>IF(OR($G902="",Sync!$W899=""),"",Sync!$W899)</f>
        <v/>
      </c>
      <c r="Q902">
        <f>IF(OR($G902="",Sync!$AE899=""),"",Sync!$AE899)</f>
        <v/>
      </c>
      <c r="R902">
        <f>IF($G902="","",IF(Sync!$V899="","0000",IF(AND(ISNUMBER(Sync!$V899),Sync!$V899&gt;=0,Sync!$V899&lt;1),RIGHT("00"&amp;HOUR(Sync!$V899),2)&amp;RIGHT("00"&amp;MINUTE(Sync!$V899),2),IFERROR(RIGHT("00"&amp;VALUE(LEFT(Sync!$V899,FIND(":",Sync!$V899)-1)),2)&amp;RIGHT("00"&amp;VALUE(MID(Sync!$V899,FIND(":",Sync!$V899)+1,2)),2),"0000"))))</f>
        <v/>
      </c>
    </row>
    <row r="903">
      <c r="A903">
        <f>IF(Sync!$U900="","",Sync!$U900)</f>
        <v/>
      </c>
      <c r="B903">
        <f>IF($A903="","",IF(ISNUMBER($A903),IF(AND($A903&gt;=10000101,$A903&lt;=99991231),INT($A903/10000),""),IFERROR(VALUE(TRIM(LEFT($A903,FIND("/",$A903)-1))),"")))</f>
        <v/>
      </c>
      <c r="C903">
        <f>IF(OR($A903="",$B903=""),"",IF(ISNUMBER($A903),INT(MOD($A903,10000)/100),IFERROR(VALUE(TRIM(LEFT(MID($A903,FIND("/",$A903)+1,20),FIND("/",MID($A903,FIND("/",$A903)+1,20))-1))),"")))</f>
        <v/>
      </c>
      <c r="D903">
        <f>IF(OR($A903="",$B903=""),"",IF(ISNUMBER($A903),MOD($A903,100),IFERROR(VALUE(TRIM(MID(MID($A903,FIND("/",$A903)+1,20),FIND("/",MID($A903,FIND("/",$A903)+1,20))+1,20))),"")))</f>
        <v/>
      </c>
      <c r="E903">
        <f>IF($A903="","",IF(OR($B903="",$C903="",$D903="",$B903&lt;1300,$B903&gt;1500,$C903&lt;1,$C903&gt;12,$D903&lt;1,$D903&gt;31),"نامعتبر",RIGHT("0000"&amp;$B903,4)&amp;"/"&amp;RIGHT("00"&amp;$C903,2)&amp;"/"&amp;RIGHT("00"&amp;$D903,2)))</f>
        <v/>
      </c>
      <c r="F903">
        <f>IF(OR($E903="",$E903="نامعتبر"),"",LEFT($E903,4)&amp;"/"&amp;MID($E903,6,2))</f>
        <v/>
      </c>
      <c r="G903">
        <f>IF(OR($E903="",$E903="نامعتبر",Sync!$Y900=""),"",Sync!$Y900)</f>
        <v/>
      </c>
      <c r="H903">
        <f>IF($G903="","",IF(Sync!$X900="","",Sync!$X900))</f>
        <v/>
      </c>
      <c r="I903">
        <f>IF($G903="","",IFERROR(VLOOKUP(Sync!$X900,OpTbl,3,0),""))</f>
        <v/>
      </c>
      <c r="J903">
        <f>IF(OR($G903="",Sync!$Z900=""),"",Sync!$Z900)</f>
        <v/>
      </c>
      <c r="K903">
        <f>IF(OR($G903="",Sync!$AA900=""),"",Sync!$AA900)</f>
        <v/>
      </c>
      <c r="L903">
        <f>IF($G903="",0,IF(Sync!$AB900="",0,Sync!$AB900))</f>
        <v/>
      </c>
      <c r="M903">
        <f>IF($G903="",0,IF(Sync!$AC900="",0,Sync!$AC900))</f>
        <v/>
      </c>
      <c r="N903">
        <f>IF($G903="","",IF($H903="مرجوعی خرید",-1,1)*($L903-$M903*IFERROR(VLOOKUP("P01",ParamTbl,3,0),1.5))*(1-IF($I903="خرید",IFERROR(VLOOKUP("P02",ParamTbl,3,0),1),0)/100))</f>
        <v/>
      </c>
      <c r="O903">
        <f>IF($G903="",0,IF($H903="مرجوعی خرید",-1,1)*IF(Sync!$AD900="",0,Sync!$AD900))</f>
        <v/>
      </c>
      <c r="P903">
        <f>IF(OR($G903="",Sync!$W900=""),"",Sync!$W900)</f>
        <v/>
      </c>
      <c r="Q903">
        <f>IF(OR($G903="",Sync!$AE900=""),"",Sync!$AE900)</f>
        <v/>
      </c>
      <c r="R903">
        <f>IF($G903="","",IF(Sync!$V900="","0000",IF(AND(ISNUMBER(Sync!$V900),Sync!$V900&gt;=0,Sync!$V900&lt;1),RIGHT("00"&amp;HOUR(Sync!$V900),2)&amp;RIGHT("00"&amp;MINUTE(Sync!$V900),2),IFERROR(RIGHT("00"&amp;VALUE(LEFT(Sync!$V900,FIND(":",Sync!$V900)-1)),2)&amp;RIGHT("00"&amp;VALUE(MID(Sync!$V900,FIND(":",Sync!$V900)+1,2)),2),"0000"))))</f>
        <v/>
      </c>
    </row>
    <row r="904">
      <c r="A904">
        <f>IF(Sync!$U901="","",Sync!$U901)</f>
        <v/>
      </c>
      <c r="B904">
        <f>IF($A904="","",IF(ISNUMBER($A904),IF(AND($A904&gt;=10000101,$A904&lt;=99991231),INT($A904/10000),""),IFERROR(VALUE(TRIM(LEFT($A904,FIND("/",$A904)-1))),"")))</f>
        <v/>
      </c>
      <c r="C904">
        <f>IF(OR($A904="",$B904=""),"",IF(ISNUMBER($A904),INT(MOD($A904,10000)/100),IFERROR(VALUE(TRIM(LEFT(MID($A904,FIND("/",$A904)+1,20),FIND("/",MID($A904,FIND("/",$A904)+1,20))-1))),"")))</f>
        <v/>
      </c>
      <c r="D904">
        <f>IF(OR($A904="",$B904=""),"",IF(ISNUMBER($A904),MOD($A904,100),IFERROR(VALUE(TRIM(MID(MID($A904,FIND("/",$A904)+1,20),FIND("/",MID($A904,FIND("/",$A904)+1,20))+1,20))),"")))</f>
        <v/>
      </c>
      <c r="E904">
        <f>IF($A904="","",IF(OR($B904="",$C904="",$D904="",$B904&lt;1300,$B904&gt;1500,$C904&lt;1,$C904&gt;12,$D904&lt;1,$D904&gt;31),"نامعتبر",RIGHT("0000"&amp;$B904,4)&amp;"/"&amp;RIGHT("00"&amp;$C904,2)&amp;"/"&amp;RIGHT("00"&amp;$D904,2)))</f>
        <v/>
      </c>
      <c r="F904">
        <f>IF(OR($E904="",$E904="نامعتبر"),"",LEFT($E904,4)&amp;"/"&amp;MID($E904,6,2))</f>
        <v/>
      </c>
      <c r="G904">
        <f>IF(OR($E904="",$E904="نامعتبر",Sync!$Y901=""),"",Sync!$Y901)</f>
        <v/>
      </c>
      <c r="H904">
        <f>IF($G904="","",IF(Sync!$X901="","",Sync!$X901))</f>
        <v/>
      </c>
      <c r="I904">
        <f>IF($G904="","",IFERROR(VLOOKUP(Sync!$X901,OpTbl,3,0),""))</f>
        <v/>
      </c>
      <c r="J904">
        <f>IF(OR($G904="",Sync!$Z901=""),"",Sync!$Z901)</f>
        <v/>
      </c>
      <c r="K904">
        <f>IF(OR($G904="",Sync!$AA901=""),"",Sync!$AA901)</f>
        <v/>
      </c>
      <c r="L904">
        <f>IF($G904="",0,IF(Sync!$AB901="",0,Sync!$AB901))</f>
        <v/>
      </c>
      <c r="M904">
        <f>IF($G904="",0,IF(Sync!$AC901="",0,Sync!$AC901))</f>
        <v/>
      </c>
      <c r="N904">
        <f>IF($G904="","",IF($H904="مرجوعی خرید",-1,1)*($L904-$M904*IFERROR(VLOOKUP("P01",ParamTbl,3,0),1.5))*(1-IF($I904="خرید",IFERROR(VLOOKUP("P02",ParamTbl,3,0),1),0)/100))</f>
        <v/>
      </c>
      <c r="O904">
        <f>IF($G904="",0,IF($H904="مرجوعی خرید",-1,1)*IF(Sync!$AD901="",0,Sync!$AD901))</f>
        <v/>
      </c>
      <c r="P904">
        <f>IF(OR($G904="",Sync!$W901=""),"",Sync!$W901)</f>
        <v/>
      </c>
      <c r="Q904">
        <f>IF(OR($G904="",Sync!$AE901=""),"",Sync!$AE901)</f>
        <v/>
      </c>
      <c r="R904">
        <f>IF($G904="","",IF(Sync!$V901="","0000",IF(AND(ISNUMBER(Sync!$V901),Sync!$V901&gt;=0,Sync!$V901&lt;1),RIGHT("00"&amp;HOUR(Sync!$V901),2)&amp;RIGHT("00"&amp;MINUTE(Sync!$V901),2),IFERROR(RIGHT("00"&amp;VALUE(LEFT(Sync!$V901,FIND(":",Sync!$V901)-1)),2)&amp;RIGHT("00"&amp;VALUE(MID(Sync!$V901,FIND(":",Sync!$V901)+1,2)),2),"0000"))))</f>
        <v/>
      </c>
    </row>
    <row r="905">
      <c r="A905">
        <f>IF(Sync!$U902="","",Sync!$U902)</f>
        <v/>
      </c>
      <c r="B905">
        <f>IF($A905="","",IF(ISNUMBER($A905),IF(AND($A905&gt;=10000101,$A905&lt;=99991231),INT($A905/10000),""),IFERROR(VALUE(TRIM(LEFT($A905,FIND("/",$A905)-1))),"")))</f>
        <v/>
      </c>
      <c r="C905">
        <f>IF(OR($A905="",$B905=""),"",IF(ISNUMBER($A905),INT(MOD($A905,10000)/100),IFERROR(VALUE(TRIM(LEFT(MID($A905,FIND("/",$A905)+1,20),FIND("/",MID($A905,FIND("/",$A905)+1,20))-1))),"")))</f>
        <v/>
      </c>
      <c r="D905">
        <f>IF(OR($A905="",$B905=""),"",IF(ISNUMBER($A905),MOD($A905,100),IFERROR(VALUE(TRIM(MID(MID($A905,FIND("/",$A905)+1,20),FIND("/",MID($A905,FIND("/",$A905)+1,20))+1,20))),"")))</f>
        <v/>
      </c>
      <c r="E905">
        <f>IF($A905="","",IF(OR($B905="",$C905="",$D905="",$B905&lt;1300,$B905&gt;1500,$C905&lt;1,$C905&gt;12,$D905&lt;1,$D905&gt;31),"نامعتبر",RIGHT("0000"&amp;$B905,4)&amp;"/"&amp;RIGHT("00"&amp;$C905,2)&amp;"/"&amp;RIGHT("00"&amp;$D905,2)))</f>
        <v/>
      </c>
      <c r="F905">
        <f>IF(OR($E905="",$E905="نامعتبر"),"",LEFT($E905,4)&amp;"/"&amp;MID($E905,6,2))</f>
        <v/>
      </c>
      <c r="G905">
        <f>IF(OR($E905="",$E905="نامعتبر",Sync!$Y902=""),"",Sync!$Y902)</f>
        <v/>
      </c>
      <c r="H905">
        <f>IF($G905="","",IF(Sync!$X902="","",Sync!$X902))</f>
        <v/>
      </c>
      <c r="I905">
        <f>IF($G905="","",IFERROR(VLOOKUP(Sync!$X902,OpTbl,3,0),""))</f>
        <v/>
      </c>
      <c r="J905">
        <f>IF(OR($G905="",Sync!$Z902=""),"",Sync!$Z902)</f>
        <v/>
      </c>
      <c r="K905">
        <f>IF(OR($G905="",Sync!$AA902=""),"",Sync!$AA902)</f>
        <v/>
      </c>
      <c r="L905">
        <f>IF($G905="",0,IF(Sync!$AB902="",0,Sync!$AB902))</f>
        <v/>
      </c>
      <c r="M905">
        <f>IF($G905="",0,IF(Sync!$AC902="",0,Sync!$AC902))</f>
        <v/>
      </c>
      <c r="N905">
        <f>IF($G905="","",IF($H905="مرجوعی خرید",-1,1)*($L905-$M905*IFERROR(VLOOKUP("P01",ParamTbl,3,0),1.5))*(1-IF($I905="خرید",IFERROR(VLOOKUP("P02",ParamTbl,3,0),1),0)/100))</f>
        <v/>
      </c>
      <c r="O905">
        <f>IF($G905="",0,IF($H905="مرجوعی خرید",-1,1)*IF(Sync!$AD902="",0,Sync!$AD902))</f>
        <v/>
      </c>
      <c r="P905">
        <f>IF(OR($G905="",Sync!$W902=""),"",Sync!$W902)</f>
        <v/>
      </c>
      <c r="Q905">
        <f>IF(OR($G905="",Sync!$AE902=""),"",Sync!$AE902)</f>
        <v/>
      </c>
      <c r="R905">
        <f>IF($G905="","",IF(Sync!$V902="","0000",IF(AND(ISNUMBER(Sync!$V902),Sync!$V902&gt;=0,Sync!$V902&lt;1),RIGHT("00"&amp;HOUR(Sync!$V902),2)&amp;RIGHT("00"&amp;MINUTE(Sync!$V902),2),IFERROR(RIGHT("00"&amp;VALUE(LEFT(Sync!$V902,FIND(":",Sync!$V902)-1)),2)&amp;RIGHT("00"&amp;VALUE(MID(Sync!$V902,FIND(":",Sync!$V902)+1,2)),2),"0000"))))</f>
        <v/>
      </c>
    </row>
    <row r="906">
      <c r="A906">
        <f>IF(Sync!$U903="","",Sync!$U903)</f>
        <v/>
      </c>
      <c r="B906">
        <f>IF($A906="","",IF(ISNUMBER($A906),IF(AND($A906&gt;=10000101,$A906&lt;=99991231),INT($A906/10000),""),IFERROR(VALUE(TRIM(LEFT($A906,FIND("/",$A906)-1))),"")))</f>
        <v/>
      </c>
      <c r="C906">
        <f>IF(OR($A906="",$B906=""),"",IF(ISNUMBER($A906),INT(MOD($A906,10000)/100),IFERROR(VALUE(TRIM(LEFT(MID($A906,FIND("/",$A906)+1,20),FIND("/",MID($A906,FIND("/",$A906)+1,20))-1))),"")))</f>
        <v/>
      </c>
      <c r="D906">
        <f>IF(OR($A906="",$B906=""),"",IF(ISNUMBER($A906),MOD($A906,100),IFERROR(VALUE(TRIM(MID(MID($A906,FIND("/",$A906)+1,20),FIND("/",MID($A906,FIND("/",$A906)+1,20))+1,20))),"")))</f>
        <v/>
      </c>
      <c r="E906">
        <f>IF($A906="","",IF(OR($B906="",$C906="",$D906="",$B906&lt;1300,$B906&gt;1500,$C906&lt;1,$C906&gt;12,$D906&lt;1,$D906&gt;31),"نامعتبر",RIGHT("0000"&amp;$B906,4)&amp;"/"&amp;RIGHT("00"&amp;$C906,2)&amp;"/"&amp;RIGHT("00"&amp;$D906,2)))</f>
        <v/>
      </c>
      <c r="F906">
        <f>IF(OR($E906="",$E906="نامعتبر"),"",LEFT($E906,4)&amp;"/"&amp;MID($E906,6,2))</f>
        <v/>
      </c>
      <c r="G906">
        <f>IF(OR($E906="",$E906="نامعتبر",Sync!$Y903=""),"",Sync!$Y903)</f>
        <v/>
      </c>
      <c r="H906">
        <f>IF($G906="","",IF(Sync!$X903="","",Sync!$X903))</f>
        <v/>
      </c>
      <c r="I906">
        <f>IF($G906="","",IFERROR(VLOOKUP(Sync!$X903,OpTbl,3,0),""))</f>
        <v/>
      </c>
      <c r="J906">
        <f>IF(OR($G906="",Sync!$Z903=""),"",Sync!$Z903)</f>
        <v/>
      </c>
      <c r="K906">
        <f>IF(OR($G906="",Sync!$AA903=""),"",Sync!$AA903)</f>
        <v/>
      </c>
      <c r="L906">
        <f>IF($G906="",0,IF(Sync!$AB903="",0,Sync!$AB903))</f>
        <v/>
      </c>
      <c r="M906">
        <f>IF($G906="",0,IF(Sync!$AC903="",0,Sync!$AC903))</f>
        <v/>
      </c>
      <c r="N906">
        <f>IF($G906="","",IF($H906="مرجوعی خرید",-1,1)*($L906-$M906*IFERROR(VLOOKUP("P01",ParamTbl,3,0),1.5))*(1-IF($I906="خرید",IFERROR(VLOOKUP("P02",ParamTbl,3,0),1),0)/100))</f>
        <v/>
      </c>
      <c r="O906">
        <f>IF($G906="",0,IF($H906="مرجوعی خرید",-1,1)*IF(Sync!$AD903="",0,Sync!$AD903))</f>
        <v/>
      </c>
      <c r="P906">
        <f>IF(OR($G906="",Sync!$W903=""),"",Sync!$W903)</f>
        <v/>
      </c>
      <c r="Q906">
        <f>IF(OR($G906="",Sync!$AE903=""),"",Sync!$AE903)</f>
        <v/>
      </c>
      <c r="R906">
        <f>IF($G906="","",IF(Sync!$V903="","0000",IF(AND(ISNUMBER(Sync!$V903),Sync!$V903&gt;=0,Sync!$V903&lt;1),RIGHT("00"&amp;HOUR(Sync!$V903),2)&amp;RIGHT("00"&amp;MINUTE(Sync!$V903),2),IFERROR(RIGHT("00"&amp;VALUE(LEFT(Sync!$V903,FIND(":",Sync!$V903)-1)),2)&amp;RIGHT("00"&amp;VALUE(MID(Sync!$V903,FIND(":",Sync!$V903)+1,2)),2),"0000"))))</f>
        <v/>
      </c>
    </row>
    <row r="907">
      <c r="A907">
        <f>IF(Sync!$U904="","",Sync!$U904)</f>
        <v/>
      </c>
      <c r="B907">
        <f>IF($A907="","",IF(ISNUMBER($A907),IF(AND($A907&gt;=10000101,$A907&lt;=99991231),INT($A907/10000),""),IFERROR(VALUE(TRIM(LEFT($A907,FIND("/",$A907)-1))),"")))</f>
        <v/>
      </c>
      <c r="C907">
        <f>IF(OR($A907="",$B907=""),"",IF(ISNUMBER($A907),INT(MOD($A907,10000)/100),IFERROR(VALUE(TRIM(LEFT(MID($A907,FIND("/",$A907)+1,20),FIND("/",MID($A907,FIND("/",$A907)+1,20))-1))),"")))</f>
        <v/>
      </c>
      <c r="D907">
        <f>IF(OR($A907="",$B907=""),"",IF(ISNUMBER($A907),MOD($A907,100),IFERROR(VALUE(TRIM(MID(MID($A907,FIND("/",$A907)+1,20),FIND("/",MID($A907,FIND("/",$A907)+1,20))+1,20))),"")))</f>
        <v/>
      </c>
      <c r="E907">
        <f>IF($A907="","",IF(OR($B907="",$C907="",$D907="",$B907&lt;1300,$B907&gt;1500,$C907&lt;1,$C907&gt;12,$D907&lt;1,$D907&gt;31),"نامعتبر",RIGHT("0000"&amp;$B907,4)&amp;"/"&amp;RIGHT("00"&amp;$C907,2)&amp;"/"&amp;RIGHT("00"&amp;$D907,2)))</f>
        <v/>
      </c>
      <c r="F907">
        <f>IF(OR($E907="",$E907="نامعتبر"),"",LEFT($E907,4)&amp;"/"&amp;MID($E907,6,2))</f>
        <v/>
      </c>
      <c r="G907">
        <f>IF(OR($E907="",$E907="نامعتبر",Sync!$Y904=""),"",Sync!$Y904)</f>
        <v/>
      </c>
      <c r="H907">
        <f>IF($G907="","",IF(Sync!$X904="","",Sync!$X904))</f>
        <v/>
      </c>
      <c r="I907">
        <f>IF($G907="","",IFERROR(VLOOKUP(Sync!$X904,OpTbl,3,0),""))</f>
        <v/>
      </c>
      <c r="J907">
        <f>IF(OR($G907="",Sync!$Z904=""),"",Sync!$Z904)</f>
        <v/>
      </c>
      <c r="K907">
        <f>IF(OR($G907="",Sync!$AA904=""),"",Sync!$AA904)</f>
        <v/>
      </c>
      <c r="L907">
        <f>IF($G907="",0,IF(Sync!$AB904="",0,Sync!$AB904))</f>
        <v/>
      </c>
      <c r="M907">
        <f>IF($G907="",0,IF(Sync!$AC904="",0,Sync!$AC904))</f>
        <v/>
      </c>
      <c r="N907">
        <f>IF($G907="","",IF($H907="مرجوعی خرید",-1,1)*($L907-$M907*IFERROR(VLOOKUP("P01",ParamTbl,3,0),1.5))*(1-IF($I907="خرید",IFERROR(VLOOKUP("P02",ParamTbl,3,0),1),0)/100))</f>
        <v/>
      </c>
      <c r="O907">
        <f>IF($G907="",0,IF($H907="مرجوعی خرید",-1,1)*IF(Sync!$AD904="",0,Sync!$AD904))</f>
        <v/>
      </c>
      <c r="P907">
        <f>IF(OR($G907="",Sync!$W904=""),"",Sync!$W904)</f>
        <v/>
      </c>
      <c r="Q907">
        <f>IF(OR($G907="",Sync!$AE904=""),"",Sync!$AE904)</f>
        <v/>
      </c>
      <c r="R907">
        <f>IF($G907="","",IF(Sync!$V904="","0000",IF(AND(ISNUMBER(Sync!$V904),Sync!$V904&gt;=0,Sync!$V904&lt;1),RIGHT("00"&amp;HOUR(Sync!$V904),2)&amp;RIGHT("00"&amp;MINUTE(Sync!$V904),2),IFERROR(RIGHT("00"&amp;VALUE(LEFT(Sync!$V904,FIND(":",Sync!$V904)-1)),2)&amp;RIGHT("00"&amp;VALUE(MID(Sync!$V904,FIND(":",Sync!$V904)+1,2)),2),"0000"))))</f>
        <v/>
      </c>
    </row>
    <row r="908">
      <c r="A908">
        <f>IF(Sync!$U905="","",Sync!$U905)</f>
        <v/>
      </c>
      <c r="B908">
        <f>IF($A908="","",IF(ISNUMBER($A908),IF(AND($A908&gt;=10000101,$A908&lt;=99991231),INT($A908/10000),""),IFERROR(VALUE(TRIM(LEFT($A908,FIND("/",$A908)-1))),"")))</f>
        <v/>
      </c>
      <c r="C908">
        <f>IF(OR($A908="",$B908=""),"",IF(ISNUMBER($A908),INT(MOD($A908,10000)/100),IFERROR(VALUE(TRIM(LEFT(MID($A908,FIND("/",$A908)+1,20),FIND("/",MID($A908,FIND("/",$A908)+1,20))-1))),"")))</f>
        <v/>
      </c>
      <c r="D908">
        <f>IF(OR($A908="",$B908=""),"",IF(ISNUMBER($A908),MOD($A908,100),IFERROR(VALUE(TRIM(MID(MID($A908,FIND("/",$A908)+1,20),FIND("/",MID($A908,FIND("/",$A908)+1,20))+1,20))),"")))</f>
        <v/>
      </c>
      <c r="E908">
        <f>IF($A908="","",IF(OR($B908="",$C908="",$D908="",$B908&lt;1300,$B908&gt;1500,$C908&lt;1,$C908&gt;12,$D908&lt;1,$D908&gt;31),"نامعتبر",RIGHT("0000"&amp;$B908,4)&amp;"/"&amp;RIGHT("00"&amp;$C908,2)&amp;"/"&amp;RIGHT("00"&amp;$D908,2)))</f>
        <v/>
      </c>
      <c r="F908">
        <f>IF(OR($E908="",$E908="نامعتبر"),"",LEFT($E908,4)&amp;"/"&amp;MID($E908,6,2))</f>
        <v/>
      </c>
      <c r="G908">
        <f>IF(OR($E908="",$E908="نامعتبر",Sync!$Y905=""),"",Sync!$Y905)</f>
        <v/>
      </c>
      <c r="H908">
        <f>IF($G908="","",IF(Sync!$X905="","",Sync!$X905))</f>
        <v/>
      </c>
      <c r="I908">
        <f>IF($G908="","",IFERROR(VLOOKUP(Sync!$X905,OpTbl,3,0),""))</f>
        <v/>
      </c>
      <c r="J908">
        <f>IF(OR($G908="",Sync!$Z905=""),"",Sync!$Z905)</f>
        <v/>
      </c>
      <c r="K908">
        <f>IF(OR($G908="",Sync!$AA905=""),"",Sync!$AA905)</f>
        <v/>
      </c>
      <c r="L908">
        <f>IF($G908="",0,IF(Sync!$AB905="",0,Sync!$AB905))</f>
        <v/>
      </c>
      <c r="M908">
        <f>IF($G908="",0,IF(Sync!$AC905="",0,Sync!$AC905))</f>
        <v/>
      </c>
      <c r="N908">
        <f>IF($G908="","",IF($H908="مرجوعی خرید",-1,1)*($L908-$M908*IFERROR(VLOOKUP("P01",ParamTbl,3,0),1.5))*(1-IF($I908="خرید",IFERROR(VLOOKUP("P02",ParamTbl,3,0),1),0)/100))</f>
        <v/>
      </c>
      <c r="O908">
        <f>IF($G908="",0,IF($H908="مرجوعی خرید",-1,1)*IF(Sync!$AD905="",0,Sync!$AD905))</f>
        <v/>
      </c>
      <c r="P908">
        <f>IF(OR($G908="",Sync!$W905=""),"",Sync!$W905)</f>
        <v/>
      </c>
      <c r="Q908">
        <f>IF(OR($G908="",Sync!$AE905=""),"",Sync!$AE905)</f>
        <v/>
      </c>
      <c r="R908">
        <f>IF($G908="","",IF(Sync!$V905="","0000",IF(AND(ISNUMBER(Sync!$V905),Sync!$V905&gt;=0,Sync!$V905&lt;1),RIGHT("00"&amp;HOUR(Sync!$V905),2)&amp;RIGHT("00"&amp;MINUTE(Sync!$V905),2),IFERROR(RIGHT("00"&amp;VALUE(LEFT(Sync!$V905,FIND(":",Sync!$V905)-1)),2)&amp;RIGHT("00"&amp;VALUE(MID(Sync!$V905,FIND(":",Sync!$V905)+1,2)),2),"0000"))))</f>
        <v/>
      </c>
    </row>
    <row r="909">
      <c r="A909">
        <f>IF(Sync!$U906="","",Sync!$U906)</f>
        <v/>
      </c>
      <c r="B909">
        <f>IF($A909="","",IF(ISNUMBER($A909),IF(AND($A909&gt;=10000101,$A909&lt;=99991231),INT($A909/10000),""),IFERROR(VALUE(TRIM(LEFT($A909,FIND("/",$A909)-1))),"")))</f>
        <v/>
      </c>
      <c r="C909">
        <f>IF(OR($A909="",$B909=""),"",IF(ISNUMBER($A909),INT(MOD($A909,10000)/100),IFERROR(VALUE(TRIM(LEFT(MID($A909,FIND("/",$A909)+1,20),FIND("/",MID($A909,FIND("/",$A909)+1,20))-1))),"")))</f>
        <v/>
      </c>
      <c r="D909">
        <f>IF(OR($A909="",$B909=""),"",IF(ISNUMBER($A909),MOD($A909,100),IFERROR(VALUE(TRIM(MID(MID($A909,FIND("/",$A909)+1,20),FIND("/",MID($A909,FIND("/",$A909)+1,20))+1,20))),"")))</f>
        <v/>
      </c>
      <c r="E909">
        <f>IF($A909="","",IF(OR($B909="",$C909="",$D909="",$B909&lt;1300,$B909&gt;1500,$C909&lt;1,$C909&gt;12,$D909&lt;1,$D909&gt;31),"نامعتبر",RIGHT("0000"&amp;$B909,4)&amp;"/"&amp;RIGHT("00"&amp;$C909,2)&amp;"/"&amp;RIGHT("00"&amp;$D909,2)))</f>
        <v/>
      </c>
      <c r="F909">
        <f>IF(OR($E909="",$E909="نامعتبر"),"",LEFT($E909,4)&amp;"/"&amp;MID($E909,6,2))</f>
        <v/>
      </c>
      <c r="G909">
        <f>IF(OR($E909="",$E909="نامعتبر",Sync!$Y906=""),"",Sync!$Y906)</f>
        <v/>
      </c>
      <c r="H909">
        <f>IF($G909="","",IF(Sync!$X906="","",Sync!$X906))</f>
        <v/>
      </c>
      <c r="I909">
        <f>IF($G909="","",IFERROR(VLOOKUP(Sync!$X906,OpTbl,3,0),""))</f>
        <v/>
      </c>
      <c r="J909">
        <f>IF(OR($G909="",Sync!$Z906=""),"",Sync!$Z906)</f>
        <v/>
      </c>
      <c r="K909">
        <f>IF(OR($G909="",Sync!$AA906=""),"",Sync!$AA906)</f>
        <v/>
      </c>
      <c r="L909">
        <f>IF($G909="",0,IF(Sync!$AB906="",0,Sync!$AB906))</f>
        <v/>
      </c>
      <c r="M909">
        <f>IF($G909="",0,IF(Sync!$AC906="",0,Sync!$AC906))</f>
        <v/>
      </c>
      <c r="N909">
        <f>IF($G909="","",IF($H909="مرجوعی خرید",-1,1)*($L909-$M909*IFERROR(VLOOKUP("P01",ParamTbl,3,0),1.5))*(1-IF($I909="خرید",IFERROR(VLOOKUP("P02",ParamTbl,3,0),1),0)/100))</f>
        <v/>
      </c>
      <c r="O909">
        <f>IF($G909="",0,IF($H909="مرجوعی خرید",-1,1)*IF(Sync!$AD906="",0,Sync!$AD906))</f>
        <v/>
      </c>
      <c r="P909">
        <f>IF(OR($G909="",Sync!$W906=""),"",Sync!$W906)</f>
        <v/>
      </c>
      <c r="Q909">
        <f>IF(OR($G909="",Sync!$AE906=""),"",Sync!$AE906)</f>
        <v/>
      </c>
      <c r="R909">
        <f>IF($G909="","",IF(Sync!$V906="","0000",IF(AND(ISNUMBER(Sync!$V906),Sync!$V906&gt;=0,Sync!$V906&lt;1),RIGHT("00"&amp;HOUR(Sync!$V906),2)&amp;RIGHT("00"&amp;MINUTE(Sync!$V906),2),IFERROR(RIGHT("00"&amp;VALUE(LEFT(Sync!$V906,FIND(":",Sync!$V906)-1)),2)&amp;RIGHT("00"&amp;VALUE(MID(Sync!$V906,FIND(":",Sync!$V906)+1,2)),2),"0000"))))</f>
        <v/>
      </c>
    </row>
    <row r="910">
      <c r="A910">
        <f>IF(Sync!$U907="","",Sync!$U907)</f>
        <v/>
      </c>
      <c r="B910">
        <f>IF($A910="","",IF(ISNUMBER($A910),IF(AND($A910&gt;=10000101,$A910&lt;=99991231),INT($A910/10000),""),IFERROR(VALUE(TRIM(LEFT($A910,FIND("/",$A910)-1))),"")))</f>
        <v/>
      </c>
      <c r="C910">
        <f>IF(OR($A910="",$B910=""),"",IF(ISNUMBER($A910),INT(MOD($A910,10000)/100),IFERROR(VALUE(TRIM(LEFT(MID($A910,FIND("/",$A910)+1,20),FIND("/",MID($A910,FIND("/",$A910)+1,20))-1))),"")))</f>
        <v/>
      </c>
      <c r="D910">
        <f>IF(OR($A910="",$B910=""),"",IF(ISNUMBER($A910),MOD($A910,100),IFERROR(VALUE(TRIM(MID(MID($A910,FIND("/",$A910)+1,20),FIND("/",MID($A910,FIND("/",$A910)+1,20))+1,20))),"")))</f>
        <v/>
      </c>
      <c r="E910">
        <f>IF($A910="","",IF(OR($B910="",$C910="",$D910="",$B910&lt;1300,$B910&gt;1500,$C910&lt;1,$C910&gt;12,$D910&lt;1,$D910&gt;31),"نامعتبر",RIGHT("0000"&amp;$B910,4)&amp;"/"&amp;RIGHT("00"&amp;$C910,2)&amp;"/"&amp;RIGHT("00"&amp;$D910,2)))</f>
        <v/>
      </c>
      <c r="F910">
        <f>IF(OR($E910="",$E910="نامعتبر"),"",LEFT($E910,4)&amp;"/"&amp;MID($E910,6,2))</f>
        <v/>
      </c>
      <c r="G910">
        <f>IF(OR($E910="",$E910="نامعتبر",Sync!$Y907=""),"",Sync!$Y907)</f>
        <v/>
      </c>
      <c r="H910">
        <f>IF($G910="","",IF(Sync!$X907="","",Sync!$X907))</f>
        <v/>
      </c>
      <c r="I910">
        <f>IF($G910="","",IFERROR(VLOOKUP(Sync!$X907,OpTbl,3,0),""))</f>
        <v/>
      </c>
      <c r="J910">
        <f>IF(OR($G910="",Sync!$Z907=""),"",Sync!$Z907)</f>
        <v/>
      </c>
      <c r="K910">
        <f>IF(OR($G910="",Sync!$AA907=""),"",Sync!$AA907)</f>
        <v/>
      </c>
      <c r="L910">
        <f>IF($G910="",0,IF(Sync!$AB907="",0,Sync!$AB907))</f>
        <v/>
      </c>
      <c r="M910">
        <f>IF($G910="",0,IF(Sync!$AC907="",0,Sync!$AC907))</f>
        <v/>
      </c>
      <c r="N910">
        <f>IF($G910="","",IF($H910="مرجوعی خرید",-1,1)*($L910-$M910*IFERROR(VLOOKUP("P01",ParamTbl,3,0),1.5))*(1-IF($I910="خرید",IFERROR(VLOOKUP("P02",ParamTbl,3,0),1),0)/100))</f>
        <v/>
      </c>
      <c r="O910">
        <f>IF($G910="",0,IF($H910="مرجوعی خرید",-1,1)*IF(Sync!$AD907="",0,Sync!$AD907))</f>
        <v/>
      </c>
      <c r="P910">
        <f>IF(OR($G910="",Sync!$W907=""),"",Sync!$W907)</f>
        <v/>
      </c>
      <c r="Q910">
        <f>IF(OR($G910="",Sync!$AE907=""),"",Sync!$AE907)</f>
        <v/>
      </c>
      <c r="R910">
        <f>IF($G910="","",IF(Sync!$V907="","0000",IF(AND(ISNUMBER(Sync!$V907),Sync!$V907&gt;=0,Sync!$V907&lt;1),RIGHT("00"&amp;HOUR(Sync!$V907),2)&amp;RIGHT("00"&amp;MINUTE(Sync!$V907),2),IFERROR(RIGHT("00"&amp;VALUE(LEFT(Sync!$V907,FIND(":",Sync!$V907)-1)),2)&amp;RIGHT("00"&amp;VALUE(MID(Sync!$V907,FIND(":",Sync!$V907)+1,2)),2),"0000"))))</f>
        <v/>
      </c>
    </row>
    <row r="911">
      <c r="A911">
        <f>IF(Sync!$U908="","",Sync!$U908)</f>
        <v/>
      </c>
      <c r="B911">
        <f>IF($A911="","",IF(ISNUMBER($A911),IF(AND($A911&gt;=10000101,$A911&lt;=99991231),INT($A911/10000),""),IFERROR(VALUE(TRIM(LEFT($A911,FIND("/",$A911)-1))),"")))</f>
        <v/>
      </c>
      <c r="C911">
        <f>IF(OR($A911="",$B911=""),"",IF(ISNUMBER($A911),INT(MOD($A911,10000)/100),IFERROR(VALUE(TRIM(LEFT(MID($A911,FIND("/",$A911)+1,20),FIND("/",MID($A911,FIND("/",$A911)+1,20))-1))),"")))</f>
        <v/>
      </c>
      <c r="D911">
        <f>IF(OR($A911="",$B911=""),"",IF(ISNUMBER($A911),MOD($A911,100),IFERROR(VALUE(TRIM(MID(MID($A911,FIND("/",$A911)+1,20),FIND("/",MID($A911,FIND("/",$A911)+1,20))+1,20))),"")))</f>
        <v/>
      </c>
      <c r="E911">
        <f>IF($A911="","",IF(OR($B911="",$C911="",$D911="",$B911&lt;1300,$B911&gt;1500,$C911&lt;1,$C911&gt;12,$D911&lt;1,$D911&gt;31),"نامعتبر",RIGHT("0000"&amp;$B911,4)&amp;"/"&amp;RIGHT("00"&amp;$C911,2)&amp;"/"&amp;RIGHT("00"&amp;$D911,2)))</f>
        <v/>
      </c>
      <c r="F911">
        <f>IF(OR($E911="",$E911="نامعتبر"),"",LEFT($E911,4)&amp;"/"&amp;MID($E911,6,2))</f>
        <v/>
      </c>
      <c r="G911">
        <f>IF(OR($E911="",$E911="نامعتبر",Sync!$Y908=""),"",Sync!$Y908)</f>
        <v/>
      </c>
      <c r="H911">
        <f>IF($G911="","",IF(Sync!$X908="","",Sync!$X908))</f>
        <v/>
      </c>
      <c r="I911">
        <f>IF($G911="","",IFERROR(VLOOKUP(Sync!$X908,OpTbl,3,0),""))</f>
        <v/>
      </c>
      <c r="J911">
        <f>IF(OR($G911="",Sync!$Z908=""),"",Sync!$Z908)</f>
        <v/>
      </c>
      <c r="K911">
        <f>IF(OR($G911="",Sync!$AA908=""),"",Sync!$AA908)</f>
        <v/>
      </c>
      <c r="L911">
        <f>IF($G911="",0,IF(Sync!$AB908="",0,Sync!$AB908))</f>
        <v/>
      </c>
      <c r="M911">
        <f>IF($G911="",0,IF(Sync!$AC908="",0,Sync!$AC908))</f>
        <v/>
      </c>
      <c r="N911">
        <f>IF($G911="","",IF($H911="مرجوعی خرید",-1,1)*($L911-$M911*IFERROR(VLOOKUP("P01",ParamTbl,3,0),1.5))*(1-IF($I911="خرید",IFERROR(VLOOKUP("P02",ParamTbl,3,0),1),0)/100))</f>
        <v/>
      </c>
      <c r="O911">
        <f>IF($G911="",0,IF($H911="مرجوعی خرید",-1,1)*IF(Sync!$AD908="",0,Sync!$AD908))</f>
        <v/>
      </c>
      <c r="P911">
        <f>IF(OR($G911="",Sync!$W908=""),"",Sync!$W908)</f>
        <v/>
      </c>
      <c r="Q911">
        <f>IF(OR($G911="",Sync!$AE908=""),"",Sync!$AE908)</f>
        <v/>
      </c>
      <c r="R911">
        <f>IF($G911="","",IF(Sync!$V908="","0000",IF(AND(ISNUMBER(Sync!$V908),Sync!$V908&gt;=0,Sync!$V908&lt;1),RIGHT("00"&amp;HOUR(Sync!$V908),2)&amp;RIGHT("00"&amp;MINUTE(Sync!$V908),2),IFERROR(RIGHT("00"&amp;VALUE(LEFT(Sync!$V908,FIND(":",Sync!$V908)-1)),2)&amp;RIGHT("00"&amp;VALUE(MID(Sync!$V908,FIND(":",Sync!$V908)+1,2)),2),"0000"))))</f>
        <v/>
      </c>
    </row>
    <row r="912">
      <c r="A912">
        <f>IF(Sync!$U909="","",Sync!$U909)</f>
        <v/>
      </c>
      <c r="B912">
        <f>IF($A912="","",IF(ISNUMBER($A912),IF(AND($A912&gt;=10000101,$A912&lt;=99991231),INT($A912/10000),""),IFERROR(VALUE(TRIM(LEFT($A912,FIND("/",$A912)-1))),"")))</f>
        <v/>
      </c>
      <c r="C912">
        <f>IF(OR($A912="",$B912=""),"",IF(ISNUMBER($A912),INT(MOD($A912,10000)/100),IFERROR(VALUE(TRIM(LEFT(MID($A912,FIND("/",$A912)+1,20),FIND("/",MID($A912,FIND("/",$A912)+1,20))-1))),"")))</f>
        <v/>
      </c>
      <c r="D912">
        <f>IF(OR($A912="",$B912=""),"",IF(ISNUMBER($A912),MOD($A912,100),IFERROR(VALUE(TRIM(MID(MID($A912,FIND("/",$A912)+1,20),FIND("/",MID($A912,FIND("/",$A912)+1,20))+1,20))),"")))</f>
        <v/>
      </c>
      <c r="E912">
        <f>IF($A912="","",IF(OR($B912="",$C912="",$D912="",$B912&lt;1300,$B912&gt;1500,$C912&lt;1,$C912&gt;12,$D912&lt;1,$D912&gt;31),"نامعتبر",RIGHT("0000"&amp;$B912,4)&amp;"/"&amp;RIGHT("00"&amp;$C912,2)&amp;"/"&amp;RIGHT("00"&amp;$D912,2)))</f>
        <v/>
      </c>
      <c r="F912">
        <f>IF(OR($E912="",$E912="نامعتبر"),"",LEFT($E912,4)&amp;"/"&amp;MID($E912,6,2))</f>
        <v/>
      </c>
      <c r="G912">
        <f>IF(OR($E912="",$E912="نامعتبر",Sync!$Y909=""),"",Sync!$Y909)</f>
        <v/>
      </c>
      <c r="H912">
        <f>IF($G912="","",IF(Sync!$X909="","",Sync!$X909))</f>
        <v/>
      </c>
      <c r="I912">
        <f>IF($G912="","",IFERROR(VLOOKUP(Sync!$X909,OpTbl,3,0),""))</f>
        <v/>
      </c>
      <c r="J912">
        <f>IF(OR($G912="",Sync!$Z909=""),"",Sync!$Z909)</f>
        <v/>
      </c>
      <c r="K912">
        <f>IF(OR($G912="",Sync!$AA909=""),"",Sync!$AA909)</f>
        <v/>
      </c>
      <c r="L912">
        <f>IF($G912="",0,IF(Sync!$AB909="",0,Sync!$AB909))</f>
        <v/>
      </c>
      <c r="M912">
        <f>IF($G912="",0,IF(Sync!$AC909="",0,Sync!$AC909))</f>
        <v/>
      </c>
      <c r="N912">
        <f>IF($G912="","",IF($H912="مرجوعی خرید",-1,1)*($L912-$M912*IFERROR(VLOOKUP("P01",ParamTbl,3,0),1.5))*(1-IF($I912="خرید",IFERROR(VLOOKUP("P02",ParamTbl,3,0),1),0)/100))</f>
        <v/>
      </c>
      <c r="O912">
        <f>IF($G912="",0,IF($H912="مرجوعی خرید",-1,1)*IF(Sync!$AD909="",0,Sync!$AD909))</f>
        <v/>
      </c>
      <c r="P912">
        <f>IF(OR($G912="",Sync!$W909=""),"",Sync!$W909)</f>
        <v/>
      </c>
      <c r="Q912">
        <f>IF(OR($G912="",Sync!$AE909=""),"",Sync!$AE909)</f>
        <v/>
      </c>
      <c r="R912">
        <f>IF($G912="","",IF(Sync!$V909="","0000",IF(AND(ISNUMBER(Sync!$V909),Sync!$V909&gt;=0,Sync!$V909&lt;1),RIGHT("00"&amp;HOUR(Sync!$V909),2)&amp;RIGHT("00"&amp;MINUTE(Sync!$V909),2),IFERROR(RIGHT("00"&amp;VALUE(LEFT(Sync!$V909,FIND(":",Sync!$V909)-1)),2)&amp;RIGHT("00"&amp;VALUE(MID(Sync!$V909,FIND(":",Sync!$V909)+1,2)),2),"0000"))))</f>
        <v/>
      </c>
    </row>
    <row r="913">
      <c r="A913">
        <f>IF(Sync!$U910="","",Sync!$U910)</f>
        <v/>
      </c>
      <c r="B913">
        <f>IF($A913="","",IF(ISNUMBER($A913),IF(AND($A913&gt;=10000101,$A913&lt;=99991231),INT($A913/10000),""),IFERROR(VALUE(TRIM(LEFT($A913,FIND("/",$A913)-1))),"")))</f>
        <v/>
      </c>
      <c r="C913">
        <f>IF(OR($A913="",$B913=""),"",IF(ISNUMBER($A913),INT(MOD($A913,10000)/100),IFERROR(VALUE(TRIM(LEFT(MID($A913,FIND("/",$A913)+1,20),FIND("/",MID($A913,FIND("/",$A913)+1,20))-1))),"")))</f>
        <v/>
      </c>
      <c r="D913">
        <f>IF(OR($A913="",$B913=""),"",IF(ISNUMBER($A913),MOD($A913,100),IFERROR(VALUE(TRIM(MID(MID($A913,FIND("/",$A913)+1,20),FIND("/",MID($A913,FIND("/",$A913)+1,20))+1,20))),"")))</f>
        <v/>
      </c>
      <c r="E913">
        <f>IF($A913="","",IF(OR($B913="",$C913="",$D913="",$B913&lt;1300,$B913&gt;1500,$C913&lt;1,$C913&gt;12,$D913&lt;1,$D913&gt;31),"نامعتبر",RIGHT("0000"&amp;$B913,4)&amp;"/"&amp;RIGHT("00"&amp;$C913,2)&amp;"/"&amp;RIGHT("00"&amp;$D913,2)))</f>
        <v/>
      </c>
      <c r="F913">
        <f>IF(OR($E913="",$E913="نامعتبر"),"",LEFT($E913,4)&amp;"/"&amp;MID($E913,6,2))</f>
        <v/>
      </c>
      <c r="G913">
        <f>IF(OR($E913="",$E913="نامعتبر",Sync!$Y910=""),"",Sync!$Y910)</f>
        <v/>
      </c>
      <c r="H913">
        <f>IF($G913="","",IF(Sync!$X910="","",Sync!$X910))</f>
        <v/>
      </c>
      <c r="I913">
        <f>IF($G913="","",IFERROR(VLOOKUP(Sync!$X910,OpTbl,3,0),""))</f>
        <v/>
      </c>
      <c r="J913">
        <f>IF(OR($G913="",Sync!$Z910=""),"",Sync!$Z910)</f>
        <v/>
      </c>
      <c r="K913">
        <f>IF(OR($G913="",Sync!$AA910=""),"",Sync!$AA910)</f>
        <v/>
      </c>
      <c r="L913">
        <f>IF($G913="",0,IF(Sync!$AB910="",0,Sync!$AB910))</f>
        <v/>
      </c>
      <c r="M913">
        <f>IF($G913="",0,IF(Sync!$AC910="",0,Sync!$AC910))</f>
        <v/>
      </c>
      <c r="N913">
        <f>IF($G913="","",IF($H913="مرجوعی خرید",-1,1)*($L913-$M913*IFERROR(VLOOKUP("P01",ParamTbl,3,0),1.5))*(1-IF($I913="خرید",IFERROR(VLOOKUP("P02",ParamTbl,3,0),1),0)/100))</f>
        <v/>
      </c>
      <c r="O913">
        <f>IF($G913="",0,IF($H913="مرجوعی خرید",-1,1)*IF(Sync!$AD910="",0,Sync!$AD910))</f>
        <v/>
      </c>
      <c r="P913">
        <f>IF(OR($G913="",Sync!$W910=""),"",Sync!$W910)</f>
        <v/>
      </c>
      <c r="Q913">
        <f>IF(OR($G913="",Sync!$AE910=""),"",Sync!$AE910)</f>
        <v/>
      </c>
      <c r="R913">
        <f>IF($G913="","",IF(Sync!$V910="","0000",IF(AND(ISNUMBER(Sync!$V910),Sync!$V910&gt;=0,Sync!$V910&lt;1),RIGHT("00"&amp;HOUR(Sync!$V910),2)&amp;RIGHT("00"&amp;MINUTE(Sync!$V910),2),IFERROR(RIGHT("00"&amp;VALUE(LEFT(Sync!$V910,FIND(":",Sync!$V910)-1)),2)&amp;RIGHT("00"&amp;VALUE(MID(Sync!$V910,FIND(":",Sync!$V910)+1,2)),2),"0000"))))</f>
        <v/>
      </c>
    </row>
    <row r="914">
      <c r="A914">
        <f>IF(Sync!$U911="","",Sync!$U911)</f>
        <v/>
      </c>
      <c r="B914">
        <f>IF($A914="","",IF(ISNUMBER($A914),IF(AND($A914&gt;=10000101,$A914&lt;=99991231),INT($A914/10000),""),IFERROR(VALUE(TRIM(LEFT($A914,FIND("/",$A914)-1))),"")))</f>
        <v/>
      </c>
      <c r="C914">
        <f>IF(OR($A914="",$B914=""),"",IF(ISNUMBER($A914),INT(MOD($A914,10000)/100),IFERROR(VALUE(TRIM(LEFT(MID($A914,FIND("/",$A914)+1,20),FIND("/",MID($A914,FIND("/",$A914)+1,20))-1))),"")))</f>
        <v/>
      </c>
      <c r="D914">
        <f>IF(OR($A914="",$B914=""),"",IF(ISNUMBER($A914),MOD($A914,100),IFERROR(VALUE(TRIM(MID(MID($A914,FIND("/",$A914)+1,20),FIND("/",MID($A914,FIND("/",$A914)+1,20))+1,20))),"")))</f>
        <v/>
      </c>
      <c r="E914">
        <f>IF($A914="","",IF(OR($B914="",$C914="",$D914="",$B914&lt;1300,$B914&gt;1500,$C914&lt;1,$C914&gt;12,$D914&lt;1,$D914&gt;31),"نامعتبر",RIGHT("0000"&amp;$B914,4)&amp;"/"&amp;RIGHT("00"&amp;$C914,2)&amp;"/"&amp;RIGHT("00"&amp;$D914,2)))</f>
        <v/>
      </c>
      <c r="F914">
        <f>IF(OR($E914="",$E914="نامعتبر"),"",LEFT($E914,4)&amp;"/"&amp;MID($E914,6,2))</f>
        <v/>
      </c>
      <c r="G914">
        <f>IF(OR($E914="",$E914="نامعتبر",Sync!$Y911=""),"",Sync!$Y911)</f>
        <v/>
      </c>
      <c r="H914">
        <f>IF($G914="","",IF(Sync!$X911="","",Sync!$X911))</f>
        <v/>
      </c>
      <c r="I914">
        <f>IF($G914="","",IFERROR(VLOOKUP(Sync!$X911,OpTbl,3,0),""))</f>
        <v/>
      </c>
      <c r="J914">
        <f>IF(OR($G914="",Sync!$Z911=""),"",Sync!$Z911)</f>
        <v/>
      </c>
      <c r="K914">
        <f>IF(OR($G914="",Sync!$AA911=""),"",Sync!$AA911)</f>
        <v/>
      </c>
      <c r="L914">
        <f>IF($G914="",0,IF(Sync!$AB911="",0,Sync!$AB911))</f>
        <v/>
      </c>
      <c r="M914">
        <f>IF($G914="",0,IF(Sync!$AC911="",0,Sync!$AC911))</f>
        <v/>
      </c>
      <c r="N914">
        <f>IF($G914="","",IF($H914="مرجوعی خرید",-1,1)*($L914-$M914*IFERROR(VLOOKUP("P01",ParamTbl,3,0),1.5))*(1-IF($I914="خرید",IFERROR(VLOOKUP("P02",ParamTbl,3,0),1),0)/100))</f>
        <v/>
      </c>
      <c r="O914">
        <f>IF($G914="",0,IF($H914="مرجوعی خرید",-1,1)*IF(Sync!$AD911="",0,Sync!$AD911))</f>
        <v/>
      </c>
      <c r="P914">
        <f>IF(OR($G914="",Sync!$W911=""),"",Sync!$W911)</f>
        <v/>
      </c>
      <c r="Q914">
        <f>IF(OR($G914="",Sync!$AE911=""),"",Sync!$AE911)</f>
        <v/>
      </c>
      <c r="R914">
        <f>IF($G914="","",IF(Sync!$V911="","0000",IF(AND(ISNUMBER(Sync!$V911),Sync!$V911&gt;=0,Sync!$V911&lt;1),RIGHT("00"&amp;HOUR(Sync!$V911),2)&amp;RIGHT("00"&amp;MINUTE(Sync!$V911),2),IFERROR(RIGHT("00"&amp;VALUE(LEFT(Sync!$V911,FIND(":",Sync!$V911)-1)),2)&amp;RIGHT("00"&amp;VALUE(MID(Sync!$V911,FIND(":",Sync!$V911)+1,2)),2),"0000"))))</f>
        <v/>
      </c>
    </row>
    <row r="915">
      <c r="A915">
        <f>IF(Sync!$U912="","",Sync!$U912)</f>
        <v/>
      </c>
      <c r="B915">
        <f>IF($A915="","",IF(ISNUMBER($A915),IF(AND($A915&gt;=10000101,$A915&lt;=99991231),INT($A915/10000),""),IFERROR(VALUE(TRIM(LEFT($A915,FIND("/",$A915)-1))),"")))</f>
        <v/>
      </c>
      <c r="C915">
        <f>IF(OR($A915="",$B915=""),"",IF(ISNUMBER($A915),INT(MOD($A915,10000)/100),IFERROR(VALUE(TRIM(LEFT(MID($A915,FIND("/",$A915)+1,20),FIND("/",MID($A915,FIND("/",$A915)+1,20))-1))),"")))</f>
        <v/>
      </c>
      <c r="D915">
        <f>IF(OR($A915="",$B915=""),"",IF(ISNUMBER($A915),MOD($A915,100),IFERROR(VALUE(TRIM(MID(MID($A915,FIND("/",$A915)+1,20),FIND("/",MID($A915,FIND("/",$A915)+1,20))+1,20))),"")))</f>
        <v/>
      </c>
      <c r="E915">
        <f>IF($A915="","",IF(OR($B915="",$C915="",$D915="",$B915&lt;1300,$B915&gt;1500,$C915&lt;1,$C915&gt;12,$D915&lt;1,$D915&gt;31),"نامعتبر",RIGHT("0000"&amp;$B915,4)&amp;"/"&amp;RIGHT("00"&amp;$C915,2)&amp;"/"&amp;RIGHT("00"&amp;$D915,2)))</f>
        <v/>
      </c>
      <c r="F915">
        <f>IF(OR($E915="",$E915="نامعتبر"),"",LEFT($E915,4)&amp;"/"&amp;MID($E915,6,2))</f>
        <v/>
      </c>
      <c r="G915">
        <f>IF(OR($E915="",$E915="نامعتبر",Sync!$Y912=""),"",Sync!$Y912)</f>
        <v/>
      </c>
      <c r="H915">
        <f>IF($G915="","",IF(Sync!$X912="","",Sync!$X912))</f>
        <v/>
      </c>
      <c r="I915">
        <f>IF($G915="","",IFERROR(VLOOKUP(Sync!$X912,OpTbl,3,0),""))</f>
        <v/>
      </c>
      <c r="J915">
        <f>IF(OR($G915="",Sync!$Z912=""),"",Sync!$Z912)</f>
        <v/>
      </c>
      <c r="K915">
        <f>IF(OR($G915="",Sync!$AA912=""),"",Sync!$AA912)</f>
        <v/>
      </c>
      <c r="L915">
        <f>IF($G915="",0,IF(Sync!$AB912="",0,Sync!$AB912))</f>
        <v/>
      </c>
      <c r="M915">
        <f>IF($G915="",0,IF(Sync!$AC912="",0,Sync!$AC912))</f>
        <v/>
      </c>
      <c r="N915">
        <f>IF($G915="","",IF($H915="مرجوعی خرید",-1,1)*($L915-$M915*IFERROR(VLOOKUP("P01",ParamTbl,3,0),1.5))*(1-IF($I915="خرید",IFERROR(VLOOKUP("P02",ParamTbl,3,0),1),0)/100))</f>
        <v/>
      </c>
      <c r="O915">
        <f>IF($G915="",0,IF($H915="مرجوعی خرید",-1,1)*IF(Sync!$AD912="",0,Sync!$AD912))</f>
        <v/>
      </c>
      <c r="P915">
        <f>IF(OR($G915="",Sync!$W912=""),"",Sync!$W912)</f>
        <v/>
      </c>
      <c r="Q915">
        <f>IF(OR($G915="",Sync!$AE912=""),"",Sync!$AE912)</f>
        <v/>
      </c>
      <c r="R915">
        <f>IF($G915="","",IF(Sync!$V912="","0000",IF(AND(ISNUMBER(Sync!$V912),Sync!$V912&gt;=0,Sync!$V912&lt;1),RIGHT("00"&amp;HOUR(Sync!$V912),2)&amp;RIGHT("00"&amp;MINUTE(Sync!$V912),2),IFERROR(RIGHT("00"&amp;VALUE(LEFT(Sync!$V912,FIND(":",Sync!$V912)-1)),2)&amp;RIGHT("00"&amp;VALUE(MID(Sync!$V912,FIND(":",Sync!$V912)+1,2)),2),"0000"))))</f>
        <v/>
      </c>
    </row>
    <row r="916">
      <c r="A916">
        <f>IF(Sync!$U913="","",Sync!$U913)</f>
        <v/>
      </c>
      <c r="B916">
        <f>IF($A916="","",IF(ISNUMBER($A916),IF(AND($A916&gt;=10000101,$A916&lt;=99991231),INT($A916/10000),""),IFERROR(VALUE(TRIM(LEFT($A916,FIND("/",$A916)-1))),"")))</f>
        <v/>
      </c>
      <c r="C916">
        <f>IF(OR($A916="",$B916=""),"",IF(ISNUMBER($A916),INT(MOD($A916,10000)/100),IFERROR(VALUE(TRIM(LEFT(MID($A916,FIND("/",$A916)+1,20),FIND("/",MID($A916,FIND("/",$A916)+1,20))-1))),"")))</f>
        <v/>
      </c>
      <c r="D916">
        <f>IF(OR($A916="",$B916=""),"",IF(ISNUMBER($A916),MOD($A916,100),IFERROR(VALUE(TRIM(MID(MID($A916,FIND("/",$A916)+1,20),FIND("/",MID($A916,FIND("/",$A916)+1,20))+1,20))),"")))</f>
        <v/>
      </c>
      <c r="E916">
        <f>IF($A916="","",IF(OR($B916="",$C916="",$D916="",$B916&lt;1300,$B916&gt;1500,$C916&lt;1,$C916&gt;12,$D916&lt;1,$D916&gt;31),"نامعتبر",RIGHT("0000"&amp;$B916,4)&amp;"/"&amp;RIGHT("00"&amp;$C916,2)&amp;"/"&amp;RIGHT("00"&amp;$D916,2)))</f>
        <v/>
      </c>
      <c r="F916">
        <f>IF(OR($E916="",$E916="نامعتبر"),"",LEFT($E916,4)&amp;"/"&amp;MID($E916,6,2))</f>
        <v/>
      </c>
      <c r="G916">
        <f>IF(OR($E916="",$E916="نامعتبر",Sync!$Y913=""),"",Sync!$Y913)</f>
        <v/>
      </c>
      <c r="H916">
        <f>IF($G916="","",IF(Sync!$X913="","",Sync!$X913))</f>
        <v/>
      </c>
      <c r="I916">
        <f>IF($G916="","",IFERROR(VLOOKUP(Sync!$X913,OpTbl,3,0),""))</f>
        <v/>
      </c>
      <c r="J916">
        <f>IF(OR($G916="",Sync!$Z913=""),"",Sync!$Z913)</f>
        <v/>
      </c>
      <c r="K916">
        <f>IF(OR($G916="",Sync!$AA913=""),"",Sync!$AA913)</f>
        <v/>
      </c>
      <c r="L916">
        <f>IF($G916="",0,IF(Sync!$AB913="",0,Sync!$AB913))</f>
        <v/>
      </c>
      <c r="M916">
        <f>IF($G916="",0,IF(Sync!$AC913="",0,Sync!$AC913))</f>
        <v/>
      </c>
      <c r="N916">
        <f>IF($G916="","",IF($H916="مرجوعی خرید",-1,1)*($L916-$M916*IFERROR(VLOOKUP("P01",ParamTbl,3,0),1.5))*(1-IF($I916="خرید",IFERROR(VLOOKUP("P02",ParamTbl,3,0),1),0)/100))</f>
        <v/>
      </c>
      <c r="O916">
        <f>IF($G916="",0,IF($H916="مرجوعی خرید",-1,1)*IF(Sync!$AD913="",0,Sync!$AD913))</f>
        <v/>
      </c>
      <c r="P916">
        <f>IF(OR($G916="",Sync!$W913=""),"",Sync!$W913)</f>
        <v/>
      </c>
      <c r="Q916">
        <f>IF(OR($G916="",Sync!$AE913=""),"",Sync!$AE913)</f>
        <v/>
      </c>
      <c r="R916">
        <f>IF($G916="","",IF(Sync!$V913="","0000",IF(AND(ISNUMBER(Sync!$V913),Sync!$V913&gt;=0,Sync!$V913&lt;1),RIGHT("00"&amp;HOUR(Sync!$V913),2)&amp;RIGHT("00"&amp;MINUTE(Sync!$V913),2),IFERROR(RIGHT("00"&amp;VALUE(LEFT(Sync!$V913,FIND(":",Sync!$V913)-1)),2)&amp;RIGHT("00"&amp;VALUE(MID(Sync!$V913,FIND(":",Sync!$V913)+1,2)),2),"0000"))))</f>
        <v/>
      </c>
    </row>
    <row r="917">
      <c r="A917">
        <f>IF(Sync!$U914="","",Sync!$U914)</f>
        <v/>
      </c>
      <c r="B917">
        <f>IF($A917="","",IF(ISNUMBER($A917),IF(AND($A917&gt;=10000101,$A917&lt;=99991231),INT($A917/10000),""),IFERROR(VALUE(TRIM(LEFT($A917,FIND("/",$A917)-1))),"")))</f>
        <v/>
      </c>
      <c r="C917">
        <f>IF(OR($A917="",$B917=""),"",IF(ISNUMBER($A917),INT(MOD($A917,10000)/100),IFERROR(VALUE(TRIM(LEFT(MID($A917,FIND("/",$A917)+1,20),FIND("/",MID($A917,FIND("/",$A917)+1,20))-1))),"")))</f>
        <v/>
      </c>
      <c r="D917">
        <f>IF(OR($A917="",$B917=""),"",IF(ISNUMBER($A917),MOD($A917,100),IFERROR(VALUE(TRIM(MID(MID($A917,FIND("/",$A917)+1,20),FIND("/",MID($A917,FIND("/",$A917)+1,20))+1,20))),"")))</f>
        <v/>
      </c>
      <c r="E917">
        <f>IF($A917="","",IF(OR($B917="",$C917="",$D917="",$B917&lt;1300,$B917&gt;1500,$C917&lt;1,$C917&gt;12,$D917&lt;1,$D917&gt;31),"نامعتبر",RIGHT("0000"&amp;$B917,4)&amp;"/"&amp;RIGHT("00"&amp;$C917,2)&amp;"/"&amp;RIGHT("00"&amp;$D917,2)))</f>
        <v/>
      </c>
      <c r="F917">
        <f>IF(OR($E917="",$E917="نامعتبر"),"",LEFT($E917,4)&amp;"/"&amp;MID($E917,6,2))</f>
        <v/>
      </c>
      <c r="G917">
        <f>IF(OR($E917="",$E917="نامعتبر",Sync!$Y914=""),"",Sync!$Y914)</f>
        <v/>
      </c>
      <c r="H917">
        <f>IF($G917="","",IF(Sync!$X914="","",Sync!$X914))</f>
        <v/>
      </c>
      <c r="I917">
        <f>IF($G917="","",IFERROR(VLOOKUP(Sync!$X914,OpTbl,3,0),""))</f>
        <v/>
      </c>
      <c r="J917">
        <f>IF(OR($G917="",Sync!$Z914=""),"",Sync!$Z914)</f>
        <v/>
      </c>
      <c r="K917">
        <f>IF(OR($G917="",Sync!$AA914=""),"",Sync!$AA914)</f>
        <v/>
      </c>
      <c r="L917">
        <f>IF($G917="",0,IF(Sync!$AB914="",0,Sync!$AB914))</f>
        <v/>
      </c>
      <c r="M917">
        <f>IF($G917="",0,IF(Sync!$AC914="",0,Sync!$AC914))</f>
        <v/>
      </c>
      <c r="N917">
        <f>IF($G917="","",IF($H917="مرجوعی خرید",-1,1)*($L917-$M917*IFERROR(VLOOKUP("P01",ParamTbl,3,0),1.5))*(1-IF($I917="خرید",IFERROR(VLOOKUP("P02",ParamTbl,3,0),1),0)/100))</f>
        <v/>
      </c>
      <c r="O917">
        <f>IF($G917="",0,IF($H917="مرجوعی خرید",-1,1)*IF(Sync!$AD914="",0,Sync!$AD914))</f>
        <v/>
      </c>
      <c r="P917">
        <f>IF(OR($G917="",Sync!$W914=""),"",Sync!$W914)</f>
        <v/>
      </c>
      <c r="Q917">
        <f>IF(OR($G917="",Sync!$AE914=""),"",Sync!$AE914)</f>
        <v/>
      </c>
      <c r="R917">
        <f>IF($G917="","",IF(Sync!$V914="","0000",IF(AND(ISNUMBER(Sync!$V914),Sync!$V914&gt;=0,Sync!$V914&lt;1),RIGHT("00"&amp;HOUR(Sync!$V914),2)&amp;RIGHT("00"&amp;MINUTE(Sync!$V914),2),IFERROR(RIGHT("00"&amp;VALUE(LEFT(Sync!$V914,FIND(":",Sync!$V914)-1)),2)&amp;RIGHT("00"&amp;VALUE(MID(Sync!$V914,FIND(":",Sync!$V914)+1,2)),2),"0000"))))</f>
        <v/>
      </c>
    </row>
    <row r="918">
      <c r="A918">
        <f>IF(Sync!$U915="","",Sync!$U915)</f>
        <v/>
      </c>
      <c r="B918">
        <f>IF($A918="","",IF(ISNUMBER($A918),IF(AND($A918&gt;=10000101,$A918&lt;=99991231),INT($A918/10000),""),IFERROR(VALUE(TRIM(LEFT($A918,FIND("/",$A918)-1))),"")))</f>
        <v/>
      </c>
      <c r="C918">
        <f>IF(OR($A918="",$B918=""),"",IF(ISNUMBER($A918),INT(MOD($A918,10000)/100),IFERROR(VALUE(TRIM(LEFT(MID($A918,FIND("/",$A918)+1,20),FIND("/",MID($A918,FIND("/",$A918)+1,20))-1))),"")))</f>
        <v/>
      </c>
      <c r="D918">
        <f>IF(OR($A918="",$B918=""),"",IF(ISNUMBER($A918),MOD($A918,100),IFERROR(VALUE(TRIM(MID(MID($A918,FIND("/",$A918)+1,20),FIND("/",MID($A918,FIND("/",$A918)+1,20))+1,20))),"")))</f>
        <v/>
      </c>
      <c r="E918">
        <f>IF($A918="","",IF(OR($B918="",$C918="",$D918="",$B918&lt;1300,$B918&gt;1500,$C918&lt;1,$C918&gt;12,$D918&lt;1,$D918&gt;31),"نامعتبر",RIGHT("0000"&amp;$B918,4)&amp;"/"&amp;RIGHT("00"&amp;$C918,2)&amp;"/"&amp;RIGHT("00"&amp;$D918,2)))</f>
        <v/>
      </c>
      <c r="F918">
        <f>IF(OR($E918="",$E918="نامعتبر"),"",LEFT($E918,4)&amp;"/"&amp;MID($E918,6,2))</f>
        <v/>
      </c>
      <c r="G918">
        <f>IF(OR($E918="",$E918="نامعتبر",Sync!$Y915=""),"",Sync!$Y915)</f>
        <v/>
      </c>
      <c r="H918">
        <f>IF($G918="","",IF(Sync!$X915="","",Sync!$X915))</f>
        <v/>
      </c>
      <c r="I918">
        <f>IF($G918="","",IFERROR(VLOOKUP(Sync!$X915,OpTbl,3,0),""))</f>
        <v/>
      </c>
      <c r="J918">
        <f>IF(OR($G918="",Sync!$Z915=""),"",Sync!$Z915)</f>
        <v/>
      </c>
      <c r="K918">
        <f>IF(OR($G918="",Sync!$AA915=""),"",Sync!$AA915)</f>
        <v/>
      </c>
      <c r="L918">
        <f>IF($G918="",0,IF(Sync!$AB915="",0,Sync!$AB915))</f>
        <v/>
      </c>
      <c r="M918">
        <f>IF($G918="",0,IF(Sync!$AC915="",0,Sync!$AC915))</f>
        <v/>
      </c>
      <c r="N918">
        <f>IF($G918="","",IF($H918="مرجوعی خرید",-1,1)*($L918-$M918*IFERROR(VLOOKUP("P01",ParamTbl,3,0),1.5))*(1-IF($I918="خرید",IFERROR(VLOOKUP("P02",ParamTbl,3,0),1),0)/100))</f>
        <v/>
      </c>
      <c r="O918">
        <f>IF($G918="",0,IF($H918="مرجوعی خرید",-1,1)*IF(Sync!$AD915="",0,Sync!$AD915))</f>
        <v/>
      </c>
      <c r="P918">
        <f>IF(OR($G918="",Sync!$W915=""),"",Sync!$W915)</f>
        <v/>
      </c>
      <c r="Q918">
        <f>IF(OR($G918="",Sync!$AE915=""),"",Sync!$AE915)</f>
        <v/>
      </c>
      <c r="R918">
        <f>IF($G918="","",IF(Sync!$V915="","0000",IF(AND(ISNUMBER(Sync!$V915),Sync!$V915&gt;=0,Sync!$V915&lt;1),RIGHT("00"&amp;HOUR(Sync!$V915),2)&amp;RIGHT("00"&amp;MINUTE(Sync!$V915),2),IFERROR(RIGHT("00"&amp;VALUE(LEFT(Sync!$V915,FIND(":",Sync!$V915)-1)),2)&amp;RIGHT("00"&amp;VALUE(MID(Sync!$V915,FIND(":",Sync!$V915)+1,2)),2),"0000"))))</f>
        <v/>
      </c>
    </row>
    <row r="919">
      <c r="A919">
        <f>IF(Sync!$U916="","",Sync!$U916)</f>
        <v/>
      </c>
      <c r="B919">
        <f>IF($A919="","",IF(ISNUMBER($A919),IF(AND($A919&gt;=10000101,$A919&lt;=99991231),INT($A919/10000),""),IFERROR(VALUE(TRIM(LEFT($A919,FIND("/",$A919)-1))),"")))</f>
        <v/>
      </c>
      <c r="C919">
        <f>IF(OR($A919="",$B919=""),"",IF(ISNUMBER($A919),INT(MOD($A919,10000)/100),IFERROR(VALUE(TRIM(LEFT(MID($A919,FIND("/",$A919)+1,20),FIND("/",MID($A919,FIND("/",$A919)+1,20))-1))),"")))</f>
        <v/>
      </c>
      <c r="D919">
        <f>IF(OR($A919="",$B919=""),"",IF(ISNUMBER($A919),MOD($A919,100),IFERROR(VALUE(TRIM(MID(MID($A919,FIND("/",$A919)+1,20),FIND("/",MID($A919,FIND("/",$A919)+1,20))+1,20))),"")))</f>
        <v/>
      </c>
      <c r="E919">
        <f>IF($A919="","",IF(OR($B919="",$C919="",$D919="",$B919&lt;1300,$B919&gt;1500,$C919&lt;1,$C919&gt;12,$D919&lt;1,$D919&gt;31),"نامعتبر",RIGHT("0000"&amp;$B919,4)&amp;"/"&amp;RIGHT("00"&amp;$C919,2)&amp;"/"&amp;RIGHT("00"&amp;$D919,2)))</f>
        <v/>
      </c>
      <c r="F919">
        <f>IF(OR($E919="",$E919="نامعتبر"),"",LEFT($E919,4)&amp;"/"&amp;MID($E919,6,2))</f>
        <v/>
      </c>
      <c r="G919">
        <f>IF(OR($E919="",$E919="نامعتبر",Sync!$Y916=""),"",Sync!$Y916)</f>
        <v/>
      </c>
      <c r="H919">
        <f>IF($G919="","",IF(Sync!$X916="","",Sync!$X916))</f>
        <v/>
      </c>
      <c r="I919">
        <f>IF($G919="","",IFERROR(VLOOKUP(Sync!$X916,OpTbl,3,0),""))</f>
        <v/>
      </c>
      <c r="J919">
        <f>IF(OR($G919="",Sync!$Z916=""),"",Sync!$Z916)</f>
        <v/>
      </c>
      <c r="K919">
        <f>IF(OR($G919="",Sync!$AA916=""),"",Sync!$AA916)</f>
        <v/>
      </c>
      <c r="L919">
        <f>IF($G919="",0,IF(Sync!$AB916="",0,Sync!$AB916))</f>
        <v/>
      </c>
      <c r="M919">
        <f>IF($G919="",0,IF(Sync!$AC916="",0,Sync!$AC916))</f>
        <v/>
      </c>
      <c r="N919">
        <f>IF($G919="","",IF($H919="مرجوعی خرید",-1,1)*($L919-$M919*IFERROR(VLOOKUP("P01",ParamTbl,3,0),1.5))*(1-IF($I919="خرید",IFERROR(VLOOKUP("P02",ParamTbl,3,0),1),0)/100))</f>
        <v/>
      </c>
      <c r="O919">
        <f>IF($G919="",0,IF($H919="مرجوعی خرید",-1,1)*IF(Sync!$AD916="",0,Sync!$AD916))</f>
        <v/>
      </c>
      <c r="P919">
        <f>IF(OR($G919="",Sync!$W916=""),"",Sync!$W916)</f>
        <v/>
      </c>
      <c r="Q919">
        <f>IF(OR($G919="",Sync!$AE916=""),"",Sync!$AE916)</f>
        <v/>
      </c>
      <c r="R919">
        <f>IF($G919="","",IF(Sync!$V916="","0000",IF(AND(ISNUMBER(Sync!$V916),Sync!$V916&gt;=0,Sync!$V916&lt;1),RIGHT("00"&amp;HOUR(Sync!$V916),2)&amp;RIGHT("00"&amp;MINUTE(Sync!$V916),2),IFERROR(RIGHT("00"&amp;VALUE(LEFT(Sync!$V916,FIND(":",Sync!$V916)-1)),2)&amp;RIGHT("00"&amp;VALUE(MID(Sync!$V916,FIND(":",Sync!$V916)+1,2)),2),"0000"))))</f>
        <v/>
      </c>
    </row>
    <row r="920">
      <c r="A920">
        <f>IF(Sync!$U917="","",Sync!$U917)</f>
        <v/>
      </c>
      <c r="B920">
        <f>IF($A920="","",IF(ISNUMBER($A920),IF(AND($A920&gt;=10000101,$A920&lt;=99991231),INT($A920/10000),""),IFERROR(VALUE(TRIM(LEFT($A920,FIND("/",$A920)-1))),"")))</f>
        <v/>
      </c>
      <c r="C920">
        <f>IF(OR($A920="",$B920=""),"",IF(ISNUMBER($A920),INT(MOD($A920,10000)/100),IFERROR(VALUE(TRIM(LEFT(MID($A920,FIND("/",$A920)+1,20),FIND("/",MID($A920,FIND("/",$A920)+1,20))-1))),"")))</f>
        <v/>
      </c>
      <c r="D920">
        <f>IF(OR($A920="",$B920=""),"",IF(ISNUMBER($A920),MOD($A920,100),IFERROR(VALUE(TRIM(MID(MID($A920,FIND("/",$A920)+1,20),FIND("/",MID($A920,FIND("/",$A920)+1,20))+1,20))),"")))</f>
        <v/>
      </c>
      <c r="E920">
        <f>IF($A920="","",IF(OR($B920="",$C920="",$D920="",$B920&lt;1300,$B920&gt;1500,$C920&lt;1,$C920&gt;12,$D920&lt;1,$D920&gt;31),"نامعتبر",RIGHT("0000"&amp;$B920,4)&amp;"/"&amp;RIGHT("00"&amp;$C920,2)&amp;"/"&amp;RIGHT("00"&amp;$D920,2)))</f>
        <v/>
      </c>
      <c r="F920">
        <f>IF(OR($E920="",$E920="نامعتبر"),"",LEFT($E920,4)&amp;"/"&amp;MID($E920,6,2))</f>
        <v/>
      </c>
      <c r="G920">
        <f>IF(OR($E920="",$E920="نامعتبر",Sync!$Y917=""),"",Sync!$Y917)</f>
        <v/>
      </c>
      <c r="H920">
        <f>IF($G920="","",IF(Sync!$X917="","",Sync!$X917))</f>
        <v/>
      </c>
      <c r="I920">
        <f>IF($G920="","",IFERROR(VLOOKUP(Sync!$X917,OpTbl,3,0),""))</f>
        <v/>
      </c>
      <c r="J920">
        <f>IF(OR($G920="",Sync!$Z917=""),"",Sync!$Z917)</f>
        <v/>
      </c>
      <c r="K920">
        <f>IF(OR($G920="",Sync!$AA917=""),"",Sync!$AA917)</f>
        <v/>
      </c>
      <c r="L920">
        <f>IF($G920="",0,IF(Sync!$AB917="",0,Sync!$AB917))</f>
        <v/>
      </c>
      <c r="M920">
        <f>IF($G920="",0,IF(Sync!$AC917="",0,Sync!$AC917))</f>
        <v/>
      </c>
      <c r="N920">
        <f>IF($G920="","",IF($H920="مرجوعی خرید",-1,1)*($L920-$M920*IFERROR(VLOOKUP("P01",ParamTbl,3,0),1.5))*(1-IF($I920="خرید",IFERROR(VLOOKUP("P02",ParamTbl,3,0),1),0)/100))</f>
        <v/>
      </c>
      <c r="O920">
        <f>IF($G920="",0,IF($H920="مرجوعی خرید",-1,1)*IF(Sync!$AD917="",0,Sync!$AD917))</f>
        <v/>
      </c>
      <c r="P920">
        <f>IF(OR($G920="",Sync!$W917=""),"",Sync!$W917)</f>
        <v/>
      </c>
      <c r="Q920">
        <f>IF(OR($G920="",Sync!$AE917=""),"",Sync!$AE917)</f>
        <v/>
      </c>
      <c r="R920">
        <f>IF($G920="","",IF(Sync!$V917="","0000",IF(AND(ISNUMBER(Sync!$V917),Sync!$V917&gt;=0,Sync!$V917&lt;1),RIGHT("00"&amp;HOUR(Sync!$V917),2)&amp;RIGHT("00"&amp;MINUTE(Sync!$V917),2),IFERROR(RIGHT("00"&amp;VALUE(LEFT(Sync!$V917,FIND(":",Sync!$V917)-1)),2)&amp;RIGHT("00"&amp;VALUE(MID(Sync!$V917,FIND(":",Sync!$V917)+1,2)),2),"0000"))))</f>
        <v/>
      </c>
    </row>
    <row r="921">
      <c r="A921">
        <f>IF(Sync!$U918="","",Sync!$U918)</f>
        <v/>
      </c>
      <c r="B921">
        <f>IF($A921="","",IF(ISNUMBER($A921),IF(AND($A921&gt;=10000101,$A921&lt;=99991231),INT($A921/10000),""),IFERROR(VALUE(TRIM(LEFT($A921,FIND("/",$A921)-1))),"")))</f>
        <v/>
      </c>
      <c r="C921">
        <f>IF(OR($A921="",$B921=""),"",IF(ISNUMBER($A921),INT(MOD($A921,10000)/100),IFERROR(VALUE(TRIM(LEFT(MID($A921,FIND("/",$A921)+1,20),FIND("/",MID($A921,FIND("/",$A921)+1,20))-1))),"")))</f>
        <v/>
      </c>
      <c r="D921">
        <f>IF(OR($A921="",$B921=""),"",IF(ISNUMBER($A921),MOD($A921,100),IFERROR(VALUE(TRIM(MID(MID($A921,FIND("/",$A921)+1,20),FIND("/",MID($A921,FIND("/",$A921)+1,20))+1,20))),"")))</f>
        <v/>
      </c>
      <c r="E921">
        <f>IF($A921="","",IF(OR($B921="",$C921="",$D921="",$B921&lt;1300,$B921&gt;1500,$C921&lt;1,$C921&gt;12,$D921&lt;1,$D921&gt;31),"نامعتبر",RIGHT("0000"&amp;$B921,4)&amp;"/"&amp;RIGHT("00"&amp;$C921,2)&amp;"/"&amp;RIGHT("00"&amp;$D921,2)))</f>
        <v/>
      </c>
      <c r="F921">
        <f>IF(OR($E921="",$E921="نامعتبر"),"",LEFT($E921,4)&amp;"/"&amp;MID($E921,6,2))</f>
        <v/>
      </c>
      <c r="G921">
        <f>IF(OR($E921="",$E921="نامعتبر",Sync!$Y918=""),"",Sync!$Y918)</f>
        <v/>
      </c>
      <c r="H921">
        <f>IF($G921="","",IF(Sync!$X918="","",Sync!$X918))</f>
        <v/>
      </c>
      <c r="I921">
        <f>IF($G921="","",IFERROR(VLOOKUP(Sync!$X918,OpTbl,3,0),""))</f>
        <v/>
      </c>
      <c r="J921">
        <f>IF(OR($G921="",Sync!$Z918=""),"",Sync!$Z918)</f>
        <v/>
      </c>
      <c r="K921">
        <f>IF(OR($G921="",Sync!$AA918=""),"",Sync!$AA918)</f>
        <v/>
      </c>
      <c r="L921">
        <f>IF($G921="",0,IF(Sync!$AB918="",0,Sync!$AB918))</f>
        <v/>
      </c>
      <c r="M921">
        <f>IF($G921="",0,IF(Sync!$AC918="",0,Sync!$AC918))</f>
        <v/>
      </c>
      <c r="N921">
        <f>IF($G921="","",IF($H921="مرجوعی خرید",-1,1)*($L921-$M921*IFERROR(VLOOKUP("P01",ParamTbl,3,0),1.5))*(1-IF($I921="خرید",IFERROR(VLOOKUP("P02",ParamTbl,3,0),1),0)/100))</f>
        <v/>
      </c>
      <c r="O921">
        <f>IF($G921="",0,IF($H921="مرجوعی خرید",-1,1)*IF(Sync!$AD918="",0,Sync!$AD918))</f>
        <v/>
      </c>
      <c r="P921">
        <f>IF(OR($G921="",Sync!$W918=""),"",Sync!$W918)</f>
        <v/>
      </c>
      <c r="Q921">
        <f>IF(OR($G921="",Sync!$AE918=""),"",Sync!$AE918)</f>
        <v/>
      </c>
      <c r="R921">
        <f>IF($G921="","",IF(Sync!$V918="","0000",IF(AND(ISNUMBER(Sync!$V918),Sync!$V918&gt;=0,Sync!$V918&lt;1),RIGHT("00"&amp;HOUR(Sync!$V918),2)&amp;RIGHT("00"&amp;MINUTE(Sync!$V918),2),IFERROR(RIGHT("00"&amp;VALUE(LEFT(Sync!$V918,FIND(":",Sync!$V918)-1)),2)&amp;RIGHT("00"&amp;VALUE(MID(Sync!$V918,FIND(":",Sync!$V918)+1,2)),2),"0000"))))</f>
        <v/>
      </c>
    </row>
    <row r="922">
      <c r="A922">
        <f>IF(Sync!$U919="","",Sync!$U919)</f>
        <v/>
      </c>
      <c r="B922">
        <f>IF($A922="","",IF(ISNUMBER($A922),IF(AND($A922&gt;=10000101,$A922&lt;=99991231),INT($A922/10000),""),IFERROR(VALUE(TRIM(LEFT($A922,FIND("/",$A922)-1))),"")))</f>
        <v/>
      </c>
      <c r="C922">
        <f>IF(OR($A922="",$B922=""),"",IF(ISNUMBER($A922),INT(MOD($A922,10000)/100),IFERROR(VALUE(TRIM(LEFT(MID($A922,FIND("/",$A922)+1,20),FIND("/",MID($A922,FIND("/",$A922)+1,20))-1))),"")))</f>
        <v/>
      </c>
      <c r="D922">
        <f>IF(OR($A922="",$B922=""),"",IF(ISNUMBER($A922),MOD($A922,100),IFERROR(VALUE(TRIM(MID(MID($A922,FIND("/",$A922)+1,20),FIND("/",MID($A922,FIND("/",$A922)+1,20))+1,20))),"")))</f>
        <v/>
      </c>
      <c r="E922">
        <f>IF($A922="","",IF(OR($B922="",$C922="",$D922="",$B922&lt;1300,$B922&gt;1500,$C922&lt;1,$C922&gt;12,$D922&lt;1,$D922&gt;31),"نامعتبر",RIGHT("0000"&amp;$B922,4)&amp;"/"&amp;RIGHT("00"&amp;$C922,2)&amp;"/"&amp;RIGHT("00"&amp;$D922,2)))</f>
        <v/>
      </c>
      <c r="F922">
        <f>IF(OR($E922="",$E922="نامعتبر"),"",LEFT($E922,4)&amp;"/"&amp;MID($E922,6,2))</f>
        <v/>
      </c>
      <c r="G922">
        <f>IF(OR($E922="",$E922="نامعتبر",Sync!$Y919=""),"",Sync!$Y919)</f>
        <v/>
      </c>
      <c r="H922">
        <f>IF($G922="","",IF(Sync!$X919="","",Sync!$X919))</f>
        <v/>
      </c>
      <c r="I922">
        <f>IF($G922="","",IFERROR(VLOOKUP(Sync!$X919,OpTbl,3,0),""))</f>
        <v/>
      </c>
      <c r="J922">
        <f>IF(OR($G922="",Sync!$Z919=""),"",Sync!$Z919)</f>
        <v/>
      </c>
      <c r="K922">
        <f>IF(OR($G922="",Sync!$AA919=""),"",Sync!$AA919)</f>
        <v/>
      </c>
      <c r="L922">
        <f>IF($G922="",0,IF(Sync!$AB919="",0,Sync!$AB919))</f>
        <v/>
      </c>
      <c r="M922">
        <f>IF($G922="",0,IF(Sync!$AC919="",0,Sync!$AC919))</f>
        <v/>
      </c>
      <c r="N922">
        <f>IF($G922="","",IF($H922="مرجوعی خرید",-1,1)*($L922-$M922*IFERROR(VLOOKUP("P01",ParamTbl,3,0),1.5))*(1-IF($I922="خرید",IFERROR(VLOOKUP("P02",ParamTbl,3,0),1),0)/100))</f>
        <v/>
      </c>
      <c r="O922">
        <f>IF($G922="",0,IF($H922="مرجوعی خرید",-1,1)*IF(Sync!$AD919="",0,Sync!$AD919))</f>
        <v/>
      </c>
      <c r="P922">
        <f>IF(OR($G922="",Sync!$W919=""),"",Sync!$W919)</f>
        <v/>
      </c>
      <c r="Q922">
        <f>IF(OR($G922="",Sync!$AE919=""),"",Sync!$AE919)</f>
        <v/>
      </c>
      <c r="R922">
        <f>IF($G922="","",IF(Sync!$V919="","0000",IF(AND(ISNUMBER(Sync!$V919),Sync!$V919&gt;=0,Sync!$V919&lt;1),RIGHT("00"&amp;HOUR(Sync!$V919),2)&amp;RIGHT("00"&amp;MINUTE(Sync!$V919),2),IFERROR(RIGHT("00"&amp;VALUE(LEFT(Sync!$V919,FIND(":",Sync!$V919)-1)),2)&amp;RIGHT("00"&amp;VALUE(MID(Sync!$V919,FIND(":",Sync!$V919)+1,2)),2),"0000"))))</f>
        <v/>
      </c>
    </row>
    <row r="923">
      <c r="A923">
        <f>IF(Sync!$U920="","",Sync!$U920)</f>
        <v/>
      </c>
      <c r="B923">
        <f>IF($A923="","",IF(ISNUMBER($A923),IF(AND($A923&gt;=10000101,$A923&lt;=99991231),INT($A923/10000),""),IFERROR(VALUE(TRIM(LEFT($A923,FIND("/",$A923)-1))),"")))</f>
        <v/>
      </c>
      <c r="C923">
        <f>IF(OR($A923="",$B923=""),"",IF(ISNUMBER($A923),INT(MOD($A923,10000)/100),IFERROR(VALUE(TRIM(LEFT(MID($A923,FIND("/",$A923)+1,20),FIND("/",MID($A923,FIND("/",$A923)+1,20))-1))),"")))</f>
        <v/>
      </c>
      <c r="D923">
        <f>IF(OR($A923="",$B923=""),"",IF(ISNUMBER($A923),MOD($A923,100),IFERROR(VALUE(TRIM(MID(MID($A923,FIND("/",$A923)+1,20),FIND("/",MID($A923,FIND("/",$A923)+1,20))+1,20))),"")))</f>
        <v/>
      </c>
      <c r="E923">
        <f>IF($A923="","",IF(OR($B923="",$C923="",$D923="",$B923&lt;1300,$B923&gt;1500,$C923&lt;1,$C923&gt;12,$D923&lt;1,$D923&gt;31),"نامعتبر",RIGHT("0000"&amp;$B923,4)&amp;"/"&amp;RIGHT("00"&amp;$C923,2)&amp;"/"&amp;RIGHT("00"&amp;$D923,2)))</f>
        <v/>
      </c>
      <c r="F923">
        <f>IF(OR($E923="",$E923="نامعتبر"),"",LEFT($E923,4)&amp;"/"&amp;MID($E923,6,2))</f>
        <v/>
      </c>
      <c r="G923">
        <f>IF(OR($E923="",$E923="نامعتبر",Sync!$Y920=""),"",Sync!$Y920)</f>
        <v/>
      </c>
      <c r="H923">
        <f>IF($G923="","",IF(Sync!$X920="","",Sync!$X920))</f>
        <v/>
      </c>
      <c r="I923">
        <f>IF($G923="","",IFERROR(VLOOKUP(Sync!$X920,OpTbl,3,0),""))</f>
        <v/>
      </c>
      <c r="J923">
        <f>IF(OR($G923="",Sync!$Z920=""),"",Sync!$Z920)</f>
        <v/>
      </c>
      <c r="K923">
        <f>IF(OR($G923="",Sync!$AA920=""),"",Sync!$AA920)</f>
        <v/>
      </c>
      <c r="L923">
        <f>IF($G923="",0,IF(Sync!$AB920="",0,Sync!$AB920))</f>
        <v/>
      </c>
      <c r="M923">
        <f>IF($G923="",0,IF(Sync!$AC920="",0,Sync!$AC920))</f>
        <v/>
      </c>
      <c r="N923">
        <f>IF($G923="","",IF($H923="مرجوعی خرید",-1,1)*($L923-$M923*IFERROR(VLOOKUP("P01",ParamTbl,3,0),1.5))*(1-IF($I923="خرید",IFERROR(VLOOKUP("P02",ParamTbl,3,0),1),0)/100))</f>
        <v/>
      </c>
      <c r="O923">
        <f>IF($G923="",0,IF($H923="مرجوعی خرید",-1,1)*IF(Sync!$AD920="",0,Sync!$AD920))</f>
        <v/>
      </c>
      <c r="P923">
        <f>IF(OR($G923="",Sync!$W920=""),"",Sync!$W920)</f>
        <v/>
      </c>
      <c r="Q923">
        <f>IF(OR($G923="",Sync!$AE920=""),"",Sync!$AE920)</f>
        <v/>
      </c>
      <c r="R923">
        <f>IF($G923="","",IF(Sync!$V920="","0000",IF(AND(ISNUMBER(Sync!$V920),Sync!$V920&gt;=0,Sync!$V920&lt;1),RIGHT("00"&amp;HOUR(Sync!$V920),2)&amp;RIGHT("00"&amp;MINUTE(Sync!$V920),2),IFERROR(RIGHT("00"&amp;VALUE(LEFT(Sync!$V920,FIND(":",Sync!$V920)-1)),2)&amp;RIGHT("00"&amp;VALUE(MID(Sync!$V920,FIND(":",Sync!$V920)+1,2)),2),"0000"))))</f>
        <v/>
      </c>
    </row>
    <row r="924">
      <c r="A924">
        <f>IF(Sync!$U921="","",Sync!$U921)</f>
        <v/>
      </c>
      <c r="B924">
        <f>IF($A924="","",IF(ISNUMBER($A924),IF(AND($A924&gt;=10000101,$A924&lt;=99991231),INT($A924/10000),""),IFERROR(VALUE(TRIM(LEFT($A924,FIND("/",$A924)-1))),"")))</f>
        <v/>
      </c>
      <c r="C924">
        <f>IF(OR($A924="",$B924=""),"",IF(ISNUMBER($A924),INT(MOD($A924,10000)/100),IFERROR(VALUE(TRIM(LEFT(MID($A924,FIND("/",$A924)+1,20),FIND("/",MID($A924,FIND("/",$A924)+1,20))-1))),"")))</f>
        <v/>
      </c>
      <c r="D924">
        <f>IF(OR($A924="",$B924=""),"",IF(ISNUMBER($A924),MOD($A924,100),IFERROR(VALUE(TRIM(MID(MID($A924,FIND("/",$A924)+1,20),FIND("/",MID($A924,FIND("/",$A924)+1,20))+1,20))),"")))</f>
        <v/>
      </c>
      <c r="E924">
        <f>IF($A924="","",IF(OR($B924="",$C924="",$D924="",$B924&lt;1300,$B924&gt;1500,$C924&lt;1,$C924&gt;12,$D924&lt;1,$D924&gt;31),"نامعتبر",RIGHT("0000"&amp;$B924,4)&amp;"/"&amp;RIGHT("00"&amp;$C924,2)&amp;"/"&amp;RIGHT("00"&amp;$D924,2)))</f>
        <v/>
      </c>
      <c r="F924">
        <f>IF(OR($E924="",$E924="نامعتبر"),"",LEFT($E924,4)&amp;"/"&amp;MID($E924,6,2))</f>
        <v/>
      </c>
      <c r="G924">
        <f>IF(OR($E924="",$E924="نامعتبر",Sync!$Y921=""),"",Sync!$Y921)</f>
        <v/>
      </c>
      <c r="H924">
        <f>IF($G924="","",IF(Sync!$X921="","",Sync!$X921))</f>
        <v/>
      </c>
      <c r="I924">
        <f>IF($G924="","",IFERROR(VLOOKUP(Sync!$X921,OpTbl,3,0),""))</f>
        <v/>
      </c>
      <c r="J924">
        <f>IF(OR($G924="",Sync!$Z921=""),"",Sync!$Z921)</f>
        <v/>
      </c>
      <c r="K924">
        <f>IF(OR($G924="",Sync!$AA921=""),"",Sync!$AA921)</f>
        <v/>
      </c>
      <c r="L924">
        <f>IF($G924="",0,IF(Sync!$AB921="",0,Sync!$AB921))</f>
        <v/>
      </c>
      <c r="M924">
        <f>IF($G924="",0,IF(Sync!$AC921="",0,Sync!$AC921))</f>
        <v/>
      </c>
      <c r="N924">
        <f>IF($G924="","",IF($H924="مرجوعی خرید",-1,1)*($L924-$M924*IFERROR(VLOOKUP("P01",ParamTbl,3,0),1.5))*(1-IF($I924="خرید",IFERROR(VLOOKUP("P02",ParamTbl,3,0),1),0)/100))</f>
        <v/>
      </c>
      <c r="O924">
        <f>IF($G924="",0,IF($H924="مرجوعی خرید",-1,1)*IF(Sync!$AD921="",0,Sync!$AD921))</f>
        <v/>
      </c>
      <c r="P924">
        <f>IF(OR($G924="",Sync!$W921=""),"",Sync!$W921)</f>
        <v/>
      </c>
      <c r="Q924">
        <f>IF(OR($G924="",Sync!$AE921=""),"",Sync!$AE921)</f>
        <v/>
      </c>
      <c r="R924">
        <f>IF($G924="","",IF(Sync!$V921="","0000",IF(AND(ISNUMBER(Sync!$V921),Sync!$V921&gt;=0,Sync!$V921&lt;1),RIGHT("00"&amp;HOUR(Sync!$V921),2)&amp;RIGHT("00"&amp;MINUTE(Sync!$V921),2),IFERROR(RIGHT("00"&amp;VALUE(LEFT(Sync!$V921,FIND(":",Sync!$V921)-1)),2)&amp;RIGHT("00"&amp;VALUE(MID(Sync!$V921,FIND(":",Sync!$V921)+1,2)),2),"0000"))))</f>
        <v/>
      </c>
    </row>
    <row r="925">
      <c r="A925">
        <f>IF(Sync!$U922="","",Sync!$U922)</f>
        <v/>
      </c>
      <c r="B925">
        <f>IF($A925="","",IF(ISNUMBER($A925),IF(AND($A925&gt;=10000101,$A925&lt;=99991231),INT($A925/10000),""),IFERROR(VALUE(TRIM(LEFT($A925,FIND("/",$A925)-1))),"")))</f>
        <v/>
      </c>
      <c r="C925">
        <f>IF(OR($A925="",$B925=""),"",IF(ISNUMBER($A925),INT(MOD($A925,10000)/100),IFERROR(VALUE(TRIM(LEFT(MID($A925,FIND("/",$A925)+1,20),FIND("/",MID($A925,FIND("/",$A925)+1,20))-1))),"")))</f>
        <v/>
      </c>
      <c r="D925">
        <f>IF(OR($A925="",$B925=""),"",IF(ISNUMBER($A925),MOD($A925,100),IFERROR(VALUE(TRIM(MID(MID($A925,FIND("/",$A925)+1,20),FIND("/",MID($A925,FIND("/",$A925)+1,20))+1,20))),"")))</f>
        <v/>
      </c>
      <c r="E925">
        <f>IF($A925="","",IF(OR($B925="",$C925="",$D925="",$B925&lt;1300,$B925&gt;1500,$C925&lt;1,$C925&gt;12,$D925&lt;1,$D925&gt;31),"نامعتبر",RIGHT("0000"&amp;$B925,4)&amp;"/"&amp;RIGHT("00"&amp;$C925,2)&amp;"/"&amp;RIGHT("00"&amp;$D925,2)))</f>
        <v/>
      </c>
      <c r="F925">
        <f>IF(OR($E925="",$E925="نامعتبر"),"",LEFT($E925,4)&amp;"/"&amp;MID($E925,6,2))</f>
        <v/>
      </c>
      <c r="G925">
        <f>IF(OR($E925="",$E925="نامعتبر",Sync!$Y922=""),"",Sync!$Y922)</f>
        <v/>
      </c>
      <c r="H925">
        <f>IF($G925="","",IF(Sync!$X922="","",Sync!$X922))</f>
        <v/>
      </c>
      <c r="I925">
        <f>IF($G925="","",IFERROR(VLOOKUP(Sync!$X922,OpTbl,3,0),""))</f>
        <v/>
      </c>
      <c r="J925">
        <f>IF(OR($G925="",Sync!$Z922=""),"",Sync!$Z922)</f>
        <v/>
      </c>
      <c r="K925">
        <f>IF(OR($G925="",Sync!$AA922=""),"",Sync!$AA922)</f>
        <v/>
      </c>
      <c r="L925">
        <f>IF($G925="",0,IF(Sync!$AB922="",0,Sync!$AB922))</f>
        <v/>
      </c>
      <c r="M925">
        <f>IF($G925="",0,IF(Sync!$AC922="",0,Sync!$AC922))</f>
        <v/>
      </c>
      <c r="N925">
        <f>IF($G925="","",IF($H925="مرجوعی خرید",-1,1)*($L925-$M925*IFERROR(VLOOKUP("P01",ParamTbl,3,0),1.5))*(1-IF($I925="خرید",IFERROR(VLOOKUP("P02",ParamTbl,3,0),1),0)/100))</f>
        <v/>
      </c>
      <c r="O925">
        <f>IF($G925="",0,IF($H925="مرجوعی خرید",-1,1)*IF(Sync!$AD922="",0,Sync!$AD922))</f>
        <v/>
      </c>
      <c r="P925">
        <f>IF(OR($G925="",Sync!$W922=""),"",Sync!$W922)</f>
        <v/>
      </c>
      <c r="Q925">
        <f>IF(OR($G925="",Sync!$AE922=""),"",Sync!$AE922)</f>
        <v/>
      </c>
      <c r="R925">
        <f>IF($G925="","",IF(Sync!$V922="","0000",IF(AND(ISNUMBER(Sync!$V922),Sync!$V922&gt;=0,Sync!$V922&lt;1),RIGHT("00"&amp;HOUR(Sync!$V922),2)&amp;RIGHT("00"&amp;MINUTE(Sync!$V922),2),IFERROR(RIGHT("00"&amp;VALUE(LEFT(Sync!$V922,FIND(":",Sync!$V922)-1)),2)&amp;RIGHT("00"&amp;VALUE(MID(Sync!$V922,FIND(":",Sync!$V922)+1,2)),2),"0000"))))</f>
        <v/>
      </c>
    </row>
    <row r="926">
      <c r="A926">
        <f>IF(Sync!$U923="","",Sync!$U923)</f>
        <v/>
      </c>
      <c r="B926">
        <f>IF($A926="","",IF(ISNUMBER($A926),IF(AND($A926&gt;=10000101,$A926&lt;=99991231),INT($A926/10000),""),IFERROR(VALUE(TRIM(LEFT($A926,FIND("/",$A926)-1))),"")))</f>
        <v/>
      </c>
      <c r="C926">
        <f>IF(OR($A926="",$B926=""),"",IF(ISNUMBER($A926),INT(MOD($A926,10000)/100),IFERROR(VALUE(TRIM(LEFT(MID($A926,FIND("/",$A926)+1,20),FIND("/",MID($A926,FIND("/",$A926)+1,20))-1))),"")))</f>
        <v/>
      </c>
      <c r="D926">
        <f>IF(OR($A926="",$B926=""),"",IF(ISNUMBER($A926),MOD($A926,100),IFERROR(VALUE(TRIM(MID(MID($A926,FIND("/",$A926)+1,20),FIND("/",MID($A926,FIND("/",$A926)+1,20))+1,20))),"")))</f>
        <v/>
      </c>
      <c r="E926">
        <f>IF($A926="","",IF(OR($B926="",$C926="",$D926="",$B926&lt;1300,$B926&gt;1500,$C926&lt;1,$C926&gt;12,$D926&lt;1,$D926&gt;31),"نامعتبر",RIGHT("0000"&amp;$B926,4)&amp;"/"&amp;RIGHT("00"&amp;$C926,2)&amp;"/"&amp;RIGHT("00"&amp;$D926,2)))</f>
        <v/>
      </c>
      <c r="F926">
        <f>IF(OR($E926="",$E926="نامعتبر"),"",LEFT($E926,4)&amp;"/"&amp;MID($E926,6,2))</f>
        <v/>
      </c>
      <c r="G926">
        <f>IF(OR($E926="",$E926="نامعتبر",Sync!$Y923=""),"",Sync!$Y923)</f>
        <v/>
      </c>
      <c r="H926">
        <f>IF($G926="","",IF(Sync!$X923="","",Sync!$X923))</f>
        <v/>
      </c>
      <c r="I926">
        <f>IF($G926="","",IFERROR(VLOOKUP(Sync!$X923,OpTbl,3,0),""))</f>
        <v/>
      </c>
      <c r="J926">
        <f>IF(OR($G926="",Sync!$Z923=""),"",Sync!$Z923)</f>
        <v/>
      </c>
      <c r="K926">
        <f>IF(OR($G926="",Sync!$AA923=""),"",Sync!$AA923)</f>
        <v/>
      </c>
      <c r="L926">
        <f>IF($G926="",0,IF(Sync!$AB923="",0,Sync!$AB923))</f>
        <v/>
      </c>
      <c r="M926">
        <f>IF($G926="",0,IF(Sync!$AC923="",0,Sync!$AC923))</f>
        <v/>
      </c>
      <c r="N926">
        <f>IF($G926="","",IF($H926="مرجوعی خرید",-1,1)*($L926-$M926*IFERROR(VLOOKUP("P01",ParamTbl,3,0),1.5))*(1-IF($I926="خرید",IFERROR(VLOOKUP("P02",ParamTbl,3,0),1),0)/100))</f>
        <v/>
      </c>
      <c r="O926">
        <f>IF($G926="",0,IF($H926="مرجوعی خرید",-1,1)*IF(Sync!$AD923="",0,Sync!$AD923))</f>
        <v/>
      </c>
      <c r="P926">
        <f>IF(OR($G926="",Sync!$W923=""),"",Sync!$W923)</f>
        <v/>
      </c>
      <c r="Q926">
        <f>IF(OR($G926="",Sync!$AE923=""),"",Sync!$AE923)</f>
        <v/>
      </c>
      <c r="R926">
        <f>IF($G926="","",IF(Sync!$V923="","0000",IF(AND(ISNUMBER(Sync!$V923),Sync!$V923&gt;=0,Sync!$V923&lt;1),RIGHT("00"&amp;HOUR(Sync!$V923),2)&amp;RIGHT("00"&amp;MINUTE(Sync!$V923),2),IFERROR(RIGHT("00"&amp;VALUE(LEFT(Sync!$V923,FIND(":",Sync!$V923)-1)),2)&amp;RIGHT("00"&amp;VALUE(MID(Sync!$V923,FIND(":",Sync!$V923)+1,2)),2),"0000"))))</f>
        <v/>
      </c>
    </row>
    <row r="927">
      <c r="A927">
        <f>IF(Sync!$U924="","",Sync!$U924)</f>
        <v/>
      </c>
      <c r="B927">
        <f>IF($A927="","",IF(ISNUMBER($A927),IF(AND($A927&gt;=10000101,$A927&lt;=99991231),INT($A927/10000),""),IFERROR(VALUE(TRIM(LEFT($A927,FIND("/",$A927)-1))),"")))</f>
        <v/>
      </c>
      <c r="C927">
        <f>IF(OR($A927="",$B927=""),"",IF(ISNUMBER($A927),INT(MOD($A927,10000)/100),IFERROR(VALUE(TRIM(LEFT(MID($A927,FIND("/",$A927)+1,20),FIND("/",MID($A927,FIND("/",$A927)+1,20))-1))),"")))</f>
        <v/>
      </c>
      <c r="D927">
        <f>IF(OR($A927="",$B927=""),"",IF(ISNUMBER($A927),MOD($A927,100),IFERROR(VALUE(TRIM(MID(MID($A927,FIND("/",$A927)+1,20),FIND("/",MID($A927,FIND("/",$A927)+1,20))+1,20))),"")))</f>
        <v/>
      </c>
      <c r="E927">
        <f>IF($A927="","",IF(OR($B927="",$C927="",$D927="",$B927&lt;1300,$B927&gt;1500,$C927&lt;1,$C927&gt;12,$D927&lt;1,$D927&gt;31),"نامعتبر",RIGHT("0000"&amp;$B927,4)&amp;"/"&amp;RIGHT("00"&amp;$C927,2)&amp;"/"&amp;RIGHT("00"&amp;$D927,2)))</f>
        <v/>
      </c>
      <c r="F927">
        <f>IF(OR($E927="",$E927="نامعتبر"),"",LEFT($E927,4)&amp;"/"&amp;MID($E927,6,2))</f>
        <v/>
      </c>
      <c r="G927">
        <f>IF(OR($E927="",$E927="نامعتبر",Sync!$Y924=""),"",Sync!$Y924)</f>
        <v/>
      </c>
      <c r="H927">
        <f>IF($G927="","",IF(Sync!$X924="","",Sync!$X924))</f>
        <v/>
      </c>
      <c r="I927">
        <f>IF($G927="","",IFERROR(VLOOKUP(Sync!$X924,OpTbl,3,0),""))</f>
        <v/>
      </c>
      <c r="J927">
        <f>IF(OR($G927="",Sync!$Z924=""),"",Sync!$Z924)</f>
        <v/>
      </c>
      <c r="K927">
        <f>IF(OR($G927="",Sync!$AA924=""),"",Sync!$AA924)</f>
        <v/>
      </c>
      <c r="L927">
        <f>IF($G927="",0,IF(Sync!$AB924="",0,Sync!$AB924))</f>
        <v/>
      </c>
      <c r="M927">
        <f>IF($G927="",0,IF(Sync!$AC924="",0,Sync!$AC924))</f>
        <v/>
      </c>
      <c r="N927">
        <f>IF($G927="","",IF($H927="مرجوعی خرید",-1,1)*($L927-$M927*IFERROR(VLOOKUP("P01",ParamTbl,3,0),1.5))*(1-IF($I927="خرید",IFERROR(VLOOKUP("P02",ParamTbl,3,0),1),0)/100))</f>
        <v/>
      </c>
      <c r="O927">
        <f>IF($G927="",0,IF($H927="مرجوعی خرید",-1,1)*IF(Sync!$AD924="",0,Sync!$AD924))</f>
        <v/>
      </c>
      <c r="P927">
        <f>IF(OR($G927="",Sync!$W924=""),"",Sync!$W924)</f>
        <v/>
      </c>
      <c r="Q927">
        <f>IF(OR($G927="",Sync!$AE924=""),"",Sync!$AE924)</f>
        <v/>
      </c>
      <c r="R927">
        <f>IF($G927="","",IF(Sync!$V924="","0000",IF(AND(ISNUMBER(Sync!$V924),Sync!$V924&gt;=0,Sync!$V924&lt;1),RIGHT("00"&amp;HOUR(Sync!$V924),2)&amp;RIGHT("00"&amp;MINUTE(Sync!$V924),2),IFERROR(RIGHT("00"&amp;VALUE(LEFT(Sync!$V924,FIND(":",Sync!$V924)-1)),2)&amp;RIGHT("00"&amp;VALUE(MID(Sync!$V924,FIND(":",Sync!$V924)+1,2)),2),"0000"))))</f>
        <v/>
      </c>
    </row>
    <row r="928">
      <c r="A928">
        <f>IF(Sync!$U925="","",Sync!$U925)</f>
        <v/>
      </c>
      <c r="B928">
        <f>IF($A928="","",IF(ISNUMBER($A928),IF(AND($A928&gt;=10000101,$A928&lt;=99991231),INT($A928/10000),""),IFERROR(VALUE(TRIM(LEFT($A928,FIND("/",$A928)-1))),"")))</f>
        <v/>
      </c>
      <c r="C928">
        <f>IF(OR($A928="",$B928=""),"",IF(ISNUMBER($A928),INT(MOD($A928,10000)/100),IFERROR(VALUE(TRIM(LEFT(MID($A928,FIND("/",$A928)+1,20),FIND("/",MID($A928,FIND("/",$A928)+1,20))-1))),"")))</f>
        <v/>
      </c>
      <c r="D928">
        <f>IF(OR($A928="",$B928=""),"",IF(ISNUMBER($A928),MOD($A928,100),IFERROR(VALUE(TRIM(MID(MID($A928,FIND("/",$A928)+1,20),FIND("/",MID($A928,FIND("/",$A928)+1,20))+1,20))),"")))</f>
        <v/>
      </c>
      <c r="E928">
        <f>IF($A928="","",IF(OR($B928="",$C928="",$D928="",$B928&lt;1300,$B928&gt;1500,$C928&lt;1,$C928&gt;12,$D928&lt;1,$D928&gt;31),"نامعتبر",RIGHT("0000"&amp;$B928,4)&amp;"/"&amp;RIGHT("00"&amp;$C928,2)&amp;"/"&amp;RIGHT("00"&amp;$D928,2)))</f>
        <v/>
      </c>
      <c r="F928">
        <f>IF(OR($E928="",$E928="نامعتبر"),"",LEFT($E928,4)&amp;"/"&amp;MID($E928,6,2))</f>
        <v/>
      </c>
      <c r="G928">
        <f>IF(OR($E928="",$E928="نامعتبر",Sync!$Y925=""),"",Sync!$Y925)</f>
        <v/>
      </c>
      <c r="H928">
        <f>IF($G928="","",IF(Sync!$X925="","",Sync!$X925))</f>
        <v/>
      </c>
      <c r="I928">
        <f>IF($G928="","",IFERROR(VLOOKUP(Sync!$X925,OpTbl,3,0),""))</f>
        <v/>
      </c>
      <c r="J928">
        <f>IF(OR($G928="",Sync!$Z925=""),"",Sync!$Z925)</f>
        <v/>
      </c>
      <c r="K928">
        <f>IF(OR($G928="",Sync!$AA925=""),"",Sync!$AA925)</f>
        <v/>
      </c>
      <c r="L928">
        <f>IF($G928="",0,IF(Sync!$AB925="",0,Sync!$AB925))</f>
        <v/>
      </c>
      <c r="M928">
        <f>IF($G928="",0,IF(Sync!$AC925="",0,Sync!$AC925))</f>
        <v/>
      </c>
      <c r="N928">
        <f>IF($G928="","",IF($H928="مرجوعی خرید",-1,1)*($L928-$M928*IFERROR(VLOOKUP("P01",ParamTbl,3,0),1.5))*(1-IF($I928="خرید",IFERROR(VLOOKUP("P02",ParamTbl,3,0),1),0)/100))</f>
        <v/>
      </c>
      <c r="O928">
        <f>IF($G928="",0,IF($H928="مرجوعی خرید",-1,1)*IF(Sync!$AD925="",0,Sync!$AD925))</f>
        <v/>
      </c>
      <c r="P928">
        <f>IF(OR($G928="",Sync!$W925=""),"",Sync!$W925)</f>
        <v/>
      </c>
      <c r="Q928">
        <f>IF(OR($G928="",Sync!$AE925=""),"",Sync!$AE925)</f>
        <v/>
      </c>
      <c r="R928">
        <f>IF($G928="","",IF(Sync!$V925="","0000",IF(AND(ISNUMBER(Sync!$V925),Sync!$V925&gt;=0,Sync!$V925&lt;1),RIGHT("00"&amp;HOUR(Sync!$V925),2)&amp;RIGHT("00"&amp;MINUTE(Sync!$V925),2),IFERROR(RIGHT("00"&amp;VALUE(LEFT(Sync!$V925,FIND(":",Sync!$V925)-1)),2)&amp;RIGHT("00"&amp;VALUE(MID(Sync!$V925,FIND(":",Sync!$V925)+1,2)),2),"0000"))))</f>
        <v/>
      </c>
    </row>
    <row r="929">
      <c r="A929">
        <f>IF(Sync!$U926="","",Sync!$U926)</f>
        <v/>
      </c>
      <c r="B929">
        <f>IF($A929="","",IF(ISNUMBER($A929),IF(AND($A929&gt;=10000101,$A929&lt;=99991231),INT($A929/10000),""),IFERROR(VALUE(TRIM(LEFT($A929,FIND("/",$A929)-1))),"")))</f>
        <v/>
      </c>
      <c r="C929">
        <f>IF(OR($A929="",$B929=""),"",IF(ISNUMBER($A929),INT(MOD($A929,10000)/100),IFERROR(VALUE(TRIM(LEFT(MID($A929,FIND("/",$A929)+1,20),FIND("/",MID($A929,FIND("/",$A929)+1,20))-1))),"")))</f>
        <v/>
      </c>
      <c r="D929">
        <f>IF(OR($A929="",$B929=""),"",IF(ISNUMBER($A929),MOD($A929,100),IFERROR(VALUE(TRIM(MID(MID($A929,FIND("/",$A929)+1,20),FIND("/",MID($A929,FIND("/",$A929)+1,20))+1,20))),"")))</f>
        <v/>
      </c>
      <c r="E929">
        <f>IF($A929="","",IF(OR($B929="",$C929="",$D929="",$B929&lt;1300,$B929&gt;1500,$C929&lt;1,$C929&gt;12,$D929&lt;1,$D929&gt;31),"نامعتبر",RIGHT("0000"&amp;$B929,4)&amp;"/"&amp;RIGHT("00"&amp;$C929,2)&amp;"/"&amp;RIGHT("00"&amp;$D929,2)))</f>
        <v/>
      </c>
      <c r="F929">
        <f>IF(OR($E929="",$E929="نامعتبر"),"",LEFT($E929,4)&amp;"/"&amp;MID($E929,6,2))</f>
        <v/>
      </c>
      <c r="G929">
        <f>IF(OR($E929="",$E929="نامعتبر",Sync!$Y926=""),"",Sync!$Y926)</f>
        <v/>
      </c>
      <c r="H929">
        <f>IF($G929="","",IF(Sync!$X926="","",Sync!$X926))</f>
        <v/>
      </c>
      <c r="I929">
        <f>IF($G929="","",IFERROR(VLOOKUP(Sync!$X926,OpTbl,3,0),""))</f>
        <v/>
      </c>
      <c r="J929">
        <f>IF(OR($G929="",Sync!$Z926=""),"",Sync!$Z926)</f>
        <v/>
      </c>
      <c r="K929">
        <f>IF(OR($G929="",Sync!$AA926=""),"",Sync!$AA926)</f>
        <v/>
      </c>
      <c r="L929">
        <f>IF($G929="",0,IF(Sync!$AB926="",0,Sync!$AB926))</f>
        <v/>
      </c>
      <c r="M929">
        <f>IF($G929="",0,IF(Sync!$AC926="",0,Sync!$AC926))</f>
        <v/>
      </c>
      <c r="N929">
        <f>IF($G929="","",IF($H929="مرجوعی خرید",-1,1)*($L929-$M929*IFERROR(VLOOKUP("P01",ParamTbl,3,0),1.5))*(1-IF($I929="خرید",IFERROR(VLOOKUP("P02",ParamTbl,3,0),1),0)/100))</f>
        <v/>
      </c>
      <c r="O929">
        <f>IF($G929="",0,IF($H929="مرجوعی خرید",-1,1)*IF(Sync!$AD926="",0,Sync!$AD926))</f>
        <v/>
      </c>
      <c r="P929">
        <f>IF(OR($G929="",Sync!$W926=""),"",Sync!$W926)</f>
        <v/>
      </c>
      <c r="Q929">
        <f>IF(OR($G929="",Sync!$AE926=""),"",Sync!$AE926)</f>
        <v/>
      </c>
      <c r="R929">
        <f>IF($G929="","",IF(Sync!$V926="","0000",IF(AND(ISNUMBER(Sync!$V926),Sync!$V926&gt;=0,Sync!$V926&lt;1),RIGHT("00"&amp;HOUR(Sync!$V926),2)&amp;RIGHT("00"&amp;MINUTE(Sync!$V926),2),IFERROR(RIGHT("00"&amp;VALUE(LEFT(Sync!$V926,FIND(":",Sync!$V926)-1)),2)&amp;RIGHT("00"&amp;VALUE(MID(Sync!$V926,FIND(":",Sync!$V926)+1,2)),2),"0000"))))</f>
        <v/>
      </c>
    </row>
    <row r="930">
      <c r="A930">
        <f>IF(Sync!$U927="","",Sync!$U927)</f>
        <v/>
      </c>
      <c r="B930">
        <f>IF($A930="","",IF(ISNUMBER($A930),IF(AND($A930&gt;=10000101,$A930&lt;=99991231),INT($A930/10000),""),IFERROR(VALUE(TRIM(LEFT($A930,FIND("/",$A930)-1))),"")))</f>
        <v/>
      </c>
      <c r="C930">
        <f>IF(OR($A930="",$B930=""),"",IF(ISNUMBER($A930),INT(MOD($A930,10000)/100),IFERROR(VALUE(TRIM(LEFT(MID($A930,FIND("/",$A930)+1,20),FIND("/",MID($A930,FIND("/",$A930)+1,20))-1))),"")))</f>
        <v/>
      </c>
      <c r="D930">
        <f>IF(OR($A930="",$B930=""),"",IF(ISNUMBER($A930),MOD($A930,100),IFERROR(VALUE(TRIM(MID(MID($A930,FIND("/",$A930)+1,20),FIND("/",MID($A930,FIND("/",$A930)+1,20))+1,20))),"")))</f>
        <v/>
      </c>
      <c r="E930">
        <f>IF($A930="","",IF(OR($B930="",$C930="",$D930="",$B930&lt;1300,$B930&gt;1500,$C930&lt;1,$C930&gt;12,$D930&lt;1,$D930&gt;31),"نامعتبر",RIGHT("0000"&amp;$B930,4)&amp;"/"&amp;RIGHT("00"&amp;$C930,2)&amp;"/"&amp;RIGHT("00"&amp;$D930,2)))</f>
        <v/>
      </c>
      <c r="F930">
        <f>IF(OR($E930="",$E930="نامعتبر"),"",LEFT($E930,4)&amp;"/"&amp;MID($E930,6,2))</f>
        <v/>
      </c>
      <c r="G930">
        <f>IF(OR($E930="",$E930="نامعتبر",Sync!$Y927=""),"",Sync!$Y927)</f>
        <v/>
      </c>
      <c r="H930">
        <f>IF($G930="","",IF(Sync!$X927="","",Sync!$X927))</f>
        <v/>
      </c>
      <c r="I930">
        <f>IF($G930="","",IFERROR(VLOOKUP(Sync!$X927,OpTbl,3,0),""))</f>
        <v/>
      </c>
      <c r="J930">
        <f>IF(OR($G930="",Sync!$Z927=""),"",Sync!$Z927)</f>
        <v/>
      </c>
      <c r="K930">
        <f>IF(OR($G930="",Sync!$AA927=""),"",Sync!$AA927)</f>
        <v/>
      </c>
      <c r="L930">
        <f>IF($G930="",0,IF(Sync!$AB927="",0,Sync!$AB927))</f>
        <v/>
      </c>
      <c r="M930">
        <f>IF($G930="",0,IF(Sync!$AC927="",0,Sync!$AC927))</f>
        <v/>
      </c>
      <c r="N930">
        <f>IF($G930="","",IF($H930="مرجوعی خرید",-1,1)*($L930-$M930*IFERROR(VLOOKUP("P01",ParamTbl,3,0),1.5))*(1-IF($I930="خرید",IFERROR(VLOOKUP("P02",ParamTbl,3,0),1),0)/100))</f>
        <v/>
      </c>
      <c r="O930">
        <f>IF($G930="",0,IF($H930="مرجوعی خرید",-1,1)*IF(Sync!$AD927="",0,Sync!$AD927))</f>
        <v/>
      </c>
      <c r="P930">
        <f>IF(OR($G930="",Sync!$W927=""),"",Sync!$W927)</f>
        <v/>
      </c>
      <c r="Q930">
        <f>IF(OR($G930="",Sync!$AE927=""),"",Sync!$AE927)</f>
        <v/>
      </c>
      <c r="R930">
        <f>IF($G930="","",IF(Sync!$V927="","0000",IF(AND(ISNUMBER(Sync!$V927),Sync!$V927&gt;=0,Sync!$V927&lt;1),RIGHT("00"&amp;HOUR(Sync!$V927),2)&amp;RIGHT("00"&amp;MINUTE(Sync!$V927),2),IFERROR(RIGHT("00"&amp;VALUE(LEFT(Sync!$V927,FIND(":",Sync!$V927)-1)),2)&amp;RIGHT("00"&amp;VALUE(MID(Sync!$V927,FIND(":",Sync!$V927)+1,2)),2),"0000"))))</f>
        <v/>
      </c>
    </row>
    <row r="931">
      <c r="A931">
        <f>IF(Sync!$U928="","",Sync!$U928)</f>
        <v/>
      </c>
      <c r="B931">
        <f>IF($A931="","",IF(ISNUMBER($A931),IF(AND($A931&gt;=10000101,$A931&lt;=99991231),INT($A931/10000),""),IFERROR(VALUE(TRIM(LEFT($A931,FIND("/",$A931)-1))),"")))</f>
        <v/>
      </c>
      <c r="C931">
        <f>IF(OR($A931="",$B931=""),"",IF(ISNUMBER($A931),INT(MOD($A931,10000)/100),IFERROR(VALUE(TRIM(LEFT(MID($A931,FIND("/",$A931)+1,20),FIND("/",MID($A931,FIND("/",$A931)+1,20))-1))),"")))</f>
        <v/>
      </c>
      <c r="D931">
        <f>IF(OR($A931="",$B931=""),"",IF(ISNUMBER($A931),MOD($A931,100),IFERROR(VALUE(TRIM(MID(MID($A931,FIND("/",$A931)+1,20),FIND("/",MID($A931,FIND("/",$A931)+1,20))+1,20))),"")))</f>
        <v/>
      </c>
      <c r="E931">
        <f>IF($A931="","",IF(OR($B931="",$C931="",$D931="",$B931&lt;1300,$B931&gt;1500,$C931&lt;1,$C931&gt;12,$D931&lt;1,$D931&gt;31),"نامعتبر",RIGHT("0000"&amp;$B931,4)&amp;"/"&amp;RIGHT("00"&amp;$C931,2)&amp;"/"&amp;RIGHT("00"&amp;$D931,2)))</f>
        <v/>
      </c>
      <c r="F931">
        <f>IF(OR($E931="",$E931="نامعتبر"),"",LEFT($E931,4)&amp;"/"&amp;MID($E931,6,2))</f>
        <v/>
      </c>
      <c r="G931">
        <f>IF(OR($E931="",$E931="نامعتبر",Sync!$Y928=""),"",Sync!$Y928)</f>
        <v/>
      </c>
      <c r="H931">
        <f>IF($G931="","",IF(Sync!$X928="","",Sync!$X928))</f>
        <v/>
      </c>
      <c r="I931">
        <f>IF($G931="","",IFERROR(VLOOKUP(Sync!$X928,OpTbl,3,0),""))</f>
        <v/>
      </c>
      <c r="J931">
        <f>IF(OR($G931="",Sync!$Z928=""),"",Sync!$Z928)</f>
        <v/>
      </c>
      <c r="K931">
        <f>IF(OR($G931="",Sync!$AA928=""),"",Sync!$AA928)</f>
        <v/>
      </c>
      <c r="L931">
        <f>IF($G931="",0,IF(Sync!$AB928="",0,Sync!$AB928))</f>
        <v/>
      </c>
      <c r="M931">
        <f>IF($G931="",0,IF(Sync!$AC928="",0,Sync!$AC928))</f>
        <v/>
      </c>
      <c r="N931">
        <f>IF($G931="","",IF($H931="مرجوعی خرید",-1,1)*($L931-$M931*IFERROR(VLOOKUP("P01",ParamTbl,3,0),1.5))*(1-IF($I931="خرید",IFERROR(VLOOKUP("P02",ParamTbl,3,0),1),0)/100))</f>
        <v/>
      </c>
      <c r="O931">
        <f>IF($G931="",0,IF($H931="مرجوعی خرید",-1,1)*IF(Sync!$AD928="",0,Sync!$AD928))</f>
        <v/>
      </c>
      <c r="P931">
        <f>IF(OR($G931="",Sync!$W928=""),"",Sync!$W928)</f>
        <v/>
      </c>
      <c r="Q931">
        <f>IF(OR($G931="",Sync!$AE928=""),"",Sync!$AE928)</f>
        <v/>
      </c>
      <c r="R931">
        <f>IF($G931="","",IF(Sync!$V928="","0000",IF(AND(ISNUMBER(Sync!$V928),Sync!$V928&gt;=0,Sync!$V928&lt;1),RIGHT("00"&amp;HOUR(Sync!$V928),2)&amp;RIGHT("00"&amp;MINUTE(Sync!$V928),2),IFERROR(RIGHT("00"&amp;VALUE(LEFT(Sync!$V928,FIND(":",Sync!$V928)-1)),2)&amp;RIGHT("00"&amp;VALUE(MID(Sync!$V928,FIND(":",Sync!$V928)+1,2)),2),"0000"))))</f>
        <v/>
      </c>
    </row>
    <row r="932">
      <c r="A932">
        <f>IF(Sync!$U929="","",Sync!$U929)</f>
        <v/>
      </c>
      <c r="B932">
        <f>IF($A932="","",IF(ISNUMBER($A932),IF(AND($A932&gt;=10000101,$A932&lt;=99991231),INT($A932/10000),""),IFERROR(VALUE(TRIM(LEFT($A932,FIND("/",$A932)-1))),"")))</f>
        <v/>
      </c>
      <c r="C932">
        <f>IF(OR($A932="",$B932=""),"",IF(ISNUMBER($A932),INT(MOD($A932,10000)/100),IFERROR(VALUE(TRIM(LEFT(MID($A932,FIND("/",$A932)+1,20),FIND("/",MID($A932,FIND("/",$A932)+1,20))-1))),"")))</f>
        <v/>
      </c>
      <c r="D932">
        <f>IF(OR($A932="",$B932=""),"",IF(ISNUMBER($A932),MOD($A932,100),IFERROR(VALUE(TRIM(MID(MID($A932,FIND("/",$A932)+1,20),FIND("/",MID($A932,FIND("/",$A932)+1,20))+1,20))),"")))</f>
        <v/>
      </c>
      <c r="E932">
        <f>IF($A932="","",IF(OR($B932="",$C932="",$D932="",$B932&lt;1300,$B932&gt;1500,$C932&lt;1,$C932&gt;12,$D932&lt;1,$D932&gt;31),"نامعتبر",RIGHT("0000"&amp;$B932,4)&amp;"/"&amp;RIGHT("00"&amp;$C932,2)&amp;"/"&amp;RIGHT("00"&amp;$D932,2)))</f>
        <v/>
      </c>
      <c r="F932">
        <f>IF(OR($E932="",$E932="نامعتبر"),"",LEFT($E932,4)&amp;"/"&amp;MID($E932,6,2))</f>
        <v/>
      </c>
      <c r="G932">
        <f>IF(OR($E932="",$E932="نامعتبر",Sync!$Y929=""),"",Sync!$Y929)</f>
        <v/>
      </c>
      <c r="H932">
        <f>IF($G932="","",IF(Sync!$X929="","",Sync!$X929))</f>
        <v/>
      </c>
      <c r="I932">
        <f>IF($G932="","",IFERROR(VLOOKUP(Sync!$X929,OpTbl,3,0),""))</f>
        <v/>
      </c>
      <c r="J932">
        <f>IF(OR($G932="",Sync!$Z929=""),"",Sync!$Z929)</f>
        <v/>
      </c>
      <c r="K932">
        <f>IF(OR($G932="",Sync!$AA929=""),"",Sync!$AA929)</f>
        <v/>
      </c>
      <c r="L932">
        <f>IF($G932="",0,IF(Sync!$AB929="",0,Sync!$AB929))</f>
        <v/>
      </c>
      <c r="M932">
        <f>IF($G932="",0,IF(Sync!$AC929="",0,Sync!$AC929))</f>
        <v/>
      </c>
      <c r="N932">
        <f>IF($G932="","",IF($H932="مرجوعی خرید",-1,1)*($L932-$M932*IFERROR(VLOOKUP("P01",ParamTbl,3,0),1.5))*(1-IF($I932="خرید",IFERROR(VLOOKUP("P02",ParamTbl,3,0),1),0)/100))</f>
        <v/>
      </c>
      <c r="O932">
        <f>IF($G932="",0,IF($H932="مرجوعی خرید",-1,1)*IF(Sync!$AD929="",0,Sync!$AD929))</f>
        <v/>
      </c>
      <c r="P932">
        <f>IF(OR($G932="",Sync!$W929=""),"",Sync!$W929)</f>
        <v/>
      </c>
      <c r="Q932">
        <f>IF(OR($G932="",Sync!$AE929=""),"",Sync!$AE929)</f>
        <v/>
      </c>
      <c r="R932">
        <f>IF($G932="","",IF(Sync!$V929="","0000",IF(AND(ISNUMBER(Sync!$V929),Sync!$V929&gt;=0,Sync!$V929&lt;1),RIGHT("00"&amp;HOUR(Sync!$V929),2)&amp;RIGHT("00"&amp;MINUTE(Sync!$V929),2),IFERROR(RIGHT("00"&amp;VALUE(LEFT(Sync!$V929,FIND(":",Sync!$V929)-1)),2)&amp;RIGHT("00"&amp;VALUE(MID(Sync!$V929,FIND(":",Sync!$V929)+1,2)),2),"0000"))))</f>
        <v/>
      </c>
    </row>
    <row r="933">
      <c r="A933">
        <f>IF(Sync!$U930="","",Sync!$U930)</f>
        <v/>
      </c>
      <c r="B933">
        <f>IF($A933="","",IF(ISNUMBER($A933),IF(AND($A933&gt;=10000101,$A933&lt;=99991231),INT($A933/10000),""),IFERROR(VALUE(TRIM(LEFT($A933,FIND("/",$A933)-1))),"")))</f>
        <v/>
      </c>
      <c r="C933">
        <f>IF(OR($A933="",$B933=""),"",IF(ISNUMBER($A933),INT(MOD($A933,10000)/100),IFERROR(VALUE(TRIM(LEFT(MID($A933,FIND("/",$A933)+1,20),FIND("/",MID($A933,FIND("/",$A933)+1,20))-1))),"")))</f>
        <v/>
      </c>
      <c r="D933">
        <f>IF(OR($A933="",$B933=""),"",IF(ISNUMBER($A933),MOD($A933,100),IFERROR(VALUE(TRIM(MID(MID($A933,FIND("/",$A933)+1,20),FIND("/",MID($A933,FIND("/",$A933)+1,20))+1,20))),"")))</f>
        <v/>
      </c>
      <c r="E933">
        <f>IF($A933="","",IF(OR($B933="",$C933="",$D933="",$B933&lt;1300,$B933&gt;1500,$C933&lt;1,$C933&gt;12,$D933&lt;1,$D933&gt;31),"نامعتبر",RIGHT("0000"&amp;$B933,4)&amp;"/"&amp;RIGHT("00"&amp;$C933,2)&amp;"/"&amp;RIGHT("00"&amp;$D933,2)))</f>
        <v/>
      </c>
      <c r="F933">
        <f>IF(OR($E933="",$E933="نامعتبر"),"",LEFT($E933,4)&amp;"/"&amp;MID($E933,6,2))</f>
        <v/>
      </c>
      <c r="G933">
        <f>IF(OR($E933="",$E933="نامعتبر",Sync!$Y930=""),"",Sync!$Y930)</f>
        <v/>
      </c>
      <c r="H933">
        <f>IF($G933="","",IF(Sync!$X930="","",Sync!$X930))</f>
        <v/>
      </c>
      <c r="I933">
        <f>IF($G933="","",IFERROR(VLOOKUP(Sync!$X930,OpTbl,3,0),""))</f>
        <v/>
      </c>
      <c r="J933">
        <f>IF(OR($G933="",Sync!$Z930=""),"",Sync!$Z930)</f>
        <v/>
      </c>
      <c r="K933">
        <f>IF(OR($G933="",Sync!$AA930=""),"",Sync!$AA930)</f>
        <v/>
      </c>
      <c r="L933">
        <f>IF($G933="",0,IF(Sync!$AB930="",0,Sync!$AB930))</f>
        <v/>
      </c>
      <c r="M933">
        <f>IF($G933="",0,IF(Sync!$AC930="",0,Sync!$AC930))</f>
        <v/>
      </c>
      <c r="N933">
        <f>IF($G933="","",IF($H933="مرجوعی خرید",-1,1)*($L933-$M933*IFERROR(VLOOKUP("P01",ParamTbl,3,0),1.5))*(1-IF($I933="خرید",IFERROR(VLOOKUP("P02",ParamTbl,3,0),1),0)/100))</f>
        <v/>
      </c>
      <c r="O933">
        <f>IF($G933="",0,IF($H933="مرجوعی خرید",-1,1)*IF(Sync!$AD930="",0,Sync!$AD930))</f>
        <v/>
      </c>
      <c r="P933">
        <f>IF(OR($G933="",Sync!$W930=""),"",Sync!$W930)</f>
        <v/>
      </c>
      <c r="Q933">
        <f>IF(OR($G933="",Sync!$AE930=""),"",Sync!$AE930)</f>
        <v/>
      </c>
      <c r="R933">
        <f>IF($G933="","",IF(Sync!$V930="","0000",IF(AND(ISNUMBER(Sync!$V930),Sync!$V930&gt;=0,Sync!$V930&lt;1),RIGHT("00"&amp;HOUR(Sync!$V930),2)&amp;RIGHT("00"&amp;MINUTE(Sync!$V930),2),IFERROR(RIGHT("00"&amp;VALUE(LEFT(Sync!$V930,FIND(":",Sync!$V930)-1)),2)&amp;RIGHT("00"&amp;VALUE(MID(Sync!$V930,FIND(":",Sync!$V930)+1,2)),2),"0000"))))</f>
        <v/>
      </c>
    </row>
    <row r="934">
      <c r="A934">
        <f>IF(Sync!$U931="","",Sync!$U931)</f>
        <v/>
      </c>
      <c r="B934">
        <f>IF($A934="","",IF(ISNUMBER($A934),IF(AND($A934&gt;=10000101,$A934&lt;=99991231),INT($A934/10000),""),IFERROR(VALUE(TRIM(LEFT($A934,FIND("/",$A934)-1))),"")))</f>
        <v/>
      </c>
      <c r="C934">
        <f>IF(OR($A934="",$B934=""),"",IF(ISNUMBER($A934),INT(MOD($A934,10000)/100),IFERROR(VALUE(TRIM(LEFT(MID($A934,FIND("/",$A934)+1,20),FIND("/",MID($A934,FIND("/",$A934)+1,20))-1))),"")))</f>
        <v/>
      </c>
      <c r="D934">
        <f>IF(OR($A934="",$B934=""),"",IF(ISNUMBER($A934),MOD($A934,100),IFERROR(VALUE(TRIM(MID(MID($A934,FIND("/",$A934)+1,20),FIND("/",MID($A934,FIND("/",$A934)+1,20))+1,20))),"")))</f>
        <v/>
      </c>
      <c r="E934">
        <f>IF($A934="","",IF(OR($B934="",$C934="",$D934="",$B934&lt;1300,$B934&gt;1500,$C934&lt;1,$C934&gt;12,$D934&lt;1,$D934&gt;31),"نامعتبر",RIGHT("0000"&amp;$B934,4)&amp;"/"&amp;RIGHT("00"&amp;$C934,2)&amp;"/"&amp;RIGHT("00"&amp;$D934,2)))</f>
        <v/>
      </c>
      <c r="F934">
        <f>IF(OR($E934="",$E934="نامعتبر"),"",LEFT($E934,4)&amp;"/"&amp;MID($E934,6,2))</f>
        <v/>
      </c>
      <c r="G934">
        <f>IF(OR($E934="",$E934="نامعتبر",Sync!$Y931=""),"",Sync!$Y931)</f>
        <v/>
      </c>
      <c r="H934">
        <f>IF($G934="","",IF(Sync!$X931="","",Sync!$X931))</f>
        <v/>
      </c>
      <c r="I934">
        <f>IF($G934="","",IFERROR(VLOOKUP(Sync!$X931,OpTbl,3,0),""))</f>
        <v/>
      </c>
      <c r="J934">
        <f>IF(OR($G934="",Sync!$Z931=""),"",Sync!$Z931)</f>
        <v/>
      </c>
      <c r="K934">
        <f>IF(OR($G934="",Sync!$AA931=""),"",Sync!$AA931)</f>
        <v/>
      </c>
      <c r="L934">
        <f>IF($G934="",0,IF(Sync!$AB931="",0,Sync!$AB931))</f>
        <v/>
      </c>
      <c r="M934">
        <f>IF($G934="",0,IF(Sync!$AC931="",0,Sync!$AC931))</f>
        <v/>
      </c>
      <c r="N934">
        <f>IF($G934="","",IF($H934="مرجوعی خرید",-1,1)*($L934-$M934*IFERROR(VLOOKUP("P01",ParamTbl,3,0),1.5))*(1-IF($I934="خرید",IFERROR(VLOOKUP("P02",ParamTbl,3,0),1),0)/100))</f>
        <v/>
      </c>
      <c r="O934">
        <f>IF($G934="",0,IF($H934="مرجوعی خرید",-1,1)*IF(Sync!$AD931="",0,Sync!$AD931))</f>
        <v/>
      </c>
      <c r="P934">
        <f>IF(OR($G934="",Sync!$W931=""),"",Sync!$W931)</f>
        <v/>
      </c>
      <c r="Q934">
        <f>IF(OR($G934="",Sync!$AE931=""),"",Sync!$AE931)</f>
        <v/>
      </c>
      <c r="R934">
        <f>IF($G934="","",IF(Sync!$V931="","0000",IF(AND(ISNUMBER(Sync!$V931),Sync!$V931&gt;=0,Sync!$V931&lt;1),RIGHT("00"&amp;HOUR(Sync!$V931),2)&amp;RIGHT("00"&amp;MINUTE(Sync!$V931),2),IFERROR(RIGHT("00"&amp;VALUE(LEFT(Sync!$V931,FIND(":",Sync!$V931)-1)),2)&amp;RIGHT("00"&amp;VALUE(MID(Sync!$V931,FIND(":",Sync!$V931)+1,2)),2),"0000"))))</f>
        <v/>
      </c>
    </row>
    <row r="935">
      <c r="A935">
        <f>IF(Sync!$U932="","",Sync!$U932)</f>
        <v/>
      </c>
      <c r="B935">
        <f>IF($A935="","",IF(ISNUMBER($A935),IF(AND($A935&gt;=10000101,$A935&lt;=99991231),INT($A935/10000),""),IFERROR(VALUE(TRIM(LEFT($A935,FIND("/",$A935)-1))),"")))</f>
        <v/>
      </c>
      <c r="C935">
        <f>IF(OR($A935="",$B935=""),"",IF(ISNUMBER($A935),INT(MOD($A935,10000)/100),IFERROR(VALUE(TRIM(LEFT(MID($A935,FIND("/",$A935)+1,20),FIND("/",MID($A935,FIND("/",$A935)+1,20))-1))),"")))</f>
        <v/>
      </c>
      <c r="D935">
        <f>IF(OR($A935="",$B935=""),"",IF(ISNUMBER($A935),MOD($A935,100),IFERROR(VALUE(TRIM(MID(MID($A935,FIND("/",$A935)+1,20),FIND("/",MID($A935,FIND("/",$A935)+1,20))+1,20))),"")))</f>
        <v/>
      </c>
      <c r="E935">
        <f>IF($A935="","",IF(OR($B935="",$C935="",$D935="",$B935&lt;1300,$B935&gt;1500,$C935&lt;1,$C935&gt;12,$D935&lt;1,$D935&gt;31),"نامعتبر",RIGHT("0000"&amp;$B935,4)&amp;"/"&amp;RIGHT("00"&amp;$C935,2)&amp;"/"&amp;RIGHT("00"&amp;$D935,2)))</f>
        <v/>
      </c>
      <c r="F935">
        <f>IF(OR($E935="",$E935="نامعتبر"),"",LEFT($E935,4)&amp;"/"&amp;MID($E935,6,2))</f>
        <v/>
      </c>
      <c r="G935">
        <f>IF(OR($E935="",$E935="نامعتبر",Sync!$Y932=""),"",Sync!$Y932)</f>
        <v/>
      </c>
      <c r="H935">
        <f>IF($G935="","",IF(Sync!$X932="","",Sync!$X932))</f>
        <v/>
      </c>
      <c r="I935">
        <f>IF($G935="","",IFERROR(VLOOKUP(Sync!$X932,OpTbl,3,0),""))</f>
        <v/>
      </c>
      <c r="J935">
        <f>IF(OR($G935="",Sync!$Z932=""),"",Sync!$Z932)</f>
        <v/>
      </c>
      <c r="K935">
        <f>IF(OR($G935="",Sync!$AA932=""),"",Sync!$AA932)</f>
        <v/>
      </c>
      <c r="L935">
        <f>IF($G935="",0,IF(Sync!$AB932="",0,Sync!$AB932))</f>
        <v/>
      </c>
      <c r="M935">
        <f>IF($G935="",0,IF(Sync!$AC932="",0,Sync!$AC932))</f>
        <v/>
      </c>
      <c r="N935">
        <f>IF($G935="","",IF($H935="مرجوعی خرید",-1,1)*($L935-$M935*IFERROR(VLOOKUP("P01",ParamTbl,3,0),1.5))*(1-IF($I935="خرید",IFERROR(VLOOKUP("P02",ParamTbl,3,0),1),0)/100))</f>
        <v/>
      </c>
      <c r="O935">
        <f>IF($G935="",0,IF($H935="مرجوعی خرید",-1,1)*IF(Sync!$AD932="",0,Sync!$AD932))</f>
        <v/>
      </c>
      <c r="P935">
        <f>IF(OR($G935="",Sync!$W932=""),"",Sync!$W932)</f>
        <v/>
      </c>
      <c r="Q935">
        <f>IF(OR($G935="",Sync!$AE932=""),"",Sync!$AE932)</f>
        <v/>
      </c>
      <c r="R935">
        <f>IF($G935="","",IF(Sync!$V932="","0000",IF(AND(ISNUMBER(Sync!$V932),Sync!$V932&gt;=0,Sync!$V932&lt;1),RIGHT("00"&amp;HOUR(Sync!$V932),2)&amp;RIGHT("00"&amp;MINUTE(Sync!$V932),2),IFERROR(RIGHT("00"&amp;VALUE(LEFT(Sync!$V932,FIND(":",Sync!$V932)-1)),2)&amp;RIGHT("00"&amp;VALUE(MID(Sync!$V932,FIND(":",Sync!$V932)+1,2)),2),"0000"))))</f>
        <v/>
      </c>
    </row>
    <row r="936">
      <c r="A936">
        <f>IF(Sync!$U933="","",Sync!$U933)</f>
        <v/>
      </c>
      <c r="B936">
        <f>IF($A936="","",IF(ISNUMBER($A936),IF(AND($A936&gt;=10000101,$A936&lt;=99991231),INT($A936/10000),""),IFERROR(VALUE(TRIM(LEFT($A936,FIND("/",$A936)-1))),"")))</f>
        <v/>
      </c>
      <c r="C936">
        <f>IF(OR($A936="",$B936=""),"",IF(ISNUMBER($A936),INT(MOD($A936,10000)/100),IFERROR(VALUE(TRIM(LEFT(MID($A936,FIND("/",$A936)+1,20),FIND("/",MID($A936,FIND("/",$A936)+1,20))-1))),"")))</f>
        <v/>
      </c>
      <c r="D936">
        <f>IF(OR($A936="",$B936=""),"",IF(ISNUMBER($A936),MOD($A936,100),IFERROR(VALUE(TRIM(MID(MID($A936,FIND("/",$A936)+1,20),FIND("/",MID($A936,FIND("/",$A936)+1,20))+1,20))),"")))</f>
        <v/>
      </c>
      <c r="E936">
        <f>IF($A936="","",IF(OR($B936="",$C936="",$D936="",$B936&lt;1300,$B936&gt;1500,$C936&lt;1,$C936&gt;12,$D936&lt;1,$D936&gt;31),"نامعتبر",RIGHT("0000"&amp;$B936,4)&amp;"/"&amp;RIGHT("00"&amp;$C936,2)&amp;"/"&amp;RIGHT("00"&amp;$D936,2)))</f>
        <v/>
      </c>
      <c r="F936">
        <f>IF(OR($E936="",$E936="نامعتبر"),"",LEFT($E936,4)&amp;"/"&amp;MID($E936,6,2))</f>
        <v/>
      </c>
      <c r="G936">
        <f>IF(OR($E936="",$E936="نامعتبر",Sync!$Y933=""),"",Sync!$Y933)</f>
        <v/>
      </c>
      <c r="H936">
        <f>IF($G936="","",IF(Sync!$X933="","",Sync!$X933))</f>
        <v/>
      </c>
      <c r="I936">
        <f>IF($G936="","",IFERROR(VLOOKUP(Sync!$X933,OpTbl,3,0),""))</f>
        <v/>
      </c>
      <c r="J936">
        <f>IF(OR($G936="",Sync!$Z933=""),"",Sync!$Z933)</f>
        <v/>
      </c>
      <c r="K936">
        <f>IF(OR($G936="",Sync!$AA933=""),"",Sync!$AA933)</f>
        <v/>
      </c>
      <c r="L936">
        <f>IF($G936="",0,IF(Sync!$AB933="",0,Sync!$AB933))</f>
        <v/>
      </c>
      <c r="M936">
        <f>IF($G936="",0,IF(Sync!$AC933="",0,Sync!$AC933))</f>
        <v/>
      </c>
      <c r="N936">
        <f>IF($G936="","",IF($H936="مرجوعی خرید",-1,1)*($L936-$M936*IFERROR(VLOOKUP("P01",ParamTbl,3,0),1.5))*(1-IF($I936="خرید",IFERROR(VLOOKUP("P02",ParamTbl,3,0),1),0)/100))</f>
        <v/>
      </c>
      <c r="O936">
        <f>IF($G936="",0,IF($H936="مرجوعی خرید",-1,1)*IF(Sync!$AD933="",0,Sync!$AD933))</f>
        <v/>
      </c>
      <c r="P936">
        <f>IF(OR($G936="",Sync!$W933=""),"",Sync!$W933)</f>
        <v/>
      </c>
      <c r="Q936">
        <f>IF(OR($G936="",Sync!$AE933=""),"",Sync!$AE933)</f>
        <v/>
      </c>
      <c r="R936">
        <f>IF($G936="","",IF(Sync!$V933="","0000",IF(AND(ISNUMBER(Sync!$V933),Sync!$V933&gt;=0,Sync!$V933&lt;1),RIGHT("00"&amp;HOUR(Sync!$V933),2)&amp;RIGHT("00"&amp;MINUTE(Sync!$V933),2),IFERROR(RIGHT("00"&amp;VALUE(LEFT(Sync!$V933,FIND(":",Sync!$V933)-1)),2)&amp;RIGHT("00"&amp;VALUE(MID(Sync!$V933,FIND(":",Sync!$V933)+1,2)),2),"0000"))))</f>
        <v/>
      </c>
    </row>
    <row r="937">
      <c r="A937">
        <f>IF(Sync!$U934="","",Sync!$U934)</f>
        <v/>
      </c>
      <c r="B937">
        <f>IF($A937="","",IF(ISNUMBER($A937),IF(AND($A937&gt;=10000101,$A937&lt;=99991231),INT($A937/10000),""),IFERROR(VALUE(TRIM(LEFT($A937,FIND("/",$A937)-1))),"")))</f>
        <v/>
      </c>
      <c r="C937">
        <f>IF(OR($A937="",$B937=""),"",IF(ISNUMBER($A937),INT(MOD($A937,10000)/100),IFERROR(VALUE(TRIM(LEFT(MID($A937,FIND("/",$A937)+1,20),FIND("/",MID($A937,FIND("/",$A937)+1,20))-1))),"")))</f>
        <v/>
      </c>
      <c r="D937">
        <f>IF(OR($A937="",$B937=""),"",IF(ISNUMBER($A937),MOD($A937,100),IFERROR(VALUE(TRIM(MID(MID($A937,FIND("/",$A937)+1,20),FIND("/",MID($A937,FIND("/",$A937)+1,20))+1,20))),"")))</f>
        <v/>
      </c>
      <c r="E937">
        <f>IF($A937="","",IF(OR($B937="",$C937="",$D937="",$B937&lt;1300,$B937&gt;1500,$C937&lt;1,$C937&gt;12,$D937&lt;1,$D937&gt;31),"نامعتبر",RIGHT("0000"&amp;$B937,4)&amp;"/"&amp;RIGHT("00"&amp;$C937,2)&amp;"/"&amp;RIGHT("00"&amp;$D937,2)))</f>
        <v/>
      </c>
      <c r="F937">
        <f>IF(OR($E937="",$E937="نامعتبر"),"",LEFT($E937,4)&amp;"/"&amp;MID($E937,6,2))</f>
        <v/>
      </c>
      <c r="G937">
        <f>IF(OR($E937="",$E937="نامعتبر",Sync!$Y934=""),"",Sync!$Y934)</f>
        <v/>
      </c>
      <c r="H937">
        <f>IF($G937="","",IF(Sync!$X934="","",Sync!$X934))</f>
        <v/>
      </c>
      <c r="I937">
        <f>IF($G937="","",IFERROR(VLOOKUP(Sync!$X934,OpTbl,3,0),""))</f>
        <v/>
      </c>
      <c r="J937">
        <f>IF(OR($G937="",Sync!$Z934=""),"",Sync!$Z934)</f>
        <v/>
      </c>
      <c r="K937">
        <f>IF(OR($G937="",Sync!$AA934=""),"",Sync!$AA934)</f>
        <v/>
      </c>
      <c r="L937">
        <f>IF($G937="",0,IF(Sync!$AB934="",0,Sync!$AB934))</f>
        <v/>
      </c>
      <c r="M937">
        <f>IF($G937="",0,IF(Sync!$AC934="",0,Sync!$AC934))</f>
        <v/>
      </c>
      <c r="N937">
        <f>IF($G937="","",IF($H937="مرجوعی خرید",-1,1)*($L937-$M937*IFERROR(VLOOKUP("P01",ParamTbl,3,0),1.5))*(1-IF($I937="خرید",IFERROR(VLOOKUP("P02",ParamTbl,3,0),1),0)/100))</f>
        <v/>
      </c>
      <c r="O937">
        <f>IF($G937="",0,IF($H937="مرجوعی خرید",-1,1)*IF(Sync!$AD934="",0,Sync!$AD934))</f>
        <v/>
      </c>
      <c r="P937">
        <f>IF(OR($G937="",Sync!$W934=""),"",Sync!$W934)</f>
        <v/>
      </c>
      <c r="Q937">
        <f>IF(OR($G937="",Sync!$AE934=""),"",Sync!$AE934)</f>
        <v/>
      </c>
      <c r="R937">
        <f>IF($G937="","",IF(Sync!$V934="","0000",IF(AND(ISNUMBER(Sync!$V934),Sync!$V934&gt;=0,Sync!$V934&lt;1),RIGHT("00"&amp;HOUR(Sync!$V934),2)&amp;RIGHT("00"&amp;MINUTE(Sync!$V934),2),IFERROR(RIGHT("00"&amp;VALUE(LEFT(Sync!$V934,FIND(":",Sync!$V934)-1)),2)&amp;RIGHT("00"&amp;VALUE(MID(Sync!$V934,FIND(":",Sync!$V934)+1,2)),2),"0000"))))</f>
        <v/>
      </c>
    </row>
    <row r="938">
      <c r="A938">
        <f>IF(Sync!$U935="","",Sync!$U935)</f>
        <v/>
      </c>
      <c r="B938">
        <f>IF($A938="","",IF(ISNUMBER($A938),IF(AND($A938&gt;=10000101,$A938&lt;=99991231),INT($A938/10000),""),IFERROR(VALUE(TRIM(LEFT($A938,FIND("/",$A938)-1))),"")))</f>
        <v/>
      </c>
      <c r="C938">
        <f>IF(OR($A938="",$B938=""),"",IF(ISNUMBER($A938),INT(MOD($A938,10000)/100),IFERROR(VALUE(TRIM(LEFT(MID($A938,FIND("/",$A938)+1,20),FIND("/",MID($A938,FIND("/",$A938)+1,20))-1))),"")))</f>
        <v/>
      </c>
      <c r="D938">
        <f>IF(OR($A938="",$B938=""),"",IF(ISNUMBER($A938),MOD($A938,100),IFERROR(VALUE(TRIM(MID(MID($A938,FIND("/",$A938)+1,20),FIND("/",MID($A938,FIND("/",$A938)+1,20))+1,20))),"")))</f>
        <v/>
      </c>
      <c r="E938">
        <f>IF($A938="","",IF(OR($B938="",$C938="",$D938="",$B938&lt;1300,$B938&gt;1500,$C938&lt;1,$C938&gt;12,$D938&lt;1,$D938&gt;31),"نامعتبر",RIGHT("0000"&amp;$B938,4)&amp;"/"&amp;RIGHT("00"&amp;$C938,2)&amp;"/"&amp;RIGHT("00"&amp;$D938,2)))</f>
        <v/>
      </c>
      <c r="F938">
        <f>IF(OR($E938="",$E938="نامعتبر"),"",LEFT($E938,4)&amp;"/"&amp;MID($E938,6,2))</f>
        <v/>
      </c>
      <c r="G938">
        <f>IF(OR($E938="",$E938="نامعتبر",Sync!$Y935=""),"",Sync!$Y935)</f>
        <v/>
      </c>
      <c r="H938">
        <f>IF($G938="","",IF(Sync!$X935="","",Sync!$X935))</f>
        <v/>
      </c>
      <c r="I938">
        <f>IF($G938="","",IFERROR(VLOOKUP(Sync!$X935,OpTbl,3,0),""))</f>
        <v/>
      </c>
      <c r="J938">
        <f>IF(OR($G938="",Sync!$Z935=""),"",Sync!$Z935)</f>
        <v/>
      </c>
      <c r="K938">
        <f>IF(OR($G938="",Sync!$AA935=""),"",Sync!$AA935)</f>
        <v/>
      </c>
      <c r="L938">
        <f>IF($G938="",0,IF(Sync!$AB935="",0,Sync!$AB935))</f>
        <v/>
      </c>
      <c r="M938">
        <f>IF($G938="",0,IF(Sync!$AC935="",0,Sync!$AC935))</f>
        <v/>
      </c>
      <c r="N938">
        <f>IF($G938="","",IF($H938="مرجوعی خرید",-1,1)*($L938-$M938*IFERROR(VLOOKUP("P01",ParamTbl,3,0),1.5))*(1-IF($I938="خرید",IFERROR(VLOOKUP("P02",ParamTbl,3,0),1),0)/100))</f>
        <v/>
      </c>
      <c r="O938">
        <f>IF($G938="",0,IF($H938="مرجوعی خرید",-1,1)*IF(Sync!$AD935="",0,Sync!$AD935))</f>
        <v/>
      </c>
      <c r="P938">
        <f>IF(OR($G938="",Sync!$W935=""),"",Sync!$W935)</f>
        <v/>
      </c>
      <c r="Q938">
        <f>IF(OR($G938="",Sync!$AE935=""),"",Sync!$AE935)</f>
        <v/>
      </c>
      <c r="R938">
        <f>IF($G938="","",IF(Sync!$V935="","0000",IF(AND(ISNUMBER(Sync!$V935),Sync!$V935&gt;=0,Sync!$V935&lt;1),RIGHT("00"&amp;HOUR(Sync!$V935),2)&amp;RIGHT("00"&amp;MINUTE(Sync!$V935),2),IFERROR(RIGHT("00"&amp;VALUE(LEFT(Sync!$V935,FIND(":",Sync!$V935)-1)),2)&amp;RIGHT("00"&amp;VALUE(MID(Sync!$V935,FIND(":",Sync!$V935)+1,2)),2),"0000"))))</f>
        <v/>
      </c>
    </row>
    <row r="939">
      <c r="A939">
        <f>IF(Sync!$U936="","",Sync!$U936)</f>
        <v/>
      </c>
      <c r="B939">
        <f>IF($A939="","",IF(ISNUMBER($A939),IF(AND($A939&gt;=10000101,$A939&lt;=99991231),INT($A939/10000),""),IFERROR(VALUE(TRIM(LEFT($A939,FIND("/",$A939)-1))),"")))</f>
        <v/>
      </c>
      <c r="C939">
        <f>IF(OR($A939="",$B939=""),"",IF(ISNUMBER($A939),INT(MOD($A939,10000)/100),IFERROR(VALUE(TRIM(LEFT(MID($A939,FIND("/",$A939)+1,20),FIND("/",MID($A939,FIND("/",$A939)+1,20))-1))),"")))</f>
        <v/>
      </c>
      <c r="D939">
        <f>IF(OR($A939="",$B939=""),"",IF(ISNUMBER($A939),MOD($A939,100),IFERROR(VALUE(TRIM(MID(MID($A939,FIND("/",$A939)+1,20),FIND("/",MID($A939,FIND("/",$A939)+1,20))+1,20))),"")))</f>
        <v/>
      </c>
      <c r="E939">
        <f>IF($A939="","",IF(OR($B939="",$C939="",$D939="",$B939&lt;1300,$B939&gt;1500,$C939&lt;1,$C939&gt;12,$D939&lt;1,$D939&gt;31),"نامعتبر",RIGHT("0000"&amp;$B939,4)&amp;"/"&amp;RIGHT("00"&amp;$C939,2)&amp;"/"&amp;RIGHT("00"&amp;$D939,2)))</f>
        <v/>
      </c>
      <c r="F939">
        <f>IF(OR($E939="",$E939="نامعتبر"),"",LEFT($E939,4)&amp;"/"&amp;MID($E939,6,2))</f>
        <v/>
      </c>
      <c r="G939">
        <f>IF(OR($E939="",$E939="نامعتبر",Sync!$Y936=""),"",Sync!$Y936)</f>
        <v/>
      </c>
      <c r="H939">
        <f>IF($G939="","",IF(Sync!$X936="","",Sync!$X936))</f>
        <v/>
      </c>
      <c r="I939">
        <f>IF($G939="","",IFERROR(VLOOKUP(Sync!$X936,OpTbl,3,0),""))</f>
        <v/>
      </c>
      <c r="J939">
        <f>IF(OR($G939="",Sync!$Z936=""),"",Sync!$Z936)</f>
        <v/>
      </c>
      <c r="K939">
        <f>IF(OR($G939="",Sync!$AA936=""),"",Sync!$AA936)</f>
        <v/>
      </c>
      <c r="L939">
        <f>IF($G939="",0,IF(Sync!$AB936="",0,Sync!$AB936))</f>
        <v/>
      </c>
      <c r="M939">
        <f>IF($G939="",0,IF(Sync!$AC936="",0,Sync!$AC936))</f>
        <v/>
      </c>
      <c r="N939">
        <f>IF($G939="","",IF($H939="مرجوعی خرید",-1,1)*($L939-$M939*IFERROR(VLOOKUP("P01",ParamTbl,3,0),1.5))*(1-IF($I939="خرید",IFERROR(VLOOKUP("P02",ParamTbl,3,0),1),0)/100))</f>
        <v/>
      </c>
      <c r="O939">
        <f>IF($G939="",0,IF($H939="مرجوعی خرید",-1,1)*IF(Sync!$AD936="",0,Sync!$AD936))</f>
        <v/>
      </c>
      <c r="P939">
        <f>IF(OR($G939="",Sync!$W936=""),"",Sync!$W936)</f>
        <v/>
      </c>
      <c r="Q939">
        <f>IF(OR($G939="",Sync!$AE936=""),"",Sync!$AE936)</f>
        <v/>
      </c>
      <c r="R939">
        <f>IF($G939="","",IF(Sync!$V936="","0000",IF(AND(ISNUMBER(Sync!$V936),Sync!$V936&gt;=0,Sync!$V936&lt;1),RIGHT("00"&amp;HOUR(Sync!$V936),2)&amp;RIGHT("00"&amp;MINUTE(Sync!$V936),2),IFERROR(RIGHT("00"&amp;VALUE(LEFT(Sync!$V936,FIND(":",Sync!$V936)-1)),2)&amp;RIGHT("00"&amp;VALUE(MID(Sync!$V936,FIND(":",Sync!$V936)+1,2)),2),"0000"))))</f>
        <v/>
      </c>
    </row>
    <row r="940">
      <c r="A940">
        <f>IF(Sync!$U937="","",Sync!$U937)</f>
        <v/>
      </c>
      <c r="B940">
        <f>IF($A940="","",IF(ISNUMBER($A940),IF(AND($A940&gt;=10000101,$A940&lt;=99991231),INT($A940/10000),""),IFERROR(VALUE(TRIM(LEFT($A940,FIND("/",$A940)-1))),"")))</f>
        <v/>
      </c>
      <c r="C940">
        <f>IF(OR($A940="",$B940=""),"",IF(ISNUMBER($A940),INT(MOD($A940,10000)/100),IFERROR(VALUE(TRIM(LEFT(MID($A940,FIND("/",$A940)+1,20),FIND("/",MID($A940,FIND("/",$A940)+1,20))-1))),"")))</f>
        <v/>
      </c>
      <c r="D940">
        <f>IF(OR($A940="",$B940=""),"",IF(ISNUMBER($A940),MOD($A940,100),IFERROR(VALUE(TRIM(MID(MID($A940,FIND("/",$A940)+1,20),FIND("/",MID($A940,FIND("/",$A940)+1,20))+1,20))),"")))</f>
        <v/>
      </c>
      <c r="E940">
        <f>IF($A940="","",IF(OR($B940="",$C940="",$D940="",$B940&lt;1300,$B940&gt;1500,$C940&lt;1,$C940&gt;12,$D940&lt;1,$D940&gt;31),"نامعتبر",RIGHT("0000"&amp;$B940,4)&amp;"/"&amp;RIGHT("00"&amp;$C940,2)&amp;"/"&amp;RIGHT("00"&amp;$D940,2)))</f>
        <v/>
      </c>
      <c r="F940">
        <f>IF(OR($E940="",$E940="نامعتبر"),"",LEFT($E940,4)&amp;"/"&amp;MID($E940,6,2))</f>
        <v/>
      </c>
      <c r="G940">
        <f>IF(OR($E940="",$E940="نامعتبر",Sync!$Y937=""),"",Sync!$Y937)</f>
        <v/>
      </c>
      <c r="H940">
        <f>IF($G940="","",IF(Sync!$X937="","",Sync!$X937))</f>
        <v/>
      </c>
      <c r="I940">
        <f>IF($G940="","",IFERROR(VLOOKUP(Sync!$X937,OpTbl,3,0),""))</f>
        <v/>
      </c>
      <c r="J940">
        <f>IF(OR($G940="",Sync!$Z937=""),"",Sync!$Z937)</f>
        <v/>
      </c>
      <c r="K940">
        <f>IF(OR($G940="",Sync!$AA937=""),"",Sync!$AA937)</f>
        <v/>
      </c>
      <c r="L940">
        <f>IF($G940="",0,IF(Sync!$AB937="",0,Sync!$AB937))</f>
        <v/>
      </c>
      <c r="M940">
        <f>IF($G940="",0,IF(Sync!$AC937="",0,Sync!$AC937))</f>
        <v/>
      </c>
      <c r="N940">
        <f>IF($G940="","",IF($H940="مرجوعی خرید",-1,1)*($L940-$M940*IFERROR(VLOOKUP("P01",ParamTbl,3,0),1.5))*(1-IF($I940="خرید",IFERROR(VLOOKUP("P02",ParamTbl,3,0),1),0)/100))</f>
        <v/>
      </c>
      <c r="O940">
        <f>IF($G940="",0,IF($H940="مرجوعی خرید",-1,1)*IF(Sync!$AD937="",0,Sync!$AD937))</f>
        <v/>
      </c>
      <c r="P940">
        <f>IF(OR($G940="",Sync!$W937=""),"",Sync!$W937)</f>
        <v/>
      </c>
      <c r="Q940">
        <f>IF(OR($G940="",Sync!$AE937=""),"",Sync!$AE937)</f>
        <v/>
      </c>
      <c r="R940">
        <f>IF($G940="","",IF(Sync!$V937="","0000",IF(AND(ISNUMBER(Sync!$V937),Sync!$V937&gt;=0,Sync!$V937&lt;1),RIGHT("00"&amp;HOUR(Sync!$V937),2)&amp;RIGHT("00"&amp;MINUTE(Sync!$V937),2),IFERROR(RIGHT("00"&amp;VALUE(LEFT(Sync!$V937,FIND(":",Sync!$V937)-1)),2)&amp;RIGHT("00"&amp;VALUE(MID(Sync!$V937,FIND(":",Sync!$V937)+1,2)),2),"0000"))))</f>
        <v/>
      </c>
    </row>
    <row r="941">
      <c r="A941">
        <f>IF(Sync!$U938="","",Sync!$U938)</f>
        <v/>
      </c>
      <c r="B941">
        <f>IF($A941="","",IF(ISNUMBER($A941),IF(AND($A941&gt;=10000101,$A941&lt;=99991231),INT($A941/10000),""),IFERROR(VALUE(TRIM(LEFT($A941,FIND("/",$A941)-1))),"")))</f>
        <v/>
      </c>
      <c r="C941">
        <f>IF(OR($A941="",$B941=""),"",IF(ISNUMBER($A941),INT(MOD($A941,10000)/100),IFERROR(VALUE(TRIM(LEFT(MID($A941,FIND("/",$A941)+1,20),FIND("/",MID($A941,FIND("/",$A941)+1,20))-1))),"")))</f>
        <v/>
      </c>
      <c r="D941">
        <f>IF(OR($A941="",$B941=""),"",IF(ISNUMBER($A941),MOD($A941,100),IFERROR(VALUE(TRIM(MID(MID($A941,FIND("/",$A941)+1,20),FIND("/",MID($A941,FIND("/",$A941)+1,20))+1,20))),"")))</f>
        <v/>
      </c>
      <c r="E941">
        <f>IF($A941="","",IF(OR($B941="",$C941="",$D941="",$B941&lt;1300,$B941&gt;1500,$C941&lt;1,$C941&gt;12,$D941&lt;1,$D941&gt;31),"نامعتبر",RIGHT("0000"&amp;$B941,4)&amp;"/"&amp;RIGHT("00"&amp;$C941,2)&amp;"/"&amp;RIGHT("00"&amp;$D941,2)))</f>
        <v/>
      </c>
      <c r="F941">
        <f>IF(OR($E941="",$E941="نامعتبر"),"",LEFT($E941,4)&amp;"/"&amp;MID($E941,6,2))</f>
        <v/>
      </c>
      <c r="G941">
        <f>IF(OR($E941="",$E941="نامعتبر",Sync!$Y938=""),"",Sync!$Y938)</f>
        <v/>
      </c>
      <c r="H941">
        <f>IF($G941="","",IF(Sync!$X938="","",Sync!$X938))</f>
        <v/>
      </c>
      <c r="I941">
        <f>IF($G941="","",IFERROR(VLOOKUP(Sync!$X938,OpTbl,3,0),""))</f>
        <v/>
      </c>
      <c r="J941">
        <f>IF(OR($G941="",Sync!$Z938=""),"",Sync!$Z938)</f>
        <v/>
      </c>
      <c r="K941">
        <f>IF(OR($G941="",Sync!$AA938=""),"",Sync!$AA938)</f>
        <v/>
      </c>
      <c r="L941">
        <f>IF($G941="",0,IF(Sync!$AB938="",0,Sync!$AB938))</f>
        <v/>
      </c>
      <c r="M941">
        <f>IF($G941="",0,IF(Sync!$AC938="",0,Sync!$AC938))</f>
        <v/>
      </c>
      <c r="N941">
        <f>IF($G941="","",IF($H941="مرجوعی خرید",-1,1)*($L941-$M941*IFERROR(VLOOKUP("P01",ParamTbl,3,0),1.5))*(1-IF($I941="خرید",IFERROR(VLOOKUP("P02",ParamTbl,3,0),1),0)/100))</f>
        <v/>
      </c>
      <c r="O941">
        <f>IF($G941="",0,IF($H941="مرجوعی خرید",-1,1)*IF(Sync!$AD938="",0,Sync!$AD938))</f>
        <v/>
      </c>
      <c r="P941">
        <f>IF(OR($G941="",Sync!$W938=""),"",Sync!$W938)</f>
        <v/>
      </c>
      <c r="Q941">
        <f>IF(OR($G941="",Sync!$AE938=""),"",Sync!$AE938)</f>
        <v/>
      </c>
      <c r="R941">
        <f>IF($G941="","",IF(Sync!$V938="","0000",IF(AND(ISNUMBER(Sync!$V938),Sync!$V938&gt;=0,Sync!$V938&lt;1),RIGHT("00"&amp;HOUR(Sync!$V938),2)&amp;RIGHT("00"&amp;MINUTE(Sync!$V938),2),IFERROR(RIGHT("00"&amp;VALUE(LEFT(Sync!$V938,FIND(":",Sync!$V938)-1)),2)&amp;RIGHT("00"&amp;VALUE(MID(Sync!$V938,FIND(":",Sync!$V938)+1,2)),2),"0000"))))</f>
        <v/>
      </c>
    </row>
    <row r="942">
      <c r="A942">
        <f>IF(Sync!$U939="","",Sync!$U939)</f>
        <v/>
      </c>
      <c r="B942">
        <f>IF($A942="","",IF(ISNUMBER($A942),IF(AND($A942&gt;=10000101,$A942&lt;=99991231),INT($A942/10000),""),IFERROR(VALUE(TRIM(LEFT($A942,FIND("/",$A942)-1))),"")))</f>
        <v/>
      </c>
      <c r="C942">
        <f>IF(OR($A942="",$B942=""),"",IF(ISNUMBER($A942),INT(MOD($A942,10000)/100),IFERROR(VALUE(TRIM(LEFT(MID($A942,FIND("/",$A942)+1,20),FIND("/",MID($A942,FIND("/",$A942)+1,20))-1))),"")))</f>
        <v/>
      </c>
      <c r="D942">
        <f>IF(OR($A942="",$B942=""),"",IF(ISNUMBER($A942),MOD($A942,100),IFERROR(VALUE(TRIM(MID(MID($A942,FIND("/",$A942)+1,20),FIND("/",MID($A942,FIND("/",$A942)+1,20))+1,20))),"")))</f>
        <v/>
      </c>
      <c r="E942">
        <f>IF($A942="","",IF(OR($B942="",$C942="",$D942="",$B942&lt;1300,$B942&gt;1500,$C942&lt;1,$C942&gt;12,$D942&lt;1,$D942&gt;31),"نامعتبر",RIGHT("0000"&amp;$B942,4)&amp;"/"&amp;RIGHT("00"&amp;$C942,2)&amp;"/"&amp;RIGHT("00"&amp;$D942,2)))</f>
        <v/>
      </c>
      <c r="F942">
        <f>IF(OR($E942="",$E942="نامعتبر"),"",LEFT($E942,4)&amp;"/"&amp;MID($E942,6,2))</f>
        <v/>
      </c>
      <c r="G942">
        <f>IF(OR($E942="",$E942="نامعتبر",Sync!$Y939=""),"",Sync!$Y939)</f>
        <v/>
      </c>
      <c r="H942">
        <f>IF($G942="","",IF(Sync!$X939="","",Sync!$X939))</f>
        <v/>
      </c>
      <c r="I942">
        <f>IF($G942="","",IFERROR(VLOOKUP(Sync!$X939,OpTbl,3,0),""))</f>
        <v/>
      </c>
      <c r="J942">
        <f>IF(OR($G942="",Sync!$Z939=""),"",Sync!$Z939)</f>
        <v/>
      </c>
      <c r="K942">
        <f>IF(OR($G942="",Sync!$AA939=""),"",Sync!$AA939)</f>
        <v/>
      </c>
      <c r="L942">
        <f>IF($G942="",0,IF(Sync!$AB939="",0,Sync!$AB939))</f>
        <v/>
      </c>
      <c r="M942">
        <f>IF($G942="",0,IF(Sync!$AC939="",0,Sync!$AC939))</f>
        <v/>
      </c>
      <c r="N942">
        <f>IF($G942="","",IF($H942="مرجوعی خرید",-1,1)*($L942-$M942*IFERROR(VLOOKUP("P01",ParamTbl,3,0),1.5))*(1-IF($I942="خرید",IFERROR(VLOOKUP("P02",ParamTbl,3,0),1),0)/100))</f>
        <v/>
      </c>
      <c r="O942">
        <f>IF($G942="",0,IF($H942="مرجوعی خرید",-1,1)*IF(Sync!$AD939="",0,Sync!$AD939))</f>
        <v/>
      </c>
      <c r="P942">
        <f>IF(OR($G942="",Sync!$W939=""),"",Sync!$W939)</f>
        <v/>
      </c>
      <c r="Q942">
        <f>IF(OR($G942="",Sync!$AE939=""),"",Sync!$AE939)</f>
        <v/>
      </c>
      <c r="R942">
        <f>IF($G942="","",IF(Sync!$V939="","0000",IF(AND(ISNUMBER(Sync!$V939),Sync!$V939&gt;=0,Sync!$V939&lt;1),RIGHT("00"&amp;HOUR(Sync!$V939),2)&amp;RIGHT("00"&amp;MINUTE(Sync!$V939),2),IFERROR(RIGHT("00"&amp;VALUE(LEFT(Sync!$V939,FIND(":",Sync!$V939)-1)),2)&amp;RIGHT("00"&amp;VALUE(MID(Sync!$V939,FIND(":",Sync!$V939)+1,2)),2),"0000"))))</f>
        <v/>
      </c>
    </row>
    <row r="943">
      <c r="A943">
        <f>IF(Sync!$U940="","",Sync!$U940)</f>
        <v/>
      </c>
      <c r="B943">
        <f>IF($A943="","",IF(ISNUMBER($A943),IF(AND($A943&gt;=10000101,$A943&lt;=99991231),INT($A943/10000),""),IFERROR(VALUE(TRIM(LEFT($A943,FIND("/",$A943)-1))),"")))</f>
        <v/>
      </c>
      <c r="C943">
        <f>IF(OR($A943="",$B943=""),"",IF(ISNUMBER($A943),INT(MOD($A943,10000)/100),IFERROR(VALUE(TRIM(LEFT(MID($A943,FIND("/",$A943)+1,20),FIND("/",MID($A943,FIND("/",$A943)+1,20))-1))),"")))</f>
        <v/>
      </c>
      <c r="D943">
        <f>IF(OR($A943="",$B943=""),"",IF(ISNUMBER($A943),MOD($A943,100),IFERROR(VALUE(TRIM(MID(MID($A943,FIND("/",$A943)+1,20),FIND("/",MID($A943,FIND("/",$A943)+1,20))+1,20))),"")))</f>
        <v/>
      </c>
      <c r="E943">
        <f>IF($A943="","",IF(OR($B943="",$C943="",$D943="",$B943&lt;1300,$B943&gt;1500,$C943&lt;1,$C943&gt;12,$D943&lt;1,$D943&gt;31),"نامعتبر",RIGHT("0000"&amp;$B943,4)&amp;"/"&amp;RIGHT("00"&amp;$C943,2)&amp;"/"&amp;RIGHT("00"&amp;$D943,2)))</f>
        <v/>
      </c>
      <c r="F943">
        <f>IF(OR($E943="",$E943="نامعتبر"),"",LEFT($E943,4)&amp;"/"&amp;MID($E943,6,2))</f>
        <v/>
      </c>
      <c r="G943">
        <f>IF(OR($E943="",$E943="نامعتبر",Sync!$Y940=""),"",Sync!$Y940)</f>
        <v/>
      </c>
      <c r="H943">
        <f>IF($G943="","",IF(Sync!$X940="","",Sync!$X940))</f>
        <v/>
      </c>
      <c r="I943">
        <f>IF($G943="","",IFERROR(VLOOKUP(Sync!$X940,OpTbl,3,0),""))</f>
        <v/>
      </c>
      <c r="J943">
        <f>IF(OR($G943="",Sync!$Z940=""),"",Sync!$Z940)</f>
        <v/>
      </c>
      <c r="K943">
        <f>IF(OR($G943="",Sync!$AA940=""),"",Sync!$AA940)</f>
        <v/>
      </c>
      <c r="L943">
        <f>IF($G943="",0,IF(Sync!$AB940="",0,Sync!$AB940))</f>
        <v/>
      </c>
      <c r="M943">
        <f>IF($G943="",0,IF(Sync!$AC940="",0,Sync!$AC940))</f>
        <v/>
      </c>
      <c r="N943">
        <f>IF($G943="","",IF($H943="مرجوعی خرید",-1,1)*($L943-$M943*IFERROR(VLOOKUP("P01",ParamTbl,3,0),1.5))*(1-IF($I943="خرید",IFERROR(VLOOKUP("P02",ParamTbl,3,0),1),0)/100))</f>
        <v/>
      </c>
      <c r="O943">
        <f>IF($G943="",0,IF($H943="مرجوعی خرید",-1,1)*IF(Sync!$AD940="",0,Sync!$AD940))</f>
        <v/>
      </c>
      <c r="P943">
        <f>IF(OR($G943="",Sync!$W940=""),"",Sync!$W940)</f>
        <v/>
      </c>
      <c r="Q943">
        <f>IF(OR($G943="",Sync!$AE940=""),"",Sync!$AE940)</f>
        <v/>
      </c>
      <c r="R943">
        <f>IF($G943="","",IF(Sync!$V940="","0000",IF(AND(ISNUMBER(Sync!$V940),Sync!$V940&gt;=0,Sync!$V940&lt;1),RIGHT("00"&amp;HOUR(Sync!$V940),2)&amp;RIGHT("00"&amp;MINUTE(Sync!$V940),2),IFERROR(RIGHT("00"&amp;VALUE(LEFT(Sync!$V940,FIND(":",Sync!$V940)-1)),2)&amp;RIGHT("00"&amp;VALUE(MID(Sync!$V940,FIND(":",Sync!$V940)+1,2)),2),"0000"))))</f>
        <v/>
      </c>
    </row>
    <row r="944">
      <c r="A944">
        <f>IF(Sync!$U941="","",Sync!$U941)</f>
        <v/>
      </c>
      <c r="B944">
        <f>IF($A944="","",IF(ISNUMBER($A944),IF(AND($A944&gt;=10000101,$A944&lt;=99991231),INT($A944/10000),""),IFERROR(VALUE(TRIM(LEFT($A944,FIND("/",$A944)-1))),"")))</f>
        <v/>
      </c>
      <c r="C944">
        <f>IF(OR($A944="",$B944=""),"",IF(ISNUMBER($A944),INT(MOD($A944,10000)/100),IFERROR(VALUE(TRIM(LEFT(MID($A944,FIND("/",$A944)+1,20),FIND("/",MID($A944,FIND("/",$A944)+1,20))-1))),"")))</f>
        <v/>
      </c>
      <c r="D944">
        <f>IF(OR($A944="",$B944=""),"",IF(ISNUMBER($A944),MOD($A944,100),IFERROR(VALUE(TRIM(MID(MID($A944,FIND("/",$A944)+1,20),FIND("/",MID($A944,FIND("/",$A944)+1,20))+1,20))),"")))</f>
        <v/>
      </c>
      <c r="E944">
        <f>IF($A944="","",IF(OR($B944="",$C944="",$D944="",$B944&lt;1300,$B944&gt;1500,$C944&lt;1,$C944&gt;12,$D944&lt;1,$D944&gt;31),"نامعتبر",RIGHT("0000"&amp;$B944,4)&amp;"/"&amp;RIGHT("00"&amp;$C944,2)&amp;"/"&amp;RIGHT("00"&amp;$D944,2)))</f>
        <v/>
      </c>
      <c r="F944">
        <f>IF(OR($E944="",$E944="نامعتبر"),"",LEFT($E944,4)&amp;"/"&amp;MID($E944,6,2))</f>
        <v/>
      </c>
      <c r="G944">
        <f>IF(OR($E944="",$E944="نامعتبر",Sync!$Y941=""),"",Sync!$Y941)</f>
        <v/>
      </c>
      <c r="H944">
        <f>IF($G944="","",IF(Sync!$X941="","",Sync!$X941))</f>
        <v/>
      </c>
      <c r="I944">
        <f>IF($G944="","",IFERROR(VLOOKUP(Sync!$X941,OpTbl,3,0),""))</f>
        <v/>
      </c>
      <c r="J944">
        <f>IF(OR($G944="",Sync!$Z941=""),"",Sync!$Z941)</f>
        <v/>
      </c>
      <c r="K944">
        <f>IF(OR($G944="",Sync!$AA941=""),"",Sync!$AA941)</f>
        <v/>
      </c>
      <c r="L944">
        <f>IF($G944="",0,IF(Sync!$AB941="",0,Sync!$AB941))</f>
        <v/>
      </c>
      <c r="M944">
        <f>IF($G944="",0,IF(Sync!$AC941="",0,Sync!$AC941))</f>
        <v/>
      </c>
      <c r="N944">
        <f>IF($G944="","",IF($H944="مرجوعی خرید",-1,1)*($L944-$M944*IFERROR(VLOOKUP("P01",ParamTbl,3,0),1.5))*(1-IF($I944="خرید",IFERROR(VLOOKUP("P02",ParamTbl,3,0),1),0)/100))</f>
        <v/>
      </c>
      <c r="O944">
        <f>IF($G944="",0,IF($H944="مرجوعی خرید",-1,1)*IF(Sync!$AD941="",0,Sync!$AD941))</f>
        <v/>
      </c>
      <c r="P944">
        <f>IF(OR($G944="",Sync!$W941=""),"",Sync!$W941)</f>
        <v/>
      </c>
      <c r="Q944">
        <f>IF(OR($G944="",Sync!$AE941=""),"",Sync!$AE941)</f>
        <v/>
      </c>
      <c r="R944">
        <f>IF($G944="","",IF(Sync!$V941="","0000",IF(AND(ISNUMBER(Sync!$V941),Sync!$V941&gt;=0,Sync!$V941&lt;1),RIGHT("00"&amp;HOUR(Sync!$V941),2)&amp;RIGHT("00"&amp;MINUTE(Sync!$V941),2),IFERROR(RIGHT("00"&amp;VALUE(LEFT(Sync!$V941,FIND(":",Sync!$V941)-1)),2)&amp;RIGHT("00"&amp;VALUE(MID(Sync!$V941,FIND(":",Sync!$V941)+1,2)),2),"0000"))))</f>
        <v/>
      </c>
    </row>
    <row r="945">
      <c r="A945">
        <f>IF(Sync!$U942="","",Sync!$U942)</f>
        <v/>
      </c>
      <c r="B945">
        <f>IF($A945="","",IF(ISNUMBER($A945),IF(AND($A945&gt;=10000101,$A945&lt;=99991231),INT($A945/10000),""),IFERROR(VALUE(TRIM(LEFT($A945,FIND("/",$A945)-1))),"")))</f>
        <v/>
      </c>
      <c r="C945">
        <f>IF(OR($A945="",$B945=""),"",IF(ISNUMBER($A945),INT(MOD($A945,10000)/100),IFERROR(VALUE(TRIM(LEFT(MID($A945,FIND("/",$A945)+1,20),FIND("/",MID($A945,FIND("/",$A945)+1,20))-1))),"")))</f>
        <v/>
      </c>
      <c r="D945">
        <f>IF(OR($A945="",$B945=""),"",IF(ISNUMBER($A945),MOD($A945,100),IFERROR(VALUE(TRIM(MID(MID($A945,FIND("/",$A945)+1,20),FIND("/",MID($A945,FIND("/",$A945)+1,20))+1,20))),"")))</f>
        <v/>
      </c>
      <c r="E945">
        <f>IF($A945="","",IF(OR($B945="",$C945="",$D945="",$B945&lt;1300,$B945&gt;1500,$C945&lt;1,$C945&gt;12,$D945&lt;1,$D945&gt;31),"نامعتبر",RIGHT("0000"&amp;$B945,4)&amp;"/"&amp;RIGHT("00"&amp;$C945,2)&amp;"/"&amp;RIGHT("00"&amp;$D945,2)))</f>
        <v/>
      </c>
      <c r="F945">
        <f>IF(OR($E945="",$E945="نامعتبر"),"",LEFT($E945,4)&amp;"/"&amp;MID($E945,6,2))</f>
        <v/>
      </c>
      <c r="G945">
        <f>IF(OR($E945="",$E945="نامعتبر",Sync!$Y942=""),"",Sync!$Y942)</f>
        <v/>
      </c>
      <c r="H945">
        <f>IF($G945="","",IF(Sync!$X942="","",Sync!$X942))</f>
        <v/>
      </c>
      <c r="I945">
        <f>IF($G945="","",IFERROR(VLOOKUP(Sync!$X942,OpTbl,3,0),""))</f>
        <v/>
      </c>
      <c r="J945">
        <f>IF(OR($G945="",Sync!$Z942=""),"",Sync!$Z942)</f>
        <v/>
      </c>
      <c r="K945">
        <f>IF(OR($G945="",Sync!$AA942=""),"",Sync!$AA942)</f>
        <v/>
      </c>
      <c r="L945">
        <f>IF($G945="",0,IF(Sync!$AB942="",0,Sync!$AB942))</f>
        <v/>
      </c>
      <c r="M945">
        <f>IF($G945="",0,IF(Sync!$AC942="",0,Sync!$AC942))</f>
        <v/>
      </c>
      <c r="N945">
        <f>IF($G945="","",IF($H945="مرجوعی خرید",-1,1)*($L945-$M945*IFERROR(VLOOKUP("P01",ParamTbl,3,0),1.5))*(1-IF($I945="خرید",IFERROR(VLOOKUP("P02",ParamTbl,3,0),1),0)/100))</f>
        <v/>
      </c>
      <c r="O945">
        <f>IF($G945="",0,IF($H945="مرجوعی خرید",-1,1)*IF(Sync!$AD942="",0,Sync!$AD942))</f>
        <v/>
      </c>
      <c r="P945">
        <f>IF(OR($G945="",Sync!$W942=""),"",Sync!$W942)</f>
        <v/>
      </c>
      <c r="Q945">
        <f>IF(OR($G945="",Sync!$AE942=""),"",Sync!$AE942)</f>
        <v/>
      </c>
      <c r="R945">
        <f>IF($G945="","",IF(Sync!$V942="","0000",IF(AND(ISNUMBER(Sync!$V942),Sync!$V942&gt;=0,Sync!$V942&lt;1),RIGHT("00"&amp;HOUR(Sync!$V942),2)&amp;RIGHT("00"&amp;MINUTE(Sync!$V942),2),IFERROR(RIGHT("00"&amp;VALUE(LEFT(Sync!$V942,FIND(":",Sync!$V942)-1)),2)&amp;RIGHT("00"&amp;VALUE(MID(Sync!$V942,FIND(":",Sync!$V942)+1,2)),2),"0000"))))</f>
        <v/>
      </c>
    </row>
    <row r="946">
      <c r="A946">
        <f>IF(Sync!$U943="","",Sync!$U943)</f>
        <v/>
      </c>
      <c r="B946">
        <f>IF($A946="","",IF(ISNUMBER($A946),IF(AND($A946&gt;=10000101,$A946&lt;=99991231),INT($A946/10000),""),IFERROR(VALUE(TRIM(LEFT($A946,FIND("/",$A946)-1))),"")))</f>
        <v/>
      </c>
      <c r="C946">
        <f>IF(OR($A946="",$B946=""),"",IF(ISNUMBER($A946),INT(MOD($A946,10000)/100),IFERROR(VALUE(TRIM(LEFT(MID($A946,FIND("/",$A946)+1,20),FIND("/",MID($A946,FIND("/",$A946)+1,20))-1))),"")))</f>
        <v/>
      </c>
      <c r="D946">
        <f>IF(OR($A946="",$B946=""),"",IF(ISNUMBER($A946),MOD($A946,100),IFERROR(VALUE(TRIM(MID(MID($A946,FIND("/",$A946)+1,20),FIND("/",MID($A946,FIND("/",$A946)+1,20))+1,20))),"")))</f>
        <v/>
      </c>
      <c r="E946">
        <f>IF($A946="","",IF(OR($B946="",$C946="",$D946="",$B946&lt;1300,$B946&gt;1500,$C946&lt;1,$C946&gt;12,$D946&lt;1,$D946&gt;31),"نامعتبر",RIGHT("0000"&amp;$B946,4)&amp;"/"&amp;RIGHT("00"&amp;$C946,2)&amp;"/"&amp;RIGHT("00"&amp;$D946,2)))</f>
        <v/>
      </c>
      <c r="F946">
        <f>IF(OR($E946="",$E946="نامعتبر"),"",LEFT($E946,4)&amp;"/"&amp;MID($E946,6,2))</f>
        <v/>
      </c>
      <c r="G946">
        <f>IF(OR($E946="",$E946="نامعتبر",Sync!$Y943=""),"",Sync!$Y943)</f>
        <v/>
      </c>
      <c r="H946">
        <f>IF($G946="","",IF(Sync!$X943="","",Sync!$X943))</f>
        <v/>
      </c>
      <c r="I946">
        <f>IF($G946="","",IFERROR(VLOOKUP(Sync!$X943,OpTbl,3,0),""))</f>
        <v/>
      </c>
      <c r="J946">
        <f>IF(OR($G946="",Sync!$Z943=""),"",Sync!$Z943)</f>
        <v/>
      </c>
      <c r="K946">
        <f>IF(OR($G946="",Sync!$AA943=""),"",Sync!$AA943)</f>
        <v/>
      </c>
      <c r="L946">
        <f>IF($G946="",0,IF(Sync!$AB943="",0,Sync!$AB943))</f>
        <v/>
      </c>
      <c r="M946">
        <f>IF($G946="",0,IF(Sync!$AC943="",0,Sync!$AC943))</f>
        <v/>
      </c>
      <c r="N946">
        <f>IF($G946="","",IF($H946="مرجوعی خرید",-1,1)*($L946-$M946*IFERROR(VLOOKUP("P01",ParamTbl,3,0),1.5))*(1-IF($I946="خرید",IFERROR(VLOOKUP("P02",ParamTbl,3,0),1),0)/100))</f>
        <v/>
      </c>
      <c r="O946">
        <f>IF($G946="",0,IF($H946="مرجوعی خرید",-1,1)*IF(Sync!$AD943="",0,Sync!$AD943))</f>
        <v/>
      </c>
      <c r="P946">
        <f>IF(OR($G946="",Sync!$W943=""),"",Sync!$W943)</f>
        <v/>
      </c>
      <c r="Q946">
        <f>IF(OR($G946="",Sync!$AE943=""),"",Sync!$AE943)</f>
        <v/>
      </c>
      <c r="R946">
        <f>IF($G946="","",IF(Sync!$V943="","0000",IF(AND(ISNUMBER(Sync!$V943),Sync!$V943&gt;=0,Sync!$V943&lt;1),RIGHT("00"&amp;HOUR(Sync!$V943),2)&amp;RIGHT("00"&amp;MINUTE(Sync!$V943),2),IFERROR(RIGHT("00"&amp;VALUE(LEFT(Sync!$V943,FIND(":",Sync!$V943)-1)),2)&amp;RIGHT("00"&amp;VALUE(MID(Sync!$V943,FIND(":",Sync!$V943)+1,2)),2),"0000"))))</f>
        <v/>
      </c>
    </row>
    <row r="947">
      <c r="A947">
        <f>IF(Sync!$U944="","",Sync!$U944)</f>
        <v/>
      </c>
      <c r="B947">
        <f>IF($A947="","",IF(ISNUMBER($A947),IF(AND($A947&gt;=10000101,$A947&lt;=99991231),INT($A947/10000),""),IFERROR(VALUE(TRIM(LEFT($A947,FIND("/",$A947)-1))),"")))</f>
        <v/>
      </c>
      <c r="C947">
        <f>IF(OR($A947="",$B947=""),"",IF(ISNUMBER($A947),INT(MOD($A947,10000)/100),IFERROR(VALUE(TRIM(LEFT(MID($A947,FIND("/",$A947)+1,20),FIND("/",MID($A947,FIND("/",$A947)+1,20))-1))),"")))</f>
        <v/>
      </c>
      <c r="D947">
        <f>IF(OR($A947="",$B947=""),"",IF(ISNUMBER($A947),MOD($A947,100),IFERROR(VALUE(TRIM(MID(MID($A947,FIND("/",$A947)+1,20),FIND("/",MID($A947,FIND("/",$A947)+1,20))+1,20))),"")))</f>
        <v/>
      </c>
      <c r="E947">
        <f>IF($A947="","",IF(OR($B947="",$C947="",$D947="",$B947&lt;1300,$B947&gt;1500,$C947&lt;1,$C947&gt;12,$D947&lt;1,$D947&gt;31),"نامعتبر",RIGHT("0000"&amp;$B947,4)&amp;"/"&amp;RIGHT("00"&amp;$C947,2)&amp;"/"&amp;RIGHT("00"&amp;$D947,2)))</f>
        <v/>
      </c>
      <c r="F947">
        <f>IF(OR($E947="",$E947="نامعتبر"),"",LEFT($E947,4)&amp;"/"&amp;MID($E947,6,2))</f>
        <v/>
      </c>
      <c r="G947">
        <f>IF(OR($E947="",$E947="نامعتبر",Sync!$Y944=""),"",Sync!$Y944)</f>
        <v/>
      </c>
      <c r="H947">
        <f>IF($G947="","",IF(Sync!$X944="","",Sync!$X944))</f>
        <v/>
      </c>
      <c r="I947">
        <f>IF($G947="","",IFERROR(VLOOKUP(Sync!$X944,OpTbl,3,0),""))</f>
        <v/>
      </c>
      <c r="J947">
        <f>IF(OR($G947="",Sync!$Z944=""),"",Sync!$Z944)</f>
        <v/>
      </c>
      <c r="K947">
        <f>IF(OR($G947="",Sync!$AA944=""),"",Sync!$AA944)</f>
        <v/>
      </c>
      <c r="L947">
        <f>IF($G947="",0,IF(Sync!$AB944="",0,Sync!$AB944))</f>
        <v/>
      </c>
      <c r="M947">
        <f>IF($G947="",0,IF(Sync!$AC944="",0,Sync!$AC944))</f>
        <v/>
      </c>
      <c r="N947">
        <f>IF($G947="","",IF($H947="مرجوعی خرید",-1,1)*($L947-$M947*IFERROR(VLOOKUP("P01",ParamTbl,3,0),1.5))*(1-IF($I947="خرید",IFERROR(VLOOKUP("P02",ParamTbl,3,0),1),0)/100))</f>
        <v/>
      </c>
      <c r="O947">
        <f>IF($G947="",0,IF($H947="مرجوعی خرید",-1,1)*IF(Sync!$AD944="",0,Sync!$AD944))</f>
        <v/>
      </c>
      <c r="P947">
        <f>IF(OR($G947="",Sync!$W944=""),"",Sync!$W944)</f>
        <v/>
      </c>
      <c r="Q947">
        <f>IF(OR($G947="",Sync!$AE944=""),"",Sync!$AE944)</f>
        <v/>
      </c>
      <c r="R947">
        <f>IF($G947="","",IF(Sync!$V944="","0000",IF(AND(ISNUMBER(Sync!$V944),Sync!$V944&gt;=0,Sync!$V944&lt;1),RIGHT("00"&amp;HOUR(Sync!$V944),2)&amp;RIGHT("00"&amp;MINUTE(Sync!$V944),2),IFERROR(RIGHT("00"&amp;VALUE(LEFT(Sync!$V944,FIND(":",Sync!$V944)-1)),2)&amp;RIGHT("00"&amp;VALUE(MID(Sync!$V944,FIND(":",Sync!$V944)+1,2)),2),"0000"))))</f>
        <v/>
      </c>
    </row>
    <row r="948">
      <c r="A948">
        <f>IF(Sync!$U945="","",Sync!$U945)</f>
        <v/>
      </c>
      <c r="B948">
        <f>IF($A948="","",IF(ISNUMBER($A948),IF(AND($A948&gt;=10000101,$A948&lt;=99991231),INT($A948/10000),""),IFERROR(VALUE(TRIM(LEFT($A948,FIND("/",$A948)-1))),"")))</f>
        <v/>
      </c>
      <c r="C948">
        <f>IF(OR($A948="",$B948=""),"",IF(ISNUMBER($A948),INT(MOD($A948,10000)/100),IFERROR(VALUE(TRIM(LEFT(MID($A948,FIND("/",$A948)+1,20),FIND("/",MID($A948,FIND("/",$A948)+1,20))-1))),"")))</f>
        <v/>
      </c>
      <c r="D948">
        <f>IF(OR($A948="",$B948=""),"",IF(ISNUMBER($A948),MOD($A948,100),IFERROR(VALUE(TRIM(MID(MID($A948,FIND("/",$A948)+1,20),FIND("/",MID($A948,FIND("/",$A948)+1,20))+1,20))),"")))</f>
        <v/>
      </c>
      <c r="E948">
        <f>IF($A948="","",IF(OR($B948="",$C948="",$D948="",$B948&lt;1300,$B948&gt;1500,$C948&lt;1,$C948&gt;12,$D948&lt;1,$D948&gt;31),"نامعتبر",RIGHT("0000"&amp;$B948,4)&amp;"/"&amp;RIGHT("00"&amp;$C948,2)&amp;"/"&amp;RIGHT("00"&amp;$D948,2)))</f>
        <v/>
      </c>
      <c r="F948">
        <f>IF(OR($E948="",$E948="نامعتبر"),"",LEFT($E948,4)&amp;"/"&amp;MID($E948,6,2))</f>
        <v/>
      </c>
      <c r="G948">
        <f>IF(OR($E948="",$E948="نامعتبر",Sync!$Y945=""),"",Sync!$Y945)</f>
        <v/>
      </c>
      <c r="H948">
        <f>IF($G948="","",IF(Sync!$X945="","",Sync!$X945))</f>
        <v/>
      </c>
      <c r="I948">
        <f>IF($G948="","",IFERROR(VLOOKUP(Sync!$X945,OpTbl,3,0),""))</f>
        <v/>
      </c>
      <c r="J948">
        <f>IF(OR($G948="",Sync!$Z945=""),"",Sync!$Z945)</f>
        <v/>
      </c>
      <c r="K948">
        <f>IF(OR($G948="",Sync!$AA945=""),"",Sync!$AA945)</f>
        <v/>
      </c>
      <c r="L948">
        <f>IF($G948="",0,IF(Sync!$AB945="",0,Sync!$AB945))</f>
        <v/>
      </c>
      <c r="M948">
        <f>IF($G948="",0,IF(Sync!$AC945="",0,Sync!$AC945))</f>
        <v/>
      </c>
      <c r="N948">
        <f>IF($G948="","",IF($H948="مرجوعی خرید",-1,1)*($L948-$M948*IFERROR(VLOOKUP("P01",ParamTbl,3,0),1.5))*(1-IF($I948="خرید",IFERROR(VLOOKUP("P02",ParamTbl,3,0),1),0)/100))</f>
        <v/>
      </c>
      <c r="O948">
        <f>IF($G948="",0,IF($H948="مرجوعی خرید",-1,1)*IF(Sync!$AD945="",0,Sync!$AD945))</f>
        <v/>
      </c>
      <c r="P948">
        <f>IF(OR($G948="",Sync!$W945=""),"",Sync!$W945)</f>
        <v/>
      </c>
      <c r="Q948">
        <f>IF(OR($G948="",Sync!$AE945=""),"",Sync!$AE945)</f>
        <v/>
      </c>
      <c r="R948">
        <f>IF($G948="","",IF(Sync!$V945="","0000",IF(AND(ISNUMBER(Sync!$V945),Sync!$V945&gt;=0,Sync!$V945&lt;1),RIGHT("00"&amp;HOUR(Sync!$V945),2)&amp;RIGHT("00"&amp;MINUTE(Sync!$V945),2),IFERROR(RIGHT("00"&amp;VALUE(LEFT(Sync!$V945,FIND(":",Sync!$V945)-1)),2)&amp;RIGHT("00"&amp;VALUE(MID(Sync!$V945,FIND(":",Sync!$V945)+1,2)),2),"0000"))))</f>
        <v/>
      </c>
    </row>
    <row r="949">
      <c r="A949">
        <f>IF(Sync!$U946="","",Sync!$U946)</f>
        <v/>
      </c>
      <c r="B949">
        <f>IF($A949="","",IF(ISNUMBER($A949),IF(AND($A949&gt;=10000101,$A949&lt;=99991231),INT($A949/10000),""),IFERROR(VALUE(TRIM(LEFT($A949,FIND("/",$A949)-1))),"")))</f>
        <v/>
      </c>
      <c r="C949">
        <f>IF(OR($A949="",$B949=""),"",IF(ISNUMBER($A949),INT(MOD($A949,10000)/100),IFERROR(VALUE(TRIM(LEFT(MID($A949,FIND("/",$A949)+1,20),FIND("/",MID($A949,FIND("/",$A949)+1,20))-1))),"")))</f>
        <v/>
      </c>
      <c r="D949">
        <f>IF(OR($A949="",$B949=""),"",IF(ISNUMBER($A949),MOD($A949,100),IFERROR(VALUE(TRIM(MID(MID($A949,FIND("/",$A949)+1,20),FIND("/",MID($A949,FIND("/",$A949)+1,20))+1,20))),"")))</f>
        <v/>
      </c>
      <c r="E949">
        <f>IF($A949="","",IF(OR($B949="",$C949="",$D949="",$B949&lt;1300,$B949&gt;1500,$C949&lt;1,$C949&gt;12,$D949&lt;1,$D949&gt;31),"نامعتبر",RIGHT("0000"&amp;$B949,4)&amp;"/"&amp;RIGHT("00"&amp;$C949,2)&amp;"/"&amp;RIGHT("00"&amp;$D949,2)))</f>
        <v/>
      </c>
      <c r="F949">
        <f>IF(OR($E949="",$E949="نامعتبر"),"",LEFT($E949,4)&amp;"/"&amp;MID($E949,6,2))</f>
        <v/>
      </c>
      <c r="G949">
        <f>IF(OR($E949="",$E949="نامعتبر",Sync!$Y946=""),"",Sync!$Y946)</f>
        <v/>
      </c>
      <c r="H949">
        <f>IF($G949="","",IF(Sync!$X946="","",Sync!$X946))</f>
        <v/>
      </c>
      <c r="I949">
        <f>IF($G949="","",IFERROR(VLOOKUP(Sync!$X946,OpTbl,3,0),""))</f>
        <v/>
      </c>
      <c r="J949">
        <f>IF(OR($G949="",Sync!$Z946=""),"",Sync!$Z946)</f>
        <v/>
      </c>
      <c r="K949">
        <f>IF(OR($G949="",Sync!$AA946=""),"",Sync!$AA946)</f>
        <v/>
      </c>
      <c r="L949">
        <f>IF($G949="",0,IF(Sync!$AB946="",0,Sync!$AB946))</f>
        <v/>
      </c>
      <c r="M949">
        <f>IF($G949="",0,IF(Sync!$AC946="",0,Sync!$AC946))</f>
        <v/>
      </c>
      <c r="N949">
        <f>IF($G949="","",IF($H949="مرجوعی خرید",-1,1)*($L949-$M949*IFERROR(VLOOKUP("P01",ParamTbl,3,0),1.5))*(1-IF($I949="خرید",IFERROR(VLOOKUP("P02",ParamTbl,3,0),1),0)/100))</f>
        <v/>
      </c>
      <c r="O949">
        <f>IF($G949="",0,IF($H949="مرجوعی خرید",-1,1)*IF(Sync!$AD946="",0,Sync!$AD946))</f>
        <v/>
      </c>
      <c r="P949">
        <f>IF(OR($G949="",Sync!$W946=""),"",Sync!$W946)</f>
        <v/>
      </c>
      <c r="Q949">
        <f>IF(OR($G949="",Sync!$AE946=""),"",Sync!$AE946)</f>
        <v/>
      </c>
      <c r="R949">
        <f>IF($G949="","",IF(Sync!$V946="","0000",IF(AND(ISNUMBER(Sync!$V946),Sync!$V946&gt;=0,Sync!$V946&lt;1),RIGHT("00"&amp;HOUR(Sync!$V946),2)&amp;RIGHT("00"&amp;MINUTE(Sync!$V946),2),IFERROR(RIGHT("00"&amp;VALUE(LEFT(Sync!$V946,FIND(":",Sync!$V946)-1)),2)&amp;RIGHT("00"&amp;VALUE(MID(Sync!$V946,FIND(":",Sync!$V946)+1,2)),2),"0000"))))</f>
        <v/>
      </c>
    </row>
    <row r="950">
      <c r="A950">
        <f>IF(Sync!$U947="","",Sync!$U947)</f>
        <v/>
      </c>
      <c r="B950">
        <f>IF($A950="","",IF(ISNUMBER($A950),IF(AND($A950&gt;=10000101,$A950&lt;=99991231),INT($A950/10000),""),IFERROR(VALUE(TRIM(LEFT($A950,FIND("/",$A950)-1))),"")))</f>
        <v/>
      </c>
      <c r="C950">
        <f>IF(OR($A950="",$B950=""),"",IF(ISNUMBER($A950),INT(MOD($A950,10000)/100),IFERROR(VALUE(TRIM(LEFT(MID($A950,FIND("/",$A950)+1,20),FIND("/",MID($A950,FIND("/",$A950)+1,20))-1))),"")))</f>
        <v/>
      </c>
      <c r="D950">
        <f>IF(OR($A950="",$B950=""),"",IF(ISNUMBER($A950),MOD($A950,100),IFERROR(VALUE(TRIM(MID(MID($A950,FIND("/",$A950)+1,20),FIND("/",MID($A950,FIND("/",$A950)+1,20))+1,20))),"")))</f>
        <v/>
      </c>
      <c r="E950">
        <f>IF($A950="","",IF(OR($B950="",$C950="",$D950="",$B950&lt;1300,$B950&gt;1500,$C950&lt;1,$C950&gt;12,$D950&lt;1,$D950&gt;31),"نامعتبر",RIGHT("0000"&amp;$B950,4)&amp;"/"&amp;RIGHT("00"&amp;$C950,2)&amp;"/"&amp;RIGHT("00"&amp;$D950,2)))</f>
        <v/>
      </c>
      <c r="F950">
        <f>IF(OR($E950="",$E950="نامعتبر"),"",LEFT($E950,4)&amp;"/"&amp;MID($E950,6,2))</f>
        <v/>
      </c>
      <c r="G950">
        <f>IF(OR($E950="",$E950="نامعتبر",Sync!$Y947=""),"",Sync!$Y947)</f>
        <v/>
      </c>
      <c r="H950">
        <f>IF($G950="","",IF(Sync!$X947="","",Sync!$X947))</f>
        <v/>
      </c>
      <c r="I950">
        <f>IF($G950="","",IFERROR(VLOOKUP(Sync!$X947,OpTbl,3,0),""))</f>
        <v/>
      </c>
      <c r="J950">
        <f>IF(OR($G950="",Sync!$Z947=""),"",Sync!$Z947)</f>
        <v/>
      </c>
      <c r="K950">
        <f>IF(OR($G950="",Sync!$AA947=""),"",Sync!$AA947)</f>
        <v/>
      </c>
      <c r="L950">
        <f>IF($G950="",0,IF(Sync!$AB947="",0,Sync!$AB947))</f>
        <v/>
      </c>
      <c r="M950">
        <f>IF($G950="",0,IF(Sync!$AC947="",0,Sync!$AC947))</f>
        <v/>
      </c>
      <c r="N950">
        <f>IF($G950="","",IF($H950="مرجوعی خرید",-1,1)*($L950-$M950*IFERROR(VLOOKUP("P01",ParamTbl,3,0),1.5))*(1-IF($I950="خرید",IFERROR(VLOOKUP("P02",ParamTbl,3,0),1),0)/100))</f>
        <v/>
      </c>
      <c r="O950">
        <f>IF($G950="",0,IF($H950="مرجوعی خرید",-1,1)*IF(Sync!$AD947="",0,Sync!$AD947))</f>
        <v/>
      </c>
      <c r="P950">
        <f>IF(OR($G950="",Sync!$W947=""),"",Sync!$W947)</f>
        <v/>
      </c>
      <c r="Q950">
        <f>IF(OR($G950="",Sync!$AE947=""),"",Sync!$AE947)</f>
        <v/>
      </c>
      <c r="R950">
        <f>IF($G950="","",IF(Sync!$V947="","0000",IF(AND(ISNUMBER(Sync!$V947),Sync!$V947&gt;=0,Sync!$V947&lt;1),RIGHT("00"&amp;HOUR(Sync!$V947),2)&amp;RIGHT("00"&amp;MINUTE(Sync!$V947),2),IFERROR(RIGHT("00"&amp;VALUE(LEFT(Sync!$V947,FIND(":",Sync!$V947)-1)),2)&amp;RIGHT("00"&amp;VALUE(MID(Sync!$V947,FIND(":",Sync!$V947)+1,2)),2),"0000"))))</f>
        <v/>
      </c>
    </row>
    <row r="951">
      <c r="A951">
        <f>IF(Sync!$U948="","",Sync!$U948)</f>
        <v/>
      </c>
      <c r="B951">
        <f>IF($A951="","",IF(ISNUMBER($A951),IF(AND($A951&gt;=10000101,$A951&lt;=99991231),INT($A951/10000),""),IFERROR(VALUE(TRIM(LEFT($A951,FIND("/",$A951)-1))),"")))</f>
        <v/>
      </c>
      <c r="C951">
        <f>IF(OR($A951="",$B951=""),"",IF(ISNUMBER($A951),INT(MOD($A951,10000)/100),IFERROR(VALUE(TRIM(LEFT(MID($A951,FIND("/",$A951)+1,20),FIND("/",MID($A951,FIND("/",$A951)+1,20))-1))),"")))</f>
        <v/>
      </c>
      <c r="D951">
        <f>IF(OR($A951="",$B951=""),"",IF(ISNUMBER($A951),MOD($A951,100),IFERROR(VALUE(TRIM(MID(MID($A951,FIND("/",$A951)+1,20),FIND("/",MID($A951,FIND("/",$A951)+1,20))+1,20))),"")))</f>
        <v/>
      </c>
      <c r="E951">
        <f>IF($A951="","",IF(OR($B951="",$C951="",$D951="",$B951&lt;1300,$B951&gt;1500,$C951&lt;1,$C951&gt;12,$D951&lt;1,$D951&gt;31),"نامعتبر",RIGHT("0000"&amp;$B951,4)&amp;"/"&amp;RIGHT("00"&amp;$C951,2)&amp;"/"&amp;RIGHT("00"&amp;$D951,2)))</f>
        <v/>
      </c>
      <c r="F951">
        <f>IF(OR($E951="",$E951="نامعتبر"),"",LEFT($E951,4)&amp;"/"&amp;MID($E951,6,2))</f>
        <v/>
      </c>
      <c r="G951">
        <f>IF(OR($E951="",$E951="نامعتبر",Sync!$Y948=""),"",Sync!$Y948)</f>
        <v/>
      </c>
      <c r="H951">
        <f>IF($G951="","",IF(Sync!$X948="","",Sync!$X948))</f>
        <v/>
      </c>
      <c r="I951">
        <f>IF($G951="","",IFERROR(VLOOKUP(Sync!$X948,OpTbl,3,0),""))</f>
        <v/>
      </c>
      <c r="J951">
        <f>IF(OR($G951="",Sync!$Z948=""),"",Sync!$Z948)</f>
        <v/>
      </c>
      <c r="K951">
        <f>IF(OR($G951="",Sync!$AA948=""),"",Sync!$AA948)</f>
        <v/>
      </c>
      <c r="L951">
        <f>IF($G951="",0,IF(Sync!$AB948="",0,Sync!$AB948))</f>
        <v/>
      </c>
      <c r="M951">
        <f>IF($G951="",0,IF(Sync!$AC948="",0,Sync!$AC948))</f>
        <v/>
      </c>
      <c r="N951">
        <f>IF($G951="","",IF($H951="مرجوعی خرید",-1,1)*($L951-$M951*IFERROR(VLOOKUP("P01",ParamTbl,3,0),1.5))*(1-IF($I951="خرید",IFERROR(VLOOKUP("P02",ParamTbl,3,0),1),0)/100))</f>
        <v/>
      </c>
      <c r="O951">
        <f>IF($G951="",0,IF($H951="مرجوعی خرید",-1,1)*IF(Sync!$AD948="",0,Sync!$AD948))</f>
        <v/>
      </c>
      <c r="P951">
        <f>IF(OR($G951="",Sync!$W948=""),"",Sync!$W948)</f>
        <v/>
      </c>
      <c r="Q951">
        <f>IF(OR($G951="",Sync!$AE948=""),"",Sync!$AE948)</f>
        <v/>
      </c>
      <c r="R951">
        <f>IF($G951="","",IF(Sync!$V948="","0000",IF(AND(ISNUMBER(Sync!$V948),Sync!$V948&gt;=0,Sync!$V948&lt;1),RIGHT("00"&amp;HOUR(Sync!$V948),2)&amp;RIGHT("00"&amp;MINUTE(Sync!$V948),2),IFERROR(RIGHT("00"&amp;VALUE(LEFT(Sync!$V948,FIND(":",Sync!$V948)-1)),2)&amp;RIGHT("00"&amp;VALUE(MID(Sync!$V948,FIND(":",Sync!$V948)+1,2)),2),"0000"))))</f>
        <v/>
      </c>
    </row>
    <row r="952">
      <c r="A952">
        <f>IF(Sync!$U949="","",Sync!$U949)</f>
        <v/>
      </c>
      <c r="B952">
        <f>IF($A952="","",IF(ISNUMBER($A952),IF(AND($A952&gt;=10000101,$A952&lt;=99991231),INT($A952/10000),""),IFERROR(VALUE(TRIM(LEFT($A952,FIND("/",$A952)-1))),"")))</f>
        <v/>
      </c>
      <c r="C952">
        <f>IF(OR($A952="",$B952=""),"",IF(ISNUMBER($A952),INT(MOD($A952,10000)/100),IFERROR(VALUE(TRIM(LEFT(MID($A952,FIND("/",$A952)+1,20),FIND("/",MID($A952,FIND("/",$A952)+1,20))-1))),"")))</f>
        <v/>
      </c>
      <c r="D952">
        <f>IF(OR($A952="",$B952=""),"",IF(ISNUMBER($A952),MOD($A952,100),IFERROR(VALUE(TRIM(MID(MID($A952,FIND("/",$A952)+1,20),FIND("/",MID($A952,FIND("/",$A952)+1,20))+1,20))),"")))</f>
        <v/>
      </c>
      <c r="E952">
        <f>IF($A952="","",IF(OR($B952="",$C952="",$D952="",$B952&lt;1300,$B952&gt;1500,$C952&lt;1,$C952&gt;12,$D952&lt;1,$D952&gt;31),"نامعتبر",RIGHT("0000"&amp;$B952,4)&amp;"/"&amp;RIGHT("00"&amp;$C952,2)&amp;"/"&amp;RIGHT("00"&amp;$D952,2)))</f>
        <v/>
      </c>
      <c r="F952">
        <f>IF(OR($E952="",$E952="نامعتبر"),"",LEFT($E952,4)&amp;"/"&amp;MID($E952,6,2))</f>
        <v/>
      </c>
      <c r="G952">
        <f>IF(OR($E952="",$E952="نامعتبر",Sync!$Y949=""),"",Sync!$Y949)</f>
        <v/>
      </c>
      <c r="H952">
        <f>IF($G952="","",IF(Sync!$X949="","",Sync!$X949))</f>
        <v/>
      </c>
      <c r="I952">
        <f>IF($G952="","",IFERROR(VLOOKUP(Sync!$X949,OpTbl,3,0),""))</f>
        <v/>
      </c>
      <c r="J952">
        <f>IF(OR($G952="",Sync!$Z949=""),"",Sync!$Z949)</f>
        <v/>
      </c>
      <c r="K952">
        <f>IF(OR($G952="",Sync!$AA949=""),"",Sync!$AA949)</f>
        <v/>
      </c>
      <c r="L952">
        <f>IF($G952="",0,IF(Sync!$AB949="",0,Sync!$AB949))</f>
        <v/>
      </c>
      <c r="M952">
        <f>IF($G952="",0,IF(Sync!$AC949="",0,Sync!$AC949))</f>
        <v/>
      </c>
      <c r="N952">
        <f>IF($G952="","",IF($H952="مرجوعی خرید",-1,1)*($L952-$M952*IFERROR(VLOOKUP("P01",ParamTbl,3,0),1.5))*(1-IF($I952="خرید",IFERROR(VLOOKUP("P02",ParamTbl,3,0),1),0)/100))</f>
        <v/>
      </c>
      <c r="O952">
        <f>IF($G952="",0,IF($H952="مرجوعی خرید",-1,1)*IF(Sync!$AD949="",0,Sync!$AD949))</f>
        <v/>
      </c>
      <c r="P952">
        <f>IF(OR($G952="",Sync!$W949=""),"",Sync!$W949)</f>
        <v/>
      </c>
      <c r="Q952">
        <f>IF(OR($G952="",Sync!$AE949=""),"",Sync!$AE949)</f>
        <v/>
      </c>
      <c r="R952">
        <f>IF($G952="","",IF(Sync!$V949="","0000",IF(AND(ISNUMBER(Sync!$V949),Sync!$V949&gt;=0,Sync!$V949&lt;1),RIGHT("00"&amp;HOUR(Sync!$V949),2)&amp;RIGHT("00"&amp;MINUTE(Sync!$V949),2),IFERROR(RIGHT("00"&amp;VALUE(LEFT(Sync!$V949,FIND(":",Sync!$V949)-1)),2)&amp;RIGHT("00"&amp;VALUE(MID(Sync!$V949,FIND(":",Sync!$V949)+1,2)),2),"0000"))))</f>
        <v/>
      </c>
    </row>
    <row r="953">
      <c r="A953">
        <f>IF(Sync!$U950="","",Sync!$U950)</f>
        <v/>
      </c>
      <c r="B953">
        <f>IF($A953="","",IF(ISNUMBER($A953),IF(AND($A953&gt;=10000101,$A953&lt;=99991231),INT($A953/10000),""),IFERROR(VALUE(TRIM(LEFT($A953,FIND("/",$A953)-1))),"")))</f>
        <v/>
      </c>
      <c r="C953">
        <f>IF(OR($A953="",$B953=""),"",IF(ISNUMBER($A953),INT(MOD($A953,10000)/100),IFERROR(VALUE(TRIM(LEFT(MID($A953,FIND("/",$A953)+1,20),FIND("/",MID($A953,FIND("/",$A953)+1,20))-1))),"")))</f>
        <v/>
      </c>
      <c r="D953">
        <f>IF(OR($A953="",$B953=""),"",IF(ISNUMBER($A953),MOD($A953,100),IFERROR(VALUE(TRIM(MID(MID($A953,FIND("/",$A953)+1,20),FIND("/",MID($A953,FIND("/",$A953)+1,20))+1,20))),"")))</f>
        <v/>
      </c>
      <c r="E953">
        <f>IF($A953="","",IF(OR($B953="",$C953="",$D953="",$B953&lt;1300,$B953&gt;1500,$C953&lt;1,$C953&gt;12,$D953&lt;1,$D953&gt;31),"نامعتبر",RIGHT("0000"&amp;$B953,4)&amp;"/"&amp;RIGHT("00"&amp;$C953,2)&amp;"/"&amp;RIGHT("00"&amp;$D953,2)))</f>
        <v/>
      </c>
      <c r="F953">
        <f>IF(OR($E953="",$E953="نامعتبر"),"",LEFT($E953,4)&amp;"/"&amp;MID($E953,6,2))</f>
        <v/>
      </c>
      <c r="G953">
        <f>IF(OR($E953="",$E953="نامعتبر",Sync!$Y950=""),"",Sync!$Y950)</f>
        <v/>
      </c>
      <c r="H953">
        <f>IF($G953="","",IF(Sync!$X950="","",Sync!$X950))</f>
        <v/>
      </c>
      <c r="I953">
        <f>IF($G953="","",IFERROR(VLOOKUP(Sync!$X950,OpTbl,3,0),""))</f>
        <v/>
      </c>
      <c r="J953">
        <f>IF(OR($G953="",Sync!$Z950=""),"",Sync!$Z950)</f>
        <v/>
      </c>
      <c r="K953">
        <f>IF(OR($G953="",Sync!$AA950=""),"",Sync!$AA950)</f>
        <v/>
      </c>
      <c r="L953">
        <f>IF($G953="",0,IF(Sync!$AB950="",0,Sync!$AB950))</f>
        <v/>
      </c>
      <c r="M953">
        <f>IF($G953="",0,IF(Sync!$AC950="",0,Sync!$AC950))</f>
        <v/>
      </c>
      <c r="N953">
        <f>IF($G953="","",IF($H953="مرجوعی خرید",-1,1)*($L953-$M953*IFERROR(VLOOKUP("P01",ParamTbl,3,0),1.5))*(1-IF($I953="خرید",IFERROR(VLOOKUP("P02",ParamTbl,3,0),1),0)/100))</f>
        <v/>
      </c>
      <c r="O953">
        <f>IF($G953="",0,IF($H953="مرجوعی خرید",-1,1)*IF(Sync!$AD950="",0,Sync!$AD950))</f>
        <v/>
      </c>
      <c r="P953">
        <f>IF(OR($G953="",Sync!$W950=""),"",Sync!$W950)</f>
        <v/>
      </c>
      <c r="Q953">
        <f>IF(OR($G953="",Sync!$AE950=""),"",Sync!$AE950)</f>
        <v/>
      </c>
      <c r="R953">
        <f>IF($G953="","",IF(Sync!$V950="","0000",IF(AND(ISNUMBER(Sync!$V950),Sync!$V950&gt;=0,Sync!$V950&lt;1),RIGHT("00"&amp;HOUR(Sync!$V950),2)&amp;RIGHT("00"&amp;MINUTE(Sync!$V950),2),IFERROR(RIGHT("00"&amp;VALUE(LEFT(Sync!$V950,FIND(":",Sync!$V950)-1)),2)&amp;RIGHT("00"&amp;VALUE(MID(Sync!$V950,FIND(":",Sync!$V950)+1,2)),2),"0000"))))</f>
        <v/>
      </c>
    </row>
    <row r="954">
      <c r="A954">
        <f>IF(Sync!$U951="","",Sync!$U951)</f>
        <v/>
      </c>
      <c r="B954">
        <f>IF($A954="","",IF(ISNUMBER($A954),IF(AND($A954&gt;=10000101,$A954&lt;=99991231),INT($A954/10000),""),IFERROR(VALUE(TRIM(LEFT($A954,FIND("/",$A954)-1))),"")))</f>
        <v/>
      </c>
      <c r="C954">
        <f>IF(OR($A954="",$B954=""),"",IF(ISNUMBER($A954),INT(MOD($A954,10000)/100),IFERROR(VALUE(TRIM(LEFT(MID($A954,FIND("/",$A954)+1,20),FIND("/",MID($A954,FIND("/",$A954)+1,20))-1))),"")))</f>
        <v/>
      </c>
      <c r="D954">
        <f>IF(OR($A954="",$B954=""),"",IF(ISNUMBER($A954),MOD($A954,100),IFERROR(VALUE(TRIM(MID(MID($A954,FIND("/",$A954)+1,20),FIND("/",MID($A954,FIND("/",$A954)+1,20))+1,20))),"")))</f>
        <v/>
      </c>
      <c r="E954">
        <f>IF($A954="","",IF(OR($B954="",$C954="",$D954="",$B954&lt;1300,$B954&gt;1500,$C954&lt;1,$C954&gt;12,$D954&lt;1,$D954&gt;31),"نامعتبر",RIGHT("0000"&amp;$B954,4)&amp;"/"&amp;RIGHT("00"&amp;$C954,2)&amp;"/"&amp;RIGHT("00"&amp;$D954,2)))</f>
        <v/>
      </c>
      <c r="F954">
        <f>IF(OR($E954="",$E954="نامعتبر"),"",LEFT($E954,4)&amp;"/"&amp;MID($E954,6,2))</f>
        <v/>
      </c>
      <c r="G954">
        <f>IF(OR($E954="",$E954="نامعتبر",Sync!$Y951=""),"",Sync!$Y951)</f>
        <v/>
      </c>
      <c r="H954">
        <f>IF($G954="","",IF(Sync!$X951="","",Sync!$X951))</f>
        <v/>
      </c>
      <c r="I954">
        <f>IF($G954="","",IFERROR(VLOOKUP(Sync!$X951,OpTbl,3,0),""))</f>
        <v/>
      </c>
      <c r="J954">
        <f>IF(OR($G954="",Sync!$Z951=""),"",Sync!$Z951)</f>
        <v/>
      </c>
      <c r="K954">
        <f>IF(OR($G954="",Sync!$AA951=""),"",Sync!$AA951)</f>
        <v/>
      </c>
      <c r="L954">
        <f>IF($G954="",0,IF(Sync!$AB951="",0,Sync!$AB951))</f>
        <v/>
      </c>
      <c r="M954">
        <f>IF($G954="",0,IF(Sync!$AC951="",0,Sync!$AC951))</f>
        <v/>
      </c>
      <c r="N954">
        <f>IF($G954="","",IF($H954="مرجوعی خرید",-1,1)*($L954-$M954*IFERROR(VLOOKUP("P01",ParamTbl,3,0),1.5))*(1-IF($I954="خرید",IFERROR(VLOOKUP("P02",ParamTbl,3,0),1),0)/100))</f>
        <v/>
      </c>
      <c r="O954">
        <f>IF($G954="",0,IF($H954="مرجوعی خرید",-1,1)*IF(Sync!$AD951="",0,Sync!$AD951))</f>
        <v/>
      </c>
      <c r="P954">
        <f>IF(OR($G954="",Sync!$W951=""),"",Sync!$W951)</f>
        <v/>
      </c>
      <c r="Q954">
        <f>IF(OR($G954="",Sync!$AE951=""),"",Sync!$AE951)</f>
        <v/>
      </c>
      <c r="R954">
        <f>IF($G954="","",IF(Sync!$V951="","0000",IF(AND(ISNUMBER(Sync!$V951),Sync!$V951&gt;=0,Sync!$V951&lt;1),RIGHT("00"&amp;HOUR(Sync!$V951),2)&amp;RIGHT("00"&amp;MINUTE(Sync!$V951),2),IFERROR(RIGHT("00"&amp;VALUE(LEFT(Sync!$V951,FIND(":",Sync!$V951)-1)),2)&amp;RIGHT("00"&amp;VALUE(MID(Sync!$V951,FIND(":",Sync!$V951)+1,2)),2),"0000"))))</f>
        <v/>
      </c>
    </row>
    <row r="955">
      <c r="A955">
        <f>IF(Sync!$U952="","",Sync!$U952)</f>
        <v/>
      </c>
      <c r="B955">
        <f>IF($A955="","",IF(ISNUMBER($A955),IF(AND($A955&gt;=10000101,$A955&lt;=99991231),INT($A955/10000),""),IFERROR(VALUE(TRIM(LEFT($A955,FIND("/",$A955)-1))),"")))</f>
        <v/>
      </c>
      <c r="C955">
        <f>IF(OR($A955="",$B955=""),"",IF(ISNUMBER($A955),INT(MOD($A955,10000)/100),IFERROR(VALUE(TRIM(LEFT(MID($A955,FIND("/",$A955)+1,20),FIND("/",MID($A955,FIND("/",$A955)+1,20))-1))),"")))</f>
        <v/>
      </c>
      <c r="D955">
        <f>IF(OR($A955="",$B955=""),"",IF(ISNUMBER($A955),MOD($A955,100),IFERROR(VALUE(TRIM(MID(MID($A955,FIND("/",$A955)+1,20),FIND("/",MID($A955,FIND("/",$A955)+1,20))+1,20))),"")))</f>
        <v/>
      </c>
      <c r="E955">
        <f>IF($A955="","",IF(OR($B955="",$C955="",$D955="",$B955&lt;1300,$B955&gt;1500,$C955&lt;1,$C955&gt;12,$D955&lt;1,$D955&gt;31),"نامعتبر",RIGHT("0000"&amp;$B955,4)&amp;"/"&amp;RIGHT("00"&amp;$C955,2)&amp;"/"&amp;RIGHT("00"&amp;$D955,2)))</f>
        <v/>
      </c>
      <c r="F955">
        <f>IF(OR($E955="",$E955="نامعتبر"),"",LEFT($E955,4)&amp;"/"&amp;MID($E955,6,2))</f>
        <v/>
      </c>
      <c r="G955">
        <f>IF(OR($E955="",$E955="نامعتبر",Sync!$Y952=""),"",Sync!$Y952)</f>
        <v/>
      </c>
      <c r="H955">
        <f>IF($G955="","",IF(Sync!$X952="","",Sync!$X952))</f>
        <v/>
      </c>
      <c r="I955">
        <f>IF($G955="","",IFERROR(VLOOKUP(Sync!$X952,OpTbl,3,0),""))</f>
        <v/>
      </c>
      <c r="J955">
        <f>IF(OR($G955="",Sync!$Z952=""),"",Sync!$Z952)</f>
        <v/>
      </c>
      <c r="K955">
        <f>IF(OR($G955="",Sync!$AA952=""),"",Sync!$AA952)</f>
        <v/>
      </c>
      <c r="L955">
        <f>IF($G955="",0,IF(Sync!$AB952="",0,Sync!$AB952))</f>
        <v/>
      </c>
      <c r="M955">
        <f>IF($G955="",0,IF(Sync!$AC952="",0,Sync!$AC952))</f>
        <v/>
      </c>
      <c r="N955">
        <f>IF($G955="","",IF($H955="مرجوعی خرید",-1,1)*($L955-$M955*IFERROR(VLOOKUP("P01",ParamTbl,3,0),1.5))*(1-IF($I955="خرید",IFERROR(VLOOKUP("P02",ParamTbl,3,0),1),0)/100))</f>
        <v/>
      </c>
      <c r="O955">
        <f>IF($G955="",0,IF($H955="مرجوعی خرید",-1,1)*IF(Sync!$AD952="",0,Sync!$AD952))</f>
        <v/>
      </c>
      <c r="P955">
        <f>IF(OR($G955="",Sync!$W952=""),"",Sync!$W952)</f>
        <v/>
      </c>
      <c r="Q955">
        <f>IF(OR($G955="",Sync!$AE952=""),"",Sync!$AE952)</f>
        <v/>
      </c>
      <c r="R955">
        <f>IF($G955="","",IF(Sync!$V952="","0000",IF(AND(ISNUMBER(Sync!$V952),Sync!$V952&gt;=0,Sync!$V952&lt;1),RIGHT("00"&amp;HOUR(Sync!$V952),2)&amp;RIGHT("00"&amp;MINUTE(Sync!$V952),2),IFERROR(RIGHT("00"&amp;VALUE(LEFT(Sync!$V952,FIND(":",Sync!$V952)-1)),2)&amp;RIGHT("00"&amp;VALUE(MID(Sync!$V952,FIND(":",Sync!$V952)+1,2)),2),"0000"))))</f>
        <v/>
      </c>
    </row>
    <row r="956">
      <c r="A956">
        <f>IF(Sync!$U953="","",Sync!$U953)</f>
        <v/>
      </c>
      <c r="B956">
        <f>IF($A956="","",IF(ISNUMBER($A956),IF(AND($A956&gt;=10000101,$A956&lt;=99991231),INT($A956/10000),""),IFERROR(VALUE(TRIM(LEFT($A956,FIND("/",$A956)-1))),"")))</f>
        <v/>
      </c>
      <c r="C956">
        <f>IF(OR($A956="",$B956=""),"",IF(ISNUMBER($A956),INT(MOD($A956,10000)/100),IFERROR(VALUE(TRIM(LEFT(MID($A956,FIND("/",$A956)+1,20),FIND("/",MID($A956,FIND("/",$A956)+1,20))-1))),"")))</f>
        <v/>
      </c>
      <c r="D956">
        <f>IF(OR($A956="",$B956=""),"",IF(ISNUMBER($A956),MOD($A956,100),IFERROR(VALUE(TRIM(MID(MID($A956,FIND("/",$A956)+1,20),FIND("/",MID($A956,FIND("/",$A956)+1,20))+1,20))),"")))</f>
        <v/>
      </c>
      <c r="E956">
        <f>IF($A956="","",IF(OR($B956="",$C956="",$D956="",$B956&lt;1300,$B956&gt;1500,$C956&lt;1,$C956&gt;12,$D956&lt;1,$D956&gt;31),"نامعتبر",RIGHT("0000"&amp;$B956,4)&amp;"/"&amp;RIGHT("00"&amp;$C956,2)&amp;"/"&amp;RIGHT("00"&amp;$D956,2)))</f>
        <v/>
      </c>
      <c r="F956">
        <f>IF(OR($E956="",$E956="نامعتبر"),"",LEFT($E956,4)&amp;"/"&amp;MID($E956,6,2))</f>
        <v/>
      </c>
      <c r="G956">
        <f>IF(OR($E956="",$E956="نامعتبر",Sync!$Y953=""),"",Sync!$Y953)</f>
        <v/>
      </c>
      <c r="H956">
        <f>IF($G956="","",IF(Sync!$X953="","",Sync!$X953))</f>
        <v/>
      </c>
      <c r="I956">
        <f>IF($G956="","",IFERROR(VLOOKUP(Sync!$X953,OpTbl,3,0),""))</f>
        <v/>
      </c>
      <c r="J956">
        <f>IF(OR($G956="",Sync!$Z953=""),"",Sync!$Z953)</f>
        <v/>
      </c>
      <c r="K956">
        <f>IF(OR($G956="",Sync!$AA953=""),"",Sync!$AA953)</f>
        <v/>
      </c>
      <c r="L956">
        <f>IF($G956="",0,IF(Sync!$AB953="",0,Sync!$AB953))</f>
        <v/>
      </c>
      <c r="M956">
        <f>IF($G956="",0,IF(Sync!$AC953="",0,Sync!$AC953))</f>
        <v/>
      </c>
      <c r="N956">
        <f>IF($G956="","",IF($H956="مرجوعی خرید",-1,1)*($L956-$M956*IFERROR(VLOOKUP("P01",ParamTbl,3,0),1.5))*(1-IF($I956="خرید",IFERROR(VLOOKUP("P02",ParamTbl,3,0),1),0)/100))</f>
        <v/>
      </c>
      <c r="O956">
        <f>IF($G956="",0,IF($H956="مرجوعی خرید",-1,1)*IF(Sync!$AD953="",0,Sync!$AD953))</f>
        <v/>
      </c>
      <c r="P956">
        <f>IF(OR($G956="",Sync!$W953=""),"",Sync!$W953)</f>
        <v/>
      </c>
      <c r="Q956">
        <f>IF(OR($G956="",Sync!$AE953=""),"",Sync!$AE953)</f>
        <v/>
      </c>
      <c r="R956">
        <f>IF($G956="","",IF(Sync!$V953="","0000",IF(AND(ISNUMBER(Sync!$V953),Sync!$V953&gt;=0,Sync!$V953&lt;1),RIGHT("00"&amp;HOUR(Sync!$V953),2)&amp;RIGHT("00"&amp;MINUTE(Sync!$V953),2),IFERROR(RIGHT("00"&amp;VALUE(LEFT(Sync!$V953,FIND(":",Sync!$V953)-1)),2)&amp;RIGHT("00"&amp;VALUE(MID(Sync!$V953,FIND(":",Sync!$V953)+1,2)),2),"0000"))))</f>
        <v/>
      </c>
    </row>
    <row r="957">
      <c r="A957">
        <f>IF(Sync!$U954="","",Sync!$U954)</f>
        <v/>
      </c>
      <c r="B957">
        <f>IF($A957="","",IF(ISNUMBER($A957),IF(AND($A957&gt;=10000101,$A957&lt;=99991231),INT($A957/10000),""),IFERROR(VALUE(TRIM(LEFT($A957,FIND("/",$A957)-1))),"")))</f>
        <v/>
      </c>
      <c r="C957">
        <f>IF(OR($A957="",$B957=""),"",IF(ISNUMBER($A957),INT(MOD($A957,10000)/100),IFERROR(VALUE(TRIM(LEFT(MID($A957,FIND("/",$A957)+1,20),FIND("/",MID($A957,FIND("/",$A957)+1,20))-1))),"")))</f>
        <v/>
      </c>
      <c r="D957">
        <f>IF(OR($A957="",$B957=""),"",IF(ISNUMBER($A957),MOD($A957,100),IFERROR(VALUE(TRIM(MID(MID($A957,FIND("/",$A957)+1,20),FIND("/",MID($A957,FIND("/",$A957)+1,20))+1,20))),"")))</f>
        <v/>
      </c>
      <c r="E957">
        <f>IF($A957="","",IF(OR($B957="",$C957="",$D957="",$B957&lt;1300,$B957&gt;1500,$C957&lt;1,$C957&gt;12,$D957&lt;1,$D957&gt;31),"نامعتبر",RIGHT("0000"&amp;$B957,4)&amp;"/"&amp;RIGHT("00"&amp;$C957,2)&amp;"/"&amp;RIGHT("00"&amp;$D957,2)))</f>
        <v/>
      </c>
      <c r="F957">
        <f>IF(OR($E957="",$E957="نامعتبر"),"",LEFT($E957,4)&amp;"/"&amp;MID($E957,6,2))</f>
        <v/>
      </c>
      <c r="G957">
        <f>IF(OR($E957="",$E957="نامعتبر",Sync!$Y954=""),"",Sync!$Y954)</f>
        <v/>
      </c>
      <c r="H957">
        <f>IF($G957="","",IF(Sync!$X954="","",Sync!$X954))</f>
        <v/>
      </c>
      <c r="I957">
        <f>IF($G957="","",IFERROR(VLOOKUP(Sync!$X954,OpTbl,3,0),""))</f>
        <v/>
      </c>
      <c r="J957">
        <f>IF(OR($G957="",Sync!$Z954=""),"",Sync!$Z954)</f>
        <v/>
      </c>
      <c r="K957">
        <f>IF(OR($G957="",Sync!$AA954=""),"",Sync!$AA954)</f>
        <v/>
      </c>
      <c r="L957">
        <f>IF($G957="",0,IF(Sync!$AB954="",0,Sync!$AB954))</f>
        <v/>
      </c>
      <c r="M957">
        <f>IF($G957="",0,IF(Sync!$AC954="",0,Sync!$AC954))</f>
        <v/>
      </c>
      <c r="N957">
        <f>IF($G957="","",IF($H957="مرجوعی خرید",-1,1)*($L957-$M957*IFERROR(VLOOKUP("P01",ParamTbl,3,0),1.5))*(1-IF($I957="خرید",IFERROR(VLOOKUP("P02",ParamTbl,3,0),1),0)/100))</f>
        <v/>
      </c>
      <c r="O957">
        <f>IF($G957="",0,IF($H957="مرجوعی خرید",-1,1)*IF(Sync!$AD954="",0,Sync!$AD954))</f>
        <v/>
      </c>
      <c r="P957">
        <f>IF(OR($G957="",Sync!$W954=""),"",Sync!$W954)</f>
        <v/>
      </c>
      <c r="Q957">
        <f>IF(OR($G957="",Sync!$AE954=""),"",Sync!$AE954)</f>
        <v/>
      </c>
      <c r="R957">
        <f>IF($G957="","",IF(Sync!$V954="","0000",IF(AND(ISNUMBER(Sync!$V954),Sync!$V954&gt;=0,Sync!$V954&lt;1),RIGHT("00"&amp;HOUR(Sync!$V954),2)&amp;RIGHT("00"&amp;MINUTE(Sync!$V954),2),IFERROR(RIGHT("00"&amp;VALUE(LEFT(Sync!$V954,FIND(":",Sync!$V954)-1)),2)&amp;RIGHT("00"&amp;VALUE(MID(Sync!$V954,FIND(":",Sync!$V954)+1,2)),2),"0000"))))</f>
        <v/>
      </c>
    </row>
    <row r="958">
      <c r="A958">
        <f>IF(Sync!$U955="","",Sync!$U955)</f>
        <v/>
      </c>
      <c r="B958">
        <f>IF($A958="","",IF(ISNUMBER($A958),IF(AND($A958&gt;=10000101,$A958&lt;=99991231),INT($A958/10000),""),IFERROR(VALUE(TRIM(LEFT($A958,FIND("/",$A958)-1))),"")))</f>
        <v/>
      </c>
      <c r="C958">
        <f>IF(OR($A958="",$B958=""),"",IF(ISNUMBER($A958),INT(MOD($A958,10000)/100),IFERROR(VALUE(TRIM(LEFT(MID($A958,FIND("/",$A958)+1,20),FIND("/",MID($A958,FIND("/",$A958)+1,20))-1))),"")))</f>
        <v/>
      </c>
      <c r="D958">
        <f>IF(OR($A958="",$B958=""),"",IF(ISNUMBER($A958),MOD($A958,100),IFERROR(VALUE(TRIM(MID(MID($A958,FIND("/",$A958)+1,20),FIND("/",MID($A958,FIND("/",$A958)+1,20))+1,20))),"")))</f>
        <v/>
      </c>
      <c r="E958">
        <f>IF($A958="","",IF(OR($B958="",$C958="",$D958="",$B958&lt;1300,$B958&gt;1500,$C958&lt;1,$C958&gt;12,$D958&lt;1,$D958&gt;31),"نامعتبر",RIGHT("0000"&amp;$B958,4)&amp;"/"&amp;RIGHT("00"&amp;$C958,2)&amp;"/"&amp;RIGHT("00"&amp;$D958,2)))</f>
        <v/>
      </c>
      <c r="F958">
        <f>IF(OR($E958="",$E958="نامعتبر"),"",LEFT($E958,4)&amp;"/"&amp;MID($E958,6,2))</f>
        <v/>
      </c>
      <c r="G958">
        <f>IF(OR($E958="",$E958="نامعتبر",Sync!$Y955=""),"",Sync!$Y955)</f>
        <v/>
      </c>
      <c r="H958">
        <f>IF($G958="","",IF(Sync!$X955="","",Sync!$X955))</f>
        <v/>
      </c>
      <c r="I958">
        <f>IF($G958="","",IFERROR(VLOOKUP(Sync!$X955,OpTbl,3,0),""))</f>
        <v/>
      </c>
      <c r="J958">
        <f>IF(OR($G958="",Sync!$Z955=""),"",Sync!$Z955)</f>
        <v/>
      </c>
      <c r="K958">
        <f>IF(OR($G958="",Sync!$AA955=""),"",Sync!$AA955)</f>
        <v/>
      </c>
      <c r="L958">
        <f>IF($G958="",0,IF(Sync!$AB955="",0,Sync!$AB955))</f>
        <v/>
      </c>
      <c r="M958">
        <f>IF($G958="",0,IF(Sync!$AC955="",0,Sync!$AC955))</f>
        <v/>
      </c>
      <c r="N958">
        <f>IF($G958="","",IF($H958="مرجوعی خرید",-1,1)*($L958-$M958*IFERROR(VLOOKUP("P01",ParamTbl,3,0),1.5))*(1-IF($I958="خرید",IFERROR(VLOOKUP("P02",ParamTbl,3,0),1),0)/100))</f>
        <v/>
      </c>
      <c r="O958">
        <f>IF($G958="",0,IF($H958="مرجوعی خرید",-1,1)*IF(Sync!$AD955="",0,Sync!$AD955))</f>
        <v/>
      </c>
      <c r="P958">
        <f>IF(OR($G958="",Sync!$W955=""),"",Sync!$W955)</f>
        <v/>
      </c>
      <c r="Q958">
        <f>IF(OR($G958="",Sync!$AE955=""),"",Sync!$AE955)</f>
        <v/>
      </c>
      <c r="R958">
        <f>IF($G958="","",IF(Sync!$V955="","0000",IF(AND(ISNUMBER(Sync!$V955),Sync!$V955&gt;=0,Sync!$V955&lt;1),RIGHT("00"&amp;HOUR(Sync!$V955),2)&amp;RIGHT("00"&amp;MINUTE(Sync!$V955),2),IFERROR(RIGHT("00"&amp;VALUE(LEFT(Sync!$V955,FIND(":",Sync!$V955)-1)),2)&amp;RIGHT("00"&amp;VALUE(MID(Sync!$V955,FIND(":",Sync!$V955)+1,2)),2),"0000"))))</f>
        <v/>
      </c>
    </row>
    <row r="959">
      <c r="A959">
        <f>IF(Sync!$U956="","",Sync!$U956)</f>
        <v/>
      </c>
      <c r="B959">
        <f>IF($A959="","",IF(ISNUMBER($A959),IF(AND($A959&gt;=10000101,$A959&lt;=99991231),INT($A959/10000),""),IFERROR(VALUE(TRIM(LEFT($A959,FIND("/",$A959)-1))),"")))</f>
        <v/>
      </c>
      <c r="C959">
        <f>IF(OR($A959="",$B959=""),"",IF(ISNUMBER($A959),INT(MOD($A959,10000)/100),IFERROR(VALUE(TRIM(LEFT(MID($A959,FIND("/",$A959)+1,20),FIND("/",MID($A959,FIND("/",$A959)+1,20))-1))),"")))</f>
        <v/>
      </c>
      <c r="D959">
        <f>IF(OR($A959="",$B959=""),"",IF(ISNUMBER($A959),MOD($A959,100),IFERROR(VALUE(TRIM(MID(MID($A959,FIND("/",$A959)+1,20),FIND("/",MID($A959,FIND("/",$A959)+1,20))+1,20))),"")))</f>
        <v/>
      </c>
      <c r="E959">
        <f>IF($A959="","",IF(OR($B959="",$C959="",$D959="",$B959&lt;1300,$B959&gt;1500,$C959&lt;1,$C959&gt;12,$D959&lt;1,$D959&gt;31),"نامعتبر",RIGHT("0000"&amp;$B959,4)&amp;"/"&amp;RIGHT("00"&amp;$C959,2)&amp;"/"&amp;RIGHT("00"&amp;$D959,2)))</f>
        <v/>
      </c>
      <c r="F959">
        <f>IF(OR($E959="",$E959="نامعتبر"),"",LEFT($E959,4)&amp;"/"&amp;MID($E959,6,2))</f>
        <v/>
      </c>
      <c r="G959">
        <f>IF(OR($E959="",$E959="نامعتبر",Sync!$Y956=""),"",Sync!$Y956)</f>
        <v/>
      </c>
      <c r="H959">
        <f>IF($G959="","",IF(Sync!$X956="","",Sync!$X956))</f>
        <v/>
      </c>
      <c r="I959">
        <f>IF($G959="","",IFERROR(VLOOKUP(Sync!$X956,OpTbl,3,0),""))</f>
        <v/>
      </c>
      <c r="J959">
        <f>IF(OR($G959="",Sync!$Z956=""),"",Sync!$Z956)</f>
        <v/>
      </c>
      <c r="K959">
        <f>IF(OR($G959="",Sync!$AA956=""),"",Sync!$AA956)</f>
        <v/>
      </c>
      <c r="L959">
        <f>IF($G959="",0,IF(Sync!$AB956="",0,Sync!$AB956))</f>
        <v/>
      </c>
      <c r="M959">
        <f>IF($G959="",0,IF(Sync!$AC956="",0,Sync!$AC956))</f>
        <v/>
      </c>
      <c r="N959">
        <f>IF($G959="","",IF($H959="مرجوعی خرید",-1,1)*($L959-$M959*IFERROR(VLOOKUP("P01",ParamTbl,3,0),1.5))*(1-IF($I959="خرید",IFERROR(VLOOKUP("P02",ParamTbl,3,0),1),0)/100))</f>
        <v/>
      </c>
      <c r="O959">
        <f>IF($G959="",0,IF($H959="مرجوعی خرید",-1,1)*IF(Sync!$AD956="",0,Sync!$AD956))</f>
        <v/>
      </c>
      <c r="P959">
        <f>IF(OR($G959="",Sync!$W956=""),"",Sync!$W956)</f>
        <v/>
      </c>
      <c r="Q959">
        <f>IF(OR($G959="",Sync!$AE956=""),"",Sync!$AE956)</f>
        <v/>
      </c>
      <c r="R959">
        <f>IF($G959="","",IF(Sync!$V956="","0000",IF(AND(ISNUMBER(Sync!$V956),Sync!$V956&gt;=0,Sync!$V956&lt;1),RIGHT("00"&amp;HOUR(Sync!$V956),2)&amp;RIGHT("00"&amp;MINUTE(Sync!$V956),2),IFERROR(RIGHT("00"&amp;VALUE(LEFT(Sync!$V956,FIND(":",Sync!$V956)-1)),2)&amp;RIGHT("00"&amp;VALUE(MID(Sync!$V956,FIND(":",Sync!$V956)+1,2)),2),"0000"))))</f>
        <v/>
      </c>
    </row>
    <row r="960">
      <c r="A960">
        <f>IF(Sync!$U957="","",Sync!$U957)</f>
        <v/>
      </c>
      <c r="B960">
        <f>IF($A960="","",IF(ISNUMBER($A960),IF(AND($A960&gt;=10000101,$A960&lt;=99991231),INT($A960/10000),""),IFERROR(VALUE(TRIM(LEFT($A960,FIND("/",$A960)-1))),"")))</f>
        <v/>
      </c>
      <c r="C960">
        <f>IF(OR($A960="",$B960=""),"",IF(ISNUMBER($A960),INT(MOD($A960,10000)/100),IFERROR(VALUE(TRIM(LEFT(MID($A960,FIND("/",$A960)+1,20),FIND("/",MID($A960,FIND("/",$A960)+1,20))-1))),"")))</f>
        <v/>
      </c>
      <c r="D960">
        <f>IF(OR($A960="",$B960=""),"",IF(ISNUMBER($A960),MOD($A960,100),IFERROR(VALUE(TRIM(MID(MID($A960,FIND("/",$A960)+1,20),FIND("/",MID($A960,FIND("/",$A960)+1,20))+1,20))),"")))</f>
        <v/>
      </c>
      <c r="E960">
        <f>IF($A960="","",IF(OR($B960="",$C960="",$D960="",$B960&lt;1300,$B960&gt;1500,$C960&lt;1,$C960&gt;12,$D960&lt;1,$D960&gt;31),"نامعتبر",RIGHT("0000"&amp;$B960,4)&amp;"/"&amp;RIGHT("00"&amp;$C960,2)&amp;"/"&amp;RIGHT("00"&amp;$D960,2)))</f>
        <v/>
      </c>
      <c r="F960">
        <f>IF(OR($E960="",$E960="نامعتبر"),"",LEFT($E960,4)&amp;"/"&amp;MID($E960,6,2))</f>
        <v/>
      </c>
      <c r="G960">
        <f>IF(OR($E960="",$E960="نامعتبر",Sync!$Y957=""),"",Sync!$Y957)</f>
        <v/>
      </c>
      <c r="H960">
        <f>IF($G960="","",IF(Sync!$X957="","",Sync!$X957))</f>
        <v/>
      </c>
      <c r="I960">
        <f>IF($G960="","",IFERROR(VLOOKUP(Sync!$X957,OpTbl,3,0),""))</f>
        <v/>
      </c>
      <c r="J960">
        <f>IF(OR($G960="",Sync!$Z957=""),"",Sync!$Z957)</f>
        <v/>
      </c>
      <c r="K960">
        <f>IF(OR($G960="",Sync!$AA957=""),"",Sync!$AA957)</f>
        <v/>
      </c>
      <c r="L960">
        <f>IF($G960="",0,IF(Sync!$AB957="",0,Sync!$AB957))</f>
        <v/>
      </c>
      <c r="M960">
        <f>IF($G960="",0,IF(Sync!$AC957="",0,Sync!$AC957))</f>
        <v/>
      </c>
      <c r="N960">
        <f>IF($G960="","",IF($H960="مرجوعی خرید",-1,1)*($L960-$M960*IFERROR(VLOOKUP("P01",ParamTbl,3,0),1.5))*(1-IF($I960="خرید",IFERROR(VLOOKUP("P02",ParamTbl,3,0),1),0)/100))</f>
        <v/>
      </c>
      <c r="O960">
        <f>IF($G960="",0,IF($H960="مرجوعی خرید",-1,1)*IF(Sync!$AD957="",0,Sync!$AD957))</f>
        <v/>
      </c>
      <c r="P960">
        <f>IF(OR($G960="",Sync!$W957=""),"",Sync!$W957)</f>
        <v/>
      </c>
      <c r="Q960">
        <f>IF(OR($G960="",Sync!$AE957=""),"",Sync!$AE957)</f>
        <v/>
      </c>
      <c r="R960">
        <f>IF($G960="","",IF(Sync!$V957="","0000",IF(AND(ISNUMBER(Sync!$V957),Sync!$V957&gt;=0,Sync!$V957&lt;1),RIGHT("00"&amp;HOUR(Sync!$V957),2)&amp;RIGHT("00"&amp;MINUTE(Sync!$V957),2),IFERROR(RIGHT("00"&amp;VALUE(LEFT(Sync!$V957,FIND(":",Sync!$V957)-1)),2)&amp;RIGHT("00"&amp;VALUE(MID(Sync!$V957,FIND(":",Sync!$V957)+1,2)),2),"0000"))))</f>
        <v/>
      </c>
    </row>
    <row r="961">
      <c r="A961">
        <f>IF(Sync!$U958="","",Sync!$U958)</f>
        <v/>
      </c>
      <c r="B961">
        <f>IF($A961="","",IF(ISNUMBER($A961),IF(AND($A961&gt;=10000101,$A961&lt;=99991231),INT($A961/10000),""),IFERROR(VALUE(TRIM(LEFT($A961,FIND("/",$A961)-1))),"")))</f>
        <v/>
      </c>
      <c r="C961">
        <f>IF(OR($A961="",$B961=""),"",IF(ISNUMBER($A961),INT(MOD($A961,10000)/100),IFERROR(VALUE(TRIM(LEFT(MID($A961,FIND("/",$A961)+1,20),FIND("/",MID($A961,FIND("/",$A961)+1,20))-1))),"")))</f>
        <v/>
      </c>
      <c r="D961">
        <f>IF(OR($A961="",$B961=""),"",IF(ISNUMBER($A961),MOD($A961,100),IFERROR(VALUE(TRIM(MID(MID($A961,FIND("/",$A961)+1,20),FIND("/",MID($A961,FIND("/",$A961)+1,20))+1,20))),"")))</f>
        <v/>
      </c>
      <c r="E961">
        <f>IF($A961="","",IF(OR($B961="",$C961="",$D961="",$B961&lt;1300,$B961&gt;1500,$C961&lt;1,$C961&gt;12,$D961&lt;1,$D961&gt;31),"نامعتبر",RIGHT("0000"&amp;$B961,4)&amp;"/"&amp;RIGHT("00"&amp;$C961,2)&amp;"/"&amp;RIGHT("00"&amp;$D961,2)))</f>
        <v/>
      </c>
      <c r="F961">
        <f>IF(OR($E961="",$E961="نامعتبر"),"",LEFT($E961,4)&amp;"/"&amp;MID($E961,6,2))</f>
        <v/>
      </c>
      <c r="G961">
        <f>IF(OR($E961="",$E961="نامعتبر",Sync!$Y958=""),"",Sync!$Y958)</f>
        <v/>
      </c>
      <c r="H961">
        <f>IF($G961="","",IF(Sync!$X958="","",Sync!$X958))</f>
        <v/>
      </c>
      <c r="I961">
        <f>IF($G961="","",IFERROR(VLOOKUP(Sync!$X958,OpTbl,3,0),""))</f>
        <v/>
      </c>
      <c r="J961">
        <f>IF(OR($G961="",Sync!$Z958=""),"",Sync!$Z958)</f>
        <v/>
      </c>
      <c r="K961">
        <f>IF(OR($G961="",Sync!$AA958=""),"",Sync!$AA958)</f>
        <v/>
      </c>
      <c r="L961">
        <f>IF($G961="",0,IF(Sync!$AB958="",0,Sync!$AB958))</f>
        <v/>
      </c>
      <c r="M961">
        <f>IF($G961="",0,IF(Sync!$AC958="",0,Sync!$AC958))</f>
        <v/>
      </c>
      <c r="N961">
        <f>IF($G961="","",IF($H961="مرجوعی خرید",-1,1)*($L961-$M961*IFERROR(VLOOKUP("P01",ParamTbl,3,0),1.5))*(1-IF($I961="خرید",IFERROR(VLOOKUP("P02",ParamTbl,3,0),1),0)/100))</f>
        <v/>
      </c>
      <c r="O961">
        <f>IF($G961="",0,IF($H961="مرجوعی خرید",-1,1)*IF(Sync!$AD958="",0,Sync!$AD958))</f>
        <v/>
      </c>
      <c r="P961">
        <f>IF(OR($G961="",Sync!$W958=""),"",Sync!$W958)</f>
        <v/>
      </c>
      <c r="Q961">
        <f>IF(OR($G961="",Sync!$AE958=""),"",Sync!$AE958)</f>
        <v/>
      </c>
      <c r="R961">
        <f>IF($G961="","",IF(Sync!$V958="","0000",IF(AND(ISNUMBER(Sync!$V958),Sync!$V958&gt;=0,Sync!$V958&lt;1),RIGHT("00"&amp;HOUR(Sync!$V958),2)&amp;RIGHT("00"&amp;MINUTE(Sync!$V958),2),IFERROR(RIGHT("00"&amp;VALUE(LEFT(Sync!$V958,FIND(":",Sync!$V958)-1)),2)&amp;RIGHT("00"&amp;VALUE(MID(Sync!$V958,FIND(":",Sync!$V958)+1,2)),2),"0000"))))</f>
        <v/>
      </c>
    </row>
    <row r="962">
      <c r="A962">
        <f>IF(Sync!$U959="","",Sync!$U959)</f>
        <v/>
      </c>
      <c r="B962">
        <f>IF($A962="","",IF(ISNUMBER($A962),IF(AND($A962&gt;=10000101,$A962&lt;=99991231),INT($A962/10000),""),IFERROR(VALUE(TRIM(LEFT($A962,FIND("/",$A962)-1))),"")))</f>
        <v/>
      </c>
      <c r="C962">
        <f>IF(OR($A962="",$B962=""),"",IF(ISNUMBER($A962),INT(MOD($A962,10000)/100),IFERROR(VALUE(TRIM(LEFT(MID($A962,FIND("/",$A962)+1,20),FIND("/",MID($A962,FIND("/",$A962)+1,20))-1))),"")))</f>
        <v/>
      </c>
      <c r="D962">
        <f>IF(OR($A962="",$B962=""),"",IF(ISNUMBER($A962),MOD($A962,100),IFERROR(VALUE(TRIM(MID(MID($A962,FIND("/",$A962)+1,20),FIND("/",MID($A962,FIND("/",$A962)+1,20))+1,20))),"")))</f>
        <v/>
      </c>
      <c r="E962">
        <f>IF($A962="","",IF(OR($B962="",$C962="",$D962="",$B962&lt;1300,$B962&gt;1500,$C962&lt;1,$C962&gt;12,$D962&lt;1,$D962&gt;31),"نامعتبر",RIGHT("0000"&amp;$B962,4)&amp;"/"&amp;RIGHT("00"&amp;$C962,2)&amp;"/"&amp;RIGHT("00"&amp;$D962,2)))</f>
        <v/>
      </c>
      <c r="F962">
        <f>IF(OR($E962="",$E962="نامعتبر"),"",LEFT($E962,4)&amp;"/"&amp;MID($E962,6,2))</f>
        <v/>
      </c>
      <c r="G962">
        <f>IF(OR($E962="",$E962="نامعتبر",Sync!$Y959=""),"",Sync!$Y959)</f>
        <v/>
      </c>
      <c r="H962">
        <f>IF($G962="","",IF(Sync!$X959="","",Sync!$X959))</f>
        <v/>
      </c>
      <c r="I962">
        <f>IF($G962="","",IFERROR(VLOOKUP(Sync!$X959,OpTbl,3,0),""))</f>
        <v/>
      </c>
      <c r="J962">
        <f>IF(OR($G962="",Sync!$Z959=""),"",Sync!$Z959)</f>
        <v/>
      </c>
      <c r="K962">
        <f>IF(OR($G962="",Sync!$AA959=""),"",Sync!$AA959)</f>
        <v/>
      </c>
      <c r="L962">
        <f>IF($G962="",0,IF(Sync!$AB959="",0,Sync!$AB959))</f>
        <v/>
      </c>
      <c r="M962">
        <f>IF($G962="",0,IF(Sync!$AC959="",0,Sync!$AC959))</f>
        <v/>
      </c>
      <c r="N962">
        <f>IF($G962="","",IF($H962="مرجوعی خرید",-1,1)*($L962-$M962*IFERROR(VLOOKUP("P01",ParamTbl,3,0),1.5))*(1-IF($I962="خرید",IFERROR(VLOOKUP("P02",ParamTbl,3,0),1),0)/100))</f>
        <v/>
      </c>
      <c r="O962">
        <f>IF($G962="",0,IF($H962="مرجوعی خرید",-1,1)*IF(Sync!$AD959="",0,Sync!$AD959))</f>
        <v/>
      </c>
      <c r="P962">
        <f>IF(OR($G962="",Sync!$W959=""),"",Sync!$W959)</f>
        <v/>
      </c>
      <c r="Q962">
        <f>IF(OR($G962="",Sync!$AE959=""),"",Sync!$AE959)</f>
        <v/>
      </c>
      <c r="R962">
        <f>IF($G962="","",IF(Sync!$V959="","0000",IF(AND(ISNUMBER(Sync!$V959),Sync!$V959&gt;=0,Sync!$V959&lt;1),RIGHT("00"&amp;HOUR(Sync!$V959),2)&amp;RIGHT("00"&amp;MINUTE(Sync!$V959),2),IFERROR(RIGHT("00"&amp;VALUE(LEFT(Sync!$V959,FIND(":",Sync!$V959)-1)),2)&amp;RIGHT("00"&amp;VALUE(MID(Sync!$V959,FIND(":",Sync!$V959)+1,2)),2),"0000"))))</f>
        <v/>
      </c>
    </row>
    <row r="963">
      <c r="A963">
        <f>IF(Sync!$U960="","",Sync!$U960)</f>
        <v/>
      </c>
      <c r="B963">
        <f>IF($A963="","",IF(ISNUMBER($A963),IF(AND($A963&gt;=10000101,$A963&lt;=99991231),INT($A963/10000),""),IFERROR(VALUE(TRIM(LEFT($A963,FIND("/",$A963)-1))),"")))</f>
        <v/>
      </c>
      <c r="C963">
        <f>IF(OR($A963="",$B963=""),"",IF(ISNUMBER($A963),INT(MOD($A963,10000)/100),IFERROR(VALUE(TRIM(LEFT(MID($A963,FIND("/",$A963)+1,20),FIND("/",MID($A963,FIND("/",$A963)+1,20))-1))),"")))</f>
        <v/>
      </c>
      <c r="D963">
        <f>IF(OR($A963="",$B963=""),"",IF(ISNUMBER($A963),MOD($A963,100),IFERROR(VALUE(TRIM(MID(MID($A963,FIND("/",$A963)+1,20),FIND("/",MID($A963,FIND("/",$A963)+1,20))+1,20))),"")))</f>
        <v/>
      </c>
      <c r="E963">
        <f>IF($A963="","",IF(OR($B963="",$C963="",$D963="",$B963&lt;1300,$B963&gt;1500,$C963&lt;1,$C963&gt;12,$D963&lt;1,$D963&gt;31),"نامعتبر",RIGHT("0000"&amp;$B963,4)&amp;"/"&amp;RIGHT("00"&amp;$C963,2)&amp;"/"&amp;RIGHT("00"&amp;$D963,2)))</f>
        <v/>
      </c>
      <c r="F963">
        <f>IF(OR($E963="",$E963="نامعتبر"),"",LEFT($E963,4)&amp;"/"&amp;MID($E963,6,2))</f>
        <v/>
      </c>
      <c r="G963">
        <f>IF(OR($E963="",$E963="نامعتبر",Sync!$Y960=""),"",Sync!$Y960)</f>
        <v/>
      </c>
      <c r="H963">
        <f>IF($G963="","",IF(Sync!$X960="","",Sync!$X960))</f>
        <v/>
      </c>
      <c r="I963">
        <f>IF($G963="","",IFERROR(VLOOKUP(Sync!$X960,OpTbl,3,0),""))</f>
        <v/>
      </c>
      <c r="J963">
        <f>IF(OR($G963="",Sync!$Z960=""),"",Sync!$Z960)</f>
        <v/>
      </c>
      <c r="K963">
        <f>IF(OR($G963="",Sync!$AA960=""),"",Sync!$AA960)</f>
        <v/>
      </c>
      <c r="L963">
        <f>IF($G963="",0,IF(Sync!$AB960="",0,Sync!$AB960))</f>
        <v/>
      </c>
      <c r="M963">
        <f>IF($G963="",0,IF(Sync!$AC960="",0,Sync!$AC960))</f>
        <v/>
      </c>
      <c r="N963">
        <f>IF($G963="","",IF($H963="مرجوعی خرید",-1,1)*($L963-$M963*IFERROR(VLOOKUP("P01",ParamTbl,3,0),1.5))*(1-IF($I963="خرید",IFERROR(VLOOKUP("P02",ParamTbl,3,0),1),0)/100))</f>
        <v/>
      </c>
      <c r="O963">
        <f>IF($G963="",0,IF($H963="مرجوعی خرید",-1,1)*IF(Sync!$AD960="",0,Sync!$AD960))</f>
        <v/>
      </c>
      <c r="P963">
        <f>IF(OR($G963="",Sync!$W960=""),"",Sync!$W960)</f>
        <v/>
      </c>
      <c r="Q963">
        <f>IF(OR($G963="",Sync!$AE960=""),"",Sync!$AE960)</f>
        <v/>
      </c>
      <c r="R963">
        <f>IF($G963="","",IF(Sync!$V960="","0000",IF(AND(ISNUMBER(Sync!$V960),Sync!$V960&gt;=0,Sync!$V960&lt;1),RIGHT("00"&amp;HOUR(Sync!$V960),2)&amp;RIGHT("00"&amp;MINUTE(Sync!$V960),2),IFERROR(RIGHT("00"&amp;VALUE(LEFT(Sync!$V960,FIND(":",Sync!$V960)-1)),2)&amp;RIGHT("00"&amp;VALUE(MID(Sync!$V960,FIND(":",Sync!$V960)+1,2)),2),"0000"))))</f>
        <v/>
      </c>
    </row>
    <row r="964">
      <c r="A964">
        <f>IF(Sync!$U961="","",Sync!$U961)</f>
        <v/>
      </c>
      <c r="B964">
        <f>IF($A964="","",IF(ISNUMBER($A964),IF(AND($A964&gt;=10000101,$A964&lt;=99991231),INT($A964/10000),""),IFERROR(VALUE(TRIM(LEFT($A964,FIND("/",$A964)-1))),"")))</f>
        <v/>
      </c>
      <c r="C964">
        <f>IF(OR($A964="",$B964=""),"",IF(ISNUMBER($A964),INT(MOD($A964,10000)/100),IFERROR(VALUE(TRIM(LEFT(MID($A964,FIND("/",$A964)+1,20),FIND("/",MID($A964,FIND("/",$A964)+1,20))-1))),"")))</f>
        <v/>
      </c>
      <c r="D964">
        <f>IF(OR($A964="",$B964=""),"",IF(ISNUMBER($A964),MOD($A964,100),IFERROR(VALUE(TRIM(MID(MID($A964,FIND("/",$A964)+1,20),FIND("/",MID($A964,FIND("/",$A964)+1,20))+1,20))),"")))</f>
        <v/>
      </c>
      <c r="E964">
        <f>IF($A964="","",IF(OR($B964="",$C964="",$D964="",$B964&lt;1300,$B964&gt;1500,$C964&lt;1,$C964&gt;12,$D964&lt;1,$D964&gt;31),"نامعتبر",RIGHT("0000"&amp;$B964,4)&amp;"/"&amp;RIGHT("00"&amp;$C964,2)&amp;"/"&amp;RIGHT("00"&amp;$D964,2)))</f>
        <v/>
      </c>
      <c r="F964">
        <f>IF(OR($E964="",$E964="نامعتبر"),"",LEFT($E964,4)&amp;"/"&amp;MID($E964,6,2))</f>
        <v/>
      </c>
      <c r="G964">
        <f>IF(OR($E964="",$E964="نامعتبر",Sync!$Y961=""),"",Sync!$Y961)</f>
        <v/>
      </c>
      <c r="H964">
        <f>IF($G964="","",IF(Sync!$X961="","",Sync!$X961))</f>
        <v/>
      </c>
      <c r="I964">
        <f>IF($G964="","",IFERROR(VLOOKUP(Sync!$X961,OpTbl,3,0),""))</f>
        <v/>
      </c>
      <c r="J964">
        <f>IF(OR($G964="",Sync!$Z961=""),"",Sync!$Z961)</f>
        <v/>
      </c>
      <c r="K964">
        <f>IF(OR($G964="",Sync!$AA961=""),"",Sync!$AA961)</f>
        <v/>
      </c>
      <c r="L964">
        <f>IF($G964="",0,IF(Sync!$AB961="",0,Sync!$AB961))</f>
        <v/>
      </c>
      <c r="M964">
        <f>IF($G964="",0,IF(Sync!$AC961="",0,Sync!$AC961))</f>
        <v/>
      </c>
      <c r="N964">
        <f>IF($G964="","",IF($H964="مرجوعی خرید",-1,1)*($L964-$M964*IFERROR(VLOOKUP("P01",ParamTbl,3,0),1.5))*(1-IF($I964="خرید",IFERROR(VLOOKUP("P02",ParamTbl,3,0),1),0)/100))</f>
        <v/>
      </c>
      <c r="O964">
        <f>IF($G964="",0,IF($H964="مرجوعی خرید",-1,1)*IF(Sync!$AD961="",0,Sync!$AD961))</f>
        <v/>
      </c>
      <c r="P964">
        <f>IF(OR($G964="",Sync!$W961=""),"",Sync!$W961)</f>
        <v/>
      </c>
      <c r="Q964">
        <f>IF(OR($G964="",Sync!$AE961=""),"",Sync!$AE961)</f>
        <v/>
      </c>
      <c r="R964">
        <f>IF($G964="","",IF(Sync!$V961="","0000",IF(AND(ISNUMBER(Sync!$V961),Sync!$V961&gt;=0,Sync!$V961&lt;1),RIGHT("00"&amp;HOUR(Sync!$V961),2)&amp;RIGHT("00"&amp;MINUTE(Sync!$V961),2),IFERROR(RIGHT("00"&amp;VALUE(LEFT(Sync!$V961,FIND(":",Sync!$V961)-1)),2)&amp;RIGHT("00"&amp;VALUE(MID(Sync!$V961,FIND(":",Sync!$V961)+1,2)),2),"0000"))))</f>
        <v/>
      </c>
    </row>
    <row r="965">
      <c r="A965">
        <f>IF(Sync!$U962="","",Sync!$U962)</f>
        <v/>
      </c>
      <c r="B965">
        <f>IF($A965="","",IF(ISNUMBER($A965),IF(AND($A965&gt;=10000101,$A965&lt;=99991231),INT($A965/10000),""),IFERROR(VALUE(TRIM(LEFT($A965,FIND("/",$A965)-1))),"")))</f>
        <v/>
      </c>
      <c r="C965">
        <f>IF(OR($A965="",$B965=""),"",IF(ISNUMBER($A965),INT(MOD($A965,10000)/100),IFERROR(VALUE(TRIM(LEFT(MID($A965,FIND("/",$A965)+1,20),FIND("/",MID($A965,FIND("/",$A965)+1,20))-1))),"")))</f>
        <v/>
      </c>
      <c r="D965">
        <f>IF(OR($A965="",$B965=""),"",IF(ISNUMBER($A965),MOD($A965,100),IFERROR(VALUE(TRIM(MID(MID($A965,FIND("/",$A965)+1,20),FIND("/",MID($A965,FIND("/",$A965)+1,20))+1,20))),"")))</f>
        <v/>
      </c>
      <c r="E965">
        <f>IF($A965="","",IF(OR($B965="",$C965="",$D965="",$B965&lt;1300,$B965&gt;1500,$C965&lt;1,$C965&gt;12,$D965&lt;1,$D965&gt;31),"نامعتبر",RIGHT("0000"&amp;$B965,4)&amp;"/"&amp;RIGHT("00"&amp;$C965,2)&amp;"/"&amp;RIGHT("00"&amp;$D965,2)))</f>
        <v/>
      </c>
      <c r="F965">
        <f>IF(OR($E965="",$E965="نامعتبر"),"",LEFT($E965,4)&amp;"/"&amp;MID($E965,6,2))</f>
        <v/>
      </c>
      <c r="G965">
        <f>IF(OR($E965="",$E965="نامعتبر",Sync!$Y962=""),"",Sync!$Y962)</f>
        <v/>
      </c>
      <c r="H965">
        <f>IF($G965="","",IF(Sync!$X962="","",Sync!$X962))</f>
        <v/>
      </c>
      <c r="I965">
        <f>IF($G965="","",IFERROR(VLOOKUP(Sync!$X962,OpTbl,3,0),""))</f>
        <v/>
      </c>
      <c r="J965">
        <f>IF(OR($G965="",Sync!$Z962=""),"",Sync!$Z962)</f>
        <v/>
      </c>
      <c r="K965">
        <f>IF(OR($G965="",Sync!$AA962=""),"",Sync!$AA962)</f>
        <v/>
      </c>
      <c r="L965">
        <f>IF($G965="",0,IF(Sync!$AB962="",0,Sync!$AB962))</f>
        <v/>
      </c>
      <c r="M965">
        <f>IF($G965="",0,IF(Sync!$AC962="",0,Sync!$AC962))</f>
        <v/>
      </c>
      <c r="N965">
        <f>IF($G965="","",IF($H965="مرجوعی خرید",-1,1)*($L965-$M965*IFERROR(VLOOKUP("P01",ParamTbl,3,0),1.5))*(1-IF($I965="خرید",IFERROR(VLOOKUP("P02",ParamTbl,3,0),1),0)/100))</f>
        <v/>
      </c>
      <c r="O965">
        <f>IF($G965="",0,IF($H965="مرجوعی خرید",-1,1)*IF(Sync!$AD962="",0,Sync!$AD962))</f>
        <v/>
      </c>
      <c r="P965">
        <f>IF(OR($G965="",Sync!$W962=""),"",Sync!$W962)</f>
        <v/>
      </c>
      <c r="Q965">
        <f>IF(OR($G965="",Sync!$AE962=""),"",Sync!$AE962)</f>
        <v/>
      </c>
      <c r="R965">
        <f>IF($G965="","",IF(Sync!$V962="","0000",IF(AND(ISNUMBER(Sync!$V962),Sync!$V962&gt;=0,Sync!$V962&lt;1),RIGHT("00"&amp;HOUR(Sync!$V962),2)&amp;RIGHT("00"&amp;MINUTE(Sync!$V962),2),IFERROR(RIGHT("00"&amp;VALUE(LEFT(Sync!$V962,FIND(":",Sync!$V962)-1)),2)&amp;RIGHT("00"&amp;VALUE(MID(Sync!$V962,FIND(":",Sync!$V962)+1,2)),2),"0000"))))</f>
        <v/>
      </c>
    </row>
    <row r="966">
      <c r="A966">
        <f>IF(Sync!$U963="","",Sync!$U963)</f>
        <v/>
      </c>
      <c r="B966">
        <f>IF($A966="","",IF(ISNUMBER($A966),IF(AND($A966&gt;=10000101,$A966&lt;=99991231),INT($A966/10000),""),IFERROR(VALUE(TRIM(LEFT($A966,FIND("/",$A966)-1))),"")))</f>
        <v/>
      </c>
      <c r="C966">
        <f>IF(OR($A966="",$B966=""),"",IF(ISNUMBER($A966),INT(MOD($A966,10000)/100),IFERROR(VALUE(TRIM(LEFT(MID($A966,FIND("/",$A966)+1,20),FIND("/",MID($A966,FIND("/",$A966)+1,20))-1))),"")))</f>
        <v/>
      </c>
      <c r="D966">
        <f>IF(OR($A966="",$B966=""),"",IF(ISNUMBER($A966),MOD($A966,100),IFERROR(VALUE(TRIM(MID(MID($A966,FIND("/",$A966)+1,20),FIND("/",MID($A966,FIND("/",$A966)+1,20))+1,20))),"")))</f>
        <v/>
      </c>
      <c r="E966">
        <f>IF($A966="","",IF(OR($B966="",$C966="",$D966="",$B966&lt;1300,$B966&gt;1500,$C966&lt;1,$C966&gt;12,$D966&lt;1,$D966&gt;31),"نامعتبر",RIGHT("0000"&amp;$B966,4)&amp;"/"&amp;RIGHT("00"&amp;$C966,2)&amp;"/"&amp;RIGHT("00"&amp;$D966,2)))</f>
        <v/>
      </c>
      <c r="F966">
        <f>IF(OR($E966="",$E966="نامعتبر"),"",LEFT($E966,4)&amp;"/"&amp;MID($E966,6,2))</f>
        <v/>
      </c>
      <c r="G966">
        <f>IF(OR($E966="",$E966="نامعتبر",Sync!$Y963=""),"",Sync!$Y963)</f>
        <v/>
      </c>
      <c r="H966">
        <f>IF($G966="","",IF(Sync!$X963="","",Sync!$X963))</f>
        <v/>
      </c>
      <c r="I966">
        <f>IF($G966="","",IFERROR(VLOOKUP(Sync!$X963,OpTbl,3,0),""))</f>
        <v/>
      </c>
      <c r="J966">
        <f>IF(OR($G966="",Sync!$Z963=""),"",Sync!$Z963)</f>
        <v/>
      </c>
      <c r="K966">
        <f>IF(OR($G966="",Sync!$AA963=""),"",Sync!$AA963)</f>
        <v/>
      </c>
      <c r="L966">
        <f>IF($G966="",0,IF(Sync!$AB963="",0,Sync!$AB963))</f>
        <v/>
      </c>
      <c r="M966">
        <f>IF($G966="",0,IF(Sync!$AC963="",0,Sync!$AC963))</f>
        <v/>
      </c>
      <c r="N966">
        <f>IF($G966="","",IF($H966="مرجوعی خرید",-1,1)*($L966-$M966*IFERROR(VLOOKUP("P01",ParamTbl,3,0),1.5))*(1-IF($I966="خرید",IFERROR(VLOOKUP("P02",ParamTbl,3,0),1),0)/100))</f>
        <v/>
      </c>
      <c r="O966">
        <f>IF($G966="",0,IF($H966="مرجوعی خرید",-1,1)*IF(Sync!$AD963="",0,Sync!$AD963))</f>
        <v/>
      </c>
      <c r="P966">
        <f>IF(OR($G966="",Sync!$W963=""),"",Sync!$W963)</f>
        <v/>
      </c>
      <c r="Q966">
        <f>IF(OR($G966="",Sync!$AE963=""),"",Sync!$AE963)</f>
        <v/>
      </c>
      <c r="R966">
        <f>IF($G966="","",IF(Sync!$V963="","0000",IF(AND(ISNUMBER(Sync!$V963),Sync!$V963&gt;=0,Sync!$V963&lt;1),RIGHT("00"&amp;HOUR(Sync!$V963),2)&amp;RIGHT("00"&amp;MINUTE(Sync!$V963),2),IFERROR(RIGHT("00"&amp;VALUE(LEFT(Sync!$V963,FIND(":",Sync!$V963)-1)),2)&amp;RIGHT("00"&amp;VALUE(MID(Sync!$V963,FIND(":",Sync!$V963)+1,2)),2),"0000"))))</f>
        <v/>
      </c>
    </row>
    <row r="967">
      <c r="A967">
        <f>IF(Sync!$U964="","",Sync!$U964)</f>
        <v/>
      </c>
      <c r="B967">
        <f>IF($A967="","",IF(ISNUMBER($A967),IF(AND($A967&gt;=10000101,$A967&lt;=99991231),INT($A967/10000),""),IFERROR(VALUE(TRIM(LEFT($A967,FIND("/",$A967)-1))),"")))</f>
        <v/>
      </c>
      <c r="C967">
        <f>IF(OR($A967="",$B967=""),"",IF(ISNUMBER($A967),INT(MOD($A967,10000)/100),IFERROR(VALUE(TRIM(LEFT(MID($A967,FIND("/",$A967)+1,20),FIND("/",MID($A967,FIND("/",$A967)+1,20))-1))),"")))</f>
        <v/>
      </c>
      <c r="D967">
        <f>IF(OR($A967="",$B967=""),"",IF(ISNUMBER($A967),MOD($A967,100),IFERROR(VALUE(TRIM(MID(MID($A967,FIND("/",$A967)+1,20),FIND("/",MID($A967,FIND("/",$A967)+1,20))+1,20))),"")))</f>
        <v/>
      </c>
      <c r="E967">
        <f>IF($A967="","",IF(OR($B967="",$C967="",$D967="",$B967&lt;1300,$B967&gt;1500,$C967&lt;1,$C967&gt;12,$D967&lt;1,$D967&gt;31),"نامعتبر",RIGHT("0000"&amp;$B967,4)&amp;"/"&amp;RIGHT("00"&amp;$C967,2)&amp;"/"&amp;RIGHT("00"&amp;$D967,2)))</f>
        <v/>
      </c>
      <c r="F967">
        <f>IF(OR($E967="",$E967="نامعتبر"),"",LEFT($E967,4)&amp;"/"&amp;MID($E967,6,2))</f>
        <v/>
      </c>
      <c r="G967">
        <f>IF(OR($E967="",$E967="نامعتبر",Sync!$Y964=""),"",Sync!$Y964)</f>
        <v/>
      </c>
      <c r="H967">
        <f>IF($G967="","",IF(Sync!$X964="","",Sync!$X964))</f>
        <v/>
      </c>
      <c r="I967">
        <f>IF($G967="","",IFERROR(VLOOKUP(Sync!$X964,OpTbl,3,0),""))</f>
        <v/>
      </c>
      <c r="J967">
        <f>IF(OR($G967="",Sync!$Z964=""),"",Sync!$Z964)</f>
        <v/>
      </c>
      <c r="K967">
        <f>IF(OR($G967="",Sync!$AA964=""),"",Sync!$AA964)</f>
        <v/>
      </c>
      <c r="L967">
        <f>IF($G967="",0,IF(Sync!$AB964="",0,Sync!$AB964))</f>
        <v/>
      </c>
      <c r="M967">
        <f>IF($G967="",0,IF(Sync!$AC964="",0,Sync!$AC964))</f>
        <v/>
      </c>
      <c r="N967">
        <f>IF($G967="","",IF($H967="مرجوعی خرید",-1,1)*($L967-$M967*IFERROR(VLOOKUP("P01",ParamTbl,3,0),1.5))*(1-IF($I967="خرید",IFERROR(VLOOKUP("P02",ParamTbl,3,0),1),0)/100))</f>
        <v/>
      </c>
      <c r="O967">
        <f>IF($G967="",0,IF($H967="مرجوعی خرید",-1,1)*IF(Sync!$AD964="",0,Sync!$AD964))</f>
        <v/>
      </c>
      <c r="P967">
        <f>IF(OR($G967="",Sync!$W964=""),"",Sync!$W964)</f>
        <v/>
      </c>
      <c r="Q967">
        <f>IF(OR($G967="",Sync!$AE964=""),"",Sync!$AE964)</f>
        <v/>
      </c>
      <c r="R967">
        <f>IF($G967="","",IF(Sync!$V964="","0000",IF(AND(ISNUMBER(Sync!$V964),Sync!$V964&gt;=0,Sync!$V964&lt;1),RIGHT("00"&amp;HOUR(Sync!$V964),2)&amp;RIGHT("00"&amp;MINUTE(Sync!$V964),2),IFERROR(RIGHT("00"&amp;VALUE(LEFT(Sync!$V964,FIND(":",Sync!$V964)-1)),2)&amp;RIGHT("00"&amp;VALUE(MID(Sync!$V964,FIND(":",Sync!$V964)+1,2)),2),"0000"))))</f>
        <v/>
      </c>
    </row>
    <row r="968">
      <c r="A968">
        <f>IF(Sync!$U965="","",Sync!$U965)</f>
        <v/>
      </c>
      <c r="B968">
        <f>IF($A968="","",IF(ISNUMBER($A968),IF(AND($A968&gt;=10000101,$A968&lt;=99991231),INT($A968/10000),""),IFERROR(VALUE(TRIM(LEFT($A968,FIND("/",$A968)-1))),"")))</f>
        <v/>
      </c>
      <c r="C968">
        <f>IF(OR($A968="",$B968=""),"",IF(ISNUMBER($A968),INT(MOD($A968,10000)/100),IFERROR(VALUE(TRIM(LEFT(MID($A968,FIND("/",$A968)+1,20),FIND("/",MID($A968,FIND("/",$A968)+1,20))-1))),"")))</f>
        <v/>
      </c>
      <c r="D968">
        <f>IF(OR($A968="",$B968=""),"",IF(ISNUMBER($A968),MOD($A968,100),IFERROR(VALUE(TRIM(MID(MID($A968,FIND("/",$A968)+1,20),FIND("/",MID($A968,FIND("/",$A968)+1,20))+1,20))),"")))</f>
        <v/>
      </c>
      <c r="E968">
        <f>IF($A968="","",IF(OR($B968="",$C968="",$D968="",$B968&lt;1300,$B968&gt;1500,$C968&lt;1,$C968&gt;12,$D968&lt;1,$D968&gt;31),"نامعتبر",RIGHT("0000"&amp;$B968,4)&amp;"/"&amp;RIGHT("00"&amp;$C968,2)&amp;"/"&amp;RIGHT("00"&amp;$D968,2)))</f>
        <v/>
      </c>
      <c r="F968">
        <f>IF(OR($E968="",$E968="نامعتبر"),"",LEFT($E968,4)&amp;"/"&amp;MID($E968,6,2))</f>
        <v/>
      </c>
      <c r="G968">
        <f>IF(OR($E968="",$E968="نامعتبر",Sync!$Y965=""),"",Sync!$Y965)</f>
        <v/>
      </c>
      <c r="H968">
        <f>IF($G968="","",IF(Sync!$X965="","",Sync!$X965))</f>
        <v/>
      </c>
      <c r="I968">
        <f>IF($G968="","",IFERROR(VLOOKUP(Sync!$X965,OpTbl,3,0),""))</f>
        <v/>
      </c>
      <c r="J968">
        <f>IF(OR($G968="",Sync!$Z965=""),"",Sync!$Z965)</f>
        <v/>
      </c>
      <c r="K968">
        <f>IF(OR($G968="",Sync!$AA965=""),"",Sync!$AA965)</f>
        <v/>
      </c>
      <c r="L968">
        <f>IF($G968="",0,IF(Sync!$AB965="",0,Sync!$AB965))</f>
        <v/>
      </c>
      <c r="M968">
        <f>IF($G968="",0,IF(Sync!$AC965="",0,Sync!$AC965))</f>
        <v/>
      </c>
      <c r="N968">
        <f>IF($G968="","",IF($H968="مرجوعی خرید",-1,1)*($L968-$M968*IFERROR(VLOOKUP("P01",ParamTbl,3,0),1.5))*(1-IF($I968="خرید",IFERROR(VLOOKUP("P02",ParamTbl,3,0),1),0)/100))</f>
        <v/>
      </c>
      <c r="O968">
        <f>IF($G968="",0,IF($H968="مرجوعی خرید",-1,1)*IF(Sync!$AD965="",0,Sync!$AD965))</f>
        <v/>
      </c>
      <c r="P968">
        <f>IF(OR($G968="",Sync!$W965=""),"",Sync!$W965)</f>
        <v/>
      </c>
      <c r="Q968">
        <f>IF(OR($G968="",Sync!$AE965=""),"",Sync!$AE965)</f>
        <v/>
      </c>
      <c r="R968">
        <f>IF($G968="","",IF(Sync!$V965="","0000",IF(AND(ISNUMBER(Sync!$V965),Sync!$V965&gt;=0,Sync!$V965&lt;1),RIGHT("00"&amp;HOUR(Sync!$V965),2)&amp;RIGHT("00"&amp;MINUTE(Sync!$V965),2),IFERROR(RIGHT("00"&amp;VALUE(LEFT(Sync!$V965,FIND(":",Sync!$V965)-1)),2)&amp;RIGHT("00"&amp;VALUE(MID(Sync!$V965,FIND(":",Sync!$V965)+1,2)),2),"0000"))))</f>
        <v/>
      </c>
    </row>
    <row r="969">
      <c r="A969">
        <f>IF(Sync!$U966="","",Sync!$U966)</f>
        <v/>
      </c>
      <c r="B969">
        <f>IF($A969="","",IF(ISNUMBER($A969),IF(AND($A969&gt;=10000101,$A969&lt;=99991231),INT($A969/10000),""),IFERROR(VALUE(TRIM(LEFT($A969,FIND("/",$A969)-1))),"")))</f>
        <v/>
      </c>
      <c r="C969">
        <f>IF(OR($A969="",$B969=""),"",IF(ISNUMBER($A969),INT(MOD($A969,10000)/100),IFERROR(VALUE(TRIM(LEFT(MID($A969,FIND("/",$A969)+1,20),FIND("/",MID($A969,FIND("/",$A969)+1,20))-1))),"")))</f>
        <v/>
      </c>
      <c r="D969">
        <f>IF(OR($A969="",$B969=""),"",IF(ISNUMBER($A969),MOD($A969,100),IFERROR(VALUE(TRIM(MID(MID($A969,FIND("/",$A969)+1,20),FIND("/",MID($A969,FIND("/",$A969)+1,20))+1,20))),"")))</f>
        <v/>
      </c>
      <c r="E969">
        <f>IF($A969="","",IF(OR($B969="",$C969="",$D969="",$B969&lt;1300,$B969&gt;1500,$C969&lt;1,$C969&gt;12,$D969&lt;1,$D969&gt;31),"نامعتبر",RIGHT("0000"&amp;$B969,4)&amp;"/"&amp;RIGHT("00"&amp;$C969,2)&amp;"/"&amp;RIGHT("00"&amp;$D969,2)))</f>
        <v/>
      </c>
      <c r="F969">
        <f>IF(OR($E969="",$E969="نامعتبر"),"",LEFT($E969,4)&amp;"/"&amp;MID($E969,6,2))</f>
        <v/>
      </c>
      <c r="G969">
        <f>IF(OR($E969="",$E969="نامعتبر",Sync!$Y966=""),"",Sync!$Y966)</f>
        <v/>
      </c>
      <c r="H969">
        <f>IF($G969="","",IF(Sync!$X966="","",Sync!$X966))</f>
        <v/>
      </c>
      <c r="I969">
        <f>IF($G969="","",IFERROR(VLOOKUP(Sync!$X966,OpTbl,3,0),""))</f>
        <v/>
      </c>
      <c r="J969">
        <f>IF(OR($G969="",Sync!$Z966=""),"",Sync!$Z966)</f>
        <v/>
      </c>
      <c r="K969">
        <f>IF(OR($G969="",Sync!$AA966=""),"",Sync!$AA966)</f>
        <v/>
      </c>
      <c r="L969">
        <f>IF($G969="",0,IF(Sync!$AB966="",0,Sync!$AB966))</f>
        <v/>
      </c>
      <c r="M969">
        <f>IF($G969="",0,IF(Sync!$AC966="",0,Sync!$AC966))</f>
        <v/>
      </c>
      <c r="N969">
        <f>IF($G969="","",IF($H969="مرجوعی خرید",-1,1)*($L969-$M969*IFERROR(VLOOKUP("P01",ParamTbl,3,0),1.5))*(1-IF($I969="خرید",IFERROR(VLOOKUP("P02",ParamTbl,3,0),1),0)/100))</f>
        <v/>
      </c>
      <c r="O969">
        <f>IF($G969="",0,IF($H969="مرجوعی خرید",-1,1)*IF(Sync!$AD966="",0,Sync!$AD966))</f>
        <v/>
      </c>
      <c r="P969">
        <f>IF(OR($G969="",Sync!$W966=""),"",Sync!$W966)</f>
        <v/>
      </c>
      <c r="Q969">
        <f>IF(OR($G969="",Sync!$AE966=""),"",Sync!$AE966)</f>
        <v/>
      </c>
      <c r="R969">
        <f>IF($G969="","",IF(Sync!$V966="","0000",IF(AND(ISNUMBER(Sync!$V966),Sync!$V966&gt;=0,Sync!$V966&lt;1),RIGHT("00"&amp;HOUR(Sync!$V966),2)&amp;RIGHT("00"&amp;MINUTE(Sync!$V966),2),IFERROR(RIGHT("00"&amp;VALUE(LEFT(Sync!$V966,FIND(":",Sync!$V966)-1)),2)&amp;RIGHT("00"&amp;VALUE(MID(Sync!$V966,FIND(":",Sync!$V966)+1,2)),2),"0000"))))</f>
        <v/>
      </c>
    </row>
    <row r="970">
      <c r="A970">
        <f>IF(Sync!$U967="","",Sync!$U967)</f>
        <v/>
      </c>
      <c r="B970">
        <f>IF($A970="","",IF(ISNUMBER($A970),IF(AND($A970&gt;=10000101,$A970&lt;=99991231),INT($A970/10000),""),IFERROR(VALUE(TRIM(LEFT($A970,FIND("/",$A970)-1))),"")))</f>
        <v/>
      </c>
      <c r="C970">
        <f>IF(OR($A970="",$B970=""),"",IF(ISNUMBER($A970),INT(MOD($A970,10000)/100),IFERROR(VALUE(TRIM(LEFT(MID($A970,FIND("/",$A970)+1,20),FIND("/",MID($A970,FIND("/",$A970)+1,20))-1))),"")))</f>
        <v/>
      </c>
      <c r="D970">
        <f>IF(OR($A970="",$B970=""),"",IF(ISNUMBER($A970),MOD($A970,100),IFERROR(VALUE(TRIM(MID(MID($A970,FIND("/",$A970)+1,20),FIND("/",MID($A970,FIND("/",$A970)+1,20))+1,20))),"")))</f>
        <v/>
      </c>
      <c r="E970">
        <f>IF($A970="","",IF(OR($B970="",$C970="",$D970="",$B970&lt;1300,$B970&gt;1500,$C970&lt;1,$C970&gt;12,$D970&lt;1,$D970&gt;31),"نامعتبر",RIGHT("0000"&amp;$B970,4)&amp;"/"&amp;RIGHT("00"&amp;$C970,2)&amp;"/"&amp;RIGHT("00"&amp;$D970,2)))</f>
        <v/>
      </c>
      <c r="F970">
        <f>IF(OR($E970="",$E970="نامعتبر"),"",LEFT($E970,4)&amp;"/"&amp;MID($E970,6,2))</f>
        <v/>
      </c>
      <c r="G970">
        <f>IF(OR($E970="",$E970="نامعتبر",Sync!$Y967=""),"",Sync!$Y967)</f>
        <v/>
      </c>
      <c r="H970">
        <f>IF($G970="","",IF(Sync!$X967="","",Sync!$X967))</f>
        <v/>
      </c>
      <c r="I970">
        <f>IF($G970="","",IFERROR(VLOOKUP(Sync!$X967,OpTbl,3,0),""))</f>
        <v/>
      </c>
      <c r="J970">
        <f>IF(OR($G970="",Sync!$Z967=""),"",Sync!$Z967)</f>
        <v/>
      </c>
      <c r="K970">
        <f>IF(OR($G970="",Sync!$AA967=""),"",Sync!$AA967)</f>
        <v/>
      </c>
      <c r="L970">
        <f>IF($G970="",0,IF(Sync!$AB967="",0,Sync!$AB967))</f>
        <v/>
      </c>
      <c r="M970">
        <f>IF($G970="",0,IF(Sync!$AC967="",0,Sync!$AC967))</f>
        <v/>
      </c>
      <c r="N970">
        <f>IF($G970="","",IF($H970="مرجوعی خرید",-1,1)*($L970-$M970*IFERROR(VLOOKUP("P01",ParamTbl,3,0),1.5))*(1-IF($I970="خرید",IFERROR(VLOOKUP("P02",ParamTbl,3,0),1),0)/100))</f>
        <v/>
      </c>
      <c r="O970">
        <f>IF($G970="",0,IF($H970="مرجوعی خرید",-1,1)*IF(Sync!$AD967="",0,Sync!$AD967))</f>
        <v/>
      </c>
      <c r="P970">
        <f>IF(OR($G970="",Sync!$W967=""),"",Sync!$W967)</f>
        <v/>
      </c>
      <c r="Q970">
        <f>IF(OR($G970="",Sync!$AE967=""),"",Sync!$AE967)</f>
        <v/>
      </c>
      <c r="R970">
        <f>IF($G970="","",IF(Sync!$V967="","0000",IF(AND(ISNUMBER(Sync!$V967),Sync!$V967&gt;=0,Sync!$V967&lt;1),RIGHT("00"&amp;HOUR(Sync!$V967),2)&amp;RIGHT("00"&amp;MINUTE(Sync!$V967),2),IFERROR(RIGHT("00"&amp;VALUE(LEFT(Sync!$V967,FIND(":",Sync!$V967)-1)),2)&amp;RIGHT("00"&amp;VALUE(MID(Sync!$V967,FIND(":",Sync!$V967)+1,2)),2),"0000"))))</f>
        <v/>
      </c>
    </row>
    <row r="971">
      <c r="A971">
        <f>IF(Sync!$U968="","",Sync!$U968)</f>
        <v/>
      </c>
      <c r="B971">
        <f>IF($A971="","",IF(ISNUMBER($A971),IF(AND($A971&gt;=10000101,$A971&lt;=99991231),INT($A971/10000),""),IFERROR(VALUE(TRIM(LEFT($A971,FIND("/",$A971)-1))),"")))</f>
        <v/>
      </c>
      <c r="C971">
        <f>IF(OR($A971="",$B971=""),"",IF(ISNUMBER($A971),INT(MOD($A971,10000)/100),IFERROR(VALUE(TRIM(LEFT(MID($A971,FIND("/",$A971)+1,20),FIND("/",MID($A971,FIND("/",$A971)+1,20))-1))),"")))</f>
        <v/>
      </c>
      <c r="D971">
        <f>IF(OR($A971="",$B971=""),"",IF(ISNUMBER($A971),MOD($A971,100),IFERROR(VALUE(TRIM(MID(MID($A971,FIND("/",$A971)+1,20),FIND("/",MID($A971,FIND("/",$A971)+1,20))+1,20))),"")))</f>
        <v/>
      </c>
      <c r="E971">
        <f>IF($A971="","",IF(OR($B971="",$C971="",$D971="",$B971&lt;1300,$B971&gt;1500,$C971&lt;1,$C971&gt;12,$D971&lt;1,$D971&gt;31),"نامعتبر",RIGHT("0000"&amp;$B971,4)&amp;"/"&amp;RIGHT("00"&amp;$C971,2)&amp;"/"&amp;RIGHT("00"&amp;$D971,2)))</f>
        <v/>
      </c>
      <c r="F971">
        <f>IF(OR($E971="",$E971="نامعتبر"),"",LEFT($E971,4)&amp;"/"&amp;MID($E971,6,2))</f>
        <v/>
      </c>
      <c r="G971">
        <f>IF(OR($E971="",$E971="نامعتبر",Sync!$Y968=""),"",Sync!$Y968)</f>
        <v/>
      </c>
      <c r="H971">
        <f>IF($G971="","",IF(Sync!$X968="","",Sync!$X968))</f>
        <v/>
      </c>
      <c r="I971">
        <f>IF($G971="","",IFERROR(VLOOKUP(Sync!$X968,OpTbl,3,0),""))</f>
        <v/>
      </c>
      <c r="J971">
        <f>IF(OR($G971="",Sync!$Z968=""),"",Sync!$Z968)</f>
        <v/>
      </c>
      <c r="K971">
        <f>IF(OR($G971="",Sync!$AA968=""),"",Sync!$AA968)</f>
        <v/>
      </c>
      <c r="L971">
        <f>IF($G971="",0,IF(Sync!$AB968="",0,Sync!$AB968))</f>
        <v/>
      </c>
      <c r="M971">
        <f>IF($G971="",0,IF(Sync!$AC968="",0,Sync!$AC968))</f>
        <v/>
      </c>
      <c r="N971">
        <f>IF($G971="","",IF($H971="مرجوعی خرید",-1,1)*($L971-$M971*IFERROR(VLOOKUP("P01",ParamTbl,3,0),1.5))*(1-IF($I971="خرید",IFERROR(VLOOKUP("P02",ParamTbl,3,0),1),0)/100))</f>
        <v/>
      </c>
      <c r="O971">
        <f>IF($G971="",0,IF($H971="مرجوعی خرید",-1,1)*IF(Sync!$AD968="",0,Sync!$AD968))</f>
        <v/>
      </c>
      <c r="P971">
        <f>IF(OR($G971="",Sync!$W968=""),"",Sync!$W968)</f>
        <v/>
      </c>
      <c r="Q971">
        <f>IF(OR($G971="",Sync!$AE968=""),"",Sync!$AE968)</f>
        <v/>
      </c>
      <c r="R971">
        <f>IF($G971="","",IF(Sync!$V968="","0000",IF(AND(ISNUMBER(Sync!$V968),Sync!$V968&gt;=0,Sync!$V968&lt;1),RIGHT("00"&amp;HOUR(Sync!$V968),2)&amp;RIGHT("00"&amp;MINUTE(Sync!$V968),2),IFERROR(RIGHT("00"&amp;VALUE(LEFT(Sync!$V968,FIND(":",Sync!$V968)-1)),2)&amp;RIGHT("00"&amp;VALUE(MID(Sync!$V968,FIND(":",Sync!$V968)+1,2)),2),"0000"))))</f>
        <v/>
      </c>
    </row>
    <row r="972">
      <c r="A972">
        <f>IF(Sync!$U969="","",Sync!$U969)</f>
        <v/>
      </c>
      <c r="B972">
        <f>IF($A972="","",IF(ISNUMBER($A972),IF(AND($A972&gt;=10000101,$A972&lt;=99991231),INT($A972/10000),""),IFERROR(VALUE(TRIM(LEFT($A972,FIND("/",$A972)-1))),"")))</f>
        <v/>
      </c>
      <c r="C972">
        <f>IF(OR($A972="",$B972=""),"",IF(ISNUMBER($A972),INT(MOD($A972,10000)/100),IFERROR(VALUE(TRIM(LEFT(MID($A972,FIND("/",$A972)+1,20),FIND("/",MID($A972,FIND("/",$A972)+1,20))-1))),"")))</f>
        <v/>
      </c>
      <c r="D972">
        <f>IF(OR($A972="",$B972=""),"",IF(ISNUMBER($A972),MOD($A972,100),IFERROR(VALUE(TRIM(MID(MID($A972,FIND("/",$A972)+1,20),FIND("/",MID($A972,FIND("/",$A972)+1,20))+1,20))),"")))</f>
        <v/>
      </c>
      <c r="E972">
        <f>IF($A972="","",IF(OR($B972="",$C972="",$D972="",$B972&lt;1300,$B972&gt;1500,$C972&lt;1,$C972&gt;12,$D972&lt;1,$D972&gt;31),"نامعتبر",RIGHT("0000"&amp;$B972,4)&amp;"/"&amp;RIGHT("00"&amp;$C972,2)&amp;"/"&amp;RIGHT("00"&amp;$D972,2)))</f>
        <v/>
      </c>
      <c r="F972">
        <f>IF(OR($E972="",$E972="نامعتبر"),"",LEFT($E972,4)&amp;"/"&amp;MID($E972,6,2))</f>
        <v/>
      </c>
      <c r="G972">
        <f>IF(OR($E972="",$E972="نامعتبر",Sync!$Y969=""),"",Sync!$Y969)</f>
        <v/>
      </c>
      <c r="H972">
        <f>IF($G972="","",IF(Sync!$X969="","",Sync!$X969))</f>
        <v/>
      </c>
      <c r="I972">
        <f>IF($G972="","",IFERROR(VLOOKUP(Sync!$X969,OpTbl,3,0),""))</f>
        <v/>
      </c>
      <c r="J972">
        <f>IF(OR($G972="",Sync!$Z969=""),"",Sync!$Z969)</f>
        <v/>
      </c>
      <c r="K972">
        <f>IF(OR($G972="",Sync!$AA969=""),"",Sync!$AA969)</f>
        <v/>
      </c>
      <c r="L972">
        <f>IF($G972="",0,IF(Sync!$AB969="",0,Sync!$AB969))</f>
        <v/>
      </c>
      <c r="M972">
        <f>IF($G972="",0,IF(Sync!$AC969="",0,Sync!$AC969))</f>
        <v/>
      </c>
      <c r="N972">
        <f>IF($G972="","",IF($H972="مرجوعی خرید",-1,1)*($L972-$M972*IFERROR(VLOOKUP("P01",ParamTbl,3,0),1.5))*(1-IF($I972="خرید",IFERROR(VLOOKUP("P02",ParamTbl,3,0),1),0)/100))</f>
        <v/>
      </c>
      <c r="O972">
        <f>IF($G972="",0,IF($H972="مرجوعی خرید",-1,1)*IF(Sync!$AD969="",0,Sync!$AD969))</f>
        <v/>
      </c>
      <c r="P972">
        <f>IF(OR($G972="",Sync!$W969=""),"",Sync!$W969)</f>
        <v/>
      </c>
      <c r="Q972">
        <f>IF(OR($G972="",Sync!$AE969=""),"",Sync!$AE969)</f>
        <v/>
      </c>
      <c r="R972">
        <f>IF($G972="","",IF(Sync!$V969="","0000",IF(AND(ISNUMBER(Sync!$V969),Sync!$V969&gt;=0,Sync!$V969&lt;1),RIGHT("00"&amp;HOUR(Sync!$V969),2)&amp;RIGHT("00"&amp;MINUTE(Sync!$V969),2),IFERROR(RIGHT("00"&amp;VALUE(LEFT(Sync!$V969,FIND(":",Sync!$V969)-1)),2)&amp;RIGHT("00"&amp;VALUE(MID(Sync!$V969,FIND(":",Sync!$V969)+1,2)),2),"0000"))))</f>
        <v/>
      </c>
    </row>
    <row r="973">
      <c r="A973">
        <f>IF(Sync!$U970="","",Sync!$U970)</f>
        <v/>
      </c>
      <c r="B973">
        <f>IF($A973="","",IF(ISNUMBER($A973),IF(AND($A973&gt;=10000101,$A973&lt;=99991231),INT($A973/10000),""),IFERROR(VALUE(TRIM(LEFT($A973,FIND("/",$A973)-1))),"")))</f>
        <v/>
      </c>
      <c r="C973">
        <f>IF(OR($A973="",$B973=""),"",IF(ISNUMBER($A973),INT(MOD($A973,10000)/100),IFERROR(VALUE(TRIM(LEFT(MID($A973,FIND("/",$A973)+1,20),FIND("/",MID($A973,FIND("/",$A973)+1,20))-1))),"")))</f>
        <v/>
      </c>
      <c r="D973">
        <f>IF(OR($A973="",$B973=""),"",IF(ISNUMBER($A973),MOD($A973,100),IFERROR(VALUE(TRIM(MID(MID($A973,FIND("/",$A973)+1,20),FIND("/",MID($A973,FIND("/",$A973)+1,20))+1,20))),"")))</f>
        <v/>
      </c>
      <c r="E973">
        <f>IF($A973="","",IF(OR($B973="",$C973="",$D973="",$B973&lt;1300,$B973&gt;1500,$C973&lt;1,$C973&gt;12,$D973&lt;1,$D973&gt;31),"نامعتبر",RIGHT("0000"&amp;$B973,4)&amp;"/"&amp;RIGHT("00"&amp;$C973,2)&amp;"/"&amp;RIGHT("00"&amp;$D973,2)))</f>
        <v/>
      </c>
      <c r="F973">
        <f>IF(OR($E973="",$E973="نامعتبر"),"",LEFT($E973,4)&amp;"/"&amp;MID($E973,6,2))</f>
        <v/>
      </c>
      <c r="G973">
        <f>IF(OR($E973="",$E973="نامعتبر",Sync!$Y970=""),"",Sync!$Y970)</f>
        <v/>
      </c>
      <c r="H973">
        <f>IF($G973="","",IF(Sync!$X970="","",Sync!$X970))</f>
        <v/>
      </c>
      <c r="I973">
        <f>IF($G973="","",IFERROR(VLOOKUP(Sync!$X970,OpTbl,3,0),""))</f>
        <v/>
      </c>
      <c r="J973">
        <f>IF(OR($G973="",Sync!$Z970=""),"",Sync!$Z970)</f>
        <v/>
      </c>
      <c r="K973">
        <f>IF(OR($G973="",Sync!$AA970=""),"",Sync!$AA970)</f>
        <v/>
      </c>
      <c r="L973">
        <f>IF($G973="",0,IF(Sync!$AB970="",0,Sync!$AB970))</f>
        <v/>
      </c>
      <c r="M973">
        <f>IF($G973="",0,IF(Sync!$AC970="",0,Sync!$AC970))</f>
        <v/>
      </c>
      <c r="N973">
        <f>IF($G973="","",IF($H973="مرجوعی خرید",-1,1)*($L973-$M973*IFERROR(VLOOKUP("P01",ParamTbl,3,0),1.5))*(1-IF($I973="خرید",IFERROR(VLOOKUP("P02",ParamTbl,3,0),1),0)/100))</f>
        <v/>
      </c>
      <c r="O973">
        <f>IF($G973="",0,IF($H973="مرجوعی خرید",-1,1)*IF(Sync!$AD970="",0,Sync!$AD970))</f>
        <v/>
      </c>
      <c r="P973">
        <f>IF(OR($G973="",Sync!$W970=""),"",Sync!$W970)</f>
        <v/>
      </c>
      <c r="Q973">
        <f>IF(OR($G973="",Sync!$AE970=""),"",Sync!$AE970)</f>
        <v/>
      </c>
      <c r="R973">
        <f>IF($G973="","",IF(Sync!$V970="","0000",IF(AND(ISNUMBER(Sync!$V970),Sync!$V970&gt;=0,Sync!$V970&lt;1),RIGHT("00"&amp;HOUR(Sync!$V970),2)&amp;RIGHT("00"&amp;MINUTE(Sync!$V970),2),IFERROR(RIGHT("00"&amp;VALUE(LEFT(Sync!$V970,FIND(":",Sync!$V970)-1)),2)&amp;RIGHT("00"&amp;VALUE(MID(Sync!$V970,FIND(":",Sync!$V970)+1,2)),2),"0000"))))</f>
        <v/>
      </c>
    </row>
    <row r="974">
      <c r="A974">
        <f>IF(Sync!$U971="","",Sync!$U971)</f>
        <v/>
      </c>
      <c r="B974">
        <f>IF($A974="","",IF(ISNUMBER($A974),IF(AND($A974&gt;=10000101,$A974&lt;=99991231),INT($A974/10000),""),IFERROR(VALUE(TRIM(LEFT($A974,FIND("/",$A974)-1))),"")))</f>
        <v/>
      </c>
      <c r="C974">
        <f>IF(OR($A974="",$B974=""),"",IF(ISNUMBER($A974),INT(MOD($A974,10000)/100),IFERROR(VALUE(TRIM(LEFT(MID($A974,FIND("/",$A974)+1,20),FIND("/",MID($A974,FIND("/",$A974)+1,20))-1))),"")))</f>
        <v/>
      </c>
      <c r="D974">
        <f>IF(OR($A974="",$B974=""),"",IF(ISNUMBER($A974),MOD($A974,100),IFERROR(VALUE(TRIM(MID(MID($A974,FIND("/",$A974)+1,20),FIND("/",MID($A974,FIND("/",$A974)+1,20))+1,20))),"")))</f>
        <v/>
      </c>
      <c r="E974">
        <f>IF($A974="","",IF(OR($B974="",$C974="",$D974="",$B974&lt;1300,$B974&gt;1500,$C974&lt;1,$C974&gt;12,$D974&lt;1,$D974&gt;31),"نامعتبر",RIGHT("0000"&amp;$B974,4)&amp;"/"&amp;RIGHT("00"&amp;$C974,2)&amp;"/"&amp;RIGHT("00"&amp;$D974,2)))</f>
        <v/>
      </c>
      <c r="F974">
        <f>IF(OR($E974="",$E974="نامعتبر"),"",LEFT($E974,4)&amp;"/"&amp;MID($E974,6,2))</f>
        <v/>
      </c>
      <c r="G974">
        <f>IF(OR($E974="",$E974="نامعتبر",Sync!$Y971=""),"",Sync!$Y971)</f>
        <v/>
      </c>
      <c r="H974">
        <f>IF($G974="","",IF(Sync!$X971="","",Sync!$X971))</f>
        <v/>
      </c>
      <c r="I974">
        <f>IF($G974="","",IFERROR(VLOOKUP(Sync!$X971,OpTbl,3,0),""))</f>
        <v/>
      </c>
      <c r="J974">
        <f>IF(OR($G974="",Sync!$Z971=""),"",Sync!$Z971)</f>
        <v/>
      </c>
      <c r="K974">
        <f>IF(OR($G974="",Sync!$AA971=""),"",Sync!$AA971)</f>
        <v/>
      </c>
      <c r="L974">
        <f>IF($G974="",0,IF(Sync!$AB971="",0,Sync!$AB971))</f>
        <v/>
      </c>
      <c r="M974">
        <f>IF($G974="",0,IF(Sync!$AC971="",0,Sync!$AC971))</f>
        <v/>
      </c>
      <c r="N974">
        <f>IF($G974="","",IF($H974="مرجوعی خرید",-1,1)*($L974-$M974*IFERROR(VLOOKUP("P01",ParamTbl,3,0),1.5))*(1-IF($I974="خرید",IFERROR(VLOOKUP("P02",ParamTbl,3,0),1),0)/100))</f>
        <v/>
      </c>
      <c r="O974">
        <f>IF($G974="",0,IF($H974="مرجوعی خرید",-1,1)*IF(Sync!$AD971="",0,Sync!$AD971))</f>
        <v/>
      </c>
      <c r="P974">
        <f>IF(OR($G974="",Sync!$W971=""),"",Sync!$W971)</f>
        <v/>
      </c>
      <c r="Q974">
        <f>IF(OR($G974="",Sync!$AE971=""),"",Sync!$AE971)</f>
        <v/>
      </c>
      <c r="R974">
        <f>IF($G974="","",IF(Sync!$V971="","0000",IF(AND(ISNUMBER(Sync!$V971),Sync!$V971&gt;=0,Sync!$V971&lt;1),RIGHT("00"&amp;HOUR(Sync!$V971),2)&amp;RIGHT("00"&amp;MINUTE(Sync!$V971),2),IFERROR(RIGHT("00"&amp;VALUE(LEFT(Sync!$V971,FIND(":",Sync!$V971)-1)),2)&amp;RIGHT("00"&amp;VALUE(MID(Sync!$V971,FIND(":",Sync!$V971)+1,2)),2),"0000"))))</f>
        <v/>
      </c>
    </row>
    <row r="975">
      <c r="A975">
        <f>IF(Sync!$U972="","",Sync!$U972)</f>
        <v/>
      </c>
      <c r="B975">
        <f>IF($A975="","",IF(ISNUMBER($A975),IF(AND($A975&gt;=10000101,$A975&lt;=99991231),INT($A975/10000),""),IFERROR(VALUE(TRIM(LEFT($A975,FIND("/",$A975)-1))),"")))</f>
        <v/>
      </c>
      <c r="C975">
        <f>IF(OR($A975="",$B975=""),"",IF(ISNUMBER($A975),INT(MOD($A975,10000)/100),IFERROR(VALUE(TRIM(LEFT(MID($A975,FIND("/",$A975)+1,20),FIND("/",MID($A975,FIND("/",$A975)+1,20))-1))),"")))</f>
        <v/>
      </c>
      <c r="D975">
        <f>IF(OR($A975="",$B975=""),"",IF(ISNUMBER($A975),MOD($A975,100),IFERROR(VALUE(TRIM(MID(MID($A975,FIND("/",$A975)+1,20),FIND("/",MID($A975,FIND("/",$A975)+1,20))+1,20))),"")))</f>
        <v/>
      </c>
      <c r="E975">
        <f>IF($A975="","",IF(OR($B975="",$C975="",$D975="",$B975&lt;1300,$B975&gt;1500,$C975&lt;1,$C975&gt;12,$D975&lt;1,$D975&gt;31),"نامعتبر",RIGHT("0000"&amp;$B975,4)&amp;"/"&amp;RIGHT("00"&amp;$C975,2)&amp;"/"&amp;RIGHT("00"&amp;$D975,2)))</f>
        <v/>
      </c>
      <c r="F975">
        <f>IF(OR($E975="",$E975="نامعتبر"),"",LEFT($E975,4)&amp;"/"&amp;MID($E975,6,2))</f>
        <v/>
      </c>
      <c r="G975">
        <f>IF(OR($E975="",$E975="نامعتبر",Sync!$Y972=""),"",Sync!$Y972)</f>
        <v/>
      </c>
      <c r="H975">
        <f>IF($G975="","",IF(Sync!$X972="","",Sync!$X972))</f>
        <v/>
      </c>
      <c r="I975">
        <f>IF($G975="","",IFERROR(VLOOKUP(Sync!$X972,OpTbl,3,0),""))</f>
        <v/>
      </c>
      <c r="J975">
        <f>IF(OR($G975="",Sync!$Z972=""),"",Sync!$Z972)</f>
        <v/>
      </c>
      <c r="K975">
        <f>IF(OR($G975="",Sync!$AA972=""),"",Sync!$AA972)</f>
        <v/>
      </c>
      <c r="L975">
        <f>IF($G975="",0,IF(Sync!$AB972="",0,Sync!$AB972))</f>
        <v/>
      </c>
      <c r="M975">
        <f>IF($G975="",0,IF(Sync!$AC972="",0,Sync!$AC972))</f>
        <v/>
      </c>
      <c r="N975">
        <f>IF($G975="","",IF($H975="مرجوعی خرید",-1,1)*($L975-$M975*IFERROR(VLOOKUP("P01",ParamTbl,3,0),1.5))*(1-IF($I975="خرید",IFERROR(VLOOKUP("P02",ParamTbl,3,0),1),0)/100))</f>
        <v/>
      </c>
      <c r="O975">
        <f>IF($G975="",0,IF($H975="مرجوعی خرید",-1,1)*IF(Sync!$AD972="",0,Sync!$AD972))</f>
        <v/>
      </c>
      <c r="P975">
        <f>IF(OR($G975="",Sync!$W972=""),"",Sync!$W972)</f>
        <v/>
      </c>
      <c r="Q975">
        <f>IF(OR($G975="",Sync!$AE972=""),"",Sync!$AE972)</f>
        <v/>
      </c>
      <c r="R975">
        <f>IF($G975="","",IF(Sync!$V972="","0000",IF(AND(ISNUMBER(Sync!$V972),Sync!$V972&gt;=0,Sync!$V972&lt;1),RIGHT("00"&amp;HOUR(Sync!$V972),2)&amp;RIGHT("00"&amp;MINUTE(Sync!$V972),2),IFERROR(RIGHT("00"&amp;VALUE(LEFT(Sync!$V972,FIND(":",Sync!$V972)-1)),2)&amp;RIGHT("00"&amp;VALUE(MID(Sync!$V972,FIND(":",Sync!$V972)+1,2)),2),"0000"))))</f>
        <v/>
      </c>
    </row>
    <row r="976">
      <c r="A976">
        <f>IF(Sync!$U973="","",Sync!$U973)</f>
        <v/>
      </c>
      <c r="B976">
        <f>IF($A976="","",IF(ISNUMBER($A976),IF(AND($A976&gt;=10000101,$A976&lt;=99991231),INT($A976/10000),""),IFERROR(VALUE(TRIM(LEFT($A976,FIND("/",$A976)-1))),"")))</f>
        <v/>
      </c>
      <c r="C976">
        <f>IF(OR($A976="",$B976=""),"",IF(ISNUMBER($A976),INT(MOD($A976,10000)/100),IFERROR(VALUE(TRIM(LEFT(MID($A976,FIND("/",$A976)+1,20),FIND("/",MID($A976,FIND("/",$A976)+1,20))-1))),"")))</f>
        <v/>
      </c>
      <c r="D976">
        <f>IF(OR($A976="",$B976=""),"",IF(ISNUMBER($A976),MOD($A976,100),IFERROR(VALUE(TRIM(MID(MID($A976,FIND("/",$A976)+1,20),FIND("/",MID($A976,FIND("/",$A976)+1,20))+1,20))),"")))</f>
        <v/>
      </c>
      <c r="E976">
        <f>IF($A976="","",IF(OR($B976="",$C976="",$D976="",$B976&lt;1300,$B976&gt;1500,$C976&lt;1,$C976&gt;12,$D976&lt;1,$D976&gt;31),"نامعتبر",RIGHT("0000"&amp;$B976,4)&amp;"/"&amp;RIGHT("00"&amp;$C976,2)&amp;"/"&amp;RIGHT("00"&amp;$D976,2)))</f>
        <v/>
      </c>
      <c r="F976">
        <f>IF(OR($E976="",$E976="نامعتبر"),"",LEFT($E976,4)&amp;"/"&amp;MID($E976,6,2))</f>
        <v/>
      </c>
      <c r="G976">
        <f>IF(OR($E976="",$E976="نامعتبر",Sync!$Y973=""),"",Sync!$Y973)</f>
        <v/>
      </c>
      <c r="H976">
        <f>IF($G976="","",IF(Sync!$X973="","",Sync!$X973))</f>
        <v/>
      </c>
      <c r="I976">
        <f>IF($G976="","",IFERROR(VLOOKUP(Sync!$X973,OpTbl,3,0),""))</f>
        <v/>
      </c>
      <c r="J976">
        <f>IF(OR($G976="",Sync!$Z973=""),"",Sync!$Z973)</f>
        <v/>
      </c>
      <c r="K976">
        <f>IF(OR($G976="",Sync!$AA973=""),"",Sync!$AA973)</f>
        <v/>
      </c>
      <c r="L976">
        <f>IF($G976="",0,IF(Sync!$AB973="",0,Sync!$AB973))</f>
        <v/>
      </c>
      <c r="M976">
        <f>IF($G976="",0,IF(Sync!$AC973="",0,Sync!$AC973))</f>
        <v/>
      </c>
      <c r="N976">
        <f>IF($G976="","",IF($H976="مرجوعی خرید",-1,1)*($L976-$M976*IFERROR(VLOOKUP("P01",ParamTbl,3,0),1.5))*(1-IF($I976="خرید",IFERROR(VLOOKUP("P02",ParamTbl,3,0),1),0)/100))</f>
        <v/>
      </c>
      <c r="O976">
        <f>IF($G976="",0,IF($H976="مرجوعی خرید",-1,1)*IF(Sync!$AD973="",0,Sync!$AD973))</f>
        <v/>
      </c>
      <c r="P976">
        <f>IF(OR($G976="",Sync!$W973=""),"",Sync!$W973)</f>
        <v/>
      </c>
      <c r="Q976">
        <f>IF(OR($G976="",Sync!$AE973=""),"",Sync!$AE973)</f>
        <v/>
      </c>
      <c r="R976">
        <f>IF($G976="","",IF(Sync!$V973="","0000",IF(AND(ISNUMBER(Sync!$V973),Sync!$V973&gt;=0,Sync!$V973&lt;1),RIGHT("00"&amp;HOUR(Sync!$V973),2)&amp;RIGHT("00"&amp;MINUTE(Sync!$V973),2),IFERROR(RIGHT("00"&amp;VALUE(LEFT(Sync!$V973,FIND(":",Sync!$V973)-1)),2)&amp;RIGHT("00"&amp;VALUE(MID(Sync!$V973,FIND(":",Sync!$V973)+1,2)),2),"0000"))))</f>
        <v/>
      </c>
    </row>
    <row r="977">
      <c r="A977">
        <f>IF(Sync!$U974="","",Sync!$U974)</f>
        <v/>
      </c>
      <c r="B977">
        <f>IF($A977="","",IF(ISNUMBER($A977),IF(AND($A977&gt;=10000101,$A977&lt;=99991231),INT($A977/10000),""),IFERROR(VALUE(TRIM(LEFT($A977,FIND("/",$A977)-1))),"")))</f>
        <v/>
      </c>
      <c r="C977">
        <f>IF(OR($A977="",$B977=""),"",IF(ISNUMBER($A977),INT(MOD($A977,10000)/100),IFERROR(VALUE(TRIM(LEFT(MID($A977,FIND("/",$A977)+1,20),FIND("/",MID($A977,FIND("/",$A977)+1,20))-1))),"")))</f>
        <v/>
      </c>
      <c r="D977">
        <f>IF(OR($A977="",$B977=""),"",IF(ISNUMBER($A977),MOD($A977,100),IFERROR(VALUE(TRIM(MID(MID($A977,FIND("/",$A977)+1,20),FIND("/",MID($A977,FIND("/",$A977)+1,20))+1,20))),"")))</f>
        <v/>
      </c>
      <c r="E977">
        <f>IF($A977="","",IF(OR($B977="",$C977="",$D977="",$B977&lt;1300,$B977&gt;1500,$C977&lt;1,$C977&gt;12,$D977&lt;1,$D977&gt;31),"نامعتبر",RIGHT("0000"&amp;$B977,4)&amp;"/"&amp;RIGHT("00"&amp;$C977,2)&amp;"/"&amp;RIGHT("00"&amp;$D977,2)))</f>
        <v/>
      </c>
      <c r="F977">
        <f>IF(OR($E977="",$E977="نامعتبر"),"",LEFT($E977,4)&amp;"/"&amp;MID($E977,6,2))</f>
        <v/>
      </c>
      <c r="G977">
        <f>IF(OR($E977="",$E977="نامعتبر",Sync!$Y974=""),"",Sync!$Y974)</f>
        <v/>
      </c>
      <c r="H977">
        <f>IF($G977="","",IF(Sync!$X974="","",Sync!$X974))</f>
        <v/>
      </c>
      <c r="I977">
        <f>IF($G977="","",IFERROR(VLOOKUP(Sync!$X974,OpTbl,3,0),""))</f>
        <v/>
      </c>
      <c r="J977">
        <f>IF(OR($G977="",Sync!$Z974=""),"",Sync!$Z974)</f>
        <v/>
      </c>
      <c r="K977">
        <f>IF(OR($G977="",Sync!$AA974=""),"",Sync!$AA974)</f>
        <v/>
      </c>
      <c r="L977">
        <f>IF($G977="",0,IF(Sync!$AB974="",0,Sync!$AB974))</f>
        <v/>
      </c>
      <c r="M977">
        <f>IF($G977="",0,IF(Sync!$AC974="",0,Sync!$AC974))</f>
        <v/>
      </c>
      <c r="N977">
        <f>IF($G977="","",IF($H977="مرجوعی خرید",-1,1)*($L977-$M977*IFERROR(VLOOKUP("P01",ParamTbl,3,0),1.5))*(1-IF($I977="خرید",IFERROR(VLOOKUP("P02",ParamTbl,3,0),1),0)/100))</f>
        <v/>
      </c>
      <c r="O977">
        <f>IF($G977="",0,IF($H977="مرجوعی خرید",-1,1)*IF(Sync!$AD974="",0,Sync!$AD974))</f>
        <v/>
      </c>
      <c r="P977">
        <f>IF(OR($G977="",Sync!$W974=""),"",Sync!$W974)</f>
        <v/>
      </c>
      <c r="Q977">
        <f>IF(OR($G977="",Sync!$AE974=""),"",Sync!$AE974)</f>
        <v/>
      </c>
      <c r="R977">
        <f>IF($G977="","",IF(Sync!$V974="","0000",IF(AND(ISNUMBER(Sync!$V974),Sync!$V974&gt;=0,Sync!$V974&lt;1),RIGHT("00"&amp;HOUR(Sync!$V974),2)&amp;RIGHT("00"&amp;MINUTE(Sync!$V974),2),IFERROR(RIGHT("00"&amp;VALUE(LEFT(Sync!$V974,FIND(":",Sync!$V974)-1)),2)&amp;RIGHT("00"&amp;VALUE(MID(Sync!$V974,FIND(":",Sync!$V974)+1,2)),2),"0000"))))</f>
        <v/>
      </c>
    </row>
    <row r="978">
      <c r="A978">
        <f>IF(Sync!$U975="","",Sync!$U975)</f>
        <v/>
      </c>
      <c r="B978">
        <f>IF($A978="","",IF(ISNUMBER($A978),IF(AND($A978&gt;=10000101,$A978&lt;=99991231),INT($A978/10000),""),IFERROR(VALUE(TRIM(LEFT($A978,FIND("/",$A978)-1))),"")))</f>
        <v/>
      </c>
      <c r="C978">
        <f>IF(OR($A978="",$B978=""),"",IF(ISNUMBER($A978),INT(MOD($A978,10000)/100),IFERROR(VALUE(TRIM(LEFT(MID($A978,FIND("/",$A978)+1,20),FIND("/",MID($A978,FIND("/",$A978)+1,20))-1))),"")))</f>
        <v/>
      </c>
      <c r="D978">
        <f>IF(OR($A978="",$B978=""),"",IF(ISNUMBER($A978),MOD($A978,100),IFERROR(VALUE(TRIM(MID(MID($A978,FIND("/",$A978)+1,20),FIND("/",MID($A978,FIND("/",$A978)+1,20))+1,20))),"")))</f>
        <v/>
      </c>
      <c r="E978">
        <f>IF($A978="","",IF(OR($B978="",$C978="",$D978="",$B978&lt;1300,$B978&gt;1500,$C978&lt;1,$C978&gt;12,$D978&lt;1,$D978&gt;31),"نامعتبر",RIGHT("0000"&amp;$B978,4)&amp;"/"&amp;RIGHT("00"&amp;$C978,2)&amp;"/"&amp;RIGHT("00"&amp;$D978,2)))</f>
        <v/>
      </c>
      <c r="F978">
        <f>IF(OR($E978="",$E978="نامعتبر"),"",LEFT($E978,4)&amp;"/"&amp;MID($E978,6,2))</f>
        <v/>
      </c>
      <c r="G978">
        <f>IF(OR($E978="",$E978="نامعتبر",Sync!$Y975=""),"",Sync!$Y975)</f>
        <v/>
      </c>
      <c r="H978">
        <f>IF($G978="","",IF(Sync!$X975="","",Sync!$X975))</f>
        <v/>
      </c>
      <c r="I978">
        <f>IF($G978="","",IFERROR(VLOOKUP(Sync!$X975,OpTbl,3,0),""))</f>
        <v/>
      </c>
      <c r="J978">
        <f>IF(OR($G978="",Sync!$Z975=""),"",Sync!$Z975)</f>
        <v/>
      </c>
      <c r="K978">
        <f>IF(OR($G978="",Sync!$AA975=""),"",Sync!$AA975)</f>
        <v/>
      </c>
      <c r="L978">
        <f>IF($G978="",0,IF(Sync!$AB975="",0,Sync!$AB975))</f>
        <v/>
      </c>
      <c r="M978">
        <f>IF($G978="",0,IF(Sync!$AC975="",0,Sync!$AC975))</f>
        <v/>
      </c>
      <c r="N978">
        <f>IF($G978="","",IF($H978="مرجوعی خرید",-1,1)*($L978-$M978*IFERROR(VLOOKUP("P01",ParamTbl,3,0),1.5))*(1-IF($I978="خرید",IFERROR(VLOOKUP("P02",ParamTbl,3,0),1),0)/100))</f>
        <v/>
      </c>
      <c r="O978">
        <f>IF($G978="",0,IF($H978="مرجوعی خرید",-1,1)*IF(Sync!$AD975="",0,Sync!$AD975))</f>
        <v/>
      </c>
      <c r="P978">
        <f>IF(OR($G978="",Sync!$W975=""),"",Sync!$W975)</f>
        <v/>
      </c>
      <c r="Q978">
        <f>IF(OR($G978="",Sync!$AE975=""),"",Sync!$AE975)</f>
        <v/>
      </c>
      <c r="R978">
        <f>IF($G978="","",IF(Sync!$V975="","0000",IF(AND(ISNUMBER(Sync!$V975),Sync!$V975&gt;=0,Sync!$V975&lt;1),RIGHT("00"&amp;HOUR(Sync!$V975),2)&amp;RIGHT("00"&amp;MINUTE(Sync!$V975),2),IFERROR(RIGHT("00"&amp;VALUE(LEFT(Sync!$V975,FIND(":",Sync!$V975)-1)),2)&amp;RIGHT("00"&amp;VALUE(MID(Sync!$V975,FIND(":",Sync!$V975)+1,2)),2),"0000"))))</f>
        <v/>
      </c>
    </row>
    <row r="979">
      <c r="A979">
        <f>IF(Sync!$U976="","",Sync!$U976)</f>
        <v/>
      </c>
      <c r="B979">
        <f>IF($A979="","",IF(ISNUMBER($A979),IF(AND($A979&gt;=10000101,$A979&lt;=99991231),INT($A979/10000),""),IFERROR(VALUE(TRIM(LEFT($A979,FIND("/",$A979)-1))),"")))</f>
        <v/>
      </c>
      <c r="C979">
        <f>IF(OR($A979="",$B979=""),"",IF(ISNUMBER($A979),INT(MOD($A979,10000)/100),IFERROR(VALUE(TRIM(LEFT(MID($A979,FIND("/",$A979)+1,20),FIND("/",MID($A979,FIND("/",$A979)+1,20))-1))),"")))</f>
        <v/>
      </c>
      <c r="D979">
        <f>IF(OR($A979="",$B979=""),"",IF(ISNUMBER($A979),MOD($A979,100),IFERROR(VALUE(TRIM(MID(MID($A979,FIND("/",$A979)+1,20),FIND("/",MID($A979,FIND("/",$A979)+1,20))+1,20))),"")))</f>
        <v/>
      </c>
      <c r="E979">
        <f>IF($A979="","",IF(OR($B979="",$C979="",$D979="",$B979&lt;1300,$B979&gt;1500,$C979&lt;1,$C979&gt;12,$D979&lt;1,$D979&gt;31),"نامعتبر",RIGHT("0000"&amp;$B979,4)&amp;"/"&amp;RIGHT("00"&amp;$C979,2)&amp;"/"&amp;RIGHT("00"&amp;$D979,2)))</f>
        <v/>
      </c>
      <c r="F979">
        <f>IF(OR($E979="",$E979="نامعتبر"),"",LEFT($E979,4)&amp;"/"&amp;MID($E979,6,2))</f>
        <v/>
      </c>
      <c r="G979">
        <f>IF(OR($E979="",$E979="نامعتبر",Sync!$Y976=""),"",Sync!$Y976)</f>
        <v/>
      </c>
      <c r="H979">
        <f>IF($G979="","",IF(Sync!$X976="","",Sync!$X976))</f>
        <v/>
      </c>
      <c r="I979">
        <f>IF($G979="","",IFERROR(VLOOKUP(Sync!$X976,OpTbl,3,0),""))</f>
        <v/>
      </c>
      <c r="J979">
        <f>IF(OR($G979="",Sync!$Z976=""),"",Sync!$Z976)</f>
        <v/>
      </c>
      <c r="K979">
        <f>IF(OR($G979="",Sync!$AA976=""),"",Sync!$AA976)</f>
        <v/>
      </c>
      <c r="L979">
        <f>IF($G979="",0,IF(Sync!$AB976="",0,Sync!$AB976))</f>
        <v/>
      </c>
      <c r="M979">
        <f>IF($G979="",0,IF(Sync!$AC976="",0,Sync!$AC976))</f>
        <v/>
      </c>
      <c r="N979">
        <f>IF($G979="","",IF($H979="مرجوعی خرید",-1,1)*($L979-$M979*IFERROR(VLOOKUP("P01",ParamTbl,3,0),1.5))*(1-IF($I979="خرید",IFERROR(VLOOKUP("P02",ParamTbl,3,0),1),0)/100))</f>
        <v/>
      </c>
      <c r="O979">
        <f>IF($G979="",0,IF($H979="مرجوعی خرید",-1,1)*IF(Sync!$AD976="",0,Sync!$AD976))</f>
        <v/>
      </c>
      <c r="P979">
        <f>IF(OR($G979="",Sync!$W976=""),"",Sync!$W976)</f>
        <v/>
      </c>
      <c r="Q979">
        <f>IF(OR($G979="",Sync!$AE976=""),"",Sync!$AE976)</f>
        <v/>
      </c>
      <c r="R979">
        <f>IF($G979="","",IF(Sync!$V976="","0000",IF(AND(ISNUMBER(Sync!$V976),Sync!$V976&gt;=0,Sync!$V976&lt;1),RIGHT("00"&amp;HOUR(Sync!$V976),2)&amp;RIGHT("00"&amp;MINUTE(Sync!$V976),2),IFERROR(RIGHT("00"&amp;VALUE(LEFT(Sync!$V976,FIND(":",Sync!$V976)-1)),2)&amp;RIGHT("00"&amp;VALUE(MID(Sync!$V976,FIND(":",Sync!$V976)+1,2)),2),"0000"))))</f>
        <v/>
      </c>
    </row>
    <row r="980">
      <c r="A980">
        <f>IF(Sync!$U977="","",Sync!$U977)</f>
        <v/>
      </c>
      <c r="B980">
        <f>IF($A980="","",IF(ISNUMBER($A980),IF(AND($A980&gt;=10000101,$A980&lt;=99991231),INT($A980/10000),""),IFERROR(VALUE(TRIM(LEFT($A980,FIND("/",$A980)-1))),"")))</f>
        <v/>
      </c>
      <c r="C980">
        <f>IF(OR($A980="",$B980=""),"",IF(ISNUMBER($A980),INT(MOD($A980,10000)/100),IFERROR(VALUE(TRIM(LEFT(MID($A980,FIND("/",$A980)+1,20),FIND("/",MID($A980,FIND("/",$A980)+1,20))-1))),"")))</f>
        <v/>
      </c>
      <c r="D980">
        <f>IF(OR($A980="",$B980=""),"",IF(ISNUMBER($A980),MOD($A980,100),IFERROR(VALUE(TRIM(MID(MID($A980,FIND("/",$A980)+1,20),FIND("/",MID($A980,FIND("/",$A980)+1,20))+1,20))),"")))</f>
        <v/>
      </c>
      <c r="E980">
        <f>IF($A980="","",IF(OR($B980="",$C980="",$D980="",$B980&lt;1300,$B980&gt;1500,$C980&lt;1,$C980&gt;12,$D980&lt;1,$D980&gt;31),"نامعتبر",RIGHT("0000"&amp;$B980,4)&amp;"/"&amp;RIGHT("00"&amp;$C980,2)&amp;"/"&amp;RIGHT("00"&amp;$D980,2)))</f>
        <v/>
      </c>
      <c r="F980">
        <f>IF(OR($E980="",$E980="نامعتبر"),"",LEFT($E980,4)&amp;"/"&amp;MID($E980,6,2))</f>
        <v/>
      </c>
      <c r="G980">
        <f>IF(OR($E980="",$E980="نامعتبر",Sync!$Y977=""),"",Sync!$Y977)</f>
        <v/>
      </c>
      <c r="H980">
        <f>IF($G980="","",IF(Sync!$X977="","",Sync!$X977))</f>
        <v/>
      </c>
      <c r="I980">
        <f>IF($G980="","",IFERROR(VLOOKUP(Sync!$X977,OpTbl,3,0),""))</f>
        <v/>
      </c>
      <c r="J980">
        <f>IF(OR($G980="",Sync!$Z977=""),"",Sync!$Z977)</f>
        <v/>
      </c>
      <c r="K980">
        <f>IF(OR($G980="",Sync!$AA977=""),"",Sync!$AA977)</f>
        <v/>
      </c>
      <c r="L980">
        <f>IF($G980="",0,IF(Sync!$AB977="",0,Sync!$AB977))</f>
        <v/>
      </c>
      <c r="M980">
        <f>IF($G980="",0,IF(Sync!$AC977="",0,Sync!$AC977))</f>
        <v/>
      </c>
      <c r="N980">
        <f>IF($G980="","",IF($H980="مرجوعی خرید",-1,1)*($L980-$M980*IFERROR(VLOOKUP("P01",ParamTbl,3,0),1.5))*(1-IF($I980="خرید",IFERROR(VLOOKUP("P02",ParamTbl,3,0),1),0)/100))</f>
        <v/>
      </c>
      <c r="O980">
        <f>IF($G980="",0,IF($H980="مرجوعی خرید",-1,1)*IF(Sync!$AD977="",0,Sync!$AD977))</f>
        <v/>
      </c>
      <c r="P980">
        <f>IF(OR($G980="",Sync!$W977=""),"",Sync!$W977)</f>
        <v/>
      </c>
      <c r="Q980">
        <f>IF(OR($G980="",Sync!$AE977=""),"",Sync!$AE977)</f>
        <v/>
      </c>
      <c r="R980">
        <f>IF($G980="","",IF(Sync!$V977="","0000",IF(AND(ISNUMBER(Sync!$V977),Sync!$V977&gt;=0,Sync!$V977&lt;1),RIGHT("00"&amp;HOUR(Sync!$V977),2)&amp;RIGHT("00"&amp;MINUTE(Sync!$V977),2),IFERROR(RIGHT("00"&amp;VALUE(LEFT(Sync!$V977,FIND(":",Sync!$V977)-1)),2)&amp;RIGHT("00"&amp;VALUE(MID(Sync!$V977,FIND(":",Sync!$V977)+1,2)),2),"0000"))))</f>
        <v/>
      </c>
    </row>
    <row r="981">
      <c r="A981">
        <f>IF(Sync!$U978="","",Sync!$U978)</f>
        <v/>
      </c>
      <c r="B981">
        <f>IF($A981="","",IF(ISNUMBER($A981),IF(AND($A981&gt;=10000101,$A981&lt;=99991231),INT($A981/10000),""),IFERROR(VALUE(TRIM(LEFT($A981,FIND("/",$A981)-1))),"")))</f>
        <v/>
      </c>
      <c r="C981">
        <f>IF(OR($A981="",$B981=""),"",IF(ISNUMBER($A981),INT(MOD($A981,10000)/100),IFERROR(VALUE(TRIM(LEFT(MID($A981,FIND("/",$A981)+1,20),FIND("/",MID($A981,FIND("/",$A981)+1,20))-1))),"")))</f>
        <v/>
      </c>
      <c r="D981">
        <f>IF(OR($A981="",$B981=""),"",IF(ISNUMBER($A981),MOD($A981,100),IFERROR(VALUE(TRIM(MID(MID($A981,FIND("/",$A981)+1,20),FIND("/",MID($A981,FIND("/",$A981)+1,20))+1,20))),"")))</f>
        <v/>
      </c>
      <c r="E981">
        <f>IF($A981="","",IF(OR($B981="",$C981="",$D981="",$B981&lt;1300,$B981&gt;1500,$C981&lt;1,$C981&gt;12,$D981&lt;1,$D981&gt;31),"نامعتبر",RIGHT("0000"&amp;$B981,4)&amp;"/"&amp;RIGHT("00"&amp;$C981,2)&amp;"/"&amp;RIGHT("00"&amp;$D981,2)))</f>
        <v/>
      </c>
      <c r="F981">
        <f>IF(OR($E981="",$E981="نامعتبر"),"",LEFT($E981,4)&amp;"/"&amp;MID($E981,6,2))</f>
        <v/>
      </c>
      <c r="G981">
        <f>IF(OR($E981="",$E981="نامعتبر",Sync!$Y978=""),"",Sync!$Y978)</f>
        <v/>
      </c>
      <c r="H981">
        <f>IF($G981="","",IF(Sync!$X978="","",Sync!$X978))</f>
        <v/>
      </c>
      <c r="I981">
        <f>IF($G981="","",IFERROR(VLOOKUP(Sync!$X978,OpTbl,3,0),""))</f>
        <v/>
      </c>
      <c r="J981">
        <f>IF(OR($G981="",Sync!$Z978=""),"",Sync!$Z978)</f>
        <v/>
      </c>
      <c r="K981">
        <f>IF(OR($G981="",Sync!$AA978=""),"",Sync!$AA978)</f>
        <v/>
      </c>
      <c r="L981">
        <f>IF($G981="",0,IF(Sync!$AB978="",0,Sync!$AB978))</f>
        <v/>
      </c>
      <c r="M981">
        <f>IF($G981="",0,IF(Sync!$AC978="",0,Sync!$AC978))</f>
        <v/>
      </c>
      <c r="N981">
        <f>IF($G981="","",IF($H981="مرجوعی خرید",-1,1)*($L981-$M981*IFERROR(VLOOKUP("P01",ParamTbl,3,0),1.5))*(1-IF($I981="خرید",IFERROR(VLOOKUP("P02",ParamTbl,3,0),1),0)/100))</f>
        <v/>
      </c>
      <c r="O981">
        <f>IF($G981="",0,IF($H981="مرجوعی خرید",-1,1)*IF(Sync!$AD978="",0,Sync!$AD978))</f>
        <v/>
      </c>
      <c r="P981">
        <f>IF(OR($G981="",Sync!$W978=""),"",Sync!$W978)</f>
        <v/>
      </c>
      <c r="Q981">
        <f>IF(OR($G981="",Sync!$AE978=""),"",Sync!$AE978)</f>
        <v/>
      </c>
      <c r="R981">
        <f>IF($G981="","",IF(Sync!$V978="","0000",IF(AND(ISNUMBER(Sync!$V978),Sync!$V978&gt;=0,Sync!$V978&lt;1),RIGHT("00"&amp;HOUR(Sync!$V978),2)&amp;RIGHT("00"&amp;MINUTE(Sync!$V978),2),IFERROR(RIGHT("00"&amp;VALUE(LEFT(Sync!$V978,FIND(":",Sync!$V978)-1)),2)&amp;RIGHT("00"&amp;VALUE(MID(Sync!$V978,FIND(":",Sync!$V978)+1,2)),2),"0000"))))</f>
        <v/>
      </c>
    </row>
    <row r="982">
      <c r="A982">
        <f>IF(Sync!$U979="","",Sync!$U979)</f>
        <v/>
      </c>
      <c r="B982">
        <f>IF($A982="","",IF(ISNUMBER($A982),IF(AND($A982&gt;=10000101,$A982&lt;=99991231),INT($A982/10000),""),IFERROR(VALUE(TRIM(LEFT($A982,FIND("/",$A982)-1))),"")))</f>
        <v/>
      </c>
      <c r="C982">
        <f>IF(OR($A982="",$B982=""),"",IF(ISNUMBER($A982),INT(MOD($A982,10000)/100),IFERROR(VALUE(TRIM(LEFT(MID($A982,FIND("/",$A982)+1,20),FIND("/",MID($A982,FIND("/",$A982)+1,20))-1))),"")))</f>
        <v/>
      </c>
      <c r="D982">
        <f>IF(OR($A982="",$B982=""),"",IF(ISNUMBER($A982),MOD($A982,100),IFERROR(VALUE(TRIM(MID(MID($A982,FIND("/",$A982)+1,20),FIND("/",MID($A982,FIND("/",$A982)+1,20))+1,20))),"")))</f>
        <v/>
      </c>
      <c r="E982">
        <f>IF($A982="","",IF(OR($B982="",$C982="",$D982="",$B982&lt;1300,$B982&gt;1500,$C982&lt;1,$C982&gt;12,$D982&lt;1,$D982&gt;31),"نامعتبر",RIGHT("0000"&amp;$B982,4)&amp;"/"&amp;RIGHT("00"&amp;$C982,2)&amp;"/"&amp;RIGHT("00"&amp;$D982,2)))</f>
        <v/>
      </c>
      <c r="F982">
        <f>IF(OR($E982="",$E982="نامعتبر"),"",LEFT($E982,4)&amp;"/"&amp;MID($E982,6,2))</f>
        <v/>
      </c>
      <c r="G982">
        <f>IF(OR($E982="",$E982="نامعتبر",Sync!$Y979=""),"",Sync!$Y979)</f>
        <v/>
      </c>
      <c r="H982">
        <f>IF($G982="","",IF(Sync!$X979="","",Sync!$X979))</f>
        <v/>
      </c>
      <c r="I982">
        <f>IF($G982="","",IFERROR(VLOOKUP(Sync!$X979,OpTbl,3,0),""))</f>
        <v/>
      </c>
      <c r="J982">
        <f>IF(OR($G982="",Sync!$Z979=""),"",Sync!$Z979)</f>
        <v/>
      </c>
      <c r="K982">
        <f>IF(OR($G982="",Sync!$AA979=""),"",Sync!$AA979)</f>
        <v/>
      </c>
      <c r="L982">
        <f>IF($G982="",0,IF(Sync!$AB979="",0,Sync!$AB979))</f>
        <v/>
      </c>
      <c r="M982">
        <f>IF($G982="",0,IF(Sync!$AC979="",0,Sync!$AC979))</f>
        <v/>
      </c>
      <c r="N982">
        <f>IF($G982="","",IF($H982="مرجوعی خرید",-1,1)*($L982-$M982*IFERROR(VLOOKUP("P01",ParamTbl,3,0),1.5))*(1-IF($I982="خرید",IFERROR(VLOOKUP("P02",ParamTbl,3,0),1),0)/100))</f>
        <v/>
      </c>
      <c r="O982">
        <f>IF($G982="",0,IF($H982="مرجوعی خرید",-1,1)*IF(Sync!$AD979="",0,Sync!$AD979))</f>
        <v/>
      </c>
      <c r="P982">
        <f>IF(OR($G982="",Sync!$W979=""),"",Sync!$W979)</f>
        <v/>
      </c>
      <c r="Q982">
        <f>IF(OR($G982="",Sync!$AE979=""),"",Sync!$AE979)</f>
        <v/>
      </c>
      <c r="R982">
        <f>IF($G982="","",IF(Sync!$V979="","0000",IF(AND(ISNUMBER(Sync!$V979),Sync!$V979&gt;=0,Sync!$V979&lt;1),RIGHT("00"&amp;HOUR(Sync!$V979),2)&amp;RIGHT("00"&amp;MINUTE(Sync!$V979),2),IFERROR(RIGHT("00"&amp;VALUE(LEFT(Sync!$V979,FIND(":",Sync!$V979)-1)),2)&amp;RIGHT("00"&amp;VALUE(MID(Sync!$V979,FIND(":",Sync!$V979)+1,2)),2),"0000"))))</f>
        <v/>
      </c>
    </row>
    <row r="983">
      <c r="A983">
        <f>IF(Sync!$U980="","",Sync!$U980)</f>
        <v/>
      </c>
      <c r="B983">
        <f>IF($A983="","",IF(ISNUMBER($A983),IF(AND($A983&gt;=10000101,$A983&lt;=99991231),INT($A983/10000),""),IFERROR(VALUE(TRIM(LEFT($A983,FIND("/",$A983)-1))),"")))</f>
        <v/>
      </c>
      <c r="C983">
        <f>IF(OR($A983="",$B983=""),"",IF(ISNUMBER($A983),INT(MOD($A983,10000)/100),IFERROR(VALUE(TRIM(LEFT(MID($A983,FIND("/",$A983)+1,20),FIND("/",MID($A983,FIND("/",$A983)+1,20))-1))),"")))</f>
        <v/>
      </c>
      <c r="D983">
        <f>IF(OR($A983="",$B983=""),"",IF(ISNUMBER($A983),MOD($A983,100),IFERROR(VALUE(TRIM(MID(MID($A983,FIND("/",$A983)+1,20),FIND("/",MID($A983,FIND("/",$A983)+1,20))+1,20))),"")))</f>
        <v/>
      </c>
      <c r="E983">
        <f>IF($A983="","",IF(OR($B983="",$C983="",$D983="",$B983&lt;1300,$B983&gt;1500,$C983&lt;1,$C983&gt;12,$D983&lt;1,$D983&gt;31),"نامعتبر",RIGHT("0000"&amp;$B983,4)&amp;"/"&amp;RIGHT("00"&amp;$C983,2)&amp;"/"&amp;RIGHT("00"&amp;$D983,2)))</f>
        <v/>
      </c>
      <c r="F983">
        <f>IF(OR($E983="",$E983="نامعتبر"),"",LEFT($E983,4)&amp;"/"&amp;MID($E983,6,2))</f>
        <v/>
      </c>
      <c r="G983">
        <f>IF(OR($E983="",$E983="نامعتبر",Sync!$Y980=""),"",Sync!$Y980)</f>
        <v/>
      </c>
      <c r="H983">
        <f>IF($G983="","",IF(Sync!$X980="","",Sync!$X980))</f>
        <v/>
      </c>
      <c r="I983">
        <f>IF($G983="","",IFERROR(VLOOKUP(Sync!$X980,OpTbl,3,0),""))</f>
        <v/>
      </c>
      <c r="J983">
        <f>IF(OR($G983="",Sync!$Z980=""),"",Sync!$Z980)</f>
        <v/>
      </c>
      <c r="K983">
        <f>IF(OR($G983="",Sync!$AA980=""),"",Sync!$AA980)</f>
        <v/>
      </c>
      <c r="L983">
        <f>IF($G983="",0,IF(Sync!$AB980="",0,Sync!$AB980))</f>
        <v/>
      </c>
      <c r="M983">
        <f>IF($G983="",0,IF(Sync!$AC980="",0,Sync!$AC980))</f>
        <v/>
      </c>
      <c r="N983">
        <f>IF($G983="","",IF($H983="مرجوعی خرید",-1,1)*($L983-$M983*IFERROR(VLOOKUP("P01",ParamTbl,3,0),1.5))*(1-IF($I983="خرید",IFERROR(VLOOKUP("P02",ParamTbl,3,0),1),0)/100))</f>
        <v/>
      </c>
      <c r="O983">
        <f>IF($G983="",0,IF($H983="مرجوعی خرید",-1,1)*IF(Sync!$AD980="",0,Sync!$AD980))</f>
        <v/>
      </c>
      <c r="P983">
        <f>IF(OR($G983="",Sync!$W980=""),"",Sync!$W980)</f>
        <v/>
      </c>
      <c r="Q983">
        <f>IF(OR($G983="",Sync!$AE980=""),"",Sync!$AE980)</f>
        <v/>
      </c>
      <c r="R983">
        <f>IF($G983="","",IF(Sync!$V980="","0000",IF(AND(ISNUMBER(Sync!$V980),Sync!$V980&gt;=0,Sync!$V980&lt;1),RIGHT("00"&amp;HOUR(Sync!$V980),2)&amp;RIGHT("00"&amp;MINUTE(Sync!$V980),2),IFERROR(RIGHT("00"&amp;VALUE(LEFT(Sync!$V980,FIND(":",Sync!$V980)-1)),2)&amp;RIGHT("00"&amp;VALUE(MID(Sync!$V980,FIND(":",Sync!$V980)+1,2)),2),"0000"))))</f>
        <v/>
      </c>
    </row>
    <row r="984">
      <c r="A984">
        <f>IF(Sync!$U981="","",Sync!$U981)</f>
        <v/>
      </c>
      <c r="B984">
        <f>IF($A984="","",IF(ISNUMBER($A984),IF(AND($A984&gt;=10000101,$A984&lt;=99991231),INT($A984/10000),""),IFERROR(VALUE(TRIM(LEFT($A984,FIND("/",$A984)-1))),"")))</f>
        <v/>
      </c>
      <c r="C984">
        <f>IF(OR($A984="",$B984=""),"",IF(ISNUMBER($A984),INT(MOD($A984,10000)/100),IFERROR(VALUE(TRIM(LEFT(MID($A984,FIND("/",$A984)+1,20),FIND("/",MID($A984,FIND("/",$A984)+1,20))-1))),"")))</f>
        <v/>
      </c>
      <c r="D984">
        <f>IF(OR($A984="",$B984=""),"",IF(ISNUMBER($A984),MOD($A984,100),IFERROR(VALUE(TRIM(MID(MID($A984,FIND("/",$A984)+1,20),FIND("/",MID($A984,FIND("/",$A984)+1,20))+1,20))),"")))</f>
        <v/>
      </c>
      <c r="E984">
        <f>IF($A984="","",IF(OR($B984="",$C984="",$D984="",$B984&lt;1300,$B984&gt;1500,$C984&lt;1,$C984&gt;12,$D984&lt;1,$D984&gt;31),"نامعتبر",RIGHT("0000"&amp;$B984,4)&amp;"/"&amp;RIGHT("00"&amp;$C984,2)&amp;"/"&amp;RIGHT("00"&amp;$D984,2)))</f>
        <v/>
      </c>
      <c r="F984">
        <f>IF(OR($E984="",$E984="نامعتبر"),"",LEFT($E984,4)&amp;"/"&amp;MID($E984,6,2))</f>
        <v/>
      </c>
      <c r="G984">
        <f>IF(OR($E984="",$E984="نامعتبر",Sync!$Y981=""),"",Sync!$Y981)</f>
        <v/>
      </c>
      <c r="H984">
        <f>IF($G984="","",IF(Sync!$X981="","",Sync!$X981))</f>
        <v/>
      </c>
      <c r="I984">
        <f>IF($G984="","",IFERROR(VLOOKUP(Sync!$X981,OpTbl,3,0),""))</f>
        <v/>
      </c>
      <c r="J984">
        <f>IF(OR($G984="",Sync!$Z981=""),"",Sync!$Z981)</f>
        <v/>
      </c>
      <c r="K984">
        <f>IF(OR($G984="",Sync!$AA981=""),"",Sync!$AA981)</f>
        <v/>
      </c>
      <c r="L984">
        <f>IF($G984="",0,IF(Sync!$AB981="",0,Sync!$AB981))</f>
        <v/>
      </c>
      <c r="M984">
        <f>IF($G984="",0,IF(Sync!$AC981="",0,Sync!$AC981))</f>
        <v/>
      </c>
      <c r="N984">
        <f>IF($G984="","",IF($H984="مرجوعی خرید",-1,1)*($L984-$M984*IFERROR(VLOOKUP("P01",ParamTbl,3,0),1.5))*(1-IF($I984="خرید",IFERROR(VLOOKUP("P02",ParamTbl,3,0),1),0)/100))</f>
        <v/>
      </c>
      <c r="O984">
        <f>IF($G984="",0,IF($H984="مرجوعی خرید",-1,1)*IF(Sync!$AD981="",0,Sync!$AD981))</f>
        <v/>
      </c>
      <c r="P984">
        <f>IF(OR($G984="",Sync!$W981=""),"",Sync!$W981)</f>
        <v/>
      </c>
      <c r="Q984">
        <f>IF(OR($G984="",Sync!$AE981=""),"",Sync!$AE981)</f>
        <v/>
      </c>
      <c r="R984">
        <f>IF($G984="","",IF(Sync!$V981="","0000",IF(AND(ISNUMBER(Sync!$V981),Sync!$V981&gt;=0,Sync!$V981&lt;1),RIGHT("00"&amp;HOUR(Sync!$V981),2)&amp;RIGHT("00"&amp;MINUTE(Sync!$V981),2),IFERROR(RIGHT("00"&amp;VALUE(LEFT(Sync!$V981,FIND(":",Sync!$V981)-1)),2)&amp;RIGHT("00"&amp;VALUE(MID(Sync!$V981,FIND(":",Sync!$V981)+1,2)),2),"0000"))))</f>
        <v/>
      </c>
    </row>
    <row r="985">
      <c r="A985">
        <f>IF(Sync!$U982="","",Sync!$U982)</f>
        <v/>
      </c>
      <c r="B985">
        <f>IF($A985="","",IF(ISNUMBER($A985),IF(AND($A985&gt;=10000101,$A985&lt;=99991231),INT($A985/10000),""),IFERROR(VALUE(TRIM(LEFT($A985,FIND("/",$A985)-1))),"")))</f>
        <v/>
      </c>
      <c r="C985">
        <f>IF(OR($A985="",$B985=""),"",IF(ISNUMBER($A985),INT(MOD($A985,10000)/100),IFERROR(VALUE(TRIM(LEFT(MID($A985,FIND("/",$A985)+1,20),FIND("/",MID($A985,FIND("/",$A985)+1,20))-1))),"")))</f>
        <v/>
      </c>
      <c r="D985">
        <f>IF(OR($A985="",$B985=""),"",IF(ISNUMBER($A985),MOD($A985,100),IFERROR(VALUE(TRIM(MID(MID($A985,FIND("/",$A985)+1,20),FIND("/",MID($A985,FIND("/",$A985)+1,20))+1,20))),"")))</f>
        <v/>
      </c>
      <c r="E985">
        <f>IF($A985="","",IF(OR($B985="",$C985="",$D985="",$B985&lt;1300,$B985&gt;1500,$C985&lt;1,$C985&gt;12,$D985&lt;1,$D985&gt;31),"نامعتبر",RIGHT("0000"&amp;$B985,4)&amp;"/"&amp;RIGHT("00"&amp;$C985,2)&amp;"/"&amp;RIGHT("00"&amp;$D985,2)))</f>
        <v/>
      </c>
      <c r="F985">
        <f>IF(OR($E985="",$E985="نامعتبر"),"",LEFT($E985,4)&amp;"/"&amp;MID($E985,6,2))</f>
        <v/>
      </c>
      <c r="G985">
        <f>IF(OR($E985="",$E985="نامعتبر",Sync!$Y982=""),"",Sync!$Y982)</f>
        <v/>
      </c>
      <c r="H985">
        <f>IF($G985="","",IF(Sync!$X982="","",Sync!$X982))</f>
        <v/>
      </c>
      <c r="I985">
        <f>IF($G985="","",IFERROR(VLOOKUP(Sync!$X982,OpTbl,3,0),""))</f>
        <v/>
      </c>
      <c r="J985">
        <f>IF(OR($G985="",Sync!$Z982=""),"",Sync!$Z982)</f>
        <v/>
      </c>
      <c r="K985">
        <f>IF(OR($G985="",Sync!$AA982=""),"",Sync!$AA982)</f>
        <v/>
      </c>
      <c r="L985">
        <f>IF($G985="",0,IF(Sync!$AB982="",0,Sync!$AB982))</f>
        <v/>
      </c>
      <c r="M985">
        <f>IF($G985="",0,IF(Sync!$AC982="",0,Sync!$AC982))</f>
        <v/>
      </c>
      <c r="N985">
        <f>IF($G985="","",IF($H985="مرجوعی خرید",-1,1)*($L985-$M985*IFERROR(VLOOKUP("P01",ParamTbl,3,0),1.5))*(1-IF($I985="خرید",IFERROR(VLOOKUP("P02",ParamTbl,3,0),1),0)/100))</f>
        <v/>
      </c>
      <c r="O985">
        <f>IF($G985="",0,IF($H985="مرجوعی خرید",-1,1)*IF(Sync!$AD982="",0,Sync!$AD982))</f>
        <v/>
      </c>
      <c r="P985">
        <f>IF(OR($G985="",Sync!$W982=""),"",Sync!$W982)</f>
        <v/>
      </c>
      <c r="Q985">
        <f>IF(OR($G985="",Sync!$AE982=""),"",Sync!$AE982)</f>
        <v/>
      </c>
      <c r="R985">
        <f>IF($G985="","",IF(Sync!$V982="","0000",IF(AND(ISNUMBER(Sync!$V982),Sync!$V982&gt;=0,Sync!$V982&lt;1),RIGHT("00"&amp;HOUR(Sync!$V982),2)&amp;RIGHT("00"&amp;MINUTE(Sync!$V982),2),IFERROR(RIGHT("00"&amp;VALUE(LEFT(Sync!$V982,FIND(":",Sync!$V982)-1)),2)&amp;RIGHT("00"&amp;VALUE(MID(Sync!$V982,FIND(":",Sync!$V982)+1,2)),2),"0000"))))</f>
        <v/>
      </c>
    </row>
    <row r="986">
      <c r="A986">
        <f>IF(Sync!$U983="","",Sync!$U983)</f>
        <v/>
      </c>
      <c r="B986">
        <f>IF($A986="","",IF(ISNUMBER($A986),IF(AND($A986&gt;=10000101,$A986&lt;=99991231),INT($A986/10000),""),IFERROR(VALUE(TRIM(LEFT($A986,FIND("/",$A986)-1))),"")))</f>
        <v/>
      </c>
      <c r="C986">
        <f>IF(OR($A986="",$B986=""),"",IF(ISNUMBER($A986),INT(MOD($A986,10000)/100),IFERROR(VALUE(TRIM(LEFT(MID($A986,FIND("/",$A986)+1,20),FIND("/",MID($A986,FIND("/",$A986)+1,20))-1))),"")))</f>
        <v/>
      </c>
      <c r="D986">
        <f>IF(OR($A986="",$B986=""),"",IF(ISNUMBER($A986),MOD($A986,100),IFERROR(VALUE(TRIM(MID(MID($A986,FIND("/",$A986)+1,20),FIND("/",MID($A986,FIND("/",$A986)+1,20))+1,20))),"")))</f>
        <v/>
      </c>
      <c r="E986">
        <f>IF($A986="","",IF(OR($B986="",$C986="",$D986="",$B986&lt;1300,$B986&gt;1500,$C986&lt;1,$C986&gt;12,$D986&lt;1,$D986&gt;31),"نامعتبر",RIGHT("0000"&amp;$B986,4)&amp;"/"&amp;RIGHT("00"&amp;$C986,2)&amp;"/"&amp;RIGHT("00"&amp;$D986,2)))</f>
        <v/>
      </c>
      <c r="F986">
        <f>IF(OR($E986="",$E986="نامعتبر"),"",LEFT($E986,4)&amp;"/"&amp;MID($E986,6,2))</f>
        <v/>
      </c>
      <c r="G986">
        <f>IF(OR($E986="",$E986="نامعتبر",Sync!$Y983=""),"",Sync!$Y983)</f>
        <v/>
      </c>
      <c r="H986">
        <f>IF($G986="","",IF(Sync!$X983="","",Sync!$X983))</f>
        <v/>
      </c>
      <c r="I986">
        <f>IF($G986="","",IFERROR(VLOOKUP(Sync!$X983,OpTbl,3,0),""))</f>
        <v/>
      </c>
      <c r="J986">
        <f>IF(OR($G986="",Sync!$Z983=""),"",Sync!$Z983)</f>
        <v/>
      </c>
      <c r="K986">
        <f>IF(OR($G986="",Sync!$AA983=""),"",Sync!$AA983)</f>
        <v/>
      </c>
      <c r="L986">
        <f>IF($G986="",0,IF(Sync!$AB983="",0,Sync!$AB983))</f>
        <v/>
      </c>
      <c r="M986">
        <f>IF($G986="",0,IF(Sync!$AC983="",0,Sync!$AC983))</f>
        <v/>
      </c>
      <c r="N986">
        <f>IF($G986="","",IF($H986="مرجوعی خرید",-1,1)*($L986-$M986*IFERROR(VLOOKUP("P01",ParamTbl,3,0),1.5))*(1-IF($I986="خرید",IFERROR(VLOOKUP("P02",ParamTbl,3,0),1),0)/100))</f>
        <v/>
      </c>
      <c r="O986">
        <f>IF($G986="",0,IF($H986="مرجوعی خرید",-1,1)*IF(Sync!$AD983="",0,Sync!$AD983))</f>
        <v/>
      </c>
      <c r="P986">
        <f>IF(OR($G986="",Sync!$W983=""),"",Sync!$W983)</f>
        <v/>
      </c>
      <c r="Q986">
        <f>IF(OR($G986="",Sync!$AE983=""),"",Sync!$AE983)</f>
        <v/>
      </c>
      <c r="R986">
        <f>IF($G986="","",IF(Sync!$V983="","0000",IF(AND(ISNUMBER(Sync!$V983),Sync!$V983&gt;=0,Sync!$V983&lt;1),RIGHT("00"&amp;HOUR(Sync!$V983),2)&amp;RIGHT("00"&amp;MINUTE(Sync!$V983),2),IFERROR(RIGHT("00"&amp;VALUE(LEFT(Sync!$V983,FIND(":",Sync!$V983)-1)),2)&amp;RIGHT("00"&amp;VALUE(MID(Sync!$V983,FIND(":",Sync!$V983)+1,2)),2),"0000"))))</f>
        <v/>
      </c>
    </row>
    <row r="987">
      <c r="A987">
        <f>IF(Sync!$U984="","",Sync!$U984)</f>
        <v/>
      </c>
      <c r="B987">
        <f>IF($A987="","",IF(ISNUMBER($A987),IF(AND($A987&gt;=10000101,$A987&lt;=99991231),INT($A987/10000),""),IFERROR(VALUE(TRIM(LEFT($A987,FIND("/",$A987)-1))),"")))</f>
        <v/>
      </c>
      <c r="C987">
        <f>IF(OR($A987="",$B987=""),"",IF(ISNUMBER($A987),INT(MOD($A987,10000)/100),IFERROR(VALUE(TRIM(LEFT(MID($A987,FIND("/",$A987)+1,20),FIND("/",MID($A987,FIND("/",$A987)+1,20))-1))),"")))</f>
        <v/>
      </c>
      <c r="D987">
        <f>IF(OR($A987="",$B987=""),"",IF(ISNUMBER($A987),MOD($A987,100),IFERROR(VALUE(TRIM(MID(MID($A987,FIND("/",$A987)+1,20),FIND("/",MID($A987,FIND("/",$A987)+1,20))+1,20))),"")))</f>
        <v/>
      </c>
      <c r="E987">
        <f>IF($A987="","",IF(OR($B987="",$C987="",$D987="",$B987&lt;1300,$B987&gt;1500,$C987&lt;1,$C987&gt;12,$D987&lt;1,$D987&gt;31),"نامعتبر",RIGHT("0000"&amp;$B987,4)&amp;"/"&amp;RIGHT("00"&amp;$C987,2)&amp;"/"&amp;RIGHT("00"&amp;$D987,2)))</f>
        <v/>
      </c>
      <c r="F987">
        <f>IF(OR($E987="",$E987="نامعتبر"),"",LEFT($E987,4)&amp;"/"&amp;MID($E987,6,2))</f>
        <v/>
      </c>
      <c r="G987">
        <f>IF(OR($E987="",$E987="نامعتبر",Sync!$Y984=""),"",Sync!$Y984)</f>
        <v/>
      </c>
      <c r="H987">
        <f>IF($G987="","",IF(Sync!$X984="","",Sync!$X984))</f>
        <v/>
      </c>
      <c r="I987">
        <f>IF($G987="","",IFERROR(VLOOKUP(Sync!$X984,OpTbl,3,0),""))</f>
        <v/>
      </c>
      <c r="J987">
        <f>IF(OR($G987="",Sync!$Z984=""),"",Sync!$Z984)</f>
        <v/>
      </c>
      <c r="K987">
        <f>IF(OR($G987="",Sync!$AA984=""),"",Sync!$AA984)</f>
        <v/>
      </c>
      <c r="L987">
        <f>IF($G987="",0,IF(Sync!$AB984="",0,Sync!$AB984))</f>
        <v/>
      </c>
      <c r="M987">
        <f>IF($G987="",0,IF(Sync!$AC984="",0,Sync!$AC984))</f>
        <v/>
      </c>
      <c r="N987">
        <f>IF($G987="","",IF($H987="مرجوعی خرید",-1,1)*($L987-$M987*IFERROR(VLOOKUP("P01",ParamTbl,3,0),1.5))*(1-IF($I987="خرید",IFERROR(VLOOKUP("P02",ParamTbl,3,0),1),0)/100))</f>
        <v/>
      </c>
      <c r="O987">
        <f>IF($G987="",0,IF($H987="مرجوعی خرید",-1,1)*IF(Sync!$AD984="",0,Sync!$AD984))</f>
        <v/>
      </c>
      <c r="P987">
        <f>IF(OR($G987="",Sync!$W984=""),"",Sync!$W984)</f>
        <v/>
      </c>
      <c r="Q987">
        <f>IF(OR($G987="",Sync!$AE984=""),"",Sync!$AE984)</f>
        <v/>
      </c>
      <c r="R987">
        <f>IF($G987="","",IF(Sync!$V984="","0000",IF(AND(ISNUMBER(Sync!$V984),Sync!$V984&gt;=0,Sync!$V984&lt;1),RIGHT("00"&amp;HOUR(Sync!$V984),2)&amp;RIGHT("00"&amp;MINUTE(Sync!$V984),2),IFERROR(RIGHT("00"&amp;VALUE(LEFT(Sync!$V984,FIND(":",Sync!$V984)-1)),2)&amp;RIGHT("00"&amp;VALUE(MID(Sync!$V984,FIND(":",Sync!$V984)+1,2)),2),"0000"))))</f>
        <v/>
      </c>
    </row>
    <row r="988">
      <c r="A988">
        <f>IF(Sync!$U985="","",Sync!$U985)</f>
        <v/>
      </c>
      <c r="B988">
        <f>IF($A988="","",IF(ISNUMBER($A988),IF(AND($A988&gt;=10000101,$A988&lt;=99991231),INT($A988/10000),""),IFERROR(VALUE(TRIM(LEFT($A988,FIND("/",$A988)-1))),"")))</f>
        <v/>
      </c>
      <c r="C988">
        <f>IF(OR($A988="",$B988=""),"",IF(ISNUMBER($A988),INT(MOD($A988,10000)/100),IFERROR(VALUE(TRIM(LEFT(MID($A988,FIND("/",$A988)+1,20),FIND("/",MID($A988,FIND("/",$A988)+1,20))-1))),"")))</f>
        <v/>
      </c>
      <c r="D988">
        <f>IF(OR($A988="",$B988=""),"",IF(ISNUMBER($A988),MOD($A988,100),IFERROR(VALUE(TRIM(MID(MID($A988,FIND("/",$A988)+1,20),FIND("/",MID($A988,FIND("/",$A988)+1,20))+1,20))),"")))</f>
        <v/>
      </c>
      <c r="E988">
        <f>IF($A988="","",IF(OR($B988="",$C988="",$D988="",$B988&lt;1300,$B988&gt;1500,$C988&lt;1,$C988&gt;12,$D988&lt;1,$D988&gt;31),"نامعتبر",RIGHT("0000"&amp;$B988,4)&amp;"/"&amp;RIGHT("00"&amp;$C988,2)&amp;"/"&amp;RIGHT("00"&amp;$D988,2)))</f>
        <v/>
      </c>
      <c r="F988">
        <f>IF(OR($E988="",$E988="نامعتبر"),"",LEFT($E988,4)&amp;"/"&amp;MID($E988,6,2))</f>
        <v/>
      </c>
      <c r="G988">
        <f>IF(OR($E988="",$E988="نامعتبر",Sync!$Y985=""),"",Sync!$Y985)</f>
        <v/>
      </c>
      <c r="H988">
        <f>IF($G988="","",IF(Sync!$X985="","",Sync!$X985))</f>
        <v/>
      </c>
      <c r="I988">
        <f>IF($G988="","",IFERROR(VLOOKUP(Sync!$X985,OpTbl,3,0),""))</f>
        <v/>
      </c>
      <c r="J988">
        <f>IF(OR($G988="",Sync!$Z985=""),"",Sync!$Z985)</f>
        <v/>
      </c>
      <c r="K988">
        <f>IF(OR($G988="",Sync!$AA985=""),"",Sync!$AA985)</f>
        <v/>
      </c>
      <c r="L988">
        <f>IF($G988="",0,IF(Sync!$AB985="",0,Sync!$AB985))</f>
        <v/>
      </c>
      <c r="M988">
        <f>IF($G988="",0,IF(Sync!$AC985="",0,Sync!$AC985))</f>
        <v/>
      </c>
      <c r="N988">
        <f>IF($G988="","",IF($H988="مرجوعی خرید",-1,1)*($L988-$M988*IFERROR(VLOOKUP("P01",ParamTbl,3,0),1.5))*(1-IF($I988="خرید",IFERROR(VLOOKUP("P02",ParamTbl,3,0),1),0)/100))</f>
        <v/>
      </c>
      <c r="O988">
        <f>IF($G988="",0,IF($H988="مرجوعی خرید",-1,1)*IF(Sync!$AD985="",0,Sync!$AD985))</f>
        <v/>
      </c>
      <c r="P988">
        <f>IF(OR($G988="",Sync!$W985=""),"",Sync!$W985)</f>
        <v/>
      </c>
      <c r="Q988">
        <f>IF(OR($G988="",Sync!$AE985=""),"",Sync!$AE985)</f>
        <v/>
      </c>
      <c r="R988">
        <f>IF($G988="","",IF(Sync!$V985="","0000",IF(AND(ISNUMBER(Sync!$V985),Sync!$V985&gt;=0,Sync!$V985&lt;1),RIGHT("00"&amp;HOUR(Sync!$V985),2)&amp;RIGHT("00"&amp;MINUTE(Sync!$V985),2),IFERROR(RIGHT("00"&amp;VALUE(LEFT(Sync!$V985,FIND(":",Sync!$V985)-1)),2)&amp;RIGHT("00"&amp;VALUE(MID(Sync!$V985,FIND(":",Sync!$V985)+1,2)),2),"0000"))))</f>
        <v/>
      </c>
    </row>
    <row r="989">
      <c r="A989">
        <f>IF(Sync!$U986="","",Sync!$U986)</f>
        <v/>
      </c>
      <c r="B989">
        <f>IF($A989="","",IF(ISNUMBER($A989),IF(AND($A989&gt;=10000101,$A989&lt;=99991231),INT($A989/10000),""),IFERROR(VALUE(TRIM(LEFT($A989,FIND("/",$A989)-1))),"")))</f>
        <v/>
      </c>
      <c r="C989">
        <f>IF(OR($A989="",$B989=""),"",IF(ISNUMBER($A989),INT(MOD($A989,10000)/100),IFERROR(VALUE(TRIM(LEFT(MID($A989,FIND("/",$A989)+1,20),FIND("/",MID($A989,FIND("/",$A989)+1,20))-1))),"")))</f>
        <v/>
      </c>
      <c r="D989">
        <f>IF(OR($A989="",$B989=""),"",IF(ISNUMBER($A989),MOD($A989,100),IFERROR(VALUE(TRIM(MID(MID($A989,FIND("/",$A989)+1,20),FIND("/",MID($A989,FIND("/",$A989)+1,20))+1,20))),"")))</f>
        <v/>
      </c>
      <c r="E989">
        <f>IF($A989="","",IF(OR($B989="",$C989="",$D989="",$B989&lt;1300,$B989&gt;1500,$C989&lt;1,$C989&gt;12,$D989&lt;1,$D989&gt;31),"نامعتبر",RIGHT("0000"&amp;$B989,4)&amp;"/"&amp;RIGHT("00"&amp;$C989,2)&amp;"/"&amp;RIGHT("00"&amp;$D989,2)))</f>
        <v/>
      </c>
      <c r="F989">
        <f>IF(OR($E989="",$E989="نامعتبر"),"",LEFT($E989,4)&amp;"/"&amp;MID($E989,6,2))</f>
        <v/>
      </c>
      <c r="G989">
        <f>IF(OR($E989="",$E989="نامعتبر",Sync!$Y986=""),"",Sync!$Y986)</f>
        <v/>
      </c>
      <c r="H989">
        <f>IF($G989="","",IF(Sync!$X986="","",Sync!$X986))</f>
        <v/>
      </c>
      <c r="I989">
        <f>IF($G989="","",IFERROR(VLOOKUP(Sync!$X986,OpTbl,3,0),""))</f>
        <v/>
      </c>
      <c r="J989">
        <f>IF(OR($G989="",Sync!$Z986=""),"",Sync!$Z986)</f>
        <v/>
      </c>
      <c r="K989">
        <f>IF(OR($G989="",Sync!$AA986=""),"",Sync!$AA986)</f>
        <v/>
      </c>
      <c r="L989">
        <f>IF($G989="",0,IF(Sync!$AB986="",0,Sync!$AB986))</f>
        <v/>
      </c>
      <c r="M989">
        <f>IF($G989="",0,IF(Sync!$AC986="",0,Sync!$AC986))</f>
        <v/>
      </c>
      <c r="N989">
        <f>IF($G989="","",IF($H989="مرجوعی خرید",-1,1)*($L989-$M989*IFERROR(VLOOKUP("P01",ParamTbl,3,0),1.5))*(1-IF($I989="خرید",IFERROR(VLOOKUP("P02",ParamTbl,3,0),1),0)/100))</f>
        <v/>
      </c>
      <c r="O989">
        <f>IF($G989="",0,IF($H989="مرجوعی خرید",-1,1)*IF(Sync!$AD986="",0,Sync!$AD986))</f>
        <v/>
      </c>
      <c r="P989">
        <f>IF(OR($G989="",Sync!$W986=""),"",Sync!$W986)</f>
        <v/>
      </c>
      <c r="Q989">
        <f>IF(OR($G989="",Sync!$AE986=""),"",Sync!$AE986)</f>
        <v/>
      </c>
      <c r="R989">
        <f>IF($G989="","",IF(Sync!$V986="","0000",IF(AND(ISNUMBER(Sync!$V986),Sync!$V986&gt;=0,Sync!$V986&lt;1),RIGHT("00"&amp;HOUR(Sync!$V986),2)&amp;RIGHT("00"&amp;MINUTE(Sync!$V986),2),IFERROR(RIGHT("00"&amp;VALUE(LEFT(Sync!$V986,FIND(":",Sync!$V986)-1)),2)&amp;RIGHT("00"&amp;VALUE(MID(Sync!$V986,FIND(":",Sync!$V986)+1,2)),2),"0000"))))</f>
        <v/>
      </c>
    </row>
    <row r="990">
      <c r="A990">
        <f>IF(Sync!$U987="","",Sync!$U987)</f>
        <v/>
      </c>
      <c r="B990">
        <f>IF($A990="","",IF(ISNUMBER($A990),IF(AND($A990&gt;=10000101,$A990&lt;=99991231),INT($A990/10000),""),IFERROR(VALUE(TRIM(LEFT($A990,FIND("/",$A990)-1))),"")))</f>
        <v/>
      </c>
      <c r="C990">
        <f>IF(OR($A990="",$B990=""),"",IF(ISNUMBER($A990),INT(MOD($A990,10000)/100),IFERROR(VALUE(TRIM(LEFT(MID($A990,FIND("/",$A990)+1,20),FIND("/",MID($A990,FIND("/",$A990)+1,20))-1))),"")))</f>
        <v/>
      </c>
      <c r="D990">
        <f>IF(OR($A990="",$B990=""),"",IF(ISNUMBER($A990),MOD($A990,100),IFERROR(VALUE(TRIM(MID(MID($A990,FIND("/",$A990)+1,20),FIND("/",MID($A990,FIND("/",$A990)+1,20))+1,20))),"")))</f>
        <v/>
      </c>
      <c r="E990">
        <f>IF($A990="","",IF(OR($B990="",$C990="",$D990="",$B990&lt;1300,$B990&gt;1500,$C990&lt;1,$C990&gt;12,$D990&lt;1,$D990&gt;31),"نامعتبر",RIGHT("0000"&amp;$B990,4)&amp;"/"&amp;RIGHT("00"&amp;$C990,2)&amp;"/"&amp;RIGHT("00"&amp;$D990,2)))</f>
        <v/>
      </c>
      <c r="F990">
        <f>IF(OR($E990="",$E990="نامعتبر"),"",LEFT($E990,4)&amp;"/"&amp;MID($E990,6,2))</f>
        <v/>
      </c>
      <c r="G990">
        <f>IF(OR($E990="",$E990="نامعتبر",Sync!$Y987=""),"",Sync!$Y987)</f>
        <v/>
      </c>
      <c r="H990">
        <f>IF($G990="","",IF(Sync!$X987="","",Sync!$X987))</f>
        <v/>
      </c>
      <c r="I990">
        <f>IF($G990="","",IFERROR(VLOOKUP(Sync!$X987,OpTbl,3,0),""))</f>
        <v/>
      </c>
      <c r="J990">
        <f>IF(OR($G990="",Sync!$Z987=""),"",Sync!$Z987)</f>
        <v/>
      </c>
      <c r="K990">
        <f>IF(OR($G990="",Sync!$AA987=""),"",Sync!$AA987)</f>
        <v/>
      </c>
      <c r="L990">
        <f>IF($G990="",0,IF(Sync!$AB987="",0,Sync!$AB987))</f>
        <v/>
      </c>
      <c r="M990">
        <f>IF($G990="",0,IF(Sync!$AC987="",0,Sync!$AC987))</f>
        <v/>
      </c>
      <c r="N990">
        <f>IF($G990="","",IF($H990="مرجوعی خرید",-1,1)*($L990-$M990*IFERROR(VLOOKUP("P01",ParamTbl,3,0),1.5))*(1-IF($I990="خرید",IFERROR(VLOOKUP("P02",ParamTbl,3,0),1),0)/100))</f>
        <v/>
      </c>
      <c r="O990">
        <f>IF($G990="",0,IF($H990="مرجوعی خرید",-1,1)*IF(Sync!$AD987="",0,Sync!$AD987))</f>
        <v/>
      </c>
      <c r="P990">
        <f>IF(OR($G990="",Sync!$W987=""),"",Sync!$W987)</f>
        <v/>
      </c>
      <c r="Q990">
        <f>IF(OR($G990="",Sync!$AE987=""),"",Sync!$AE987)</f>
        <v/>
      </c>
      <c r="R990">
        <f>IF($G990="","",IF(Sync!$V987="","0000",IF(AND(ISNUMBER(Sync!$V987),Sync!$V987&gt;=0,Sync!$V987&lt;1),RIGHT("00"&amp;HOUR(Sync!$V987),2)&amp;RIGHT("00"&amp;MINUTE(Sync!$V987),2),IFERROR(RIGHT("00"&amp;VALUE(LEFT(Sync!$V987,FIND(":",Sync!$V987)-1)),2)&amp;RIGHT("00"&amp;VALUE(MID(Sync!$V987,FIND(":",Sync!$V987)+1,2)),2),"0000"))))</f>
        <v/>
      </c>
    </row>
    <row r="991">
      <c r="A991">
        <f>IF(Sync!$U988="","",Sync!$U988)</f>
        <v/>
      </c>
      <c r="B991">
        <f>IF($A991="","",IF(ISNUMBER($A991),IF(AND($A991&gt;=10000101,$A991&lt;=99991231),INT($A991/10000),""),IFERROR(VALUE(TRIM(LEFT($A991,FIND("/",$A991)-1))),"")))</f>
        <v/>
      </c>
      <c r="C991">
        <f>IF(OR($A991="",$B991=""),"",IF(ISNUMBER($A991),INT(MOD($A991,10000)/100),IFERROR(VALUE(TRIM(LEFT(MID($A991,FIND("/",$A991)+1,20),FIND("/",MID($A991,FIND("/",$A991)+1,20))-1))),"")))</f>
        <v/>
      </c>
      <c r="D991">
        <f>IF(OR($A991="",$B991=""),"",IF(ISNUMBER($A991),MOD($A991,100),IFERROR(VALUE(TRIM(MID(MID($A991,FIND("/",$A991)+1,20),FIND("/",MID($A991,FIND("/",$A991)+1,20))+1,20))),"")))</f>
        <v/>
      </c>
      <c r="E991">
        <f>IF($A991="","",IF(OR($B991="",$C991="",$D991="",$B991&lt;1300,$B991&gt;1500,$C991&lt;1,$C991&gt;12,$D991&lt;1,$D991&gt;31),"نامعتبر",RIGHT("0000"&amp;$B991,4)&amp;"/"&amp;RIGHT("00"&amp;$C991,2)&amp;"/"&amp;RIGHT("00"&amp;$D991,2)))</f>
        <v/>
      </c>
      <c r="F991">
        <f>IF(OR($E991="",$E991="نامعتبر"),"",LEFT($E991,4)&amp;"/"&amp;MID($E991,6,2))</f>
        <v/>
      </c>
      <c r="G991">
        <f>IF(OR($E991="",$E991="نامعتبر",Sync!$Y988=""),"",Sync!$Y988)</f>
        <v/>
      </c>
      <c r="H991">
        <f>IF($G991="","",IF(Sync!$X988="","",Sync!$X988))</f>
        <v/>
      </c>
      <c r="I991">
        <f>IF($G991="","",IFERROR(VLOOKUP(Sync!$X988,OpTbl,3,0),""))</f>
        <v/>
      </c>
      <c r="J991">
        <f>IF(OR($G991="",Sync!$Z988=""),"",Sync!$Z988)</f>
        <v/>
      </c>
      <c r="K991">
        <f>IF(OR($G991="",Sync!$AA988=""),"",Sync!$AA988)</f>
        <v/>
      </c>
      <c r="L991">
        <f>IF($G991="",0,IF(Sync!$AB988="",0,Sync!$AB988))</f>
        <v/>
      </c>
      <c r="M991">
        <f>IF($G991="",0,IF(Sync!$AC988="",0,Sync!$AC988))</f>
        <v/>
      </c>
      <c r="N991">
        <f>IF($G991="","",IF($H991="مرجوعی خرید",-1,1)*($L991-$M991*IFERROR(VLOOKUP("P01",ParamTbl,3,0),1.5))*(1-IF($I991="خرید",IFERROR(VLOOKUP("P02",ParamTbl,3,0),1),0)/100))</f>
        <v/>
      </c>
      <c r="O991">
        <f>IF($G991="",0,IF($H991="مرجوعی خرید",-1,1)*IF(Sync!$AD988="",0,Sync!$AD988))</f>
        <v/>
      </c>
      <c r="P991">
        <f>IF(OR($G991="",Sync!$W988=""),"",Sync!$W988)</f>
        <v/>
      </c>
      <c r="Q991">
        <f>IF(OR($G991="",Sync!$AE988=""),"",Sync!$AE988)</f>
        <v/>
      </c>
      <c r="R991">
        <f>IF($G991="","",IF(Sync!$V988="","0000",IF(AND(ISNUMBER(Sync!$V988),Sync!$V988&gt;=0,Sync!$V988&lt;1),RIGHT("00"&amp;HOUR(Sync!$V988),2)&amp;RIGHT("00"&amp;MINUTE(Sync!$V988),2),IFERROR(RIGHT("00"&amp;VALUE(LEFT(Sync!$V988,FIND(":",Sync!$V988)-1)),2)&amp;RIGHT("00"&amp;VALUE(MID(Sync!$V988,FIND(":",Sync!$V988)+1,2)),2),"0000"))))</f>
        <v/>
      </c>
    </row>
    <row r="992">
      <c r="A992">
        <f>IF(Sync!$U989="","",Sync!$U989)</f>
        <v/>
      </c>
      <c r="B992">
        <f>IF($A992="","",IF(ISNUMBER($A992),IF(AND($A992&gt;=10000101,$A992&lt;=99991231),INT($A992/10000),""),IFERROR(VALUE(TRIM(LEFT($A992,FIND("/",$A992)-1))),"")))</f>
        <v/>
      </c>
      <c r="C992">
        <f>IF(OR($A992="",$B992=""),"",IF(ISNUMBER($A992),INT(MOD($A992,10000)/100),IFERROR(VALUE(TRIM(LEFT(MID($A992,FIND("/",$A992)+1,20),FIND("/",MID($A992,FIND("/",$A992)+1,20))-1))),"")))</f>
        <v/>
      </c>
      <c r="D992">
        <f>IF(OR($A992="",$B992=""),"",IF(ISNUMBER($A992),MOD($A992,100),IFERROR(VALUE(TRIM(MID(MID($A992,FIND("/",$A992)+1,20),FIND("/",MID($A992,FIND("/",$A992)+1,20))+1,20))),"")))</f>
        <v/>
      </c>
      <c r="E992">
        <f>IF($A992="","",IF(OR($B992="",$C992="",$D992="",$B992&lt;1300,$B992&gt;1500,$C992&lt;1,$C992&gt;12,$D992&lt;1,$D992&gt;31),"نامعتبر",RIGHT("0000"&amp;$B992,4)&amp;"/"&amp;RIGHT("00"&amp;$C992,2)&amp;"/"&amp;RIGHT("00"&amp;$D992,2)))</f>
        <v/>
      </c>
      <c r="F992">
        <f>IF(OR($E992="",$E992="نامعتبر"),"",LEFT($E992,4)&amp;"/"&amp;MID($E992,6,2))</f>
        <v/>
      </c>
      <c r="G992">
        <f>IF(OR($E992="",$E992="نامعتبر",Sync!$Y989=""),"",Sync!$Y989)</f>
        <v/>
      </c>
      <c r="H992">
        <f>IF($G992="","",IF(Sync!$X989="","",Sync!$X989))</f>
        <v/>
      </c>
      <c r="I992">
        <f>IF($G992="","",IFERROR(VLOOKUP(Sync!$X989,OpTbl,3,0),""))</f>
        <v/>
      </c>
      <c r="J992">
        <f>IF(OR($G992="",Sync!$Z989=""),"",Sync!$Z989)</f>
        <v/>
      </c>
      <c r="K992">
        <f>IF(OR($G992="",Sync!$AA989=""),"",Sync!$AA989)</f>
        <v/>
      </c>
      <c r="L992">
        <f>IF($G992="",0,IF(Sync!$AB989="",0,Sync!$AB989))</f>
        <v/>
      </c>
      <c r="M992">
        <f>IF($G992="",0,IF(Sync!$AC989="",0,Sync!$AC989))</f>
        <v/>
      </c>
      <c r="N992">
        <f>IF($G992="","",IF($H992="مرجوعی خرید",-1,1)*($L992-$M992*IFERROR(VLOOKUP("P01",ParamTbl,3,0),1.5))*(1-IF($I992="خرید",IFERROR(VLOOKUP("P02",ParamTbl,3,0),1),0)/100))</f>
        <v/>
      </c>
      <c r="O992">
        <f>IF($G992="",0,IF($H992="مرجوعی خرید",-1,1)*IF(Sync!$AD989="",0,Sync!$AD989))</f>
        <v/>
      </c>
      <c r="P992">
        <f>IF(OR($G992="",Sync!$W989=""),"",Sync!$W989)</f>
        <v/>
      </c>
      <c r="Q992">
        <f>IF(OR($G992="",Sync!$AE989=""),"",Sync!$AE989)</f>
        <v/>
      </c>
      <c r="R992">
        <f>IF($G992="","",IF(Sync!$V989="","0000",IF(AND(ISNUMBER(Sync!$V989),Sync!$V989&gt;=0,Sync!$V989&lt;1),RIGHT("00"&amp;HOUR(Sync!$V989),2)&amp;RIGHT("00"&amp;MINUTE(Sync!$V989),2),IFERROR(RIGHT("00"&amp;VALUE(LEFT(Sync!$V989,FIND(":",Sync!$V989)-1)),2)&amp;RIGHT("00"&amp;VALUE(MID(Sync!$V989,FIND(":",Sync!$V989)+1,2)),2),"0000"))))</f>
        <v/>
      </c>
    </row>
    <row r="993">
      <c r="A993">
        <f>IF(Sync!$U990="","",Sync!$U990)</f>
        <v/>
      </c>
      <c r="B993">
        <f>IF($A993="","",IF(ISNUMBER($A993),IF(AND($A993&gt;=10000101,$A993&lt;=99991231),INT($A993/10000),""),IFERROR(VALUE(TRIM(LEFT($A993,FIND("/",$A993)-1))),"")))</f>
        <v/>
      </c>
      <c r="C993">
        <f>IF(OR($A993="",$B993=""),"",IF(ISNUMBER($A993),INT(MOD($A993,10000)/100),IFERROR(VALUE(TRIM(LEFT(MID($A993,FIND("/",$A993)+1,20),FIND("/",MID($A993,FIND("/",$A993)+1,20))-1))),"")))</f>
        <v/>
      </c>
      <c r="D993">
        <f>IF(OR($A993="",$B993=""),"",IF(ISNUMBER($A993),MOD($A993,100),IFERROR(VALUE(TRIM(MID(MID($A993,FIND("/",$A993)+1,20),FIND("/",MID($A993,FIND("/",$A993)+1,20))+1,20))),"")))</f>
        <v/>
      </c>
      <c r="E993">
        <f>IF($A993="","",IF(OR($B993="",$C993="",$D993="",$B993&lt;1300,$B993&gt;1500,$C993&lt;1,$C993&gt;12,$D993&lt;1,$D993&gt;31),"نامعتبر",RIGHT("0000"&amp;$B993,4)&amp;"/"&amp;RIGHT("00"&amp;$C993,2)&amp;"/"&amp;RIGHT("00"&amp;$D993,2)))</f>
        <v/>
      </c>
      <c r="F993">
        <f>IF(OR($E993="",$E993="نامعتبر"),"",LEFT($E993,4)&amp;"/"&amp;MID($E993,6,2))</f>
        <v/>
      </c>
      <c r="G993">
        <f>IF(OR($E993="",$E993="نامعتبر",Sync!$Y990=""),"",Sync!$Y990)</f>
        <v/>
      </c>
      <c r="H993">
        <f>IF($G993="","",IF(Sync!$X990="","",Sync!$X990))</f>
        <v/>
      </c>
      <c r="I993">
        <f>IF($G993="","",IFERROR(VLOOKUP(Sync!$X990,OpTbl,3,0),""))</f>
        <v/>
      </c>
      <c r="J993">
        <f>IF(OR($G993="",Sync!$Z990=""),"",Sync!$Z990)</f>
        <v/>
      </c>
      <c r="K993">
        <f>IF(OR($G993="",Sync!$AA990=""),"",Sync!$AA990)</f>
        <v/>
      </c>
      <c r="L993">
        <f>IF($G993="",0,IF(Sync!$AB990="",0,Sync!$AB990))</f>
        <v/>
      </c>
      <c r="M993">
        <f>IF($G993="",0,IF(Sync!$AC990="",0,Sync!$AC990))</f>
        <v/>
      </c>
      <c r="N993">
        <f>IF($G993="","",IF($H993="مرجوعی خرید",-1,1)*($L993-$M993*IFERROR(VLOOKUP("P01",ParamTbl,3,0),1.5))*(1-IF($I993="خرید",IFERROR(VLOOKUP("P02",ParamTbl,3,0),1),0)/100))</f>
        <v/>
      </c>
      <c r="O993">
        <f>IF($G993="",0,IF($H993="مرجوعی خرید",-1,1)*IF(Sync!$AD990="",0,Sync!$AD990))</f>
        <v/>
      </c>
      <c r="P993">
        <f>IF(OR($G993="",Sync!$W990=""),"",Sync!$W990)</f>
        <v/>
      </c>
      <c r="Q993">
        <f>IF(OR($G993="",Sync!$AE990=""),"",Sync!$AE990)</f>
        <v/>
      </c>
      <c r="R993">
        <f>IF($G993="","",IF(Sync!$V990="","0000",IF(AND(ISNUMBER(Sync!$V990),Sync!$V990&gt;=0,Sync!$V990&lt;1),RIGHT("00"&amp;HOUR(Sync!$V990),2)&amp;RIGHT("00"&amp;MINUTE(Sync!$V990),2),IFERROR(RIGHT("00"&amp;VALUE(LEFT(Sync!$V990,FIND(":",Sync!$V990)-1)),2)&amp;RIGHT("00"&amp;VALUE(MID(Sync!$V990,FIND(":",Sync!$V990)+1,2)),2),"0000"))))</f>
        <v/>
      </c>
    </row>
    <row r="994">
      <c r="A994">
        <f>IF(Sync!$U991="","",Sync!$U991)</f>
        <v/>
      </c>
      <c r="B994">
        <f>IF($A994="","",IF(ISNUMBER($A994),IF(AND($A994&gt;=10000101,$A994&lt;=99991231),INT($A994/10000),""),IFERROR(VALUE(TRIM(LEFT($A994,FIND("/",$A994)-1))),"")))</f>
        <v/>
      </c>
      <c r="C994">
        <f>IF(OR($A994="",$B994=""),"",IF(ISNUMBER($A994),INT(MOD($A994,10000)/100),IFERROR(VALUE(TRIM(LEFT(MID($A994,FIND("/",$A994)+1,20),FIND("/",MID($A994,FIND("/",$A994)+1,20))-1))),"")))</f>
        <v/>
      </c>
      <c r="D994">
        <f>IF(OR($A994="",$B994=""),"",IF(ISNUMBER($A994),MOD($A994,100),IFERROR(VALUE(TRIM(MID(MID($A994,FIND("/",$A994)+1,20),FIND("/",MID($A994,FIND("/",$A994)+1,20))+1,20))),"")))</f>
        <v/>
      </c>
      <c r="E994">
        <f>IF($A994="","",IF(OR($B994="",$C994="",$D994="",$B994&lt;1300,$B994&gt;1500,$C994&lt;1,$C994&gt;12,$D994&lt;1,$D994&gt;31),"نامعتبر",RIGHT("0000"&amp;$B994,4)&amp;"/"&amp;RIGHT("00"&amp;$C994,2)&amp;"/"&amp;RIGHT("00"&amp;$D994,2)))</f>
        <v/>
      </c>
      <c r="F994">
        <f>IF(OR($E994="",$E994="نامعتبر"),"",LEFT($E994,4)&amp;"/"&amp;MID($E994,6,2))</f>
        <v/>
      </c>
      <c r="G994">
        <f>IF(OR($E994="",$E994="نامعتبر",Sync!$Y991=""),"",Sync!$Y991)</f>
        <v/>
      </c>
      <c r="H994">
        <f>IF($G994="","",IF(Sync!$X991="","",Sync!$X991))</f>
        <v/>
      </c>
      <c r="I994">
        <f>IF($G994="","",IFERROR(VLOOKUP(Sync!$X991,OpTbl,3,0),""))</f>
        <v/>
      </c>
      <c r="J994">
        <f>IF(OR($G994="",Sync!$Z991=""),"",Sync!$Z991)</f>
        <v/>
      </c>
      <c r="K994">
        <f>IF(OR($G994="",Sync!$AA991=""),"",Sync!$AA991)</f>
        <v/>
      </c>
      <c r="L994">
        <f>IF($G994="",0,IF(Sync!$AB991="",0,Sync!$AB991))</f>
        <v/>
      </c>
      <c r="M994">
        <f>IF($G994="",0,IF(Sync!$AC991="",0,Sync!$AC991))</f>
        <v/>
      </c>
      <c r="N994">
        <f>IF($G994="","",IF($H994="مرجوعی خرید",-1,1)*($L994-$M994*IFERROR(VLOOKUP("P01",ParamTbl,3,0),1.5))*(1-IF($I994="خرید",IFERROR(VLOOKUP("P02",ParamTbl,3,0),1),0)/100))</f>
        <v/>
      </c>
      <c r="O994">
        <f>IF($G994="",0,IF($H994="مرجوعی خرید",-1,1)*IF(Sync!$AD991="",0,Sync!$AD991))</f>
        <v/>
      </c>
      <c r="P994">
        <f>IF(OR($G994="",Sync!$W991=""),"",Sync!$W991)</f>
        <v/>
      </c>
      <c r="Q994">
        <f>IF(OR($G994="",Sync!$AE991=""),"",Sync!$AE991)</f>
        <v/>
      </c>
      <c r="R994">
        <f>IF($G994="","",IF(Sync!$V991="","0000",IF(AND(ISNUMBER(Sync!$V991),Sync!$V991&gt;=0,Sync!$V991&lt;1),RIGHT("00"&amp;HOUR(Sync!$V991),2)&amp;RIGHT("00"&amp;MINUTE(Sync!$V991),2),IFERROR(RIGHT("00"&amp;VALUE(LEFT(Sync!$V991,FIND(":",Sync!$V991)-1)),2)&amp;RIGHT("00"&amp;VALUE(MID(Sync!$V991,FIND(":",Sync!$V991)+1,2)),2),"0000"))))</f>
        <v/>
      </c>
    </row>
    <row r="995">
      <c r="A995">
        <f>IF(Sync!$U992="","",Sync!$U992)</f>
        <v/>
      </c>
      <c r="B995">
        <f>IF($A995="","",IF(ISNUMBER($A995),IF(AND($A995&gt;=10000101,$A995&lt;=99991231),INT($A995/10000),""),IFERROR(VALUE(TRIM(LEFT($A995,FIND("/",$A995)-1))),"")))</f>
        <v/>
      </c>
      <c r="C995">
        <f>IF(OR($A995="",$B995=""),"",IF(ISNUMBER($A995),INT(MOD($A995,10000)/100),IFERROR(VALUE(TRIM(LEFT(MID($A995,FIND("/",$A995)+1,20),FIND("/",MID($A995,FIND("/",$A995)+1,20))-1))),"")))</f>
        <v/>
      </c>
      <c r="D995">
        <f>IF(OR($A995="",$B995=""),"",IF(ISNUMBER($A995),MOD($A995,100),IFERROR(VALUE(TRIM(MID(MID($A995,FIND("/",$A995)+1,20),FIND("/",MID($A995,FIND("/",$A995)+1,20))+1,20))),"")))</f>
        <v/>
      </c>
      <c r="E995">
        <f>IF($A995="","",IF(OR($B995="",$C995="",$D995="",$B995&lt;1300,$B995&gt;1500,$C995&lt;1,$C995&gt;12,$D995&lt;1,$D995&gt;31),"نامعتبر",RIGHT("0000"&amp;$B995,4)&amp;"/"&amp;RIGHT("00"&amp;$C995,2)&amp;"/"&amp;RIGHT("00"&amp;$D995,2)))</f>
        <v/>
      </c>
      <c r="F995">
        <f>IF(OR($E995="",$E995="نامعتبر"),"",LEFT($E995,4)&amp;"/"&amp;MID($E995,6,2))</f>
        <v/>
      </c>
      <c r="G995">
        <f>IF(OR($E995="",$E995="نامعتبر",Sync!$Y992=""),"",Sync!$Y992)</f>
        <v/>
      </c>
      <c r="H995">
        <f>IF($G995="","",IF(Sync!$X992="","",Sync!$X992))</f>
        <v/>
      </c>
      <c r="I995">
        <f>IF($G995="","",IFERROR(VLOOKUP(Sync!$X992,OpTbl,3,0),""))</f>
        <v/>
      </c>
      <c r="J995">
        <f>IF(OR($G995="",Sync!$Z992=""),"",Sync!$Z992)</f>
        <v/>
      </c>
      <c r="K995">
        <f>IF(OR($G995="",Sync!$AA992=""),"",Sync!$AA992)</f>
        <v/>
      </c>
      <c r="L995">
        <f>IF($G995="",0,IF(Sync!$AB992="",0,Sync!$AB992))</f>
        <v/>
      </c>
      <c r="M995">
        <f>IF($G995="",0,IF(Sync!$AC992="",0,Sync!$AC992))</f>
        <v/>
      </c>
      <c r="N995">
        <f>IF($G995="","",IF($H995="مرجوعی خرید",-1,1)*($L995-$M995*IFERROR(VLOOKUP("P01",ParamTbl,3,0),1.5))*(1-IF($I995="خرید",IFERROR(VLOOKUP("P02",ParamTbl,3,0),1),0)/100))</f>
        <v/>
      </c>
      <c r="O995">
        <f>IF($G995="",0,IF($H995="مرجوعی خرید",-1,1)*IF(Sync!$AD992="",0,Sync!$AD992))</f>
        <v/>
      </c>
      <c r="P995">
        <f>IF(OR($G995="",Sync!$W992=""),"",Sync!$W992)</f>
        <v/>
      </c>
      <c r="Q995">
        <f>IF(OR($G995="",Sync!$AE992=""),"",Sync!$AE992)</f>
        <v/>
      </c>
      <c r="R995">
        <f>IF($G995="","",IF(Sync!$V992="","0000",IF(AND(ISNUMBER(Sync!$V992),Sync!$V992&gt;=0,Sync!$V992&lt;1),RIGHT("00"&amp;HOUR(Sync!$V992),2)&amp;RIGHT("00"&amp;MINUTE(Sync!$V992),2),IFERROR(RIGHT("00"&amp;VALUE(LEFT(Sync!$V992,FIND(":",Sync!$V992)-1)),2)&amp;RIGHT("00"&amp;VALUE(MID(Sync!$V992,FIND(":",Sync!$V992)+1,2)),2),"0000"))))</f>
        <v/>
      </c>
    </row>
    <row r="996">
      <c r="A996">
        <f>IF(Sync!$U993="","",Sync!$U993)</f>
        <v/>
      </c>
      <c r="B996">
        <f>IF($A996="","",IF(ISNUMBER($A996),IF(AND($A996&gt;=10000101,$A996&lt;=99991231),INT($A996/10000),""),IFERROR(VALUE(TRIM(LEFT($A996,FIND("/",$A996)-1))),"")))</f>
        <v/>
      </c>
      <c r="C996">
        <f>IF(OR($A996="",$B996=""),"",IF(ISNUMBER($A996),INT(MOD($A996,10000)/100),IFERROR(VALUE(TRIM(LEFT(MID($A996,FIND("/",$A996)+1,20),FIND("/",MID($A996,FIND("/",$A996)+1,20))-1))),"")))</f>
        <v/>
      </c>
      <c r="D996">
        <f>IF(OR($A996="",$B996=""),"",IF(ISNUMBER($A996),MOD($A996,100),IFERROR(VALUE(TRIM(MID(MID($A996,FIND("/",$A996)+1,20),FIND("/",MID($A996,FIND("/",$A996)+1,20))+1,20))),"")))</f>
        <v/>
      </c>
      <c r="E996">
        <f>IF($A996="","",IF(OR($B996="",$C996="",$D996="",$B996&lt;1300,$B996&gt;1500,$C996&lt;1,$C996&gt;12,$D996&lt;1,$D996&gt;31),"نامعتبر",RIGHT("0000"&amp;$B996,4)&amp;"/"&amp;RIGHT("00"&amp;$C996,2)&amp;"/"&amp;RIGHT("00"&amp;$D996,2)))</f>
        <v/>
      </c>
      <c r="F996">
        <f>IF(OR($E996="",$E996="نامعتبر"),"",LEFT($E996,4)&amp;"/"&amp;MID($E996,6,2))</f>
        <v/>
      </c>
      <c r="G996">
        <f>IF(OR($E996="",$E996="نامعتبر",Sync!$Y993=""),"",Sync!$Y993)</f>
        <v/>
      </c>
      <c r="H996">
        <f>IF($G996="","",IF(Sync!$X993="","",Sync!$X993))</f>
        <v/>
      </c>
      <c r="I996">
        <f>IF($G996="","",IFERROR(VLOOKUP(Sync!$X993,OpTbl,3,0),""))</f>
        <v/>
      </c>
      <c r="J996">
        <f>IF(OR($G996="",Sync!$Z993=""),"",Sync!$Z993)</f>
        <v/>
      </c>
      <c r="K996">
        <f>IF(OR($G996="",Sync!$AA993=""),"",Sync!$AA993)</f>
        <v/>
      </c>
      <c r="L996">
        <f>IF($G996="",0,IF(Sync!$AB993="",0,Sync!$AB993))</f>
        <v/>
      </c>
      <c r="M996">
        <f>IF($G996="",0,IF(Sync!$AC993="",0,Sync!$AC993))</f>
        <v/>
      </c>
      <c r="N996">
        <f>IF($G996="","",IF($H996="مرجوعی خرید",-1,1)*($L996-$M996*IFERROR(VLOOKUP("P01",ParamTbl,3,0),1.5))*(1-IF($I996="خرید",IFERROR(VLOOKUP("P02",ParamTbl,3,0),1),0)/100))</f>
        <v/>
      </c>
      <c r="O996">
        <f>IF($G996="",0,IF($H996="مرجوعی خرید",-1,1)*IF(Sync!$AD993="",0,Sync!$AD993))</f>
        <v/>
      </c>
      <c r="P996">
        <f>IF(OR($G996="",Sync!$W993=""),"",Sync!$W993)</f>
        <v/>
      </c>
      <c r="Q996">
        <f>IF(OR($G996="",Sync!$AE993=""),"",Sync!$AE993)</f>
        <v/>
      </c>
      <c r="R996">
        <f>IF($G996="","",IF(Sync!$V993="","0000",IF(AND(ISNUMBER(Sync!$V993),Sync!$V993&gt;=0,Sync!$V993&lt;1),RIGHT("00"&amp;HOUR(Sync!$V993),2)&amp;RIGHT("00"&amp;MINUTE(Sync!$V993),2),IFERROR(RIGHT("00"&amp;VALUE(LEFT(Sync!$V993,FIND(":",Sync!$V993)-1)),2)&amp;RIGHT("00"&amp;VALUE(MID(Sync!$V993,FIND(":",Sync!$V993)+1,2)),2),"0000"))))</f>
        <v/>
      </c>
    </row>
    <row r="997">
      <c r="A997">
        <f>IF(Sync!$U994="","",Sync!$U994)</f>
        <v/>
      </c>
      <c r="B997">
        <f>IF($A997="","",IF(ISNUMBER($A997),IF(AND($A997&gt;=10000101,$A997&lt;=99991231),INT($A997/10000),""),IFERROR(VALUE(TRIM(LEFT($A997,FIND("/",$A997)-1))),"")))</f>
        <v/>
      </c>
      <c r="C997">
        <f>IF(OR($A997="",$B997=""),"",IF(ISNUMBER($A997),INT(MOD($A997,10000)/100),IFERROR(VALUE(TRIM(LEFT(MID($A997,FIND("/",$A997)+1,20),FIND("/",MID($A997,FIND("/",$A997)+1,20))-1))),"")))</f>
        <v/>
      </c>
      <c r="D997">
        <f>IF(OR($A997="",$B997=""),"",IF(ISNUMBER($A997),MOD($A997,100),IFERROR(VALUE(TRIM(MID(MID($A997,FIND("/",$A997)+1,20),FIND("/",MID($A997,FIND("/",$A997)+1,20))+1,20))),"")))</f>
        <v/>
      </c>
      <c r="E997">
        <f>IF($A997="","",IF(OR($B997="",$C997="",$D997="",$B997&lt;1300,$B997&gt;1500,$C997&lt;1,$C997&gt;12,$D997&lt;1,$D997&gt;31),"نامعتبر",RIGHT("0000"&amp;$B997,4)&amp;"/"&amp;RIGHT("00"&amp;$C997,2)&amp;"/"&amp;RIGHT("00"&amp;$D997,2)))</f>
        <v/>
      </c>
      <c r="F997">
        <f>IF(OR($E997="",$E997="نامعتبر"),"",LEFT($E997,4)&amp;"/"&amp;MID($E997,6,2))</f>
        <v/>
      </c>
      <c r="G997">
        <f>IF(OR($E997="",$E997="نامعتبر",Sync!$Y994=""),"",Sync!$Y994)</f>
        <v/>
      </c>
      <c r="H997">
        <f>IF($G997="","",IF(Sync!$X994="","",Sync!$X994))</f>
        <v/>
      </c>
      <c r="I997">
        <f>IF($G997="","",IFERROR(VLOOKUP(Sync!$X994,OpTbl,3,0),""))</f>
        <v/>
      </c>
      <c r="J997">
        <f>IF(OR($G997="",Sync!$Z994=""),"",Sync!$Z994)</f>
        <v/>
      </c>
      <c r="K997">
        <f>IF(OR($G997="",Sync!$AA994=""),"",Sync!$AA994)</f>
        <v/>
      </c>
      <c r="L997">
        <f>IF($G997="",0,IF(Sync!$AB994="",0,Sync!$AB994))</f>
        <v/>
      </c>
      <c r="M997">
        <f>IF($G997="",0,IF(Sync!$AC994="",0,Sync!$AC994))</f>
        <v/>
      </c>
      <c r="N997">
        <f>IF($G997="","",IF($H997="مرجوعی خرید",-1,1)*($L997-$M997*IFERROR(VLOOKUP("P01",ParamTbl,3,0),1.5))*(1-IF($I997="خرید",IFERROR(VLOOKUP("P02",ParamTbl,3,0),1),0)/100))</f>
        <v/>
      </c>
      <c r="O997">
        <f>IF($G997="",0,IF($H997="مرجوعی خرید",-1,1)*IF(Sync!$AD994="",0,Sync!$AD994))</f>
        <v/>
      </c>
      <c r="P997">
        <f>IF(OR($G997="",Sync!$W994=""),"",Sync!$W994)</f>
        <v/>
      </c>
      <c r="Q997">
        <f>IF(OR($G997="",Sync!$AE994=""),"",Sync!$AE994)</f>
        <v/>
      </c>
      <c r="R997">
        <f>IF($G997="","",IF(Sync!$V994="","0000",IF(AND(ISNUMBER(Sync!$V994),Sync!$V994&gt;=0,Sync!$V994&lt;1),RIGHT("00"&amp;HOUR(Sync!$V994),2)&amp;RIGHT("00"&amp;MINUTE(Sync!$V994),2),IFERROR(RIGHT("00"&amp;VALUE(LEFT(Sync!$V994,FIND(":",Sync!$V994)-1)),2)&amp;RIGHT("00"&amp;VALUE(MID(Sync!$V994,FIND(":",Sync!$V994)+1,2)),2),"0000"))))</f>
        <v/>
      </c>
    </row>
    <row r="998">
      <c r="A998">
        <f>IF(Sync!$U995="","",Sync!$U995)</f>
        <v/>
      </c>
      <c r="B998">
        <f>IF($A998="","",IF(ISNUMBER($A998),IF(AND($A998&gt;=10000101,$A998&lt;=99991231),INT($A998/10000),""),IFERROR(VALUE(TRIM(LEFT($A998,FIND("/",$A998)-1))),"")))</f>
        <v/>
      </c>
      <c r="C998">
        <f>IF(OR($A998="",$B998=""),"",IF(ISNUMBER($A998),INT(MOD($A998,10000)/100),IFERROR(VALUE(TRIM(LEFT(MID($A998,FIND("/",$A998)+1,20),FIND("/",MID($A998,FIND("/",$A998)+1,20))-1))),"")))</f>
        <v/>
      </c>
      <c r="D998">
        <f>IF(OR($A998="",$B998=""),"",IF(ISNUMBER($A998),MOD($A998,100),IFERROR(VALUE(TRIM(MID(MID($A998,FIND("/",$A998)+1,20),FIND("/",MID($A998,FIND("/",$A998)+1,20))+1,20))),"")))</f>
        <v/>
      </c>
      <c r="E998">
        <f>IF($A998="","",IF(OR($B998="",$C998="",$D998="",$B998&lt;1300,$B998&gt;1500,$C998&lt;1,$C998&gt;12,$D998&lt;1,$D998&gt;31),"نامعتبر",RIGHT("0000"&amp;$B998,4)&amp;"/"&amp;RIGHT("00"&amp;$C998,2)&amp;"/"&amp;RIGHT("00"&amp;$D998,2)))</f>
        <v/>
      </c>
      <c r="F998">
        <f>IF(OR($E998="",$E998="نامعتبر"),"",LEFT($E998,4)&amp;"/"&amp;MID($E998,6,2))</f>
        <v/>
      </c>
      <c r="G998">
        <f>IF(OR($E998="",$E998="نامعتبر",Sync!$Y995=""),"",Sync!$Y995)</f>
        <v/>
      </c>
      <c r="H998">
        <f>IF($G998="","",IF(Sync!$X995="","",Sync!$X995))</f>
        <v/>
      </c>
      <c r="I998">
        <f>IF($G998="","",IFERROR(VLOOKUP(Sync!$X995,OpTbl,3,0),""))</f>
        <v/>
      </c>
      <c r="J998">
        <f>IF(OR($G998="",Sync!$Z995=""),"",Sync!$Z995)</f>
        <v/>
      </c>
      <c r="K998">
        <f>IF(OR($G998="",Sync!$AA995=""),"",Sync!$AA995)</f>
        <v/>
      </c>
      <c r="L998">
        <f>IF($G998="",0,IF(Sync!$AB995="",0,Sync!$AB995))</f>
        <v/>
      </c>
      <c r="M998">
        <f>IF($G998="",0,IF(Sync!$AC995="",0,Sync!$AC995))</f>
        <v/>
      </c>
      <c r="N998">
        <f>IF($G998="","",IF($H998="مرجوعی خرید",-1,1)*($L998-$M998*IFERROR(VLOOKUP("P01",ParamTbl,3,0),1.5))*(1-IF($I998="خرید",IFERROR(VLOOKUP("P02",ParamTbl,3,0),1),0)/100))</f>
        <v/>
      </c>
      <c r="O998">
        <f>IF($G998="",0,IF($H998="مرجوعی خرید",-1,1)*IF(Sync!$AD995="",0,Sync!$AD995))</f>
        <v/>
      </c>
      <c r="P998">
        <f>IF(OR($G998="",Sync!$W995=""),"",Sync!$W995)</f>
        <v/>
      </c>
      <c r="Q998">
        <f>IF(OR($G998="",Sync!$AE995=""),"",Sync!$AE995)</f>
        <v/>
      </c>
      <c r="R998">
        <f>IF($G998="","",IF(Sync!$V995="","0000",IF(AND(ISNUMBER(Sync!$V995),Sync!$V995&gt;=0,Sync!$V995&lt;1),RIGHT("00"&amp;HOUR(Sync!$V995),2)&amp;RIGHT("00"&amp;MINUTE(Sync!$V995),2),IFERROR(RIGHT("00"&amp;VALUE(LEFT(Sync!$V995,FIND(":",Sync!$V995)-1)),2)&amp;RIGHT("00"&amp;VALUE(MID(Sync!$V995,FIND(":",Sync!$V995)+1,2)),2),"0000"))))</f>
        <v/>
      </c>
    </row>
    <row r="999">
      <c r="A999">
        <f>IF(Sync!$U996="","",Sync!$U996)</f>
        <v/>
      </c>
      <c r="B999">
        <f>IF($A999="","",IF(ISNUMBER($A999),IF(AND($A999&gt;=10000101,$A999&lt;=99991231),INT($A999/10000),""),IFERROR(VALUE(TRIM(LEFT($A999,FIND("/",$A999)-1))),"")))</f>
        <v/>
      </c>
      <c r="C999">
        <f>IF(OR($A999="",$B999=""),"",IF(ISNUMBER($A999),INT(MOD($A999,10000)/100),IFERROR(VALUE(TRIM(LEFT(MID($A999,FIND("/",$A999)+1,20),FIND("/",MID($A999,FIND("/",$A999)+1,20))-1))),"")))</f>
        <v/>
      </c>
      <c r="D999">
        <f>IF(OR($A999="",$B999=""),"",IF(ISNUMBER($A999),MOD($A999,100),IFERROR(VALUE(TRIM(MID(MID($A999,FIND("/",$A999)+1,20),FIND("/",MID($A999,FIND("/",$A999)+1,20))+1,20))),"")))</f>
        <v/>
      </c>
      <c r="E999">
        <f>IF($A999="","",IF(OR($B999="",$C999="",$D999="",$B999&lt;1300,$B999&gt;1500,$C999&lt;1,$C999&gt;12,$D999&lt;1,$D999&gt;31),"نامعتبر",RIGHT("0000"&amp;$B999,4)&amp;"/"&amp;RIGHT("00"&amp;$C999,2)&amp;"/"&amp;RIGHT("00"&amp;$D999,2)))</f>
        <v/>
      </c>
      <c r="F999">
        <f>IF(OR($E999="",$E999="نامعتبر"),"",LEFT($E999,4)&amp;"/"&amp;MID($E999,6,2))</f>
        <v/>
      </c>
      <c r="G999">
        <f>IF(OR($E999="",$E999="نامعتبر",Sync!$Y996=""),"",Sync!$Y996)</f>
        <v/>
      </c>
      <c r="H999">
        <f>IF($G999="","",IF(Sync!$X996="","",Sync!$X996))</f>
        <v/>
      </c>
      <c r="I999">
        <f>IF($G999="","",IFERROR(VLOOKUP(Sync!$X996,OpTbl,3,0),""))</f>
        <v/>
      </c>
      <c r="J999">
        <f>IF(OR($G999="",Sync!$Z996=""),"",Sync!$Z996)</f>
        <v/>
      </c>
      <c r="K999">
        <f>IF(OR($G999="",Sync!$AA996=""),"",Sync!$AA996)</f>
        <v/>
      </c>
      <c r="L999">
        <f>IF($G999="",0,IF(Sync!$AB996="",0,Sync!$AB996))</f>
        <v/>
      </c>
      <c r="M999">
        <f>IF($G999="",0,IF(Sync!$AC996="",0,Sync!$AC996))</f>
        <v/>
      </c>
      <c r="N999">
        <f>IF($G999="","",IF($H999="مرجوعی خرید",-1,1)*($L999-$M999*IFERROR(VLOOKUP("P01",ParamTbl,3,0),1.5))*(1-IF($I999="خرید",IFERROR(VLOOKUP("P02",ParamTbl,3,0),1),0)/100))</f>
        <v/>
      </c>
      <c r="O999">
        <f>IF($G999="",0,IF($H999="مرجوعی خرید",-1,1)*IF(Sync!$AD996="",0,Sync!$AD996))</f>
        <v/>
      </c>
      <c r="P999">
        <f>IF(OR($G999="",Sync!$W996=""),"",Sync!$W996)</f>
        <v/>
      </c>
      <c r="Q999">
        <f>IF(OR($G999="",Sync!$AE996=""),"",Sync!$AE996)</f>
        <v/>
      </c>
      <c r="R999">
        <f>IF($G999="","",IF(Sync!$V996="","0000",IF(AND(ISNUMBER(Sync!$V996),Sync!$V996&gt;=0,Sync!$V996&lt;1),RIGHT("00"&amp;HOUR(Sync!$V996),2)&amp;RIGHT("00"&amp;MINUTE(Sync!$V996),2),IFERROR(RIGHT("00"&amp;VALUE(LEFT(Sync!$V996,FIND(":",Sync!$V996)-1)),2)&amp;RIGHT("00"&amp;VALUE(MID(Sync!$V996,FIND(":",Sync!$V996)+1,2)),2),"0000"))))</f>
        <v/>
      </c>
    </row>
    <row r="1000">
      <c r="A1000">
        <f>IF(Sync!$U997="","",Sync!$U997)</f>
        <v/>
      </c>
      <c r="B1000">
        <f>IF($A1000="","",IF(ISNUMBER($A1000),IF(AND($A1000&gt;=10000101,$A1000&lt;=99991231),INT($A1000/10000),""),IFERROR(VALUE(TRIM(LEFT($A1000,FIND("/",$A1000)-1))),"")))</f>
        <v/>
      </c>
      <c r="C1000">
        <f>IF(OR($A1000="",$B1000=""),"",IF(ISNUMBER($A1000),INT(MOD($A1000,10000)/100),IFERROR(VALUE(TRIM(LEFT(MID($A1000,FIND("/",$A1000)+1,20),FIND("/",MID($A1000,FIND("/",$A1000)+1,20))-1))),"")))</f>
        <v/>
      </c>
      <c r="D1000">
        <f>IF(OR($A1000="",$B1000=""),"",IF(ISNUMBER($A1000),MOD($A1000,100),IFERROR(VALUE(TRIM(MID(MID($A1000,FIND("/",$A1000)+1,20),FIND("/",MID($A1000,FIND("/",$A1000)+1,20))+1,20))),"")))</f>
        <v/>
      </c>
      <c r="E1000">
        <f>IF($A1000="","",IF(OR($B1000="",$C1000="",$D1000="",$B1000&lt;1300,$B1000&gt;1500,$C1000&lt;1,$C1000&gt;12,$D1000&lt;1,$D1000&gt;31),"نامعتبر",RIGHT("0000"&amp;$B1000,4)&amp;"/"&amp;RIGHT("00"&amp;$C1000,2)&amp;"/"&amp;RIGHT("00"&amp;$D1000,2)))</f>
        <v/>
      </c>
      <c r="F1000">
        <f>IF(OR($E1000="",$E1000="نامعتبر"),"",LEFT($E1000,4)&amp;"/"&amp;MID($E1000,6,2))</f>
        <v/>
      </c>
      <c r="G1000">
        <f>IF(OR($E1000="",$E1000="نامعتبر",Sync!$Y997=""),"",Sync!$Y997)</f>
        <v/>
      </c>
      <c r="H1000">
        <f>IF($G1000="","",IF(Sync!$X997="","",Sync!$X997))</f>
        <v/>
      </c>
      <c r="I1000">
        <f>IF($G1000="","",IFERROR(VLOOKUP(Sync!$X997,OpTbl,3,0),""))</f>
        <v/>
      </c>
      <c r="J1000">
        <f>IF(OR($G1000="",Sync!$Z997=""),"",Sync!$Z997)</f>
        <v/>
      </c>
      <c r="K1000">
        <f>IF(OR($G1000="",Sync!$AA997=""),"",Sync!$AA997)</f>
        <v/>
      </c>
      <c r="L1000">
        <f>IF($G1000="",0,IF(Sync!$AB997="",0,Sync!$AB997))</f>
        <v/>
      </c>
      <c r="M1000">
        <f>IF($G1000="",0,IF(Sync!$AC997="",0,Sync!$AC997))</f>
        <v/>
      </c>
      <c r="N1000">
        <f>IF($G1000="","",IF($H1000="مرجوعی خرید",-1,1)*($L1000-$M1000*IFERROR(VLOOKUP("P01",ParamTbl,3,0),1.5))*(1-IF($I1000="خرید",IFERROR(VLOOKUP("P02",ParamTbl,3,0),1),0)/100))</f>
        <v/>
      </c>
      <c r="O1000">
        <f>IF($G1000="",0,IF($H1000="مرجوعی خرید",-1,1)*IF(Sync!$AD997="",0,Sync!$AD997))</f>
        <v/>
      </c>
      <c r="P1000">
        <f>IF(OR($G1000="",Sync!$W997=""),"",Sync!$W997)</f>
        <v/>
      </c>
      <c r="Q1000">
        <f>IF(OR($G1000="",Sync!$AE997=""),"",Sync!$AE997)</f>
        <v/>
      </c>
      <c r="R1000">
        <f>IF($G1000="","",IF(Sync!$V997="","0000",IF(AND(ISNUMBER(Sync!$V997),Sync!$V997&gt;=0,Sync!$V997&lt;1),RIGHT("00"&amp;HOUR(Sync!$V997),2)&amp;RIGHT("00"&amp;MINUTE(Sync!$V997),2),IFERROR(RIGHT("00"&amp;VALUE(LEFT(Sync!$V997,FIND(":",Sync!$V997)-1)),2)&amp;RIGHT("00"&amp;VALUE(MID(Sync!$V997,FIND(":",Sync!$V997)+1,2)),2),"0000"))))</f>
        <v/>
      </c>
    </row>
    <row r="1001">
      <c r="A1001">
        <f>IF(Sync!$U998="","",Sync!$U998)</f>
        <v/>
      </c>
      <c r="B1001">
        <f>IF($A1001="","",IF(ISNUMBER($A1001),IF(AND($A1001&gt;=10000101,$A1001&lt;=99991231),INT($A1001/10000),""),IFERROR(VALUE(TRIM(LEFT($A1001,FIND("/",$A1001)-1))),"")))</f>
        <v/>
      </c>
      <c r="C1001">
        <f>IF(OR($A1001="",$B1001=""),"",IF(ISNUMBER($A1001),INT(MOD($A1001,10000)/100),IFERROR(VALUE(TRIM(LEFT(MID($A1001,FIND("/",$A1001)+1,20),FIND("/",MID($A1001,FIND("/",$A1001)+1,20))-1))),"")))</f>
        <v/>
      </c>
      <c r="D1001">
        <f>IF(OR($A1001="",$B1001=""),"",IF(ISNUMBER($A1001),MOD($A1001,100),IFERROR(VALUE(TRIM(MID(MID($A1001,FIND("/",$A1001)+1,20),FIND("/",MID($A1001,FIND("/",$A1001)+1,20))+1,20))),"")))</f>
        <v/>
      </c>
      <c r="E1001">
        <f>IF($A1001="","",IF(OR($B1001="",$C1001="",$D1001="",$B1001&lt;1300,$B1001&gt;1500,$C1001&lt;1,$C1001&gt;12,$D1001&lt;1,$D1001&gt;31),"نامعتبر",RIGHT("0000"&amp;$B1001,4)&amp;"/"&amp;RIGHT("00"&amp;$C1001,2)&amp;"/"&amp;RIGHT("00"&amp;$D1001,2)))</f>
        <v/>
      </c>
      <c r="F1001">
        <f>IF(OR($E1001="",$E1001="نامعتبر"),"",LEFT($E1001,4)&amp;"/"&amp;MID($E1001,6,2))</f>
        <v/>
      </c>
      <c r="G1001">
        <f>IF(OR($E1001="",$E1001="نامعتبر",Sync!$Y998=""),"",Sync!$Y998)</f>
        <v/>
      </c>
      <c r="H1001">
        <f>IF($G1001="","",IF(Sync!$X998="","",Sync!$X998))</f>
        <v/>
      </c>
      <c r="I1001">
        <f>IF($G1001="","",IFERROR(VLOOKUP(Sync!$X998,OpTbl,3,0),""))</f>
        <v/>
      </c>
      <c r="J1001">
        <f>IF(OR($G1001="",Sync!$Z998=""),"",Sync!$Z998)</f>
        <v/>
      </c>
      <c r="K1001">
        <f>IF(OR($G1001="",Sync!$AA998=""),"",Sync!$AA998)</f>
        <v/>
      </c>
      <c r="L1001">
        <f>IF($G1001="",0,IF(Sync!$AB998="",0,Sync!$AB998))</f>
        <v/>
      </c>
      <c r="M1001">
        <f>IF($G1001="",0,IF(Sync!$AC998="",0,Sync!$AC998))</f>
        <v/>
      </c>
      <c r="N1001">
        <f>IF($G1001="","",IF($H1001="مرجوعی خرید",-1,1)*($L1001-$M1001*IFERROR(VLOOKUP("P01",ParamTbl,3,0),1.5))*(1-IF($I1001="خرید",IFERROR(VLOOKUP("P02",ParamTbl,3,0),1),0)/100))</f>
        <v/>
      </c>
      <c r="O1001">
        <f>IF($G1001="",0,IF($H1001="مرجوعی خرید",-1,1)*IF(Sync!$AD998="",0,Sync!$AD998))</f>
        <v/>
      </c>
      <c r="P1001">
        <f>IF(OR($G1001="",Sync!$W998=""),"",Sync!$W998)</f>
        <v/>
      </c>
      <c r="Q1001">
        <f>IF(OR($G1001="",Sync!$AE998=""),"",Sync!$AE998)</f>
        <v/>
      </c>
      <c r="R1001">
        <f>IF($G1001="","",IF(Sync!$V998="","0000",IF(AND(ISNUMBER(Sync!$V998),Sync!$V998&gt;=0,Sync!$V998&lt;1),RIGHT("00"&amp;HOUR(Sync!$V998),2)&amp;RIGHT("00"&amp;MINUTE(Sync!$V998),2),IFERROR(RIGHT("00"&amp;VALUE(LEFT(Sync!$V998,FIND(":",Sync!$V998)-1)),2)&amp;RIGHT("00"&amp;VALUE(MID(Sync!$V998,FIND(":",Sync!$V998)+1,2)),2),"0000"))))</f>
        <v/>
      </c>
    </row>
    <row r="1002">
      <c r="A1002">
        <f>IF(Sync!$U999="","",Sync!$U999)</f>
        <v/>
      </c>
      <c r="B1002">
        <f>IF($A1002="","",IF(ISNUMBER($A1002),IF(AND($A1002&gt;=10000101,$A1002&lt;=99991231),INT($A1002/10000),""),IFERROR(VALUE(TRIM(LEFT($A1002,FIND("/",$A1002)-1))),"")))</f>
        <v/>
      </c>
      <c r="C1002">
        <f>IF(OR($A1002="",$B1002=""),"",IF(ISNUMBER($A1002),INT(MOD($A1002,10000)/100),IFERROR(VALUE(TRIM(LEFT(MID($A1002,FIND("/",$A1002)+1,20),FIND("/",MID($A1002,FIND("/",$A1002)+1,20))-1))),"")))</f>
        <v/>
      </c>
      <c r="D1002">
        <f>IF(OR($A1002="",$B1002=""),"",IF(ISNUMBER($A1002),MOD($A1002,100),IFERROR(VALUE(TRIM(MID(MID($A1002,FIND("/",$A1002)+1,20),FIND("/",MID($A1002,FIND("/",$A1002)+1,20))+1,20))),"")))</f>
        <v/>
      </c>
      <c r="E1002">
        <f>IF($A1002="","",IF(OR($B1002="",$C1002="",$D1002="",$B1002&lt;1300,$B1002&gt;1500,$C1002&lt;1,$C1002&gt;12,$D1002&lt;1,$D1002&gt;31),"نامعتبر",RIGHT("0000"&amp;$B1002,4)&amp;"/"&amp;RIGHT("00"&amp;$C1002,2)&amp;"/"&amp;RIGHT("00"&amp;$D1002,2)))</f>
        <v/>
      </c>
      <c r="F1002">
        <f>IF(OR($E1002="",$E1002="نامعتبر"),"",LEFT($E1002,4)&amp;"/"&amp;MID($E1002,6,2))</f>
        <v/>
      </c>
      <c r="G1002">
        <f>IF(OR($E1002="",$E1002="نامعتبر",Sync!$Y999=""),"",Sync!$Y999)</f>
        <v/>
      </c>
      <c r="H1002">
        <f>IF($G1002="","",IF(Sync!$X999="","",Sync!$X999))</f>
        <v/>
      </c>
      <c r="I1002">
        <f>IF($G1002="","",IFERROR(VLOOKUP(Sync!$X999,OpTbl,3,0),""))</f>
        <v/>
      </c>
      <c r="J1002">
        <f>IF(OR($G1002="",Sync!$Z999=""),"",Sync!$Z999)</f>
        <v/>
      </c>
      <c r="K1002">
        <f>IF(OR($G1002="",Sync!$AA999=""),"",Sync!$AA999)</f>
        <v/>
      </c>
      <c r="L1002">
        <f>IF($G1002="",0,IF(Sync!$AB999="",0,Sync!$AB999))</f>
        <v/>
      </c>
      <c r="M1002">
        <f>IF($G1002="",0,IF(Sync!$AC999="",0,Sync!$AC999))</f>
        <v/>
      </c>
      <c r="N1002">
        <f>IF($G1002="","",IF($H1002="مرجوعی خرید",-1,1)*($L1002-$M1002*IFERROR(VLOOKUP("P01",ParamTbl,3,0),1.5))*(1-IF($I1002="خرید",IFERROR(VLOOKUP("P02",ParamTbl,3,0),1),0)/100))</f>
        <v/>
      </c>
      <c r="O1002">
        <f>IF($G1002="",0,IF($H1002="مرجوعی خرید",-1,1)*IF(Sync!$AD999="",0,Sync!$AD999))</f>
        <v/>
      </c>
      <c r="P1002">
        <f>IF(OR($G1002="",Sync!$W999=""),"",Sync!$W999)</f>
        <v/>
      </c>
      <c r="Q1002">
        <f>IF(OR($G1002="",Sync!$AE999=""),"",Sync!$AE999)</f>
        <v/>
      </c>
      <c r="R1002">
        <f>IF($G1002="","",IF(Sync!$V999="","0000",IF(AND(ISNUMBER(Sync!$V999),Sync!$V999&gt;=0,Sync!$V999&lt;1),RIGHT("00"&amp;HOUR(Sync!$V999),2)&amp;RIGHT("00"&amp;MINUTE(Sync!$V999),2),IFERROR(RIGHT("00"&amp;VALUE(LEFT(Sync!$V999,FIND(":",Sync!$V999)-1)),2)&amp;RIGHT("00"&amp;VALUE(MID(Sync!$V999,FIND(":",Sync!$V999)+1,2)),2),"0000"))))</f>
        <v/>
      </c>
    </row>
    <row r="1003">
      <c r="A1003">
        <f>IF(Sync!$U1000="","",Sync!$U1000)</f>
        <v/>
      </c>
      <c r="B1003">
        <f>IF($A1003="","",IF(ISNUMBER($A1003),IF(AND($A1003&gt;=10000101,$A1003&lt;=99991231),INT($A1003/10000),""),IFERROR(VALUE(TRIM(LEFT($A1003,FIND("/",$A1003)-1))),"")))</f>
        <v/>
      </c>
      <c r="C1003">
        <f>IF(OR($A1003="",$B1003=""),"",IF(ISNUMBER($A1003),INT(MOD($A1003,10000)/100),IFERROR(VALUE(TRIM(LEFT(MID($A1003,FIND("/",$A1003)+1,20),FIND("/",MID($A1003,FIND("/",$A1003)+1,20))-1))),"")))</f>
        <v/>
      </c>
      <c r="D1003">
        <f>IF(OR($A1003="",$B1003=""),"",IF(ISNUMBER($A1003),MOD($A1003,100),IFERROR(VALUE(TRIM(MID(MID($A1003,FIND("/",$A1003)+1,20),FIND("/",MID($A1003,FIND("/",$A1003)+1,20))+1,20))),"")))</f>
        <v/>
      </c>
      <c r="E1003">
        <f>IF($A1003="","",IF(OR($B1003="",$C1003="",$D1003="",$B1003&lt;1300,$B1003&gt;1500,$C1003&lt;1,$C1003&gt;12,$D1003&lt;1,$D1003&gt;31),"نامعتبر",RIGHT("0000"&amp;$B1003,4)&amp;"/"&amp;RIGHT("00"&amp;$C1003,2)&amp;"/"&amp;RIGHT("00"&amp;$D1003,2)))</f>
        <v/>
      </c>
      <c r="F1003">
        <f>IF(OR($E1003="",$E1003="نامعتبر"),"",LEFT($E1003,4)&amp;"/"&amp;MID($E1003,6,2))</f>
        <v/>
      </c>
      <c r="G1003">
        <f>IF(OR($E1003="",$E1003="نامعتبر",Sync!$Y1000=""),"",Sync!$Y1000)</f>
        <v/>
      </c>
      <c r="H1003">
        <f>IF($G1003="","",IF(Sync!$X1000="","",Sync!$X1000))</f>
        <v/>
      </c>
      <c r="I1003">
        <f>IF($G1003="","",IFERROR(VLOOKUP(Sync!$X1000,OpTbl,3,0),""))</f>
        <v/>
      </c>
      <c r="J1003">
        <f>IF(OR($G1003="",Sync!$Z1000=""),"",Sync!$Z1000)</f>
        <v/>
      </c>
      <c r="K1003">
        <f>IF(OR($G1003="",Sync!$AA1000=""),"",Sync!$AA1000)</f>
        <v/>
      </c>
      <c r="L1003">
        <f>IF($G1003="",0,IF(Sync!$AB1000="",0,Sync!$AB1000))</f>
        <v/>
      </c>
      <c r="M1003">
        <f>IF($G1003="",0,IF(Sync!$AC1000="",0,Sync!$AC1000))</f>
        <v/>
      </c>
      <c r="N1003">
        <f>IF($G1003="","",IF($H1003="مرجوعی خرید",-1,1)*($L1003-$M1003*IFERROR(VLOOKUP("P01",ParamTbl,3,0),1.5))*(1-IF($I1003="خرید",IFERROR(VLOOKUP("P02",ParamTbl,3,0),1),0)/100))</f>
        <v/>
      </c>
      <c r="O1003">
        <f>IF($G1003="",0,IF($H1003="مرجوعی خرید",-1,1)*IF(Sync!$AD1000="",0,Sync!$AD1000))</f>
        <v/>
      </c>
      <c r="P1003">
        <f>IF(OR($G1003="",Sync!$W1000=""),"",Sync!$W1000)</f>
        <v/>
      </c>
      <c r="Q1003">
        <f>IF(OR($G1003="",Sync!$AE1000=""),"",Sync!$AE1000)</f>
        <v/>
      </c>
      <c r="R1003">
        <f>IF($G1003="","",IF(Sync!$V1000="","0000",IF(AND(ISNUMBER(Sync!$V1000),Sync!$V1000&gt;=0,Sync!$V1000&lt;1),RIGHT("00"&amp;HOUR(Sync!$V1000),2)&amp;RIGHT("00"&amp;MINUTE(Sync!$V1000),2),IFERROR(RIGHT("00"&amp;VALUE(LEFT(Sync!$V1000,FIND(":",Sync!$V1000)-1)),2)&amp;RIGHT("00"&amp;VALUE(MID(Sync!$V1000,FIND(":",Sync!$V1000)+1,2)),2),"0000"))))</f>
        <v/>
      </c>
    </row>
    <row r="1004">
      <c r="A1004">
        <f>IF(Sync!$U1001="","",Sync!$U1001)</f>
        <v/>
      </c>
      <c r="B1004">
        <f>IF($A1004="","",IF(ISNUMBER($A1004),IF(AND($A1004&gt;=10000101,$A1004&lt;=99991231),INT($A1004/10000),""),IFERROR(VALUE(TRIM(LEFT($A1004,FIND("/",$A1004)-1))),"")))</f>
        <v/>
      </c>
      <c r="C1004">
        <f>IF(OR($A1004="",$B1004=""),"",IF(ISNUMBER($A1004),INT(MOD($A1004,10000)/100),IFERROR(VALUE(TRIM(LEFT(MID($A1004,FIND("/",$A1004)+1,20),FIND("/",MID($A1004,FIND("/",$A1004)+1,20))-1))),"")))</f>
        <v/>
      </c>
      <c r="D1004">
        <f>IF(OR($A1004="",$B1004=""),"",IF(ISNUMBER($A1004),MOD($A1004,100),IFERROR(VALUE(TRIM(MID(MID($A1004,FIND("/",$A1004)+1,20),FIND("/",MID($A1004,FIND("/",$A1004)+1,20))+1,20))),"")))</f>
        <v/>
      </c>
      <c r="E1004">
        <f>IF($A1004="","",IF(OR($B1004="",$C1004="",$D1004="",$B1004&lt;1300,$B1004&gt;1500,$C1004&lt;1,$C1004&gt;12,$D1004&lt;1,$D1004&gt;31),"نامعتبر",RIGHT("0000"&amp;$B1004,4)&amp;"/"&amp;RIGHT("00"&amp;$C1004,2)&amp;"/"&amp;RIGHT("00"&amp;$D1004,2)))</f>
        <v/>
      </c>
      <c r="F1004">
        <f>IF(OR($E1004="",$E1004="نامعتبر"),"",LEFT($E1004,4)&amp;"/"&amp;MID($E1004,6,2))</f>
        <v/>
      </c>
      <c r="G1004">
        <f>IF(OR($E1004="",$E1004="نامعتبر",Sync!$Y1001=""),"",Sync!$Y1001)</f>
        <v/>
      </c>
      <c r="H1004">
        <f>IF($G1004="","",IF(Sync!$X1001="","",Sync!$X1001))</f>
        <v/>
      </c>
      <c r="I1004">
        <f>IF($G1004="","",IFERROR(VLOOKUP(Sync!$X1001,OpTbl,3,0),""))</f>
        <v/>
      </c>
      <c r="J1004">
        <f>IF(OR($G1004="",Sync!$Z1001=""),"",Sync!$Z1001)</f>
        <v/>
      </c>
      <c r="K1004">
        <f>IF(OR($G1004="",Sync!$AA1001=""),"",Sync!$AA1001)</f>
        <v/>
      </c>
      <c r="L1004">
        <f>IF($G1004="",0,IF(Sync!$AB1001="",0,Sync!$AB1001))</f>
        <v/>
      </c>
      <c r="M1004">
        <f>IF($G1004="",0,IF(Sync!$AC1001="",0,Sync!$AC1001))</f>
        <v/>
      </c>
      <c r="N1004">
        <f>IF($G1004="","",IF($H1004="مرجوعی خرید",-1,1)*($L1004-$M1004*IFERROR(VLOOKUP("P01",ParamTbl,3,0),1.5))*(1-IF($I1004="خرید",IFERROR(VLOOKUP("P02",ParamTbl,3,0),1),0)/100))</f>
        <v/>
      </c>
      <c r="O1004">
        <f>IF($G1004="",0,IF($H1004="مرجوعی خرید",-1,1)*IF(Sync!$AD1001="",0,Sync!$AD1001))</f>
        <v/>
      </c>
      <c r="P1004">
        <f>IF(OR($G1004="",Sync!$W1001=""),"",Sync!$W1001)</f>
        <v/>
      </c>
      <c r="Q1004">
        <f>IF(OR($G1004="",Sync!$AE1001=""),"",Sync!$AE1001)</f>
        <v/>
      </c>
      <c r="R1004">
        <f>IF($G1004="","",IF(Sync!$V1001="","0000",IF(AND(ISNUMBER(Sync!$V1001),Sync!$V1001&gt;=0,Sync!$V1001&lt;1),RIGHT("00"&amp;HOUR(Sync!$V1001),2)&amp;RIGHT("00"&amp;MINUTE(Sync!$V1001),2),IFERROR(RIGHT("00"&amp;VALUE(LEFT(Sync!$V1001,FIND(":",Sync!$V1001)-1)),2)&amp;RIGHT("00"&amp;VALUE(MID(Sync!$V1001,FIND(":",Sync!$V1001)+1,2)),2),"0000"))))</f>
        <v/>
      </c>
    </row>
    <row r="1005">
      <c r="A1005">
        <f>IF(Sync!$U1002="","",Sync!$U1002)</f>
        <v/>
      </c>
      <c r="B1005">
        <f>IF($A1005="","",IF(ISNUMBER($A1005),IF(AND($A1005&gt;=10000101,$A1005&lt;=99991231),INT($A1005/10000),""),IFERROR(VALUE(TRIM(LEFT($A1005,FIND("/",$A1005)-1))),"")))</f>
        <v/>
      </c>
      <c r="C1005">
        <f>IF(OR($A1005="",$B1005=""),"",IF(ISNUMBER($A1005),INT(MOD($A1005,10000)/100),IFERROR(VALUE(TRIM(LEFT(MID($A1005,FIND("/",$A1005)+1,20),FIND("/",MID($A1005,FIND("/",$A1005)+1,20))-1))),"")))</f>
        <v/>
      </c>
      <c r="D1005">
        <f>IF(OR($A1005="",$B1005=""),"",IF(ISNUMBER($A1005),MOD($A1005,100),IFERROR(VALUE(TRIM(MID(MID($A1005,FIND("/",$A1005)+1,20),FIND("/",MID($A1005,FIND("/",$A1005)+1,20))+1,20))),"")))</f>
        <v/>
      </c>
      <c r="E1005">
        <f>IF($A1005="","",IF(OR($B1005="",$C1005="",$D1005="",$B1005&lt;1300,$B1005&gt;1500,$C1005&lt;1,$C1005&gt;12,$D1005&lt;1,$D1005&gt;31),"نامعتبر",RIGHT("0000"&amp;$B1005,4)&amp;"/"&amp;RIGHT("00"&amp;$C1005,2)&amp;"/"&amp;RIGHT("00"&amp;$D1005,2)))</f>
        <v/>
      </c>
      <c r="F1005">
        <f>IF(OR($E1005="",$E1005="نامعتبر"),"",LEFT($E1005,4)&amp;"/"&amp;MID($E1005,6,2))</f>
        <v/>
      </c>
      <c r="G1005">
        <f>IF(OR($E1005="",$E1005="نامعتبر",Sync!$Y1002=""),"",Sync!$Y1002)</f>
        <v/>
      </c>
      <c r="H1005">
        <f>IF($G1005="","",IF(Sync!$X1002="","",Sync!$X1002))</f>
        <v/>
      </c>
      <c r="I1005">
        <f>IF($G1005="","",IFERROR(VLOOKUP(Sync!$X1002,OpTbl,3,0),""))</f>
        <v/>
      </c>
      <c r="J1005">
        <f>IF(OR($G1005="",Sync!$Z1002=""),"",Sync!$Z1002)</f>
        <v/>
      </c>
      <c r="K1005">
        <f>IF(OR($G1005="",Sync!$AA1002=""),"",Sync!$AA1002)</f>
        <v/>
      </c>
      <c r="L1005">
        <f>IF($G1005="",0,IF(Sync!$AB1002="",0,Sync!$AB1002))</f>
        <v/>
      </c>
      <c r="M1005">
        <f>IF($G1005="",0,IF(Sync!$AC1002="",0,Sync!$AC1002))</f>
        <v/>
      </c>
      <c r="N1005">
        <f>IF($G1005="","",IF($H1005="مرجوعی خرید",-1,1)*($L1005-$M1005*IFERROR(VLOOKUP("P01",ParamTbl,3,0),1.5))*(1-IF($I1005="خرید",IFERROR(VLOOKUP("P02",ParamTbl,3,0),1),0)/100))</f>
        <v/>
      </c>
      <c r="O1005">
        <f>IF($G1005="",0,IF($H1005="مرجوعی خرید",-1,1)*IF(Sync!$AD1002="",0,Sync!$AD1002))</f>
        <v/>
      </c>
      <c r="P1005">
        <f>IF(OR($G1005="",Sync!$W1002=""),"",Sync!$W1002)</f>
        <v/>
      </c>
      <c r="Q1005">
        <f>IF(OR($G1005="",Sync!$AE1002=""),"",Sync!$AE1002)</f>
        <v/>
      </c>
      <c r="R1005">
        <f>IF($G1005="","",IF(Sync!$V1002="","0000",IF(AND(ISNUMBER(Sync!$V1002),Sync!$V1002&gt;=0,Sync!$V1002&lt;1),RIGHT("00"&amp;HOUR(Sync!$V1002),2)&amp;RIGHT("00"&amp;MINUTE(Sync!$V1002),2),IFERROR(RIGHT("00"&amp;VALUE(LEFT(Sync!$V1002,FIND(":",Sync!$V1002)-1)),2)&amp;RIGHT("00"&amp;VALUE(MID(Sync!$V1002,FIND(":",Sync!$V1002)+1,2)),2),"0000"))))</f>
        <v/>
      </c>
    </row>
    <row r="1006">
      <c r="A1006">
        <f>IF(Sync!$U1003="","",Sync!$U1003)</f>
        <v/>
      </c>
      <c r="B1006">
        <f>IF($A1006="","",IF(ISNUMBER($A1006),IF(AND($A1006&gt;=10000101,$A1006&lt;=99991231),INT($A1006/10000),""),IFERROR(VALUE(TRIM(LEFT($A1006,FIND("/",$A1006)-1))),"")))</f>
        <v/>
      </c>
      <c r="C1006">
        <f>IF(OR($A1006="",$B1006=""),"",IF(ISNUMBER($A1006),INT(MOD($A1006,10000)/100),IFERROR(VALUE(TRIM(LEFT(MID($A1006,FIND("/",$A1006)+1,20),FIND("/",MID($A1006,FIND("/",$A1006)+1,20))-1))),"")))</f>
        <v/>
      </c>
      <c r="D1006">
        <f>IF(OR($A1006="",$B1006=""),"",IF(ISNUMBER($A1006),MOD($A1006,100),IFERROR(VALUE(TRIM(MID(MID($A1006,FIND("/",$A1006)+1,20),FIND("/",MID($A1006,FIND("/",$A1006)+1,20))+1,20))),"")))</f>
        <v/>
      </c>
      <c r="E1006">
        <f>IF($A1006="","",IF(OR($B1006="",$C1006="",$D1006="",$B1006&lt;1300,$B1006&gt;1500,$C1006&lt;1,$C1006&gt;12,$D1006&lt;1,$D1006&gt;31),"نامعتبر",RIGHT("0000"&amp;$B1006,4)&amp;"/"&amp;RIGHT("00"&amp;$C1006,2)&amp;"/"&amp;RIGHT("00"&amp;$D1006,2)))</f>
        <v/>
      </c>
      <c r="F1006">
        <f>IF(OR($E1006="",$E1006="نامعتبر"),"",LEFT($E1006,4)&amp;"/"&amp;MID($E1006,6,2))</f>
        <v/>
      </c>
      <c r="G1006">
        <f>IF(OR($E1006="",$E1006="نامعتبر",Sync!$Y1003=""),"",Sync!$Y1003)</f>
        <v/>
      </c>
      <c r="H1006">
        <f>IF($G1006="","",IF(Sync!$X1003="","",Sync!$X1003))</f>
        <v/>
      </c>
      <c r="I1006">
        <f>IF($G1006="","",IFERROR(VLOOKUP(Sync!$X1003,OpTbl,3,0),""))</f>
        <v/>
      </c>
      <c r="J1006">
        <f>IF(OR($G1006="",Sync!$Z1003=""),"",Sync!$Z1003)</f>
        <v/>
      </c>
      <c r="K1006">
        <f>IF(OR($G1006="",Sync!$AA1003=""),"",Sync!$AA1003)</f>
        <v/>
      </c>
      <c r="L1006">
        <f>IF($G1006="",0,IF(Sync!$AB1003="",0,Sync!$AB1003))</f>
        <v/>
      </c>
      <c r="M1006">
        <f>IF($G1006="",0,IF(Sync!$AC1003="",0,Sync!$AC1003))</f>
        <v/>
      </c>
      <c r="N1006">
        <f>IF($G1006="","",IF($H1006="مرجوعی خرید",-1,1)*($L1006-$M1006*IFERROR(VLOOKUP("P01",ParamTbl,3,0),1.5))*(1-IF($I1006="خرید",IFERROR(VLOOKUP("P02",ParamTbl,3,0),1),0)/100))</f>
        <v/>
      </c>
      <c r="O1006">
        <f>IF($G1006="",0,IF($H1006="مرجوعی خرید",-1,1)*IF(Sync!$AD1003="",0,Sync!$AD1003))</f>
        <v/>
      </c>
      <c r="P1006">
        <f>IF(OR($G1006="",Sync!$W1003=""),"",Sync!$W1003)</f>
        <v/>
      </c>
      <c r="Q1006">
        <f>IF(OR($G1006="",Sync!$AE1003=""),"",Sync!$AE1003)</f>
        <v/>
      </c>
      <c r="R1006">
        <f>IF($G1006="","",IF(Sync!$V1003="","0000",IF(AND(ISNUMBER(Sync!$V1003),Sync!$V1003&gt;=0,Sync!$V1003&lt;1),RIGHT("00"&amp;HOUR(Sync!$V1003),2)&amp;RIGHT("00"&amp;MINUTE(Sync!$V1003),2),IFERROR(RIGHT("00"&amp;VALUE(LEFT(Sync!$V1003,FIND(":",Sync!$V1003)-1)),2)&amp;RIGHT("00"&amp;VALUE(MID(Sync!$V1003,FIND(":",Sync!$V1003)+1,2)),2),"0000"))))</f>
        <v/>
      </c>
    </row>
    <row r="1007">
      <c r="A1007">
        <f>IF(Sync!$U1004="","",Sync!$U1004)</f>
        <v/>
      </c>
      <c r="B1007">
        <f>IF($A1007="","",IF(ISNUMBER($A1007),IF(AND($A1007&gt;=10000101,$A1007&lt;=99991231),INT($A1007/10000),""),IFERROR(VALUE(TRIM(LEFT($A1007,FIND("/",$A1007)-1))),"")))</f>
        <v/>
      </c>
      <c r="C1007">
        <f>IF(OR($A1007="",$B1007=""),"",IF(ISNUMBER($A1007),INT(MOD($A1007,10000)/100),IFERROR(VALUE(TRIM(LEFT(MID($A1007,FIND("/",$A1007)+1,20),FIND("/",MID($A1007,FIND("/",$A1007)+1,20))-1))),"")))</f>
        <v/>
      </c>
      <c r="D1007">
        <f>IF(OR($A1007="",$B1007=""),"",IF(ISNUMBER($A1007),MOD($A1007,100),IFERROR(VALUE(TRIM(MID(MID($A1007,FIND("/",$A1007)+1,20),FIND("/",MID($A1007,FIND("/",$A1007)+1,20))+1,20))),"")))</f>
        <v/>
      </c>
      <c r="E1007">
        <f>IF($A1007="","",IF(OR($B1007="",$C1007="",$D1007="",$B1007&lt;1300,$B1007&gt;1500,$C1007&lt;1,$C1007&gt;12,$D1007&lt;1,$D1007&gt;31),"نامعتبر",RIGHT("0000"&amp;$B1007,4)&amp;"/"&amp;RIGHT("00"&amp;$C1007,2)&amp;"/"&amp;RIGHT("00"&amp;$D1007,2)))</f>
        <v/>
      </c>
      <c r="F1007">
        <f>IF(OR($E1007="",$E1007="نامعتبر"),"",LEFT($E1007,4)&amp;"/"&amp;MID($E1007,6,2))</f>
        <v/>
      </c>
      <c r="G1007">
        <f>IF(OR($E1007="",$E1007="نامعتبر",Sync!$Y1004=""),"",Sync!$Y1004)</f>
        <v/>
      </c>
      <c r="H1007">
        <f>IF($G1007="","",IF(Sync!$X1004="","",Sync!$X1004))</f>
        <v/>
      </c>
      <c r="I1007">
        <f>IF($G1007="","",IFERROR(VLOOKUP(Sync!$X1004,OpTbl,3,0),""))</f>
        <v/>
      </c>
      <c r="J1007">
        <f>IF(OR($G1007="",Sync!$Z1004=""),"",Sync!$Z1004)</f>
        <v/>
      </c>
      <c r="K1007">
        <f>IF(OR($G1007="",Sync!$AA1004=""),"",Sync!$AA1004)</f>
        <v/>
      </c>
      <c r="L1007">
        <f>IF($G1007="",0,IF(Sync!$AB1004="",0,Sync!$AB1004))</f>
        <v/>
      </c>
      <c r="M1007">
        <f>IF($G1007="",0,IF(Sync!$AC1004="",0,Sync!$AC1004))</f>
        <v/>
      </c>
      <c r="N1007">
        <f>IF($G1007="","",IF($H1007="مرجوعی خرید",-1,1)*($L1007-$M1007*IFERROR(VLOOKUP("P01",ParamTbl,3,0),1.5))*(1-IF($I1007="خرید",IFERROR(VLOOKUP("P02",ParamTbl,3,0),1),0)/100))</f>
        <v/>
      </c>
      <c r="O1007">
        <f>IF($G1007="",0,IF($H1007="مرجوعی خرید",-1,1)*IF(Sync!$AD1004="",0,Sync!$AD1004))</f>
        <v/>
      </c>
      <c r="P1007">
        <f>IF(OR($G1007="",Sync!$W1004=""),"",Sync!$W1004)</f>
        <v/>
      </c>
      <c r="Q1007">
        <f>IF(OR($G1007="",Sync!$AE1004=""),"",Sync!$AE1004)</f>
        <v/>
      </c>
      <c r="R1007">
        <f>IF($G1007="","",IF(Sync!$V1004="","0000",IF(AND(ISNUMBER(Sync!$V1004),Sync!$V1004&gt;=0,Sync!$V1004&lt;1),RIGHT("00"&amp;HOUR(Sync!$V1004),2)&amp;RIGHT("00"&amp;MINUTE(Sync!$V1004),2),IFERROR(RIGHT("00"&amp;VALUE(LEFT(Sync!$V1004,FIND(":",Sync!$V1004)-1)),2)&amp;RIGHT("00"&amp;VALUE(MID(Sync!$V1004,FIND(":",Sync!$V1004)+1,2)),2),"0000"))))</f>
        <v/>
      </c>
    </row>
    <row r="1008">
      <c r="A1008">
        <f>IF(Sync!$U1005="","",Sync!$U1005)</f>
        <v/>
      </c>
      <c r="B1008">
        <f>IF($A1008="","",IF(ISNUMBER($A1008),IF(AND($A1008&gt;=10000101,$A1008&lt;=99991231),INT($A1008/10000),""),IFERROR(VALUE(TRIM(LEFT($A1008,FIND("/",$A1008)-1))),"")))</f>
        <v/>
      </c>
      <c r="C1008">
        <f>IF(OR($A1008="",$B1008=""),"",IF(ISNUMBER($A1008),INT(MOD($A1008,10000)/100),IFERROR(VALUE(TRIM(LEFT(MID($A1008,FIND("/",$A1008)+1,20),FIND("/",MID($A1008,FIND("/",$A1008)+1,20))-1))),"")))</f>
        <v/>
      </c>
      <c r="D1008">
        <f>IF(OR($A1008="",$B1008=""),"",IF(ISNUMBER($A1008),MOD($A1008,100),IFERROR(VALUE(TRIM(MID(MID($A1008,FIND("/",$A1008)+1,20),FIND("/",MID($A1008,FIND("/",$A1008)+1,20))+1,20))),"")))</f>
        <v/>
      </c>
      <c r="E1008">
        <f>IF($A1008="","",IF(OR($B1008="",$C1008="",$D1008="",$B1008&lt;1300,$B1008&gt;1500,$C1008&lt;1,$C1008&gt;12,$D1008&lt;1,$D1008&gt;31),"نامعتبر",RIGHT("0000"&amp;$B1008,4)&amp;"/"&amp;RIGHT("00"&amp;$C1008,2)&amp;"/"&amp;RIGHT("00"&amp;$D1008,2)))</f>
        <v/>
      </c>
      <c r="F1008">
        <f>IF(OR($E1008="",$E1008="نامعتبر"),"",LEFT($E1008,4)&amp;"/"&amp;MID($E1008,6,2))</f>
        <v/>
      </c>
      <c r="G1008">
        <f>IF(OR($E1008="",$E1008="نامعتبر",Sync!$Y1005=""),"",Sync!$Y1005)</f>
        <v/>
      </c>
      <c r="H1008">
        <f>IF($G1008="","",IF(Sync!$X1005="","",Sync!$X1005))</f>
        <v/>
      </c>
      <c r="I1008">
        <f>IF($G1008="","",IFERROR(VLOOKUP(Sync!$X1005,OpTbl,3,0),""))</f>
        <v/>
      </c>
      <c r="J1008">
        <f>IF(OR($G1008="",Sync!$Z1005=""),"",Sync!$Z1005)</f>
        <v/>
      </c>
      <c r="K1008">
        <f>IF(OR($G1008="",Sync!$AA1005=""),"",Sync!$AA1005)</f>
        <v/>
      </c>
      <c r="L1008">
        <f>IF($G1008="",0,IF(Sync!$AB1005="",0,Sync!$AB1005))</f>
        <v/>
      </c>
      <c r="M1008">
        <f>IF($G1008="",0,IF(Sync!$AC1005="",0,Sync!$AC1005))</f>
        <v/>
      </c>
      <c r="N1008">
        <f>IF($G1008="","",IF($H1008="مرجوعی خرید",-1,1)*($L1008-$M1008*IFERROR(VLOOKUP("P01",ParamTbl,3,0),1.5))*(1-IF($I1008="خرید",IFERROR(VLOOKUP("P02",ParamTbl,3,0),1),0)/100))</f>
        <v/>
      </c>
      <c r="O1008">
        <f>IF($G1008="",0,IF($H1008="مرجوعی خرید",-1,1)*IF(Sync!$AD1005="",0,Sync!$AD1005))</f>
        <v/>
      </c>
      <c r="P1008">
        <f>IF(OR($G1008="",Sync!$W1005=""),"",Sync!$W1005)</f>
        <v/>
      </c>
      <c r="Q1008">
        <f>IF(OR($G1008="",Sync!$AE1005=""),"",Sync!$AE1005)</f>
        <v/>
      </c>
      <c r="R1008">
        <f>IF($G1008="","",IF(Sync!$V1005="","0000",IF(AND(ISNUMBER(Sync!$V1005),Sync!$V1005&gt;=0,Sync!$V1005&lt;1),RIGHT("00"&amp;HOUR(Sync!$V1005),2)&amp;RIGHT("00"&amp;MINUTE(Sync!$V1005),2),IFERROR(RIGHT("00"&amp;VALUE(LEFT(Sync!$V1005,FIND(":",Sync!$V1005)-1)),2)&amp;RIGHT("00"&amp;VALUE(MID(Sync!$V1005,FIND(":",Sync!$V1005)+1,2)),2),"0000"))))</f>
        <v/>
      </c>
    </row>
    <row r="1009">
      <c r="A1009">
        <f>IF(Sync!$U1006="","",Sync!$U1006)</f>
        <v/>
      </c>
      <c r="B1009">
        <f>IF($A1009="","",IF(ISNUMBER($A1009),IF(AND($A1009&gt;=10000101,$A1009&lt;=99991231),INT($A1009/10000),""),IFERROR(VALUE(TRIM(LEFT($A1009,FIND("/",$A1009)-1))),"")))</f>
        <v/>
      </c>
      <c r="C1009">
        <f>IF(OR($A1009="",$B1009=""),"",IF(ISNUMBER($A1009),INT(MOD($A1009,10000)/100),IFERROR(VALUE(TRIM(LEFT(MID($A1009,FIND("/",$A1009)+1,20),FIND("/",MID($A1009,FIND("/",$A1009)+1,20))-1))),"")))</f>
        <v/>
      </c>
      <c r="D1009">
        <f>IF(OR($A1009="",$B1009=""),"",IF(ISNUMBER($A1009),MOD($A1009,100),IFERROR(VALUE(TRIM(MID(MID($A1009,FIND("/",$A1009)+1,20),FIND("/",MID($A1009,FIND("/",$A1009)+1,20))+1,20))),"")))</f>
        <v/>
      </c>
      <c r="E1009">
        <f>IF($A1009="","",IF(OR($B1009="",$C1009="",$D1009="",$B1009&lt;1300,$B1009&gt;1500,$C1009&lt;1,$C1009&gt;12,$D1009&lt;1,$D1009&gt;31),"نامعتبر",RIGHT("0000"&amp;$B1009,4)&amp;"/"&amp;RIGHT("00"&amp;$C1009,2)&amp;"/"&amp;RIGHT("00"&amp;$D1009,2)))</f>
        <v/>
      </c>
      <c r="F1009">
        <f>IF(OR($E1009="",$E1009="نامعتبر"),"",LEFT($E1009,4)&amp;"/"&amp;MID($E1009,6,2))</f>
        <v/>
      </c>
      <c r="G1009">
        <f>IF(OR($E1009="",$E1009="نامعتبر",Sync!$Y1006=""),"",Sync!$Y1006)</f>
        <v/>
      </c>
      <c r="H1009">
        <f>IF($G1009="","",IF(Sync!$X1006="","",Sync!$X1006))</f>
        <v/>
      </c>
      <c r="I1009">
        <f>IF($G1009="","",IFERROR(VLOOKUP(Sync!$X1006,OpTbl,3,0),""))</f>
        <v/>
      </c>
      <c r="J1009">
        <f>IF(OR($G1009="",Sync!$Z1006=""),"",Sync!$Z1006)</f>
        <v/>
      </c>
      <c r="K1009">
        <f>IF(OR($G1009="",Sync!$AA1006=""),"",Sync!$AA1006)</f>
        <v/>
      </c>
      <c r="L1009">
        <f>IF($G1009="",0,IF(Sync!$AB1006="",0,Sync!$AB1006))</f>
        <v/>
      </c>
      <c r="M1009">
        <f>IF($G1009="",0,IF(Sync!$AC1006="",0,Sync!$AC1006))</f>
        <v/>
      </c>
      <c r="N1009">
        <f>IF($G1009="","",IF($H1009="مرجوعی خرید",-1,1)*($L1009-$M1009*IFERROR(VLOOKUP("P01",ParamTbl,3,0),1.5))*(1-IF($I1009="خرید",IFERROR(VLOOKUP("P02",ParamTbl,3,0),1),0)/100))</f>
        <v/>
      </c>
      <c r="O1009">
        <f>IF($G1009="",0,IF($H1009="مرجوعی خرید",-1,1)*IF(Sync!$AD1006="",0,Sync!$AD1006))</f>
        <v/>
      </c>
      <c r="P1009">
        <f>IF(OR($G1009="",Sync!$W1006=""),"",Sync!$W1006)</f>
        <v/>
      </c>
      <c r="Q1009">
        <f>IF(OR($G1009="",Sync!$AE1006=""),"",Sync!$AE1006)</f>
        <v/>
      </c>
      <c r="R1009">
        <f>IF($G1009="","",IF(Sync!$V1006="","0000",IF(AND(ISNUMBER(Sync!$V1006),Sync!$V1006&gt;=0,Sync!$V1006&lt;1),RIGHT("00"&amp;HOUR(Sync!$V1006),2)&amp;RIGHT("00"&amp;MINUTE(Sync!$V1006),2),IFERROR(RIGHT("00"&amp;VALUE(LEFT(Sync!$V1006,FIND(":",Sync!$V1006)-1)),2)&amp;RIGHT("00"&amp;VALUE(MID(Sync!$V1006,FIND(":",Sync!$V1006)+1,2)),2),"0000"))))</f>
        <v/>
      </c>
    </row>
    <row r="1010">
      <c r="A1010">
        <f>IF(Sync!$U1007="","",Sync!$U1007)</f>
        <v/>
      </c>
      <c r="B1010">
        <f>IF($A1010="","",IF(ISNUMBER($A1010),IF(AND($A1010&gt;=10000101,$A1010&lt;=99991231),INT($A1010/10000),""),IFERROR(VALUE(TRIM(LEFT($A1010,FIND("/",$A1010)-1))),"")))</f>
        <v/>
      </c>
      <c r="C1010">
        <f>IF(OR($A1010="",$B1010=""),"",IF(ISNUMBER($A1010),INT(MOD($A1010,10000)/100),IFERROR(VALUE(TRIM(LEFT(MID($A1010,FIND("/",$A1010)+1,20),FIND("/",MID($A1010,FIND("/",$A1010)+1,20))-1))),"")))</f>
        <v/>
      </c>
      <c r="D1010">
        <f>IF(OR($A1010="",$B1010=""),"",IF(ISNUMBER($A1010),MOD($A1010,100),IFERROR(VALUE(TRIM(MID(MID($A1010,FIND("/",$A1010)+1,20),FIND("/",MID($A1010,FIND("/",$A1010)+1,20))+1,20))),"")))</f>
        <v/>
      </c>
      <c r="E1010">
        <f>IF($A1010="","",IF(OR($B1010="",$C1010="",$D1010="",$B1010&lt;1300,$B1010&gt;1500,$C1010&lt;1,$C1010&gt;12,$D1010&lt;1,$D1010&gt;31),"نامعتبر",RIGHT("0000"&amp;$B1010,4)&amp;"/"&amp;RIGHT("00"&amp;$C1010,2)&amp;"/"&amp;RIGHT("00"&amp;$D1010,2)))</f>
        <v/>
      </c>
      <c r="F1010">
        <f>IF(OR($E1010="",$E1010="نامعتبر"),"",LEFT($E1010,4)&amp;"/"&amp;MID($E1010,6,2))</f>
        <v/>
      </c>
      <c r="G1010">
        <f>IF(OR($E1010="",$E1010="نامعتبر",Sync!$Y1007=""),"",Sync!$Y1007)</f>
        <v/>
      </c>
      <c r="H1010">
        <f>IF($G1010="","",IF(Sync!$X1007="","",Sync!$X1007))</f>
        <v/>
      </c>
      <c r="I1010">
        <f>IF($G1010="","",IFERROR(VLOOKUP(Sync!$X1007,OpTbl,3,0),""))</f>
        <v/>
      </c>
      <c r="J1010">
        <f>IF(OR($G1010="",Sync!$Z1007=""),"",Sync!$Z1007)</f>
        <v/>
      </c>
      <c r="K1010">
        <f>IF(OR($G1010="",Sync!$AA1007=""),"",Sync!$AA1007)</f>
        <v/>
      </c>
      <c r="L1010">
        <f>IF($G1010="",0,IF(Sync!$AB1007="",0,Sync!$AB1007))</f>
        <v/>
      </c>
      <c r="M1010">
        <f>IF($G1010="",0,IF(Sync!$AC1007="",0,Sync!$AC1007))</f>
        <v/>
      </c>
      <c r="N1010">
        <f>IF($G1010="","",IF($H1010="مرجوعی خرید",-1,1)*($L1010-$M1010*IFERROR(VLOOKUP("P01",ParamTbl,3,0),1.5))*(1-IF($I1010="خرید",IFERROR(VLOOKUP("P02",ParamTbl,3,0),1),0)/100))</f>
        <v/>
      </c>
      <c r="O1010">
        <f>IF($G1010="",0,IF($H1010="مرجوعی خرید",-1,1)*IF(Sync!$AD1007="",0,Sync!$AD1007))</f>
        <v/>
      </c>
      <c r="P1010">
        <f>IF(OR($G1010="",Sync!$W1007=""),"",Sync!$W1007)</f>
        <v/>
      </c>
      <c r="Q1010">
        <f>IF(OR($G1010="",Sync!$AE1007=""),"",Sync!$AE1007)</f>
        <v/>
      </c>
      <c r="R1010">
        <f>IF($G1010="","",IF(Sync!$V1007="","0000",IF(AND(ISNUMBER(Sync!$V1007),Sync!$V1007&gt;=0,Sync!$V1007&lt;1),RIGHT("00"&amp;HOUR(Sync!$V1007),2)&amp;RIGHT("00"&amp;MINUTE(Sync!$V1007),2),IFERROR(RIGHT("00"&amp;VALUE(LEFT(Sync!$V1007,FIND(":",Sync!$V1007)-1)),2)&amp;RIGHT("00"&amp;VALUE(MID(Sync!$V1007,FIND(":",Sync!$V1007)+1,2)),2),"0000"))))</f>
        <v/>
      </c>
    </row>
    <row r="1011">
      <c r="A1011">
        <f>IF(Sync!$U1008="","",Sync!$U1008)</f>
        <v/>
      </c>
      <c r="B1011">
        <f>IF($A1011="","",IF(ISNUMBER($A1011),IF(AND($A1011&gt;=10000101,$A1011&lt;=99991231),INT($A1011/10000),""),IFERROR(VALUE(TRIM(LEFT($A1011,FIND("/",$A1011)-1))),"")))</f>
        <v/>
      </c>
      <c r="C1011">
        <f>IF(OR($A1011="",$B1011=""),"",IF(ISNUMBER($A1011),INT(MOD($A1011,10000)/100),IFERROR(VALUE(TRIM(LEFT(MID($A1011,FIND("/",$A1011)+1,20),FIND("/",MID($A1011,FIND("/",$A1011)+1,20))-1))),"")))</f>
        <v/>
      </c>
      <c r="D1011">
        <f>IF(OR($A1011="",$B1011=""),"",IF(ISNUMBER($A1011),MOD($A1011,100),IFERROR(VALUE(TRIM(MID(MID($A1011,FIND("/",$A1011)+1,20),FIND("/",MID($A1011,FIND("/",$A1011)+1,20))+1,20))),"")))</f>
        <v/>
      </c>
      <c r="E1011">
        <f>IF($A1011="","",IF(OR($B1011="",$C1011="",$D1011="",$B1011&lt;1300,$B1011&gt;1500,$C1011&lt;1,$C1011&gt;12,$D1011&lt;1,$D1011&gt;31),"نامعتبر",RIGHT("0000"&amp;$B1011,4)&amp;"/"&amp;RIGHT("00"&amp;$C1011,2)&amp;"/"&amp;RIGHT("00"&amp;$D1011,2)))</f>
        <v/>
      </c>
      <c r="F1011">
        <f>IF(OR($E1011="",$E1011="نامعتبر"),"",LEFT($E1011,4)&amp;"/"&amp;MID($E1011,6,2))</f>
        <v/>
      </c>
      <c r="G1011">
        <f>IF(OR($E1011="",$E1011="نامعتبر",Sync!$Y1008=""),"",Sync!$Y1008)</f>
        <v/>
      </c>
      <c r="H1011">
        <f>IF($G1011="","",IF(Sync!$X1008="","",Sync!$X1008))</f>
        <v/>
      </c>
      <c r="I1011">
        <f>IF($G1011="","",IFERROR(VLOOKUP(Sync!$X1008,OpTbl,3,0),""))</f>
        <v/>
      </c>
      <c r="J1011">
        <f>IF(OR($G1011="",Sync!$Z1008=""),"",Sync!$Z1008)</f>
        <v/>
      </c>
      <c r="K1011">
        <f>IF(OR($G1011="",Sync!$AA1008=""),"",Sync!$AA1008)</f>
        <v/>
      </c>
      <c r="L1011">
        <f>IF($G1011="",0,IF(Sync!$AB1008="",0,Sync!$AB1008))</f>
        <v/>
      </c>
      <c r="M1011">
        <f>IF($G1011="",0,IF(Sync!$AC1008="",0,Sync!$AC1008))</f>
        <v/>
      </c>
      <c r="N1011">
        <f>IF($G1011="","",IF($H1011="مرجوعی خرید",-1,1)*($L1011-$M1011*IFERROR(VLOOKUP("P01",ParamTbl,3,0),1.5))*(1-IF($I1011="خرید",IFERROR(VLOOKUP("P02",ParamTbl,3,0),1),0)/100))</f>
        <v/>
      </c>
      <c r="O1011">
        <f>IF($G1011="",0,IF($H1011="مرجوعی خرید",-1,1)*IF(Sync!$AD1008="",0,Sync!$AD1008))</f>
        <v/>
      </c>
      <c r="P1011">
        <f>IF(OR($G1011="",Sync!$W1008=""),"",Sync!$W1008)</f>
        <v/>
      </c>
      <c r="Q1011">
        <f>IF(OR($G1011="",Sync!$AE1008=""),"",Sync!$AE1008)</f>
        <v/>
      </c>
      <c r="R1011">
        <f>IF($G1011="","",IF(Sync!$V1008="","0000",IF(AND(ISNUMBER(Sync!$V1008),Sync!$V1008&gt;=0,Sync!$V1008&lt;1),RIGHT("00"&amp;HOUR(Sync!$V1008),2)&amp;RIGHT("00"&amp;MINUTE(Sync!$V1008),2),IFERROR(RIGHT("00"&amp;VALUE(LEFT(Sync!$V1008,FIND(":",Sync!$V1008)-1)),2)&amp;RIGHT("00"&amp;VALUE(MID(Sync!$V1008,FIND(":",Sync!$V1008)+1,2)),2),"0000"))))</f>
        <v/>
      </c>
    </row>
    <row r="1012">
      <c r="A1012">
        <f>IF(Sync!$U1009="","",Sync!$U1009)</f>
        <v/>
      </c>
      <c r="B1012">
        <f>IF($A1012="","",IF(ISNUMBER($A1012),IF(AND($A1012&gt;=10000101,$A1012&lt;=99991231),INT($A1012/10000),""),IFERROR(VALUE(TRIM(LEFT($A1012,FIND("/",$A1012)-1))),"")))</f>
        <v/>
      </c>
      <c r="C1012">
        <f>IF(OR($A1012="",$B1012=""),"",IF(ISNUMBER($A1012),INT(MOD($A1012,10000)/100),IFERROR(VALUE(TRIM(LEFT(MID($A1012,FIND("/",$A1012)+1,20),FIND("/",MID($A1012,FIND("/",$A1012)+1,20))-1))),"")))</f>
        <v/>
      </c>
      <c r="D1012">
        <f>IF(OR($A1012="",$B1012=""),"",IF(ISNUMBER($A1012),MOD($A1012,100),IFERROR(VALUE(TRIM(MID(MID($A1012,FIND("/",$A1012)+1,20),FIND("/",MID($A1012,FIND("/",$A1012)+1,20))+1,20))),"")))</f>
        <v/>
      </c>
      <c r="E1012">
        <f>IF($A1012="","",IF(OR($B1012="",$C1012="",$D1012="",$B1012&lt;1300,$B1012&gt;1500,$C1012&lt;1,$C1012&gt;12,$D1012&lt;1,$D1012&gt;31),"نامعتبر",RIGHT("0000"&amp;$B1012,4)&amp;"/"&amp;RIGHT("00"&amp;$C1012,2)&amp;"/"&amp;RIGHT("00"&amp;$D1012,2)))</f>
        <v/>
      </c>
      <c r="F1012">
        <f>IF(OR($E1012="",$E1012="نامعتبر"),"",LEFT($E1012,4)&amp;"/"&amp;MID($E1012,6,2))</f>
        <v/>
      </c>
      <c r="G1012">
        <f>IF(OR($E1012="",$E1012="نامعتبر",Sync!$Y1009=""),"",Sync!$Y1009)</f>
        <v/>
      </c>
      <c r="H1012">
        <f>IF($G1012="","",IF(Sync!$X1009="","",Sync!$X1009))</f>
        <v/>
      </c>
      <c r="I1012">
        <f>IF($G1012="","",IFERROR(VLOOKUP(Sync!$X1009,OpTbl,3,0),""))</f>
        <v/>
      </c>
      <c r="J1012">
        <f>IF(OR($G1012="",Sync!$Z1009=""),"",Sync!$Z1009)</f>
        <v/>
      </c>
      <c r="K1012">
        <f>IF(OR($G1012="",Sync!$AA1009=""),"",Sync!$AA1009)</f>
        <v/>
      </c>
      <c r="L1012">
        <f>IF($G1012="",0,IF(Sync!$AB1009="",0,Sync!$AB1009))</f>
        <v/>
      </c>
      <c r="M1012">
        <f>IF($G1012="",0,IF(Sync!$AC1009="",0,Sync!$AC1009))</f>
        <v/>
      </c>
      <c r="N1012">
        <f>IF($G1012="","",IF($H1012="مرجوعی خرید",-1,1)*($L1012-$M1012*IFERROR(VLOOKUP("P01",ParamTbl,3,0),1.5))*(1-IF($I1012="خرید",IFERROR(VLOOKUP("P02",ParamTbl,3,0),1),0)/100))</f>
        <v/>
      </c>
      <c r="O1012">
        <f>IF($G1012="",0,IF($H1012="مرجوعی خرید",-1,1)*IF(Sync!$AD1009="",0,Sync!$AD1009))</f>
        <v/>
      </c>
      <c r="P1012">
        <f>IF(OR($G1012="",Sync!$W1009=""),"",Sync!$W1009)</f>
        <v/>
      </c>
      <c r="Q1012">
        <f>IF(OR($G1012="",Sync!$AE1009=""),"",Sync!$AE1009)</f>
        <v/>
      </c>
      <c r="R1012">
        <f>IF($G1012="","",IF(Sync!$V1009="","0000",IF(AND(ISNUMBER(Sync!$V1009),Sync!$V1009&gt;=0,Sync!$V1009&lt;1),RIGHT("00"&amp;HOUR(Sync!$V1009),2)&amp;RIGHT("00"&amp;MINUTE(Sync!$V1009),2),IFERROR(RIGHT("00"&amp;VALUE(LEFT(Sync!$V1009,FIND(":",Sync!$V1009)-1)),2)&amp;RIGHT("00"&amp;VALUE(MID(Sync!$V1009,FIND(":",Sync!$V1009)+1,2)),2),"0000"))))</f>
        <v/>
      </c>
    </row>
    <row r="1013">
      <c r="A1013">
        <f>IF(Sync!$U1010="","",Sync!$U1010)</f>
        <v/>
      </c>
      <c r="B1013">
        <f>IF($A1013="","",IF(ISNUMBER($A1013),IF(AND($A1013&gt;=10000101,$A1013&lt;=99991231),INT($A1013/10000),""),IFERROR(VALUE(TRIM(LEFT($A1013,FIND("/",$A1013)-1))),"")))</f>
        <v/>
      </c>
      <c r="C1013">
        <f>IF(OR($A1013="",$B1013=""),"",IF(ISNUMBER($A1013),INT(MOD($A1013,10000)/100),IFERROR(VALUE(TRIM(LEFT(MID($A1013,FIND("/",$A1013)+1,20),FIND("/",MID($A1013,FIND("/",$A1013)+1,20))-1))),"")))</f>
        <v/>
      </c>
      <c r="D1013">
        <f>IF(OR($A1013="",$B1013=""),"",IF(ISNUMBER($A1013),MOD($A1013,100),IFERROR(VALUE(TRIM(MID(MID($A1013,FIND("/",$A1013)+1,20),FIND("/",MID($A1013,FIND("/",$A1013)+1,20))+1,20))),"")))</f>
        <v/>
      </c>
      <c r="E1013">
        <f>IF($A1013="","",IF(OR($B1013="",$C1013="",$D1013="",$B1013&lt;1300,$B1013&gt;1500,$C1013&lt;1,$C1013&gt;12,$D1013&lt;1,$D1013&gt;31),"نامعتبر",RIGHT("0000"&amp;$B1013,4)&amp;"/"&amp;RIGHT("00"&amp;$C1013,2)&amp;"/"&amp;RIGHT("00"&amp;$D1013,2)))</f>
        <v/>
      </c>
      <c r="F1013">
        <f>IF(OR($E1013="",$E1013="نامعتبر"),"",LEFT($E1013,4)&amp;"/"&amp;MID($E1013,6,2))</f>
        <v/>
      </c>
      <c r="G1013">
        <f>IF(OR($E1013="",$E1013="نامعتبر",Sync!$Y1010=""),"",Sync!$Y1010)</f>
        <v/>
      </c>
      <c r="H1013">
        <f>IF($G1013="","",IF(Sync!$X1010="","",Sync!$X1010))</f>
        <v/>
      </c>
      <c r="I1013">
        <f>IF($G1013="","",IFERROR(VLOOKUP(Sync!$X1010,OpTbl,3,0),""))</f>
        <v/>
      </c>
      <c r="J1013">
        <f>IF(OR($G1013="",Sync!$Z1010=""),"",Sync!$Z1010)</f>
        <v/>
      </c>
      <c r="K1013">
        <f>IF(OR($G1013="",Sync!$AA1010=""),"",Sync!$AA1010)</f>
        <v/>
      </c>
      <c r="L1013">
        <f>IF($G1013="",0,IF(Sync!$AB1010="",0,Sync!$AB1010))</f>
        <v/>
      </c>
      <c r="M1013">
        <f>IF($G1013="",0,IF(Sync!$AC1010="",0,Sync!$AC1010))</f>
        <v/>
      </c>
      <c r="N1013">
        <f>IF($G1013="","",IF($H1013="مرجوعی خرید",-1,1)*($L1013-$M1013*IFERROR(VLOOKUP("P01",ParamTbl,3,0),1.5))*(1-IF($I1013="خرید",IFERROR(VLOOKUP("P02",ParamTbl,3,0),1),0)/100))</f>
        <v/>
      </c>
      <c r="O1013">
        <f>IF($G1013="",0,IF($H1013="مرجوعی خرید",-1,1)*IF(Sync!$AD1010="",0,Sync!$AD1010))</f>
        <v/>
      </c>
      <c r="P1013">
        <f>IF(OR($G1013="",Sync!$W1010=""),"",Sync!$W1010)</f>
        <v/>
      </c>
      <c r="Q1013">
        <f>IF(OR($G1013="",Sync!$AE1010=""),"",Sync!$AE1010)</f>
        <v/>
      </c>
      <c r="R1013">
        <f>IF($G1013="","",IF(Sync!$V1010="","0000",IF(AND(ISNUMBER(Sync!$V1010),Sync!$V1010&gt;=0,Sync!$V1010&lt;1),RIGHT("00"&amp;HOUR(Sync!$V1010),2)&amp;RIGHT("00"&amp;MINUTE(Sync!$V1010),2),IFERROR(RIGHT("00"&amp;VALUE(LEFT(Sync!$V1010,FIND(":",Sync!$V1010)-1)),2)&amp;RIGHT("00"&amp;VALUE(MID(Sync!$V1010,FIND(":",Sync!$V1010)+1,2)),2),"0000"))))</f>
        <v/>
      </c>
    </row>
    <row r="1014">
      <c r="A1014">
        <f>IF(Sync!$U1011="","",Sync!$U1011)</f>
        <v/>
      </c>
      <c r="B1014">
        <f>IF($A1014="","",IF(ISNUMBER($A1014),IF(AND($A1014&gt;=10000101,$A1014&lt;=99991231),INT($A1014/10000),""),IFERROR(VALUE(TRIM(LEFT($A1014,FIND("/",$A1014)-1))),"")))</f>
        <v/>
      </c>
      <c r="C1014">
        <f>IF(OR($A1014="",$B1014=""),"",IF(ISNUMBER($A1014),INT(MOD($A1014,10000)/100),IFERROR(VALUE(TRIM(LEFT(MID($A1014,FIND("/",$A1014)+1,20),FIND("/",MID($A1014,FIND("/",$A1014)+1,20))-1))),"")))</f>
        <v/>
      </c>
      <c r="D1014">
        <f>IF(OR($A1014="",$B1014=""),"",IF(ISNUMBER($A1014),MOD($A1014,100),IFERROR(VALUE(TRIM(MID(MID($A1014,FIND("/",$A1014)+1,20),FIND("/",MID($A1014,FIND("/",$A1014)+1,20))+1,20))),"")))</f>
        <v/>
      </c>
      <c r="E1014">
        <f>IF($A1014="","",IF(OR($B1014="",$C1014="",$D1014="",$B1014&lt;1300,$B1014&gt;1500,$C1014&lt;1,$C1014&gt;12,$D1014&lt;1,$D1014&gt;31),"نامعتبر",RIGHT("0000"&amp;$B1014,4)&amp;"/"&amp;RIGHT("00"&amp;$C1014,2)&amp;"/"&amp;RIGHT("00"&amp;$D1014,2)))</f>
        <v/>
      </c>
      <c r="F1014">
        <f>IF(OR($E1014="",$E1014="نامعتبر"),"",LEFT($E1014,4)&amp;"/"&amp;MID($E1014,6,2))</f>
        <v/>
      </c>
      <c r="G1014">
        <f>IF(OR($E1014="",$E1014="نامعتبر",Sync!$Y1011=""),"",Sync!$Y1011)</f>
        <v/>
      </c>
      <c r="H1014">
        <f>IF($G1014="","",IF(Sync!$X1011="","",Sync!$X1011))</f>
        <v/>
      </c>
      <c r="I1014">
        <f>IF($G1014="","",IFERROR(VLOOKUP(Sync!$X1011,OpTbl,3,0),""))</f>
        <v/>
      </c>
      <c r="J1014">
        <f>IF(OR($G1014="",Sync!$Z1011=""),"",Sync!$Z1011)</f>
        <v/>
      </c>
      <c r="K1014">
        <f>IF(OR($G1014="",Sync!$AA1011=""),"",Sync!$AA1011)</f>
        <v/>
      </c>
      <c r="L1014">
        <f>IF($G1014="",0,IF(Sync!$AB1011="",0,Sync!$AB1011))</f>
        <v/>
      </c>
      <c r="M1014">
        <f>IF($G1014="",0,IF(Sync!$AC1011="",0,Sync!$AC1011))</f>
        <v/>
      </c>
      <c r="N1014">
        <f>IF($G1014="","",IF($H1014="مرجوعی خرید",-1,1)*($L1014-$M1014*IFERROR(VLOOKUP("P01",ParamTbl,3,0),1.5))*(1-IF($I1014="خرید",IFERROR(VLOOKUP("P02",ParamTbl,3,0),1),0)/100))</f>
        <v/>
      </c>
      <c r="O1014">
        <f>IF($G1014="",0,IF($H1014="مرجوعی خرید",-1,1)*IF(Sync!$AD1011="",0,Sync!$AD1011))</f>
        <v/>
      </c>
      <c r="P1014">
        <f>IF(OR($G1014="",Sync!$W1011=""),"",Sync!$W1011)</f>
        <v/>
      </c>
      <c r="Q1014">
        <f>IF(OR($G1014="",Sync!$AE1011=""),"",Sync!$AE1011)</f>
        <v/>
      </c>
      <c r="R1014">
        <f>IF($G1014="","",IF(Sync!$V1011="","0000",IF(AND(ISNUMBER(Sync!$V1011),Sync!$V1011&gt;=0,Sync!$V1011&lt;1),RIGHT("00"&amp;HOUR(Sync!$V1011),2)&amp;RIGHT("00"&amp;MINUTE(Sync!$V1011),2),IFERROR(RIGHT("00"&amp;VALUE(LEFT(Sync!$V1011,FIND(":",Sync!$V1011)-1)),2)&amp;RIGHT("00"&amp;VALUE(MID(Sync!$V1011,FIND(":",Sync!$V1011)+1,2)),2),"0000"))))</f>
        <v/>
      </c>
    </row>
    <row r="1015">
      <c r="A1015">
        <f>IF(Sync!$U1012="","",Sync!$U1012)</f>
        <v/>
      </c>
      <c r="B1015">
        <f>IF($A1015="","",IF(ISNUMBER($A1015),IF(AND($A1015&gt;=10000101,$A1015&lt;=99991231),INT($A1015/10000),""),IFERROR(VALUE(TRIM(LEFT($A1015,FIND("/",$A1015)-1))),"")))</f>
        <v/>
      </c>
      <c r="C1015">
        <f>IF(OR($A1015="",$B1015=""),"",IF(ISNUMBER($A1015),INT(MOD($A1015,10000)/100),IFERROR(VALUE(TRIM(LEFT(MID($A1015,FIND("/",$A1015)+1,20),FIND("/",MID($A1015,FIND("/",$A1015)+1,20))-1))),"")))</f>
        <v/>
      </c>
      <c r="D1015">
        <f>IF(OR($A1015="",$B1015=""),"",IF(ISNUMBER($A1015),MOD($A1015,100),IFERROR(VALUE(TRIM(MID(MID($A1015,FIND("/",$A1015)+1,20),FIND("/",MID($A1015,FIND("/",$A1015)+1,20))+1,20))),"")))</f>
        <v/>
      </c>
      <c r="E1015">
        <f>IF($A1015="","",IF(OR($B1015="",$C1015="",$D1015="",$B1015&lt;1300,$B1015&gt;1500,$C1015&lt;1,$C1015&gt;12,$D1015&lt;1,$D1015&gt;31),"نامعتبر",RIGHT("0000"&amp;$B1015,4)&amp;"/"&amp;RIGHT("00"&amp;$C1015,2)&amp;"/"&amp;RIGHT("00"&amp;$D1015,2)))</f>
        <v/>
      </c>
      <c r="F1015">
        <f>IF(OR($E1015="",$E1015="نامعتبر"),"",LEFT($E1015,4)&amp;"/"&amp;MID($E1015,6,2))</f>
        <v/>
      </c>
      <c r="G1015">
        <f>IF(OR($E1015="",$E1015="نامعتبر",Sync!$Y1012=""),"",Sync!$Y1012)</f>
        <v/>
      </c>
      <c r="H1015">
        <f>IF($G1015="","",IF(Sync!$X1012="","",Sync!$X1012))</f>
        <v/>
      </c>
      <c r="I1015">
        <f>IF($G1015="","",IFERROR(VLOOKUP(Sync!$X1012,OpTbl,3,0),""))</f>
        <v/>
      </c>
      <c r="J1015">
        <f>IF(OR($G1015="",Sync!$Z1012=""),"",Sync!$Z1012)</f>
        <v/>
      </c>
      <c r="K1015">
        <f>IF(OR($G1015="",Sync!$AA1012=""),"",Sync!$AA1012)</f>
        <v/>
      </c>
      <c r="L1015">
        <f>IF($G1015="",0,IF(Sync!$AB1012="",0,Sync!$AB1012))</f>
        <v/>
      </c>
      <c r="M1015">
        <f>IF($G1015="",0,IF(Sync!$AC1012="",0,Sync!$AC1012))</f>
        <v/>
      </c>
      <c r="N1015">
        <f>IF($G1015="","",IF($H1015="مرجوعی خرید",-1,1)*($L1015-$M1015*IFERROR(VLOOKUP("P01",ParamTbl,3,0),1.5))*(1-IF($I1015="خرید",IFERROR(VLOOKUP("P02",ParamTbl,3,0),1),0)/100))</f>
        <v/>
      </c>
      <c r="O1015">
        <f>IF($G1015="",0,IF($H1015="مرجوعی خرید",-1,1)*IF(Sync!$AD1012="",0,Sync!$AD1012))</f>
        <v/>
      </c>
      <c r="P1015">
        <f>IF(OR($G1015="",Sync!$W1012=""),"",Sync!$W1012)</f>
        <v/>
      </c>
      <c r="Q1015">
        <f>IF(OR($G1015="",Sync!$AE1012=""),"",Sync!$AE1012)</f>
        <v/>
      </c>
      <c r="R1015">
        <f>IF($G1015="","",IF(Sync!$V1012="","0000",IF(AND(ISNUMBER(Sync!$V1012),Sync!$V1012&gt;=0,Sync!$V1012&lt;1),RIGHT("00"&amp;HOUR(Sync!$V1012),2)&amp;RIGHT("00"&amp;MINUTE(Sync!$V1012),2),IFERROR(RIGHT("00"&amp;VALUE(LEFT(Sync!$V1012,FIND(":",Sync!$V1012)-1)),2)&amp;RIGHT("00"&amp;VALUE(MID(Sync!$V1012,FIND(":",Sync!$V1012)+1,2)),2),"0000"))))</f>
        <v/>
      </c>
    </row>
    <row r="1016">
      <c r="A1016">
        <f>IF(Sync!$U1013="","",Sync!$U1013)</f>
        <v/>
      </c>
      <c r="B1016">
        <f>IF($A1016="","",IF(ISNUMBER($A1016),IF(AND($A1016&gt;=10000101,$A1016&lt;=99991231),INT($A1016/10000),""),IFERROR(VALUE(TRIM(LEFT($A1016,FIND("/",$A1016)-1))),"")))</f>
        <v/>
      </c>
      <c r="C1016">
        <f>IF(OR($A1016="",$B1016=""),"",IF(ISNUMBER($A1016),INT(MOD($A1016,10000)/100),IFERROR(VALUE(TRIM(LEFT(MID($A1016,FIND("/",$A1016)+1,20),FIND("/",MID($A1016,FIND("/",$A1016)+1,20))-1))),"")))</f>
        <v/>
      </c>
      <c r="D1016">
        <f>IF(OR($A1016="",$B1016=""),"",IF(ISNUMBER($A1016),MOD($A1016,100),IFERROR(VALUE(TRIM(MID(MID($A1016,FIND("/",$A1016)+1,20),FIND("/",MID($A1016,FIND("/",$A1016)+1,20))+1,20))),"")))</f>
        <v/>
      </c>
      <c r="E1016">
        <f>IF($A1016="","",IF(OR($B1016="",$C1016="",$D1016="",$B1016&lt;1300,$B1016&gt;1500,$C1016&lt;1,$C1016&gt;12,$D1016&lt;1,$D1016&gt;31),"نامعتبر",RIGHT("0000"&amp;$B1016,4)&amp;"/"&amp;RIGHT("00"&amp;$C1016,2)&amp;"/"&amp;RIGHT("00"&amp;$D1016,2)))</f>
        <v/>
      </c>
      <c r="F1016">
        <f>IF(OR($E1016="",$E1016="نامعتبر"),"",LEFT($E1016,4)&amp;"/"&amp;MID($E1016,6,2))</f>
        <v/>
      </c>
      <c r="G1016">
        <f>IF(OR($E1016="",$E1016="نامعتبر",Sync!$Y1013=""),"",Sync!$Y1013)</f>
        <v/>
      </c>
      <c r="H1016">
        <f>IF($G1016="","",IF(Sync!$X1013="","",Sync!$X1013))</f>
        <v/>
      </c>
      <c r="I1016">
        <f>IF($G1016="","",IFERROR(VLOOKUP(Sync!$X1013,OpTbl,3,0),""))</f>
        <v/>
      </c>
      <c r="J1016">
        <f>IF(OR($G1016="",Sync!$Z1013=""),"",Sync!$Z1013)</f>
        <v/>
      </c>
      <c r="K1016">
        <f>IF(OR($G1016="",Sync!$AA1013=""),"",Sync!$AA1013)</f>
        <v/>
      </c>
      <c r="L1016">
        <f>IF($G1016="",0,IF(Sync!$AB1013="",0,Sync!$AB1013))</f>
        <v/>
      </c>
      <c r="M1016">
        <f>IF($G1016="",0,IF(Sync!$AC1013="",0,Sync!$AC1013))</f>
        <v/>
      </c>
      <c r="N1016">
        <f>IF($G1016="","",IF($H1016="مرجوعی خرید",-1,1)*($L1016-$M1016*IFERROR(VLOOKUP("P01",ParamTbl,3,0),1.5))*(1-IF($I1016="خرید",IFERROR(VLOOKUP("P02",ParamTbl,3,0),1),0)/100))</f>
        <v/>
      </c>
      <c r="O1016">
        <f>IF($G1016="",0,IF($H1016="مرجوعی خرید",-1,1)*IF(Sync!$AD1013="",0,Sync!$AD1013))</f>
        <v/>
      </c>
      <c r="P1016">
        <f>IF(OR($G1016="",Sync!$W1013=""),"",Sync!$W1013)</f>
        <v/>
      </c>
      <c r="Q1016">
        <f>IF(OR($G1016="",Sync!$AE1013=""),"",Sync!$AE1013)</f>
        <v/>
      </c>
      <c r="R1016">
        <f>IF($G1016="","",IF(Sync!$V1013="","0000",IF(AND(ISNUMBER(Sync!$V1013),Sync!$V1013&gt;=0,Sync!$V1013&lt;1),RIGHT("00"&amp;HOUR(Sync!$V1013),2)&amp;RIGHT("00"&amp;MINUTE(Sync!$V1013),2),IFERROR(RIGHT("00"&amp;VALUE(LEFT(Sync!$V1013,FIND(":",Sync!$V1013)-1)),2)&amp;RIGHT("00"&amp;VALUE(MID(Sync!$V1013,FIND(":",Sync!$V1013)+1,2)),2),"0000"))))</f>
        <v/>
      </c>
    </row>
    <row r="1017">
      <c r="A1017">
        <f>IF(Sync!$U1014="","",Sync!$U1014)</f>
        <v/>
      </c>
      <c r="B1017">
        <f>IF($A1017="","",IF(ISNUMBER($A1017),IF(AND($A1017&gt;=10000101,$A1017&lt;=99991231),INT($A1017/10000),""),IFERROR(VALUE(TRIM(LEFT($A1017,FIND("/",$A1017)-1))),"")))</f>
        <v/>
      </c>
      <c r="C1017">
        <f>IF(OR($A1017="",$B1017=""),"",IF(ISNUMBER($A1017),INT(MOD($A1017,10000)/100),IFERROR(VALUE(TRIM(LEFT(MID($A1017,FIND("/",$A1017)+1,20),FIND("/",MID($A1017,FIND("/",$A1017)+1,20))-1))),"")))</f>
        <v/>
      </c>
      <c r="D1017">
        <f>IF(OR($A1017="",$B1017=""),"",IF(ISNUMBER($A1017),MOD($A1017,100),IFERROR(VALUE(TRIM(MID(MID($A1017,FIND("/",$A1017)+1,20),FIND("/",MID($A1017,FIND("/",$A1017)+1,20))+1,20))),"")))</f>
        <v/>
      </c>
      <c r="E1017">
        <f>IF($A1017="","",IF(OR($B1017="",$C1017="",$D1017="",$B1017&lt;1300,$B1017&gt;1500,$C1017&lt;1,$C1017&gt;12,$D1017&lt;1,$D1017&gt;31),"نامعتبر",RIGHT("0000"&amp;$B1017,4)&amp;"/"&amp;RIGHT("00"&amp;$C1017,2)&amp;"/"&amp;RIGHT("00"&amp;$D1017,2)))</f>
        <v/>
      </c>
      <c r="F1017">
        <f>IF(OR($E1017="",$E1017="نامعتبر"),"",LEFT($E1017,4)&amp;"/"&amp;MID($E1017,6,2))</f>
        <v/>
      </c>
      <c r="G1017">
        <f>IF(OR($E1017="",$E1017="نامعتبر",Sync!$Y1014=""),"",Sync!$Y1014)</f>
        <v/>
      </c>
      <c r="H1017">
        <f>IF($G1017="","",IF(Sync!$X1014="","",Sync!$X1014))</f>
        <v/>
      </c>
      <c r="I1017">
        <f>IF($G1017="","",IFERROR(VLOOKUP(Sync!$X1014,OpTbl,3,0),""))</f>
        <v/>
      </c>
      <c r="J1017">
        <f>IF(OR($G1017="",Sync!$Z1014=""),"",Sync!$Z1014)</f>
        <v/>
      </c>
      <c r="K1017">
        <f>IF(OR($G1017="",Sync!$AA1014=""),"",Sync!$AA1014)</f>
        <v/>
      </c>
      <c r="L1017">
        <f>IF($G1017="",0,IF(Sync!$AB1014="",0,Sync!$AB1014))</f>
        <v/>
      </c>
      <c r="M1017">
        <f>IF($G1017="",0,IF(Sync!$AC1014="",0,Sync!$AC1014))</f>
        <v/>
      </c>
      <c r="N1017">
        <f>IF($G1017="","",IF($H1017="مرجوعی خرید",-1,1)*($L1017-$M1017*IFERROR(VLOOKUP("P01",ParamTbl,3,0),1.5))*(1-IF($I1017="خرید",IFERROR(VLOOKUP("P02",ParamTbl,3,0),1),0)/100))</f>
        <v/>
      </c>
      <c r="O1017">
        <f>IF($G1017="",0,IF($H1017="مرجوعی خرید",-1,1)*IF(Sync!$AD1014="",0,Sync!$AD1014))</f>
        <v/>
      </c>
      <c r="P1017">
        <f>IF(OR($G1017="",Sync!$W1014=""),"",Sync!$W1014)</f>
        <v/>
      </c>
      <c r="Q1017">
        <f>IF(OR($G1017="",Sync!$AE1014=""),"",Sync!$AE1014)</f>
        <v/>
      </c>
      <c r="R1017">
        <f>IF($G1017="","",IF(Sync!$V1014="","0000",IF(AND(ISNUMBER(Sync!$V1014),Sync!$V1014&gt;=0,Sync!$V1014&lt;1),RIGHT("00"&amp;HOUR(Sync!$V1014),2)&amp;RIGHT("00"&amp;MINUTE(Sync!$V1014),2),IFERROR(RIGHT("00"&amp;VALUE(LEFT(Sync!$V1014,FIND(":",Sync!$V1014)-1)),2)&amp;RIGHT("00"&amp;VALUE(MID(Sync!$V1014,FIND(":",Sync!$V1014)+1,2)),2),"0000"))))</f>
        <v/>
      </c>
    </row>
    <row r="1018">
      <c r="A1018">
        <f>IF(Sync!$U1015="","",Sync!$U1015)</f>
        <v/>
      </c>
      <c r="B1018">
        <f>IF($A1018="","",IF(ISNUMBER($A1018),IF(AND($A1018&gt;=10000101,$A1018&lt;=99991231),INT($A1018/10000),""),IFERROR(VALUE(TRIM(LEFT($A1018,FIND("/",$A1018)-1))),"")))</f>
        <v/>
      </c>
      <c r="C1018">
        <f>IF(OR($A1018="",$B1018=""),"",IF(ISNUMBER($A1018),INT(MOD($A1018,10000)/100),IFERROR(VALUE(TRIM(LEFT(MID($A1018,FIND("/",$A1018)+1,20),FIND("/",MID($A1018,FIND("/",$A1018)+1,20))-1))),"")))</f>
        <v/>
      </c>
      <c r="D1018">
        <f>IF(OR($A1018="",$B1018=""),"",IF(ISNUMBER($A1018),MOD($A1018,100),IFERROR(VALUE(TRIM(MID(MID($A1018,FIND("/",$A1018)+1,20),FIND("/",MID($A1018,FIND("/",$A1018)+1,20))+1,20))),"")))</f>
        <v/>
      </c>
      <c r="E1018">
        <f>IF($A1018="","",IF(OR($B1018="",$C1018="",$D1018="",$B1018&lt;1300,$B1018&gt;1500,$C1018&lt;1,$C1018&gt;12,$D1018&lt;1,$D1018&gt;31),"نامعتبر",RIGHT("0000"&amp;$B1018,4)&amp;"/"&amp;RIGHT("00"&amp;$C1018,2)&amp;"/"&amp;RIGHT("00"&amp;$D1018,2)))</f>
        <v/>
      </c>
      <c r="F1018">
        <f>IF(OR($E1018="",$E1018="نامعتبر"),"",LEFT($E1018,4)&amp;"/"&amp;MID($E1018,6,2))</f>
        <v/>
      </c>
      <c r="G1018">
        <f>IF(OR($E1018="",$E1018="نامعتبر",Sync!$Y1015=""),"",Sync!$Y1015)</f>
        <v/>
      </c>
      <c r="H1018">
        <f>IF($G1018="","",IF(Sync!$X1015="","",Sync!$X1015))</f>
        <v/>
      </c>
      <c r="I1018">
        <f>IF($G1018="","",IFERROR(VLOOKUP(Sync!$X1015,OpTbl,3,0),""))</f>
        <v/>
      </c>
      <c r="J1018">
        <f>IF(OR($G1018="",Sync!$Z1015=""),"",Sync!$Z1015)</f>
        <v/>
      </c>
      <c r="K1018">
        <f>IF(OR($G1018="",Sync!$AA1015=""),"",Sync!$AA1015)</f>
        <v/>
      </c>
      <c r="L1018">
        <f>IF($G1018="",0,IF(Sync!$AB1015="",0,Sync!$AB1015))</f>
        <v/>
      </c>
      <c r="M1018">
        <f>IF($G1018="",0,IF(Sync!$AC1015="",0,Sync!$AC1015))</f>
        <v/>
      </c>
      <c r="N1018">
        <f>IF($G1018="","",IF($H1018="مرجوعی خرید",-1,1)*($L1018-$M1018*IFERROR(VLOOKUP("P01",ParamTbl,3,0),1.5))*(1-IF($I1018="خرید",IFERROR(VLOOKUP("P02",ParamTbl,3,0),1),0)/100))</f>
        <v/>
      </c>
      <c r="O1018">
        <f>IF($G1018="",0,IF($H1018="مرجوعی خرید",-1,1)*IF(Sync!$AD1015="",0,Sync!$AD1015))</f>
        <v/>
      </c>
      <c r="P1018">
        <f>IF(OR($G1018="",Sync!$W1015=""),"",Sync!$W1015)</f>
        <v/>
      </c>
      <c r="Q1018">
        <f>IF(OR($G1018="",Sync!$AE1015=""),"",Sync!$AE1015)</f>
        <v/>
      </c>
      <c r="R1018">
        <f>IF($G1018="","",IF(Sync!$V1015="","0000",IF(AND(ISNUMBER(Sync!$V1015),Sync!$V1015&gt;=0,Sync!$V1015&lt;1),RIGHT("00"&amp;HOUR(Sync!$V1015),2)&amp;RIGHT("00"&amp;MINUTE(Sync!$V1015),2),IFERROR(RIGHT("00"&amp;VALUE(LEFT(Sync!$V1015,FIND(":",Sync!$V1015)-1)),2)&amp;RIGHT("00"&amp;VALUE(MID(Sync!$V1015,FIND(":",Sync!$V1015)+1,2)),2),"0000"))))</f>
        <v/>
      </c>
    </row>
    <row r="1019">
      <c r="A1019">
        <f>IF(Sync!$U1016="","",Sync!$U1016)</f>
        <v/>
      </c>
      <c r="B1019">
        <f>IF($A1019="","",IF(ISNUMBER($A1019),IF(AND($A1019&gt;=10000101,$A1019&lt;=99991231),INT($A1019/10000),""),IFERROR(VALUE(TRIM(LEFT($A1019,FIND("/",$A1019)-1))),"")))</f>
        <v/>
      </c>
      <c r="C1019">
        <f>IF(OR($A1019="",$B1019=""),"",IF(ISNUMBER($A1019),INT(MOD($A1019,10000)/100),IFERROR(VALUE(TRIM(LEFT(MID($A1019,FIND("/",$A1019)+1,20),FIND("/",MID($A1019,FIND("/",$A1019)+1,20))-1))),"")))</f>
        <v/>
      </c>
      <c r="D1019">
        <f>IF(OR($A1019="",$B1019=""),"",IF(ISNUMBER($A1019),MOD($A1019,100),IFERROR(VALUE(TRIM(MID(MID($A1019,FIND("/",$A1019)+1,20),FIND("/",MID($A1019,FIND("/",$A1019)+1,20))+1,20))),"")))</f>
        <v/>
      </c>
      <c r="E1019">
        <f>IF($A1019="","",IF(OR($B1019="",$C1019="",$D1019="",$B1019&lt;1300,$B1019&gt;1500,$C1019&lt;1,$C1019&gt;12,$D1019&lt;1,$D1019&gt;31),"نامعتبر",RIGHT("0000"&amp;$B1019,4)&amp;"/"&amp;RIGHT("00"&amp;$C1019,2)&amp;"/"&amp;RIGHT("00"&amp;$D1019,2)))</f>
        <v/>
      </c>
      <c r="F1019">
        <f>IF(OR($E1019="",$E1019="نامعتبر"),"",LEFT($E1019,4)&amp;"/"&amp;MID($E1019,6,2))</f>
        <v/>
      </c>
      <c r="G1019">
        <f>IF(OR($E1019="",$E1019="نامعتبر",Sync!$Y1016=""),"",Sync!$Y1016)</f>
        <v/>
      </c>
      <c r="H1019">
        <f>IF($G1019="","",IF(Sync!$X1016="","",Sync!$X1016))</f>
        <v/>
      </c>
      <c r="I1019">
        <f>IF($G1019="","",IFERROR(VLOOKUP(Sync!$X1016,OpTbl,3,0),""))</f>
        <v/>
      </c>
      <c r="J1019">
        <f>IF(OR($G1019="",Sync!$Z1016=""),"",Sync!$Z1016)</f>
        <v/>
      </c>
      <c r="K1019">
        <f>IF(OR($G1019="",Sync!$AA1016=""),"",Sync!$AA1016)</f>
        <v/>
      </c>
      <c r="L1019">
        <f>IF($G1019="",0,IF(Sync!$AB1016="",0,Sync!$AB1016))</f>
        <v/>
      </c>
      <c r="M1019">
        <f>IF($G1019="",0,IF(Sync!$AC1016="",0,Sync!$AC1016))</f>
        <v/>
      </c>
      <c r="N1019">
        <f>IF($G1019="","",IF($H1019="مرجوعی خرید",-1,1)*($L1019-$M1019*IFERROR(VLOOKUP("P01",ParamTbl,3,0),1.5))*(1-IF($I1019="خرید",IFERROR(VLOOKUP("P02",ParamTbl,3,0),1),0)/100))</f>
        <v/>
      </c>
      <c r="O1019">
        <f>IF($G1019="",0,IF($H1019="مرجوعی خرید",-1,1)*IF(Sync!$AD1016="",0,Sync!$AD1016))</f>
        <v/>
      </c>
      <c r="P1019">
        <f>IF(OR($G1019="",Sync!$W1016=""),"",Sync!$W1016)</f>
        <v/>
      </c>
      <c r="Q1019">
        <f>IF(OR($G1019="",Sync!$AE1016=""),"",Sync!$AE1016)</f>
        <v/>
      </c>
      <c r="R1019">
        <f>IF($G1019="","",IF(Sync!$V1016="","0000",IF(AND(ISNUMBER(Sync!$V1016),Sync!$V1016&gt;=0,Sync!$V1016&lt;1),RIGHT("00"&amp;HOUR(Sync!$V1016),2)&amp;RIGHT("00"&amp;MINUTE(Sync!$V1016),2),IFERROR(RIGHT("00"&amp;VALUE(LEFT(Sync!$V1016,FIND(":",Sync!$V1016)-1)),2)&amp;RIGHT("00"&amp;VALUE(MID(Sync!$V1016,FIND(":",Sync!$V1016)+1,2)),2),"0000"))))</f>
        <v/>
      </c>
    </row>
    <row r="1020">
      <c r="A1020">
        <f>IF(Sync!$U1017="","",Sync!$U1017)</f>
        <v/>
      </c>
      <c r="B1020">
        <f>IF($A1020="","",IF(ISNUMBER($A1020),IF(AND($A1020&gt;=10000101,$A1020&lt;=99991231),INT($A1020/10000),""),IFERROR(VALUE(TRIM(LEFT($A1020,FIND("/",$A1020)-1))),"")))</f>
        <v/>
      </c>
      <c r="C1020">
        <f>IF(OR($A1020="",$B1020=""),"",IF(ISNUMBER($A1020),INT(MOD($A1020,10000)/100),IFERROR(VALUE(TRIM(LEFT(MID($A1020,FIND("/",$A1020)+1,20),FIND("/",MID($A1020,FIND("/",$A1020)+1,20))-1))),"")))</f>
        <v/>
      </c>
      <c r="D1020">
        <f>IF(OR($A1020="",$B1020=""),"",IF(ISNUMBER($A1020),MOD($A1020,100),IFERROR(VALUE(TRIM(MID(MID($A1020,FIND("/",$A1020)+1,20),FIND("/",MID($A1020,FIND("/",$A1020)+1,20))+1,20))),"")))</f>
        <v/>
      </c>
      <c r="E1020">
        <f>IF($A1020="","",IF(OR($B1020="",$C1020="",$D1020="",$B1020&lt;1300,$B1020&gt;1500,$C1020&lt;1,$C1020&gt;12,$D1020&lt;1,$D1020&gt;31),"نامعتبر",RIGHT("0000"&amp;$B1020,4)&amp;"/"&amp;RIGHT("00"&amp;$C1020,2)&amp;"/"&amp;RIGHT("00"&amp;$D1020,2)))</f>
        <v/>
      </c>
      <c r="F1020">
        <f>IF(OR($E1020="",$E1020="نامعتبر"),"",LEFT($E1020,4)&amp;"/"&amp;MID($E1020,6,2))</f>
        <v/>
      </c>
      <c r="G1020">
        <f>IF(OR($E1020="",$E1020="نامعتبر",Sync!$Y1017=""),"",Sync!$Y1017)</f>
        <v/>
      </c>
      <c r="H1020">
        <f>IF($G1020="","",IF(Sync!$X1017="","",Sync!$X1017))</f>
        <v/>
      </c>
      <c r="I1020">
        <f>IF($G1020="","",IFERROR(VLOOKUP(Sync!$X1017,OpTbl,3,0),""))</f>
        <v/>
      </c>
      <c r="J1020">
        <f>IF(OR($G1020="",Sync!$Z1017=""),"",Sync!$Z1017)</f>
        <v/>
      </c>
      <c r="K1020">
        <f>IF(OR($G1020="",Sync!$AA1017=""),"",Sync!$AA1017)</f>
        <v/>
      </c>
      <c r="L1020">
        <f>IF($G1020="",0,IF(Sync!$AB1017="",0,Sync!$AB1017))</f>
        <v/>
      </c>
      <c r="M1020">
        <f>IF($G1020="",0,IF(Sync!$AC1017="",0,Sync!$AC1017))</f>
        <v/>
      </c>
      <c r="N1020">
        <f>IF($G1020="","",IF($H1020="مرجوعی خرید",-1,1)*($L1020-$M1020*IFERROR(VLOOKUP("P01",ParamTbl,3,0),1.5))*(1-IF($I1020="خرید",IFERROR(VLOOKUP("P02",ParamTbl,3,0),1),0)/100))</f>
        <v/>
      </c>
      <c r="O1020">
        <f>IF($G1020="",0,IF($H1020="مرجوعی خرید",-1,1)*IF(Sync!$AD1017="",0,Sync!$AD1017))</f>
        <v/>
      </c>
      <c r="P1020">
        <f>IF(OR($G1020="",Sync!$W1017=""),"",Sync!$W1017)</f>
        <v/>
      </c>
      <c r="Q1020">
        <f>IF(OR($G1020="",Sync!$AE1017=""),"",Sync!$AE1017)</f>
        <v/>
      </c>
      <c r="R1020">
        <f>IF($G1020="","",IF(Sync!$V1017="","0000",IF(AND(ISNUMBER(Sync!$V1017),Sync!$V1017&gt;=0,Sync!$V1017&lt;1),RIGHT("00"&amp;HOUR(Sync!$V1017),2)&amp;RIGHT("00"&amp;MINUTE(Sync!$V1017),2),IFERROR(RIGHT("00"&amp;VALUE(LEFT(Sync!$V1017,FIND(":",Sync!$V1017)-1)),2)&amp;RIGHT("00"&amp;VALUE(MID(Sync!$V1017,FIND(":",Sync!$V1017)+1,2)),2),"0000"))))</f>
        <v/>
      </c>
    </row>
    <row r="1021">
      <c r="A1021">
        <f>IF(Sync!$U1018="","",Sync!$U1018)</f>
        <v/>
      </c>
      <c r="B1021">
        <f>IF($A1021="","",IF(ISNUMBER($A1021),IF(AND($A1021&gt;=10000101,$A1021&lt;=99991231),INT($A1021/10000),""),IFERROR(VALUE(TRIM(LEFT($A1021,FIND("/",$A1021)-1))),"")))</f>
        <v/>
      </c>
      <c r="C1021">
        <f>IF(OR($A1021="",$B1021=""),"",IF(ISNUMBER($A1021),INT(MOD($A1021,10000)/100),IFERROR(VALUE(TRIM(LEFT(MID($A1021,FIND("/",$A1021)+1,20),FIND("/",MID($A1021,FIND("/",$A1021)+1,20))-1))),"")))</f>
        <v/>
      </c>
      <c r="D1021">
        <f>IF(OR($A1021="",$B1021=""),"",IF(ISNUMBER($A1021),MOD($A1021,100),IFERROR(VALUE(TRIM(MID(MID($A1021,FIND("/",$A1021)+1,20),FIND("/",MID($A1021,FIND("/",$A1021)+1,20))+1,20))),"")))</f>
        <v/>
      </c>
      <c r="E1021">
        <f>IF($A1021="","",IF(OR($B1021="",$C1021="",$D1021="",$B1021&lt;1300,$B1021&gt;1500,$C1021&lt;1,$C1021&gt;12,$D1021&lt;1,$D1021&gt;31),"نامعتبر",RIGHT("0000"&amp;$B1021,4)&amp;"/"&amp;RIGHT("00"&amp;$C1021,2)&amp;"/"&amp;RIGHT("00"&amp;$D1021,2)))</f>
        <v/>
      </c>
      <c r="F1021">
        <f>IF(OR($E1021="",$E1021="نامعتبر"),"",LEFT($E1021,4)&amp;"/"&amp;MID($E1021,6,2))</f>
        <v/>
      </c>
      <c r="G1021">
        <f>IF(OR($E1021="",$E1021="نامعتبر",Sync!$Y1018=""),"",Sync!$Y1018)</f>
        <v/>
      </c>
      <c r="H1021">
        <f>IF($G1021="","",IF(Sync!$X1018="","",Sync!$X1018))</f>
        <v/>
      </c>
      <c r="I1021">
        <f>IF($G1021="","",IFERROR(VLOOKUP(Sync!$X1018,OpTbl,3,0),""))</f>
        <v/>
      </c>
      <c r="J1021">
        <f>IF(OR($G1021="",Sync!$Z1018=""),"",Sync!$Z1018)</f>
        <v/>
      </c>
      <c r="K1021">
        <f>IF(OR($G1021="",Sync!$AA1018=""),"",Sync!$AA1018)</f>
        <v/>
      </c>
      <c r="L1021">
        <f>IF($G1021="",0,IF(Sync!$AB1018="",0,Sync!$AB1018))</f>
        <v/>
      </c>
      <c r="M1021">
        <f>IF($G1021="",0,IF(Sync!$AC1018="",0,Sync!$AC1018))</f>
        <v/>
      </c>
      <c r="N1021">
        <f>IF($G1021="","",IF($H1021="مرجوعی خرید",-1,1)*($L1021-$M1021*IFERROR(VLOOKUP("P01",ParamTbl,3,0),1.5))*(1-IF($I1021="خرید",IFERROR(VLOOKUP("P02",ParamTbl,3,0),1),0)/100))</f>
        <v/>
      </c>
      <c r="O1021">
        <f>IF($G1021="",0,IF($H1021="مرجوعی خرید",-1,1)*IF(Sync!$AD1018="",0,Sync!$AD1018))</f>
        <v/>
      </c>
      <c r="P1021">
        <f>IF(OR($G1021="",Sync!$W1018=""),"",Sync!$W1018)</f>
        <v/>
      </c>
      <c r="Q1021">
        <f>IF(OR($G1021="",Sync!$AE1018=""),"",Sync!$AE1018)</f>
        <v/>
      </c>
      <c r="R1021">
        <f>IF($G1021="","",IF(Sync!$V1018="","0000",IF(AND(ISNUMBER(Sync!$V1018),Sync!$V1018&gt;=0,Sync!$V1018&lt;1),RIGHT("00"&amp;HOUR(Sync!$V1018),2)&amp;RIGHT("00"&amp;MINUTE(Sync!$V1018),2),IFERROR(RIGHT("00"&amp;VALUE(LEFT(Sync!$V1018,FIND(":",Sync!$V1018)-1)),2)&amp;RIGHT("00"&amp;VALUE(MID(Sync!$V1018,FIND(":",Sync!$V1018)+1,2)),2),"0000"))))</f>
        <v/>
      </c>
    </row>
    <row r="1022">
      <c r="A1022">
        <f>IF(Sync!$U1019="","",Sync!$U1019)</f>
        <v/>
      </c>
      <c r="B1022">
        <f>IF($A1022="","",IF(ISNUMBER($A1022),IF(AND($A1022&gt;=10000101,$A1022&lt;=99991231),INT($A1022/10000),""),IFERROR(VALUE(TRIM(LEFT($A1022,FIND("/",$A1022)-1))),"")))</f>
        <v/>
      </c>
      <c r="C1022">
        <f>IF(OR($A1022="",$B1022=""),"",IF(ISNUMBER($A1022),INT(MOD($A1022,10000)/100),IFERROR(VALUE(TRIM(LEFT(MID($A1022,FIND("/",$A1022)+1,20),FIND("/",MID($A1022,FIND("/",$A1022)+1,20))-1))),"")))</f>
        <v/>
      </c>
      <c r="D1022">
        <f>IF(OR($A1022="",$B1022=""),"",IF(ISNUMBER($A1022),MOD($A1022,100),IFERROR(VALUE(TRIM(MID(MID($A1022,FIND("/",$A1022)+1,20),FIND("/",MID($A1022,FIND("/",$A1022)+1,20))+1,20))),"")))</f>
        <v/>
      </c>
      <c r="E1022">
        <f>IF($A1022="","",IF(OR($B1022="",$C1022="",$D1022="",$B1022&lt;1300,$B1022&gt;1500,$C1022&lt;1,$C1022&gt;12,$D1022&lt;1,$D1022&gt;31),"نامعتبر",RIGHT("0000"&amp;$B1022,4)&amp;"/"&amp;RIGHT("00"&amp;$C1022,2)&amp;"/"&amp;RIGHT("00"&amp;$D1022,2)))</f>
        <v/>
      </c>
      <c r="F1022">
        <f>IF(OR($E1022="",$E1022="نامعتبر"),"",LEFT($E1022,4)&amp;"/"&amp;MID($E1022,6,2))</f>
        <v/>
      </c>
      <c r="G1022">
        <f>IF(OR($E1022="",$E1022="نامعتبر",Sync!$Y1019=""),"",Sync!$Y1019)</f>
        <v/>
      </c>
      <c r="H1022">
        <f>IF($G1022="","",IF(Sync!$X1019="","",Sync!$X1019))</f>
        <v/>
      </c>
      <c r="I1022">
        <f>IF($G1022="","",IFERROR(VLOOKUP(Sync!$X1019,OpTbl,3,0),""))</f>
        <v/>
      </c>
      <c r="J1022">
        <f>IF(OR($G1022="",Sync!$Z1019=""),"",Sync!$Z1019)</f>
        <v/>
      </c>
      <c r="K1022">
        <f>IF(OR($G1022="",Sync!$AA1019=""),"",Sync!$AA1019)</f>
        <v/>
      </c>
      <c r="L1022">
        <f>IF($G1022="",0,IF(Sync!$AB1019="",0,Sync!$AB1019))</f>
        <v/>
      </c>
      <c r="M1022">
        <f>IF($G1022="",0,IF(Sync!$AC1019="",0,Sync!$AC1019))</f>
        <v/>
      </c>
      <c r="N1022">
        <f>IF($G1022="","",IF($H1022="مرجوعی خرید",-1,1)*($L1022-$M1022*IFERROR(VLOOKUP("P01",ParamTbl,3,0),1.5))*(1-IF($I1022="خرید",IFERROR(VLOOKUP("P02",ParamTbl,3,0),1),0)/100))</f>
        <v/>
      </c>
      <c r="O1022">
        <f>IF($G1022="",0,IF($H1022="مرجوعی خرید",-1,1)*IF(Sync!$AD1019="",0,Sync!$AD1019))</f>
        <v/>
      </c>
      <c r="P1022">
        <f>IF(OR($G1022="",Sync!$W1019=""),"",Sync!$W1019)</f>
        <v/>
      </c>
      <c r="Q1022">
        <f>IF(OR($G1022="",Sync!$AE1019=""),"",Sync!$AE1019)</f>
        <v/>
      </c>
      <c r="R1022">
        <f>IF($G1022="","",IF(Sync!$V1019="","0000",IF(AND(ISNUMBER(Sync!$V1019),Sync!$V1019&gt;=0,Sync!$V1019&lt;1),RIGHT("00"&amp;HOUR(Sync!$V1019),2)&amp;RIGHT("00"&amp;MINUTE(Sync!$V1019),2),IFERROR(RIGHT("00"&amp;VALUE(LEFT(Sync!$V1019,FIND(":",Sync!$V1019)-1)),2)&amp;RIGHT("00"&amp;VALUE(MID(Sync!$V1019,FIND(":",Sync!$V1019)+1,2)),2),"0000"))))</f>
        <v/>
      </c>
    </row>
    <row r="1023">
      <c r="A1023">
        <f>IF(Sync!$U1020="","",Sync!$U1020)</f>
        <v/>
      </c>
      <c r="B1023">
        <f>IF($A1023="","",IF(ISNUMBER($A1023),IF(AND($A1023&gt;=10000101,$A1023&lt;=99991231),INT($A1023/10000),""),IFERROR(VALUE(TRIM(LEFT($A1023,FIND("/",$A1023)-1))),"")))</f>
        <v/>
      </c>
      <c r="C1023">
        <f>IF(OR($A1023="",$B1023=""),"",IF(ISNUMBER($A1023),INT(MOD($A1023,10000)/100),IFERROR(VALUE(TRIM(LEFT(MID($A1023,FIND("/",$A1023)+1,20),FIND("/",MID($A1023,FIND("/",$A1023)+1,20))-1))),"")))</f>
        <v/>
      </c>
      <c r="D1023">
        <f>IF(OR($A1023="",$B1023=""),"",IF(ISNUMBER($A1023),MOD($A1023,100),IFERROR(VALUE(TRIM(MID(MID($A1023,FIND("/",$A1023)+1,20),FIND("/",MID($A1023,FIND("/",$A1023)+1,20))+1,20))),"")))</f>
        <v/>
      </c>
      <c r="E1023">
        <f>IF($A1023="","",IF(OR($B1023="",$C1023="",$D1023="",$B1023&lt;1300,$B1023&gt;1500,$C1023&lt;1,$C1023&gt;12,$D1023&lt;1,$D1023&gt;31),"نامعتبر",RIGHT("0000"&amp;$B1023,4)&amp;"/"&amp;RIGHT("00"&amp;$C1023,2)&amp;"/"&amp;RIGHT("00"&amp;$D1023,2)))</f>
        <v/>
      </c>
      <c r="F1023">
        <f>IF(OR($E1023="",$E1023="نامعتبر"),"",LEFT($E1023,4)&amp;"/"&amp;MID($E1023,6,2))</f>
        <v/>
      </c>
      <c r="G1023">
        <f>IF(OR($E1023="",$E1023="نامعتبر",Sync!$Y1020=""),"",Sync!$Y1020)</f>
        <v/>
      </c>
      <c r="H1023">
        <f>IF($G1023="","",IF(Sync!$X1020="","",Sync!$X1020))</f>
        <v/>
      </c>
      <c r="I1023">
        <f>IF($G1023="","",IFERROR(VLOOKUP(Sync!$X1020,OpTbl,3,0),""))</f>
        <v/>
      </c>
      <c r="J1023">
        <f>IF(OR($G1023="",Sync!$Z1020=""),"",Sync!$Z1020)</f>
        <v/>
      </c>
      <c r="K1023">
        <f>IF(OR($G1023="",Sync!$AA1020=""),"",Sync!$AA1020)</f>
        <v/>
      </c>
      <c r="L1023">
        <f>IF($G1023="",0,IF(Sync!$AB1020="",0,Sync!$AB1020))</f>
        <v/>
      </c>
      <c r="M1023">
        <f>IF($G1023="",0,IF(Sync!$AC1020="",0,Sync!$AC1020))</f>
        <v/>
      </c>
      <c r="N1023">
        <f>IF($G1023="","",IF($H1023="مرجوعی خرید",-1,1)*($L1023-$M1023*IFERROR(VLOOKUP("P01",ParamTbl,3,0),1.5))*(1-IF($I1023="خرید",IFERROR(VLOOKUP("P02",ParamTbl,3,0),1),0)/100))</f>
        <v/>
      </c>
      <c r="O1023">
        <f>IF($G1023="",0,IF($H1023="مرجوعی خرید",-1,1)*IF(Sync!$AD1020="",0,Sync!$AD1020))</f>
        <v/>
      </c>
      <c r="P1023">
        <f>IF(OR($G1023="",Sync!$W1020=""),"",Sync!$W1020)</f>
        <v/>
      </c>
      <c r="Q1023">
        <f>IF(OR($G1023="",Sync!$AE1020=""),"",Sync!$AE1020)</f>
        <v/>
      </c>
      <c r="R1023">
        <f>IF($G1023="","",IF(Sync!$V1020="","0000",IF(AND(ISNUMBER(Sync!$V1020),Sync!$V1020&gt;=0,Sync!$V1020&lt;1),RIGHT("00"&amp;HOUR(Sync!$V1020),2)&amp;RIGHT("00"&amp;MINUTE(Sync!$V1020),2),IFERROR(RIGHT("00"&amp;VALUE(LEFT(Sync!$V1020,FIND(":",Sync!$V1020)-1)),2)&amp;RIGHT("00"&amp;VALUE(MID(Sync!$V1020,FIND(":",Sync!$V1020)+1,2)),2),"0000"))))</f>
        <v/>
      </c>
    </row>
    <row r="1024">
      <c r="A1024">
        <f>IF(Sync!$U1021="","",Sync!$U1021)</f>
        <v/>
      </c>
      <c r="B1024">
        <f>IF($A1024="","",IF(ISNUMBER($A1024),IF(AND($A1024&gt;=10000101,$A1024&lt;=99991231),INT($A1024/10000),""),IFERROR(VALUE(TRIM(LEFT($A1024,FIND("/",$A1024)-1))),"")))</f>
        <v/>
      </c>
      <c r="C1024">
        <f>IF(OR($A1024="",$B1024=""),"",IF(ISNUMBER($A1024),INT(MOD($A1024,10000)/100),IFERROR(VALUE(TRIM(LEFT(MID($A1024,FIND("/",$A1024)+1,20),FIND("/",MID($A1024,FIND("/",$A1024)+1,20))-1))),"")))</f>
        <v/>
      </c>
      <c r="D1024">
        <f>IF(OR($A1024="",$B1024=""),"",IF(ISNUMBER($A1024),MOD($A1024,100),IFERROR(VALUE(TRIM(MID(MID($A1024,FIND("/",$A1024)+1,20),FIND("/",MID($A1024,FIND("/",$A1024)+1,20))+1,20))),"")))</f>
        <v/>
      </c>
      <c r="E1024">
        <f>IF($A1024="","",IF(OR($B1024="",$C1024="",$D1024="",$B1024&lt;1300,$B1024&gt;1500,$C1024&lt;1,$C1024&gt;12,$D1024&lt;1,$D1024&gt;31),"نامعتبر",RIGHT("0000"&amp;$B1024,4)&amp;"/"&amp;RIGHT("00"&amp;$C1024,2)&amp;"/"&amp;RIGHT("00"&amp;$D1024,2)))</f>
        <v/>
      </c>
      <c r="F1024">
        <f>IF(OR($E1024="",$E1024="نامعتبر"),"",LEFT($E1024,4)&amp;"/"&amp;MID($E1024,6,2))</f>
        <v/>
      </c>
      <c r="G1024">
        <f>IF(OR($E1024="",$E1024="نامعتبر",Sync!$Y1021=""),"",Sync!$Y1021)</f>
        <v/>
      </c>
      <c r="H1024">
        <f>IF($G1024="","",IF(Sync!$X1021="","",Sync!$X1021))</f>
        <v/>
      </c>
      <c r="I1024">
        <f>IF($G1024="","",IFERROR(VLOOKUP(Sync!$X1021,OpTbl,3,0),""))</f>
        <v/>
      </c>
      <c r="J1024">
        <f>IF(OR($G1024="",Sync!$Z1021=""),"",Sync!$Z1021)</f>
        <v/>
      </c>
      <c r="K1024">
        <f>IF(OR($G1024="",Sync!$AA1021=""),"",Sync!$AA1021)</f>
        <v/>
      </c>
      <c r="L1024">
        <f>IF($G1024="",0,IF(Sync!$AB1021="",0,Sync!$AB1021))</f>
        <v/>
      </c>
      <c r="M1024">
        <f>IF($G1024="",0,IF(Sync!$AC1021="",0,Sync!$AC1021))</f>
        <v/>
      </c>
      <c r="N1024">
        <f>IF($G1024="","",IF($H1024="مرجوعی خرید",-1,1)*($L1024-$M1024*IFERROR(VLOOKUP("P01",ParamTbl,3,0),1.5))*(1-IF($I1024="خرید",IFERROR(VLOOKUP("P02",ParamTbl,3,0),1),0)/100))</f>
        <v/>
      </c>
      <c r="O1024">
        <f>IF($G1024="",0,IF($H1024="مرجوعی خرید",-1,1)*IF(Sync!$AD1021="",0,Sync!$AD1021))</f>
        <v/>
      </c>
      <c r="P1024">
        <f>IF(OR($G1024="",Sync!$W1021=""),"",Sync!$W1021)</f>
        <v/>
      </c>
      <c r="Q1024">
        <f>IF(OR($G1024="",Sync!$AE1021=""),"",Sync!$AE1021)</f>
        <v/>
      </c>
      <c r="R1024">
        <f>IF($G1024="","",IF(Sync!$V1021="","0000",IF(AND(ISNUMBER(Sync!$V1021),Sync!$V1021&gt;=0,Sync!$V1021&lt;1),RIGHT("00"&amp;HOUR(Sync!$V1021),2)&amp;RIGHT("00"&amp;MINUTE(Sync!$V1021),2),IFERROR(RIGHT("00"&amp;VALUE(LEFT(Sync!$V1021,FIND(":",Sync!$V1021)-1)),2)&amp;RIGHT("00"&amp;VALUE(MID(Sync!$V1021,FIND(":",Sync!$V1021)+1,2)),2),"0000"))))</f>
        <v/>
      </c>
    </row>
    <row r="1025">
      <c r="A1025">
        <f>IF(Sync!$U1022="","",Sync!$U1022)</f>
        <v/>
      </c>
      <c r="B1025">
        <f>IF($A1025="","",IF(ISNUMBER($A1025),IF(AND($A1025&gt;=10000101,$A1025&lt;=99991231),INT($A1025/10000),""),IFERROR(VALUE(TRIM(LEFT($A1025,FIND("/",$A1025)-1))),"")))</f>
        <v/>
      </c>
      <c r="C1025">
        <f>IF(OR($A1025="",$B1025=""),"",IF(ISNUMBER($A1025),INT(MOD($A1025,10000)/100),IFERROR(VALUE(TRIM(LEFT(MID($A1025,FIND("/",$A1025)+1,20),FIND("/",MID($A1025,FIND("/",$A1025)+1,20))-1))),"")))</f>
        <v/>
      </c>
      <c r="D1025">
        <f>IF(OR($A1025="",$B1025=""),"",IF(ISNUMBER($A1025),MOD($A1025,100),IFERROR(VALUE(TRIM(MID(MID($A1025,FIND("/",$A1025)+1,20),FIND("/",MID($A1025,FIND("/",$A1025)+1,20))+1,20))),"")))</f>
        <v/>
      </c>
      <c r="E1025">
        <f>IF($A1025="","",IF(OR($B1025="",$C1025="",$D1025="",$B1025&lt;1300,$B1025&gt;1500,$C1025&lt;1,$C1025&gt;12,$D1025&lt;1,$D1025&gt;31),"نامعتبر",RIGHT("0000"&amp;$B1025,4)&amp;"/"&amp;RIGHT("00"&amp;$C1025,2)&amp;"/"&amp;RIGHT("00"&amp;$D1025,2)))</f>
        <v/>
      </c>
      <c r="F1025">
        <f>IF(OR($E1025="",$E1025="نامعتبر"),"",LEFT($E1025,4)&amp;"/"&amp;MID($E1025,6,2))</f>
        <v/>
      </c>
      <c r="G1025">
        <f>IF(OR($E1025="",$E1025="نامعتبر",Sync!$Y1022=""),"",Sync!$Y1022)</f>
        <v/>
      </c>
      <c r="H1025">
        <f>IF($G1025="","",IF(Sync!$X1022="","",Sync!$X1022))</f>
        <v/>
      </c>
      <c r="I1025">
        <f>IF($G1025="","",IFERROR(VLOOKUP(Sync!$X1022,OpTbl,3,0),""))</f>
        <v/>
      </c>
      <c r="J1025">
        <f>IF(OR($G1025="",Sync!$Z1022=""),"",Sync!$Z1022)</f>
        <v/>
      </c>
      <c r="K1025">
        <f>IF(OR($G1025="",Sync!$AA1022=""),"",Sync!$AA1022)</f>
        <v/>
      </c>
      <c r="L1025">
        <f>IF($G1025="",0,IF(Sync!$AB1022="",0,Sync!$AB1022))</f>
        <v/>
      </c>
      <c r="M1025">
        <f>IF($G1025="",0,IF(Sync!$AC1022="",0,Sync!$AC1022))</f>
        <v/>
      </c>
      <c r="N1025">
        <f>IF($G1025="","",IF($H1025="مرجوعی خرید",-1,1)*($L1025-$M1025*IFERROR(VLOOKUP("P01",ParamTbl,3,0),1.5))*(1-IF($I1025="خرید",IFERROR(VLOOKUP("P02",ParamTbl,3,0),1),0)/100))</f>
        <v/>
      </c>
      <c r="O1025">
        <f>IF($G1025="",0,IF($H1025="مرجوعی خرید",-1,1)*IF(Sync!$AD1022="",0,Sync!$AD1022))</f>
        <v/>
      </c>
      <c r="P1025">
        <f>IF(OR($G1025="",Sync!$W1022=""),"",Sync!$W1022)</f>
        <v/>
      </c>
      <c r="Q1025">
        <f>IF(OR($G1025="",Sync!$AE1022=""),"",Sync!$AE1022)</f>
        <v/>
      </c>
      <c r="R1025">
        <f>IF($G1025="","",IF(Sync!$V1022="","0000",IF(AND(ISNUMBER(Sync!$V1022),Sync!$V1022&gt;=0,Sync!$V1022&lt;1),RIGHT("00"&amp;HOUR(Sync!$V1022),2)&amp;RIGHT("00"&amp;MINUTE(Sync!$V1022),2),IFERROR(RIGHT("00"&amp;VALUE(LEFT(Sync!$V1022,FIND(":",Sync!$V1022)-1)),2)&amp;RIGHT("00"&amp;VALUE(MID(Sync!$V1022,FIND(":",Sync!$V1022)+1,2)),2),"0000"))))</f>
        <v/>
      </c>
    </row>
    <row r="1026">
      <c r="A1026">
        <f>IF(Sync!$U1023="","",Sync!$U1023)</f>
        <v/>
      </c>
      <c r="B1026">
        <f>IF($A1026="","",IF(ISNUMBER($A1026),IF(AND($A1026&gt;=10000101,$A1026&lt;=99991231),INT($A1026/10000),""),IFERROR(VALUE(TRIM(LEFT($A1026,FIND("/",$A1026)-1))),"")))</f>
        <v/>
      </c>
      <c r="C1026">
        <f>IF(OR($A1026="",$B1026=""),"",IF(ISNUMBER($A1026),INT(MOD($A1026,10000)/100),IFERROR(VALUE(TRIM(LEFT(MID($A1026,FIND("/",$A1026)+1,20),FIND("/",MID($A1026,FIND("/",$A1026)+1,20))-1))),"")))</f>
        <v/>
      </c>
      <c r="D1026">
        <f>IF(OR($A1026="",$B1026=""),"",IF(ISNUMBER($A1026),MOD($A1026,100),IFERROR(VALUE(TRIM(MID(MID($A1026,FIND("/",$A1026)+1,20),FIND("/",MID($A1026,FIND("/",$A1026)+1,20))+1,20))),"")))</f>
        <v/>
      </c>
      <c r="E1026">
        <f>IF($A1026="","",IF(OR($B1026="",$C1026="",$D1026="",$B1026&lt;1300,$B1026&gt;1500,$C1026&lt;1,$C1026&gt;12,$D1026&lt;1,$D1026&gt;31),"نامعتبر",RIGHT("0000"&amp;$B1026,4)&amp;"/"&amp;RIGHT("00"&amp;$C1026,2)&amp;"/"&amp;RIGHT("00"&amp;$D1026,2)))</f>
        <v/>
      </c>
      <c r="F1026">
        <f>IF(OR($E1026="",$E1026="نامعتبر"),"",LEFT($E1026,4)&amp;"/"&amp;MID($E1026,6,2))</f>
        <v/>
      </c>
      <c r="G1026">
        <f>IF(OR($E1026="",$E1026="نامعتبر",Sync!$Y1023=""),"",Sync!$Y1023)</f>
        <v/>
      </c>
      <c r="H1026">
        <f>IF($G1026="","",IF(Sync!$X1023="","",Sync!$X1023))</f>
        <v/>
      </c>
      <c r="I1026">
        <f>IF($G1026="","",IFERROR(VLOOKUP(Sync!$X1023,OpTbl,3,0),""))</f>
        <v/>
      </c>
      <c r="J1026">
        <f>IF(OR($G1026="",Sync!$Z1023=""),"",Sync!$Z1023)</f>
        <v/>
      </c>
      <c r="K1026">
        <f>IF(OR($G1026="",Sync!$AA1023=""),"",Sync!$AA1023)</f>
        <v/>
      </c>
      <c r="L1026">
        <f>IF($G1026="",0,IF(Sync!$AB1023="",0,Sync!$AB1023))</f>
        <v/>
      </c>
      <c r="M1026">
        <f>IF($G1026="",0,IF(Sync!$AC1023="",0,Sync!$AC1023))</f>
        <v/>
      </c>
      <c r="N1026">
        <f>IF($G1026="","",IF($H1026="مرجوعی خرید",-1,1)*($L1026-$M1026*IFERROR(VLOOKUP("P01",ParamTbl,3,0),1.5))*(1-IF($I1026="خرید",IFERROR(VLOOKUP("P02",ParamTbl,3,0),1),0)/100))</f>
        <v/>
      </c>
      <c r="O1026">
        <f>IF($G1026="",0,IF($H1026="مرجوعی خرید",-1,1)*IF(Sync!$AD1023="",0,Sync!$AD1023))</f>
        <v/>
      </c>
      <c r="P1026">
        <f>IF(OR($G1026="",Sync!$W1023=""),"",Sync!$W1023)</f>
        <v/>
      </c>
      <c r="Q1026">
        <f>IF(OR($G1026="",Sync!$AE1023=""),"",Sync!$AE1023)</f>
        <v/>
      </c>
      <c r="R1026">
        <f>IF($G1026="","",IF(Sync!$V1023="","0000",IF(AND(ISNUMBER(Sync!$V1023),Sync!$V1023&gt;=0,Sync!$V1023&lt;1),RIGHT("00"&amp;HOUR(Sync!$V1023),2)&amp;RIGHT("00"&amp;MINUTE(Sync!$V1023),2),IFERROR(RIGHT("00"&amp;VALUE(LEFT(Sync!$V1023,FIND(":",Sync!$V1023)-1)),2)&amp;RIGHT("00"&amp;VALUE(MID(Sync!$V1023,FIND(":",Sync!$V1023)+1,2)),2),"0000"))))</f>
        <v/>
      </c>
    </row>
    <row r="1027">
      <c r="A1027">
        <f>IF(Sync!$U1024="","",Sync!$U1024)</f>
        <v/>
      </c>
      <c r="B1027">
        <f>IF($A1027="","",IF(ISNUMBER($A1027),IF(AND($A1027&gt;=10000101,$A1027&lt;=99991231),INT($A1027/10000),""),IFERROR(VALUE(TRIM(LEFT($A1027,FIND("/",$A1027)-1))),"")))</f>
        <v/>
      </c>
      <c r="C1027">
        <f>IF(OR($A1027="",$B1027=""),"",IF(ISNUMBER($A1027),INT(MOD($A1027,10000)/100),IFERROR(VALUE(TRIM(LEFT(MID($A1027,FIND("/",$A1027)+1,20),FIND("/",MID($A1027,FIND("/",$A1027)+1,20))-1))),"")))</f>
        <v/>
      </c>
      <c r="D1027">
        <f>IF(OR($A1027="",$B1027=""),"",IF(ISNUMBER($A1027),MOD($A1027,100),IFERROR(VALUE(TRIM(MID(MID($A1027,FIND("/",$A1027)+1,20),FIND("/",MID($A1027,FIND("/",$A1027)+1,20))+1,20))),"")))</f>
        <v/>
      </c>
      <c r="E1027">
        <f>IF($A1027="","",IF(OR($B1027="",$C1027="",$D1027="",$B1027&lt;1300,$B1027&gt;1500,$C1027&lt;1,$C1027&gt;12,$D1027&lt;1,$D1027&gt;31),"نامعتبر",RIGHT("0000"&amp;$B1027,4)&amp;"/"&amp;RIGHT("00"&amp;$C1027,2)&amp;"/"&amp;RIGHT("00"&amp;$D1027,2)))</f>
        <v/>
      </c>
      <c r="F1027">
        <f>IF(OR($E1027="",$E1027="نامعتبر"),"",LEFT($E1027,4)&amp;"/"&amp;MID($E1027,6,2))</f>
        <v/>
      </c>
      <c r="G1027">
        <f>IF(OR($E1027="",$E1027="نامعتبر",Sync!$Y1024=""),"",Sync!$Y1024)</f>
        <v/>
      </c>
      <c r="H1027">
        <f>IF($G1027="","",IF(Sync!$X1024="","",Sync!$X1024))</f>
        <v/>
      </c>
      <c r="I1027">
        <f>IF($G1027="","",IFERROR(VLOOKUP(Sync!$X1024,OpTbl,3,0),""))</f>
        <v/>
      </c>
      <c r="J1027">
        <f>IF(OR($G1027="",Sync!$Z1024=""),"",Sync!$Z1024)</f>
        <v/>
      </c>
      <c r="K1027">
        <f>IF(OR($G1027="",Sync!$AA1024=""),"",Sync!$AA1024)</f>
        <v/>
      </c>
      <c r="L1027">
        <f>IF($G1027="",0,IF(Sync!$AB1024="",0,Sync!$AB1024))</f>
        <v/>
      </c>
      <c r="M1027">
        <f>IF($G1027="",0,IF(Sync!$AC1024="",0,Sync!$AC1024))</f>
        <v/>
      </c>
      <c r="N1027">
        <f>IF($G1027="","",IF($H1027="مرجوعی خرید",-1,1)*($L1027-$M1027*IFERROR(VLOOKUP("P01",ParamTbl,3,0),1.5))*(1-IF($I1027="خرید",IFERROR(VLOOKUP("P02",ParamTbl,3,0),1),0)/100))</f>
        <v/>
      </c>
      <c r="O1027">
        <f>IF($G1027="",0,IF($H1027="مرجوعی خرید",-1,1)*IF(Sync!$AD1024="",0,Sync!$AD1024))</f>
        <v/>
      </c>
      <c r="P1027">
        <f>IF(OR($G1027="",Sync!$W1024=""),"",Sync!$W1024)</f>
        <v/>
      </c>
      <c r="Q1027">
        <f>IF(OR($G1027="",Sync!$AE1024=""),"",Sync!$AE1024)</f>
        <v/>
      </c>
      <c r="R1027">
        <f>IF($G1027="","",IF(Sync!$V1024="","0000",IF(AND(ISNUMBER(Sync!$V1024),Sync!$V1024&gt;=0,Sync!$V1024&lt;1),RIGHT("00"&amp;HOUR(Sync!$V1024),2)&amp;RIGHT("00"&amp;MINUTE(Sync!$V1024),2),IFERROR(RIGHT("00"&amp;VALUE(LEFT(Sync!$V1024,FIND(":",Sync!$V1024)-1)),2)&amp;RIGHT("00"&amp;VALUE(MID(Sync!$V1024,FIND(":",Sync!$V1024)+1,2)),2),"0000"))))</f>
        <v/>
      </c>
    </row>
    <row r="1028">
      <c r="A1028">
        <f>IF(Sync!$U1025="","",Sync!$U1025)</f>
        <v/>
      </c>
      <c r="B1028">
        <f>IF($A1028="","",IF(ISNUMBER($A1028),IF(AND($A1028&gt;=10000101,$A1028&lt;=99991231),INT($A1028/10000),""),IFERROR(VALUE(TRIM(LEFT($A1028,FIND("/",$A1028)-1))),"")))</f>
        <v/>
      </c>
      <c r="C1028">
        <f>IF(OR($A1028="",$B1028=""),"",IF(ISNUMBER($A1028),INT(MOD($A1028,10000)/100),IFERROR(VALUE(TRIM(LEFT(MID($A1028,FIND("/",$A1028)+1,20),FIND("/",MID($A1028,FIND("/",$A1028)+1,20))-1))),"")))</f>
        <v/>
      </c>
      <c r="D1028">
        <f>IF(OR($A1028="",$B1028=""),"",IF(ISNUMBER($A1028),MOD($A1028,100),IFERROR(VALUE(TRIM(MID(MID($A1028,FIND("/",$A1028)+1,20),FIND("/",MID($A1028,FIND("/",$A1028)+1,20))+1,20))),"")))</f>
        <v/>
      </c>
      <c r="E1028">
        <f>IF($A1028="","",IF(OR($B1028="",$C1028="",$D1028="",$B1028&lt;1300,$B1028&gt;1500,$C1028&lt;1,$C1028&gt;12,$D1028&lt;1,$D1028&gt;31),"نامعتبر",RIGHT("0000"&amp;$B1028,4)&amp;"/"&amp;RIGHT("00"&amp;$C1028,2)&amp;"/"&amp;RIGHT("00"&amp;$D1028,2)))</f>
        <v/>
      </c>
      <c r="F1028">
        <f>IF(OR($E1028="",$E1028="نامعتبر"),"",LEFT($E1028,4)&amp;"/"&amp;MID($E1028,6,2))</f>
        <v/>
      </c>
      <c r="G1028">
        <f>IF(OR($E1028="",$E1028="نامعتبر",Sync!$Y1025=""),"",Sync!$Y1025)</f>
        <v/>
      </c>
      <c r="H1028">
        <f>IF($G1028="","",IF(Sync!$X1025="","",Sync!$X1025))</f>
        <v/>
      </c>
      <c r="I1028">
        <f>IF($G1028="","",IFERROR(VLOOKUP(Sync!$X1025,OpTbl,3,0),""))</f>
        <v/>
      </c>
      <c r="J1028">
        <f>IF(OR($G1028="",Sync!$Z1025=""),"",Sync!$Z1025)</f>
        <v/>
      </c>
      <c r="K1028">
        <f>IF(OR($G1028="",Sync!$AA1025=""),"",Sync!$AA1025)</f>
        <v/>
      </c>
      <c r="L1028">
        <f>IF($G1028="",0,IF(Sync!$AB1025="",0,Sync!$AB1025))</f>
        <v/>
      </c>
      <c r="M1028">
        <f>IF($G1028="",0,IF(Sync!$AC1025="",0,Sync!$AC1025))</f>
        <v/>
      </c>
      <c r="N1028">
        <f>IF($G1028="","",IF($H1028="مرجوعی خرید",-1,1)*($L1028-$M1028*IFERROR(VLOOKUP("P01",ParamTbl,3,0),1.5))*(1-IF($I1028="خرید",IFERROR(VLOOKUP("P02",ParamTbl,3,0),1),0)/100))</f>
        <v/>
      </c>
      <c r="O1028">
        <f>IF($G1028="",0,IF($H1028="مرجوعی خرید",-1,1)*IF(Sync!$AD1025="",0,Sync!$AD1025))</f>
        <v/>
      </c>
      <c r="P1028">
        <f>IF(OR($G1028="",Sync!$W1025=""),"",Sync!$W1025)</f>
        <v/>
      </c>
      <c r="Q1028">
        <f>IF(OR($G1028="",Sync!$AE1025=""),"",Sync!$AE1025)</f>
        <v/>
      </c>
      <c r="R1028">
        <f>IF($G1028="","",IF(Sync!$V1025="","0000",IF(AND(ISNUMBER(Sync!$V1025),Sync!$V1025&gt;=0,Sync!$V1025&lt;1),RIGHT("00"&amp;HOUR(Sync!$V1025),2)&amp;RIGHT("00"&amp;MINUTE(Sync!$V1025),2),IFERROR(RIGHT("00"&amp;VALUE(LEFT(Sync!$V1025,FIND(":",Sync!$V1025)-1)),2)&amp;RIGHT("00"&amp;VALUE(MID(Sync!$V1025,FIND(":",Sync!$V1025)+1,2)),2),"0000"))))</f>
        <v/>
      </c>
    </row>
    <row r="1029">
      <c r="A1029">
        <f>IF(Sync!$U1026="","",Sync!$U1026)</f>
        <v/>
      </c>
      <c r="B1029">
        <f>IF($A1029="","",IF(ISNUMBER($A1029),IF(AND($A1029&gt;=10000101,$A1029&lt;=99991231),INT($A1029/10000),""),IFERROR(VALUE(TRIM(LEFT($A1029,FIND("/",$A1029)-1))),"")))</f>
        <v/>
      </c>
      <c r="C1029">
        <f>IF(OR($A1029="",$B1029=""),"",IF(ISNUMBER($A1029),INT(MOD($A1029,10000)/100),IFERROR(VALUE(TRIM(LEFT(MID($A1029,FIND("/",$A1029)+1,20),FIND("/",MID($A1029,FIND("/",$A1029)+1,20))-1))),"")))</f>
        <v/>
      </c>
      <c r="D1029">
        <f>IF(OR($A1029="",$B1029=""),"",IF(ISNUMBER($A1029),MOD($A1029,100),IFERROR(VALUE(TRIM(MID(MID($A1029,FIND("/",$A1029)+1,20),FIND("/",MID($A1029,FIND("/",$A1029)+1,20))+1,20))),"")))</f>
        <v/>
      </c>
      <c r="E1029">
        <f>IF($A1029="","",IF(OR($B1029="",$C1029="",$D1029="",$B1029&lt;1300,$B1029&gt;1500,$C1029&lt;1,$C1029&gt;12,$D1029&lt;1,$D1029&gt;31),"نامعتبر",RIGHT("0000"&amp;$B1029,4)&amp;"/"&amp;RIGHT("00"&amp;$C1029,2)&amp;"/"&amp;RIGHT("00"&amp;$D1029,2)))</f>
        <v/>
      </c>
      <c r="F1029">
        <f>IF(OR($E1029="",$E1029="نامعتبر"),"",LEFT($E1029,4)&amp;"/"&amp;MID($E1029,6,2))</f>
        <v/>
      </c>
      <c r="G1029">
        <f>IF(OR($E1029="",$E1029="نامعتبر",Sync!$Y1026=""),"",Sync!$Y1026)</f>
        <v/>
      </c>
      <c r="H1029">
        <f>IF($G1029="","",IF(Sync!$X1026="","",Sync!$X1026))</f>
        <v/>
      </c>
      <c r="I1029">
        <f>IF($G1029="","",IFERROR(VLOOKUP(Sync!$X1026,OpTbl,3,0),""))</f>
        <v/>
      </c>
      <c r="J1029">
        <f>IF(OR($G1029="",Sync!$Z1026=""),"",Sync!$Z1026)</f>
        <v/>
      </c>
      <c r="K1029">
        <f>IF(OR($G1029="",Sync!$AA1026=""),"",Sync!$AA1026)</f>
        <v/>
      </c>
      <c r="L1029">
        <f>IF($G1029="",0,IF(Sync!$AB1026="",0,Sync!$AB1026))</f>
        <v/>
      </c>
      <c r="M1029">
        <f>IF($G1029="",0,IF(Sync!$AC1026="",0,Sync!$AC1026))</f>
        <v/>
      </c>
      <c r="N1029">
        <f>IF($G1029="","",IF($H1029="مرجوعی خرید",-1,1)*($L1029-$M1029*IFERROR(VLOOKUP("P01",ParamTbl,3,0),1.5))*(1-IF($I1029="خرید",IFERROR(VLOOKUP("P02",ParamTbl,3,0),1),0)/100))</f>
        <v/>
      </c>
      <c r="O1029">
        <f>IF($G1029="",0,IF($H1029="مرجوعی خرید",-1,1)*IF(Sync!$AD1026="",0,Sync!$AD1026))</f>
        <v/>
      </c>
      <c r="P1029">
        <f>IF(OR($G1029="",Sync!$W1026=""),"",Sync!$W1026)</f>
        <v/>
      </c>
      <c r="Q1029">
        <f>IF(OR($G1029="",Sync!$AE1026=""),"",Sync!$AE1026)</f>
        <v/>
      </c>
      <c r="R1029">
        <f>IF($G1029="","",IF(Sync!$V1026="","0000",IF(AND(ISNUMBER(Sync!$V1026),Sync!$V1026&gt;=0,Sync!$V1026&lt;1),RIGHT("00"&amp;HOUR(Sync!$V1026),2)&amp;RIGHT("00"&amp;MINUTE(Sync!$V1026),2),IFERROR(RIGHT("00"&amp;VALUE(LEFT(Sync!$V1026,FIND(":",Sync!$V1026)-1)),2)&amp;RIGHT("00"&amp;VALUE(MID(Sync!$V1026,FIND(":",Sync!$V1026)+1,2)),2),"0000"))))</f>
        <v/>
      </c>
    </row>
    <row r="1030">
      <c r="A1030">
        <f>IF(Sync!$U1027="","",Sync!$U1027)</f>
        <v/>
      </c>
      <c r="B1030">
        <f>IF($A1030="","",IF(ISNUMBER($A1030),IF(AND($A1030&gt;=10000101,$A1030&lt;=99991231),INT($A1030/10000),""),IFERROR(VALUE(TRIM(LEFT($A1030,FIND("/",$A1030)-1))),"")))</f>
        <v/>
      </c>
      <c r="C1030">
        <f>IF(OR($A1030="",$B1030=""),"",IF(ISNUMBER($A1030),INT(MOD($A1030,10000)/100),IFERROR(VALUE(TRIM(LEFT(MID($A1030,FIND("/",$A1030)+1,20),FIND("/",MID($A1030,FIND("/",$A1030)+1,20))-1))),"")))</f>
        <v/>
      </c>
      <c r="D1030">
        <f>IF(OR($A1030="",$B1030=""),"",IF(ISNUMBER($A1030),MOD($A1030,100),IFERROR(VALUE(TRIM(MID(MID($A1030,FIND("/",$A1030)+1,20),FIND("/",MID($A1030,FIND("/",$A1030)+1,20))+1,20))),"")))</f>
        <v/>
      </c>
      <c r="E1030">
        <f>IF($A1030="","",IF(OR($B1030="",$C1030="",$D1030="",$B1030&lt;1300,$B1030&gt;1500,$C1030&lt;1,$C1030&gt;12,$D1030&lt;1,$D1030&gt;31),"نامعتبر",RIGHT("0000"&amp;$B1030,4)&amp;"/"&amp;RIGHT("00"&amp;$C1030,2)&amp;"/"&amp;RIGHT("00"&amp;$D1030,2)))</f>
        <v/>
      </c>
      <c r="F1030">
        <f>IF(OR($E1030="",$E1030="نامعتبر"),"",LEFT($E1030,4)&amp;"/"&amp;MID($E1030,6,2))</f>
        <v/>
      </c>
      <c r="G1030">
        <f>IF(OR($E1030="",$E1030="نامعتبر",Sync!$Y1027=""),"",Sync!$Y1027)</f>
        <v/>
      </c>
      <c r="H1030">
        <f>IF($G1030="","",IF(Sync!$X1027="","",Sync!$X1027))</f>
        <v/>
      </c>
      <c r="I1030">
        <f>IF($G1030="","",IFERROR(VLOOKUP(Sync!$X1027,OpTbl,3,0),""))</f>
        <v/>
      </c>
      <c r="J1030">
        <f>IF(OR($G1030="",Sync!$Z1027=""),"",Sync!$Z1027)</f>
        <v/>
      </c>
      <c r="K1030">
        <f>IF(OR($G1030="",Sync!$AA1027=""),"",Sync!$AA1027)</f>
        <v/>
      </c>
      <c r="L1030">
        <f>IF($G1030="",0,IF(Sync!$AB1027="",0,Sync!$AB1027))</f>
        <v/>
      </c>
      <c r="M1030">
        <f>IF($G1030="",0,IF(Sync!$AC1027="",0,Sync!$AC1027))</f>
        <v/>
      </c>
      <c r="N1030">
        <f>IF($G1030="","",IF($H1030="مرجوعی خرید",-1,1)*($L1030-$M1030*IFERROR(VLOOKUP("P01",ParamTbl,3,0),1.5))*(1-IF($I1030="خرید",IFERROR(VLOOKUP("P02",ParamTbl,3,0),1),0)/100))</f>
        <v/>
      </c>
      <c r="O1030">
        <f>IF($G1030="",0,IF($H1030="مرجوعی خرید",-1,1)*IF(Sync!$AD1027="",0,Sync!$AD1027))</f>
        <v/>
      </c>
      <c r="P1030">
        <f>IF(OR($G1030="",Sync!$W1027=""),"",Sync!$W1027)</f>
        <v/>
      </c>
      <c r="Q1030">
        <f>IF(OR($G1030="",Sync!$AE1027=""),"",Sync!$AE1027)</f>
        <v/>
      </c>
      <c r="R1030">
        <f>IF($G1030="","",IF(Sync!$V1027="","0000",IF(AND(ISNUMBER(Sync!$V1027),Sync!$V1027&gt;=0,Sync!$V1027&lt;1),RIGHT("00"&amp;HOUR(Sync!$V1027),2)&amp;RIGHT("00"&amp;MINUTE(Sync!$V1027),2),IFERROR(RIGHT("00"&amp;VALUE(LEFT(Sync!$V1027,FIND(":",Sync!$V1027)-1)),2)&amp;RIGHT("00"&amp;VALUE(MID(Sync!$V1027,FIND(":",Sync!$V1027)+1,2)),2),"0000"))))</f>
        <v/>
      </c>
    </row>
    <row r="1031">
      <c r="A1031">
        <f>IF(Sync!$U1028="","",Sync!$U1028)</f>
        <v/>
      </c>
      <c r="B1031">
        <f>IF($A1031="","",IF(ISNUMBER($A1031),IF(AND($A1031&gt;=10000101,$A1031&lt;=99991231),INT($A1031/10000),""),IFERROR(VALUE(TRIM(LEFT($A1031,FIND("/",$A1031)-1))),"")))</f>
        <v/>
      </c>
      <c r="C1031">
        <f>IF(OR($A1031="",$B1031=""),"",IF(ISNUMBER($A1031),INT(MOD($A1031,10000)/100),IFERROR(VALUE(TRIM(LEFT(MID($A1031,FIND("/",$A1031)+1,20),FIND("/",MID($A1031,FIND("/",$A1031)+1,20))-1))),"")))</f>
        <v/>
      </c>
      <c r="D1031">
        <f>IF(OR($A1031="",$B1031=""),"",IF(ISNUMBER($A1031),MOD($A1031,100),IFERROR(VALUE(TRIM(MID(MID($A1031,FIND("/",$A1031)+1,20),FIND("/",MID($A1031,FIND("/",$A1031)+1,20))+1,20))),"")))</f>
        <v/>
      </c>
      <c r="E1031">
        <f>IF($A1031="","",IF(OR($B1031="",$C1031="",$D1031="",$B1031&lt;1300,$B1031&gt;1500,$C1031&lt;1,$C1031&gt;12,$D1031&lt;1,$D1031&gt;31),"نامعتبر",RIGHT("0000"&amp;$B1031,4)&amp;"/"&amp;RIGHT("00"&amp;$C1031,2)&amp;"/"&amp;RIGHT("00"&amp;$D1031,2)))</f>
        <v/>
      </c>
      <c r="F1031">
        <f>IF(OR($E1031="",$E1031="نامعتبر"),"",LEFT($E1031,4)&amp;"/"&amp;MID($E1031,6,2))</f>
        <v/>
      </c>
      <c r="G1031">
        <f>IF(OR($E1031="",$E1031="نامعتبر",Sync!$Y1028=""),"",Sync!$Y1028)</f>
        <v/>
      </c>
      <c r="H1031">
        <f>IF($G1031="","",IF(Sync!$X1028="","",Sync!$X1028))</f>
        <v/>
      </c>
      <c r="I1031">
        <f>IF($G1031="","",IFERROR(VLOOKUP(Sync!$X1028,OpTbl,3,0),""))</f>
        <v/>
      </c>
      <c r="J1031">
        <f>IF(OR($G1031="",Sync!$Z1028=""),"",Sync!$Z1028)</f>
        <v/>
      </c>
      <c r="K1031">
        <f>IF(OR($G1031="",Sync!$AA1028=""),"",Sync!$AA1028)</f>
        <v/>
      </c>
      <c r="L1031">
        <f>IF($G1031="",0,IF(Sync!$AB1028="",0,Sync!$AB1028))</f>
        <v/>
      </c>
      <c r="M1031">
        <f>IF($G1031="",0,IF(Sync!$AC1028="",0,Sync!$AC1028))</f>
        <v/>
      </c>
      <c r="N1031">
        <f>IF($G1031="","",IF($H1031="مرجوعی خرید",-1,1)*($L1031-$M1031*IFERROR(VLOOKUP("P01",ParamTbl,3,0),1.5))*(1-IF($I1031="خرید",IFERROR(VLOOKUP("P02",ParamTbl,3,0),1),0)/100))</f>
        <v/>
      </c>
      <c r="O1031">
        <f>IF($G1031="",0,IF($H1031="مرجوعی خرید",-1,1)*IF(Sync!$AD1028="",0,Sync!$AD1028))</f>
        <v/>
      </c>
      <c r="P1031">
        <f>IF(OR($G1031="",Sync!$W1028=""),"",Sync!$W1028)</f>
        <v/>
      </c>
      <c r="Q1031">
        <f>IF(OR($G1031="",Sync!$AE1028=""),"",Sync!$AE1028)</f>
        <v/>
      </c>
      <c r="R1031">
        <f>IF($G1031="","",IF(Sync!$V1028="","0000",IF(AND(ISNUMBER(Sync!$V1028),Sync!$V1028&gt;=0,Sync!$V1028&lt;1),RIGHT("00"&amp;HOUR(Sync!$V1028),2)&amp;RIGHT("00"&amp;MINUTE(Sync!$V1028),2),IFERROR(RIGHT("00"&amp;VALUE(LEFT(Sync!$V1028,FIND(":",Sync!$V1028)-1)),2)&amp;RIGHT("00"&amp;VALUE(MID(Sync!$V1028,FIND(":",Sync!$V1028)+1,2)),2),"0000"))))</f>
        <v/>
      </c>
    </row>
    <row r="1032">
      <c r="A1032">
        <f>IF(Sync!$U1029="","",Sync!$U1029)</f>
        <v/>
      </c>
      <c r="B1032">
        <f>IF($A1032="","",IF(ISNUMBER($A1032),IF(AND($A1032&gt;=10000101,$A1032&lt;=99991231),INT($A1032/10000),""),IFERROR(VALUE(TRIM(LEFT($A1032,FIND("/",$A1032)-1))),"")))</f>
        <v/>
      </c>
      <c r="C1032">
        <f>IF(OR($A1032="",$B1032=""),"",IF(ISNUMBER($A1032),INT(MOD($A1032,10000)/100),IFERROR(VALUE(TRIM(LEFT(MID($A1032,FIND("/",$A1032)+1,20),FIND("/",MID($A1032,FIND("/",$A1032)+1,20))-1))),"")))</f>
        <v/>
      </c>
      <c r="D1032">
        <f>IF(OR($A1032="",$B1032=""),"",IF(ISNUMBER($A1032),MOD($A1032,100),IFERROR(VALUE(TRIM(MID(MID($A1032,FIND("/",$A1032)+1,20),FIND("/",MID($A1032,FIND("/",$A1032)+1,20))+1,20))),"")))</f>
        <v/>
      </c>
      <c r="E1032">
        <f>IF($A1032="","",IF(OR($B1032="",$C1032="",$D1032="",$B1032&lt;1300,$B1032&gt;1500,$C1032&lt;1,$C1032&gt;12,$D1032&lt;1,$D1032&gt;31),"نامعتبر",RIGHT("0000"&amp;$B1032,4)&amp;"/"&amp;RIGHT("00"&amp;$C1032,2)&amp;"/"&amp;RIGHT("00"&amp;$D1032,2)))</f>
        <v/>
      </c>
      <c r="F1032">
        <f>IF(OR($E1032="",$E1032="نامعتبر"),"",LEFT($E1032,4)&amp;"/"&amp;MID($E1032,6,2))</f>
        <v/>
      </c>
      <c r="G1032">
        <f>IF(OR($E1032="",$E1032="نامعتبر",Sync!$Y1029=""),"",Sync!$Y1029)</f>
        <v/>
      </c>
      <c r="H1032">
        <f>IF($G1032="","",IF(Sync!$X1029="","",Sync!$X1029))</f>
        <v/>
      </c>
      <c r="I1032">
        <f>IF($G1032="","",IFERROR(VLOOKUP(Sync!$X1029,OpTbl,3,0),""))</f>
        <v/>
      </c>
      <c r="J1032">
        <f>IF(OR($G1032="",Sync!$Z1029=""),"",Sync!$Z1029)</f>
        <v/>
      </c>
      <c r="K1032">
        <f>IF(OR($G1032="",Sync!$AA1029=""),"",Sync!$AA1029)</f>
        <v/>
      </c>
      <c r="L1032">
        <f>IF($G1032="",0,IF(Sync!$AB1029="",0,Sync!$AB1029))</f>
        <v/>
      </c>
      <c r="M1032">
        <f>IF($G1032="",0,IF(Sync!$AC1029="",0,Sync!$AC1029))</f>
        <v/>
      </c>
      <c r="N1032">
        <f>IF($G1032="","",IF($H1032="مرجوعی خرید",-1,1)*($L1032-$M1032*IFERROR(VLOOKUP("P01",ParamTbl,3,0),1.5))*(1-IF($I1032="خرید",IFERROR(VLOOKUP("P02",ParamTbl,3,0),1),0)/100))</f>
        <v/>
      </c>
      <c r="O1032">
        <f>IF($G1032="",0,IF($H1032="مرجوعی خرید",-1,1)*IF(Sync!$AD1029="",0,Sync!$AD1029))</f>
        <v/>
      </c>
      <c r="P1032">
        <f>IF(OR($G1032="",Sync!$W1029=""),"",Sync!$W1029)</f>
        <v/>
      </c>
      <c r="Q1032">
        <f>IF(OR($G1032="",Sync!$AE1029=""),"",Sync!$AE1029)</f>
        <v/>
      </c>
      <c r="R1032">
        <f>IF($G1032="","",IF(Sync!$V1029="","0000",IF(AND(ISNUMBER(Sync!$V1029),Sync!$V1029&gt;=0,Sync!$V1029&lt;1),RIGHT("00"&amp;HOUR(Sync!$V1029),2)&amp;RIGHT("00"&amp;MINUTE(Sync!$V1029),2),IFERROR(RIGHT("00"&amp;VALUE(LEFT(Sync!$V1029,FIND(":",Sync!$V1029)-1)),2)&amp;RIGHT("00"&amp;VALUE(MID(Sync!$V1029,FIND(":",Sync!$V1029)+1,2)),2),"0000"))))</f>
        <v/>
      </c>
    </row>
    <row r="1033">
      <c r="A1033">
        <f>IF(Sync!$U1030="","",Sync!$U1030)</f>
        <v/>
      </c>
      <c r="B1033">
        <f>IF($A1033="","",IF(ISNUMBER($A1033),IF(AND($A1033&gt;=10000101,$A1033&lt;=99991231),INT($A1033/10000),""),IFERROR(VALUE(TRIM(LEFT($A1033,FIND("/",$A1033)-1))),"")))</f>
        <v/>
      </c>
      <c r="C1033">
        <f>IF(OR($A1033="",$B1033=""),"",IF(ISNUMBER($A1033),INT(MOD($A1033,10000)/100),IFERROR(VALUE(TRIM(LEFT(MID($A1033,FIND("/",$A1033)+1,20),FIND("/",MID($A1033,FIND("/",$A1033)+1,20))-1))),"")))</f>
        <v/>
      </c>
      <c r="D1033">
        <f>IF(OR($A1033="",$B1033=""),"",IF(ISNUMBER($A1033),MOD($A1033,100),IFERROR(VALUE(TRIM(MID(MID($A1033,FIND("/",$A1033)+1,20),FIND("/",MID($A1033,FIND("/",$A1033)+1,20))+1,20))),"")))</f>
        <v/>
      </c>
      <c r="E1033">
        <f>IF($A1033="","",IF(OR($B1033="",$C1033="",$D1033="",$B1033&lt;1300,$B1033&gt;1500,$C1033&lt;1,$C1033&gt;12,$D1033&lt;1,$D1033&gt;31),"نامعتبر",RIGHT("0000"&amp;$B1033,4)&amp;"/"&amp;RIGHT("00"&amp;$C1033,2)&amp;"/"&amp;RIGHT("00"&amp;$D1033,2)))</f>
        <v/>
      </c>
      <c r="F1033">
        <f>IF(OR($E1033="",$E1033="نامعتبر"),"",LEFT($E1033,4)&amp;"/"&amp;MID($E1033,6,2))</f>
        <v/>
      </c>
      <c r="G1033">
        <f>IF(OR($E1033="",$E1033="نامعتبر",Sync!$Y1030=""),"",Sync!$Y1030)</f>
        <v/>
      </c>
      <c r="H1033">
        <f>IF($G1033="","",IF(Sync!$X1030="","",Sync!$X1030))</f>
        <v/>
      </c>
      <c r="I1033">
        <f>IF($G1033="","",IFERROR(VLOOKUP(Sync!$X1030,OpTbl,3,0),""))</f>
        <v/>
      </c>
      <c r="J1033">
        <f>IF(OR($G1033="",Sync!$Z1030=""),"",Sync!$Z1030)</f>
        <v/>
      </c>
      <c r="K1033">
        <f>IF(OR($G1033="",Sync!$AA1030=""),"",Sync!$AA1030)</f>
        <v/>
      </c>
      <c r="L1033">
        <f>IF($G1033="",0,IF(Sync!$AB1030="",0,Sync!$AB1030))</f>
        <v/>
      </c>
      <c r="M1033">
        <f>IF($G1033="",0,IF(Sync!$AC1030="",0,Sync!$AC1030))</f>
        <v/>
      </c>
      <c r="N1033">
        <f>IF($G1033="","",IF($H1033="مرجوعی خرید",-1,1)*($L1033-$M1033*IFERROR(VLOOKUP("P01",ParamTbl,3,0),1.5))*(1-IF($I1033="خرید",IFERROR(VLOOKUP("P02",ParamTbl,3,0),1),0)/100))</f>
        <v/>
      </c>
      <c r="O1033">
        <f>IF($G1033="",0,IF($H1033="مرجوعی خرید",-1,1)*IF(Sync!$AD1030="",0,Sync!$AD1030))</f>
        <v/>
      </c>
      <c r="P1033">
        <f>IF(OR($G1033="",Sync!$W1030=""),"",Sync!$W1030)</f>
        <v/>
      </c>
      <c r="Q1033">
        <f>IF(OR($G1033="",Sync!$AE1030=""),"",Sync!$AE1030)</f>
        <v/>
      </c>
      <c r="R1033">
        <f>IF($G1033="","",IF(Sync!$V1030="","0000",IF(AND(ISNUMBER(Sync!$V1030),Sync!$V1030&gt;=0,Sync!$V1030&lt;1),RIGHT("00"&amp;HOUR(Sync!$V1030),2)&amp;RIGHT("00"&amp;MINUTE(Sync!$V1030),2),IFERROR(RIGHT("00"&amp;VALUE(LEFT(Sync!$V1030,FIND(":",Sync!$V1030)-1)),2)&amp;RIGHT("00"&amp;VALUE(MID(Sync!$V1030,FIND(":",Sync!$V1030)+1,2)),2),"0000"))))</f>
        <v/>
      </c>
    </row>
    <row r="1034">
      <c r="A1034">
        <f>IF(Sync!$U1031="","",Sync!$U1031)</f>
        <v/>
      </c>
      <c r="B1034">
        <f>IF($A1034="","",IF(ISNUMBER($A1034),IF(AND($A1034&gt;=10000101,$A1034&lt;=99991231),INT($A1034/10000),""),IFERROR(VALUE(TRIM(LEFT($A1034,FIND("/",$A1034)-1))),"")))</f>
        <v/>
      </c>
      <c r="C1034">
        <f>IF(OR($A1034="",$B1034=""),"",IF(ISNUMBER($A1034),INT(MOD($A1034,10000)/100),IFERROR(VALUE(TRIM(LEFT(MID($A1034,FIND("/",$A1034)+1,20),FIND("/",MID($A1034,FIND("/",$A1034)+1,20))-1))),"")))</f>
        <v/>
      </c>
      <c r="D1034">
        <f>IF(OR($A1034="",$B1034=""),"",IF(ISNUMBER($A1034),MOD($A1034,100),IFERROR(VALUE(TRIM(MID(MID($A1034,FIND("/",$A1034)+1,20),FIND("/",MID($A1034,FIND("/",$A1034)+1,20))+1,20))),"")))</f>
        <v/>
      </c>
      <c r="E1034">
        <f>IF($A1034="","",IF(OR($B1034="",$C1034="",$D1034="",$B1034&lt;1300,$B1034&gt;1500,$C1034&lt;1,$C1034&gt;12,$D1034&lt;1,$D1034&gt;31),"نامعتبر",RIGHT("0000"&amp;$B1034,4)&amp;"/"&amp;RIGHT("00"&amp;$C1034,2)&amp;"/"&amp;RIGHT("00"&amp;$D1034,2)))</f>
        <v/>
      </c>
      <c r="F1034">
        <f>IF(OR($E1034="",$E1034="نامعتبر"),"",LEFT($E1034,4)&amp;"/"&amp;MID($E1034,6,2))</f>
        <v/>
      </c>
      <c r="G1034">
        <f>IF(OR($E1034="",$E1034="نامعتبر",Sync!$Y1031=""),"",Sync!$Y1031)</f>
        <v/>
      </c>
      <c r="H1034">
        <f>IF($G1034="","",IF(Sync!$X1031="","",Sync!$X1031))</f>
        <v/>
      </c>
      <c r="I1034">
        <f>IF($G1034="","",IFERROR(VLOOKUP(Sync!$X1031,OpTbl,3,0),""))</f>
        <v/>
      </c>
      <c r="J1034">
        <f>IF(OR($G1034="",Sync!$Z1031=""),"",Sync!$Z1031)</f>
        <v/>
      </c>
      <c r="K1034">
        <f>IF(OR($G1034="",Sync!$AA1031=""),"",Sync!$AA1031)</f>
        <v/>
      </c>
      <c r="L1034">
        <f>IF($G1034="",0,IF(Sync!$AB1031="",0,Sync!$AB1031))</f>
        <v/>
      </c>
      <c r="M1034">
        <f>IF($G1034="",0,IF(Sync!$AC1031="",0,Sync!$AC1031))</f>
        <v/>
      </c>
      <c r="N1034">
        <f>IF($G1034="","",IF($H1034="مرجوعی خرید",-1,1)*($L1034-$M1034*IFERROR(VLOOKUP("P01",ParamTbl,3,0),1.5))*(1-IF($I1034="خرید",IFERROR(VLOOKUP("P02",ParamTbl,3,0),1),0)/100))</f>
        <v/>
      </c>
      <c r="O1034">
        <f>IF($G1034="",0,IF($H1034="مرجوعی خرید",-1,1)*IF(Sync!$AD1031="",0,Sync!$AD1031))</f>
        <v/>
      </c>
      <c r="P1034">
        <f>IF(OR($G1034="",Sync!$W1031=""),"",Sync!$W1031)</f>
        <v/>
      </c>
      <c r="Q1034">
        <f>IF(OR($G1034="",Sync!$AE1031=""),"",Sync!$AE1031)</f>
        <v/>
      </c>
      <c r="R1034">
        <f>IF($G1034="","",IF(Sync!$V1031="","0000",IF(AND(ISNUMBER(Sync!$V1031),Sync!$V1031&gt;=0,Sync!$V1031&lt;1),RIGHT("00"&amp;HOUR(Sync!$V1031),2)&amp;RIGHT("00"&amp;MINUTE(Sync!$V1031),2),IFERROR(RIGHT("00"&amp;VALUE(LEFT(Sync!$V1031,FIND(":",Sync!$V1031)-1)),2)&amp;RIGHT("00"&amp;VALUE(MID(Sync!$V1031,FIND(":",Sync!$V1031)+1,2)),2),"0000"))))</f>
        <v/>
      </c>
    </row>
    <row r="1035">
      <c r="A1035">
        <f>IF(Sync!$U1032="","",Sync!$U1032)</f>
        <v/>
      </c>
      <c r="B1035">
        <f>IF($A1035="","",IF(ISNUMBER($A1035),IF(AND($A1035&gt;=10000101,$A1035&lt;=99991231),INT($A1035/10000),""),IFERROR(VALUE(TRIM(LEFT($A1035,FIND("/",$A1035)-1))),"")))</f>
        <v/>
      </c>
      <c r="C1035">
        <f>IF(OR($A1035="",$B1035=""),"",IF(ISNUMBER($A1035),INT(MOD($A1035,10000)/100),IFERROR(VALUE(TRIM(LEFT(MID($A1035,FIND("/",$A1035)+1,20),FIND("/",MID($A1035,FIND("/",$A1035)+1,20))-1))),"")))</f>
        <v/>
      </c>
      <c r="D1035">
        <f>IF(OR($A1035="",$B1035=""),"",IF(ISNUMBER($A1035),MOD($A1035,100),IFERROR(VALUE(TRIM(MID(MID($A1035,FIND("/",$A1035)+1,20),FIND("/",MID($A1035,FIND("/",$A1035)+1,20))+1,20))),"")))</f>
        <v/>
      </c>
      <c r="E1035">
        <f>IF($A1035="","",IF(OR($B1035="",$C1035="",$D1035="",$B1035&lt;1300,$B1035&gt;1500,$C1035&lt;1,$C1035&gt;12,$D1035&lt;1,$D1035&gt;31),"نامعتبر",RIGHT("0000"&amp;$B1035,4)&amp;"/"&amp;RIGHT("00"&amp;$C1035,2)&amp;"/"&amp;RIGHT("00"&amp;$D1035,2)))</f>
        <v/>
      </c>
      <c r="F1035">
        <f>IF(OR($E1035="",$E1035="نامعتبر"),"",LEFT($E1035,4)&amp;"/"&amp;MID($E1035,6,2))</f>
        <v/>
      </c>
      <c r="G1035">
        <f>IF(OR($E1035="",$E1035="نامعتبر",Sync!$Y1032=""),"",Sync!$Y1032)</f>
        <v/>
      </c>
      <c r="H1035">
        <f>IF($G1035="","",IF(Sync!$X1032="","",Sync!$X1032))</f>
        <v/>
      </c>
      <c r="I1035">
        <f>IF($G1035="","",IFERROR(VLOOKUP(Sync!$X1032,OpTbl,3,0),""))</f>
        <v/>
      </c>
      <c r="J1035">
        <f>IF(OR($G1035="",Sync!$Z1032=""),"",Sync!$Z1032)</f>
        <v/>
      </c>
      <c r="K1035">
        <f>IF(OR($G1035="",Sync!$AA1032=""),"",Sync!$AA1032)</f>
        <v/>
      </c>
      <c r="L1035">
        <f>IF($G1035="",0,IF(Sync!$AB1032="",0,Sync!$AB1032))</f>
        <v/>
      </c>
      <c r="M1035">
        <f>IF($G1035="",0,IF(Sync!$AC1032="",0,Sync!$AC1032))</f>
        <v/>
      </c>
      <c r="N1035">
        <f>IF($G1035="","",IF($H1035="مرجوعی خرید",-1,1)*($L1035-$M1035*IFERROR(VLOOKUP("P01",ParamTbl,3,0),1.5))*(1-IF($I1035="خرید",IFERROR(VLOOKUP("P02",ParamTbl,3,0),1),0)/100))</f>
        <v/>
      </c>
      <c r="O1035">
        <f>IF($G1035="",0,IF($H1035="مرجوعی خرید",-1,1)*IF(Sync!$AD1032="",0,Sync!$AD1032))</f>
        <v/>
      </c>
      <c r="P1035">
        <f>IF(OR($G1035="",Sync!$W1032=""),"",Sync!$W1032)</f>
        <v/>
      </c>
      <c r="Q1035">
        <f>IF(OR($G1035="",Sync!$AE1032=""),"",Sync!$AE1032)</f>
        <v/>
      </c>
      <c r="R1035">
        <f>IF($G1035="","",IF(Sync!$V1032="","0000",IF(AND(ISNUMBER(Sync!$V1032),Sync!$V1032&gt;=0,Sync!$V1032&lt;1),RIGHT("00"&amp;HOUR(Sync!$V1032),2)&amp;RIGHT("00"&amp;MINUTE(Sync!$V1032),2),IFERROR(RIGHT("00"&amp;VALUE(LEFT(Sync!$V1032,FIND(":",Sync!$V1032)-1)),2)&amp;RIGHT("00"&amp;VALUE(MID(Sync!$V1032,FIND(":",Sync!$V1032)+1,2)),2),"0000"))))</f>
        <v/>
      </c>
    </row>
    <row r="1036">
      <c r="A1036">
        <f>IF(Sync!$U1033="","",Sync!$U1033)</f>
        <v/>
      </c>
      <c r="B1036">
        <f>IF($A1036="","",IF(ISNUMBER($A1036),IF(AND($A1036&gt;=10000101,$A1036&lt;=99991231),INT($A1036/10000),""),IFERROR(VALUE(TRIM(LEFT($A1036,FIND("/",$A1036)-1))),"")))</f>
        <v/>
      </c>
      <c r="C1036">
        <f>IF(OR($A1036="",$B1036=""),"",IF(ISNUMBER($A1036),INT(MOD($A1036,10000)/100),IFERROR(VALUE(TRIM(LEFT(MID($A1036,FIND("/",$A1036)+1,20),FIND("/",MID($A1036,FIND("/",$A1036)+1,20))-1))),"")))</f>
        <v/>
      </c>
      <c r="D1036">
        <f>IF(OR($A1036="",$B1036=""),"",IF(ISNUMBER($A1036),MOD($A1036,100),IFERROR(VALUE(TRIM(MID(MID($A1036,FIND("/",$A1036)+1,20),FIND("/",MID($A1036,FIND("/",$A1036)+1,20))+1,20))),"")))</f>
        <v/>
      </c>
      <c r="E1036">
        <f>IF($A1036="","",IF(OR($B1036="",$C1036="",$D1036="",$B1036&lt;1300,$B1036&gt;1500,$C1036&lt;1,$C1036&gt;12,$D1036&lt;1,$D1036&gt;31),"نامعتبر",RIGHT("0000"&amp;$B1036,4)&amp;"/"&amp;RIGHT("00"&amp;$C1036,2)&amp;"/"&amp;RIGHT("00"&amp;$D1036,2)))</f>
        <v/>
      </c>
      <c r="F1036">
        <f>IF(OR($E1036="",$E1036="نامعتبر"),"",LEFT($E1036,4)&amp;"/"&amp;MID($E1036,6,2))</f>
        <v/>
      </c>
      <c r="G1036">
        <f>IF(OR($E1036="",$E1036="نامعتبر",Sync!$Y1033=""),"",Sync!$Y1033)</f>
        <v/>
      </c>
      <c r="H1036">
        <f>IF($G1036="","",IF(Sync!$X1033="","",Sync!$X1033))</f>
        <v/>
      </c>
      <c r="I1036">
        <f>IF($G1036="","",IFERROR(VLOOKUP(Sync!$X1033,OpTbl,3,0),""))</f>
        <v/>
      </c>
      <c r="J1036">
        <f>IF(OR($G1036="",Sync!$Z1033=""),"",Sync!$Z1033)</f>
        <v/>
      </c>
      <c r="K1036">
        <f>IF(OR($G1036="",Sync!$AA1033=""),"",Sync!$AA1033)</f>
        <v/>
      </c>
      <c r="L1036">
        <f>IF($G1036="",0,IF(Sync!$AB1033="",0,Sync!$AB1033))</f>
        <v/>
      </c>
      <c r="M1036">
        <f>IF($G1036="",0,IF(Sync!$AC1033="",0,Sync!$AC1033))</f>
        <v/>
      </c>
      <c r="N1036">
        <f>IF($G1036="","",IF($H1036="مرجوعی خرید",-1,1)*($L1036-$M1036*IFERROR(VLOOKUP("P01",ParamTbl,3,0),1.5))*(1-IF($I1036="خرید",IFERROR(VLOOKUP("P02",ParamTbl,3,0),1),0)/100))</f>
        <v/>
      </c>
      <c r="O1036">
        <f>IF($G1036="",0,IF($H1036="مرجوعی خرید",-1,1)*IF(Sync!$AD1033="",0,Sync!$AD1033))</f>
        <v/>
      </c>
      <c r="P1036">
        <f>IF(OR($G1036="",Sync!$W1033=""),"",Sync!$W1033)</f>
        <v/>
      </c>
      <c r="Q1036">
        <f>IF(OR($G1036="",Sync!$AE1033=""),"",Sync!$AE1033)</f>
        <v/>
      </c>
      <c r="R1036">
        <f>IF($G1036="","",IF(Sync!$V1033="","0000",IF(AND(ISNUMBER(Sync!$V1033),Sync!$V1033&gt;=0,Sync!$V1033&lt;1),RIGHT("00"&amp;HOUR(Sync!$V1033),2)&amp;RIGHT("00"&amp;MINUTE(Sync!$V1033),2),IFERROR(RIGHT("00"&amp;VALUE(LEFT(Sync!$V1033,FIND(":",Sync!$V1033)-1)),2)&amp;RIGHT("00"&amp;VALUE(MID(Sync!$V1033,FIND(":",Sync!$V1033)+1,2)),2),"0000"))))</f>
        <v/>
      </c>
    </row>
    <row r="1037">
      <c r="A1037">
        <f>IF(Sync!$U1034="","",Sync!$U1034)</f>
        <v/>
      </c>
      <c r="B1037">
        <f>IF($A1037="","",IF(ISNUMBER($A1037),IF(AND($A1037&gt;=10000101,$A1037&lt;=99991231),INT($A1037/10000),""),IFERROR(VALUE(TRIM(LEFT($A1037,FIND("/",$A1037)-1))),"")))</f>
        <v/>
      </c>
      <c r="C1037">
        <f>IF(OR($A1037="",$B1037=""),"",IF(ISNUMBER($A1037),INT(MOD($A1037,10000)/100),IFERROR(VALUE(TRIM(LEFT(MID($A1037,FIND("/",$A1037)+1,20),FIND("/",MID($A1037,FIND("/",$A1037)+1,20))-1))),"")))</f>
        <v/>
      </c>
      <c r="D1037">
        <f>IF(OR($A1037="",$B1037=""),"",IF(ISNUMBER($A1037),MOD($A1037,100),IFERROR(VALUE(TRIM(MID(MID($A1037,FIND("/",$A1037)+1,20),FIND("/",MID($A1037,FIND("/",$A1037)+1,20))+1,20))),"")))</f>
        <v/>
      </c>
      <c r="E1037">
        <f>IF($A1037="","",IF(OR($B1037="",$C1037="",$D1037="",$B1037&lt;1300,$B1037&gt;1500,$C1037&lt;1,$C1037&gt;12,$D1037&lt;1,$D1037&gt;31),"نامعتبر",RIGHT("0000"&amp;$B1037,4)&amp;"/"&amp;RIGHT("00"&amp;$C1037,2)&amp;"/"&amp;RIGHT("00"&amp;$D1037,2)))</f>
        <v/>
      </c>
      <c r="F1037">
        <f>IF(OR($E1037="",$E1037="نامعتبر"),"",LEFT($E1037,4)&amp;"/"&amp;MID($E1037,6,2))</f>
        <v/>
      </c>
      <c r="G1037">
        <f>IF(OR($E1037="",$E1037="نامعتبر",Sync!$Y1034=""),"",Sync!$Y1034)</f>
        <v/>
      </c>
      <c r="H1037">
        <f>IF($G1037="","",IF(Sync!$X1034="","",Sync!$X1034))</f>
        <v/>
      </c>
      <c r="I1037">
        <f>IF($G1037="","",IFERROR(VLOOKUP(Sync!$X1034,OpTbl,3,0),""))</f>
        <v/>
      </c>
      <c r="J1037">
        <f>IF(OR($G1037="",Sync!$Z1034=""),"",Sync!$Z1034)</f>
        <v/>
      </c>
      <c r="K1037">
        <f>IF(OR($G1037="",Sync!$AA1034=""),"",Sync!$AA1034)</f>
        <v/>
      </c>
      <c r="L1037">
        <f>IF($G1037="",0,IF(Sync!$AB1034="",0,Sync!$AB1034))</f>
        <v/>
      </c>
      <c r="M1037">
        <f>IF($G1037="",0,IF(Sync!$AC1034="",0,Sync!$AC1034))</f>
        <v/>
      </c>
      <c r="N1037">
        <f>IF($G1037="","",IF($H1037="مرجوعی خرید",-1,1)*($L1037-$M1037*IFERROR(VLOOKUP("P01",ParamTbl,3,0),1.5))*(1-IF($I1037="خرید",IFERROR(VLOOKUP("P02",ParamTbl,3,0),1),0)/100))</f>
        <v/>
      </c>
      <c r="O1037">
        <f>IF($G1037="",0,IF($H1037="مرجوعی خرید",-1,1)*IF(Sync!$AD1034="",0,Sync!$AD1034))</f>
        <v/>
      </c>
      <c r="P1037">
        <f>IF(OR($G1037="",Sync!$W1034=""),"",Sync!$W1034)</f>
        <v/>
      </c>
      <c r="Q1037">
        <f>IF(OR($G1037="",Sync!$AE1034=""),"",Sync!$AE1034)</f>
        <v/>
      </c>
      <c r="R1037">
        <f>IF($G1037="","",IF(Sync!$V1034="","0000",IF(AND(ISNUMBER(Sync!$V1034),Sync!$V1034&gt;=0,Sync!$V1034&lt;1),RIGHT("00"&amp;HOUR(Sync!$V1034),2)&amp;RIGHT("00"&amp;MINUTE(Sync!$V1034),2),IFERROR(RIGHT("00"&amp;VALUE(LEFT(Sync!$V1034,FIND(":",Sync!$V1034)-1)),2)&amp;RIGHT("00"&amp;VALUE(MID(Sync!$V1034,FIND(":",Sync!$V1034)+1,2)),2),"0000"))))</f>
        <v/>
      </c>
    </row>
    <row r="1038">
      <c r="A1038">
        <f>IF(Sync!$U1035="","",Sync!$U1035)</f>
        <v/>
      </c>
      <c r="B1038">
        <f>IF($A1038="","",IF(ISNUMBER($A1038),IF(AND($A1038&gt;=10000101,$A1038&lt;=99991231),INT($A1038/10000),""),IFERROR(VALUE(TRIM(LEFT($A1038,FIND("/",$A1038)-1))),"")))</f>
        <v/>
      </c>
      <c r="C1038">
        <f>IF(OR($A1038="",$B1038=""),"",IF(ISNUMBER($A1038),INT(MOD($A1038,10000)/100),IFERROR(VALUE(TRIM(LEFT(MID($A1038,FIND("/",$A1038)+1,20),FIND("/",MID($A1038,FIND("/",$A1038)+1,20))-1))),"")))</f>
        <v/>
      </c>
      <c r="D1038">
        <f>IF(OR($A1038="",$B1038=""),"",IF(ISNUMBER($A1038),MOD($A1038,100),IFERROR(VALUE(TRIM(MID(MID($A1038,FIND("/",$A1038)+1,20),FIND("/",MID($A1038,FIND("/",$A1038)+1,20))+1,20))),"")))</f>
        <v/>
      </c>
      <c r="E1038">
        <f>IF($A1038="","",IF(OR($B1038="",$C1038="",$D1038="",$B1038&lt;1300,$B1038&gt;1500,$C1038&lt;1,$C1038&gt;12,$D1038&lt;1,$D1038&gt;31),"نامعتبر",RIGHT("0000"&amp;$B1038,4)&amp;"/"&amp;RIGHT("00"&amp;$C1038,2)&amp;"/"&amp;RIGHT("00"&amp;$D1038,2)))</f>
        <v/>
      </c>
      <c r="F1038">
        <f>IF(OR($E1038="",$E1038="نامعتبر"),"",LEFT($E1038,4)&amp;"/"&amp;MID($E1038,6,2))</f>
        <v/>
      </c>
      <c r="G1038">
        <f>IF(OR($E1038="",$E1038="نامعتبر",Sync!$Y1035=""),"",Sync!$Y1035)</f>
        <v/>
      </c>
      <c r="H1038">
        <f>IF($G1038="","",IF(Sync!$X1035="","",Sync!$X1035))</f>
        <v/>
      </c>
      <c r="I1038">
        <f>IF($G1038="","",IFERROR(VLOOKUP(Sync!$X1035,OpTbl,3,0),""))</f>
        <v/>
      </c>
      <c r="J1038">
        <f>IF(OR($G1038="",Sync!$Z1035=""),"",Sync!$Z1035)</f>
        <v/>
      </c>
      <c r="K1038">
        <f>IF(OR($G1038="",Sync!$AA1035=""),"",Sync!$AA1035)</f>
        <v/>
      </c>
      <c r="L1038">
        <f>IF($G1038="",0,IF(Sync!$AB1035="",0,Sync!$AB1035))</f>
        <v/>
      </c>
      <c r="M1038">
        <f>IF($G1038="",0,IF(Sync!$AC1035="",0,Sync!$AC1035))</f>
        <v/>
      </c>
      <c r="N1038">
        <f>IF($G1038="","",IF($H1038="مرجوعی خرید",-1,1)*($L1038-$M1038*IFERROR(VLOOKUP("P01",ParamTbl,3,0),1.5))*(1-IF($I1038="خرید",IFERROR(VLOOKUP("P02",ParamTbl,3,0),1),0)/100))</f>
        <v/>
      </c>
      <c r="O1038">
        <f>IF($G1038="",0,IF($H1038="مرجوعی خرید",-1,1)*IF(Sync!$AD1035="",0,Sync!$AD1035))</f>
        <v/>
      </c>
      <c r="P1038">
        <f>IF(OR($G1038="",Sync!$W1035=""),"",Sync!$W1035)</f>
        <v/>
      </c>
      <c r="Q1038">
        <f>IF(OR($G1038="",Sync!$AE1035=""),"",Sync!$AE1035)</f>
        <v/>
      </c>
      <c r="R1038">
        <f>IF($G1038="","",IF(Sync!$V1035="","0000",IF(AND(ISNUMBER(Sync!$V1035),Sync!$V1035&gt;=0,Sync!$V1035&lt;1),RIGHT("00"&amp;HOUR(Sync!$V1035),2)&amp;RIGHT("00"&amp;MINUTE(Sync!$V1035),2),IFERROR(RIGHT("00"&amp;VALUE(LEFT(Sync!$V1035,FIND(":",Sync!$V1035)-1)),2)&amp;RIGHT("00"&amp;VALUE(MID(Sync!$V1035,FIND(":",Sync!$V1035)+1,2)),2),"0000"))))</f>
        <v/>
      </c>
    </row>
    <row r="1039">
      <c r="A1039">
        <f>IF(Sync!$U1036="","",Sync!$U1036)</f>
        <v/>
      </c>
      <c r="B1039">
        <f>IF($A1039="","",IF(ISNUMBER($A1039),IF(AND($A1039&gt;=10000101,$A1039&lt;=99991231),INT($A1039/10000),""),IFERROR(VALUE(TRIM(LEFT($A1039,FIND("/",$A1039)-1))),"")))</f>
        <v/>
      </c>
      <c r="C1039">
        <f>IF(OR($A1039="",$B1039=""),"",IF(ISNUMBER($A1039),INT(MOD($A1039,10000)/100),IFERROR(VALUE(TRIM(LEFT(MID($A1039,FIND("/",$A1039)+1,20),FIND("/",MID($A1039,FIND("/",$A1039)+1,20))-1))),"")))</f>
        <v/>
      </c>
      <c r="D1039">
        <f>IF(OR($A1039="",$B1039=""),"",IF(ISNUMBER($A1039),MOD($A1039,100),IFERROR(VALUE(TRIM(MID(MID($A1039,FIND("/",$A1039)+1,20),FIND("/",MID($A1039,FIND("/",$A1039)+1,20))+1,20))),"")))</f>
        <v/>
      </c>
      <c r="E1039">
        <f>IF($A1039="","",IF(OR($B1039="",$C1039="",$D1039="",$B1039&lt;1300,$B1039&gt;1500,$C1039&lt;1,$C1039&gt;12,$D1039&lt;1,$D1039&gt;31),"نامعتبر",RIGHT("0000"&amp;$B1039,4)&amp;"/"&amp;RIGHT("00"&amp;$C1039,2)&amp;"/"&amp;RIGHT("00"&amp;$D1039,2)))</f>
        <v/>
      </c>
      <c r="F1039">
        <f>IF(OR($E1039="",$E1039="نامعتبر"),"",LEFT($E1039,4)&amp;"/"&amp;MID($E1039,6,2))</f>
        <v/>
      </c>
      <c r="G1039">
        <f>IF(OR($E1039="",$E1039="نامعتبر",Sync!$Y1036=""),"",Sync!$Y1036)</f>
        <v/>
      </c>
      <c r="H1039">
        <f>IF($G1039="","",IF(Sync!$X1036="","",Sync!$X1036))</f>
        <v/>
      </c>
      <c r="I1039">
        <f>IF($G1039="","",IFERROR(VLOOKUP(Sync!$X1036,OpTbl,3,0),""))</f>
        <v/>
      </c>
      <c r="J1039">
        <f>IF(OR($G1039="",Sync!$Z1036=""),"",Sync!$Z1036)</f>
        <v/>
      </c>
      <c r="K1039">
        <f>IF(OR($G1039="",Sync!$AA1036=""),"",Sync!$AA1036)</f>
        <v/>
      </c>
      <c r="L1039">
        <f>IF($G1039="",0,IF(Sync!$AB1036="",0,Sync!$AB1036))</f>
        <v/>
      </c>
      <c r="M1039">
        <f>IF($G1039="",0,IF(Sync!$AC1036="",0,Sync!$AC1036))</f>
        <v/>
      </c>
      <c r="N1039">
        <f>IF($G1039="","",IF($H1039="مرجوعی خرید",-1,1)*($L1039-$M1039*IFERROR(VLOOKUP("P01",ParamTbl,3,0),1.5))*(1-IF($I1039="خرید",IFERROR(VLOOKUP("P02",ParamTbl,3,0),1),0)/100))</f>
        <v/>
      </c>
      <c r="O1039">
        <f>IF($G1039="",0,IF($H1039="مرجوعی خرید",-1,1)*IF(Sync!$AD1036="",0,Sync!$AD1036))</f>
        <v/>
      </c>
      <c r="P1039">
        <f>IF(OR($G1039="",Sync!$W1036=""),"",Sync!$W1036)</f>
        <v/>
      </c>
      <c r="Q1039">
        <f>IF(OR($G1039="",Sync!$AE1036=""),"",Sync!$AE1036)</f>
        <v/>
      </c>
      <c r="R1039">
        <f>IF($G1039="","",IF(Sync!$V1036="","0000",IF(AND(ISNUMBER(Sync!$V1036),Sync!$V1036&gt;=0,Sync!$V1036&lt;1),RIGHT("00"&amp;HOUR(Sync!$V1036),2)&amp;RIGHT("00"&amp;MINUTE(Sync!$V1036),2),IFERROR(RIGHT("00"&amp;VALUE(LEFT(Sync!$V1036,FIND(":",Sync!$V1036)-1)),2)&amp;RIGHT("00"&amp;VALUE(MID(Sync!$V1036,FIND(":",Sync!$V1036)+1,2)),2),"0000"))))</f>
        <v/>
      </c>
    </row>
    <row r="1040">
      <c r="A1040">
        <f>IF(Sync!$U1037="","",Sync!$U1037)</f>
        <v/>
      </c>
      <c r="B1040">
        <f>IF($A1040="","",IF(ISNUMBER($A1040),IF(AND($A1040&gt;=10000101,$A1040&lt;=99991231),INT($A1040/10000),""),IFERROR(VALUE(TRIM(LEFT($A1040,FIND("/",$A1040)-1))),"")))</f>
        <v/>
      </c>
      <c r="C1040">
        <f>IF(OR($A1040="",$B1040=""),"",IF(ISNUMBER($A1040),INT(MOD($A1040,10000)/100),IFERROR(VALUE(TRIM(LEFT(MID($A1040,FIND("/",$A1040)+1,20),FIND("/",MID($A1040,FIND("/",$A1040)+1,20))-1))),"")))</f>
        <v/>
      </c>
      <c r="D1040">
        <f>IF(OR($A1040="",$B1040=""),"",IF(ISNUMBER($A1040),MOD($A1040,100),IFERROR(VALUE(TRIM(MID(MID($A1040,FIND("/",$A1040)+1,20),FIND("/",MID($A1040,FIND("/",$A1040)+1,20))+1,20))),"")))</f>
        <v/>
      </c>
      <c r="E1040">
        <f>IF($A1040="","",IF(OR($B1040="",$C1040="",$D1040="",$B1040&lt;1300,$B1040&gt;1500,$C1040&lt;1,$C1040&gt;12,$D1040&lt;1,$D1040&gt;31),"نامعتبر",RIGHT("0000"&amp;$B1040,4)&amp;"/"&amp;RIGHT("00"&amp;$C1040,2)&amp;"/"&amp;RIGHT("00"&amp;$D1040,2)))</f>
        <v/>
      </c>
      <c r="F1040">
        <f>IF(OR($E1040="",$E1040="نامعتبر"),"",LEFT($E1040,4)&amp;"/"&amp;MID($E1040,6,2))</f>
        <v/>
      </c>
      <c r="G1040">
        <f>IF(OR($E1040="",$E1040="نامعتبر",Sync!$Y1037=""),"",Sync!$Y1037)</f>
        <v/>
      </c>
      <c r="H1040">
        <f>IF($G1040="","",IF(Sync!$X1037="","",Sync!$X1037))</f>
        <v/>
      </c>
      <c r="I1040">
        <f>IF($G1040="","",IFERROR(VLOOKUP(Sync!$X1037,OpTbl,3,0),""))</f>
        <v/>
      </c>
      <c r="J1040">
        <f>IF(OR($G1040="",Sync!$Z1037=""),"",Sync!$Z1037)</f>
        <v/>
      </c>
      <c r="K1040">
        <f>IF(OR($G1040="",Sync!$AA1037=""),"",Sync!$AA1037)</f>
        <v/>
      </c>
      <c r="L1040">
        <f>IF($G1040="",0,IF(Sync!$AB1037="",0,Sync!$AB1037))</f>
        <v/>
      </c>
      <c r="M1040">
        <f>IF($G1040="",0,IF(Sync!$AC1037="",0,Sync!$AC1037))</f>
        <v/>
      </c>
      <c r="N1040">
        <f>IF($G1040="","",IF($H1040="مرجوعی خرید",-1,1)*($L1040-$M1040*IFERROR(VLOOKUP("P01",ParamTbl,3,0),1.5))*(1-IF($I1040="خرید",IFERROR(VLOOKUP("P02",ParamTbl,3,0),1),0)/100))</f>
        <v/>
      </c>
      <c r="O1040">
        <f>IF($G1040="",0,IF($H1040="مرجوعی خرید",-1,1)*IF(Sync!$AD1037="",0,Sync!$AD1037))</f>
        <v/>
      </c>
      <c r="P1040">
        <f>IF(OR($G1040="",Sync!$W1037=""),"",Sync!$W1037)</f>
        <v/>
      </c>
      <c r="Q1040">
        <f>IF(OR($G1040="",Sync!$AE1037=""),"",Sync!$AE1037)</f>
        <v/>
      </c>
      <c r="R1040">
        <f>IF($G1040="","",IF(Sync!$V1037="","0000",IF(AND(ISNUMBER(Sync!$V1037),Sync!$V1037&gt;=0,Sync!$V1037&lt;1),RIGHT("00"&amp;HOUR(Sync!$V1037),2)&amp;RIGHT("00"&amp;MINUTE(Sync!$V1037),2),IFERROR(RIGHT("00"&amp;VALUE(LEFT(Sync!$V1037,FIND(":",Sync!$V1037)-1)),2)&amp;RIGHT("00"&amp;VALUE(MID(Sync!$V1037,FIND(":",Sync!$V1037)+1,2)),2),"0000"))))</f>
        <v/>
      </c>
    </row>
    <row r="1041">
      <c r="A1041">
        <f>IF(Sync!$U1038="","",Sync!$U1038)</f>
        <v/>
      </c>
      <c r="B1041">
        <f>IF($A1041="","",IF(ISNUMBER($A1041),IF(AND($A1041&gt;=10000101,$A1041&lt;=99991231),INT($A1041/10000),""),IFERROR(VALUE(TRIM(LEFT($A1041,FIND("/",$A1041)-1))),"")))</f>
        <v/>
      </c>
      <c r="C1041">
        <f>IF(OR($A1041="",$B1041=""),"",IF(ISNUMBER($A1041),INT(MOD($A1041,10000)/100),IFERROR(VALUE(TRIM(LEFT(MID($A1041,FIND("/",$A1041)+1,20),FIND("/",MID($A1041,FIND("/",$A1041)+1,20))-1))),"")))</f>
        <v/>
      </c>
      <c r="D1041">
        <f>IF(OR($A1041="",$B1041=""),"",IF(ISNUMBER($A1041),MOD($A1041,100),IFERROR(VALUE(TRIM(MID(MID($A1041,FIND("/",$A1041)+1,20),FIND("/",MID($A1041,FIND("/",$A1041)+1,20))+1,20))),"")))</f>
        <v/>
      </c>
      <c r="E1041">
        <f>IF($A1041="","",IF(OR($B1041="",$C1041="",$D1041="",$B1041&lt;1300,$B1041&gt;1500,$C1041&lt;1,$C1041&gt;12,$D1041&lt;1,$D1041&gt;31),"نامعتبر",RIGHT("0000"&amp;$B1041,4)&amp;"/"&amp;RIGHT("00"&amp;$C1041,2)&amp;"/"&amp;RIGHT("00"&amp;$D1041,2)))</f>
        <v/>
      </c>
      <c r="F1041">
        <f>IF(OR($E1041="",$E1041="نامعتبر"),"",LEFT($E1041,4)&amp;"/"&amp;MID($E1041,6,2))</f>
        <v/>
      </c>
      <c r="G1041">
        <f>IF(OR($E1041="",$E1041="نامعتبر",Sync!$Y1038=""),"",Sync!$Y1038)</f>
        <v/>
      </c>
      <c r="H1041">
        <f>IF($G1041="","",IF(Sync!$X1038="","",Sync!$X1038))</f>
        <v/>
      </c>
      <c r="I1041">
        <f>IF($G1041="","",IFERROR(VLOOKUP(Sync!$X1038,OpTbl,3,0),""))</f>
        <v/>
      </c>
      <c r="J1041">
        <f>IF(OR($G1041="",Sync!$Z1038=""),"",Sync!$Z1038)</f>
        <v/>
      </c>
      <c r="K1041">
        <f>IF(OR($G1041="",Sync!$AA1038=""),"",Sync!$AA1038)</f>
        <v/>
      </c>
      <c r="L1041">
        <f>IF($G1041="",0,IF(Sync!$AB1038="",0,Sync!$AB1038))</f>
        <v/>
      </c>
      <c r="M1041">
        <f>IF($G1041="",0,IF(Sync!$AC1038="",0,Sync!$AC1038))</f>
        <v/>
      </c>
      <c r="N1041">
        <f>IF($G1041="","",IF($H1041="مرجوعی خرید",-1,1)*($L1041-$M1041*IFERROR(VLOOKUP("P01",ParamTbl,3,0),1.5))*(1-IF($I1041="خرید",IFERROR(VLOOKUP("P02",ParamTbl,3,0),1),0)/100))</f>
        <v/>
      </c>
      <c r="O1041">
        <f>IF($G1041="",0,IF($H1041="مرجوعی خرید",-1,1)*IF(Sync!$AD1038="",0,Sync!$AD1038))</f>
        <v/>
      </c>
      <c r="P1041">
        <f>IF(OR($G1041="",Sync!$W1038=""),"",Sync!$W1038)</f>
        <v/>
      </c>
      <c r="Q1041">
        <f>IF(OR($G1041="",Sync!$AE1038=""),"",Sync!$AE1038)</f>
        <v/>
      </c>
      <c r="R1041">
        <f>IF($G1041="","",IF(Sync!$V1038="","0000",IF(AND(ISNUMBER(Sync!$V1038),Sync!$V1038&gt;=0,Sync!$V1038&lt;1),RIGHT("00"&amp;HOUR(Sync!$V1038),2)&amp;RIGHT("00"&amp;MINUTE(Sync!$V1038),2),IFERROR(RIGHT("00"&amp;VALUE(LEFT(Sync!$V1038,FIND(":",Sync!$V1038)-1)),2)&amp;RIGHT("00"&amp;VALUE(MID(Sync!$V1038,FIND(":",Sync!$V1038)+1,2)),2),"0000"))))</f>
        <v/>
      </c>
    </row>
    <row r="1042">
      <c r="A1042">
        <f>IF(Sync!$U1039="","",Sync!$U1039)</f>
        <v/>
      </c>
      <c r="B1042">
        <f>IF($A1042="","",IF(ISNUMBER($A1042),IF(AND($A1042&gt;=10000101,$A1042&lt;=99991231),INT($A1042/10000),""),IFERROR(VALUE(TRIM(LEFT($A1042,FIND("/",$A1042)-1))),"")))</f>
        <v/>
      </c>
      <c r="C1042">
        <f>IF(OR($A1042="",$B1042=""),"",IF(ISNUMBER($A1042),INT(MOD($A1042,10000)/100),IFERROR(VALUE(TRIM(LEFT(MID($A1042,FIND("/",$A1042)+1,20),FIND("/",MID($A1042,FIND("/",$A1042)+1,20))-1))),"")))</f>
        <v/>
      </c>
      <c r="D1042">
        <f>IF(OR($A1042="",$B1042=""),"",IF(ISNUMBER($A1042),MOD($A1042,100),IFERROR(VALUE(TRIM(MID(MID($A1042,FIND("/",$A1042)+1,20),FIND("/",MID($A1042,FIND("/",$A1042)+1,20))+1,20))),"")))</f>
        <v/>
      </c>
      <c r="E1042">
        <f>IF($A1042="","",IF(OR($B1042="",$C1042="",$D1042="",$B1042&lt;1300,$B1042&gt;1500,$C1042&lt;1,$C1042&gt;12,$D1042&lt;1,$D1042&gt;31),"نامعتبر",RIGHT("0000"&amp;$B1042,4)&amp;"/"&amp;RIGHT("00"&amp;$C1042,2)&amp;"/"&amp;RIGHT("00"&amp;$D1042,2)))</f>
        <v/>
      </c>
      <c r="F1042">
        <f>IF(OR($E1042="",$E1042="نامعتبر"),"",LEFT($E1042,4)&amp;"/"&amp;MID($E1042,6,2))</f>
        <v/>
      </c>
      <c r="G1042">
        <f>IF(OR($E1042="",$E1042="نامعتبر",Sync!$Y1039=""),"",Sync!$Y1039)</f>
        <v/>
      </c>
      <c r="H1042">
        <f>IF($G1042="","",IF(Sync!$X1039="","",Sync!$X1039))</f>
        <v/>
      </c>
      <c r="I1042">
        <f>IF($G1042="","",IFERROR(VLOOKUP(Sync!$X1039,OpTbl,3,0),""))</f>
        <v/>
      </c>
      <c r="J1042">
        <f>IF(OR($G1042="",Sync!$Z1039=""),"",Sync!$Z1039)</f>
        <v/>
      </c>
      <c r="K1042">
        <f>IF(OR($G1042="",Sync!$AA1039=""),"",Sync!$AA1039)</f>
        <v/>
      </c>
      <c r="L1042">
        <f>IF($G1042="",0,IF(Sync!$AB1039="",0,Sync!$AB1039))</f>
        <v/>
      </c>
      <c r="M1042">
        <f>IF($G1042="",0,IF(Sync!$AC1039="",0,Sync!$AC1039))</f>
        <v/>
      </c>
      <c r="N1042">
        <f>IF($G1042="","",IF($H1042="مرجوعی خرید",-1,1)*($L1042-$M1042*IFERROR(VLOOKUP("P01",ParamTbl,3,0),1.5))*(1-IF($I1042="خرید",IFERROR(VLOOKUP("P02",ParamTbl,3,0),1),0)/100))</f>
        <v/>
      </c>
      <c r="O1042">
        <f>IF($G1042="",0,IF($H1042="مرجوعی خرید",-1,1)*IF(Sync!$AD1039="",0,Sync!$AD1039))</f>
        <v/>
      </c>
      <c r="P1042">
        <f>IF(OR($G1042="",Sync!$W1039=""),"",Sync!$W1039)</f>
        <v/>
      </c>
      <c r="Q1042">
        <f>IF(OR($G1042="",Sync!$AE1039=""),"",Sync!$AE1039)</f>
        <v/>
      </c>
      <c r="R1042">
        <f>IF($G1042="","",IF(Sync!$V1039="","0000",IF(AND(ISNUMBER(Sync!$V1039),Sync!$V1039&gt;=0,Sync!$V1039&lt;1),RIGHT("00"&amp;HOUR(Sync!$V1039),2)&amp;RIGHT("00"&amp;MINUTE(Sync!$V1039),2),IFERROR(RIGHT("00"&amp;VALUE(LEFT(Sync!$V1039,FIND(":",Sync!$V1039)-1)),2)&amp;RIGHT("00"&amp;VALUE(MID(Sync!$V1039,FIND(":",Sync!$V1039)+1,2)),2),"0000"))))</f>
        <v/>
      </c>
    </row>
    <row r="1043">
      <c r="A1043">
        <f>IF(Sync!$U1040="","",Sync!$U1040)</f>
        <v/>
      </c>
      <c r="B1043">
        <f>IF($A1043="","",IF(ISNUMBER($A1043),IF(AND($A1043&gt;=10000101,$A1043&lt;=99991231),INT($A1043/10000),""),IFERROR(VALUE(TRIM(LEFT($A1043,FIND("/",$A1043)-1))),"")))</f>
        <v/>
      </c>
      <c r="C1043">
        <f>IF(OR($A1043="",$B1043=""),"",IF(ISNUMBER($A1043),INT(MOD($A1043,10000)/100),IFERROR(VALUE(TRIM(LEFT(MID($A1043,FIND("/",$A1043)+1,20),FIND("/",MID($A1043,FIND("/",$A1043)+1,20))-1))),"")))</f>
        <v/>
      </c>
      <c r="D1043">
        <f>IF(OR($A1043="",$B1043=""),"",IF(ISNUMBER($A1043),MOD($A1043,100),IFERROR(VALUE(TRIM(MID(MID($A1043,FIND("/",$A1043)+1,20),FIND("/",MID($A1043,FIND("/",$A1043)+1,20))+1,20))),"")))</f>
        <v/>
      </c>
      <c r="E1043">
        <f>IF($A1043="","",IF(OR($B1043="",$C1043="",$D1043="",$B1043&lt;1300,$B1043&gt;1500,$C1043&lt;1,$C1043&gt;12,$D1043&lt;1,$D1043&gt;31),"نامعتبر",RIGHT("0000"&amp;$B1043,4)&amp;"/"&amp;RIGHT("00"&amp;$C1043,2)&amp;"/"&amp;RIGHT("00"&amp;$D1043,2)))</f>
        <v/>
      </c>
      <c r="F1043">
        <f>IF(OR($E1043="",$E1043="نامعتبر"),"",LEFT($E1043,4)&amp;"/"&amp;MID($E1043,6,2))</f>
        <v/>
      </c>
      <c r="G1043">
        <f>IF(OR($E1043="",$E1043="نامعتبر",Sync!$Y1040=""),"",Sync!$Y1040)</f>
        <v/>
      </c>
      <c r="H1043">
        <f>IF($G1043="","",IF(Sync!$X1040="","",Sync!$X1040))</f>
        <v/>
      </c>
      <c r="I1043">
        <f>IF($G1043="","",IFERROR(VLOOKUP(Sync!$X1040,OpTbl,3,0),""))</f>
        <v/>
      </c>
      <c r="J1043">
        <f>IF(OR($G1043="",Sync!$Z1040=""),"",Sync!$Z1040)</f>
        <v/>
      </c>
      <c r="K1043">
        <f>IF(OR($G1043="",Sync!$AA1040=""),"",Sync!$AA1040)</f>
        <v/>
      </c>
      <c r="L1043">
        <f>IF($G1043="",0,IF(Sync!$AB1040="",0,Sync!$AB1040))</f>
        <v/>
      </c>
      <c r="M1043">
        <f>IF($G1043="",0,IF(Sync!$AC1040="",0,Sync!$AC1040))</f>
        <v/>
      </c>
      <c r="N1043">
        <f>IF($G1043="","",IF($H1043="مرجوعی خرید",-1,1)*($L1043-$M1043*IFERROR(VLOOKUP("P01",ParamTbl,3,0),1.5))*(1-IF($I1043="خرید",IFERROR(VLOOKUP("P02",ParamTbl,3,0),1),0)/100))</f>
        <v/>
      </c>
      <c r="O1043">
        <f>IF($G1043="",0,IF($H1043="مرجوعی خرید",-1,1)*IF(Sync!$AD1040="",0,Sync!$AD1040))</f>
        <v/>
      </c>
      <c r="P1043">
        <f>IF(OR($G1043="",Sync!$W1040=""),"",Sync!$W1040)</f>
        <v/>
      </c>
      <c r="Q1043">
        <f>IF(OR($G1043="",Sync!$AE1040=""),"",Sync!$AE1040)</f>
        <v/>
      </c>
      <c r="R1043">
        <f>IF($G1043="","",IF(Sync!$V1040="","0000",IF(AND(ISNUMBER(Sync!$V1040),Sync!$V1040&gt;=0,Sync!$V1040&lt;1),RIGHT("00"&amp;HOUR(Sync!$V1040),2)&amp;RIGHT("00"&amp;MINUTE(Sync!$V1040),2),IFERROR(RIGHT("00"&amp;VALUE(LEFT(Sync!$V1040,FIND(":",Sync!$V1040)-1)),2)&amp;RIGHT("00"&amp;VALUE(MID(Sync!$V1040,FIND(":",Sync!$V1040)+1,2)),2),"0000"))))</f>
        <v/>
      </c>
    </row>
    <row r="1044">
      <c r="A1044">
        <f>IF(Sync!$U1041="","",Sync!$U1041)</f>
        <v/>
      </c>
      <c r="B1044">
        <f>IF($A1044="","",IF(ISNUMBER($A1044),IF(AND($A1044&gt;=10000101,$A1044&lt;=99991231),INT($A1044/10000),""),IFERROR(VALUE(TRIM(LEFT($A1044,FIND("/",$A1044)-1))),"")))</f>
        <v/>
      </c>
      <c r="C1044">
        <f>IF(OR($A1044="",$B1044=""),"",IF(ISNUMBER($A1044),INT(MOD($A1044,10000)/100),IFERROR(VALUE(TRIM(LEFT(MID($A1044,FIND("/",$A1044)+1,20),FIND("/",MID($A1044,FIND("/",$A1044)+1,20))-1))),"")))</f>
        <v/>
      </c>
      <c r="D1044">
        <f>IF(OR($A1044="",$B1044=""),"",IF(ISNUMBER($A1044),MOD($A1044,100),IFERROR(VALUE(TRIM(MID(MID($A1044,FIND("/",$A1044)+1,20),FIND("/",MID($A1044,FIND("/",$A1044)+1,20))+1,20))),"")))</f>
        <v/>
      </c>
      <c r="E1044">
        <f>IF($A1044="","",IF(OR($B1044="",$C1044="",$D1044="",$B1044&lt;1300,$B1044&gt;1500,$C1044&lt;1,$C1044&gt;12,$D1044&lt;1,$D1044&gt;31),"نامعتبر",RIGHT("0000"&amp;$B1044,4)&amp;"/"&amp;RIGHT("00"&amp;$C1044,2)&amp;"/"&amp;RIGHT("00"&amp;$D1044,2)))</f>
        <v/>
      </c>
      <c r="F1044">
        <f>IF(OR($E1044="",$E1044="نامعتبر"),"",LEFT($E1044,4)&amp;"/"&amp;MID($E1044,6,2))</f>
        <v/>
      </c>
      <c r="G1044">
        <f>IF(OR($E1044="",$E1044="نامعتبر",Sync!$Y1041=""),"",Sync!$Y1041)</f>
        <v/>
      </c>
      <c r="H1044">
        <f>IF($G1044="","",IF(Sync!$X1041="","",Sync!$X1041))</f>
        <v/>
      </c>
      <c r="I1044">
        <f>IF($G1044="","",IFERROR(VLOOKUP(Sync!$X1041,OpTbl,3,0),""))</f>
        <v/>
      </c>
      <c r="J1044">
        <f>IF(OR($G1044="",Sync!$Z1041=""),"",Sync!$Z1041)</f>
        <v/>
      </c>
      <c r="K1044">
        <f>IF(OR($G1044="",Sync!$AA1041=""),"",Sync!$AA1041)</f>
        <v/>
      </c>
      <c r="L1044">
        <f>IF($G1044="",0,IF(Sync!$AB1041="",0,Sync!$AB1041))</f>
        <v/>
      </c>
      <c r="M1044">
        <f>IF($G1044="",0,IF(Sync!$AC1041="",0,Sync!$AC1041))</f>
        <v/>
      </c>
      <c r="N1044">
        <f>IF($G1044="","",IF($H1044="مرجوعی خرید",-1,1)*($L1044-$M1044*IFERROR(VLOOKUP("P01",ParamTbl,3,0),1.5))*(1-IF($I1044="خرید",IFERROR(VLOOKUP("P02",ParamTbl,3,0),1),0)/100))</f>
        <v/>
      </c>
      <c r="O1044">
        <f>IF($G1044="",0,IF($H1044="مرجوعی خرید",-1,1)*IF(Sync!$AD1041="",0,Sync!$AD1041))</f>
        <v/>
      </c>
      <c r="P1044">
        <f>IF(OR($G1044="",Sync!$W1041=""),"",Sync!$W1041)</f>
        <v/>
      </c>
      <c r="Q1044">
        <f>IF(OR($G1044="",Sync!$AE1041=""),"",Sync!$AE1041)</f>
        <v/>
      </c>
      <c r="R1044">
        <f>IF($G1044="","",IF(Sync!$V1041="","0000",IF(AND(ISNUMBER(Sync!$V1041),Sync!$V1041&gt;=0,Sync!$V1041&lt;1),RIGHT("00"&amp;HOUR(Sync!$V1041),2)&amp;RIGHT("00"&amp;MINUTE(Sync!$V1041),2),IFERROR(RIGHT("00"&amp;VALUE(LEFT(Sync!$V1041,FIND(":",Sync!$V1041)-1)),2)&amp;RIGHT("00"&amp;VALUE(MID(Sync!$V1041,FIND(":",Sync!$V1041)+1,2)),2),"0000"))))</f>
        <v/>
      </c>
    </row>
    <row r="1045">
      <c r="A1045">
        <f>IF(Sync!$U1042="","",Sync!$U1042)</f>
        <v/>
      </c>
      <c r="B1045">
        <f>IF($A1045="","",IF(ISNUMBER($A1045),IF(AND($A1045&gt;=10000101,$A1045&lt;=99991231),INT($A1045/10000),""),IFERROR(VALUE(TRIM(LEFT($A1045,FIND("/",$A1045)-1))),"")))</f>
        <v/>
      </c>
      <c r="C1045">
        <f>IF(OR($A1045="",$B1045=""),"",IF(ISNUMBER($A1045),INT(MOD($A1045,10000)/100),IFERROR(VALUE(TRIM(LEFT(MID($A1045,FIND("/",$A1045)+1,20),FIND("/",MID($A1045,FIND("/",$A1045)+1,20))-1))),"")))</f>
        <v/>
      </c>
      <c r="D1045">
        <f>IF(OR($A1045="",$B1045=""),"",IF(ISNUMBER($A1045),MOD($A1045,100),IFERROR(VALUE(TRIM(MID(MID($A1045,FIND("/",$A1045)+1,20),FIND("/",MID($A1045,FIND("/",$A1045)+1,20))+1,20))),"")))</f>
        <v/>
      </c>
      <c r="E1045">
        <f>IF($A1045="","",IF(OR($B1045="",$C1045="",$D1045="",$B1045&lt;1300,$B1045&gt;1500,$C1045&lt;1,$C1045&gt;12,$D1045&lt;1,$D1045&gt;31),"نامعتبر",RIGHT("0000"&amp;$B1045,4)&amp;"/"&amp;RIGHT("00"&amp;$C1045,2)&amp;"/"&amp;RIGHT("00"&amp;$D1045,2)))</f>
        <v/>
      </c>
      <c r="F1045">
        <f>IF(OR($E1045="",$E1045="نامعتبر"),"",LEFT($E1045,4)&amp;"/"&amp;MID($E1045,6,2))</f>
        <v/>
      </c>
      <c r="G1045">
        <f>IF(OR($E1045="",$E1045="نامعتبر",Sync!$Y1042=""),"",Sync!$Y1042)</f>
        <v/>
      </c>
      <c r="H1045">
        <f>IF($G1045="","",IF(Sync!$X1042="","",Sync!$X1042))</f>
        <v/>
      </c>
      <c r="I1045">
        <f>IF($G1045="","",IFERROR(VLOOKUP(Sync!$X1042,OpTbl,3,0),""))</f>
        <v/>
      </c>
      <c r="J1045">
        <f>IF(OR($G1045="",Sync!$Z1042=""),"",Sync!$Z1042)</f>
        <v/>
      </c>
      <c r="K1045">
        <f>IF(OR($G1045="",Sync!$AA1042=""),"",Sync!$AA1042)</f>
        <v/>
      </c>
      <c r="L1045">
        <f>IF($G1045="",0,IF(Sync!$AB1042="",0,Sync!$AB1042))</f>
        <v/>
      </c>
      <c r="M1045">
        <f>IF($G1045="",0,IF(Sync!$AC1042="",0,Sync!$AC1042))</f>
        <v/>
      </c>
      <c r="N1045">
        <f>IF($G1045="","",IF($H1045="مرجوعی خرید",-1,1)*($L1045-$M1045*IFERROR(VLOOKUP("P01",ParamTbl,3,0),1.5))*(1-IF($I1045="خرید",IFERROR(VLOOKUP("P02",ParamTbl,3,0),1),0)/100))</f>
        <v/>
      </c>
      <c r="O1045">
        <f>IF($G1045="",0,IF($H1045="مرجوعی خرید",-1,1)*IF(Sync!$AD1042="",0,Sync!$AD1042))</f>
        <v/>
      </c>
      <c r="P1045">
        <f>IF(OR($G1045="",Sync!$W1042=""),"",Sync!$W1042)</f>
        <v/>
      </c>
      <c r="Q1045">
        <f>IF(OR($G1045="",Sync!$AE1042=""),"",Sync!$AE1042)</f>
        <v/>
      </c>
      <c r="R1045">
        <f>IF($G1045="","",IF(Sync!$V1042="","0000",IF(AND(ISNUMBER(Sync!$V1042),Sync!$V1042&gt;=0,Sync!$V1042&lt;1),RIGHT("00"&amp;HOUR(Sync!$V1042),2)&amp;RIGHT("00"&amp;MINUTE(Sync!$V1042),2),IFERROR(RIGHT("00"&amp;VALUE(LEFT(Sync!$V1042,FIND(":",Sync!$V1042)-1)),2)&amp;RIGHT("00"&amp;VALUE(MID(Sync!$V1042,FIND(":",Sync!$V1042)+1,2)),2),"0000"))))</f>
        <v/>
      </c>
    </row>
    <row r="1046">
      <c r="A1046">
        <f>IF(Sync!$U1043="","",Sync!$U1043)</f>
        <v/>
      </c>
      <c r="B1046">
        <f>IF($A1046="","",IF(ISNUMBER($A1046),IF(AND($A1046&gt;=10000101,$A1046&lt;=99991231),INT($A1046/10000),""),IFERROR(VALUE(TRIM(LEFT($A1046,FIND("/",$A1046)-1))),"")))</f>
        <v/>
      </c>
      <c r="C1046">
        <f>IF(OR($A1046="",$B1046=""),"",IF(ISNUMBER($A1046),INT(MOD($A1046,10000)/100),IFERROR(VALUE(TRIM(LEFT(MID($A1046,FIND("/",$A1046)+1,20),FIND("/",MID($A1046,FIND("/",$A1046)+1,20))-1))),"")))</f>
        <v/>
      </c>
      <c r="D1046">
        <f>IF(OR($A1046="",$B1046=""),"",IF(ISNUMBER($A1046),MOD($A1046,100),IFERROR(VALUE(TRIM(MID(MID($A1046,FIND("/",$A1046)+1,20),FIND("/",MID($A1046,FIND("/",$A1046)+1,20))+1,20))),"")))</f>
        <v/>
      </c>
      <c r="E1046">
        <f>IF($A1046="","",IF(OR($B1046="",$C1046="",$D1046="",$B1046&lt;1300,$B1046&gt;1500,$C1046&lt;1,$C1046&gt;12,$D1046&lt;1,$D1046&gt;31),"نامعتبر",RIGHT("0000"&amp;$B1046,4)&amp;"/"&amp;RIGHT("00"&amp;$C1046,2)&amp;"/"&amp;RIGHT("00"&amp;$D1046,2)))</f>
        <v/>
      </c>
      <c r="F1046">
        <f>IF(OR($E1046="",$E1046="نامعتبر"),"",LEFT($E1046,4)&amp;"/"&amp;MID($E1046,6,2))</f>
        <v/>
      </c>
      <c r="G1046">
        <f>IF(OR($E1046="",$E1046="نامعتبر",Sync!$Y1043=""),"",Sync!$Y1043)</f>
        <v/>
      </c>
      <c r="H1046">
        <f>IF($G1046="","",IF(Sync!$X1043="","",Sync!$X1043))</f>
        <v/>
      </c>
      <c r="I1046">
        <f>IF($G1046="","",IFERROR(VLOOKUP(Sync!$X1043,OpTbl,3,0),""))</f>
        <v/>
      </c>
      <c r="J1046">
        <f>IF(OR($G1046="",Sync!$Z1043=""),"",Sync!$Z1043)</f>
        <v/>
      </c>
      <c r="K1046">
        <f>IF(OR($G1046="",Sync!$AA1043=""),"",Sync!$AA1043)</f>
        <v/>
      </c>
      <c r="L1046">
        <f>IF($G1046="",0,IF(Sync!$AB1043="",0,Sync!$AB1043))</f>
        <v/>
      </c>
      <c r="M1046">
        <f>IF($G1046="",0,IF(Sync!$AC1043="",0,Sync!$AC1043))</f>
        <v/>
      </c>
      <c r="N1046">
        <f>IF($G1046="","",IF($H1046="مرجوعی خرید",-1,1)*($L1046-$M1046*IFERROR(VLOOKUP("P01",ParamTbl,3,0),1.5))*(1-IF($I1046="خرید",IFERROR(VLOOKUP("P02",ParamTbl,3,0),1),0)/100))</f>
        <v/>
      </c>
      <c r="O1046">
        <f>IF($G1046="",0,IF($H1046="مرجوعی خرید",-1,1)*IF(Sync!$AD1043="",0,Sync!$AD1043))</f>
        <v/>
      </c>
      <c r="P1046">
        <f>IF(OR($G1046="",Sync!$W1043=""),"",Sync!$W1043)</f>
        <v/>
      </c>
      <c r="Q1046">
        <f>IF(OR($G1046="",Sync!$AE1043=""),"",Sync!$AE1043)</f>
        <v/>
      </c>
      <c r="R1046">
        <f>IF($G1046="","",IF(Sync!$V1043="","0000",IF(AND(ISNUMBER(Sync!$V1043),Sync!$V1043&gt;=0,Sync!$V1043&lt;1),RIGHT("00"&amp;HOUR(Sync!$V1043),2)&amp;RIGHT("00"&amp;MINUTE(Sync!$V1043),2),IFERROR(RIGHT("00"&amp;VALUE(LEFT(Sync!$V1043,FIND(":",Sync!$V1043)-1)),2)&amp;RIGHT("00"&amp;VALUE(MID(Sync!$V1043,FIND(":",Sync!$V1043)+1,2)),2),"0000"))))</f>
        <v/>
      </c>
    </row>
    <row r="1047">
      <c r="A1047">
        <f>IF(Sync!$U1044="","",Sync!$U1044)</f>
        <v/>
      </c>
      <c r="B1047">
        <f>IF($A1047="","",IF(ISNUMBER($A1047),IF(AND($A1047&gt;=10000101,$A1047&lt;=99991231),INT($A1047/10000),""),IFERROR(VALUE(TRIM(LEFT($A1047,FIND("/",$A1047)-1))),"")))</f>
        <v/>
      </c>
      <c r="C1047">
        <f>IF(OR($A1047="",$B1047=""),"",IF(ISNUMBER($A1047),INT(MOD($A1047,10000)/100),IFERROR(VALUE(TRIM(LEFT(MID($A1047,FIND("/",$A1047)+1,20),FIND("/",MID($A1047,FIND("/",$A1047)+1,20))-1))),"")))</f>
        <v/>
      </c>
      <c r="D1047">
        <f>IF(OR($A1047="",$B1047=""),"",IF(ISNUMBER($A1047),MOD($A1047,100),IFERROR(VALUE(TRIM(MID(MID($A1047,FIND("/",$A1047)+1,20),FIND("/",MID($A1047,FIND("/",$A1047)+1,20))+1,20))),"")))</f>
        <v/>
      </c>
      <c r="E1047">
        <f>IF($A1047="","",IF(OR($B1047="",$C1047="",$D1047="",$B1047&lt;1300,$B1047&gt;1500,$C1047&lt;1,$C1047&gt;12,$D1047&lt;1,$D1047&gt;31),"نامعتبر",RIGHT("0000"&amp;$B1047,4)&amp;"/"&amp;RIGHT("00"&amp;$C1047,2)&amp;"/"&amp;RIGHT("00"&amp;$D1047,2)))</f>
        <v/>
      </c>
      <c r="F1047">
        <f>IF(OR($E1047="",$E1047="نامعتبر"),"",LEFT($E1047,4)&amp;"/"&amp;MID($E1047,6,2))</f>
        <v/>
      </c>
      <c r="G1047">
        <f>IF(OR($E1047="",$E1047="نامعتبر",Sync!$Y1044=""),"",Sync!$Y1044)</f>
        <v/>
      </c>
      <c r="H1047">
        <f>IF($G1047="","",IF(Sync!$X1044="","",Sync!$X1044))</f>
        <v/>
      </c>
      <c r="I1047">
        <f>IF($G1047="","",IFERROR(VLOOKUP(Sync!$X1044,OpTbl,3,0),""))</f>
        <v/>
      </c>
      <c r="J1047">
        <f>IF(OR($G1047="",Sync!$Z1044=""),"",Sync!$Z1044)</f>
        <v/>
      </c>
      <c r="K1047">
        <f>IF(OR($G1047="",Sync!$AA1044=""),"",Sync!$AA1044)</f>
        <v/>
      </c>
      <c r="L1047">
        <f>IF($G1047="",0,IF(Sync!$AB1044="",0,Sync!$AB1044))</f>
        <v/>
      </c>
      <c r="M1047">
        <f>IF($G1047="",0,IF(Sync!$AC1044="",0,Sync!$AC1044))</f>
        <v/>
      </c>
      <c r="N1047">
        <f>IF($G1047="","",IF($H1047="مرجوعی خرید",-1,1)*($L1047-$M1047*IFERROR(VLOOKUP("P01",ParamTbl,3,0),1.5))*(1-IF($I1047="خرید",IFERROR(VLOOKUP("P02",ParamTbl,3,0),1),0)/100))</f>
        <v/>
      </c>
      <c r="O1047">
        <f>IF($G1047="",0,IF($H1047="مرجوعی خرید",-1,1)*IF(Sync!$AD1044="",0,Sync!$AD1044))</f>
        <v/>
      </c>
      <c r="P1047">
        <f>IF(OR($G1047="",Sync!$W1044=""),"",Sync!$W1044)</f>
        <v/>
      </c>
      <c r="Q1047">
        <f>IF(OR($G1047="",Sync!$AE1044=""),"",Sync!$AE1044)</f>
        <v/>
      </c>
      <c r="R1047">
        <f>IF($G1047="","",IF(Sync!$V1044="","0000",IF(AND(ISNUMBER(Sync!$V1044),Sync!$V1044&gt;=0,Sync!$V1044&lt;1),RIGHT("00"&amp;HOUR(Sync!$V1044),2)&amp;RIGHT("00"&amp;MINUTE(Sync!$V1044),2),IFERROR(RIGHT("00"&amp;VALUE(LEFT(Sync!$V1044,FIND(":",Sync!$V1044)-1)),2)&amp;RIGHT("00"&amp;VALUE(MID(Sync!$V1044,FIND(":",Sync!$V1044)+1,2)),2),"0000"))))</f>
        <v/>
      </c>
    </row>
    <row r="1048">
      <c r="A1048">
        <f>IF(Sync!$U1045="","",Sync!$U1045)</f>
        <v/>
      </c>
      <c r="B1048">
        <f>IF($A1048="","",IF(ISNUMBER($A1048),IF(AND($A1048&gt;=10000101,$A1048&lt;=99991231),INT($A1048/10000),""),IFERROR(VALUE(TRIM(LEFT($A1048,FIND("/",$A1048)-1))),"")))</f>
        <v/>
      </c>
      <c r="C1048">
        <f>IF(OR($A1048="",$B1048=""),"",IF(ISNUMBER($A1048),INT(MOD($A1048,10000)/100),IFERROR(VALUE(TRIM(LEFT(MID($A1048,FIND("/",$A1048)+1,20),FIND("/",MID($A1048,FIND("/",$A1048)+1,20))-1))),"")))</f>
        <v/>
      </c>
      <c r="D1048">
        <f>IF(OR($A1048="",$B1048=""),"",IF(ISNUMBER($A1048),MOD($A1048,100),IFERROR(VALUE(TRIM(MID(MID($A1048,FIND("/",$A1048)+1,20),FIND("/",MID($A1048,FIND("/",$A1048)+1,20))+1,20))),"")))</f>
        <v/>
      </c>
      <c r="E1048">
        <f>IF($A1048="","",IF(OR($B1048="",$C1048="",$D1048="",$B1048&lt;1300,$B1048&gt;1500,$C1048&lt;1,$C1048&gt;12,$D1048&lt;1,$D1048&gt;31),"نامعتبر",RIGHT("0000"&amp;$B1048,4)&amp;"/"&amp;RIGHT("00"&amp;$C1048,2)&amp;"/"&amp;RIGHT("00"&amp;$D1048,2)))</f>
        <v/>
      </c>
      <c r="F1048">
        <f>IF(OR($E1048="",$E1048="نامعتبر"),"",LEFT($E1048,4)&amp;"/"&amp;MID($E1048,6,2))</f>
        <v/>
      </c>
      <c r="G1048">
        <f>IF(OR($E1048="",$E1048="نامعتبر",Sync!$Y1045=""),"",Sync!$Y1045)</f>
        <v/>
      </c>
      <c r="H1048">
        <f>IF($G1048="","",IF(Sync!$X1045="","",Sync!$X1045))</f>
        <v/>
      </c>
      <c r="I1048">
        <f>IF($G1048="","",IFERROR(VLOOKUP(Sync!$X1045,OpTbl,3,0),""))</f>
        <v/>
      </c>
      <c r="J1048">
        <f>IF(OR($G1048="",Sync!$Z1045=""),"",Sync!$Z1045)</f>
        <v/>
      </c>
      <c r="K1048">
        <f>IF(OR($G1048="",Sync!$AA1045=""),"",Sync!$AA1045)</f>
        <v/>
      </c>
      <c r="L1048">
        <f>IF($G1048="",0,IF(Sync!$AB1045="",0,Sync!$AB1045))</f>
        <v/>
      </c>
      <c r="M1048">
        <f>IF($G1048="",0,IF(Sync!$AC1045="",0,Sync!$AC1045))</f>
        <v/>
      </c>
      <c r="N1048">
        <f>IF($G1048="","",IF($H1048="مرجوعی خرید",-1,1)*($L1048-$M1048*IFERROR(VLOOKUP("P01",ParamTbl,3,0),1.5))*(1-IF($I1048="خرید",IFERROR(VLOOKUP("P02",ParamTbl,3,0),1),0)/100))</f>
        <v/>
      </c>
      <c r="O1048">
        <f>IF($G1048="",0,IF($H1048="مرجوعی خرید",-1,1)*IF(Sync!$AD1045="",0,Sync!$AD1045))</f>
        <v/>
      </c>
      <c r="P1048">
        <f>IF(OR($G1048="",Sync!$W1045=""),"",Sync!$W1045)</f>
        <v/>
      </c>
      <c r="Q1048">
        <f>IF(OR($G1048="",Sync!$AE1045=""),"",Sync!$AE1045)</f>
        <v/>
      </c>
      <c r="R1048">
        <f>IF($G1048="","",IF(Sync!$V1045="","0000",IF(AND(ISNUMBER(Sync!$V1045),Sync!$V1045&gt;=0,Sync!$V1045&lt;1),RIGHT("00"&amp;HOUR(Sync!$V1045),2)&amp;RIGHT("00"&amp;MINUTE(Sync!$V1045),2),IFERROR(RIGHT("00"&amp;VALUE(LEFT(Sync!$V1045,FIND(":",Sync!$V1045)-1)),2)&amp;RIGHT("00"&amp;VALUE(MID(Sync!$V1045,FIND(":",Sync!$V1045)+1,2)),2),"0000"))))</f>
        <v/>
      </c>
    </row>
    <row r="1049">
      <c r="A1049">
        <f>IF(Sync!$U1046="","",Sync!$U1046)</f>
        <v/>
      </c>
      <c r="B1049">
        <f>IF($A1049="","",IF(ISNUMBER($A1049),IF(AND($A1049&gt;=10000101,$A1049&lt;=99991231),INT($A1049/10000),""),IFERROR(VALUE(TRIM(LEFT($A1049,FIND("/",$A1049)-1))),"")))</f>
        <v/>
      </c>
      <c r="C1049">
        <f>IF(OR($A1049="",$B1049=""),"",IF(ISNUMBER($A1049),INT(MOD($A1049,10000)/100),IFERROR(VALUE(TRIM(LEFT(MID($A1049,FIND("/",$A1049)+1,20),FIND("/",MID($A1049,FIND("/",$A1049)+1,20))-1))),"")))</f>
        <v/>
      </c>
      <c r="D1049">
        <f>IF(OR($A1049="",$B1049=""),"",IF(ISNUMBER($A1049),MOD($A1049,100),IFERROR(VALUE(TRIM(MID(MID($A1049,FIND("/",$A1049)+1,20),FIND("/",MID($A1049,FIND("/",$A1049)+1,20))+1,20))),"")))</f>
        <v/>
      </c>
      <c r="E1049">
        <f>IF($A1049="","",IF(OR($B1049="",$C1049="",$D1049="",$B1049&lt;1300,$B1049&gt;1500,$C1049&lt;1,$C1049&gt;12,$D1049&lt;1,$D1049&gt;31),"نامعتبر",RIGHT("0000"&amp;$B1049,4)&amp;"/"&amp;RIGHT("00"&amp;$C1049,2)&amp;"/"&amp;RIGHT("00"&amp;$D1049,2)))</f>
        <v/>
      </c>
      <c r="F1049">
        <f>IF(OR($E1049="",$E1049="نامعتبر"),"",LEFT($E1049,4)&amp;"/"&amp;MID($E1049,6,2))</f>
        <v/>
      </c>
      <c r="G1049">
        <f>IF(OR($E1049="",$E1049="نامعتبر",Sync!$Y1046=""),"",Sync!$Y1046)</f>
        <v/>
      </c>
      <c r="H1049">
        <f>IF($G1049="","",IF(Sync!$X1046="","",Sync!$X1046))</f>
        <v/>
      </c>
      <c r="I1049">
        <f>IF($G1049="","",IFERROR(VLOOKUP(Sync!$X1046,OpTbl,3,0),""))</f>
        <v/>
      </c>
      <c r="J1049">
        <f>IF(OR($G1049="",Sync!$Z1046=""),"",Sync!$Z1046)</f>
        <v/>
      </c>
      <c r="K1049">
        <f>IF(OR($G1049="",Sync!$AA1046=""),"",Sync!$AA1046)</f>
        <v/>
      </c>
      <c r="L1049">
        <f>IF($G1049="",0,IF(Sync!$AB1046="",0,Sync!$AB1046))</f>
        <v/>
      </c>
      <c r="M1049">
        <f>IF($G1049="",0,IF(Sync!$AC1046="",0,Sync!$AC1046))</f>
        <v/>
      </c>
      <c r="N1049">
        <f>IF($G1049="","",IF($H1049="مرجوعی خرید",-1,1)*($L1049-$M1049*IFERROR(VLOOKUP("P01",ParamTbl,3,0),1.5))*(1-IF($I1049="خرید",IFERROR(VLOOKUP("P02",ParamTbl,3,0),1),0)/100))</f>
        <v/>
      </c>
      <c r="O1049">
        <f>IF($G1049="",0,IF($H1049="مرجوعی خرید",-1,1)*IF(Sync!$AD1046="",0,Sync!$AD1046))</f>
        <v/>
      </c>
      <c r="P1049">
        <f>IF(OR($G1049="",Sync!$W1046=""),"",Sync!$W1046)</f>
        <v/>
      </c>
      <c r="Q1049">
        <f>IF(OR($G1049="",Sync!$AE1046=""),"",Sync!$AE1046)</f>
        <v/>
      </c>
      <c r="R1049">
        <f>IF($G1049="","",IF(Sync!$V1046="","0000",IF(AND(ISNUMBER(Sync!$V1046),Sync!$V1046&gt;=0,Sync!$V1046&lt;1),RIGHT("00"&amp;HOUR(Sync!$V1046),2)&amp;RIGHT("00"&amp;MINUTE(Sync!$V1046),2),IFERROR(RIGHT("00"&amp;VALUE(LEFT(Sync!$V1046,FIND(":",Sync!$V1046)-1)),2)&amp;RIGHT("00"&amp;VALUE(MID(Sync!$V1046,FIND(":",Sync!$V1046)+1,2)),2),"0000"))))</f>
        <v/>
      </c>
    </row>
    <row r="1050">
      <c r="A1050">
        <f>IF(Sync!$U1047="","",Sync!$U1047)</f>
        <v/>
      </c>
      <c r="B1050">
        <f>IF($A1050="","",IF(ISNUMBER($A1050),IF(AND($A1050&gt;=10000101,$A1050&lt;=99991231),INT($A1050/10000),""),IFERROR(VALUE(TRIM(LEFT($A1050,FIND("/",$A1050)-1))),"")))</f>
        <v/>
      </c>
      <c r="C1050">
        <f>IF(OR($A1050="",$B1050=""),"",IF(ISNUMBER($A1050),INT(MOD($A1050,10000)/100),IFERROR(VALUE(TRIM(LEFT(MID($A1050,FIND("/",$A1050)+1,20),FIND("/",MID($A1050,FIND("/",$A1050)+1,20))-1))),"")))</f>
        <v/>
      </c>
      <c r="D1050">
        <f>IF(OR($A1050="",$B1050=""),"",IF(ISNUMBER($A1050),MOD($A1050,100),IFERROR(VALUE(TRIM(MID(MID($A1050,FIND("/",$A1050)+1,20),FIND("/",MID($A1050,FIND("/",$A1050)+1,20))+1,20))),"")))</f>
        <v/>
      </c>
      <c r="E1050">
        <f>IF($A1050="","",IF(OR($B1050="",$C1050="",$D1050="",$B1050&lt;1300,$B1050&gt;1500,$C1050&lt;1,$C1050&gt;12,$D1050&lt;1,$D1050&gt;31),"نامعتبر",RIGHT("0000"&amp;$B1050,4)&amp;"/"&amp;RIGHT("00"&amp;$C1050,2)&amp;"/"&amp;RIGHT("00"&amp;$D1050,2)))</f>
        <v/>
      </c>
      <c r="F1050">
        <f>IF(OR($E1050="",$E1050="نامعتبر"),"",LEFT($E1050,4)&amp;"/"&amp;MID($E1050,6,2))</f>
        <v/>
      </c>
      <c r="G1050">
        <f>IF(OR($E1050="",$E1050="نامعتبر",Sync!$Y1047=""),"",Sync!$Y1047)</f>
        <v/>
      </c>
      <c r="H1050">
        <f>IF($G1050="","",IF(Sync!$X1047="","",Sync!$X1047))</f>
        <v/>
      </c>
      <c r="I1050">
        <f>IF($G1050="","",IFERROR(VLOOKUP(Sync!$X1047,OpTbl,3,0),""))</f>
        <v/>
      </c>
      <c r="J1050">
        <f>IF(OR($G1050="",Sync!$Z1047=""),"",Sync!$Z1047)</f>
        <v/>
      </c>
      <c r="K1050">
        <f>IF(OR($G1050="",Sync!$AA1047=""),"",Sync!$AA1047)</f>
        <v/>
      </c>
      <c r="L1050">
        <f>IF($G1050="",0,IF(Sync!$AB1047="",0,Sync!$AB1047))</f>
        <v/>
      </c>
      <c r="M1050">
        <f>IF($G1050="",0,IF(Sync!$AC1047="",0,Sync!$AC1047))</f>
        <v/>
      </c>
      <c r="N1050">
        <f>IF($G1050="","",IF($H1050="مرجوعی خرید",-1,1)*($L1050-$M1050*IFERROR(VLOOKUP("P01",ParamTbl,3,0),1.5))*(1-IF($I1050="خرید",IFERROR(VLOOKUP("P02",ParamTbl,3,0),1),0)/100))</f>
        <v/>
      </c>
      <c r="O1050">
        <f>IF($G1050="",0,IF($H1050="مرجوعی خرید",-1,1)*IF(Sync!$AD1047="",0,Sync!$AD1047))</f>
        <v/>
      </c>
      <c r="P1050">
        <f>IF(OR($G1050="",Sync!$W1047=""),"",Sync!$W1047)</f>
        <v/>
      </c>
      <c r="Q1050">
        <f>IF(OR($G1050="",Sync!$AE1047=""),"",Sync!$AE1047)</f>
        <v/>
      </c>
      <c r="R1050">
        <f>IF($G1050="","",IF(Sync!$V1047="","0000",IF(AND(ISNUMBER(Sync!$V1047),Sync!$V1047&gt;=0,Sync!$V1047&lt;1),RIGHT("00"&amp;HOUR(Sync!$V1047),2)&amp;RIGHT("00"&amp;MINUTE(Sync!$V1047),2),IFERROR(RIGHT("00"&amp;VALUE(LEFT(Sync!$V1047,FIND(":",Sync!$V1047)-1)),2)&amp;RIGHT("00"&amp;VALUE(MID(Sync!$V1047,FIND(":",Sync!$V1047)+1,2)),2),"0000"))))</f>
        <v/>
      </c>
    </row>
    <row r="1051">
      <c r="A1051">
        <f>IF(Sync!$U1048="","",Sync!$U1048)</f>
        <v/>
      </c>
      <c r="B1051">
        <f>IF($A1051="","",IF(ISNUMBER($A1051),IF(AND($A1051&gt;=10000101,$A1051&lt;=99991231),INT($A1051/10000),""),IFERROR(VALUE(TRIM(LEFT($A1051,FIND("/",$A1051)-1))),"")))</f>
        <v/>
      </c>
      <c r="C1051">
        <f>IF(OR($A1051="",$B1051=""),"",IF(ISNUMBER($A1051),INT(MOD($A1051,10000)/100),IFERROR(VALUE(TRIM(LEFT(MID($A1051,FIND("/",$A1051)+1,20),FIND("/",MID($A1051,FIND("/",$A1051)+1,20))-1))),"")))</f>
        <v/>
      </c>
      <c r="D1051">
        <f>IF(OR($A1051="",$B1051=""),"",IF(ISNUMBER($A1051),MOD($A1051,100),IFERROR(VALUE(TRIM(MID(MID($A1051,FIND("/",$A1051)+1,20),FIND("/",MID($A1051,FIND("/",$A1051)+1,20))+1,20))),"")))</f>
        <v/>
      </c>
      <c r="E1051">
        <f>IF($A1051="","",IF(OR($B1051="",$C1051="",$D1051="",$B1051&lt;1300,$B1051&gt;1500,$C1051&lt;1,$C1051&gt;12,$D1051&lt;1,$D1051&gt;31),"نامعتبر",RIGHT("0000"&amp;$B1051,4)&amp;"/"&amp;RIGHT("00"&amp;$C1051,2)&amp;"/"&amp;RIGHT("00"&amp;$D1051,2)))</f>
        <v/>
      </c>
      <c r="F1051">
        <f>IF(OR($E1051="",$E1051="نامعتبر"),"",LEFT($E1051,4)&amp;"/"&amp;MID($E1051,6,2))</f>
        <v/>
      </c>
      <c r="G1051">
        <f>IF(OR($E1051="",$E1051="نامعتبر",Sync!$Y1048=""),"",Sync!$Y1048)</f>
        <v/>
      </c>
      <c r="H1051">
        <f>IF($G1051="","",IF(Sync!$X1048="","",Sync!$X1048))</f>
        <v/>
      </c>
      <c r="I1051">
        <f>IF($G1051="","",IFERROR(VLOOKUP(Sync!$X1048,OpTbl,3,0),""))</f>
        <v/>
      </c>
      <c r="J1051">
        <f>IF(OR($G1051="",Sync!$Z1048=""),"",Sync!$Z1048)</f>
        <v/>
      </c>
      <c r="K1051">
        <f>IF(OR($G1051="",Sync!$AA1048=""),"",Sync!$AA1048)</f>
        <v/>
      </c>
      <c r="L1051">
        <f>IF($G1051="",0,IF(Sync!$AB1048="",0,Sync!$AB1048))</f>
        <v/>
      </c>
      <c r="M1051">
        <f>IF($G1051="",0,IF(Sync!$AC1048="",0,Sync!$AC1048))</f>
        <v/>
      </c>
      <c r="N1051">
        <f>IF($G1051="","",IF($H1051="مرجوعی خرید",-1,1)*($L1051-$M1051*IFERROR(VLOOKUP("P01",ParamTbl,3,0),1.5))*(1-IF($I1051="خرید",IFERROR(VLOOKUP("P02",ParamTbl,3,0),1),0)/100))</f>
        <v/>
      </c>
      <c r="O1051">
        <f>IF($G1051="",0,IF($H1051="مرجوعی خرید",-1,1)*IF(Sync!$AD1048="",0,Sync!$AD1048))</f>
        <v/>
      </c>
      <c r="P1051">
        <f>IF(OR($G1051="",Sync!$W1048=""),"",Sync!$W1048)</f>
        <v/>
      </c>
      <c r="Q1051">
        <f>IF(OR($G1051="",Sync!$AE1048=""),"",Sync!$AE1048)</f>
        <v/>
      </c>
      <c r="R1051">
        <f>IF($G1051="","",IF(Sync!$V1048="","0000",IF(AND(ISNUMBER(Sync!$V1048),Sync!$V1048&gt;=0,Sync!$V1048&lt;1),RIGHT("00"&amp;HOUR(Sync!$V1048),2)&amp;RIGHT("00"&amp;MINUTE(Sync!$V1048),2),IFERROR(RIGHT("00"&amp;VALUE(LEFT(Sync!$V1048,FIND(":",Sync!$V1048)-1)),2)&amp;RIGHT("00"&amp;VALUE(MID(Sync!$V1048,FIND(":",Sync!$V1048)+1,2)),2),"0000"))))</f>
        <v/>
      </c>
    </row>
    <row r="1052">
      <c r="A1052">
        <f>IF(Sync!$U1049="","",Sync!$U1049)</f>
        <v/>
      </c>
      <c r="B1052">
        <f>IF($A1052="","",IF(ISNUMBER($A1052),IF(AND($A1052&gt;=10000101,$A1052&lt;=99991231),INT($A1052/10000),""),IFERROR(VALUE(TRIM(LEFT($A1052,FIND("/",$A1052)-1))),"")))</f>
        <v/>
      </c>
      <c r="C1052">
        <f>IF(OR($A1052="",$B1052=""),"",IF(ISNUMBER($A1052),INT(MOD($A1052,10000)/100),IFERROR(VALUE(TRIM(LEFT(MID($A1052,FIND("/",$A1052)+1,20),FIND("/",MID($A1052,FIND("/",$A1052)+1,20))-1))),"")))</f>
        <v/>
      </c>
      <c r="D1052">
        <f>IF(OR($A1052="",$B1052=""),"",IF(ISNUMBER($A1052),MOD($A1052,100),IFERROR(VALUE(TRIM(MID(MID($A1052,FIND("/",$A1052)+1,20),FIND("/",MID($A1052,FIND("/",$A1052)+1,20))+1,20))),"")))</f>
        <v/>
      </c>
      <c r="E1052">
        <f>IF($A1052="","",IF(OR($B1052="",$C1052="",$D1052="",$B1052&lt;1300,$B1052&gt;1500,$C1052&lt;1,$C1052&gt;12,$D1052&lt;1,$D1052&gt;31),"نامعتبر",RIGHT("0000"&amp;$B1052,4)&amp;"/"&amp;RIGHT("00"&amp;$C1052,2)&amp;"/"&amp;RIGHT("00"&amp;$D1052,2)))</f>
        <v/>
      </c>
      <c r="F1052">
        <f>IF(OR($E1052="",$E1052="نامعتبر"),"",LEFT($E1052,4)&amp;"/"&amp;MID($E1052,6,2))</f>
        <v/>
      </c>
      <c r="G1052">
        <f>IF(OR($E1052="",$E1052="نامعتبر",Sync!$Y1049=""),"",Sync!$Y1049)</f>
        <v/>
      </c>
      <c r="H1052">
        <f>IF($G1052="","",IF(Sync!$X1049="","",Sync!$X1049))</f>
        <v/>
      </c>
      <c r="I1052">
        <f>IF($G1052="","",IFERROR(VLOOKUP(Sync!$X1049,OpTbl,3,0),""))</f>
        <v/>
      </c>
      <c r="J1052">
        <f>IF(OR($G1052="",Sync!$Z1049=""),"",Sync!$Z1049)</f>
        <v/>
      </c>
      <c r="K1052">
        <f>IF(OR($G1052="",Sync!$AA1049=""),"",Sync!$AA1049)</f>
        <v/>
      </c>
      <c r="L1052">
        <f>IF($G1052="",0,IF(Sync!$AB1049="",0,Sync!$AB1049))</f>
        <v/>
      </c>
      <c r="M1052">
        <f>IF($G1052="",0,IF(Sync!$AC1049="",0,Sync!$AC1049))</f>
        <v/>
      </c>
      <c r="N1052">
        <f>IF($G1052="","",IF($H1052="مرجوعی خرید",-1,1)*($L1052-$M1052*IFERROR(VLOOKUP("P01",ParamTbl,3,0),1.5))*(1-IF($I1052="خرید",IFERROR(VLOOKUP("P02",ParamTbl,3,0),1),0)/100))</f>
        <v/>
      </c>
      <c r="O1052">
        <f>IF($G1052="",0,IF($H1052="مرجوعی خرید",-1,1)*IF(Sync!$AD1049="",0,Sync!$AD1049))</f>
        <v/>
      </c>
      <c r="P1052">
        <f>IF(OR($G1052="",Sync!$W1049=""),"",Sync!$W1049)</f>
        <v/>
      </c>
      <c r="Q1052">
        <f>IF(OR($G1052="",Sync!$AE1049=""),"",Sync!$AE1049)</f>
        <v/>
      </c>
      <c r="R1052">
        <f>IF($G1052="","",IF(Sync!$V1049="","0000",IF(AND(ISNUMBER(Sync!$V1049),Sync!$V1049&gt;=0,Sync!$V1049&lt;1),RIGHT("00"&amp;HOUR(Sync!$V1049),2)&amp;RIGHT("00"&amp;MINUTE(Sync!$V1049),2),IFERROR(RIGHT("00"&amp;VALUE(LEFT(Sync!$V1049,FIND(":",Sync!$V1049)-1)),2)&amp;RIGHT("00"&amp;VALUE(MID(Sync!$V1049,FIND(":",Sync!$V1049)+1,2)),2),"0000"))))</f>
        <v/>
      </c>
    </row>
    <row r="1053">
      <c r="A1053">
        <f>IF(Sync!$U1050="","",Sync!$U1050)</f>
        <v/>
      </c>
      <c r="B1053">
        <f>IF($A1053="","",IF(ISNUMBER($A1053),IF(AND($A1053&gt;=10000101,$A1053&lt;=99991231),INT($A1053/10000),""),IFERROR(VALUE(TRIM(LEFT($A1053,FIND("/",$A1053)-1))),"")))</f>
        <v/>
      </c>
      <c r="C1053">
        <f>IF(OR($A1053="",$B1053=""),"",IF(ISNUMBER($A1053),INT(MOD($A1053,10000)/100),IFERROR(VALUE(TRIM(LEFT(MID($A1053,FIND("/",$A1053)+1,20),FIND("/",MID($A1053,FIND("/",$A1053)+1,20))-1))),"")))</f>
        <v/>
      </c>
      <c r="D1053">
        <f>IF(OR($A1053="",$B1053=""),"",IF(ISNUMBER($A1053),MOD($A1053,100),IFERROR(VALUE(TRIM(MID(MID($A1053,FIND("/",$A1053)+1,20),FIND("/",MID($A1053,FIND("/",$A1053)+1,20))+1,20))),"")))</f>
        <v/>
      </c>
      <c r="E1053">
        <f>IF($A1053="","",IF(OR($B1053="",$C1053="",$D1053="",$B1053&lt;1300,$B1053&gt;1500,$C1053&lt;1,$C1053&gt;12,$D1053&lt;1,$D1053&gt;31),"نامعتبر",RIGHT("0000"&amp;$B1053,4)&amp;"/"&amp;RIGHT("00"&amp;$C1053,2)&amp;"/"&amp;RIGHT("00"&amp;$D1053,2)))</f>
        <v/>
      </c>
      <c r="F1053">
        <f>IF(OR($E1053="",$E1053="نامعتبر"),"",LEFT($E1053,4)&amp;"/"&amp;MID($E1053,6,2))</f>
        <v/>
      </c>
      <c r="G1053">
        <f>IF(OR($E1053="",$E1053="نامعتبر",Sync!$Y1050=""),"",Sync!$Y1050)</f>
        <v/>
      </c>
      <c r="H1053">
        <f>IF($G1053="","",IF(Sync!$X1050="","",Sync!$X1050))</f>
        <v/>
      </c>
      <c r="I1053">
        <f>IF($G1053="","",IFERROR(VLOOKUP(Sync!$X1050,OpTbl,3,0),""))</f>
        <v/>
      </c>
      <c r="J1053">
        <f>IF(OR($G1053="",Sync!$Z1050=""),"",Sync!$Z1050)</f>
        <v/>
      </c>
      <c r="K1053">
        <f>IF(OR($G1053="",Sync!$AA1050=""),"",Sync!$AA1050)</f>
        <v/>
      </c>
      <c r="L1053">
        <f>IF($G1053="",0,IF(Sync!$AB1050="",0,Sync!$AB1050))</f>
        <v/>
      </c>
      <c r="M1053">
        <f>IF($G1053="",0,IF(Sync!$AC1050="",0,Sync!$AC1050))</f>
        <v/>
      </c>
      <c r="N1053">
        <f>IF($G1053="","",IF($H1053="مرجوعی خرید",-1,1)*($L1053-$M1053*IFERROR(VLOOKUP("P01",ParamTbl,3,0),1.5))*(1-IF($I1053="خرید",IFERROR(VLOOKUP("P02",ParamTbl,3,0),1),0)/100))</f>
        <v/>
      </c>
      <c r="O1053">
        <f>IF($G1053="",0,IF($H1053="مرجوعی خرید",-1,1)*IF(Sync!$AD1050="",0,Sync!$AD1050))</f>
        <v/>
      </c>
      <c r="P1053">
        <f>IF(OR($G1053="",Sync!$W1050=""),"",Sync!$W1050)</f>
        <v/>
      </c>
      <c r="Q1053">
        <f>IF(OR($G1053="",Sync!$AE1050=""),"",Sync!$AE1050)</f>
        <v/>
      </c>
      <c r="R1053">
        <f>IF($G1053="","",IF(Sync!$V1050="","0000",IF(AND(ISNUMBER(Sync!$V1050),Sync!$V1050&gt;=0,Sync!$V1050&lt;1),RIGHT("00"&amp;HOUR(Sync!$V1050),2)&amp;RIGHT("00"&amp;MINUTE(Sync!$V1050),2),IFERROR(RIGHT("00"&amp;VALUE(LEFT(Sync!$V1050,FIND(":",Sync!$V1050)-1)),2)&amp;RIGHT("00"&amp;VALUE(MID(Sync!$V1050,FIND(":",Sync!$V1050)+1,2)),2),"0000"))))</f>
        <v/>
      </c>
    </row>
    <row r="1054">
      <c r="A1054">
        <f>IF(Sync!$U1051="","",Sync!$U1051)</f>
        <v/>
      </c>
      <c r="B1054">
        <f>IF($A1054="","",IF(ISNUMBER($A1054),IF(AND($A1054&gt;=10000101,$A1054&lt;=99991231),INT($A1054/10000),""),IFERROR(VALUE(TRIM(LEFT($A1054,FIND("/",$A1054)-1))),"")))</f>
        <v/>
      </c>
      <c r="C1054">
        <f>IF(OR($A1054="",$B1054=""),"",IF(ISNUMBER($A1054),INT(MOD($A1054,10000)/100),IFERROR(VALUE(TRIM(LEFT(MID($A1054,FIND("/",$A1054)+1,20),FIND("/",MID($A1054,FIND("/",$A1054)+1,20))-1))),"")))</f>
        <v/>
      </c>
      <c r="D1054">
        <f>IF(OR($A1054="",$B1054=""),"",IF(ISNUMBER($A1054),MOD($A1054,100),IFERROR(VALUE(TRIM(MID(MID($A1054,FIND("/",$A1054)+1,20),FIND("/",MID($A1054,FIND("/",$A1054)+1,20))+1,20))),"")))</f>
        <v/>
      </c>
      <c r="E1054">
        <f>IF($A1054="","",IF(OR($B1054="",$C1054="",$D1054="",$B1054&lt;1300,$B1054&gt;1500,$C1054&lt;1,$C1054&gt;12,$D1054&lt;1,$D1054&gt;31),"نامعتبر",RIGHT("0000"&amp;$B1054,4)&amp;"/"&amp;RIGHT("00"&amp;$C1054,2)&amp;"/"&amp;RIGHT("00"&amp;$D1054,2)))</f>
        <v/>
      </c>
      <c r="F1054">
        <f>IF(OR($E1054="",$E1054="نامعتبر"),"",LEFT($E1054,4)&amp;"/"&amp;MID($E1054,6,2))</f>
        <v/>
      </c>
      <c r="G1054">
        <f>IF(OR($E1054="",$E1054="نامعتبر",Sync!$Y1051=""),"",Sync!$Y1051)</f>
        <v/>
      </c>
      <c r="H1054">
        <f>IF($G1054="","",IF(Sync!$X1051="","",Sync!$X1051))</f>
        <v/>
      </c>
      <c r="I1054">
        <f>IF($G1054="","",IFERROR(VLOOKUP(Sync!$X1051,OpTbl,3,0),""))</f>
        <v/>
      </c>
      <c r="J1054">
        <f>IF(OR($G1054="",Sync!$Z1051=""),"",Sync!$Z1051)</f>
        <v/>
      </c>
      <c r="K1054">
        <f>IF(OR($G1054="",Sync!$AA1051=""),"",Sync!$AA1051)</f>
        <v/>
      </c>
      <c r="L1054">
        <f>IF($G1054="",0,IF(Sync!$AB1051="",0,Sync!$AB1051))</f>
        <v/>
      </c>
      <c r="M1054">
        <f>IF($G1054="",0,IF(Sync!$AC1051="",0,Sync!$AC1051))</f>
        <v/>
      </c>
      <c r="N1054">
        <f>IF($G1054="","",IF($H1054="مرجوعی خرید",-1,1)*($L1054-$M1054*IFERROR(VLOOKUP("P01",ParamTbl,3,0),1.5))*(1-IF($I1054="خرید",IFERROR(VLOOKUP("P02",ParamTbl,3,0),1),0)/100))</f>
        <v/>
      </c>
      <c r="O1054">
        <f>IF($G1054="",0,IF($H1054="مرجوعی خرید",-1,1)*IF(Sync!$AD1051="",0,Sync!$AD1051))</f>
        <v/>
      </c>
      <c r="P1054">
        <f>IF(OR($G1054="",Sync!$W1051=""),"",Sync!$W1051)</f>
        <v/>
      </c>
      <c r="Q1054">
        <f>IF(OR($G1054="",Sync!$AE1051=""),"",Sync!$AE1051)</f>
        <v/>
      </c>
      <c r="R1054">
        <f>IF($G1054="","",IF(Sync!$V1051="","0000",IF(AND(ISNUMBER(Sync!$V1051),Sync!$V1051&gt;=0,Sync!$V1051&lt;1),RIGHT("00"&amp;HOUR(Sync!$V1051),2)&amp;RIGHT("00"&amp;MINUTE(Sync!$V1051),2),IFERROR(RIGHT("00"&amp;VALUE(LEFT(Sync!$V1051,FIND(":",Sync!$V1051)-1)),2)&amp;RIGHT("00"&amp;VALUE(MID(Sync!$V1051,FIND(":",Sync!$V1051)+1,2)),2),"0000"))))</f>
        <v/>
      </c>
    </row>
    <row r="1055">
      <c r="A1055">
        <f>IF(Sync!$U1052="","",Sync!$U1052)</f>
        <v/>
      </c>
      <c r="B1055">
        <f>IF($A1055="","",IF(ISNUMBER($A1055),IF(AND($A1055&gt;=10000101,$A1055&lt;=99991231),INT($A1055/10000),""),IFERROR(VALUE(TRIM(LEFT($A1055,FIND("/",$A1055)-1))),"")))</f>
        <v/>
      </c>
      <c r="C1055">
        <f>IF(OR($A1055="",$B1055=""),"",IF(ISNUMBER($A1055),INT(MOD($A1055,10000)/100),IFERROR(VALUE(TRIM(LEFT(MID($A1055,FIND("/",$A1055)+1,20),FIND("/",MID($A1055,FIND("/",$A1055)+1,20))-1))),"")))</f>
        <v/>
      </c>
      <c r="D1055">
        <f>IF(OR($A1055="",$B1055=""),"",IF(ISNUMBER($A1055),MOD($A1055,100),IFERROR(VALUE(TRIM(MID(MID($A1055,FIND("/",$A1055)+1,20),FIND("/",MID($A1055,FIND("/",$A1055)+1,20))+1,20))),"")))</f>
        <v/>
      </c>
      <c r="E1055">
        <f>IF($A1055="","",IF(OR($B1055="",$C1055="",$D1055="",$B1055&lt;1300,$B1055&gt;1500,$C1055&lt;1,$C1055&gt;12,$D1055&lt;1,$D1055&gt;31),"نامعتبر",RIGHT("0000"&amp;$B1055,4)&amp;"/"&amp;RIGHT("00"&amp;$C1055,2)&amp;"/"&amp;RIGHT("00"&amp;$D1055,2)))</f>
        <v/>
      </c>
      <c r="F1055">
        <f>IF(OR($E1055="",$E1055="نامعتبر"),"",LEFT($E1055,4)&amp;"/"&amp;MID($E1055,6,2))</f>
        <v/>
      </c>
      <c r="G1055">
        <f>IF(OR($E1055="",$E1055="نامعتبر",Sync!$Y1052=""),"",Sync!$Y1052)</f>
        <v/>
      </c>
      <c r="H1055">
        <f>IF($G1055="","",IF(Sync!$X1052="","",Sync!$X1052))</f>
        <v/>
      </c>
      <c r="I1055">
        <f>IF($G1055="","",IFERROR(VLOOKUP(Sync!$X1052,OpTbl,3,0),""))</f>
        <v/>
      </c>
      <c r="J1055">
        <f>IF(OR($G1055="",Sync!$Z1052=""),"",Sync!$Z1052)</f>
        <v/>
      </c>
      <c r="K1055">
        <f>IF(OR($G1055="",Sync!$AA1052=""),"",Sync!$AA1052)</f>
        <v/>
      </c>
      <c r="L1055">
        <f>IF($G1055="",0,IF(Sync!$AB1052="",0,Sync!$AB1052))</f>
        <v/>
      </c>
      <c r="M1055">
        <f>IF($G1055="",0,IF(Sync!$AC1052="",0,Sync!$AC1052))</f>
        <v/>
      </c>
      <c r="N1055">
        <f>IF($G1055="","",IF($H1055="مرجوعی خرید",-1,1)*($L1055-$M1055*IFERROR(VLOOKUP("P01",ParamTbl,3,0),1.5))*(1-IF($I1055="خرید",IFERROR(VLOOKUP("P02",ParamTbl,3,0),1),0)/100))</f>
        <v/>
      </c>
      <c r="O1055">
        <f>IF($G1055="",0,IF($H1055="مرجوعی خرید",-1,1)*IF(Sync!$AD1052="",0,Sync!$AD1052))</f>
        <v/>
      </c>
      <c r="P1055">
        <f>IF(OR($G1055="",Sync!$W1052=""),"",Sync!$W1052)</f>
        <v/>
      </c>
      <c r="Q1055">
        <f>IF(OR($G1055="",Sync!$AE1052=""),"",Sync!$AE1052)</f>
        <v/>
      </c>
      <c r="R1055">
        <f>IF($G1055="","",IF(Sync!$V1052="","0000",IF(AND(ISNUMBER(Sync!$V1052),Sync!$V1052&gt;=0,Sync!$V1052&lt;1),RIGHT("00"&amp;HOUR(Sync!$V1052),2)&amp;RIGHT("00"&amp;MINUTE(Sync!$V1052),2),IFERROR(RIGHT("00"&amp;VALUE(LEFT(Sync!$V1052,FIND(":",Sync!$V1052)-1)),2)&amp;RIGHT("00"&amp;VALUE(MID(Sync!$V1052,FIND(":",Sync!$V1052)+1,2)),2),"0000"))))</f>
        <v/>
      </c>
    </row>
    <row r="1056">
      <c r="A1056">
        <f>IF(Sync!$U1053="","",Sync!$U1053)</f>
        <v/>
      </c>
      <c r="B1056">
        <f>IF($A1056="","",IF(ISNUMBER($A1056),IF(AND($A1056&gt;=10000101,$A1056&lt;=99991231),INT($A1056/10000),""),IFERROR(VALUE(TRIM(LEFT($A1056,FIND("/",$A1056)-1))),"")))</f>
        <v/>
      </c>
      <c r="C1056">
        <f>IF(OR($A1056="",$B1056=""),"",IF(ISNUMBER($A1056),INT(MOD($A1056,10000)/100),IFERROR(VALUE(TRIM(LEFT(MID($A1056,FIND("/",$A1056)+1,20),FIND("/",MID($A1056,FIND("/",$A1056)+1,20))-1))),"")))</f>
        <v/>
      </c>
      <c r="D1056">
        <f>IF(OR($A1056="",$B1056=""),"",IF(ISNUMBER($A1056),MOD($A1056,100),IFERROR(VALUE(TRIM(MID(MID($A1056,FIND("/",$A1056)+1,20),FIND("/",MID($A1056,FIND("/",$A1056)+1,20))+1,20))),"")))</f>
        <v/>
      </c>
      <c r="E1056">
        <f>IF($A1056="","",IF(OR($B1056="",$C1056="",$D1056="",$B1056&lt;1300,$B1056&gt;1500,$C1056&lt;1,$C1056&gt;12,$D1056&lt;1,$D1056&gt;31),"نامعتبر",RIGHT("0000"&amp;$B1056,4)&amp;"/"&amp;RIGHT("00"&amp;$C1056,2)&amp;"/"&amp;RIGHT("00"&amp;$D1056,2)))</f>
        <v/>
      </c>
      <c r="F1056">
        <f>IF(OR($E1056="",$E1056="نامعتبر"),"",LEFT($E1056,4)&amp;"/"&amp;MID($E1056,6,2))</f>
        <v/>
      </c>
      <c r="G1056">
        <f>IF(OR($E1056="",$E1056="نامعتبر",Sync!$Y1053=""),"",Sync!$Y1053)</f>
        <v/>
      </c>
      <c r="H1056">
        <f>IF($G1056="","",IF(Sync!$X1053="","",Sync!$X1053))</f>
        <v/>
      </c>
      <c r="I1056">
        <f>IF($G1056="","",IFERROR(VLOOKUP(Sync!$X1053,OpTbl,3,0),""))</f>
        <v/>
      </c>
      <c r="J1056">
        <f>IF(OR($G1056="",Sync!$Z1053=""),"",Sync!$Z1053)</f>
        <v/>
      </c>
      <c r="K1056">
        <f>IF(OR($G1056="",Sync!$AA1053=""),"",Sync!$AA1053)</f>
        <v/>
      </c>
      <c r="L1056">
        <f>IF($G1056="",0,IF(Sync!$AB1053="",0,Sync!$AB1053))</f>
        <v/>
      </c>
      <c r="M1056">
        <f>IF($G1056="",0,IF(Sync!$AC1053="",0,Sync!$AC1053))</f>
        <v/>
      </c>
      <c r="N1056">
        <f>IF($G1056="","",IF($H1056="مرجوعی خرید",-1,1)*($L1056-$M1056*IFERROR(VLOOKUP("P01",ParamTbl,3,0),1.5))*(1-IF($I1056="خرید",IFERROR(VLOOKUP("P02",ParamTbl,3,0),1),0)/100))</f>
        <v/>
      </c>
      <c r="O1056">
        <f>IF($G1056="",0,IF($H1056="مرجوعی خرید",-1,1)*IF(Sync!$AD1053="",0,Sync!$AD1053))</f>
        <v/>
      </c>
      <c r="P1056">
        <f>IF(OR($G1056="",Sync!$W1053=""),"",Sync!$W1053)</f>
        <v/>
      </c>
      <c r="Q1056">
        <f>IF(OR($G1056="",Sync!$AE1053=""),"",Sync!$AE1053)</f>
        <v/>
      </c>
      <c r="R1056">
        <f>IF($G1056="","",IF(Sync!$V1053="","0000",IF(AND(ISNUMBER(Sync!$V1053),Sync!$V1053&gt;=0,Sync!$V1053&lt;1),RIGHT("00"&amp;HOUR(Sync!$V1053),2)&amp;RIGHT("00"&amp;MINUTE(Sync!$V1053),2),IFERROR(RIGHT("00"&amp;VALUE(LEFT(Sync!$V1053,FIND(":",Sync!$V1053)-1)),2)&amp;RIGHT("00"&amp;VALUE(MID(Sync!$V1053,FIND(":",Sync!$V1053)+1,2)),2),"0000"))))</f>
        <v/>
      </c>
    </row>
    <row r="1057">
      <c r="A1057">
        <f>IF(Sync!$U1054="","",Sync!$U1054)</f>
        <v/>
      </c>
      <c r="B1057">
        <f>IF($A1057="","",IF(ISNUMBER($A1057),IF(AND($A1057&gt;=10000101,$A1057&lt;=99991231),INT($A1057/10000),""),IFERROR(VALUE(TRIM(LEFT($A1057,FIND("/",$A1057)-1))),"")))</f>
        <v/>
      </c>
      <c r="C1057">
        <f>IF(OR($A1057="",$B1057=""),"",IF(ISNUMBER($A1057),INT(MOD($A1057,10000)/100),IFERROR(VALUE(TRIM(LEFT(MID($A1057,FIND("/",$A1057)+1,20),FIND("/",MID($A1057,FIND("/",$A1057)+1,20))-1))),"")))</f>
        <v/>
      </c>
      <c r="D1057">
        <f>IF(OR($A1057="",$B1057=""),"",IF(ISNUMBER($A1057),MOD($A1057,100),IFERROR(VALUE(TRIM(MID(MID($A1057,FIND("/",$A1057)+1,20),FIND("/",MID($A1057,FIND("/",$A1057)+1,20))+1,20))),"")))</f>
        <v/>
      </c>
      <c r="E1057">
        <f>IF($A1057="","",IF(OR($B1057="",$C1057="",$D1057="",$B1057&lt;1300,$B1057&gt;1500,$C1057&lt;1,$C1057&gt;12,$D1057&lt;1,$D1057&gt;31),"نامعتبر",RIGHT("0000"&amp;$B1057,4)&amp;"/"&amp;RIGHT("00"&amp;$C1057,2)&amp;"/"&amp;RIGHT("00"&amp;$D1057,2)))</f>
        <v/>
      </c>
      <c r="F1057">
        <f>IF(OR($E1057="",$E1057="نامعتبر"),"",LEFT($E1057,4)&amp;"/"&amp;MID($E1057,6,2))</f>
        <v/>
      </c>
      <c r="G1057">
        <f>IF(OR($E1057="",$E1057="نامعتبر",Sync!$Y1054=""),"",Sync!$Y1054)</f>
        <v/>
      </c>
      <c r="H1057">
        <f>IF($G1057="","",IF(Sync!$X1054="","",Sync!$X1054))</f>
        <v/>
      </c>
      <c r="I1057">
        <f>IF($G1057="","",IFERROR(VLOOKUP(Sync!$X1054,OpTbl,3,0),""))</f>
        <v/>
      </c>
      <c r="J1057">
        <f>IF(OR($G1057="",Sync!$Z1054=""),"",Sync!$Z1054)</f>
        <v/>
      </c>
      <c r="K1057">
        <f>IF(OR($G1057="",Sync!$AA1054=""),"",Sync!$AA1054)</f>
        <v/>
      </c>
      <c r="L1057">
        <f>IF($G1057="",0,IF(Sync!$AB1054="",0,Sync!$AB1054))</f>
        <v/>
      </c>
      <c r="M1057">
        <f>IF($G1057="",0,IF(Sync!$AC1054="",0,Sync!$AC1054))</f>
        <v/>
      </c>
      <c r="N1057">
        <f>IF($G1057="","",IF($H1057="مرجوعی خرید",-1,1)*($L1057-$M1057*IFERROR(VLOOKUP("P01",ParamTbl,3,0),1.5))*(1-IF($I1057="خرید",IFERROR(VLOOKUP("P02",ParamTbl,3,0),1),0)/100))</f>
        <v/>
      </c>
      <c r="O1057">
        <f>IF($G1057="",0,IF($H1057="مرجوعی خرید",-1,1)*IF(Sync!$AD1054="",0,Sync!$AD1054))</f>
        <v/>
      </c>
      <c r="P1057">
        <f>IF(OR($G1057="",Sync!$W1054=""),"",Sync!$W1054)</f>
        <v/>
      </c>
      <c r="Q1057">
        <f>IF(OR($G1057="",Sync!$AE1054=""),"",Sync!$AE1054)</f>
        <v/>
      </c>
      <c r="R1057">
        <f>IF($G1057="","",IF(Sync!$V1054="","0000",IF(AND(ISNUMBER(Sync!$V1054),Sync!$V1054&gt;=0,Sync!$V1054&lt;1),RIGHT("00"&amp;HOUR(Sync!$V1054),2)&amp;RIGHT("00"&amp;MINUTE(Sync!$V1054),2),IFERROR(RIGHT("00"&amp;VALUE(LEFT(Sync!$V1054,FIND(":",Sync!$V1054)-1)),2)&amp;RIGHT("00"&amp;VALUE(MID(Sync!$V1054,FIND(":",Sync!$V1054)+1,2)),2),"0000"))))</f>
        <v/>
      </c>
    </row>
    <row r="1058">
      <c r="A1058">
        <f>IF(Sync!$U1055="","",Sync!$U1055)</f>
        <v/>
      </c>
      <c r="B1058">
        <f>IF($A1058="","",IF(ISNUMBER($A1058),IF(AND($A1058&gt;=10000101,$A1058&lt;=99991231),INT($A1058/10000),""),IFERROR(VALUE(TRIM(LEFT($A1058,FIND("/",$A1058)-1))),"")))</f>
        <v/>
      </c>
      <c r="C1058">
        <f>IF(OR($A1058="",$B1058=""),"",IF(ISNUMBER($A1058),INT(MOD($A1058,10000)/100),IFERROR(VALUE(TRIM(LEFT(MID($A1058,FIND("/",$A1058)+1,20),FIND("/",MID($A1058,FIND("/",$A1058)+1,20))-1))),"")))</f>
        <v/>
      </c>
      <c r="D1058">
        <f>IF(OR($A1058="",$B1058=""),"",IF(ISNUMBER($A1058),MOD($A1058,100),IFERROR(VALUE(TRIM(MID(MID($A1058,FIND("/",$A1058)+1,20),FIND("/",MID($A1058,FIND("/",$A1058)+1,20))+1,20))),"")))</f>
        <v/>
      </c>
      <c r="E1058">
        <f>IF($A1058="","",IF(OR($B1058="",$C1058="",$D1058="",$B1058&lt;1300,$B1058&gt;1500,$C1058&lt;1,$C1058&gt;12,$D1058&lt;1,$D1058&gt;31),"نامعتبر",RIGHT("0000"&amp;$B1058,4)&amp;"/"&amp;RIGHT("00"&amp;$C1058,2)&amp;"/"&amp;RIGHT("00"&amp;$D1058,2)))</f>
        <v/>
      </c>
      <c r="F1058">
        <f>IF(OR($E1058="",$E1058="نامعتبر"),"",LEFT($E1058,4)&amp;"/"&amp;MID($E1058,6,2))</f>
        <v/>
      </c>
      <c r="G1058">
        <f>IF(OR($E1058="",$E1058="نامعتبر",Sync!$Y1055=""),"",Sync!$Y1055)</f>
        <v/>
      </c>
      <c r="H1058">
        <f>IF($G1058="","",IF(Sync!$X1055="","",Sync!$X1055))</f>
        <v/>
      </c>
      <c r="I1058">
        <f>IF($G1058="","",IFERROR(VLOOKUP(Sync!$X1055,OpTbl,3,0),""))</f>
        <v/>
      </c>
      <c r="J1058">
        <f>IF(OR($G1058="",Sync!$Z1055=""),"",Sync!$Z1055)</f>
        <v/>
      </c>
      <c r="K1058">
        <f>IF(OR($G1058="",Sync!$AA1055=""),"",Sync!$AA1055)</f>
        <v/>
      </c>
      <c r="L1058">
        <f>IF($G1058="",0,IF(Sync!$AB1055="",0,Sync!$AB1055))</f>
        <v/>
      </c>
      <c r="M1058">
        <f>IF($G1058="",0,IF(Sync!$AC1055="",0,Sync!$AC1055))</f>
        <v/>
      </c>
      <c r="N1058">
        <f>IF($G1058="","",IF($H1058="مرجوعی خرید",-1,1)*($L1058-$M1058*IFERROR(VLOOKUP("P01",ParamTbl,3,0),1.5))*(1-IF($I1058="خرید",IFERROR(VLOOKUP("P02",ParamTbl,3,0),1),0)/100))</f>
        <v/>
      </c>
      <c r="O1058">
        <f>IF($G1058="",0,IF($H1058="مرجوعی خرید",-1,1)*IF(Sync!$AD1055="",0,Sync!$AD1055))</f>
        <v/>
      </c>
      <c r="P1058">
        <f>IF(OR($G1058="",Sync!$W1055=""),"",Sync!$W1055)</f>
        <v/>
      </c>
      <c r="Q1058">
        <f>IF(OR($G1058="",Sync!$AE1055=""),"",Sync!$AE1055)</f>
        <v/>
      </c>
      <c r="R1058">
        <f>IF($G1058="","",IF(Sync!$V1055="","0000",IF(AND(ISNUMBER(Sync!$V1055),Sync!$V1055&gt;=0,Sync!$V1055&lt;1),RIGHT("00"&amp;HOUR(Sync!$V1055),2)&amp;RIGHT("00"&amp;MINUTE(Sync!$V1055),2),IFERROR(RIGHT("00"&amp;VALUE(LEFT(Sync!$V1055,FIND(":",Sync!$V1055)-1)),2)&amp;RIGHT("00"&amp;VALUE(MID(Sync!$V1055,FIND(":",Sync!$V1055)+1,2)),2),"0000"))))</f>
        <v/>
      </c>
    </row>
    <row r="1059">
      <c r="A1059">
        <f>IF(Sync!$U1056="","",Sync!$U1056)</f>
        <v/>
      </c>
      <c r="B1059">
        <f>IF($A1059="","",IF(ISNUMBER($A1059),IF(AND($A1059&gt;=10000101,$A1059&lt;=99991231),INT($A1059/10000),""),IFERROR(VALUE(TRIM(LEFT($A1059,FIND("/",$A1059)-1))),"")))</f>
        <v/>
      </c>
      <c r="C1059">
        <f>IF(OR($A1059="",$B1059=""),"",IF(ISNUMBER($A1059),INT(MOD($A1059,10000)/100),IFERROR(VALUE(TRIM(LEFT(MID($A1059,FIND("/",$A1059)+1,20),FIND("/",MID($A1059,FIND("/",$A1059)+1,20))-1))),"")))</f>
        <v/>
      </c>
      <c r="D1059">
        <f>IF(OR($A1059="",$B1059=""),"",IF(ISNUMBER($A1059),MOD($A1059,100),IFERROR(VALUE(TRIM(MID(MID($A1059,FIND("/",$A1059)+1,20),FIND("/",MID($A1059,FIND("/",$A1059)+1,20))+1,20))),"")))</f>
        <v/>
      </c>
      <c r="E1059">
        <f>IF($A1059="","",IF(OR($B1059="",$C1059="",$D1059="",$B1059&lt;1300,$B1059&gt;1500,$C1059&lt;1,$C1059&gt;12,$D1059&lt;1,$D1059&gt;31),"نامعتبر",RIGHT("0000"&amp;$B1059,4)&amp;"/"&amp;RIGHT("00"&amp;$C1059,2)&amp;"/"&amp;RIGHT("00"&amp;$D1059,2)))</f>
        <v/>
      </c>
      <c r="F1059">
        <f>IF(OR($E1059="",$E1059="نامعتبر"),"",LEFT($E1059,4)&amp;"/"&amp;MID($E1059,6,2))</f>
        <v/>
      </c>
      <c r="G1059">
        <f>IF(OR($E1059="",$E1059="نامعتبر",Sync!$Y1056=""),"",Sync!$Y1056)</f>
        <v/>
      </c>
      <c r="H1059">
        <f>IF($G1059="","",IF(Sync!$X1056="","",Sync!$X1056))</f>
        <v/>
      </c>
      <c r="I1059">
        <f>IF($G1059="","",IFERROR(VLOOKUP(Sync!$X1056,OpTbl,3,0),""))</f>
        <v/>
      </c>
      <c r="J1059">
        <f>IF(OR($G1059="",Sync!$Z1056=""),"",Sync!$Z1056)</f>
        <v/>
      </c>
      <c r="K1059">
        <f>IF(OR($G1059="",Sync!$AA1056=""),"",Sync!$AA1056)</f>
        <v/>
      </c>
      <c r="L1059">
        <f>IF($G1059="",0,IF(Sync!$AB1056="",0,Sync!$AB1056))</f>
        <v/>
      </c>
      <c r="M1059">
        <f>IF($G1059="",0,IF(Sync!$AC1056="",0,Sync!$AC1056))</f>
        <v/>
      </c>
      <c r="N1059">
        <f>IF($G1059="","",IF($H1059="مرجوعی خرید",-1,1)*($L1059-$M1059*IFERROR(VLOOKUP("P01",ParamTbl,3,0),1.5))*(1-IF($I1059="خرید",IFERROR(VLOOKUP("P02",ParamTbl,3,0),1),0)/100))</f>
        <v/>
      </c>
      <c r="O1059">
        <f>IF($G1059="",0,IF($H1059="مرجوعی خرید",-1,1)*IF(Sync!$AD1056="",0,Sync!$AD1056))</f>
        <v/>
      </c>
      <c r="P1059">
        <f>IF(OR($G1059="",Sync!$W1056=""),"",Sync!$W1056)</f>
        <v/>
      </c>
      <c r="Q1059">
        <f>IF(OR($G1059="",Sync!$AE1056=""),"",Sync!$AE1056)</f>
        <v/>
      </c>
      <c r="R1059">
        <f>IF($G1059="","",IF(Sync!$V1056="","0000",IF(AND(ISNUMBER(Sync!$V1056),Sync!$V1056&gt;=0,Sync!$V1056&lt;1),RIGHT("00"&amp;HOUR(Sync!$V1056),2)&amp;RIGHT("00"&amp;MINUTE(Sync!$V1056),2),IFERROR(RIGHT("00"&amp;VALUE(LEFT(Sync!$V1056,FIND(":",Sync!$V1056)-1)),2)&amp;RIGHT("00"&amp;VALUE(MID(Sync!$V1056,FIND(":",Sync!$V1056)+1,2)),2),"0000"))))</f>
        <v/>
      </c>
    </row>
    <row r="1060">
      <c r="A1060">
        <f>IF(Sync!$U1057="","",Sync!$U1057)</f>
        <v/>
      </c>
      <c r="B1060">
        <f>IF($A1060="","",IF(ISNUMBER($A1060),IF(AND($A1060&gt;=10000101,$A1060&lt;=99991231),INT($A1060/10000),""),IFERROR(VALUE(TRIM(LEFT($A1060,FIND("/",$A1060)-1))),"")))</f>
        <v/>
      </c>
      <c r="C1060">
        <f>IF(OR($A1060="",$B1060=""),"",IF(ISNUMBER($A1060),INT(MOD($A1060,10000)/100),IFERROR(VALUE(TRIM(LEFT(MID($A1060,FIND("/",$A1060)+1,20),FIND("/",MID($A1060,FIND("/",$A1060)+1,20))-1))),"")))</f>
        <v/>
      </c>
      <c r="D1060">
        <f>IF(OR($A1060="",$B1060=""),"",IF(ISNUMBER($A1060),MOD($A1060,100),IFERROR(VALUE(TRIM(MID(MID($A1060,FIND("/",$A1060)+1,20),FIND("/",MID($A1060,FIND("/",$A1060)+1,20))+1,20))),"")))</f>
        <v/>
      </c>
      <c r="E1060">
        <f>IF($A1060="","",IF(OR($B1060="",$C1060="",$D1060="",$B1060&lt;1300,$B1060&gt;1500,$C1060&lt;1,$C1060&gt;12,$D1060&lt;1,$D1060&gt;31),"نامعتبر",RIGHT("0000"&amp;$B1060,4)&amp;"/"&amp;RIGHT("00"&amp;$C1060,2)&amp;"/"&amp;RIGHT("00"&amp;$D1060,2)))</f>
        <v/>
      </c>
      <c r="F1060">
        <f>IF(OR($E1060="",$E1060="نامعتبر"),"",LEFT($E1060,4)&amp;"/"&amp;MID($E1060,6,2))</f>
        <v/>
      </c>
      <c r="G1060">
        <f>IF(OR($E1060="",$E1060="نامعتبر",Sync!$Y1057=""),"",Sync!$Y1057)</f>
        <v/>
      </c>
      <c r="H1060">
        <f>IF($G1060="","",IF(Sync!$X1057="","",Sync!$X1057))</f>
        <v/>
      </c>
      <c r="I1060">
        <f>IF($G1060="","",IFERROR(VLOOKUP(Sync!$X1057,OpTbl,3,0),""))</f>
        <v/>
      </c>
      <c r="J1060">
        <f>IF(OR($G1060="",Sync!$Z1057=""),"",Sync!$Z1057)</f>
        <v/>
      </c>
      <c r="K1060">
        <f>IF(OR($G1060="",Sync!$AA1057=""),"",Sync!$AA1057)</f>
        <v/>
      </c>
      <c r="L1060">
        <f>IF($G1060="",0,IF(Sync!$AB1057="",0,Sync!$AB1057))</f>
        <v/>
      </c>
      <c r="M1060">
        <f>IF($G1060="",0,IF(Sync!$AC1057="",0,Sync!$AC1057))</f>
        <v/>
      </c>
      <c r="N1060">
        <f>IF($G1060="","",IF($H1060="مرجوعی خرید",-1,1)*($L1060-$M1060*IFERROR(VLOOKUP("P01",ParamTbl,3,0),1.5))*(1-IF($I1060="خرید",IFERROR(VLOOKUP("P02",ParamTbl,3,0),1),0)/100))</f>
        <v/>
      </c>
      <c r="O1060">
        <f>IF($G1060="",0,IF($H1060="مرجوعی خرید",-1,1)*IF(Sync!$AD1057="",0,Sync!$AD1057))</f>
        <v/>
      </c>
      <c r="P1060">
        <f>IF(OR($G1060="",Sync!$W1057=""),"",Sync!$W1057)</f>
        <v/>
      </c>
      <c r="Q1060">
        <f>IF(OR($G1060="",Sync!$AE1057=""),"",Sync!$AE1057)</f>
        <v/>
      </c>
      <c r="R1060">
        <f>IF($G1060="","",IF(Sync!$V1057="","0000",IF(AND(ISNUMBER(Sync!$V1057),Sync!$V1057&gt;=0,Sync!$V1057&lt;1),RIGHT("00"&amp;HOUR(Sync!$V1057),2)&amp;RIGHT("00"&amp;MINUTE(Sync!$V1057),2),IFERROR(RIGHT("00"&amp;VALUE(LEFT(Sync!$V1057,FIND(":",Sync!$V1057)-1)),2)&amp;RIGHT("00"&amp;VALUE(MID(Sync!$V1057,FIND(":",Sync!$V1057)+1,2)),2),"0000"))))</f>
        <v/>
      </c>
    </row>
    <row r="1061">
      <c r="A1061">
        <f>IF(Sync!$U1058="","",Sync!$U1058)</f>
        <v/>
      </c>
      <c r="B1061">
        <f>IF($A1061="","",IF(ISNUMBER($A1061),IF(AND($A1061&gt;=10000101,$A1061&lt;=99991231),INT($A1061/10000),""),IFERROR(VALUE(TRIM(LEFT($A1061,FIND("/",$A1061)-1))),"")))</f>
        <v/>
      </c>
      <c r="C1061">
        <f>IF(OR($A1061="",$B1061=""),"",IF(ISNUMBER($A1061),INT(MOD($A1061,10000)/100),IFERROR(VALUE(TRIM(LEFT(MID($A1061,FIND("/",$A1061)+1,20),FIND("/",MID($A1061,FIND("/",$A1061)+1,20))-1))),"")))</f>
        <v/>
      </c>
      <c r="D1061">
        <f>IF(OR($A1061="",$B1061=""),"",IF(ISNUMBER($A1061),MOD($A1061,100),IFERROR(VALUE(TRIM(MID(MID($A1061,FIND("/",$A1061)+1,20),FIND("/",MID($A1061,FIND("/",$A1061)+1,20))+1,20))),"")))</f>
        <v/>
      </c>
      <c r="E1061">
        <f>IF($A1061="","",IF(OR($B1061="",$C1061="",$D1061="",$B1061&lt;1300,$B1061&gt;1500,$C1061&lt;1,$C1061&gt;12,$D1061&lt;1,$D1061&gt;31),"نامعتبر",RIGHT("0000"&amp;$B1061,4)&amp;"/"&amp;RIGHT("00"&amp;$C1061,2)&amp;"/"&amp;RIGHT("00"&amp;$D1061,2)))</f>
        <v/>
      </c>
      <c r="F1061">
        <f>IF(OR($E1061="",$E1061="نامعتبر"),"",LEFT($E1061,4)&amp;"/"&amp;MID($E1061,6,2))</f>
        <v/>
      </c>
      <c r="G1061">
        <f>IF(OR($E1061="",$E1061="نامعتبر",Sync!$Y1058=""),"",Sync!$Y1058)</f>
        <v/>
      </c>
      <c r="H1061">
        <f>IF($G1061="","",IF(Sync!$X1058="","",Sync!$X1058))</f>
        <v/>
      </c>
      <c r="I1061">
        <f>IF($G1061="","",IFERROR(VLOOKUP(Sync!$X1058,OpTbl,3,0),""))</f>
        <v/>
      </c>
      <c r="J1061">
        <f>IF(OR($G1061="",Sync!$Z1058=""),"",Sync!$Z1058)</f>
        <v/>
      </c>
      <c r="K1061">
        <f>IF(OR($G1061="",Sync!$AA1058=""),"",Sync!$AA1058)</f>
        <v/>
      </c>
      <c r="L1061">
        <f>IF($G1061="",0,IF(Sync!$AB1058="",0,Sync!$AB1058))</f>
        <v/>
      </c>
      <c r="M1061">
        <f>IF($G1061="",0,IF(Sync!$AC1058="",0,Sync!$AC1058))</f>
        <v/>
      </c>
      <c r="N1061">
        <f>IF($G1061="","",IF($H1061="مرجوعی خرید",-1,1)*($L1061-$M1061*IFERROR(VLOOKUP("P01",ParamTbl,3,0),1.5))*(1-IF($I1061="خرید",IFERROR(VLOOKUP("P02",ParamTbl,3,0),1),0)/100))</f>
        <v/>
      </c>
      <c r="O1061">
        <f>IF($G1061="",0,IF($H1061="مرجوعی خرید",-1,1)*IF(Sync!$AD1058="",0,Sync!$AD1058))</f>
        <v/>
      </c>
      <c r="P1061">
        <f>IF(OR($G1061="",Sync!$W1058=""),"",Sync!$W1058)</f>
        <v/>
      </c>
      <c r="Q1061">
        <f>IF(OR($G1061="",Sync!$AE1058=""),"",Sync!$AE1058)</f>
        <v/>
      </c>
      <c r="R1061">
        <f>IF($G1061="","",IF(Sync!$V1058="","0000",IF(AND(ISNUMBER(Sync!$V1058),Sync!$V1058&gt;=0,Sync!$V1058&lt;1),RIGHT("00"&amp;HOUR(Sync!$V1058),2)&amp;RIGHT("00"&amp;MINUTE(Sync!$V1058),2),IFERROR(RIGHT("00"&amp;VALUE(LEFT(Sync!$V1058,FIND(":",Sync!$V1058)-1)),2)&amp;RIGHT("00"&amp;VALUE(MID(Sync!$V1058,FIND(":",Sync!$V1058)+1,2)),2),"0000"))))</f>
        <v/>
      </c>
    </row>
    <row r="1062">
      <c r="A1062">
        <f>IF(Sync!$U1059="","",Sync!$U1059)</f>
        <v/>
      </c>
      <c r="B1062">
        <f>IF($A1062="","",IF(ISNUMBER($A1062),IF(AND($A1062&gt;=10000101,$A1062&lt;=99991231),INT($A1062/10000),""),IFERROR(VALUE(TRIM(LEFT($A1062,FIND("/",$A1062)-1))),"")))</f>
        <v/>
      </c>
      <c r="C1062">
        <f>IF(OR($A1062="",$B1062=""),"",IF(ISNUMBER($A1062),INT(MOD($A1062,10000)/100),IFERROR(VALUE(TRIM(LEFT(MID($A1062,FIND("/",$A1062)+1,20),FIND("/",MID($A1062,FIND("/",$A1062)+1,20))-1))),"")))</f>
        <v/>
      </c>
      <c r="D1062">
        <f>IF(OR($A1062="",$B1062=""),"",IF(ISNUMBER($A1062),MOD($A1062,100),IFERROR(VALUE(TRIM(MID(MID($A1062,FIND("/",$A1062)+1,20),FIND("/",MID($A1062,FIND("/",$A1062)+1,20))+1,20))),"")))</f>
        <v/>
      </c>
      <c r="E1062">
        <f>IF($A1062="","",IF(OR($B1062="",$C1062="",$D1062="",$B1062&lt;1300,$B1062&gt;1500,$C1062&lt;1,$C1062&gt;12,$D1062&lt;1,$D1062&gt;31),"نامعتبر",RIGHT("0000"&amp;$B1062,4)&amp;"/"&amp;RIGHT("00"&amp;$C1062,2)&amp;"/"&amp;RIGHT("00"&amp;$D1062,2)))</f>
        <v/>
      </c>
      <c r="F1062">
        <f>IF(OR($E1062="",$E1062="نامعتبر"),"",LEFT($E1062,4)&amp;"/"&amp;MID($E1062,6,2))</f>
        <v/>
      </c>
      <c r="G1062">
        <f>IF(OR($E1062="",$E1062="نامعتبر",Sync!$Y1059=""),"",Sync!$Y1059)</f>
        <v/>
      </c>
      <c r="H1062">
        <f>IF($G1062="","",IF(Sync!$X1059="","",Sync!$X1059))</f>
        <v/>
      </c>
      <c r="I1062">
        <f>IF($G1062="","",IFERROR(VLOOKUP(Sync!$X1059,OpTbl,3,0),""))</f>
        <v/>
      </c>
      <c r="J1062">
        <f>IF(OR($G1062="",Sync!$Z1059=""),"",Sync!$Z1059)</f>
        <v/>
      </c>
      <c r="K1062">
        <f>IF(OR($G1062="",Sync!$AA1059=""),"",Sync!$AA1059)</f>
        <v/>
      </c>
      <c r="L1062">
        <f>IF($G1062="",0,IF(Sync!$AB1059="",0,Sync!$AB1059))</f>
        <v/>
      </c>
      <c r="M1062">
        <f>IF($G1062="",0,IF(Sync!$AC1059="",0,Sync!$AC1059))</f>
        <v/>
      </c>
      <c r="N1062">
        <f>IF($G1062="","",IF($H1062="مرجوعی خرید",-1,1)*($L1062-$M1062*IFERROR(VLOOKUP("P01",ParamTbl,3,0),1.5))*(1-IF($I1062="خرید",IFERROR(VLOOKUP("P02",ParamTbl,3,0),1),0)/100))</f>
        <v/>
      </c>
      <c r="O1062">
        <f>IF($G1062="",0,IF($H1062="مرجوعی خرید",-1,1)*IF(Sync!$AD1059="",0,Sync!$AD1059))</f>
        <v/>
      </c>
      <c r="P1062">
        <f>IF(OR($G1062="",Sync!$W1059=""),"",Sync!$W1059)</f>
        <v/>
      </c>
      <c r="Q1062">
        <f>IF(OR($G1062="",Sync!$AE1059=""),"",Sync!$AE1059)</f>
        <v/>
      </c>
      <c r="R1062">
        <f>IF($G1062="","",IF(Sync!$V1059="","0000",IF(AND(ISNUMBER(Sync!$V1059),Sync!$V1059&gt;=0,Sync!$V1059&lt;1),RIGHT("00"&amp;HOUR(Sync!$V1059),2)&amp;RIGHT("00"&amp;MINUTE(Sync!$V1059),2),IFERROR(RIGHT("00"&amp;VALUE(LEFT(Sync!$V1059,FIND(":",Sync!$V1059)-1)),2)&amp;RIGHT("00"&amp;VALUE(MID(Sync!$V1059,FIND(":",Sync!$V1059)+1,2)),2),"0000"))))</f>
        <v/>
      </c>
    </row>
    <row r="1063">
      <c r="A1063">
        <f>IF(Sync!$U1060="","",Sync!$U1060)</f>
        <v/>
      </c>
      <c r="B1063">
        <f>IF($A1063="","",IF(ISNUMBER($A1063),IF(AND($A1063&gt;=10000101,$A1063&lt;=99991231),INT($A1063/10000),""),IFERROR(VALUE(TRIM(LEFT($A1063,FIND("/",$A1063)-1))),"")))</f>
        <v/>
      </c>
      <c r="C1063">
        <f>IF(OR($A1063="",$B1063=""),"",IF(ISNUMBER($A1063),INT(MOD($A1063,10000)/100),IFERROR(VALUE(TRIM(LEFT(MID($A1063,FIND("/",$A1063)+1,20),FIND("/",MID($A1063,FIND("/",$A1063)+1,20))-1))),"")))</f>
        <v/>
      </c>
      <c r="D1063">
        <f>IF(OR($A1063="",$B1063=""),"",IF(ISNUMBER($A1063),MOD($A1063,100),IFERROR(VALUE(TRIM(MID(MID($A1063,FIND("/",$A1063)+1,20),FIND("/",MID($A1063,FIND("/",$A1063)+1,20))+1,20))),"")))</f>
        <v/>
      </c>
      <c r="E1063">
        <f>IF($A1063="","",IF(OR($B1063="",$C1063="",$D1063="",$B1063&lt;1300,$B1063&gt;1500,$C1063&lt;1,$C1063&gt;12,$D1063&lt;1,$D1063&gt;31),"نامعتبر",RIGHT("0000"&amp;$B1063,4)&amp;"/"&amp;RIGHT("00"&amp;$C1063,2)&amp;"/"&amp;RIGHT("00"&amp;$D1063,2)))</f>
        <v/>
      </c>
      <c r="F1063">
        <f>IF(OR($E1063="",$E1063="نامعتبر"),"",LEFT($E1063,4)&amp;"/"&amp;MID($E1063,6,2))</f>
        <v/>
      </c>
      <c r="G1063">
        <f>IF(OR($E1063="",$E1063="نامعتبر",Sync!$Y1060=""),"",Sync!$Y1060)</f>
        <v/>
      </c>
      <c r="H1063">
        <f>IF($G1063="","",IF(Sync!$X1060="","",Sync!$X1060))</f>
        <v/>
      </c>
      <c r="I1063">
        <f>IF($G1063="","",IFERROR(VLOOKUP(Sync!$X1060,OpTbl,3,0),""))</f>
        <v/>
      </c>
      <c r="J1063">
        <f>IF(OR($G1063="",Sync!$Z1060=""),"",Sync!$Z1060)</f>
        <v/>
      </c>
      <c r="K1063">
        <f>IF(OR($G1063="",Sync!$AA1060=""),"",Sync!$AA1060)</f>
        <v/>
      </c>
      <c r="L1063">
        <f>IF($G1063="",0,IF(Sync!$AB1060="",0,Sync!$AB1060))</f>
        <v/>
      </c>
      <c r="M1063">
        <f>IF($G1063="",0,IF(Sync!$AC1060="",0,Sync!$AC1060))</f>
        <v/>
      </c>
      <c r="N1063">
        <f>IF($G1063="","",IF($H1063="مرجوعی خرید",-1,1)*($L1063-$M1063*IFERROR(VLOOKUP("P01",ParamTbl,3,0),1.5))*(1-IF($I1063="خرید",IFERROR(VLOOKUP("P02",ParamTbl,3,0),1),0)/100))</f>
        <v/>
      </c>
      <c r="O1063">
        <f>IF($G1063="",0,IF($H1063="مرجوعی خرید",-1,1)*IF(Sync!$AD1060="",0,Sync!$AD1060))</f>
        <v/>
      </c>
      <c r="P1063">
        <f>IF(OR($G1063="",Sync!$W1060=""),"",Sync!$W1060)</f>
        <v/>
      </c>
      <c r="Q1063">
        <f>IF(OR($G1063="",Sync!$AE1060=""),"",Sync!$AE1060)</f>
        <v/>
      </c>
      <c r="R1063">
        <f>IF($G1063="","",IF(Sync!$V1060="","0000",IF(AND(ISNUMBER(Sync!$V1060),Sync!$V1060&gt;=0,Sync!$V1060&lt;1),RIGHT("00"&amp;HOUR(Sync!$V1060),2)&amp;RIGHT("00"&amp;MINUTE(Sync!$V1060),2),IFERROR(RIGHT("00"&amp;VALUE(LEFT(Sync!$V1060,FIND(":",Sync!$V1060)-1)),2)&amp;RIGHT("00"&amp;VALUE(MID(Sync!$V1060,FIND(":",Sync!$V1060)+1,2)),2),"0000"))))</f>
        <v/>
      </c>
    </row>
    <row r="1064">
      <c r="A1064">
        <f>IF(Sync!$U1061="","",Sync!$U1061)</f>
        <v/>
      </c>
      <c r="B1064">
        <f>IF($A1064="","",IF(ISNUMBER($A1064),IF(AND($A1064&gt;=10000101,$A1064&lt;=99991231),INT($A1064/10000),""),IFERROR(VALUE(TRIM(LEFT($A1064,FIND("/",$A1064)-1))),"")))</f>
        <v/>
      </c>
      <c r="C1064">
        <f>IF(OR($A1064="",$B1064=""),"",IF(ISNUMBER($A1064),INT(MOD($A1064,10000)/100),IFERROR(VALUE(TRIM(LEFT(MID($A1064,FIND("/",$A1064)+1,20),FIND("/",MID($A1064,FIND("/",$A1064)+1,20))-1))),"")))</f>
        <v/>
      </c>
      <c r="D1064">
        <f>IF(OR($A1064="",$B1064=""),"",IF(ISNUMBER($A1064),MOD($A1064,100),IFERROR(VALUE(TRIM(MID(MID($A1064,FIND("/",$A1064)+1,20),FIND("/",MID($A1064,FIND("/",$A1064)+1,20))+1,20))),"")))</f>
        <v/>
      </c>
      <c r="E1064">
        <f>IF($A1064="","",IF(OR($B1064="",$C1064="",$D1064="",$B1064&lt;1300,$B1064&gt;1500,$C1064&lt;1,$C1064&gt;12,$D1064&lt;1,$D1064&gt;31),"نامعتبر",RIGHT("0000"&amp;$B1064,4)&amp;"/"&amp;RIGHT("00"&amp;$C1064,2)&amp;"/"&amp;RIGHT("00"&amp;$D1064,2)))</f>
        <v/>
      </c>
      <c r="F1064">
        <f>IF(OR($E1064="",$E1064="نامعتبر"),"",LEFT($E1064,4)&amp;"/"&amp;MID($E1064,6,2))</f>
        <v/>
      </c>
      <c r="G1064">
        <f>IF(OR($E1064="",$E1064="نامعتبر",Sync!$Y1061=""),"",Sync!$Y1061)</f>
        <v/>
      </c>
      <c r="H1064">
        <f>IF($G1064="","",IF(Sync!$X1061="","",Sync!$X1061))</f>
        <v/>
      </c>
      <c r="I1064">
        <f>IF($G1064="","",IFERROR(VLOOKUP(Sync!$X1061,OpTbl,3,0),""))</f>
        <v/>
      </c>
      <c r="J1064">
        <f>IF(OR($G1064="",Sync!$Z1061=""),"",Sync!$Z1061)</f>
        <v/>
      </c>
      <c r="K1064">
        <f>IF(OR($G1064="",Sync!$AA1061=""),"",Sync!$AA1061)</f>
        <v/>
      </c>
      <c r="L1064">
        <f>IF($G1064="",0,IF(Sync!$AB1061="",0,Sync!$AB1061))</f>
        <v/>
      </c>
      <c r="M1064">
        <f>IF($G1064="",0,IF(Sync!$AC1061="",0,Sync!$AC1061))</f>
        <v/>
      </c>
      <c r="N1064">
        <f>IF($G1064="","",IF($H1064="مرجوعی خرید",-1,1)*($L1064-$M1064*IFERROR(VLOOKUP("P01",ParamTbl,3,0),1.5))*(1-IF($I1064="خرید",IFERROR(VLOOKUP("P02",ParamTbl,3,0),1),0)/100))</f>
        <v/>
      </c>
      <c r="O1064">
        <f>IF($G1064="",0,IF($H1064="مرجوعی خرید",-1,1)*IF(Sync!$AD1061="",0,Sync!$AD1061))</f>
        <v/>
      </c>
      <c r="P1064">
        <f>IF(OR($G1064="",Sync!$W1061=""),"",Sync!$W1061)</f>
        <v/>
      </c>
      <c r="Q1064">
        <f>IF(OR($G1064="",Sync!$AE1061=""),"",Sync!$AE1061)</f>
        <v/>
      </c>
      <c r="R1064">
        <f>IF($G1064="","",IF(Sync!$V1061="","0000",IF(AND(ISNUMBER(Sync!$V1061),Sync!$V1061&gt;=0,Sync!$V1061&lt;1),RIGHT("00"&amp;HOUR(Sync!$V1061),2)&amp;RIGHT("00"&amp;MINUTE(Sync!$V1061),2),IFERROR(RIGHT("00"&amp;VALUE(LEFT(Sync!$V1061,FIND(":",Sync!$V1061)-1)),2)&amp;RIGHT("00"&amp;VALUE(MID(Sync!$V1061,FIND(":",Sync!$V1061)+1,2)),2),"0000"))))</f>
        <v/>
      </c>
    </row>
    <row r="1065">
      <c r="A1065">
        <f>IF(Sync!$U1062="","",Sync!$U1062)</f>
        <v/>
      </c>
      <c r="B1065">
        <f>IF($A1065="","",IF(ISNUMBER($A1065),IF(AND($A1065&gt;=10000101,$A1065&lt;=99991231),INT($A1065/10000),""),IFERROR(VALUE(TRIM(LEFT($A1065,FIND("/",$A1065)-1))),"")))</f>
        <v/>
      </c>
      <c r="C1065">
        <f>IF(OR($A1065="",$B1065=""),"",IF(ISNUMBER($A1065),INT(MOD($A1065,10000)/100),IFERROR(VALUE(TRIM(LEFT(MID($A1065,FIND("/",$A1065)+1,20),FIND("/",MID($A1065,FIND("/",$A1065)+1,20))-1))),"")))</f>
        <v/>
      </c>
      <c r="D1065">
        <f>IF(OR($A1065="",$B1065=""),"",IF(ISNUMBER($A1065),MOD($A1065,100),IFERROR(VALUE(TRIM(MID(MID($A1065,FIND("/",$A1065)+1,20),FIND("/",MID($A1065,FIND("/",$A1065)+1,20))+1,20))),"")))</f>
        <v/>
      </c>
      <c r="E1065">
        <f>IF($A1065="","",IF(OR($B1065="",$C1065="",$D1065="",$B1065&lt;1300,$B1065&gt;1500,$C1065&lt;1,$C1065&gt;12,$D1065&lt;1,$D1065&gt;31),"نامعتبر",RIGHT("0000"&amp;$B1065,4)&amp;"/"&amp;RIGHT("00"&amp;$C1065,2)&amp;"/"&amp;RIGHT("00"&amp;$D1065,2)))</f>
        <v/>
      </c>
      <c r="F1065">
        <f>IF(OR($E1065="",$E1065="نامعتبر"),"",LEFT($E1065,4)&amp;"/"&amp;MID($E1065,6,2))</f>
        <v/>
      </c>
      <c r="G1065">
        <f>IF(OR($E1065="",$E1065="نامعتبر",Sync!$Y1062=""),"",Sync!$Y1062)</f>
        <v/>
      </c>
      <c r="H1065">
        <f>IF($G1065="","",IF(Sync!$X1062="","",Sync!$X1062))</f>
        <v/>
      </c>
      <c r="I1065">
        <f>IF($G1065="","",IFERROR(VLOOKUP(Sync!$X1062,OpTbl,3,0),""))</f>
        <v/>
      </c>
      <c r="J1065">
        <f>IF(OR($G1065="",Sync!$Z1062=""),"",Sync!$Z1062)</f>
        <v/>
      </c>
      <c r="K1065">
        <f>IF(OR($G1065="",Sync!$AA1062=""),"",Sync!$AA1062)</f>
        <v/>
      </c>
      <c r="L1065">
        <f>IF($G1065="",0,IF(Sync!$AB1062="",0,Sync!$AB1062))</f>
        <v/>
      </c>
      <c r="M1065">
        <f>IF($G1065="",0,IF(Sync!$AC1062="",0,Sync!$AC1062))</f>
        <v/>
      </c>
      <c r="N1065">
        <f>IF($G1065="","",IF($H1065="مرجوعی خرید",-1,1)*($L1065-$M1065*IFERROR(VLOOKUP("P01",ParamTbl,3,0),1.5))*(1-IF($I1065="خرید",IFERROR(VLOOKUP("P02",ParamTbl,3,0),1),0)/100))</f>
        <v/>
      </c>
      <c r="O1065">
        <f>IF($G1065="",0,IF($H1065="مرجوعی خرید",-1,1)*IF(Sync!$AD1062="",0,Sync!$AD1062))</f>
        <v/>
      </c>
      <c r="P1065">
        <f>IF(OR($G1065="",Sync!$W1062=""),"",Sync!$W1062)</f>
        <v/>
      </c>
      <c r="Q1065">
        <f>IF(OR($G1065="",Sync!$AE1062=""),"",Sync!$AE1062)</f>
        <v/>
      </c>
      <c r="R1065">
        <f>IF($G1065="","",IF(Sync!$V1062="","0000",IF(AND(ISNUMBER(Sync!$V1062),Sync!$V1062&gt;=0,Sync!$V1062&lt;1),RIGHT("00"&amp;HOUR(Sync!$V1062),2)&amp;RIGHT("00"&amp;MINUTE(Sync!$V1062),2),IFERROR(RIGHT("00"&amp;VALUE(LEFT(Sync!$V1062,FIND(":",Sync!$V1062)-1)),2)&amp;RIGHT("00"&amp;VALUE(MID(Sync!$V1062,FIND(":",Sync!$V1062)+1,2)),2),"0000"))))</f>
        <v/>
      </c>
    </row>
    <row r="1066">
      <c r="A1066">
        <f>IF(Sync!$U1063="","",Sync!$U1063)</f>
        <v/>
      </c>
      <c r="B1066">
        <f>IF($A1066="","",IF(ISNUMBER($A1066),IF(AND($A1066&gt;=10000101,$A1066&lt;=99991231),INT($A1066/10000),""),IFERROR(VALUE(TRIM(LEFT($A1066,FIND("/",$A1066)-1))),"")))</f>
        <v/>
      </c>
      <c r="C1066">
        <f>IF(OR($A1066="",$B1066=""),"",IF(ISNUMBER($A1066),INT(MOD($A1066,10000)/100),IFERROR(VALUE(TRIM(LEFT(MID($A1066,FIND("/",$A1066)+1,20),FIND("/",MID($A1066,FIND("/",$A1066)+1,20))-1))),"")))</f>
        <v/>
      </c>
      <c r="D1066">
        <f>IF(OR($A1066="",$B1066=""),"",IF(ISNUMBER($A1066),MOD($A1066,100),IFERROR(VALUE(TRIM(MID(MID($A1066,FIND("/",$A1066)+1,20),FIND("/",MID($A1066,FIND("/",$A1066)+1,20))+1,20))),"")))</f>
        <v/>
      </c>
      <c r="E1066">
        <f>IF($A1066="","",IF(OR($B1066="",$C1066="",$D1066="",$B1066&lt;1300,$B1066&gt;1500,$C1066&lt;1,$C1066&gt;12,$D1066&lt;1,$D1066&gt;31),"نامعتبر",RIGHT("0000"&amp;$B1066,4)&amp;"/"&amp;RIGHT("00"&amp;$C1066,2)&amp;"/"&amp;RIGHT("00"&amp;$D1066,2)))</f>
        <v/>
      </c>
      <c r="F1066">
        <f>IF(OR($E1066="",$E1066="نامعتبر"),"",LEFT($E1066,4)&amp;"/"&amp;MID($E1066,6,2))</f>
        <v/>
      </c>
      <c r="G1066">
        <f>IF(OR($E1066="",$E1066="نامعتبر",Sync!$Y1063=""),"",Sync!$Y1063)</f>
        <v/>
      </c>
      <c r="H1066">
        <f>IF($G1066="","",IF(Sync!$X1063="","",Sync!$X1063))</f>
        <v/>
      </c>
      <c r="I1066">
        <f>IF($G1066="","",IFERROR(VLOOKUP(Sync!$X1063,OpTbl,3,0),""))</f>
        <v/>
      </c>
      <c r="J1066">
        <f>IF(OR($G1066="",Sync!$Z1063=""),"",Sync!$Z1063)</f>
        <v/>
      </c>
      <c r="K1066">
        <f>IF(OR($G1066="",Sync!$AA1063=""),"",Sync!$AA1063)</f>
        <v/>
      </c>
      <c r="L1066">
        <f>IF($G1066="",0,IF(Sync!$AB1063="",0,Sync!$AB1063))</f>
        <v/>
      </c>
      <c r="M1066">
        <f>IF($G1066="",0,IF(Sync!$AC1063="",0,Sync!$AC1063))</f>
        <v/>
      </c>
      <c r="N1066">
        <f>IF($G1066="","",IF($H1066="مرجوعی خرید",-1,1)*($L1066-$M1066*IFERROR(VLOOKUP("P01",ParamTbl,3,0),1.5))*(1-IF($I1066="خرید",IFERROR(VLOOKUP("P02",ParamTbl,3,0),1),0)/100))</f>
        <v/>
      </c>
      <c r="O1066">
        <f>IF($G1066="",0,IF($H1066="مرجوعی خرید",-1,1)*IF(Sync!$AD1063="",0,Sync!$AD1063))</f>
        <v/>
      </c>
      <c r="P1066">
        <f>IF(OR($G1066="",Sync!$W1063=""),"",Sync!$W1063)</f>
        <v/>
      </c>
      <c r="Q1066">
        <f>IF(OR($G1066="",Sync!$AE1063=""),"",Sync!$AE1063)</f>
        <v/>
      </c>
      <c r="R1066">
        <f>IF($G1066="","",IF(Sync!$V1063="","0000",IF(AND(ISNUMBER(Sync!$V1063),Sync!$V1063&gt;=0,Sync!$V1063&lt;1),RIGHT("00"&amp;HOUR(Sync!$V1063),2)&amp;RIGHT("00"&amp;MINUTE(Sync!$V1063),2),IFERROR(RIGHT("00"&amp;VALUE(LEFT(Sync!$V1063,FIND(":",Sync!$V1063)-1)),2)&amp;RIGHT("00"&amp;VALUE(MID(Sync!$V1063,FIND(":",Sync!$V1063)+1,2)),2),"0000"))))</f>
        <v/>
      </c>
    </row>
    <row r="1067">
      <c r="A1067">
        <f>IF(Sync!$U1064="","",Sync!$U1064)</f>
        <v/>
      </c>
      <c r="B1067">
        <f>IF($A1067="","",IF(ISNUMBER($A1067),IF(AND($A1067&gt;=10000101,$A1067&lt;=99991231),INT($A1067/10000),""),IFERROR(VALUE(TRIM(LEFT($A1067,FIND("/",$A1067)-1))),"")))</f>
        <v/>
      </c>
      <c r="C1067">
        <f>IF(OR($A1067="",$B1067=""),"",IF(ISNUMBER($A1067),INT(MOD($A1067,10000)/100),IFERROR(VALUE(TRIM(LEFT(MID($A1067,FIND("/",$A1067)+1,20),FIND("/",MID($A1067,FIND("/",$A1067)+1,20))-1))),"")))</f>
        <v/>
      </c>
      <c r="D1067">
        <f>IF(OR($A1067="",$B1067=""),"",IF(ISNUMBER($A1067),MOD($A1067,100),IFERROR(VALUE(TRIM(MID(MID($A1067,FIND("/",$A1067)+1,20),FIND("/",MID($A1067,FIND("/",$A1067)+1,20))+1,20))),"")))</f>
        <v/>
      </c>
      <c r="E1067">
        <f>IF($A1067="","",IF(OR($B1067="",$C1067="",$D1067="",$B1067&lt;1300,$B1067&gt;1500,$C1067&lt;1,$C1067&gt;12,$D1067&lt;1,$D1067&gt;31),"نامعتبر",RIGHT("0000"&amp;$B1067,4)&amp;"/"&amp;RIGHT("00"&amp;$C1067,2)&amp;"/"&amp;RIGHT("00"&amp;$D1067,2)))</f>
        <v/>
      </c>
      <c r="F1067">
        <f>IF(OR($E1067="",$E1067="نامعتبر"),"",LEFT($E1067,4)&amp;"/"&amp;MID($E1067,6,2))</f>
        <v/>
      </c>
      <c r="G1067">
        <f>IF(OR($E1067="",$E1067="نامعتبر",Sync!$Y1064=""),"",Sync!$Y1064)</f>
        <v/>
      </c>
      <c r="H1067">
        <f>IF($G1067="","",IF(Sync!$X1064="","",Sync!$X1064))</f>
        <v/>
      </c>
      <c r="I1067">
        <f>IF($G1067="","",IFERROR(VLOOKUP(Sync!$X1064,OpTbl,3,0),""))</f>
        <v/>
      </c>
      <c r="J1067">
        <f>IF(OR($G1067="",Sync!$Z1064=""),"",Sync!$Z1064)</f>
        <v/>
      </c>
      <c r="K1067">
        <f>IF(OR($G1067="",Sync!$AA1064=""),"",Sync!$AA1064)</f>
        <v/>
      </c>
      <c r="L1067">
        <f>IF($G1067="",0,IF(Sync!$AB1064="",0,Sync!$AB1064))</f>
        <v/>
      </c>
      <c r="M1067">
        <f>IF($G1067="",0,IF(Sync!$AC1064="",0,Sync!$AC1064))</f>
        <v/>
      </c>
      <c r="N1067">
        <f>IF($G1067="","",IF($H1067="مرجوعی خرید",-1,1)*($L1067-$M1067*IFERROR(VLOOKUP("P01",ParamTbl,3,0),1.5))*(1-IF($I1067="خرید",IFERROR(VLOOKUP("P02",ParamTbl,3,0),1),0)/100))</f>
        <v/>
      </c>
      <c r="O1067">
        <f>IF($G1067="",0,IF($H1067="مرجوعی خرید",-1,1)*IF(Sync!$AD1064="",0,Sync!$AD1064))</f>
        <v/>
      </c>
      <c r="P1067">
        <f>IF(OR($G1067="",Sync!$W1064=""),"",Sync!$W1064)</f>
        <v/>
      </c>
      <c r="Q1067">
        <f>IF(OR($G1067="",Sync!$AE1064=""),"",Sync!$AE1064)</f>
        <v/>
      </c>
      <c r="R1067">
        <f>IF($G1067="","",IF(Sync!$V1064="","0000",IF(AND(ISNUMBER(Sync!$V1064),Sync!$V1064&gt;=0,Sync!$V1064&lt;1),RIGHT("00"&amp;HOUR(Sync!$V1064),2)&amp;RIGHT("00"&amp;MINUTE(Sync!$V1064),2),IFERROR(RIGHT("00"&amp;VALUE(LEFT(Sync!$V1064,FIND(":",Sync!$V1064)-1)),2)&amp;RIGHT("00"&amp;VALUE(MID(Sync!$V1064,FIND(":",Sync!$V1064)+1,2)),2),"0000"))))</f>
        <v/>
      </c>
    </row>
    <row r="1068">
      <c r="A1068">
        <f>IF(Sync!$U1065="","",Sync!$U1065)</f>
        <v/>
      </c>
      <c r="B1068">
        <f>IF($A1068="","",IF(ISNUMBER($A1068),IF(AND($A1068&gt;=10000101,$A1068&lt;=99991231),INT($A1068/10000),""),IFERROR(VALUE(TRIM(LEFT($A1068,FIND("/",$A1068)-1))),"")))</f>
        <v/>
      </c>
      <c r="C1068">
        <f>IF(OR($A1068="",$B1068=""),"",IF(ISNUMBER($A1068),INT(MOD($A1068,10000)/100),IFERROR(VALUE(TRIM(LEFT(MID($A1068,FIND("/",$A1068)+1,20),FIND("/",MID($A1068,FIND("/",$A1068)+1,20))-1))),"")))</f>
        <v/>
      </c>
      <c r="D1068">
        <f>IF(OR($A1068="",$B1068=""),"",IF(ISNUMBER($A1068),MOD($A1068,100),IFERROR(VALUE(TRIM(MID(MID($A1068,FIND("/",$A1068)+1,20),FIND("/",MID($A1068,FIND("/",$A1068)+1,20))+1,20))),"")))</f>
        <v/>
      </c>
      <c r="E1068">
        <f>IF($A1068="","",IF(OR($B1068="",$C1068="",$D1068="",$B1068&lt;1300,$B1068&gt;1500,$C1068&lt;1,$C1068&gt;12,$D1068&lt;1,$D1068&gt;31),"نامعتبر",RIGHT("0000"&amp;$B1068,4)&amp;"/"&amp;RIGHT("00"&amp;$C1068,2)&amp;"/"&amp;RIGHT("00"&amp;$D1068,2)))</f>
        <v/>
      </c>
      <c r="F1068">
        <f>IF(OR($E1068="",$E1068="نامعتبر"),"",LEFT($E1068,4)&amp;"/"&amp;MID($E1068,6,2))</f>
        <v/>
      </c>
      <c r="G1068">
        <f>IF(OR($E1068="",$E1068="نامعتبر",Sync!$Y1065=""),"",Sync!$Y1065)</f>
        <v/>
      </c>
      <c r="H1068">
        <f>IF($G1068="","",IF(Sync!$X1065="","",Sync!$X1065))</f>
        <v/>
      </c>
      <c r="I1068">
        <f>IF($G1068="","",IFERROR(VLOOKUP(Sync!$X1065,OpTbl,3,0),""))</f>
        <v/>
      </c>
      <c r="J1068">
        <f>IF(OR($G1068="",Sync!$Z1065=""),"",Sync!$Z1065)</f>
        <v/>
      </c>
      <c r="K1068">
        <f>IF(OR($G1068="",Sync!$AA1065=""),"",Sync!$AA1065)</f>
        <v/>
      </c>
      <c r="L1068">
        <f>IF($G1068="",0,IF(Sync!$AB1065="",0,Sync!$AB1065))</f>
        <v/>
      </c>
      <c r="M1068">
        <f>IF($G1068="",0,IF(Sync!$AC1065="",0,Sync!$AC1065))</f>
        <v/>
      </c>
      <c r="N1068">
        <f>IF($G1068="","",IF($H1068="مرجوعی خرید",-1,1)*($L1068-$M1068*IFERROR(VLOOKUP("P01",ParamTbl,3,0),1.5))*(1-IF($I1068="خرید",IFERROR(VLOOKUP("P02",ParamTbl,3,0),1),0)/100))</f>
        <v/>
      </c>
      <c r="O1068">
        <f>IF($G1068="",0,IF($H1068="مرجوعی خرید",-1,1)*IF(Sync!$AD1065="",0,Sync!$AD1065))</f>
        <v/>
      </c>
      <c r="P1068">
        <f>IF(OR($G1068="",Sync!$W1065=""),"",Sync!$W1065)</f>
        <v/>
      </c>
      <c r="Q1068">
        <f>IF(OR($G1068="",Sync!$AE1065=""),"",Sync!$AE1065)</f>
        <v/>
      </c>
      <c r="R1068">
        <f>IF($G1068="","",IF(Sync!$V1065="","0000",IF(AND(ISNUMBER(Sync!$V1065),Sync!$V1065&gt;=0,Sync!$V1065&lt;1),RIGHT("00"&amp;HOUR(Sync!$V1065),2)&amp;RIGHT("00"&amp;MINUTE(Sync!$V1065),2),IFERROR(RIGHT("00"&amp;VALUE(LEFT(Sync!$V1065,FIND(":",Sync!$V1065)-1)),2)&amp;RIGHT("00"&amp;VALUE(MID(Sync!$V1065,FIND(":",Sync!$V1065)+1,2)),2),"0000"))))</f>
        <v/>
      </c>
    </row>
    <row r="1069">
      <c r="A1069">
        <f>IF(Sync!$U1066="","",Sync!$U1066)</f>
        <v/>
      </c>
      <c r="B1069">
        <f>IF($A1069="","",IF(ISNUMBER($A1069),IF(AND($A1069&gt;=10000101,$A1069&lt;=99991231),INT($A1069/10000),""),IFERROR(VALUE(TRIM(LEFT($A1069,FIND("/",$A1069)-1))),"")))</f>
        <v/>
      </c>
      <c r="C1069">
        <f>IF(OR($A1069="",$B1069=""),"",IF(ISNUMBER($A1069),INT(MOD($A1069,10000)/100),IFERROR(VALUE(TRIM(LEFT(MID($A1069,FIND("/",$A1069)+1,20),FIND("/",MID($A1069,FIND("/",$A1069)+1,20))-1))),"")))</f>
        <v/>
      </c>
      <c r="D1069">
        <f>IF(OR($A1069="",$B1069=""),"",IF(ISNUMBER($A1069),MOD($A1069,100),IFERROR(VALUE(TRIM(MID(MID($A1069,FIND("/",$A1069)+1,20),FIND("/",MID($A1069,FIND("/",$A1069)+1,20))+1,20))),"")))</f>
        <v/>
      </c>
      <c r="E1069">
        <f>IF($A1069="","",IF(OR($B1069="",$C1069="",$D1069="",$B1069&lt;1300,$B1069&gt;1500,$C1069&lt;1,$C1069&gt;12,$D1069&lt;1,$D1069&gt;31),"نامعتبر",RIGHT("0000"&amp;$B1069,4)&amp;"/"&amp;RIGHT("00"&amp;$C1069,2)&amp;"/"&amp;RIGHT("00"&amp;$D1069,2)))</f>
        <v/>
      </c>
      <c r="F1069">
        <f>IF(OR($E1069="",$E1069="نامعتبر"),"",LEFT($E1069,4)&amp;"/"&amp;MID($E1069,6,2))</f>
        <v/>
      </c>
      <c r="G1069">
        <f>IF(OR($E1069="",$E1069="نامعتبر",Sync!$Y1066=""),"",Sync!$Y1066)</f>
        <v/>
      </c>
      <c r="H1069">
        <f>IF($G1069="","",IF(Sync!$X1066="","",Sync!$X1066))</f>
        <v/>
      </c>
      <c r="I1069">
        <f>IF($G1069="","",IFERROR(VLOOKUP(Sync!$X1066,OpTbl,3,0),""))</f>
        <v/>
      </c>
      <c r="J1069">
        <f>IF(OR($G1069="",Sync!$Z1066=""),"",Sync!$Z1066)</f>
        <v/>
      </c>
      <c r="K1069">
        <f>IF(OR($G1069="",Sync!$AA1066=""),"",Sync!$AA1066)</f>
        <v/>
      </c>
      <c r="L1069">
        <f>IF($G1069="",0,IF(Sync!$AB1066="",0,Sync!$AB1066))</f>
        <v/>
      </c>
      <c r="M1069">
        <f>IF($G1069="",0,IF(Sync!$AC1066="",0,Sync!$AC1066))</f>
        <v/>
      </c>
      <c r="N1069">
        <f>IF($G1069="","",IF($H1069="مرجوعی خرید",-1,1)*($L1069-$M1069*IFERROR(VLOOKUP("P01",ParamTbl,3,0),1.5))*(1-IF($I1069="خرید",IFERROR(VLOOKUP("P02",ParamTbl,3,0),1),0)/100))</f>
        <v/>
      </c>
      <c r="O1069">
        <f>IF($G1069="",0,IF($H1069="مرجوعی خرید",-1,1)*IF(Sync!$AD1066="",0,Sync!$AD1066))</f>
        <v/>
      </c>
      <c r="P1069">
        <f>IF(OR($G1069="",Sync!$W1066=""),"",Sync!$W1066)</f>
        <v/>
      </c>
      <c r="Q1069">
        <f>IF(OR($G1069="",Sync!$AE1066=""),"",Sync!$AE1066)</f>
        <v/>
      </c>
      <c r="R1069">
        <f>IF($G1069="","",IF(Sync!$V1066="","0000",IF(AND(ISNUMBER(Sync!$V1066),Sync!$V1066&gt;=0,Sync!$V1066&lt;1),RIGHT("00"&amp;HOUR(Sync!$V1066),2)&amp;RIGHT("00"&amp;MINUTE(Sync!$V1066),2),IFERROR(RIGHT("00"&amp;VALUE(LEFT(Sync!$V1066,FIND(":",Sync!$V1066)-1)),2)&amp;RIGHT("00"&amp;VALUE(MID(Sync!$V1066,FIND(":",Sync!$V1066)+1,2)),2),"0000"))))</f>
        <v/>
      </c>
    </row>
    <row r="1070">
      <c r="A1070">
        <f>IF(Sync!$U1067="","",Sync!$U1067)</f>
        <v/>
      </c>
      <c r="B1070">
        <f>IF($A1070="","",IF(ISNUMBER($A1070),IF(AND($A1070&gt;=10000101,$A1070&lt;=99991231),INT($A1070/10000),""),IFERROR(VALUE(TRIM(LEFT($A1070,FIND("/",$A1070)-1))),"")))</f>
        <v/>
      </c>
      <c r="C1070">
        <f>IF(OR($A1070="",$B1070=""),"",IF(ISNUMBER($A1070),INT(MOD($A1070,10000)/100),IFERROR(VALUE(TRIM(LEFT(MID($A1070,FIND("/",$A1070)+1,20),FIND("/",MID($A1070,FIND("/",$A1070)+1,20))-1))),"")))</f>
        <v/>
      </c>
      <c r="D1070">
        <f>IF(OR($A1070="",$B1070=""),"",IF(ISNUMBER($A1070),MOD($A1070,100),IFERROR(VALUE(TRIM(MID(MID($A1070,FIND("/",$A1070)+1,20),FIND("/",MID($A1070,FIND("/",$A1070)+1,20))+1,20))),"")))</f>
        <v/>
      </c>
      <c r="E1070">
        <f>IF($A1070="","",IF(OR($B1070="",$C1070="",$D1070="",$B1070&lt;1300,$B1070&gt;1500,$C1070&lt;1,$C1070&gt;12,$D1070&lt;1,$D1070&gt;31),"نامعتبر",RIGHT("0000"&amp;$B1070,4)&amp;"/"&amp;RIGHT("00"&amp;$C1070,2)&amp;"/"&amp;RIGHT("00"&amp;$D1070,2)))</f>
        <v/>
      </c>
      <c r="F1070">
        <f>IF(OR($E1070="",$E1070="نامعتبر"),"",LEFT($E1070,4)&amp;"/"&amp;MID($E1070,6,2))</f>
        <v/>
      </c>
      <c r="G1070">
        <f>IF(OR($E1070="",$E1070="نامعتبر",Sync!$Y1067=""),"",Sync!$Y1067)</f>
        <v/>
      </c>
      <c r="H1070">
        <f>IF($G1070="","",IF(Sync!$X1067="","",Sync!$X1067))</f>
        <v/>
      </c>
      <c r="I1070">
        <f>IF($G1070="","",IFERROR(VLOOKUP(Sync!$X1067,OpTbl,3,0),""))</f>
        <v/>
      </c>
      <c r="J1070">
        <f>IF(OR($G1070="",Sync!$Z1067=""),"",Sync!$Z1067)</f>
        <v/>
      </c>
      <c r="K1070">
        <f>IF(OR($G1070="",Sync!$AA1067=""),"",Sync!$AA1067)</f>
        <v/>
      </c>
      <c r="L1070">
        <f>IF($G1070="",0,IF(Sync!$AB1067="",0,Sync!$AB1067))</f>
        <v/>
      </c>
      <c r="M1070">
        <f>IF($G1070="",0,IF(Sync!$AC1067="",0,Sync!$AC1067))</f>
        <v/>
      </c>
      <c r="N1070">
        <f>IF($G1070="","",IF($H1070="مرجوعی خرید",-1,1)*($L1070-$M1070*IFERROR(VLOOKUP("P01",ParamTbl,3,0),1.5))*(1-IF($I1070="خرید",IFERROR(VLOOKUP("P02",ParamTbl,3,0),1),0)/100))</f>
        <v/>
      </c>
      <c r="O1070">
        <f>IF($G1070="",0,IF($H1070="مرجوعی خرید",-1,1)*IF(Sync!$AD1067="",0,Sync!$AD1067))</f>
        <v/>
      </c>
      <c r="P1070">
        <f>IF(OR($G1070="",Sync!$W1067=""),"",Sync!$W1067)</f>
        <v/>
      </c>
      <c r="Q1070">
        <f>IF(OR($G1070="",Sync!$AE1067=""),"",Sync!$AE1067)</f>
        <v/>
      </c>
      <c r="R1070">
        <f>IF($G1070="","",IF(Sync!$V1067="","0000",IF(AND(ISNUMBER(Sync!$V1067),Sync!$V1067&gt;=0,Sync!$V1067&lt;1),RIGHT("00"&amp;HOUR(Sync!$V1067),2)&amp;RIGHT("00"&amp;MINUTE(Sync!$V1067),2),IFERROR(RIGHT("00"&amp;VALUE(LEFT(Sync!$V1067,FIND(":",Sync!$V1067)-1)),2)&amp;RIGHT("00"&amp;VALUE(MID(Sync!$V1067,FIND(":",Sync!$V1067)+1,2)),2),"0000"))))</f>
        <v/>
      </c>
    </row>
    <row r="1071">
      <c r="A1071">
        <f>IF(Sync!$U1068="","",Sync!$U1068)</f>
        <v/>
      </c>
      <c r="B1071">
        <f>IF($A1071="","",IF(ISNUMBER($A1071),IF(AND($A1071&gt;=10000101,$A1071&lt;=99991231),INT($A1071/10000),""),IFERROR(VALUE(TRIM(LEFT($A1071,FIND("/",$A1071)-1))),"")))</f>
        <v/>
      </c>
      <c r="C1071">
        <f>IF(OR($A1071="",$B1071=""),"",IF(ISNUMBER($A1071),INT(MOD($A1071,10000)/100),IFERROR(VALUE(TRIM(LEFT(MID($A1071,FIND("/",$A1071)+1,20),FIND("/",MID($A1071,FIND("/",$A1071)+1,20))-1))),"")))</f>
        <v/>
      </c>
      <c r="D1071">
        <f>IF(OR($A1071="",$B1071=""),"",IF(ISNUMBER($A1071),MOD($A1071,100),IFERROR(VALUE(TRIM(MID(MID($A1071,FIND("/",$A1071)+1,20),FIND("/",MID($A1071,FIND("/",$A1071)+1,20))+1,20))),"")))</f>
        <v/>
      </c>
      <c r="E1071">
        <f>IF($A1071="","",IF(OR($B1071="",$C1071="",$D1071="",$B1071&lt;1300,$B1071&gt;1500,$C1071&lt;1,$C1071&gt;12,$D1071&lt;1,$D1071&gt;31),"نامعتبر",RIGHT("0000"&amp;$B1071,4)&amp;"/"&amp;RIGHT("00"&amp;$C1071,2)&amp;"/"&amp;RIGHT("00"&amp;$D1071,2)))</f>
        <v/>
      </c>
      <c r="F1071">
        <f>IF(OR($E1071="",$E1071="نامعتبر"),"",LEFT($E1071,4)&amp;"/"&amp;MID($E1071,6,2))</f>
        <v/>
      </c>
      <c r="G1071">
        <f>IF(OR($E1071="",$E1071="نامعتبر",Sync!$Y1068=""),"",Sync!$Y1068)</f>
        <v/>
      </c>
      <c r="H1071">
        <f>IF($G1071="","",IF(Sync!$X1068="","",Sync!$X1068))</f>
        <v/>
      </c>
      <c r="I1071">
        <f>IF($G1071="","",IFERROR(VLOOKUP(Sync!$X1068,OpTbl,3,0),""))</f>
        <v/>
      </c>
      <c r="J1071">
        <f>IF(OR($G1071="",Sync!$Z1068=""),"",Sync!$Z1068)</f>
        <v/>
      </c>
      <c r="K1071">
        <f>IF(OR($G1071="",Sync!$AA1068=""),"",Sync!$AA1068)</f>
        <v/>
      </c>
      <c r="L1071">
        <f>IF($G1071="",0,IF(Sync!$AB1068="",0,Sync!$AB1068))</f>
        <v/>
      </c>
      <c r="M1071">
        <f>IF($G1071="",0,IF(Sync!$AC1068="",0,Sync!$AC1068))</f>
        <v/>
      </c>
      <c r="N1071">
        <f>IF($G1071="","",IF($H1071="مرجوعی خرید",-1,1)*($L1071-$M1071*IFERROR(VLOOKUP("P01",ParamTbl,3,0),1.5))*(1-IF($I1071="خرید",IFERROR(VLOOKUP("P02",ParamTbl,3,0),1),0)/100))</f>
        <v/>
      </c>
      <c r="O1071">
        <f>IF($G1071="",0,IF($H1071="مرجوعی خرید",-1,1)*IF(Sync!$AD1068="",0,Sync!$AD1068))</f>
        <v/>
      </c>
      <c r="P1071">
        <f>IF(OR($G1071="",Sync!$W1068=""),"",Sync!$W1068)</f>
        <v/>
      </c>
      <c r="Q1071">
        <f>IF(OR($G1071="",Sync!$AE1068=""),"",Sync!$AE1068)</f>
        <v/>
      </c>
      <c r="R1071">
        <f>IF($G1071="","",IF(Sync!$V1068="","0000",IF(AND(ISNUMBER(Sync!$V1068),Sync!$V1068&gt;=0,Sync!$V1068&lt;1),RIGHT("00"&amp;HOUR(Sync!$V1068),2)&amp;RIGHT("00"&amp;MINUTE(Sync!$V1068),2),IFERROR(RIGHT("00"&amp;VALUE(LEFT(Sync!$V1068,FIND(":",Sync!$V1068)-1)),2)&amp;RIGHT("00"&amp;VALUE(MID(Sync!$V1068,FIND(":",Sync!$V1068)+1,2)),2),"0000"))))</f>
        <v/>
      </c>
    </row>
    <row r="1072">
      <c r="A1072">
        <f>IF(Sync!$U1069="","",Sync!$U1069)</f>
        <v/>
      </c>
      <c r="B1072">
        <f>IF($A1072="","",IF(ISNUMBER($A1072),IF(AND($A1072&gt;=10000101,$A1072&lt;=99991231),INT($A1072/10000),""),IFERROR(VALUE(TRIM(LEFT($A1072,FIND("/",$A1072)-1))),"")))</f>
        <v/>
      </c>
      <c r="C1072">
        <f>IF(OR($A1072="",$B1072=""),"",IF(ISNUMBER($A1072),INT(MOD($A1072,10000)/100),IFERROR(VALUE(TRIM(LEFT(MID($A1072,FIND("/",$A1072)+1,20),FIND("/",MID($A1072,FIND("/",$A1072)+1,20))-1))),"")))</f>
        <v/>
      </c>
      <c r="D1072">
        <f>IF(OR($A1072="",$B1072=""),"",IF(ISNUMBER($A1072),MOD($A1072,100),IFERROR(VALUE(TRIM(MID(MID($A1072,FIND("/",$A1072)+1,20),FIND("/",MID($A1072,FIND("/",$A1072)+1,20))+1,20))),"")))</f>
        <v/>
      </c>
      <c r="E1072">
        <f>IF($A1072="","",IF(OR($B1072="",$C1072="",$D1072="",$B1072&lt;1300,$B1072&gt;1500,$C1072&lt;1,$C1072&gt;12,$D1072&lt;1,$D1072&gt;31),"نامعتبر",RIGHT("0000"&amp;$B1072,4)&amp;"/"&amp;RIGHT("00"&amp;$C1072,2)&amp;"/"&amp;RIGHT("00"&amp;$D1072,2)))</f>
        <v/>
      </c>
      <c r="F1072">
        <f>IF(OR($E1072="",$E1072="نامعتبر"),"",LEFT($E1072,4)&amp;"/"&amp;MID($E1072,6,2))</f>
        <v/>
      </c>
      <c r="G1072">
        <f>IF(OR($E1072="",$E1072="نامعتبر",Sync!$Y1069=""),"",Sync!$Y1069)</f>
        <v/>
      </c>
      <c r="H1072">
        <f>IF($G1072="","",IF(Sync!$X1069="","",Sync!$X1069))</f>
        <v/>
      </c>
      <c r="I1072">
        <f>IF($G1072="","",IFERROR(VLOOKUP(Sync!$X1069,OpTbl,3,0),""))</f>
        <v/>
      </c>
      <c r="J1072">
        <f>IF(OR($G1072="",Sync!$Z1069=""),"",Sync!$Z1069)</f>
        <v/>
      </c>
      <c r="K1072">
        <f>IF(OR($G1072="",Sync!$AA1069=""),"",Sync!$AA1069)</f>
        <v/>
      </c>
      <c r="L1072">
        <f>IF($G1072="",0,IF(Sync!$AB1069="",0,Sync!$AB1069))</f>
        <v/>
      </c>
      <c r="M1072">
        <f>IF($G1072="",0,IF(Sync!$AC1069="",0,Sync!$AC1069))</f>
        <v/>
      </c>
      <c r="N1072">
        <f>IF($G1072="","",IF($H1072="مرجوعی خرید",-1,1)*($L1072-$M1072*IFERROR(VLOOKUP("P01",ParamTbl,3,0),1.5))*(1-IF($I1072="خرید",IFERROR(VLOOKUP("P02",ParamTbl,3,0),1),0)/100))</f>
        <v/>
      </c>
      <c r="O1072">
        <f>IF($G1072="",0,IF($H1072="مرجوعی خرید",-1,1)*IF(Sync!$AD1069="",0,Sync!$AD1069))</f>
        <v/>
      </c>
      <c r="P1072">
        <f>IF(OR($G1072="",Sync!$W1069=""),"",Sync!$W1069)</f>
        <v/>
      </c>
      <c r="Q1072">
        <f>IF(OR($G1072="",Sync!$AE1069=""),"",Sync!$AE1069)</f>
        <v/>
      </c>
      <c r="R1072">
        <f>IF($G1072="","",IF(Sync!$V1069="","0000",IF(AND(ISNUMBER(Sync!$V1069),Sync!$V1069&gt;=0,Sync!$V1069&lt;1),RIGHT("00"&amp;HOUR(Sync!$V1069),2)&amp;RIGHT("00"&amp;MINUTE(Sync!$V1069),2),IFERROR(RIGHT("00"&amp;VALUE(LEFT(Sync!$V1069,FIND(":",Sync!$V1069)-1)),2)&amp;RIGHT("00"&amp;VALUE(MID(Sync!$V1069,FIND(":",Sync!$V1069)+1,2)),2),"0000"))))</f>
        <v/>
      </c>
    </row>
    <row r="1073">
      <c r="A1073">
        <f>IF(Sync!$U1070="","",Sync!$U1070)</f>
        <v/>
      </c>
      <c r="B1073">
        <f>IF($A1073="","",IF(ISNUMBER($A1073),IF(AND($A1073&gt;=10000101,$A1073&lt;=99991231),INT($A1073/10000),""),IFERROR(VALUE(TRIM(LEFT($A1073,FIND("/",$A1073)-1))),"")))</f>
        <v/>
      </c>
      <c r="C1073">
        <f>IF(OR($A1073="",$B1073=""),"",IF(ISNUMBER($A1073),INT(MOD($A1073,10000)/100),IFERROR(VALUE(TRIM(LEFT(MID($A1073,FIND("/",$A1073)+1,20),FIND("/",MID($A1073,FIND("/",$A1073)+1,20))-1))),"")))</f>
        <v/>
      </c>
      <c r="D1073">
        <f>IF(OR($A1073="",$B1073=""),"",IF(ISNUMBER($A1073),MOD($A1073,100),IFERROR(VALUE(TRIM(MID(MID($A1073,FIND("/",$A1073)+1,20),FIND("/",MID($A1073,FIND("/",$A1073)+1,20))+1,20))),"")))</f>
        <v/>
      </c>
      <c r="E1073">
        <f>IF($A1073="","",IF(OR($B1073="",$C1073="",$D1073="",$B1073&lt;1300,$B1073&gt;1500,$C1073&lt;1,$C1073&gt;12,$D1073&lt;1,$D1073&gt;31),"نامعتبر",RIGHT("0000"&amp;$B1073,4)&amp;"/"&amp;RIGHT("00"&amp;$C1073,2)&amp;"/"&amp;RIGHT("00"&amp;$D1073,2)))</f>
        <v/>
      </c>
      <c r="F1073">
        <f>IF(OR($E1073="",$E1073="نامعتبر"),"",LEFT($E1073,4)&amp;"/"&amp;MID($E1073,6,2))</f>
        <v/>
      </c>
      <c r="G1073">
        <f>IF(OR($E1073="",$E1073="نامعتبر",Sync!$Y1070=""),"",Sync!$Y1070)</f>
        <v/>
      </c>
      <c r="H1073">
        <f>IF($G1073="","",IF(Sync!$X1070="","",Sync!$X1070))</f>
        <v/>
      </c>
      <c r="I1073">
        <f>IF($G1073="","",IFERROR(VLOOKUP(Sync!$X1070,OpTbl,3,0),""))</f>
        <v/>
      </c>
      <c r="J1073">
        <f>IF(OR($G1073="",Sync!$Z1070=""),"",Sync!$Z1070)</f>
        <v/>
      </c>
      <c r="K1073">
        <f>IF(OR($G1073="",Sync!$AA1070=""),"",Sync!$AA1070)</f>
        <v/>
      </c>
      <c r="L1073">
        <f>IF($G1073="",0,IF(Sync!$AB1070="",0,Sync!$AB1070))</f>
        <v/>
      </c>
      <c r="M1073">
        <f>IF($G1073="",0,IF(Sync!$AC1070="",0,Sync!$AC1070))</f>
        <v/>
      </c>
      <c r="N1073">
        <f>IF($G1073="","",IF($H1073="مرجوعی خرید",-1,1)*($L1073-$M1073*IFERROR(VLOOKUP("P01",ParamTbl,3,0),1.5))*(1-IF($I1073="خرید",IFERROR(VLOOKUP("P02",ParamTbl,3,0),1),0)/100))</f>
        <v/>
      </c>
      <c r="O1073">
        <f>IF($G1073="",0,IF($H1073="مرجوعی خرید",-1,1)*IF(Sync!$AD1070="",0,Sync!$AD1070))</f>
        <v/>
      </c>
      <c r="P1073">
        <f>IF(OR($G1073="",Sync!$W1070=""),"",Sync!$W1070)</f>
        <v/>
      </c>
      <c r="Q1073">
        <f>IF(OR($G1073="",Sync!$AE1070=""),"",Sync!$AE1070)</f>
        <v/>
      </c>
      <c r="R1073">
        <f>IF($G1073="","",IF(Sync!$V1070="","0000",IF(AND(ISNUMBER(Sync!$V1070),Sync!$V1070&gt;=0,Sync!$V1070&lt;1),RIGHT("00"&amp;HOUR(Sync!$V1070),2)&amp;RIGHT("00"&amp;MINUTE(Sync!$V1070),2),IFERROR(RIGHT("00"&amp;VALUE(LEFT(Sync!$V1070,FIND(":",Sync!$V1070)-1)),2)&amp;RIGHT("00"&amp;VALUE(MID(Sync!$V1070,FIND(":",Sync!$V1070)+1,2)),2),"0000"))))</f>
        <v/>
      </c>
    </row>
    <row r="1074">
      <c r="A1074">
        <f>IF(Sync!$U1071="","",Sync!$U1071)</f>
        <v/>
      </c>
      <c r="B1074">
        <f>IF($A1074="","",IF(ISNUMBER($A1074),IF(AND($A1074&gt;=10000101,$A1074&lt;=99991231),INT($A1074/10000),""),IFERROR(VALUE(TRIM(LEFT($A1074,FIND("/",$A1074)-1))),"")))</f>
        <v/>
      </c>
      <c r="C1074">
        <f>IF(OR($A1074="",$B1074=""),"",IF(ISNUMBER($A1074),INT(MOD($A1074,10000)/100),IFERROR(VALUE(TRIM(LEFT(MID($A1074,FIND("/",$A1074)+1,20),FIND("/",MID($A1074,FIND("/",$A1074)+1,20))-1))),"")))</f>
        <v/>
      </c>
      <c r="D1074">
        <f>IF(OR($A1074="",$B1074=""),"",IF(ISNUMBER($A1074),MOD($A1074,100),IFERROR(VALUE(TRIM(MID(MID($A1074,FIND("/",$A1074)+1,20),FIND("/",MID($A1074,FIND("/",$A1074)+1,20))+1,20))),"")))</f>
        <v/>
      </c>
      <c r="E1074">
        <f>IF($A1074="","",IF(OR($B1074="",$C1074="",$D1074="",$B1074&lt;1300,$B1074&gt;1500,$C1074&lt;1,$C1074&gt;12,$D1074&lt;1,$D1074&gt;31),"نامعتبر",RIGHT("0000"&amp;$B1074,4)&amp;"/"&amp;RIGHT("00"&amp;$C1074,2)&amp;"/"&amp;RIGHT("00"&amp;$D1074,2)))</f>
        <v/>
      </c>
      <c r="F1074">
        <f>IF(OR($E1074="",$E1074="نامعتبر"),"",LEFT($E1074,4)&amp;"/"&amp;MID($E1074,6,2))</f>
        <v/>
      </c>
      <c r="G1074">
        <f>IF(OR($E1074="",$E1074="نامعتبر",Sync!$Y1071=""),"",Sync!$Y1071)</f>
        <v/>
      </c>
      <c r="H1074">
        <f>IF($G1074="","",IF(Sync!$X1071="","",Sync!$X1071))</f>
        <v/>
      </c>
      <c r="I1074">
        <f>IF($G1074="","",IFERROR(VLOOKUP(Sync!$X1071,OpTbl,3,0),""))</f>
        <v/>
      </c>
      <c r="J1074">
        <f>IF(OR($G1074="",Sync!$Z1071=""),"",Sync!$Z1071)</f>
        <v/>
      </c>
      <c r="K1074">
        <f>IF(OR($G1074="",Sync!$AA1071=""),"",Sync!$AA1071)</f>
        <v/>
      </c>
      <c r="L1074">
        <f>IF($G1074="",0,IF(Sync!$AB1071="",0,Sync!$AB1071))</f>
        <v/>
      </c>
      <c r="M1074">
        <f>IF($G1074="",0,IF(Sync!$AC1071="",0,Sync!$AC1071))</f>
        <v/>
      </c>
      <c r="N1074">
        <f>IF($G1074="","",IF($H1074="مرجوعی خرید",-1,1)*($L1074-$M1074*IFERROR(VLOOKUP("P01",ParamTbl,3,0),1.5))*(1-IF($I1074="خرید",IFERROR(VLOOKUP("P02",ParamTbl,3,0),1),0)/100))</f>
        <v/>
      </c>
      <c r="O1074">
        <f>IF($G1074="",0,IF($H1074="مرجوعی خرید",-1,1)*IF(Sync!$AD1071="",0,Sync!$AD1071))</f>
        <v/>
      </c>
      <c r="P1074">
        <f>IF(OR($G1074="",Sync!$W1071=""),"",Sync!$W1071)</f>
        <v/>
      </c>
      <c r="Q1074">
        <f>IF(OR($G1074="",Sync!$AE1071=""),"",Sync!$AE1071)</f>
        <v/>
      </c>
      <c r="R1074">
        <f>IF($G1074="","",IF(Sync!$V1071="","0000",IF(AND(ISNUMBER(Sync!$V1071),Sync!$V1071&gt;=0,Sync!$V1071&lt;1),RIGHT("00"&amp;HOUR(Sync!$V1071),2)&amp;RIGHT("00"&amp;MINUTE(Sync!$V1071),2),IFERROR(RIGHT("00"&amp;VALUE(LEFT(Sync!$V1071,FIND(":",Sync!$V1071)-1)),2)&amp;RIGHT("00"&amp;VALUE(MID(Sync!$V1071,FIND(":",Sync!$V1071)+1,2)),2),"0000"))))</f>
        <v/>
      </c>
    </row>
    <row r="1075">
      <c r="A1075">
        <f>IF(Sync!$U1072="","",Sync!$U1072)</f>
        <v/>
      </c>
      <c r="B1075">
        <f>IF($A1075="","",IF(ISNUMBER($A1075),IF(AND($A1075&gt;=10000101,$A1075&lt;=99991231),INT($A1075/10000),""),IFERROR(VALUE(TRIM(LEFT($A1075,FIND("/",$A1075)-1))),"")))</f>
        <v/>
      </c>
      <c r="C1075">
        <f>IF(OR($A1075="",$B1075=""),"",IF(ISNUMBER($A1075),INT(MOD($A1075,10000)/100),IFERROR(VALUE(TRIM(LEFT(MID($A1075,FIND("/",$A1075)+1,20),FIND("/",MID($A1075,FIND("/",$A1075)+1,20))-1))),"")))</f>
        <v/>
      </c>
      <c r="D1075">
        <f>IF(OR($A1075="",$B1075=""),"",IF(ISNUMBER($A1075),MOD($A1075,100),IFERROR(VALUE(TRIM(MID(MID($A1075,FIND("/",$A1075)+1,20),FIND("/",MID($A1075,FIND("/",$A1075)+1,20))+1,20))),"")))</f>
        <v/>
      </c>
      <c r="E1075">
        <f>IF($A1075="","",IF(OR($B1075="",$C1075="",$D1075="",$B1075&lt;1300,$B1075&gt;1500,$C1075&lt;1,$C1075&gt;12,$D1075&lt;1,$D1075&gt;31),"نامعتبر",RIGHT("0000"&amp;$B1075,4)&amp;"/"&amp;RIGHT("00"&amp;$C1075,2)&amp;"/"&amp;RIGHT("00"&amp;$D1075,2)))</f>
        <v/>
      </c>
      <c r="F1075">
        <f>IF(OR($E1075="",$E1075="نامعتبر"),"",LEFT($E1075,4)&amp;"/"&amp;MID($E1075,6,2))</f>
        <v/>
      </c>
      <c r="G1075">
        <f>IF(OR($E1075="",$E1075="نامعتبر",Sync!$Y1072=""),"",Sync!$Y1072)</f>
        <v/>
      </c>
      <c r="H1075">
        <f>IF($G1075="","",IF(Sync!$X1072="","",Sync!$X1072))</f>
        <v/>
      </c>
      <c r="I1075">
        <f>IF($G1075="","",IFERROR(VLOOKUP(Sync!$X1072,OpTbl,3,0),""))</f>
        <v/>
      </c>
      <c r="J1075">
        <f>IF(OR($G1075="",Sync!$Z1072=""),"",Sync!$Z1072)</f>
        <v/>
      </c>
      <c r="K1075">
        <f>IF(OR($G1075="",Sync!$AA1072=""),"",Sync!$AA1072)</f>
        <v/>
      </c>
      <c r="L1075">
        <f>IF($G1075="",0,IF(Sync!$AB1072="",0,Sync!$AB1072))</f>
        <v/>
      </c>
      <c r="M1075">
        <f>IF($G1075="",0,IF(Sync!$AC1072="",0,Sync!$AC1072))</f>
        <v/>
      </c>
      <c r="N1075">
        <f>IF($G1075="","",IF($H1075="مرجوعی خرید",-1,1)*($L1075-$M1075*IFERROR(VLOOKUP("P01",ParamTbl,3,0),1.5))*(1-IF($I1075="خرید",IFERROR(VLOOKUP("P02",ParamTbl,3,0),1),0)/100))</f>
        <v/>
      </c>
      <c r="O1075">
        <f>IF($G1075="",0,IF($H1075="مرجوعی خرید",-1,1)*IF(Sync!$AD1072="",0,Sync!$AD1072))</f>
        <v/>
      </c>
      <c r="P1075">
        <f>IF(OR($G1075="",Sync!$W1072=""),"",Sync!$W1072)</f>
        <v/>
      </c>
      <c r="Q1075">
        <f>IF(OR($G1075="",Sync!$AE1072=""),"",Sync!$AE1072)</f>
        <v/>
      </c>
      <c r="R1075">
        <f>IF($G1075="","",IF(Sync!$V1072="","0000",IF(AND(ISNUMBER(Sync!$V1072),Sync!$V1072&gt;=0,Sync!$V1072&lt;1),RIGHT("00"&amp;HOUR(Sync!$V1072),2)&amp;RIGHT("00"&amp;MINUTE(Sync!$V1072),2),IFERROR(RIGHT("00"&amp;VALUE(LEFT(Sync!$V1072,FIND(":",Sync!$V1072)-1)),2)&amp;RIGHT("00"&amp;VALUE(MID(Sync!$V1072,FIND(":",Sync!$V1072)+1,2)),2),"0000"))))</f>
        <v/>
      </c>
    </row>
    <row r="1076">
      <c r="A1076">
        <f>IF(Sync!$U1073="","",Sync!$U1073)</f>
        <v/>
      </c>
      <c r="B1076">
        <f>IF($A1076="","",IF(ISNUMBER($A1076),IF(AND($A1076&gt;=10000101,$A1076&lt;=99991231),INT($A1076/10000),""),IFERROR(VALUE(TRIM(LEFT($A1076,FIND("/",$A1076)-1))),"")))</f>
        <v/>
      </c>
      <c r="C1076">
        <f>IF(OR($A1076="",$B1076=""),"",IF(ISNUMBER($A1076),INT(MOD($A1076,10000)/100),IFERROR(VALUE(TRIM(LEFT(MID($A1076,FIND("/",$A1076)+1,20),FIND("/",MID($A1076,FIND("/",$A1076)+1,20))-1))),"")))</f>
        <v/>
      </c>
      <c r="D1076">
        <f>IF(OR($A1076="",$B1076=""),"",IF(ISNUMBER($A1076),MOD($A1076,100),IFERROR(VALUE(TRIM(MID(MID($A1076,FIND("/",$A1076)+1,20),FIND("/",MID($A1076,FIND("/",$A1076)+1,20))+1,20))),"")))</f>
        <v/>
      </c>
      <c r="E1076">
        <f>IF($A1076="","",IF(OR($B1076="",$C1076="",$D1076="",$B1076&lt;1300,$B1076&gt;1500,$C1076&lt;1,$C1076&gt;12,$D1076&lt;1,$D1076&gt;31),"نامعتبر",RIGHT("0000"&amp;$B1076,4)&amp;"/"&amp;RIGHT("00"&amp;$C1076,2)&amp;"/"&amp;RIGHT("00"&amp;$D1076,2)))</f>
        <v/>
      </c>
      <c r="F1076">
        <f>IF(OR($E1076="",$E1076="نامعتبر"),"",LEFT($E1076,4)&amp;"/"&amp;MID($E1076,6,2))</f>
        <v/>
      </c>
      <c r="G1076">
        <f>IF(OR($E1076="",$E1076="نامعتبر",Sync!$Y1073=""),"",Sync!$Y1073)</f>
        <v/>
      </c>
      <c r="H1076">
        <f>IF($G1076="","",IF(Sync!$X1073="","",Sync!$X1073))</f>
        <v/>
      </c>
      <c r="I1076">
        <f>IF($G1076="","",IFERROR(VLOOKUP(Sync!$X1073,OpTbl,3,0),""))</f>
        <v/>
      </c>
      <c r="J1076">
        <f>IF(OR($G1076="",Sync!$Z1073=""),"",Sync!$Z1073)</f>
        <v/>
      </c>
      <c r="K1076">
        <f>IF(OR($G1076="",Sync!$AA1073=""),"",Sync!$AA1073)</f>
        <v/>
      </c>
      <c r="L1076">
        <f>IF($G1076="",0,IF(Sync!$AB1073="",0,Sync!$AB1073))</f>
        <v/>
      </c>
      <c r="M1076">
        <f>IF($G1076="",0,IF(Sync!$AC1073="",0,Sync!$AC1073))</f>
        <v/>
      </c>
      <c r="N1076">
        <f>IF($G1076="","",IF($H1076="مرجوعی خرید",-1,1)*($L1076-$M1076*IFERROR(VLOOKUP("P01",ParamTbl,3,0),1.5))*(1-IF($I1076="خرید",IFERROR(VLOOKUP("P02",ParamTbl,3,0),1),0)/100))</f>
        <v/>
      </c>
      <c r="O1076">
        <f>IF($G1076="",0,IF($H1076="مرجوعی خرید",-1,1)*IF(Sync!$AD1073="",0,Sync!$AD1073))</f>
        <v/>
      </c>
      <c r="P1076">
        <f>IF(OR($G1076="",Sync!$W1073=""),"",Sync!$W1073)</f>
        <v/>
      </c>
      <c r="Q1076">
        <f>IF(OR($G1076="",Sync!$AE1073=""),"",Sync!$AE1073)</f>
        <v/>
      </c>
      <c r="R1076">
        <f>IF($G1076="","",IF(Sync!$V1073="","0000",IF(AND(ISNUMBER(Sync!$V1073),Sync!$V1073&gt;=0,Sync!$V1073&lt;1),RIGHT("00"&amp;HOUR(Sync!$V1073),2)&amp;RIGHT("00"&amp;MINUTE(Sync!$V1073),2),IFERROR(RIGHT("00"&amp;VALUE(LEFT(Sync!$V1073,FIND(":",Sync!$V1073)-1)),2)&amp;RIGHT("00"&amp;VALUE(MID(Sync!$V1073,FIND(":",Sync!$V1073)+1,2)),2),"0000"))))</f>
        <v/>
      </c>
    </row>
    <row r="1077">
      <c r="A1077">
        <f>IF(Sync!$U1074="","",Sync!$U1074)</f>
        <v/>
      </c>
      <c r="B1077">
        <f>IF($A1077="","",IF(ISNUMBER($A1077),IF(AND($A1077&gt;=10000101,$A1077&lt;=99991231),INT($A1077/10000),""),IFERROR(VALUE(TRIM(LEFT($A1077,FIND("/",$A1077)-1))),"")))</f>
        <v/>
      </c>
      <c r="C1077">
        <f>IF(OR($A1077="",$B1077=""),"",IF(ISNUMBER($A1077),INT(MOD($A1077,10000)/100),IFERROR(VALUE(TRIM(LEFT(MID($A1077,FIND("/",$A1077)+1,20),FIND("/",MID($A1077,FIND("/",$A1077)+1,20))-1))),"")))</f>
        <v/>
      </c>
      <c r="D1077">
        <f>IF(OR($A1077="",$B1077=""),"",IF(ISNUMBER($A1077),MOD($A1077,100),IFERROR(VALUE(TRIM(MID(MID($A1077,FIND("/",$A1077)+1,20),FIND("/",MID($A1077,FIND("/",$A1077)+1,20))+1,20))),"")))</f>
        <v/>
      </c>
      <c r="E1077">
        <f>IF($A1077="","",IF(OR($B1077="",$C1077="",$D1077="",$B1077&lt;1300,$B1077&gt;1500,$C1077&lt;1,$C1077&gt;12,$D1077&lt;1,$D1077&gt;31),"نامعتبر",RIGHT("0000"&amp;$B1077,4)&amp;"/"&amp;RIGHT("00"&amp;$C1077,2)&amp;"/"&amp;RIGHT("00"&amp;$D1077,2)))</f>
        <v/>
      </c>
      <c r="F1077">
        <f>IF(OR($E1077="",$E1077="نامعتبر"),"",LEFT($E1077,4)&amp;"/"&amp;MID($E1077,6,2))</f>
        <v/>
      </c>
      <c r="G1077">
        <f>IF(OR($E1077="",$E1077="نامعتبر",Sync!$Y1074=""),"",Sync!$Y1074)</f>
        <v/>
      </c>
      <c r="H1077">
        <f>IF($G1077="","",IF(Sync!$X1074="","",Sync!$X1074))</f>
        <v/>
      </c>
      <c r="I1077">
        <f>IF($G1077="","",IFERROR(VLOOKUP(Sync!$X1074,OpTbl,3,0),""))</f>
        <v/>
      </c>
      <c r="J1077">
        <f>IF(OR($G1077="",Sync!$Z1074=""),"",Sync!$Z1074)</f>
        <v/>
      </c>
      <c r="K1077">
        <f>IF(OR($G1077="",Sync!$AA1074=""),"",Sync!$AA1074)</f>
        <v/>
      </c>
      <c r="L1077">
        <f>IF($G1077="",0,IF(Sync!$AB1074="",0,Sync!$AB1074))</f>
        <v/>
      </c>
      <c r="M1077">
        <f>IF($G1077="",0,IF(Sync!$AC1074="",0,Sync!$AC1074))</f>
        <v/>
      </c>
      <c r="N1077">
        <f>IF($G1077="","",IF($H1077="مرجوعی خرید",-1,1)*($L1077-$M1077*IFERROR(VLOOKUP("P01",ParamTbl,3,0),1.5))*(1-IF($I1077="خرید",IFERROR(VLOOKUP("P02",ParamTbl,3,0),1),0)/100))</f>
        <v/>
      </c>
      <c r="O1077">
        <f>IF($G1077="",0,IF($H1077="مرجوعی خرید",-1,1)*IF(Sync!$AD1074="",0,Sync!$AD1074))</f>
        <v/>
      </c>
      <c r="P1077">
        <f>IF(OR($G1077="",Sync!$W1074=""),"",Sync!$W1074)</f>
        <v/>
      </c>
      <c r="Q1077">
        <f>IF(OR($G1077="",Sync!$AE1074=""),"",Sync!$AE1074)</f>
        <v/>
      </c>
      <c r="R1077">
        <f>IF($G1077="","",IF(Sync!$V1074="","0000",IF(AND(ISNUMBER(Sync!$V1074),Sync!$V1074&gt;=0,Sync!$V1074&lt;1),RIGHT("00"&amp;HOUR(Sync!$V1074),2)&amp;RIGHT("00"&amp;MINUTE(Sync!$V1074),2),IFERROR(RIGHT("00"&amp;VALUE(LEFT(Sync!$V1074,FIND(":",Sync!$V1074)-1)),2)&amp;RIGHT("00"&amp;VALUE(MID(Sync!$V1074,FIND(":",Sync!$V1074)+1,2)),2),"0000"))))</f>
        <v/>
      </c>
    </row>
    <row r="1078">
      <c r="A1078">
        <f>IF(Sync!$U1075="","",Sync!$U1075)</f>
        <v/>
      </c>
      <c r="B1078">
        <f>IF($A1078="","",IF(ISNUMBER($A1078),IF(AND($A1078&gt;=10000101,$A1078&lt;=99991231),INT($A1078/10000),""),IFERROR(VALUE(TRIM(LEFT($A1078,FIND("/",$A1078)-1))),"")))</f>
        <v/>
      </c>
      <c r="C1078">
        <f>IF(OR($A1078="",$B1078=""),"",IF(ISNUMBER($A1078),INT(MOD($A1078,10000)/100),IFERROR(VALUE(TRIM(LEFT(MID($A1078,FIND("/",$A1078)+1,20),FIND("/",MID($A1078,FIND("/",$A1078)+1,20))-1))),"")))</f>
        <v/>
      </c>
      <c r="D1078">
        <f>IF(OR($A1078="",$B1078=""),"",IF(ISNUMBER($A1078),MOD($A1078,100),IFERROR(VALUE(TRIM(MID(MID($A1078,FIND("/",$A1078)+1,20),FIND("/",MID($A1078,FIND("/",$A1078)+1,20))+1,20))),"")))</f>
        <v/>
      </c>
      <c r="E1078">
        <f>IF($A1078="","",IF(OR($B1078="",$C1078="",$D1078="",$B1078&lt;1300,$B1078&gt;1500,$C1078&lt;1,$C1078&gt;12,$D1078&lt;1,$D1078&gt;31),"نامعتبر",RIGHT("0000"&amp;$B1078,4)&amp;"/"&amp;RIGHT("00"&amp;$C1078,2)&amp;"/"&amp;RIGHT("00"&amp;$D1078,2)))</f>
        <v/>
      </c>
      <c r="F1078">
        <f>IF(OR($E1078="",$E1078="نامعتبر"),"",LEFT($E1078,4)&amp;"/"&amp;MID($E1078,6,2))</f>
        <v/>
      </c>
      <c r="G1078">
        <f>IF(OR($E1078="",$E1078="نامعتبر",Sync!$Y1075=""),"",Sync!$Y1075)</f>
        <v/>
      </c>
      <c r="H1078">
        <f>IF($G1078="","",IF(Sync!$X1075="","",Sync!$X1075))</f>
        <v/>
      </c>
      <c r="I1078">
        <f>IF($G1078="","",IFERROR(VLOOKUP(Sync!$X1075,OpTbl,3,0),""))</f>
        <v/>
      </c>
      <c r="J1078">
        <f>IF(OR($G1078="",Sync!$Z1075=""),"",Sync!$Z1075)</f>
        <v/>
      </c>
      <c r="K1078">
        <f>IF(OR($G1078="",Sync!$AA1075=""),"",Sync!$AA1075)</f>
        <v/>
      </c>
      <c r="L1078">
        <f>IF($G1078="",0,IF(Sync!$AB1075="",0,Sync!$AB1075))</f>
        <v/>
      </c>
      <c r="M1078">
        <f>IF($G1078="",0,IF(Sync!$AC1075="",0,Sync!$AC1075))</f>
        <v/>
      </c>
      <c r="N1078">
        <f>IF($G1078="","",IF($H1078="مرجوعی خرید",-1,1)*($L1078-$M1078*IFERROR(VLOOKUP("P01",ParamTbl,3,0),1.5))*(1-IF($I1078="خرید",IFERROR(VLOOKUP("P02",ParamTbl,3,0),1),0)/100))</f>
        <v/>
      </c>
      <c r="O1078">
        <f>IF($G1078="",0,IF($H1078="مرجوعی خرید",-1,1)*IF(Sync!$AD1075="",0,Sync!$AD1075))</f>
        <v/>
      </c>
      <c r="P1078">
        <f>IF(OR($G1078="",Sync!$W1075=""),"",Sync!$W1075)</f>
        <v/>
      </c>
      <c r="Q1078">
        <f>IF(OR($G1078="",Sync!$AE1075=""),"",Sync!$AE1075)</f>
        <v/>
      </c>
      <c r="R1078">
        <f>IF($G1078="","",IF(Sync!$V1075="","0000",IF(AND(ISNUMBER(Sync!$V1075),Sync!$V1075&gt;=0,Sync!$V1075&lt;1),RIGHT("00"&amp;HOUR(Sync!$V1075),2)&amp;RIGHT("00"&amp;MINUTE(Sync!$V1075),2),IFERROR(RIGHT("00"&amp;VALUE(LEFT(Sync!$V1075,FIND(":",Sync!$V1075)-1)),2)&amp;RIGHT("00"&amp;VALUE(MID(Sync!$V1075,FIND(":",Sync!$V1075)+1,2)),2),"0000"))))</f>
        <v/>
      </c>
    </row>
    <row r="1079">
      <c r="A1079">
        <f>IF(Sync!$U1076="","",Sync!$U1076)</f>
        <v/>
      </c>
      <c r="B1079">
        <f>IF($A1079="","",IF(ISNUMBER($A1079),IF(AND($A1079&gt;=10000101,$A1079&lt;=99991231),INT($A1079/10000),""),IFERROR(VALUE(TRIM(LEFT($A1079,FIND("/",$A1079)-1))),"")))</f>
        <v/>
      </c>
      <c r="C1079">
        <f>IF(OR($A1079="",$B1079=""),"",IF(ISNUMBER($A1079),INT(MOD($A1079,10000)/100),IFERROR(VALUE(TRIM(LEFT(MID($A1079,FIND("/",$A1079)+1,20),FIND("/",MID($A1079,FIND("/",$A1079)+1,20))-1))),"")))</f>
        <v/>
      </c>
      <c r="D1079">
        <f>IF(OR($A1079="",$B1079=""),"",IF(ISNUMBER($A1079),MOD($A1079,100),IFERROR(VALUE(TRIM(MID(MID($A1079,FIND("/",$A1079)+1,20),FIND("/",MID($A1079,FIND("/",$A1079)+1,20))+1,20))),"")))</f>
        <v/>
      </c>
      <c r="E1079">
        <f>IF($A1079="","",IF(OR($B1079="",$C1079="",$D1079="",$B1079&lt;1300,$B1079&gt;1500,$C1079&lt;1,$C1079&gt;12,$D1079&lt;1,$D1079&gt;31),"نامعتبر",RIGHT("0000"&amp;$B1079,4)&amp;"/"&amp;RIGHT("00"&amp;$C1079,2)&amp;"/"&amp;RIGHT("00"&amp;$D1079,2)))</f>
        <v/>
      </c>
      <c r="F1079">
        <f>IF(OR($E1079="",$E1079="نامعتبر"),"",LEFT($E1079,4)&amp;"/"&amp;MID($E1079,6,2))</f>
        <v/>
      </c>
      <c r="G1079">
        <f>IF(OR($E1079="",$E1079="نامعتبر",Sync!$Y1076=""),"",Sync!$Y1076)</f>
        <v/>
      </c>
      <c r="H1079">
        <f>IF($G1079="","",IF(Sync!$X1076="","",Sync!$X1076))</f>
        <v/>
      </c>
      <c r="I1079">
        <f>IF($G1079="","",IFERROR(VLOOKUP(Sync!$X1076,OpTbl,3,0),""))</f>
        <v/>
      </c>
      <c r="J1079">
        <f>IF(OR($G1079="",Sync!$Z1076=""),"",Sync!$Z1076)</f>
        <v/>
      </c>
      <c r="K1079">
        <f>IF(OR($G1079="",Sync!$AA1076=""),"",Sync!$AA1076)</f>
        <v/>
      </c>
      <c r="L1079">
        <f>IF($G1079="",0,IF(Sync!$AB1076="",0,Sync!$AB1076))</f>
        <v/>
      </c>
      <c r="M1079">
        <f>IF($G1079="",0,IF(Sync!$AC1076="",0,Sync!$AC1076))</f>
        <v/>
      </c>
      <c r="N1079">
        <f>IF($G1079="","",IF($H1079="مرجوعی خرید",-1,1)*($L1079-$M1079*IFERROR(VLOOKUP("P01",ParamTbl,3,0),1.5))*(1-IF($I1079="خرید",IFERROR(VLOOKUP("P02",ParamTbl,3,0),1),0)/100))</f>
        <v/>
      </c>
      <c r="O1079">
        <f>IF($G1079="",0,IF($H1079="مرجوعی خرید",-1,1)*IF(Sync!$AD1076="",0,Sync!$AD1076))</f>
        <v/>
      </c>
      <c r="P1079">
        <f>IF(OR($G1079="",Sync!$W1076=""),"",Sync!$W1076)</f>
        <v/>
      </c>
      <c r="Q1079">
        <f>IF(OR($G1079="",Sync!$AE1076=""),"",Sync!$AE1076)</f>
        <v/>
      </c>
      <c r="R1079">
        <f>IF($G1079="","",IF(Sync!$V1076="","0000",IF(AND(ISNUMBER(Sync!$V1076),Sync!$V1076&gt;=0,Sync!$V1076&lt;1),RIGHT("00"&amp;HOUR(Sync!$V1076),2)&amp;RIGHT("00"&amp;MINUTE(Sync!$V1076),2),IFERROR(RIGHT("00"&amp;VALUE(LEFT(Sync!$V1076,FIND(":",Sync!$V1076)-1)),2)&amp;RIGHT("00"&amp;VALUE(MID(Sync!$V1076,FIND(":",Sync!$V1076)+1,2)),2),"0000"))))</f>
        <v/>
      </c>
    </row>
    <row r="1080">
      <c r="A1080">
        <f>IF(Sync!$U1077="","",Sync!$U1077)</f>
        <v/>
      </c>
      <c r="B1080">
        <f>IF($A1080="","",IF(ISNUMBER($A1080),IF(AND($A1080&gt;=10000101,$A1080&lt;=99991231),INT($A1080/10000),""),IFERROR(VALUE(TRIM(LEFT($A1080,FIND("/",$A1080)-1))),"")))</f>
        <v/>
      </c>
      <c r="C1080">
        <f>IF(OR($A1080="",$B1080=""),"",IF(ISNUMBER($A1080),INT(MOD($A1080,10000)/100),IFERROR(VALUE(TRIM(LEFT(MID($A1080,FIND("/",$A1080)+1,20),FIND("/",MID($A1080,FIND("/",$A1080)+1,20))-1))),"")))</f>
        <v/>
      </c>
      <c r="D1080">
        <f>IF(OR($A1080="",$B1080=""),"",IF(ISNUMBER($A1080),MOD($A1080,100),IFERROR(VALUE(TRIM(MID(MID($A1080,FIND("/",$A1080)+1,20),FIND("/",MID($A1080,FIND("/",$A1080)+1,20))+1,20))),"")))</f>
        <v/>
      </c>
      <c r="E1080">
        <f>IF($A1080="","",IF(OR($B1080="",$C1080="",$D1080="",$B1080&lt;1300,$B1080&gt;1500,$C1080&lt;1,$C1080&gt;12,$D1080&lt;1,$D1080&gt;31),"نامعتبر",RIGHT("0000"&amp;$B1080,4)&amp;"/"&amp;RIGHT("00"&amp;$C1080,2)&amp;"/"&amp;RIGHT("00"&amp;$D1080,2)))</f>
        <v/>
      </c>
      <c r="F1080">
        <f>IF(OR($E1080="",$E1080="نامعتبر"),"",LEFT($E1080,4)&amp;"/"&amp;MID($E1080,6,2))</f>
        <v/>
      </c>
      <c r="G1080">
        <f>IF(OR($E1080="",$E1080="نامعتبر",Sync!$Y1077=""),"",Sync!$Y1077)</f>
        <v/>
      </c>
      <c r="H1080">
        <f>IF($G1080="","",IF(Sync!$X1077="","",Sync!$X1077))</f>
        <v/>
      </c>
      <c r="I1080">
        <f>IF($G1080="","",IFERROR(VLOOKUP(Sync!$X1077,OpTbl,3,0),""))</f>
        <v/>
      </c>
      <c r="J1080">
        <f>IF(OR($G1080="",Sync!$Z1077=""),"",Sync!$Z1077)</f>
        <v/>
      </c>
      <c r="K1080">
        <f>IF(OR($G1080="",Sync!$AA1077=""),"",Sync!$AA1077)</f>
        <v/>
      </c>
      <c r="L1080">
        <f>IF($G1080="",0,IF(Sync!$AB1077="",0,Sync!$AB1077))</f>
        <v/>
      </c>
      <c r="M1080">
        <f>IF($G1080="",0,IF(Sync!$AC1077="",0,Sync!$AC1077))</f>
        <v/>
      </c>
      <c r="N1080">
        <f>IF($G1080="","",IF($H1080="مرجوعی خرید",-1,1)*($L1080-$M1080*IFERROR(VLOOKUP("P01",ParamTbl,3,0),1.5))*(1-IF($I1080="خرید",IFERROR(VLOOKUP("P02",ParamTbl,3,0),1),0)/100))</f>
        <v/>
      </c>
      <c r="O1080">
        <f>IF($G1080="",0,IF($H1080="مرجوعی خرید",-1,1)*IF(Sync!$AD1077="",0,Sync!$AD1077))</f>
        <v/>
      </c>
      <c r="P1080">
        <f>IF(OR($G1080="",Sync!$W1077=""),"",Sync!$W1077)</f>
        <v/>
      </c>
      <c r="Q1080">
        <f>IF(OR($G1080="",Sync!$AE1077=""),"",Sync!$AE1077)</f>
        <v/>
      </c>
      <c r="R1080">
        <f>IF($G1080="","",IF(Sync!$V1077="","0000",IF(AND(ISNUMBER(Sync!$V1077),Sync!$V1077&gt;=0,Sync!$V1077&lt;1),RIGHT("00"&amp;HOUR(Sync!$V1077),2)&amp;RIGHT("00"&amp;MINUTE(Sync!$V1077),2),IFERROR(RIGHT("00"&amp;VALUE(LEFT(Sync!$V1077,FIND(":",Sync!$V1077)-1)),2)&amp;RIGHT("00"&amp;VALUE(MID(Sync!$V1077,FIND(":",Sync!$V1077)+1,2)),2),"0000"))))</f>
        <v/>
      </c>
    </row>
    <row r="1081">
      <c r="A1081">
        <f>IF(Sync!$U1078="","",Sync!$U1078)</f>
        <v/>
      </c>
      <c r="B1081">
        <f>IF($A1081="","",IF(ISNUMBER($A1081),IF(AND($A1081&gt;=10000101,$A1081&lt;=99991231),INT($A1081/10000),""),IFERROR(VALUE(TRIM(LEFT($A1081,FIND("/",$A1081)-1))),"")))</f>
        <v/>
      </c>
      <c r="C1081">
        <f>IF(OR($A1081="",$B1081=""),"",IF(ISNUMBER($A1081),INT(MOD($A1081,10000)/100),IFERROR(VALUE(TRIM(LEFT(MID($A1081,FIND("/",$A1081)+1,20),FIND("/",MID($A1081,FIND("/",$A1081)+1,20))-1))),"")))</f>
        <v/>
      </c>
      <c r="D1081">
        <f>IF(OR($A1081="",$B1081=""),"",IF(ISNUMBER($A1081),MOD($A1081,100),IFERROR(VALUE(TRIM(MID(MID($A1081,FIND("/",$A1081)+1,20),FIND("/",MID($A1081,FIND("/",$A1081)+1,20))+1,20))),"")))</f>
        <v/>
      </c>
      <c r="E1081">
        <f>IF($A1081="","",IF(OR($B1081="",$C1081="",$D1081="",$B1081&lt;1300,$B1081&gt;1500,$C1081&lt;1,$C1081&gt;12,$D1081&lt;1,$D1081&gt;31),"نامعتبر",RIGHT("0000"&amp;$B1081,4)&amp;"/"&amp;RIGHT("00"&amp;$C1081,2)&amp;"/"&amp;RIGHT("00"&amp;$D1081,2)))</f>
        <v/>
      </c>
      <c r="F1081">
        <f>IF(OR($E1081="",$E1081="نامعتبر"),"",LEFT($E1081,4)&amp;"/"&amp;MID($E1081,6,2))</f>
        <v/>
      </c>
      <c r="G1081">
        <f>IF(OR($E1081="",$E1081="نامعتبر",Sync!$Y1078=""),"",Sync!$Y1078)</f>
        <v/>
      </c>
      <c r="H1081">
        <f>IF($G1081="","",IF(Sync!$X1078="","",Sync!$X1078))</f>
        <v/>
      </c>
      <c r="I1081">
        <f>IF($G1081="","",IFERROR(VLOOKUP(Sync!$X1078,OpTbl,3,0),""))</f>
        <v/>
      </c>
      <c r="J1081">
        <f>IF(OR($G1081="",Sync!$Z1078=""),"",Sync!$Z1078)</f>
        <v/>
      </c>
      <c r="K1081">
        <f>IF(OR($G1081="",Sync!$AA1078=""),"",Sync!$AA1078)</f>
        <v/>
      </c>
      <c r="L1081">
        <f>IF($G1081="",0,IF(Sync!$AB1078="",0,Sync!$AB1078))</f>
        <v/>
      </c>
      <c r="M1081">
        <f>IF($G1081="",0,IF(Sync!$AC1078="",0,Sync!$AC1078))</f>
        <v/>
      </c>
      <c r="N1081">
        <f>IF($G1081="","",IF($H1081="مرجوعی خرید",-1,1)*($L1081-$M1081*IFERROR(VLOOKUP("P01",ParamTbl,3,0),1.5))*(1-IF($I1081="خرید",IFERROR(VLOOKUP("P02",ParamTbl,3,0),1),0)/100))</f>
        <v/>
      </c>
      <c r="O1081">
        <f>IF($G1081="",0,IF($H1081="مرجوعی خرید",-1,1)*IF(Sync!$AD1078="",0,Sync!$AD1078))</f>
        <v/>
      </c>
      <c r="P1081">
        <f>IF(OR($G1081="",Sync!$W1078=""),"",Sync!$W1078)</f>
        <v/>
      </c>
      <c r="Q1081">
        <f>IF(OR($G1081="",Sync!$AE1078=""),"",Sync!$AE1078)</f>
        <v/>
      </c>
      <c r="R1081">
        <f>IF($G1081="","",IF(Sync!$V1078="","0000",IF(AND(ISNUMBER(Sync!$V1078),Sync!$V1078&gt;=0,Sync!$V1078&lt;1),RIGHT("00"&amp;HOUR(Sync!$V1078),2)&amp;RIGHT("00"&amp;MINUTE(Sync!$V1078),2),IFERROR(RIGHT("00"&amp;VALUE(LEFT(Sync!$V1078,FIND(":",Sync!$V1078)-1)),2)&amp;RIGHT("00"&amp;VALUE(MID(Sync!$V1078,FIND(":",Sync!$V1078)+1,2)),2),"0000"))))</f>
        <v/>
      </c>
    </row>
    <row r="1082">
      <c r="A1082">
        <f>IF(Sync!$U1079="","",Sync!$U1079)</f>
        <v/>
      </c>
      <c r="B1082">
        <f>IF($A1082="","",IF(ISNUMBER($A1082),IF(AND($A1082&gt;=10000101,$A1082&lt;=99991231),INT($A1082/10000),""),IFERROR(VALUE(TRIM(LEFT($A1082,FIND("/",$A1082)-1))),"")))</f>
        <v/>
      </c>
      <c r="C1082">
        <f>IF(OR($A1082="",$B1082=""),"",IF(ISNUMBER($A1082),INT(MOD($A1082,10000)/100),IFERROR(VALUE(TRIM(LEFT(MID($A1082,FIND("/",$A1082)+1,20),FIND("/",MID($A1082,FIND("/",$A1082)+1,20))-1))),"")))</f>
        <v/>
      </c>
      <c r="D1082">
        <f>IF(OR($A1082="",$B1082=""),"",IF(ISNUMBER($A1082),MOD($A1082,100),IFERROR(VALUE(TRIM(MID(MID($A1082,FIND("/",$A1082)+1,20),FIND("/",MID($A1082,FIND("/",$A1082)+1,20))+1,20))),"")))</f>
        <v/>
      </c>
      <c r="E1082">
        <f>IF($A1082="","",IF(OR($B1082="",$C1082="",$D1082="",$B1082&lt;1300,$B1082&gt;1500,$C1082&lt;1,$C1082&gt;12,$D1082&lt;1,$D1082&gt;31),"نامعتبر",RIGHT("0000"&amp;$B1082,4)&amp;"/"&amp;RIGHT("00"&amp;$C1082,2)&amp;"/"&amp;RIGHT("00"&amp;$D1082,2)))</f>
        <v/>
      </c>
      <c r="F1082">
        <f>IF(OR($E1082="",$E1082="نامعتبر"),"",LEFT($E1082,4)&amp;"/"&amp;MID($E1082,6,2))</f>
        <v/>
      </c>
      <c r="G1082">
        <f>IF(OR($E1082="",$E1082="نامعتبر",Sync!$Y1079=""),"",Sync!$Y1079)</f>
        <v/>
      </c>
      <c r="H1082">
        <f>IF($G1082="","",IF(Sync!$X1079="","",Sync!$X1079))</f>
        <v/>
      </c>
      <c r="I1082">
        <f>IF($G1082="","",IFERROR(VLOOKUP(Sync!$X1079,OpTbl,3,0),""))</f>
        <v/>
      </c>
      <c r="J1082">
        <f>IF(OR($G1082="",Sync!$Z1079=""),"",Sync!$Z1079)</f>
        <v/>
      </c>
      <c r="K1082">
        <f>IF(OR($G1082="",Sync!$AA1079=""),"",Sync!$AA1079)</f>
        <v/>
      </c>
      <c r="L1082">
        <f>IF($G1082="",0,IF(Sync!$AB1079="",0,Sync!$AB1079))</f>
        <v/>
      </c>
      <c r="M1082">
        <f>IF($G1082="",0,IF(Sync!$AC1079="",0,Sync!$AC1079))</f>
        <v/>
      </c>
      <c r="N1082">
        <f>IF($G1082="","",IF($H1082="مرجوعی خرید",-1,1)*($L1082-$M1082*IFERROR(VLOOKUP("P01",ParamTbl,3,0),1.5))*(1-IF($I1082="خرید",IFERROR(VLOOKUP("P02",ParamTbl,3,0),1),0)/100))</f>
        <v/>
      </c>
      <c r="O1082">
        <f>IF($G1082="",0,IF($H1082="مرجوعی خرید",-1,1)*IF(Sync!$AD1079="",0,Sync!$AD1079))</f>
        <v/>
      </c>
      <c r="P1082">
        <f>IF(OR($G1082="",Sync!$W1079=""),"",Sync!$W1079)</f>
        <v/>
      </c>
      <c r="Q1082">
        <f>IF(OR($G1082="",Sync!$AE1079=""),"",Sync!$AE1079)</f>
        <v/>
      </c>
      <c r="R1082">
        <f>IF($G1082="","",IF(Sync!$V1079="","0000",IF(AND(ISNUMBER(Sync!$V1079),Sync!$V1079&gt;=0,Sync!$V1079&lt;1),RIGHT("00"&amp;HOUR(Sync!$V1079),2)&amp;RIGHT("00"&amp;MINUTE(Sync!$V1079),2),IFERROR(RIGHT("00"&amp;VALUE(LEFT(Sync!$V1079,FIND(":",Sync!$V1079)-1)),2)&amp;RIGHT("00"&amp;VALUE(MID(Sync!$V1079,FIND(":",Sync!$V1079)+1,2)),2),"0000"))))</f>
        <v/>
      </c>
    </row>
    <row r="1083">
      <c r="A1083">
        <f>IF(Sync!$U1080="","",Sync!$U1080)</f>
        <v/>
      </c>
      <c r="B1083">
        <f>IF($A1083="","",IF(ISNUMBER($A1083),IF(AND($A1083&gt;=10000101,$A1083&lt;=99991231),INT($A1083/10000),""),IFERROR(VALUE(TRIM(LEFT($A1083,FIND("/",$A1083)-1))),"")))</f>
        <v/>
      </c>
      <c r="C1083">
        <f>IF(OR($A1083="",$B1083=""),"",IF(ISNUMBER($A1083),INT(MOD($A1083,10000)/100),IFERROR(VALUE(TRIM(LEFT(MID($A1083,FIND("/",$A1083)+1,20),FIND("/",MID($A1083,FIND("/",$A1083)+1,20))-1))),"")))</f>
        <v/>
      </c>
      <c r="D1083">
        <f>IF(OR($A1083="",$B1083=""),"",IF(ISNUMBER($A1083),MOD($A1083,100),IFERROR(VALUE(TRIM(MID(MID($A1083,FIND("/",$A1083)+1,20),FIND("/",MID($A1083,FIND("/",$A1083)+1,20))+1,20))),"")))</f>
        <v/>
      </c>
      <c r="E1083">
        <f>IF($A1083="","",IF(OR($B1083="",$C1083="",$D1083="",$B1083&lt;1300,$B1083&gt;1500,$C1083&lt;1,$C1083&gt;12,$D1083&lt;1,$D1083&gt;31),"نامعتبر",RIGHT("0000"&amp;$B1083,4)&amp;"/"&amp;RIGHT("00"&amp;$C1083,2)&amp;"/"&amp;RIGHT("00"&amp;$D1083,2)))</f>
        <v/>
      </c>
      <c r="F1083">
        <f>IF(OR($E1083="",$E1083="نامعتبر"),"",LEFT($E1083,4)&amp;"/"&amp;MID($E1083,6,2))</f>
        <v/>
      </c>
      <c r="G1083">
        <f>IF(OR($E1083="",$E1083="نامعتبر",Sync!$Y1080=""),"",Sync!$Y1080)</f>
        <v/>
      </c>
      <c r="H1083">
        <f>IF($G1083="","",IF(Sync!$X1080="","",Sync!$X1080))</f>
        <v/>
      </c>
      <c r="I1083">
        <f>IF($G1083="","",IFERROR(VLOOKUP(Sync!$X1080,OpTbl,3,0),""))</f>
        <v/>
      </c>
      <c r="J1083">
        <f>IF(OR($G1083="",Sync!$Z1080=""),"",Sync!$Z1080)</f>
        <v/>
      </c>
      <c r="K1083">
        <f>IF(OR($G1083="",Sync!$AA1080=""),"",Sync!$AA1080)</f>
        <v/>
      </c>
      <c r="L1083">
        <f>IF($G1083="",0,IF(Sync!$AB1080="",0,Sync!$AB1080))</f>
        <v/>
      </c>
      <c r="M1083">
        <f>IF($G1083="",0,IF(Sync!$AC1080="",0,Sync!$AC1080))</f>
        <v/>
      </c>
      <c r="N1083">
        <f>IF($G1083="","",IF($H1083="مرجوعی خرید",-1,1)*($L1083-$M1083*IFERROR(VLOOKUP("P01",ParamTbl,3,0),1.5))*(1-IF($I1083="خرید",IFERROR(VLOOKUP("P02",ParamTbl,3,0),1),0)/100))</f>
        <v/>
      </c>
      <c r="O1083">
        <f>IF($G1083="",0,IF($H1083="مرجوعی خرید",-1,1)*IF(Sync!$AD1080="",0,Sync!$AD1080))</f>
        <v/>
      </c>
      <c r="P1083">
        <f>IF(OR($G1083="",Sync!$W1080=""),"",Sync!$W1080)</f>
        <v/>
      </c>
      <c r="Q1083">
        <f>IF(OR($G1083="",Sync!$AE1080=""),"",Sync!$AE1080)</f>
        <v/>
      </c>
      <c r="R1083">
        <f>IF($G1083="","",IF(Sync!$V1080="","0000",IF(AND(ISNUMBER(Sync!$V1080),Sync!$V1080&gt;=0,Sync!$V1080&lt;1),RIGHT("00"&amp;HOUR(Sync!$V1080),2)&amp;RIGHT("00"&amp;MINUTE(Sync!$V1080),2),IFERROR(RIGHT("00"&amp;VALUE(LEFT(Sync!$V1080,FIND(":",Sync!$V1080)-1)),2)&amp;RIGHT("00"&amp;VALUE(MID(Sync!$V1080,FIND(":",Sync!$V1080)+1,2)),2),"0000"))))</f>
        <v/>
      </c>
    </row>
    <row r="1084">
      <c r="A1084">
        <f>IF(Sync!$U1081="","",Sync!$U1081)</f>
        <v/>
      </c>
      <c r="B1084">
        <f>IF($A1084="","",IF(ISNUMBER($A1084),IF(AND($A1084&gt;=10000101,$A1084&lt;=99991231),INT($A1084/10000),""),IFERROR(VALUE(TRIM(LEFT($A1084,FIND("/",$A1084)-1))),"")))</f>
        <v/>
      </c>
      <c r="C1084">
        <f>IF(OR($A1084="",$B1084=""),"",IF(ISNUMBER($A1084),INT(MOD($A1084,10000)/100),IFERROR(VALUE(TRIM(LEFT(MID($A1084,FIND("/",$A1084)+1,20),FIND("/",MID($A1084,FIND("/",$A1084)+1,20))-1))),"")))</f>
        <v/>
      </c>
      <c r="D1084">
        <f>IF(OR($A1084="",$B1084=""),"",IF(ISNUMBER($A1084),MOD($A1084,100),IFERROR(VALUE(TRIM(MID(MID($A1084,FIND("/",$A1084)+1,20),FIND("/",MID($A1084,FIND("/",$A1084)+1,20))+1,20))),"")))</f>
        <v/>
      </c>
      <c r="E1084">
        <f>IF($A1084="","",IF(OR($B1084="",$C1084="",$D1084="",$B1084&lt;1300,$B1084&gt;1500,$C1084&lt;1,$C1084&gt;12,$D1084&lt;1,$D1084&gt;31),"نامعتبر",RIGHT("0000"&amp;$B1084,4)&amp;"/"&amp;RIGHT("00"&amp;$C1084,2)&amp;"/"&amp;RIGHT("00"&amp;$D1084,2)))</f>
        <v/>
      </c>
      <c r="F1084">
        <f>IF(OR($E1084="",$E1084="نامعتبر"),"",LEFT($E1084,4)&amp;"/"&amp;MID($E1084,6,2))</f>
        <v/>
      </c>
      <c r="G1084">
        <f>IF(OR($E1084="",$E1084="نامعتبر",Sync!$Y1081=""),"",Sync!$Y1081)</f>
        <v/>
      </c>
      <c r="H1084">
        <f>IF($G1084="","",IF(Sync!$X1081="","",Sync!$X1081))</f>
        <v/>
      </c>
      <c r="I1084">
        <f>IF($G1084="","",IFERROR(VLOOKUP(Sync!$X1081,OpTbl,3,0),""))</f>
        <v/>
      </c>
      <c r="J1084">
        <f>IF(OR($G1084="",Sync!$Z1081=""),"",Sync!$Z1081)</f>
        <v/>
      </c>
      <c r="K1084">
        <f>IF(OR($G1084="",Sync!$AA1081=""),"",Sync!$AA1081)</f>
        <v/>
      </c>
      <c r="L1084">
        <f>IF($G1084="",0,IF(Sync!$AB1081="",0,Sync!$AB1081))</f>
        <v/>
      </c>
      <c r="M1084">
        <f>IF($G1084="",0,IF(Sync!$AC1081="",0,Sync!$AC1081))</f>
        <v/>
      </c>
      <c r="N1084">
        <f>IF($G1084="","",IF($H1084="مرجوعی خرید",-1,1)*($L1084-$M1084*IFERROR(VLOOKUP("P01",ParamTbl,3,0),1.5))*(1-IF($I1084="خرید",IFERROR(VLOOKUP("P02",ParamTbl,3,0),1),0)/100))</f>
        <v/>
      </c>
      <c r="O1084">
        <f>IF($G1084="",0,IF($H1084="مرجوعی خرید",-1,1)*IF(Sync!$AD1081="",0,Sync!$AD1081))</f>
        <v/>
      </c>
      <c r="P1084">
        <f>IF(OR($G1084="",Sync!$W1081=""),"",Sync!$W1081)</f>
        <v/>
      </c>
      <c r="Q1084">
        <f>IF(OR($G1084="",Sync!$AE1081=""),"",Sync!$AE1081)</f>
        <v/>
      </c>
      <c r="R1084">
        <f>IF($G1084="","",IF(Sync!$V1081="","0000",IF(AND(ISNUMBER(Sync!$V1081),Sync!$V1081&gt;=0,Sync!$V1081&lt;1),RIGHT("00"&amp;HOUR(Sync!$V1081),2)&amp;RIGHT("00"&amp;MINUTE(Sync!$V1081),2),IFERROR(RIGHT("00"&amp;VALUE(LEFT(Sync!$V1081,FIND(":",Sync!$V1081)-1)),2)&amp;RIGHT("00"&amp;VALUE(MID(Sync!$V1081,FIND(":",Sync!$V1081)+1,2)),2),"0000"))))</f>
        <v/>
      </c>
    </row>
    <row r="1085">
      <c r="A1085">
        <f>IF(Sync!$U1082="","",Sync!$U1082)</f>
        <v/>
      </c>
      <c r="B1085">
        <f>IF($A1085="","",IF(ISNUMBER($A1085),IF(AND($A1085&gt;=10000101,$A1085&lt;=99991231),INT($A1085/10000),""),IFERROR(VALUE(TRIM(LEFT($A1085,FIND("/",$A1085)-1))),"")))</f>
        <v/>
      </c>
      <c r="C1085">
        <f>IF(OR($A1085="",$B1085=""),"",IF(ISNUMBER($A1085),INT(MOD($A1085,10000)/100),IFERROR(VALUE(TRIM(LEFT(MID($A1085,FIND("/",$A1085)+1,20),FIND("/",MID($A1085,FIND("/",$A1085)+1,20))-1))),"")))</f>
        <v/>
      </c>
      <c r="D1085">
        <f>IF(OR($A1085="",$B1085=""),"",IF(ISNUMBER($A1085),MOD($A1085,100),IFERROR(VALUE(TRIM(MID(MID($A1085,FIND("/",$A1085)+1,20),FIND("/",MID($A1085,FIND("/",$A1085)+1,20))+1,20))),"")))</f>
        <v/>
      </c>
      <c r="E1085">
        <f>IF($A1085="","",IF(OR($B1085="",$C1085="",$D1085="",$B1085&lt;1300,$B1085&gt;1500,$C1085&lt;1,$C1085&gt;12,$D1085&lt;1,$D1085&gt;31),"نامعتبر",RIGHT("0000"&amp;$B1085,4)&amp;"/"&amp;RIGHT("00"&amp;$C1085,2)&amp;"/"&amp;RIGHT("00"&amp;$D1085,2)))</f>
        <v/>
      </c>
      <c r="F1085">
        <f>IF(OR($E1085="",$E1085="نامعتبر"),"",LEFT($E1085,4)&amp;"/"&amp;MID($E1085,6,2))</f>
        <v/>
      </c>
      <c r="G1085">
        <f>IF(OR($E1085="",$E1085="نامعتبر",Sync!$Y1082=""),"",Sync!$Y1082)</f>
        <v/>
      </c>
      <c r="H1085">
        <f>IF($G1085="","",IF(Sync!$X1082="","",Sync!$X1082))</f>
        <v/>
      </c>
      <c r="I1085">
        <f>IF($G1085="","",IFERROR(VLOOKUP(Sync!$X1082,OpTbl,3,0),""))</f>
        <v/>
      </c>
      <c r="J1085">
        <f>IF(OR($G1085="",Sync!$Z1082=""),"",Sync!$Z1082)</f>
        <v/>
      </c>
      <c r="K1085">
        <f>IF(OR($G1085="",Sync!$AA1082=""),"",Sync!$AA1082)</f>
        <v/>
      </c>
      <c r="L1085">
        <f>IF($G1085="",0,IF(Sync!$AB1082="",0,Sync!$AB1082))</f>
        <v/>
      </c>
      <c r="M1085">
        <f>IF($G1085="",0,IF(Sync!$AC1082="",0,Sync!$AC1082))</f>
        <v/>
      </c>
      <c r="N1085">
        <f>IF($G1085="","",IF($H1085="مرجوعی خرید",-1,1)*($L1085-$M1085*IFERROR(VLOOKUP("P01",ParamTbl,3,0),1.5))*(1-IF($I1085="خرید",IFERROR(VLOOKUP("P02",ParamTbl,3,0),1),0)/100))</f>
        <v/>
      </c>
      <c r="O1085">
        <f>IF($G1085="",0,IF($H1085="مرجوعی خرید",-1,1)*IF(Sync!$AD1082="",0,Sync!$AD1082))</f>
        <v/>
      </c>
      <c r="P1085">
        <f>IF(OR($G1085="",Sync!$W1082=""),"",Sync!$W1082)</f>
        <v/>
      </c>
      <c r="Q1085">
        <f>IF(OR($G1085="",Sync!$AE1082=""),"",Sync!$AE1082)</f>
        <v/>
      </c>
      <c r="R1085">
        <f>IF($G1085="","",IF(Sync!$V1082="","0000",IF(AND(ISNUMBER(Sync!$V1082),Sync!$V1082&gt;=0,Sync!$V1082&lt;1),RIGHT("00"&amp;HOUR(Sync!$V1082),2)&amp;RIGHT("00"&amp;MINUTE(Sync!$V1082),2),IFERROR(RIGHT("00"&amp;VALUE(LEFT(Sync!$V1082,FIND(":",Sync!$V1082)-1)),2)&amp;RIGHT("00"&amp;VALUE(MID(Sync!$V1082,FIND(":",Sync!$V1082)+1,2)),2),"0000"))))</f>
        <v/>
      </c>
    </row>
    <row r="1086">
      <c r="A1086">
        <f>IF(Sync!$U1083="","",Sync!$U1083)</f>
        <v/>
      </c>
      <c r="B1086">
        <f>IF($A1086="","",IF(ISNUMBER($A1086),IF(AND($A1086&gt;=10000101,$A1086&lt;=99991231),INT($A1086/10000),""),IFERROR(VALUE(TRIM(LEFT($A1086,FIND("/",$A1086)-1))),"")))</f>
        <v/>
      </c>
      <c r="C1086">
        <f>IF(OR($A1086="",$B1086=""),"",IF(ISNUMBER($A1086),INT(MOD($A1086,10000)/100),IFERROR(VALUE(TRIM(LEFT(MID($A1086,FIND("/",$A1086)+1,20),FIND("/",MID($A1086,FIND("/",$A1086)+1,20))-1))),"")))</f>
        <v/>
      </c>
      <c r="D1086">
        <f>IF(OR($A1086="",$B1086=""),"",IF(ISNUMBER($A1086),MOD($A1086,100),IFERROR(VALUE(TRIM(MID(MID($A1086,FIND("/",$A1086)+1,20),FIND("/",MID($A1086,FIND("/",$A1086)+1,20))+1,20))),"")))</f>
        <v/>
      </c>
      <c r="E1086">
        <f>IF($A1086="","",IF(OR($B1086="",$C1086="",$D1086="",$B1086&lt;1300,$B1086&gt;1500,$C1086&lt;1,$C1086&gt;12,$D1086&lt;1,$D1086&gt;31),"نامعتبر",RIGHT("0000"&amp;$B1086,4)&amp;"/"&amp;RIGHT("00"&amp;$C1086,2)&amp;"/"&amp;RIGHT("00"&amp;$D1086,2)))</f>
        <v/>
      </c>
      <c r="F1086">
        <f>IF(OR($E1086="",$E1086="نامعتبر"),"",LEFT($E1086,4)&amp;"/"&amp;MID($E1086,6,2))</f>
        <v/>
      </c>
      <c r="G1086">
        <f>IF(OR($E1086="",$E1086="نامعتبر",Sync!$Y1083=""),"",Sync!$Y1083)</f>
        <v/>
      </c>
      <c r="H1086">
        <f>IF($G1086="","",IF(Sync!$X1083="","",Sync!$X1083))</f>
        <v/>
      </c>
      <c r="I1086">
        <f>IF($G1086="","",IFERROR(VLOOKUP(Sync!$X1083,OpTbl,3,0),""))</f>
        <v/>
      </c>
      <c r="J1086">
        <f>IF(OR($G1086="",Sync!$Z1083=""),"",Sync!$Z1083)</f>
        <v/>
      </c>
      <c r="K1086">
        <f>IF(OR($G1086="",Sync!$AA1083=""),"",Sync!$AA1083)</f>
        <v/>
      </c>
      <c r="L1086">
        <f>IF($G1086="",0,IF(Sync!$AB1083="",0,Sync!$AB1083))</f>
        <v/>
      </c>
      <c r="M1086">
        <f>IF($G1086="",0,IF(Sync!$AC1083="",0,Sync!$AC1083))</f>
        <v/>
      </c>
      <c r="N1086">
        <f>IF($G1086="","",IF($H1086="مرجوعی خرید",-1,1)*($L1086-$M1086*IFERROR(VLOOKUP("P01",ParamTbl,3,0),1.5))*(1-IF($I1086="خرید",IFERROR(VLOOKUP("P02",ParamTbl,3,0),1),0)/100))</f>
        <v/>
      </c>
      <c r="O1086">
        <f>IF($G1086="",0,IF($H1086="مرجوعی خرید",-1,1)*IF(Sync!$AD1083="",0,Sync!$AD1083))</f>
        <v/>
      </c>
      <c r="P1086">
        <f>IF(OR($G1086="",Sync!$W1083=""),"",Sync!$W1083)</f>
        <v/>
      </c>
      <c r="Q1086">
        <f>IF(OR($G1086="",Sync!$AE1083=""),"",Sync!$AE1083)</f>
        <v/>
      </c>
      <c r="R1086">
        <f>IF($G1086="","",IF(Sync!$V1083="","0000",IF(AND(ISNUMBER(Sync!$V1083),Sync!$V1083&gt;=0,Sync!$V1083&lt;1),RIGHT("00"&amp;HOUR(Sync!$V1083),2)&amp;RIGHT("00"&amp;MINUTE(Sync!$V1083),2),IFERROR(RIGHT("00"&amp;VALUE(LEFT(Sync!$V1083,FIND(":",Sync!$V1083)-1)),2)&amp;RIGHT("00"&amp;VALUE(MID(Sync!$V1083,FIND(":",Sync!$V1083)+1,2)),2),"0000"))))</f>
        <v/>
      </c>
    </row>
    <row r="1087">
      <c r="A1087">
        <f>IF(Sync!$U1084="","",Sync!$U1084)</f>
        <v/>
      </c>
      <c r="B1087">
        <f>IF($A1087="","",IF(ISNUMBER($A1087),IF(AND($A1087&gt;=10000101,$A1087&lt;=99991231),INT($A1087/10000),""),IFERROR(VALUE(TRIM(LEFT($A1087,FIND("/",$A1087)-1))),"")))</f>
        <v/>
      </c>
      <c r="C1087">
        <f>IF(OR($A1087="",$B1087=""),"",IF(ISNUMBER($A1087),INT(MOD($A1087,10000)/100),IFERROR(VALUE(TRIM(LEFT(MID($A1087,FIND("/",$A1087)+1,20),FIND("/",MID($A1087,FIND("/",$A1087)+1,20))-1))),"")))</f>
        <v/>
      </c>
      <c r="D1087">
        <f>IF(OR($A1087="",$B1087=""),"",IF(ISNUMBER($A1087),MOD($A1087,100),IFERROR(VALUE(TRIM(MID(MID($A1087,FIND("/",$A1087)+1,20),FIND("/",MID($A1087,FIND("/",$A1087)+1,20))+1,20))),"")))</f>
        <v/>
      </c>
      <c r="E1087">
        <f>IF($A1087="","",IF(OR($B1087="",$C1087="",$D1087="",$B1087&lt;1300,$B1087&gt;1500,$C1087&lt;1,$C1087&gt;12,$D1087&lt;1,$D1087&gt;31),"نامعتبر",RIGHT("0000"&amp;$B1087,4)&amp;"/"&amp;RIGHT("00"&amp;$C1087,2)&amp;"/"&amp;RIGHT("00"&amp;$D1087,2)))</f>
        <v/>
      </c>
      <c r="F1087">
        <f>IF(OR($E1087="",$E1087="نامعتبر"),"",LEFT($E1087,4)&amp;"/"&amp;MID($E1087,6,2))</f>
        <v/>
      </c>
      <c r="G1087">
        <f>IF(OR($E1087="",$E1087="نامعتبر",Sync!$Y1084=""),"",Sync!$Y1084)</f>
        <v/>
      </c>
      <c r="H1087">
        <f>IF($G1087="","",IF(Sync!$X1084="","",Sync!$X1084))</f>
        <v/>
      </c>
      <c r="I1087">
        <f>IF($G1087="","",IFERROR(VLOOKUP(Sync!$X1084,OpTbl,3,0),""))</f>
        <v/>
      </c>
      <c r="J1087">
        <f>IF(OR($G1087="",Sync!$Z1084=""),"",Sync!$Z1084)</f>
        <v/>
      </c>
      <c r="K1087">
        <f>IF(OR($G1087="",Sync!$AA1084=""),"",Sync!$AA1084)</f>
        <v/>
      </c>
      <c r="L1087">
        <f>IF($G1087="",0,IF(Sync!$AB1084="",0,Sync!$AB1084))</f>
        <v/>
      </c>
      <c r="M1087">
        <f>IF($G1087="",0,IF(Sync!$AC1084="",0,Sync!$AC1084))</f>
        <v/>
      </c>
      <c r="N1087">
        <f>IF($G1087="","",IF($H1087="مرجوعی خرید",-1,1)*($L1087-$M1087*IFERROR(VLOOKUP("P01",ParamTbl,3,0),1.5))*(1-IF($I1087="خرید",IFERROR(VLOOKUP("P02",ParamTbl,3,0),1),0)/100))</f>
        <v/>
      </c>
      <c r="O1087">
        <f>IF($G1087="",0,IF($H1087="مرجوعی خرید",-1,1)*IF(Sync!$AD1084="",0,Sync!$AD1084))</f>
        <v/>
      </c>
      <c r="P1087">
        <f>IF(OR($G1087="",Sync!$W1084=""),"",Sync!$W1084)</f>
        <v/>
      </c>
      <c r="Q1087">
        <f>IF(OR($G1087="",Sync!$AE1084=""),"",Sync!$AE1084)</f>
        <v/>
      </c>
      <c r="R1087">
        <f>IF($G1087="","",IF(Sync!$V1084="","0000",IF(AND(ISNUMBER(Sync!$V1084),Sync!$V1084&gt;=0,Sync!$V1084&lt;1),RIGHT("00"&amp;HOUR(Sync!$V1084),2)&amp;RIGHT("00"&amp;MINUTE(Sync!$V1084),2),IFERROR(RIGHT("00"&amp;VALUE(LEFT(Sync!$V1084,FIND(":",Sync!$V1084)-1)),2)&amp;RIGHT("00"&amp;VALUE(MID(Sync!$V1084,FIND(":",Sync!$V1084)+1,2)),2),"0000"))))</f>
        <v/>
      </c>
    </row>
    <row r="1088">
      <c r="A1088">
        <f>IF(Sync!$U1085="","",Sync!$U1085)</f>
        <v/>
      </c>
      <c r="B1088">
        <f>IF($A1088="","",IF(ISNUMBER($A1088),IF(AND($A1088&gt;=10000101,$A1088&lt;=99991231),INT($A1088/10000),""),IFERROR(VALUE(TRIM(LEFT($A1088,FIND("/",$A1088)-1))),"")))</f>
        <v/>
      </c>
      <c r="C1088">
        <f>IF(OR($A1088="",$B1088=""),"",IF(ISNUMBER($A1088),INT(MOD($A1088,10000)/100),IFERROR(VALUE(TRIM(LEFT(MID($A1088,FIND("/",$A1088)+1,20),FIND("/",MID($A1088,FIND("/",$A1088)+1,20))-1))),"")))</f>
        <v/>
      </c>
      <c r="D1088">
        <f>IF(OR($A1088="",$B1088=""),"",IF(ISNUMBER($A1088),MOD($A1088,100),IFERROR(VALUE(TRIM(MID(MID($A1088,FIND("/",$A1088)+1,20),FIND("/",MID($A1088,FIND("/",$A1088)+1,20))+1,20))),"")))</f>
        <v/>
      </c>
      <c r="E1088">
        <f>IF($A1088="","",IF(OR($B1088="",$C1088="",$D1088="",$B1088&lt;1300,$B1088&gt;1500,$C1088&lt;1,$C1088&gt;12,$D1088&lt;1,$D1088&gt;31),"نامعتبر",RIGHT("0000"&amp;$B1088,4)&amp;"/"&amp;RIGHT("00"&amp;$C1088,2)&amp;"/"&amp;RIGHT("00"&amp;$D1088,2)))</f>
        <v/>
      </c>
      <c r="F1088">
        <f>IF(OR($E1088="",$E1088="نامعتبر"),"",LEFT($E1088,4)&amp;"/"&amp;MID($E1088,6,2))</f>
        <v/>
      </c>
      <c r="G1088">
        <f>IF(OR($E1088="",$E1088="نامعتبر",Sync!$Y1085=""),"",Sync!$Y1085)</f>
        <v/>
      </c>
      <c r="H1088">
        <f>IF($G1088="","",IF(Sync!$X1085="","",Sync!$X1085))</f>
        <v/>
      </c>
      <c r="I1088">
        <f>IF($G1088="","",IFERROR(VLOOKUP(Sync!$X1085,OpTbl,3,0),""))</f>
        <v/>
      </c>
      <c r="J1088">
        <f>IF(OR($G1088="",Sync!$Z1085=""),"",Sync!$Z1085)</f>
        <v/>
      </c>
      <c r="K1088">
        <f>IF(OR($G1088="",Sync!$AA1085=""),"",Sync!$AA1085)</f>
        <v/>
      </c>
      <c r="L1088">
        <f>IF($G1088="",0,IF(Sync!$AB1085="",0,Sync!$AB1085))</f>
        <v/>
      </c>
      <c r="M1088">
        <f>IF($G1088="",0,IF(Sync!$AC1085="",0,Sync!$AC1085))</f>
        <v/>
      </c>
      <c r="N1088">
        <f>IF($G1088="","",IF($H1088="مرجوعی خرید",-1,1)*($L1088-$M1088*IFERROR(VLOOKUP("P01",ParamTbl,3,0),1.5))*(1-IF($I1088="خرید",IFERROR(VLOOKUP("P02",ParamTbl,3,0),1),0)/100))</f>
        <v/>
      </c>
      <c r="O1088">
        <f>IF($G1088="",0,IF($H1088="مرجوعی خرید",-1,1)*IF(Sync!$AD1085="",0,Sync!$AD1085))</f>
        <v/>
      </c>
      <c r="P1088">
        <f>IF(OR($G1088="",Sync!$W1085=""),"",Sync!$W1085)</f>
        <v/>
      </c>
      <c r="Q1088">
        <f>IF(OR($G1088="",Sync!$AE1085=""),"",Sync!$AE1085)</f>
        <v/>
      </c>
      <c r="R1088">
        <f>IF($G1088="","",IF(Sync!$V1085="","0000",IF(AND(ISNUMBER(Sync!$V1085),Sync!$V1085&gt;=0,Sync!$V1085&lt;1),RIGHT("00"&amp;HOUR(Sync!$V1085),2)&amp;RIGHT("00"&amp;MINUTE(Sync!$V1085),2),IFERROR(RIGHT("00"&amp;VALUE(LEFT(Sync!$V1085,FIND(":",Sync!$V1085)-1)),2)&amp;RIGHT("00"&amp;VALUE(MID(Sync!$V1085,FIND(":",Sync!$V1085)+1,2)),2),"0000"))))</f>
        <v/>
      </c>
    </row>
    <row r="1089">
      <c r="A1089">
        <f>IF(Sync!$U1086="","",Sync!$U1086)</f>
        <v/>
      </c>
      <c r="B1089">
        <f>IF($A1089="","",IF(ISNUMBER($A1089),IF(AND($A1089&gt;=10000101,$A1089&lt;=99991231),INT($A1089/10000),""),IFERROR(VALUE(TRIM(LEFT($A1089,FIND("/",$A1089)-1))),"")))</f>
        <v/>
      </c>
      <c r="C1089">
        <f>IF(OR($A1089="",$B1089=""),"",IF(ISNUMBER($A1089),INT(MOD($A1089,10000)/100),IFERROR(VALUE(TRIM(LEFT(MID($A1089,FIND("/",$A1089)+1,20),FIND("/",MID($A1089,FIND("/",$A1089)+1,20))-1))),"")))</f>
        <v/>
      </c>
      <c r="D1089">
        <f>IF(OR($A1089="",$B1089=""),"",IF(ISNUMBER($A1089),MOD($A1089,100),IFERROR(VALUE(TRIM(MID(MID($A1089,FIND("/",$A1089)+1,20),FIND("/",MID($A1089,FIND("/",$A1089)+1,20))+1,20))),"")))</f>
        <v/>
      </c>
      <c r="E1089">
        <f>IF($A1089="","",IF(OR($B1089="",$C1089="",$D1089="",$B1089&lt;1300,$B1089&gt;1500,$C1089&lt;1,$C1089&gt;12,$D1089&lt;1,$D1089&gt;31),"نامعتبر",RIGHT("0000"&amp;$B1089,4)&amp;"/"&amp;RIGHT("00"&amp;$C1089,2)&amp;"/"&amp;RIGHT("00"&amp;$D1089,2)))</f>
        <v/>
      </c>
      <c r="F1089">
        <f>IF(OR($E1089="",$E1089="نامعتبر"),"",LEFT($E1089,4)&amp;"/"&amp;MID($E1089,6,2))</f>
        <v/>
      </c>
      <c r="G1089">
        <f>IF(OR($E1089="",$E1089="نامعتبر",Sync!$Y1086=""),"",Sync!$Y1086)</f>
        <v/>
      </c>
      <c r="H1089">
        <f>IF($G1089="","",IF(Sync!$X1086="","",Sync!$X1086))</f>
        <v/>
      </c>
      <c r="I1089">
        <f>IF($G1089="","",IFERROR(VLOOKUP(Sync!$X1086,OpTbl,3,0),""))</f>
        <v/>
      </c>
      <c r="J1089">
        <f>IF(OR($G1089="",Sync!$Z1086=""),"",Sync!$Z1086)</f>
        <v/>
      </c>
      <c r="K1089">
        <f>IF(OR($G1089="",Sync!$AA1086=""),"",Sync!$AA1086)</f>
        <v/>
      </c>
      <c r="L1089">
        <f>IF($G1089="",0,IF(Sync!$AB1086="",0,Sync!$AB1086))</f>
        <v/>
      </c>
      <c r="M1089">
        <f>IF($G1089="",0,IF(Sync!$AC1086="",0,Sync!$AC1086))</f>
        <v/>
      </c>
      <c r="N1089">
        <f>IF($G1089="","",IF($H1089="مرجوعی خرید",-1,1)*($L1089-$M1089*IFERROR(VLOOKUP("P01",ParamTbl,3,0),1.5))*(1-IF($I1089="خرید",IFERROR(VLOOKUP("P02",ParamTbl,3,0),1),0)/100))</f>
        <v/>
      </c>
      <c r="O1089">
        <f>IF($G1089="",0,IF($H1089="مرجوعی خرید",-1,1)*IF(Sync!$AD1086="",0,Sync!$AD1086))</f>
        <v/>
      </c>
      <c r="P1089">
        <f>IF(OR($G1089="",Sync!$W1086=""),"",Sync!$W1086)</f>
        <v/>
      </c>
      <c r="Q1089">
        <f>IF(OR($G1089="",Sync!$AE1086=""),"",Sync!$AE1086)</f>
        <v/>
      </c>
      <c r="R1089">
        <f>IF($G1089="","",IF(Sync!$V1086="","0000",IF(AND(ISNUMBER(Sync!$V1086),Sync!$V1086&gt;=0,Sync!$V1086&lt;1),RIGHT("00"&amp;HOUR(Sync!$V1086),2)&amp;RIGHT("00"&amp;MINUTE(Sync!$V1086),2),IFERROR(RIGHT("00"&amp;VALUE(LEFT(Sync!$V1086,FIND(":",Sync!$V1086)-1)),2)&amp;RIGHT("00"&amp;VALUE(MID(Sync!$V1086,FIND(":",Sync!$V1086)+1,2)),2),"0000"))))</f>
        <v/>
      </c>
    </row>
    <row r="1090">
      <c r="A1090">
        <f>IF(Sync!$U1087="","",Sync!$U1087)</f>
        <v/>
      </c>
      <c r="B1090">
        <f>IF($A1090="","",IF(ISNUMBER($A1090),IF(AND($A1090&gt;=10000101,$A1090&lt;=99991231),INT($A1090/10000),""),IFERROR(VALUE(TRIM(LEFT($A1090,FIND("/",$A1090)-1))),"")))</f>
        <v/>
      </c>
      <c r="C1090">
        <f>IF(OR($A1090="",$B1090=""),"",IF(ISNUMBER($A1090),INT(MOD($A1090,10000)/100),IFERROR(VALUE(TRIM(LEFT(MID($A1090,FIND("/",$A1090)+1,20),FIND("/",MID($A1090,FIND("/",$A1090)+1,20))-1))),"")))</f>
        <v/>
      </c>
      <c r="D1090">
        <f>IF(OR($A1090="",$B1090=""),"",IF(ISNUMBER($A1090),MOD($A1090,100),IFERROR(VALUE(TRIM(MID(MID($A1090,FIND("/",$A1090)+1,20),FIND("/",MID($A1090,FIND("/",$A1090)+1,20))+1,20))),"")))</f>
        <v/>
      </c>
      <c r="E1090">
        <f>IF($A1090="","",IF(OR($B1090="",$C1090="",$D1090="",$B1090&lt;1300,$B1090&gt;1500,$C1090&lt;1,$C1090&gt;12,$D1090&lt;1,$D1090&gt;31),"نامعتبر",RIGHT("0000"&amp;$B1090,4)&amp;"/"&amp;RIGHT("00"&amp;$C1090,2)&amp;"/"&amp;RIGHT("00"&amp;$D1090,2)))</f>
        <v/>
      </c>
      <c r="F1090">
        <f>IF(OR($E1090="",$E1090="نامعتبر"),"",LEFT($E1090,4)&amp;"/"&amp;MID($E1090,6,2))</f>
        <v/>
      </c>
      <c r="G1090">
        <f>IF(OR($E1090="",$E1090="نامعتبر",Sync!$Y1087=""),"",Sync!$Y1087)</f>
        <v/>
      </c>
      <c r="H1090">
        <f>IF($G1090="","",IF(Sync!$X1087="","",Sync!$X1087))</f>
        <v/>
      </c>
      <c r="I1090">
        <f>IF($G1090="","",IFERROR(VLOOKUP(Sync!$X1087,OpTbl,3,0),""))</f>
        <v/>
      </c>
      <c r="J1090">
        <f>IF(OR($G1090="",Sync!$Z1087=""),"",Sync!$Z1087)</f>
        <v/>
      </c>
      <c r="K1090">
        <f>IF(OR($G1090="",Sync!$AA1087=""),"",Sync!$AA1087)</f>
        <v/>
      </c>
      <c r="L1090">
        <f>IF($G1090="",0,IF(Sync!$AB1087="",0,Sync!$AB1087))</f>
        <v/>
      </c>
      <c r="M1090">
        <f>IF($G1090="",0,IF(Sync!$AC1087="",0,Sync!$AC1087))</f>
        <v/>
      </c>
      <c r="N1090">
        <f>IF($G1090="","",IF($H1090="مرجوعی خرید",-1,1)*($L1090-$M1090*IFERROR(VLOOKUP("P01",ParamTbl,3,0),1.5))*(1-IF($I1090="خرید",IFERROR(VLOOKUP("P02",ParamTbl,3,0),1),0)/100))</f>
        <v/>
      </c>
      <c r="O1090">
        <f>IF($G1090="",0,IF($H1090="مرجوعی خرید",-1,1)*IF(Sync!$AD1087="",0,Sync!$AD1087))</f>
        <v/>
      </c>
      <c r="P1090">
        <f>IF(OR($G1090="",Sync!$W1087=""),"",Sync!$W1087)</f>
        <v/>
      </c>
      <c r="Q1090">
        <f>IF(OR($G1090="",Sync!$AE1087=""),"",Sync!$AE1087)</f>
        <v/>
      </c>
      <c r="R1090">
        <f>IF($G1090="","",IF(Sync!$V1087="","0000",IF(AND(ISNUMBER(Sync!$V1087),Sync!$V1087&gt;=0,Sync!$V1087&lt;1),RIGHT("00"&amp;HOUR(Sync!$V1087),2)&amp;RIGHT("00"&amp;MINUTE(Sync!$V1087),2),IFERROR(RIGHT("00"&amp;VALUE(LEFT(Sync!$V1087,FIND(":",Sync!$V1087)-1)),2)&amp;RIGHT("00"&amp;VALUE(MID(Sync!$V1087,FIND(":",Sync!$V1087)+1,2)),2),"0000"))))</f>
        <v/>
      </c>
    </row>
    <row r="1091">
      <c r="A1091">
        <f>IF(Sync!$U1088="","",Sync!$U1088)</f>
        <v/>
      </c>
      <c r="B1091">
        <f>IF($A1091="","",IF(ISNUMBER($A1091),IF(AND($A1091&gt;=10000101,$A1091&lt;=99991231),INT($A1091/10000),""),IFERROR(VALUE(TRIM(LEFT($A1091,FIND("/",$A1091)-1))),"")))</f>
        <v/>
      </c>
      <c r="C1091">
        <f>IF(OR($A1091="",$B1091=""),"",IF(ISNUMBER($A1091),INT(MOD($A1091,10000)/100),IFERROR(VALUE(TRIM(LEFT(MID($A1091,FIND("/",$A1091)+1,20),FIND("/",MID($A1091,FIND("/",$A1091)+1,20))-1))),"")))</f>
        <v/>
      </c>
      <c r="D1091">
        <f>IF(OR($A1091="",$B1091=""),"",IF(ISNUMBER($A1091),MOD($A1091,100),IFERROR(VALUE(TRIM(MID(MID($A1091,FIND("/",$A1091)+1,20),FIND("/",MID($A1091,FIND("/",$A1091)+1,20))+1,20))),"")))</f>
        <v/>
      </c>
      <c r="E1091">
        <f>IF($A1091="","",IF(OR($B1091="",$C1091="",$D1091="",$B1091&lt;1300,$B1091&gt;1500,$C1091&lt;1,$C1091&gt;12,$D1091&lt;1,$D1091&gt;31),"نامعتبر",RIGHT("0000"&amp;$B1091,4)&amp;"/"&amp;RIGHT("00"&amp;$C1091,2)&amp;"/"&amp;RIGHT("00"&amp;$D1091,2)))</f>
        <v/>
      </c>
      <c r="F1091">
        <f>IF(OR($E1091="",$E1091="نامعتبر"),"",LEFT($E1091,4)&amp;"/"&amp;MID($E1091,6,2))</f>
        <v/>
      </c>
      <c r="G1091">
        <f>IF(OR($E1091="",$E1091="نامعتبر",Sync!$Y1088=""),"",Sync!$Y1088)</f>
        <v/>
      </c>
      <c r="H1091">
        <f>IF($G1091="","",IF(Sync!$X1088="","",Sync!$X1088))</f>
        <v/>
      </c>
      <c r="I1091">
        <f>IF($G1091="","",IFERROR(VLOOKUP(Sync!$X1088,OpTbl,3,0),""))</f>
        <v/>
      </c>
      <c r="J1091">
        <f>IF(OR($G1091="",Sync!$Z1088=""),"",Sync!$Z1088)</f>
        <v/>
      </c>
      <c r="K1091">
        <f>IF(OR($G1091="",Sync!$AA1088=""),"",Sync!$AA1088)</f>
        <v/>
      </c>
      <c r="L1091">
        <f>IF($G1091="",0,IF(Sync!$AB1088="",0,Sync!$AB1088))</f>
        <v/>
      </c>
      <c r="M1091">
        <f>IF($G1091="",0,IF(Sync!$AC1088="",0,Sync!$AC1088))</f>
        <v/>
      </c>
      <c r="N1091">
        <f>IF($G1091="","",IF($H1091="مرجوعی خرید",-1,1)*($L1091-$M1091*IFERROR(VLOOKUP("P01",ParamTbl,3,0),1.5))*(1-IF($I1091="خرید",IFERROR(VLOOKUP("P02",ParamTbl,3,0),1),0)/100))</f>
        <v/>
      </c>
      <c r="O1091">
        <f>IF($G1091="",0,IF($H1091="مرجوعی خرید",-1,1)*IF(Sync!$AD1088="",0,Sync!$AD1088))</f>
        <v/>
      </c>
      <c r="P1091">
        <f>IF(OR($G1091="",Sync!$W1088=""),"",Sync!$W1088)</f>
        <v/>
      </c>
      <c r="Q1091">
        <f>IF(OR($G1091="",Sync!$AE1088=""),"",Sync!$AE1088)</f>
        <v/>
      </c>
      <c r="R1091">
        <f>IF($G1091="","",IF(Sync!$V1088="","0000",IF(AND(ISNUMBER(Sync!$V1088),Sync!$V1088&gt;=0,Sync!$V1088&lt;1),RIGHT("00"&amp;HOUR(Sync!$V1088),2)&amp;RIGHT("00"&amp;MINUTE(Sync!$V1088),2),IFERROR(RIGHT("00"&amp;VALUE(LEFT(Sync!$V1088,FIND(":",Sync!$V1088)-1)),2)&amp;RIGHT("00"&amp;VALUE(MID(Sync!$V1088,FIND(":",Sync!$V1088)+1,2)),2),"0000"))))</f>
        <v/>
      </c>
    </row>
    <row r="1092">
      <c r="A1092">
        <f>IF(Sync!$U1089="","",Sync!$U1089)</f>
        <v/>
      </c>
      <c r="B1092">
        <f>IF($A1092="","",IF(ISNUMBER($A1092),IF(AND($A1092&gt;=10000101,$A1092&lt;=99991231),INT($A1092/10000),""),IFERROR(VALUE(TRIM(LEFT($A1092,FIND("/",$A1092)-1))),"")))</f>
        <v/>
      </c>
      <c r="C1092">
        <f>IF(OR($A1092="",$B1092=""),"",IF(ISNUMBER($A1092),INT(MOD($A1092,10000)/100),IFERROR(VALUE(TRIM(LEFT(MID($A1092,FIND("/",$A1092)+1,20),FIND("/",MID($A1092,FIND("/",$A1092)+1,20))-1))),"")))</f>
        <v/>
      </c>
      <c r="D1092">
        <f>IF(OR($A1092="",$B1092=""),"",IF(ISNUMBER($A1092),MOD($A1092,100),IFERROR(VALUE(TRIM(MID(MID($A1092,FIND("/",$A1092)+1,20),FIND("/",MID($A1092,FIND("/",$A1092)+1,20))+1,20))),"")))</f>
        <v/>
      </c>
      <c r="E1092">
        <f>IF($A1092="","",IF(OR($B1092="",$C1092="",$D1092="",$B1092&lt;1300,$B1092&gt;1500,$C1092&lt;1,$C1092&gt;12,$D1092&lt;1,$D1092&gt;31),"نامعتبر",RIGHT("0000"&amp;$B1092,4)&amp;"/"&amp;RIGHT("00"&amp;$C1092,2)&amp;"/"&amp;RIGHT("00"&amp;$D1092,2)))</f>
        <v/>
      </c>
      <c r="F1092">
        <f>IF(OR($E1092="",$E1092="نامعتبر"),"",LEFT($E1092,4)&amp;"/"&amp;MID($E1092,6,2))</f>
        <v/>
      </c>
      <c r="G1092">
        <f>IF(OR($E1092="",$E1092="نامعتبر",Sync!$Y1089=""),"",Sync!$Y1089)</f>
        <v/>
      </c>
      <c r="H1092">
        <f>IF($G1092="","",IF(Sync!$X1089="","",Sync!$X1089))</f>
        <v/>
      </c>
      <c r="I1092">
        <f>IF($G1092="","",IFERROR(VLOOKUP(Sync!$X1089,OpTbl,3,0),""))</f>
        <v/>
      </c>
      <c r="J1092">
        <f>IF(OR($G1092="",Sync!$Z1089=""),"",Sync!$Z1089)</f>
        <v/>
      </c>
      <c r="K1092">
        <f>IF(OR($G1092="",Sync!$AA1089=""),"",Sync!$AA1089)</f>
        <v/>
      </c>
      <c r="L1092">
        <f>IF($G1092="",0,IF(Sync!$AB1089="",0,Sync!$AB1089))</f>
        <v/>
      </c>
      <c r="M1092">
        <f>IF($G1092="",0,IF(Sync!$AC1089="",0,Sync!$AC1089))</f>
        <v/>
      </c>
      <c r="N1092">
        <f>IF($G1092="","",IF($H1092="مرجوعی خرید",-1,1)*($L1092-$M1092*IFERROR(VLOOKUP("P01",ParamTbl,3,0),1.5))*(1-IF($I1092="خرید",IFERROR(VLOOKUP("P02",ParamTbl,3,0),1),0)/100))</f>
        <v/>
      </c>
      <c r="O1092">
        <f>IF($G1092="",0,IF($H1092="مرجوعی خرید",-1,1)*IF(Sync!$AD1089="",0,Sync!$AD1089))</f>
        <v/>
      </c>
      <c r="P1092">
        <f>IF(OR($G1092="",Sync!$W1089=""),"",Sync!$W1089)</f>
        <v/>
      </c>
      <c r="Q1092">
        <f>IF(OR($G1092="",Sync!$AE1089=""),"",Sync!$AE1089)</f>
        <v/>
      </c>
      <c r="R1092">
        <f>IF($G1092="","",IF(Sync!$V1089="","0000",IF(AND(ISNUMBER(Sync!$V1089),Sync!$V1089&gt;=0,Sync!$V1089&lt;1),RIGHT("00"&amp;HOUR(Sync!$V1089),2)&amp;RIGHT("00"&amp;MINUTE(Sync!$V1089),2),IFERROR(RIGHT("00"&amp;VALUE(LEFT(Sync!$V1089,FIND(":",Sync!$V1089)-1)),2)&amp;RIGHT("00"&amp;VALUE(MID(Sync!$V1089,FIND(":",Sync!$V1089)+1,2)),2),"0000"))))</f>
        <v/>
      </c>
    </row>
    <row r="1093">
      <c r="A1093">
        <f>IF(Sync!$U1090="","",Sync!$U1090)</f>
        <v/>
      </c>
      <c r="B1093">
        <f>IF($A1093="","",IF(ISNUMBER($A1093),IF(AND($A1093&gt;=10000101,$A1093&lt;=99991231),INT($A1093/10000),""),IFERROR(VALUE(TRIM(LEFT($A1093,FIND("/",$A1093)-1))),"")))</f>
        <v/>
      </c>
      <c r="C1093">
        <f>IF(OR($A1093="",$B1093=""),"",IF(ISNUMBER($A1093),INT(MOD($A1093,10000)/100),IFERROR(VALUE(TRIM(LEFT(MID($A1093,FIND("/",$A1093)+1,20),FIND("/",MID($A1093,FIND("/",$A1093)+1,20))-1))),"")))</f>
        <v/>
      </c>
      <c r="D1093">
        <f>IF(OR($A1093="",$B1093=""),"",IF(ISNUMBER($A1093),MOD($A1093,100),IFERROR(VALUE(TRIM(MID(MID($A1093,FIND("/",$A1093)+1,20),FIND("/",MID($A1093,FIND("/",$A1093)+1,20))+1,20))),"")))</f>
        <v/>
      </c>
      <c r="E1093">
        <f>IF($A1093="","",IF(OR($B1093="",$C1093="",$D1093="",$B1093&lt;1300,$B1093&gt;1500,$C1093&lt;1,$C1093&gt;12,$D1093&lt;1,$D1093&gt;31),"نامعتبر",RIGHT("0000"&amp;$B1093,4)&amp;"/"&amp;RIGHT("00"&amp;$C1093,2)&amp;"/"&amp;RIGHT("00"&amp;$D1093,2)))</f>
        <v/>
      </c>
      <c r="F1093">
        <f>IF(OR($E1093="",$E1093="نامعتبر"),"",LEFT($E1093,4)&amp;"/"&amp;MID($E1093,6,2))</f>
        <v/>
      </c>
      <c r="G1093">
        <f>IF(OR($E1093="",$E1093="نامعتبر",Sync!$Y1090=""),"",Sync!$Y1090)</f>
        <v/>
      </c>
      <c r="H1093">
        <f>IF($G1093="","",IF(Sync!$X1090="","",Sync!$X1090))</f>
        <v/>
      </c>
      <c r="I1093">
        <f>IF($G1093="","",IFERROR(VLOOKUP(Sync!$X1090,OpTbl,3,0),""))</f>
        <v/>
      </c>
      <c r="J1093">
        <f>IF(OR($G1093="",Sync!$Z1090=""),"",Sync!$Z1090)</f>
        <v/>
      </c>
      <c r="K1093">
        <f>IF(OR($G1093="",Sync!$AA1090=""),"",Sync!$AA1090)</f>
        <v/>
      </c>
      <c r="L1093">
        <f>IF($G1093="",0,IF(Sync!$AB1090="",0,Sync!$AB1090))</f>
        <v/>
      </c>
      <c r="M1093">
        <f>IF($G1093="",0,IF(Sync!$AC1090="",0,Sync!$AC1090))</f>
        <v/>
      </c>
      <c r="N1093">
        <f>IF($G1093="","",IF($H1093="مرجوعی خرید",-1,1)*($L1093-$M1093*IFERROR(VLOOKUP("P01",ParamTbl,3,0),1.5))*(1-IF($I1093="خرید",IFERROR(VLOOKUP("P02",ParamTbl,3,0),1),0)/100))</f>
        <v/>
      </c>
      <c r="O1093">
        <f>IF($G1093="",0,IF($H1093="مرجوعی خرید",-1,1)*IF(Sync!$AD1090="",0,Sync!$AD1090))</f>
        <v/>
      </c>
      <c r="P1093">
        <f>IF(OR($G1093="",Sync!$W1090=""),"",Sync!$W1090)</f>
        <v/>
      </c>
      <c r="Q1093">
        <f>IF(OR($G1093="",Sync!$AE1090=""),"",Sync!$AE1090)</f>
        <v/>
      </c>
      <c r="R1093">
        <f>IF($G1093="","",IF(Sync!$V1090="","0000",IF(AND(ISNUMBER(Sync!$V1090),Sync!$V1090&gt;=0,Sync!$V1090&lt;1),RIGHT("00"&amp;HOUR(Sync!$V1090),2)&amp;RIGHT("00"&amp;MINUTE(Sync!$V1090),2),IFERROR(RIGHT("00"&amp;VALUE(LEFT(Sync!$V1090,FIND(":",Sync!$V1090)-1)),2)&amp;RIGHT("00"&amp;VALUE(MID(Sync!$V1090,FIND(":",Sync!$V1090)+1,2)),2),"0000"))))</f>
        <v/>
      </c>
    </row>
    <row r="1094">
      <c r="A1094">
        <f>IF(Sync!$U1091="","",Sync!$U1091)</f>
        <v/>
      </c>
      <c r="B1094">
        <f>IF($A1094="","",IF(ISNUMBER($A1094),IF(AND($A1094&gt;=10000101,$A1094&lt;=99991231),INT($A1094/10000),""),IFERROR(VALUE(TRIM(LEFT($A1094,FIND("/",$A1094)-1))),"")))</f>
        <v/>
      </c>
      <c r="C1094">
        <f>IF(OR($A1094="",$B1094=""),"",IF(ISNUMBER($A1094),INT(MOD($A1094,10000)/100),IFERROR(VALUE(TRIM(LEFT(MID($A1094,FIND("/",$A1094)+1,20),FIND("/",MID($A1094,FIND("/",$A1094)+1,20))-1))),"")))</f>
        <v/>
      </c>
      <c r="D1094">
        <f>IF(OR($A1094="",$B1094=""),"",IF(ISNUMBER($A1094),MOD($A1094,100),IFERROR(VALUE(TRIM(MID(MID($A1094,FIND("/",$A1094)+1,20),FIND("/",MID($A1094,FIND("/",$A1094)+1,20))+1,20))),"")))</f>
        <v/>
      </c>
      <c r="E1094">
        <f>IF($A1094="","",IF(OR($B1094="",$C1094="",$D1094="",$B1094&lt;1300,$B1094&gt;1500,$C1094&lt;1,$C1094&gt;12,$D1094&lt;1,$D1094&gt;31),"نامعتبر",RIGHT("0000"&amp;$B1094,4)&amp;"/"&amp;RIGHT("00"&amp;$C1094,2)&amp;"/"&amp;RIGHT("00"&amp;$D1094,2)))</f>
        <v/>
      </c>
      <c r="F1094">
        <f>IF(OR($E1094="",$E1094="نامعتبر"),"",LEFT($E1094,4)&amp;"/"&amp;MID($E1094,6,2))</f>
        <v/>
      </c>
      <c r="G1094">
        <f>IF(OR($E1094="",$E1094="نامعتبر",Sync!$Y1091=""),"",Sync!$Y1091)</f>
        <v/>
      </c>
      <c r="H1094">
        <f>IF($G1094="","",IF(Sync!$X1091="","",Sync!$X1091))</f>
        <v/>
      </c>
      <c r="I1094">
        <f>IF($G1094="","",IFERROR(VLOOKUP(Sync!$X1091,OpTbl,3,0),""))</f>
        <v/>
      </c>
      <c r="J1094">
        <f>IF(OR($G1094="",Sync!$Z1091=""),"",Sync!$Z1091)</f>
        <v/>
      </c>
      <c r="K1094">
        <f>IF(OR($G1094="",Sync!$AA1091=""),"",Sync!$AA1091)</f>
        <v/>
      </c>
      <c r="L1094">
        <f>IF($G1094="",0,IF(Sync!$AB1091="",0,Sync!$AB1091))</f>
        <v/>
      </c>
      <c r="M1094">
        <f>IF($G1094="",0,IF(Sync!$AC1091="",0,Sync!$AC1091))</f>
        <v/>
      </c>
      <c r="N1094">
        <f>IF($G1094="","",IF($H1094="مرجوعی خرید",-1,1)*($L1094-$M1094*IFERROR(VLOOKUP("P01",ParamTbl,3,0),1.5))*(1-IF($I1094="خرید",IFERROR(VLOOKUP("P02",ParamTbl,3,0),1),0)/100))</f>
        <v/>
      </c>
      <c r="O1094">
        <f>IF($G1094="",0,IF($H1094="مرجوعی خرید",-1,1)*IF(Sync!$AD1091="",0,Sync!$AD1091))</f>
        <v/>
      </c>
      <c r="P1094">
        <f>IF(OR($G1094="",Sync!$W1091=""),"",Sync!$W1091)</f>
        <v/>
      </c>
      <c r="Q1094">
        <f>IF(OR($G1094="",Sync!$AE1091=""),"",Sync!$AE1091)</f>
        <v/>
      </c>
      <c r="R1094">
        <f>IF($G1094="","",IF(Sync!$V1091="","0000",IF(AND(ISNUMBER(Sync!$V1091),Sync!$V1091&gt;=0,Sync!$V1091&lt;1),RIGHT("00"&amp;HOUR(Sync!$V1091),2)&amp;RIGHT("00"&amp;MINUTE(Sync!$V1091),2),IFERROR(RIGHT("00"&amp;VALUE(LEFT(Sync!$V1091,FIND(":",Sync!$V1091)-1)),2)&amp;RIGHT("00"&amp;VALUE(MID(Sync!$V1091,FIND(":",Sync!$V1091)+1,2)),2),"0000"))))</f>
        <v/>
      </c>
    </row>
    <row r="1095">
      <c r="A1095">
        <f>IF(Sync!$U1092="","",Sync!$U1092)</f>
        <v/>
      </c>
      <c r="B1095">
        <f>IF($A1095="","",IF(ISNUMBER($A1095),IF(AND($A1095&gt;=10000101,$A1095&lt;=99991231),INT($A1095/10000),""),IFERROR(VALUE(TRIM(LEFT($A1095,FIND("/",$A1095)-1))),"")))</f>
        <v/>
      </c>
      <c r="C1095">
        <f>IF(OR($A1095="",$B1095=""),"",IF(ISNUMBER($A1095),INT(MOD($A1095,10000)/100),IFERROR(VALUE(TRIM(LEFT(MID($A1095,FIND("/",$A1095)+1,20),FIND("/",MID($A1095,FIND("/",$A1095)+1,20))-1))),"")))</f>
        <v/>
      </c>
      <c r="D1095">
        <f>IF(OR($A1095="",$B1095=""),"",IF(ISNUMBER($A1095),MOD($A1095,100),IFERROR(VALUE(TRIM(MID(MID($A1095,FIND("/",$A1095)+1,20),FIND("/",MID($A1095,FIND("/",$A1095)+1,20))+1,20))),"")))</f>
        <v/>
      </c>
      <c r="E1095">
        <f>IF($A1095="","",IF(OR($B1095="",$C1095="",$D1095="",$B1095&lt;1300,$B1095&gt;1500,$C1095&lt;1,$C1095&gt;12,$D1095&lt;1,$D1095&gt;31),"نامعتبر",RIGHT("0000"&amp;$B1095,4)&amp;"/"&amp;RIGHT("00"&amp;$C1095,2)&amp;"/"&amp;RIGHT("00"&amp;$D1095,2)))</f>
        <v/>
      </c>
      <c r="F1095">
        <f>IF(OR($E1095="",$E1095="نامعتبر"),"",LEFT($E1095,4)&amp;"/"&amp;MID($E1095,6,2))</f>
        <v/>
      </c>
      <c r="G1095">
        <f>IF(OR($E1095="",$E1095="نامعتبر",Sync!$Y1092=""),"",Sync!$Y1092)</f>
        <v/>
      </c>
      <c r="H1095">
        <f>IF($G1095="","",IF(Sync!$X1092="","",Sync!$X1092))</f>
        <v/>
      </c>
      <c r="I1095">
        <f>IF($G1095="","",IFERROR(VLOOKUP(Sync!$X1092,OpTbl,3,0),""))</f>
        <v/>
      </c>
      <c r="J1095">
        <f>IF(OR($G1095="",Sync!$Z1092=""),"",Sync!$Z1092)</f>
        <v/>
      </c>
      <c r="K1095">
        <f>IF(OR($G1095="",Sync!$AA1092=""),"",Sync!$AA1092)</f>
        <v/>
      </c>
      <c r="L1095">
        <f>IF($G1095="",0,IF(Sync!$AB1092="",0,Sync!$AB1092))</f>
        <v/>
      </c>
      <c r="M1095">
        <f>IF($G1095="",0,IF(Sync!$AC1092="",0,Sync!$AC1092))</f>
        <v/>
      </c>
      <c r="N1095">
        <f>IF($G1095="","",IF($H1095="مرجوعی خرید",-1,1)*($L1095-$M1095*IFERROR(VLOOKUP("P01",ParamTbl,3,0),1.5))*(1-IF($I1095="خرید",IFERROR(VLOOKUP("P02",ParamTbl,3,0),1),0)/100))</f>
        <v/>
      </c>
      <c r="O1095">
        <f>IF($G1095="",0,IF($H1095="مرجوعی خرید",-1,1)*IF(Sync!$AD1092="",0,Sync!$AD1092))</f>
        <v/>
      </c>
      <c r="P1095">
        <f>IF(OR($G1095="",Sync!$W1092=""),"",Sync!$W1092)</f>
        <v/>
      </c>
      <c r="Q1095">
        <f>IF(OR($G1095="",Sync!$AE1092=""),"",Sync!$AE1092)</f>
        <v/>
      </c>
      <c r="R1095">
        <f>IF($G1095="","",IF(Sync!$V1092="","0000",IF(AND(ISNUMBER(Sync!$V1092),Sync!$V1092&gt;=0,Sync!$V1092&lt;1),RIGHT("00"&amp;HOUR(Sync!$V1092),2)&amp;RIGHT("00"&amp;MINUTE(Sync!$V1092),2),IFERROR(RIGHT("00"&amp;VALUE(LEFT(Sync!$V1092,FIND(":",Sync!$V1092)-1)),2)&amp;RIGHT("00"&amp;VALUE(MID(Sync!$V1092,FIND(":",Sync!$V1092)+1,2)),2),"0000"))))</f>
        <v/>
      </c>
    </row>
    <row r="1096">
      <c r="A1096">
        <f>IF(Sync!$U1093="","",Sync!$U1093)</f>
        <v/>
      </c>
      <c r="B1096">
        <f>IF($A1096="","",IF(ISNUMBER($A1096),IF(AND($A1096&gt;=10000101,$A1096&lt;=99991231),INT($A1096/10000),""),IFERROR(VALUE(TRIM(LEFT($A1096,FIND("/",$A1096)-1))),"")))</f>
        <v/>
      </c>
      <c r="C1096">
        <f>IF(OR($A1096="",$B1096=""),"",IF(ISNUMBER($A1096),INT(MOD($A1096,10000)/100),IFERROR(VALUE(TRIM(LEFT(MID($A1096,FIND("/",$A1096)+1,20),FIND("/",MID($A1096,FIND("/",$A1096)+1,20))-1))),"")))</f>
        <v/>
      </c>
      <c r="D1096">
        <f>IF(OR($A1096="",$B1096=""),"",IF(ISNUMBER($A1096),MOD($A1096,100),IFERROR(VALUE(TRIM(MID(MID($A1096,FIND("/",$A1096)+1,20),FIND("/",MID($A1096,FIND("/",$A1096)+1,20))+1,20))),"")))</f>
        <v/>
      </c>
      <c r="E1096">
        <f>IF($A1096="","",IF(OR($B1096="",$C1096="",$D1096="",$B1096&lt;1300,$B1096&gt;1500,$C1096&lt;1,$C1096&gt;12,$D1096&lt;1,$D1096&gt;31),"نامعتبر",RIGHT("0000"&amp;$B1096,4)&amp;"/"&amp;RIGHT("00"&amp;$C1096,2)&amp;"/"&amp;RIGHT("00"&amp;$D1096,2)))</f>
        <v/>
      </c>
      <c r="F1096">
        <f>IF(OR($E1096="",$E1096="نامعتبر"),"",LEFT($E1096,4)&amp;"/"&amp;MID($E1096,6,2))</f>
        <v/>
      </c>
      <c r="G1096">
        <f>IF(OR($E1096="",$E1096="نامعتبر",Sync!$Y1093=""),"",Sync!$Y1093)</f>
        <v/>
      </c>
      <c r="H1096">
        <f>IF($G1096="","",IF(Sync!$X1093="","",Sync!$X1093))</f>
        <v/>
      </c>
      <c r="I1096">
        <f>IF($G1096="","",IFERROR(VLOOKUP(Sync!$X1093,OpTbl,3,0),""))</f>
        <v/>
      </c>
      <c r="J1096">
        <f>IF(OR($G1096="",Sync!$Z1093=""),"",Sync!$Z1093)</f>
        <v/>
      </c>
      <c r="K1096">
        <f>IF(OR($G1096="",Sync!$AA1093=""),"",Sync!$AA1093)</f>
        <v/>
      </c>
      <c r="L1096">
        <f>IF($G1096="",0,IF(Sync!$AB1093="",0,Sync!$AB1093))</f>
        <v/>
      </c>
      <c r="M1096">
        <f>IF($G1096="",0,IF(Sync!$AC1093="",0,Sync!$AC1093))</f>
        <v/>
      </c>
      <c r="N1096">
        <f>IF($G1096="","",IF($H1096="مرجوعی خرید",-1,1)*($L1096-$M1096*IFERROR(VLOOKUP("P01",ParamTbl,3,0),1.5))*(1-IF($I1096="خرید",IFERROR(VLOOKUP("P02",ParamTbl,3,0),1),0)/100))</f>
        <v/>
      </c>
      <c r="O1096">
        <f>IF($G1096="",0,IF($H1096="مرجوعی خرید",-1,1)*IF(Sync!$AD1093="",0,Sync!$AD1093))</f>
        <v/>
      </c>
      <c r="P1096">
        <f>IF(OR($G1096="",Sync!$W1093=""),"",Sync!$W1093)</f>
        <v/>
      </c>
      <c r="Q1096">
        <f>IF(OR($G1096="",Sync!$AE1093=""),"",Sync!$AE1093)</f>
        <v/>
      </c>
      <c r="R1096">
        <f>IF($G1096="","",IF(Sync!$V1093="","0000",IF(AND(ISNUMBER(Sync!$V1093),Sync!$V1093&gt;=0,Sync!$V1093&lt;1),RIGHT("00"&amp;HOUR(Sync!$V1093),2)&amp;RIGHT("00"&amp;MINUTE(Sync!$V1093),2),IFERROR(RIGHT("00"&amp;VALUE(LEFT(Sync!$V1093,FIND(":",Sync!$V1093)-1)),2)&amp;RIGHT("00"&amp;VALUE(MID(Sync!$V1093,FIND(":",Sync!$V1093)+1,2)),2),"0000"))))</f>
        <v/>
      </c>
    </row>
    <row r="1097">
      <c r="A1097">
        <f>IF(Sync!$U1094="","",Sync!$U1094)</f>
        <v/>
      </c>
      <c r="B1097">
        <f>IF($A1097="","",IF(ISNUMBER($A1097),IF(AND($A1097&gt;=10000101,$A1097&lt;=99991231),INT($A1097/10000),""),IFERROR(VALUE(TRIM(LEFT($A1097,FIND("/",$A1097)-1))),"")))</f>
        <v/>
      </c>
      <c r="C1097">
        <f>IF(OR($A1097="",$B1097=""),"",IF(ISNUMBER($A1097),INT(MOD($A1097,10000)/100),IFERROR(VALUE(TRIM(LEFT(MID($A1097,FIND("/",$A1097)+1,20),FIND("/",MID($A1097,FIND("/",$A1097)+1,20))-1))),"")))</f>
        <v/>
      </c>
      <c r="D1097">
        <f>IF(OR($A1097="",$B1097=""),"",IF(ISNUMBER($A1097),MOD($A1097,100),IFERROR(VALUE(TRIM(MID(MID($A1097,FIND("/",$A1097)+1,20),FIND("/",MID($A1097,FIND("/",$A1097)+1,20))+1,20))),"")))</f>
        <v/>
      </c>
      <c r="E1097">
        <f>IF($A1097="","",IF(OR($B1097="",$C1097="",$D1097="",$B1097&lt;1300,$B1097&gt;1500,$C1097&lt;1,$C1097&gt;12,$D1097&lt;1,$D1097&gt;31),"نامعتبر",RIGHT("0000"&amp;$B1097,4)&amp;"/"&amp;RIGHT("00"&amp;$C1097,2)&amp;"/"&amp;RIGHT("00"&amp;$D1097,2)))</f>
        <v/>
      </c>
      <c r="F1097">
        <f>IF(OR($E1097="",$E1097="نامعتبر"),"",LEFT($E1097,4)&amp;"/"&amp;MID($E1097,6,2))</f>
        <v/>
      </c>
      <c r="G1097">
        <f>IF(OR($E1097="",$E1097="نامعتبر",Sync!$Y1094=""),"",Sync!$Y1094)</f>
        <v/>
      </c>
      <c r="H1097">
        <f>IF($G1097="","",IF(Sync!$X1094="","",Sync!$X1094))</f>
        <v/>
      </c>
      <c r="I1097">
        <f>IF($G1097="","",IFERROR(VLOOKUP(Sync!$X1094,OpTbl,3,0),""))</f>
        <v/>
      </c>
      <c r="J1097">
        <f>IF(OR($G1097="",Sync!$Z1094=""),"",Sync!$Z1094)</f>
        <v/>
      </c>
      <c r="K1097">
        <f>IF(OR($G1097="",Sync!$AA1094=""),"",Sync!$AA1094)</f>
        <v/>
      </c>
      <c r="L1097">
        <f>IF($G1097="",0,IF(Sync!$AB1094="",0,Sync!$AB1094))</f>
        <v/>
      </c>
      <c r="M1097">
        <f>IF($G1097="",0,IF(Sync!$AC1094="",0,Sync!$AC1094))</f>
        <v/>
      </c>
      <c r="N1097">
        <f>IF($G1097="","",IF($H1097="مرجوعی خرید",-1,1)*($L1097-$M1097*IFERROR(VLOOKUP("P01",ParamTbl,3,0),1.5))*(1-IF($I1097="خرید",IFERROR(VLOOKUP("P02",ParamTbl,3,0),1),0)/100))</f>
        <v/>
      </c>
      <c r="O1097">
        <f>IF($G1097="",0,IF($H1097="مرجوعی خرید",-1,1)*IF(Sync!$AD1094="",0,Sync!$AD1094))</f>
        <v/>
      </c>
      <c r="P1097">
        <f>IF(OR($G1097="",Sync!$W1094=""),"",Sync!$W1094)</f>
        <v/>
      </c>
      <c r="Q1097">
        <f>IF(OR($G1097="",Sync!$AE1094=""),"",Sync!$AE1094)</f>
        <v/>
      </c>
      <c r="R1097">
        <f>IF($G1097="","",IF(Sync!$V1094="","0000",IF(AND(ISNUMBER(Sync!$V1094),Sync!$V1094&gt;=0,Sync!$V1094&lt;1),RIGHT("00"&amp;HOUR(Sync!$V1094),2)&amp;RIGHT("00"&amp;MINUTE(Sync!$V1094),2),IFERROR(RIGHT("00"&amp;VALUE(LEFT(Sync!$V1094,FIND(":",Sync!$V1094)-1)),2)&amp;RIGHT("00"&amp;VALUE(MID(Sync!$V1094,FIND(":",Sync!$V1094)+1,2)),2),"0000"))))</f>
        <v/>
      </c>
    </row>
    <row r="1098">
      <c r="A1098">
        <f>IF(Sync!$U1095="","",Sync!$U1095)</f>
        <v/>
      </c>
      <c r="B1098">
        <f>IF($A1098="","",IF(ISNUMBER($A1098),IF(AND($A1098&gt;=10000101,$A1098&lt;=99991231),INT($A1098/10000),""),IFERROR(VALUE(TRIM(LEFT($A1098,FIND("/",$A1098)-1))),"")))</f>
        <v/>
      </c>
      <c r="C1098">
        <f>IF(OR($A1098="",$B1098=""),"",IF(ISNUMBER($A1098),INT(MOD($A1098,10000)/100),IFERROR(VALUE(TRIM(LEFT(MID($A1098,FIND("/",$A1098)+1,20),FIND("/",MID($A1098,FIND("/",$A1098)+1,20))-1))),"")))</f>
        <v/>
      </c>
      <c r="D1098">
        <f>IF(OR($A1098="",$B1098=""),"",IF(ISNUMBER($A1098),MOD($A1098,100),IFERROR(VALUE(TRIM(MID(MID($A1098,FIND("/",$A1098)+1,20),FIND("/",MID($A1098,FIND("/",$A1098)+1,20))+1,20))),"")))</f>
        <v/>
      </c>
      <c r="E1098">
        <f>IF($A1098="","",IF(OR($B1098="",$C1098="",$D1098="",$B1098&lt;1300,$B1098&gt;1500,$C1098&lt;1,$C1098&gt;12,$D1098&lt;1,$D1098&gt;31),"نامعتبر",RIGHT("0000"&amp;$B1098,4)&amp;"/"&amp;RIGHT("00"&amp;$C1098,2)&amp;"/"&amp;RIGHT("00"&amp;$D1098,2)))</f>
        <v/>
      </c>
      <c r="F1098">
        <f>IF(OR($E1098="",$E1098="نامعتبر"),"",LEFT($E1098,4)&amp;"/"&amp;MID($E1098,6,2))</f>
        <v/>
      </c>
      <c r="G1098">
        <f>IF(OR($E1098="",$E1098="نامعتبر",Sync!$Y1095=""),"",Sync!$Y1095)</f>
        <v/>
      </c>
      <c r="H1098">
        <f>IF($G1098="","",IF(Sync!$X1095="","",Sync!$X1095))</f>
        <v/>
      </c>
      <c r="I1098">
        <f>IF($G1098="","",IFERROR(VLOOKUP(Sync!$X1095,OpTbl,3,0),""))</f>
        <v/>
      </c>
      <c r="J1098">
        <f>IF(OR($G1098="",Sync!$Z1095=""),"",Sync!$Z1095)</f>
        <v/>
      </c>
      <c r="K1098">
        <f>IF(OR($G1098="",Sync!$AA1095=""),"",Sync!$AA1095)</f>
        <v/>
      </c>
      <c r="L1098">
        <f>IF($G1098="",0,IF(Sync!$AB1095="",0,Sync!$AB1095))</f>
        <v/>
      </c>
      <c r="M1098">
        <f>IF($G1098="",0,IF(Sync!$AC1095="",0,Sync!$AC1095))</f>
        <v/>
      </c>
      <c r="N1098">
        <f>IF($G1098="","",IF($H1098="مرجوعی خرید",-1,1)*($L1098-$M1098*IFERROR(VLOOKUP("P01",ParamTbl,3,0),1.5))*(1-IF($I1098="خرید",IFERROR(VLOOKUP("P02",ParamTbl,3,0),1),0)/100))</f>
        <v/>
      </c>
      <c r="O1098">
        <f>IF($G1098="",0,IF($H1098="مرجوعی خرید",-1,1)*IF(Sync!$AD1095="",0,Sync!$AD1095))</f>
        <v/>
      </c>
      <c r="P1098">
        <f>IF(OR($G1098="",Sync!$W1095=""),"",Sync!$W1095)</f>
        <v/>
      </c>
      <c r="Q1098">
        <f>IF(OR($G1098="",Sync!$AE1095=""),"",Sync!$AE1095)</f>
        <v/>
      </c>
      <c r="R1098">
        <f>IF($G1098="","",IF(Sync!$V1095="","0000",IF(AND(ISNUMBER(Sync!$V1095),Sync!$V1095&gt;=0,Sync!$V1095&lt;1),RIGHT("00"&amp;HOUR(Sync!$V1095),2)&amp;RIGHT("00"&amp;MINUTE(Sync!$V1095),2),IFERROR(RIGHT("00"&amp;VALUE(LEFT(Sync!$V1095,FIND(":",Sync!$V1095)-1)),2)&amp;RIGHT("00"&amp;VALUE(MID(Sync!$V1095,FIND(":",Sync!$V1095)+1,2)),2),"0000"))))</f>
        <v/>
      </c>
    </row>
    <row r="1099">
      <c r="A1099">
        <f>IF(Sync!$U1096="","",Sync!$U1096)</f>
        <v/>
      </c>
      <c r="B1099">
        <f>IF($A1099="","",IF(ISNUMBER($A1099),IF(AND($A1099&gt;=10000101,$A1099&lt;=99991231),INT($A1099/10000),""),IFERROR(VALUE(TRIM(LEFT($A1099,FIND("/",$A1099)-1))),"")))</f>
        <v/>
      </c>
      <c r="C1099">
        <f>IF(OR($A1099="",$B1099=""),"",IF(ISNUMBER($A1099),INT(MOD($A1099,10000)/100),IFERROR(VALUE(TRIM(LEFT(MID($A1099,FIND("/",$A1099)+1,20),FIND("/",MID($A1099,FIND("/",$A1099)+1,20))-1))),"")))</f>
        <v/>
      </c>
      <c r="D1099">
        <f>IF(OR($A1099="",$B1099=""),"",IF(ISNUMBER($A1099),MOD($A1099,100),IFERROR(VALUE(TRIM(MID(MID($A1099,FIND("/",$A1099)+1,20),FIND("/",MID($A1099,FIND("/",$A1099)+1,20))+1,20))),"")))</f>
        <v/>
      </c>
      <c r="E1099">
        <f>IF($A1099="","",IF(OR($B1099="",$C1099="",$D1099="",$B1099&lt;1300,$B1099&gt;1500,$C1099&lt;1,$C1099&gt;12,$D1099&lt;1,$D1099&gt;31),"نامعتبر",RIGHT("0000"&amp;$B1099,4)&amp;"/"&amp;RIGHT("00"&amp;$C1099,2)&amp;"/"&amp;RIGHT("00"&amp;$D1099,2)))</f>
        <v/>
      </c>
      <c r="F1099">
        <f>IF(OR($E1099="",$E1099="نامعتبر"),"",LEFT($E1099,4)&amp;"/"&amp;MID($E1099,6,2))</f>
        <v/>
      </c>
      <c r="G1099">
        <f>IF(OR($E1099="",$E1099="نامعتبر",Sync!$Y1096=""),"",Sync!$Y1096)</f>
        <v/>
      </c>
      <c r="H1099">
        <f>IF($G1099="","",IF(Sync!$X1096="","",Sync!$X1096))</f>
        <v/>
      </c>
      <c r="I1099">
        <f>IF($G1099="","",IFERROR(VLOOKUP(Sync!$X1096,OpTbl,3,0),""))</f>
        <v/>
      </c>
      <c r="J1099">
        <f>IF(OR($G1099="",Sync!$Z1096=""),"",Sync!$Z1096)</f>
        <v/>
      </c>
      <c r="K1099">
        <f>IF(OR($G1099="",Sync!$AA1096=""),"",Sync!$AA1096)</f>
        <v/>
      </c>
      <c r="L1099">
        <f>IF($G1099="",0,IF(Sync!$AB1096="",0,Sync!$AB1096))</f>
        <v/>
      </c>
      <c r="M1099">
        <f>IF($G1099="",0,IF(Sync!$AC1096="",0,Sync!$AC1096))</f>
        <v/>
      </c>
      <c r="N1099">
        <f>IF($G1099="","",IF($H1099="مرجوعی خرید",-1,1)*($L1099-$M1099*IFERROR(VLOOKUP("P01",ParamTbl,3,0),1.5))*(1-IF($I1099="خرید",IFERROR(VLOOKUP("P02",ParamTbl,3,0),1),0)/100))</f>
        <v/>
      </c>
      <c r="O1099">
        <f>IF($G1099="",0,IF($H1099="مرجوعی خرید",-1,1)*IF(Sync!$AD1096="",0,Sync!$AD1096))</f>
        <v/>
      </c>
      <c r="P1099">
        <f>IF(OR($G1099="",Sync!$W1096=""),"",Sync!$W1096)</f>
        <v/>
      </c>
      <c r="Q1099">
        <f>IF(OR($G1099="",Sync!$AE1096=""),"",Sync!$AE1096)</f>
        <v/>
      </c>
      <c r="R1099">
        <f>IF($G1099="","",IF(Sync!$V1096="","0000",IF(AND(ISNUMBER(Sync!$V1096),Sync!$V1096&gt;=0,Sync!$V1096&lt;1),RIGHT("00"&amp;HOUR(Sync!$V1096),2)&amp;RIGHT("00"&amp;MINUTE(Sync!$V1096),2),IFERROR(RIGHT("00"&amp;VALUE(LEFT(Sync!$V1096,FIND(":",Sync!$V1096)-1)),2)&amp;RIGHT("00"&amp;VALUE(MID(Sync!$V1096,FIND(":",Sync!$V1096)+1,2)),2),"0000"))))</f>
        <v/>
      </c>
    </row>
    <row r="1100">
      <c r="A1100">
        <f>IF(Sync!$U1097="","",Sync!$U1097)</f>
        <v/>
      </c>
      <c r="B1100">
        <f>IF($A1100="","",IF(ISNUMBER($A1100),IF(AND($A1100&gt;=10000101,$A1100&lt;=99991231),INT($A1100/10000),""),IFERROR(VALUE(TRIM(LEFT($A1100,FIND("/",$A1100)-1))),"")))</f>
        <v/>
      </c>
      <c r="C1100">
        <f>IF(OR($A1100="",$B1100=""),"",IF(ISNUMBER($A1100),INT(MOD($A1100,10000)/100),IFERROR(VALUE(TRIM(LEFT(MID($A1100,FIND("/",$A1100)+1,20),FIND("/",MID($A1100,FIND("/",$A1100)+1,20))-1))),"")))</f>
        <v/>
      </c>
      <c r="D1100">
        <f>IF(OR($A1100="",$B1100=""),"",IF(ISNUMBER($A1100),MOD($A1100,100),IFERROR(VALUE(TRIM(MID(MID($A1100,FIND("/",$A1100)+1,20),FIND("/",MID($A1100,FIND("/",$A1100)+1,20))+1,20))),"")))</f>
        <v/>
      </c>
      <c r="E1100">
        <f>IF($A1100="","",IF(OR($B1100="",$C1100="",$D1100="",$B1100&lt;1300,$B1100&gt;1500,$C1100&lt;1,$C1100&gt;12,$D1100&lt;1,$D1100&gt;31),"نامعتبر",RIGHT("0000"&amp;$B1100,4)&amp;"/"&amp;RIGHT("00"&amp;$C1100,2)&amp;"/"&amp;RIGHT("00"&amp;$D1100,2)))</f>
        <v/>
      </c>
      <c r="F1100">
        <f>IF(OR($E1100="",$E1100="نامعتبر"),"",LEFT($E1100,4)&amp;"/"&amp;MID($E1100,6,2))</f>
        <v/>
      </c>
      <c r="G1100">
        <f>IF(OR($E1100="",$E1100="نامعتبر",Sync!$Y1097=""),"",Sync!$Y1097)</f>
        <v/>
      </c>
      <c r="H1100">
        <f>IF($G1100="","",IF(Sync!$X1097="","",Sync!$X1097))</f>
        <v/>
      </c>
      <c r="I1100">
        <f>IF($G1100="","",IFERROR(VLOOKUP(Sync!$X1097,OpTbl,3,0),""))</f>
        <v/>
      </c>
      <c r="J1100">
        <f>IF(OR($G1100="",Sync!$Z1097=""),"",Sync!$Z1097)</f>
        <v/>
      </c>
      <c r="K1100">
        <f>IF(OR($G1100="",Sync!$AA1097=""),"",Sync!$AA1097)</f>
        <v/>
      </c>
      <c r="L1100">
        <f>IF($G1100="",0,IF(Sync!$AB1097="",0,Sync!$AB1097))</f>
        <v/>
      </c>
      <c r="M1100">
        <f>IF($G1100="",0,IF(Sync!$AC1097="",0,Sync!$AC1097))</f>
        <v/>
      </c>
      <c r="N1100">
        <f>IF($G1100="","",IF($H1100="مرجوعی خرید",-1,1)*($L1100-$M1100*IFERROR(VLOOKUP("P01",ParamTbl,3,0),1.5))*(1-IF($I1100="خرید",IFERROR(VLOOKUP("P02",ParamTbl,3,0),1),0)/100))</f>
        <v/>
      </c>
      <c r="O1100">
        <f>IF($G1100="",0,IF($H1100="مرجوعی خرید",-1,1)*IF(Sync!$AD1097="",0,Sync!$AD1097))</f>
        <v/>
      </c>
      <c r="P1100">
        <f>IF(OR($G1100="",Sync!$W1097=""),"",Sync!$W1097)</f>
        <v/>
      </c>
      <c r="Q1100">
        <f>IF(OR($G1100="",Sync!$AE1097=""),"",Sync!$AE1097)</f>
        <v/>
      </c>
      <c r="R1100">
        <f>IF($G1100="","",IF(Sync!$V1097="","0000",IF(AND(ISNUMBER(Sync!$V1097),Sync!$V1097&gt;=0,Sync!$V1097&lt;1),RIGHT("00"&amp;HOUR(Sync!$V1097),2)&amp;RIGHT("00"&amp;MINUTE(Sync!$V1097),2),IFERROR(RIGHT("00"&amp;VALUE(LEFT(Sync!$V1097,FIND(":",Sync!$V1097)-1)),2)&amp;RIGHT("00"&amp;VALUE(MID(Sync!$V1097,FIND(":",Sync!$V1097)+1,2)),2),"0000"))))</f>
        <v/>
      </c>
    </row>
    <row r="1101">
      <c r="A1101">
        <f>IF(Sync!$U1098="","",Sync!$U1098)</f>
        <v/>
      </c>
      <c r="B1101">
        <f>IF($A1101="","",IF(ISNUMBER($A1101),IF(AND($A1101&gt;=10000101,$A1101&lt;=99991231),INT($A1101/10000),""),IFERROR(VALUE(TRIM(LEFT($A1101,FIND("/",$A1101)-1))),"")))</f>
        <v/>
      </c>
      <c r="C1101">
        <f>IF(OR($A1101="",$B1101=""),"",IF(ISNUMBER($A1101),INT(MOD($A1101,10000)/100),IFERROR(VALUE(TRIM(LEFT(MID($A1101,FIND("/",$A1101)+1,20),FIND("/",MID($A1101,FIND("/",$A1101)+1,20))-1))),"")))</f>
        <v/>
      </c>
      <c r="D1101">
        <f>IF(OR($A1101="",$B1101=""),"",IF(ISNUMBER($A1101),MOD($A1101,100),IFERROR(VALUE(TRIM(MID(MID($A1101,FIND("/",$A1101)+1,20),FIND("/",MID($A1101,FIND("/",$A1101)+1,20))+1,20))),"")))</f>
        <v/>
      </c>
      <c r="E1101">
        <f>IF($A1101="","",IF(OR($B1101="",$C1101="",$D1101="",$B1101&lt;1300,$B1101&gt;1500,$C1101&lt;1,$C1101&gt;12,$D1101&lt;1,$D1101&gt;31),"نامعتبر",RIGHT("0000"&amp;$B1101,4)&amp;"/"&amp;RIGHT("00"&amp;$C1101,2)&amp;"/"&amp;RIGHT("00"&amp;$D1101,2)))</f>
        <v/>
      </c>
      <c r="F1101">
        <f>IF(OR($E1101="",$E1101="نامعتبر"),"",LEFT($E1101,4)&amp;"/"&amp;MID($E1101,6,2))</f>
        <v/>
      </c>
      <c r="G1101">
        <f>IF(OR($E1101="",$E1101="نامعتبر",Sync!$Y1098=""),"",Sync!$Y1098)</f>
        <v/>
      </c>
      <c r="H1101">
        <f>IF($G1101="","",IF(Sync!$X1098="","",Sync!$X1098))</f>
        <v/>
      </c>
      <c r="I1101">
        <f>IF($G1101="","",IFERROR(VLOOKUP(Sync!$X1098,OpTbl,3,0),""))</f>
        <v/>
      </c>
      <c r="J1101">
        <f>IF(OR($G1101="",Sync!$Z1098=""),"",Sync!$Z1098)</f>
        <v/>
      </c>
      <c r="K1101">
        <f>IF(OR($G1101="",Sync!$AA1098=""),"",Sync!$AA1098)</f>
        <v/>
      </c>
      <c r="L1101">
        <f>IF($G1101="",0,IF(Sync!$AB1098="",0,Sync!$AB1098))</f>
        <v/>
      </c>
      <c r="M1101">
        <f>IF($G1101="",0,IF(Sync!$AC1098="",0,Sync!$AC1098))</f>
        <v/>
      </c>
      <c r="N1101">
        <f>IF($G1101="","",IF($H1101="مرجوعی خرید",-1,1)*($L1101-$M1101*IFERROR(VLOOKUP("P01",ParamTbl,3,0),1.5))*(1-IF($I1101="خرید",IFERROR(VLOOKUP("P02",ParamTbl,3,0),1),0)/100))</f>
        <v/>
      </c>
      <c r="O1101">
        <f>IF($G1101="",0,IF($H1101="مرجوعی خرید",-1,1)*IF(Sync!$AD1098="",0,Sync!$AD1098))</f>
        <v/>
      </c>
      <c r="P1101">
        <f>IF(OR($G1101="",Sync!$W1098=""),"",Sync!$W1098)</f>
        <v/>
      </c>
      <c r="Q1101">
        <f>IF(OR($G1101="",Sync!$AE1098=""),"",Sync!$AE1098)</f>
        <v/>
      </c>
      <c r="R1101">
        <f>IF($G1101="","",IF(Sync!$V1098="","0000",IF(AND(ISNUMBER(Sync!$V1098),Sync!$V1098&gt;=0,Sync!$V1098&lt;1),RIGHT("00"&amp;HOUR(Sync!$V1098),2)&amp;RIGHT("00"&amp;MINUTE(Sync!$V1098),2),IFERROR(RIGHT("00"&amp;VALUE(LEFT(Sync!$V1098,FIND(":",Sync!$V1098)-1)),2)&amp;RIGHT("00"&amp;VALUE(MID(Sync!$V1098,FIND(":",Sync!$V1098)+1,2)),2),"0000"))))</f>
        <v/>
      </c>
    </row>
    <row r="1102">
      <c r="A1102">
        <f>IF(Sync!$U1099="","",Sync!$U1099)</f>
        <v/>
      </c>
      <c r="B1102">
        <f>IF($A1102="","",IF(ISNUMBER($A1102),IF(AND($A1102&gt;=10000101,$A1102&lt;=99991231),INT($A1102/10000),""),IFERROR(VALUE(TRIM(LEFT($A1102,FIND("/",$A1102)-1))),"")))</f>
        <v/>
      </c>
      <c r="C1102">
        <f>IF(OR($A1102="",$B1102=""),"",IF(ISNUMBER($A1102),INT(MOD($A1102,10000)/100),IFERROR(VALUE(TRIM(LEFT(MID($A1102,FIND("/",$A1102)+1,20),FIND("/",MID($A1102,FIND("/",$A1102)+1,20))-1))),"")))</f>
        <v/>
      </c>
      <c r="D1102">
        <f>IF(OR($A1102="",$B1102=""),"",IF(ISNUMBER($A1102),MOD($A1102,100),IFERROR(VALUE(TRIM(MID(MID($A1102,FIND("/",$A1102)+1,20),FIND("/",MID($A1102,FIND("/",$A1102)+1,20))+1,20))),"")))</f>
        <v/>
      </c>
      <c r="E1102">
        <f>IF($A1102="","",IF(OR($B1102="",$C1102="",$D1102="",$B1102&lt;1300,$B1102&gt;1500,$C1102&lt;1,$C1102&gt;12,$D1102&lt;1,$D1102&gt;31),"نامعتبر",RIGHT("0000"&amp;$B1102,4)&amp;"/"&amp;RIGHT("00"&amp;$C1102,2)&amp;"/"&amp;RIGHT("00"&amp;$D1102,2)))</f>
        <v/>
      </c>
      <c r="F1102">
        <f>IF(OR($E1102="",$E1102="نامعتبر"),"",LEFT($E1102,4)&amp;"/"&amp;MID($E1102,6,2))</f>
        <v/>
      </c>
      <c r="G1102">
        <f>IF(OR($E1102="",$E1102="نامعتبر",Sync!$Y1099=""),"",Sync!$Y1099)</f>
        <v/>
      </c>
      <c r="H1102">
        <f>IF($G1102="","",IF(Sync!$X1099="","",Sync!$X1099))</f>
        <v/>
      </c>
      <c r="I1102">
        <f>IF($G1102="","",IFERROR(VLOOKUP(Sync!$X1099,OpTbl,3,0),""))</f>
        <v/>
      </c>
      <c r="J1102">
        <f>IF(OR($G1102="",Sync!$Z1099=""),"",Sync!$Z1099)</f>
        <v/>
      </c>
      <c r="K1102">
        <f>IF(OR($G1102="",Sync!$AA1099=""),"",Sync!$AA1099)</f>
        <v/>
      </c>
      <c r="L1102">
        <f>IF($G1102="",0,IF(Sync!$AB1099="",0,Sync!$AB1099))</f>
        <v/>
      </c>
      <c r="M1102">
        <f>IF($G1102="",0,IF(Sync!$AC1099="",0,Sync!$AC1099))</f>
        <v/>
      </c>
      <c r="N1102">
        <f>IF($G1102="","",IF($H1102="مرجوعی خرید",-1,1)*($L1102-$M1102*IFERROR(VLOOKUP("P01",ParamTbl,3,0),1.5))*(1-IF($I1102="خرید",IFERROR(VLOOKUP("P02",ParamTbl,3,0),1),0)/100))</f>
        <v/>
      </c>
      <c r="O1102">
        <f>IF($G1102="",0,IF($H1102="مرجوعی خرید",-1,1)*IF(Sync!$AD1099="",0,Sync!$AD1099))</f>
        <v/>
      </c>
      <c r="P1102">
        <f>IF(OR($G1102="",Sync!$W1099=""),"",Sync!$W1099)</f>
        <v/>
      </c>
      <c r="Q1102">
        <f>IF(OR($G1102="",Sync!$AE1099=""),"",Sync!$AE1099)</f>
        <v/>
      </c>
      <c r="R1102">
        <f>IF($G1102="","",IF(Sync!$V1099="","0000",IF(AND(ISNUMBER(Sync!$V1099),Sync!$V1099&gt;=0,Sync!$V1099&lt;1),RIGHT("00"&amp;HOUR(Sync!$V1099),2)&amp;RIGHT("00"&amp;MINUTE(Sync!$V1099),2),IFERROR(RIGHT("00"&amp;VALUE(LEFT(Sync!$V1099,FIND(":",Sync!$V1099)-1)),2)&amp;RIGHT("00"&amp;VALUE(MID(Sync!$V1099,FIND(":",Sync!$V1099)+1,2)),2),"0000"))))</f>
        <v/>
      </c>
    </row>
    <row r="1103">
      <c r="A1103">
        <f>IF(Sync!$U1100="","",Sync!$U1100)</f>
        <v/>
      </c>
      <c r="B1103">
        <f>IF($A1103="","",IF(ISNUMBER($A1103),IF(AND($A1103&gt;=10000101,$A1103&lt;=99991231),INT($A1103/10000),""),IFERROR(VALUE(TRIM(LEFT($A1103,FIND("/",$A1103)-1))),"")))</f>
        <v/>
      </c>
      <c r="C1103">
        <f>IF(OR($A1103="",$B1103=""),"",IF(ISNUMBER($A1103),INT(MOD($A1103,10000)/100),IFERROR(VALUE(TRIM(LEFT(MID($A1103,FIND("/",$A1103)+1,20),FIND("/",MID($A1103,FIND("/",$A1103)+1,20))-1))),"")))</f>
        <v/>
      </c>
      <c r="D1103">
        <f>IF(OR($A1103="",$B1103=""),"",IF(ISNUMBER($A1103),MOD($A1103,100),IFERROR(VALUE(TRIM(MID(MID($A1103,FIND("/",$A1103)+1,20),FIND("/",MID($A1103,FIND("/",$A1103)+1,20))+1,20))),"")))</f>
        <v/>
      </c>
      <c r="E1103">
        <f>IF($A1103="","",IF(OR($B1103="",$C1103="",$D1103="",$B1103&lt;1300,$B1103&gt;1500,$C1103&lt;1,$C1103&gt;12,$D1103&lt;1,$D1103&gt;31),"نامعتبر",RIGHT("0000"&amp;$B1103,4)&amp;"/"&amp;RIGHT("00"&amp;$C1103,2)&amp;"/"&amp;RIGHT("00"&amp;$D1103,2)))</f>
        <v/>
      </c>
      <c r="F1103">
        <f>IF(OR($E1103="",$E1103="نامعتبر"),"",LEFT($E1103,4)&amp;"/"&amp;MID($E1103,6,2))</f>
        <v/>
      </c>
      <c r="G1103">
        <f>IF(OR($E1103="",$E1103="نامعتبر",Sync!$Y1100=""),"",Sync!$Y1100)</f>
        <v/>
      </c>
      <c r="H1103">
        <f>IF($G1103="","",IF(Sync!$X1100="","",Sync!$X1100))</f>
        <v/>
      </c>
      <c r="I1103">
        <f>IF($G1103="","",IFERROR(VLOOKUP(Sync!$X1100,OpTbl,3,0),""))</f>
        <v/>
      </c>
      <c r="J1103">
        <f>IF(OR($G1103="",Sync!$Z1100=""),"",Sync!$Z1100)</f>
        <v/>
      </c>
      <c r="K1103">
        <f>IF(OR($G1103="",Sync!$AA1100=""),"",Sync!$AA1100)</f>
        <v/>
      </c>
      <c r="L1103">
        <f>IF($G1103="",0,IF(Sync!$AB1100="",0,Sync!$AB1100))</f>
        <v/>
      </c>
      <c r="M1103">
        <f>IF($G1103="",0,IF(Sync!$AC1100="",0,Sync!$AC1100))</f>
        <v/>
      </c>
      <c r="N1103">
        <f>IF($G1103="","",IF($H1103="مرجوعی خرید",-1,1)*($L1103-$M1103*IFERROR(VLOOKUP("P01",ParamTbl,3,0),1.5))*(1-IF($I1103="خرید",IFERROR(VLOOKUP("P02",ParamTbl,3,0),1),0)/100))</f>
        <v/>
      </c>
      <c r="O1103">
        <f>IF($G1103="",0,IF($H1103="مرجوعی خرید",-1,1)*IF(Sync!$AD1100="",0,Sync!$AD1100))</f>
        <v/>
      </c>
      <c r="P1103">
        <f>IF(OR($G1103="",Sync!$W1100=""),"",Sync!$W1100)</f>
        <v/>
      </c>
      <c r="Q1103">
        <f>IF(OR($G1103="",Sync!$AE1100=""),"",Sync!$AE1100)</f>
        <v/>
      </c>
      <c r="R1103">
        <f>IF($G1103="","",IF(Sync!$V1100="","0000",IF(AND(ISNUMBER(Sync!$V1100),Sync!$V1100&gt;=0,Sync!$V1100&lt;1),RIGHT("00"&amp;HOUR(Sync!$V1100),2)&amp;RIGHT("00"&amp;MINUTE(Sync!$V1100),2),IFERROR(RIGHT("00"&amp;VALUE(LEFT(Sync!$V1100,FIND(":",Sync!$V1100)-1)),2)&amp;RIGHT("00"&amp;VALUE(MID(Sync!$V1100,FIND(":",Sync!$V1100)+1,2)),2),"0000"))))</f>
        <v/>
      </c>
    </row>
    <row r="1104">
      <c r="A1104">
        <f>IF(Sync!$U1101="","",Sync!$U1101)</f>
        <v/>
      </c>
      <c r="B1104">
        <f>IF($A1104="","",IF(ISNUMBER($A1104),IF(AND($A1104&gt;=10000101,$A1104&lt;=99991231),INT($A1104/10000),""),IFERROR(VALUE(TRIM(LEFT($A1104,FIND("/",$A1104)-1))),"")))</f>
        <v/>
      </c>
      <c r="C1104">
        <f>IF(OR($A1104="",$B1104=""),"",IF(ISNUMBER($A1104),INT(MOD($A1104,10000)/100),IFERROR(VALUE(TRIM(LEFT(MID($A1104,FIND("/",$A1104)+1,20),FIND("/",MID($A1104,FIND("/",$A1104)+1,20))-1))),"")))</f>
        <v/>
      </c>
      <c r="D1104">
        <f>IF(OR($A1104="",$B1104=""),"",IF(ISNUMBER($A1104),MOD($A1104,100),IFERROR(VALUE(TRIM(MID(MID($A1104,FIND("/",$A1104)+1,20),FIND("/",MID($A1104,FIND("/",$A1104)+1,20))+1,20))),"")))</f>
        <v/>
      </c>
      <c r="E1104">
        <f>IF($A1104="","",IF(OR($B1104="",$C1104="",$D1104="",$B1104&lt;1300,$B1104&gt;1500,$C1104&lt;1,$C1104&gt;12,$D1104&lt;1,$D1104&gt;31),"نامعتبر",RIGHT("0000"&amp;$B1104,4)&amp;"/"&amp;RIGHT("00"&amp;$C1104,2)&amp;"/"&amp;RIGHT("00"&amp;$D1104,2)))</f>
        <v/>
      </c>
      <c r="F1104">
        <f>IF(OR($E1104="",$E1104="نامعتبر"),"",LEFT($E1104,4)&amp;"/"&amp;MID($E1104,6,2))</f>
        <v/>
      </c>
      <c r="G1104">
        <f>IF(OR($E1104="",$E1104="نامعتبر",Sync!$Y1101=""),"",Sync!$Y1101)</f>
        <v/>
      </c>
      <c r="H1104">
        <f>IF($G1104="","",IF(Sync!$X1101="","",Sync!$X1101))</f>
        <v/>
      </c>
      <c r="I1104">
        <f>IF($G1104="","",IFERROR(VLOOKUP(Sync!$X1101,OpTbl,3,0),""))</f>
        <v/>
      </c>
      <c r="J1104">
        <f>IF(OR($G1104="",Sync!$Z1101=""),"",Sync!$Z1101)</f>
        <v/>
      </c>
      <c r="K1104">
        <f>IF(OR($G1104="",Sync!$AA1101=""),"",Sync!$AA1101)</f>
        <v/>
      </c>
      <c r="L1104">
        <f>IF($G1104="",0,IF(Sync!$AB1101="",0,Sync!$AB1101))</f>
        <v/>
      </c>
      <c r="M1104">
        <f>IF($G1104="",0,IF(Sync!$AC1101="",0,Sync!$AC1101))</f>
        <v/>
      </c>
      <c r="N1104">
        <f>IF($G1104="","",IF($H1104="مرجوعی خرید",-1,1)*($L1104-$M1104*IFERROR(VLOOKUP("P01",ParamTbl,3,0),1.5))*(1-IF($I1104="خرید",IFERROR(VLOOKUP("P02",ParamTbl,3,0),1),0)/100))</f>
        <v/>
      </c>
      <c r="O1104">
        <f>IF($G1104="",0,IF($H1104="مرجوعی خرید",-1,1)*IF(Sync!$AD1101="",0,Sync!$AD1101))</f>
        <v/>
      </c>
      <c r="P1104">
        <f>IF(OR($G1104="",Sync!$W1101=""),"",Sync!$W1101)</f>
        <v/>
      </c>
      <c r="Q1104">
        <f>IF(OR($G1104="",Sync!$AE1101=""),"",Sync!$AE1101)</f>
        <v/>
      </c>
      <c r="R1104">
        <f>IF($G1104="","",IF(Sync!$V1101="","0000",IF(AND(ISNUMBER(Sync!$V1101),Sync!$V1101&gt;=0,Sync!$V1101&lt;1),RIGHT("00"&amp;HOUR(Sync!$V1101),2)&amp;RIGHT("00"&amp;MINUTE(Sync!$V1101),2),IFERROR(RIGHT("00"&amp;VALUE(LEFT(Sync!$V1101,FIND(":",Sync!$V1101)-1)),2)&amp;RIGHT("00"&amp;VALUE(MID(Sync!$V1101,FIND(":",Sync!$V1101)+1,2)),2),"0000"))))</f>
        <v/>
      </c>
    </row>
    <row r="1105">
      <c r="A1105">
        <f>IF(Sync!$U1102="","",Sync!$U1102)</f>
        <v/>
      </c>
      <c r="B1105">
        <f>IF($A1105="","",IF(ISNUMBER($A1105),IF(AND($A1105&gt;=10000101,$A1105&lt;=99991231),INT($A1105/10000),""),IFERROR(VALUE(TRIM(LEFT($A1105,FIND("/",$A1105)-1))),"")))</f>
        <v/>
      </c>
      <c r="C1105">
        <f>IF(OR($A1105="",$B1105=""),"",IF(ISNUMBER($A1105),INT(MOD($A1105,10000)/100),IFERROR(VALUE(TRIM(LEFT(MID($A1105,FIND("/",$A1105)+1,20),FIND("/",MID($A1105,FIND("/",$A1105)+1,20))-1))),"")))</f>
        <v/>
      </c>
      <c r="D1105">
        <f>IF(OR($A1105="",$B1105=""),"",IF(ISNUMBER($A1105),MOD($A1105,100),IFERROR(VALUE(TRIM(MID(MID($A1105,FIND("/",$A1105)+1,20),FIND("/",MID($A1105,FIND("/",$A1105)+1,20))+1,20))),"")))</f>
        <v/>
      </c>
      <c r="E1105">
        <f>IF($A1105="","",IF(OR($B1105="",$C1105="",$D1105="",$B1105&lt;1300,$B1105&gt;1500,$C1105&lt;1,$C1105&gt;12,$D1105&lt;1,$D1105&gt;31),"نامعتبر",RIGHT("0000"&amp;$B1105,4)&amp;"/"&amp;RIGHT("00"&amp;$C1105,2)&amp;"/"&amp;RIGHT("00"&amp;$D1105,2)))</f>
        <v/>
      </c>
      <c r="F1105">
        <f>IF(OR($E1105="",$E1105="نامعتبر"),"",LEFT($E1105,4)&amp;"/"&amp;MID($E1105,6,2))</f>
        <v/>
      </c>
      <c r="G1105">
        <f>IF(OR($E1105="",$E1105="نامعتبر",Sync!$Y1102=""),"",Sync!$Y1102)</f>
        <v/>
      </c>
      <c r="H1105">
        <f>IF($G1105="","",IF(Sync!$X1102="","",Sync!$X1102))</f>
        <v/>
      </c>
      <c r="I1105">
        <f>IF($G1105="","",IFERROR(VLOOKUP(Sync!$X1102,OpTbl,3,0),""))</f>
        <v/>
      </c>
      <c r="J1105">
        <f>IF(OR($G1105="",Sync!$Z1102=""),"",Sync!$Z1102)</f>
        <v/>
      </c>
      <c r="K1105">
        <f>IF(OR($G1105="",Sync!$AA1102=""),"",Sync!$AA1102)</f>
        <v/>
      </c>
      <c r="L1105">
        <f>IF($G1105="",0,IF(Sync!$AB1102="",0,Sync!$AB1102))</f>
        <v/>
      </c>
      <c r="M1105">
        <f>IF($G1105="",0,IF(Sync!$AC1102="",0,Sync!$AC1102))</f>
        <v/>
      </c>
      <c r="N1105">
        <f>IF($G1105="","",IF($H1105="مرجوعی خرید",-1,1)*($L1105-$M1105*IFERROR(VLOOKUP("P01",ParamTbl,3,0),1.5))*(1-IF($I1105="خرید",IFERROR(VLOOKUP("P02",ParamTbl,3,0),1),0)/100))</f>
        <v/>
      </c>
      <c r="O1105">
        <f>IF($G1105="",0,IF($H1105="مرجوعی خرید",-1,1)*IF(Sync!$AD1102="",0,Sync!$AD1102))</f>
        <v/>
      </c>
      <c r="P1105">
        <f>IF(OR($G1105="",Sync!$W1102=""),"",Sync!$W1102)</f>
        <v/>
      </c>
      <c r="Q1105">
        <f>IF(OR($G1105="",Sync!$AE1102=""),"",Sync!$AE1102)</f>
        <v/>
      </c>
      <c r="R1105">
        <f>IF($G1105="","",IF(Sync!$V1102="","0000",IF(AND(ISNUMBER(Sync!$V1102),Sync!$V1102&gt;=0,Sync!$V1102&lt;1),RIGHT("00"&amp;HOUR(Sync!$V1102),2)&amp;RIGHT("00"&amp;MINUTE(Sync!$V1102),2),IFERROR(RIGHT("00"&amp;VALUE(LEFT(Sync!$V1102,FIND(":",Sync!$V1102)-1)),2)&amp;RIGHT("00"&amp;VALUE(MID(Sync!$V1102,FIND(":",Sync!$V1102)+1,2)),2),"0000"))))</f>
        <v/>
      </c>
    </row>
    <row r="1106">
      <c r="A1106">
        <f>IF(Sync!$U1103="","",Sync!$U1103)</f>
        <v/>
      </c>
      <c r="B1106">
        <f>IF($A1106="","",IF(ISNUMBER($A1106),IF(AND($A1106&gt;=10000101,$A1106&lt;=99991231),INT($A1106/10000),""),IFERROR(VALUE(TRIM(LEFT($A1106,FIND("/",$A1106)-1))),"")))</f>
        <v/>
      </c>
      <c r="C1106">
        <f>IF(OR($A1106="",$B1106=""),"",IF(ISNUMBER($A1106),INT(MOD($A1106,10000)/100),IFERROR(VALUE(TRIM(LEFT(MID($A1106,FIND("/",$A1106)+1,20),FIND("/",MID($A1106,FIND("/",$A1106)+1,20))-1))),"")))</f>
        <v/>
      </c>
      <c r="D1106">
        <f>IF(OR($A1106="",$B1106=""),"",IF(ISNUMBER($A1106),MOD($A1106,100),IFERROR(VALUE(TRIM(MID(MID($A1106,FIND("/",$A1106)+1,20),FIND("/",MID($A1106,FIND("/",$A1106)+1,20))+1,20))),"")))</f>
        <v/>
      </c>
      <c r="E1106">
        <f>IF($A1106="","",IF(OR($B1106="",$C1106="",$D1106="",$B1106&lt;1300,$B1106&gt;1500,$C1106&lt;1,$C1106&gt;12,$D1106&lt;1,$D1106&gt;31),"نامعتبر",RIGHT("0000"&amp;$B1106,4)&amp;"/"&amp;RIGHT("00"&amp;$C1106,2)&amp;"/"&amp;RIGHT("00"&amp;$D1106,2)))</f>
        <v/>
      </c>
      <c r="F1106">
        <f>IF(OR($E1106="",$E1106="نامعتبر"),"",LEFT($E1106,4)&amp;"/"&amp;MID($E1106,6,2))</f>
        <v/>
      </c>
      <c r="G1106">
        <f>IF(OR($E1106="",$E1106="نامعتبر",Sync!$Y1103=""),"",Sync!$Y1103)</f>
        <v/>
      </c>
      <c r="H1106">
        <f>IF($G1106="","",IF(Sync!$X1103="","",Sync!$X1103))</f>
        <v/>
      </c>
      <c r="I1106">
        <f>IF($G1106="","",IFERROR(VLOOKUP(Sync!$X1103,OpTbl,3,0),""))</f>
        <v/>
      </c>
      <c r="J1106">
        <f>IF(OR($G1106="",Sync!$Z1103=""),"",Sync!$Z1103)</f>
        <v/>
      </c>
      <c r="K1106">
        <f>IF(OR($G1106="",Sync!$AA1103=""),"",Sync!$AA1103)</f>
        <v/>
      </c>
      <c r="L1106">
        <f>IF($G1106="",0,IF(Sync!$AB1103="",0,Sync!$AB1103))</f>
        <v/>
      </c>
      <c r="M1106">
        <f>IF($G1106="",0,IF(Sync!$AC1103="",0,Sync!$AC1103))</f>
        <v/>
      </c>
      <c r="N1106">
        <f>IF($G1106="","",IF($H1106="مرجوعی خرید",-1,1)*($L1106-$M1106*IFERROR(VLOOKUP("P01",ParamTbl,3,0),1.5))*(1-IF($I1106="خرید",IFERROR(VLOOKUP("P02",ParamTbl,3,0),1),0)/100))</f>
        <v/>
      </c>
      <c r="O1106">
        <f>IF($G1106="",0,IF($H1106="مرجوعی خرید",-1,1)*IF(Sync!$AD1103="",0,Sync!$AD1103))</f>
        <v/>
      </c>
      <c r="P1106">
        <f>IF(OR($G1106="",Sync!$W1103=""),"",Sync!$W1103)</f>
        <v/>
      </c>
      <c r="Q1106">
        <f>IF(OR($G1106="",Sync!$AE1103=""),"",Sync!$AE1103)</f>
        <v/>
      </c>
      <c r="R1106">
        <f>IF($G1106="","",IF(Sync!$V1103="","0000",IF(AND(ISNUMBER(Sync!$V1103),Sync!$V1103&gt;=0,Sync!$V1103&lt;1),RIGHT("00"&amp;HOUR(Sync!$V1103),2)&amp;RIGHT("00"&amp;MINUTE(Sync!$V1103),2),IFERROR(RIGHT("00"&amp;VALUE(LEFT(Sync!$V1103,FIND(":",Sync!$V1103)-1)),2)&amp;RIGHT("00"&amp;VALUE(MID(Sync!$V1103,FIND(":",Sync!$V1103)+1,2)),2),"0000"))))</f>
        <v/>
      </c>
    </row>
    <row r="1107">
      <c r="A1107">
        <f>IF(Sync!$U1104="","",Sync!$U1104)</f>
        <v/>
      </c>
      <c r="B1107">
        <f>IF($A1107="","",IF(ISNUMBER($A1107),IF(AND($A1107&gt;=10000101,$A1107&lt;=99991231),INT($A1107/10000),""),IFERROR(VALUE(TRIM(LEFT($A1107,FIND("/",$A1107)-1))),"")))</f>
        <v/>
      </c>
      <c r="C1107">
        <f>IF(OR($A1107="",$B1107=""),"",IF(ISNUMBER($A1107),INT(MOD($A1107,10000)/100),IFERROR(VALUE(TRIM(LEFT(MID($A1107,FIND("/",$A1107)+1,20),FIND("/",MID($A1107,FIND("/",$A1107)+1,20))-1))),"")))</f>
        <v/>
      </c>
      <c r="D1107">
        <f>IF(OR($A1107="",$B1107=""),"",IF(ISNUMBER($A1107),MOD($A1107,100),IFERROR(VALUE(TRIM(MID(MID($A1107,FIND("/",$A1107)+1,20),FIND("/",MID($A1107,FIND("/",$A1107)+1,20))+1,20))),"")))</f>
        <v/>
      </c>
      <c r="E1107">
        <f>IF($A1107="","",IF(OR($B1107="",$C1107="",$D1107="",$B1107&lt;1300,$B1107&gt;1500,$C1107&lt;1,$C1107&gt;12,$D1107&lt;1,$D1107&gt;31),"نامعتبر",RIGHT("0000"&amp;$B1107,4)&amp;"/"&amp;RIGHT("00"&amp;$C1107,2)&amp;"/"&amp;RIGHT("00"&amp;$D1107,2)))</f>
        <v/>
      </c>
      <c r="F1107">
        <f>IF(OR($E1107="",$E1107="نامعتبر"),"",LEFT($E1107,4)&amp;"/"&amp;MID($E1107,6,2))</f>
        <v/>
      </c>
      <c r="G1107">
        <f>IF(OR($E1107="",$E1107="نامعتبر",Sync!$Y1104=""),"",Sync!$Y1104)</f>
        <v/>
      </c>
      <c r="H1107">
        <f>IF($G1107="","",IF(Sync!$X1104="","",Sync!$X1104))</f>
        <v/>
      </c>
      <c r="I1107">
        <f>IF($G1107="","",IFERROR(VLOOKUP(Sync!$X1104,OpTbl,3,0),""))</f>
        <v/>
      </c>
      <c r="J1107">
        <f>IF(OR($G1107="",Sync!$Z1104=""),"",Sync!$Z1104)</f>
        <v/>
      </c>
      <c r="K1107">
        <f>IF(OR($G1107="",Sync!$AA1104=""),"",Sync!$AA1104)</f>
        <v/>
      </c>
      <c r="L1107">
        <f>IF($G1107="",0,IF(Sync!$AB1104="",0,Sync!$AB1104))</f>
        <v/>
      </c>
      <c r="M1107">
        <f>IF($G1107="",0,IF(Sync!$AC1104="",0,Sync!$AC1104))</f>
        <v/>
      </c>
      <c r="N1107">
        <f>IF($G1107="","",IF($H1107="مرجوعی خرید",-1,1)*($L1107-$M1107*IFERROR(VLOOKUP("P01",ParamTbl,3,0),1.5))*(1-IF($I1107="خرید",IFERROR(VLOOKUP("P02",ParamTbl,3,0),1),0)/100))</f>
        <v/>
      </c>
      <c r="O1107">
        <f>IF($G1107="",0,IF($H1107="مرجوعی خرید",-1,1)*IF(Sync!$AD1104="",0,Sync!$AD1104))</f>
        <v/>
      </c>
      <c r="P1107">
        <f>IF(OR($G1107="",Sync!$W1104=""),"",Sync!$W1104)</f>
        <v/>
      </c>
      <c r="Q1107">
        <f>IF(OR($G1107="",Sync!$AE1104=""),"",Sync!$AE1104)</f>
        <v/>
      </c>
      <c r="R1107">
        <f>IF($G1107="","",IF(Sync!$V1104="","0000",IF(AND(ISNUMBER(Sync!$V1104),Sync!$V1104&gt;=0,Sync!$V1104&lt;1),RIGHT("00"&amp;HOUR(Sync!$V1104),2)&amp;RIGHT("00"&amp;MINUTE(Sync!$V1104),2),IFERROR(RIGHT("00"&amp;VALUE(LEFT(Sync!$V1104,FIND(":",Sync!$V1104)-1)),2)&amp;RIGHT("00"&amp;VALUE(MID(Sync!$V1104,FIND(":",Sync!$V1104)+1,2)),2),"0000"))))</f>
        <v/>
      </c>
    </row>
    <row r="1108">
      <c r="A1108">
        <f>IF(Sync!$U1105="","",Sync!$U1105)</f>
        <v/>
      </c>
      <c r="B1108">
        <f>IF($A1108="","",IF(ISNUMBER($A1108),IF(AND($A1108&gt;=10000101,$A1108&lt;=99991231),INT($A1108/10000),""),IFERROR(VALUE(TRIM(LEFT($A1108,FIND("/",$A1108)-1))),"")))</f>
        <v/>
      </c>
      <c r="C1108">
        <f>IF(OR($A1108="",$B1108=""),"",IF(ISNUMBER($A1108),INT(MOD($A1108,10000)/100),IFERROR(VALUE(TRIM(LEFT(MID($A1108,FIND("/",$A1108)+1,20),FIND("/",MID($A1108,FIND("/",$A1108)+1,20))-1))),"")))</f>
        <v/>
      </c>
      <c r="D1108">
        <f>IF(OR($A1108="",$B1108=""),"",IF(ISNUMBER($A1108),MOD($A1108,100),IFERROR(VALUE(TRIM(MID(MID($A1108,FIND("/",$A1108)+1,20),FIND("/",MID($A1108,FIND("/",$A1108)+1,20))+1,20))),"")))</f>
        <v/>
      </c>
      <c r="E1108">
        <f>IF($A1108="","",IF(OR($B1108="",$C1108="",$D1108="",$B1108&lt;1300,$B1108&gt;1500,$C1108&lt;1,$C1108&gt;12,$D1108&lt;1,$D1108&gt;31),"نامعتبر",RIGHT("0000"&amp;$B1108,4)&amp;"/"&amp;RIGHT("00"&amp;$C1108,2)&amp;"/"&amp;RIGHT("00"&amp;$D1108,2)))</f>
        <v/>
      </c>
      <c r="F1108">
        <f>IF(OR($E1108="",$E1108="نامعتبر"),"",LEFT($E1108,4)&amp;"/"&amp;MID($E1108,6,2))</f>
        <v/>
      </c>
      <c r="G1108">
        <f>IF(OR($E1108="",$E1108="نامعتبر",Sync!$Y1105=""),"",Sync!$Y1105)</f>
        <v/>
      </c>
      <c r="H1108">
        <f>IF($G1108="","",IF(Sync!$X1105="","",Sync!$X1105))</f>
        <v/>
      </c>
      <c r="I1108">
        <f>IF($G1108="","",IFERROR(VLOOKUP(Sync!$X1105,OpTbl,3,0),""))</f>
        <v/>
      </c>
      <c r="J1108">
        <f>IF(OR($G1108="",Sync!$Z1105=""),"",Sync!$Z1105)</f>
        <v/>
      </c>
      <c r="K1108">
        <f>IF(OR($G1108="",Sync!$AA1105=""),"",Sync!$AA1105)</f>
        <v/>
      </c>
      <c r="L1108">
        <f>IF($G1108="",0,IF(Sync!$AB1105="",0,Sync!$AB1105))</f>
        <v/>
      </c>
      <c r="M1108">
        <f>IF($G1108="",0,IF(Sync!$AC1105="",0,Sync!$AC1105))</f>
        <v/>
      </c>
      <c r="N1108">
        <f>IF($G1108="","",IF($H1108="مرجوعی خرید",-1,1)*($L1108-$M1108*IFERROR(VLOOKUP("P01",ParamTbl,3,0),1.5))*(1-IF($I1108="خرید",IFERROR(VLOOKUP("P02",ParamTbl,3,0),1),0)/100))</f>
        <v/>
      </c>
      <c r="O1108">
        <f>IF($G1108="",0,IF($H1108="مرجوعی خرید",-1,1)*IF(Sync!$AD1105="",0,Sync!$AD1105))</f>
        <v/>
      </c>
      <c r="P1108">
        <f>IF(OR($G1108="",Sync!$W1105=""),"",Sync!$W1105)</f>
        <v/>
      </c>
      <c r="Q1108">
        <f>IF(OR($G1108="",Sync!$AE1105=""),"",Sync!$AE1105)</f>
        <v/>
      </c>
      <c r="R1108">
        <f>IF($G1108="","",IF(Sync!$V1105="","0000",IF(AND(ISNUMBER(Sync!$V1105),Sync!$V1105&gt;=0,Sync!$V1105&lt;1),RIGHT("00"&amp;HOUR(Sync!$V1105),2)&amp;RIGHT("00"&amp;MINUTE(Sync!$V1105),2),IFERROR(RIGHT("00"&amp;VALUE(LEFT(Sync!$V1105,FIND(":",Sync!$V1105)-1)),2)&amp;RIGHT("00"&amp;VALUE(MID(Sync!$V1105,FIND(":",Sync!$V1105)+1,2)),2),"0000"))))</f>
        <v/>
      </c>
    </row>
    <row r="1109">
      <c r="A1109">
        <f>IF(Sync!$U1106="","",Sync!$U1106)</f>
        <v/>
      </c>
      <c r="B1109">
        <f>IF($A1109="","",IF(ISNUMBER($A1109),IF(AND($A1109&gt;=10000101,$A1109&lt;=99991231),INT($A1109/10000),""),IFERROR(VALUE(TRIM(LEFT($A1109,FIND("/",$A1109)-1))),"")))</f>
        <v/>
      </c>
      <c r="C1109">
        <f>IF(OR($A1109="",$B1109=""),"",IF(ISNUMBER($A1109),INT(MOD($A1109,10000)/100),IFERROR(VALUE(TRIM(LEFT(MID($A1109,FIND("/",$A1109)+1,20),FIND("/",MID($A1109,FIND("/",$A1109)+1,20))-1))),"")))</f>
        <v/>
      </c>
      <c r="D1109">
        <f>IF(OR($A1109="",$B1109=""),"",IF(ISNUMBER($A1109),MOD($A1109,100),IFERROR(VALUE(TRIM(MID(MID($A1109,FIND("/",$A1109)+1,20),FIND("/",MID($A1109,FIND("/",$A1109)+1,20))+1,20))),"")))</f>
        <v/>
      </c>
      <c r="E1109">
        <f>IF($A1109="","",IF(OR($B1109="",$C1109="",$D1109="",$B1109&lt;1300,$B1109&gt;1500,$C1109&lt;1,$C1109&gt;12,$D1109&lt;1,$D1109&gt;31),"نامعتبر",RIGHT("0000"&amp;$B1109,4)&amp;"/"&amp;RIGHT("00"&amp;$C1109,2)&amp;"/"&amp;RIGHT("00"&amp;$D1109,2)))</f>
        <v/>
      </c>
      <c r="F1109">
        <f>IF(OR($E1109="",$E1109="نامعتبر"),"",LEFT($E1109,4)&amp;"/"&amp;MID($E1109,6,2))</f>
        <v/>
      </c>
      <c r="G1109">
        <f>IF(OR($E1109="",$E1109="نامعتبر",Sync!$Y1106=""),"",Sync!$Y1106)</f>
        <v/>
      </c>
      <c r="H1109">
        <f>IF($G1109="","",IF(Sync!$X1106="","",Sync!$X1106))</f>
        <v/>
      </c>
      <c r="I1109">
        <f>IF($G1109="","",IFERROR(VLOOKUP(Sync!$X1106,OpTbl,3,0),""))</f>
        <v/>
      </c>
      <c r="J1109">
        <f>IF(OR($G1109="",Sync!$Z1106=""),"",Sync!$Z1106)</f>
        <v/>
      </c>
      <c r="K1109">
        <f>IF(OR($G1109="",Sync!$AA1106=""),"",Sync!$AA1106)</f>
        <v/>
      </c>
      <c r="L1109">
        <f>IF($G1109="",0,IF(Sync!$AB1106="",0,Sync!$AB1106))</f>
        <v/>
      </c>
      <c r="M1109">
        <f>IF($G1109="",0,IF(Sync!$AC1106="",0,Sync!$AC1106))</f>
        <v/>
      </c>
      <c r="N1109">
        <f>IF($G1109="","",IF($H1109="مرجوعی خرید",-1,1)*($L1109-$M1109*IFERROR(VLOOKUP("P01",ParamTbl,3,0),1.5))*(1-IF($I1109="خرید",IFERROR(VLOOKUP("P02",ParamTbl,3,0),1),0)/100))</f>
        <v/>
      </c>
      <c r="O1109">
        <f>IF($G1109="",0,IF($H1109="مرجوعی خرید",-1,1)*IF(Sync!$AD1106="",0,Sync!$AD1106))</f>
        <v/>
      </c>
      <c r="P1109">
        <f>IF(OR($G1109="",Sync!$W1106=""),"",Sync!$W1106)</f>
        <v/>
      </c>
      <c r="Q1109">
        <f>IF(OR($G1109="",Sync!$AE1106=""),"",Sync!$AE1106)</f>
        <v/>
      </c>
      <c r="R1109">
        <f>IF($G1109="","",IF(Sync!$V1106="","0000",IF(AND(ISNUMBER(Sync!$V1106),Sync!$V1106&gt;=0,Sync!$V1106&lt;1),RIGHT("00"&amp;HOUR(Sync!$V1106),2)&amp;RIGHT("00"&amp;MINUTE(Sync!$V1106),2),IFERROR(RIGHT("00"&amp;VALUE(LEFT(Sync!$V1106,FIND(":",Sync!$V1106)-1)),2)&amp;RIGHT("00"&amp;VALUE(MID(Sync!$V1106,FIND(":",Sync!$V1106)+1,2)),2),"0000"))))</f>
        <v/>
      </c>
    </row>
    <row r="1110">
      <c r="A1110">
        <f>IF(Sync!$U1107="","",Sync!$U1107)</f>
        <v/>
      </c>
      <c r="B1110">
        <f>IF($A1110="","",IF(ISNUMBER($A1110),IF(AND($A1110&gt;=10000101,$A1110&lt;=99991231),INT($A1110/10000),""),IFERROR(VALUE(TRIM(LEFT($A1110,FIND("/",$A1110)-1))),"")))</f>
        <v/>
      </c>
      <c r="C1110">
        <f>IF(OR($A1110="",$B1110=""),"",IF(ISNUMBER($A1110),INT(MOD($A1110,10000)/100),IFERROR(VALUE(TRIM(LEFT(MID($A1110,FIND("/",$A1110)+1,20),FIND("/",MID($A1110,FIND("/",$A1110)+1,20))-1))),"")))</f>
        <v/>
      </c>
      <c r="D1110">
        <f>IF(OR($A1110="",$B1110=""),"",IF(ISNUMBER($A1110),MOD($A1110,100),IFERROR(VALUE(TRIM(MID(MID($A1110,FIND("/",$A1110)+1,20),FIND("/",MID($A1110,FIND("/",$A1110)+1,20))+1,20))),"")))</f>
        <v/>
      </c>
      <c r="E1110">
        <f>IF($A1110="","",IF(OR($B1110="",$C1110="",$D1110="",$B1110&lt;1300,$B1110&gt;1500,$C1110&lt;1,$C1110&gt;12,$D1110&lt;1,$D1110&gt;31),"نامعتبر",RIGHT("0000"&amp;$B1110,4)&amp;"/"&amp;RIGHT("00"&amp;$C1110,2)&amp;"/"&amp;RIGHT("00"&amp;$D1110,2)))</f>
        <v/>
      </c>
      <c r="F1110">
        <f>IF(OR($E1110="",$E1110="نامعتبر"),"",LEFT($E1110,4)&amp;"/"&amp;MID($E1110,6,2))</f>
        <v/>
      </c>
      <c r="G1110">
        <f>IF(OR($E1110="",$E1110="نامعتبر",Sync!$Y1107=""),"",Sync!$Y1107)</f>
        <v/>
      </c>
      <c r="H1110">
        <f>IF($G1110="","",IF(Sync!$X1107="","",Sync!$X1107))</f>
        <v/>
      </c>
      <c r="I1110">
        <f>IF($G1110="","",IFERROR(VLOOKUP(Sync!$X1107,OpTbl,3,0),""))</f>
        <v/>
      </c>
      <c r="J1110">
        <f>IF(OR($G1110="",Sync!$Z1107=""),"",Sync!$Z1107)</f>
        <v/>
      </c>
      <c r="K1110">
        <f>IF(OR($G1110="",Sync!$AA1107=""),"",Sync!$AA1107)</f>
        <v/>
      </c>
      <c r="L1110">
        <f>IF($G1110="",0,IF(Sync!$AB1107="",0,Sync!$AB1107))</f>
        <v/>
      </c>
      <c r="M1110">
        <f>IF($G1110="",0,IF(Sync!$AC1107="",0,Sync!$AC1107))</f>
        <v/>
      </c>
      <c r="N1110">
        <f>IF($G1110="","",IF($H1110="مرجوعی خرید",-1,1)*($L1110-$M1110*IFERROR(VLOOKUP("P01",ParamTbl,3,0),1.5))*(1-IF($I1110="خرید",IFERROR(VLOOKUP("P02",ParamTbl,3,0),1),0)/100))</f>
        <v/>
      </c>
      <c r="O1110">
        <f>IF($G1110="",0,IF($H1110="مرجوعی خرید",-1,1)*IF(Sync!$AD1107="",0,Sync!$AD1107))</f>
        <v/>
      </c>
      <c r="P1110">
        <f>IF(OR($G1110="",Sync!$W1107=""),"",Sync!$W1107)</f>
        <v/>
      </c>
      <c r="Q1110">
        <f>IF(OR($G1110="",Sync!$AE1107=""),"",Sync!$AE1107)</f>
        <v/>
      </c>
      <c r="R1110">
        <f>IF($G1110="","",IF(Sync!$V1107="","0000",IF(AND(ISNUMBER(Sync!$V1107),Sync!$V1107&gt;=0,Sync!$V1107&lt;1),RIGHT("00"&amp;HOUR(Sync!$V1107),2)&amp;RIGHT("00"&amp;MINUTE(Sync!$V1107),2),IFERROR(RIGHT("00"&amp;VALUE(LEFT(Sync!$V1107,FIND(":",Sync!$V1107)-1)),2)&amp;RIGHT("00"&amp;VALUE(MID(Sync!$V1107,FIND(":",Sync!$V1107)+1,2)),2),"0000"))))</f>
        <v/>
      </c>
    </row>
    <row r="1111">
      <c r="A1111">
        <f>IF(Sync!$U1108="","",Sync!$U1108)</f>
        <v/>
      </c>
      <c r="B1111">
        <f>IF($A1111="","",IF(ISNUMBER($A1111),IF(AND($A1111&gt;=10000101,$A1111&lt;=99991231),INT($A1111/10000),""),IFERROR(VALUE(TRIM(LEFT($A1111,FIND("/",$A1111)-1))),"")))</f>
        <v/>
      </c>
      <c r="C1111">
        <f>IF(OR($A1111="",$B1111=""),"",IF(ISNUMBER($A1111),INT(MOD($A1111,10000)/100),IFERROR(VALUE(TRIM(LEFT(MID($A1111,FIND("/",$A1111)+1,20),FIND("/",MID($A1111,FIND("/",$A1111)+1,20))-1))),"")))</f>
        <v/>
      </c>
      <c r="D1111">
        <f>IF(OR($A1111="",$B1111=""),"",IF(ISNUMBER($A1111),MOD($A1111,100),IFERROR(VALUE(TRIM(MID(MID($A1111,FIND("/",$A1111)+1,20),FIND("/",MID($A1111,FIND("/",$A1111)+1,20))+1,20))),"")))</f>
        <v/>
      </c>
      <c r="E1111">
        <f>IF($A1111="","",IF(OR($B1111="",$C1111="",$D1111="",$B1111&lt;1300,$B1111&gt;1500,$C1111&lt;1,$C1111&gt;12,$D1111&lt;1,$D1111&gt;31),"نامعتبر",RIGHT("0000"&amp;$B1111,4)&amp;"/"&amp;RIGHT("00"&amp;$C1111,2)&amp;"/"&amp;RIGHT("00"&amp;$D1111,2)))</f>
        <v/>
      </c>
      <c r="F1111">
        <f>IF(OR($E1111="",$E1111="نامعتبر"),"",LEFT($E1111,4)&amp;"/"&amp;MID($E1111,6,2))</f>
        <v/>
      </c>
      <c r="G1111">
        <f>IF(OR($E1111="",$E1111="نامعتبر",Sync!$Y1108=""),"",Sync!$Y1108)</f>
        <v/>
      </c>
      <c r="H1111">
        <f>IF($G1111="","",IF(Sync!$X1108="","",Sync!$X1108))</f>
        <v/>
      </c>
      <c r="I1111">
        <f>IF($G1111="","",IFERROR(VLOOKUP(Sync!$X1108,OpTbl,3,0),""))</f>
        <v/>
      </c>
      <c r="J1111">
        <f>IF(OR($G1111="",Sync!$Z1108=""),"",Sync!$Z1108)</f>
        <v/>
      </c>
      <c r="K1111">
        <f>IF(OR($G1111="",Sync!$AA1108=""),"",Sync!$AA1108)</f>
        <v/>
      </c>
      <c r="L1111">
        <f>IF($G1111="",0,IF(Sync!$AB1108="",0,Sync!$AB1108))</f>
        <v/>
      </c>
      <c r="M1111">
        <f>IF($G1111="",0,IF(Sync!$AC1108="",0,Sync!$AC1108))</f>
        <v/>
      </c>
      <c r="N1111">
        <f>IF($G1111="","",IF($H1111="مرجوعی خرید",-1,1)*($L1111-$M1111*IFERROR(VLOOKUP("P01",ParamTbl,3,0),1.5))*(1-IF($I1111="خرید",IFERROR(VLOOKUP("P02",ParamTbl,3,0),1),0)/100))</f>
        <v/>
      </c>
      <c r="O1111">
        <f>IF($G1111="",0,IF($H1111="مرجوعی خرید",-1,1)*IF(Sync!$AD1108="",0,Sync!$AD1108))</f>
        <v/>
      </c>
      <c r="P1111">
        <f>IF(OR($G1111="",Sync!$W1108=""),"",Sync!$W1108)</f>
        <v/>
      </c>
      <c r="Q1111">
        <f>IF(OR($G1111="",Sync!$AE1108=""),"",Sync!$AE1108)</f>
        <v/>
      </c>
      <c r="R1111">
        <f>IF($G1111="","",IF(Sync!$V1108="","0000",IF(AND(ISNUMBER(Sync!$V1108),Sync!$V1108&gt;=0,Sync!$V1108&lt;1),RIGHT("00"&amp;HOUR(Sync!$V1108),2)&amp;RIGHT("00"&amp;MINUTE(Sync!$V1108),2),IFERROR(RIGHT("00"&amp;VALUE(LEFT(Sync!$V1108,FIND(":",Sync!$V1108)-1)),2)&amp;RIGHT("00"&amp;VALUE(MID(Sync!$V1108,FIND(":",Sync!$V1108)+1,2)),2),"0000"))))</f>
        <v/>
      </c>
    </row>
    <row r="1112">
      <c r="A1112">
        <f>IF(Sync!$U1109="","",Sync!$U1109)</f>
        <v/>
      </c>
      <c r="B1112">
        <f>IF($A1112="","",IF(ISNUMBER($A1112),IF(AND($A1112&gt;=10000101,$A1112&lt;=99991231),INT($A1112/10000),""),IFERROR(VALUE(TRIM(LEFT($A1112,FIND("/",$A1112)-1))),"")))</f>
        <v/>
      </c>
      <c r="C1112">
        <f>IF(OR($A1112="",$B1112=""),"",IF(ISNUMBER($A1112),INT(MOD($A1112,10000)/100),IFERROR(VALUE(TRIM(LEFT(MID($A1112,FIND("/",$A1112)+1,20),FIND("/",MID($A1112,FIND("/",$A1112)+1,20))-1))),"")))</f>
        <v/>
      </c>
      <c r="D1112">
        <f>IF(OR($A1112="",$B1112=""),"",IF(ISNUMBER($A1112),MOD($A1112,100),IFERROR(VALUE(TRIM(MID(MID($A1112,FIND("/",$A1112)+1,20),FIND("/",MID($A1112,FIND("/",$A1112)+1,20))+1,20))),"")))</f>
        <v/>
      </c>
      <c r="E1112">
        <f>IF($A1112="","",IF(OR($B1112="",$C1112="",$D1112="",$B1112&lt;1300,$B1112&gt;1500,$C1112&lt;1,$C1112&gt;12,$D1112&lt;1,$D1112&gt;31),"نامعتبر",RIGHT("0000"&amp;$B1112,4)&amp;"/"&amp;RIGHT("00"&amp;$C1112,2)&amp;"/"&amp;RIGHT("00"&amp;$D1112,2)))</f>
        <v/>
      </c>
      <c r="F1112">
        <f>IF(OR($E1112="",$E1112="نامعتبر"),"",LEFT($E1112,4)&amp;"/"&amp;MID($E1112,6,2))</f>
        <v/>
      </c>
      <c r="G1112">
        <f>IF(OR($E1112="",$E1112="نامعتبر",Sync!$Y1109=""),"",Sync!$Y1109)</f>
        <v/>
      </c>
      <c r="H1112">
        <f>IF($G1112="","",IF(Sync!$X1109="","",Sync!$X1109))</f>
        <v/>
      </c>
      <c r="I1112">
        <f>IF($G1112="","",IFERROR(VLOOKUP(Sync!$X1109,OpTbl,3,0),""))</f>
        <v/>
      </c>
      <c r="J1112">
        <f>IF(OR($G1112="",Sync!$Z1109=""),"",Sync!$Z1109)</f>
        <v/>
      </c>
      <c r="K1112">
        <f>IF(OR($G1112="",Sync!$AA1109=""),"",Sync!$AA1109)</f>
        <v/>
      </c>
      <c r="L1112">
        <f>IF($G1112="",0,IF(Sync!$AB1109="",0,Sync!$AB1109))</f>
        <v/>
      </c>
      <c r="M1112">
        <f>IF($G1112="",0,IF(Sync!$AC1109="",0,Sync!$AC1109))</f>
        <v/>
      </c>
      <c r="N1112">
        <f>IF($G1112="","",IF($H1112="مرجوعی خرید",-1,1)*($L1112-$M1112*IFERROR(VLOOKUP("P01",ParamTbl,3,0),1.5))*(1-IF($I1112="خرید",IFERROR(VLOOKUP("P02",ParamTbl,3,0),1),0)/100))</f>
        <v/>
      </c>
      <c r="O1112">
        <f>IF($G1112="",0,IF($H1112="مرجوعی خرید",-1,1)*IF(Sync!$AD1109="",0,Sync!$AD1109))</f>
        <v/>
      </c>
      <c r="P1112">
        <f>IF(OR($G1112="",Sync!$W1109=""),"",Sync!$W1109)</f>
        <v/>
      </c>
      <c r="Q1112">
        <f>IF(OR($G1112="",Sync!$AE1109=""),"",Sync!$AE1109)</f>
        <v/>
      </c>
      <c r="R1112">
        <f>IF($G1112="","",IF(Sync!$V1109="","0000",IF(AND(ISNUMBER(Sync!$V1109),Sync!$V1109&gt;=0,Sync!$V1109&lt;1),RIGHT("00"&amp;HOUR(Sync!$V1109),2)&amp;RIGHT("00"&amp;MINUTE(Sync!$V1109),2),IFERROR(RIGHT("00"&amp;VALUE(LEFT(Sync!$V1109,FIND(":",Sync!$V1109)-1)),2)&amp;RIGHT("00"&amp;VALUE(MID(Sync!$V1109,FIND(":",Sync!$V1109)+1,2)),2),"0000"))))</f>
        <v/>
      </c>
    </row>
    <row r="1113">
      <c r="A1113">
        <f>IF(Sync!$U1110="","",Sync!$U1110)</f>
        <v/>
      </c>
      <c r="B1113">
        <f>IF($A1113="","",IF(ISNUMBER($A1113),IF(AND($A1113&gt;=10000101,$A1113&lt;=99991231),INT($A1113/10000),""),IFERROR(VALUE(TRIM(LEFT($A1113,FIND("/",$A1113)-1))),"")))</f>
        <v/>
      </c>
      <c r="C1113">
        <f>IF(OR($A1113="",$B1113=""),"",IF(ISNUMBER($A1113),INT(MOD($A1113,10000)/100),IFERROR(VALUE(TRIM(LEFT(MID($A1113,FIND("/",$A1113)+1,20),FIND("/",MID($A1113,FIND("/",$A1113)+1,20))-1))),"")))</f>
        <v/>
      </c>
      <c r="D1113">
        <f>IF(OR($A1113="",$B1113=""),"",IF(ISNUMBER($A1113),MOD($A1113,100),IFERROR(VALUE(TRIM(MID(MID($A1113,FIND("/",$A1113)+1,20),FIND("/",MID($A1113,FIND("/",$A1113)+1,20))+1,20))),"")))</f>
        <v/>
      </c>
      <c r="E1113">
        <f>IF($A1113="","",IF(OR($B1113="",$C1113="",$D1113="",$B1113&lt;1300,$B1113&gt;1500,$C1113&lt;1,$C1113&gt;12,$D1113&lt;1,$D1113&gt;31),"نامعتبر",RIGHT("0000"&amp;$B1113,4)&amp;"/"&amp;RIGHT("00"&amp;$C1113,2)&amp;"/"&amp;RIGHT("00"&amp;$D1113,2)))</f>
        <v/>
      </c>
      <c r="F1113">
        <f>IF(OR($E1113="",$E1113="نامعتبر"),"",LEFT($E1113,4)&amp;"/"&amp;MID($E1113,6,2))</f>
        <v/>
      </c>
      <c r="G1113">
        <f>IF(OR($E1113="",$E1113="نامعتبر",Sync!$Y1110=""),"",Sync!$Y1110)</f>
        <v/>
      </c>
      <c r="H1113">
        <f>IF($G1113="","",IF(Sync!$X1110="","",Sync!$X1110))</f>
        <v/>
      </c>
      <c r="I1113">
        <f>IF($G1113="","",IFERROR(VLOOKUP(Sync!$X1110,OpTbl,3,0),""))</f>
        <v/>
      </c>
      <c r="J1113">
        <f>IF(OR($G1113="",Sync!$Z1110=""),"",Sync!$Z1110)</f>
        <v/>
      </c>
      <c r="K1113">
        <f>IF(OR($G1113="",Sync!$AA1110=""),"",Sync!$AA1110)</f>
        <v/>
      </c>
      <c r="L1113">
        <f>IF($G1113="",0,IF(Sync!$AB1110="",0,Sync!$AB1110))</f>
        <v/>
      </c>
      <c r="M1113">
        <f>IF($G1113="",0,IF(Sync!$AC1110="",0,Sync!$AC1110))</f>
        <v/>
      </c>
      <c r="N1113">
        <f>IF($G1113="","",IF($H1113="مرجوعی خرید",-1,1)*($L1113-$M1113*IFERROR(VLOOKUP("P01",ParamTbl,3,0),1.5))*(1-IF($I1113="خرید",IFERROR(VLOOKUP("P02",ParamTbl,3,0),1),0)/100))</f>
        <v/>
      </c>
      <c r="O1113">
        <f>IF($G1113="",0,IF($H1113="مرجوعی خرید",-1,1)*IF(Sync!$AD1110="",0,Sync!$AD1110))</f>
        <v/>
      </c>
      <c r="P1113">
        <f>IF(OR($G1113="",Sync!$W1110=""),"",Sync!$W1110)</f>
        <v/>
      </c>
      <c r="Q1113">
        <f>IF(OR($G1113="",Sync!$AE1110=""),"",Sync!$AE1110)</f>
        <v/>
      </c>
      <c r="R1113">
        <f>IF($G1113="","",IF(Sync!$V1110="","0000",IF(AND(ISNUMBER(Sync!$V1110),Sync!$V1110&gt;=0,Sync!$V1110&lt;1),RIGHT("00"&amp;HOUR(Sync!$V1110),2)&amp;RIGHT("00"&amp;MINUTE(Sync!$V1110),2),IFERROR(RIGHT("00"&amp;VALUE(LEFT(Sync!$V1110,FIND(":",Sync!$V1110)-1)),2)&amp;RIGHT("00"&amp;VALUE(MID(Sync!$V1110,FIND(":",Sync!$V1110)+1,2)),2),"0000"))))</f>
        <v/>
      </c>
    </row>
    <row r="1114">
      <c r="A1114">
        <f>IF(Sync!$U1111="","",Sync!$U1111)</f>
        <v/>
      </c>
      <c r="B1114">
        <f>IF($A1114="","",IF(ISNUMBER($A1114),IF(AND($A1114&gt;=10000101,$A1114&lt;=99991231),INT($A1114/10000),""),IFERROR(VALUE(TRIM(LEFT($A1114,FIND("/",$A1114)-1))),"")))</f>
        <v/>
      </c>
      <c r="C1114">
        <f>IF(OR($A1114="",$B1114=""),"",IF(ISNUMBER($A1114),INT(MOD($A1114,10000)/100),IFERROR(VALUE(TRIM(LEFT(MID($A1114,FIND("/",$A1114)+1,20),FIND("/",MID($A1114,FIND("/",$A1114)+1,20))-1))),"")))</f>
        <v/>
      </c>
      <c r="D1114">
        <f>IF(OR($A1114="",$B1114=""),"",IF(ISNUMBER($A1114),MOD($A1114,100),IFERROR(VALUE(TRIM(MID(MID($A1114,FIND("/",$A1114)+1,20),FIND("/",MID($A1114,FIND("/",$A1114)+1,20))+1,20))),"")))</f>
        <v/>
      </c>
      <c r="E1114">
        <f>IF($A1114="","",IF(OR($B1114="",$C1114="",$D1114="",$B1114&lt;1300,$B1114&gt;1500,$C1114&lt;1,$C1114&gt;12,$D1114&lt;1,$D1114&gt;31),"نامعتبر",RIGHT("0000"&amp;$B1114,4)&amp;"/"&amp;RIGHT("00"&amp;$C1114,2)&amp;"/"&amp;RIGHT("00"&amp;$D1114,2)))</f>
        <v/>
      </c>
      <c r="F1114">
        <f>IF(OR($E1114="",$E1114="نامعتبر"),"",LEFT($E1114,4)&amp;"/"&amp;MID($E1114,6,2))</f>
        <v/>
      </c>
      <c r="G1114">
        <f>IF(OR($E1114="",$E1114="نامعتبر",Sync!$Y1111=""),"",Sync!$Y1111)</f>
        <v/>
      </c>
      <c r="H1114">
        <f>IF($G1114="","",IF(Sync!$X1111="","",Sync!$X1111))</f>
        <v/>
      </c>
      <c r="I1114">
        <f>IF($G1114="","",IFERROR(VLOOKUP(Sync!$X1111,OpTbl,3,0),""))</f>
        <v/>
      </c>
      <c r="J1114">
        <f>IF(OR($G1114="",Sync!$Z1111=""),"",Sync!$Z1111)</f>
        <v/>
      </c>
      <c r="K1114">
        <f>IF(OR($G1114="",Sync!$AA1111=""),"",Sync!$AA1111)</f>
        <v/>
      </c>
      <c r="L1114">
        <f>IF($G1114="",0,IF(Sync!$AB1111="",0,Sync!$AB1111))</f>
        <v/>
      </c>
      <c r="M1114">
        <f>IF($G1114="",0,IF(Sync!$AC1111="",0,Sync!$AC1111))</f>
        <v/>
      </c>
      <c r="N1114">
        <f>IF($G1114="","",IF($H1114="مرجوعی خرید",-1,1)*($L1114-$M1114*IFERROR(VLOOKUP("P01",ParamTbl,3,0),1.5))*(1-IF($I1114="خرید",IFERROR(VLOOKUP("P02",ParamTbl,3,0),1),0)/100))</f>
        <v/>
      </c>
      <c r="O1114">
        <f>IF($G1114="",0,IF($H1114="مرجوعی خرید",-1,1)*IF(Sync!$AD1111="",0,Sync!$AD1111))</f>
        <v/>
      </c>
      <c r="P1114">
        <f>IF(OR($G1114="",Sync!$W1111=""),"",Sync!$W1111)</f>
        <v/>
      </c>
      <c r="Q1114">
        <f>IF(OR($G1114="",Sync!$AE1111=""),"",Sync!$AE1111)</f>
        <v/>
      </c>
      <c r="R1114">
        <f>IF($G1114="","",IF(Sync!$V1111="","0000",IF(AND(ISNUMBER(Sync!$V1111),Sync!$V1111&gt;=0,Sync!$V1111&lt;1),RIGHT("00"&amp;HOUR(Sync!$V1111),2)&amp;RIGHT("00"&amp;MINUTE(Sync!$V1111),2),IFERROR(RIGHT("00"&amp;VALUE(LEFT(Sync!$V1111,FIND(":",Sync!$V1111)-1)),2)&amp;RIGHT("00"&amp;VALUE(MID(Sync!$V1111,FIND(":",Sync!$V1111)+1,2)),2),"0000"))))</f>
        <v/>
      </c>
    </row>
    <row r="1115">
      <c r="A1115">
        <f>IF(Sync!$U1112="","",Sync!$U1112)</f>
        <v/>
      </c>
      <c r="B1115">
        <f>IF($A1115="","",IF(ISNUMBER($A1115),IF(AND($A1115&gt;=10000101,$A1115&lt;=99991231),INT($A1115/10000),""),IFERROR(VALUE(TRIM(LEFT($A1115,FIND("/",$A1115)-1))),"")))</f>
        <v/>
      </c>
      <c r="C1115">
        <f>IF(OR($A1115="",$B1115=""),"",IF(ISNUMBER($A1115),INT(MOD($A1115,10000)/100),IFERROR(VALUE(TRIM(LEFT(MID($A1115,FIND("/",$A1115)+1,20),FIND("/",MID($A1115,FIND("/",$A1115)+1,20))-1))),"")))</f>
        <v/>
      </c>
      <c r="D1115">
        <f>IF(OR($A1115="",$B1115=""),"",IF(ISNUMBER($A1115),MOD($A1115,100),IFERROR(VALUE(TRIM(MID(MID($A1115,FIND("/",$A1115)+1,20),FIND("/",MID($A1115,FIND("/",$A1115)+1,20))+1,20))),"")))</f>
        <v/>
      </c>
      <c r="E1115">
        <f>IF($A1115="","",IF(OR($B1115="",$C1115="",$D1115="",$B1115&lt;1300,$B1115&gt;1500,$C1115&lt;1,$C1115&gt;12,$D1115&lt;1,$D1115&gt;31),"نامعتبر",RIGHT("0000"&amp;$B1115,4)&amp;"/"&amp;RIGHT("00"&amp;$C1115,2)&amp;"/"&amp;RIGHT("00"&amp;$D1115,2)))</f>
        <v/>
      </c>
      <c r="F1115">
        <f>IF(OR($E1115="",$E1115="نامعتبر"),"",LEFT($E1115,4)&amp;"/"&amp;MID($E1115,6,2))</f>
        <v/>
      </c>
      <c r="G1115">
        <f>IF(OR($E1115="",$E1115="نامعتبر",Sync!$Y1112=""),"",Sync!$Y1112)</f>
        <v/>
      </c>
      <c r="H1115">
        <f>IF($G1115="","",IF(Sync!$X1112="","",Sync!$X1112))</f>
        <v/>
      </c>
      <c r="I1115">
        <f>IF($G1115="","",IFERROR(VLOOKUP(Sync!$X1112,OpTbl,3,0),""))</f>
        <v/>
      </c>
      <c r="J1115">
        <f>IF(OR($G1115="",Sync!$Z1112=""),"",Sync!$Z1112)</f>
        <v/>
      </c>
      <c r="K1115">
        <f>IF(OR($G1115="",Sync!$AA1112=""),"",Sync!$AA1112)</f>
        <v/>
      </c>
      <c r="L1115">
        <f>IF($G1115="",0,IF(Sync!$AB1112="",0,Sync!$AB1112))</f>
        <v/>
      </c>
      <c r="M1115">
        <f>IF($G1115="",0,IF(Sync!$AC1112="",0,Sync!$AC1112))</f>
        <v/>
      </c>
      <c r="N1115">
        <f>IF($G1115="","",IF($H1115="مرجوعی خرید",-1,1)*($L1115-$M1115*IFERROR(VLOOKUP("P01",ParamTbl,3,0),1.5))*(1-IF($I1115="خرید",IFERROR(VLOOKUP("P02",ParamTbl,3,0),1),0)/100))</f>
        <v/>
      </c>
      <c r="O1115">
        <f>IF($G1115="",0,IF($H1115="مرجوعی خرید",-1,1)*IF(Sync!$AD1112="",0,Sync!$AD1112))</f>
        <v/>
      </c>
      <c r="P1115">
        <f>IF(OR($G1115="",Sync!$W1112=""),"",Sync!$W1112)</f>
        <v/>
      </c>
      <c r="Q1115">
        <f>IF(OR($G1115="",Sync!$AE1112=""),"",Sync!$AE1112)</f>
        <v/>
      </c>
      <c r="R1115">
        <f>IF($G1115="","",IF(Sync!$V1112="","0000",IF(AND(ISNUMBER(Sync!$V1112),Sync!$V1112&gt;=0,Sync!$V1112&lt;1),RIGHT("00"&amp;HOUR(Sync!$V1112),2)&amp;RIGHT("00"&amp;MINUTE(Sync!$V1112),2),IFERROR(RIGHT("00"&amp;VALUE(LEFT(Sync!$V1112,FIND(":",Sync!$V1112)-1)),2)&amp;RIGHT("00"&amp;VALUE(MID(Sync!$V1112,FIND(":",Sync!$V1112)+1,2)),2),"0000"))))</f>
        <v/>
      </c>
    </row>
    <row r="1116">
      <c r="A1116">
        <f>IF(Sync!$U1113="","",Sync!$U1113)</f>
        <v/>
      </c>
      <c r="B1116">
        <f>IF($A1116="","",IF(ISNUMBER($A1116),IF(AND($A1116&gt;=10000101,$A1116&lt;=99991231),INT($A1116/10000),""),IFERROR(VALUE(TRIM(LEFT($A1116,FIND("/",$A1116)-1))),"")))</f>
        <v/>
      </c>
      <c r="C1116">
        <f>IF(OR($A1116="",$B1116=""),"",IF(ISNUMBER($A1116),INT(MOD($A1116,10000)/100),IFERROR(VALUE(TRIM(LEFT(MID($A1116,FIND("/",$A1116)+1,20),FIND("/",MID($A1116,FIND("/",$A1116)+1,20))-1))),"")))</f>
        <v/>
      </c>
      <c r="D1116">
        <f>IF(OR($A1116="",$B1116=""),"",IF(ISNUMBER($A1116),MOD($A1116,100),IFERROR(VALUE(TRIM(MID(MID($A1116,FIND("/",$A1116)+1,20),FIND("/",MID($A1116,FIND("/",$A1116)+1,20))+1,20))),"")))</f>
        <v/>
      </c>
      <c r="E1116">
        <f>IF($A1116="","",IF(OR($B1116="",$C1116="",$D1116="",$B1116&lt;1300,$B1116&gt;1500,$C1116&lt;1,$C1116&gt;12,$D1116&lt;1,$D1116&gt;31),"نامعتبر",RIGHT("0000"&amp;$B1116,4)&amp;"/"&amp;RIGHT("00"&amp;$C1116,2)&amp;"/"&amp;RIGHT("00"&amp;$D1116,2)))</f>
        <v/>
      </c>
      <c r="F1116">
        <f>IF(OR($E1116="",$E1116="نامعتبر"),"",LEFT($E1116,4)&amp;"/"&amp;MID($E1116,6,2))</f>
        <v/>
      </c>
      <c r="G1116">
        <f>IF(OR($E1116="",$E1116="نامعتبر",Sync!$Y1113=""),"",Sync!$Y1113)</f>
        <v/>
      </c>
      <c r="H1116">
        <f>IF($G1116="","",IF(Sync!$X1113="","",Sync!$X1113))</f>
        <v/>
      </c>
      <c r="I1116">
        <f>IF($G1116="","",IFERROR(VLOOKUP(Sync!$X1113,OpTbl,3,0),""))</f>
        <v/>
      </c>
      <c r="J1116">
        <f>IF(OR($G1116="",Sync!$Z1113=""),"",Sync!$Z1113)</f>
        <v/>
      </c>
      <c r="K1116">
        <f>IF(OR($G1116="",Sync!$AA1113=""),"",Sync!$AA1113)</f>
        <v/>
      </c>
      <c r="L1116">
        <f>IF($G1116="",0,IF(Sync!$AB1113="",0,Sync!$AB1113))</f>
        <v/>
      </c>
      <c r="M1116">
        <f>IF($G1116="",0,IF(Sync!$AC1113="",0,Sync!$AC1113))</f>
        <v/>
      </c>
      <c r="N1116">
        <f>IF($G1116="","",IF($H1116="مرجوعی خرید",-1,1)*($L1116-$M1116*IFERROR(VLOOKUP("P01",ParamTbl,3,0),1.5))*(1-IF($I1116="خرید",IFERROR(VLOOKUP("P02",ParamTbl,3,0),1),0)/100))</f>
        <v/>
      </c>
      <c r="O1116">
        <f>IF($G1116="",0,IF($H1116="مرجوعی خرید",-1,1)*IF(Sync!$AD1113="",0,Sync!$AD1113))</f>
        <v/>
      </c>
      <c r="P1116">
        <f>IF(OR($G1116="",Sync!$W1113=""),"",Sync!$W1113)</f>
        <v/>
      </c>
      <c r="Q1116">
        <f>IF(OR($G1116="",Sync!$AE1113=""),"",Sync!$AE1113)</f>
        <v/>
      </c>
      <c r="R1116">
        <f>IF($G1116="","",IF(Sync!$V1113="","0000",IF(AND(ISNUMBER(Sync!$V1113),Sync!$V1113&gt;=0,Sync!$V1113&lt;1),RIGHT("00"&amp;HOUR(Sync!$V1113),2)&amp;RIGHT("00"&amp;MINUTE(Sync!$V1113),2),IFERROR(RIGHT("00"&amp;VALUE(LEFT(Sync!$V1113,FIND(":",Sync!$V1113)-1)),2)&amp;RIGHT("00"&amp;VALUE(MID(Sync!$V1113,FIND(":",Sync!$V1113)+1,2)),2),"0000"))))</f>
        <v/>
      </c>
    </row>
    <row r="1117">
      <c r="A1117">
        <f>IF(Sync!$U1114="","",Sync!$U1114)</f>
        <v/>
      </c>
      <c r="B1117">
        <f>IF($A1117="","",IF(ISNUMBER($A1117),IF(AND($A1117&gt;=10000101,$A1117&lt;=99991231),INT($A1117/10000),""),IFERROR(VALUE(TRIM(LEFT($A1117,FIND("/",$A1117)-1))),"")))</f>
        <v/>
      </c>
      <c r="C1117">
        <f>IF(OR($A1117="",$B1117=""),"",IF(ISNUMBER($A1117),INT(MOD($A1117,10000)/100),IFERROR(VALUE(TRIM(LEFT(MID($A1117,FIND("/",$A1117)+1,20),FIND("/",MID($A1117,FIND("/",$A1117)+1,20))-1))),"")))</f>
        <v/>
      </c>
      <c r="D1117">
        <f>IF(OR($A1117="",$B1117=""),"",IF(ISNUMBER($A1117),MOD($A1117,100),IFERROR(VALUE(TRIM(MID(MID($A1117,FIND("/",$A1117)+1,20),FIND("/",MID($A1117,FIND("/",$A1117)+1,20))+1,20))),"")))</f>
        <v/>
      </c>
      <c r="E1117">
        <f>IF($A1117="","",IF(OR($B1117="",$C1117="",$D1117="",$B1117&lt;1300,$B1117&gt;1500,$C1117&lt;1,$C1117&gt;12,$D1117&lt;1,$D1117&gt;31),"نامعتبر",RIGHT("0000"&amp;$B1117,4)&amp;"/"&amp;RIGHT("00"&amp;$C1117,2)&amp;"/"&amp;RIGHT("00"&amp;$D1117,2)))</f>
        <v/>
      </c>
      <c r="F1117">
        <f>IF(OR($E1117="",$E1117="نامعتبر"),"",LEFT($E1117,4)&amp;"/"&amp;MID($E1117,6,2))</f>
        <v/>
      </c>
      <c r="G1117">
        <f>IF(OR($E1117="",$E1117="نامعتبر",Sync!$Y1114=""),"",Sync!$Y1114)</f>
        <v/>
      </c>
      <c r="H1117">
        <f>IF($G1117="","",IF(Sync!$X1114="","",Sync!$X1114))</f>
        <v/>
      </c>
      <c r="I1117">
        <f>IF($G1117="","",IFERROR(VLOOKUP(Sync!$X1114,OpTbl,3,0),""))</f>
        <v/>
      </c>
      <c r="J1117">
        <f>IF(OR($G1117="",Sync!$Z1114=""),"",Sync!$Z1114)</f>
        <v/>
      </c>
      <c r="K1117">
        <f>IF(OR($G1117="",Sync!$AA1114=""),"",Sync!$AA1114)</f>
        <v/>
      </c>
      <c r="L1117">
        <f>IF($G1117="",0,IF(Sync!$AB1114="",0,Sync!$AB1114))</f>
        <v/>
      </c>
      <c r="M1117">
        <f>IF($G1117="",0,IF(Sync!$AC1114="",0,Sync!$AC1114))</f>
        <v/>
      </c>
      <c r="N1117">
        <f>IF($G1117="","",IF($H1117="مرجوعی خرید",-1,1)*($L1117-$M1117*IFERROR(VLOOKUP("P01",ParamTbl,3,0),1.5))*(1-IF($I1117="خرید",IFERROR(VLOOKUP("P02",ParamTbl,3,0),1),0)/100))</f>
        <v/>
      </c>
      <c r="O1117">
        <f>IF($G1117="",0,IF($H1117="مرجوعی خرید",-1,1)*IF(Sync!$AD1114="",0,Sync!$AD1114))</f>
        <v/>
      </c>
      <c r="P1117">
        <f>IF(OR($G1117="",Sync!$W1114=""),"",Sync!$W1114)</f>
        <v/>
      </c>
      <c r="Q1117">
        <f>IF(OR($G1117="",Sync!$AE1114=""),"",Sync!$AE1114)</f>
        <v/>
      </c>
      <c r="R1117">
        <f>IF($G1117="","",IF(Sync!$V1114="","0000",IF(AND(ISNUMBER(Sync!$V1114),Sync!$V1114&gt;=0,Sync!$V1114&lt;1),RIGHT("00"&amp;HOUR(Sync!$V1114),2)&amp;RIGHT("00"&amp;MINUTE(Sync!$V1114),2),IFERROR(RIGHT("00"&amp;VALUE(LEFT(Sync!$V1114,FIND(":",Sync!$V1114)-1)),2)&amp;RIGHT("00"&amp;VALUE(MID(Sync!$V1114,FIND(":",Sync!$V1114)+1,2)),2),"0000"))))</f>
        <v/>
      </c>
    </row>
    <row r="1118">
      <c r="A1118">
        <f>IF(Sync!$U1115="","",Sync!$U1115)</f>
        <v/>
      </c>
      <c r="B1118">
        <f>IF($A1118="","",IF(ISNUMBER($A1118),IF(AND($A1118&gt;=10000101,$A1118&lt;=99991231),INT($A1118/10000),""),IFERROR(VALUE(TRIM(LEFT($A1118,FIND("/",$A1118)-1))),"")))</f>
        <v/>
      </c>
      <c r="C1118">
        <f>IF(OR($A1118="",$B1118=""),"",IF(ISNUMBER($A1118),INT(MOD($A1118,10000)/100),IFERROR(VALUE(TRIM(LEFT(MID($A1118,FIND("/",$A1118)+1,20),FIND("/",MID($A1118,FIND("/",$A1118)+1,20))-1))),"")))</f>
        <v/>
      </c>
      <c r="D1118">
        <f>IF(OR($A1118="",$B1118=""),"",IF(ISNUMBER($A1118),MOD($A1118,100),IFERROR(VALUE(TRIM(MID(MID($A1118,FIND("/",$A1118)+1,20),FIND("/",MID($A1118,FIND("/",$A1118)+1,20))+1,20))),"")))</f>
        <v/>
      </c>
      <c r="E1118">
        <f>IF($A1118="","",IF(OR($B1118="",$C1118="",$D1118="",$B1118&lt;1300,$B1118&gt;1500,$C1118&lt;1,$C1118&gt;12,$D1118&lt;1,$D1118&gt;31),"نامعتبر",RIGHT("0000"&amp;$B1118,4)&amp;"/"&amp;RIGHT("00"&amp;$C1118,2)&amp;"/"&amp;RIGHT("00"&amp;$D1118,2)))</f>
        <v/>
      </c>
      <c r="F1118">
        <f>IF(OR($E1118="",$E1118="نامعتبر"),"",LEFT($E1118,4)&amp;"/"&amp;MID($E1118,6,2))</f>
        <v/>
      </c>
      <c r="G1118">
        <f>IF(OR($E1118="",$E1118="نامعتبر",Sync!$Y1115=""),"",Sync!$Y1115)</f>
        <v/>
      </c>
      <c r="H1118">
        <f>IF($G1118="","",IF(Sync!$X1115="","",Sync!$X1115))</f>
        <v/>
      </c>
      <c r="I1118">
        <f>IF($G1118="","",IFERROR(VLOOKUP(Sync!$X1115,OpTbl,3,0),""))</f>
        <v/>
      </c>
      <c r="J1118">
        <f>IF(OR($G1118="",Sync!$Z1115=""),"",Sync!$Z1115)</f>
        <v/>
      </c>
      <c r="K1118">
        <f>IF(OR($G1118="",Sync!$AA1115=""),"",Sync!$AA1115)</f>
        <v/>
      </c>
      <c r="L1118">
        <f>IF($G1118="",0,IF(Sync!$AB1115="",0,Sync!$AB1115))</f>
        <v/>
      </c>
      <c r="M1118">
        <f>IF($G1118="",0,IF(Sync!$AC1115="",0,Sync!$AC1115))</f>
        <v/>
      </c>
      <c r="N1118">
        <f>IF($G1118="","",IF($H1118="مرجوعی خرید",-1,1)*($L1118-$M1118*IFERROR(VLOOKUP("P01",ParamTbl,3,0),1.5))*(1-IF($I1118="خرید",IFERROR(VLOOKUP("P02",ParamTbl,3,0),1),0)/100))</f>
        <v/>
      </c>
      <c r="O1118">
        <f>IF($G1118="",0,IF($H1118="مرجوعی خرید",-1,1)*IF(Sync!$AD1115="",0,Sync!$AD1115))</f>
        <v/>
      </c>
      <c r="P1118">
        <f>IF(OR($G1118="",Sync!$W1115=""),"",Sync!$W1115)</f>
        <v/>
      </c>
      <c r="Q1118">
        <f>IF(OR($G1118="",Sync!$AE1115=""),"",Sync!$AE1115)</f>
        <v/>
      </c>
      <c r="R1118">
        <f>IF($G1118="","",IF(Sync!$V1115="","0000",IF(AND(ISNUMBER(Sync!$V1115),Sync!$V1115&gt;=0,Sync!$V1115&lt;1),RIGHT("00"&amp;HOUR(Sync!$V1115),2)&amp;RIGHT("00"&amp;MINUTE(Sync!$V1115),2),IFERROR(RIGHT("00"&amp;VALUE(LEFT(Sync!$V1115,FIND(":",Sync!$V1115)-1)),2)&amp;RIGHT("00"&amp;VALUE(MID(Sync!$V1115,FIND(":",Sync!$V1115)+1,2)),2),"0000"))))</f>
        <v/>
      </c>
    </row>
    <row r="1119">
      <c r="A1119">
        <f>IF(Sync!$U1116="","",Sync!$U1116)</f>
        <v/>
      </c>
      <c r="B1119">
        <f>IF($A1119="","",IF(ISNUMBER($A1119),IF(AND($A1119&gt;=10000101,$A1119&lt;=99991231),INT($A1119/10000),""),IFERROR(VALUE(TRIM(LEFT($A1119,FIND("/",$A1119)-1))),"")))</f>
        <v/>
      </c>
      <c r="C1119">
        <f>IF(OR($A1119="",$B1119=""),"",IF(ISNUMBER($A1119),INT(MOD($A1119,10000)/100),IFERROR(VALUE(TRIM(LEFT(MID($A1119,FIND("/",$A1119)+1,20),FIND("/",MID($A1119,FIND("/",$A1119)+1,20))-1))),"")))</f>
        <v/>
      </c>
      <c r="D1119">
        <f>IF(OR($A1119="",$B1119=""),"",IF(ISNUMBER($A1119),MOD($A1119,100),IFERROR(VALUE(TRIM(MID(MID($A1119,FIND("/",$A1119)+1,20),FIND("/",MID($A1119,FIND("/",$A1119)+1,20))+1,20))),"")))</f>
        <v/>
      </c>
      <c r="E1119">
        <f>IF($A1119="","",IF(OR($B1119="",$C1119="",$D1119="",$B1119&lt;1300,$B1119&gt;1500,$C1119&lt;1,$C1119&gt;12,$D1119&lt;1,$D1119&gt;31),"نامعتبر",RIGHT("0000"&amp;$B1119,4)&amp;"/"&amp;RIGHT("00"&amp;$C1119,2)&amp;"/"&amp;RIGHT("00"&amp;$D1119,2)))</f>
        <v/>
      </c>
      <c r="F1119">
        <f>IF(OR($E1119="",$E1119="نامعتبر"),"",LEFT($E1119,4)&amp;"/"&amp;MID($E1119,6,2))</f>
        <v/>
      </c>
      <c r="G1119">
        <f>IF(OR($E1119="",$E1119="نامعتبر",Sync!$Y1116=""),"",Sync!$Y1116)</f>
        <v/>
      </c>
      <c r="H1119">
        <f>IF($G1119="","",IF(Sync!$X1116="","",Sync!$X1116))</f>
        <v/>
      </c>
      <c r="I1119">
        <f>IF($G1119="","",IFERROR(VLOOKUP(Sync!$X1116,OpTbl,3,0),""))</f>
        <v/>
      </c>
      <c r="J1119">
        <f>IF(OR($G1119="",Sync!$Z1116=""),"",Sync!$Z1116)</f>
        <v/>
      </c>
      <c r="K1119">
        <f>IF(OR($G1119="",Sync!$AA1116=""),"",Sync!$AA1116)</f>
        <v/>
      </c>
      <c r="L1119">
        <f>IF($G1119="",0,IF(Sync!$AB1116="",0,Sync!$AB1116))</f>
        <v/>
      </c>
      <c r="M1119">
        <f>IF($G1119="",0,IF(Sync!$AC1116="",0,Sync!$AC1116))</f>
        <v/>
      </c>
      <c r="N1119">
        <f>IF($G1119="","",IF($H1119="مرجوعی خرید",-1,1)*($L1119-$M1119*IFERROR(VLOOKUP("P01",ParamTbl,3,0),1.5))*(1-IF($I1119="خرید",IFERROR(VLOOKUP("P02",ParamTbl,3,0),1),0)/100))</f>
        <v/>
      </c>
      <c r="O1119">
        <f>IF($G1119="",0,IF($H1119="مرجوعی خرید",-1,1)*IF(Sync!$AD1116="",0,Sync!$AD1116))</f>
        <v/>
      </c>
      <c r="P1119">
        <f>IF(OR($G1119="",Sync!$W1116=""),"",Sync!$W1116)</f>
        <v/>
      </c>
      <c r="Q1119">
        <f>IF(OR($G1119="",Sync!$AE1116=""),"",Sync!$AE1116)</f>
        <v/>
      </c>
      <c r="R1119">
        <f>IF($G1119="","",IF(Sync!$V1116="","0000",IF(AND(ISNUMBER(Sync!$V1116),Sync!$V1116&gt;=0,Sync!$V1116&lt;1),RIGHT("00"&amp;HOUR(Sync!$V1116),2)&amp;RIGHT("00"&amp;MINUTE(Sync!$V1116),2),IFERROR(RIGHT("00"&amp;VALUE(LEFT(Sync!$V1116,FIND(":",Sync!$V1116)-1)),2)&amp;RIGHT("00"&amp;VALUE(MID(Sync!$V1116,FIND(":",Sync!$V1116)+1,2)),2),"0000"))))</f>
        <v/>
      </c>
    </row>
    <row r="1120">
      <c r="A1120">
        <f>IF(Sync!$U1117="","",Sync!$U1117)</f>
        <v/>
      </c>
      <c r="B1120">
        <f>IF($A1120="","",IF(ISNUMBER($A1120),IF(AND($A1120&gt;=10000101,$A1120&lt;=99991231),INT($A1120/10000),""),IFERROR(VALUE(TRIM(LEFT($A1120,FIND("/",$A1120)-1))),"")))</f>
        <v/>
      </c>
      <c r="C1120">
        <f>IF(OR($A1120="",$B1120=""),"",IF(ISNUMBER($A1120),INT(MOD($A1120,10000)/100),IFERROR(VALUE(TRIM(LEFT(MID($A1120,FIND("/",$A1120)+1,20),FIND("/",MID($A1120,FIND("/",$A1120)+1,20))-1))),"")))</f>
        <v/>
      </c>
      <c r="D1120">
        <f>IF(OR($A1120="",$B1120=""),"",IF(ISNUMBER($A1120),MOD($A1120,100),IFERROR(VALUE(TRIM(MID(MID($A1120,FIND("/",$A1120)+1,20),FIND("/",MID($A1120,FIND("/",$A1120)+1,20))+1,20))),"")))</f>
        <v/>
      </c>
      <c r="E1120">
        <f>IF($A1120="","",IF(OR($B1120="",$C1120="",$D1120="",$B1120&lt;1300,$B1120&gt;1500,$C1120&lt;1,$C1120&gt;12,$D1120&lt;1,$D1120&gt;31),"نامعتبر",RIGHT("0000"&amp;$B1120,4)&amp;"/"&amp;RIGHT("00"&amp;$C1120,2)&amp;"/"&amp;RIGHT("00"&amp;$D1120,2)))</f>
        <v/>
      </c>
      <c r="F1120">
        <f>IF(OR($E1120="",$E1120="نامعتبر"),"",LEFT($E1120,4)&amp;"/"&amp;MID($E1120,6,2))</f>
        <v/>
      </c>
      <c r="G1120">
        <f>IF(OR($E1120="",$E1120="نامعتبر",Sync!$Y1117=""),"",Sync!$Y1117)</f>
        <v/>
      </c>
      <c r="H1120">
        <f>IF($G1120="","",IF(Sync!$X1117="","",Sync!$X1117))</f>
        <v/>
      </c>
      <c r="I1120">
        <f>IF($G1120="","",IFERROR(VLOOKUP(Sync!$X1117,OpTbl,3,0),""))</f>
        <v/>
      </c>
      <c r="J1120">
        <f>IF(OR($G1120="",Sync!$Z1117=""),"",Sync!$Z1117)</f>
        <v/>
      </c>
      <c r="K1120">
        <f>IF(OR($G1120="",Sync!$AA1117=""),"",Sync!$AA1117)</f>
        <v/>
      </c>
      <c r="L1120">
        <f>IF($G1120="",0,IF(Sync!$AB1117="",0,Sync!$AB1117))</f>
        <v/>
      </c>
      <c r="M1120">
        <f>IF($G1120="",0,IF(Sync!$AC1117="",0,Sync!$AC1117))</f>
        <v/>
      </c>
      <c r="N1120">
        <f>IF($G1120="","",IF($H1120="مرجوعی خرید",-1,1)*($L1120-$M1120*IFERROR(VLOOKUP("P01",ParamTbl,3,0),1.5))*(1-IF($I1120="خرید",IFERROR(VLOOKUP("P02",ParamTbl,3,0),1),0)/100))</f>
        <v/>
      </c>
      <c r="O1120">
        <f>IF($G1120="",0,IF($H1120="مرجوعی خرید",-1,1)*IF(Sync!$AD1117="",0,Sync!$AD1117))</f>
        <v/>
      </c>
      <c r="P1120">
        <f>IF(OR($G1120="",Sync!$W1117=""),"",Sync!$W1117)</f>
        <v/>
      </c>
      <c r="Q1120">
        <f>IF(OR($G1120="",Sync!$AE1117=""),"",Sync!$AE1117)</f>
        <v/>
      </c>
      <c r="R1120">
        <f>IF($G1120="","",IF(Sync!$V1117="","0000",IF(AND(ISNUMBER(Sync!$V1117),Sync!$V1117&gt;=0,Sync!$V1117&lt;1),RIGHT("00"&amp;HOUR(Sync!$V1117),2)&amp;RIGHT("00"&amp;MINUTE(Sync!$V1117),2),IFERROR(RIGHT("00"&amp;VALUE(LEFT(Sync!$V1117,FIND(":",Sync!$V1117)-1)),2)&amp;RIGHT("00"&amp;VALUE(MID(Sync!$V1117,FIND(":",Sync!$V1117)+1,2)),2),"0000"))))</f>
        <v/>
      </c>
    </row>
    <row r="1121">
      <c r="A1121">
        <f>IF(Sync!$U1118="","",Sync!$U1118)</f>
        <v/>
      </c>
      <c r="B1121">
        <f>IF($A1121="","",IF(ISNUMBER($A1121),IF(AND($A1121&gt;=10000101,$A1121&lt;=99991231),INT($A1121/10000),""),IFERROR(VALUE(TRIM(LEFT($A1121,FIND("/",$A1121)-1))),"")))</f>
        <v/>
      </c>
      <c r="C1121">
        <f>IF(OR($A1121="",$B1121=""),"",IF(ISNUMBER($A1121),INT(MOD($A1121,10000)/100),IFERROR(VALUE(TRIM(LEFT(MID($A1121,FIND("/",$A1121)+1,20),FIND("/",MID($A1121,FIND("/",$A1121)+1,20))-1))),"")))</f>
        <v/>
      </c>
      <c r="D1121">
        <f>IF(OR($A1121="",$B1121=""),"",IF(ISNUMBER($A1121),MOD($A1121,100),IFERROR(VALUE(TRIM(MID(MID($A1121,FIND("/",$A1121)+1,20),FIND("/",MID($A1121,FIND("/",$A1121)+1,20))+1,20))),"")))</f>
        <v/>
      </c>
      <c r="E1121">
        <f>IF($A1121="","",IF(OR($B1121="",$C1121="",$D1121="",$B1121&lt;1300,$B1121&gt;1500,$C1121&lt;1,$C1121&gt;12,$D1121&lt;1,$D1121&gt;31),"نامعتبر",RIGHT("0000"&amp;$B1121,4)&amp;"/"&amp;RIGHT("00"&amp;$C1121,2)&amp;"/"&amp;RIGHT("00"&amp;$D1121,2)))</f>
        <v/>
      </c>
      <c r="F1121">
        <f>IF(OR($E1121="",$E1121="نامعتبر"),"",LEFT($E1121,4)&amp;"/"&amp;MID($E1121,6,2))</f>
        <v/>
      </c>
      <c r="G1121">
        <f>IF(OR($E1121="",$E1121="نامعتبر",Sync!$Y1118=""),"",Sync!$Y1118)</f>
        <v/>
      </c>
      <c r="H1121">
        <f>IF($G1121="","",IF(Sync!$X1118="","",Sync!$X1118))</f>
        <v/>
      </c>
      <c r="I1121">
        <f>IF($G1121="","",IFERROR(VLOOKUP(Sync!$X1118,OpTbl,3,0),""))</f>
        <v/>
      </c>
      <c r="J1121">
        <f>IF(OR($G1121="",Sync!$Z1118=""),"",Sync!$Z1118)</f>
        <v/>
      </c>
      <c r="K1121">
        <f>IF(OR($G1121="",Sync!$AA1118=""),"",Sync!$AA1118)</f>
        <v/>
      </c>
      <c r="L1121">
        <f>IF($G1121="",0,IF(Sync!$AB1118="",0,Sync!$AB1118))</f>
        <v/>
      </c>
      <c r="M1121">
        <f>IF($G1121="",0,IF(Sync!$AC1118="",0,Sync!$AC1118))</f>
        <v/>
      </c>
      <c r="N1121">
        <f>IF($G1121="","",IF($H1121="مرجوعی خرید",-1,1)*($L1121-$M1121*IFERROR(VLOOKUP("P01",ParamTbl,3,0),1.5))*(1-IF($I1121="خرید",IFERROR(VLOOKUP("P02",ParamTbl,3,0),1),0)/100))</f>
        <v/>
      </c>
      <c r="O1121">
        <f>IF($G1121="",0,IF($H1121="مرجوعی خرید",-1,1)*IF(Sync!$AD1118="",0,Sync!$AD1118))</f>
        <v/>
      </c>
      <c r="P1121">
        <f>IF(OR($G1121="",Sync!$W1118=""),"",Sync!$W1118)</f>
        <v/>
      </c>
      <c r="Q1121">
        <f>IF(OR($G1121="",Sync!$AE1118=""),"",Sync!$AE1118)</f>
        <v/>
      </c>
      <c r="R1121">
        <f>IF($G1121="","",IF(Sync!$V1118="","0000",IF(AND(ISNUMBER(Sync!$V1118),Sync!$V1118&gt;=0,Sync!$V1118&lt;1),RIGHT("00"&amp;HOUR(Sync!$V1118),2)&amp;RIGHT("00"&amp;MINUTE(Sync!$V1118),2),IFERROR(RIGHT("00"&amp;VALUE(LEFT(Sync!$V1118,FIND(":",Sync!$V1118)-1)),2)&amp;RIGHT("00"&amp;VALUE(MID(Sync!$V1118,FIND(":",Sync!$V1118)+1,2)),2),"0000"))))</f>
        <v/>
      </c>
    </row>
    <row r="1122">
      <c r="A1122">
        <f>IF(Sync!$U1119="","",Sync!$U1119)</f>
        <v/>
      </c>
      <c r="B1122">
        <f>IF($A1122="","",IF(ISNUMBER($A1122),IF(AND($A1122&gt;=10000101,$A1122&lt;=99991231),INT($A1122/10000),""),IFERROR(VALUE(TRIM(LEFT($A1122,FIND("/",$A1122)-1))),"")))</f>
        <v/>
      </c>
      <c r="C1122">
        <f>IF(OR($A1122="",$B1122=""),"",IF(ISNUMBER($A1122),INT(MOD($A1122,10000)/100),IFERROR(VALUE(TRIM(LEFT(MID($A1122,FIND("/",$A1122)+1,20),FIND("/",MID($A1122,FIND("/",$A1122)+1,20))-1))),"")))</f>
        <v/>
      </c>
      <c r="D1122">
        <f>IF(OR($A1122="",$B1122=""),"",IF(ISNUMBER($A1122),MOD($A1122,100),IFERROR(VALUE(TRIM(MID(MID($A1122,FIND("/",$A1122)+1,20),FIND("/",MID($A1122,FIND("/",$A1122)+1,20))+1,20))),"")))</f>
        <v/>
      </c>
      <c r="E1122">
        <f>IF($A1122="","",IF(OR($B1122="",$C1122="",$D1122="",$B1122&lt;1300,$B1122&gt;1500,$C1122&lt;1,$C1122&gt;12,$D1122&lt;1,$D1122&gt;31),"نامعتبر",RIGHT("0000"&amp;$B1122,4)&amp;"/"&amp;RIGHT("00"&amp;$C1122,2)&amp;"/"&amp;RIGHT("00"&amp;$D1122,2)))</f>
        <v/>
      </c>
      <c r="F1122">
        <f>IF(OR($E1122="",$E1122="نامعتبر"),"",LEFT($E1122,4)&amp;"/"&amp;MID($E1122,6,2))</f>
        <v/>
      </c>
      <c r="G1122">
        <f>IF(OR($E1122="",$E1122="نامعتبر",Sync!$Y1119=""),"",Sync!$Y1119)</f>
        <v/>
      </c>
      <c r="H1122">
        <f>IF($G1122="","",IF(Sync!$X1119="","",Sync!$X1119))</f>
        <v/>
      </c>
      <c r="I1122">
        <f>IF($G1122="","",IFERROR(VLOOKUP(Sync!$X1119,OpTbl,3,0),""))</f>
        <v/>
      </c>
      <c r="J1122">
        <f>IF(OR($G1122="",Sync!$Z1119=""),"",Sync!$Z1119)</f>
        <v/>
      </c>
      <c r="K1122">
        <f>IF(OR($G1122="",Sync!$AA1119=""),"",Sync!$AA1119)</f>
        <v/>
      </c>
      <c r="L1122">
        <f>IF($G1122="",0,IF(Sync!$AB1119="",0,Sync!$AB1119))</f>
        <v/>
      </c>
      <c r="M1122">
        <f>IF($G1122="",0,IF(Sync!$AC1119="",0,Sync!$AC1119))</f>
        <v/>
      </c>
      <c r="N1122">
        <f>IF($G1122="","",IF($H1122="مرجوعی خرید",-1,1)*($L1122-$M1122*IFERROR(VLOOKUP("P01",ParamTbl,3,0),1.5))*(1-IF($I1122="خرید",IFERROR(VLOOKUP("P02",ParamTbl,3,0),1),0)/100))</f>
        <v/>
      </c>
      <c r="O1122">
        <f>IF($G1122="",0,IF($H1122="مرجوعی خرید",-1,1)*IF(Sync!$AD1119="",0,Sync!$AD1119))</f>
        <v/>
      </c>
      <c r="P1122">
        <f>IF(OR($G1122="",Sync!$W1119=""),"",Sync!$W1119)</f>
        <v/>
      </c>
      <c r="Q1122">
        <f>IF(OR($G1122="",Sync!$AE1119=""),"",Sync!$AE1119)</f>
        <v/>
      </c>
      <c r="R1122">
        <f>IF($G1122="","",IF(Sync!$V1119="","0000",IF(AND(ISNUMBER(Sync!$V1119),Sync!$V1119&gt;=0,Sync!$V1119&lt;1),RIGHT("00"&amp;HOUR(Sync!$V1119),2)&amp;RIGHT("00"&amp;MINUTE(Sync!$V1119),2),IFERROR(RIGHT("00"&amp;VALUE(LEFT(Sync!$V1119,FIND(":",Sync!$V1119)-1)),2)&amp;RIGHT("00"&amp;VALUE(MID(Sync!$V1119,FIND(":",Sync!$V1119)+1,2)),2),"0000"))))</f>
        <v/>
      </c>
    </row>
    <row r="1123">
      <c r="A1123">
        <f>IF(Sync!$U1120="","",Sync!$U1120)</f>
        <v/>
      </c>
      <c r="B1123">
        <f>IF($A1123="","",IF(ISNUMBER($A1123),IF(AND($A1123&gt;=10000101,$A1123&lt;=99991231),INT($A1123/10000),""),IFERROR(VALUE(TRIM(LEFT($A1123,FIND("/",$A1123)-1))),"")))</f>
        <v/>
      </c>
      <c r="C1123">
        <f>IF(OR($A1123="",$B1123=""),"",IF(ISNUMBER($A1123),INT(MOD($A1123,10000)/100),IFERROR(VALUE(TRIM(LEFT(MID($A1123,FIND("/",$A1123)+1,20),FIND("/",MID($A1123,FIND("/",$A1123)+1,20))-1))),"")))</f>
        <v/>
      </c>
      <c r="D1123">
        <f>IF(OR($A1123="",$B1123=""),"",IF(ISNUMBER($A1123),MOD($A1123,100),IFERROR(VALUE(TRIM(MID(MID($A1123,FIND("/",$A1123)+1,20),FIND("/",MID($A1123,FIND("/",$A1123)+1,20))+1,20))),"")))</f>
        <v/>
      </c>
      <c r="E1123">
        <f>IF($A1123="","",IF(OR($B1123="",$C1123="",$D1123="",$B1123&lt;1300,$B1123&gt;1500,$C1123&lt;1,$C1123&gt;12,$D1123&lt;1,$D1123&gt;31),"نامعتبر",RIGHT("0000"&amp;$B1123,4)&amp;"/"&amp;RIGHT("00"&amp;$C1123,2)&amp;"/"&amp;RIGHT("00"&amp;$D1123,2)))</f>
        <v/>
      </c>
      <c r="F1123">
        <f>IF(OR($E1123="",$E1123="نامعتبر"),"",LEFT($E1123,4)&amp;"/"&amp;MID($E1123,6,2))</f>
        <v/>
      </c>
      <c r="G1123">
        <f>IF(OR($E1123="",$E1123="نامعتبر",Sync!$Y1120=""),"",Sync!$Y1120)</f>
        <v/>
      </c>
      <c r="H1123">
        <f>IF($G1123="","",IF(Sync!$X1120="","",Sync!$X1120))</f>
        <v/>
      </c>
      <c r="I1123">
        <f>IF($G1123="","",IFERROR(VLOOKUP(Sync!$X1120,OpTbl,3,0),""))</f>
        <v/>
      </c>
      <c r="J1123">
        <f>IF(OR($G1123="",Sync!$Z1120=""),"",Sync!$Z1120)</f>
        <v/>
      </c>
      <c r="K1123">
        <f>IF(OR($G1123="",Sync!$AA1120=""),"",Sync!$AA1120)</f>
        <v/>
      </c>
      <c r="L1123">
        <f>IF($G1123="",0,IF(Sync!$AB1120="",0,Sync!$AB1120))</f>
        <v/>
      </c>
      <c r="M1123">
        <f>IF($G1123="",0,IF(Sync!$AC1120="",0,Sync!$AC1120))</f>
        <v/>
      </c>
      <c r="N1123">
        <f>IF($G1123="","",IF($H1123="مرجوعی خرید",-1,1)*($L1123-$M1123*IFERROR(VLOOKUP("P01",ParamTbl,3,0),1.5))*(1-IF($I1123="خرید",IFERROR(VLOOKUP("P02",ParamTbl,3,0),1),0)/100))</f>
        <v/>
      </c>
      <c r="O1123">
        <f>IF($G1123="",0,IF($H1123="مرجوعی خرید",-1,1)*IF(Sync!$AD1120="",0,Sync!$AD1120))</f>
        <v/>
      </c>
      <c r="P1123">
        <f>IF(OR($G1123="",Sync!$W1120=""),"",Sync!$W1120)</f>
        <v/>
      </c>
      <c r="Q1123">
        <f>IF(OR($G1123="",Sync!$AE1120=""),"",Sync!$AE1120)</f>
        <v/>
      </c>
      <c r="R1123">
        <f>IF($G1123="","",IF(Sync!$V1120="","0000",IF(AND(ISNUMBER(Sync!$V1120),Sync!$V1120&gt;=0,Sync!$V1120&lt;1),RIGHT("00"&amp;HOUR(Sync!$V1120),2)&amp;RIGHT("00"&amp;MINUTE(Sync!$V1120),2),IFERROR(RIGHT("00"&amp;VALUE(LEFT(Sync!$V1120,FIND(":",Sync!$V1120)-1)),2)&amp;RIGHT("00"&amp;VALUE(MID(Sync!$V1120,FIND(":",Sync!$V1120)+1,2)),2),"0000"))))</f>
        <v/>
      </c>
    </row>
    <row r="1124">
      <c r="A1124">
        <f>IF(Sync!$U1121="","",Sync!$U1121)</f>
        <v/>
      </c>
      <c r="B1124">
        <f>IF($A1124="","",IF(ISNUMBER($A1124),IF(AND($A1124&gt;=10000101,$A1124&lt;=99991231),INT($A1124/10000),""),IFERROR(VALUE(TRIM(LEFT($A1124,FIND("/",$A1124)-1))),"")))</f>
        <v/>
      </c>
      <c r="C1124">
        <f>IF(OR($A1124="",$B1124=""),"",IF(ISNUMBER($A1124),INT(MOD($A1124,10000)/100),IFERROR(VALUE(TRIM(LEFT(MID($A1124,FIND("/",$A1124)+1,20),FIND("/",MID($A1124,FIND("/",$A1124)+1,20))-1))),"")))</f>
        <v/>
      </c>
      <c r="D1124">
        <f>IF(OR($A1124="",$B1124=""),"",IF(ISNUMBER($A1124),MOD($A1124,100),IFERROR(VALUE(TRIM(MID(MID($A1124,FIND("/",$A1124)+1,20),FIND("/",MID($A1124,FIND("/",$A1124)+1,20))+1,20))),"")))</f>
        <v/>
      </c>
      <c r="E1124">
        <f>IF($A1124="","",IF(OR($B1124="",$C1124="",$D1124="",$B1124&lt;1300,$B1124&gt;1500,$C1124&lt;1,$C1124&gt;12,$D1124&lt;1,$D1124&gt;31),"نامعتبر",RIGHT("0000"&amp;$B1124,4)&amp;"/"&amp;RIGHT("00"&amp;$C1124,2)&amp;"/"&amp;RIGHT("00"&amp;$D1124,2)))</f>
        <v/>
      </c>
      <c r="F1124">
        <f>IF(OR($E1124="",$E1124="نامعتبر"),"",LEFT($E1124,4)&amp;"/"&amp;MID($E1124,6,2))</f>
        <v/>
      </c>
      <c r="G1124">
        <f>IF(OR($E1124="",$E1124="نامعتبر",Sync!$Y1121=""),"",Sync!$Y1121)</f>
        <v/>
      </c>
      <c r="H1124">
        <f>IF($G1124="","",IF(Sync!$X1121="","",Sync!$X1121))</f>
        <v/>
      </c>
      <c r="I1124">
        <f>IF($G1124="","",IFERROR(VLOOKUP(Sync!$X1121,OpTbl,3,0),""))</f>
        <v/>
      </c>
      <c r="J1124">
        <f>IF(OR($G1124="",Sync!$Z1121=""),"",Sync!$Z1121)</f>
        <v/>
      </c>
      <c r="K1124">
        <f>IF(OR($G1124="",Sync!$AA1121=""),"",Sync!$AA1121)</f>
        <v/>
      </c>
      <c r="L1124">
        <f>IF($G1124="",0,IF(Sync!$AB1121="",0,Sync!$AB1121))</f>
        <v/>
      </c>
      <c r="M1124">
        <f>IF($G1124="",0,IF(Sync!$AC1121="",0,Sync!$AC1121))</f>
        <v/>
      </c>
      <c r="N1124">
        <f>IF($G1124="","",IF($H1124="مرجوعی خرید",-1,1)*($L1124-$M1124*IFERROR(VLOOKUP("P01",ParamTbl,3,0),1.5))*(1-IF($I1124="خرید",IFERROR(VLOOKUP("P02",ParamTbl,3,0),1),0)/100))</f>
        <v/>
      </c>
      <c r="O1124">
        <f>IF($G1124="",0,IF($H1124="مرجوعی خرید",-1,1)*IF(Sync!$AD1121="",0,Sync!$AD1121))</f>
        <v/>
      </c>
      <c r="P1124">
        <f>IF(OR($G1124="",Sync!$W1121=""),"",Sync!$W1121)</f>
        <v/>
      </c>
      <c r="Q1124">
        <f>IF(OR($G1124="",Sync!$AE1121=""),"",Sync!$AE1121)</f>
        <v/>
      </c>
      <c r="R1124">
        <f>IF($G1124="","",IF(Sync!$V1121="","0000",IF(AND(ISNUMBER(Sync!$V1121),Sync!$V1121&gt;=0,Sync!$V1121&lt;1),RIGHT("00"&amp;HOUR(Sync!$V1121),2)&amp;RIGHT("00"&amp;MINUTE(Sync!$V1121),2),IFERROR(RIGHT("00"&amp;VALUE(LEFT(Sync!$V1121,FIND(":",Sync!$V1121)-1)),2)&amp;RIGHT("00"&amp;VALUE(MID(Sync!$V1121,FIND(":",Sync!$V1121)+1,2)),2),"0000"))))</f>
        <v/>
      </c>
    </row>
    <row r="1125">
      <c r="A1125">
        <f>IF(Sync!$U1122="","",Sync!$U1122)</f>
        <v/>
      </c>
      <c r="B1125">
        <f>IF($A1125="","",IF(ISNUMBER($A1125),IF(AND($A1125&gt;=10000101,$A1125&lt;=99991231),INT($A1125/10000),""),IFERROR(VALUE(TRIM(LEFT($A1125,FIND("/",$A1125)-1))),"")))</f>
        <v/>
      </c>
      <c r="C1125">
        <f>IF(OR($A1125="",$B1125=""),"",IF(ISNUMBER($A1125),INT(MOD($A1125,10000)/100),IFERROR(VALUE(TRIM(LEFT(MID($A1125,FIND("/",$A1125)+1,20),FIND("/",MID($A1125,FIND("/",$A1125)+1,20))-1))),"")))</f>
        <v/>
      </c>
      <c r="D1125">
        <f>IF(OR($A1125="",$B1125=""),"",IF(ISNUMBER($A1125),MOD($A1125,100),IFERROR(VALUE(TRIM(MID(MID($A1125,FIND("/",$A1125)+1,20),FIND("/",MID($A1125,FIND("/",$A1125)+1,20))+1,20))),"")))</f>
        <v/>
      </c>
      <c r="E1125">
        <f>IF($A1125="","",IF(OR($B1125="",$C1125="",$D1125="",$B1125&lt;1300,$B1125&gt;1500,$C1125&lt;1,$C1125&gt;12,$D1125&lt;1,$D1125&gt;31),"نامعتبر",RIGHT("0000"&amp;$B1125,4)&amp;"/"&amp;RIGHT("00"&amp;$C1125,2)&amp;"/"&amp;RIGHT("00"&amp;$D1125,2)))</f>
        <v/>
      </c>
      <c r="F1125">
        <f>IF(OR($E1125="",$E1125="نامعتبر"),"",LEFT($E1125,4)&amp;"/"&amp;MID($E1125,6,2))</f>
        <v/>
      </c>
      <c r="G1125">
        <f>IF(OR($E1125="",$E1125="نامعتبر",Sync!$Y1122=""),"",Sync!$Y1122)</f>
        <v/>
      </c>
      <c r="H1125">
        <f>IF($G1125="","",IF(Sync!$X1122="","",Sync!$X1122))</f>
        <v/>
      </c>
      <c r="I1125">
        <f>IF($G1125="","",IFERROR(VLOOKUP(Sync!$X1122,OpTbl,3,0),""))</f>
        <v/>
      </c>
      <c r="J1125">
        <f>IF(OR($G1125="",Sync!$Z1122=""),"",Sync!$Z1122)</f>
        <v/>
      </c>
      <c r="K1125">
        <f>IF(OR($G1125="",Sync!$AA1122=""),"",Sync!$AA1122)</f>
        <v/>
      </c>
      <c r="L1125">
        <f>IF($G1125="",0,IF(Sync!$AB1122="",0,Sync!$AB1122))</f>
        <v/>
      </c>
      <c r="M1125">
        <f>IF($G1125="",0,IF(Sync!$AC1122="",0,Sync!$AC1122))</f>
        <v/>
      </c>
      <c r="N1125">
        <f>IF($G1125="","",IF($H1125="مرجوعی خرید",-1,1)*($L1125-$M1125*IFERROR(VLOOKUP("P01",ParamTbl,3,0),1.5))*(1-IF($I1125="خرید",IFERROR(VLOOKUP("P02",ParamTbl,3,0),1),0)/100))</f>
        <v/>
      </c>
      <c r="O1125">
        <f>IF($G1125="",0,IF($H1125="مرجوعی خرید",-1,1)*IF(Sync!$AD1122="",0,Sync!$AD1122))</f>
        <v/>
      </c>
      <c r="P1125">
        <f>IF(OR($G1125="",Sync!$W1122=""),"",Sync!$W1122)</f>
        <v/>
      </c>
      <c r="Q1125">
        <f>IF(OR($G1125="",Sync!$AE1122=""),"",Sync!$AE1122)</f>
        <v/>
      </c>
      <c r="R1125">
        <f>IF($G1125="","",IF(Sync!$V1122="","0000",IF(AND(ISNUMBER(Sync!$V1122),Sync!$V1122&gt;=0,Sync!$V1122&lt;1),RIGHT("00"&amp;HOUR(Sync!$V1122),2)&amp;RIGHT("00"&amp;MINUTE(Sync!$V1122),2),IFERROR(RIGHT("00"&amp;VALUE(LEFT(Sync!$V1122,FIND(":",Sync!$V1122)-1)),2)&amp;RIGHT("00"&amp;VALUE(MID(Sync!$V1122,FIND(":",Sync!$V1122)+1,2)),2),"0000"))))</f>
        <v/>
      </c>
    </row>
    <row r="1126">
      <c r="A1126">
        <f>IF(Sync!$U1123="","",Sync!$U1123)</f>
        <v/>
      </c>
      <c r="B1126">
        <f>IF($A1126="","",IF(ISNUMBER($A1126),IF(AND($A1126&gt;=10000101,$A1126&lt;=99991231),INT($A1126/10000),""),IFERROR(VALUE(TRIM(LEFT($A1126,FIND("/",$A1126)-1))),"")))</f>
        <v/>
      </c>
      <c r="C1126">
        <f>IF(OR($A1126="",$B1126=""),"",IF(ISNUMBER($A1126),INT(MOD($A1126,10000)/100),IFERROR(VALUE(TRIM(LEFT(MID($A1126,FIND("/",$A1126)+1,20),FIND("/",MID($A1126,FIND("/",$A1126)+1,20))-1))),"")))</f>
        <v/>
      </c>
      <c r="D1126">
        <f>IF(OR($A1126="",$B1126=""),"",IF(ISNUMBER($A1126),MOD($A1126,100),IFERROR(VALUE(TRIM(MID(MID($A1126,FIND("/",$A1126)+1,20),FIND("/",MID($A1126,FIND("/",$A1126)+1,20))+1,20))),"")))</f>
        <v/>
      </c>
      <c r="E1126">
        <f>IF($A1126="","",IF(OR($B1126="",$C1126="",$D1126="",$B1126&lt;1300,$B1126&gt;1500,$C1126&lt;1,$C1126&gt;12,$D1126&lt;1,$D1126&gt;31),"نامعتبر",RIGHT("0000"&amp;$B1126,4)&amp;"/"&amp;RIGHT("00"&amp;$C1126,2)&amp;"/"&amp;RIGHT("00"&amp;$D1126,2)))</f>
        <v/>
      </c>
      <c r="F1126">
        <f>IF(OR($E1126="",$E1126="نامعتبر"),"",LEFT($E1126,4)&amp;"/"&amp;MID($E1126,6,2))</f>
        <v/>
      </c>
      <c r="G1126">
        <f>IF(OR($E1126="",$E1126="نامعتبر",Sync!$Y1123=""),"",Sync!$Y1123)</f>
        <v/>
      </c>
      <c r="H1126">
        <f>IF($G1126="","",IF(Sync!$X1123="","",Sync!$X1123))</f>
        <v/>
      </c>
      <c r="I1126">
        <f>IF($G1126="","",IFERROR(VLOOKUP(Sync!$X1123,OpTbl,3,0),""))</f>
        <v/>
      </c>
      <c r="J1126">
        <f>IF(OR($G1126="",Sync!$Z1123=""),"",Sync!$Z1123)</f>
        <v/>
      </c>
      <c r="K1126">
        <f>IF(OR($G1126="",Sync!$AA1123=""),"",Sync!$AA1123)</f>
        <v/>
      </c>
      <c r="L1126">
        <f>IF($G1126="",0,IF(Sync!$AB1123="",0,Sync!$AB1123))</f>
        <v/>
      </c>
      <c r="M1126">
        <f>IF($G1126="",0,IF(Sync!$AC1123="",0,Sync!$AC1123))</f>
        <v/>
      </c>
      <c r="N1126">
        <f>IF($G1126="","",IF($H1126="مرجوعی خرید",-1,1)*($L1126-$M1126*IFERROR(VLOOKUP("P01",ParamTbl,3,0),1.5))*(1-IF($I1126="خرید",IFERROR(VLOOKUP("P02",ParamTbl,3,0),1),0)/100))</f>
        <v/>
      </c>
      <c r="O1126">
        <f>IF($G1126="",0,IF($H1126="مرجوعی خرید",-1,1)*IF(Sync!$AD1123="",0,Sync!$AD1123))</f>
        <v/>
      </c>
      <c r="P1126">
        <f>IF(OR($G1126="",Sync!$W1123=""),"",Sync!$W1123)</f>
        <v/>
      </c>
      <c r="Q1126">
        <f>IF(OR($G1126="",Sync!$AE1123=""),"",Sync!$AE1123)</f>
        <v/>
      </c>
      <c r="R1126">
        <f>IF($G1126="","",IF(Sync!$V1123="","0000",IF(AND(ISNUMBER(Sync!$V1123),Sync!$V1123&gt;=0,Sync!$V1123&lt;1),RIGHT("00"&amp;HOUR(Sync!$V1123),2)&amp;RIGHT("00"&amp;MINUTE(Sync!$V1123),2),IFERROR(RIGHT("00"&amp;VALUE(LEFT(Sync!$V1123,FIND(":",Sync!$V1123)-1)),2)&amp;RIGHT("00"&amp;VALUE(MID(Sync!$V1123,FIND(":",Sync!$V1123)+1,2)),2),"0000"))))</f>
        <v/>
      </c>
    </row>
    <row r="1127">
      <c r="A1127">
        <f>IF(Sync!$U1124="","",Sync!$U1124)</f>
        <v/>
      </c>
      <c r="B1127">
        <f>IF($A1127="","",IF(ISNUMBER($A1127),IF(AND($A1127&gt;=10000101,$A1127&lt;=99991231),INT($A1127/10000),""),IFERROR(VALUE(TRIM(LEFT($A1127,FIND("/",$A1127)-1))),"")))</f>
        <v/>
      </c>
      <c r="C1127">
        <f>IF(OR($A1127="",$B1127=""),"",IF(ISNUMBER($A1127),INT(MOD($A1127,10000)/100),IFERROR(VALUE(TRIM(LEFT(MID($A1127,FIND("/",$A1127)+1,20),FIND("/",MID($A1127,FIND("/",$A1127)+1,20))-1))),"")))</f>
        <v/>
      </c>
      <c r="D1127">
        <f>IF(OR($A1127="",$B1127=""),"",IF(ISNUMBER($A1127),MOD($A1127,100),IFERROR(VALUE(TRIM(MID(MID($A1127,FIND("/",$A1127)+1,20),FIND("/",MID($A1127,FIND("/",$A1127)+1,20))+1,20))),"")))</f>
        <v/>
      </c>
      <c r="E1127">
        <f>IF($A1127="","",IF(OR($B1127="",$C1127="",$D1127="",$B1127&lt;1300,$B1127&gt;1500,$C1127&lt;1,$C1127&gt;12,$D1127&lt;1,$D1127&gt;31),"نامعتبر",RIGHT("0000"&amp;$B1127,4)&amp;"/"&amp;RIGHT("00"&amp;$C1127,2)&amp;"/"&amp;RIGHT("00"&amp;$D1127,2)))</f>
        <v/>
      </c>
      <c r="F1127">
        <f>IF(OR($E1127="",$E1127="نامعتبر"),"",LEFT($E1127,4)&amp;"/"&amp;MID($E1127,6,2))</f>
        <v/>
      </c>
      <c r="G1127">
        <f>IF(OR($E1127="",$E1127="نامعتبر",Sync!$Y1124=""),"",Sync!$Y1124)</f>
        <v/>
      </c>
      <c r="H1127">
        <f>IF($G1127="","",IF(Sync!$X1124="","",Sync!$X1124))</f>
        <v/>
      </c>
      <c r="I1127">
        <f>IF($G1127="","",IFERROR(VLOOKUP(Sync!$X1124,OpTbl,3,0),""))</f>
        <v/>
      </c>
      <c r="J1127">
        <f>IF(OR($G1127="",Sync!$Z1124=""),"",Sync!$Z1124)</f>
        <v/>
      </c>
      <c r="K1127">
        <f>IF(OR($G1127="",Sync!$AA1124=""),"",Sync!$AA1124)</f>
        <v/>
      </c>
      <c r="L1127">
        <f>IF($G1127="",0,IF(Sync!$AB1124="",0,Sync!$AB1124))</f>
        <v/>
      </c>
      <c r="M1127">
        <f>IF($G1127="",0,IF(Sync!$AC1124="",0,Sync!$AC1124))</f>
        <v/>
      </c>
      <c r="N1127">
        <f>IF($G1127="","",IF($H1127="مرجوعی خرید",-1,1)*($L1127-$M1127*IFERROR(VLOOKUP("P01",ParamTbl,3,0),1.5))*(1-IF($I1127="خرید",IFERROR(VLOOKUP("P02",ParamTbl,3,0),1),0)/100))</f>
        <v/>
      </c>
      <c r="O1127">
        <f>IF($G1127="",0,IF($H1127="مرجوعی خرید",-1,1)*IF(Sync!$AD1124="",0,Sync!$AD1124))</f>
        <v/>
      </c>
      <c r="P1127">
        <f>IF(OR($G1127="",Sync!$W1124=""),"",Sync!$W1124)</f>
        <v/>
      </c>
      <c r="Q1127">
        <f>IF(OR($G1127="",Sync!$AE1124=""),"",Sync!$AE1124)</f>
        <v/>
      </c>
      <c r="R1127">
        <f>IF($G1127="","",IF(Sync!$V1124="","0000",IF(AND(ISNUMBER(Sync!$V1124),Sync!$V1124&gt;=0,Sync!$V1124&lt;1),RIGHT("00"&amp;HOUR(Sync!$V1124),2)&amp;RIGHT("00"&amp;MINUTE(Sync!$V1124),2),IFERROR(RIGHT("00"&amp;VALUE(LEFT(Sync!$V1124,FIND(":",Sync!$V1124)-1)),2)&amp;RIGHT("00"&amp;VALUE(MID(Sync!$V1124,FIND(":",Sync!$V1124)+1,2)),2),"0000"))))</f>
        <v/>
      </c>
    </row>
    <row r="1128">
      <c r="A1128">
        <f>IF(Sync!$U1125="","",Sync!$U1125)</f>
        <v/>
      </c>
      <c r="B1128">
        <f>IF($A1128="","",IF(ISNUMBER($A1128),IF(AND($A1128&gt;=10000101,$A1128&lt;=99991231),INT($A1128/10000),""),IFERROR(VALUE(TRIM(LEFT($A1128,FIND("/",$A1128)-1))),"")))</f>
        <v/>
      </c>
      <c r="C1128">
        <f>IF(OR($A1128="",$B1128=""),"",IF(ISNUMBER($A1128),INT(MOD($A1128,10000)/100),IFERROR(VALUE(TRIM(LEFT(MID($A1128,FIND("/",$A1128)+1,20),FIND("/",MID($A1128,FIND("/",$A1128)+1,20))-1))),"")))</f>
        <v/>
      </c>
      <c r="D1128">
        <f>IF(OR($A1128="",$B1128=""),"",IF(ISNUMBER($A1128),MOD($A1128,100),IFERROR(VALUE(TRIM(MID(MID($A1128,FIND("/",$A1128)+1,20),FIND("/",MID($A1128,FIND("/",$A1128)+1,20))+1,20))),"")))</f>
        <v/>
      </c>
      <c r="E1128">
        <f>IF($A1128="","",IF(OR($B1128="",$C1128="",$D1128="",$B1128&lt;1300,$B1128&gt;1500,$C1128&lt;1,$C1128&gt;12,$D1128&lt;1,$D1128&gt;31),"نامعتبر",RIGHT("0000"&amp;$B1128,4)&amp;"/"&amp;RIGHT("00"&amp;$C1128,2)&amp;"/"&amp;RIGHT("00"&amp;$D1128,2)))</f>
        <v/>
      </c>
      <c r="F1128">
        <f>IF(OR($E1128="",$E1128="نامعتبر"),"",LEFT($E1128,4)&amp;"/"&amp;MID($E1128,6,2))</f>
        <v/>
      </c>
      <c r="G1128">
        <f>IF(OR($E1128="",$E1128="نامعتبر",Sync!$Y1125=""),"",Sync!$Y1125)</f>
        <v/>
      </c>
      <c r="H1128">
        <f>IF($G1128="","",IF(Sync!$X1125="","",Sync!$X1125))</f>
        <v/>
      </c>
      <c r="I1128">
        <f>IF($G1128="","",IFERROR(VLOOKUP(Sync!$X1125,OpTbl,3,0),""))</f>
        <v/>
      </c>
      <c r="J1128">
        <f>IF(OR($G1128="",Sync!$Z1125=""),"",Sync!$Z1125)</f>
        <v/>
      </c>
      <c r="K1128">
        <f>IF(OR($G1128="",Sync!$AA1125=""),"",Sync!$AA1125)</f>
        <v/>
      </c>
      <c r="L1128">
        <f>IF($G1128="",0,IF(Sync!$AB1125="",0,Sync!$AB1125))</f>
        <v/>
      </c>
      <c r="M1128">
        <f>IF($G1128="",0,IF(Sync!$AC1125="",0,Sync!$AC1125))</f>
        <v/>
      </c>
      <c r="N1128">
        <f>IF($G1128="","",IF($H1128="مرجوعی خرید",-1,1)*($L1128-$M1128*IFERROR(VLOOKUP("P01",ParamTbl,3,0),1.5))*(1-IF($I1128="خرید",IFERROR(VLOOKUP("P02",ParamTbl,3,0),1),0)/100))</f>
        <v/>
      </c>
      <c r="O1128">
        <f>IF($G1128="",0,IF($H1128="مرجوعی خرید",-1,1)*IF(Sync!$AD1125="",0,Sync!$AD1125))</f>
        <v/>
      </c>
      <c r="P1128">
        <f>IF(OR($G1128="",Sync!$W1125=""),"",Sync!$W1125)</f>
        <v/>
      </c>
      <c r="Q1128">
        <f>IF(OR($G1128="",Sync!$AE1125=""),"",Sync!$AE1125)</f>
        <v/>
      </c>
      <c r="R1128">
        <f>IF($G1128="","",IF(Sync!$V1125="","0000",IF(AND(ISNUMBER(Sync!$V1125),Sync!$V1125&gt;=0,Sync!$V1125&lt;1),RIGHT("00"&amp;HOUR(Sync!$V1125),2)&amp;RIGHT("00"&amp;MINUTE(Sync!$V1125),2),IFERROR(RIGHT("00"&amp;VALUE(LEFT(Sync!$V1125,FIND(":",Sync!$V1125)-1)),2)&amp;RIGHT("00"&amp;VALUE(MID(Sync!$V1125,FIND(":",Sync!$V1125)+1,2)),2),"0000"))))</f>
        <v/>
      </c>
    </row>
    <row r="1129">
      <c r="A1129">
        <f>IF(Sync!$U1126="","",Sync!$U1126)</f>
        <v/>
      </c>
      <c r="B1129">
        <f>IF($A1129="","",IF(ISNUMBER($A1129),IF(AND($A1129&gt;=10000101,$A1129&lt;=99991231),INT($A1129/10000),""),IFERROR(VALUE(TRIM(LEFT($A1129,FIND("/",$A1129)-1))),"")))</f>
        <v/>
      </c>
      <c r="C1129">
        <f>IF(OR($A1129="",$B1129=""),"",IF(ISNUMBER($A1129),INT(MOD($A1129,10000)/100),IFERROR(VALUE(TRIM(LEFT(MID($A1129,FIND("/",$A1129)+1,20),FIND("/",MID($A1129,FIND("/",$A1129)+1,20))-1))),"")))</f>
        <v/>
      </c>
      <c r="D1129">
        <f>IF(OR($A1129="",$B1129=""),"",IF(ISNUMBER($A1129),MOD($A1129,100),IFERROR(VALUE(TRIM(MID(MID($A1129,FIND("/",$A1129)+1,20),FIND("/",MID($A1129,FIND("/",$A1129)+1,20))+1,20))),"")))</f>
        <v/>
      </c>
      <c r="E1129">
        <f>IF($A1129="","",IF(OR($B1129="",$C1129="",$D1129="",$B1129&lt;1300,$B1129&gt;1500,$C1129&lt;1,$C1129&gt;12,$D1129&lt;1,$D1129&gt;31),"نامعتبر",RIGHT("0000"&amp;$B1129,4)&amp;"/"&amp;RIGHT("00"&amp;$C1129,2)&amp;"/"&amp;RIGHT("00"&amp;$D1129,2)))</f>
        <v/>
      </c>
      <c r="F1129">
        <f>IF(OR($E1129="",$E1129="نامعتبر"),"",LEFT($E1129,4)&amp;"/"&amp;MID($E1129,6,2))</f>
        <v/>
      </c>
      <c r="G1129">
        <f>IF(OR($E1129="",$E1129="نامعتبر",Sync!$Y1126=""),"",Sync!$Y1126)</f>
        <v/>
      </c>
      <c r="H1129">
        <f>IF($G1129="","",IF(Sync!$X1126="","",Sync!$X1126))</f>
        <v/>
      </c>
      <c r="I1129">
        <f>IF($G1129="","",IFERROR(VLOOKUP(Sync!$X1126,OpTbl,3,0),""))</f>
        <v/>
      </c>
      <c r="J1129">
        <f>IF(OR($G1129="",Sync!$Z1126=""),"",Sync!$Z1126)</f>
        <v/>
      </c>
      <c r="K1129">
        <f>IF(OR($G1129="",Sync!$AA1126=""),"",Sync!$AA1126)</f>
        <v/>
      </c>
      <c r="L1129">
        <f>IF($G1129="",0,IF(Sync!$AB1126="",0,Sync!$AB1126))</f>
        <v/>
      </c>
      <c r="M1129">
        <f>IF($G1129="",0,IF(Sync!$AC1126="",0,Sync!$AC1126))</f>
        <v/>
      </c>
      <c r="N1129">
        <f>IF($G1129="","",IF($H1129="مرجوعی خرید",-1,1)*($L1129-$M1129*IFERROR(VLOOKUP("P01",ParamTbl,3,0),1.5))*(1-IF($I1129="خرید",IFERROR(VLOOKUP("P02",ParamTbl,3,0),1),0)/100))</f>
        <v/>
      </c>
      <c r="O1129">
        <f>IF($G1129="",0,IF($H1129="مرجوعی خرید",-1,1)*IF(Sync!$AD1126="",0,Sync!$AD1126))</f>
        <v/>
      </c>
      <c r="P1129">
        <f>IF(OR($G1129="",Sync!$W1126=""),"",Sync!$W1126)</f>
        <v/>
      </c>
      <c r="Q1129">
        <f>IF(OR($G1129="",Sync!$AE1126=""),"",Sync!$AE1126)</f>
        <v/>
      </c>
      <c r="R1129">
        <f>IF($G1129="","",IF(Sync!$V1126="","0000",IF(AND(ISNUMBER(Sync!$V1126),Sync!$V1126&gt;=0,Sync!$V1126&lt;1),RIGHT("00"&amp;HOUR(Sync!$V1126),2)&amp;RIGHT("00"&amp;MINUTE(Sync!$V1126),2),IFERROR(RIGHT("00"&amp;VALUE(LEFT(Sync!$V1126,FIND(":",Sync!$V1126)-1)),2)&amp;RIGHT("00"&amp;VALUE(MID(Sync!$V1126,FIND(":",Sync!$V1126)+1,2)),2),"0000"))))</f>
        <v/>
      </c>
    </row>
    <row r="1130">
      <c r="A1130">
        <f>IF(Sync!$U1127="","",Sync!$U1127)</f>
        <v/>
      </c>
      <c r="B1130">
        <f>IF($A1130="","",IF(ISNUMBER($A1130),IF(AND($A1130&gt;=10000101,$A1130&lt;=99991231),INT($A1130/10000),""),IFERROR(VALUE(TRIM(LEFT($A1130,FIND("/",$A1130)-1))),"")))</f>
        <v/>
      </c>
      <c r="C1130">
        <f>IF(OR($A1130="",$B1130=""),"",IF(ISNUMBER($A1130),INT(MOD($A1130,10000)/100),IFERROR(VALUE(TRIM(LEFT(MID($A1130,FIND("/",$A1130)+1,20),FIND("/",MID($A1130,FIND("/",$A1130)+1,20))-1))),"")))</f>
        <v/>
      </c>
      <c r="D1130">
        <f>IF(OR($A1130="",$B1130=""),"",IF(ISNUMBER($A1130),MOD($A1130,100),IFERROR(VALUE(TRIM(MID(MID($A1130,FIND("/",$A1130)+1,20),FIND("/",MID($A1130,FIND("/",$A1130)+1,20))+1,20))),"")))</f>
        <v/>
      </c>
      <c r="E1130">
        <f>IF($A1130="","",IF(OR($B1130="",$C1130="",$D1130="",$B1130&lt;1300,$B1130&gt;1500,$C1130&lt;1,$C1130&gt;12,$D1130&lt;1,$D1130&gt;31),"نامعتبر",RIGHT("0000"&amp;$B1130,4)&amp;"/"&amp;RIGHT("00"&amp;$C1130,2)&amp;"/"&amp;RIGHT("00"&amp;$D1130,2)))</f>
        <v/>
      </c>
      <c r="F1130">
        <f>IF(OR($E1130="",$E1130="نامعتبر"),"",LEFT($E1130,4)&amp;"/"&amp;MID($E1130,6,2))</f>
        <v/>
      </c>
      <c r="G1130">
        <f>IF(OR($E1130="",$E1130="نامعتبر",Sync!$Y1127=""),"",Sync!$Y1127)</f>
        <v/>
      </c>
      <c r="H1130">
        <f>IF($G1130="","",IF(Sync!$X1127="","",Sync!$X1127))</f>
        <v/>
      </c>
      <c r="I1130">
        <f>IF($G1130="","",IFERROR(VLOOKUP(Sync!$X1127,OpTbl,3,0),""))</f>
        <v/>
      </c>
      <c r="J1130">
        <f>IF(OR($G1130="",Sync!$Z1127=""),"",Sync!$Z1127)</f>
        <v/>
      </c>
      <c r="K1130">
        <f>IF(OR($G1130="",Sync!$AA1127=""),"",Sync!$AA1127)</f>
        <v/>
      </c>
      <c r="L1130">
        <f>IF($G1130="",0,IF(Sync!$AB1127="",0,Sync!$AB1127))</f>
        <v/>
      </c>
      <c r="M1130">
        <f>IF($G1130="",0,IF(Sync!$AC1127="",0,Sync!$AC1127))</f>
        <v/>
      </c>
      <c r="N1130">
        <f>IF($G1130="","",IF($H1130="مرجوعی خرید",-1,1)*($L1130-$M1130*IFERROR(VLOOKUP("P01",ParamTbl,3,0),1.5))*(1-IF($I1130="خرید",IFERROR(VLOOKUP("P02",ParamTbl,3,0),1),0)/100))</f>
        <v/>
      </c>
      <c r="O1130">
        <f>IF($G1130="",0,IF($H1130="مرجوعی خرید",-1,1)*IF(Sync!$AD1127="",0,Sync!$AD1127))</f>
        <v/>
      </c>
      <c r="P1130">
        <f>IF(OR($G1130="",Sync!$W1127=""),"",Sync!$W1127)</f>
        <v/>
      </c>
      <c r="Q1130">
        <f>IF(OR($G1130="",Sync!$AE1127=""),"",Sync!$AE1127)</f>
        <v/>
      </c>
      <c r="R1130">
        <f>IF($G1130="","",IF(Sync!$V1127="","0000",IF(AND(ISNUMBER(Sync!$V1127),Sync!$V1127&gt;=0,Sync!$V1127&lt;1),RIGHT("00"&amp;HOUR(Sync!$V1127),2)&amp;RIGHT("00"&amp;MINUTE(Sync!$V1127),2),IFERROR(RIGHT("00"&amp;VALUE(LEFT(Sync!$V1127,FIND(":",Sync!$V1127)-1)),2)&amp;RIGHT("00"&amp;VALUE(MID(Sync!$V1127,FIND(":",Sync!$V1127)+1,2)),2),"0000"))))</f>
        <v/>
      </c>
    </row>
    <row r="1131">
      <c r="A1131">
        <f>IF(Sync!$U1128="","",Sync!$U1128)</f>
        <v/>
      </c>
      <c r="B1131">
        <f>IF($A1131="","",IF(ISNUMBER($A1131),IF(AND($A1131&gt;=10000101,$A1131&lt;=99991231),INT($A1131/10000),""),IFERROR(VALUE(TRIM(LEFT($A1131,FIND("/",$A1131)-1))),"")))</f>
        <v/>
      </c>
      <c r="C1131">
        <f>IF(OR($A1131="",$B1131=""),"",IF(ISNUMBER($A1131),INT(MOD($A1131,10000)/100),IFERROR(VALUE(TRIM(LEFT(MID($A1131,FIND("/",$A1131)+1,20),FIND("/",MID($A1131,FIND("/",$A1131)+1,20))-1))),"")))</f>
        <v/>
      </c>
      <c r="D1131">
        <f>IF(OR($A1131="",$B1131=""),"",IF(ISNUMBER($A1131),MOD($A1131,100),IFERROR(VALUE(TRIM(MID(MID($A1131,FIND("/",$A1131)+1,20),FIND("/",MID($A1131,FIND("/",$A1131)+1,20))+1,20))),"")))</f>
        <v/>
      </c>
      <c r="E1131">
        <f>IF($A1131="","",IF(OR($B1131="",$C1131="",$D1131="",$B1131&lt;1300,$B1131&gt;1500,$C1131&lt;1,$C1131&gt;12,$D1131&lt;1,$D1131&gt;31),"نامعتبر",RIGHT("0000"&amp;$B1131,4)&amp;"/"&amp;RIGHT("00"&amp;$C1131,2)&amp;"/"&amp;RIGHT("00"&amp;$D1131,2)))</f>
        <v/>
      </c>
      <c r="F1131">
        <f>IF(OR($E1131="",$E1131="نامعتبر"),"",LEFT($E1131,4)&amp;"/"&amp;MID($E1131,6,2))</f>
        <v/>
      </c>
      <c r="G1131">
        <f>IF(OR($E1131="",$E1131="نامعتبر",Sync!$Y1128=""),"",Sync!$Y1128)</f>
        <v/>
      </c>
      <c r="H1131">
        <f>IF($G1131="","",IF(Sync!$X1128="","",Sync!$X1128))</f>
        <v/>
      </c>
      <c r="I1131">
        <f>IF($G1131="","",IFERROR(VLOOKUP(Sync!$X1128,OpTbl,3,0),""))</f>
        <v/>
      </c>
      <c r="J1131">
        <f>IF(OR($G1131="",Sync!$Z1128=""),"",Sync!$Z1128)</f>
        <v/>
      </c>
      <c r="K1131">
        <f>IF(OR($G1131="",Sync!$AA1128=""),"",Sync!$AA1128)</f>
        <v/>
      </c>
      <c r="L1131">
        <f>IF($G1131="",0,IF(Sync!$AB1128="",0,Sync!$AB1128))</f>
        <v/>
      </c>
      <c r="M1131">
        <f>IF($G1131="",0,IF(Sync!$AC1128="",0,Sync!$AC1128))</f>
        <v/>
      </c>
      <c r="N1131">
        <f>IF($G1131="","",IF($H1131="مرجوعی خرید",-1,1)*($L1131-$M1131*IFERROR(VLOOKUP("P01",ParamTbl,3,0),1.5))*(1-IF($I1131="خرید",IFERROR(VLOOKUP("P02",ParamTbl,3,0),1),0)/100))</f>
        <v/>
      </c>
      <c r="O1131">
        <f>IF($G1131="",0,IF($H1131="مرجوعی خرید",-1,1)*IF(Sync!$AD1128="",0,Sync!$AD1128))</f>
        <v/>
      </c>
      <c r="P1131">
        <f>IF(OR($G1131="",Sync!$W1128=""),"",Sync!$W1128)</f>
        <v/>
      </c>
      <c r="Q1131">
        <f>IF(OR($G1131="",Sync!$AE1128=""),"",Sync!$AE1128)</f>
        <v/>
      </c>
      <c r="R1131">
        <f>IF($G1131="","",IF(Sync!$V1128="","0000",IF(AND(ISNUMBER(Sync!$V1128),Sync!$V1128&gt;=0,Sync!$V1128&lt;1),RIGHT("00"&amp;HOUR(Sync!$V1128),2)&amp;RIGHT("00"&amp;MINUTE(Sync!$V1128),2),IFERROR(RIGHT("00"&amp;VALUE(LEFT(Sync!$V1128,FIND(":",Sync!$V1128)-1)),2)&amp;RIGHT("00"&amp;VALUE(MID(Sync!$V1128,FIND(":",Sync!$V1128)+1,2)),2),"0000"))))</f>
        <v/>
      </c>
    </row>
    <row r="1132">
      <c r="A1132">
        <f>IF(Sync!$U1129="","",Sync!$U1129)</f>
        <v/>
      </c>
      <c r="B1132">
        <f>IF($A1132="","",IF(ISNUMBER($A1132),IF(AND($A1132&gt;=10000101,$A1132&lt;=99991231),INT($A1132/10000),""),IFERROR(VALUE(TRIM(LEFT($A1132,FIND("/",$A1132)-1))),"")))</f>
        <v/>
      </c>
      <c r="C1132">
        <f>IF(OR($A1132="",$B1132=""),"",IF(ISNUMBER($A1132),INT(MOD($A1132,10000)/100),IFERROR(VALUE(TRIM(LEFT(MID($A1132,FIND("/",$A1132)+1,20),FIND("/",MID($A1132,FIND("/",$A1132)+1,20))-1))),"")))</f>
        <v/>
      </c>
      <c r="D1132">
        <f>IF(OR($A1132="",$B1132=""),"",IF(ISNUMBER($A1132),MOD($A1132,100),IFERROR(VALUE(TRIM(MID(MID($A1132,FIND("/",$A1132)+1,20),FIND("/",MID($A1132,FIND("/",$A1132)+1,20))+1,20))),"")))</f>
        <v/>
      </c>
      <c r="E1132">
        <f>IF($A1132="","",IF(OR($B1132="",$C1132="",$D1132="",$B1132&lt;1300,$B1132&gt;1500,$C1132&lt;1,$C1132&gt;12,$D1132&lt;1,$D1132&gt;31),"نامعتبر",RIGHT("0000"&amp;$B1132,4)&amp;"/"&amp;RIGHT("00"&amp;$C1132,2)&amp;"/"&amp;RIGHT("00"&amp;$D1132,2)))</f>
        <v/>
      </c>
      <c r="F1132">
        <f>IF(OR($E1132="",$E1132="نامعتبر"),"",LEFT($E1132,4)&amp;"/"&amp;MID($E1132,6,2))</f>
        <v/>
      </c>
      <c r="G1132">
        <f>IF(OR($E1132="",$E1132="نامعتبر",Sync!$Y1129=""),"",Sync!$Y1129)</f>
        <v/>
      </c>
      <c r="H1132">
        <f>IF($G1132="","",IF(Sync!$X1129="","",Sync!$X1129))</f>
        <v/>
      </c>
      <c r="I1132">
        <f>IF($G1132="","",IFERROR(VLOOKUP(Sync!$X1129,OpTbl,3,0),""))</f>
        <v/>
      </c>
      <c r="J1132">
        <f>IF(OR($G1132="",Sync!$Z1129=""),"",Sync!$Z1129)</f>
        <v/>
      </c>
      <c r="K1132">
        <f>IF(OR($G1132="",Sync!$AA1129=""),"",Sync!$AA1129)</f>
        <v/>
      </c>
      <c r="L1132">
        <f>IF($G1132="",0,IF(Sync!$AB1129="",0,Sync!$AB1129))</f>
        <v/>
      </c>
      <c r="M1132">
        <f>IF($G1132="",0,IF(Sync!$AC1129="",0,Sync!$AC1129))</f>
        <v/>
      </c>
      <c r="N1132">
        <f>IF($G1132="","",IF($H1132="مرجوعی خرید",-1,1)*($L1132-$M1132*IFERROR(VLOOKUP("P01",ParamTbl,3,0),1.5))*(1-IF($I1132="خرید",IFERROR(VLOOKUP("P02",ParamTbl,3,0),1),0)/100))</f>
        <v/>
      </c>
      <c r="O1132">
        <f>IF($G1132="",0,IF($H1132="مرجوعی خرید",-1,1)*IF(Sync!$AD1129="",0,Sync!$AD1129))</f>
        <v/>
      </c>
      <c r="P1132">
        <f>IF(OR($G1132="",Sync!$W1129=""),"",Sync!$W1129)</f>
        <v/>
      </c>
      <c r="Q1132">
        <f>IF(OR($G1132="",Sync!$AE1129=""),"",Sync!$AE1129)</f>
        <v/>
      </c>
      <c r="R1132">
        <f>IF($G1132="","",IF(Sync!$V1129="","0000",IF(AND(ISNUMBER(Sync!$V1129),Sync!$V1129&gt;=0,Sync!$V1129&lt;1),RIGHT("00"&amp;HOUR(Sync!$V1129),2)&amp;RIGHT("00"&amp;MINUTE(Sync!$V1129),2),IFERROR(RIGHT("00"&amp;VALUE(LEFT(Sync!$V1129,FIND(":",Sync!$V1129)-1)),2)&amp;RIGHT("00"&amp;VALUE(MID(Sync!$V1129,FIND(":",Sync!$V1129)+1,2)),2),"0000"))))</f>
        <v/>
      </c>
    </row>
    <row r="1133">
      <c r="A1133">
        <f>IF(Sync!$U1130="","",Sync!$U1130)</f>
        <v/>
      </c>
      <c r="B1133">
        <f>IF($A1133="","",IF(ISNUMBER($A1133),IF(AND($A1133&gt;=10000101,$A1133&lt;=99991231),INT($A1133/10000),""),IFERROR(VALUE(TRIM(LEFT($A1133,FIND("/",$A1133)-1))),"")))</f>
        <v/>
      </c>
      <c r="C1133">
        <f>IF(OR($A1133="",$B1133=""),"",IF(ISNUMBER($A1133),INT(MOD($A1133,10000)/100),IFERROR(VALUE(TRIM(LEFT(MID($A1133,FIND("/",$A1133)+1,20),FIND("/",MID($A1133,FIND("/",$A1133)+1,20))-1))),"")))</f>
        <v/>
      </c>
      <c r="D1133">
        <f>IF(OR($A1133="",$B1133=""),"",IF(ISNUMBER($A1133),MOD($A1133,100),IFERROR(VALUE(TRIM(MID(MID($A1133,FIND("/",$A1133)+1,20),FIND("/",MID($A1133,FIND("/",$A1133)+1,20))+1,20))),"")))</f>
        <v/>
      </c>
      <c r="E1133">
        <f>IF($A1133="","",IF(OR($B1133="",$C1133="",$D1133="",$B1133&lt;1300,$B1133&gt;1500,$C1133&lt;1,$C1133&gt;12,$D1133&lt;1,$D1133&gt;31),"نامعتبر",RIGHT("0000"&amp;$B1133,4)&amp;"/"&amp;RIGHT("00"&amp;$C1133,2)&amp;"/"&amp;RIGHT("00"&amp;$D1133,2)))</f>
        <v/>
      </c>
      <c r="F1133">
        <f>IF(OR($E1133="",$E1133="نامعتبر"),"",LEFT($E1133,4)&amp;"/"&amp;MID($E1133,6,2))</f>
        <v/>
      </c>
      <c r="G1133">
        <f>IF(OR($E1133="",$E1133="نامعتبر",Sync!$Y1130=""),"",Sync!$Y1130)</f>
        <v/>
      </c>
      <c r="H1133">
        <f>IF($G1133="","",IF(Sync!$X1130="","",Sync!$X1130))</f>
        <v/>
      </c>
      <c r="I1133">
        <f>IF($G1133="","",IFERROR(VLOOKUP(Sync!$X1130,OpTbl,3,0),""))</f>
        <v/>
      </c>
      <c r="J1133">
        <f>IF(OR($G1133="",Sync!$Z1130=""),"",Sync!$Z1130)</f>
        <v/>
      </c>
      <c r="K1133">
        <f>IF(OR($G1133="",Sync!$AA1130=""),"",Sync!$AA1130)</f>
        <v/>
      </c>
      <c r="L1133">
        <f>IF($G1133="",0,IF(Sync!$AB1130="",0,Sync!$AB1130))</f>
        <v/>
      </c>
      <c r="M1133">
        <f>IF($G1133="",0,IF(Sync!$AC1130="",0,Sync!$AC1130))</f>
        <v/>
      </c>
      <c r="N1133">
        <f>IF($G1133="","",IF($H1133="مرجوعی خرید",-1,1)*($L1133-$M1133*IFERROR(VLOOKUP("P01",ParamTbl,3,0),1.5))*(1-IF($I1133="خرید",IFERROR(VLOOKUP("P02",ParamTbl,3,0),1),0)/100))</f>
        <v/>
      </c>
      <c r="O1133">
        <f>IF($G1133="",0,IF($H1133="مرجوعی خرید",-1,1)*IF(Sync!$AD1130="",0,Sync!$AD1130))</f>
        <v/>
      </c>
      <c r="P1133">
        <f>IF(OR($G1133="",Sync!$W1130=""),"",Sync!$W1130)</f>
        <v/>
      </c>
      <c r="Q1133">
        <f>IF(OR($G1133="",Sync!$AE1130=""),"",Sync!$AE1130)</f>
        <v/>
      </c>
      <c r="R1133">
        <f>IF($G1133="","",IF(Sync!$V1130="","0000",IF(AND(ISNUMBER(Sync!$V1130),Sync!$V1130&gt;=0,Sync!$V1130&lt;1),RIGHT("00"&amp;HOUR(Sync!$V1130),2)&amp;RIGHT("00"&amp;MINUTE(Sync!$V1130),2),IFERROR(RIGHT("00"&amp;VALUE(LEFT(Sync!$V1130,FIND(":",Sync!$V1130)-1)),2)&amp;RIGHT("00"&amp;VALUE(MID(Sync!$V1130,FIND(":",Sync!$V1130)+1,2)),2),"0000"))))</f>
        <v/>
      </c>
    </row>
    <row r="1134">
      <c r="A1134">
        <f>IF(Sync!$U1131="","",Sync!$U1131)</f>
        <v/>
      </c>
      <c r="B1134">
        <f>IF($A1134="","",IF(ISNUMBER($A1134),IF(AND($A1134&gt;=10000101,$A1134&lt;=99991231),INT($A1134/10000),""),IFERROR(VALUE(TRIM(LEFT($A1134,FIND("/",$A1134)-1))),"")))</f>
        <v/>
      </c>
      <c r="C1134">
        <f>IF(OR($A1134="",$B1134=""),"",IF(ISNUMBER($A1134),INT(MOD($A1134,10000)/100),IFERROR(VALUE(TRIM(LEFT(MID($A1134,FIND("/",$A1134)+1,20),FIND("/",MID($A1134,FIND("/",$A1134)+1,20))-1))),"")))</f>
        <v/>
      </c>
      <c r="D1134">
        <f>IF(OR($A1134="",$B1134=""),"",IF(ISNUMBER($A1134),MOD($A1134,100),IFERROR(VALUE(TRIM(MID(MID($A1134,FIND("/",$A1134)+1,20),FIND("/",MID($A1134,FIND("/",$A1134)+1,20))+1,20))),"")))</f>
        <v/>
      </c>
      <c r="E1134">
        <f>IF($A1134="","",IF(OR($B1134="",$C1134="",$D1134="",$B1134&lt;1300,$B1134&gt;1500,$C1134&lt;1,$C1134&gt;12,$D1134&lt;1,$D1134&gt;31),"نامعتبر",RIGHT("0000"&amp;$B1134,4)&amp;"/"&amp;RIGHT("00"&amp;$C1134,2)&amp;"/"&amp;RIGHT("00"&amp;$D1134,2)))</f>
        <v/>
      </c>
      <c r="F1134">
        <f>IF(OR($E1134="",$E1134="نامعتبر"),"",LEFT($E1134,4)&amp;"/"&amp;MID($E1134,6,2))</f>
        <v/>
      </c>
      <c r="G1134">
        <f>IF(OR($E1134="",$E1134="نامعتبر",Sync!$Y1131=""),"",Sync!$Y1131)</f>
        <v/>
      </c>
      <c r="H1134">
        <f>IF($G1134="","",IF(Sync!$X1131="","",Sync!$X1131))</f>
        <v/>
      </c>
      <c r="I1134">
        <f>IF($G1134="","",IFERROR(VLOOKUP(Sync!$X1131,OpTbl,3,0),""))</f>
        <v/>
      </c>
      <c r="J1134">
        <f>IF(OR($G1134="",Sync!$Z1131=""),"",Sync!$Z1131)</f>
        <v/>
      </c>
      <c r="K1134">
        <f>IF(OR($G1134="",Sync!$AA1131=""),"",Sync!$AA1131)</f>
        <v/>
      </c>
      <c r="L1134">
        <f>IF($G1134="",0,IF(Sync!$AB1131="",0,Sync!$AB1131))</f>
        <v/>
      </c>
      <c r="M1134">
        <f>IF($G1134="",0,IF(Sync!$AC1131="",0,Sync!$AC1131))</f>
        <v/>
      </c>
      <c r="N1134">
        <f>IF($G1134="","",IF($H1134="مرجوعی خرید",-1,1)*($L1134-$M1134*IFERROR(VLOOKUP("P01",ParamTbl,3,0),1.5))*(1-IF($I1134="خرید",IFERROR(VLOOKUP("P02",ParamTbl,3,0),1),0)/100))</f>
        <v/>
      </c>
      <c r="O1134">
        <f>IF($G1134="",0,IF($H1134="مرجوعی خرید",-1,1)*IF(Sync!$AD1131="",0,Sync!$AD1131))</f>
        <v/>
      </c>
      <c r="P1134">
        <f>IF(OR($G1134="",Sync!$W1131=""),"",Sync!$W1131)</f>
        <v/>
      </c>
      <c r="Q1134">
        <f>IF(OR($G1134="",Sync!$AE1131=""),"",Sync!$AE1131)</f>
        <v/>
      </c>
      <c r="R1134">
        <f>IF($G1134="","",IF(Sync!$V1131="","0000",IF(AND(ISNUMBER(Sync!$V1131),Sync!$V1131&gt;=0,Sync!$V1131&lt;1),RIGHT("00"&amp;HOUR(Sync!$V1131),2)&amp;RIGHT("00"&amp;MINUTE(Sync!$V1131),2),IFERROR(RIGHT("00"&amp;VALUE(LEFT(Sync!$V1131,FIND(":",Sync!$V1131)-1)),2)&amp;RIGHT("00"&amp;VALUE(MID(Sync!$V1131,FIND(":",Sync!$V1131)+1,2)),2),"0000"))))</f>
        <v/>
      </c>
    </row>
    <row r="1135">
      <c r="A1135">
        <f>IF(Sync!$U1132="","",Sync!$U1132)</f>
        <v/>
      </c>
      <c r="B1135">
        <f>IF($A1135="","",IF(ISNUMBER($A1135),IF(AND($A1135&gt;=10000101,$A1135&lt;=99991231),INT($A1135/10000),""),IFERROR(VALUE(TRIM(LEFT($A1135,FIND("/",$A1135)-1))),"")))</f>
        <v/>
      </c>
      <c r="C1135">
        <f>IF(OR($A1135="",$B1135=""),"",IF(ISNUMBER($A1135),INT(MOD($A1135,10000)/100),IFERROR(VALUE(TRIM(LEFT(MID($A1135,FIND("/",$A1135)+1,20),FIND("/",MID($A1135,FIND("/",$A1135)+1,20))-1))),"")))</f>
        <v/>
      </c>
      <c r="D1135">
        <f>IF(OR($A1135="",$B1135=""),"",IF(ISNUMBER($A1135),MOD($A1135,100),IFERROR(VALUE(TRIM(MID(MID($A1135,FIND("/",$A1135)+1,20),FIND("/",MID($A1135,FIND("/",$A1135)+1,20))+1,20))),"")))</f>
        <v/>
      </c>
      <c r="E1135">
        <f>IF($A1135="","",IF(OR($B1135="",$C1135="",$D1135="",$B1135&lt;1300,$B1135&gt;1500,$C1135&lt;1,$C1135&gt;12,$D1135&lt;1,$D1135&gt;31),"نامعتبر",RIGHT("0000"&amp;$B1135,4)&amp;"/"&amp;RIGHT("00"&amp;$C1135,2)&amp;"/"&amp;RIGHT("00"&amp;$D1135,2)))</f>
        <v/>
      </c>
      <c r="F1135">
        <f>IF(OR($E1135="",$E1135="نامعتبر"),"",LEFT($E1135,4)&amp;"/"&amp;MID($E1135,6,2))</f>
        <v/>
      </c>
      <c r="G1135">
        <f>IF(OR($E1135="",$E1135="نامعتبر",Sync!$Y1132=""),"",Sync!$Y1132)</f>
        <v/>
      </c>
      <c r="H1135">
        <f>IF($G1135="","",IF(Sync!$X1132="","",Sync!$X1132))</f>
        <v/>
      </c>
      <c r="I1135">
        <f>IF($G1135="","",IFERROR(VLOOKUP(Sync!$X1132,OpTbl,3,0),""))</f>
        <v/>
      </c>
      <c r="J1135">
        <f>IF(OR($G1135="",Sync!$Z1132=""),"",Sync!$Z1132)</f>
        <v/>
      </c>
      <c r="K1135">
        <f>IF(OR($G1135="",Sync!$AA1132=""),"",Sync!$AA1132)</f>
        <v/>
      </c>
      <c r="L1135">
        <f>IF($G1135="",0,IF(Sync!$AB1132="",0,Sync!$AB1132))</f>
        <v/>
      </c>
      <c r="M1135">
        <f>IF($G1135="",0,IF(Sync!$AC1132="",0,Sync!$AC1132))</f>
        <v/>
      </c>
      <c r="N1135">
        <f>IF($G1135="","",IF($H1135="مرجوعی خرید",-1,1)*($L1135-$M1135*IFERROR(VLOOKUP("P01",ParamTbl,3,0),1.5))*(1-IF($I1135="خرید",IFERROR(VLOOKUP("P02",ParamTbl,3,0),1),0)/100))</f>
        <v/>
      </c>
      <c r="O1135">
        <f>IF($G1135="",0,IF($H1135="مرجوعی خرید",-1,1)*IF(Sync!$AD1132="",0,Sync!$AD1132))</f>
        <v/>
      </c>
      <c r="P1135">
        <f>IF(OR($G1135="",Sync!$W1132=""),"",Sync!$W1132)</f>
        <v/>
      </c>
      <c r="Q1135">
        <f>IF(OR($G1135="",Sync!$AE1132=""),"",Sync!$AE1132)</f>
        <v/>
      </c>
      <c r="R1135">
        <f>IF($G1135="","",IF(Sync!$V1132="","0000",IF(AND(ISNUMBER(Sync!$V1132),Sync!$V1132&gt;=0,Sync!$V1132&lt;1),RIGHT("00"&amp;HOUR(Sync!$V1132),2)&amp;RIGHT("00"&amp;MINUTE(Sync!$V1132),2),IFERROR(RIGHT("00"&amp;VALUE(LEFT(Sync!$V1132,FIND(":",Sync!$V1132)-1)),2)&amp;RIGHT("00"&amp;VALUE(MID(Sync!$V1132,FIND(":",Sync!$V1132)+1,2)),2),"0000"))))</f>
        <v/>
      </c>
    </row>
    <row r="1136">
      <c r="A1136">
        <f>IF(Sync!$U1133="","",Sync!$U1133)</f>
        <v/>
      </c>
      <c r="B1136">
        <f>IF($A1136="","",IF(ISNUMBER($A1136),IF(AND($A1136&gt;=10000101,$A1136&lt;=99991231),INT($A1136/10000),""),IFERROR(VALUE(TRIM(LEFT($A1136,FIND("/",$A1136)-1))),"")))</f>
        <v/>
      </c>
      <c r="C1136">
        <f>IF(OR($A1136="",$B1136=""),"",IF(ISNUMBER($A1136),INT(MOD($A1136,10000)/100),IFERROR(VALUE(TRIM(LEFT(MID($A1136,FIND("/",$A1136)+1,20),FIND("/",MID($A1136,FIND("/",$A1136)+1,20))-1))),"")))</f>
        <v/>
      </c>
      <c r="D1136">
        <f>IF(OR($A1136="",$B1136=""),"",IF(ISNUMBER($A1136),MOD($A1136,100),IFERROR(VALUE(TRIM(MID(MID($A1136,FIND("/",$A1136)+1,20),FIND("/",MID($A1136,FIND("/",$A1136)+1,20))+1,20))),"")))</f>
        <v/>
      </c>
      <c r="E1136">
        <f>IF($A1136="","",IF(OR($B1136="",$C1136="",$D1136="",$B1136&lt;1300,$B1136&gt;1500,$C1136&lt;1,$C1136&gt;12,$D1136&lt;1,$D1136&gt;31),"نامعتبر",RIGHT("0000"&amp;$B1136,4)&amp;"/"&amp;RIGHT("00"&amp;$C1136,2)&amp;"/"&amp;RIGHT("00"&amp;$D1136,2)))</f>
        <v/>
      </c>
      <c r="F1136">
        <f>IF(OR($E1136="",$E1136="نامعتبر"),"",LEFT($E1136,4)&amp;"/"&amp;MID($E1136,6,2))</f>
        <v/>
      </c>
      <c r="G1136">
        <f>IF(OR($E1136="",$E1136="نامعتبر",Sync!$Y1133=""),"",Sync!$Y1133)</f>
        <v/>
      </c>
      <c r="H1136">
        <f>IF($G1136="","",IF(Sync!$X1133="","",Sync!$X1133))</f>
        <v/>
      </c>
      <c r="I1136">
        <f>IF($G1136="","",IFERROR(VLOOKUP(Sync!$X1133,OpTbl,3,0),""))</f>
        <v/>
      </c>
      <c r="J1136">
        <f>IF(OR($G1136="",Sync!$Z1133=""),"",Sync!$Z1133)</f>
        <v/>
      </c>
      <c r="K1136">
        <f>IF(OR($G1136="",Sync!$AA1133=""),"",Sync!$AA1133)</f>
        <v/>
      </c>
      <c r="L1136">
        <f>IF($G1136="",0,IF(Sync!$AB1133="",0,Sync!$AB1133))</f>
        <v/>
      </c>
      <c r="M1136">
        <f>IF($G1136="",0,IF(Sync!$AC1133="",0,Sync!$AC1133))</f>
        <v/>
      </c>
      <c r="N1136">
        <f>IF($G1136="","",IF($H1136="مرجوعی خرید",-1,1)*($L1136-$M1136*IFERROR(VLOOKUP("P01",ParamTbl,3,0),1.5))*(1-IF($I1136="خرید",IFERROR(VLOOKUP("P02",ParamTbl,3,0),1),0)/100))</f>
        <v/>
      </c>
      <c r="O1136">
        <f>IF($G1136="",0,IF($H1136="مرجوعی خرید",-1,1)*IF(Sync!$AD1133="",0,Sync!$AD1133))</f>
        <v/>
      </c>
      <c r="P1136">
        <f>IF(OR($G1136="",Sync!$W1133=""),"",Sync!$W1133)</f>
        <v/>
      </c>
      <c r="Q1136">
        <f>IF(OR($G1136="",Sync!$AE1133=""),"",Sync!$AE1133)</f>
        <v/>
      </c>
      <c r="R1136">
        <f>IF($G1136="","",IF(Sync!$V1133="","0000",IF(AND(ISNUMBER(Sync!$V1133),Sync!$V1133&gt;=0,Sync!$V1133&lt;1),RIGHT("00"&amp;HOUR(Sync!$V1133),2)&amp;RIGHT("00"&amp;MINUTE(Sync!$V1133),2),IFERROR(RIGHT("00"&amp;VALUE(LEFT(Sync!$V1133,FIND(":",Sync!$V1133)-1)),2)&amp;RIGHT("00"&amp;VALUE(MID(Sync!$V1133,FIND(":",Sync!$V1133)+1,2)),2),"0000"))))</f>
        <v/>
      </c>
    </row>
    <row r="1137">
      <c r="A1137">
        <f>IF(Sync!$U1134="","",Sync!$U1134)</f>
        <v/>
      </c>
      <c r="B1137">
        <f>IF($A1137="","",IF(ISNUMBER($A1137),IF(AND($A1137&gt;=10000101,$A1137&lt;=99991231),INT($A1137/10000),""),IFERROR(VALUE(TRIM(LEFT($A1137,FIND("/",$A1137)-1))),"")))</f>
        <v/>
      </c>
      <c r="C1137">
        <f>IF(OR($A1137="",$B1137=""),"",IF(ISNUMBER($A1137),INT(MOD($A1137,10000)/100),IFERROR(VALUE(TRIM(LEFT(MID($A1137,FIND("/",$A1137)+1,20),FIND("/",MID($A1137,FIND("/",$A1137)+1,20))-1))),"")))</f>
        <v/>
      </c>
      <c r="D1137">
        <f>IF(OR($A1137="",$B1137=""),"",IF(ISNUMBER($A1137),MOD($A1137,100),IFERROR(VALUE(TRIM(MID(MID($A1137,FIND("/",$A1137)+1,20),FIND("/",MID($A1137,FIND("/",$A1137)+1,20))+1,20))),"")))</f>
        <v/>
      </c>
      <c r="E1137">
        <f>IF($A1137="","",IF(OR($B1137="",$C1137="",$D1137="",$B1137&lt;1300,$B1137&gt;1500,$C1137&lt;1,$C1137&gt;12,$D1137&lt;1,$D1137&gt;31),"نامعتبر",RIGHT("0000"&amp;$B1137,4)&amp;"/"&amp;RIGHT("00"&amp;$C1137,2)&amp;"/"&amp;RIGHT("00"&amp;$D1137,2)))</f>
        <v/>
      </c>
      <c r="F1137">
        <f>IF(OR($E1137="",$E1137="نامعتبر"),"",LEFT($E1137,4)&amp;"/"&amp;MID($E1137,6,2))</f>
        <v/>
      </c>
      <c r="G1137">
        <f>IF(OR($E1137="",$E1137="نامعتبر",Sync!$Y1134=""),"",Sync!$Y1134)</f>
        <v/>
      </c>
      <c r="H1137">
        <f>IF($G1137="","",IF(Sync!$X1134="","",Sync!$X1134))</f>
        <v/>
      </c>
      <c r="I1137">
        <f>IF($G1137="","",IFERROR(VLOOKUP(Sync!$X1134,OpTbl,3,0),""))</f>
        <v/>
      </c>
      <c r="J1137">
        <f>IF(OR($G1137="",Sync!$Z1134=""),"",Sync!$Z1134)</f>
        <v/>
      </c>
      <c r="K1137">
        <f>IF(OR($G1137="",Sync!$AA1134=""),"",Sync!$AA1134)</f>
        <v/>
      </c>
      <c r="L1137">
        <f>IF($G1137="",0,IF(Sync!$AB1134="",0,Sync!$AB1134))</f>
        <v/>
      </c>
      <c r="M1137">
        <f>IF($G1137="",0,IF(Sync!$AC1134="",0,Sync!$AC1134))</f>
        <v/>
      </c>
      <c r="N1137">
        <f>IF($G1137="","",IF($H1137="مرجوعی خرید",-1,1)*($L1137-$M1137*IFERROR(VLOOKUP("P01",ParamTbl,3,0),1.5))*(1-IF($I1137="خرید",IFERROR(VLOOKUP("P02",ParamTbl,3,0),1),0)/100))</f>
        <v/>
      </c>
      <c r="O1137">
        <f>IF($G1137="",0,IF($H1137="مرجوعی خرید",-1,1)*IF(Sync!$AD1134="",0,Sync!$AD1134))</f>
        <v/>
      </c>
      <c r="P1137">
        <f>IF(OR($G1137="",Sync!$W1134=""),"",Sync!$W1134)</f>
        <v/>
      </c>
      <c r="Q1137">
        <f>IF(OR($G1137="",Sync!$AE1134=""),"",Sync!$AE1134)</f>
        <v/>
      </c>
      <c r="R1137">
        <f>IF($G1137="","",IF(Sync!$V1134="","0000",IF(AND(ISNUMBER(Sync!$V1134),Sync!$V1134&gt;=0,Sync!$V1134&lt;1),RIGHT("00"&amp;HOUR(Sync!$V1134),2)&amp;RIGHT("00"&amp;MINUTE(Sync!$V1134),2),IFERROR(RIGHT("00"&amp;VALUE(LEFT(Sync!$V1134,FIND(":",Sync!$V1134)-1)),2)&amp;RIGHT("00"&amp;VALUE(MID(Sync!$V1134,FIND(":",Sync!$V1134)+1,2)),2),"0000"))))</f>
        <v/>
      </c>
    </row>
    <row r="1138">
      <c r="A1138">
        <f>IF(Sync!$U1135="","",Sync!$U1135)</f>
        <v/>
      </c>
      <c r="B1138">
        <f>IF($A1138="","",IF(ISNUMBER($A1138),IF(AND($A1138&gt;=10000101,$A1138&lt;=99991231),INT($A1138/10000),""),IFERROR(VALUE(TRIM(LEFT($A1138,FIND("/",$A1138)-1))),"")))</f>
        <v/>
      </c>
      <c r="C1138">
        <f>IF(OR($A1138="",$B1138=""),"",IF(ISNUMBER($A1138),INT(MOD($A1138,10000)/100),IFERROR(VALUE(TRIM(LEFT(MID($A1138,FIND("/",$A1138)+1,20),FIND("/",MID($A1138,FIND("/",$A1138)+1,20))-1))),"")))</f>
        <v/>
      </c>
      <c r="D1138">
        <f>IF(OR($A1138="",$B1138=""),"",IF(ISNUMBER($A1138),MOD($A1138,100),IFERROR(VALUE(TRIM(MID(MID($A1138,FIND("/",$A1138)+1,20),FIND("/",MID($A1138,FIND("/",$A1138)+1,20))+1,20))),"")))</f>
        <v/>
      </c>
      <c r="E1138">
        <f>IF($A1138="","",IF(OR($B1138="",$C1138="",$D1138="",$B1138&lt;1300,$B1138&gt;1500,$C1138&lt;1,$C1138&gt;12,$D1138&lt;1,$D1138&gt;31),"نامعتبر",RIGHT("0000"&amp;$B1138,4)&amp;"/"&amp;RIGHT("00"&amp;$C1138,2)&amp;"/"&amp;RIGHT("00"&amp;$D1138,2)))</f>
        <v/>
      </c>
      <c r="F1138">
        <f>IF(OR($E1138="",$E1138="نامعتبر"),"",LEFT($E1138,4)&amp;"/"&amp;MID($E1138,6,2))</f>
        <v/>
      </c>
      <c r="G1138">
        <f>IF(OR($E1138="",$E1138="نامعتبر",Sync!$Y1135=""),"",Sync!$Y1135)</f>
        <v/>
      </c>
      <c r="H1138">
        <f>IF($G1138="","",IF(Sync!$X1135="","",Sync!$X1135))</f>
        <v/>
      </c>
      <c r="I1138">
        <f>IF($G1138="","",IFERROR(VLOOKUP(Sync!$X1135,OpTbl,3,0),""))</f>
        <v/>
      </c>
      <c r="J1138">
        <f>IF(OR($G1138="",Sync!$Z1135=""),"",Sync!$Z1135)</f>
        <v/>
      </c>
      <c r="K1138">
        <f>IF(OR($G1138="",Sync!$AA1135=""),"",Sync!$AA1135)</f>
        <v/>
      </c>
      <c r="L1138">
        <f>IF($G1138="",0,IF(Sync!$AB1135="",0,Sync!$AB1135))</f>
        <v/>
      </c>
      <c r="M1138">
        <f>IF($G1138="",0,IF(Sync!$AC1135="",0,Sync!$AC1135))</f>
        <v/>
      </c>
      <c r="N1138">
        <f>IF($G1138="","",IF($H1138="مرجوعی خرید",-1,1)*($L1138-$M1138*IFERROR(VLOOKUP("P01",ParamTbl,3,0),1.5))*(1-IF($I1138="خرید",IFERROR(VLOOKUP("P02",ParamTbl,3,0),1),0)/100))</f>
        <v/>
      </c>
      <c r="O1138">
        <f>IF($G1138="",0,IF($H1138="مرجوعی خرید",-1,1)*IF(Sync!$AD1135="",0,Sync!$AD1135))</f>
        <v/>
      </c>
      <c r="P1138">
        <f>IF(OR($G1138="",Sync!$W1135=""),"",Sync!$W1135)</f>
        <v/>
      </c>
      <c r="Q1138">
        <f>IF(OR($G1138="",Sync!$AE1135=""),"",Sync!$AE1135)</f>
        <v/>
      </c>
      <c r="R1138">
        <f>IF($G1138="","",IF(Sync!$V1135="","0000",IF(AND(ISNUMBER(Sync!$V1135),Sync!$V1135&gt;=0,Sync!$V1135&lt;1),RIGHT("00"&amp;HOUR(Sync!$V1135),2)&amp;RIGHT("00"&amp;MINUTE(Sync!$V1135),2),IFERROR(RIGHT("00"&amp;VALUE(LEFT(Sync!$V1135,FIND(":",Sync!$V1135)-1)),2)&amp;RIGHT("00"&amp;VALUE(MID(Sync!$V1135,FIND(":",Sync!$V1135)+1,2)),2),"0000"))))</f>
        <v/>
      </c>
    </row>
    <row r="1139">
      <c r="A1139">
        <f>IF(Sync!$U1136="","",Sync!$U1136)</f>
        <v/>
      </c>
      <c r="B1139">
        <f>IF($A1139="","",IF(ISNUMBER($A1139),IF(AND($A1139&gt;=10000101,$A1139&lt;=99991231),INT($A1139/10000),""),IFERROR(VALUE(TRIM(LEFT($A1139,FIND("/",$A1139)-1))),"")))</f>
        <v/>
      </c>
      <c r="C1139">
        <f>IF(OR($A1139="",$B1139=""),"",IF(ISNUMBER($A1139),INT(MOD($A1139,10000)/100),IFERROR(VALUE(TRIM(LEFT(MID($A1139,FIND("/",$A1139)+1,20),FIND("/",MID($A1139,FIND("/",$A1139)+1,20))-1))),"")))</f>
        <v/>
      </c>
      <c r="D1139">
        <f>IF(OR($A1139="",$B1139=""),"",IF(ISNUMBER($A1139),MOD($A1139,100),IFERROR(VALUE(TRIM(MID(MID($A1139,FIND("/",$A1139)+1,20),FIND("/",MID($A1139,FIND("/",$A1139)+1,20))+1,20))),"")))</f>
        <v/>
      </c>
      <c r="E1139">
        <f>IF($A1139="","",IF(OR($B1139="",$C1139="",$D1139="",$B1139&lt;1300,$B1139&gt;1500,$C1139&lt;1,$C1139&gt;12,$D1139&lt;1,$D1139&gt;31),"نامعتبر",RIGHT("0000"&amp;$B1139,4)&amp;"/"&amp;RIGHT("00"&amp;$C1139,2)&amp;"/"&amp;RIGHT("00"&amp;$D1139,2)))</f>
        <v/>
      </c>
      <c r="F1139">
        <f>IF(OR($E1139="",$E1139="نامعتبر"),"",LEFT($E1139,4)&amp;"/"&amp;MID($E1139,6,2))</f>
        <v/>
      </c>
      <c r="G1139">
        <f>IF(OR($E1139="",$E1139="نامعتبر",Sync!$Y1136=""),"",Sync!$Y1136)</f>
        <v/>
      </c>
      <c r="H1139">
        <f>IF($G1139="","",IF(Sync!$X1136="","",Sync!$X1136))</f>
        <v/>
      </c>
      <c r="I1139">
        <f>IF($G1139="","",IFERROR(VLOOKUP(Sync!$X1136,OpTbl,3,0),""))</f>
        <v/>
      </c>
      <c r="J1139">
        <f>IF(OR($G1139="",Sync!$Z1136=""),"",Sync!$Z1136)</f>
        <v/>
      </c>
      <c r="K1139">
        <f>IF(OR($G1139="",Sync!$AA1136=""),"",Sync!$AA1136)</f>
        <v/>
      </c>
      <c r="L1139">
        <f>IF($G1139="",0,IF(Sync!$AB1136="",0,Sync!$AB1136))</f>
        <v/>
      </c>
      <c r="M1139">
        <f>IF($G1139="",0,IF(Sync!$AC1136="",0,Sync!$AC1136))</f>
        <v/>
      </c>
      <c r="N1139">
        <f>IF($G1139="","",IF($H1139="مرجوعی خرید",-1,1)*($L1139-$M1139*IFERROR(VLOOKUP("P01",ParamTbl,3,0),1.5))*(1-IF($I1139="خرید",IFERROR(VLOOKUP("P02",ParamTbl,3,0),1),0)/100))</f>
        <v/>
      </c>
      <c r="O1139">
        <f>IF($G1139="",0,IF($H1139="مرجوعی خرید",-1,1)*IF(Sync!$AD1136="",0,Sync!$AD1136))</f>
        <v/>
      </c>
      <c r="P1139">
        <f>IF(OR($G1139="",Sync!$W1136=""),"",Sync!$W1136)</f>
        <v/>
      </c>
      <c r="Q1139">
        <f>IF(OR($G1139="",Sync!$AE1136=""),"",Sync!$AE1136)</f>
        <v/>
      </c>
      <c r="R1139">
        <f>IF($G1139="","",IF(Sync!$V1136="","0000",IF(AND(ISNUMBER(Sync!$V1136),Sync!$V1136&gt;=0,Sync!$V1136&lt;1),RIGHT("00"&amp;HOUR(Sync!$V1136),2)&amp;RIGHT("00"&amp;MINUTE(Sync!$V1136),2),IFERROR(RIGHT("00"&amp;VALUE(LEFT(Sync!$V1136,FIND(":",Sync!$V1136)-1)),2)&amp;RIGHT("00"&amp;VALUE(MID(Sync!$V1136,FIND(":",Sync!$V1136)+1,2)),2),"0000"))))</f>
        <v/>
      </c>
    </row>
    <row r="1140">
      <c r="A1140">
        <f>IF(Sync!$U1137="","",Sync!$U1137)</f>
        <v/>
      </c>
      <c r="B1140">
        <f>IF($A1140="","",IF(ISNUMBER($A1140),IF(AND($A1140&gt;=10000101,$A1140&lt;=99991231),INT($A1140/10000),""),IFERROR(VALUE(TRIM(LEFT($A1140,FIND("/",$A1140)-1))),"")))</f>
        <v/>
      </c>
      <c r="C1140">
        <f>IF(OR($A1140="",$B1140=""),"",IF(ISNUMBER($A1140),INT(MOD($A1140,10000)/100),IFERROR(VALUE(TRIM(LEFT(MID($A1140,FIND("/",$A1140)+1,20),FIND("/",MID($A1140,FIND("/",$A1140)+1,20))-1))),"")))</f>
        <v/>
      </c>
      <c r="D1140">
        <f>IF(OR($A1140="",$B1140=""),"",IF(ISNUMBER($A1140),MOD($A1140,100),IFERROR(VALUE(TRIM(MID(MID($A1140,FIND("/",$A1140)+1,20),FIND("/",MID($A1140,FIND("/",$A1140)+1,20))+1,20))),"")))</f>
        <v/>
      </c>
      <c r="E1140">
        <f>IF($A1140="","",IF(OR($B1140="",$C1140="",$D1140="",$B1140&lt;1300,$B1140&gt;1500,$C1140&lt;1,$C1140&gt;12,$D1140&lt;1,$D1140&gt;31),"نامعتبر",RIGHT("0000"&amp;$B1140,4)&amp;"/"&amp;RIGHT("00"&amp;$C1140,2)&amp;"/"&amp;RIGHT("00"&amp;$D1140,2)))</f>
        <v/>
      </c>
      <c r="F1140">
        <f>IF(OR($E1140="",$E1140="نامعتبر"),"",LEFT($E1140,4)&amp;"/"&amp;MID($E1140,6,2))</f>
        <v/>
      </c>
      <c r="G1140">
        <f>IF(OR($E1140="",$E1140="نامعتبر",Sync!$Y1137=""),"",Sync!$Y1137)</f>
        <v/>
      </c>
      <c r="H1140">
        <f>IF($G1140="","",IF(Sync!$X1137="","",Sync!$X1137))</f>
        <v/>
      </c>
      <c r="I1140">
        <f>IF($G1140="","",IFERROR(VLOOKUP(Sync!$X1137,OpTbl,3,0),""))</f>
        <v/>
      </c>
      <c r="J1140">
        <f>IF(OR($G1140="",Sync!$Z1137=""),"",Sync!$Z1137)</f>
        <v/>
      </c>
      <c r="K1140">
        <f>IF(OR($G1140="",Sync!$AA1137=""),"",Sync!$AA1137)</f>
        <v/>
      </c>
      <c r="L1140">
        <f>IF($G1140="",0,IF(Sync!$AB1137="",0,Sync!$AB1137))</f>
        <v/>
      </c>
      <c r="M1140">
        <f>IF($G1140="",0,IF(Sync!$AC1137="",0,Sync!$AC1137))</f>
        <v/>
      </c>
      <c r="N1140">
        <f>IF($G1140="","",IF($H1140="مرجوعی خرید",-1,1)*($L1140-$M1140*IFERROR(VLOOKUP("P01",ParamTbl,3,0),1.5))*(1-IF($I1140="خرید",IFERROR(VLOOKUP("P02",ParamTbl,3,0),1),0)/100))</f>
        <v/>
      </c>
      <c r="O1140">
        <f>IF($G1140="",0,IF($H1140="مرجوعی خرید",-1,1)*IF(Sync!$AD1137="",0,Sync!$AD1137))</f>
        <v/>
      </c>
      <c r="P1140">
        <f>IF(OR($G1140="",Sync!$W1137=""),"",Sync!$W1137)</f>
        <v/>
      </c>
      <c r="Q1140">
        <f>IF(OR($G1140="",Sync!$AE1137=""),"",Sync!$AE1137)</f>
        <v/>
      </c>
      <c r="R1140">
        <f>IF($G1140="","",IF(Sync!$V1137="","0000",IF(AND(ISNUMBER(Sync!$V1137),Sync!$V1137&gt;=0,Sync!$V1137&lt;1),RIGHT("00"&amp;HOUR(Sync!$V1137),2)&amp;RIGHT("00"&amp;MINUTE(Sync!$V1137),2),IFERROR(RIGHT("00"&amp;VALUE(LEFT(Sync!$V1137,FIND(":",Sync!$V1137)-1)),2)&amp;RIGHT("00"&amp;VALUE(MID(Sync!$V1137,FIND(":",Sync!$V1137)+1,2)),2),"0000"))))</f>
        <v/>
      </c>
    </row>
    <row r="1141">
      <c r="A1141">
        <f>IF(Sync!$U1138="","",Sync!$U1138)</f>
        <v/>
      </c>
      <c r="B1141">
        <f>IF($A1141="","",IF(ISNUMBER($A1141),IF(AND($A1141&gt;=10000101,$A1141&lt;=99991231),INT($A1141/10000),""),IFERROR(VALUE(TRIM(LEFT($A1141,FIND("/",$A1141)-1))),"")))</f>
        <v/>
      </c>
      <c r="C1141">
        <f>IF(OR($A1141="",$B1141=""),"",IF(ISNUMBER($A1141),INT(MOD($A1141,10000)/100),IFERROR(VALUE(TRIM(LEFT(MID($A1141,FIND("/",$A1141)+1,20),FIND("/",MID($A1141,FIND("/",$A1141)+1,20))-1))),"")))</f>
        <v/>
      </c>
      <c r="D1141">
        <f>IF(OR($A1141="",$B1141=""),"",IF(ISNUMBER($A1141),MOD($A1141,100),IFERROR(VALUE(TRIM(MID(MID($A1141,FIND("/",$A1141)+1,20),FIND("/",MID($A1141,FIND("/",$A1141)+1,20))+1,20))),"")))</f>
        <v/>
      </c>
      <c r="E1141">
        <f>IF($A1141="","",IF(OR($B1141="",$C1141="",$D1141="",$B1141&lt;1300,$B1141&gt;1500,$C1141&lt;1,$C1141&gt;12,$D1141&lt;1,$D1141&gt;31),"نامعتبر",RIGHT("0000"&amp;$B1141,4)&amp;"/"&amp;RIGHT("00"&amp;$C1141,2)&amp;"/"&amp;RIGHT("00"&amp;$D1141,2)))</f>
        <v/>
      </c>
      <c r="F1141">
        <f>IF(OR($E1141="",$E1141="نامعتبر"),"",LEFT($E1141,4)&amp;"/"&amp;MID($E1141,6,2))</f>
        <v/>
      </c>
      <c r="G1141">
        <f>IF(OR($E1141="",$E1141="نامعتبر",Sync!$Y1138=""),"",Sync!$Y1138)</f>
        <v/>
      </c>
      <c r="H1141">
        <f>IF($G1141="","",IF(Sync!$X1138="","",Sync!$X1138))</f>
        <v/>
      </c>
      <c r="I1141">
        <f>IF($G1141="","",IFERROR(VLOOKUP(Sync!$X1138,OpTbl,3,0),""))</f>
        <v/>
      </c>
      <c r="J1141">
        <f>IF(OR($G1141="",Sync!$Z1138=""),"",Sync!$Z1138)</f>
        <v/>
      </c>
      <c r="K1141">
        <f>IF(OR($G1141="",Sync!$AA1138=""),"",Sync!$AA1138)</f>
        <v/>
      </c>
      <c r="L1141">
        <f>IF($G1141="",0,IF(Sync!$AB1138="",0,Sync!$AB1138))</f>
        <v/>
      </c>
      <c r="M1141">
        <f>IF($G1141="",0,IF(Sync!$AC1138="",0,Sync!$AC1138))</f>
        <v/>
      </c>
      <c r="N1141">
        <f>IF($G1141="","",IF($H1141="مرجوعی خرید",-1,1)*($L1141-$M1141*IFERROR(VLOOKUP("P01",ParamTbl,3,0),1.5))*(1-IF($I1141="خرید",IFERROR(VLOOKUP("P02",ParamTbl,3,0),1),0)/100))</f>
        <v/>
      </c>
      <c r="O1141">
        <f>IF($G1141="",0,IF($H1141="مرجوعی خرید",-1,1)*IF(Sync!$AD1138="",0,Sync!$AD1138))</f>
        <v/>
      </c>
      <c r="P1141">
        <f>IF(OR($G1141="",Sync!$W1138=""),"",Sync!$W1138)</f>
        <v/>
      </c>
      <c r="Q1141">
        <f>IF(OR($G1141="",Sync!$AE1138=""),"",Sync!$AE1138)</f>
        <v/>
      </c>
      <c r="R1141">
        <f>IF($G1141="","",IF(Sync!$V1138="","0000",IF(AND(ISNUMBER(Sync!$V1138),Sync!$V1138&gt;=0,Sync!$V1138&lt;1),RIGHT("00"&amp;HOUR(Sync!$V1138),2)&amp;RIGHT("00"&amp;MINUTE(Sync!$V1138),2),IFERROR(RIGHT("00"&amp;VALUE(LEFT(Sync!$V1138,FIND(":",Sync!$V1138)-1)),2)&amp;RIGHT("00"&amp;VALUE(MID(Sync!$V1138,FIND(":",Sync!$V1138)+1,2)),2),"0000"))))</f>
        <v/>
      </c>
    </row>
    <row r="1142">
      <c r="A1142">
        <f>IF(Sync!$U1139="","",Sync!$U1139)</f>
        <v/>
      </c>
      <c r="B1142">
        <f>IF($A1142="","",IF(ISNUMBER($A1142),IF(AND($A1142&gt;=10000101,$A1142&lt;=99991231),INT($A1142/10000),""),IFERROR(VALUE(TRIM(LEFT($A1142,FIND("/",$A1142)-1))),"")))</f>
        <v/>
      </c>
      <c r="C1142">
        <f>IF(OR($A1142="",$B1142=""),"",IF(ISNUMBER($A1142),INT(MOD($A1142,10000)/100),IFERROR(VALUE(TRIM(LEFT(MID($A1142,FIND("/",$A1142)+1,20),FIND("/",MID($A1142,FIND("/",$A1142)+1,20))-1))),"")))</f>
        <v/>
      </c>
      <c r="D1142">
        <f>IF(OR($A1142="",$B1142=""),"",IF(ISNUMBER($A1142),MOD($A1142,100),IFERROR(VALUE(TRIM(MID(MID($A1142,FIND("/",$A1142)+1,20),FIND("/",MID($A1142,FIND("/",$A1142)+1,20))+1,20))),"")))</f>
        <v/>
      </c>
      <c r="E1142">
        <f>IF($A1142="","",IF(OR($B1142="",$C1142="",$D1142="",$B1142&lt;1300,$B1142&gt;1500,$C1142&lt;1,$C1142&gt;12,$D1142&lt;1,$D1142&gt;31),"نامعتبر",RIGHT("0000"&amp;$B1142,4)&amp;"/"&amp;RIGHT("00"&amp;$C1142,2)&amp;"/"&amp;RIGHT("00"&amp;$D1142,2)))</f>
        <v/>
      </c>
      <c r="F1142">
        <f>IF(OR($E1142="",$E1142="نامعتبر"),"",LEFT($E1142,4)&amp;"/"&amp;MID($E1142,6,2))</f>
        <v/>
      </c>
      <c r="G1142">
        <f>IF(OR($E1142="",$E1142="نامعتبر",Sync!$Y1139=""),"",Sync!$Y1139)</f>
        <v/>
      </c>
      <c r="H1142">
        <f>IF($G1142="","",IF(Sync!$X1139="","",Sync!$X1139))</f>
        <v/>
      </c>
      <c r="I1142">
        <f>IF($G1142="","",IFERROR(VLOOKUP(Sync!$X1139,OpTbl,3,0),""))</f>
        <v/>
      </c>
      <c r="J1142">
        <f>IF(OR($G1142="",Sync!$Z1139=""),"",Sync!$Z1139)</f>
        <v/>
      </c>
      <c r="K1142">
        <f>IF(OR($G1142="",Sync!$AA1139=""),"",Sync!$AA1139)</f>
        <v/>
      </c>
      <c r="L1142">
        <f>IF($G1142="",0,IF(Sync!$AB1139="",0,Sync!$AB1139))</f>
        <v/>
      </c>
      <c r="M1142">
        <f>IF($G1142="",0,IF(Sync!$AC1139="",0,Sync!$AC1139))</f>
        <v/>
      </c>
      <c r="N1142">
        <f>IF($G1142="","",IF($H1142="مرجوعی خرید",-1,1)*($L1142-$M1142*IFERROR(VLOOKUP("P01",ParamTbl,3,0),1.5))*(1-IF($I1142="خرید",IFERROR(VLOOKUP("P02",ParamTbl,3,0),1),0)/100))</f>
        <v/>
      </c>
      <c r="O1142">
        <f>IF($G1142="",0,IF($H1142="مرجوعی خرید",-1,1)*IF(Sync!$AD1139="",0,Sync!$AD1139))</f>
        <v/>
      </c>
      <c r="P1142">
        <f>IF(OR($G1142="",Sync!$W1139=""),"",Sync!$W1139)</f>
        <v/>
      </c>
      <c r="Q1142">
        <f>IF(OR($G1142="",Sync!$AE1139=""),"",Sync!$AE1139)</f>
        <v/>
      </c>
      <c r="R1142">
        <f>IF($G1142="","",IF(Sync!$V1139="","0000",IF(AND(ISNUMBER(Sync!$V1139),Sync!$V1139&gt;=0,Sync!$V1139&lt;1),RIGHT("00"&amp;HOUR(Sync!$V1139),2)&amp;RIGHT("00"&amp;MINUTE(Sync!$V1139),2),IFERROR(RIGHT("00"&amp;VALUE(LEFT(Sync!$V1139,FIND(":",Sync!$V1139)-1)),2)&amp;RIGHT("00"&amp;VALUE(MID(Sync!$V1139,FIND(":",Sync!$V1139)+1,2)),2),"0000"))))</f>
        <v/>
      </c>
    </row>
    <row r="1143">
      <c r="A1143">
        <f>IF(Sync!$U1140="","",Sync!$U1140)</f>
        <v/>
      </c>
      <c r="B1143">
        <f>IF($A1143="","",IF(ISNUMBER($A1143),IF(AND($A1143&gt;=10000101,$A1143&lt;=99991231),INT($A1143/10000),""),IFERROR(VALUE(TRIM(LEFT($A1143,FIND("/",$A1143)-1))),"")))</f>
        <v/>
      </c>
      <c r="C1143">
        <f>IF(OR($A1143="",$B1143=""),"",IF(ISNUMBER($A1143),INT(MOD($A1143,10000)/100),IFERROR(VALUE(TRIM(LEFT(MID($A1143,FIND("/",$A1143)+1,20),FIND("/",MID($A1143,FIND("/",$A1143)+1,20))-1))),"")))</f>
        <v/>
      </c>
      <c r="D1143">
        <f>IF(OR($A1143="",$B1143=""),"",IF(ISNUMBER($A1143),MOD($A1143,100),IFERROR(VALUE(TRIM(MID(MID($A1143,FIND("/",$A1143)+1,20),FIND("/",MID($A1143,FIND("/",$A1143)+1,20))+1,20))),"")))</f>
        <v/>
      </c>
      <c r="E1143">
        <f>IF($A1143="","",IF(OR($B1143="",$C1143="",$D1143="",$B1143&lt;1300,$B1143&gt;1500,$C1143&lt;1,$C1143&gt;12,$D1143&lt;1,$D1143&gt;31),"نامعتبر",RIGHT("0000"&amp;$B1143,4)&amp;"/"&amp;RIGHT("00"&amp;$C1143,2)&amp;"/"&amp;RIGHT("00"&amp;$D1143,2)))</f>
        <v/>
      </c>
      <c r="F1143">
        <f>IF(OR($E1143="",$E1143="نامعتبر"),"",LEFT($E1143,4)&amp;"/"&amp;MID($E1143,6,2))</f>
        <v/>
      </c>
      <c r="G1143">
        <f>IF(OR($E1143="",$E1143="نامعتبر",Sync!$Y1140=""),"",Sync!$Y1140)</f>
        <v/>
      </c>
      <c r="H1143">
        <f>IF($G1143="","",IF(Sync!$X1140="","",Sync!$X1140))</f>
        <v/>
      </c>
      <c r="I1143">
        <f>IF($G1143="","",IFERROR(VLOOKUP(Sync!$X1140,OpTbl,3,0),""))</f>
        <v/>
      </c>
      <c r="J1143">
        <f>IF(OR($G1143="",Sync!$Z1140=""),"",Sync!$Z1140)</f>
        <v/>
      </c>
      <c r="K1143">
        <f>IF(OR($G1143="",Sync!$AA1140=""),"",Sync!$AA1140)</f>
        <v/>
      </c>
      <c r="L1143">
        <f>IF($G1143="",0,IF(Sync!$AB1140="",0,Sync!$AB1140))</f>
        <v/>
      </c>
      <c r="M1143">
        <f>IF($G1143="",0,IF(Sync!$AC1140="",0,Sync!$AC1140))</f>
        <v/>
      </c>
      <c r="N1143">
        <f>IF($G1143="","",IF($H1143="مرجوعی خرید",-1,1)*($L1143-$M1143*IFERROR(VLOOKUP("P01",ParamTbl,3,0),1.5))*(1-IF($I1143="خرید",IFERROR(VLOOKUP("P02",ParamTbl,3,0),1),0)/100))</f>
        <v/>
      </c>
      <c r="O1143">
        <f>IF($G1143="",0,IF($H1143="مرجوعی خرید",-1,1)*IF(Sync!$AD1140="",0,Sync!$AD1140))</f>
        <v/>
      </c>
      <c r="P1143">
        <f>IF(OR($G1143="",Sync!$W1140=""),"",Sync!$W1140)</f>
        <v/>
      </c>
      <c r="Q1143">
        <f>IF(OR($G1143="",Sync!$AE1140=""),"",Sync!$AE1140)</f>
        <v/>
      </c>
      <c r="R1143">
        <f>IF($G1143="","",IF(Sync!$V1140="","0000",IF(AND(ISNUMBER(Sync!$V1140),Sync!$V1140&gt;=0,Sync!$V1140&lt;1),RIGHT("00"&amp;HOUR(Sync!$V1140),2)&amp;RIGHT("00"&amp;MINUTE(Sync!$V1140),2),IFERROR(RIGHT("00"&amp;VALUE(LEFT(Sync!$V1140,FIND(":",Sync!$V1140)-1)),2)&amp;RIGHT("00"&amp;VALUE(MID(Sync!$V1140,FIND(":",Sync!$V1140)+1,2)),2),"0000"))))</f>
        <v/>
      </c>
    </row>
    <row r="1144">
      <c r="A1144">
        <f>IF(Sync!$U1141="","",Sync!$U1141)</f>
        <v/>
      </c>
      <c r="B1144">
        <f>IF($A1144="","",IF(ISNUMBER($A1144),IF(AND($A1144&gt;=10000101,$A1144&lt;=99991231),INT($A1144/10000),""),IFERROR(VALUE(TRIM(LEFT($A1144,FIND("/",$A1144)-1))),"")))</f>
        <v/>
      </c>
      <c r="C1144">
        <f>IF(OR($A1144="",$B1144=""),"",IF(ISNUMBER($A1144),INT(MOD($A1144,10000)/100),IFERROR(VALUE(TRIM(LEFT(MID($A1144,FIND("/",$A1144)+1,20),FIND("/",MID($A1144,FIND("/",$A1144)+1,20))-1))),"")))</f>
        <v/>
      </c>
      <c r="D1144">
        <f>IF(OR($A1144="",$B1144=""),"",IF(ISNUMBER($A1144),MOD($A1144,100),IFERROR(VALUE(TRIM(MID(MID($A1144,FIND("/",$A1144)+1,20),FIND("/",MID($A1144,FIND("/",$A1144)+1,20))+1,20))),"")))</f>
        <v/>
      </c>
      <c r="E1144">
        <f>IF($A1144="","",IF(OR($B1144="",$C1144="",$D1144="",$B1144&lt;1300,$B1144&gt;1500,$C1144&lt;1,$C1144&gt;12,$D1144&lt;1,$D1144&gt;31),"نامعتبر",RIGHT("0000"&amp;$B1144,4)&amp;"/"&amp;RIGHT("00"&amp;$C1144,2)&amp;"/"&amp;RIGHT("00"&amp;$D1144,2)))</f>
        <v/>
      </c>
      <c r="F1144">
        <f>IF(OR($E1144="",$E1144="نامعتبر"),"",LEFT($E1144,4)&amp;"/"&amp;MID($E1144,6,2))</f>
        <v/>
      </c>
      <c r="G1144">
        <f>IF(OR($E1144="",$E1144="نامعتبر",Sync!$Y1141=""),"",Sync!$Y1141)</f>
        <v/>
      </c>
      <c r="H1144">
        <f>IF($G1144="","",IF(Sync!$X1141="","",Sync!$X1141))</f>
        <v/>
      </c>
      <c r="I1144">
        <f>IF($G1144="","",IFERROR(VLOOKUP(Sync!$X1141,OpTbl,3,0),""))</f>
        <v/>
      </c>
      <c r="J1144">
        <f>IF(OR($G1144="",Sync!$Z1141=""),"",Sync!$Z1141)</f>
        <v/>
      </c>
      <c r="K1144">
        <f>IF(OR($G1144="",Sync!$AA1141=""),"",Sync!$AA1141)</f>
        <v/>
      </c>
      <c r="L1144">
        <f>IF($G1144="",0,IF(Sync!$AB1141="",0,Sync!$AB1141))</f>
        <v/>
      </c>
      <c r="M1144">
        <f>IF($G1144="",0,IF(Sync!$AC1141="",0,Sync!$AC1141))</f>
        <v/>
      </c>
      <c r="N1144">
        <f>IF($G1144="","",IF($H1144="مرجوعی خرید",-1,1)*($L1144-$M1144*IFERROR(VLOOKUP("P01",ParamTbl,3,0),1.5))*(1-IF($I1144="خرید",IFERROR(VLOOKUP("P02",ParamTbl,3,0),1),0)/100))</f>
        <v/>
      </c>
      <c r="O1144">
        <f>IF($G1144="",0,IF($H1144="مرجوعی خرید",-1,1)*IF(Sync!$AD1141="",0,Sync!$AD1141))</f>
        <v/>
      </c>
      <c r="P1144">
        <f>IF(OR($G1144="",Sync!$W1141=""),"",Sync!$W1141)</f>
        <v/>
      </c>
      <c r="Q1144">
        <f>IF(OR($G1144="",Sync!$AE1141=""),"",Sync!$AE1141)</f>
        <v/>
      </c>
      <c r="R1144">
        <f>IF($G1144="","",IF(Sync!$V1141="","0000",IF(AND(ISNUMBER(Sync!$V1141),Sync!$V1141&gt;=0,Sync!$V1141&lt;1),RIGHT("00"&amp;HOUR(Sync!$V1141),2)&amp;RIGHT("00"&amp;MINUTE(Sync!$V1141),2),IFERROR(RIGHT("00"&amp;VALUE(LEFT(Sync!$V1141,FIND(":",Sync!$V1141)-1)),2)&amp;RIGHT("00"&amp;VALUE(MID(Sync!$V1141,FIND(":",Sync!$V1141)+1,2)),2),"0000"))))</f>
        <v/>
      </c>
    </row>
    <row r="1145">
      <c r="A1145">
        <f>IF(Sync!$U1142="","",Sync!$U1142)</f>
        <v/>
      </c>
      <c r="B1145">
        <f>IF($A1145="","",IF(ISNUMBER($A1145),IF(AND($A1145&gt;=10000101,$A1145&lt;=99991231),INT($A1145/10000),""),IFERROR(VALUE(TRIM(LEFT($A1145,FIND("/",$A1145)-1))),"")))</f>
        <v/>
      </c>
      <c r="C1145">
        <f>IF(OR($A1145="",$B1145=""),"",IF(ISNUMBER($A1145),INT(MOD($A1145,10000)/100),IFERROR(VALUE(TRIM(LEFT(MID($A1145,FIND("/",$A1145)+1,20),FIND("/",MID($A1145,FIND("/",$A1145)+1,20))-1))),"")))</f>
        <v/>
      </c>
      <c r="D1145">
        <f>IF(OR($A1145="",$B1145=""),"",IF(ISNUMBER($A1145),MOD($A1145,100),IFERROR(VALUE(TRIM(MID(MID($A1145,FIND("/",$A1145)+1,20),FIND("/",MID($A1145,FIND("/",$A1145)+1,20))+1,20))),"")))</f>
        <v/>
      </c>
      <c r="E1145">
        <f>IF($A1145="","",IF(OR($B1145="",$C1145="",$D1145="",$B1145&lt;1300,$B1145&gt;1500,$C1145&lt;1,$C1145&gt;12,$D1145&lt;1,$D1145&gt;31),"نامعتبر",RIGHT("0000"&amp;$B1145,4)&amp;"/"&amp;RIGHT("00"&amp;$C1145,2)&amp;"/"&amp;RIGHT("00"&amp;$D1145,2)))</f>
        <v/>
      </c>
      <c r="F1145">
        <f>IF(OR($E1145="",$E1145="نامعتبر"),"",LEFT($E1145,4)&amp;"/"&amp;MID($E1145,6,2))</f>
        <v/>
      </c>
      <c r="G1145">
        <f>IF(OR($E1145="",$E1145="نامعتبر",Sync!$Y1142=""),"",Sync!$Y1142)</f>
        <v/>
      </c>
      <c r="H1145">
        <f>IF($G1145="","",IF(Sync!$X1142="","",Sync!$X1142))</f>
        <v/>
      </c>
      <c r="I1145">
        <f>IF($G1145="","",IFERROR(VLOOKUP(Sync!$X1142,OpTbl,3,0),""))</f>
        <v/>
      </c>
      <c r="J1145">
        <f>IF(OR($G1145="",Sync!$Z1142=""),"",Sync!$Z1142)</f>
        <v/>
      </c>
      <c r="K1145">
        <f>IF(OR($G1145="",Sync!$AA1142=""),"",Sync!$AA1142)</f>
        <v/>
      </c>
      <c r="L1145">
        <f>IF($G1145="",0,IF(Sync!$AB1142="",0,Sync!$AB1142))</f>
        <v/>
      </c>
      <c r="M1145">
        <f>IF($G1145="",0,IF(Sync!$AC1142="",0,Sync!$AC1142))</f>
        <v/>
      </c>
      <c r="N1145">
        <f>IF($G1145="","",IF($H1145="مرجوعی خرید",-1,1)*($L1145-$M1145*IFERROR(VLOOKUP("P01",ParamTbl,3,0),1.5))*(1-IF($I1145="خرید",IFERROR(VLOOKUP("P02",ParamTbl,3,0),1),0)/100))</f>
        <v/>
      </c>
      <c r="O1145">
        <f>IF($G1145="",0,IF($H1145="مرجوعی خرید",-1,1)*IF(Sync!$AD1142="",0,Sync!$AD1142))</f>
        <v/>
      </c>
      <c r="P1145">
        <f>IF(OR($G1145="",Sync!$W1142=""),"",Sync!$W1142)</f>
        <v/>
      </c>
      <c r="Q1145">
        <f>IF(OR($G1145="",Sync!$AE1142=""),"",Sync!$AE1142)</f>
        <v/>
      </c>
      <c r="R1145">
        <f>IF($G1145="","",IF(Sync!$V1142="","0000",IF(AND(ISNUMBER(Sync!$V1142),Sync!$V1142&gt;=0,Sync!$V1142&lt;1),RIGHT("00"&amp;HOUR(Sync!$V1142),2)&amp;RIGHT("00"&amp;MINUTE(Sync!$V1142),2),IFERROR(RIGHT("00"&amp;VALUE(LEFT(Sync!$V1142,FIND(":",Sync!$V1142)-1)),2)&amp;RIGHT("00"&amp;VALUE(MID(Sync!$V1142,FIND(":",Sync!$V1142)+1,2)),2),"0000"))))</f>
        <v/>
      </c>
    </row>
    <row r="1146">
      <c r="A1146">
        <f>IF(Sync!$U1143="","",Sync!$U1143)</f>
        <v/>
      </c>
      <c r="B1146">
        <f>IF($A1146="","",IF(ISNUMBER($A1146),IF(AND($A1146&gt;=10000101,$A1146&lt;=99991231),INT($A1146/10000),""),IFERROR(VALUE(TRIM(LEFT($A1146,FIND("/",$A1146)-1))),"")))</f>
        <v/>
      </c>
      <c r="C1146">
        <f>IF(OR($A1146="",$B1146=""),"",IF(ISNUMBER($A1146),INT(MOD($A1146,10000)/100),IFERROR(VALUE(TRIM(LEFT(MID($A1146,FIND("/",$A1146)+1,20),FIND("/",MID($A1146,FIND("/",$A1146)+1,20))-1))),"")))</f>
        <v/>
      </c>
      <c r="D1146">
        <f>IF(OR($A1146="",$B1146=""),"",IF(ISNUMBER($A1146),MOD($A1146,100),IFERROR(VALUE(TRIM(MID(MID($A1146,FIND("/",$A1146)+1,20),FIND("/",MID($A1146,FIND("/",$A1146)+1,20))+1,20))),"")))</f>
        <v/>
      </c>
      <c r="E1146">
        <f>IF($A1146="","",IF(OR($B1146="",$C1146="",$D1146="",$B1146&lt;1300,$B1146&gt;1500,$C1146&lt;1,$C1146&gt;12,$D1146&lt;1,$D1146&gt;31),"نامعتبر",RIGHT("0000"&amp;$B1146,4)&amp;"/"&amp;RIGHT("00"&amp;$C1146,2)&amp;"/"&amp;RIGHT("00"&amp;$D1146,2)))</f>
        <v/>
      </c>
      <c r="F1146">
        <f>IF(OR($E1146="",$E1146="نامعتبر"),"",LEFT($E1146,4)&amp;"/"&amp;MID($E1146,6,2))</f>
        <v/>
      </c>
      <c r="G1146">
        <f>IF(OR($E1146="",$E1146="نامعتبر",Sync!$Y1143=""),"",Sync!$Y1143)</f>
        <v/>
      </c>
      <c r="H1146">
        <f>IF($G1146="","",IF(Sync!$X1143="","",Sync!$X1143))</f>
        <v/>
      </c>
      <c r="I1146">
        <f>IF($G1146="","",IFERROR(VLOOKUP(Sync!$X1143,OpTbl,3,0),""))</f>
        <v/>
      </c>
      <c r="J1146">
        <f>IF(OR($G1146="",Sync!$Z1143=""),"",Sync!$Z1143)</f>
        <v/>
      </c>
      <c r="K1146">
        <f>IF(OR($G1146="",Sync!$AA1143=""),"",Sync!$AA1143)</f>
        <v/>
      </c>
      <c r="L1146">
        <f>IF($G1146="",0,IF(Sync!$AB1143="",0,Sync!$AB1143))</f>
        <v/>
      </c>
      <c r="M1146">
        <f>IF($G1146="",0,IF(Sync!$AC1143="",0,Sync!$AC1143))</f>
        <v/>
      </c>
      <c r="N1146">
        <f>IF($G1146="","",IF($H1146="مرجوعی خرید",-1,1)*($L1146-$M1146*IFERROR(VLOOKUP("P01",ParamTbl,3,0),1.5))*(1-IF($I1146="خرید",IFERROR(VLOOKUP("P02",ParamTbl,3,0),1),0)/100))</f>
        <v/>
      </c>
      <c r="O1146">
        <f>IF($G1146="",0,IF($H1146="مرجوعی خرید",-1,1)*IF(Sync!$AD1143="",0,Sync!$AD1143))</f>
        <v/>
      </c>
      <c r="P1146">
        <f>IF(OR($G1146="",Sync!$W1143=""),"",Sync!$W1143)</f>
        <v/>
      </c>
      <c r="Q1146">
        <f>IF(OR($G1146="",Sync!$AE1143=""),"",Sync!$AE1143)</f>
        <v/>
      </c>
      <c r="R1146">
        <f>IF($G1146="","",IF(Sync!$V1143="","0000",IF(AND(ISNUMBER(Sync!$V1143),Sync!$V1143&gt;=0,Sync!$V1143&lt;1),RIGHT("00"&amp;HOUR(Sync!$V1143),2)&amp;RIGHT("00"&amp;MINUTE(Sync!$V1143),2),IFERROR(RIGHT("00"&amp;VALUE(LEFT(Sync!$V1143,FIND(":",Sync!$V1143)-1)),2)&amp;RIGHT("00"&amp;VALUE(MID(Sync!$V1143,FIND(":",Sync!$V1143)+1,2)),2),"0000"))))</f>
        <v/>
      </c>
    </row>
    <row r="1147">
      <c r="A1147">
        <f>IF(Sync!$U1144="","",Sync!$U1144)</f>
        <v/>
      </c>
      <c r="B1147">
        <f>IF($A1147="","",IF(ISNUMBER($A1147),IF(AND($A1147&gt;=10000101,$A1147&lt;=99991231),INT($A1147/10000),""),IFERROR(VALUE(TRIM(LEFT($A1147,FIND("/",$A1147)-1))),"")))</f>
        <v/>
      </c>
      <c r="C1147">
        <f>IF(OR($A1147="",$B1147=""),"",IF(ISNUMBER($A1147),INT(MOD($A1147,10000)/100),IFERROR(VALUE(TRIM(LEFT(MID($A1147,FIND("/",$A1147)+1,20),FIND("/",MID($A1147,FIND("/",$A1147)+1,20))-1))),"")))</f>
        <v/>
      </c>
      <c r="D1147">
        <f>IF(OR($A1147="",$B1147=""),"",IF(ISNUMBER($A1147),MOD($A1147,100),IFERROR(VALUE(TRIM(MID(MID($A1147,FIND("/",$A1147)+1,20),FIND("/",MID($A1147,FIND("/",$A1147)+1,20))+1,20))),"")))</f>
        <v/>
      </c>
      <c r="E1147">
        <f>IF($A1147="","",IF(OR($B1147="",$C1147="",$D1147="",$B1147&lt;1300,$B1147&gt;1500,$C1147&lt;1,$C1147&gt;12,$D1147&lt;1,$D1147&gt;31),"نامعتبر",RIGHT("0000"&amp;$B1147,4)&amp;"/"&amp;RIGHT("00"&amp;$C1147,2)&amp;"/"&amp;RIGHT("00"&amp;$D1147,2)))</f>
        <v/>
      </c>
      <c r="F1147">
        <f>IF(OR($E1147="",$E1147="نامعتبر"),"",LEFT($E1147,4)&amp;"/"&amp;MID($E1147,6,2))</f>
        <v/>
      </c>
      <c r="G1147">
        <f>IF(OR($E1147="",$E1147="نامعتبر",Sync!$Y1144=""),"",Sync!$Y1144)</f>
        <v/>
      </c>
      <c r="H1147">
        <f>IF($G1147="","",IF(Sync!$X1144="","",Sync!$X1144))</f>
        <v/>
      </c>
      <c r="I1147">
        <f>IF($G1147="","",IFERROR(VLOOKUP(Sync!$X1144,OpTbl,3,0),""))</f>
        <v/>
      </c>
      <c r="J1147">
        <f>IF(OR($G1147="",Sync!$Z1144=""),"",Sync!$Z1144)</f>
        <v/>
      </c>
      <c r="K1147">
        <f>IF(OR($G1147="",Sync!$AA1144=""),"",Sync!$AA1144)</f>
        <v/>
      </c>
      <c r="L1147">
        <f>IF($G1147="",0,IF(Sync!$AB1144="",0,Sync!$AB1144))</f>
        <v/>
      </c>
      <c r="M1147">
        <f>IF($G1147="",0,IF(Sync!$AC1144="",0,Sync!$AC1144))</f>
        <v/>
      </c>
      <c r="N1147">
        <f>IF($G1147="","",IF($H1147="مرجوعی خرید",-1,1)*($L1147-$M1147*IFERROR(VLOOKUP("P01",ParamTbl,3,0),1.5))*(1-IF($I1147="خرید",IFERROR(VLOOKUP("P02",ParamTbl,3,0),1),0)/100))</f>
        <v/>
      </c>
      <c r="O1147">
        <f>IF($G1147="",0,IF($H1147="مرجوعی خرید",-1,1)*IF(Sync!$AD1144="",0,Sync!$AD1144))</f>
        <v/>
      </c>
      <c r="P1147">
        <f>IF(OR($G1147="",Sync!$W1144=""),"",Sync!$W1144)</f>
        <v/>
      </c>
      <c r="Q1147">
        <f>IF(OR($G1147="",Sync!$AE1144=""),"",Sync!$AE1144)</f>
        <v/>
      </c>
      <c r="R1147">
        <f>IF($G1147="","",IF(Sync!$V1144="","0000",IF(AND(ISNUMBER(Sync!$V1144),Sync!$V1144&gt;=0,Sync!$V1144&lt;1),RIGHT("00"&amp;HOUR(Sync!$V1144),2)&amp;RIGHT("00"&amp;MINUTE(Sync!$V1144),2),IFERROR(RIGHT("00"&amp;VALUE(LEFT(Sync!$V1144,FIND(":",Sync!$V1144)-1)),2)&amp;RIGHT("00"&amp;VALUE(MID(Sync!$V1144,FIND(":",Sync!$V1144)+1,2)),2),"0000"))))</f>
        <v/>
      </c>
    </row>
    <row r="1148">
      <c r="A1148">
        <f>IF(Sync!$U1145="","",Sync!$U1145)</f>
        <v/>
      </c>
      <c r="B1148">
        <f>IF($A1148="","",IF(ISNUMBER($A1148),IF(AND($A1148&gt;=10000101,$A1148&lt;=99991231),INT($A1148/10000),""),IFERROR(VALUE(TRIM(LEFT($A1148,FIND("/",$A1148)-1))),"")))</f>
        <v/>
      </c>
      <c r="C1148">
        <f>IF(OR($A1148="",$B1148=""),"",IF(ISNUMBER($A1148),INT(MOD($A1148,10000)/100),IFERROR(VALUE(TRIM(LEFT(MID($A1148,FIND("/",$A1148)+1,20),FIND("/",MID($A1148,FIND("/",$A1148)+1,20))-1))),"")))</f>
        <v/>
      </c>
      <c r="D1148">
        <f>IF(OR($A1148="",$B1148=""),"",IF(ISNUMBER($A1148),MOD($A1148,100),IFERROR(VALUE(TRIM(MID(MID($A1148,FIND("/",$A1148)+1,20),FIND("/",MID($A1148,FIND("/",$A1148)+1,20))+1,20))),"")))</f>
        <v/>
      </c>
      <c r="E1148">
        <f>IF($A1148="","",IF(OR($B1148="",$C1148="",$D1148="",$B1148&lt;1300,$B1148&gt;1500,$C1148&lt;1,$C1148&gt;12,$D1148&lt;1,$D1148&gt;31),"نامعتبر",RIGHT("0000"&amp;$B1148,4)&amp;"/"&amp;RIGHT("00"&amp;$C1148,2)&amp;"/"&amp;RIGHT("00"&amp;$D1148,2)))</f>
        <v/>
      </c>
      <c r="F1148">
        <f>IF(OR($E1148="",$E1148="نامعتبر"),"",LEFT($E1148,4)&amp;"/"&amp;MID($E1148,6,2))</f>
        <v/>
      </c>
      <c r="G1148">
        <f>IF(OR($E1148="",$E1148="نامعتبر",Sync!$Y1145=""),"",Sync!$Y1145)</f>
        <v/>
      </c>
      <c r="H1148">
        <f>IF($G1148="","",IF(Sync!$X1145="","",Sync!$X1145))</f>
        <v/>
      </c>
      <c r="I1148">
        <f>IF($G1148="","",IFERROR(VLOOKUP(Sync!$X1145,OpTbl,3,0),""))</f>
        <v/>
      </c>
      <c r="J1148">
        <f>IF(OR($G1148="",Sync!$Z1145=""),"",Sync!$Z1145)</f>
        <v/>
      </c>
      <c r="K1148">
        <f>IF(OR($G1148="",Sync!$AA1145=""),"",Sync!$AA1145)</f>
        <v/>
      </c>
      <c r="L1148">
        <f>IF($G1148="",0,IF(Sync!$AB1145="",0,Sync!$AB1145))</f>
        <v/>
      </c>
      <c r="M1148">
        <f>IF($G1148="",0,IF(Sync!$AC1145="",0,Sync!$AC1145))</f>
        <v/>
      </c>
      <c r="N1148">
        <f>IF($G1148="","",IF($H1148="مرجوعی خرید",-1,1)*($L1148-$M1148*IFERROR(VLOOKUP("P01",ParamTbl,3,0),1.5))*(1-IF($I1148="خرید",IFERROR(VLOOKUP("P02",ParamTbl,3,0),1),0)/100))</f>
        <v/>
      </c>
      <c r="O1148">
        <f>IF($G1148="",0,IF($H1148="مرجوعی خرید",-1,1)*IF(Sync!$AD1145="",0,Sync!$AD1145))</f>
        <v/>
      </c>
      <c r="P1148">
        <f>IF(OR($G1148="",Sync!$W1145=""),"",Sync!$W1145)</f>
        <v/>
      </c>
      <c r="Q1148">
        <f>IF(OR($G1148="",Sync!$AE1145=""),"",Sync!$AE1145)</f>
        <v/>
      </c>
      <c r="R1148">
        <f>IF($G1148="","",IF(Sync!$V1145="","0000",IF(AND(ISNUMBER(Sync!$V1145),Sync!$V1145&gt;=0,Sync!$V1145&lt;1),RIGHT("00"&amp;HOUR(Sync!$V1145),2)&amp;RIGHT("00"&amp;MINUTE(Sync!$V1145),2),IFERROR(RIGHT("00"&amp;VALUE(LEFT(Sync!$V1145,FIND(":",Sync!$V1145)-1)),2)&amp;RIGHT("00"&amp;VALUE(MID(Sync!$V1145,FIND(":",Sync!$V1145)+1,2)),2),"0000"))))</f>
        <v/>
      </c>
    </row>
    <row r="1149">
      <c r="A1149">
        <f>IF(Sync!$U1146="","",Sync!$U1146)</f>
        <v/>
      </c>
      <c r="B1149">
        <f>IF($A1149="","",IF(ISNUMBER($A1149),IF(AND($A1149&gt;=10000101,$A1149&lt;=99991231),INT($A1149/10000),""),IFERROR(VALUE(TRIM(LEFT($A1149,FIND("/",$A1149)-1))),"")))</f>
        <v/>
      </c>
      <c r="C1149">
        <f>IF(OR($A1149="",$B1149=""),"",IF(ISNUMBER($A1149),INT(MOD($A1149,10000)/100),IFERROR(VALUE(TRIM(LEFT(MID($A1149,FIND("/",$A1149)+1,20),FIND("/",MID($A1149,FIND("/",$A1149)+1,20))-1))),"")))</f>
        <v/>
      </c>
      <c r="D1149">
        <f>IF(OR($A1149="",$B1149=""),"",IF(ISNUMBER($A1149),MOD($A1149,100),IFERROR(VALUE(TRIM(MID(MID($A1149,FIND("/",$A1149)+1,20),FIND("/",MID($A1149,FIND("/",$A1149)+1,20))+1,20))),"")))</f>
        <v/>
      </c>
      <c r="E1149">
        <f>IF($A1149="","",IF(OR($B1149="",$C1149="",$D1149="",$B1149&lt;1300,$B1149&gt;1500,$C1149&lt;1,$C1149&gt;12,$D1149&lt;1,$D1149&gt;31),"نامعتبر",RIGHT("0000"&amp;$B1149,4)&amp;"/"&amp;RIGHT("00"&amp;$C1149,2)&amp;"/"&amp;RIGHT("00"&amp;$D1149,2)))</f>
        <v/>
      </c>
      <c r="F1149">
        <f>IF(OR($E1149="",$E1149="نامعتبر"),"",LEFT($E1149,4)&amp;"/"&amp;MID($E1149,6,2))</f>
        <v/>
      </c>
      <c r="G1149">
        <f>IF(OR($E1149="",$E1149="نامعتبر",Sync!$Y1146=""),"",Sync!$Y1146)</f>
        <v/>
      </c>
      <c r="H1149">
        <f>IF($G1149="","",IF(Sync!$X1146="","",Sync!$X1146))</f>
        <v/>
      </c>
      <c r="I1149">
        <f>IF($G1149="","",IFERROR(VLOOKUP(Sync!$X1146,OpTbl,3,0),""))</f>
        <v/>
      </c>
      <c r="J1149">
        <f>IF(OR($G1149="",Sync!$Z1146=""),"",Sync!$Z1146)</f>
        <v/>
      </c>
      <c r="K1149">
        <f>IF(OR($G1149="",Sync!$AA1146=""),"",Sync!$AA1146)</f>
        <v/>
      </c>
      <c r="L1149">
        <f>IF($G1149="",0,IF(Sync!$AB1146="",0,Sync!$AB1146))</f>
        <v/>
      </c>
      <c r="M1149">
        <f>IF($G1149="",0,IF(Sync!$AC1146="",0,Sync!$AC1146))</f>
        <v/>
      </c>
      <c r="N1149">
        <f>IF($G1149="","",IF($H1149="مرجوعی خرید",-1,1)*($L1149-$M1149*IFERROR(VLOOKUP("P01",ParamTbl,3,0),1.5))*(1-IF($I1149="خرید",IFERROR(VLOOKUP("P02",ParamTbl,3,0),1),0)/100))</f>
        <v/>
      </c>
      <c r="O1149">
        <f>IF($G1149="",0,IF($H1149="مرجوعی خرید",-1,1)*IF(Sync!$AD1146="",0,Sync!$AD1146))</f>
        <v/>
      </c>
      <c r="P1149">
        <f>IF(OR($G1149="",Sync!$W1146=""),"",Sync!$W1146)</f>
        <v/>
      </c>
      <c r="Q1149">
        <f>IF(OR($G1149="",Sync!$AE1146=""),"",Sync!$AE1146)</f>
        <v/>
      </c>
      <c r="R1149">
        <f>IF($G1149="","",IF(Sync!$V1146="","0000",IF(AND(ISNUMBER(Sync!$V1146),Sync!$V1146&gt;=0,Sync!$V1146&lt;1),RIGHT("00"&amp;HOUR(Sync!$V1146),2)&amp;RIGHT("00"&amp;MINUTE(Sync!$V1146),2),IFERROR(RIGHT("00"&amp;VALUE(LEFT(Sync!$V1146,FIND(":",Sync!$V1146)-1)),2)&amp;RIGHT("00"&amp;VALUE(MID(Sync!$V1146,FIND(":",Sync!$V1146)+1,2)),2),"0000"))))</f>
        <v/>
      </c>
    </row>
    <row r="1150">
      <c r="A1150">
        <f>IF(Sync!$U1147="","",Sync!$U1147)</f>
        <v/>
      </c>
      <c r="B1150">
        <f>IF($A1150="","",IF(ISNUMBER($A1150),IF(AND($A1150&gt;=10000101,$A1150&lt;=99991231),INT($A1150/10000),""),IFERROR(VALUE(TRIM(LEFT($A1150,FIND("/",$A1150)-1))),"")))</f>
        <v/>
      </c>
      <c r="C1150">
        <f>IF(OR($A1150="",$B1150=""),"",IF(ISNUMBER($A1150),INT(MOD($A1150,10000)/100),IFERROR(VALUE(TRIM(LEFT(MID($A1150,FIND("/",$A1150)+1,20),FIND("/",MID($A1150,FIND("/",$A1150)+1,20))-1))),"")))</f>
        <v/>
      </c>
      <c r="D1150">
        <f>IF(OR($A1150="",$B1150=""),"",IF(ISNUMBER($A1150),MOD($A1150,100),IFERROR(VALUE(TRIM(MID(MID($A1150,FIND("/",$A1150)+1,20),FIND("/",MID($A1150,FIND("/",$A1150)+1,20))+1,20))),"")))</f>
        <v/>
      </c>
      <c r="E1150">
        <f>IF($A1150="","",IF(OR($B1150="",$C1150="",$D1150="",$B1150&lt;1300,$B1150&gt;1500,$C1150&lt;1,$C1150&gt;12,$D1150&lt;1,$D1150&gt;31),"نامعتبر",RIGHT("0000"&amp;$B1150,4)&amp;"/"&amp;RIGHT("00"&amp;$C1150,2)&amp;"/"&amp;RIGHT("00"&amp;$D1150,2)))</f>
        <v/>
      </c>
      <c r="F1150">
        <f>IF(OR($E1150="",$E1150="نامعتبر"),"",LEFT($E1150,4)&amp;"/"&amp;MID($E1150,6,2))</f>
        <v/>
      </c>
      <c r="G1150">
        <f>IF(OR($E1150="",$E1150="نامعتبر",Sync!$Y1147=""),"",Sync!$Y1147)</f>
        <v/>
      </c>
      <c r="H1150">
        <f>IF($G1150="","",IF(Sync!$X1147="","",Sync!$X1147))</f>
        <v/>
      </c>
      <c r="I1150">
        <f>IF($G1150="","",IFERROR(VLOOKUP(Sync!$X1147,OpTbl,3,0),""))</f>
        <v/>
      </c>
      <c r="J1150">
        <f>IF(OR($G1150="",Sync!$Z1147=""),"",Sync!$Z1147)</f>
        <v/>
      </c>
      <c r="K1150">
        <f>IF(OR($G1150="",Sync!$AA1147=""),"",Sync!$AA1147)</f>
        <v/>
      </c>
      <c r="L1150">
        <f>IF($G1150="",0,IF(Sync!$AB1147="",0,Sync!$AB1147))</f>
        <v/>
      </c>
      <c r="M1150">
        <f>IF($G1150="",0,IF(Sync!$AC1147="",0,Sync!$AC1147))</f>
        <v/>
      </c>
      <c r="N1150">
        <f>IF($G1150="","",IF($H1150="مرجوعی خرید",-1,1)*($L1150-$M1150*IFERROR(VLOOKUP("P01",ParamTbl,3,0),1.5))*(1-IF($I1150="خرید",IFERROR(VLOOKUP("P02",ParamTbl,3,0),1),0)/100))</f>
        <v/>
      </c>
      <c r="O1150">
        <f>IF($G1150="",0,IF($H1150="مرجوعی خرید",-1,1)*IF(Sync!$AD1147="",0,Sync!$AD1147))</f>
        <v/>
      </c>
      <c r="P1150">
        <f>IF(OR($G1150="",Sync!$W1147=""),"",Sync!$W1147)</f>
        <v/>
      </c>
      <c r="Q1150">
        <f>IF(OR($G1150="",Sync!$AE1147=""),"",Sync!$AE1147)</f>
        <v/>
      </c>
      <c r="R1150">
        <f>IF($G1150="","",IF(Sync!$V1147="","0000",IF(AND(ISNUMBER(Sync!$V1147),Sync!$V1147&gt;=0,Sync!$V1147&lt;1),RIGHT("00"&amp;HOUR(Sync!$V1147),2)&amp;RIGHT("00"&amp;MINUTE(Sync!$V1147),2),IFERROR(RIGHT("00"&amp;VALUE(LEFT(Sync!$V1147,FIND(":",Sync!$V1147)-1)),2)&amp;RIGHT("00"&amp;VALUE(MID(Sync!$V1147,FIND(":",Sync!$V1147)+1,2)),2),"0000"))))</f>
        <v/>
      </c>
    </row>
    <row r="1151">
      <c r="A1151">
        <f>IF(Sync!$U1148="","",Sync!$U1148)</f>
        <v/>
      </c>
      <c r="B1151">
        <f>IF($A1151="","",IF(ISNUMBER($A1151),IF(AND($A1151&gt;=10000101,$A1151&lt;=99991231),INT($A1151/10000),""),IFERROR(VALUE(TRIM(LEFT($A1151,FIND("/",$A1151)-1))),"")))</f>
        <v/>
      </c>
      <c r="C1151">
        <f>IF(OR($A1151="",$B1151=""),"",IF(ISNUMBER($A1151),INT(MOD($A1151,10000)/100),IFERROR(VALUE(TRIM(LEFT(MID($A1151,FIND("/",$A1151)+1,20),FIND("/",MID($A1151,FIND("/",$A1151)+1,20))-1))),"")))</f>
        <v/>
      </c>
      <c r="D1151">
        <f>IF(OR($A1151="",$B1151=""),"",IF(ISNUMBER($A1151),MOD($A1151,100),IFERROR(VALUE(TRIM(MID(MID($A1151,FIND("/",$A1151)+1,20),FIND("/",MID($A1151,FIND("/",$A1151)+1,20))+1,20))),"")))</f>
        <v/>
      </c>
      <c r="E1151">
        <f>IF($A1151="","",IF(OR($B1151="",$C1151="",$D1151="",$B1151&lt;1300,$B1151&gt;1500,$C1151&lt;1,$C1151&gt;12,$D1151&lt;1,$D1151&gt;31),"نامعتبر",RIGHT("0000"&amp;$B1151,4)&amp;"/"&amp;RIGHT("00"&amp;$C1151,2)&amp;"/"&amp;RIGHT("00"&amp;$D1151,2)))</f>
        <v/>
      </c>
      <c r="F1151">
        <f>IF(OR($E1151="",$E1151="نامعتبر"),"",LEFT($E1151,4)&amp;"/"&amp;MID($E1151,6,2))</f>
        <v/>
      </c>
      <c r="G1151">
        <f>IF(OR($E1151="",$E1151="نامعتبر",Sync!$Y1148=""),"",Sync!$Y1148)</f>
        <v/>
      </c>
      <c r="H1151">
        <f>IF($G1151="","",IF(Sync!$X1148="","",Sync!$X1148))</f>
        <v/>
      </c>
      <c r="I1151">
        <f>IF($G1151="","",IFERROR(VLOOKUP(Sync!$X1148,OpTbl,3,0),""))</f>
        <v/>
      </c>
      <c r="J1151">
        <f>IF(OR($G1151="",Sync!$Z1148=""),"",Sync!$Z1148)</f>
        <v/>
      </c>
      <c r="K1151">
        <f>IF(OR($G1151="",Sync!$AA1148=""),"",Sync!$AA1148)</f>
        <v/>
      </c>
      <c r="L1151">
        <f>IF($G1151="",0,IF(Sync!$AB1148="",0,Sync!$AB1148))</f>
        <v/>
      </c>
      <c r="M1151">
        <f>IF($G1151="",0,IF(Sync!$AC1148="",0,Sync!$AC1148))</f>
        <v/>
      </c>
      <c r="N1151">
        <f>IF($G1151="","",IF($H1151="مرجوعی خرید",-1,1)*($L1151-$M1151*IFERROR(VLOOKUP("P01",ParamTbl,3,0),1.5))*(1-IF($I1151="خرید",IFERROR(VLOOKUP("P02",ParamTbl,3,0),1),0)/100))</f>
        <v/>
      </c>
      <c r="O1151">
        <f>IF($G1151="",0,IF($H1151="مرجوعی خرید",-1,1)*IF(Sync!$AD1148="",0,Sync!$AD1148))</f>
        <v/>
      </c>
      <c r="P1151">
        <f>IF(OR($G1151="",Sync!$W1148=""),"",Sync!$W1148)</f>
        <v/>
      </c>
      <c r="Q1151">
        <f>IF(OR($G1151="",Sync!$AE1148=""),"",Sync!$AE1148)</f>
        <v/>
      </c>
      <c r="R1151">
        <f>IF($G1151="","",IF(Sync!$V1148="","0000",IF(AND(ISNUMBER(Sync!$V1148),Sync!$V1148&gt;=0,Sync!$V1148&lt;1),RIGHT("00"&amp;HOUR(Sync!$V1148),2)&amp;RIGHT("00"&amp;MINUTE(Sync!$V1148),2),IFERROR(RIGHT("00"&amp;VALUE(LEFT(Sync!$V1148,FIND(":",Sync!$V1148)-1)),2)&amp;RIGHT("00"&amp;VALUE(MID(Sync!$V1148,FIND(":",Sync!$V1148)+1,2)),2),"0000"))))</f>
        <v/>
      </c>
    </row>
    <row r="1152">
      <c r="A1152">
        <f>IF(Sync!$U1149="","",Sync!$U1149)</f>
        <v/>
      </c>
      <c r="B1152">
        <f>IF($A1152="","",IF(ISNUMBER($A1152),IF(AND($A1152&gt;=10000101,$A1152&lt;=99991231),INT($A1152/10000),""),IFERROR(VALUE(TRIM(LEFT($A1152,FIND("/",$A1152)-1))),"")))</f>
        <v/>
      </c>
      <c r="C1152">
        <f>IF(OR($A1152="",$B1152=""),"",IF(ISNUMBER($A1152),INT(MOD($A1152,10000)/100),IFERROR(VALUE(TRIM(LEFT(MID($A1152,FIND("/",$A1152)+1,20),FIND("/",MID($A1152,FIND("/",$A1152)+1,20))-1))),"")))</f>
        <v/>
      </c>
      <c r="D1152">
        <f>IF(OR($A1152="",$B1152=""),"",IF(ISNUMBER($A1152),MOD($A1152,100),IFERROR(VALUE(TRIM(MID(MID($A1152,FIND("/",$A1152)+1,20),FIND("/",MID($A1152,FIND("/",$A1152)+1,20))+1,20))),"")))</f>
        <v/>
      </c>
      <c r="E1152">
        <f>IF($A1152="","",IF(OR($B1152="",$C1152="",$D1152="",$B1152&lt;1300,$B1152&gt;1500,$C1152&lt;1,$C1152&gt;12,$D1152&lt;1,$D1152&gt;31),"نامعتبر",RIGHT("0000"&amp;$B1152,4)&amp;"/"&amp;RIGHT("00"&amp;$C1152,2)&amp;"/"&amp;RIGHT("00"&amp;$D1152,2)))</f>
        <v/>
      </c>
      <c r="F1152">
        <f>IF(OR($E1152="",$E1152="نامعتبر"),"",LEFT($E1152,4)&amp;"/"&amp;MID($E1152,6,2))</f>
        <v/>
      </c>
      <c r="G1152">
        <f>IF(OR($E1152="",$E1152="نامعتبر",Sync!$Y1149=""),"",Sync!$Y1149)</f>
        <v/>
      </c>
      <c r="H1152">
        <f>IF($G1152="","",IF(Sync!$X1149="","",Sync!$X1149))</f>
        <v/>
      </c>
      <c r="I1152">
        <f>IF($G1152="","",IFERROR(VLOOKUP(Sync!$X1149,OpTbl,3,0),""))</f>
        <v/>
      </c>
      <c r="J1152">
        <f>IF(OR($G1152="",Sync!$Z1149=""),"",Sync!$Z1149)</f>
        <v/>
      </c>
      <c r="K1152">
        <f>IF(OR($G1152="",Sync!$AA1149=""),"",Sync!$AA1149)</f>
        <v/>
      </c>
      <c r="L1152">
        <f>IF($G1152="",0,IF(Sync!$AB1149="",0,Sync!$AB1149))</f>
        <v/>
      </c>
      <c r="M1152">
        <f>IF($G1152="",0,IF(Sync!$AC1149="",0,Sync!$AC1149))</f>
        <v/>
      </c>
      <c r="N1152">
        <f>IF($G1152="","",IF($H1152="مرجوعی خرید",-1,1)*($L1152-$M1152*IFERROR(VLOOKUP("P01",ParamTbl,3,0),1.5))*(1-IF($I1152="خرید",IFERROR(VLOOKUP("P02",ParamTbl,3,0),1),0)/100))</f>
        <v/>
      </c>
      <c r="O1152">
        <f>IF($G1152="",0,IF($H1152="مرجوعی خرید",-1,1)*IF(Sync!$AD1149="",0,Sync!$AD1149))</f>
        <v/>
      </c>
      <c r="P1152">
        <f>IF(OR($G1152="",Sync!$W1149=""),"",Sync!$W1149)</f>
        <v/>
      </c>
      <c r="Q1152">
        <f>IF(OR($G1152="",Sync!$AE1149=""),"",Sync!$AE1149)</f>
        <v/>
      </c>
      <c r="R1152">
        <f>IF($G1152="","",IF(Sync!$V1149="","0000",IF(AND(ISNUMBER(Sync!$V1149),Sync!$V1149&gt;=0,Sync!$V1149&lt;1),RIGHT("00"&amp;HOUR(Sync!$V1149),2)&amp;RIGHT("00"&amp;MINUTE(Sync!$V1149),2),IFERROR(RIGHT("00"&amp;VALUE(LEFT(Sync!$V1149,FIND(":",Sync!$V1149)-1)),2)&amp;RIGHT("00"&amp;VALUE(MID(Sync!$V1149,FIND(":",Sync!$V1149)+1,2)),2),"0000"))))</f>
        <v/>
      </c>
    </row>
    <row r="1153">
      <c r="A1153">
        <f>IF(Sync!$U1150="","",Sync!$U1150)</f>
        <v/>
      </c>
      <c r="B1153">
        <f>IF($A1153="","",IF(ISNUMBER($A1153),IF(AND($A1153&gt;=10000101,$A1153&lt;=99991231),INT($A1153/10000),""),IFERROR(VALUE(TRIM(LEFT($A1153,FIND("/",$A1153)-1))),"")))</f>
        <v/>
      </c>
      <c r="C1153">
        <f>IF(OR($A1153="",$B1153=""),"",IF(ISNUMBER($A1153),INT(MOD($A1153,10000)/100),IFERROR(VALUE(TRIM(LEFT(MID($A1153,FIND("/",$A1153)+1,20),FIND("/",MID($A1153,FIND("/",$A1153)+1,20))-1))),"")))</f>
        <v/>
      </c>
      <c r="D1153">
        <f>IF(OR($A1153="",$B1153=""),"",IF(ISNUMBER($A1153),MOD($A1153,100),IFERROR(VALUE(TRIM(MID(MID($A1153,FIND("/",$A1153)+1,20),FIND("/",MID($A1153,FIND("/",$A1153)+1,20))+1,20))),"")))</f>
        <v/>
      </c>
      <c r="E1153">
        <f>IF($A1153="","",IF(OR($B1153="",$C1153="",$D1153="",$B1153&lt;1300,$B1153&gt;1500,$C1153&lt;1,$C1153&gt;12,$D1153&lt;1,$D1153&gt;31),"نامعتبر",RIGHT("0000"&amp;$B1153,4)&amp;"/"&amp;RIGHT("00"&amp;$C1153,2)&amp;"/"&amp;RIGHT("00"&amp;$D1153,2)))</f>
        <v/>
      </c>
      <c r="F1153">
        <f>IF(OR($E1153="",$E1153="نامعتبر"),"",LEFT($E1153,4)&amp;"/"&amp;MID($E1153,6,2))</f>
        <v/>
      </c>
      <c r="G1153">
        <f>IF(OR($E1153="",$E1153="نامعتبر",Sync!$Y1150=""),"",Sync!$Y1150)</f>
        <v/>
      </c>
      <c r="H1153">
        <f>IF($G1153="","",IF(Sync!$X1150="","",Sync!$X1150))</f>
        <v/>
      </c>
      <c r="I1153">
        <f>IF($G1153="","",IFERROR(VLOOKUP(Sync!$X1150,OpTbl,3,0),""))</f>
        <v/>
      </c>
      <c r="J1153">
        <f>IF(OR($G1153="",Sync!$Z1150=""),"",Sync!$Z1150)</f>
        <v/>
      </c>
      <c r="K1153">
        <f>IF(OR($G1153="",Sync!$AA1150=""),"",Sync!$AA1150)</f>
        <v/>
      </c>
      <c r="L1153">
        <f>IF($G1153="",0,IF(Sync!$AB1150="",0,Sync!$AB1150))</f>
        <v/>
      </c>
      <c r="M1153">
        <f>IF($G1153="",0,IF(Sync!$AC1150="",0,Sync!$AC1150))</f>
        <v/>
      </c>
      <c r="N1153">
        <f>IF($G1153="","",IF($H1153="مرجوعی خرید",-1,1)*($L1153-$M1153*IFERROR(VLOOKUP("P01",ParamTbl,3,0),1.5))*(1-IF($I1153="خرید",IFERROR(VLOOKUP("P02",ParamTbl,3,0),1),0)/100))</f>
        <v/>
      </c>
      <c r="O1153">
        <f>IF($G1153="",0,IF($H1153="مرجوعی خرید",-1,1)*IF(Sync!$AD1150="",0,Sync!$AD1150))</f>
        <v/>
      </c>
      <c r="P1153">
        <f>IF(OR($G1153="",Sync!$W1150=""),"",Sync!$W1150)</f>
        <v/>
      </c>
      <c r="Q1153">
        <f>IF(OR($G1153="",Sync!$AE1150=""),"",Sync!$AE1150)</f>
        <v/>
      </c>
      <c r="R1153">
        <f>IF($G1153="","",IF(Sync!$V1150="","0000",IF(AND(ISNUMBER(Sync!$V1150),Sync!$V1150&gt;=0,Sync!$V1150&lt;1),RIGHT("00"&amp;HOUR(Sync!$V1150),2)&amp;RIGHT("00"&amp;MINUTE(Sync!$V1150),2),IFERROR(RIGHT("00"&amp;VALUE(LEFT(Sync!$V1150,FIND(":",Sync!$V1150)-1)),2)&amp;RIGHT("00"&amp;VALUE(MID(Sync!$V1150,FIND(":",Sync!$V1150)+1,2)),2),"0000"))))</f>
        <v/>
      </c>
    </row>
    <row r="1154">
      <c r="A1154">
        <f>IF(Sync!$U1151="","",Sync!$U1151)</f>
        <v/>
      </c>
      <c r="B1154">
        <f>IF($A1154="","",IF(ISNUMBER($A1154),IF(AND($A1154&gt;=10000101,$A1154&lt;=99991231),INT($A1154/10000),""),IFERROR(VALUE(TRIM(LEFT($A1154,FIND("/",$A1154)-1))),"")))</f>
        <v/>
      </c>
      <c r="C1154">
        <f>IF(OR($A1154="",$B1154=""),"",IF(ISNUMBER($A1154),INT(MOD($A1154,10000)/100),IFERROR(VALUE(TRIM(LEFT(MID($A1154,FIND("/",$A1154)+1,20),FIND("/",MID($A1154,FIND("/",$A1154)+1,20))-1))),"")))</f>
        <v/>
      </c>
      <c r="D1154">
        <f>IF(OR($A1154="",$B1154=""),"",IF(ISNUMBER($A1154),MOD($A1154,100),IFERROR(VALUE(TRIM(MID(MID($A1154,FIND("/",$A1154)+1,20),FIND("/",MID($A1154,FIND("/",$A1154)+1,20))+1,20))),"")))</f>
        <v/>
      </c>
      <c r="E1154">
        <f>IF($A1154="","",IF(OR($B1154="",$C1154="",$D1154="",$B1154&lt;1300,$B1154&gt;1500,$C1154&lt;1,$C1154&gt;12,$D1154&lt;1,$D1154&gt;31),"نامعتبر",RIGHT("0000"&amp;$B1154,4)&amp;"/"&amp;RIGHT("00"&amp;$C1154,2)&amp;"/"&amp;RIGHT("00"&amp;$D1154,2)))</f>
        <v/>
      </c>
      <c r="F1154">
        <f>IF(OR($E1154="",$E1154="نامعتبر"),"",LEFT($E1154,4)&amp;"/"&amp;MID($E1154,6,2))</f>
        <v/>
      </c>
      <c r="G1154">
        <f>IF(OR($E1154="",$E1154="نامعتبر",Sync!$Y1151=""),"",Sync!$Y1151)</f>
        <v/>
      </c>
      <c r="H1154">
        <f>IF($G1154="","",IF(Sync!$X1151="","",Sync!$X1151))</f>
        <v/>
      </c>
      <c r="I1154">
        <f>IF($G1154="","",IFERROR(VLOOKUP(Sync!$X1151,OpTbl,3,0),""))</f>
        <v/>
      </c>
      <c r="J1154">
        <f>IF(OR($G1154="",Sync!$Z1151=""),"",Sync!$Z1151)</f>
        <v/>
      </c>
      <c r="K1154">
        <f>IF(OR($G1154="",Sync!$AA1151=""),"",Sync!$AA1151)</f>
        <v/>
      </c>
      <c r="L1154">
        <f>IF($G1154="",0,IF(Sync!$AB1151="",0,Sync!$AB1151))</f>
        <v/>
      </c>
      <c r="M1154">
        <f>IF($G1154="",0,IF(Sync!$AC1151="",0,Sync!$AC1151))</f>
        <v/>
      </c>
      <c r="N1154">
        <f>IF($G1154="","",IF($H1154="مرجوعی خرید",-1,1)*($L1154-$M1154*IFERROR(VLOOKUP("P01",ParamTbl,3,0),1.5))*(1-IF($I1154="خرید",IFERROR(VLOOKUP("P02",ParamTbl,3,0),1),0)/100))</f>
        <v/>
      </c>
      <c r="O1154">
        <f>IF($G1154="",0,IF($H1154="مرجوعی خرید",-1,1)*IF(Sync!$AD1151="",0,Sync!$AD1151))</f>
        <v/>
      </c>
      <c r="P1154">
        <f>IF(OR($G1154="",Sync!$W1151=""),"",Sync!$W1151)</f>
        <v/>
      </c>
      <c r="Q1154">
        <f>IF(OR($G1154="",Sync!$AE1151=""),"",Sync!$AE1151)</f>
        <v/>
      </c>
      <c r="R1154">
        <f>IF($G1154="","",IF(Sync!$V1151="","0000",IF(AND(ISNUMBER(Sync!$V1151),Sync!$V1151&gt;=0,Sync!$V1151&lt;1),RIGHT("00"&amp;HOUR(Sync!$V1151),2)&amp;RIGHT("00"&amp;MINUTE(Sync!$V1151),2),IFERROR(RIGHT("00"&amp;VALUE(LEFT(Sync!$V1151,FIND(":",Sync!$V1151)-1)),2)&amp;RIGHT("00"&amp;VALUE(MID(Sync!$V1151,FIND(":",Sync!$V1151)+1,2)),2),"0000"))))</f>
        <v/>
      </c>
    </row>
    <row r="1155">
      <c r="A1155">
        <f>IF(Sync!$U1152="","",Sync!$U1152)</f>
        <v/>
      </c>
      <c r="B1155">
        <f>IF($A1155="","",IF(ISNUMBER($A1155),IF(AND($A1155&gt;=10000101,$A1155&lt;=99991231),INT($A1155/10000),""),IFERROR(VALUE(TRIM(LEFT($A1155,FIND("/",$A1155)-1))),"")))</f>
        <v/>
      </c>
      <c r="C1155">
        <f>IF(OR($A1155="",$B1155=""),"",IF(ISNUMBER($A1155),INT(MOD($A1155,10000)/100),IFERROR(VALUE(TRIM(LEFT(MID($A1155,FIND("/",$A1155)+1,20),FIND("/",MID($A1155,FIND("/",$A1155)+1,20))-1))),"")))</f>
        <v/>
      </c>
      <c r="D1155">
        <f>IF(OR($A1155="",$B1155=""),"",IF(ISNUMBER($A1155),MOD($A1155,100),IFERROR(VALUE(TRIM(MID(MID($A1155,FIND("/",$A1155)+1,20),FIND("/",MID($A1155,FIND("/",$A1155)+1,20))+1,20))),"")))</f>
        <v/>
      </c>
      <c r="E1155">
        <f>IF($A1155="","",IF(OR($B1155="",$C1155="",$D1155="",$B1155&lt;1300,$B1155&gt;1500,$C1155&lt;1,$C1155&gt;12,$D1155&lt;1,$D1155&gt;31),"نامعتبر",RIGHT("0000"&amp;$B1155,4)&amp;"/"&amp;RIGHT("00"&amp;$C1155,2)&amp;"/"&amp;RIGHT("00"&amp;$D1155,2)))</f>
        <v/>
      </c>
      <c r="F1155">
        <f>IF(OR($E1155="",$E1155="نامعتبر"),"",LEFT($E1155,4)&amp;"/"&amp;MID($E1155,6,2))</f>
        <v/>
      </c>
      <c r="G1155">
        <f>IF(OR($E1155="",$E1155="نامعتبر",Sync!$Y1152=""),"",Sync!$Y1152)</f>
        <v/>
      </c>
      <c r="H1155">
        <f>IF($G1155="","",IF(Sync!$X1152="","",Sync!$X1152))</f>
        <v/>
      </c>
      <c r="I1155">
        <f>IF($G1155="","",IFERROR(VLOOKUP(Sync!$X1152,OpTbl,3,0),""))</f>
        <v/>
      </c>
      <c r="J1155">
        <f>IF(OR($G1155="",Sync!$Z1152=""),"",Sync!$Z1152)</f>
        <v/>
      </c>
      <c r="K1155">
        <f>IF(OR($G1155="",Sync!$AA1152=""),"",Sync!$AA1152)</f>
        <v/>
      </c>
      <c r="L1155">
        <f>IF($G1155="",0,IF(Sync!$AB1152="",0,Sync!$AB1152))</f>
        <v/>
      </c>
      <c r="M1155">
        <f>IF($G1155="",0,IF(Sync!$AC1152="",0,Sync!$AC1152))</f>
        <v/>
      </c>
      <c r="N1155">
        <f>IF($G1155="","",IF($H1155="مرجوعی خرید",-1,1)*($L1155-$M1155*IFERROR(VLOOKUP("P01",ParamTbl,3,0),1.5))*(1-IF($I1155="خرید",IFERROR(VLOOKUP("P02",ParamTbl,3,0),1),0)/100))</f>
        <v/>
      </c>
      <c r="O1155">
        <f>IF($G1155="",0,IF($H1155="مرجوعی خرید",-1,1)*IF(Sync!$AD1152="",0,Sync!$AD1152))</f>
        <v/>
      </c>
      <c r="P1155">
        <f>IF(OR($G1155="",Sync!$W1152=""),"",Sync!$W1152)</f>
        <v/>
      </c>
      <c r="Q1155">
        <f>IF(OR($G1155="",Sync!$AE1152=""),"",Sync!$AE1152)</f>
        <v/>
      </c>
      <c r="R1155">
        <f>IF($G1155="","",IF(Sync!$V1152="","0000",IF(AND(ISNUMBER(Sync!$V1152),Sync!$V1152&gt;=0,Sync!$V1152&lt;1),RIGHT("00"&amp;HOUR(Sync!$V1152),2)&amp;RIGHT("00"&amp;MINUTE(Sync!$V1152),2),IFERROR(RIGHT("00"&amp;VALUE(LEFT(Sync!$V1152,FIND(":",Sync!$V1152)-1)),2)&amp;RIGHT("00"&amp;VALUE(MID(Sync!$V1152,FIND(":",Sync!$V1152)+1,2)),2),"0000"))))</f>
        <v/>
      </c>
    </row>
    <row r="1156">
      <c r="A1156">
        <f>IF(Sync!$U1153="","",Sync!$U1153)</f>
        <v/>
      </c>
      <c r="B1156">
        <f>IF($A1156="","",IF(ISNUMBER($A1156),IF(AND($A1156&gt;=10000101,$A1156&lt;=99991231),INT($A1156/10000),""),IFERROR(VALUE(TRIM(LEFT($A1156,FIND("/",$A1156)-1))),"")))</f>
        <v/>
      </c>
      <c r="C1156">
        <f>IF(OR($A1156="",$B1156=""),"",IF(ISNUMBER($A1156),INT(MOD($A1156,10000)/100),IFERROR(VALUE(TRIM(LEFT(MID($A1156,FIND("/",$A1156)+1,20),FIND("/",MID($A1156,FIND("/",$A1156)+1,20))-1))),"")))</f>
        <v/>
      </c>
      <c r="D1156">
        <f>IF(OR($A1156="",$B1156=""),"",IF(ISNUMBER($A1156),MOD($A1156,100),IFERROR(VALUE(TRIM(MID(MID($A1156,FIND("/",$A1156)+1,20),FIND("/",MID($A1156,FIND("/",$A1156)+1,20))+1,20))),"")))</f>
        <v/>
      </c>
      <c r="E1156">
        <f>IF($A1156="","",IF(OR($B1156="",$C1156="",$D1156="",$B1156&lt;1300,$B1156&gt;1500,$C1156&lt;1,$C1156&gt;12,$D1156&lt;1,$D1156&gt;31),"نامعتبر",RIGHT("0000"&amp;$B1156,4)&amp;"/"&amp;RIGHT("00"&amp;$C1156,2)&amp;"/"&amp;RIGHT("00"&amp;$D1156,2)))</f>
        <v/>
      </c>
      <c r="F1156">
        <f>IF(OR($E1156="",$E1156="نامعتبر"),"",LEFT($E1156,4)&amp;"/"&amp;MID($E1156,6,2))</f>
        <v/>
      </c>
      <c r="G1156">
        <f>IF(OR($E1156="",$E1156="نامعتبر",Sync!$Y1153=""),"",Sync!$Y1153)</f>
        <v/>
      </c>
      <c r="H1156">
        <f>IF($G1156="","",IF(Sync!$X1153="","",Sync!$X1153))</f>
        <v/>
      </c>
      <c r="I1156">
        <f>IF($G1156="","",IFERROR(VLOOKUP(Sync!$X1153,OpTbl,3,0),""))</f>
        <v/>
      </c>
      <c r="J1156">
        <f>IF(OR($G1156="",Sync!$Z1153=""),"",Sync!$Z1153)</f>
        <v/>
      </c>
      <c r="K1156">
        <f>IF(OR($G1156="",Sync!$AA1153=""),"",Sync!$AA1153)</f>
        <v/>
      </c>
      <c r="L1156">
        <f>IF($G1156="",0,IF(Sync!$AB1153="",0,Sync!$AB1153))</f>
        <v/>
      </c>
      <c r="M1156">
        <f>IF($G1156="",0,IF(Sync!$AC1153="",0,Sync!$AC1153))</f>
        <v/>
      </c>
      <c r="N1156">
        <f>IF($G1156="","",IF($H1156="مرجوعی خرید",-1,1)*($L1156-$M1156*IFERROR(VLOOKUP("P01",ParamTbl,3,0),1.5))*(1-IF($I1156="خرید",IFERROR(VLOOKUP("P02",ParamTbl,3,0),1),0)/100))</f>
        <v/>
      </c>
      <c r="O1156">
        <f>IF($G1156="",0,IF($H1156="مرجوعی خرید",-1,1)*IF(Sync!$AD1153="",0,Sync!$AD1153))</f>
        <v/>
      </c>
      <c r="P1156">
        <f>IF(OR($G1156="",Sync!$W1153=""),"",Sync!$W1153)</f>
        <v/>
      </c>
      <c r="Q1156">
        <f>IF(OR($G1156="",Sync!$AE1153=""),"",Sync!$AE1153)</f>
        <v/>
      </c>
      <c r="R1156">
        <f>IF($G1156="","",IF(Sync!$V1153="","0000",IF(AND(ISNUMBER(Sync!$V1153),Sync!$V1153&gt;=0,Sync!$V1153&lt;1),RIGHT("00"&amp;HOUR(Sync!$V1153),2)&amp;RIGHT("00"&amp;MINUTE(Sync!$V1153),2),IFERROR(RIGHT("00"&amp;VALUE(LEFT(Sync!$V1153,FIND(":",Sync!$V1153)-1)),2)&amp;RIGHT("00"&amp;VALUE(MID(Sync!$V1153,FIND(":",Sync!$V1153)+1,2)),2),"0000"))))</f>
        <v/>
      </c>
    </row>
    <row r="1157">
      <c r="A1157">
        <f>IF(Sync!$U1154="","",Sync!$U1154)</f>
        <v/>
      </c>
      <c r="B1157">
        <f>IF($A1157="","",IF(ISNUMBER($A1157),IF(AND($A1157&gt;=10000101,$A1157&lt;=99991231),INT($A1157/10000),""),IFERROR(VALUE(TRIM(LEFT($A1157,FIND("/",$A1157)-1))),"")))</f>
        <v/>
      </c>
      <c r="C1157">
        <f>IF(OR($A1157="",$B1157=""),"",IF(ISNUMBER($A1157),INT(MOD($A1157,10000)/100),IFERROR(VALUE(TRIM(LEFT(MID($A1157,FIND("/",$A1157)+1,20),FIND("/",MID($A1157,FIND("/",$A1157)+1,20))-1))),"")))</f>
        <v/>
      </c>
      <c r="D1157">
        <f>IF(OR($A1157="",$B1157=""),"",IF(ISNUMBER($A1157),MOD($A1157,100),IFERROR(VALUE(TRIM(MID(MID($A1157,FIND("/",$A1157)+1,20),FIND("/",MID($A1157,FIND("/",$A1157)+1,20))+1,20))),"")))</f>
        <v/>
      </c>
      <c r="E1157">
        <f>IF($A1157="","",IF(OR($B1157="",$C1157="",$D1157="",$B1157&lt;1300,$B1157&gt;1500,$C1157&lt;1,$C1157&gt;12,$D1157&lt;1,$D1157&gt;31),"نامعتبر",RIGHT("0000"&amp;$B1157,4)&amp;"/"&amp;RIGHT("00"&amp;$C1157,2)&amp;"/"&amp;RIGHT("00"&amp;$D1157,2)))</f>
        <v/>
      </c>
      <c r="F1157">
        <f>IF(OR($E1157="",$E1157="نامعتبر"),"",LEFT($E1157,4)&amp;"/"&amp;MID($E1157,6,2))</f>
        <v/>
      </c>
      <c r="G1157">
        <f>IF(OR($E1157="",$E1157="نامعتبر",Sync!$Y1154=""),"",Sync!$Y1154)</f>
        <v/>
      </c>
      <c r="H1157">
        <f>IF($G1157="","",IF(Sync!$X1154="","",Sync!$X1154))</f>
        <v/>
      </c>
      <c r="I1157">
        <f>IF($G1157="","",IFERROR(VLOOKUP(Sync!$X1154,OpTbl,3,0),""))</f>
        <v/>
      </c>
      <c r="J1157">
        <f>IF(OR($G1157="",Sync!$Z1154=""),"",Sync!$Z1154)</f>
        <v/>
      </c>
      <c r="K1157">
        <f>IF(OR($G1157="",Sync!$AA1154=""),"",Sync!$AA1154)</f>
        <v/>
      </c>
      <c r="L1157">
        <f>IF($G1157="",0,IF(Sync!$AB1154="",0,Sync!$AB1154))</f>
        <v/>
      </c>
      <c r="M1157">
        <f>IF($G1157="",0,IF(Sync!$AC1154="",0,Sync!$AC1154))</f>
        <v/>
      </c>
      <c r="N1157">
        <f>IF($G1157="","",IF($H1157="مرجوعی خرید",-1,1)*($L1157-$M1157*IFERROR(VLOOKUP("P01",ParamTbl,3,0),1.5))*(1-IF($I1157="خرید",IFERROR(VLOOKUP("P02",ParamTbl,3,0),1),0)/100))</f>
        <v/>
      </c>
      <c r="O1157">
        <f>IF($G1157="",0,IF($H1157="مرجوعی خرید",-1,1)*IF(Sync!$AD1154="",0,Sync!$AD1154))</f>
        <v/>
      </c>
      <c r="P1157">
        <f>IF(OR($G1157="",Sync!$W1154=""),"",Sync!$W1154)</f>
        <v/>
      </c>
      <c r="Q1157">
        <f>IF(OR($G1157="",Sync!$AE1154=""),"",Sync!$AE1154)</f>
        <v/>
      </c>
      <c r="R1157">
        <f>IF($G1157="","",IF(Sync!$V1154="","0000",IF(AND(ISNUMBER(Sync!$V1154),Sync!$V1154&gt;=0,Sync!$V1154&lt;1),RIGHT("00"&amp;HOUR(Sync!$V1154),2)&amp;RIGHT("00"&amp;MINUTE(Sync!$V1154),2),IFERROR(RIGHT("00"&amp;VALUE(LEFT(Sync!$V1154,FIND(":",Sync!$V1154)-1)),2)&amp;RIGHT("00"&amp;VALUE(MID(Sync!$V1154,FIND(":",Sync!$V1154)+1,2)),2),"0000"))))</f>
        <v/>
      </c>
    </row>
    <row r="1158">
      <c r="A1158">
        <f>IF(Sync!$U1155="","",Sync!$U1155)</f>
        <v/>
      </c>
      <c r="B1158">
        <f>IF($A1158="","",IF(ISNUMBER($A1158),IF(AND($A1158&gt;=10000101,$A1158&lt;=99991231),INT($A1158/10000),""),IFERROR(VALUE(TRIM(LEFT($A1158,FIND("/",$A1158)-1))),"")))</f>
        <v/>
      </c>
      <c r="C1158">
        <f>IF(OR($A1158="",$B1158=""),"",IF(ISNUMBER($A1158),INT(MOD($A1158,10000)/100),IFERROR(VALUE(TRIM(LEFT(MID($A1158,FIND("/",$A1158)+1,20),FIND("/",MID($A1158,FIND("/",$A1158)+1,20))-1))),"")))</f>
        <v/>
      </c>
      <c r="D1158">
        <f>IF(OR($A1158="",$B1158=""),"",IF(ISNUMBER($A1158),MOD($A1158,100),IFERROR(VALUE(TRIM(MID(MID($A1158,FIND("/",$A1158)+1,20),FIND("/",MID($A1158,FIND("/",$A1158)+1,20))+1,20))),"")))</f>
        <v/>
      </c>
      <c r="E1158">
        <f>IF($A1158="","",IF(OR($B1158="",$C1158="",$D1158="",$B1158&lt;1300,$B1158&gt;1500,$C1158&lt;1,$C1158&gt;12,$D1158&lt;1,$D1158&gt;31),"نامعتبر",RIGHT("0000"&amp;$B1158,4)&amp;"/"&amp;RIGHT("00"&amp;$C1158,2)&amp;"/"&amp;RIGHT("00"&amp;$D1158,2)))</f>
        <v/>
      </c>
      <c r="F1158">
        <f>IF(OR($E1158="",$E1158="نامعتبر"),"",LEFT($E1158,4)&amp;"/"&amp;MID($E1158,6,2))</f>
        <v/>
      </c>
      <c r="G1158">
        <f>IF(OR($E1158="",$E1158="نامعتبر",Sync!$Y1155=""),"",Sync!$Y1155)</f>
        <v/>
      </c>
      <c r="H1158">
        <f>IF($G1158="","",IF(Sync!$X1155="","",Sync!$X1155))</f>
        <v/>
      </c>
      <c r="I1158">
        <f>IF($G1158="","",IFERROR(VLOOKUP(Sync!$X1155,OpTbl,3,0),""))</f>
        <v/>
      </c>
      <c r="J1158">
        <f>IF(OR($G1158="",Sync!$Z1155=""),"",Sync!$Z1155)</f>
        <v/>
      </c>
      <c r="K1158">
        <f>IF(OR($G1158="",Sync!$AA1155=""),"",Sync!$AA1155)</f>
        <v/>
      </c>
      <c r="L1158">
        <f>IF($G1158="",0,IF(Sync!$AB1155="",0,Sync!$AB1155))</f>
        <v/>
      </c>
      <c r="M1158">
        <f>IF($G1158="",0,IF(Sync!$AC1155="",0,Sync!$AC1155))</f>
        <v/>
      </c>
      <c r="N1158">
        <f>IF($G1158="","",IF($H1158="مرجوعی خرید",-1,1)*($L1158-$M1158*IFERROR(VLOOKUP("P01",ParamTbl,3,0),1.5))*(1-IF($I1158="خرید",IFERROR(VLOOKUP("P02",ParamTbl,3,0),1),0)/100))</f>
        <v/>
      </c>
      <c r="O1158">
        <f>IF($G1158="",0,IF($H1158="مرجوعی خرید",-1,1)*IF(Sync!$AD1155="",0,Sync!$AD1155))</f>
        <v/>
      </c>
      <c r="P1158">
        <f>IF(OR($G1158="",Sync!$W1155=""),"",Sync!$W1155)</f>
        <v/>
      </c>
      <c r="Q1158">
        <f>IF(OR($G1158="",Sync!$AE1155=""),"",Sync!$AE1155)</f>
        <v/>
      </c>
      <c r="R1158">
        <f>IF($G1158="","",IF(Sync!$V1155="","0000",IF(AND(ISNUMBER(Sync!$V1155),Sync!$V1155&gt;=0,Sync!$V1155&lt;1),RIGHT("00"&amp;HOUR(Sync!$V1155),2)&amp;RIGHT("00"&amp;MINUTE(Sync!$V1155),2),IFERROR(RIGHT("00"&amp;VALUE(LEFT(Sync!$V1155,FIND(":",Sync!$V1155)-1)),2)&amp;RIGHT("00"&amp;VALUE(MID(Sync!$V1155,FIND(":",Sync!$V1155)+1,2)),2),"0000"))))</f>
        <v/>
      </c>
    </row>
    <row r="1159">
      <c r="A1159">
        <f>IF(Sync!$U1156="","",Sync!$U1156)</f>
        <v/>
      </c>
      <c r="B1159">
        <f>IF($A1159="","",IF(ISNUMBER($A1159),IF(AND($A1159&gt;=10000101,$A1159&lt;=99991231),INT($A1159/10000),""),IFERROR(VALUE(TRIM(LEFT($A1159,FIND("/",$A1159)-1))),"")))</f>
        <v/>
      </c>
      <c r="C1159">
        <f>IF(OR($A1159="",$B1159=""),"",IF(ISNUMBER($A1159),INT(MOD($A1159,10000)/100),IFERROR(VALUE(TRIM(LEFT(MID($A1159,FIND("/",$A1159)+1,20),FIND("/",MID($A1159,FIND("/",$A1159)+1,20))-1))),"")))</f>
        <v/>
      </c>
      <c r="D1159">
        <f>IF(OR($A1159="",$B1159=""),"",IF(ISNUMBER($A1159),MOD($A1159,100),IFERROR(VALUE(TRIM(MID(MID($A1159,FIND("/",$A1159)+1,20),FIND("/",MID($A1159,FIND("/",$A1159)+1,20))+1,20))),"")))</f>
        <v/>
      </c>
      <c r="E1159">
        <f>IF($A1159="","",IF(OR($B1159="",$C1159="",$D1159="",$B1159&lt;1300,$B1159&gt;1500,$C1159&lt;1,$C1159&gt;12,$D1159&lt;1,$D1159&gt;31),"نامعتبر",RIGHT("0000"&amp;$B1159,4)&amp;"/"&amp;RIGHT("00"&amp;$C1159,2)&amp;"/"&amp;RIGHT("00"&amp;$D1159,2)))</f>
        <v/>
      </c>
      <c r="F1159">
        <f>IF(OR($E1159="",$E1159="نامعتبر"),"",LEFT($E1159,4)&amp;"/"&amp;MID($E1159,6,2))</f>
        <v/>
      </c>
      <c r="G1159">
        <f>IF(OR($E1159="",$E1159="نامعتبر",Sync!$Y1156=""),"",Sync!$Y1156)</f>
        <v/>
      </c>
      <c r="H1159">
        <f>IF($G1159="","",IF(Sync!$X1156="","",Sync!$X1156))</f>
        <v/>
      </c>
      <c r="I1159">
        <f>IF($G1159="","",IFERROR(VLOOKUP(Sync!$X1156,OpTbl,3,0),""))</f>
        <v/>
      </c>
      <c r="J1159">
        <f>IF(OR($G1159="",Sync!$Z1156=""),"",Sync!$Z1156)</f>
        <v/>
      </c>
      <c r="K1159">
        <f>IF(OR($G1159="",Sync!$AA1156=""),"",Sync!$AA1156)</f>
        <v/>
      </c>
      <c r="L1159">
        <f>IF($G1159="",0,IF(Sync!$AB1156="",0,Sync!$AB1156))</f>
        <v/>
      </c>
      <c r="M1159">
        <f>IF($G1159="",0,IF(Sync!$AC1156="",0,Sync!$AC1156))</f>
        <v/>
      </c>
      <c r="N1159">
        <f>IF($G1159="","",IF($H1159="مرجوعی خرید",-1,1)*($L1159-$M1159*IFERROR(VLOOKUP("P01",ParamTbl,3,0),1.5))*(1-IF($I1159="خرید",IFERROR(VLOOKUP("P02",ParamTbl,3,0),1),0)/100))</f>
        <v/>
      </c>
      <c r="O1159">
        <f>IF($G1159="",0,IF($H1159="مرجوعی خرید",-1,1)*IF(Sync!$AD1156="",0,Sync!$AD1156))</f>
        <v/>
      </c>
      <c r="P1159">
        <f>IF(OR($G1159="",Sync!$W1156=""),"",Sync!$W1156)</f>
        <v/>
      </c>
      <c r="Q1159">
        <f>IF(OR($G1159="",Sync!$AE1156=""),"",Sync!$AE1156)</f>
        <v/>
      </c>
      <c r="R1159">
        <f>IF($G1159="","",IF(Sync!$V1156="","0000",IF(AND(ISNUMBER(Sync!$V1156),Sync!$V1156&gt;=0,Sync!$V1156&lt;1),RIGHT("00"&amp;HOUR(Sync!$V1156),2)&amp;RIGHT("00"&amp;MINUTE(Sync!$V1156),2),IFERROR(RIGHT("00"&amp;VALUE(LEFT(Sync!$V1156,FIND(":",Sync!$V1156)-1)),2)&amp;RIGHT("00"&amp;VALUE(MID(Sync!$V1156,FIND(":",Sync!$V1156)+1,2)),2),"0000"))))</f>
        <v/>
      </c>
    </row>
    <row r="1160">
      <c r="A1160">
        <f>IF(Sync!$U1157="","",Sync!$U1157)</f>
        <v/>
      </c>
      <c r="B1160">
        <f>IF($A1160="","",IF(ISNUMBER($A1160),IF(AND($A1160&gt;=10000101,$A1160&lt;=99991231),INT($A1160/10000),""),IFERROR(VALUE(TRIM(LEFT($A1160,FIND("/",$A1160)-1))),"")))</f>
        <v/>
      </c>
      <c r="C1160">
        <f>IF(OR($A1160="",$B1160=""),"",IF(ISNUMBER($A1160),INT(MOD($A1160,10000)/100),IFERROR(VALUE(TRIM(LEFT(MID($A1160,FIND("/",$A1160)+1,20),FIND("/",MID($A1160,FIND("/",$A1160)+1,20))-1))),"")))</f>
        <v/>
      </c>
      <c r="D1160">
        <f>IF(OR($A1160="",$B1160=""),"",IF(ISNUMBER($A1160),MOD($A1160,100),IFERROR(VALUE(TRIM(MID(MID($A1160,FIND("/",$A1160)+1,20),FIND("/",MID($A1160,FIND("/",$A1160)+1,20))+1,20))),"")))</f>
        <v/>
      </c>
      <c r="E1160">
        <f>IF($A1160="","",IF(OR($B1160="",$C1160="",$D1160="",$B1160&lt;1300,$B1160&gt;1500,$C1160&lt;1,$C1160&gt;12,$D1160&lt;1,$D1160&gt;31),"نامعتبر",RIGHT("0000"&amp;$B1160,4)&amp;"/"&amp;RIGHT("00"&amp;$C1160,2)&amp;"/"&amp;RIGHT("00"&amp;$D1160,2)))</f>
        <v/>
      </c>
      <c r="F1160">
        <f>IF(OR($E1160="",$E1160="نامعتبر"),"",LEFT($E1160,4)&amp;"/"&amp;MID($E1160,6,2))</f>
        <v/>
      </c>
      <c r="G1160">
        <f>IF(OR($E1160="",$E1160="نامعتبر",Sync!$Y1157=""),"",Sync!$Y1157)</f>
        <v/>
      </c>
      <c r="H1160">
        <f>IF($G1160="","",IF(Sync!$X1157="","",Sync!$X1157))</f>
        <v/>
      </c>
      <c r="I1160">
        <f>IF($G1160="","",IFERROR(VLOOKUP(Sync!$X1157,OpTbl,3,0),""))</f>
        <v/>
      </c>
      <c r="J1160">
        <f>IF(OR($G1160="",Sync!$Z1157=""),"",Sync!$Z1157)</f>
        <v/>
      </c>
      <c r="K1160">
        <f>IF(OR($G1160="",Sync!$AA1157=""),"",Sync!$AA1157)</f>
        <v/>
      </c>
      <c r="L1160">
        <f>IF($G1160="",0,IF(Sync!$AB1157="",0,Sync!$AB1157))</f>
        <v/>
      </c>
      <c r="M1160">
        <f>IF($G1160="",0,IF(Sync!$AC1157="",0,Sync!$AC1157))</f>
        <v/>
      </c>
      <c r="N1160">
        <f>IF($G1160="","",IF($H1160="مرجوعی خرید",-1,1)*($L1160-$M1160*IFERROR(VLOOKUP("P01",ParamTbl,3,0),1.5))*(1-IF($I1160="خرید",IFERROR(VLOOKUP("P02",ParamTbl,3,0),1),0)/100))</f>
        <v/>
      </c>
      <c r="O1160">
        <f>IF($G1160="",0,IF($H1160="مرجوعی خرید",-1,1)*IF(Sync!$AD1157="",0,Sync!$AD1157))</f>
        <v/>
      </c>
      <c r="P1160">
        <f>IF(OR($G1160="",Sync!$W1157=""),"",Sync!$W1157)</f>
        <v/>
      </c>
      <c r="Q1160">
        <f>IF(OR($G1160="",Sync!$AE1157=""),"",Sync!$AE1157)</f>
        <v/>
      </c>
      <c r="R1160">
        <f>IF($G1160="","",IF(Sync!$V1157="","0000",IF(AND(ISNUMBER(Sync!$V1157),Sync!$V1157&gt;=0,Sync!$V1157&lt;1),RIGHT("00"&amp;HOUR(Sync!$V1157),2)&amp;RIGHT("00"&amp;MINUTE(Sync!$V1157),2),IFERROR(RIGHT("00"&amp;VALUE(LEFT(Sync!$V1157,FIND(":",Sync!$V1157)-1)),2)&amp;RIGHT("00"&amp;VALUE(MID(Sync!$V1157,FIND(":",Sync!$V1157)+1,2)),2),"0000"))))</f>
        <v/>
      </c>
    </row>
    <row r="1161">
      <c r="A1161">
        <f>IF(Sync!$U1158="","",Sync!$U1158)</f>
        <v/>
      </c>
      <c r="B1161">
        <f>IF($A1161="","",IF(ISNUMBER($A1161),IF(AND($A1161&gt;=10000101,$A1161&lt;=99991231),INT($A1161/10000),""),IFERROR(VALUE(TRIM(LEFT($A1161,FIND("/",$A1161)-1))),"")))</f>
        <v/>
      </c>
      <c r="C1161">
        <f>IF(OR($A1161="",$B1161=""),"",IF(ISNUMBER($A1161),INT(MOD($A1161,10000)/100),IFERROR(VALUE(TRIM(LEFT(MID($A1161,FIND("/",$A1161)+1,20),FIND("/",MID($A1161,FIND("/",$A1161)+1,20))-1))),"")))</f>
        <v/>
      </c>
      <c r="D1161">
        <f>IF(OR($A1161="",$B1161=""),"",IF(ISNUMBER($A1161),MOD($A1161,100),IFERROR(VALUE(TRIM(MID(MID($A1161,FIND("/",$A1161)+1,20),FIND("/",MID($A1161,FIND("/",$A1161)+1,20))+1,20))),"")))</f>
        <v/>
      </c>
      <c r="E1161">
        <f>IF($A1161="","",IF(OR($B1161="",$C1161="",$D1161="",$B1161&lt;1300,$B1161&gt;1500,$C1161&lt;1,$C1161&gt;12,$D1161&lt;1,$D1161&gt;31),"نامعتبر",RIGHT("0000"&amp;$B1161,4)&amp;"/"&amp;RIGHT("00"&amp;$C1161,2)&amp;"/"&amp;RIGHT("00"&amp;$D1161,2)))</f>
        <v/>
      </c>
      <c r="F1161">
        <f>IF(OR($E1161="",$E1161="نامعتبر"),"",LEFT($E1161,4)&amp;"/"&amp;MID($E1161,6,2))</f>
        <v/>
      </c>
      <c r="G1161">
        <f>IF(OR($E1161="",$E1161="نامعتبر",Sync!$Y1158=""),"",Sync!$Y1158)</f>
        <v/>
      </c>
      <c r="H1161">
        <f>IF($G1161="","",IF(Sync!$X1158="","",Sync!$X1158))</f>
        <v/>
      </c>
      <c r="I1161">
        <f>IF($G1161="","",IFERROR(VLOOKUP(Sync!$X1158,OpTbl,3,0),""))</f>
        <v/>
      </c>
      <c r="J1161">
        <f>IF(OR($G1161="",Sync!$Z1158=""),"",Sync!$Z1158)</f>
        <v/>
      </c>
      <c r="K1161">
        <f>IF(OR($G1161="",Sync!$AA1158=""),"",Sync!$AA1158)</f>
        <v/>
      </c>
      <c r="L1161">
        <f>IF($G1161="",0,IF(Sync!$AB1158="",0,Sync!$AB1158))</f>
        <v/>
      </c>
      <c r="M1161">
        <f>IF($G1161="",0,IF(Sync!$AC1158="",0,Sync!$AC1158))</f>
        <v/>
      </c>
      <c r="N1161">
        <f>IF($G1161="","",IF($H1161="مرجوعی خرید",-1,1)*($L1161-$M1161*IFERROR(VLOOKUP("P01",ParamTbl,3,0),1.5))*(1-IF($I1161="خرید",IFERROR(VLOOKUP("P02",ParamTbl,3,0),1),0)/100))</f>
        <v/>
      </c>
      <c r="O1161">
        <f>IF($G1161="",0,IF($H1161="مرجوعی خرید",-1,1)*IF(Sync!$AD1158="",0,Sync!$AD1158))</f>
        <v/>
      </c>
      <c r="P1161">
        <f>IF(OR($G1161="",Sync!$W1158=""),"",Sync!$W1158)</f>
        <v/>
      </c>
      <c r="Q1161">
        <f>IF(OR($G1161="",Sync!$AE1158=""),"",Sync!$AE1158)</f>
        <v/>
      </c>
      <c r="R1161">
        <f>IF($G1161="","",IF(Sync!$V1158="","0000",IF(AND(ISNUMBER(Sync!$V1158),Sync!$V1158&gt;=0,Sync!$V1158&lt;1),RIGHT("00"&amp;HOUR(Sync!$V1158),2)&amp;RIGHT("00"&amp;MINUTE(Sync!$V1158),2),IFERROR(RIGHT("00"&amp;VALUE(LEFT(Sync!$V1158,FIND(":",Sync!$V1158)-1)),2)&amp;RIGHT("00"&amp;VALUE(MID(Sync!$V1158,FIND(":",Sync!$V1158)+1,2)),2),"0000"))))</f>
        <v/>
      </c>
    </row>
    <row r="1162">
      <c r="A1162">
        <f>IF(Sync!$U1159="","",Sync!$U1159)</f>
        <v/>
      </c>
      <c r="B1162">
        <f>IF($A1162="","",IF(ISNUMBER($A1162),IF(AND($A1162&gt;=10000101,$A1162&lt;=99991231),INT($A1162/10000),""),IFERROR(VALUE(TRIM(LEFT($A1162,FIND("/",$A1162)-1))),"")))</f>
        <v/>
      </c>
      <c r="C1162">
        <f>IF(OR($A1162="",$B1162=""),"",IF(ISNUMBER($A1162),INT(MOD($A1162,10000)/100),IFERROR(VALUE(TRIM(LEFT(MID($A1162,FIND("/",$A1162)+1,20),FIND("/",MID($A1162,FIND("/",$A1162)+1,20))-1))),"")))</f>
        <v/>
      </c>
      <c r="D1162">
        <f>IF(OR($A1162="",$B1162=""),"",IF(ISNUMBER($A1162),MOD($A1162,100),IFERROR(VALUE(TRIM(MID(MID($A1162,FIND("/",$A1162)+1,20),FIND("/",MID($A1162,FIND("/",$A1162)+1,20))+1,20))),"")))</f>
        <v/>
      </c>
      <c r="E1162">
        <f>IF($A1162="","",IF(OR($B1162="",$C1162="",$D1162="",$B1162&lt;1300,$B1162&gt;1500,$C1162&lt;1,$C1162&gt;12,$D1162&lt;1,$D1162&gt;31),"نامعتبر",RIGHT("0000"&amp;$B1162,4)&amp;"/"&amp;RIGHT("00"&amp;$C1162,2)&amp;"/"&amp;RIGHT("00"&amp;$D1162,2)))</f>
        <v/>
      </c>
      <c r="F1162">
        <f>IF(OR($E1162="",$E1162="نامعتبر"),"",LEFT($E1162,4)&amp;"/"&amp;MID($E1162,6,2))</f>
        <v/>
      </c>
      <c r="G1162">
        <f>IF(OR($E1162="",$E1162="نامعتبر",Sync!$Y1159=""),"",Sync!$Y1159)</f>
        <v/>
      </c>
      <c r="H1162">
        <f>IF($G1162="","",IF(Sync!$X1159="","",Sync!$X1159))</f>
        <v/>
      </c>
      <c r="I1162">
        <f>IF($G1162="","",IFERROR(VLOOKUP(Sync!$X1159,OpTbl,3,0),""))</f>
        <v/>
      </c>
      <c r="J1162">
        <f>IF(OR($G1162="",Sync!$Z1159=""),"",Sync!$Z1159)</f>
        <v/>
      </c>
      <c r="K1162">
        <f>IF(OR($G1162="",Sync!$AA1159=""),"",Sync!$AA1159)</f>
        <v/>
      </c>
      <c r="L1162">
        <f>IF($G1162="",0,IF(Sync!$AB1159="",0,Sync!$AB1159))</f>
        <v/>
      </c>
      <c r="M1162">
        <f>IF($G1162="",0,IF(Sync!$AC1159="",0,Sync!$AC1159))</f>
        <v/>
      </c>
      <c r="N1162">
        <f>IF($G1162="","",IF($H1162="مرجوعی خرید",-1,1)*($L1162-$M1162*IFERROR(VLOOKUP("P01",ParamTbl,3,0),1.5))*(1-IF($I1162="خرید",IFERROR(VLOOKUP("P02",ParamTbl,3,0),1),0)/100))</f>
        <v/>
      </c>
      <c r="O1162">
        <f>IF($G1162="",0,IF($H1162="مرجوعی خرید",-1,1)*IF(Sync!$AD1159="",0,Sync!$AD1159))</f>
        <v/>
      </c>
      <c r="P1162">
        <f>IF(OR($G1162="",Sync!$W1159=""),"",Sync!$W1159)</f>
        <v/>
      </c>
      <c r="Q1162">
        <f>IF(OR($G1162="",Sync!$AE1159=""),"",Sync!$AE1159)</f>
        <v/>
      </c>
      <c r="R1162">
        <f>IF($G1162="","",IF(Sync!$V1159="","0000",IF(AND(ISNUMBER(Sync!$V1159),Sync!$V1159&gt;=0,Sync!$V1159&lt;1),RIGHT("00"&amp;HOUR(Sync!$V1159),2)&amp;RIGHT("00"&amp;MINUTE(Sync!$V1159),2),IFERROR(RIGHT("00"&amp;VALUE(LEFT(Sync!$V1159,FIND(":",Sync!$V1159)-1)),2)&amp;RIGHT("00"&amp;VALUE(MID(Sync!$V1159,FIND(":",Sync!$V1159)+1,2)),2),"0000"))))</f>
        <v/>
      </c>
    </row>
    <row r="1163">
      <c r="A1163">
        <f>IF(Sync!$U1160="","",Sync!$U1160)</f>
        <v/>
      </c>
      <c r="B1163">
        <f>IF($A1163="","",IF(ISNUMBER($A1163),IF(AND($A1163&gt;=10000101,$A1163&lt;=99991231),INT($A1163/10000),""),IFERROR(VALUE(TRIM(LEFT($A1163,FIND("/",$A1163)-1))),"")))</f>
        <v/>
      </c>
      <c r="C1163">
        <f>IF(OR($A1163="",$B1163=""),"",IF(ISNUMBER($A1163),INT(MOD($A1163,10000)/100),IFERROR(VALUE(TRIM(LEFT(MID($A1163,FIND("/",$A1163)+1,20),FIND("/",MID($A1163,FIND("/",$A1163)+1,20))-1))),"")))</f>
        <v/>
      </c>
      <c r="D1163">
        <f>IF(OR($A1163="",$B1163=""),"",IF(ISNUMBER($A1163),MOD($A1163,100),IFERROR(VALUE(TRIM(MID(MID($A1163,FIND("/",$A1163)+1,20),FIND("/",MID($A1163,FIND("/",$A1163)+1,20))+1,20))),"")))</f>
        <v/>
      </c>
      <c r="E1163">
        <f>IF($A1163="","",IF(OR($B1163="",$C1163="",$D1163="",$B1163&lt;1300,$B1163&gt;1500,$C1163&lt;1,$C1163&gt;12,$D1163&lt;1,$D1163&gt;31),"نامعتبر",RIGHT("0000"&amp;$B1163,4)&amp;"/"&amp;RIGHT("00"&amp;$C1163,2)&amp;"/"&amp;RIGHT("00"&amp;$D1163,2)))</f>
        <v/>
      </c>
      <c r="F1163">
        <f>IF(OR($E1163="",$E1163="نامعتبر"),"",LEFT($E1163,4)&amp;"/"&amp;MID($E1163,6,2))</f>
        <v/>
      </c>
      <c r="G1163">
        <f>IF(OR($E1163="",$E1163="نامعتبر",Sync!$Y1160=""),"",Sync!$Y1160)</f>
        <v/>
      </c>
      <c r="H1163">
        <f>IF($G1163="","",IF(Sync!$X1160="","",Sync!$X1160))</f>
        <v/>
      </c>
      <c r="I1163">
        <f>IF($G1163="","",IFERROR(VLOOKUP(Sync!$X1160,OpTbl,3,0),""))</f>
        <v/>
      </c>
      <c r="J1163">
        <f>IF(OR($G1163="",Sync!$Z1160=""),"",Sync!$Z1160)</f>
        <v/>
      </c>
      <c r="K1163">
        <f>IF(OR($G1163="",Sync!$AA1160=""),"",Sync!$AA1160)</f>
        <v/>
      </c>
      <c r="L1163">
        <f>IF($G1163="",0,IF(Sync!$AB1160="",0,Sync!$AB1160))</f>
        <v/>
      </c>
      <c r="M1163">
        <f>IF($G1163="",0,IF(Sync!$AC1160="",0,Sync!$AC1160))</f>
        <v/>
      </c>
      <c r="N1163">
        <f>IF($G1163="","",IF($H1163="مرجوعی خرید",-1,1)*($L1163-$M1163*IFERROR(VLOOKUP("P01",ParamTbl,3,0),1.5))*(1-IF($I1163="خرید",IFERROR(VLOOKUP("P02",ParamTbl,3,0),1),0)/100))</f>
        <v/>
      </c>
      <c r="O1163">
        <f>IF($G1163="",0,IF($H1163="مرجوعی خرید",-1,1)*IF(Sync!$AD1160="",0,Sync!$AD1160))</f>
        <v/>
      </c>
      <c r="P1163">
        <f>IF(OR($G1163="",Sync!$W1160=""),"",Sync!$W1160)</f>
        <v/>
      </c>
      <c r="Q1163">
        <f>IF(OR($G1163="",Sync!$AE1160=""),"",Sync!$AE1160)</f>
        <v/>
      </c>
      <c r="R1163">
        <f>IF($G1163="","",IF(Sync!$V1160="","0000",IF(AND(ISNUMBER(Sync!$V1160),Sync!$V1160&gt;=0,Sync!$V1160&lt;1),RIGHT("00"&amp;HOUR(Sync!$V1160),2)&amp;RIGHT("00"&amp;MINUTE(Sync!$V1160),2),IFERROR(RIGHT("00"&amp;VALUE(LEFT(Sync!$V1160,FIND(":",Sync!$V1160)-1)),2)&amp;RIGHT("00"&amp;VALUE(MID(Sync!$V1160,FIND(":",Sync!$V1160)+1,2)),2),"0000"))))</f>
        <v/>
      </c>
    </row>
    <row r="1164">
      <c r="A1164">
        <f>IF(Sync!$U1161="","",Sync!$U1161)</f>
        <v/>
      </c>
      <c r="B1164">
        <f>IF($A1164="","",IF(ISNUMBER($A1164),IF(AND($A1164&gt;=10000101,$A1164&lt;=99991231),INT($A1164/10000),""),IFERROR(VALUE(TRIM(LEFT($A1164,FIND("/",$A1164)-1))),"")))</f>
        <v/>
      </c>
      <c r="C1164">
        <f>IF(OR($A1164="",$B1164=""),"",IF(ISNUMBER($A1164),INT(MOD($A1164,10000)/100),IFERROR(VALUE(TRIM(LEFT(MID($A1164,FIND("/",$A1164)+1,20),FIND("/",MID($A1164,FIND("/",$A1164)+1,20))-1))),"")))</f>
        <v/>
      </c>
      <c r="D1164">
        <f>IF(OR($A1164="",$B1164=""),"",IF(ISNUMBER($A1164),MOD($A1164,100),IFERROR(VALUE(TRIM(MID(MID($A1164,FIND("/",$A1164)+1,20),FIND("/",MID($A1164,FIND("/",$A1164)+1,20))+1,20))),"")))</f>
        <v/>
      </c>
      <c r="E1164">
        <f>IF($A1164="","",IF(OR($B1164="",$C1164="",$D1164="",$B1164&lt;1300,$B1164&gt;1500,$C1164&lt;1,$C1164&gt;12,$D1164&lt;1,$D1164&gt;31),"نامعتبر",RIGHT("0000"&amp;$B1164,4)&amp;"/"&amp;RIGHT("00"&amp;$C1164,2)&amp;"/"&amp;RIGHT("00"&amp;$D1164,2)))</f>
        <v/>
      </c>
      <c r="F1164">
        <f>IF(OR($E1164="",$E1164="نامعتبر"),"",LEFT($E1164,4)&amp;"/"&amp;MID($E1164,6,2))</f>
        <v/>
      </c>
      <c r="G1164">
        <f>IF(OR($E1164="",$E1164="نامعتبر",Sync!$Y1161=""),"",Sync!$Y1161)</f>
        <v/>
      </c>
      <c r="H1164">
        <f>IF($G1164="","",IF(Sync!$X1161="","",Sync!$X1161))</f>
        <v/>
      </c>
      <c r="I1164">
        <f>IF($G1164="","",IFERROR(VLOOKUP(Sync!$X1161,OpTbl,3,0),""))</f>
        <v/>
      </c>
      <c r="J1164">
        <f>IF(OR($G1164="",Sync!$Z1161=""),"",Sync!$Z1161)</f>
        <v/>
      </c>
      <c r="K1164">
        <f>IF(OR($G1164="",Sync!$AA1161=""),"",Sync!$AA1161)</f>
        <v/>
      </c>
      <c r="L1164">
        <f>IF($G1164="",0,IF(Sync!$AB1161="",0,Sync!$AB1161))</f>
        <v/>
      </c>
      <c r="M1164">
        <f>IF($G1164="",0,IF(Sync!$AC1161="",0,Sync!$AC1161))</f>
        <v/>
      </c>
      <c r="N1164">
        <f>IF($G1164="","",IF($H1164="مرجوعی خرید",-1,1)*($L1164-$M1164*IFERROR(VLOOKUP("P01",ParamTbl,3,0),1.5))*(1-IF($I1164="خرید",IFERROR(VLOOKUP("P02",ParamTbl,3,0),1),0)/100))</f>
        <v/>
      </c>
      <c r="O1164">
        <f>IF($G1164="",0,IF($H1164="مرجوعی خرید",-1,1)*IF(Sync!$AD1161="",0,Sync!$AD1161))</f>
        <v/>
      </c>
      <c r="P1164">
        <f>IF(OR($G1164="",Sync!$W1161=""),"",Sync!$W1161)</f>
        <v/>
      </c>
      <c r="Q1164">
        <f>IF(OR($G1164="",Sync!$AE1161=""),"",Sync!$AE1161)</f>
        <v/>
      </c>
      <c r="R1164">
        <f>IF($G1164="","",IF(Sync!$V1161="","0000",IF(AND(ISNUMBER(Sync!$V1161),Sync!$V1161&gt;=0,Sync!$V1161&lt;1),RIGHT("00"&amp;HOUR(Sync!$V1161),2)&amp;RIGHT("00"&amp;MINUTE(Sync!$V1161),2),IFERROR(RIGHT("00"&amp;VALUE(LEFT(Sync!$V1161,FIND(":",Sync!$V1161)-1)),2)&amp;RIGHT("00"&amp;VALUE(MID(Sync!$V1161,FIND(":",Sync!$V1161)+1,2)),2),"0000"))))</f>
        <v/>
      </c>
    </row>
    <row r="1165">
      <c r="A1165">
        <f>IF(Sync!$U1162="","",Sync!$U1162)</f>
        <v/>
      </c>
      <c r="B1165">
        <f>IF($A1165="","",IF(ISNUMBER($A1165),IF(AND($A1165&gt;=10000101,$A1165&lt;=99991231),INT($A1165/10000),""),IFERROR(VALUE(TRIM(LEFT($A1165,FIND("/",$A1165)-1))),"")))</f>
        <v/>
      </c>
      <c r="C1165">
        <f>IF(OR($A1165="",$B1165=""),"",IF(ISNUMBER($A1165),INT(MOD($A1165,10000)/100),IFERROR(VALUE(TRIM(LEFT(MID($A1165,FIND("/",$A1165)+1,20),FIND("/",MID($A1165,FIND("/",$A1165)+1,20))-1))),"")))</f>
        <v/>
      </c>
      <c r="D1165">
        <f>IF(OR($A1165="",$B1165=""),"",IF(ISNUMBER($A1165),MOD($A1165,100),IFERROR(VALUE(TRIM(MID(MID($A1165,FIND("/",$A1165)+1,20),FIND("/",MID($A1165,FIND("/",$A1165)+1,20))+1,20))),"")))</f>
        <v/>
      </c>
      <c r="E1165">
        <f>IF($A1165="","",IF(OR($B1165="",$C1165="",$D1165="",$B1165&lt;1300,$B1165&gt;1500,$C1165&lt;1,$C1165&gt;12,$D1165&lt;1,$D1165&gt;31),"نامعتبر",RIGHT("0000"&amp;$B1165,4)&amp;"/"&amp;RIGHT("00"&amp;$C1165,2)&amp;"/"&amp;RIGHT("00"&amp;$D1165,2)))</f>
        <v/>
      </c>
      <c r="F1165">
        <f>IF(OR($E1165="",$E1165="نامعتبر"),"",LEFT($E1165,4)&amp;"/"&amp;MID($E1165,6,2))</f>
        <v/>
      </c>
      <c r="G1165">
        <f>IF(OR($E1165="",$E1165="نامعتبر",Sync!$Y1162=""),"",Sync!$Y1162)</f>
        <v/>
      </c>
      <c r="H1165">
        <f>IF($G1165="","",IF(Sync!$X1162="","",Sync!$X1162))</f>
        <v/>
      </c>
      <c r="I1165">
        <f>IF($G1165="","",IFERROR(VLOOKUP(Sync!$X1162,OpTbl,3,0),""))</f>
        <v/>
      </c>
      <c r="J1165">
        <f>IF(OR($G1165="",Sync!$Z1162=""),"",Sync!$Z1162)</f>
        <v/>
      </c>
      <c r="K1165">
        <f>IF(OR($G1165="",Sync!$AA1162=""),"",Sync!$AA1162)</f>
        <v/>
      </c>
      <c r="L1165">
        <f>IF($G1165="",0,IF(Sync!$AB1162="",0,Sync!$AB1162))</f>
        <v/>
      </c>
      <c r="M1165">
        <f>IF($G1165="",0,IF(Sync!$AC1162="",0,Sync!$AC1162))</f>
        <v/>
      </c>
      <c r="N1165">
        <f>IF($G1165="","",IF($H1165="مرجوعی خرید",-1,1)*($L1165-$M1165*IFERROR(VLOOKUP("P01",ParamTbl,3,0),1.5))*(1-IF($I1165="خرید",IFERROR(VLOOKUP("P02",ParamTbl,3,0),1),0)/100))</f>
        <v/>
      </c>
      <c r="O1165">
        <f>IF($G1165="",0,IF($H1165="مرجوعی خرید",-1,1)*IF(Sync!$AD1162="",0,Sync!$AD1162))</f>
        <v/>
      </c>
      <c r="P1165">
        <f>IF(OR($G1165="",Sync!$W1162=""),"",Sync!$W1162)</f>
        <v/>
      </c>
      <c r="Q1165">
        <f>IF(OR($G1165="",Sync!$AE1162=""),"",Sync!$AE1162)</f>
        <v/>
      </c>
      <c r="R1165">
        <f>IF($G1165="","",IF(Sync!$V1162="","0000",IF(AND(ISNUMBER(Sync!$V1162),Sync!$V1162&gt;=0,Sync!$V1162&lt;1),RIGHT("00"&amp;HOUR(Sync!$V1162),2)&amp;RIGHT("00"&amp;MINUTE(Sync!$V1162),2),IFERROR(RIGHT("00"&amp;VALUE(LEFT(Sync!$V1162,FIND(":",Sync!$V1162)-1)),2)&amp;RIGHT("00"&amp;VALUE(MID(Sync!$V1162,FIND(":",Sync!$V1162)+1,2)),2),"0000"))))</f>
        <v/>
      </c>
    </row>
    <row r="1166">
      <c r="A1166">
        <f>IF(Sync!$U1163="","",Sync!$U1163)</f>
        <v/>
      </c>
      <c r="B1166">
        <f>IF($A1166="","",IF(ISNUMBER($A1166),IF(AND($A1166&gt;=10000101,$A1166&lt;=99991231),INT($A1166/10000),""),IFERROR(VALUE(TRIM(LEFT($A1166,FIND("/",$A1166)-1))),"")))</f>
        <v/>
      </c>
      <c r="C1166">
        <f>IF(OR($A1166="",$B1166=""),"",IF(ISNUMBER($A1166),INT(MOD($A1166,10000)/100),IFERROR(VALUE(TRIM(LEFT(MID($A1166,FIND("/",$A1166)+1,20),FIND("/",MID($A1166,FIND("/",$A1166)+1,20))-1))),"")))</f>
        <v/>
      </c>
      <c r="D1166">
        <f>IF(OR($A1166="",$B1166=""),"",IF(ISNUMBER($A1166),MOD($A1166,100),IFERROR(VALUE(TRIM(MID(MID($A1166,FIND("/",$A1166)+1,20),FIND("/",MID($A1166,FIND("/",$A1166)+1,20))+1,20))),"")))</f>
        <v/>
      </c>
      <c r="E1166">
        <f>IF($A1166="","",IF(OR($B1166="",$C1166="",$D1166="",$B1166&lt;1300,$B1166&gt;1500,$C1166&lt;1,$C1166&gt;12,$D1166&lt;1,$D1166&gt;31),"نامعتبر",RIGHT("0000"&amp;$B1166,4)&amp;"/"&amp;RIGHT("00"&amp;$C1166,2)&amp;"/"&amp;RIGHT("00"&amp;$D1166,2)))</f>
        <v/>
      </c>
      <c r="F1166">
        <f>IF(OR($E1166="",$E1166="نامعتبر"),"",LEFT($E1166,4)&amp;"/"&amp;MID($E1166,6,2))</f>
        <v/>
      </c>
      <c r="G1166">
        <f>IF(OR($E1166="",$E1166="نامعتبر",Sync!$Y1163=""),"",Sync!$Y1163)</f>
        <v/>
      </c>
      <c r="H1166">
        <f>IF($G1166="","",IF(Sync!$X1163="","",Sync!$X1163))</f>
        <v/>
      </c>
      <c r="I1166">
        <f>IF($G1166="","",IFERROR(VLOOKUP(Sync!$X1163,OpTbl,3,0),""))</f>
        <v/>
      </c>
      <c r="J1166">
        <f>IF(OR($G1166="",Sync!$Z1163=""),"",Sync!$Z1163)</f>
        <v/>
      </c>
      <c r="K1166">
        <f>IF(OR($G1166="",Sync!$AA1163=""),"",Sync!$AA1163)</f>
        <v/>
      </c>
      <c r="L1166">
        <f>IF($G1166="",0,IF(Sync!$AB1163="",0,Sync!$AB1163))</f>
        <v/>
      </c>
      <c r="M1166">
        <f>IF($G1166="",0,IF(Sync!$AC1163="",0,Sync!$AC1163))</f>
        <v/>
      </c>
      <c r="N1166">
        <f>IF($G1166="","",IF($H1166="مرجوعی خرید",-1,1)*($L1166-$M1166*IFERROR(VLOOKUP("P01",ParamTbl,3,0),1.5))*(1-IF($I1166="خرید",IFERROR(VLOOKUP("P02",ParamTbl,3,0),1),0)/100))</f>
        <v/>
      </c>
      <c r="O1166">
        <f>IF($G1166="",0,IF($H1166="مرجوعی خرید",-1,1)*IF(Sync!$AD1163="",0,Sync!$AD1163))</f>
        <v/>
      </c>
      <c r="P1166">
        <f>IF(OR($G1166="",Sync!$W1163=""),"",Sync!$W1163)</f>
        <v/>
      </c>
      <c r="Q1166">
        <f>IF(OR($G1166="",Sync!$AE1163=""),"",Sync!$AE1163)</f>
        <v/>
      </c>
      <c r="R1166">
        <f>IF($G1166="","",IF(Sync!$V1163="","0000",IF(AND(ISNUMBER(Sync!$V1163),Sync!$V1163&gt;=0,Sync!$V1163&lt;1),RIGHT("00"&amp;HOUR(Sync!$V1163),2)&amp;RIGHT("00"&amp;MINUTE(Sync!$V1163),2),IFERROR(RIGHT("00"&amp;VALUE(LEFT(Sync!$V1163,FIND(":",Sync!$V1163)-1)),2)&amp;RIGHT("00"&amp;VALUE(MID(Sync!$V1163,FIND(":",Sync!$V1163)+1,2)),2),"0000"))))</f>
        <v/>
      </c>
    </row>
    <row r="1167">
      <c r="A1167">
        <f>IF(Sync!$U1164="","",Sync!$U1164)</f>
        <v/>
      </c>
      <c r="B1167">
        <f>IF($A1167="","",IF(ISNUMBER($A1167),IF(AND($A1167&gt;=10000101,$A1167&lt;=99991231),INT($A1167/10000),""),IFERROR(VALUE(TRIM(LEFT($A1167,FIND("/",$A1167)-1))),"")))</f>
        <v/>
      </c>
      <c r="C1167">
        <f>IF(OR($A1167="",$B1167=""),"",IF(ISNUMBER($A1167),INT(MOD($A1167,10000)/100),IFERROR(VALUE(TRIM(LEFT(MID($A1167,FIND("/",$A1167)+1,20),FIND("/",MID($A1167,FIND("/",$A1167)+1,20))-1))),"")))</f>
        <v/>
      </c>
      <c r="D1167">
        <f>IF(OR($A1167="",$B1167=""),"",IF(ISNUMBER($A1167),MOD($A1167,100),IFERROR(VALUE(TRIM(MID(MID($A1167,FIND("/",$A1167)+1,20),FIND("/",MID($A1167,FIND("/",$A1167)+1,20))+1,20))),"")))</f>
        <v/>
      </c>
      <c r="E1167">
        <f>IF($A1167="","",IF(OR($B1167="",$C1167="",$D1167="",$B1167&lt;1300,$B1167&gt;1500,$C1167&lt;1,$C1167&gt;12,$D1167&lt;1,$D1167&gt;31),"نامعتبر",RIGHT("0000"&amp;$B1167,4)&amp;"/"&amp;RIGHT("00"&amp;$C1167,2)&amp;"/"&amp;RIGHT("00"&amp;$D1167,2)))</f>
        <v/>
      </c>
      <c r="F1167">
        <f>IF(OR($E1167="",$E1167="نامعتبر"),"",LEFT($E1167,4)&amp;"/"&amp;MID($E1167,6,2))</f>
        <v/>
      </c>
      <c r="G1167">
        <f>IF(OR($E1167="",$E1167="نامعتبر",Sync!$Y1164=""),"",Sync!$Y1164)</f>
        <v/>
      </c>
      <c r="H1167">
        <f>IF($G1167="","",IF(Sync!$X1164="","",Sync!$X1164))</f>
        <v/>
      </c>
      <c r="I1167">
        <f>IF($G1167="","",IFERROR(VLOOKUP(Sync!$X1164,OpTbl,3,0),""))</f>
        <v/>
      </c>
      <c r="J1167">
        <f>IF(OR($G1167="",Sync!$Z1164=""),"",Sync!$Z1164)</f>
        <v/>
      </c>
      <c r="K1167">
        <f>IF(OR($G1167="",Sync!$AA1164=""),"",Sync!$AA1164)</f>
        <v/>
      </c>
      <c r="L1167">
        <f>IF($G1167="",0,IF(Sync!$AB1164="",0,Sync!$AB1164))</f>
        <v/>
      </c>
      <c r="M1167">
        <f>IF($G1167="",0,IF(Sync!$AC1164="",0,Sync!$AC1164))</f>
        <v/>
      </c>
      <c r="N1167">
        <f>IF($G1167="","",IF($H1167="مرجوعی خرید",-1,1)*($L1167-$M1167*IFERROR(VLOOKUP("P01",ParamTbl,3,0),1.5))*(1-IF($I1167="خرید",IFERROR(VLOOKUP("P02",ParamTbl,3,0),1),0)/100))</f>
        <v/>
      </c>
      <c r="O1167">
        <f>IF($G1167="",0,IF($H1167="مرجوعی خرید",-1,1)*IF(Sync!$AD1164="",0,Sync!$AD1164))</f>
        <v/>
      </c>
      <c r="P1167">
        <f>IF(OR($G1167="",Sync!$W1164=""),"",Sync!$W1164)</f>
        <v/>
      </c>
      <c r="Q1167">
        <f>IF(OR($G1167="",Sync!$AE1164=""),"",Sync!$AE1164)</f>
        <v/>
      </c>
      <c r="R1167">
        <f>IF($G1167="","",IF(Sync!$V1164="","0000",IF(AND(ISNUMBER(Sync!$V1164),Sync!$V1164&gt;=0,Sync!$V1164&lt;1),RIGHT("00"&amp;HOUR(Sync!$V1164),2)&amp;RIGHT("00"&amp;MINUTE(Sync!$V1164),2),IFERROR(RIGHT("00"&amp;VALUE(LEFT(Sync!$V1164,FIND(":",Sync!$V1164)-1)),2)&amp;RIGHT("00"&amp;VALUE(MID(Sync!$V1164,FIND(":",Sync!$V1164)+1,2)),2),"0000"))))</f>
        <v/>
      </c>
    </row>
    <row r="1168">
      <c r="A1168">
        <f>IF(Sync!$U1165="","",Sync!$U1165)</f>
        <v/>
      </c>
      <c r="B1168">
        <f>IF($A1168="","",IF(ISNUMBER($A1168),IF(AND($A1168&gt;=10000101,$A1168&lt;=99991231),INT($A1168/10000),""),IFERROR(VALUE(TRIM(LEFT($A1168,FIND("/",$A1168)-1))),"")))</f>
        <v/>
      </c>
      <c r="C1168">
        <f>IF(OR($A1168="",$B1168=""),"",IF(ISNUMBER($A1168),INT(MOD($A1168,10000)/100),IFERROR(VALUE(TRIM(LEFT(MID($A1168,FIND("/",$A1168)+1,20),FIND("/",MID($A1168,FIND("/",$A1168)+1,20))-1))),"")))</f>
        <v/>
      </c>
      <c r="D1168">
        <f>IF(OR($A1168="",$B1168=""),"",IF(ISNUMBER($A1168),MOD($A1168,100),IFERROR(VALUE(TRIM(MID(MID($A1168,FIND("/",$A1168)+1,20),FIND("/",MID($A1168,FIND("/",$A1168)+1,20))+1,20))),"")))</f>
        <v/>
      </c>
      <c r="E1168">
        <f>IF($A1168="","",IF(OR($B1168="",$C1168="",$D1168="",$B1168&lt;1300,$B1168&gt;1500,$C1168&lt;1,$C1168&gt;12,$D1168&lt;1,$D1168&gt;31),"نامعتبر",RIGHT("0000"&amp;$B1168,4)&amp;"/"&amp;RIGHT("00"&amp;$C1168,2)&amp;"/"&amp;RIGHT("00"&amp;$D1168,2)))</f>
        <v/>
      </c>
      <c r="F1168">
        <f>IF(OR($E1168="",$E1168="نامعتبر"),"",LEFT($E1168,4)&amp;"/"&amp;MID($E1168,6,2))</f>
        <v/>
      </c>
      <c r="G1168">
        <f>IF(OR($E1168="",$E1168="نامعتبر",Sync!$Y1165=""),"",Sync!$Y1165)</f>
        <v/>
      </c>
      <c r="H1168">
        <f>IF($G1168="","",IF(Sync!$X1165="","",Sync!$X1165))</f>
        <v/>
      </c>
      <c r="I1168">
        <f>IF($G1168="","",IFERROR(VLOOKUP(Sync!$X1165,OpTbl,3,0),""))</f>
        <v/>
      </c>
      <c r="J1168">
        <f>IF(OR($G1168="",Sync!$Z1165=""),"",Sync!$Z1165)</f>
        <v/>
      </c>
      <c r="K1168">
        <f>IF(OR($G1168="",Sync!$AA1165=""),"",Sync!$AA1165)</f>
        <v/>
      </c>
      <c r="L1168">
        <f>IF($G1168="",0,IF(Sync!$AB1165="",0,Sync!$AB1165))</f>
        <v/>
      </c>
      <c r="M1168">
        <f>IF($G1168="",0,IF(Sync!$AC1165="",0,Sync!$AC1165))</f>
        <v/>
      </c>
      <c r="N1168">
        <f>IF($G1168="","",IF($H1168="مرجوعی خرید",-1,1)*($L1168-$M1168*IFERROR(VLOOKUP("P01",ParamTbl,3,0),1.5))*(1-IF($I1168="خرید",IFERROR(VLOOKUP("P02",ParamTbl,3,0),1),0)/100))</f>
        <v/>
      </c>
      <c r="O1168">
        <f>IF($G1168="",0,IF($H1168="مرجوعی خرید",-1,1)*IF(Sync!$AD1165="",0,Sync!$AD1165))</f>
        <v/>
      </c>
      <c r="P1168">
        <f>IF(OR($G1168="",Sync!$W1165=""),"",Sync!$W1165)</f>
        <v/>
      </c>
      <c r="Q1168">
        <f>IF(OR($G1168="",Sync!$AE1165=""),"",Sync!$AE1165)</f>
        <v/>
      </c>
      <c r="R1168">
        <f>IF($G1168="","",IF(Sync!$V1165="","0000",IF(AND(ISNUMBER(Sync!$V1165),Sync!$V1165&gt;=0,Sync!$V1165&lt;1),RIGHT("00"&amp;HOUR(Sync!$V1165),2)&amp;RIGHT("00"&amp;MINUTE(Sync!$V1165),2),IFERROR(RIGHT("00"&amp;VALUE(LEFT(Sync!$V1165,FIND(":",Sync!$V1165)-1)),2)&amp;RIGHT("00"&amp;VALUE(MID(Sync!$V1165,FIND(":",Sync!$V1165)+1,2)),2),"0000"))))</f>
        <v/>
      </c>
    </row>
    <row r="1169">
      <c r="A1169">
        <f>IF(Sync!$U1166="","",Sync!$U1166)</f>
        <v/>
      </c>
      <c r="B1169">
        <f>IF($A1169="","",IF(ISNUMBER($A1169),IF(AND($A1169&gt;=10000101,$A1169&lt;=99991231),INT($A1169/10000),""),IFERROR(VALUE(TRIM(LEFT($A1169,FIND("/",$A1169)-1))),"")))</f>
        <v/>
      </c>
      <c r="C1169">
        <f>IF(OR($A1169="",$B1169=""),"",IF(ISNUMBER($A1169),INT(MOD($A1169,10000)/100),IFERROR(VALUE(TRIM(LEFT(MID($A1169,FIND("/",$A1169)+1,20),FIND("/",MID($A1169,FIND("/",$A1169)+1,20))-1))),"")))</f>
        <v/>
      </c>
      <c r="D1169">
        <f>IF(OR($A1169="",$B1169=""),"",IF(ISNUMBER($A1169),MOD($A1169,100),IFERROR(VALUE(TRIM(MID(MID($A1169,FIND("/",$A1169)+1,20),FIND("/",MID($A1169,FIND("/",$A1169)+1,20))+1,20))),"")))</f>
        <v/>
      </c>
      <c r="E1169">
        <f>IF($A1169="","",IF(OR($B1169="",$C1169="",$D1169="",$B1169&lt;1300,$B1169&gt;1500,$C1169&lt;1,$C1169&gt;12,$D1169&lt;1,$D1169&gt;31),"نامعتبر",RIGHT("0000"&amp;$B1169,4)&amp;"/"&amp;RIGHT("00"&amp;$C1169,2)&amp;"/"&amp;RIGHT("00"&amp;$D1169,2)))</f>
        <v/>
      </c>
      <c r="F1169">
        <f>IF(OR($E1169="",$E1169="نامعتبر"),"",LEFT($E1169,4)&amp;"/"&amp;MID($E1169,6,2))</f>
        <v/>
      </c>
      <c r="G1169">
        <f>IF(OR($E1169="",$E1169="نامعتبر",Sync!$Y1166=""),"",Sync!$Y1166)</f>
        <v/>
      </c>
      <c r="H1169">
        <f>IF($G1169="","",IF(Sync!$X1166="","",Sync!$X1166))</f>
        <v/>
      </c>
      <c r="I1169">
        <f>IF($G1169="","",IFERROR(VLOOKUP(Sync!$X1166,OpTbl,3,0),""))</f>
        <v/>
      </c>
      <c r="J1169">
        <f>IF(OR($G1169="",Sync!$Z1166=""),"",Sync!$Z1166)</f>
        <v/>
      </c>
      <c r="K1169">
        <f>IF(OR($G1169="",Sync!$AA1166=""),"",Sync!$AA1166)</f>
        <v/>
      </c>
      <c r="L1169">
        <f>IF($G1169="",0,IF(Sync!$AB1166="",0,Sync!$AB1166))</f>
        <v/>
      </c>
      <c r="M1169">
        <f>IF($G1169="",0,IF(Sync!$AC1166="",0,Sync!$AC1166))</f>
        <v/>
      </c>
      <c r="N1169">
        <f>IF($G1169="","",IF($H1169="مرجوعی خرید",-1,1)*($L1169-$M1169*IFERROR(VLOOKUP("P01",ParamTbl,3,0),1.5))*(1-IF($I1169="خرید",IFERROR(VLOOKUP("P02",ParamTbl,3,0),1),0)/100))</f>
        <v/>
      </c>
      <c r="O1169">
        <f>IF($G1169="",0,IF($H1169="مرجوعی خرید",-1,1)*IF(Sync!$AD1166="",0,Sync!$AD1166))</f>
        <v/>
      </c>
      <c r="P1169">
        <f>IF(OR($G1169="",Sync!$W1166=""),"",Sync!$W1166)</f>
        <v/>
      </c>
      <c r="Q1169">
        <f>IF(OR($G1169="",Sync!$AE1166=""),"",Sync!$AE1166)</f>
        <v/>
      </c>
      <c r="R1169">
        <f>IF($G1169="","",IF(Sync!$V1166="","0000",IF(AND(ISNUMBER(Sync!$V1166),Sync!$V1166&gt;=0,Sync!$V1166&lt;1),RIGHT("00"&amp;HOUR(Sync!$V1166),2)&amp;RIGHT("00"&amp;MINUTE(Sync!$V1166),2),IFERROR(RIGHT("00"&amp;VALUE(LEFT(Sync!$V1166,FIND(":",Sync!$V1166)-1)),2)&amp;RIGHT("00"&amp;VALUE(MID(Sync!$V1166,FIND(":",Sync!$V1166)+1,2)),2),"0000"))))</f>
        <v/>
      </c>
    </row>
    <row r="1170">
      <c r="A1170">
        <f>IF(Sync!$U1167="","",Sync!$U1167)</f>
        <v/>
      </c>
      <c r="B1170">
        <f>IF($A1170="","",IF(ISNUMBER($A1170),IF(AND($A1170&gt;=10000101,$A1170&lt;=99991231),INT($A1170/10000),""),IFERROR(VALUE(TRIM(LEFT($A1170,FIND("/",$A1170)-1))),"")))</f>
        <v/>
      </c>
      <c r="C1170">
        <f>IF(OR($A1170="",$B1170=""),"",IF(ISNUMBER($A1170),INT(MOD($A1170,10000)/100),IFERROR(VALUE(TRIM(LEFT(MID($A1170,FIND("/",$A1170)+1,20),FIND("/",MID($A1170,FIND("/",$A1170)+1,20))-1))),"")))</f>
        <v/>
      </c>
      <c r="D1170">
        <f>IF(OR($A1170="",$B1170=""),"",IF(ISNUMBER($A1170),MOD($A1170,100),IFERROR(VALUE(TRIM(MID(MID($A1170,FIND("/",$A1170)+1,20),FIND("/",MID($A1170,FIND("/",$A1170)+1,20))+1,20))),"")))</f>
        <v/>
      </c>
      <c r="E1170">
        <f>IF($A1170="","",IF(OR($B1170="",$C1170="",$D1170="",$B1170&lt;1300,$B1170&gt;1500,$C1170&lt;1,$C1170&gt;12,$D1170&lt;1,$D1170&gt;31),"نامعتبر",RIGHT("0000"&amp;$B1170,4)&amp;"/"&amp;RIGHT("00"&amp;$C1170,2)&amp;"/"&amp;RIGHT("00"&amp;$D1170,2)))</f>
        <v/>
      </c>
      <c r="F1170">
        <f>IF(OR($E1170="",$E1170="نامعتبر"),"",LEFT($E1170,4)&amp;"/"&amp;MID($E1170,6,2))</f>
        <v/>
      </c>
      <c r="G1170">
        <f>IF(OR($E1170="",$E1170="نامعتبر",Sync!$Y1167=""),"",Sync!$Y1167)</f>
        <v/>
      </c>
      <c r="H1170">
        <f>IF($G1170="","",IF(Sync!$X1167="","",Sync!$X1167))</f>
        <v/>
      </c>
      <c r="I1170">
        <f>IF($G1170="","",IFERROR(VLOOKUP(Sync!$X1167,OpTbl,3,0),""))</f>
        <v/>
      </c>
      <c r="J1170">
        <f>IF(OR($G1170="",Sync!$Z1167=""),"",Sync!$Z1167)</f>
        <v/>
      </c>
      <c r="K1170">
        <f>IF(OR($G1170="",Sync!$AA1167=""),"",Sync!$AA1167)</f>
        <v/>
      </c>
      <c r="L1170">
        <f>IF($G1170="",0,IF(Sync!$AB1167="",0,Sync!$AB1167))</f>
        <v/>
      </c>
      <c r="M1170">
        <f>IF($G1170="",0,IF(Sync!$AC1167="",0,Sync!$AC1167))</f>
        <v/>
      </c>
      <c r="N1170">
        <f>IF($G1170="","",IF($H1170="مرجوعی خرید",-1,1)*($L1170-$M1170*IFERROR(VLOOKUP("P01",ParamTbl,3,0),1.5))*(1-IF($I1170="خرید",IFERROR(VLOOKUP("P02",ParamTbl,3,0),1),0)/100))</f>
        <v/>
      </c>
      <c r="O1170">
        <f>IF($G1170="",0,IF($H1170="مرجوعی خرید",-1,1)*IF(Sync!$AD1167="",0,Sync!$AD1167))</f>
        <v/>
      </c>
      <c r="P1170">
        <f>IF(OR($G1170="",Sync!$W1167=""),"",Sync!$W1167)</f>
        <v/>
      </c>
      <c r="Q1170">
        <f>IF(OR($G1170="",Sync!$AE1167=""),"",Sync!$AE1167)</f>
        <v/>
      </c>
      <c r="R1170">
        <f>IF($G1170="","",IF(Sync!$V1167="","0000",IF(AND(ISNUMBER(Sync!$V1167),Sync!$V1167&gt;=0,Sync!$V1167&lt;1),RIGHT("00"&amp;HOUR(Sync!$V1167),2)&amp;RIGHT("00"&amp;MINUTE(Sync!$V1167),2),IFERROR(RIGHT("00"&amp;VALUE(LEFT(Sync!$V1167,FIND(":",Sync!$V1167)-1)),2)&amp;RIGHT("00"&amp;VALUE(MID(Sync!$V1167,FIND(":",Sync!$V1167)+1,2)),2),"0000"))))</f>
        <v/>
      </c>
    </row>
    <row r="1171">
      <c r="A1171">
        <f>IF(Sync!$U1168="","",Sync!$U1168)</f>
        <v/>
      </c>
      <c r="B1171">
        <f>IF($A1171="","",IF(ISNUMBER($A1171),IF(AND($A1171&gt;=10000101,$A1171&lt;=99991231),INT($A1171/10000),""),IFERROR(VALUE(TRIM(LEFT($A1171,FIND("/",$A1171)-1))),"")))</f>
        <v/>
      </c>
      <c r="C1171">
        <f>IF(OR($A1171="",$B1171=""),"",IF(ISNUMBER($A1171),INT(MOD($A1171,10000)/100),IFERROR(VALUE(TRIM(LEFT(MID($A1171,FIND("/",$A1171)+1,20),FIND("/",MID($A1171,FIND("/",$A1171)+1,20))-1))),"")))</f>
        <v/>
      </c>
      <c r="D1171">
        <f>IF(OR($A1171="",$B1171=""),"",IF(ISNUMBER($A1171),MOD($A1171,100),IFERROR(VALUE(TRIM(MID(MID($A1171,FIND("/",$A1171)+1,20),FIND("/",MID($A1171,FIND("/",$A1171)+1,20))+1,20))),"")))</f>
        <v/>
      </c>
      <c r="E1171">
        <f>IF($A1171="","",IF(OR($B1171="",$C1171="",$D1171="",$B1171&lt;1300,$B1171&gt;1500,$C1171&lt;1,$C1171&gt;12,$D1171&lt;1,$D1171&gt;31),"نامعتبر",RIGHT("0000"&amp;$B1171,4)&amp;"/"&amp;RIGHT("00"&amp;$C1171,2)&amp;"/"&amp;RIGHT("00"&amp;$D1171,2)))</f>
        <v/>
      </c>
      <c r="F1171">
        <f>IF(OR($E1171="",$E1171="نامعتبر"),"",LEFT($E1171,4)&amp;"/"&amp;MID($E1171,6,2))</f>
        <v/>
      </c>
      <c r="G1171">
        <f>IF(OR($E1171="",$E1171="نامعتبر",Sync!$Y1168=""),"",Sync!$Y1168)</f>
        <v/>
      </c>
      <c r="H1171">
        <f>IF($G1171="","",IF(Sync!$X1168="","",Sync!$X1168))</f>
        <v/>
      </c>
      <c r="I1171">
        <f>IF($G1171="","",IFERROR(VLOOKUP(Sync!$X1168,OpTbl,3,0),""))</f>
        <v/>
      </c>
      <c r="J1171">
        <f>IF(OR($G1171="",Sync!$Z1168=""),"",Sync!$Z1168)</f>
        <v/>
      </c>
      <c r="K1171">
        <f>IF(OR($G1171="",Sync!$AA1168=""),"",Sync!$AA1168)</f>
        <v/>
      </c>
      <c r="L1171">
        <f>IF($G1171="",0,IF(Sync!$AB1168="",0,Sync!$AB1168))</f>
        <v/>
      </c>
      <c r="M1171">
        <f>IF($G1171="",0,IF(Sync!$AC1168="",0,Sync!$AC1168))</f>
        <v/>
      </c>
      <c r="N1171">
        <f>IF($G1171="","",IF($H1171="مرجوعی خرید",-1,1)*($L1171-$M1171*IFERROR(VLOOKUP("P01",ParamTbl,3,0),1.5))*(1-IF($I1171="خرید",IFERROR(VLOOKUP("P02",ParamTbl,3,0),1),0)/100))</f>
        <v/>
      </c>
      <c r="O1171">
        <f>IF($G1171="",0,IF($H1171="مرجوعی خرید",-1,1)*IF(Sync!$AD1168="",0,Sync!$AD1168))</f>
        <v/>
      </c>
      <c r="P1171">
        <f>IF(OR($G1171="",Sync!$W1168=""),"",Sync!$W1168)</f>
        <v/>
      </c>
      <c r="Q1171">
        <f>IF(OR($G1171="",Sync!$AE1168=""),"",Sync!$AE1168)</f>
        <v/>
      </c>
      <c r="R1171">
        <f>IF($G1171="","",IF(Sync!$V1168="","0000",IF(AND(ISNUMBER(Sync!$V1168),Sync!$V1168&gt;=0,Sync!$V1168&lt;1),RIGHT("00"&amp;HOUR(Sync!$V1168),2)&amp;RIGHT("00"&amp;MINUTE(Sync!$V1168),2),IFERROR(RIGHT("00"&amp;VALUE(LEFT(Sync!$V1168,FIND(":",Sync!$V1168)-1)),2)&amp;RIGHT("00"&amp;VALUE(MID(Sync!$V1168,FIND(":",Sync!$V1168)+1,2)),2),"0000"))))</f>
        <v/>
      </c>
    </row>
    <row r="1172">
      <c r="A1172">
        <f>IF(Sync!$U1169="","",Sync!$U1169)</f>
        <v/>
      </c>
      <c r="B1172">
        <f>IF($A1172="","",IF(ISNUMBER($A1172),IF(AND($A1172&gt;=10000101,$A1172&lt;=99991231),INT($A1172/10000),""),IFERROR(VALUE(TRIM(LEFT($A1172,FIND("/",$A1172)-1))),"")))</f>
        <v/>
      </c>
      <c r="C1172">
        <f>IF(OR($A1172="",$B1172=""),"",IF(ISNUMBER($A1172),INT(MOD($A1172,10000)/100),IFERROR(VALUE(TRIM(LEFT(MID($A1172,FIND("/",$A1172)+1,20),FIND("/",MID($A1172,FIND("/",$A1172)+1,20))-1))),"")))</f>
        <v/>
      </c>
      <c r="D1172">
        <f>IF(OR($A1172="",$B1172=""),"",IF(ISNUMBER($A1172),MOD($A1172,100),IFERROR(VALUE(TRIM(MID(MID($A1172,FIND("/",$A1172)+1,20),FIND("/",MID($A1172,FIND("/",$A1172)+1,20))+1,20))),"")))</f>
        <v/>
      </c>
      <c r="E1172">
        <f>IF($A1172="","",IF(OR($B1172="",$C1172="",$D1172="",$B1172&lt;1300,$B1172&gt;1500,$C1172&lt;1,$C1172&gt;12,$D1172&lt;1,$D1172&gt;31),"نامعتبر",RIGHT("0000"&amp;$B1172,4)&amp;"/"&amp;RIGHT("00"&amp;$C1172,2)&amp;"/"&amp;RIGHT("00"&amp;$D1172,2)))</f>
        <v/>
      </c>
      <c r="F1172">
        <f>IF(OR($E1172="",$E1172="نامعتبر"),"",LEFT($E1172,4)&amp;"/"&amp;MID($E1172,6,2))</f>
        <v/>
      </c>
      <c r="G1172">
        <f>IF(OR($E1172="",$E1172="نامعتبر",Sync!$Y1169=""),"",Sync!$Y1169)</f>
        <v/>
      </c>
      <c r="H1172">
        <f>IF($G1172="","",IF(Sync!$X1169="","",Sync!$X1169))</f>
        <v/>
      </c>
      <c r="I1172">
        <f>IF($G1172="","",IFERROR(VLOOKUP(Sync!$X1169,OpTbl,3,0),""))</f>
        <v/>
      </c>
      <c r="J1172">
        <f>IF(OR($G1172="",Sync!$Z1169=""),"",Sync!$Z1169)</f>
        <v/>
      </c>
      <c r="K1172">
        <f>IF(OR($G1172="",Sync!$AA1169=""),"",Sync!$AA1169)</f>
        <v/>
      </c>
      <c r="L1172">
        <f>IF($G1172="",0,IF(Sync!$AB1169="",0,Sync!$AB1169))</f>
        <v/>
      </c>
      <c r="M1172">
        <f>IF($G1172="",0,IF(Sync!$AC1169="",0,Sync!$AC1169))</f>
        <v/>
      </c>
      <c r="N1172">
        <f>IF($G1172="","",IF($H1172="مرجوعی خرید",-1,1)*($L1172-$M1172*IFERROR(VLOOKUP("P01",ParamTbl,3,0),1.5))*(1-IF($I1172="خرید",IFERROR(VLOOKUP("P02",ParamTbl,3,0),1),0)/100))</f>
        <v/>
      </c>
      <c r="O1172">
        <f>IF($G1172="",0,IF($H1172="مرجوعی خرید",-1,1)*IF(Sync!$AD1169="",0,Sync!$AD1169))</f>
        <v/>
      </c>
      <c r="P1172">
        <f>IF(OR($G1172="",Sync!$W1169=""),"",Sync!$W1169)</f>
        <v/>
      </c>
      <c r="Q1172">
        <f>IF(OR($G1172="",Sync!$AE1169=""),"",Sync!$AE1169)</f>
        <v/>
      </c>
      <c r="R1172">
        <f>IF($G1172="","",IF(Sync!$V1169="","0000",IF(AND(ISNUMBER(Sync!$V1169),Sync!$V1169&gt;=0,Sync!$V1169&lt;1),RIGHT("00"&amp;HOUR(Sync!$V1169),2)&amp;RIGHT("00"&amp;MINUTE(Sync!$V1169),2),IFERROR(RIGHT("00"&amp;VALUE(LEFT(Sync!$V1169,FIND(":",Sync!$V1169)-1)),2)&amp;RIGHT("00"&amp;VALUE(MID(Sync!$V1169,FIND(":",Sync!$V1169)+1,2)),2),"0000"))))</f>
        <v/>
      </c>
    </row>
    <row r="1173">
      <c r="A1173">
        <f>IF(Sync!$U1170="","",Sync!$U1170)</f>
        <v/>
      </c>
      <c r="B1173">
        <f>IF($A1173="","",IF(ISNUMBER($A1173),IF(AND($A1173&gt;=10000101,$A1173&lt;=99991231),INT($A1173/10000),""),IFERROR(VALUE(TRIM(LEFT($A1173,FIND("/",$A1173)-1))),"")))</f>
        <v/>
      </c>
      <c r="C1173">
        <f>IF(OR($A1173="",$B1173=""),"",IF(ISNUMBER($A1173),INT(MOD($A1173,10000)/100),IFERROR(VALUE(TRIM(LEFT(MID($A1173,FIND("/",$A1173)+1,20),FIND("/",MID($A1173,FIND("/",$A1173)+1,20))-1))),"")))</f>
        <v/>
      </c>
      <c r="D1173">
        <f>IF(OR($A1173="",$B1173=""),"",IF(ISNUMBER($A1173),MOD($A1173,100),IFERROR(VALUE(TRIM(MID(MID($A1173,FIND("/",$A1173)+1,20),FIND("/",MID($A1173,FIND("/",$A1173)+1,20))+1,20))),"")))</f>
        <v/>
      </c>
      <c r="E1173">
        <f>IF($A1173="","",IF(OR($B1173="",$C1173="",$D1173="",$B1173&lt;1300,$B1173&gt;1500,$C1173&lt;1,$C1173&gt;12,$D1173&lt;1,$D1173&gt;31),"نامعتبر",RIGHT("0000"&amp;$B1173,4)&amp;"/"&amp;RIGHT("00"&amp;$C1173,2)&amp;"/"&amp;RIGHT("00"&amp;$D1173,2)))</f>
        <v/>
      </c>
      <c r="F1173">
        <f>IF(OR($E1173="",$E1173="نامعتبر"),"",LEFT($E1173,4)&amp;"/"&amp;MID($E1173,6,2))</f>
        <v/>
      </c>
      <c r="G1173">
        <f>IF(OR($E1173="",$E1173="نامعتبر",Sync!$Y1170=""),"",Sync!$Y1170)</f>
        <v/>
      </c>
      <c r="H1173">
        <f>IF($G1173="","",IF(Sync!$X1170="","",Sync!$X1170))</f>
        <v/>
      </c>
      <c r="I1173">
        <f>IF($G1173="","",IFERROR(VLOOKUP(Sync!$X1170,OpTbl,3,0),""))</f>
        <v/>
      </c>
      <c r="J1173">
        <f>IF(OR($G1173="",Sync!$Z1170=""),"",Sync!$Z1170)</f>
        <v/>
      </c>
      <c r="K1173">
        <f>IF(OR($G1173="",Sync!$AA1170=""),"",Sync!$AA1170)</f>
        <v/>
      </c>
      <c r="L1173">
        <f>IF($G1173="",0,IF(Sync!$AB1170="",0,Sync!$AB1170))</f>
        <v/>
      </c>
      <c r="M1173">
        <f>IF($G1173="",0,IF(Sync!$AC1170="",0,Sync!$AC1170))</f>
        <v/>
      </c>
      <c r="N1173">
        <f>IF($G1173="","",IF($H1173="مرجوعی خرید",-1,1)*($L1173-$M1173*IFERROR(VLOOKUP("P01",ParamTbl,3,0),1.5))*(1-IF($I1173="خرید",IFERROR(VLOOKUP("P02",ParamTbl,3,0),1),0)/100))</f>
        <v/>
      </c>
      <c r="O1173">
        <f>IF($G1173="",0,IF($H1173="مرجوعی خرید",-1,1)*IF(Sync!$AD1170="",0,Sync!$AD1170))</f>
        <v/>
      </c>
      <c r="P1173">
        <f>IF(OR($G1173="",Sync!$W1170=""),"",Sync!$W1170)</f>
        <v/>
      </c>
      <c r="Q1173">
        <f>IF(OR($G1173="",Sync!$AE1170=""),"",Sync!$AE1170)</f>
        <v/>
      </c>
      <c r="R1173">
        <f>IF($G1173="","",IF(Sync!$V1170="","0000",IF(AND(ISNUMBER(Sync!$V1170),Sync!$V1170&gt;=0,Sync!$V1170&lt;1),RIGHT("00"&amp;HOUR(Sync!$V1170),2)&amp;RIGHT("00"&amp;MINUTE(Sync!$V1170),2),IFERROR(RIGHT("00"&amp;VALUE(LEFT(Sync!$V1170,FIND(":",Sync!$V1170)-1)),2)&amp;RIGHT("00"&amp;VALUE(MID(Sync!$V1170,FIND(":",Sync!$V1170)+1,2)),2),"0000"))))</f>
        <v/>
      </c>
    </row>
    <row r="1174">
      <c r="A1174">
        <f>IF(Sync!$U1171="","",Sync!$U1171)</f>
        <v/>
      </c>
      <c r="B1174">
        <f>IF($A1174="","",IF(ISNUMBER($A1174),IF(AND($A1174&gt;=10000101,$A1174&lt;=99991231),INT($A1174/10000),""),IFERROR(VALUE(TRIM(LEFT($A1174,FIND("/",$A1174)-1))),"")))</f>
        <v/>
      </c>
      <c r="C1174">
        <f>IF(OR($A1174="",$B1174=""),"",IF(ISNUMBER($A1174),INT(MOD($A1174,10000)/100),IFERROR(VALUE(TRIM(LEFT(MID($A1174,FIND("/",$A1174)+1,20),FIND("/",MID($A1174,FIND("/",$A1174)+1,20))-1))),"")))</f>
        <v/>
      </c>
      <c r="D1174">
        <f>IF(OR($A1174="",$B1174=""),"",IF(ISNUMBER($A1174),MOD($A1174,100),IFERROR(VALUE(TRIM(MID(MID($A1174,FIND("/",$A1174)+1,20),FIND("/",MID($A1174,FIND("/",$A1174)+1,20))+1,20))),"")))</f>
        <v/>
      </c>
      <c r="E1174">
        <f>IF($A1174="","",IF(OR($B1174="",$C1174="",$D1174="",$B1174&lt;1300,$B1174&gt;1500,$C1174&lt;1,$C1174&gt;12,$D1174&lt;1,$D1174&gt;31),"نامعتبر",RIGHT("0000"&amp;$B1174,4)&amp;"/"&amp;RIGHT("00"&amp;$C1174,2)&amp;"/"&amp;RIGHT("00"&amp;$D1174,2)))</f>
        <v/>
      </c>
      <c r="F1174">
        <f>IF(OR($E1174="",$E1174="نامعتبر"),"",LEFT($E1174,4)&amp;"/"&amp;MID($E1174,6,2))</f>
        <v/>
      </c>
      <c r="G1174">
        <f>IF(OR($E1174="",$E1174="نامعتبر",Sync!$Y1171=""),"",Sync!$Y1171)</f>
        <v/>
      </c>
      <c r="H1174">
        <f>IF($G1174="","",IF(Sync!$X1171="","",Sync!$X1171))</f>
        <v/>
      </c>
      <c r="I1174">
        <f>IF($G1174="","",IFERROR(VLOOKUP(Sync!$X1171,OpTbl,3,0),""))</f>
        <v/>
      </c>
      <c r="J1174">
        <f>IF(OR($G1174="",Sync!$Z1171=""),"",Sync!$Z1171)</f>
        <v/>
      </c>
      <c r="K1174">
        <f>IF(OR($G1174="",Sync!$AA1171=""),"",Sync!$AA1171)</f>
        <v/>
      </c>
      <c r="L1174">
        <f>IF($G1174="",0,IF(Sync!$AB1171="",0,Sync!$AB1171))</f>
        <v/>
      </c>
      <c r="M1174">
        <f>IF($G1174="",0,IF(Sync!$AC1171="",0,Sync!$AC1171))</f>
        <v/>
      </c>
      <c r="N1174">
        <f>IF($G1174="","",IF($H1174="مرجوعی خرید",-1,1)*($L1174-$M1174*IFERROR(VLOOKUP("P01",ParamTbl,3,0),1.5))*(1-IF($I1174="خرید",IFERROR(VLOOKUP("P02",ParamTbl,3,0),1),0)/100))</f>
        <v/>
      </c>
      <c r="O1174">
        <f>IF($G1174="",0,IF($H1174="مرجوعی خرید",-1,1)*IF(Sync!$AD1171="",0,Sync!$AD1171))</f>
        <v/>
      </c>
      <c r="P1174">
        <f>IF(OR($G1174="",Sync!$W1171=""),"",Sync!$W1171)</f>
        <v/>
      </c>
      <c r="Q1174">
        <f>IF(OR($G1174="",Sync!$AE1171=""),"",Sync!$AE1171)</f>
        <v/>
      </c>
      <c r="R1174">
        <f>IF($G1174="","",IF(Sync!$V1171="","0000",IF(AND(ISNUMBER(Sync!$V1171),Sync!$V1171&gt;=0,Sync!$V1171&lt;1),RIGHT("00"&amp;HOUR(Sync!$V1171),2)&amp;RIGHT("00"&amp;MINUTE(Sync!$V1171),2),IFERROR(RIGHT("00"&amp;VALUE(LEFT(Sync!$V1171,FIND(":",Sync!$V1171)-1)),2)&amp;RIGHT("00"&amp;VALUE(MID(Sync!$V1171,FIND(":",Sync!$V1171)+1,2)),2),"0000"))))</f>
        <v/>
      </c>
    </row>
    <row r="1175">
      <c r="A1175">
        <f>IF(Sync!$U1172="","",Sync!$U1172)</f>
        <v/>
      </c>
      <c r="B1175">
        <f>IF($A1175="","",IF(ISNUMBER($A1175),IF(AND($A1175&gt;=10000101,$A1175&lt;=99991231),INT($A1175/10000),""),IFERROR(VALUE(TRIM(LEFT($A1175,FIND("/",$A1175)-1))),"")))</f>
        <v/>
      </c>
      <c r="C1175">
        <f>IF(OR($A1175="",$B1175=""),"",IF(ISNUMBER($A1175),INT(MOD($A1175,10000)/100),IFERROR(VALUE(TRIM(LEFT(MID($A1175,FIND("/",$A1175)+1,20),FIND("/",MID($A1175,FIND("/",$A1175)+1,20))-1))),"")))</f>
        <v/>
      </c>
      <c r="D1175">
        <f>IF(OR($A1175="",$B1175=""),"",IF(ISNUMBER($A1175),MOD($A1175,100),IFERROR(VALUE(TRIM(MID(MID($A1175,FIND("/",$A1175)+1,20),FIND("/",MID($A1175,FIND("/",$A1175)+1,20))+1,20))),"")))</f>
        <v/>
      </c>
      <c r="E1175">
        <f>IF($A1175="","",IF(OR($B1175="",$C1175="",$D1175="",$B1175&lt;1300,$B1175&gt;1500,$C1175&lt;1,$C1175&gt;12,$D1175&lt;1,$D1175&gt;31),"نامعتبر",RIGHT("0000"&amp;$B1175,4)&amp;"/"&amp;RIGHT("00"&amp;$C1175,2)&amp;"/"&amp;RIGHT("00"&amp;$D1175,2)))</f>
        <v/>
      </c>
      <c r="F1175">
        <f>IF(OR($E1175="",$E1175="نامعتبر"),"",LEFT($E1175,4)&amp;"/"&amp;MID($E1175,6,2))</f>
        <v/>
      </c>
      <c r="G1175">
        <f>IF(OR($E1175="",$E1175="نامعتبر",Sync!$Y1172=""),"",Sync!$Y1172)</f>
        <v/>
      </c>
      <c r="H1175">
        <f>IF($G1175="","",IF(Sync!$X1172="","",Sync!$X1172))</f>
        <v/>
      </c>
      <c r="I1175">
        <f>IF($G1175="","",IFERROR(VLOOKUP(Sync!$X1172,OpTbl,3,0),""))</f>
        <v/>
      </c>
      <c r="J1175">
        <f>IF(OR($G1175="",Sync!$Z1172=""),"",Sync!$Z1172)</f>
        <v/>
      </c>
      <c r="K1175">
        <f>IF(OR($G1175="",Sync!$AA1172=""),"",Sync!$AA1172)</f>
        <v/>
      </c>
      <c r="L1175">
        <f>IF($G1175="",0,IF(Sync!$AB1172="",0,Sync!$AB1172))</f>
        <v/>
      </c>
      <c r="M1175">
        <f>IF($G1175="",0,IF(Sync!$AC1172="",0,Sync!$AC1172))</f>
        <v/>
      </c>
      <c r="N1175">
        <f>IF($G1175="","",IF($H1175="مرجوعی خرید",-1,1)*($L1175-$M1175*IFERROR(VLOOKUP("P01",ParamTbl,3,0),1.5))*(1-IF($I1175="خرید",IFERROR(VLOOKUP("P02",ParamTbl,3,0),1),0)/100))</f>
        <v/>
      </c>
      <c r="O1175">
        <f>IF($G1175="",0,IF($H1175="مرجوعی خرید",-1,1)*IF(Sync!$AD1172="",0,Sync!$AD1172))</f>
        <v/>
      </c>
      <c r="P1175">
        <f>IF(OR($G1175="",Sync!$W1172=""),"",Sync!$W1172)</f>
        <v/>
      </c>
      <c r="Q1175">
        <f>IF(OR($G1175="",Sync!$AE1172=""),"",Sync!$AE1172)</f>
        <v/>
      </c>
      <c r="R1175">
        <f>IF($G1175="","",IF(Sync!$V1172="","0000",IF(AND(ISNUMBER(Sync!$V1172),Sync!$V1172&gt;=0,Sync!$V1172&lt;1),RIGHT("00"&amp;HOUR(Sync!$V1172),2)&amp;RIGHT("00"&amp;MINUTE(Sync!$V1172),2),IFERROR(RIGHT("00"&amp;VALUE(LEFT(Sync!$V1172,FIND(":",Sync!$V1172)-1)),2)&amp;RIGHT("00"&amp;VALUE(MID(Sync!$V1172,FIND(":",Sync!$V1172)+1,2)),2),"0000"))))</f>
        <v/>
      </c>
    </row>
    <row r="1176">
      <c r="A1176">
        <f>IF(Sync!$U1173="","",Sync!$U1173)</f>
        <v/>
      </c>
      <c r="B1176">
        <f>IF($A1176="","",IF(ISNUMBER($A1176),IF(AND($A1176&gt;=10000101,$A1176&lt;=99991231),INT($A1176/10000),""),IFERROR(VALUE(TRIM(LEFT($A1176,FIND("/",$A1176)-1))),"")))</f>
        <v/>
      </c>
      <c r="C1176">
        <f>IF(OR($A1176="",$B1176=""),"",IF(ISNUMBER($A1176),INT(MOD($A1176,10000)/100),IFERROR(VALUE(TRIM(LEFT(MID($A1176,FIND("/",$A1176)+1,20),FIND("/",MID($A1176,FIND("/",$A1176)+1,20))-1))),"")))</f>
        <v/>
      </c>
      <c r="D1176">
        <f>IF(OR($A1176="",$B1176=""),"",IF(ISNUMBER($A1176),MOD($A1176,100),IFERROR(VALUE(TRIM(MID(MID($A1176,FIND("/",$A1176)+1,20),FIND("/",MID($A1176,FIND("/",$A1176)+1,20))+1,20))),"")))</f>
        <v/>
      </c>
      <c r="E1176">
        <f>IF($A1176="","",IF(OR($B1176="",$C1176="",$D1176="",$B1176&lt;1300,$B1176&gt;1500,$C1176&lt;1,$C1176&gt;12,$D1176&lt;1,$D1176&gt;31),"نامعتبر",RIGHT("0000"&amp;$B1176,4)&amp;"/"&amp;RIGHT("00"&amp;$C1176,2)&amp;"/"&amp;RIGHT("00"&amp;$D1176,2)))</f>
        <v/>
      </c>
      <c r="F1176">
        <f>IF(OR($E1176="",$E1176="نامعتبر"),"",LEFT($E1176,4)&amp;"/"&amp;MID($E1176,6,2))</f>
        <v/>
      </c>
      <c r="G1176">
        <f>IF(OR($E1176="",$E1176="نامعتبر",Sync!$Y1173=""),"",Sync!$Y1173)</f>
        <v/>
      </c>
      <c r="H1176">
        <f>IF($G1176="","",IF(Sync!$X1173="","",Sync!$X1173))</f>
        <v/>
      </c>
      <c r="I1176">
        <f>IF($G1176="","",IFERROR(VLOOKUP(Sync!$X1173,OpTbl,3,0),""))</f>
        <v/>
      </c>
      <c r="J1176">
        <f>IF(OR($G1176="",Sync!$Z1173=""),"",Sync!$Z1173)</f>
        <v/>
      </c>
      <c r="K1176">
        <f>IF(OR($G1176="",Sync!$AA1173=""),"",Sync!$AA1173)</f>
        <v/>
      </c>
      <c r="L1176">
        <f>IF($G1176="",0,IF(Sync!$AB1173="",0,Sync!$AB1173))</f>
        <v/>
      </c>
      <c r="M1176">
        <f>IF($G1176="",0,IF(Sync!$AC1173="",0,Sync!$AC1173))</f>
        <v/>
      </c>
      <c r="N1176">
        <f>IF($G1176="","",IF($H1176="مرجوعی خرید",-1,1)*($L1176-$M1176*IFERROR(VLOOKUP("P01",ParamTbl,3,0),1.5))*(1-IF($I1176="خرید",IFERROR(VLOOKUP("P02",ParamTbl,3,0),1),0)/100))</f>
        <v/>
      </c>
      <c r="O1176">
        <f>IF($G1176="",0,IF($H1176="مرجوعی خرید",-1,1)*IF(Sync!$AD1173="",0,Sync!$AD1173))</f>
        <v/>
      </c>
      <c r="P1176">
        <f>IF(OR($G1176="",Sync!$W1173=""),"",Sync!$W1173)</f>
        <v/>
      </c>
      <c r="Q1176">
        <f>IF(OR($G1176="",Sync!$AE1173=""),"",Sync!$AE1173)</f>
        <v/>
      </c>
      <c r="R1176">
        <f>IF($G1176="","",IF(Sync!$V1173="","0000",IF(AND(ISNUMBER(Sync!$V1173),Sync!$V1173&gt;=0,Sync!$V1173&lt;1),RIGHT("00"&amp;HOUR(Sync!$V1173),2)&amp;RIGHT("00"&amp;MINUTE(Sync!$V1173),2),IFERROR(RIGHT("00"&amp;VALUE(LEFT(Sync!$V1173,FIND(":",Sync!$V1173)-1)),2)&amp;RIGHT("00"&amp;VALUE(MID(Sync!$V1173,FIND(":",Sync!$V1173)+1,2)),2),"0000"))))</f>
        <v/>
      </c>
    </row>
    <row r="1177">
      <c r="A1177">
        <f>IF(Sync!$U1174="","",Sync!$U1174)</f>
        <v/>
      </c>
      <c r="B1177">
        <f>IF($A1177="","",IF(ISNUMBER($A1177),IF(AND($A1177&gt;=10000101,$A1177&lt;=99991231),INT($A1177/10000),""),IFERROR(VALUE(TRIM(LEFT($A1177,FIND("/",$A1177)-1))),"")))</f>
        <v/>
      </c>
      <c r="C1177">
        <f>IF(OR($A1177="",$B1177=""),"",IF(ISNUMBER($A1177),INT(MOD($A1177,10000)/100),IFERROR(VALUE(TRIM(LEFT(MID($A1177,FIND("/",$A1177)+1,20),FIND("/",MID($A1177,FIND("/",$A1177)+1,20))-1))),"")))</f>
        <v/>
      </c>
      <c r="D1177">
        <f>IF(OR($A1177="",$B1177=""),"",IF(ISNUMBER($A1177),MOD($A1177,100),IFERROR(VALUE(TRIM(MID(MID($A1177,FIND("/",$A1177)+1,20),FIND("/",MID($A1177,FIND("/",$A1177)+1,20))+1,20))),"")))</f>
        <v/>
      </c>
      <c r="E1177">
        <f>IF($A1177="","",IF(OR($B1177="",$C1177="",$D1177="",$B1177&lt;1300,$B1177&gt;1500,$C1177&lt;1,$C1177&gt;12,$D1177&lt;1,$D1177&gt;31),"نامعتبر",RIGHT("0000"&amp;$B1177,4)&amp;"/"&amp;RIGHT("00"&amp;$C1177,2)&amp;"/"&amp;RIGHT("00"&amp;$D1177,2)))</f>
        <v/>
      </c>
      <c r="F1177">
        <f>IF(OR($E1177="",$E1177="نامعتبر"),"",LEFT($E1177,4)&amp;"/"&amp;MID($E1177,6,2))</f>
        <v/>
      </c>
      <c r="G1177">
        <f>IF(OR($E1177="",$E1177="نامعتبر",Sync!$Y1174=""),"",Sync!$Y1174)</f>
        <v/>
      </c>
      <c r="H1177">
        <f>IF($G1177="","",IF(Sync!$X1174="","",Sync!$X1174))</f>
        <v/>
      </c>
      <c r="I1177">
        <f>IF($G1177="","",IFERROR(VLOOKUP(Sync!$X1174,OpTbl,3,0),""))</f>
        <v/>
      </c>
      <c r="J1177">
        <f>IF(OR($G1177="",Sync!$Z1174=""),"",Sync!$Z1174)</f>
        <v/>
      </c>
      <c r="K1177">
        <f>IF(OR($G1177="",Sync!$AA1174=""),"",Sync!$AA1174)</f>
        <v/>
      </c>
      <c r="L1177">
        <f>IF($G1177="",0,IF(Sync!$AB1174="",0,Sync!$AB1174))</f>
        <v/>
      </c>
      <c r="M1177">
        <f>IF($G1177="",0,IF(Sync!$AC1174="",0,Sync!$AC1174))</f>
        <v/>
      </c>
      <c r="N1177">
        <f>IF($G1177="","",IF($H1177="مرجوعی خرید",-1,1)*($L1177-$M1177*IFERROR(VLOOKUP("P01",ParamTbl,3,0),1.5))*(1-IF($I1177="خرید",IFERROR(VLOOKUP("P02",ParamTbl,3,0),1),0)/100))</f>
        <v/>
      </c>
      <c r="O1177">
        <f>IF($G1177="",0,IF($H1177="مرجوعی خرید",-1,1)*IF(Sync!$AD1174="",0,Sync!$AD1174))</f>
        <v/>
      </c>
      <c r="P1177">
        <f>IF(OR($G1177="",Sync!$W1174=""),"",Sync!$W1174)</f>
        <v/>
      </c>
      <c r="Q1177">
        <f>IF(OR($G1177="",Sync!$AE1174=""),"",Sync!$AE1174)</f>
        <v/>
      </c>
      <c r="R1177">
        <f>IF($G1177="","",IF(Sync!$V1174="","0000",IF(AND(ISNUMBER(Sync!$V1174),Sync!$V1174&gt;=0,Sync!$V1174&lt;1),RIGHT("00"&amp;HOUR(Sync!$V1174),2)&amp;RIGHT("00"&amp;MINUTE(Sync!$V1174),2),IFERROR(RIGHT("00"&amp;VALUE(LEFT(Sync!$V1174,FIND(":",Sync!$V1174)-1)),2)&amp;RIGHT("00"&amp;VALUE(MID(Sync!$V1174,FIND(":",Sync!$V1174)+1,2)),2),"0000"))))</f>
        <v/>
      </c>
    </row>
    <row r="1178">
      <c r="A1178">
        <f>IF(Sync!$U1175="","",Sync!$U1175)</f>
        <v/>
      </c>
      <c r="B1178">
        <f>IF($A1178="","",IF(ISNUMBER($A1178),IF(AND($A1178&gt;=10000101,$A1178&lt;=99991231),INT($A1178/10000),""),IFERROR(VALUE(TRIM(LEFT($A1178,FIND("/",$A1178)-1))),"")))</f>
        <v/>
      </c>
      <c r="C1178">
        <f>IF(OR($A1178="",$B1178=""),"",IF(ISNUMBER($A1178),INT(MOD($A1178,10000)/100),IFERROR(VALUE(TRIM(LEFT(MID($A1178,FIND("/",$A1178)+1,20),FIND("/",MID($A1178,FIND("/",$A1178)+1,20))-1))),"")))</f>
        <v/>
      </c>
      <c r="D1178">
        <f>IF(OR($A1178="",$B1178=""),"",IF(ISNUMBER($A1178),MOD($A1178,100),IFERROR(VALUE(TRIM(MID(MID($A1178,FIND("/",$A1178)+1,20),FIND("/",MID($A1178,FIND("/",$A1178)+1,20))+1,20))),"")))</f>
        <v/>
      </c>
      <c r="E1178">
        <f>IF($A1178="","",IF(OR($B1178="",$C1178="",$D1178="",$B1178&lt;1300,$B1178&gt;1500,$C1178&lt;1,$C1178&gt;12,$D1178&lt;1,$D1178&gt;31),"نامعتبر",RIGHT("0000"&amp;$B1178,4)&amp;"/"&amp;RIGHT("00"&amp;$C1178,2)&amp;"/"&amp;RIGHT("00"&amp;$D1178,2)))</f>
        <v/>
      </c>
      <c r="F1178">
        <f>IF(OR($E1178="",$E1178="نامعتبر"),"",LEFT($E1178,4)&amp;"/"&amp;MID($E1178,6,2))</f>
        <v/>
      </c>
      <c r="G1178">
        <f>IF(OR($E1178="",$E1178="نامعتبر",Sync!$Y1175=""),"",Sync!$Y1175)</f>
        <v/>
      </c>
      <c r="H1178">
        <f>IF($G1178="","",IF(Sync!$X1175="","",Sync!$X1175))</f>
        <v/>
      </c>
      <c r="I1178">
        <f>IF($G1178="","",IFERROR(VLOOKUP(Sync!$X1175,OpTbl,3,0),""))</f>
        <v/>
      </c>
      <c r="J1178">
        <f>IF(OR($G1178="",Sync!$Z1175=""),"",Sync!$Z1175)</f>
        <v/>
      </c>
      <c r="K1178">
        <f>IF(OR($G1178="",Sync!$AA1175=""),"",Sync!$AA1175)</f>
        <v/>
      </c>
      <c r="L1178">
        <f>IF($G1178="",0,IF(Sync!$AB1175="",0,Sync!$AB1175))</f>
        <v/>
      </c>
      <c r="M1178">
        <f>IF($G1178="",0,IF(Sync!$AC1175="",0,Sync!$AC1175))</f>
        <v/>
      </c>
      <c r="N1178">
        <f>IF($G1178="","",IF($H1178="مرجوعی خرید",-1,1)*($L1178-$M1178*IFERROR(VLOOKUP("P01",ParamTbl,3,0),1.5))*(1-IF($I1178="خرید",IFERROR(VLOOKUP("P02",ParamTbl,3,0),1),0)/100))</f>
        <v/>
      </c>
      <c r="O1178">
        <f>IF($G1178="",0,IF($H1178="مرجوعی خرید",-1,1)*IF(Sync!$AD1175="",0,Sync!$AD1175))</f>
        <v/>
      </c>
      <c r="P1178">
        <f>IF(OR($G1178="",Sync!$W1175=""),"",Sync!$W1175)</f>
        <v/>
      </c>
      <c r="Q1178">
        <f>IF(OR($G1178="",Sync!$AE1175=""),"",Sync!$AE1175)</f>
        <v/>
      </c>
      <c r="R1178">
        <f>IF($G1178="","",IF(Sync!$V1175="","0000",IF(AND(ISNUMBER(Sync!$V1175),Sync!$V1175&gt;=0,Sync!$V1175&lt;1),RIGHT("00"&amp;HOUR(Sync!$V1175),2)&amp;RIGHT("00"&amp;MINUTE(Sync!$V1175),2),IFERROR(RIGHT("00"&amp;VALUE(LEFT(Sync!$V1175,FIND(":",Sync!$V1175)-1)),2)&amp;RIGHT("00"&amp;VALUE(MID(Sync!$V1175,FIND(":",Sync!$V1175)+1,2)),2),"0000"))))</f>
        <v/>
      </c>
    </row>
    <row r="1179">
      <c r="A1179">
        <f>IF(Sync!$U1176="","",Sync!$U1176)</f>
        <v/>
      </c>
      <c r="B1179">
        <f>IF($A1179="","",IF(ISNUMBER($A1179),IF(AND($A1179&gt;=10000101,$A1179&lt;=99991231),INT($A1179/10000),""),IFERROR(VALUE(TRIM(LEFT($A1179,FIND("/",$A1179)-1))),"")))</f>
        <v/>
      </c>
      <c r="C1179">
        <f>IF(OR($A1179="",$B1179=""),"",IF(ISNUMBER($A1179),INT(MOD($A1179,10000)/100),IFERROR(VALUE(TRIM(LEFT(MID($A1179,FIND("/",$A1179)+1,20),FIND("/",MID($A1179,FIND("/",$A1179)+1,20))-1))),"")))</f>
        <v/>
      </c>
      <c r="D1179">
        <f>IF(OR($A1179="",$B1179=""),"",IF(ISNUMBER($A1179),MOD($A1179,100),IFERROR(VALUE(TRIM(MID(MID($A1179,FIND("/",$A1179)+1,20),FIND("/",MID($A1179,FIND("/",$A1179)+1,20))+1,20))),"")))</f>
        <v/>
      </c>
      <c r="E1179">
        <f>IF($A1179="","",IF(OR($B1179="",$C1179="",$D1179="",$B1179&lt;1300,$B1179&gt;1500,$C1179&lt;1,$C1179&gt;12,$D1179&lt;1,$D1179&gt;31),"نامعتبر",RIGHT("0000"&amp;$B1179,4)&amp;"/"&amp;RIGHT("00"&amp;$C1179,2)&amp;"/"&amp;RIGHT("00"&amp;$D1179,2)))</f>
        <v/>
      </c>
      <c r="F1179">
        <f>IF(OR($E1179="",$E1179="نامعتبر"),"",LEFT($E1179,4)&amp;"/"&amp;MID($E1179,6,2))</f>
        <v/>
      </c>
      <c r="G1179">
        <f>IF(OR($E1179="",$E1179="نامعتبر",Sync!$Y1176=""),"",Sync!$Y1176)</f>
        <v/>
      </c>
      <c r="H1179">
        <f>IF($G1179="","",IF(Sync!$X1176="","",Sync!$X1176))</f>
        <v/>
      </c>
      <c r="I1179">
        <f>IF($G1179="","",IFERROR(VLOOKUP(Sync!$X1176,OpTbl,3,0),""))</f>
        <v/>
      </c>
      <c r="J1179">
        <f>IF(OR($G1179="",Sync!$Z1176=""),"",Sync!$Z1176)</f>
        <v/>
      </c>
      <c r="K1179">
        <f>IF(OR($G1179="",Sync!$AA1176=""),"",Sync!$AA1176)</f>
        <v/>
      </c>
      <c r="L1179">
        <f>IF($G1179="",0,IF(Sync!$AB1176="",0,Sync!$AB1176))</f>
        <v/>
      </c>
      <c r="M1179">
        <f>IF($G1179="",0,IF(Sync!$AC1176="",0,Sync!$AC1176))</f>
        <v/>
      </c>
      <c r="N1179">
        <f>IF($G1179="","",IF($H1179="مرجوعی خرید",-1,1)*($L1179-$M1179*IFERROR(VLOOKUP("P01",ParamTbl,3,0),1.5))*(1-IF($I1179="خرید",IFERROR(VLOOKUP("P02",ParamTbl,3,0),1),0)/100))</f>
        <v/>
      </c>
      <c r="O1179">
        <f>IF($G1179="",0,IF($H1179="مرجوعی خرید",-1,1)*IF(Sync!$AD1176="",0,Sync!$AD1176))</f>
        <v/>
      </c>
      <c r="P1179">
        <f>IF(OR($G1179="",Sync!$W1176=""),"",Sync!$W1176)</f>
        <v/>
      </c>
      <c r="Q1179">
        <f>IF(OR($G1179="",Sync!$AE1176=""),"",Sync!$AE1176)</f>
        <v/>
      </c>
      <c r="R1179">
        <f>IF($G1179="","",IF(Sync!$V1176="","0000",IF(AND(ISNUMBER(Sync!$V1176),Sync!$V1176&gt;=0,Sync!$V1176&lt;1),RIGHT("00"&amp;HOUR(Sync!$V1176),2)&amp;RIGHT("00"&amp;MINUTE(Sync!$V1176),2),IFERROR(RIGHT("00"&amp;VALUE(LEFT(Sync!$V1176,FIND(":",Sync!$V1176)-1)),2)&amp;RIGHT("00"&amp;VALUE(MID(Sync!$V1176,FIND(":",Sync!$V1176)+1,2)),2),"0000"))))</f>
        <v/>
      </c>
    </row>
    <row r="1180">
      <c r="A1180">
        <f>IF(Sync!$U1177="","",Sync!$U1177)</f>
        <v/>
      </c>
      <c r="B1180">
        <f>IF($A1180="","",IF(ISNUMBER($A1180),IF(AND($A1180&gt;=10000101,$A1180&lt;=99991231),INT($A1180/10000),""),IFERROR(VALUE(TRIM(LEFT($A1180,FIND("/",$A1180)-1))),"")))</f>
        <v/>
      </c>
      <c r="C1180">
        <f>IF(OR($A1180="",$B1180=""),"",IF(ISNUMBER($A1180),INT(MOD($A1180,10000)/100),IFERROR(VALUE(TRIM(LEFT(MID($A1180,FIND("/",$A1180)+1,20),FIND("/",MID($A1180,FIND("/",$A1180)+1,20))-1))),"")))</f>
        <v/>
      </c>
      <c r="D1180">
        <f>IF(OR($A1180="",$B1180=""),"",IF(ISNUMBER($A1180),MOD($A1180,100),IFERROR(VALUE(TRIM(MID(MID($A1180,FIND("/",$A1180)+1,20),FIND("/",MID($A1180,FIND("/",$A1180)+1,20))+1,20))),"")))</f>
        <v/>
      </c>
      <c r="E1180">
        <f>IF($A1180="","",IF(OR($B1180="",$C1180="",$D1180="",$B1180&lt;1300,$B1180&gt;1500,$C1180&lt;1,$C1180&gt;12,$D1180&lt;1,$D1180&gt;31),"نامعتبر",RIGHT("0000"&amp;$B1180,4)&amp;"/"&amp;RIGHT("00"&amp;$C1180,2)&amp;"/"&amp;RIGHT("00"&amp;$D1180,2)))</f>
        <v/>
      </c>
      <c r="F1180">
        <f>IF(OR($E1180="",$E1180="نامعتبر"),"",LEFT($E1180,4)&amp;"/"&amp;MID($E1180,6,2))</f>
        <v/>
      </c>
      <c r="G1180">
        <f>IF(OR($E1180="",$E1180="نامعتبر",Sync!$Y1177=""),"",Sync!$Y1177)</f>
        <v/>
      </c>
      <c r="H1180">
        <f>IF($G1180="","",IF(Sync!$X1177="","",Sync!$X1177))</f>
        <v/>
      </c>
      <c r="I1180">
        <f>IF($G1180="","",IFERROR(VLOOKUP(Sync!$X1177,OpTbl,3,0),""))</f>
        <v/>
      </c>
      <c r="J1180">
        <f>IF(OR($G1180="",Sync!$Z1177=""),"",Sync!$Z1177)</f>
        <v/>
      </c>
      <c r="K1180">
        <f>IF(OR($G1180="",Sync!$AA1177=""),"",Sync!$AA1177)</f>
        <v/>
      </c>
      <c r="L1180">
        <f>IF($G1180="",0,IF(Sync!$AB1177="",0,Sync!$AB1177))</f>
        <v/>
      </c>
      <c r="M1180">
        <f>IF($G1180="",0,IF(Sync!$AC1177="",0,Sync!$AC1177))</f>
        <v/>
      </c>
      <c r="N1180">
        <f>IF($G1180="","",IF($H1180="مرجوعی خرید",-1,1)*($L1180-$M1180*IFERROR(VLOOKUP("P01",ParamTbl,3,0),1.5))*(1-IF($I1180="خرید",IFERROR(VLOOKUP("P02",ParamTbl,3,0),1),0)/100))</f>
        <v/>
      </c>
      <c r="O1180">
        <f>IF($G1180="",0,IF($H1180="مرجوعی خرید",-1,1)*IF(Sync!$AD1177="",0,Sync!$AD1177))</f>
        <v/>
      </c>
      <c r="P1180">
        <f>IF(OR($G1180="",Sync!$W1177=""),"",Sync!$W1177)</f>
        <v/>
      </c>
      <c r="Q1180">
        <f>IF(OR($G1180="",Sync!$AE1177=""),"",Sync!$AE1177)</f>
        <v/>
      </c>
      <c r="R1180">
        <f>IF($G1180="","",IF(Sync!$V1177="","0000",IF(AND(ISNUMBER(Sync!$V1177),Sync!$V1177&gt;=0,Sync!$V1177&lt;1),RIGHT("00"&amp;HOUR(Sync!$V1177),2)&amp;RIGHT("00"&amp;MINUTE(Sync!$V1177),2),IFERROR(RIGHT("00"&amp;VALUE(LEFT(Sync!$V1177,FIND(":",Sync!$V1177)-1)),2)&amp;RIGHT("00"&amp;VALUE(MID(Sync!$V1177,FIND(":",Sync!$V1177)+1,2)),2),"0000"))))</f>
        <v/>
      </c>
    </row>
    <row r="1181">
      <c r="A1181">
        <f>IF(Sync!$U1178="","",Sync!$U1178)</f>
        <v/>
      </c>
      <c r="B1181">
        <f>IF($A1181="","",IF(ISNUMBER($A1181),IF(AND($A1181&gt;=10000101,$A1181&lt;=99991231),INT($A1181/10000),""),IFERROR(VALUE(TRIM(LEFT($A1181,FIND("/",$A1181)-1))),"")))</f>
        <v/>
      </c>
      <c r="C1181">
        <f>IF(OR($A1181="",$B1181=""),"",IF(ISNUMBER($A1181),INT(MOD($A1181,10000)/100),IFERROR(VALUE(TRIM(LEFT(MID($A1181,FIND("/",$A1181)+1,20),FIND("/",MID($A1181,FIND("/",$A1181)+1,20))-1))),"")))</f>
        <v/>
      </c>
      <c r="D1181">
        <f>IF(OR($A1181="",$B1181=""),"",IF(ISNUMBER($A1181),MOD($A1181,100),IFERROR(VALUE(TRIM(MID(MID($A1181,FIND("/",$A1181)+1,20),FIND("/",MID($A1181,FIND("/",$A1181)+1,20))+1,20))),"")))</f>
        <v/>
      </c>
      <c r="E1181">
        <f>IF($A1181="","",IF(OR($B1181="",$C1181="",$D1181="",$B1181&lt;1300,$B1181&gt;1500,$C1181&lt;1,$C1181&gt;12,$D1181&lt;1,$D1181&gt;31),"نامعتبر",RIGHT("0000"&amp;$B1181,4)&amp;"/"&amp;RIGHT("00"&amp;$C1181,2)&amp;"/"&amp;RIGHT("00"&amp;$D1181,2)))</f>
        <v/>
      </c>
      <c r="F1181">
        <f>IF(OR($E1181="",$E1181="نامعتبر"),"",LEFT($E1181,4)&amp;"/"&amp;MID($E1181,6,2))</f>
        <v/>
      </c>
      <c r="G1181">
        <f>IF(OR($E1181="",$E1181="نامعتبر",Sync!$Y1178=""),"",Sync!$Y1178)</f>
        <v/>
      </c>
      <c r="H1181">
        <f>IF($G1181="","",IF(Sync!$X1178="","",Sync!$X1178))</f>
        <v/>
      </c>
      <c r="I1181">
        <f>IF($G1181="","",IFERROR(VLOOKUP(Sync!$X1178,OpTbl,3,0),""))</f>
        <v/>
      </c>
      <c r="J1181">
        <f>IF(OR($G1181="",Sync!$Z1178=""),"",Sync!$Z1178)</f>
        <v/>
      </c>
      <c r="K1181">
        <f>IF(OR($G1181="",Sync!$AA1178=""),"",Sync!$AA1178)</f>
        <v/>
      </c>
      <c r="L1181">
        <f>IF($G1181="",0,IF(Sync!$AB1178="",0,Sync!$AB1178))</f>
        <v/>
      </c>
      <c r="M1181">
        <f>IF($G1181="",0,IF(Sync!$AC1178="",0,Sync!$AC1178))</f>
        <v/>
      </c>
      <c r="N1181">
        <f>IF($G1181="","",IF($H1181="مرجوعی خرید",-1,1)*($L1181-$M1181*IFERROR(VLOOKUP("P01",ParamTbl,3,0),1.5))*(1-IF($I1181="خرید",IFERROR(VLOOKUP("P02",ParamTbl,3,0),1),0)/100))</f>
        <v/>
      </c>
      <c r="O1181">
        <f>IF($G1181="",0,IF($H1181="مرجوعی خرید",-1,1)*IF(Sync!$AD1178="",0,Sync!$AD1178))</f>
        <v/>
      </c>
      <c r="P1181">
        <f>IF(OR($G1181="",Sync!$W1178=""),"",Sync!$W1178)</f>
        <v/>
      </c>
      <c r="Q1181">
        <f>IF(OR($G1181="",Sync!$AE1178=""),"",Sync!$AE1178)</f>
        <v/>
      </c>
      <c r="R1181">
        <f>IF($G1181="","",IF(Sync!$V1178="","0000",IF(AND(ISNUMBER(Sync!$V1178),Sync!$V1178&gt;=0,Sync!$V1178&lt;1),RIGHT("00"&amp;HOUR(Sync!$V1178),2)&amp;RIGHT("00"&amp;MINUTE(Sync!$V1178),2),IFERROR(RIGHT("00"&amp;VALUE(LEFT(Sync!$V1178,FIND(":",Sync!$V1178)-1)),2)&amp;RIGHT("00"&amp;VALUE(MID(Sync!$V1178,FIND(":",Sync!$V1178)+1,2)),2),"0000"))))</f>
        <v/>
      </c>
    </row>
    <row r="1182">
      <c r="A1182">
        <f>IF(Sync!$U1179="","",Sync!$U1179)</f>
        <v/>
      </c>
      <c r="B1182">
        <f>IF($A1182="","",IF(ISNUMBER($A1182),IF(AND($A1182&gt;=10000101,$A1182&lt;=99991231),INT($A1182/10000),""),IFERROR(VALUE(TRIM(LEFT($A1182,FIND("/",$A1182)-1))),"")))</f>
        <v/>
      </c>
      <c r="C1182">
        <f>IF(OR($A1182="",$B1182=""),"",IF(ISNUMBER($A1182),INT(MOD($A1182,10000)/100),IFERROR(VALUE(TRIM(LEFT(MID($A1182,FIND("/",$A1182)+1,20),FIND("/",MID($A1182,FIND("/",$A1182)+1,20))-1))),"")))</f>
        <v/>
      </c>
      <c r="D1182">
        <f>IF(OR($A1182="",$B1182=""),"",IF(ISNUMBER($A1182),MOD($A1182,100),IFERROR(VALUE(TRIM(MID(MID($A1182,FIND("/",$A1182)+1,20),FIND("/",MID($A1182,FIND("/",$A1182)+1,20))+1,20))),"")))</f>
        <v/>
      </c>
      <c r="E1182">
        <f>IF($A1182="","",IF(OR($B1182="",$C1182="",$D1182="",$B1182&lt;1300,$B1182&gt;1500,$C1182&lt;1,$C1182&gt;12,$D1182&lt;1,$D1182&gt;31),"نامعتبر",RIGHT("0000"&amp;$B1182,4)&amp;"/"&amp;RIGHT("00"&amp;$C1182,2)&amp;"/"&amp;RIGHT("00"&amp;$D1182,2)))</f>
        <v/>
      </c>
      <c r="F1182">
        <f>IF(OR($E1182="",$E1182="نامعتبر"),"",LEFT($E1182,4)&amp;"/"&amp;MID($E1182,6,2))</f>
        <v/>
      </c>
      <c r="G1182">
        <f>IF(OR($E1182="",$E1182="نامعتبر",Sync!$Y1179=""),"",Sync!$Y1179)</f>
        <v/>
      </c>
      <c r="H1182">
        <f>IF($G1182="","",IF(Sync!$X1179="","",Sync!$X1179))</f>
        <v/>
      </c>
      <c r="I1182">
        <f>IF($G1182="","",IFERROR(VLOOKUP(Sync!$X1179,OpTbl,3,0),""))</f>
        <v/>
      </c>
      <c r="J1182">
        <f>IF(OR($G1182="",Sync!$Z1179=""),"",Sync!$Z1179)</f>
        <v/>
      </c>
      <c r="K1182">
        <f>IF(OR($G1182="",Sync!$AA1179=""),"",Sync!$AA1179)</f>
        <v/>
      </c>
      <c r="L1182">
        <f>IF($G1182="",0,IF(Sync!$AB1179="",0,Sync!$AB1179))</f>
        <v/>
      </c>
      <c r="M1182">
        <f>IF($G1182="",0,IF(Sync!$AC1179="",0,Sync!$AC1179))</f>
        <v/>
      </c>
      <c r="N1182">
        <f>IF($G1182="","",IF($H1182="مرجوعی خرید",-1,1)*($L1182-$M1182*IFERROR(VLOOKUP("P01",ParamTbl,3,0),1.5))*(1-IF($I1182="خرید",IFERROR(VLOOKUP("P02",ParamTbl,3,0),1),0)/100))</f>
        <v/>
      </c>
      <c r="O1182">
        <f>IF($G1182="",0,IF($H1182="مرجوعی خرید",-1,1)*IF(Sync!$AD1179="",0,Sync!$AD1179))</f>
        <v/>
      </c>
      <c r="P1182">
        <f>IF(OR($G1182="",Sync!$W1179=""),"",Sync!$W1179)</f>
        <v/>
      </c>
      <c r="Q1182">
        <f>IF(OR($G1182="",Sync!$AE1179=""),"",Sync!$AE1179)</f>
        <v/>
      </c>
      <c r="R1182">
        <f>IF($G1182="","",IF(Sync!$V1179="","0000",IF(AND(ISNUMBER(Sync!$V1179),Sync!$V1179&gt;=0,Sync!$V1179&lt;1),RIGHT("00"&amp;HOUR(Sync!$V1179),2)&amp;RIGHT("00"&amp;MINUTE(Sync!$V1179),2),IFERROR(RIGHT("00"&amp;VALUE(LEFT(Sync!$V1179,FIND(":",Sync!$V1179)-1)),2)&amp;RIGHT("00"&amp;VALUE(MID(Sync!$V1179,FIND(":",Sync!$V1179)+1,2)),2),"0000"))))</f>
        <v/>
      </c>
    </row>
    <row r="1183">
      <c r="A1183">
        <f>IF(Sync!$U1180="","",Sync!$U1180)</f>
        <v/>
      </c>
      <c r="B1183">
        <f>IF($A1183="","",IF(ISNUMBER($A1183),IF(AND($A1183&gt;=10000101,$A1183&lt;=99991231),INT($A1183/10000),""),IFERROR(VALUE(TRIM(LEFT($A1183,FIND("/",$A1183)-1))),"")))</f>
        <v/>
      </c>
      <c r="C1183">
        <f>IF(OR($A1183="",$B1183=""),"",IF(ISNUMBER($A1183),INT(MOD($A1183,10000)/100),IFERROR(VALUE(TRIM(LEFT(MID($A1183,FIND("/",$A1183)+1,20),FIND("/",MID($A1183,FIND("/",$A1183)+1,20))-1))),"")))</f>
        <v/>
      </c>
      <c r="D1183">
        <f>IF(OR($A1183="",$B1183=""),"",IF(ISNUMBER($A1183),MOD($A1183,100),IFERROR(VALUE(TRIM(MID(MID($A1183,FIND("/",$A1183)+1,20),FIND("/",MID($A1183,FIND("/",$A1183)+1,20))+1,20))),"")))</f>
        <v/>
      </c>
      <c r="E1183">
        <f>IF($A1183="","",IF(OR($B1183="",$C1183="",$D1183="",$B1183&lt;1300,$B1183&gt;1500,$C1183&lt;1,$C1183&gt;12,$D1183&lt;1,$D1183&gt;31),"نامعتبر",RIGHT("0000"&amp;$B1183,4)&amp;"/"&amp;RIGHT("00"&amp;$C1183,2)&amp;"/"&amp;RIGHT("00"&amp;$D1183,2)))</f>
        <v/>
      </c>
      <c r="F1183">
        <f>IF(OR($E1183="",$E1183="نامعتبر"),"",LEFT($E1183,4)&amp;"/"&amp;MID($E1183,6,2))</f>
        <v/>
      </c>
      <c r="G1183">
        <f>IF(OR($E1183="",$E1183="نامعتبر",Sync!$Y1180=""),"",Sync!$Y1180)</f>
        <v/>
      </c>
      <c r="H1183">
        <f>IF($G1183="","",IF(Sync!$X1180="","",Sync!$X1180))</f>
        <v/>
      </c>
      <c r="I1183">
        <f>IF($G1183="","",IFERROR(VLOOKUP(Sync!$X1180,OpTbl,3,0),""))</f>
        <v/>
      </c>
      <c r="J1183">
        <f>IF(OR($G1183="",Sync!$Z1180=""),"",Sync!$Z1180)</f>
        <v/>
      </c>
      <c r="K1183">
        <f>IF(OR($G1183="",Sync!$AA1180=""),"",Sync!$AA1180)</f>
        <v/>
      </c>
      <c r="L1183">
        <f>IF($G1183="",0,IF(Sync!$AB1180="",0,Sync!$AB1180))</f>
        <v/>
      </c>
      <c r="M1183">
        <f>IF($G1183="",0,IF(Sync!$AC1180="",0,Sync!$AC1180))</f>
        <v/>
      </c>
      <c r="N1183">
        <f>IF($G1183="","",IF($H1183="مرجوعی خرید",-1,1)*($L1183-$M1183*IFERROR(VLOOKUP("P01",ParamTbl,3,0),1.5))*(1-IF($I1183="خرید",IFERROR(VLOOKUP("P02",ParamTbl,3,0),1),0)/100))</f>
        <v/>
      </c>
      <c r="O1183">
        <f>IF($G1183="",0,IF($H1183="مرجوعی خرید",-1,1)*IF(Sync!$AD1180="",0,Sync!$AD1180))</f>
        <v/>
      </c>
      <c r="P1183">
        <f>IF(OR($G1183="",Sync!$W1180=""),"",Sync!$W1180)</f>
        <v/>
      </c>
      <c r="Q1183">
        <f>IF(OR($G1183="",Sync!$AE1180=""),"",Sync!$AE1180)</f>
        <v/>
      </c>
      <c r="R1183">
        <f>IF($G1183="","",IF(Sync!$V1180="","0000",IF(AND(ISNUMBER(Sync!$V1180),Sync!$V1180&gt;=0,Sync!$V1180&lt;1),RIGHT("00"&amp;HOUR(Sync!$V1180),2)&amp;RIGHT("00"&amp;MINUTE(Sync!$V1180),2),IFERROR(RIGHT("00"&amp;VALUE(LEFT(Sync!$V1180,FIND(":",Sync!$V1180)-1)),2)&amp;RIGHT("00"&amp;VALUE(MID(Sync!$V1180,FIND(":",Sync!$V1180)+1,2)),2),"0000"))))</f>
        <v/>
      </c>
    </row>
    <row r="1184">
      <c r="A1184">
        <f>IF(Sync!$U1181="","",Sync!$U1181)</f>
        <v/>
      </c>
      <c r="B1184">
        <f>IF($A1184="","",IF(ISNUMBER($A1184),IF(AND($A1184&gt;=10000101,$A1184&lt;=99991231),INT($A1184/10000),""),IFERROR(VALUE(TRIM(LEFT($A1184,FIND("/",$A1184)-1))),"")))</f>
        <v/>
      </c>
      <c r="C1184">
        <f>IF(OR($A1184="",$B1184=""),"",IF(ISNUMBER($A1184),INT(MOD($A1184,10000)/100),IFERROR(VALUE(TRIM(LEFT(MID($A1184,FIND("/",$A1184)+1,20),FIND("/",MID($A1184,FIND("/",$A1184)+1,20))-1))),"")))</f>
        <v/>
      </c>
      <c r="D1184">
        <f>IF(OR($A1184="",$B1184=""),"",IF(ISNUMBER($A1184),MOD($A1184,100),IFERROR(VALUE(TRIM(MID(MID($A1184,FIND("/",$A1184)+1,20),FIND("/",MID($A1184,FIND("/",$A1184)+1,20))+1,20))),"")))</f>
        <v/>
      </c>
      <c r="E1184">
        <f>IF($A1184="","",IF(OR($B1184="",$C1184="",$D1184="",$B1184&lt;1300,$B1184&gt;1500,$C1184&lt;1,$C1184&gt;12,$D1184&lt;1,$D1184&gt;31),"نامعتبر",RIGHT("0000"&amp;$B1184,4)&amp;"/"&amp;RIGHT("00"&amp;$C1184,2)&amp;"/"&amp;RIGHT("00"&amp;$D1184,2)))</f>
        <v/>
      </c>
      <c r="F1184">
        <f>IF(OR($E1184="",$E1184="نامعتبر"),"",LEFT($E1184,4)&amp;"/"&amp;MID($E1184,6,2))</f>
        <v/>
      </c>
      <c r="G1184">
        <f>IF(OR($E1184="",$E1184="نامعتبر",Sync!$Y1181=""),"",Sync!$Y1181)</f>
        <v/>
      </c>
      <c r="H1184">
        <f>IF($G1184="","",IF(Sync!$X1181="","",Sync!$X1181))</f>
        <v/>
      </c>
      <c r="I1184">
        <f>IF($G1184="","",IFERROR(VLOOKUP(Sync!$X1181,OpTbl,3,0),""))</f>
        <v/>
      </c>
      <c r="J1184">
        <f>IF(OR($G1184="",Sync!$Z1181=""),"",Sync!$Z1181)</f>
        <v/>
      </c>
      <c r="K1184">
        <f>IF(OR($G1184="",Sync!$AA1181=""),"",Sync!$AA1181)</f>
        <v/>
      </c>
      <c r="L1184">
        <f>IF($G1184="",0,IF(Sync!$AB1181="",0,Sync!$AB1181))</f>
        <v/>
      </c>
      <c r="M1184">
        <f>IF($G1184="",0,IF(Sync!$AC1181="",0,Sync!$AC1181))</f>
        <v/>
      </c>
      <c r="N1184">
        <f>IF($G1184="","",IF($H1184="مرجوعی خرید",-1,1)*($L1184-$M1184*IFERROR(VLOOKUP("P01",ParamTbl,3,0),1.5))*(1-IF($I1184="خرید",IFERROR(VLOOKUP("P02",ParamTbl,3,0),1),0)/100))</f>
        <v/>
      </c>
      <c r="O1184">
        <f>IF($G1184="",0,IF($H1184="مرجوعی خرید",-1,1)*IF(Sync!$AD1181="",0,Sync!$AD1181))</f>
        <v/>
      </c>
      <c r="P1184">
        <f>IF(OR($G1184="",Sync!$W1181=""),"",Sync!$W1181)</f>
        <v/>
      </c>
      <c r="Q1184">
        <f>IF(OR($G1184="",Sync!$AE1181=""),"",Sync!$AE1181)</f>
        <v/>
      </c>
      <c r="R1184">
        <f>IF($G1184="","",IF(Sync!$V1181="","0000",IF(AND(ISNUMBER(Sync!$V1181),Sync!$V1181&gt;=0,Sync!$V1181&lt;1),RIGHT("00"&amp;HOUR(Sync!$V1181),2)&amp;RIGHT("00"&amp;MINUTE(Sync!$V1181),2),IFERROR(RIGHT("00"&amp;VALUE(LEFT(Sync!$V1181,FIND(":",Sync!$V1181)-1)),2)&amp;RIGHT("00"&amp;VALUE(MID(Sync!$V1181,FIND(":",Sync!$V1181)+1,2)),2),"0000"))))</f>
        <v/>
      </c>
    </row>
    <row r="1185">
      <c r="A1185">
        <f>IF(Sync!$U1182="","",Sync!$U1182)</f>
        <v/>
      </c>
      <c r="B1185">
        <f>IF($A1185="","",IF(ISNUMBER($A1185),IF(AND($A1185&gt;=10000101,$A1185&lt;=99991231),INT($A1185/10000),""),IFERROR(VALUE(TRIM(LEFT($A1185,FIND("/",$A1185)-1))),"")))</f>
        <v/>
      </c>
      <c r="C1185">
        <f>IF(OR($A1185="",$B1185=""),"",IF(ISNUMBER($A1185),INT(MOD($A1185,10000)/100),IFERROR(VALUE(TRIM(LEFT(MID($A1185,FIND("/",$A1185)+1,20),FIND("/",MID($A1185,FIND("/",$A1185)+1,20))-1))),"")))</f>
        <v/>
      </c>
      <c r="D1185">
        <f>IF(OR($A1185="",$B1185=""),"",IF(ISNUMBER($A1185),MOD($A1185,100),IFERROR(VALUE(TRIM(MID(MID($A1185,FIND("/",$A1185)+1,20),FIND("/",MID($A1185,FIND("/",$A1185)+1,20))+1,20))),"")))</f>
        <v/>
      </c>
      <c r="E1185">
        <f>IF($A1185="","",IF(OR($B1185="",$C1185="",$D1185="",$B1185&lt;1300,$B1185&gt;1500,$C1185&lt;1,$C1185&gt;12,$D1185&lt;1,$D1185&gt;31),"نامعتبر",RIGHT("0000"&amp;$B1185,4)&amp;"/"&amp;RIGHT("00"&amp;$C1185,2)&amp;"/"&amp;RIGHT("00"&amp;$D1185,2)))</f>
        <v/>
      </c>
      <c r="F1185">
        <f>IF(OR($E1185="",$E1185="نامعتبر"),"",LEFT($E1185,4)&amp;"/"&amp;MID($E1185,6,2))</f>
        <v/>
      </c>
      <c r="G1185">
        <f>IF(OR($E1185="",$E1185="نامعتبر",Sync!$Y1182=""),"",Sync!$Y1182)</f>
        <v/>
      </c>
      <c r="H1185">
        <f>IF($G1185="","",IF(Sync!$X1182="","",Sync!$X1182))</f>
        <v/>
      </c>
      <c r="I1185">
        <f>IF($G1185="","",IFERROR(VLOOKUP(Sync!$X1182,OpTbl,3,0),""))</f>
        <v/>
      </c>
      <c r="J1185">
        <f>IF(OR($G1185="",Sync!$Z1182=""),"",Sync!$Z1182)</f>
        <v/>
      </c>
      <c r="K1185">
        <f>IF(OR($G1185="",Sync!$AA1182=""),"",Sync!$AA1182)</f>
        <v/>
      </c>
      <c r="L1185">
        <f>IF($G1185="",0,IF(Sync!$AB1182="",0,Sync!$AB1182))</f>
        <v/>
      </c>
      <c r="M1185">
        <f>IF($G1185="",0,IF(Sync!$AC1182="",0,Sync!$AC1182))</f>
        <v/>
      </c>
      <c r="N1185">
        <f>IF($G1185="","",IF($H1185="مرجوعی خرید",-1,1)*($L1185-$M1185*IFERROR(VLOOKUP("P01",ParamTbl,3,0),1.5))*(1-IF($I1185="خرید",IFERROR(VLOOKUP("P02",ParamTbl,3,0),1),0)/100))</f>
        <v/>
      </c>
      <c r="O1185">
        <f>IF($G1185="",0,IF($H1185="مرجوعی خرید",-1,1)*IF(Sync!$AD1182="",0,Sync!$AD1182))</f>
        <v/>
      </c>
      <c r="P1185">
        <f>IF(OR($G1185="",Sync!$W1182=""),"",Sync!$W1182)</f>
        <v/>
      </c>
      <c r="Q1185">
        <f>IF(OR($G1185="",Sync!$AE1182=""),"",Sync!$AE1182)</f>
        <v/>
      </c>
      <c r="R1185">
        <f>IF($G1185="","",IF(Sync!$V1182="","0000",IF(AND(ISNUMBER(Sync!$V1182),Sync!$V1182&gt;=0,Sync!$V1182&lt;1),RIGHT("00"&amp;HOUR(Sync!$V1182),2)&amp;RIGHT("00"&amp;MINUTE(Sync!$V1182),2),IFERROR(RIGHT("00"&amp;VALUE(LEFT(Sync!$V1182,FIND(":",Sync!$V1182)-1)),2)&amp;RIGHT("00"&amp;VALUE(MID(Sync!$V1182,FIND(":",Sync!$V1182)+1,2)),2),"0000"))))</f>
        <v/>
      </c>
    </row>
    <row r="1186">
      <c r="A1186">
        <f>IF(Sync!$U1183="","",Sync!$U1183)</f>
        <v/>
      </c>
      <c r="B1186">
        <f>IF($A1186="","",IF(ISNUMBER($A1186),IF(AND($A1186&gt;=10000101,$A1186&lt;=99991231),INT($A1186/10000),""),IFERROR(VALUE(TRIM(LEFT($A1186,FIND("/",$A1186)-1))),"")))</f>
        <v/>
      </c>
      <c r="C1186">
        <f>IF(OR($A1186="",$B1186=""),"",IF(ISNUMBER($A1186),INT(MOD($A1186,10000)/100),IFERROR(VALUE(TRIM(LEFT(MID($A1186,FIND("/",$A1186)+1,20),FIND("/",MID($A1186,FIND("/",$A1186)+1,20))-1))),"")))</f>
        <v/>
      </c>
      <c r="D1186">
        <f>IF(OR($A1186="",$B1186=""),"",IF(ISNUMBER($A1186),MOD($A1186,100),IFERROR(VALUE(TRIM(MID(MID($A1186,FIND("/",$A1186)+1,20),FIND("/",MID($A1186,FIND("/",$A1186)+1,20))+1,20))),"")))</f>
        <v/>
      </c>
      <c r="E1186">
        <f>IF($A1186="","",IF(OR($B1186="",$C1186="",$D1186="",$B1186&lt;1300,$B1186&gt;1500,$C1186&lt;1,$C1186&gt;12,$D1186&lt;1,$D1186&gt;31),"نامعتبر",RIGHT("0000"&amp;$B1186,4)&amp;"/"&amp;RIGHT("00"&amp;$C1186,2)&amp;"/"&amp;RIGHT("00"&amp;$D1186,2)))</f>
        <v/>
      </c>
      <c r="F1186">
        <f>IF(OR($E1186="",$E1186="نامعتبر"),"",LEFT($E1186,4)&amp;"/"&amp;MID($E1186,6,2))</f>
        <v/>
      </c>
      <c r="G1186">
        <f>IF(OR($E1186="",$E1186="نامعتبر",Sync!$Y1183=""),"",Sync!$Y1183)</f>
        <v/>
      </c>
      <c r="H1186">
        <f>IF($G1186="","",IF(Sync!$X1183="","",Sync!$X1183))</f>
        <v/>
      </c>
      <c r="I1186">
        <f>IF($G1186="","",IFERROR(VLOOKUP(Sync!$X1183,OpTbl,3,0),""))</f>
        <v/>
      </c>
      <c r="J1186">
        <f>IF(OR($G1186="",Sync!$Z1183=""),"",Sync!$Z1183)</f>
        <v/>
      </c>
      <c r="K1186">
        <f>IF(OR($G1186="",Sync!$AA1183=""),"",Sync!$AA1183)</f>
        <v/>
      </c>
      <c r="L1186">
        <f>IF($G1186="",0,IF(Sync!$AB1183="",0,Sync!$AB1183))</f>
        <v/>
      </c>
      <c r="M1186">
        <f>IF($G1186="",0,IF(Sync!$AC1183="",0,Sync!$AC1183))</f>
        <v/>
      </c>
      <c r="N1186">
        <f>IF($G1186="","",IF($H1186="مرجوعی خرید",-1,1)*($L1186-$M1186*IFERROR(VLOOKUP("P01",ParamTbl,3,0),1.5))*(1-IF($I1186="خرید",IFERROR(VLOOKUP("P02",ParamTbl,3,0),1),0)/100))</f>
        <v/>
      </c>
      <c r="O1186">
        <f>IF($G1186="",0,IF($H1186="مرجوعی خرید",-1,1)*IF(Sync!$AD1183="",0,Sync!$AD1183))</f>
        <v/>
      </c>
      <c r="P1186">
        <f>IF(OR($G1186="",Sync!$W1183=""),"",Sync!$W1183)</f>
        <v/>
      </c>
      <c r="Q1186">
        <f>IF(OR($G1186="",Sync!$AE1183=""),"",Sync!$AE1183)</f>
        <v/>
      </c>
      <c r="R1186">
        <f>IF($G1186="","",IF(Sync!$V1183="","0000",IF(AND(ISNUMBER(Sync!$V1183),Sync!$V1183&gt;=0,Sync!$V1183&lt;1),RIGHT("00"&amp;HOUR(Sync!$V1183),2)&amp;RIGHT("00"&amp;MINUTE(Sync!$V1183),2),IFERROR(RIGHT("00"&amp;VALUE(LEFT(Sync!$V1183,FIND(":",Sync!$V1183)-1)),2)&amp;RIGHT("00"&amp;VALUE(MID(Sync!$V1183,FIND(":",Sync!$V1183)+1,2)),2),"0000"))))</f>
        <v/>
      </c>
    </row>
    <row r="1187">
      <c r="A1187">
        <f>IF(Sync!$U1184="","",Sync!$U1184)</f>
        <v/>
      </c>
      <c r="B1187">
        <f>IF($A1187="","",IF(ISNUMBER($A1187),IF(AND($A1187&gt;=10000101,$A1187&lt;=99991231),INT($A1187/10000),""),IFERROR(VALUE(TRIM(LEFT($A1187,FIND("/",$A1187)-1))),"")))</f>
        <v/>
      </c>
      <c r="C1187">
        <f>IF(OR($A1187="",$B1187=""),"",IF(ISNUMBER($A1187),INT(MOD($A1187,10000)/100),IFERROR(VALUE(TRIM(LEFT(MID($A1187,FIND("/",$A1187)+1,20),FIND("/",MID($A1187,FIND("/",$A1187)+1,20))-1))),"")))</f>
        <v/>
      </c>
      <c r="D1187">
        <f>IF(OR($A1187="",$B1187=""),"",IF(ISNUMBER($A1187),MOD($A1187,100),IFERROR(VALUE(TRIM(MID(MID($A1187,FIND("/",$A1187)+1,20),FIND("/",MID($A1187,FIND("/",$A1187)+1,20))+1,20))),"")))</f>
        <v/>
      </c>
      <c r="E1187">
        <f>IF($A1187="","",IF(OR($B1187="",$C1187="",$D1187="",$B1187&lt;1300,$B1187&gt;1500,$C1187&lt;1,$C1187&gt;12,$D1187&lt;1,$D1187&gt;31),"نامعتبر",RIGHT("0000"&amp;$B1187,4)&amp;"/"&amp;RIGHT("00"&amp;$C1187,2)&amp;"/"&amp;RIGHT("00"&amp;$D1187,2)))</f>
        <v/>
      </c>
      <c r="F1187">
        <f>IF(OR($E1187="",$E1187="نامعتبر"),"",LEFT($E1187,4)&amp;"/"&amp;MID($E1187,6,2))</f>
        <v/>
      </c>
      <c r="G1187">
        <f>IF(OR($E1187="",$E1187="نامعتبر",Sync!$Y1184=""),"",Sync!$Y1184)</f>
        <v/>
      </c>
      <c r="H1187">
        <f>IF($G1187="","",IF(Sync!$X1184="","",Sync!$X1184))</f>
        <v/>
      </c>
      <c r="I1187">
        <f>IF($G1187="","",IFERROR(VLOOKUP(Sync!$X1184,OpTbl,3,0),""))</f>
        <v/>
      </c>
      <c r="J1187">
        <f>IF(OR($G1187="",Sync!$Z1184=""),"",Sync!$Z1184)</f>
        <v/>
      </c>
      <c r="K1187">
        <f>IF(OR($G1187="",Sync!$AA1184=""),"",Sync!$AA1184)</f>
        <v/>
      </c>
      <c r="L1187">
        <f>IF($G1187="",0,IF(Sync!$AB1184="",0,Sync!$AB1184))</f>
        <v/>
      </c>
      <c r="M1187">
        <f>IF($G1187="",0,IF(Sync!$AC1184="",0,Sync!$AC1184))</f>
        <v/>
      </c>
      <c r="N1187">
        <f>IF($G1187="","",IF($H1187="مرجوعی خرید",-1,1)*($L1187-$M1187*IFERROR(VLOOKUP("P01",ParamTbl,3,0),1.5))*(1-IF($I1187="خرید",IFERROR(VLOOKUP("P02",ParamTbl,3,0),1),0)/100))</f>
        <v/>
      </c>
      <c r="O1187">
        <f>IF($G1187="",0,IF($H1187="مرجوعی خرید",-1,1)*IF(Sync!$AD1184="",0,Sync!$AD1184))</f>
        <v/>
      </c>
      <c r="P1187">
        <f>IF(OR($G1187="",Sync!$W1184=""),"",Sync!$W1184)</f>
        <v/>
      </c>
      <c r="Q1187">
        <f>IF(OR($G1187="",Sync!$AE1184=""),"",Sync!$AE1184)</f>
        <v/>
      </c>
      <c r="R1187">
        <f>IF($G1187="","",IF(Sync!$V1184="","0000",IF(AND(ISNUMBER(Sync!$V1184),Sync!$V1184&gt;=0,Sync!$V1184&lt;1),RIGHT("00"&amp;HOUR(Sync!$V1184),2)&amp;RIGHT("00"&amp;MINUTE(Sync!$V1184),2),IFERROR(RIGHT("00"&amp;VALUE(LEFT(Sync!$V1184,FIND(":",Sync!$V1184)-1)),2)&amp;RIGHT("00"&amp;VALUE(MID(Sync!$V1184,FIND(":",Sync!$V1184)+1,2)),2),"0000"))))</f>
        <v/>
      </c>
    </row>
    <row r="1188">
      <c r="A1188">
        <f>IF(Sync!$U1185="","",Sync!$U1185)</f>
        <v/>
      </c>
      <c r="B1188">
        <f>IF($A1188="","",IF(ISNUMBER($A1188),IF(AND($A1188&gt;=10000101,$A1188&lt;=99991231),INT($A1188/10000),""),IFERROR(VALUE(TRIM(LEFT($A1188,FIND("/",$A1188)-1))),"")))</f>
        <v/>
      </c>
      <c r="C1188">
        <f>IF(OR($A1188="",$B1188=""),"",IF(ISNUMBER($A1188),INT(MOD($A1188,10000)/100),IFERROR(VALUE(TRIM(LEFT(MID($A1188,FIND("/",$A1188)+1,20),FIND("/",MID($A1188,FIND("/",$A1188)+1,20))-1))),"")))</f>
        <v/>
      </c>
      <c r="D1188">
        <f>IF(OR($A1188="",$B1188=""),"",IF(ISNUMBER($A1188),MOD($A1188,100),IFERROR(VALUE(TRIM(MID(MID($A1188,FIND("/",$A1188)+1,20),FIND("/",MID($A1188,FIND("/",$A1188)+1,20))+1,20))),"")))</f>
        <v/>
      </c>
      <c r="E1188">
        <f>IF($A1188="","",IF(OR($B1188="",$C1188="",$D1188="",$B1188&lt;1300,$B1188&gt;1500,$C1188&lt;1,$C1188&gt;12,$D1188&lt;1,$D1188&gt;31),"نامعتبر",RIGHT("0000"&amp;$B1188,4)&amp;"/"&amp;RIGHT("00"&amp;$C1188,2)&amp;"/"&amp;RIGHT("00"&amp;$D1188,2)))</f>
        <v/>
      </c>
      <c r="F1188">
        <f>IF(OR($E1188="",$E1188="نامعتبر"),"",LEFT($E1188,4)&amp;"/"&amp;MID($E1188,6,2))</f>
        <v/>
      </c>
      <c r="G1188">
        <f>IF(OR($E1188="",$E1188="نامعتبر",Sync!$Y1185=""),"",Sync!$Y1185)</f>
        <v/>
      </c>
      <c r="H1188">
        <f>IF($G1188="","",IF(Sync!$X1185="","",Sync!$X1185))</f>
        <v/>
      </c>
      <c r="I1188">
        <f>IF($G1188="","",IFERROR(VLOOKUP(Sync!$X1185,OpTbl,3,0),""))</f>
        <v/>
      </c>
      <c r="J1188">
        <f>IF(OR($G1188="",Sync!$Z1185=""),"",Sync!$Z1185)</f>
        <v/>
      </c>
      <c r="K1188">
        <f>IF(OR($G1188="",Sync!$AA1185=""),"",Sync!$AA1185)</f>
        <v/>
      </c>
      <c r="L1188">
        <f>IF($G1188="",0,IF(Sync!$AB1185="",0,Sync!$AB1185))</f>
        <v/>
      </c>
      <c r="M1188">
        <f>IF($G1188="",0,IF(Sync!$AC1185="",0,Sync!$AC1185))</f>
        <v/>
      </c>
      <c r="N1188">
        <f>IF($G1188="","",IF($H1188="مرجوعی خرید",-1,1)*($L1188-$M1188*IFERROR(VLOOKUP("P01",ParamTbl,3,0),1.5))*(1-IF($I1188="خرید",IFERROR(VLOOKUP("P02",ParamTbl,3,0),1),0)/100))</f>
        <v/>
      </c>
      <c r="O1188">
        <f>IF($G1188="",0,IF($H1188="مرجوعی خرید",-1,1)*IF(Sync!$AD1185="",0,Sync!$AD1185))</f>
        <v/>
      </c>
      <c r="P1188">
        <f>IF(OR($G1188="",Sync!$W1185=""),"",Sync!$W1185)</f>
        <v/>
      </c>
      <c r="Q1188">
        <f>IF(OR($G1188="",Sync!$AE1185=""),"",Sync!$AE1185)</f>
        <v/>
      </c>
      <c r="R1188">
        <f>IF($G1188="","",IF(Sync!$V1185="","0000",IF(AND(ISNUMBER(Sync!$V1185),Sync!$V1185&gt;=0,Sync!$V1185&lt;1),RIGHT("00"&amp;HOUR(Sync!$V1185),2)&amp;RIGHT("00"&amp;MINUTE(Sync!$V1185),2),IFERROR(RIGHT("00"&amp;VALUE(LEFT(Sync!$V1185,FIND(":",Sync!$V1185)-1)),2)&amp;RIGHT("00"&amp;VALUE(MID(Sync!$V1185,FIND(":",Sync!$V1185)+1,2)),2),"0000"))))</f>
        <v/>
      </c>
    </row>
    <row r="1189">
      <c r="A1189">
        <f>IF(Sync!$U1186="","",Sync!$U1186)</f>
        <v/>
      </c>
      <c r="B1189">
        <f>IF($A1189="","",IF(ISNUMBER($A1189),IF(AND($A1189&gt;=10000101,$A1189&lt;=99991231),INT($A1189/10000),""),IFERROR(VALUE(TRIM(LEFT($A1189,FIND("/",$A1189)-1))),"")))</f>
        <v/>
      </c>
      <c r="C1189">
        <f>IF(OR($A1189="",$B1189=""),"",IF(ISNUMBER($A1189),INT(MOD($A1189,10000)/100),IFERROR(VALUE(TRIM(LEFT(MID($A1189,FIND("/",$A1189)+1,20),FIND("/",MID($A1189,FIND("/",$A1189)+1,20))-1))),"")))</f>
        <v/>
      </c>
      <c r="D1189">
        <f>IF(OR($A1189="",$B1189=""),"",IF(ISNUMBER($A1189),MOD($A1189,100),IFERROR(VALUE(TRIM(MID(MID($A1189,FIND("/",$A1189)+1,20),FIND("/",MID($A1189,FIND("/",$A1189)+1,20))+1,20))),"")))</f>
        <v/>
      </c>
      <c r="E1189">
        <f>IF($A1189="","",IF(OR($B1189="",$C1189="",$D1189="",$B1189&lt;1300,$B1189&gt;1500,$C1189&lt;1,$C1189&gt;12,$D1189&lt;1,$D1189&gt;31),"نامعتبر",RIGHT("0000"&amp;$B1189,4)&amp;"/"&amp;RIGHT("00"&amp;$C1189,2)&amp;"/"&amp;RIGHT("00"&amp;$D1189,2)))</f>
        <v/>
      </c>
      <c r="F1189">
        <f>IF(OR($E1189="",$E1189="نامعتبر"),"",LEFT($E1189,4)&amp;"/"&amp;MID($E1189,6,2))</f>
        <v/>
      </c>
      <c r="G1189">
        <f>IF(OR($E1189="",$E1189="نامعتبر",Sync!$Y1186=""),"",Sync!$Y1186)</f>
        <v/>
      </c>
      <c r="H1189">
        <f>IF($G1189="","",IF(Sync!$X1186="","",Sync!$X1186))</f>
        <v/>
      </c>
      <c r="I1189">
        <f>IF($G1189="","",IFERROR(VLOOKUP(Sync!$X1186,OpTbl,3,0),""))</f>
        <v/>
      </c>
      <c r="J1189">
        <f>IF(OR($G1189="",Sync!$Z1186=""),"",Sync!$Z1186)</f>
        <v/>
      </c>
      <c r="K1189">
        <f>IF(OR($G1189="",Sync!$AA1186=""),"",Sync!$AA1186)</f>
        <v/>
      </c>
      <c r="L1189">
        <f>IF($G1189="",0,IF(Sync!$AB1186="",0,Sync!$AB1186))</f>
        <v/>
      </c>
      <c r="M1189">
        <f>IF($G1189="",0,IF(Sync!$AC1186="",0,Sync!$AC1186))</f>
        <v/>
      </c>
      <c r="N1189">
        <f>IF($G1189="","",IF($H1189="مرجوعی خرید",-1,1)*($L1189-$M1189*IFERROR(VLOOKUP("P01",ParamTbl,3,0),1.5))*(1-IF($I1189="خرید",IFERROR(VLOOKUP("P02",ParamTbl,3,0),1),0)/100))</f>
        <v/>
      </c>
      <c r="O1189">
        <f>IF($G1189="",0,IF($H1189="مرجوعی خرید",-1,1)*IF(Sync!$AD1186="",0,Sync!$AD1186))</f>
        <v/>
      </c>
      <c r="P1189">
        <f>IF(OR($G1189="",Sync!$W1186=""),"",Sync!$W1186)</f>
        <v/>
      </c>
      <c r="Q1189">
        <f>IF(OR($G1189="",Sync!$AE1186=""),"",Sync!$AE1186)</f>
        <v/>
      </c>
      <c r="R1189">
        <f>IF($G1189="","",IF(Sync!$V1186="","0000",IF(AND(ISNUMBER(Sync!$V1186),Sync!$V1186&gt;=0,Sync!$V1186&lt;1),RIGHT("00"&amp;HOUR(Sync!$V1186),2)&amp;RIGHT("00"&amp;MINUTE(Sync!$V1186),2),IFERROR(RIGHT("00"&amp;VALUE(LEFT(Sync!$V1186,FIND(":",Sync!$V1186)-1)),2)&amp;RIGHT("00"&amp;VALUE(MID(Sync!$V1186,FIND(":",Sync!$V1186)+1,2)),2),"0000"))))</f>
        <v/>
      </c>
    </row>
    <row r="1190">
      <c r="A1190">
        <f>IF(Sync!$U1187="","",Sync!$U1187)</f>
        <v/>
      </c>
      <c r="B1190">
        <f>IF($A1190="","",IF(ISNUMBER($A1190),IF(AND($A1190&gt;=10000101,$A1190&lt;=99991231),INT($A1190/10000),""),IFERROR(VALUE(TRIM(LEFT($A1190,FIND("/",$A1190)-1))),"")))</f>
        <v/>
      </c>
      <c r="C1190">
        <f>IF(OR($A1190="",$B1190=""),"",IF(ISNUMBER($A1190),INT(MOD($A1190,10000)/100),IFERROR(VALUE(TRIM(LEFT(MID($A1190,FIND("/",$A1190)+1,20),FIND("/",MID($A1190,FIND("/",$A1190)+1,20))-1))),"")))</f>
        <v/>
      </c>
      <c r="D1190">
        <f>IF(OR($A1190="",$B1190=""),"",IF(ISNUMBER($A1190),MOD($A1190,100),IFERROR(VALUE(TRIM(MID(MID($A1190,FIND("/",$A1190)+1,20),FIND("/",MID($A1190,FIND("/",$A1190)+1,20))+1,20))),"")))</f>
        <v/>
      </c>
      <c r="E1190">
        <f>IF($A1190="","",IF(OR($B1190="",$C1190="",$D1190="",$B1190&lt;1300,$B1190&gt;1500,$C1190&lt;1,$C1190&gt;12,$D1190&lt;1,$D1190&gt;31),"نامعتبر",RIGHT("0000"&amp;$B1190,4)&amp;"/"&amp;RIGHT("00"&amp;$C1190,2)&amp;"/"&amp;RIGHT("00"&amp;$D1190,2)))</f>
        <v/>
      </c>
      <c r="F1190">
        <f>IF(OR($E1190="",$E1190="نامعتبر"),"",LEFT($E1190,4)&amp;"/"&amp;MID($E1190,6,2))</f>
        <v/>
      </c>
      <c r="G1190">
        <f>IF(OR($E1190="",$E1190="نامعتبر",Sync!$Y1187=""),"",Sync!$Y1187)</f>
        <v/>
      </c>
      <c r="H1190">
        <f>IF($G1190="","",IF(Sync!$X1187="","",Sync!$X1187))</f>
        <v/>
      </c>
      <c r="I1190">
        <f>IF($G1190="","",IFERROR(VLOOKUP(Sync!$X1187,OpTbl,3,0),""))</f>
        <v/>
      </c>
      <c r="J1190">
        <f>IF(OR($G1190="",Sync!$Z1187=""),"",Sync!$Z1187)</f>
        <v/>
      </c>
      <c r="K1190">
        <f>IF(OR($G1190="",Sync!$AA1187=""),"",Sync!$AA1187)</f>
        <v/>
      </c>
      <c r="L1190">
        <f>IF($G1190="",0,IF(Sync!$AB1187="",0,Sync!$AB1187))</f>
        <v/>
      </c>
      <c r="M1190">
        <f>IF($G1190="",0,IF(Sync!$AC1187="",0,Sync!$AC1187))</f>
        <v/>
      </c>
      <c r="N1190">
        <f>IF($G1190="","",IF($H1190="مرجوعی خرید",-1,1)*($L1190-$M1190*IFERROR(VLOOKUP("P01",ParamTbl,3,0),1.5))*(1-IF($I1190="خرید",IFERROR(VLOOKUP("P02",ParamTbl,3,0),1),0)/100))</f>
        <v/>
      </c>
      <c r="O1190">
        <f>IF($G1190="",0,IF($H1190="مرجوعی خرید",-1,1)*IF(Sync!$AD1187="",0,Sync!$AD1187))</f>
        <v/>
      </c>
      <c r="P1190">
        <f>IF(OR($G1190="",Sync!$W1187=""),"",Sync!$W1187)</f>
        <v/>
      </c>
      <c r="Q1190">
        <f>IF(OR($G1190="",Sync!$AE1187=""),"",Sync!$AE1187)</f>
        <v/>
      </c>
      <c r="R1190">
        <f>IF($G1190="","",IF(Sync!$V1187="","0000",IF(AND(ISNUMBER(Sync!$V1187),Sync!$V1187&gt;=0,Sync!$V1187&lt;1),RIGHT("00"&amp;HOUR(Sync!$V1187),2)&amp;RIGHT("00"&amp;MINUTE(Sync!$V1187),2),IFERROR(RIGHT("00"&amp;VALUE(LEFT(Sync!$V1187,FIND(":",Sync!$V1187)-1)),2)&amp;RIGHT("00"&amp;VALUE(MID(Sync!$V1187,FIND(":",Sync!$V1187)+1,2)),2),"0000"))))</f>
        <v/>
      </c>
    </row>
    <row r="1191">
      <c r="A1191">
        <f>IF(Sync!$U1188="","",Sync!$U1188)</f>
        <v/>
      </c>
      <c r="B1191">
        <f>IF($A1191="","",IF(ISNUMBER($A1191),IF(AND($A1191&gt;=10000101,$A1191&lt;=99991231),INT($A1191/10000),""),IFERROR(VALUE(TRIM(LEFT($A1191,FIND("/",$A1191)-1))),"")))</f>
        <v/>
      </c>
      <c r="C1191">
        <f>IF(OR($A1191="",$B1191=""),"",IF(ISNUMBER($A1191),INT(MOD($A1191,10000)/100),IFERROR(VALUE(TRIM(LEFT(MID($A1191,FIND("/",$A1191)+1,20),FIND("/",MID($A1191,FIND("/",$A1191)+1,20))-1))),"")))</f>
        <v/>
      </c>
      <c r="D1191">
        <f>IF(OR($A1191="",$B1191=""),"",IF(ISNUMBER($A1191),MOD($A1191,100),IFERROR(VALUE(TRIM(MID(MID($A1191,FIND("/",$A1191)+1,20),FIND("/",MID($A1191,FIND("/",$A1191)+1,20))+1,20))),"")))</f>
        <v/>
      </c>
      <c r="E1191">
        <f>IF($A1191="","",IF(OR($B1191="",$C1191="",$D1191="",$B1191&lt;1300,$B1191&gt;1500,$C1191&lt;1,$C1191&gt;12,$D1191&lt;1,$D1191&gt;31),"نامعتبر",RIGHT("0000"&amp;$B1191,4)&amp;"/"&amp;RIGHT("00"&amp;$C1191,2)&amp;"/"&amp;RIGHT("00"&amp;$D1191,2)))</f>
        <v/>
      </c>
      <c r="F1191">
        <f>IF(OR($E1191="",$E1191="نامعتبر"),"",LEFT($E1191,4)&amp;"/"&amp;MID($E1191,6,2))</f>
        <v/>
      </c>
      <c r="G1191">
        <f>IF(OR($E1191="",$E1191="نامعتبر",Sync!$Y1188=""),"",Sync!$Y1188)</f>
        <v/>
      </c>
      <c r="H1191">
        <f>IF($G1191="","",IF(Sync!$X1188="","",Sync!$X1188))</f>
        <v/>
      </c>
      <c r="I1191">
        <f>IF($G1191="","",IFERROR(VLOOKUP(Sync!$X1188,OpTbl,3,0),""))</f>
        <v/>
      </c>
      <c r="J1191">
        <f>IF(OR($G1191="",Sync!$Z1188=""),"",Sync!$Z1188)</f>
        <v/>
      </c>
      <c r="K1191">
        <f>IF(OR($G1191="",Sync!$AA1188=""),"",Sync!$AA1188)</f>
        <v/>
      </c>
      <c r="L1191">
        <f>IF($G1191="",0,IF(Sync!$AB1188="",0,Sync!$AB1188))</f>
        <v/>
      </c>
      <c r="M1191">
        <f>IF($G1191="",0,IF(Sync!$AC1188="",0,Sync!$AC1188))</f>
        <v/>
      </c>
      <c r="N1191">
        <f>IF($G1191="","",IF($H1191="مرجوعی خرید",-1,1)*($L1191-$M1191*IFERROR(VLOOKUP("P01",ParamTbl,3,0),1.5))*(1-IF($I1191="خرید",IFERROR(VLOOKUP("P02",ParamTbl,3,0),1),0)/100))</f>
        <v/>
      </c>
      <c r="O1191">
        <f>IF($G1191="",0,IF($H1191="مرجوعی خرید",-1,1)*IF(Sync!$AD1188="",0,Sync!$AD1188))</f>
        <v/>
      </c>
      <c r="P1191">
        <f>IF(OR($G1191="",Sync!$W1188=""),"",Sync!$W1188)</f>
        <v/>
      </c>
      <c r="Q1191">
        <f>IF(OR($G1191="",Sync!$AE1188=""),"",Sync!$AE1188)</f>
        <v/>
      </c>
      <c r="R1191">
        <f>IF($G1191="","",IF(Sync!$V1188="","0000",IF(AND(ISNUMBER(Sync!$V1188),Sync!$V1188&gt;=0,Sync!$V1188&lt;1),RIGHT("00"&amp;HOUR(Sync!$V1188),2)&amp;RIGHT("00"&amp;MINUTE(Sync!$V1188),2),IFERROR(RIGHT("00"&amp;VALUE(LEFT(Sync!$V1188,FIND(":",Sync!$V1188)-1)),2)&amp;RIGHT("00"&amp;VALUE(MID(Sync!$V1188,FIND(":",Sync!$V1188)+1,2)),2),"0000"))))</f>
        <v/>
      </c>
    </row>
    <row r="1192">
      <c r="A1192">
        <f>IF(Sync!$U1189="","",Sync!$U1189)</f>
        <v/>
      </c>
      <c r="B1192">
        <f>IF($A1192="","",IF(ISNUMBER($A1192),IF(AND($A1192&gt;=10000101,$A1192&lt;=99991231),INT($A1192/10000),""),IFERROR(VALUE(TRIM(LEFT($A1192,FIND("/",$A1192)-1))),"")))</f>
        <v/>
      </c>
      <c r="C1192">
        <f>IF(OR($A1192="",$B1192=""),"",IF(ISNUMBER($A1192),INT(MOD($A1192,10000)/100),IFERROR(VALUE(TRIM(LEFT(MID($A1192,FIND("/",$A1192)+1,20),FIND("/",MID($A1192,FIND("/",$A1192)+1,20))-1))),"")))</f>
        <v/>
      </c>
      <c r="D1192">
        <f>IF(OR($A1192="",$B1192=""),"",IF(ISNUMBER($A1192),MOD($A1192,100),IFERROR(VALUE(TRIM(MID(MID($A1192,FIND("/",$A1192)+1,20),FIND("/",MID($A1192,FIND("/",$A1192)+1,20))+1,20))),"")))</f>
        <v/>
      </c>
      <c r="E1192">
        <f>IF($A1192="","",IF(OR($B1192="",$C1192="",$D1192="",$B1192&lt;1300,$B1192&gt;1500,$C1192&lt;1,$C1192&gt;12,$D1192&lt;1,$D1192&gt;31),"نامعتبر",RIGHT("0000"&amp;$B1192,4)&amp;"/"&amp;RIGHT("00"&amp;$C1192,2)&amp;"/"&amp;RIGHT("00"&amp;$D1192,2)))</f>
        <v/>
      </c>
      <c r="F1192">
        <f>IF(OR($E1192="",$E1192="نامعتبر"),"",LEFT($E1192,4)&amp;"/"&amp;MID($E1192,6,2))</f>
        <v/>
      </c>
      <c r="G1192">
        <f>IF(OR($E1192="",$E1192="نامعتبر",Sync!$Y1189=""),"",Sync!$Y1189)</f>
        <v/>
      </c>
      <c r="H1192">
        <f>IF($G1192="","",IF(Sync!$X1189="","",Sync!$X1189))</f>
        <v/>
      </c>
      <c r="I1192">
        <f>IF($G1192="","",IFERROR(VLOOKUP(Sync!$X1189,OpTbl,3,0),""))</f>
        <v/>
      </c>
      <c r="J1192">
        <f>IF(OR($G1192="",Sync!$Z1189=""),"",Sync!$Z1189)</f>
        <v/>
      </c>
      <c r="K1192">
        <f>IF(OR($G1192="",Sync!$AA1189=""),"",Sync!$AA1189)</f>
        <v/>
      </c>
      <c r="L1192">
        <f>IF($G1192="",0,IF(Sync!$AB1189="",0,Sync!$AB1189))</f>
        <v/>
      </c>
      <c r="M1192">
        <f>IF($G1192="",0,IF(Sync!$AC1189="",0,Sync!$AC1189))</f>
        <v/>
      </c>
      <c r="N1192">
        <f>IF($G1192="","",IF($H1192="مرجوعی خرید",-1,1)*($L1192-$M1192*IFERROR(VLOOKUP("P01",ParamTbl,3,0),1.5))*(1-IF($I1192="خرید",IFERROR(VLOOKUP("P02",ParamTbl,3,0),1),0)/100))</f>
        <v/>
      </c>
      <c r="O1192">
        <f>IF($G1192="",0,IF($H1192="مرجوعی خرید",-1,1)*IF(Sync!$AD1189="",0,Sync!$AD1189))</f>
        <v/>
      </c>
      <c r="P1192">
        <f>IF(OR($G1192="",Sync!$W1189=""),"",Sync!$W1189)</f>
        <v/>
      </c>
      <c r="Q1192">
        <f>IF(OR($G1192="",Sync!$AE1189=""),"",Sync!$AE1189)</f>
        <v/>
      </c>
      <c r="R1192">
        <f>IF($G1192="","",IF(Sync!$V1189="","0000",IF(AND(ISNUMBER(Sync!$V1189),Sync!$V1189&gt;=0,Sync!$V1189&lt;1),RIGHT("00"&amp;HOUR(Sync!$V1189),2)&amp;RIGHT("00"&amp;MINUTE(Sync!$V1189),2),IFERROR(RIGHT("00"&amp;VALUE(LEFT(Sync!$V1189,FIND(":",Sync!$V1189)-1)),2)&amp;RIGHT("00"&amp;VALUE(MID(Sync!$V1189,FIND(":",Sync!$V1189)+1,2)),2),"0000"))))</f>
        <v/>
      </c>
    </row>
    <row r="1193">
      <c r="A1193">
        <f>IF(Sync!$U1190="","",Sync!$U1190)</f>
        <v/>
      </c>
      <c r="B1193">
        <f>IF($A1193="","",IF(ISNUMBER($A1193),IF(AND($A1193&gt;=10000101,$A1193&lt;=99991231),INT($A1193/10000),""),IFERROR(VALUE(TRIM(LEFT($A1193,FIND("/",$A1193)-1))),"")))</f>
        <v/>
      </c>
      <c r="C1193">
        <f>IF(OR($A1193="",$B1193=""),"",IF(ISNUMBER($A1193),INT(MOD($A1193,10000)/100),IFERROR(VALUE(TRIM(LEFT(MID($A1193,FIND("/",$A1193)+1,20),FIND("/",MID($A1193,FIND("/",$A1193)+1,20))-1))),"")))</f>
        <v/>
      </c>
      <c r="D1193">
        <f>IF(OR($A1193="",$B1193=""),"",IF(ISNUMBER($A1193),MOD($A1193,100),IFERROR(VALUE(TRIM(MID(MID($A1193,FIND("/",$A1193)+1,20),FIND("/",MID($A1193,FIND("/",$A1193)+1,20))+1,20))),"")))</f>
        <v/>
      </c>
      <c r="E1193">
        <f>IF($A1193="","",IF(OR($B1193="",$C1193="",$D1193="",$B1193&lt;1300,$B1193&gt;1500,$C1193&lt;1,$C1193&gt;12,$D1193&lt;1,$D1193&gt;31),"نامعتبر",RIGHT("0000"&amp;$B1193,4)&amp;"/"&amp;RIGHT("00"&amp;$C1193,2)&amp;"/"&amp;RIGHT("00"&amp;$D1193,2)))</f>
        <v/>
      </c>
      <c r="F1193">
        <f>IF(OR($E1193="",$E1193="نامعتبر"),"",LEFT($E1193,4)&amp;"/"&amp;MID($E1193,6,2))</f>
        <v/>
      </c>
      <c r="G1193">
        <f>IF(OR($E1193="",$E1193="نامعتبر",Sync!$Y1190=""),"",Sync!$Y1190)</f>
        <v/>
      </c>
      <c r="H1193">
        <f>IF($G1193="","",IF(Sync!$X1190="","",Sync!$X1190))</f>
        <v/>
      </c>
      <c r="I1193">
        <f>IF($G1193="","",IFERROR(VLOOKUP(Sync!$X1190,OpTbl,3,0),""))</f>
        <v/>
      </c>
      <c r="J1193">
        <f>IF(OR($G1193="",Sync!$Z1190=""),"",Sync!$Z1190)</f>
        <v/>
      </c>
      <c r="K1193">
        <f>IF(OR($G1193="",Sync!$AA1190=""),"",Sync!$AA1190)</f>
        <v/>
      </c>
      <c r="L1193">
        <f>IF($G1193="",0,IF(Sync!$AB1190="",0,Sync!$AB1190))</f>
        <v/>
      </c>
      <c r="M1193">
        <f>IF($G1193="",0,IF(Sync!$AC1190="",0,Sync!$AC1190))</f>
        <v/>
      </c>
      <c r="N1193">
        <f>IF($G1193="","",IF($H1193="مرجوعی خرید",-1,1)*($L1193-$M1193*IFERROR(VLOOKUP("P01",ParamTbl,3,0),1.5))*(1-IF($I1193="خرید",IFERROR(VLOOKUP("P02",ParamTbl,3,0),1),0)/100))</f>
        <v/>
      </c>
      <c r="O1193">
        <f>IF($G1193="",0,IF($H1193="مرجوعی خرید",-1,1)*IF(Sync!$AD1190="",0,Sync!$AD1190))</f>
        <v/>
      </c>
      <c r="P1193">
        <f>IF(OR($G1193="",Sync!$W1190=""),"",Sync!$W1190)</f>
        <v/>
      </c>
      <c r="Q1193">
        <f>IF(OR($G1193="",Sync!$AE1190=""),"",Sync!$AE1190)</f>
        <v/>
      </c>
      <c r="R1193">
        <f>IF($G1193="","",IF(Sync!$V1190="","0000",IF(AND(ISNUMBER(Sync!$V1190),Sync!$V1190&gt;=0,Sync!$V1190&lt;1),RIGHT("00"&amp;HOUR(Sync!$V1190),2)&amp;RIGHT("00"&amp;MINUTE(Sync!$V1190),2),IFERROR(RIGHT("00"&amp;VALUE(LEFT(Sync!$V1190,FIND(":",Sync!$V1190)-1)),2)&amp;RIGHT("00"&amp;VALUE(MID(Sync!$V1190,FIND(":",Sync!$V1190)+1,2)),2),"0000"))))</f>
        <v/>
      </c>
    </row>
    <row r="1194">
      <c r="A1194">
        <f>IF(Sync!$U1191="","",Sync!$U1191)</f>
        <v/>
      </c>
      <c r="B1194">
        <f>IF($A1194="","",IF(ISNUMBER($A1194),IF(AND($A1194&gt;=10000101,$A1194&lt;=99991231),INT($A1194/10000),""),IFERROR(VALUE(TRIM(LEFT($A1194,FIND("/",$A1194)-1))),"")))</f>
        <v/>
      </c>
      <c r="C1194">
        <f>IF(OR($A1194="",$B1194=""),"",IF(ISNUMBER($A1194),INT(MOD($A1194,10000)/100),IFERROR(VALUE(TRIM(LEFT(MID($A1194,FIND("/",$A1194)+1,20),FIND("/",MID($A1194,FIND("/",$A1194)+1,20))-1))),"")))</f>
        <v/>
      </c>
      <c r="D1194">
        <f>IF(OR($A1194="",$B1194=""),"",IF(ISNUMBER($A1194),MOD($A1194,100),IFERROR(VALUE(TRIM(MID(MID($A1194,FIND("/",$A1194)+1,20),FIND("/",MID($A1194,FIND("/",$A1194)+1,20))+1,20))),"")))</f>
        <v/>
      </c>
      <c r="E1194">
        <f>IF($A1194="","",IF(OR($B1194="",$C1194="",$D1194="",$B1194&lt;1300,$B1194&gt;1500,$C1194&lt;1,$C1194&gt;12,$D1194&lt;1,$D1194&gt;31),"نامعتبر",RIGHT("0000"&amp;$B1194,4)&amp;"/"&amp;RIGHT("00"&amp;$C1194,2)&amp;"/"&amp;RIGHT("00"&amp;$D1194,2)))</f>
        <v/>
      </c>
      <c r="F1194">
        <f>IF(OR($E1194="",$E1194="نامعتبر"),"",LEFT($E1194,4)&amp;"/"&amp;MID($E1194,6,2))</f>
        <v/>
      </c>
      <c r="G1194">
        <f>IF(OR($E1194="",$E1194="نامعتبر",Sync!$Y1191=""),"",Sync!$Y1191)</f>
        <v/>
      </c>
      <c r="H1194">
        <f>IF($G1194="","",IF(Sync!$X1191="","",Sync!$X1191))</f>
        <v/>
      </c>
      <c r="I1194">
        <f>IF($G1194="","",IFERROR(VLOOKUP(Sync!$X1191,OpTbl,3,0),""))</f>
        <v/>
      </c>
      <c r="J1194">
        <f>IF(OR($G1194="",Sync!$Z1191=""),"",Sync!$Z1191)</f>
        <v/>
      </c>
      <c r="K1194">
        <f>IF(OR($G1194="",Sync!$AA1191=""),"",Sync!$AA1191)</f>
        <v/>
      </c>
      <c r="L1194">
        <f>IF($G1194="",0,IF(Sync!$AB1191="",0,Sync!$AB1191))</f>
        <v/>
      </c>
      <c r="M1194">
        <f>IF($G1194="",0,IF(Sync!$AC1191="",0,Sync!$AC1191))</f>
        <v/>
      </c>
      <c r="N1194">
        <f>IF($G1194="","",IF($H1194="مرجوعی خرید",-1,1)*($L1194-$M1194*IFERROR(VLOOKUP("P01",ParamTbl,3,0),1.5))*(1-IF($I1194="خرید",IFERROR(VLOOKUP("P02",ParamTbl,3,0),1),0)/100))</f>
        <v/>
      </c>
      <c r="O1194">
        <f>IF($G1194="",0,IF($H1194="مرجوعی خرید",-1,1)*IF(Sync!$AD1191="",0,Sync!$AD1191))</f>
        <v/>
      </c>
      <c r="P1194">
        <f>IF(OR($G1194="",Sync!$W1191=""),"",Sync!$W1191)</f>
        <v/>
      </c>
      <c r="Q1194">
        <f>IF(OR($G1194="",Sync!$AE1191=""),"",Sync!$AE1191)</f>
        <v/>
      </c>
      <c r="R1194">
        <f>IF($G1194="","",IF(Sync!$V1191="","0000",IF(AND(ISNUMBER(Sync!$V1191),Sync!$V1191&gt;=0,Sync!$V1191&lt;1),RIGHT("00"&amp;HOUR(Sync!$V1191),2)&amp;RIGHT("00"&amp;MINUTE(Sync!$V1191),2),IFERROR(RIGHT("00"&amp;VALUE(LEFT(Sync!$V1191,FIND(":",Sync!$V1191)-1)),2)&amp;RIGHT("00"&amp;VALUE(MID(Sync!$V1191,FIND(":",Sync!$V1191)+1,2)),2),"0000"))))</f>
        <v/>
      </c>
    </row>
    <row r="1195">
      <c r="A1195">
        <f>IF(Sync!$U1192="","",Sync!$U1192)</f>
        <v/>
      </c>
      <c r="B1195">
        <f>IF($A1195="","",IF(ISNUMBER($A1195),IF(AND($A1195&gt;=10000101,$A1195&lt;=99991231),INT($A1195/10000),""),IFERROR(VALUE(TRIM(LEFT($A1195,FIND("/",$A1195)-1))),"")))</f>
        <v/>
      </c>
      <c r="C1195">
        <f>IF(OR($A1195="",$B1195=""),"",IF(ISNUMBER($A1195),INT(MOD($A1195,10000)/100),IFERROR(VALUE(TRIM(LEFT(MID($A1195,FIND("/",$A1195)+1,20),FIND("/",MID($A1195,FIND("/",$A1195)+1,20))-1))),"")))</f>
        <v/>
      </c>
      <c r="D1195">
        <f>IF(OR($A1195="",$B1195=""),"",IF(ISNUMBER($A1195),MOD($A1195,100),IFERROR(VALUE(TRIM(MID(MID($A1195,FIND("/",$A1195)+1,20),FIND("/",MID($A1195,FIND("/",$A1195)+1,20))+1,20))),"")))</f>
        <v/>
      </c>
      <c r="E1195">
        <f>IF($A1195="","",IF(OR($B1195="",$C1195="",$D1195="",$B1195&lt;1300,$B1195&gt;1500,$C1195&lt;1,$C1195&gt;12,$D1195&lt;1,$D1195&gt;31),"نامعتبر",RIGHT("0000"&amp;$B1195,4)&amp;"/"&amp;RIGHT("00"&amp;$C1195,2)&amp;"/"&amp;RIGHT("00"&amp;$D1195,2)))</f>
        <v/>
      </c>
      <c r="F1195">
        <f>IF(OR($E1195="",$E1195="نامعتبر"),"",LEFT($E1195,4)&amp;"/"&amp;MID($E1195,6,2))</f>
        <v/>
      </c>
      <c r="G1195">
        <f>IF(OR($E1195="",$E1195="نامعتبر",Sync!$Y1192=""),"",Sync!$Y1192)</f>
        <v/>
      </c>
      <c r="H1195">
        <f>IF($G1195="","",IF(Sync!$X1192="","",Sync!$X1192))</f>
        <v/>
      </c>
      <c r="I1195">
        <f>IF($G1195="","",IFERROR(VLOOKUP(Sync!$X1192,OpTbl,3,0),""))</f>
        <v/>
      </c>
      <c r="J1195">
        <f>IF(OR($G1195="",Sync!$Z1192=""),"",Sync!$Z1192)</f>
        <v/>
      </c>
      <c r="K1195">
        <f>IF(OR($G1195="",Sync!$AA1192=""),"",Sync!$AA1192)</f>
        <v/>
      </c>
      <c r="L1195">
        <f>IF($G1195="",0,IF(Sync!$AB1192="",0,Sync!$AB1192))</f>
        <v/>
      </c>
      <c r="M1195">
        <f>IF($G1195="",0,IF(Sync!$AC1192="",0,Sync!$AC1192))</f>
        <v/>
      </c>
      <c r="N1195">
        <f>IF($G1195="","",IF($H1195="مرجوعی خرید",-1,1)*($L1195-$M1195*IFERROR(VLOOKUP("P01",ParamTbl,3,0),1.5))*(1-IF($I1195="خرید",IFERROR(VLOOKUP("P02",ParamTbl,3,0),1),0)/100))</f>
        <v/>
      </c>
      <c r="O1195">
        <f>IF($G1195="",0,IF($H1195="مرجوعی خرید",-1,1)*IF(Sync!$AD1192="",0,Sync!$AD1192))</f>
        <v/>
      </c>
      <c r="P1195">
        <f>IF(OR($G1195="",Sync!$W1192=""),"",Sync!$W1192)</f>
        <v/>
      </c>
      <c r="Q1195">
        <f>IF(OR($G1195="",Sync!$AE1192=""),"",Sync!$AE1192)</f>
        <v/>
      </c>
      <c r="R1195">
        <f>IF($G1195="","",IF(Sync!$V1192="","0000",IF(AND(ISNUMBER(Sync!$V1192),Sync!$V1192&gt;=0,Sync!$V1192&lt;1),RIGHT("00"&amp;HOUR(Sync!$V1192),2)&amp;RIGHT("00"&amp;MINUTE(Sync!$V1192),2),IFERROR(RIGHT("00"&amp;VALUE(LEFT(Sync!$V1192,FIND(":",Sync!$V1192)-1)),2)&amp;RIGHT("00"&amp;VALUE(MID(Sync!$V1192,FIND(":",Sync!$V1192)+1,2)),2),"0000"))))</f>
        <v/>
      </c>
    </row>
    <row r="1196">
      <c r="A1196">
        <f>IF(Sync!$U1193="","",Sync!$U1193)</f>
        <v/>
      </c>
      <c r="B1196">
        <f>IF($A1196="","",IF(ISNUMBER($A1196),IF(AND($A1196&gt;=10000101,$A1196&lt;=99991231),INT($A1196/10000),""),IFERROR(VALUE(TRIM(LEFT($A1196,FIND("/",$A1196)-1))),"")))</f>
        <v/>
      </c>
      <c r="C1196">
        <f>IF(OR($A1196="",$B1196=""),"",IF(ISNUMBER($A1196),INT(MOD($A1196,10000)/100),IFERROR(VALUE(TRIM(LEFT(MID($A1196,FIND("/",$A1196)+1,20),FIND("/",MID($A1196,FIND("/",$A1196)+1,20))-1))),"")))</f>
        <v/>
      </c>
      <c r="D1196">
        <f>IF(OR($A1196="",$B1196=""),"",IF(ISNUMBER($A1196),MOD($A1196,100),IFERROR(VALUE(TRIM(MID(MID($A1196,FIND("/",$A1196)+1,20),FIND("/",MID($A1196,FIND("/",$A1196)+1,20))+1,20))),"")))</f>
        <v/>
      </c>
      <c r="E1196">
        <f>IF($A1196="","",IF(OR($B1196="",$C1196="",$D1196="",$B1196&lt;1300,$B1196&gt;1500,$C1196&lt;1,$C1196&gt;12,$D1196&lt;1,$D1196&gt;31),"نامعتبر",RIGHT("0000"&amp;$B1196,4)&amp;"/"&amp;RIGHT("00"&amp;$C1196,2)&amp;"/"&amp;RIGHT("00"&amp;$D1196,2)))</f>
        <v/>
      </c>
      <c r="F1196">
        <f>IF(OR($E1196="",$E1196="نامعتبر"),"",LEFT($E1196,4)&amp;"/"&amp;MID($E1196,6,2))</f>
        <v/>
      </c>
      <c r="G1196">
        <f>IF(OR($E1196="",$E1196="نامعتبر",Sync!$Y1193=""),"",Sync!$Y1193)</f>
        <v/>
      </c>
      <c r="H1196">
        <f>IF($G1196="","",IF(Sync!$X1193="","",Sync!$X1193))</f>
        <v/>
      </c>
      <c r="I1196">
        <f>IF($G1196="","",IFERROR(VLOOKUP(Sync!$X1193,OpTbl,3,0),""))</f>
        <v/>
      </c>
      <c r="J1196">
        <f>IF(OR($G1196="",Sync!$Z1193=""),"",Sync!$Z1193)</f>
        <v/>
      </c>
      <c r="K1196">
        <f>IF(OR($G1196="",Sync!$AA1193=""),"",Sync!$AA1193)</f>
        <v/>
      </c>
      <c r="L1196">
        <f>IF($G1196="",0,IF(Sync!$AB1193="",0,Sync!$AB1193))</f>
        <v/>
      </c>
      <c r="M1196">
        <f>IF($G1196="",0,IF(Sync!$AC1193="",0,Sync!$AC1193))</f>
        <v/>
      </c>
      <c r="N1196">
        <f>IF($G1196="","",IF($H1196="مرجوعی خرید",-1,1)*($L1196-$M1196*IFERROR(VLOOKUP("P01",ParamTbl,3,0),1.5))*(1-IF($I1196="خرید",IFERROR(VLOOKUP("P02",ParamTbl,3,0),1),0)/100))</f>
        <v/>
      </c>
      <c r="O1196">
        <f>IF($G1196="",0,IF($H1196="مرجوعی خرید",-1,1)*IF(Sync!$AD1193="",0,Sync!$AD1193))</f>
        <v/>
      </c>
      <c r="P1196">
        <f>IF(OR($G1196="",Sync!$W1193=""),"",Sync!$W1193)</f>
        <v/>
      </c>
      <c r="Q1196">
        <f>IF(OR($G1196="",Sync!$AE1193=""),"",Sync!$AE1193)</f>
        <v/>
      </c>
      <c r="R1196">
        <f>IF($G1196="","",IF(Sync!$V1193="","0000",IF(AND(ISNUMBER(Sync!$V1193),Sync!$V1193&gt;=0,Sync!$V1193&lt;1),RIGHT("00"&amp;HOUR(Sync!$V1193),2)&amp;RIGHT("00"&amp;MINUTE(Sync!$V1193),2),IFERROR(RIGHT("00"&amp;VALUE(LEFT(Sync!$V1193,FIND(":",Sync!$V1193)-1)),2)&amp;RIGHT("00"&amp;VALUE(MID(Sync!$V1193,FIND(":",Sync!$V1193)+1,2)),2),"0000"))))</f>
        <v/>
      </c>
    </row>
    <row r="1197">
      <c r="A1197">
        <f>IF(Sync!$U1194="","",Sync!$U1194)</f>
        <v/>
      </c>
      <c r="B1197">
        <f>IF($A1197="","",IF(ISNUMBER($A1197),IF(AND($A1197&gt;=10000101,$A1197&lt;=99991231),INT($A1197/10000),""),IFERROR(VALUE(TRIM(LEFT($A1197,FIND("/",$A1197)-1))),"")))</f>
        <v/>
      </c>
      <c r="C1197">
        <f>IF(OR($A1197="",$B1197=""),"",IF(ISNUMBER($A1197),INT(MOD($A1197,10000)/100),IFERROR(VALUE(TRIM(LEFT(MID($A1197,FIND("/",$A1197)+1,20),FIND("/",MID($A1197,FIND("/",$A1197)+1,20))-1))),"")))</f>
        <v/>
      </c>
      <c r="D1197">
        <f>IF(OR($A1197="",$B1197=""),"",IF(ISNUMBER($A1197),MOD($A1197,100),IFERROR(VALUE(TRIM(MID(MID($A1197,FIND("/",$A1197)+1,20),FIND("/",MID($A1197,FIND("/",$A1197)+1,20))+1,20))),"")))</f>
        <v/>
      </c>
      <c r="E1197">
        <f>IF($A1197="","",IF(OR($B1197="",$C1197="",$D1197="",$B1197&lt;1300,$B1197&gt;1500,$C1197&lt;1,$C1197&gt;12,$D1197&lt;1,$D1197&gt;31),"نامعتبر",RIGHT("0000"&amp;$B1197,4)&amp;"/"&amp;RIGHT("00"&amp;$C1197,2)&amp;"/"&amp;RIGHT("00"&amp;$D1197,2)))</f>
        <v/>
      </c>
      <c r="F1197">
        <f>IF(OR($E1197="",$E1197="نامعتبر"),"",LEFT($E1197,4)&amp;"/"&amp;MID($E1197,6,2))</f>
        <v/>
      </c>
      <c r="G1197">
        <f>IF(OR($E1197="",$E1197="نامعتبر",Sync!$Y1194=""),"",Sync!$Y1194)</f>
        <v/>
      </c>
      <c r="H1197">
        <f>IF($G1197="","",IF(Sync!$X1194="","",Sync!$X1194))</f>
        <v/>
      </c>
      <c r="I1197">
        <f>IF($G1197="","",IFERROR(VLOOKUP(Sync!$X1194,OpTbl,3,0),""))</f>
        <v/>
      </c>
      <c r="J1197">
        <f>IF(OR($G1197="",Sync!$Z1194=""),"",Sync!$Z1194)</f>
        <v/>
      </c>
      <c r="K1197">
        <f>IF(OR($G1197="",Sync!$AA1194=""),"",Sync!$AA1194)</f>
        <v/>
      </c>
      <c r="L1197">
        <f>IF($G1197="",0,IF(Sync!$AB1194="",0,Sync!$AB1194))</f>
        <v/>
      </c>
      <c r="M1197">
        <f>IF($G1197="",0,IF(Sync!$AC1194="",0,Sync!$AC1194))</f>
        <v/>
      </c>
      <c r="N1197">
        <f>IF($G1197="","",IF($H1197="مرجوعی خرید",-1,1)*($L1197-$M1197*IFERROR(VLOOKUP("P01",ParamTbl,3,0),1.5))*(1-IF($I1197="خرید",IFERROR(VLOOKUP("P02",ParamTbl,3,0),1),0)/100))</f>
        <v/>
      </c>
      <c r="O1197">
        <f>IF($G1197="",0,IF($H1197="مرجوعی خرید",-1,1)*IF(Sync!$AD1194="",0,Sync!$AD1194))</f>
        <v/>
      </c>
      <c r="P1197">
        <f>IF(OR($G1197="",Sync!$W1194=""),"",Sync!$W1194)</f>
        <v/>
      </c>
      <c r="Q1197">
        <f>IF(OR($G1197="",Sync!$AE1194=""),"",Sync!$AE1194)</f>
        <v/>
      </c>
      <c r="R1197">
        <f>IF($G1197="","",IF(Sync!$V1194="","0000",IF(AND(ISNUMBER(Sync!$V1194),Sync!$V1194&gt;=0,Sync!$V1194&lt;1),RIGHT("00"&amp;HOUR(Sync!$V1194),2)&amp;RIGHT("00"&amp;MINUTE(Sync!$V1194),2),IFERROR(RIGHT("00"&amp;VALUE(LEFT(Sync!$V1194,FIND(":",Sync!$V1194)-1)),2)&amp;RIGHT("00"&amp;VALUE(MID(Sync!$V1194,FIND(":",Sync!$V1194)+1,2)),2),"0000"))))</f>
        <v/>
      </c>
    </row>
    <row r="1198">
      <c r="A1198">
        <f>IF(Sync!$U1195="","",Sync!$U1195)</f>
        <v/>
      </c>
      <c r="B1198">
        <f>IF($A1198="","",IF(ISNUMBER($A1198),IF(AND($A1198&gt;=10000101,$A1198&lt;=99991231),INT($A1198/10000),""),IFERROR(VALUE(TRIM(LEFT($A1198,FIND("/",$A1198)-1))),"")))</f>
        <v/>
      </c>
      <c r="C1198">
        <f>IF(OR($A1198="",$B1198=""),"",IF(ISNUMBER($A1198),INT(MOD($A1198,10000)/100),IFERROR(VALUE(TRIM(LEFT(MID($A1198,FIND("/",$A1198)+1,20),FIND("/",MID($A1198,FIND("/",$A1198)+1,20))-1))),"")))</f>
        <v/>
      </c>
      <c r="D1198">
        <f>IF(OR($A1198="",$B1198=""),"",IF(ISNUMBER($A1198),MOD($A1198,100),IFERROR(VALUE(TRIM(MID(MID($A1198,FIND("/",$A1198)+1,20),FIND("/",MID($A1198,FIND("/",$A1198)+1,20))+1,20))),"")))</f>
        <v/>
      </c>
      <c r="E1198">
        <f>IF($A1198="","",IF(OR($B1198="",$C1198="",$D1198="",$B1198&lt;1300,$B1198&gt;1500,$C1198&lt;1,$C1198&gt;12,$D1198&lt;1,$D1198&gt;31),"نامعتبر",RIGHT("0000"&amp;$B1198,4)&amp;"/"&amp;RIGHT("00"&amp;$C1198,2)&amp;"/"&amp;RIGHT("00"&amp;$D1198,2)))</f>
        <v/>
      </c>
      <c r="F1198">
        <f>IF(OR($E1198="",$E1198="نامعتبر"),"",LEFT($E1198,4)&amp;"/"&amp;MID($E1198,6,2))</f>
        <v/>
      </c>
      <c r="G1198">
        <f>IF(OR($E1198="",$E1198="نامعتبر",Sync!$Y1195=""),"",Sync!$Y1195)</f>
        <v/>
      </c>
      <c r="H1198">
        <f>IF($G1198="","",IF(Sync!$X1195="","",Sync!$X1195))</f>
        <v/>
      </c>
      <c r="I1198">
        <f>IF($G1198="","",IFERROR(VLOOKUP(Sync!$X1195,OpTbl,3,0),""))</f>
        <v/>
      </c>
      <c r="J1198">
        <f>IF(OR($G1198="",Sync!$Z1195=""),"",Sync!$Z1195)</f>
        <v/>
      </c>
      <c r="K1198">
        <f>IF(OR($G1198="",Sync!$AA1195=""),"",Sync!$AA1195)</f>
        <v/>
      </c>
      <c r="L1198">
        <f>IF($G1198="",0,IF(Sync!$AB1195="",0,Sync!$AB1195))</f>
        <v/>
      </c>
      <c r="M1198">
        <f>IF($G1198="",0,IF(Sync!$AC1195="",0,Sync!$AC1195))</f>
        <v/>
      </c>
      <c r="N1198">
        <f>IF($G1198="","",IF($H1198="مرجوعی خرید",-1,1)*($L1198-$M1198*IFERROR(VLOOKUP("P01",ParamTbl,3,0),1.5))*(1-IF($I1198="خرید",IFERROR(VLOOKUP("P02",ParamTbl,3,0),1),0)/100))</f>
        <v/>
      </c>
      <c r="O1198">
        <f>IF($G1198="",0,IF($H1198="مرجوعی خرید",-1,1)*IF(Sync!$AD1195="",0,Sync!$AD1195))</f>
        <v/>
      </c>
      <c r="P1198">
        <f>IF(OR($G1198="",Sync!$W1195=""),"",Sync!$W1195)</f>
        <v/>
      </c>
      <c r="Q1198">
        <f>IF(OR($G1198="",Sync!$AE1195=""),"",Sync!$AE1195)</f>
        <v/>
      </c>
      <c r="R1198">
        <f>IF($G1198="","",IF(Sync!$V1195="","0000",IF(AND(ISNUMBER(Sync!$V1195),Sync!$V1195&gt;=0,Sync!$V1195&lt;1),RIGHT("00"&amp;HOUR(Sync!$V1195),2)&amp;RIGHT("00"&amp;MINUTE(Sync!$V1195),2),IFERROR(RIGHT("00"&amp;VALUE(LEFT(Sync!$V1195,FIND(":",Sync!$V1195)-1)),2)&amp;RIGHT("00"&amp;VALUE(MID(Sync!$V1195,FIND(":",Sync!$V1195)+1,2)),2),"0000"))))</f>
        <v/>
      </c>
    </row>
    <row r="1199">
      <c r="A1199">
        <f>IF(Sync!$U1196="","",Sync!$U1196)</f>
        <v/>
      </c>
      <c r="B1199">
        <f>IF($A1199="","",IF(ISNUMBER($A1199),IF(AND($A1199&gt;=10000101,$A1199&lt;=99991231),INT($A1199/10000),""),IFERROR(VALUE(TRIM(LEFT($A1199,FIND("/",$A1199)-1))),"")))</f>
        <v/>
      </c>
      <c r="C1199">
        <f>IF(OR($A1199="",$B1199=""),"",IF(ISNUMBER($A1199),INT(MOD($A1199,10000)/100),IFERROR(VALUE(TRIM(LEFT(MID($A1199,FIND("/",$A1199)+1,20),FIND("/",MID($A1199,FIND("/",$A1199)+1,20))-1))),"")))</f>
        <v/>
      </c>
      <c r="D1199">
        <f>IF(OR($A1199="",$B1199=""),"",IF(ISNUMBER($A1199),MOD($A1199,100),IFERROR(VALUE(TRIM(MID(MID($A1199,FIND("/",$A1199)+1,20),FIND("/",MID($A1199,FIND("/",$A1199)+1,20))+1,20))),"")))</f>
        <v/>
      </c>
      <c r="E1199">
        <f>IF($A1199="","",IF(OR($B1199="",$C1199="",$D1199="",$B1199&lt;1300,$B1199&gt;1500,$C1199&lt;1,$C1199&gt;12,$D1199&lt;1,$D1199&gt;31),"نامعتبر",RIGHT("0000"&amp;$B1199,4)&amp;"/"&amp;RIGHT("00"&amp;$C1199,2)&amp;"/"&amp;RIGHT("00"&amp;$D1199,2)))</f>
        <v/>
      </c>
      <c r="F1199">
        <f>IF(OR($E1199="",$E1199="نامعتبر"),"",LEFT($E1199,4)&amp;"/"&amp;MID($E1199,6,2))</f>
        <v/>
      </c>
      <c r="G1199">
        <f>IF(OR($E1199="",$E1199="نامعتبر",Sync!$Y1196=""),"",Sync!$Y1196)</f>
        <v/>
      </c>
      <c r="H1199">
        <f>IF($G1199="","",IF(Sync!$X1196="","",Sync!$X1196))</f>
        <v/>
      </c>
      <c r="I1199">
        <f>IF($G1199="","",IFERROR(VLOOKUP(Sync!$X1196,OpTbl,3,0),""))</f>
        <v/>
      </c>
      <c r="J1199">
        <f>IF(OR($G1199="",Sync!$Z1196=""),"",Sync!$Z1196)</f>
        <v/>
      </c>
      <c r="K1199">
        <f>IF(OR($G1199="",Sync!$AA1196=""),"",Sync!$AA1196)</f>
        <v/>
      </c>
      <c r="L1199">
        <f>IF($G1199="",0,IF(Sync!$AB1196="",0,Sync!$AB1196))</f>
        <v/>
      </c>
      <c r="M1199">
        <f>IF($G1199="",0,IF(Sync!$AC1196="",0,Sync!$AC1196))</f>
        <v/>
      </c>
      <c r="N1199">
        <f>IF($G1199="","",IF($H1199="مرجوعی خرید",-1,1)*($L1199-$M1199*IFERROR(VLOOKUP("P01",ParamTbl,3,0),1.5))*(1-IF($I1199="خرید",IFERROR(VLOOKUP("P02",ParamTbl,3,0),1),0)/100))</f>
        <v/>
      </c>
      <c r="O1199">
        <f>IF($G1199="",0,IF($H1199="مرجوعی خرید",-1,1)*IF(Sync!$AD1196="",0,Sync!$AD1196))</f>
        <v/>
      </c>
      <c r="P1199">
        <f>IF(OR($G1199="",Sync!$W1196=""),"",Sync!$W1196)</f>
        <v/>
      </c>
      <c r="Q1199">
        <f>IF(OR($G1199="",Sync!$AE1196=""),"",Sync!$AE1196)</f>
        <v/>
      </c>
      <c r="R1199">
        <f>IF($G1199="","",IF(Sync!$V1196="","0000",IF(AND(ISNUMBER(Sync!$V1196),Sync!$V1196&gt;=0,Sync!$V1196&lt;1),RIGHT("00"&amp;HOUR(Sync!$V1196),2)&amp;RIGHT("00"&amp;MINUTE(Sync!$V1196),2),IFERROR(RIGHT("00"&amp;VALUE(LEFT(Sync!$V1196,FIND(":",Sync!$V1196)-1)),2)&amp;RIGHT("00"&amp;VALUE(MID(Sync!$V1196,FIND(":",Sync!$V1196)+1,2)),2),"0000"))))</f>
        <v/>
      </c>
    </row>
    <row r="1200">
      <c r="A1200">
        <f>IF(Sync!$U1197="","",Sync!$U1197)</f>
        <v/>
      </c>
      <c r="B1200">
        <f>IF($A1200="","",IF(ISNUMBER($A1200),IF(AND($A1200&gt;=10000101,$A1200&lt;=99991231),INT($A1200/10000),""),IFERROR(VALUE(TRIM(LEFT($A1200,FIND("/",$A1200)-1))),"")))</f>
        <v/>
      </c>
      <c r="C1200">
        <f>IF(OR($A1200="",$B1200=""),"",IF(ISNUMBER($A1200),INT(MOD($A1200,10000)/100),IFERROR(VALUE(TRIM(LEFT(MID($A1200,FIND("/",$A1200)+1,20),FIND("/",MID($A1200,FIND("/",$A1200)+1,20))-1))),"")))</f>
        <v/>
      </c>
      <c r="D1200">
        <f>IF(OR($A1200="",$B1200=""),"",IF(ISNUMBER($A1200),MOD($A1200,100),IFERROR(VALUE(TRIM(MID(MID($A1200,FIND("/",$A1200)+1,20),FIND("/",MID($A1200,FIND("/",$A1200)+1,20))+1,20))),"")))</f>
        <v/>
      </c>
      <c r="E1200">
        <f>IF($A1200="","",IF(OR($B1200="",$C1200="",$D1200="",$B1200&lt;1300,$B1200&gt;1500,$C1200&lt;1,$C1200&gt;12,$D1200&lt;1,$D1200&gt;31),"نامعتبر",RIGHT("0000"&amp;$B1200,4)&amp;"/"&amp;RIGHT("00"&amp;$C1200,2)&amp;"/"&amp;RIGHT("00"&amp;$D1200,2)))</f>
        <v/>
      </c>
      <c r="F1200">
        <f>IF(OR($E1200="",$E1200="نامعتبر"),"",LEFT($E1200,4)&amp;"/"&amp;MID($E1200,6,2))</f>
        <v/>
      </c>
      <c r="G1200">
        <f>IF(OR($E1200="",$E1200="نامعتبر",Sync!$Y1197=""),"",Sync!$Y1197)</f>
        <v/>
      </c>
      <c r="H1200">
        <f>IF($G1200="","",IF(Sync!$X1197="","",Sync!$X1197))</f>
        <v/>
      </c>
      <c r="I1200">
        <f>IF($G1200="","",IFERROR(VLOOKUP(Sync!$X1197,OpTbl,3,0),""))</f>
        <v/>
      </c>
      <c r="J1200">
        <f>IF(OR($G1200="",Sync!$Z1197=""),"",Sync!$Z1197)</f>
        <v/>
      </c>
      <c r="K1200">
        <f>IF(OR($G1200="",Sync!$AA1197=""),"",Sync!$AA1197)</f>
        <v/>
      </c>
      <c r="L1200">
        <f>IF($G1200="",0,IF(Sync!$AB1197="",0,Sync!$AB1197))</f>
        <v/>
      </c>
      <c r="M1200">
        <f>IF($G1200="",0,IF(Sync!$AC1197="",0,Sync!$AC1197))</f>
        <v/>
      </c>
      <c r="N1200">
        <f>IF($G1200="","",IF($H1200="مرجوعی خرید",-1,1)*($L1200-$M1200*IFERROR(VLOOKUP("P01",ParamTbl,3,0),1.5))*(1-IF($I1200="خرید",IFERROR(VLOOKUP("P02",ParamTbl,3,0),1),0)/100))</f>
        <v/>
      </c>
      <c r="O1200">
        <f>IF($G1200="",0,IF($H1200="مرجوعی خرید",-1,1)*IF(Sync!$AD1197="",0,Sync!$AD1197))</f>
        <v/>
      </c>
      <c r="P1200">
        <f>IF(OR($G1200="",Sync!$W1197=""),"",Sync!$W1197)</f>
        <v/>
      </c>
      <c r="Q1200">
        <f>IF(OR($G1200="",Sync!$AE1197=""),"",Sync!$AE1197)</f>
        <v/>
      </c>
      <c r="R1200">
        <f>IF($G1200="","",IF(Sync!$V1197="","0000",IF(AND(ISNUMBER(Sync!$V1197),Sync!$V1197&gt;=0,Sync!$V1197&lt;1),RIGHT("00"&amp;HOUR(Sync!$V1197),2)&amp;RIGHT("00"&amp;MINUTE(Sync!$V1197),2),IFERROR(RIGHT("00"&amp;VALUE(LEFT(Sync!$V1197,FIND(":",Sync!$V1197)-1)),2)&amp;RIGHT("00"&amp;VALUE(MID(Sync!$V1197,FIND(":",Sync!$V1197)+1,2)),2),"0000"))))</f>
        <v/>
      </c>
    </row>
    <row r="1201">
      <c r="A1201">
        <f>IF(Sync!$U1198="","",Sync!$U1198)</f>
        <v/>
      </c>
      <c r="B1201">
        <f>IF($A1201="","",IF(ISNUMBER($A1201),IF(AND($A1201&gt;=10000101,$A1201&lt;=99991231),INT($A1201/10000),""),IFERROR(VALUE(TRIM(LEFT($A1201,FIND("/",$A1201)-1))),"")))</f>
        <v/>
      </c>
      <c r="C1201">
        <f>IF(OR($A1201="",$B1201=""),"",IF(ISNUMBER($A1201),INT(MOD($A1201,10000)/100),IFERROR(VALUE(TRIM(LEFT(MID($A1201,FIND("/",$A1201)+1,20),FIND("/",MID($A1201,FIND("/",$A1201)+1,20))-1))),"")))</f>
        <v/>
      </c>
      <c r="D1201">
        <f>IF(OR($A1201="",$B1201=""),"",IF(ISNUMBER($A1201),MOD($A1201,100),IFERROR(VALUE(TRIM(MID(MID($A1201,FIND("/",$A1201)+1,20),FIND("/",MID($A1201,FIND("/",$A1201)+1,20))+1,20))),"")))</f>
        <v/>
      </c>
      <c r="E1201">
        <f>IF($A1201="","",IF(OR($B1201="",$C1201="",$D1201="",$B1201&lt;1300,$B1201&gt;1500,$C1201&lt;1,$C1201&gt;12,$D1201&lt;1,$D1201&gt;31),"نامعتبر",RIGHT("0000"&amp;$B1201,4)&amp;"/"&amp;RIGHT("00"&amp;$C1201,2)&amp;"/"&amp;RIGHT("00"&amp;$D1201,2)))</f>
        <v/>
      </c>
      <c r="F1201">
        <f>IF(OR($E1201="",$E1201="نامعتبر"),"",LEFT($E1201,4)&amp;"/"&amp;MID($E1201,6,2))</f>
        <v/>
      </c>
      <c r="G1201">
        <f>IF(OR($E1201="",$E1201="نامعتبر",Sync!$Y1198=""),"",Sync!$Y1198)</f>
        <v/>
      </c>
      <c r="H1201">
        <f>IF($G1201="","",IF(Sync!$X1198="","",Sync!$X1198))</f>
        <v/>
      </c>
      <c r="I1201">
        <f>IF($G1201="","",IFERROR(VLOOKUP(Sync!$X1198,OpTbl,3,0),""))</f>
        <v/>
      </c>
      <c r="J1201">
        <f>IF(OR($G1201="",Sync!$Z1198=""),"",Sync!$Z1198)</f>
        <v/>
      </c>
      <c r="K1201">
        <f>IF(OR($G1201="",Sync!$AA1198=""),"",Sync!$AA1198)</f>
        <v/>
      </c>
      <c r="L1201">
        <f>IF($G1201="",0,IF(Sync!$AB1198="",0,Sync!$AB1198))</f>
        <v/>
      </c>
      <c r="M1201">
        <f>IF($G1201="",0,IF(Sync!$AC1198="",0,Sync!$AC1198))</f>
        <v/>
      </c>
      <c r="N1201">
        <f>IF($G1201="","",IF($H1201="مرجوعی خرید",-1,1)*($L1201-$M1201*IFERROR(VLOOKUP("P01",ParamTbl,3,0),1.5))*(1-IF($I1201="خرید",IFERROR(VLOOKUP("P02",ParamTbl,3,0),1),0)/100))</f>
        <v/>
      </c>
      <c r="O1201">
        <f>IF($G1201="",0,IF($H1201="مرجوعی خرید",-1,1)*IF(Sync!$AD1198="",0,Sync!$AD1198))</f>
        <v/>
      </c>
      <c r="P1201">
        <f>IF(OR($G1201="",Sync!$W1198=""),"",Sync!$W1198)</f>
        <v/>
      </c>
      <c r="Q1201">
        <f>IF(OR($G1201="",Sync!$AE1198=""),"",Sync!$AE1198)</f>
        <v/>
      </c>
      <c r="R1201">
        <f>IF($G1201="","",IF(Sync!$V1198="","0000",IF(AND(ISNUMBER(Sync!$V1198),Sync!$V1198&gt;=0,Sync!$V1198&lt;1),RIGHT("00"&amp;HOUR(Sync!$V1198),2)&amp;RIGHT("00"&amp;MINUTE(Sync!$V1198),2),IFERROR(RIGHT("00"&amp;VALUE(LEFT(Sync!$V1198,FIND(":",Sync!$V1198)-1)),2)&amp;RIGHT("00"&amp;VALUE(MID(Sync!$V1198,FIND(":",Sync!$V1198)+1,2)),2),"0000"))))</f>
        <v/>
      </c>
    </row>
    <row r="1202">
      <c r="A1202">
        <f>IF(Sync!$U1199="","",Sync!$U1199)</f>
        <v/>
      </c>
      <c r="B1202">
        <f>IF($A1202="","",IF(ISNUMBER($A1202),IF(AND($A1202&gt;=10000101,$A1202&lt;=99991231),INT($A1202/10000),""),IFERROR(VALUE(TRIM(LEFT($A1202,FIND("/",$A1202)-1))),"")))</f>
        <v/>
      </c>
      <c r="C1202">
        <f>IF(OR($A1202="",$B1202=""),"",IF(ISNUMBER($A1202),INT(MOD($A1202,10000)/100),IFERROR(VALUE(TRIM(LEFT(MID($A1202,FIND("/",$A1202)+1,20),FIND("/",MID($A1202,FIND("/",$A1202)+1,20))-1))),"")))</f>
        <v/>
      </c>
      <c r="D1202">
        <f>IF(OR($A1202="",$B1202=""),"",IF(ISNUMBER($A1202),MOD($A1202,100),IFERROR(VALUE(TRIM(MID(MID($A1202,FIND("/",$A1202)+1,20),FIND("/",MID($A1202,FIND("/",$A1202)+1,20))+1,20))),"")))</f>
        <v/>
      </c>
      <c r="E1202">
        <f>IF($A1202="","",IF(OR($B1202="",$C1202="",$D1202="",$B1202&lt;1300,$B1202&gt;1500,$C1202&lt;1,$C1202&gt;12,$D1202&lt;1,$D1202&gt;31),"نامعتبر",RIGHT("0000"&amp;$B1202,4)&amp;"/"&amp;RIGHT("00"&amp;$C1202,2)&amp;"/"&amp;RIGHT("00"&amp;$D1202,2)))</f>
        <v/>
      </c>
      <c r="F1202">
        <f>IF(OR($E1202="",$E1202="نامعتبر"),"",LEFT($E1202,4)&amp;"/"&amp;MID($E1202,6,2))</f>
        <v/>
      </c>
      <c r="G1202">
        <f>IF(OR($E1202="",$E1202="نامعتبر",Sync!$Y1199=""),"",Sync!$Y1199)</f>
        <v/>
      </c>
      <c r="H1202">
        <f>IF($G1202="","",IF(Sync!$X1199="","",Sync!$X1199))</f>
        <v/>
      </c>
      <c r="I1202">
        <f>IF($G1202="","",IFERROR(VLOOKUP(Sync!$X1199,OpTbl,3,0),""))</f>
        <v/>
      </c>
      <c r="J1202">
        <f>IF(OR($G1202="",Sync!$Z1199=""),"",Sync!$Z1199)</f>
        <v/>
      </c>
      <c r="K1202">
        <f>IF(OR($G1202="",Sync!$AA1199=""),"",Sync!$AA1199)</f>
        <v/>
      </c>
      <c r="L1202">
        <f>IF($G1202="",0,IF(Sync!$AB1199="",0,Sync!$AB1199))</f>
        <v/>
      </c>
      <c r="M1202">
        <f>IF($G1202="",0,IF(Sync!$AC1199="",0,Sync!$AC1199))</f>
        <v/>
      </c>
      <c r="N1202">
        <f>IF($G1202="","",IF($H1202="مرجوعی خرید",-1,1)*($L1202-$M1202*IFERROR(VLOOKUP("P01",ParamTbl,3,0),1.5))*(1-IF($I1202="خرید",IFERROR(VLOOKUP("P02",ParamTbl,3,0),1),0)/100))</f>
        <v/>
      </c>
      <c r="O1202">
        <f>IF($G1202="",0,IF($H1202="مرجوعی خرید",-1,1)*IF(Sync!$AD1199="",0,Sync!$AD1199))</f>
        <v/>
      </c>
      <c r="P1202">
        <f>IF(OR($G1202="",Sync!$W1199=""),"",Sync!$W1199)</f>
        <v/>
      </c>
      <c r="Q1202">
        <f>IF(OR($G1202="",Sync!$AE1199=""),"",Sync!$AE1199)</f>
        <v/>
      </c>
      <c r="R1202">
        <f>IF($G1202="","",IF(Sync!$V1199="","0000",IF(AND(ISNUMBER(Sync!$V1199),Sync!$V1199&gt;=0,Sync!$V1199&lt;1),RIGHT("00"&amp;HOUR(Sync!$V1199),2)&amp;RIGHT("00"&amp;MINUTE(Sync!$V1199),2),IFERROR(RIGHT("00"&amp;VALUE(LEFT(Sync!$V1199,FIND(":",Sync!$V1199)-1)),2)&amp;RIGHT("00"&amp;VALUE(MID(Sync!$V1199,FIND(":",Sync!$V1199)+1,2)),2),"0000"))))</f>
        <v/>
      </c>
    </row>
    <row r="1203">
      <c r="A1203">
        <f>IF(Sync!$U1200="","",Sync!$U1200)</f>
        <v/>
      </c>
      <c r="B1203">
        <f>IF($A1203="","",IF(ISNUMBER($A1203),IF(AND($A1203&gt;=10000101,$A1203&lt;=99991231),INT($A1203/10000),""),IFERROR(VALUE(TRIM(LEFT($A1203,FIND("/",$A1203)-1))),"")))</f>
        <v/>
      </c>
      <c r="C1203">
        <f>IF(OR($A1203="",$B1203=""),"",IF(ISNUMBER($A1203),INT(MOD($A1203,10000)/100),IFERROR(VALUE(TRIM(LEFT(MID($A1203,FIND("/",$A1203)+1,20),FIND("/",MID($A1203,FIND("/",$A1203)+1,20))-1))),"")))</f>
        <v/>
      </c>
      <c r="D1203">
        <f>IF(OR($A1203="",$B1203=""),"",IF(ISNUMBER($A1203),MOD($A1203,100),IFERROR(VALUE(TRIM(MID(MID($A1203,FIND("/",$A1203)+1,20),FIND("/",MID($A1203,FIND("/",$A1203)+1,20))+1,20))),"")))</f>
        <v/>
      </c>
      <c r="E1203">
        <f>IF($A1203="","",IF(OR($B1203="",$C1203="",$D1203="",$B1203&lt;1300,$B1203&gt;1500,$C1203&lt;1,$C1203&gt;12,$D1203&lt;1,$D1203&gt;31),"نامعتبر",RIGHT("0000"&amp;$B1203,4)&amp;"/"&amp;RIGHT("00"&amp;$C1203,2)&amp;"/"&amp;RIGHT("00"&amp;$D1203,2)))</f>
        <v/>
      </c>
      <c r="F1203">
        <f>IF(OR($E1203="",$E1203="نامعتبر"),"",LEFT($E1203,4)&amp;"/"&amp;MID($E1203,6,2))</f>
        <v/>
      </c>
      <c r="G1203">
        <f>IF(OR($E1203="",$E1203="نامعتبر",Sync!$Y1200=""),"",Sync!$Y1200)</f>
        <v/>
      </c>
      <c r="H1203">
        <f>IF($G1203="","",IF(Sync!$X1200="","",Sync!$X1200))</f>
        <v/>
      </c>
      <c r="I1203">
        <f>IF($G1203="","",IFERROR(VLOOKUP(Sync!$X1200,OpTbl,3,0),""))</f>
        <v/>
      </c>
      <c r="J1203">
        <f>IF(OR($G1203="",Sync!$Z1200=""),"",Sync!$Z1200)</f>
        <v/>
      </c>
      <c r="K1203">
        <f>IF(OR($G1203="",Sync!$AA1200=""),"",Sync!$AA1200)</f>
        <v/>
      </c>
      <c r="L1203">
        <f>IF($G1203="",0,IF(Sync!$AB1200="",0,Sync!$AB1200))</f>
        <v/>
      </c>
      <c r="M1203">
        <f>IF($G1203="",0,IF(Sync!$AC1200="",0,Sync!$AC1200))</f>
        <v/>
      </c>
      <c r="N1203">
        <f>IF($G1203="","",IF($H1203="مرجوعی خرید",-1,1)*($L1203-$M1203*IFERROR(VLOOKUP("P01",ParamTbl,3,0),1.5))*(1-IF($I1203="خرید",IFERROR(VLOOKUP("P02",ParamTbl,3,0),1),0)/100))</f>
        <v/>
      </c>
      <c r="O1203">
        <f>IF($G1203="",0,IF($H1203="مرجوعی خرید",-1,1)*IF(Sync!$AD1200="",0,Sync!$AD1200))</f>
        <v/>
      </c>
      <c r="P1203">
        <f>IF(OR($G1203="",Sync!$W1200=""),"",Sync!$W1200)</f>
        <v/>
      </c>
      <c r="Q1203">
        <f>IF(OR($G1203="",Sync!$AE1200=""),"",Sync!$AE1200)</f>
        <v/>
      </c>
      <c r="R1203">
        <f>IF($G1203="","",IF(Sync!$V1200="","0000",IF(AND(ISNUMBER(Sync!$V1200),Sync!$V1200&gt;=0,Sync!$V1200&lt;1),RIGHT("00"&amp;HOUR(Sync!$V1200),2)&amp;RIGHT("00"&amp;MINUTE(Sync!$V1200),2),IFERROR(RIGHT("00"&amp;VALUE(LEFT(Sync!$V1200,FIND(":",Sync!$V1200)-1)),2)&amp;RIGHT("00"&amp;VALUE(MID(Sync!$V1200,FIND(":",Sync!$V1200)+1,2)),2),"0000"))))</f>
        <v/>
      </c>
    </row>
    <row r="1204">
      <c r="A1204">
        <f>IF(Sync!$U1201="","",Sync!$U1201)</f>
        <v/>
      </c>
      <c r="B1204">
        <f>IF($A1204="","",IF(ISNUMBER($A1204),IF(AND($A1204&gt;=10000101,$A1204&lt;=99991231),INT($A1204/10000),""),IFERROR(VALUE(TRIM(LEFT($A1204,FIND("/",$A1204)-1))),"")))</f>
        <v/>
      </c>
      <c r="C1204">
        <f>IF(OR($A1204="",$B1204=""),"",IF(ISNUMBER($A1204),INT(MOD($A1204,10000)/100),IFERROR(VALUE(TRIM(LEFT(MID($A1204,FIND("/",$A1204)+1,20),FIND("/",MID($A1204,FIND("/",$A1204)+1,20))-1))),"")))</f>
        <v/>
      </c>
      <c r="D1204">
        <f>IF(OR($A1204="",$B1204=""),"",IF(ISNUMBER($A1204),MOD($A1204,100),IFERROR(VALUE(TRIM(MID(MID($A1204,FIND("/",$A1204)+1,20),FIND("/",MID($A1204,FIND("/",$A1204)+1,20))+1,20))),"")))</f>
        <v/>
      </c>
      <c r="E1204">
        <f>IF($A1204="","",IF(OR($B1204="",$C1204="",$D1204="",$B1204&lt;1300,$B1204&gt;1500,$C1204&lt;1,$C1204&gt;12,$D1204&lt;1,$D1204&gt;31),"نامعتبر",RIGHT("0000"&amp;$B1204,4)&amp;"/"&amp;RIGHT("00"&amp;$C1204,2)&amp;"/"&amp;RIGHT("00"&amp;$D1204,2)))</f>
        <v/>
      </c>
      <c r="F1204">
        <f>IF(OR($E1204="",$E1204="نامعتبر"),"",LEFT($E1204,4)&amp;"/"&amp;MID($E1204,6,2))</f>
        <v/>
      </c>
      <c r="G1204">
        <f>IF(OR($E1204="",$E1204="نامعتبر",Sync!$Y1201=""),"",Sync!$Y1201)</f>
        <v/>
      </c>
      <c r="H1204">
        <f>IF($G1204="","",IF(Sync!$X1201="","",Sync!$X1201))</f>
        <v/>
      </c>
      <c r="I1204">
        <f>IF($G1204="","",IFERROR(VLOOKUP(Sync!$X1201,OpTbl,3,0),""))</f>
        <v/>
      </c>
      <c r="J1204">
        <f>IF(OR($G1204="",Sync!$Z1201=""),"",Sync!$Z1201)</f>
        <v/>
      </c>
      <c r="K1204">
        <f>IF(OR($G1204="",Sync!$AA1201=""),"",Sync!$AA1201)</f>
        <v/>
      </c>
      <c r="L1204">
        <f>IF($G1204="",0,IF(Sync!$AB1201="",0,Sync!$AB1201))</f>
        <v/>
      </c>
      <c r="M1204">
        <f>IF($G1204="",0,IF(Sync!$AC1201="",0,Sync!$AC1201))</f>
        <v/>
      </c>
      <c r="N1204">
        <f>IF($G1204="","",IF($H1204="مرجوعی خرید",-1,1)*($L1204-$M1204*IFERROR(VLOOKUP("P01",ParamTbl,3,0),1.5))*(1-IF($I1204="خرید",IFERROR(VLOOKUP("P02",ParamTbl,3,0),1),0)/100))</f>
        <v/>
      </c>
      <c r="O1204">
        <f>IF($G1204="",0,IF($H1204="مرجوعی خرید",-1,1)*IF(Sync!$AD1201="",0,Sync!$AD1201))</f>
        <v/>
      </c>
      <c r="P1204">
        <f>IF(OR($G1204="",Sync!$W1201=""),"",Sync!$W1201)</f>
        <v/>
      </c>
      <c r="Q1204">
        <f>IF(OR($G1204="",Sync!$AE1201=""),"",Sync!$AE1201)</f>
        <v/>
      </c>
      <c r="R1204">
        <f>IF($G1204="","",IF(Sync!$V1201="","0000",IF(AND(ISNUMBER(Sync!$V1201),Sync!$V1201&gt;=0,Sync!$V1201&lt;1),RIGHT("00"&amp;HOUR(Sync!$V1201),2)&amp;RIGHT("00"&amp;MINUTE(Sync!$V1201),2),IFERROR(RIGHT("00"&amp;VALUE(LEFT(Sync!$V1201,FIND(":",Sync!$V1201)-1)),2)&amp;RIGHT("00"&amp;VALUE(MID(Sync!$V1201,FIND(":",Sync!$V1201)+1,2)),2),"0000"))))</f>
        <v/>
      </c>
    </row>
    <row r="1205">
      <c r="A1205">
        <f>IF(Sync!$U1202="","",Sync!$U1202)</f>
        <v/>
      </c>
      <c r="B1205">
        <f>IF($A1205="","",IF(ISNUMBER($A1205),IF(AND($A1205&gt;=10000101,$A1205&lt;=99991231),INT($A1205/10000),""),IFERROR(VALUE(TRIM(LEFT($A1205,FIND("/",$A1205)-1))),"")))</f>
        <v/>
      </c>
      <c r="C1205">
        <f>IF(OR($A1205="",$B1205=""),"",IF(ISNUMBER($A1205),INT(MOD($A1205,10000)/100),IFERROR(VALUE(TRIM(LEFT(MID($A1205,FIND("/",$A1205)+1,20),FIND("/",MID($A1205,FIND("/",$A1205)+1,20))-1))),"")))</f>
        <v/>
      </c>
      <c r="D1205">
        <f>IF(OR($A1205="",$B1205=""),"",IF(ISNUMBER($A1205),MOD($A1205,100),IFERROR(VALUE(TRIM(MID(MID($A1205,FIND("/",$A1205)+1,20),FIND("/",MID($A1205,FIND("/",$A1205)+1,20))+1,20))),"")))</f>
        <v/>
      </c>
      <c r="E1205">
        <f>IF($A1205="","",IF(OR($B1205="",$C1205="",$D1205="",$B1205&lt;1300,$B1205&gt;1500,$C1205&lt;1,$C1205&gt;12,$D1205&lt;1,$D1205&gt;31),"نامعتبر",RIGHT("0000"&amp;$B1205,4)&amp;"/"&amp;RIGHT("00"&amp;$C1205,2)&amp;"/"&amp;RIGHT("00"&amp;$D1205,2)))</f>
        <v/>
      </c>
      <c r="F1205">
        <f>IF(OR($E1205="",$E1205="نامعتبر"),"",LEFT($E1205,4)&amp;"/"&amp;MID($E1205,6,2))</f>
        <v/>
      </c>
      <c r="G1205">
        <f>IF(OR($E1205="",$E1205="نامعتبر",Sync!$Y1202=""),"",Sync!$Y1202)</f>
        <v/>
      </c>
      <c r="H1205">
        <f>IF($G1205="","",IF(Sync!$X1202="","",Sync!$X1202))</f>
        <v/>
      </c>
      <c r="I1205">
        <f>IF($G1205="","",IFERROR(VLOOKUP(Sync!$X1202,OpTbl,3,0),""))</f>
        <v/>
      </c>
      <c r="J1205">
        <f>IF(OR($G1205="",Sync!$Z1202=""),"",Sync!$Z1202)</f>
        <v/>
      </c>
      <c r="K1205">
        <f>IF(OR($G1205="",Sync!$AA1202=""),"",Sync!$AA1202)</f>
        <v/>
      </c>
      <c r="L1205">
        <f>IF($G1205="",0,IF(Sync!$AB1202="",0,Sync!$AB1202))</f>
        <v/>
      </c>
      <c r="M1205">
        <f>IF($G1205="",0,IF(Sync!$AC1202="",0,Sync!$AC1202))</f>
        <v/>
      </c>
      <c r="N1205">
        <f>IF($G1205="","",IF($H1205="مرجوعی خرید",-1,1)*($L1205-$M1205*IFERROR(VLOOKUP("P01",ParamTbl,3,0),1.5))*(1-IF($I1205="خرید",IFERROR(VLOOKUP("P02",ParamTbl,3,0),1),0)/100))</f>
        <v/>
      </c>
      <c r="O1205">
        <f>IF($G1205="",0,IF($H1205="مرجوعی خرید",-1,1)*IF(Sync!$AD1202="",0,Sync!$AD1202))</f>
        <v/>
      </c>
      <c r="P1205">
        <f>IF(OR($G1205="",Sync!$W1202=""),"",Sync!$W1202)</f>
        <v/>
      </c>
      <c r="Q1205">
        <f>IF(OR($G1205="",Sync!$AE1202=""),"",Sync!$AE1202)</f>
        <v/>
      </c>
      <c r="R1205">
        <f>IF($G1205="","",IF(Sync!$V1202="","0000",IF(AND(ISNUMBER(Sync!$V1202),Sync!$V1202&gt;=0,Sync!$V1202&lt;1),RIGHT("00"&amp;HOUR(Sync!$V1202),2)&amp;RIGHT("00"&amp;MINUTE(Sync!$V1202),2),IFERROR(RIGHT("00"&amp;VALUE(LEFT(Sync!$V1202,FIND(":",Sync!$V1202)-1)),2)&amp;RIGHT("00"&amp;VALUE(MID(Sync!$V1202,FIND(":",Sync!$V1202)+1,2)),2),"0000"))))</f>
        <v/>
      </c>
    </row>
    <row r="1206">
      <c r="A1206">
        <f>IF(Sync!$U1203="","",Sync!$U1203)</f>
        <v/>
      </c>
      <c r="B1206">
        <f>IF($A1206="","",IF(ISNUMBER($A1206),IF(AND($A1206&gt;=10000101,$A1206&lt;=99991231),INT($A1206/10000),""),IFERROR(VALUE(TRIM(LEFT($A1206,FIND("/",$A1206)-1))),"")))</f>
        <v/>
      </c>
      <c r="C1206">
        <f>IF(OR($A1206="",$B1206=""),"",IF(ISNUMBER($A1206),INT(MOD($A1206,10000)/100),IFERROR(VALUE(TRIM(LEFT(MID($A1206,FIND("/",$A1206)+1,20),FIND("/",MID($A1206,FIND("/",$A1206)+1,20))-1))),"")))</f>
        <v/>
      </c>
      <c r="D1206">
        <f>IF(OR($A1206="",$B1206=""),"",IF(ISNUMBER($A1206),MOD($A1206,100),IFERROR(VALUE(TRIM(MID(MID($A1206,FIND("/",$A1206)+1,20),FIND("/",MID($A1206,FIND("/",$A1206)+1,20))+1,20))),"")))</f>
        <v/>
      </c>
      <c r="E1206">
        <f>IF($A1206="","",IF(OR($B1206="",$C1206="",$D1206="",$B1206&lt;1300,$B1206&gt;1500,$C1206&lt;1,$C1206&gt;12,$D1206&lt;1,$D1206&gt;31),"نامعتبر",RIGHT("0000"&amp;$B1206,4)&amp;"/"&amp;RIGHT("00"&amp;$C1206,2)&amp;"/"&amp;RIGHT("00"&amp;$D1206,2)))</f>
        <v/>
      </c>
      <c r="F1206">
        <f>IF(OR($E1206="",$E1206="نامعتبر"),"",LEFT($E1206,4)&amp;"/"&amp;MID($E1206,6,2))</f>
        <v/>
      </c>
      <c r="G1206">
        <f>IF(OR($E1206="",$E1206="نامعتبر",Sync!$Y1203=""),"",Sync!$Y1203)</f>
        <v/>
      </c>
      <c r="H1206">
        <f>IF($G1206="","",IF(Sync!$X1203="","",Sync!$X1203))</f>
        <v/>
      </c>
      <c r="I1206">
        <f>IF($G1206="","",IFERROR(VLOOKUP(Sync!$X1203,OpTbl,3,0),""))</f>
        <v/>
      </c>
      <c r="J1206">
        <f>IF(OR($G1206="",Sync!$Z1203=""),"",Sync!$Z1203)</f>
        <v/>
      </c>
      <c r="K1206">
        <f>IF(OR($G1206="",Sync!$AA1203=""),"",Sync!$AA1203)</f>
        <v/>
      </c>
      <c r="L1206">
        <f>IF($G1206="",0,IF(Sync!$AB1203="",0,Sync!$AB1203))</f>
        <v/>
      </c>
      <c r="M1206">
        <f>IF($G1206="",0,IF(Sync!$AC1203="",0,Sync!$AC1203))</f>
        <v/>
      </c>
      <c r="N1206">
        <f>IF($G1206="","",IF($H1206="مرجوعی خرید",-1,1)*($L1206-$M1206*IFERROR(VLOOKUP("P01",ParamTbl,3,0),1.5))*(1-IF($I1206="خرید",IFERROR(VLOOKUP("P02",ParamTbl,3,0),1),0)/100))</f>
        <v/>
      </c>
      <c r="O1206">
        <f>IF($G1206="",0,IF($H1206="مرجوعی خرید",-1,1)*IF(Sync!$AD1203="",0,Sync!$AD1203))</f>
        <v/>
      </c>
      <c r="P1206">
        <f>IF(OR($G1206="",Sync!$W1203=""),"",Sync!$W1203)</f>
        <v/>
      </c>
      <c r="Q1206">
        <f>IF(OR($G1206="",Sync!$AE1203=""),"",Sync!$AE1203)</f>
        <v/>
      </c>
      <c r="R1206">
        <f>IF($G1206="","",IF(Sync!$V1203="","0000",IF(AND(ISNUMBER(Sync!$V1203),Sync!$V1203&gt;=0,Sync!$V1203&lt;1),RIGHT("00"&amp;HOUR(Sync!$V1203),2)&amp;RIGHT("00"&amp;MINUTE(Sync!$V1203),2),IFERROR(RIGHT("00"&amp;VALUE(LEFT(Sync!$V1203,FIND(":",Sync!$V1203)-1)),2)&amp;RIGHT("00"&amp;VALUE(MID(Sync!$V1203,FIND(":",Sync!$V1203)+1,2)),2),"0000"))))</f>
        <v/>
      </c>
    </row>
    <row r="1207">
      <c r="A1207">
        <f>IF(Sync!$U1204="","",Sync!$U1204)</f>
        <v/>
      </c>
      <c r="B1207">
        <f>IF($A1207="","",IF(ISNUMBER($A1207),IF(AND($A1207&gt;=10000101,$A1207&lt;=99991231),INT($A1207/10000),""),IFERROR(VALUE(TRIM(LEFT($A1207,FIND("/",$A1207)-1))),"")))</f>
        <v/>
      </c>
      <c r="C1207">
        <f>IF(OR($A1207="",$B1207=""),"",IF(ISNUMBER($A1207),INT(MOD($A1207,10000)/100),IFERROR(VALUE(TRIM(LEFT(MID($A1207,FIND("/",$A1207)+1,20),FIND("/",MID($A1207,FIND("/",$A1207)+1,20))-1))),"")))</f>
        <v/>
      </c>
      <c r="D1207">
        <f>IF(OR($A1207="",$B1207=""),"",IF(ISNUMBER($A1207),MOD($A1207,100),IFERROR(VALUE(TRIM(MID(MID($A1207,FIND("/",$A1207)+1,20),FIND("/",MID($A1207,FIND("/",$A1207)+1,20))+1,20))),"")))</f>
        <v/>
      </c>
      <c r="E1207">
        <f>IF($A1207="","",IF(OR($B1207="",$C1207="",$D1207="",$B1207&lt;1300,$B1207&gt;1500,$C1207&lt;1,$C1207&gt;12,$D1207&lt;1,$D1207&gt;31),"نامعتبر",RIGHT("0000"&amp;$B1207,4)&amp;"/"&amp;RIGHT("00"&amp;$C1207,2)&amp;"/"&amp;RIGHT("00"&amp;$D1207,2)))</f>
        <v/>
      </c>
      <c r="F1207">
        <f>IF(OR($E1207="",$E1207="نامعتبر"),"",LEFT($E1207,4)&amp;"/"&amp;MID($E1207,6,2))</f>
        <v/>
      </c>
      <c r="G1207">
        <f>IF(OR($E1207="",$E1207="نامعتبر",Sync!$Y1204=""),"",Sync!$Y1204)</f>
        <v/>
      </c>
      <c r="H1207">
        <f>IF($G1207="","",IF(Sync!$X1204="","",Sync!$X1204))</f>
        <v/>
      </c>
      <c r="I1207">
        <f>IF($G1207="","",IFERROR(VLOOKUP(Sync!$X1204,OpTbl,3,0),""))</f>
        <v/>
      </c>
      <c r="J1207">
        <f>IF(OR($G1207="",Sync!$Z1204=""),"",Sync!$Z1204)</f>
        <v/>
      </c>
      <c r="K1207">
        <f>IF(OR($G1207="",Sync!$AA1204=""),"",Sync!$AA1204)</f>
        <v/>
      </c>
      <c r="L1207">
        <f>IF($G1207="",0,IF(Sync!$AB1204="",0,Sync!$AB1204))</f>
        <v/>
      </c>
      <c r="M1207">
        <f>IF($G1207="",0,IF(Sync!$AC1204="",0,Sync!$AC1204))</f>
        <v/>
      </c>
      <c r="N1207">
        <f>IF($G1207="","",IF($H1207="مرجوعی خرید",-1,1)*($L1207-$M1207*IFERROR(VLOOKUP("P01",ParamTbl,3,0),1.5))*(1-IF($I1207="خرید",IFERROR(VLOOKUP("P02",ParamTbl,3,0),1),0)/100))</f>
        <v/>
      </c>
      <c r="O1207">
        <f>IF($G1207="",0,IF($H1207="مرجوعی خرید",-1,1)*IF(Sync!$AD1204="",0,Sync!$AD1204))</f>
        <v/>
      </c>
      <c r="P1207">
        <f>IF(OR($G1207="",Sync!$W1204=""),"",Sync!$W1204)</f>
        <v/>
      </c>
      <c r="Q1207">
        <f>IF(OR($G1207="",Sync!$AE1204=""),"",Sync!$AE1204)</f>
        <v/>
      </c>
      <c r="R1207">
        <f>IF($G1207="","",IF(Sync!$V1204="","0000",IF(AND(ISNUMBER(Sync!$V1204),Sync!$V1204&gt;=0,Sync!$V1204&lt;1),RIGHT("00"&amp;HOUR(Sync!$V1204),2)&amp;RIGHT("00"&amp;MINUTE(Sync!$V1204),2),IFERROR(RIGHT("00"&amp;VALUE(LEFT(Sync!$V1204,FIND(":",Sync!$V1204)-1)),2)&amp;RIGHT("00"&amp;VALUE(MID(Sync!$V1204,FIND(":",Sync!$V1204)+1,2)),2),"0000"))))</f>
        <v/>
      </c>
    </row>
    <row r="1208">
      <c r="A1208">
        <f>IF(Sync!$U1205="","",Sync!$U1205)</f>
        <v/>
      </c>
      <c r="B1208">
        <f>IF($A1208="","",IF(ISNUMBER($A1208),IF(AND($A1208&gt;=10000101,$A1208&lt;=99991231),INT($A1208/10000),""),IFERROR(VALUE(TRIM(LEFT($A1208,FIND("/",$A1208)-1))),"")))</f>
        <v/>
      </c>
      <c r="C1208">
        <f>IF(OR($A1208="",$B1208=""),"",IF(ISNUMBER($A1208),INT(MOD($A1208,10000)/100),IFERROR(VALUE(TRIM(LEFT(MID($A1208,FIND("/",$A1208)+1,20),FIND("/",MID($A1208,FIND("/",$A1208)+1,20))-1))),"")))</f>
        <v/>
      </c>
      <c r="D1208">
        <f>IF(OR($A1208="",$B1208=""),"",IF(ISNUMBER($A1208),MOD($A1208,100),IFERROR(VALUE(TRIM(MID(MID($A1208,FIND("/",$A1208)+1,20),FIND("/",MID($A1208,FIND("/",$A1208)+1,20))+1,20))),"")))</f>
        <v/>
      </c>
      <c r="E1208">
        <f>IF($A1208="","",IF(OR($B1208="",$C1208="",$D1208="",$B1208&lt;1300,$B1208&gt;1500,$C1208&lt;1,$C1208&gt;12,$D1208&lt;1,$D1208&gt;31),"نامعتبر",RIGHT("0000"&amp;$B1208,4)&amp;"/"&amp;RIGHT("00"&amp;$C1208,2)&amp;"/"&amp;RIGHT("00"&amp;$D1208,2)))</f>
        <v/>
      </c>
      <c r="F1208">
        <f>IF(OR($E1208="",$E1208="نامعتبر"),"",LEFT($E1208,4)&amp;"/"&amp;MID($E1208,6,2))</f>
        <v/>
      </c>
      <c r="G1208">
        <f>IF(OR($E1208="",$E1208="نامعتبر",Sync!$Y1205=""),"",Sync!$Y1205)</f>
        <v/>
      </c>
      <c r="H1208">
        <f>IF($G1208="","",IF(Sync!$X1205="","",Sync!$X1205))</f>
        <v/>
      </c>
      <c r="I1208">
        <f>IF($G1208="","",IFERROR(VLOOKUP(Sync!$X1205,OpTbl,3,0),""))</f>
        <v/>
      </c>
      <c r="J1208">
        <f>IF(OR($G1208="",Sync!$Z1205=""),"",Sync!$Z1205)</f>
        <v/>
      </c>
      <c r="K1208">
        <f>IF(OR($G1208="",Sync!$AA1205=""),"",Sync!$AA1205)</f>
        <v/>
      </c>
      <c r="L1208">
        <f>IF($G1208="",0,IF(Sync!$AB1205="",0,Sync!$AB1205))</f>
        <v/>
      </c>
      <c r="M1208">
        <f>IF($G1208="",0,IF(Sync!$AC1205="",0,Sync!$AC1205))</f>
        <v/>
      </c>
      <c r="N1208">
        <f>IF($G1208="","",IF($H1208="مرجوعی خرید",-1,1)*($L1208-$M1208*IFERROR(VLOOKUP("P01",ParamTbl,3,0),1.5))*(1-IF($I1208="خرید",IFERROR(VLOOKUP("P02",ParamTbl,3,0),1),0)/100))</f>
        <v/>
      </c>
      <c r="O1208">
        <f>IF($G1208="",0,IF($H1208="مرجوعی خرید",-1,1)*IF(Sync!$AD1205="",0,Sync!$AD1205))</f>
        <v/>
      </c>
      <c r="P1208">
        <f>IF(OR($G1208="",Sync!$W1205=""),"",Sync!$W1205)</f>
        <v/>
      </c>
      <c r="Q1208">
        <f>IF(OR($G1208="",Sync!$AE1205=""),"",Sync!$AE1205)</f>
        <v/>
      </c>
      <c r="R1208">
        <f>IF($G1208="","",IF(Sync!$V1205="","0000",IF(AND(ISNUMBER(Sync!$V1205),Sync!$V1205&gt;=0,Sync!$V1205&lt;1),RIGHT("00"&amp;HOUR(Sync!$V1205),2)&amp;RIGHT("00"&amp;MINUTE(Sync!$V1205),2),IFERROR(RIGHT("00"&amp;VALUE(LEFT(Sync!$V1205,FIND(":",Sync!$V1205)-1)),2)&amp;RIGHT("00"&amp;VALUE(MID(Sync!$V1205,FIND(":",Sync!$V1205)+1,2)),2),"0000"))))</f>
        <v/>
      </c>
    </row>
    <row r="1209">
      <c r="A1209">
        <f>IF(Sync!$U1206="","",Sync!$U1206)</f>
        <v/>
      </c>
      <c r="B1209">
        <f>IF($A1209="","",IF(ISNUMBER($A1209),IF(AND($A1209&gt;=10000101,$A1209&lt;=99991231),INT($A1209/10000),""),IFERROR(VALUE(TRIM(LEFT($A1209,FIND("/",$A1209)-1))),"")))</f>
        <v/>
      </c>
      <c r="C1209">
        <f>IF(OR($A1209="",$B1209=""),"",IF(ISNUMBER($A1209),INT(MOD($A1209,10000)/100),IFERROR(VALUE(TRIM(LEFT(MID($A1209,FIND("/",$A1209)+1,20),FIND("/",MID($A1209,FIND("/",$A1209)+1,20))-1))),"")))</f>
        <v/>
      </c>
      <c r="D1209">
        <f>IF(OR($A1209="",$B1209=""),"",IF(ISNUMBER($A1209),MOD($A1209,100),IFERROR(VALUE(TRIM(MID(MID($A1209,FIND("/",$A1209)+1,20),FIND("/",MID($A1209,FIND("/",$A1209)+1,20))+1,20))),"")))</f>
        <v/>
      </c>
      <c r="E1209">
        <f>IF($A1209="","",IF(OR($B1209="",$C1209="",$D1209="",$B1209&lt;1300,$B1209&gt;1500,$C1209&lt;1,$C1209&gt;12,$D1209&lt;1,$D1209&gt;31),"نامعتبر",RIGHT("0000"&amp;$B1209,4)&amp;"/"&amp;RIGHT("00"&amp;$C1209,2)&amp;"/"&amp;RIGHT("00"&amp;$D1209,2)))</f>
        <v/>
      </c>
      <c r="F1209">
        <f>IF(OR($E1209="",$E1209="نامعتبر"),"",LEFT($E1209,4)&amp;"/"&amp;MID($E1209,6,2))</f>
        <v/>
      </c>
      <c r="G1209">
        <f>IF(OR($E1209="",$E1209="نامعتبر",Sync!$Y1206=""),"",Sync!$Y1206)</f>
        <v/>
      </c>
      <c r="H1209">
        <f>IF($G1209="","",IF(Sync!$X1206="","",Sync!$X1206))</f>
        <v/>
      </c>
      <c r="I1209">
        <f>IF($G1209="","",IFERROR(VLOOKUP(Sync!$X1206,OpTbl,3,0),""))</f>
        <v/>
      </c>
      <c r="J1209">
        <f>IF(OR($G1209="",Sync!$Z1206=""),"",Sync!$Z1206)</f>
        <v/>
      </c>
      <c r="K1209">
        <f>IF(OR($G1209="",Sync!$AA1206=""),"",Sync!$AA1206)</f>
        <v/>
      </c>
      <c r="L1209">
        <f>IF($G1209="",0,IF(Sync!$AB1206="",0,Sync!$AB1206))</f>
        <v/>
      </c>
      <c r="M1209">
        <f>IF($G1209="",0,IF(Sync!$AC1206="",0,Sync!$AC1206))</f>
        <v/>
      </c>
      <c r="N1209">
        <f>IF($G1209="","",IF($H1209="مرجوعی خرید",-1,1)*($L1209-$M1209*IFERROR(VLOOKUP("P01",ParamTbl,3,0),1.5))*(1-IF($I1209="خرید",IFERROR(VLOOKUP("P02",ParamTbl,3,0),1),0)/100))</f>
        <v/>
      </c>
      <c r="O1209">
        <f>IF($G1209="",0,IF($H1209="مرجوعی خرید",-1,1)*IF(Sync!$AD1206="",0,Sync!$AD1206))</f>
        <v/>
      </c>
      <c r="P1209">
        <f>IF(OR($G1209="",Sync!$W1206=""),"",Sync!$W1206)</f>
        <v/>
      </c>
      <c r="Q1209">
        <f>IF(OR($G1209="",Sync!$AE1206=""),"",Sync!$AE1206)</f>
        <v/>
      </c>
      <c r="R1209">
        <f>IF($G1209="","",IF(Sync!$V1206="","0000",IF(AND(ISNUMBER(Sync!$V1206),Sync!$V1206&gt;=0,Sync!$V1206&lt;1),RIGHT("00"&amp;HOUR(Sync!$V1206),2)&amp;RIGHT("00"&amp;MINUTE(Sync!$V1206),2),IFERROR(RIGHT("00"&amp;VALUE(LEFT(Sync!$V1206,FIND(":",Sync!$V1206)-1)),2)&amp;RIGHT("00"&amp;VALUE(MID(Sync!$V1206,FIND(":",Sync!$V1206)+1,2)),2),"0000"))))</f>
        <v/>
      </c>
    </row>
    <row r="1210">
      <c r="A1210">
        <f>IF(Sync!$U1207="","",Sync!$U1207)</f>
        <v/>
      </c>
      <c r="B1210">
        <f>IF($A1210="","",IF(ISNUMBER($A1210),IF(AND($A1210&gt;=10000101,$A1210&lt;=99991231),INT($A1210/10000),""),IFERROR(VALUE(TRIM(LEFT($A1210,FIND("/",$A1210)-1))),"")))</f>
        <v/>
      </c>
      <c r="C1210">
        <f>IF(OR($A1210="",$B1210=""),"",IF(ISNUMBER($A1210),INT(MOD($A1210,10000)/100),IFERROR(VALUE(TRIM(LEFT(MID($A1210,FIND("/",$A1210)+1,20),FIND("/",MID($A1210,FIND("/",$A1210)+1,20))-1))),"")))</f>
        <v/>
      </c>
      <c r="D1210">
        <f>IF(OR($A1210="",$B1210=""),"",IF(ISNUMBER($A1210),MOD($A1210,100),IFERROR(VALUE(TRIM(MID(MID($A1210,FIND("/",$A1210)+1,20),FIND("/",MID($A1210,FIND("/",$A1210)+1,20))+1,20))),"")))</f>
        <v/>
      </c>
      <c r="E1210">
        <f>IF($A1210="","",IF(OR($B1210="",$C1210="",$D1210="",$B1210&lt;1300,$B1210&gt;1500,$C1210&lt;1,$C1210&gt;12,$D1210&lt;1,$D1210&gt;31),"نامعتبر",RIGHT("0000"&amp;$B1210,4)&amp;"/"&amp;RIGHT("00"&amp;$C1210,2)&amp;"/"&amp;RIGHT("00"&amp;$D1210,2)))</f>
        <v/>
      </c>
      <c r="F1210">
        <f>IF(OR($E1210="",$E1210="نامعتبر"),"",LEFT($E1210,4)&amp;"/"&amp;MID($E1210,6,2))</f>
        <v/>
      </c>
      <c r="G1210">
        <f>IF(OR($E1210="",$E1210="نامعتبر",Sync!$Y1207=""),"",Sync!$Y1207)</f>
        <v/>
      </c>
      <c r="H1210">
        <f>IF($G1210="","",IF(Sync!$X1207="","",Sync!$X1207))</f>
        <v/>
      </c>
      <c r="I1210">
        <f>IF($G1210="","",IFERROR(VLOOKUP(Sync!$X1207,OpTbl,3,0),""))</f>
        <v/>
      </c>
      <c r="J1210">
        <f>IF(OR($G1210="",Sync!$Z1207=""),"",Sync!$Z1207)</f>
        <v/>
      </c>
      <c r="K1210">
        <f>IF(OR($G1210="",Sync!$AA1207=""),"",Sync!$AA1207)</f>
        <v/>
      </c>
      <c r="L1210">
        <f>IF($G1210="",0,IF(Sync!$AB1207="",0,Sync!$AB1207))</f>
        <v/>
      </c>
      <c r="M1210">
        <f>IF($G1210="",0,IF(Sync!$AC1207="",0,Sync!$AC1207))</f>
        <v/>
      </c>
      <c r="N1210">
        <f>IF($G1210="","",IF($H1210="مرجوعی خرید",-1,1)*($L1210-$M1210*IFERROR(VLOOKUP("P01",ParamTbl,3,0),1.5))*(1-IF($I1210="خرید",IFERROR(VLOOKUP("P02",ParamTbl,3,0),1),0)/100))</f>
        <v/>
      </c>
      <c r="O1210">
        <f>IF($G1210="",0,IF($H1210="مرجوعی خرید",-1,1)*IF(Sync!$AD1207="",0,Sync!$AD1207))</f>
        <v/>
      </c>
      <c r="P1210">
        <f>IF(OR($G1210="",Sync!$W1207=""),"",Sync!$W1207)</f>
        <v/>
      </c>
      <c r="Q1210">
        <f>IF(OR($G1210="",Sync!$AE1207=""),"",Sync!$AE1207)</f>
        <v/>
      </c>
      <c r="R1210">
        <f>IF($G1210="","",IF(Sync!$V1207="","0000",IF(AND(ISNUMBER(Sync!$V1207),Sync!$V1207&gt;=0,Sync!$V1207&lt;1),RIGHT("00"&amp;HOUR(Sync!$V1207),2)&amp;RIGHT("00"&amp;MINUTE(Sync!$V1207),2),IFERROR(RIGHT("00"&amp;VALUE(LEFT(Sync!$V1207,FIND(":",Sync!$V1207)-1)),2)&amp;RIGHT("00"&amp;VALUE(MID(Sync!$V1207,FIND(":",Sync!$V1207)+1,2)),2),"0000"))))</f>
        <v/>
      </c>
    </row>
    <row r="1211">
      <c r="A1211">
        <f>IF(Sync!$U1208="","",Sync!$U1208)</f>
        <v/>
      </c>
      <c r="B1211">
        <f>IF($A1211="","",IF(ISNUMBER($A1211),IF(AND($A1211&gt;=10000101,$A1211&lt;=99991231),INT($A1211/10000),""),IFERROR(VALUE(TRIM(LEFT($A1211,FIND("/",$A1211)-1))),"")))</f>
        <v/>
      </c>
      <c r="C1211">
        <f>IF(OR($A1211="",$B1211=""),"",IF(ISNUMBER($A1211),INT(MOD($A1211,10000)/100),IFERROR(VALUE(TRIM(LEFT(MID($A1211,FIND("/",$A1211)+1,20),FIND("/",MID($A1211,FIND("/",$A1211)+1,20))-1))),"")))</f>
        <v/>
      </c>
      <c r="D1211">
        <f>IF(OR($A1211="",$B1211=""),"",IF(ISNUMBER($A1211),MOD($A1211,100),IFERROR(VALUE(TRIM(MID(MID($A1211,FIND("/",$A1211)+1,20),FIND("/",MID($A1211,FIND("/",$A1211)+1,20))+1,20))),"")))</f>
        <v/>
      </c>
      <c r="E1211">
        <f>IF($A1211="","",IF(OR($B1211="",$C1211="",$D1211="",$B1211&lt;1300,$B1211&gt;1500,$C1211&lt;1,$C1211&gt;12,$D1211&lt;1,$D1211&gt;31),"نامعتبر",RIGHT("0000"&amp;$B1211,4)&amp;"/"&amp;RIGHT("00"&amp;$C1211,2)&amp;"/"&amp;RIGHT("00"&amp;$D1211,2)))</f>
        <v/>
      </c>
      <c r="F1211">
        <f>IF(OR($E1211="",$E1211="نامعتبر"),"",LEFT($E1211,4)&amp;"/"&amp;MID($E1211,6,2))</f>
        <v/>
      </c>
      <c r="G1211">
        <f>IF(OR($E1211="",$E1211="نامعتبر",Sync!$Y1208=""),"",Sync!$Y1208)</f>
        <v/>
      </c>
      <c r="H1211">
        <f>IF($G1211="","",IF(Sync!$X1208="","",Sync!$X1208))</f>
        <v/>
      </c>
      <c r="I1211">
        <f>IF($G1211="","",IFERROR(VLOOKUP(Sync!$X1208,OpTbl,3,0),""))</f>
        <v/>
      </c>
      <c r="J1211">
        <f>IF(OR($G1211="",Sync!$Z1208=""),"",Sync!$Z1208)</f>
        <v/>
      </c>
      <c r="K1211">
        <f>IF(OR($G1211="",Sync!$AA1208=""),"",Sync!$AA1208)</f>
        <v/>
      </c>
      <c r="L1211">
        <f>IF($G1211="",0,IF(Sync!$AB1208="",0,Sync!$AB1208))</f>
        <v/>
      </c>
      <c r="M1211">
        <f>IF($G1211="",0,IF(Sync!$AC1208="",0,Sync!$AC1208))</f>
        <v/>
      </c>
      <c r="N1211">
        <f>IF($G1211="","",IF($H1211="مرجوعی خرید",-1,1)*($L1211-$M1211*IFERROR(VLOOKUP("P01",ParamTbl,3,0),1.5))*(1-IF($I1211="خرید",IFERROR(VLOOKUP("P02",ParamTbl,3,0),1),0)/100))</f>
        <v/>
      </c>
      <c r="O1211">
        <f>IF($G1211="",0,IF($H1211="مرجوعی خرید",-1,1)*IF(Sync!$AD1208="",0,Sync!$AD1208))</f>
        <v/>
      </c>
      <c r="P1211">
        <f>IF(OR($G1211="",Sync!$W1208=""),"",Sync!$W1208)</f>
        <v/>
      </c>
      <c r="Q1211">
        <f>IF(OR($G1211="",Sync!$AE1208=""),"",Sync!$AE1208)</f>
        <v/>
      </c>
      <c r="R1211">
        <f>IF($G1211="","",IF(Sync!$V1208="","0000",IF(AND(ISNUMBER(Sync!$V1208),Sync!$V1208&gt;=0,Sync!$V1208&lt;1),RIGHT("00"&amp;HOUR(Sync!$V1208),2)&amp;RIGHT("00"&amp;MINUTE(Sync!$V1208),2),IFERROR(RIGHT("00"&amp;VALUE(LEFT(Sync!$V1208,FIND(":",Sync!$V1208)-1)),2)&amp;RIGHT("00"&amp;VALUE(MID(Sync!$V1208,FIND(":",Sync!$V1208)+1,2)),2),"0000"))))</f>
        <v/>
      </c>
    </row>
    <row r="1212">
      <c r="A1212">
        <f>IF(Sync!$U1209="","",Sync!$U1209)</f>
        <v/>
      </c>
      <c r="B1212">
        <f>IF($A1212="","",IF(ISNUMBER($A1212),IF(AND($A1212&gt;=10000101,$A1212&lt;=99991231),INT($A1212/10000),""),IFERROR(VALUE(TRIM(LEFT($A1212,FIND("/",$A1212)-1))),"")))</f>
        <v/>
      </c>
      <c r="C1212">
        <f>IF(OR($A1212="",$B1212=""),"",IF(ISNUMBER($A1212),INT(MOD($A1212,10000)/100),IFERROR(VALUE(TRIM(LEFT(MID($A1212,FIND("/",$A1212)+1,20),FIND("/",MID($A1212,FIND("/",$A1212)+1,20))-1))),"")))</f>
        <v/>
      </c>
      <c r="D1212">
        <f>IF(OR($A1212="",$B1212=""),"",IF(ISNUMBER($A1212),MOD($A1212,100),IFERROR(VALUE(TRIM(MID(MID($A1212,FIND("/",$A1212)+1,20),FIND("/",MID($A1212,FIND("/",$A1212)+1,20))+1,20))),"")))</f>
        <v/>
      </c>
      <c r="E1212">
        <f>IF($A1212="","",IF(OR($B1212="",$C1212="",$D1212="",$B1212&lt;1300,$B1212&gt;1500,$C1212&lt;1,$C1212&gt;12,$D1212&lt;1,$D1212&gt;31),"نامعتبر",RIGHT("0000"&amp;$B1212,4)&amp;"/"&amp;RIGHT("00"&amp;$C1212,2)&amp;"/"&amp;RIGHT("00"&amp;$D1212,2)))</f>
        <v/>
      </c>
      <c r="F1212">
        <f>IF(OR($E1212="",$E1212="نامعتبر"),"",LEFT($E1212,4)&amp;"/"&amp;MID($E1212,6,2))</f>
        <v/>
      </c>
      <c r="G1212">
        <f>IF(OR($E1212="",$E1212="نامعتبر",Sync!$Y1209=""),"",Sync!$Y1209)</f>
        <v/>
      </c>
      <c r="H1212">
        <f>IF($G1212="","",IF(Sync!$X1209="","",Sync!$X1209))</f>
        <v/>
      </c>
      <c r="I1212">
        <f>IF($G1212="","",IFERROR(VLOOKUP(Sync!$X1209,OpTbl,3,0),""))</f>
        <v/>
      </c>
      <c r="J1212">
        <f>IF(OR($G1212="",Sync!$Z1209=""),"",Sync!$Z1209)</f>
        <v/>
      </c>
      <c r="K1212">
        <f>IF(OR($G1212="",Sync!$AA1209=""),"",Sync!$AA1209)</f>
        <v/>
      </c>
      <c r="L1212">
        <f>IF($G1212="",0,IF(Sync!$AB1209="",0,Sync!$AB1209))</f>
        <v/>
      </c>
      <c r="M1212">
        <f>IF($G1212="",0,IF(Sync!$AC1209="",0,Sync!$AC1209))</f>
        <v/>
      </c>
      <c r="N1212">
        <f>IF($G1212="","",IF($H1212="مرجوعی خرید",-1,1)*($L1212-$M1212*IFERROR(VLOOKUP("P01",ParamTbl,3,0),1.5))*(1-IF($I1212="خرید",IFERROR(VLOOKUP("P02",ParamTbl,3,0),1),0)/100))</f>
        <v/>
      </c>
      <c r="O1212">
        <f>IF($G1212="",0,IF($H1212="مرجوعی خرید",-1,1)*IF(Sync!$AD1209="",0,Sync!$AD1209))</f>
        <v/>
      </c>
      <c r="P1212">
        <f>IF(OR($G1212="",Sync!$W1209=""),"",Sync!$W1209)</f>
        <v/>
      </c>
      <c r="Q1212">
        <f>IF(OR($G1212="",Sync!$AE1209=""),"",Sync!$AE1209)</f>
        <v/>
      </c>
      <c r="R1212">
        <f>IF($G1212="","",IF(Sync!$V1209="","0000",IF(AND(ISNUMBER(Sync!$V1209),Sync!$V1209&gt;=0,Sync!$V1209&lt;1),RIGHT("00"&amp;HOUR(Sync!$V1209),2)&amp;RIGHT("00"&amp;MINUTE(Sync!$V1209),2),IFERROR(RIGHT("00"&amp;VALUE(LEFT(Sync!$V1209,FIND(":",Sync!$V1209)-1)),2)&amp;RIGHT("00"&amp;VALUE(MID(Sync!$V1209,FIND(":",Sync!$V1209)+1,2)),2),"0000"))))</f>
        <v/>
      </c>
    </row>
    <row r="1213">
      <c r="A1213">
        <f>IF(Sync!$U1210="","",Sync!$U1210)</f>
        <v/>
      </c>
      <c r="B1213">
        <f>IF($A1213="","",IF(ISNUMBER($A1213),IF(AND($A1213&gt;=10000101,$A1213&lt;=99991231),INT($A1213/10000),""),IFERROR(VALUE(TRIM(LEFT($A1213,FIND("/",$A1213)-1))),"")))</f>
        <v/>
      </c>
      <c r="C1213">
        <f>IF(OR($A1213="",$B1213=""),"",IF(ISNUMBER($A1213),INT(MOD($A1213,10000)/100),IFERROR(VALUE(TRIM(LEFT(MID($A1213,FIND("/",$A1213)+1,20),FIND("/",MID($A1213,FIND("/",$A1213)+1,20))-1))),"")))</f>
        <v/>
      </c>
      <c r="D1213">
        <f>IF(OR($A1213="",$B1213=""),"",IF(ISNUMBER($A1213),MOD($A1213,100),IFERROR(VALUE(TRIM(MID(MID($A1213,FIND("/",$A1213)+1,20),FIND("/",MID($A1213,FIND("/",$A1213)+1,20))+1,20))),"")))</f>
        <v/>
      </c>
      <c r="E1213">
        <f>IF($A1213="","",IF(OR($B1213="",$C1213="",$D1213="",$B1213&lt;1300,$B1213&gt;1500,$C1213&lt;1,$C1213&gt;12,$D1213&lt;1,$D1213&gt;31),"نامعتبر",RIGHT("0000"&amp;$B1213,4)&amp;"/"&amp;RIGHT("00"&amp;$C1213,2)&amp;"/"&amp;RIGHT("00"&amp;$D1213,2)))</f>
        <v/>
      </c>
      <c r="F1213">
        <f>IF(OR($E1213="",$E1213="نامعتبر"),"",LEFT($E1213,4)&amp;"/"&amp;MID($E1213,6,2))</f>
        <v/>
      </c>
      <c r="G1213">
        <f>IF(OR($E1213="",$E1213="نامعتبر",Sync!$Y1210=""),"",Sync!$Y1210)</f>
        <v/>
      </c>
      <c r="H1213">
        <f>IF($G1213="","",IF(Sync!$X1210="","",Sync!$X1210))</f>
        <v/>
      </c>
      <c r="I1213">
        <f>IF($G1213="","",IFERROR(VLOOKUP(Sync!$X1210,OpTbl,3,0),""))</f>
        <v/>
      </c>
      <c r="J1213">
        <f>IF(OR($G1213="",Sync!$Z1210=""),"",Sync!$Z1210)</f>
        <v/>
      </c>
      <c r="K1213">
        <f>IF(OR($G1213="",Sync!$AA1210=""),"",Sync!$AA1210)</f>
        <v/>
      </c>
      <c r="L1213">
        <f>IF($G1213="",0,IF(Sync!$AB1210="",0,Sync!$AB1210))</f>
        <v/>
      </c>
      <c r="M1213">
        <f>IF($G1213="",0,IF(Sync!$AC1210="",0,Sync!$AC1210))</f>
        <v/>
      </c>
      <c r="N1213">
        <f>IF($G1213="","",IF($H1213="مرجوعی خرید",-1,1)*($L1213-$M1213*IFERROR(VLOOKUP("P01",ParamTbl,3,0),1.5))*(1-IF($I1213="خرید",IFERROR(VLOOKUP("P02",ParamTbl,3,0),1),0)/100))</f>
        <v/>
      </c>
      <c r="O1213">
        <f>IF($G1213="",0,IF($H1213="مرجوعی خرید",-1,1)*IF(Sync!$AD1210="",0,Sync!$AD1210))</f>
        <v/>
      </c>
      <c r="P1213">
        <f>IF(OR($G1213="",Sync!$W1210=""),"",Sync!$W1210)</f>
        <v/>
      </c>
      <c r="Q1213">
        <f>IF(OR($G1213="",Sync!$AE1210=""),"",Sync!$AE1210)</f>
        <v/>
      </c>
      <c r="R1213">
        <f>IF($G1213="","",IF(Sync!$V1210="","0000",IF(AND(ISNUMBER(Sync!$V1210),Sync!$V1210&gt;=0,Sync!$V1210&lt;1),RIGHT("00"&amp;HOUR(Sync!$V1210),2)&amp;RIGHT("00"&amp;MINUTE(Sync!$V1210),2),IFERROR(RIGHT("00"&amp;VALUE(LEFT(Sync!$V1210,FIND(":",Sync!$V1210)-1)),2)&amp;RIGHT("00"&amp;VALUE(MID(Sync!$V1210,FIND(":",Sync!$V1210)+1,2)),2),"0000"))))</f>
        <v/>
      </c>
    </row>
    <row r="1214">
      <c r="A1214">
        <f>IF(Sync!$U1211="","",Sync!$U1211)</f>
        <v/>
      </c>
      <c r="B1214">
        <f>IF($A1214="","",IF(ISNUMBER($A1214),IF(AND($A1214&gt;=10000101,$A1214&lt;=99991231),INT($A1214/10000),""),IFERROR(VALUE(TRIM(LEFT($A1214,FIND("/",$A1214)-1))),"")))</f>
        <v/>
      </c>
      <c r="C1214">
        <f>IF(OR($A1214="",$B1214=""),"",IF(ISNUMBER($A1214),INT(MOD($A1214,10000)/100),IFERROR(VALUE(TRIM(LEFT(MID($A1214,FIND("/",$A1214)+1,20),FIND("/",MID($A1214,FIND("/",$A1214)+1,20))-1))),"")))</f>
        <v/>
      </c>
      <c r="D1214">
        <f>IF(OR($A1214="",$B1214=""),"",IF(ISNUMBER($A1214),MOD($A1214,100),IFERROR(VALUE(TRIM(MID(MID($A1214,FIND("/",$A1214)+1,20),FIND("/",MID($A1214,FIND("/",$A1214)+1,20))+1,20))),"")))</f>
        <v/>
      </c>
      <c r="E1214">
        <f>IF($A1214="","",IF(OR($B1214="",$C1214="",$D1214="",$B1214&lt;1300,$B1214&gt;1500,$C1214&lt;1,$C1214&gt;12,$D1214&lt;1,$D1214&gt;31),"نامعتبر",RIGHT("0000"&amp;$B1214,4)&amp;"/"&amp;RIGHT("00"&amp;$C1214,2)&amp;"/"&amp;RIGHT("00"&amp;$D1214,2)))</f>
        <v/>
      </c>
      <c r="F1214">
        <f>IF(OR($E1214="",$E1214="نامعتبر"),"",LEFT($E1214,4)&amp;"/"&amp;MID($E1214,6,2))</f>
        <v/>
      </c>
      <c r="G1214">
        <f>IF(OR($E1214="",$E1214="نامعتبر",Sync!$Y1211=""),"",Sync!$Y1211)</f>
        <v/>
      </c>
      <c r="H1214">
        <f>IF($G1214="","",IF(Sync!$X1211="","",Sync!$X1211))</f>
        <v/>
      </c>
      <c r="I1214">
        <f>IF($G1214="","",IFERROR(VLOOKUP(Sync!$X1211,OpTbl,3,0),""))</f>
        <v/>
      </c>
      <c r="J1214">
        <f>IF(OR($G1214="",Sync!$Z1211=""),"",Sync!$Z1211)</f>
        <v/>
      </c>
      <c r="K1214">
        <f>IF(OR($G1214="",Sync!$AA1211=""),"",Sync!$AA1211)</f>
        <v/>
      </c>
      <c r="L1214">
        <f>IF($G1214="",0,IF(Sync!$AB1211="",0,Sync!$AB1211))</f>
        <v/>
      </c>
      <c r="M1214">
        <f>IF($G1214="",0,IF(Sync!$AC1211="",0,Sync!$AC1211))</f>
        <v/>
      </c>
      <c r="N1214">
        <f>IF($G1214="","",IF($H1214="مرجوعی خرید",-1,1)*($L1214-$M1214*IFERROR(VLOOKUP("P01",ParamTbl,3,0),1.5))*(1-IF($I1214="خرید",IFERROR(VLOOKUP("P02",ParamTbl,3,0),1),0)/100))</f>
        <v/>
      </c>
      <c r="O1214">
        <f>IF($G1214="",0,IF($H1214="مرجوعی خرید",-1,1)*IF(Sync!$AD1211="",0,Sync!$AD1211))</f>
        <v/>
      </c>
      <c r="P1214">
        <f>IF(OR($G1214="",Sync!$W1211=""),"",Sync!$W1211)</f>
        <v/>
      </c>
      <c r="Q1214">
        <f>IF(OR($G1214="",Sync!$AE1211=""),"",Sync!$AE1211)</f>
        <v/>
      </c>
      <c r="R1214">
        <f>IF($G1214="","",IF(Sync!$V1211="","0000",IF(AND(ISNUMBER(Sync!$V1211),Sync!$V1211&gt;=0,Sync!$V1211&lt;1),RIGHT("00"&amp;HOUR(Sync!$V1211),2)&amp;RIGHT("00"&amp;MINUTE(Sync!$V1211),2),IFERROR(RIGHT("00"&amp;VALUE(LEFT(Sync!$V1211,FIND(":",Sync!$V1211)-1)),2)&amp;RIGHT("00"&amp;VALUE(MID(Sync!$V1211,FIND(":",Sync!$V1211)+1,2)),2),"0000"))))</f>
        <v/>
      </c>
    </row>
    <row r="1215">
      <c r="A1215">
        <f>IF(Sync!$U1212="","",Sync!$U1212)</f>
        <v/>
      </c>
      <c r="B1215">
        <f>IF($A1215="","",IF(ISNUMBER($A1215),IF(AND($A1215&gt;=10000101,$A1215&lt;=99991231),INT($A1215/10000),""),IFERROR(VALUE(TRIM(LEFT($A1215,FIND("/",$A1215)-1))),"")))</f>
        <v/>
      </c>
      <c r="C1215">
        <f>IF(OR($A1215="",$B1215=""),"",IF(ISNUMBER($A1215),INT(MOD($A1215,10000)/100),IFERROR(VALUE(TRIM(LEFT(MID($A1215,FIND("/",$A1215)+1,20),FIND("/",MID($A1215,FIND("/",$A1215)+1,20))-1))),"")))</f>
        <v/>
      </c>
      <c r="D1215">
        <f>IF(OR($A1215="",$B1215=""),"",IF(ISNUMBER($A1215),MOD($A1215,100),IFERROR(VALUE(TRIM(MID(MID($A1215,FIND("/",$A1215)+1,20),FIND("/",MID($A1215,FIND("/",$A1215)+1,20))+1,20))),"")))</f>
        <v/>
      </c>
      <c r="E1215">
        <f>IF($A1215="","",IF(OR($B1215="",$C1215="",$D1215="",$B1215&lt;1300,$B1215&gt;1500,$C1215&lt;1,$C1215&gt;12,$D1215&lt;1,$D1215&gt;31),"نامعتبر",RIGHT("0000"&amp;$B1215,4)&amp;"/"&amp;RIGHT("00"&amp;$C1215,2)&amp;"/"&amp;RIGHT("00"&amp;$D1215,2)))</f>
        <v/>
      </c>
      <c r="F1215">
        <f>IF(OR($E1215="",$E1215="نامعتبر"),"",LEFT($E1215,4)&amp;"/"&amp;MID($E1215,6,2))</f>
        <v/>
      </c>
      <c r="G1215">
        <f>IF(OR($E1215="",$E1215="نامعتبر",Sync!$Y1212=""),"",Sync!$Y1212)</f>
        <v/>
      </c>
      <c r="H1215">
        <f>IF($G1215="","",IF(Sync!$X1212="","",Sync!$X1212))</f>
        <v/>
      </c>
      <c r="I1215">
        <f>IF($G1215="","",IFERROR(VLOOKUP(Sync!$X1212,OpTbl,3,0),""))</f>
        <v/>
      </c>
      <c r="J1215">
        <f>IF(OR($G1215="",Sync!$Z1212=""),"",Sync!$Z1212)</f>
        <v/>
      </c>
      <c r="K1215">
        <f>IF(OR($G1215="",Sync!$AA1212=""),"",Sync!$AA1212)</f>
        <v/>
      </c>
      <c r="L1215">
        <f>IF($G1215="",0,IF(Sync!$AB1212="",0,Sync!$AB1212))</f>
        <v/>
      </c>
      <c r="M1215">
        <f>IF($G1215="",0,IF(Sync!$AC1212="",0,Sync!$AC1212))</f>
        <v/>
      </c>
      <c r="N1215">
        <f>IF($G1215="","",IF($H1215="مرجوعی خرید",-1,1)*($L1215-$M1215*IFERROR(VLOOKUP("P01",ParamTbl,3,0),1.5))*(1-IF($I1215="خرید",IFERROR(VLOOKUP("P02",ParamTbl,3,0),1),0)/100))</f>
        <v/>
      </c>
      <c r="O1215">
        <f>IF($G1215="",0,IF($H1215="مرجوعی خرید",-1,1)*IF(Sync!$AD1212="",0,Sync!$AD1212))</f>
        <v/>
      </c>
      <c r="P1215">
        <f>IF(OR($G1215="",Sync!$W1212=""),"",Sync!$W1212)</f>
        <v/>
      </c>
      <c r="Q1215">
        <f>IF(OR($G1215="",Sync!$AE1212=""),"",Sync!$AE1212)</f>
        <v/>
      </c>
      <c r="R1215">
        <f>IF($G1215="","",IF(Sync!$V1212="","0000",IF(AND(ISNUMBER(Sync!$V1212),Sync!$V1212&gt;=0,Sync!$V1212&lt;1),RIGHT("00"&amp;HOUR(Sync!$V1212),2)&amp;RIGHT("00"&amp;MINUTE(Sync!$V1212),2),IFERROR(RIGHT("00"&amp;VALUE(LEFT(Sync!$V1212,FIND(":",Sync!$V1212)-1)),2)&amp;RIGHT("00"&amp;VALUE(MID(Sync!$V1212,FIND(":",Sync!$V1212)+1,2)),2),"0000"))))</f>
        <v/>
      </c>
    </row>
    <row r="1216">
      <c r="A1216">
        <f>IF(Sync!$U1213="","",Sync!$U1213)</f>
        <v/>
      </c>
      <c r="B1216">
        <f>IF($A1216="","",IF(ISNUMBER($A1216),IF(AND($A1216&gt;=10000101,$A1216&lt;=99991231),INT($A1216/10000),""),IFERROR(VALUE(TRIM(LEFT($A1216,FIND("/",$A1216)-1))),"")))</f>
        <v/>
      </c>
      <c r="C1216">
        <f>IF(OR($A1216="",$B1216=""),"",IF(ISNUMBER($A1216),INT(MOD($A1216,10000)/100),IFERROR(VALUE(TRIM(LEFT(MID($A1216,FIND("/",$A1216)+1,20),FIND("/",MID($A1216,FIND("/",$A1216)+1,20))-1))),"")))</f>
        <v/>
      </c>
      <c r="D1216">
        <f>IF(OR($A1216="",$B1216=""),"",IF(ISNUMBER($A1216),MOD($A1216,100),IFERROR(VALUE(TRIM(MID(MID($A1216,FIND("/",$A1216)+1,20),FIND("/",MID($A1216,FIND("/",$A1216)+1,20))+1,20))),"")))</f>
        <v/>
      </c>
      <c r="E1216">
        <f>IF($A1216="","",IF(OR($B1216="",$C1216="",$D1216="",$B1216&lt;1300,$B1216&gt;1500,$C1216&lt;1,$C1216&gt;12,$D1216&lt;1,$D1216&gt;31),"نامعتبر",RIGHT("0000"&amp;$B1216,4)&amp;"/"&amp;RIGHT("00"&amp;$C1216,2)&amp;"/"&amp;RIGHT("00"&amp;$D1216,2)))</f>
        <v/>
      </c>
      <c r="F1216">
        <f>IF(OR($E1216="",$E1216="نامعتبر"),"",LEFT($E1216,4)&amp;"/"&amp;MID($E1216,6,2))</f>
        <v/>
      </c>
      <c r="G1216">
        <f>IF(OR($E1216="",$E1216="نامعتبر",Sync!$Y1213=""),"",Sync!$Y1213)</f>
        <v/>
      </c>
      <c r="H1216">
        <f>IF($G1216="","",IF(Sync!$X1213="","",Sync!$X1213))</f>
        <v/>
      </c>
      <c r="I1216">
        <f>IF($G1216="","",IFERROR(VLOOKUP(Sync!$X1213,OpTbl,3,0),""))</f>
        <v/>
      </c>
      <c r="J1216">
        <f>IF(OR($G1216="",Sync!$Z1213=""),"",Sync!$Z1213)</f>
        <v/>
      </c>
      <c r="K1216">
        <f>IF(OR($G1216="",Sync!$AA1213=""),"",Sync!$AA1213)</f>
        <v/>
      </c>
      <c r="L1216">
        <f>IF($G1216="",0,IF(Sync!$AB1213="",0,Sync!$AB1213))</f>
        <v/>
      </c>
      <c r="M1216">
        <f>IF($G1216="",0,IF(Sync!$AC1213="",0,Sync!$AC1213))</f>
        <v/>
      </c>
      <c r="N1216">
        <f>IF($G1216="","",IF($H1216="مرجوعی خرید",-1,1)*($L1216-$M1216*IFERROR(VLOOKUP("P01",ParamTbl,3,0),1.5))*(1-IF($I1216="خرید",IFERROR(VLOOKUP("P02",ParamTbl,3,0),1),0)/100))</f>
        <v/>
      </c>
      <c r="O1216">
        <f>IF($G1216="",0,IF($H1216="مرجوعی خرید",-1,1)*IF(Sync!$AD1213="",0,Sync!$AD1213))</f>
        <v/>
      </c>
      <c r="P1216">
        <f>IF(OR($G1216="",Sync!$W1213=""),"",Sync!$W1213)</f>
        <v/>
      </c>
      <c r="Q1216">
        <f>IF(OR($G1216="",Sync!$AE1213=""),"",Sync!$AE1213)</f>
        <v/>
      </c>
      <c r="R1216">
        <f>IF($G1216="","",IF(Sync!$V1213="","0000",IF(AND(ISNUMBER(Sync!$V1213),Sync!$V1213&gt;=0,Sync!$V1213&lt;1),RIGHT("00"&amp;HOUR(Sync!$V1213),2)&amp;RIGHT("00"&amp;MINUTE(Sync!$V1213),2),IFERROR(RIGHT("00"&amp;VALUE(LEFT(Sync!$V1213,FIND(":",Sync!$V1213)-1)),2)&amp;RIGHT("00"&amp;VALUE(MID(Sync!$V1213,FIND(":",Sync!$V1213)+1,2)),2),"0000"))))</f>
        <v/>
      </c>
    </row>
    <row r="1217">
      <c r="A1217">
        <f>IF(Sync!$U1214="","",Sync!$U1214)</f>
        <v/>
      </c>
      <c r="B1217">
        <f>IF($A1217="","",IF(ISNUMBER($A1217),IF(AND($A1217&gt;=10000101,$A1217&lt;=99991231),INT($A1217/10000),""),IFERROR(VALUE(TRIM(LEFT($A1217,FIND("/",$A1217)-1))),"")))</f>
        <v/>
      </c>
      <c r="C1217">
        <f>IF(OR($A1217="",$B1217=""),"",IF(ISNUMBER($A1217),INT(MOD($A1217,10000)/100),IFERROR(VALUE(TRIM(LEFT(MID($A1217,FIND("/",$A1217)+1,20),FIND("/",MID($A1217,FIND("/",$A1217)+1,20))-1))),"")))</f>
        <v/>
      </c>
      <c r="D1217">
        <f>IF(OR($A1217="",$B1217=""),"",IF(ISNUMBER($A1217),MOD($A1217,100),IFERROR(VALUE(TRIM(MID(MID($A1217,FIND("/",$A1217)+1,20),FIND("/",MID($A1217,FIND("/",$A1217)+1,20))+1,20))),"")))</f>
        <v/>
      </c>
      <c r="E1217">
        <f>IF($A1217="","",IF(OR($B1217="",$C1217="",$D1217="",$B1217&lt;1300,$B1217&gt;1500,$C1217&lt;1,$C1217&gt;12,$D1217&lt;1,$D1217&gt;31),"نامعتبر",RIGHT("0000"&amp;$B1217,4)&amp;"/"&amp;RIGHT("00"&amp;$C1217,2)&amp;"/"&amp;RIGHT("00"&amp;$D1217,2)))</f>
        <v/>
      </c>
      <c r="F1217">
        <f>IF(OR($E1217="",$E1217="نامعتبر"),"",LEFT($E1217,4)&amp;"/"&amp;MID($E1217,6,2))</f>
        <v/>
      </c>
      <c r="G1217">
        <f>IF(OR($E1217="",$E1217="نامعتبر",Sync!$Y1214=""),"",Sync!$Y1214)</f>
        <v/>
      </c>
      <c r="H1217">
        <f>IF($G1217="","",IF(Sync!$X1214="","",Sync!$X1214))</f>
        <v/>
      </c>
      <c r="I1217">
        <f>IF($G1217="","",IFERROR(VLOOKUP(Sync!$X1214,OpTbl,3,0),""))</f>
        <v/>
      </c>
      <c r="J1217">
        <f>IF(OR($G1217="",Sync!$Z1214=""),"",Sync!$Z1214)</f>
        <v/>
      </c>
      <c r="K1217">
        <f>IF(OR($G1217="",Sync!$AA1214=""),"",Sync!$AA1214)</f>
        <v/>
      </c>
      <c r="L1217">
        <f>IF($G1217="",0,IF(Sync!$AB1214="",0,Sync!$AB1214))</f>
        <v/>
      </c>
      <c r="M1217">
        <f>IF($G1217="",0,IF(Sync!$AC1214="",0,Sync!$AC1214))</f>
        <v/>
      </c>
      <c r="N1217">
        <f>IF($G1217="","",IF($H1217="مرجوعی خرید",-1,1)*($L1217-$M1217*IFERROR(VLOOKUP("P01",ParamTbl,3,0),1.5))*(1-IF($I1217="خرید",IFERROR(VLOOKUP("P02",ParamTbl,3,0),1),0)/100))</f>
        <v/>
      </c>
      <c r="O1217">
        <f>IF($G1217="",0,IF($H1217="مرجوعی خرید",-1,1)*IF(Sync!$AD1214="",0,Sync!$AD1214))</f>
        <v/>
      </c>
      <c r="P1217">
        <f>IF(OR($G1217="",Sync!$W1214=""),"",Sync!$W1214)</f>
        <v/>
      </c>
      <c r="Q1217">
        <f>IF(OR($G1217="",Sync!$AE1214=""),"",Sync!$AE1214)</f>
        <v/>
      </c>
      <c r="R1217">
        <f>IF($G1217="","",IF(Sync!$V1214="","0000",IF(AND(ISNUMBER(Sync!$V1214),Sync!$V1214&gt;=0,Sync!$V1214&lt;1),RIGHT("00"&amp;HOUR(Sync!$V1214),2)&amp;RIGHT("00"&amp;MINUTE(Sync!$V1214),2),IFERROR(RIGHT("00"&amp;VALUE(LEFT(Sync!$V1214,FIND(":",Sync!$V1214)-1)),2)&amp;RIGHT("00"&amp;VALUE(MID(Sync!$V1214,FIND(":",Sync!$V1214)+1,2)),2),"0000"))))</f>
        <v/>
      </c>
    </row>
    <row r="1218">
      <c r="A1218">
        <f>IF(Sync!$U1215="","",Sync!$U1215)</f>
        <v/>
      </c>
      <c r="B1218">
        <f>IF($A1218="","",IF(ISNUMBER($A1218),IF(AND($A1218&gt;=10000101,$A1218&lt;=99991231),INT($A1218/10000),""),IFERROR(VALUE(TRIM(LEFT($A1218,FIND("/",$A1218)-1))),"")))</f>
        <v/>
      </c>
      <c r="C1218">
        <f>IF(OR($A1218="",$B1218=""),"",IF(ISNUMBER($A1218),INT(MOD($A1218,10000)/100),IFERROR(VALUE(TRIM(LEFT(MID($A1218,FIND("/",$A1218)+1,20),FIND("/",MID($A1218,FIND("/",$A1218)+1,20))-1))),"")))</f>
        <v/>
      </c>
      <c r="D1218">
        <f>IF(OR($A1218="",$B1218=""),"",IF(ISNUMBER($A1218),MOD($A1218,100),IFERROR(VALUE(TRIM(MID(MID($A1218,FIND("/",$A1218)+1,20),FIND("/",MID($A1218,FIND("/",$A1218)+1,20))+1,20))),"")))</f>
        <v/>
      </c>
      <c r="E1218">
        <f>IF($A1218="","",IF(OR($B1218="",$C1218="",$D1218="",$B1218&lt;1300,$B1218&gt;1500,$C1218&lt;1,$C1218&gt;12,$D1218&lt;1,$D1218&gt;31),"نامعتبر",RIGHT("0000"&amp;$B1218,4)&amp;"/"&amp;RIGHT("00"&amp;$C1218,2)&amp;"/"&amp;RIGHT("00"&amp;$D1218,2)))</f>
        <v/>
      </c>
      <c r="F1218">
        <f>IF(OR($E1218="",$E1218="نامعتبر"),"",LEFT($E1218,4)&amp;"/"&amp;MID($E1218,6,2))</f>
        <v/>
      </c>
      <c r="G1218">
        <f>IF(OR($E1218="",$E1218="نامعتبر",Sync!$Y1215=""),"",Sync!$Y1215)</f>
        <v/>
      </c>
      <c r="H1218">
        <f>IF($G1218="","",IF(Sync!$X1215="","",Sync!$X1215))</f>
        <v/>
      </c>
      <c r="I1218">
        <f>IF($G1218="","",IFERROR(VLOOKUP(Sync!$X1215,OpTbl,3,0),""))</f>
        <v/>
      </c>
      <c r="J1218">
        <f>IF(OR($G1218="",Sync!$Z1215=""),"",Sync!$Z1215)</f>
        <v/>
      </c>
      <c r="K1218">
        <f>IF(OR($G1218="",Sync!$AA1215=""),"",Sync!$AA1215)</f>
        <v/>
      </c>
      <c r="L1218">
        <f>IF($G1218="",0,IF(Sync!$AB1215="",0,Sync!$AB1215))</f>
        <v/>
      </c>
      <c r="M1218">
        <f>IF($G1218="",0,IF(Sync!$AC1215="",0,Sync!$AC1215))</f>
        <v/>
      </c>
      <c r="N1218">
        <f>IF($G1218="","",IF($H1218="مرجوعی خرید",-1,1)*($L1218-$M1218*IFERROR(VLOOKUP("P01",ParamTbl,3,0),1.5))*(1-IF($I1218="خرید",IFERROR(VLOOKUP("P02",ParamTbl,3,0),1),0)/100))</f>
        <v/>
      </c>
      <c r="O1218">
        <f>IF($G1218="",0,IF($H1218="مرجوعی خرید",-1,1)*IF(Sync!$AD1215="",0,Sync!$AD1215))</f>
        <v/>
      </c>
      <c r="P1218">
        <f>IF(OR($G1218="",Sync!$W1215=""),"",Sync!$W1215)</f>
        <v/>
      </c>
      <c r="Q1218">
        <f>IF(OR($G1218="",Sync!$AE1215=""),"",Sync!$AE1215)</f>
        <v/>
      </c>
      <c r="R1218">
        <f>IF($G1218="","",IF(Sync!$V1215="","0000",IF(AND(ISNUMBER(Sync!$V1215),Sync!$V1215&gt;=0,Sync!$V1215&lt;1),RIGHT("00"&amp;HOUR(Sync!$V1215),2)&amp;RIGHT("00"&amp;MINUTE(Sync!$V1215),2),IFERROR(RIGHT("00"&amp;VALUE(LEFT(Sync!$V1215,FIND(":",Sync!$V1215)-1)),2)&amp;RIGHT("00"&amp;VALUE(MID(Sync!$V1215,FIND(":",Sync!$V1215)+1,2)),2),"0000"))))</f>
        <v/>
      </c>
    </row>
    <row r="1219">
      <c r="A1219">
        <f>IF(Sync!$U1216="","",Sync!$U1216)</f>
        <v/>
      </c>
      <c r="B1219">
        <f>IF($A1219="","",IF(ISNUMBER($A1219),IF(AND($A1219&gt;=10000101,$A1219&lt;=99991231),INT($A1219/10000),""),IFERROR(VALUE(TRIM(LEFT($A1219,FIND("/",$A1219)-1))),"")))</f>
        <v/>
      </c>
      <c r="C1219">
        <f>IF(OR($A1219="",$B1219=""),"",IF(ISNUMBER($A1219),INT(MOD($A1219,10000)/100),IFERROR(VALUE(TRIM(LEFT(MID($A1219,FIND("/",$A1219)+1,20),FIND("/",MID($A1219,FIND("/",$A1219)+1,20))-1))),"")))</f>
        <v/>
      </c>
      <c r="D1219">
        <f>IF(OR($A1219="",$B1219=""),"",IF(ISNUMBER($A1219),MOD($A1219,100),IFERROR(VALUE(TRIM(MID(MID($A1219,FIND("/",$A1219)+1,20),FIND("/",MID($A1219,FIND("/",$A1219)+1,20))+1,20))),"")))</f>
        <v/>
      </c>
      <c r="E1219">
        <f>IF($A1219="","",IF(OR($B1219="",$C1219="",$D1219="",$B1219&lt;1300,$B1219&gt;1500,$C1219&lt;1,$C1219&gt;12,$D1219&lt;1,$D1219&gt;31),"نامعتبر",RIGHT("0000"&amp;$B1219,4)&amp;"/"&amp;RIGHT("00"&amp;$C1219,2)&amp;"/"&amp;RIGHT("00"&amp;$D1219,2)))</f>
        <v/>
      </c>
      <c r="F1219">
        <f>IF(OR($E1219="",$E1219="نامعتبر"),"",LEFT($E1219,4)&amp;"/"&amp;MID($E1219,6,2))</f>
        <v/>
      </c>
      <c r="G1219">
        <f>IF(OR($E1219="",$E1219="نامعتبر",Sync!$Y1216=""),"",Sync!$Y1216)</f>
        <v/>
      </c>
      <c r="H1219">
        <f>IF($G1219="","",IF(Sync!$X1216="","",Sync!$X1216))</f>
        <v/>
      </c>
      <c r="I1219">
        <f>IF($G1219="","",IFERROR(VLOOKUP(Sync!$X1216,OpTbl,3,0),""))</f>
        <v/>
      </c>
      <c r="J1219">
        <f>IF(OR($G1219="",Sync!$Z1216=""),"",Sync!$Z1216)</f>
        <v/>
      </c>
      <c r="K1219">
        <f>IF(OR($G1219="",Sync!$AA1216=""),"",Sync!$AA1216)</f>
        <v/>
      </c>
      <c r="L1219">
        <f>IF($G1219="",0,IF(Sync!$AB1216="",0,Sync!$AB1216))</f>
        <v/>
      </c>
      <c r="M1219">
        <f>IF($G1219="",0,IF(Sync!$AC1216="",0,Sync!$AC1216))</f>
        <v/>
      </c>
      <c r="N1219">
        <f>IF($G1219="","",IF($H1219="مرجوعی خرید",-1,1)*($L1219-$M1219*IFERROR(VLOOKUP("P01",ParamTbl,3,0),1.5))*(1-IF($I1219="خرید",IFERROR(VLOOKUP("P02",ParamTbl,3,0),1),0)/100))</f>
        <v/>
      </c>
      <c r="O1219">
        <f>IF($G1219="",0,IF($H1219="مرجوعی خرید",-1,1)*IF(Sync!$AD1216="",0,Sync!$AD1216))</f>
        <v/>
      </c>
      <c r="P1219">
        <f>IF(OR($G1219="",Sync!$W1216=""),"",Sync!$W1216)</f>
        <v/>
      </c>
      <c r="Q1219">
        <f>IF(OR($G1219="",Sync!$AE1216=""),"",Sync!$AE1216)</f>
        <v/>
      </c>
      <c r="R1219">
        <f>IF($G1219="","",IF(Sync!$V1216="","0000",IF(AND(ISNUMBER(Sync!$V1216),Sync!$V1216&gt;=0,Sync!$V1216&lt;1),RIGHT("00"&amp;HOUR(Sync!$V1216),2)&amp;RIGHT("00"&amp;MINUTE(Sync!$V1216),2),IFERROR(RIGHT("00"&amp;VALUE(LEFT(Sync!$V1216,FIND(":",Sync!$V1216)-1)),2)&amp;RIGHT("00"&amp;VALUE(MID(Sync!$V1216,FIND(":",Sync!$V1216)+1,2)),2),"0000"))))</f>
        <v/>
      </c>
    </row>
    <row r="1220">
      <c r="A1220">
        <f>IF(Sync!$U1217="","",Sync!$U1217)</f>
        <v/>
      </c>
      <c r="B1220">
        <f>IF($A1220="","",IF(ISNUMBER($A1220),IF(AND($A1220&gt;=10000101,$A1220&lt;=99991231),INT($A1220/10000),""),IFERROR(VALUE(TRIM(LEFT($A1220,FIND("/",$A1220)-1))),"")))</f>
        <v/>
      </c>
      <c r="C1220">
        <f>IF(OR($A1220="",$B1220=""),"",IF(ISNUMBER($A1220),INT(MOD($A1220,10000)/100),IFERROR(VALUE(TRIM(LEFT(MID($A1220,FIND("/",$A1220)+1,20),FIND("/",MID($A1220,FIND("/",$A1220)+1,20))-1))),"")))</f>
        <v/>
      </c>
      <c r="D1220">
        <f>IF(OR($A1220="",$B1220=""),"",IF(ISNUMBER($A1220),MOD($A1220,100),IFERROR(VALUE(TRIM(MID(MID($A1220,FIND("/",$A1220)+1,20),FIND("/",MID($A1220,FIND("/",$A1220)+1,20))+1,20))),"")))</f>
        <v/>
      </c>
      <c r="E1220">
        <f>IF($A1220="","",IF(OR($B1220="",$C1220="",$D1220="",$B1220&lt;1300,$B1220&gt;1500,$C1220&lt;1,$C1220&gt;12,$D1220&lt;1,$D1220&gt;31),"نامعتبر",RIGHT("0000"&amp;$B1220,4)&amp;"/"&amp;RIGHT("00"&amp;$C1220,2)&amp;"/"&amp;RIGHT("00"&amp;$D1220,2)))</f>
        <v/>
      </c>
      <c r="F1220">
        <f>IF(OR($E1220="",$E1220="نامعتبر"),"",LEFT($E1220,4)&amp;"/"&amp;MID($E1220,6,2))</f>
        <v/>
      </c>
      <c r="G1220">
        <f>IF(OR($E1220="",$E1220="نامعتبر",Sync!$Y1217=""),"",Sync!$Y1217)</f>
        <v/>
      </c>
      <c r="H1220">
        <f>IF($G1220="","",IF(Sync!$X1217="","",Sync!$X1217))</f>
        <v/>
      </c>
      <c r="I1220">
        <f>IF($G1220="","",IFERROR(VLOOKUP(Sync!$X1217,OpTbl,3,0),""))</f>
        <v/>
      </c>
      <c r="J1220">
        <f>IF(OR($G1220="",Sync!$Z1217=""),"",Sync!$Z1217)</f>
        <v/>
      </c>
      <c r="K1220">
        <f>IF(OR($G1220="",Sync!$AA1217=""),"",Sync!$AA1217)</f>
        <v/>
      </c>
      <c r="L1220">
        <f>IF($G1220="",0,IF(Sync!$AB1217="",0,Sync!$AB1217))</f>
        <v/>
      </c>
      <c r="M1220">
        <f>IF($G1220="",0,IF(Sync!$AC1217="",0,Sync!$AC1217))</f>
        <v/>
      </c>
      <c r="N1220">
        <f>IF($G1220="","",IF($H1220="مرجوعی خرید",-1,1)*($L1220-$M1220*IFERROR(VLOOKUP("P01",ParamTbl,3,0),1.5))*(1-IF($I1220="خرید",IFERROR(VLOOKUP("P02",ParamTbl,3,0),1),0)/100))</f>
        <v/>
      </c>
      <c r="O1220">
        <f>IF($G1220="",0,IF($H1220="مرجوعی خرید",-1,1)*IF(Sync!$AD1217="",0,Sync!$AD1217))</f>
        <v/>
      </c>
      <c r="P1220">
        <f>IF(OR($G1220="",Sync!$W1217=""),"",Sync!$W1217)</f>
        <v/>
      </c>
      <c r="Q1220">
        <f>IF(OR($G1220="",Sync!$AE1217=""),"",Sync!$AE1217)</f>
        <v/>
      </c>
      <c r="R1220">
        <f>IF($G1220="","",IF(Sync!$V1217="","0000",IF(AND(ISNUMBER(Sync!$V1217),Sync!$V1217&gt;=0,Sync!$V1217&lt;1),RIGHT("00"&amp;HOUR(Sync!$V1217),2)&amp;RIGHT("00"&amp;MINUTE(Sync!$V1217),2),IFERROR(RIGHT("00"&amp;VALUE(LEFT(Sync!$V1217,FIND(":",Sync!$V1217)-1)),2)&amp;RIGHT("00"&amp;VALUE(MID(Sync!$V1217,FIND(":",Sync!$V1217)+1,2)),2),"0000"))))</f>
        <v/>
      </c>
    </row>
    <row r="1221">
      <c r="A1221">
        <f>IF(Sync!$U1218="","",Sync!$U1218)</f>
        <v/>
      </c>
      <c r="B1221">
        <f>IF($A1221="","",IF(ISNUMBER($A1221),IF(AND($A1221&gt;=10000101,$A1221&lt;=99991231),INT($A1221/10000),""),IFERROR(VALUE(TRIM(LEFT($A1221,FIND("/",$A1221)-1))),"")))</f>
        <v/>
      </c>
      <c r="C1221">
        <f>IF(OR($A1221="",$B1221=""),"",IF(ISNUMBER($A1221),INT(MOD($A1221,10000)/100),IFERROR(VALUE(TRIM(LEFT(MID($A1221,FIND("/",$A1221)+1,20),FIND("/",MID($A1221,FIND("/",$A1221)+1,20))-1))),"")))</f>
        <v/>
      </c>
      <c r="D1221">
        <f>IF(OR($A1221="",$B1221=""),"",IF(ISNUMBER($A1221),MOD($A1221,100),IFERROR(VALUE(TRIM(MID(MID($A1221,FIND("/",$A1221)+1,20),FIND("/",MID($A1221,FIND("/",$A1221)+1,20))+1,20))),"")))</f>
        <v/>
      </c>
      <c r="E1221">
        <f>IF($A1221="","",IF(OR($B1221="",$C1221="",$D1221="",$B1221&lt;1300,$B1221&gt;1500,$C1221&lt;1,$C1221&gt;12,$D1221&lt;1,$D1221&gt;31),"نامعتبر",RIGHT("0000"&amp;$B1221,4)&amp;"/"&amp;RIGHT("00"&amp;$C1221,2)&amp;"/"&amp;RIGHT("00"&amp;$D1221,2)))</f>
        <v/>
      </c>
      <c r="F1221">
        <f>IF(OR($E1221="",$E1221="نامعتبر"),"",LEFT($E1221,4)&amp;"/"&amp;MID($E1221,6,2))</f>
        <v/>
      </c>
      <c r="G1221">
        <f>IF(OR($E1221="",$E1221="نامعتبر",Sync!$Y1218=""),"",Sync!$Y1218)</f>
        <v/>
      </c>
      <c r="H1221">
        <f>IF($G1221="","",IF(Sync!$X1218="","",Sync!$X1218))</f>
        <v/>
      </c>
      <c r="I1221">
        <f>IF($G1221="","",IFERROR(VLOOKUP(Sync!$X1218,OpTbl,3,0),""))</f>
        <v/>
      </c>
      <c r="J1221">
        <f>IF(OR($G1221="",Sync!$Z1218=""),"",Sync!$Z1218)</f>
        <v/>
      </c>
      <c r="K1221">
        <f>IF(OR($G1221="",Sync!$AA1218=""),"",Sync!$AA1218)</f>
        <v/>
      </c>
      <c r="L1221">
        <f>IF($G1221="",0,IF(Sync!$AB1218="",0,Sync!$AB1218))</f>
        <v/>
      </c>
      <c r="M1221">
        <f>IF($G1221="",0,IF(Sync!$AC1218="",0,Sync!$AC1218))</f>
        <v/>
      </c>
      <c r="N1221">
        <f>IF($G1221="","",IF($H1221="مرجوعی خرید",-1,1)*($L1221-$M1221*IFERROR(VLOOKUP("P01",ParamTbl,3,0),1.5))*(1-IF($I1221="خرید",IFERROR(VLOOKUP("P02",ParamTbl,3,0),1),0)/100))</f>
        <v/>
      </c>
      <c r="O1221">
        <f>IF($G1221="",0,IF($H1221="مرجوعی خرید",-1,1)*IF(Sync!$AD1218="",0,Sync!$AD1218))</f>
        <v/>
      </c>
      <c r="P1221">
        <f>IF(OR($G1221="",Sync!$W1218=""),"",Sync!$W1218)</f>
        <v/>
      </c>
      <c r="Q1221">
        <f>IF(OR($G1221="",Sync!$AE1218=""),"",Sync!$AE1218)</f>
        <v/>
      </c>
      <c r="R1221">
        <f>IF($G1221="","",IF(Sync!$V1218="","0000",IF(AND(ISNUMBER(Sync!$V1218),Sync!$V1218&gt;=0,Sync!$V1218&lt;1),RIGHT("00"&amp;HOUR(Sync!$V1218),2)&amp;RIGHT("00"&amp;MINUTE(Sync!$V1218),2),IFERROR(RIGHT("00"&amp;VALUE(LEFT(Sync!$V1218,FIND(":",Sync!$V1218)-1)),2)&amp;RIGHT("00"&amp;VALUE(MID(Sync!$V1218,FIND(":",Sync!$V1218)+1,2)),2),"0000"))))</f>
        <v/>
      </c>
    </row>
    <row r="1222">
      <c r="A1222">
        <f>IF(Sync!$U1219="","",Sync!$U1219)</f>
        <v/>
      </c>
      <c r="B1222">
        <f>IF($A1222="","",IF(ISNUMBER($A1222),IF(AND($A1222&gt;=10000101,$A1222&lt;=99991231),INT($A1222/10000),""),IFERROR(VALUE(TRIM(LEFT($A1222,FIND("/",$A1222)-1))),"")))</f>
        <v/>
      </c>
      <c r="C1222">
        <f>IF(OR($A1222="",$B1222=""),"",IF(ISNUMBER($A1222),INT(MOD($A1222,10000)/100),IFERROR(VALUE(TRIM(LEFT(MID($A1222,FIND("/",$A1222)+1,20),FIND("/",MID($A1222,FIND("/",$A1222)+1,20))-1))),"")))</f>
        <v/>
      </c>
      <c r="D1222">
        <f>IF(OR($A1222="",$B1222=""),"",IF(ISNUMBER($A1222),MOD($A1222,100),IFERROR(VALUE(TRIM(MID(MID($A1222,FIND("/",$A1222)+1,20),FIND("/",MID($A1222,FIND("/",$A1222)+1,20))+1,20))),"")))</f>
        <v/>
      </c>
      <c r="E1222">
        <f>IF($A1222="","",IF(OR($B1222="",$C1222="",$D1222="",$B1222&lt;1300,$B1222&gt;1500,$C1222&lt;1,$C1222&gt;12,$D1222&lt;1,$D1222&gt;31),"نامعتبر",RIGHT("0000"&amp;$B1222,4)&amp;"/"&amp;RIGHT("00"&amp;$C1222,2)&amp;"/"&amp;RIGHT("00"&amp;$D1222,2)))</f>
        <v/>
      </c>
      <c r="F1222">
        <f>IF(OR($E1222="",$E1222="نامعتبر"),"",LEFT($E1222,4)&amp;"/"&amp;MID($E1222,6,2))</f>
        <v/>
      </c>
      <c r="G1222">
        <f>IF(OR($E1222="",$E1222="نامعتبر",Sync!$Y1219=""),"",Sync!$Y1219)</f>
        <v/>
      </c>
      <c r="H1222">
        <f>IF($G1222="","",IF(Sync!$X1219="","",Sync!$X1219))</f>
        <v/>
      </c>
      <c r="I1222">
        <f>IF($G1222="","",IFERROR(VLOOKUP(Sync!$X1219,OpTbl,3,0),""))</f>
        <v/>
      </c>
      <c r="J1222">
        <f>IF(OR($G1222="",Sync!$Z1219=""),"",Sync!$Z1219)</f>
        <v/>
      </c>
      <c r="K1222">
        <f>IF(OR($G1222="",Sync!$AA1219=""),"",Sync!$AA1219)</f>
        <v/>
      </c>
      <c r="L1222">
        <f>IF($G1222="",0,IF(Sync!$AB1219="",0,Sync!$AB1219))</f>
        <v/>
      </c>
      <c r="M1222">
        <f>IF($G1222="",0,IF(Sync!$AC1219="",0,Sync!$AC1219))</f>
        <v/>
      </c>
      <c r="N1222">
        <f>IF($G1222="","",IF($H1222="مرجوعی خرید",-1,1)*($L1222-$M1222*IFERROR(VLOOKUP("P01",ParamTbl,3,0),1.5))*(1-IF($I1222="خرید",IFERROR(VLOOKUP("P02",ParamTbl,3,0),1),0)/100))</f>
        <v/>
      </c>
      <c r="O1222">
        <f>IF($G1222="",0,IF($H1222="مرجوعی خرید",-1,1)*IF(Sync!$AD1219="",0,Sync!$AD1219))</f>
        <v/>
      </c>
      <c r="P1222">
        <f>IF(OR($G1222="",Sync!$W1219=""),"",Sync!$W1219)</f>
        <v/>
      </c>
      <c r="Q1222">
        <f>IF(OR($G1222="",Sync!$AE1219=""),"",Sync!$AE1219)</f>
        <v/>
      </c>
      <c r="R1222">
        <f>IF($G1222="","",IF(Sync!$V1219="","0000",IF(AND(ISNUMBER(Sync!$V1219),Sync!$V1219&gt;=0,Sync!$V1219&lt;1),RIGHT("00"&amp;HOUR(Sync!$V1219),2)&amp;RIGHT("00"&amp;MINUTE(Sync!$V1219),2),IFERROR(RIGHT("00"&amp;VALUE(LEFT(Sync!$V1219,FIND(":",Sync!$V1219)-1)),2)&amp;RIGHT("00"&amp;VALUE(MID(Sync!$V1219,FIND(":",Sync!$V1219)+1,2)),2),"0000"))))</f>
        <v/>
      </c>
    </row>
    <row r="1223">
      <c r="A1223">
        <f>IF(Sync!$U1220="","",Sync!$U1220)</f>
        <v/>
      </c>
      <c r="B1223">
        <f>IF($A1223="","",IF(ISNUMBER($A1223),IF(AND($A1223&gt;=10000101,$A1223&lt;=99991231),INT($A1223/10000),""),IFERROR(VALUE(TRIM(LEFT($A1223,FIND("/",$A1223)-1))),"")))</f>
        <v/>
      </c>
      <c r="C1223">
        <f>IF(OR($A1223="",$B1223=""),"",IF(ISNUMBER($A1223),INT(MOD($A1223,10000)/100),IFERROR(VALUE(TRIM(LEFT(MID($A1223,FIND("/",$A1223)+1,20),FIND("/",MID($A1223,FIND("/",$A1223)+1,20))-1))),"")))</f>
        <v/>
      </c>
      <c r="D1223">
        <f>IF(OR($A1223="",$B1223=""),"",IF(ISNUMBER($A1223),MOD($A1223,100),IFERROR(VALUE(TRIM(MID(MID($A1223,FIND("/",$A1223)+1,20),FIND("/",MID($A1223,FIND("/",$A1223)+1,20))+1,20))),"")))</f>
        <v/>
      </c>
      <c r="E1223">
        <f>IF($A1223="","",IF(OR($B1223="",$C1223="",$D1223="",$B1223&lt;1300,$B1223&gt;1500,$C1223&lt;1,$C1223&gt;12,$D1223&lt;1,$D1223&gt;31),"نامعتبر",RIGHT("0000"&amp;$B1223,4)&amp;"/"&amp;RIGHT("00"&amp;$C1223,2)&amp;"/"&amp;RIGHT("00"&amp;$D1223,2)))</f>
        <v/>
      </c>
      <c r="F1223">
        <f>IF(OR($E1223="",$E1223="نامعتبر"),"",LEFT($E1223,4)&amp;"/"&amp;MID($E1223,6,2))</f>
        <v/>
      </c>
      <c r="G1223">
        <f>IF(OR($E1223="",$E1223="نامعتبر",Sync!$Y1220=""),"",Sync!$Y1220)</f>
        <v/>
      </c>
      <c r="H1223">
        <f>IF($G1223="","",IF(Sync!$X1220="","",Sync!$X1220))</f>
        <v/>
      </c>
      <c r="I1223">
        <f>IF($G1223="","",IFERROR(VLOOKUP(Sync!$X1220,OpTbl,3,0),""))</f>
        <v/>
      </c>
      <c r="J1223">
        <f>IF(OR($G1223="",Sync!$Z1220=""),"",Sync!$Z1220)</f>
        <v/>
      </c>
      <c r="K1223">
        <f>IF(OR($G1223="",Sync!$AA1220=""),"",Sync!$AA1220)</f>
        <v/>
      </c>
      <c r="L1223">
        <f>IF($G1223="",0,IF(Sync!$AB1220="",0,Sync!$AB1220))</f>
        <v/>
      </c>
      <c r="M1223">
        <f>IF($G1223="",0,IF(Sync!$AC1220="",0,Sync!$AC1220))</f>
        <v/>
      </c>
      <c r="N1223">
        <f>IF($G1223="","",IF($H1223="مرجوعی خرید",-1,1)*($L1223-$M1223*IFERROR(VLOOKUP("P01",ParamTbl,3,0),1.5))*(1-IF($I1223="خرید",IFERROR(VLOOKUP("P02",ParamTbl,3,0),1),0)/100))</f>
        <v/>
      </c>
      <c r="O1223">
        <f>IF($G1223="",0,IF($H1223="مرجوعی خرید",-1,1)*IF(Sync!$AD1220="",0,Sync!$AD1220))</f>
        <v/>
      </c>
      <c r="P1223">
        <f>IF(OR($G1223="",Sync!$W1220=""),"",Sync!$W1220)</f>
        <v/>
      </c>
      <c r="Q1223">
        <f>IF(OR($G1223="",Sync!$AE1220=""),"",Sync!$AE1220)</f>
        <v/>
      </c>
      <c r="R1223">
        <f>IF($G1223="","",IF(Sync!$V1220="","0000",IF(AND(ISNUMBER(Sync!$V1220),Sync!$V1220&gt;=0,Sync!$V1220&lt;1),RIGHT("00"&amp;HOUR(Sync!$V1220),2)&amp;RIGHT("00"&amp;MINUTE(Sync!$V1220),2),IFERROR(RIGHT("00"&amp;VALUE(LEFT(Sync!$V1220,FIND(":",Sync!$V1220)-1)),2)&amp;RIGHT("00"&amp;VALUE(MID(Sync!$V1220,FIND(":",Sync!$V1220)+1,2)),2),"0000"))))</f>
        <v/>
      </c>
    </row>
    <row r="1224">
      <c r="A1224">
        <f>IF(Sync!$U1221="","",Sync!$U1221)</f>
        <v/>
      </c>
      <c r="B1224">
        <f>IF($A1224="","",IF(ISNUMBER($A1224),IF(AND($A1224&gt;=10000101,$A1224&lt;=99991231),INT($A1224/10000),""),IFERROR(VALUE(TRIM(LEFT($A1224,FIND("/",$A1224)-1))),"")))</f>
        <v/>
      </c>
      <c r="C1224">
        <f>IF(OR($A1224="",$B1224=""),"",IF(ISNUMBER($A1224),INT(MOD($A1224,10000)/100),IFERROR(VALUE(TRIM(LEFT(MID($A1224,FIND("/",$A1224)+1,20),FIND("/",MID($A1224,FIND("/",$A1224)+1,20))-1))),"")))</f>
        <v/>
      </c>
      <c r="D1224">
        <f>IF(OR($A1224="",$B1224=""),"",IF(ISNUMBER($A1224),MOD($A1224,100),IFERROR(VALUE(TRIM(MID(MID($A1224,FIND("/",$A1224)+1,20),FIND("/",MID($A1224,FIND("/",$A1224)+1,20))+1,20))),"")))</f>
        <v/>
      </c>
      <c r="E1224">
        <f>IF($A1224="","",IF(OR($B1224="",$C1224="",$D1224="",$B1224&lt;1300,$B1224&gt;1500,$C1224&lt;1,$C1224&gt;12,$D1224&lt;1,$D1224&gt;31),"نامعتبر",RIGHT("0000"&amp;$B1224,4)&amp;"/"&amp;RIGHT("00"&amp;$C1224,2)&amp;"/"&amp;RIGHT("00"&amp;$D1224,2)))</f>
        <v/>
      </c>
      <c r="F1224">
        <f>IF(OR($E1224="",$E1224="نامعتبر"),"",LEFT($E1224,4)&amp;"/"&amp;MID($E1224,6,2))</f>
        <v/>
      </c>
      <c r="G1224">
        <f>IF(OR($E1224="",$E1224="نامعتبر",Sync!$Y1221=""),"",Sync!$Y1221)</f>
        <v/>
      </c>
      <c r="H1224">
        <f>IF($G1224="","",IF(Sync!$X1221="","",Sync!$X1221))</f>
        <v/>
      </c>
      <c r="I1224">
        <f>IF($G1224="","",IFERROR(VLOOKUP(Sync!$X1221,OpTbl,3,0),""))</f>
        <v/>
      </c>
      <c r="J1224">
        <f>IF(OR($G1224="",Sync!$Z1221=""),"",Sync!$Z1221)</f>
        <v/>
      </c>
      <c r="K1224">
        <f>IF(OR($G1224="",Sync!$AA1221=""),"",Sync!$AA1221)</f>
        <v/>
      </c>
      <c r="L1224">
        <f>IF($G1224="",0,IF(Sync!$AB1221="",0,Sync!$AB1221))</f>
        <v/>
      </c>
      <c r="M1224">
        <f>IF($G1224="",0,IF(Sync!$AC1221="",0,Sync!$AC1221))</f>
        <v/>
      </c>
      <c r="N1224">
        <f>IF($G1224="","",IF($H1224="مرجوعی خرید",-1,1)*($L1224-$M1224*IFERROR(VLOOKUP("P01",ParamTbl,3,0),1.5))*(1-IF($I1224="خرید",IFERROR(VLOOKUP("P02",ParamTbl,3,0),1),0)/100))</f>
        <v/>
      </c>
      <c r="O1224">
        <f>IF($G1224="",0,IF($H1224="مرجوعی خرید",-1,1)*IF(Sync!$AD1221="",0,Sync!$AD1221))</f>
        <v/>
      </c>
      <c r="P1224">
        <f>IF(OR($G1224="",Sync!$W1221=""),"",Sync!$W1221)</f>
        <v/>
      </c>
      <c r="Q1224">
        <f>IF(OR($G1224="",Sync!$AE1221=""),"",Sync!$AE1221)</f>
        <v/>
      </c>
      <c r="R1224">
        <f>IF($G1224="","",IF(Sync!$V1221="","0000",IF(AND(ISNUMBER(Sync!$V1221),Sync!$V1221&gt;=0,Sync!$V1221&lt;1),RIGHT("00"&amp;HOUR(Sync!$V1221),2)&amp;RIGHT("00"&amp;MINUTE(Sync!$V1221),2),IFERROR(RIGHT("00"&amp;VALUE(LEFT(Sync!$V1221,FIND(":",Sync!$V1221)-1)),2)&amp;RIGHT("00"&amp;VALUE(MID(Sync!$V1221,FIND(":",Sync!$V1221)+1,2)),2),"0000"))))</f>
        <v/>
      </c>
    </row>
    <row r="1225">
      <c r="A1225">
        <f>IF(Sync!$U1222="","",Sync!$U1222)</f>
        <v/>
      </c>
      <c r="B1225">
        <f>IF($A1225="","",IF(ISNUMBER($A1225),IF(AND($A1225&gt;=10000101,$A1225&lt;=99991231),INT($A1225/10000),""),IFERROR(VALUE(TRIM(LEFT($A1225,FIND("/",$A1225)-1))),"")))</f>
        <v/>
      </c>
      <c r="C1225">
        <f>IF(OR($A1225="",$B1225=""),"",IF(ISNUMBER($A1225),INT(MOD($A1225,10000)/100),IFERROR(VALUE(TRIM(LEFT(MID($A1225,FIND("/",$A1225)+1,20),FIND("/",MID($A1225,FIND("/",$A1225)+1,20))-1))),"")))</f>
        <v/>
      </c>
      <c r="D1225">
        <f>IF(OR($A1225="",$B1225=""),"",IF(ISNUMBER($A1225),MOD($A1225,100),IFERROR(VALUE(TRIM(MID(MID($A1225,FIND("/",$A1225)+1,20),FIND("/",MID($A1225,FIND("/",$A1225)+1,20))+1,20))),"")))</f>
        <v/>
      </c>
      <c r="E1225">
        <f>IF($A1225="","",IF(OR($B1225="",$C1225="",$D1225="",$B1225&lt;1300,$B1225&gt;1500,$C1225&lt;1,$C1225&gt;12,$D1225&lt;1,$D1225&gt;31),"نامعتبر",RIGHT("0000"&amp;$B1225,4)&amp;"/"&amp;RIGHT("00"&amp;$C1225,2)&amp;"/"&amp;RIGHT("00"&amp;$D1225,2)))</f>
        <v/>
      </c>
      <c r="F1225">
        <f>IF(OR($E1225="",$E1225="نامعتبر"),"",LEFT($E1225,4)&amp;"/"&amp;MID($E1225,6,2))</f>
        <v/>
      </c>
      <c r="G1225">
        <f>IF(OR($E1225="",$E1225="نامعتبر",Sync!$Y1222=""),"",Sync!$Y1222)</f>
        <v/>
      </c>
      <c r="H1225">
        <f>IF($G1225="","",IF(Sync!$X1222="","",Sync!$X1222))</f>
        <v/>
      </c>
      <c r="I1225">
        <f>IF($G1225="","",IFERROR(VLOOKUP(Sync!$X1222,OpTbl,3,0),""))</f>
        <v/>
      </c>
      <c r="J1225">
        <f>IF(OR($G1225="",Sync!$Z1222=""),"",Sync!$Z1222)</f>
        <v/>
      </c>
      <c r="K1225">
        <f>IF(OR($G1225="",Sync!$AA1222=""),"",Sync!$AA1222)</f>
        <v/>
      </c>
      <c r="L1225">
        <f>IF($G1225="",0,IF(Sync!$AB1222="",0,Sync!$AB1222))</f>
        <v/>
      </c>
      <c r="M1225">
        <f>IF($G1225="",0,IF(Sync!$AC1222="",0,Sync!$AC1222))</f>
        <v/>
      </c>
      <c r="N1225">
        <f>IF($G1225="","",IF($H1225="مرجوعی خرید",-1,1)*($L1225-$M1225*IFERROR(VLOOKUP("P01",ParamTbl,3,0),1.5))*(1-IF($I1225="خرید",IFERROR(VLOOKUP("P02",ParamTbl,3,0),1),0)/100))</f>
        <v/>
      </c>
      <c r="O1225">
        <f>IF($G1225="",0,IF($H1225="مرجوعی خرید",-1,1)*IF(Sync!$AD1222="",0,Sync!$AD1222))</f>
        <v/>
      </c>
      <c r="P1225">
        <f>IF(OR($G1225="",Sync!$W1222=""),"",Sync!$W1222)</f>
        <v/>
      </c>
      <c r="Q1225">
        <f>IF(OR($G1225="",Sync!$AE1222=""),"",Sync!$AE1222)</f>
        <v/>
      </c>
      <c r="R1225">
        <f>IF($G1225="","",IF(Sync!$V1222="","0000",IF(AND(ISNUMBER(Sync!$V1222),Sync!$V1222&gt;=0,Sync!$V1222&lt;1),RIGHT("00"&amp;HOUR(Sync!$V1222),2)&amp;RIGHT("00"&amp;MINUTE(Sync!$V1222),2),IFERROR(RIGHT("00"&amp;VALUE(LEFT(Sync!$V1222,FIND(":",Sync!$V1222)-1)),2)&amp;RIGHT("00"&amp;VALUE(MID(Sync!$V1222,FIND(":",Sync!$V1222)+1,2)),2),"0000"))))</f>
        <v/>
      </c>
    </row>
    <row r="1226">
      <c r="A1226">
        <f>IF(Sync!$U1223="","",Sync!$U1223)</f>
        <v/>
      </c>
      <c r="B1226">
        <f>IF($A1226="","",IF(ISNUMBER($A1226),IF(AND($A1226&gt;=10000101,$A1226&lt;=99991231),INT($A1226/10000),""),IFERROR(VALUE(TRIM(LEFT($A1226,FIND("/",$A1226)-1))),"")))</f>
        <v/>
      </c>
      <c r="C1226">
        <f>IF(OR($A1226="",$B1226=""),"",IF(ISNUMBER($A1226),INT(MOD($A1226,10000)/100),IFERROR(VALUE(TRIM(LEFT(MID($A1226,FIND("/",$A1226)+1,20),FIND("/",MID($A1226,FIND("/",$A1226)+1,20))-1))),"")))</f>
        <v/>
      </c>
      <c r="D1226">
        <f>IF(OR($A1226="",$B1226=""),"",IF(ISNUMBER($A1226),MOD($A1226,100),IFERROR(VALUE(TRIM(MID(MID($A1226,FIND("/",$A1226)+1,20),FIND("/",MID($A1226,FIND("/",$A1226)+1,20))+1,20))),"")))</f>
        <v/>
      </c>
      <c r="E1226">
        <f>IF($A1226="","",IF(OR($B1226="",$C1226="",$D1226="",$B1226&lt;1300,$B1226&gt;1500,$C1226&lt;1,$C1226&gt;12,$D1226&lt;1,$D1226&gt;31),"نامعتبر",RIGHT("0000"&amp;$B1226,4)&amp;"/"&amp;RIGHT("00"&amp;$C1226,2)&amp;"/"&amp;RIGHT("00"&amp;$D1226,2)))</f>
        <v/>
      </c>
      <c r="F1226">
        <f>IF(OR($E1226="",$E1226="نامعتبر"),"",LEFT($E1226,4)&amp;"/"&amp;MID($E1226,6,2))</f>
        <v/>
      </c>
      <c r="G1226">
        <f>IF(OR($E1226="",$E1226="نامعتبر",Sync!$Y1223=""),"",Sync!$Y1223)</f>
        <v/>
      </c>
      <c r="H1226">
        <f>IF($G1226="","",IF(Sync!$X1223="","",Sync!$X1223))</f>
        <v/>
      </c>
      <c r="I1226">
        <f>IF($G1226="","",IFERROR(VLOOKUP(Sync!$X1223,OpTbl,3,0),""))</f>
        <v/>
      </c>
      <c r="J1226">
        <f>IF(OR($G1226="",Sync!$Z1223=""),"",Sync!$Z1223)</f>
        <v/>
      </c>
      <c r="K1226">
        <f>IF(OR($G1226="",Sync!$AA1223=""),"",Sync!$AA1223)</f>
        <v/>
      </c>
      <c r="L1226">
        <f>IF($G1226="",0,IF(Sync!$AB1223="",0,Sync!$AB1223))</f>
        <v/>
      </c>
      <c r="M1226">
        <f>IF($G1226="",0,IF(Sync!$AC1223="",0,Sync!$AC1223))</f>
        <v/>
      </c>
      <c r="N1226">
        <f>IF($G1226="","",IF($H1226="مرجوعی خرید",-1,1)*($L1226-$M1226*IFERROR(VLOOKUP("P01",ParamTbl,3,0),1.5))*(1-IF($I1226="خرید",IFERROR(VLOOKUP("P02",ParamTbl,3,0),1),0)/100))</f>
        <v/>
      </c>
      <c r="O1226">
        <f>IF($G1226="",0,IF($H1226="مرجوعی خرید",-1,1)*IF(Sync!$AD1223="",0,Sync!$AD1223))</f>
        <v/>
      </c>
      <c r="P1226">
        <f>IF(OR($G1226="",Sync!$W1223=""),"",Sync!$W1223)</f>
        <v/>
      </c>
      <c r="Q1226">
        <f>IF(OR($G1226="",Sync!$AE1223=""),"",Sync!$AE1223)</f>
        <v/>
      </c>
      <c r="R1226">
        <f>IF($G1226="","",IF(Sync!$V1223="","0000",IF(AND(ISNUMBER(Sync!$V1223),Sync!$V1223&gt;=0,Sync!$V1223&lt;1),RIGHT("00"&amp;HOUR(Sync!$V1223),2)&amp;RIGHT("00"&amp;MINUTE(Sync!$V1223),2),IFERROR(RIGHT("00"&amp;VALUE(LEFT(Sync!$V1223,FIND(":",Sync!$V1223)-1)),2)&amp;RIGHT("00"&amp;VALUE(MID(Sync!$V1223,FIND(":",Sync!$V1223)+1,2)),2),"0000"))))</f>
        <v/>
      </c>
    </row>
    <row r="1227">
      <c r="A1227">
        <f>IF(Sync!$U1224="","",Sync!$U1224)</f>
        <v/>
      </c>
      <c r="B1227">
        <f>IF($A1227="","",IF(ISNUMBER($A1227),IF(AND($A1227&gt;=10000101,$A1227&lt;=99991231),INT($A1227/10000),""),IFERROR(VALUE(TRIM(LEFT($A1227,FIND("/",$A1227)-1))),"")))</f>
        <v/>
      </c>
      <c r="C1227">
        <f>IF(OR($A1227="",$B1227=""),"",IF(ISNUMBER($A1227),INT(MOD($A1227,10000)/100),IFERROR(VALUE(TRIM(LEFT(MID($A1227,FIND("/",$A1227)+1,20),FIND("/",MID($A1227,FIND("/",$A1227)+1,20))-1))),"")))</f>
        <v/>
      </c>
      <c r="D1227">
        <f>IF(OR($A1227="",$B1227=""),"",IF(ISNUMBER($A1227),MOD($A1227,100),IFERROR(VALUE(TRIM(MID(MID($A1227,FIND("/",$A1227)+1,20),FIND("/",MID($A1227,FIND("/",$A1227)+1,20))+1,20))),"")))</f>
        <v/>
      </c>
      <c r="E1227">
        <f>IF($A1227="","",IF(OR($B1227="",$C1227="",$D1227="",$B1227&lt;1300,$B1227&gt;1500,$C1227&lt;1,$C1227&gt;12,$D1227&lt;1,$D1227&gt;31),"نامعتبر",RIGHT("0000"&amp;$B1227,4)&amp;"/"&amp;RIGHT("00"&amp;$C1227,2)&amp;"/"&amp;RIGHT("00"&amp;$D1227,2)))</f>
        <v/>
      </c>
      <c r="F1227">
        <f>IF(OR($E1227="",$E1227="نامعتبر"),"",LEFT($E1227,4)&amp;"/"&amp;MID($E1227,6,2))</f>
        <v/>
      </c>
      <c r="G1227">
        <f>IF(OR($E1227="",$E1227="نامعتبر",Sync!$Y1224=""),"",Sync!$Y1224)</f>
        <v/>
      </c>
      <c r="H1227">
        <f>IF($G1227="","",IF(Sync!$X1224="","",Sync!$X1224))</f>
        <v/>
      </c>
      <c r="I1227">
        <f>IF($G1227="","",IFERROR(VLOOKUP(Sync!$X1224,OpTbl,3,0),""))</f>
        <v/>
      </c>
      <c r="J1227">
        <f>IF(OR($G1227="",Sync!$Z1224=""),"",Sync!$Z1224)</f>
        <v/>
      </c>
      <c r="K1227">
        <f>IF(OR($G1227="",Sync!$AA1224=""),"",Sync!$AA1224)</f>
        <v/>
      </c>
      <c r="L1227">
        <f>IF($G1227="",0,IF(Sync!$AB1224="",0,Sync!$AB1224))</f>
        <v/>
      </c>
      <c r="M1227">
        <f>IF($G1227="",0,IF(Sync!$AC1224="",0,Sync!$AC1224))</f>
        <v/>
      </c>
      <c r="N1227">
        <f>IF($G1227="","",IF($H1227="مرجوعی خرید",-1,1)*($L1227-$M1227*IFERROR(VLOOKUP("P01",ParamTbl,3,0),1.5))*(1-IF($I1227="خرید",IFERROR(VLOOKUP("P02",ParamTbl,3,0),1),0)/100))</f>
        <v/>
      </c>
      <c r="O1227">
        <f>IF($G1227="",0,IF($H1227="مرجوعی خرید",-1,1)*IF(Sync!$AD1224="",0,Sync!$AD1224))</f>
        <v/>
      </c>
      <c r="P1227">
        <f>IF(OR($G1227="",Sync!$W1224=""),"",Sync!$W1224)</f>
        <v/>
      </c>
      <c r="Q1227">
        <f>IF(OR($G1227="",Sync!$AE1224=""),"",Sync!$AE1224)</f>
        <v/>
      </c>
      <c r="R1227">
        <f>IF($G1227="","",IF(Sync!$V1224="","0000",IF(AND(ISNUMBER(Sync!$V1224),Sync!$V1224&gt;=0,Sync!$V1224&lt;1),RIGHT("00"&amp;HOUR(Sync!$V1224),2)&amp;RIGHT("00"&amp;MINUTE(Sync!$V1224),2),IFERROR(RIGHT("00"&amp;VALUE(LEFT(Sync!$V1224,FIND(":",Sync!$V1224)-1)),2)&amp;RIGHT("00"&amp;VALUE(MID(Sync!$V1224,FIND(":",Sync!$V1224)+1,2)),2),"0000"))))</f>
        <v/>
      </c>
    </row>
    <row r="1228">
      <c r="A1228">
        <f>IF(Sync!$U1225="","",Sync!$U1225)</f>
        <v/>
      </c>
      <c r="B1228">
        <f>IF($A1228="","",IF(ISNUMBER($A1228),IF(AND($A1228&gt;=10000101,$A1228&lt;=99991231),INT($A1228/10000),""),IFERROR(VALUE(TRIM(LEFT($A1228,FIND("/",$A1228)-1))),"")))</f>
        <v/>
      </c>
      <c r="C1228">
        <f>IF(OR($A1228="",$B1228=""),"",IF(ISNUMBER($A1228),INT(MOD($A1228,10000)/100),IFERROR(VALUE(TRIM(LEFT(MID($A1228,FIND("/",$A1228)+1,20),FIND("/",MID($A1228,FIND("/",$A1228)+1,20))-1))),"")))</f>
        <v/>
      </c>
      <c r="D1228">
        <f>IF(OR($A1228="",$B1228=""),"",IF(ISNUMBER($A1228),MOD($A1228,100),IFERROR(VALUE(TRIM(MID(MID($A1228,FIND("/",$A1228)+1,20),FIND("/",MID($A1228,FIND("/",$A1228)+1,20))+1,20))),"")))</f>
        <v/>
      </c>
      <c r="E1228">
        <f>IF($A1228="","",IF(OR($B1228="",$C1228="",$D1228="",$B1228&lt;1300,$B1228&gt;1500,$C1228&lt;1,$C1228&gt;12,$D1228&lt;1,$D1228&gt;31),"نامعتبر",RIGHT("0000"&amp;$B1228,4)&amp;"/"&amp;RIGHT("00"&amp;$C1228,2)&amp;"/"&amp;RIGHT("00"&amp;$D1228,2)))</f>
        <v/>
      </c>
      <c r="F1228">
        <f>IF(OR($E1228="",$E1228="نامعتبر"),"",LEFT($E1228,4)&amp;"/"&amp;MID($E1228,6,2))</f>
        <v/>
      </c>
      <c r="G1228">
        <f>IF(OR($E1228="",$E1228="نامعتبر",Sync!$Y1225=""),"",Sync!$Y1225)</f>
        <v/>
      </c>
      <c r="H1228">
        <f>IF($G1228="","",IF(Sync!$X1225="","",Sync!$X1225))</f>
        <v/>
      </c>
      <c r="I1228">
        <f>IF($G1228="","",IFERROR(VLOOKUP(Sync!$X1225,OpTbl,3,0),""))</f>
        <v/>
      </c>
      <c r="J1228">
        <f>IF(OR($G1228="",Sync!$Z1225=""),"",Sync!$Z1225)</f>
        <v/>
      </c>
      <c r="K1228">
        <f>IF(OR($G1228="",Sync!$AA1225=""),"",Sync!$AA1225)</f>
        <v/>
      </c>
      <c r="L1228">
        <f>IF($G1228="",0,IF(Sync!$AB1225="",0,Sync!$AB1225))</f>
        <v/>
      </c>
      <c r="M1228">
        <f>IF($G1228="",0,IF(Sync!$AC1225="",0,Sync!$AC1225))</f>
        <v/>
      </c>
      <c r="N1228">
        <f>IF($G1228="","",IF($H1228="مرجوعی خرید",-1,1)*($L1228-$M1228*IFERROR(VLOOKUP("P01",ParamTbl,3,0),1.5))*(1-IF($I1228="خرید",IFERROR(VLOOKUP("P02",ParamTbl,3,0),1),0)/100))</f>
        <v/>
      </c>
      <c r="O1228">
        <f>IF($G1228="",0,IF($H1228="مرجوعی خرید",-1,1)*IF(Sync!$AD1225="",0,Sync!$AD1225))</f>
        <v/>
      </c>
      <c r="P1228">
        <f>IF(OR($G1228="",Sync!$W1225=""),"",Sync!$W1225)</f>
        <v/>
      </c>
      <c r="Q1228">
        <f>IF(OR($G1228="",Sync!$AE1225=""),"",Sync!$AE1225)</f>
        <v/>
      </c>
      <c r="R1228">
        <f>IF($G1228="","",IF(Sync!$V1225="","0000",IF(AND(ISNUMBER(Sync!$V1225),Sync!$V1225&gt;=0,Sync!$V1225&lt;1),RIGHT("00"&amp;HOUR(Sync!$V1225),2)&amp;RIGHT("00"&amp;MINUTE(Sync!$V1225),2),IFERROR(RIGHT("00"&amp;VALUE(LEFT(Sync!$V1225,FIND(":",Sync!$V1225)-1)),2)&amp;RIGHT("00"&amp;VALUE(MID(Sync!$V1225,FIND(":",Sync!$V1225)+1,2)),2),"0000"))))</f>
        <v/>
      </c>
    </row>
    <row r="1229">
      <c r="A1229">
        <f>IF(Sync!$U1226="","",Sync!$U1226)</f>
        <v/>
      </c>
      <c r="B1229">
        <f>IF($A1229="","",IF(ISNUMBER($A1229),IF(AND($A1229&gt;=10000101,$A1229&lt;=99991231),INT($A1229/10000),""),IFERROR(VALUE(TRIM(LEFT($A1229,FIND("/",$A1229)-1))),"")))</f>
        <v/>
      </c>
      <c r="C1229">
        <f>IF(OR($A1229="",$B1229=""),"",IF(ISNUMBER($A1229),INT(MOD($A1229,10000)/100),IFERROR(VALUE(TRIM(LEFT(MID($A1229,FIND("/",$A1229)+1,20),FIND("/",MID($A1229,FIND("/",$A1229)+1,20))-1))),"")))</f>
        <v/>
      </c>
      <c r="D1229">
        <f>IF(OR($A1229="",$B1229=""),"",IF(ISNUMBER($A1229),MOD($A1229,100),IFERROR(VALUE(TRIM(MID(MID($A1229,FIND("/",$A1229)+1,20),FIND("/",MID($A1229,FIND("/",$A1229)+1,20))+1,20))),"")))</f>
        <v/>
      </c>
      <c r="E1229">
        <f>IF($A1229="","",IF(OR($B1229="",$C1229="",$D1229="",$B1229&lt;1300,$B1229&gt;1500,$C1229&lt;1,$C1229&gt;12,$D1229&lt;1,$D1229&gt;31),"نامعتبر",RIGHT("0000"&amp;$B1229,4)&amp;"/"&amp;RIGHT("00"&amp;$C1229,2)&amp;"/"&amp;RIGHT("00"&amp;$D1229,2)))</f>
        <v/>
      </c>
      <c r="F1229">
        <f>IF(OR($E1229="",$E1229="نامعتبر"),"",LEFT($E1229,4)&amp;"/"&amp;MID($E1229,6,2))</f>
        <v/>
      </c>
      <c r="G1229">
        <f>IF(OR($E1229="",$E1229="نامعتبر",Sync!$Y1226=""),"",Sync!$Y1226)</f>
        <v/>
      </c>
      <c r="H1229">
        <f>IF($G1229="","",IF(Sync!$X1226="","",Sync!$X1226))</f>
        <v/>
      </c>
      <c r="I1229">
        <f>IF($G1229="","",IFERROR(VLOOKUP(Sync!$X1226,OpTbl,3,0),""))</f>
        <v/>
      </c>
      <c r="J1229">
        <f>IF(OR($G1229="",Sync!$Z1226=""),"",Sync!$Z1226)</f>
        <v/>
      </c>
      <c r="K1229">
        <f>IF(OR($G1229="",Sync!$AA1226=""),"",Sync!$AA1226)</f>
        <v/>
      </c>
      <c r="L1229">
        <f>IF($G1229="",0,IF(Sync!$AB1226="",0,Sync!$AB1226))</f>
        <v/>
      </c>
      <c r="M1229">
        <f>IF($G1229="",0,IF(Sync!$AC1226="",0,Sync!$AC1226))</f>
        <v/>
      </c>
      <c r="N1229">
        <f>IF($G1229="","",IF($H1229="مرجوعی خرید",-1,1)*($L1229-$M1229*IFERROR(VLOOKUP("P01",ParamTbl,3,0),1.5))*(1-IF($I1229="خرید",IFERROR(VLOOKUP("P02",ParamTbl,3,0),1),0)/100))</f>
        <v/>
      </c>
      <c r="O1229">
        <f>IF($G1229="",0,IF($H1229="مرجوعی خرید",-1,1)*IF(Sync!$AD1226="",0,Sync!$AD1226))</f>
        <v/>
      </c>
      <c r="P1229">
        <f>IF(OR($G1229="",Sync!$W1226=""),"",Sync!$W1226)</f>
        <v/>
      </c>
      <c r="Q1229">
        <f>IF(OR($G1229="",Sync!$AE1226=""),"",Sync!$AE1226)</f>
        <v/>
      </c>
      <c r="R1229">
        <f>IF($G1229="","",IF(Sync!$V1226="","0000",IF(AND(ISNUMBER(Sync!$V1226),Sync!$V1226&gt;=0,Sync!$V1226&lt;1),RIGHT("00"&amp;HOUR(Sync!$V1226),2)&amp;RIGHT("00"&amp;MINUTE(Sync!$V1226),2),IFERROR(RIGHT("00"&amp;VALUE(LEFT(Sync!$V1226,FIND(":",Sync!$V1226)-1)),2)&amp;RIGHT("00"&amp;VALUE(MID(Sync!$V1226,FIND(":",Sync!$V1226)+1,2)),2),"0000"))))</f>
        <v/>
      </c>
    </row>
    <row r="1230">
      <c r="A1230">
        <f>IF(Sync!$U1227="","",Sync!$U1227)</f>
        <v/>
      </c>
      <c r="B1230">
        <f>IF($A1230="","",IF(ISNUMBER($A1230),IF(AND($A1230&gt;=10000101,$A1230&lt;=99991231),INT($A1230/10000),""),IFERROR(VALUE(TRIM(LEFT($A1230,FIND("/",$A1230)-1))),"")))</f>
        <v/>
      </c>
      <c r="C1230">
        <f>IF(OR($A1230="",$B1230=""),"",IF(ISNUMBER($A1230),INT(MOD($A1230,10000)/100),IFERROR(VALUE(TRIM(LEFT(MID($A1230,FIND("/",$A1230)+1,20),FIND("/",MID($A1230,FIND("/",$A1230)+1,20))-1))),"")))</f>
        <v/>
      </c>
      <c r="D1230">
        <f>IF(OR($A1230="",$B1230=""),"",IF(ISNUMBER($A1230),MOD($A1230,100),IFERROR(VALUE(TRIM(MID(MID($A1230,FIND("/",$A1230)+1,20),FIND("/",MID($A1230,FIND("/",$A1230)+1,20))+1,20))),"")))</f>
        <v/>
      </c>
      <c r="E1230">
        <f>IF($A1230="","",IF(OR($B1230="",$C1230="",$D1230="",$B1230&lt;1300,$B1230&gt;1500,$C1230&lt;1,$C1230&gt;12,$D1230&lt;1,$D1230&gt;31),"نامعتبر",RIGHT("0000"&amp;$B1230,4)&amp;"/"&amp;RIGHT("00"&amp;$C1230,2)&amp;"/"&amp;RIGHT("00"&amp;$D1230,2)))</f>
        <v/>
      </c>
      <c r="F1230">
        <f>IF(OR($E1230="",$E1230="نامعتبر"),"",LEFT($E1230,4)&amp;"/"&amp;MID($E1230,6,2))</f>
        <v/>
      </c>
      <c r="G1230">
        <f>IF(OR($E1230="",$E1230="نامعتبر",Sync!$Y1227=""),"",Sync!$Y1227)</f>
        <v/>
      </c>
      <c r="H1230">
        <f>IF($G1230="","",IF(Sync!$X1227="","",Sync!$X1227))</f>
        <v/>
      </c>
      <c r="I1230">
        <f>IF($G1230="","",IFERROR(VLOOKUP(Sync!$X1227,OpTbl,3,0),""))</f>
        <v/>
      </c>
      <c r="J1230">
        <f>IF(OR($G1230="",Sync!$Z1227=""),"",Sync!$Z1227)</f>
        <v/>
      </c>
      <c r="K1230">
        <f>IF(OR($G1230="",Sync!$AA1227=""),"",Sync!$AA1227)</f>
        <v/>
      </c>
      <c r="L1230">
        <f>IF($G1230="",0,IF(Sync!$AB1227="",0,Sync!$AB1227))</f>
        <v/>
      </c>
      <c r="M1230">
        <f>IF($G1230="",0,IF(Sync!$AC1227="",0,Sync!$AC1227))</f>
        <v/>
      </c>
      <c r="N1230">
        <f>IF($G1230="","",IF($H1230="مرجوعی خرید",-1,1)*($L1230-$M1230*IFERROR(VLOOKUP("P01",ParamTbl,3,0),1.5))*(1-IF($I1230="خرید",IFERROR(VLOOKUP("P02",ParamTbl,3,0),1),0)/100))</f>
        <v/>
      </c>
      <c r="O1230">
        <f>IF($G1230="",0,IF($H1230="مرجوعی خرید",-1,1)*IF(Sync!$AD1227="",0,Sync!$AD1227))</f>
        <v/>
      </c>
      <c r="P1230">
        <f>IF(OR($G1230="",Sync!$W1227=""),"",Sync!$W1227)</f>
        <v/>
      </c>
      <c r="Q1230">
        <f>IF(OR($G1230="",Sync!$AE1227=""),"",Sync!$AE1227)</f>
        <v/>
      </c>
      <c r="R1230">
        <f>IF($G1230="","",IF(Sync!$V1227="","0000",IF(AND(ISNUMBER(Sync!$V1227),Sync!$V1227&gt;=0,Sync!$V1227&lt;1),RIGHT("00"&amp;HOUR(Sync!$V1227),2)&amp;RIGHT("00"&amp;MINUTE(Sync!$V1227),2),IFERROR(RIGHT("00"&amp;VALUE(LEFT(Sync!$V1227,FIND(":",Sync!$V1227)-1)),2)&amp;RIGHT("00"&amp;VALUE(MID(Sync!$V1227,FIND(":",Sync!$V1227)+1,2)),2),"0000"))))</f>
        <v/>
      </c>
    </row>
    <row r="1231">
      <c r="A1231">
        <f>IF(Sync!$U1228="","",Sync!$U1228)</f>
        <v/>
      </c>
      <c r="B1231">
        <f>IF($A1231="","",IF(ISNUMBER($A1231),IF(AND($A1231&gt;=10000101,$A1231&lt;=99991231),INT($A1231/10000),""),IFERROR(VALUE(TRIM(LEFT($A1231,FIND("/",$A1231)-1))),"")))</f>
        <v/>
      </c>
      <c r="C1231">
        <f>IF(OR($A1231="",$B1231=""),"",IF(ISNUMBER($A1231),INT(MOD($A1231,10000)/100),IFERROR(VALUE(TRIM(LEFT(MID($A1231,FIND("/",$A1231)+1,20),FIND("/",MID($A1231,FIND("/",$A1231)+1,20))-1))),"")))</f>
        <v/>
      </c>
      <c r="D1231">
        <f>IF(OR($A1231="",$B1231=""),"",IF(ISNUMBER($A1231),MOD($A1231,100),IFERROR(VALUE(TRIM(MID(MID($A1231,FIND("/",$A1231)+1,20),FIND("/",MID($A1231,FIND("/",$A1231)+1,20))+1,20))),"")))</f>
        <v/>
      </c>
      <c r="E1231">
        <f>IF($A1231="","",IF(OR($B1231="",$C1231="",$D1231="",$B1231&lt;1300,$B1231&gt;1500,$C1231&lt;1,$C1231&gt;12,$D1231&lt;1,$D1231&gt;31),"نامعتبر",RIGHT("0000"&amp;$B1231,4)&amp;"/"&amp;RIGHT("00"&amp;$C1231,2)&amp;"/"&amp;RIGHT("00"&amp;$D1231,2)))</f>
        <v/>
      </c>
      <c r="F1231">
        <f>IF(OR($E1231="",$E1231="نامعتبر"),"",LEFT($E1231,4)&amp;"/"&amp;MID($E1231,6,2))</f>
        <v/>
      </c>
      <c r="G1231">
        <f>IF(OR($E1231="",$E1231="نامعتبر",Sync!$Y1228=""),"",Sync!$Y1228)</f>
        <v/>
      </c>
      <c r="H1231">
        <f>IF($G1231="","",IF(Sync!$X1228="","",Sync!$X1228))</f>
        <v/>
      </c>
      <c r="I1231">
        <f>IF($G1231="","",IFERROR(VLOOKUP(Sync!$X1228,OpTbl,3,0),""))</f>
        <v/>
      </c>
      <c r="J1231">
        <f>IF(OR($G1231="",Sync!$Z1228=""),"",Sync!$Z1228)</f>
        <v/>
      </c>
      <c r="K1231">
        <f>IF(OR($G1231="",Sync!$AA1228=""),"",Sync!$AA1228)</f>
        <v/>
      </c>
      <c r="L1231">
        <f>IF($G1231="",0,IF(Sync!$AB1228="",0,Sync!$AB1228))</f>
        <v/>
      </c>
      <c r="M1231">
        <f>IF($G1231="",0,IF(Sync!$AC1228="",0,Sync!$AC1228))</f>
        <v/>
      </c>
      <c r="N1231">
        <f>IF($G1231="","",IF($H1231="مرجوعی خرید",-1,1)*($L1231-$M1231*IFERROR(VLOOKUP("P01",ParamTbl,3,0),1.5))*(1-IF($I1231="خرید",IFERROR(VLOOKUP("P02",ParamTbl,3,0),1),0)/100))</f>
        <v/>
      </c>
      <c r="O1231">
        <f>IF($G1231="",0,IF($H1231="مرجوعی خرید",-1,1)*IF(Sync!$AD1228="",0,Sync!$AD1228))</f>
        <v/>
      </c>
      <c r="P1231">
        <f>IF(OR($G1231="",Sync!$W1228=""),"",Sync!$W1228)</f>
        <v/>
      </c>
      <c r="Q1231">
        <f>IF(OR($G1231="",Sync!$AE1228=""),"",Sync!$AE1228)</f>
        <v/>
      </c>
      <c r="R1231">
        <f>IF($G1231="","",IF(Sync!$V1228="","0000",IF(AND(ISNUMBER(Sync!$V1228),Sync!$V1228&gt;=0,Sync!$V1228&lt;1),RIGHT("00"&amp;HOUR(Sync!$V1228),2)&amp;RIGHT("00"&amp;MINUTE(Sync!$V1228),2),IFERROR(RIGHT("00"&amp;VALUE(LEFT(Sync!$V1228,FIND(":",Sync!$V1228)-1)),2)&amp;RIGHT("00"&amp;VALUE(MID(Sync!$V1228,FIND(":",Sync!$V1228)+1,2)),2),"0000"))))</f>
        <v/>
      </c>
    </row>
    <row r="1232">
      <c r="A1232">
        <f>IF(Sync!$U1229="","",Sync!$U1229)</f>
        <v/>
      </c>
      <c r="B1232">
        <f>IF($A1232="","",IF(ISNUMBER($A1232),IF(AND($A1232&gt;=10000101,$A1232&lt;=99991231),INT($A1232/10000),""),IFERROR(VALUE(TRIM(LEFT($A1232,FIND("/",$A1232)-1))),"")))</f>
        <v/>
      </c>
      <c r="C1232">
        <f>IF(OR($A1232="",$B1232=""),"",IF(ISNUMBER($A1232),INT(MOD($A1232,10000)/100),IFERROR(VALUE(TRIM(LEFT(MID($A1232,FIND("/",$A1232)+1,20),FIND("/",MID($A1232,FIND("/",$A1232)+1,20))-1))),"")))</f>
        <v/>
      </c>
      <c r="D1232">
        <f>IF(OR($A1232="",$B1232=""),"",IF(ISNUMBER($A1232),MOD($A1232,100),IFERROR(VALUE(TRIM(MID(MID($A1232,FIND("/",$A1232)+1,20),FIND("/",MID($A1232,FIND("/",$A1232)+1,20))+1,20))),"")))</f>
        <v/>
      </c>
      <c r="E1232">
        <f>IF($A1232="","",IF(OR($B1232="",$C1232="",$D1232="",$B1232&lt;1300,$B1232&gt;1500,$C1232&lt;1,$C1232&gt;12,$D1232&lt;1,$D1232&gt;31),"نامعتبر",RIGHT("0000"&amp;$B1232,4)&amp;"/"&amp;RIGHT("00"&amp;$C1232,2)&amp;"/"&amp;RIGHT("00"&amp;$D1232,2)))</f>
        <v/>
      </c>
      <c r="F1232">
        <f>IF(OR($E1232="",$E1232="نامعتبر"),"",LEFT($E1232,4)&amp;"/"&amp;MID($E1232,6,2))</f>
        <v/>
      </c>
      <c r="G1232">
        <f>IF(OR($E1232="",$E1232="نامعتبر",Sync!$Y1229=""),"",Sync!$Y1229)</f>
        <v/>
      </c>
      <c r="H1232">
        <f>IF($G1232="","",IF(Sync!$X1229="","",Sync!$X1229))</f>
        <v/>
      </c>
      <c r="I1232">
        <f>IF($G1232="","",IFERROR(VLOOKUP(Sync!$X1229,OpTbl,3,0),""))</f>
        <v/>
      </c>
      <c r="J1232">
        <f>IF(OR($G1232="",Sync!$Z1229=""),"",Sync!$Z1229)</f>
        <v/>
      </c>
      <c r="K1232">
        <f>IF(OR($G1232="",Sync!$AA1229=""),"",Sync!$AA1229)</f>
        <v/>
      </c>
      <c r="L1232">
        <f>IF($G1232="",0,IF(Sync!$AB1229="",0,Sync!$AB1229))</f>
        <v/>
      </c>
      <c r="M1232">
        <f>IF($G1232="",0,IF(Sync!$AC1229="",0,Sync!$AC1229))</f>
        <v/>
      </c>
      <c r="N1232">
        <f>IF($G1232="","",IF($H1232="مرجوعی خرید",-1,1)*($L1232-$M1232*IFERROR(VLOOKUP("P01",ParamTbl,3,0),1.5))*(1-IF($I1232="خرید",IFERROR(VLOOKUP("P02",ParamTbl,3,0),1),0)/100))</f>
        <v/>
      </c>
      <c r="O1232">
        <f>IF($G1232="",0,IF($H1232="مرجوعی خرید",-1,1)*IF(Sync!$AD1229="",0,Sync!$AD1229))</f>
        <v/>
      </c>
      <c r="P1232">
        <f>IF(OR($G1232="",Sync!$W1229=""),"",Sync!$W1229)</f>
        <v/>
      </c>
      <c r="Q1232">
        <f>IF(OR($G1232="",Sync!$AE1229=""),"",Sync!$AE1229)</f>
        <v/>
      </c>
      <c r="R1232">
        <f>IF($G1232="","",IF(Sync!$V1229="","0000",IF(AND(ISNUMBER(Sync!$V1229),Sync!$V1229&gt;=0,Sync!$V1229&lt;1),RIGHT("00"&amp;HOUR(Sync!$V1229),2)&amp;RIGHT("00"&amp;MINUTE(Sync!$V1229),2),IFERROR(RIGHT("00"&amp;VALUE(LEFT(Sync!$V1229,FIND(":",Sync!$V1229)-1)),2)&amp;RIGHT("00"&amp;VALUE(MID(Sync!$V1229,FIND(":",Sync!$V1229)+1,2)),2),"0000"))))</f>
        <v/>
      </c>
    </row>
    <row r="1233">
      <c r="A1233">
        <f>IF(Sync!$U1230="","",Sync!$U1230)</f>
        <v/>
      </c>
      <c r="B1233">
        <f>IF($A1233="","",IF(ISNUMBER($A1233),IF(AND($A1233&gt;=10000101,$A1233&lt;=99991231),INT($A1233/10000),""),IFERROR(VALUE(TRIM(LEFT($A1233,FIND("/",$A1233)-1))),"")))</f>
        <v/>
      </c>
      <c r="C1233">
        <f>IF(OR($A1233="",$B1233=""),"",IF(ISNUMBER($A1233),INT(MOD($A1233,10000)/100),IFERROR(VALUE(TRIM(LEFT(MID($A1233,FIND("/",$A1233)+1,20),FIND("/",MID($A1233,FIND("/",$A1233)+1,20))-1))),"")))</f>
        <v/>
      </c>
      <c r="D1233">
        <f>IF(OR($A1233="",$B1233=""),"",IF(ISNUMBER($A1233),MOD($A1233,100),IFERROR(VALUE(TRIM(MID(MID($A1233,FIND("/",$A1233)+1,20),FIND("/",MID($A1233,FIND("/",$A1233)+1,20))+1,20))),"")))</f>
        <v/>
      </c>
      <c r="E1233">
        <f>IF($A1233="","",IF(OR($B1233="",$C1233="",$D1233="",$B1233&lt;1300,$B1233&gt;1500,$C1233&lt;1,$C1233&gt;12,$D1233&lt;1,$D1233&gt;31),"نامعتبر",RIGHT("0000"&amp;$B1233,4)&amp;"/"&amp;RIGHT("00"&amp;$C1233,2)&amp;"/"&amp;RIGHT("00"&amp;$D1233,2)))</f>
        <v/>
      </c>
      <c r="F1233">
        <f>IF(OR($E1233="",$E1233="نامعتبر"),"",LEFT($E1233,4)&amp;"/"&amp;MID($E1233,6,2))</f>
        <v/>
      </c>
      <c r="G1233">
        <f>IF(OR($E1233="",$E1233="نامعتبر",Sync!$Y1230=""),"",Sync!$Y1230)</f>
        <v/>
      </c>
      <c r="H1233">
        <f>IF($G1233="","",IF(Sync!$X1230="","",Sync!$X1230))</f>
        <v/>
      </c>
      <c r="I1233">
        <f>IF($G1233="","",IFERROR(VLOOKUP(Sync!$X1230,OpTbl,3,0),""))</f>
        <v/>
      </c>
      <c r="J1233">
        <f>IF(OR($G1233="",Sync!$Z1230=""),"",Sync!$Z1230)</f>
        <v/>
      </c>
      <c r="K1233">
        <f>IF(OR($G1233="",Sync!$AA1230=""),"",Sync!$AA1230)</f>
        <v/>
      </c>
      <c r="L1233">
        <f>IF($G1233="",0,IF(Sync!$AB1230="",0,Sync!$AB1230))</f>
        <v/>
      </c>
      <c r="M1233">
        <f>IF($G1233="",0,IF(Sync!$AC1230="",0,Sync!$AC1230))</f>
        <v/>
      </c>
      <c r="N1233">
        <f>IF($G1233="","",IF($H1233="مرجوعی خرید",-1,1)*($L1233-$M1233*IFERROR(VLOOKUP("P01",ParamTbl,3,0),1.5))*(1-IF($I1233="خرید",IFERROR(VLOOKUP("P02",ParamTbl,3,0),1),0)/100))</f>
        <v/>
      </c>
      <c r="O1233">
        <f>IF($G1233="",0,IF($H1233="مرجوعی خرید",-1,1)*IF(Sync!$AD1230="",0,Sync!$AD1230))</f>
        <v/>
      </c>
      <c r="P1233">
        <f>IF(OR($G1233="",Sync!$W1230=""),"",Sync!$W1230)</f>
        <v/>
      </c>
      <c r="Q1233">
        <f>IF(OR($G1233="",Sync!$AE1230=""),"",Sync!$AE1230)</f>
        <v/>
      </c>
      <c r="R1233">
        <f>IF($G1233="","",IF(Sync!$V1230="","0000",IF(AND(ISNUMBER(Sync!$V1230),Sync!$V1230&gt;=0,Sync!$V1230&lt;1),RIGHT("00"&amp;HOUR(Sync!$V1230),2)&amp;RIGHT("00"&amp;MINUTE(Sync!$V1230),2),IFERROR(RIGHT("00"&amp;VALUE(LEFT(Sync!$V1230,FIND(":",Sync!$V1230)-1)),2)&amp;RIGHT("00"&amp;VALUE(MID(Sync!$V1230,FIND(":",Sync!$V1230)+1,2)),2),"0000"))))</f>
        <v/>
      </c>
    </row>
    <row r="1234">
      <c r="A1234">
        <f>IF(Sync!$U1231="","",Sync!$U1231)</f>
        <v/>
      </c>
      <c r="B1234">
        <f>IF($A1234="","",IF(ISNUMBER($A1234),IF(AND($A1234&gt;=10000101,$A1234&lt;=99991231),INT($A1234/10000),""),IFERROR(VALUE(TRIM(LEFT($A1234,FIND("/",$A1234)-1))),"")))</f>
        <v/>
      </c>
      <c r="C1234">
        <f>IF(OR($A1234="",$B1234=""),"",IF(ISNUMBER($A1234),INT(MOD($A1234,10000)/100),IFERROR(VALUE(TRIM(LEFT(MID($A1234,FIND("/",$A1234)+1,20),FIND("/",MID($A1234,FIND("/",$A1234)+1,20))-1))),"")))</f>
        <v/>
      </c>
      <c r="D1234">
        <f>IF(OR($A1234="",$B1234=""),"",IF(ISNUMBER($A1234),MOD($A1234,100),IFERROR(VALUE(TRIM(MID(MID($A1234,FIND("/",$A1234)+1,20),FIND("/",MID($A1234,FIND("/",$A1234)+1,20))+1,20))),"")))</f>
        <v/>
      </c>
      <c r="E1234">
        <f>IF($A1234="","",IF(OR($B1234="",$C1234="",$D1234="",$B1234&lt;1300,$B1234&gt;1500,$C1234&lt;1,$C1234&gt;12,$D1234&lt;1,$D1234&gt;31),"نامعتبر",RIGHT("0000"&amp;$B1234,4)&amp;"/"&amp;RIGHT("00"&amp;$C1234,2)&amp;"/"&amp;RIGHT("00"&amp;$D1234,2)))</f>
        <v/>
      </c>
      <c r="F1234">
        <f>IF(OR($E1234="",$E1234="نامعتبر"),"",LEFT($E1234,4)&amp;"/"&amp;MID($E1234,6,2))</f>
        <v/>
      </c>
      <c r="G1234">
        <f>IF(OR($E1234="",$E1234="نامعتبر",Sync!$Y1231=""),"",Sync!$Y1231)</f>
        <v/>
      </c>
      <c r="H1234">
        <f>IF($G1234="","",IF(Sync!$X1231="","",Sync!$X1231))</f>
        <v/>
      </c>
      <c r="I1234">
        <f>IF($G1234="","",IFERROR(VLOOKUP(Sync!$X1231,OpTbl,3,0),""))</f>
        <v/>
      </c>
      <c r="J1234">
        <f>IF(OR($G1234="",Sync!$Z1231=""),"",Sync!$Z1231)</f>
        <v/>
      </c>
      <c r="K1234">
        <f>IF(OR($G1234="",Sync!$AA1231=""),"",Sync!$AA1231)</f>
        <v/>
      </c>
      <c r="L1234">
        <f>IF($G1234="",0,IF(Sync!$AB1231="",0,Sync!$AB1231))</f>
        <v/>
      </c>
      <c r="M1234">
        <f>IF($G1234="",0,IF(Sync!$AC1231="",0,Sync!$AC1231))</f>
        <v/>
      </c>
      <c r="N1234">
        <f>IF($G1234="","",IF($H1234="مرجوعی خرید",-1,1)*($L1234-$M1234*IFERROR(VLOOKUP("P01",ParamTbl,3,0),1.5))*(1-IF($I1234="خرید",IFERROR(VLOOKUP("P02",ParamTbl,3,0),1),0)/100))</f>
        <v/>
      </c>
      <c r="O1234">
        <f>IF($G1234="",0,IF($H1234="مرجوعی خرید",-1,1)*IF(Sync!$AD1231="",0,Sync!$AD1231))</f>
        <v/>
      </c>
      <c r="P1234">
        <f>IF(OR($G1234="",Sync!$W1231=""),"",Sync!$W1231)</f>
        <v/>
      </c>
      <c r="Q1234">
        <f>IF(OR($G1234="",Sync!$AE1231=""),"",Sync!$AE1231)</f>
        <v/>
      </c>
      <c r="R1234">
        <f>IF($G1234="","",IF(Sync!$V1231="","0000",IF(AND(ISNUMBER(Sync!$V1231),Sync!$V1231&gt;=0,Sync!$V1231&lt;1),RIGHT("00"&amp;HOUR(Sync!$V1231),2)&amp;RIGHT("00"&amp;MINUTE(Sync!$V1231),2),IFERROR(RIGHT("00"&amp;VALUE(LEFT(Sync!$V1231,FIND(":",Sync!$V1231)-1)),2)&amp;RIGHT("00"&amp;VALUE(MID(Sync!$V1231,FIND(":",Sync!$V1231)+1,2)),2),"0000"))))</f>
        <v/>
      </c>
    </row>
    <row r="1235">
      <c r="A1235">
        <f>IF(Sync!$U1232="","",Sync!$U1232)</f>
        <v/>
      </c>
      <c r="B1235">
        <f>IF($A1235="","",IF(ISNUMBER($A1235),IF(AND($A1235&gt;=10000101,$A1235&lt;=99991231),INT($A1235/10000),""),IFERROR(VALUE(TRIM(LEFT($A1235,FIND("/",$A1235)-1))),"")))</f>
        <v/>
      </c>
      <c r="C1235">
        <f>IF(OR($A1235="",$B1235=""),"",IF(ISNUMBER($A1235),INT(MOD($A1235,10000)/100),IFERROR(VALUE(TRIM(LEFT(MID($A1235,FIND("/",$A1235)+1,20),FIND("/",MID($A1235,FIND("/",$A1235)+1,20))-1))),"")))</f>
        <v/>
      </c>
      <c r="D1235">
        <f>IF(OR($A1235="",$B1235=""),"",IF(ISNUMBER($A1235),MOD($A1235,100),IFERROR(VALUE(TRIM(MID(MID($A1235,FIND("/",$A1235)+1,20),FIND("/",MID($A1235,FIND("/",$A1235)+1,20))+1,20))),"")))</f>
        <v/>
      </c>
      <c r="E1235">
        <f>IF($A1235="","",IF(OR($B1235="",$C1235="",$D1235="",$B1235&lt;1300,$B1235&gt;1500,$C1235&lt;1,$C1235&gt;12,$D1235&lt;1,$D1235&gt;31),"نامعتبر",RIGHT("0000"&amp;$B1235,4)&amp;"/"&amp;RIGHT("00"&amp;$C1235,2)&amp;"/"&amp;RIGHT("00"&amp;$D1235,2)))</f>
        <v/>
      </c>
      <c r="F1235">
        <f>IF(OR($E1235="",$E1235="نامعتبر"),"",LEFT($E1235,4)&amp;"/"&amp;MID($E1235,6,2))</f>
        <v/>
      </c>
      <c r="G1235">
        <f>IF(OR($E1235="",$E1235="نامعتبر",Sync!$Y1232=""),"",Sync!$Y1232)</f>
        <v/>
      </c>
      <c r="H1235">
        <f>IF($G1235="","",IF(Sync!$X1232="","",Sync!$X1232))</f>
        <v/>
      </c>
      <c r="I1235">
        <f>IF($G1235="","",IFERROR(VLOOKUP(Sync!$X1232,OpTbl,3,0),""))</f>
        <v/>
      </c>
      <c r="J1235">
        <f>IF(OR($G1235="",Sync!$Z1232=""),"",Sync!$Z1232)</f>
        <v/>
      </c>
      <c r="K1235">
        <f>IF(OR($G1235="",Sync!$AA1232=""),"",Sync!$AA1232)</f>
        <v/>
      </c>
      <c r="L1235">
        <f>IF($G1235="",0,IF(Sync!$AB1232="",0,Sync!$AB1232))</f>
        <v/>
      </c>
      <c r="M1235">
        <f>IF($G1235="",0,IF(Sync!$AC1232="",0,Sync!$AC1232))</f>
        <v/>
      </c>
      <c r="N1235">
        <f>IF($G1235="","",IF($H1235="مرجوعی خرید",-1,1)*($L1235-$M1235*IFERROR(VLOOKUP("P01",ParamTbl,3,0),1.5))*(1-IF($I1235="خرید",IFERROR(VLOOKUP("P02",ParamTbl,3,0),1),0)/100))</f>
        <v/>
      </c>
      <c r="O1235">
        <f>IF($G1235="",0,IF($H1235="مرجوعی خرید",-1,1)*IF(Sync!$AD1232="",0,Sync!$AD1232))</f>
        <v/>
      </c>
      <c r="P1235">
        <f>IF(OR($G1235="",Sync!$W1232=""),"",Sync!$W1232)</f>
        <v/>
      </c>
      <c r="Q1235">
        <f>IF(OR($G1235="",Sync!$AE1232=""),"",Sync!$AE1232)</f>
        <v/>
      </c>
      <c r="R1235">
        <f>IF($G1235="","",IF(Sync!$V1232="","0000",IF(AND(ISNUMBER(Sync!$V1232),Sync!$V1232&gt;=0,Sync!$V1232&lt;1),RIGHT("00"&amp;HOUR(Sync!$V1232),2)&amp;RIGHT("00"&amp;MINUTE(Sync!$V1232),2),IFERROR(RIGHT("00"&amp;VALUE(LEFT(Sync!$V1232,FIND(":",Sync!$V1232)-1)),2)&amp;RIGHT("00"&amp;VALUE(MID(Sync!$V1232,FIND(":",Sync!$V1232)+1,2)),2),"0000"))))</f>
        <v/>
      </c>
    </row>
    <row r="1236">
      <c r="A1236">
        <f>IF(Sync!$U1233="","",Sync!$U1233)</f>
        <v/>
      </c>
      <c r="B1236">
        <f>IF($A1236="","",IF(ISNUMBER($A1236),IF(AND($A1236&gt;=10000101,$A1236&lt;=99991231),INT($A1236/10000),""),IFERROR(VALUE(TRIM(LEFT($A1236,FIND("/",$A1236)-1))),"")))</f>
        <v/>
      </c>
      <c r="C1236">
        <f>IF(OR($A1236="",$B1236=""),"",IF(ISNUMBER($A1236),INT(MOD($A1236,10000)/100),IFERROR(VALUE(TRIM(LEFT(MID($A1236,FIND("/",$A1236)+1,20),FIND("/",MID($A1236,FIND("/",$A1236)+1,20))-1))),"")))</f>
        <v/>
      </c>
      <c r="D1236">
        <f>IF(OR($A1236="",$B1236=""),"",IF(ISNUMBER($A1236),MOD($A1236,100),IFERROR(VALUE(TRIM(MID(MID($A1236,FIND("/",$A1236)+1,20),FIND("/",MID($A1236,FIND("/",$A1236)+1,20))+1,20))),"")))</f>
        <v/>
      </c>
      <c r="E1236">
        <f>IF($A1236="","",IF(OR($B1236="",$C1236="",$D1236="",$B1236&lt;1300,$B1236&gt;1500,$C1236&lt;1,$C1236&gt;12,$D1236&lt;1,$D1236&gt;31),"نامعتبر",RIGHT("0000"&amp;$B1236,4)&amp;"/"&amp;RIGHT("00"&amp;$C1236,2)&amp;"/"&amp;RIGHT("00"&amp;$D1236,2)))</f>
        <v/>
      </c>
      <c r="F1236">
        <f>IF(OR($E1236="",$E1236="نامعتبر"),"",LEFT($E1236,4)&amp;"/"&amp;MID($E1236,6,2))</f>
        <v/>
      </c>
      <c r="G1236">
        <f>IF(OR($E1236="",$E1236="نامعتبر",Sync!$Y1233=""),"",Sync!$Y1233)</f>
        <v/>
      </c>
      <c r="H1236">
        <f>IF($G1236="","",IF(Sync!$X1233="","",Sync!$X1233))</f>
        <v/>
      </c>
      <c r="I1236">
        <f>IF($G1236="","",IFERROR(VLOOKUP(Sync!$X1233,OpTbl,3,0),""))</f>
        <v/>
      </c>
      <c r="J1236">
        <f>IF(OR($G1236="",Sync!$Z1233=""),"",Sync!$Z1233)</f>
        <v/>
      </c>
      <c r="K1236">
        <f>IF(OR($G1236="",Sync!$AA1233=""),"",Sync!$AA1233)</f>
        <v/>
      </c>
      <c r="L1236">
        <f>IF($G1236="",0,IF(Sync!$AB1233="",0,Sync!$AB1233))</f>
        <v/>
      </c>
      <c r="M1236">
        <f>IF($G1236="",0,IF(Sync!$AC1233="",0,Sync!$AC1233))</f>
        <v/>
      </c>
      <c r="N1236">
        <f>IF($G1236="","",IF($H1236="مرجوعی خرید",-1,1)*($L1236-$M1236*IFERROR(VLOOKUP("P01",ParamTbl,3,0),1.5))*(1-IF($I1236="خرید",IFERROR(VLOOKUP("P02",ParamTbl,3,0),1),0)/100))</f>
        <v/>
      </c>
      <c r="O1236">
        <f>IF($G1236="",0,IF($H1236="مرجوعی خرید",-1,1)*IF(Sync!$AD1233="",0,Sync!$AD1233))</f>
        <v/>
      </c>
      <c r="P1236">
        <f>IF(OR($G1236="",Sync!$W1233=""),"",Sync!$W1233)</f>
        <v/>
      </c>
      <c r="Q1236">
        <f>IF(OR($G1236="",Sync!$AE1233=""),"",Sync!$AE1233)</f>
        <v/>
      </c>
      <c r="R1236">
        <f>IF($G1236="","",IF(Sync!$V1233="","0000",IF(AND(ISNUMBER(Sync!$V1233),Sync!$V1233&gt;=0,Sync!$V1233&lt;1),RIGHT("00"&amp;HOUR(Sync!$V1233),2)&amp;RIGHT("00"&amp;MINUTE(Sync!$V1233),2),IFERROR(RIGHT("00"&amp;VALUE(LEFT(Sync!$V1233,FIND(":",Sync!$V1233)-1)),2)&amp;RIGHT("00"&amp;VALUE(MID(Sync!$V1233,FIND(":",Sync!$V1233)+1,2)),2),"0000"))))</f>
        <v/>
      </c>
    </row>
    <row r="1237">
      <c r="A1237">
        <f>IF(Sync!$U1234="","",Sync!$U1234)</f>
        <v/>
      </c>
      <c r="B1237">
        <f>IF($A1237="","",IF(ISNUMBER($A1237),IF(AND($A1237&gt;=10000101,$A1237&lt;=99991231),INT($A1237/10000),""),IFERROR(VALUE(TRIM(LEFT($A1237,FIND("/",$A1237)-1))),"")))</f>
        <v/>
      </c>
      <c r="C1237">
        <f>IF(OR($A1237="",$B1237=""),"",IF(ISNUMBER($A1237),INT(MOD($A1237,10000)/100),IFERROR(VALUE(TRIM(LEFT(MID($A1237,FIND("/",$A1237)+1,20),FIND("/",MID($A1237,FIND("/",$A1237)+1,20))-1))),"")))</f>
        <v/>
      </c>
      <c r="D1237">
        <f>IF(OR($A1237="",$B1237=""),"",IF(ISNUMBER($A1237),MOD($A1237,100),IFERROR(VALUE(TRIM(MID(MID($A1237,FIND("/",$A1237)+1,20),FIND("/",MID($A1237,FIND("/",$A1237)+1,20))+1,20))),"")))</f>
        <v/>
      </c>
      <c r="E1237">
        <f>IF($A1237="","",IF(OR($B1237="",$C1237="",$D1237="",$B1237&lt;1300,$B1237&gt;1500,$C1237&lt;1,$C1237&gt;12,$D1237&lt;1,$D1237&gt;31),"نامعتبر",RIGHT("0000"&amp;$B1237,4)&amp;"/"&amp;RIGHT("00"&amp;$C1237,2)&amp;"/"&amp;RIGHT("00"&amp;$D1237,2)))</f>
        <v/>
      </c>
      <c r="F1237">
        <f>IF(OR($E1237="",$E1237="نامعتبر"),"",LEFT($E1237,4)&amp;"/"&amp;MID($E1237,6,2))</f>
        <v/>
      </c>
      <c r="G1237">
        <f>IF(OR($E1237="",$E1237="نامعتبر",Sync!$Y1234=""),"",Sync!$Y1234)</f>
        <v/>
      </c>
      <c r="H1237">
        <f>IF($G1237="","",IF(Sync!$X1234="","",Sync!$X1234))</f>
        <v/>
      </c>
      <c r="I1237">
        <f>IF($G1237="","",IFERROR(VLOOKUP(Sync!$X1234,OpTbl,3,0),""))</f>
        <v/>
      </c>
      <c r="J1237">
        <f>IF(OR($G1237="",Sync!$Z1234=""),"",Sync!$Z1234)</f>
        <v/>
      </c>
      <c r="K1237">
        <f>IF(OR($G1237="",Sync!$AA1234=""),"",Sync!$AA1234)</f>
        <v/>
      </c>
      <c r="L1237">
        <f>IF($G1237="",0,IF(Sync!$AB1234="",0,Sync!$AB1234))</f>
        <v/>
      </c>
      <c r="M1237">
        <f>IF($G1237="",0,IF(Sync!$AC1234="",0,Sync!$AC1234))</f>
        <v/>
      </c>
      <c r="N1237">
        <f>IF($G1237="","",IF($H1237="مرجوعی خرید",-1,1)*($L1237-$M1237*IFERROR(VLOOKUP("P01",ParamTbl,3,0),1.5))*(1-IF($I1237="خرید",IFERROR(VLOOKUP("P02",ParamTbl,3,0),1),0)/100))</f>
        <v/>
      </c>
      <c r="O1237">
        <f>IF($G1237="",0,IF($H1237="مرجوعی خرید",-1,1)*IF(Sync!$AD1234="",0,Sync!$AD1234))</f>
        <v/>
      </c>
      <c r="P1237">
        <f>IF(OR($G1237="",Sync!$W1234=""),"",Sync!$W1234)</f>
        <v/>
      </c>
      <c r="Q1237">
        <f>IF(OR($G1237="",Sync!$AE1234=""),"",Sync!$AE1234)</f>
        <v/>
      </c>
      <c r="R1237">
        <f>IF($G1237="","",IF(Sync!$V1234="","0000",IF(AND(ISNUMBER(Sync!$V1234),Sync!$V1234&gt;=0,Sync!$V1234&lt;1),RIGHT("00"&amp;HOUR(Sync!$V1234),2)&amp;RIGHT("00"&amp;MINUTE(Sync!$V1234),2),IFERROR(RIGHT("00"&amp;VALUE(LEFT(Sync!$V1234,FIND(":",Sync!$V1234)-1)),2)&amp;RIGHT("00"&amp;VALUE(MID(Sync!$V1234,FIND(":",Sync!$V1234)+1,2)),2),"0000"))))</f>
        <v/>
      </c>
    </row>
    <row r="1238">
      <c r="A1238">
        <f>IF(Sync!$U1235="","",Sync!$U1235)</f>
        <v/>
      </c>
      <c r="B1238">
        <f>IF($A1238="","",IF(ISNUMBER($A1238),IF(AND($A1238&gt;=10000101,$A1238&lt;=99991231),INT($A1238/10000),""),IFERROR(VALUE(TRIM(LEFT($A1238,FIND("/",$A1238)-1))),"")))</f>
        <v/>
      </c>
      <c r="C1238">
        <f>IF(OR($A1238="",$B1238=""),"",IF(ISNUMBER($A1238),INT(MOD($A1238,10000)/100),IFERROR(VALUE(TRIM(LEFT(MID($A1238,FIND("/",$A1238)+1,20),FIND("/",MID($A1238,FIND("/",$A1238)+1,20))-1))),"")))</f>
        <v/>
      </c>
      <c r="D1238">
        <f>IF(OR($A1238="",$B1238=""),"",IF(ISNUMBER($A1238),MOD($A1238,100),IFERROR(VALUE(TRIM(MID(MID($A1238,FIND("/",$A1238)+1,20),FIND("/",MID($A1238,FIND("/",$A1238)+1,20))+1,20))),"")))</f>
        <v/>
      </c>
      <c r="E1238">
        <f>IF($A1238="","",IF(OR($B1238="",$C1238="",$D1238="",$B1238&lt;1300,$B1238&gt;1500,$C1238&lt;1,$C1238&gt;12,$D1238&lt;1,$D1238&gt;31),"نامعتبر",RIGHT("0000"&amp;$B1238,4)&amp;"/"&amp;RIGHT("00"&amp;$C1238,2)&amp;"/"&amp;RIGHT("00"&amp;$D1238,2)))</f>
        <v/>
      </c>
      <c r="F1238">
        <f>IF(OR($E1238="",$E1238="نامعتبر"),"",LEFT($E1238,4)&amp;"/"&amp;MID($E1238,6,2))</f>
        <v/>
      </c>
      <c r="G1238">
        <f>IF(OR($E1238="",$E1238="نامعتبر",Sync!$Y1235=""),"",Sync!$Y1235)</f>
        <v/>
      </c>
      <c r="H1238">
        <f>IF($G1238="","",IF(Sync!$X1235="","",Sync!$X1235))</f>
        <v/>
      </c>
      <c r="I1238">
        <f>IF($G1238="","",IFERROR(VLOOKUP(Sync!$X1235,OpTbl,3,0),""))</f>
        <v/>
      </c>
      <c r="J1238">
        <f>IF(OR($G1238="",Sync!$Z1235=""),"",Sync!$Z1235)</f>
        <v/>
      </c>
      <c r="K1238">
        <f>IF(OR($G1238="",Sync!$AA1235=""),"",Sync!$AA1235)</f>
        <v/>
      </c>
      <c r="L1238">
        <f>IF($G1238="",0,IF(Sync!$AB1235="",0,Sync!$AB1235))</f>
        <v/>
      </c>
      <c r="M1238">
        <f>IF($G1238="",0,IF(Sync!$AC1235="",0,Sync!$AC1235))</f>
        <v/>
      </c>
      <c r="N1238">
        <f>IF($G1238="","",IF($H1238="مرجوعی خرید",-1,1)*($L1238-$M1238*IFERROR(VLOOKUP("P01",ParamTbl,3,0),1.5))*(1-IF($I1238="خرید",IFERROR(VLOOKUP("P02",ParamTbl,3,0),1),0)/100))</f>
        <v/>
      </c>
      <c r="O1238">
        <f>IF($G1238="",0,IF($H1238="مرجوعی خرید",-1,1)*IF(Sync!$AD1235="",0,Sync!$AD1235))</f>
        <v/>
      </c>
      <c r="P1238">
        <f>IF(OR($G1238="",Sync!$W1235=""),"",Sync!$W1235)</f>
        <v/>
      </c>
      <c r="Q1238">
        <f>IF(OR($G1238="",Sync!$AE1235=""),"",Sync!$AE1235)</f>
        <v/>
      </c>
      <c r="R1238">
        <f>IF($G1238="","",IF(Sync!$V1235="","0000",IF(AND(ISNUMBER(Sync!$V1235),Sync!$V1235&gt;=0,Sync!$V1235&lt;1),RIGHT("00"&amp;HOUR(Sync!$V1235),2)&amp;RIGHT("00"&amp;MINUTE(Sync!$V1235),2),IFERROR(RIGHT("00"&amp;VALUE(LEFT(Sync!$V1235,FIND(":",Sync!$V1235)-1)),2)&amp;RIGHT("00"&amp;VALUE(MID(Sync!$V1235,FIND(":",Sync!$V1235)+1,2)),2),"0000"))))</f>
        <v/>
      </c>
    </row>
    <row r="1239">
      <c r="A1239">
        <f>IF(Sync!$U1236="","",Sync!$U1236)</f>
        <v/>
      </c>
      <c r="B1239">
        <f>IF($A1239="","",IF(ISNUMBER($A1239),IF(AND($A1239&gt;=10000101,$A1239&lt;=99991231),INT($A1239/10000),""),IFERROR(VALUE(TRIM(LEFT($A1239,FIND("/",$A1239)-1))),"")))</f>
        <v/>
      </c>
      <c r="C1239">
        <f>IF(OR($A1239="",$B1239=""),"",IF(ISNUMBER($A1239),INT(MOD($A1239,10000)/100),IFERROR(VALUE(TRIM(LEFT(MID($A1239,FIND("/",$A1239)+1,20),FIND("/",MID($A1239,FIND("/",$A1239)+1,20))-1))),"")))</f>
        <v/>
      </c>
      <c r="D1239">
        <f>IF(OR($A1239="",$B1239=""),"",IF(ISNUMBER($A1239),MOD($A1239,100),IFERROR(VALUE(TRIM(MID(MID($A1239,FIND("/",$A1239)+1,20),FIND("/",MID($A1239,FIND("/",$A1239)+1,20))+1,20))),"")))</f>
        <v/>
      </c>
      <c r="E1239">
        <f>IF($A1239="","",IF(OR($B1239="",$C1239="",$D1239="",$B1239&lt;1300,$B1239&gt;1500,$C1239&lt;1,$C1239&gt;12,$D1239&lt;1,$D1239&gt;31),"نامعتبر",RIGHT("0000"&amp;$B1239,4)&amp;"/"&amp;RIGHT("00"&amp;$C1239,2)&amp;"/"&amp;RIGHT("00"&amp;$D1239,2)))</f>
        <v/>
      </c>
      <c r="F1239">
        <f>IF(OR($E1239="",$E1239="نامعتبر"),"",LEFT($E1239,4)&amp;"/"&amp;MID($E1239,6,2))</f>
        <v/>
      </c>
      <c r="G1239">
        <f>IF(OR($E1239="",$E1239="نامعتبر",Sync!$Y1236=""),"",Sync!$Y1236)</f>
        <v/>
      </c>
      <c r="H1239">
        <f>IF($G1239="","",IF(Sync!$X1236="","",Sync!$X1236))</f>
        <v/>
      </c>
      <c r="I1239">
        <f>IF($G1239="","",IFERROR(VLOOKUP(Sync!$X1236,OpTbl,3,0),""))</f>
        <v/>
      </c>
      <c r="J1239">
        <f>IF(OR($G1239="",Sync!$Z1236=""),"",Sync!$Z1236)</f>
        <v/>
      </c>
      <c r="K1239">
        <f>IF(OR($G1239="",Sync!$AA1236=""),"",Sync!$AA1236)</f>
        <v/>
      </c>
      <c r="L1239">
        <f>IF($G1239="",0,IF(Sync!$AB1236="",0,Sync!$AB1236))</f>
        <v/>
      </c>
      <c r="M1239">
        <f>IF($G1239="",0,IF(Sync!$AC1236="",0,Sync!$AC1236))</f>
        <v/>
      </c>
      <c r="N1239">
        <f>IF($G1239="","",IF($H1239="مرجوعی خرید",-1,1)*($L1239-$M1239*IFERROR(VLOOKUP("P01",ParamTbl,3,0),1.5))*(1-IF($I1239="خرید",IFERROR(VLOOKUP("P02",ParamTbl,3,0),1),0)/100))</f>
        <v/>
      </c>
      <c r="O1239">
        <f>IF($G1239="",0,IF($H1239="مرجوعی خرید",-1,1)*IF(Sync!$AD1236="",0,Sync!$AD1236))</f>
        <v/>
      </c>
      <c r="P1239">
        <f>IF(OR($G1239="",Sync!$W1236=""),"",Sync!$W1236)</f>
        <v/>
      </c>
      <c r="Q1239">
        <f>IF(OR($G1239="",Sync!$AE1236=""),"",Sync!$AE1236)</f>
        <v/>
      </c>
      <c r="R1239">
        <f>IF($G1239="","",IF(Sync!$V1236="","0000",IF(AND(ISNUMBER(Sync!$V1236),Sync!$V1236&gt;=0,Sync!$V1236&lt;1),RIGHT("00"&amp;HOUR(Sync!$V1236),2)&amp;RIGHT("00"&amp;MINUTE(Sync!$V1236),2),IFERROR(RIGHT("00"&amp;VALUE(LEFT(Sync!$V1236,FIND(":",Sync!$V1236)-1)),2)&amp;RIGHT("00"&amp;VALUE(MID(Sync!$V1236,FIND(":",Sync!$V1236)+1,2)),2),"0000"))))</f>
        <v/>
      </c>
    </row>
    <row r="1240">
      <c r="A1240">
        <f>IF(Sync!$U1237="","",Sync!$U1237)</f>
        <v/>
      </c>
      <c r="B1240">
        <f>IF($A1240="","",IF(ISNUMBER($A1240),IF(AND($A1240&gt;=10000101,$A1240&lt;=99991231),INT($A1240/10000),""),IFERROR(VALUE(TRIM(LEFT($A1240,FIND("/",$A1240)-1))),"")))</f>
        <v/>
      </c>
      <c r="C1240">
        <f>IF(OR($A1240="",$B1240=""),"",IF(ISNUMBER($A1240),INT(MOD($A1240,10000)/100),IFERROR(VALUE(TRIM(LEFT(MID($A1240,FIND("/",$A1240)+1,20),FIND("/",MID($A1240,FIND("/",$A1240)+1,20))-1))),"")))</f>
        <v/>
      </c>
      <c r="D1240">
        <f>IF(OR($A1240="",$B1240=""),"",IF(ISNUMBER($A1240),MOD($A1240,100),IFERROR(VALUE(TRIM(MID(MID($A1240,FIND("/",$A1240)+1,20),FIND("/",MID($A1240,FIND("/",$A1240)+1,20))+1,20))),"")))</f>
        <v/>
      </c>
      <c r="E1240">
        <f>IF($A1240="","",IF(OR($B1240="",$C1240="",$D1240="",$B1240&lt;1300,$B1240&gt;1500,$C1240&lt;1,$C1240&gt;12,$D1240&lt;1,$D1240&gt;31),"نامعتبر",RIGHT("0000"&amp;$B1240,4)&amp;"/"&amp;RIGHT("00"&amp;$C1240,2)&amp;"/"&amp;RIGHT("00"&amp;$D1240,2)))</f>
        <v/>
      </c>
      <c r="F1240">
        <f>IF(OR($E1240="",$E1240="نامعتبر"),"",LEFT($E1240,4)&amp;"/"&amp;MID($E1240,6,2))</f>
        <v/>
      </c>
      <c r="G1240">
        <f>IF(OR($E1240="",$E1240="نامعتبر",Sync!$Y1237=""),"",Sync!$Y1237)</f>
        <v/>
      </c>
      <c r="H1240">
        <f>IF($G1240="","",IF(Sync!$X1237="","",Sync!$X1237))</f>
        <v/>
      </c>
      <c r="I1240">
        <f>IF($G1240="","",IFERROR(VLOOKUP(Sync!$X1237,OpTbl,3,0),""))</f>
        <v/>
      </c>
      <c r="J1240">
        <f>IF(OR($G1240="",Sync!$Z1237=""),"",Sync!$Z1237)</f>
        <v/>
      </c>
      <c r="K1240">
        <f>IF(OR($G1240="",Sync!$AA1237=""),"",Sync!$AA1237)</f>
        <v/>
      </c>
      <c r="L1240">
        <f>IF($G1240="",0,IF(Sync!$AB1237="",0,Sync!$AB1237))</f>
        <v/>
      </c>
      <c r="M1240">
        <f>IF($G1240="",0,IF(Sync!$AC1237="",0,Sync!$AC1237))</f>
        <v/>
      </c>
      <c r="N1240">
        <f>IF($G1240="","",IF($H1240="مرجوعی خرید",-1,1)*($L1240-$M1240*IFERROR(VLOOKUP("P01",ParamTbl,3,0),1.5))*(1-IF($I1240="خرید",IFERROR(VLOOKUP("P02",ParamTbl,3,0),1),0)/100))</f>
        <v/>
      </c>
      <c r="O1240">
        <f>IF($G1240="",0,IF($H1240="مرجوعی خرید",-1,1)*IF(Sync!$AD1237="",0,Sync!$AD1237))</f>
        <v/>
      </c>
      <c r="P1240">
        <f>IF(OR($G1240="",Sync!$W1237=""),"",Sync!$W1237)</f>
        <v/>
      </c>
      <c r="Q1240">
        <f>IF(OR($G1240="",Sync!$AE1237=""),"",Sync!$AE1237)</f>
        <v/>
      </c>
      <c r="R1240">
        <f>IF($G1240="","",IF(Sync!$V1237="","0000",IF(AND(ISNUMBER(Sync!$V1237),Sync!$V1237&gt;=0,Sync!$V1237&lt;1),RIGHT("00"&amp;HOUR(Sync!$V1237),2)&amp;RIGHT("00"&amp;MINUTE(Sync!$V1237),2),IFERROR(RIGHT("00"&amp;VALUE(LEFT(Sync!$V1237,FIND(":",Sync!$V1237)-1)),2)&amp;RIGHT("00"&amp;VALUE(MID(Sync!$V1237,FIND(":",Sync!$V1237)+1,2)),2),"0000"))))</f>
        <v/>
      </c>
    </row>
    <row r="1241">
      <c r="A1241">
        <f>IF(Sync!$U1238="","",Sync!$U1238)</f>
        <v/>
      </c>
      <c r="B1241">
        <f>IF($A1241="","",IF(ISNUMBER($A1241),IF(AND($A1241&gt;=10000101,$A1241&lt;=99991231),INT($A1241/10000),""),IFERROR(VALUE(TRIM(LEFT($A1241,FIND("/",$A1241)-1))),"")))</f>
        <v/>
      </c>
      <c r="C1241">
        <f>IF(OR($A1241="",$B1241=""),"",IF(ISNUMBER($A1241),INT(MOD($A1241,10000)/100),IFERROR(VALUE(TRIM(LEFT(MID($A1241,FIND("/",$A1241)+1,20),FIND("/",MID($A1241,FIND("/",$A1241)+1,20))-1))),"")))</f>
        <v/>
      </c>
      <c r="D1241">
        <f>IF(OR($A1241="",$B1241=""),"",IF(ISNUMBER($A1241),MOD($A1241,100),IFERROR(VALUE(TRIM(MID(MID($A1241,FIND("/",$A1241)+1,20),FIND("/",MID($A1241,FIND("/",$A1241)+1,20))+1,20))),"")))</f>
        <v/>
      </c>
      <c r="E1241">
        <f>IF($A1241="","",IF(OR($B1241="",$C1241="",$D1241="",$B1241&lt;1300,$B1241&gt;1500,$C1241&lt;1,$C1241&gt;12,$D1241&lt;1,$D1241&gt;31),"نامعتبر",RIGHT("0000"&amp;$B1241,4)&amp;"/"&amp;RIGHT("00"&amp;$C1241,2)&amp;"/"&amp;RIGHT("00"&amp;$D1241,2)))</f>
        <v/>
      </c>
      <c r="F1241">
        <f>IF(OR($E1241="",$E1241="نامعتبر"),"",LEFT($E1241,4)&amp;"/"&amp;MID($E1241,6,2))</f>
        <v/>
      </c>
      <c r="G1241">
        <f>IF(OR($E1241="",$E1241="نامعتبر",Sync!$Y1238=""),"",Sync!$Y1238)</f>
        <v/>
      </c>
      <c r="H1241">
        <f>IF($G1241="","",IF(Sync!$X1238="","",Sync!$X1238))</f>
        <v/>
      </c>
      <c r="I1241">
        <f>IF($G1241="","",IFERROR(VLOOKUP(Sync!$X1238,OpTbl,3,0),""))</f>
        <v/>
      </c>
      <c r="J1241">
        <f>IF(OR($G1241="",Sync!$Z1238=""),"",Sync!$Z1238)</f>
        <v/>
      </c>
      <c r="K1241">
        <f>IF(OR($G1241="",Sync!$AA1238=""),"",Sync!$AA1238)</f>
        <v/>
      </c>
      <c r="L1241">
        <f>IF($G1241="",0,IF(Sync!$AB1238="",0,Sync!$AB1238))</f>
        <v/>
      </c>
      <c r="M1241">
        <f>IF($G1241="",0,IF(Sync!$AC1238="",0,Sync!$AC1238))</f>
        <v/>
      </c>
      <c r="N1241">
        <f>IF($G1241="","",IF($H1241="مرجوعی خرید",-1,1)*($L1241-$M1241*IFERROR(VLOOKUP("P01",ParamTbl,3,0),1.5))*(1-IF($I1241="خرید",IFERROR(VLOOKUP("P02",ParamTbl,3,0),1),0)/100))</f>
        <v/>
      </c>
      <c r="O1241">
        <f>IF($G1241="",0,IF($H1241="مرجوعی خرید",-1,1)*IF(Sync!$AD1238="",0,Sync!$AD1238))</f>
        <v/>
      </c>
      <c r="P1241">
        <f>IF(OR($G1241="",Sync!$W1238=""),"",Sync!$W1238)</f>
        <v/>
      </c>
      <c r="Q1241">
        <f>IF(OR($G1241="",Sync!$AE1238=""),"",Sync!$AE1238)</f>
        <v/>
      </c>
      <c r="R1241">
        <f>IF($G1241="","",IF(Sync!$V1238="","0000",IF(AND(ISNUMBER(Sync!$V1238),Sync!$V1238&gt;=0,Sync!$V1238&lt;1),RIGHT("00"&amp;HOUR(Sync!$V1238),2)&amp;RIGHT("00"&amp;MINUTE(Sync!$V1238),2),IFERROR(RIGHT("00"&amp;VALUE(LEFT(Sync!$V1238,FIND(":",Sync!$V1238)-1)),2)&amp;RIGHT("00"&amp;VALUE(MID(Sync!$V1238,FIND(":",Sync!$V1238)+1,2)),2),"0000"))))</f>
        <v/>
      </c>
    </row>
    <row r="1242">
      <c r="A1242">
        <f>IF(Sync!$U1239="","",Sync!$U1239)</f>
        <v/>
      </c>
      <c r="B1242">
        <f>IF($A1242="","",IF(ISNUMBER($A1242),IF(AND($A1242&gt;=10000101,$A1242&lt;=99991231),INT($A1242/10000),""),IFERROR(VALUE(TRIM(LEFT($A1242,FIND("/",$A1242)-1))),"")))</f>
        <v/>
      </c>
      <c r="C1242">
        <f>IF(OR($A1242="",$B1242=""),"",IF(ISNUMBER($A1242),INT(MOD($A1242,10000)/100),IFERROR(VALUE(TRIM(LEFT(MID($A1242,FIND("/",$A1242)+1,20),FIND("/",MID($A1242,FIND("/",$A1242)+1,20))-1))),"")))</f>
        <v/>
      </c>
      <c r="D1242">
        <f>IF(OR($A1242="",$B1242=""),"",IF(ISNUMBER($A1242),MOD($A1242,100),IFERROR(VALUE(TRIM(MID(MID($A1242,FIND("/",$A1242)+1,20),FIND("/",MID($A1242,FIND("/",$A1242)+1,20))+1,20))),"")))</f>
        <v/>
      </c>
      <c r="E1242">
        <f>IF($A1242="","",IF(OR($B1242="",$C1242="",$D1242="",$B1242&lt;1300,$B1242&gt;1500,$C1242&lt;1,$C1242&gt;12,$D1242&lt;1,$D1242&gt;31),"نامعتبر",RIGHT("0000"&amp;$B1242,4)&amp;"/"&amp;RIGHT("00"&amp;$C1242,2)&amp;"/"&amp;RIGHT("00"&amp;$D1242,2)))</f>
        <v/>
      </c>
      <c r="F1242">
        <f>IF(OR($E1242="",$E1242="نامعتبر"),"",LEFT($E1242,4)&amp;"/"&amp;MID($E1242,6,2))</f>
        <v/>
      </c>
      <c r="G1242">
        <f>IF(OR($E1242="",$E1242="نامعتبر",Sync!$Y1239=""),"",Sync!$Y1239)</f>
        <v/>
      </c>
      <c r="H1242">
        <f>IF($G1242="","",IF(Sync!$X1239="","",Sync!$X1239))</f>
        <v/>
      </c>
      <c r="I1242">
        <f>IF($G1242="","",IFERROR(VLOOKUP(Sync!$X1239,OpTbl,3,0),""))</f>
        <v/>
      </c>
      <c r="J1242">
        <f>IF(OR($G1242="",Sync!$Z1239=""),"",Sync!$Z1239)</f>
        <v/>
      </c>
      <c r="K1242">
        <f>IF(OR($G1242="",Sync!$AA1239=""),"",Sync!$AA1239)</f>
        <v/>
      </c>
      <c r="L1242">
        <f>IF($G1242="",0,IF(Sync!$AB1239="",0,Sync!$AB1239))</f>
        <v/>
      </c>
      <c r="M1242">
        <f>IF($G1242="",0,IF(Sync!$AC1239="",0,Sync!$AC1239))</f>
        <v/>
      </c>
      <c r="N1242">
        <f>IF($G1242="","",IF($H1242="مرجوعی خرید",-1,1)*($L1242-$M1242*IFERROR(VLOOKUP("P01",ParamTbl,3,0),1.5))*(1-IF($I1242="خرید",IFERROR(VLOOKUP("P02",ParamTbl,3,0),1),0)/100))</f>
        <v/>
      </c>
      <c r="O1242">
        <f>IF($G1242="",0,IF($H1242="مرجوعی خرید",-1,1)*IF(Sync!$AD1239="",0,Sync!$AD1239))</f>
        <v/>
      </c>
      <c r="P1242">
        <f>IF(OR($G1242="",Sync!$W1239=""),"",Sync!$W1239)</f>
        <v/>
      </c>
      <c r="Q1242">
        <f>IF(OR($G1242="",Sync!$AE1239=""),"",Sync!$AE1239)</f>
        <v/>
      </c>
      <c r="R1242">
        <f>IF($G1242="","",IF(Sync!$V1239="","0000",IF(AND(ISNUMBER(Sync!$V1239),Sync!$V1239&gt;=0,Sync!$V1239&lt;1),RIGHT("00"&amp;HOUR(Sync!$V1239),2)&amp;RIGHT("00"&amp;MINUTE(Sync!$V1239),2),IFERROR(RIGHT("00"&amp;VALUE(LEFT(Sync!$V1239,FIND(":",Sync!$V1239)-1)),2)&amp;RIGHT("00"&amp;VALUE(MID(Sync!$V1239,FIND(":",Sync!$V1239)+1,2)),2),"0000"))))</f>
        <v/>
      </c>
    </row>
    <row r="1243">
      <c r="A1243">
        <f>IF(Sync!$U1240="","",Sync!$U1240)</f>
        <v/>
      </c>
      <c r="B1243">
        <f>IF($A1243="","",IF(ISNUMBER($A1243),IF(AND($A1243&gt;=10000101,$A1243&lt;=99991231),INT($A1243/10000),""),IFERROR(VALUE(TRIM(LEFT($A1243,FIND("/",$A1243)-1))),"")))</f>
        <v/>
      </c>
      <c r="C1243">
        <f>IF(OR($A1243="",$B1243=""),"",IF(ISNUMBER($A1243),INT(MOD($A1243,10000)/100),IFERROR(VALUE(TRIM(LEFT(MID($A1243,FIND("/",$A1243)+1,20),FIND("/",MID($A1243,FIND("/",$A1243)+1,20))-1))),"")))</f>
        <v/>
      </c>
      <c r="D1243">
        <f>IF(OR($A1243="",$B1243=""),"",IF(ISNUMBER($A1243),MOD($A1243,100),IFERROR(VALUE(TRIM(MID(MID($A1243,FIND("/",$A1243)+1,20),FIND("/",MID($A1243,FIND("/",$A1243)+1,20))+1,20))),"")))</f>
        <v/>
      </c>
      <c r="E1243">
        <f>IF($A1243="","",IF(OR($B1243="",$C1243="",$D1243="",$B1243&lt;1300,$B1243&gt;1500,$C1243&lt;1,$C1243&gt;12,$D1243&lt;1,$D1243&gt;31),"نامعتبر",RIGHT("0000"&amp;$B1243,4)&amp;"/"&amp;RIGHT("00"&amp;$C1243,2)&amp;"/"&amp;RIGHT("00"&amp;$D1243,2)))</f>
        <v/>
      </c>
      <c r="F1243">
        <f>IF(OR($E1243="",$E1243="نامعتبر"),"",LEFT($E1243,4)&amp;"/"&amp;MID($E1243,6,2))</f>
        <v/>
      </c>
      <c r="G1243">
        <f>IF(OR($E1243="",$E1243="نامعتبر",Sync!$Y1240=""),"",Sync!$Y1240)</f>
        <v/>
      </c>
      <c r="H1243">
        <f>IF($G1243="","",IF(Sync!$X1240="","",Sync!$X1240))</f>
        <v/>
      </c>
      <c r="I1243">
        <f>IF($G1243="","",IFERROR(VLOOKUP(Sync!$X1240,OpTbl,3,0),""))</f>
        <v/>
      </c>
      <c r="J1243">
        <f>IF(OR($G1243="",Sync!$Z1240=""),"",Sync!$Z1240)</f>
        <v/>
      </c>
      <c r="K1243">
        <f>IF(OR($G1243="",Sync!$AA1240=""),"",Sync!$AA1240)</f>
        <v/>
      </c>
      <c r="L1243">
        <f>IF($G1243="",0,IF(Sync!$AB1240="",0,Sync!$AB1240))</f>
        <v/>
      </c>
      <c r="M1243">
        <f>IF($G1243="",0,IF(Sync!$AC1240="",0,Sync!$AC1240))</f>
        <v/>
      </c>
      <c r="N1243">
        <f>IF($G1243="","",IF($H1243="مرجوعی خرید",-1,1)*($L1243-$M1243*IFERROR(VLOOKUP("P01",ParamTbl,3,0),1.5))*(1-IF($I1243="خرید",IFERROR(VLOOKUP("P02",ParamTbl,3,0),1),0)/100))</f>
        <v/>
      </c>
      <c r="O1243">
        <f>IF($G1243="",0,IF($H1243="مرجوعی خرید",-1,1)*IF(Sync!$AD1240="",0,Sync!$AD1240))</f>
        <v/>
      </c>
      <c r="P1243">
        <f>IF(OR($G1243="",Sync!$W1240=""),"",Sync!$W1240)</f>
        <v/>
      </c>
      <c r="Q1243">
        <f>IF(OR($G1243="",Sync!$AE1240=""),"",Sync!$AE1240)</f>
        <v/>
      </c>
      <c r="R1243">
        <f>IF($G1243="","",IF(Sync!$V1240="","0000",IF(AND(ISNUMBER(Sync!$V1240),Sync!$V1240&gt;=0,Sync!$V1240&lt;1),RIGHT("00"&amp;HOUR(Sync!$V1240),2)&amp;RIGHT("00"&amp;MINUTE(Sync!$V1240),2),IFERROR(RIGHT("00"&amp;VALUE(LEFT(Sync!$V1240,FIND(":",Sync!$V1240)-1)),2)&amp;RIGHT("00"&amp;VALUE(MID(Sync!$V1240,FIND(":",Sync!$V1240)+1,2)),2),"0000"))))</f>
        <v/>
      </c>
    </row>
    <row r="1244">
      <c r="A1244">
        <f>IF(Sync!$U1241="","",Sync!$U1241)</f>
        <v/>
      </c>
      <c r="B1244">
        <f>IF($A1244="","",IF(ISNUMBER($A1244),IF(AND($A1244&gt;=10000101,$A1244&lt;=99991231),INT($A1244/10000),""),IFERROR(VALUE(TRIM(LEFT($A1244,FIND("/",$A1244)-1))),"")))</f>
        <v/>
      </c>
      <c r="C1244">
        <f>IF(OR($A1244="",$B1244=""),"",IF(ISNUMBER($A1244),INT(MOD($A1244,10000)/100),IFERROR(VALUE(TRIM(LEFT(MID($A1244,FIND("/",$A1244)+1,20),FIND("/",MID($A1244,FIND("/",$A1244)+1,20))-1))),"")))</f>
        <v/>
      </c>
      <c r="D1244">
        <f>IF(OR($A1244="",$B1244=""),"",IF(ISNUMBER($A1244),MOD($A1244,100),IFERROR(VALUE(TRIM(MID(MID($A1244,FIND("/",$A1244)+1,20),FIND("/",MID($A1244,FIND("/",$A1244)+1,20))+1,20))),"")))</f>
        <v/>
      </c>
      <c r="E1244">
        <f>IF($A1244="","",IF(OR($B1244="",$C1244="",$D1244="",$B1244&lt;1300,$B1244&gt;1500,$C1244&lt;1,$C1244&gt;12,$D1244&lt;1,$D1244&gt;31),"نامعتبر",RIGHT("0000"&amp;$B1244,4)&amp;"/"&amp;RIGHT("00"&amp;$C1244,2)&amp;"/"&amp;RIGHT("00"&amp;$D1244,2)))</f>
        <v/>
      </c>
      <c r="F1244">
        <f>IF(OR($E1244="",$E1244="نامعتبر"),"",LEFT($E1244,4)&amp;"/"&amp;MID($E1244,6,2))</f>
        <v/>
      </c>
      <c r="G1244">
        <f>IF(OR($E1244="",$E1244="نامعتبر",Sync!$Y1241=""),"",Sync!$Y1241)</f>
        <v/>
      </c>
      <c r="H1244">
        <f>IF($G1244="","",IF(Sync!$X1241="","",Sync!$X1241))</f>
        <v/>
      </c>
      <c r="I1244">
        <f>IF($G1244="","",IFERROR(VLOOKUP(Sync!$X1241,OpTbl,3,0),""))</f>
        <v/>
      </c>
      <c r="J1244">
        <f>IF(OR($G1244="",Sync!$Z1241=""),"",Sync!$Z1241)</f>
        <v/>
      </c>
      <c r="K1244">
        <f>IF(OR($G1244="",Sync!$AA1241=""),"",Sync!$AA1241)</f>
        <v/>
      </c>
      <c r="L1244">
        <f>IF($G1244="",0,IF(Sync!$AB1241="",0,Sync!$AB1241))</f>
        <v/>
      </c>
      <c r="M1244">
        <f>IF($G1244="",0,IF(Sync!$AC1241="",0,Sync!$AC1241))</f>
        <v/>
      </c>
      <c r="N1244">
        <f>IF($G1244="","",IF($H1244="مرجوعی خرید",-1,1)*($L1244-$M1244*IFERROR(VLOOKUP("P01",ParamTbl,3,0),1.5))*(1-IF($I1244="خرید",IFERROR(VLOOKUP("P02",ParamTbl,3,0),1),0)/100))</f>
        <v/>
      </c>
      <c r="O1244">
        <f>IF($G1244="",0,IF($H1244="مرجوعی خرید",-1,1)*IF(Sync!$AD1241="",0,Sync!$AD1241))</f>
        <v/>
      </c>
      <c r="P1244">
        <f>IF(OR($G1244="",Sync!$W1241=""),"",Sync!$W1241)</f>
        <v/>
      </c>
      <c r="Q1244">
        <f>IF(OR($G1244="",Sync!$AE1241=""),"",Sync!$AE1241)</f>
        <v/>
      </c>
      <c r="R1244">
        <f>IF($G1244="","",IF(Sync!$V1241="","0000",IF(AND(ISNUMBER(Sync!$V1241),Sync!$V1241&gt;=0,Sync!$V1241&lt;1),RIGHT("00"&amp;HOUR(Sync!$V1241),2)&amp;RIGHT("00"&amp;MINUTE(Sync!$V1241),2),IFERROR(RIGHT("00"&amp;VALUE(LEFT(Sync!$V1241,FIND(":",Sync!$V1241)-1)),2)&amp;RIGHT("00"&amp;VALUE(MID(Sync!$V1241,FIND(":",Sync!$V1241)+1,2)),2),"0000"))))</f>
        <v/>
      </c>
    </row>
    <row r="1245">
      <c r="A1245">
        <f>IF(Sync!$U1242="","",Sync!$U1242)</f>
        <v/>
      </c>
      <c r="B1245">
        <f>IF($A1245="","",IF(ISNUMBER($A1245),IF(AND($A1245&gt;=10000101,$A1245&lt;=99991231),INT($A1245/10000),""),IFERROR(VALUE(TRIM(LEFT($A1245,FIND("/",$A1245)-1))),"")))</f>
        <v/>
      </c>
      <c r="C1245">
        <f>IF(OR($A1245="",$B1245=""),"",IF(ISNUMBER($A1245),INT(MOD($A1245,10000)/100),IFERROR(VALUE(TRIM(LEFT(MID($A1245,FIND("/",$A1245)+1,20),FIND("/",MID($A1245,FIND("/",$A1245)+1,20))-1))),"")))</f>
        <v/>
      </c>
      <c r="D1245">
        <f>IF(OR($A1245="",$B1245=""),"",IF(ISNUMBER($A1245),MOD($A1245,100),IFERROR(VALUE(TRIM(MID(MID($A1245,FIND("/",$A1245)+1,20),FIND("/",MID($A1245,FIND("/",$A1245)+1,20))+1,20))),"")))</f>
        <v/>
      </c>
      <c r="E1245">
        <f>IF($A1245="","",IF(OR($B1245="",$C1245="",$D1245="",$B1245&lt;1300,$B1245&gt;1500,$C1245&lt;1,$C1245&gt;12,$D1245&lt;1,$D1245&gt;31),"نامعتبر",RIGHT("0000"&amp;$B1245,4)&amp;"/"&amp;RIGHT("00"&amp;$C1245,2)&amp;"/"&amp;RIGHT("00"&amp;$D1245,2)))</f>
        <v/>
      </c>
      <c r="F1245">
        <f>IF(OR($E1245="",$E1245="نامعتبر"),"",LEFT($E1245,4)&amp;"/"&amp;MID($E1245,6,2))</f>
        <v/>
      </c>
      <c r="G1245">
        <f>IF(OR($E1245="",$E1245="نامعتبر",Sync!$Y1242=""),"",Sync!$Y1242)</f>
        <v/>
      </c>
      <c r="H1245">
        <f>IF($G1245="","",IF(Sync!$X1242="","",Sync!$X1242))</f>
        <v/>
      </c>
      <c r="I1245">
        <f>IF($G1245="","",IFERROR(VLOOKUP(Sync!$X1242,OpTbl,3,0),""))</f>
        <v/>
      </c>
      <c r="J1245">
        <f>IF(OR($G1245="",Sync!$Z1242=""),"",Sync!$Z1242)</f>
        <v/>
      </c>
      <c r="K1245">
        <f>IF(OR($G1245="",Sync!$AA1242=""),"",Sync!$AA1242)</f>
        <v/>
      </c>
      <c r="L1245">
        <f>IF($G1245="",0,IF(Sync!$AB1242="",0,Sync!$AB1242))</f>
        <v/>
      </c>
      <c r="M1245">
        <f>IF($G1245="",0,IF(Sync!$AC1242="",0,Sync!$AC1242))</f>
        <v/>
      </c>
      <c r="N1245">
        <f>IF($G1245="","",IF($H1245="مرجوعی خرید",-1,1)*($L1245-$M1245*IFERROR(VLOOKUP("P01",ParamTbl,3,0),1.5))*(1-IF($I1245="خرید",IFERROR(VLOOKUP("P02",ParamTbl,3,0),1),0)/100))</f>
        <v/>
      </c>
      <c r="O1245">
        <f>IF($G1245="",0,IF($H1245="مرجوعی خرید",-1,1)*IF(Sync!$AD1242="",0,Sync!$AD1242))</f>
        <v/>
      </c>
      <c r="P1245">
        <f>IF(OR($G1245="",Sync!$W1242=""),"",Sync!$W1242)</f>
        <v/>
      </c>
      <c r="Q1245">
        <f>IF(OR($G1245="",Sync!$AE1242=""),"",Sync!$AE1242)</f>
        <v/>
      </c>
      <c r="R1245">
        <f>IF($G1245="","",IF(Sync!$V1242="","0000",IF(AND(ISNUMBER(Sync!$V1242),Sync!$V1242&gt;=0,Sync!$V1242&lt;1),RIGHT("00"&amp;HOUR(Sync!$V1242),2)&amp;RIGHT("00"&amp;MINUTE(Sync!$V1242),2),IFERROR(RIGHT("00"&amp;VALUE(LEFT(Sync!$V1242,FIND(":",Sync!$V1242)-1)),2)&amp;RIGHT("00"&amp;VALUE(MID(Sync!$V1242,FIND(":",Sync!$V1242)+1,2)),2),"0000"))))</f>
        <v/>
      </c>
    </row>
    <row r="1246">
      <c r="A1246">
        <f>IF(Sync!$U1243="","",Sync!$U1243)</f>
        <v/>
      </c>
      <c r="B1246">
        <f>IF($A1246="","",IF(ISNUMBER($A1246),IF(AND($A1246&gt;=10000101,$A1246&lt;=99991231),INT($A1246/10000),""),IFERROR(VALUE(TRIM(LEFT($A1246,FIND("/",$A1246)-1))),"")))</f>
        <v/>
      </c>
      <c r="C1246">
        <f>IF(OR($A1246="",$B1246=""),"",IF(ISNUMBER($A1246),INT(MOD($A1246,10000)/100),IFERROR(VALUE(TRIM(LEFT(MID($A1246,FIND("/",$A1246)+1,20),FIND("/",MID($A1246,FIND("/",$A1246)+1,20))-1))),"")))</f>
        <v/>
      </c>
      <c r="D1246">
        <f>IF(OR($A1246="",$B1246=""),"",IF(ISNUMBER($A1246),MOD($A1246,100),IFERROR(VALUE(TRIM(MID(MID($A1246,FIND("/",$A1246)+1,20),FIND("/",MID($A1246,FIND("/",$A1246)+1,20))+1,20))),"")))</f>
        <v/>
      </c>
      <c r="E1246">
        <f>IF($A1246="","",IF(OR($B1246="",$C1246="",$D1246="",$B1246&lt;1300,$B1246&gt;1500,$C1246&lt;1,$C1246&gt;12,$D1246&lt;1,$D1246&gt;31),"نامعتبر",RIGHT("0000"&amp;$B1246,4)&amp;"/"&amp;RIGHT("00"&amp;$C1246,2)&amp;"/"&amp;RIGHT("00"&amp;$D1246,2)))</f>
        <v/>
      </c>
      <c r="F1246">
        <f>IF(OR($E1246="",$E1246="نامعتبر"),"",LEFT($E1246,4)&amp;"/"&amp;MID($E1246,6,2))</f>
        <v/>
      </c>
      <c r="G1246">
        <f>IF(OR($E1246="",$E1246="نامعتبر",Sync!$Y1243=""),"",Sync!$Y1243)</f>
        <v/>
      </c>
      <c r="H1246">
        <f>IF($G1246="","",IF(Sync!$X1243="","",Sync!$X1243))</f>
        <v/>
      </c>
      <c r="I1246">
        <f>IF($G1246="","",IFERROR(VLOOKUP(Sync!$X1243,OpTbl,3,0),""))</f>
        <v/>
      </c>
      <c r="J1246">
        <f>IF(OR($G1246="",Sync!$Z1243=""),"",Sync!$Z1243)</f>
        <v/>
      </c>
      <c r="K1246">
        <f>IF(OR($G1246="",Sync!$AA1243=""),"",Sync!$AA1243)</f>
        <v/>
      </c>
      <c r="L1246">
        <f>IF($G1246="",0,IF(Sync!$AB1243="",0,Sync!$AB1243))</f>
        <v/>
      </c>
      <c r="M1246">
        <f>IF($G1246="",0,IF(Sync!$AC1243="",0,Sync!$AC1243))</f>
        <v/>
      </c>
      <c r="N1246">
        <f>IF($G1246="","",IF($H1246="مرجوعی خرید",-1,1)*($L1246-$M1246*IFERROR(VLOOKUP("P01",ParamTbl,3,0),1.5))*(1-IF($I1246="خرید",IFERROR(VLOOKUP("P02",ParamTbl,3,0),1),0)/100))</f>
        <v/>
      </c>
      <c r="O1246">
        <f>IF($G1246="",0,IF($H1246="مرجوعی خرید",-1,1)*IF(Sync!$AD1243="",0,Sync!$AD1243))</f>
        <v/>
      </c>
      <c r="P1246">
        <f>IF(OR($G1246="",Sync!$W1243=""),"",Sync!$W1243)</f>
        <v/>
      </c>
      <c r="Q1246">
        <f>IF(OR($G1246="",Sync!$AE1243=""),"",Sync!$AE1243)</f>
        <v/>
      </c>
      <c r="R1246">
        <f>IF($G1246="","",IF(Sync!$V1243="","0000",IF(AND(ISNUMBER(Sync!$V1243),Sync!$V1243&gt;=0,Sync!$V1243&lt;1),RIGHT("00"&amp;HOUR(Sync!$V1243),2)&amp;RIGHT("00"&amp;MINUTE(Sync!$V1243),2),IFERROR(RIGHT("00"&amp;VALUE(LEFT(Sync!$V1243,FIND(":",Sync!$V1243)-1)),2)&amp;RIGHT("00"&amp;VALUE(MID(Sync!$V1243,FIND(":",Sync!$V1243)+1,2)),2),"0000"))))</f>
        <v/>
      </c>
    </row>
    <row r="1247">
      <c r="A1247">
        <f>IF(Sync!$U1244="","",Sync!$U1244)</f>
        <v/>
      </c>
      <c r="B1247">
        <f>IF($A1247="","",IF(ISNUMBER($A1247),IF(AND($A1247&gt;=10000101,$A1247&lt;=99991231),INT($A1247/10000),""),IFERROR(VALUE(TRIM(LEFT($A1247,FIND("/",$A1247)-1))),"")))</f>
        <v/>
      </c>
      <c r="C1247">
        <f>IF(OR($A1247="",$B1247=""),"",IF(ISNUMBER($A1247),INT(MOD($A1247,10000)/100),IFERROR(VALUE(TRIM(LEFT(MID($A1247,FIND("/",$A1247)+1,20),FIND("/",MID($A1247,FIND("/",$A1247)+1,20))-1))),"")))</f>
        <v/>
      </c>
      <c r="D1247">
        <f>IF(OR($A1247="",$B1247=""),"",IF(ISNUMBER($A1247),MOD($A1247,100),IFERROR(VALUE(TRIM(MID(MID($A1247,FIND("/",$A1247)+1,20),FIND("/",MID($A1247,FIND("/",$A1247)+1,20))+1,20))),"")))</f>
        <v/>
      </c>
      <c r="E1247">
        <f>IF($A1247="","",IF(OR($B1247="",$C1247="",$D1247="",$B1247&lt;1300,$B1247&gt;1500,$C1247&lt;1,$C1247&gt;12,$D1247&lt;1,$D1247&gt;31),"نامعتبر",RIGHT("0000"&amp;$B1247,4)&amp;"/"&amp;RIGHT("00"&amp;$C1247,2)&amp;"/"&amp;RIGHT("00"&amp;$D1247,2)))</f>
        <v/>
      </c>
      <c r="F1247">
        <f>IF(OR($E1247="",$E1247="نامعتبر"),"",LEFT($E1247,4)&amp;"/"&amp;MID($E1247,6,2))</f>
        <v/>
      </c>
      <c r="G1247">
        <f>IF(OR($E1247="",$E1247="نامعتبر",Sync!$Y1244=""),"",Sync!$Y1244)</f>
        <v/>
      </c>
      <c r="H1247">
        <f>IF($G1247="","",IF(Sync!$X1244="","",Sync!$X1244))</f>
        <v/>
      </c>
      <c r="I1247">
        <f>IF($G1247="","",IFERROR(VLOOKUP(Sync!$X1244,OpTbl,3,0),""))</f>
        <v/>
      </c>
      <c r="J1247">
        <f>IF(OR($G1247="",Sync!$Z1244=""),"",Sync!$Z1244)</f>
        <v/>
      </c>
      <c r="K1247">
        <f>IF(OR($G1247="",Sync!$AA1244=""),"",Sync!$AA1244)</f>
        <v/>
      </c>
      <c r="L1247">
        <f>IF($G1247="",0,IF(Sync!$AB1244="",0,Sync!$AB1244))</f>
        <v/>
      </c>
      <c r="M1247">
        <f>IF($G1247="",0,IF(Sync!$AC1244="",0,Sync!$AC1244))</f>
        <v/>
      </c>
      <c r="N1247">
        <f>IF($G1247="","",IF($H1247="مرجوعی خرید",-1,1)*($L1247-$M1247*IFERROR(VLOOKUP("P01",ParamTbl,3,0),1.5))*(1-IF($I1247="خرید",IFERROR(VLOOKUP("P02",ParamTbl,3,0),1),0)/100))</f>
        <v/>
      </c>
      <c r="O1247">
        <f>IF($G1247="",0,IF($H1247="مرجوعی خرید",-1,1)*IF(Sync!$AD1244="",0,Sync!$AD1244))</f>
        <v/>
      </c>
      <c r="P1247">
        <f>IF(OR($G1247="",Sync!$W1244=""),"",Sync!$W1244)</f>
        <v/>
      </c>
      <c r="Q1247">
        <f>IF(OR($G1247="",Sync!$AE1244=""),"",Sync!$AE1244)</f>
        <v/>
      </c>
      <c r="R1247">
        <f>IF($G1247="","",IF(Sync!$V1244="","0000",IF(AND(ISNUMBER(Sync!$V1244),Sync!$V1244&gt;=0,Sync!$V1244&lt;1),RIGHT("00"&amp;HOUR(Sync!$V1244),2)&amp;RIGHT("00"&amp;MINUTE(Sync!$V1244),2),IFERROR(RIGHT("00"&amp;VALUE(LEFT(Sync!$V1244,FIND(":",Sync!$V1244)-1)),2)&amp;RIGHT("00"&amp;VALUE(MID(Sync!$V1244,FIND(":",Sync!$V1244)+1,2)),2),"0000"))))</f>
        <v/>
      </c>
    </row>
    <row r="1248">
      <c r="A1248">
        <f>IF(Sync!$U1245="","",Sync!$U1245)</f>
        <v/>
      </c>
      <c r="B1248">
        <f>IF($A1248="","",IF(ISNUMBER($A1248),IF(AND($A1248&gt;=10000101,$A1248&lt;=99991231),INT($A1248/10000),""),IFERROR(VALUE(TRIM(LEFT($A1248,FIND("/",$A1248)-1))),"")))</f>
        <v/>
      </c>
      <c r="C1248">
        <f>IF(OR($A1248="",$B1248=""),"",IF(ISNUMBER($A1248),INT(MOD($A1248,10000)/100),IFERROR(VALUE(TRIM(LEFT(MID($A1248,FIND("/",$A1248)+1,20),FIND("/",MID($A1248,FIND("/",$A1248)+1,20))-1))),"")))</f>
        <v/>
      </c>
      <c r="D1248">
        <f>IF(OR($A1248="",$B1248=""),"",IF(ISNUMBER($A1248),MOD($A1248,100),IFERROR(VALUE(TRIM(MID(MID($A1248,FIND("/",$A1248)+1,20),FIND("/",MID($A1248,FIND("/",$A1248)+1,20))+1,20))),"")))</f>
        <v/>
      </c>
      <c r="E1248">
        <f>IF($A1248="","",IF(OR($B1248="",$C1248="",$D1248="",$B1248&lt;1300,$B1248&gt;1500,$C1248&lt;1,$C1248&gt;12,$D1248&lt;1,$D1248&gt;31),"نامعتبر",RIGHT("0000"&amp;$B1248,4)&amp;"/"&amp;RIGHT("00"&amp;$C1248,2)&amp;"/"&amp;RIGHT("00"&amp;$D1248,2)))</f>
        <v/>
      </c>
      <c r="F1248">
        <f>IF(OR($E1248="",$E1248="نامعتبر"),"",LEFT($E1248,4)&amp;"/"&amp;MID($E1248,6,2))</f>
        <v/>
      </c>
      <c r="G1248">
        <f>IF(OR($E1248="",$E1248="نامعتبر",Sync!$Y1245=""),"",Sync!$Y1245)</f>
        <v/>
      </c>
      <c r="H1248">
        <f>IF($G1248="","",IF(Sync!$X1245="","",Sync!$X1245))</f>
        <v/>
      </c>
      <c r="I1248">
        <f>IF($G1248="","",IFERROR(VLOOKUP(Sync!$X1245,OpTbl,3,0),""))</f>
        <v/>
      </c>
      <c r="J1248">
        <f>IF(OR($G1248="",Sync!$Z1245=""),"",Sync!$Z1245)</f>
        <v/>
      </c>
      <c r="K1248">
        <f>IF(OR($G1248="",Sync!$AA1245=""),"",Sync!$AA1245)</f>
        <v/>
      </c>
      <c r="L1248">
        <f>IF($G1248="",0,IF(Sync!$AB1245="",0,Sync!$AB1245))</f>
        <v/>
      </c>
      <c r="M1248">
        <f>IF($G1248="",0,IF(Sync!$AC1245="",0,Sync!$AC1245))</f>
        <v/>
      </c>
      <c r="N1248">
        <f>IF($G1248="","",IF($H1248="مرجوعی خرید",-1,1)*($L1248-$M1248*IFERROR(VLOOKUP("P01",ParamTbl,3,0),1.5))*(1-IF($I1248="خرید",IFERROR(VLOOKUP("P02",ParamTbl,3,0),1),0)/100))</f>
        <v/>
      </c>
      <c r="O1248">
        <f>IF($G1248="",0,IF($H1248="مرجوعی خرید",-1,1)*IF(Sync!$AD1245="",0,Sync!$AD1245))</f>
        <v/>
      </c>
      <c r="P1248">
        <f>IF(OR($G1248="",Sync!$W1245=""),"",Sync!$W1245)</f>
        <v/>
      </c>
      <c r="Q1248">
        <f>IF(OR($G1248="",Sync!$AE1245=""),"",Sync!$AE1245)</f>
        <v/>
      </c>
      <c r="R1248">
        <f>IF($G1248="","",IF(Sync!$V1245="","0000",IF(AND(ISNUMBER(Sync!$V1245),Sync!$V1245&gt;=0,Sync!$V1245&lt;1),RIGHT("00"&amp;HOUR(Sync!$V1245),2)&amp;RIGHT("00"&amp;MINUTE(Sync!$V1245),2),IFERROR(RIGHT("00"&amp;VALUE(LEFT(Sync!$V1245,FIND(":",Sync!$V1245)-1)),2)&amp;RIGHT("00"&amp;VALUE(MID(Sync!$V1245,FIND(":",Sync!$V1245)+1,2)),2),"0000"))))</f>
        <v/>
      </c>
    </row>
    <row r="1249">
      <c r="A1249">
        <f>IF(Sync!$U1246="","",Sync!$U1246)</f>
        <v/>
      </c>
      <c r="B1249">
        <f>IF($A1249="","",IF(ISNUMBER($A1249),IF(AND($A1249&gt;=10000101,$A1249&lt;=99991231),INT($A1249/10000),""),IFERROR(VALUE(TRIM(LEFT($A1249,FIND("/",$A1249)-1))),"")))</f>
        <v/>
      </c>
      <c r="C1249">
        <f>IF(OR($A1249="",$B1249=""),"",IF(ISNUMBER($A1249),INT(MOD($A1249,10000)/100),IFERROR(VALUE(TRIM(LEFT(MID($A1249,FIND("/",$A1249)+1,20),FIND("/",MID($A1249,FIND("/",$A1249)+1,20))-1))),"")))</f>
        <v/>
      </c>
      <c r="D1249">
        <f>IF(OR($A1249="",$B1249=""),"",IF(ISNUMBER($A1249),MOD($A1249,100),IFERROR(VALUE(TRIM(MID(MID($A1249,FIND("/",$A1249)+1,20),FIND("/",MID($A1249,FIND("/",$A1249)+1,20))+1,20))),"")))</f>
        <v/>
      </c>
      <c r="E1249">
        <f>IF($A1249="","",IF(OR($B1249="",$C1249="",$D1249="",$B1249&lt;1300,$B1249&gt;1500,$C1249&lt;1,$C1249&gt;12,$D1249&lt;1,$D1249&gt;31),"نامعتبر",RIGHT("0000"&amp;$B1249,4)&amp;"/"&amp;RIGHT("00"&amp;$C1249,2)&amp;"/"&amp;RIGHT("00"&amp;$D1249,2)))</f>
        <v/>
      </c>
      <c r="F1249">
        <f>IF(OR($E1249="",$E1249="نامعتبر"),"",LEFT($E1249,4)&amp;"/"&amp;MID($E1249,6,2))</f>
        <v/>
      </c>
      <c r="G1249">
        <f>IF(OR($E1249="",$E1249="نامعتبر",Sync!$Y1246=""),"",Sync!$Y1246)</f>
        <v/>
      </c>
      <c r="H1249">
        <f>IF($G1249="","",IF(Sync!$X1246="","",Sync!$X1246))</f>
        <v/>
      </c>
      <c r="I1249">
        <f>IF($G1249="","",IFERROR(VLOOKUP(Sync!$X1246,OpTbl,3,0),""))</f>
        <v/>
      </c>
      <c r="J1249">
        <f>IF(OR($G1249="",Sync!$Z1246=""),"",Sync!$Z1246)</f>
        <v/>
      </c>
      <c r="K1249">
        <f>IF(OR($G1249="",Sync!$AA1246=""),"",Sync!$AA1246)</f>
        <v/>
      </c>
      <c r="L1249">
        <f>IF($G1249="",0,IF(Sync!$AB1246="",0,Sync!$AB1246))</f>
        <v/>
      </c>
      <c r="M1249">
        <f>IF($G1249="",0,IF(Sync!$AC1246="",0,Sync!$AC1246))</f>
        <v/>
      </c>
      <c r="N1249">
        <f>IF($G1249="","",IF($H1249="مرجوعی خرید",-1,1)*($L1249-$M1249*IFERROR(VLOOKUP("P01",ParamTbl,3,0),1.5))*(1-IF($I1249="خرید",IFERROR(VLOOKUP("P02",ParamTbl,3,0),1),0)/100))</f>
        <v/>
      </c>
      <c r="O1249">
        <f>IF($G1249="",0,IF($H1249="مرجوعی خرید",-1,1)*IF(Sync!$AD1246="",0,Sync!$AD1246))</f>
        <v/>
      </c>
      <c r="P1249">
        <f>IF(OR($G1249="",Sync!$W1246=""),"",Sync!$W1246)</f>
        <v/>
      </c>
      <c r="Q1249">
        <f>IF(OR($G1249="",Sync!$AE1246=""),"",Sync!$AE1246)</f>
        <v/>
      </c>
      <c r="R1249">
        <f>IF($G1249="","",IF(Sync!$V1246="","0000",IF(AND(ISNUMBER(Sync!$V1246),Sync!$V1246&gt;=0,Sync!$V1246&lt;1),RIGHT("00"&amp;HOUR(Sync!$V1246),2)&amp;RIGHT("00"&amp;MINUTE(Sync!$V1246),2),IFERROR(RIGHT("00"&amp;VALUE(LEFT(Sync!$V1246,FIND(":",Sync!$V1246)-1)),2)&amp;RIGHT("00"&amp;VALUE(MID(Sync!$V1246,FIND(":",Sync!$V1246)+1,2)),2),"0000"))))</f>
        <v/>
      </c>
    </row>
    <row r="1250">
      <c r="A1250">
        <f>IF(Sync!$U1247="","",Sync!$U1247)</f>
        <v/>
      </c>
      <c r="B1250">
        <f>IF($A1250="","",IF(ISNUMBER($A1250),IF(AND($A1250&gt;=10000101,$A1250&lt;=99991231),INT($A1250/10000),""),IFERROR(VALUE(TRIM(LEFT($A1250,FIND("/",$A1250)-1))),"")))</f>
        <v/>
      </c>
      <c r="C1250">
        <f>IF(OR($A1250="",$B1250=""),"",IF(ISNUMBER($A1250),INT(MOD($A1250,10000)/100),IFERROR(VALUE(TRIM(LEFT(MID($A1250,FIND("/",$A1250)+1,20),FIND("/",MID($A1250,FIND("/",$A1250)+1,20))-1))),"")))</f>
        <v/>
      </c>
      <c r="D1250">
        <f>IF(OR($A1250="",$B1250=""),"",IF(ISNUMBER($A1250),MOD($A1250,100),IFERROR(VALUE(TRIM(MID(MID($A1250,FIND("/",$A1250)+1,20),FIND("/",MID($A1250,FIND("/",$A1250)+1,20))+1,20))),"")))</f>
        <v/>
      </c>
      <c r="E1250">
        <f>IF($A1250="","",IF(OR($B1250="",$C1250="",$D1250="",$B1250&lt;1300,$B1250&gt;1500,$C1250&lt;1,$C1250&gt;12,$D1250&lt;1,$D1250&gt;31),"نامعتبر",RIGHT("0000"&amp;$B1250,4)&amp;"/"&amp;RIGHT("00"&amp;$C1250,2)&amp;"/"&amp;RIGHT("00"&amp;$D1250,2)))</f>
        <v/>
      </c>
      <c r="F1250">
        <f>IF(OR($E1250="",$E1250="نامعتبر"),"",LEFT($E1250,4)&amp;"/"&amp;MID($E1250,6,2))</f>
        <v/>
      </c>
      <c r="G1250">
        <f>IF(OR($E1250="",$E1250="نامعتبر",Sync!$Y1247=""),"",Sync!$Y1247)</f>
        <v/>
      </c>
      <c r="H1250">
        <f>IF($G1250="","",IF(Sync!$X1247="","",Sync!$X1247))</f>
        <v/>
      </c>
      <c r="I1250">
        <f>IF($G1250="","",IFERROR(VLOOKUP(Sync!$X1247,OpTbl,3,0),""))</f>
        <v/>
      </c>
      <c r="J1250">
        <f>IF(OR($G1250="",Sync!$Z1247=""),"",Sync!$Z1247)</f>
        <v/>
      </c>
      <c r="K1250">
        <f>IF(OR($G1250="",Sync!$AA1247=""),"",Sync!$AA1247)</f>
        <v/>
      </c>
      <c r="L1250">
        <f>IF($G1250="",0,IF(Sync!$AB1247="",0,Sync!$AB1247))</f>
        <v/>
      </c>
      <c r="M1250">
        <f>IF($G1250="",0,IF(Sync!$AC1247="",0,Sync!$AC1247))</f>
        <v/>
      </c>
      <c r="N1250">
        <f>IF($G1250="","",IF($H1250="مرجوعی خرید",-1,1)*($L1250-$M1250*IFERROR(VLOOKUP("P01",ParamTbl,3,0),1.5))*(1-IF($I1250="خرید",IFERROR(VLOOKUP("P02",ParamTbl,3,0),1),0)/100))</f>
        <v/>
      </c>
      <c r="O1250">
        <f>IF($G1250="",0,IF($H1250="مرجوعی خرید",-1,1)*IF(Sync!$AD1247="",0,Sync!$AD1247))</f>
        <v/>
      </c>
      <c r="P1250">
        <f>IF(OR($G1250="",Sync!$W1247=""),"",Sync!$W1247)</f>
        <v/>
      </c>
      <c r="Q1250">
        <f>IF(OR($G1250="",Sync!$AE1247=""),"",Sync!$AE1247)</f>
        <v/>
      </c>
      <c r="R1250">
        <f>IF($G1250="","",IF(Sync!$V1247="","0000",IF(AND(ISNUMBER(Sync!$V1247),Sync!$V1247&gt;=0,Sync!$V1247&lt;1),RIGHT("00"&amp;HOUR(Sync!$V1247),2)&amp;RIGHT("00"&amp;MINUTE(Sync!$V1247),2),IFERROR(RIGHT("00"&amp;VALUE(LEFT(Sync!$V1247,FIND(":",Sync!$V1247)-1)),2)&amp;RIGHT("00"&amp;VALUE(MID(Sync!$V1247,FIND(":",Sync!$V1247)+1,2)),2),"0000"))))</f>
        <v/>
      </c>
    </row>
    <row r="1251">
      <c r="A1251">
        <f>IF(Sync!$U1248="","",Sync!$U1248)</f>
        <v/>
      </c>
      <c r="B1251">
        <f>IF($A1251="","",IF(ISNUMBER($A1251),IF(AND($A1251&gt;=10000101,$A1251&lt;=99991231),INT($A1251/10000),""),IFERROR(VALUE(TRIM(LEFT($A1251,FIND("/",$A1251)-1))),"")))</f>
        <v/>
      </c>
      <c r="C1251">
        <f>IF(OR($A1251="",$B1251=""),"",IF(ISNUMBER($A1251),INT(MOD($A1251,10000)/100),IFERROR(VALUE(TRIM(LEFT(MID($A1251,FIND("/",$A1251)+1,20),FIND("/",MID($A1251,FIND("/",$A1251)+1,20))-1))),"")))</f>
        <v/>
      </c>
      <c r="D1251">
        <f>IF(OR($A1251="",$B1251=""),"",IF(ISNUMBER($A1251),MOD($A1251,100),IFERROR(VALUE(TRIM(MID(MID($A1251,FIND("/",$A1251)+1,20),FIND("/",MID($A1251,FIND("/",$A1251)+1,20))+1,20))),"")))</f>
        <v/>
      </c>
      <c r="E1251">
        <f>IF($A1251="","",IF(OR($B1251="",$C1251="",$D1251="",$B1251&lt;1300,$B1251&gt;1500,$C1251&lt;1,$C1251&gt;12,$D1251&lt;1,$D1251&gt;31),"نامعتبر",RIGHT("0000"&amp;$B1251,4)&amp;"/"&amp;RIGHT("00"&amp;$C1251,2)&amp;"/"&amp;RIGHT("00"&amp;$D1251,2)))</f>
        <v/>
      </c>
      <c r="F1251">
        <f>IF(OR($E1251="",$E1251="نامعتبر"),"",LEFT($E1251,4)&amp;"/"&amp;MID($E1251,6,2))</f>
        <v/>
      </c>
      <c r="G1251">
        <f>IF(OR($E1251="",$E1251="نامعتبر",Sync!$Y1248=""),"",Sync!$Y1248)</f>
        <v/>
      </c>
      <c r="H1251">
        <f>IF($G1251="","",IF(Sync!$X1248="","",Sync!$X1248))</f>
        <v/>
      </c>
      <c r="I1251">
        <f>IF($G1251="","",IFERROR(VLOOKUP(Sync!$X1248,OpTbl,3,0),""))</f>
        <v/>
      </c>
      <c r="J1251">
        <f>IF(OR($G1251="",Sync!$Z1248=""),"",Sync!$Z1248)</f>
        <v/>
      </c>
      <c r="K1251">
        <f>IF(OR($G1251="",Sync!$AA1248=""),"",Sync!$AA1248)</f>
        <v/>
      </c>
      <c r="L1251">
        <f>IF($G1251="",0,IF(Sync!$AB1248="",0,Sync!$AB1248))</f>
        <v/>
      </c>
      <c r="M1251">
        <f>IF($G1251="",0,IF(Sync!$AC1248="",0,Sync!$AC1248))</f>
        <v/>
      </c>
      <c r="N1251">
        <f>IF($G1251="","",IF($H1251="مرجوعی خرید",-1,1)*($L1251-$M1251*IFERROR(VLOOKUP("P01",ParamTbl,3,0),1.5))*(1-IF($I1251="خرید",IFERROR(VLOOKUP("P02",ParamTbl,3,0),1),0)/100))</f>
        <v/>
      </c>
      <c r="O1251">
        <f>IF($G1251="",0,IF($H1251="مرجوعی خرید",-1,1)*IF(Sync!$AD1248="",0,Sync!$AD1248))</f>
        <v/>
      </c>
      <c r="P1251">
        <f>IF(OR($G1251="",Sync!$W1248=""),"",Sync!$W1248)</f>
        <v/>
      </c>
      <c r="Q1251">
        <f>IF(OR($G1251="",Sync!$AE1248=""),"",Sync!$AE1248)</f>
        <v/>
      </c>
      <c r="R1251">
        <f>IF($G1251="","",IF(Sync!$V1248="","0000",IF(AND(ISNUMBER(Sync!$V1248),Sync!$V1248&gt;=0,Sync!$V1248&lt;1),RIGHT("00"&amp;HOUR(Sync!$V1248),2)&amp;RIGHT("00"&amp;MINUTE(Sync!$V1248),2),IFERROR(RIGHT("00"&amp;VALUE(LEFT(Sync!$V1248,FIND(":",Sync!$V1248)-1)),2)&amp;RIGHT("00"&amp;VALUE(MID(Sync!$V1248,FIND(":",Sync!$V1248)+1,2)),2),"0000"))))</f>
        <v/>
      </c>
    </row>
    <row r="1252">
      <c r="A1252">
        <f>IF(Sync!$U1249="","",Sync!$U1249)</f>
        <v/>
      </c>
      <c r="B1252">
        <f>IF($A1252="","",IF(ISNUMBER($A1252),IF(AND($A1252&gt;=10000101,$A1252&lt;=99991231),INT($A1252/10000),""),IFERROR(VALUE(TRIM(LEFT($A1252,FIND("/",$A1252)-1))),"")))</f>
        <v/>
      </c>
      <c r="C1252">
        <f>IF(OR($A1252="",$B1252=""),"",IF(ISNUMBER($A1252),INT(MOD($A1252,10000)/100),IFERROR(VALUE(TRIM(LEFT(MID($A1252,FIND("/",$A1252)+1,20),FIND("/",MID($A1252,FIND("/",$A1252)+1,20))-1))),"")))</f>
        <v/>
      </c>
      <c r="D1252">
        <f>IF(OR($A1252="",$B1252=""),"",IF(ISNUMBER($A1252),MOD($A1252,100),IFERROR(VALUE(TRIM(MID(MID($A1252,FIND("/",$A1252)+1,20),FIND("/",MID($A1252,FIND("/",$A1252)+1,20))+1,20))),"")))</f>
        <v/>
      </c>
      <c r="E1252">
        <f>IF($A1252="","",IF(OR($B1252="",$C1252="",$D1252="",$B1252&lt;1300,$B1252&gt;1500,$C1252&lt;1,$C1252&gt;12,$D1252&lt;1,$D1252&gt;31),"نامعتبر",RIGHT("0000"&amp;$B1252,4)&amp;"/"&amp;RIGHT("00"&amp;$C1252,2)&amp;"/"&amp;RIGHT("00"&amp;$D1252,2)))</f>
        <v/>
      </c>
      <c r="F1252">
        <f>IF(OR($E1252="",$E1252="نامعتبر"),"",LEFT($E1252,4)&amp;"/"&amp;MID($E1252,6,2))</f>
        <v/>
      </c>
      <c r="G1252">
        <f>IF(OR($E1252="",$E1252="نامعتبر",Sync!$Y1249=""),"",Sync!$Y1249)</f>
        <v/>
      </c>
      <c r="H1252">
        <f>IF($G1252="","",IF(Sync!$X1249="","",Sync!$X1249))</f>
        <v/>
      </c>
      <c r="I1252">
        <f>IF($G1252="","",IFERROR(VLOOKUP(Sync!$X1249,OpTbl,3,0),""))</f>
        <v/>
      </c>
      <c r="J1252">
        <f>IF(OR($G1252="",Sync!$Z1249=""),"",Sync!$Z1249)</f>
        <v/>
      </c>
      <c r="K1252">
        <f>IF(OR($G1252="",Sync!$AA1249=""),"",Sync!$AA1249)</f>
        <v/>
      </c>
      <c r="L1252">
        <f>IF($G1252="",0,IF(Sync!$AB1249="",0,Sync!$AB1249))</f>
        <v/>
      </c>
      <c r="M1252">
        <f>IF($G1252="",0,IF(Sync!$AC1249="",0,Sync!$AC1249))</f>
        <v/>
      </c>
      <c r="N1252">
        <f>IF($G1252="","",IF($H1252="مرجوعی خرید",-1,1)*($L1252-$M1252*IFERROR(VLOOKUP("P01",ParamTbl,3,0),1.5))*(1-IF($I1252="خرید",IFERROR(VLOOKUP("P02",ParamTbl,3,0),1),0)/100))</f>
        <v/>
      </c>
      <c r="O1252">
        <f>IF($G1252="",0,IF($H1252="مرجوعی خرید",-1,1)*IF(Sync!$AD1249="",0,Sync!$AD1249))</f>
        <v/>
      </c>
      <c r="P1252">
        <f>IF(OR($G1252="",Sync!$W1249=""),"",Sync!$W1249)</f>
        <v/>
      </c>
      <c r="Q1252">
        <f>IF(OR($G1252="",Sync!$AE1249=""),"",Sync!$AE1249)</f>
        <v/>
      </c>
      <c r="R1252">
        <f>IF($G1252="","",IF(Sync!$V1249="","0000",IF(AND(ISNUMBER(Sync!$V1249),Sync!$V1249&gt;=0,Sync!$V1249&lt;1),RIGHT("00"&amp;HOUR(Sync!$V1249),2)&amp;RIGHT("00"&amp;MINUTE(Sync!$V1249),2),IFERROR(RIGHT("00"&amp;VALUE(LEFT(Sync!$V1249,FIND(":",Sync!$V1249)-1)),2)&amp;RIGHT("00"&amp;VALUE(MID(Sync!$V1249,FIND(":",Sync!$V1249)+1,2)),2),"0000"))))</f>
        <v/>
      </c>
    </row>
    <row r="1253">
      <c r="A1253">
        <f>IF(Sync!$U1250="","",Sync!$U1250)</f>
        <v/>
      </c>
      <c r="B1253">
        <f>IF($A1253="","",IF(ISNUMBER($A1253),IF(AND($A1253&gt;=10000101,$A1253&lt;=99991231),INT($A1253/10000),""),IFERROR(VALUE(TRIM(LEFT($A1253,FIND("/",$A1253)-1))),"")))</f>
        <v/>
      </c>
      <c r="C1253">
        <f>IF(OR($A1253="",$B1253=""),"",IF(ISNUMBER($A1253),INT(MOD($A1253,10000)/100),IFERROR(VALUE(TRIM(LEFT(MID($A1253,FIND("/",$A1253)+1,20),FIND("/",MID($A1253,FIND("/",$A1253)+1,20))-1))),"")))</f>
        <v/>
      </c>
      <c r="D1253">
        <f>IF(OR($A1253="",$B1253=""),"",IF(ISNUMBER($A1253),MOD($A1253,100),IFERROR(VALUE(TRIM(MID(MID($A1253,FIND("/",$A1253)+1,20),FIND("/",MID($A1253,FIND("/",$A1253)+1,20))+1,20))),"")))</f>
        <v/>
      </c>
      <c r="E1253">
        <f>IF($A1253="","",IF(OR($B1253="",$C1253="",$D1253="",$B1253&lt;1300,$B1253&gt;1500,$C1253&lt;1,$C1253&gt;12,$D1253&lt;1,$D1253&gt;31),"نامعتبر",RIGHT("0000"&amp;$B1253,4)&amp;"/"&amp;RIGHT("00"&amp;$C1253,2)&amp;"/"&amp;RIGHT("00"&amp;$D1253,2)))</f>
        <v/>
      </c>
      <c r="F1253">
        <f>IF(OR($E1253="",$E1253="نامعتبر"),"",LEFT($E1253,4)&amp;"/"&amp;MID($E1253,6,2))</f>
        <v/>
      </c>
      <c r="G1253">
        <f>IF(OR($E1253="",$E1253="نامعتبر",Sync!$Y1250=""),"",Sync!$Y1250)</f>
        <v/>
      </c>
      <c r="H1253">
        <f>IF($G1253="","",IF(Sync!$X1250="","",Sync!$X1250))</f>
        <v/>
      </c>
      <c r="I1253">
        <f>IF($G1253="","",IFERROR(VLOOKUP(Sync!$X1250,OpTbl,3,0),""))</f>
        <v/>
      </c>
      <c r="J1253">
        <f>IF(OR($G1253="",Sync!$Z1250=""),"",Sync!$Z1250)</f>
        <v/>
      </c>
      <c r="K1253">
        <f>IF(OR($G1253="",Sync!$AA1250=""),"",Sync!$AA1250)</f>
        <v/>
      </c>
      <c r="L1253">
        <f>IF($G1253="",0,IF(Sync!$AB1250="",0,Sync!$AB1250))</f>
        <v/>
      </c>
      <c r="M1253">
        <f>IF($G1253="",0,IF(Sync!$AC1250="",0,Sync!$AC1250))</f>
        <v/>
      </c>
      <c r="N1253">
        <f>IF($G1253="","",IF($H1253="مرجوعی خرید",-1,1)*($L1253-$M1253*IFERROR(VLOOKUP("P01",ParamTbl,3,0),1.5))*(1-IF($I1253="خرید",IFERROR(VLOOKUP("P02",ParamTbl,3,0),1),0)/100))</f>
        <v/>
      </c>
      <c r="O1253">
        <f>IF($G1253="",0,IF($H1253="مرجوعی خرید",-1,1)*IF(Sync!$AD1250="",0,Sync!$AD1250))</f>
        <v/>
      </c>
      <c r="P1253">
        <f>IF(OR($G1253="",Sync!$W1250=""),"",Sync!$W1250)</f>
        <v/>
      </c>
      <c r="Q1253">
        <f>IF(OR($G1253="",Sync!$AE1250=""),"",Sync!$AE1250)</f>
        <v/>
      </c>
      <c r="R1253">
        <f>IF($G1253="","",IF(Sync!$V1250="","0000",IF(AND(ISNUMBER(Sync!$V1250),Sync!$V1250&gt;=0,Sync!$V1250&lt;1),RIGHT("00"&amp;HOUR(Sync!$V1250),2)&amp;RIGHT("00"&amp;MINUTE(Sync!$V1250),2),IFERROR(RIGHT("00"&amp;VALUE(LEFT(Sync!$V1250,FIND(":",Sync!$V1250)-1)),2)&amp;RIGHT("00"&amp;VALUE(MID(Sync!$V1250,FIND(":",Sync!$V1250)+1,2)),2),"0000"))))</f>
        <v/>
      </c>
    </row>
    <row r="1254">
      <c r="A1254">
        <f>IF(Sync!$U1251="","",Sync!$U1251)</f>
        <v/>
      </c>
      <c r="B1254">
        <f>IF($A1254="","",IF(ISNUMBER($A1254),IF(AND($A1254&gt;=10000101,$A1254&lt;=99991231),INT($A1254/10000),""),IFERROR(VALUE(TRIM(LEFT($A1254,FIND("/",$A1254)-1))),"")))</f>
        <v/>
      </c>
      <c r="C1254">
        <f>IF(OR($A1254="",$B1254=""),"",IF(ISNUMBER($A1254),INT(MOD($A1254,10000)/100),IFERROR(VALUE(TRIM(LEFT(MID($A1254,FIND("/",$A1254)+1,20),FIND("/",MID($A1254,FIND("/",$A1254)+1,20))-1))),"")))</f>
        <v/>
      </c>
      <c r="D1254">
        <f>IF(OR($A1254="",$B1254=""),"",IF(ISNUMBER($A1254),MOD($A1254,100),IFERROR(VALUE(TRIM(MID(MID($A1254,FIND("/",$A1254)+1,20),FIND("/",MID($A1254,FIND("/",$A1254)+1,20))+1,20))),"")))</f>
        <v/>
      </c>
      <c r="E1254">
        <f>IF($A1254="","",IF(OR($B1254="",$C1254="",$D1254="",$B1254&lt;1300,$B1254&gt;1500,$C1254&lt;1,$C1254&gt;12,$D1254&lt;1,$D1254&gt;31),"نامعتبر",RIGHT("0000"&amp;$B1254,4)&amp;"/"&amp;RIGHT("00"&amp;$C1254,2)&amp;"/"&amp;RIGHT("00"&amp;$D1254,2)))</f>
        <v/>
      </c>
      <c r="F1254">
        <f>IF(OR($E1254="",$E1254="نامعتبر"),"",LEFT($E1254,4)&amp;"/"&amp;MID($E1254,6,2))</f>
        <v/>
      </c>
      <c r="G1254">
        <f>IF(OR($E1254="",$E1254="نامعتبر",Sync!$Y1251=""),"",Sync!$Y1251)</f>
        <v/>
      </c>
      <c r="H1254">
        <f>IF($G1254="","",IF(Sync!$X1251="","",Sync!$X1251))</f>
        <v/>
      </c>
      <c r="I1254">
        <f>IF($G1254="","",IFERROR(VLOOKUP(Sync!$X1251,OpTbl,3,0),""))</f>
        <v/>
      </c>
      <c r="J1254">
        <f>IF(OR($G1254="",Sync!$Z1251=""),"",Sync!$Z1251)</f>
        <v/>
      </c>
      <c r="K1254">
        <f>IF(OR($G1254="",Sync!$AA1251=""),"",Sync!$AA1251)</f>
        <v/>
      </c>
      <c r="L1254">
        <f>IF($G1254="",0,IF(Sync!$AB1251="",0,Sync!$AB1251))</f>
        <v/>
      </c>
      <c r="M1254">
        <f>IF($G1254="",0,IF(Sync!$AC1251="",0,Sync!$AC1251))</f>
        <v/>
      </c>
      <c r="N1254">
        <f>IF($G1254="","",IF($H1254="مرجوعی خرید",-1,1)*($L1254-$M1254*IFERROR(VLOOKUP("P01",ParamTbl,3,0),1.5))*(1-IF($I1254="خرید",IFERROR(VLOOKUP("P02",ParamTbl,3,0),1),0)/100))</f>
        <v/>
      </c>
      <c r="O1254">
        <f>IF($G1254="",0,IF($H1254="مرجوعی خرید",-1,1)*IF(Sync!$AD1251="",0,Sync!$AD1251))</f>
        <v/>
      </c>
      <c r="P1254">
        <f>IF(OR($G1254="",Sync!$W1251=""),"",Sync!$W1251)</f>
        <v/>
      </c>
      <c r="Q1254">
        <f>IF(OR($G1254="",Sync!$AE1251=""),"",Sync!$AE1251)</f>
        <v/>
      </c>
      <c r="R1254">
        <f>IF($G1254="","",IF(Sync!$V1251="","0000",IF(AND(ISNUMBER(Sync!$V1251),Sync!$V1251&gt;=0,Sync!$V1251&lt;1),RIGHT("00"&amp;HOUR(Sync!$V1251),2)&amp;RIGHT("00"&amp;MINUTE(Sync!$V1251),2),IFERROR(RIGHT("00"&amp;VALUE(LEFT(Sync!$V1251,FIND(":",Sync!$V1251)-1)),2)&amp;RIGHT("00"&amp;VALUE(MID(Sync!$V1251,FIND(":",Sync!$V1251)+1,2)),2),"0000"))))</f>
        <v/>
      </c>
    </row>
    <row r="1255">
      <c r="A1255">
        <f>IF(Sync!$U1252="","",Sync!$U1252)</f>
        <v/>
      </c>
      <c r="B1255">
        <f>IF($A1255="","",IF(ISNUMBER($A1255),IF(AND($A1255&gt;=10000101,$A1255&lt;=99991231),INT($A1255/10000),""),IFERROR(VALUE(TRIM(LEFT($A1255,FIND("/",$A1255)-1))),"")))</f>
        <v/>
      </c>
      <c r="C1255">
        <f>IF(OR($A1255="",$B1255=""),"",IF(ISNUMBER($A1255),INT(MOD($A1255,10000)/100),IFERROR(VALUE(TRIM(LEFT(MID($A1255,FIND("/",$A1255)+1,20),FIND("/",MID($A1255,FIND("/",$A1255)+1,20))-1))),"")))</f>
        <v/>
      </c>
      <c r="D1255">
        <f>IF(OR($A1255="",$B1255=""),"",IF(ISNUMBER($A1255),MOD($A1255,100),IFERROR(VALUE(TRIM(MID(MID($A1255,FIND("/",$A1255)+1,20),FIND("/",MID($A1255,FIND("/",$A1255)+1,20))+1,20))),"")))</f>
        <v/>
      </c>
      <c r="E1255">
        <f>IF($A1255="","",IF(OR($B1255="",$C1255="",$D1255="",$B1255&lt;1300,$B1255&gt;1500,$C1255&lt;1,$C1255&gt;12,$D1255&lt;1,$D1255&gt;31),"نامعتبر",RIGHT("0000"&amp;$B1255,4)&amp;"/"&amp;RIGHT("00"&amp;$C1255,2)&amp;"/"&amp;RIGHT("00"&amp;$D1255,2)))</f>
        <v/>
      </c>
      <c r="F1255">
        <f>IF(OR($E1255="",$E1255="نامعتبر"),"",LEFT($E1255,4)&amp;"/"&amp;MID($E1255,6,2))</f>
        <v/>
      </c>
      <c r="G1255">
        <f>IF(OR($E1255="",$E1255="نامعتبر",Sync!$Y1252=""),"",Sync!$Y1252)</f>
        <v/>
      </c>
      <c r="H1255">
        <f>IF($G1255="","",IF(Sync!$X1252="","",Sync!$X1252))</f>
        <v/>
      </c>
      <c r="I1255">
        <f>IF($G1255="","",IFERROR(VLOOKUP(Sync!$X1252,OpTbl,3,0),""))</f>
        <v/>
      </c>
      <c r="J1255">
        <f>IF(OR($G1255="",Sync!$Z1252=""),"",Sync!$Z1252)</f>
        <v/>
      </c>
      <c r="K1255">
        <f>IF(OR($G1255="",Sync!$AA1252=""),"",Sync!$AA1252)</f>
        <v/>
      </c>
      <c r="L1255">
        <f>IF($G1255="",0,IF(Sync!$AB1252="",0,Sync!$AB1252))</f>
        <v/>
      </c>
      <c r="M1255">
        <f>IF($G1255="",0,IF(Sync!$AC1252="",0,Sync!$AC1252))</f>
        <v/>
      </c>
      <c r="N1255">
        <f>IF($G1255="","",IF($H1255="مرجوعی خرید",-1,1)*($L1255-$M1255*IFERROR(VLOOKUP("P01",ParamTbl,3,0),1.5))*(1-IF($I1255="خرید",IFERROR(VLOOKUP("P02",ParamTbl,3,0),1),0)/100))</f>
        <v/>
      </c>
      <c r="O1255">
        <f>IF($G1255="",0,IF($H1255="مرجوعی خرید",-1,1)*IF(Sync!$AD1252="",0,Sync!$AD1252))</f>
        <v/>
      </c>
      <c r="P1255">
        <f>IF(OR($G1255="",Sync!$W1252=""),"",Sync!$W1252)</f>
        <v/>
      </c>
      <c r="Q1255">
        <f>IF(OR($G1255="",Sync!$AE1252=""),"",Sync!$AE1252)</f>
        <v/>
      </c>
      <c r="R1255">
        <f>IF($G1255="","",IF(Sync!$V1252="","0000",IF(AND(ISNUMBER(Sync!$V1252),Sync!$V1252&gt;=0,Sync!$V1252&lt;1),RIGHT("00"&amp;HOUR(Sync!$V1252),2)&amp;RIGHT("00"&amp;MINUTE(Sync!$V1252),2),IFERROR(RIGHT("00"&amp;VALUE(LEFT(Sync!$V1252,FIND(":",Sync!$V1252)-1)),2)&amp;RIGHT("00"&amp;VALUE(MID(Sync!$V1252,FIND(":",Sync!$V1252)+1,2)),2),"0000"))))</f>
        <v/>
      </c>
    </row>
    <row r="1256">
      <c r="A1256">
        <f>IF(Sync!$U1253="","",Sync!$U1253)</f>
        <v/>
      </c>
      <c r="B1256">
        <f>IF($A1256="","",IF(ISNUMBER($A1256),IF(AND($A1256&gt;=10000101,$A1256&lt;=99991231),INT($A1256/10000),""),IFERROR(VALUE(TRIM(LEFT($A1256,FIND("/",$A1256)-1))),"")))</f>
        <v/>
      </c>
      <c r="C1256">
        <f>IF(OR($A1256="",$B1256=""),"",IF(ISNUMBER($A1256),INT(MOD($A1256,10000)/100),IFERROR(VALUE(TRIM(LEFT(MID($A1256,FIND("/",$A1256)+1,20),FIND("/",MID($A1256,FIND("/",$A1256)+1,20))-1))),"")))</f>
        <v/>
      </c>
      <c r="D1256">
        <f>IF(OR($A1256="",$B1256=""),"",IF(ISNUMBER($A1256),MOD($A1256,100),IFERROR(VALUE(TRIM(MID(MID($A1256,FIND("/",$A1256)+1,20),FIND("/",MID($A1256,FIND("/",$A1256)+1,20))+1,20))),"")))</f>
        <v/>
      </c>
      <c r="E1256">
        <f>IF($A1256="","",IF(OR($B1256="",$C1256="",$D1256="",$B1256&lt;1300,$B1256&gt;1500,$C1256&lt;1,$C1256&gt;12,$D1256&lt;1,$D1256&gt;31),"نامعتبر",RIGHT("0000"&amp;$B1256,4)&amp;"/"&amp;RIGHT("00"&amp;$C1256,2)&amp;"/"&amp;RIGHT("00"&amp;$D1256,2)))</f>
        <v/>
      </c>
      <c r="F1256">
        <f>IF(OR($E1256="",$E1256="نامعتبر"),"",LEFT($E1256,4)&amp;"/"&amp;MID($E1256,6,2))</f>
        <v/>
      </c>
      <c r="G1256">
        <f>IF(OR($E1256="",$E1256="نامعتبر",Sync!$Y1253=""),"",Sync!$Y1253)</f>
        <v/>
      </c>
      <c r="H1256">
        <f>IF($G1256="","",IF(Sync!$X1253="","",Sync!$X1253))</f>
        <v/>
      </c>
      <c r="I1256">
        <f>IF($G1256="","",IFERROR(VLOOKUP(Sync!$X1253,OpTbl,3,0),""))</f>
        <v/>
      </c>
      <c r="J1256">
        <f>IF(OR($G1256="",Sync!$Z1253=""),"",Sync!$Z1253)</f>
        <v/>
      </c>
      <c r="K1256">
        <f>IF(OR($G1256="",Sync!$AA1253=""),"",Sync!$AA1253)</f>
        <v/>
      </c>
      <c r="L1256">
        <f>IF($G1256="",0,IF(Sync!$AB1253="",0,Sync!$AB1253))</f>
        <v/>
      </c>
      <c r="M1256">
        <f>IF($G1256="",0,IF(Sync!$AC1253="",0,Sync!$AC1253))</f>
        <v/>
      </c>
      <c r="N1256">
        <f>IF($G1256="","",IF($H1256="مرجوعی خرید",-1,1)*($L1256-$M1256*IFERROR(VLOOKUP("P01",ParamTbl,3,0),1.5))*(1-IF($I1256="خرید",IFERROR(VLOOKUP("P02",ParamTbl,3,0),1),0)/100))</f>
        <v/>
      </c>
      <c r="O1256">
        <f>IF($G1256="",0,IF($H1256="مرجوعی خرید",-1,1)*IF(Sync!$AD1253="",0,Sync!$AD1253))</f>
        <v/>
      </c>
      <c r="P1256">
        <f>IF(OR($G1256="",Sync!$W1253=""),"",Sync!$W1253)</f>
        <v/>
      </c>
      <c r="Q1256">
        <f>IF(OR($G1256="",Sync!$AE1253=""),"",Sync!$AE1253)</f>
        <v/>
      </c>
      <c r="R1256">
        <f>IF($G1256="","",IF(Sync!$V1253="","0000",IF(AND(ISNUMBER(Sync!$V1253),Sync!$V1253&gt;=0,Sync!$V1253&lt;1),RIGHT("00"&amp;HOUR(Sync!$V1253),2)&amp;RIGHT("00"&amp;MINUTE(Sync!$V1253),2),IFERROR(RIGHT("00"&amp;VALUE(LEFT(Sync!$V1253,FIND(":",Sync!$V1253)-1)),2)&amp;RIGHT("00"&amp;VALUE(MID(Sync!$V1253,FIND(":",Sync!$V1253)+1,2)),2),"0000"))))</f>
        <v/>
      </c>
    </row>
    <row r="1257">
      <c r="A1257">
        <f>IF(Sync!$U1254="","",Sync!$U1254)</f>
        <v/>
      </c>
      <c r="B1257">
        <f>IF($A1257="","",IF(ISNUMBER($A1257),IF(AND($A1257&gt;=10000101,$A1257&lt;=99991231),INT($A1257/10000),""),IFERROR(VALUE(TRIM(LEFT($A1257,FIND("/",$A1257)-1))),"")))</f>
        <v/>
      </c>
      <c r="C1257">
        <f>IF(OR($A1257="",$B1257=""),"",IF(ISNUMBER($A1257),INT(MOD($A1257,10000)/100),IFERROR(VALUE(TRIM(LEFT(MID($A1257,FIND("/",$A1257)+1,20),FIND("/",MID($A1257,FIND("/",$A1257)+1,20))-1))),"")))</f>
        <v/>
      </c>
      <c r="D1257">
        <f>IF(OR($A1257="",$B1257=""),"",IF(ISNUMBER($A1257),MOD($A1257,100),IFERROR(VALUE(TRIM(MID(MID($A1257,FIND("/",$A1257)+1,20),FIND("/",MID($A1257,FIND("/",$A1257)+1,20))+1,20))),"")))</f>
        <v/>
      </c>
      <c r="E1257">
        <f>IF($A1257="","",IF(OR($B1257="",$C1257="",$D1257="",$B1257&lt;1300,$B1257&gt;1500,$C1257&lt;1,$C1257&gt;12,$D1257&lt;1,$D1257&gt;31),"نامعتبر",RIGHT("0000"&amp;$B1257,4)&amp;"/"&amp;RIGHT("00"&amp;$C1257,2)&amp;"/"&amp;RIGHT("00"&amp;$D1257,2)))</f>
        <v/>
      </c>
      <c r="F1257">
        <f>IF(OR($E1257="",$E1257="نامعتبر"),"",LEFT($E1257,4)&amp;"/"&amp;MID($E1257,6,2))</f>
        <v/>
      </c>
      <c r="G1257">
        <f>IF(OR($E1257="",$E1257="نامعتبر",Sync!$Y1254=""),"",Sync!$Y1254)</f>
        <v/>
      </c>
      <c r="H1257">
        <f>IF($G1257="","",IF(Sync!$X1254="","",Sync!$X1254))</f>
        <v/>
      </c>
      <c r="I1257">
        <f>IF($G1257="","",IFERROR(VLOOKUP(Sync!$X1254,OpTbl,3,0),""))</f>
        <v/>
      </c>
      <c r="J1257">
        <f>IF(OR($G1257="",Sync!$Z1254=""),"",Sync!$Z1254)</f>
        <v/>
      </c>
      <c r="K1257">
        <f>IF(OR($G1257="",Sync!$AA1254=""),"",Sync!$AA1254)</f>
        <v/>
      </c>
      <c r="L1257">
        <f>IF($G1257="",0,IF(Sync!$AB1254="",0,Sync!$AB1254))</f>
        <v/>
      </c>
      <c r="M1257">
        <f>IF($G1257="",0,IF(Sync!$AC1254="",0,Sync!$AC1254))</f>
        <v/>
      </c>
      <c r="N1257">
        <f>IF($G1257="","",IF($H1257="مرجوعی خرید",-1,1)*($L1257-$M1257*IFERROR(VLOOKUP("P01",ParamTbl,3,0),1.5))*(1-IF($I1257="خرید",IFERROR(VLOOKUP("P02",ParamTbl,3,0),1),0)/100))</f>
        <v/>
      </c>
      <c r="O1257">
        <f>IF($G1257="",0,IF($H1257="مرجوعی خرید",-1,1)*IF(Sync!$AD1254="",0,Sync!$AD1254))</f>
        <v/>
      </c>
      <c r="P1257">
        <f>IF(OR($G1257="",Sync!$W1254=""),"",Sync!$W1254)</f>
        <v/>
      </c>
      <c r="Q1257">
        <f>IF(OR($G1257="",Sync!$AE1254=""),"",Sync!$AE1254)</f>
        <v/>
      </c>
      <c r="R1257">
        <f>IF($G1257="","",IF(Sync!$V1254="","0000",IF(AND(ISNUMBER(Sync!$V1254),Sync!$V1254&gt;=0,Sync!$V1254&lt;1),RIGHT("00"&amp;HOUR(Sync!$V1254),2)&amp;RIGHT("00"&amp;MINUTE(Sync!$V1254),2),IFERROR(RIGHT("00"&amp;VALUE(LEFT(Sync!$V1254,FIND(":",Sync!$V1254)-1)),2)&amp;RIGHT("00"&amp;VALUE(MID(Sync!$V1254,FIND(":",Sync!$V1254)+1,2)),2),"0000"))))</f>
        <v/>
      </c>
    </row>
    <row r="1258">
      <c r="A1258">
        <f>IF(Sync!$U1255="","",Sync!$U1255)</f>
        <v/>
      </c>
      <c r="B1258">
        <f>IF($A1258="","",IF(ISNUMBER($A1258),IF(AND($A1258&gt;=10000101,$A1258&lt;=99991231),INT($A1258/10000),""),IFERROR(VALUE(TRIM(LEFT($A1258,FIND("/",$A1258)-1))),"")))</f>
        <v/>
      </c>
      <c r="C1258">
        <f>IF(OR($A1258="",$B1258=""),"",IF(ISNUMBER($A1258),INT(MOD($A1258,10000)/100),IFERROR(VALUE(TRIM(LEFT(MID($A1258,FIND("/",$A1258)+1,20),FIND("/",MID($A1258,FIND("/",$A1258)+1,20))-1))),"")))</f>
        <v/>
      </c>
      <c r="D1258">
        <f>IF(OR($A1258="",$B1258=""),"",IF(ISNUMBER($A1258),MOD($A1258,100),IFERROR(VALUE(TRIM(MID(MID($A1258,FIND("/",$A1258)+1,20),FIND("/",MID($A1258,FIND("/",$A1258)+1,20))+1,20))),"")))</f>
        <v/>
      </c>
      <c r="E1258">
        <f>IF($A1258="","",IF(OR($B1258="",$C1258="",$D1258="",$B1258&lt;1300,$B1258&gt;1500,$C1258&lt;1,$C1258&gt;12,$D1258&lt;1,$D1258&gt;31),"نامعتبر",RIGHT("0000"&amp;$B1258,4)&amp;"/"&amp;RIGHT("00"&amp;$C1258,2)&amp;"/"&amp;RIGHT("00"&amp;$D1258,2)))</f>
        <v/>
      </c>
      <c r="F1258">
        <f>IF(OR($E1258="",$E1258="نامعتبر"),"",LEFT($E1258,4)&amp;"/"&amp;MID($E1258,6,2))</f>
        <v/>
      </c>
      <c r="G1258">
        <f>IF(OR($E1258="",$E1258="نامعتبر",Sync!$Y1255=""),"",Sync!$Y1255)</f>
        <v/>
      </c>
      <c r="H1258">
        <f>IF($G1258="","",IF(Sync!$X1255="","",Sync!$X1255))</f>
        <v/>
      </c>
      <c r="I1258">
        <f>IF($G1258="","",IFERROR(VLOOKUP(Sync!$X1255,OpTbl,3,0),""))</f>
        <v/>
      </c>
      <c r="J1258">
        <f>IF(OR($G1258="",Sync!$Z1255=""),"",Sync!$Z1255)</f>
        <v/>
      </c>
      <c r="K1258">
        <f>IF(OR($G1258="",Sync!$AA1255=""),"",Sync!$AA1255)</f>
        <v/>
      </c>
      <c r="L1258">
        <f>IF($G1258="",0,IF(Sync!$AB1255="",0,Sync!$AB1255))</f>
        <v/>
      </c>
      <c r="M1258">
        <f>IF($G1258="",0,IF(Sync!$AC1255="",0,Sync!$AC1255))</f>
        <v/>
      </c>
      <c r="N1258">
        <f>IF($G1258="","",IF($H1258="مرجوعی خرید",-1,1)*($L1258-$M1258*IFERROR(VLOOKUP("P01",ParamTbl,3,0),1.5))*(1-IF($I1258="خرید",IFERROR(VLOOKUP("P02",ParamTbl,3,0),1),0)/100))</f>
        <v/>
      </c>
      <c r="O1258">
        <f>IF($G1258="",0,IF($H1258="مرجوعی خرید",-1,1)*IF(Sync!$AD1255="",0,Sync!$AD1255))</f>
        <v/>
      </c>
      <c r="P1258">
        <f>IF(OR($G1258="",Sync!$W1255=""),"",Sync!$W1255)</f>
        <v/>
      </c>
      <c r="Q1258">
        <f>IF(OR($G1258="",Sync!$AE1255=""),"",Sync!$AE1255)</f>
        <v/>
      </c>
      <c r="R1258">
        <f>IF($G1258="","",IF(Sync!$V1255="","0000",IF(AND(ISNUMBER(Sync!$V1255),Sync!$V1255&gt;=0,Sync!$V1255&lt;1),RIGHT("00"&amp;HOUR(Sync!$V1255),2)&amp;RIGHT("00"&amp;MINUTE(Sync!$V1255),2),IFERROR(RIGHT("00"&amp;VALUE(LEFT(Sync!$V1255,FIND(":",Sync!$V1255)-1)),2)&amp;RIGHT("00"&amp;VALUE(MID(Sync!$V1255,FIND(":",Sync!$V1255)+1,2)),2),"0000"))))</f>
        <v/>
      </c>
    </row>
    <row r="1259">
      <c r="A1259">
        <f>IF(Sync!$U1256="","",Sync!$U1256)</f>
        <v/>
      </c>
      <c r="B1259">
        <f>IF($A1259="","",IF(ISNUMBER($A1259),IF(AND($A1259&gt;=10000101,$A1259&lt;=99991231),INT($A1259/10000),""),IFERROR(VALUE(TRIM(LEFT($A1259,FIND("/",$A1259)-1))),"")))</f>
        <v/>
      </c>
      <c r="C1259">
        <f>IF(OR($A1259="",$B1259=""),"",IF(ISNUMBER($A1259),INT(MOD($A1259,10000)/100),IFERROR(VALUE(TRIM(LEFT(MID($A1259,FIND("/",$A1259)+1,20),FIND("/",MID($A1259,FIND("/",$A1259)+1,20))-1))),"")))</f>
        <v/>
      </c>
      <c r="D1259">
        <f>IF(OR($A1259="",$B1259=""),"",IF(ISNUMBER($A1259),MOD($A1259,100),IFERROR(VALUE(TRIM(MID(MID($A1259,FIND("/",$A1259)+1,20),FIND("/",MID($A1259,FIND("/",$A1259)+1,20))+1,20))),"")))</f>
        <v/>
      </c>
      <c r="E1259">
        <f>IF($A1259="","",IF(OR($B1259="",$C1259="",$D1259="",$B1259&lt;1300,$B1259&gt;1500,$C1259&lt;1,$C1259&gt;12,$D1259&lt;1,$D1259&gt;31),"نامعتبر",RIGHT("0000"&amp;$B1259,4)&amp;"/"&amp;RIGHT("00"&amp;$C1259,2)&amp;"/"&amp;RIGHT("00"&amp;$D1259,2)))</f>
        <v/>
      </c>
      <c r="F1259">
        <f>IF(OR($E1259="",$E1259="نامعتبر"),"",LEFT($E1259,4)&amp;"/"&amp;MID($E1259,6,2))</f>
        <v/>
      </c>
      <c r="G1259">
        <f>IF(OR($E1259="",$E1259="نامعتبر",Sync!$Y1256=""),"",Sync!$Y1256)</f>
        <v/>
      </c>
      <c r="H1259">
        <f>IF($G1259="","",IF(Sync!$X1256="","",Sync!$X1256))</f>
        <v/>
      </c>
      <c r="I1259">
        <f>IF($G1259="","",IFERROR(VLOOKUP(Sync!$X1256,OpTbl,3,0),""))</f>
        <v/>
      </c>
      <c r="J1259">
        <f>IF(OR($G1259="",Sync!$Z1256=""),"",Sync!$Z1256)</f>
        <v/>
      </c>
      <c r="K1259">
        <f>IF(OR($G1259="",Sync!$AA1256=""),"",Sync!$AA1256)</f>
        <v/>
      </c>
      <c r="L1259">
        <f>IF($G1259="",0,IF(Sync!$AB1256="",0,Sync!$AB1256))</f>
        <v/>
      </c>
      <c r="M1259">
        <f>IF($G1259="",0,IF(Sync!$AC1256="",0,Sync!$AC1256))</f>
        <v/>
      </c>
      <c r="N1259">
        <f>IF($G1259="","",IF($H1259="مرجوعی خرید",-1,1)*($L1259-$M1259*IFERROR(VLOOKUP("P01",ParamTbl,3,0),1.5))*(1-IF($I1259="خرید",IFERROR(VLOOKUP("P02",ParamTbl,3,0),1),0)/100))</f>
        <v/>
      </c>
      <c r="O1259">
        <f>IF($G1259="",0,IF($H1259="مرجوعی خرید",-1,1)*IF(Sync!$AD1256="",0,Sync!$AD1256))</f>
        <v/>
      </c>
      <c r="P1259">
        <f>IF(OR($G1259="",Sync!$W1256=""),"",Sync!$W1256)</f>
        <v/>
      </c>
      <c r="Q1259">
        <f>IF(OR($G1259="",Sync!$AE1256=""),"",Sync!$AE1256)</f>
        <v/>
      </c>
      <c r="R1259">
        <f>IF($G1259="","",IF(Sync!$V1256="","0000",IF(AND(ISNUMBER(Sync!$V1256),Sync!$V1256&gt;=0,Sync!$V1256&lt;1),RIGHT("00"&amp;HOUR(Sync!$V1256),2)&amp;RIGHT("00"&amp;MINUTE(Sync!$V1256),2),IFERROR(RIGHT("00"&amp;VALUE(LEFT(Sync!$V1256,FIND(":",Sync!$V1256)-1)),2)&amp;RIGHT("00"&amp;VALUE(MID(Sync!$V1256,FIND(":",Sync!$V1256)+1,2)),2),"0000"))))</f>
        <v/>
      </c>
    </row>
    <row r="1260">
      <c r="A1260">
        <f>IF(Sync!$U1257="","",Sync!$U1257)</f>
        <v/>
      </c>
      <c r="B1260">
        <f>IF($A1260="","",IF(ISNUMBER($A1260),IF(AND($A1260&gt;=10000101,$A1260&lt;=99991231),INT($A1260/10000),""),IFERROR(VALUE(TRIM(LEFT($A1260,FIND("/",$A1260)-1))),"")))</f>
        <v/>
      </c>
      <c r="C1260">
        <f>IF(OR($A1260="",$B1260=""),"",IF(ISNUMBER($A1260),INT(MOD($A1260,10000)/100),IFERROR(VALUE(TRIM(LEFT(MID($A1260,FIND("/",$A1260)+1,20),FIND("/",MID($A1260,FIND("/",$A1260)+1,20))-1))),"")))</f>
        <v/>
      </c>
      <c r="D1260">
        <f>IF(OR($A1260="",$B1260=""),"",IF(ISNUMBER($A1260),MOD($A1260,100),IFERROR(VALUE(TRIM(MID(MID($A1260,FIND("/",$A1260)+1,20),FIND("/",MID($A1260,FIND("/",$A1260)+1,20))+1,20))),"")))</f>
        <v/>
      </c>
      <c r="E1260">
        <f>IF($A1260="","",IF(OR($B1260="",$C1260="",$D1260="",$B1260&lt;1300,$B1260&gt;1500,$C1260&lt;1,$C1260&gt;12,$D1260&lt;1,$D1260&gt;31),"نامعتبر",RIGHT("0000"&amp;$B1260,4)&amp;"/"&amp;RIGHT("00"&amp;$C1260,2)&amp;"/"&amp;RIGHT("00"&amp;$D1260,2)))</f>
        <v/>
      </c>
      <c r="F1260">
        <f>IF(OR($E1260="",$E1260="نامعتبر"),"",LEFT($E1260,4)&amp;"/"&amp;MID($E1260,6,2))</f>
        <v/>
      </c>
      <c r="G1260">
        <f>IF(OR($E1260="",$E1260="نامعتبر",Sync!$Y1257=""),"",Sync!$Y1257)</f>
        <v/>
      </c>
      <c r="H1260">
        <f>IF($G1260="","",IF(Sync!$X1257="","",Sync!$X1257))</f>
        <v/>
      </c>
      <c r="I1260">
        <f>IF($G1260="","",IFERROR(VLOOKUP(Sync!$X1257,OpTbl,3,0),""))</f>
        <v/>
      </c>
      <c r="J1260">
        <f>IF(OR($G1260="",Sync!$Z1257=""),"",Sync!$Z1257)</f>
        <v/>
      </c>
      <c r="K1260">
        <f>IF(OR($G1260="",Sync!$AA1257=""),"",Sync!$AA1257)</f>
        <v/>
      </c>
      <c r="L1260">
        <f>IF($G1260="",0,IF(Sync!$AB1257="",0,Sync!$AB1257))</f>
        <v/>
      </c>
      <c r="M1260">
        <f>IF($G1260="",0,IF(Sync!$AC1257="",0,Sync!$AC1257))</f>
        <v/>
      </c>
      <c r="N1260">
        <f>IF($G1260="","",IF($H1260="مرجوعی خرید",-1,1)*($L1260-$M1260*IFERROR(VLOOKUP("P01",ParamTbl,3,0),1.5))*(1-IF($I1260="خرید",IFERROR(VLOOKUP("P02",ParamTbl,3,0),1),0)/100))</f>
        <v/>
      </c>
      <c r="O1260">
        <f>IF($G1260="",0,IF($H1260="مرجوعی خرید",-1,1)*IF(Sync!$AD1257="",0,Sync!$AD1257))</f>
        <v/>
      </c>
      <c r="P1260">
        <f>IF(OR($G1260="",Sync!$W1257=""),"",Sync!$W1257)</f>
        <v/>
      </c>
      <c r="Q1260">
        <f>IF(OR($G1260="",Sync!$AE1257=""),"",Sync!$AE1257)</f>
        <v/>
      </c>
      <c r="R1260">
        <f>IF($G1260="","",IF(Sync!$V1257="","0000",IF(AND(ISNUMBER(Sync!$V1257),Sync!$V1257&gt;=0,Sync!$V1257&lt;1),RIGHT("00"&amp;HOUR(Sync!$V1257),2)&amp;RIGHT("00"&amp;MINUTE(Sync!$V1257),2),IFERROR(RIGHT("00"&amp;VALUE(LEFT(Sync!$V1257,FIND(":",Sync!$V1257)-1)),2)&amp;RIGHT("00"&amp;VALUE(MID(Sync!$V1257,FIND(":",Sync!$V1257)+1,2)),2),"0000"))))</f>
        <v/>
      </c>
    </row>
    <row r="1261">
      <c r="A1261">
        <f>IF(Sync!$U1258="","",Sync!$U1258)</f>
        <v/>
      </c>
      <c r="B1261">
        <f>IF($A1261="","",IF(ISNUMBER($A1261),IF(AND($A1261&gt;=10000101,$A1261&lt;=99991231),INT($A1261/10000),""),IFERROR(VALUE(TRIM(LEFT($A1261,FIND("/",$A1261)-1))),"")))</f>
        <v/>
      </c>
      <c r="C1261">
        <f>IF(OR($A1261="",$B1261=""),"",IF(ISNUMBER($A1261),INT(MOD($A1261,10000)/100),IFERROR(VALUE(TRIM(LEFT(MID($A1261,FIND("/",$A1261)+1,20),FIND("/",MID($A1261,FIND("/",$A1261)+1,20))-1))),"")))</f>
        <v/>
      </c>
      <c r="D1261">
        <f>IF(OR($A1261="",$B1261=""),"",IF(ISNUMBER($A1261),MOD($A1261,100),IFERROR(VALUE(TRIM(MID(MID($A1261,FIND("/",$A1261)+1,20),FIND("/",MID($A1261,FIND("/",$A1261)+1,20))+1,20))),"")))</f>
        <v/>
      </c>
      <c r="E1261">
        <f>IF($A1261="","",IF(OR($B1261="",$C1261="",$D1261="",$B1261&lt;1300,$B1261&gt;1500,$C1261&lt;1,$C1261&gt;12,$D1261&lt;1,$D1261&gt;31),"نامعتبر",RIGHT("0000"&amp;$B1261,4)&amp;"/"&amp;RIGHT("00"&amp;$C1261,2)&amp;"/"&amp;RIGHT("00"&amp;$D1261,2)))</f>
        <v/>
      </c>
      <c r="F1261">
        <f>IF(OR($E1261="",$E1261="نامعتبر"),"",LEFT($E1261,4)&amp;"/"&amp;MID($E1261,6,2))</f>
        <v/>
      </c>
      <c r="G1261">
        <f>IF(OR($E1261="",$E1261="نامعتبر",Sync!$Y1258=""),"",Sync!$Y1258)</f>
        <v/>
      </c>
      <c r="H1261">
        <f>IF($G1261="","",IF(Sync!$X1258="","",Sync!$X1258))</f>
        <v/>
      </c>
      <c r="I1261">
        <f>IF($G1261="","",IFERROR(VLOOKUP(Sync!$X1258,OpTbl,3,0),""))</f>
        <v/>
      </c>
      <c r="J1261">
        <f>IF(OR($G1261="",Sync!$Z1258=""),"",Sync!$Z1258)</f>
        <v/>
      </c>
      <c r="K1261">
        <f>IF(OR($G1261="",Sync!$AA1258=""),"",Sync!$AA1258)</f>
        <v/>
      </c>
      <c r="L1261">
        <f>IF($G1261="",0,IF(Sync!$AB1258="",0,Sync!$AB1258))</f>
        <v/>
      </c>
      <c r="M1261">
        <f>IF($G1261="",0,IF(Sync!$AC1258="",0,Sync!$AC1258))</f>
        <v/>
      </c>
      <c r="N1261">
        <f>IF($G1261="","",IF($H1261="مرجوعی خرید",-1,1)*($L1261-$M1261*IFERROR(VLOOKUP("P01",ParamTbl,3,0),1.5))*(1-IF($I1261="خرید",IFERROR(VLOOKUP("P02",ParamTbl,3,0),1),0)/100))</f>
        <v/>
      </c>
      <c r="O1261">
        <f>IF($G1261="",0,IF($H1261="مرجوعی خرید",-1,1)*IF(Sync!$AD1258="",0,Sync!$AD1258))</f>
        <v/>
      </c>
      <c r="P1261">
        <f>IF(OR($G1261="",Sync!$W1258=""),"",Sync!$W1258)</f>
        <v/>
      </c>
      <c r="Q1261">
        <f>IF(OR($G1261="",Sync!$AE1258=""),"",Sync!$AE1258)</f>
        <v/>
      </c>
      <c r="R1261">
        <f>IF($G1261="","",IF(Sync!$V1258="","0000",IF(AND(ISNUMBER(Sync!$V1258),Sync!$V1258&gt;=0,Sync!$V1258&lt;1),RIGHT("00"&amp;HOUR(Sync!$V1258),2)&amp;RIGHT("00"&amp;MINUTE(Sync!$V1258),2),IFERROR(RIGHT("00"&amp;VALUE(LEFT(Sync!$V1258,FIND(":",Sync!$V1258)-1)),2)&amp;RIGHT("00"&amp;VALUE(MID(Sync!$V1258,FIND(":",Sync!$V1258)+1,2)),2),"0000"))))</f>
        <v/>
      </c>
    </row>
    <row r="1262">
      <c r="A1262">
        <f>IF(Sync!$U1259="","",Sync!$U1259)</f>
        <v/>
      </c>
      <c r="B1262">
        <f>IF($A1262="","",IF(ISNUMBER($A1262),IF(AND($A1262&gt;=10000101,$A1262&lt;=99991231),INT($A1262/10000),""),IFERROR(VALUE(TRIM(LEFT($A1262,FIND("/",$A1262)-1))),"")))</f>
        <v/>
      </c>
      <c r="C1262">
        <f>IF(OR($A1262="",$B1262=""),"",IF(ISNUMBER($A1262),INT(MOD($A1262,10000)/100),IFERROR(VALUE(TRIM(LEFT(MID($A1262,FIND("/",$A1262)+1,20),FIND("/",MID($A1262,FIND("/",$A1262)+1,20))-1))),"")))</f>
        <v/>
      </c>
      <c r="D1262">
        <f>IF(OR($A1262="",$B1262=""),"",IF(ISNUMBER($A1262),MOD($A1262,100),IFERROR(VALUE(TRIM(MID(MID($A1262,FIND("/",$A1262)+1,20),FIND("/",MID($A1262,FIND("/",$A1262)+1,20))+1,20))),"")))</f>
        <v/>
      </c>
      <c r="E1262">
        <f>IF($A1262="","",IF(OR($B1262="",$C1262="",$D1262="",$B1262&lt;1300,$B1262&gt;1500,$C1262&lt;1,$C1262&gt;12,$D1262&lt;1,$D1262&gt;31),"نامعتبر",RIGHT("0000"&amp;$B1262,4)&amp;"/"&amp;RIGHT("00"&amp;$C1262,2)&amp;"/"&amp;RIGHT("00"&amp;$D1262,2)))</f>
        <v/>
      </c>
      <c r="F1262">
        <f>IF(OR($E1262="",$E1262="نامعتبر"),"",LEFT($E1262,4)&amp;"/"&amp;MID($E1262,6,2))</f>
        <v/>
      </c>
      <c r="G1262">
        <f>IF(OR($E1262="",$E1262="نامعتبر",Sync!$Y1259=""),"",Sync!$Y1259)</f>
        <v/>
      </c>
      <c r="H1262">
        <f>IF($G1262="","",IF(Sync!$X1259="","",Sync!$X1259))</f>
        <v/>
      </c>
      <c r="I1262">
        <f>IF($G1262="","",IFERROR(VLOOKUP(Sync!$X1259,OpTbl,3,0),""))</f>
        <v/>
      </c>
      <c r="J1262">
        <f>IF(OR($G1262="",Sync!$Z1259=""),"",Sync!$Z1259)</f>
        <v/>
      </c>
      <c r="K1262">
        <f>IF(OR($G1262="",Sync!$AA1259=""),"",Sync!$AA1259)</f>
        <v/>
      </c>
      <c r="L1262">
        <f>IF($G1262="",0,IF(Sync!$AB1259="",0,Sync!$AB1259))</f>
        <v/>
      </c>
      <c r="M1262">
        <f>IF($G1262="",0,IF(Sync!$AC1259="",0,Sync!$AC1259))</f>
        <v/>
      </c>
      <c r="N1262">
        <f>IF($G1262="","",IF($H1262="مرجوعی خرید",-1,1)*($L1262-$M1262*IFERROR(VLOOKUP("P01",ParamTbl,3,0),1.5))*(1-IF($I1262="خرید",IFERROR(VLOOKUP("P02",ParamTbl,3,0),1),0)/100))</f>
        <v/>
      </c>
      <c r="O1262">
        <f>IF($G1262="",0,IF($H1262="مرجوعی خرید",-1,1)*IF(Sync!$AD1259="",0,Sync!$AD1259))</f>
        <v/>
      </c>
      <c r="P1262">
        <f>IF(OR($G1262="",Sync!$W1259=""),"",Sync!$W1259)</f>
        <v/>
      </c>
      <c r="Q1262">
        <f>IF(OR($G1262="",Sync!$AE1259=""),"",Sync!$AE1259)</f>
        <v/>
      </c>
      <c r="R1262">
        <f>IF($G1262="","",IF(Sync!$V1259="","0000",IF(AND(ISNUMBER(Sync!$V1259),Sync!$V1259&gt;=0,Sync!$V1259&lt;1),RIGHT("00"&amp;HOUR(Sync!$V1259),2)&amp;RIGHT("00"&amp;MINUTE(Sync!$V1259),2),IFERROR(RIGHT("00"&amp;VALUE(LEFT(Sync!$V1259,FIND(":",Sync!$V1259)-1)),2)&amp;RIGHT("00"&amp;VALUE(MID(Sync!$V1259,FIND(":",Sync!$V1259)+1,2)),2),"0000"))))</f>
        <v/>
      </c>
    </row>
    <row r="1263">
      <c r="A1263">
        <f>IF(Sync!$U1260="","",Sync!$U1260)</f>
        <v/>
      </c>
      <c r="B1263">
        <f>IF($A1263="","",IF(ISNUMBER($A1263),IF(AND($A1263&gt;=10000101,$A1263&lt;=99991231),INT($A1263/10000),""),IFERROR(VALUE(TRIM(LEFT($A1263,FIND("/",$A1263)-1))),"")))</f>
        <v/>
      </c>
      <c r="C1263">
        <f>IF(OR($A1263="",$B1263=""),"",IF(ISNUMBER($A1263),INT(MOD($A1263,10000)/100),IFERROR(VALUE(TRIM(LEFT(MID($A1263,FIND("/",$A1263)+1,20),FIND("/",MID($A1263,FIND("/",$A1263)+1,20))-1))),"")))</f>
        <v/>
      </c>
      <c r="D1263">
        <f>IF(OR($A1263="",$B1263=""),"",IF(ISNUMBER($A1263),MOD($A1263,100),IFERROR(VALUE(TRIM(MID(MID($A1263,FIND("/",$A1263)+1,20),FIND("/",MID($A1263,FIND("/",$A1263)+1,20))+1,20))),"")))</f>
        <v/>
      </c>
      <c r="E1263">
        <f>IF($A1263="","",IF(OR($B1263="",$C1263="",$D1263="",$B1263&lt;1300,$B1263&gt;1500,$C1263&lt;1,$C1263&gt;12,$D1263&lt;1,$D1263&gt;31),"نامعتبر",RIGHT("0000"&amp;$B1263,4)&amp;"/"&amp;RIGHT("00"&amp;$C1263,2)&amp;"/"&amp;RIGHT("00"&amp;$D1263,2)))</f>
        <v/>
      </c>
      <c r="F1263">
        <f>IF(OR($E1263="",$E1263="نامعتبر"),"",LEFT($E1263,4)&amp;"/"&amp;MID($E1263,6,2))</f>
        <v/>
      </c>
      <c r="G1263">
        <f>IF(OR($E1263="",$E1263="نامعتبر",Sync!$Y1260=""),"",Sync!$Y1260)</f>
        <v/>
      </c>
      <c r="H1263">
        <f>IF($G1263="","",IF(Sync!$X1260="","",Sync!$X1260))</f>
        <v/>
      </c>
      <c r="I1263">
        <f>IF($G1263="","",IFERROR(VLOOKUP(Sync!$X1260,OpTbl,3,0),""))</f>
        <v/>
      </c>
      <c r="J1263">
        <f>IF(OR($G1263="",Sync!$Z1260=""),"",Sync!$Z1260)</f>
        <v/>
      </c>
      <c r="K1263">
        <f>IF(OR($G1263="",Sync!$AA1260=""),"",Sync!$AA1260)</f>
        <v/>
      </c>
      <c r="L1263">
        <f>IF($G1263="",0,IF(Sync!$AB1260="",0,Sync!$AB1260))</f>
        <v/>
      </c>
      <c r="M1263">
        <f>IF($G1263="",0,IF(Sync!$AC1260="",0,Sync!$AC1260))</f>
        <v/>
      </c>
      <c r="N1263">
        <f>IF($G1263="","",IF($H1263="مرجوعی خرید",-1,1)*($L1263-$M1263*IFERROR(VLOOKUP("P01",ParamTbl,3,0),1.5))*(1-IF($I1263="خرید",IFERROR(VLOOKUP("P02",ParamTbl,3,0),1),0)/100))</f>
        <v/>
      </c>
      <c r="O1263">
        <f>IF($G1263="",0,IF($H1263="مرجوعی خرید",-1,1)*IF(Sync!$AD1260="",0,Sync!$AD1260))</f>
        <v/>
      </c>
      <c r="P1263">
        <f>IF(OR($G1263="",Sync!$W1260=""),"",Sync!$W1260)</f>
        <v/>
      </c>
      <c r="Q1263">
        <f>IF(OR($G1263="",Sync!$AE1260=""),"",Sync!$AE1260)</f>
        <v/>
      </c>
      <c r="R1263">
        <f>IF($G1263="","",IF(Sync!$V1260="","0000",IF(AND(ISNUMBER(Sync!$V1260),Sync!$V1260&gt;=0,Sync!$V1260&lt;1),RIGHT("00"&amp;HOUR(Sync!$V1260),2)&amp;RIGHT("00"&amp;MINUTE(Sync!$V1260),2),IFERROR(RIGHT("00"&amp;VALUE(LEFT(Sync!$V1260,FIND(":",Sync!$V1260)-1)),2)&amp;RIGHT("00"&amp;VALUE(MID(Sync!$V1260,FIND(":",Sync!$V1260)+1,2)),2),"0000"))))</f>
        <v/>
      </c>
    </row>
    <row r="1264">
      <c r="A1264">
        <f>IF(Sync!$U1261="","",Sync!$U1261)</f>
        <v/>
      </c>
      <c r="B1264">
        <f>IF($A1264="","",IF(ISNUMBER($A1264),IF(AND($A1264&gt;=10000101,$A1264&lt;=99991231),INT($A1264/10000),""),IFERROR(VALUE(TRIM(LEFT($A1264,FIND("/",$A1264)-1))),"")))</f>
        <v/>
      </c>
      <c r="C1264">
        <f>IF(OR($A1264="",$B1264=""),"",IF(ISNUMBER($A1264),INT(MOD($A1264,10000)/100),IFERROR(VALUE(TRIM(LEFT(MID($A1264,FIND("/",$A1264)+1,20),FIND("/",MID($A1264,FIND("/",$A1264)+1,20))-1))),"")))</f>
        <v/>
      </c>
      <c r="D1264">
        <f>IF(OR($A1264="",$B1264=""),"",IF(ISNUMBER($A1264),MOD($A1264,100),IFERROR(VALUE(TRIM(MID(MID($A1264,FIND("/",$A1264)+1,20),FIND("/",MID($A1264,FIND("/",$A1264)+1,20))+1,20))),"")))</f>
        <v/>
      </c>
      <c r="E1264">
        <f>IF($A1264="","",IF(OR($B1264="",$C1264="",$D1264="",$B1264&lt;1300,$B1264&gt;1500,$C1264&lt;1,$C1264&gt;12,$D1264&lt;1,$D1264&gt;31),"نامعتبر",RIGHT("0000"&amp;$B1264,4)&amp;"/"&amp;RIGHT("00"&amp;$C1264,2)&amp;"/"&amp;RIGHT("00"&amp;$D1264,2)))</f>
        <v/>
      </c>
      <c r="F1264">
        <f>IF(OR($E1264="",$E1264="نامعتبر"),"",LEFT($E1264,4)&amp;"/"&amp;MID($E1264,6,2))</f>
        <v/>
      </c>
      <c r="G1264">
        <f>IF(OR($E1264="",$E1264="نامعتبر",Sync!$Y1261=""),"",Sync!$Y1261)</f>
        <v/>
      </c>
      <c r="H1264">
        <f>IF($G1264="","",IF(Sync!$X1261="","",Sync!$X1261))</f>
        <v/>
      </c>
      <c r="I1264">
        <f>IF($G1264="","",IFERROR(VLOOKUP(Sync!$X1261,OpTbl,3,0),""))</f>
        <v/>
      </c>
      <c r="J1264">
        <f>IF(OR($G1264="",Sync!$Z1261=""),"",Sync!$Z1261)</f>
        <v/>
      </c>
      <c r="K1264">
        <f>IF(OR($G1264="",Sync!$AA1261=""),"",Sync!$AA1261)</f>
        <v/>
      </c>
      <c r="L1264">
        <f>IF($G1264="",0,IF(Sync!$AB1261="",0,Sync!$AB1261))</f>
        <v/>
      </c>
      <c r="M1264">
        <f>IF($G1264="",0,IF(Sync!$AC1261="",0,Sync!$AC1261))</f>
        <v/>
      </c>
      <c r="N1264">
        <f>IF($G1264="","",IF($H1264="مرجوعی خرید",-1,1)*($L1264-$M1264*IFERROR(VLOOKUP("P01",ParamTbl,3,0),1.5))*(1-IF($I1264="خرید",IFERROR(VLOOKUP("P02",ParamTbl,3,0),1),0)/100))</f>
        <v/>
      </c>
      <c r="O1264">
        <f>IF($G1264="",0,IF($H1264="مرجوعی خرید",-1,1)*IF(Sync!$AD1261="",0,Sync!$AD1261))</f>
        <v/>
      </c>
      <c r="P1264">
        <f>IF(OR($G1264="",Sync!$W1261=""),"",Sync!$W1261)</f>
        <v/>
      </c>
      <c r="Q1264">
        <f>IF(OR($G1264="",Sync!$AE1261=""),"",Sync!$AE1261)</f>
        <v/>
      </c>
      <c r="R1264">
        <f>IF($G1264="","",IF(Sync!$V1261="","0000",IF(AND(ISNUMBER(Sync!$V1261),Sync!$V1261&gt;=0,Sync!$V1261&lt;1),RIGHT("00"&amp;HOUR(Sync!$V1261),2)&amp;RIGHT("00"&amp;MINUTE(Sync!$V1261),2),IFERROR(RIGHT("00"&amp;VALUE(LEFT(Sync!$V1261,FIND(":",Sync!$V1261)-1)),2)&amp;RIGHT("00"&amp;VALUE(MID(Sync!$V1261,FIND(":",Sync!$V1261)+1,2)),2),"0000"))))</f>
        <v/>
      </c>
    </row>
    <row r="1265">
      <c r="A1265">
        <f>IF(Sync!$U1262="","",Sync!$U1262)</f>
        <v/>
      </c>
      <c r="B1265">
        <f>IF($A1265="","",IF(ISNUMBER($A1265),IF(AND($A1265&gt;=10000101,$A1265&lt;=99991231),INT($A1265/10000),""),IFERROR(VALUE(TRIM(LEFT($A1265,FIND("/",$A1265)-1))),"")))</f>
        <v/>
      </c>
      <c r="C1265">
        <f>IF(OR($A1265="",$B1265=""),"",IF(ISNUMBER($A1265),INT(MOD($A1265,10000)/100),IFERROR(VALUE(TRIM(LEFT(MID($A1265,FIND("/",$A1265)+1,20),FIND("/",MID($A1265,FIND("/",$A1265)+1,20))-1))),"")))</f>
        <v/>
      </c>
      <c r="D1265">
        <f>IF(OR($A1265="",$B1265=""),"",IF(ISNUMBER($A1265),MOD($A1265,100),IFERROR(VALUE(TRIM(MID(MID($A1265,FIND("/",$A1265)+1,20),FIND("/",MID($A1265,FIND("/",$A1265)+1,20))+1,20))),"")))</f>
        <v/>
      </c>
      <c r="E1265">
        <f>IF($A1265="","",IF(OR($B1265="",$C1265="",$D1265="",$B1265&lt;1300,$B1265&gt;1500,$C1265&lt;1,$C1265&gt;12,$D1265&lt;1,$D1265&gt;31),"نامعتبر",RIGHT("0000"&amp;$B1265,4)&amp;"/"&amp;RIGHT("00"&amp;$C1265,2)&amp;"/"&amp;RIGHT("00"&amp;$D1265,2)))</f>
        <v/>
      </c>
      <c r="F1265">
        <f>IF(OR($E1265="",$E1265="نامعتبر"),"",LEFT($E1265,4)&amp;"/"&amp;MID($E1265,6,2))</f>
        <v/>
      </c>
      <c r="G1265">
        <f>IF(OR($E1265="",$E1265="نامعتبر",Sync!$Y1262=""),"",Sync!$Y1262)</f>
        <v/>
      </c>
      <c r="H1265">
        <f>IF($G1265="","",IF(Sync!$X1262="","",Sync!$X1262))</f>
        <v/>
      </c>
      <c r="I1265">
        <f>IF($G1265="","",IFERROR(VLOOKUP(Sync!$X1262,OpTbl,3,0),""))</f>
        <v/>
      </c>
      <c r="J1265">
        <f>IF(OR($G1265="",Sync!$Z1262=""),"",Sync!$Z1262)</f>
        <v/>
      </c>
      <c r="K1265">
        <f>IF(OR($G1265="",Sync!$AA1262=""),"",Sync!$AA1262)</f>
        <v/>
      </c>
      <c r="L1265">
        <f>IF($G1265="",0,IF(Sync!$AB1262="",0,Sync!$AB1262))</f>
        <v/>
      </c>
      <c r="M1265">
        <f>IF($G1265="",0,IF(Sync!$AC1262="",0,Sync!$AC1262))</f>
        <v/>
      </c>
      <c r="N1265">
        <f>IF($G1265="","",IF($H1265="مرجوعی خرید",-1,1)*($L1265-$M1265*IFERROR(VLOOKUP("P01",ParamTbl,3,0),1.5))*(1-IF($I1265="خرید",IFERROR(VLOOKUP("P02",ParamTbl,3,0),1),0)/100))</f>
        <v/>
      </c>
      <c r="O1265">
        <f>IF($G1265="",0,IF($H1265="مرجوعی خرید",-1,1)*IF(Sync!$AD1262="",0,Sync!$AD1262))</f>
        <v/>
      </c>
      <c r="P1265">
        <f>IF(OR($G1265="",Sync!$W1262=""),"",Sync!$W1262)</f>
        <v/>
      </c>
      <c r="Q1265">
        <f>IF(OR($G1265="",Sync!$AE1262=""),"",Sync!$AE1262)</f>
        <v/>
      </c>
      <c r="R1265">
        <f>IF($G1265="","",IF(Sync!$V1262="","0000",IF(AND(ISNUMBER(Sync!$V1262),Sync!$V1262&gt;=0,Sync!$V1262&lt;1),RIGHT("00"&amp;HOUR(Sync!$V1262),2)&amp;RIGHT("00"&amp;MINUTE(Sync!$V1262),2),IFERROR(RIGHT("00"&amp;VALUE(LEFT(Sync!$V1262,FIND(":",Sync!$V1262)-1)),2)&amp;RIGHT("00"&amp;VALUE(MID(Sync!$V1262,FIND(":",Sync!$V1262)+1,2)),2),"0000"))))</f>
        <v/>
      </c>
    </row>
    <row r="1266">
      <c r="A1266">
        <f>IF(Sync!$U1263="","",Sync!$U1263)</f>
        <v/>
      </c>
      <c r="B1266">
        <f>IF($A1266="","",IF(ISNUMBER($A1266),IF(AND($A1266&gt;=10000101,$A1266&lt;=99991231),INT($A1266/10000),""),IFERROR(VALUE(TRIM(LEFT($A1266,FIND("/",$A1266)-1))),"")))</f>
        <v/>
      </c>
      <c r="C1266">
        <f>IF(OR($A1266="",$B1266=""),"",IF(ISNUMBER($A1266),INT(MOD($A1266,10000)/100),IFERROR(VALUE(TRIM(LEFT(MID($A1266,FIND("/",$A1266)+1,20),FIND("/",MID($A1266,FIND("/",$A1266)+1,20))-1))),"")))</f>
        <v/>
      </c>
      <c r="D1266">
        <f>IF(OR($A1266="",$B1266=""),"",IF(ISNUMBER($A1266),MOD($A1266,100),IFERROR(VALUE(TRIM(MID(MID($A1266,FIND("/",$A1266)+1,20),FIND("/",MID($A1266,FIND("/",$A1266)+1,20))+1,20))),"")))</f>
        <v/>
      </c>
      <c r="E1266">
        <f>IF($A1266="","",IF(OR($B1266="",$C1266="",$D1266="",$B1266&lt;1300,$B1266&gt;1500,$C1266&lt;1,$C1266&gt;12,$D1266&lt;1,$D1266&gt;31),"نامعتبر",RIGHT("0000"&amp;$B1266,4)&amp;"/"&amp;RIGHT("00"&amp;$C1266,2)&amp;"/"&amp;RIGHT("00"&amp;$D1266,2)))</f>
        <v/>
      </c>
      <c r="F1266">
        <f>IF(OR($E1266="",$E1266="نامعتبر"),"",LEFT($E1266,4)&amp;"/"&amp;MID($E1266,6,2))</f>
        <v/>
      </c>
      <c r="G1266">
        <f>IF(OR($E1266="",$E1266="نامعتبر",Sync!$Y1263=""),"",Sync!$Y1263)</f>
        <v/>
      </c>
      <c r="H1266">
        <f>IF($G1266="","",IF(Sync!$X1263="","",Sync!$X1263))</f>
        <v/>
      </c>
      <c r="I1266">
        <f>IF($G1266="","",IFERROR(VLOOKUP(Sync!$X1263,OpTbl,3,0),""))</f>
        <v/>
      </c>
      <c r="J1266">
        <f>IF(OR($G1266="",Sync!$Z1263=""),"",Sync!$Z1263)</f>
        <v/>
      </c>
      <c r="K1266">
        <f>IF(OR($G1266="",Sync!$AA1263=""),"",Sync!$AA1263)</f>
        <v/>
      </c>
      <c r="L1266">
        <f>IF($G1266="",0,IF(Sync!$AB1263="",0,Sync!$AB1263))</f>
        <v/>
      </c>
      <c r="M1266">
        <f>IF($G1266="",0,IF(Sync!$AC1263="",0,Sync!$AC1263))</f>
        <v/>
      </c>
      <c r="N1266">
        <f>IF($G1266="","",IF($H1266="مرجوعی خرید",-1,1)*($L1266-$M1266*IFERROR(VLOOKUP("P01",ParamTbl,3,0),1.5))*(1-IF($I1266="خرید",IFERROR(VLOOKUP("P02",ParamTbl,3,0),1),0)/100))</f>
        <v/>
      </c>
      <c r="O1266">
        <f>IF($G1266="",0,IF($H1266="مرجوعی خرید",-1,1)*IF(Sync!$AD1263="",0,Sync!$AD1263))</f>
        <v/>
      </c>
      <c r="P1266">
        <f>IF(OR($G1266="",Sync!$W1263=""),"",Sync!$W1263)</f>
        <v/>
      </c>
      <c r="Q1266">
        <f>IF(OR($G1266="",Sync!$AE1263=""),"",Sync!$AE1263)</f>
        <v/>
      </c>
      <c r="R1266">
        <f>IF($G1266="","",IF(Sync!$V1263="","0000",IF(AND(ISNUMBER(Sync!$V1263),Sync!$V1263&gt;=0,Sync!$V1263&lt;1),RIGHT("00"&amp;HOUR(Sync!$V1263),2)&amp;RIGHT("00"&amp;MINUTE(Sync!$V1263),2),IFERROR(RIGHT("00"&amp;VALUE(LEFT(Sync!$V1263,FIND(":",Sync!$V1263)-1)),2)&amp;RIGHT("00"&amp;VALUE(MID(Sync!$V1263,FIND(":",Sync!$V1263)+1,2)),2),"0000"))))</f>
        <v/>
      </c>
    </row>
    <row r="1267">
      <c r="A1267">
        <f>IF(Sync!$U1264="","",Sync!$U1264)</f>
        <v/>
      </c>
      <c r="B1267">
        <f>IF($A1267="","",IF(ISNUMBER($A1267),IF(AND($A1267&gt;=10000101,$A1267&lt;=99991231),INT($A1267/10000),""),IFERROR(VALUE(TRIM(LEFT($A1267,FIND("/",$A1267)-1))),"")))</f>
        <v/>
      </c>
      <c r="C1267">
        <f>IF(OR($A1267="",$B1267=""),"",IF(ISNUMBER($A1267),INT(MOD($A1267,10000)/100),IFERROR(VALUE(TRIM(LEFT(MID($A1267,FIND("/",$A1267)+1,20),FIND("/",MID($A1267,FIND("/",$A1267)+1,20))-1))),"")))</f>
        <v/>
      </c>
      <c r="D1267">
        <f>IF(OR($A1267="",$B1267=""),"",IF(ISNUMBER($A1267),MOD($A1267,100),IFERROR(VALUE(TRIM(MID(MID($A1267,FIND("/",$A1267)+1,20),FIND("/",MID($A1267,FIND("/",$A1267)+1,20))+1,20))),"")))</f>
        <v/>
      </c>
      <c r="E1267">
        <f>IF($A1267="","",IF(OR($B1267="",$C1267="",$D1267="",$B1267&lt;1300,$B1267&gt;1500,$C1267&lt;1,$C1267&gt;12,$D1267&lt;1,$D1267&gt;31),"نامعتبر",RIGHT("0000"&amp;$B1267,4)&amp;"/"&amp;RIGHT("00"&amp;$C1267,2)&amp;"/"&amp;RIGHT("00"&amp;$D1267,2)))</f>
        <v/>
      </c>
      <c r="F1267">
        <f>IF(OR($E1267="",$E1267="نامعتبر"),"",LEFT($E1267,4)&amp;"/"&amp;MID($E1267,6,2))</f>
        <v/>
      </c>
      <c r="G1267">
        <f>IF(OR($E1267="",$E1267="نامعتبر",Sync!$Y1264=""),"",Sync!$Y1264)</f>
        <v/>
      </c>
      <c r="H1267">
        <f>IF($G1267="","",IF(Sync!$X1264="","",Sync!$X1264))</f>
        <v/>
      </c>
      <c r="I1267">
        <f>IF($G1267="","",IFERROR(VLOOKUP(Sync!$X1264,OpTbl,3,0),""))</f>
        <v/>
      </c>
      <c r="J1267">
        <f>IF(OR($G1267="",Sync!$Z1264=""),"",Sync!$Z1264)</f>
        <v/>
      </c>
      <c r="K1267">
        <f>IF(OR($G1267="",Sync!$AA1264=""),"",Sync!$AA1264)</f>
        <v/>
      </c>
      <c r="L1267">
        <f>IF($G1267="",0,IF(Sync!$AB1264="",0,Sync!$AB1264))</f>
        <v/>
      </c>
      <c r="M1267">
        <f>IF($G1267="",0,IF(Sync!$AC1264="",0,Sync!$AC1264))</f>
        <v/>
      </c>
      <c r="N1267">
        <f>IF($G1267="","",IF($H1267="مرجوعی خرید",-1,1)*($L1267-$M1267*IFERROR(VLOOKUP("P01",ParamTbl,3,0),1.5))*(1-IF($I1267="خرید",IFERROR(VLOOKUP("P02",ParamTbl,3,0),1),0)/100))</f>
        <v/>
      </c>
      <c r="O1267">
        <f>IF($G1267="",0,IF($H1267="مرجوعی خرید",-1,1)*IF(Sync!$AD1264="",0,Sync!$AD1264))</f>
        <v/>
      </c>
      <c r="P1267">
        <f>IF(OR($G1267="",Sync!$W1264=""),"",Sync!$W1264)</f>
        <v/>
      </c>
      <c r="Q1267">
        <f>IF(OR($G1267="",Sync!$AE1264=""),"",Sync!$AE1264)</f>
        <v/>
      </c>
      <c r="R1267">
        <f>IF($G1267="","",IF(Sync!$V1264="","0000",IF(AND(ISNUMBER(Sync!$V1264),Sync!$V1264&gt;=0,Sync!$V1264&lt;1),RIGHT("00"&amp;HOUR(Sync!$V1264),2)&amp;RIGHT("00"&amp;MINUTE(Sync!$V1264),2),IFERROR(RIGHT("00"&amp;VALUE(LEFT(Sync!$V1264,FIND(":",Sync!$V1264)-1)),2)&amp;RIGHT("00"&amp;VALUE(MID(Sync!$V1264,FIND(":",Sync!$V1264)+1,2)),2),"0000"))))</f>
        <v/>
      </c>
    </row>
    <row r="1268">
      <c r="A1268">
        <f>IF(Sync!$U1265="","",Sync!$U1265)</f>
        <v/>
      </c>
      <c r="B1268">
        <f>IF($A1268="","",IF(ISNUMBER($A1268),IF(AND($A1268&gt;=10000101,$A1268&lt;=99991231),INT($A1268/10000),""),IFERROR(VALUE(TRIM(LEFT($A1268,FIND("/",$A1268)-1))),"")))</f>
        <v/>
      </c>
      <c r="C1268">
        <f>IF(OR($A1268="",$B1268=""),"",IF(ISNUMBER($A1268),INT(MOD($A1268,10000)/100),IFERROR(VALUE(TRIM(LEFT(MID($A1268,FIND("/",$A1268)+1,20),FIND("/",MID($A1268,FIND("/",$A1268)+1,20))-1))),"")))</f>
        <v/>
      </c>
      <c r="D1268">
        <f>IF(OR($A1268="",$B1268=""),"",IF(ISNUMBER($A1268),MOD($A1268,100),IFERROR(VALUE(TRIM(MID(MID($A1268,FIND("/",$A1268)+1,20),FIND("/",MID($A1268,FIND("/",$A1268)+1,20))+1,20))),"")))</f>
        <v/>
      </c>
      <c r="E1268">
        <f>IF($A1268="","",IF(OR($B1268="",$C1268="",$D1268="",$B1268&lt;1300,$B1268&gt;1500,$C1268&lt;1,$C1268&gt;12,$D1268&lt;1,$D1268&gt;31),"نامعتبر",RIGHT("0000"&amp;$B1268,4)&amp;"/"&amp;RIGHT("00"&amp;$C1268,2)&amp;"/"&amp;RIGHT("00"&amp;$D1268,2)))</f>
        <v/>
      </c>
      <c r="F1268">
        <f>IF(OR($E1268="",$E1268="نامعتبر"),"",LEFT($E1268,4)&amp;"/"&amp;MID($E1268,6,2))</f>
        <v/>
      </c>
      <c r="G1268">
        <f>IF(OR($E1268="",$E1268="نامعتبر",Sync!$Y1265=""),"",Sync!$Y1265)</f>
        <v/>
      </c>
      <c r="H1268">
        <f>IF($G1268="","",IF(Sync!$X1265="","",Sync!$X1265))</f>
        <v/>
      </c>
      <c r="I1268">
        <f>IF($G1268="","",IFERROR(VLOOKUP(Sync!$X1265,OpTbl,3,0),""))</f>
        <v/>
      </c>
      <c r="J1268">
        <f>IF(OR($G1268="",Sync!$Z1265=""),"",Sync!$Z1265)</f>
        <v/>
      </c>
      <c r="K1268">
        <f>IF(OR($G1268="",Sync!$AA1265=""),"",Sync!$AA1265)</f>
        <v/>
      </c>
      <c r="L1268">
        <f>IF($G1268="",0,IF(Sync!$AB1265="",0,Sync!$AB1265))</f>
        <v/>
      </c>
      <c r="M1268">
        <f>IF($G1268="",0,IF(Sync!$AC1265="",0,Sync!$AC1265))</f>
        <v/>
      </c>
      <c r="N1268">
        <f>IF($G1268="","",IF($H1268="مرجوعی خرید",-1,1)*($L1268-$M1268*IFERROR(VLOOKUP("P01",ParamTbl,3,0),1.5))*(1-IF($I1268="خرید",IFERROR(VLOOKUP("P02",ParamTbl,3,0),1),0)/100))</f>
        <v/>
      </c>
      <c r="O1268">
        <f>IF($G1268="",0,IF($H1268="مرجوعی خرید",-1,1)*IF(Sync!$AD1265="",0,Sync!$AD1265))</f>
        <v/>
      </c>
      <c r="P1268">
        <f>IF(OR($G1268="",Sync!$W1265=""),"",Sync!$W1265)</f>
        <v/>
      </c>
      <c r="Q1268">
        <f>IF(OR($G1268="",Sync!$AE1265=""),"",Sync!$AE1265)</f>
        <v/>
      </c>
      <c r="R1268">
        <f>IF($G1268="","",IF(Sync!$V1265="","0000",IF(AND(ISNUMBER(Sync!$V1265),Sync!$V1265&gt;=0,Sync!$V1265&lt;1),RIGHT("00"&amp;HOUR(Sync!$V1265),2)&amp;RIGHT("00"&amp;MINUTE(Sync!$V1265),2),IFERROR(RIGHT("00"&amp;VALUE(LEFT(Sync!$V1265,FIND(":",Sync!$V1265)-1)),2)&amp;RIGHT("00"&amp;VALUE(MID(Sync!$V1265,FIND(":",Sync!$V1265)+1,2)),2),"0000"))))</f>
        <v/>
      </c>
    </row>
    <row r="1269">
      <c r="A1269">
        <f>IF(Sync!$U1266="","",Sync!$U1266)</f>
        <v/>
      </c>
      <c r="B1269">
        <f>IF($A1269="","",IF(ISNUMBER($A1269),IF(AND($A1269&gt;=10000101,$A1269&lt;=99991231),INT($A1269/10000),""),IFERROR(VALUE(TRIM(LEFT($A1269,FIND("/",$A1269)-1))),"")))</f>
        <v/>
      </c>
      <c r="C1269">
        <f>IF(OR($A1269="",$B1269=""),"",IF(ISNUMBER($A1269),INT(MOD($A1269,10000)/100),IFERROR(VALUE(TRIM(LEFT(MID($A1269,FIND("/",$A1269)+1,20),FIND("/",MID($A1269,FIND("/",$A1269)+1,20))-1))),"")))</f>
        <v/>
      </c>
      <c r="D1269">
        <f>IF(OR($A1269="",$B1269=""),"",IF(ISNUMBER($A1269),MOD($A1269,100),IFERROR(VALUE(TRIM(MID(MID($A1269,FIND("/",$A1269)+1,20),FIND("/",MID($A1269,FIND("/",$A1269)+1,20))+1,20))),"")))</f>
        <v/>
      </c>
      <c r="E1269">
        <f>IF($A1269="","",IF(OR($B1269="",$C1269="",$D1269="",$B1269&lt;1300,$B1269&gt;1500,$C1269&lt;1,$C1269&gt;12,$D1269&lt;1,$D1269&gt;31),"نامعتبر",RIGHT("0000"&amp;$B1269,4)&amp;"/"&amp;RIGHT("00"&amp;$C1269,2)&amp;"/"&amp;RIGHT("00"&amp;$D1269,2)))</f>
        <v/>
      </c>
      <c r="F1269">
        <f>IF(OR($E1269="",$E1269="نامعتبر"),"",LEFT($E1269,4)&amp;"/"&amp;MID($E1269,6,2))</f>
        <v/>
      </c>
      <c r="G1269">
        <f>IF(OR($E1269="",$E1269="نامعتبر",Sync!$Y1266=""),"",Sync!$Y1266)</f>
        <v/>
      </c>
      <c r="H1269">
        <f>IF($G1269="","",IF(Sync!$X1266="","",Sync!$X1266))</f>
        <v/>
      </c>
      <c r="I1269">
        <f>IF($G1269="","",IFERROR(VLOOKUP(Sync!$X1266,OpTbl,3,0),""))</f>
        <v/>
      </c>
      <c r="J1269">
        <f>IF(OR($G1269="",Sync!$Z1266=""),"",Sync!$Z1266)</f>
        <v/>
      </c>
      <c r="K1269">
        <f>IF(OR($G1269="",Sync!$AA1266=""),"",Sync!$AA1266)</f>
        <v/>
      </c>
      <c r="L1269">
        <f>IF($G1269="",0,IF(Sync!$AB1266="",0,Sync!$AB1266))</f>
        <v/>
      </c>
      <c r="M1269">
        <f>IF($G1269="",0,IF(Sync!$AC1266="",0,Sync!$AC1266))</f>
        <v/>
      </c>
      <c r="N1269">
        <f>IF($G1269="","",IF($H1269="مرجوعی خرید",-1,1)*($L1269-$M1269*IFERROR(VLOOKUP("P01",ParamTbl,3,0),1.5))*(1-IF($I1269="خرید",IFERROR(VLOOKUP("P02",ParamTbl,3,0),1),0)/100))</f>
        <v/>
      </c>
      <c r="O1269">
        <f>IF($G1269="",0,IF($H1269="مرجوعی خرید",-1,1)*IF(Sync!$AD1266="",0,Sync!$AD1266))</f>
        <v/>
      </c>
      <c r="P1269">
        <f>IF(OR($G1269="",Sync!$W1266=""),"",Sync!$W1266)</f>
        <v/>
      </c>
      <c r="Q1269">
        <f>IF(OR($G1269="",Sync!$AE1266=""),"",Sync!$AE1266)</f>
        <v/>
      </c>
      <c r="R1269">
        <f>IF($G1269="","",IF(Sync!$V1266="","0000",IF(AND(ISNUMBER(Sync!$V1266),Sync!$V1266&gt;=0,Sync!$V1266&lt;1),RIGHT("00"&amp;HOUR(Sync!$V1266),2)&amp;RIGHT("00"&amp;MINUTE(Sync!$V1266),2),IFERROR(RIGHT("00"&amp;VALUE(LEFT(Sync!$V1266,FIND(":",Sync!$V1266)-1)),2)&amp;RIGHT("00"&amp;VALUE(MID(Sync!$V1266,FIND(":",Sync!$V1266)+1,2)),2),"0000"))))</f>
        <v/>
      </c>
    </row>
    <row r="1270">
      <c r="A1270">
        <f>IF(Sync!$U1267="","",Sync!$U1267)</f>
        <v/>
      </c>
      <c r="B1270">
        <f>IF($A1270="","",IF(ISNUMBER($A1270),IF(AND($A1270&gt;=10000101,$A1270&lt;=99991231),INT($A1270/10000),""),IFERROR(VALUE(TRIM(LEFT($A1270,FIND("/",$A1270)-1))),"")))</f>
        <v/>
      </c>
      <c r="C1270">
        <f>IF(OR($A1270="",$B1270=""),"",IF(ISNUMBER($A1270),INT(MOD($A1270,10000)/100),IFERROR(VALUE(TRIM(LEFT(MID($A1270,FIND("/",$A1270)+1,20),FIND("/",MID($A1270,FIND("/",$A1270)+1,20))-1))),"")))</f>
        <v/>
      </c>
      <c r="D1270">
        <f>IF(OR($A1270="",$B1270=""),"",IF(ISNUMBER($A1270),MOD($A1270,100),IFERROR(VALUE(TRIM(MID(MID($A1270,FIND("/",$A1270)+1,20),FIND("/",MID($A1270,FIND("/",$A1270)+1,20))+1,20))),"")))</f>
        <v/>
      </c>
      <c r="E1270">
        <f>IF($A1270="","",IF(OR($B1270="",$C1270="",$D1270="",$B1270&lt;1300,$B1270&gt;1500,$C1270&lt;1,$C1270&gt;12,$D1270&lt;1,$D1270&gt;31),"نامعتبر",RIGHT("0000"&amp;$B1270,4)&amp;"/"&amp;RIGHT("00"&amp;$C1270,2)&amp;"/"&amp;RIGHT("00"&amp;$D1270,2)))</f>
        <v/>
      </c>
      <c r="F1270">
        <f>IF(OR($E1270="",$E1270="نامعتبر"),"",LEFT($E1270,4)&amp;"/"&amp;MID($E1270,6,2))</f>
        <v/>
      </c>
      <c r="G1270">
        <f>IF(OR($E1270="",$E1270="نامعتبر",Sync!$Y1267=""),"",Sync!$Y1267)</f>
        <v/>
      </c>
      <c r="H1270">
        <f>IF($G1270="","",IF(Sync!$X1267="","",Sync!$X1267))</f>
        <v/>
      </c>
      <c r="I1270">
        <f>IF($G1270="","",IFERROR(VLOOKUP(Sync!$X1267,OpTbl,3,0),""))</f>
        <v/>
      </c>
      <c r="J1270">
        <f>IF(OR($G1270="",Sync!$Z1267=""),"",Sync!$Z1267)</f>
        <v/>
      </c>
      <c r="K1270">
        <f>IF(OR($G1270="",Sync!$AA1267=""),"",Sync!$AA1267)</f>
        <v/>
      </c>
      <c r="L1270">
        <f>IF($G1270="",0,IF(Sync!$AB1267="",0,Sync!$AB1267))</f>
        <v/>
      </c>
      <c r="M1270">
        <f>IF($G1270="",0,IF(Sync!$AC1267="",0,Sync!$AC1267))</f>
        <v/>
      </c>
      <c r="N1270">
        <f>IF($G1270="","",IF($H1270="مرجوعی خرید",-1,1)*($L1270-$M1270*IFERROR(VLOOKUP("P01",ParamTbl,3,0),1.5))*(1-IF($I1270="خرید",IFERROR(VLOOKUP("P02",ParamTbl,3,0),1),0)/100))</f>
        <v/>
      </c>
      <c r="O1270">
        <f>IF($G1270="",0,IF($H1270="مرجوعی خرید",-1,1)*IF(Sync!$AD1267="",0,Sync!$AD1267))</f>
        <v/>
      </c>
      <c r="P1270">
        <f>IF(OR($G1270="",Sync!$W1267=""),"",Sync!$W1267)</f>
        <v/>
      </c>
      <c r="Q1270">
        <f>IF(OR($G1270="",Sync!$AE1267=""),"",Sync!$AE1267)</f>
        <v/>
      </c>
      <c r="R1270">
        <f>IF($G1270="","",IF(Sync!$V1267="","0000",IF(AND(ISNUMBER(Sync!$V1267),Sync!$V1267&gt;=0,Sync!$V1267&lt;1),RIGHT("00"&amp;HOUR(Sync!$V1267),2)&amp;RIGHT("00"&amp;MINUTE(Sync!$V1267),2),IFERROR(RIGHT("00"&amp;VALUE(LEFT(Sync!$V1267,FIND(":",Sync!$V1267)-1)),2)&amp;RIGHT("00"&amp;VALUE(MID(Sync!$V1267,FIND(":",Sync!$V1267)+1,2)),2),"0000"))))</f>
        <v/>
      </c>
    </row>
    <row r="1271">
      <c r="A1271">
        <f>IF(Sync!$U1268="","",Sync!$U1268)</f>
        <v/>
      </c>
      <c r="B1271">
        <f>IF($A1271="","",IF(ISNUMBER($A1271),IF(AND($A1271&gt;=10000101,$A1271&lt;=99991231),INT($A1271/10000),""),IFERROR(VALUE(TRIM(LEFT($A1271,FIND("/",$A1271)-1))),"")))</f>
        <v/>
      </c>
      <c r="C1271">
        <f>IF(OR($A1271="",$B1271=""),"",IF(ISNUMBER($A1271),INT(MOD($A1271,10000)/100),IFERROR(VALUE(TRIM(LEFT(MID($A1271,FIND("/",$A1271)+1,20),FIND("/",MID($A1271,FIND("/",$A1271)+1,20))-1))),"")))</f>
        <v/>
      </c>
      <c r="D1271">
        <f>IF(OR($A1271="",$B1271=""),"",IF(ISNUMBER($A1271),MOD($A1271,100),IFERROR(VALUE(TRIM(MID(MID($A1271,FIND("/",$A1271)+1,20),FIND("/",MID($A1271,FIND("/",$A1271)+1,20))+1,20))),"")))</f>
        <v/>
      </c>
      <c r="E1271">
        <f>IF($A1271="","",IF(OR($B1271="",$C1271="",$D1271="",$B1271&lt;1300,$B1271&gt;1500,$C1271&lt;1,$C1271&gt;12,$D1271&lt;1,$D1271&gt;31),"نامعتبر",RIGHT("0000"&amp;$B1271,4)&amp;"/"&amp;RIGHT("00"&amp;$C1271,2)&amp;"/"&amp;RIGHT("00"&amp;$D1271,2)))</f>
        <v/>
      </c>
      <c r="F1271">
        <f>IF(OR($E1271="",$E1271="نامعتبر"),"",LEFT($E1271,4)&amp;"/"&amp;MID($E1271,6,2))</f>
        <v/>
      </c>
      <c r="G1271">
        <f>IF(OR($E1271="",$E1271="نامعتبر",Sync!$Y1268=""),"",Sync!$Y1268)</f>
        <v/>
      </c>
      <c r="H1271">
        <f>IF($G1271="","",IF(Sync!$X1268="","",Sync!$X1268))</f>
        <v/>
      </c>
      <c r="I1271">
        <f>IF($G1271="","",IFERROR(VLOOKUP(Sync!$X1268,OpTbl,3,0),""))</f>
        <v/>
      </c>
      <c r="J1271">
        <f>IF(OR($G1271="",Sync!$Z1268=""),"",Sync!$Z1268)</f>
        <v/>
      </c>
      <c r="K1271">
        <f>IF(OR($G1271="",Sync!$AA1268=""),"",Sync!$AA1268)</f>
        <v/>
      </c>
      <c r="L1271">
        <f>IF($G1271="",0,IF(Sync!$AB1268="",0,Sync!$AB1268))</f>
        <v/>
      </c>
      <c r="M1271">
        <f>IF($G1271="",0,IF(Sync!$AC1268="",0,Sync!$AC1268))</f>
        <v/>
      </c>
      <c r="N1271">
        <f>IF($G1271="","",IF($H1271="مرجوعی خرید",-1,1)*($L1271-$M1271*IFERROR(VLOOKUP("P01",ParamTbl,3,0),1.5))*(1-IF($I1271="خرید",IFERROR(VLOOKUP("P02",ParamTbl,3,0),1),0)/100))</f>
        <v/>
      </c>
      <c r="O1271">
        <f>IF($G1271="",0,IF($H1271="مرجوعی خرید",-1,1)*IF(Sync!$AD1268="",0,Sync!$AD1268))</f>
        <v/>
      </c>
      <c r="P1271">
        <f>IF(OR($G1271="",Sync!$W1268=""),"",Sync!$W1268)</f>
        <v/>
      </c>
      <c r="Q1271">
        <f>IF(OR($G1271="",Sync!$AE1268=""),"",Sync!$AE1268)</f>
        <v/>
      </c>
      <c r="R1271">
        <f>IF($G1271="","",IF(Sync!$V1268="","0000",IF(AND(ISNUMBER(Sync!$V1268),Sync!$V1268&gt;=0,Sync!$V1268&lt;1),RIGHT("00"&amp;HOUR(Sync!$V1268),2)&amp;RIGHT("00"&amp;MINUTE(Sync!$V1268),2),IFERROR(RIGHT("00"&amp;VALUE(LEFT(Sync!$V1268,FIND(":",Sync!$V1268)-1)),2)&amp;RIGHT("00"&amp;VALUE(MID(Sync!$V1268,FIND(":",Sync!$V1268)+1,2)),2),"0000"))))</f>
        <v/>
      </c>
    </row>
    <row r="1272">
      <c r="A1272">
        <f>IF(Sync!$U1269="","",Sync!$U1269)</f>
        <v/>
      </c>
      <c r="B1272">
        <f>IF($A1272="","",IF(ISNUMBER($A1272),IF(AND($A1272&gt;=10000101,$A1272&lt;=99991231),INT($A1272/10000),""),IFERROR(VALUE(TRIM(LEFT($A1272,FIND("/",$A1272)-1))),"")))</f>
        <v/>
      </c>
      <c r="C1272">
        <f>IF(OR($A1272="",$B1272=""),"",IF(ISNUMBER($A1272),INT(MOD($A1272,10000)/100),IFERROR(VALUE(TRIM(LEFT(MID($A1272,FIND("/",$A1272)+1,20),FIND("/",MID($A1272,FIND("/",$A1272)+1,20))-1))),"")))</f>
        <v/>
      </c>
      <c r="D1272">
        <f>IF(OR($A1272="",$B1272=""),"",IF(ISNUMBER($A1272),MOD($A1272,100),IFERROR(VALUE(TRIM(MID(MID($A1272,FIND("/",$A1272)+1,20),FIND("/",MID($A1272,FIND("/",$A1272)+1,20))+1,20))),"")))</f>
        <v/>
      </c>
      <c r="E1272">
        <f>IF($A1272="","",IF(OR($B1272="",$C1272="",$D1272="",$B1272&lt;1300,$B1272&gt;1500,$C1272&lt;1,$C1272&gt;12,$D1272&lt;1,$D1272&gt;31),"نامعتبر",RIGHT("0000"&amp;$B1272,4)&amp;"/"&amp;RIGHT("00"&amp;$C1272,2)&amp;"/"&amp;RIGHT("00"&amp;$D1272,2)))</f>
        <v/>
      </c>
      <c r="F1272">
        <f>IF(OR($E1272="",$E1272="نامعتبر"),"",LEFT($E1272,4)&amp;"/"&amp;MID($E1272,6,2))</f>
        <v/>
      </c>
      <c r="G1272">
        <f>IF(OR($E1272="",$E1272="نامعتبر",Sync!$Y1269=""),"",Sync!$Y1269)</f>
        <v/>
      </c>
      <c r="H1272">
        <f>IF($G1272="","",IF(Sync!$X1269="","",Sync!$X1269))</f>
        <v/>
      </c>
      <c r="I1272">
        <f>IF($G1272="","",IFERROR(VLOOKUP(Sync!$X1269,OpTbl,3,0),""))</f>
        <v/>
      </c>
      <c r="J1272">
        <f>IF(OR($G1272="",Sync!$Z1269=""),"",Sync!$Z1269)</f>
        <v/>
      </c>
      <c r="K1272">
        <f>IF(OR($G1272="",Sync!$AA1269=""),"",Sync!$AA1269)</f>
        <v/>
      </c>
      <c r="L1272">
        <f>IF($G1272="",0,IF(Sync!$AB1269="",0,Sync!$AB1269))</f>
        <v/>
      </c>
      <c r="M1272">
        <f>IF($G1272="",0,IF(Sync!$AC1269="",0,Sync!$AC1269))</f>
        <v/>
      </c>
      <c r="N1272">
        <f>IF($G1272="","",IF($H1272="مرجوعی خرید",-1,1)*($L1272-$M1272*IFERROR(VLOOKUP("P01",ParamTbl,3,0),1.5))*(1-IF($I1272="خرید",IFERROR(VLOOKUP("P02",ParamTbl,3,0),1),0)/100))</f>
        <v/>
      </c>
      <c r="O1272">
        <f>IF($G1272="",0,IF($H1272="مرجوعی خرید",-1,1)*IF(Sync!$AD1269="",0,Sync!$AD1269))</f>
        <v/>
      </c>
      <c r="P1272">
        <f>IF(OR($G1272="",Sync!$W1269=""),"",Sync!$W1269)</f>
        <v/>
      </c>
      <c r="Q1272">
        <f>IF(OR($G1272="",Sync!$AE1269=""),"",Sync!$AE1269)</f>
        <v/>
      </c>
      <c r="R1272">
        <f>IF($G1272="","",IF(Sync!$V1269="","0000",IF(AND(ISNUMBER(Sync!$V1269),Sync!$V1269&gt;=0,Sync!$V1269&lt;1),RIGHT("00"&amp;HOUR(Sync!$V1269),2)&amp;RIGHT("00"&amp;MINUTE(Sync!$V1269),2),IFERROR(RIGHT("00"&amp;VALUE(LEFT(Sync!$V1269,FIND(":",Sync!$V1269)-1)),2)&amp;RIGHT("00"&amp;VALUE(MID(Sync!$V1269,FIND(":",Sync!$V1269)+1,2)),2),"0000"))))</f>
        <v/>
      </c>
    </row>
    <row r="1273">
      <c r="A1273">
        <f>IF(Sync!$U1270="","",Sync!$U1270)</f>
        <v/>
      </c>
      <c r="B1273">
        <f>IF($A1273="","",IF(ISNUMBER($A1273),IF(AND($A1273&gt;=10000101,$A1273&lt;=99991231),INT($A1273/10000),""),IFERROR(VALUE(TRIM(LEFT($A1273,FIND("/",$A1273)-1))),"")))</f>
        <v/>
      </c>
      <c r="C1273">
        <f>IF(OR($A1273="",$B1273=""),"",IF(ISNUMBER($A1273),INT(MOD($A1273,10000)/100),IFERROR(VALUE(TRIM(LEFT(MID($A1273,FIND("/",$A1273)+1,20),FIND("/",MID($A1273,FIND("/",$A1273)+1,20))-1))),"")))</f>
        <v/>
      </c>
      <c r="D1273">
        <f>IF(OR($A1273="",$B1273=""),"",IF(ISNUMBER($A1273),MOD($A1273,100),IFERROR(VALUE(TRIM(MID(MID($A1273,FIND("/",$A1273)+1,20),FIND("/",MID($A1273,FIND("/",$A1273)+1,20))+1,20))),"")))</f>
        <v/>
      </c>
      <c r="E1273">
        <f>IF($A1273="","",IF(OR($B1273="",$C1273="",$D1273="",$B1273&lt;1300,$B1273&gt;1500,$C1273&lt;1,$C1273&gt;12,$D1273&lt;1,$D1273&gt;31),"نامعتبر",RIGHT("0000"&amp;$B1273,4)&amp;"/"&amp;RIGHT("00"&amp;$C1273,2)&amp;"/"&amp;RIGHT("00"&amp;$D1273,2)))</f>
        <v/>
      </c>
      <c r="F1273">
        <f>IF(OR($E1273="",$E1273="نامعتبر"),"",LEFT($E1273,4)&amp;"/"&amp;MID($E1273,6,2))</f>
        <v/>
      </c>
      <c r="G1273">
        <f>IF(OR($E1273="",$E1273="نامعتبر",Sync!$Y1270=""),"",Sync!$Y1270)</f>
        <v/>
      </c>
      <c r="H1273">
        <f>IF($G1273="","",IF(Sync!$X1270="","",Sync!$X1270))</f>
        <v/>
      </c>
      <c r="I1273">
        <f>IF($G1273="","",IFERROR(VLOOKUP(Sync!$X1270,OpTbl,3,0),""))</f>
        <v/>
      </c>
      <c r="J1273">
        <f>IF(OR($G1273="",Sync!$Z1270=""),"",Sync!$Z1270)</f>
        <v/>
      </c>
      <c r="K1273">
        <f>IF(OR($G1273="",Sync!$AA1270=""),"",Sync!$AA1270)</f>
        <v/>
      </c>
      <c r="L1273">
        <f>IF($G1273="",0,IF(Sync!$AB1270="",0,Sync!$AB1270))</f>
        <v/>
      </c>
      <c r="M1273">
        <f>IF($G1273="",0,IF(Sync!$AC1270="",0,Sync!$AC1270))</f>
        <v/>
      </c>
      <c r="N1273">
        <f>IF($G1273="","",IF($H1273="مرجوعی خرید",-1,1)*($L1273-$M1273*IFERROR(VLOOKUP("P01",ParamTbl,3,0),1.5))*(1-IF($I1273="خرید",IFERROR(VLOOKUP("P02",ParamTbl,3,0),1),0)/100))</f>
        <v/>
      </c>
      <c r="O1273">
        <f>IF($G1273="",0,IF($H1273="مرجوعی خرید",-1,1)*IF(Sync!$AD1270="",0,Sync!$AD1270))</f>
        <v/>
      </c>
      <c r="P1273">
        <f>IF(OR($G1273="",Sync!$W1270=""),"",Sync!$W1270)</f>
        <v/>
      </c>
      <c r="Q1273">
        <f>IF(OR($G1273="",Sync!$AE1270=""),"",Sync!$AE1270)</f>
        <v/>
      </c>
      <c r="R1273">
        <f>IF($G1273="","",IF(Sync!$V1270="","0000",IF(AND(ISNUMBER(Sync!$V1270),Sync!$V1270&gt;=0,Sync!$V1270&lt;1),RIGHT("00"&amp;HOUR(Sync!$V1270),2)&amp;RIGHT("00"&amp;MINUTE(Sync!$V1270),2),IFERROR(RIGHT("00"&amp;VALUE(LEFT(Sync!$V1270,FIND(":",Sync!$V1270)-1)),2)&amp;RIGHT("00"&amp;VALUE(MID(Sync!$V1270,FIND(":",Sync!$V1270)+1,2)),2),"0000"))))</f>
        <v/>
      </c>
    </row>
    <row r="1274">
      <c r="A1274">
        <f>IF(Sync!$U1271="","",Sync!$U1271)</f>
        <v/>
      </c>
      <c r="B1274">
        <f>IF($A1274="","",IF(ISNUMBER($A1274),IF(AND($A1274&gt;=10000101,$A1274&lt;=99991231),INT($A1274/10000),""),IFERROR(VALUE(TRIM(LEFT($A1274,FIND("/",$A1274)-1))),"")))</f>
        <v/>
      </c>
      <c r="C1274">
        <f>IF(OR($A1274="",$B1274=""),"",IF(ISNUMBER($A1274),INT(MOD($A1274,10000)/100),IFERROR(VALUE(TRIM(LEFT(MID($A1274,FIND("/",$A1274)+1,20),FIND("/",MID($A1274,FIND("/",$A1274)+1,20))-1))),"")))</f>
        <v/>
      </c>
      <c r="D1274">
        <f>IF(OR($A1274="",$B1274=""),"",IF(ISNUMBER($A1274),MOD($A1274,100),IFERROR(VALUE(TRIM(MID(MID($A1274,FIND("/",$A1274)+1,20),FIND("/",MID($A1274,FIND("/",$A1274)+1,20))+1,20))),"")))</f>
        <v/>
      </c>
      <c r="E1274">
        <f>IF($A1274="","",IF(OR($B1274="",$C1274="",$D1274="",$B1274&lt;1300,$B1274&gt;1500,$C1274&lt;1,$C1274&gt;12,$D1274&lt;1,$D1274&gt;31),"نامعتبر",RIGHT("0000"&amp;$B1274,4)&amp;"/"&amp;RIGHT("00"&amp;$C1274,2)&amp;"/"&amp;RIGHT("00"&amp;$D1274,2)))</f>
        <v/>
      </c>
      <c r="F1274">
        <f>IF(OR($E1274="",$E1274="نامعتبر"),"",LEFT($E1274,4)&amp;"/"&amp;MID($E1274,6,2))</f>
        <v/>
      </c>
      <c r="G1274">
        <f>IF(OR($E1274="",$E1274="نامعتبر",Sync!$Y1271=""),"",Sync!$Y1271)</f>
        <v/>
      </c>
      <c r="H1274">
        <f>IF($G1274="","",IF(Sync!$X1271="","",Sync!$X1271))</f>
        <v/>
      </c>
      <c r="I1274">
        <f>IF($G1274="","",IFERROR(VLOOKUP(Sync!$X1271,OpTbl,3,0),""))</f>
        <v/>
      </c>
      <c r="J1274">
        <f>IF(OR($G1274="",Sync!$Z1271=""),"",Sync!$Z1271)</f>
        <v/>
      </c>
      <c r="K1274">
        <f>IF(OR($G1274="",Sync!$AA1271=""),"",Sync!$AA1271)</f>
        <v/>
      </c>
      <c r="L1274">
        <f>IF($G1274="",0,IF(Sync!$AB1271="",0,Sync!$AB1271))</f>
        <v/>
      </c>
      <c r="M1274">
        <f>IF($G1274="",0,IF(Sync!$AC1271="",0,Sync!$AC1271))</f>
        <v/>
      </c>
      <c r="N1274">
        <f>IF($G1274="","",IF($H1274="مرجوعی خرید",-1,1)*($L1274-$M1274*IFERROR(VLOOKUP("P01",ParamTbl,3,0),1.5))*(1-IF($I1274="خرید",IFERROR(VLOOKUP("P02",ParamTbl,3,0),1),0)/100))</f>
        <v/>
      </c>
      <c r="O1274">
        <f>IF($G1274="",0,IF($H1274="مرجوعی خرید",-1,1)*IF(Sync!$AD1271="",0,Sync!$AD1271))</f>
        <v/>
      </c>
      <c r="P1274">
        <f>IF(OR($G1274="",Sync!$W1271=""),"",Sync!$W1271)</f>
        <v/>
      </c>
      <c r="Q1274">
        <f>IF(OR($G1274="",Sync!$AE1271=""),"",Sync!$AE1271)</f>
        <v/>
      </c>
      <c r="R1274">
        <f>IF($G1274="","",IF(Sync!$V1271="","0000",IF(AND(ISNUMBER(Sync!$V1271),Sync!$V1271&gt;=0,Sync!$V1271&lt;1),RIGHT("00"&amp;HOUR(Sync!$V1271),2)&amp;RIGHT("00"&amp;MINUTE(Sync!$V1271),2),IFERROR(RIGHT("00"&amp;VALUE(LEFT(Sync!$V1271,FIND(":",Sync!$V1271)-1)),2)&amp;RIGHT("00"&amp;VALUE(MID(Sync!$V1271,FIND(":",Sync!$V1271)+1,2)),2),"0000"))))</f>
        <v/>
      </c>
    </row>
    <row r="1275">
      <c r="A1275">
        <f>IF(Sync!$U1272="","",Sync!$U1272)</f>
        <v/>
      </c>
      <c r="B1275">
        <f>IF($A1275="","",IF(ISNUMBER($A1275),IF(AND($A1275&gt;=10000101,$A1275&lt;=99991231),INT($A1275/10000),""),IFERROR(VALUE(TRIM(LEFT($A1275,FIND("/",$A1275)-1))),"")))</f>
        <v/>
      </c>
      <c r="C1275">
        <f>IF(OR($A1275="",$B1275=""),"",IF(ISNUMBER($A1275),INT(MOD($A1275,10000)/100),IFERROR(VALUE(TRIM(LEFT(MID($A1275,FIND("/",$A1275)+1,20),FIND("/",MID($A1275,FIND("/",$A1275)+1,20))-1))),"")))</f>
        <v/>
      </c>
      <c r="D1275">
        <f>IF(OR($A1275="",$B1275=""),"",IF(ISNUMBER($A1275),MOD($A1275,100),IFERROR(VALUE(TRIM(MID(MID($A1275,FIND("/",$A1275)+1,20),FIND("/",MID($A1275,FIND("/",$A1275)+1,20))+1,20))),"")))</f>
        <v/>
      </c>
      <c r="E1275">
        <f>IF($A1275="","",IF(OR($B1275="",$C1275="",$D1275="",$B1275&lt;1300,$B1275&gt;1500,$C1275&lt;1,$C1275&gt;12,$D1275&lt;1,$D1275&gt;31),"نامعتبر",RIGHT("0000"&amp;$B1275,4)&amp;"/"&amp;RIGHT("00"&amp;$C1275,2)&amp;"/"&amp;RIGHT("00"&amp;$D1275,2)))</f>
        <v/>
      </c>
      <c r="F1275">
        <f>IF(OR($E1275="",$E1275="نامعتبر"),"",LEFT($E1275,4)&amp;"/"&amp;MID($E1275,6,2))</f>
        <v/>
      </c>
      <c r="G1275">
        <f>IF(OR($E1275="",$E1275="نامعتبر",Sync!$Y1272=""),"",Sync!$Y1272)</f>
        <v/>
      </c>
      <c r="H1275">
        <f>IF($G1275="","",IF(Sync!$X1272="","",Sync!$X1272))</f>
        <v/>
      </c>
      <c r="I1275">
        <f>IF($G1275="","",IFERROR(VLOOKUP(Sync!$X1272,OpTbl,3,0),""))</f>
        <v/>
      </c>
      <c r="J1275">
        <f>IF(OR($G1275="",Sync!$Z1272=""),"",Sync!$Z1272)</f>
        <v/>
      </c>
      <c r="K1275">
        <f>IF(OR($G1275="",Sync!$AA1272=""),"",Sync!$AA1272)</f>
        <v/>
      </c>
      <c r="L1275">
        <f>IF($G1275="",0,IF(Sync!$AB1272="",0,Sync!$AB1272))</f>
        <v/>
      </c>
      <c r="M1275">
        <f>IF($G1275="",0,IF(Sync!$AC1272="",0,Sync!$AC1272))</f>
        <v/>
      </c>
      <c r="N1275">
        <f>IF($G1275="","",IF($H1275="مرجوعی خرید",-1,1)*($L1275-$M1275*IFERROR(VLOOKUP("P01",ParamTbl,3,0),1.5))*(1-IF($I1275="خرید",IFERROR(VLOOKUP("P02",ParamTbl,3,0),1),0)/100))</f>
        <v/>
      </c>
      <c r="O1275">
        <f>IF($G1275="",0,IF($H1275="مرجوعی خرید",-1,1)*IF(Sync!$AD1272="",0,Sync!$AD1272))</f>
        <v/>
      </c>
      <c r="P1275">
        <f>IF(OR($G1275="",Sync!$W1272=""),"",Sync!$W1272)</f>
        <v/>
      </c>
      <c r="Q1275">
        <f>IF(OR($G1275="",Sync!$AE1272=""),"",Sync!$AE1272)</f>
        <v/>
      </c>
      <c r="R1275">
        <f>IF($G1275="","",IF(Sync!$V1272="","0000",IF(AND(ISNUMBER(Sync!$V1272),Sync!$V1272&gt;=0,Sync!$V1272&lt;1),RIGHT("00"&amp;HOUR(Sync!$V1272),2)&amp;RIGHT("00"&amp;MINUTE(Sync!$V1272),2),IFERROR(RIGHT("00"&amp;VALUE(LEFT(Sync!$V1272,FIND(":",Sync!$V1272)-1)),2)&amp;RIGHT("00"&amp;VALUE(MID(Sync!$V1272,FIND(":",Sync!$V1272)+1,2)),2),"0000"))))</f>
        <v/>
      </c>
    </row>
    <row r="1276">
      <c r="A1276">
        <f>IF(Sync!$U1273="","",Sync!$U1273)</f>
        <v/>
      </c>
      <c r="B1276">
        <f>IF($A1276="","",IF(ISNUMBER($A1276),IF(AND($A1276&gt;=10000101,$A1276&lt;=99991231),INT($A1276/10000),""),IFERROR(VALUE(TRIM(LEFT($A1276,FIND("/",$A1276)-1))),"")))</f>
        <v/>
      </c>
      <c r="C1276">
        <f>IF(OR($A1276="",$B1276=""),"",IF(ISNUMBER($A1276),INT(MOD($A1276,10000)/100),IFERROR(VALUE(TRIM(LEFT(MID($A1276,FIND("/",$A1276)+1,20),FIND("/",MID($A1276,FIND("/",$A1276)+1,20))-1))),"")))</f>
        <v/>
      </c>
      <c r="D1276">
        <f>IF(OR($A1276="",$B1276=""),"",IF(ISNUMBER($A1276),MOD($A1276,100),IFERROR(VALUE(TRIM(MID(MID($A1276,FIND("/",$A1276)+1,20),FIND("/",MID($A1276,FIND("/",$A1276)+1,20))+1,20))),"")))</f>
        <v/>
      </c>
      <c r="E1276">
        <f>IF($A1276="","",IF(OR($B1276="",$C1276="",$D1276="",$B1276&lt;1300,$B1276&gt;1500,$C1276&lt;1,$C1276&gt;12,$D1276&lt;1,$D1276&gt;31),"نامعتبر",RIGHT("0000"&amp;$B1276,4)&amp;"/"&amp;RIGHT("00"&amp;$C1276,2)&amp;"/"&amp;RIGHT("00"&amp;$D1276,2)))</f>
        <v/>
      </c>
      <c r="F1276">
        <f>IF(OR($E1276="",$E1276="نامعتبر"),"",LEFT($E1276,4)&amp;"/"&amp;MID($E1276,6,2))</f>
        <v/>
      </c>
      <c r="G1276">
        <f>IF(OR($E1276="",$E1276="نامعتبر",Sync!$Y1273=""),"",Sync!$Y1273)</f>
        <v/>
      </c>
      <c r="H1276">
        <f>IF($G1276="","",IF(Sync!$X1273="","",Sync!$X1273))</f>
        <v/>
      </c>
      <c r="I1276">
        <f>IF($G1276="","",IFERROR(VLOOKUP(Sync!$X1273,OpTbl,3,0),""))</f>
        <v/>
      </c>
      <c r="J1276">
        <f>IF(OR($G1276="",Sync!$Z1273=""),"",Sync!$Z1273)</f>
        <v/>
      </c>
      <c r="K1276">
        <f>IF(OR($G1276="",Sync!$AA1273=""),"",Sync!$AA1273)</f>
        <v/>
      </c>
      <c r="L1276">
        <f>IF($G1276="",0,IF(Sync!$AB1273="",0,Sync!$AB1273))</f>
        <v/>
      </c>
      <c r="M1276">
        <f>IF($G1276="",0,IF(Sync!$AC1273="",0,Sync!$AC1273))</f>
        <v/>
      </c>
      <c r="N1276">
        <f>IF($G1276="","",IF($H1276="مرجوعی خرید",-1,1)*($L1276-$M1276*IFERROR(VLOOKUP("P01",ParamTbl,3,0),1.5))*(1-IF($I1276="خرید",IFERROR(VLOOKUP("P02",ParamTbl,3,0),1),0)/100))</f>
        <v/>
      </c>
      <c r="O1276">
        <f>IF($G1276="",0,IF($H1276="مرجوعی خرید",-1,1)*IF(Sync!$AD1273="",0,Sync!$AD1273))</f>
        <v/>
      </c>
      <c r="P1276">
        <f>IF(OR($G1276="",Sync!$W1273=""),"",Sync!$W1273)</f>
        <v/>
      </c>
      <c r="Q1276">
        <f>IF(OR($G1276="",Sync!$AE1273=""),"",Sync!$AE1273)</f>
        <v/>
      </c>
      <c r="R1276">
        <f>IF($G1276="","",IF(Sync!$V1273="","0000",IF(AND(ISNUMBER(Sync!$V1273),Sync!$V1273&gt;=0,Sync!$V1273&lt;1),RIGHT("00"&amp;HOUR(Sync!$V1273),2)&amp;RIGHT("00"&amp;MINUTE(Sync!$V1273),2),IFERROR(RIGHT("00"&amp;VALUE(LEFT(Sync!$V1273,FIND(":",Sync!$V1273)-1)),2)&amp;RIGHT("00"&amp;VALUE(MID(Sync!$V1273,FIND(":",Sync!$V1273)+1,2)),2),"0000"))))</f>
        <v/>
      </c>
    </row>
    <row r="1277">
      <c r="A1277">
        <f>IF(Sync!$U1274="","",Sync!$U1274)</f>
        <v/>
      </c>
      <c r="B1277">
        <f>IF($A1277="","",IF(ISNUMBER($A1277),IF(AND($A1277&gt;=10000101,$A1277&lt;=99991231),INT($A1277/10000),""),IFERROR(VALUE(TRIM(LEFT($A1277,FIND("/",$A1277)-1))),"")))</f>
        <v/>
      </c>
      <c r="C1277">
        <f>IF(OR($A1277="",$B1277=""),"",IF(ISNUMBER($A1277),INT(MOD($A1277,10000)/100),IFERROR(VALUE(TRIM(LEFT(MID($A1277,FIND("/",$A1277)+1,20),FIND("/",MID($A1277,FIND("/",$A1277)+1,20))-1))),"")))</f>
        <v/>
      </c>
      <c r="D1277">
        <f>IF(OR($A1277="",$B1277=""),"",IF(ISNUMBER($A1277),MOD($A1277,100),IFERROR(VALUE(TRIM(MID(MID($A1277,FIND("/",$A1277)+1,20),FIND("/",MID($A1277,FIND("/",$A1277)+1,20))+1,20))),"")))</f>
        <v/>
      </c>
      <c r="E1277">
        <f>IF($A1277="","",IF(OR($B1277="",$C1277="",$D1277="",$B1277&lt;1300,$B1277&gt;1500,$C1277&lt;1,$C1277&gt;12,$D1277&lt;1,$D1277&gt;31),"نامعتبر",RIGHT("0000"&amp;$B1277,4)&amp;"/"&amp;RIGHT("00"&amp;$C1277,2)&amp;"/"&amp;RIGHT("00"&amp;$D1277,2)))</f>
        <v/>
      </c>
      <c r="F1277">
        <f>IF(OR($E1277="",$E1277="نامعتبر"),"",LEFT($E1277,4)&amp;"/"&amp;MID($E1277,6,2))</f>
        <v/>
      </c>
      <c r="G1277">
        <f>IF(OR($E1277="",$E1277="نامعتبر",Sync!$Y1274=""),"",Sync!$Y1274)</f>
        <v/>
      </c>
      <c r="H1277">
        <f>IF($G1277="","",IF(Sync!$X1274="","",Sync!$X1274))</f>
        <v/>
      </c>
      <c r="I1277">
        <f>IF($G1277="","",IFERROR(VLOOKUP(Sync!$X1274,OpTbl,3,0),""))</f>
        <v/>
      </c>
      <c r="J1277">
        <f>IF(OR($G1277="",Sync!$Z1274=""),"",Sync!$Z1274)</f>
        <v/>
      </c>
      <c r="K1277">
        <f>IF(OR($G1277="",Sync!$AA1274=""),"",Sync!$AA1274)</f>
        <v/>
      </c>
      <c r="L1277">
        <f>IF($G1277="",0,IF(Sync!$AB1274="",0,Sync!$AB1274))</f>
        <v/>
      </c>
      <c r="M1277">
        <f>IF($G1277="",0,IF(Sync!$AC1274="",0,Sync!$AC1274))</f>
        <v/>
      </c>
      <c r="N1277">
        <f>IF($G1277="","",IF($H1277="مرجوعی خرید",-1,1)*($L1277-$M1277*IFERROR(VLOOKUP("P01",ParamTbl,3,0),1.5))*(1-IF($I1277="خرید",IFERROR(VLOOKUP("P02",ParamTbl,3,0),1),0)/100))</f>
        <v/>
      </c>
      <c r="O1277">
        <f>IF($G1277="",0,IF($H1277="مرجوعی خرید",-1,1)*IF(Sync!$AD1274="",0,Sync!$AD1274))</f>
        <v/>
      </c>
      <c r="P1277">
        <f>IF(OR($G1277="",Sync!$W1274=""),"",Sync!$W1274)</f>
        <v/>
      </c>
      <c r="Q1277">
        <f>IF(OR($G1277="",Sync!$AE1274=""),"",Sync!$AE1274)</f>
        <v/>
      </c>
      <c r="R1277">
        <f>IF($G1277="","",IF(Sync!$V1274="","0000",IF(AND(ISNUMBER(Sync!$V1274),Sync!$V1274&gt;=0,Sync!$V1274&lt;1),RIGHT("00"&amp;HOUR(Sync!$V1274),2)&amp;RIGHT("00"&amp;MINUTE(Sync!$V1274),2),IFERROR(RIGHT("00"&amp;VALUE(LEFT(Sync!$V1274,FIND(":",Sync!$V1274)-1)),2)&amp;RIGHT("00"&amp;VALUE(MID(Sync!$V1274,FIND(":",Sync!$V1274)+1,2)),2),"0000"))))</f>
        <v/>
      </c>
    </row>
    <row r="1278">
      <c r="A1278">
        <f>IF(Sync!$U1275="","",Sync!$U1275)</f>
        <v/>
      </c>
      <c r="B1278">
        <f>IF($A1278="","",IF(ISNUMBER($A1278),IF(AND($A1278&gt;=10000101,$A1278&lt;=99991231),INT($A1278/10000),""),IFERROR(VALUE(TRIM(LEFT($A1278,FIND("/",$A1278)-1))),"")))</f>
        <v/>
      </c>
      <c r="C1278">
        <f>IF(OR($A1278="",$B1278=""),"",IF(ISNUMBER($A1278),INT(MOD($A1278,10000)/100),IFERROR(VALUE(TRIM(LEFT(MID($A1278,FIND("/",$A1278)+1,20),FIND("/",MID($A1278,FIND("/",$A1278)+1,20))-1))),"")))</f>
        <v/>
      </c>
      <c r="D1278">
        <f>IF(OR($A1278="",$B1278=""),"",IF(ISNUMBER($A1278),MOD($A1278,100),IFERROR(VALUE(TRIM(MID(MID($A1278,FIND("/",$A1278)+1,20),FIND("/",MID($A1278,FIND("/",$A1278)+1,20))+1,20))),"")))</f>
        <v/>
      </c>
      <c r="E1278">
        <f>IF($A1278="","",IF(OR($B1278="",$C1278="",$D1278="",$B1278&lt;1300,$B1278&gt;1500,$C1278&lt;1,$C1278&gt;12,$D1278&lt;1,$D1278&gt;31),"نامعتبر",RIGHT("0000"&amp;$B1278,4)&amp;"/"&amp;RIGHT("00"&amp;$C1278,2)&amp;"/"&amp;RIGHT("00"&amp;$D1278,2)))</f>
        <v/>
      </c>
      <c r="F1278">
        <f>IF(OR($E1278="",$E1278="نامعتبر"),"",LEFT($E1278,4)&amp;"/"&amp;MID($E1278,6,2))</f>
        <v/>
      </c>
      <c r="G1278">
        <f>IF(OR($E1278="",$E1278="نامعتبر",Sync!$Y1275=""),"",Sync!$Y1275)</f>
        <v/>
      </c>
      <c r="H1278">
        <f>IF($G1278="","",IF(Sync!$X1275="","",Sync!$X1275))</f>
        <v/>
      </c>
      <c r="I1278">
        <f>IF($G1278="","",IFERROR(VLOOKUP(Sync!$X1275,OpTbl,3,0),""))</f>
        <v/>
      </c>
      <c r="J1278">
        <f>IF(OR($G1278="",Sync!$Z1275=""),"",Sync!$Z1275)</f>
        <v/>
      </c>
      <c r="K1278">
        <f>IF(OR($G1278="",Sync!$AA1275=""),"",Sync!$AA1275)</f>
        <v/>
      </c>
      <c r="L1278">
        <f>IF($G1278="",0,IF(Sync!$AB1275="",0,Sync!$AB1275))</f>
        <v/>
      </c>
      <c r="M1278">
        <f>IF($G1278="",0,IF(Sync!$AC1275="",0,Sync!$AC1275))</f>
        <v/>
      </c>
      <c r="N1278">
        <f>IF($G1278="","",IF($H1278="مرجوعی خرید",-1,1)*($L1278-$M1278*IFERROR(VLOOKUP("P01",ParamTbl,3,0),1.5))*(1-IF($I1278="خرید",IFERROR(VLOOKUP("P02",ParamTbl,3,0),1),0)/100))</f>
        <v/>
      </c>
      <c r="O1278">
        <f>IF($G1278="",0,IF($H1278="مرجوعی خرید",-1,1)*IF(Sync!$AD1275="",0,Sync!$AD1275))</f>
        <v/>
      </c>
      <c r="P1278">
        <f>IF(OR($G1278="",Sync!$W1275=""),"",Sync!$W1275)</f>
        <v/>
      </c>
      <c r="Q1278">
        <f>IF(OR($G1278="",Sync!$AE1275=""),"",Sync!$AE1275)</f>
        <v/>
      </c>
      <c r="R1278">
        <f>IF($G1278="","",IF(Sync!$V1275="","0000",IF(AND(ISNUMBER(Sync!$V1275),Sync!$V1275&gt;=0,Sync!$V1275&lt;1),RIGHT("00"&amp;HOUR(Sync!$V1275),2)&amp;RIGHT("00"&amp;MINUTE(Sync!$V1275),2),IFERROR(RIGHT("00"&amp;VALUE(LEFT(Sync!$V1275,FIND(":",Sync!$V1275)-1)),2)&amp;RIGHT("00"&amp;VALUE(MID(Sync!$V1275,FIND(":",Sync!$V1275)+1,2)),2),"0000"))))</f>
        <v/>
      </c>
    </row>
    <row r="1279">
      <c r="A1279">
        <f>IF(Sync!$U1276="","",Sync!$U1276)</f>
        <v/>
      </c>
      <c r="B1279">
        <f>IF($A1279="","",IF(ISNUMBER($A1279),IF(AND($A1279&gt;=10000101,$A1279&lt;=99991231),INT($A1279/10000),""),IFERROR(VALUE(TRIM(LEFT($A1279,FIND("/",$A1279)-1))),"")))</f>
        <v/>
      </c>
      <c r="C1279">
        <f>IF(OR($A1279="",$B1279=""),"",IF(ISNUMBER($A1279),INT(MOD($A1279,10000)/100),IFERROR(VALUE(TRIM(LEFT(MID($A1279,FIND("/",$A1279)+1,20),FIND("/",MID($A1279,FIND("/",$A1279)+1,20))-1))),"")))</f>
        <v/>
      </c>
      <c r="D1279">
        <f>IF(OR($A1279="",$B1279=""),"",IF(ISNUMBER($A1279),MOD($A1279,100),IFERROR(VALUE(TRIM(MID(MID($A1279,FIND("/",$A1279)+1,20),FIND("/",MID($A1279,FIND("/",$A1279)+1,20))+1,20))),"")))</f>
        <v/>
      </c>
      <c r="E1279">
        <f>IF($A1279="","",IF(OR($B1279="",$C1279="",$D1279="",$B1279&lt;1300,$B1279&gt;1500,$C1279&lt;1,$C1279&gt;12,$D1279&lt;1,$D1279&gt;31),"نامعتبر",RIGHT("0000"&amp;$B1279,4)&amp;"/"&amp;RIGHT("00"&amp;$C1279,2)&amp;"/"&amp;RIGHT("00"&amp;$D1279,2)))</f>
        <v/>
      </c>
      <c r="F1279">
        <f>IF(OR($E1279="",$E1279="نامعتبر"),"",LEFT($E1279,4)&amp;"/"&amp;MID($E1279,6,2))</f>
        <v/>
      </c>
      <c r="G1279">
        <f>IF(OR($E1279="",$E1279="نامعتبر",Sync!$Y1276=""),"",Sync!$Y1276)</f>
        <v/>
      </c>
      <c r="H1279">
        <f>IF($G1279="","",IF(Sync!$X1276="","",Sync!$X1276))</f>
        <v/>
      </c>
      <c r="I1279">
        <f>IF($G1279="","",IFERROR(VLOOKUP(Sync!$X1276,OpTbl,3,0),""))</f>
        <v/>
      </c>
      <c r="J1279">
        <f>IF(OR($G1279="",Sync!$Z1276=""),"",Sync!$Z1276)</f>
        <v/>
      </c>
      <c r="K1279">
        <f>IF(OR($G1279="",Sync!$AA1276=""),"",Sync!$AA1276)</f>
        <v/>
      </c>
      <c r="L1279">
        <f>IF($G1279="",0,IF(Sync!$AB1276="",0,Sync!$AB1276))</f>
        <v/>
      </c>
      <c r="M1279">
        <f>IF($G1279="",0,IF(Sync!$AC1276="",0,Sync!$AC1276))</f>
        <v/>
      </c>
      <c r="N1279">
        <f>IF($G1279="","",IF($H1279="مرجوعی خرید",-1,1)*($L1279-$M1279*IFERROR(VLOOKUP("P01",ParamTbl,3,0),1.5))*(1-IF($I1279="خرید",IFERROR(VLOOKUP("P02",ParamTbl,3,0),1),0)/100))</f>
        <v/>
      </c>
      <c r="O1279">
        <f>IF($G1279="",0,IF($H1279="مرجوعی خرید",-1,1)*IF(Sync!$AD1276="",0,Sync!$AD1276))</f>
        <v/>
      </c>
      <c r="P1279">
        <f>IF(OR($G1279="",Sync!$W1276=""),"",Sync!$W1276)</f>
        <v/>
      </c>
      <c r="Q1279">
        <f>IF(OR($G1279="",Sync!$AE1276=""),"",Sync!$AE1276)</f>
        <v/>
      </c>
      <c r="R1279">
        <f>IF($G1279="","",IF(Sync!$V1276="","0000",IF(AND(ISNUMBER(Sync!$V1276),Sync!$V1276&gt;=0,Sync!$V1276&lt;1),RIGHT("00"&amp;HOUR(Sync!$V1276),2)&amp;RIGHT("00"&amp;MINUTE(Sync!$V1276),2),IFERROR(RIGHT("00"&amp;VALUE(LEFT(Sync!$V1276,FIND(":",Sync!$V1276)-1)),2)&amp;RIGHT("00"&amp;VALUE(MID(Sync!$V1276,FIND(":",Sync!$V1276)+1,2)),2),"0000"))))</f>
        <v/>
      </c>
    </row>
    <row r="1280">
      <c r="A1280">
        <f>IF(Sync!$U1277="","",Sync!$U1277)</f>
        <v/>
      </c>
      <c r="B1280">
        <f>IF($A1280="","",IF(ISNUMBER($A1280),IF(AND($A1280&gt;=10000101,$A1280&lt;=99991231),INT($A1280/10000),""),IFERROR(VALUE(TRIM(LEFT($A1280,FIND("/",$A1280)-1))),"")))</f>
        <v/>
      </c>
      <c r="C1280">
        <f>IF(OR($A1280="",$B1280=""),"",IF(ISNUMBER($A1280),INT(MOD($A1280,10000)/100),IFERROR(VALUE(TRIM(LEFT(MID($A1280,FIND("/",$A1280)+1,20),FIND("/",MID($A1280,FIND("/",$A1280)+1,20))-1))),"")))</f>
        <v/>
      </c>
      <c r="D1280">
        <f>IF(OR($A1280="",$B1280=""),"",IF(ISNUMBER($A1280),MOD($A1280,100),IFERROR(VALUE(TRIM(MID(MID($A1280,FIND("/",$A1280)+1,20),FIND("/",MID($A1280,FIND("/",$A1280)+1,20))+1,20))),"")))</f>
        <v/>
      </c>
      <c r="E1280">
        <f>IF($A1280="","",IF(OR($B1280="",$C1280="",$D1280="",$B1280&lt;1300,$B1280&gt;1500,$C1280&lt;1,$C1280&gt;12,$D1280&lt;1,$D1280&gt;31),"نامعتبر",RIGHT("0000"&amp;$B1280,4)&amp;"/"&amp;RIGHT("00"&amp;$C1280,2)&amp;"/"&amp;RIGHT("00"&amp;$D1280,2)))</f>
        <v/>
      </c>
      <c r="F1280">
        <f>IF(OR($E1280="",$E1280="نامعتبر"),"",LEFT($E1280,4)&amp;"/"&amp;MID($E1280,6,2))</f>
        <v/>
      </c>
      <c r="G1280">
        <f>IF(OR($E1280="",$E1280="نامعتبر",Sync!$Y1277=""),"",Sync!$Y1277)</f>
        <v/>
      </c>
      <c r="H1280">
        <f>IF($G1280="","",IF(Sync!$X1277="","",Sync!$X1277))</f>
        <v/>
      </c>
      <c r="I1280">
        <f>IF($G1280="","",IFERROR(VLOOKUP(Sync!$X1277,OpTbl,3,0),""))</f>
        <v/>
      </c>
      <c r="J1280">
        <f>IF(OR($G1280="",Sync!$Z1277=""),"",Sync!$Z1277)</f>
        <v/>
      </c>
      <c r="K1280">
        <f>IF(OR($G1280="",Sync!$AA1277=""),"",Sync!$AA1277)</f>
        <v/>
      </c>
      <c r="L1280">
        <f>IF($G1280="",0,IF(Sync!$AB1277="",0,Sync!$AB1277))</f>
        <v/>
      </c>
      <c r="M1280">
        <f>IF($G1280="",0,IF(Sync!$AC1277="",0,Sync!$AC1277))</f>
        <v/>
      </c>
      <c r="N1280">
        <f>IF($G1280="","",IF($H1280="مرجوعی خرید",-1,1)*($L1280-$M1280*IFERROR(VLOOKUP("P01",ParamTbl,3,0),1.5))*(1-IF($I1280="خرید",IFERROR(VLOOKUP("P02",ParamTbl,3,0),1),0)/100))</f>
        <v/>
      </c>
      <c r="O1280">
        <f>IF($G1280="",0,IF($H1280="مرجوعی خرید",-1,1)*IF(Sync!$AD1277="",0,Sync!$AD1277))</f>
        <v/>
      </c>
      <c r="P1280">
        <f>IF(OR($G1280="",Sync!$W1277=""),"",Sync!$W1277)</f>
        <v/>
      </c>
      <c r="Q1280">
        <f>IF(OR($G1280="",Sync!$AE1277=""),"",Sync!$AE1277)</f>
        <v/>
      </c>
      <c r="R1280">
        <f>IF($G1280="","",IF(Sync!$V1277="","0000",IF(AND(ISNUMBER(Sync!$V1277),Sync!$V1277&gt;=0,Sync!$V1277&lt;1),RIGHT("00"&amp;HOUR(Sync!$V1277),2)&amp;RIGHT("00"&amp;MINUTE(Sync!$V1277),2),IFERROR(RIGHT("00"&amp;VALUE(LEFT(Sync!$V1277,FIND(":",Sync!$V1277)-1)),2)&amp;RIGHT("00"&amp;VALUE(MID(Sync!$V1277,FIND(":",Sync!$V1277)+1,2)),2),"0000"))))</f>
        <v/>
      </c>
    </row>
    <row r="1281">
      <c r="A1281">
        <f>IF(Sync!$U1278="","",Sync!$U1278)</f>
        <v/>
      </c>
      <c r="B1281">
        <f>IF($A1281="","",IF(ISNUMBER($A1281),IF(AND($A1281&gt;=10000101,$A1281&lt;=99991231),INT($A1281/10000),""),IFERROR(VALUE(TRIM(LEFT($A1281,FIND("/",$A1281)-1))),"")))</f>
        <v/>
      </c>
      <c r="C1281">
        <f>IF(OR($A1281="",$B1281=""),"",IF(ISNUMBER($A1281),INT(MOD($A1281,10000)/100),IFERROR(VALUE(TRIM(LEFT(MID($A1281,FIND("/",$A1281)+1,20),FIND("/",MID($A1281,FIND("/",$A1281)+1,20))-1))),"")))</f>
        <v/>
      </c>
      <c r="D1281">
        <f>IF(OR($A1281="",$B1281=""),"",IF(ISNUMBER($A1281),MOD($A1281,100),IFERROR(VALUE(TRIM(MID(MID($A1281,FIND("/",$A1281)+1,20),FIND("/",MID($A1281,FIND("/",$A1281)+1,20))+1,20))),"")))</f>
        <v/>
      </c>
      <c r="E1281">
        <f>IF($A1281="","",IF(OR($B1281="",$C1281="",$D1281="",$B1281&lt;1300,$B1281&gt;1500,$C1281&lt;1,$C1281&gt;12,$D1281&lt;1,$D1281&gt;31),"نامعتبر",RIGHT("0000"&amp;$B1281,4)&amp;"/"&amp;RIGHT("00"&amp;$C1281,2)&amp;"/"&amp;RIGHT("00"&amp;$D1281,2)))</f>
        <v/>
      </c>
      <c r="F1281">
        <f>IF(OR($E1281="",$E1281="نامعتبر"),"",LEFT($E1281,4)&amp;"/"&amp;MID($E1281,6,2))</f>
        <v/>
      </c>
      <c r="G1281">
        <f>IF(OR($E1281="",$E1281="نامعتبر",Sync!$Y1278=""),"",Sync!$Y1278)</f>
        <v/>
      </c>
      <c r="H1281">
        <f>IF($G1281="","",IF(Sync!$X1278="","",Sync!$X1278))</f>
        <v/>
      </c>
      <c r="I1281">
        <f>IF($G1281="","",IFERROR(VLOOKUP(Sync!$X1278,OpTbl,3,0),""))</f>
        <v/>
      </c>
      <c r="J1281">
        <f>IF(OR($G1281="",Sync!$Z1278=""),"",Sync!$Z1278)</f>
        <v/>
      </c>
      <c r="K1281">
        <f>IF(OR($G1281="",Sync!$AA1278=""),"",Sync!$AA1278)</f>
        <v/>
      </c>
      <c r="L1281">
        <f>IF($G1281="",0,IF(Sync!$AB1278="",0,Sync!$AB1278))</f>
        <v/>
      </c>
      <c r="M1281">
        <f>IF($G1281="",0,IF(Sync!$AC1278="",0,Sync!$AC1278))</f>
        <v/>
      </c>
      <c r="N1281">
        <f>IF($G1281="","",IF($H1281="مرجوعی خرید",-1,1)*($L1281-$M1281*IFERROR(VLOOKUP("P01",ParamTbl,3,0),1.5))*(1-IF($I1281="خرید",IFERROR(VLOOKUP("P02",ParamTbl,3,0),1),0)/100))</f>
        <v/>
      </c>
      <c r="O1281">
        <f>IF($G1281="",0,IF($H1281="مرجوعی خرید",-1,1)*IF(Sync!$AD1278="",0,Sync!$AD1278))</f>
        <v/>
      </c>
      <c r="P1281">
        <f>IF(OR($G1281="",Sync!$W1278=""),"",Sync!$W1278)</f>
        <v/>
      </c>
      <c r="Q1281">
        <f>IF(OR($G1281="",Sync!$AE1278=""),"",Sync!$AE1278)</f>
        <v/>
      </c>
      <c r="R1281">
        <f>IF($G1281="","",IF(Sync!$V1278="","0000",IF(AND(ISNUMBER(Sync!$V1278),Sync!$V1278&gt;=0,Sync!$V1278&lt;1),RIGHT("00"&amp;HOUR(Sync!$V1278),2)&amp;RIGHT("00"&amp;MINUTE(Sync!$V1278),2),IFERROR(RIGHT("00"&amp;VALUE(LEFT(Sync!$V1278,FIND(":",Sync!$V1278)-1)),2)&amp;RIGHT("00"&amp;VALUE(MID(Sync!$V1278,FIND(":",Sync!$V1278)+1,2)),2),"0000"))))</f>
        <v/>
      </c>
    </row>
    <row r="1282">
      <c r="A1282">
        <f>IF(Sync!$U1279="","",Sync!$U1279)</f>
        <v/>
      </c>
      <c r="B1282">
        <f>IF($A1282="","",IF(ISNUMBER($A1282),IF(AND($A1282&gt;=10000101,$A1282&lt;=99991231),INT($A1282/10000),""),IFERROR(VALUE(TRIM(LEFT($A1282,FIND("/",$A1282)-1))),"")))</f>
        <v/>
      </c>
      <c r="C1282">
        <f>IF(OR($A1282="",$B1282=""),"",IF(ISNUMBER($A1282),INT(MOD($A1282,10000)/100),IFERROR(VALUE(TRIM(LEFT(MID($A1282,FIND("/",$A1282)+1,20),FIND("/",MID($A1282,FIND("/",$A1282)+1,20))-1))),"")))</f>
        <v/>
      </c>
      <c r="D1282">
        <f>IF(OR($A1282="",$B1282=""),"",IF(ISNUMBER($A1282),MOD($A1282,100),IFERROR(VALUE(TRIM(MID(MID($A1282,FIND("/",$A1282)+1,20),FIND("/",MID($A1282,FIND("/",$A1282)+1,20))+1,20))),"")))</f>
        <v/>
      </c>
      <c r="E1282">
        <f>IF($A1282="","",IF(OR($B1282="",$C1282="",$D1282="",$B1282&lt;1300,$B1282&gt;1500,$C1282&lt;1,$C1282&gt;12,$D1282&lt;1,$D1282&gt;31),"نامعتبر",RIGHT("0000"&amp;$B1282,4)&amp;"/"&amp;RIGHT("00"&amp;$C1282,2)&amp;"/"&amp;RIGHT("00"&amp;$D1282,2)))</f>
        <v/>
      </c>
      <c r="F1282">
        <f>IF(OR($E1282="",$E1282="نامعتبر"),"",LEFT($E1282,4)&amp;"/"&amp;MID($E1282,6,2))</f>
        <v/>
      </c>
      <c r="G1282">
        <f>IF(OR($E1282="",$E1282="نامعتبر",Sync!$Y1279=""),"",Sync!$Y1279)</f>
        <v/>
      </c>
      <c r="H1282">
        <f>IF($G1282="","",IF(Sync!$X1279="","",Sync!$X1279))</f>
        <v/>
      </c>
      <c r="I1282">
        <f>IF($G1282="","",IFERROR(VLOOKUP(Sync!$X1279,OpTbl,3,0),""))</f>
        <v/>
      </c>
      <c r="J1282">
        <f>IF(OR($G1282="",Sync!$Z1279=""),"",Sync!$Z1279)</f>
        <v/>
      </c>
      <c r="K1282">
        <f>IF(OR($G1282="",Sync!$AA1279=""),"",Sync!$AA1279)</f>
        <v/>
      </c>
      <c r="L1282">
        <f>IF($G1282="",0,IF(Sync!$AB1279="",0,Sync!$AB1279))</f>
        <v/>
      </c>
      <c r="M1282">
        <f>IF($G1282="",0,IF(Sync!$AC1279="",0,Sync!$AC1279))</f>
        <v/>
      </c>
      <c r="N1282">
        <f>IF($G1282="","",IF($H1282="مرجوعی خرید",-1,1)*($L1282-$M1282*IFERROR(VLOOKUP("P01",ParamTbl,3,0),1.5))*(1-IF($I1282="خرید",IFERROR(VLOOKUP("P02",ParamTbl,3,0),1),0)/100))</f>
        <v/>
      </c>
      <c r="O1282">
        <f>IF($G1282="",0,IF($H1282="مرجوعی خرید",-1,1)*IF(Sync!$AD1279="",0,Sync!$AD1279))</f>
        <v/>
      </c>
      <c r="P1282">
        <f>IF(OR($G1282="",Sync!$W1279=""),"",Sync!$W1279)</f>
        <v/>
      </c>
      <c r="Q1282">
        <f>IF(OR($G1282="",Sync!$AE1279=""),"",Sync!$AE1279)</f>
        <v/>
      </c>
      <c r="R1282">
        <f>IF($G1282="","",IF(Sync!$V1279="","0000",IF(AND(ISNUMBER(Sync!$V1279),Sync!$V1279&gt;=0,Sync!$V1279&lt;1),RIGHT("00"&amp;HOUR(Sync!$V1279),2)&amp;RIGHT("00"&amp;MINUTE(Sync!$V1279),2),IFERROR(RIGHT("00"&amp;VALUE(LEFT(Sync!$V1279,FIND(":",Sync!$V1279)-1)),2)&amp;RIGHT("00"&amp;VALUE(MID(Sync!$V1279,FIND(":",Sync!$V1279)+1,2)),2),"0000"))))</f>
        <v/>
      </c>
    </row>
    <row r="1283">
      <c r="A1283">
        <f>IF(Sync!$U1280="","",Sync!$U1280)</f>
        <v/>
      </c>
      <c r="B1283">
        <f>IF($A1283="","",IF(ISNUMBER($A1283),IF(AND($A1283&gt;=10000101,$A1283&lt;=99991231),INT($A1283/10000),""),IFERROR(VALUE(TRIM(LEFT($A1283,FIND("/",$A1283)-1))),"")))</f>
        <v/>
      </c>
      <c r="C1283">
        <f>IF(OR($A1283="",$B1283=""),"",IF(ISNUMBER($A1283),INT(MOD($A1283,10000)/100),IFERROR(VALUE(TRIM(LEFT(MID($A1283,FIND("/",$A1283)+1,20),FIND("/",MID($A1283,FIND("/",$A1283)+1,20))-1))),"")))</f>
        <v/>
      </c>
      <c r="D1283">
        <f>IF(OR($A1283="",$B1283=""),"",IF(ISNUMBER($A1283),MOD($A1283,100),IFERROR(VALUE(TRIM(MID(MID($A1283,FIND("/",$A1283)+1,20),FIND("/",MID($A1283,FIND("/",$A1283)+1,20))+1,20))),"")))</f>
        <v/>
      </c>
      <c r="E1283">
        <f>IF($A1283="","",IF(OR($B1283="",$C1283="",$D1283="",$B1283&lt;1300,$B1283&gt;1500,$C1283&lt;1,$C1283&gt;12,$D1283&lt;1,$D1283&gt;31),"نامعتبر",RIGHT("0000"&amp;$B1283,4)&amp;"/"&amp;RIGHT("00"&amp;$C1283,2)&amp;"/"&amp;RIGHT("00"&amp;$D1283,2)))</f>
        <v/>
      </c>
      <c r="F1283">
        <f>IF(OR($E1283="",$E1283="نامعتبر"),"",LEFT($E1283,4)&amp;"/"&amp;MID($E1283,6,2))</f>
        <v/>
      </c>
      <c r="G1283">
        <f>IF(OR($E1283="",$E1283="نامعتبر",Sync!$Y1280=""),"",Sync!$Y1280)</f>
        <v/>
      </c>
      <c r="H1283">
        <f>IF($G1283="","",IF(Sync!$X1280="","",Sync!$X1280))</f>
        <v/>
      </c>
      <c r="I1283">
        <f>IF($G1283="","",IFERROR(VLOOKUP(Sync!$X1280,OpTbl,3,0),""))</f>
        <v/>
      </c>
      <c r="J1283">
        <f>IF(OR($G1283="",Sync!$Z1280=""),"",Sync!$Z1280)</f>
        <v/>
      </c>
      <c r="K1283">
        <f>IF(OR($G1283="",Sync!$AA1280=""),"",Sync!$AA1280)</f>
        <v/>
      </c>
      <c r="L1283">
        <f>IF($G1283="",0,IF(Sync!$AB1280="",0,Sync!$AB1280))</f>
        <v/>
      </c>
      <c r="M1283">
        <f>IF($G1283="",0,IF(Sync!$AC1280="",0,Sync!$AC1280))</f>
        <v/>
      </c>
      <c r="N1283">
        <f>IF($G1283="","",IF($H1283="مرجوعی خرید",-1,1)*($L1283-$M1283*IFERROR(VLOOKUP("P01",ParamTbl,3,0),1.5))*(1-IF($I1283="خرید",IFERROR(VLOOKUP("P02",ParamTbl,3,0),1),0)/100))</f>
        <v/>
      </c>
      <c r="O1283">
        <f>IF($G1283="",0,IF($H1283="مرجوعی خرید",-1,1)*IF(Sync!$AD1280="",0,Sync!$AD1280))</f>
        <v/>
      </c>
      <c r="P1283">
        <f>IF(OR($G1283="",Sync!$W1280=""),"",Sync!$W1280)</f>
        <v/>
      </c>
      <c r="Q1283">
        <f>IF(OR($G1283="",Sync!$AE1280=""),"",Sync!$AE1280)</f>
        <v/>
      </c>
      <c r="R1283">
        <f>IF($G1283="","",IF(Sync!$V1280="","0000",IF(AND(ISNUMBER(Sync!$V1280),Sync!$V1280&gt;=0,Sync!$V1280&lt;1),RIGHT("00"&amp;HOUR(Sync!$V1280),2)&amp;RIGHT("00"&amp;MINUTE(Sync!$V1280),2),IFERROR(RIGHT("00"&amp;VALUE(LEFT(Sync!$V1280,FIND(":",Sync!$V1280)-1)),2)&amp;RIGHT("00"&amp;VALUE(MID(Sync!$V1280,FIND(":",Sync!$V1280)+1,2)),2),"0000"))))</f>
        <v/>
      </c>
    </row>
    <row r="1284">
      <c r="A1284">
        <f>IF(Sync!$U1281="","",Sync!$U1281)</f>
        <v/>
      </c>
      <c r="B1284">
        <f>IF($A1284="","",IF(ISNUMBER($A1284),IF(AND($A1284&gt;=10000101,$A1284&lt;=99991231),INT($A1284/10000),""),IFERROR(VALUE(TRIM(LEFT($A1284,FIND("/",$A1284)-1))),"")))</f>
        <v/>
      </c>
      <c r="C1284">
        <f>IF(OR($A1284="",$B1284=""),"",IF(ISNUMBER($A1284),INT(MOD($A1284,10000)/100),IFERROR(VALUE(TRIM(LEFT(MID($A1284,FIND("/",$A1284)+1,20),FIND("/",MID($A1284,FIND("/",$A1284)+1,20))-1))),"")))</f>
        <v/>
      </c>
      <c r="D1284">
        <f>IF(OR($A1284="",$B1284=""),"",IF(ISNUMBER($A1284),MOD($A1284,100),IFERROR(VALUE(TRIM(MID(MID($A1284,FIND("/",$A1284)+1,20),FIND("/",MID($A1284,FIND("/",$A1284)+1,20))+1,20))),"")))</f>
        <v/>
      </c>
      <c r="E1284">
        <f>IF($A1284="","",IF(OR($B1284="",$C1284="",$D1284="",$B1284&lt;1300,$B1284&gt;1500,$C1284&lt;1,$C1284&gt;12,$D1284&lt;1,$D1284&gt;31),"نامعتبر",RIGHT("0000"&amp;$B1284,4)&amp;"/"&amp;RIGHT("00"&amp;$C1284,2)&amp;"/"&amp;RIGHT("00"&amp;$D1284,2)))</f>
        <v/>
      </c>
      <c r="F1284">
        <f>IF(OR($E1284="",$E1284="نامعتبر"),"",LEFT($E1284,4)&amp;"/"&amp;MID($E1284,6,2))</f>
        <v/>
      </c>
      <c r="G1284">
        <f>IF(OR($E1284="",$E1284="نامعتبر",Sync!$Y1281=""),"",Sync!$Y1281)</f>
        <v/>
      </c>
      <c r="H1284">
        <f>IF($G1284="","",IF(Sync!$X1281="","",Sync!$X1281))</f>
        <v/>
      </c>
      <c r="I1284">
        <f>IF($G1284="","",IFERROR(VLOOKUP(Sync!$X1281,OpTbl,3,0),""))</f>
        <v/>
      </c>
      <c r="J1284">
        <f>IF(OR($G1284="",Sync!$Z1281=""),"",Sync!$Z1281)</f>
        <v/>
      </c>
      <c r="K1284">
        <f>IF(OR($G1284="",Sync!$AA1281=""),"",Sync!$AA1281)</f>
        <v/>
      </c>
      <c r="L1284">
        <f>IF($G1284="",0,IF(Sync!$AB1281="",0,Sync!$AB1281))</f>
        <v/>
      </c>
      <c r="M1284">
        <f>IF($G1284="",0,IF(Sync!$AC1281="",0,Sync!$AC1281))</f>
        <v/>
      </c>
      <c r="N1284">
        <f>IF($G1284="","",IF($H1284="مرجوعی خرید",-1,1)*($L1284-$M1284*IFERROR(VLOOKUP("P01",ParamTbl,3,0),1.5))*(1-IF($I1284="خرید",IFERROR(VLOOKUP("P02",ParamTbl,3,0),1),0)/100))</f>
        <v/>
      </c>
      <c r="O1284">
        <f>IF($G1284="",0,IF($H1284="مرجوعی خرید",-1,1)*IF(Sync!$AD1281="",0,Sync!$AD1281))</f>
        <v/>
      </c>
      <c r="P1284">
        <f>IF(OR($G1284="",Sync!$W1281=""),"",Sync!$W1281)</f>
        <v/>
      </c>
      <c r="Q1284">
        <f>IF(OR($G1284="",Sync!$AE1281=""),"",Sync!$AE1281)</f>
        <v/>
      </c>
      <c r="R1284">
        <f>IF($G1284="","",IF(Sync!$V1281="","0000",IF(AND(ISNUMBER(Sync!$V1281),Sync!$V1281&gt;=0,Sync!$V1281&lt;1),RIGHT("00"&amp;HOUR(Sync!$V1281),2)&amp;RIGHT("00"&amp;MINUTE(Sync!$V1281),2),IFERROR(RIGHT("00"&amp;VALUE(LEFT(Sync!$V1281,FIND(":",Sync!$V1281)-1)),2)&amp;RIGHT("00"&amp;VALUE(MID(Sync!$V1281,FIND(":",Sync!$V1281)+1,2)),2),"0000"))))</f>
        <v/>
      </c>
    </row>
    <row r="1285">
      <c r="A1285">
        <f>IF(Sync!$U1282="","",Sync!$U1282)</f>
        <v/>
      </c>
      <c r="B1285">
        <f>IF($A1285="","",IF(ISNUMBER($A1285),IF(AND($A1285&gt;=10000101,$A1285&lt;=99991231),INT($A1285/10000),""),IFERROR(VALUE(TRIM(LEFT($A1285,FIND("/",$A1285)-1))),"")))</f>
        <v/>
      </c>
      <c r="C1285">
        <f>IF(OR($A1285="",$B1285=""),"",IF(ISNUMBER($A1285),INT(MOD($A1285,10000)/100),IFERROR(VALUE(TRIM(LEFT(MID($A1285,FIND("/",$A1285)+1,20),FIND("/",MID($A1285,FIND("/",$A1285)+1,20))-1))),"")))</f>
        <v/>
      </c>
      <c r="D1285">
        <f>IF(OR($A1285="",$B1285=""),"",IF(ISNUMBER($A1285),MOD($A1285,100),IFERROR(VALUE(TRIM(MID(MID($A1285,FIND("/",$A1285)+1,20),FIND("/",MID($A1285,FIND("/",$A1285)+1,20))+1,20))),"")))</f>
        <v/>
      </c>
      <c r="E1285">
        <f>IF($A1285="","",IF(OR($B1285="",$C1285="",$D1285="",$B1285&lt;1300,$B1285&gt;1500,$C1285&lt;1,$C1285&gt;12,$D1285&lt;1,$D1285&gt;31),"نامعتبر",RIGHT("0000"&amp;$B1285,4)&amp;"/"&amp;RIGHT("00"&amp;$C1285,2)&amp;"/"&amp;RIGHT("00"&amp;$D1285,2)))</f>
        <v/>
      </c>
      <c r="F1285">
        <f>IF(OR($E1285="",$E1285="نامعتبر"),"",LEFT($E1285,4)&amp;"/"&amp;MID($E1285,6,2))</f>
        <v/>
      </c>
      <c r="G1285">
        <f>IF(OR($E1285="",$E1285="نامعتبر",Sync!$Y1282=""),"",Sync!$Y1282)</f>
        <v/>
      </c>
      <c r="H1285">
        <f>IF($G1285="","",IF(Sync!$X1282="","",Sync!$X1282))</f>
        <v/>
      </c>
      <c r="I1285">
        <f>IF($G1285="","",IFERROR(VLOOKUP(Sync!$X1282,OpTbl,3,0),""))</f>
        <v/>
      </c>
      <c r="J1285">
        <f>IF(OR($G1285="",Sync!$Z1282=""),"",Sync!$Z1282)</f>
        <v/>
      </c>
      <c r="K1285">
        <f>IF(OR($G1285="",Sync!$AA1282=""),"",Sync!$AA1282)</f>
        <v/>
      </c>
      <c r="L1285">
        <f>IF($G1285="",0,IF(Sync!$AB1282="",0,Sync!$AB1282))</f>
        <v/>
      </c>
      <c r="M1285">
        <f>IF($G1285="",0,IF(Sync!$AC1282="",0,Sync!$AC1282))</f>
        <v/>
      </c>
      <c r="N1285">
        <f>IF($G1285="","",IF($H1285="مرجوعی خرید",-1,1)*($L1285-$M1285*IFERROR(VLOOKUP("P01",ParamTbl,3,0),1.5))*(1-IF($I1285="خرید",IFERROR(VLOOKUP("P02",ParamTbl,3,0),1),0)/100))</f>
        <v/>
      </c>
      <c r="O1285">
        <f>IF($G1285="",0,IF($H1285="مرجوعی خرید",-1,1)*IF(Sync!$AD1282="",0,Sync!$AD1282))</f>
        <v/>
      </c>
      <c r="P1285">
        <f>IF(OR($G1285="",Sync!$W1282=""),"",Sync!$W1282)</f>
        <v/>
      </c>
      <c r="Q1285">
        <f>IF(OR($G1285="",Sync!$AE1282=""),"",Sync!$AE1282)</f>
        <v/>
      </c>
      <c r="R1285">
        <f>IF($G1285="","",IF(Sync!$V1282="","0000",IF(AND(ISNUMBER(Sync!$V1282),Sync!$V1282&gt;=0,Sync!$V1282&lt;1),RIGHT("00"&amp;HOUR(Sync!$V1282),2)&amp;RIGHT("00"&amp;MINUTE(Sync!$V1282),2),IFERROR(RIGHT("00"&amp;VALUE(LEFT(Sync!$V1282,FIND(":",Sync!$V1282)-1)),2)&amp;RIGHT("00"&amp;VALUE(MID(Sync!$V1282,FIND(":",Sync!$V1282)+1,2)),2),"0000"))))</f>
        <v/>
      </c>
    </row>
    <row r="1286">
      <c r="A1286">
        <f>IF(Sync!$U1283="","",Sync!$U1283)</f>
        <v/>
      </c>
      <c r="B1286">
        <f>IF($A1286="","",IF(ISNUMBER($A1286),IF(AND($A1286&gt;=10000101,$A1286&lt;=99991231),INT($A1286/10000),""),IFERROR(VALUE(TRIM(LEFT($A1286,FIND("/",$A1286)-1))),"")))</f>
        <v/>
      </c>
      <c r="C1286">
        <f>IF(OR($A1286="",$B1286=""),"",IF(ISNUMBER($A1286),INT(MOD($A1286,10000)/100),IFERROR(VALUE(TRIM(LEFT(MID($A1286,FIND("/",$A1286)+1,20),FIND("/",MID($A1286,FIND("/",$A1286)+1,20))-1))),"")))</f>
        <v/>
      </c>
      <c r="D1286">
        <f>IF(OR($A1286="",$B1286=""),"",IF(ISNUMBER($A1286),MOD($A1286,100),IFERROR(VALUE(TRIM(MID(MID($A1286,FIND("/",$A1286)+1,20),FIND("/",MID($A1286,FIND("/",$A1286)+1,20))+1,20))),"")))</f>
        <v/>
      </c>
      <c r="E1286">
        <f>IF($A1286="","",IF(OR($B1286="",$C1286="",$D1286="",$B1286&lt;1300,$B1286&gt;1500,$C1286&lt;1,$C1286&gt;12,$D1286&lt;1,$D1286&gt;31),"نامعتبر",RIGHT("0000"&amp;$B1286,4)&amp;"/"&amp;RIGHT("00"&amp;$C1286,2)&amp;"/"&amp;RIGHT("00"&amp;$D1286,2)))</f>
        <v/>
      </c>
      <c r="F1286">
        <f>IF(OR($E1286="",$E1286="نامعتبر"),"",LEFT($E1286,4)&amp;"/"&amp;MID($E1286,6,2))</f>
        <v/>
      </c>
      <c r="G1286">
        <f>IF(OR($E1286="",$E1286="نامعتبر",Sync!$Y1283=""),"",Sync!$Y1283)</f>
        <v/>
      </c>
      <c r="H1286">
        <f>IF($G1286="","",IF(Sync!$X1283="","",Sync!$X1283))</f>
        <v/>
      </c>
      <c r="I1286">
        <f>IF($G1286="","",IFERROR(VLOOKUP(Sync!$X1283,OpTbl,3,0),""))</f>
        <v/>
      </c>
      <c r="J1286">
        <f>IF(OR($G1286="",Sync!$Z1283=""),"",Sync!$Z1283)</f>
        <v/>
      </c>
      <c r="K1286">
        <f>IF(OR($G1286="",Sync!$AA1283=""),"",Sync!$AA1283)</f>
        <v/>
      </c>
      <c r="L1286">
        <f>IF($G1286="",0,IF(Sync!$AB1283="",0,Sync!$AB1283))</f>
        <v/>
      </c>
      <c r="M1286">
        <f>IF($G1286="",0,IF(Sync!$AC1283="",0,Sync!$AC1283))</f>
        <v/>
      </c>
      <c r="N1286">
        <f>IF($G1286="","",IF($H1286="مرجوعی خرید",-1,1)*($L1286-$M1286*IFERROR(VLOOKUP("P01",ParamTbl,3,0),1.5))*(1-IF($I1286="خرید",IFERROR(VLOOKUP("P02",ParamTbl,3,0),1),0)/100))</f>
        <v/>
      </c>
      <c r="O1286">
        <f>IF($G1286="",0,IF($H1286="مرجوعی خرید",-1,1)*IF(Sync!$AD1283="",0,Sync!$AD1283))</f>
        <v/>
      </c>
      <c r="P1286">
        <f>IF(OR($G1286="",Sync!$W1283=""),"",Sync!$W1283)</f>
        <v/>
      </c>
      <c r="Q1286">
        <f>IF(OR($G1286="",Sync!$AE1283=""),"",Sync!$AE1283)</f>
        <v/>
      </c>
      <c r="R1286">
        <f>IF($G1286="","",IF(Sync!$V1283="","0000",IF(AND(ISNUMBER(Sync!$V1283),Sync!$V1283&gt;=0,Sync!$V1283&lt;1),RIGHT("00"&amp;HOUR(Sync!$V1283),2)&amp;RIGHT("00"&amp;MINUTE(Sync!$V1283),2),IFERROR(RIGHT("00"&amp;VALUE(LEFT(Sync!$V1283,FIND(":",Sync!$V1283)-1)),2)&amp;RIGHT("00"&amp;VALUE(MID(Sync!$V1283,FIND(":",Sync!$V1283)+1,2)),2),"0000"))))</f>
        <v/>
      </c>
    </row>
    <row r="1287">
      <c r="A1287">
        <f>IF(Sync!$U1284="","",Sync!$U1284)</f>
        <v/>
      </c>
      <c r="B1287">
        <f>IF($A1287="","",IF(ISNUMBER($A1287),IF(AND($A1287&gt;=10000101,$A1287&lt;=99991231),INT($A1287/10000),""),IFERROR(VALUE(TRIM(LEFT($A1287,FIND("/",$A1287)-1))),"")))</f>
        <v/>
      </c>
      <c r="C1287">
        <f>IF(OR($A1287="",$B1287=""),"",IF(ISNUMBER($A1287),INT(MOD($A1287,10000)/100),IFERROR(VALUE(TRIM(LEFT(MID($A1287,FIND("/",$A1287)+1,20),FIND("/",MID($A1287,FIND("/",$A1287)+1,20))-1))),"")))</f>
        <v/>
      </c>
      <c r="D1287">
        <f>IF(OR($A1287="",$B1287=""),"",IF(ISNUMBER($A1287),MOD($A1287,100),IFERROR(VALUE(TRIM(MID(MID($A1287,FIND("/",$A1287)+1,20),FIND("/",MID($A1287,FIND("/",$A1287)+1,20))+1,20))),"")))</f>
        <v/>
      </c>
      <c r="E1287">
        <f>IF($A1287="","",IF(OR($B1287="",$C1287="",$D1287="",$B1287&lt;1300,$B1287&gt;1500,$C1287&lt;1,$C1287&gt;12,$D1287&lt;1,$D1287&gt;31),"نامعتبر",RIGHT("0000"&amp;$B1287,4)&amp;"/"&amp;RIGHT("00"&amp;$C1287,2)&amp;"/"&amp;RIGHT("00"&amp;$D1287,2)))</f>
        <v/>
      </c>
      <c r="F1287">
        <f>IF(OR($E1287="",$E1287="نامعتبر"),"",LEFT($E1287,4)&amp;"/"&amp;MID($E1287,6,2))</f>
        <v/>
      </c>
      <c r="G1287">
        <f>IF(OR($E1287="",$E1287="نامعتبر",Sync!$Y1284=""),"",Sync!$Y1284)</f>
        <v/>
      </c>
      <c r="H1287">
        <f>IF($G1287="","",IF(Sync!$X1284="","",Sync!$X1284))</f>
        <v/>
      </c>
      <c r="I1287">
        <f>IF($G1287="","",IFERROR(VLOOKUP(Sync!$X1284,OpTbl,3,0),""))</f>
        <v/>
      </c>
      <c r="J1287">
        <f>IF(OR($G1287="",Sync!$Z1284=""),"",Sync!$Z1284)</f>
        <v/>
      </c>
      <c r="K1287">
        <f>IF(OR($G1287="",Sync!$AA1284=""),"",Sync!$AA1284)</f>
        <v/>
      </c>
      <c r="L1287">
        <f>IF($G1287="",0,IF(Sync!$AB1284="",0,Sync!$AB1284))</f>
        <v/>
      </c>
      <c r="M1287">
        <f>IF($G1287="",0,IF(Sync!$AC1284="",0,Sync!$AC1284))</f>
        <v/>
      </c>
      <c r="N1287">
        <f>IF($G1287="","",IF($H1287="مرجوعی خرید",-1,1)*($L1287-$M1287*IFERROR(VLOOKUP("P01",ParamTbl,3,0),1.5))*(1-IF($I1287="خرید",IFERROR(VLOOKUP("P02",ParamTbl,3,0),1),0)/100))</f>
        <v/>
      </c>
      <c r="O1287">
        <f>IF($G1287="",0,IF($H1287="مرجوعی خرید",-1,1)*IF(Sync!$AD1284="",0,Sync!$AD1284))</f>
        <v/>
      </c>
      <c r="P1287">
        <f>IF(OR($G1287="",Sync!$W1284=""),"",Sync!$W1284)</f>
        <v/>
      </c>
      <c r="Q1287">
        <f>IF(OR($G1287="",Sync!$AE1284=""),"",Sync!$AE1284)</f>
        <v/>
      </c>
      <c r="R1287">
        <f>IF($G1287="","",IF(Sync!$V1284="","0000",IF(AND(ISNUMBER(Sync!$V1284),Sync!$V1284&gt;=0,Sync!$V1284&lt;1),RIGHT("00"&amp;HOUR(Sync!$V1284),2)&amp;RIGHT("00"&amp;MINUTE(Sync!$V1284),2),IFERROR(RIGHT("00"&amp;VALUE(LEFT(Sync!$V1284,FIND(":",Sync!$V1284)-1)),2)&amp;RIGHT("00"&amp;VALUE(MID(Sync!$V1284,FIND(":",Sync!$V1284)+1,2)),2),"0000"))))</f>
        <v/>
      </c>
    </row>
    <row r="1288">
      <c r="A1288">
        <f>IF(Sync!$U1285="","",Sync!$U1285)</f>
        <v/>
      </c>
      <c r="B1288">
        <f>IF($A1288="","",IF(ISNUMBER($A1288),IF(AND($A1288&gt;=10000101,$A1288&lt;=99991231),INT($A1288/10000),""),IFERROR(VALUE(TRIM(LEFT($A1288,FIND("/",$A1288)-1))),"")))</f>
        <v/>
      </c>
      <c r="C1288">
        <f>IF(OR($A1288="",$B1288=""),"",IF(ISNUMBER($A1288),INT(MOD($A1288,10000)/100),IFERROR(VALUE(TRIM(LEFT(MID($A1288,FIND("/",$A1288)+1,20),FIND("/",MID($A1288,FIND("/",$A1288)+1,20))-1))),"")))</f>
        <v/>
      </c>
      <c r="D1288">
        <f>IF(OR($A1288="",$B1288=""),"",IF(ISNUMBER($A1288),MOD($A1288,100),IFERROR(VALUE(TRIM(MID(MID($A1288,FIND("/",$A1288)+1,20),FIND("/",MID($A1288,FIND("/",$A1288)+1,20))+1,20))),"")))</f>
        <v/>
      </c>
      <c r="E1288">
        <f>IF($A1288="","",IF(OR($B1288="",$C1288="",$D1288="",$B1288&lt;1300,$B1288&gt;1500,$C1288&lt;1,$C1288&gt;12,$D1288&lt;1,$D1288&gt;31),"نامعتبر",RIGHT("0000"&amp;$B1288,4)&amp;"/"&amp;RIGHT("00"&amp;$C1288,2)&amp;"/"&amp;RIGHT("00"&amp;$D1288,2)))</f>
        <v/>
      </c>
      <c r="F1288">
        <f>IF(OR($E1288="",$E1288="نامعتبر"),"",LEFT($E1288,4)&amp;"/"&amp;MID($E1288,6,2))</f>
        <v/>
      </c>
      <c r="G1288">
        <f>IF(OR($E1288="",$E1288="نامعتبر",Sync!$Y1285=""),"",Sync!$Y1285)</f>
        <v/>
      </c>
      <c r="H1288">
        <f>IF($G1288="","",IF(Sync!$X1285="","",Sync!$X1285))</f>
        <v/>
      </c>
      <c r="I1288">
        <f>IF($G1288="","",IFERROR(VLOOKUP(Sync!$X1285,OpTbl,3,0),""))</f>
        <v/>
      </c>
      <c r="J1288">
        <f>IF(OR($G1288="",Sync!$Z1285=""),"",Sync!$Z1285)</f>
        <v/>
      </c>
      <c r="K1288">
        <f>IF(OR($G1288="",Sync!$AA1285=""),"",Sync!$AA1285)</f>
        <v/>
      </c>
      <c r="L1288">
        <f>IF($G1288="",0,IF(Sync!$AB1285="",0,Sync!$AB1285))</f>
        <v/>
      </c>
      <c r="M1288">
        <f>IF($G1288="",0,IF(Sync!$AC1285="",0,Sync!$AC1285))</f>
        <v/>
      </c>
      <c r="N1288">
        <f>IF($G1288="","",IF($H1288="مرجوعی خرید",-1,1)*($L1288-$M1288*IFERROR(VLOOKUP("P01",ParamTbl,3,0),1.5))*(1-IF($I1288="خرید",IFERROR(VLOOKUP("P02",ParamTbl,3,0),1),0)/100))</f>
        <v/>
      </c>
      <c r="O1288">
        <f>IF($G1288="",0,IF($H1288="مرجوعی خرید",-1,1)*IF(Sync!$AD1285="",0,Sync!$AD1285))</f>
        <v/>
      </c>
      <c r="P1288">
        <f>IF(OR($G1288="",Sync!$W1285=""),"",Sync!$W1285)</f>
        <v/>
      </c>
      <c r="Q1288">
        <f>IF(OR($G1288="",Sync!$AE1285=""),"",Sync!$AE1285)</f>
        <v/>
      </c>
      <c r="R1288">
        <f>IF($G1288="","",IF(Sync!$V1285="","0000",IF(AND(ISNUMBER(Sync!$V1285),Sync!$V1285&gt;=0,Sync!$V1285&lt;1),RIGHT("00"&amp;HOUR(Sync!$V1285),2)&amp;RIGHT("00"&amp;MINUTE(Sync!$V1285),2),IFERROR(RIGHT("00"&amp;VALUE(LEFT(Sync!$V1285,FIND(":",Sync!$V1285)-1)),2)&amp;RIGHT("00"&amp;VALUE(MID(Sync!$V1285,FIND(":",Sync!$V1285)+1,2)),2),"0000"))))</f>
        <v/>
      </c>
    </row>
    <row r="1289">
      <c r="A1289">
        <f>IF(Sync!$U1286="","",Sync!$U1286)</f>
        <v/>
      </c>
      <c r="B1289">
        <f>IF($A1289="","",IF(ISNUMBER($A1289),IF(AND($A1289&gt;=10000101,$A1289&lt;=99991231),INT($A1289/10000),""),IFERROR(VALUE(TRIM(LEFT($A1289,FIND("/",$A1289)-1))),"")))</f>
        <v/>
      </c>
      <c r="C1289">
        <f>IF(OR($A1289="",$B1289=""),"",IF(ISNUMBER($A1289),INT(MOD($A1289,10000)/100),IFERROR(VALUE(TRIM(LEFT(MID($A1289,FIND("/",$A1289)+1,20),FIND("/",MID($A1289,FIND("/",$A1289)+1,20))-1))),"")))</f>
        <v/>
      </c>
      <c r="D1289">
        <f>IF(OR($A1289="",$B1289=""),"",IF(ISNUMBER($A1289),MOD($A1289,100),IFERROR(VALUE(TRIM(MID(MID($A1289,FIND("/",$A1289)+1,20),FIND("/",MID($A1289,FIND("/",$A1289)+1,20))+1,20))),"")))</f>
        <v/>
      </c>
      <c r="E1289">
        <f>IF($A1289="","",IF(OR($B1289="",$C1289="",$D1289="",$B1289&lt;1300,$B1289&gt;1500,$C1289&lt;1,$C1289&gt;12,$D1289&lt;1,$D1289&gt;31),"نامعتبر",RIGHT("0000"&amp;$B1289,4)&amp;"/"&amp;RIGHT("00"&amp;$C1289,2)&amp;"/"&amp;RIGHT("00"&amp;$D1289,2)))</f>
        <v/>
      </c>
      <c r="F1289">
        <f>IF(OR($E1289="",$E1289="نامعتبر"),"",LEFT($E1289,4)&amp;"/"&amp;MID($E1289,6,2))</f>
        <v/>
      </c>
      <c r="G1289">
        <f>IF(OR($E1289="",$E1289="نامعتبر",Sync!$Y1286=""),"",Sync!$Y1286)</f>
        <v/>
      </c>
      <c r="H1289">
        <f>IF($G1289="","",IF(Sync!$X1286="","",Sync!$X1286))</f>
        <v/>
      </c>
      <c r="I1289">
        <f>IF($G1289="","",IFERROR(VLOOKUP(Sync!$X1286,OpTbl,3,0),""))</f>
        <v/>
      </c>
      <c r="J1289">
        <f>IF(OR($G1289="",Sync!$Z1286=""),"",Sync!$Z1286)</f>
        <v/>
      </c>
      <c r="K1289">
        <f>IF(OR($G1289="",Sync!$AA1286=""),"",Sync!$AA1286)</f>
        <v/>
      </c>
      <c r="L1289">
        <f>IF($G1289="",0,IF(Sync!$AB1286="",0,Sync!$AB1286))</f>
        <v/>
      </c>
      <c r="M1289">
        <f>IF($G1289="",0,IF(Sync!$AC1286="",0,Sync!$AC1286))</f>
        <v/>
      </c>
      <c r="N1289">
        <f>IF($G1289="","",IF($H1289="مرجوعی خرید",-1,1)*($L1289-$M1289*IFERROR(VLOOKUP("P01",ParamTbl,3,0),1.5))*(1-IF($I1289="خرید",IFERROR(VLOOKUP("P02",ParamTbl,3,0),1),0)/100))</f>
        <v/>
      </c>
      <c r="O1289">
        <f>IF($G1289="",0,IF($H1289="مرجوعی خرید",-1,1)*IF(Sync!$AD1286="",0,Sync!$AD1286))</f>
        <v/>
      </c>
      <c r="P1289">
        <f>IF(OR($G1289="",Sync!$W1286=""),"",Sync!$W1286)</f>
        <v/>
      </c>
      <c r="Q1289">
        <f>IF(OR($G1289="",Sync!$AE1286=""),"",Sync!$AE1286)</f>
        <v/>
      </c>
      <c r="R1289">
        <f>IF($G1289="","",IF(Sync!$V1286="","0000",IF(AND(ISNUMBER(Sync!$V1286),Sync!$V1286&gt;=0,Sync!$V1286&lt;1),RIGHT("00"&amp;HOUR(Sync!$V1286),2)&amp;RIGHT("00"&amp;MINUTE(Sync!$V1286),2),IFERROR(RIGHT("00"&amp;VALUE(LEFT(Sync!$V1286,FIND(":",Sync!$V1286)-1)),2)&amp;RIGHT("00"&amp;VALUE(MID(Sync!$V1286,FIND(":",Sync!$V1286)+1,2)),2),"0000"))))</f>
        <v/>
      </c>
    </row>
    <row r="1290">
      <c r="A1290">
        <f>IF(Sync!$U1287="","",Sync!$U1287)</f>
        <v/>
      </c>
      <c r="B1290">
        <f>IF($A1290="","",IF(ISNUMBER($A1290),IF(AND($A1290&gt;=10000101,$A1290&lt;=99991231),INT($A1290/10000),""),IFERROR(VALUE(TRIM(LEFT($A1290,FIND("/",$A1290)-1))),"")))</f>
        <v/>
      </c>
      <c r="C1290">
        <f>IF(OR($A1290="",$B1290=""),"",IF(ISNUMBER($A1290),INT(MOD($A1290,10000)/100),IFERROR(VALUE(TRIM(LEFT(MID($A1290,FIND("/",$A1290)+1,20),FIND("/",MID($A1290,FIND("/",$A1290)+1,20))-1))),"")))</f>
        <v/>
      </c>
      <c r="D1290">
        <f>IF(OR($A1290="",$B1290=""),"",IF(ISNUMBER($A1290),MOD($A1290,100),IFERROR(VALUE(TRIM(MID(MID($A1290,FIND("/",$A1290)+1,20),FIND("/",MID($A1290,FIND("/",$A1290)+1,20))+1,20))),"")))</f>
        <v/>
      </c>
      <c r="E1290">
        <f>IF($A1290="","",IF(OR($B1290="",$C1290="",$D1290="",$B1290&lt;1300,$B1290&gt;1500,$C1290&lt;1,$C1290&gt;12,$D1290&lt;1,$D1290&gt;31),"نامعتبر",RIGHT("0000"&amp;$B1290,4)&amp;"/"&amp;RIGHT("00"&amp;$C1290,2)&amp;"/"&amp;RIGHT("00"&amp;$D1290,2)))</f>
        <v/>
      </c>
      <c r="F1290">
        <f>IF(OR($E1290="",$E1290="نامعتبر"),"",LEFT($E1290,4)&amp;"/"&amp;MID($E1290,6,2))</f>
        <v/>
      </c>
      <c r="G1290">
        <f>IF(OR($E1290="",$E1290="نامعتبر",Sync!$Y1287=""),"",Sync!$Y1287)</f>
        <v/>
      </c>
      <c r="H1290">
        <f>IF($G1290="","",IF(Sync!$X1287="","",Sync!$X1287))</f>
        <v/>
      </c>
      <c r="I1290">
        <f>IF($G1290="","",IFERROR(VLOOKUP(Sync!$X1287,OpTbl,3,0),""))</f>
        <v/>
      </c>
      <c r="J1290">
        <f>IF(OR($G1290="",Sync!$Z1287=""),"",Sync!$Z1287)</f>
        <v/>
      </c>
      <c r="K1290">
        <f>IF(OR($G1290="",Sync!$AA1287=""),"",Sync!$AA1287)</f>
        <v/>
      </c>
      <c r="L1290">
        <f>IF($G1290="",0,IF(Sync!$AB1287="",0,Sync!$AB1287))</f>
        <v/>
      </c>
      <c r="M1290">
        <f>IF($G1290="",0,IF(Sync!$AC1287="",0,Sync!$AC1287))</f>
        <v/>
      </c>
      <c r="N1290">
        <f>IF($G1290="","",IF($H1290="مرجوعی خرید",-1,1)*($L1290-$M1290*IFERROR(VLOOKUP("P01",ParamTbl,3,0),1.5))*(1-IF($I1290="خرید",IFERROR(VLOOKUP("P02",ParamTbl,3,0),1),0)/100))</f>
        <v/>
      </c>
      <c r="O1290">
        <f>IF($G1290="",0,IF($H1290="مرجوعی خرید",-1,1)*IF(Sync!$AD1287="",0,Sync!$AD1287))</f>
        <v/>
      </c>
      <c r="P1290">
        <f>IF(OR($G1290="",Sync!$W1287=""),"",Sync!$W1287)</f>
        <v/>
      </c>
      <c r="Q1290">
        <f>IF(OR($G1290="",Sync!$AE1287=""),"",Sync!$AE1287)</f>
        <v/>
      </c>
      <c r="R1290">
        <f>IF($G1290="","",IF(Sync!$V1287="","0000",IF(AND(ISNUMBER(Sync!$V1287),Sync!$V1287&gt;=0,Sync!$V1287&lt;1),RIGHT("00"&amp;HOUR(Sync!$V1287),2)&amp;RIGHT("00"&amp;MINUTE(Sync!$V1287),2),IFERROR(RIGHT("00"&amp;VALUE(LEFT(Sync!$V1287,FIND(":",Sync!$V1287)-1)),2)&amp;RIGHT("00"&amp;VALUE(MID(Sync!$V1287,FIND(":",Sync!$V1287)+1,2)),2),"0000"))))</f>
        <v/>
      </c>
    </row>
    <row r="1291">
      <c r="A1291">
        <f>IF(Sync!$U1288="","",Sync!$U1288)</f>
        <v/>
      </c>
      <c r="B1291">
        <f>IF($A1291="","",IF(ISNUMBER($A1291),IF(AND($A1291&gt;=10000101,$A1291&lt;=99991231),INT($A1291/10000),""),IFERROR(VALUE(TRIM(LEFT($A1291,FIND("/",$A1291)-1))),"")))</f>
        <v/>
      </c>
      <c r="C1291">
        <f>IF(OR($A1291="",$B1291=""),"",IF(ISNUMBER($A1291),INT(MOD($A1291,10000)/100),IFERROR(VALUE(TRIM(LEFT(MID($A1291,FIND("/",$A1291)+1,20),FIND("/",MID($A1291,FIND("/",$A1291)+1,20))-1))),"")))</f>
        <v/>
      </c>
      <c r="D1291">
        <f>IF(OR($A1291="",$B1291=""),"",IF(ISNUMBER($A1291),MOD($A1291,100),IFERROR(VALUE(TRIM(MID(MID($A1291,FIND("/",$A1291)+1,20),FIND("/",MID($A1291,FIND("/",$A1291)+1,20))+1,20))),"")))</f>
        <v/>
      </c>
      <c r="E1291">
        <f>IF($A1291="","",IF(OR($B1291="",$C1291="",$D1291="",$B1291&lt;1300,$B1291&gt;1500,$C1291&lt;1,$C1291&gt;12,$D1291&lt;1,$D1291&gt;31),"نامعتبر",RIGHT("0000"&amp;$B1291,4)&amp;"/"&amp;RIGHT("00"&amp;$C1291,2)&amp;"/"&amp;RIGHT("00"&amp;$D1291,2)))</f>
        <v/>
      </c>
      <c r="F1291">
        <f>IF(OR($E1291="",$E1291="نامعتبر"),"",LEFT($E1291,4)&amp;"/"&amp;MID($E1291,6,2))</f>
        <v/>
      </c>
      <c r="G1291">
        <f>IF(OR($E1291="",$E1291="نامعتبر",Sync!$Y1288=""),"",Sync!$Y1288)</f>
        <v/>
      </c>
      <c r="H1291">
        <f>IF($G1291="","",IF(Sync!$X1288="","",Sync!$X1288))</f>
        <v/>
      </c>
      <c r="I1291">
        <f>IF($G1291="","",IFERROR(VLOOKUP(Sync!$X1288,OpTbl,3,0),""))</f>
        <v/>
      </c>
      <c r="J1291">
        <f>IF(OR($G1291="",Sync!$Z1288=""),"",Sync!$Z1288)</f>
        <v/>
      </c>
      <c r="K1291">
        <f>IF(OR($G1291="",Sync!$AA1288=""),"",Sync!$AA1288)</f>
        <v/>
      </c>
      <c r="L1291">
        <f>IF($G1291="",0,IF(Sync!$AB1288="",0,Sync!$AB1288))</f>
        <v/>
      </c>
      <c r="M1291">
        <f>IF($G1291="",0,IF(Sync!$AC1288="",0,Sync!$AC1288))</f>
        <v/>
      </c>
      <c r="N1291">
        <f>IF($G1291="","",IF($H1291="مرجوعی خرید",-1,1)*($L1291-$M1291*IFERROR(VLOOKUP("P01",ParamTbl,3,0),1.5))*(1-IF($I1291="خرید",IFERROR(VLOOKUP("P02",ParamTbl,3,0),1),0)/100))</f>
        <v/>
      </c>
      <c r="O1291">
        <f>IF($G1291="",0,IF($H1291="مرجوعی خرید",-1,1)*IF(Sync!$AD1288="",0,Sync!$AD1288))</f>
        <v/>
      </c>
      <c r="P1291">
        <f>IF(OR($G1291="",Sync!$W1288=""),"",Sync!$W1288)</f>
        <v/>
      </c>
      <c r="Q1291">
        <f>IF(OR($G1291="",Sync!$AE1288=""),"",Sync!$AE1288)</f>
        <v/>
      </c>
      <c r="R1291">
        <f>IF($G1291="","",IF(Sync!$V1288="","0000",IF(AND(ISNUMBER(Sync!$V1288),Sync!$V1288&gt;=0,Sync!$V1288&lt;1),RIGHT("00"&amp;HOUR(Sync!$V1288),2)&amp;RIGHT("00"&amp;MINUTE(Sync!$V1288),2),IFERROR(RIGHT("00"&amp;VALUE(LEFT(Sync!$V1288,FIND(":",Sync!$V1288)-1)),2)&amp;RIGHT("00"&amp;VALUE(MID(Sync!$V1288,FIND(":",Sync!$V1288)+1,2)),2),"0000"))))</f>
        <v/>
      </c>
    </row>
    <row r="1292">
      <c r="A1292">
        <f>IF(Sync!$U1289="","",Sync!$U1289)</f>
        <v/>
      </c>
      <c r="B1292">
        <f>IF($A1292="","",IF(ISNUMBER($A1292),IF(AND($A1292&gt;=10000101,$A1292&lt;=99991231),INT($A1292/10000),""),IFERROR(VALUE(TRIM(LEFT($A1292,FIND("/",$A1292)-1))),"")))</f>
        <v/>
      </c>
      <c r="C1292">
        <f>IF(OR($A1292="",$B1292=""),"",IF(ISNUMBER($A1292),INT(MOD($A1292,10000)/100),IFERROR(VALUE(TRIM(LEFT(MID($A1292,FIND("/",$A1292)+1,20),FIND("/",MID($A1292,FIND("/",$A1292)+1,20))-1))),"")))</f>
        <v/>
      </c>
      <c r="D1292">
        <f>IF(OR($A1292="",$B1292=""),"",IF(ISNUMBER($A1292),MOD($A1292,100),IFERROR(VALUE(TRIM(MID(MID($A1292,FIND("/",$A1292)+1,20),FIND("/",MID($A1292,FIND("/",$A1292)+1,20))+1,20))),"")))</f>
        <v/>
      </c>
      <c r="E1292">
        <f>IF($A1292="","",IF(OR($B1292="",$C1292="",$D1292="",$B1292&lt;1300,$B1292&gt;1500,$C1292&lt;1,$C1292&gt;12,$D1292&lt;1,$D1292&gt;31),"نامعتبر",RIGHT("0000"&amp;$B1292,4)&amp;"/"&amp;RIGHT("00"&amp;$C1292,2)&amp;"/"&amp;RIGHT("00"&amp;$D1292,2)))</f>
        <v/>
      </c>
      <c r="F1292">
        <f>IF(OR($E1292="",$E1292="نامعتبر"),"",LEFT($E1292,4)&amp;"/"&amp;MID($E1292,6,2))</f>
        <v/>
      </c>
      <c r="G1292">
        <f>IF(OR($E1292="",$E1292="نامعتبر",Sync!$Y1289=""),"",Sync!$Y1289)</f>
        <v/>
      </c>
      <c r="H1292">
        <f>IF($G1292="","",IF(Sync!$X1289="","",Sync!$X1289))</f>
        <v/>
      </c>
      <c r="I1292">
        <f>IF($G1292="","",IFERROR(VLOOKUP(Sync!$X1289,OpTbl,3,0),""))</f>
        <v/>
      </c>
      <c r="J1292">
        <f>IF(OR($G1292="",Sync!$Z1289=""),"",Sync!$Z1289)</f>
        <v/>
      </c>
      <c r="K1292">
        <f>IF(OR($G1292="",Sync!$AA1289=""),"",Sync!$AA1289)</f>
        <v/>
      </c>
      <c r="L1292">
        <f>IF($G1292="",0,IF(Sync!$AB1289="",0,Sync!$AB1289))</f>
        <v/>
      </c>
      <c r="M1292">
        <f>IF($G1292="",0,IF(Sync!$AC1289="",0,Sync!$AC1289))</f>
        <v/>
      </c>
      <c r="N1292">
        <f>IF($G1292="","",IF($H1292="مرجوعی خرید",-1,1)*($L1292-$M1292*IFERROR(VLOOKUP("P01",ParamTbl,3,0),1.5))*(1-IF($I1292="خرید",IFERROR(VLOOKUP("P02",ParamTbl,3,0),1),0)/100))</f>
        <v/>
      </c>
      <c r="O1292">
        <f>IF($G1292="",0,IF($H1292="مرجوعی خرید",-1,1)*IF(Sync!$AD1289="",0,Sync!$AD1289))</f>
        <v/>
      </c>
      <c r="P1292">
        <f>IF(OR($G1292="",Sync!$W1289=""),"",Sync!$W1289)</f>
        <v/>
      </c>
      <c r="Q1292">
        <f>IF(OR($G1292="",Sync!$AE1289=""),"",Sync!$AE1289)</f>
        <v/>
      </c>
      <c r="R1292">
        <f>IF($G1292="","",IF(Sync!$V1289="","0000",IF(AND(ISNUMBER(Sync!$V1289),Sync!$V1289&gt;=0,Sync!$V1289&lt;1),RIGHT("00"&amp;HOUR(Sync!$V1289),2)&amp;RIGHT("00"&amp;MINUTE(Sync!$V1289),2),IFERROR(RIGHT("00"&amp;VALUE(LEFT(Sync!$V1289,FIND(":",Sync!$V1289)-1)),2)&amp;RIGHT("00"&amp;VALUE(MID(Sync!$V1289,FIND(":",Sync!$V1289)+1,2)),2),"0000"))))</f>
        <v/>
      </c>
    </row>
    <row r="1293">
      <c r="A1293">
        <f>IF(Sync!$U1290="","",Sync!$U1290)</f>
        <v/>
      </c>
      <c r="B1293">
        <f>IF($A1293="","",IF(ISNUMBER($A1293),IF(AND($A1293&gt;=10000101,$A1293&lt;=99991231),INT($A1293/10000),""),IFERROR(VALUE(TRIM(LEFT($A1293,FIND("/",$A1293)-1))),"")))</f>
        <v/>
      </c>
      <c r="C1293">
        <f>IF(OR($A1293="",$B1293=""),"",IF(ISNUMBER($A1293),INT(MOD($A1293,10000)/100),IFERROR(VALUE(TRIM(LEFT(MID($A1293,FIND("/",$A1293)+1,20),FIND("/",MID($A1293,FIND("/",$A1293)+1,20))-1))),"")))</f>
        <v/>
      </c>
      <c r="D1293">
        <f>IF(OR($A1293="",$B1293=""),"",IF(ISNUMBER($A1293),MOD($A1293,100),IFERROR(VALUE(TRIM(MID(MID($A1293,FIND("/",$A1293)+1,20),FIND("/",MID($A1293,FIND("/",$A1293)+1,20))+1,20))),"")))</f>
        <v/>
      </c>
      <c r="E1293">
        <f>IF($A1293="","",IF(OR($B1293="",$C1293="",$D1293="",$B1293&lt;1300,$B1293&gt;1500,$C1293&lt;1,$C1293&gt;12,$D1293&lt;1,$D1293&gt;31),"نامعتبر",RIGHT("0000"&amp;$B1293,4)&amp;"/"&amp;RIGHT("00"&amp;$C1293,2)&amp;"/"&amp;RIGHT("00"&amp;$D1293,2)))</f>
        <v/>
      </c>
      <c r="F1293">
        <f>IF(OR($E1293="",$E1293="نامعتبر"),"",LEFT($E1293,4)&amp;"/"&amp;MID($E1293,6,2))</f>
        <v/>
      </c>
      <c r="G1293">
        <f>IF(OR($E1293="",$E1293="نامعتبر",Sync!$Y1290=""),"",Sync!$Y1290)</f>
        <v/>
      </c>
      <c r="H1293">
        <f>IF($G1293="","",IF(Sync!$X1290="","",Sync!$X1290))</f>
        <v/>
      </c>
      <c r="I1293">
        <f>IF($G1293="","",IFERROR(VLOOKUP(Sync!$X1290,OpTbl,3,0),""))</f>
        <v/>
      </c>
      <c r="J1293">
        <f>IF(OR($G1293="",Sync!$Z1290=""),"",Sync!$Z1290)</f>
        <v/>
      </c>
      <c r="K1293">
        <f>IF(OR($G1293="",Sync!$AA1290=""),"",Sync!$AA1290)</f>
        <v/>
      </c>
      <c r="L1293">
        <f>IF($G1293="",0,IF(Sync!$AB1290="",0,Sync!$AB1290))</f>
        <v/>
      </c>
      <c r="M1293">
        <f>IF($G1293="",0,IF(Sync!$AC1290="",0,Sync!$AC1290))</f>
        <v/>
      </c>
      <c r="N1293">
        <f>IF($G1293="","",IF($H1293="مرجوعی خرید",-1,1)*($L1293-$M1293*IFERROR(VLOOKUP("P01",ParamTbl,3,0),1.5))*(1-IF($I1293="خرید",IFERROR(VLOOKUP("P02",ParamTbl,3,0),1),0)/100))</f>
        <v/>
      </c>
      <c r="O1293">
        <f>IF($G1293="",0,IF($H1293="مرجوعی خرید",-1,1)*IF(Sync!$AD1290="",0,Sync!$AD1290))</f>
        <v/>
      </c>
      <c r="P1293">
        <f>IF(OR($G1293="",Sync!$W1290=""),"",Sync!$W1290)</f>
        <v/>
      </c>
      <c r="Q1293">
        <f>IF(OR($G1293="",Sync!$AE1290=""),"",Sync!$AE1290)</f>
        <v/>
      </c>
      <c r="R1293">
        <f>IF($G1293="","",IF(Sync!$V1290="","0000",IF(AND(ISNUMBER(Sync!$V1290),Sync!$V1290&gt;=0,Sync!$V1290&lt;1),RIGHT("00"&amp;HOUR(Sync!$V1290),2)&amp;RIGHT("00"&amp;MINUTE(Sync!$V1290),2),IFERROR(RIGHT("00"&amp;VALUE(LEFT(Sync!$V1290,FIND(":",Sync!$V1290)-1)),2)&amp;RIGHT("00"&amp;VALUE(MID(Sync!$V1290,FIND(":",Sync!$V1290)+1,2)),2),"0000"))))</f>
        <v/>
      </c>
    </row>
    <row r="1294">
      <c r="A1294">
        <f>IF(Sync!$U1291="","",Sync!$U1291)</f>
        <v/>
      </c>
      <c r="B1294">
        <f>IF($A1294="","",IF(ISNUMBER($A1294),IF(AND($A1294&gt;=10000101,$A1294&lt;=99991231),INT($A1294/10000),""),IFERROR(VALUE(TRIM(LEFT($A1294,FIND("/",$A1294)-1))),"")))</f>
        <v/>
      </c>
      <c r="C1294">
        <f>IF(OR($A1294="",$B1294=""),"",IF(ISNUMBER($A1294),INT(MOD($A1294,10000)/100),IFERROR(VALUE(TRIM(LEFT(MID($A1294,FIND("/",$A1294)+1,20),FIND("/",MID($A1294,FIND("/",$A1294)+1,20))-1))),"")))</f>
        <v/>
      </c>
      <c r="D1294">
        <f>IF(OR($A1294="",$B1294=""),"",IF(ISNUMBER($A1294),MOD($A1294,100),IFERROR(VALUE(TRIM(MID(MID($A1294,FIND("/",$A1294)+1,20),FIND("/",MID($A1294,FIND("/",$A1294)+1,20))+1,20))),"")))</f>
        <v/>
      </c>
      <c r="E1294">
        <f>IF($A1294="","",IF(OR($B1294="",$C1294="",$D1294="",$B1294&lt;1300,$B1294&gt;1500,$C1294&lt;1,$C1294&gt;12,$D1294&lt;1,$D1294&gt;31),"نامعتبر",RIGHT("0000"&amp;$B1294,4)&amp;"/"&amp;RIGHT("00"&amp;$C1294,2)&amp;"/"&amp;RIGHT("00"&amp;$D1294,2)))</f>
        <v/>
      </c>
      <c r="F1294">
        <f>IF(OR($E1294="",$E1294="نامعتبر"),"",LEFT($E1294,4)&amp;"/"&amp;MID($E1294,6,2))</f>
        <v/>
      </c>
      <c r="G1294">
        <f>IF(OR($E1294="",$E1294="نامعتبر",Sync!$Y1291=""),"",Sync!$Y1291)</f>
        <v/>
      </c>
      <c r="H1294">
        <f>IF($G1294="","",IF(Sync!$X1291="","",Sync!$X1291))</f>
        <v/>
      </c>
      <c r="I1294">
        <f>IF($G1294="","",IFERROR(VLOOKUP(Sync!$X1291,OpTbl,3,0),""))</f>
        <v/>
      </c>
      <c r="J1294">
        <f>IF(OR($G1294="",Sync!$Z1291=""),"",Sync!$Z1291)</f>
        <v/>
      </c>
      <c r="K1294">
        <f>IF(OR($G1294="",Sync!$AA1291=""),"",Sync!$AA1291)</f>
        <v/>
      </c>
      <c r="L1294">
        <f>IF($G1294="",0,IF(Sync!$AB1291="",0,Sync!$AB1291))</f>
        <v/>
      </c>
      <c r="M1294">
        <f>IF($G1294="",0,IF(Sync!$AC1291="",0,Sync!$AC1291))</f>
        <v/>
      </c>
      <c r="N1294">
        <f>IF($G1294="","",IF($H1294="مرجوعی خرید",-1,1)*($L1294-$M1294*IFERROR(VLOOKUP("P01",ParamTbl,3,0),1.5))*(1-IF($I1294="خرید",IFERROR(VLOOKUP("P02",ParamTbl,3,0),1),0)/100))</f>
        <v/>
      </c>
      <c r="O1294">
        <f>IF($G1294="",0,IF($H1294="مرجوعی خرید",-1,1)*IF(Sync!$AD1291="",0,Sync!$AD1291))</f>
        <v/>
      </c>
      <c r="P1294">
        <f>IF(OR($G1294="",Sync!$W1291=""),"",Sync!$W1291)</f>
        <v/>
      </c>
      <c r="Q1294">
        <f>IF(OR($G1294="",Sync!$AE1291=""),"",Sync!$AE1291)</f>
        <v/>
      </c>
      <c r="R1294">
        <f>IF($G1294="","",IF(Sync!$V1291="","0000",IF(AND(ISNUMBER(Sync!$V1291),Sync!$V1291&gt;=0,Sync!$V1291&lt;1),RIGHT("00"&amp;HOUR(Sync!$V1291),2)&amp;RIGHT("00"&amp;MINUTE(Sync!$V1291),2),IFERROR(RIGHT("00"&amp;VALUE(LEFT(Sync!$V1291,FIND(":",Sync!$V1291)-1)),2)&amp;RIGHT("00"&amp;VALUE(MID(Sync!$V1291,FIND(":",Sync!$V1291)+1,2)),2),"0000"))))</f>
        <v/>
      </c>
    </row>
    <row r="1295">
      <c r="A1295">
        <f>IF(Sync!$U1292="","",Sync!$U1292)</f>
        <v/>
      </c>
      <c r="B1295">
        <f>IF($A1295="","",IF(ISNUMBER($A1295),IF(AND($A1295&gt;=10000101,$A1295&lt;=99991231),INT($A1295/10000),""),IFERROR(VALUE(TRIM(LEFT($A1295,FIND("/",$A1295)-1))),"")))</f>
        <v/>
      </c>
      <c r="C1295">
        <f>IF(OR($A1295="",$B1295=""),"",IF(ISNUMBER($A1295),INT(MOD($A1295,10000)/100),IFERROR(VALUE(TRIM(LEFT(MID($A1295,FIND("/",$A1295)+1,20),FIND("/",MID($A1295,FIND("/",$A1295)+1,20))-1))),"")))</f>
        <v/>
      </c>
      <c r="D1295">
        <f>IF(OR($A1295="",$B1295=""),"",IF(ISNUMBER($A1295),MOD($A1295,100),IFERROR(VALUE(TRIM(MID(MID($A1295,FIND("/",$A1295)+1,20),FIND("/",MID($A1295,FIND("/",$A1295)+1,20))+1,20))),"")))</f>
        <v/>
      </c>
      <c r="E1295">
        <f>IF($A1295="","",IF(OR($B1295="",$C1295="",$D1295="",$B1295&lt;1300,$B1295&gt;1500,$C1295&lt;1,$C1295&gt;12,$D1295&lt;1,$D1295&gt;31),"نامعتبر",RIGHT("0000"&amp;$B1295,4)&amp;"/"&amp;RIGHT("00"&amp;$C1295,2)&amp;"/"&amp;RIGHT("00"&amp;$D1295,2)))</f>
        <v/>
      </c>
      <c r="F1295">
        <f>IF(OR($E1295="",$E1295="نامعتبر"),"",LEFT($E1295,4)&amp;"/"&amp;MID($E1295,6,2))</f>
        <v/>
      </c>
      <c r="G1295">
        <f>IF(OR($E1295="",$E1295="نامعتبر",Sync!$Y1292=""),"",Sync!$Y1292)</f>
        <v/>
      </c>
      <c r="H1295">
        <f>IF($G1295="","",IF(Sync!$X1292="","",Sync!$X1292))</f>
        <v/>
      </c>
      <c r="I1295">
        <f>IF($G1295="","",IFERROR(VLOOKUP(Sync!$X1292,OpTbl,3,0),""))</f>
        <v/>
      </c>
      <c r="J1295">
        <f>IF(OR($G1295="",Sync!$Z1292=""),"",Sync!$Z1292)</f>
        <v/>
      </c>
      <c r="K1295">
        <f>IF(OR($G1295="",Sync!$AA1292=""),"",Sync!$AA1292)</f>
        <v/>
      </c>
      <c r="L1295">
        <f>IF($G1295="",0,IF(Sync!$AB1292="",0,Sync!$AB1292))</f>
        <v/>
      </c>
      <c r="M1295">
        <f>IF($G1295="",0,IF(Sync!$AC1292="",0,Sync!$AC1292))</f>
        <v/>
      </c>
      <c r="N1295">
        <f>IF($G1295="","",IF($H1295="مرجوعی خرید",-1,1)*($L1295-$M1295*IFERROR(VLOOKUP("P01",ParamTbl,3,0),1.5))*(1-IF($I1295="خرید",IFERROR(VLOOKUP("P02",ParamTbl,3,0),1),0)/100))</f>
        <v/>
      </c>
      <c r="O1295">
        <f>IF($G1295="",0,IF($H1295="مرجوعی خرید",-1,1)*IF(Sync!$AD1292="",0,Sync!$AD1292))</f>
        <v/>
      </c>
      <c r="P1295">
        <f>IF(OR($G1295="",Sync!$W1292=""),"",Sync!$W1292)</f>
        <v/>
      </c>
      <c r="Q1295">
        <f>IF(OR($G1295="",Sync!$AE1292=""),"",Sync!$AE1292)</f>
        <v/>
      </c>
      <c r="R1295">
        <f>IF($G1295="","",IF(Sync!$V1292="","0000",IF(AND(ISNUMBER(Sync!$V1292),Sync!$V1292&gt;=0,Sync!$V1292&lt;1),RIGHT("00"&amp;HOUR(Sync!$V1292),2)&amp;RIGHT("00"&amp;MINUTE(Sync!$V1292),2),IFERROR(RIGHT("00"&amp;VALUE(LEFT(Sync!$V1292,FIND(":",Sync!$V1292)-1)),2)&amp;RIGHT("00"&amp;VALUE(MID(Sync!$V1292,FIND(":",Sync!$V1292)+1,2)),2),"0000"))))</f>
        <v/>
      </c>
    </row>
    <row r="1296">
      <c r="A1296">
        <f>IF(Sync!$U1293="","",Sync!$U1293)</f>
        <v/>
      </c>
      <c r="B1296">
        <f>IF($A1296="","",IF(ISNUMBER($A1296),IF(AND($A1296&gt;=10000101,$A1296&lt;=99991231),INT($A1296/10000),""),IFERROR(VALUE(TRIM(LEFT($A1296,FIND("/",$A1296)-1))),"")))</f>
        <v/>
      </c>
      <c r="C1296">
        <f>IF(OR($A1296="",$B1296=""),"",IF(ISNUMBER($A1296),INT(MOD($A1296,10000)/100),IFERROR(VALUE(TRIM(LEFT(MID($A1296,FIND("/",$A1296)+1,20),FIND("/",MID($A1296,FIND("/",$A1296)+1,20))-1))),"")))</f>
        <v/>
      </c>
      <c r="D1296">
        <f>IF(OR($A1296="",$B1296=""),"",IF(ISNUMBER($A1296),MOD($A1296,100),IFERROR(VALUE(TRIM(MID(MID($A1296,FIND("/",$A1296)+1,20),FIND("/",MID($A1296,FIND("/",$A1296)+1,20))+1,20))),"")))</f>
        <v/>
      </c>
      <c r="E1296">
        <f>IF($A1296="","",IF(OR($B1296="",$C1296="",$D1296="",$B1296&lt;1300,$B1296&gt;1500,$C1296&lt;1,$C1296&gt;12,$D1296&lt;1,$D1296&gt;31),"نامعتبر",RIGHT("0000"&amp;$B1296,4)&amp;"/"&amp;RIGHT("00"&amp;$C1296,2)&amp;"/"&amp;RIGHT("00"&amp;$D1296,2)))</f>
        <v/>
      </c>
      <c r="F1296">
        <f>IF(OR($E1296="",$E1296="نامعتبر"),"",LEFT($E1296,4)&amp;"/"&amp;MID($E1296,6,2))</f>
        <v/>
      </c>
      <c r="G1296">
        <f>IF(OR($E1296="",$E1296="نامعتبر",Sync!$Y1293=""),"",Sync!$Y1293)</f>
        <v/>
      </c>
      <c r="H1296">
        <f>IF($G1296="","",IF(Sync!$X1293="","",Sync!$X1293))</f>
        <v/>
      </c>
      <c r="I1296">
        <f>IF($G1296="","",IFERROR(VLOOKUP(Sync!$X1293,OpTbl,3,0),""))</f>
        <v/>
      </c>
      <c r="J1296">
        <f>IF(OR($G1296="",Sync!$Z1293=""),"",Sync!$Z1293)</f>
        <v/>
      </c>
      <c r="K1296">
        <f>IF(OR($G1296="",Sync!$AA1293=""),"",Sync!$AA1293)</f>
        <v/>
      </c>
      <c r="L1296">
        <f>IF($G1296="",0,IF(Sync!$AB1293="",0,Sync!$AB1293))</f>
        <v/>
      </c>
      <c r="M1296">
        <f>IF($G1296="",0,IF(Sync!$AC1293="",0,Sync!$AC1293))</f>
        <v/>
      </c>
      <c r="N1296">
        <f>IF($G1296="","",IF($H1296="مرجوعی خرید",-1,1)*($L1296-$M1296*IFERROR(VLOOKUP("P01",ParamTbl,3,0),1.5))*(1-IF($I1296="خرید",IFERROR(VLOOKUP("P02",ParamTbl,3,0),1),0)/100))</f>
        <v/>
      </c>
      <c r="O1296">
        <f>IF($G1296="",0,IF($H1296="مرجوعی خرید",-1,1)*IF(Sync!$AD1293="",0,Sync!$AD1293))</f>
        <v/>
      </c>
      <c r="P1296">
        <f>IF(OR($G1296="",Sync!$W1293=""),"",Sync!$W1293)</f>
        <v/>
      </c>
      <c r="Q1296">
        <f>IF(OR($G1296="",Sync!$AE1293=""),"",Sync!$AE1293)</f>
        <v/>
      </c>
      <c r="R1296">
        <f>IF($G1296="","",IF(Sync!$V1293="","0000",IF(AND(ISNUMBER(Sync!$V1293),Sync!$V1293&gt;=0,Sync!$V1293&lt;1),RIGHT("00"&amp;HOUR(Sync!$V1293),2)&amp;RIGHT("00"&amp;MINUTE(Sync!$V1293),2),IFERROR(RIGHT("00"&amp;VALUE(LEFT(Sync!$V1293,FIND(":",Sync!$V1293)-1)),2)&amp;RIGHT("00"&amp;VALUE(MID(Sync!$V1293,FIND(":",Sync!$V1293)+1,2)),2),"0000"))))</f>
        <v/>
      </c>
    </row>
    <row r="1297">
      <c r="A1297">
        <f>IF(Sync!$U1294="","",Sync!$U1294)</f>
        <v/>
      </c>
      <c r="B1297">
        <f>IF($A1297="","",IF(ISNUMBER($A1297),IF(AND($A1297&gt;=10000101,$A1297&lt;=99991231),INT($A1297/10000),""),IFERROR(VALUE(TRIM(LEFT($A1297,FIND("/",$A1297)-1))),"")))</f>
        <v/>
      </c>
      <c r="C1297">
        <f>IF(OR($A1297="",$B1297=""),"",IF(ISNUMBER($A1297),INT(MOD($A1297,10000)/100),IFERROR(VALUE(TRIM(LEFT(MID($A1297,FIND("/",$A1297)+1,20),FIND("/",MID($A1297,FIND("/",$A1297)+1,20))-1))),"")))</f>
        <v/>
      </c>
      <c r="D1297">
        <f>IF(OR($A1297="",$B1297=""),"",IF(ISNUMBER($A1297),MOD($A1297,100),IFERROR(VALUE(TRIM(MID(MID($A1297,FIND("/",$A1297)+1,20),FIND("/",MID($A1297,FIND("/",$A1297)+1,20))+1,20))),"")))</f>
        <v/>
      </c>
      <c r="E1297">
        <f>IF($A1297="","",IF(OR($B1297="",$C1297="",$D1297="",$B1297&lt;1300,$B1297&gt;1500,$C1297&lt;1,$C1297&gt;12,$D1297&lt;1,$D1297&gt;31),"نامعتبر",RIGHT("0000"&amp;$B1297,4)&amp;"/"&amp;RIGHT("00"&amp;$C1297,2)&amp;"/"&amp;RIGHT("00"&amp;$D1297,2)))</f>
        <v/>
      </c>
      <c r="F1297">
        <f>IF(OR($E1297="",$E1297="نامعتبر"),"",LEFT($E1297,4)&amp;"/"&amp;MID($E1297,6,2))</f>
        <v/>
      </c>
      <c r="G1297">
        <f>IF(OR($E1297="",$E1297="نامعتبر",Sync!$Y1294=""),"",Sync!$Y1294)</f>
        <v/>
      </c>
      <c r="H1297">
        <f>IF($G1297="","",IF(Sync!$X1294="","",Sync!$X1294))</f>
        <v/>
      </c>
      <c r="I1297">
        <f>IF($G1297="","",IFERROR(VLOOKUP(Sync!$X1294,OpTbl,3,0),""))</f>
        <v/>
      </c>
      <c r="J1297">
        <f>IF(OR($G1297="",Sync!$Z1294=""),"",Sync!$Z1294)</f>
        <v/>
      </c>
      <c r="K1297">
        <f>IF(OR($G1297="",Sync!$AA1294=""),"",Sync!$AA1294)</f>
        <v/>
      </c>
      <c r="L1297">
        <f>IF($G1297="",0,IF(Sync!$AB1294="",0,Sync!$AB1294))</f>
        <v/>
      </c>
      <c r="M1297">
        <f>IF($G1297="",0,IF(Sync!$AC1294="",0,Sync!$AC1294))</f>
        <v/>
      </c>
      <c r="N1297">
        <f>IF($G1297="","",IF($H1297="مرجوعی خرید",-1,1)*($L1297-$M1297*IFERROR(VLOOKUP("P01",ParamTbl,3,0),1.5))*(1-IF($I1297="خرید",IFERROR(VLOOKUP("P02",ParamTbl,3,0),1),0)/100))</f>
        <v/>
      </c>
      <c r="O1297">
        <f>IF($G1297="",0,IF($H1297="مرجوعی خرید",-1,1)*IF(Sync!$AD1294="",0,Sync!$AD1294))</f>
        <v/>
      </c>
      <c r="P1297">
        <f>IF(OR($G1297="",Sync!$W1294=""),"",Sync!$W1294)</f>
        <v/>
      </c>
      <c r="Q1297">
        <f>IF(OR($G1297="",Sync!$AE1294=""),"",Sync!$AE1294)</f>
        <v/>
      </c>
      <c r="R1297">
        <f>IF($G1297="","",IF(Sync!$V1294="","0000",IF(AND(ISNUMBER(Sync!$V1294),Sync!$V1294&gt;=0,Sync!$V1294&lt;1),RIGHT("00"&amp;HOUR(Sync!$V1294),2)&amp;RIGHT("00"&amp;MINUTE(Sync!$V1294),2),IFERROR(RIGHT("00"&amp;VALUE(LEFT(Sync!$V1294,FIND(":",Sync!$V1294)-1)),2)&amp;RIGHT("00"&amp;VALUE(MID(Sync!$V1294,FIND(":",Sync!$V1294)+1,2)),2),"0000"))))</f>
        <v/>
      </c>
    </row>
    <row r="1298">
      <c r="A1298">
        <f>IF(Sync!$U1295="","",Sync!$U1295)</f>
        <v/>
      </c>
      <c r="B1298">
        <f>IF($A1298="","",IF(ISNUMBER($A1298),IF(AND($A1298&gt;=10000101,$A1298&lt;=99991231),INT($A1298/10000),""),IFERROR(VALUE(TRIM(LEFT($A1298,FIND("/",$A1298)-1))),"")))</f>
        <v/>
      </c>
      <c r="C1298">
        <f>IF(OR($A1298="",$B1298=""),"",IF(ISNUMBER($A1298),INT(MOD($A1298,10000)/100),IFERROR(VALUE(TRIM(LEFT(MID($A1298,FIND("/",$A1298)+1,20),FIND("/",MID($A1298,FIND("/",$A1298)+1,20))-1))),"")))</f>
        <v/>
      </c>
      <c r="D1298">
        <f>IF(OR($A1298="",$B1298=""),"",IF(ISNUMBER($A1298),MOD($A1298,100),IFERROR(VALUE(TRIM(MID(MID($A1298,FIND("/",$A1298)+1,20),FIND("/",MID($A1298,FIND("/",$A1298)+1,20))+1,20))),"")))</f>
        <v/>
      </c>
      <c r="E1298">
        <f>IF($A1298="","",IF(OR($B1298="",$C1298="",$D1298="",$B1298&lt;1300,$B1298&gt;1500,$C1298&lt;1,$C1298&gt;12,$D1298&lt;1,$D1298&gt;31),"نامعتبر",RIGHT("0000"&amp;$B1298,4)&amp;"/"&amp;RIGHT("00"&amp;$C1298,2)&amp;"/"&amp;RIGHT("00"&amp;$D1298,2)))</f>
        <v/>
      </c>
      <c r="F1298">
        <f>IF(OR($E1298="",$E1298="نامعتبر"),"",LEFT($E1298,4)&amp;"/"&amp;MID($E1298,6,2))</f>
        <v/>
      </c>
      <c r="G1298">
        <f>IF(OR($E1298="",$E1298="نامعتبر",Sync!$Y1295=""),"",Sync!$Y1295)</f>
        <v/>
      </c>
      <c r="H1298">
        <f>IF($G1298="","",IF(Sync!$X1295="","",Sync!$X1295))</f>
        <v/>
      </c>
      <c r="I1298">
        <f>IF($G1298="","",IFERROR(VLOOKUP(Sync!$X1295,OpTbl,3,0),""))</f>
        <v/>
      </c>
      <c r="J1298">
        <f>IF(OR($G1298="",Sync!$Z1295=""),"",Sync!$Z1295)</f>
        <v/>
      </c>
      <c r="K1298">
        <f>IF(OR($G1298="",Sync!$AA1295=""),"",Sync!$AA1295)</f>
        <v/>
      </c>
      <c r="L1298">
        <f>IF($G1298="",0,IF(Sync!$AB1295="",0,Sync!$AB1295))</f>
        <v/>
      </c>
      <c r="M1298">
        <f>IF($G1298="",0,IF(Sync!$AC1295="",0,Sync!$AC1295))</f>
        <v/>
      </c>
      <c r="N1298">
        <f>IF($G1298="","",IF($H1298="مرجوعی خرید",-1,1)*($L1298-$M1298*IFERROR(VLOOKUP("P01",ParamTbl,3,0),1.5))*(1-IF($I1298="خرید",IFERROR(VLOOKUP("P02",ParamTbl,3,0),1),0)/100))</f>
        <v/>
      </c>
      <c r="O1298">
        <f>IF($G1298="",0,IF($H1298="مرجوعی خرید",-1,1)*IF(Sync!$AD1295="",0,Sync!$AD1295))</f>
        <v/>
      </c>
      <c r="P1298">
        <f>IF(OR($G1298="",Sync!$W1295=""),"",Sync!$W1295)</f>
        <v/>
      </c>
      <c r="Q1298">
        <f>IF(OR($G1298="",Sync!$AE1295=""),"",Sync!$AE1295)</f>
        <v/>
      </c>
      <c r="R1298">
        <f>IF($G1298="","",IF(Sync!$V1295="","0000",IF(AND(ISNUMBER(Sync!$V1295),Sync!$V1295&gt;=0,Sync!$V1295&lt;1),RIGHT("00"&amp;HOUR(Sync!$V1295),2)&amp;RIGHT("00"&amp;MINUTE(Sync!$V1295),2),IFERROR(RIGHT("00"&amp;VALUE(LEFT(Sync!$V1295,FIND(":",Sync!$V1295)-1)),2)&amp;RIGHT("00"&amp;VALUE(MID(Sync!$V1295,FIND(":",Sync!$V1295)+1,2)),2),"0000"))))</f>
        <v/>
      </c>
    </row>
    <row r="1299">
      <c r="A1299">
        <f>IF(Sync!$U1296="","",Sync!$U1296)</f>
        <v/>
      </c>
      <c r="B1299">
        <f>IF($A1299="","",IF(ISNUMBER($A1299),IF(AND($A1299&gt;=10000101,$A1299&lt;=99991231),INT($A1299/10000),""),IFERROR(VALUE(TRIM(LEFT($A1299,FIND("/",$A1299)-1))),"")))</f>
        <v/>
      </c>
      <c r="C1299">
        <f>IF(OR($A1299="",$B1299=""),"",IF(ISNUMBER($A1299),INT(MOD($A1299,10000)/100),IFERROR(VALUE(TRIM(LEFT(MID($A1299,FIND("/",$A1299)+1,20),FIND("/",MID($A1299,FIND("/",$A1299)+1,20))-1))),"")))</f>
        <v/>
      </c>
      <c r="D1299">
        <f>IF(OR($A1299="",$B1299=""),"",IF(ISNUMBER($A1299),MOD($A1299,100),IFERROR(VALUE(TRIM(MID(MID($A1299,FIND("/",$A1299)+1,20),FIND("/",MID($A1299,FIND("/",$A1299)+1,20))+1,20))),"")))</f>
        <v/>
      </c>
      <c r="E1299">
        <f>IF($A1299="","",IF(OR($B1299="",$C1299="",$D1299="",$B1299&lt;1300,$B1299&gt;1500,$C1299&lt;1,$C1299&gt;12,$D1299&lt;1,$D1299&gt;31),"نامعتبر",RIGHT("0000"&amp;$B1299,4)&amp;"/"&amp;RIGHT("00"&amp;$C1299,2)&amp;"/"&amp;RIGHT("00"&amp;$D1299,2)))</f>
        <v/>
      </c>
      <c r="F1299">
        <f>IF(OR($E1299="",$E1299="نامعتبر"),"",LEFT($E1299,4)&amp;"/"&amp;MID($E1299,6,2))</f>
        <v/>
      </c>
      <c r="G1299">
        <f>IF(OR($E1299="",$E1299="نامعتبر",Sync!$Y1296=""),"",Sync!$Y1296)</f>
        <v/>
      </c>
      <c r="H1299">
        <f>IF($G1299="","",IF(Sync!$X1296="","",Sync!$X1296))</f>
        <v/>
      </c>
      <c r="I1299">
        <f>IF($G1299="","",IFERROR(VLOOKUP(Sync!$X1296,OpTbl,3,0),""))</f>
        <v/>
      </c>
      <c r="J1299">
        <f>IF(OR($G1299="",Sync!$Z1296=""),"",Sync!$Z1296)</f>
        <v/>
      </c>
      <c r="K1299">
        <f>IF(OR($G1299="",Sync!$AA1296=""),"",Sync!$AA1296)</f>
        <v/>
      </c>
      <c r="L1299">
        <f>IF($G1299="",0,IF(Sync!$AB1296="",0,Sync!$AB1296))</f>
        <v/>
      </c>
      <c r="M1299">
        <f>IF($G1299="",0,IF(Sync!$AC1296="",0,Sync!$AC1296))</f>
        <v/>
      </c>
      <c r="N1299">
        <f>IF($G1299="","",IF($H1299="مرجوعی خرید",-1,1)*($L1299-$M1299*IFERROR(VLOOKUP("P01",ParamTbl,3,0),1.5))*(1-IF($I1299="خرید",IFERROR(VLOOKUP("P02",ParamTbl,3,0),1),0)/100))</f>
        <v/>
      </c>
      <c r="O1299">
        <f>IF($G1299="",0,IF($H1299="مرجوعی خرید",-1,1)*IF(Sync!$AD1296="",0,Sync!$AD1296))</f>
        <v/>
      </c>
      <c r="P1299">
        <f>IF(OR($G1299="",Sync!$W1296=""),"",Sync!$W1296)</f>
        <v/>
      </c>
      <c r="Q1299">
        <f>IF(OR($G1299="",Sync!$AE1296=""),"",Sync!$AE1296)</f>
        <v/>
      </c>
      <c r="R1299">
        <f>IF($G1299="","",IF(Sync!$V1296="","0000",IF(AND(ISNUMBER(Sync!$V1296),Sync!$V1296&gt;=0,Sync!$V1296&lt;1),RIGHT("00"&amp;HOUR(Sync!$V1296),2)&amp;RIGHT("00"&amp;MINUTE(Sync!$V1296),2),IFERROR(RIGHT("00"&amp;VALUE(LEFT(Sync!$V1296,FIND(":",Sync!$V1296)-1)),2)&amp;RIGHT("00"&amp;VALUE(MID(Sync!$V1296,FIND(":",Sync!$V1296)+1,2)),2),"0000"))))</f>
        <v/>
      </c>
    </row>
    <row r="1300">
      <c r="A1300">
        <f>IF(Sync!$U1297="","",Sync!$U1297)</f>
        <v/>
      </c>
      <c r="B1300">
        <f>IF($A1300="","",IF(ISNUMBER($A1300),IF(AND($A1300&gt;=10000101,$A1300&lt;=99991231),INT($A1300/10000),""),IFERROR(VALUE(TRIM(LEFT($A1300,FIND("/",$A1300)-1))),"")))</f>
        <v/>
      </c>
      <c r="C1300">
        <f>IF(OR($A1300="",$B1300=""),"",IF(ISNUMBER($A1300),INT(MOD($A1300,10000)/100),IFERROR(VALUE(TRIM(LEFT(MID($A1300,FIND("/",$A1300)+1,20),FIND("/",MID($A1300,FIND("/",$A1300)+1,20))-1))),"")))</f>
        <v/>
      </c>
      <c r="D1300">
        <f>IF(OR($A1300="",$B1300=""),"",IF(ISNUMBER($A1300),MOD($A1300,100),IFERROR(VALUE(TRIM(MID(MID($A1300,FIND("/",$A1300)+1,20),FIND("/",MID($A1300,FIND("/",$A1300)+1,20))+1,20))),"")))</f>
        <v/>
      </c>
      <c r="E1300">
        <f>IF($A1300="","",IF(OR($B1300="",$C1300="",$D1300="",$B1300&lt;1300,$B1300&gt;1500,$C1300&lt;1,$C1300&gt;12,$D1300&lt;1,$D1300&gt;31),"نامعتبر",RIGHT("0000"&amp;$B1300,4)&amp;"/"&amp;RIGHT("00"&amp;$C1300,2)&amp;"/"&amp;RIGHT("00"&amp;$D1300,2)))</f>
        <v/>
      </c>
      <c r="F1300">
        <f>IF(OR($E1300="",$E1300="نامعتبر"),"",LEFT($E1300,4)&amp;"/"&amp;MID($E1300,6,2))</f>
        <v/>
      </c>
      <c r="G1300">
        <f>IF(OR($E1300="",$E1300="نامعتبر",Sync!$Y1297=""),"",Sync!$Y1297)</f>
        <v/>
      </c>
      <c r="H1300">
        <f>IF($G1300="","",IF(Sync!$X1297="","",Sync!$X1297))</f>
        <v/>
      </c>
      <c r="I1300">
        <f>IF($G1300="","",IFERROR(VLOOKUP(Sync!$X1297,OpTbl,3,0),""))</f>
        <v/>
      </c>
      <c r="J1300">
        <f>IF(OR($G1300="",Sync!$Z1297=""),"",Sync!$Z1297)</f>
        <v/>
      </c>
      <c r="K1300">
        <f>IF(OR($G1300="",Sync!$AA1297=""),"",Sync!$AA1297)</f>
        <v/>
      </c>
      <c r="L1300">
        <f>IF($G1300="",0,IF(Sync!$AB1297="",0,Sync!$AB1297))</f>
        <v/>
      </c>
      <c r="M1300">
        <f>IF($G1300="",0,IF(Sync!$AC1297="",0,Sync!$AC1297))</f>
        <v/>
      </c>
      <c r="N1300">
        <f>IF($G1300="","",IF($H1300="مرجوعی خرید",-1,1)*($L1300-$M1300*IFERROR(VLOOKUP("P01",ParamTbl,3,0),1.5))*(1-IF($I1300="خرید",IFERROR(VLOOKUP("P02",ParamTbl,3,0),1),0)/100))</f>
        <v/>
      </c>
      <c r="O1300">
        <f>IF($G1300="",0,IF($H1300="مرجوعی خرید",-1,1)*IF(Sync!$AD1297="",0,Sync!$AD1297))</f>
        <v/>
      </c>
      <c r="P1300">
        <f>IF(OR($G1300="",Sync!$W1297=""),"",Sync!$W1297)</f>
        <v/>
      </c>
      <c r="Q1300">
        <f>IF(OR($G1300="",Sync!$AE1297=""),"",Sync!$AE1297)</f>
        <v/>
      </c>
      <c r="R1300">
        <f>IF($G1300="","",IF(Sync!$V1297="","0000",IF(AND(ISNUMBER(Sync!$V1297),Sync!$V1297&gt;=0,Sync!$V1297&lt;1),RIGHT("00"&amp;HOUR(Sync!$V1297),2)&amp;RIGHT("00"&amp;MINUTE(Sync!$V1297),2),IFERROR(RIGHT("00"&amp;VALUE(LEFT(Sync!$V1297,FIND(":",Sync!$V1297)-1)),2)&amp;RIGHT("00"&amp;VALUE(MID(Sync!$V1297,FIND(":",Sync!$V1297)+1,2)),2),"0000"))))</f>
        <v/>
      </c>
    </row>
    <row r="1301">
      <c r="A1301">
        <f>IF(Sync!$U1298="","",Sync!$U1298)</f>
        <v/>
      </c>
      <c r="B1301">
        <f>IF($A1301="","",IF(ISNUMBER($A1301),IF(AND($A1301&gt;=10000101,$A1301&lt;=99991231),INT($A1301/10000),""),IFERROR(VALUE(TRIM(LEFT($A1301,FIND("/",$A1301)-1))),"")))</f>
        <v/>
      </c>
      <c r="C1301">
        <f>IF(OR($A1301="",$B1301=""),"",IF(ISNUMBER($A1301),INT(MOD($A1301,10000)/100),IFERROR(VALUE(TRIM(LEFT(MID($A1301,FIND("/",$A1301)+1,20),FIND("/",MID($A1301,FIND("/",$A1301)+1,20))-1))),"")))</f>
        <v/>
      </c>
      <c r="D1301">
        <f>IF(OR($A1301="",$B1301=""),"",IF(ISNUMBER($A1301),MOD($A1301,100),IFERROR(VALUE(TRIM(MID(MID($A1301,FIND("/",$A1301)+1,20),FIND("/",MID($A1301,FIND("/",$A1301)+1,20))+1,20))),"")))</f>
        <v/>
      </c>
      <c r="E1301">
        <f>IF($A1301="","",IF(OR($B1301="",$C1301="",$D1301="",$B1301&lt;1300,$B1301&gt;1500,$C1301&lt;1,$C1301&gt;12,$D1301&lt;1,$D1301&gt;31),"نامعتبر",RIGHT("0000"&amp;$B1301,4)&amp;"/"&amp;RIGHT("00"&amp;$C1301,2)&amp;"/"&amp;RIGHT("00"&amp;$D1301,2)))</f>
        <v/>
      </c>
      <c r="F1301">
        <f>IF(OR($E1301="",$E1301="نامعتبر"),"",LEFT($E1301,4)&amp;"/"&amp;MID($E1301,6,2))</f>
        <v/>
      </c>
      <c r="G1301">
        <f>IF(OR($E1301="",$E1301="نامعتبر",Sync!$Y1298=""),"",Sync!$Y1298)</f>
        <v/>
      </c>
      <c r="H1301">
        <f>IF($G1301="","",IF(Sync!$X1298="","",Sync!$X1298))</f>
        <v/>
      </c>
      <c r="I1301">
        <f>IF($G1301="","",IFERROR(VLOOKUP(Sync!$X1298,OpTbl,3,0),""))</f>
        <v/>
      </c>
      <c r="J1301">
        <f>IF(OR($G1301="",Sync!$Z1298=""),"",Sync!$Z1298)</f>
        <v/>
      </c>
      <c r="K1301">
        <f>IF(OR($G1301="",Sync!$AA1298=""),"",Sync!$AA1298)</f>
        <v/>
      </c>
      <c r="L1301">
        <f>IF($G1301="",0,IF(Sync!$AB1298="",0,Sync!$AB1298))</f>
        <v/>
      </c>
      <c r="M1301">
        <f>IF($G1301="",0,IF(Sync!$AC1298="",0,Sync!$AC1298))</f>
        <v/>
      </c>
      <c r="N1301">
        <f>IF($G1301="","",IF($H1301="مرجوعی خرید",-1,1)*($L1301-$M1301*IFERROR(VLOOKUP("P01",ParamTbl,3,0),1.5))*(1-IF($I1301="خرید",IFERROR(VLOOKUP("P02",ParamTbl,3,0),1),0)/100))</f>
        <v/>
      </c>
      <c r="O1301">
        <f>IF($G1301="",0,IF($H1301="مرجوعی خرید",-1,1)*IF(Sync!$AD1298="",0,Sync!$AD1298))</f>
        <v/>
      </c>
      <c r="P1301">
        <f>IF(OR($G1301="",Sync!$W1298=""),"",Sync!$W1298)</f>
        <v/>
      </c>
      <c r="Q1301">
        <f>IF(OR($G1301="",Sync!$AE1298=""),"",Sync!$AE1298)</f>
        <v/>
      </c>
      <c r="R1301">
        <f>IF($G1301="","",IF(Sync!$V1298="","0000",IF(AND(ISNUMBER(Sync!$V1298),Sync!$V1298&gt;=0,Sync!$V1298&lt;1),RIGHT("00"&amp;HOUR(Sync!$V1298),2)&amp;RIGHT("00"&amp;MINUTE(Sync!$V1298),2),IFERROR(RIGHT("00"&amp;VALUE(LEFT(Sync!$V1298,FIND(":",Sync!$V1298)-1)),2)&amp;RIGHT("00"&amp;VALUE(MID(Sync!$V1298,FIND(":",Sync!$V1298)+1,2)),2),"0000"))))</f>
        <v/>
      </c>
    </row>
    <row r="1302">
      <c r="A1302">
        <f>IF(Sync!$U1299="","",Sync!$U1299)</f>
        <v/>
      </c>
      <c r="B1302">
        <f>IF($A1302="","",IF(ISNUMBER($A1302),IF(AND($A1302&gt;=10000101,$A1302&lt;=99991231),INT($A1302/10000),""),IFERROR(VALUE(TRIM(LEFT($A1302,FIND("/",$A1302)-1))),"")))</f>
        <v/>
      </c>
      <c r="C1302">
        <f>IF(OR($A1302="",$B1302=""),"",IF(ISNUMBER($A1302),INT(MOD($A1302,10000)/100),IFERROR(VALUE(TRIM(LEFT(MID($A1302,FIND("/",$A1302)+1,20),FIND("/",MID($A1302,FIND("/",$A1302)+1,20))-1))),"")))</f>
        <v/>
      </c>
      <c r="D1302">
        <f>IF(OR($A1302="",$B1302=""),"",IF(ISNUMBER($A1302),MOD($A1302,100),IFERROR(VALUE(TRIM(MID(MID($A1302,FIND("/",$A1302)+1,20),FIND("/",MID($A1302,FIND("/",$A1302)+1,20))+1,20))),"")))</f>
        <v/>
      </c>
      <c r="E1302">
        <f>IF($A1302="","",IF(OR($B1302="",$C1302="",$D1302="",$B1302&lt;1300,$B1302&gt;1500,$C1302&lt;1,$C1302&gt;12,$D1302&lt;1,$D1302&gt;31),"نامعتبر",RIGHT("0000"&amp;$B1302,4)&amp;"/"&amp;RIGHT("00"&amp;$C1302,2)&amp;"/"&amp;RIGHT("00"&amp;$D1302,2)))</f>
        <v/>
      </c>
      <c r="F1302">
        <f>IF(OR($E1302="",$E1302="نامعتبر"),"",LEFT($E1302,4)&amp;"/"&amp;MID($E1302,6,2))</f>
        <v/>
      </c>
      <c r="G1302">
        <f>IF(OR($E1302="",$E1302="نامعتبر",Sync!$Y1299=""),"",Sync!$Y1299)</f>
        <v/>
      </c>
      <c r="H1302">
        <f>IF($G1302="","",IF(Sync!$X1299="","",Sync!$X1299))</f>
        <v/>
      </c>
      <c r="I1302">
        <f>IF($G1302="","",IFERROR(VLOOKUP(Sync!$X1299,OpTbl,3,0),""))</f>
        <v/>
      </c>
      <c r="J1302">
        <f>IF(OR($G1302="",Sync!$Z1299=""),"",Sync!$Z1299)</f>
        <v/>
      </c>
      <c r="K1302">
        <f>IF(OR($G1302="",Sync!$AA1299=""),"",Sync!$AA1299)</f>
        <v/>
      </c>
      <c r="L1302">
        <f>IF($G1302="",0,IF(Sync!$AB1299="",0,Sync!$AB1299))</f>
        <v/>
      </c>
      <c r="M1302">
        <f>IF($G1302="",0,IF(Sync!$AC1299="",0,Sync!$AC1299))</f>
        <v/>
      </c>
      <c r="N1302">
        <f>IF($G1302="","",IF($H1302="مرجوعی خرید",-1,1)*($L1302-$M1302*IFERROR(VLOOKUP("P01",ParamTbl,3,0),1.5))*(1-IF($I1302="خرید",IFERROR(VLOOKUP("P02",ParamTbl,3,0),1),0)/100))</f>
        <v/>
      </c>
      <c r="O1302">
        <f>IF($G1302="",0,IF($H1302="مرجوعی خرید",-1,1)*IF(Sync!$AD1299="",0,Sync!$AD1299))</f>
        <v/>
      </c>
      <c r="P1302">
        <f>IF(OR($G1302="",Sync!$W1299=""),"",Sync!$W1299)</f>
        <v/>
      </c>
      <c r="Q1302">
        <f>IF(OR($G1302="",Sync!$AE1299=""),"",Sync!$AE1299)</f>
        <v/>
      </c>
      <c r="R1302">
        <f>IF($G1302="","",IF(Sync!$V1299="","0000",IF(AND(ISNUMBER(Sync!$V1299),Sync!$V1299&gt;=0,Sync!$V1299&lt;1),RIGHT("00"&amp;HOUR(Sync!$V1299),2)&amp;RIGHT("00"&amp;MINUTE(Sync!$V1299),2),IFERROR(RIGHT("00"&amp;VALUE(LEFT(Sync!$V1299,FIND(":",Sync!$V1299)-1)),2)&amp;RIGHT("00"&amp;VALUE(MID(Sync!$V1299,FIND(":",Sync!$V1299)+1,2)),2),"0000"))))</f>
        <v/>
      </c>
    </row>
    <row r="1303">
      <c r="A1303">
        <f>IF(Sync!$U1300="","",Sync!$U1300)</f>
        <v/>
      </c>
      <c r="B1303">
        <f>IF($A1303="","",IF(ISNUMBER($A1303),IF(AND($A1303&gt;=10000101,$A1303&lt;=99991231),INT($A1303/10000),""),IFERROR(VALUE(TRIM(LEFT($A1303,FIND("/",$A1303)-1))),"")))</f>
        <v/>
      </c>
      <c r="C1303">
        <f>IF(OR($A1303="",$B1303=""),"",IF(ISNUMBER($A1303),INT(MOD($A1303,10000)/100),IFERROR(VALUE(TRIM(LEFT(MID($A1303,FIND("/",$A1303)+1,20),FIND("/",MID($A1303,FIND("/",$A1303)+1,20))-1))),"")))</f>
        <v/>
      </c>
      <c r="D1303">
        <f>IF(OR($A1303="",$B1303=""),"",IF(ISNUMBER($A1303),MOD($A1303,100),IFERROR(VALUE(TRIM(MID(MID($A1303,FIND("/",$A1303)+1,20),FIND("/",MID($A1303,FIND("/",$A1303)+1,20))+1,20))),"")))</f>
        <v/>
      </c>
      <c r="E1303">
        <f>IF($A1303="","",IF(OR($B1303="",$C1303="",$D1303="",$B1303&lt;1300,$B1303&gt;1500,$C1303&lt;1,$C1303&gt;12,$D1303&lt;1,$D1303&gt;31),"نامعتبر",RIGHT("0000"&amp;$B1303,4)&amp;"/"&amp;RIGHT("00"&amp;$C1303,2)&amp;"/"&amp;RIGHT("00"&amp;$D1303,2)))</f>
        <v/>
      </c>
      <c r="F1303">
        <f>IF(OR($E1303="",$E1303="نامعتبر"),"",LEFT($E1303,4)&amp;"/"&amp;MID($E1303,6,2))</f>
        <v/>
      </c>
      <c r="G1303">
        <f>IF(OR($E1303="",$E1303="نامعتبر",Sync!$Y1300=""),"",Sync!$Y1300)</f>
        <v/>
      </c>
      <c r="H1303">
        <f>IF($G1303="","",IF(Sync!$X1300="","",Sync!$X1300))</f>
        <v/>
      </c>
      <c r="I1303">
        <f>IF($G1303="","",IFERROR(VLOOKUP(Sync!$X1300,OpTbl,3,0),""))</f>
        <v/>
      </c>
      <c r="J1303">
        <f>IF(OR($G1303="",Sync!$Z1300=""),"",Sync!$Z1300)</f>
        <v/>
      </c>
      <c r="K1303">
        <f>IF(OR($G1303="",Sync!$AA1300=""),"",Sync!$AA1300)</f>
        <v/>
      </c>
      <c r="L1303">
        <f>IF($G1303="",0,IF(Sync!$AB1300="",0,Sync!$AB1300))</f>
        <v/>
      </c>
      <c r="M1303">
        <f>IF($G1303="",0,IF(Sync!$AC1300="",0,Sync!$AC1300))</f>
        <v/>
      </c>
      <c r="N1303">
        <f>IF($G1303="","",IF($H1303="مرجوعی خرید",-1,1)*($L1303-$M1303*IFERROR(VLOOKUP("P01",ParamTbl,3,0),1.5))*(1-IF($I1303="خرید",IFERROR(VLOOKUP("P02",ParamTbl,3,0),1),0)/100))</f>
        <v/>
      </c>
      <c r="O1303">
        <f>IF($G1303="",0,IF($H1303="مرجوعی خرید",-1,1)*IF(Sync!$AD1300="",0,Sync!$AD1300))</f>
        <v/>
      </c>
      <c r="P1303">
        <f>IF(OR($G1303="",Sync!$W1300=""),"",Sync!$W1300)</f>
        <v/>
      </c>
      <c r="Q1303">
        <f>IF(OR($G1303="",Sync!$AE1300=""),"",Sync!$AE1300)</f>
        <v/>
      </c>
      <c r="R1303">
        <f>IF($G1303="","",IF(Sync!$V1300="","0000",IF(AND(ISNUMBER(Sync!$V1300),Sync!$V1300&gt;=0,Sync!$V1300&lt;1),RIGHT("00"&amp;HOUR(Sync!$V1300),2)&amp;RIGHT("00"&amp;MINUTE(Sync!$V1300),2),IFERROR(RIGHT("00"&amp;VALUE(LEFT(Sync!$V1300,FIND(":",Sync!$V1300)-1)),2)&amp;RIGHT("00"&amp;VALUE(MID(Sync!$V1300,FIND(":",Sync!$V1300)+1,2)),2),"0000"))))</f>
        <v/>
      </c>
    </row>
    <row r="1304">
      <c r="A1304">
        <f>IF(Sync!$U1301="","",Sync!$U1301)</f>
        <v/>
      </c>
      <c r="B1304">
        <f>IF($A1304="","",IF(ISNUMBER($A1304),IF(AND($A1304&gt;=10000101,$A1304&lt;=99991231),INT($A1304/10000),""),IFERROR(VALUE(TRIM(LEFT($A1304,FIND("/",$A1304)-1))),"")))</f>
        <v/>
      </c>
      <c r="C1304">
        <f>IF(OR($A1304="",$B1304=""),"",IF(ISNUMBER($A1304),INT(MOD($A1304,10000)/100),IFERROR(VALUE(TRIM(LEFT(MID($A1304,FIND("/",$A1304)+1,20),FIND("/",MID($A1304,FIND("/",$A1304)+1,20))-1))),"")))</f>
        <v/>
      </c>
      <c r="D1304">
        <f>IF(OR($A1304="",$B1304=""),"",IF(ISNUMBER($A1304),MOD($A1304,100),IFERROR(VALUE(TRIM(MID(MID($A1304,FIND("/",$A1304)+1,20),FIND("/",MID($A1304,FIND("/",$A1304)+1,20))+1,20))),"")))</f>
        <v/>
      </c>
      <c r="E1304">
        <f>IF($A1304="","",IF(OR($B1304="",$C1304="",$D1304="",$B1304&lt;1300,$B1304&gt;1500,$C1304&lt;1,$C1304&gt;12,$D1304&lt;1,$D1304&gt;31),"نامعتبر",RIGHT("0000"&amp;$B1304,4)&amp;"/"&amp;RIGHT("00"&amp;$C1304,2)&amp;"/"&amp;RIGHT("00"&amp;$D1304,2)))</f>
        <v/>
      </c>
      <c r="F1304">
        <f>IF(OR($E1304="",$E1304="نامعتبر"),"",LEFT($E1304,4)&amp;"/"&amp;MID($E1304,6,2))</f>
        <v/>
      </c>
      <c r="G1304">
        <f>IF(OR($E1304="",$E1304="نامعتبر",Sync!$Y1301=""),"",Sync!$Y1301)</f>
        <v/>
      </c>
      <c r="H1304">
        <f>IF($G1304="","",IF(Sync!$X1301="","",Sync!$X1301))</f>
        <v/>
      </c>
      <c r="I1304">
        <f>IF($G1304="","",IFERROR(VLOOKUP(Sync!$X1301,OpTbl,3,0),""))</f>
        <v/>
      </c>
      <c r="J1304">
        <f>IF(OR($G1304="",Sync!$Z1301=""),"",Sync!$Z1301)</f>
        <v/>
      </c>
      <c r="K1304">
        <f>IF(OR($G1304="",Sync!$AA1301=""),"",Sync!$AA1301)</f>
        <v/>
      </c>
      <c r="L1304">
        <f>IF($G1304="",0,IF(Sync!$AB1301="",0,Sync!$AB1301))</f>
        <v/>
      </c>
      <c r="M1304">
        <f>IF($G1304="",0,IF(Sync!$AC1301="",0,Sync!$AC1301))</f>
        <v/>
      </c>
      <c r="N1304">
        <f>IF($G1304="","",IF($H1304="مرجوعی خرید",-1,1)*($L1304-$M1304*IFERROR(VLOOKUP("P01",ParamTbl,3,0),1.5))*(1-IF($I1304="خرید",IFERROR(VLOOKUP("P02",ParamTbl,3,0),1),0)/100))</f>
        <v/>
      </c>
      <c r="O1304">
        <f>IF($G1304="",0,IF($H1304="مرجوعی خرید",-1,1)*IF(Sync!$AD1301="",0,Sync!$AD1301))</f>
        <v/>
      </c>
      <c r="P1304">
        <f>IF(OR($G1304="",Sync!$W1301=""),"",Sync!$W1301)</f>
        <v/>
      </c>
      <c r="Q1304">
        <f>IF(OR($G1304="",Sync!$AE1301=""),"",Sync!$AE1301)</f>
        <v/>
      </c>
      <c r="R1304">
        <f>IF($G1304="","",IF(Sync!$V1301="","0000",IF(AND(ISNUMBER(Sync!$V1301),Sync!$V1301&gt;=0,Sync!$V1301&lt;1),RIGHT("00"&amp;HOUR(Sync!$V1301),2)&amp;RIGHT("00"&amp;MINUTE(Sync!$V1301),2),IFERROR(RIGHT("00"&amp;VALUE(LEFT(Sync!$V1301,FIND(":",Sync!$V1301)-1)),2)&amp;RIGHT("00"&amp;VALUE(MID(Sync!$V1301,FIND(":",Sync!$V1301)+1,2)),2),"0000"))))</f>
        <v/>
      </c>
    </row>
    <row r="1305">
      <c r="A1305">
        <f>IF(Sync!$U1302="","",Sync!$U1302)</f>
        <v/>
      </c>
      <c r="B1305">
        <f>IF($A1305="","",IF(ISNUMBER($A1305),IF(AND($A1305&gt;=10000101,$A1305&lt;=99991231),INT($A1305/10000),""),IFERROR(VALUE(TRIM(LEFT($A1305,FIND("/",$A1305)-1))),"")))</f>
        <v/>
      </c>
      <c r="C1305">
        <f>IF(OR($A1305="",$B1305=""),"",IF(ISNUMBER($A1305),INT(MOD($A1305,10000)/100),IFERROR(VALUE(TRIM(LEFT(MID($A1305,FIND("/",$A1305)+1,20),FIND("/",MID($A1305,FIND("/",$A1305)+1,20))-1))),"")))</f>
        <v/>
      </c>
      <c r="D1305">
        <f>IF(OR($A1305="",$B1305=""),"",IF(ISNUMBER($A1305),MOD($A1305,100),IFERROR(VALUE(TRIM(MID(MID($A1305,FIND("/",$A1305)+1,20),FIND("/",MID($A1305,FIND("/",$A1305)+1,20))+1,20))),"")))</f>
        <v/>
      </c>
      <c r="E1305">
        <f>IF($A1305="","",IF(OR($B1305="",$C1305="",$D1305="",$B1305&lt;1300,$B1305&gt;1500,$C1305&lt;1,$C1305&gt;12,$D1305&lt;1,$D1305&gt;31),"نامعتبر",RIGHT("0000"&amp;$B1305,4)&amp;"/"&amp;RIGHT("00"&amp;$C1305,2)&amp;"/"&amp;RIGHT("00"&amp;$D1305,2)))</f>
        <v/>
      </c>
      <c r="F1305">
        <f>IF(OR($E1305="",$E1305="نامعتبر"),"",LEFT($E1305,4)&amp;"/"&amp;MID($E1305,6,2))</f>
        <v/>
      </c>
      <c r="G1305">
        <f>IF(OR($E1305="",$E1305="نامعتبر",Sync!$Y1302=""),"",Sync!$Y1302)</f>
        <v/>
      </c>
      <c r="H1305">
        <f>IF($G1305="","",IF(Sync!$X1302="","",Sync!$X1302))</f>
        <v/>
      </c>
      <c r="I1305">
        <f>IF($G1305="","",IFERROR(VLOOKUP(Sync!$X1302,OpTbl,3,0),""))</f>
        <v/>
      </c>
      <c r="J1305">
        <f>IF(OR($G1305="",Sync!$Z1302=""),"",Sync!$Z1302)</f>
        <v/>
      </c>
      <c r="K1305">
        <f>IF(OR($G1305="",Sync!$AA1302=""),"",Sync!$AA1302)</f>
        <v/>
      </c>
      <c r="L1305">
        <f>IF($G1305="",0,IF(Sync!$AB1302="",0,Sync!$AB1302))</f>
        <v/>
      </c>
      <c r="M1305">
        <f>IF($G1305="",0,IF(Sync!$AC1302="",0,Sync!$AC1302))</f>
        <v/>
      </c>
      <c r="N1305">
        <f>IF($G1305="","",IF($H1305="مرجوعی خرید",-1,1)*($L1305-$M1305*IFERROR(VLOOKUP("P01",ParamTbl,3,0),1.5))*(1-IF($I1305="خرید",IFERROR(VLOOKUP("P02",ParamTbl,3,0),1),0)/100))</f>
        <v/>
      </c>
      <c r="O1305">
        <f>IF($G1305="",0,IF($H1305="مرجوعی خرید",-1,1)*IF(Sync!$AD1302="",0,Sync!$AD1302))</f>
        <v/>
      </c>
      <c r="P1305">
        <f>IF(OR($G1305="",Sync!$W1302=""),"",Sync!$W1302)</f>
        <v/>
      </c>
      <c r="Q1305">
        <f>IF(OR($G1305="",Sync!$AE1302=""),"",Sync!$AE1302)</f>
        <v/>
      </c>
      <c r="R1305">
        <f>IF($G1305="","",IF(Sync!$V1302="","0000",IF(AND(ISNUMBER(Sync!$V1302),Sync!$V1302&gt;=0,Sync!$V1302&lt;1),RIGHT("00"&amp;HOUR(Sync!$V1302),2)&amp;RIGHT("00"&amp;MINUTE(Sync!$V1302),2),IFERROR(RIGHT("00"&amp;VALUE(LEFT(Sync!$V1302,FIND(":",Sync!$V1302)-1)),2)&amp;RIGHT("00"&amp;VALUE(MID(Sync!$V1302,FIND(":",Sync!$V1302)+1,2)),2),"0000"))))</f>
        <v/>
      </c>
    </row>
    <row r="1306">
      <c r="A1306">
        <f>IF(Sync!$U1303="","",Sync!$U1303)</f>
        <v/>
      </c>
      <c r="B1306">
        <f>IF($A1306="","",IF(ISNUMBER($A1306),IF(AND($A1306&gt;=10000101,$A1306&lt;=99991231),INT($A1306/10000),""),IFERROR(VALUE(TRIM(LEFT($A1306,FIND("/",$A1306)-1))),"")))</f>
        <v/>
      </c>
      <c r="C1306">
        <f>IF(OR($A1306="",$B1306=""),"",IF(ISNUMBER($A1306),INT(MOD($A1306,10000)/100),IFERROR(VALUE(TRIM(LEFT(MID($A1306,FIND("/",$A1306)+1,20),FIND("/",MID($A1306,FIND("/",$A1306)+1,20))-1))),"")))</f>
        <v/>
      </c>
      <c r="D1306">
        <f>IF(OR($A1306="",$B1306=""),"",IF(ISNUMBER($A1306),MOD($A1306,100),IFERROR(VALUE(TRIM(MID(MID($A1306,FIND("/",$A1306)+1,20),FIND("/",MID($A1306,FIND("/",$A1306)+1,20))+1,20))),"")))</f>
        <v/>
      </c>
      <c r="E1306">
        <f>IF($A1306="","",IF(OR($B1306="",$C1306="",$D1306="",$B1306&lt;1300,$B1306&gt;1500,$C1306&lt;1,$C1306&gt;12,$D1306&lt;1,$D1306&gt;31),"نامعتبر",RIGHT("0000"&amp;$B1306,4)&amp;"/"&amp;RIGHT("00"&amp;$C1306,2)&amp;"/"&amp;RIGHT("00"&amp;$D1306,2)))</f>
        <v/>
      </c>
      <c r="F1306">
        <f>IF(OR($E1306="",$E1306="نامعتبر"),"",LEFT($E1306,4)&amp;"/"&amp;MID($E1306,6,2))</f>
        <v/>
      </c>
      <c r="G1306">
        <f>IF(OR($E1306="",$E1306="نامعتبر",Sync!$Y1303=""),"",Sync!$Y1303)</f>
        <v/>
      </c>
      <c r="H1306">
        <f>IF($G1306="","",IF(Sync!$X1303="","",Sync!$X1303))</f>
        <v/>
      </c>
      <c r="I1306">
        <f>IF($G1306="","",IFERROR(VLOOKUP(Sync!$X1303,OpTbl,3,0),""))</f>
        <v/>
      </c>
      <c r="J1306">
        <f>IF(OR($G1306="",Sync!$Z1303=""),"",Sync!$Z1303)</f>
        <v/>
      </c>
      <c r="K1306">
        <f>IF(OR($G1306="",Sync!$AA1303=""),"",Sync!$AA1303)</f>
        <v/>
      </c>
      <c r="L1306">
        <f>IF($G1306="",0,IF(Sync!$AB1303="",0,Sync!$AB1303))</f>
        <v/>
      </c>
      <c r="M1306">
        <f>IF($G1306="",0,IF(Sync!$AC1303="",0,Sync!$AC1303))</f>
        <v/>
      </c>
      <c r="N1306">
        <f>IF($G1306="","",IF($H1306="مرجوعی خرید",-1,1)*($L1306-$M1306*IFERROR(VLOOKUP("P01",ParamTbl,3,0),1.5))*(1-IF($I1306="خرید",IFERROR(VLOOKUP("P02",ParamTbl,3,0),1),0)/100))</f>
        <v/>
      </c>
      <c r="O1306">
        <f>IF($G1306="",0,IF($H1306="مرجوعی خرید",-1,1)*IF(Sync!$AD1303="",0,Sync!$AD1303))</f>
        <v/>
      </c>
      <c r="P1306">
        <f>IF(OR($G1306="",Sync!$W1303=""),"",Sync!$W1303)</f>
        <v/>
      </c>
      <c r="Q1306">
        <f>IF(OR($G1306="",Sync!$AE1303=""),"",Sync!$AE1303)</f>
        <v/>
      </c>
      <c r="R1306">
        <f>IF($G1306="","",IF(Sync!$V1303="","0000",IF(AND(ISNUMBER(Sync!$V1303),Sync!$V1303&gt;=0,Sync!$V1303&lt;1),RIGHT("00"&amp;HOUR(Sync!$V1303),2)&amp;RIGHT("00"&amp;MINUTE(Sync!$V1303),2),IFERROR(RIGHT("00"&amp;VALUE(LEFT(Sync!$V1303,FIND(":",Sync!$V1303)-1)),2)&amp;RIGHT("00"&amp;VALUE(MID(Sync!$V1303,FIND(":",Sync!$V1303)+1,2)),2),"0000"))))</f>
        <v/>
      </c>
    </row>
    <row r="1307">
      <c r="A1307">
        <f>IF(Sync!$U1304="","",Sync!$U1304)</f>
        <v/>
      </c>
      <c r="B1307">
        <f>IF($A1307="","",IF(ISNUMBER($A1307),IF(AND($A1307&gt;=10000101,$A1307&lt;=99991231),INT($A1307/10000),""),IFERROR(VALUE(TRIM(LEFT($A1307,FIND("/",$A1307)-1))),"")))</f>
        <v/>
      </c>
      <c r="C1307">
        <f>IF(OR($A1307="",$B1307=""),"",IF(ISNUMBER($A1307),INT(MOD($A1307,10000)/100),IFERROR(VALUE(TRIM(LEFT(MID($A1307,FIND("/",$A1307)+1,20),FIND("/",MID($A1307,FIND("/",$A1307)+1,20))-1))),"")))</f>
        <v/>
      </c>
      <c r="D1307">
        <f>IF(OR($A1307="",$B1307=""),"",IF(ISNUMBER($A1307),MOD($A1307,100),IFERROR(VALUE(TRIM(MID(MID($A1307,FIND("/",$A1307)+1,20),FIND("/",MID($A1307,FIND("/",$A1307)+1,20))+1,20))),"")))</f>
        <v/>
      </c>
      <c r="E1307">
        <f>IF($A1307="","",IF(OR($B1307="",$C1307="",$D1307="",$B1307&lt;1300,$B1307&gt;1500,$C1307&lt;1,$C1307&gt;12,$D1307&lt;1,$D1307&gt;31),"نامعتبر",RIGHT("0000"&amp;$B1307,4)&amp;"/"&amp;RIGHT("00"&amp;$C1307,2)&amp;"/"&amp;RIGHT("00"&amp;$D1307,2)))</f>
        <v/>
      </c>
      <c r="F1307">
        <f>IF(OR($E1307="",$E1307="نامعتبر"),"",LEFT($E1307,4)&amp;"/"&amp;MID($E1307,6,2))</f>
        <v/>
      </c>
      <c r="G1307">
        <f>IF(OR($E1307="",$E1307="نامعتبر",Sync!$Y1304=""),"",Sync!$Y1304)</f>
        <v/>
      </c>
      <c r="H1307">
        <f>IF($G1307="","",IF(Sync!$X1304="","",Sync!$X1304))</f>
        <v/>
      </c>
      <c r="I1307">
        <f>IF($G1307="","",IFERROR(VLOOKUP(Sync!$X1304,OpTbl,3,0),""))</f>
        <v/>
      </c>
      <c r="J1307">
        <f>IF(OR($G1307="",Sync!$Z1304=""),"",Sync!$Z1304)</f>
        <v/>
      </c>
      <c r="K1307">
        <f>IF(OR($G1307="",Sync!$AA1304=""),"",Sync!$AA1304)</f>
        <v/>
      </c>
      <c r="L1307">
        <f>IF($G1307="",0,IF(Sync!$AB1304="",0,Sync!$AB1304))</f>
        <v/>
      </c>
      <c r="M1307">
        <f>IF($G1307="",0,IF(Sync!$AC1304="",0,Sync!$AC1304))</f>
        <v/>
      </c>
      <c r="N1307">
        <f>IF($G1307="","",IF($H1307="مرجوعی خرید",-1,1)*($L1307-$M1307*IFERROR(VLOOKUP("P01",ParamTbl,3,0),1.5))*(1-IF($I1307="خرید",IFERROR(VLOOKUP("P02",ParamTbl,3,0),1),0)/100))</f>
        <v/>
      </c>
      <c r="O1307">
        <f>IF($G1307="",0,IF($H1307="مرجوعی خرید",-1,1)*IF(Sync!$AD1304="",0,Sync!$AD1304))</f>
        <v/>
      </c>
      <c r="P1307">
        <f>IF(OR($G1307="",Sync!$W1304=""),"",Sync!$W1304)</f>
        <v/>
      </c>
      <c r="Q1307">
        <f>IF(OR($G1307="",Sync!$AE1304=""),"",Sync!$AE1304)</f>
        <v/>
      </c>
      <c r="R1307">
        <f>IF($G1307="","",IF(Sync!$V1304="","0000",IF(AND(ISNUMBER(Sync!$V1304),Sync!$V1304&gt;=0,Sync!$V1304&lt;1),RIGHT("00"&amp;HOUR(Sync!$V1304),2)&amp;RIGHT("00"&amp;MINUTE(Sync!$V1304),2),IFERROR(RIGHT("00"&amp;VALUE(LEFT(Sync!$V1304,FIND(":",Sync!$V1304)-1)),2)&amp;RIGHT("00"&amp;VALUE(MID(Sync!$V1304,FIND(":",Sync!$V1304)+1,2)),2),"0000"))))</f>
        <v/>
      </c>
    </row>
    <row r="1308">
      <c r="A1308">
        <f>IF(Sync!$U1305="","",Sync!$U1305)</f>
        <v/>
      </c>
      <c r="B1308">
        <f>IF($A1308="","",IF(ISNUMBER($A1308),IF(AND($A1308&gt;=10000101,$A1308&lt;=99991231),INT($A1308/10000),""),IFERROR(VALUE(TRIM(LEFT($A1308,FIND("/",$A1308)-1))),"")))</f>
        <v/>
      </c>
      <c r="C1308">
        <f>IF(OR($A1308="",$B1308=""),"",IF(ISNUMBER($A1308),INT(MOD($A1308,10000)/100),IFERROR(VALUE(TRIM(LEFT(MID($A1308,FIND("/",$A1308)+1,20),FIND("/",MID($A1308,FIND("/",$A1308)+1,20))-1))),"")))</f>
        <v/>
      </c>
      <c r="D1308">
        <f>IF(OR($A1308="",$B1308=""),"",IF(ISNUMBER($A1308),MOD($A1308,100),IFERROR(VALUE(TRIM(MID(MID($A1308,FIND("/",$A1308)+1,20),FIND("/",MID($A1308,FIND("/",$A1308)+1,20))+1,20))),"")))</f>
        <v/>
      </c>
      <c r="E1308">
        <f>IF($A1308="","",IF(OR($B1308="",$C1308="",$D1308="",$B1308&lt;1300,$B1308&gt;1500,$C1308&lt;1,$C1308&gt;12,$D1308&lt;1,$D1308&gt;31),"نامعتبر",RIGHT("0000"&amp;$B1308,4)&amp;"/"&amp;RIGHT("00"&amp;$C1308,2)&amp;"/"&amp;RIGHT("00"&amp;$D1308,2)))</f>
        <v/>
      </c>
      <c r="F1308">
        <f>IF(OR($E1308="",$E1308="نامعتبر"),"",LEFT($E1308,4)&amp;"/"&amp;MID($E1308,6,2))</f>
        <v/>
      </c>
      <c r="G1308">
        <f>IF(OR($E1308="",$E1308="نامعتبر",Sync!$Y1305=""),"",Sync!$Y1305)</f>
        <v/>
      </c>
      <c r="H1308">
        <f>IF($G1308="","",IF(Sync!$X1305="","",Sync!$X1305))</f>
        <v/>
      </c>
      <c r="I1308">
        <f>IF($G1308="","",IFERROR(VLOOKUP(Sync!$X1305,OpTbl,3,0),""))</f>
        <v/>
      </c>
      <c r="J1308">
        <f>IF(OR($G1308="",Sync!$Z1305=""),"",Sync!$Z1305)</f>
        <v/>
      </c>
      <c r="K1308">
        <f>IF(OR($G1308="",Sync!$AA1305=""),"",Sync!$AA1305)</f>
        <v/>
      </c>
      <c r="L1308">
        <f>IF($G1308="",0,IF(Sync!$AB1305="",0,Sync!$AB1305))</f>
        <v/>
      </c>
      <c r="M1308">
        <f>IF($G1308="",0,IF(Sync!$AC1305="",0,Sync!$AC1305))</f>
        <v/>
      </c>
      <c r="N1308">
        <f>IF($G1308="","",IF($H1308="مرجوعی خرید",-1,1)*($L1308-$M1308*IFERROR(VLOOKUP("P01",ParamTbl,3,0),1.5))*(1-IF($I1308="خرید",IFERROR(VLOOKUP("P02",ParamTbl,3,0),1),0)/100))</f>
        <v/>
      </c>
      <c r="O1308">
        <f>IF($G1308="",0,IF($H1308="مرجوعی خرید",-1,1)*IF(Sync!$AD1305="",0,Sync!$AD1305))</f>
        <v/>
      </c>
      <c r="P1308">
        <f>IF(OR($G1308="",Sync!$W1305=""),"",Sync!$W1305)</f>
        <v/>
      </c>
      <c r="Q1308">
        <f>IF(OR($G1308="",Sync!$AE1305=""),"",Sync!$AE1305)</f>
        <v/>
      </c>
      <c r="R1308">
        <f>IF($G1308="","",IF(Sync!$V1305="","0000",IF(AND(ISNUMBER(Sync!$V1305),Sync!$V1305&gt;=0,Sync!$V1305&lt;1),RIGHT("00"&amp;HOUR(Sync!$V1305),2)&amp;RIGHT("00"&amp;MINUTE(Sync!$V1305),2),IFERROR(RIGHT("00"&amp;VALUE(LEFT(Sync!$V1305,FIND(":",Sync!$V1305)-1)),2)&amp;RIGHT("00"&amp;VALUE(MID(Sync!$V1305,FIND(":",Sync!$V1305)+1,2)),2),"0000"))))</f>
        <v/>
      </c>
    </row>
    <row r="1309">
      <c r="A1309">
        <f>IF(Sync!$U1306="","",Sync!$U1306)</f>
        <v/>
      </c>
      <c r="B1309">
        <f>IF($A1309="","",IF(ISNUMBER($A1309),IF(AND($A1309&gt;=10000101,$A1309&lt;=99991231),INT($A1309/10000),""),IFERROR(VALUE(TRIM(LEFT($A1309,FIND("/",$A1309)-1))),"")))</f>
        <v/>
      </c>
      <c r="C1309">
        <f>IF(OR($A1309="",$B1309=""),"",IF(ISNUMBER($A1309),INT(MOD($A1309,10000)/100),IFERROR(VALUE(TRIM(LEFT(MID($A1309,FIND("/",$A1309)+1,20),FIND("/",MID($A1309,FIND("/",$A1309)+1,20))-1))),"")))</f>
        <v/>
      </c>
      <c r="D1309">
        <f>IF(OR($A1309="",$B1309=""),"",IF(ISNUMBER($A1309),MOD($A1309,100),IFERROR(VALUE(TRIM(MID(MID($A1309,FIND("/",$A1309)+1,20),FIND("/",MID($A1309,FIND("/",$A1309)+1,20))+1,20))),"")))</f>
        <v/>
      </c>
      <c r="E1309">
        <f>IF($A1309="","",IF(OR($B1309="",$C1309="",$D1309="",$B1309&lt;1300,$B1309&gt;1500,$C1309&lt;1,$C1309&gt;12,$D1309&lt;1,$D1309&gt;31),"نامعتبر",RIGHT("0000"&amp;$B1309,4)&amp;"/"&amp;RIGHT("00"&amp;$C1309,2)&amp;"/"&amp;RIGHT("00"&amp;$D1309,2)))</f>
        <v/>
      </c>
      <c r="F1309">
        <f>IF(OR($E1309="",$E1309="نامعتبر"),"",LEFT($E1309,4)&amp;"/"&amp;MID($E1309,6,2))</f>
        <v/>
      </c>
      <c r="G1309">
        <f>IF(OR($E1309="",$E1309="نامعتبر",Sync!$Y1306=""),"",Sync!$Y1306)</f>
        <v/>
      </c>
      <c r="H1309">
        <f>IF($G1309="","",IF(Sync!$X1306="","",Sync!$X1306))</f>
        <v/>
      </c>
      <c r="I1309">
        <f>IF($G1309="","",IFERROR(VLOOKUP(Sync!$X1306,OpTbl,3,0),""))</f>
        <v/>
      </c>
      <c r="J1309">
        <f>IF(OR($G1309="",Sync!$Z1306=""),"",Sync!$Z1306)</f>
        <v/>
      </c>
      <c r="K1309">
        <f>IF(OR($G1309="",Sync!$AA1306=""),"",Sync!$AA1306)</f>
        <v/>
      </c>
      <c r="L1309">
        <f>IF($G1309="",0,IF(Sync!$AB1306="",0,Sync!$AB1306))</f>
        <v/>
      </c>
      <c r="M1309">
        <f>IF($G1309="",0,IF(Sync!$AC1306="",0,Sync!$AC1306))</f>
        <v/>
      </c>
      <c r="N1309">
        <f>IF($G1309="","",IF($H1309="مرجوعی خرید",-1,1)*($L1309-$M1309*IFERROR(VLOOKUP("P01",ParamTbl,3,0),1.5))*(1-IF($I1309="خرید",IFERROR(VLOOKUP("P02",ParamTbl,3,0),1),0)/100))</f>
        <v/>
      </c>
      <c r="O1309">
        <f>IF($G1309="",0,IF($H1309="مرجوعی خرید",-1,1)*IF(Sync!$AD1306="",0,Sync!$AD1306))</f>
        <v/>
      </c>
      <c r="P1309">
        <f>IF(OR($G1309="",Sync!$W1306=""),"",Sync!$W1306)</f>
        <v/>
      </c>
      <c r="Q1309">
        <f>IF(OR($G1309="",Sync!$AE1306=""),"",Sync!$AE1306)</f>
        <v/>
      </c>
      <c r="R1309">
        <f>IF($G1309="","",IF(Sync!$V1306="","0000",IF(AND(ISNUMBER(Sync!$V1306),Sync!$V1306&gt;=0,Sync!$V1306&lt;1),RIGHT("00"&amp;HOUR(Sync!$V1306),2)&amp;RIGHT("00"&amp;MINUTE(Sync!$V1306),2),IFERROR(RIGHT("00"&amp;VALUE(LEFT(Sync!$V1306,FIND(":",Sync!$V1306)-1)),2)&amp;RIGHT("00"&amp;VALUE(MID(Sync!$V1306,FIND(":",Sync!$V1306)+1,2)),2),"0000"))))</f>
        <v/>
      </c>
    </row>
    <row r="1310">
      <c r="A1310">
        <f>IF(Sync!$U1307="","",Sync!$U1307)</f>
        <v/>
      </c>
      <c r="B1310">
        <f>IF($A1310="","",IF(ISNUMBER($A1310),IF(AND($A1310&gt;=10000101,$A1310&lt;=99991231),INT($A1310/10000),""),IFERROR(VALUE(TRIM(LEFT($A1310,FIND("/",$A1310)-1))),"")))</f>
        <v/>
      </c>
      <c r="C1310">
        <f>IF(OR($A1310="",$B1310=""),"",IF(ISNUMBER($A1310),INT(MOD($A1310,10000)/100),IFERROR(VALUE(TRIM(LEFT(MID($A1310,FIND("/",$A1310)+1,20),FIND("/",MID($A1310,FIND("/",$A1310)+1,20))-1))),"")))</f>
        <v/>
      </c>
      <c r="D1310">
        <f>IF(OR($A1310="",$B1310=""),"",IF(ISNUMBER($A1310),MOD($A1310,100),IFERROR(VALUE(TRIM(MID(MID($A1310,FIND("/",$A1310)+1,20),FIND("/",MID($A1310,FIND("/",$A1310)+1,20))+1,20))),"")))</f>
        <v/>
      </c>
      <c r="E1310">
        <f>IF($A1310="","",IF(OR($B1310="",$C1310="",$D1310="",$B1310&lt;1300,$B1310&gt;1500,$C1310&lt;1,$C1310&gt;12,$D1310&lt;1,$D1310&gt;31),"نامعتبر",RIGHT("0000"&amp;$B1310,4)&amp;"/"&amp;RIGHT("00"&amp;$C1310,2)&amp;"/"&amp;RIGHT("00"&amp;$D1310,2)))</f>
        <v/>
      </c>
      <c r="F1310">
        <f>IF(OR($E1310="",$E1310="نامعتبر"),"",LEFT($E1310,4)&amp;"/"&amp;MID($E1310,6,2))</f>
        <v/>
      </c>
      <c r="G1310">
        <f>IF(OR($E1310="",$E1310="نامعتبر",Sync!$Y1307=""),"",Sync!$Y1307)</f>
        <v/>
      </c>
      <c r="H1310">
        <f>IF($G1310="","",IF(Sync!$X1307="","",Sync!$X1307))</f>
        <v/>
      </c>
      <c r="I1310">
        <f>IF($G1310="","",IFERROR(VLOOKUP(Sync!$X1307,OpTbl,3,0),""))</f>
        <v/>
      </c>
      <c r="J1310">
        <f>IF(OR($G1310="",Sync!$Z1307=""),"",Sync!$Z1307)</f>
        <v/>
      </c>
      <c r="K1310">
        <f>IF(OR($G1310="",Sync!$AA1307=""),"",Sync!$AA1307)</f>
        <v/>
      </c>
      <c r="L1310">
        <f>IF($G1310="",0,IF(Sync!$AB1307="",0,Sync!$AB1307))</f>
        <v/>
      </c>
      <c r="M1310">
        <f>IF($G1310="",0,IF(Sync!$AC1307="",0,Sync!$AC1307))</f>
        <v/>
      </c>
      <c r="N1310">
        <f>IF($G1310="","",IF($H1310="مرجوعی خرید",-1,1)*($L1310-$M1310*IFERROR(VLOOKUP("P01",ParamTbl,3,0),1.5))*(1-IF($I1310="خرید",IFERROR(VLOOKUP("P02",ParamTbl,3,0),1),0)/100))</f>
        <v/>
      </c>
      <c r="O1310">
        <f>IF($G1310="",0,IF($H1310="مرجوعی خرید",-1,1)*IF(Sync!$AD1307="",0,Sync!$AD1307))</f>
        <v/>
      </c>
      <c r="P1310">
        <f>IF(OR($G1310="",Sync!$W1307=""),"",Sync!$W1307)</f>
        <v/>
      </c>
      <c r="Q1310">
        <f>IF(OR($G1310="",Sync!$AE1307=""),"",Sync!$AE1307)</f>
        <v/>
      </c>
      <c r="R1310">
        <f>IF($G1310="","",IF(Sync!$V1307="","0000",IF(AND(ISNUMBER(Sync!$V1307),Sync!$V1307&gt;=0,Sync!$V1307&lt;1),RIGHT("00"&amp;HOUR(Sync!$V1307),2)&amp;RIGHT("00"&amp;MINUTE(Sync!$V1307),2),IFERROR(RIGHT("00"&amp;VALUE(LEFT(Sync!$V1307,FIND(":",Sync!$V1307)-1)),2)&amp;RIGHT("00"&amp;VALUE(MID(Sync!$V1307,FIND(":",Sync!$V1307)+1,2)),2),"0000"))))</f>
        <v/>
      </c>
    </row>
    <row r="1311">
      <c r="A1311">
        <f>IF(Sync!$U1308="","",Sync!$U1308)</f>
        <v/>
      </c>
      <c r="B1311">
        <f>IF($A1311="","",IF(ISNUMBER($A1311),IF(AND($A1311&gt;=10000101,$A1311&lt;=99991231),INT($A1311/10000),""),IFERROR(VALUE(TRIM(LEFT($A1311,FIND("/",$A1311)-1))),"")))</f>
        <v/>
      </c>
      <c r="C1311">
        <f>IF(OR($A1311="",$B1311=""),"",IF(ISNUMBER($A1311),INT(MOD($A1311,10000)/100),IFERROR(VALUE(TRIM(LEFT(MID($A1311,FIND("/",$A1311)+1,20),FIND("/",MID($A1311,FIND("/",$A1311)+1,20))-1))),"")))</f>
        <v/>
      </c>
      <c r="D1311">
        <f>IF(OR($A1311="",$B1311=""),"",IF(ISNUMBER($A1311),MOD($A1311,100),IFERROR(VALUE(TRIM(MID(MID($A1311,FIND("/",$A1311)+1,20),FIND("/",MID($A1311,FIND("/",$A1311)+1,20))+1,20))),"")))</f>
        <v/>
      </c>
      <c r="E1311">
        <f>IF($A1311="","",IF(OR($B1311="",$C1311="",$D1311="",$B1311&lt;1300,$B1311&gt;1500,$C1311&lt;1,$C1311&gt;12,$D1311&lt;1,$D1311&gt;31),"نامعتبر",RIGHT("0000"&amp;$B1311,4)&amp;"/"&amp;RIGHT("00"&amp;$C1311,2)&amp;"/"&amp;RIGHT("00"&amp;$D1311,2)))</f>
        <v/>
      </c>
      <c r="F1311">
        <f>IF(OR($E1311="",$E1311="نامعتبر"),"",LEFT($E1311,4)&amp;"/"&amp;MID($E1311,6,2))</f>
        <v/>
      </c>
      <c r="G1311">
        <f>IF(OR($E1311="",$E1311="نامعتبر",Sync!$Y1308=""),"",Sync!$Y1308)</f>
        <v/>
      </c>
      <c r="H1311">
        <f>IF($G1311="","",IF(Sync!$X1308="","",Sync!$X1308))</f>
        <v/>
      </c>
      <c r="I1311">
        <f>IF($G1311="","",IFERROR(VLOOKUP(Sync!$X1308,OpTbl,3,0),""))</f>
        <v/>
      </c>
      <c r="J1311">
        <f>IF(OR($G1311="",Sync!$Z1308=""),"",Sync!$Z1308)</f>
        <v/>
      </c>
      <c r="K1311">
        <f>IF(OR($G1311="",Sync!$AA1308=""),"",Sync!$AA1308)</f>
        <v/>
      </c>
      <c r="L1311">
        <f>IF($G1311="",0,IF(Sync!$AB1308="",0,Sync!$AB1308))</f>
        <v/>
      </c>
      <c r="M1311">
        <f>IF($G1311="",0,IF(Sync!$AC1308="",0,Sync!$AC1308))</f>
        <v/>
      </c>
      <c r="N1311">
        <f>IF($G1311="","",IF($H1311="مرجوعی خرید",-1,1)*($L1311-$M1311*IFERROR(VLOOKUP("P01",ParamTbl,3,0),1.5))*(1-IF($I1311="خرید",IFERROR(VLOOKUP("P02",ParamTbl,3,0),1),0)/100))</f>
        <v/>
      </c>
      <c r="O1311">
        <f>IF($G1311="",0,IF($H1311="مرجوعی خرید",-1,1)*IF(Sync!$AD1308="",0,Sync!$AD1308))</f>
        <v/>
      </c>
      <c r="P1311">
        <f>IF(OR($G1311="",Sync!$W1308=""),"",Sync!$W1308)</f>
        <v/>
      </c>
      <c r="Q1311">
        <f>IF(OR($G1311="",Sync!$AE1308=""),"",Sync!$AE1308)</f>
        <v/>
      </c>
      <c r="R1311">
        <f>IF($G1311="","",IF(Sync!$V1308="","0000",IF(AND(ISNUMBER(Sync!$V1308),Sync!$V1308&gt;=0,Sync!$V1308&lt;1),RIGHT("00"&amp;HOUR(Sync!$V1308),2)&amp;RIGHT("00"&amp;MINUTE(Sync!$V1308),2),IFERROR(RIGHT("00"&amp;VALUE(LEFT(Sync!$V1308,FIND(":",Sync!$V1308)-1)),2)&amp;RIGHT("00"&amp;VALUE(MID(Sync!$V1308,FIND(":",Sync!$V1308)+1,2)),2),"0000"))))</f>
        <v/>
      </c>
    </row>
    <row r="1312">
      <c r="A1312">
        <f>IF(Sync!$U1309="","",Sync!$U1309)</f>
        <v/>
      </c>
      <c r="B1312">
        <f>IF($A1312="","",IF(ISNUMBER($A1312),IF(AND($A1312&gt;=10000101,$A1312&lt;=99991231),INT($A1312/10000),""),IFERROR(VALUE(TRIM(LEFT($A1312,FIND("/",$A1312)-1))),"")))</f>
        <v/>
      </c>
      <c r="C1312">
        <f>IF(OR($A1312="",$B1312=""),"",IF(ISNUMBER($A1312),INT(MOD($A1312,10000)/100),IFERROR(VALUE(TRIM(LEFT(MID($A1312,FIND("/",$A1312)+1,20),FIND("/",MID($A1312,FIND("/",$A1312)+1,20))-1))),"")))</f>
        <v/>
      </c>
      <c r="D1312">
        <f>IF(OR($A1312="",$B1312=""),"",IF(ISNUMBER($A1312),MOD($A1312,100),IFERROR(VALUE(TRIM(MID(MID($A1312,FIND("/",$A1312)+1,20),FIND("/",MID($A1312,FIND("/",$A1312)+1,20))+1,20))),"")))</f>
        <v/>
      </c>
      <c r="E1312">
        <f>IF($A1312="","",IF(OR($B1312="",$C1312="",$D1312="",$B1312&lt;1300,$B1312&gt;1500,$C1312&lt;1,$C1312&gt;12,$D1312&lt;1,$D1312&gt;31),"نامعتبر",RIGHT("0000"&amp;$B1312,4)&amp;"/"&amp;RIGHT("00"&amp;$C1312,2)&amp;"/"&amp;RIGHT("00"&amp;$D1312,2)))</f>
        <v/>
      </c>
      <c r="F1312">
        <f>IF(OR($E1312="",$E1312="نامعتبر"),"",LEFT($E1312,4)&amp;"/"&amp;MID($E1312,6,2))</f>
        <v/>
      </c>
      <c r="G1312">
        <f>IF(OR($E1312="",$E1312="نامعتبر",Sync!$Y1309=""),"",Sync!$Y1309)</f>
        <v/>
      </c>
      <c r="H1312">
        <f>IF($G1312="","",IF(Sync!$X1309="","",Sync!$X1309))</f>
        <v/>
      </c>
      <c r="I1312">
        <f>IF($G1312="","",IFERROR(VLOOKUP(Sync!$X1309,OpTbl,3,0),""))</f>
        <v/>
      </c>
      <c r="J1312">
        <f>IF(OR($G1312="",Sync!$Z1309=""),"",Sync!$Z1309)</f>
        <v/>
      </c>
      <c r="K1312">
        <f>IF(OR($G1312="",Sync!$AA1309=""),"",Sync!$AA1309)</f>
        <v/>
      </c>
      <c r="L1312">
        <f>IF($G1312="",0,IF(Sync!$AB1309="",0,Sync!$AB1309))</f>
        <v/>
      </c>
      <c r="M1312">
        <f>IF($G1312="",0,IF(Sync!$AC1309="",0,Sync!$AC1309))</f>
        <v/>
      </c>
      <c r="N1312">
        <f>IF($G1312="","",IF($H1312="مرجوعی خرید",-1,1)*($L1312-$M1312*IFERROR(VLOOKUP("P01",ParamTbl,3,0),1.5))*(1-IF($I1312="خرید",IFERROR(VLOOKUP("P02",ParamTbl,3,0),1),0)/100))</f>
        <v/>
      </c>
      <c r="O1312">
        <f>IF($G1312="",0,IF($H1312="مرجوعی خرید",-1,1)*IF(Sync!$AD1309="",0,Sync!$AD1309))</f>
        <v/>
      </c>
      <c r="P1312">
        <f>IF(OR($G1312="",Sync!$W1309=""),"",Sync!$W1309)</f>
        <v/>
      </c>
      <c r="Q1312">
        <f>IF(OR($G1312="",Sync!$AE1309=""),"",Sync!$AE1309)</f>
        <v/>
      </c>
      <c r="R1312">
        <f>IF($G1312="","",IF(Sync!$V1309="","0000",IF(AND(ISNUMBER(Sync!$V1309),Sync!$V1309&gt;=0,Sync!$V1309&lt;1),RIGHT("00"&amp;HOUR(Sync!$V1309),2)&amp;RIGHT("00"&amp;MINUTE(Sync!$V1309),2),IFERROR(RIGHT("00"&amp;VALUE(LEFT(Sync!$V1309,FIND(":",Sync!$V1309)-1)),2)&amp;RIGHT("00"&amp;VALUE(MID(Sync!$V1309,FIND(":",Sync!$V1309)+1,2)),2),"0000"))))</f>
        <v/>
      </c>
    </row>
    <row r="1313">
      <c r="A1313">
        <f>IF(Sync!$U1310="","",Sync!$U1310)</f>
        <v/>
      </c>
      <c r="B1313">
        <f>IF($A1313="","",IF(ISNUMBER($A1313),IF(AND($A1313&gt;=10000101,$A1313&lt;=99991231),INT($A1313/10000),""),IFERROR(VALUE(TRIM(LEFT($A1313,FIND("/",$A1313)-1))),"")))</f>
        <v/>
      </c>
      <c r="C1313">
        <f>IF(OR($A1313="",$B1313=""),"",IF(ISNUMBER($A1313),INT(MOD($A1313,10000)/100),IFERROR(VALUE(TRIM(LEFT(MID($A1313,FIND("/",$A1313)+1,20),FIND("/",MID($A1313,FIND("/",$A1313)+1,20))-1))),"")))</f>
        <v/>
      </c>
      <c r="D1313">
        <f>IF(OR($A1313="",$B1313=""),"",IF(ISNUMBER($A1313),MOD($A1313,100),IFERROR(VALUE(TRIM(MID(MID($A1313,FIND("/",$A1313)+1,20),FIND("/",MID($A1313,FIND("/",$A1313)+1,20))+1,20))),"")))</f>
        <v/>
      </c>
      <c r="E1313">
        <f>IF($A1313="","",IF(OR($B1313="",$C1313="",$D1313="",$B1313&lt;1300,$B1313&gt;1500,$C1313&lt;1,$C1313&gt;12,$D1313&lt;1,$D1313&gt;31),"نامعتبر",RIGHT("0000"&amp;$B1313,4)&amp;"/"&amp;RIGHT("00"&amp;$C1313,2)&amp;"/"&amp;RIGHT("00"&amp;$D1313,2)))</f>
        <v/>
      </c>
      <c r="F1313">
        <f>IF(OR($E1313="",$E1313="نامعتبر"),"",LEFT($E1313,4)&amp;"/"&amp;MID($E1313,6,2))</f>
        <v/>
      </c>
      <c r="G1313">
        <f>IF(OR($E1313="",$E1313="نامعتبر",Sync!$Y1310=""),"",Sync!$Y1310)</f>
        <v/>
      </c>
      <c r="H1313">
        <f>IF($G1313="","",IF(Sync!$X1310="","",Sync!$X1310))</f>
        <v/>
      </c>
      <c r="I1313">
        <f>IF($G1313="","",IFERROR(VLOOKUP(Sync!$X1310,OpTbl,3,0),""))</f>
        <v/>
      </c>
      <c r="J1313">
        <f>IF(OR($G1313="",Sync!$Z1310=""),"",Sync!$Z1310)</f>
        <v/>
      </c>
      <c r="K1313">
        <f>IF(OR($G1313="",Sync!$AA1310=""),"",Sync!$AA1310)</f>
        <v/>
      </c>
      <c r="L1313">
        <f>IF($G1313="",0,IF(Sync!$AB1310="",0,Sync!$AB1310))</f>
        <v/>
      </c>
      <c r="M1313">
        <f>IF($G1313="",0,IF(Sync!$AC1310="",0,Sync!$AC1310))</f>
        <v/>
      </c>
      <c r="N1313">
        <f>IF($G1313="","",IF($H1313="مرجوعی خرید",-1,1)*($L1313-$M1313*IFERROR(VLOOKUP("P01",ParamTbl,3,0),1.5))*(1-IF($I1313="خرید",IFERROR(VLOOKUP("P02",ParamTbl,3,0),1),0)/100))</f>
        <v/>
      </c>
      <c r="O1313">
        <f>IF($G1313="",0,IF($H1313="مرجوعی خرید",-1,1)*IF(Sync!$AD1310="",0,Sync!$AD1310))</f>
        <v/>
      </c>
      <c r="P1313">
        <f>IF(OR($G1313="",Sync!$W1310=""),"",Sync!$W1310)</f>
        <v/>
      </c>
      <c r="Q1313">
        <f>IF(OR($G1313="",Sync!$AE1310=""),"",Sync!$AE1310)</f>
        <v/>
      </c>
      <c r="R1313">
        <f>IF($G1313="","",IF(Sync!$V1310="","0000",IF(AND(ISNUMBER(Sync!$V1310),Sync!$V1310&gt;=0,Sync!$V1310&lt;1),RIGHT("00"&amp;HOUR(Sync!$V1310),2)&amp;RIGHT("00"&amp;MINUTE(Sync!$V1310),2),IFERROR(RIGHT("00"&amp;VALUE(LEFT(Sync!$V1310,FIND(":",Sync!$V1310)-1)),2)&amp;RIGHT("00"&amp;VALUE(MID(Sync!$V1310,FIND(":",Sync!$V1310)+1,2)),2),"0000"))))</f>
        <v/>
      </c>
    </row>
    <row r="1314">
      <c r="A1314">
        <f>IF(Sync!$U1311="","",Sync!$U1311)</f>
        <v/>
      </c>
      <c r="B1314">
        <f>IF($A1314="","",IF(ISNUMBER($A1314),IF(AND($A1314&gt;=10000101,$A1314&lt;=99991231),INT($A1314/10000),""),IFERROR(VALUE(TRIM(LEFT($A1314,FIND("/",$A1314)-1))),"")))</f>
        <v/>
      </c>
      <c r="C1314">
        <f>IF(OR($A1314="",$B1314=""),"",IF(ISNUMBER($A1314),INT(MOD($A1314,10000)/100),IFERROR(VALUE(TRIM(LEFT(MID($A1314,FIND("/",$A1314)+1,20),FIND("/",MID($A1314,FIND("/",$A1314)+1,20))-1))),"")))</f>
        <v/>
      </c>
      <c r="D1314">
        <f>IF(OR($A1314="",$B1314=""),"",IF(ISNUMBER($A1314),MOD($A1314,100),IFERROR(VALUE(TRIM(MID(MID($A1314,FIND("/",$A1314)+1,20),FIND("/",MID($A1314,FIND("/",$A1314)+1,20))+1,20))),"")))</f>
        <v/>
      </c>
      <c r="E1314">
        <f>IF($A1314="","",IF(OR($B1314="",$C1314="",$D1314="",$B1314&lt;1300,$B1314&gt;1500,$C1314&lt;1,$C1314&gt;12,$D1314&lt;1,$D1314&gt;31),"نامعتبر",RIGHT("0000"&amp;$B1314,4)&amp;"/"&amp;RIGHT("00"&amp;$C1314,2)&amp;"/"&amp;RIGHT("00"&amp;$D1314,2)))</f>
        <v/>
      </c>
      <c r="F1314">
        <f>IF(OR($E1314="",$E1314="نامعتبر"),"",LEFT($E1314,4)&amp;"/"&amp;MID($E1314,6,2))</f>
        <v/>
      </c>
      <c r="G1314">
        <f>IF(OR($E1314="",$E1314="نامعتبر",Sync!$Y1311=""),"",Sync!$Y1311)</f>
        <v/>
      </c>
      <c r="H1314">
        <f>IF($G1314="","",IF(Sync!$X1311="","",Sync!$X1311))</f>
        <v/>
      </c>
      <c r="I1314">
        <f>IF($G1314="","",IFERROR(VLOOKUP(Sync!$X1311,OpTbl,3,0),""))</f>
        <v/>
      </c>
      <c r="J1314">
        <f>IF(OR($G1314="",Sync!$Z1311=""),"",Sync!$Z1311)</f>
        <v/>
      </c>
      <c r="K1314">
        <f>IF(OR($G1314="",Sync!$AA1311=""),"",Sync!$AA1311)</f>
        <v/>
      </c>
      <c r="L1314">
        <f>IF($G1314="",0,IF(Sync!$AB1311="",0,Sync!$AB1311))</f>
        <v/>
      </c>
      <c r="M1314">
        <f>IF($G1314="",0,IF(Sync!$AC1311="",0,Sync!$AC1311))</f>
        <v/>
      </c>
      <c r="N1314">
        <f>IF($G1314="","",IF($H1314="مرجوعی خرید",-1,1)*($L1314-$M1314*IFERROR(VLOOKUP("P01",ParamTbl,3,0),1.5))*(1-IF($I1314="خرید",IFERROR(VLOOKUP("P02",ParamTbl,3,0),1),0)/100))</f>
        <v/>
      </c>
      <c r="O1314">
        <f>IF($G1314="",0,IF($H1314="مرجوعی خرید",-1,1)*IF(Sync!$AD1311="",0,Sync!$AD1311))</f>
        <v/>
      </c>
      <c r="P1314">
        <f>IF(OR($G1314="",Sync!$W1311=""),"",Sync!$W1311)</f>
        <v/>
      </c>
      <c r="Q1314">
        <f>IF(OR($G1314="",Sync!$AE1311=""),"",Sync!$AE1311)</f>
        <v/>
      </c>
      <c r="R1314">
        <f>IF($G1314="","",IF(Sync!$V1311="","0000",IF(AND(ISNUMBER(Sync!$V1311),Sync!$V1311&gt;=0,Sync!$V1311&lt;1),RIGHT("00"&amp;HOUR(Sync!$V1311),2)&amp;RIGHT("00"&amp;MINUTE(Sync!$V1311),2),IFERROR(RIGHT("00"&amp;VALUE(LEFT(Sync!$V1311,FIND(":",Sync!$V1311)-1)),2)&amp;RIGHT("00"&amp;VALUE(MID(Sync!$V1311,FIND(":",Sync!$V1311)+1,2)),2),"0000"))))</f>
        <v/>
      </c>
    </row>
    <row r="1315">
      <c r="A1315">
        <f>IF(Sync!$U1312="","",Sync!$U1312)</f>
        <v/>
      </c>
      <c r="B1315">
        <f>IF($A1315="","",IF(ISNUMBER($A1315),IF(AND($A1315&gt;=10000101,$A1315&lt;=99991231),INT($A1315/10000),""),IFERROR(VALUE(TRIM(LEFT($A1315,FIND("/",$A1315)-1))),"")))</f>
        <v/>
      </c>
      <c r="C1315">
        <f>IF(OR($A1315="",$B1315=""),"",IF(ISNUMBER($A1315),INT(MOD($A1315,10000)/100),IFERROR(VALUE(TRIM(LEFT(MID($A1315,FIND("/",$A1315)+1,20),FIND("/",MID($A1315,FIND("/",$A1315)+1,20))-1))),"")))</f>
        <v/>
      </c>
      <c r="D1315">
        <f>IF(OR($A1315="",$B1315=""),"",IF(ISNUMBER($A1315),MOD($A1315,100),IFERROR(VALUE(TRIM(MID(MID($A1315,FIND("/",$A1315)+1,20),FIND("/",MID($A1315,FIND("/",$A1315)+1,20))+1,20))),"")))</f>
        <v/>
      </c>
      <c r="E1315">
        <f>IF($A1315="","",IF(OR($B1315="",$C1315="",$D1315="",$B1315&lt;1300,$B1315&gt;1500,$C1315&lt;1,$C1315&gt;12,$D1315&lt;1,$D1315&gt;31),"نامعتبر",RIGHT("0000"&amp;$B1315,4)&amp;"/"&amp;RIGHT("00"&amp;$C1315,2)&amp;"/"&amp;RIGHT("00"&amp;$D1315,2)))</f>
        <v/>
      </c>
      <c r="F1315">
        <f>IF(OR($E1315="",$E1315="نامعتبر"),"",LEFT($E1315,4)&amp;"/"&amp;MID($E1315,6,2))</f>
        <v/>
      </c>
      <c r="G1315">
        <f>IF(OR($E1315="",$E1315="نامعتبر",Sync!$Y1312=""),"",Sync!$Y1312)</f>
        <v/>
      </c>
      <c r="H1315">
        <f>IF($G1315="","",IF(Sync!$X1312="","",Sync!$X1312))</f>
        <v/>
      </c>
      <c r="I1315">
        <f>IF($G1315="","",IFERROR(VLOOKUP(Sync!$X1312,OpTbl,3,0),""))</f>
        <v/>
      </c>
      <c r="J1315">
        <f>IF(OR($G1315="",Sync!$Z1312=""),"",Sync!$Z1312)</f>
        <v/>
      </c>
      <c r="K1315">
        <f>IF(OR($G1315="",Sync!$AA1312=""),"",Sync!$AA1312)</f>
        <v/>
      </c>
      <c r="L1315">
        <f>IF($G1315="",0,IF(Sync!$AB1312="",0,Sync!$AB1312))</f>
        <v/>
      </c>
      <c r="M1315">
        <f>IF($G1315="",0,IF(Sync!$AC1312="",0,Sync!$AC1312))</f>
        <v/>
      </c>
      <c r="N1315">
        <f>IF($G1315="","",IF($H1315="مرجوعی خرید",-1,1)*($L1315-$M1315*IFERROR(VLOOKUP("P01",ParamTbl,3,0),1.5))*(1-IF($I1315="خرید",IFERROR(VLOOKUP("P02",ParamTbl,3,0),1),0)/100))</f>
        <v/>
      </c>
      <c r="O1315">
        <f>IF($G1315="",0,IF($H1315="مرجوعی خرید",-1,1)*IF(Sync!$AD1312="",0,Sync!$AD1312))</f>
        <v/>
      </c>
      <c r="P1315">
        <f>IF(OR($G1315="",Sync!$W1312=""),"",Sync!$W1312)</f>
        <v/>
      </c>
      <c r="Q1315">
        <f>IF(OR($G1315="",Sync!$AE1312=""),"",Sync!$AE1312)</f>
        <v/>
      </c>
      <c r="R1315">
        <f>IF($G1315="","",IF(Sync!$V1312="","0000",IF(AND(ISNUMBER(Sync!$V1312),Sync!$V1312&gt;=0,Sync!$V1312&lt;1),RIGHT("00"&amp;HOUR(Sync!$V1312),2)&amp;RIGHT("00"&amp;MINUTE(Sync!$V1312),2),IFERROR(RIGHT("00"&amp;VALUE(LEFT(Sync!$V1312,FIND(":",Sync!$V1312)-1)),2)&amp;RIGHT("00"&amp;VALUE(MID(Sync!$V1312,FIND(":",Sync!$V1312)+1,2)),2),"0000"))))</f>
        <v/>
      </c>
    </row>
    <row r="1316">
      <c r="A1316">
        <f>IF(Sync!$U1313="","",Sync!$U1313)</f>
        <v/>
      </c>
      <c r="B1316">
        <f>IF($A1316="","",IF(ISNUMBER($A1316),IF(AND($A1316&gt;=10000101,$A1316&lt;=99991231),INT($A1316/10000),""),IFERROR(VALUE(TRIM(LEFT($A1316,FIND("/",$A1316)-1))),"")))</f>
        <v/>
      </c>
      <c r="C1316">
        <f>IF(OR($A1316="",$B1316=""),"",IF(ISNUMBER($A1316),INT(MOD($A1316,10000)/100),IFERROR(VALUE(TRIM(LEFT(MID($A1316,FIND("/",$A1316)+1,20),FIND("/",MID($A1316,FIND("/",$A1316)+1,20))-1))),"")))</f>
        <v/>
      </c>
      <c r="D1316">
        <f>IF(OR($A1316="",$B1316=""),"",IF(ISNUMBER($A1316),MOD($A1316,100),IFERROR(VALUE(TRIM(MID(MID($A1316,FIND("/",$A1316)+1,20),FIND("/",MID($A1316,FIND("/",$A1316)+1,20))+1,20))),"")))</f>
        <v/>
      </c>
      <c r="E1316">
        <f>IF($A1316="","",IF(OR($B1316="",$C1316="",$D1316="",$B1316&lt;1300,$B1316&gt;1500,$C1316&lt;1,$C1316&gt;12,$D1316&lt;1,$D1316&gt;31),"نامعتبر",RIGHT("0000"&amp;$B1316,4)&amp;"/"&amp;RIGHT("00"&amp;$C1316,2)&amp;"/"&amp;RIGHT("00"&amp;$D1316,2)))</f>
        <v/>
      </c>
      <c r="F1316">
        <f>IF(OR($E1316="",$E1316="نامعتبر"),"",LEFT($E1316,4)&amp;"/"&amp;MID($E1316,6,2))</f>
        <v/>
      </c>
      <c r="G1316">
        <f>IF(OR($E1316="",$E1316="نامعتبر",Sync!$Y1313=""),"",Sync!$Y1313)</f>
        <v/>
      </c>
      <c r="H1316">
        <f>IF($G1316="","",IF(Sync!$X1313="","",Sync!$X1313))</f>
        <v/>
      </c>
      <c r="I1316">
        <f>IF($G1316="","",IFERROR(VLOOKUP(Sync!$X1313,OpTbl,3,0),""))</f>
        <v/>
      </c>
      <c r="J1316">
        <f>IF(OR($G1316="",Sync!$Z1313=""),"",Sync!$Z1313)</f>
        <v/>
      </c>
      <c r="K1316">
        <f>IF(OR($G1316="",Sync!$AA1313=""),"",Sync!$AA1313)</f>
        <v/>
      </c>
      <c r="L1316">
        <f>IF($G1316="",0,IF(Sync!$AB1313="",0,Sync!$AB1313))</f>
        <v/>
      </c>
      <c r="M1316">
        <f>IF($G1316="",0,IF(Sync!$AC1313="",0,Sync!$AC1313))</f>
        <v/>
      </c>
      <c r="N1316">
        <f>IF($G1316="","",IF($H1316="مرجوعی خرید",-1,1)*($L1316-$M1316*IFERROR(VLOOKUP("P01",ParamTbl,3,0),1.5))*(1-IF($I1316="خرید",IFERROR(VLOOKUP("P02",ParamTbl,3,0),1),0)/100))</f>
        <v/>
      </c>
      <c r="O1316">
        <f>IF($G1316="",0,IF($H1316="مرجوعی خرید",-1,1)*IF(Sync!$AD1313="",0,Sync!$AD1313))</f>
        <v/>
      </c>
      <c r="P1316">
        <f>IF(OR($G1316="",Sync!$W1313=""),"",Sync!$W1313)</f>
        <v/>
      </c>
      <c r="Q1316">
        <f>IF(OR($G1316="",Sync!$AE1313=""),"",Sync!$AE1313)</f>
        <v/>
      </c>
      <c r="R1316">
        <f>IF($G1316="","",IF(Sync!$V1313="","0000",IF(AND(ISNUMBER(Sync!$V1313),Sync!$V1313&gt;=0,Sync!$V1313&lt;1),RIGHT("00"&amp;HOUR(Sync!$V1313),2)&amp;RIGHT("00"&amp;MINUTE(Sync!$V1313),2),IFERROR(RIGHT("00"&amp;VALUE(LEFT(Sync!$V1313,FIND(":",Sync!$V1313)-1)),2)&amp;RIGHT("00"&amp;VALUE(MID(Sync!$V1313,FIND(":",Sync!$V1313)+1,2)),2),"0000"))))</f>
        <v/>
      </c>
    </row>
    <row r="1317">
      <c r="A1317">
        <f>IF(Sync!$U1314="","",Sync!$U1314)</f>
        <v/>
      </c>
      <c r="B1317">
        <f>IF($A1317="","",IF(ISNUMBER($A1317),IF(AND($A1317&gt;=10000101,$A1317&lt;=99991231),INT($A1317/10000),""),IFERROR(VALUE(TRIM(LEFT($A1317,FIND("/",$A1317)-1))),"")))</f>
        <v/>
      </c>
      <c r="C1317">
        <f>IF(OR($A1317="",$B1317=""),"",IF(ISNUMBER($A1317),INT(MOD($A1317,10000)/100),IFERROR(VALUE(TRIM(LEFT(MID($A1317,FIND("/",$A1317)+1,20),FIND("/",MID($A1317,FIND("/",$A1317)+1,20))-1))),"")))</f>
        <v/>
      </c>
      <c r="D1317">
        <f>IF(OR($A1317="",$B1317=""),"",IF(ISNUMBER($A1317),MOD($A1317,100),IFERROR(VALUE(TRIM(MID(MID($A1317,FIND("/",$A1317)+1,20),FIND("/",MID($A1317,FIND("/",$A1317)+1,20))+1,20))),"")))</f>
        <v/>
      </c>
      <c r="E1317">
        <f>IF($A1317="","",IF(OR($B1317="",$C1317="",$D1317="",$B1317&lt;1300,$B1317&gt;1500,$C1317&lt;1,$C1317&gt;12,$D1317&lt;1,$D1317&gt;31),"نامعتبر",RIGHT("0000"&amp;$B1317,4)&amp;"/"&amp;RIGHT("00"&amp;$C1317,2)&amp;"/"&amp;RIGHT("00"&amp;$D1317,2)))</f>
        <v/>
      </c>
      <c r="F1317">
        <f>IF(OR($E1317="",$E1317="نامعتبر"),"",LEFT($E1317,4)&amp;"/"&amp;MID($E1317,6,2))</f>
        <v/>
      </c>
      <c r="G1317">
        <f>IF(OR($E1317="",$E1317="نامعتبر",Sync!$Y1314=""),"",Sync!$Y1314)</f>
        <v/>
      </c>
      <c r="H1317">
        <f>IF($G1317="","",IF(Sync!$X1314="","",Sync!$X1314))</f>
        <v/>
      </c>
      <c r="I1317">
        <f>IF($G1317="","",IFERROR(VLOOKUP(Sync!$X1314,OpTbl,3,0),""))</f>
        <v/>
      </c>
      <c r="J1317">
        <f>IF(OR($G1317="",Sync!$Z1314=""),"",Sync!$Z1314)</f>
        <v/>
      </c>
      <c r="K1317">
        <f>IF(OR($G1317="",Sync!$AA1314=""),"",Sync!$AA1314)</f>
        <v/>
      </c>
      <c r="L1317">
        <f>IF($G1317="",0,IF(Sync!$AB1314="",0,Sync!$AB1314))</f>
        <v/>
      </c>
      <c r="M1317">
        <f>IF($G1317="",0,IF(Sync!$AC1314="",0,Sync!$AC1314))</f>
        <v/>
      </c>
      <c r="N1317">
        <f>IF($G1317="","",IF($H1317="مرجوعی خرید",-1,1)*($L1317-$M1317*IFERROR(VLOOKUP("P01",ParamTbl,3,0),1.5))*(1-IF($I1317="خرید",IFERROR(VLOOKUP("P02",ParamTbl,3,0),1),0)/100))</f>
        <v/>
      </c>
      <c r="O1317">
        <f>IF($G1317="",0,IF($H1317="مرجوعی خرید",-1,1)*IF(Sync!$AD1314="",0,Sync!$AD1314))</f>
        <v/>
      </c>
      <c r="P1317">
        <f>IF(OR($G1317="",Sync!$W1314=""),"",Sync!$W1314)</f>
        <v/>
      </c>
      <c r="Q1317">
        <f>IF(OR($G1317="",Sync!$AE1314=""),"",Sync!$AE1314)</f>
        <v/>
      </c>
      <c r="R1317">
        <f>IF($G1317="","",IF(Sync!$V1314="","0000",IF(AND(ISNUMBER(Sync!$V1314),Sync!$V1314&gt;=0,Sync!$V1314&lt;1),RIGHT("00"&amp;HOUR(Sync!$V1314),2)&amp;RIGHT("00"&amp;MINUTE(Sync!$V1314),2),IFERROR(RIGHT("00"&amp;VALUE(LEFT(Sync!$V1314,FIND(":",Sync!$V1314)-1)),2)&amp;RIGHT("00"&amp;VALUE(MID(Sync!$V1314,FIND(":",Sync!$V1314)+1,2)),2),"0000"))))</f>
        <v/>
      </c>
    </row>
    <row r="1318">
      <c r="A1318">
        <f>IF(Sync!$U1315="","",Sync!$U1315)</f>
        <v/>
      </c>
      <c r="B1318">
        <f>IF($A1318="","",IF(ISNUMBER($A1318),IF(AND($A1318&gt;=10000101,$A1318&lt;=99991231),INT($A1318/10000),""),IFERROR(VALUE(TRIM(LEFT($A1318,FIND("/",$A1318)-1))),"")))</f>
        <v/>
      </c>
      <c r="C1318">
        <f>IF(OR($A1318="",$B1318=""),"",IF(ISNUMBER($A1318),INT(MOD($A1318,10000)/100),IFERROR(VALUE(TRIM(LEFT(MID($A1318,FIND("/",$A1318)+1,20),FIND("/",MID($A1318,FIND("/",$A1318)+1,20))-1))),"")))</f>
        <v/>
      </c>
      <c r="D1318">
        <f>IF(OR($A1318="",$B1318=""),"",IF(ISNUMBER($A1318),MOD($A1318,100),IFERROR(VALUE(TRIM(MID(MID($A1318,FIND("/",$A1318)+1,20),FIND("/",MID($A1318,FIND("/",$A1318)+1,20))+1,20))),"")))</f>
        <v/>
      </c>
      <c r="E1318">
        <f>IF($A1318="","",IF(OR($B1318="",$C1318="",$D1318="",$B1318&lt;1300,$B1318&gt;1500,$C1318&lt;1,$C1318&gt;12,$D1318&lt;1,$D1318&gt;31),"نامعتبر",RIGHT("0000"&amp;$B1318,4)&amp;"/"&amp;RIGHT("00"&amp;$C1318,2)&amp;"/"&amp;RIGHT("00"&amp;$D1318,2)))</f>
        <v/>
      </c>
      <c r="F1318">
        <f>IF(OR($E1318="",$E1318="نامعتبر"),"",LEFT($E1318,4)&amp;"/"&amp;MID($E1318,6,2))</f>
        <v/>
      </c>
      <c r="G1318">
        <f>IF(OR($E1318="",$E1318="نامعتبر",Sync!$Y1315=""),"",Sync!$Y1315)</f>
        <v/>
      </c>
      <c r="H1318">
        <f>IF($G1318="","",IF(Sync!$X1315="","",Sync!$X1315))</f>
        <v/>
      </c>
      <c r="I1318">
        <f>IF($G1318="","",IFERROR(VLOOKUP(Sync!$X1315,OpTbl,3,0),""))</f>
        <v/>
      </c>
      <c r="J1318">
        <f>IF(OR($G1318="",Sync!$Z1315=""),"",Sync!$Z1315)</f>
        <v/>
      </c>
      <c r="K1318">
        <f>IF(OR($G1318="",Sync!$AA1315=""),"",Sync!$AA1315)</f>
        <v/>
      </c>
      <c r="L1318">
        <f>IF($G1318="",0,IF(Sync!$AB1315="",0,Sync!$AB1315))</f>
        <v/>
      </c>
      <c r="M1318">
        <f>IF($G1318="",0,IF(Sync!$AC1315="",0,Sync!$AC1315))</f>
        <v/>
      </c>
      <c r="N1318">
        <f>IF($G1318="","",IF($H1318="مرجوعی خرید",-1,1)*($L1318-$M1318*IFERROR(VLOOKUP("P01",ParamTbl,3,0),1.5))*(1-IF($I1318="خرید",IFERROR(VLOOKUP("P02",ParamTbl,3,0),1),0)/100))</f>
        <v/>
      </c>
      <c r="O1318">
        <f>IF($G1318="",0,IF($H1318="مرجوعی خرید",-1,1)*IF(Sync!$AD1315="",0,Sync!$AD1315))</f>
        <v/>
      </c>
      <c r="P1318">
        <f>IF(OR($G1318="",Sync!$W1315=""),"",Sync!$W1315)</f>
        <v/>
      </c>
      <c r="Q1318">
        <f>IF(OR($G1318="",Sync!$AE1315=""),"",Sync!$AE1315)</f>
        <v/>
      </c>
      <c r="R1318">
        <f>IF($G1318="","",IF(Sync!$V1315="","0000",IF(AND(ISNUMBER(Sync!$V1315),Sync!$V1315&gt;=0,Sync!$V1315&lt;1),RIGHT("00"&amp;HOUR(Sync!$V1315),2)&amp;RIGHT("00"&amp;MINUTE(Sync!$V1315),2),IFERROR(RIGHT("00"&amp;VALUE(LEFT(Sync!$V1315,FIND(":",Sync!$V1315)-1)),2)&amp;RIGHT("00"&amp;VALUE(MID(Sync!$V1315,FIND(":",Sync!$V1315)+1,2)),2),"0000"))))</f>
        <v/>
      </c>
    </row>
    <row r="1319">
      <c r="A1319">
        <f>IF(Sync!$U1316="","",Sync!$U1316)</f>
        <v/>
      </c>
      <c r="B1319">
        <f>IF($A1319="","",IF(ISNUMBER($A1319),IF(AND($A1319&gt;=10000101,$A1319&lt;=99991231),INT($A1319/10000),""),IFERROR(VALUE(TRIM(LEFT($A1319,FIND("/",$A1319)-1))),"")))</f>
        <v/>
      </c>
      <c r="C1319">
        <f>IF(OR($A1319="",$B1319=""),"",IF(ISNUMBER($A1319),INT(MOD($A1319,10000)/100),IFERROR(VALUE(TRIM(LEFT(MID($A1319,FIND("/",$A1319)+1,20),FIND("/",MID($A1319,FIND("/",$A1319)+1,20))-1))),"")))</f>
        <v/>
      </c>
      <c r="D1319">
        <f>IF(OR($A1319="",$B1319=""),"",IF(ISNUMBER($A1319),MOD($A1319,100),IFERROR(VALUE(TRIM(MID(MID($A1319,FIND("/",$A1319)+1,20),FIND("/",MID($A1319,FIND("/",$A1319)+1,20))+1,20))),"")))</f>
        <v/>
      </c>
      <c r="E1319">
        <f>IF($A1319="","",IF(OR($B1319="",$C1319="",$D1319="",$B1319&lt;1300,$B1319&gt;1500,$C1319&lt;1,$C1319&gt;12,$D1319&lt;1,$D1319&gt;31),"نامعتبر",RIGHT("0000"&amp;$B1319,4)&amp;"/"&amp;RIGHT("00"&amp;$C1319,2)&amp;"/"&amp;RIGHT("00"&amp;$D1319,2)))</f>
        <v/>
      </c>
      <c r="F1319">
        <f>IF(OR($E1319="",$E1319="نامعتبر"),"",LEFT($E1319,4)&amp;"/"&amp;MID($E1319,6,2))</f>
        <v/>
      </c>
      <c r="G1319">
        <f>IF(OR($E1319="",$E1319="نامعتبر",Sync!$Y1316=""),"",Sync!$Y1316)</f>
        <v/>
      </c>
      <c r="H1319">
        <f>IF($G1319="","",IF(Sync!$X1316="","",Sync!$X1316))</f>
        <v/>
      </c>
      <c r="I1319">
        <f>IF($G1319="","",IFERROR(VLOOKUP(Sync!$X1316,OpTbl,3,0),""))</f>
        <v/>
      </c>
      <c r="J1319">
        <f>IF(OR($G1319="",Sync!$Z1316=""),"",Sync!$Z1316)</f>
        <v/>
      </c>
      <c r="K1319">
        <f>IF(OR($G1319="",Sync!$AA1316=""),"",Sync!$AA1316)</f>
        <v/>
      </c>
      <c r="L1319">
        <f>IF($G1319="",0,IF(Sync!$AB1316="",0,Sync!$AB1316))</f>
        <v/>
      </c>
      <c r="M1319">
        <f>IF($G1319="",0,IF(Sync!$AC1316="",0,Sync!$AC1316))</f>
        <v/>
      </c>
      <c r="N1319">
        <f>IF($G1319="","",IF($H1319="مرجوعی خرید",-1,1)*($L1319-$M1319*IFERROR(VLOOKUP("P01",ParamTbl,3,0),1.5))*(1-IF($I1319="خرید",IFERROR(VLOOKUP("P02",ParamTbl,3,0),1),0)/100))</f>
        <v/>
      </c>
      <c r="O1319">
        <f>IF($G1319="",0,IF($H1319="مرجوعی خرید",-1,1)*IF(Sync!$AD1316="",0,Sync!$AD1316))</f>
        <v/>
      </c>
      <c r="P1319">
        <f>IF(OR($G1319="",Sync!$W1316=""),"",Sync!$W1316)</f>
        <v/>
      </c>
      <c r="Q1319">
        <f>IF(OR($G1319="",Sync!$AE1316=""),"",Sync!$AE1316)</f>
        <v/>
      </c>
      <c r="R1319">
        <f>IF($G1319="","",IF(Sync!$V1316="","0000",IF(AND(ISNUMBER(Sync!$V1316),Sync!$V1316&gt;=0,Sync!$V1316&lt;1),RIGHT("00"&amp;HOUR(Sync!$V1316),2)&amp;RIGHT("00"&amp;MINUTE(Sync!$V1316),2),IFERROR(RIGHT("00"&amp;VALUE(LEFT(Sync!$V1316,FIND(":",Sync!$V1316)-1)),2)&amp;RIGHT("00"&amp;VALUE(MID(Sync!$V1316,FIND(":",Sync!$V1316)+1,2)),2),"0000"))))</f>
        <v/>
      </c>
    </row>
    <row r="1320">
      <c r="A1320">
        <f>IF(Sync!$U1317="","",Sync!$U1317)</f>
        <v/>
      </c>
      <c r="B1320">
        <f>IF($A1320="","",IF(ISNUMBER($A1320),IF(AND($A1320&gt;=10000101,$A1320&lt;=99991231),INT($A1320/10000),""),IFERROR(VALUE(TRIM(LEFT($A1320,FIND("/",$A1320)-1))),"")))</f>
        <v/>
      </c>
      <c r="C1320">
        <f>IF(OR($A1320="",$B1320=""),"",IF(ISNUMBER($A1320),INT(MOD($A1320,10000)/100),IFERROR(VALUE(TRIM(LEFT(MID($A1320,FIND("/",$A1320)+1,20),FIND("/",MID($A1320,FIND("/",$A1320)+1,20))-1))),"")))</f>
        <v/>
      </c>
      <c r="D1320">
        <f>IF(OR($A1320="",$B1320=""),"",IF(ISNUMBER($A1320),MOD($A1320,100),IFERROR(VALUE(TRIM(MID(MID($A1320,FIND("/",$A1320)+1,20),FIND("/",MID($A1320,FIND("/",$A1320)+1,20))+1,20))),"")))</f>
        <v/>
      </c>
      <c r="E1320">
        <f>IF($A1320="","",IF(OR($B1320="",$C1320="",$D1320="",$B1320&lt;1300,$B1320&gt;1500,$C1320&lt;1,$C1320&gt;12,$D1320&lt;1,$D1320&gt;31),"نامعتبر",RIGHT("0000"&amp;$B1320,4)&amp;"/"&amp;RIGHT("00"&amp;$C1320,2)&amp;"/"&amp;RIGHT("00"&amp;$D1320,2)))</f>
        <v/>
      </c>
      <c r="F1320">
        <f>IF(OR($E1320="",$E1320="نامعتبر"),"",LEFT($E1320,4)&amp;"/"&amp;MID($E1320,6,2))</f>
        <v/>
      </c>
      <c r="G1320">
        <f>IF(OR($E1320="",$E1320="نامعتبر",Sync!$Y1317=""),"",Sync!$Y1317)</f>
        <v/>
      </c>
      <c r="H1320">
        <f>IF($G1320="","",IF(Sync!$X1317="","",Sync!$X1317))</f>
        <v/>
      </c>
      <c r="I1320">
        <f>IF($G1320="","",IFERROR(VLOOKUP(Sync!$X1317,OpTbl,3,0),""))</f>
        <v/>
      </c>
      <c r="J1320">
        <f>IF(OR($G1320="",Sync!$Z1317=""),"",Sync!$Z1317)</f>
        <v/>
      </c>
      <c r="K1320">
        <f>IF(OR($G1320="",Sync!$AA1317=""),"",Sync!$AA1317)</f>
        <v/>
      </c>
      <c r="L1320">
        <f>IF($G1320="",0,IF(Sync!$AB1317="",0,Sync!$AB1317))</f>
        <v/>
      </c>
      <c r="M1320">
        <f>IF($G1320="",0,IF(Sync!$AC1317="",0,Sync!$AC1317))</f>
        <v/>
      </c>
      <c r="N1320">
        <f>IF($G1320="","",IF($H1320="مرجوعی خرید",-1,1)*($L1320-$M1320*IFERROR(VLOOKUP("P01",ParamTbl,3,0),1.5))*(1-IF($I1320="خرید",IFERROR(VLOOKUP("P02",ParamTbl,3,0),1),0)/100))</f>
        <v/>
      </c>
      <c r="O1320">
        <f>IF($G1320="",0,IF($H1320="مرجوعی خرید",-1,1)*IF(Sync!$AD1317="",0,Sync!$AD1317))</f>
        <v/>
      </c>
      <c r="P1320">
        <f>IF(OR($G1320="",Sync!$W1317=""),"",Sync!$W1317)</f>
        <v/>
      </c>
      <c r="Q1320">
        <f>IF(OR($G1320="",Sync!$AE1317=""),"",Sync!$AE1317)</f>
        <v/>
      </c>
      <c r="R1320">
        <f>IF($G1320="","",IF(Sync!$V1317="","0000",IF(AND(ISNUMBER(Sync!$V1317),Sync!$V1317&gt;=0,Sync!$V1317&lt;1),RIGHT("00"&amp;HOUR(Sync!$V1317),2)&amp;RIGHT("00"&amp;MINUTE(Sync!$V1317),2),IFERROR(RIGHT("00"&amp;VALUE(LEFT(Sync!$V1317,FIND(":",Sync!$V1317)-1)),2)&amp;RIGHT("00"&amp;VALUE(MID(Sync!$V1317,FIND(":",Sync!$V1317)+1,2)),2),"0000"))))</f>
        <v/>
      </c>
    </row>
    <row r="1321">
      <c r="A1321">
        <f>IF(Sync!$U1318="","",Sync!$U1318)</f>
        <v/>
      </c>
      <c r="B1321">
        <f>IF($A1321="","",IF(ISNUMBER($A1321),IF(AND($A1321&gt;=10000101,$A1321&lt;=99991231),INT($A1321/10000),""),IFERROR(VALUE(TRIM(LEFT($A1321,FIND("/",$A1321)-1))),"")))</f>
        <v/>
      </c>
      <c r="C1321">
        <f>IF(OR($A1321="",$B1321=""),"",IF(ISNUMBER($A1321),INT(MOD($A1321,10000)/100),IFERROR(VALUE(TRIM(LEFT(MID($A1321,FIND("/",$A1321)+1,20),FIND("/",MID($A1321,FIND("/",$A1321)+1,20))-1))),"")))</f>
        <v/>
      </c>
      <c r="D1321">
        <f>IF(OR($A1321="",$B1321=""),"",IF(ISNUMBER($A1321),MOD($A1321,100),IFERROR(VALUE(TRIM(MID(MID($A1321,FIND("/",$A1321)+1,20),FIND("/",MID($A1321,FIND("/",$A1321)+1,20))+1,20))),"")))</f>
        <v/>
      </c>
      <c r="E1321">
        <f>IF($A1321="","",IF(OR($B1321="",$C1321="",$D1321="",$B1321&lt;1300,$B1321&gt;1500,$C1321&lt;1,$C1321&gt;12,$D1321&lt;1,$D1321&gt;31),"نامعتبر",RIGHT("0000"&amp;$B1321,4)&amp;"/"&amp;RIGHT("00"&amp;$C1321,2)&amp;"/"&amp;RIGHT("00"&amp;$D1321,2)))</f>
        <v/>
      </c>
      <c r="F1321">
        <f>IF(OR($E1321="",$E1321="نامعتبر"),"",LEFT($E1321,4)&amp;"/"&amp;MID($E1321,6,2))</f>
        <v/>
      </c>
      <c r="G1321">
        <f>IF(OR($E1321="",$E1321="نامعتبر",Sync!$Y1318=""),"",Sync!$Y1318)</f>
        <v/>
      </c>
      <c r="H1321">
        <f>IF($G1321="","",IF(Sync!$X1318="","",Sync!$X1318))</f>
        <v/>
      </c>
      <c r="I1321">
        <f>IF($G1321="","",IFERROR(VLOOKUP(Sync!$X1318,OpTbl,3,0),""))</f>
        <v/>
      </c>
      <c r="J1321">
        <f>IF(OR($G1321="",Sync!$Z1318=""),"",Sync!$Z1318)</f>
        <v/>
      </c>
      <c r="K1321">
        <f>IF(OR($G1321="",Sync!$AA1318=""),"",Sync!$AA1318)</f>
        <v/>
      </c>
      <c r="L1321">
        <f>IF($G1321="",0,IF(Sync!$AB1318="",0,Sync!$AB1318))</f>
        <v/>
      </c>
      <c r="M1321">
        <f>IF($G1321="",0,IF(Sync!$AC1318="",0,Sync!$AC1318))</f>
        <v/>
      </c>
      <c r="N1321">
        <f>IF($G1321="","",IF($H1321="مرجوعی خرید",-1,1)*($L1321-$M1321*IFERROR(VLOOKUP("P01",ParamTbl,3,0),1.5))*(1-IF($I1321="خرید",IFERROR(VLOOKUP("P02",ParamTbl,3,0),1),0)/100))</f>
        <v/>
      </c>
      <c r="O1321">
        <f>IF($G1321="",0,IF($H1321="مرجوعی خرید",-1,1)*IF(Sync!$AD1318="",0,Sync!$AD1318))</f>
        <v/>
      </c>
      <c r="P1321">
        <f>IF(OR($G1321="",Sync!$W1318=""),"",Sync!$W1318)</f>
        <v/>
      </c>
      <c r="Q1321">
        <f>IF(OR($G1321="",Sync!$AE1318=""),"",Sync!$AE1318)</f>
        <v/>
      </c>
      <c r="R1321">
        <f>IF($G1321="","",IF(Sync!$V1318="","0000",IF(AND(ISNUMBER(Sync!$V1318),Sync!$V1318&gt;=0,Sync!$V1318&lt;1),RIGHT("00"&amp;HOUR(Sync!$V1318),2)&amp;RIGHT("00"&amp;MINUTE(Sync!$V1318),2),IFERROR(RIGHT("00"&amp;VALUE(LEFT(Sync!$V1318,FIND(":",Sync!$V1318)-1)),2)&amp;RIGHT("00"&amp;VALUE(MID(Sync!$V1318,FIND(":",Sync!$V1318)+1,2)),2),"0000"))))</f>
        <v/>
      </c>
    </row>
    <row r="1322">
      <c r="A1322">
        <f>IF(Sync!$U1319="","",Sync!$U1319)</f>
        <v/>
      </c>
      <c r="B1322">
        <f>IF($A1322="","",IF(ISNUMBER($A1322),IF(AND($A1322&gt;=10000101,$A1322&lt;=99991231),INT($A1322/10000),""),IFERROR(VALUE(TRIM(LEFT($A1322,FIND("/",$A1322)-1))),"")))</f>
        <v/>
      </c>
      <c r="C1322">
        <f>IF(OR($A1322="",$B1322=""),"",IF(ISNUMBER($A1322),INT(MOD($A1322,10000)/100),IFERROR(VALUE(TRIM(LEFT(MID($A1322,FIND("/",$A1322)+1,20),FIND("/",MID($A1322,FIND("/",$A1322)+1,20))-1))),"")))</f>
        <v/>
      </c>
      <c r="D1322">
        <f>IF(OR($A1322="",$B1322=""),"",IF(ISNUMBER($A1322),MOD($A1322,100),IFERROR(VALUE(TRIM(MID(MID($A1322,FIND("/",$A1322)+1,20),FIND("/",MID($A1322,FIND("/",$A1322)+1,20))+1,20))),"")))</f>
        <v/>
      </c>
      <c r="E1322">
        <f>IF($A1322="","",IF(OR($B1322="",$C1322="",$D1322="",$B1322&lt;1300,$B1322&gt;1500,$C1322&lt;1,$C1322&gt;12,$D1322&lt;1,$D1322&gt;31),"نامعتبر",RIGHT("0000"&amp;$B1322,4)&amp;"/"&amp;RIGHT("00"&amp;$C1322,2)&amp;"/"&amp;RIGHT("00"&amp;$D1322,2)))</f>
        <v/>
      </c>
      <c r="F1322">
        <f>IF(OR($E1322="",$E1322="نامعتبر"),"",LEFT($E1322,4)&amp;"/"&amp;MID($E1322,6,2))</f>
        <v/>
      </c>
      <c r="G1322">
        <f>IF(OR($E1322="",$E1322="نامعتبر",Sync!$Y1319=""),"",Sync!$Y1319)</f>
        <v/>
      </c>
      <c r="H1322">
        <f>IF($G1322="","",IF(Sync!$X1319="","",Sync!$X1319))</f>
        <v/>
      </c>
      <c r="I1322">
        <f>IF($G1322="","",IFERROR(VLOOKUP(Sync!$X1319,OpTbl,3,0),""))</f>
        <v/>
      </c>
      <c r="J1322">
        <f>IF(OR($G1322="",Sync!$Z1319=""),"",Sync!$Z1319)</f>
        <v/>
      </c>
      <c r="K1322">
        <f>IF(OR($G1322="",Sync!$AA1319=""),"",Sync!$AA1319)</f>
        <v/>
      </c>
      <c r="L1322">
        <f>IF($G1322="",0,IF(Sync!$AB1319="",0,Sync!$AB1319))</f>
        <v/>
      </c>
      <c r="M1322">
        <f>IF($G1322="",0,IF(Sync!$AC1319="",0,Sync!$AC1319))</f>
        <v/>
      </c>
      <c r="N1322">
        <f>IF($G1322="","",IF($H1322="مرجوعی خرید",-1,1)*($L1322-$M1322*IFERROR(VLOOKUP("P01",ParamTbl,3,0),1.5))*(1-IF($I1322="خرید",IFERROR(VLOOKUP("P02",ParamTbl,3,0),1),0)/100))</f>
        <v/>
      </c>
      <c r="O1322">
        <f>IF($G1322="",0,IF($H1322="مرجوعی خرید",-1,1)*IF(Sync!$AD1319="",0,Sync!$AD1319))</f>
        <v/>
      </c>
      <c r="P1322">
        <f>IF(OR($G1322="",Sync!$W1319=""),"",Sync!$W1319)</f>
        <v/>
      </c>
      <c r="Q1322">
        <f>IF(OR($G1322="",Sync!$AE1319=""),"",Sync!$AE1319)</f>
        <v/>
      </c>
      <c r="R1322">
        <f>IF($G1322="","",IF(Sync!$V1319="","0000",IF(AND(ISNUMBER(Sync!$V1319),Sync!$V1319&gt;=0,Sync!$V1319&lt;1),RIGHT("00"&amp;HOUR(Sync!$V1319),2)&amp;RIGHT("00"&amp;MINUTE(Sync!$V1319),2),IFERROR(RIGHT("00"&amp;VALUE(LEFT(Sync!$V1319,FIND(":",Sync!$V1319)-1)),2)&amp;RIGHT("00"&amp;VALUE(MID(Sync!$V1319,FIND(":",Sync!$V1319)+1,2)),2),"0000"))))</f>
        <v/>
      </c>
    </row>
    <row r="1323">
      <c r="A1323">
        <f>IF(Sync!$U1320="","",Sync!$U1320)</f>
        <v/>
      </c>
      <c r="B1323">
        <f>IF($A1323="","",IF(ISNUMBER($A1323),IF(AND($A1323&gt;=10000101,$A1323&lt;=99991231),INT($A1323/10000),""),IFERROR(VALUE(TRIM(LEFT($A1323,FIND("/",$A1323)-1))),"")))</f>
        <v/>
      </c>
      <c r="C1323">
        <f>IF(OR($A1323="",$B1323=""),"",IF(ISNUMBER($A1323),INT(MOD($A1323,10000)/100),IFERROR(VALUE(TRIM(LEFT(MID($A1323,FIND("/",$A1323)+1,20),FIND("/",MID($A1323,FIND("/",$A1323)+1,20))-1))),"")))</f>
        <v/>
      </c>
      <c r="D1323">
        <f>IF(OR($A1323="",$B1323=""),"",IF(ISNUMBER($A1323),MOD($A1323,100),IFERROR(VALUE(TRIM(MID(MID($A1323,FIND("/",$A1323)+1,20),FIND("/",MID($A1323,FIND("/",$A1323)+1,20))+1,20))),"")))</f>
        <v/>
      </c>
      <c r="E1323">
        <f>IF($A1323="","",IF(OR($B1323="",$C1323="",$D1323="",$B1323&lt;1300,$B1323&gt;1500,$C1323&lt;1,$C1323&gt;12,$D1323&lt;1,$D1323&gt;31),"نامعتبر",RIGHT("0000"&amp;$B1323,4)&amp;"/"&amp;RIGHT("00"&amp;$C1323,2)&amp;"/"&amp;RIGHT("00"&amp;$D1323,2)))</f>
        <v/>
      </c>
      <c r="F1323">
        <f>IF(OR($E1323="",$E1323="نامعتبر"),"",LEFT($E1323,4)&amp;"/"&amp;MID($E1323,6,2))</f>
        <v/>
      </c>
      <c r="G1323">
        <f>IF(OR($E1323="",$E1323="نامعتبر",Sync!$Y1320=""),"",Sync!$Y1320)</f>
        <v/>
      </c>
      <c r="H1323">
        <f>IF($G1323="","",IF(Sync!$X1320="","",Sync!$X1320))</f>
        <v/>
      </c>
      <c r="I1323">
        <f>IF($G1323="","",IFERROR(VLOOKUP(Sync!$X1320,OpTbl,3,0),""))</f>
        <v/>
      </c>
      <c r="J1323">
        <f>IF(OR($G1323="",Sync!$Z1320=""),"",Sync!$Z1320)</f>
        <v/>
      </c>
      <c r="K1323">
        <f>IF(OR($G1323="",Sync!$AA1320=""),"",Sync!$AA1320)</f>
        <v/>
      </c>
      <c r="L1323">
        <f>IF($G1323="",0,IF(Sync!$AB1320="",0,Sync!$AB1320))</f>
        <v/>
      </c>
      <c r="M1323">
        <f>IF($G1323="",0,IF(Sync!$AC1320="",0,Sync!$AC1320))</f>
        <v/>
      </c>
      <c r="N1323">
        <f>IF($G1323="","",IF($H1323="مرجوعی خرید",-1,1)*($L1323-$M1323*IFERROR(VLOOKUP("P01",ParamTbl,3,0),1.5))*(1-IF($I1323="خرید",IFERROR(VLOOKUP("P02",ParamTbl,3,0),1),0)/100))</f>
        <v/>
      </c>
      <c r="O1323">
        <f>IF($G1323="",0,IF($H1323="مرجوعی خرید",-1,1)*IF(Sync!$AD1320="",0,Sync!$AD1320))</f>
        <v/>
      </c>
      <c r="P1323">
        <f>IF(OR($G1323="",Sync!$W1320=""),"",Sync!$W1320)</f>
        <v/>
      </c>
      <c r="Q1323">
        <f>IF(OR($G1323="",Sync!$AE1320=""),"",Sync!$AE1320)</f>
        <v/>
      </c>
      <c r="R1323">
        <f>IF($G1323="","",IF(Sync!$V1320="","0000",IF(AND(ISNUMBER(Sync!$V1320),Sync!$V1320&gt;=0,Sync!$V1320&lt;1),RIGHT("00"&amp;HOUR(Sync!$V1320),2)&amp;RIGHT("00"&amp;MINUTE(Sync!$V1320),2),IFERROR(RIGHT("00"&amp;VALUE(LEFT(Sync!$V1320,FIND(":",Sync!$V1320)-1)),2)&amp;RIGHT("00"&amp;VALUE(MID(Sync!$V1320,FIND(":",Sync!$V1320)+1,2)),2),"0000"))))</f>
        <v/>
      </c>
    </row>
    <row r="1324">
      <c r="A1324">
        <f>IF(Sync!$U1321="","",Sync!$U1321)</f>
        <v/>
      </c>
      <c r="B1324">
        <f>IF($A1324="","",IF(ISNUMBER($A1324),IF(AND($A1324&gt;=10000101,$A1324&lt;=99991231),INT($A1324/10000),""),IFERROR(VALUE(TRIM(LEFT($A1324,FIND("/",$A1324)-1))),"")))</f>
        <v/>
      </c>
      <c r="C1324">
        <f>IF(OR($A1324="",$B1324=""),"",IF(ISNUMBER($A1324),INT(MOD($A1324,10000)/100),IFERROR(VALUE(TRIM(LEFT(MID($A1324,FIND("/",$A1324)+1,20),FIND("/",MID($A1324,FIND("/",$A1324)+1,20))-1))),"")))</f>
        <v/>
      </c>
      <c r="D1324">
        <f>IF(OR($A1324="",$B1324=""),"",IF(ISNUMBER($A1324),MOD($A1324,100),IFERROR(VALUE(TRIM(MID(MID($A1324,FIND("/",$A1324)+1,20),FIND("/",MID($A1324,FIND("/",$A1324)+1,20))+1,20))),"")))</f>
        <v/>
      </c>
      <c r="E1324">
        <f>IF($A1324="","",IF(OR($B1324="",$C1324="",$D1324="",$B1324&lt;1300,$B1324&gt;1500,$C1324&lt;1,$C1324&gt;12,$D1324&lt;1,$D1324&gt;31),"نامعتبر",RIGHT("0000"&amp;$B1324,4)&amp;"/"&amp;RIGHT("00"&amp;$C1324,2)&amp;"/"&amp;RIGHT("00"&amp;$D1324,2)))</f>
        <v/>
      </c>
      <c r="F1324">
        <f>IF(OR($E1324="",$E1324="نامعتبر"),"",LEFT($E1324,4)&amp;"/"&amp;MID($E1324,6,2))</f>
        <v/>
      </c>
      <c r="G1324">
        <f>IF(OR($E1324="",$E1324="نامعتبر",Sync!$Y1321=""),"",Sync!$Y1321)</f>
        <v/>
      </c>
      <c r="H1324">
        <f>IF($G1324="","",IF(Sync!$X1321="","",Sync!$X1321))</f>
        <v/>
      </c>
      <c r="I1324">
        <f>IF($G1324="","",IFERROR(VLOOKUP(Sync!$X1321,OpTbl,3,0),""))</f>
        <v/>
      </c>
      <c r="J1324">
        <f>IF(OR($G1324="",Sync!$Z1321=""),"",Sync!$Z1321)</f>
        <v/>
      </c>
      <c r="K1324">
        <f>IF(OR($G1324="",Sync!$AA1321=""),"",Sync!$AA1321)</f>
        <v/>
      </c>
      <c r="L1324">
        <f>IF($G1324="",0,IF(Sync!$AB1321="",0,Sync!$AB1321))</f>
        <v/>
      </c>
      <c r="M1324">
        <f>IF($G1324="",0,IF(Sync!$AC1321="",0,Sync!$AC1321))</f>
        <v/>
      </c>
      <c r="N1324">
        <f>IF($G1324="","",IF($H1324="مرجوعی خرید",-1,1)*($L1324-$M1324*IFERROR(VLOOKUP("P01",ParamTbl,3,0),1.5))*(1-IF($I1324="خرید",IFERROR(VLOOKUP("P02",ParamTbl,3,0),1),0)/100))</f>
        <v/>
      </c>
      <c r="O1324">
        <f>IF($G1324="",0,IF($H1324="مرجوعی خرید",-1,1)*IF(Sync!$AD1321="",0,Sync!$AD1321))</f>
        <v/>
      </c>
      <c r="P1324">
        <f>IF(OR($G1324="",Sync!$W1321=""),"",Sync!$W1321)</f>
        <v/>
      </c>
      <c r="Q1324">
        <f>IF(OR($G1324="",Sync!$AE1321=""),"",Sync!$AE1321)</f>
        <v/>
      </c>
      <c r="R1324">
        <f>IF($G1324="","",IF(Sync!$V1321="","0000",IF(AND(ISNUMBER(Sync!$V1321),Sync!$V1321&gt;=0,Sync!$V1321&lt;1),RIGHT("00"&amp;HOUR(Sync!$V1321),2)&amp;RIGHT("00"&amp;MINUTE(Sync!$V1321),2),IFERROR(RIGHT("00"&amp;VALUE(LEFT(Sync!$V1321,FIND(":",Sync!$V1321)-1)),2)&amp;RIGHT("00"&amp;VALUE(MID(Sync!$V1321,FIND(":",Sync!$V1321)+1,2)),2),"0000"))))</f>
        <v/>
      </c>
    </row>
    <row r="1325">
      <c r="A1325">
        <f>IF(Sync!$U1322="","",Sync!$U1322)</f>
        <v/>
      </c>
      <c r="B1325">
        <f>IF($A1325="","",IF(ISNUMBER($A1325),IF(AND($A1325&gt;=10000101,$A1325&lt;=99991231),INT($A1325/10000),""),IFERROR(VALUE(TRIM(LEFT($A1325,FIND("/",$A1325)-1))),"")))</f>
        <v/>
      </c>
      <c r="C1325">
        <f>IF(OR($A1325="",$B1325=""),"",IF(ISNUMBER($A1325),INT(MOD($A1325,10000)/100),IFERROR(VALUE(TRIM(LEFT(MID($A1325,FIND("/",$A1325)+1,20),FIND("/",MID($A1325,FIND("/",$A1325)+1,20))-1))),"")))</f>
        <v/>
      </c>
      <c r="D1325">
        <f>IF(OR($A1325="",$B1325=""),"",IF(ISNUMBER($A1325),MOD($A1325,100),IFERROR(VALUE(TRIM(MID(MID($A1325,FIND("/",$A1325)+1,20),FIND("/",MID($A1325,FIND("/",$A1325)+1,20))+1,20))),"")))</f>
        <v/>
      </c>
      <c r="E1325">
        <f>IF($A1325="","",IF(OR($B1325="",$C1325="",$D1325="",$B1325&lt;1300,$B1325&gt;1500,$C1325&lt;1,$C1325&gt;12,$D1325&lt;1,$D1325&gt;31),"نامعتبر",RIGHT("0000"&amp;$B1325,4)&amp;"/"&amp;RIGHT("00"&amp;$C1325,2)&amp;"/"&amp;RIGHT("00"&amp;$D1325,2)))</f>
        <v/>
      </c>
      <c r="F1325">
        <f>IF(OR($E1325="",$E1325="نامعتبر"),"",LEFT($E1325,4)&amp;"/"&amp;MID($E1325,6,2))</f>
        <v/>
      </c>
      <c r="G1325">
        <f>IF(OR($E1325="",$E1325="نامعتبر",Sync!$Y1322=""),"",Sync!$Y1322)</f>
        <v/>
      </c>
      <c r="H1325">
        <f>IF($G1325="","",IF(Sync!$X1322="","",Sync!$X1322))</f>
        <v/>
      </c>
      <c r="I1325">
        <f>IF($G1325="","",IFERROR(VLOOKUP(Sync!$X1322,OpTbl,3,0),""))</f>
        <v/>
      </c>
      <c r="J1325">
        <f>IF(OR($G1325="",Sync!$Z1322=""),"",Sync!$Z1322)</f>
        <v/>
      </c>
      <c r="K1325">
        <f>IF(OR($G1325="",Sync!$AA1322=""),"",Sync!$AA1322)</f>
        <v/>
      </c>
      <c r="L1325">
        <f>IF($G1325="",0,IF(Sync!$AB1322="",0,Sync!$AB1322))</f>
        <v/>
      </c>
      <c r="M1325">
        <f>IF($G1325="",0,IF(Sync!$AC1322="",0,Sync!$AC1322))</f>
        <v/>
      </c>
      <c r="N1325">
        <f>IF($G1325="","",IF($H1325="مرجوعی خرید",-1,1)*($L1325-$M1325*IFERROR(VLOOKUP("P01",ParamTbl,3,0),1.5))*(1-IF($I1325="خرید",IFERROR(VLOOKUP("P02",ParamTbl,3,0),1),0)/100))</f>
        <v/>
      </c>
      <c r="O1325">
        <f>IF($G1325="",0,IF($H1325="مرجوعی خرید",-1,1)*IF(Sync!$AD1322="",0,Sync!$AD1322))</f>
        <v/>
      </c>
      <c r="P1325">
        <f>IF(OR($G1325="",Sync!$W1322=""),"",Sync!$W1322)</f>
        <v/>
      </c>
      <c r="Q1325">
        <f>IF(OR($G1325="",Sync!$AE1322=""),"",Sync!$AE1322)</f>
        <v/>
      </c>
      <c r="R1325">
        <f>IF($G1325="","",IF(Sync!$V1322="","0000",IF(AND(ISNUMBER(Sync!$V1322),Sync!$V1322&gt;=0,Sync!$V1322&lt;1),RIGHT("00"&amp;HOUR(Sync!$V1322),2)&amp;RIGHT("00"&amp;MINUTE(Sync!$V1322),2),IFERROR(RIGHT("00"&amp;VALUE(LEFT(Sync!$V1322,FIND(":",Sync!$V1322)-1)),2)&amp;RIGHT("00"&amp;VALUE(MID(Sync!$V1322,FIND(":",Sync!$V1322)+1,2)),2),"0000"))))</f>
        <v/>
      </c>
    </row>
    <row r="1326">
      <c r="A1326">
        <f>IF(Sync!$U1323="","",Sync!$U1323)</f>
        <v/>
      </c>
      <c r="B1326">
        <f>IF($A1326="","",IF(ISNUMBER($A1326),IF(AND($A1326&gt;=10000101,$A1326&lt;=99991231),INT($A1326/10000),""),IFERROR(VALUE(TRIM(LEFT($A1326,FIND("/",$A1326)-1))),"")))</f>
        <v/>
      </c>
      <c r="C1326">
        <f>IF(OR($A1326="",$B1326=""),"",IF(ISNUMBER($A1326),INT(MOD($A1326,10000)/100),IFERROR(VALUE(TRIM(LEFT(MID($A1326,FIND("/",$A1326)+1,20),FIND("/",MID($A1326,FIND("/",$A1326)+1,20))-1))),"")))</f>
        <v/>
      </c>
      <c r="D1326">
        <f>IF(OR($A1326="",$B1326=""),"",IF(ISNUMBER($A1326),MOD($A1326,100),IFERROR(VALUE(TRIM(MID(MID($A1326,FIND("/",$A1326)+1,20),FIND("/",MID($A1326,FIND("/",$A1326)+1,20))+1,20))),"")))</f>
        <v/>
      </c>
      <c r="E1326">
        <f>IF($A1326="","",IF(OR($B1326="",$C1326="",$D1326="",$B1326&lt;1300,$B1326&gt;1500,$C1326&lt;1,$C1326&gt;12,$D1326&lt;1,$D1326&gt;31),"نامعتبر",RIGHT("0000"&amp;$B1326,4)&amp;"/"&amp;RIGHT("00"&amp;$C1326,2)&amp;"/"&amp;RIGHT("00"&amp;$D1326,2)))</f>
        <v/>
      </c>
      <c r="F1326">
        <f>IF(OR($E1326="",$E1326="نامعتبر"),"",LEFT($E1326,4)&amp;"/"&amp;MID($E1326,6,2))</f>
        <v/>
      </c>
      <c r="G1326">
        <f>IF(OR($E1326="",$E1326="نامعتبر",Sync!$Y1323=""),"",Sync!$Y1323)</f>
        <v/>
      </c>
      <c r="H1326">
        <f>IF($G1326="","",IF(Sync!$X1323="","",Sync!$X1323))</f>
        <v/>
      </c>
      <c r="I1326">
        <f>IF($G1326="","",IFERROR(VLOOKUP(Sync!$X1323,OpTbl,3,0),""))</f>
        <v/>
      </c>
      <c r="J1326">
        <f>IF(OR($G1326="",Sync!$Z1323=""),"",Sync!$Z1323)</f>
        <v/>
      </c>
      <c r="K1326">
        <f>IF(OR($G1326="",Sync!$AA1323=""),"",Sync!$AA1323)</f>
        <v/>
      </c>
      <c r="L1326">
        <f>IF($G1326="",0,IF(Sync!$AB1323="",0,Sync!$AB1323))</f>
        <v/>
      </c>
      <c r="M1326">
        <f>IF($G1326="",0,IF(Sync!$AC1323="",0,Sync!$AC1323))</f>
        <v/>
      </c>
      <c r="N1326">
        <f>IF($G1326="","",IF($H1326="مرجوعی خرید",-1,1)*($L1326-$M1326*IFERROR(VLOOKUP("P01",ParamTbl,3,0),1.5))*(1-IF($I1326="خرید",IFERROR(VLOOKUP("P02",ParamTbl,3,0),1),0)/100))</f>
        <v/>
      </c>
      <c r="O1326">
        <f>IF($G1326="",0,IF($H1326="مرجوعی خرید",-1,1)*IF(Sync!$AD1323="",0,Sync!$AD1323))</f>
        <v/>
      </c>
      <c r="P1326">
        <f>IF(OR($G1326="",Sync!$W1323=""),"",Sync!$W1323)</f>
        <v/>
      </c>
      <c r="Q1326">
        <f>IF(OR($G1326="",Sync!$AE1323=""),"",Sync!$AE1323)</f>
        <v/>
      </c>
      <c r="R1326">
        <f>IF($G1326="","",IF(Sync!$V1323="","0000",IF(AND(ISNUMBER(Sync!$V1323),Sync!$V1323&gt;=0,Sync!$V1323&lt;1),RIGHT("00"&amp;HOUR(Sync!$V1323),2)&amp;RIGHT("00"&amp;MINUTE(Sync!$V1323),2),IFERROR(RIGHT("00"&amp;VALUE(LEFT(Sync!$V1323,FIND(":",Sync!$V1323)-1)),2)&amp;RIGHT("00"&amp;VALUE(MID(Sync!$V1323,FIND(":",Sync!$V1323)+1,2)),2),"0000"))))</f>
        <v/>
      </c>
    </row>
    <row r="1327">
      <c r="A1327">
        <f>IF(Sync!$U1324="","",Sync!$U1324)</f>
        <v/>
      </c>
      <c r="B1327">
        <f>IF($A1327="","",IF(ISNUMBER($A1327),IF(AND($A1327&gt;=10000101,$A1327&lt;=99991231),INT($A1327/10000),""),IFERROR(VALUE(TRIM(LEFT($A1327,FIND("/",$A1327)-1))),"")))</f>
        <v/>
      </c>
      <c r="C1327">
        <f>IF(OR($A1327="",$B1327=""),"",IF(ISNUMBER($A1327),INT(MOD($A1327,10000)/100),IFERROR(VALUE(TRIM(LEFT(MID($A1327,FIND("/",$A1327)+1,20),FIND("/",MID($A1327,FIND("/",$A1327)+1,20))-1))),"")))</f>
        <v/>
      </c>
      <c r="D1327">
        <f>IF(OR($A1327="",$B1327=""),"",IF(ISNUMBER($A1327),MOD($A1327,100),IFERROR(VALUE(TRIM(MID(MID($A1327,FIND("/",$A1327)+1,20),FIND("/",MID($A1327,FIND("/",$A1327)+1,20))+1,20))),"")))</f>
        <v/>
      </c>
      <c r="E1327">
        <f>IF($A1327="","",IF(OR($B1327="",$C1327="",$D1327="",$B1327&lt;1300,$B1327&gt;1500,$C1327&lt;1,$C1327&gt;12,$D1327&lt;1,$D1327&gt;31),"نامعتبر",RIGHT("0000"&amp;$B1327,4)&amp;"/"&amp;RIGHT("00"&amp;$C1327,2)&amp;"/"&amp;RIGHT("00"&amp;$D1327,2)))</f>
        <v/>
      </c>
      <c r="F1327">
        <f>IF(OR($E1327="",$E1327="نامعتبر"),"",LEFT($E1327,4)&amp;"/"&amp;MID($E1327,6,2))</f>
        <v/>
      </c>
      <c r="G1327">
        <f>IF(OR($E1327="",$E1327="نامعتبر",Sync!$Y1324=""),"",Sync!$Y1324)</f>
        <v/>
      </c>
      <c r="H1327">
        <f>IF($G1327="","",IF(Sync!$X1324="","",Sync!$X1324))</f>
        <v/>
      </c>
      <c r="I1327">
        <f>IF($G1327="","",IFERROR(VLOOKUP(Sync!$X1324,OpTbl,3,0),""))</f>
        <v/>
      </c>
      <c r="J1327">
        <f>IF(OR($G1327="",Sync!$Z1324=""),"",Sync!$Z1324)</f>
        <v/>
      </c>
      <c r="K1327">
        <f>IF(OR($G1327="",Sync!$AA1324=""),"",Sync!$AA1324)</f>
        <v/>
      </c>
      <c r="L1327">
        <f>IF($G1327="",0,IF(Sync!$AB1324="",0,Sync!$AB1324))</f>
        <v/>
      </c>
      <c r="M1327">
        <f>IF($G1327="",0,IF(Sync!$AC1324="",0,Sync!$AC1324))</f>
        <v/>
      </c>
      <c r="N1327">
        <f>IF($G1327="","",IF($H1327="مرجوعی خرید",-1,1)*($L1327-$M1327*IFERROR(VLOOKUP("P01",ParamTbl,3,0),1.5))*(1-IF($I1327="خرید",IFERROR(VLOOKUP("P02",ParamTbl,3,0),1),0)/100))</f>
        <v/>
      </c>
      <c r="O1327">
        <f>IF($G1327="",0,IF($H1327="مرجوعی خرید",-1,1)*IF(Sync!$AD1324="",0,Sync!$AD1324))</f>
        <v/>
      </c>
      <c r="P1327">
        <f>IF(OR($G1327="",Sync!$W1324=""),"",Sync!$W1324)</f>
        <v/>
      </c>
      <c r="Q1327">
        <f>IF(OR($G1327="",Sync!$AE1324=""),"",Sync!$AE1324)</f>
        <v/>
      </c>
      <c r="R1327">
        <f>IF($G1327="","",IF(Sync!$V1324="","0000",IF(AND(ISNUMBER(Sync!$V1324),Sync!$V1324&gt;=0,Sync!$V1324&lt;1),RIGHT("00"&amp;HOUR(Sync!$V1324),2)&amp;RIGHT("00"&amp;MINUTE(Sync!$V1324),2),IFERROR(RIGHT("00"&amp;VALUE(LEFT(Sync!$V1324,FIND(":",Sync!$V1324)-1)),2)&amp;RIGHT("00"&amp;VALUE(MID(Sync!$V1324,FIND(":",Sync!$V1324)+1,2)),2),"0000"))))</f>
        <v/>
      </c>
    </row>
    <row r="1328">
      <c r="A1328">
        <f>IF(Sync!$U1325="","",Sync!$U1325)</f>
        <v/>
      </c>
      <c r="B1328">
        <f>IF($A1328="","",IF(ISNUMBER($A1328),IF(AND($A1328&gt;=10000101,$A1328&lt;=99991231),INT($A1328/10000),""),IFERROR(VALUE(TRIM(LEFT($A1328,FIND("/",$A1328)-1))),"")))</f>
        <v/>
      </c>
      <c r="C1328">
        <f>IF(OR($A1328="",$B1328=""),"",IF(ISNUMBER($A1328),INT(MOD($A1328,10000)/100),IFERROR(VALUE(TRIM(LEFT(MID($A1328,FIND("/",$A1328)+1,20),FIND("/",MID($A1328,FIND("/",$A1328)+1,20))-1))),"")))</f>
        <v/>
      </c>
      <c r="D1328">
        <f>IF(OR($A1328="",$B1328=""),"",IF(ISNUMBER($A1328),MOD($A1328,100),IFERROR(VALUE(TRIM(MID(MID($A1328,FIND("/",$A1328)+1,20),FIND("/",MID($A1328,FIND("/",$A1328)+1,20))+1,20))),"")))</f>
        <v/>
      </c>
      <c r="E1328">
        <f>IF($A1328="","",IF(OR($B1328="",$C1328="",$D1328="",$B1328&lt;1300,$B1328&gt;1500,$C1328&lt;1,$C1328&gt;12,$D1328&lt;1,$D1328&gt;31),"نامعتبر",RIGHT("0000"&amp;$B1328,4)&amp;"/"&amp;RIGHT("00"&amp;$C1328,2)&amp;"/"&amp;RIGHT("00"&amp;$D1328,2)))</f>
        <v/>
      </c>
      <c r="F1328">
        <f>IF(OR($E1328="",$E1328="نامعتبر"),"",LEFT($E1328,4)&amp;"/"&amp;MID($E1328,6,2))</f>
        <v/>
      </c>
      <c r="G1328">
        <f>IF(OR($E1328="",$E1328="نامعتبر",Sync!$Y1325=""),"",Sync!$Y1325)</f>
        <v/>
      </c>
      <c r="H1328">
        <f>IF($G1328="","",IF(Sync!$X1325="","",Sync!$X1325))</f>
        <v/>
      </c>
      <c r="I1328">
        <f>IF($G1328="","",IFERROR(VLOOKUP(Sync!$X1325,OpTbl,3,0),""))</f>
        <v/>
      </c>
      <c r="J1328">
        <f>IF(OR($G1328="",Sync!$Z1325=""),"",Sync!$Z1325)</f>
        <v/>
      </c>
      <c r="K1328">
        <f>IF(OR($G1328="",Sync!$AA1325=""),"",Sync!$AA1325)</f>
        <v/>
      </c>
      <c r="L1328">
        <f>IF($G1328="",0,IF(Sync!$AB1325="",0,Sync!$AB1325))</f>
        <v/>
      </c>
      <c r="M1328">
        <f>IF($G1328="",0,IF(Sync!$AC1325="",0,Sync!$AC1325))</f>
        <v/>
      </c>
      <c r="N1328">
        <f>IF($G1328="","",IF($H1328="مرجوعی خرید",-1,1)*($L1328-$M1328*IFERROR(VLOOKUP("P01",ParamTbl,3,0),1.5))*(1-IF($I1328="خرید",IFERROR(VLOOKUP("P02",ParamTbl,3,0),1),0)/100))</f>
        <v/>
      </c>
      <c r="O1328">
        <f>IF($G1328="",0,IF($H1328="مرجوعی خرید",-1,1)*IF(Sync!$AD1325="",0,Sync!$AD1325))</f>
        <v/>
      </c>
      <c r="P1328">
        <f>IF(OR($G1328="",Sync!$W1325=""),"",Sync!$W1325)</f>
        <v/>
      </c>
      <c r="Q1328">
        <f>IF(OR($G1328="",Sync!$AE1325=""),"",Sync!$AE1325)</f>
        <v/>
      </c>
      <c r="R1328">
        <f>IF($G1328="","",IF(Sync!$V1325="","0000",IF(AND(ISNUMBER(Sync!$V1325),Sync!$V1325&gt;=0,Sync!$V1325&lt;1),RIGHT("00"&amp;HOUR(Sync!$V1325),2)&amp;RIGHT("00"&amp;MINUTE(Sync!$V1325),2),IFERROR(RIGHT("00"&amp;VALUE(LEFT(Sync!$V1325,FIND(":",Sync!$V1325)-1)),2)&amp;RIGHT("00"&amp;VALUE(MID(Sync!$V1325,FIND(":",Sync!$V1325)+1,2)),2),"0000"))))</f>
        <v/>
      </c>
    </row>
    <row r="1329">
      <c r="A1329">
        <f>IF(Sync!$U1326="","",Sync!$U1326)</f>
        <v/>
      </c>
      <c r="B1329">
        <f>IF($A1329="","",IF(ISNUMBER($A1329),IF(AND($A1329&gt;=10000101,$A1329&lt;=99991231),INT($A1329/10000),""),IFERROR(VALUE(TRIM(LEFT($A1329,FIND("/",$A1329)-1))),"")))</f>
        <v/>
      </c>
      <c r="C1329">
        <f>IF(OR($A1329="",$B1329=""),"",IF(ISNUMBER($A1329),INT(MOD($A1329,10000)/100),IFERROR(VALUE(TRIM(LEFT(MID($A1329,FIND("/",$A1329)+1,20),FIND("/",MID($A1329,FIND("/",$A1329)+1,20))-1))),"")))</f>
        <v/>
      </c>
      <c r="D1329">
        <f>IF(OR($A1329="",$B1329=""),"",IF(ISNUMBER($A1329),MOD($A1329,100),IFERROR(VALUE(TRIM(MID(MID($A1329,FIND("/",$A1329)+1,20),FIND("/",MID($A1329,FIND("/",$A1329)+1,20))+1,20))),"")))</f>
        <v/>
      </c>
      <c r="E1329">
        <f>IF($A1329="","",IF(OR($B1329="",$C1329="",$D1329="",$B1329&lt;1300,$B1329&gt;1500,$C1329&lt;1,$C1329&gt;12,$D1329&lt;1,$D1329&gt;31),"نامعتبر",RIGHT("0000"&amp;$B1329,4)&amp;"/"&amp;RIGHT("00"&amp;$C1329,2)&amp;"/"&amp;RIGHT("00"&amp;$D1329,2)))</f>
        <v/>
      </c>
      <c r="F1329">
        <f>IF(OR($E1329="",$E1329="نامعتبر"),"",LEFT($E1329,4)&amp;"/"&amp;MID($E1329,6,2))</f>
        <v/>
      </c>
      <c r="G1329">
        <f>IF(OR($E1329="",$E1329="نامعتبر",Sync!$Y1326=""),"",Sync!$Y1326)</f>
        <v/>
      </c>
      <c r="H1329">
        <f>IF($G1329="","",IF(Sync!$X1326="","",Sync!$X1326))</f>
        <v/>
      </c>
      <c r="I1329">
        <f>IF($G1329="","",IFERROR(VLOOKUP(Sync!$X1326,OpTbl,3,0),""))</f>
        <v/>
      </c>
      <c r="J1329">
        <f>IF(OR($G1329="",Sync!$Z1326=""),"",Sync!$Z1326)</f>
        <v/>
      </c>
      <c r="K1329">
        <f>IF(OR($G1329="",Sync!$AA1326=""),"",Sync!$AA1326)</f>
        <v/>
      </c>
      <c r="L1329">
        <f>IF($G1329="",0,IF(Sync!$AB1326="",0,Sync!$AB1326))</f>
        <v/>
      </c>
      <c r="M1329">
        <f>IF($G1329="",0,IF(Sync!$AC1326="",0,Sync!$AC1326))</f>
        <v/>
      </c>
      <c r="N1329">
        <f>IF($G1329="","",IF($H1329="مرجوعی خرید",-1,1)*($L1329-$M1329*IFERROR(VLOOKUP("P01",ParamTbl,3,0),1.5))*(1-IF($I1329="خرید",IFERROR(VLOOKUP("P02",ParamTbl,3,0),1),0)/100))</f>
        <v/>
      </c>
      <c r="O1329">
        <f>IF($G1329="",0,IF($H1329="مرجوعی خرید",-1,1)*IF(Sync!$AD1326="",0,Sync!$AD1326))</f>
        <v/>
      </c>
      <c r="P1329">
        <f>IF(OR($G1329="",Sync!$W1326=""),"",Sync!$W1326)</f>
        <v/>
      </c>
      <c r="Q1329">
        <f>IF(OR($G1329="",Sync!$AE1326=""),"",Sync!$AE1326)</f>
        <v/>
      </c>
      <c r="R1329">
        <f>IF($G1329="","",IF(Sync!$V1326="","0000",IF(AND(ISNUMBER(Sync!$V1326),Sync!$V1326&gt;=0,Sync!$V1326&lt;1),RIGHT("00"&amp;HOUR(Sync!$V1326),2)&amp;RIGHT("00"&amp;MINUTE(Sync!$V1326),2),IFERROR(RIGHT("00"&amp;VALUE(LEFT(Sync!$V1326,FIND(":",Sync!$V1326)-1)),2)&amp;RIGHT("00"&amp;VALUE(MID(Sync!$V1326,FIND(":",Sync!$V1326)+1,2)),2),"0000"))))</f>
        <v/>
      </c>
    </row>
    <row r="1330">
      <c r="A1330">
        <f>IF(Sync!$U1327="","",Sync!$U1327)</f>
        <v/>
      </c>
      <c r="B1330">
        <f>IF($A1330="","",IF(ISNUMBER($A1330),IF(AND($A1330&gt;=10000101,$A1330&lt;=99991231),INT($A1330/10000),""),IFERROR(VALUE(TRIM(LEFT($A1330,FIND("/",$A1330)-1))),"")))</f>
        <v/>
      </c>
      <c r="C1330">
        <f>IF(OR($A1330="",$B1330=""),"",IF(ISNUMBER($A1330),INT(MOD($A1330,10000)/100),IFERROR(VALUE(TRIM(LEFT(MID($A1330,FIND("/",$A1330)+1,20),FIND("/",MID($A1330,FIND("/",$A1330)+1,20))-1))),"")))</f>
        <v/>
      </c>
      <c r="D1330">
        <f>IF(OR($A1330="",$B1330=""),"",IF(ISNUMBER($A1330),MOD($A1330,100),IFERROR(VALUE(TRIM(MID(MID($A1330,FIND("/",$A1330)+1,20),FIND("/",MID($A1330,FIND("/",$A1330)+1,20))+1,20))),"")))</f>
        <v/>
      </c>
      <c r="E1330">
        <f>IF($A1330="","",IF(OR($B1330="",$C1330="",$D1330="",$B1330&lt;1300,$B1330&gt;1500,$C1330&lt;1,$C1330&gt;12,$D1330&lt;1,$D1330&gt;31),"نامعتبر",RIGHT("0000"&amp;$B1330,4)&amp;"/"&amp;RIGHT("00"&amp;$C1330,2)&amp;"/"&amp;RIGHT("00"&amp;$D1330,2)))</f>
        <v/>
      </c>
      <c r="F1330">
        <f>IF(OR($E1330="",$E1330="نامعتبر"),"",LEFT($E1330,4)&amp;"/"&amp;MID($E1330,6,2))</f>
        <v/>
      </c>
      <c r="G1330">
        <f>IF(OR($E1330="",$E1330="نامعتبر",Sync!$Y1327=""),"",Sync!$Y1327)</f>
        <v/>
      </c>
      <c r="H1330">
        <f>IF($G1330="","",IF(Sync!$X1327="","",Sync!$X1327))</f>
        <v/>
      </c>
      <c r="I1330">
        <f>IF($G1330="","",IFERROR(VLOOKUP(Sync!$X1327,OpTbl,3,0),""))</f>
        <v/>
      </c>
      <c r="J1330">
        <f>IF(OR($G1330="",Sync!$Z1327=""),"",Sync!$Z1327)</f>
        <v/>
      </c>
      <c r="K1330">
        <f>IF(OR($G1330="",Sync!$AA1327=""),"",Sync!$AA1327)</f>
        <v/>
      </c>
      <c r="L1330">
        <f>IF($G1330="",0,IF(Sync!$AB1327="",0,Sync!$AB1327))</f>
        <v/>
      </c>
      <c r="M1330">
        <f>IF($G1330="",0,IF(Sync!$AC1327="",0,Sync!$AC1327))</f>
        <v/>
      </c>
      <c r="N1330">
        <f>IF($G1330="","",IF($H1330="مرجوعی خرید",-1,1)*($L1330-$M1330*IFERROR(VLOOKUP("P01",ParamTbl,3,0),1.5))*(1-IF($I1330="خرید",IFERROR(VLOOKUP("P02",ParamTbl,3,0),1),0)/100))</f>
        <v/>
      </c>
      <c r="O1330">
        <f>IF($G1330="",0,IF($H1330="مرجوعی خرید",-1,1)*IF(Sync!$AD1327="",0,Sync!$AD1327))</f>
        <v/>
      </c>
      <c r="P1330">
        <f>IF(OR($G1330="",Sync!$W1327=""),"",Sync!$W1327)</f>
        <v/>
      </c>
      <c r="Q1330">
        <f>IF(OR($G1330="",Sync!$AE1327=""),"",Sync!$AE1327)</f>
        <v/>
      </c>
      <c r="R1330">
        <f>IF($G1330="","",IF(Sync!$V1327="","0000",IF(AND(ISNUMBER(Sync!$V1327),Sync!$V1327&gt;=0,Sync!$V1327&lt;1),RIGHT("00"&amp;HOUR(Sync!$V1327),2)&amp;RIGHT("00"&amp;MINUTE(Sync!$V1327),2),IFERROR(RIGHT("00"&amp;VALUE(LEFT(Sync!$V1327,FIND(":",Sync!$V1327)-1)),2)&amp;RIGHT("00"&amp;VALUE(MID(Sync!$V1327,FIND(":",Sync!$V1327)+1,2)),2),"0000"))))</f>
        <v/>
      </c>
    </row>
    <row r="1331">
      <c r="A1331">
        <f>IF(Sync!$U1328="","",Sync!$U1328)</f>
        <v/>
      </c>
      <c r="B1331">
        <f>IF($A1331="","",IF(ISNUMBER($A1331),IF(AND($A1331&gt;=10000101,$A1331&lt;=99991231),INT($A1331/10000),""),IFERROR(VALUE(TRIM(LEFT($A1331,FIND("/",$A1331)-1))),"")))</f>
        <v/>
      </c>
      <c r="C1331">
        <f>IF(OR($A1331="",$B1331=""),"",IF(ISNUMBER($A1331),INT(MOD($A1331,10000)/100),IFERROR(VALUE(TRIM(LEFT(MID($A1331,FIND("/",$A1331)+1,20),FIND("/",MID($A1331,FIND("/",$A1331)+1,20))-1))),"")))</f>
        <v/>
      </c>
      <c r="D1331">
        <f>IF(OR($A1331="",$B1331=""),"",IF(ISNUMBER($A1331),MOD($A1331,100),IFERROR(VALUE(TRIM(MID(MID($A1331,FIND("/",$A1331)+1,20),FIND("/",MID($A1331,FIND("/",$A1331)+1,20))+1,20))),"")))</f>
        <v/>
      </c>
      <c r="E1331">
        <f>IF($A1331="","",IF(OR($B1331="",$C1331="",$D1331="",$B1331&lt;1300,$B1331&gt;1500,$C1331&lt;1,$C1331&gt;12,$D1331&lt;1,$D1331&gt;31),"نامعتبر",RIGHT("0000"&amp;$B1331,4)&amp;"/"&amp;RIGHT("00"&amp;$C1331,2)&amp;"/"&amp;RIGHT("00"&amp;$D1331,2)))</f>
        <v/>
      </c>
      <c r="F1331">
        <f>IF(OR($E1331="",$E1331="نامعتبر"),"",LEFT($E1331,4)&amp;"/"&amp;MID($E1331,6,2))</f>
        <v/>
      </c>
      <c r="G1331">
        <f>IF(OR($E1331="",$E1331="نامعتبر",Sync!$Y1328=""),"",Sync!$Y1328)</f>
        <v/>
      </c>
      <c r="H1331">
        <f>IF($G1331="","",IF(Sync!$X1328="","",Sync!$X1328))</f>
        <v/>
      </c>
      <c r="I1331">
        <f>IF($G1331="","",IFERROR(VLOOKUP(Sync!$X1328,OpTbl,3,0),""))</f>
        <v/>
      </c>
      <c r="J1331">
        <f>IF(OR($G1331="",Sync!$Z1328=""),"",Sync!$Z1328)</f>
        <v/>
      </c>
      <c r="K1331">
        <f>IF(OR($G1331="",Sync!$AA1328=""),"",Sync!$AA1328)</f>
        <v/>
      </c>
      <c r="L1331">
        <f>IF($G1331="",0,IF(Sync!$AB1328="",0,Sync!$AB1328))</f>
        <v/>
      </c>
      <c r="M1331">
        <f>IF($G1331="",0,IF(Sync!$AC1328="",0,Sync!$AC1328))</f>
        <v/>
      </c>
      <c r="N1331">
        <f>IF($G1331="","",IF($H1331="مرجوعی خرید",-1,1)*($L1331-$M1331*IFERROR(VLOOKUP("P01",ParamTbl,3,0),1.5))*(1-IF($I1331="خرید",IFERROR(VLOOKUP("P02",ParamTbl,3,0),1),0)/100))</f>
        <v/>
      </c>
      <c r="O1331">
        <f>IF($G1331="",0,IF($H1331="مرجوعی خرید",-1,1)*IF(Sync!$AD1328="",0,Sync!$AD1328))</f>
        <v/>
      </c>
      <c r="P1331">
        <f>IF(OR($G1331="",Sync!$W1328=""),"",Sync!$W1328)</f>
        <v/>
      </c>
      <c r="Q1331">
        <f>IF(OR($G1331="",Sync!$AE1328=""),"",Sync!$AE1328)</f>
        <v/>
      </c>
      <c r="R1331">
        <f>IF($G1331="","",IF(Sync!$V1328="","0000",IF(AND(ISNUMBER(Sync!$V1328),Sync!$V1328&gt;=0,Sync!$V1328&lt;1),RIGHT("00"&amp;HOUR(Sync!$V1328),2)&amp;RIGHT("00"&amp;MINUTE(Sync!$V1328),2),IFERROR(RIGHT("00"&amp;VALUE(LEFT(Sync!$V1328,FIND(":",Sync!$V1328)-1)),2)&amp;RIGHT("00"&amp;VALUE(MID(Sync!$V1328,FIND(":",Sync!$V1328)+1,2)),2),"0000"))))</f>
        <v/>
      </c>
    </row>
    <row r="1332">
      <c r="A1332">
        <f>IF(Sync!$U1329="","",Sync!$U1329)</f>
        <v/>
      </c>
      <c r="B1332">
        <f>IF($A1332="","",IF(ISNUMBER($A1332),IF(AND($A1332&gt;=10000101,$A1332&lt;=99991231),INT($A1332/10000),""),IFERROR(VALUE(TRIM(LEFT($A1332,FIND("/",$A1332)-1))),"")))</f>
        <v/>
      </c>
      <c r="C1332">
        <f>IF(OR($A1332="",$B1332=""),"",IF(ISNUMBER($A1332),INT(MOD($A1332,10000)/100),IFERROR(VALUE(TRIM(LEFT(MID($A1332,FIND("/",$A1332)+1,20),FIND("/",MID($A1332,FIND("/",$A1332)+1,20))-1))),"")))</f>
        <v/>
      </c>
      <c r="D1332">
        <f>IF(OR($A1332="",$B1332=""),"",IF(ISNUMBER($A1332),MOD($A1332,100),IFERROR(VALUE(TRIM(MID(MID($A1332,FIND("/",$A1332)+1,20),FIND("/",MID($A1332,FIND("/",$A1332)+1,20))+1,20))),"")))</f>
        <v/>
      </c>
      <c r="E1332">
        <f>IF($A1332="","",IF(OR($B1332="",$C1332="",$D1332="",$B1332&lt;1300,$B1332&gt;1500,$C1332&lt;1,$C1332&gt;12,$D1332&lt;1,$D1332&gt;31),"نامعتبر",RIGHT("0000"&amp;$B1332,4)&amp;"/"&amp;RIGHT("00"&amp;$C1332,2)&amp;"/"&amp;RIGHT("00"&amp;$D1332,2)))</f>
        <v/>
      </c>
      <c r="F1332">
        <f>IF(OR($E1332="",$E1332="نامعتبر"),"",LEFT($E1332,4)&amp;"/"&amp;MID($E1332,6,2))</f>
        <v/>
      </c>
      <c r="G1332">
        <f>IF(OR($E1332="",$E1332="نامعتبر",Sync!$Y1329=""),"",Sync!$Y1329)</f>
        <v/>
      </c>
      <c r="H1332">
        <f>IF($G1332="","",IF(Sync!$X1329="","",Sync!$X1329))</f>
        <v/>
      </c>
      <c r="I1332">
        <f>IF($G1332="","",IFERROR(VLOOKUP(Sync!$X1329,OpTbl,3,0),""))</f>
        <v/>
      </c>
      <c r="J1332">
        <f>IF(OR($G1332="",Sync!$Z1329=""),"",Sync!$Z1329)</f>
        <v/>
      </c>
      <c r="K1332">
        <f>IF(OR($G1332="",Sync!$AA1329=""),"",Sync!$AA1329)</f>
        <v/>
      </c>
      <c r="L1332">
        <f>IF($G1332="",0,IF(Sync!$AB1329="",0,Sync!$AB1329))</f>
        <v/>
      </c>
      <c r="M1332">
        <f>IF($G1332="",0,IF(Sync!$AC1329="",0,Sync!$AC1329))</f>
        <v/>
      </c>
      <c r="N1332">
        <f>IF($G1332="","",IF($H1332="مرجوعی خرید",-1,1)*($L1332-$M1332*IFERROR(VLOOKUP("P01",ParamTbl,3,0),1.5))*(1-IF($I1332="خرید",IFERROR(VLOOKUP("P02",ParamTbl,3,0),1),0)/100))</f>
        <v/>
      </c>
      <c r="O1332">
        <f>IF($G1332="",0,IF($H1332="مرجوعی خرید",-1,1)*IF(Sync!$AD1329="",0,Sync!$AD1329))</f>
        <v/>
      </c>
      <c r="P1332">
        <f>IF(OR($G1332="",Sync!$W1329=""),"",Sync!$W1329)</f>
        <v/>
      </c>
      <c r="Q1332">
        <f>IF(OR($G1332="",Sync!$AE1329=""),"",Sync!$AE1329)</f>
        <v/>
      </c>
      <c r="R1332">
        <f>IF($G1332="","",IF(Sync!$V1329="","0000",IF(AND(ISNUMBER(Sync!$V1329),Sync!$V1329&gt;=0,Sync!$V1329&lt;1),RIGHT("00"&amp;HOUR(Sync!$V1329),2)&amp;RIGHT("00"&amp;MINUTE(Sync!$V1329),2),IFERROR(RIGHT("00"&amp;VALUE(LEFT(Sync!$V1329,FIND(":",Sync!$V1329)-1)),2)&amp;RIGHT("00"&amp;VALUE(MID(Sync!$V1329,FIND(":",Sync!$V1329)+1,2)),2),"0000"))))</f>
        <v/>
      </c>
    </row>
    <row r="1333">
      <c r="A1333">
        <f>IF(Sync!$U1330="","",Sync!$U1330)</f>
        <v/>
      </c>
      <c r="B1333">
        <f>IF($A1333="","",IF(ISNUMBER($A1333),IF(AND($A1333&gt;=10000101,$A1333&lt;=99991231),INT($A1333/10000),""),IFERROR(VALUE(TRIM(LEFT($A1333,FIND("/",$A1333)-1))),"")))</f>
        <v/>
      </c>
      <c r="C1333">
        <f>IF(OR($A1333="",$B1333=""),"",IF(ISNUMBER($A1333),INT(MOD($A1333,10000)/100),IFERROR(VALUE(TRIM(LEFT(MID($A1333,FIND("/",$A1333)+1,20),FIND("/",MID($A1333,FIND("/",$A1333)+1,20))-1))),"")))</f>
        <v/>
      </c>
      <c r="D1333">
        <f>IF(OR($A1333="",$B1333=""),"",IF(ISNUMBER($A1333),MOD($A1333,100),IFERROR(VALUE(TRIM(MID(MID($A1333,FIND("/",$A1333)+1,20),FIND("/",MID($A1333,FIND("/",$A1333)+1,20))+1,20))),"")))</f>
        <v/>
      </c>
      <c r="E1333">
        <f>IF($A1333="","",IF(OR($B1333="",$C1333="",$D1333="",$B1333&lt;1300,$B1333&gt;1500,$C1333&lt;1,$C1333&gt;12,$D1333&lt;1,$D1333&gt;31),"نامعتبر",RIGHT("0000"&amp;$B1333,4)&amp;"/"&amp;RIGHT("00"&amp;$C1333,2)&amp;"/"&amp;RIGHT("00"&amp;$D1333,2)))</f>
        <v/>
      </c>
      <c r="F1333">
        <f>IF(OR($E1333="",$E1333="نامعتبر"),"",LEFT($E1333,4)&amp;"/"&amp;MID($E1333,6,2))</f>
        <v/>
      </c>
      <c r="G1333">
        <f>IF(OR($E1333="",$E1333="نامعتبر",Sync!$Y1330=""),"",Sync!$Y1330)</f>
        <v/>
      </c>
      <c r="H1333">
        <f>IF($G1333="","",IF(Sync!$X1330="","",Sync!$X1330))</f>
        <v/>
      </c>
      <c r="I1333">
        <f>IF($G1333="","",IFERROR(VLOOKUP(Sync!$X1330,OpTbl,3,0),""))</f>
        <v/>
      </c>
      <c r="J1333">
        <f>IF(OR($G1333="",Sync!$Z1330=""),"",Sync!$Z1330)</f>
        <v/>
      </c>
      <c r="K1333">
        <f>IF(OR($G1333="",Sync!$AA1330=""),"",Sync!$AA1330)</f>
        <v/>
      </c>
      <c r="L1333">
        <f>IF($G1333="",0,IF(Sync!$AB1330="",0,Sync!$AB1330))</f>
        <v/>
      </c>
      <c r="M1333">
        <f>IF($G1333="",0,IF(Sync!$AC1330="",0,Sync!$AC1330))</f>
        <v/>
      </c>
      <c r="N1333">
        <f>IF($G1333="","",IF($H1333="مرجوعی خرید",-1,1)*($L1333-$M1333*IFERROR(VLOOKUP("P01",ParamTbl,3,0),1.5))*(1-IF($I1333="خرید",IFERROR(VLOOKUP("P02",ParamTbl,3,0),1),0)/100))</f>
        <v/>
      </c>
      <c r="O1333">
        <f>IF($G1333="",0,IF($H1333="مرجوعی خرید",-1,1)*IF(Sync!$AD1330="",0,Sync!$AD1330))</f>
        <v/>
      </c>
      <c r="P1333">
        <f>IF(OR($G1333="",Sync!$W1330=""),"",Sync!$W1330)</f>
        <v/>
      </c>
      <c r="Q1333">
        <f>IF(OR($G1333="",Sync!$AE1330=""),"",Sync!$AE1330)</f>
        <v/>
      </c>
      <c r="R1333">
        <f>IF($G1333="","",IF(Sync!$V1330="","0000",IF(AND(ISNUMBER(Sync!$V1330),Sync!$V1330&gt;=0,Sync!$V1330&lt;1),RIGHT("00"&amp;HOUR(Sync!$V1330),2)&amp;RIGHT("00"&amp;MINUTE(Sync!$V1330),2),IFERROR(RIGHT("00"&amp;VALUE(LEFT(Sync!$V1330,FIND(":",Sync!$V1330)-1)),2)&amp;RIGHT("00"&amp;VALUE(MID(Sync!$V1330,FIND(":",Sync!$V1330)+1,2)),2),"0000"))))</f>
        <v/>
      </c>
    </row>
    <row r="1334">
      <c r="A1334">
        <f>IF(Sync!$U1331="","",Sync!$U1331)</f>
        <v/>
      </c>
      <c r="B1334">
        <f>IF($A1334="","",IF(ISNUMBER($A1334),IF(AND($A1334&gt;=10000101,$A1334&lt;=99991231),INT($A1334/10000),""),IFERROR(VALUE(TRIM(LEFT($A1334,FIND("/",$A1334)-1))),"")))</f>
        <v/>
      </c>
      <c r="C1334">
        <f>IF(OR($A1334="",$B1334=""),"",IF(ISNUMBER($A1334),INT(MOD($A1334,10000)/100),IFERROR(VALUE(TRIM(LEFT(MID($A1334,FIND("/",$A1334)+1,20),FIND("/",MID($A1334,FIND("/",$A1334)+1,20))-1))),"")))</f>
        <v/>
      </c>
      <c r="D1334">
        <f>IF(OR($A1334="",$B1334=""),"",IF(ISNUMBER($A1334),MOD($A1334,100),IFERROR(VALUE(TRIM(MID(MID($A1334,FIND("/",$A1334)+1,20),FIND("/",MID($A1334,FIND("/",$A1334)+1,20))+1,20))),"")))</f>
        <v/>
      </c>
      <c r="E1334">
        <f>IF($A1334="","",IF(OR($B1334="",$C1334="",$D1334="",$B1334&lt;1300,$B1334&gt;1500,$C1334&lt;1,$C1334&gt;12,$D1334&lt;1,$D1334&gt;31),"نامعتبر",RIGHT("0000"&amp;$B1334,4)&amp;"/"&amp;RIGHT("00"&amp;$C1334,2)&amp;"/"&amp;RIGHT("00"&amp;$D1334,2)))</f>
        <v/>
      </c>
      <c r="F1334">
        <f>IF(OR($E1334="",$E1334="نامعتبر"),"",LEFT($E1334,4)&amp;"/"&amp;MID($E1334,6,2))</f>
        <v/>
      </c>
      <c r="G1334">
        <f>IF(OR($E1334="",$E1334="نامعتبر",Sync!$Y1331=""),"",Sync!$Y1331)</f>
        <v/>
      </c>
      <c r="H1334">
        <f>IF($G1334="","",IF(Sync!$X1331="","",Sync!$X1331))</f>
        <v/>
      </c>
      <c r="I1334">
        <f>IF($G1334="","",IFERROR(VLOOKUP(Sync!$X1331,OpTbl,3,0),""))</f>
        <v/>
      </c>
      <c r="J1334">
        <f>IF(OR($G1334="",Sync!$Z1331=""),"",Sync!$Z1331)</f>
        <v/>
      </c>
      <c r="K1334">
        <f>IF(OR($G1334="",Sync!$AA1331=""),"",Sync!$AA1331)</f>
        <v/>
      </c>
      <c r="L1334">
        <f>IF($G1334="",0,IF(Sync!$AB1331="",0,Sync!$AB1331))</f>
        <v/>
      </c>
      <c r="M1334">
        <f>IF($G1334="",0,IF(Sync!$AC1331="",0,Sync!$AC1331))</f>
        <v/>
      </c>
      <c r="N1334">
        <f>IF($G1334="","",IF($H1334="مرجوعی خرید",-1,1)*($L1334-$M1334*IFERROR(VLOOKUP("P01",ParamTbl,3,0),1.5))*(1-IF($I1334="خرید",IFERROR(VLOOKUP("P02",ParamTbl,3,0),1),0)/100))</f>
        <v/>
      </c>
      <c r="O1334">
        <f>IF($G1334="",0,IF($H1334="مرجوعی خرید",-1,1)*IF(Sync!$AD1331="",0,Sync!$AD1331))</f>
        <v/>
      </c>
      <c r="P1334">
        <f>IF(OR($G1334="",Sync!$W1331=""),"",Sync!$W1331)</f>
        <v/>
      </c>
      <c r="Q1334">
        <f>IF(OR($G1334="",Sync!$AE1331=""),"",Sync!$AE1331)</f>
        <v/>
      </c>
      <c r="R1334">
        <f>IF($G1334="","",IF(Sync!$V1331="","0000",IF(AND(ISNUMBER(Sync!$V1331),Sync!$V1331&gt;=0,Sync!$V1331&lt;1),RIGHT("00"&amp;HOUR(Sync!$V1331),2)&amp;RIGHT("00"&amp;MINUTE(Sync!$V1331),2),IFERROR(RIGHT("00"&amp;VALUE(LEFT(Sync!$V1331,FIND(":",Sync!$V1331)-1)),2)&amp;RIGHT("00"&amp;VALUE(MID(Sync!$V1331,FIND(":",Sync!$V1331)+1,2)),2),"0000"))))</f>
        <v/>
      </c>
    </row>
    <row r="1335">
      <c r="A1335">
        <f>IF(Sync!$U1332="","",Sync!$U1332)</f>
        <v/>
      </c>
      <c r="B1335">
        <f>IF($A1335="","",IF(ISNUMBER($A1335),IF(AND($A1335&gt;=10000101,$A1335&lt;=99991231),INT($A1335/10000),""),IFERROR(VALUE(TRIM(LEFT($A1335,FIND("/",$A1335)-1))),"")))</f>
        <v/>
      </c>
      <c r="C1335">
        <f>IF(OR($A1335="",$B1335=""),"",IF(ISNUMBER($A1335),INT(MOD($A1335,10000)/100),IFERROR(VALUE(TRIM(LEFT(MID($A1335,FIND("/",$A1335)+1,20),FIND("/",MID($A1335,FIND("/",$A1335)+1,20))-1))),"")))</f>
        <v/>
      </c>
      <c r="D1335">
        <f>IF(OR($A1335="",$B1335=""),"",IF(ISNUMBER($A1335),MOD($A1335,100),IFERROR(VALUE(TRIM(MID(MID($A1335,FIND("/",$A1335)+1,20),FIND("/",MID($A1335,FIND("/",$A1335)+1,20))+1,20))),"")))</f>
        <v/>
      </c>
      <c r="E1335">
        <f>IF($A1335="","",IF(OR($B1335="",$C1335="",$D1335="",$B1335&lt;1300,$B1335&gt;1500,$C1335&lt;1,$C1335&gt;12,$D1335&lt;1,$D1335&gt;31),"نامعتبر",RIGHT("0000"&amp;$B1335,4)&amp;"/"&amp;RIGHT("00"&amp;$C1335,2)&amp;"/"&amp;RIGHT("00"&amp;$D1335,2)))</f>
        <v/>
      </c>
      <c r="F1335">
        <f>IF(OR($E1335="",$E1335="نامعتبر"),"",LEFT($E1335,4)&amp;"/"&amp;MID($E1335,6,2))</f>
        <v/>
      </c>
      <c r="G1335">
        <f>IF(OR($E1335="",$E1335="نامعتبر",Sync!$Y1332=""),"",Sync!$Y1332)</f>
        <v/>
      </c>
      <c r="H1335">
        <f>IF($G1335="","",IF(Sync!$X1332="","",Sync!$X1332))</f>
        <v/>
      </c>
      <c r="I1335">
        <f>IF($G1335="","",IFERROR(VLOOKUP(Sync!$X1332,OpTbl,3,0),""))</f>
        <v/>
      </c>
      <c r="J1335">
        <f>IF(OR($G1335="",Sync!$Z1332=""),"",Sync!$Z1332)</f>
        <v/>
      </c>
      <c r="K1335">
        <f>IF(OR($G1335="",Sync!$AA1332=""),"",Sync!$AA1332)</f>
        <v/>
      </c>
      <c r="L1335">
        <f>IF($G1335="",0,IF(Sync!$AB1332="",0,Sync!$AB1332))</f>
        <v/>
      </c>
      <c r="M1335">
        <f>IF($G1335="",0,IF(Sync!$AC1332="",0,Sync!$AC1332))</f>
        <v/>
      </c>
      <c r="N1335">
        <f>IF($G1335="","",IF($H1335="مرجوعی خرید",-1,1)*($L1335-$M1335*IFERROR(VLOOKUP("P01",ParamTbl,3,0),1.5))*(1-IF($I1335="خرید",IFERROR(VLOOKUP("P02",ParamTbl,3,0),1),0)/100))</f>
        <v/>
      </c>
      <c r="O1335">
        <f>IF($G1335="",0,IF($H1335="مرجوعی خرید",-1,1)*IF(Sync!$AD1332="",0,Sync!$AD1332))</f>
        <v/>
      </c>
      <c r="P1335">
        <f>IF(OR($G1335="",Sync!$W1332=""),"",Sync!$W1332)</f>
        <v/>
      </c>
      <c r="Q1335">
        <f>IF(OR($G1335="",Sync!$AE1332=""),"",Sync!$AE1332)</f>
        <v/>
      </c>
      <c r="R1335">
        <f>IF($G1335="","",IF(Sync!$V1332="","0000",IF(AND(ISNUMBER(Sync!$V1332),Sync!$V1332&gt;=0,Sync!$V1332&lt;1),RIGHT("00"&amp;HOUR(Sync!$V1332),2)&amp;RIGHT("00"&amp;MINUTE(Sync!$V1332),2),IFERROR(RIGHT("00"&amp;VALUE(LEFT(Sync!$V1332,FIND(":",Sync!$V1332)-1)),2)&amp;RIGHT("00"&amp;VALUE(MID(Sync!$V1332,FIND(":",Sync!$V1332)+1,2)),2),"0000"))))</f>
        <v/>
      </c>
    </row>
    <row r="1336">
      <c r="A1336">
        <f>IF(Sync!$U1333="","",Sync!$U1333)</f>
        <v/>
      </c>
      <c r="B1336">
        <f>IF($A1336="","",IF(ISNUMBER($A1336),IF(AND($A1336&gt;=10000101,$A1336&lt;=99991231),INT($A1336/10000),""),IFERROR(VALUE(TRIM(LEFT($A1336,FIND("/",$A1336)-1))),"")))</f>
        <v/>
      </c>
      <c r="C1336">
        <f>IF(OR($A1336="",$B1336=""),"",IF(ISNUMBER($A1336),INT(MOD($A1336,10000)/100),IFERROR(VALUE(TRIM(LEFT(MID($A1336,FIND("/",$A1336)+1,20),FIND("/",MID($A1336,FIND("/",$A1336)+1,20))-1))),"")))</f>
        <v/>
      </c>
      <c r="D1336">
        <f>IF(OR($A1336="",$B1336=""),"",IF(ISNUMBER($A1336),MOD($A1336,100),IFERROR(VALUE(TRIM(MID(MID($A1336,FIND("/",$A1336)+1,20),FIND("/",MID($A1336,FIND("/",$A1336)+1,20))+1,20))),"")))</f>
        <v/>
      </c>
      <c r="E1336">
        <f>IF($A1336="","",IF(OR($B1336="",$C1336="",$D1336="",$B1336&lt;1300,$B1336&gt;1500,$C1336&lt;1,$C1336&gt;12,$D1336&lt;1,$D1336&gt;31),"نامعتبر",RIGHT("0000"&amp;$B1336,4)&amp;"/"&amp;RIGHT("00"&amp;$C1336,2)&amp;"/"&amp;RIGHT("00"&amp;$D1336,2)))</f>
        <v/>
      </c>
      <c r="F1336">
        <f>IF(OR($E1336="",$E1336="نامعتبر"),"",LEFT($E1336,4)&amp;"/"&amp;MID($E1336,6,2))</f>
        <v/>
      </c>
      <c r="G1336">
        <f>IF(OR($E1336="",$E1336="نامعتبر",Sync!$Y1333=""),"",Sync!$Y1333)</f>
        <v/>
      </c>
      <c r="H1336">
        <f>IF($G1336="","",IF(Sync!$X1333="","",Sync!$X1333))</f>
        <v/>
      </c>
      <c r="I1336">
        <f>IF($G1336="","",IFERROR(VLOOKUP(Sync!$X1333,OpTbl,3,0),""))</f>
        <v/>
      </c>
      <c r="J1336">
        <f>IF(OR($G1336="",Sync!$Z1333=""),"",Sync!$Z1333)</f>
        <v/>
      </c>
      <c r="K1336">
        <f>IF(OR($G1336="",Sync!$AA1333=""),"",Sync!$AA1333)</f>
        <v/>
      </c>
      <c r="L1336">
        <f>IF($G1336="",0,IF(Sync!$AB1333="",0,Sync!$AB1333))</f>
        <v/>
      </c>
      <c r="M1336">
        <f>IF($G1336="",0,IF(Sync!$AC1333="",0,Sync!$AC1333))</f>
        <v/>
      </c>
      <c r="N1336">
        <f>IF($G1336="","",IF($H1336="مرجوعی خرید",-1,1)*($L1336-$M1336*IFERROR(VLOOKUP("P01",ParamTbl,3,0),1.5))*(1-IF($I1336="خرید",IFERROR(VLOOKUP("P02",ParamTbl,3,0),1),0)/100))</f>
        <v/>
      </c>
      <c r="O1336">
        <f>IF($G1336="",0,IF($H1336="مرجوعی خرید",-1,1)*IF(Sync!$AD1333="",0,Sync!$AD1333))</f>
        <v/>
      </c>
      <c r="P1336">
        <f>IF(OR($G1336="",Sync!$W1333=""),"",Sync!$W1333)</f>
        <v/>
      </c>
      <c r="Q1336">
        <f>IF(OR($G1336="",Sync!$AE1333=""),"",Sync!$AE1333)</f>
        <v/>
      </c>
      <c r="R1336">
        <f>IF($G1336="","",IF(Sync!$V1333="","0000",IF(AND(ISNUMBER(Sync!$V1333),Sync!$V1333&gt;=0,Sync!$V1333&lt;1),RIGHT("00"&amp;HOUR(Sync!$V1333),2)&amp;RIGHT("00"&amp;MINUTE(Sync!$V1333),2),IFERROR(RIGHT("00"&amp;VALUE(LEFT(Sync!$V1333,FIND(":",Sync!$V1333)-1)),2)&amp;RIGHT("00"&amp;VALUE(MID(Sync!$V1333,FIND(":",Sync!$V1333)+1,2)),2),"0000"))))</f>
        <v/>
      </c>
    </row>
    <row r="1337">
      <c r="A1337">
        <f>IF(Sync!$U1334="","",Sync!$U1334)</f>
        <v/>
      </c>
      <c r="B1337">
        <f>IF($A1337="","",IF(ISNUMBER($A1337),IF(AND($A1337&gt;=10000101,$A1337&lt;=99991231),INT($A1337/10000),""),IFERROR(VALUE(TRIM(LEFT($A1337,FIND("/",$A1337)-1))),"")))</f>
        <v/>
      </c>
      <c r="C1337">
        <f>IF(OR($A1337="",$B1337=""),"",IF(ISNUMBER($A1337),INT(MOD($A1337,10000)/100),IFERROR(VALUE(TRIM(LEFT(MID($A1337,FIND("/",$A1337)+1,20),FIND("/",MID($A1337,FIND("/",$A1337)+1,20))-1))),"")))</f>
        <v/>
      </c>
      <c r="D1337">
        <f>IF(OR($A1337="",$B1337=""),"",IF(ISNUMBER($A1337),MOD($A1337,100),IFERROR(VALUE(TRIM(MID(MID($A1337,FIND("/",$A1337)+1,20),FIND("/",MID($A1337,FIND("/",$A1337)+1,20))+1,20))),"")))</f>
        <v/>
      </c>
      <c r="E1337">
        <f>IF($A1337="","",IF(OR($B1337="",$C1337="",$D1337="",$B1337&lt;1300,$B1337&gt;1500,$C1337&lt;1,$C1337&gt;12,$D1337&lt;1,$D1337&gt;31),"نامعتبر",RIGHT("0000"&amp;$B1337,4)&amp;"/"&amp;RIGHT("00"&amp;$C1337,2)&amp;"/"&amp;RIGHT("00"&amp;$D1337,2)))</f>
        <v/>
      </c>
      <c r="F1337">
        <f>IF(OR($E1337="",$E1337="نامعتبر"),"",LEFT($E1337,4)&amp;"/"&amp;MID($E1337,6,2))</f>
        <v/>
      </c>
      <c r="G1337">
        <f>IF(OR($E1337="",$E1337="نامعتبر",Sync!$Y1334=""),"",Sync!$Y1334)</f>
        <v/>
      </c>
      <c r="H1337">
        <f>IF($G1337="","",IF(Sync!$X1334="","",Sync!$X1334))</f>
        <v/>
      </c>
      <c r="I1337">
        <f>IF($G1337="","",IFERROR(VLOOKUP(Sync!$X1334,OpTbl,3,0),""))</f>
        <v/>
      </c>
      <c r="J1337">
        <f>IF(OR($G1337="",Sync!$Z1334=""),"",Sync!$Z1334)</f>
        <v/>
      </c>
      <c r="K1337">
        <f>IF(OR($G1337="",Sync!$AA1334=""),"",Sync!$AA1334)</f>
        <v/>
      </c>
      <c r="L1337">
        <f>IF($G1337="",0,IF(Sync!$AB1334="",0,Sync!$AB1334))</f>
        <v/>
      </c>
      <c r="M1337">
        <f>IF($G1337="",0,IF(Sync!$AC1334="",0,Sync!$AC1334))</f>
        <v/>
      </c>
      <c r="N1337">
        <f>IF($G1337="","",IF($H1337="مرجوعی خرید",-1,1)*($L1337-$M1337*IFERROR(VLOOKUP("P01",ParamTbl,3,0),1.5))*(1-IF($I1337="خرید",IFERROR(VLOOKUP("P02",ParamTbl,3,0),1),0)/100))</f>
        <v/>
      </c>
      <c r="O1337">
        <f>IF($G1337="",0,IF($H1337="مرجوعی خرید",-1,1)*IF(Sync!$AD1334="",0,Sync!$AD1334))</f>
        <v/>
      </c>
      <c r="P1337">
        <f>IF(OR($G1337="",Sync!$W1334=""),"",Sync!$W1334)</f>
        <v/>
      </c>
      <c r="Q1337">
        <f>IF(OR($G1337="",Sync!$AE1334=""),"",Sync!$AE1334)</f>
        <v/>
      </c>
      <c r="R1337">
        <f>IF($G1337="","",IF(Sync!$V1334="","0000",IF(AND(ISNUMBER(Sync!$V1334),Sync!$V1334&gt;=0,Sync!$V1334&lt;1),RIGHT("00"&amp;HOUR(Sync!$V1334),2)&amp;RIGHT("00"&amp;MINUTE(Sync!$V1334),2),IFERROR(RIGHT("00"&amp;VALUE(LEFT(Sync!$V1334,FIND(":",Sync!$V1334)-1)),2)&amp;RIGHT("00"&amp;VALUE(MID(Sync!$V1334,FIND(":",Sync!$V1334)+1,2)),2),"0000"))))</f>
        <v/>
      </c>
    </row>
    <row r="1338">
      <c r="A1338">
        <f>IF(Sync!$U1335="","",Sync!$U1335)</f>
        <v/>
      </c>
      <c r="B1338">
        <f>IF($A1338="","",IF(ISNUMBER($A1338),IF(AND($A1338&gt;=10000101,$A1338&lt;=99991231),INT($A1338/10000),""),IFERROR(VALUE(TRIM(LEFT($A1338,FIND("/",$A1338)-1))),"")))</f>
        <v/>
      </c>
      <c r="C1338">
        <f>IF(OR($A1338="",$B1338=""),"",IF(ISNUMBER($A1338),INT(MOD($A1338,10000)/100),IFERROR(VALUE(TRIM(LEFT(MID($A1338,FIND("/",$A1338)+1,20),FIND("/",MID($A1338,FIND("/",$A1338)+1,20))-1))),"")))</f>
        <v/>
      </c>
      <c r="D1338">
        <f>IF(OR($A1338="",$B1338=""),"",IF(ISNUMBER($A1338),MOD($A1338,100),IFERROR(VALUE(TRIM(MID(MID($A1338,FIND("/",$A1338)+1,20),FIND("/",MID($A1338,FIND("/",$A1338)+1,20))+1,20))),"")))</f>
        <v/>
      </c>
      <c r="E1338">
        <f>IF($A1338="","",IF(OR($B1338="",$C1338="",$D1338="",$B1338&lt;1300,$B1338&gt;1500,$C1338&lt;1,$C1338&gt;12,$D1338&lt;1,$D1338&gt;31),"نامعتبر",RIGHT("0000"&amp;$B1338,4)&amp;"/"&amp;RIGHT("00"&amp;$C1338,2)&amp;"/"&amp;RIGHT("00"&amp;$D1338,2)))</f>
        <v/>
      </c>
      <c r="F1338">
        <f>IF(OR($E1338="",$E1338="نامعتبر"),"",LEFT($E1338,4)&amp;"/"&amp;MID($E1338,6,2))</f>
        <v/>
      </c>
      <c r="G1338">
        <f>IF(OR($E1338="",$E1338="نامعتبر",Sync!$Y1335=""),"",Sync!$Y1335)</f>
        <v/>
      </c>
      <c r="H1338">
        <f>IF($G1338="","",IF(Sync!$X1335="","",Sync!$X1335))</f>
        <v/>
      </c>
      <c r="I1338">
        <f>IF($G1338="","",IFERROR(VLOOKUP(Sync!$X1335,OpTbl,3,0),""))</f>
        <v/>
      </c>
      <c r="J1338">
        <f>IF(OR($G1338="",Sync!$Z1335=""),"",Sync!$Z1335)</f>
        <v/>
      </c>
      <c r="K1338">
        <f>IF(OR($G1338="",Sync!$AA1335=""),"",Sync!$AA1335)</f>
        <v/>
      </c>
      <c r="L1338">
        <f>IF($G1338="",0,IF(Sync!$AB1335="",0,Sync!$AB1335))</f>
        <v/>
      </c>
      <c r="M1338">
        <f>IF($G1338="",0,IF(Sync!$AC1335="",0,Sync!$AC1335))</f>
        <v/>
      </c>
      <c r="N1338">
        <f>IF($G1338="","",IF($H1338="مرجوعی خرید",-1,1)*($L1338-$M1338*IFERROR(VLOOKUP("P01",ParamTbl,3,0),1.5))*(1-IF($I1338="خرید",IFERROR(VLOOKUP("P02",ParamTbl,3,0),1),0)/100))</f>
        <v/>
      </c>
      <c r="O1338">
        <f>IF($G1338="",0,IF($H1338="مرجوعی خرید",-1,1)*IF(Sync!$AD1335="",0,Sync!$AD1335))</f>
        <v/>
      </c>
      <c r="P1338">
        <f>IF(OR($G1338="",Sync!$W1335=""),"",Sync!$W1335)</f>
        <v/>
      </c>
      <c r="Q1338">
        <f>IF(OR($G1338="",Sync!$AE1335=""),"",Sync!$AE1335)</f>
        <v/>
      </c>
      <c r="R1338">
        <f>IF($G1338="","",IF(Sync!$V1335="","0000",IF(AND(ISNUMBER(Sync!$V1335),Sync!$V1335&gt;=0,Sync!$V1335&lt;1),RIGHT("00"&amp;HOUR(Sync!$V1335),2)&amp;RIGHT("00"&amp;MINUTE(Sync!$V1335),2),IFERROR(RIGHT("00"&amp;VALUE(LEFT(Sync!$V1335,FIND(":",Sync!$V1335)-1)),2)&amp;RIGHT("00"&amp;VALUE(MID(Sync!$V1335,FIND(":",Sync!$V1335)+1,2)),2),"0000"))))</f>
        <v/>
      </c>
    </row>
    <row r="1339">
      <c r="A1339">
        <f>IF(Sync!$U1336="","",Sync!$U1336)</f>
        <v/>
      </c>
      <c r="B1339">
        <f>IF($A1339="","",IF(ISNUMBER($A1339),IF(AND($A1339&gt;=10000101,$A1339&lt;=99991231),INT($A1339/10000),""),IFERROR(VALUE(TRIM(LEFT($A1339,FIND("/",$A1339)-1))),"")))</f>
        <v/>
      </c>
      <c r="C1339">
        <f>IF(OR($A1339="",$B1339=""),"",IF(ISNUMBER($A1339),INT(MOD($A1339,10000)/100),IFERROR(VALUE(TRIM(LEFT(MID($A1339,FIND("/",$A1339)+1,20),FIND("/",MID($A1339,FIND("/",$A1339)+1,20))-1))),"")))</f>
        <v/>
      </c>
      <c r="D1339">
        <f>IF(OR($A1339="",$B1339=""),"",IF(ISNUMBER($A1339),MOD($A1339,100),IFERROR(VALUE(TRIM(MID(MID($A1339,FIND("/",$A1339)+1,20),FIND("/",MID($A1339,FIND("/",$A1339)+1,20))+1,20))),"")))</f>
        <v/>
      </c>
      <c r="E1339">
        <f>IF($A1339="","",IF(OR($B1339="",$C1339="",$D1339="",$B1339&lt;1300,$B1339&gt;1500,$C1339&lt;1,$C1339&gt;12,$D1339&lt;1,$D1339&gt;31),"نامعتبر",RIGHT("0000"&amp;$B1339,4)&amp;"/"&amp;RIGHT("00"&amp;$C1339,2)&amp;"/"&amp;RIGHT("00"&amp;$D1339,2)))</f>
        <v/>
      </c>
      <c r="F1339">
        <f>IF(OR($E1339="",$E1339="نامعتبر"),"",LEFT($E1339,4)&amp;"/"&amp;MID($E1339,6,2))</f>
        <v/>
      </c>
      <c r="G1339">
        <f>IF(OR($E1339="",$E1339="نامعتبر",Sync!$Y1336=""),"",Sync!$Y1336)</f>
        <v/>
      </c>
      <c r="H1339">
        <f>IF($G1339="","",IF(Sync!$X1336="","",Sync!$X1336))</f>
        <v/>
      </c>
      <c r="I1339">
        <f>IF($G1339="","",IFERROR(VLOOKUP(Sync!$X1336,OpTbl,3,0),""))</f>
        <v/>
      </c>
      <c r="J1339">
        <f>IF(OR($G1339="",Sync!$Z1336=""),"",Sync!$Z1336)</f>
        <v/>
      </c>
      <c r="K1339">
        <f>IF(OR($G1339="",Sync!$AA1336=""),"",Sync!$AA1336)</f>
        <v/>
      </c>
      <c r="L1339">
        <f>IF($G1339="",0,IF(Sync!$AB1336="",0,Sync!$AB1336))</f>
        <v/>
      </c>
      <c r="M1339">
        <f>IF($G1339="",0,IF(Sync!$AC1336="",0,Sync!$AC1336))</f>
        <v/>
      </c>
      <c r="N1339">
        <f>IF($G1339="","",IF($H1339="مرجوعی خرید",-1,1)*($L1339-$M1339*IFERROR(VLOOKUP("P01",ParamTbl,3,0),1.5))*(1-IF($I1339="خرید",IFERROR(VLOOKUP("P02",ParamTbl,3,0),1),0)/100))</f>
        <v/>
      </c>
      <c r="O1339">
        <f>IF($G1339="",0,IF($H1339="مرجوعی خرید",-1,1)*IF(Sync!$AD1336="",0,Sync!$AD1336))</f>
        <v/>
      </c>
      <c r="P1339">
        <f>IF(OR($G1339="",Sync!$W1336=""),"",Sync!$W1336)</f>
        <v/>
      </c>
      <c r="Q1339">
        <f>IF(OR($G1339="",Sync!$AE1336=""),"",Sync!$AE1336)</f>
        <v/>
      </c>
      <c r="R1339">
        <f>IF($G1339="","",IF(Sync!$V1336="","0000",IF(AND(ISNUMBER(Sync!$V1336),Sync!$V1336&gt;=0,Sync!$V1336&lt;1),RIGHT("00"&amp;HOUR(Sync!$V1336),2)&amp;RIGHT("00"&amp;MINUTE(Sync!$V1336),2),IFERROR(RIGHT("00"&amp;VALUE(LEFT(Sync!$V1336,FIND(":",Sync!$V1336)-1)),2)&amp;RIGHT("00"&amp;VALUE(MID(Sync!$V1336,FIND(":",Sync!$V1336)+1,2)),2),"0000"))))</f>
        <v/>
      </c>
    </row>
    <row r="1340">
      <c r="A1340">
        <f>IF(Sync!$U1337="","",Sync!$U1337)</f>
        <v/>
      </c>
      <c r="B1340">
        <f>IF($A1340="","",IF(ISNUMBER($A1340),IF(AND($A1340&gt;=10000101,$A1340&lt;=99991231),INT($A1340/10000),""),IFERROR(VALUE(TRIM(LEFT($A1340,FIND("/",$A1340)-1))),"")))</f>
        <v/>
      </c>
      <c r="C1340">
        <f>IF(OR($A1340="",$B1340=""),"",IF(ISNUMBER($A1340),INT(MOD($A1340,10000)/100),IFERROR(VALUE(TRIM(LEFT(MID($A1340,FIND("/",$A1340)+1,20),FIND("/",MID($A1340,FIND("/",$A1340)+1,20))-1))),"")))</f>
        <v/>
      </c>
      <c r="D1340">
        <f>IF(OR($A1340="",$B1340=""),"",IF(ISNUMBER($A1340),MOD($A1340,100),IFERROR(VALUE(TRIM(MID(MID($A1340,FIND("/",$A1340)+1,20),FIND("/",MID($A1340,FIND("/",$A1340)+1,20))+1,20))),"")))</f>
        <v/>
      </c>
      <c r="E1340">
        <f>IF($A1340="","",IF(OR($B1340="",$C1340="",$D1340="",$B1340&lt;1300,$B1340&gt;1500,$C1340&lt;1,$C1340&gt;12,$D1340&lt;1,$D1340&gt;31),"نامعتبر",RIGHT("0000"&amp;$B1340,4)&amp;"/"&amp;RIGHT("00"&amp;$C1340,2)&amp;"/"&amp;RIGHT("00"&amp;$D1340,2)))</f>
        <v/>
      </c>
      <c r="F1340">
        <f>IF(OR($E1340="",$E1340="نامعتبر"),"",LEFT($E1340,4)&amp;"/"&amp;MID($E1340,6,2))</f>
        <v/>
      </c>
      <c r="G1340">
        <f>IF(OR($E1340="",$E1340="نامعتبر",Sync!$Y1337=""),"",Sync!$Y1337)</f>
        <v/>
      </c>
      <c r="H1340">
        <f>IF($G1340="","",IF(Sync!$X1337="","",Sync!$X1337))</f>
        <v/>
      </c>
      <c r="I1340">
        <f>IF($G1340="","",IFERROR(VLOOKUP(Sync!$X1337,OpTbl,3,0),""))</f>
        <v/>
      </c>
      <c r="J1340">
        <f>IF(OR($G1340="",Sync!$Z1337=""),"",Sync!$Z1337)</f>
        <v/>
      </c>
      <c r="K1340">
        <f>IF(OR($G1340="",Sync!$AA1337=""),"",Sync!$AA1337)</f>
        <v/>
      </c>
      <c r="L1340">
        <f>IF($G1340="",0,IF(Sync!$AB1337="",0,Sync!$AB1337))</f>
        <v/>
      </c>
      <c r="M1340">
        <f>IF($G1340="",0,IF(Sync!$AC1337="",0,Sync!$AC1337))</f>
        <v/>
      </c>
      <c r="N1340">
        <f>IF($G1340="","",IF($H1340="مرجوعی خرید",-1,1)*($L1340-$M1340*IFERROR(VLOOKUP("P01",ParamTbl,3,0),1.5))*(1-IF($I1340="خرید",IFERROR(VLOOKUP("P02",ParamTbl,3,0),1),0)/100))</f>
        <v/>
      </c>
      <c r="O1340">
        <f>IF($G1340="",0,IF($H1340="مرجوعی خرید",-1,1)*IF(Sync!$AD1337="",0,Sync!$AD1337))</f>
        <v/>
      </c>
      <c r="P1340">
        <f>IF(OR($G1340="",Sync!$W1337=""),"",Sync!$W1337)</f>
        <v/>
      </c>
      <c r="Q1340">
        <f>IF(OR($G1340="",Sync!$AE1337=""),"",Sync!$AE1337)</f>
        <v/>
      </c>
      <c r="R1340">
        <f>IF($G1340="","",IF(Sync!$V1337="","0000",IF(AND(ISNUMBER(Sync!$V1337),Sync!$V1337&gt;=0,Sync!$V1337&lt;1),RIGHT("00"&amp;HOUR(Sync!$V1337),2)&amp;RIGHT("00"&amp;MINUTE(Sync!$V1337),2),IFERROR(RIGHT("00"&amp;VALUE(LEFT(Sync!$V1337,FIND(":",Sync!$V1337)-1)),2)&amp;RIGHT("00"&amp;VALUE(MID(Sync!$V1337,FIND(":",Sync!$V1337)+1,2)),2),"0000"))))</f>
        <v/>
      </c>
    </row>
    <row r="1341">
      <c r="A1341">
        <f>IF(Sync!$U1338="","",Sync!$U1338)</f>
        <v/>
      </c>
      <c r="B1341">
        <f>IF($A1341="","",IF(ISNUMBER($A1341),IF(AND($A1341&gt;=10000101,$A1341&lt;=99991231),INT($A1341/10000),""),IFERROR(VALUE(TRIM(LEFT($A1341,FIND("/",$A1341)-1))),"")))</f>
        <v/>
      </c>
      <c r="C1341">
        <f>IF(OR($A1341="",$B1341=""),"",IF(ISNUMBER($A1341),INT(MOD($A1341,10000)/100),IFERROR(VALUE(TRIM(LEFT(MID($A1341,FIND("/",$A1341)+1,20),FIND("/",MID($A1341,FIND("/",$A1341)+1,20))-1))),"")))</f>
        <v/>
      </c>
      <c r="D1341">
        <f>IF(OR($A1341="",$B1341=""),"",IF(ISNUMBER($A1341),MOD($A1341,100),IFERROR(VALUE(TRIM(MID(MID($A1341,FIND("/",$A1341)+1,20),FIND("/",MID($A1341,FIND("/",$A1341)+1,20))+1,20))),"")))</f>
        <v/>
      </c>
      <c r="E1341">
        <f>IF($A1341="","",IF(OR($B1341="",$C1341="",$D1341="",$B1341&lt;1300,$B1341&gt;1500,$C1341&lt;1,$C1341&gt;12,$D1341&lt;1,$D1341&gt;31),"نامعتبر",RIGHT("0000"&amp;$B1341,4)&amp;"/"&amp;RIGHT("00"&amp;$C1341,2)&amp;"/"&amp;RIGHT("00"&amp;$D1341,2)))</f>
        <v/>
      </c>
      <c r="F1341">
        <f>IF(OR($E1341="",$E1341="نامعتبر"),"",LEFT($E1341,4)&amp;"/"&amp;MID($E1341,6,2))</f>
        <v/>
      </c>
      <c r="G1341">
        <f>IF(OR($E1341="",$E1341="نامعتبر",Sync!$Y1338=""),"",Sync!$Y1338)</f>
        <v/>
      </c>
      <c r="H1341">
        <f>IF($G1341="","",IF(Sync!$X1338="","",Sync!$X1338))</f>
        <v/>
      </c>
      <c r="I1341">
        <f>IF($G1341="","",IFERROR(VLOOKUP(Sync!$X1338,OpTbl,3,0),""))</f>
        <v/>
      </c>
      <c r="J1341">
        <f>IF(OR($G1341="",Sync!$Z1338=""),"",Sync!$Z1338)</f>
        <v/>
      </c>
      <c r="K1341">
        <f>IF(OR($G1341="",Sync!$AA1338=""),"",Sync!$AA1338)</f>
        <v/>
      </c>
      <c r="L1341">
        <f>IF($G1341="",0,IF(Sync!$AB1338="",0,Sync!$AB1338))</f>
        <v/>
      </c>
      <c r="M1341">
        <f>IF($G1341="",0,IF(Sync!$AC1338="",0,Sync!$AC1338))</f>
        <v/>
      </c>
      <c r="N1341">
        <f>IF($G1341="","",IF($H1341="مرجوعی خرید",-1,1)*($L1341-$M1341*IFERROR(VLOOKUP("P01",ParamTbl,3,0),1.5))*(1-IF($I1341="خرید",IFERROR(VLOOKUP("P02",ParamTbl,3,0),1),0)/100))</f>
        <v/>
      </c>
      <c r="O1341">
        <f>IF($G1341="",0,IF($H1341="مرجوعی خرید",-1,1)*IF(Sync!$AD1338="",0,Sync!$AD1338))</f>
        <v/>
      </c>
      <c r="P1341">
        <f>IF(OR($G1341="",Sync!$W1338=""),"",Sync!$W1338)</f>
        <v/>
      </c>
      <c r="Q1341">
        <f>IF(OR($G1341="",Sync!$AE1338=""),"",Sync!$AE1338)</f>
        <v/>
      </c>
      <c r="R1341">
        <f>IF($G1341="","",IF(Sync!$V1338="","0000",IF(AND(ISNUMBER(Sync!$V1338),Sync!$V1338&gt;=0,Sync!$V1338&lt;1),RIGHT("00"&amp;HOUR(Sync!$V1338),2)&amp;RIGHT("00"&amp;MINUTE(Sync!$V1338),2),IFERROR(RIGHT("00"&amp;VALUE(LEFT(Sync!$V1338,FIND(":",Sync!$V1338)-1)),2)&amp;RIGHT("00"&amp;VALUE(MID(Sync!$V1338,FIND(":",Sync!$V1338)+1,2)),2),"0000"))))</f>
        <v/>
      </c>
    </row>
    <row r="1342">
      <c r="A1342">
        <f>IF(Sync!$U1339="","",Sync!$U1339)</f>
        <v/>
      </c>
      <c r="B1342">
        <f>IF($A1342="","",IF(ISNUMBER($A1342),IF(AND($A1342&gt;=10000101,$A1342&lt;=99991231),INT($A1342/10000),""),IFERROR(VALUE(TRIM(LEFT($A1342,FIND("/",$A1342)-1))),"")))</f>
        <v/>
      </c>
      <c r="C1342">
        <f>IF(OR($A1342="",$B1342=""),"",IF(ISNUMBER($A1342),INT(MOD($A1342,10000)/100),IFERROR(VALUE(TRIM(LEFT(MID($A1342,FIND("/",$A1342)+1,20),FIND("/",MID($A1342,FIND("/",$A1342)+1,20))-1))),"")))</f>
        <v/>
      </c>
      <c r="D1342">
        <f>IF(OR($A1342="",$B1342=""),"",IF(ISNUMBER($A1342),MOD($A1342,100),IFERROR(VALUE(TRIM(MID(MID($A1342,FIND("/",$A1342)+1,20),FIND("/",MID($A1342,FIND("/",$A1342)+1,20))+1,20))),"")))</f>
        <v/>
      </c>
      <c r="E1342">
        <f>IF($A1342="","",IF(OR($B1342="",$C1342="",$D1342="",$B1342&lt;1300,$B1342&gt;1500,$C1342&lt;1,$C1342&gt;12,$D1342&lt;1,$D1342&gt;31),"نامعتبر",RIGHT("0000"&amp;$B1342,4)&amp;"/"&amp;RIGHT("00"&amp;$C1342,2)&amp;"/"&amp;RIGHT("00"&amp;$D1342,2)))</f>
        <v/>
      </c>
      <c r="F1342">
        <f>IF(OR($E1342="",$E1342="نامعتبر"),"",LEFT($E1342,4)&amp;"/"&amp;MID($E1342,6,2))</f>
        <v/>
      </c>
      <c r="G1342">
        <f>IF(OR($E1342="",$E1342="نامعتبر",Sync!$Y1339=""),"",Sync!$Y1339)</f>
        <v/>
      </c>
      <c r="H1342">
        <f>IF($G1342="","",IF(Sync!$X1339="","",Sync!$X1339))</f>
        <v/>
      </c>
      <c r="I1342">
        <f>IF($G1342="","",IFERROR(VLOOKUP(Sync!$X1339,OpTbl,3,0),""))</f>
        <v/>
      </c>
      <c r="J1342">
        <f>IF(OR($G1342="",Sync!$Z1339=""),"",Sync!$Z1339)</f>
        <v/>
      </c>
      <c r="K1342">
        <f>IF(OR($G1342="",Sync!$AA1339=""),"",Sync!$AA1339)</f>
        <v/>
      </c>
      <c r="L1342">
        <f>IF($G1342="",0,IF(Sync!$AB1339="",0,Sync!$AB1339))</f>
        <v/>
      </c>
      <c r="M1342">
        <f>IF($G1342="",0,IF(Sync!$AC1339="",0,Sync!$AC1339))</f>
        <v/>
      </c>
      <c r="N1342">
        <f>IF($G1342="","",IF($H1342="مرجوعی خرید",-1,1)*($L1342-$M1342*IFERROR(VLOOKUP("P01",ParamTbl,3,0),1.5))*(1-IF($I1342="خرید",IFERROR(VLOOKUP("P02",ParamTbl,3,0),1),0)/100))</f>
        <v/>
      </c>
      <c r="O1342">
        <f>IF($G1342="",0,IF($H1342="مرجوعی خرید",-1,1)*IF(Sync!$AD1339="",0,Sync!$AD1339))</f>
        <v/>
      </c>
      <c r="P1342">
        <f>IF(OR($G1342="",Sync!$W1339=""),"",Sync!$W1339)</f>
        <v/>
      </c>
      <c r="Q1342">
        <f>IF(OR($G1342="",Sync!$AE1339=""),"",Sync!$AE1339)</f>
        <v/>
      </c>
      <c r="R1342">
        <f>IF($G1342="","",IF(Sync!$V1339="","0000",IF(AND(ISNUMBER(Sync!$V1339),Sync!$V1339&gt;=0,Sync!$V1339&lt;1),RIGHT("00"&amp;HOUR(Sync!$V1339),2)&amp;RIGHT("00"&amp;MINUTE(Sync!$V1339),2),IFERROR(RIGHT("00"&amp;VALUE(LEFT(Sync!$V1339,FIND(":",Sync!$V1339)-1)),2)&amp;RIGHT("00"&amp;VALUE(MID(Sync!$V1339,FIND(":",Sync!$V1339)+1,2)),2),"0000"))))</f>
        <v/>
      </c>
    </row>
    <row r="1343">
      <c r="A1343">
        <f>IF(Sync!$U1340="","",Sync!$U1340)</f>
        <v/>
      </c>
      <c r="B1343">
        <f>IF($A1343="","",IF(ISNUMBER($A1343),IF(AND($A1343&gt;=10000101,$A1343&lt;=99991231),INT($A1343/10000),""),IFERROR(VALUE(TRIM(LEFT($A1343,FIND("/",$A1343)-1))),"")))</f>
        <v/>
      </c>
      <c r="C1343">
        <f>IF(OR($A1343="",$B1343=""),"",IF(ISNUMBER($A1343),INT(MOD($A1343,10000)/100),IFERROR(VALUE(TRIM(LEFT(MID($A1343,FIND("/",$A1343)+1,20),FIND("/",MID($A1343,FIND("/",$A1343)+1,20))-1))),"")))</f>
        <v/>
      </c>
      <c r="D1343">
        <f>IF(OR($A1343="",$B1343=""),"",IF(ISNUMBER($A1343),MOD($A1343,100),IFERROR(VALUE(TRIM(MID(MID($A1343,FIND("/",$A1343)+1,20),FIND("/",MID($A1343,FIND("/",$A1343)+1,20))+1,20))),"")))</f>
        <v/>
      </c>
      <c r="E1343">
        <f>IF($A1343="","",IF(OR($B1343="",$C1343="",$D1343="",$B1343&lt;1300,$B1343&gt;1500,$C1343&lt;1,$C1343&gt;12,$D1343&lt;1,$D1343&gt;31),"نامعتبر",RIGHT("0000"&amp;$B1343,4)&amp;"/"&amp;RIGHT("00"&amp;$C1343,2)&amp;"/"&amp;RIGHT("00"&amp;$D1343,2)))</f>
        <v/>
      </c>
      <c r="F1343">
        <f>IF(OR($E1343="",$E1343="نامعتبر"),"",LEFT($E1343,4)&amp;"/"&amp;MID($E1343,6,2))</f>
        <v/>
      </c>
      <c r="G1343">
        <f>IF(OR($E1343="",$E1343="نامعتبر",Sync!$Y1340=""),"",Sync!$Y1340)</f>
        <v/>
      </c>
      <c r="H1343">
        <f>IF($G1343="","",IF(Sync!$X1340="","",Sync!$X1340))</f>
        <v/>
      </c>
      <c r="I1343">
        <f>IF($G1343="","",IFERROR(VLOOKUP(Sync!$X1340,OpTbl,3,0),""))</f>
        <v/>
      </c>
      <c r="J1343">
        <f>IF(OR($G1343="",Sync!$Z1340=""),"",Sync!$Z1340)</f>
        <v/>
      </c>
      <c r="K1343">
        <f>IF(OR($G1343="",Sync!$AA1340=""),"",Sync!$AA1340)</f>
        <v/>
      </c>
      <c r="L1343">
        <f>IF($G1343="",0,IF(Sync!$AB1340="",0,Sync!$AB1340))</f>
        <v/>
      </c>
      <c r="M1343">
        <f>IF($G1343="",0,IF(Sync!$AC1340="",0,Sync!$AC1340))</f>
        <v/>
      </c>
      <c r="N1343">
        <f>IF($G1343="","",IF($H1343="مرجوعی خرید",-1,1)*($L1343-$M1343*IFERROR(VLOOKUP("P01",ParamTbl,3,0),1.5))*(1-IF($I1343="خرید",IFERROR(VLOOKUP("P02",ParamTbl,3,0),1),0)/100))</f>
        <v/>
      </c>
      <c r="O1343">
        <f>IF($G1343="",0,IF($H1343="مرجوعی خرید",-1,1)*IF(Sync!$AD1340="",0,Sync!$AD1340))</f>
        <v/>
      </c>
      <c r="P1343">
        <f>IF(OR($G1343="",Sync!$W1340=""),"",Sync!$W1340)</f>
        <v/>
      </c>
      <c r="Q1343">
        <f>IF(OR($G1343="",Sync!$AE1340=""),"",Sync!$AE1340)</f>
        <v/>
      </c>
      <c r="R1343">
        <f>IF($G1343="","",IF(Sync!$V1340="","0000",IF(AND(ISNUMBER(Sync!$V1340),Sync!$V1340&gt;=0,Sync!$V1340&lt;1),RIGHT("00"&amp;HOUR(Sync!$V1340),2)&amp;RIGHT("00"&amp;MINUTE(Sync!$V1340),2),IFERROR(RIGHT("00"&amp;VALUE(LEFT(Sync!$V1340,FIND(":",Sync!$V1340)-1)),2)&amp;RIGHT("00"&amp;VALUE(MID(Sync!$V1340,FIND(":",Sync!$V1340)+1,2)),2),"0000"))))</f>
        <v/>
      </c>
    </row>
    <row r="1344">
      <c r="A1344">
        <f>IF(Sync!$U1341="","",Sync!$U1341)</f>
        <v/>
      </c>
      <c r="B1344">
        <f>IF($A1344="","",IF(ISNUMBER($A1344),IF(AND($A1344&gt;=10000101,$A1344&lt;=99991231),INT($A1344/10000),""),IFERROR(VALUE(TRIM(LEFT($A1344,FIND("/",$A1344)-1))),"")))</f>
        <v/>
      </c>
      <c r="C1344">
        <f>IF(OR($A1344="",$B1344=""),"",IF(ISNUMBER($A1344),INT(MOD($A1344,10000)/100),IFERROR(VALUE(TRIM(LEFT(MID($A1344,FIND("/",$A1344)+1,20),FIND("/",MID($A1344,FIND("/",$A1344)+1,20))-1))),"")))</f>
        <v/>
      </c>
      <c r="D1344">
        <f>IF(OR($A1344="",$B1344=""),"",IF(ISNUMBER($A1344),MOD($A1344,100),IFERROR(VALUE(TRIM(MID(MID($A1344,FIND("/",$A1344)+1,20),FIND("/",MID($A1344,FIND("/",$A1344)+1,20))+1,20))),"")))</f>
        <v/>
      </c>
      <c r="E1344">
        <f>IF($A1344="","",IF(OR($B1344="",$C1344="",$D1344="",$B1344&lt;1300,$B1344&gt;1500,$C1344&lt;1,$C1344&gt;12,$D1344&lt;1,$D1344&gt;31),"نامعتبر",RIGHT("0000"&amp;$B1344,4)&amp;"/"&amp;RIGHT("00"&amp;$C1344,2)&amp;"/"&amp;RIGHT("00"&amp;$D1344,2)))</f>
        <v/>
      </c>
      <c r="F1344">
        <f>IF(OR($E1344="",$E1344="نامعتبر"),"",LEFT($E1344,4)&amp;"/"&amp;MID($E1344,6,2))</f>
        <v/>
      </c>
      <c r="G1344">
        <f>IF(OR($E1344="",$E1344="نامعتبر",Sync!$Y1341=""),"",Sync!$Y1341)</f>
        <v/>
      </c>
      <c r="H1344">
        <f>IF($G1344="","",IF(Sync!$X1341="","",Sync!$X1341))</f>
        <v/>
      </c>
      <c r="I1344">
        <f>IF($G1344="","",IFERROR(VLOOKUP(Sync!$X1341,OpTbl,3,0),""))</f>
        <v/>
      </c>
      <c r="J1344">
        <f>IF(OR($G1344="",Sync!$Z1341=""),"",Sync!$Z1341)</f>
        <v/>
      </c>
      <c r="K1344">
        <f>IF(OR($G1344="",Sync!$AA1341=""),"",Sync!$AA1341)</f>
        <v/>
      </c>
      <c r="L1344">
        <f>IF($G1344="",0,IF(Sync!$AB1341="",0,Sync!$AB1341))</f>
        <v/>
      </c>
      <c r="M1344">
        <f>IF($G1344="",0,IF(Sync!$AC1341="",0,Sync!$AC1341))</f>
        <v/>
      </c>
      <c r="N1344">
        <f>IF($G1344="","",IF($H1344="مرجوعی خرید",-1,1)*($L1344-$M1344*IFERROR(VLOOKUP("P01",ParamTbl,3,0),1.5))*(1-IF($I1344="خرید",IFERROR(VLOOKUP("P02",ParamTbl,3,0),1),0)/100))</f>
        <v/>
      </c>
      <c r="O1344">
        <f>IF($G1344="",0,IF($H1344="مرجوعی خرید",-1,1)*IF(Sync!$AD1341="",0,Sync!$AD1341))</f>
        <v/>
      </c>
      <c r="P1344">
        <f>IF(OR($G1344="",Sync!$W1341=""),"",Sync!$W1341)</f>
        <v/>
      </c>
      <c r="Q1344">
        <f>IF(OR($G1344="",Sync!$AE1341=""),"",Sync!$AE1341)</f>
        <v/>
      </c>
      <c r="R1344">
        <f>IF($G1344="","",IF(Sync!$V1341="","0000",IF(AND(ISNUMBER(Sync!$V1341),Sync!$V1341&gt;=0,Sync!$V1341&lt;1),RIGHT("00"&amp;HOUR(Sync!$V1341),2)&amp;RIGHT("00"&amp;MINUTE(Sync!$V1341),2),IFERROR(RIGHT("00"&amp;VALUE(LEFT(Sync!$V1341,FIND(":",Sync!$V1341)-1)),2)&amp;RIGHT("00"&amp;VALUE(MID(Sync!$V1341,FIND(":",Sync!$V1341)+1,2)),2),"0000"))))</f>
        <v/>
      </c>
    </row>
    <row r="1345">
      <c r="A1345">
        <f>IF(Sync!$U1342="","",Sync!$U1342)</f>
        <v/>
      </c>
      <c r="B1345">
        <f>IF($A1345="","",IF(ISNUMBER($A1345),IF(AND($A1345&gt;=10000101,$A1345&lt;=99991231),INT($A1345/10000),""),IFERROR(VALUE(TRIM(LEFT($A1345,FIND("/",$A1345)-1))),"")))</f>
        <v/>
      </c>
      <c r="C1345">
        <f>IF(OR($A1345="",$B1345=""),"",IF(ISNUMBER($A1345),INT(MOD($A1345,10000)/100),IFERROR(VALUE(TRIM(LEFT(MID($A1345,FIND("/",$A1345)+1,20),FIND("/",MID($A1345,FIND("/",$A1345)+1,20))-1))),"")))</f>
        <v/>
      </c>
      <c r="D1345">
        <f>IF(OR($A1345="",$B1345=""),"",IF(ISNUMBER($A1345),MOD($A1345,100),IFERROR(VALUE(TRIM(MID(MID($A1345,FIND("/",$A1345)+1,20),FIND("/",MID($A1345,FIND("/",$A1345)+1,20))+1,20))),"")))</f>
        <v/>
      </c>
      <c r="E1345">
        <f>IF($A1345="","",IF(OR($B1345="",$C1345="",$D1345="",$B1345&lt;1300,$B1345&gt;1500,$C1345&lt;1,$C1345&gt;12,$D1345&lt;1,$D1345&gt;31),"نامعتبر",RIGHT("0000"&amp;$B1345,4)&amp;"/"&amp;RIGHT("00"&amp;$C1345,2)&amp;"/"&amp;RIGHT("00"&amp;$D1345,2)))</f>
        <v/>
      </c>
      <c r="F1345">
        <f>IF(OR($E1345="",$E1345="نامعتبر"),"",LEFT($E1345,4)&amp;"/"&amp;MID($E1345,6,2))</f>
        <v/>
      </c>
      <c r="G1345">
        <f>IF(OR($E1345="",$E1345="نامعتبر",Sync!$Y1342=""),"",Sync!$Y1342)</f>
        <v/>
      </c>
      <c r="H1345">
        <f>IF($G1345="","",IF(Sync!$X1342="","",Sync!$X1342))</f>
        <v/>
      </c>
      <c r="I1345">
        <f>IF($G1345="","",IFERROR(VLOOKUP(Sync!$X1342,OpTbl,3,0),""))</f>
        <v/>
      </c>
      <c r="J1345">
        <f>IF(OR($G1345="",Sync!$Z1342=""),"",Sync!$Z1342)</f>
        <v/>
      </c>
      <c r="K1345">
        <f>IF(OR($G1345="",Sync!$AA1342=""),"",Sync!$AA1342)</f>
        <v/>
      </c>
      <c r="L1345">
        <f>IF($G1345="",0,IF(Sync!$AB1342="",0,Sync!$AB1342))</f>
        <v/>
      </c>
      <c r="M1345">
        <f>IF($G1345="",0,IF(Sync!$AC1342="",0,Sync!$AC1342))</f>
        <v/>
      </c>
      <c r="N1345">
        <f>IF($G1345="","",IF($H1345="مرجوعی خرید",-1,1)*($L1345-$M1345*IFERROR(VLOOKUP("P01",ParamTbl,3,0),1.5))*(1-IF($I1345="خرید",IFERROR(VLOOKUP("P02",ParamTbl,3,0),1),0)/100))</f>
        <v/>
      </c>
      <c r="O1345">
        <f>IF($G1345="",0,IF($H1345="مرجوعی خرید",-1,1)*IF(Sync!$AD1342="",0,Sync!$AD1342))</f>
        <v/>
      </c>
      <c r="P1345">
        <f>IF(OR($G1345="",Sync!$W1342=""),"",Sync!$W1342)</f>
        <v/>
      </c>
      <c r="Q1345">
        <f>IF(OR($G1345="",Sync!$AE1342=""),"",Sync!$AE1342)</f>
        <v/>
      </c>
      <c r="R1345">
        <f>IF($G1345="","",IF(Sync!$V1342="","0000",IF(AND(ISNUMBER(Sync!$V1342),Sync!$V1342&gt;=0,Sync!$V1342&lt;1),RIGHT("00"&amp;HOUR(Sync!$V1342),2)&amp;RIGHT("00"&amp;MINUTE(Sync!$V1342),2),IFERROR(RIGHT("00"&amp;VALUE(LEFT(Sync!$V1342,FIND(":",Sync!$V1342)-1)),2)&amp;RIGHT("00"&amp;VALUE(MID(Sync!$V1342,FIND(":",Sync!$V1342)+1,2)),2),"0000"))))</f>
        <v/>
      </c>
    </row>
    <row r="1346">
      <c r="A1346">
        <f>IF(Sync!$U1343="","",Sync!$U1343)</f>
        <v/>
      </c>
      <c r="B1346">
        <f>IF($A1346="","",IF(ISNUMBER($A1346),IF(AND($A1346&gt;=10000101,$A1346&lt;=99991231),INT($A1346/10000),""),IFERROR(VALUE(TRIM(LEFT($A1346,FIND("/",$A1346)-1))),"")))</f>
        <v/>
      </c>
      <c r="C1346">
        <f>IF(OR($A1346="",$B1346=""),"",IF(ISNUMBER($A1346),INT(MOD($A1346,10000)/100),IFERROR(VALUE(TRIM(LEFT(MID($A1346,FIND("/",$A1346)+1,20),FIND("/",MID($A1346,FIND("/",$A1346)+1,20))-1))),"")))</f>
        <v/>
      </c>
      <c r="D1346">
        <f>IF(OR($A1346="",$B1346=""),"",IF(ISNUMBER($A1346),MOD($A1346,100),IFERROR(VALUE(TRIM(MID(MID($A1346,FIND("/",$A1346)+1,20),FIND("/",MID($A1346,FIND("/",$A1346)+1,20))+1,20))),"")))</f>
        <v/>
      </c>
      <c r="E1346">
        <f>IF($A1346="","",IF(OR($B1346="",$C1346="",$D1346="",$B1346&lt;1300,$B1346&gt;1500,$C1346&lt;1,$C1346&gt;12,$D1346&lt;1,$D1346&gt;31),"نامعتبر",RIGHT("0000"&amp;$B1346,4)&amp;"/"&amp;RIGHT("00"&amp;$C1346,2)&amp;"/"&amp;RIGHT("00"&amp;$D1346,2)))</f>
        <v/>
      </c>
      <c r="F1346">
        <f>IF(OR($E1346="",$E1346="نامعتبر"),"",LEFT($E1346,4)&amp;"/"&amp;MID($E1346,6,2))</f>
        <v/>
      </c>
      <c r="G1346">
        <f>IF(OR($E1346="",$E1346="نامعتبر",Sync!$Y1343=""),"",Sync!$Y1343)</f>
        <v/>
      </c>
      <c r="H1346">
        <f>IF($G1346="","",IF(Sync!$X1343="","",Sync!$X1343))</f>
        <v/>
      </c>
      <c r="I1346">
        <f>IF($G1346="","",IFERROR(VLOOKUP(Sync!$X1343,OpTbl,3,0),""))</f>
        <v/>
      </c>
      <c r="J1346">
        <f>IF(OR($G1346="",Sync!$Z1343=""),"",Sync!$Z1343)</f>
        <v/>
      </c>
      <c r="K1346">
        <f>IF(OR($G1346="",Sync!$AA1343=""),"",Sync!$AA1343)</f>
        <v/>
      </c>
      <c r="L1346">
        <f>IF($G1346="",0,IF(Sync!$AB1343="",0,Sync!$AB1343))</f>
        <v/>
      </c>
      <c r="M1346">
        <f>IF($G1346="",0,IF(Sync!$AC1343="",0,Sync!$AC1343))</f>
        <v/>
      </c>
      <c r="N1346">
        <f>IF($G1346="","",IF($H1346="مرجوعی خرید",-1,1)*($L1346-$M1346*IFERROR(VLOOKUP("P01",ParamTbl,3,0),1.5))*(1-IF($I1346="خرید",IFERROR(VLOOKUP("P02",ParamTbl,3,0),1),0)/100))</f>
        <v/>
      </c>
      <c r="O1346">
        <f>IF($G1346="",0,IF($H1346="مرجوعی خرید",-1,1)*IF(Sync!$AD1343="",0,Sync!$AD1343))</f>
        <v/>
      </c>
      <c r="P1346">
        <f>IF(OR($G1346="",Sync!$W1343=""),"",Sync!$W1343)</f>
        <v/>
      </c>
      <c r="Q1346">
        <f>IF(OR($G1346="",Sync!$AE1343=""),"",Sync!$AE1343)</f>
        <v/>
      </c>
      <c r="R1346">
        <f>IF($G1346="","",IF(Sync!$V1343="","0000",IF(AND(ISNUMBER(Sync!$V1343),Sync!$V1343&gt;=0,Sync!$V1343&lt;1),RIGHT("00"&amp;HOUR(Sync!$V1343),2)&amp;RIGHT("00"&amp;MINUTE(Sync!$V1343),2),IFERROR(RIGHT("00"&amp;VALUE(LEFT(Sync!$V1343,FIND(":",Sync!$V1343)-1)),2)&amp;RIGHT("00"&amp;VALUE(MID(Sync!$V1343,FIND(":",Sync!$V1343)+1,2)),2),"0000"))))</f>
        <v/>
      </c>
    </row>
    <row r="1347">
      <c r="A1347">
        <f>IF(Sync!$U1344="","",Sync!$U1344)</f>
        <v/>
      </c>
      <c r="B1347">
        <f>IF($A1347="","",IF(ISNUMBER($A1347),IF(AND($A1347&gt;=10000101,$A1347&lt;=99991231),INT($A1347/10000),""),IFERROR(VALUE(TRIM(LEFT($A1347,FIND("/",$A1347)-1))),"")))</f>
        <v/>
      </c>
      <c r="C1347">
        <f>IF(OR($A1347="",$B1347=""),"",IF(ISNUMBER($A1347),INT(MOD($A1347,10000)/100),IFERROR(VALUE(TRIM(LEFT(MID($A1347,FIND("/",$A1347)+1,20),FIND("/",MID($A1347,FIND("/",$A1347)+1,20))-1))),"")))</f>
        <v/>
      </c>
      <c r="D1347">
        <f>IF(OR($A1347="",$B1347=""),"",IF(ISNUMBER($A1347),MOD($A1347,100),IFERROR(VALUE(TRIM(MID(MID($A1347,FIND("/",$A1347)+1,20),FIND("/",MID($A1347,FIND("/",$A1347)+1,20))+1,20))),"")))</f>
        <v/>
      </c>
      <c r="E1347">
        <f>IF($A1347="","",IF(OR($B1347="",$C1347="",$D1347="",$B1347&lt;1300,$B1347&gt;1500,$C1347&lt;1,$C1347&gt;12,$D1347&lt;1,$D1347&gt;31),"نامعتبر",RIGHT("0000"&amp;$B1347,4)&amp;"/"&amp;RIGHT("00"&amp;$C1347,2)&amp;"/"&amp;RIGHT("00"&amp;$D1347,2)))</f>
        <v/>
      </c>
      <c r="F1347">
        <f>IF(OR($E1347="",$E1347="نامعتبر"),"",LEFT($E1347,4)&amp;"/"&amp;MID($E1347,6,2))</f>
        <v/>
      </c>
      <c r="G1347">
        <f>IF(OR($E1347="",$E1347="نامعتبر",Sync!$Y1344=""),"",Sync!$Y1344)</f>
        <v/>
      </c>
      <c r="H1347">
        <f>IF($G1347="","",IF(Sync!$X1344="","",Sync!$X1344))</f>
        <v/>
      </c>
      <c r="I1347">
        <f>IF($G1347="","",IFERROR(VLOOKUP(Sync!$X1344,OpTbl,3,0),""))</f>
        <v/>
      </c>
      <c r="J1347">
        <f>IF(OR($G1347="",Sync!$Z1344=""),"",Sync!$Z1344)</f>
        <v/>
      </c>
      <c r="K1347">
        <f>IF(OR($G1347="",Sync!$AA1344=""),"",Sync!$AA1344)</f>
        <v/>
      </c>
      <c r="L1347">
        <f>IF($G1347="",0,IF(Sync!$AB1344="",0,Sync!$AB1344))</f>
        <v/>
      </c>
      <c r="M1347">
        <f>IF($G1347="",0,IF(Sync!$AC1344="",0,Sync!$AC1344))</f>
        <v/>
      </c>
      <c r="N1347">
        <f>IF($G1347="","",IF($H1347="مرجوعی خرید",-1,1)*($L1347-$M1347*IFERROR(VLOOKUP("P01",ParamTbl,3,0),1.5))*(1-IF($I1347="خرید",IFERROR(VLOOKUP("P02",ParamTbl,3,0),1),0)/100))</f>
        <v/>
      </c>
      <c r="O1347">
        <f>IF($G1347="",0,IF($H1347="مرجوعی خرید",-1,1)*IF(Sync!$AD1344="",0,Sync!$AD1344))</f>
        <v/>
      </c>
      <c r="P1347">
        <f>IF(OR($G1347="",Sync!$W1344=""),"",Sync!$W1344)</f>
        <v/>
      </c>
      <c r="Q1347">
        <f>IF(OR($G1347="",Sync!$AE1344=""),"",Sync!$AE1344)</f>
        <v/>
      </c>
      <c r="R1347">
        <f>IF($G1347="","",IF(Sync!$V1344="","0000",IF(AND(ISNUMBER(Sync!$V1344),Sync!$V1344&gt;=0,Sync!$V1344&lt;1),RIGHT("00"&amp;HOUR(Sync!$V1344),2)&amp;RIGHT("00"&amp;MINUTE(Sync!$V1344),2),IFERROR(RIGHT("00"&amp;VALUE(LEFT(Sync!$V1344,FIND(":",Sync!$V1344)-1)),2)&amp;RIGHT("00"&amp;VALUE(MID(Sync!$V1344,FIND(":",Sync!$V1344)+1,2)),2),"0000"))))</f>
        <v/>
      </c>
    </row>
    <row r="1348">
      <c r="A1348">
        <f>IF(Sync!$U1345="","",Sync!$U1345)</f>
        <v/>
      </c>
      <c r="B1348">
        <f>IF($A1348="","",IF(ISNUMBER($A1348),IF(AND($A1348&gt;=10000101,$A1348&lt;=99991231),INT($A1348/10000),""),IFERROR(VALUE(TRIM(LEFT($A1348,FIND("/",$A1348)-1))),"")))</f>
        <v/>
      </c>
      <c r="C1348">
        <f>IF(OR($A1348="",$B1348=""),"",IF(ISNUMBER($A1348),INT(MOD($A1348,10000)/100),IFERROR(VALUE(TRIM(LEFT(MID($A1348,FIND("/",$A1348)+1,20),FIND("/",MID($A1348,FIND("/",$A1348)+1,20))-1))),"")))</f>
        <v/>
      </c>
      <c r="D1348">
        <f>IF(OR($A1348="",$B1348=""),"",IF(ISNUMBER($A1348),MOD($A1348,100),IFERROR(VALUE(TRIM(MID(MID($A1348,FIND("/",$A1348)+1,20),FIND("/",MID($A1348,FIND("/",$A1348)+1,20))+1,20))),"")))</f>
        <v/>
      </c>
      <c r="E1348">
        <f>IF($A1348="","",IF(OR($B1348="",$C1348="",$D1348="",$B1348&lt;1300,$B1348&gt;1500,$C1348&lt;1,$C1348&gt;12,$D1348&lt;1,$D1348&gt;31),"نامعتبر",RIGHT("0000"&amp;$B1348,4)&amp;"/"&amp;RIGHT("00"&amp;$C1348,2)&amp;"/"&amp;RIGHT("00"&amp;$D1348,2)))</f>
        <v/>
      </c>
      <c r="F1348">
        <f>IF(OR($E1348="",$E1348="نامعتبر"),"",LEFT($E1348,4)&amp;"/"&amp;MID($E1348,6,2))</f>
        <v/>
      </c>
      <c r="G1348">
        <f>IF(OR($E1348="",$E1348="نامعتبر",Sync!$Y1345=""),"",Sync!$Y1345)</f>
        <v/>
      </c>
      <c r="H1348">
        <f>IF($G1348="","",IF(Sync!$X1345="","",Sync!$X1345))</f>
        <v/>
      </c>
      <c r="I1348">
        <f>IF($G1348="","",IFERROR(VLOOKUP(Sync!$X1345,OpTbl,3,0),""))</f>
        <v/>
      </c>
      <c r="J1348">
        <f>IF(OR($G1348="",Sync!$Z1345=""),"",Sync!$Z1345)</f>
        <v/>
      </c>
      <c r="K1348">
        <f>IF(OR($G1348="",Sync!$AA1345=""),"",Sync!$AA1345)</f>
        <v/>
      </c>
      <c r="L1348">
        <f>IF($G1348="",0,IF(Sync!$AB1345="",0,Sync!$AB1345))</f>
        <v/>
      </c>
      <c r="M1348">
        <f>IF($G1348="",0,IF(Sync!$AC1345="",0,Sync!$AC1345))</f>
        <v/>
      </c>
      <c r="N1348">
        <f>IF($G1348="","",IF($H1348="مرجوعی خرید",-1,1)*($L1348-$M1348*IFERROR(VLOOKUP("P01",ParamTbl,3,0),1.5))*(1-IF($I1348="خرید",IFERROR(VLOOKUP("P02",ParamTbl,3,0),1),0)/100))</f>
        <v/>
      </c>
      <c r="O1348">
        <f>IF($G1348="",0,IF($H1348="مرجوعی خرید",-1,1)*IF(Sync!$AD1345="",0,Sync!$AD1345))</f>
        <v/>
      </c>
      <c r="P1348">
        <f>IF(OR($G1348="",Sync!$W1345=""),"",Sync!$W1345)</f>
        <v/>
      </c>
      <c r="Q1348">
        <f>IF(OR($G1348="",Sync!$AE1345=""),"",Sync!$AE1345)</f>
        <v/>
      </c>
      <c r="R1348">
        <f>IF($G1348="","",IF(Sync!$V1345="","0000",IF(AND(ISNUMBER(Sync!$V1345),Sync!$V1345&gt;=0,Sync!$V1345&lt;1),RIGHT("00"&amp;HOUR(Sync!$V1345),2)&amp;RIGHT("00"&amp;MINUTE(Sync!$V1345),2),IFERROR(RIGHT("00"&amp;VALUE(LEFT(Sync!$V1345,FIND(":",Sync!$V1345)-1)),2)&amp;RIGHT("00"&amp;VALUE(MID(Sync!$V1345,FIND(":",Sync!$V1345)+1,2)),2),"0000"))))</f>
        <v/>
      </c>
    </row>
    <row r="1349">
      <c r="A1349">
        <f>IF(Sync!$U1346="","",Sync!$U1346)</f>
        <v/>
      </c>
      <c r="B1349">
        <f>IF($A1349="","",IF(ISNUMBER($A1349),IF(AND($A1349&gt;=10000101,$A1349&lt;=99991231),INT($A1349/10000),""),IFERROR(VALUE(TRIM(LEFT($A1349,FIND("/",$A1349)-1))),"")))</f>
        <v/>
      </c>
      <c r="C1349">
        <f>IF(OR($A1349="",$B1349=""),"",IF(ISNUMBER($A1349),INT(MOD($A1349,10000)/100),IFERROR(VALUE(TRIM(LEFT(MID($A1349,FIND("/",$A1349)+1,20),FIND("/",MID($A1349,FIND("/",$A1349)+1,20))-1))),"")))</f>
        <v/>
      </c>
      <c r="D1349">
        <f>IF(OR($A1349="",$B1349=""),"",IF(ISNUMBER($A1349),MOD($A1349,100),IFERROR(VALUE(TRIM(MID(MID($A1349,FIND("/",$A1349)+1,20),FIND("/",MID($A1349,FIND("/",$A1349)+1,20))+1,20))),"")))</f>
        <v/>
      </c>
      <c r="E1349">
        <f>IF($A1349="","",IF(OR($B1349="",$C1349="",$D1349="",$B1349&lt;1300,$B1349&gt;1500,$C1349&lt;1,$C1349&gt;12,$D1349&lt;1,$D1349&gt;31),"نامعتبر",RIGHT("0000"&amp;$B1349,4)&amp;"/"&amp;RIGHT("00"&amp;$C1349,2)&amp;"/"&amp;RIGHT("00"&amp;$D1349,2)))</f>
        <v/>
      </c>
      <c r="F1349">
        <f>IF(OR($E1349="",$E1349="نامعتبر"),"",LEFT($E1349,4)&amp;"/"&amp;MID($E1349,6,2))</f>
        <v/>
      </c>
      <c r="G1349">
        <f>IF(OR($E1349="",$E1349="نامعتبر",Sync!$Y1346=""),"",Sync!$Y1346)</f>
        <v/>
      </c>
      <c r="H1349">
        <f>IF($G1349="","",IF(Sync!$X1346="","",Sync!$X1346))</f>
        <v/>
      </c>
      <c r="I1349">
        <f>IF($G1349="","",IFERROR(VLOOKUP(Sync!$X1346,OpTbl,3,0),""))</f>
        <v/>
      </c>
      <c r="J1349">
        <f>IF(OR($G1349="",Sync!$Z1346=""),"",Sync!$Z1346)</f>
        <v/>
      </c>
      <c r="K1349">
        <f>IF(OR($G1349="",Sync!$AA1346=""),"",Sync!$AA1346)</f>
        <v/>
      </c>
      <c r="L1349">
        <f>IF($G1349="",0,IF(Sync!$AB1346="",0,Sync!$AB1346))</f>
        <v/>
      </c>
      <c r="M1349">
        <f>IF($G1349="",0,IF(Sync!$AC1346="",0,Sync!$AC1346))</f>
        <v/>
      </c>
      <c r="N1349">
        <f>IF($G1349="","",IF($H1349="مرجوعی خرید",-1,1)*($L1349-$M1349*IFERROR(VLOOKUP("P01",ParamTbl,3,0),1.5))*(1-IF($I1349="خرید",IFERROR(VLOOKUP("P02",ParamTbl,3,0),1),0)/100))</f>
        <v/>
      </c>
      <c r="O1349">
        <f>IF($G1349="",0,IF($H1349="مرجوعی خرید",-1,1)*IF(Sync!$AD1346="",0,Sync!$AD1346))</f>
        <v/>
      </c>
      <c r="P1349">
        <f>IF(OR($G1349="",Sync!$W1346=""),"",Sync!$W1346)</f>
        <v/>
      </c>
      <c r="Q1349">
        <f>IF(OR($G1349="",Sync!$AE1346=""),"",Sync!$AE1346)</f>
        <v/>
      </c>
      <c r="R1349">
        <f>IF($G1349="","",IF(Sync!$V1346="","0000",IF(AND(ISNUMBER(Sync!$V1346),Sync!$V1346&gt;=0,Sync!$V1346&lt;1),RIGHT("00"&amp;HOUR(Sync!$V1346),2)&amp;RIGHT("00"&amp;MINUTE(Sync!$V1346),2),IFERROR(RIGHT("00"&amp;VALUE(LEFT(Sync!$V1346,FIND(":",Sync!$V1346)-1)),2)&amp;RIGHT("00"&amp;VALUE(MID(Sync!$V1346,FIND(":",Sync!$V1346)+1,2)),2),"0000"))))</f>
        <v/>
      </c>
    </row>
    <row r="1350">
      <c r="A1350">
        <f>IF(Sync!$U1347="","",Sync!$U1347)</f>
        <v/>
      </c>
      <c r="B1350">
        <f>IF($A1350="","",IF(ISNUMBER($A1350),IF(AND($A1350&gt;=10000101,$A1350&lt;=99991231),INT($A1350/10000),""),IFERROR(VALUE(TRIM(LEFT($A1350,FIND("/",$A1350)-1))),"")))</f>
        <v/>
      </c>
      <c r="C1350">
        <f>IF(OR($A1350="",$B1350=""),"",IF(ISNUMBER($A1350),INT(MOD($A1350,10000)/100),IFERROR(VALUE(TRIM(LEFT(MID($A1350,FIND("/",$A1350)+1,20),FIND("/",MID($A1350,FIND("/",$A1350)+1,20))-1))),"")))</f>
        <v/>
      </c>
      <c r="D1350">
        <f>IF(OR($A1350="",$B1350=""),"",IF(ISNUMBER($A1350),MOD($A1350,100),IFERROR(VALUE(TRIM(MID(MID($A1350,FIND("/",$A1350)+1,20),FIND("/",MID($A1350,FIND("/",$A1350)+1,20))+1,20))),"")))</f>
        <v/>
      </c>
      <c r="E1350">
        <f>IF($A1350="","",IF(OR($B1350="",$C1350="",$D1350="",$B1350&lt;1300,$B1350&gt;1500,$C1350&lt;1,$C1350&gt;12,$D1350&lt;1,$D1350&gt;31),"نامعتبر",RIGHT("0000"&amp;$B1350,4)&amp;"/"&amp;RIGHT("00"&amp;$C1350,2)&amp;"/"&amp;RIGHT("00"&amp;$D1350,2)))</f>
        <v/>
      </c>
      <c r="F1350">
        <f>IF(OR($E1350="",$E1350="نامعتبر"),"",LEFT($E1350,4)&amp;"/"&amp;MID($E1350,6,2))</f>
        <v/>
      </c>
      <c r="G1350">
        <f>IF(OR($E1350="",$E1350="نامعتبر",Sync!$Y1347=""),"",Sync!$Y1347)</f>
        <v/>
      </c>
      <c r="H1350">
        <f>IF($G1350="","",IF(Sync!$X1347="","",Sync!$X1347))</f>
        <v/>
      </c>
      <c r="I1350">
        <f>IF($G1350="","",IFERROR(VLOOKUP(Sync!$X1347,OpTbl,3,0),""))</f>
        <v/>
      </c>
      <c r="J1350">
        <f>IF(OR($G1350="",Sync!$Z1347=""),"",Sync!$Z1347)</f>
        <v/>
      </c>
      <c r="K1350">
        <f>IF(OR($G1350="",Sync!$AA1347=""),"",Sync!$AA1347)</f>
        <v/>
      </c>
      <c r="L1350">
        <f>IF($G1350="",0,IF(Sync!$AB1347="",0,Sync!$AB1347))</f>
        <v/>
      </c>
      <c r="M1350">
        <f>IF($G1350="",0,IF(Sync!$AC1347="",0,Sync!$AC1347))</f>
        <v/>
      </c>
      <c r="N1350">
        <f>IF($G1350="","",IF($H1350="مرجوعی خرید",-1,1)*($L1350-$M1350*IFERROR(VLOOKUP("P01",ParamTbl,3,0),1.5))*(1-IF($I1350="خرید",IFERROR(VLOOKUP("P02",ParamTbl,3,0),1),0)/100))</f>
        <v/>
      </c>
      <c r="O1350">
        <f>IF($G1350="",0,IF($H1350="مرجوعی خرید",-1,1)*IF(Sync!$AD1347="",0,Sync!$AD1347))</f>
        <v/>
      </c>
      <c r="P1350">
        <f>IF(OR($G1350="",Sync!$W1347=""),"",Sync!$W1347)</f>
        <v/>
      </c>
      <c r="Q1350">
        <f>IF(OR($G1350="",Sync!$AE1347=""),"",Sync!$AE1347)</f>
        <v/>
      </c>
      <c r="R1350">
        <f>IF($G1350="","",IF(Sync!$V1347="","0000",IF(AND(ISNUMBER(Sync!$V1347),Sync!$V1347&gt;=0,Sync!$V1347&lt;1),RIGHT("00"&amp;HOUR(Sync!$V1347),2)&amp;RIGHT("00"&amp;MINUTE(Sync!$V1347),2),IFERROR(RIGHT("00"&amp;VALUE(LEFT(Sync!$V1347,FIND(":",Sync!$V1347)-1)),2)&amp;RIGHT("00"&amp;VALUE(MID(Sync!$V1347,FIND(":",Sync!$V1347)+1,2)),2),"0000"))))</f>
        <v/>
      </c>
    </row>
    <row r="1351">
      <c r="A1351">
        <f>IF(Sync!$U1348="","",Sync!$U1348)</f>
        <v/>
      </c>
      <c r="B1351">
        <f>IF($A1351="","",IF(ISNUMBER($A1351),IF(AND($A1351&gt;=10000101,$A1351&lt;=99991231),INT($A1351/10000),""),IFERROR(VALUE(TRIM(LEFT($A1351,FIND("/",$A1351)-1))),"")))</f>
        <v/>
      </c>
      <c r="C1351">
        <f>IF(OR($A1351="",$B1351=""),"",IF(ISNUMBER($A1351),INT(MOD($A1351,10000)/100),IFERROR(VALUE(TRIM(LEFT(MID($A1351,FIND("/",$A1351)+1,20),FIND("/",MID($A1351,FIND("/",$A1351)+1,20))-1))),"")))</f>
        <v/>
      </c>
      <c r="D1351">
        <f>IF(OR($A1351="",$B1351=""),"",IF(ISNUMBER($A1351),MOD($A1351,100),IFERROR(VALUE(TRIM(MID(MID($A1351,FIND("/",$A1351)+1,20),FIND("/",MID($A1351,FIND("/",$A1351)+1,20))+1,20))),"")))</f>
        <v/>
      </c>
      <c r="E1351">
        <f>IF($A1351="","",IF(OR($B1351="",$C1351="",$D1351="",$B1351&lt;1300,$B1351&gt;1500,$C1351&lt;1,$C1351&gt;12,$D1351&lt;1,$D1351&gt;31),"نامعتبر",RIGHT("0000"&amp;$B1351,4)&amp;"/"&amp;RIGHT("00"&amp;$C1351,2)&amp;"/"&amp;RIGHT("00"&amp;$D1351,2)))</f>
        <v/>
      </c>
      <c r="F1351">
        <f>IF(OR($E1351="",$E1351="نامعتبر"),"",LEFT($E1351,4)&amp;"/"&amp;MID($E1351,6,2))</f>
        <v/>
      </c>
      <c r="G1351">
        <f>IF(OR($E1351="",$E1351="نامعتبر",Sync!$Y1348=""),"",Sync!$Y1348)</f>
        <v/>
      </c>
      <c r="H1351">
        <f>IF($G1351="","",IF(Sync!$X1348="","",Sync!$X1348))</f>
        <v/>
      </c>
      <c r="I1351">
        <f>IF($G1351="","",IFERROR(VLOOKUP(Sync!$X1348,OpTbl,3,0),""))</f>
        <v/>
      </c>
      <c r="J1351">
        <f>IF(OR($G1351="",Sync!$Z1348=""),"",Sync!$Z1348)</f>
        <v/>
      </c>
      <c r="K1351">
        <f>IF(OR($G1351="",Sync!$AA1348=""),"",Sync!$AA1348)</f>
        <v/>
      </c>
      <c r="L1351">
        <f>IF($G1351="",0,IF(Sync!$AB1348="",0,Sync!$AB1348))</f>
        <v/>
      </c>
      <c r="M1351">
        <f>IF($G1351="",0,IF(Sync!$AC1348="",0,Sync!$AC1348))</f>
        <v/>
      </c>
      <c r="N1351">
        <f>IF($G1351="","",IF($H1351="مرجوعی خرید",-1,1)*($L1351-$M1351*IFERROR(VLOOKUP("P01",ParamTbl,3,0),1.5))*(1-IF($I1351="خرید",IFERROR(VLOOKUP("P02",ParamTbl,3,0),1),0)/100))</f>
        <v/>
      </c>
      <c r="O1351">
        <f>IF($G1351="",0,IF($H1351="مرجوعی خرید",-1,1)*IF(Sync!$AD1348="",0,Sync!$AD1348))</f>
        <v/>
      </c>
      <c r="P1351">
        <f>IF(OR($G1351="",Sync!$W1348=""),"",Sync!$W1348)</f>
        <v/>
      </c>
      <c r="Q1351">
        <f>IF(OR($G1351="",Sync!$AE1348=""),"",Sync!$AE1348)</f>
        <v/>
      </c>
      <c r="R1351">
        <f>IF($G1351="","",IF(Sync!$V1348="","0000",IF(AND(ISNUMBER(Sync!$V1348),Sync!$V1348&gt;=0,Sync!$V1348&lt;1),RIGHT("00"&amp;HOUR(Sync!$V1348),2)&amp;RIGHT("00"&amp;MINUTE(Sync!$V1348),2),IFERROR(RIGHT("00"&amp;VALUE(LEFT(Sync!$V1348,FIND(":",Sync!$V1348)-1)),2)&amp;RIGHT("00"&amp;VALUE(MID(Sync!$V1348,FIND(":",Sync!$V1348)+1,2)),2),"0000"))))</f>
        <v/>
      </c>
    </row>
    <row r="1352">
      <c r="A1352">
        <f>IF(Sync!$U1349="","",Sync!$U1349)</f>
        <v/>
      </c>
      <c r="B1352">
        <f>IF($A1352="","",IF(ISNUMBER($A1352),IF(AND($A1352&gt;=10000101,$A1352&lt;=99991231),INT($A1352/10000),""),IFERROR(VALUE(TRIM(LEFT($A1352,FIND("/",$A1352)-1))),"")))</f>
        <v/>
      </c>
      <c r="C1352">
        <f>IF(OR($A1352="",$B1352=""),"",IF(ISNUMBER($A1352),INT(MOD($A1352,10000)/100),IFERROR(VALUE(TRIM(LEFT(MID($A1352,FIND("/",$A1352)+1,20),FIND("/",MID($A1352,FIND("/",$A1352)+1,20))-1))),"")))</f>
        <v/>
      </c>
      <c r="D1352">
        <f>IF(OR($A1352="",$B1352=""),"",IF(ISNUMBER($A1352),MOD($A1352,100),IFERROR(VALUE(TRIM(MID(MID($A1352,FIND("/",$A1352)+1,20),FIND("/",MID($A1352,FIND("/",$A1352)+1,20))+1,20))),"")))</f>
        <v/>
      </c>
      <c r="E1352">
        <f>IF($A1352="","",IF(OR($B1352="",$C1352="",$D1352="",$B1352&lt;1300,$B1352&gt;1500,$C1352&lt;1,$C1352&gt;12,$D1352&lt;1,$D1352&gt;31),"نامعتبر",RIGHT("0000"&amp;$B1352,4)&amp;"/"&amp;RIGHT("00"&amp;$C1352,2)&amp;"/"&amp;RIGHT("00"&amp;$D1352,2)))</f>
        <v/>
      </c>
      <c r="F1352">
        <f>IF(OR($E1352="",$E1352="نامعتبر"),"",LEFT($E1352,4)&amp;"/"&amp;MID($E1352,6,2))</f>
        <v/>
      </c>
      <c r="G1352">
        <f>IF(OR($E1352="",$E1352="نامعتبر",Sync!$Y1349=""),"",Sync!$Y1349)</f>
        <v/>
      </c>
      <c r="H1352">
        <f>IF($G1352="","",IF(Sync!$X1349="","",Sync!$X1349))</f>
        <v/>
      </c>
      <c r="I1352">
        <f>IF($G1352="","",IFERROR(VLOOKUP(Sync!$X1349,OpTbl,3,0),""))</f>
        <v/>
      </c>
      <c r="J1352">
        <f>IF(OR($G1352="",Sync!$Z1349=""),"",Sync!$Z1349)</f>
        <v/>
      </c>
      <c r="K1352">
        <f>IF(OR($G1352="",Sync!$AA1349=""),"",Sync!$AA1349)</f>
        <v/>
      </c>
      <c r="L1352">
        <f>IF($G1352="",0,IF(Sync!$AB1349="",0,Sync!$AB1349))</f>
        <v/>
      </c>
      <c r="M1352">
        <f>IF($G1352="",0,IF(Sync!$AC1349="",0,Sync!$AC1349))</f>
        <v/>
      </c>
      <c r="N1352">
        <f>IF($G1352="","",IF($H1352="مرجوعی خرید",-1,1)*($L1352-$M1352*IFERROR(VLOOKUP("P01",ParamTbl,3,0),1.5))*(1-IF($I1352="خرید",IFERROR(VLOOKUP("P02",ParamTbl,3,0),1),0)/100))</f>
        <v/>
      </c>
      <c r="O1352">
        <f>IF($G1352="",0,IF($H1352="مرجوعی خرید",-1,1)*IF(Sync!$AD1349="",0,Sync!$AD1349))</f>
        <v/>
      </c>
      <c r="P1352">
        <f>IF(OR($G1352="",Sync!$W1349=""),"",Sync!$W1349)</f>
        <v/>
      </c>
      <c r="Q1352">
        <f>IF(OR($G1352="",Sync!$AE1349=""),"",Sync!$AE1349)</f>
        <v/>
      </c>
      <c r="R1352">
        <f>IF($G1352="","",IF(Sync!$V1349="","0000",IF(AND(ISNUMBER(Sync!$V1349),Sync!$V1349&gt;=0,Sync!$V1349&lt;1),RIGHT("00"&amp;HOUR(Sync!$V1349),2)&amp;RIGHT("00"&amp;MINUTE(Sync!$V1349),2),IFERROR(RIGHT("00"&amp;VALUE(LEFT(Sync!$V1349,FIND(":",Sync!$V1349)-1)),2)&amp;RIGHT("00"&amp;VALUE(MID(Sync!$V1349,FIND(":",Sync!$V1349)+1,2)),2),"0000"))))</f>
        <v/>
      </c>
    </row>
    <row r="1353">
      <c r="A1353">
        <f>IF(Sync!$U1350="","",Sync!$U1350)</f>
        <v/>
      </c>
      <c r="B1353">
        <f>IF($A1353="","",IF(ISNUMBER($A1353),IF(AND($A1353&gt;=10000101,$A1353&lt;=99991231),INT($A1353/10000),""),IFERROR(VALUE(TRIM(LEFT($A1353,FIND("/",$A1353)-1))),"")))</f>
        <v/>
      </c>
      <c r="C1353">
        <f>IF(OR($A1353="",$B1353=""),"",IF(ISNUMBER($A1353),INT(MOD($A1353,10000)/100),IFERROR(VALUE(TRIM(LEFT(MID($A1353,FIND("/",$A1353)+1,20),FIND("/",MID($A1353,FIND("/",$A1353)+1,20))-1))),"")))</f>
        <v/>
      </c>
      <c r="D1353">
        <f>IF(OR($A1353="",$B1353=""),"",IF(ISNUMBER($A1353),MOD($A1353,100),IFERROR(VALUE(TRIM(MID(MID($A1353,FIND("/",$A1353)+1,20),FIND("/",MID($A1353,FIND("/",$A1353)+1,20))+1,20))),"")))</f>
        <v/>
      </c>
      <c r="E1353">
        <f>IF($A1353="","",IF(OR($B1353="",$C1353="",$D1353="",$B1353&lt;1300,$B1353&gt;1500,$C1353&lt;1,$C1353&gt;12,$D1353&lt;1,$D1353&gt;31),"نامعتبر",RIGHT("0000"&amp;$B1353,4)&amp;"/"&amp;RIGHT("00"&amp;$C1353,2)&amp;"/"&amp;RIGHT("00"&amp;$D1353,2)))</f>
        <v/>
      </c>
      <c r="F1353">
        <f>IF(OR($E1353="",$E1353="نامعتبر"),"",LEFT($E1353,4)&amp;"/"&amp;MID($E1353,6,2))</f>
        <v/>
      </c>
      <c r="G1353">
        <f>IF(OR($E1353="",$E1353="نامعتبر",Sync!$Y1350=""),"",Sync!$Y1350)</f>
        <v/>
      </c>
      <c r="H1353">
        <f>IF($G1353="","",IF(Sync!$X1350="","",Sync!$X1350))</f>
        <v/>
      </c>
      <c r="I1353">
        <f>IF($G1353="","",IFERROR(VLOOKUP(Sync!$X1350,OpTbl,3,0),""))</f>
        <v/>
      </c>
      <c r="J1353">
        <f>IF(OR($G1353="",Sync!$Z1350=""),"",Sync!$Z1350)</f>
        <v/>
      </c>
      <c r="K1353">
        <f>IF(OR($G1353="",Sync!$AA1350=""),"",Sync!$AA1350)</f>
        <v/>
      </c>
      <c r="L1353">
        <f>IF($G1353="",0,IF(Sync!$AB1350="",0,Sync!$AB1350))</f>
        <v/>
      </c>
      <c r="M1353">
        <f>IF($G1353="",0,IF(Sync!$AC1350="",0,Sync!$AC1350))</f>
        <v/>
      </c>
      <c r="N1353">
        <f>IF($G1353="","",IF($H1353="مرجوعی خرید",-1,1)*($L1353-$M1353*IFERROR(VLOOKUP("P01",ParamTbl,3,0),1.5))*(1-IF($I1353="خرید",IFERROR(VLOOKUP("P02",ParamTbl,3,0),1),0)/100))</f>
        <v/>
      </c>
      <c r="O1353">
        <f>IF($G1353="",0,IF($H1353="مرجوعی خرید",-1,1)*IF(Sync!$AD1350="",0,Sync!$AD1350))</f>
        <v/>
      </c>
      <c r="P1353">
        <f>IF(OR($G1353="",Sync!$W1350=""),"",Sync!$W1350)</f>
        <v/>
      </c>
      <c r="Q1353">
        <f>IF(OR($G1353="",Sync!$AE1350=""),"",Sync!$AE1350)</f>
        <v/>
      </c>
      <c r="R1353">
        <f>IF($G1353="","",IF(Sync!$V1350="","0000",IF(AND(ISNUMBER(Sync!$V1350),Sync!$V1350&gt;=0,Sync!$V1350&lt;1),RIGHT("00"&amp;HOUR(Sync!$V1350),2)&amp;RIGHT("00"&amp;MINUTE(Sync!$V1350),2),IFERROR(RIGHT("00"&amp;VALUE(LEFT(Sync!$V1350,FIND(":",Sync!$V1350)-1)),2)&amp;RIGHT("00"&amp;VALUE(MID(Sync!$V1350,FIND(":",Sync!$V1350)+1,2)),2),"0000"))))</f>
        <v/>
      </c>
    </row>
    <row r="1354">
      <c r="A1354">
        <f>IF(Sync!$U1351="","",Sync!$U1351)</f>
        <v/>
      </c>
      <c r="B1354">
        <f>IF($A1354="","",IF(ISNUMBER($A1354),IF(AND($A1354&gt;=10000101,$A1354&lt;=99991231),INT($A1354/10000),""),IFERROR(VALUE(TRIM(LEFT($A1354,FIND("/",$A1354)-1))),"")))</f>
        <v/>
      </c>
      <c r="C1354">
        <f>IF(OR($A1354="",$B1354=""),"",IF(ISNUMBER($A1354),INT(MOD($A1354,10000)/100),IFERROR(VALUE(TRIM(LEFT(MID($A1354,FIND("/",$A1354)+1,20),FIND("/",MID($A1354,FIND("/",$A1354)+1,20))-1))),"")))</f>
        <v/>
      </c>
      <c r="D1354">
        <f>IF(OR($A1354="",$B1354=""),"",IF(ISNUMBER($A1354),MOD($A1354,100),IFERROR(VALUE(TRIM(MID(MID($A1354,FIND("/",$A1354)+1,20),FIND("/",MID($A1354,FIND("/",$A1354)+1,20))+1,20))),"")))</f>
        <v/>
      </c>
      <c r="E1354">
        <f>IF($A1354="","",IF(OR($B1354="",$C1354="",$D1354="",$B1354&lt;1300,$B1354&gt;1500,$C1354&lt;1,$C1354&gt;12,$D1354&lt;1,$D1354&gt;31),"نامعتبر",RIGHT("0000"&amp;$B1354,4)&amp;"/"&amp;RIGHT("00"&amp;$C1354,2)&amp;"/"&amp;RIGHT("00"&amp;$D1354,2)))</f>
        <v/>
      </c>
      <c r="F1354">
        <f>IF(OR($E1354="",$E1354="نامعتبر"),"",LEFT($E1354,4)&amp;"/"&amp;MID($E1354,6,2))</f>
        <v/>
      </c>
      <c r="G1354">
        <f>IF(OR($E1354="",$E1354="نامعتبر",Sync!$Y1351=""),"",Sync!$Y1351)</f>
        <v/>
      </c>
      <c r="H1354">
        <f>IF($G1354="","",IF(Sync!$X1351="","",Sync!$X1351))</f>
        <v/>
      </c>
      <c r="I1354">
        <f>IF($G1354="","",IFERROR(VLOOKUP(Sync!$X1351,OpTbl,3,0),""))</f>
        <v/>
      </c>
      <c r="J1354">
        <f>IF(OR($G1354="",Sync!$Z1351=""),"",Sync!$Z1351)</f>
        <v/>
      </c>
      <c r="K1354">
        <f>IF(OR($G1354="",Sync!$AA1351=""),"",Sync!$AA1351)</f>
        <v/>
      </c>
      <c r="L1354">
        <f>IF($G1354="",0,IF(Sync!$AB1351="",0,Sync!$AB1351))</f>
        <v/>
      </c>
      <c r="M1354">
        <f>IF($G1354="",0,IF(Sync!$AC1351="",0,Sync!$AC1351))</f>
        <v/>
      </c>
      <c r="N1354">
        <f>IF($G1354="","",IF($H1354="مرجوعی خرید",-1,1)*($L1354-$M1354*IFERROR(VLOOKUP("P01",ParamTbl,3,0),1.5))*(1-IF($I1354="خرید",IFERROR(VLOOKUP("P02",ParamTbl,3,0),1),0)/100))</f>
        <v/>
      </c>
      <c r="O1354">
        <f>IF($G1354="",0,IF($H1354="مرجوعی خرید",-1,1)*IF(Sync!$AD1351="",0,Sync!$AD1351))</f>
        <v/>
      </c>
      <c r="P1354">
        <f>IF(OR($G1354="",Sync!$W1351=""),"",Sync!$W1351)</f>
        <v/>
      </c>
      <c r="Q1354">
        <f>IF(OR($G1354="",Sync!$AE1351=""),"",Sync!$AE1351)</f>
        <v/>
      </c>
      <c r="R1354">
        <f>IF($G1354="","",IF(Sync!$V1351="","0000",IF(AND(ISNUMBER(Sync!$V1351),Sync!$V1351&gt;=0,Sync!$V1351&lt;1),RIGHT("00"&amp;HOUR(Sync!$V1351),2)&amp;RIGHT("00"&amp;MINUTE(Sync!$V1351),2),IFERROR(RIGHT("00"&amp;VALUE(LEFT(Sync!$V1351,FIND(":",Sync!$V1351)-1)),2)&amp;RIGHT("00"&amp;VALUE(MID(Sync!$V1351,FIND(":",Sync!$V1351)+1,2)),2),"0000"))))</f>
        <v/>
      </c>
    </row>
    <row r="1355">
      <c r="A1355">
        <f>IF(Sync!$U1352="","",Sync!$U1352)</f>
        <v/>
      </c>
      <c r="B1355">
        <f>IF($A1355="","",IF(ISNUMBER($A1355),IF(AND($A1355&gt;=10000101,$A1355&lt;=99991231),INT($A1355/10000),""),IFERROR(VALUE(TRIM(LEFT($A1355,FIND("/",$A1355)-1))),"")))</f>
        <v/>
      </c>
      <c r="C1355">
        <f>IF(OR($A1355="",$B1355=""),"",IF(ISNUMBER($A1355),INT(MOD($A1355,10000)/100),IFERROR(VALUE(TRIM(LEFT(MID($A1355,FIND("/",$A1355)+1,20),FIND("/",MID($A1355,FIND("/",$A1355)+1,20))-1))),"")))</f>
        <v/>
      </c>
      <c r="D1355">
        <f>IF(OR($A1355="",$B1355=""),"",IF(ISNUMBER($A1355),MOD($A1355,100),IFERROR(VALUE(TRIM(MID(MID($A1355,FIND("/",$A1355)+1,20),FIND("/",MID($A1355,FIND("/",$A1355)+1,20))+1,20))),"")))</f>
        <v/>
      </c>
      <c r="E1355">
        <f>IF($A1355="","",IF(OR($B1355="",$C1355="",$D1355="",$B1355&lt;1300,$B1355&gt;1500,$C1355&lt;1,$C1355&gt;12,$D1355&lt;1,$D1355&gt;31),"نامعتبر",RIGHT("0000"&amp;$B1355,4)&amp;"/"&amp;RIGHT("00"&amp;$C1355,2)&amp;"/"&amp;RIGHT("00"&amp;$D1355,2)))</f>
        <v/>
      </c>
      <c r="F1355">
        <f>IF(OR($E1355="",$E1355="نامعتبر"),"",LEFT($E1355,4)&amp;"/"&amp;MID($E1355,6,2))</f>
        <v/>
      </c>
      <c r="G1355">
        <f>IF(OR($E1355="",$E1355="نامعتبر",Sync!$Y1352=""),"",Sync!$Y1352)</f>
        <v/>
      </c>
      <c r="H1355">
        <f>IF($G1355="","",IF(Sync!$X1352="","",Sync!$X1352))</f>
        <v/>
      </c>
      <c r="I1355">
        <f>IF($G1355="","",IFERROR(VLOOKUP(Sync!$X1352,OpTbl,3,0),""))</f>
        <v/>
      </c>
      <c r="J1355">
        <f>IF(OR($G1355="",Sync!$Z1352=""),"",Sync!$Z1352)</f>
        <v/>
      </c>
      <c r="K1355">
        <f>IF(OR($G1355="",Sync!$AA1352=""),"",Sync!$AA1352)</f>
        <v/>
      </c>
      <c r="L1355">
        <f>IF($G1355="",0,IF(Sync!$AB1352="",0,Sync!$AB1352))</f>
        <v/>
      </c>
      <c r="M1355">
        <f>IF($G1355="",0,IF(Sync!$AC1352="",0,Sync!$AC1352))</f>
        <v/>
      </c>
      <c r="N1355">
        <f>IF($G1355="","",IF($H1355="مرجوعی خرید",-1,1)*($L1355-$M1355*IFERROR(VLOOKUP("P01",ParamTbl,3,0),1.5))*(1-IF($I1355="خرید",IFERROR(VLOOKUP("P02",ParamTbl,3,0),1),0)/100))</f>
        <v/>
      </c>
      <c r="O1355">
        <f>IF($G1355="",0,IF($H1355="مرجوعی خرید",-1,1)*IF(Sync!$AD1352="",0,Sync!$AD1352))</f>
        <v/>
      </c>
      <c r="P1355">
        <f>IF(OR($G1355="",Sync!$W1352=""),"",Sync!$W1352)</f>
        <v/>
      </c>
      <c r="Q1355">
        <f>IF(OR($G1355="",Sync!$AE1352=""),"",Sync!$AE1352)</f>
        <v/>
      </c>
      <c r="R1355">
        <f>IF($G1355="","",IF(Sync!$V1352="","0000",IF(AND(ISNUMBER(Sync!$V1352),Sync!$V1352&gt;=0,Sync!$V1352&lt;1),RIGHT("00"&amp;HOUR(Sync!$V1352),2)&amp;RIGHT("00"&amp;MINUTE(Sync!$V1352),2),IFERROR(RIGHT("00"&amp;VALUE(LEFT(Sync!$V1352,FIND(":",Sync!$V1352)-1)),2)&amp;RIGHT("00"&amp;VALUE(MID(Sync!$V1352,FIND(":",Sync!$V1352)+1,2)),2),"0000"))))</f>
        <v/>
      </c>
    </row>
    <row r="1356">
      <c r="A1356">
        <f>IF(Sync!$U1353="","",Sync!$U1353)</f>
        <v/>
      </c>
      <c r="B1356">
        <f>IF($A1356="","",IF(ISNUMBER($A1356),IF(AND($A1356&gt;=10000101,$A1356&lt;=99991231),INT($A1356/10000),""),IFERROR(VALUE(TRIM(LEFT($A1356,FIND("/",$A1356)-1))),"")))</f>
        <v/>
      </c>
      <c r="C1356">
        <f>IF(OR($A1356="",$B1356=""),"",IF(ISNUMBER($A1356),INT(MOD($A1356,10000)/100),IFERROR(VALUE(TRIM(LEFT(MID($A1356,FIND("/",$A1356)+1,20),FIND("/",MID($A1356,FIND("/",$A1356)+1,20))-1))),"")))</f>
        <v/>
      </c>
      <c r="D1356">
        <f>IF(OR($A1356="",$B1356=""),"",IF(ISNUMBER($A1356),MOD($A1356,100),IFERROR(VALUE(TRIM(MID(MID($A1356,FIND("/",$A1356)+1,20),FIND("/",MID($A1356,FIND("/",$A1356)+1,20))+1,20))),"")))</f>
        <v/>
      </c>
      <c r="E1356">
        <f>IF($A1356="","",IF(OR($B1356="",$C1356="",$D1356="",$B1356&lt;1300,$B1356&gt;1500,$C1356&lt;1,$C1356&gt;12,$D1356&lt;1,$D1356&gt;31),"نامعتبر",RIGHT("0000"&amp;$B1356,4)&amp;"/"&amp;RIGHT("00"&amp;$C1356,2)&amp;"/"&amp;RIGHT("00"&amp;$D1356,2)))</f>
        <v/>
      </c>
      <c r="F1356">
        <f>IF(OR($E1356="",$E1356="نامعتبر"),"",LEFT($E1356,4)&amp;"/"&amp;MID($E1356,6,2))</f>
        <v/>
      </c>
      <c r="G1356">
        <f>IF(OR($E1356="",$E1356="نامعتبر",Sync!$Y1353=""),"",Sync!$Y1353)</f>
        <v/>
      </c>
      <c r="H1356">
        <f>IF($G1356="","",IF(Sync!$X1353="","",Sync!$X1353))</f>
        <v/>
      </c>
      <c r="I1356">
        <f>IF($G1356="","",IFERROR(VLOOKUP(Sync!$X1353,OpTbl,3,0),""))</f>
        <v/>
      </c>
      <c r="J1356">
        <f>IF(OR($G1356="",Sync!$Z1353=""),"",Sync!$Z1353)</f>
        <v/>
      </c>
      <c r="K1356">
        <f>IF(OR($G1356="",Sync!$AA1353=""),"",Sync!$AA1353)</f>
        <v/>
      </c>
      <c r="L1356">
        <f>IF($G1356="",0,IF(Sync!$AB1353="",0,Sync!$AB1353))</f>
        <v/>
      </c>
      <c r="M1356">
        <f>IF($G1356="",0,IF(Sync!$AC1353="",0,Sync!$AC1353))</f>
        <v/>
      </c>
      <c r="N1356">
        <f>IF($G1356="","",IF($H1356="مرجوعی خرید",-1,1)*($L1356-$M1356*IFERROR(VLOOKUP("P01",ParamTbl,3,0),1.5))*(1-IF($I1356="خرید",IFERROR(VLOOKUP("P02",ParamTbl,3,0),1),0)/100))</f>
        <v/>
      </c>
      <c r="O1356">
        <f>IF($G1356="",0,IF($H1356="مرجوعی خرید",-1,1)*IF(Sync!$AD1353="",0,Sync!$AD1353))</f>
        <v/>
      </c>
      <c r="P1356">
        <f>IF(OR($G1356="",Sync!$W1353=""),"",Sync!$W1353)</f>
        <v/>
      </c>
      <c r="Q1356">
        <f>IF(OR($G1356="",Sync!$AE1353=""),"",Sync!$AE1353)</f>
        <v/>
      </c>
      <c r="R1356">
        <f>IF($G1356="","",IF(Sync!$V1353="","0000",IF(AND(ISNUMBER(Sync!$V1353),Sync!$V1353&gt;=0,Sync!$V1353&lt;1),RIGHT("00"&amp;HOUR(Sync!$V1353),2)&amp;RIGHT("00"&amp;MINUTE(Sync!$V1353),2),IFERROR(RIGHT("00"&amp;VALUE(LEFT(Sync!$V1353,FIND(":",Sync!$V1353)-1)),2)&amp;RIGHT("00"&amp;VALUE(MID(Sync!$V1353,FIND(":",Sync!$V1353)+1,2)),2),"0000"))))</f>
        <v/>
      </c>
    </row>
    <row r="1357">
      <c r="A1357">
        <f>IF(Sync!$U1354="","",Sync!$U1354)</f>
        <v/>
      </c>
      <c r="B1357">
        <f>IF($A1357="","",IF(ISNUMBER($A1357),IF(AND($A1357&gt;=10000101,$A1357&lt;=99991231),INT($A1357/10000),""),IFERROR(VALUE(TRIM(LEFT($A1357,FIND("/",$A1357)-1))),"")))</f>
        <v/>
      </c>
      <c r="C1357">
        <f>IF(OR($A1357="",$B1357=""),"",IF(ISNUMBER($A1357),INT(MOD($A1357,10000)/100),IFERROR(VALUE(TRIM(LEFT(MID($A1357,FIND("/",$A1357)+1,20),FIND("/",MID($A1357,FIND("/",$A1357)+1,20))-1))),"")))</f>
        <v/>
      </c>
      <c r="D1357">
        <f>IF(OR($A1357="",$B1357=""),"",IF(ISNUMBER($A1357),MOD($A1357,100),IFERROR(VALUE(TRIM(MID(MID($A1357,FIND("/",$A1357)+1,20),FIND("/",MID($A1357,FIND("/",$A1357)+1,20))+1,20))),"")))</f>
        <v/>
      </c>
      <c r="E1357">
        <f>IF($A1357="","",IF(OR($B1357="",$C1357="",$D1357="",$B1357&lt;1300,$B1357&gt;1500,$C1357&lt;1,$C1357&gt;12,$D1357&lt;1,$D1357&gt;31),"نامعتبر",RIGHT("0000"&amp;$B1357,4)&amp;"/"&amp;RIGHT("00"&amp;$C1357,2)&amp;"/"&amp;RIGHT("00"&amp;$D1357,2)))</f>
        <v/>
      </c>
      <c r="F1357">
        <f>IF(OR($E1357="",$E1357="نامعتبر"),"",LEFT($E1357,4)&amp;"/"&amp;MID($E1357,6,2))</f>
        <v/>
      </c>
      <c r="G1357">
        <f>IF(OR($E1357="",$E1357="نامعتبر",Sync!$Y1354=""),"",Sync!$Y1354)</f>
        <v/>
      </c>
      <c r="H1357">
        <f>IF($G1357="","",IF(Sync!$X1354="","",Sync!$X1354))</f>
        <v/>
      </c>
      <c r="I1357">
        <f>IF($G1357="","",IFERROR(VLOOKUP(Sync!$X1354,OpTbl,3,0),""))</f>
        <v/>
      </c>
      <c r="J1357">
        <f>IF(OR($G1357="",Sync!$Z1354=""),"",Sync!$Z1354)</f>
        <v/>
      </c>
      <c r="K1357">
        <f>IF(OR($G1357="",Sync!$AA1354=""),"",Sync!$AA1354)</f>
        <v/>
      </c>
      <c r="L1357">
        <f>IF($G1357="",0,IF(Sync!$AB1354="",0,Sync!$AB1354))</f>
        <v/>
      </c>
      <c r="M1357">
        <f>IF($G1357="",0,IF(Sync!$AC1354="",0,Sync!$AC1354))</f>
        <v/>
      </c>
      <c r="N1357">
        <f>IF($G1357="","",IF($H1357="مرجوعی خرید",-1,1)*($L1357-$M1357*IFERROR(VLOOKUP("P01",ParamTbl,3,0),1.5))*(1-IF($I1357="خرید",IFERROR(VLOOKUP("P02",ParamTbl,3,0),1),0)/100))</f>
        <v/>
      </c>
      <c r="O1357">
        <f>IF($G1357="",0,IF($H1357="مرجوعی خرید",-1,1)*IF(Sync!$AD1354="",0,Sync!$AD1354))</f>
        <v/>
      </c>
      <c r="P1357">
        <f>IF(OR($G1357="",Sync!$W1354=""),"",Sync!$W1354)</f>
        <v/>
      </c>
      <c r="Q1357">
        <f>IF(OR($G1357="",Sync!$AE1354=""),"",Sync!$AE1354)</f>
        <v/>
      </c>
      <c r="R1357">
        <f>IF($G1357="","",IF(Sync!$V1354="","0000",IF(AND(ISNUMBER(Sync!$V1354),Sync!$V1354&gt;=0,Sync!$V1354&lt;1),RIGHT("00"&amp;HOUR(Sync!$V1354),2)&amp;RIGHT("00"&amp;MINUTE(Sync!$V1354),2),IFERROR(RIGHT("00"&amp;VALUE(LEFT(Sync!$V1354,FIND(":",Sync!$V1354)-1)),2)&amp;RIGHT("00"&amp;VALUE(MID(Sync!$V1354,FIND(":",Sync!$V1354)+1,2)),2),"0000"))))</f>
        <v/>
      </c>
    </row>
    <row r="1358">
      <c r="A1358">
        <f>IF(Sync!$U1355="","",Sync!$U1355)</f>
        <v/>
      </c>
      <c r="B1358">
        <f>IF($A1358="","",IF(ISNUMBER($A1358),IF(AND($A1358&gt;=10000101,$A1358&lt;=99991231),INT($A1358/10000),""),IFERROR(VALUE(TRIM(LEFT($A1358,FIND("/",$A1358)-1))),"")))</f>
        <v/>
      </c>
      <c r="C1358">
        <f>IF(OR($A1358="",$B1358=""),"",IF(ISNUMBER($A1358),INT(MOD($A1358,10000)/100),IFERROR(VALUE(TRIM(LEFT(MID($A1358,FIND("/",$A1358)+1,20),FIND("/",MID($A1358,FIND("/",$A1358)+1,20))-1))),"")))</f>
        <v/>
      </c>
      <c r="D1358">
        <f>IF(OR($A1358="",$B1358=""),"",IF(ISNUMBER($A1358),MOD($A1358,100),IFERROR(VALUE(TRIM(MID(MID($A1358,FIND("/",$A1358)+1,20),FIND("/",MID($A1358,FIND("/",$A1358)+1,20))+1,20))),"")))</f>
        <v/>
      </c>
      <c r="E1358">
        <f>IF($A1358="","",IF(OR($B1358="",$C1358="",$D1358="",$B1358&lt;1300,$B1358&gt;1500,$C1358&lt;1,$C1358&gt;12,$D1358&lt;1,$D1358&gt;31),"نامعتبر",RIGHT("0000"&amp;$B1358,4)&amp;"/"&amp;RIGHT("00"&amp;$C1358,2)&amp;"/"&amp;RIGHT("00"&amp;$D1358,2)))</f>
        <v/>
      </c>
      <c r="F1358">
        <f>IF(OR($E1358="",$E1358="نامعتبر"),"",LEFT($E1358,4)&amp;"/"&amp;MID($E1358,6,2))</f>
        <v/>
      </c>
      <c r="G1358">
        <f>IF(OR($E1358="",$E1358="نامعتبر",Sync!$Y1355=""),"",Sync!$Y1355)</f>
        <v/>
      </c>
      <c r="H1358">
        <f>IF($G1358="","",IF(Sync!$X1355="","",Sync!$X1355))</f>
        <v/>
      </c>
      <c r="I1358">
        <f>IF($G1358="","",IFERROR(VLOOKUP(Sync!$X1355,OpTbl,3,0),""))</f>
        <v/>
      </c>
      <c r="J1358">
        <f>IF(OR($G1358="",Sync!$Z1355=""),"",Sync!$Z1355)</f>
        <v/>
      </c>
      <c r="K1358">
        <f>IF(OR($G1358="",Sync!$AA1355=""),"",Sync!$AA1355)</f>
        <v/>
      </c>
      <c r="L1358">
        <f>IF($G1358="",0,IF(Sync!$AB1355="",0,Sync!$AB1355))</f>
        <v/>
      </c>
      <c r="M1358">
        <f>IF($G1358="",0,IF(Sync!$AC1355="",0,Sync!$AC1355))</f>
        <v/>
      </c>
      <c r="N1358">
        <f>IF($G1358="","",IF($H1358="مرجوعی خرید",-1,1)*($L1358-$M1358*IFERROR(VLOOKUP("P01",ParamTbl,3,0),1.5))*(1-IF($I1358="خرید",IFERROR(VLOOKUP("P02",ParamTbl,3,0),1),0)/100))</f>
        <v/>
      </c>
      <c r="O1358">
        <f>IF($G1358="",0,IF($H1358="مرجوعی خرید",-1,1)*IF(Sync!$AD1355="",0,Sync!$AD1355))</f>
        <v/>
      </c>
      <c r="P1358">
        <f>IF(OR($G1358="",Sync!$W1355=""),"",Sync!$W1355)</f>
        <v/>
      </c>
      <c r="Q1358">
        <f>IF(OR($G1358="",Sync!$AE1355=""),"",Sync!$AE1355)</f>
        <v/>
      </c>
      <c r="R1358">
        <f>IF($G1358="","",IF(Sync!$V1355="","0000",IF(AND(ISNUMBER(Sync!$V1355),Sync!$V1355&gt;=0,Sync!$V1355&lt;1),RIGHT("00"&amp;HOUR(Sync!$V1355),2)&amp;RIGHT("00"&amp;MINUTE(Sync!$V1355),2),IFERROR(RIGHT("00"&amp;VALUE(LEFT(Sync!$V1355,FIND(":",Sync!$V1355)-1)),2)&amp;RIGHT("00"&amp;VALUE(MID(Sync!$V1355,FIND(":",Sync!$V1355)+1,2)),2),"0000"))))</f>
        <v/>
      </c>
    </row>
    <row r="1359">
      <c r="A1359">
        <f>IF(Sync!$U1356="","",Sync!$U1356)</f>
        <v/>
      </c>
      <c r="B1359">
        <f>IF($A1359="","",IF(ISNUMBER($A1359),IF(AND($A1359&gt;=10000101,$A1359&lt;=99991231),INT($A1359/10000),""),IFERROR(VALUE(TRIM(LEFT($A1359,FIND("/",$A1359)-1))),"")))</f>
        <v/>
      </c>
      <c r="C1359">
        <f>IF(OR($A1359="",$B1359=""),"",IF(ISNUMBER($A1359),INT(MOD($A1359,10000)/100),IFERROR(VALUE(TRIM(LEFT(MID($A1359,FIND("/",$A1359)+1,20),FIND("/",MID($A1359,FIND("/",$A1359)+1,20))-1))),"")))</f>
        <v/>
      </c>
      <c r="D1359">
        <f>IF(OR($A1359="",$B1359=""),"",IF(ISNUMBER($A1359),MOD($A1359,100),IFERROR(VALUE(TRIM(MID(MID($A1359,FIND("/",$A1359)+1,20),FIND("/",MID($A1359,FIND("/",$A1359)+1,20))+1,20))),"")))</f>
        <v/>
      </c>
      <c r="E1359">
        <f>IF($A1359="","",IF(OR($B1359="",$C1359="",$D1359="",$B1359&lt;1300,$B1359&gt;1500,$C1359&lt;1,$C1359&gt;12,$D1359&lt;1,$D1359&gt;31),"نامعتبر",RIGHT("0000"&amp;$B1359,4)&amp;"/"&amp;RIGHT("00"&amp;$C1359,2)&amp;"/"&amp;RIGHT("00"&amp;$D1359,2)))</f>
        <v/>
      </c>
      <c r="F1359">
        <f>IF(OR($E1359="",$E1359="نامعتبر"),"",LEFT($E1359,4)&amp;"/"&amp;MID($E1359,6,2))</f>
        <v/>
      </c>
      <c r="G1359">
        <f>IF(OR($E1359="",$E1359="نامعتبر",Sync!$Y1356=""),"",Sync!$Y1356)</f>
        <v/>
      </c>
      <c r="H1359">
        <f>IF($G1359="","",IF(Sync!$X1356="","",Sync!$X1356))</f>
        <v/>
      </c>
      <c r="I1359">
        <f>IF($G1359="","",IFERROR(VLOOKUP(Sync!$X1356,OpTbl,3,0),""))</f>
        <v/>
      </c>
      <c r="J1359">
        <f>IF(OR($G1359="",Sync!$Z1356=""),"",Sync!$Z1356)</f>
        <v/>
      </c>
      <c r="K1359">
        <f>IF(OR($G1359="",Sync!$AA1356=""),"",Sync!$AA1356)</f>
        <v/>
      </c>
      <c r="L1359">
        <f>IF($G1359="",0,IF(Sync!$AB1356="",0,Sync!$AB1356))</f>
        <v/>
      </c>
      <c r="M1359">
        <f>IF($G1359="",0,IF(Sync!$AC1356="",0,Sync!$AC1356))</f>
        <v/>
      </c>
      <c r="N1359">
        <f>IF($G1359="","",IF($H1359="مرجوعی خرید",-1,1)*($L1359-$M1359*IFERROR(VLOOKUP("P01",ParamTbl,3,0),1.5))*(1-IF($I1359="خرید",IFERROR(VLOOKUP("P02",ParamTbl,3,0),1),0)/100))</f>
        <v/>
      </c>
      <c r="O1359">
        <f>IF($G1359="",0,IF($H1359="مرجوعی خرید",-1,1)*IF(Sync!$AD1356="",0,Sync!$AD1356))</f>
        <v/>
      </c>
      <c r="P1359">
        <f>IF(OR($G1359="",Sync!$W1356=""),"",Sync!$W1356)</f>
        <v/>
      </c>
      <c r="Q1359">
        <f>IF(OR($G1359="",Sync!$AE1356=""),"",Sync!$AE1356)</f>
        <v/>
      </c>
      <c r="R1359">
        <f>IF($G1359="","",IF(Sync!$V1356="","0000",IF(AND(ISNUMBER(Sync!$V1356),Sync!$V1356&gt;=0,Sync!$V1356&lt;1),RIGHT("00"&amp;HOUR(Sync!$V1356),2)&amp;RIGHT("00"&amp;MINUTE(Sync!$V1356),2),IFERROR(RIGHT("00"&amp;VALUE(LEFT(Sync!$V1356,FIND(":",Sync!$V1356)-1)),2)&amp;RIGHT("00"&amp;VALUE(MID(Sync!$V1356,FIND(":",Sync!$V1356)+1,2)),2),"0000"))))</f>
        <v/>
      </c>
    </row>
    <row r="1360">
      <c r="A1360">
        <f>IF(Sync!$U1357="","",Sync!$U1357)</f>
        <v/>
      </c>
      <c r="B1360">
        <f>IF($A1360="","",IF(ISNUMBER($A1360),IF(AND($A1360&gt;=10000101,$A1360&lt;=99991231),INT($A1360/10000),""),IFERROR(VALUE(TRIM(LEFT($A1360,FIND("/",$A1360)-1))),"")))</f>
        <v/>
      </c>
      <c r="C1360">
        <f>IF(OR($A1360="",$B1360=""),"",IF(ISNUMBER($A1360),INT(MOD($A1360,10000)/100),IFERROR(VALUE(TRIM(LEFT(MID($A1360,FIND("/",$A1360)+1,20),FIND("/",MID($A1360,FIND("/",$A1360)+1,20))-1))),"")))</f>
        <v/>
      </c>
      <c r="D1360">
        <f>IF(OR($A1360="",$B1360=""),"",IF(ISNUMBER($A1360),MOD($A1360,100),IFERROR(VALUE(TRIM(MID(MID($A1360,FIND("/",$A1360)+1,20),FIND("/",MID($A1360,FIND("/",$A1360)+1,20))+1,20))),"")))</f>
        <v/>
      </c>
      <c r="E1360">
        <f>IF($A1360="","",IF(OR($B1360="",$C1360="",$D1360="",$B1360&lt;1300,$B1360&gt;1500,$C1360&lt;1,$C1360&gt;12,$D1360&lt;1,$D1360&gt;31),"نامعتبر",RIGHT("0000"&amp;$B1360,4)&amp;"/"&amp;RIGHT("00"&amp;$C1360,2)&amp;"/"&amp;RIGHT("00"&amp;$D1360,2)))</f>
        <v/>
      </c>
      <c r="F1360">
        <f>IF(OR($E1360="",$E1360="نامعتبر"),"",LEFT($E1360,4)&amp;"/"&amp;MID($E1360,6,2))</f>
        <v/>
      </c>
      <c r="G1360">
        <f>IF(OR($E1360="",$E1360="نامعتبر",Sync!$Y1357=""),"",Sync!$Y1357)</f>
        <v/>
      </c>
      <c r="H1360">
        <f>IF($G1360="","",IF(Sync!$X1357="","",Sync!$X1357))</f>
        <v/>
      </c>
      <c r="I1360">
        <f>IF($G1360="","",IFERROR(VLOOKUP(Sync!$X1357,OpTbl,3,0),""))</f>
        <v/>
      </c>
      <c r="J1360">
        <f>IF(OR($G1360="",Sync!$Z1357=""),"",Sync!$Z1357)</f>
        <v/>
      </c>
      <c r="K1360">
        <f>IF(OR($G1360="",Sync!$AA1357=""),"",Sync!$AA1357)</f>
        <v/>
      </c>
      <c r="L1360">
        <f>IF($G1360="",0,IF(Sync!$AB1357="",0,Sync!$AB1357))</f>
        <v/>
      </c>
      <c r="M1360">
        <f>IF($G1360="",0,IF(Sync!$AC1357="",0,Sync!$AC1357))</f>
        <v/>
      </c>
      <c r="N1360">
        <f>IF($G1360="","",IF($H1360="مرجوعی خرید",-1,1)*($L1360-$M1360*IFERROR(VLOOKUP("P01",ParamTbl,3,0),1.5))*(1-IF($I1360="خرید",IFERROR(VLOOKUP("P02",ParamTbl,3,0),1),0)/100))</f>
        <v/>
      </c>
      <c r="O1360">
        <f>IF($G1360="",0,IF($H1360="مرجوعی خرید",-1,1)*IF(Sync!$AD1357="",0,Sync!$AD1357))</f>
        <v/>
      </c>
      <c r="P1360">
        <f>IF(OR($G1360="",Sync!$W1357=""),"",Sync!$W1357)</f>
        <v/>
      </c>
      <c r="Q1360">
        <f>IF(OR($G1360="",Sync!$AE1357=""),"",Sync!$AE1357)</f>
        <v/>
      </c>
      <c r="R1360">
        <f>IF($G1360="","",IF(Sync!$V1357="","0000",IF(AND(ISNUMBER(Sync!$V1357),Sync!$V1357&gt;=0,Sync!$V1357&lt;1),RIGHT("00"&amp;HOUR(Sync!$V1357),2)&amp;RIGHT("00"&amp;MINUTE(Sync!$V1357),2),IFERROR(RIGHT("00"&amp;VALUE(LEFT(Sync!$V1357,FIND(":",Sync!$V1357)-1)),2)&amp;RIGHT("00"&amp;VALUE(MID(Sync!$V1357,FIND(":",Sync!$V1357)+1,2)),2),"0000"))))</f>
        <v/>
      </c>
    </row>
    <row r="1361">
      <c r="A1361">
        <f>IF(Sync!$U1358="","",Sync!$U1358)</f>
        <v/>
      </c>
      <c r="B1361">
        <f>IF($A1361="","",IF(ISNUMBER($A1361),IF(AND($A1361&gt;=10000101,$A1361&lt;=99991231),INT($A1361/10000),""),IFERROR(VALUE(TRIM(LEFT($A1361,FIND("/",$A1361)-1))),"")))</f>
        <v/>
      </c>
      <c r="C1361">
        <f>IF(OR($A1361="",$B1361=""),"",IF(ISNUMBER($A1361),INT(MOD($A1361,10000)/100),IFERROR(VALUE(TRIM(LEFT(MID($A1361,FIND("/",$A1361)+1,20),FIND("/",MID($A1361,FIND("/",$A1361)+1,20))-1))),"")))</f>
        <v/>
      </c>
      <c r="D1361">
        <f>IF(OR($A1361="",$B1361=""),"",IF(ISNUMBER($A1361),MOD($A1361,100),IFERROR(VALUE(TRIM(MID(MID($A1361,FIND("/",$A1361)+1,20),FIND("/",MID($A1361,FIND("/",$A1361)+1,20))+1,20))),"")))</f>
        <v/>
      </c>
      <c r="E1361">
        <f>IF($A1361="","",IF(OR($B1361="",$C1361="",$D1361="",$B1361&lt;1300,$B1361&gt;1500,$C1361&lt;1,$C1361&gt;12,$D1361&lt;1,$D1361&gt;31),"نامعتبر",RIGHT("0000"&amp;$B1361,4)&amp;"/"&amp;RIGHT("00"&amp;$C1361,2)&amp;"/"&amp;RIGHT("00"&amp;$D1361,2)))</f>
        <v/>
      </c>
      <c r="F1361">
        <f>IF(OR($E1361="",$E1361="نامعتبر"),"",LEFT($E1361,4)&amp;"/"&amp;MID($E1361,6,2))</f>
        <v/>
      </c>
      <c r="G1361">
        <f>IF(OR($E1361="",$E1361="نامعتبر",Sync!$Y1358=""),"",Sync!$Y1358)</f>
        <v/>
      </c>
      <c r="H1361">
        <f>IF($G1361="","",IF(Sync!$X1358="","",Sync!$X1358))</f>
        <v/>
      </c>
      <c r="I1361">
        <f>IF($G1361="","",IFERROR(VLOOKUP(Sync!$X1358,OpTbl,3,0),""))</f>
        <v/>
      </c>
      <c r="J1361">
        <f>IF(OR($G1361="",Sync!$Z1358=""),"",Sync!$Z1358)</f>
        <v/>
      </c>
      <c r="K1361">
        <f>IF(OR($G1361="",Sync!$AA1358=""),"",Sync!$AA1358)</f>
        <v/>
      </c>
      <c r="L1361">
        <f>IF($G1361="",0,IF(Sync!$AB1358="",0,Sync!$AB1358))</f>
        <v/>
      </c>
      <c r="M1361">
        <f>IF($G1361="",0,IF(Sync!$AC1358="",0,Sync!$AC1358))</f>
        <v/>
      </c>
      <c r="N1361">
        <f>IF($G1361="","",IF($H1361="مرجوعی خرید",-1,1)*($L1361-$M1361*IFERROR(VLOOKUP("P01",ParamTbl,3,0),1.5))*(1-IF($I1361="خرید",IFERROR(VLOOKUP("P02",ParamTbl,3,0),1),0)/100))</f>
        <v/>
      </c>
      <c r="O1361">
        <f>IF($G1361="",0,IF($H1361="مرجوعی خرید",-1,1)*IF(Sync!$AD1358="",0,Sync!$AD1358))</f>
        <v/>
      </c>
      <c r="P1361">
        <f>IF(OR($G1361="",Sync!$W1358=""),"",Sync!$W1358)</f>
        <v/>
      </c>
      <c r="Q1361">
        <f>IF(OR($G1361="",Sync!$AE1358=""),"",Sync!$AE1358)</f>
        <v/>
      </c>
      <c r="R1361">
        <f>IF($G1361="","",IF(Sync!$V1358="","0000",IF(AND(ISNUMBER(Sync!$V1358),Sync!$V1358&gt;=0,Sync!$V1358&lt;1),RIGHT("00"&amp;HOUR(Sync!$V1358),2)&amp;RIGHT("00"&amp;MINUTE(Sync!$V1358),2),IFERROR(RIGHT("00"&amp;VALUE(LEFT(Sync!$V1358,FIND(":",Sync!$V1358)-1)),2)&amp;RIGHT("00"&amp;VALUE(MID(Sync!$V1358,FIND(":",Sync!$V1358)+1,2)),2),"0000"))))</f>
        <v/>
      </c>
    </row>
    <row r="1362">
      <c r="A1362">
        <f>IF(Sync!$U1359="","",Sync!$U1359)</f>
        <v/>
      </c>
      <c r="B1362">
        <f>IF($A1362="","",IF(ISNUMBER($A1362),IF(AND($A1362&gt;=10000101,$A1362&lt;=99991231),INT($A1362/10000),""),IFERROR(VALUE(TRIM(LEFT($A1362,FIND("/",$A1362)-1))),"")))</f>
        <v/>
      </c>
      <c r="C1362">
        <f>IF(OR($A1362="",$B1362=""),"",IF(ISNUMBER($A1362),INT(MOD($A1362,10000)/100),IFERROR(VALUE(TRIM(LEFT(MID($A1362,FIND("/",$A1362)+1,20),FIND("/",MID($A1362,FIND("/",$A1362)+1,20))-1))),"")))</f>
        <v/>
      </c>
      <c r="D1362">
        <f>IF(OR($A1362="",$B1362=""),"",IF(ISNUMBER($A1362),MOD($A1362,100),IFERROR(VALUE(TRIM(MID(MID($A1362,FIND("/",$A1362)+1,20),FIND("/",MID($A1362,FIND("/",$A1362)+1,20))+1,20))),"")))</f>
        <v/>
      </c>
      <c r="E1362">
        <f>IF($A1362="","",IF(OR($B1362="",$C1362="",$D1362="",$B1362&lt;1300,$B1362&gt;1500,$C1362&lt;1,$C1362&gt;12,$D1362&lt;1,$D1362&gt;31),"نامعتبر",RIGHT("0000"&amp;$B1362,4)&amp;"/"&amp;RIGHT("00"&amp;$C1362,2)&amp;"/"&amp;RIGHT("00"&amp;$D1362,2)))</f>
        <v/>
      </c>
      <c r="F1362">
        <f>IF(OR($E1362="",$E1362="نامعتبر"),"",LEFT($E1362,4)&amp;"/"&amp;MID($E1362,6,2))</f>
        <v/>
      </c>
      <c r="G1362">
        <f>IF(OR($E1362="",$E1362="نامعتبر",Sync!$Y1359=""),"",Sync!$Y1359)</f>
        <v/>
      </c>
      <c r="H1362">
        <f>IF($G1362="","",IF(Sync!$X1359="","",Sync!$X1359))</f>
        <v/>
      </c>
      <c r="I1362">
        <f>IF($G1362="","",IFERROR(VLOOKUP(Sync!$X1359,OpTbl,3,0),""))</f>
        <v/>
      </c>
      <c r="J1362">
        <f>IF(OR($G1362="",Sync!$Z1359=""),"",Sync!$Z1359)</f>
        <v/>
      </c>
      <c r="K1362">
        <f>IF(OR($G1362="",Sync!$AA1359=""),"",Sync!$AA1359)</f>
        <v/>
      </c>
      <c r="L1362">
        <f>IF($G1362="",0,IF(Sync!$AB1359="",0,Sync!$AB1359))</f>
        <v/>
      </c>
      <c r="M1362">
        <f>IF($G1362="",0,IF(Sync!$AC1359="",0,Sync!$AC1359))</f>
        <v/>
      </c>
      <c r="N1362">
        <f>IF($G1362="","",IF($H1362="مرجوعی خرید",-1,1)*($L1362-$M1362*IFERROR(VLOOKUP("P01",ParamTbl,3,0),1.5))*(1-IF($I1362="خرید",IFERROR(VLOOKUP("P02",ParamTbl,3,0),1),0)/100))</f>
        <v/>
      </c>
      <c r="O1362">
        <f>IF($G1362="",0,IF($H1362="مرجوعی خرید",-1,1)*IF(Sync!$AD1359="",0,Sync!$AD1359))</f>
        <v/>
      </c>
      <c r="P1362">
        <f>IF(OR($G1362="",Sync!$W1359=""),"",Sync!$W1359)</f>
        <v/>
      </c>
      <c r="Q1362">
        <f>IF(OR($G1362="",Sync!$AE1359=""),"",Sync!$AE1359)</f>
        <v/>
      </c>
      <c r="R1362">
        <f>IF($G1362="","",IF(Sync!$V1359="","0000",IF(AND(ISNUMBER(Sync!$V1359),Sync!$V1359&gt;=0,Sync!$V1359&lt;1),RIGHT("00"&amp;HOUR(Sync!$V1359),2)&amp;RIGHT("00"&amp;MINUTE(Sync!$V1359),2),IFERROR(RIGHT("00"&amp;VALUE(LEFT(Sync!$V1359,FIND(":",Sync!$V1359)-1)),2)&amp;RIGHT("00"&amp;VALUE(MID(Sync!$V1359,FIND(":",Sync!$V1359)+1,2)),2),"0000"))))</f>
        <v/>
      </c>
    </row>
    <row r="1363">
      <c r="A1363">
        <f>IF(Sync!$U1360="","",Sync!$U1360)</f>
        <v/>
      </c>
      <c r="B1363">
        <f>IF($A1363="","",IF(ISNUMBER($A1363),IF(AND($A1363&gt;=10000101,$A1363&lt;=99991231),INT($A1363/10000),""),IFERROR(VALUE(TRIM(LEFT($A1363,FIND("/",$A1363)-1))),"")))</f>
        <v/>
      </c>
      <c r="C1363">
        <f>IF(OR($A1363="",$B1363=""),"",IF(ISNUMBER($A1363),INT(MOD($A1363,10000)/100),IFERROR(VALUE(TRIM(LEFT(MID($A1363,FIND("/",$A1363)+1,20),FIND("/",MID($A1363,FIND("/",$A1363)+1,20))-1))),"")))</f>
        <v/>
      </c>
      <c r="D1363">
        <f>IF(OR($A1363="",$B1363=""),"",IF(ISNUMBER($A1363),MOD($A1363,100),IFERROR(VALUE(TRIM(MID(MID($A1363,FIND("/",$A1363)+1,20),FIND("/",MID($A1363,FIND("/",$A1363)+1,20))+1,20))),"")))</f>
        <v/>
      </c>
      <c r="E1363">
        <f>IF($A1363="","",IF(OR($B1363="",$C1363="",$D1363="",$B1363&lt;1300,$B1363&gt;1500,$C1363&lt;1,$C1363&gt;12,$D1363&lt;1,$D1363&gt;31),"نامعتبر",RIGHT("0000"&amp;$B1363,4)&amp;"/"&amp;RIGHT("00"&amp;$C1363,2)&amp;"/"&amp;RIGHT("00"&amp;$D1363,2)))</f>
        <v/>
      </c>
      <c r="F1363">
        <f>IF(OR($E1363="",$E1363="نامعتبر"),"",LEFT($E1363,4)&amp;"/"&amp;MID($E1363,6,2))</f>
        <v/>
      </c>
      <c r="G1363">
        <f>IF(OR($E1363="",$E1363="نامعتبر",Sync!$Y1360=""),"",Sync!$Y1360)</f>
        <v/>
      </c>
      <c r="H1363">
        <f>IF($G1363="","",IF(Sync!$X1360="","",Sync!$X1360))</f>
        <v/>
      </c>
      <c r="I1363">
        <f>IF($G1363="","",IFERROR(VLOOKUP(Sync!$X1360,OpTbl,3,0),""))</f>
        <v/>
      </c>
      <c r="J1363">
        <f>IF(OR($G1363="",Sync!$Z1360=""),"",Sync!$Z1360)</f>
        <v/>
      </c>
      <c r="K1363">
        <f>IF(OR($G1363="",Sync!$AA1360=""),"",Sync!$AA1360)</f>
        <v/>
      </c>
      <c r="L1363">
        <f>IF($G1363="",0,IF(Sync!$AB1360="",0,Sync!$AB1360))</f>
        <v/>
      </c>
      <c r="M1363">
        <f>IF($G1363="",0,IF(Sync!$AC1360="",0,Sync!$AC1360))</f>
        <v/>
      </c>
      <c r="N1363">
        <f>IF($G1363="","",IF($H1363="مرجوعی خرید",-1,1)*($L1363-$M1363*IFERROR(VLOOKUP("P01",ParamTbl,3,0),1.5))*(1-IF($I1363="خرید",IFERROR(VLOOKUP("P02",ParamTbl,3,0),1),0)/100))</f>
        <v/>
      </c>
      <c r="O1363">
        <f>IF($G1363="",0,IF($H1363="مرجوعی خرید",-1,1)*IF(Sync!$AD1360="",0,Sync!$AD1360))</f>
        <v/>
      </c>
      <c r="P1363">
        <f>IF(OR($G1363="",Sync!$W1360=""),"",Sync!$W1360)</f>
        <v/>
      </c>
      <c r="Q1363">
        <f>IF(OR($G1363="",Sync!$AE1360=""),"",Sync!$AE1360)</f>
        <v/>
      </c>
      <c r="R1363">
        <f>IF($G1363="","",IF(Sync!$V1360="","0000",IF(AND(ISNUMBER(Sync!$V1360),Sync!$V1360&gt;=0,Sync!$V1360&lt;1),RIGHT("00"&amp;HOUR(Sync!$V1360),2)&amp;RIGHT("00"&amp;MINUTE(Sync!$V1360),2),IFERROR(RIGHT("00"&amp;VALUE(LEFT(Sync!$V1360,FIND(":",Sync!$V1360)-1)),2)&amp;RIGHT("00"&amp;VALUE(MID(Sync!$V1360,FIND(":",Sync!$V1360)+1,2)),2),"0000"))))</f>
        <v/>
      </c>
    </row>
    <row r="1364">
      <c r="A1364">
        <f>IF(Sync!$U1361="","",Sync!$U1361)</f>
        <v/>
      </c>
      <c r="B1364">
        <f>IF($A1364="","",IF(ISNUMBER($A1364),IF(AND($A1364&gt;=10000101,$A1364&lt;=99991231),INT($A1364/10000),""),IFERROR(VALUE(TRIM(LEFT($A1364,FIND("/",$A1364)-1))),"")))</f>
        <v/>
      </c>
      <c r="C1364">
        <f>IF(OR($A1364="",$B1364=""),"",IF(ISNUMBER($A1364),INT(MOD($A1364,10000)/100),IFERROR(VALUE(TRIM(LEFT(MID($A1364,FIND("/",$A1364)+1,20),FIND("/",MID($A1364,FIND("/",$A1364)+1,20))-1))),"")))</f>
        <v/>
      </c>
      <c r="D1364">
        <f>IF(OR($A1364="",$B1364=""),"",IF(ISNUMBER($A1364),MOD($A1364,100),IFERROR(VALUE(TRIM(MID(MID($A1364,FIND("/",$A1364)+1,20),FIND("/",MID($A1364,FIND("/",$A1364)+1,20))+1,20))),"")))</f>
        <v/>
      </c>
      <c r="E1364">
        <f>IF($A1364="","",IF(OR($B1364="",$C1364="",$D1364="",$B1364&lt;1300,$B1364&gt;1500,$C1364&lt;1,$C1364&gt;12,$D1364&lt;1,$D1364&gt;31),"نامعتبر",RIGHT("0000"&amp;$B1364,4)&amp;"/"&amp;RIGHT("00"&amp;$C1364,2)&amp;"/"&amp;RIGHT("00"&amp;$D1364,2)))</f>
        <v/>
      </c>
      <c r="F1364">
        <f>IF(OR($E1364="",$E1364="نامعتبر"),"",LEFT($E1364,4)&amp;"/"&amp;MID($E1364,6,2))</f>
        <v/>
      </c>
      <c r="G1364">
        <f>IF(OR($E1364="",$E1364="نامعتبر",Sync!$Y1361=""),"",Sync!$Y1361)</f>
        <v/>
      </c>
      <c r="H1364">
        <f>IF($G1364="","",IF(Sync!$X1361="","",Sync!$X1361))</f>
        <v/>
      </c>
      <c r="I1364">
        <f>IF($G1364="","",IFERROR(VLOOKUP(Sync!$X1361,OpTbl,3,0),""))</f>
        <v/>
      </c>
      <c r="J1364">
        <f>IF(OR($G1364="",Sync!$Z1361=""),"",Sync!$Z1361)</f>
        <v/>
      </c>
      <c r="K1364">
        <f>IF(OR($G1364="",Sync!$AA1361=""),"",Sync!$AA1361)</f>
        <v/>
      </c>
      <c r="L1364">
        <f>IF($G1364="",0,IF(Sync!$AB1361="",0,Sync!$AB1361))</f>
        <v/>
      </c>
      <c r="M1364">
        <f>IF($G1364="",0,IF(Sync!$AC1361="",0,Sync!$AC1361))</f>
        <v/>
      </c>
      <c r="N1364">
        <f>IF($G1364="","",IF($H1364="مرجوعی خرید",-1,1)*($L1364-$M1364*IFERROR(VLOOKUP("P01",ParamTbl,3,0),1.5))*(1-IF($I1364="خرید",IFERROR(VLOOKUP("P02",ParamTbl,3,0),1),0)/100))</f>
        <v/>
      </c>
      <c r="O1364">
        <f>IF($G1364="",0,IF($H1364="مرجوعی خرید",-1,1)*IF(Sync!$AD1361="",0,Sync!$AD1361))</f>
        <v/>
      </c>
      <c r="P1364">
        <f>IF(OR($G1364="",Sync!$W1361=""),"",Sync!$W1361)</f>
        <v/>
      </c>
      <c r="Q1364">
        <f>IF(OR($G1364="",Sync!$AE1361=""),"",Sync!$AE1361)</f>
        <v/>
      </c>
      <c r="R1364">
        <f>IF($G1364="","",IF(Sync!$V1361="","0000",IF(AND(ISNUMBER(Sync!$V1361),Sync!$V1361&gt;=0,Sync!$V1361&lt;1),RIGHT("00"&amp;HOUR(Sync!$V1361),2)&amp;RIGHT("00"&amp;MINUTE(Sync!$V1361),2),IFERROR(RIGHT("00"&amp;VALUE(LEFT(Sync!$V1361,FIND(":",Sync!$V1361)-1)),2)&amp;RIGHT("00"&amp;VALUE(MID(Sync!$V1361,FIND(":",Sync!$V1361)+1,2)),2),"0000"))))</f>
        <v/>
      </c>
    </row>
    <row r="1365">
      <c r="A1365">
        <f>IF(Sync!$U1362="","",Sync!$U1362)</f>
        <v/>
      </c>
      <c r="B1365">
        <f>IF($A1365="","",IF(ISNUMBER($A1365),IF(AND($A1365&gt;=10000101,$A1365&lt;=99991231),INT($A1365/10000),""),IFERROR(VALUE(TRIM(LEFT($A1365,FIND("/",$A1365)-1))),"")))</f>
        <v/>
      </c>
      <c r="C1365">
        <f>IF(OR($A1365="",$B1365=""),"",IF(ISNUMBER($A1365),INT(MOD($A1365,10000)/100),IFERROR(VALUE(TRIM(LEFT(MID($A1365,FIND("/",$A1365)+1,20),FIND("/",MID($A1365,FIND("/",$A1365)+1,20))-1))),"")))</f>
        <v/>
      </c>
      <c r="D1365">
        <f>IF(OR($A1365="",$B1365=""),"",IF(ISNUMBER($A1365),MOD($A1365,100),IFERROR(VALUE(TRIM(MID(MID($A1365,FIND("/",$A1365)+1,20),FIND("/",MID($A1365,FIND("/",$A1365)+1,20))+1,20))),"")))</f>
        <v/>
      </c>
      <c r="E1365">
        <f>IF($A1365="","",IF(OR($B1365="",$C1365="",$D1365="",$B1365&lt;1300,$B1365&gt;1500,$C1365&lt;1,$C1365&gt;12,$D1365&lt;1,$D1365&gt;31),"نامعتبر",RIGHT("0000"&amp;$B1365,4)&amp;"/"&amp;RIGHT("00"&amp;$C1365,2)&amp;"/"&amp;RIGHT("00"&amp;$D1365,2)))</f>
        <v/>
      </c>
      <c r="F1365">
        <f>IF(OR($E1365="",$E1365="نامعتبر"),"",LEFT($E1365,4)&amp;"/"&amp;MID($E1365,6,2))</f>
        <v/>
      </c>
      <c r="G1365">
        <f>IF(OR($E1365="",$E1365="نامعتبر",Sync!$Y1362=""),"",Sync!$Y1362)</f>
        <v/>
      </c>
      <c r="H1365">
        <f>IF($G1365="","",IF(Sync!$X1362="","",Sync!$X1362))</f>
        <v/>
      </c>
      <c r="I1365">
        <f>IF($G1365="","",IFERROR(VLOOKUP(Sync!$X1362,OpTbl,3,0),""))</f>
        <v/>
      </c>
      <c r="J1365">
        <f>IF(OR($G1365="",Sync!$Z1362=""),"",Sync!$Z1362)</f>
        <v/>
      </c>
      <c r="K1365">
        <f>IF(OR($G1365="",Sync!$AA1362=""),"",Sync!$AA1362)</f>
        <v/>
      </c>
      <c r="L1365">
        <f>IF($G1365="",0,IF(Sync!$AB1362="",0,Sync!$AB1362))</f>
        <v/>
      </c>
      <c r="M1365">
        <f>IF($G1365="",0,IF(Sync!$AC1362="",0,Sync!$AC1362))</f>
        <v/>
      </c>
      <c r="N1365">
        <f>IF($G1365="","",IF($H1365="مرجوعی خرید",-1,1)*($L1365-$M1365*IFERROR(VLOOKUP("P01",ParamTbl,3,0),1.5))*(1-IF($I1365="خرید",IFERROR(VLOOKUP("P02",ParamTbl,3,0),1),0)/100))</f>
        <v/>
      </c>
      <c r="O1365">
        <f>IF($G1365="",0,IF($H1365="مرجوعی خرید",-1,1)*IF(Sync!$AD1362="",0,Sync!$AD1362))</f>
        <v/>
      </c>
      <c r="P1365">
        <f>IF(OR($G1365="",Sync!$W1362=""),"",Sync!$W1362)</f>
        <v/>
      </c>
      <c r="Q1365">
        <f>IF(OR($G1365="",Sync!$AE1362=""),"",Sync!$AE1362)</f>
        <v/>
      </c>
      <c r="R1365">
        <f>IF($G1365="","",IF(Sync!$V1362="","0000",IF(AND(ISNUMBER(Sync!$V1362),Sync!$V1362&gt;=0,Sync!$V1362&lt;1),RIGHT("00"&amp;HOUR(Sync!$V1362),2)&amp;RIGHT("00"&amp;MINUTE(Sync!$V1362),2),IFERROR(RIGHT("00"&amp;VALUE(LEFT(Sync!$V1362,FIND(":",Sync!$V1362)-1)),2)&amp;RIGHT("00"&amp;VALUE(MID(Sync!$V1362,FIND(":",Sync!$V1362)+1,2)),2),"0000"))))</f>
        <v/>
      </c>
    </row>
    <row r="1366">
      <c r="A1366">
        <f>IF(Sync!$U1363="","",Sync!$U1363)</f>
        <v/>
      </c>
      <c r="B1366">
        <f>IF($A1366="","",IF(ISNUMBER($A1366),IF(AND($A1366&gt;=10000101,$A1366&lt;=99991231),INT($A1366/10000),""),IFERROR(VALUE(TRIM(LEFT($A1366,FIND("/",$A1366)-1))),"")))</f>
        <v/>
      </c>
      <c r="C1366">
        <f>IF(OR($A1366="",$B1366=""),"",IF(ISNUMBER($A1366),INT(MOD($A1366,10000)/100),IFERROR(VALUE(TRIM(LEFT(MID($A1366,FIND("/",$A1366)+1,20),FIND("/",MID($A1366,FIND("/",$A1366)+1,20))-1))),"")))</f>
        <v/>
      </c>
      <c r="D1366">
        <f>IF(OR($A1366="",$B1366=""),"",IF(ISNUMBER($A1366),MOD($A1366,100),IFERROR(VALUE(TRIM(MID(MID($A1366,FIND("/",$A1366)+1,20),FIND("/",MID($A1366,FIND("/",$A1366)+1,20))+1,20))),"")))</f>
        <v/>
      </c>
      <c r="E1366">
        <f>IF($A1366="","",IF(OR($B1366="",$C1366="",$D1366="",$B1366&lt;1300,$B1366&gt;1500,$C1366&lt;1,$C1366&gt;12,$D1366&lt;1,$D1366&gt;31),"نامعتبر",RIGHT("0000"&amp;$B1366,4)&amp;"/"&amp;RIGHT("00"&amp;$C1366,2)&amp;"/"&amp;RIGHT("00"&amp;$D1366,2)))</f>
        <v/>
      </c>
      <c r="F1366">
        <f>IF(OR($E1366="",$E1366="نامعتبر"),"",LEFT($E1366,4)&amp;"/"&amp;MID($E1366,6,2))</f>
        <v/>
      </c>
      <c r="G1366">
        <f>IF(OR($E1366="",$E1366="نامعتبر",Sync!$Y1363=""),"",Sync!$Y1363)</f>
        <v/>
      </c>
      <c r="H1366">
        <f>IF($G1366="","",IF(Sync!$X1363="","",Sync!$X1363))</f>
        <v/>
      </c>
      <c r="I1366">
        <f>IF($G1366="","",IFERROR(VLOOKUP(Sync!$X1363,OpTbl,3,0),""))</f>
        <v/>
      </c>
      <c r="J1366">
        <f>IF(OR($G1366="",Sync!$Z1363=""),"",Sync!$Z1363)</f>
        <v/>
      </c>
      <c r="K1366">
        <f>IF(OR($G1366="",Sync!$AA1363=""),"",Sync!$AA1363)</f>
        <v/>
      </c>
      <c r="L1366">
        <f>IF($G1366="",0,IF(Sync!$AB1363="",0,Sync!$AB1363))</f>
        <v/>
      </c>
      <c r="M1366">
        <f>IF($G1366="",0,IF(Sync!$AC1363="",0,Sync!$AC1363))</f>
        <v/>
      </c>
      <c r="N1366">
        <f>IF($G1366="","",IF($H1366="مرجوعی خرید",-1,1)*($L1366-$M1366*IFERROR(VLOOKUP("P01",ParamTbl,3,0),1.5))*(1-IF($I1366="خرید",IFERROR(VLOOKUP("P02",ParamTbl,3,0),1),0)/100))</f>
        <v/>
      </c>
      <c r="O1366">
        <f>IF($G1366="",0,IF($H1366="مرجوعی خرید",-1,1)*IF(Sync!$AD1363="",0,Sync!$AD1363))</f>
        <v/>
      </c>
      <c r="P1366">
        <f>IF(OR($G1366="",Sync!$W1363=""),"",Sync!$W1363)</f>
        <v/>
      </c>
      <c r="Q1366">
        <f>IF(OR($G1366="",Sync!$AE1363=""),"",Sync!$AE1363)</f>
        <v/>
      </c>
      <c r="R1366">
        <f>IF($G1366="","",IF(Sync!$V1363="","0000",IF(AND(ISNUMBER(Sync!$V1363),Sync!$V1363&gt;=0,Sync!$V1363&lt;1),RIGHT("00"&amp;HOUR(Sync!$V1363),2)&amp;RIGHT("00"&amp;MINUTE(Sync!$V1363),2),IFERROR(RIGHT("00"&amp;VALUE(LEFT(Sync!$V1363,FIND(":",Sync!$V1363)-1)),2)&amp;RIGHT("00"&amp;VALUE(MID(Sync!$V1363,FIND(":",Sync!$V1363)+1,2)),2),"0000"))))</f>
        <v/>
      </c>
    </row>
    <row r="1367">
      <c r="A1367">
        <f>IF(Sync!$U1364="","",Sync!$U1364)</f>
        <v/>
      </c>
      <c r="B1367">
        <f>IF($A1367="","",IF(ISNUMBER($A1367),IF(AND($A1367&gt;=10000101,$A1367&lt;=99991231),INT($A1367/10000),""),IFERROR(VALUE(TRIM(LEFT($A1367,FIND("/",$A1367)-1))),"")))</f>
        <v/>
      </c>
      <c r="C1367">
        <f>IF(OR($A1367="",$B1367=""),"",IF(ISNUMBER($A1367),INT(MOD($A1367,10000)/100),IFERROR(VALUE(TRIM(LEFT(MID($A1367,FIND("/",$A1367)+1,20),FIND("/",MID($A1367,FIND("/",$A1367)+1,20))-1))),"")))</f>
        <v/>
      </c>
      <c r="D1367">
        <f>IF(OR($A1367="",$B1367=""),"",IF(ISNUMBER($A1367),MOD($A1367,100),IFERROR(VALUE(TRIM(MID(MID($A1367,FIND("/",$A1367)+1,20),FIND("/",MID($A1367,FIND("/",$A1367)+1,20))+1,20))),"")))</f>
        <v/>
      </c>
      <c r="E1367">
        <f>IF($A1367="","",IF(OR($B1367="",$C1367="",$D1367="",$B1367&lt;1300,$B1367&gt;1500,$C1367&lt;1,$C1367&gt;12,$D1367&lt;1,$D1367&gt;31),"نامعتبر",RIGHT("0000"&amp;$B1367,4)&amp;"/"&amp;RIGHT("00"&amp;$C1367,2)&amp;"/"&amp;RIGHT("00"&amp;$D1367,2)))</f>
        <v/>
      </c>
      <c r="F1367">
        <f>IF(OR($E1367="",$E1367="نامعتبر"),"",LEFT($E1367,4)&amp;"/"&amp;MID($E1367,6,2))</f>
        <v/>
      </c>
      <c r="G1367">
        <f>IF(OR($E1367="",$E1367="نامعتبر",Sync!$Y1364=""),"",Sync!$Y1364)</f>
        <v/>
      </c>
      <c r="H1367">
        <f>IF($G1367="","",IF(Sync!$X1364="","",Sync!$X1364))</f>
        <v/>
      </c>
      <c r="I1367">
        <f>IF($G1367="","",IFERROR(VLOOKUP(Sync!$X1364,OpTbl,3,0),""))</f>
        <v/>
      </c>
      <c r="J1367">
        <f>IF(OR($G1367="",Sync!$Z1364=""),"",Sync!$Z1364)</f>
        <v/>
      </c>
      <c r="K1367">
        <f>IF(OR($G1367="",Sync!$AA1364=""),"",Sync!$AA1364)</f>
        <v/>
      </c>
      <c r="L1367">
        <f>IF($G1367="",0,IF(Sync!$AB1364="",0,Sync!$AB1364))</f>
        <v/>
      </c>
      <c r="M1367">
        <f>IF($G1367="",0,IF(Sync!$AC1364="",0,Sync!$AC1364))</f>
        <v/>
      </c>
      <c r="N1367">
        <f>IF($G1367="","",IF($H1367="مرجوعی خرید",-1,1)*($L1367-$M1367*IFERROR(VLOOKUP("P01",ParamTbl,3,0),1.5))*(1-IF($I1367="خرید",IFERROR(VLOOKUP("P02",ParamTbl,3,0),1),0)/100))</f>
        <v/>
      </c>
      <c r="O1367">
        <f>IF($G1367="",0,IF($H1367="مرجوعی خرید",-1,1)*IF(Sync!$AD1364="",0,Sync!$AD1364))</f>
        <v/>
      </c>
      <c r="P1367">
        <f>IF(OR($G1367="",Sync!$W1364=""),"",Sync!$W1364)</f>
        <v/>
      </c>
      <c r="Q1367">
        <f>IF(OR($G1367="",Sync!$AE1364=""),"",Sync!$AE1364)</f>
        <v/>
      </c>
      <c r="R1367">
        <f>IF($G1367="","",IF(Sync!$V1364="","0000",IF(AND(ISNUMBER(Sync!$V1364),Sync!$V1364&gt;=0,Sync!$V1364&lt;1),RIGHT("00"&amp;HOUR(Sync!$V1364),2)&amp;RIGHT("00"&amp;MINUTE(Sync!$V1364),2),IFERROR(RIGHT("00"&amp;VALUE(LEFT(Sync!$V1364,FIND(":",Sync!$V1364)-1)),2)&amp;RIGHT("00"&amp;VALUE(MID(Sync!$V1364,FIND(":",Sync!$V1364)+1,2)),2),"0000"))))</f>
        <v/>
      </c>
    </row>
    <row r="1368">
      <c r="A1368">
        <f>IF(Sync!$U1365="","",Sync!$U1365)</f>
        <v/>
      </c>
      <c r="B1368">
        <f>IF($A1368="","",IF(ISNUMBER($A1368),IF(AND($A1368&gt;=10000101,$A1368&lt;=99991231),INT($A1368/10000),""),IFERROR(VALUE(TRIM(LEFT($A1368,FIND("/",$A1368)-1))),"")))</f>
        <v/>
      </c>
      <c r="C1368">
        <f>IF(OR($A1368="",$B1368=""),"",IF(ISNUMBER($A1368),INT(MOD($A1368,10000)/100),IFERROR(VALUE(TRIM(LEFT(MID($A1368,FIND("/",$A1368)+1,20),FIND("/",MID($A1368,FIND("/",$A1368)+1,20))-1))),"")))</f>
        <v/>
      </c>
      <c r="D1368">
        <f>IF(OR($A1368="",$B1368=""),"",IF(ISNUMBER($A1368),MOD($A1368,100),IFERROR(VALUE(TRIM(MID(MID($A1368,FIND("/",$A1368)+1,20),FIND("/",MID($A1368,FIND("/",$A1368)+1,20))+1,20))),"")))</f>
        <v/>
      </c>
      <c r="E1368">
        <f>IF($A1368="","",IF(OR($B1368="",$C1368="",$D1368="",$B1368&lt;1300,$B1368&gt;1500,$C1368&lt;1,$C1368&gt;12,$D1368&lt;1,$D1368&gt;31),"نامعتبر",RIGHT("0000"&amp;$B1368,4)&amp;"/"&amp;RIGHT("00"&amp;$C1368,2)&amp;"/"&amp;RIGHT("00"&amp;$D1368,2)))</f>
        <v/>
      </c>
      <c r="F1368">
        <f>IF(OR($E1368="",$E1368="نامعتبر"),"",LEFT($E1368,4)&amp;"/"&amp;MID($E1368,6,2))</f>
        <v/>
      </c>
      <c r="G1368">
        <f>IF(OR($E1368="",$E1368="نامعتبر",Sync!$Y1365=""),"",Sync!$Y1365)</f>
        <v/>
      </c>
      <c r="H1368">
        <f>IF($G1368="","",IF(Sync!$X1365="","",Sync!$X1365))</f>
        <v/>
      </c>
      <c r="I1368">
        <f>IF($G1368="","",IFERROR(VLOOKUP(Sync!$X1365,OpTbl,3,0),""))</f>
        <v/>
      </c>
      <c r="J1368">
        <f>IF(OR($G1368="",Sync!$Z1365=""),"",Sync!$Z1365)</f>
        <v/>
      </c>
      <c r="K1368">
        <f>IF(OR($G1368="",Sync!$AA1365=""),"",Sync!$AA1365)</f>
        <v/>
      </c>
      <c r="L1368">
        <f>IF($G1368="",0,IF(Sync!$AB1365="",0,Sync!$AB1365))</f>
        <v/>
      </c>
      <c r="M1368">
        <f>IF($G1368="",0,IF(Sync!$AC1365="",0,Sync!$AC1365))</f>
        <v/>
      </c>
      <c r="N1368">
        <f>IF($G1368="","",IF($H1368="مرجوعی خرید",-1,1)*($L1368-$M1368*IFERROR(VLOOKUP("P01",ParamTbl,3,0),1.5))*(1-IF($I1368="خرید",IFERROR(VLOOKUP("P02",ParamTbl,3,0),1),0)/100))</f>
        <v/>
      </c>
      <c r="O1368">
        <f>IF($G1368="",0,IF($H1368="مرجوعی خرید",-1,1)*IF(Sync!$AD1365="",0,Sync!$AD1365))</f>
        <v/>
      </c>
      <c r="P1368">
        <f>IF(OR($G1368="",Sync!$W1365=""),"",Sync!$W1365)</f>
        <v/>
      </c>
      <c r="Q1368">
        <f>IF(OR($G1368="",Sync!$AE1365=""),"",Sync!$AE1365)</f>
        <v/>
      </c>
      <c r="R1368">
        <f>IF($G1368="","",IF(Sync!$V1365="","0000",IF(AND(ISNUMBER(Sync!$V1365),Sync!$V1365&gt;=0,Sync!$V1365&lt;1),RIGHT("00"&amp;HOUR(Sync!$V1365),2)&amp;RIGHT("00"&amp;MINUTE(Sync!$V1365),2),IFERROR(RIGHT("00"&amp;VALUE(LEFT(Sync!$V1365,FIND(":",Sync!$V1365)-1)),2)&amp;RIGHT("00"&amp;VALUE(MID(Sync!$V1365,FIND(":",Sync!$V1365)+1,2)),2),"0000"))))</f>
        <v/>
      </c>
    </row>
    <row r="1369">
      <c r="A1369">
        <f>IF(Sync!$U1366="","",Sync!$U1366)</f>
        <v/>
      </c>
      <c r="B1369">
        <f>IF($A1369="","",IF(ISNUMBER($A1369),IF(AND($A1369&gt;=10000101,$A1369&lt;=99991231),INT($A1369/10000),""),IFERROR(VALUE(TRIM(LEFT($A1369,FIND("/",$A1369)-1))),"")))</f>
        <v/>
      </c>
      <c r="C1369">
        <f>IF(OR($A1369="",$B1369=""),"",IF(ISNUMBER($A1369),INT(MOD($A1369,10000)/100),IFERROR(VALUE(TRIM(LEFT(MID($A1369,FIND("/",$A1369)+1,20),FIND("/",MID($A1369,FIND("/",$A1369)+1,20))-1))),"")))</f>
        <v/>
      </c>
      <c r="D1369">
        <f>IF(OR($A1369="",$B1369=""),"",IF(ISNUMBER($A1369),MOD($A1369,100),IFERROR(VALUE(TRIM(MID(MID($A1369,FIND("/",$A1369)+1,20),FIND("/",MID($A1369,FIND("/",$A1369)+1,20))+1,20))),"")))</f>
        <v/>
      </c>
      <c r="E1369">
        <f>IF($A1369="","",IF(OR($B1369="",$C1369="",$D1369="",$B1369&lt;1300,$B1369&gt;1500,$C1369&lt;1,$C1369&gt;12,$D1369&lt;1,$D1369&gt;31),"نامعتبر",RIGHT("0000"&amp;$B1369,4)&amp;"/"&amp;RIGHT("00"&amp;$C1369,2)&amp;"/"&amp;RIGHT("00"&amp;$D1369,2)))</f>
        <v/>
      </c>
      <c r="F1369">
        <f>IF(OR($E1369="",$E1369="نامعتبر"),"",LEFT($E1369,4)&amp;"/"&amp;MID($E1369,6,2))</f>
        <v/>
      </c>
      <c r="G1369">
        <f>IF(OR($E1369="",$E1369="نامعتبر",Sync!$Y1366=""),"",Sync!$Y1366)</f>
        <v/>
      </c>
      <c r="H1369">
        <f>IF($G1369="","",IF(Sync!$X1366="","",Sync!$X1366))</f>
        <v/>
      </c>
      <c r="I1369">
        <f>IF($G1369="","",IFERROR(VLOOKUP(Sync!$X1366,OpTbl,3,0),""))</f>
        <v/>
      </c>
      <c r="J1369">
        <f>IF(OR($G1369="",Sync!$Z1366=""),"",Sync!$Z1366)</f>
        <v/>
      </c>
      <c r="K1369">
        <f>IF(OR($G1369="",Sync!$AA1366=""),"",Sync!$AA1366)</f>
        <v/>
      </c>
      <c r="L1369">
        <f>IF($G1369="",0,IF(Sync!$AB1366="",0,Sync!$AB1366))</f>
        <v/>
      </c>
      <c r="M1369">
        <f>IF($G1369="",0,IF(Sync!$AC1366="",0,Sync!$AC1366))</f>
        <v/>
      </c>
      <c r="N1369">
        <f>IF($G1369="","",IF($H1369="مرجوعی خرید",-1,1)*($L1369-$M1369*IFERROR(VLOOKUP("P01",ParamTbl,3,0),1.5))*(1-IF($I1369="خرید",IFERROR(VLOOKUP("P02",ParamTbl,3,0),1),0)/100))</f>
        <v/>
      </c>
      <c r="O1369">
        <f>IF($G1369="",0,IF($H1369="مرجوعی خرید",-1,1)*IF(Sync!$AD1366="",0,Sync!$AD1366))</f>
        <v/>
      </c>
      <c r="P1369">
        <f>IF(OR($G1369="",Sync!$W1366=""),"",Sync!$W1366)</f>
        <v/>
      </c>
      <c r="Q1369">
        <f>IF(OR($G1369="",Sync!$AE1366=""),"",Sync!$AE1366)</f>
        <v/>
      </c>
      <c r="R1369">
        <f>IF($G1369="","",IF(Sync!$V1366="","0000",IF(AND(ISNUMBER(Sync!$V1366),Sync!$V1366&gt;=0,Sync!$V1366&lt;1),RIGHT("00"&amp;HOUR(Sync!$V1366),2)&amp;RIGHT("00"&amp;MINUTE(Sync!$V1366),2),IFERROR(RIGHT("00"&amp;VALUE(LEFT(Sync!$V1366,FIND(":",Sync!$V1366)-1)),2)&amp;RIGHT("00"&amp;VALUE(MID(Sync!$V1366,FIND(":",Sync!$V1366)+1,2)),2),"0000"))))</f>
        <v/>
      </c>
    </row>
    <row r="1370">
      <c r="A1370">
        <f>IF(Sync!$U1367="","",Sync!$U1367)</f>
        <v/>
      </c>
      <c r="B1370">
        <f>IF($A1370="","",IF(ISNUMBER($A1370),IF(AND($A1370&gt;=10000101,$A1370&lt;=99991231),INT($A1370/10000),""),IFERROR(VALUE(TRIM(LEFT($A1370,FIND("/",$A1370)-1))),"")))</f>
        <v/>
      </c>
      <c r="C1370">
        <f>IF(OR($A1370="",$B1370=""),"",IF(ISNUMBER($A1370),INT(MOD($A1370,10000)/100),IFERROR(VALUE(TRIM(LEFT(MID($A1370,FIND("/",$A1370)+1,20),FIND("/",MID($A1370,FIND("/",$A1370)+1,20))-1))),"")))</f>
        <v/>
      </c>
      <c r="D1370">
        <f>IF(OR($A1370="",$B1370=""),"",IF(ISNUMBER($A1370),MOD($A1370,100),IFERROR(VALUE(TRIM(MID(MID($A1370,FIND("/",$A1370)+1,20),FIND("/",MID($A1370,FIND("/",$A1370)+1,20))+1,20))),"")))</f>
        <v/>
      </c>
      <c r="E1370">
        <f>IF($A1370="","",IF(OR($B1370="",$C1370="",$D1370="",$B1370&lt;1300,$B1370&gt;1500,$C1370&lt;1,$C1370&gt;12,$D1370&lt;1,$D1370&gt;31),"نامعتبر",RIGHT("0000"&amp;$B1370,4)&amp;"/"&amp;RIGHT("00"&amp;$C1370,2)&amp;"/"&amp;RIGHT("00"&amp;$D1370,2)))</f>
        <v/>
      </c>
      <c r="F1370">
        <f>IF(OR($E1370="",$E1370="نامعتبر"),"",LEFT($E1370,4)&amp;"/"&amp;MID($E1370,6,2))</f>
        <v/>
      </c>
      <c r="G1370">
        <f>IF(OR($E1370="",$E1370="نامعتبر",Sync!$Y1367=""),"",Sync!$Y1367)</f>
        <v/>
      </c>
      <c r="H1370">
        <f>IF($G1370="","",IF(Sync!$X1367="","",Sync!$X1367))</f>
        <v/>
      </c>
      <c r="I1370">
        <f>IF($G1370="","",IFERROR(VLOOKUP(Sync!$X1367,OpTbl,3,0),""))</f>
        <v/>
      </c>
      <c r="J1370">
        <f>IF(OR($G1370="",Sync!$Z1367=""),"",Sync!$Z1367)</f>
        <v/>
      </c>
      <c r="K1370">
        <f>IF(OR($G1370="",Sync!$AA1367=""),"",Sync!$AA1367)</f>
        <v/>
      </c>
      <c r="L1370">
        <f>IF($G1370="",0,IF(Sync!$AB1367="",0,Sync!$AB1367))</f>
        <v/>
      </c>
      <c r="M1370">
        <f>IF($G1370="",0,IF(Sync!$AC1367="",0,Sync!$AC1367))</f>
        <v/>
      </c>
      <c r="N1370">
        <f>IF($G1370="","",IF($H1370="مرجوعی خرید",-1,1)*($L1370-$M1370*IFERROR(VLOOKUP("P01",ParamTbl,3,0),1.5))*(1-IF($I1370="خرید",IFERROR(VLOOKUP("P02",ParamTbl,3,0),1),0)/100))</f>
        <v/>
      </c>
      <c r="O1370">
        <f>IF($G1370="",0,IF($H1370="مرجوعی خرید",-1,1)*IF(Sync!$AD1367="",0,Sync!$AD1367))</f>
        <v/>
      </c>
      <c r="P1370">
        <f>IF(OR($G1370="",Sync!$W1367=""),"",Sync!$W1367)</f>
        <v/>
      </c>
      <c r="Q1370">
        <f>IF(OR($G1370="",Sync!$AE1367=""),"",Sync!$AE1367)</f>
        <v/>
      </c>
      <c r="R1370">
        <f>IF($G1370="","",IF(Sync!$V1367="","0000",IF(AND(ISNUMBER(Sync!$V1367),Sync!$V1367&gt;=0,Sync!$V1367&lt;1),RIGHT("00"&amp;HOUR(Sync!$V1367),2)&amp;RIGHT("00"&amp;MINUTE(Sync!$V1367),2),IFERROR(RIGHT("00"&amp;VALUE(LEFT(Sync!$V1367,FIND(":",Sync!$V1367)-1)),2)&amp;RIGHT("00"&amp;VALUE(MID(Sync!$V1367,FIND(":",Sync!$V1367)+1,2)),2),"0000"))))</f>
        <v/>
      </c>
    </row>
    <row r="1371">
      <c r="A1371">
        <f>IF(Sync!$U1368="","",Sync!$U1368)</f>
        <v/>
      </c>
      <c r="B1371">
        <f>IF($A1371="","",IF(ISNUMBER($A1371),IF(AND($A1371&gt;=10000101,$A1371&lt;=99991231),INT($A1371/10000),""),IFERROR(VALUE(TRIM(LEFT($A1371,FIND("/",$A1371)-1))),"")))</f>
        <v/>
      </c>
      <c r="C1371">
        <f>IF(OR($A1371="",$B1371=""),"",IF(ISNUMBER($A1371),INT(MOD($A1371,10000)/100),IFERROR(VALUE(TRIM(LEFT(MID($A1371,FIND("/",$A1371)+1,20),FIND("/",MID($A1371,FIND("/",$A1371)+1,20))-1))),"")))</f>
        <v/>
      </c>
      <c r="D1371">
        <f>IF(OR($A1371="",$B1371=""),"",IF(ISNUMBER($A1371),MOD($A1371,100),IFERROR(VALUE(TRIM(MID(MID($A1371,FIND("/",$A1371)+1,20),FIND("/",MID($A1371,FIND("/",$A1371)+1,20))+1,20))),"")))</f>
        <v/>
      </c>
      <c r="E1371">
        <f>IF($A1371="","",IF(OR($B1371="",$C1371="",$D1371="",$B1371&lt;1300,$B1371&gt;1500,$C1371&lt;1,$C1371&gt;12,$D1371&lt;1,$D1371&gt;31),"نامعتبر",RIGHT("0000"&amp;$B1371,4)&amp;"/"&amp;RIGHT("00"&amp;$C1371,2)&amp;"/"&amp;RIGHT("00"&amp;$D1371,2)))</f>
        <v/>
      </c>
      <c r="F1371">
        <f>IF(OR($E1371="",$E1371="نامعتبر"),"",LEFT($E1371,4)&amp;"/"&amp;MID($E1371,6,2))</f>
        <v/>
      </c>
      <c r="G1371">
        <f>IF(OR($E1371="",$E1371="نامعتبر",Sync!$Y1368=""),"",Sync!$Y1368)</f>
        <v/>
      </c>
      <c r="H1371">
        <f>IF($G1371="","",IF(Sync!$X1368="","",Sync!$X1368))</f>
        <v/>
      </c>
      <c r="I1371">
        <f>IF($G1371="","",IFERROR(VLOOKUP(Sync!$X1368,OpTbl,3,0),""))</f>
        <v/>
      </c>
      <c r="J1371">
        <f>IF(OR($G1371="",Sync!$Z1368=""),"",Sync!$Z1368)</f>
        <v/>
      </c>
      <c r="K1371">
        <f>IF(OR($G1371="",Sync!$AA1368=""),"",Sync!$AA1368)</f>
        <v/>
      </c>
      <c r="L1371">
        <f>IF($G1371="",0,IF(Sync!$AB1368="",0,Sync!$AB1368))</f>
        <v/>
      </c>
      <c r="M1371">
        <f>IF($G1371="",0,IF(Sync!$AC1368="",0,Sync!$AC1368))</f>
        <v/>
      </c>
      <c r="N1371">
        <f>IF($G1371="","",IF($H1371="مرجوعی خرید",-1,1)*($L1371-$M1371*IFERROR(VLOOKUP("P01",ParamTbl,3,0),1.5))*(1-IF($I1371="خرید",IFERROR(VLOOKUP("P02",ParamTbl,3,0),1),0)/100))</f>
        <v/>
      </c>
      <c r="O1371">
        <f>IF($G1371="",0,IF($H1371="مرجوعی خرید",-1,1)*IF(Sync!$AD1368="",0,Sync!$AD1368))</f>
        <v/>
      </c>
      <c r="P1371">
        <f>IF(OR($G1371="",Sync!$W1368=""),"",Sync!$W1368)</f>
        <v/>
      </c>
      <c r="Q1371">
        <f>IF(OR($G1371="",Sync!$AE1368=""),"",Sync!$AE1368)</f>
        <v/>
      </c>
      <c r="R1371">
        <f>IF($G1371="","",IF(Sync!$V1368="","0000",IF(AND(ISNUMBER(Sync!$V1368),Sync!$V1368&gt;=0,Sync!$V1368&lt;1),RIGHT("00"&amp;HOUR(Sync!$V1368),2)&amp;RIGHT("00"&amp;MINUTE(Sync!$V1368),2),IFERROR(RIGHT("00"&amp;VALUE(LEFT(Sync!$V1368,FIND(":",Sync!$V1368)-1)),2)&amp;RIGHT("00"&amp;VALUE(MID(Sync!$V1368,FIND(":",Sync!$V1368)+1,2)),2),"0000"))))</f>
        <v/>
      </c>
    </row>
    <row r="1372">
      <c r="A1372">
        <f>IF(Sync!$U1369="","",Sync!$U1369)</f>
        <v/>
      </c>
      <c r="B1372">
        <f>IF($A1372="","",IF(ISNUMBER($A1372),IF(AND($A1372&gt;=10000101,$A1372&lt;=99991231),INT($A1372/10000),""),IFERROR(VALUE(TRIM(LEFT($A1372,FIND("/",$A1372)-1))),"")))</f>
        <v/>
      </c>
      <c r="C1372">
        <f>IF(OR($A1372="",$B1372=""),"",IF(ISNUMBER($A1372),INT(MOD($A1372,10000)/100),IFERROR(VALUE(TRIM(LEFT(MID($A1372,FIND("/",$A1372)+1,20),FIND("/",MID($A1372,FIND("/",$A1372)+1,20))-1))),"")))</f>
        <v/>
      </c>
      <c r="D1372">
        <f>IF(OR($A1372="",$B1372=""),"",IF(ISNUMBER($A1372),MOD($A1372,100),IFERROR(VALUE(TRIM(MID(MID($A1372,FIND("/",$A1372)+1,20),FIND("/",MID($A1372,FIND("/",$A1372)+1,20))+1,20))),"")))</f>
        <v/>
      </c>
      <c r="E1372">
        <f>IF($A1372="","",IF(OR($B1372="",$C1372="",$D1372="",$B1372&lt;1300,$B1372&gt;1500,$C1372&lt;1,$C1372&gt;12,$D1372&lt;1,$D1372&gt;31),"نامعتبر",RIGHT("0000"&amp;$B1372,4)&amp;"/"&amp;RIGHT("00"&amp;$C1372,2)&amp;"/"&amp;RIGHT("00"&amp;$D1372,2)))</f>
        <v/>
      </c>
      <c r="F1372">
        <f>IF(OR($E1372="",$E1372="نامعتبر"),"",LEFT($E1372,4)&amp;"/"&amp;MID($E1372,6,2))</f>
        <v/>
      </c>
      <c r="G1372">
        <f>IF(OR($E1372="",$E1372="نامعتبر",Sync!$Y1369=""),"",Sync!$Y1369)</f>
        <v/>
      </c>
      <c r="H1372">
        <f>IF($G1372="","",IF(Sync!$X1369="","",Sync!$X1369))</f>
        <v/>
      </c>
      <c r="I1372">
        <f>IF($G1372="","",IFERROR(VLOOKUP(Sync!$X1369,OpTbl,3,0),""))</f>
        <v/>
      </c>
      <c r="J1372">
        <f>IF(OR($G1372="",Sync!$Z1369=""),"",Sync!$Z1369)</f>
        <v/>
      </c>
      <c r="K1372">
        <f>IF(OR($G1372="",Sync!$AA1369=""),"",Sync!$AA1369)</f>
        <v/>
      </c>
      <c r="L1372">
        <f>IF($G1372="",0,IF(Sync!$AB1369="",0,Sync!$AB1369))</f>
        <v/>
      </c>
      <c r="M1372">
        <f>IF($G1372="",0,IF(Sync!$AC1369="",0,Sync!$AC1369))</f>
        <v/>
      </c>
      <c r="N1372">
        <f>IF($G1372="","",IF($H1372="مرجوعی خرید",-1,1)*($L1372-$M1372*IFERROR(VLOOKUP("P01",ParamTbl,3,0),1.5))*(1-IF($I1372="خرید",IFERROR(VLOOKUP("P02",ParamTbl,3,0),1),0)/100))</f>
        <v/>
      </c>
      <c r="O1372">
        <f>IF($G1372="",0,IF($H1372="مرجوعی خرید",-1,1)*IF(Sync!$AD1369="",0,Sync!$AD1369))</f>
        <v/>
      </c>
      <c r="P1372">
        <f>IF(OR($G1372="",Sync!$W1369=""),"",Sync!$W1369)</f>
        <v/>
      </c>
      <c r="Q1372">
        <f>IF(OR($G1372="",Sync!$AE1369=""),"",Sync!$AE1369)</f>
        <v/>
      </c>
      <c r="R1372">
        <f>IF($G1372="","",IF(Sync!$V1369="","0000",IF(AND(ISNUMBER(Sync!$V1369),Sync!$V1369&gt;=0,Sync!$V1369&lt;1),RIGHT("00"&amp;HOUR(Sync!$V1369),2)&amp;RIGHT("00"&amp;MINUTE(Sync!$V1369),2),IFERROR(RIGHT("00"&amp;VALUE(LEFT(Sync!$V1369,FIND(":",Sync!$V1369)-1)),2)&amp;RIGHT("00"&amp;VALUE(MID(Sync!$V1369,FIND(":",Sync!$V1369)+1,2)),2),"0000"))))</f>
        <v/>
      </c>
    </row>
    <row r="1373">
      <c r="A1373">
        <f>IF(Sync!$U1370="","",Sync!$U1370)</f>
        <v/>
      </c>
      <c r="B1373">
        <f>IF($A1373="","",IF(ISNUMBER($A1373),IF(AND($A1373&gt;=10000101,$A1373&lt;=99991231),INT($A1373/10000),""),IFERROR(VALUE(TRIM(LEFT($A1373,FIND("/",$A1373)-1))),"")))</f>
        <v/>
      </c>
      <c r="C1373">
        <f>IF(OR($A1373="",$B1373=""),"",IF(ISNUMBER($A1373),INT(MOD($A1373,10000)/100),IFERROR(VALUE(TRIM(LEFT(MID($A1373,FIND("/",$A1373)+1,20),FIND("/",MID($A1373,FIND("/",$A1373)+1,20))-1))),"")))</f>
        <v/>
      </c>
      <c r="D1373">
        <f>IF(OR($A1373="",$B1373=""),"",IF(ISNUMBER($A1373),MOD($A1373,100),IFERROR(VALUE(TRIM(MID(MID($A1373,FIND("/",$A1373)+1,20),FIND("/",MID($A1373,FIND("/",$A1373)+1,20))+1,20))),"")))</f>
        <v/>
      </c>
      <c r="E1373">
        <f>IF($A1373="","",IF(OR($B1373="",$C1373="",$D1373="",$B1373&lt;1300,$B1373&gt;1500,$C1373&lt;1,$C1373&gt;12,$D1373&lt;1,$D1373&gt;31),"نامعتبر",RIGHT("0000"&amp;$B1373,4)&amp;"/"&amp;RIGHT("00"&amp;$C1373,2)&amp;"/"&amp;RIGHT("00"&amp;$D1373,2)))</f>
        <v/>
      </c>
      <c r="F1373">
        <f>IF(OR($E1373="",$E1373="نامعتبر"),"",LEFT($E1373,4)&amp;"/"&amp;MID($E1373,6,2))</f>
        <v/>
      </c>
      <c r="G1373">
        <f>IF(OR($E1373="",$E1373="نامعتبر",Sync!$Y1370=""),"",Sync!$Y1370)</f>
        <v/>
      </c>
      <c r="H1373">
        <f>IF($G1373="","",IF(Sync!$X1370="","",Sync!$X1370))</f>
        <v/>
      </c>
      <c r="I1373">
        <f>IF($G1373="","",IFERROR(VLOOKUP(Sync!$X1370,OpTbl,3,0),""))</f>
        <v/>
      </c>
      <c r="J1373">
        <f>IF(OR($G1373="",Sync!$Z1370=""),"",Sync!$Z1370)</f>
        <v/>
      </c>
      <c r="K1373">
        <f>IF(OR($G1373="",Sync!$AA1370=""),"",Sync!$AA1370)</f>
        <v/>
      </c>
      <c r="L1373">
        <f>IF($G1373="",0,IF(Sync!$AB1370="",0,Sync!$AB1370))</f>
        <v/>
      </c>
      <c r="M1373">
        <f>IF($G1373="",0,IF(Sync!$AC1370="",0,Sync!$AC1370))</f>
        <v/>
      </c>
      <c r="N1373">
        <f>IF($G1373="","",IF($H1373="مرجوعی خرید",-1,1)*($L1373-$M1373*IFERROR(VLOOKUP("P01",ParamTbl,3,0),1.5))*(1-IF($I1373="خرید",IFERROR(VLOOKUP("P02",ParamTbl,3,0),1),0)/100))</f>
        <v/>
      </c>
      <c r="O1373">
        <f>IF($G1373="",0,IF($H1373="مرجوعی خرید",-1,1)*IF(Sync!$AD1370="",0,Sync!$AD1370))</f>
        <v/>
      </c>
      <c r="P1373">
        <f>IF(OR($G1373="",Sync!$W1370=""),"",Sync!$W1370)</f>
        <v/>
      </c>
      <c r="Q1373">
        <f>IF(OR($G1373="",Sync!$AE1370=""),"",Sync!$AE1370)</f>
        <v/>
      </c>
      <c r="R1373">
        <f>IF($G1373="","",IF(Sync!$V1370="","0000",IF(AND(ISNUMBER(Sync!$V1370),Sync!$V1370&gt;=0,Sync!$V1370&lt;1),RIGHT("00"&amp;HOUR(Sync!$V1370),2)&amp;RIGHT("00"&amp;MINUTE(Sync!$V1370),2),IFERROR(RIGHT("00"&amp;VALUE(LEFT(Sync!$V1370,FIND(":",Sync!$V1370)-1)),2)&amp;RIGHT("00"&amp;VALUE(MID(Sync!$V1370,FIND(":",Sync!$V1370)+1,2)),2),"0000"))))</f>
        <v/>
      </c>
    </row>
    <row r="1374">
      <c r="A1374">
        <f>IF(Sync!$U1371="","",Sync!$U1371)</f>
        <v/>
      </c>
      <c r="B1374">
        <f>IF($A1374="","",IF(ISNUMBER($A1374),IF(AND($A1374&gt;=10000101,$A1374&lt;=99991231),INT($A1374/10000),""),IFERROR(VALUE(TRIM(LEFT($A1374,FIND("/",$A1374)-1))),"")))</f>
        <v/>
      </c>
      <c r="C1374">
        <f>IF(OR($A1374="",$B1374=""),"",IF(ISNUMBER($A1374),INT(MOD($A1374,10000)/100),IFERROR(VALUE(TRIM(LEFT(MID($A1374,FIND("/",$A1374)+1,20),FIND("/",MID($A1374,FIND("/",$A1374)+1,20))-1))),"")))</f>
        <v/>
      </c>
      <c r="D1374">
        <f>IF(OR($A1374="",$B1374=""),"",IF(ISNUMBER($A1374),MOD($A1374,100),IFERROR(VALUE(TRIM(MID(MID($A1374,FIND("/",$A1374)+1,20),FIND("/",MID($A1374,FIND("/",$A1374)+1,20))+1,20))),"")))</f>
        <v/>
      </c>
      <c r="E1374">
        <f>IF($A1374="","",IF(OR($B1374="",$C1374="",$D1374="",$B1374&lt;1300,$B1374&gt;1500,$C1374&lt;1,$C1374&gt;12,$D1374&lt;1,$D1374&gt;31),"نامعتبر",RIGHT("0000"&amp;$B1374,4)&amp;"/"&amp;RIGHT("00"&amp;$C1374,2)&amp;"/"&amp;RIGHT("00"&amp;$D1374,2)))</f>
        <v/>
      </c>
      <c r="F1374">
        <f>IF(OR($E1374="",$E1374="نامعتبر"),"",LEFT($E1374,4)&amp;"/"&amp;MID($E1374,6,2))</f>
        <v/>
      </c>
      <c r="G1374">
        <f>IF(OR($E1374="",$E1374="نامعتبر",Sync!$Y1371=""),"",Sync!$Y1371)</f>
        <v/>
      </c>
      <c r="H1374">
        <f>IF($G1374="","",IF(Sync!$X1371="","",Sync!$X1371))</f>
        <v/>
      </c>
      <c r="I1374">
        <f>IF($G1374="","",IFERROR(VLOOKUP(Sync!$X1371,OpTbl,3,0),""))</f>
        <v/>
      </c>
      <c r="J1374">
        <f>IF(OR($G1374="",Sync!$Z1371=""),"",Sync!$Z1371)</f>
        <v/>
      </c>
      <c r="K1374">
        <f>IF(OR($G1374="",Sync!$AA1371=""),"",Sync!$AA1371)</f>
        <v/>
      </c>
      <c r="L1374">
        <f>IF($G1374="",0,IF(Sync!$AB1371="",0,Sync!$AB1371))</f>
        <v/>
      </c>
      <c r="M1374">
        <f>IF($G1374="",0,IF(Sync!$AC1371="",0,Sync!$AC1371))</f>
        <v/>
      </c>
      <c r="N1374">
        <f>IF($G1374="","",IF($H1374="مرجوعی خرید",-1,1)*($L1374-$M1374*IFERROR(VLOOKUP("P01",ParamTbl,3,0),1.5))*(1-IF($I1374="خرید",IFERROR(VLOOKUP("P02",ParamTbl,3,0),1),0)/100))</f>
        <v/>
      </c>
      <c r="O1374">
        <f>IF($G1374="",0,IF($H1374="مرجوعی خرید",-1,1)*IF(Sync!$AD1371="",0,Sync!$AD1371))</f>
        <v/>
      </c>
      <c r="P1374">
        <f>IF(OR($G1374="",Sync!$W1371=""),"",Sync!$W1371)</f>
        <v/>
      </c>
      <c r="Q1374">
        <f>IF(OR($G1374="",Sync!$AE1371=""),"",Sync!$AE1371)</f>
        <v/>
      </c>
      <c r="R1374">
        <f>IF($G1374="","",IF(Sync!$V1371="","0000",IF(AND(ISNUMBER(Sync!$V1371),Sync!$V1371&gt;=0,Sync!$V1371&lt;1),RIGHT("00"&amp;HOUR(Sync!$V1371),2)&amp;RIGHT("00"&amp;MINUTE(Sync!$V1371),2),IFERROR(RIGHT("00"&amp;VALUE(LEFT(Sync!$V1371,FIND(":",Sync!$V1371)-1)),2)&amp;RIGHT("00"&amp;VALUE(MID(Sync!$V1371,FIND(":",Sync!$V1371)+1,2)),2),"0000"))))</f>
        <v/>
      </c>
    </row>
    <row r="1375">
      <c r="A1375">
        <f>IF(Sync!$U1372="","",Sync!$U1372)</f>
        <v/>
      </c>
      <c r="B1375">
        <f>IF($A1375="","",IF(ISNUMBER($A1375),IF(AND($A1375&gt;=10000101,$A1375&lt;=99991231),INT($A1375/10000),""),IFERROR(VALUE(TRIM(LEFT($A1375,FIND("/",$A1375)-1))),"")))</f>
        <v/>
      </c>
      <c r="C1375">
        <f>IF(OR($A1375="",$B1375=""),"",IF(ISNUMBER($A1375),INT(MOD($A1375,10000)/100),IFERROR(VALUE(TRIM(LEFT(MID($A1375,FIND("/",$A1375)+1,20),FIND("/",MID($A1375,FIND("/",$A1375)+1,20))-1))),"")))</f>
        <v/>
      </c>
      <c r="D1375">
        <f>IF(OR($A1375="",$B1375=""),"",IF(ISNUMBER($A1375),MOD($A1375,100),IFERROR(VALUE(TRIM(MID(MID($A1375,FIND("/",$A1375)+1,20),FIND("/",MID($A1375,FIND("/",$A1375)+1,20))+1,20))),"")))</f>
        <v/>
      </c>
      <c r="E1375">
        <f>IF($A1375="","",IF(OR($B1375="",$C1375="",$D1375="",$B1375&lt;1300,$B1375&gt;1500,$C1375&lt;1,$C1375&gt;12,$D1375&lt;1,$D1375&gt;31),"نامعتبر",RIGHT("0000"&amp;$B1375,4)&amp;"/"&amp;RIGHT("00"&amp;$C1375,2)&amp;"/"&amp;RIGHT("00"&amp;$D1375,2)))</f>
        <v/>
      </c>
      <c r="F1375">
        <f>IF(OR($E1375="",$E1375="نامعتبر"),"",LEFT($E1375,4)&amp;"/"&amp;MID($E1375,6,2))</f>
        <v/>
      </c>
      <c r="G1375">
        <f>IF(OR($E1375="",$E1375="نامعتبر",Sync!$Y1372=""),"",Sync!$Y1372)</f>
        <v/>
      </c>
      <c r="H1375">
        <f>IF($G1375="","",IF(Sync!$X1372="","",Sync!$X1372))</f>
        <v/>
      </c>
      <c r="I1375">
        <f>IF($G1375="","",IFERROR(VLOOKUP(Sync!$X1372,OpTbl,3,0),""))</f>
        <v/>
      </c>
      <c r="J1375">
        <f>IF(OR($G1375="",Sync!$Z1372=""),"",Sync!$Z1372)</f>
        <v/>
      </c>
      <c r="K1375">
        <f>IF(OR($G1375="",Sync!$AA1372=""),"",Sync!$AA1372)</f>
        <v/>
      </c>
      <c r="L1375">
        <f>IF($G1375="",0,IF(Sync!$AB1372="",0,Sync!$AB1372))</f>
        <v/>
      </c>
      <c r="M1375">
        <f>IF($G1375="",0,IF(Sync!$AC1372="",0,Sync!$AC1372))</f>
        <v/>
      </c>
      <c r="N1375">
        <f>IF($G1375="","",IF($H1375="مرجوعی خرید",-1,1)*($L1375-$M1375*IFERROR(VLOOKUP("P01",ParamTbl,3,0),1.5))*(1-IF($I1375="خرید",IFERROR(VLOOKUP("P02",ParamTbl,3,0),1),0)/100))</f>
        <v/>
      </c>
      <c r="O1375">
        <f>IF($G1375="",0,IF($H1375="مرجوعی خرید",-1,1)*IF(Sync!$AD1372="",0,Sync!$AD1372))</f>
        <v/>
      </c>
      <c r="P1375">
        <f>IF(OR($G1375="",Sync!$W1372=""),"",Sync!$W1372)</f>
        <v/>
      </c>
      <c r="Q1375">
        <f>IF(OR($G1375="",Sync!$AE1372=""),"",Sync!$AE1372)</f>
        <v/>
      </c>
      <c r="R1375">
        <f>IF($G1375="","",IF(Sync!$V1372="","0000",IF(AND(ISNUMBER(Sync!$V1372),Sync!$V1372&gt;=0,Sync!$V1372&lt;1),RIGHT("00"&amp;HOUR(Sync!$V1372),2)&amp;RIGHT("00"&amp;MINUTE(Sync!$V1372),2),IFERROR(RIGHT("00"&amp;VALUE(LEFT(Sync!$V1372,FIND(":",Sync!$V1372)-1)),2)&amp;RIGHT("00"&amp;VALUE(MID(Sync!$V1372,FIND(":",Sync!$V1372)+1,2)),2),"0000"))))</f>
        <v/>
      </c>
    </row>
    <row r="1376">
      <c r="A1376">
        <f>IF(Sync!$U1373="","",Sync!$U1373)</f>
        <v/>
      </c>
      <c r="B1376">
        <f>IF($A1376="","",IF(ISNUMBER($A1376),IF(AND($A1376&gt;=10000101,$A1376&lt;=99991231),INT($A1376/10000),""),IFERROR(VALUE(TRIM(LEFT($A1376,FIND("/",$A1376)-1))),"")))</f>
        <v/>
      </c>
      <c r="C1376">
        <f>IF(OR($A1376="",$B1376=""),"",IF(ISNUMBER($A1376),INT(MOD($A1376,10000)/100),IFERROR(VALUE(TRIM(LEFT(MID($A1376,FIND("/",$A1376)+1,20),FIND("/",MID($A1376,FIND("/",$A1376)+1,20))-1))),"")))</f>
        <v/>
      </c>
      <c r="D1376">
        <f>IF(OR($A1376="",$B1376=""),"",IF(ISNUMBER($A1376),MOD($A1376,100),IFERROR(VALUE(TRIM(MID(MID($A1376,FIND("/",$A1376)+1,20),FIND("/",MID($A1376,FIND("/",$A1376)+1,20))+1,20))),"")))</f>
        <v/>
      </c>
      <c r="E1376">
        <f>IF($A1376="","",IF(OR($B1376="",$C1376="",$D1376="",$B1376&lt;1300,$B1376&gt;1500,$C1376&lt;1,$C1376&gt;12,$D1376&lt;1,$D1376&gt;31),"نامعتبر",RIGHT("0000"&amp;$B1376,4)&amp;"/"&amp;RIGHT("00"&amp;$C1376,2)&amp;"/"&amp;RIGHT("00"&amp;$D1376,2)))</f>
        <v/>
      </c>
      <c r="F1376">
        <f>IF(OR($E1376="",$E1376="نامعتبر"),"",LEFT($E1376,4)&amp;"/"&amp;MID($E1376,6,2))</f>
        <v/>
      </c>
      <c r="G1376">
        <f>IF(OR($E1376="",$E1376="نامعتبر",Sync!$Y1373=""),"",Sync!$Y1373)</f>
        <v/>
      </c>
      <c r="H1376">
        <f>IF($G1376="","",IF(Sync!$X1373="","",Sync!$X1373))</f>
        <v/>
      </c>
      <c r="I1376">
        <f>IF($G1376="","",IFERROR(VLOOKUP(Sync!$X1373,OpTbl,3,0),""))</f>
        <v/>
      </c>
      <c r="J1376">
        <f>IF(OR($G1376="",Sync!$Z1373=""),"",Sync!$Z1373)</f>
        <v/>
      </c>
      <c r="K1376">
        <f>IF(OR($G1376="",Sync!$AA1373=""),"",Sync!$AA1373)</f>
        <v/>
      </c>
      <c r="L1376">
        <f>IF($G1376="",0,IF(Sync!$AB1373="",0,Sync!$AB1373))</f>
        <v/>
      </c>
      <c r="M1376">
        <f>IF($G1376="",0,IF(Sync!$AC1373="",0,Sync!$AC1373))</f>
        <v/>
      </c>
      <c r="N1376">
        <f>IF($G1376="","",IF($H1376="مرجوعی خرید",-1,1)*($L1376-$M1376*IFERROR(VLOOKUP("P01",ParamTbl,3,0),1.5))*(1-IF($I1376="خرید",IFERROR(VLOOKUP("P02",ParamTbl,3,0),1),0)/100))</f>
        <v/>
      </c>
      <c r="O1376">
        <f>IF($G1376="",0,IF($H1376="مرجوعی خرید",-1,1)*IF(Sync!$AD1373="",0,Sync!$AD1373))</f>
        <v/>
      </c>
      <c r="P1376">
        <f>IF(OR($G1376="",Sync!$W1373=""),"",Sync!$W1373)</f>
        <v/>
      </c>
      <c r="Q1376">
        <f>IF(OR($G1376="",Sync!$AE1373=""),"",Sync!$AE1373)</f>
        <v/>
      </c>
      <c r="R1376">
        <f>IF($G1376="","",IF(Sync!$V1373="","0000",IF(AND(ISNUMBER(Sync!$V1373),Sync!$V1373&gt;=0,Sync!$V1373&lt;1),RIGHT("00"&amp;HOUR(Sync!$V1373),2)&amp;RIGHT("00"&amp;MINUTE(Sync!$V1373),2),IFERROR(RIGHT("00"&amp;VALUE(LEFT(Sync!$V1373,FIND(":",Sync!$V1373)-1)),2)&amp;RIGHT("00"&amp;VALUE(MID(Sync!$V1373,FIND(":",Sync!$V1373)+1,2)),2),"0000"))))</f>
        <v/>
      </c>
    </row>
    <row r="1377">
      <c r="A1377">
        <f>IF(Sync!$U1374="","",Sync!$U1374)</f>
        <v/>
      </c>
      <c r="B1377">
        <f>IF($A1377="","",IF(ISNUMBER($A1377),IF(AND($A1377&gt;=10000101,$A1377&lt;=99991231),INT($A1377/10000),""),IFERROR(VALUE(TRIM(LEFT($A1377,FIND("/",$A1377)-1))),"")))</f>
        <v/>
      </c>
      <c r="C1377">
        <f>IF(OR($A1377="",$B1377=""),"",IF(ISNUMBER($A1377),INT(MOD($A1377,10000)/100),IFERROR(VALUE(TRIM(LEFT(MID($A1377,FIND("/",$A1377)+1,20),FIND("/",MID($A1377,FIND("/",$A1377)+1,20))-1))),"")))</f>
        <v/>
      </c>
      <c r="D1377">
        <f>IF(OR($A1377="",$B1377=""),"",IF(ISNUMBER($A1377),MOD($A1377,100),IFERROR(VALUE(TRIM(MID(MID($A1377,FIND("/",$A1377)+1,20),FIND("/",MID($A1377,FIND("/",$A1377)+1,20))+1,20))),"")))</f>
        <v/>
      </c>
      <c r="E1377">
        <f>IF($A1377="","",IF(OR($B1377="",$C1377="",$D1377="",$B1377&lt;1300,$B1377&gt;1500,$C1377&lt;1,$C1377&gt;12,$D1377&lt;1,$D1377&gt;31),"نامعتبر",RIGHT("0000"&amp;$B1377,4)&amp;"/"&amp;RIGHT("00"&amp;$C1377,2)&amp;"/"&amp;RIGHT("00"&amp;$D1377,2)))</f>
        <v/>
      </c>
      <c r="F1377">
        <f>IF(OR($E1377="",$E1377="نامعتبر"),"",LEFT($E1377,4)&amp;"/"&amp;MID($E1377,6,2))</f>
        <v/>
      </c>
      <c r="G1377">
        <f>IF(OR($E1377="",$E1377="نامعتبر",Sync!$Y1374=""),"",Sync!$Y1374)</f>
        <v/>
      </c>
      <c r="H1377">
        <f>IF($G1377="","",IF(Sync!$X1374="","",Sync!$X1374))</f>
        <v/>
      </c>
      <c r="I1377">
        <f>IF($G1377="","",IFERROR(VLOOKUP(Sync!$X1374,OpTbl,3,0),""))</f>
        <v/>
      </c>
      <c r="J1377">
        <f>IF(OR($G1377="",Sync!$Z1374=""),"",Sync!$Z1374)</f>
        <v/>
      </c>
      <c r="K1377">
        <f>IF(OR($G1377="",Sync!$AA1374=""),"",Sync!$AA1374)</f>
        <v/>
      </c>
      <c r="L1377">
        <f>IF($G1377="",0,IF(Sync!$AB1374="",0,Sync!$AB1374))</f>
        <v/>
      </c>
      <c r="M1377">
        <f>IF($G1377="",0,IF(Sync!$AC1374="",0,Sync!$AC1374))</f>
        <v/>
      </c>
      <c r="N1377">
        <f>IF($G1377="","",IF($H1377="مرجوعی خرید",-1,1)*($L1377-$M1377*IFERROR(VLOOKUP("P01",ParamTbl,3,0),1.5))*(1-IF($I1377="خرید",IFERROR(VLOOKUP("P02",ParamTbl,3,0),1),0)/100))</f>
        <v/>
      </c>
      <c r="O1377">
        <f>IF($G1377="",0,IF($H1377="مرجوعی خرید",-1,1)*IF(Sync!$AD1374="",0,Sync!$AD1374))</f>
        <v/>
      </c>
      <c r="P1377">
        <f>IF(OR($G1377="",Sync!$W1374=""),"",Sync!$W1374)</f>
        <v/>
      </c>
      <c r="Q1377">
        <f>IF(OR($G1377="",Sync!$AE1374=""),"",Sync!$AE1374)</f>
        <v/>
      </c>
      <c r="R1377">
        <f>IF($G1377="","",IF(Sync!$V1374="","0000",IF(AND(ISNUMBER(Sync!$V1374),Sync!$V1374&gt;=0,Sync!$V1374&lt;1),RIGHT("00"&amp;HOUR(Sync!$V1374),2)&amp;RIGHT("00"&amp;MINUTE(Sync!$V1374),2),IFERROR(RIGHT("00"&amp;VALUE(LEFT(Sync!$V1374,FIND(":",Sync!$V1374)-1)),2)&amp;RIGHT("00"&amp;VALUE(MID(Sync!$V1374,FIND(":",Sync!$V1374)+1,2)),2),"0000"))))</f>
        <v/>
      </c>
    </row>
    <row r="1378">
      <c r="A1378">
        <f>IF(Sync!$U1375="","",Sync!$U1375)</f>
        <v/>
      </c>
      <c r="B1378">
        <f>IF($A1378="","",IF(ISNUMBER($A1378),IF(AND($A1378&gt;=10000101,$A1378&lt;=99991231),INT($A1378/10000),""),IFERROR(VALUE(TRIM(LEFT($A1378,FIND("/",$A1378)-1))),"")))</f>
        <v/>
      </c>
      <c r="C1378">
        <f>IF(OR($A1378="",$B1378=""),"",IF(ISNUMBER($A1378),INT(MOD($A1378,10000)/100),IFERROR(VALUE(TRIM(LEFT(MID($A1378,FIND("/",$A1378)+1,20),FIND("/",MID($A1378,FIND("/",$A1378)+1,20))-1))),"")))</f>
        <v/>
      </c>
      <c r="D1378">
        <f>IF(OR($A1378="",$B1378=""),"",IF(ISNUMBER($A1378),MOD($A1378,100),IFERROR(VALUE(TRIM(MID(MID($A1378,FIND("/",$A1378)+1,20),FIND("/",MID($A1378,FIND("/",$A1378)+1,20))+1,20))),"")))</f>
        <v/>
      </c>
      <c r="E1378">
        <f>IF($A1378="","",IF(OR($B1378="",$C1378="",$D1378="",$B1378&lt;1300,$B1378&gt;1500,$C1378&lt;1,$C1378&gt;12,$D1378&lt;1,$D1378&gt;31),"نامعتبر",RIGHT("0000"&amp;$B1378,4)&amp;"/"&amp;RIGHT("00"&amp;$C1378,2)&amp;"/"&amp;RIGHT("00"&amp;$D1378,2)))</f>
        <v/>
      </c>
      <c r="F1378">
        <f>IF(OR($E1378="",$E1378="نامعتبر"),"",LEFT($E1378,4)&amp;"/"&amp;MID($E1378,6,2))</f>
        <v/>
      </c>
      <c r="G1378">
        <f>IF(OR($E1378="",$E1378="نامعتبر",Sync!$Y1375=""),"",Sync!$Y1375)</f>
        <v/>
      </c>
      <c r="H1378">
        <f>IF($G1378="","",IF(Sync!$X1375="","",Sync!$X1375))</f>
        <v/>
      </c>
      <c r="I1378">
        <f>IF($G1378="","",IFERROR(VLOOKUP(Sync!$X1375,OpTbl,3,0),""))</f>
        <v/>
      </c>
      <c r="J1378">
        <f>IF(OR($G1378="",Sync!$Z1375=""),"",Sync!$Z1375)</f>
        <v/>
      </c>
      <c r="K1378">
        <f>IF(OR($G1378="",Sync!$AA1375=""),"",Sync!$AA1375)</f>
        <v/>
      </c>
      <c r="L1378">
        <f>IF($G1378="",0,IF(Sync!$AB1375="",0,Sync!$AB1375))</f>
        <v/>
      </c>
      <c r="M1378">
        <f>IF($G1378="",0,IF(Sync!$AC1375="",0,Sync!$AC1375))</f>
        <v/>
      </c>
      <c r="N1378">
        <f>IF($G1378="","",IF($H1378="مرجوعی خرید",-1,1)*($L1378-$M1378*IFERROR(VLOOKUP("P01",ParamTbl,3,0),1.5))*(1-IF($I1378="خرید",IFERROR(VLOOKUP("P02",ParamTbl,3,0),1),0)/100))</f>
        <v/>
      </c>
      <c r="O1378">
        <f>IF($G1378="",0,IF($H1378="مرجوعی خرید",-1,1)*IF(Sync!$AD1375="",0,Sync!$AD1375))</f>
        <v/>
      </c>
      <c r="P1378">
        <f>IF(OR($G1378="",Sync!$W1375=""),"",Sync!$W1375)</f>
        <v/>
      </c>
      <c r="Q1378">
        <f>IF(OR($G1378="",Sync!$AE1375=""),"",Sync!$AE1375)</f>
        <v/>
      </c>
      <c r="R1378">
        <f>IF($G1378="","",IF(Sync!$V1375="","0000",IF(AND(ISNUMBER(Sync!$V1375),Sync!$V1375&gt;=0,Sync!$V1375&lt;1),RIGHT("00"&amp;HOUR(Sync!$V1375),2)&amp;RIGHT("00"&amp;MINUTE(Sync!$V1375),2),IFERROR(RIGHT("00"&amp;VALUE(LEFT(Sync!$V1375,FIND(":",Sync!$V1375)-1)),2)&amp;RIGHT("00"&amp;VALUE(MID(Sync!$V1375,FIND(":",Sync!$V1375)+1,2)),2),"0000"))))</f>
        <v/>
      </c>
    </row>
    <row r="1379">
      <c r="A1379">
        <f>IF(Sync!$U1376="","",Sync!$U1376)</f>
        <v/>
      </c>
      <c r="B1379">
        <f>IF($A1379="","",IF(ISNUMBER($A1379),IF(AND($A1379&gt;=10000101,$A1379&lt;=99991231),INT($A1379/10000),""),IFERROR(VALUE(TRIM(LEFT($A1379,FIND("/",$A1379)-1))),"")))</f>
        <v/>
      </c>
      <c r="C1379">
        <f>IF(OR($A1379="",$B1379=""),"",IF(ISNUMBER($A1379),INT(MOD($A1379,10000)/100),IFERROR(VALUE(TRIM(LEFT(MID($A1379,FIND("/",$A1379)+1,20),FIND("/",MID($A1379,FIND("/",$A1379)+1,20))-1))),"")))</f>
        <v/>
      </c>
      <c r="D1379">
        <f>IF(OR($A1379="",$B1379=""),"",IF(ISNUMBER($A1379),MOD($A1379,100),IFERROR(VALUE(TRIM(MID(MID($A1379,FIND("/",$A1379)+1,20),FIND("/",MID($A1379,FIND("/",$A1379)+1,20))+1,20))),"")))</f>
        <v/>
      </c>
      <c r="E1379">
        <f>IF($A1379="","",IF(OR($B1379="",$C1379="",$D1379="",$B1379&lt;1300,$B1379&gt;1500,$C1379&lt;1,$C1379&gt;12,$D1379&lt;1,$D1379&gt;31),"نامعتبر",RIGHT("0000"&amp;$B1379,4)&amp;"/"&amp;RIGHT("00"&amp;$C1379,2)&amp;"/"&amp;RIGHT("00"&amp;$D1379,2)))</f>
        <v/>
      </c>
      <c r="F1379">
        <f>IF(OR($E1379="",$E1379="نامعتبر"),"",LEFT($E1379,4)&amp;"/"&amp;MID($E1379,6,2))</f>
        <v/>
      </c>
      <c r="G1379">
        <f>IF(OR($E1379="",$E1379="نامعتبر",Sync!$Y1376=""),"",Sync!$Y1376)</f>
        <v/>
      </c>
      <c r="H1379">
        <f>IF($G1379="","",IF(Sync!$X1376="","",Sync!$X1376))</f>
        <v/>
      </c>
      <c r="I1379">
        <f>IF($G1379="","",IFERROR(VLOOKUP(Sync!$X1376,OpTbl,3,0),""))</f>
        <v/>
      </c>
      <c r="J1379">
        <f>IF(OR($G1379="",Sync!$Z1376=""),"",Sync!$Z1376)</f>
        <v/>
      </c>
      <c r="K1379">
        <f>IF(OR($G1379="",Sync!$AA1376=""),"",Sync!$AA1376)</f>
        <v/>
      </c>
      <c r="L1379">
        <f>IF($G1379="",0,IF(Sync!$AB1376="",0,Sync!$AB1376))</f>
        <v/>
      </c>
      <c r="M1379">
        <f>IF($G1379="",0,IF(Sync!$AC1376="",0,Sync!$AC1376))</f>
        <v/>
      </c>
      <c r="N1379">
        <f>IF($G1379="","",IF($H1379="مرجوعی خرید",-1,1)*($L1379-$M1379*IFERROR(VLOOKUP("P01",ParamTbl,3,0),1.5))*(1-IF($I1379="خرید",IFERROR(VLOOKUP("P02",ParamTbl,3,0),1),0)/100))</f>
        <v/>
      </c>
      <c r="O1379">
        <f>IF($G1379="",0,IF($H1379="مرجوعی خرید",-1,1)*IF(Sync!$AD1376="",0,Sync!$AD1376))</f>
        <v/>
      </c>
      <c r="P1379">
        <f>IF(OR($G1379="",Sync!$W1376=""),"",Sync!$W1376)</f>
        <v/>
      </c>
      <c r="Q1379">
        <f>IF(OR($G1379="",Sync!$AE1376=""),"",Sync!$AE1376)</f>
        <v/>
      </c>
      <c r="R1379">
        <f>IF($G1379="","",IF(Sync!$V1376="","0000",IF(AND(ISNUMBER(Sync!$V1376),Sync!$V1376&gt;=0,Sync!$V1376&lt;1),RIGHT("00"&amp;HOUR(Sync!$V1376),2)&amp;RIGHT("00"&amp;MINUTE(Sync!$V1376),2),IFERROR(RIGHT("00"&amp;VALUE(LEFT(Sync!$V1376,FIND(":",Sync!$V1376)-1)),2)&amp;RIGHT("00"&amp;VALUE(MID(Sync!$V1376,FIND(":",Sync!$V1376)+1,2)),2),"0000"))))</f>
        <v/>
      </c>
    </row>
    <row r="1380">
      <c r="A1380">
        <f>IF(Sync!$U1377="","",Sync!$U1377)</f>
        <v/>
      </c>
      <c r="B1380">
        <f>IF($A1380="","",IF(ISNUMBER($A1380),IF(AND($A1380&gt;=10000101,$A1380&lt;=99991231),INT($A1380/10000),""),IFERROR(VALUE(TRIM(LEFT($A1380,FIND("/",$A1380)-1))),"")))</f>
        <v/>
      </c>
      <c r="C1380">
        <f>IF(OR($A1380="",$B1380=""),"",IF(ISNUMBER($A1380),INT(MOD($A1380,10000)/100),IFERROR(VALUE(TRIM(LEFT(MID($A1380,FIND("/",$A1380)+1,20),FIND("/",MID($A1380,FIND("/",$A1380)+1,20))-1))),"")))</f>
        <v/>
      </c>
      <c r="D1380">
        <f>IF(OR($A1380="",$B1380=""),"",IF(ISNUMBER($A1380),MOD($A1380,100),IFERROR(VALUE(TRIM(MID(MID($A1380,FIND("/",$A1380)+1,20),FIND("/",MID($A1380,FIND("/",$A1380)+1,20))+1,20))),"")))</f>
        <v/>
      </c>
      <c r="E1380">
        <f>IF($A1380="","",IF(OR($B1380="",$C1380="",$D1380="",$B1380&lt;1300,$B1380&gt;1500,$C1380&lt;1,$C1380&gt;12,$D1380&lt;1,$D1380&gt;31),"نامعتبر",RIGHT("0000"&amp;$B1380,4)&amp;"/"&amp;RIGHT("00"&amp;$C1380,2)&amp;"/"&amp;RIGHT("00"&amp;$D1380,2)))</f>
        <v/>
      </c>
      <c r="F1380">
        <f>IF(OR($E1380="",$E1380="نامعتبر"),"",LEFT($E1380,4)&amp;"/"&amp;MID($E1380,6,2))</f>
        <v/>
      </c>
      <c r="G1380">
        <f>IF(OR($E1380="",$E1380="نامعتبر",Sync!$Y1377=""),"",Sync!$Y1377)</f>
        <v/>
      </c>
      <c r="H1380">
        <f>IF($G1380="","",IF(Sync!$X1377="","",Sync!$X1377))</f>
        <v/>
      </c>
      <c r="I1380">
        <f>IF($G1380="","",IFERROR(VLOOKUP(Sync!$X1377,OpTbl,3,0),""))</f>
        <v/>
      </c>
      <c r="J1380">
        <f>IF(OR($G1380="",Sync!$Z1377=""),"",Sync!$Z1377)</f>
        <v/>
      </c>
      <c r="K1380">
        <f>IF(OR($G1380="",Sync!$AA1377=""),"",Sync!$AA1377)</f>
        <v/>
      </c>
      <c r="L1380">
        <f>IF($G1380="",0,IF(Sync!$AB1377="",0,Sync!$AB1377))</f>
        <v/>
      </c>
      <c r="M1380">
        <f>IF($G1380="",0,IF(Sync!$AC1377="",0,Sync!$AC1377))</f>
        <v/>
      </c>
      <c r="N1380">
        <f>IF($G1380="","",IF($H1380="مرجوعی خرید",-1,1)*($L1380-$M1380*IFERROR(VLOOKUP("P01",ParamTbl,3,0),1.5))*(1-IF($I1380="خرید",IFERROR(VLOOKUP("P02",ParamTbl,3,0),1),0)/100))</f>
        <v/>
      </c>
      <c r="O1380">
        <f>IF($G1380="",0,IF($H1380="مرجوعی خرید",-1,1)*IF(Sync!$AD1377="",0,Sync!$AD1377))</f>
        <v/>
      </c>
      <c r="P1380">
        <f>IF(OR($G1380="",Sync!$W1377=""),"",Sync!$W1377)</f>
        <v/>
      </c>
      <c r="Q1380">
        <f>IF(OR($G1380="",Sync!$AE1377=""),"",Sync!$AE1377)</f>
        <v/>
      </c>
      <c r="R1380">
        <f>IF($G1380="","",IF(Sync!$V1377="","0000",IF(AND(ISNUMBER(Sync!$V1377),Sync!$V1377&gt;=0,Sync!$V1377&lt;1),RIGHT("00"&amp;HOUR(Sync!$V1377),2)&amp;RIGHT("00"&amp;MINUTE(Sync!$V1377),2),IFERROR(RIGHT("00"&amp;VALUE(LEFT(Sync!$V1377,FIND(":",Sync!$V1377)-1)),2)&amp;RIGHT("00"&amp;VALUE(MID(Sync!$V1377,FIND(":",Sync!$V1377)+1,2)),2),"0000"))))</f>
        <v/>
      </c>
    </row>
    <row r="1381">
      <c r="A1381">
        <f>IF(Sync!$U1378="","",Sync!$U1378)</f>
        <v/>
      </c>
      <c r="B1381">
        <f>IF($A1381="","",IF(ISNUMBER($A1381),IF(AND($A1381&gt;=10000101,$A1381&lt;=99991231),INT($A1381/10000),""),IFERROR(VALUE(TRIM(LEFT($A1381,FIND("/",$A1381)-1))),"")))</f>
        <v/>
      </c>
      <c r="C1381">
        <f>IF(OR($A1381="",$B1381=""),"",IF(ISNUMBER($A1381),INT(MOD($A1381,10000)/100),IFERROR(VALUE(TRIM(LEFT(MID($A1381,FIND("/",$A1381)+1,20),FIND("/",MID($A1381,FIND("/",$A1381)+1,20))-1))),"")))</f>
        <v/>
      </c>
      <c r="D1381">
        <f>IF(OR($A1381="",$B1381=""),"",IF(ISNUMBER($A1381),MOD($A1381,100),IFERROR(VALUE(TRIM(MID(MID($A1381,FIND("/",$A1381)+1,20),FIND("/",MID($A1381,FIND("/",$A1381)+1,20))+1,20))),"")))</f>
        <v/>
      </c>
      <c r="E1381">
        <f>IF($A1381="","",IF(OR($B1381="",$C1381="",$D1381="",$B1381&lt;1300,$B1381&gt;1500,$C1381&lt;1,$C1381&gt;12,$D1381&lt;1,$D1381&gt;31),"نامعتبر",RIGHT("0000"&amp;$B1381,4)&amp;"/"&amp;RIGHT("00"&amp;$C1381,2)&amp;"/"&amp;RIGHT("00"&amp;$D1381,2)))</f>
        <v/>
      </c>
      <c r="F1381">
        <f>IF(OR($E1381="",$E1381="نامعتبر"),"",LEFT($E1381,4)&amp;"/"&amp;MID($E1381,6,2))</f>
        <v/>
      </c>
      <c r="G1381">
        <f>IF(OR($E1381="",$E1381="نامعتبر",Sync!$Y1378=""),"",Sync!$Y1378)</f>
        <v/>
      </c>
      <c r="H1381">
        <f>IF($G1381="","",IF(Sync!$X1378="","",Sync!$X1378))</f>
        <v/>
      </c>
      <c r="I1381">
        <f>IF($G1381="","",IFERROR(VLOOKUP(Sync!$X1378,OpTbl,3,0),""))</f>
        <v/>
      </c>
      <c r="J1381">
        <f>IF(OR($G1381="",Sync!$Z1378=""),"",Sync!$Z1378)</f>
        <v/>
      </c>
      <c r="K1381">
        <f>IF(OR($G1381="",Sync!$AA1378=""),"",Sync!$AA1378)</f>
        <v/>
      </c>
      <c r="L1381">
        <f>IF($G1381="",0,IF(Sync!$AB1378="",0,Sync!$AB1378))</f>
        <v/>
      </c>
      <c r="M1381">
        <f>IF($G1381="",0,IF(Sync!$AC1378="",0,Sync!$AC1378))</f>
        <v/>
      </c>
      <c r="N1381">
        <f>IF($G1381="","",IF($H1381="مرجوعی خرید",-1,1)*($L1381-$M1381*IFERROR(VLOOKUP("P01",ParamTbl,3,0),1.5))*(1-IF($I1381="خرید",IFERROR(VLOOKUP("P02",ParamTbl,3,0),1),0)/100))</f>
        <v/>
      </c>
      <c r="O1381">
        <f>IF($G1381="",0,IF($H1381="مرجوعی خرید",-1,1)*IF(Sync!$AD1378="",0,Sync!$AD1378))</f>
        <v/>
      </c>
      <c r="P1381">
        <f>IF(OR($G1381="",Sync!$W1378=""),"",Sync!$W1378)</f>
        <v/>
      </c>
      <c r="Q1381">
        <f>IF(OR($G1381="",Sync!$AE1378=""),"",Sync!$AE1378)</f>
        <v/>
      </c>
      <c r="R1381">
        <f>IF($G1381="","",IF(Sync!$V1378="","0000",IF(AND(ISNUMBER(Sync!$V1378),Sync!$V1378&gt;=0,Sync!$V1378&lt;1),RIGHT("00"&amp;HOUR(Sync!$V1378),2)&amp;RIGHT("00"&amp;MINUTE(Sync!$V1378),2),IFERROR(RIGHT("00"&amp;VALUE(LEFT(Sync!$V1378,FIND(":",Sync!$V1378)-1)),2)&amp;RIGHT("00"&amp;VALUE(MID(Sync!$V1378,FIND(":",Sync!$V1378)+1,2)),2),"0000"))))</f>
        <v/>
      </c>
    </row>
    <row r="1382">
      <c r="A1382">
        <f>IF(Sync!$U1379="","",Sync!$U1379)</f>
        <v/>
      </c>
      <c r="B1382">
        <f>IF($A1382="","",IF(ISNUMBER($A1382),IF(AND($A1382&gt;=10000101,$A1382&lt;=99991231),INT($A1382/10000),""),IFERROR(VALUE(TRIM(LEFT($A1382,FIND("/",$A1382)-1))),"")))</f>
        <v/>
      </c>
      <c r="C1382">
        <f>IF(OR($A1382="",$B1382=""),"",IF(ISNUMBER($A1382),INT(MOD($A1382,10000)/100),IFERROR(VALUE(TRIM(LEFT(MID($A1382,FIND("/",$A1382)+1,20),FIND("/",MID($A1382,FIND("/",$A1382)+1,20))-1))),"")))</f>
        <v/>
      </c>
      <c r="D1382">
        <f>IF(OR($A1382="",$B1382=""),"",IF(ISNUMBER($A1382),MOD($A1382,100),IFERROR(VALUE(TRIM(MID(MID($A1382,FIND("/",$A1382)+1,20),FIND("/",MID($A1382,FIND("/",$A1382)+1,20))+1,20))),"")))</f>
        <v/>
      </c>
      <c r="E1382">
        <f>IF($A1382="","",IF(OR($B1382="",$C1382="",$D1382="",$B1382&lt;1300,$B1382&gt;1500,$C1382&lt;1,$C1382&gt;12,$D1382&lt;1,$D1382&gt;31),"نامعتبر",RIGHT("0000"&amp;$B1382,4)&amp;"/"&amp;RIGHT("00"&amp;$C1382,2)&amp;"/"&amp;RIGHT("00"&amp;$D1382,2)))</f>
        <v/>
      </c>
      <c r="F1382">
        <f>IF(OR($E1382="",$E1382="نامعتبر"),"",LEFT($E1382,4)&amp;"/"&amp;MID($E1382,6,2))</f>
        <v/>
      </c>
      <c r="G1382">
        <f>IF(OR($E1382="",$E1382="نامعتبر",Sync!$Y1379=""),"",Sync!$Y1379)</f>
        <v/>
      </c>
      <c r="H1382">
        <f>IF($G1382="","",IF(Sync!$X1379="","",Sync!$X1379))</f>
        <v/>
      </c>
      <c r="I1382">
        <f>IF($G1382="","",IFERROR(VLOOKUP(Sync!$X1379,OpTbl,3,0),""))</f>
        <v/>
      </c>
      <c r="J1382">
        <f>IF(OR($G1382="",Sync!$Z1379=""),"",Sync!$Z1379)</f>
        <v/>
      </c>
      <c r="K1382">
        <f>IF(OR($G1382="",Sync!$AA1379=""),"",Sync!$AA1379)</f>
        <v/>
      </c>
      <c r="L1382">
        <f>IF($G1382="",0,IF(Sync!$AB1379="",0,Sync!$AB1379))</f>
        <v/>
      </c>
      <c r="M1382">
        <f>IF($G1382="",0,IF(Sync!$AC1379="",0,Sync!$AC1379))</f>
        <v/>
      </c>
      <c r="N1382">
        <f>IF($G1382="","",IF($H1382="مرجوعی خرید",-1,1)*($L1382-$M1382*IFERROR(VLOOKUP("P01",ParamTbl,3,0),1.5))*(1-IF($I1382="خرید",IFERROR(VLOOKUP("P02",ParamTbl,3,0),1),0)/100))</f>
        <v/>
      </c>
      <c r="O1382">
        <f>IF($G1382="",0,IF($H1382="مرجوعی خرید",-1,1)*IF(Sync!$AD1379="",0,Sync!$AD1379))</f>
        <v/>
      </c>
      <c r="P1382">
        <f>IF(OR($G1382="",Sync!$W1379=""),"",Sync!$W1379)</f>
        <v/>
      </c>
      <c r="Q1382">
        <f>IF(OR($G1382="",Sync!$AE1379=""),"",Sync!$AE1379)</f>
        <v/>
      </c>
      <c r="R1382">
        <f>IF($G1382="","",IF(Sync!$V1379="","0000",IF(AND(ISNUMBER(Sync!$V1379),Sync!$V1379&gt;=0,Sync!$V1379&lt;1),RIGHT("00"&amp;HOUR(Sync!$V1379),2)&amp;RIGHT("00"&amp;MINUTE(Sync!$V1379),2),IFERROR(RIGHT("00"&amp;VALUE(LEFT(Sync!$V1379,FIND(":",Sync!$V1379)-1)),2)&amp;RIGHT("00"&amp;VALUE(MID(Sync!$V1379,FIND(":",Sync!$V1379)+1,2)),2),"0000"))))</f>
        <v/>
      </c>
    </row>
    <row r="1383">
      <c r="A1383">
        <f>IF(Sync!$U1380="","",Sync!$U1380)</f>
        <v/>
      </c>
      <c r="B1383">
        <f>IF($A1383="","",IF(ISNUMBER($A1383),IF(AND($A1383&gt;=10000101,$A1383&lt;=99991231),INT($A1383/10000),""),IFERROR(VALUE(TRIM(LEFT($A1383,FIND("/",$A1383)-1))),"")))</f>
        <v/>
      </c>
      <c r="C1383">
        <f>IF(OR($A1383="",$B1383=""),"",IF(ISNUMBER($A1383),INT(MOD($A1383,10000)/100),IFERROR(VALUE(TRIM(LEFT(MID($A1383,FIND("/",$A1383)+1,20),FIND("/",MID($A1383,FIND("/",$A1383)+1,20))-1))),"")))</f>
        <v/>
      </c>
      <c r="D1383">
        <f>IF(OR($A1383="",$B1383=""),"",IF(ISNUMBER($A1383),MOD($A1383,100),IFERROR(VALUE(TRIM(MID(MID($A1383,FIND("/",$A1383)+1,20),FIND("/",MID($A1383,FIND("/",$A1383)+1,20))+1,20))),"")))</f>
        <v/>
      </c>
      <c r="E1383">
        <f>IF($A1383="","",IF(OR($B1383="",$C1383="",$D1383="",$B1383&lt;1300,$B1383&gt;1500,$C1383&lt;1,$C1383&gt;12,$D1383&lt;1,$D1383&gt;31),"نامعتبر",RIGHT("0000"&amp;$B1383,4)&amp;"/"&amp;RIGHT("00"&amp;$C1383,2)&amp;"/"&amp;RIGHT("00"&amp;$D1383,2)))</f>
        <v/>
      </c>
      <c r="F1383">
        <f>IF(OR($E1383="",$E1383="نامعتبر"),"",LEFT($E1383,4)&amp;"/"&amp;MID($E1383,6,2))</f>
        <v/>
      </c>
      <c r="G1383">
        <f>IF(OR($E1383="",$E1383="نامعتبر",Sync!$Y1380=""),"",Sync!$Y1380)</f>
        <v/>
      </c>
      <c r="H1383">
        <f>IF($G1383="","",IF(Sync!$X1380="","",Sync!$X1380))</f>
        <v/>
      </c>
      <c r="I1383">
        <f>IF($G1383="","",IFERROR(VLOOKUP(Sync!$X1380,OpTbl,3,0),""))</f>
        <v/>
      </c>
      <c r="J1383">
        <f>IF(OR($G1383="",Sync!$Z1380=""),"",Sync!$Z1380)</f>
        <v/>
      </c>
      <c r="K1383">
        <f>IF(OR($G1383="",Sync!$AA1380=""),"",Sync!$AA1380)</f>
        <v/>
      </c>
      <c r="L1383">
        <f>IF($G1383="",0,IF(Sync!$AB1380="",0,Sync!$AB1380))</f>
        <v/>
      </c>
      <c r="M1383">
        <f>IF($G1383="",0,IF(Sync!$AC1380="",0,Sync!$AC1380))</f>
        <v/>
      </c>
      <c r="N1383">
        <f>IF($G1383="","",IF($H1383="مرجوعی خرید",-1,1)*($L1383-$M1383*IFERROR(VLOOKUP("P01",ParamTbl,3,0),1.5))*(1-IF($I1383="خرید",IFERROR(VLOOKUP("P02",ParamTbl,3,0),1),0)/100))</f>
        <v/>
      </c>
      <c r="O1383">
        <f>IF($G1383="",0,IF($H1383="مرجوعی خرید",-1,1)*IF(Sync!$AD1380="",0,Sync!$AD1380))</f>
        <v/>
      </c>
      <c r="P1383">
        <f>IF(OR($G1383="",Sync!$W1380=""),"",Sync!$W1380)</f>
        <v/>
      </c>
      <c r="Q1383">
        <f>IF(OR($G1383="",Sync!$AE1380=""),"",Sync!$AE1380)</f>
        <v/>
      </c>
      <c r="R1383">
        <f>IF($G1383="","",IF(Sync!$V1380="","0000",IF(AND(ISNUMBER(Sync!$V1380),Sync!$V1380&gt;=0,Sync!$V1380&lt;1),RIGHT("00"&amp;HOUR(Sync!$V1380),2)&amp;RIGHT("00"&amp;MINUTE(Sync!$V1380),2),IFERROR(RIGHT("00"&amp;VALUE(LEFT(Sync!$V1380,FIND(":",Sync!$V1380)-1)),2)&amp;RIGHT("00"&amp;VALUE(MID(Sync!$V1380,FIND(":",Sync!$V1380)+1,2)),2),"0000"))))</f>
        <v/>
      </c>
    </row>
    <row r="1384">
      <c r="A1384">
        <f>IF(Sync!$U1381="","",Sync!$U1381)</f>
        <v/>
      </c>
      <c r="B1384">
        <f>IF($A1384="","",IF(ISNUMBER($A1384),IF(AND($A1384&gt;=10000101,$A1384&lt;=99991231),INT($A1384/10000),""),IFERROR(VALUE(TRIM(LEFT($A1384,FIND("/",$A1384)-1))),"")))</f>
        <v/>
      </c>
      <c r="C1384">
        <f>IF(OR($A1384="",$B1384=""),"",IF(ISNUMBER($A1384),INT(MOD($A1384,10000)/100),IFERROR(VALUE(TRIM(LEFT(MID($A1384,FIND("/",$A1384)+1,20),FIND("/",MID($A1384,FIND("/",$A1384)+1,20))-1))),"")))</f>
        <v/>
      </c>
      <c r="D1384">
        <f>IF(OR($A1384="",$B1384=""),"",IF(ISNUMBER($A1384),MOD($A1384,100),IFERROR(VALUE(TRIM(MID(MID($A1384,FIND("/",$A1384)+1,20),FIND("/",MID($A1384,FIND("/",$A1384)+1,20))+1,20))),"")))</f>
        <v/>
      </c>
      <c r="E1384">
        <f>IF($A1384="","",IF(OR($B1384="",$C1384="",$D1384="",$B1384&lt;1300,$B1384&gt;1500,$C1384&lt;1,$C1384&gt;12,$D1384&lt;1,$D1384&gt;31),"نامعتبر",RIGHT("0000"&amp;$B1384,4)&amp;"/"&amp;RIGHT("00"&amp;$C1384,2)&amp;"/"&amp;RIGHT("00"&amp;$D1384,2)))</f>
        <v/>
      </c>
      <c r="F1384">
        <f>IF(OR($E1384="",$E1384="نامعتبر"),"",LEFT($E1384,4)&amp;"/"&amp;MID($E1384,6,2))</f>
        <v/>
      </c>
      <c r="G1384">
        <f>IF(OR($E1384="",$E1384="نامعتبر",Sync!$Y1381=""),"",Sync!$Y1381)</f>
        <v/>
      </c>
      <c r="H1384">
        <f>IF($G1384="","",IF(Sync!$X1381="","",Sync!$X1381))</f>
        <v/>
      </c>
      <c r="I1384">
        <f>IF($G1384="","",IFERROR(VLOOKUP(Sync!$X1381,OpTbl,3,0),""))</f>
        <v/>
      </c>
      <c r="J1384">
        <f>IF(OR($G1384="",Sync!$Z1381=""),"",Sync!$Z1381)</f>
        <v/>
      </c>
      <c r="K1384">
        <f>IF(OR($G1384="",Sync!$AA1381=""),"",Sync!$AA1381)</f>
        <v/>
      </c>
      <c r="L1384">
        <f>IF($G1384="",0,IF(Sync!$AB1381="",0,Sync!$AB1381))</f>
        <v/>
      </c>
      <c r="M1384">
        <f>IF($G1384="",0,IF(Sync!$AC1381="",0,Sync!$AC1381))</f>
        <v/>
      </c>
      <c r="N1384">
        <f>IF($G1384="","",IF($H1384="مرجوعی خرید",-1,1)*($L1384-$M1384*IFERROR(VLOOKUP("P01",ParamTbl,3,0),1.5))*(1-IF($I1384="خرید",IFERROR(VLOOKUP("P02",ParamTbl,3,0),1),0)/100))</f>
        <v/>
      </c>
      <c r="O1384">
        <f>IF($G1384="",0,IF($H1384="مرجوعی خرید",-1,1)*IF(Sync!$AD1381="",0,Sync!$AD1381))</f>
        <v/>
      </c>
      <c r="P1384">
        <f>IF(OR($G1384="",Sync!$W1381=""),"",Sync!$W1381)</f>
        <v/>
      </c>
      <c r="Q1384">
        <f>IF(OR($G1384="",Sync!$AE1381=""),"",Sync!$AE1381)</f>
        <v/>
      </c>
      <c r="R1384">
        <f>IF($G1384="","",IF(Sync!$V1381="","0000",IF(AND(ISNUMBER(Sync!$V1381),Sync!$V1381&gt;=0,Sync!$V1381&lt;1),RIGHT("00"&amp;HOUR(Sync!$V1381),2)&amp;RIGHT("00"&amp;MINUTE(Sync!$V1381),2),IFERROR(RIGHT("00"&amp;VALUE(LEFT(Sync!$V1381,FIND(":",Sync!$V1381)-1)),2)&amp;RIGHT("00"&amp;VALUE(MID(Sync!$V1381,FIND(":",Sync!$V1381)+1,2)),2),"0000"))))</f>
        <v/>
      </c>
    </row>
    <row r="1385">
      <c r="A1385">
        <f>IF(Sync!$U1382="","",Sync!$U1382)</f>
        <v/>
      </c>
      <c r="B1385">
        <f>IF($A1385="","",IF(ISNUMBER($A1385),IF(AND($A1385&gt;=10000101,$A1385&lt;=99991231),INT($A1385/10000),""),IFERROR(VALUE(TRIM(LEFT($A1385,FIND("/",$A1385)-1))),"")))</f>
        <v/>
      </c>
      <c r="C1385">
        <f>IF(OR($A1385="",$B1385=""),"",IF(ISNUMBER($A1385),INT(MOD($A1385,10000)/100),IFERROR(VALUE(TRIM(LEFT(MID($A1385,FIND("/",$A1385)+1,20),FIND("/",MID($A1385,FIND("/",$A1385)+1,20))-1))),"")))</f>
        <v/>
      </c>
      <c r="D1385">
        <f>IF(OR($A1385="",$B1385=""),"",IF(ISNUMBER($A1385),MOD($A1385,100),IFERROR(VALUE(TRIM(MID(MID($A1385,FIND("/",$A1385)+1,20),FIND("/",MID($A1385,FIND("/",$A1385)+1,20))+1,20))),"")))</f>
        <v/>
      </c>
      <c r="E1385">
        <f>IF($A1385="","",IF(OR($B1385="",$C1385="",$D1385="",$B1385&lt;1300,$B1385&gt;1500,$C1385&lt;1,$C1385&gt;12,$D1385&lt;1,$D1385&gt;31),"نامعتبر",RIGHT("0000"&amp;$B1385,4)&amp;"/"&amp;RIGHT("00"&amp;$C1385,2)&amp;"/"&amp;RIGHT("00"&amp;$D1385,2)))</f>
        <v/>
      </c>
      <c r="F1385">
        <f>IF(OR($E1385="",$E1385="نامعتبر"),"",LEFT($E1385,4)&amp;"/"&amp;MID($E1385,6,2))</f>
        <v/>
      </c>
      <c r="G1385">
        <f>IF(OR($E1385="",$E1385="نامعتبر",Sync!$Y1382=""),"",Sync!$Y1382)</f>
        <v/>
      </c>
      <c r="H1385">
        <f>IF($G1385="","",IF(Sync!$X1382="","",Sync!$X1382))</f>
        <v/>
      </c>
      <c r="I1385">
        <f>IF($G1385="","",IFERROR(VLOOKUP(Sync!$X1382,OpTbl,3,0),""))</f>
        <v/>
      </c>
      <c r="J1385">
        <f>IF(OR($G1385="",Sync!$Z1382=""),"",Sync!$Z1382)</f>
        <v/>
      </c>
      <c r="K1385">
        <f>IF(OR($G1385="",Sync!$AA1382=""),"",Sync!$AA1382)</f>
        <v/>
      </c>
      <c r="L1385">
        <f>IF($G1385="",0,IF(Sync!$AB1382="",0,Sync!$AB1382))</f>
        <v/>
      </c>
      <c r="M1385">
        <f>IF($G1385="",0,IF(Sync!$AC1382="",0,Sync!$AC1382))</f>
        <v/>
      </c>
      <c r="N1385">
        <f>IF($G1385="","",IF($H1385="مرجوعی خرید",-1,1)*($L1385-$M1385*IFERROR(VLOOKUP("P01",ParamTbl,3,0),1.5))*(1-IF($I1385="خرید",IFERROR(VLOOKUP("P02",ParamTbl,3,0),1),0)/100))</f>
        <v/>
      </c>
      <c r="O1385">
        <f>IF($G1385="",0,IF($H1385="مرجوعی خرید",-1,1)*IF(Sync!$AD1382="",0,Sync!$AD1382))</f>
        <v/>
      </c>
      <c r="P1385">
        <f>IF(OR($G1385="",Sync!$W1382=""),"",Sync!$W1382)</f>
        <v/>
      </c>
      <c r="Q1385">
        <f>IF(OR($G1385="",Sync!$AE1382=""),"",Sync!$AE1382)</f>
        <v/>
      </c>
      <c r="R1385">
        <f>IF($G1385="","",IF(Sync!$V1382="","0000",IF(AND(ISNUMBER(Sync!$V1382),Sync!$V1382&gt;=0,Sync!$V1382&lt;1),RIGHT("00"&amp;HOUR(Sync!$V1382),2)&amp;RIGHT("00"&amp;MINUTE(Sync!$V1382),2),IFERROR(RIGHT("00"&amp;VALUE(LEFT(Sync!$V1382,FIND(":",Sync!$V1382)-1)),2)&amp;RIGHT("00"&amp;VALUE(MID(Sync!$V1382,FIND(":",Sync!$V1382)+1,2)),2),"0000"))))</f>
        <v/>
      </c>
    </row>
    <row r="1386">
      <c r="A1386">
        <f>IF(Sync!$U1383="","",Sync!$U1383)</f>
        <v/>
      </c>
      <c r="B1386">
        <f>IF($A1386="","",IF(ISNUMBER($A1386),IF(AND($A1386&gt;=10000101,$A1386&lt;=99991231),INT($A1386/10000),""),IFERROR(VALUE(TRIM(LEFT($A1386,FIND("/",$A1386)-1))),"")))</f>
        <v/>
      </c>
      <c r="C1386">
        <f>IF(OR($A1386="",$B1386=""),"",IF(ISNUMBER($A1386),INT(MOD($A1386,10000)/100),IFERROR(VALUE(TRIM(LEFT(MID($A1386,FIND("/",$A1386)+1,20),FIND("/",MID($A1386,FIND("/",$A1386)+1,20))-1))),"")))</f>
        <v/>
      </c>
      <c r="D1386">
        <f>IF(OR($A1386="",$B1386=""),"",IF(ISNUMBER($A1386),MOD($A1386,100),IFERROR(VALUE(TRIM(MID(MID($A1386,FIND("/",$A1386)+1,20),FIND("/",MID($A1386,FIND("/",$A1386)+1,20))+1,20))),"")))</f>
        <v/>
      </c>
      <c r="E1386">
        <f>IF($A1386="","",IF(OR($B1386="",$C1386="",$D1386="",$B1386&lt;1300,$B1386&gt;1500,$C1386&lt;1,$C1386&gt;12,$D1386&lt;1,$D1386&gt;31),"نامعتبر",RIGHT("0000"&amp;$B1386,4)&amp;"/"&amp;RIGHT("00"&amp;$C1386,2)&amp;"/"&amp;RIGHT("00"&amp;$D1386,2)))</f>
        <v/>
      </c>
      <c r="F1386">
        <f>IF(OR($E1386="",$E1386="نامعتبر"),"",LEFT($E1386,4)&amp;"/"&amp;MID($E1386,6,2))</f>
        <v/>
      </c>
      <c r="G1386">
        <f>IF(OR($E1386="",$E1386="نامعتبر",Sync!$Y1383=""),"",Sync!$Y1383)</f>
        <v/>
      </c>
      <c r="H1386">
        <f>IF($G1386="","",IF(Sync!$X1383="","",Sync!$X1383))</f>
        <v/>
      </c>
      <c r="I1386">
        <f>IF($G1386="","",IFERROR(VLOOKUP(Sync!$X1383,OpTbl,3,0),""))</f>
        <v/>
      </c>
      <c r="J1386">
        <f>IF(OR($G1386="",Sync!$Z1383=""),"",Sync!$Z1383)</f>
        <v/>
      </c>
      <c r="K1386">
        <f>IF(OR($G1386="",Sync!$AA1383=""),"",Sync!$AA1383)</f>
        <v/>
      </c>
      <c r="L1386">
        <f>IF($G1386="",0,IF(Sync!$AB1383="",0,Sync!$AB1383))</f>
        <v/>
      </c>
      <c r="M1386">
        <f>IF($G1386="",0,IF(Sync!$AC1383="",0,Sync!$AC1383))</f>
        <v/>
      </c>
      <c r="N1386">
        <f>IF($G1386="","",IF($H1386="مرجوعی خرید",-1,1)*($L1386-$M1386*IFERROR(VLOOKUP("P01",ParamTbl,3,0),1.5))*(1-IF($I1386="خرید",IFERROR(VLOOKUP("P02",ParamTbl,3,0),1),0)/100))</f>
        <v/>
      </c>
      <c r="O1386">
        <f>IF($G1386="",0,IF($H1386="مرجوعی خرید",-1,1)*IF(Sync!$AD1383="",0,Sync!$AD1383))</f>
        <v/>
      </c>
      <c r="P1386">
        <f>IF(OR($G1386="",Sync!$W1383=""),"",Sync!$W1383)</f>
        <v/>
      </c>
      <c r="Q1386">
        <f>IF(OR($G1386="",Sync!$AE1383=""),"",Sync!$AE1383)</f>
        <v/>
      </c>
      <c r="R1386">
        <f>IF($G1386="","",IF(Sync!$V1383="","0000",IF(AND(ISNUMBER(Sync!$V1383),Sync!$V1383&gt;=0,Sync!$V1383&lt;1),RIGHT("00"&amp;HOUR(Sync!$V1383),2)&amp;RIGHT("00"&amp;MINUTE(Sync!$V1383),2),IFERROR(RIGHT("00"&amp;VALUE(LEFT(Sync!$V1383,FIND(":",Sync!$V1383)-1)),2)&amp;RIGHT("00"&amp;VALUE(MID(Sync!$V1383,FIND(":",Sync!$V1383)+1,2)),2),"0000"))))</f>
        <v/>
      </c>
    </row>
    <row r="1387">
      <c r="A1387">
        <f>IF(Sync!$U1384="","",Sync!$U1384)</f>
        <v/>
      </c>
      <c r="B1387">
        <f>IF($A1387="","",IF(ISNUMBER($A1387),IF(AND($A1387&gt;=10000101,$A1387&lt;=99991231),INT($A1387/10000),""),IFERROR(VALUE(TRIM(LEFT($A1387,FIND("/",$A1387)-1))),"")))</f>
        <v/>
      </c>
      <c r="C1387">
        <f>IF(OR($A1387="",$B1387=""),"",IF(ISNUMBER($A1387),INT(MOD($A1387,10000)/100),IFERROR(VALUE(TRIM(LEFT(MID($A1387,FIND("/",$A1387)+1,20),FIND("/",MID($A1387,FIND("/",$A1387)+1,20))-1))),"")))</f>
        <v/>
      </c>
      <c r="D1387">
        <f>IF(OR($A1387="",$B1387=""),"",IF(ISNUMBER($A1387),MOD($A1387,100),IFERROR(VALUE(TRIM(MID(MID($A1387,FIND("/",$A1387)+1,20),FIND("/",MID($A1387,FIND("/",$A1387)+1,20))+1,20))),"")))</f>
        <v/>
      </c>
      <c r="E1387">
        <f>IF($A1387="","",IF(OR($B1387="",$C1387="",$D1387="",$B1387&lt;1300,$B1387&gt;1500,$C1387&lt;1,$C1387&gt;12,$D1387&lt;1,$D1387&gt;31),"نامعتبر",RIGHT("0000"&amp;$B1387,4)&amp;"/"&amp;RIGHT("00"&amp;$C1387,2)&amp;"/"&amp;RIGHT("00"&amp;$D1387,2)))</f>
        <v/>
      </c>
      <c r="F1387">
        <f>IF(OR($E1387="",$E1387="نامعتبر"),"",LEFT($E1387,4)&amp;"/"&amp;MID($E1387,6,2))</f>
        <v/>
      </c>
      <c r="G1387">
        <f>IF(OR($E1387="",$E1387="نامعتبر",Sync!$Y1384=""),"",Sync!$Y1384)</f>
        <v/>
      </c>
      <c r="H1387">
        <f>IF($G1387="","",IF(Sync!$X1384="","",Sync!$X1384))</f>
        <v/>
      </c>
      <c r="I1387">
        <f>IF($G1387="","",IFERROR(VLOOKUP(Sync!$X1384,OpTbl,3,0),""))</f>
        <v/>
      </c>
      <c r="J1387">
        <f>IF(OR($G1387="",Sync!$Z1384=""),"",Sync!$Z1384)</f>
        <v/>
      </c>
      <c r="K1387">
        <f>IF(OR($G1387="",Sync!$AA1384=""),"",Sync!$AA1384)</f>
        <v/>
      </c>
      <c r="L1387">
        <f>IF($G1387="",0,IF(Sync!$AB1384="",0,Sync!$AB1384))</f>
        <v/>
      </c>
      <c r="M1387">
        <f>IF($G1387="",0,IF(Sync!$AC1384="",0,Sync!$AC1384))</f>
        <v/>
      </c>
      <c r="N1387">
        <f>IF($G1387="","",IF($H1387="مرجوعی خرید",-1,1)*($L1387-$M1387*IFERROR(VLOOKUP("P01",ParamTbl,3,0),1.5))*(1-IF($I1387="خرید",IFERROR(VLOOKUP("P02",ParamTbl,3,0),1),0)/100))</f>
        <v/>
      </c>
      <c r="O1387">
        <f>IF($G1387="",0,IF($H1387="مرجوعی خرید",-1,1)*IF(Sync!$AD1384="",0,Sync!$AD1384))</f>
        <v/>
      </c>
      <c r="P1387">
        <f>IF(OR($G1387="",Sync!$W1384=""),"",Sync!$W1384)</f>
        <v/>
      </c>
      <c r="Q1387">
        <f>IF(OR($G1387="",Sync!$AE1384=""),"",Sync!$AE1384)</f>
        <v/>
      </c>
      <c r="R1387">
        <f>IF($G1387="","",IF(Sync!$V1384="","0000",IF(AND(ISNUMBER(Sync!$V1384),Sync!$V1384&gt;=0,Sync!$V1384&lt;1),RIGHT("00"&amp;HOUR(Sync!$V1384),2)&amp;RIGHT("00"&amp;MINUTE(Sync!$V1384),2),IFERROR(RIGHT("00"&amp;VALUE(LEFT(Sync!$V1384,FIND(":",Sync!$V1384)-1)),2)&amp;RIGHT("00"&amp;VALUE(MID(Sync!$V1384,FIND(":",Sync!$V1384)+1,2)),2),"0000"))))</f>
        <v/>
      </c>
    </row>
    <row r="1388">
      <c r="A1388">
        <f>IF(Sync!$U1385="","",Sync!$U1385)</f>
        <v/>
      </c>
      <c r="B1388">
        <f>IF($A1388="","",IF(ISNUMBER($A1388),IF(AND($A1388&gt;=10000101,$A1388&lt;=99991231),INT($A1388/10000),""),IFERROR(VALUE(TRIM(LEFT($A1388,FIND("/",$A1388)-1))),"")))</f>
        <v/>
      </c>
      <c r="C1388">
        <f>IF(OR($A1388="",$B1388=""),"",IF(ISNUMBER($A1388),INT(MOD($A1388,10000)/100),IFERROR(VALUE(TRIM(LEFT(MID($A1388,FIND("/",$A1388)+1,20),FIND("/",MID($A1388,FIND("/",$A1388)+1,20))-1))),"")))</f>
        <v/>
      </c>
      <c r="D1388">
        <f>IF(OR($A1388="",$B1388=""),"",IF(ISNUMBER($A1388),MOD($A1388,100),IFERROR(VALUE(TRIM(MID(MID($A1388,FIND("/",$A1388)+1,20),FIND("/",MID($A1388,FIND("/",$A1388)+1,20))+1,20))),"")))</f>
        <v/>
      </c>
      <c r="E1388">
        <f>IF($A1388="","",IF(OR($B1388="",$C1388="",$D1388="",$B1388&lt;1300,$B1388&gt;1500,$C1388&lt;1,$C1388&gt;12,$D1388&lt;1,$D1388&gt;31),"نامعتبر",RIGHT("0000"&amp;$B1388,4)&amp;"/"&amp;RIGHT("00"&amp;$C1388,2)&amp;"/"&amp;RIGHT("00"&amp;$D1388,2)))</f>
        <v/>
      </c>
      <c r="F1388">
        <f>IF(OR($E1388="",$E1388="نامعتبر"),"",LEFT($E1388,4)&amp;"/"&amp;MID($E1388,6,2))</f>
        <v/>
      </c>
      <c r="G1388">
        <f>IF(OR($E1388="",$E1388="نامعتبر",Sync!$Y1385=""),"",Sync!$Y1385)</f>
        <v/>
      </c>
      <c r="H1388">
        <f>IF($G1388="","",IF(Sync!$X1385="","",Sync!$X1385))</f>
        <v/>
      </c>
      <c r="I1388">
        <f>IF($G1388="","",IFERROR(VLOOKUP(Sync!$X1385,OpTbl,3,0),""))</f>
        <v/>
      </c>
      <c r="J1388">
        <f>IF(OR($G1388="",Sync!$Z1385=""),"",Sync!$Z1385)</f>
        <v/>
      </c>
      <c r="K1388">
        <f>IF(OR($G1388="",Sync!$AA1385=""),"",Sync!$AA1385)</f>
        <v/>
      </c>
      <c r="L1388">
        <f>IF($G1388="",0,IF(Sync!$AB1385="",0,Sync!$AB1385))</f>
        <v/>
      </c>
      <c r="M1388">
        <f>IF($G1388="",0,IF(Sync!$AC1385="",0,Sync!$AC1385))</f>
        <v/>
      </c>
      <c r="N1388">
        <f>IF($G1388="","",IF($H1388="مرجوعی خرید",-1,1)*($L1388-$M1388*IFERROR(VLOOKUP("P01",ParamTbl,3,0),1.5))*(1-IF($I1388="خرید",IFERROR(VLOOKUP("P02",ParamTbl,3,0),1),0)/100))</f>
        <v/>
      </c>
      <c r="O1388">
        <f>IF($G1388="",0,IF($H1388="مرجوعی خرید",-1,1)*IF(Sync!$AD1385="",0,Sync!$AD1385))</f>
        <v/>
      </c>
      <c r="P1388">
        <f>IF(OR($G1388="",Sync!$W1385=""),"",Sync!$W1385)</f>
        <v/>
      </c>
      <c r="Q1388">
        <f>IF(OR($G1388="",Sync!$AE1385=""),"",Sync!$AE1385)</f>
        <v/>
      </c>
      <c r="R1388">
        <f>IF($G1388="","",IF(Sync!$V1385="","0000",IF(AND(ISNUMBER(Sync!$V1385),Sync!$V1385&gt;=0,Sync!$V1385&lt;1),RIGHT("00"&amp;HOUR(Sync!$V1385),2)&amp;RIGHT("00"&amp;MINUTE(Sync!$V1385),2),IFERROR(RIGHT("00"&amp;VALUE(LEFT(Sync!$V1385,FIND(":",Sync!$V1385)-1)),2)&amp;RIGHT("00"&amp;VALUE(MID(Sync!$V1385,FIND(":",Sync!$V1385)+1,2)),2),"0000"))))</f>
        <v/>
      </c>
    </row>
    <row r="1389">
      <c r="A1389">
        <f>IF(Sync!$U1386="","",Sync!$U1386)</f>
        <v/>
      </c>
      <c r="B1389">
        <f>IF($A1389="","",IF(ISNUMBER($A1389),IF(AND($A1389&gt;=10000101,$A1389&lt;=99991231),INT($A1389/10000),""),IFERROR(VALUE(TRIM(LEFT($A1389,FIND("/",$A1389)-1))),"")))</f>
        <v/>
      </c>
      <c r="C1389">
        <f>IF(OR($A1389="",$B1389=""),"",IF(ISNUMBER($A1389),INT(MOD($A1389,10000)/100),IFERROR(VALUE(TRIM(LEFT(MID($A1389,FIND("/",$A1389)+1,20),FIND("/",MID($A1389,FIND("/",$A1389)+1,20))-1))),"")))</f>
        <v/>
      </c>
      <c r="D1389">
        <f>IF(OR($A1389="",$B1389=""),"",IF(ISNUMBER($A1389),MOD($A1389,100),IFERROR(VALUE(TRIM(MID(MID($A1389,FIND("/",$A1389)+1,20),FIND("/",MID($A1389,FIND("/",$A1389)+1,20))+1,20))),"")))</f>
        <v/>
      </c>
      <c r="E1389">
        <f>IF($A1389="","",IF(OR($B1389="",$C1389="",$D1389="",$B1389&lt;1300,$B1389&gt;1500,$C1389&lt;1,$C1389&gt;12,$D1389&lt;1,$D1389&gt;31),"نامعتبر",RIGHT("0000"&amp;$B1389,4)&amp;"/"&amp;RIGHT("00"&amp;$C1389,2)&amp;"/"&amp;RIGHT("00"&amp;$D1389,2)))</f>
        <v/>
      </c>
      <c r="F1389">
        <f>IF(OR($E1389="",$E1389="نامعتبر"),"",LEFT($E1389,4)&amp;"/"&amp;MID($E1389,6,2))</f>
        <v/>
      </c>
      <c r="G1389">
        <f>IF(OR($E1389="",$E1389="نامعتبر",Sync!$Y1386=""),"",Sync!$Y1386)</f>
        <v/>
      </c>
      <c r="H1389">
        <f>IF($G1389="","",IF(Sync!$X1386="","",Sync!$X1386))</f>
        <v/>
      </c>
      <c r="I1389">
        <f>IF($G1389="","",IFERROR(VLOOKUP(Sync!$X1386,OpTbl,3,0),""))</f>
        <v/>
      </c>
      <c r="J1389">
        <f>IF(OR($G1389="",Sync!$Z1386=""),"",Sync!$Z1386)</f>
        <v/>
      </c>
      <c r="K1389">
        <f>IF(OR($G1389="",Sync!$AA1386=""),"",Sync!$AA1386)</f>
        <v/>
      </c>
      <c r="L1389">
        <f>IF($G1389="",0,IF(Sync!$AB1386="",0,Sync!$AB1386))</f>
        <v/>
      </c>
      <c r="M1389">
        <f>IF($G1389="",0,IF(Sync!$AC1386="",0,Sync!$AC1386))</f>
        <v/>
      </c>
      <c r="N1389">
        <f>IF($G1389="","",IF($H1389="مرجوعی خرید",-1,1)*($L1389-$M1389*IFERROR(VLOOKUP("P01",ParamTbl,3,0),1.5))*(1-IF($I1389="خرید",IFERROR(VLOOKUP("P02",ParamTbl,3,0),1),0)/100))</f>
        <v/>
      </c>
      <c r="O1389">
        <f>IF($G1389="",0,IF($H1389="مرجوعی خرید",-1,1)*IF(Sync!$AD1386="",0,Sync!$AD1386))</f>
        <v/>
      </c>
      <c r="P1389">
        <f>IF(OR($G1389="",Sync!$W1386=""),"",Sync!$W1386)</f>
        <v/>
      </c>
      <c r="Q1389">
        <f>IF(OR($G1389="",Sync!$AE1386=""),"",Sync!$AE1386)</f>
        <v/>
      </c>
      <c r="R1389">
        <f>IF($G1389="","",IF(Sync!$V1386="","0000",IF(AND(ISNUMBER(Sync!$V1386),Sync!$V1386&gt;=0,Sync!$V1386&lt;1),RIGHT("00"&amp;HOUR(Sync!$V1386),2)&amp;RIGHT("00"&amp;MINUTE(Sync!$V1386),2),IFERROR(RIGHT("00"&amp;VALUE(LEFT(Sync!$V1386,FIND(":",Sync!$V1386)-1)),2)&amp;RIGHT("00"&amp;VALUE(MID(Sync!$V1386,FIND(":",Sync!$V1386)+1,2)),2),"0000"))))</f>
        <v/>
      </c>
    </row>
    <row r="1390">
      <c r="A1390">
        <f>IF(Sync!$U1387="","",Sync!$U1387)</f>
        <v/>
      </c>
      <c r="B1390">
        <f>IF($A1390="","",IF(ISNUMBER($A1390),IF(AND($A1390&gt;=10000101,$A1390&lt;=99991231),INT($A1390/10000),""),IFERROR(VALUE(TRIM(LEFT($A1390,FIND("/",$A1390)-1))),"")))</f>
        <v/>
      </c>
      <c r="C1390">
        <f>IF(OR($A1390="",$B1390=""),"",IF(ISNUMBER($A1390),INT(MOD($A1390,10000)/100),IFERROR(VALUE(TRIM(LEFT(MID($A1390,FIND("/",$A1390)+1,20),FIND("/",MID($A1390,FIND("/",$A1390)+1,20))-1))),"")))</f>
        <v/>
      </c>
      <c r="D1390">
        <f>IF(OR($A1390="",$B1390=""),"",IF(ISNUMBER($A1390),MOD($A1390,100),IFERROR(VALUE(TRIM(MID(MID($A1390,FIND("/",$A1390)+1,20),FIND("/",MID($A1390,FIND("/",$A1390)+1,20))+1,20))),"")))</f>
        <v/>
      </c>
      <c r="E1390">
        <f>IF($A1390="","",IF(OR($B1390="",$C1390="",$D1390="",$B1390&lt;1300,$B1390&gt;1500,$C1390&lt;1,$C1390&gt;12,$D1390&lt;1,$D1390&gt;31),"نامعتبر",RIGHT("0000"&amp;$B1390,4)&amp;"/"&amp;RIGHT("00"&amp;$C1390,2)&amp;"/"&amp;RIGHT("00"&amp;$D1390,2)))</f>
        <v/>
      </c>
      <c r="F1390">
        <f>IF(OR($E1390="",$E1390="نامعتبر"),"",LEFT($E1390,4)&amp;"/"&amp;MID($E1390,6,2))</f>
        <v/>
      </c>
      <c r="G1390">
        <f>IF(OR($E1390="",$E1390="نامعتبر",Sync!$Y1387=""),"",Sync!$Y1387)</f>
        <v/>
      </c>
      <c r="H1390">
        <f>IF($G1390="","",IF(Sync!$X1387="","",Sync!$X1387))</f>
        <v/>
      </c>
      <c r="I1390">
        <f>IF($G1390="","",IFERROR(VLOOKUP(Sync!$X1387,OpTbl,3,0),""))</f>
        <v/>
      </c>
      <c r="J1390">
        <f>IF(OR($G1390="",Sync!$Z1387=""),"",Sync!$Z1387)</f>
        <v/>
      </c>
      <c r="K1390">
        <f>IF(OR($G1390="",Sync!$AA1387=""),"",Sync!$AA1387)</f>
        <v/>
      </c>
      <c r="L1390">
        <f>IF($G1390="",0,IF(Sync!$AB1387="",0,Sync!$AB1387))</f>
        <v/>
      </c>
      <c r="M1390">
        <f>IF($G1390="",0,IF(Sync!$AC1387="",0,Sync!$AC1387))</f>
        <v/>
      </c>
      <c r="N1390">
        <f>IF($G1390="","",IF($H1390="مرجوعی خرید",-1,1)*($L1390-$M1390*IFERROR(VLOOKUP("P01",ParamTbl,3,0),1.5))*(1-IF($I1390="خرید",IFERROR(VLOOKUP("P02",ParamTbl,3,0),1),0)/100))</f>
        <v/>
      </c>
      <c r="O1390">
        <f>IF($G1390="",0,IF($H1390="مرجوعی خرید",-1,1)*IF(Sync!$AD1387="",0,Sync!$AD1387))</f>
        <v/>
      </c>
      <c r="P1390">
        <f>IF(OR($G1390="",Sync!$W1387=""),"",Sync!$W1387)</f>
        <v/>
      </c>
      <c r="Q1390">
        <f>IF(OR($G1390="",Sync!$AE1387=""),"",Sync!$AE1387)</f>
        <v/>
      </c>
      <c r="R1390">
        <f>IF($G1390="","",IF(Sync!$V1387="","0000",IF(AND(ISNUMBER(Sync!$V1387),Sync!$V1387&gt;=0,Sync!$V1387&lt;1),RIGHT("00"&amp;HOUR(Sync!$V1387),2)&amp;RIGHT("00"&amp;MINUTE(Sync!$V1387),2),IFERROR(RIGHT("00"&amp;VALUE(LEFT(Sync!$V1387,FIND(":",Sync!$V1387)-1)),2)&amp;RIGHT("00"&amp;VALUE(MID(Sync!$V1387,FIND(":",Sync!$V1387)+1,2)),2),"0000"))))</f>
        <v/>
      </c>
    </row>
    <row r="1391">
      <c r="A1391">
        <f>IF(Sync!$U1388="","",Sync!$U1388)</f>
        <v/>
      </c>
      <c r="B1391">
        <f>IF($A1391="","",IF(ISNUMBER($A1391),IF(AND($A1391&gt;=10000101,$A1391&lt;=99991231),INT($A1391/10000),""),IFERROR(VALUE(TRIM(LEFT($A1391,FIND("/",$A1391)-1))),"")))</f>
        <v/>
      </c>
      <c r="C1391">
        <f>IF(OR($A1391="",$B1391=""),"",IF(ISNUMBER($A1391),INT(MOD($A1391,10000)/100),IFERROR(VALUE(TRIM(LEFT(MID($A1391,FIND("/",$A1391)+1,20),FIND("/",MID($A1391,FIND("/",$A1391)+1,20))-1))),"")))</f>
        <v/>
      </c>
      <c r="D1391">
        <f>IF(OR($A1391="",$B1391=""),"",IF(ISNUMBER($A1391),MOD($A1391,100),IFERROR(VALUE(TRIM(MID(MID($A1391,FIND("/",$A1391)+1,20),FIND("/",MID($A1391,FIND("/",$A1391)+1,20))+1,20))),"")))</f>
        <v/>
      </c>
      <c r="E1391">
        <f>IF($A1391="","",IF(OR($B1391="",$C1391="",$D1391="",$B1391&lt;1300,$B1391&gt;1500,$C1391&lt;1,$C1391&gt;12,$D1391&lt;1,$D1391&gt;31),"نامعتبر",RIGHT("0000"&amp;$B1391,4)&amp;"/"&amp;RIGHT("00"&amp;$C1391,2)&amp;"/"&amp;RIGHT("00"&amp;$D1391,2)))</f>
        <v/>
      </c>
      <c r="F1391">
        <f>IF(OR($E1391="",$E1391="نامعتبر"),"",LEFT($E1391,4)&amp;"/"&amp;MID($E1391,6,2))</f>
        <v/>
      </c>
      <c r="G1391">
        <f>IF(OR($E1391="",$E1391="نامعتبر",Sync!$Y1388=""),"",Sync!$Y1388)</f>
        <v/>
      </c>
      <c r="H1391">
        <f>IF($G1391="","",IF(Sync!$X1388="","",Sync!$X1388))</f>
        <v/>
      </c>
      <c r="I1391">
        <f>IF($G1391="","",IFERROR(VLOOKUP(Sync!$X1388,OpTbl,3,0),""))</f>
        <v/>
      </c>
      <c r="J1391">
        <f>IF(OR($G1391="",Sync!$Z1388=""),"",Sync!$Z1388)</f>
        <v/>
      </c>
      <c r="K1391">
        <f>IF(OR($G1391="",Sync!$AA1388=""),"",Sync!$AA1388)</f>
        <v/>
      </c>
      <c r="L1391">
        <f>IF($G1391="",0,IF(Sync!$AB1388="",0,Sync!$AB1388))</f>
        <v/>
      </c>
      <c r="M1391">
        <f>IF($G1391="",0,IF(Sync!$AC1388="",0,Sync!$AC1388))</f>
        <v/>
      </c>
      <c r="N1391">
        <f>IF($G1391="","",IF($H1391="مرجوعی خرید",-1,1)*($L1391-$M1391*IFERROR(VLOOKUP("P01",ParamTbl,3,0),1.5))*(1-IF($I1391="خرید",IFERROR(VLOOKUP("P02",ParamTbl,3,0),1),0)/100))</f>
        <v/>
      </c>
      <c r="O1391">
        <f>IF($G1391="",0,IF($H1391="مرجوعی خرید",-1,1)*IF(Sync!$AD1388="",0,Sync!$AD1388))</f>
        <v/>
      </c>
      <c r="P1391">
        <f>IF(OR($G1391="",Sync!$W1388=""),"",Sync!$W1388)</f>
        <v/>
      </c>
      <c r="Q1391">
        <f>IF(OR($G1391="",Sync!$AE1388=""),"",Sync!$AE1388)</f>
        <v/>
      </c>
      <c r="R1391">
        <f>IF($G1391="","",IF(Sync!$V1388="","0000",IF(AND(ISNUMBER(Sync!$V1388),Sync!$V1388&gt;=0,Sync!$V1388&lt;1),RIGHT("00"&amp;HOUR(Sync!$V1388),2)&amp;RIGHT("00"&amp;MINUTE(Sync!$V1388),2),IFERROR(RIGHT("00"&amp;VALUE(LEFT(Sync!$V1388,FIND(":",Sync!$V1388)-1)),2)&amp;RIGHT("00"&amp;VALUE(MID(Sync!$V1388,FIND(":",Sync!$V1388)+1,2)),2),"0000"))))</f>
        <v/>
      </c>
    </row>
    <row r="1392">
      <c r="A1392">
        <f>IF(Sync!$U1389="","",Sync!$U1389)</f>
        <v/>
      </c>
      <c r="B1392">
        <f>IF($A1392="","",IF(ISNUMBER($A1392),IF(AND($A1392&gt;=10000101,$A1392&lt;=99991231),INT($A1392/10000),""),IFERROR(VALUE(TRIM(LEFT($A1392,FIND("/",$A1392)-1))),"")))</f>
        <v/>
      </c>
      <c r="C1392">
        <f>IF(OR($A1392="",$B1392=""),"",IF(ISNUMBER($A1392),INT(MOD($A1392,10000)/100),IFERROR(VALUE(TRIM(LEFT(MID($A1392,FIND("/",$A1392)+1,20),FIND("/",MID($A1392,FIND("/",$A1392)+1,20))-1))),"")))</f>
        <v/>
      </c>
      <c r="D1392">
        <f>IF(OR($A1392="",$B1392=""),"",IF(ISNUMBER($A1392),MOD($A1392,100),IFERROR(VALUE(TRIM(MID(MID($A1392,FIND("/",$A1392)+1,20),FIND("/",MID($A1392,FIND("/",$A1392)+1,20))+1,20))),"")))</f>
        <v/>
      </c>
      <c r="E1392">
        <f>IF($A1392="","",IF(OR($B1392="",$C1392="",$D1392="",$B1392&lt;1300,$B1392&gt;1500,$C1392&lt;1,$C1392&gt;12,$D1392&lt;1,$D1392&gt;31),"نامعتبر",RIGHT("0000"&amp;$B1392,4)&amp;"/"&amp;RIGHT("00"&amp;$C1392,2)&amp;"/"&amp;RIGHT("00"&amp;$D1392,2)))</f>
        <v/>
      </c>
      <c r="F1392">
        <f>IF(OR($E1392="",$E1392="نامعتبر"),"",LEFT($E1392,4)&amp;"/"&amp;MID($E1392,6,2))</f>
        <v/>
      </c>
      <c r="G1392">
        <f>IF(OR($E1392="",$E1392="نامعتبر",Sync!$Y1389=""),"",Sync!$Y1389)</f>
        <v/>
      </c>
      <c r="H1392">
        <f>IF($G1392="","",IF(Sync!$X1389="","",Sync!$X1389))</f>
        <v/>
      </c>
      <c r="I1392">
        <f>IF($G1392="","",IFERROR(VLOOKUP(Sync!$X1389,OpTbl,3,0),""))</f>
        <v/>
      </c>
      <c r="J1392">
        <f>IF(OR($G1392="",Sync!$Z1389=""),"",Sync!$Z1389)</f>
        <v/>
      </c>
      <c r="K1392">
        <f>IF(OR($G1392="",Sync!$AA1389=""),"",Sync!$AA1389)</f>
        <v/>
      </c>
      <c r="L1392">
        <f>IF($G1392="",0,IF(Sync!$AB1389="",0,Sync!$AB1389))</f>
        <v/>
      </c>
      <c r="M1392">
        <f>IF($G1392="",0,IF(Sync!$AC1389="",0,Sync!$AC1389))</f>
        <v/>
      </c>
      <c r="N1392">
        <f>IF($G1392="","",IF($H1392="مرجوعی خرید",-1,1)*($L1392-$M1392*IFERROR(VLOOKUP("P01",ParamTbl,3,0),1.5))*(1-IF($I1392="خرید",IFERROR(VLOOKUP("P02",ParamTbl,3,0),1),0)/100))</f>
        <v/>
      </c>
      <c r="O1392">
        <f>IF($G1392="",0,IF($H1392="مرجوعی خرید",-1,1)*IF(Sync!$AD1389="",0,Sync!$AD1389))</f>
        <v/>
      </c>
      <c r="P1392">
        <f>IF(OR($G1392="",Sync!$W1389=""),"",Sync!$W1389)</f>
        <v/>
      </c>
      <c r="Q1392">
        <f>IF(OR($G1392="",Sync!$AE1389=""),"",Sync!$AE1389)</f>
        <v/>
      </c>
      <c r="R1392">
        <f>IF($G1392="","",IF(Sync!$V1389="","0000",IF(AND(ISNUMBER(Sync!$V1389),Sync!$V1389&gt;=0,Sync!$V1389&lt;1),RIGHT("00"&amp;HOUR(Sync!$V1389),2)&amp;RIGHT("00"&amp;MINUTE(Sync!$V1389),2),IFERROR(RIGHT("00"&amp;VALUE(LEFT(Sync!$V1389,FIND(":",Sync!$V1389)-1)),2)&amp;RIGHT("00"&amp;VALUE(MID(Sync!$V1389,FIND(":",Sync!$V1389)+1,2)),2),"0000"))))</f>
        <v/>
      </c>
    </row>
    <row r="1393">
      <c r="A1393">
        <f>IF(Sync!$U1390="","",Sync!$U1390)</f>
        <v/>
      </c>
      <c r="B1393">
        <f>IF($A1393="","",IF(ISNUMBER($A1393),IF(AND($A1393&gt;=10000101,$A1393&lt;=99991231),INT($A1393/10000),""),IFERROR(VALUE(TRIM(LEFT($A1393,FIND("/",$A1393)-1))),"")))</f>
        <v/>
      </c>
      <c r="C1393">
        <f>IF(OR($A1393="",$B1393=""),"",IF(ISNUMBER($A1393),INT(MOD($A1393,10000)/100),IFERROR(VALUE(TRIM(LEFT(MID($A1393,FIND("/",$A1393)+1,20),FIND("/",MID($A1393,FIND("/",$A1393)+1,20))-1))),"")))</f>
        <v/>
      </c>
      <c r="D1393">
        <f>IF(OR($A1393="",$B1393=""),"",IF(ISNUMBER($A1393),MOD($A1393,100),IFERROR(VALUE(TRIM(MID(MID($A1393,FIND("/",$A1393)+1,20),FIND("/",MID($A1393,FIND("/",$A1393)+1,20))+1,20))),"")))</f>
        <v/>
      </c>
      <c r="E1393">
        <f>IF($A1393="","",IF(OR($B1393="",$C1393="",$D1393="",$B1393&lt;1300,$B1393&gt;1500,$C1393&lt;1,$C1393&gt;12,$D1393&lt;1,$D1393&gt;31),"نامعتبر",RIGHT("0000"&amp;$B1393,4)&amp;"/"&amp;RIGHT("00"&amp;$C1393,2)&amp;"/"&amp;RIGHT("00"&amp;$D1393,2)))</f>
        <v/>
      </c>
      <c r="F1393">
        <f>IF(OR($E1393="",$E1393="نامعتبر"),"",LEFT($E1393,4)&amp;"/"&amp;MID($E1393,6,2))</f>
        <v/>
      </c>
      <c r="G1393">
        <f>IF(OR($E1393="",$E1393="نامعتبر",Sync!$Y1390=""),"",Sync!$Y1390)</f>
        <v/>
      </c>
      <c r="H1393">
        <f>IF($G1393="","",IF(Sync!$X1390="","",Sync!$X1390))</f>
        <v/>
      </c>
      <c r="I1393">
        <f>IF($G1393="","",IFERROR(VLOOKUP(Sync!$X1390,OpTbl,3,0),""))</f>
        <v/>
      </c>
      <c r="J1393">
        <f>IF(OR($G1393="",Sync!$Z1390=""),"",Sync!$Z1390)</f>
        <v/>
      </c>
      <c r="K1393">
        <f>IF(OR($G1393="",Sync!$AA1390=""),"",Sync!$AA1390)</f>
        <v/>
      </c>
      <c r="L1393">
        <f>IF($G1393="",0,IF(Sync!$AB1390="",0,Sync!$AB1390))</f>
        <v/>
      </c>
      <c r="M1393">
        <f>IF($G1393="",0,IF(Sync!$AC1390="",0,Sync!$AC1390))</f>
        <v/>
      </c>
      <c r="N1393">
        <f>IF($G1393="","",IF($H1393="مرجوعی خرید",-1,1)*($L1393-$M1393*IFERROR(VLOOKUP("P01",ParamTbl,3,0),1.5))*(1-IF($I1393="خرید",IFERROR(VLOOKUP("P02",ParamTbl,3,0),1),0)/100))</f>
        <v/>
      </c>
      <c r="O1393">
        <f>IF($G1393="",0,IF($H1393="مرجوعی خرید",-1,1)*IF(Sync!$AD1390="",0,Sync!$AD1390))</f>
        <v/>
      </c>
      <c r="P1393">
        <f>IF(OR($G1393="",Sync!$W1390=""),"",Sync!$W1390)</f>
        <v/>
      </c>
      <c r="Q1393">
        <f>IF(OR($G1393="",Sync!$AE1390=""),"",Sync!$AE1390)</f>
        <v/>
      </c>
      <c r="R1393">
        <f>IF($G1393="","",IF(Sync!$V1390="","0000",IF(AND(ISNUMBER(Sync!$V1390),Sync!$V1390&gt;=0,Sync!$V1390&lt;1),RIGHT("00"&amp;HOUR(Sync!$V1390),2)&amp;RIGHT("00"&amp;MINUTE(Sync!$V1390),2),IFERROR(RIGHT("00"&amp;VALUE(LEFT(Sync!$V1390,FIND(":",Sync!$V1390)-1)),2)&amp;RIGHT("00"&amp;VALUE(MID(Sync!$V1390,FIND(":",Sync!$V1390)+1,2)),2),"0000"))))</f>
        <v/>
      </c>
    </row>
    <row r="1394">
      <c r="A1394">
        <f>IF(Sync!$U1391="","",Sync!$U1391)</f>
        <v/>
      </c>
      <c r="B1394">
        <f>IF($A1394="","",IF(ISNUMBER($A1394),IF(AND($A1394&gt;=10000101,$A1394&lt;=99991231),INT($A1394/10000),""),IFERROR(VALUE(TRIM(LEFT($A1394,FIND("/",$A1394)-1))),"")))</f>
        <v/>
      </c>
      <c r="C1394">
        <f>IF(OR($A1394="",$B1394=""),"",IF(ISNUMBER($A1394),INT(MOD($A1394,10000)/100),IFERROR(VALUE(TRIM(LEFT(MID($A1394,FIND("/",$A1394)+1,20),FIND("/",MID($A1394,FIND("/",$A1394)+1,20))-1))),"")))</f>
        <v/>
      </c>
      <c r="D1394">
        <f>IF(OR($A1394="",$B1394=""),"",IF(ISNUMBER($A1394),MOD($A1394,100),IFERROR(VALUE(TRIM(MID(MID($A1394,FIND("/",$A1394)+1,20),FIND("/",MID($A1394,FIND("/",$A1394)+1,20))+1,20))),"")))</f>
        <v/>
      </c>
      <c r="E1394">
        <f>IF($A1394="","",IF(OR($B1394="",$C1394="",$D1394="",$B1394&lt;1300,$B1394&gt;1500,$C1394&lt;1,$C1394&gt;12,$D1394&lt;1,$D1394&gt;31),"نامعتبر",RIGHT("0000"&amp;$B1394,4)&amp;"/"&amp;RIGHT("00"&amp;$C1394,2)&amp;"/"&amp;RIGHT("00"&amp;$D1394,2)))</f>
        <v/>
      </c>
      <c r="F1394">
        <f>IF(OR($E1394="",$E1394="نامعتبر"),"",LEFT($E1394,4)&amp;"/"&amp;MID($E1394,6,2))</f>
        <v/>
      </c>
      <c r="G1394">
        <f>IF(OR($E1394="",$E1394="نامعتبر",Sync!$Y1391=""),"",Sync!$Y1391)</f>
        <v/>
      </c>
      <c r="H1394">
        <f>IF($G1394="","",IF(Sync!$X1391="","",Sync!$X1391))</f>
        <v/>
      </c>
      <c r="I1394">
        <f>IF($G1394="","",IFERROR(VLOOKUP(Sync!$X1391,OpTbl,3,0),""))</f>
        <v/>
      </c>
      <c r="J1394">
        <f>IF(OR($G1394="",Sync!$Z1391=""),"",Sync!$Z1391)</f>
        <v/>
      </c>
      <c r="K1394">
        <f>IF(OR($G1394="",Sync!$AA1391=""),"",Sync!$AA1391)</f>
        <v/>
      </c>
      <c r="L1394">
        <f>IF($G1394="",0,IF(Sync!$AB1391="",0,Sync!$AB1391))</f>
        <v/>
      </c>
      <c r="M1394">
        <f>IF($G1394="",0,IF(Sync!$AC1391="",0,Sync!$AC1391))</f>
        <v/>
      </c>
      <c r="N1394">
        <f>IF($G1394="","",IF($H1394="مرجوعی خرید",-1,1)*($L1394-$M1394*IFERROR(VLOOKUP("P01",ParamTbl,3,0),1.5))*(1-IF($I1394="خرید",IFERROR(VLOOKUP("P02",ParamTbl,3,0),1),0)/100))</f>
        <v/>
      </c>
      <c r="O1394">
        <f>IF($G1394="",0,IF($H1394="مرجوعی خرید",-1,1)*IF(Sync!$AD1391="",0,Sync!$AD1391))</f>
        <v/>
      </c>
      <c r="P1394">
        <f>IF(OR($G1394="",Sync!$W1391=""),"",Sync!$W1391)</f>
        <v/>
      </c>
      <c r="Q1394">
        <f>IF(OR($G1394="",Sync!$AE1391=""),"",Sync!$AE1391)</f>
        <v/>
      </c>
      <c r="R1394">
        <f>IF($G1394="","",IF(Sync!$V1391="","0000",IF(AND(ISNUMBER(Sync!$V1391),Sync!$V1391&gt;=0,Sync!$V1391&lt;1),RIGHT("00"&amp;HOUR(Sync!$V1391),2)&amp;RIGHT("00"&amp;MINUTE(Sync!$V1391),2),IFERROR(RIGHT("00"&amp;VALUE(LEFT(Sync!$V1391,FIND(":",Sync!$V1391)-1)),2)&amp;RIGHT("00"&amp;VALUE(MID(Sync!$V1391,FIND(":",Sync!$V1391)+1,2)),2),"0000"))))</f>
        <v/>
      </c>
    </row>
    <row r="1395">
      <c r="A1395">
        <f>IF(Sync!$U1392="","",Sync!$U1392)</f>
        <v/>
      </c>
      <c r="B1395">
        <f>IF($A1395="","",IF(ISNUMBER($A1395),IF(AND($A1395&gt;=10000101,$A1395&lt;=99991231),INT($A1395/10000),""),IFERROR(VALUE(TRIM(LEFT($A1395,FIND("/",$A1395)-1))),"")))</f>
        <v/>
      </c>
      <c r="C1395">
        <f>IF(OR($A1395="",$B1395=""),"",IF(ISNUMBER($A1395),INT(MOD($A1395,10000)/100),IFERROR(VALUE(TRIM(LEFT(MID($A1395,FIND("/",$A1395)+1,20),FIND("/",MID($A1395,FIND("/",$A1395)+1,20))-1))),"")))</f>
        <v/>
      </c>
      <c r="D1395">
        <f>IF(OR($A1395="",$B1395=""),"",IF(ISNUMBER($A1395),MOD($A1395,100),IFERROR(VALUE(TRIM(MID(MID($A1395,FIND("/",$A1395)+1,20),FIND("/",MID($A1395,FIND("/",$A1395)+1,20))+1,20))),"")))</f>
        <v/>
      </c>
      <c r="E1395">
        <f>IF($A1395="","",IF(OR($B1395="",$C1395="",$D1395="",$B1395&lt;1300,$B1395&gt;1500,$C1395&lt;1,$C1395&gt;12,$D1395&lt;1,$D1395&gt;31),"نامعتبر",RIGHT("0000"&amp;$B1395,4)&amp;"/"&amp;RIGHT("00"&amp;$C1395,2)&amp;"/"&amp;RIGHT("00"&amp;$D1395,2)))</f>
        <v/>
      </c>
      <c r="F1395">
        <f>IF(OR($E1395="",$E1395="نامعتبر"),"",LEFT($E1395,4)&amp;"/"&amp;MID($E1395,6,2))</f>
        <v/>
      </c>
      <c r="G1395">
        <f>IF(OR($E1395="",$E1395="نامعتبر",Sync!$Y1392=""),"",Sync!$Y1392)</f>
        <v/>
      </c>
      <c r="H1395">
        <f>IF($G1395="","",IF(Sync!$X1392="","",Sync!$X1392))</f>
        <v/>
      </c>
      <c r="I1395">
        <f>IF($G1395="","",IFERROR(VLOOKUP(Sync!$X1392,OpTbl,3,0),""))</f>
        <v/>
      </c>
      <c r="J1395">
        <f>IF(OR($G1395="",Sync!$Z1392=""),"",Sync!$Z1392)</f>
        <v/>
      </c>
      <c r="K1395">
        <f>IF(OR($G1395="",Sync!$AA1392=""),"",Sync!$AA1392)</f>
        <v/>
      </c>
      <c r="L1395">
        <f>IF($G1395="",0,IF(Sync!$AB1392="",0,Sync!$AB1392))</f>
        <v/>
      </c>
      <c r="M1395">
        <f>IF($G1395="",0,IF(Sync!$AC1392="",0,Sync!$AC1392))</f>
        <v/>
      </c>
      <c r="N1395">
        <f>IF($G1395="","",IF($H1395="مرجوعی خرید",-1,1)*($L1395-$M1395*IFERROR(VLOOKUP("P01",ParamTbl,3,0),1.5))*(1-IF($I1395="خرید",IFERROR(VLOOKUP("P02",ParamTbl,3,0),1),0)/100))</f>
        <v/>
      </c>
      <c r="O1395">
        <f>IF($G1395="",0,IF($H1395="مرجوعی خرید",-1,1)*IF(Sync!$AD1392="",0,Sync!$AD1392))</f>
        <v/>
      </c>
      <c r="P1395">
        <f>IF(OR($G1395="",Sync!$W1392=""),"",Sync!$W1392)</f>
        <v/>
      </c>
      <c r="Q1395">
        <f>IF(OR($G1395="",Sync!$AE1392=""),"",Sync!$AE1392)</f>
        <v/>
      </c>
      <c r="R1395">
        <f>IF($G1395="","",IF(Sync!$V1392="","0000",IF(AND(ISNUMBER(Sync!$V1392),Sync!$V1392&gt;=0,Sync!$V1392&lt;1),RIGHT("00"&amp;HOUR(Sync!$V1392),2)&amp;RIGHT("00"&amp;MINUTE(Sync!$V1392),2),IFERROR(RIGHT("00"&amp;VALUE(LEFT(Sync!$V1392,FIND(":",Sync!$V1392)-1)),2)&amp;RIGHT("00"&amp;VALUE(MID(Sync!$V1392,FIND(":",Sync!$V1392)+1,2)),2),"0000"))))</f>
        <v/>
      </c>
    </row>
    <row r="1396">
      <c r="A1396">
        <f>IF(Sync!$U1393="","",Sync!$U1393)</f>
        <v/>
      </c>
      <c r="B1396">
        <f>IF($A1396="","",IF(ISNUMBER($A1396),IF(AND($A1396&gt;=10000101,$A1396&lt;=99991231),INT($A1396/10000),""),IFERROR(VALUE(TRIM(LEFT($A1396,FIND("/",$A1396)-1))),"")))</f>
        <v/>
      </c>
      <c r="C1396">
        <f>IF(OR($A1396="",$B1396=""),"",IF(ISNUMBER($A1396),INT(MOD($A1396,10000)/100),IFERROR(VALUE(TRIM(LEFT(MID($A1396,FIND("/",$A1396)+1,20),FIND("/",MID($A1396,FIND("/",$A1396)+1,20))-1))),"")))</f>
        <v/>
      </c>
      <c r="D1396">
        <f>IF(OR($A1396="",$B1396=""),"",IF(ISNUMBER($A1396),MOD($A1396,100),IFERROR(VALUE(TRIM(MID(MID($A1396,FIND("/",$A1396)+1,20),FIND("/",MID($A1396,FIND("/",$A1396)+1,20))+1,20))),"")))</f>
        <v/>
      </c>
      <c r="E1396">
        <f>IF($A1396="","",IF(OR($B1396="",$C1396="",$D1396="",$B1396&lt;1300,$B1396&gt;1500,$C1396&lt;1,$C1396&gt;12,$D1396&lt;1,$D1396&gt;31),"نامعتبر",RIGHT("0000"&amp;$B1396,4)&amp;"/"&amp;RIGHT("00"&amp;$C1396,2)&amp;"/"&amp;RIGHT("00"&amp;$D1396,2)))</f>
        <v/>
      </c>
      <c r="F1396">
        <f>IF(OR($E1396="",$E1396="نامعتبر"),"",LEFT($E1396,4)&amp;"/"&amp;MID($E1396,6,2))</f>
        <v/>
      </c>
      <c r="G1396">
        <f>IF(OR($E1396="",$E1396="نامعتبر",Sync!$Y1393=""),"",Sync!$Y1393)</f>
        <v/>
      </c>
      <c r="H1396">
        <f>IF($G1396="","",IF(Sync!$X1393="","",Sync!$X1393))</f>
        <v/>
      </c>
      <c r="I1396">
        <f>IF($G1396="","",IFERROR(VLOOKUP(Sync!$X1393,OpTbl,3,0),""))</f>
        <v/>
      </c>
      <c r="J1396">
        <f>IF(OR($G1396="",Sync!$Z1393=""),"",Sync!$Z1393)</f>
        <v/>
      </c>
      <c r="K1396">
        <f>IF(OR($G1396="",Sync!$AA1393=""),"",Sync!$AA1393)</f>
        <v/>
      </c>
      <c r="L1396">
        <f>IF($G1396="",0,IF(Sync!$AB1393="",0,Sync!$AB1393))</f>
        <v/>
      </c>
      <c r="M1396">
        <f>IF($G1396="",0,IF(Sync!$AC1393="",0,Sync!$AC1393))</f>
        <v/>
      </c>
      <c r="N1396">
        <f>IF($G1396="","",IF($H1396="مرجوعی خرید",-1,1)*($L1396-$M1396*IFERROR(VLOOKUP("P01",ParamTbl,3,0),1.5))*(1-IF($I1396="خرید",IFERROR(VLOOKUP("P02",ParamTbl,3,0),1),0)/100))</f>
        <v/>
      </c>
      <c r="O1396">
        <f>IF($G1396="",0,IF($H1396="مرجوعی خرید",-1,1)*IF(Sync!$AD1393="",0,Sync!$AD1393))</f>
        <v/>
      </c>
      <c r="P1396">
        <f>IF(OR($G1396="",Sync!$W1393=""),"",Sync!$W1393)</f>
        <v/>
      </c>
      <c r="Q1396">
        <f>IF(OR($G1396="",Sync!$AE1393=""),"",Sync!$AE1393)</f>
        <v/>
      </c>
      <c r="R1396">
        <f>IF($G1396="","",IF(Sync!$V1393="","0000",IF(AND(ISNUMBER(Sync!$V1393),Sync!$V1393&gt;=0,Sync!$V1393&lt;1),RIGHT("00"&amp;HOUR(Sync!$V1393),2)&amp;RIGHT("00"&amp;MINUTE(Sync!$V1393),2),IFERROR(RIGHT("00"&amp;VALUE(LEFT(Sync!$V1393,FIND(":",Sync!$V1393)-1)),2)&amp;RIGHT("00"&amp;VALUE(MID(Sync!$V1393,FIND(":",Sync!$V1393)+1,2)),2),"0000"))))</f>
        <v/>
      </c>
    </row>
    <row r="1397">
      <c r="A1397">
        <f>IF(Sync!$U1394="","",Sync!$U1394)</f>
        <v/>
      </c>
      <c r="B1397">
        <f>IF($A1397="","",IF(ISNUMBER($A1397),IF(AND($A1397&gt;=10000101,$A1397&lt;=99991231),INT($A1397/10000),""),IFERROR(VALUE(TRIM(LEFT($A1397,FIND("/",$A1397)-1))),"")))</f>
        <v/>
      </c>
      <c r="C1397">
        <f>IF(OR($A1397="",$B1397=""),"",IF(ISNUMBER($A1397),INT(MOD($A1397,10000)/100),IFERROR(VALUE(TRIM(LEFT(MID($A1397,FIND("/",$A1397)+1,20),FIND("/",MID($A1397,FIND("/",$A1397)+1,20))-1))),"")))</f>
        <v/>
      </c>
      <c r="D1397">
        <f>IF(OR($A1397="",$B1397=""),"",IF(ISNUMBER($A1397),MOD($A1397,100),IFERROR(VALUE(TRIM(MID(MID($A1397,FIND("/",$A1397)+1,20),FIND("/",MID($A1397,FIND("/",$A1397)+1,20))+1,20))),"")))</f>
        <v/>
      </c>
      <c r="E1397">
        <f>IF($A1397="","",IF(OR($B1397="",$C1397="",$D1397="",$B1397&lt;1300,$B1397&gt;1500,$C1397&lt;1,$C1397&gt;12,$D1397&lt;1,$D1397&gt;31),"نامعتبر",RIGHT("0000"&amp;$B1397,4)&amp;"/"&amp;RIGHT("00"&amp;$C1397,2)&amp;"/"&amp;RIGHT("00"&amp;$D1397,2)))</f>
        <v/>
      </c>
      <c r="F1397">
        <f>IF(OR($E1397="",$E1397="نامعتبر"),"",LEFT($E1397,4)&amp;"/"&amp;MID($E1397,6,2))</f>
        <v/>
      </c>
      <c r="G1397">
        <f>IF(OR($E1397="",$E1397="نامعتبر",Sync!$Y1394=""),"",Sync!$Y1394)</f>
        <v/>
      </c>
      <c r="H1397">
        <f>IF($G1397="","",IF(Sync!$X1394="","",Sync!$X1394))</f>
        <v/>
      </c>
      <c r="I1397">
        <f>IF($G1397="","",IFERROR(VLOOKUP(Sync!$X1394,OpTbl,3,0),""))</f>
        <v/>
      </c>
      <c r="J1397">
        <f>IF(OR($G1397="",Sync!$Z1394=""),"",Sync!$Z1394)</f>
        <v/>
      </c>
      <c r="K1397">
        <f>IF(OR($G1397="",Sync!$AA1394=""),"",Sync!$AA1394)</f>
        <v/>
      </c>
      <c r="L1397">
        <f>IF($G1397="",0,IF(Sync!$AB1394="",0,Sync!$AB1394))</f>
        <v/>
      </c>
      <c r="M1397">
        <f>IF($G1397="",0,IF(Sync!$AC1394="",0,Sync!$AC1394))</f>
        <v/>
      </c>
      <c r="N1397">
        <f>IF($G1397="","",IF($H1397="مرجوعی خرید",-1,1)*($L1397-$M1397*IFERROR(VLOOKUP("P01",ParamTbl,3,0),1.5))*(1-IF($I1397="خرید",IFERROR(VLOOKUP("P02",ParamTbl,3,0),1),0)/100))</f>
        <v/>
      </c>
      <c r="O1397">
        <f>IF($G1397="",0,IF($H1397="مرجوعی خرید",-1,1)*IF(Sync!$AD1394="",0,Sync!$AD1394))</f>
        <v/>
      </c>
      <c r="P1397">
        <f>IF(OR($G1397="",Sync!$W1394=""),"",Sync!$W1394)</f>
        <v/>
      </c>
      <c r="Q1397">
        <f>IF(OR($G1397="",Sync!$AE1394=""),"",Sync!$AE1394)</f>
        <v/>
      </c>
      <c r="R1397">
        <f>IF($G1397="","",IF(Sync!$V1394="","0000",IF(AND(ISNUMBER(Sync!$V1394),Sync!$V1394&gt;=0,Sync!$V1394&lt;1),RIGHT("00"&amp;HOUR(Sync!$V1394),2)&amp;RIGHT("00"&amp;MINUTE(Sync!$V1394),2),IFERROR(RIGHT("00"&amp;VALUE(LEFT(Sync!$V1394,FIND(":",Sync!$V1394)-1)),2)&amp;RIGHT("00"&amp;VALUE(MID(Sync!$V1394,FIND(":",Sync!$V1394)+1,2)),2),"0000"))))</f>
        <v/>
      </c>
    </row>
    <row r="1398">
      <c r="A1398">
        <f>IF(Sync!$U1395="","",Sync!$U1395)</f>
        <v/>
      </c>
      <c r="B1398">
        <f>IF($A1398="","",IF(ISNUMBER($A1398),IF(AND($A1398&gt;=10000101,$A1398&lt;=99991231),INT($A1398/10000),""),IFERROR(VALUE(TRIM(LEFT($A1398,FIND("/",$A1398)-1))),"")))</f>
        <v/>
      </c>
      <c r="C1398">
        <f>IF(OR($A1398="",$B1398=""),"",IF(ISNUMBER($A1398),INT(MOD($A1398,10000)/100),IFERROR(VALUE(TRIM(LEFT(MID($A1398,FIND("/",$A1398)+1,20),FIND("/",MID($A1398,FIND("/",$A1398)+1,20))-1))),"")))</f>
        <v/>
      </c>
      <c r="D1398">
        <f>IF(OR($A1398="",$B1398=""),"",IF(ISNUMBER($A1398),MOD($A1398,100),IFERROR(VALUE(TRIM(MID(MID($A1398,FIND("/",$A1398)+1,20),FIND("/",MID($A1398,FIND("/",$A1398)+1,20))+1,20))),"")))</f>
        <v/>
      </c>
      <c r="E1398">
        <f>IF($A1398="","",IF(OR($B1398="",$C1398="",$D1398="",$B1398&lt;1300,$B1398&gt;1500,$C1398&lt;1,$C1398&gt;12,$D1398&lt;1,$D1398&gt;31),"نامعتبر",RIGHT("0000"&amp;$B1398,4)&amp;"/"&amp;RIGHT("00"&amp;$C1398,2)&amp;"/"&amp;RIGHT("00"&amp;$D1398,2)))</f>
        <v/>
      </c>
      <c r="F1398">
        <f>IF(OR($E1398="",$E1398="نامعتبر"),"",LEFT($E1398,4)&amp;"/"&amp;MID($E1398,6,2))</f>
        <v/>
      </c>
      <c r="G1398">
        <f>IF(OR($E1398="",$E1398="نامعتبر",Sync!$Y1395=""),"",Sync!$Y1395)</f>
        <v/>
      </c>
      <c r="H1398">
        <f>IF($G1398="","",IF(Sync!$X1395="","",Sync!$X1395))</f>
        <v/>
      </c>
      <c r="I1398">
        <f>IF($G1398="","",IFERROR(VLOOKUP(Sync!$X1395,OpTbl,3,0),""))</f>
        <v/>
      </c>
      <c r="J1398">
        <f>IF(OR($G1398="",Sync!$Z1395=""),"",Sync!$Z1395)</f>
        <v/>
      </c>
      <c r="K1398">
        <f>IF(OR($G1398="",Sync!$AA1395=""),"",Sync!$AA1395)</f>
        <v/>
      </c>
      <c r="L1398">
        <f>IF($G1398="",0,IF(Sync!$AB1395="",0,Sync!$AB1395))</f>
        <v/>
      </c>
      <c r="M1398">
        <f>IF($G1398="",0,IF(Sync!$AC1395="",0,Sync!$AC1395))</f>
        <v/>
      </c>
      <c r="N1398">
        <f>IF($G1398="","",IF($H1398="مرجوعی خرید",-1,1)*($L1398-$M1398*IFERROR(VLOOKUP("P01",ParamTbl,3,0),1.5))*(1-IF($I1398="خرید",IFERROR(VLOOKUP("P02",ParamTbl,3,0),1),0)/100))</f>
        <v/>
      </c>
      <c r="O1398">
        <f>IF($G1398="",0,IF($H1398="مرجوعی خرید",-1,1)*IF(Sync!$AD1395="",0,Sync!$AD1395))</f>
        <v/>
      </c>
      <c r="P1398">
        <f>IF(OR($G1398="",Sync!$W1395=""),"",Sync!$W1395)</f>
        <v/>
      </c>
      <c r="Q1398">
        <f>IF(OR($G1398="",Sync!$AE1395=""),"",Sync!$AE1395)</f>
        <v/>
      </c>
      <c r="R1398">
        <f>IF($G1398="","",IF(Sync!$V1395="","0000",IF(AND(ISNUMBER(Sync!$V1395),Sync!$V1395&gt;=0,Sync!$V1395&lt;1),RIGHT("00"&amp;HOUR(Sync!$V1395),2)&amp;RIGHT("00"&amp;MINUTE(Sync!$V1395),2),IFERROR(RIGHT("00"&amp;VALUE(LEFT(Sync!$V1395,FIND(":",Sync!$V1395)-1)),2)&amp;RIGHT("00"&amp;VALUE(MID(Sync!$V1395,FIND(":",Sync!$V1395)+1,2)),2),"0000"))))</f>
        <v/>
      </c>
    </row>
    <row r="1399">
      <c r="A1399">
        <f>IF(Sync!$U1396="","",Sync!$U1396)</f>
        <v/>
      </c>
      <c r="B1399">
        <f>IF($A1399="","",IF(ISNUMBER($A1399),IF(AND($A1399&gt;=10000101,$A1399&lt;=99991231),INT($A1399/10000),""),IFERROR(VALUE(TRIM(LEFT($A1399,FIND("/",$A1399)-1))),"")))</f>
        <v/>
      </c>
      <c r="C1399">
        <f>IF(OR($A1399="",$B1399=""),"",IF(ISNUMBER($A1399),INT(MOD($A1399,10000)/100),IFERROR(VALUE(TRIM(LEFT(MID($A1399,FIND("/",$A1399)+1,20),FIND("/",MID($A1399,FIND("/",$A1399)+1,20))-1))),"")))</f>
        <v/>
      </c>
      <c r="D1399">
        <f>IF(OR($A1399="",$B1399=""),"",IF(ISNUMBER($A1399),MOD($A1399,100),IFERROR(VALUE(TRIM(MID(MID($A1399,FIND("/",$A1399)+1,20),FIND("/",MID($A1399,FIND("/",$A1399)+1,20))+1,20))),"")))</f>
        <v/>
      </c>
      <c r="E1399">
        <f>IF($A1399="","",IF(OR($B1399="",$C1399="",$D1399="",$B1399&lt;1300,$B1399&gt;1500,$C1399&lt;1,$C1399&gt;12,$D1399&lt;1,$D1399&gt;31),"نامعتبر",RIGHT("0000"&amp;$B1399,4)&amp;"/"&amp;RIGHT("00"&amp;$C1399,2)&amp;"/"&amp;RIGHT("00"&amp;$D1399,2)))</f>
        <v/>
      </c>
      <c r="F1399">
        <f>IF(OR($E1399="",$E1399="نامعتبر"),"",LEFT($E1399,4)&amp;"/"&amp;MID($E1399,6,2))</f>
        <v/>
      </c>
      <c r="G1399">
        <f>IF(OR($E1399="",$E1399="نامعتبر",Sync!$Y1396=""),"",Sync!$Y1396)</f>
        <v/>
      </c>
      <c r="H1399">
        <f>IF($G1399="","",IF(Sync!$X1396="","",Sync!$X1396))</f>
        <v/>
      </c>
      <c r="I1399">
        <f>IF($G1399="","",IFERROR(VLOOKUP(Sync!$X1396,OpTbl,3,0),""))</f>
        <v/>
      </c>
      <c r="J1399">
        <f>IF(OR($G1399="",Sync!$Z1396=""),"",Sync!$Z1396)</f>
        <v/>
      </c>
      <c r="K1399">
        <f>IF(OR($G1399="",Sync!$AA1396=""),"",Sync!$AA1396)</f>
        <v/>
      </c>
      <c r="L1399">
        <f>IF($G1399="",0,IF(Sync!$AB1396="",0,Sync!$AB1396))</f>
        <v/>
      </c>
      <c r="M1399">
        <f>IF($G1399="",0,IF(Sync!$AC1396="",0,Sync!$AC1396))</f>
        <v/>
      </c>
      <c r="N1399">
        <f>IF($G1399="","",IF($H1399="مرجوعی خرید",-1,1)*($L1399-$M1399*IFERROR(VLOOKUP("P01",ParamTbl,3,0),1.5))*(1-IF($I1399="خرید",IFERROR(VLOOKUP("P02",ParamTbl,3,0),1),0)/100))</f>
        <v/>
      </c>
      <c r="O1399">
        <f>IF($G1399="",0,IF($H1399="مرجوعی خرید",-1,1)*IF(Sync!$AD1396="",0,Sync!$AD1396))</f>
        <v/>
      </c>
      <c r="P1399">
        <f>IF(OR($G1399="",Sync!$W1396=""),"",Sync!$W1396)</f>
        <v/>
      </c>
      <c r="Q1399">
        <f>IF(OR($G1399="",Sync!$AE1396=""),"",Sync!$AE1396)</f>
        <v/>
      </c>
      <c r="R1399">
        <f>IF($G1399="","",IF(Sync!$V1396="","0000",IF(AND(ISNUMBER(Sync!$V1396),Sync!$V1396&gt;=0,Sync!$V1396&lt;1),RIGHT("00"&amp;HOUR(Sync!$V1396),2)&amp;RIGHT("00"&amp;MINUTE(Sync!$V1396),2),IFERROR(RIGHT("00"&amp;VALUE(LEFT(Sync!$V1396,FIND(":",Sync!$V1396)-1)),2)&amp;RIGHT("00"&amp;VALUE(MID(Sync!$V1396,FIND(":",Sync!$V1396)+1,2)),2),"0000"))))</f>
        <v/>
      </c>
    </row>
    <row r="1400">
      <c r="A1400">
        <f>IF(Sync!$U1397="","",Sync!$U1397)</f>
        <v/>
      </c>
      <c r="B1400">
        <f>IF($A1400="","",IF(ISNUMBER($A1400),IF(AND($A1400&gt;=10000101,$A1400&lt;=99991231),INT($A1400/10000),""),IFERROR(VALUE(TRIM(LEFT($A1400,FIND("/",$A1400)-1))),"")))</f>
        <v/>
      </c>
      <c r="C1400">
        <f>IF(OR($A1400="",$B1400=""),"",IF(ISNUMBER($A1400),INT(MOD($A1400,10000)/100),IFERROR(VALUE(TRIM(LEFT(MID($A1400,FIND("/",$A1400)+1,20),FIND("/",MID($A1400,FIND("/",$A1400)+1,20))-1))),"")))</f>
        <v/>
      </c>
      <c r="D1400">
        <f>IF(OR($A1400="",$B1400=""),"",IF(ISNUMBER($A1400),MOD($A1400,100),IFERROR(VALUE(TRIM(MID(MID($A1400,FIND("/",$A1400)+1,20),FIND("/",MID($A1400,FIND("/",$A1400)+1,20))+1,20))),"")))</f>
        <v/>
      </c>
      <c r="E1400">
        <f>IF($A1400="","",IF(OR($B1400="",$C1400="",$D1400="",$B1400&lt;1300,$B1400&gt;1500,$C1400&lt;1,$C1400&gt;12,$D1400&lt;1,$D1400&gt;31),"نامعتبر",RIGHT("0000"&amp;$B1400,4)&amp;"/"&amp;RIGHT("00"&amp;$C1400,2)&amp;"/"&amp;RIGHT("00"&amp;$D1400,2)))</f>
        <v/>
      </c>
      <c r="F1400">
        <f>IF(OR($E1400="",$E1400="نامعتبر"),"",LEFT($E1400,4)&amp;"/"&amp;MID($E1400,6,2))</f>
        <v/>
      </c>
      <c r="G1400">
        <f>IF(OR($E1400="",$E1400="نامعتبر",Sync!$Y1397=""),"",Sync!$Y1397)</f>
        <v/>
      </c>
      <c r="H1400">
        <f>IF($G1400="","",IF(Sync!$X1397="","",Sync!$X1397))</f>
        <v/>
      </c>
      <c r="I1400">
        <f>IF($G1400="","",IFERROR(VLOOKUP(Sync!$X1397,OpTbl,3,0),""))</f>
        <v/>
      </c>
      <c r="J1400">
        <f>IF(OR($G1400="",Sync!$Z1397=""),"",Sync!$Z1397)</f>
        <v/>
      </c>
      <c r="K1400">
        <f>IF(OR($G1400="",Sync!$AA1397=""),"",Sync!$AA1397)</f>
        <v/>
      </c>
      <c r="L1400">
        <f>IF($G1400="",0,IF(Sync!$AB1397="",0,Sync!$AB1397))</f>
        <v/>
      </c>
      <c r="M1400">
        <f>IF($G1400="",0,IF(Sync!$AC1397="",0,Sync!$AC1397))</f>
        <v/>
      </c>
      <c r="N1400">
        <f>IF($G1400="","",IF($H1400="مرجوعی خرید",-1,1)*($L1400-$M1400*IFERROR(VLOOKUP("P01",ParamTbl,3,0),1.5))*(1-IF($I1400="خرید",IFERROR(VLOOKUP("P02",ParamTbl,3,0),1),0)/100))</f>
        <v/>
      </c>
      <c r="O1400">
        <f>IF($G1400="",0,IF($H1400="مرجوعی خرید",-1,1)*IF(Sync!$AD1397="",0,Sync!$AD1397))</f>
        <v/>
      </c>
      <c r="P1400">
        <f>IF(OR($G1400="",Sync!$W1397=""),"",Sync!$W1397)</f>
        <v/>
      </c>
      <c r="Q1400">
        <f>IF(OR($G1400="",Sync!$AE1397=""),"",Sync!$AE1397)</f>
        <v/>
      </c>
      <c r="R1400">
        <f>IF($G1400="","",IF(Sync!$V1397="","0000",IF(AND(ISNUMBER(Sync!$V1397),Sync!$V1397&gt;=0,Sync!$V1397&lt;1),RIGHT("00"&amp;HOUR(Sync!$V1397),2)&amp;RIGHT("00"&amp;MINUTE(Sync!$V1397),2),IFERROR(RIGHT("00"&amp;VALUE(LEFT(Sync!$V1397,FIND(":",Sync!$V1397)-1)),2)&amp;RIGHT("00"&amp;VALUE(MID(Sync!$V1397,FIND(":",Sync!$V1397)+1,2)),2),"0000"))))</f>
        <v/>
      </c>
    </row>
    <row r="1401">
      <c r="A1401">
        <f>IF(Sync!$U1398="","",Sync!$U1398)</f>
        <v/>
      </c>
      <c r="B1401">
        <f>IF($A1401="","",IF(ISNUMBER($A1401),IF(AND($A1401&gt;=10000101,$A1401&lt;=99991231),INT($A1401/10000),""),IFERROR(VALUE(TRIM(LEFT($A1401,FIND("/",$A1401)-1))),"")))</f>
        <v/>
      </c>
      <c r="C1401">
        <f>IF(OR($A1401="",$B1401=""),"",IF(ISNUMBER($A1401),INT(MOD($A1401,10000)/100),IFERROR(VALUE(TRIM(LEFT(MID($A1401,FIND("/",$A1401)+1,20),FIND("/",MID($A1401,FIND("/",$A1401)+1,20))-1))),"")))</f>
        <v/>
      </c>
      <c r="D1401">
        <f>IF(OR($A1401="",$B1401=""),"",IF(ISNUMBER($A1401),MOD($A1401,100),IFERROR(VALUE(TRIM(MID(MID($A1401,FIND("/",$A1401)+1,20),FIND("/",MID($A1401,FIND("/",$A1401)+1,20))+1,20))),"")))</f>
        <v/>
      </c>
      <c r="E1401">
        <f>IF($A1401="","",IF(OR($B1401="",$C1401="",$D1401="",$B1401&lt;1300,$B1401&gt;1500,$C1401&lt;1,$C1401&gt;12,$D1401&lt;1,$D1401&gt;31),"نامعتبر",RIGHT("0000"&amp;$B1401,4)&amp;"/"&amp;RIGHT("00"&amp;$C1401,2)&amp;"/"&amp;RIGHT("00"&amp;$D1401,2)))</f>
        <v/>
      </c>
      <c r="F1401">
        <f>IF(OR($E1401="",$E1401="نامعتبر"),"",LEFT($E1401,4)&amp;"/"&amp;MID($E1401,6,2))</f>
        <v/>
      </c>
      <c r="G1401">
        <f>IF(OR($E1401="",$E1401="نامعتبر",Sync!$Y1398=""),"",Sync!$Y1398)</f>
        <v/>
      </c>
      <c r="H1401">
        <f>IF($G1401="","",IF(Sync!$X1398="","",Sync!$X1398))</f>
        <v/>
      </c>
      <c r="I1401">
        <f>IF($G1401="","",IFERROR(VLOOKUP(Sync!$X1398,OpTbl,3,0),""))</f>
        <v/>
      </c>
      <c r="J1401">
        <f>IF(OR($G1401="",Sync!$Z1398=""),"",Sync!$Z1398)</f>
        <v/>
      </c>
      <c r="K1401">
        <f>IF(OR($G1401="",Sync!$AA1398=""),"",Sync!$AA1398)</f>
        <v/>
      </c>
      <c r="L1401">
        <f>IF($G1401="",0,IF(Sync!$AB1398="",0,Sync!$AB1398))</f>
        <v/>
      </c>
      <c r="M1401">
        <f>IF($G1401="",0,IF(Sync!$AC1398="",0,Sync!$AC1398))</f>
        <v/>
      </c>
      <c r="N1401">
        <f>IF($G1401="","",IF($H1401="مرجوعی خرید",-1,1)*($L1401-$M1401*IFERROR(VLOOKUP("P01",ParamTbl,3,0),1.5))*(1-IF($I1401="خرید",IFERROR(VLOOKUP("P02",ParamTbl,3,0),1),0)/100))</f>
        <v/>
      </c>
      <c r="O1401">
        <f>IF($G1401="",0,IF($H1401="مرجوعی خرید",-1,1)*IF(Sync!$AD1398="",0,Sync!$AD1398))</f>
        <v/>
      </c>
      <c r="P1401">
        <f>IF(OR($G1401="",Sync!$W1398=""),"",Sync!$W1398)</f>
        <v/>
      </c>
      <c r="Q1401">
        <f>IF(OR($G1401="",Sync!$AE1398=""),"",Sync!$AE1398)</f>
        <v/>
      </c>
      <c r="R1401">
        <f>IF($G1401="","",IF(Sync!$V1398="","0000",IF(AND(ISNUMBER(Sync!$V1398),Sync!$V1398&gt;=0,Sync!$V1398&lt;1),RIGHT("00"&amp;HOUR(Sync!$V1398),2)&amp;RIGHT("00"&amp;MINUTE(Sync!$V1398),2),IFERROR(RIGHT("00"&amp;VALUE(LEFT(Sync!$V1398,FIND(":",Sync!$V1398)-1)),2)&amp;RIGHT("00"&amp;VALUE(MID(Sync!$V1398,FIND(":",Sync!$V1398)+1,2)),2),"0000"))))</f>
        <v/>
      </c>
    </row>
    <row r="1402">
      <c r="A1402">
        <f>IF(Sync!$U1399="","",Sync!$U1399)</f>
        <v/>
      </c>
      <c r="B1402">
        <f>IF($A1402="","",IF(ISNUMBER($A1402),IF(AND($A1402&gt;=10000101,$A1402&lt;=99991231),INT($A1402/10000),""),IFERROR(VALUE(TRIM(LEFT($A1402,FIND("/",$A1402)-1))),"")))</f>
        <v/>
      </c>
      <c r="C1402">
        <f>IF(OR($A1402="",$B1402=""),"",IF(ISNUMBER($A1402),INT(MOD($A1402,10000)/100),IFERROR(VALUE(TRIM(LEFT(MID($A1402,FIND("/",$A1402)+1,20),FIND("/",MID($A1402,FIND("/",$A1402)+1,20))-1))),"")))</f>
        <v/>
      </c>
      <c r="D1402">
        <f>IF(OR($A1402="",$B1402=""),"",IF(ISNUMBER($A1402),MOD($A1402,100),IFERROR(VALUE(TRIM(MID(MID($A1402,FIND("/",$A1402)+1,20),FIND("/",MID($A1402,FIND("/",$A1402)+1,20))+1,20))),"")))</f>
        <v/>
      </c>
      <c r="E1402">
        <f>IF($A1402="","",IF(OR($B1402="",$C1402="",$D1402="",$B1402&lt;1300,$B1402&gt;1500,$C1402&lt;1,$C1402&gt;12,$D1402&lt;1,$D1402&gt;31),"نامعتبر",RIGHT("0000"&amp;$B1402,4)&amp;"/"&amp;RIGHT("00"&amp;$C1402,2)&amp;"/"&amp;RIGHT("00"&amp;$D1402,2)))</f>
        <v/>
      </c>
      <c r="F1402">
        <f>IF(OR($E1402="",$E1402="نامعتبر"),"",LEFT($E1402,4)&amp;"/"&amp;MID($E1402,6,2))</f>
        <v/>
      </c>
      <c r="G1402">
        <f>IF(OR($E1402="",$E1402="نامعتبر",Sync!$Y1399=""),"",Sync!$Y1399)</f>
        <v/>
      </c>
      <c r="H1402">
        <f>IF($G1402="","",IF(Sync!$X1399="","",Sync!$X1399))</f>
        <v/>
      </c>
      <c r="I1402">
        <f>IF($G1402="","",IFERROR(VLOOKUP(Sync!$X1399,OpTbl,3,0),""))</f>
        <v/>
      </c>
      <c r="J1402">
        <f>IF(OR($G1402="",Sync!$Z1399=""),"",Sync!$Z1399)</f>
        <v/>
      </c>
      <c r="K1402">
        <f>IF(OR($G1402="",Sync!$AA1399=""),"",Sync!$AA1399)</f>
        <v/>
      </c>
      <c r="L1402">
        <f>IF($G1402="",0,IF(Sync!$AB1399="",0,Sync!$AB1399))</f>
        <v/>
      </c>
      <c r="M1402">
        <f>IF($G1402="",0,IF(Sync!$AC1399="",0,Sync!$AC1399))</f>
        <v/>
      </c>
      <c r="N1402">
        <f>IF($G1402="","",IF($H1402="مرجوعی خرید",-1,1)*($L1402-$M1402*IFERROR(VLOOKUP("P01",ParamTbl,3,0),1.5))*(1-IF($I1402="خرید",IFERROR(VLOOKUP("P02",ParamTbl,3,0),1),0)/100))</f>
        <v/>
      </c>
      <c r="O1402">
        <f>IF($G1402="",0,IF($H1402="مرجوعی خرید",-1,1)*IF(Sync!$AD1399="",0,Sync!$AD1399))</f>
        <v/>
      </c>
      <c r="P1402">
        <f>IF(OR($G1402="",Sync!$W1399=""),"",Sync!$W1399)</f>
        <v/>
      </c>
      <c r="Q1402">
        <f>IF(OR($G1402="",Sync!$AE1399=""),"",Sync!$AE1399)</f>
        <v/>
      </c>
      <c r="R1402">
        <f>IF($G1402="","",IF(Sync!$V1399="","0000",IF(AND(ISNUMBER(Sync!$V1399),Sync!$V1399&gt;=0,Sync!$V1399&lt;1),RIGHT("00"&amp;HOUR(Sync!$V1399),2)&amp;RIGHT("00"&amp;MINUTE(Sync!$V1399),2),IFERROR(RIGHT("00"&amp;VALUE(LEFT(Sync!$V1399,FIND(":",Sync!$V1399)-1)),2)&amp;RIGHT("00"&amp;VALUE(MID(Sync!$V1399,FIND(":",Sync!$V1399)+1,2)),2),"0000"))))</f>
        <v/>
      </c>
    </row>
    <row r="1403">
      <c r="A1403">
        <f>IF(Sync!$U1400="","",Sync!$U1400)</f>
        <v/>
      </c>
      <c r="B1403">
        <f>IF($A1403="","",IF(ISNUMBER($A1403),IF(AND($A1403&gt;=10000101,$A1403&lt;=99991231),INT($A1403/10000),""),IFERROR(VALUE(TRIM(LEFT($A1403,FIND("/",$A1403)-1))),"")))</f>
        <v/>
      </c>
      <c r="C1403">
        <f>IF(OR($A1403="",$B1403=""),"",IF(ISNUMBER($A1403),INT(MOD($A1403,10000)/100),IFERROR(VALUE(TRIM(LEFT(MID($A1403,FIND("/",$A1403)+1,20),FIND("/",MID($A1403,FIND("/",$A1403)+1,20))-1))),"")))</f>
        <v/>
      </c>
      <c r="D1403">
        <f>IF(OR($A1403="",$B1403=""),"",IF(ISNUMBER($A1403),MOD($A1403,100),IFERROR(VALUE(TRIM(MID(MID($A1403,FIND("/",$A1403)+1,20),FIND("/",MID($A1403,FIND("/",$A1403)+1,20))+1,20))),"")))</f>
        <v/>
      </c>
      <c r="E1403">
        <f>IF($A1403="","",IF(OR($B1403="",$C1403="",$D1403="",$B1403&lt;1300,$B1403&gt;1500,$C1403&lt;1,$C1403&gt;12,$D1403&lt;1,$D1403&gt;31),"نامعتبر",RIGHT("0000"&amp;$B1403,4)&amp;"/"&amp;RIGHT("00"&amp;$C1403,2)&amp;"/"&amp;RIGHT("00"&amp;$D1403,2)))</f>
        <v/>
      </c>
      <c r="F1403">
        <f>IF(OR($E1403="",$E1403="نامعتبر"),"",LEFT($E1403,4)&amp;"/"&amp;MID($E1403,6,2))</f>
        <v/>
      </c>
      <c r="G1403">
        <f>IF(OR($E1403="",$E1403="نامعتبر",Sync!$Y1400=""),"",Sync!$Y1400)</f>
        <v/>
      </c>
      <c r="H1403">
        <f>IF($G1403="","",IF(Sync!$X1400="","",Sync!$X1400))</f>
        <v/>
      </c>
      <c r="I1403">
        <f>IF($G1403="","",IFERROR(VLOOKUP(Sync!$X1400,OpTbl,3,0),""))</f>
        <v/>
      </c>
      <c r="J1403">
        <f>IF(OR($G1403="",Sync!$Z1400=""),"",Sync!$Z1400)</f>
        <v/>
      </c>
      <c r="K1403">
        <f>IF(OR($G1403="",Sync!$AA1400=""),"",Sync!$AA1400)</f>
        <v/>
      </c>
      <c r="L1403">
        <f>IF($G1403="",0,IF(Sync!$AB1400="",0,Sync!$AB1400))</f>
        <v/>
      </c>
      <c r="M1403">
        <f>IF($G1403="",0,IF(Sync!$AC1400="",0,Sync!$AC1400))</f>
        <v/>
      </c>
      <c r="N1403">
        <f>IF($G1403="","",IF($H1403="مرجوعی خرید",-1,1)*($L1403-$M1403*IFERROR(VLOOKUP("P01",ParamTbl,3,0),1.5))*(1-IF($I1403="خرید",IFERROR(VLOOKUP("P02",ParamTbl,3,0),1),0)/100))</f>
        <v/>
      </c>
      <c r="O1403">
        <f>IF($G1403="",0,IF($H1403="مرجوعی خرید",-1,1)*IF(Sync!$AD1400="",0,Sync!$AD1400))</f>
        <v/>
      </c>
      <c r="P1403">
        <f>IF(OR($G1403="",Sync!$W1400=""),"",Sync!$W1400)</f>
        <v/>
      </c>
      <c r="Q1403">
        <f>IF(OR($G1403="",Sync!$AE1400=""),"",Sync!$AE1400)</f>
        <v/>
      </c>
      <c r="R1403">
        <f>IF($G1403="","",IF(Sync!$V1400="","0000",IF(AND(ISNUMBER(Sync!$V1400),Sync!$V1400&gt;=0,Sync!$V1400&lt;1),RIGHT("00"&amp;HOUR(Sync!$V1400),2)&amp;RIGHT("00"&amp;MINUTE(Sync!$V1400),2),IFERROR(RIGHT("00"&amp;VALUE(LEFT(Sync!$V1400,FIND(":",Sync!$V1400)-1)),2)&amp;RIGHT("00"&amp;VALUE(MID(Sync!$V1400,FIND(":",Sync!$V1400)+1,2)),2),"0000"))))</f>
        <v/>
      </c>
    </row>
    <row r="1404">
      <c r="A1404">
        <f>IF(Sync!$U1401="","",Sync!$U1401)</f>
        <v/>
      </c>
      <c r="B1404">
        <f>IF($A1404="","",IF(ISNUMBER($A1404),IF(AND($A1404&gt;=10000101,$A1404&lt;=99991231),INT($A1404/10000),""),IFERROR(VALUE(TRIM(LEFT($A1404,FIND("/",$A1404)-1))),"")))</f>
        <v/>
      </c>
      <c r="C1404">
        <f>IF(OR($A1404="",$B1404=""),"",IF(ISNUMBER($A1404),INT(MOD($A1404,10000)/100),IFERROR(VALUE(TRIM(LEFT(MID($A1404,FIND("/",$A1404)+1,20),FIND("/",MID($A1404,FIND("/",$A1404)+1,20))-1))),"")))</f>
        <v/>
      </c>
      <c r="D1404">
        <f>IF(OR($A1404="",$B1404=""),"",IF(ISNUMBER($A1404),MOD($A1404,100),IFERROR(VALUE(TRIM(MID(MID($A1404,FIND("/",$A1404)+1,20),FIND("/",MID($A1404,FIND("/",$A1404)+1,20))+1,20))),"")))</f>
        <v/>
      </c>
      <c r="E1404">
        <f>IF($A1404="","",IF(OR($B1404="",$C1404="",$D1404="",$B1404&lt;1300,$B1404&gt;1500,$C1404&lt;1,$C1404&gt;12,$D1404&lt;1,$D1404&gt;31),"نامعتبر",RIGHT("0000"&amp;$B1404,4)&amp;"/"&amp;RIGHT("00"&amp;$C1404,2)&amp;"/"&amp;RIGHT("00"&amp;$D1404,2)))</f>
        <v/>
      </c>
      <c r="F1404">
        <f>IF(OR($E1404="",$E1404="نامعتبر"),"",LEFT($E1404,4)&amp;"/"&amp;MID($E1404,6,2))</f>
        <v/>
      </c>
      <c r="G1404">
        <f>IF(OR($E1404="",$E1404="نامعتبر",Sync!$Y1401=""),"",Sync!$Y1401)</f>
        <v/>
      </c>
      <c r="H1404">
        <f>IF($G1404="","",IF(Sync!$X1401="","",Sync!$X1401))</f>
        <v/>
      </c>
      <c r="I1404">
        <f>IF($G1404="","",IFERROR(VLOOKUP(Sync!$X1401,OpTbl,3,0),""))</f>
        <v/>
      </c>
      <c r="J1404">
        <f>IF(OR($G1404="",Sync!$Z1401=""),"",Sync!$Z1401)</f>
        <v/>
      </c>
      <c r="K1404">
        <f>IF(OR($G1404="",Sync!$AA1401=""),"",Sync!$AA1401)</f>
        <v/>
      </c>
      <c r="L1404">
        <f>IF($G1404="",0,IF(Sync!$AB1401="",0,Sync!$AB1401))</f>
        <v/>
      </c>
      <c r="M1404">
        <f>IF($G1404="",0,IF(Sync!$AC1401="",0,Sync!$AC1401))</f>
        <v/>
      </c>
      <c r="N1404">
        <f>IF($G1404="","",IF($H1404="مرجوعی خرید",-1,1)*($L1404-$M1404*IFERROR(VLOOKUP("P01",ParamTbl,3,0),1.5))*(1-IF($I1404="خرید",IFERROR(VLOOKUP("P02",ParamTbl,3,0),1),0)/100))</f>
        <v/>
      </c>
      <c r="O1404">
        <f>IF($G1404="",0,IF($H1404="مرجوعی خرید",-1,1)*IF(Sync!$AD1401="",0,Sync!$AD1401))</f>
        <v/>
      </c>
      <c r="P1404">
        <f>IF(OR($G1404="",Sync!$W1401=""),"",Sync!$W1401)</f>
        <v/>
      </c>
      <c r="Q1404">
        <f>IF(OR($G1404="",Sync!$AE1401=""),"",Sync!$AE1401)</f>
        <v/>
      </c>
      <c r="R1404">
        <f>IF($G1404="","",IF(Sync!$V1401="","0000",IF(AND(ISNUMBER(Sync!$V1401),Sync!$V1401&gt;=0,Sync!$V1401&lt;1),RIGHT("00"&amp;HOUR(Sync!$V1401),2)&amp;RIGHT("00"&amp;MINUTE(Sync!$V1401),2),IFERROR(RIGHT("00"&amp;VALUE(LEFT(Sync!$V1401,FIND(":",Sync!$V1401)-1)),2)&amp;RIGHT("00"&amp;VALUE(MID(Sync!$V1401,FIND(":",Sync!$V1401)+1,2)),2),"0000"))))</f>
        <v/>
      </c>
    </row>
    <row r="1405">
      <c r="A1405">
        <f>IF(Sync!$U1402="","",Sync!$U1402)</f>
        <v/>
      </c>
      <c r="B1405">
        <f>IF($A1405="","",IF(ISNUMBER($A1405),IF(AND($A1405&gt;=10000101,$A1405&lt;=99991231),INT($A1405/10000),""),IFERROR(VALUE(TRIM(LEFT($A1405,FIND("/",$A1405)-1))),"")))</f>
        <v/>
      </c>
      <c r="C1405">
        <f>IF(OR($A1405="",$B1405=""),"",IF(ISNUMBER($A1405),INT(MOD($A1405,10000)/100),IFERROR(VALUE(TRIM(LEFT(MID($A1405,FIND("/",$A1405)+1,20),FIND("/",MID($A1405,FIND("/",$A1405)+1,20))-1))),"")))</f>
        <v/>
      </c>
      <c r="D1405">
        <f>IF(OR($A1405="",$B1405=""),"",IF(ISNUMBER($A1405),MOD($A1405,100),IFERROR(VALUE(TRIM(MID(MID($A1405,FIND("/",$A1405)+1,20),FIND("/",MID($A1405,FIND("/",$A1405)+1,20))+1,20))),"")))</f>
        <v/>
      </c>
      <c r="E1405">
        <f>IF($A1405="","",IF(OR($B1405="",$C1405="",$D1405="",$B1405&lt;1300,$B1405&gt;1500,$C1405&lt;1,$C1405&gt;12,$D1405&lt;1,$D1405&gt;31),"نامعتبر",RIGHT("0000"&amp;$B1405,4)&amp;"/"&amp;RIGHT("00"&amp;$C1405,2)&amp;"/"&amp;RIGHT("00"&amp;$D1405,2)))</f>
        <v/>
      </c>
      <c r="F1405">
        <f>IF(OR($E1405="",$E1405="نامعتبر"),"",LEFT($E1405,4)&amp;"/"&amp;MID($E1405,6,2))</f>
        <v/>
      </c>
      <c r="G1405">
        <f>IF(OR($E1405="",$E1405="نامعتبر",Sync!$Y1402=""),"",Sync!$Y1402)</f>
        <v/>
      </c>
      <c r="H1405">
        <f>IF($G1405="","",IF(Sync!$X1402="","",Sync!$X1402))</f>
        <v/>
      </c>
      <c r="I1405">
        <f>IF($G1405="","",IFERROR(VLOOKUP(Sync!$X1402,OpTbl,3,0),""))</f>
        <v/>
      </c>
      <c r="J1405">
        <f>IF(OR($G1405="",Sync!$Z1402=""),"",Sync!$Z1402)</f>
        <v/>
      </c>
      <c r="K1405">
        <f>IF(OR($G1405="",Sync!$AA1402=""),"",Sync!$AA1402)</f>
        <v/>
      </c>
      <c r="L1405">
        <f>IF($G1405="",0,IF(Sync!$AB1402="",0,Sync!$AB1402))</f>
        <v/>
      </c>
      <c r="M1405">
        <f>IF($G1405="",0,IF(Sync!$AC1402="",0,Sync!$AC1402))</f>
        <v/>
      </c>
      <c r="N1405">
        <f>IF($G1405="","",IF($H1405="مرجوعی خرید",-1,1)*($L1405-$M1405*IFERROR(VLOOKUP("P01",ParamTbl,3,0),1.5))*(1-IF($I1405="خرید",IFERROR(VLOOKUP("P02",ParamTbl,3,0),1),0)/100))</f>
        <v/>
      </c>
      <c r="O1405">
        <f>IF($G1405="",0,IF($H1405="مرجوعی خرید",-1,1)*IF(Sync!$AD1402="",0,Sync!$AD1402))</f>
        <v/>
      </c>
      <c r="P1405">
        <f>IF(OR($G1405="",Sync!$W1402=""),"",Sync!$W1402)</f>
        <v/>
      </c>
      <c r="Q1405">
        <f>IF(OR($G1405="",Sync!$AE1402=""),"",Sync!$AE1402)</f>
        <v/>
      </c>
      <c r="R1405">
        <f>IF($G1405="","",IF(Sync!$V1402="","0000",IF(AND(ISNUMBER(Sync!$V1402),Sync!$V1402&gt;=0,Sync!$V1402&lt;1),RIGHT("00"&amp;HOUR(Sync!$V1402),2)&amp;RIGHT("00"&amp;MINUTE(Sync!$V1402),2),IFERROR(RIGHT("00"&amp;VALUE(LEFT(Sync!$V1402,FIND(":",Sync!$V1402)-1)),2)&amp;RIGHT("00"&amp;VALUE(MID(Sync!$V1402,FIND(":",Sync!$V1402)+1,2)),2),"0000"))))</f>
        <v/>
      </c>
    </row>
    <row r="1406">
      <c r="A1406">
        <f>IF(Sync!$U1403="","",Sync!$U1403)</f>
        <v/>
      </c>
      <c r="B1406">
        <f>IF($A1406="","",IF(ISNUMBER($A1406),IF(AND($A1406&gt;=10000101,$A1406&lt;=99991231),INT($A1406/10000),""),IFERROR(VALUE(TRIM(LEFT($A1406,FIND("/",$A1406)-1))),"")))</f>
        <v/>
      </c>
      <c r="C1406">
        <f>IF(OR($A1406="",$B1406=""),"",IF(ISNUMBER($A1406),INT(MOD($A1406,10000)/100),IFERROR(VALUE(TRIM(LEFT(MID($A1406,FIND("/",$A1406)+1,20),FIND("/",MID($A1406,FIND("/",$A1406)+1,20))-1))),"")))</f>
        <v/>
      </c>
      <c r="D1406">
        <f>IF(OR($A1406="",$B1406=""),"",IF(ISNUMBER($A1406),MOD($A1406,100),IFERROR(VALUE(TRIM(MID(MID($A1406,FIND("/",$A1406)+1,20),FIND("/",MID($A1406,FIND("/",$A1406)+1,20))+1,20))),"")))</f>
        <v/>
      </c>
      <c r="E1406">
        <f>IF($A1406="","",IF(OR($B1406="",$C1406="",$D1406="",$B1406&lt;1300,$B1406&gt;1500,$C1406&lt;1,$C1406&gt;12,$D1406&lt;1,$D1406&gt;31),"نامعتبر",RIGHT("0000"&amp;$B1406,4)&amp;"/"&amp;RIGHT("00"&amp;$C1406,2)&amp;"/"&amp;RIGHT("00"&amp;$D1406,2)))</f>
        <v/>
      </c>
      <c r="F1406">
        <f>IF(OR($E1406="",$E1406="نامعتبر"),"",LEFT($E1406,4)&amp;"/"&amp;MID($E1406,6,2))</f>
        <v/>
      </c>
      <c r="G1406">
        <f>IF(OR($E1406="",$E1406="نامعتبر",Sync!$Y1403=""),"",Sync!$Y1403)</f>
        <v/>
      </c>
      <c r="H1406">
        <f>IF($G1406="","",IF(Sync!$X1403="","",Sync!$X1403))</f>
        <v/>
      </c>
      <c r="I1406">
        <f>IF($G1406="","",IFERROR(VLOOKUP(Sync!$X1403,OpTbl,3,0),""))</f>
        <v/>
      </c>
      <c r="J1406">
        <f>IF(OR($G1406="",Sync!$Z1403=""),"",Sync!$Z1403)</f>
        <v/>
      </c>
      <c r="K1406">
        <f>IF(OR($G1406="",Sync!$AA1403=""),"",Sync!$AA1403)</f>
        <v/>
      </c>
      <c r="L1406">
        <f>IF($G1406="",0,IF(Sync!$AB1403="",0,Sync!$AB1403))</f>
        <v/>
      </c>
      <c r="M1406">
        <f>IF($G1406="",0,IF(Sync!$AC1403="",0,Sync!$AC1403))</f>
        <v/>
      </c>
      <c r="N1406">
        <f>IF($G1406="","",IF($H1406="مرجوعی خرید",-1,1)*($L1406-$M1406*IFERROR(VLOOKUP("P01",ParamTbl,3,0),1.5))*(1-IF($I1406="خرید",IFERROR(VLOOKUP("P02",ParamTbl,3,0),1),0)/100))</f>
        <v/>
      </c>
      <c r="O1406">
        <f>IF($G1406="",0,IF($H1406="مرجوعی خرید",-1,1)*IF(Sync!$AD1403="",0,Sync!$AD1403))</f>
        <v/>
      </c>
      <c r="P1406">
        <f>IF(OR($G1406="",Sync!$W1403=""),"",Sync!$W1403)</f>
        <v/>
      </c>
      <c r="Q1406">
        <f>IF(OR($G1406="",Sync!$AE1403=""),"",Sync!$AE1403)</f>
        <v/>
      </c>
      <c r="R1406">
        <f>IF($G1406="","",IF(Sync!$V1403="","0000",IF(AND(ISNUMBER(Sync!$V1403),Sync!$V1403&gt;=0,Sync!$V1403&lt;1),RIGHT("00"&amp;HOUR(Sync!$V1403),2)&amp;RIGHT("00"&amp;MINUTE(Sync!$V1403),2),IFERROR(RIGHT("00"&amp;VALUE(LEFT(Sync!$V1403,FIND(":",Sync!$V1403)-1)),2)&amp;RIGHT("00"&amp;VALUE(MID(Sync!$V1403,FIND(":",Sync!$V1403)+1,2)),2),"0000"))))</f>
        <v/>
      </c>
    </row>
    <row r="1407">
      <c r="A1407">
        <f>IF(Sync!$U1404="","",Sync!$U1404)</f>
        <v/>
      </c>
      <c r="B1407">
        <f>IF($A1407="","",IF(ISNUMBER($A1407),IF(AND($A1407&gt;=10000101,$A1407&lt;=99991231),INT($A1407/10000),""),IFERROR(VALUE(TRIM(LEFT($A1407,FIND("/",$A1407)-1))),"")))</f>
        <v/>
      </c>
      <c r="C1407">
        <f>IF(OR($A1407="",$B1407=""),"",IF(ISNUMBER($A1407),INT(MOD($A1407,10000)/100),IFERROR(VALUE(TRIM(LEFT(MID($A1407,FIND("/",$A1407)+1,20),FIND("/",MID($A1407,FIND("/",$A1407)+1,20))-1))),"")))</f>
        <v/>
      </c>
      <c r="D1407">
        <f>IF(OR($A1407="",$B1407=""),"",IF(ISNUMBER($A1407),MOD($A1407,100),IFERROR(VALUE(TRIM(MID(MID($A1407,FIND("/",$A1407)+1,20),FIND("/",MID($A1407,FIND("/",$A1407)+1,20))+1,20))),"")))</f>
        <v/>
      </c>
      <c r="E1407">
        <f>IF($A1407="","",IF(OR($B1407="",$C1407="",$D1407="",$B1407&lt;1300,$B1407&gt;1500,$C1407&lt;1,$C1407&gt;12,$D1407&lt;1,$D1407&gt;31),"نامعتبر",RIGHT("0000"&amp;$B1407,4)&amp;"/"&amp;RIGHT("00"&amp;$C1407,2)&amp;"/"&amp;RIGHT("00"&amp;$D1407,2)))</f>
        <v/>
      </c>
      <c r="F1407">
        <f>IF(OR($E1407="",$E1407="نامعتبر"),"",LEFT($E1407,4)&amp;"/"&amp;MID($E1407,6,2))</f>
        <v/>
      </c>
      <c r="G1407">
        <f>IF(OR($E1407="",$E1407="نامعتبر",Sync!$Y1404=""),"",Sync!$Y1404)</f>
        <v/>
      </c>
      <c r="H1407">
        <f>IF($G1407="","",IF(Sync!$X1404="","",Sync!$X1404))</f>
        <v/>
      </c>
      <c r="I1407">
        <f>IF($G1407="","",IFERROR(VLOOKUP(Sync!$X1404,OpTbl,3,0),""))</f>
        <v/>
      </c>
      <c r="J1407">
        <f>IF(OR($G1407="",Sync!$Z1404=""),"",Sync!$Z1404)</f>
        <v/>
      </c>
      <c r="K1407">
        <f>IF(OR($G1407="",Sync!$AA1404=""),"",Sync!$AA1404)</f>
        <v/>
      </c>
      <c r="L1407">
        <f>IF($G1407="",0,IF(Sync!$AB1404="",0,Sync!$AB1404))</f>
        <v/>
      </c>
      <c r="M1407">
        <f>IF($G1407="",0,IF(Sync!$AC1404="",0,Sync!$AC1404))</f>
        <v/>
      </c>
      <c r="N1407">
        <f>IF($G1407="","",IF($H1407="مرجوعی خرید",-1,1)*($L1407-$M1407*IFERROR(VLOOKUP("P01",ParamTbl,3,0),1.5))*(1-IF($I1407="خرید",IFERROR(VLOOKUP("P02",ParamTbl,3,0),1),0)/100))</f>
        <v/>
      </c>
      <c r="O1407">
        <f>IF($G1407="",0,IF($H1407="مرجوعی خرید",-1,1)*IF(Sync!$AD1404="",0,Sync!$AD1404))</f>
        <v/>
      </c>
      <c r="P1407">
        <f>IF(OR($G1407="",Sync!$W1404=""),"",Sync!$W1404)</f>
        <v/>
      </c>
      <c r="Q1407">
        <f>IF(OR($G1407="",Sync!$AE1404=""),"",Sync!$AE1404)</f>
        <v/>
      </c>
      <c r="R1407">
        <f>IF($G1407="","",IF(Sync!$V1404="","0000",IF(AND(ISNUMBER(Sync!$V1404),Sync!$V1404&gt;=0,Sync!$V1404&lt;1),RIGHT("00"&amp;HOUR(Sync!$V1404),2)&amp;RIGHT("00"&amp;MINUTE(Sync!$V1404),2),IFERROR(RIGHT("00"&amp;VALUE(LEFT(Sync!$V1404,FIND(":",Sync!$V1404)-1)),2)&amp;RIGHT("00"&amp;VALUE(MID(Sync!$V1404,FIND(":",Sync!$V1404)+1,2)),2),"0000"))))</f>
        <v/>
      </c>
    </row>
    <row r="1408">
      <c r="A1408">
        <f>IF(Sync!$U1405="","",Sync!$U1405)</f>
        <v/>
      </c>
      <c r="B1408">
        <f>IF($A1408="","",IF(ISNUMBER($A1408),IF(AND($A1408&gt;=10000101,$A1408&lt;=99991231),INT($A1408/10000),""),IFERROR(VALUE(TRIM(LEFT($A1408,FIND("/",$A1408)-1))),"")))</f>
        <v/>
      </c>
      <c r="C1408">
        <f>IF(OR($A1408="",$B1408=""),"",IF(ISNUMBER($A1408),INT(MOD($A1408,10000)/100),IFERROR(VALUE(TRIM(LEFT(MID($A1408,FIND("/",$A1408)+1,20),FIND("/",MID($A1408,FIND("/",$A1408)+1,20))-1))),"")))</f>
        <v/>
      </c>
      <c r="D1408">
        <f>IF(OR($A1408="",$B1408=""),"",IF(ISNUMBER($A1408),MOD($A1408,100),IFERROR(VALUE(TRIM(MID(MID($A1408,FIND("/",$A1408)+1,20),FIND("/",MID($A1408,FIND("/",$A1408)+1,20))+1,20))),"")))</f>
        <v/>
      </c>
      <c r="E1408">
        <f>IF($A1408="","",IF(OR($B1408="",$C1408="",$D1408="",$B1408&lt;1300,$B1408&gt;1500,$C1408&lt;1,$C1408&gt;12,$D1408&lt;1,$D1408&gt;31),"نامعتبر",RIGHT("0000"&amp;$B1408,4)&amp;"/"&amp;RIGHT("00"&amp;$C1408,2)&amp;"/"&amp;RIGHT("00"&amp;$D1408,2)))</f>
        <v/>
      </c>
      <c r="F1408">
        <f>IF(OR($E1408="",$E1408="نامعتبر"),"",LEFT($E1408,4)&amp;"/"&amp;MID($E1408,6,2))</f>
        <v/>
      </c>
      <c r="G1408">
        <f>IF(OR($E1408="",$E1408="نامعتبر",Sync!$Y1405=""),"",Sync!$Y1405)</f>
        <v/>
      </c>
      <c r="H1408">
        <f>IF($G1408="","",IF(Sync!$X1405="","",Sync!$X1405))</f>
        <v/>
      </c>
      <c r="I1408">
        <f>IF($G1408="","",IFERROR(VLOOKUP(Sync!$X1405,OpTbl,3,0),""))</f>
        <v/>
      </c>
      <c r="J1408">
        <f>IF(OR($G1408="",Sync!$Z1405=""),"",Sync!$Z1405)</f>
        <v/>
      </c>
      <c r="K1408">
        <f>IF(OR($G1408="",Sync!$AA1405=""),"",Sync!$AA1405)</f>
        <v/>
      </c>
      <c r="L1408">
        <f>IF($G1408="",0,IF(Sync!$AB1405="",0,Sync!$AB1405))</f>
        <v/>
      </c>
      <c r="M1408">
        <f>IF($G1408="",0,IF(Sync!$AC1405="",0,Sync!$AC1405))</f>
        <v/>
      </c>
      <c r="N1408">
        <f>IF($G1408="","",IF($H1408="مرجوعی خرید",-1,1)*($L1408-$M1408*IFERROR(VLOOKUP("P01",ParamTbl,3,0),1.5))*(1-IF($I1408="خرید",IFERROR(VLOOKUP("P02",ParamTbl,3,0),1),0)/100))</f>
        <v/>
      </c>
      <c r="O1408">
        <f>IF($G1408="",0,IF($H1408="مرجوعی خرید",-1,1)*IF(Sync!$AD1405="",0,Sync!$AD1405))</f>
        <v/>
      </c>
      <c r="P1408">
        <f>IF(OR($G1408="",Sync!$W1405=""),"",Sync!$W1405)</f>
        <v/>
      </c>
      <c r="Q1408">
        <f>IF(OR($G1408="",Sync!$AE1405=""),"",Sync!$AE1405)</f>
        <v/>
      </c>
      <c r="R1408">
        <f>IF($G1408="","",IF(Sync!$V1405="","0000",IF(AND(ISNUMBER(Sync!$V1405),Sync!$V1405&gt;=0,Sync!$V1405&lt;1),RIGHT("00"&amp;HOUR(Sync!$V1405),2)&amp;RIGHT("00"&amp;MINUTE(Sync!$V1405),2),IFERROR(RIGHT("00"&amp;VALUE(LEFT(Sync!$V1405,FIND(":",Sync!$V1405)-1)),2)&amp;RIGHT("00"&amp;VALUE(MID(Sync!$V1405,FIND(":",Sync!$V1405)+1,2)),2),"0000"))))</f>
        <v/>
      </c>
    </row>
    <row r="1409">
      <c r="A1409">
        <f>IF(Sync!$U1406="","",Sync!$U1406)</f>
        <v/>
      </c>
      <c r="B1409">
        <f>IF($A1409="","",IF(ISNUMBER($A1409),IF(AND($A1409&gt;=10000101,$A1409&lt;=99991231),INT($A1409/10000),""),IFERROR(VALUE(TRIM(LEFT($A1409,FIND("/",$A1409)-1))),"")))</f>
        <v/>
      </c>
      <c r="C1409">
        <f>IF(OR($A1409="",$B1409=""),"",IF(ISNUMBER($A1409),INT(MOD($A1409,10000)/100),IFERROR(VALUE(TRIM(LEFT(MID($A1409,FIND("/",$A1409)+1,20),FIND("/",MID($A1409,FIND("/",$A1409)+1,20))-1))),"")))</f>
        <v/>
      </c>
      <c r="D1409">
        <f>IF(OR($A1409="",$B1409=""),"",IF(ISNUMBER($A1409),MOD($A1409,100),IFERROR(VALUE(TRIM(MID(MID($A1409,FIND("/",$A1409)+1,20),FIND("/",MID($A1409,FIND("/",$A1409)+1,20))+1,20))),"")))</f>
        <v/>
      </c>
      <c r="E1409">
        <f>IF($A1409="","",IF(OR($B1409="",$C1409="",$D1409="",$B1409&lt;1300,$B1409&gt;1500,$C1409&lt;1,$C1409&gt;12,$D1409&lt;1,$D1409&gt;31),"نامعتبر",RIGHT("0000"&amp;$B1409,4)&amp;"/"&amp;RIGHT("00"&amp;$C1409,2)&amp;"/"&amp;RIGHT("00"&amp;$D1409,2)))</f>
        <v/>
      </c>
      <c r="F1409">
        <f>IF(OR($E1409="",$E1409="نامعتبر"),"",LEFT($E1409,4)&amp;"/"&amp;MID($E1409,6,2))</f>
        <v/>
      </c>
      <c r="G1409">
        <f>IF(OR($E1409="",$E1409="نامعتبر",Sync!$Y1406=""),"",Sync!$Y1406)</f>
        <v/>
      </c>
      <c r="H1409">
        <f>IF($G1409="","",IF(Sync!$X1406="","",Sync!$X1406))</f>
        <v/>
      </c>
      <c r="I1409">
        <f>IF($G1409="","",IFERROR(VLOOKUP(Sync!$X1406,OpTbl,3,0),""))</f>
        <v/>
      </c>
      <c r="J1409">
        <f>IF(OR($G1409="",Sync!$Z1406=""),"",Sync!$Z1406)</f>
        <v/>
      </c>
      <c r="K1409">
        <f>IF(OR($G1409="",Sync!$AA1406=""),"",Sync!$AA1406)</f>
        <v/>
      </c>
      <c r="L1409">
        <f>IF($G1409="",0,IF(Sync!$AB1406="",0,Sync!$AB1406))</f>
        <v/>
      </c>
      <c r="M1409">
        <f>IF($G1409="",0,IF(Sync!$AC1406="",0,Sync!$AC1406))</f>
        <v/>
      </c>
      <c r="N1409">
        <f>IF($G1409="","",IF($H1409="مرجوعی خرید",-1,1)*($L1409-$M1409*IFERROR(VLOOKUP("P01",ParamTbl,3,0),1.5))*(1-IF($I1409="خرید",IFERROR(VLOOKUP("P02",ParamTbl,3,0),1),0)/100))</f>
        <v/>
      </c>
      <c r="O1409">
        <f>IF($G1409="",0,IF($H1409="مرجوعی خرید",-1,1)*IF(Sync!$AD1406="",0,Sync!$AD1406))</f>
        <v/>
      </c>
      <c r="P1409">
        <f>IF(OR($G1409="",Sync!$W1406=""),"",Sync!$W1406)</f>
        <v/>
      </c>
      <c r="Q1409">
        <f>IF(OR($G1409="",Sync!$AE1406=""),"",Sync!$AE1406)</f>
        <v/>
      </c>
      <c r="R1409">
        <f>IF($G1409="","",IF(Sync!$V1406="","0000",IF(AND(ISNUMBER(Sync!$V1406),Sync!$V1406&gt;=0,Sync!$V1406&lt;1),RIGHT("00"&amp;HOUR(Sync!$V1406),2)&amp;RIGHT("00"&amp;MINUTE(Sync!$V1406),2),IFERROR(RIGHT("00"&amp;VALUE(LEFT(Sync!$V1406,FIND(":",Sync!$V1406)-1)),2)&amp;RIGHT("00"&amp;VALUE(MID(Sync!$V1406,FIND(":",Sync!$V1406)+1,2)),2),"0000"))))</f>
        <v/>
      </c>
    </row>
    <row r="1410">
      <c r="A1410">
        <f>IF(Sync!$U1407="","",Sync!$U1407)</f>
        <v/>
      </c>
      <c r="B1410">
        <f>IF($A1410="","",IF(ISNUMBER($A1410),IF(AND($A1410&gt;=10000101,$A1410&lt;=99991231),INT($A1410/10000),""),IFERROR(VALUE(TRIM(LEFT($A1410,FIND("/",$A1410)-1))),"")))</f>
        <v/>
      </c>
      <c r="C1410">
        <f>IF(OR($A1410="",$B1410=""),"",IF(ISNUMBER($A1410),INT(MOD($A1410,10000)/100),IFERROR(VALUE(TRIM(LEFT(MID($A1410,FIND("/",$A1410)+1,20),FIND("/",MID($A1410,FIND("/",$A1410)+1,20))-1))),"")))</f>
        <v/>
      </c>
      <c r="D1410">
        <f>IF(OR($A1410="",$B1410=""),"",IF(ISNUMBER($A1410),MOD($A1410,100),IFERROR(VALUE(TRIM(MID(MID($A1410,FIND("/",$A1410)+1,20),FIND("/",MID($A1410,FIND("/",$A1410)+1,20))+1,20))),"")))</f>
        <v/>
      </c>
      <c r="E1410">
        <f>IF($A1410="","",IF(OR($B1410="",$C1410="",$D1410="",$B1410&lt;1300,$B1410&gt;1500,$C1410&lt;1,$C1410&gt;12,$D1410&lt;1,$D1410&gt;31),"نامعتبر",RIGHT("0000"&amp;$B1410,4)&amp;"/"&amp;RIGHT("00"&amp;$C1410,2)&amp;"/"&amp;RIGHT("00"&amp;$D1410,2)))</f>
        <v/>
      </c>
      <c r="F1410">
        <f>IF(OR($E1410="",$E1410="نامعتبر"),"",LEFT($E1410,4)&amp;"/"&amp;MID($E1410,6,2))</f>
        <v/>
      </c>
      <c r="G1410">
        <f>IF(OR($E1410="",$E1410="نامعتبر",Sync!$Y1407=""),"",Sync!$Y1407)</f>
        <v/>
      </c>
      <c r="H1410">
        <f>IF($G1410="","",IF(Sync!$X1407="","",Sync!$X1407))</f>
        <v/>
      </c>
      <c r="I1410">
        <f>IF($G1410="","",IFERROR(VLOOKUP(Sync!$X1407,OpTbl,3,0),""))</f>
        <v/>
      </c>
      <c r="J1410">
        <f>IF(OR($G1410="",Sync!$Z1407=""),"",Sync!$Z1407)</f>
        <v/>
      </c>
      <c r="K1410">
        <f>IF(OR($G1410="",Sync!$AA1407=""),"",Sync!$AA1407)</f>
        <v/>
      </c>
      <c r="L1410">
        <f>IF($G1410="",0,IF(Sync!$AB1407="",0,Sync!$AB1407))</f>
        <v/>
      </c>
      <c r="M1410">
        <f>IF($G1410="",0,IF(Sync!$AC1407="",0,Sync!$AC1407))</f>
        <v/>
      </c>
      <c r="N1410">
        <f>IF($G1410="","",IF($H1410="مرجوعی خرید",-1,1)*($L1410-$M1410*IFERROR(VLOOKUP("P01",ParamTbl,3,0),1.5))*(1-IF($I1410="خرید",IFERROR(VLOOKUP("P02",ParamTbl,3,0),1),0)/100))</f>
        <v/>
      </c>
      <c r="O1410">
        <f>IF($G1410="",0,IF($H1410="مرجوعی خرید",-1,1)*IF(Sync!$AD1407="",0,Sync!$AD1407))</f>
        <v/>
      </c>
      <c r="P1410">
        <f>IF(OR($G1410="",Sync!$W1407=""),"",Sync!$W1407)</f>
        <v/>
      </c>
      <c r="Q1410">
        <f>IF(OR($G1410="",Sync!$AE1407=""),"",Sync!$AE1407)</f>
        <v/>
      </c>
      <c r="R1410">
        <f>IF($G1410="","",IF(Sync!$V1407="","0000",IF(AND(ISNUMBER(Sync!$V1407),Sync!$V1407&gt;=0,Sync!$V1407&lt;1),RIGHT("00"&amp;HOUR(Sync!$V1407),2)&amp;RIGHT("00"&amp;MINUTE(Sync!$V1407),2),IFERROR(RIGHT("00"&amp;VALUE(LEFT(Sync!$V1407,FIND(":",Sync!$V1407)-1)),2)&amp;RIGHT("00"&amp;VALUE(MID(Sync!$V1407,FIND(":",Sync!$V1407)+1,2)),2),"0000"))))</f>
        <v/>
      </c>
    </row>
    <row r="1411">
      <c r="A1411">
        <f>IF(Sync!$U1408="","",Sync!$U1408)</f>
        <v/>
      </c>
      <c r="B1411">
        <f>IF($A1411="","",IF(ISNUMBER($A1411),IF(AND($A1411&gt;=10000101,$A1411&lt;=99991231),INT($A1411/10000),""),IFERROR(VALUE(TRIM(LEFT($A1411,FIND("/",$A1411)-1))),"")))</f>
        <v/>
      </c>
      <c r="C1411">
        <f>IF(OR($A1411="",$B1411=""),"",IF(ISNUMBER($A1411),INT(MOD($A1411,10000)/100),IFERROR(VALUE(TRIM(LEFT(MID($A1411,FIND("/",$A1411)+1,20),FIND("/",MID($A1411,FIND("/",$A1411)+1,20))-1))),"")))</f>
        <v/>
      </c>
      <c r="D1411">
        <f>IF(OR($A1411="",$B1411=""),"",IF(ISNUMBER($A1411),MOD($A1411,100),IFERROR(VALUE(TRIM(MID(MID($A1411,FIND("/",$A1411)+1,20),FIND("/",MID($A1411,FIND("/",$A1411)+1,20))+1,20))),"")))</f>
        <v/>
      </c>
      <c r="E1411">
        <f>IF($A1411="","",IF(OR($B1411="",$C1411="",$D1411="",$B1411&lt;1300,$B1411&gt;1500,$C1411&lt;1,$C1411&gt;12,$D1411&lt;1,$D1411&gt;31),"نامعتبر",RIGHT("0000"&amp;$B1411,4)&amp;"/"&amp;RIGHT("00"&amp;$C1411,2)&amp;"/"&amp;RIGHT("00"&amp;$D1411,2)))</f>
        <v/>
      </c>
      <c r="F1411">
        <f>IF(OR($E1411="",$E1411="نامعتبر"),"",LEFT($E1411,4)&amp;"/"&amp;MID($E1411,6,2))</f>
        <v/>
      </c>
      <c r="G1411">
        <f>IF(OR($E1411="",$E1411="نامعتبر",Sync!$Y1408=""),"",Sync!$Y1408)</f>
        <v/>
      </c>
      <c r="H1411">
        <f>IF($G1411="","",IF(Sync!$X1408="","",Sync!$X1408))</f>
        <v/>
      </c>
      <c r="I1411">
        <f>IF($G1411="","",IFERROR(VLOOKUP(Sync!$X1408,OpTbl,3,0),""))</f>
        <v/>
      </c>
      <c r="J1411">
        <f>IF(OR($G1411="",Sync!$Z1408=""),"",Sync!$Z1408)</f>
        <v/>
      </c>
      <c r="K1411">
        <f>IF(OR($G1411="",Sync!$AA1408=""),"",Sync!$AA1408)</f>
        <v/>
      </c>
      <c r="L1411">
        <f>IF($G1411="",0,IF(Sync!$AB1408="",0,Sync!$AB1408))</f>
        <v/>
      </c>
      <c r="M1411">
        <f>IF($G1411="",0,IF(Sync!$AC1408="",0,Sync!$AC1408))</f>
        <v/>
      </c>
      <c r="N1411">
        <f>IF($G1411="","",IF($H1411="مرجوعی خرید",-1,1)*($L1411-$M1411*IFERROR(VLOOKUP("P01",ParamTbl,3,0),1.5))*(1-IF($I1411="خرید",IFERROR(VLOOKUP("P02",ParamTbl,3,0),1),0)/100))</f>
        <v/>
      </c>
      <c r="O1411">
        <f>IF($G1411="",0,IF($H1411="مرجوعی خرید",-1,1)*IF(Sync!$AD1408="",0,Sync!$AD1408))</f>
        <v/>
      </c>
      <c r="P1411">
        <f>IF(OR($G1411="",Sync!$W1408=""),"",Sync!$W1408)</f>
        <v/>
      </c>
      <c r="Q1411">
        <f>IF(OR($G1411="",Sync!$AE1408=""),"",Sync!$AE1408)</f>
        <v/>
      </c>
      <c r="R1411">
        <f>IF($G1411="","",IF(Sync!$V1408="","0000",IF(AND(ISNUMBER(Sync!$V1408),Sync!$V1408&gt;=0,Sync!$V1408&lt;1),RIGHT("00"&amp;HOUR(Sync!$V1408),2)&amp;RIGHT("00"&amp;MINUTE(Sync!$V1408),2),IFERROR(RIGHT("00"&amp;VALUE(LEFT(Sync!$V1408,FIND(":",Sync!$V1408)-1)),2)&amp;RIGHT("00"&amp;VALUE(MID(Sync!$V1408,FIND(":",Sync!$V1408)+1,2)),2),"0000"))))</f>
        <v/>
      </c>
    </row>
    <row r="1412">
      <c r="A1412">
        <f>IF(Sync!$U1409="","",Sync!$U1409)</f>
        <v/>
      </c>
      <c r="B1412">
        <f>IF($A1412="","",IF(ISNUMBER($A1412),IF(AND($A1412&gt;=10000101,$A1412&lt;=99991231),INT($A1412/10000),""),IFERROR(VALUE(TRIM(LEFT($A1412,FIND("/",$A1412)-1))),"")))</f>
        <v/>
      </c>
      <c r="C1412">
        <f>IF(OR($A1412="",$B1412=""),"",IF(ISNUMBER($A1412),INT(MOD($A1412,10000)/100),IFERROR(VALUE(TRIM(LEFT(MID($A1412,FIND("/",$A1412)+1,20),FIND("/",MID($A1412,FIND("/",$A1412)+1,20))-1))),"")))</f>
        <v/>
      </c>
      <c r="D1412">
        <f>IF(OR($A1412="",$B1412=""),"",IF(ISNUMBER($A1412),MOD($A1412,100),IFERROR(VALUE(TRIM(MID(MID($A1412,FIND("/",$A1412)+1,20),FIND("/",MID($A1412,FIND("/",$A1412)+1,20))+1,20))),"")))</f>
        <v/>
      </c>
      <c r="E1412">
        <f>IF($A1412="","",IF(OR($B1412="",$C1412="",$D1412="",$B1412&lt;1300,$B1412&gt;1500,$C1412&lt;1,$C1412&gt;12,$D1412&lt;1,$D1412&gt;31),"نامعتبر",RIGHT("0000"&amp;$B1412,4)&amp;"/"&amp;RIGHT("00"&amp;$C1412,2)&amp;"/"&amp;RIGHT("00"&amp;$D1412,2)))</f>
        <v/>
      </c>
      <c r="F1412">
        <f>IF(OR($E1412="",$E1412="نامعتبر"),"",LEFT($E1412,4)&amp;"/"&amp;MID($E1412,6,2))</f>
        <v/>
      </c>
      <c r="G1412">
        <f>IF(OR($E1412="",$E1412="نامعتبر",Sync!$Y1409=""),"",Sync!$Y1409)</f>
        <v/>
      </c>
      <c r="H1412">
        <f>IF($G1412="","",IF(Sync!$X1409="","",Sync!$X1409))</f>
        <v/>
      </c>
      <c r="I1412">
        <f>IF($G1412="","",IFERROR(VLOOKUP(Sync!$X1409,OpTbl,3,0),""))</f>
        <v/>
      </c>
      <c r="J1412">
        <f>IF(OR($G1412="",Sync!$Z1409=""),"",Sync!$Z1409)</f>
        <v/>
      </c>
      <c r="K1412">
        <f>IF(OR($G1412="",Sync!$AA1409=""),"",Sync!$AA1409)</f>
        <v/>
      </c>
      <c r="L1412">
        <f>IF($G1412="",0,IF(Sync!$AB1409="",0,Sync!$AB1409))</f>
        <v/>
      </c>
      <c r="M1412">
        <f>IF($G1412="",0,IF(Sync!$AC1409="",0,Sync!$AC1409))</f>
        <v/>
      </c>
      <c r="N1412">
        <f>IF($G1412="","",IF($H1412="مرجوعی خرید",-1,1)*($L1412-$M1412*IFERROR(VLOOKUP("P01",ParamTbl,3,0),1.5))*(1-IF($I1412="خرید",IFERROR(VLOOKUP("P02",ParamTbl,3,0),1),0)/100))</f>
        <v/>
      </c>
      <c r="O1412">
        <f>IF($G1412="",0,IF($H1412="مرجوعی خرید",-1,1)*IF(Sync!$AD1409="",0,Sync!$AD1409))</f>
        <v/>
      </c>
      <c r="P1412">
        <f>IF(OR($G1412="",Sync!$W1409=""),"",Sync!$W1409)</f>
        <v/>
      </c>
      <c r="Q1412">
        <f>IF(OR($G1412="",Sync!$AE1409=""),"",Sync!$AE1409)</f>
        <v/>
      </c>
      <c r="R1412">
        <f>IF($G1412="","",IF(Sync!$V1409="","0000",IF(AND(ISNUMBER(Sync!$V1409),Sync!$V1409&gt;=0,Sync!$V1409&lt;1),RIGHT("00"&amp;HOUR(Sync!$V1409),2)&amp;RIGHT("00"&amp;MINUTE(Sync!$V1409),2),IFERROR(RIGHT("00"&amp;VALUE(LEFT(Sync!$V1409,FIND(":",Sync!$V1409)-1)),2)&amp;RIGHT("00"&amp;VALUE(MID(Sync!$V1409,FIND(":",Sync!$V1409)+1,2)),2),"0000"))))</f>
        <v/>
      </c>
    </row>
    <row r="1413">
      <c r="A1413">
        <f>IF(Sync!$U1410="","",Sync!$U1410)</f>
        <v/>
      </c>
      <c r="B1413">
        <f>IF($A1413="","",IF(ISNUMBER($A1413),IF(AND($A1413&gt;=10000101,$A1413&lt;=99991231),INT($A1413/10000),""),IFERROR(VALUE(TRIM(LEFT($A1413,FIND("/",$A1413)-1))),"")))</f>
        <v/>
      </c>
      <c r="C1413">
        <f>IF(OR($A1413="",$B1413=""),"",IF(ISNUMBER($A1413),INT(MOD($A1413,10000)/100),IFERROR(VALUE(TRIM(LEFT(MID($A1413,FIND("/",$A1413)+1,20),FIND("/",MID($A1413,FIND("/",$A1413)+1,20))-1))),"")))</f>
        <v/>
      </c>
      <c r="D1413">
        <f>IF(OR($A1413="",$B1413=""),"",IF(ISNUMBER($A1413),MOD($A1413,100),IFERROR(VALUE(TRIM(MID(MID($A1413,FIND("/",$A1413)+1,20),FIND("/",MID($A1413,FIND("/",$A1413)+1,20))+1,20))),"")))</f>
        <v/>
      </c>
      <c r="E1413">
        <f>IF($A1413="","",IF(OR($B1413="",$C1413="",$D1413="",$B1413&lt;1300,$B1413&gt;1500,$C1413&lt;1,$C1413&gt;12,$D1413&lt;1,$D1413&gt;31),"نامعتبر",RIGHT("0000"&amp;$B1413,4)&amp;"/"&amp;RIGHT("00"&amp;$C1413,2)&amp;"/"&amp;RIGHT("00"&amp;$D1413,2)))</f>
        <v/>
      </c>
      <c r="F1413">
        <f>IF(OR($E1413="",$E1413="نامعتبر"),"",LEFT($E1413,4)&amp;"/"&amp;MID($E1413,6,2))</f>
        <v/>
      </c>
      <c r="G1413">
        <f>IF(OR($E1413="",$E1413="نامعتبر",Sync!$Y1410=""),"",Sync!$Y1410)</f>
        <v/>
      </c>
      <c r="H1413">
        <f>IF($G1413="","",IF(Sync!$X1410="","",Sync!$X1410))</f>
        <v/>
      </c>
      <c r="I1413">
        <f>IF($G1413="","",IFERROR(VLOOKUP(Sync!$X1410,OpTbl,3,0),""))</f>
        <v/>
      </c>
      <c r="J1413">
        <f>IF(OR($G1413="",Sync!$Z1410=""),"",Sync!$Z1410)</f>
        <v/>
      </c>
      <c r="K1413">
        <f>IF(OR($G1413="",Sync!$AA1410=""),"",Sync!$AA1410)</f>
        <v/>
      </c>
      <c r="L1413">
        <f>IF($G1413="",0,IF(Sync!$AB1410="",0,Sync!$AB1410))</f>
        <v/>
      </c>
      <c r="M1413">
        <f>IF($G1413="",0,IF(Sync!$AC1410="",0,Sync!$AC1410))</f>
        <v/>
      </c>
      <c r="N1413">
        <f>IF($G1413="","",IF($H1413="مرجوعی خرید",-1,1)*($L1413-$M1413*IFERROR(VLOOKUP("P01",ParamTbl,3,0),1.5))*(1-IF($I1413="خرید",IFERROR(VLOOKUP("P02",ParamTbl,3,0),1),0)/100))</f>
        <v/>
      </c>
      <c r="O1413">
        <f>IF($G1413="",0,IF($H1413="مرجوعی خرید",-1,1)*IF(Sync!$AD1410="",0,Sync!$AD1410))</f>
        <v/>
      </c>
      <c r="P1413">
        <f>IF(OR($G1413="",Sync!$W1410=""),"",Sync!$W1410)</f>
        <v/>
      </c>
      <c r="Q1413">
        <f>IF(OR($G1413="",Sync!$AE1410=""),"",Sync!$AE1410)</f>
        <v/>
      </c>
      <c r="R1413">
        <f>IF($G1413="","",IF(Sync!$V1410="","0000",IF(AND(ISNUMBER(Sync!$V1410),Sync!$V1410&gt;=0,Sync!$V1410&lt;1),RIGHT("00"&amp;HOUR(Sync!$V1410),2)&amp;RIGHT("00"&amp;MINUTE(Sync!$V1410),2),IFERROR(RIGHT("00"&amp;VALUE(LEFT(Sync!$V1410,FIND(":",Sync!$V1410)-1)),2)&amp;RIGHT("00"&amp;VALUE(MID(Sync!$V1410,FIND(":",Sync!$V1410)+1,2)),2),"0000"))))</f>
        <v/>
      </c>
    </row>
    <row r="1414">
      <c r="A1414">
        <f>IF(Sync!$U1411="","",Sync!$U1411)</f>
        <v/>
      </c>
      <c r="B1414">
        <f>IF($A1414="","",IF(ISNUMBER($A1414),IF(AND($A1414&gt;=10000101,$A1414&lt;=99991231),INT($A1414/10000),""),IFERROR(VALUE(TRIM(LEFT($A1414,FIND("/",$A1414)-1))),"")))</f>
        <v/>
      </c>
      <c r="C1414">
        <f>IF(OR($A1414="",$B1414=""),"",IF(ISNUMBER($A1414),INT(MOD($A1414,10000)/100),IFERROR(VALUE(TRIM(LEFT(MID($A1414,FIND("/",$A1414)+1,20),FIND("/",MID($A1414,FIND("/",$A1414)+1,20))-1))),"")))</f>
        <v/>
      </c>
      <c r="D1414">
        <f>IF(OR($A1414="",$B1414=""),"",IF(ISNUMBER($A1414),MOD($A1414,100),IFERROR(VALUE(TRIM(MID(MID($A1414,FIND("/",$A1414)+1,20),FIND("/",MID($A1414,FIND("/",$A1414)+1,20))+1,20))),"")))</f>
        <v/>
      </c>
      <c r="E1414">
        <f>IF($A1414="","",IF(OR($B1414="",$C1414="",$D1414="",$B1414&lt;1300,$B1414&gt;1500,$C1414&lt;1,$C1414&gt;12,$D1414&lt;1,$D1414&gt;31),"نامعتبر",RIGHT("0000"&amp;$B1414,4)&amp;"/"&amp;RIGHT("00"&amp;$C1414,2)&amp;"/"&amp;RIGHT("00"&amp;$D1414,2)))</f>
        <v/>
      </c>
      <c r="F1414">
        <f>IF(OR($E1414="",$E1414="نامعتبر"),"",LEFT($E1414,4)&amp;"/"&amp;MID($E1414,6,2))</f>
        <v/>
      </c>
      <c r="G1414">
        <f>IF(OR($E1414="",$E1414="نامعتبر",Sync!$Y1411=""),"",Sync!$Y1411)</f>
        <v/>
      </c>
      <c r="H1414">
        <f>IF($G1414="","",IF(Sync!$X1411="","",Sync!$X1411))</f>
        <v/>
      </c>
      <c r="I1414">
        <f>IF($G1414="","",IFERROR(VLOOKUP(Sync!$X1411,OpTbl,3,0),""))</f>
        <v/>
      </c>
      <c r="J1414">
        <f>IF(OR($G1414="",Sync!$Z1411=""),"",Sync!$Z1411)</f>
        <v/>
      </c>
      <c r="K1414">
        <f>IF(OR($G1414="",Sync!$AA1411=""),"",Sync!$AA1411)</f>
        <v/>
      </c>
      <c r="L1414">
        <f>IF($G1414="",0,IF(Sync!$AB1411="",0,Sync!$AB1411))</f>
        <v/>
      </c>
      <c r="M1414">
        <f>IF($G1414="",0,IF(Sync!$AC1411="",0,Sync!$AC1411))</f>
        <v/>
      </c>
      <c r="N1414">
        <f>IF($G1414="","",IF($H1414="مرجوعی خرید",-1,1)*($L1414-$M1414*IFERROR(VLOOKUP("P01",ParamTbl,3,0),1.5))*(1-IF($I1414="خرید",IFERROR(VLOOKUP("P02",ParamTbl,3,0),1),0)/100))</f>
        <v/>
      </c>
      <c r="O1414">
        <f>IF($G1414="",0,IF($H1414="مرجوعی خرید",-1,1)*IF(Sync!$AD1411="",0,Sync!$AD1411))</f>
        <v/>
      </c>
      <c r="P1414">
        <f>IF(OR($G1414="",Sync!$W1411=""),"",Sync!$W1411)</f>
        <v/>
      </c>
      <c r="Q1414">
        <f>IF(OR($G1414="",Sync!$AE1411=""),"",Sync!$AE1411)</f>
        <v/>
      </c>
      <c r="R1414">
        <f>IF($G1414="","",IF(Sync!$V1411="","0000",IF(AND(ISNUMBER(Sync!$V1411),Sync!$V1411&gt;=0,Sync!$V1411&lt;1),RIGHT("00"&amp;HOUR(Sync!$V1411),2)&amp;RIGHT("00"&amp;MINUTE(Sync!$V1411),2),IFERROR(RIGHT("00"&amp;VALUE(LEFT(Sync!$V1411,FIND(":",Sync!$V1411)-1)),2)&amp;RIGHT("00"&amp;VALUE(MID(Sync!$V1411,FIND(":",Sync!$V1411)+1,2)),2),"0000"))))</f>
        <v/>
      </c>
    </row>
    <row r="1415">
      <c r="A1415">
        <f>IF(Sync!$U1412="","",Sync!$U1412)</f>
        <v/>
      </c>
      <c r="B1415">
        <f>IF($A1415="","",IF(ISNUMBER($A1415),IF(AND($A1415&gt;=10000101,$A1415&lt;=99991231),INT($A1415/10000),""),IFERROR(VALUE(TRIM(LEFT($A1415,FIND("/",$A1415)-1))),"")))</f>
        <v/>
      </c>
      <c r="C1415">
        <f>IF(OR($A1415="",$B1415=""),"",IF(ISNUMBER($A1415),INT(MOD($A1415,10000)/100),IFERROR(VALUE(TRIM(LEFT(MID($A1415,FIND("/",$A1415)+1,20),FIND("/",MID($A1415,FIND("/",$A1415)+1,20))-1))),"")))</f>
        <v/>
      </c>
      <c r="D1415">
        <f>IF(OR($A1415="",$B1415=""),"",IF(ISNUMBER($A1415),MOD($A1415,100),IFERROR(VALUE(TRIM(MID(MID($A1415,FIND("/",$A1415)+1,20),FIND("/",MID($A1415,FIND("/",$A1415)+1,20))+1,20))),"")))</f>
        <v/>
      </c>
      <c r="E1415">
        <f>IF($A1415="","",IF(OR($B1415="",$C1415="",$D1415="",$B1415&lt;1300,$B1415&gt;1500,$C1415&lt;1,$C1415&gt;12,$D1415&lt;1,$D1415&gt;31),"نامعتبر",RIGHT("0000"&amp;$B1415,4)&amp;"/"&amp;RIGHT("00"&amp;$C1415,2)&amp;"/"&amp;RIGHT("00"&amp;$D1415,2)))</f>
        <v/>
      </c>
      <c r="F1415">
        <f>IF(OR($E1415="",$E1415="نامعتبر"),"",LEFT($E1415,4)&amp;"/"&amp;MID($E1415,6,2))</f>
        <v/>
      </c>
      <c r="G1415">
        <f>IF(OR($E1415="",$E1415="نامعتبر",Sync!$Y1412=""),"",Sync!$Y1412)</f>
        <v/>
      </c>
      <c r="H1415">
        <f>IF($G1415="","",IF(Sync!$X1412="","",Sync!$X1412))</f>
        <v/>
      </c>
      <c r="I1415">
        <f>IF($G1415="","",IFERROR(VLOOKUP(Sync!$X1412,OpTbl,3,0),""))</f>
        <v/>
      </c>
      <c r="J1415">
        <f>IF(OR($G1415="",Sync!$Z1412=""),"",Sync!$Z1412)</f>
        <v/>
      </c>
      <c r="K1415">
        <f>IF(OR($G1415="",Sync!$AA1412=""),"",Sync!$AA1412)</f>
        <v/>
      </c>
      <c r="L1415">
        <f>IF($G1415="",0,IF(Sync!$AB1412="",0,Sync!$AB1412))</f>
        <v/>
      </c>
      <c r="M1415">
        <f>IF($G1415="",0,IF(Sync!$AC1412="",0,Sync!$AC1412))</f>
        <v/>
      </c>
      <c r="N1415">
        <f>IF($G1415="","",IF($H1415="مرجوعی خرید",-1,1)*($L1415-$M1415*IFERROR(VLOOKUP("P01",ParamTbl,3,0),1.5))*(1-IF($I1415="خرید",IFERROR(VLOOKUP("P02",ParamTbl,3,0),1),0)/100))</f>
        <v/>
      </c>
      <c r="O1415">
        <f>IF($G1415="",0,IF($H1415="مرجوعی خرید",-1,1)*IF(Sync!$AD1412="",0,Sync!$AD1412))</f>
        <v/>
      </c>
      <c r="P1415">
        <f>IF(OR($G1415="",Sync!$W1412=""),"",Sync!$W1412)</f>
        <v/>
      </c>
      <c r="Q1415">
        <f>IF(OR($G1415="",Sync!$AE1412=""),"",Sync!$AE1412)</f>
        <v/>
      </c>
      <c r="R1415">
        <f>IF($G1415="","",IF(Sync!$V1412="","0000",IF(AND(ISNUMBER(Sync!$V1412),Sync!$V1412&gt;=0,Sync!$V1412&lt;1),RIGHT("00"&amp;HOUR(Sync!$V1412),2)&amp;RIGHT("00"&amp;MINUTE(Sync!$V1412),2),IFERROR(RIGHT("00"&amp;VALUE(LEFT(Sync!$V1412,FIND(":",Sync!$V1412)-1)),2)&amp;RIGHT("00"&amp;VALUE(MID(Sync!$V1412,FIND(":",Sync!$V1412)+1,2)),2),"0000"))))</f>
        <v/>
      </c>
    </row>
    <row r="1416">
      <c r="A1416">
        <f>IF(Sync!$U1413="","",Sync!$U1413)</f>
        <v/>
      </c>
      <c r="B1416">
        <f>IF($A1416="","",IF(ISNUMBER($A1416),IF(AND($A1416&gt;=10000101,$A1416&lt;=99991231),INT($A1416/10000),""),IFERROR(VALUE(TRIM(LEFT($A1416,FIND("/",$A1416)-1))),"")))</f>
        <v/>
      </c>
      <c r="C1416">
        <f>IF(OR($A1416="",$B1416=""),"",IF(ISNUMBER($A1416),INT(MOD($A1416,10000)/100),IFERROR(VALUE(TRIM(LEFT(MID($A1416,FIND("/",$A1416)+1,20),FIND("/",MID($A1416,FIND("/",$A1416)+1,20))-1))),"")))</f>
        <v/>
      </c>
      <c r="D1416">
        <f>IF(OR($A1416="",$B1416=""),"",IF(ISNUMBER($A1416),MOD($A1416,100),IFERROR(VALUE(TRIM(MID(MID($A1416,FIND("/",$A1416)+1,20),FIND("/",MID($A1416,FIND("/",$A1416)+1,20))+1,20))),"")))</f>
        <v/>
      </c>
      <c r="E1416">
        <f>IF($A1416="","",IF(OR($B1416="",$C1416="",$D1416="",$B1416&lt;1300,$B1416&gt;1500,$C1416&lt;1,$C1416&gt;12,$D1416&lt;1,$D1416&gt;31),"نامعتبر",RIGHT("0000"&amp;$B1416,4)&amp;"/"&amp;RIGHT("00"&amp;$C1416,2)&amp;"/"&amp;RIGHT("00"&amp;$D1416,2)))</f>
        <v/>
      </c>
      <c r="F1416">
        <f>IF(OR($E1416="",$E1416="نامعتبر"),"",LEFT($E1416,4)&amp;"/"&amp;MID($E1416,6,2))</f>
        <v/>
      </c>
      <c r="G1416">
        <f>IF(OR($E1416="",$E1416="نامعتبر",Sync!$Y1413=""),"",Sync!$Y1413)</f>
        <v/>
      </c>
      <c r="H1416">
        <f>IF($G1416="","",IF(Sync!$X1413="","",Sync!$X1413))</f>
        <v/>
      </c>
      <c r="I1416">
        <f>IF($G1416="","",IFERROR(VLOOKUP(Sync!$X1413,OpTbl,3,0),""))</f>
        <v/>
      </c>
      <c r="J1416">
        <f>IF(OR($G1416="",Sync!$Z1413=""),"",Sync!$Z1413)</f>
        <v/>
      </c>
      <c r="K1416">
        <f>IF(OR($G1416="",Sync!$AA1413=""),"",Sync!$AA1413)</f>
        <v/>
      </c>
      <c r="L1416">
        <f>IF($G1416="",0,IF(Sync!$AB1413="",0,Sync!$AB1413))</f>
        <v/>
      </c>
      <c r="M1416">
        <f>IF($G1416="",0,IF(Sync!$AC1413="",0,Sync!$AC1413))</f>
        <v/>
      </c>
      <c r="N1416">
        <f>IF($G1416="","",IF($H1416="مرجوعی خرید",-1,1)*($L1416-$M1416*IFERROR(VLOOKUP("P01",ParamTbl,3,0),1.5))*(1-IF($I1416="خرید",IFERROR(VLOOKUP("P02",ParamTbl,3,0),1),0)/100))</f>
        <v/>
      </c>
      <c r="O1416">
        <f>IF($G1416="",0,IF($H1416="مرجوعی خرید",-1,1)*IF(Sync!$AD1413="",0,Sync!$AD1413))</f>
        <v/>
      </c>
      <c r="P1416">
        <f>IF(OR($G1416="",Sync!$W1413=""),"",Sync!$W1413)</f>
        <v/>
      </c>
      <c r="Q1416">
        <f>IF(OR($G1416="",Sync!$AE1413=""),"",Sync!$AE1413)</f>
        <v/>
      </c>
      <c r="R1416">
        <f>IF($G1416="","",IF(Sync!$V1413="","0000",IF(AND(ISNUMBER(Sync!$V1413),Sync!$V1413&gt;=0,Sync!$V1413&lt;1),RIGHT("00"&amp;HOUR(Sync!$V1413),2)&amp;RIGHT("00"&amp;MINUTE(Sync!$V1413),2),IFERROR(RIGHT("00"&amp;VALUE(LEFT(Sync!$V1413,FIND(":",Sync!$V1413)-1)),2)&amp;RIGHT("00"&amp;VALUE(MID(Sync!$V1413,FIND(":",Sync!$V1413)+1,2)),2),"0000"))))</f>
        <v/>
      </c>
    </row>
    <row r="1417">
      <c r="A1417">
        <f>IF(Sync!$U1414="","",Sync!$U1414)</f>
        <v/>
      </c>
      <c r="B1417">
        <f>IF($A1417="","",IF(ISNUMBER($A1417),IF(AND($A1417&gt;=10000101,$A1417&lt;=99991231),INT($A1417/10000),""),IFERROR(VALUE(TRIM(LEFT($A1417,FIND("/",$A1417)-1))),"")))</f>
        <v/>
      </c>
      <c r="C1417">
        <f>IF(OR($A1417="",$B1417=""),"",IF(ISNUMBER($A1417),INT(MOD($A1417,10000)/100),IFERROR(VALUE(TRIM(LEFT(MID($A1417,FIND("/",$A1417)+1,20),FIND("/",MID($A1417,FIND("/",$A1417)+1,20))-1))),"")))</f>
        <v/>
      </c>
      <c r="D1417">
        <f>IF(OR($A1417="",$B1417=""),"",IF(ISNUMBER($A1417),MOD($A1417,100),IFERROR(VALUE(TRIM(MID(MID($A1417,FIND("/",$A1417)+1,20),FIND("/",MID($A1417,FIND("/",$A1417)+1,20))+1,20))),"")))</f>
        <v/>
      </c>
      <c r="E1417">
        <f>IF($A1417="","",IF(OR($B1417="",$C1417="",$D1417="",$B1417&lt;1300,$B1417&gt;1500,$C1417&lt;1,$C1417&gt;12,$D1417&lt;1,$D1417&gt;31),"نامعتبر",RIGHT("0000"&amp;$B1417,4)&amp;"/"&amp;RIGHT("00"&amp;$C1417,2)&amp;"/"&amp;RIGHT("00"&amp;$D1417,2)))</f>
        <v/>
      </c>
      <c r="F1417">
        <f>IF(OR($E1417="",$E1417="نامعتبر"),"",LEFT($E1417,4)&amp;"/"&amp;MID($E1417,6,2))</f>
        <v/>
      </c>
      <c r="G1417">
        <f>IF(OR($E1417="",$E1417="نامعتبر",Sync!$Y1414=""),"",Sync!$Y1414)</f>
        <v/>
      </c>
      <c r="H1417">
        <f>IF($G1417="","",IF(Sync!$X1414="","",Sync!$X1414))</f>
        <v/>
      </c>
      <c r="I1417">
        <f>IF($G1417="","",IFERROR(VLOOKUP(Sync!$X1414,OpTbl,3,0),""))</f>
        <v/>
      </c>
      <c r="J1417">
        <f>IF(OR($G1417="",Sync!$Z1414=""),"",Sync!$Z1414)</f>
        <v/>
      </c>
      <c r="K1417">
        <f>IF(OR($G1417="",Sync!$AA1414=""),"",Sync!$AA1414)</f>
        <v/>
      </c>
      <c r="L1417">
        <f>IF($G1417="",0,IF(Sync!$AB1414="",0,Sync!$AB1414))</f>
        <v/>
      </c>
      <c r="M1417">
        <f>IF($G1417="",0,IF(Sync!$AC1414="",0,Sync!$AC1414))</f>
        <v/>
      </c>
      <c r="N1417">
        <f>IF($G1417="","",IF($H1417="مرجوعی خرید",-1,1)*($L1417-$M1417*IFERROR(VLOOKUP("P01",ParamTbl,3,0),1.5))*(1-IF($I1417="خرید",IFERROR(VLOOKUP("P02",ParamTbl,3,0),1),0)/100))</f>
        <v/>
      </c>
      <c r="O1417">
        <f>IF($G1417="",0,IF($H1417="مرجوعی خرید",-1,1)*IF(Sync!$AD1414="",0,Sync!$AD1414))</f>
        <v/>
      </c>
      <c r="P1417">
        <f>IF(OR($G1417="",Sync!$W1414=""),"",Sync!$W1414)</f>
        <v/>
      </c>
      <c r="Q1417">
        <f>IF(OR($G1417="",Sync!$AE1414=""),"",Sync!$AE1414)</f>
        <v/>
      </c>
      <c r="R1417">
        <f>IF($G1417="","",IF(Sync!$V1414="","0000",IF(AND(ISNUMBER(Sync!$V1414),Sync!$V1414&gt;=0,Sync!$V1414&lt;1),RIGHT("00"&amp;HOUR(Sync!$V1414),2)&amp;RIGHT("00"&amp;MINUTE(Sync!$V1414),2),IFERROR(RIGHT("00"&amp;VALUE(LEFT(Sync!$V1414,FIND(":",Sync!$V1414)-1)),2)&amp;RIGHT("00"&amp;VALUE(MID(Sync!$V1414,FIND(":",Sync!$V1414)+1,2)),2),"0000"))))</f>
        <v/>
      </c>
    </row>
    <row r="1418">
      <c r="A1418">
        <f>IF(Sync!$U1415="","",Sync!$U1415)</f>
        <v/>
      </c>
      <c r="B1418">
        <f>IF($A1418="","",IF(ISNUMBER($A1418),IF(AND($A1418&gt;=10000101,$A1418&lt;=99991231),INT($A1418/10000),""),IFERROR(VALUE(TRIM(LEFT($A1418,FIND("/",$A1418)-1))),"")))</f>
        <v/>
      </c>
      <c r="C1418">
        <f>IF(OR($A1418="",$B1418=""),"",IF(ISNUMBER($A1418),INT(MOD($A1418,10000)/100),IFERROR(VALUE(TRIM(LEFT(MID($A1418,FIND("/",$A1418)+1,20),FIND("/",MID($A1418,FIND("/",$A1418)+1,20))-1))),"")))</f>
        <v/>
      </c>
      <c r="D1418">
        <f>IF(OR($A1418="",$B1418=""),"",IF(ISNUMBER($A1418),MOD($A1418,100),IFERROR(VALUE(TRIM(MID(MID($A1418,FIND("/",$A1418)+1,20),FIND("/",MID($A1418,FIND("/",$A1418)+1,20))+1,20))),"")))</f>
        <v/>
      </c>
      <c r="E1418">
        <f>IF($A1418="","",IF(OR($B1418="",$C1418="",$D1418="",$B1418&lt;1300,$B1418&gt;1500,$C1418&lt;1,$C1418&gt;12,$D1418&lt;1,$D1418&gt;31),"نامعتبر",RIGHT("0000"&amp;$B1418,4)&amp;"/"&amp;RIGHT("00"&amp;$C1418,2)&amp;"/"&amp;RIGHT("00"&amp;$D1418,2)))</f>
        <v/>
      </c>
      <c r="F1418">
        <f>IF(OR($E1418="",$E1418="نامعتبر"),"",LEFT($E1418,4)&amp;"/"&amp;MID($E1418,6,2))</f>
        <v/>
      </c>
      <c r="G1418">
        <f>IF(OR($E1418="",$E1418="نامعتبر",Sync!$Y1415=""),"",Sync!$Y1415)</f>
        <v/>
      </c>
      <c r="H1418">
        <f>IF($G1418="","",IF(Sync!$X1415="","",Sync!$X1415))</f>
        <v/>
      </c>
      <c r="I1418">
        <f>IF($G1418="","",IFERROR(VLOOKUP(Sync!$X1415,OpTbl,3,0),""))</f>
        <v/>
      </c>
      <c r="J1418">
        <f>IF(OR($G1418="",Sync!$Z1415=""),"",Sync!$Z1415)</f>
        <v/>
      </c>
      <c r="K1418">
        <f>IF(OR($G1418="",Sync!$AA1415=""),"",Sync!$AA1415)</f>
        <v/>
      </c>
      <c r="L1418">
        <f>IF($G1418="",0,IF(Sync!$AB1415="",0,Sync!$AB1415))</f>
        <v/>
      </c>
      <c r="M1418">
        <f>IF($G1418="",0,IF(Sync!$AC1415="",0,Sync!$AC1415))</f>
        <v/>
      </c>
      <c r="N1418">
        <f>IF($G1418="","",IF($H1418="مرجوعی خرید",-1,1)*($L1418-$M1418*IFERROR(VLOOKUP("P01",ParamTbl,3,0),1.5))*(1-IF($I1418="خرید",IFERROR(VLOOKUP("P02",ParamTbl,3,0),1),0)/100))</f>
        <v/>
      </c>
      <c r="O1418">
        <f>IF($G1418="",0,IF($H1418="مرجوعی خرید",-1,1)*IF(Sync!$AD1415="",0,Sync!$AD1415))</f>
        <v/>
      </c>
      <c r="P1418">
        <f>IF(OR($G1418="",Sync!$W1415=""),"",Sync!$W1415)</f>
        <v/>
      </c>
      <c r="Q1418">
        <f>IF(OR($G1418="",Sync!$AE1415=""),"",Sync!$AE1415)</f>
        <v/>
      </c>
      <c r="R1418">
        <f>IF($G1418="","",IF(Sync!$V1415="","0000",IF(AND(ISNUMBER(Sync!$V1415),Sync!$V1415&gt;=0,Sync!$V1415&lt;1),RIGHT("00"&amp;HOUR(Sync!$V1415),2)&amp;RIGHT("00"&amp;MINUTE(Sync!$V1415),2),IFERROR(RIGHT("00"&amp;VALUE(LEFT(Sync!$V1415,FIND(":",Sync!$V1415)-1)),2)&amp;RIGHT("00"&amp;VALUE(MID(Sync!$V1415,FIND(":",Sync!$V1415)+1,2)),2),"0000"))))</f>
        <v/>
      </c>
    </row>
    <row r="1419">
      <c r="A1419">
        <f>IF(Sync!$U1416="","",Sync!$U1416)</f>
        <v/>
      </c>
      <c r="B1419">
        <f>IF($A1419="","",IF(ISNUMBER($A1419),IF(AND($A1419&gt;=10000101,$A1419&lt;=99991231),INT($A1419/10000),""),IFERROR(VALUE(TRIM(LEFT($A1419,FIND("/",$A1419)-1))),"")))</f>
        <v/>
      </c>
      <c r="C1419">
        <f>IF(OR($A1419="",$B1419=""),"",IF(ISNUMBER($A1419),INT(MOD($A1419,10000)/100),IFERROR(VALUE(TRIM(LEFT(MID($A1419,FIND("/",$A1419)+1,20),FIND("/",MID($A1419,FIND("/",$A1419)+1,20))-1))),"")))</f>
        <v/>
      </c>
      <c r="D1419">
        <f>IF(OR($A1419="",$B1419=""),"",IF(ISNUMBER($A1419),MOD($A1419,100),IFERROR(VALUE(TRIM(MID(MID($A1419,FIND("/",$A1419)+1,20),FIND("/",MID($A1419,FIND("/",$A1419)+1,20))+1,20))),"")))</f>
        <v/>
      </c>
      <c r="E1419">
        <f>IF($A1419="","",IF(OR($B1419="",$C1419="",$D1419="",$B1419&lt;1300,$B1419&gt;1500,$C1419&lt;1,$C1419&gt;12,$D1419&lt;1,$D1419&gt;31),"نامعتبر",RIGHT("0000"&amp;$B1419,4)&amp;"/"&amp;RIGHT("00"&amp;$C1419,2)&amp;"/"&amp;RIGHT("00"&amp;$D1419,2)))</f>
        <v/>
      </c>
      <c r="F1419">
        <f>IF(OR($E1419="",$E1419="نامعتبر"),"",LEFT($E1419,4)&amp;"/"&amp;MID($E1419,6,2))</f>
        <v/>
      </c>
      <c r="G1419">
        <f>IF(OR($E1419="",$E1419="نامعتبر",Sync!$Y1416=""),"",Sync!$Y1416)</f>
        <v/>
      </c>
      <c r="H1419">
        <f>IF($G1419="","",IF(Sync!$X1416="","",Sync!$X1416))</f>
        <v/>
      </c>
      <c r="I1419">
        <f>IF($G1419="","",IFERROR(VLOOKUP(Sync!$X1416,OpTbl,3,0),""))</f>
        <v/>
      </c>
      <c r="J1419">
        <f>IF(OR($G1419="",Sync!$Z1416=""),"",Sync!$Z1416)</f>
        <v/>
      </c>
      <c r="K1419">
        <f>IF(OR($G1419="",Sync!$AA1416=""),"",Sync!$AA1416)</f>
        <v/>
      </c>
      <c r="L1419">
        <f>IF($G1419="",0,IF(Sync!$AB1416="",0,Sync!$AB1416))</f>
        <v/>
      </c>
      <c r="M1419">
        <f>IF($G1419="",0,IF(Sync!$AC1416="",0,Sync!$AC1416))</f>
        <v/>
      </c>
      <c r="N1419">
        <f>IF($G1419="","",IF($H1419="مرجوعی خرید",-1,1)*($L1419-$M1419*IFERROR(VLOOKUP("P01",ParamTbl,3,0),1.5))*(1-IF($I1419="خرید",IFERROR(VLOOKUP("P02",ParamTbl,3,0),1),0)/100))</f>
        <v/>
      </c>
      <c r="O1419">
        <f>IF($G1419="",0,IF($H1419="مرجوعی خرید",-1,1)*IF(Sync!$AD1416="",0,Sync!$AD1416))</f>
        <v/>
      </c>
      <c r="P1419">
        <f>IF(OR($G1419="",Sync!$W1416=""),"",Sync!$W1416)</f>
        <v/>
      </c>
      <c r="Q1419">
        <f>IF(OR($G1419="",Sync!$AE1416=""),"",Sync!$AE1416)</f>
        <v/>
      </c>
      <c r="R1419">
        <f>IF($G1419="","",IF(Sync!$V1416="","0000",IF(AND(ISNUMBER(Sync!$V1416),Sync!$V1416&gt;=0,Sync!$V1416&lt;1),RIGHT("00"&amp;HOUR(Sync!$V1416),2)&amp;RIGHT("00"&amp;MINUTE(Sync!$V1416),2),IFERROR(RIGHT("00"&amp;VALUE(LEFT(Sync!$V1416,FIND(":",Sync!$V1416)-1)),2)&amp;RIGHT("00"&amp;VALUE(MID(Sync!$V1416,FIND(":",Sync!$V1416)+1,2)),2),"0000"))))</f>
        <v/>
      </c>
    </row>
    <row r="1420">
      <c r="A1420">
        <f>IF(Sync!$U1417="","",Sync!$U1417)</f>
        <v/>
      </c>
      <c r="B1420">
        <f>IF($A1420="","",IF(ISNUMBER($A1420),IF(AND($A1420&gt;=10000101,$A1420&lt;=99991231),INT($A1420/10000),""),IFERROR(VALUE(TRIM(LEFT($A1420,FIND("/",$A1420)-1))),"")))</f>
        <v/>
      </c>
      <c r="C1420">
        <f>IF(OR($A1420="",$B1420=""),"",IF(ISNUMBER($A1420),INT(MOD($A1420,10000)/100),IFERROR(VALUE(TRIM(LEFT(MID($A1420,FIND("/",$A1420)+1,20),FIND("/",MID($A1420,FIND("/",$A1420)+1,20))-1))),"")))</f>
        <v/>
      </c>
      <c r="D1420">
        <f>IF(OR($A1420="",$B1420=""),"",IF(ISNUMBER($A1420),MOD($A1420,100),IFERROR(VALUE(TRIM(MID(MID($A1420,FIND("/",$A1420)+1,20),FIND("/",MID($A1420,FIND("/",$A1420)+1,20))+1,20))),"")))</f>
        <v/>
      </c>
      <c r="E1420">
        <f>IF($A1420="","",IF(OR($B1420="",$C1420="",$D1420="",$B1420&lt;1300,$B1420&gt;1500,$C1420&lt;1,$C1420&gt;12,$D1420&lt;1,$D1420&gt;31),"نامعتبر",RIGHT("0000"&amp;$B1420,4)&amp;"/"&amp;RIGHT("00"&amp;$C1420,2)&amp;"/"&amp;RIGHT("00"&amp;$D1420,2)))</f>
        <v/>
      </c>
      <c r="F1420">
        <f>IF(OR($E1420="",$E1420="نامعتبر"),"",LEFT($E1420,4)&amp;"/"&amp;MID($E1420,6,2))</f>
        <v/>
      </c>
      <c r="G1420">
        <f>IF(OR($E1420="",$E1420="نامعتبر",Sync!$Y1417=""),"",Sync!$Y1417)</f>
        <v/>
      </c>
      <c r="H1420">
        <f>IF($G1420="","",IF(Sync!$X1417="","",Sync!$X1417))</f>
        <v/>
      </c>
      <c r="I1420">
        <f>IF($G1420="","",IFERROR(VLOOKUP(Sync!$X1417,OpTbl,3,0),""))</f>
        <v/>
      </c>
      <c r="J1420">
        <f>IF(OR($G1420="",Sync!$Z1417=""),"",Sync!$Z1417)</f>
        <v/>
      </c>
      <c r="K1420">
        <f>IF(OR($G1420="",Sync!$AA1417=""),"",Sync!$AA1417)</f>
        <v/>
      </c>
      <c r="L1420">
        <f>IF($G1420="",0,IF(Sync!$AB1417="",0,Sync!$AB1417))</f>
        <v/>
      </c>
      <c r="M1420">
        <f>IF($G1420="",0,IF(Sync!$AC1417="",0,Sync!$AC1417))</f>
        <v/>
      </c>
      <c r="N1420">
        <f>IF($G1420="","",IF($H1420="مرجوعی خرید",-1,1)*($L1420-$M1420*IFERROR(VLOOKUP("P01",ParamTbl,3,0),1.5))*(1-IF($I1420="خرید",IFERROR(VLOOKUP("P02",ParamTbl,3,0),1),0)/100))</f>
        <v/>
      </c>
      <c r="O1420">
        <f>IF($G1420="",0,IF($H1420="مرجوعی خرید",-1,1)*IF(Sync!$AD1417="",0,Sync!$AD1417))</f>
        <v/>
      </c>
      <c r="P1420">
        <f>IF(OR($G1420="",Sync!$W1417=""),"",Sync!$W1417)</f>
        <v/>
      </c>
      <c r="Q1420">
        <f>IF(OR($G1420="",Sync!$AE1417=""),"",Sync!$AE1417)</f>
        <v/>
      </c>
      <c r="R1420">
        <f>IF($G1420="","",IF(Sync!$V1417="","0000",IF(AND(ISNUMBER(Sync!$V1417),Sync!$V1417&gt;=0,Sync!$V1417&lt;1),RIGHT("00"&amp;HOUR(Sync!$V1417),2)&amp;RIGHT("00"&amp;MINUTE(Sync!$V1417),2),IFERROR(RIGHT("00"&amp;VALUE(LEFT(Sync!$V1417,FIND(":",Sync!$V1417)-1)),2)&amp;RIGHT("00"&amp;VALUE(MID(Sync!$V1417,FIND(":",Sync!$V1417)+1,2)),2),"0000"))))</f>
        <v/>
      </c>
    </row>
    <row r="1421">
      <c r="A1421">
        <f>IF(Sync!$U1418="","",Sync!$U1418)</f>
        <v/>
      </c>
      <c r="B1421">
        <f>IF($A1421="","",IF(ISNUMBER($A1421),IF(AND($A1421&gt;=10000101,$A1421&lt;=99991231),INT($A1421/10000),""),IFERROR(VALUE(TRIM(LEFT($A1421,FIND("/",$A1421)-1))),"")))</f>
        <v/>
      </c>
      <c r="C1421">
        <f>IF(OR($A1421="",$B1421=""),"",IF(ISNUMBER($A1421),INT(MOD($A1421,10000)/100),IFERROR(VALUE(TRIM(LEFT(MID($A1421,FIND("/",$A1421)+1,20),FIND("/",MID($A1421,FIND("/",$A1421)+1,20))-1))),"")))</f>
        <v/>
      </c>
      <c r="D1421">
        <f>IF(OR($A1421="",$B1421=""),"",IF(ISNUMBER($A1421),MOD($A1421,100),IFERROR(VALUE(TRIM(MID(MID($A1421,FIND("/",$A1421)+1,20),FIND("/",MID($A1421,FIND("/",$A1421)+1,20))+1,20))),"")))</f>
        <v/>
      </c>
      <c r="E1421">
        <f>IF($A1421="","",IF(OR($B1421="",$C1421="",$D1421="",$B1421&lt;1300,$B1421&gt;1500,$C1421&lt;1,$C1421&gt;12,$D1421&lt;1,$D1421&gt;31),"نامعتبر",RIGHT("0000"&amp;$B1421,4)&amp;"/"&amp;RIGHT("00"&amp;$C1421,2)&amp;"/"&amp;RIGHT("00"&amp;$D1421,2)))</f>
        <v/>
      </c>
      <c r="F1421">
        <f>IF(OR($E1421="",$E1421="نامعتبر"),"",LEFT($E1421,4)&amp;"/"&amp;MID($E1421,6,2))</f>
        <v/>
      </c>
      <c r="G1421">
        <f>IF(OR($E1421="",$E1421="نامعتبر",Sync!$Y1418=""),"",Sync!$Y1418)</f>
        <v/>
      </c>
      <c r="H1421">
        <f>IF($G1421="","",IF(Sync!$X1418="","",Sync!$X1418))</f>
        <v/>
      </c>
      <c r="I1421">
        <f>IF($G1421="","",IFERROR(VLOOKUP(Sync!$X1418,OpTbl,3,0),""))</f>
        <v/>
      </c>
      <c r="J1421">
        <f>IF(OR($G1421="",Sync!$Z1418=""),"",Sync!$Z1418)</f>
        <v/>
      </c>
      <c r="K1421">
        <f>IF(OR($G1421="",Sync!$AA1418=""),"",Sync!$AA1418)</f>
        <v/>
      </c>
      <c r="L1421">
        <f>IF($G1421="",0,IF(Sync!$AB1418="",0,Sync!$AB1418))</f>
        <v/>
      </c>
      <c r="M1421">
        <f>IF($G1421="",0,IF(Sync!$AC1418="",0,Sync!$AC1418))</f>
        <v/>
      </c>
      <c r="N1421">
        <f>IF($G1421="","",IF($H1421="مرجوعی خرید",-1,1)*($L1421-$M1421*IFERROR(VLOOKUP("P01",ParamTbl,3,0),1.5))*(1-IF($I1421="خرید",IFERROR(VLOOKUP("P02",ParamTbl,3,0),1),0)/100))</f>
        <v/>
      </c>
      <c r="O1421">
        <f>IF($G1421="",0,IF($H1421="مرجوعی خرید",-1,1)*IF(Sync!$AD1418="",0,Sync!$AD1418))</f>
        <v/>
      </c>
      <c r="P1421">
        <f>IF(OR($G1421="",Sync!$W1418=""),"",Sync!$W1418)</f>
        <v/>
      </c>
      <c r="Q1421">
        <f>IF(OR($G1421="",Sync!$AE1418=""),"",Sync!$AE1418)</f>
        <v/>
      </c>
      <c r="R1421">
        <f>IF($G1421="","",IF(Sync!$V1418="","0000",IF(AND(ISNUMBER(Sync!$V1418),Sync!$V1418&gt;=0,Sync!$V1418&lt;1),RIGHT("00"&amp;HOUR(Sync!$V1418),2)&amp;RIGHT("00"&amp;MINUTE(Sync!$V1418),2),IFERROR(RIGHT("00"&amp;VALUE(LEFT(Sync!$V1418,FIND(":",Sync!$V1418)-1)),2)&amp;RIGHT("00"&amp;VALUE(MID(Sync!$V1418,FIND(":",Sync!$V1418)+1,2)),2),"0000"))))</f>
        <v/>
      </c>
    </row>
    <row r="1422">
      <c r="A1422">
        <f>IF(Sync!$U1419="","",Sync!$U1419)</f>
        <v/>
      </c>
      <c r="B1422">
        <f>IF($A1422="","",IF(ISNUMBER($A1422),IF(AND($A1422&gt;=10000101,$A1422&lt;=99991231),INT($A1422/10000),""),IFERROR(VALUE(TRIM(LEFT($A1422,FIND("/",$A1422)-1))),"")))</f>
        <v/>
      </c>
      <c r="C1422">
        <f>IF(OR($A1422="",$B1422=""),"",IF(ISNUMBER($A1422),INT(MOD($A1422,10000)/100),IFERROR(VALUE(TRIM(LEFT(MID($A1422,FIND("/",$A1422)+1,20),FIND("/",MID($A1422,FIND("/",$A1422)+1,20))-1))),"")))</f>
        <v/>
      </c>
      <c r="D1422">
        <f>IF(OR($A1422="",$B1422=""),"",IF(ISNUMBER($A1422),MOD($A1422,100),IFERROR(VALUE(TRIM(MID(MID($A1422,FIND("/",$A1422)+1,20),FIND("/",MID($A1422,FIND("/",$A1422)+1,20))+1,20))),"")))</f>
        <v/>
      </c>
      <c r="E1422">
        <f>IF($A1422="","",IF(OR($B1422="",$C1422="",$D1422="",$B1422&lt;1300,$B1422&gt;1500,$C1422&lt;1,$C1422&gt;12,$D1422&lt;1,$D1422&gt;31),"نامعتبر",RIGHT("0000"&amp;$B1422,4)&amp;"/"&amp;RIGHT("00"&amp;$C1422,2)&amp;"/"&amp;RIGHT("00"&amp;$D1422,2)))</f>
        <v/>
      </c>
      <c r="F1422">
        <f>IF(OR($E1422="",$E1422="نامعتبر"),"",LEFT($E1422,4)&amp;"/"&amp;MID($E1422,6,2))</f>
        <v/>
      </c>
      <c r="G1422">
        <f>IF(OR($E1422="",$E1422="نامعتبر",Sync!$Y1419=""),"",Sync!$Y1419)</f>
        <v/>
      </c>
      <c r="H1422">
        <f>IF($G1422="","",IF(Sync!$X1419="","",Sync!$X1419))</f>
        <v/>
      </c>
      <c r="I1422">
        <f>IF($G1422="","",IFERROR(VLOOKUP(Sync!$X1419,OpTbl,3,0),""))</f>
        <v/>
      </c>
      <c r="J1422">
        <f>IF(OR($G1422="",Sync!$Z1419=""),"",Sync!$Z1419)</f>
        <v/>
      </c>
      <c r="K1422">
        <f>IF(OR($G1422="",Sync!$AA1419=""),"",Sync!$AA1419)</f>
        <v/>
      </c>
      <c r="L1422">
        <f>IF($G1422="",0,IF(Sync!$AB1419="",0,Sync!$AB1419))</f>
        <v/>
      </c>
      <c r="M1422">
        <f>IF($G1422="",0,IF(Sync!$AC1419="",0,Sync!$AC1419))</f>
        <v/>
      </c>
      <c r="N1422">
        <f>IF($G1422="","",IF($H1422="مرجوعی خرید",-1,1)*($L1422-$M1422*IFERROR(VLOOKUP("P01",ParamTbl,3,0),1.5))*(1-IF($I1422="خرید",IFERROR(VLOOKUP("P02",ParamTbl,3,0),1),0)/100))</f>
        <v/>
      </c>
      <c r="O1422">
        <f>IF($G1422="",0,IF($H1422="مرجوعی خرید",-1,1)*IF(Sync!$AD1419="",0,Sync!$AD1419))</f>
        <v/>
      </c>
      <c r="P1422">
        <f>IF(OR($G1422="",Sync!$W1419=""),"",Sync!$W1419)</f>
        <v/>
      </c>
      <c r="Q1422">
        <f>IF(OR($G1422="",Sync!$AE1419=""),"",Sync!$AE1419)</f>
        <v/>
      </c>
      <c r="R1422">
        <f>IF($G1422="","",IF(Sync!$V1419="","0000",IF(AND(ISNUMBER(Sync!$V1419),Sync!$V1419&gt;=0,Sync!$V1419&lt;1),RIGHT("00"&amp;HOUR(Sync!$V1419),2)&amp;RIGHT("00"&amp;MINUTE(Sync!$V1419),2),IFERROR(RIGHT("00"&amp;VALUE(LEFT(Sync!$V1419,FIND(":",Sync!$V1419)-1)),2)&amp;RIGHT("00"&amp;VALUE(MID(Sync!$V1419,FIND(":",Sync!$V1419)+1,2)),2),"0000"))))</f>
        <v/>
      </c>
    </row>
    <row r="1423">
      <c r="A1423">
        <f>IF(Sync!$U1420="","",Sync!$U1420)</f>
        <v/>
      </c>
      <c r="B1423">
        <f>IF($A1423="","",IF(ISNUMBER($A1423),IF(AND($A1423&gt;=10000101,$A1423&lt;=99991231),INT($A1423/10000),""),IFERROR(VALUE(TRIM(LEFT($A1423,FIND("/",$A1423)-1))),"")))</f>
        <v/>
      </c>
      <c r="C1423">
        <f>IF(OR($A1423="",$B1423=""),"",IF(ISNUMBER($A1423),INT(MOD($A1423,10000)/100),IFERROR(VALUE(TRIM(LEFT(MID($A1423,FIND("/",$A1423)+1,20),FIND("/",MID($A1423,FIND("/",$A1423)+1,20))-1))),"")))</f>
        <v/>
      </c>
      <c r="D1423">
        <f>IF(OR($A1423="",$B1423=""),"",IF(ISNUMBER($A1423),MOD($A1423,100),IFERROR(VALUE(TRIM(MID(MID($A1423,FIND("/",$A1423)+1,20),FIND("/",MID($A1423,FIND("/",$A1423)+1,20))+1,20))),"")))</f>
        <v/>
      </c>
      <c r="E1423">
        <f>IF($A1423="","",IF(OR($B1423="",$C1423="",$D1423="",$B1423&lt;1300,$B1423&gt;1500,$C1423&lt;1,$C1423&gt;12,$D1423&lt;1,$D1423&gt;31),"نامعتبر",RIGHT("0000"&amp;$B1423,4)&amp;"/"&amp;RIGHT("00"&amp;$C1423,2)&amp;"/"&amp;RIGHT("00"&amp;$D1423,2)))</f>
        <v/>
      </c>
      <c r="F1423">
        <f>IF(OR($E1423="",$E1423="نامعتبر"),"",LEFT($E1423,4)&amp;"/"&amp;MID($E1423,6,2))</f>
        <v/>
      </c>
      <c r="G1423">
        <f>IF(OR($E1423="",$E1423="نامعتبر",Sync!$Y1420=""),"",Sync!$Y1420)</f>
        <v/>
      </c>
      <c r="H1423">
        <f>IF($G1423="","",IF(Sync!$X1420="","",Sync!$X1420))</f>
        <v/>
      </c>
      <c r="I1423">
        <f>IF($G1423="","",IFERROR(VLOOKUP(Sync!$X1420,OpTbl,3,0),""))</f>
        <v/>
      </c>
      <c r="J1423">
        <f>IF(OR($G1423="",Sync!$Z1420=""),"",Sync!$Z1420)</f>
        <v/>
      </c>
      <c r="K1423">
        <f>IF(OR($G1423="",Sync!$AA1420=""),"",Sync!$AA1420)</f>
        <v/>
      </c>
      <c r="L1423">
        <f>IF($G1423="",0,IF(Sync!$AB1420="",0,Sync!$AB1420))</f>
        <v/>
      </c>
      <c r="M1423">
        <f>IF($G1423="",0,IF(Sync!$AC1420="",0,Sync!$AC1420))</f>
        <v/>
      </c>
      <c r="N1423">
        <f>IF($G1423="","",IF($H1423="مرجوعی خرید",-1,1)*($L1423-$M1423*IFERROR(VLOOKUP("P01",ParamTbl,3,0),1.5))*(1-IF($I1423="خرید",IFERROR(VLOOKUP("P02",ParamTbl,3,0),1),0)/100))</f>
        <v/>
      </c>
      <c r="O1423">
        <f>IF($G1423="",0,IF($H1423="مرجوعی خرید",-1,1)*IF(Sync!$AD1420="",0,Sync!$AD1420))</f>
        <v/>
      </c>
      <c r="P1423">
        <f>IF(OR($G1423="",Sync!$W1420=""),"",Sync!$W1420)</f>
        <v/>
      </c>
      <c r="Q1423">
        <f>IF(OR($G1423="",Sync!$AE1420=""),"",Sync!$AE1420)</f>
        <v/>
      </c>
      <c r="R1423">
        <f>IF($G1423="","",IF(Sync!$V1420="","0000",IF(AND(ISNUMBER(Sync!$V1420),Sync!$V1420&gt;=0,Sync!$V1420&lt;1),RIGHT("00"&amp;HOUR(Sync!$V1420),2)&amp;RIGHT("00"&amp;MINUTE(Sync!$V1420),2),IFERROR(RIGHT("00"&amp;VALUE(LEFT(Sync!$V1420,FIND(":",Sync!$V1420)-1)),2)&amp;RIGHT("00"&amp;VALUE(MID(Sync!$V1420,FIND(":",Sync!$V1420)+1,2)),2),"0000"))))</f>
        <v/>
      </c>
    </row>
    <row r="1424">
      <c r="A1424">
        <f>IF(Sync!$U1421="","",Sync!$U1421)</f>
        <v/>
      </c>
      <c r="B1424">
        <f>IF($A1424="","",IF(ISNUMBER($A1424),IF(AND($A1424&gt;=10000101,$A1424&lt;=99991231),INT($A1424/10000),""),IFERROR(VALUE(TRIM(LEFT($A1424,FIND("/",$A1424)-1))),"")))</f>
        <v/>
      </c>
      <c r="C1424">
        <f>IF(OR($A1424="",$B1424=""),"",IF(ISNUMBER($A1424),INT(MOD($A1424,10000)/100),IFERROR(VALUE(TRIM(LEFT(MID($A1424,FIND("/",$A1424)+1,20),FIND("/",MID($A1424,FIND("/",$A1424)+1,20))-1))),"")))</f>
        <v/>
      </c>
      <c r="D1424">
        <f>IF(OR($A1424="",$B1424=""),"",IF(ISNUMBER($A1424),MOD($A1424,100),IFERROR(VALUE(TRIM(MID(MID($A1424,FIND("/",$A1424)+1,20),FIND("/",MID($A1424,FIND("/",$A1424)+1,20))+1,20))),"")))</f>
        <v/>
      </c>
      <c r="E1424">
        <f>IF($A1424="","",IF(OR($B1424="",$C1424="",$D1424="",$B1424&lt;1300,$B1424&gt;1500,$C1424&lt;1,$C1424&gt;12,$D1424&lt;1,$D1424&gt;31),"نامعتبر",RIGHT("0000"&amp;$B1424,4)&amp;"/"&amp;RIGHT("00"&amp;$C1424,2)&amp;"/"&amp;RIGHT("00"&amp;$D1424,2)))</f>
        <v/>
      </c>
      <c r="F1424">
        <f>IF(OR($E1424="",$E1424="نامعتبر"),"",LEFT($E1424,4)&amp;"/"&amp;MID($E1424,6,2))</f>
        <v/>
      </c>
      <c r="G1424">
        <f>IF(OR($E1424="",$E1424="نامعتبر",Sync!$Y1421=""),"",Sync!$Y1421)</f>
        <v/>
      </c>
      <c r="H1424">
        <f>IF($G1424="","",IF(Sync!$X1421="","",Sync!$X1421))</f>
        <v/>
      </c>
      <c r="I1424">
        <f>IF($G1424="","",IFERROR(VLOOKUP(Sync!$X1421,OpTbl,3,0),""))</f>
        <v/>
      </c>
      <c r="J1424">
        <f>IF(OR($G1424="",Sync!$Z1421=""),"",Sync!$Z1421)</f>
        <v/>
      </c>
      <c r="K1424">
        <f>IF(OR($G1424="",Sync!$AA1421=""),"",Sync!$AA1421)</f>
        <v/>
      </c>
      <c r="L1424">
        <f>IF($G1424="",0,IF(Sync!$AB1421="",0,Sync!$AB1421))</f>
        <v/>
      </c>
      <c r="M1424">
        <f>IF($G1424="",0,IF(Sync!$AC1421="",0,Sync!$AC1421))</f>
        <v/>
      </c>
      <c r="N1424">
        <f>IF($G1424="","",IF($H1424="مرجوعی خرید",-1,1)*($L1424-$M1424*IFERROR(VLOOKUP("P01",ParamTbl,3,0),1.5))*(1-IF($I1424="خرید",IFERROR(VLOOKUP("P02",ParamTbl,3,0),1),0)/100))</f>
        <v/>
      </c>
      <c r="O1424">
        <f>IF($G1424="",0,IF($H1424="مرجوعی خرید",-1,1)*IF(Sync!$AD1421="",0,Sync!$AD1421))</f>
        <v/>
      </c>
      <c r="P1424">
        <f>IF(OR($G1424="",Sync!$W1421=""),"",Sync!$W1421)</f>
        <v/>
      </c>
      <c r="Q1424">
        <f>IF(OR($G1424="",Sync!$AE1421=""),"",Sync!$AE1421)</f>
        <v/>
      </c>
      <c r="R1424">
        <f>IF($G1424="","",IF(Sync!$V1421="","0000",IF(AND(ISNUMBER(Sync!$V1421),Sync!$V1421&gt;=0,Sync!$V1421&lt;1),RIGHT("00"&amp;HOUR(Sync!$V1421),2)&amp;RIGHT("00"&amp;MINUTE(Sync!$V1421),2),IFERROR(RIGHT("00"&amp;VALUE(LEFT(Sync!$V1421,FIND(":",Sync!$V1421)-1)),2)&amp;RIGHT("00"&amp;VALUE(MID(Sync!$V1421,FIND(":",Sync!$V1421)+1,2)),2),"0000"))))</f>
        <v/>
      </c>
    </row>
    <row r="1425">
      <c r="A1425">
        <f>IF(Sync!$U1422="","",Sync!$U1422)</f>
        <v/>
      </c>
      <c r="B1425">
        <f>IF($A1425="","",IF(ISNUMBER($A1425),IF(AND($A1425&gt;=10000101,$A1425&lt;=99991231),INT($A1425/10000),""),IFERROR(VALUE(TRIM(LEFT($A1425,FIND("/",$A1425)-1))),"")))</f>
        <v/>
      </c>
      <c r="C1425">
        <f>IF(OR($A1425="",$B1425=""),"",IF(ISNUMBER($A1425),INT(MOD($A1425,10000)/100),IFERROR(VALUE(TRIM(LEFT(MID($A1425,FIND("/",$A1425)+1,20),FIND("/",MID($A1425,FIND("/",$A1425)+1,20))-1))),"")))</f>
        <v/>
      </c>
      <c r="D1425">
        <f>IF(OR($A1425="",$B1425=""),"",IF(ISNUMBER($A1425),MOD($A1425,100),IFERROR(VALUE(TRIM(MID(MID($A1425,FIND("/",$A1425)+1,20),FIND("/",MID($A1425,FIND("/",$A1425)+1,20))+1,20))),"")))</f>
        <v/>
      </c>
      <c r="E1425">
        <f>IF($A1425="","",IF(OR($B1425="",$C1425="",$D1425="",$B1425&lt;1300,$B1425&gt;1500,$C1425&lt;1,$C1425&gt;12,$D1425&lt;1,$D1425&gt;31),"نامعتبر",RIGHT("0000"&amp;$B1425,4)&amp;"/"&amp;RIGHT("00"&amp;$C1425,2)&amp;"/"&amp;RIGHT("00"&amp;$D1425,2)))</f>
        <v/>
      </c>
      <c r="F1425">
        <f>IF(OR($E1425="",$E1425="نامعتبر"),"",LEFT($E1425,4)&amp;"/"&amp;MID($E1425,6,2))</f>
        <v/>
      </c>
      <c r="G1425">
        <f>IF(OR($E1425="",$E1425="نامعتبر",Sync!$Y1422=""),"",Sync!$Y1422)</f>
        <v/>
      </c>
      <c r="H1425">
        <f>IF($G1425="","",IF(Sync!$X1422="","",Sync!$X1422))</f>
        <v/>
      </c>
      <c r="I1425">
        <f>IF($G1425="","",IFERROR(VLOOKUP(Sync!$X1422,OpTbl,3,0),""))</f>
        <v/>
      </c>
      <c r="J1425">
        <f>IF(OR($G1425="",Sync!$Z1422=""),"",Sync!$Z1422)</f>
        <v/>
      </c>
      <c r="K1425">
        <f>IF(OR($G1425="",Sync!$AA1422=""),"",Sync!$AA1422)</f>
        <v/>
      </c>
      <c r="L1425">
        <f>IF($G1425="",0,IF(Sync!$AB1422="",0,Sync!$AB1422))</f>
        <v/>
      </c>
      <c r="M1425">
        <f>IF($G1425="",0,IF(Sync!$AC1422="",0,Sync!$AC1422))</f>
        <v/>
      </c>
      <c r="N1425">
        <f>IF($G1425="","",IF($H1425="مرجوعی خرید",-1,1)*($L1425-$M1425*IFERROR(VLOOKUP("P01",ParamTbl,3,0),1.5))*(1-IF($I1425="خرید",IFERROR(VLOOKUP("P02",ParamTbl,3,0),1),0)/100))</f>
        <v/>
      </c>
      <c r="O1425">
        <f>IF($G1425="",0,IF($H1425="مرجوعی خرید",-1,1)*IF(Sync!$AD1422="",0,Sync!$AD1422))</f>
        <v/>
      </c>
      <c r="P1425">
        <f>IF(OR($G1425="",Sync!$W1422=""),"",Sync!$W1422)</f>
        <v/>
      </c>
      <c r="Q1425">
        <f>IF(OR($G1425="",Sync!$AE1422=""),"",Sync!$AE1422)</f>
        <v/>
      </c>
      <c r="R1425">
        <f>IF($G1425="","",IF(Sync!$V1422="","0000",IF(AND(ISNUMBER(Sync!$V1422),Sync!$V1422&gt;=0,Sync!$V1422&lt;1),RIGHT("00"&amp;HOUR(Sync!$V1422),2)&amp;RIGHT("00"&amp;MINUTE(Sync!$V1422),2),IFERROR(RIGHT("00"&amp;VALUE(LEFT(Sync!$V1422,FIND(":",Sync!$V1422)-1)),2)&amp;RIGHT("00"&amp;VALUE(MID(Sync!$V1422,FIND(":",Sync!$V1422)+1,2)),2),"0000"))))</f>
        <v/>
      </c>
    </row>
    <row r="1426">
      <c r="A1426">
        <f>IF(Sync!$U1423="","",Sync!$U1423)</f>
        <v/>
      </c>
      <c r="B1426">
        <f>IF($A1426="","",IF(ISNUMBER($A1426),IF(AND($A1426&gt;=10000101,$A1426&lt;=99991231),INT($A1426/10000),""),IFERROR(VALUE(TRIM(LEFT($A1426,FIND("/",$A1426)-1))),"")))</f>
        <v/>
      </c>
      <c r="C1426">
        <f>IF(OR($A1426="",$B1426=""),"",IF(ISNUMBER($A1426),INT(MOD($A1426,10000)/100),IFERROR(VALUE(TRIM(LEFT(MID($A1426,FIND("/",$A1426)+1,20),FIND("/",MID($A1426,FIND("/",$A1426)+1,20))-1))),"")))</f>
        <v/>
      </c>
      <c r="D1426">
        <f>IF(OR($A1426="",$B1426=""),"",IF(ISNUMBER($A1426),MOD($A1426,100),IFERROR(VALUE(TRIM(MID(MID($A1426,FIND("/",$A1426)+1,20),FIND("/",MID($A1426,FIND("/",$A1426)+1,20))+1,20))),"")))</f>
        <v/>
      </c>
      <c r="E1426">
        <f>IF($A1426="","",IF(OR($B1426="",$C1426="",$D1426="",$B1426&lt;1300,$B1426&gt;1500,$C1426&lt;1,$C1426&gt;12,$D1426&lt;1,$D1426&gt;31),"نامعتبر",RIGHT("0000"&amp;$B1426,4)&amp;"/"&amp;RIGHT("00"&amp;$C1426,2)&amp;"/"&amp;RIGHT("00"&amp;$D1426,2)))</f>
        <v/>
      </c>
      <c r="F1426">
        <f>IF(OR($E1426="",$E1426="نامعتبر"),"",LEFT($E1426,4)&amp;"/"&amp;MID($E1426,6,2))</f>
        <v/>
      </c>
      <c r="G1426">
        <f>IF(OR($E1426="",$E1426="نامعتبر",Sync!$Y1423=""),"",Sync!$Y1423)</f>
        <v/>
      </c>
      <c r="H1426">
        <f>IF($G1426="","",IF(Sync!$X1423="","",Sync!$X1423))</f>
        <v/>
      </c>
      <c r="I1426">
        <f>IF($G1426="","",IFERROR(VLOOKUP(Sync!$X1423,OpTbl,3,0),""))</f>
        <v/>
      </c>
      <c r="J1426">
        <f>IF(OR($G1426="",Sync!$Z1423=""),"",Sync!$Z1423)</f>
        <v/>
      </c>
      <c r="K1426">
        <f>IF(OR($G1426="",Sync!$AA1423=""),"",Sync!$AA1423)</f>
        <v/>
      </c>
      <c r="L1426">
        <f>IF($G1426="",0,IF(Sync!$AB1423="",0,Sync!$AB1423))</f>
        <v/>
      </c>
      <c r="M1426">
        <f>IF($G1426="",0,IF(Sync!$AC1423="",0,Sync!$AC1423))</f>
        <v/>
      </c>
      <c r="N1426">
        <f>IF($G1426="","",IF($H1426="مرجوعی خرید",-1,1)*($L1426-$M1426*IFERROR(VLOOKUP("P01",ParamTbl,3,0),1.5))*(1-IF($I1426="خرید",IFERROR(VLOOKUP("P02",ParamTbl,3,0),1),0)/100))</f>
        <v/>
      </c>
      <c r="O1426">
        <f>IF($G1426="",0,IF($H1426="مرجوعی خرید",-1,1)*IF(Sync!$AD1423="",0,Sync!$AD1423))</f>
        <v/>
      </c>
      <c r="P1426">
        <f>IF(OR($G1426="",Sync!$W1423=""),"",Sync!$W1423)</f>
        <v/>
      </c>
      <c r="Q1426">
        <f>IF(OR($G1426="",Sync!$AE1423=""),"",Sync!$AE1423)</f>
        <v/>
      </c>
      <c r="R1426">
        <f>IF($G1426="","",IF(Sync!$V1423="","0000",IF(AND(ISNUMBER(Sync!$V1423),Sync!$V1423&gt;=0,Sync!$V1423&lt;1),RIGHT("00"&amp;HOUR(Sync!$V1423),2)&amp;RIGHT("00"&amp;MINUTE(Sync!$V1423),2),IFERROR(RIGHT("00"&amp;VALUE(LEFT(Sync!$V1423,FIND(":",Sync!$V1423)-1)),2)&amp;RIGHT("00"&amp;VALUE(MID(Sync!$V1423,FIND(":",Sync!$V1423)+1,2)),2),"0000"))))</f>
        <v/>
      </c>
    </row>
    <row r="1427">
      <c r="A1427">
        <f>IF(Sync!$U1424="","",Sync!$U1424)</f>
        <v/>
      </c>
      <c r="B1427">
        <f>IF($A1427="","",IF(ISNUMBER($A1427),IF(AND($A1427&gt;=10000101,$A1427&lt;=99991231),INT($A1427/10000),""),IFERROR(VALUE(TRIM(LEFT($A1427,FIND("/",$A1427)-1))),"")))</f>
        <v/>
      </c>
      <c r="C1427">
        <f>IF(OR($A1427="",$B1427=""),"",IF(ISNUMBER($A1427),INT(MOD($A1427,10000)/100),IFERROR(VALUE(TRIM(LEFT(MID($A1427,FIND("/",$A1427)+1,20),FIND("/",MID($A1427,FIND("/",$A1427)+1,20))-1))),"")))</f>
        <v/>
      </c>
      <c r="D1427">
        <f>IF(OR($A1427="",$B1427=""),"",IF(ISNUMBER($A1427),MOD($A1427,100),IFERROR(VALUE(TRIM(MID(MID($A1427,FIND("/",$A1427)+1,20),FIND("/",MID($A1427,FIND("/",$A1427)+1,20))+1,20))),"")))</f>
        <v/>
      </c>
      <c r="E1427">
        <f>IF($A1427="","",IF(OR($B1427="",$C1427="",$D1427="",$B1427&lt;1300,$B1427&gt;1500,$C1427&lt;1,$C1427&gt;12,$D1427&lt;1,$D1427&gt;31),"نامعتبر",RIGHT("0000"&amp;$B1427,4)&amp;"/"&amp;RIGHT("00"&amp;$C1427,2)&amp;"/"&amp;RIGHT("00"&amp;$D1427,2)))</f>
        <v/>
      </c>
      <c r="F1427">
        <f>IF(OR($E1427="",$E1427="نامعتبر"),"",LEFT($E1427,4)&amp;"/"&amp;MID($E1427,6,2))</f>
        <v/>
      </c>
      <c r="G1427">
        <f>IF(OR($E1427="",$E1427="نامعتبر",Sync!$Y1424=""),"",Sync!$Y1424)</f>
        <v/>
      </c>
      <c r="H1427">
        <f>IF($G1427="","",IF(Sync!$X1424="","",Sync!$X1424))</f>
        <v/>
      </c>
      <c r="I1427">
        <f>IF($G1427="","",IFERROR(VLOOKUP(Sync!$X1424,OpTbl,3,0),""))</f>
        <v/>
      </c>
      <c r="J1427">
        <f>IF(OR($G1427="",Sync!$Z1424=""),"",Sync!$Z1424)</f>
        <v/>
      </c>
      <c r="K1427">
        <f>IF(OR($G1427="",Sync!$AA1424=""),"",Sync!$AA1424)</f>
        <v/>
      </c>
      <c r="L1427">
        <f>IF($G1427="",0,IF(Sync!$AB1424="",0,Sync!$AB1424))</f>
        <v/>
      </c>
      <c r="M1427">
        <f>IF($G1427="",0,IF(Sync!$AC1424="",0,Sync!$AC1424))</f>
        <v/>
      </c>
      <c r="N1427">
        <f>IF($G1427="","",IF($H1427="مرجوعی خرید",-1,1)*($L1427-$M1427*IFERROR(VLOOKUP("P01",ParamTbl,3,0),1.5))*(1-IF($I1427="خرید",IFERROR(VLOOKUP("P02",ParamTbl,3,0),1),0)/100))</f>
        <v/>
      </c>
      <c r="O1427">
        <f>IF($G1427="",0,IF($H1427="مرجوعی خرید",-1,1)*IF(Sync!$AD1424="",0,Sync!$AD1424))</f>
        <v/>
      </c>
      <c r="P1427">
        <f>IF(OR($G1427="",Sync!$W1424=""),"",Sync!$W1424)</f>
        <v/>
      </c>
      <c r="Q1427">
        <f>IF(OR($G1427="",Sync!$AE1424=""),"",Sync!$AE1424)</f>
        <v/>
      </c>
      <c r="R1427">
        <f>IF($G1427="","",IF(Sync!$V1424="","0000",IF(AND(ISNUMBER(Sync!$V1424),Sync!$V1424&gt;=0,Sync!$V1424&lt;1),RIGHT("00"&amp;HOUR(Sync!$V1424),2)&amp;RIGHT("00"&amp;MINUTE(Sync!$V1424),2),IFERROR(RIGHT("00"&amp;VALUE(LEFT(Sync!$V1424,FIND(":",Sync!$V1424)-1)),2)&amp;RIGHT("00"&amp;VALUE(MID(Sync!$V1424,FIND(":",Sync!$V1424)+1,2)),2),"0000"))))</f>
        <v/>
      </c>
    </row>
    <row r="1428">
      <c r="A1428">
        <f>IF(Sync!$U1425="","",Sync!$U1425)</f>
        <v/>
      </c>
      <c r="B1428">
        <f>IF($A1428="","",IF(ISNUMBER($A1428),IF(AND($A1428&gt;=10000101,$A1428&lt;=99991231),INT($A1428/10000),""),IFERROR(VALUE(TRIM(LEFT($A1428,FIND("/",$A1428)-1))),"")))</f>
        <v/>
      </c>
      <c r="C1428">
        <f>IF(OR($A1428="",$B1428=""),"",IF(ISNUMBER($A1428),INT(MOD($A1428,10000)/100),IFERROR(VALUE(TRIM(LEFT(MID($A1428,FIND("/",$A1428)+1,20),FIND("/",MID($A1428,FIND("/",$A1428)+1,20))-1))),"")))</f>
        <v/>
      </c>
      <c r="D1428">
        <f>IF(OR($A1428="",$B1428=""),"",IF(ISNUMBER($A1428),MOD($A1428,100),IFERROR(VALUE(TRIM(MID(MID($A1428,FIND("/",$A1428)+1,20),FIND("/",MID($A1428,FIND("/",$A1428)+1,20))+1,20))),"")))</f>
        <v/>
      </c>
      <c r="E1428">
        <f>IF($A1428="","",IF(OR($B1428="",$C1428="",$D1428="",$B1428&lt;1300,$B1428&gt;1500,$C1428&lt;1,$C1428&gt;12,$D1428&lt;1,$D1428&gt;31),"نامعتبر",RIGHT("0000"&amp;$B1428,4)&amp;"/"&amp;RIGHT("00"&amp;$C1428,2)&amp;"/"&amp;RIGHT("00"&amp;$D1428,2)))</f>
        <v/>
      </c>
      <c r="F1428">
        <f>IF(OR($E1428="",$E1428="نامعتبر"),"",LEFT($E1428,4)&amp;"/"&amp;MID($E1428,6,2))</f>
        <v/>
      </c>
      <c r="G1428">
        <f>IF(OR($E1428="",$E1428="نامعتبر",Sync!$Y1425=""),"",Sync!$Y1425)</f>
        <v/>
      </c>
      <c r="H1428">
        <f>IF($G1428="","",IF(Sync!$X1425="","",Sync!$X1425))</f>
        <v/>
      </c>
      <c r="I1428">
        <f>IF($G1428="","",IFERROR(VLOOKUP(Sync!$X1425,OpTbl,3,0),""))</f>
        <v/>
      </c>
      <c r="J1428">
        <f>IF(OR($G1428="",Sync!$Z1425=""),"",Sync!$Z1425)</f>
        <v/>
      </c>
      <c r="K1428">
        <f>IF(OR($G1428="",Sync!$AA1425=""),"",Sync!$AA1425)</f>
        <v/>
      </c>
      <c r="L1428">
        <f>IF($G1428="",0,IF(Sync!$AB1425="",0,Sync!$AB1425))</f>
        <v/>
      </c>
      <c r="M1428">
        <f>IF($G1428="",0,IF(Sync!$AC1425="",0,Sync!$AC1425))</f>
        <v/>
      </c>
      <c r="N1428">
        <f>IF($G1428="","",IF($H1428="مرجوعی خرید",-1,1)*($L1428-$M1428*IFERROR(VLOOKUP("P01",ParamTbl,3,0),1.5))*(1-IF($I1428="خرید",IFERROR(VLOOKUP("P02",ParamTbl,3,0),1),0)/100))</f>
        <v/>
      </c>
      <c r="O1428">
        <f>IF($G1428="",0,IF($H1428="مرجوعی خرید",-1,1)*IF(Sync!$AD1425="",0,Sync!$AD1425))</f>
        <v/>
      </c>
      <c r="P1428">
        <f>IF(OR($G1428="",Sync!$W1425=""),"",Sync!$W1425)</f>
        <v/>
      </c>
      <c r="Q1428">
        <f>IF(OR($G1428="",Sync!$AE1425=""),"",Sync!$AE1425)</f>
        <v/>
      </c>
      <c r="R1428">
        <f>IF($G1428="","",IF(Sync!$V1425="","0000",IF(AND(ISNUMBER(Sync!$V1425),Sync!$V1425&gt;=0,Sync!$V1425&lt;1),RIGHT("00"&amp;HOUR(Sync!$V1425),2)&amp;RIGHT("00"&amp;MINUTE(Sync!$V1425),2),IFERROR(RIGHT("00"&amp;VALUE(LEFT(Sync!$V1425,FIND(":",Sync!$V1425)-1)),2)&amp;RIGHT("00"&amp;VALUE(MID(Sync!$V1425,FIND(":",Sync!$V1425)+1,2)),2),"0000"))))</f>
        <v/>
      </c>
    </row>
    <row r="1429">
      <c r="A1429">
        <f>IF(Sync!$U1426="","",Sync!$U1426)</f>
        <v/>
      </c>
      <c r="B1429">
        <f>IF($A1429="","",IF(ISNUMBER($A1429),IF(AND($A1429&gt;=10000101,$A1429&lt;=99991231),INT($A1429/10000),""),IFERROR(VALUE(TRIM(LEFT($A1429,FIND("/",$A1429)-1))),"")))</f>
        <v/>
      </c>
      <c r="C1429">
        <f>IF(OR($A1429="",$B1429=""),"",IF(ISNUMBER($A1429),INT(MOD($A1429,10000)/100),IFERROR(VALUE(TRIM(LEFT(MID($A1429,FIND("/",$A1429)+1,20),FIND("/",MID($A1429,FIND("/",$A1429)+1,20))-1))),"")))</f>
        <v/>
      </c>
      <c r="D1429">
        <f>IF(OR($A1429="",$B1429=""),"",IF(ISNUMBER($A1429),MOD($A1429,100),IFERROR(VALUE(TRIM(MID(MID($A1429,FIND("/",$A1429)+1,20),FIND("/",MID($A1429,FIND("/",$A1429)+1,20))+1,20))),"")))</f>
        <v/>
      </c>
      <c r="E1429">
        <f>IF($A1429="","",IF(OR($B1429="",$C1429="",$D1429="",$B1429&lt;1300,$B1429&gt;1500,$C1429&lt;1,$C1429&gt;12,$D1429&lt;1,$D1429&gt;31),"نامعتبر",RIGHT("0000"&amp;$B1429,4)&amp;"/"&amp;RIGHT("00"&amp;$C1429,2)&amp;"/"&amp;RIGHT("00"&amp;$D1429,2)))</f>
        <v/>
      </c>
      <c r="F1429">
        <f>IF(OR($E1429="",$E1429="نامعتبر"),"",LEFT($E1429,4)&amp;"/"&amp;MID($E1429,6,2))</f>
        <v/>
      </c>
      <c r="G1429">
        <f>IF(OR($E1429="",$E1429="نامعتبر",Sync!$Y1426=""),"",Sync!$Y1426)</f>
        <v/>
      </c>
      <c r="H1429">
        <f>IF($G1429="","",IF(Sync!$X1426="","",Sync!$X1426))</f>
        <v/>
      </c>
      <c r="I1429">
        <f>IF($G1429="","",IFERROR(VLOOKUP(Sync!$X1426,OpTbl,3,0),""))</f>
        <v/>
      </c>
      <c r="J1429">
        <f>IF(OR($G1429="",Sync!$Z1426=""),"",Sync!$Z1426)</f>
        <v/>
      </c>
      <c r="K1429">
        <f>IF(OR($G1429="",Sync!$AA1426=""),"",Sync!$AA1426)</f>
        <v/>
      </c>
      <c r="L1429">
        <f>IF($G1429="",0,IF(Sync!$AB1426="",0,Sync!$AB1426))</f>
        <v/>
      </c>
      <c r="M1429">
        <f>IF($G1429="",0,IF(Sync!$AC1426="",0,Sync!$AC1426))</f>
        <v/>
      </c>
      <c r="N1429">
        <f>IF($G1429="","",IF($H1429="مرجوعی خرید",-1,1)*($L1429-$M1429*IFERROR(VLOOKUP("P01",ParamTbl,3,0),1.5))*(1-IF($I1429="خرید",IFERROR(VLOOKUP("P02",ParamTbl,3,0),1),0)/100))</f>
        <v/>
      </c>
      <c r="O1429">
        <f>IF($G1429="",0,IF($H1429="مرجوعی خرید",-1,1)*IF(Sync!$AD1426="",0,Sync!$AD1426))</f>
        <v/>
      </c>
      <c r="P1429">
        <f>IF(OR($G1429="",Sync!$W1426=""),"",Sync!$W1426)</f>
        <v/>
      </c>
      <c r="Q1429">
        <f>IF(OR($G1429="",Sync!$AE1426=""),"",Sync!$AE1426)</f>
        <v/>
      </c>
      <c r="R1429">
        <f>IF($G1429="","",IF(Sync!$V1426="","0000",IF(AND(ISNUMBER(Sync!$V1426),Sync!$V1426&gt;=0,Sync!$V1426&lt;1),RIGHT("00"&amp;HOUR(Sync!$V1426),2)&amp;RIGHT("00"&amp;MINUTE(Sync!$V1426),2),IFERROR(RIGHT("00"&amp;VALUE(LEFT(Sync!$V1426,FIND(":",Sync!$V1426)-1)),2)&amp;RIGHT("00"&amp;VALUE(MID(Sync!$V1426,FIND(":",Sync!$V1426)+1,2)),2),"0000"))))</f>
        <v/>
      </c>
    </row>
    <row r="1430">
      <c r="A1430">
        <f>IF(Sync!$U1427="","",Sync!$U1427)</f>
        <v/>
      </c>
      <c r="B1430">
        <f>IF($A1430="","",IF(ISNUMBER($A1430),IF(AND($A1430&gt;=10000101,$A1430&lt;=99991231),INT($A1430/10000),""),IFERROR(VALUE(TRIM(LEFT($A1430,FIND("/",$A1430)-1))),"")))</f>
        <v/>
      </c>
      <c r="C1430">
        <f>IF(OR($A1430="",$B1430=""),"",IF(ISNUMBER($A1430),INT(MOD($A1430,10000)/100),IFERROR(VALUE(TRIM(LEFT(MID($A1430,FIND("/",$A1430)+1,20),FIND("/",MID($A1430,FIND("/",$A1430)+1,20))-1))),"")))</f>
        <v/>
      </c>
      <c r="D1430">
        <f>IF(OR($A1430="",$B1430=""),"",IF(ISNUMBER($A1430),MOD($A1430,100),IFERROR(VALUE(TRIM(MID(MID($A1430,FIND("/",$A1430)+1,20),FIND("/",MID($A1430,FIND("/",$A1430)+1,20))+1,20))),"")))</f>
        <v/>
      </c>
      <c r="E1430">
        <f>IF($A1430="","",IF(OR($B1430="",$C1430="",$D1430="",$B1430&lt;1300,$B1430&gt;1500,$C1430&lt;1,$C1430&gt;12,$D1430&lt;1,$D1430&gt;31),"نامعتبر",RIGHT("0000"&amp;$B1430,4)&amp;"/"&amp;RIGHT("00"&amp;$C1430,2)&amp;"/"&amp;RIGHT("00"&amp;$D1430,2)))</f>
        <v/>
      </c>
      <c r="F1430">
        <f>IF(OR($E1430="",$E1430="نامعتبر"),"",LEFT($E1430,4)&amp;"/"&amp;MID($E1430,6,2))</f>
        <v/>
      </c>
      <c r="G1430">
        <f>IF(OR($E1430="",$E1430="نامعتبر",Sync!$Y1427=""),"",Sync!$Y1427)</f>
        <v/>
      </c>
      <c r="H1430">
        <f>IF($G1430="","",IF(Sync!$X1427="","",Sync!$X1427))</f>
        <v/>
      </c>
      <c r="I1430">
        <f>IF($G1430="","",IFERROR(VLOOKUP(Sync!$X1427,OpTbl,3,0),""))</f>
        <v/>
      </c>
      <c r="J1430">
        <f>IF(OR($G1430="",Sync!$Z1427=""),"",Sync!$Z1427)</f>
        <v/>
      </c>
      <c r="K1430">
        <f>IF(OR($G1430="",Sync!$AA1427=""),"",Sync!$AA1427)</f>
        <v/>
      </c>
      <c r="L1430">
        <f>IF($G1430="",0,IF(Sync!$AB1427="",0,Sync!$AB1427))</f>
        <v/>
      </c>
      <c r="M1430">
        <f>IF($G1430="",0,IF(Sync!$AC1427="",0,Sync!$AC1427))</f>
        <v/>
      </c>
      <c r="N1430">
        <f>IF($G1430="","",IF($H1430="مرجوعی خرید",-1,1)*($L1430-$M1430*IFERROR(VLOOKUP("P01",ParamTbl,3,0),1.5))*(1-IF($I1430="خرید",IFERROR(VLOOKUP("P02",ParamTbl,3,0),1),0)/100))</f>
        <v/>
      </c>
      <c r="O1430">
        <f>IF($G1430="",0,IF($H1430="مرجوعی خرید",-1,1)*IF(Sync!$AD1427="",0,Sync!$AD1427))</f>
        <v/>
      </c>
      <c r="P1430">
        <f>IF(OR($G1430="",Sync!$W1427=""),"",Sync!$W1427)</f>
        <v/>
      </c>
      <c r="Q1430">
        <f>IF(OR($G1430="",Sync!$AE1427=""),"",Sync!$AE1427)</f>
        <v/>
      </c>
      <c r="R1430">
        <f>IF($G1430="","",IF(Sync!$V1427="","0000",IF(AND(ISNUMBER(Sync!$V1427),Sync!$V1427&gt;=0,Sync!$V1427&lt;1),RIGHT("00"&amp;HOUR(Sync!$V1427),2)&amp;RIGHT("00"&amp;MINUTE(Sync!$V1427),2),IFERROR(RIGHT("00"&amp;VALUE(LEFT(Sync!$V1427,FIND(":",Sync!$V1427)-1)),2)&amp;RIGHT("00"&amp;VALUE(MID(Sync!$V1427,FIND(":",Sync!$V1427)+1,2)),2),"0000"))))</f>
        <v/>
      </c>
    </row>
    <row r="1431">
      <c r="A1431">
        <f>IF(Sync!$U1428="","",Sync!$U1428)</f>
        <v/>
      </c>
      <c r="B1431">
        <f>IF($A1431="","",IF(ISNUMBER($A1431),IF(AND($A1431&gt;=10000101,$A1431&lt;=99991231),INT($A1431/10000),""),IFERROR(VALUE(TRIM(LEFT($A1431,FIND("/",$A1431)-1))),"")))</f>
        <v/>
      </c>
      <c r="C1431">
        <f>IF(OR($A1431="",$B1431=""),"",IF(ISNUMBER($A1431),INT(MOD($A1431,10000)/100),IFERROR(VALUE(TRIM(LEFT(MID($A1431,FIND("/",$A1431)+1,20),FIND("/",MID($A1431,FIND("/",$A1431)+1,20))-1))),"")))</f>
        <v/>
      </c>
      <c r="D1431">
        <f>IF(OR($A1431="",$B1431=""),"",IF(ISNUMBER($A1431),MOD($A1431,100),IFERROR(VALUE(TRIM(MID(MID($A1431,FIND("/",$A1431)+1,20),FIND("/",MID($A1431,FIND("/",$A1431)+1,20))+1,20))),"")))</f>
        <v/>
      </c>
      <c r="E1431">
        <f>IF($A1431="","",IF(OR($B1431="",$C1431="",$D1431="",$B1431&lt;1300,$B1431&gt;1500,$C1431&lt;1,$C1431&gt;12,$D1431&lt;1,$D1431&gt;31),"نامعتبر",RIGHT("0000"&amp;$B1431,4)&amp;"/"&amp;RIGHT("00"&amp;$C1431,2)&amp;"/"&amp;RIGHT("00"&amp;$D1431,2)))</f>
        <v/>
      </c>
      <c r="F1431">
        <f>IF(OR($E1431="",$E1431="نامعتبر"),"",LEFT($E1431,4)&amp;"/"&amp;MID($E1431,6,2))</f>
        <v/>
      </c>
      <c r="G1431">
        <f>IF(OR($E1431="",$E1431="نامعتبر",Sync!$Y1428=""),"",Sync!$Y1428)</f>
        <v/>
      </c>
      <c r="H1431">
        <f>IF($G1431="","",IF(Sync!$X1428="","",Sync!$X1428))</f>
        <v/>
      </c>
      <c r="I1431">
        <f>IF($G1431="","",IFERROR(VLOOKUP(Sync!$X1428,OpTbl,3,0),""))</f>
        <v/>
      </c>
      <c r="J1431">
        <f>IF(OR($G1431="",Sync!$Z1428=""),"",Sync!$Z1428)</f>
        <v/>
      </c>
      <c r="K1431">
        <f>IF(OR($G1431="",Sync!$AA1428=""),"",Sync!$AA1428)</f>
        <v/>
      </c>
      <c r="L1431">
        <f>IF($G1431="",0,IF(Sync!$AB1428="",0,Sync!$AB1428))</f>
        <v/>
      </c>
      <c r="M1431">
        <f>IF($G1431="",0,IF(Sync!$AC1428="",0,Sync!$AC1428))</f>
        <v/>
      </c>
      <c r="N1431">
        <f>IF($G1431="","",IF($H1431="مرجوعی خرید",-1,1)*($L1431-$M1431*IFERROR(VLOOKUP("P01",ParamTbl,3,0),1.5))*(1-IF($I1431="خرید",IFERROR(VLOOKUP("P02",ParamTbl,3,0),1),0)/100))</f>
        <v/>
      </c>
      <c r="O1431">
        <f>IF($G1431="",0,IF($H1431="مرجوعی خرید",-1,1)*IF(Sync!$AD1428="",0,Sync!$AD1428))</f>
        <v/>
      </c>
      <c r="P1431">
        <f>IF(OR($G1431="",Sync!$W1428=""),"",Sync!$W1428)</f>
        <v/>
      </c>
      <c r="Q1431">
        <f>IF(OR($G1431="",Sync!$AE1428=""),"",Sync!$AE1428)</f>
        <v/>
      </c>
      <c r="R1431">
        <f>IF($G1431="","",IF(Sync!$V1428="","0000",IF(AND(ISNUMBER(Sync!$V1428),Sync!$V1428&gt;=0,Sync!$V1428&lt;1),RIGHT("00"&amp;HOUR(Sync!$V1428),2)&amp;RIGHT("00"&amp;MINUTE(Sync!$V1428),2),IFERROR(RIGHT("00"&amp;VALUE(LEFT(Sync!$V1428,FIND(":",Sync!$V1428)-1)),2)&amp;RIGHT("00"&amp;VALUE(MID(Sync!$V1428,FIND(":",Sync!$V1428)+1,2)),2),"0000"))))</f>
        <v/>
      </c>
    </row>
    <row r="1432">
      <c r="A1432">
        <f>IF(Sync!$U1429="","",Sync!$U1429)</f>
        <v/>
      </c>
      <c r="B1432">
        <f>IF($A1432="","",IF(ISNUMBER($A1432),IF(AND($A1432&gt;=10000101,$A1432&lt;=99991231),INT($A1432/10000),""),IFERROR(VALUE(TRIM(LEFT($A1432,FIND("/",$A1432)-1))),"")))</f>
        <v/>
      </c>
      <c r="C1432">
        <f>IF(OR($A1432="",$B1432=""),"",IF(ISNUMBER($A1432),INT(MOD($A1432,10000)/100),IFERROR(VALUE(TRIM(LEFT(MID($A1432,FIND("/",$A1432)+1,20),FIND("/",MID($A1432,FIND("/",$A1432)+1,20))-1))),"")))</f>
        <v/>
      </c>
      <c r="D1432">
        <f>IF(OR($A1432="",$B1432=""),"",IF(ISNUMBER($A1432),MOD($A1432,100),IFERROR(VALUE(TRIM(MID(MID($A1432,FIND("/",$A1432)+1,20),FIND("/",MID($A1432,FIND("/",$A1432)+1,20))+1,20))),"")))</f>
        <v/>
      </c>
      <c r="E1432">
        <f>IF($A1432="","",IF(OR($B1432="",$C1432="",$D1432="",$B1432&lt;1300,$B1432&gt;1500,$C1432&lt;1,$C1432&gt;12,$D1432&lt;1,$D1432&gt;31),"نامعتبر",RIGHT("0000"&amp;$B1432,4)&amp;"/"&amp;RIGHT("00"&amp;$C1432,2)&amp;"/"&amp;RIGHT("00"&amp;$D1432,2)))</f>
        <v/>
      </c>
      <c r="F1432">
        <f>IF(OR($E1432="",$E1432="نامعتبر"),"",LEFT($E1432,4)&amp;"/"&amp;MID($E1432,6,2))</f>
        <v/>
      </c>
      <c r="G1432">
        <f>IF(OR($E1432="",$E1432="نامعتبر",Sync!$Y1429=""),"",Sync!$Y1429)</f>
        <v/>
      </c>
      <c r="H1432">
        <f>IF($G1432="","",IF(Sync!$X1429="","",Sync!$X1429))</f>
        <v/>
      </c>
      <c r="I1432">
        <f>IF($G1432="","",IFERROR(VLOOKUP(Sync!$X1429,OpTbl,3,0),""))</f>
        <v/>
      </c>
      <c r="J1432">
        <f>IF(OR($G1432="",Sync!$Z1429=""),"",Sync!$Z1429)</f>
        <v/>
      </c>
      <c r="K1432">
        <f>IF(OR($G1432="",Sync!$AA1429=""),"",Sync!$AA1429)</f>
        <v/>
      </c>
      <c r="L1432">
        <f>IF($G1432="",0,IF(Sync!$AB1429="",0,Sync!$AB1429))</f>
        <v/>
      </c>
      <c r="M1432">
        <f>IF($G1432="",0,IF(Sync!$AC1429="",0,Sync!$AC1429))</f>
        <v/>
      </c>
      <c r="N1432">
        <f>IF($G1432="","",IF($H1432="مرجوعی خرید",-1,1)*($L1432-$M1432*IFERROR(VLOOKUP("P01",ParamTbl,3,0),1.5))*(1-IF($I1432="خرید",IFERROR(VLOOKUP("P02",ParamTbl,3,0),1),0)/100))</f>
        <v/>
      </c>
      <c r="O1432">
        <f>IF($G1432="",0,IF($H1432="مرجوعی خرید",-1,1)*IF(Sync!$AD1429="",0,Sync!$AD1429))</f>
        <v/>
      </c>
      <c r="P1432">
        <f>IF(OR($G1432="",Sync!$W1429=""),"",Sync!$W1429)</f>
        <v/>
      </c>
      <c r="Q1432">
        <f>IF(OR($G1432="",Sync!$AE1429=""),"",Sync!$AE1429)</f>
        <v/>
      </c>
      <c r="R1432">
        <f>IF($G1432="","",IF(Sync!$V1429="","0000",IF(AND(ISNUMBER(Sync!$V1429),Sync!$V1429&gt;=0,Sync!$V1429&lt;1),RIGHT("00"&amp;HOUR(Sync!$V1429),2)&amp;RIGHT("00"&amp;MINUTE(Sync!$V1429),2),IFERROR(RIGHT("00"&amp;VALUE(LEFT(Sync!$V1429,FIND(":",Sync!$V1429)-1)),2)&amp;RIGHT("00"&amp;VALUE(MID(Sync!$V1429,FIND(":",Sync!$V1429)+1,2)),2),"0000"))))</f>
        <v/>
      </c>
    </row>
    <row r="1433">
      <c r="A1433">
        <f>IF(Sync!$U1430="","",Sync!$U1430)</f>
        <v/>
      </c>
      <c r="B1433">
        <f>IF($A1433="","",IF(ISNUMBER($A1433),IF(AND($A1433&gt;=10000101,$A1433&lt;=99991231),INT($A1433/10000),""),IFERROR(VALUE(TRIM(LEFT($A1433,FIND("/",$A1433)-1))),"")))</f>
        <v/>
      </c>
      <c r="C1433">
        <f>IF(OR($A1433="",$B1433=""),"",IF(ISNUMBER($A1433),INT(MOD($A1433,10000)/100),IFERROR(VALUE(TRIM(LEFT(MID($A1433,FIND("/",$A1433)+1,20),FIND("/",MID($A1433,FIND("/",$A1433)+1,20))-1))),"")))</f>
        <v/>
      </c>
      <c r="D1433">
        <f>IF(OR($A1433="",$B1433=""),"",IF(ISNUMBER($A1433),MOD($A1433,100),IFERROR(VALUE(TRIM(MID(MID($A1433,FIND("/",$A1433)+1,20),FIND("/",MID($A1433,FIND("/",$A1433)+1,20))+1,20))),"")))</f>
        <v/>
      </c>
      <c r="E1433">
        <f>IF($A1433="","",IF(OR($B1433="",$C1433="",$D1433="",$B1433&lt;1300,$B1433&gt;1500,$C1433&lt;1,$C1433&gt;12,$D1433&lt;1,$D1433&gt;31),"نامعتبر",RIGHT("0000"&amp;$B1433,4)&amp;"/"&amp;RIGHT("00"&amp;$C1433,2)&amp;"/"&amp;RIGHT("00"&amp;$D1433,2)))</f>
        <v/>
      </c>
      <c r="F1433">
        <f>IF(OR($E1433="",$E1433="نامعتبر"),"",LEFT($E1433,4)&amp;"/"&amp;MID($E1433,6,2))</f>
        <v/>
      </c>
      <c r="G1433">
        <f>IF(OR($E1433="",$E1433="نامعتبر",Sync!$Y1430=""),"",Sync!$Y1430)</f>
        <v/>
      </c>
      <c r="H1433">
        <f>IF($G1433="","",IF(Sync!$X1430="","",Sync!$X1430))</f>
        <v/>
      </c>
      <c r="I1433">
        <f>IF($G1433="","",IFERROR(VLOOKUP(Sync!$X1430,OpTbl,3,0),""))</f>
        <v/>
      </c>
      <c r="J1433">
        <f>IF(OR($G1433="",Sync!$Z1430=""),"",Sync!$Z1430)</f>
        <v/>
      </c>
      <c r="K1433">
        <f>IF(OR($G1433="",Sync!$AA1430=""),"",Sync!$AA1430)</f>
        <v/>
      </c>
      <c r="L1433">
        <f>IF($G1433="",0,IF(Sync!$AB1430="",0,Sync!$AB1430))</f>
        <v/>
      </c>
      <c r="M1433">
        <f>IF($G1433="",0,IF(Sync!$AC1430="",0,Sync!$AC1430))</f>
        <v/>
      </c>
      <c r="N1433">
        <f>IF($G1433="","",IF($H1433="مرجوعی خرید",-1,1)*($L1433-$M1433*IFERROR(VLOOKUP("P01",ParamTbl,3,0),1.5))*(1-IF($I1433="خرید",IFERROR(VLOOKUP("P02",ParamTbl,3,0),1),0)/100))</f>
        <v/>
      </c>
      <c r="O1433">
        <f>IF($G1433="",0,IF($H1433="مرجوعی خرید",-1,1)*IF(Sync!$AD1430="",0,Sync!$AD1430))</f>
        <v/>
      </c>
      <c r="P1433">
        <f>IF(OR($G1433="",Sync!$W1430=""),"",Sync!$W1430)</f>
        <v/>
      </c>
      <c r="Q1433">
        <f>IF(OR($G1433="",Sync!$AE1430=""),"",Sync!$AE1430)</f>
        <v/>
      </c>
      <c r="R1433">
        <f>IF($G1433="","",IF(Sync!$V1430="","0000",IF(AND(ISNUMBER(Sync!$V1430),Sync!$V1430&gt;=0,Sync!$V1430&lt;1),RIGHT("00"&amp;HOUR(Sync!$V1430),2)&amp;RIGHT("00"&amp;MINUTE(Sync!$V1430),2),IFERROR(RIGHT("00"&amp;VALUE(LEFT(Sync!$V1430,FIND(":",Sync!$V1430)-1)),2)&amp;RIGHT("00"&amp;VALUE(MID(Sync!$V1430,FIND(":",Sync!$V1430)+1,2)),2),"0000"))))</f>
        <v/>
      </c>
    </row>
    <row r="1434">
      <c r="A1434">
        <f>IF(Sync!$U1431="","",Sync!$U1431)</f>
        <v/>
      </c>
      <c r="B1434">
        <f>IF($A1434="","",IF(ISNUMBER($A1434),IF(AND($A1434&gt;=10000101,$A1434&lt;=99991231),INT($A1434/10000),""),IFERROR(VALUE(TRIM(LEFT($A1434,FIND("/",$A1434)-1))),"")))</f>
        <v/>
      </c>
      <c r="C1434">
        <f>IF(OR($A1434="",$B1434=""),"",IF(ISNUMBER($A1434),INT(MOD($A1434,10000)/100),IFERROR(VALUE(TRIM(LEFT(MID($A1434,FIND("/",$A1434)+1,20),FIND("/",MID($A1434,FIND("/",$A1434)+1,20))-1))),"")))</f>
        <v/>
      </c>
      <c r="D1434">
        <f>IF(OR($A1434="",$B1434=""),"",IF(ISNUMBER($A1434),MOD($A1434,100),IFERROR(VALUE(TRIM(MID(MID($A1434,FIND("/",$A1434)+1,20),FIND("/",MID($A1434,FIND("/",$A1434)+1,20))+1,20))),"")))</f>
        <v/>
      </c>
      <c r="E1434">
        <f>IF($A1434="","",IF(OR($B1434="",$C1434="",$D1434="",$B1434&lt;1300,$B1434&gt;1500,$C1434&lt;1,$C1434&gt;12,$D1434&lt;1,$D1434&gt;31),"نامعتبر",RIGHT("0000"&amp;$B1434,4)&amp;"/"&amp;RIGHT("00"&amp;$C1434,2)&amp;"/"&amp;RIGHT("00"&amp;$D1434,2)))</f>
        <v/>
      </c>
      <c r="F1434">
        <f>IF(OR($E1434="",$E1434="نامعتبر"),"",LEFT($E1434,4)&amp;"/"&amp;MID($E1434,6,2))</f>
        <v/>
      </c>
      <c r="G1434">
        <f>IF(OR($E1434="",$E1434="نامعتبر",Sync!$Y1431=""),"",Sync!$Y1431)</f>
        <v/>
      </c>
      <c r="H1434">
        <f>IF($G1434="","",IF(Sync!$X1431="","",Sync!$X1431))</f>
        <v/>
      </c>
      <c r="I1434">
        <f>IF($G1434="","",IFERROR(VLOOKUP(Sync!$X1431,OpTbl,3,0),""))</f>
        <v/>
      </c>
      <c r="J1434">
        <f>IF(OR($G1434="",Sync!$Z1431=""),"",Sync!$Z1431)</f>
        <v/>
      </c>
      <c r="K1434">
        <f>IF(OR($G1434="",Sync!$AA1431=""),"",Sync!$AA1431)</f>
        <v/>
      </c>
      <c r="L1434">
        <f>IF($G1434="",0,IF(Sync!$AB1431="",0,Sync!$AB1431))</f>
        <v/>
      </c>
      <c r="M1434">
        <f>IF($G1434="",0,IF(Sync!$AC1431="",0,Sync!$AC1431))</f>
        <v/>
      </c>
      <c r="N1434">
        <f>IF($G1434="","",IF($H1434="مرجوعی خرید",-1,1)*($L1434-$M1434*IFERROR(VLOOKUP("P01",ParamTbl,3,0),1.5))*(1-IF($I1434="خرید",IFERROR(VLOOKUP("P02",ParamTbl,3,0),1),0)/100))</f>
        <v/>
      </c>
      <c r="O1434">
        <f>IF($G1434="",0,IF($H1434="مرجوعی خرید",-1,1)*IF(Sync!$AD1431="",0,Sync!$AD1431))</f>
        <v/>
      </c>
      <c r="P1434">
        <f>IF(OR($G1434="",Sync!$W1431=""),"",Sync!$W1431)</f>
        <v/>
      </c>
      <c r="Q1434">
        <f>IF(OR($G1434="",Sync!$AE1431=""),"",Sync!$AE1431)</f>
        <v/>
      </c>
      <c r="R1434">
        <f>IF($G1434="","",IF(Sync!$V1431="","0000",IF(AND(ISNUMBER(Sync!$V1431),Sync!$V1431&gt;=0,Sync!$V1431&lt;1),RIGHT("00"&amp;HOUR(Sync!$V1431),2)&amp;RIGHT("00"&amp;MINUTE(Sync!$V1431),2),IFERROR(RIGHT("00"&amp;VALUE(LEFT(Sync!$V1431,FIND(":",Sync!$V1431)-1)),2)&amp;RIGHT("00"&amp;VALUE(MID(Sync!$V1431,FIND(":",Sync!$V1431)+1,2)),2),"0000"))))</f>
        <v/>
      </c>
    </row>
    <row r="1435">
      <c r="A1435">
        <f>IF(Sync!$U1432="","",Sync!$U1432)</f>
        <v/>
      </c>
      <c r="B1435">
        <f>IF($A1435="","",IF(ISNUMBER($A1435),IF(AND($A1435&gt;=10000101,$A1435&lt;=99991231),INT($A1435/10000),""),IFERROR(VALUE(TRIM(LEFT($A1435,FIND("/",$A1435)-1))),"")))</f>
        <v/>
      </c>
      <c r="C1435">
        <f>IF(OR($A1435="",$B1435=""),"",IF(ISNUMBER($A1435),INT(MOD($A1435,10000)/100),IFERROR(VALUE(TRIM(LEFT(MID($A1435,FIND("/",$A1435)+1,20),FIND("/",MID($A1435,FIND("/",$A1435)+1,20))-1))),"")))</f>
        <v/>
      </c>
      <c r="D1435">
        <f>IF(OR($A1435="",$B1435=""),"",IF(ISNUMBER($A1435),MOD($A1435,100),IFERROR(VALUE(TRIM(MID(MID($A1435,FIND("/",$A1435)+1,20),FIND("/",MID($A1435,FIND("/",$A1435)+1,20))+1,20))),"")))</f>
        <v/>
      </c>
      <c r="E1435">
        <f>IF($A1435="","",IF(OR($B1435="",$C1435="",$D1435="",$B1435&lt;1300,$B1435&gt;1500,$C1435&lt;1,$C1435&gt;12,$D1435&lt;1,$D1435&gt;31),"نامعتبر",RIGHT("0000"&amp;$B1435,4)&amp;"/"&amp;RIGHT("00"&amp;$C1435,2)&amp;"/"&amp;RIGHT("00"&amp;$D1435,2)))</f>
        <v/>
      </c>
      <c r="F1435">
        <f>IF(OR($E1435="",$E1435="نامعتبر"),"",LEFT($E1435,4)&amp;"/"&amp;MID($E1435,6,2))</f>
        <v/>
      </c>
      <c r="G1435">
        <f>IF(OR($E1435="",$E1435="نامعتبر",Sync!$Y1432=""),"",Sync!$Y1432)</f>
        <v/>
      </c>
      <c r="H1435">
        <f>IF($G1435="","",IF(Sync!$X1432="","",Sync!$X1432))</f>
        <v/>
      </c>
      <c r="I1435">
        <f>IF($G1435="","",IFERROR(VLOOKUP(Sync!$X1432,OpTbl,3,0),""))</f>
        <v/>
      </c>
      <c r="J1435">
        <f>IF(OR($G1435="",Sync!$Z1432=""),"",Sync!$Z1432)</f>
        <v/>
      </c>
      <c r="K1435">
        <f>IF(OR($G1435="",Sync!$AA1432=""),"",Sync!$AA1432)</f>
        <v/>
      </c>
      <c r="L1435">
        <f>IF($G1435="",0,IF(Sync!$AB1432="",0,Sync!$AB1432))</f>
        <v/>
      </c>
      <c r="M1435">
        <f>IF($G1435="",0,IF(Sync!$AC1432="",0,Sync!$AC1432))</f>
        <v/>
      </c>
      <c r="N1435">
        <f>IF($G1435="","",IF($H1435="مرجوعی خرید",-1,1)*($L1435-$M1435*IFERROR(VLOOKUP("P01",ParamTbl,3,0),1.5))*(1-IF($I1435="خرید",IFERROR(VLOOKUP("P02",ParamTbl,3,0),1),0)/100))</f>
        <v/>
      </c>
      <c r="O1435">
        <f>IF($G1435="",0,IF($H1435="مرجوعی خرید",-1,1)*IF(Sync!$AD1432="",0,Sync!$AD1432))</f>
        <v/>
      </c>
      <c r="P1435">
        <f>IF(OR($G1435="",Sync!$W1432=""),"",Sync!$W1432)</f>
        <v/>
      </c>
      <c r="Q1435">
        <f>IF(OR($G1435="",Sync!$AE1432=""),"",Sync!$AE1432)</f>
        <v/>
      </c>
      <c r="R1435">
        <f>IF($G1435="","",IF(Sync!$V1432="","0000",IF(AND(ISNUMBER(Sync!$V1432),Sync!$V1432&gt;=0,Sync!$V1432&lt;1),RIGHT("00"&amp;HOUR(Sync!$V1432),2)&amp;RIGHT("00"&amp;MINUTE(Sync!$V1432),2),IFERROR(RIGHT("00"&amp;VALUE(LEFT(Sync!$V1432,FIND(":",Sync!$V1432)-1)),2)&amp;RIGHT("00"&amp;VALUE(MID(Sync!$V1432,FIND(":",Sync!$V1432)+1,2)),2),"0000"))))</f>
        <v/>
      </c>
    </row>
    <row r="1436">
      <c r="A1436">
        <f>IF(Sync!$U1433="","",Sync!$U1433)</f>
        <v/>
      </c>
      <c r="B1436">
        <f>IF($A1436="","",IF(ISNUMBER($A1436),IF(AND($A1436&gt;=10000101,$A1436&lt;=99991231),INT($A1436/10000),""),IFERROR(VALUE(TRIM(LEFT($A1436,FIND("/",$A1436)-1))),"")))</f>
        <v/>
      </c>
      <c r="C1436">
        <f>IF(OR($A1436="",$B1436=""),"",IF(ISNUMBER($A1436),INT(MOD($A1436,10000)/100),IFERROR(VALUE(TRIM(LEFT(MID($A1436,FIND("/",$A1436)+1,20),FIND("/",MID($A1436,FIND("/",$A1436)+1,20))-1))),"")))</f>
        <v/>
      </c>
      <c r="D1436">
        <f>IF(OR($A1436="",$B1436=""),"",IF(ISNUMBER($A1436),MOD($A1436,100),IFERROR(VALUE(TRIM(MID(MID($A1436,FIND("/",$A1436)+1,20),FIND("/",MID($A1436,FIND("/",$A1436)+1,20))+1,20))),"")))</f>
        <v/>
      </c>
      <c r="E1436">
        <f>IF($A1436="","",IF(OR($B1436="",$C1436="",$D1436="",$B1436&lt;1300,$B1436&gt;1500,$C1436&lt;1,$C1436&gt;12,$D1436&lt;1,$D1436&gt;31),"نامعتبر",RIGHT("0000"&amp;$B1436,4)&amp;"/"&amp;RIGHT("00"&amp;$C1436,2)&amp;"/"&amp;RIGHT("00"&amp;$D1436,2)))</f>
        <v/>
      </c>
      <c r="F1436">
        <f>IF(OR($E1436="",$E1436="نامعتبر"),"",LEFT($E1436,4)&amp;"/"&amp;MID($E1436,6,2))</f>
        <v/>
      </c>
      <c r="G1436">
        <f>IF(OR($E1436="",$E1436="نامعتبر",Sync!$Y1433=""),"",Sync!$Y1433)</f>
        <v/>
      </c>
      <c r="H1436">
        <f>IF($G1436="","",IF(Sync!$X1433="","",Sync!$X1433))</f>
        <v/>
      </c>
      <c r="I1436">
        <f>IF($G1436="","",IFERROR(VLOOKUP(Sync!$X1433,OpTbl,3,0),""))</f>
        <v/>
      </c>
      <c r="J1436">
        <f>IF(OR($G1436="",Sync!$Z1433=""),"",Sync!$Z1433)</f>
        <v/>
      </c>
      <c r="K1436">
        <f>IF(OR($G1436="",Sync!$AA1433=""),"",Sync!$AA1433)</f>
        <v/>
      </c>
      <c r="L1436">
        <f>IF($G1436="",0,IF(Sync!$AB1433="",0,Sync!$AB1433))</f>
        <v/>
      </c>
      <c r="M1436">
        <f>IF($G1436="",0,IF(Sync!$AC1433="",0,Sync!$AC1433))</f>
        <v/>
      </c>
      <c r="N1436">
        <f>IF($G1436="","",IF($H1436="مرجوعی خرید",-1,1)*($L1436-$M1436*IFERROR(VLOOKUP("P01",ParamTbl,3,0),1.5))*(1-IF($I1436="خرید",IFERROR(VLOOKUP("P02",ParamTbl,3,0),1),0)/100))</f>
        <v/>
      </c>
      <c r="O1436">
        <f>IF($G1436="",0,IF($H1436="مرجوعی خرید",-1,1)*IF(Sync!$AD1433="",0,Sync!$AD1433))</f>
        <v/>
      </c>
      <c r="P1436">
        <f>IF(OR($G1436="",Sync!$W1433=""),"",Sync!$W1433)</f>
        <v/>
      </c>
      <c r="Q1436">
        <f>IF(OR($G1436="",Sync!$AE1433=""),"",Sync!$AE1433)</f>
        <v/>
      </c>
      <c r="R1436">
        <f>IF($G1436="","",IF(Sync!$V1433="","0000",IF(AND(ISNUMBER(Sync!$V1433),Sync!$V1433&gt;=0,Sync!$V1433&lt;1),RIGHT("00"&amp;HOUR(Sync!$V1433),2)&amp;RIGHT("00"&amp;MINUTE(Sync!$V1433),2),IFERROR(RIGHT("00"&amp;VALUE(LEFT(Sync!$V1433,FIND(":",Sync!$V1433)-1)),2)&amp;RIGHT("00"&amp;VALUE(MID(Sync!$V1433,FIND(":",Sync!$V1433)+1,2)),2),"0000"))))</f>
        <v/>
      </c>
    </row>
    <row r="1437">
      <c r="A1437">
        <f>IF(Sync!$U1434="","",Sync!$U1434)</f>
        <v/>
      </c>
      <c r="B1437">
        <f>IF($A1437="","",IF(ISNUMBER($A1437),IF(AND($A1437&gt;=10000101,$A1437&lt;=99991231),INT($A1437/10000),""),IFERROR(VALUE(TRIM(LEFT($A1437,FIND("/",$A1437)-1))),"")))</f>
        <v/>
      </c>
      <c r="C1437">
        <f>IF(OR($A1437="",$B1437=""),"",IF(ISNUMBER($A1437),INT(MOD($A1437,10000)/100),IFERROR(VALUE(TRIM(LEFT(MID($A1437,FIND("/",$A1437)+1,20),FIND("/",MID($A1437,FIND("/",$A1437)+1,20))-1))),"")))</f>
        <v/>
      </c>
      <c r="D1437">
        <f>IF(OR($A1437="",$B1437=""),"",IF(ISNUMBER($A1437),MOD($A1437,100),IFERROR(VALUE(TRIM(MID(MID($A1437,FIND("/",$A1437)+1,20),FIND("/",MID($A1437,FIND("/",$A1437)+1,20))+1,20))),"")))</f>
        <v/>
      </c>
      <c r="E1437">
        <f>IF($A1437="","",IF(OR($B1437="",$C1437="",$D1437="",$B1437&lt;1300,$B1437&gt;1500,$C1437&lt;1,$C1437&gt;12,$D1437&lt;1,$D1437&gt;31),"نامعتبر",RIGHT("0000"&amp;$B1437,4)&amp;"/"&amp;RIGHT("00"&amp;$C1437,2)&amp;"/"&amp;RIGHT("00"&amp;$D1437,2)))</f>
        <v/>
      </c>
      <c r="F1437">
        <f>IF(OR($E1437="",$E1437="نامعتبر"),"",LEFT($E1437,4)&amp;"/"&amp;MID($E1437,6,2))</f>
        <v/>
      </c>
      <c r="G1437">
        <f>IF(OR($E1437="",$E1437="نامعتبر",Sync!$Y1434=""),"",Sync!$Y1434)</f>
        <v/>
      </c>
      <c r="H1437">
        <f>IF($G1437="","",IF(Sync!$X1434="","",Sync!$X1434))</f>
        <v/>
      </c>
      <c r="I1437">
        <f>IF($G1437="","",IFERROR(VLOOKUP(Sync!$X1434,OpTbl,3,0),""))</f>
        <v/>
      </c>
      <c r="J1437">
        <f>IF(OR($G1437="",Sync!$Z1434=""),"",Sync!$Z1434)</f>
        <v/>
      </c>
      <c r="K1437">
        <f>IF(OR($G1437="",Sync!$AA1434=""),"",Sync!$AA1434)</f>
        <v/>
      </c>
      <c r="L1437">
        <f>IF($G1437="",0,IF(Sync!$AB1434="",0,Sync!$AB1434))</f>
        <v/>
      </c>
      <c r="M1437">
        <f>IF($G1437="",0,IF(Sync!$AC1434="",0,Sync!$AC1434))</f>
        <v/>
      </c>
      <c r="N1437">
        <f>IF($G1437="","",IF($H1437="مرجوعی خرید",-1,1)*($L1437-$M1437*IFERROR(VLOOKUP("P01",ParamTbl,3,0),1.5))*(1-IF($I1437="خرید",IFERROR(VLOOKUP("P02",ParamTbl,3,0),1),0)/100))</f>
        <v/>
      </c>
      <c r="O1437">
        <f>IF($G1437="",0,IF($H1437="مرجوعی خرید",-1,1)*IF(Sync!$AD1434="",0,Sync!$AD1434))</f>
        <v/>
      </c>
      <c r="P1437">
        <f>IF(OR($G1437="",Sync!$W1434=""),"",Sync!$W1434)</f>
        <v/>
      </c>
      <c r="Q1437">
        <f>IF(OR($G1437="",Sync!$AE1434=""),"",Sync!$AE1434)</f>
        <v/>
      </c>
      <c r="R1437">
        <f>IF($G1437="","",IF(Sync!$V1434="","0000",IF(AND(ISNUMBER(Sync!$V1434),Sync!$V1434&gt;=0,Sync!$V1434&lt;1),RIGHT("00"&amp;HOUR(Sync!$V1434),2)&amp;RIGHT("00"&amp;MINUTE(Sync!$V1434),2),IFERROR(RIGHT("00"&amp;VALUE(LEFT(Sync!$V1434,FIND(":",Sync!$V1434)-1)),2)&amp;RIGHT("00"&amp;VALUE(MID(Sync!$V1434,FIND(":",Sync!$V1434)+1,2)),2),"0000"))))</f>
        <v/>
      </c>
    </row>
    <row r="1438">
      <c r="A1438">
        <f>IF(Sync!$U1435="","",Sync!$U1435)</f>
        <v/>
      </c>
      <c r="B1438">
        <f>IF($A1438="","",IF(ISNUMBER($A1438),IF(AND($A1438&gt;=10000101,$A1438&lt;=99991231),INT($A1438/10000),""),IFERROR(VALUE(TRIM(LEFT($A1438,FIND("/",$A1438)-1))),"")))</f>
        <v/>
      </c>
      <c r="C1438">
        <f>IF(OR($A1438="",$B1438=""),"",IF(ISNUMBER($A1438),INT(MOD($A1438,10000)/100),IFERROR(VALUE(TRIM(LEFT(MID($A1438,FIND("/",$A1438)+1,20),FIND("/",MID($A1438,FIND("/",$A1438)+1,20))-1))),"")))</f>
        <v/>
      </c>
      <c r="D1438">
        <f>IF(OR($A1438="",$B1438=""),"",IF(ISNUMBER($A1438),MOD($A1438,100),IFERROR(VALUE(TRIM(MID(MID($A1438,FIND("/",$A1438)+1,20),FIND("/",MID($A1438,FIND("/",$A1438)+1,20))+1,20))),"")))</f>
        <v/>
      </c>
      <c r="E1438">
        <f>IF($A1438="","",IF(OR($B1438="",$C1438="",$D1438="",$B1438&lt;1300,$B1438&gt;1500,$C1438&lt;1,$C1438&gt;12,$D1438&lt;1,$D1438&gt;31),"نامعتبر",RIGHT("0000"&amp;$B1438,4)&amp;"/"&amp;RIGHT("00"&amp;$C1438,2)&amp;"/"&amp;RIGHT("00"&amp;$D1438,2)))</f>
        <v/>
      </c>
      <c r="F1438">
        <f>IF(OR($E1438="",$E1438="نامعتبر"),"",LEFT($E1438,4)&amp;"/"&amp;MID($E1438,6,2))</f>
        <v/>
      </c>
      <c r="G1438">
        <f>IF(OR($E1438="",$E1438="نامعتبر",Sync!$Y1435=""),"",Sync!$Y1435)</f>
        <v/>
      </c>
      <c r="H1438">
        <f>IF($G1438="","",IF(Sync!$X1435="","",Sync!$X1435))</f>
        <v/>
      </c>
      <c r="I1438">
        <f>IF($G1438="","",IFERROR(VLOOKUP(Sync!$X1435,OpTbl,3,0),""))</f>
        <v/>
      </c>
      <c r="J1438">
        <f>IF(OR($G1438="",Sync!$Z1435=""),"",Sync!$Z1435)</f>
        <v/>
      </c>
      <c r="K1438">
        <f>IF(OR($G1438="",Sync!$AA1435=""),"",Sync!$AA1435)</f>
        <v/>
      </c>
      <c r="L1438">
        <f>IF($G1438="",0,IF(Sync!$AB1435="",0,Sync!$AB1435))</f>
        <v/>
      </c>
      <c r="M1438">
        <f>IF($G1438="",0,IF(Sync!$AC1435="",0,Sync!$AC1435))</f>
        <v/>
      </c>
      <c r="N1438">
        <f>IF($G1438="","",IF($H1438="مرجوعی خرید",-1,1)*($L1438-$M1438*IFERROR(VLOOKUP("P01",ParamTbl,3,0),1.5))*(1-IF($I1438="خرید",IFERROR(VLOOKUP("P02",ParamTbl,3,0),1),0)/100))</f>
        <v/>
      </c>
      <c r="O1438">
        <f>IF($G1438="",0,IF($H1438="مرجوعی خرید",-1,1)*IF(Sync!$AD1435="",0,Sync!$AD1435))</f>
        <v/>
      </c>
      <c r="P1438">
        <f>IF(OR($G1438="",Sync!$W1435=""),"",Sync!$W1435)</f>
        <v/>
      </c>
      <c r="Q1438">
        <f>IF(OR($G1438="",Sync!$AE1435=""),"",Sync!$AE1435)</f>
        <v/>
      </c>
      <c r="R1438">
        <f>IF($G1438="","",IF(Sync!$V1435="","0000",IF(AND(ISNUMBER(Sync!$V1435),Sync!$V1435&gt;=0,Sync!$V1435&lt;1),RIGHT("00"&amp;HOUR(Sync!$V1435),2)&amp;RIGHT("00"&amp;MINUTE(Sync!$V1435),2),IFERROR(RIGHT("00"&amp;VALUE(LEFT(Sync!$V1435,FIND(":",Sync!$V1435)-1)),2)&amp;RIGHT("00"&amp;VALUE(MID(Sync!$V1435,FIND(":",Sync!$V1435)+1,2)),2),"0000"))))</f>
        <v/>
      </c>
    </row>
    <row r="1439">
      <c r="A1439">
        <f>IF(Sync!$U1436="","",Sync!$U1436)</f>
        <v/>
      </c>
      <c r="B1439">
        <f>IF($A1439="","",IF(ISNUMBER($A1439),IF(AND($A1439&gt;=10000101,$A1439&lt;=99991231),INT($A1439/10000),""),IFERROR(VALUE(TRIM(LEFT($A1439,FIND("/",$A1439)-1))),"")))</f>
        <v/>
      </c>
      <c r="C1439">
        <f>IF(OR($A1439="",$B1439=""),"",IF(ISNUMBER($A1439),INT(MOD($A1439,10000)/100),IFERROR(VALUE(TRIM(LEFT(MID($A1439,FIND("/",$A1439)+1,20),FIND("/",MID($A1439,FIND("/",$A1439)+1,20))-1))),"")))</f>
        <v/>
      </c>
      <c r="D1439">
        <f>IF(OR($A1439="",$B1439=""),"",IF(ISNUMBER($A1439),MOD($A1439,100),IFERROR(VALUE(TRIM(MID(MID($A1439,FIND("/",$A1439)+1,20),FIND("/",MID($A1439,FIND("/",$A1439)+1,20))+1,20))),"")))</f>
        <v/>
      </c>
      <c r="E1439">
        <f>IF($A1439="","",IF(OR($B1439="",$C1439="",$D1439="",$B1439&lt;1300,$B1439&gt;1500,$C1439&lt;1,$C1439&gt;12,$D1439&lt;1,$D1439&gt;31),"نامعتبر",RIGHT("0000"&amp;$B1439,4)&amp;"/"&amp;RIGHT("00"&amp;$C1439,2)&amp;"/"&amp;RIGHT("00"&amp;$D1439,2)))</f>
        <v/>
      </c>
      <c r="F1439">
        <f>IF(OR($E1439="",$E1439="نامعتبر"),"",LEFT($E1439,4)&amp;"/"&amp;MID($E1439,6,2))</f>
        <v/>
      </c>
      <c r="G1439">
        <f>IF(OR($E1439="",$E1439="نامعتبر",Sync!$Y1436=""),"",Sync!$Y1436)</f>
        <v/>
      </c>
      <c r="H1439">
        <f>IF($G1439="","",IF(Sync!$X1436="","",Sync!$X1436))</f>
        <v/>
      </c>
      <c r="I1439">
        <f>IF($G1439="","",IFERROR(VLOOKUP(Sync!$X1436,OpTbl,3,0),""))</f>
        <v/>
      </c>
      <c r="J1439">
        <f>IF(OR($G1439="",Sync!$Z1436=""),"",Sync!$Z1436)</f>
        <v/>
      </c>
      <c r="K1439">
        <f>IF(OR($G1439="",Sync!$AA1436=""),"",Sync!$AA1436)</f>
        <v/>
      </c>
      <c r="L1439">
        <f>IF($G1439="",0,IF(Sync!$AB1436="",0,Sync!$AB1436))</f>
        <v/>
      </c>
      <c r="M1439">
        <f>IF($G1439="",0,IF(Sync!$AC1436="",0,Sync!$AC1436))</f>
        <v/>
      </c>
      <c r="N1439">
        <f>IF($G1439="","",IF($H1439="مرجوعی خرید",-1,1)*($L1439-$M1439*IFERROR(VLOOKUP("P01",ParamTbl,3,0),1.5))*(1-IF($I1439="خرید",IFERROR(VLOOKUP("P02",ParamTbl,3,0),1),0)/100))</f>
        <v/>
      </c>
      <c r="O1439">
        <f>IF($G1439="",0,IF($H1439="مرجوعی خرید",-1,1)*IF(Sync!$AD1436="",0,Sync!$AD1436))</f>
        <v/>
      </c>
      <c r="P1439">
        <f>IF(OR($G1439="",Sync!$W1436=""),"",Sync!$W1436)</f>
        <v/>
      </c>
      <c r="Q1439">
        <f>IF(OR($G1439="",Sync!$AE1436=""),"",Sync!$AE1436)</f>
        <v/>
      </c>
      <c r="R1439">
        <f>IF($G1439="","",IF(Sync!$V1436="","0000",IF(AND(ISNUMBER(Sync!$V1436),Sync!$V1436&gt;=0,Sync!$V1436&lt;1),RIGHT("00"&amp;HOUR(Sync!$V1436),2)&amp;RIGHT("00"&amp;MINUTE(Sync!$V1436),2),IFERROR(RIGHT("00"&amp;VALUE(LEFT(Sync!$V1436,FIND(":",Sync!$V1436)-1)),2)&amp;RIGHT("00"&amp;VALUE(MID(Sync!$V1436,FIND(":",Sync!$V1436)+1,2)),2),"0000"))))</f>
        <v/>
      </c>
    </row>
    <row r="1440">
      <c r="A1440">
        <f>IF(Sync!$U1437="","",Sync!$U1437)</f>
        <v/>
      </c>
      <c r="B1440">
        <f>IF($A1440="","",IF(ISNUMBER($A1440),IF(AND($A1440&gt;=10000101,$A1440&lt;=99991231),INT($A1440/10000),""),IFERROR(VALUE(TRIM(LEFT($A1440,FIND("/",$A1440)-1))),"")))</f>
        <v/>
      </c>
      <c r="C1440">
        <f>IF(OR($A1440="",$B1440=""),"",IF(ISNUMBER($A1440),INT(MOD($A1440,10000)/100),IFERROR(VALUE(TRIM(LEFT(MID($A1440,FIND("/",$A1440)+1,20),FIND("/",MID($A1440,FIND("/",$A1440)+1,20))-1))),"")))</f>
        <v/>
      </c>
      <c r="D1440">
        <f>IF(OR($A1440="",$B1440=""),"",IF(ISNUMBER($A1440),MOD($A1440,100),IFERROR(VALUE(TRIM(MID(MID($A1440,FIND("/",$A1440)+1,20),FIND("/",MID($A1440,FIND("/",$A1440)+1,20))+1,20))),"")))</f>
        <v/>
      </c>
      <c r="E1440">
        <f>IF($A1440="","",IF(OR($B1440="",$C1440="",$D1440="",$B1440&lt;1300,$B1440&gt;1500,$C1440&lt;1,$C1440&gt;12,$D1440&lt;1,$D1440&gt;31),"نامعتبر",RIGHT("0000"&amp;$B1440,4)&amp;"/"&amp;RIGHT("00"&amp;$C1440,2)&amp;"/"&amp;RIGHT("00"&amp;$D1440,2)))</f>
        <v/>
      </c>
      <c r="F1440">
        <f>IF(OR($E1440="",$E1440="نامعتبر"),"",LEFT($E1440,4)&amp;"/"&amp;MID($E1440,6,2))</f>
        <v/>
      </c>
      <c r="G1440">
        <f>IF(OR($E1440="",$E1440="نامعتبر",Sync!$Y1437=""),"",Sync!$Y1437)</f>
        <v/>
      </c>
      <c r="H1440">
        <f>IF($G1440="","",IF(Sync!$X1437="","",Sync!$X1437))</f>
        <v/>
      </c>
      <c r="I1440">
        <f>IF($G1440="","",IFERROR(VLOOKUP(Sync!$X1437,OpTbl,3,0),""))</f>
        <v/>
      </c>
      <c r="J1440">
        <f>IF(OR($G1440="",Sync!$Z1437=""),"",Sync!$Z1437)</f>
        <v/>
      </c>
      <c r="K1440">
        <f>IF(OR($G1440="",Sync!$AA1437=""),"",Sync!$AA1437)</f>
        <v/>
      </c>
      <c r="L1440">
        <f>IF($G1440="",0,IF(Sync!$AB1437="",0,Sync!$AB1437))</f>
        <v/>
      </c>
      <c r="M1440">
        <f>IF($G1440="",0,IF(Sync!$AC1437="",0,Sync!$AC1437))</f>
        <v/>
      </c>
      <c r="N1440">
        <f>IF($G1440="","",IF($H1440="مرجوعی خرید",-1,1)*($L1440-$M1440*IFERROR(VLOOKUP("P01",ParamTbl,3,0),1.5))*(1-IF($I1440="خرید",IFERROR(VLOOKUP("P02",ParamTbl,3,0),1),0)/100))</f>
        <v/>
      </c>
      <c r="O1440">
        <f>IF($G1440="",0,IF($H1440="مرجوعی خرید",-1,1)*IF(Sync!$AD1437="",0,Sync!$AD1437))</f>
        <v/>
      </c>
      <c r="P1440">
        <f>IF(OR($G1440="",Sync!$W1437=""),"",Sync!$W1437)</f>
        <v/>
      </c>
      <c r="Q1440">
        <f>IF(OR($G1440="",Sync!$AE1437=""),"",Sync!$AE1437)</f>
        <v/>
      </c>
      <c r="R1440">
        <f>IF($G1440="","",IF(Sync!$V1437="","0000",IF(AND(ISNUMBER(Sync!$V1437),Sync!$V1437&gt;=0,Sync!$V1437&lt;1),RIGHT("00"&amp;HOUR(Sync!$V1437),2)&amp;RIGHT("00"&amp;MINUTE(Sync!$V1437),2),IFERROR(RIGHT("00"&amp;VALUE(LEFT(Sync!$V1437,FIND(":",Sync!$V1437)-1)),2)&amp;RIGHT("00"&amp;VALUE(MID(Sync!$V1437,FIND(":",Sync!$V1437)+1,2)),2),"0000"))))</f>
        <v/>
      </c>
    </row>
    <row r="1441">
      <c r="A1441">
        <f>IF(Sync!$U1438="","",Sync!$U1438)</f>
        <v/>
      </c>
      <c r="B1441">
        <f>IF($A1441="","",IF(ISNUMBER($A1441),IF(AND($A1441&gt;=10000101,$A1441&lt;=99991231),INT($A1441/10000),""),IFERROR(VALUE(TRIM(LEFT($A1441,FIND("/",$A1441)-1))),"")))</f>
        <v/>
      </c>
      <c r="C1441">
        <f>IF(OR($A1441="",$B1441=""),"",IF(ISNUMBER($A1441),INT(MOD($A1441,10000)/100),IFERROR(VALUE(TRIM(LEFT(MID($A1441,FIND("/",$A1441)+1,20),FIND("/",MID($A1441,FIND("/",$A1441)+1,20))-1))),"")))</f>
        <v/>
      </c>
      <c r="D1441">
        <f>IF(OR($A1441="",$B1441=""),"",IF(ISNUMBER($A1441),MOD($A1441,100),IFERROR(VALUE(TRIM(MID(MID($A1441,FIND("/",$A1441)+1,20),FIND("/",MID($A1441,FIND("/",$A1441)+1,20))+1,20))),"")))</f>
        <v/>
      </c>
      <c r="E1441">
        <f>IF($A1441="","",IF(OR($B1441="",$C1441="",$D1441="",$B1441&lt;1300,$B1441&gt;1500,$C1441&lt;1,$C1441&gt;12,$D1441&lt;1,$D1441&gt;31),"نامعتبر",RIGHT("0000"&amp;$B1441,4)&amp;"/"&amp;RIGHT("00"&amp;$C1441,2)&amp;"/"&amp;RIGHT("00"&amp;$D1441,2)))</f>
        <v/>
      </c>
      <c r="F1441">
        <f>IF(OR($E1441="",$E1441="نامعتبر"),"",LEFT($E1441,4)&amp;"/"&amp;MID($E1441,6,2))</f>
        <v/>
      </c>
      <c r="G1441">
        <f>IF(OR($E1441="",$E1441="نامعتبر",Sync!$Y1438=""),"",Sync!$Y1438)</f>
        <v/>
      </c>
      <c r="H1441">
        <f>IF($G1441="","",IF(Sync!$X1438="","",Sync!$X1438))</f>
        <v/>
      </c>
      <c r="I1441">
        <f>IF($G1441="","",IFERROR(VLOOKUP(Sync!$X1438,OpTbl,3,0),""))</f>
        <v/>
      </c>
      <c r="J1441">
        <f>IF(OR($G1441="",Sync!$Z1438=""),"",Sync!$Z1438)</f>
        <v/>
      </c>
      <c r="K1441">
        <f>IF(OR($G1441="",Sync!$AA1438=""),"",Sync!$AA1438)</f>
        <v/>
      </c>
      <c r="L1441">
        <f>IF($G1441="",0,IF(Sync!$AB1438="",0,Sync!$AB1438))</f>
        <v/>
      </c>
      <c r="M1441">
        <f>IF($G1441="",0,IF(Sync!$AC1438="",0,Sync!$AC1438))</f>
        <v/>
      </c>
      <c r="N1441">
        <f>IF($G1441="","",IF($H1441="مرجوعی خرید",-1,1)*($L1441-$M1441*IFERROR(VLOOKUP("P01",ParamTbl,3,0),1.5))*(1-IF($I1441="خرید",IFERROR(VLOOKUP("P02",ParamTbl,3,0),1),0)/100))</f>
        <v/>
      </c>
      <c r="O1441">
        <f>IF($G1441="",0,IF($H1441="مرجوعی خرید",-1,1)*IF(Sync!$AD1438="",0,Sync!$AD1438))</f>
        <v/>
      </c>
      <c r="P1441">
        <f>IF(OR($G1441="",Sync!$W1438=""),"",Sync!$W1438)</f>
        <v/>
      </c>
      <c r="Q1441">
        <f>IF(OR($G1441="",Sync!$AE1438=""),"",Sync!$AE1438)</f>
        <v/>
      </c>
      <c r="R1441">
        <f>IF($G1441="","",IF(Sync!$V1438="","0000",IF(AND(ISNUMBER(Sync!$V1438),Sync!$V1438&gt;=0,Sync!$V1438&lt;1),RIGHT("00"&amp;HOUR(Sync!$V1438),2)&amp;RIGHT("00"&amp;MINUTE(Sync!$V1438),2),IFERROR(RIGHT("00"&amp;VALUE(LEFT(Sync!$V1438,FIND(":",Sync!$V1438)-1)),2)&amp;RIGHT("00"&amp;VALUE(MID(Sync!$V1438,FIND(":",Sync!$V1438)+1,2)),2),"0000"))))</f>
        <v/>
      </c>
    </row>
    <row r="1442">
      <c r="A1442">
        <f>IF(Sync!$U1439="","",Sync!$U1439)</f>
        <v/>
      </c>
      <c r="B1442">
        <f>IF($A1442="","",IF(ISNUMBER($A1442),IF(AND($A1442&gt;=10000101,$A1442&lt;=99991231),INT($A1442/10000),""),IFERROR(VALUE(TRIM(LEFT($A1442,FIND("/",$A1442)-1))),"")))</f>
        <v/>
      </c>
      <c r="C1442">
        <f>IF(OR($A1442="",$B1442=""),"",IF(ISNUMBER($A1442),INT(MOD($A1442,10000)/100),IFERROR(VALUE(TRIM(LEFT(MID($A1442,FIND("/",$A1442)+1,20),FIND("/",MID($A1442,FIND("/",$A1442)+1,20))-1))),"")))</f>
        <v/>
      </c>
      <c r="D1442">
        <f>IF(OR($A1442="",$B1442=""),"",IF(ISNUMBER($A1442),MOD($A1442,100),IFERROR(VALUE(TRIM(MID(MID($A1442,FIND("/",$A1442)+1,20),FIND("/",MID($A1442,FIND("/",$A1442)+1,20))+1,20))),"")))</f>
        <v/>
      </c>
      <c r="E1442">
        <f>IF($A1442="","",IF(OR($B1442="",$C1442="",$D1442="",$B1442&lt;1300,$B1442&gt;1500,$C1442&lt;1,$C1442&gt;12,$D1442&lt;1,$D1442&gt;31),"نامعتبر",RIGHT("0000"&amp;$B1442,4)&amp;"/"&amp;RIGHT("00"&amp;$C1442,2)&amp;"/"&amp;RIGHT("00"&amp;$D1442,2)))</f>
        <v/>
      </c>
      <c r="F1442">
        <f>IF(OR($E1442="",$E1442="نامعتبر"),"",LEFT($E1442,4)&amp;"/"&amp;MID($E1442,6,2))</f>
        <v/>
      </c>
      <c r="G1442">
        <f>IF(OR($E1442="",$E1442="نامعتبر",Sync!$Y1439=""),"",Sync!$Y1439)</f>
        <v/>
      </c>
      <c r="H1442">
        <f>IF($G1442="","",IF(Sync!$X1439="","",Sync!$X1439))</f>
        <v/>
      </c>
      <c r="I1442">
        <f>IF($G1442="","",IFERROR(VLOOKUP(Sync!$X1439,OpTbl,3,0),""))</f>
        <v/>
      </c>
      <c r="J1442">
        <f>IF(OR($G1442="",Sync!$Z1439=""),"",Sync!$Z1439)</f>
        <v/>
      </c>
      <c r="K1442">
        <f>IF(OR($G1442="",Sync!$AA1439=""),"",Sync!$AA1439)</f>
        <v/>
      </c>
      <c r="L1442">
        <f>IF($G1442="",0,IF(Sync!$AB1439="",0,Sync!$AB1439))</f>
        <v/>
      </c>
      <c r="M1442">
        <f>IF($G1442="",0,IF(Sync!$AC1439="",0,Sync!$AC1439))</f>
        <v/>
      </c>
      <c r="N1442">
        <f>IF($G1442="","",IF($H1442="مرجوعی خرید",-1,1)*($L1442-$M1442*IFERROR(VLOOKUP("P01",ParamTbl,3,0),1.5))*(1-IF($I1442="خرید",IFERROR(VLOOKUP("P02",ParamTbl,3,0),1),0)/100))</f>
        <v/>
      </c>
      <c r="O1442">
        <f>IF($G1442="",0,IF($H1442="مرجوعی خرید",-1,1)*IF(Sync!$AD1439="",0,Sync!$AD1439))</f>
        <v/>
      </c>
      <c r="P1442">
        <f>IF(OR($G1442="",Sync!$W1439=""),"",Sync!$W1439)</f>
        <v/>
      </c>
      <c r="Q1442">
        <f>IF(OR($G1442="",Sync!$AE1439=""),"",Sync!$AE1439)</f>
        <v/>
      </c>
      <c r="R1442">
        <f>IF($G1442="","",IF(Sync!$V1439="","0000",IF(AND(ISNUMBER(Sync!$V1439),Sync!$V1439&gt;=0,Sync!$V1439&lt;1),RIGHT("00"&amp;HOUR(Sync!$V1439),2)&amp;RIGHT("00"&amp;MINUTE(Sync!$V1439),2),IFERROR(RIGHT("00"&amp;VALUE(LEFT(Sync!$V1439,FIND(":",Sync!$V1439)-1)),2)&amp;RIGHT("00"&amp;VALUE(MID(Sync!$V1439,FIND(":",Sync!$V1439)+1,2)),2),"0000"))))</f>
        <v/>
      </c>
    </row>
    <row r="1443">
      <c r="A1443">
        <f>IF(Sync!$U1440="","",Sync!$U1440)</f>
        <v/>
      </c>
      <c r="B1443">
        <f>IF($A1443="","",IF(ISNUMBER($A1443),IF(AND($A1443&gt;=10000101,$A1443&lt;=99991231),INT($A1443/10000),""),IFERROR(VALUE(TRIM(LEFT($A1443,FIND("/",$A1443)-1))),"")))</f>
        <v/>
      </c>
      <c r="C1443">
        <f>IF(OR($A1443="",$B1443=""),"",IF(ISNUMBER($A1443),INT(MOD($A1443,10000)/100),IFERROR(VALUE(TRIM(LEFT(MID($A1443,FIND("/",$A1443)+1,20),FIND("/",MID($A1443,FIND("/",$A1443)+1,20))-1))),"")))</f>
        <v/>
      </c>
      <c r="D1443">
        <f>IF(OR($A1443="",$B1443=""),"",IF(ISNUMBER($A1443),MOD($A1443,100),IFERROR(VALUE(TRIM(MID(MID($A1443,FIND("/",$A1443)+1,20),FIND("/",MID($A1443,FIND("/",$A1443)+1,20))+1,20))),"")))</f>
        <v/>
      </c>
      <c r="E1443">
        <f>IF($A1443="","",IF(OR($B1443="",$C1443="",$D1443="",$B1443&lt;1300,$B1443&gt;1500,$C1443&lt;1,$C1443&gt;12,$D1443&lt;1,$D1443&gt;31),"نامعتبر",RIGHT("0000"&amp;$B1443,4)&amp;"/"&amp;RIGHT("00"&amp;$C1443,2)&amp;"/"&amp;RIGHT("00"&amp;$D1443,2)))</f>
        <v/>
      </c>
      <c r="F1443">
        <f>IF(OR($E1443="",$E1443="نامعتبر"),"",LEFT($E1443,4)&amp;"/"&amp;MID($E1443,6,2))</f>
        <v/>
      </c>
      <c r="G1443">
        <f>IF(OR($E1443="",$E1443="نامعتبر",Sync!$Y1440=""),"",Sync!$Y1440)</f>
        <v/>
      </c>
      <c r="H1443">
        <f>IF($G1443="","",IF(Sync!$X1440="","",Sync!$X1440))</f>
        <v/>
      </c>
      <c r="I1443">
        <f>IF($G1443="","",IFERROR(VLOOKUP(Sync!$X1440,OpTbl,3,0),""))</f>
        <v/>
      </c>
      <c r="J1443">
        <f>IF(OR($G1443="",Sync!$Z1440=""),"",Sync!$Z1440)</f>
        <v/>
      </c>
      <c r="K1443">
        <f>IF(OR($G1443="",Sync!$AA1440=""),"",Sync!$AA1440)</f>
        <v/>
      </c>
      <c r="L1443">
        <f>IF($G1443="",0,IF(Sync!$AB1440="",0,Sync!$AB1440))</f>
        <v/>
      </c>
      <c r="M1443">
        <f>IF($G1443="",0,IF(Sync!$AC1440="",0,Sync!$AC1440))</f>
        <v/>
      </c>
      <c r="N1443">
        <f>IF($G1443="","",IF($H1443="مرجوعی خرید",-1,1)*($L1443-$M1443*IFERROR(VLOOKUP("P01",ParamTbl,3,0),1.5))*(1-IF($I1443="خرید",IFERROR(VLOOKUP("P02",ParamTbl,3,0),1),0)/100))</f>
        <v/>
      </c>
      <c r="O1443">
        <f>IF($G1443="",0,IF($H1443="مرجوعی خرید",-1,1)*IF(Sync!$AD1440="",0,Sync!$AD1440))</f>
        <v/>
      </c>
      <c r="P1443">
        <f>IF(OR($G1443="",Sync!$W1440=""),"",Sync!$W1440)</f>
        <v/>
      </c>
      <c r="Q1443">
        <f>IF(OR($G1443="",Sync!$AE1440=""),"",Sync!$AE1440)</f>
        <v/>
      </c>
      <c r="R1443">
        <f>IF($G1443="","",IF(Sync!$V1440="","0000",IF(AND(ISNUMBER(Sync!$V1440),Sync!$V1440&gt;=0,Sync!$V1440&lt;1),RIGHT("00"&amp;HOUR(Sync!$V1440),2)&amp;RIGHT("00"&amp;MINUTE(Sync!$V1440),2),IFERROR(RIGHT("00"&amp;VALUE(LEFT(Sync!$V1440,FIND(":",Sync!$V1440)-1)),2)&amp;RIGHT("00"&amp;VALUE(MID(Sync!$V1440,FIND(":",Sync!$V1440)+1,2)),2),"0000"))))</f>
        <v/>
      </c>
    </row>
    <row r="1444">
      <c r="A1444">
        <f>IF(Sync!$U1441="","",Sync!$U1441)</f>
        <v/>
      </c>
      <c r="B1444">
        <f>IF($A1444="","",IF(ISNUMBER($A1444),IF(AND($A1444&gt;=10000101,$A1444&lt;=99991231),INT($A1444/10000),""),IFERROR(VALUE(TRIM(LEFT($A1444,FIND("/",$A1444)-1))),"")))</f>
        <v/>
      </c>
      <c r="C1444">
        <f>IF(OR($A1444="",$B1444=""),"",IF(ISNUMBER($A1444),INT(MOD($A1444,10000)/100),IFERROR(VALUE(TRIM(LEFT(MID($A1444,FIND("/",$A1444)+1,20),FIND("/",MID($A1444,FIND("/",$A1444)+1,20))-1))),"")))</f>
        <v/>
      </c>
      <c r="D1444">
        <f>IF(OR($A1444="",$B1444=""),"",IF(ISNUMBER($A1444),MOD($A1444,100),IFERROR(VALUE(TRIM(MID(MID($A1444,FIND("/",$A1444)+1,20),FIND("/",MID($A1444,FIND("/",$A1444)+1,20))+1,20))),"")))</f>
        <v/>
      </c>
      <c r="E1444">
        <f>IF($A1444="","",IF(OR($B1444="",$C1444="",$D1444="",$B1444&lt;1300,$B1444&gt;1500,$C1444&lt;1,$C1444&gt;12,$D1444&lt;1,$D1444&gt;31),"نامعتبر",RIGHT("0000"&amp;$B1444,4)&amp;"/"&amp;RIGHT("00"&amp;$C1444,2)&amp;"/"&amp;RIGHT("00"&amp;$D1444,2)))</f>
        <v/>
      </c>
      <c r="F1444">
        <f>IF(OR($E1444="",$E1444="نامعتبر"),"",LEFT($E1444,4)&amp;"/"&amp;MID($E1444,6,2))</f>
        <v/>
      </c>
      <c r="G1444">
        <f>IF(OR($E1444="",$E1444="نامعتبر",Sync!$Y1441=""),"",Sync!$Y1441)</f>
        <v/>
      </c>
      <c r="H1444">
        <f>IF($G1444="","",IF(Sync!$X1441="","",Sync!$X1441))</f>
        <v/>
      </c>
      <c r="I1444">
        <f>IF($G1444="","",IFERROR(VLOOKUP(Sync!$X1441,OpTbl,3,0),""))</f>
        <v/>
      </c>
      <c r="J1444">
        <f>IF(OR($G1444="",Sync!$Z1441=""),"",Sync!$Z1441)</f>
        <v/>
      </c>
      <c r="K1444">
        <f>IF(OR($G1444="",Sync!$AA1441=""),"",Sync!$AA1441)</f>
        <v/>
      </c>
      <c r="L1444">
        <f>IF($G1444="",0,IF(Sync!$AB1441="",0,Sync!$AB1441))</f>
        <v/>
      </c>
      <c r="M1444">
        <f>IF($G1444="",0,IF(Sync!$AC1441="",0,Sync!$AC1441))</f>
        <v/>
      </c>
      <c r="N1444">
        <f>IF($G1444="","",IF($H1444="مرجوعی خرید",-1,1)*($L1444-$M1444*IFERROR(VLOOKUP("P01",ParamTbl,3,0),1.5))*(1-IF($I1444="خرید",IFERROR(VLOOKUP("P02",ParamTbl,3,0),1),0)/100))</f>
        <v/>
      </c>
      <c r="O1444">
        <f>IF($G1444="",0,IF($H1444="مرجوعی خرید",-1,1)*IF(Sync!$AD1441="",0,Sync!$AD1441))</f>
        <v/>
      </c>
      <c r="P1444">
        <f>IF(OR($G1444="",Sync!$W1441=""),"",Sync!$W1441)</f>
        <v/>
      </c>
      <c r="Q1444">
        <f>IF(OR($G1444="",Sync!$AE1441=""),"",Sync!$AE1441)</f>
        <v/>
      </c>
      <c r="R1444">
        <f>IF($G1444="","",IF(Sync!$V1441="","0000",IF(AND(ISNUMBER(Sync!$V1441),Sync!$V1441&gt;=0,Sync!$V1441&lt;1),RIGHT("00"&amp;HOUR(Sync!$V1441),2)&amp;RIGHT("00"&amp;MINUTE(Sync!$V1441),2),IFERROR(RIGHT("00"&amp;VALUE(LEFT(Sync!$V1441,FIND(":",Sync!$V1441)-1)),2)&amp;RIGHT("00"&amp;VALUE(MID(Sync!$V1441,FIND(":",Sync!$V1441)+1,2)),2),"0000"))))</f>
        <v/>
      </c>
    </row>
    <row r="1445">
      <c r="A1445">
        <f>IF(Sync!$U1442="","",Sync!$U1442)</f>
        <v/>
      </c>
      <c r="B1445">
        <f>IF($A1445="","",IF(ISNUMBER($A1445),IF(AND($A1445&gt;=10000101,$A1445&lt;=99991231),INT($A1445/10000),""),IFERROR(VALUE(TRIM(LEFT($A1445,FIND("/",$A1445)-1))),"")))</f>
        <v/>
      </c>
      <c r="C1445">
        <f>IF(OR($A1445="",$B1445=""),"",IF(ISNUMBER($A1445),INT(MOD($A1445,10000)/100),IFERROR(VALUE(TRIM(LEFT(MID($A1445,FIND("/",$A1445)+1,20),FIND("/",MID($A1445,FIND("/",$A1445)+1,20))-1))),"")))</f>
        <v/>
      </c>
      <c r="D1445">
        <f>IF(OR($A1445="",$B1445=""),"",IF(ISNUMBER($A1445),MOD($A1445,100),IFERROR(VALUE(TRIM(MID(MID($A1445,FIND("/",$A1445)+1,20),FIND("/",MID($A1445,FIND("/",$A1445)+1,20))+1,20))),"")))</f>
        <v/>
      </c>
      <c r="E1445">
        <f>IF($A1445="","",IF(OR($B1445="",$C1445="",$D1445="",$B1445&lt;1300,$B1445&gt;1500,$C1445&lt;1,$C1445&gt;12,$D1445&lt;1,$D1445&gt;31),"نامعتبر",RIGHT("0000"&amp;$B1445,4)&amp;"/"&amp;RIGHT("00"&amp;$C1445,2)&amp;"/"&amp;RIGHT("00"&amp;$D1445,2)))</f>
        <v/>
      </c>
      <c r="F1445">
        <f>IF(OR($E1445="",$E1445="نامعتبر"),"",LEFT($E1445,4)&amp;"/"&amp;MID($E1445,6,2))</f>
        <v/>
      </c>
      <c r="G1445">
        <f>IF(OR($E1445="",$E1445="نامعتبر",Sync!$Y1442=""),"",Sync!$Y1442)</f>
        <v/>
      </c>
      <c r="H1445">
        <f>IF($G1445="","",IF(Sync!$X1442="","",Sync!$X1442))</f>
        <v/>
      </c>
      <c r="I1445">
        <f>IF($G1445="","",IFERROR(VLOOKUP(Sync!$X1442,OpTbl,3,0),""))</f>
        <v/>
      </c>
      <c r="J1445">
        <f>IF(OR($G1445="",Sync!$Z1442=""),"",Sync!$Z1442)</f>
        <v/>
      </c>
      <c r="K1445">
        <f>IF(OR($G1445="",Sync!$AA1442=""),"",Sync!$AA1442)</f>
        <v/>
      </c>
      <c r="L1445">
        <f>IF($G1445="",0,IF(Sync!$AB1442="",0,Sync!$AB1442))</f>
        <v/>
      </c>
      <c r="M1445">
        <f>IF($G1445="",0,IF(Sync!$AC1442="",0,Sync!$AC1442))</f>
        <v/>
      </c>
      <c r="N1445">
        <f>IF($G1445="","",IF($H1445="مرجوعی خرید",-1,1)*($L1445-$M1445*IFERROR(VLOOKUP("P01",ParamTbl,3,0),1.5))*(1-IF($I1445="خرید",IFERROR(VLOOKUP("P02",ParamTbl,3,0),1),0)/100))</f>
        <v/>
      </c>
      <c r="O1445">
        <f>IF($G1445="",0,IF($H1445="مرجوعی خرید",-1,1)*IF(Sync!$AD1442="",0,Sync!$AD1442))</f>
        <v/>
      </c>
      <c r="P1445">
        <f>IF(OR($G1445="",Sync!$W1442=""),"",Sync!$W1442)</f>
        <v/>
      </c>
      <c r="Q1445">
        <f>IF(OR($G1445="",Sync!$AE1442=""),"",Sync!$AE1442)</f>
        <v/>
      </c>
      <c r="R1445">
        <f>IF($G1445="","",IF(Sync!$V1442="","0000",IF(AND(ISNUMBER(Sync!$V1442),Sync!$V1442&gt;=0,Sync!$V1442&lt;1),RIGHT("00"&amp;HOUR(Sync!$V1442),2)&amp;RIGHT("00"&amp;MINUTE(Sync!$V1442),2),IFERROR(RIGHT("00"&amp;VALUE(LEFT(Sync!$V1442,FIND(":",Sync!$V1442)-1)),2)&amp;RIGHT("00"&amp;VALUE(MID(Sync!$V1442,FIND(":",Sync!$V1442)+1,2)),2),"0000"))))</f>
        <v/>
      </c>
    </row>
    <row r="1446">
      <c r="A1446">
        <f>IF(Sync!$U1443="","",Sync!$U1443)</f>
        <v/>
      </c>
      <c r="B1446">
        <f>IF($A1446="","",IF(ISNUMBER($A1446),IF(AND($A1446&gt;=10000101,$A1446&lt;=99991231),INT($A1446/10000),""),IFERROR(VALUE(TRIM(LEFT($A1446,FIND("/",$A1446)-1))),"")))</f>
        <v/>
      </c>
      <c r="C1446">
        <f>IF(OR($A1446="",$B1446=""),"",IF(ISNUMBER($A1446),INT(MOD($A1446,10000)/100),IFERROR(VALUE(TRIM(LEFT(MID($A1446,FIND("/",$A1446)+1,20),FIND("/",MID($A1446,FIND("/",$A1446)+1,20))-1))),"")))</f>
        <v/>
      </c>
      <c r="D1446">
        <f>IF(OR($A1446="",$B1446=""),"",IF(ISNUMBER($A1446),MOD($A1446,100),IFERROR(VALUE(TRIM(MID(MID($A1446,FIND("/",$A1446)+1,20),FIND("/",MID($A1446,FIND("/",$A1446)+1,20))+1,20))),"")))</f>
        <v/>
      </c>
      <c r="E1446">
        <f>IF($A1446="","",IF(OR($B1446="",$C1446="",$D1446="",$B1446&lt;1300,$B1446&gt;1500,$C1446&lt;1,$C1446&gt;12,$D1446&lt;1,$D1446&gt;31),"نامعتبر",RIGHT("0000"&amp;$B1446,4)&amp;"/"&amp;RIGHT("00"&amp;$C1446,2)&amp;"/"&amp;RIGHT("00"&amp;$D1446,2)))</f>
        <v/>
      </c>
      <c r="F1446">
        <f>IF(OR($E1446="",$E1446="نامعتبر"),"",LEFT($E1446,4)&amp;"/"&amp;MID($E1446,6,2))</f>
        <v/>
      </c>
      <c r="G1446">
        <f>IF(OR($E1446="",$E1446="نامعتبر",Sync!$Y1443=""),"",Sync!$Y1443)</f>
        <v/>
      </c>
      <c r="H1446">
        <f>IF($G1446="","",IF(Sync!$X1443="","",Sync!$X1443))</f>
        <v/>
      </c>
      <c r="I1446">
        <f>IF($G1446="","",IFERROR(VLOOKUP(Sync!$X1443,OpTbl,3,0),""))</f>
        <v/>
      </c>
      <c r="J1446">
        <f>IF(OR($G1446="",Sync!$Z1443=""),"",Sync!$Z1443)</f>
        <v/>
      </c>
      <c r="K1446">
        <f>IF(OR($G1446="",Sync!$AA1443=""),"",Sync!$AA1443)</f>
        <v/>
      </c>
      <c r="L1446">
        <f>IF($G1446="",0,IF(Sync!$AB1443="",0,Sync!$AB1443))</f>
        <v/>
      </c>
      <c r="M1446">
        <f>IF($G1446="",0,IF(Sync!$AC1443="",0,Sync!$AC1443))</f>
        <v/>
      </c>
      <c r="N1446">
        <f>IF($G1446="","",IF($H1446="مرجوعی خرید",-1,1)*($L1446-$M1446*IFERROR(VLOOKUP("P01",ParamTbl,3,0),1.5))*(1-IF($I1446="خرید",IFERROR(VLOOKUP("P02",ParamTbl,3,0),1),0)/100))</f>
        <v/>
      </c>
      <c r="O1446">
        <f>IF($G1446="",0,IF($H1446="مرجوعی خرید",-1,1)*IF(Sync!$AD1443="",0,Sync!$AD1443))</f>
        <v/>
      </c>
      <c r="P1446">
        <f>IF(OR($G1446="",Sync!$W1443=""),"",Sync!$W1443)</f>
        <v/>
      </c>
      <c r="Q1446">
        <f>IF(OR($G1446="",Sync!$AE1443=""),"",Sync!$AE1443)</f>
        <v/>
      </c>
      <c r="R1446">
        <f>IF($G1446="","",IF(Sync!$V1443="","0000",IF(AND(ISNUMBER(Sync!$V1443),Sync!$V1443&gt;=0,Sync!$V1443&lt;1),RIGHT("00"&amp;HOUR(Sync!$V1443),2)&amp;RIGHT("00"&amp;MINUTE(Sync!$V1443),2),IFERROR(RIGHT("00"&amp;VALUE(LEFT(Sync!$V1443,FIND(":",Sync!$V1443)-1)),2)&amp;RIGHT("00"&amp;VALUE(MID(Sync!$V1443,FIND(":",Sync!$V1443)+1,2)),2),"0000"))))</f>
        <v/>
      </c>
    </row>
    <row r="1447">
      <c r="A1447">
        <f>IF(Sync!$U1444="","",Sync!$U1444)</f>
        <v/>
      </c>
      <c r="B1447">
        <f>IF($A1447="","",IF(ISNUMBER($A1447),IF(AND($A1447&gt;=10000101,$A1447&lt;=99991231),INT($A1447/10000),""),IFERROR(VALUE(TRIM(LEFT($A1447,FIND("/",$A1447)-1))),"")))</f>
        <v/>
      </c>
      <c r="C1447">
        <f>IF(OR($A1447="",$B1447=""),"",IF(ISNUMBER($A1447),INT(MOD($A1447,10000)/100),IFERROR(VALUE(TRIM(LEFT(MID($A1447,FIND("/",$A1447)+1,20),FIND("/",MID($A1447,FIND("/",$A1447)+1,20))-1))),"")))</f>
        <v/>
      </c>
      <c r="D1447">
        <f>IF(OR($A1447="",$B1447=""),"",IF(ISNUMBER($A1447),MOD($A1447,100),IFERROR(VALUE(TRIM(MID(MID($A1447,FIND("/",$A1447)+1,20),FIND("/",MID($A1447,FIND("/",$A1447)+1,20))+1,20))),"")))</f>
        <v/>
      </c>
      <c r="E1447">
        <f>IF($A1447="","",IF(OR($B1447="",$C1447="",$D1447="",$B1447&lt;1300,$B1447&gt;1500,$C1447&lt;1,$C1447&gt;12,$D1447&lt;1,$D1447&gt;31),"نامعتبر",RIGHT("0000"&amp;$B1447,4)&amp;"/"&amp;RIGHT("00"&amp;$C1447,2)&amp;"/"&amp;RIGHT("00"&amp;$D1447,2)))</f>
        <v/>
      </c>
      <c r="F1447">
        <f>IF(OR($E1447="",$E1447="نامعتبر"),"",LEFT($E1447,4)&amp;"/"&amp;MID($E1447,6,2))</f>
        <v/>
      </c>
      <c r="G1447">
        <f>IF(OR($E1447="",$E1447="نامعتبر",Sync!$Y1444=""),"",Sync!$Y1444)</f>
        <v/>
      </c>
      <c r="H1447">
        <f>IF($G1447="","",IF(Sync!$X1444="","",Sync!$X1444))</f>
        <v/>
      </c>
      <c r="I1447">
        <f>IF($G1447="","",IFERROR(VLOOKUP(Sync!$X1444,OpTbl,3,0),""))</f>
        <v/>
      </c>
      <c r="J1447">
        <f>IF(OR($G1447="",Sync!$Z1444=""),"",Sync!$Z1444)</f>
        <v/>
      </c>
      <c r="K1447">
        <f>IF(OR($G1447="",Sync!$AA1444=""),"",Sync!$AA1444)</f>
        <v/>
      </c>
      <c r="L1447">
        <f>IF($G1447="",0,IF(Sync!$AB1444="",0,Sync!$AB1444))</f>
        <v/>
      </c>
      <c r="M1447">
        <f>IF($G1447="",0,IF(Sync!$AC1444="",0,Sync!$AC1444))</f>
        <v/>
      </c>
      <c r="N1447">
        <f>IF($G1447="","",IF($H1447="مرجوعی خرید",-1,1)*($L1447-$M1447*IFERROR(VLOOKUP("P01",ParamTbl,3,0),1.5))*(1-IF($I1447="خرید",IFERROR(VLOOKUP("P02",ParamTbl,3,0),1),0)/100))</f>
        <v/>
      </c>
      <c r="O1447">
        <f>IF($G1447="",0,IF($H1447="مرجوعی خرید",-1,1)*IF(Sync!$AD1444="",0,Sync!$AD1444))</f>
        <v/>
      </c>
      <c r="P1447">
        <f>IF(OR($G1447="",Sync!$W1444=""),"",Sync!$W1444)</f>
        <v/>
      </c>
      <c r="Q1447">
        <f>IF(OR($G1447="",Sync!$AE1444=""),"",Sync!$AE1444)</f>
        <v/>
      </c>
      <c r="R1447">
        <f>IF($G1447="","",IF(Sync!$V1444="","0000",IF(AND(ISNUMBER(Sync!$V1444),Sync!$V1444&gt;=0,Sync!$V1444&lt;1),RIGHT("00"&amp;HOUR(Sync!$V1444),2)&amp;RIGHT("00"&amp;MINUTE(Sync!$V1444),2),IFERROR(RIGHT("00"&amp;VALUE(LEFT(Sync!$V1444,FIND(":",Sync!$V1444)-1)),2)&amp;RIGHT("00"&amp;VALUE(MID(Sync!$V1444,FIND(":",Sync!$V1444)+1,2)),2),"0000"))))</f>
        <v/>
      </c>
    </row>
    <row r="1448">
      <c r="A1448">
        <f>IF(Sync!$U1445="","",Sync!$U1445)</f>
        <v/>
      </c>
      <c r="B1448">
        <f>IF($A1448="","",IF(ISNUMBER($A1448),IF(AND($A1448&gt;=10000101,$A1448&lt;=99991231),INT($A1448/10000),""),IFERROR(VALUE(TRIM(LEFT($A1448,FIND("/",$A1448)-1))),"")))</f>
        <v/>
      </c>
      <c r="C1448">
        <f>IF(OR($A1448="",$B1448=""),"",IF(ISNUMBER($A1448),INT(MOD($A1448,10000)/100),IFERROR(VALUE(TRIM(LEFT(MID($A1448,FIND("/",$A1448)+1,20),FIND("/",MID($A1448,FIND("/",$A1448)+1,20))-1))),"")))</f>
        <v/>
      </c>
      <c r="D1448">
        <f>IF(OR($A1448="",$B1448=""),"",IF(ISNUMBER($A1448),MOD($A1448,100),IFERROR(VALUE(TRIM(MID(MID($A1448,FIND("/",$A1448)+1,20),FIND("/",MID($A1448,FIND("/",$A1448)+1,20))+1,20))),"")))</f>
        <v/>
      </c>
      <c r="E1448">
        <f>IF($A1448="","",IF(OR($B1448="",$C1448="",$D1448="",$B1448&lt;1300,$B1448&gt;1500,$C1448&lt;1,$C1448&gt;12,$D1448&lt;1,$D1448&gt;31),"نامعتبر",RIGHT("0000"&amp;$B1448,4)&amp;"/"&amp;RIGHT("00"&amp;$C1448,2)&amp;"/"&amp;RIGHT("00"&amp;$D1448,2)))</f>
        <v/>
      </c>
      <c r="F1448">
        <f>IF(OR($E1448="",$E1448="نامعتبر"),"",LEFT($E1448,4)&amp;"/"&amp;MID($E1448,6,2))</f>
        <v/>
      </c>
      <c r="G1448">
        <f>IF(OR($E1448="",$E1448="نامعتبر",Sync!$Y1445=""),"",Sync!$Y1445)</f>
        <v/>
      </c>
      <c r="H1448">
        <f>IF($G1448="","",IF(Sync!$X1445="","",Sync!$X1445))</f>
        <v/>
      </c>
      <c r="I1448">
        <f>IF($G1448="","",IFERROR(VLOOKUP(Sync!$X1445,OpTbl,3,0),""))</f>
        <v/>
      </c>
      <c r="J1448">
        <f>IF(OR($G1448="",Sync!$Z1445=""),"",Sync!$Z1445)</f>
        <v/>
      </c>
      <c r="K1448">
        <f>IF(OR($G1448="",Sync!$AA1445=""),"",Sync!$AA1445)</f>
        <v/>
      </c>
      <c r="L1448">
        <f>IF($G1448="",0,IF(Sync!$AB1445="",0,Sync!$AB1445))</f>
        <v/>
      </c>
      <c r="M1448">
        <f>IF($G1448="",0,IF(Sync!$AC1445="",0,Sync!$AC1445))</f>
        <v/>
      </c>
      <c r="N1448">
        <f>IF($G1448="","",IF($H1448="مرجوعی خرید",-1,1)*($L1448-$M1448*IFERROR(VLOOKUP("P01",ParamTbl,3,0),1.5))*(1-IF($I1448="خرید",IFERROR(VLOOKUP("P02",ParamTbl,3,0),1),0)/100))</f>
        <v/>
      </c>
      <c r="O1448">
        <f>IF($G1448="",0,IF($H1448="مرجوعی خرید",-1,1)*IF(Sync!$AD1445="",0,Sync!$AD1445))</f>
        <v/>
      </c>
      <c r="P1448">
        <f>IF(OR($G1448="",Sync!$W1445=""),"",Sync!$W1445)</f>
        <v/>
      </c>
      <c r="Q1448">
        <f>IF(OR($G1448="",Sync!$AE1445=""),"",Sync!$AE1445)</f>
        <v/>
      </c>
      <c r="R1448">
        <f>IF($G1448="","",IF(Sync!$V1445="","0000",IF(AND(ISNUMBER(Sync!$V1445),Sync!$V1445&gt;=0,Sync!$V1445&lt;1),RIGHT("00"&amp;HOUR(Sync!$V1445),2)&amp;RIGHT("00"&amp;MINUTE(Sync!$V1445),2),IFERROR(RIGHT("00"&amp;VALUE(LEFT(Sync!$V1445,FIND(":",Sync!$V1445)-1)),2)&amp;RIGHT("00"&amp;VALUE(MID(Sync!$V1445,FIND(":",Sync!$V1445)+1,2)),2),"0000"))))</f>
        <v/>
      </c>
    </row>
    <row r="1449">
      <c r="A1449">
        <f>IF(Sync!$U1446="","",Sync!$U1446)</f>
        <v/>
      </c>
      <c r="B1449">
        <f>IF($A1449="","",IF(ISNUMBER($A1449),IF(AND($A1449&gt;=10000101,$A1449&lt;=99991231),INT($A1449/10000),""),IFERROR(VALUE(TRIM(LEFT($A1449,FIND("/",$A1449)-1))),"")))</f>
        <v/>
      </c>
      <c r="C1449">
        <f>IF(OR($A1449="",$B1449=""),"",IF(ISNUMBER($A1449),INT(MOD($A1449,10000)/100),IFERROR(VALUE(TRIM(LEFT(MID($A1449,FIND("/",$A1449)+1,20),FIND("/",MID($A1449,FIND("/",$A1449)+1,20))-1))),"")))</f>
        <v/>
      </c>
      <c r="D1449">
        <f>IF(OR($A1449="",$B1449=""),"",IF(ISNUMBER($A1449),MOD($A1449,100),IFERROR(VALUE(TRIM(MID(MID($A1449,FIND("/",$A1449)+1,20),FIND("/",MID($A1449,FIND("/",$A1449)+1,20))+1,20))),"")))</f>
        <v/>
      </c>
      <c r="E1449">
        <f>IF($A1449="","",IF(OR($B1449="",$C1449="",$D1449="",$B1449&lt;1300,$B1449&gt;1500,$C1449&lt;1,$C1449&gt;12,$D1449&lt;1,$D1449&gt;31),"نامعتبر",RIGHT("0000"&amp;$B1449,4)&amp;"/"&amp;RIGHT("00"&amp;$C1449,2)&amp;"/"&amp;RIGHT("00"&amp;$D1449,2)))</f>
        <v/>
      </c>
      <c r="F1449">
        <f>IF(OR($E1449="",$E1449="نامعتبر"),"",LEFT($E1449,4)&amp;"/"&amp;MID($E1449,6,2))</f>
        <v/>
      </c>
      <c r="G1449">
        <f>IF(OR($E1449="",$E1449="نامعتبر",Sync!$Y1446=""),"",Sync!$Y1446)</f>
        <v/>
      </c>
      <c r="H1449">
        <f>IF($G1449="","",IF(Sync!$X1446="","",Sync!$X1446))</f>
        <v/>
      </c>
      <c r="I1449">
        <f>IF($G1449="","",IFERROR(VLOOKUP(Sync!$X1446,OpTbl,3,0),""))</f>
        <v/>
      </c>
      <c r="J1449">
        <f>IF(OR($G1449="",Sync!$Z1446=""),"",Sync!$Z1446)</f>
        <v/>
      </c>
      <c r="K1449">
        <f>IF(OR($G1449="",Sync!$AA1446=""),"",Sync!$AA1446)</f>
        <v/>
      </c>
      <c r="L1449">
        <f>IF($G1449="",0,IF(Sync!$AB1446="",0,Sync!$AB1446))</f>
        <v/>
      </c>
      <c r="M1449">
        <f>IF($G1449="",0,IF(Sync!$AC1446="",0,Sync!$AC1446))</f>
        <v/>
      </c>
      <c r="N1449">
        <f>IF($G1449="","",IF($H1449="مرجوعی خرید",-1,1)*($L1449-$M1449*IFERROR(VLOOKUP("P01",ParamTbl,3,0),1.5))*(1-IF($I1449="خرید",IFERROR(VLOOKUP("P02",ParamTbl,3,0),1),0)/100))</f>
        <v/>
      </c>
      <c r="O1449">
        <f>IF($G1449="",0,IF($H1449="مرجوعی خرید",-1,1)*IF(Sync!$AD1446="",0,Sync!$AD1446))</f>
        <v/>
      </c>
      <c r="P1449">
        <f>IF(OR($G1449="",Sync!$W1446=""),"",Sync!$W1446)</f>
        <v/>
      </c>
      <c r="Q1449">
        <f>IF(OR($G1449="",Sync!$AE1446=""),"",Sync!$AE1446)</f>
        <v/>
      </c>
      <c r="R1449">
        <f>IF($G1449="","",IF(Sync!$V1446="","0000",IF(AND(ISNUMBER(Sync!$V1446),Sync!$V1446&gt;=0,Sync!$V1446&lt;1),RIGHT("00"&amp;HOUR(Sync!$V1446),2)&amp;RIGHT("00"&amp;MINUTE(Sync!$V1446),2),IFERROR(RIGHT("00"&amp;VALUE(LEFT(Sync!$V1446,FIND(":",Sync!$V1446)-1)),2)&amp;RIGHT("00"&amp;VALUE(MID(Sync!$V1446,FIND(":",Sync!$V1446)+1,2)),2),"0000"))))</f>
        <v/>
      </c>
    </row>
    <row r="1450">
      <c r="A1450">
        <f>IF(Sync!$U1447="","",Sync!$U1447)</f>
        <v/>
      </c>
      <c r="B1450">
        <f>IF($A1450="","",IF(ISNUMBER($A1450),IF(AND($A1450&gt;=10000101,$A1450&lt;=99991231),INT($A1450/10000),""),IFERROR(VALUE(TRIM(LEFT($A1450,FIND("/",$A1450)-1))),"")))</f>
        <v/>
      </c>
      <c r="C1450">
        <f>IF(OR($A1450="",$B1450=""),"",IF(ISNUMBER($A1450),INT(MOD($A1450,10000)/100),IFERROR(VALUE(TRIM(LEFT(MID($A1450,FIND("/",$A1450)+1,20),FIND("/",MID($A1450,FIND("/",$A1450)+1,20))-1))),"")))</f>
        <v/>
      </c>
      <c r="D1450">
        <f>IF(OR($A1450="",$B1450=""),"",IF(ISNUMBER($A1450),MOD($A1450,100),IFERROR(VALUE(TRIM(MID(MID($A1450,FIND("/",$A1450)+1,20),FIND("/",MID($A1450,FIND("/",$A1450)+1,20))+1,20))),"")))</f>
        <v/>
      </c>
      <c r="E1450">
        <f>IF($A1450="","",IF(OR($B1450="",$C1450="",$D1450="",$B1450&lt;1300,$B1450&gt;1500,$C1450&lt;1,$C1450&gt;12,$D1450&lt;1,$D1450&gt;31),"نامعتبر",RIGHT("0000"&amp;$B1450,4)&amp;"/"&amp;RIGHT("00"&amp;$C1450,2)&amp;"/"&amp;RIGHT("00"&amp;$D1450,2)))</f>
        <v/>
      </c>
      <c r="F1450">
        <f>IF(OR($E1450="",$E1450="نامعتبر"),"",LEFT($E1450,4)&amp;"/"&amp;MID($E1450,6,2))</f>
        <v/>
      </c>
      <c r="G1450">
        <f>IF(OR($E1450="",$E1450="نامعتبر",Sync!$Y1447=""),"",Sync!$Y1447)</f>
        <v/>
      </c>
      <c r="H1450">
        <f>IF($G1450="","",IF(Sync!$X1447="","",Sync!$X1447))</f>
        <v/>
      </c>
      <c r="I1450">
        <f>IF($G1450="","",IFERROR(VLOOKUP(Sync!$X1447,OpTbl,3,0),""))</f>
        <v/>
      </c>
      <c r="J1450">
        <f>IF(OR($G1450="",Sync!$Z1447=""),"",Sync!$Z1447)</f>
        <v/>
      </c>
      <c r="K1450">
        <f>IF(OR($G1450="",Sync!$AA1447=""),"",Sync!$AA1447)</f>
        <v/>
      </c>
      <c r="L1450">
        <f>IF($G1450="",0,IF(Sync!$AB1447="",0,Sync!$AB1447))</f>
        <v/>
      </c>
      <c r="M1450">
        <f>IF($G1450="",0,IF(Sync!$AC1447="",0,Sync!$AC1447))</f>
        <v/>
      </c>
      <c r="N1450">
        <f>IF($G1450="","",IF($H1450="مرجوعی خرید",-1,1)*($L1450-$M1450*IFERROR(VLOOKUP("P01",ParamTbl,3,0),1.5))*(1-IF($I1450="خرید",IFERROR(VLOOKUP("P02",ParamTbl,3,0),1),0)/100))</f>
        <v/>
      </c>
      <c r="O1450">
        <f>IF($G1450="",0,IF($H1450="مرجوعی خرید",-1,1)*IF(Sync!$AD1447="",0,Sync!$AD1447))</f>
        <v/>
      </c>
      <c r="P1450">
        <f>IF(OR($G1450="",Sync!$W1447=""),"",Sync!$W1447)</f>
        <v/>
      </c>
      <c r="Q1450">
        <f>IF(OR($G1450="",Sync!$AE1447=""),"",Sync!$AE1447)</f>
        <v/>
      </c>
      <c r="R1450">
        <f>IF($G1450="","",IF(Sync!$V1447="","0000",IF(AND(ISNUMBER(Sync!$V1447),Sync!$V1447&gt;=0,Sync!$V1447&lt;1),RIGHT("00"&amp;HOUR(Sync!$V1447),2)&amp;RIGHT("00"&amp;MINUTE(Sync!$V1447),2),IFERROR(RIGHT("00"&amp;VALUE(LEFT(Sync!$V1447,FIND(":",Sync!$V1447)-1)),2)&amp;RIGHT("00"&amp;VALUE(MID(Sync!$V1447,FIND(":",Sync!$V1447)+1,2)),2),"0000"))))</f>
        <v/>
      </c>
    </row>
    <row r="1451">
      <c r="A1451">
        <f>IF(Sync!$U1448="","",Sync!$U1448)</f>
        <v/>
      </c>
      <c r="B1451">
        <f>IF($A1451="","",IF(ISNUMBER($A1451),IF(AND($A1451&gt;=10000101,$A1451&lt;=99991231),INT($A1451/10000),""),IFERROR(VALUE(TRIM(LEFT($A1451,FIND("/",$A1451)-1))),"")))</f>
        <v/>
      </c>
      <c r="C1451">
        <f>IF(OR($A1451="",$B1451=""),"",IF(ISNUMBER($A1451),INT(MOD($A1451,10000)/100),IFERROR(VALUE(TRIM(LEFT(MID($A1451,FIND("/",$A1451)+1,20),FIND("/",MID($A1451,FIND("/",$A1451)+1,20))-1))),"")))</f>
        <v/>
      </c>
      <c r="D1451">
        <f>IF(OR($A1451="",$B1451=""),"",IF(ISNUMBER($A1451),MOD($A1451,100),IFERROR(VALUE(TRIM(MID(MID($A1451,FIND("/",$A1451)+1,20),FIND("/",MID($A1451,FIND("/",$A1451)+1,20))+1,20))),"")))</f>
        <v/>
      </c>
      <c r="E1451">
        <f>IF($A1451="","",IF(OR($B1451="",$C1451="",$D1451="",$B1451&lt;1300,$B1451&gt;1500,$C1451&lt;1,$C1451&gt;12,$D1451&lt;1,$D1451&gt;31),"نامعتبر",RIGHT("0000"&amp;$B1451,4)&amp;"/"&amp;RIGHT("00"&amp;$C1451,2)&amp;"/"&amp;RIGHT("00"&amp;$D1451,2)))</f>
        <v/>
      </c>
      <c r="F1451">
        <f>IF(OR($E1451="",$E1451="نامعتبر"),"",LEFT($E1451,4)&amp;"/"&amp;MID($E1451,6,2))</f>
        <v/>
      </c>
      <c r="G1451">
        <f>IF(OR($E1451="",$E1451="نامعتبر",Sync!$Y1448=""),"",Sync!$Y1448)</f>
        <v/>
      </c>
      <c r="H1451">
        <f>IF($G1451="","",IF(Sync!$X1448="","",Sync!$X1448))</f>
        <v/>
      </c>
      <c r="I1451">
        <f>IF($G1451="","",IFERROR(VLOOKUP(Sync!$X1448,OpTbl,3,0),""))</f>
        <v/>
      </c>
      <c r="J1451">
        <f>IF(OR($G1451="",Sync!$Z1448=""),"",Sync!$Z1448)</f>
        <v/>
      </c>
      <c r="K1451">
        <f>IF(OR($G1451="",Sync!$AA1448=""),"",Sync!$AA1448)</f>
        <v/>
      </c>
      <c r="L1451">
        <f>IF($G1451="",0,IF(Sync!$AB1448="",0,Sync!$AB1448))</f>
        <v/>
      </c>
      <c r="M1451">
        <f>IF($G1451="",0,IF(Sync!$AC1448="",0,Sync!$AC1448))</f>
        <v/>
      </c>
      <c r="N1451">
        <f>IF($G1451="","",IF($H1451="مرجوعی خرید",-1,1)*($L1451-$M1451*IFERROR(VLOOKUP("P01",ParamTbl,3,0),1.5))*(1-IF($I1451="خرید",IFERROR(VLOOKUP("P02",ParamTbl,3,0),1),0)/100))</f>
        <v/>
      </c>
      <c r="O1451">
        <f>IF($G1451="",0,IF($H1451="مرجوعی خرید",-1,1)*IF(Sync!$AD1448="",0,Sync!$AD1448))</f>
        <v/>
      </c>
      <c r="P1451">
        <f>IF(OR($G1451="",Sync!$W1448=""),"",Sync!$W1448)</f>
        <v/>
      </c>
      <c r="Q1451">
        <f>IF(OR($G1451="",Sync!$AE1448=""),"",Sync!$AE1448)</f>
        <v/>
      </c>
      <c r="R1451">
        <f>IF($G1451="","",IF(Sync!$V1448="","0000",IF(AND(ISNUMBER(Sync!$V1448),Sync!$V1448&gt;=0,Sync!$V1448&lt;1),RIGHT("00"&amp;HOUR(Sync!$V1448),2)&amp;RIGHT("00"&amp;MINUTE(Sync!$V1448),2),IFERROR(RIGHT("00"&amp;VALUE(LEFT(Sync!$V1448,FIND(":",Sync!$V1448)-1)),2)&amp;RIGHT("00"&amp;VALUE(MID(Sync!$V1448,FIND(":",Sync!$V1448)+1,2)),2),"0000"))))</f>
        <v/>
      </c>
    </row>
    <row r="1452">
      <c r="A1452">
        <f>IF(Sync!$U1449="","",Sync!$U1449)</f>
        <v/>
      </c>
      <c r="B1452">
        <f>IF($A1452="","",IF(ISNUMBER($A1452),IF(AND($A1452&gt;=10000101,$A1452&lt;=99991231),INT($A1452/10000),""),IFERROR(VALUE(TRIM(LEFT($A1452,FIND("/",$A1452)-1))),"")))</f>
        <v/>
      </c>
      <c r="C1452">
        <f>IF(OR($A1452="",$B1452=""),"",IF(ISNUMBER($A1452),INT(MOD($A1452,10000)/100),IFERROR(VALUE(TRIM(LEFT(MID($A1452,FIND("/",$A1452)+1,20),FIND("/",MID($A1452,FIND("/",$A1452)+1,20))-1))),"")))</f>
        <v/>
      </c>
      <c r="D1452">
        <f>IF(OR($A1452="",$B1452=""),"",IF(ISNUMBER($A1452),MOD($A1452,100),IFERROR(VALUE(TRIM(MID(MID($A1452,FIND("/",$A1452)+1,20),FIND("/",MID($A1452,FIND("/",$A1452)+1,20))+1,20))),"")))</f>
        <v/>
      </c>
      <c r="E1452">
        <f>IF($A1452="","",IF(OR($B1452="",$C1452="",$D1452="",$B1452&lt;1300,$B1452&gt;1500,$C1452&lt;1,$C1452&gt;12,$D1452&lt;1,$D1452&gt;31),"نامعتبر",RIGHT("0000"&amp;$B1452,4)&amp;"/"&amp;RIGHT("00"&amp;$C1452,2)&amp;"/"&amp;RIGHT("00"&amp;$D1452,2)))</f>
        <v/>
      </c>
      <c r="F1452">
        <f>IF(OR($E1452="",$E1452="نامعتبر"),"",LEFT($E1452,4)&amp;"/"&amp;MID($E1452,6,2))</f>
        <v/>
      </c>
      <c r="G1452">
        <f>IF(OR($E1452="",$E1452="نامعتبر",Sync!$Y1449=""),"",Sync!$Y1449)</f>
        <v/>
      </c>
      <c r="H1452">
        <f>IF($G1452="","",IF(Sync!$X1449="","",Sync!$X1449))</f>
        <v/>
      </c>
      <c r="I1452">
        <f>IF($G1452="","",IFERROR(VLOOKUP(Sync!$X1449,OpTbl,3,0),""))</f>
        <v/>
      </c>
      <c r="J1452">
        <f>IF(OR($G1452="",Sync!$Z1449=""),"",Sync!$Z1449)</f>
        <v/>
      </c>
      <c r="K1452">
        <f>IF(OR($G1452="",Sync!$AA1449=""),"",Sync!$AA1449)</f>
        <v/>
      </c>
      <c r="L1452">
        <f>IF($G1452="",0,IF(Sync!$AB1449="",0,Sync!$AB1449))</f>
        <v/>
      </c>
      <c r="M1452">
        <f>IF($G1452="",0,IF(Sync!$AC1449="",0,Sync!$AC1449))</f>
        <v/>
      </c>
      <c r="N1452">
        <f>IF($G1452="","",IF($H1452="مرجوعی خرید",-1,1)*($L1452-$M1452*IFERROR(VLOOKUP("P01",ParamTbl,3,0),1.5))*(1-IF($I1452="خرید",IFERROR(VLOOKUP("P02",ParamTbl,3,0),1),0)/100))</f>
        <v/>
      </c>
      <c r="O1452">
        <f>IF($G1452="",0,IF($H1452="مرجوعی خرید",-1,1)*IF(Sync!$AD1449="",0,Sync!$AD1449))</f>
        <v/>
      </c>
      <c r="P1452">
        <f>IF(OR($G1452="",Sync!$W1449=""),"",Sync!$W1449)</f>
        <v/>
      </c>
      <c r="Q1452">
        <f>IF(OR($G1452="",Sync!$AE1449=""),"",Sync!$AE1449)</f>
        <v/>
      </c>
      <c r="R1452">
        <f>IF($G1452="","",IF(Sync!$V1449="","0000",IF(AND(ISNUMBER(Sync!$V1449),Sync!$V1449&gt;=0,Sync!$V1449&lt;1),RIGHT("00"&amp;HOUR(Sync!$V1449),2)&amp;RIGHT("00"&amp;MINUTE(Sync!$V1449),2),IFERROR(RIGHT("00"&amp;VALUE(LEFT(Sync!$V1449,FIND(":",Sync!$V1449)-1)),2)&amp;RIGHT("00"&amp;VALUE(MID(Sync!$V1449,FIND(":",Sync!$V1449)+1,2)),2),"0000"))))</f>
        <v/>
      </c>
    </row>
    <row r="1453">
      <c r="A1453">
        <f>IF(Sync!$U1450="","",Sync!$U1450)</f>
        <v/>
      </c>
      <c r="B1453">
        <f>IF($A1453="","",IF(ISNUMBER($A1453),IF(AND($A1453&gt;=10000101,$A1453&lt;=99991231),INT($A1453/10000),""),IFERROR(VALUE(TRIM(LEFT($A1453,FIND("/",$A1453)-1))),"")))</f>
        <v/>
      </c>
      <c r="C1453">
        <f>IF(OR($A1453="",$B1453=""),"",IF(ISNUMBER($A1453),INT(MOD($A1453,10000)/100),IFERROR(VALUE(TRIM(LEFT(MID($A1453,FIND("/",$A1453)+1,20),FIND("/",MID($A1453,FIND("/",$A1453)+1,20))-1))),"")))</f>
        <v/>
      </c>
      <c r="D1453">
        <f>IF(OR($A1453="",$B1453=""),"",IF(ISNUMBER($A1453),MOD($A1453,100),IFERROR(VALUE(TRIM(MID(MID($A1453,FIND("/",$A1453)+1,20),FIND("/",MID($A1453,FIND("/",$A1453)+1,20))+1,20))),"")))</f>
        <v/>
      </c>
      <c r="E1453">
        <f>IF($A1453="","",IF(OR($B1453="",$C1453="",$D1453="",$B1453&lt;1300,$B1453&gt;1500,$C1453&lt;1,$C1453&gt;12,$D1453&lt;1,$D1453&gt;31),"نامعتبر",RIGHT("0000"&amp;$B1453,4)&amp;"/"&amp;RIGHT("00"&amp;$C1453,2)&amp;"/"&amp;RIGHT("00"&amp;$D1453,2)))</f>
        <v/>
      </c>
      <c r="F1453">
        <f>IF(OR($E1453="",$E1453="نامعتبر"),"",LEFT($E1453,4)&amp;"/"&amp;MID($E1453,6,2))</f>
        <v/>
      </c>
      <c r="G1453">
        <f>IF(OR($E1453="",$E1453="نامعتبر",Sync!$Y1450=""),"",Sync!$Y1450)</f>
        <v/>
      </c>
      <c r="H1453">
        <f>IF($G1453="","",IF(Sync!$X1450="","",Sync!$X1450))</f>
        <v/>
      </c>
      <c r="I1453">
        <f>IF($G1453="","",IFERROR(VLOOKUP(Sync!$X1450,OpTbl,3,0),""))</f>
        <v/>
      </c>
      <c r="J1453">
        <f>IF(OR($G1453="",Sync!$Z1450=""),"",Sync!$Z1450)</f>
        <v/>
      </c>
      <c r="K1453">
        <f>IF(OR($G1453="",Sync!$AA1450=""),"",Sync!$AA1450)</f>
        <v/>
      </c>
      <c r="L1453">
        <f>IF($G1453="",0,IF(Sync!$AB1450="",0,Sync!$AB1450))</f>
        <v/>
      </c>
      <c r="M1453">
        <f>IF($G1453="",0,IF(Sync!$AC1450="",0,Sync!$AC1450))</f>
        <v/>
      </c>
      <c r="N1453">
        <f>IF($G1453="","",IF($H1453="مرجوعی خرید",-1,1)*($L1453-$M1453*IFERROR(VLOOKUP("P01",ParamTbl,3,0),1.5))*(1-IF($I1453="خرید",IFERROR(VLOOKUP("P02",ParamTbl,3,0),1),0)/100))</f>
        <v/>
      </c>
      <c r="O1453">
        <f>IF($G1453="",0,IF($H1453="مرجوعی خرید",-1,1)*IF(Sync!$AD1450="",0,Sync!$AD1450))</f>
        <v/>
      </c>
      <c r="P1453">
        <f>IF(OR($G1453="",Sync!$W1450=""),"",Sync!$W1450)</f>
        <v/>
      </c>
      <c r="Q1453">
        <f>IF(OR($G1453="",Sync!$AE1450=""),"",Sync!$AE1450)</f>
        <v/>
      </c>
      <c r="R1453">
        <f>IF($G1453="","",IF(Sync!$V1450="","0000",IF(AND(ISNUMBER(Sync!$V1450),Sync!$V1450&gt;=0,Sync!$V1450&lt;1),RIGHT("00"&amp;HOUR(Sync!$V1450),2)&amp;RIGHT("00"&amp;MINUTE(Sync!$V1450),2),IFERROR(RIGHT("00"&amp;VALUE(LEFT(Sync!$V1450,FIND(":",Sync!$V1450)-1)),2)&amp;RIGHT("00"&amp;VALUE(MID(Sync!$V1450,FIND(":",Sync!$V1450)+1,2)),2),"0000"))))</f>
        <v/>
      </c>
    </row>
    <row r="1454">
      <c r="A1454">
        <f>IF(Sync!$U1451="","",Sync!$U1451)</f>
        <v/>
      </c>
      <c r="B1454">
        <f>IF($A1454="","",IF(ISNUMBER($A1454),IF(AND($A1454&gt;=10000101,$A1454&lt;=99991231),INT($A1454/10000),""),IFERROR(VALUE(TRIM(LEFT($A1454,FIND("/",$A1454)-1))),"")))</f>
        <v/>
      </c>
      <c r="C1454">
        <f>IF(OR($A1454="",$B1454=""),"",IF(ISNUMBER($A1454),INT(MOD($A1454,10000)/100),IFERROR(VALUE(TRIM(LEFT(MID($A1454,FIND("/",$A1454)+1,20),FIND("/",MID($A1454,FIND("/",$A1454)+1,20))-1))),"")))</f>
        <v/>
      </c>
      <c r="D1454">
        <f>IF(OR($A1454="",$B1454=""),"",IF(ISNUMBER($A1454),MOD($A1454,100),IFERROR(VALUE(TRIM(MID(MID($A1454,FIND("/",$A1454)+1,20),FIND("/",MID($A1454,FIND("/",$A1454)+1,20))+1,20))),"")))</f>
        <v/>
      </c>
      <c r="E1454">
        <f>IF($A1454="","",IF(OR($B1454="",$C1454="",$D1454="",$B1454&lt;1300,$B1454&gt;1500,$C1454&lt;1,$C1454&gt;12,$D1454&lt;1,$D1454&gt;31),"نامعتبر",RIGHT("0000"&amp;$B1454,4)&amp;"/"&amp;RIGHT("00"&amp;$C1454,2)&amp;"/"&amp;RIGHT("00"&amp;$D1454,2)))</f>
        <v/>
      </c>
      <c r="F1454">
        <f>IF(OR($E1454="",$E1454="نامعتبر"),"",LEFT($E1454,4)&amp;"/"&amp;MID($E1454,6,2))</f>
        <v/>
      </c>
      <c r="G1454">
        <f>IF(OR($E1454="",$E1454="نامعتبر",Sync!$Y1451=""),"",Sync!$Y1451)</f>
        <v/>
      </c>
      <c r="H1454">
        <f>IF($G1454="","",IF(Sync!$X1451="","",Sync!$X1451))</f>
        <v/>
      </c>
      <c r="I1454">
        <f>IF($G1454="","",IFERROR(VLOOKUP(Sync!$X1451,OpTbl,3,0),""))</f>
        <v/>
      </c>
      <c r="J1454">
        <f>IF(OR($G1454="",Sync!$Z1451=""),"",Sync!$Z1451)</f>
        <v/>
      </c>
      <c r="K1454">
        <f>IF(OR($G1454="",Sync!$AA1451=""),"",Sync!$AA1451)</f>
        <v/>
      </c>
      <c r="L1454">
        <f>IF($G1454="",0,IF(Sync!$AB1451="",0,Sync!$AB1451))</f>
        <v/>
      </c>
      <c r="M1454">
        <f>IF($G1454="",0,IF(Sync!$AC1451="",0,Sync!$AC1451))</f>
        <v/>
      </c>
      <c r="N1454">
        <f>IF($G1454="","",IF($H1454="مرجوعی خرید",-1,1)*($L1454-$M1454*IFERROR(VLOOKUP("P01",ParamTbl,3,0),1.5))*(1-IF($I1454="خرید",IFERROR(VLOOKUP("P02",ParamTbl,3,0),1),0)/100))</f>
        <v/>
      </c>
      <c r="O1454">
        <f>IF($G1454="",0,IF($H1454="مرجوعی خرید",-1,1)*IF(Sync!$AD1451="",0,Sync!$AD1451))</f>
        <v/>
      </c>
      <c r="P1454">
        <f>IF(OR($G1454="",Sync!$W1451=""),"",Sync!$W1451)</f>
        <v/>
      </c>
      <c r="Q1454">
        <f>IF(OR($G1454="",Sync!$AE1451=""),"",Sync!$AE1451)</f>
        <v/>
      </c>
      <c r="R1454">
        <f>IF($G1454="","",IF(Sync!$V1451="","0000",IF(AND(ISNUMBER(Sync!$V1451),Sync!$V1451&gt;=0,Sync!$V1451&lt;1),RIGHT("00"&amp;HOUR(Sync!$V1451),2)&amp;RIGHT("00"&amp;MINUTE(Sync!$V1451),2),IFERROR(RIGHT("00"&amp;VALUE(LEFT(Sync!$V1451,FIND(":",Sync!$V1451)-1)),2)&amp;RIGHT("00"&amp;VALUE(MID(Sync!$V1451,FIND(":",Sync!$V1451)+1,2)),2),"0000"))))</f>
        <v/>
      </c>
    </row>
    <row r="1455">
      <c r="A1455">
        <f>IF(Sync!$U1452="","",Sync!$U1452)</f>
        <v/>
      </c>
      <c r="B1455">
        <f>IF($A1455="","",IF(ISNUMBER($A1455),IF(AND($A1455&gt;=10000101,$A1455&lt;=99991231),INT($A1455/10000),""),IFERROR(VALUE(TRIM(LEFT($A1455,FIND("/",$A1455)-1))),"")))</f>
        <v/>
      </c>
      <c r="C1455">
        <f>IF(OR($A1455="",$B1455=""),"",IF(ISNUMBER($A1455),INT(MOD($A1455,10000)/100),IFERROR(VALUE(TRIM(LEFT(MID($A1455,FIND("/",$A1455)+1,20),FIND("/",MID($A1455,FIND("/",$A1455)+1,20))-1))),"")))</f>
        <v/>
      </c>
      <c r="D1455">
        <f>IF(OR($A1455="",$B1455=""),"",IF(ISNUMBER($A1455),MOD($A1455,100),IFERROR(VALUE(TRIM(MID(MID($A1455,FIND("/",$A1455)+1,20),FIND("/",MID($A1455,FIND("/",$A1455)+1,20))+1,20))),"")))</f>
        <v/>
      </c>
      <c r="E1455">
        <f>IF($A1455="","",IF(OR($B1455="",$C1455="",$D1455="",$B1455&lt;1300,$B1455&gt;1500,$C1455&lt;1,$C1455&gt;12,$D1455&lt;1,$D1455&gt;31),"نامعتبر",RIGHT("0000"&amp;$B1455,4)&amp;"/"&amp;RIGHT("00"&amp;$C1455,2)&amp;"/"&amp;RIGHT("00"&amp;$D1455,2)))</f>
        <v/>
      </c>
      <c r="F1455">
        <f>IF(OR($E1455="",$E1455="نامعتبر"),"",LEFT($E1455,4)&amp;"/"&amp;MID($E1455,6,2))</f>
        <v/>
      </c>
      <c r="G1455">
        <f>IF(OR($E1455="",$E1455="نامعتبر",Sync!$Y1452=""),"",Sync!$Y1452)</f>
        <v/>
      </c>
      <c r="H1455">
        <f>IF($G1455="","",IF(Sync!$X1452="","",Sync!$X1452))</f>
        <v/>
      </c>
      <c r="I1455">
        <f>IF($G1455="","",IFERROR(VLOOKUP(Sync!$X1452,OpTbl,3,0),""))</f>
        <v/>
      </c>
      <c r="J1455">
        <f>IF(OR($G1455="",Sync!$Z1452=""),"",Sync!$Z1452)</f>
        <v/>
      </c>
      <c r="K1455">
        <f>IF(OR($G1455="",Sync!$AA1452=""),"",Sync!$AA1452)</f>
        <v/>
      </c>
      <c r="L1455">
        <f>IF($G1455="",0,IF(Sync!$AB1452="",0,Sync!$AB1452))</f>
        <v/>
      </c>
      <c r="M1455">
        <f>IF($G1455="",0,IF(Sync!$AC1452="",0,Sync!$AC1452))</f>
        <v/>
      </c>
      <c r="N1455">
        <f>IF($G1455="","",IF($H1455="مرجوعی خرید",-1,1)*($L1455-$M1455*IFERROR(VLOOKUP("P01",ParamTbl,3,0),1.5))*(1-IF($I1455="خرید",IFERROR(VLOOKUP("P02",ParamTbl,3,0),1),0)/100))</f>
        <v/>
      </c>
      <c r="O1455">
        <f>IF($G1455="",0,IF($H1455="مرجوعی خرید",-1,1)*IF(Sync!$AD1452="",0,Sync!$AD1452))</f>
        <v/>
      </c>
      <c r="P1455">
        <f>IF(OR($G1455="",Sync!$W1452=""),"",Sync!$W1452)</f>
        <v/>
      </c>
      <c r="Q1455">
        <f>IF(OR($G1455="",Sync!$AE1452=""),"",Sync!$AE1452)</f>
        <v/>
      </c>
      <c r="R1455">
        <f>IF($G1455="","",IF(Sync!$V1452="","0000",IF(AND(ISNUMBER(Sync!$V1452),Sync!$V1452&gt;=0,Sync!$V1452&lt;1),RIGHT("00"&amp;HOUR(Sync!$V1452),2)&amp;RIGHT("00"&amp;MINUTE(Sync!$V1452),2),IFERROR(RIGHT("00"&amp;VALUE(LEFT(Sync!$V1452,FIND(":",Sync!$V1452)-1)),2)&amp;RIGHT("00"&amp;VALUE(MID(Sync!$V1452,FIND(":",Sync!$V1452)+1,2)),2),"0000"))))</f>
        <v/>
      </c>
    </row>
    <row r="1456">
      <c r="A1456">
        <f>IF(Sync!$U1453="","",Sync!$U1453)</f>
        <v/>
      </c>
      <c r="B1456">
        <f>IF($A1456="","",IF(ISNUMBER($A1456),IF(AND($A1456&gt;=10000101,$A1456&lt;=99991231),INT($A1456/10000),""),IFERROR(VALUE(TRIM(LEFT($A1456,FIND("/",$A1456)-1))),"")))</f>
        <v/>
      </c>
      <c r="C1456">
        <f>IF(OR($A1456="",$B1456=""),"",IF(ISNUMBER($A1456),INT(MOD($A1456,10000)/100),IFERROR(VALUE(TRIM(LEFT(MID($A1456,FIND("/",$A1456)+1,20),FIND("/",MID($A1456,FIND("/",$A1456)+1,20))-1))),"")))</f>
        <v/>
      </c>
      <c r="D1456">
        <f>IF(OR($A1456="",$B1456=""),"",IF(ISNUMBER($A1456),MOD($A1456,100),IFERROR(VALUE(TRIM(MID(MID($A1456,FIND("/",$A1456)+1,20),FIND("/",MID($A1456,FIND("/",$A1456)+1,20))+1,20))),"")))</f>
        <v/>
      </c>
      <c r="E1456">
        <f>IF($A1456="","",IF(OR($B1456="",$C1456="",$D1456="",$B1456&lt;1300,$B1456&gt;1500,$C1456&lt;1,$C1456&gt;12,$D1456&lt;1,$D1456&gt;31),"نامعتبر",RIGHT("0000"&amp;$B1456,4)&amp;"/"&amp;RIGHT("00"&amp;$C1456,2)&amp;"/"&amp;RIGHT("00"&amp;$D1456,2)))</f>
        <v/>
      </c>
      <c r="F1456">
        <f>IF(OR($E1456="",$E1456="نامعتبر"),"",LEFT($E1456,4)&amp;"/"&amp;MID($E1456,6,2))</f>
        <v/>
      </c>
      <c r="G1456">
        <f>IF(OR($E1456="",$E1456="نامعتبر",Sync!$Y1453=""),"",Sync!$Y1453)</f>
        <v/>
      </c>
      <c r="H1456">
        <f>IF($G1456="","",IF(Sync!$X1453="","",Sync!$X1453))</f>
        <v/>
      </c>
      <c r="I1456">
        <f>IF($G1456="","",IFERROR(VLOOKUP(Sync!$X1453,OpTbl,3,0),""))</f>
        <v/>
      </c>
      <c r="J1456">
        <f>IF(OR($G1456="",Sync!$Z1453=""),"",Sync!$Z1453)</f>
        <v/>
      </c>
      <c r="K1456">
        <f>IF(OR($G1456="",Sync!$AA1453=""),"",Sync!$AA1453)</f>
        <v/>
      </c>
      <c r="L1456">
        <f>IF($G1456="",0,IF(Sync!$AB1453="",0,Sync!$AB1453))</f>
        <v/>
      </c>
      <c r="M1456">
        <f>IF($G1456="",0,IF(Sync!$AC1453="",0,Sync!$AC1453))</f>
        <v/>
      </c>
      <c r="N1456">
        <f>IF($G1456="","",IF($H1456="مرجوعی خرید",-1,1)*($L1456-$M1456*IFERROR(VLOOKUP("P01",ParamTbl,3,0),1.5))*(1-IF($I1456="خرید",IFERROR(VLOOKUP("P02",ParamTbl,3,0),1),0)/100))</f>
        <v/>
      </c>
      <c r="O1456">
        <f>IF($G1456="",0,IF($H1456="مرجوعی خرید",-1,1)*IF(Sync!$AD1453="",0,Sync!$AD1453))</f>
        <v/>
      </c>
      <c r="P1456">
        <f>IF(OR($G1456="",Sync!$W1453=""),"",Sync!$W1453)</f>
        <v/>
      </c>
      <c r="Q1456">
        <f>IF(OR($G1456="",Sync!$AE1453=""),"",Sync!$AE1453)</f>
        <v/>
      </c>
      <c r="R1456">
        <f>IF($G1456="","",IF(Sync!$V1453="","0000",IF(AND(ISNUMBER(Sync!$V1453),Sync!$V1453&gt;=0,Sync!$V1453&lt;1),RIGHT("00"&amp;HOUR(Sync!$V1453),2)&amp;RIGHT("00"&amp;MINUTE(Sync!$V1453),2),IFERROR(RIGHT("00"&amp;VALUE(LEFT(Sync!$V1453,FIND(":",Sync!$V1453)-1)),2)&amp;RIGHT("00"&amp;VALUE(MID(Sync!$V1453,FIND(":",Sync!$V1453)+1,2)),2),"0000"))))</f>
        <v/>
      </c>
    </row>
    <row r="1457">
      <c r="A1457">
        <f>IF(Sync!$U1454="","",Sync!$U1454)</f>
        <v/>
      </c>
      <c r="B1457">
        <f>IF($A1457="","",IF(ISNUMBER($A1457),IF(AND($A1457&gt;=10000101,$A1457&lt;=99991231),INT($A1457/10000),""),IFERROR(VALUE(TRIM(LEFT($A1457,FIND("/",$A1457)-1))),"")))</f>
        <v/>
      </c>
      <c r="C1457">
        <f>IF(OR($A1457="",$B1457=""),"",IF(ISNUMBER($A1457),INT(MOD($A1457,10000)/100),IFERROR(VALUE(TRIM(LEFT(MID($A1457,FIND("/",$A1457)+1,20),FIND("/",MID($A1457,FIND("/",$A1457)+1,20))-1))),"")))</f>
        <v/>
      </c>
      <c r="D1457">
        <f>IF(OR($A1457="",$B1457=""),"",IF(ISNUMBER($A1457),MOD($A1457,100),IFERROR(VALUE(TRIM(MID(MID($A1457,FIND("/",$A1457)+1,20),FIND("/",MID($A1457,FIND("/",$A1457)+1,20))+1,20))),"")))</f>
        <v/>
      </c>
      <c r="E1457">
        <f>IF($A1457="","",IF(OR($B1457="",$C1457="",$D1457="",$B1457&lt;1300,$B1457&gt;1500,$C1457&lt;1,$C1457&gt;12,$D1457&lt;1,$D1457&gt;31),"نامعتبر",RIGHT("0000"&amp;$B1457,4)&amp;"/"&amp;RIGHT("00"&amp;$C1457,2)&amp;"/"&amp;RIGHT("00"&amp;$D1457,2)))</f>
        <v/>
      </c>
      <c r="F1457">
        <f>IF(OR($E1457="",$E1457="نامعتبر"),"",LEFT($E1457,4)&amp;"/"&amp;MID($E1457,6,2))</f>
        <v/>
      </c>
      <c r="G1457">
        <f>IF(OR($E1457="",$E1457="نامعتبر",Sync!$Y1454=""),"",Sync!$Y1454)</f>
        <v/>
      </c>
      <c r="H1457">
        <f>IF($G1457="","",IF(Sync!$X1454="","",Sync!$X1454))</f>
        <v/>
      </c>
      <c r="I1457">
        <f>IF($G1457="","",IFERROR(VLOOKUP(Sync!$X1454,OpTbl,3,0),""))</f>
        <v/>
      </c>
      <c r="J1457">
        <f>IF(OR($G1457="",Sync!$Z1454=""),"",Sync!$Z1454)</f>
        <v/>
      </c>
      <c r="K1457">
        <f>IF(OR($G1457="",Sync!$AA1454=""),"",Sync!$AA1454)</f>
        <v/>
      </c>
      <c r="L1457">
        <f>IF($G1457="",0,IF(Sync!$AB1454="",0,Sync!$AB1454))</f>
        <v/>
      </c>
      <c r="M1457">
        <f>IF($G1457="",0,IF(Sync!$AC1454="",0,Sync!$AC1454))</f>
        <v/>
      </c>
      <c r="N1457">
        <f>IF($G1457="","",IF($H1457="مرجوعی خرید",-1,1)*($L1457-$M1457*IFERROR(VLOOKUP("P01",ParamTbl,3,0),1.5))*(1-IF($I1457="خرید",IFERROR(VLOOKUP("P02",ParamTbl,3,0),1),0)/100))</f>
        <v/>
      </c>
      <c r="O1457">
        <f>IF($G1457="",0,IF($H1457="مرجوعی خرید",-1,1)*IF(Sync!$AD1454="",0,Sync!$AD1454))</f>
        <v/>
      </c>
      <c r="P1457">
        <f>IF(OR($G1457="",Sync!$W1454=""),"",Sync!$W1454)</f>
        <v/>
      </c>
      <c r="Q1457">
        <f>IF(OR($G1457="",Sync!$AE1454=""),"",Sync!$AE1454)</f>
        <v/>
      </c>
      <c r="R1457">
        <f>IF($G1457="","",IF(Sync!$V1454="","0000",IF(AND(ISNUMBER(Sync!$V1454),Sync!$V1454&gt;=0,Sync!$V1454&lt;1),RIGHT("00"&amp;HOUR(Sync!$V1454),2)&amp;RIGHT("00"&amp;MINUTE(Sync!$V1454),2),IFERROR(RIGHT("00"&amp;VALUE(LEFT(Sync!$V1454,FIND(":",Sync!$V1454)-1)),2)&amp;RIGHT("00"&amp;VALUE(MID(Sync!$V1454,FIND(":",Sync!$V1454)+1,2)),2),"0000"))))</f>
        <v/>
      </c>
    </row>
    <row r="1458">
      <c r="A1458">
        <f>IF(Sync!$U1455="","",Sync!$U1455)</f>
        <v/>
      </c>
      <c r="B1458">
        <f>IF($A1458="","",IF(ISNUMBER($A1458),IF(AND($A1458&gt;=10000101,$A1458&lt;=99991231),INT($A1458/10000),""),IFERROR(VALUE(TRIM(LEFT($A1458,FIND("/",$A1458)-1))),"")))</f>
        <v/>
      </c>
      <c r="C1458">
        <f>IF(OR($A1458="",$B1458=""),"",IF(ISNUMBER($A1458),INT(MOD($A1458,10000)/100),IFERROR(VALUE(TRIM(LEFT(MID($A1458,FIND("/",$A1458)+1,20),FIND("/",MID($A1458,FIND("/",$A1458)+1,20))-1))),"")))</f>
        <v/>
      </c>
      <c r="D1458">
        <f>IF(OR($A1458="",$B1458=""),"",IF(ISNUMBER($A1458),MOD($A1458,100),IFERROR(VALUE(TRIM(MID(MID($A1458,FIND("/",$A1458)+1,20),FIND("/",MID($A1458,FIND("/",$A1458)+1,20))+1,20))),"")))</f>
        <v/>
      </c>
      <c r="E1458">
        <f>IF($A1458="","",IF(OR($B1458="",$C1458="",$D1458="",$B1458&lt;1300,$B1458&gt;1500,$C1458&lt;1,$C1458&gt;12,$D1458&lt;1,$D1458&gt;31),"نامعتبر",RIGHT("0000"&amp;$B1458,4)&amp;"/"&amp;RIGHT("00"&amp;$C1458,2)&amp;"/"&amp;RIGHT("00"&amp;$D1458,2)))</f>
        <v/>
      </c>
      <c r="F1458">
        <f>IF(OR($E1458="",$E1458="نامعتبر"),"",LEFT($E1458,4)&amp;"/"&amp;MID($E1458,6,2))</f>
        <v/>
      </c>
      <c r="G1458">
        <f>IF(OR($E1458="",$E1458="نامعتبر",Sync!$Y1455=""),"",Sync!$Y1455)</f>
        <v/>
      </c>
      <c r="H1458">
        <f>IF($G1458="","",IF(Sync!$X1455="","",Sync!$X1455))</f>
        <v/>
      </c>
      <c r="I1458">
        <f>IF($G1458="","",IFERROR(VLOOKUP(Sync!$X1455,OpTbl,3,0),""))</f>
        <v/>
      </c>
      <c r="J1458">
        <f>IF(OR($G1458="",Sync!$Z1455=""),"",Sync!$Z1455)</f>
        <v/>
      </c>
      <c r="K1458">
        <f>IF(OR($G1458="",Sync!$AA1455=""),"",Sync!$AA1455)</f>
        <v/>
      </c>
      <c r="L1458">
        <f>IF($G1458="",0,IF(Sync!$AB1455="",0,Sync!$AB1455))</f>
        <v/>
      </c>
      <c r="M1458">
        <f>IF($G1458="",0,IF(Sync!$AC1455="",0,Sync!$AC1455))</f>
        <v/>
      </c>
      <c r="N1458">
        <f>IF($G1458="","",IF($H1458="مرجوعی خرید",-1,1)*($L1458-$M1458*IFERROR(VLOOKUP("P01",ParamTbl,3,0),1.5))*(1-IF($I1458="خرید",IFERROR(VLOOKUP("P02",ParamTbl,3,0),1),0)/100))</f>
        <v/>
      </c>
      <c r="O1458">
        <f>IF($G1458="",0,IF($H1458="مرجوعی خرید",-1,1)*IF(Sync!$AD1455="",0,Sync!$AD1455))</f>
        <v/>
      </c>
      <c r="P1458">
        <f>IF(OR($G1458="",Sync!$W1455=""),"",Sync!$W1455)</f>
        <v/>
      </c>
      <c r="Q1458">
        <f>IF(OR($G1458="",Sync!$AE1455=""),"",Sync!$AE1455)</f>
        <v/>
      </c>
      <c r="R1458">
        <f>IF($G1458="","",IF(Sync!$V1455="","0000",IF(AND(ISNUMBER(Sync!$V1455),Sync!$V1455&gt;=0,Sync!$V1455&lt;1),RIGHT("00"&amp;HOUR(Sync!$V1455),2)&amp;RIGHT("00"&amp;MINUTE(Sync!$V1455),2),IFERROR(RIGHT("00"&amp;VALUE(LEFT(Sync!$V1455,FIND(":",Sync!$V1455)-1)),2)&amp;RIGHT("00"&amp;VALUE(MID(Sync!$V1455,FIND(":",Sync!$V1455)+1,2)),2),"0000"))))</f>
        <v/>
      </c>
    </row>
    <row r="1459">
      <c r="A1459">
        <f>IF(Sync!$U1456="","",Sync!$U1456)</f>
        <v/>
      </c>
      <c r="B1459">
        <f>IF($A1459="","",IF(ISNUMBER($A1459),IF(AND($A1459&gt;=10000101,$A1459&lt;=99991231),INT($A1459/10000),""),IFERROR(VALUE(TRIM(LEFT($A1459,FIND("/",$A1459)-1))),"")))</f>
        <v/>
      </c>
      <c r="C1459">
        <f>IF(OR($A1459="",$B1459=""),"",IF(ISNUMBER($A1459),INT(MOD($A1459,10000)/100),IFERROR(VALUE(TRIM(LEFT(MID($A1459,FIND("/",$A1459)+1,20),FIND("/",MID($A1459,FIND("/",$A1459)+1,20))-1))),"")))</f>
        <v/>
      </c>
      <c r="D1459">
        <f>IF(OR($A1459="",$B1459=""),"",IF(ISNUMBER($A1459),MOD($A1459,100),IFERROR(VALUE(TRIM(MID(MID($A1459,FIND("/",$A1459)+1,20),FIND("/",MID($A1459,FIND("/",$A1459)+1,20))+1,20))),"")))</f>
        <v/>
      </c>
      <c r="E1459">
        <f>IF($A1459="","",IF(OR($B1459="",$C1459="",$D1459="",$B1459&lt;1300,$B1459&gt;1500,$C1459&lt;1,$C1459&gt;12,$D1459&lt;1,$D1459&gt;31),"نامعتبر",RIGHT("0000"&amp;$B1459,4)&amp;"/"&amp;RIGHT("00"&amp;$C1459,2)&amp;"/"&amp;RIGHT("00"&amp;$D1459,2)))</f>
        <v/>
      </c>
      <c r="F1459">
        <f>IF(OR($E1459="",$E1459="نامعتبر"),"",LEFT($E1459,4)&amp;"/"&amp;MID($E1459,6,2))</f>
        <v/>
      </c>
      <c r="G1459">
        <f>IF(OR($E1459="",$E1459="نامعتبر",Sync!$Y1456=""),"",Sync!$Y1456)</f>
        <v/>
      </c>
      <c r="H1459">
        <f>IF($G1459="","",IF(Sync!$X1456="","",Sync!$X1456))</f>
        <v/>
      </c>
      <c r="I1459">
        <f>IF($G1459="","",IFERROR(VLOOKUP(Sync!$X1456,OpTbl,3,0),""))</f>
        <v/>
      </c>
      <c r="J1459">
        <f>IF(OR($G1459="",Sync!$Z1456=""),"",Sync!$Z1456)</f>
        <v/>
      </c>
      <c r="K1459">
        <f>IF(OR($G1459="",Sync!$AA1456=""),"",Sync!$AA1456)</f>
        <v/>
      </c>
      <c r="L1459">
        <f>IF($G1459="",0,IF(Sync!$AB1456="",0,Sync!$AB1456))</f>
        <v/>
      </c>
      <c r="M1459">
        <f>IF($G1459="",0,IF(Sync!$AC1456="",0,Sync!$AC1456))</f>
        <v/>
      </c>
      <c r="N1459">
        <f>IF($G1459="","",IF($H1459="مرجوعی خرید",-1,1)*($L1459-$M1459*IFERROR(VLOOKUP("P01",ParamTbl,3,0),1.5))*(1-IF($I1459="خرید",IFERROR(VLOOKUP("P02",ParamTbl,3,0),1),0)/100))</f>
        <v/>
      </c>
      <c r="O1459">
        <f>IF($G1459="",0,IF($H1459="مرجوعی خرید",-1,1)*IF(Sync!$AD1456="",0,Sync!$AD1456))</f>
        <v/>
      </c>
      <c r="P1459">
        <f>IF(OR($G1459="",Sync!$W1456=""),"",Sync!$W1456)</f>
        <v/>
      </c>
      <c r="Q1459">
        <f>IF(OR($G1459="",Sync!$AE1456=""),"",Sync!$AE1456)</f>
        <v/>
      </c>
      <c r="R1459">
        <f>IF($G1459="","",IF(Sync!$V1456="","0000",IF(AND(ISNUMBER(Sync!$V1456),Sync!$V1456&gt;=0,Sync!$V1456&lt;1),RIGHT("00"&amp;HOUR(Sync!$V1456),2)&amp;RIGHT("00"&amp;MINUTE(Sync!$V1456),2),IFERROR(RIGHT("00"&amp;VALUE(LEFT(Sync!$V1456,FIND(":",Sync!$V1456)-1)),2)&amp;RIGHT("00"&amp;VALUE(MID(Sync!$V1456,FIND(":",Sync!$V1456)+1,2)),2),"0000"))))</f>
        <v/>
      </c>
    </row>
    <row r="1460">
      <c r="A1460">
        <f>IF(Sync!$U1457="","",Sync!$U1457)</f>
        <v/>
      </c>
      <c r="B1460">
        <f>IF($A1460="","",IF(ISNUMBER($A1460),IF(AND($A1460&gt;=10000101,$A1460&lt;=99991231),INT($A1460/10000),""),IFERROR(VALUE(TRIM(LEFT($A1460,FIND("/",$A1460)-1))),"")))</f>
        <v/>
      </c>
      <c r="C1460">
        <f>IF(OR($A1460="",$B1460=""),"",IF(ISNUMBER($A1460),INT(MOD($A1460,10000)/100),IFERROR(VALUE(TRIM(LEFT(MID($A1460,FIND("/",$A1460)+1,20),FIND("/",MID($A1460,FIND("/",$A1460)+1,20))-1))),"")))</f>
        <v/>
      </c>
      <c r="D1460">
        <f>IF(OR($A1460="",$B1460=""),"",IF(ISNUMBER($A1460),MOD($A1460,100),IFERROR(VALUE(TRIM(MID(MID($A1460,FIND("/",$A1460)+1,20),FIND("/",MID($A1460,FIND("/",$A1460)+1,20))+1,20))),"")))</f>
        <v/>
      </c>
      <c r="E1460">
        <f>IF($A1460="","",IF(OR($B1460="",$C1460="",$D1460="",$B1460&lt;1300,$B1460&gt;1500,$C1460&lt;1,$C1460&gt;12,$D1460&lt;1,$D1460&gt;31),"نامعتبر",RIGHT("0000"&amp;$B1460,4)&amp;"/"&amp;RIGHT("00"&amp;$C1460,2)&amp;"/"&amp;RIGHT("00"&amp;$D1460,2)))</f>
        <v/>
      </c>
      <c r="F1460">
        <f>IF(OR($E1460="",$E1460="نامعتبر"),"",LEFT($E1460,4)&amp;"/"&amp;MID($E1460,6,2))</f>
        <v/>
      </c>
      <c r="G1460">
        <f>IF(OR($E1460="",$E1460="نامعتبر",Sync!$Y1457=""),"",Sync!$Y1457)</f>
        <v/>
      </c>
      <c r="H1460">
        <f>IF($G1460="","",IF(Sync!$X1457="","",Sync!$X1457))</f>
        <v/>
      </c>
      <c r="I1460">
        <f>IF($G1460="","",IFERROR(VLOOKUP(Sync!$X1457,OpTbl,3,0),""))</f>
        <v/>
      </c>
      <c r="J1460">
        <f>IF(OR($G1460="",Sync!$Z1457=""),"",Sync!$Z1457)</f>
        <v/>
      </c>
      <c r="K1460">
        <f>IF(OR($G1460="",Sync!$AA1457=""),"",Sync!$AA1457)</f>
        <v/>
      </c>
      <c r="L1460">
        <f>IF($G1460="",0,IF(Sync!$AB1457="",0,Sync!$AB1457))</f>
        <v/>
      </c>
      <c r="M1460">
        <f>IF($G1460="",0,IF(Sync!$AC1457="",0,Sync!$AC1457))</f>
        <v/>
      </c>
      <c r="N1460">
        <f>IF($G1460="","",IF($H1460="مرجوعی خرید",-1,1)*($L1460-$M1460*IFERROR(VLOOKUP("P01",ParamTbl,3,0),1.5))*(1-IF($I1460="خرید",IFERROR(VLOOKUP("P02",ParamTbl,3,0),1),0)/100))</f>
        <v/>
      </c>
      <c r="O1460">
        <f>IF($G1460="",0,IF($H1460="مرجوعی خرید",-1,1)*IF(Sync!$AD1457="",0,Sync!$AD1457))</f>
        <v/>
      </c>
      <c r="P1460">
        <f>IF(OR($G1460="",Sync!$W1457=""),"",Sync!$W1457)</f>
        <v/>
      </c>
      <c r="Q1460">
        <f>IF(OR($G1460="",Sync!$AE1457=""),"",Sync!$AE1457)</f>
        <v/>
      </c>
      <c r="R1460">
        <f>IF($G1460="","",IF(Sync!$V1457="","0000",IF(AND(ISNUMBER(Sync!$V1457),Sync!$V1457&gt;=0,Sync!$V1457&lt;1),RIGHT("00"&amp;HOUR(Sync!$V1457),2)&amp;RIGHT("00"&amp;MINUTE(Sync!$V1457),2),IFERROR(RIGHT("00"&amp;VALUE(LEFT(Sync!$V1457,FIND(":",Sync!$V1457)-1)),2)&amp;RIGHT("00"&amp;VALUE(MID(Sync!$V1457,FIND(":",Sync!$V1457)+1,2)),2),"0000"))))</f>
        <v/>
      </c>
    </row>
    <row r="1461">
      <c r="A1461">
        <f>IF(Sync!$U1458="","",Sync!$U1458)</f>
        <v/>
      </c>
      <c r="B1461">
        <f>IF($A1461="","",IF(ISNUMBER($A1461),IF(AND($A1461&gt;=10000101,$A1461&lt;=99991231),INT($A1461/10000),""),IFERROR(VALUE(TRIM(LEFT($A1461,FIND("/",$A1461)-1))),"")))</f>
        <v/>
      </c>
      <c r="C1461">
        <f>IF(OR($A1461="",$B1461=""),"",IF(ISNUMBER($A1461),INT(MOD($A1461,10000)/100),IFERROR(VALUE(TRIM(LEFT(MID($A1461,FIND("/",$A1461)+1,20),FIND("/",MID($A1461,FIND("/",$A1461)+1,20))-1))),"")))</f>
        <v/>
      </c>
      <c r="D1461">
        <f>IF(OR($A1461="",$B1461=""),"",IF(ISNUMBER($A1461),MOD($A1461,100),IFERROR(VALUE(TRIM(MID(MID($A1461,FIND("/",$A1461)+1,20),FIND("/",MID($A1461,FIND("/",$A1461)+1,20))+1,20))),"")))</f>
        <v/>
      </c>
      <c r="E1461">
        <f>IF($A1461="","",IF(OR($B1461="",$C1461="",$D1461="",$B1461&lt;1300,$B1461&gt;1500,$C1461&lt;1,$C1461&gt;12,$D1461&lt;1,$D1461&gt;31),"نامعتبر",RIGHT("0000"&amp;$B1461,4)&amp;"/"&amp;RIGHT("00"&amp;$C1461,2)&amp;"/"&amp;RIGHT("00"&amp;$D1461,2)))</f>
        <v/>
      </c>
      <c r="F1461">
        <f>IF(OR($E1461="",$E1461="نامعتبر"),"",LEFT($E1461,4)&amp;"/"&amp;MID($E1461,6,2))</f>
        <v/>
      </c>
      <c r="G1461">
        <f>IF(OR($E1461="",$E1461="نامعتبر",Sync!$Y1458=""),"",Sync!$Y1458)</f>
        <v/>
      </c>
      <c r="H1461">
        <f>IF($G1461="","",IF(Sync!$X1458="","",Sync!$X1458))</f>
        <v/>
      </c>
      <c r="I1461">
        <f>IF($G1461="","",IFERROR(VLOOKUP(Sync!$X1458,OpTbl,3,0),""))</f>
        <v/>
      </c>
      <c r="J1461">
        <f>IF(OR($G1461="",Sync!$Z1458=""),"",Sync!$Z1458)</f>
        <v/>
      </c>
      <c r="K1461">
        <f>IF(OR($G1461="",Sync!$AA1458=""),"",Sync!$AA1458)</f>
        <v/>
      </c>
      <c r="L1461">
        <f>IF($G1461="",0,IF(Sync!$AB1458="",0,Sync!$AB1458))</f>
        <v/>
      </c>
      <c r="M1461">
        <f>IF($G1461="",0,IF(Sync!$AC1458="",0,Sync!$AC1458))</f>
        <v/>
      </c>
      <c r="N1461">
        <f>IF($G1461="","",IF($H1461="مرجوعی خرید",-1,1)*($L1461-$M1461*IFERROR(VLOOKUP("P01",ParamTbl,3,0),1.5))*(1-IF($I1461="خرید",IFERROR(VLOOKUP("P02",ParamTbl,3,0),1),0)/100))</f>
        <v/>
      </c>
      <c r="O1461">
        <f>IF($G1461="",0,IF($H1461="مرجوعی خرید",-1,1)*IF(Sync!$AD1458="",0,Sync!$AD1458))</f>
        <v/>
      </c>
      <c r="P1461">
        <f>IF(OR($G1461="",Sync!$W1458=""),"",Sync!$W1458)</f>
        <v/>
      </c>
      <c r="Q1461">
        <f>IF(OR($G1461="",Sync!$AE1458=""),"",Sync!$AE1458)</f>
        <v/>
      </c>
      <c r="R1461">
        <f>IF($G1461="","",IF(Sync!$V1458="","0000",IF(AND(ISNUMBER(Sync!$V1458),Sync!$V1458&gt;=0,Sync!$V1458&lt;1),RIGHT("00"&amp;HOUR(Sync!$V1458),2)&amp;RIGHT("00"&amp;MINUTE(Sync!$V1458),2),IFERROR(RIGHT("00"&amp;VALUE(LEFT(Sync!$V1458,FIND(":",Sync!$V1458)-1)),2)&amp;RIGHT("00"&amp;VALUE(MID(Sync!$V1458,FIND(":",Sync!$V1458)+1,2)),2),"0000"))))</f>
        <v/>
      </c>
    </row>
    <row r="1462">
      <c r="A1462">
        <f>IF(Sync!$U1459="","",Sync!$U1459)</f>
        <v/>
      </c>
      <c r="B1462">
        <f>IF($A1462="","",IF(ISNUMBER($A1462),IF(AND($A1462&gt;=10000101,$A1462&lt;=99991231),INT($A1462/10000),""),IFERROR(VALUE(TRIM(LEFT($A1462,FIND("/",$A1462)-1))),"")))</f>
        <v/>
      </c>
      <c r="C1462">
        <f>IF(OR($A1462="",$B1462=""),"",IF(ISNUMBER($A1462),INT(MOD($A1462,10000)/100),IFERROR(VALUE(TRIM(LEFT(MID($A1462,FIND("/",$A1462)+1,20),FIND("/",MID($A1462,FIND("/",$A1462)+1,20))-1))),"")))</f>
        <v/>
      </c>
      <c r="D1462">
        <f>IF(OR($A1462="",$B1462=""),"",IF(ISNUMBER($A1462),MOD($A1462,100),IFERROR(VALUE(TRIM(MID(MID($A1462,FIND("/",$A1462)+1,20),FIND("/",MID($A1462,FIND("/",$A1462)+1,20))+1,20))),"")))</f>
        <v/>
      </c>
      <c r="E1462">
        <f>IF($A1462="","",IF(OR($B1462="",$C1462="",$D1462="",$B1462&lt;1300,$B1462&gt;1500,$C1462&lt;1,$C1462&gt;12,$D1462&lt;1,$D1462&gt;31),"نامعتبر",RIGHT("0000"&amp;$B1462,4)&amp;"/"&amp;RIGHT("00"&amp;$C1462,2)&amp;"/"&amp;RIGHT("00"&amp;$D1462,2)))</f>
        <v/>
      </c>
      <c r="F1462">
        <f>IF(OR($E1462="",$E1462="نامعتبر"),"",LEFT($E1462,4)&amp;"/"&amp;MID($E1462,6,2))</f>
        <v/>
      </c>
      <c r="G1462">
        <f>IF(OR($E1462="",$E1462="نامعتبر",Sync!$Y1459=""),"",Sync!$Y1459)</f>
        <v/>
      </c>
      <c r="H1462">
        <f>IF($G1462="","",IF(Sync!$X1459="","",Sync!$X1459))</f>
        <v/>
      </c>
      <c r="I1462">
        <f>IF($G1462="","",IFERROR(VLOOKUP(Sync!$X1459,OpTbl,3,0),""))</f>
        <v/>
      </c>
      <c r="J1462">
        <f>IF(OR($G1462="",Sync!$Z1459=""),"",Sync!$Z1459)</f>
        <v/>
      </c>
      <c r="K1462">
        <f>IF(OR($G1462="",Sync!$AA1459=""),"",Sync!$AA1459)</f>
        <v/>
      </c>
      <c r="L1462">
        <f>IF($G1462="",0,IF(Sync!$AB1459="",0,Sync!$AB1459))</f>
        <v/>
      </c>
      <c r="M1462">
        <f>IF($G1462="",0,IF(Sync!$AC1459="",0,Sync!$AC1459))</f>
        <v/>
      </c>
      <c r="N1462">
        <f>IF($G1462="","",IF($H1462="مرجوعی خرید",-1,1)*($L1462-$M1462*IFERROR(VLOOKUP("P01",ParamTbl,3,0),1.5))*(1-IF($I1462="خرید",IFERROR(VLOOKUP("P02",ParamTbl,3,0),1),0)/100))</f>
        <v/>
      </c>
      <c r="O1462">
        <f>IF($G1462="",0,IF($H1462="مرجوعی خرید",-1,1)*IF(Sync!$AD1459="",0,Sync!$AD1459))</f>
        <v/>
      </c>
      <c r="P1462">
        <f>IF(OR($G1462="",Sync!$W1459=""),"",Sync!$W1459)</f>
        <v/>
      </c>
      <c r="Q1462">
        <f>IF(OR($G1462="",Sync!$AE1459=""),"",Sync!$AE1459)</f>
        <v/>
      </c>
      <c r="R1462">
        <f>IF($G1462="","",IF(Sync!$V1459="","0000",IF(AND(ISNUMBER(Sync!$V1459),Sync!$V1459&gt;=0,Sync!$V1459&lt;1),RIGHT("00"&amp;HOUR(Sync!$V1459),2)&amp;RIGHT("00"&amp;MINUTE(Sync!$V1459),2),IFERROR(RIGHT("00"&amp;VALUE(LEFT(Sync!$V1459,FIND(":",Sync!$V1459)-1)),2)&amp;RIGHT("00"&amp;VALUE(MID(Sync!$V1459,FIND(":",Sync!$V1459)+1,2)),2),"0000"))))</f>
        <v/>
      </c>
    </row>
    <row r="1463">
      <c r="A1463">
        <f>IF(Sync!$U1460="","",Sync!$U1460)</f>
        <v/>
      </c>
      <c r="B1463">
        <f>IF($A1463="","",IF(ISNUMBER($A1463),IF(AND($A1463&gt;=10000101,$A1463&lt;=99991231),INT($A1463/10000),""),IFERROR(VALUE(TRIM(LEFT($A1463,FIND("/",$A1463)-1))),"")))</f>
        <v/>
      </c>
      <c r="C1463">
        <f>IF(OR($A1463="",$B1463=""),"",IF(ISNUMBER($A1463),INT(MOD($A1463,10000)/100),IFERROR(VALUE(TRIM(LEFT(MID($A1463,FIND("/",$A1463)+1,20),FIND("/",MID($A1463,FIND("/",$A1463)+1,20))-1))),"")))</f>
        <v/>
      </c>
      <c r="D1463">
        <f>IF(OR($A1463="",$B1463=""),"",IF(ISNUMBER($A1463),MOD($A1463,100),IFERROR(VALUE(TRIM(MID(MID($A1463,FIND("/",$A1463)+1,20),FIND("/",MID($A1463,FIND("/",$A1463)+1,20))+1,20))),"")))</f>
        <v/>
      </c>
      <c r="E1463">
        <f>IF($A1463="","",IF(OR($B1463="",$C1463="",$D1463="",$B1463&lt;1300,$B1463&gt;1500,$C1463&lt;1,$C1463&gt;12,$D1463&lt;1,$D1463&gt;31),"نامعتبر",RIGHT("0000"&amp;$B1463,4)&amp;"/"&amp;RIGHT("00"&amp;$C1463,2)&amp;"/"&amp;RIGHT("00"&amp;$D1463,2)))</f>
        <v/>
      </c>
      <c r="F1463">
        <f>IF(OR($E1463="",$E1463="نامعتبر"),"",LEFT($E1463,4)&amp;"/"&amp;MID($E1463,6,2))</f>
        <v/>
      </c>
      <c r="G1463">
        <f>IF(OR($E1463="",$E1463="نامعتبر",Sync!$Y1460=""),"",Sync!$Y1460)</f>
        <v/>
      </c>
      <c r="H1463">
        <f>IF($G1463="","",IF(Sync!$X1460="","",Sync!$X1460))</f>
        <v/>
      </c>
      <c r="I1463">
        <f>IF($G1463="","",IFERROR(VLOOKUP(Sync!$X1460,OpTbl,3,0),""))</f>
        <v/>
      </c>
      <c r="J1463">
        <f>IF(OR($G1463="",Sync!$Z1460=""),"",Sync!$Z1460)</f>
        <v/>
      </c>
      <c r="K1463">
        <f>IF(OR($G1463="",Sync!$AA1460=""),"",Sync!$AA1460)</f>
        <v/>
      </c>
      <c r="L1463">
        <f>IF($G1463="",0,IF(Sync!$AB1460="",0,Sync!$AB1460))</f>
        <v/>
      </c>
      <c r="M1463">
        <f>IF($G1463="",0,IF(Sync!$AC1460="",0,Sync!$AC1460))</f>
        <v/>
      </c>
      <c r="N1463">
        <f>IF($G1463="","",IF($H1463="مرجوعی خرید",-1,1)*($L1463-$M1463*IFERROR(VLOOKUP("P01",ParamTbl,3,0),1.5))*(1-IF($I1463="خرید",IFERROR(VLOOKUP("P02",ParamTbl,3,0),1),0)/100))</f>
        <v/>
      </c>
      <c r="O1463">
        <f>IF($G1463="",0,IF($H1463="مرجوعی خرید",-1,1)*IF(Sync!$AD1460="",0,Sync!$AD1460))</f>
        <v/>
      </c>
      <c r="P1463">
        <f>IF(OR($G1463="",Sync!$W1460=""),"",Sync!$W1460)</f>
        <v/>
      </c>
      <c r="Q1463">
        <f>IF(OR($G1463="",Sync!$AE1460=""),"",Sync!$AE1460)</f>
        <v/>
      </c>
      <c r="R1463">
        <f>IF($G1463="","",IF(Sync!$V1460="","0000",IF(AND(ISNUMBER(Sync!$V1460),Sync!$V1460&gt;=0,Sync!$V1460&lt;1),RIGHT("00"&amp;HOUR(Sync!$V1460),2)&amp;RIGHT("00"&amp;MINUTE(Sync!$V1460),2),IFERROR(RIGHT("00"&amp;VALUE(LEFT(Sync!$V1460,FIND(":",Sync!$V1460)-1)),2)&amp;RIGHT("00"&amp;VALUE(MID(Sync!$V1460,FIND(":",Sync!$V1460)+1,2)),2),"0000"))))</f>
        <v/>
      </c>
    </row>
    <row r="1464">
      <c r="A1464">
        <f>IF(Sync!$U1461="","",Sync!$U1461)</f>
        <v/>
      </c>
      <c r="B1464">
        <f>IF($A1464="","",IF(ISNUMBER($A1464),IF(AND($A1464&gt;=10000101,$A1464&lt;=99991231),INT($A1464/10000),""),IFERROR(VALUE(TRIM(LEFT($A1464,FIND("/",$A1464)-1))),"")))</f>
        <v/>
      </c>
      <c r="C1464">
        <f>IF(OR($A1464="",$B1464=""),"",IF(ISNUMBER($A1464),INT(MOD($A1464,10000)/100),IFERROR(VALUE(TRIM(LEFT(MID($A1464,FIND("/",$A1464)+1,20),FIND("/",MID($A1464,FIND("/",$A1464)+1,20))-1))),"")))</f>
        <v/>
      </c>
      <c r="D1464">
        <f>IF(OR($A1464="",$B1464=""),"",IF(ISNUMBER($A1464),MOD($A1464,100),IFERROR(VALUE(TRIM(MID(MID($A1464,FIND("/",$A1464)+1,20),FIND("/",MID($A1464,FIND("/",$A1464)+1,20))+1,20))),"")))</f>
        <v/>
      </c>
      <c r="E1464">
        <f>IF($A1464="","",IF(OR($B1464="",$C1464="",$D1464="",$B1464&lt;1300,$B1464&gt;1500,$C1464&lt;1,$C1464&gt;12,$D1464&lt;1,$D1464&gt;31),"نامعتبر",RIGHT("0000"&amp;$B1464,4)&amp;"/"&amp;RIGHT("00"&amp;$C1464,2)&amp;"/"&amp;RIGHT("00"&amp;$D1464,2)))</f>
        <v/>
      </c>
      <c r="F1464">
        <f>IF(OR($E1464="",$E1464="نامعتبر"),"",LEFT($E1464,4)&amp;"/"&amp;MID($E1464,6,2))</f>
        <v/>
      </c>
      <c r="G1464">
        <f>IF(OR($E1464="",$E1464="نامعتبر",Sync!$Y1461=""),"",Sync!$Y1461)</f>
        <v/>
      </c>
      <c r="H1464">
        <f>IF($G1464="","",IF(Sync!$X1461="","",Sync!$X1461))</f>
        <v/>
      </c>
      <c r="I1464">
        <f>IF($G1464="","",IFERROR(VLOOKUP(Sync!$X1461,OpTbl,3,0),""))</f>
        <v/>
      </c>
      <c r="J1464">
        <f>IF(OR($G1464="",Sync!$Z1461=""),"",Sync!$Z1461)</f>
        <v/>
      </c>
      <c r="K1464">
        <f>IF(OR($G1464="",Sync!$AA1461=""),"",Sync!$AA1461)</f>
        <v/>
      </c>
      <c r="L1464">
        <f>IF($G1464="",0,IF(Sync!$AB1461="",0,Sync!$AB1461))</f>
        <v/>
      </c>
      <c r="M1464">
        <f>IF($G1464="",0,IF(Sync!$AC1461="",0,Sync!$AC1461))</f>
        <v/>
      </c>
      <c r="N1464">
        <f>IF($G1464="","",IF($H1464="مرجوعی خرید",-1,1)*($L1464-$M1464*IFERROR(VLOOKUP("P01",ParamTbl,3,0),1.5))*(1-IF($I1464="خرید",IFERROR(VLOOKUP("P02",ParamTbl,3,0),1),0)/100))</f>
        <v/>
      </c>
      <c r="O1464">
        <f>IF($G1464="",0,IF($H1464="مرجوعی خرید",-1,1)*IF(Sync!$AD1461="",0,Sync!$AD1461))</f>
        <v/>
      </c>
      <c r="P1464">
        <f>IF(OR($G1464="",Sync!$W1461=""),"",Sync!$W1461)</f>
        <v/>
      </c>
      <c r="Q1464">
        <f>IF(OR($G1464="",Sync!$AE1461=""),"",Sync!$AE1461)</f>
        <v/>
      </c>
      <c r="R1464">
        <f>IF($G1464="","",IF(Sync!$V1461="","0000",IF(AND(ISNUMBER(Sync!$V1461),Sync!$V1461&gt;=0,Sync!$V1461&lt;1),RIGHT("00"&amp;HOUR(Sync!$V1461),2)&amp;RIGHT("00"&amp;MINUTE(Sync!$V1461),2),IFERROR(RIGHT("00"&amp;VALUE(LEFT(Sync!$V1461,FIND(":",Sync!$V1461)-1)),2)&amp;RIGHT("00"&amp;VALUE(MID(Sync!$V1461,FIND(":",Sync!$V1461)+1,2)),2),"0000"))))</f>
        <v/>
      </c>
    </row>
    <row r="1465">
      <c r="A1465">
        <f>IF(Sync!$U1462="","",Sync!$U1462)</f>
        <v/>
      </c>
      <c r="B1465">
        <f>IF($A1465="","",IF(ISNUMBER($A1465),IF(AND($A1465&gt;=10000101,$A1465&lt;=99991231),INT($A1465/10000),""),IFERROR(VALUE(TRIM(LEFT($A1465,FIND("/",$A1465)-1))),"")))</f>
        <v/>
      </c>
      <c r="C1465">
        <f>IF(OR($A1465="",$B1465=""),"",IF(ISNUMBER($A1465),INT(MOD($A1465,10000)/100),IFERROR(VALUE(TRIM(LEFT(MID($A1465,FIND("/",$A1465)+1,20),FIND("/",MID($A1465,FIND("/",$A1465)+1,20))-1))),"")))</f>
        <v/>
      </c>
      <c r="D1465">
        <f>IF(OR($A1465="",$B1465=""),"",IF(ISNUMBER($A1465),MOD($A1465,100),IFERROR(VALUE(TRIM(MID(MID($A1465,FIND("/",$A1465)+1,20),FIND("/",MID($A1465,FIND("/",$A1465)+1,20))+1,20))),"")))</f>
        <v/>
      </c>
      <c r="E1465">
        <f>IF($A1465="","",IF(OR($B1465="",$C1465="",$D1465="",$B1465&lt;1300,$B1465&gt;1500,$C1465&lt;1,$C1465&gt;12,$D1465&lt;1,$D1465&gt;31),"نامعتبر",RIGHT("0000"&amp;$B1465,4)&amp;"/"&amp;RIGHT("00"&amp;$C1465,2)&amp;"/"&amp;RIGHT("00"&amp;$D1465,2)))</f>
        <v/>
      </c>
      <c r="F1465">
        <f>IF(OR($E1465="",$E1465="نامعتبر"),"",LEFT($E1465,4)&amp;"/"&amp;MID($E1465,6,2))</f>
        <v/>
      </c>
      <c r="G1465">
        <f>IF(OR($E1465="",$E1465="نامعتبر",Sync!$Y1462=""),"",Sync!$Y1462)</f>
        <v/>
      </c>
      <c r="H1465">
        <f>IF($G1465="","",IF(Sync!$X1462="","",Sync!$X1462))</f>
        <v/>
      </c>
      <c r="I1465">
        <f>IF($G1465="","",IFERROR(VLOOKUP(Sync!$X1462,OpTbl,3,0),""))</f>
        <v/>
      </c>
      <c r="J1465">
        <f>IF(OR($G1465="",Sync!$Z1462=""),"",Sync!$Z1462)</f>
        <v/>
      </c>
      <c r="K1465">
        <f>IF(OR($G1465="",Sync!$AA1462=""),"",Sync!$AA1462)</f>
        <v/>
      </c>
      <c r="L1465">
        <f>IF($G1465="",0,IF(Sync!$AB1462="",0,Sync!$AB1462))</f>
        <v/>
      </c>
      <c r="M1465">
        <f>IF($G1465="",0,IF(Sync!$AC1462="",0,Sync!$AC1462))</f>
        <v/>
      </c>
      <c r="N1465">
        <f>IF($G1465="","",IF($H1465="مرجوعی خرید",-1,1)*($L1465-$M1465*IFERROR(VLOOKUP("P01",ParamTbl,3,0),1.5))*(1-IF($I1465="خرید",IFERROR(VLOOKUP("P02",ParamTbl,3,0),1),0)/100))</f>
        <v/>
      </c>
      <c r="O1465">
        <f>IF($G1465="",0,IF($H1465="مرجوعی خرید",-1,1)*IF(Sync!$AD1462="",0,Sync!$AD1462))</f>
        <v/>
      </c>
      <c r="P1465">
        <f>IF(OR($G1465="",Sync!$W1462=""),"",Sync!$W1462)</f>
        <v/>
      </c>
      <c r="Q1465">
        <f>IF(OR($G1465="",Sync!$AE1462=""),"",Sync!$AE1462)</f>
        <v/>
      </c>
      <c r="R1465">
        <f>IF($G1465="","",IF(Sync!$V1462="","0000",IF(AND(ISNUMBER(Sync!$V1462),Sync!$V1462&gt;=0,Sync!$V1462&lt;1),RIGHT("00"&amp;HOUR(Sync!$V1462),2)&amp;RIGHT("00"&amp;MINUTE(Sync!$V1462),2),IFERROR(RIGHT("00"&amp;VALUE(LEFT(Sync!$V1462,FIND(":",Sync!$V1462)-1)),2)&amp;RIGHT("00"&amp;VALUE(MID(Sync!$V1462,FIND(":",Sync!$V1462)+1,2)),2),"0000"))))</f>
        <v/>
      </c>
    </row>
    <row r="1466">
      <c r="A1466">
        <f>IF(Sync!$U1463="","",Sync!$U1463)</f>
        <v/>
      </c>
      <c r="B1466">
        <f>IF($A1466="","",IF(ISNUMBER($A1466),IF(AND($A1466&gt;=10000101,$A1466&lt;=99991231),INT($A1466/10000),""),IFERROR(VALUE(TRIM(LEFT($A1466,FIND("/",$A1466)-1))),"")))</f>
        <v/>
      </c>
      <c r="C1466">
        <f>IF(OR($A1466="",$B1466=""),"",IF(ISNUMBER($A1466),INT(MOD($A1466,10000)/100),IFERROR(VALUE(TRIM(LEFT(MID($A1466,FIND("/",$A1466)+1,20),FIND("/",MID($A1466,FIND("/",$A1466)+1,20))-1))),"")))</f>
        <v/>
      </c>
      <c r="D1466">
        <f>IF(OR($A1466="",$B1466=""),"",IF(ISNUMBER($A1466),MOD($A1466,100),IFERROR(VALUE(TRIM(MID(MID($A1466,FIND("/",$A1466)+1,20),FIND("/",MID($A1466,FIND("/",$A1466)+1,20))+1,20))),"")))</f>
        <v/>
      </c>
      <c r="E1466">
        <f>IF($A1466="","",IF(OR($B1466="",$C1466="",$D1466="",$B1466&lt;1300,$B1466&gt;1500,$C1466&lt;1,$C1466&gt;12,$D1466&lt;1,$D1466&gt;31),"نامعتبر",RIGHT("0000"&amp;$B1466,4)&amp;"/"&amp;RIGHT("00"&amp;$C1466,2)&amp;"/"&amp;RIGHT("00"&amp;$D1466,2)))</f>
        <v/>
      </c>
      <c r="F1466">
        <f>IF(OR($E1466="",$E1466="نامعتبر"),"",LEFT($E1466,4)&amp;"/"&amp;MID($E1466,6,2))</f>
        <v/>
      </c>
      <c r="G1466">
        <f>IF(OR($E1466="",$E1466="نامعتبر",Sync!$Y1463=""),"",Sync!$Y1463)</f>
        <v/>
      </c>
      <c r="H1466">
        <f>IF($G1466="","",IF(Sync!$X1463="","",Sync!$X1463))</f>
        <v/>
      </c>
      <c r="I1466">
        <f>IF($G1466="","",IFERROR(VLOOKUP(Sync!$X1463,OpTbl,3,0),""))</f>
        <v/>
      </c>
      <c r="J1466">
        <f>IF(OR($G1466="",Sync!$Z1463=""),"",Sync!$Z1463)</f>
        <v/>
      </c>
      <c r="K1466">
        <f>IF(OR($G1466="",Sync!$AA1463=""),"",Sync!$AA1463)</f>
        <v/>
      </c>
      <c r="L1466">
        <f>IF($G1466="",0,IF(Sync!$AB1463="",0,Sync!$AB1463))</f>
        <v/>
      </c>
      <c r="M1466">
        <f>IF($G1466="",0,IF(Sync!$AC1463="",0,Sync!$AC1463))</f>
        <v/>
      </c>
      <c r="N1466">
        <f>IF($G1466="","",IF($H1466="مرجوعی خرید",-1,1)*($L1466-$M1466*IFERROR(VLOOKUP("P01",ParamTbl,3,0),1.5))*(1-IF($I1466="خرید",IFERROR(VLOOKUP("P02",ParamTbl,3,0),1),0)/100))</f>
        <v/>
      </c>
      <c r="O1466">
        <f>IF($G1466="",0,IF($H1466="مرجوعی خرید",-1,1)*IF(Sync!$AD1463="",0,Sync!$AD1463))</f>
        <v/>
      </c>
      <c r="P1466">
        <f>IF(OR($G1466="",Sync!$W1463=""),"",Sync!$W1463)</f>
        <v/>
      </c>
      <c r="Q1466">
        <f>IF(OR($G1466="",Sync!$AE1463=""),"",Sync!$AE1463)</f>
        <v/>
      </c>
      <c r="R1466">
        <f>IF($G1466="","",IF(Sync!$V1463="","0000",IF(AND(ISNUMBER(Sync!$V1463),Sync!$V1463&gt;=0,Sync!$V1463&lt;1),RIGHT("00"&amp;HOUR(Sync!$V1463),2)&amp;RIGHT("00"&amp;MINUTE(Sync!$V1463),2),IFERROR(RIGHT("00"&amp;VALUE(LEFT(Sync!$V1463,FIND(":",Sync!$V1463)-1)),2)&amp;RIGHT("00"&amp;VALUE(MID(Sync!$V1463,FIND(":",Sync!$V1463)+1,2)),2),"0000"))))</f>
        <v/>
      </c>
    </row>
    <row r="1467">
      <c r="A1467">
        <f>IF(Sync!$U1464="","",Sync!$U1464)</f>
        <v/>
      </c>
      <c r="B1467">
        <f>IF($A1467="","",IF(ISNUMBER($A1467),IF(AND($A1467&gt;=10000101,$A1467&lt;=99991231),INT($A1467/10000),""),IFERROR(VALUE(TRIM(LEFT($A1467,FIND("/",$A1467)-1))),"")))</f>
        <v/>
      </c>
      <c r="C1467">
        <f>IF(OR($A1467="",$B1467=""),"",IF(ISNUMBER($A1467),INT(MOD($A1467,10000)/100),IFERROR(VALUE(TRIM(LEFT(MID($A1467,FIND("/",$A1467)+1,20),FIND("/",MID($A1467,FIND("/",$A1467)+1,20))-1))),"")))</f>
        <v/>
      </c>
      <c r="D1467">
        <f>IF(OR($A1467="",$B1467=""),"",IF(ISNUMBER($A1467),MOD($A1467,100),IFERROR(VALUE(TRIM(MID(MID($A1467,FIND("/",$A1467)+1,20),FIND("/",MID($A1467,FIND("/",$A1467)+1,20))+1,20))),"")))</f>
        <v/>
      </c>
      <c r="E1467">
        <f>IF($A1467="","",IF(OR($B1467="",$C1467="",$D1467="",$B1467&lt;1300,$B1467&gt;1500,$C1467&lt;1,$C1467&gt;12,$D1467&lt;1,$D1467&gt;31),"نامعتبر",RIGHT("0000"&amp;$B1467,4)&amp;"/"&amp;RIGHT("00"&amp;$C1467,2)&amp;"/"&amp;RIGHT("00"&amp;$D1467,2)))</f>
        <v/>
      </c>
      <c r="F1467">
        <f>IF(OR($E1467="",$E1467="نامعتبر"),"",LEFT($E1467,4)&amp;"/"&amp;MID($E1467,6,2))</f>
        <v/>
      </c>
      <c r="G1467">
        <f>IF(OR($E1467="",$E1467="نامعتبر",Sync!$Y1464=""),"",Sync!$Y1464)</f>
        <v/>
      </c>
      <c r="H1467">
        <f>IF($G1467="","",IF(Sync!$X1464="","",Sync!$X1464))</f>
        <v/>
      </c>
      <c r="I1467">
        <f>IF($G1467="","",IFERROR(VLOOKUP(Sync!$X1464,OpTbl,3,0),""))</f>
        <v/>
      </c>
      <c r="J1467">
        <f>IF(OR($G1467="",Sync!$Z1464=""),"",Sync!$Z1464)</f>
        <v/>
      </c>
      <c r="K1467">
        <f>IF(OR($G1467="",Sync!$AA1464=""),"",Sync!$AA1464)</f>
        <v/>
      </c>
      <c r="L1467">
        <f>IF($G1467="",0,IF(Sync!$AB1464="",0,Sync!$AB1464))</f>
        <v/>
      </c>
      <c r="M1467">
        <f>IF($G1467="",0,IF(Sync!$AC1464="",0,Sync!$AC1464))</f>
        <v/>
      </c>
      <c r="N1467">
        <f>IF($G1467="","",IF($H1467="مرجوعی خرید",-1,1)*($L1467-$M1467*IFERROR(VLOOKUP("P01",ParamTbl,3,0),1.5))*(1-IF($I1467="خرید",IFERROR(VLOOKUP("P02",ParamTbl,3,0),1),0)/100))</f>
        <v/>
      </c>
      <c r="O1467">
        <f>IF($G1467="",0,IF($H1467="مرجوعی خرید",-1,1)*IF(Sync!$AD1464="",0,Sync!$AD1464))</f>
        <v/>
      </c>
      <c r="P1467">
        <f>IF(OR($G1467="",Sync!$W1464=""),"",Sync!$W1464)</f>
        <v/>
      </c>
      <c r="Q1467">
        <f>IF(OR($G1467="",Sync!$AE1464=""),"",Sync!$AE1464)</f>
        <v/>
      </c>
      <c r="R1467">
        <f>IF($G1467="","",IF(Sync!$V1464="","0000",IF(AND(ISNUMBER(Sync!$V1464),Sync!$V1464&gt;=0,Sync!$V1464&lt;1),RIGHT("00"&amp;HOUR(Sync!$V1464),2)&amp;RIGHT("00"&amp;MINUTE(Sync!$V1464),2),IFERROR(RIGHT("00"&amp;VALUE(LEFT(Sync!$V1464,FIND(":",Sync!$V1464)-1)),2)&amp;RIGHT("00"&amp;VALUE(MID(Sync!$V1464,FIND(":",Sync!$V1464)+1,2)),2),"0000"))))</f>
        <v/>
      </c>
    </row>
    <row r="1468">
      <c r="A1468">
        <f>IF(Sync!$U1465="","",Sync!$U1465)</f>
        <v/>
      </c>
      <c r="B1468">
        <f>IF($A1468="","",IF(ISNUMBER($A1468),IF(AND($A1468&gt;=10000101,$A1468&lt;=99991231),INT($A1468/10000),""),IFERROR(VALUE(TRIM(LEFT($A1468,FIND("/",$A1468)-1))),"")))</f>
        <v/>
      </c>
      <c r="C1468">
        <f>IF(OR($A1468="",$B1468=""),"",IF(ISNUMBER($A1468),INT(MOD($A1468,10000)/100),IFERROR(VALUE(TRIM(LEFT(MID($A1468,FIND("/",$A1468)+1,20),FIND("/",MID($A1468,FIND("/",$A1468)+1,20))-1))),"")))</f>
        <v/>
      </c>
      <c r="D1468">
        <f>IF(OR($A1468="",$B1468=""),"",IF(ISNUMBER($A1468),MOD($A1468,100),IFERROR(VALUE(TRIM(MID(MID($A1468,FIND("/",$A1468)+1,20),FIND("/",MID($A1468,FIND("/",$A1468)+1,20))+1,20))),"")))</f>
        <v/>
      </c>
      <c r="E1468">
        <f>IF($A1468="","",IF(OR($B1468="",$C1468="",$D1468="",$B1468&lt;1300,$B1468&gt;1500,$C1468&lt;1,$C1468&gt;12,$D1468&lt;1,$D1468&gt;31),"نامعتبر",RIGHT("0000"&amp;$B1468,4)&amp;"/"&amp;RIGHT("00"&amp;$C1468,2)&amp;"/"&amp;RIGHT("00"&amp;$D1468,2)))</f>
        <v/>
      </c>
      <c r="F1468">
        <f>IF(OR($E1468="",$E1468="نامعتبر"),"",LEFT($E1468,4)&amp;"/"&amp;MID($E1468,6,2))</f>
        <v/>
      </c>
      <c r="G1468">
        <f>IF(OR($E1468="",$E1468="نامعتبر",Sync!$Y1465=""),"",Sync!$Y1465)</f>
        <v/>
      </c>
      <c r="H1468">
        <f>IF($G1468="","",IF(Sync!$X1465="","",Sync!$X1465))</f>
        <v/>
      </c>
      <c r="I1468">
        <f>IF($G1468="","",IFERROR(VLOOKUP(Sync!$X1465,OpTbl,3,0),""))</f>
        <v/>
      </c>
      <c r="J1468">
        <f>IF(OR($G1468="",Sync!$Z1465=""),"",Sync!$Z1465)</f>
        <v/>
      </c>
      <c r="K1468">
        <f>IF(OR($G1468="",Sync!$AA1465=""),"",Sync!$AA1465)</f>
        <v/>
      </c>
      <c r="L1468">
        <f>IF($G1468="",0,IF(Sync!$AB1465="",0,Sync!$AB1465))</f>
        <v/>
      </c>
      <c r="M1468">
        <f>IF($G1468="",0,IF(Sync!$AC1465="",0,Sync!$AC1465))</f>
        <v/>
      </c>
      <c r="N1468">
        <f>IF($G1468="","",IF($H1468="مرجوعی خرید",-1,1)*($L1468-$M1468*IFERROR(VLOOKUP("P01",ParamTbl,3,0),1.5))*(1-IF($I1468="خرید",IFERROR(VLOOKUP("P02",ParamTbl,3,0),1),0)/100))</f>
        <v/>
      </c>
      <c r="O1468">
        <f>IF($G1468="",0,IF($H1468="مرجوعی خرید",-1,1)*IF(Sync!$AD1465="",0,Sync!$AD1465))</f>
        <v/>
      </c>
      <c r="P1468">
        <f>IF(OR($G1468="",Sync!$W1465=""),"",Sync!$W1465)</f>
        <v/>
      </c>
      <c r="Q1468">
        <f>IF(OR($G1468="",Sync!$AE1465=""),"",Sync!$AE1465)</f>
        <v/>
      </c>
      <c r="R1468">
        <f>IF($G1468="","",IF(Sync!$V1465="","0000",IF(AND(ISNUMBER(Sync!$V1465),Sync!$V1465&gt;=0,Sync!$V1465&lt;1),RIGHT("00"&amp;HOUR(Sync!$V1465),2)&amp;RIGHT("00"&amp;MINUTE(Sync!$V1465),2),IFERROR(RIGHT("00"&amp;VALUE(LEFT(Sync!$V1465,FIND(":",Sync!$V1465)-1)),2)&amp;RIGHT("00"&amp;VALUE(MID(Sync!$V1465,FIND(":",Sync!$V1465)+1,2)),2),"0000"))))</f>
        <v/>
      </c>
    </row>
    <row r="1469">
      <c r="A1469">
        <f>IF(Sync!$U1466="","",Sync!$U1466)</f>
        <v/>
      </c>
      <c r="B1469">
        <f>IF($A1469="","",IF(ISNUMBER($A1469),IF(AND($A1469&gt;=10000101,$A1469&lt;=99991231),INT($A1469/10000),""),IFERROR(VALUE(TRIM(LEFT($A1469,FIND("/",$A1469)-1))),"")))</f>
        <v/>
      </c>
      <c r="C1469">
        <f>IF(OR($A1469="",$B1469=""),"",IF(ISNUMBER($A1469),INT(MOD($A1469,10000)/100),IFERROR(VALUE(TRIM(LEFT(MID($A1469,FIND("/",$A1469)+1,20),FIND("/",MID($A1469,FIND("/",$A1469)+1,20))-1))),"")))</f>
        <v/>
      </c>
      <c r="D1469">
        <f>IF(OR($A1469="",$B1469=""),"",IF(ISNUMBER($A1469),MOD($A1469,100),IFERROR(VALUE(TRIM(MID(MID($A1469,FIND("/",$A1469)+1,20),FIND("/",MID($A1469,FIND("/",$A1469)+1,20))+1,20))),"")))</f>
        <v/>
      </c>
      <c r="E1469">
        <f>IF($A1469="","",IF(OR($B1469="",$C1469="",$D1469="",$B1469&lt;1300,$B1469&gt;1500,$C1469&lt;1,$C1469&gt;12,$D1469&lt;1,$D1469&gt;31),"نامعتبر",RIGHT("0000"&amp;$B1469,4)&amp;"/"&amp;RIGHT("00"&amp;$C1469,2)&amp;"/"&amp;RIGHT("00"&amp;$D1469,2)))</f>
        <v/>
      </c>
      <c r="F1469">
        <f>IF(OR($E1469="",$E1469="نامعتبر"),"",LEFT($E1469,4)&amp;"/"&amp;MID($E1469,6,2))</f>
        <v/>
      </c>
      <c r="G1469">
        <f>IF(OR($E1469="",$E1469="نامعتبر",Sync!$Y1466=""),"",Sync!$Y1466)</f>
        <v/>
      </c>
      <c r="H1469">
        <f>IF($G1469="","",IF(Sync!$X1466="","",Sync!$X1466))</f>
        <v/>
      </c>
      <c r="I1469">
        <f>IF($G1469="","",IFERROR(VLOOKUP(Sync!$X1466,OpTbl,3,0),""))</f>
        <v/>
      </c>
      <c r="J1469">
        <f>IF(OR($G1469="",Sync!$Z1466=""),"",Sync!$Z1466)</f>
        <v/>
      </c>
      <c r="K1469">
        <f>IF(OR($G1469="",Sync!$AA1466=""),"",Sync!$AA1466)</f>
        <v/>
      </c>
      <c r="L1469">
        <f>IF($G1469="",0,IF(Sync!$AB1466="",0,Sync!$AB1466))</f>
        <v/>
      </c>
      <c r="M1469">
        <f>IF($G1469="",0,IF(Sync!$AC1466="",0,Sync!$AC1466))</f>
        <v/>
      </c>
      <c r="N1469">
        <f>IF($G1469="","",IF($H1469="مرجوعی خرید",-1,1)*($L1469-$M1469*IFERROR(VLOOKUP("P01",ParamTbl,3,0),1.5))*(1-IF($I1469="خرید",IFERROR(VLOOKUP("P02",ParamTbl,3,0),1),0)/100))</f>
        <v/>
      </c>
      <c r="O1469">
        <f>IF($G1469="",0,IF($H1469="مرجوعی خرید",-1,1)*IF(Sync!$AD1466="",0,Sync!$AD1466))</f>
        <v/>
      </c>
      <c r="P1469">
        <f>IF(OR($G1469="",Sync!$W1466=""),"",Sync!$W1466)</f>
        <v/>
      </c>
      <c r="Q1469">
        <f>IF(OR($G1469="",Sync!$AE1466=""),"",Sync!$AE1466)</f>
        <v/>
      </c>
      <c r="R1469">
        <f>IF($G1469="","",IF(Sync!$V1466="","0000",IF(AND(ISNUMBER(Sync!$V1466),Sync!$V1466&gt;=0,Sync!$V1466&lt;1),RIGHT("00"&amp;HOUR(Sync!$V1466),2)&amp;RIGHT("00"&amp;MINUTE(Sync!$V1466),2),IFERROR(RIGHT("00"&amp;VALUE(LEFT(Sync!$V1466,FIND(":",Sync!$V1466)-1)),2)&amp;RIGHT("00"&amp;VALUE(MID(Sync!$V1466,FIND(":",Sync!$V1466)+1,2)),2),"0000"))))</f>
        <v/>
      </c>
    </row>
    <row r="1470">
      <c r="A1470">
        <f>IF(Sync!$U1467="","",Sync!$U1467)</f>
        <v/>
      </c>
      <c r="B1470">
        <f>IF($A1470="","",IF(ISNUMBER($A1470),IF(AND($A1470&gt;=10000101,$A1470&lt;=99991231),INT($A1470/10000),""),IFERROR(VALUE(TRIM(LEFT($A1470,FIND("/",$A1470)-1))),"")))</f>
        <v/>
      </c>
      <c r="C1470">
        <f>IF(OR($A1470="",$B1470=""),"",IF(ISNUMBER($A1470),INT(MOD($A1470,10000)/100),IFERROR(VALUE(TRIM(LEFT(MID($A1470,FIND("/",$A1470)+1,20),FIND("/",MID($A1470,FIND("/",$A1470)+1,20))-1))),"")))</f>
        <v/>
      </c>
      <c r="D1470">
        <f>IF(OR($A1470="",$B1470=""),"",IF(ISNUMBER($A1470),MOD($A1470,100),IFERROR(VALUE(TRIM(MID(MID($A1470,FIND("/",$A1470)+1,20),FIND("/",MID($A1470,FIND("/",$A1470)+1,20))+1,20))),"")))</f>
        <v/>
      </c>
      <c r="E1470">
        <f>IF($A1470="","",IF(OR($B1470="",$C1470="",$D1470="",$B1470&lt;1300,$B1470&gt;1500,$C1470&lt;1,$C1470&gt;12,$D1470&lt;1,$D1470&gt;31),"نامعتبر",RIGHT("0000"&amp;$B1470,4)&amp;"/"&amp;RIGHT("00"&amp;$C1470,2)&amp;"/"&amp;RIGHT("00"&amp;$D1470,2)))</f>
        <v/>
      </c>
      <c r="F1470">
        <f>IF(OR($E1470="",$E1470="نامعتبر"),"",LEFT($E1470,4)&amp;"/"&amp;MID($E1470,6,2))</f>
        <v/>
      </c>
      <c r="G1470">
        <f>IF(OR($E1470="",$E1470="نامعتبر",Sync!$Y1467=""),"",Sync!$Y1467)</f>
        <v/>
      </c>
      <c r="H1470">
        <f>IF($G1470="","",IF(Sync!$X1467="","",Sync!$X1467))</f>
        <v/>
      </c>
      <c r="I1470">
        <f>IF($G1470="","",IFERROR(VLOOKUP(Sync!$X1467,OpTbl,3,0),""))</f>
        <v/>
      </c>
      <c r="J1470">
        <f>IF(OR($G1470="",Sync!$Z1467=""),"",Sync!$Z1467)</f>
        <v/>
      </c>
      <c r="K1470">
        <f>IF(OR($G1470="",Sync!$AA1467=""),"",Sync!$AA1467)</f>
        <v/>
      </c>
      <c r="L1470">
        <f>IF($G1470="",0,IF(Sync!$AB1467="",0,Sync!$AB1467))</f>
        <v/>
      </c>
      <c r="M1470">
        <f>IF($G1470="",0,IF(Sync!$AC1467="",0,Sync!$AC1467))</f>
        <v/>
      </c>
      <c r="N1470">
        <f>IF($G1470="","",IF($H1470="مرجوعی خرید",-1,1)*($L1470-$M1470*IFERROR(VLOOKUP("P01",ParamTbl,3,0),1.5))*(1-IF($I1470="خرید",IFERROR(VLOOKUP("P02",ParamTbl,3,0),1),0)/100))</f>
        <v/>
      </c>
      <c r="O1470">
        <f>IF($G1470="",0,IF($H1470="مرجوعی خرید",-1,1)*IF(Sync!$AD1467="",0,Sync!$AD1467))</f>
        <v/>
      </c>
      <c r="P1470">
        <f>IF(OR($G1470="",Sync!$W1467=""),"",Sync!$W1467)</f>
        <v/>
      </c>
      <c r="Q1470">
        <f>IF(OR($G1470="",Sync!$AE1467=""),"",Sync!$AE1467)</f>
        <v/>
      </c>
      <c r="R1470">
        <f>IF($G1470="","",IF(Sync!$V1467="","0000",IF(AND(ISNUMBER(Sync!$V1467),Sync!$V1467&gt;=0,Sync!$V1467&lt;1),RIGHT("00"&amp;HOUR(Sync!$V1467),2)&amp;RIGHT("00"&amp;MINUTE(Sync!$V1467),2),IFERROR(RIGHT("00"&amp;VALUE(LEFT(Sync!$V1467,FIND(":",Sync!$V1467)-1)),2)&amp;RIGHT("00"&amp;VALUE(MID(Sync!$V1467,FIND(":",Sync!$V1467)+1,2)),2),"0000"))))</f>
        <v/>
      </c>
    </row>
    <row r="1471">
      <c r="A1471">
        <f>IF(Sync!$U1468="","",Sync!$U1468)</f>
        <v/>
      </c>
      <c r="B1471">
        <f>IF($A1471="","",IF(ISNUMBER($A1471),IF(AND($A1471&gt;=10000101,$A1471&lt;=99991231),INT($A1471/10000),""),IFERROR(VALUE(TRIM(LEFT($A1471,FIND("/",$A1471)-1))),"")))</f>
        <v/>
      </c>
      <c r="C1471">
        <f>IF(OR($A1471="",$B1471=""),"",IF(ISNUMBER($A1471),INT(MOD($A1471,10000)/100),IFERROR(VALUE(TRIM(LEFT(MID($A1471,FIND("/",$A1471)+1,20),FIND("/",MID($A1471,FIND("/",$A1471)+1,20))-1))),"")))</f>
        <v/>
      </c>
      <c r="D1471">
        <f>IF(OR($A1471="",$B1471=""),"",IF(ISNUMBER($A1471),MOD($A1471,100),IFERROR(VALUE(TRIM(MID(MID($A1471,FIND("/",$A1471)+1,20),FIND("/",MID($A1471,FIND("/",$A1471)+1,20))+1,20))),"")))</f>
        <v/>
      </c>
      <c r="E1471">
        <f>IF($A1471="","",IF(OR($B1471="",$C1471="",$D1471="",$B1471&lt;1300,$B1471&gt;1500,$C1471&lt;1,$C1471&gt;12,$D1471&lt;1,$D1471&gt;31),"نامعتبر",RIGHT("0000"&amp;$B1471,4)&amp;"/"&amp;RIGHT("00"&amp;$C1471,2)&amp;"/"&amp;RIGHT("00"&amp;$D1471,2)))</f>
        <v/>
      </c>
      <c r="F1471">
        <f>IF(OR($E1471="",$E1471="نامعتبر"),"",LEFT($E1471,4)&amp;"/"&amp;MID($E1471,6,2))</f>
        <v/>
      </c>
      <c r="G1471">
        <f>IF(OR($E1471="",$E1471="نامعتبر",Sync!$Y1468=""),"",Sync!$Y1468)</f>
        <v/>
      </c>
      <c r="H1471">
        <f>IF($G1471="","",IF(Sync!$X1468="","",Sync!$X1468))</f>
        <v/>
      </c>
      <c r="I1471">
        <f>IF($G1471="","",IFERROR(VLOOKUP(Sync!$X1468,OpTbl,3,0),""))</f>
        <v/>
      </c>
      <c r="J1471">
        <f>IF(OR($G1471="",Sync!$Z1468=""),"",Sync!$Z1468)</f>
        <v/>
      </c>
      <c r="K1471">
        <f>IF(OR($G1471="",Sync!$AA1468=""),"",Sync!$AA1468)</f>
        <v/>
      </c>
      <c r="L1471">
        <f>IF($G1471="",0,IF(Sync!$AB1468="",0,Sync!$AB1468))</f>
        <v/>
      </c>
      <c r="M1471">
        <f>IF($G1471="",0,IF(Sync!$AC1468="",0,Sync!$AC1468))</f>
        <v/>
      </c>
      <c r="N1471">
        <f>IF($G1471="","",IF($H1471="مرجوعی خرید",-1,1)*($L1471-$M1471*IFERROR(VLOOKUP("P01",ParamTbl,3,0),1.5))*(1-IF($I1471="خرید",IFERROR(VLOOKUP("P02",ParamTbl,3,0),1),0)/100))</f>
        <v/>
      </c>
      <c r="O1471">
        <f>IF($G1471="",0,IF($H1471="مرجوعی خرید",-1,1)*IF(Sync!$AD1468="",0,Sync!$AD1468))</f>
        <v/>
      </c>
      <c r="P1471">
        <f>IF(OR($G1471="",Sync!$W1468=""),"",Sync!$W1468)</f>
        <v/>
      </c>
      <c r="Q1471">
        <f>IF(OR($G1471="",Sync!$AE1468=""),"",Sync!$AE1468)</f>
        <v/>
      </c>
      <c r="R1471">
        <f>IF($G1471="","",IF(Sync!$V1468="","0000",IF(AND(ISNUMBER(Sync!$V1468),Sync!$V1468&gt;=0,Sync!$V1468&lt;1),RIGHT("00"&amp;HOUR(Sync!$V1468),2)&amp;RIGHT("00"&amp;MINUTE(Sync!$V1468),2),IFERROR(RIGHT("00"&amp;VALUE(LEFT(Sync!$V1468,FIND(":",Sync!$V1468)-1)),2)&amp;RIGHT("00"&amp;VALUE(MID(Sync!$V1468,FIND(":",Sync!$V1468)+1,2)),2),"0000"))))</f>
        <v/>
      </c>
    </row>
    <row r="1472">
      <c r="A1472">
        <f>IF(Sync!$U1469="","",Sync!$U1469)</f>
        <v/>
      </c>
      <c r="B1472">
        <f>IF($A1472="","",IF(ISNUMBER($A1472),IF(AND($A1472&gt;=10000101,$A1472&lt;=99991231),INT($A1472/10000),""),IFERROR(VALUE(TRIM(LEFT($A1472,FIND("/",$A1472)-1))),"")))</f>
        <v/>
      </c>
      <c r="C1472">
        <f>IF(OR($A1472="",$B1472=""),"",IF(ISNUMBER($A1472),INT(MOD($A1472,10000)/100),IFERROR(VALUE(TRIM(LEFT(MID($A1472,FIND("/",$A1472)+1,20),FIND("/",MID($A1472,FIND("/",$A1472)+1,20))-1))),"")))</f>
        <v/>
      </c>
      <c r="D1472">
        <f>IF(OR($A1472="",$B1472=""),"",IF(ISNUMBER($A1472),MOD($A1472,100),IFERROR(VALUE(TRIM(MID(MID($A1472,FIND("/",$A1472)+1,20),FIND("/",MID($A1472,FIND("/",$A1472)+1,20))+1,20))),"")))</f>
        <v/>
      </c>
      <c r="E1472">
        <f>IF($A1472="","",IF(OR($B1472="",$C1472="",$D1472="",$B1472&lt;1300,$B1472&gt;1500,$C1472&lt;1,$C1472&gt;12,$D1472&lt;1,$D1472&gt;31),"نامعتبر",RIGHT("0000"&amp;$B1472,4)&amp;"/"&amp;RIGHT("00"&amp;$C1472,2)&amp;"/"&amp;RIGHT("00"&amp;$D1472,2)))</f>
        <v/>
      </c>
      <c r="F1472">
        <f>IF(OR($E1472="",$E1472="نامعتبر"),"",LEFT($E1472,4)&amp;"/"&amp;MID($E1472,6,2))</f>
        <v/>
      </c>
      <c r="G1472">
        <f>IF(OR($E1472="",$E1472="نامعتبر",Sync!$Y1469=""),"",Sync!$Y1469)</f>
        <v/>
      </c>
      <c r="H1472">
        <f>IF($G1472="","",IF(Sync!$X1469="","",Sync!$X1469))</f>
        <v/>
      </c>
      <c r="I1472">
        <f>IF($G1472="","",IFERROR(VLOOKUP(Sync!$X1469,OpTbl,3,0),""))</f>
        <v/>
      </c>
      <c r="J1472">
        <f>IF(OR($G1472="",Sync!$Z1469=""),"",Sync!$Z1469)</f>
        <v/>
      </c>
      <c r="K1472">
        <f>IF(OR($G1472="",Sync!$AA1469=""),"",Sync!$AA1469)</f>
        <v/>
      </c>
      <c r="L1472">
        <f>IF($G1472="",0,IF(Sync!$AB1469="",0,Sync!$AB1469))</f>
        <v/>
      </c>
      <c r="M1472">
        <f>IF($G1472="",0,IF(Sync!$AC1469="",0,Sync!$AC1469))</f>
        <v/>
      </c>
      <c r="N1472">
        <f>IF($G1472="","",IF($H1472="مرجوعی خرید",-1,1)*($L1472-$M1472*IFERROR(VLOOKUP("P01",ParamTbl,3,0),1.5))*(1-IF($I1472="خرید",IFERROR(VLOOKUP("P02",ParamTbl,3,0),1),0)/100))</f>
        <v/>
      </c>
      <c r="O1472">
        <f>IF($G1472="",0,IF($H1472="مرجوعی خرید",-1,1)*IF(Sync!$AD1469="",0,Sync!$AD1469))</f>
        <v/>
      </c>
      <c r="P1472">
        <f>IF(OR($G1472="",Sync!$W1469=""),"",Sync!$W1469)</f>
        <v/>
      </c>
      <c r="Q1472">
        <f>IF(OR($G1472="",Sync!$AE1469=""),"",Sync!$AE1469)</f>
        <v/>
      </c>
      <c r="R1472">
        <f>IF($G1472="","",IF(Sync!$V1469="","0000",IF(AND(ISNUMBER(Sync!$V1469),Sync!$V1469&gt;=0,Sync!$V1469&lt;1),RIGHT("00"&amp;HOUR(Sync!$V1469),2)&amp;RIGHT("00"&amp;MINUTE(Sync!$V1469),2),IFERROR(RIGHT("00"&amp;VALUE(LEFT(Sync!$V1469,FIND(":",Sync!$V1469)-1)),2)&amp;RIGHT("00"&amp;VALUE(MID(Sync!$V1469,FIND(":",Sync!$V1469)+1,2)),2),"0000"))))</f>
        <v/>
      </c>
    </row>
    <row r="1473">
      <c r="A1473">
        <f>IF(Sync!$U1470="","",Sync!$U1470)</f>
        <v/>
      </c>
      <c r="B1473">
        <f>IF($A1473="","",IF(ISNUMBER($A1473),IF(AND($A1473&gt;=10000101,$A1473&lt;=99991231),INT($A1473/10000),""),IFERROR(VALUE(TRIM(LEFT($A1473,FIND("/",$A1473)-1))),"")))</f>
        <v/>
      </c>
      <c r="C1473">
        <f>IF(OR($A1473="",$B1473=""),"",IF(ISNUMBER($A1473),INT(MOD($A1473,10000)/100),IFERROR(VALUE(TRIM(LEFT(MID($A1473,FIND("/",$A1473)+1,20),FIND("/",MID($A1473,FIND("/",$A1473)+1,20))-1))),"")))</f>
        <v/>
      </c>
      <c r="D1473">
        <f>IF(OR($A1473="",$B1473=""),"",IF(ISNUMBER($A1473),MOD($A1473,100),IFERROR(VALUE(TRIM(MID(MID($A1473,FIND("/",$A1473)+1,20),FIND("/",MID($A1473,FIND("/",$A1473)+1,20))+1,20))),"")))</f>
        <v/>
      </c>
      <c r="E1473">
        <f>IF($A1473="","",IF(OR($B1473="",$C1473="",$D1473="",$B1473&lt;1300,$B1473&gt;1500,$C1473&lt;1,$C1473&gt;12,$D1473&lt;1,$D1473&gt;31),"نامعتبر",RIGHT("0000"&amp;$B1473,4)&amp;"/"&amp;RIGHT("00"&amp;$C1473,2)&amp;"/"&amp;RIGHT("00"&amp;$D1473,2)))</f>
        <v/>
      </c>
      <c r="F1473">
        <f>IF(OR($E1473="",$E1473="نامعتبر"),"",LEFT($E1473,4)&amp;"/"&amp;MID($E1473,6,2))</f>
        <v/>
      </c>
      <c r="G1473">
        <f>IF(OR($E1473="",$E1473="نامعتبر",Sync!$Y1470=""),"",Sync!$Y1470)</f>
        <v/>
      </c>
      <c r="H1473">
        <f>IF($G1473="","",IF(Sync!$X1470="","",Sync!$X1470))</f>
        <v/>
      </c>
      <c r="I1473">
        <f>IF($G1473="","",IFERROR(VLOOKUP(Sync!$X1470,OpTbl,3,0),""))</f>
        <v/>
      </c>
      <c r="J1473">
        <f>IF(OR($G1473="",Sync!$Z1470=""),"",Sync!$Z1470)</f>
        <v/>
      </c>
      <c r="K1473">
        <f>IF(OR($G1473="",Sync!$AA1470=""),"",Sync!$AA1470)</f>
        <v/>
      </c>
      <c r="L1473">
        <f>IF($G1473="",0,IF(Sync!$AB1470="",0,Sync!$AB1470))</f>
        <v/>
      </c>
      <c r="M1473">
        <f>IF($G1473="",0,IF(Sync!$AC1470="",0,Sync!$AC1470))</f>
        <v/>
      </c>
      <c r="N1473">
        <f>IF($G1473="","",IF($H1473="مرجوعی خرید",-1,1)*($L1473-$M1473*IFERROR(VLOOKUP("P01",ParamTbl,3,0),1.5))*(1-IF($I1473="خرید",IFERROR(VLOOKUP("P02",ParamTbl,3,0),1),0)/100))</f>
        <v/>
      </c>
      <c r="O1473">
        <f>IF($G1473="",0,IF($H1473="مرجوعی خرید",-1,1)*IF(Sync!$AD1470="",0,Sync!$AD1470))</f>
        <v/>
      </c>
      <c r="P1473">
        <f>IF(OR($G1473="",Sync!$W1470=""),"",Sync!$W1470)</f>
        <v/>
      </c>
      <c r="Q1473">
        <f>IF(OR($G1473="",Sync!$AE1470=""),"",Sync!$AE1470)</f>
        <v/>
      </c>
      <c r="R1473">
        <f>IF($G1473="","",IF(Sync!$V1470="","0000",IF(AND(ISNUMBER(Sync!$V1470),Sync!$V1470&gt;=0,Sync!$V1470&lt;1),RIGHT("00"&amp;HOUR(Sync!$V1470),2)&amp;RIGHT("00"&amp;MINUTE(Sync!$V1470),2),IFERROR(RIGHT("00"&amp;VALUE(LEFT(Sync!$V1470,FIND(":",Sync!$V1470)-1)),2)&amp;RIGHT("00"&amp;VALUE(MID(Sync!$V1470,FIND(":",Sync!$V1470)+1,2)),2),"0000"))))</f>
        <v/>
      </c>
    </row>
    <row r="1474">
      <c r="A1474">
        <f>IF(Sync!$U1471="","",Sync!$U1471)</f>
        <v/>
      </c>
      <c r="B1474">
        <f>IF($A1474="","",IF(ISNUMBER($A1474),IF(AND($A1474&gt;=10000101,$A1474&lt;=99991231),INT($A1474/10000),""),IFERROR(VALUE(TRIM(LEFT($A1474,FIND("/",$A1474)-1))),"")))</f>
        <v/>
      </c>
      <c r="C1474">
        <f>IF(OR($A1474="",$B1474=""),"",IF(ISNUMBER($A1474),INT(MOD($A1474,10000)/100),IFERROR(VALUE(TRIM(LEFT(MID($A1474,FIND("/",$A1474)+1,20),FIND("/",MID($A1474,FIND("/",$A1474)+1,20))-1))),"")))</f>
        <v/>
      </c>
      <c r="D1474">
        <f>IF(OR($A1474="",$B1474=""),"",IF(ISNUMBER($A1474),MOD($A1474,100),IFERROR(VALUE(TRIM(MID(MID($A1474,FIND("/",$A1474)+1,20),FIND("/",MID($A1474,FIND("/",$A1474)+1,20))+1,20))),"")))</f>
        <v/>
      </c>
      <c r="E1474">
        <f>IF($A1474="","",IF(OR($B1474="",$C1474="",$D1474="",$B1474&lt;1300,$B1474&gt;1500,$C1474&lt;1,$C1474&gt;12,$D1474&lt;1,$D1474&gt;31),"نامعتبر",RIGHT("0000"&amp;$B1474,4)&amp;"/"&amp;RIGHT("00"&amp;$C1474,2)&amp;"/"&amp;RIGHT("00"&amp;$D1474,2)))</f>
        <v/>
      </c>
      <c r="F1474">
        <f>IF(OR($E1474="",$E1474="نامعتبر"),"",LEFT($E1474,4)&amp;"/"&amp;MID($E1474,6,2))</f>
        <v/>
      </c>
      <c r="G1474">
        <f>IF(OR($E1474="",$E1474="نامعتبر",Sync!$Y1471=""),"",Sync!$Y1471)</f>
        <v/>
      </c>
      <c r="H1474">
        <f>IF($G1474="","",IF(Sync!$X1471="","",Sync!$X1471))</f>
        <v/>
      </c>
      <c r="I1474">
        <f>IF($G1474="","",IFERROR(VLOOKUP(Sync!$X1471,OpTbl,3,0),""))</f>
        <v/>
      </c>
      <c r="J1474">
        <f>IF(OR($G1474="",Sync!$Z1471=""),"",Sync!$Z1471)</f>
        <v/>
      </c>
      <c r="K1474">
        <f>IF(OR($G1474="",Sync!$AA1471=""),"",Sync!$AA1471)</f>
        <v/>
      </c>
      <c r="L1474">
        <f>IF($G1474="",0,IF(Sync!$AB1471="",0,Sync!$AB1471))</f>
        <v/>
      </c>
      <c r="M1474">
        <f>IF($G1474="",0,IF(Sync!$AC1471="",0,Sync!$AC1471))</f>
        <v/>
      </c>
      <c r="N1474">
        <f>IF($G1474="","",IF($H1474="مرجوعی خرید",-1,1)*($L1474-$M1474*IFERROR(VLOOKUP("P01",ParamTbl,3,0),1.5))*(1-IF($I1474="خرید",IFERROR(VLOOKUP("P02",ParamTbl,3,0),1),0)/100))</f>
        <v/>
      </c>
      <c r="O1474">
        <f>IF($G1474="",0,IF($H1474="مرجوعی خرید",-1,1)*IF(Sync!$AD1471="",0,Sync!$AD1471))</f>
        <v/>
      </c>
      <c r="P1474">
        <f>IF(OR($G1474="",Sync!$W1471=""),"",Sync!$W1471)</f>
        <v/>
      </c>
      <c r="Q1474">
        <f>IF(OR($G1474="",Sync!$AE1471=""),"",Sync!$AE1471)</f>
        <v/>
      </c>
      <c r="R1474">
        <f>IF($G1474="","",IF(Sync!$V1471="","0000",IF(AND(ISNUMBER(Sync!$V1471),Sync!$V1471&gt;=0,Sync!$V1471&lt;1),RIGHT("00"&amp;HOUR(Sync!$V1471),2)&amp;RIGHT("00"&amp;MINUTE(Sync!$V1471),2),IFERROR(RIGHT("00"&amp;VALUE(LEFT(Sync!$V1471,FIND(":",Sync!$V1471)-1)),2)&amp;RIGHT("00"&amp;VALUE(MID(Sync!$V1471,FIND(":",Sync!$V1471)+1,2)),2),"0000"))))</f>
        <v/>
      </c>
    </row>
    <row r="1475">
      <c r="A1475">
        <f>IF(Sync!$U1472="","",Sync!$U1472)</f>
        <v/>
      </c>
      <c r="B1475">
        <f>IF($A1475="","",IF(ISNUMBER($A1475),IF(AND($A1475&gt;=10000101,$A1475&lt;=99991231),INT($A1475/10000),""),IFERROR(VALUE(TRIM(LEFT($A1475,FIND("/",$A1475)-1))),"")))</f>
        <v/>
      </c>
      <c r="C1475">
        <f>IF(OR($A1475="",$B1475=""),"",IF(ISNUMBER($A1475),INT(MOD($A1475,10000)/100),IFERROR(VALUE(TRIM(LEFT(MID($A1475,FIND("/",$A1475)+1,20),FIND("/",MID($A1475,FIND("/",$A1475)+1,20))-1))),"")))</f>
        <v/>
      </c>
      <c r="D1475">
        <f>IF(OR($A1475="",$B1475=""),"",IF(ISNUMBER($A1475),MOD($A1475,100),IFERROR(VALUE(TRIM(MID(MID($A1475,FIND("/",$A1475)+1,20),FIND("/",MID($A1475,FIND("/",$A1475)+1,20))+1,20))),"")))</f>
        <v/>
      </c>
      <c r="E1475">
        <f>IF($A1475="","",IF(OR($B1475="",$C1475="",$D1475="",$B1475&lt;1300,$B1475&gt;1500,$C1475&lt;1,$C1475&gt;12,$D1475&lt;1,$D1475&gt;31),"نامعتبر",RIGHT("0000"&amp;$B1475,4)&amp;"/"&amp;RIGHT("00"&amp;$C1475,2)&amp;"/"&amp;RIGHT("00"&amp;$D1475,2)))</f>
        <v/>
      </c>
      <c r="F1475">
        <f>IF(OR($E1475="",$E1475="نامعتبر"),"",LEFT($E1475,4)&amp;"/"&amp;MID($E1475,6,2))</f>
        <v/>
      </c>
      <c r="G1475">
        <f>IF(OR($E1475="",$E1475="نامعتبر",Sync!$Y1472=""),"",Sync!$Y1472)</f>
        <v/>
      </c>
      <c r="H1475">
        <f>IF($G1475="","",IF(Sync!$X1472="","",Sync!$X1472))</f>
        <v/>
      </c>
      <c r="I1475">
        <f>IF($G1475="","",IFERROR(VLOOKUP(Sync!$X1472,OpTbl,3,0),""))</f>
        <v/>
      </c>
      <c r="J1475">
        <f>IF(OR($G1475="",Sync!$Z1472=""),"",Sync!$Z1472)</f>
        <v/>
      </c>
      <c r="K1475">
        <f>IF(OR($G1475="",Sync!$AA1472=""),"",Sync!$AA1472)</f>
        <v/>
      </c>
      <c r="L1475">
        <f>IF($G1475="",0,IF(Sync!$AB1472="",0,Sync!$AB1472))</f>
        <v/>
      </c>
      <c r="M1475">
        <f>IF($G1475="",0,IF(Sync!$AC1472="",0,Sync!$AC1472))</f>
        <v/>
      </c>
      <c r="N1475">
        <f>IF($G1475="","",IF($H1475="مرجوعی خرید",-1,1)*($L1475-$M1475*IFERROR(VLOOKUP("P01",ParamTbl,3,0),1.5))*(1-IF($I1475="خرید",IFERROR(VLOOKUP("P02",ParamTbl,3,0),1),0)/100))</f>
        <v/>
      </c>
      <c r="O1475">
        <f>IF($G1475="",0,IF($H1475="مرجوعی خرید",-1,1)*IF(Sync!$AD1472="",0,Sync!$AD1472))</f>
        <v/>
      </c>
      <c r="P1475">
        <f>IF(OR($G1475="",Sync!$W1472=""),"",Sync!$W1472)</f>
        <v/>
      </c>
      <c r="Q1475">
        <f>IF(OR($G1475="",Sync!$AE1472=""),"",Sync!$AE1472)</f>
        <v/>
      </c>
      <c r="R1475">
        <f>IF($G1475="","",IF(Sync!$V1472="","0000",IF(AND(ISNUMBER(Sync!$V1472),Sync!$V1472&gt;=0,Sync!$V1472&lt;1),RIGHT("00"&amp;HOUR(Sync!$V1472),2)&amp;RIGHT("00"&amp;MINUTE(Sync!$V1472),2),IFERROR(RIGHT("00"&amp;VALUE(LEFT(Sync!$V1472,FIND(":",Sync!$V1472)-1)),2)&amp;RIGHT("00"&amp;VALUE(MID(Sync!$V1472,FIND(":",Sync!$V1472)+1,2)),2),"0000"))))</f>
        <v/>
      </c>
    </row>
    <row r="1476">
      <c r="A1476">
        <f>IF(Sync!$U1473="","",Sync!$U1473)</f>
        <v/>
      </c>
      <c r="B1476">
        <f>IF($A1476="","",IF(ISNUMBER($A1476),IF(AND($A1476&gt;=10000101,$A1476&lt;=99991231),INT($A1476/10000),""),IFERROR(VALUE(TRIM(LEFT($A1476,FIND("/",$A1476)-1))),"")))</f>
        <v/>
      </c>
      <c r="C1476">
        <f>IF(OR($A1476="",$B1476=""),"",IF(ISNUMBER($A1476),INT(MOD($A1476,10000)/100),IFERROR(VALUE(TRIM(LEFT(MID($A1476,FIND("/",$A1476)+1,20),FIND("/",MID($A1476,FIND("/",$A1476)+1,20))-1))),"")))</f>
        <v/>
      </c>
      <c r="D1476">
        <f>IF(OR($A1476="",$B1476=""),"",IF(ISNUMBER($A1476),MOD($A1476,100),IFERROR(VALUE(TRIM(MID(MID($A1476,FIND("/",$A1476)+1,20),FIND("/",MID($A1476,FIND("/",$A1476)+1,20))+1,20))),"")))</f>
        <v/>
      </c>
      <c r="E1476">
        <f>IF($A1476="","",IF(OR($B1476="",$C1476="",$D1476="",$B1476&lt;1300,$B1476&gt;1500,$C1476&lt;1,$C1476&gt;12,$D1476&lt;1,$D1476&gt;31),"نامعتبر",RIGHT("0000"&amp;$B1476,4)&amp;"/"&amp;RIGHT("00"&amp;$C1476,2)&amp;"/"&amp;RIGHT("00"&amp;$D1476,2)))</f>
        <v/>
      </c>
      <c r="F1476">
        <f>IF(OR($E1476="",$E1476="نامعتبر"),"",LEFT($E1476,4)&amp;"/"&amp;MID($E1476,6,2))</f>
        <v/>
      </c>
      <c r="G1476">
        <f>IF(OR($E1476="",$E1476="نامعتبر",Sync!$Y1473=""),"",Sync!$Y1473)</f>
        <v/>
      </c>
      <c r="H1476">
        <f>IF($G1476="","",IF(Sync!$X1473="","",Sync!$X1473))</f>
        <v/>
      </c>
      <c r="I1476">
        <f>IF($G1476="","",IFERROR(VLOOKUP(Sync!$X1473,OpTbl,3,0),""))</f>
        <v/>
      </c>
      <c r="J1476">
        <f>IF(OR($G1476="",Sync!$Z1473=""),"",Sync!$Z1473)</f>
        <v/>
      </c>
      <c r="K1476">
        <f>IF(OR($G1476="",Sync!$AA1473=""),"",Sync!$AA1473)</f>
        <v/>
      </c>
      <c r="L1476">
        <f>IF($G1476="",0,IF(Sync!$AB1473="",0,Sync!$AB1473))</f>
        <v/>
      </c>
      <c r="M1476">
        <f>IF($G1476="",0,IF(Sync!$AC1473="",0,Sync!$AC1473))</f>
        <v/>
      </c>
      <c r="N1476">
        <f>IF($G1476="","",IF($H1476="مرجوعی خرید",-1,1)*($L1476-$M1476*IFERROR(VLOOKUP("P01",ParamTbl,3,0),1.5))*(1-IF($I1476="خرید",IFERROR(VLOOKUP("P02",ParamTbl,3,0),1),0)/100))</f>
        <v/>
      </c>
      <c r="O1476">
        <f>IF($G1476="",0,IF($H1476="مرجوعی خرید",-1,1)*IF(Sync!$AD1473="",0,Sync!$AD1473))</f>
        <v/>
      </c>
      <c r="P1476">
        <f>IF(OR($G1476="",Sync!$W1473=""),"",Sync!$W1473)</f>
        <v/>
      </c>
      <c r="Q1476">
        <f>IF(OR($G1476="",Sync!$AE1473=""),"",Sync!$AE1473)</f>
        <v/>
      </c>
      <c r="R1476">
        <f>IF($G1476="","",IF(Sync!$V1473="","0000",IF(AND(ISNUMBER(Sync!$V1473),Sync!$V1473&gt;=0,Sync!$V1473&lt;1),RIGHT("00"&amp;HOUR(Sync!$V1473),2)&amp;RIGHT("00"&amp;MINUTE(Sync!$V1473),2),IFERROR(RIGHT("00"&amp;VALUE(LEFT(Sync!$V1473,FIND(":",Sync!$V1473)-1)),2)&amp;RIGHT("00"&amp;VALUE(MID(Sync!$V1473,FIND(":",Sync!$V1473)+1,2)),2),"0000"))))</f>
        <v/>
      </c>
    </row>
    <row r="1477">
      <c r="A1477">
        <f>IF(Sync!$U1474="","",Sync!$U1474)</f>
        <v/>
      </c>
      <c r="B1477">
        <f>IF($A1477="","",IF(ISNUMBER($A1477),IF(AND($A1477&gt;=10000101,$A1477&lt;=99991231),INT($A1477/10000),""),IFERROR(VALUE(TRIM(LEFT($A1477,FIND("/",$A1477)-1))),"")))</f>
        <v/>
      </c>
      <c r="C1477">
        <f>IF(OR($A1477="",$B1477=""),"",IF(ISNUMBER($A1477),INT(MOD($A1477,10000)/100),IFERROR(VALUE(TRIM(LEFT(MID($A1477,FIND("/",$A1477)+1,20),FIND("/",MID($A1477,FIND("/",$A1477)+1,20))-1))),"")))</f>
        <v/>
      </c>
      <c r="D1477">
        <f>IF(OR($A1477="",$B1477=""),"",IF(ISNUMBER($A1477),MOD($A1477,100),IFERROR(VALUE(TRIM(MID(MID($A1477,FIND("/",$A1477)+1,20),FIND("/",MID($A1477,FIND("/",$A1477)+1,20))+1,20))),"")))</f>
        <v/>
      </c>
      <c r="E1477">
        <f>IF($A1477="","",IF(OR($B1477="",$C1477="",$D1477="",$B1477&lt;1300,$B1477&gt;1500,$C1477&lt;1,$C1477&gt;12,$D1477&lt;1,$D1477&gt;31),"نامعتبر",RIGHT("0000"&amp;$B1477,4)&amp;"/"&amp;RIGHT("00"&amp;$C1477,2)&amp;"/"&amp;RIGHT("00"&amp;$D1477,2)))</f>
        <v/>
      </c>
      <c r="F1477">
        <f>IF(OR($E1477="",$E1477="نامعتبر"),"",LEFT($E1477,4)&amp;"/"&amp;MID($E1477,6,2))</f>
        <v/>
      </c>
      <c r="G1477">
        <f>IF(OR($E1477="",$E1477="نامعتبر",Sync!$Y1474=""),"",Sync!$Y1474)</f>
        <v/>
      </c>
      <c r="H1477">
        <f>IF($G1477="","",IF(Sync!$X1474="","",Sync!$X1474))</f>
        <v/>
      </c>
      <c r="I1477">
        <f>IF($G1477="","",IFERROR(VLOOKUP(Sync!$X1474,OpTbl,3,0),""))</f>
        <v/>
      </c>
      <c r="J1477">
        <f>IF(OR($G1477="",Sync!$Z1474=""),"",Sync!$Z1474)</f>
        <v/>
      </c>
      <c r="K1477">
        <f>IF(OR($G1477="",Sync!$AA1474=""),"",Sync!$AA1474)</f>
        <v/>
      </c>
      <c r="L1477">
        <f>IF($G1477="",0,IF(Sync!$AB1474="",0,Sync!$AB1474))</f>
        <v/>
      </c>
      <c r="M1477">
        <f>IF($G1477="",0,IF(Sync!$AC1474="",0,Sync!$AC1474))</f>
        <v/>
      </c>
      <c r="N1477">
        <f>IF($G1477="","",IF($H1477="مرجوعی خرید",-1,1)*($L1477-$M1477*IFERROR(VLOOKUP("P01",ParamTbl,3,0),1.5))*(1-IF($I1477="خرید",IFERROR(VLOOKUP("P02",ParamTbl,3,0),1),0)/100))</f>
        <v/>
      </c>
      <c r="O1477">
        <f>IF($G1477="",0,IF($H1477="مرجوعی خرید",-1,1)*IF(Sync!$AD1474="",0,Sync!$AD1474))</f>
        <v/>
      </c>
      <c r="P1477">
        <f>IF(OR($G1477="",Sync!$W1474=""),"",Sync!$W1474)</f>
        <v/>
      </c>
      <c r="Q1477">
        <f>IF(OR($G1477="",Sync!$AE1474=""),"",Sync!$AE1474)</f>
        <v/>
      </c>
      <c r="R1477">
        <f>IF($G1477="","",IF(Sync!$V1474="","0000",IF(AND(ISNUMBER(Sync!$V1474),Sync!$V1474&gt;=0,Sync!$V1474&lt;1),RIGHT("00"&amp;HOUR(Sync!$V1474),2)&amp;RIGHT("00"&amp;MINUTE(Sync!$V1474),2),IFERROR(RIGHT("00"&amp;VALUE(LEFT(Sync!$V1474,FIND(":",Sync!$V1474)-1)),2)&amp;RIGHT("00"&amp;VALUE(MID(Sync!$V1474,FIND(":",Sync!$V1474)+1,2)),2),"0000"))))</f>
        <v/>
      </c>
    </row>
    <row r="1478">
      <c r="A1478">
        <f>IF(Sync!$U1475="","",Sync!$U1475)</f>
        <v/>
      </c>
      <c r="B1478">
        <f>IF($A1478="","",IF(ISNUMBER($A1478),IF(AND($A1478&gt;=10000101,$A1478&lt;=99991231),INT($A1478/10000),""),IFERROR(VALUE(TRIM(LEFT($A1478,FIND("/",$A1478)-1))),"")))</f>
        <v/>
      </c>
      <c r="C1478">
        <f>IF(OR($A1478="",$B1478=""),"",IF(ISNUMBER($A1478),INT(MOD($A1478,10000)/100),IFERROR(VALUE(TRIM(LEFT(MID($A1478,FIND("/",$A1478)+1,20),FIND("/",MID($A1478,FIND("/",$A1478)+1,20))-1))),"")))</f>
        <v/>
      </c>
      <c r="D1478">
        <f>IF(OR($A1478="",$B1478=""),"",IF(ISNUMBER($A1478),MOD($A1478,100),IFERROR(VALUE(TRIM(MID(MID($A1478,FIND("/",$A1478)+1,20),FIND("/",MID($A1478,FIND("/",$A1478)+1,20))+1,20))),"")))</f>
        <v/>
      </c>
      <c r="E1478">
        <f>IF($A1478="","",IF(OR($B1478="",$C1478="",$D1478="",$B1478&lt;1300,$B1478&gt;1500,$C1478&lt;1,$C1478&gt;12,$D1478&lt;1,$D1478&gt;31),"نامعتبر",RIGHT("0000"&amp;$B1478,4)&amp;"/"&amp;RIGHT("00"&amp;$C1478,2)&amp;"/"&amp;RIGHT("00"&amp;$D1478,2)))</f>
        <v/>
      </c>
      <c r="F1478">
        <f>IF(OR($E1478="",$E1478="نامعتبر"),"",LEFT($E1478,4)&amp;"/"&amp;MID($E1478,6,2))</f>
        <v/>
      </c>
      <c r="G1478">
        <f>IF(OR($E1478="",$E1478="نامعتبر",Sync!$Y1475=""),"",Sync!$Y1475)</f>
        <v/>
      </c>
      <c r="H1478">
        <f>IF($G1478="","",IF(Sync!$X1475="","",Sync!$X1475))</f>
        <v/>
      </c>
      <c r="I1478">
        <f>IF($G1478="","",IFERROR(VLOOKUP(Sync!$X1475,OpTbl,3,0),""))</f>
        <v/>
      </c>
      <c r="J1478">
        <f>IF(OR($G1478="",Sync!$Z1475=""),"",Sync!$Z1475)</f>
        <v/>
      </c>
      <c r="K1478">
        <f>IF(OR($G1478="",Sync!$AA1475=""),"",Sync!$AA1475)</f>
        <v/>
      </c>
      <c r="L1478">
        <f>IF($G1478="",0,IF(Sync!$AB1475="",0,Sync!$AB1475))</f>
        <v/>
      </c>
      <c r="M1478">
        <f>IF($G1478="",0,IF(Sync!$AC1475="",0,Sync!$AC1475))</f>
        <v/>
      </c>
      <c r="N1478">
        <f>IF($G1478="","",IF($H1478="مرجوعی خرید",-1,1)*($L1478-$M1478*IFERROR(VLOOKUP("P01",ParamTbl,3,0),1.5))*(1-IF($I1478="خرید",IFERROR(VLOOKUP("P02",ParamTbl,3,0),1),0)/100))</f>
        <v/>
      </c>
      <c r="O1478">
        <f>IF($G1478="",0,IF($H1478="مرجوعی خرید",-1,1)*IF(Sync!$AD1475="",0,Sync!$AD1475))</f>
        <v/>
      </c>
      <c r="P1478">
        <f>IF(OR($G1478="",Sync!$W1475=""),"",Sync!$W1475)</f>
        <v/>
      </c>
      <c r="Q1478">
        <f>IF(OR($G1478="",Sync!$AE1475=""),"",Sync!$AE1475)</f>
        <v/>
      </c>
      <c r="R1478">
        <f>IF($G1478="","",IF(Sync!$V1475="","0000",IF(AND(ISNUMBER(Sync!$V1475),Sync!$V1475&gt;=0,Sync!$V1475&lt;1),RIGHT("00"&amp;HOUR(Sync!$V1475),2)&amp;RIGHT("00"&amp;MINUTE(Sync!$V1475),2),IFERROR(RIGHT("00"&amp;VALUE(LEFT(Sync!$V1475,FIND(":",Sync!$V1475)-1)),2)&amp;RIGHT("00"&amp;VALUE(MID(Sync!$V1475,FIND(":",Sync!$V1475)+1,2)),2),"0000"))))</f>
        <v/>
      </c>
    </row>
    <row r="1479">
      <c r="A1479">
        <f>IF(Sync!$U1476="","",Sync!$U1476)</f>
        <v/>
      </c>
      <c r="B1479">
        <f>IF($A1479="","",IF(ISNUMBER($A1479),IF(AND($A1479&gt;=10000101,$A1479&lt;=99991231),INT($A1479/10000),""),IFERROR(VALUE(TRIM(LEFT($A1479,FIND("/",$A1479)-1))),"")))</f>
        <v/>
      </c>
      <c r="C1479">
        <f>IF(OR($A1479="",$B1479=""),"",IF(ISNUMBER($A1479),INT(MOD($A1479,10000)/100),IFERROR(VALUE(TRIM(LEFT(MID($A1479,FIND("/",$A1479)+1,20),FIND("/",MID($A1479,FIND("/",$A1479)+1,20))-1))),"")))</f>
        <v/>
      </c>
      <c r="D1479">
        <f>IF(OR($A1479="",$B1479=""),"",IF(ISNUMBER($A1479),MOD($A1479,100),IFERROR(VALUE(TRIM(MID(MID($A1479,FIND("/",$A1479)+1,20),FIND("/",MID($A1479,FIND("/",$A1479)+1,20))+1,20))),"")))</f>
        <v/>
      </c>
      <c r="E1479">
        <f>IF($A1479="","",IF(OR($B1479="",$C1479="",$D1479="",$B1479&lt;1300,$B1479&gt;1500,$C1479&lt;1,$C1479&gt;12,$D1479&lt;1,$D1479&gt;31),"نامعتبر",RIGHT("0000"&amp;$B1479,4)&amp;"/"&amp;RIGHT("00"&amp;$C1479,2)&amp;"/"&amp;RIGHT("00"&amp;$D1479,2)))</f>
        <v/>
      </c>
      <c r="F1479">
        <f>IF(OR($E1479="",$E1479="نامعتبر"),"",LEFT($E1479,4)&amp;"/"&amp;MID($E1479,6,2))</f>
        <v/>
      </c>
      <c r="G1479">
        <f>IF(OR($E1479="",$E1479="نامعتبر",Sync!$Y1476=""),"",Sync!$Y1476)</f>
        <v/>
      </c>
      <c r="H1479">
        <f>IF($G1479="","",IF(Sync!$X1476="","",Sync!$X1476))</f>
        <v/>
      </c>
      <c r="I1479">
        <f>IF($G1479="","",IFERROR(VLOOKUP(Sync!$X1476,OpTbl,3,0),""))</f>
        <v/>
      </c>
      <c r="J1479">
        <f>IF(OR($G1479="",Sync!$Z1476=""),"",Sync!$Z1476)</f>
        <v/>
      </c>
      <c r="K1479">
        <f>IF(OR($G1479="",Sync!$AA1476=""),"",Sync!$AA1476)</f>
        <v/>
      </c>
      <c r="L1479">
        <f>IF($G1479="",0,IF(Sync!$AB1476="",0,Sync!$AB1476))</f>
        <v/>
      </c>
      <c r="M1479">
        <f>IF($G1479="",0,IF(Sync!$AC1476="",0,Sync!$AC1476))</f>
        <v/>
      </c>
      <c r="N1479">
        <f>IF($G1479="","",IF($H1479="مرجوعی خرید",-1,1)*($L1479-$M1479*IFERROR(VLOOKUP("P01",ParamTbl,3,0),1.5))*(1-IF($I1479="خرید",IFERROR(VLOOKUP("P02",ParamTbl,3,0),1),0)/100))</f>
        <v/>
      </c>
      <c r="O1479">
        <f>IF($G1479="",0,IF($H1479="مرجوعی خرید",-1,1)*IF(Sync!$AD1476="",0,Sync!$AD1476))</f>
        <v/>
      </c>
      <c r="P1479">
        <f>IF(OR($G1479="",Sync!$W1476=""),"",Sync!$W1476)</f>
        <v/>
      </c>
      <c r="Q1479">
        <f>IF(OR($G1479="",Sync!$AE1476=""),"",Sync!$AE1476)</f>
        <v/>
      </c>
      <c r="R1479">
        <f>IF($G1479="","",IF(Sync!$V1476="","0000",IF(AND(ISNUMBER(Sync!$V1476),Sync!$V1476&gt;=0,Sync!$V1476&lt;1),RIGHT("00"&amp;HOUR(Sync!$V1476),2)&amp;RIGHT("00"&amp;MINUTE(Sync!$V1476),2),IFERROR(RIGHT("00"&amp;VALUE(LEFT(Sync!$V1476,FIND(":",Sync!$V1476)-1)),2)&amp;RIGHT("00"&amp;VALUE(MID(Sync!$V1476,FIND(":",Sync!$V1476)+1,2)),2),"0000"))))</f>
        <v/>
      </c>
    </row>
    <row r="1480">
      <c r="A1480">
        <f>IF(Sync!$U1477="","",Sync!$U1477)</f>
        <v/>
      </c>
      <c r="B1480">
        <f>IF($A1480="","",IF(ISNUMBER($A1480),IF(AND($A1480&gt;=10000101,$A1480&lt;=99991231),INT($A1480/10000),""),IFERROR(VALUE(TRIM(LEFT($A1480,FIND("/",$A1480)-1))),"")))</f>
        <v/>
      </c>
      <c r="C1480">
        <f>IF(OR($A1480="",$B1480=""),"",IF(ISNUMBER($A1480),INT(MOD($A1480,10000)/100),IFERROR(VALUE(TRIM(LEFT(MID($A1480,FIND("/",$A1480)+1,20),FIND("/",MID($A1480,FIND("/",$A1480)+1,20))-1))),"")))</f>
        <v/>
      </c>
      <c r="D1480">
        <f>IF(OR($A1480="",$B1480=""),"",IF(ISNUMBER($A1480),MOD($A1480,100),IFERROR(VALUE(TRIM(MID(MID($A1480,FIND("/",$A1480)+1,20),FIND("/",MID($A1480,FIND("/",$A1480)+1,20))+1,20))),"")))</f>
        <v/>
      </c>
      <c r="E1480">
        <f>IF($A1480="","",IF(OR($B1480="",$C1480="",$D1480="",$B1480&lt;1300,$B1480&gt;1500,$C1480&lt;1,$C1480&gt;12,$D1480&lt;1,$D1480&gt;31),"نامعتبر",RIGHT("0000"&amp;$B1480,4)&amp;"/"&amp;RIGHT("00"&amp;$C1480,2)&amp;"/"&amp;RIGHT("00"&amp;$D1480,2)))</f>
        <v/>
      </c>
      <c r="F1480">
        <f>IF(OR($E1480="",$E1480="نامعتبر"),"",LEFT($E1480,4)&amp;"/"&amp;MID($E1480,6,2))</f>
        <v/>
      </c>
      <c r="G1480">
        <f>IF(OR($E1480="",$E1480="نامعتبر",Sync!$Y1477=""),"",Sync!$Y1477)</f>
        <v/>
      </c>
      <c r="H1480">
        <f>IF($G1480="","",IF(Sync!$X1477="","",Sync!$X1477))</f>
        <v/>
      </c>
      <c r="I1480">
        <f>IF($G1480="","",IFERROR(VLOOKUP(Sync!$X1477,OpTbl,3,0),""))</f>
        <v/>
      </c>
      <c r="J1480">
        <f>IF(OR($G1480="",Sync!$Z1477=""),"",Sync!$Z1477)</f>
        <v/>
      </c>
      <c r="K1480">
        <f>IF(OR($G1480="",Sync!$AA1477=""),"",Sync!$AA1477)</f>
        <v/>
      </c>
      <c r="L1480">
        <f>IF($G1480="",0,IF(Sync!$AB1477="",0,Sync!$AB1477))</f>
        <v/>
      </c>
      <c r="M1480">
        <f>IF($G1480="",0,IF(Sync!$AC1477="",0,Sync!$AC1477))</f>
        <v/>
      </c>
      <c r="N1480">
        <f>IF($G1480="","",IF($H1480="مرجوعی خرید",-1,1)*($L1480-$M1480*IFERROR(VLOOKUP("P01",ParamTbl,3,0),1.5))*(1-IF($I1480="خرید",IFERROR(VLOOKUP("P02",ParamTbl,3,0),1),0)/100))</f>
        <v/>
      </c>
      <c r="O1480">
        <f>IF($G1480="",0,IF($H1480="مرجوعی خرید",-1,1)*IF(Sync!$AD1477="",0,Sync!$AD1477))</f>
        <v/>
      </c>
      <c r="P1480">
        <f>IF(OR($G1480="",Sync!$W1477=""),"",Sync!$W1477)</f>
        <v/>
      </c>
      <c r="Q1480">
        <f>IF(OR($G1480="",Sync!$AE1477=""),"",Sync!$AE1477)</f>
        <v/>
      </c>
      <c r="R1480">
        <f>IF($G1480="","",IF(Sync!$V1477="","0000",IF(AND(ISNUMBER(Sync!$V1477),Sync!$V1477&gt;=0,Sync!$V1477&lt;1),RIGHT("00"&amp;HOUR(Sync!$V1477),2)&amp;RIGHT("00"&amp;MINUTE(Sync!$V1477),2),IFERROR(RIGHT("00"&amp;VALUE(LEFT(Sync!$V1477,FIND(":",Sync!$V1477)-1)),2)&amp;RIGHT("00"&amp;VALUE(MID(Sync!$V1477,FIND(":",Sync!$V1477)+1,2)),2),"0000"))))</f>
        <v/>
      </c>
    </row>
    <row r="1481">
      <c r="A1481">
        <f>IF(Sync!$U1478="","",Sync!$U1478)</f>
        <v/>
      </c>
      <c r="B1481">
        <f>IF($A1481="","",IF(ISNUMBER($A1481),IF(AND($A1481&gt;=10000101,$A1481&lt;=99991231),INT($A1481/10000),""),IFERROR(VALUE(TRIM(LEFT($A1481,FIND("/",$A1481)-1))),"")))</f>
        <v/>
      </c>
      <c r="C1481">
        <f>IF(OR($A1481="",$B1481=""),"",IF(ISNUMBER($A1481),INT(MOD($A1481,10000)/100),IFERROR(VALUE(TRIM(LEFT(MID($A1481,FIND("/",$A1481)+1,20),FIND("/",MID($A1481,FIND("/",$A1481)+1,20))-1))),"")))</f>
        <v/>
      </c>
      <c r="D1481">
        <f>IF(OR($A1481="",$B1481=""),"",IF(ISNUMBER($A1481),MOD($A1481,100),IFERROR(VALUE(TRIM(MID(MID($A1481,FIND("/",$A1481)+1,20),FIND("/",MID($A1481,FIND("/",$A1481)+1,20))+1,20))),"")))</f>
        <v/>
      </c>
      <c r="E1481">
        <f>IF($A1481="","",IF(OR($B1481="",$C1481="",$D1481="",$B1481&lt;1300,$B1481&gt;1500,$C1481&lt;1,$C1481&gt;12,$D1481&lt;1,$D1481&gt;31),"نامعتبر",RIGHT("0000"&amp;$B1481,4)&amp;"/"&amp;RIGHT("00"&amp;$C1481,2)&amp;"/"&amp;RIGHT("00"&amp;$D1481,2)))</f>
        <v/>
      </c>
      <c r="F1481">
        <f>IF(OR($E1481="",$E1481="نامعتبر"),"",LEFT($E1481,4)&amp;"/"&amp;MID($E1481,6,2))</f>
        <v/>
      </c>
      <c r="G1481">
        <f>IF(OR($E1481="",$E1481="نامعتبر",Sync!$Y1478=""),"",Sync!$Y1478)</f>
        <v/>
      </c>
      <c r="H1481">
        <f>IF($G1481="","",IF(Sync!$X1478="","",Sync!$X1478))</f>
        <v/>
      </c>
      <c r="I1481">
        <f>IF($G1481="","",IFERROR(VLOOKUP(Sync!$X1478,OpTbl,3,0),""))</f>
        <v/>
      </c>
      <c r="J1481">
        <f>IF(OR($G1481="",Sync!$Z1478=""),"",Sync!$Z1478)</f>
        <v/>
      </c>
      <c r="K1481">
        <f>IF(OR($G1481="",Sync!$AA1478=""),"",Sync!$AA1478)</f>
        <v/>
      </c>
      <c r="L1481">
        <f>IF($G1481="",0,IF(Sync!$AB1478="",0,Sync!$AB1478))</f>
        <v/>
      </c>
      <c r="M1481">
        <f>IF($G1481="",0,IF(Sync!$AC1478="",0,Sync!$AC1478))</f>
        <v/>
      </c>
      <c r="N1481">
        <f>IF($G1481="","",IF($H1481="مرجوعی خرید",-1,1)*($L1481-$M1481*IFERROR(VLOOKUP("P01",ParamTbl,3,0),1.5))*(1-IF($I1481="خرید",IFERROR(VLOOKUP("P02",ParamTbl,3,0),1),0)/100))</f>
        <v/>
      </c>
      <c r="O1481">
        <f>IF($G1481="",0,IF($H1481="مرجوعی خرید",-1,1)*IF(Sync!$AD1478="",0,Sync!$AD1478))</f>
        <v/>
      </c>
      <c r="P1481">
        <f>IF(OR($G1481="",Sync!$W1478=""),"",Sync!$W1478)</f>
        <v/>
      </c>
      <c r="Q1481">
        <f>IF(OR($G1481="",Sync!$AE1478=""),"",Sync!$AE1478)</f>
        <v/>
      </c>
      <c r="R1481">
        <f>IF($G1481="","",IF(Sync!$V1478="","0000",IF(AND(ISNUMBER(Sync!$V1478),Sync!$V1478&gt;=0,Sync!$V1478&lt;1),RIGHT("00"&amp;HOUR(Sync!$V1478),2)&amp;RIGHT("00"&amp;MINUTE(Sync!$V1478),2),IFERROR(RIGHT("00"&amp;VALUE(LEFT(Sync!$V1478,FIND(":",Sync!$V1478)-1)),2)&amp;RIGHT("00"&amp;VALUE(MID(Sync!$V1478,FIND(":",Sync!$V1478)+1,2)),2),"0000"))))</f>
        <v/>
      </c>
    </row>
    <row r="1482">
      <c r="A1482">
        <f>IF(Sync!$U1479="","",Sync!$U1479)</f>
        <v/>
      </c>
      <c r="B1482">
        <f>IF($A1482="","",IF(ISNUMBER($A1482),IF(AND($A1482&gt;=10000101,$A1482&lt;=99991231),INT($A1482/10000),""),IFERROR(VALUE(TRIM(LEFT($A1482,FIND("/",$A1482)-1))),"")))</f>
        <v/>
      </c>
      <c r="C1482">
        <f>IF(OR($A1482="",$B1482=""),"",IF(ISNUMBER($A1482),INT(MOD($A1482,10000)/100),IFERROR(VALUE(TRIM(LEFT(MID($A1482,FIND("/",$A1482)+1,20),FIND("/",MID($A1482,FIND("/",$A1482)+1,20))-1))),"")))</f>
        <v/>
      </c>
      <c r="D1482">
        <f>IF(OR($A1482="",$B1482=""),"",IF(ISNUMBER($A1482),MOD($A1482,100),IFERROR(VALUE(TRIM(MID(MID($A1482,FIND("/",$A1482)+1,20),FIND("/",MID($A1482,FIND("/",$A1482)+1,20))+1,20))),"")))</f>
        <v/>
      </c>
      <c r="E1482">
        <f>IF($A1482="","",IF(OR($B1482="",$C1482="",$D1482="",$B1482&lt;1300,$B1482&gt;1500,$C1482&lt;1,$C1482&gt;12,$D1482&lt;1,$D1482&gt;31),"نامعتبر",RIGHT("0000"&amp;$B1482,4)&amp;"/"&amp;RIGHT("00"&amp;$C1482,2)&amp;"/"&amp;RIGHT("00"&amp;$D1482,2)))</f>
        <v/>
      </c>
      <c r="F1482">
        <f>IF(OR($E1482="",$E1482="نامعتبر"),"",LEFT($E1482,4)&amp;"/"&amp;MID($E1482,6,2))</f>
        <v/>
      </c>
      <c r="G1482">
        <f>IF(OR($E1482="",$E1482="نامعتبر",Sync!$Y1479=""),"",Sync!$Y1479)</f>
        <v/>
      </c>
      <c r="H1482">
        <f>IF($G1482="","",IF(Sync!$X1479="","",Sync!$X1479))</f>
        <v/>
      </c>
      <c r="I1482">
        <f>IF($G1482="","",IFERROR(VLOOKUP(Sync!$X1479,OpTbl,3,0),""))</f>
        <v/>
      </c>
      <c r="J1482">
        <f>IF(OR($G1482="",Sync!$Z1479=""),"",Sync!$Z1479)</f>
        <v/>
      </c>
      <c r="K1482">
        <f>IF(OR($G1482="",Sync!$AA1479=""),"",Sync!$AA1479)</f>
        <v/>
      </c>
      <c r="L1482">
        <f>IF($G1482="",0,IF(Sync!$AB1479="",0,Sync!$AB1479))</f>
        <v/>
      </c>
      <c r="M1482">
        <f>IF($G1482="",0,IF(Sync!$AC1479="",0,Sync!$AC1479))</f>
        <v/>
      </c>
      <c r="N1482">
        <f>IF($G1482="","",IF($H1482="مرجوعی خرید",-1,1)*($L1482-$M1482*IFERROR(VLOOKUP("P01",ParamTbl,3,0),1.5))*(1-IF($I1482="خرید",IFERROR(VLOOKUP("P02",ParamTbl,3,0),1),0)/100))</f>
        <v/>
      </c>
      <c r="O1482">
        <f>IF($G1482="",0,IF($H1482="مرجوعی خرید",-1,1)*IF(Sync!$AD1479="",0,Sync!$AD1479))</f>
        <v/>
      </c>
      <c r="P1482">
        <f>IF(OR($G1482="",Sync!$W1479=""),"",Sync!$W1479)</f>
        <v/>
      </c>
      <c r="Q1482">
        <f>IF(OR($G1482="",Sync!$AE1479=""),"",Sync!$AE1479)</f>
        <v/>
      </c>
      <c r="R1482">
        <f>IF($G1482="","",IF(Sync!$V1479="","0000",IF(AND(ISNUMBER(Sync!$V1479),Sync!$V1479&gt;=0,Sync!$V1479&lt;1),RIGHT("00"&amp;HOUR(Sync!$V1479),2)&amp;RIGHT("00"&amp;MINUTE(Sync!$V1479),2),IFERROR(RIGHT("00"&amp;VALUE(LEFT(Sync!$V1479,FIND(":",Sync!$V1479)-1)),2)&amp;RIGHT("00"&amp;VALUE(MID(Sync!$V1479,FIND(":",Sync!$V1479)+1,2)),2),"0000"))))</f>
        <v/>
      </c>
    </row>
    <row r="1483">
      <c r="A1483">
        <f>IF(Sync!$U1480="","",Sync!$U1480)</f>
        <v/>
      </c>
      <c r="B1483">
        <f>IF($A1483="","",IF(ISNUMBER($A1483),IF(AND($A1483&gt;=10000101,$A1483&lt;=99991231),INT($A1483/10000),""),IFERROR(VALUE(TRIM(LEFT($A1483,FIND("/",$A1483)-1))),"")))</f>
        <v/>
      </c>
      <c r="C1483">
        <f>IF(OR($A1483="",$B1483=""),"",IF(ISNUMBER($A1483),INT(MOD($A1483,10000)/100),IFERROR(VALUE(TRIM(LEFT(MID($A1483,FIND("/",$A1483)+1,20),FIND("/",MID($A1483,FIND("/",$A1483)+1,20))-1))),"")))</f>
        <v/>
      </c>
      <c r="D1483">
        <f>IF(OR($A1483="",$B1483=""),"",IF(ISNUMBER($A1483),MOD($A1483,100),IFERROR(VALUE(TRIM(MID(MID($A1483,FIND("/",$A1483)+1,20),FIND("/",MID($A1483,FIND("/",$A1483)+1,20))+1,20))),"")))</f>
        <v/>
      </c>
      <c r="E1483">
        <f>IF($A1483="","",IF(OR($B1483="",$C1483="",$D1483="",$B1483&lt;1300,$B1483&gt;1500,$C1483&lt;1,$C1483&gt;12,$D1483&lt;1,$D1483&gt;31),"نامعتبر",RIGHT("0000"&amp;$B1483,4)&amp;"/"&amp;RIGHT("00"&amp;$C1483,2)&amp;"/"&amp;RIGHT("00"&amp;$D1483,2)))</f>
        <v/>
      </c>
      <c r="F1483">
        <f>IF(OR($E1483="",$E1483="نامعتبر"),"",LEFT($E1483,4)&amp;"/"&amp;MID($E1483,6,2))</f>
        <v/>
      </c>
      <c r="G1483">
        <f>IF(OR($E1483="",$E1483="نامعتبر",Sync!$Y1480=""),"",Sync!$Y1480)</f>
        <v/>
      </c>
      <c r="H1483">
        <f>IF($G1483="","",IF(Sync!$X1480="","",Sync!$X1480))</f>
        <v/>
      </c>
      <c r="I1483">
        <f>IF($G1483="","",IFERROR(VLOOKUP(Sync!$X1480,OpTbl,3,0),""))</f>
        <v/>
      </c>
      <c r="J1483">
        <f>IF(OR($G1483="",Sync!$Z1480=""),"",Sync!$Z1480)</f>
        <v/>
      </c>
      <c r="K1483">
        <f>IF(OR($G1483="",Sync!$AA1480=""),"",Sync!$AA1480)</f>
        <v/>
      </c>
      <c r="L1483">
        <f>IF($G1483="",0,IF(Sync!$AB1480="",0,Sync!$AB1480))</f>
        <v/>
      </c>
      <c r="M1483">
        <f>IF($G1483="",0,IF(Sync!$AC1480="",0,Sync!$AC1480))</f>
        <v/>
      </c>
      <c r="N1483">
        <f>IF($G1483="","",IF($H1483="مرجوعی خرید",-1,1)*($L1483-$M1483*IFERROR(VLOOKUP("P01",ParamTbl,3,0),1.5))*(1-IF($I1483="خرید",IFERROR(VLOOKUP("P02",ParamTbl,3,0),1),0)/100))</f>
        <v/>
      </c>
      <c r="O1483">
        <f>IF($G1483="",0,IF($H1483="مرجوعی خرید",-1,1)*IF(Sync!$AD1480="",0,Sync!$AD1480))</f>
        <v/>
      </c>
      <c r="P1483">
        <f>IF(OR($G1483="",Sync!$W1480=""),"",Sync!$W1480)</f>
        <v/>
      </c>
      <c r="Q1483">
        <f>IF(OR($G1483="",Sync!$AE1480=""),"",Sync!$AE1480)</f>
        <v/>
      </c>
      <c r="R1483">
        <f>IF($G1483="","",IF(Sync!$V1480="","0000",IF(AND(ISNUMBER(Sync!$V1480),Sync!$V1480&gt;=0,Sync!$V1480&lt;1),RIGHT("00"&amp;HOUR(Sync!$V1480),2)&amp;RIGHT("00"&amp;MINUTE(Sync!$V1480),2),IFERROR(RIGHT("00"&amp;VALUE(LEFT(Sync!$V1480,FIND(":",Sync!$V1480)-1)),2)&amp;RIGHT("00"&amp;VALUE(MID(Sync!$V1480,FIND(":",Sync!$V1480)+1,2)),2),"0000"))))</f>
        <v/>
      </c>
    </row>
    <row r="1484">
      <c r="A1484">
        <f>IF(Sync!$U1481="","",Sync!$U1481)</f>
        <v/>
      </c>
      <c r="B1484">
        <f>IF($A1484="","",IF(ISNUMBER($A1484),IF(AND($A1484&gt;=10000101,$A1484&lt;=99991231),INT($A1484/10000),""),IFERROR(VALUE(TRIM(LEFT($A1484,FIND("/",$A1484)-1))),"")))</f>
        <v/>
      </c>
      <c r="C1484">
        <f>IF(OR($A1484="",$B1484=""),"",IF(ISNUMBER($A1484),INT(MOD($A1484,10000)/100),IFERROR(VALUE(TRIM(LEFT(MID($A1484,FIND("/",$A1484)+1,20),FIND("/",MID($A1484,FIND("/",$A1484)+1,20))-1))),"")))</f>
        <v/>
      </c>
      <c r="D1484">
        <f>IF(OR($A1484="",$B1484=""),"",IF(ISNUMBER($A1484),MOD($A1484,100),IFERROR(VALUE(TRIM(MID(MID($A1484,FIND("/",$A1484)+1,20),FIND("/",MID($A1484,FIND("/",$A1484)+1,20))+1,20))),"")))</f>
        <v/>
      </c>
      <c r="E1484">
        <f>IF($A1484="","",IF(OR($B1484="",$C1484="",$D1484="",$B1484&lt;1300,$B1484&gt;1500,$C1484&lt;1,$C1484&gt;12,$D1484&lt;1,$D1484&gt;31),"نامعتبر",RIGHT("0000"&amp;$B1484,4)&amp;"/"&amp;RIGHT("00"&amp;$C1484,2)&amp;"/"&amp;RIGHT("00"&amp;$D1484,2)))</f>
        <v/>
      </c>
      <c r="F1484">
        <f>IF(OR($E1484="",$E1484="نامعتبر"),"",LEFT($E1484,4)&amp;"/"&amp;MID($E1484,6,2))</f>
        <v/>
      </c>
      <c r="G1484">
        <f>IF(OR($E1484="",$E1484="نامعتبر",Sync!$Y1481=""),"",Sync!$Y1481)</f>
        <v/>
      </c>
      <c r="H1484">
        <f>IF($G1484="","",IF(Sync!$X1481="","",Sync!$X1481))</f>
        <v/>
      </c>
      <c r="I1484">
        <f>IF($G1484="","",IFERROR(VLOOKUP(Sync!$X1481,OpTbl,3,0),""))</f>
        <v/>
      </c>
      <c r="J1484">
        <f>IF(OR($G1484="",Sync!$Z1481=""),"",Sync!$Z1481)</f>
        <v/>
      </c>
      <c r="K1484">
        <f>IF(OR($G1484="",Sync!$AA1481=""),"",Sync!$AA1481)</f>
        <v/>
      </c>
      <c r="L1484">
        <f>IF($G1484="",0,IF(Sync!$AB1481="",0,Sync!$AB1481))</f>
        <v/>
      </c>
      <c r="M1484">
        <f>IF($G1484="",0,IF(Sync!$AC1481="",0,Sync!$AC1481))</f>
        <v/>
      </c>
      <c r="N1484">
        <f>IF($G1484="","",IF($H1484="مرجوعی خرید",-1,1)*($L1484-$M1484*IFERROR(VLOOKUP("P01",ParamTbl,3,0),1.5))*(1-IF($I1484="خرید",IFERROR(VLOOKUP("P02",ParamTbl,3,0),1),0)/100))</f>
        <v/>
      </c>
      <c r="O1484">
        <f>IF($G1484="",0,IF($H1484="مرجوعی خرید",-1,1)*IF(Sync!$AD1481="",0,Sync!$AD1481))</f>
        <v/>
      </c>
      <c r="P1484">
        <f>IF(OR($G1484="",Sync!$W1481=""),"",Sync!$W1481)</f>
        <v/>
      </c>
      <c r="Q1484">
        <f>IF(OR($G1484="",Sync!$AE1481=""),"",Sync!$AE1481)</f>
        <v/>
      </c>
      <c r="R1484">
        <f>IF($G1484="","",IF(Sync!$V1481="","0000",IF(AND(ISNUMBER(Sync!$V1481),Sync!$V1481&gt;=0,Sync!$V1481&lt;1),RIGHT("00"&amp;HOUR(Sync!$V1481),2)&amp;RIGHT("00"&amp;MINUTE(Sync!$V1481),2),IFERROR(RIGHT("00"&amp;VALUE(LEFT(Sync!$V1481,FIND(":",Sync!$V1481)-1)),2)&amp;RIGHT("00"&amp;VALUE(MID(Sync!$V1481,FIND(":",Sync!$V1481)+1,2)),2),"0000"))))</f>
        <v/>
      </c>
    </row>
    <row r="1485">
      <c r="A1485">
        <f>IF(Sync!$U1482="","",Sync!$U1482)</f>
        <v/>
      </c>
      <c r="B1485">
        <f>IF($A1485="","",IF(ISNUMBER($A1485),IF(AND($A1485&gt;=10000101,$A1485&lt;=99991231),INT($A1485/10000),""),IFERROR(VALUE(TRIM(LEFT($A1485,FIND("/",$A1485)-1))),"")))</f>
        <v/>
      </c>
      <c r="C1485">
        <f>IF(OR($A1485="",$B1485=""),"",IF(ISNUMBER($A1485),INT(MOD($A1485,10000)/100),IFERROR(VALUE(TRIM(LEFT(MID($A1485,FIND("/",$A1485)+1,20),FIND("/",MID($A1485,FIND("/",$A1485)+1,20))-1))),"")))</f>
        <v/>
      </c>
      <c r="D1485">
        <f>IF(OR($A1485="",$B1485=""),"",IF(ISNUMBER($A1485),MOD($A1485,100),IFERROR(VALUE(TRIM(MID(MID($A1485,FIND("/",$A1485)+1,20),FIND("/",MID($A1485,FIND("/",$A1485)+1,20))+1,20))),"")))</f>
        <v/>
      </c>
      <c r="E1485">
        <f>IF($A1485="","",IF(OR($B1485="",$C1485="",$D1485="",$B1485&lt;1300,$B1485&gt;1500,$C1485&lt;1,$C1485&gt;12,$D1485&lt;1,$D1485&gt;31),"نامعتبر",RIGHT("0000"&amp;$B1485,4)&amp;"/"&amp;RIGHT("00"&amp;$C1485,2)&amp;"/"&amp;RIGHT("00"&amp;$D1485,2)))</f>
        <v/>
      </c>
      <c r="F1485">
        <f>IF(OR($E1485="",$E1485="نامعتبر"),"",LEFT($E1485,4)&amp;"/"&amp;MID($E1485,6,2))</f>
        <v/>
      </c>
      <c r="G1485">
        <f>IF(OR($E1485="",$E1485="نامعتبر",Sync!$Y1482=""),"",Sync!$Y1482)</f>
        <v/>
      </c>
      <c r="H1485">
        <f>IF($G1485="","",IF(Sync!$X1482="","",Sync!$X1482))</f>
        <v/>
      </c>
      <c r="I1485">
        <f>IF($G1485="","",IFERROR(VLOOKUP(Sync!$X1482,OpTbl,3,0),""))</f>
        <v/>
      </c>
      <c r="J1485">
        <f>IF(OR($G1485="",Sync!$Z1482=""),"",Sync!$Z1482)</f>
        <v/>
      </c>
      <c r="K1485">
        <f>IF(OR($G1485="",Sync!$AA1482=""),"",Sync!$AA1482)</f>
        <v/>
      </c>
      <c r="L1485">
        <f>IF($G1485="",0,IF(Sync!$AB1482="",0,Sync!$AB1482))</f>
        <v/>
      </c>
      <c r="M1485">
        <f>IF($G1485="",0,IF(Sync!$AC1482="",0,Sync!$AC1482))</f>
        <v/>
      </c>
      <c r="N1485">
        <f>IF($G1485="","",IF($H1485="مرجوعی خرید",-1,1)*($L1485-$M1485*IFERROR(VLOOKUP("P01",ParamTbl,3,0),1.5))*(1-IF($I1485="خرید",IFERROR(VLOOKUP("P02",ParamTbl,3,0),1),0)/100))</f>
        <v/>
      </c>
      <c r="O1485">
        <f>IF($G1485="",0,IF($H1485="مرجوعی خرید",-1,1)*IF(Sync!$AD1482="",0,Sync!$AD1482))</f>
        <v/>
      </c>
      <c r="P1485">
        <f>IF(OR($G1485="",Sync!$W1482=""),"",Sync!$W1482)</f>
        <v/>
      </c>
      <c r="Q1485">
        <f>IF(OR($G1485="",Sync!$AE1482=""),"",Sync!$AE1482)</f>
        <v/>
      </c>
      <c r="R1485">
        <f>IF($G1485="","",IF(Sync!$V1482="","0000",IF(AND(ISNUMBER(Sync!$V1482),Sync!$V1482&gt;=0,Sync!$V1482&lt;1),RIGHT("00"&amp;HOUR(Sync!$V1482),2)&amp;RIGHT("00"&amp;MINUTE(Sync!$V1482),2),IFERROR(RIGHT("00"&amp;VALUE(LEFT(Sync!$V1482,FIND(":",Sync!$V1482)-1)),2)&amp;RIGHT("00"&amp;VALUE(MID(Sync!$V1482,FIND(":",Sync!$V1482)+1,2)),2),"0000"))))</f>
        <v/>
      </c>
    </row>
    <row r="1486">
      <c r="A1486">
        <f>IF(Sync!$U1483="","",Sync!$U1483)</f>
        <v/>
      </c>
      <c r="B1486">
        <f>IF($A1486="","",IF(ISNUMBER($A1486),IF(AND($A1486&gt;=10000101,$A1486&lt;=99991231),INT($A1486/10000),""),IFERROR(VALUE(TRIM(LEFT($A1486,FIND("/",$A1486)-1))),"")))</f>
        <v/>
      </c>
      <c r="C1486">
        <f>IF(OR($A1486="",$B1486=""),"",IF(ISNUMBER($A1486),INT(MOD($A1486,10000)/100),IFERROR(VALUE(TRIM(LEFT(MID($A1486,FIND("/",$A1486)+1,20),FIND("/",MID($A1486,FIND("/",$A1486)+1,20))-1))),"")))</f>
        <v/>
      </c>
      <c r="D1486">
        <f>IF(OR($A1486="",$B1486=""),"",IF(ISNUMBER($A1486),MOD($A1486,100),IFERROR(VALUE(TRIM(MID(MID($A1486,FIND("/",$A1486)+1,20),FIND("/",MID($A1486,FIND("/",$A1486)+1,20))+1,20))),"")))</f>
        <v/>
      </c>
      <c r="E1486">
        <f>IF($A1486="","",IF(OR($B1486="",$C1486="",$D1486="",$B1486&lt;1300,$B1486&gt;1500,$C1486&lt;1,$C1486&gt;12,$D1486&lt;1,$D1486&gt;31),"نامعتبر",RIGHT("0000"&amp;$B1486,4)&amp;"/"&amp;RIGHT("00"&amp;$C1486,2)&amp;"/"&amp;RIGHT("00"&amp;$D1486,2)))</f>
        <v/>
      </c>
      <c r="F1486">
        <f>IF(OR($E1486="",$E1486="نامعتبر"),"",LEFT($E1486,4)&amp;"/"&amp;MID($E1486,6,2))</f>
        <v/>
      </c>
      <c r="G1486">
        <f>IF(OR($E1486="",$E1486="نامعتبر",Sync!$Y1483=""),"",Sync!$Y1483)</f>
        <v/>
      </c>
      <c r="H1486">
        <f>IF($G1486="","",IF(Sync!$X1483="","",Sync!$X1483))</f>
        <v/>
      </c>
      <c r="I1486">
        <f>IF($G1486="","",IFERROR(VLOOKUP(Sync!$X1483,OpTbl,3,0),""))</f>
        <v/>
      </c>
      <c r="J1486">
        <f>IF(OR($G1486="",Sync!$Z1483=""),"",Sync!$Z1483)</f>
        <v/>
      </c>
      <c r="K1486">
        <f>IF(OR($G1486="",Sync!$AA1483=""),"",Sync!$AA1483)</f>
        <v/>
      </c>
      <c r="L1486">
        <f>IF($G1486="",0,IF(Sync!$AB1483="",0,Sync!$AB1483))</f>
        <v/>
      </c>
      <c r="M1486">
        <f>IF($G1486="",0,IF(Sync!$AC1483="",0,Sync!$AC1483))</f>
        <v/>
      </c>
      <c r="N1486">
        <f>IF($G1486="","",IF($H1486="مرجوعی خرید",-1,1)*($L1486-$M1486*IFERROR(VLOOKUP("P01",ParamTbl,3,0),1.5))*(1-IF($I1486="خرید",IFERROR(VLOOKUP("P02",ParamTbl,3,0),1),0)/100))</f>
        <v/>
      </c>
      <c r="O1486">
        <f>IF($G1486="",0,IF($H1486="مرجوعی خرید",-1,1)*IF(Sync!$AD1483="",0,Sync!$AD1483))</f>
        <v/>
      </c>
      <c r="P1486">
        <f>IF(OR($G1486="",Sync!$W1483=""),"",Sync!$W1483)</f>
        <v/>
      </c>
      <c r="Q1486">
        <f>IF(OR($G1486="",Sync!$AE1483=""),"",Sync!$AE1483)</f>
        <v/>
      </c>
      <c r="R1486">
        <f>IF($G1486="","",IF(Sync!$V1483="","0000",IF(AND(ISNUMBER(Sync!$V1483),Sync!$V1483&gt;=0,Sync!$V1483&lt;1),RIGHT("00"&amp;HOUR(Sync!$V1483),2)&amp;RIGHT("00"&amp;MINUTE(Sync!$V1483),2),IFERROR(RIGHT("00"&amp;VALUE(LEFT(Sync!$V1483,FIND(":",Sync!$V1483)-1)),2)&amp;RIGHT("00"&amp;VALUE(MID(Sync!$V1483,FIND(":",Sync!$V1483)+1,2)),2),"0000"))))</f>
        <v/>
      </c>
    </row>
    <row r="1487">
      <c r="A1487">
        <f>IF(Sync!$U1484="","",Sync!$U1484)</f>
        <v/>
      </c>
      <c r="B1487">
        <f>IF($A1487="","",IF(ISNUMBER($A1487),IF(AND($A1487&gt;=10000101,$A1487&lt;=99991231),INT($A1487/10000),""),IFERROR(VALUE(TRIM(LEFT($A1487,FIND("/",$A1487)-1))),"")))</f>
        <v/>
      </c>
      <c r="C1487">
        <f>IF(OR($A1487="",$B1487=""),"",IF(ISNUMBER($A1487),INT(MOD($A1487,10000)/100),IFERROR(VALUE(TRIM(LEFT(MID($A1487,FIND("/",$A1487)+1,20),FIND("/",MID($A1487,FIND("/",$A1487)+1,20))-1))),"")))</f>
        <v/>
      </c>
      <c r="D1487">
        <f>IF(OR($A1487="",$B1487=""),"",IF(ISNUMBER($A1487),MOD($A1487,100),IFERROR(VALUE(TRIM(MID(MID($A1487,FIND("/",$A1487)+1,20),FIND("/",MID($A1487,FIND("/",$A1487)+1,20))+1,20))),"")))</f>
        <v/>
      </c>
      <c r="E1487">
        <f>IF($A1487="","",IF(OR($B1487="",$C1487="",$D1487="",$B1487&lt;1300,$B1487&gt;1500,$C1487&lt;1,$C1487&gt;12,$D1487&lt;1,$D1487&gt;31),"نامعتبر",RIGHT("0000"&amp;$B1487,4)&amp;"/"&amp;RIGHT("00"&amp;$C1487,2)&amp;"/"&amp;RIGHT("00"&amp;$D1487,2)))</f>
        <v/>
      </c>
      <c r="F1487">
        <f>IF(OR($E1487="",$E1487="نامعتبر"),"",LEFT($E1487,4)&amp;"/"&amp;MID($E1487,6,2))</f>
        <v/>
      </c>
      <c r="G1487">
        <f>IF(OR($E1487="",$E1487="نامعتبر",Sync!$Y1484=""),"",Sync!$Y1484)</f>
        <v/>
      </c>
      <c r="H1487">
        <f>IF($G1487="","",IF(Sync!$X1484="","",Sync!$X1484))</f>
        <v/>
      </c>
      <c r="I1487">
        <f>IF($G1487="","",IFERROR(VLOOKUP(Sync!$X1484,OpTbl,3,0),""))</f>
        <v/>
      </c>
      <c r="J1487">
        <f>IF(OR($G1487="",Sync!$Z1484=""),"",Sync!$Z1484)</f>
        <v/>
      </c>
      <c r="K1487">
        <f>IF(OR($G1487="",Sync!$AA1484=""),"",Sync!$AA1484)</f>
        <v/>
      </c>
      <c r="L1487">
        <f>IF($G1487="",0,IF(Sync!$AB1484="",0,Sync!$AB1484))</f>
        <v/>
      </c>
      <c r="M1487">
        <f>IF($G1487="",0,IF(Sync!$AC1484="",0,Sync!$AC1484))</f>
        <v/>
      </c>
      <c r="N1487">
        <f>IF($G1487="","",IF($H1487="مرجوعی خرید",-1,1)*($L1487-$M1487*IFERROR(VLOOKUP("P01",ParamTbl,3,0),1.5))*(1-IF($I1487="خرید",IFERROR(VLOOKUP("P02",ParamTbl,3,0),1),0)/100))</f>
        <v/>
      </c>
      <c r="O1487">
        <f>IF($G1487="",0,IF($H1487="مرجوعی خرید",-1,1)*IF(Sync!$AD1484="",0,Sync!$AD1484))</f>
        <v/>
      </c>
      <c r="P1487">
        <f>IF(OR($G1487="",Sync!$W1484=""),"",Sync!$W1484)</f>
        <v/>
      </c>
      <c r="Q1487">
        <f>IF(OR($G1487="",Sync!$AE1484=""),"",Sync!$AE1484)</f>
        <v/>
      </c>
      <c r="R1487">
        <f>IF($G1487="","",IF(Sync!$V1484="","0000",IF(AND(ISNUMBER(Sync!$V1484),Sync!$V1484&gt;=0,Sync!$V1484&lt;1),RIGHT("00"&amp;HOUR(Sync!$V1484),2)&amp;RIGHT("00"&amp;MINUTE(Sync!$V1484),2),IFERROR(RIGHT("00"&amp;VALUE(LEFT(Sync!$V1484,FIND(":",Sync!$V1484)-1)),2)&amp;RIGHT("00"&amp;VALUE(MID(Sync!$V1484,FIND(":",Sync!$V1484)+1,2)),2),"0000"))))</f>
        <v/>
      </c>
    </row>
    <row r="1488">
      <c r="A1488">
        <f>IF(Sync!$U1485="","",Sync!$U1485)</f>
        <v/>
      </c>
      <c r="B1488">
        <f>IF($A1488="","",IF(ISNUMBER($A1488),IF(AND($A1488&gt;=10000101,$A1488&lt;=99991231),INT($A1488/10000),""),IFERROR(VALUE(TRIM(LEFT($A1488,FIND("/",$A1488)-1))),"")))</f>
        <v/>
      </c>
      <c r="C1488">
        <f>IF(OR($A1488="",$B1488=""),"",IF(ISNUMBER($A1488),INT(MOD($A1488,10000)/100),IFERROR(VALUE(TRIM(LEFT(MID($A1488,FIND("/",$A1488)+1,20),FIND("/",MID($A1488,FIND("/",$A1488)+1,20))-1))),"")))</f>
        <v/>
      </c>
      <c r="D1488">
        <f>IF(OR($A1488="",$B1488=""),"",IF(ISNUMBER($A1488),MOD($A1488,100),IFERROR(VALUE(TRIM(MID(MID($A1488,FIND("/",$A1488)+1,20),FIND("/",MID($A1488,FIND("/",$A1488)+1,20))+1,20))),"")))</f>
        <v/>
      </c>
      <c r="E1488">
        <f>IF($A1488="","",IF(OR($B1488="",$C1488="",$D1488="",$B1488&lt;1300,$B1488&gt;1500,$C1488&lt;1,$C1488&gt;12,$D1488&lt;1,$D1488&gt;31),"نامعتبر",RIGHT("0000"&amp;$B1488,4)&amp;"/"&amp;RIGHT("00"&amp;$C1488,2)&amp;"/"&amp;RIGHT("00"&amp;$D1488,2)))</f>
        <v/>
      </c>
      <c r="F1488">
        <f>IF(OR($E1488="",$E1488="نامعتبر"),"",LEFT($E1488,4)&amp;"/"&amp;MID($E1488,6,2))</f>
        <v/>
      </c>
      <c r="G1488">
        <f>IF(OR($E1488="",$E1488="نامعتبر",Sync!$Y1485=""),"",Sync!$Y1485)</f>
        <v/>
      </c>
      <c r="H1488">
        <f>IF($G1488="","",IF(Sync!$X1485="","",Sync!$X1485))</f>
        <v/>
      </c>
      <c r="I1488">
        <f>IF($G1488="","",IFERROR(VLOOKUP(Sync!$X1485,OpTbl,3,0),""))</f>
        <v/>
      </c>
      <c r="J1488">
        <f>IF(OR($G1488="",Sync!$Z1485=""),"",Sync!$Z1485)</f>
        <v/>
      </c>
      <c r="K1488">
        <f>IF(OR($G1488="",Sync!$AA1485=""),"",Sync!$AA1485)</f>
        <v/>
      </c>
      <c r="L1488">
        <f>IF($G1488="",0,IF(Sync!$AB1485="",0,Sync!$AB1485))</f>
        <v/>
      </c>
      <c r="M1488">
        <f>IF($G1488="",0,IF(Sync!$AC1485="",0,Sync!$AC1485))</f>
        <v/>
      </c>
      <c r="N1488">
        <f>IF($G1488="","",IF($H1488="مرجوعی خرید",-1,1)*($L1488-$M1488*IFERROR(VLOOKUP("P01",ParamTbl,3,0),1.5))*(1-IF($I1488="خرید",IFERROR(VLOOKUP("P02",ParamTbl,3,0),1),0)/100))</f>
        <v/>
      </c>
      <c r="O1488">
        <f>IF($G1488="",0,IF($H1488="مرجوعی خرید",-1,1)*IF(Sync!$AD1485="",0,Sync!$AD1485))</f>
        <v/>
      </c>
      <c r="P1488">
        <f>IF(OR($G1488="",Sync!$W1485=""),"",Sync!$W1485)</f>
        <v/>
      </c>
      <c r="Q1488">
        <f>IF(OR($G1488="",Sync!$AE1485=""),"",Sync!$AE1485)</f>
        <v/>
      </c>
      <c r="R1488">
        <f>IF($G1488="","",IF(Sync!$V1485="","0000",IF(AND(ISNUMBER(Sync!$V1485),Sync!$V1485&gt;=0,Sync!$V1485&lt;1),RIGHT("00"&amp;HOUR(Sync!$V1485),2)&amp;RIGHT("00"&amp;MINUTE(Sync!$V1485),2),IFERROR(RIGHT("00"&amp;VALUE(LEFT(Sync!$V1485,FIND(":",Sync!$V1485)-1)),2)&amp;RIGHT("00"&amp;VALUE(MID(Sync!$V1485,FIND(":",Sync!$V1485)+1,2)),2),"0000"))))</f>
        <v/>
      </c>
    </row>
    <row r="1489">
      <c r="A1489">
        <f>IF(Sync!$U1486="","",Sync!$U1486)</f>
        <v/>
      </c>
      <c r="B1489">
        <f>IF($A1489="","",IF(ISNUMBER($A1489),IF(AND($A1489&gt;=10000101,$A1489&lt;=99991231),INT($A1489/10000),""),IFERROR(VALUE(TRIM(LEFT($A1489,FIND("/",$A1489)-1))),"")))</f>
        <v/>
      </c>
      <c r="C1489">
        <f>IF(OR($A1489="",$B1489=""),"",IF(ISNUMBER($A1489),INT(MOD($A1489,10000)/100),IFERROR(VALUE(TRIM(LEFT(MID($A1489,FIND("/",$A1489)+1,20),FIND("/",MID($A1489,FIND("/",$A1489)+1,20))-1))),"")))</f>
        <v/>
      </c>
      <c r="D1489">
        <f>IF(OR($A1489="",$B1489=""),"",IF(ISNUMBER($A1489),MOD($A1489,100),IFERROR(VALUE(TRIM(MID(MID($A1489,FIND("/",$A1489)+1,20),FIND("/",MID($A1489,FIND("/",$A1489)+1,20))+1,20))),"")))</f>
        <v/>
      </c>
      <c r="E1489">
        <f>IF($A1489="","",IF(OR($B1489="",$C1489="",$D1489="",$B1489&lt;1300,$B1489&gt;1500,$C1489&lt;1,$C1489&gt;12,$D1489&lt;1,$D1489&gt;31),"نامعتبر",RIGHT("0000"&amp;$B1489,4)&amp;"/"&amp;RIGHT("00"&amp;$C1489,2)&amp;"/"&amp;RIGHT("00"&amp;$D1489,2)))</f>
        <v/>
      </c>
      <c r="F1489">
        <f>IF(OR($E1489="",$E1489="نامعتبر"),"",LEFT($E1489,4)&amp;"/"&amp;MID($E1489,6,2))</f>
        <v/>
      </c>
      <c r="G1489">
        <f>IF(OR($E1489="",$E1489="نامعتبر",Sync!$Y1486=""),"",Sync!$Y1486)</f>
        <v/>
      </c>
      <c r="H1489">
        <f>IF($G1489="","",IF(Sync!$X1486="","",Sync!$X1486))</f>
        <v/>
      </c>
      <c r="I1489">
        <f>IF($G1489="","",IFERROR(VLOOKUP(Sync!$X1486,OpTbl,3,0),""))</f>
        <v/>
      </c>
      <c r="J1489">
        <f>IF(OR($G1489="",Sync!$Z1486=""),"",Sync!$Z1486)</f>
        <v/>
      </c>
      <c r="K1489">
        <f>IF(OR($G1489="",Sync!$AA1486=""),"",Sync!$AA1486)</f>
        <v/>
      </c>
      <c r="L1489">
        <f>IF($G1489="",0,IF(Sync!$AB1486="",0,Sync!$AB1486))</f>
        <v/>
      </c>
      <c r="M1489">
        <f>IF($G1489="",0,IF(Sync!$AC1486="",0,Sync!$AC1486))</f>
        <v/>
      </c>
      <c r="N1489">
        <f>IF($G1489="","",IF($H1489="مرجوعی خرید",-1,1)*($L1489-$M1489*IFERROR(VLOOKUP("P01",ParamTbl,3,0),1.5))*(1-IF($I1489="خرید",IFERROR(VLOOKUP("P02",ParamTbl,3,0),1),0)/100))</f>
        <v/>
      </c>
      <c r="O1489">
        <f>IF($G1489="",0,IF($H1489="مرجوعی خرید",-1,1)*IF(Sync!$AD1486="",0,Sync!$AD1486))</f>
        <v/>
      </c>
      <c r="P1489">
        <f>IF(OR($G1489="",Sync!$W1486=""),"",Sync!$W1486)</f>
        <v/>
      </c>
      <c r="Q1489">
        <f>IF(OR($G1489="",Sync!$AE1486=""),"",Sync!$AE1486)</f>
        <v/>
      </c>
      <c r="R1489">
        <f>IF($G1489="","",IF(Sync!$V1486="","0000",IF(AND(ISNUMBER(Sync!$V1486),Sync!$V1486&gt;=0,Sync!$V1486&lt;1),RIGHT("00"&amp;HOUR(Sync!$V1486),2)&amp;RIGHT("00"&amp;MINUTE(Sync!$V1486),2),IFERROR(RIGHT("00"&amp;VALUE(LEFT(Sync!$V1486,FIND(":",Sync!$V1486)-1)),2)&amp;RIGHT("00"&amp;VALUE(MID(Sync!$V1486,FIND(":",Sync!$V1486)+1,2)),2),"0000"))))</f>
        <v/>
      </c>
    </row>
    <row r="1490">
      <c r="A1490">
        <f>IF(Sync!$U1487="","",Sync!$U1487)</f>
        <v/>
      </c>
      <c r="B1490">
        <f>IF($A1490="","",IF(ISNUMBER($A1490),IF(AND($A1490&gt;=10000101,$A1490&lt;=99991231),INT($A1490/10000),""),IFERROR(VALUE(TRIM(LEFT($A1490,FIND("/",$A1490)-1))),"")))</f>
        <v/>
      </c>
      <c r="C1490">
        <f>IF(OR($A1490="",$B1490=""),"",IF(ISNUMBER($A1490),INT(MOD($A1490,10000)/100),IFERROR(VALUE(TRIM(LEFT(MID($A1490,FIND("/",$A1490)+1,20),FIND("/",MID($A1490,FIND("/",$A1490)+1,20))-1))),"")))</f>
        <v/>
      </c>
      <c r="D1490">
        <f>IF(OR($A1490="",$B1490=""),"",IF(ISNUMBER($A1490),MOD($A1490,100),IFERROR(VALUE(TRIM(MID(MID($A1490,FIND("/",$A1490)+1,20),FIND("/",MID($A1490,FIND("/",$A1490)+1,20))+1,20))),"")))</f>
        <v/>
      </c>
      <c r="E1490">
        <f>IF($A1490="","",IF(OR($B1490="",$C1490="",$D1490="",$B1490&lt;1300,$B1490&gt;1500,$C1490&lt;1,$C1490&gt;12,$D1490&lt;1,$D1490&gt;31),"نامعتبر",RIGHT("0000"&amp;$B1490,4)&amp;"/"&amp;RIGHT("00"&amp;$C1490,2)&amp;"/"&amp;RIGHT("00"&amp;$D1490,2)))</f>
        <v/>
      </c>
      <c r="F1490">
        <f>IF(OR($E1490="",$E1490="نامعتبر"),"",LEFT($E1490,4)&amp;"/"&amp;MID($E1490,6,2))</f>
        <v/>
      </c>
      <c r="G1490">
        <f>IF(OR($E1490="",$E1490="نامعتبر",Sync!$Y1487=""),"",Sync!$Y1487)</f>
        <v/>
      </c>
      <c r="H1490">
        <f>IF($G1490="","",IF(Sync!$X1487="","",Sync!$X1487))</f>
        <v/>
      </c>
      <c r="I1490">
        <f>IF($G1490="","",IFERROR(VLOOKUP(Sync!$X1487,OpTbl,3,0),""))</f>
        <v/>
      </c>
      <c r="J1490">
        <f>IF(OR($G1490="",Sync!$Z1487=""),"",Sync!$Z1487)</f>
        <v/>
      </c>
      <c r="K1490">
        <f>IF(OR($G1490="",Sync!$AA1487=""),"",Sync!$AA1487)</f>
        <v/>
      </c>
      <c r="L1490">
        <f>IF($G1490="",0,IF(Sync!$AB1487="",0,Sync!$AB1487))</f>
        <v/>
      </c>
      <c r="M1490">
        <f>IF($G1490="",0,IF(Sync!$AC1487="",0,Sync!$AC1487))</f>
        <v/>
      </c>
      <c r="N1490">
        <f>IF($G1490="","",IF($H1490="مرجوعی خرید",-1,1)*($L1490-$M1490*IFERROR(VLOOKUP("P01",ParamTbl,3,0),1.5))*(1-IF($I1490="خرید",IFERROR(VLOOKUP("P02",ParamTbl,3,0),1),0)/100))</f>
        <v/>
      </c>
      <c r="O1490">
        <f>IF($G1490="",0,IF($H1490="مرجوعی خرید",-1,1)*IF(Sync!$AD1487="",0,Sync!$AD1487))</f>
        <v/>
      </c>
      <c r="P1490">
        <f>IF(OR($G1490="",Sync!$W1487=""),"",Sync!$W1487)</f>
        <v/>
      </c>
      <c r="Q1490">
        <f>IF(OR($G1490="",Sync!$AE1487=""),"",Sync!$AE1487)</f>
        <v/>
      </c>
      <c r="R1490">
        <f>IF($G1490="","",IF(Sync!$V1487="","0000",IF(AND(ISNUMBER(Sync!$V1487),Sync!$V1487&gt;=0,Sync!$V1487&lt;1),RIGHT("00"&amp;HOUR(Sync!$V1487),2)&amp;RIGHT("00"&amp;MINUTE(Sync!$V1487),2),IFERROR(RIGHT("00"&amp;VALUE(LEFT(Sync!$V1487,FIND(":",Sync!$V1487)-1)),2)&amp;RIGHT("00"&amp;VALUE(MID(Sync!$V1487,FIND(":",Sync!$V1487)+1,2)),2),"0000"))))</f>
        <v/>
      </c>
    </row>
    <row r="1491">
      <c r="A1491">
        <f>IF(Sync!$U1488="","",Sync!$U1488)</f>
        <v/>
      </c>
      <c r="B1491">
        <f>IF($A1491="","",IF(ISNUMBER($A1491),IF(AND($A1491&gt;=10000101,$A1491&lt;=99991231),INT($A1491/10000),""),IFERROR(VALUE(TRIM(LEFT($A1491,FIND("/",$A1491)-1))),"")))</f>
        <v/>
      </c>
      <c r="C1491">
        <f>IF(OR($A1491="",$B1491=""),"",IF(ISNUMBER($A1491),INT(MOD($A1491,10000)/100),IFERROR(VALUE(TRIM(LEFT(MID($A1491,FIND("/",$A1491)+1,20),FIND("/",MID($A1491,FIND("/",$A1491)+1,20))-1))),"")))</f>
        <v/>
      </c>
      <c r="D1491">
        <f>IF(OR($A1491="",$B1491=""),"",IF(ISNUMBER($A1491),MOD($A1491,100),IFERROR(VALUE(TRIM(MID(MID($A1491,FIND("/",$A1491)+1,20),FIND("/",MID($A1491,FIND("/",$A1491)+1,20))+1,20))),"")))</f>
        <v/>
      </c>
      <c r="E1491">
        <f>IF($A1491="","",IF(OR($B1491="",$C1491="",$D1491="",$B1491&lt;1300,$B1491&gt;1500,$C1491&lt;1,$C1491&gt;12,$D1491&lt;1,$D1491&gt;31),"نامعتبر",RIGHT("0000"&amp;$B1491,4)&amp;"/"&amp;RIGHT("00"&amp;$C1491,2)&amp;"/"&amp;RIGHT("00"&amp;$D1491,2)))</f>
        <v/>
      </c>
      <c r="F1491">
        <f>IF(OR($E1491="",$E1491="نامعتبر"),"",LEFT($E1491,4)&amp;"/"&amp;MID($E1491,6,2))</f>
        <v/>
      </c>
      <c r="G1491">
        <f>IF(OR($E1491="",$E1491="نامعتبر",Sync!$Y1488=""),"",Sync!$Y1488)</f>
        <v/>
      </c>
      <c r="H1491">
        <f>IF($G1491="","",IF(Sync!$X1488="","",Sync!$X1488))</f>
        <v/>
      </c>
      <c r="I1491">
        <f>IF($G1491="","",IFERROR(VLOOKUP(Sync!$X1488,OpTbl,3,0),""))</f>
        <v/>
      </c>
      <c r="J1491">
        <f>IF(OR($G1491="",Sync!$Z1488=""),"",Sync!$Z1488)</f>
        <v/>
      </c>
      <c r="K1491">
        <f>IF(OR($G1491="",Sync!$AA1488=""),"",Sync!$AA1488)</f>
        <v/>
      </c>
      <c r="L1491">
        <f>IF($G1491="",0,IF(Sync!$AB1488="",0,Sync!$AB1488))</f>
        <v/>
      </c>
      <c r="M1491">
        <f>IF($G1491="",0,IF(Sync!$AC1488="",0,Sync!$AC1488))</f>
        <v/>
      </c>
      <c r="N1491">
        <f>IF($G1491="","",IF($H1491="مرجوعی خرید",-1,1)*($L1491-$M1491*IFERROR(VLOOKUP("P01",ParamTbl,3,0),1.5))*(1-IF($I1491="خرید",IFERROR(VLOOKUP("P02",ParamTbl,3,0),1),0)/100))</f>
        <v/>
      </c>
      <c r="O1491">
        <f>IF($G1491="",0,IF($H1491="مرجوعی خرید",-1,1)*IF(Sync!$AD1488="",0,Sync!$AD1488))</f>
        <v/>
      </c>
      <c r="P1491">
        <f>IF(OR($G1491="",Sync!$W1488=""),"",Sync!$W1488)</f>
        <v/>
      </c>
      <c r="Q1491">
        <f>IF(OR($G1491="",Sync!$AE1488=""),"",Sync!$AE1488)</f>
        <v/>
      </c>
      <c r="R1491">
        <f>IF($G1491="","",IF(Sync!$V1488="","0000",IF(AND(ISNUMBER(Sync!$V1488),Sync!$V1488&gt;=0,Sync!$V1488&lt;1),RIGHT("00"&amp;HOUR(Sync!$V1488),2)&amp;RIGHT("00"&amp;MINUTE(Sync!$V1488),2),IFERROR(RIGHT("00"&amp;VALUE(LEFT(Sync!$V1488,FIND(":",Sync!$V1488)-1)),2)&amp;RIGHT("00"&amp;VALUE(MID(Sync!$V1488,FIND(":",Sync!$V1488)+1,2)),2),"0000"))))</f>
        <v/>
      </c>
    </row>
    <row r="1492">
      <c r="A1492">
        <f>IF(Sync!$U1489="","",Sync!$U1489)</f>
        <v/>
      </c>
      <c r="B1492">
        <f>IF($A1492="","",IF(ISNUMBER($A1492),IF(AND($A1492&gt;=10000101,$A1492&lt;=99991231),INT($A1492/10000),""),IFERROR(VALUE(TRIM(LEFT($A1492,FIND("/",$A1492)-1))),"")))</f>
        <v/>
      </c>
      <c r="C1492">
        <f>IF(OR($A1492="",$B1492=""),"",IF(ISNUMBER($A1492),INT(MOD($A1492,10000)/100),IFERROR(VALUE(TRIM(LEFT(MID($A1492,FIND("/",$A1492)+1,20),FIND("/",MID($A1492,FIND("/",$A1492)+1,20))-1))),"")))</f>
        <v/>
      </c>
      <c r="D1492">
        <f>IF(OR($A1492="",$B1492=""),"",IF(ISNUMBER($A1492),MOD($A1492,100),IFERROR(VALUE(TRIM(MID(MID($A1492,FIND("/",$A1492)+1,20),FIND("/",MID($A1492,FIND("/",$A1492)+1,20))+1,20))),"")))</f>
        <v/>
      </c>
      <c r="E1492">
        <f>IF($A1492="","",IF(OR($B1492="",$C1492="",$D1492="",$B1492&lt;1300,$B1492&gt;1500,$C1492&lt;1,$C1492&gt;12,$D1492&lt;1,$D1492&gt;31),"نامعتبر",RIGHT("0000"&amp;$B1492,4)&amp;"/"&amp;RIGHT("00"&amp;$C1492,2)&amp;"/"&amp;RIGHT("00"&amp;$D1492,2)))</f>
        <v/>
      </c>
      <c r="F1492">
        <f>IF(OR($E1492="",$E1492="نامعتبر"),"",LEFT($E1492,4)&amp;"/"&amp;MID($E1492,6,2))</f>
        <v/>
      </c>
      <c r="G1492">
        <f>IF(OR($E1492="",$E1492="نامعتبر",Sync!$Y1489=""),"",Sync!$Y1489)</f>
        <v/>
      </c>
      <c r="H1492">
        <f>IF($G1492="","",IF(Sync!$X1489="","",Sync!$X1489))</f>
        <v/>
      </c>
      <c r="I1492">
        <f>IF($G1492="","",IFERROR(VLOOKUP(Sync!$X1489,OpTbl,3,0),""))</f>
        <v/>
      </c>
      <c r="J1492">
        <f>IF(OR($G1492="",Sync!$Z1489=""),"",Sync!$Z1489)</f>
        <v/>
      </c>
      <c r="K1492">
        <f>IF(OR($G1492="",Sync!$AA1489=""),"",Sync!$AA1489)</f>
        <v/>
      </c>
      <c r="L1492">
        <f>IF($G1492="",0,IF(Sync!$AB1489="",0,Sync!$AB1489))</f>
        <v/>
      </c>
      <c r="M1492">
        <f>IF($G1492="",0,IF(Sync!$AC1489="",0,Sync!$AC1489))</f>
        <v/>
      </c>
      <c r="N1492">
        <f>IF($G1492="","",IF($H1492="مرجوعی خرید",-1,1)*($L1492-$M1492*IFERROR(VLOOKUP("P01",ParamTbl,3,0),1.5))*(1-IF($I1492="خرید",IFERROR(VLOOKUP("P02",ParamTbl,3,0),1),0)/100))</f>
        <v/>
      </c>
      <c r="O1492">
        <f>IF($G1492="",0,IF($H1492="مرجوعی خرید",-1,1)*IF(Sync!$AD1489="",0,Sync!$AD1489))</f>
        <v/>
      </c>
      <c r="P1492">
        <f>IF(OR($G1492="",Sync!$W1489=""),"",Sync!$W1489)</f>
        <v/>
      </c>
      <c r="Q1492">
        <f>IF(OR($G1492="",Sync!$AE1489=""),"",Sync!$AE1489)</f>
        <v/>
      </c>
      <c r="R1492">
        <f>IF($G1492="","",IF(Sync!$V1489="","0000",IF(AND(ISNUMBER(Sync!$V1489),Sync!$V1489&gt;=0,Sync!$V1489&lt;1),RIGHT("00"&amp;HOUR(Sync!$V1489),2)&amp;RIGHT("00"&amp;MINUTE(Sync!$V1489),2),IFERROR(RIGHT("00"&amp;VALUE(LEFT(Sync!$V1489,FIND(":",Sync!$V1489)-1)),2)&amp;RIGHT("00"&amp;VALUE(MID(Sync!$V1489,FIND(":",Sync!$V1489)+1,2)),2),"0000"))))</f>
        <v/>
      </c>
    </row>
    <row r="1493">
      <c r="A1493">
        <f>IF(Sync!$U1490="","",Sync!$U1490)</f>
        <v/>
      </c>
      <c r="B1493">
        <f>IF($A1493="","",IF(ISNUMBER($A1493),IF(AND($A1493&gt;=10000101,$A1493&lt;=99991231),INT($A1493/10000),""),IFERROR(VALUE(TRIM(LEFT($A1493,FIND("/",$A1493)-1))),"")))</f>
        <v/>
      </c>
      <c r="C1493">
        <f>IF(OR($A1493="",$B1493=""),"",IF(ISNUMBER($A1493),INT(MOD($A1493,10000)/100),IFERROR(VALUE(TRIM(LEFT(MID($A1493,FIND("/",$A1493)+1,20),FIND("/",MID($A1493,FIND("/",$A1493)+1,20))-1))),"")))</f>
        <v/>
      </c>
      <c r="D1493">
        <f>IF(OR($A1493="",$B1493=""),"",IF(ISNUMBER($A1493),MOD($A1493,100),IFERROR(VALUE(TRIM(MID(MID($A1493,FIND("/",$A1493)+1,20),FIND("/",MID($A1493,FIND("/",$A1493)+1,20))+1,20))),"")))</f>
        <v/>
      </c>
      <c r="E1493">
        <f>IF($A1493="","",IF(OR($B1493="",$C1493="",$D1493="",$B1493&lt;1300,$B1493&gt;1500,$C1493&lt;1,$C1493&gt;12,$D1493&lt;1,$D1493&gt;31),"نامعتبر",RIGHT("0000"&amp;$B1493,4)&amp;"/"&amp;RIGHT("00"&amp;$C1493,2)&amp;"/"&amp;RIGHT("00"&amp;$D1493,2)))</f>
        <v/>
      </c>
      <c r="F1493">
        <f>IF(OR($E1493="",$E1493="نامعتبر"),"",LEFT($E1493,4)&amp;"/"&amp;MID($E1493,6,2))</f>
        <v/>
      </c>
      <c r="G1493">
        <f>IF(OR($E1493="",$E1493="نامعتبر",Sync!$Y1490=""),"",Sync!$Y1490)</f>
        <v/>
      </c>
      <c r="H1493">
        <f>IF($G1493="","",IF(Sync!$X1490="","",Sync!$X1490))</f>
        <v/>
      </c>
      <c r="I1493">
        <f>IF($G1493="","",IFERROR(VLOOKUP(Sync!$X1490,OpTbl,3,0),""))</f>
        <v/>
      </c>
      <c r="J1493">
        <f>IF(OR($G1493="",Sync!$Z1490=""),"",Sync!$Z1490)</f>
        <v/>
      </c>
      <c r="K1493">
        <f>IF(OR($G1493="",Sync!$AA1490=""),"",Sync!$AA1490)</f>
        <v/>
      </c>
      <c r="L1493">
        <f>IF($G1493="",0,IF(Sync!$AB1490="",0,Sync!$AB1490))</f>
        <v/>
      </c>
      <c r="M1493">
        <f>IF($G1493="",0,IF(Sync!$AC1490="",0,Sync!$AC1490))</f>
        <v/>
      </c>
      <c r="N1493">
        <f>IF($G1493="","",IF($H1493="مرجوعی خرید",-1,1)*($L1493-$M1493*IFERROR(VLOOKUP("P01",ParamTbl,3,0),1.5))*(1-IF($I1493="خرید",IFERROR(VLOOKUP("P02",ParamTbl,3,0),1),0)/100))</f>
        <v/>
      </c>
      <c r="O1493">
        <f>IF($G1493="",0,IF($H1493="مرجوعی خرید",-1,1)*IF(Sync!$AD1490="",0,Sync!$AD1490))</f>
        <v/>
      </c>
      <c r="P1493">
        <f>IF(OR($G1493="",Sync!$W1490=""),"",Sync!$W1490)</f>
        <v/>
      </c>
      <c r="Q1493">
        <f>IF(OR($G1493="",Sync!$AE1490=""),"",Sync!$AE1490)</f>
        <v/>
      </c>
      <c r="R1493">
        <f>IF($G1493="","",IF(Sync!$V1490="","0000",IF(AND(ISNUMBER(Sync!$V1490),Sync!$V1490&gt;=0,Sync!$V1490&lt;1),RIGHT("00"&amp;HOUR(Sync!$V1490),2)&amp;RIGHT("00"&amp;MINUTE(Sync!$V1490),2),IFERROR(RIGHT("00"&amp;VALUE(LEFT(Sync!$V1490,FIND(":",Sync!$V1490)-1)),2)&amp;RIGHT("00"&amp;VALUE(MID(Sync!$V1490,FIND(":",Sync!$V1490)+1,2)),2),"0000"))))</f>
        <v/>
      </c>
    </row>
    <row r="1494">
      <c r="A1494">
        <f>IF(Sync!$U1491="","",Sync!$U1491)</f>
        <v/>
      </c>
      <c r="B1494">
        <f>IF($A1494="","",IF(ISNUMBER($A1494),IF(AND($A1494&gt;=10000101,$A1494&lt;=99991231),INT($A1494/10000),""),IFERROR(VALUE(TRIM(LEFT($A1494,FIND("/",$A1494)-1))),"")))</f>
        <v/>
      </c>
      <c r="C1494">
        <f>IF(OR($A1494="",$B1494=""),"",IF(ISNUMBER($A1494),INT(MOD($A1494,10000)/100),IFERROR(VALUE(TRIM(LEFT(MID($A1494,FIND("/",$A1494)+1,20),FIND("/",MID($A1494,FIND("/",$A1494)+1,20))-1))),"")))</f>
        <v/>
      </c>
      <c r="D1494">
        <f>IF(OR($A1494="",$B1494=""),"",IF(ISNUMBER($A1494),MOD($A1494,100),IFERROR(VALUE(TRIM(MID(MID($A1494,FIND("/",$A1494)+1,20),FIND("/",MID($A1494,FIND("/",$A1494)+1,20))+1,20))),"")))</f>
        <v/>
      </c>
      <c r="E1494">
        <f>IF($A1494="","",IF(OR($B1494="",$C1494="",$D1494="",$B1494&lt;1300,$B1494&gt;1500,$C1494&lt;1,$C1494&gt;12,$D1494&lt;1,$D1494&gt;31),"نامعتبر",RIGHT("0000"&amp;$B1494,4)&amp;"/"&amp;RIGHT("00"&amp;$C1494,2)&amp;"/"&amp;RIGHT("00"&amp;$D1494,2)))</f>
        <v/>
      </c>
      <c r="F1494">
        <f>IF(OR($E1494="",$E1494="نامعتبر"),"",LEFT($E1494,4)&amp;"/"&amp;MID($E1494,6,2))</f>
        <v/>
      </c>
      <c r="G1494">
        <f>IF(OR($E1494="",$E1494="نامعتبر",Sync!$Y1491=""),"",Sync!$Y1491)</f>
        <v/>
      </c>
      <c r="H1494">
        <f>IF($G1494="","",IF(Sync!$X1491="","",Sync!$X1491))</f>
        <v/>
      </c>
      <c r="I1494">
        <f>IF($G1494="","",IFERROR(VLOOKUP(Sync!$X1491,OpTbl,3,0),""))</f>
        <v/>
      </c>
      <c r="J1494">
        <f>IF(OR($G1494="",Sync!$Z1491=""),"",Sync!$Z1491)</f>
        <v/>
      </c>
      <c r="K1494">
        <f>IF(OR($G1494="",Sync!$AA1491=""),"",Sync!$AA1491)</f>
        <v/>
      </c>
      <c r="L1494">
        <f>IF($G1494="",0,IF(Sync!$AB1491="",0,Sync!$AB1491))</f>
        <v/>
      </c>
      <c r="M1494">
        <f>IF($G1494="",0,IF(Sync!$AC1491="",0,Sync!$AC1491))</f>
        <v/>
      </c>
      <c r="N1494">
        <f>IF($G1494="","",IF($H1494="مرجوعی خرید",-1,1)*($L1494-$M1494*IFERROR(VLOOKUP("P01",ParamTbl,3,0),1.5))*(1-IF($I1494="خرید",IFERROR(VLOOKUP("P02",ParamTbl,3,0),1),0)/100))</f>
        <v/>
      </c>
      <c r="O1494">
        <f>IF($G1494="",0,IF($H1494="مرجوعی خرید",-1,1)*IF(Sync!$AD1491="",0,Sync!$AD1491))</f>
        <v/>
      </c>
      <c r="P1494">
        <f>IF(OR($G1494="",Sync!$W1491=""),"",Sync!$W1491)</f>
        <v/>
      </c>
      <c r="Q1494">
        <f>IF(OR($G1494="",Sync!$AE1491=""),"",Sync!$AE1491)</f>
        <v/>
      </c>
      <c r="R1494">
        <f>IF($G1494="","",IF(Sync!$V1491="","0000",IF(AND(ISNUMBER(Sync!$V1491),Sync!$V1491&gt;=0,Sync!$V1491&lt;1),RIGHT("00"&amp;HOUR(Sync!$V1491),2)&amp;RIGHT("00"&amp;MINUTE(Sync!$V1491),2),IFERROR(RIGHT("00"&amp;VALUE(LEFT(Sync!$V1491,FIND(":",Sync!$V1491)-1)),2)&amp;RIGHT("00"&amp;VALUE(MID(Sync!$V1491,FIND(":",Sync!$V1491)+1,2)),2),"0000"))))</f>
        <v/>
      </c>
    </row>
    <row r="1495">
      <c r="A1495">
        <f>IF(Sync!$U1492="","",Sync!$U1492)</f>
        <v/>
      </c>
      <c r="B1495">
        <f>IF($A1495="","",IF(ISNUMBER($A1495),IF(AND($A1495&gt;=10000101,$A1495&lt;=99991231),INT($A1495/10000),""),IFERROR(VALUE(TRIM(LEFT($A1495,FIND("/",$A1495)-1))),"")))</f>
        <v/>
      </c>
      <c r="C1495">
        <f>IF(OR($A1495="",$B1495=""),"",IF(ISNUMBER($A1495),INT(MOD($A1495,10000)/100),IFERROR(VALUE(TRIM(LEFT(MID($A1495,FIND("/",$A1495)+1,20),FIND("/",MID($A1495,FIND("/",$A1495)+1,20))-1))),"")))</f>
        <v/>
      </c>
      <c r="D1495">
        <f>IF(OR($A1495="",$B1495=""),"",IF(ISNUMBER($A1495),MOD($A1495,100),IFERROR(VALUE(TRIM(MID(MID($A1495,FIND("/",$A1495)+1,20),FIND("/",MID($A1495,FIND("/",$A1495)+1,20))+1,20))),"")))</f>
        <v/>
      </c>
      <c r="E1495">
        <f>IF($A1495="","",IF(OR($B1495="",$C1495="",$D1495="",$B1495&lt;1300,$B1495&gt;1500,$C1495&lt;1,$C1495&gt;12,$D1495&lt;1,$D1495&gt;31),"نامعتبر",RIGHT("0000"&amp;$B1495,4)&amp;"/"&amp;RIGHT("00"&amp;$C1495,2)&amp;"/"&amp;RIGHT("00"&amp;$D1495,2)))</f>
        <v/>
      </c>
      <c r="F1495">
        <f>IF(OR($E1495="",$E1495="نامعتبر"),"",LEFT($E1495,4)&amp;"/"&amp;MID($E1495,6,2))</f>
        <v/>
      </c>
      <c r="G1495">
        <f>IF(OR($E1495="",$E1495="نامعتبر",Sync!$Y1492=""),"",Sync!$Y1492)</f>
        <v/>
      </c>
      <c r="H1495">
        <f>IF($G1495="","",IF(Sync!$X1492="","",Sync!$X1492))</f>
        <v/>
      </c>
      <c r="I1495">
        <f>IF($G1495="","",IFERROR(VLOOKUP(Sync!$X1492,OpTbl,3,0),""))</f>
        <v/>
      </c>
      <c r="J1495">
        <f>IF(OR($G1495="",Sync!$Z1492=""),"",Sync!$Z1492)</f>
        <v/>
      </c>
      <c r="K1495">
        <f>IF(OR($G1495="",Sync!$AA1492=""),"",Sync!$AA1492)</f>
        <v/>
      </c>
      <c r="L1495">
        <f>IF($G1495="",0,IF(Sync!$AB1492="",0,Sync!$AB1492))</f>
        <v/>
      </c>
      <c r="M1495">
        <f>IF($G1495="",0,IF(Sync!$AC1492="",0,Sync!$AC1492))</f>
        <v/>
      </c>
      <c r="N1495">
        <f>IF($G1495="","",IF($H1495="مرجوعی خرید",-1,1)*($L1495-$M1495*IFERROR(VLOOKUP("P01",ParamTbl,3,0),1.5))*(1-IF($I1495="خرید",IFERROR(VLOOKUP("P02",ParamTbl,3,0),1),0)/100))</f>
        <v/>
      </c>
      <c r="O1495">
        <f>IF($G1495="",0,IF($H1495="مرجوعی خرید",-1,1)*IF(Sync!$AD1492="",0,Sync!$AD1492))</f>
        <v/>
      </c>
      <c r="P1495">
        <f>IF(OR($G1495="",Sync!$W1492=""),"",Sync!$W1492)</f>
        <v/>
      </c>
      <c r="Q1495">
        <f>IF(OR($G1495="",Sync!$AE1492=""),"",Sync!$AE1492)</f>
        <v/>
      </c>
      <c r="R1495">
        <f>IF($G1495="","",IF(Sync!$V1492="","0000",IF(AND(ISNUMBER(Sync!$V1492),Sync!$V1492&gt;=0,Sync!$V1492&lt;1),RIGHT("00"&amp;HOUR(Sync!$V1492),2)&amp;RIGHT("00"&amp;MINUTE(Sync!$V1492),2),IFERROR(RIGHT("00"&amp;VALUE(LEFT(Sync!$V1492,FIND(":",Sync!$V1492)-1)),2)&amp;RIGHT("00"&amp;VALUE(MID(Sync!$V1492,FIND(":",Sync!$V1492)+1,2)),2),"0000"))))</f>
        <v/>
      </c>
    </row>
    <row r="1496">
      <c r="A1496">
        <f>IF(Sync!$U1493="","",Sync!$U1493)</f>
        <v/>
      </c>
      <c r="B1496">
        <f>IF($A1496="","",IF(ISNUMBER($A1496),IF(AND($A1496&gt;=10000101,$A1496&lt;=99991231),INT($A1496/10000),""),IFERROR(VALUE(TRIM(LEFT($A1496,FIND("/",$A1496)-1))),"")))</f>
        <v/>
      </c>
      <c r="C1496">
        <f>IF(OR($A1496="",$B1496=""),"",IF(ISNUMBER($A1496),INT(MOD($A1496,10000)/100),IFERROR(VALUE(TRIM(LEFT(MID($A1496,FIND("/",$A1496)+1,20),FIND("/",MID($A1496,FIND("/",$A1496)+1,20))-1))),"")))</f>
        <v/>
      </c>
      <c r="D1496">
        <f>IF(OR($A1496="",$B1496=""),"",IF(ISNUMBER($A1496),MOD($A1496,100),IFERROR(VALUE(TRIM(MID(MID($A1496,FIND("/",$A1496)+1,20),FIND("/",MID($A1496,FIND("/",$A1496)+1,20))+1,20))),"")))</f>
        <v/>
      </c>
      <c r="E1496">
        <f>IF($A1496="","",IF(OR($B1496="",$C1496="",$D1496="",$B1496&lt;1300,$B1496&gt;1500,$C1496&lt;1,$C1496&gt;12,$D1496&lt;1,$D1496&gt;31),"نامعتبر",RIGHT("0000"&amp;$B1496,4)&amp;"/"&amp;RIGHT("00"&amp;$C1496,2)&amp;"/"&amp;RIGHT("00"&amp;$D1496,2)))</f>
        <v/>
      </c>
      <c r="F1496">
        <f>IF(OR($E1496="",$E1496="نامعتبر"),"",LEFT($E1496,4)&amp;"/"&amp;MID($E1496,6,2))</f>
        <v/>
      </c>
      <c r="G1496">
        <f>IF(OR($E1496="",$E1496="نامعتبر",Sync!$Y1493=""),"",Sync!$Y1493)</f>
        <v/>
      </c>
      <c r="H1496">
        <f>IF($G1496="","",IF(Sync!$X1493="","",Sync!$X1493))</f>
        <v/>
      </c>
      <c r="I1496">
        <f>IF($G1496="","",IFERROR(VLOOKUP(Sync!$X1493,OpTbl,3,0),""))</f>
        <v/>
      </c>
      <c r="J1496">
        <f>IF(OR($G1496="",Sync!$Z1493=""),"",Sync!$Z1493)</f>
        <v/>
      </c>
      <c r="K1496">
        <f>IF(OR($G1496="",Sync!$AA1493=""),"",Sync!$AA1493)</f>
        <v/>
      </c>
      <c r="L1496">
        <f>IF($G1496="",0,IF(Sync!$AB1493="",0,Sync!$AB1493))</f>
        <v/>
      </c>
      <c r="M1496">
        <f>IF($G1496="",0,IF(Sync!$AC1493="",0,Sync!$AC1493))</f>
        <v/>
      </c>
      <c r="N1496">
        <f>IF($G1496="","",IF($H1496="مرجوعی خرید",-1,1)*($L1496-$M1496*IFERROR(VLOOKUP("P01",ParamTbl,3,0),1.5))*(1-IF($I1496="خرید",IFERROR(VLOOKUP("P02",ParamTbl,3,0),1),0)/100))</f>
        <v/>
      </c>
      <c r="O1496">
        <f>IF($G1496="",0,IF($H1496="مرجوعی خرید",-1,1)*IF(Sync!$AD1493="",0,Sync!$AD1493))</f>
        <v/>
      </c>
      <c r="P1496">
        <f>IF(OR($G1496="",Sync!$W1493=""),"",Sync!$W1493)</f>
        <v/>
      </c>
      <c r="Q1496">
        <f>IF(OR($G1496="",Sync!$AE1493=""),"",Sync!$AE1493)</f>
        <v/>
      </c>
      <c r="R1496">
        <f>IF($G1496="","",IF(Sync!$V1493="","0000",IF(AND(ISNUMBER(Sync!$V1493),Sync!$V1493&gt;=0,Sync!$V1493&lt;1),RIGHT("00"&amp;HOUR(Sync!$V1493),2)&amp;RIGHT("00"&amp;MINUTE(Sync!$V1493),2),IFERROR(RIGHT("00"&amp;VALUE(LEFT(Sync!$V1493,FIND(":",Sync!$V1493)-1)),2)&amp;RIGHT("00"&amp;VALUE(MID(Sync!$V1493,FIND(":",Sync!$V1493)+1,2)),2),"0000"))))</f>
        <v/>
      </c>
    </row>
    <row r="1497">
      <c r="A1497">
        <f>IF(Sync!$U1494="","",Sync!$U1494)</f>
        <v/>
      </c>
      <c r="B1497">
        <f>IF($A1497="","",IF(ISNUMBER($A1497),IF(AND($A1497&gt;=10000101,$A1497&lt;=99991231),INT($A1497/10000),""),IFERROR(VALUE(TRIM(LEFT($A1497,FIND("/",$A1497)-1))),"")))</f>
        <v/>
      </c>
      <c r="C1497">
        <f>IF(OR($A1497="",$B1497=""),"",IF(ISNUMBER($A1497),INT(MOD($A1497,10000)/100),IFERROR(VALUE(TRIM(LEFT(MID($A1497,FIND("/",$A1497)+1,20),FIND("/",MID($A1497,FIND("/",$A1497)+1,20))-1))),"")))</f>
        <v/>
      </c>
      <c r="D1497">
        <f>IF(OR($A1497="",$B1497=""),"",IF(ISNUMBER($A1497),MOD($A1497,100),IFERROR(VALUE(TRIM(MID(MID($A1497,FIND("/",$A1497)+1,20),FIND("/",MID($A1497,FIND("/",$A1497)+1,20))+1,20))),"")))</f>
        <v/>
      </c>
      <c r="E1497">
        <f>IF($A1497="","",IF(OR($B1497="",$C1497="",$D1497="",$B1497&lt;1300,$B1497&gt;1500,$C1497&lt;1,$C1497&gt;12,$D1497&lt;1,$D1497&gt;31),"نامعتبر",RIGHT("0000"&amp;$B1497,4)&amp;"/"&amp;RIGHT("00"&amp;$C1497,2)&amp;"/"&amp;RIGHT("00"&amp;$D1497,2)))</f>
        <v/>
      </c>
      <c r="F1497">
        <f>IF(OR($E1497="",$E1497="نامعتبر"),"",LEFT($E1497,4)&amp;"/"&amp;MID($E1497,6,2))</f>
        <v/>
      </c>
      <c r="G1497">
        <f>IF(OR($E1497="",$E1497="نامعتبر",Sync!$Y1494=""),"",Sync!$Y1494)</f>
        <v/>
      </c>
      <c r="H1497">
        <f>IF($G1497="","",IF(Sync!$X1494="","",Sync!$X1494))</f>
        <v/>
      </c>
      <c r="I1497">
        <f>IF($G1497="","",IFERROR(VLOOKUP(Sync!$X1494,OpTbl,3,0),""))</f>
        <v/>
      </c>
      <c r="J1497">
        <f>IF(OR($G1497="",Sync!$Z1494=""),"",Sync!$Z1494)</f>
        <v/>
      </c>
      <c r="K1497">
        <f>IF(OR($G1497="",Sync!$AA1494=""),"",Sync!$AA1494)</f>
        <v/>
      </c>
      <c r="L1497">
        <f>IF($G1497="",0,IF(Sync!$AB1494="",0,Sync!$AB1494))</f>
        <v/>
      </c>
      <c r="M1497">
        <f>IF($G1497="",0,IF(Sync!$AC1494="",0,Sync!$AC1494))</f>
        <v/>
      </c>
      <c r="N1497">
        <f>IF($G1497="","",IF($H1497="مرجوعی خرید",-1,1)*($L1497-$M1497*IFERROR(VLOOKUP("P01",ParamTbl,3,0),1.5))*(1-IF($I1497="خرید",IFERROR(VLOOKUP("P02",ParamTbl,3,0),1),0)/100))</f>
        <v/>
      </c>
      <c r="O1497">
        <f>IF($G1497="",0,IF($H1497="مرجوعی خرید",-1,1)*IF(Sync!$AD1494="",0,Sync!$AD1494))</f>
        <v/>
      </c>
      <c r="P1497">
        <f>IF(OR($G1497="",Sync!$W1494=""),"",Sync!$W1494)</f>
        <v/>
      </c>
      <c r="Q1497">
        <f>IF(OR($G1497="",Sync!$AE1494=""),"",Sync!$AE1494)</f>
        <v/>
      </c>
      <c r="R1497">
        <f>IF($G1497="","",IF(Sync!$V1494="","0000",IF(AND(ISNUMBER(Sync!$V1494),Sync!$V1494&gt;=0,Sync!$V1494&lt;1),RIGHT("00"&amp;HOUR(Sync!$V1494),2)&amp;RIGHT("00"&amp;MINUTE(Sync!$V1494),2),IFERROR(RIGHT("00"&amp;VALUE(LEFT(Sync!$V1494,FIND(":",Sync!$V1494)-1)),2)&amp;RIGHT("00"&amp;VALUE(MID(Sync!$V1494,FIND(":",Sync!$V1494)+1,2)),2),"0000"))))</f>
        <v/>
      </c>
    </row>
    <row r="1498">
      <c r="A1498">
        <f>IF(Sync!$U1495="","",Sync!$U1495)</f>
        <v/>
      </c>
      <c r="B1498">
        <f>IF($A1498="","",IF(ISNUMBER($A1498),IF(AND($A1498&gt;=10000101,$A1498&lt;=99991231),INT($A1498/10000),""),IFERROR(VALUE(TRIM(LEFT($A1498,FIND("/",$A1498)-1))),"")))</f>
        <v/>
      </c>
      <c r="C1498">
        <f>IF(OR($A1498="",$B1498=""),"",IF(ISNUMBER($A1498),INT(MOD($A1498,10000)/100),IFERROR(VALUE(TRIM(LEFT(MID($A1498,FIND("/",$A1498)+1,20),FIND("/",MID($A1498,FIND("/",$A1498)+1,20))-1))),"")))</f>
        <v/>
      </c>
      <c r="D1498">
        <f>IF(OR($A1498="",$B1498=""),"",IF(ISNUMBER($A1498),MOD($A1498,100),IFERROR(VALUE(TRIM(MID(MID($A1498,FIND("/",$A1498)+1,20),FIND("/",MID($A1498,FIND("/",$A1498)+1,20))+1,20))),"")))</f>
        <v/>
      </c>
      <c r="E1498">
        <f>IF($A1498="","",IF(OR($B1498="",$C1498="",$D1498="",$B1498&lt;1300,$B1498&gt;1500,$C1498&lt;1,$C1498&gt;12,$D1498&lt;1,$D1498&gt;31),"نامعتبر",RIGHT("0000"&amp;$B1498,4)&amp;"/"&amp;RIGHT("00"&amp;$C1498,2)&amp;"/"&amp;RIGHT("00"&amp;$D1498,2)))</f>
        <v/>
      </c>
      <c r="F1498">
        <f>IF(OR($E1498="",$E1498="نامعتبر"),"",LEFT($E1498,4)&amp;"/"&amp;MID($E1498,6,2))</f>
        <v/>
      </c>
      <c r="G1498">
        <f>IF(OR($E1498="",$E1498="نامعتبر",Sync!$Y1495=""),"",Sync!$Y1495)</f>
        <v/>
      </c>
      <c r="H1498">
        <f>IF($G1498="","",IF(Sync!$X1495="","",Sync!$X1495))</f>
        <v/>
      </c>
      <c r="I1498">
        <f>IF($G1498="","",IFERROR(VLOOKUP(Sync!$X1495,OpTbl,3,0),""))</f>
        <v/>
      </c>
      <c r="J1498">
        <f>IF(OR($G1498="",Sync!$Z1495=""),"",Sync!$Z1495)</f>
        <v/>
      </c>
      <c r="K1498">
        <f>IF(OR($G1498="",Sync!$AA1495=""),"",Sync!$AA1495)</f>
        <v/>
      </c>
      <c r="L1498">
        <f>IF($G1498="",0,IF(Sync!$AB1495="",0,Sync!$AB1495))</f>
        <v/>
      </c>
      <c r="M1498">
        <f>IF($G1498="",0,IF(Sync!$AC1495="",0,Sync!$AC1495))</f>
        <v/>
      </c>
      <c r="N1498">
        <f>IF($G1498="","",IF($H1498="مرجوعی خرید",-1,1)*($L1498-$M1498*IFERROR(VLOOKUP("P01",ParamTbl,3,0),1.5))*(1-IF($I1498="خرید",IFERROR(VLOOKUP("P02",ParamTbl,3,0),1),0)/100))</f>
        <v/>
      </c>
      <c r="O1498">
        <f>IF($G1498="",0,IF($H1498="مرجوعی خرید",-1,1)*IF(Sync!$AD1495="",0,Sync!$AD1495))</f>
        <v/>
      </c>
      <c r="P1498">
        <f>IF(OR($G1498="",Sync!$W1495=""),"",Sync!$W1495)</f>
        <v/>
      </c>
      <c r="Q1498">
        <f>IF(OR($G1498="",Sync!$AE1495=""),"",Sync!$AE1495)</f>
        <v/>
      </c>
      <c r="R1498">
        <f>IF($G1498="","",IF(Sync!$V1495="","0000",IF(AND(ISNUMBER(Sync!$V1495),Sync!$V1495&gt;=0,Sync!$V1495&lt;1),RIGHT("00"&amp;HOUR(Sync!$V1495),2)&amp;RIGHT("00"&amp;MINUTE(Sync!$V1495),2),IFERROR(RIGHT("00"&amp;VALUE(LEFT(Sync!$V1495,FIND(":",Sync!$V1495)-1)),2)&amp;RIGHT("00"&amp;VALUE(MID(Sync!$V1495,FIND(":",Sync!$V1495)+1,2)),2),"0000"))))</f>
        <v/>
      </c>
    </row>
    <row r="1499">
      <c r="A1499">
        <f>IF(Sync!$U1496="","",Sync!$U1496)</f>
        <v/>
      </c>
      <c r="B1499">
        <f>IF($A1499="","",IF(ISNUMBER($A1499),IF(AND($A1499&gt;=10000101,$A1499&lt;=99991231),INT($A1499/10000),""),IFERROR(VALUE(TRIM(LEFT($A1499,FIND("/",$A1499)-1))),"")))</f>
        <v/>
      </c>
      <c r="C1499">
        <f>IF(OR($A1499="",$B1499=""),"",IF(ISNUMBER($A1499),INT(MOD($A1499,10000)/100),IFERROR(VALUE(TRIM(LEFT(MID($A1499,FIND("/",$A1499)+1,20),FIND("/",MID($A1499,FIND("/",$A1499)+1,20))-1))),"")))</f>
        <v/>
      </c>
      <c r="D1499">
        <f>IF(OR($A1499="",$B1499=""),"",IF(ISNUMBER($A1499),MOD($A1499,100),IFERROR(VALUE(TRIM(MID(MID($A1499,FIND("/",$A1499)+1,20),FIND("/",MID($A1499,FIND("/",$A1499)+1,20))+1,20))),"")))</f>
        <v/>
      </c>
      <c r="E1499">
        <f>IF($A1499="","",IF(OR($B1499="",$C1499="",$D1499="",$B1499&lt;1300,$B1499&gt;1500,$C1499&lt;1,$C1499&gt;12,$D1499&lt;1,$D1499&gt;31),"نامعتبر",RIGHT("0000"&amp;$B1499,4)&amp;"/"&amp;RIGHT("00"&amp;$C1499,2)&amp;"/"&amp;RIGHT("00"&amp;$D1499,2)))</f>
        <v/>
      </c>
      <c r="F1499">
        <f>IF(OR($E1499="",$E1499="نامعتبر"),"",LEFT($E1499,4)&amp;"/"&amp;MID($E1499,6,2))</f>
        <v/>
      </c>
      <c r="G1499">
        <f>IF(OR($E1499="",$E1499="نامعتبر",Sync!$Y1496=""),"",Sync!$Y1496)</f>
        <v/>
      </c>
      <c r="H1499">
        <f>IF($G1499="","",IF(Sync!$X1496="","",Sync!$X1496))</f>
        <v/>
      </c>
      <c r="I1499">
        <f>IF($G1499="","",IFERROR(VLOOKUP(Sync!$X1496,OpTbl,3,0),""))</f>
        <v/>
      </c>
      <c r="J1499">
        <f>IF(OR($G1499="",Sync!$Z1496=""),"",Sync!$Z1496)</f>
        <v/>
      </c>
      <c r="K1499">
        <f>IF(OR($G1499="",Sync!$AA1496=""),"",Sync!$AA1496)</f>
        <v/>
      </c>
      <c r="L1499">
        <f>IF($G1499="",0,IF(Sync!$AB1496="",0,Sync!$AB1496))</f>
        <v/>
      </c>
      <c r="M1499">
        <f>IF($G1499="",0,IF(Sync!$AC1496="",0,Sync!$AC1496))</f>
        <v/>
      </c>
      <c r="N1499">
        <f>IF($G1499="","",IF($H1499="مرجوعی خرید",-1,1)*($L1499-$M1499*IFERROR(VLOOKUP("P01",ParamTbl,3,0),1.5))*(1-IF($I1499="خرید",IFERROR(VLOOKUP("P02",ParamTbl,3,0),1),0)/100))</f>
        <v/>
      </c>
      <c r="O1499">
        <f>IF($G1499="",0,IF($H1499="مرجوعی خرید",-1,1)*IF(Sync!$AD1496="",0,Sync!$AD1496))</f>
        <v/>
      </c>
      <c r="P1499">
        <f>IF(OR($G1499="",Sync!$W1496=""),"",Sync!$W1496)</f>
        <v/>
      </c>
      <c r="Q1499">
        <f>IF(OR($G1499="",Sync!$AE1496=""),"",Sync!$AE1496)</f>
        <v/>
      </c>
      <c r="R1499">
        <f>IF($G1499="","",IF(Sync!$V1496="","0000",IF(AND(ISNUMBER(Sync!$V1496),Sync!$V1496&gt;=0,Sync!$V1496&lt;1),RIGHT("00"&amp;HOUR(Sync!$V1496),2)&amp;RIGHT("00"&amp;MINUTE(Sync!$V1496),2),IFERROR(RIGHT("00"&amp;VALUE(LEFT(Sync!$V1496,FIND(":",Sync!$V1496)-1)),2)&amp;RIGHT("00"&amp;VALUE(MID(Sync!$V1496,FIND(":",Sync!$V1496)+1,2)),2),"0000"))))</f>
        <v/>
      </c>
    </row>
    <row r="1500">
      <c r="A1500">
        <f>IF(Sync!$U1497="","",Sync!$U1497)</f>
        <v/>
      </c>
      <c r="B1500">
        <f>IF($A1500="","",IF(ISNUMBER($A1500),IF(AND($A1500&gt;=10000101,$A1500&lt;=99991231),INT($A1500/10000),""),IFERROR(VALUE(TRIM(LEFT($A1500,FIND("/",$A1500)-1))),"")))</f>
        <v/>
      </c>
      <c r="C1500">
        <f>IF(OR($A1500="",$B1500=""),"",IF(ISNUMBER($A1500),INT(MOD($A1500,10000)/100),IFERROR(VALUE(TRIM(LEFT(MID($A1500,FIND("/",$A1500)+1,20),FIND("/",MID($A1500,FIND("/",$A1500)+1,20))-1))),"")))</f>
        <v/>
      </c>
      <c r="D1500">
        <f>IF(OR($A1500="",$B1500=""),"",IF(ISNUMBER($A1500),MOD($A1500,100),IFERROR(VALUE(TRIM(MID(MID($A1500,FIND("/",$A1500)+1,20),FIND("/",MID($A1500,FIND("/",$A1500)+1,20))+1,20))),"")))</f>
        <v/>
      </c>
      <c r="E1500">
        <f>IF($A1500="","",IF(OR($B1500="",$C1500="",$D1500="",$B1500&lt;1300,$B1500&gt;1500,$C1500&lt;1,$C1500&gt;12,$D1500&lt;1,$D1500&gt;31),"نامعتبر",RIGHT("0000"&amp;$B1500,4)&amp;"/"&amp;RIGHT("00"&amp;$C1500,2)&amp;"/"&amp;RIGHT("00"&amp;$D1500,2)))</f>
        <v/>
      </c>
      <c r="F1500">
        <f>IF(OR($E1500="",$E1500="نامعتبر"),"",LEFT($E1500,4)&amp;"/"&amp;MID($E1500,6,2))</f>
        <v/>
      </c>
      <c r="G1500">
        <f>IF(OR($E1500="",$E1500="نامعتبر",Sync!$Y1497=""),"",Sync!$Y1497)</f>
        <v/>
      </c>
      <c r="H1500">
        <f>IF($G1500="","",IF(Sync!$X1497="","",Sync!$X1497))</f>
        <v/>
      </c>
      <c r="I1500">
        <f>IF($G1500="","",IFERROR(VLOOKUP(Sync!$X1497,OpTbl,3,0),""))</f>
        <v/>
      </c>
      <c r="J1500">
        <f>IF(OR($G1500="",Sync!$Z1497=""),"",Sync!$Z1497)</f>
        <v/>
      </c>
      <c r="K1500">
        <f>IF(OR($G1500="",Sync!$AA1497=""),"",Sync!$AA1497)</f>
        <v/>
      </c>
      <c r="L1500">
        <f>IF($G1500="",0,IF(Sync!$AB1497="",0,Sync!$AB1497))</f>
        <v/>
      </c>
      <c r="M1500">
        <f>IF($G1500="",0,IF(Sync!$AC1497="",0,Sync!$AC1497))</f>
        <v/>
      </c>
      <c r="N1500">
        <f>IF($G1500="","",IF($H1500="مرجوعی خرید",-1,1)*($L1500-$M1500*IFERROR(VLOOKUP("P01",ParamTbl,3,0),1.5))*(1-IF($I1500="خرید",IFERROR(VLOOKUP("P02",ParamTbl,3,0),1),0)/100))</f>
        <v/>
      </c>
      <c r="O1500">
        <f>IF($G1500="",0,IF($H1500="مرجوعی خرید",-1,1)*IF(Sync!$AD1497="",0,Sync!$AD1497))</f>
        <v/>
      </c>
      <c r="P1500">
        <f>IF(OR($G1500="",Sync!$W1497=""),"",Sync!$W1497)</f>
        <v/>
      </c>
      <c r="Q1500">
        <f>IF(OR($G1500="",Sync!$AE1497=""),"",Sync!$AE1497)</f>
        <v/>
      </c>
      <c r="R1500">
        <f>IF($G1500="","",IF(Sync!$V1497="","0000",IF(AND(ISNUMBER(Sync!$V1497),Sync!$V1497&gt;=0,Sync!$V1497&lt;1),RIGHT("00"&amp;HOUR(Sync!$V1497),2)&amp;RIGHT("00"&amp;MINUTE(Sync!$V1497),2),IFERROR(RIGHT("00"&amp;VALUE(LEFT(Sync!$V1497,FIND(":",Sync!$V1497)-1)),2)&amp;RIGHT("00"&amp;VALUE(MID(Sync!$V1497,FIND(":",Sync!$V1497)+1,2)),2),"0000"))))</f>
        <v/>
      </c>
    </row>
    <row r="1501">
      <c r="A1501">
        <f>IF(Sync!$U1498="","",Sync!$U1498)</f>
        <v/>
      </c>
      <c r="B1501">
        <f>IF($A1501="","",IF(ISNUMBER($A1501),IF(AND($A1501&gt;=10000101,$A1501&lt;=99991231),INT($A1501/10000),""),IFERROR(VALUE(TRIM(LEFT($A1501,FIND("/",$A1501)-1))),"")))</f>
        <v/>
      </c>
      <c r="C1501">
        <f>IF(OR($A1501="",$B1501=""),"",IF(ISNUMBER($A1501),INT(MOD($A1501,10000)/100),IFERROR(VALUE(TRIM(LEFT(MID($A1501,FIND("/",$A1501)+1,20),FIND("/",MID($A1501,FIND("/",$A1501)+1,20))-1))),"")))</f>
        <v/>
      </c>
      <c r="D1501">
        <f>IF(OR($A1501="",$B1501=""),"",IF(ISNUMBER($A1501),MOD($A1501,100),IFERROR(VALUE(TRIM(MID(MID($A1501,FIND("/",$A1501)+1,20),FIND("/",MID($A1501,FIND("/",$A1501)+1,20))+1,20))),"")))</f>
        <v/>
      </c>
      <c r="E1501">
        <f>IF($A1501="","",IF(OR($B1501="",$C1501="",$D1501="",$B1501&lt;1300,$B1501&gt;1500,$C1501&lt;1,$C1501&gt;12,$D1501&lt;1,$D1501&gt;31),"نامعتبر",RIGHT("0000"&amp;$B1501,4)&amp;"/"&amp;RIGHT("00"&amp;$C1501,2)&amp;"/"&amp;RIGHT("00"&amp;$D1501,2)))</f>
        <v/>
      </c>
      <c r="F1501">
        <f>IF(OR($E1501="",$E1501="نامعتبر"),"",LEFT($E1501,4)&amp;"/"&amp;MID($E1501,6,2))</f>
        <v/>
      </c>
      <c r="G1501">
        <f>IF(OR($E1501="",$E1501="نامعتبر",Sync!$Y1498=""),"",Sync!$Y1498)</f>
        <v/>
      </c>
      <c r="H1501">
        <f>IF($G1501="","",IF(Sync!$X1498="","",Sync!$X1498))</f>
        <v/>
      </c>
      <c r="I1501">
        <f>IF($G1501="","",IFERROR(VLOOKUP(Sync!$X1498,OpTbl,3,0),""))</f>
        <v/>
      </c>
      <c r="J1501">
        <f>IF(OR($G1501="",Sync!$Z1498=""),"",Sync!$Z1498)</f>
        <v/>
      </c>
      <c r="K1501">
        <f>IF(OR($G1501="",Sync!$AA1498=""),"",Sync!$AA1498)</f>
        <v/>
      </c>
      <c r="L1501">
        <f>IF($G1501="",0,IF(Sync!$AB1498="",0,Sync!$AB1498))</f>
        <v/>
      </c>
      <c r="M1501">
        <f>IF($G1501="",0,IF(Sync!$AC1498="",0,Sync!$AC1498))</f>
        <v/>
      </c>
      <c r="N1501">
        <f>IF($G1501="","",IF($H1501="مرجوعی خرید",-1,1)*($L1501-$M1501*IFERROR(VLOOKUP("P01",ParamTbl,3,0),1.5))*(1-IF($I1501="خرید",IFERROR(VLOOKUP("P02",ParamTbl,3,0),1),0)/100))</f>
        <v/>
      </c>
      <c r="O1501">
        <f>IF($G1501="",0,IF($H1501="مرجوعی خرید",-1,1)*IF(Sync!$AD1498="",0,Sync!$AD1498))</f>
        <v/>
      </c>
      <c r="P1501">
        <f>IF(OR($G1501="",Sync!$W1498=""),"",Sync!$W1498)</f>
        <v/>
      </c>
      <c r="Q1501">
        <f>IF(OR($G1501="",Sync!$AE1498=""),"",Sync!$AE1498)</f>
        <v/>
      </c>
      <c r="R1501">
        <f>IF($G1501="","",IF(Sync!$V1498="","0000",IF(AND(ISNUMBER(Sync!$V1498),Sync!$V1498&gt;=0,Sync!$V1498&lt;1),RIGHT("00"&amp;HOUR(Sync!$V1498),2)&amp;RIGHT("00"&amp;MINUTE(Sync!$V1498),2),IFERROR(RIGHT("00"&amp;VALUE(LEFT(Sync!$V1498,FIND(":",Sync!$V1498)-1)),2)&amp;RIGHT("00"&amp;VALUE(MID(Sync!$V1498,FIND(":",Sync!$V1498)+1,2)),2),"0000"))))</f>
        <v/>
      </c>
    </row>
    <row r="1502">
      <c r="A1502">
        <f>IF(Sync!$U1499="","",Sync!$U1499)</f>
        <v/>
      </c>
      <c r="B1502">
        <f>IF($A1502="","",IF(ISNUMBER($A1502),IF(AND($A1502&gt;=10000101,$A1502&lt;=99991231),INT($A1502/10000),""),IFERROR(VALUE(TRIM(LEFT($A1502,FIND("/",$A1502)-1))),"")))</f>
        <v/>
      </c>
      <c r="C1502">
        <f>IF(OR($A1502="",$B1502=""),"",IF(ISNUMBER($A1502),INT(MOD($A1502,10000)/100),IFERROR(VALUE(TRIM(LEFT(MID($A1502,FIND("/",$A1502)+1,20),FIND("/",MID($A1502,FIND("/",$A1502)+1,20))-1))),"")))</f>
        <v/>
      </c>
      <c r="D1502">
        <f>IF(OR($A1502="",$B1502=""),"",IF(ISNUMBER($A1502),MOD($A1502,100),IFERROR(VALUE(TRIM(MID(MID($A1502,FIND("/",$A1502)+1,20),FIND("/",MID($A1502,FIND("/",$A1502)+1,20))+1,20))),"")))</f>
        <v/>
      </c>
      <c r="E1502">
        <f>IF($A1502="","",IF(OR($B1502="",$C1502="",$D1502="",$B1502&lt;1300,$B1502&gt;1500,$C1502&lt;1,$C1502&gt;12,$D1502&lt;1,$D1502&gt;31),"نامعتبر",RIGHT("0000"&amp;$B1502,4)&amp;"/"&amp;RIGHT("00"&amp;$C1502,2)&amp;"/"&amp;RIGHT("00"&amp;$D1502,2)))</f>
        <v/>
      </c>
      <c r="F1502">
        <f>IF(OR($E1502="",$E1502="نامعتبر"),"",LEFT($E1502,4)&amp;"/"&amp;MID($E1502,6,2))</f>
        <v/>
      </c>
      <c r="G1502">
        <f>IF(OR($E1502="",$E1502="نامعتبر",Sync!$Y1499=""),"",Sync!$Y1499)</f>
        <v/>
      </c>
      <c r="H1502">
        <f>IF($G1502="","",IF(Sync!$X1499="","",Sync!$X1499))</f>
        <v/>
      </c>
      <c r="I1502">
        <f>IF($G1502="","",IFERROR(VLOOKUP(Sync!$X1499,OpTbl,3,0),""))</f>
        <v/>
      </c>
      <c r="J1502">
        <f>IF(OR($G1502="",Sync!$Z1499=""),"",Sync!$Z1499)</f>
        <v/>
      </c>
      <c r="K1502">
        <f>IF(OR($G1502="",Sync!$AA1499=""),"",Sync!$AA1499)</f>
        <v/>
      </c>
      <c r="L1502">
        <f>IF($G1502="",0,IF(Sync!$AB1499="",0,Sync!$AB1499))</f>
        <v/>
      </c>
      <c r="M1502">
        <f>IF($G1502="",0,IF(Sync!$AC1499="",0,Sync!$AC1499))</f>
        <v/>
      </c>
      <c r="N1502">
        <f>IF($G1502="","",IF($H1502="مرجوعی خرید",-1,1)*($L1502-$M1502*IFERROR(VLOOKUP("P01",ParamTbl,3,0),1.5))*(1-IF($I1502="خرید",IFERROR(VLOOKUP("P02",ParamTbl,3,0),1),0)/100))</f>
        <v/>
      </c>
      <c r="O1502">
        <f>IF($G1502="",0,IF($H1502="مرجوعی خرید",-1,1)*IF(Sync!$AD1499="",0,Sync!$AD1499))</f>
        <v/>
      </c>
      <c r="P1502">
        <f>IF(OR($G1502="",Sync!$W1499=""),"",Sync!$W1499)</f>
        <v/>
      </c>
      <c r="Q1502">
        <f>IF(OR($G1502="",Sync!$AE1499=""),"",Sync!$AE1499)</f>
        <v/>
      </c>
      <c r="R1502">
        <f>IF($G1502="","",IF(Sync!$V1499="","0000",IF(AND(ISNUMBER(Sync!$V1499),Sync!$V1499&gt;=0,Sync!$V1499&lt;1),RIGHT("00"&amp;HOUR(Sync!$V1499),2)&amp;RIGHT("00"&amp;MINUTE(Sync!$V1499),2),IFERROR(RIGHT("00"&amp;VALUE(LEFT(Sync!$V1499,FIND(":",Sync!$V1499)-1)),2)&amp;RIGHT("00"&amp;VALUE(MID(Sync!$V1499,FIND(":",Sync!$V1499)+1,2)),2),"0000"))))</f>
        <v/>
      </c>
    </row>
    <row r="1503">
      <c r="A1503">
        <f>IF(Sync!$U1500="","",Sync!$U1500)</f>
        <v/>
      </c>
      <c r="B1503">
        <f>IF($A1503="","",IF(ISNUMBER($A1503),IF(AND($A1503&gt;=10000101,$A1503&lt;=99991231),INT($A1503/10000),""),IFERROR(VALUE(TRIM(LEFT($A1503,FIND("/",$A1503)-1))),"")))</f>
        <v/>
      </c>
      <c r="C1503">
        <f>IF(OR($A1503="",$B1503=""),"",IF(ISNUMBER($A1503),INT(MOD($A1503,10000)/100),IFERROR(VALUE(TRIM(LEFT(MID($A1503,FIND("/",$A1503)+1,20),FIND("/",MID($A1503,FIND("/",$A1503)+1,20))-1))),"")))</f>
        <v/>
      </c>
      <c r="D1503">
        <f>IF(OR($A1503="",$B1503=""),"",IF(ISNUMBER($A1503),MOD($A1503,100),IFERROR(VALUE(TRIM(MID(MID($A1503,FIND("/",$A1503)+1,20),FIND("/",MID($A1503,FIND("/",$A1503)+1,20))+1,20))),"")))</f>
        <v/>
      </c>
      <c r="E1503">
        <f>IF($A1503="","",IF(OR($B1503="",$C1503="",$D1503="",$B1503&lt;1300,$B1503&gt;1500,$C1503&lt;1,$C1503&gt;12,$D1503&lt;1,$D1503&gt;31),"نامعتبر",RIGHT("0000"&amp;$B1503,4)&amp;"/"&amp;RIGHT("00"&amp;$C1503,2)&amp;"/"&amp;RIGHT("00"&amp;$D1503,2)))</f>
        <v/>
      </c>
      <c r="F1503">
        <f>IF(OR($E1503="",$E1503="نامعتبر"),"",LEFT($E1503,4)&amp;"/"&amp;MID($E1503,6,2))</f>
        <v/>
      </c>
      <c r="G1503">
        <f>IF(OR($E1503="",$E1503="نامعتبر",Sync!$Y1500=""),"",Sync!$Y1500)</f>
        <v/>
      </c>
      <c r="H1503">
        <f>IF($G1503="","",IF(Sync!$X1500="","",Sync!$X1500))</f>
        <v/>
      </c>
      <c r="I1503">
        <f>IF($G1503="","",IFERROR(VLOOKUP(Sync!$X1500,OpTbl,3,0),""))</f>
        <v/>
      </c>
      <c r="J1503">
        <f>IF(OR($G1503="",Sync!$Z1500=""),"",Sync!$Z1500)</f>
        <v/>
      </c>
      <c r="K1503">
        <f>IF(OR($G1503="",Sync!$AA1500=""),"",Sync!$AA1500)</f>
        <v/>
      </c>
      <c r="L1503">
        <f>IF($G1503="",0,IF(Sync!$AB1500="",0,Sync!$AB1500))</f>
        <v/>
      </c>
      <c r="M1503">
        <f>IF($G1503="",0,IF(Sync!$AC1500="",0,Sync!$AC1500))</f>
        <v/>
      </c>
      <c r="N1503">
        <f>IF($G1503="","",IF($H1503="مرجوعی خرید",-1,1)*($L1503-$M1503*IFERROR(VLOOKUP("P01",ParamTbl,3,0),1.5))*(1-IF($I1503="خرید",IFERROR(VLOOKUP("P02",ParamTbl,3,0),1),0)/100))</f>
        <v/>
      </c>
      <c r="O1503">
        <f>IF($G1503="",0,IF($H1503="مرجوعی خرید",-1,1)*IF(Sync!$AD1500="",0,Sync!$AD1500))</f>
        <v/>
      </c>
      <c r="P1503">
        <f>IF(OR($G1503="",Sync!$W1500=""),"",Sync!$W1500)</f>
        <v/>
      </c>
      <c r="Q1503">
        <f>IF(OR($G1503="",Sync!$AE1500=""),"",Sync!$AE1500)</f>
        <v/>
      </c>
      <c r="R1503">
        <f>IF($G1503="","",IF(Sync!$V1500="","0000",IF(AND(ISNUMBER(Sync!$V1500),Sync!$V1500&gt;=0,Sync!$V1500&lt;1),RIGHT("00"&amp;HOUR(Sync!$V1500),2)&amp;RIGHT("00"&amp;MINUTE(Sync!$V1500),2),IFERROR(RIGHT("00"&amp;VALUE(LEFT(Sync!$V1500,FIND(":",Sync!$V1500)-1)),2)&amp;RIGHT("00"&amp;VALUE(MID(Sync!$V1500,FIND(":",Sync!$V1500)+1,2)),2),"0000"))))</f>
        <v/>
      </c>
    </row>
    <row r="1504">
      <c r="A1504">
        <f>IF(Sync!$U1501="","",Sync!$U1501)</f>
        <v/>
      </c>
      <c r="B1504">
        <f>IF($A1504="","",IF(ISNUMBER($A1504),IF(AND($A1504&gt;=10000101,$A1504&lt;=99991231),INT($A1504/10000),""),IFERROR(VALUE(TRIM(LEFT($A1504,FIND("/",$A1504)-1))),"")))</f>
        <v/>
      </c>
      <c r="C1504">
        <f>IF(OR($A1504="",$B1504=""),"",IF(ISNUMBER($A1504),INT(MOD($A1504,10000)/100),IFERROR(VALUE(TRIM(LEFT(MID($A1504,FIND("/",$A1504)+1,20),FIND("/",MID($A1504,FIND("/",$A1504)+1,20))-1))),"")))</f>
        <v/>
      </c>
      <c r="D1504">
        <f>IF(OR($A1504="",$B1504=""),"",IF(ISNUMBER($A1504),MOD($A1504,100),IFERROR(VALUE(TRIM(MID(MID($A1504,FIND("/",$A1504)+1,20),FIND("/",MID($A1504,FIND("/",$A1504)+1,20))+1,20))),"")))</f>
        <v/>
      </c>
      <c r="E1504">
        <f>IF($A1504="","",IF(OR($B1504="",$C1504="",$D1504="",$B1504&lt;1300,$B1504&gt;1500,$C1504&lt;1,$C1504&gt;12,$D1504&lt;1,$D1504&gt;31),"نامعتبر",RIGHT("0000"&amp;$B1504,4)&amp;"/"&amp;RIGHT("00"&amp;$C1504,2)&amp;"/"&amp;RIGHT("00"&amp;$D1504,2)))</f>
        <v/>
      </c>
      <c r="F1504">
        <f>IF(OR($E1504="",$E1504="نامعتبر"),"",LEFT($E1504,4)&amp;"/"&amp;MID($E1504,6,2))</f>
        <v/>
      </c>
      <c r="G1504">
        <f>IF(OR($E1504="",$E1504="نامعتبر",Sync!$Y1501=""),"",Sync!$Y1501)</f>
        <v/>
      </c>
      <c r="H1504">
        <f>IF($G1504="","",IF(Sync!$X1501="","",Sync!$X1501))</f>
        <v/>
      </c>
      <c r="I1504">
        <f>IF($G1504="","",IFERROR(VLOOKUP(Sync!$X1501,OpTbl,3,0),""))</f>
        <v/>
      </c>
      <c r="J1504">
        <f>IF(OR($G1504="",Sync!$Z1501=""),"",Sync!$Z1501)</f>
        <v/>
      </c>
      <c r="K1504">
        <f>IF(OR($G1504="",Sync!$AA1501=""),"",Sync!$AA1501)</f>
        <v/>
      </c>
      <c r="L1504">
        <f>IF($G1504="",0,IF(Sync!$AB1501="",0,Sync!$AB1501))</f>
        <v/>
      </c>
      <c r="M1504">
        <f>IF($G1504="",0,IF(Sync!$AC1501="",0,Sync!$AC1501))</f>
        <v/>
      </c>
      <c r="N1504">
        <f>IF($G1504="","",IF($H1504="مرجوعی خرید",-1,1)*($L1504-$M1504*IFERROR(VLOOKUP("P01",ParamTbl,3,0),1.5))*(1-IF($I1504="خرید",IFERROR(VLOOKUP("P02",ParamTbl,3,0),1),0)/100))</f>
        <v/>
      </c>
      <c r="O1504">
        <f>IF($G1504="",0,IF($H1504="مرجوعی خرید",-1,1)*IF(Sync!$AD1501="",0,Sync!$AD1501))</f>
        <v/>
      </c>
      <c r="P1504">
        <f>IF(OR($G1504="",Sync!$W1501=""),"",Sync!$W1501)</f>
        <v/>
      </c>
      <c r="Q1504">
        <f>IF(OR($G1504="",Sync!$AE1501=""),"",Sync!$AE1501)</f>
        <v/>
      </c>
      <c r="R1504">
        <f>IF($G1504="","",IF(Sync!$V1501="","0000",IF(AND(ISNUMBER(Sync!$V1501),Sync!$V1501&gt;=0,Sync!$V1501&lt;1),RIGHT("00"&amp;HOUR(Sync!$V1501),2)&amp;RIGHT("00"&amp;MINUTE(Sync!$V1501),2),IFERROR(RIGHT("00"&amp;VALUE(LEFT(Sync!$V1501,FIND(":",Sync!$V1501)-1)),2)&amp;RIGHT("00"&amp;VALUE(MID(Sync!$V1501,FIND(":",Sync!$V1501)+1,2)),2),"0000"))))</f>
        <v/>
      </c>
    </row>
    <row r="1505">
      <c r="A1505">
        <f>IF(Sync!$U1502="","",Sync!$U1502)</f>
        <v/>
      </c>
      <c r="B1505">
        <f>IF($A1505="","",IF(ISNUMBER($A1505),IF(AND($A1505&gt;=10000101,$A1505&lt;=99991231),INT($A1505/10000),""),IFERROR(VALUE(TRIM(LEFT($A1505,FIND("/",$A1505)-1))),"")))</f>
        <v/>
      </c>
      <c r="C1505">
        <f>IF(OR($A1505="",$B1505=""),"",IF(ISNUMBER($A1505),INT(MOD($A1505,10000)/100),IFERROR(VALUE(TRIM(LEFT(MID($A1505,FIND("/",$A1505)+1,20),FIND("/",MID($A1505,FIND("/",$A1505)+1,20))-1))),"")))</f>
        <v/>
      </c>
      <c r="D1505">
        <f>IF(OR($A1505="",$B1505=""),"",IF(ISNUMBER($A1505),MOD($A1505,100),IFERROR(VALUE(TRIM(MID(MID($A1505,FIND("/",$A1505)+1,20),FIND("/",MID($A1505,FIND("/",$A1505)+1,20))+1,20))),"")))</f>
        <v/>
      </c>
      <c r="E1505">
        <f>IF($A1505="","",IF(OR($B1505="",$C1505="",$D1505="",$B1505&lt;1300,$B1505&gt;1500,$C1505&lt;1,$C1505&gt;12,$D1505&lt;1,$D1505&gt;31),"نامعتبر",RIGHT("0000"&amp;$B1505,4)&amp;"/"&amp;RIGHT("00"&amp;$C1505,2)&amp;"/"&amp;RIGHT("00"&amp;$D1505,2)))</f>
        <v/>
      </c>
      <c r="F1505">
        <f>IF(OR($E1505="",$E1505="نامعتبر"),"",LEFT($E1505,4)&amp;"/"&amp;MID($E1505,6,2))</f>
        <v/>
      </c>
      <c r="G1505">
        <f>IF(OR($E1505="",$E1505="نامعتبر",Sync!$Y1502=""),"",Sync!$Y1502)</f>
        <v/>
      </c>
      <c r="H1505">
        <f>IF($G1505="","",IF(Sync!$X1502="","",Sync!$X1502))</f>
        <v/>
      </c>
      <c r="I1505">
        <f>IF($G1505="","",IFERROR(VLOOKUP(Sync!$X1502,OpTbl,3,0),""))</f>
        <v/>
      </c>
      <c r="J1505">
        <f>IF(OR($G1505="",Sync!$Z1502=""),"",Sync!$Z1502)</f>
        <v/>
      </c>
      <c r="K1505">
        <f>IF(OR($G1505="",Sync!$AA1502=""),"",Sync!$AA1502)</f>
        <v/>
      </c>
      <c r="L1505">
        <f>IF($G1505="",0,IF(Sync!$AB1502="",0,Sync!$AB1502))</f>
        <v/>
      </c>
      <c r="M1505">
        <f>IF($G1505="",0,IF(Sync!$AC1502="",0,Sync!$AC1502))</f>
        <v/>
      </c>
      <c r="N1505">
        <f>IF($G1505="","",IF($H1505="مرجوعی خرید",-1,1)*($L1505-$M1505*IFERROR(VLOOKUP("P01",ParamTbl,3,0),1.5))*(1-IF($I1505="خرید",IFERROR(VLOOKUP("P02",ParamTbl,3,0),1),0)/100))</f>
        <v/>
      </c>
      <c r="O1505">
        <f>IF($G1505="",0,IF($H1505="مرجوعی خرید",-1,1)*IF(Sync!$AD1502="",0,Sync!$AD1502))</f>
        <v/>
      </c>
      <c r="P1505">
        <f>IF(OR($G1505="",Sync!$W1502=""),"",Sync!$W1502)</f>
        <v/>
      </c>
      <c r="Q1505">
        <f>IF(OR($G1505="",Sync!$AE1502=""),"",Sync!$AE1502)</f>
        <v/>
      </c>
      <c r="R1505">
        <f>IF($G1505="","",IF(Sync!$V1502="","0000",IF(AND(ISNUMBER(Sync!$V1502),Sync!$V1502&gt;=0,Sync!$V1502&lt;1),RIGHT("00"&amp;HOUR(Sync!$V1502),2)&amp;RIGHT("00"&amp;MINUTE(Sync!$V1502),2),IFERROR(RIGHT("00"&amp;VALUE(LEFT(Sync!$V1502,FIND(":",Sync!$V1502)-1)),2)&amp;RIGHT("00"&amp;VALUE(MID(Sync!$V1502,FIND(":",Sync!$V1502)+1,2)),2),"0000"))))</f>
        <v/>
      </c>
    </row>
    <row r="1506">
      <c r="A1506">
        <f>IF(Sync!$U1503="","",Sync!$U1503)</f>
        <v/>
      </c>
      <c r="B1506">
        <f>IF($A1506="","",IF(ISNUMBER($A1506),IF(AND($A1506&gt;=10000101,$A1506&lt;=99991231),INT($A1506/10000),""),IFERROR(VALUE(TRIM(LEFT($A1506,FIND("/",$A1506)-1))),"")))</f>
        <v/>
      </c>
      <c r="C1506">
        <f>IF(OR($A1506="",$B1506=""),"",IF(ISNUMBER($A1506),INT(MOD($A1506,10000)/100),IFERROR(VALUE(TRIM(LEFT(MID($A1506,FIND("/",$A1506)+1,20),FIND("/",MID($A1506,FIND("/",$A1506)+1,20))-1))),"")))</f>
        <v/>
      </c>
      <c r="D1506">
        <f>IF(OR($A1506="",$B1506=""),"",IF(ISNUMBER($A1506),MOD($A1506,100),IFERROR(VALUE(TRIM(MID(MID($A1506,FIND("/",$A1506)+1,20),FIND("/",MID($A1506,FIND("/",$A1506)+1,20))+1,20))),"")))</f>
        <v/>
      </c>
      <c r="E1506">
        <f>IF($A1506="","",IF(OR($B1506="",$C1506="",$D1506="",$B1506&lt;1300,$B1506&gt;1500,$C1506&lt;1,$C1506&gt;12,$D1506&lt;1,$D1506&gt;31),"نامعتبر",RIGHT("0000"&amp;$B1506,4)&amp;"/"&amp;RIGHT("00"&amp;$C1506,2)&amp;"/"&amp;RIGHT("00"&amp;$D1506,2)))</f>
        <v/>
      </c>
      <c r="F1506">
        <f>IF(OR($E1506="",$E1506="نامعتبر"),"",LEFT($E1506,4)&amp;"/"&amp;MID($E1506,6,2))</f>
        <v/>
      </c>
      <c r="G1506">
        <f>IF(OR($E1506="",$E1506="نامعتبر",Sync!$Y1503=""),"",Sync!$Y1503)</f>
        <v/>
      </c>
      <c r="H1506">
        <f>IF($G1506="","",IF(Sync!$X1503="","",Sync!$X1503))</f>
        <v/>
      </c>
      <c r="I1506">
        <f>IF($G1506="","",IFERROR(VLOOKUP(Sync!$X1503,OpTbl,3,0),""))</f>
        <v/>
      </c>
      <c r="J1506">
        <f>IF(OR($G1506="",Sync!$Z1503=""),"",Sync!$Z1503)</f>
        <v/>
      </c>
      <c r="K1506">
        <f>IF(OR($G1506="",Sync!$AA1503=""),"",Sync!$AA1503)</f>
        <v/>
      </c>
      <c r="L1506">
        <f>IF($G1506="",0,IF(Sync!$AB1503="",0,Sync!$AB1503))</f>
        <v/>
      </c>
      <c r="M1506">
        <f>IF($G1506="",0,IF(Sync!$AC1503="",0,Sync!$AC1503))</f>
        <v/>
      </c>
      <c r="N1506">
        <f>IF($G1506="","",IF($H1506="مرجوعی خرید",-1,1)*($L1506-$M1506*IFERROR(VLOOKUP("P01",ParamTbl,3,0),1.5))*(1-IF($I1506="خرید",IFERROR(VLOOKUP("P02",ParamTbl,3,0),1),0)/100))</f>
        <v/>
      </c>
      <c r="O1506">
        <f>IF($G1506="",0,IF($H1506="مرجوعی خرید",-1,1)*IF(Sync!$AD1503="",0,Sync!$AD1503))</f>
        <v/>
      </c>
      <c r="P1506">
        <f>IF(OR($G1506="",Sync!$W1503=""),"",Sync!$W1503)</f>
        <v/>
      </c>
      <c r="Q1506">
        <f>IF(OR($G1506="",Sync!$AE1503=""),"",Sync!$AE1503)</f>
        <v/>
      </c>
      <c r="R1506">
        <f>IF($G1506="","",IF(Sync!$V1503="","0000",IF(AND(ISNUMBER(Sync!$V1503),Sync!$V1503&gt;=0,Sync!$V1503&lt;1),RIGHT("00"&amp;HOUR(Sync!$V1503),2)&amp;RIGHT("00"&amp;MINUTE(Sync!$V1503),2),IFERROR(RIGHT("00"&amp;VALUE(LEFT(Sync!$V1503,FIND(":",Sync!$V1503)-1)),2)&amp;RIGHT("00"&amp;VALUE(MID(Sync!$V1503,FIND(":",Sync!$V1503)+1,2)),2),"0000"))))</f>
        <v/>
      </c>
    </row>
    <row r="1507">
      <c r="A1507">
        <f>IF(Sync!$U1504="","",Sync!$U1504)</f>
        <v/>
      </c>
      <c r="B1507">
        <f>IF($A1507="","",IF(ISNUMBER($A1507),IF(AND($A1507&gt;=10000101,$A1507&lt;=99991231),INT($A1507/10000),""),IFERROR(VALUE(TRIM(LEFT($A1507,FIND("/",$A1507)-1))),"")))</f>
        <v/>
      </c>
      <c r="C1507">
        <f>IF(OR($A1507="",$B1507=""),"",IF(ISNUMBER($A1507),INT(MOD($A1507,10000)/100),IFERROR(VALUE(TRIM(LEFT(MID($A1507,FIND("/",$A1507)+1,20),FIND("/",MID($A1507,FIND("/",$A1507)+1,20))-1))),"")))</f>
        <v/>
      </c>
      <c r="D1507">
        <f>IF(OR($A1507="",$B1507=""),"",IF(ISNUMBER($A1507),MOD($A1507,100),IFERROR(VALUE(TRIM(MID(MID($A1507,FIND("/",$A1507)+1,20),FIND("/",MID($A1507,FIND("/",$A1507)+1,20))+1,20))),"")))</f>
        <v/>
      </c>
      <c r="E1507">
        <f>IF($A1507="","",IF(OR($B1507="",$C1507="",$D1507="",$B1507&lt;1300,$B1507&gt;1500,$C1507&lt;1,$C1507&gt;12,$D1507&lt;1,$D1507&gt;31),"نامعتبر",RIGHT("0000"&amp;$B1507,4)&amp;"/"&amp;RIGHT("00"&amp;$C1507,2)&amp;"/"&amp;RIGHT("00"&amp;$D1507,2)))</f>
        <v/>
      </c>
      <c r="F1507">
        <f>IF(OR($E1507="",$E1507="نامعتبر"),"",LEFT($E1507,4)&amp;"/"&amp;MID($E1507,6,2))</f>
        <v/>
      </c>
      <c r="G1507">
        <f>IF(OR($E1507="",$E1507="نامعتبر",Sync!$Y1504=""),"",Sync!$Y1504)</f>
        <v/>
      </c>
      <c r="H1507">
        <f>IF($G1507="","",IF(Sync!$X1504="","",Sync!$X1504))</f>
        <v/>
      </c>
      <c r="I1507">
        <f>IF($G1507="","",IFERROR(VLOOKUP(Sync!$X1504,OpTbl,3,0),""))</f>
        <v/>
      </c>
      <c r="J1507">
        <f>IF(OR($G1507="",Sync!$Z1504=""),"",Sync!$Z1504)</f>
        <v/>
      </c>
      <c r="K1507">
        <f>IF(OR($G1507="",Sync!$AA1504=""),"",Sync!$AA1504)</f>
        <v/>
      </c>
      <c r="L1507">
        <f>IF($G1507="",0,IF(Sync!$AB1504="",0,Sync!$AB1504))</f>
        <v/>
      </c>
      <c r="M1507">
        <f>IF($G1507="",0,IF(Sync!$AC1504="",0,Sync!$AC1504))</f>
        <v/>
      </c>
      <c r="N1507">
        <f>IF($G1507="","",IF($H1507="مرجوعی خرید",-1,1)*($L1507-$M1507*IFERROR(VLOOKUP("P01",ParamTbl,3,0),1.5))*(1-IF($I1507="خرید",IFERROR(VLOOKUP("P02",ParamTbl,3,0),1),0)/100))</f>
        <v/>
      </c>
      <c r="O1507">
        <f>IF($G1507="",0,IF($H1507="مرجوعی خرید",-1,1)*IF(Sync!$AD1504="",0,Sync!$AD1504))</f>
        <v/>
      </c>
      <c r="P1507">
        <f>IF(OR($G1507="",Sync!$W1504=""),"",Sync!$W1504)</f>
        <v/>
      </c>
      <c r="Q1507">
        <f>IF(OR($G1507="",Sync!$AE1504=""),"",Sync!$AE1504)</f>
        <v/>
      </c>
      <c r="R1507">
        <f>IF($G1507="","",IF(Sync!$V1504="","0000",IF(AND(ISNUMBER(Sync!$V1504),Sync!$V1504&gt;=0,Sync!$V1504&lt;1),RIGHT("00"&amp;HOUR(Sync!$V1504),2)&amp;RIGHT("00"&amp;MINUTE(Sync!$V1504),2),IFERROR(RIGHT("00"&amp;VALUE(LEFT(Sync!$V1504,FIND(":",Sync!$V1504)-1)),2)&amp;RIGHT("00"&amp;VALUE(MID(Sync!$V1504,FIND(":",Sync!$V1504)+1,2)),2),"0000"))))</f>
        <v/>
      </c>
    </row>
    <row r="1508">
      <c r="A1508">
        <f>IF(Sync!$U1505="","",Sync!$U1505)</f>
        <v/>
      </c>
      <c r="B1508">
        <f>IF($A1508="","",IF(ISNUMBER($A1508),IF(AND($A1508&gt;=10000101,$A1508&lt;=99991231),INT($A1508/10000),""),IFERROR(VALUE(TRIM(LEFT($A1508,FIND("/",$A1508)-1))),"")))</f>
        <v/>
      </c>
      <c r="C1508">
        <f>IF(OR($A1508="",$B1508=""),"",IF(ISNUMBER($A1508),INT(MOD($A1508,10000)/100),IFERROR(VALUE(TRIM(LEFT(MID($A1508,FIND("/",$A1508)+1,20),FIND("/",MID($A1508,FIND("/",$A1508)+1,20))-1))),"")))</f>
        <v/>
      </c>
      <c r="D1508">
        <f>IF(OR($A1508="",$B1508=""),"",IF(ISNUMBER($A1508),MOD($A1508,100),IFERROR(VALUE(TRIM(MID(MID($A1508,FIND("/",$A1508)+1,20),FIND("/",MID($A1508,FIND("/",$A1508)+1,20))+1,20))),"")))</f>
        <v/>
      </c>
      <c r="E1508">
        <f>IF($A1508="","",IF(OR($B1508="",$C1508="",$D1508="",$B1508&lt;1300,$B1508&gt;1500,$C1508&lt;1,$C1508&gt;12,$D1508&lt;1,$D1508&gt;31),"نامعتبر",RIGHT("0000"&amp;$B1508,4)&amp;"/"&amp;RIGHT("00"&amp;$C1508,2)&amp;"/"&amp;RIGHT("00"&amp;$D1508,2)))</f>
        <v/>
      </c>
      <c r="F1508">
        <f>IF(OR($E1508="",$E1508="نامعتبر"),"",LEFT($E1508,4)&amp;"/"&amp;MID($E1508,6,2))</f>
        <v/>
      </c>
      <c r="G1508">
        <f>IF(OR($E1508="",$E1508="نامعتبر",Sync!$Y1505=""),"",Sync!$Y1505)</f>
        <v/>
      </c>
      <c r="H1508">
        <f>IF($G1508="","",IF(Sync!$X1505="","",Sync!$X1505))</f>
        <v/>
      </c>
      <c r="I1508">
        <f>IF($G1508="","",IFERROR(VLOOKUP(Sync!$X1505,OpTbl,3,0),""))</f>
        <v/>
      </c>
      <c r="J1508">
        <f>IF(OR($G1508="",Sync!$Z1505=""),"",Sync!$Z1505)</f>
        <v/>
      </c>
      <c r="K1508">
        <f>IF(OR($G1508="",Sync!$AA1505=""),"",Sync!$AA1505)</f>
        <v/>
      </c>
      <c r="L1508">
        <f>IF($G1508="",0,IF(Sync!$AB1505="",0,Sync!$AB1505))</f>
        <v/>
      </c>
      <c r="M1508">
        <f>IF($G1508="",0,IF(Sync!$AC1505="",0,Sync!$AC1505))</f>
        <v/>
      </c>
      <c r="N1508">
        <f>IF($G1508="","",IF($H1508="مرجوعی خرید",-1,1)*($L1508-$M1508*IFERROR(VLOOKUP("P01",ParamTbl,3,0),1.5))*(1-IF($I1508="خرید",IFERROR(VLOOKUP("P02",ParamTbl,3,0),1),0)/100))</f>
        <v/>
      </c>
      <c r="O1508">
        <f>IF($G1508="",0,IF($H1508="مرجوعی خرید",-1,1)*IF(Sync!$AD1505="",0,Sync!$AD1505))</f>
        <v/>
      </c>
      <c r="P1508">
        <f>IF(OR($G1508="",Sync!$W1505=""),"",Sync!$W1505)</f>
        <v/>
      </c>
      <c r="Q1508">
        <f>IF(OR($G1508="",Sync!$AE1505=""),"",Sync!$AE1505)</f>
        <v/>
      </c>
      <c r="R1508">
        <f>IF($G1508="","",IF(Sync!$V1505="","0000",IF(AND(ISNUMBER(Sync!$V1505),Sync!$V1505&gt;=0,Sync!$V1505&lt;1),RIGHT("00"&amp;HOUR(Sync!$V1505),2)&amp;RIGHT("00"&amp;MINUTE(Sync!$V1505),2),IFERROR(RIGHT("00"&amp;VALUE(LEFT(Sync!$V1505,FIND(":",Sync!$V1505)-1)),2)&amp;RIGHT("00"&amp;VALUE(MID(Sync!$V1505,FIND(":",Sync!$V1505)+1,2)),2),"0000"))))</f>
        <v/>
      </c>
    </row>
    <row r="1509">
      <c r="A1509">
        <f>IF(Sync!$U1506="","",Sync!$U1506)</f>
        <v/>
      </c>
      <c r="B1509">
        <f>IF($A1509="","",IF(ISNUMBER($A1509),IF(AND($A1509&gt;=10000101,$A1509&lt;=99991231),INT($A1509/10000),""),IFERROR(VALUE(TRIM(LEFT($A1509,FIND("/",$A1509)-1))),"")))</f>
        <v/>
      </c>
      <c r="C1509">
        <f>IF(OR($A1509="",$B1509=""),"",IF(ISNUMBER($A1509),INT(MOD($A1509,10000)/100),IFERROR(VALUE(TRIM(LEFT(MID($A1509,FIND("/",$A1509)+1,20),FIND("/",MID($A1509,FIND("/",$A1509)+1,20))-1))),"")))</f>
        <v/>
      </c>
      <c r="D1509">
        <f>IF(OR($A1509="",$B1509=""),"",IF(ISNUMBER($A1509),MOD($A1509,100),IFERROR(VALUE(TRIM(MID(MID($A1509,FIND("/",$A1509)+1,20),FIND("/",MID($A1509,FIND("/",$A1509)+1,20))+1,20))),"")))</f>
        <v/>
      </c>
      <c r="E1509">
        <f>IF($A1509="","",IF(OR($B1509="",$C1509="",$D1509="",$B1509&lt;1300,$B1509&gt;1500,$C1509&lt;1,$C1509&gt;12,$D1509&lt;1,$D1509&gt;31),"نامعتبر",RIGHT("0000"&amp;$B1509,4)&amp;"/"&amp;RIGHT("00"&amp;$C1509,2)&amp;"/"&amp;RIGHT("00"&amp;$D1509,2)))</f>
        <v/>
      </c>
      <c r="F1509">
        <f>IF(OR($E1509="",$E1509="نامعتبر"),"",LEFT($E1509,4)&amp;"/"&amp;MID($E1509,6,2))</f>
        <v/>
      </c>
      <c r="G1509">
        <f>IF(OR($E1509="",$E1509="نامعتبر",Sync!$Y1506=""),"",Sync!$Y1506)</f>
        <v/>
      </c>
      <c r="H1509">
        <f>IF($G1509="","",IF(Sync!$X1506="","",Sync!$X1506))</f>
        <v/>
      </c>
      <c r="I1509">
        <f>IF($G1509="","",IFERROR(VLOOKUP(Sync!$X1506,OpTbl,3,0),""))</f>
        <v/>
      </c>
      <c r="J1509">
        <f>IF(OR($G1509="",Sync!$Z1506=""),"",Sync!$Z1506)</f>
        <v/>
      </c>
      <c r="K1509">
        <f>IF(OR($G1509="",Sync!$AA1506=""),"",Sync!$AA1506)</f>
        <v/>
      </c>
      <c r="L1509">
        <f>IF($G1509="",0,IF(Sync!$AB1506="",0,Sync!$AB1506))</f>
        <v/>
      </c>
      <c r="M1509">
        <f>IF($G1509="",0,IF(Sync!$AC1506="",0,Sync!$AC1506))</f>
        <v/>
      </c>
      <c r="N1509">
        <f>IF($G1509="","",IF($H1509="مرجوعی خرید",-1,1)*($L1509-$M1509*IFERROR(VLOOKUP("P01",ParamTbl,3,0),1.5))*(1-IF($I1509="خرید",IFERROR(VLOOKUP("P02",ParamTbl,3,0),1),0)/100))</f>
        <v/>
      </c>
      <c r="O1509">
        <f>IF($G1509="",0,IF($H1509="مرجوعی خرید",-1,1)*IF(Sync!$AD1506="",0,Sync!$AD1506))</f>
        <v/>
      </c>
      <c r="P1509">
        <f>IF(OR($G1509="",Sync!$W1506=""),"",Sync!$W1506)</f>
        <v/>
      </c>
      <c r="Q1509">
        <f>IF(OR($G1509="",Sync!$AE1506=""),"",Sync!$AE1506)</f>
        <v/>
      </c>
      <c r="R1509">
        <f>IF($G1509="","",IF(Sync!$V1506="","0000",IF(AND(ISNUMBER(Sync!$V1506),Sync!$V1506&gt;=0,Sync!$V1506&lt;1),RIGHT("00"&amp;HOUR(Sync!$V1506),2)&amp;RIGHT("00"&amp;MINUTE(Sync!$V1506),2),IFERROR(RIGHT("00"&amp;VALUE(LEFT(Sync!$V1506,FIND(":",Sync!$V1506)-1)),2)&amp;RIGHT("00"&amp;VALUE(MID(Sync!$V1506,FIND(":",Sync!$V1506)+1,2)),2),"0000"))))</f>
        <v/>
      </c>
    </row>
    <row r="1510">
      <c r="A1510">
        <f>IF(Sync!$U1507="","",Sync!$U1507)</f>
        <v/>
      </c>
      <c r="B1510">
        <f>IF($A1510="","",IF(ISNUMBER($A1510),IF(AND($A1510&gt;=10000101,$A1510&lt;=99991231),INT($A1510/10000),""),IFERROR(VALUE(TRIM(LEFT($A1510,FIND("/",$A1510)-1))),"")))</f>
        <v/>
      </c>
      <c r="C1510">
        <f>IF(OR($A1510="",$B1510=""),"",IF(ISNUMBER($A1510),INT(MOD($A1510,10000)/100),IFERROR(VALUE(TRIM(LEFT(MID($A1510,FIND("/",$A1510)+1,20),FIND("/",MID($A1510,FIND("/",$A1510)+1,20))-1))),"")))</f>
        <v/>
      </c>
      <c r="D1510">
        <f>IF(OR($A1510="",$B1510=""),"",IF(ISNUMBER($A1510),MOD($A1510,100),IFERROR(VALUE(TRIM(MID(MID($A1510,FIND("/",$A1510)+1,20),FIND("/",MID($A1510,FIND("/",$A1510)+1,20))+1,20))),"")))</f>
        <v/>
      </c>
      <c r="E1510">
        <f>IF($A1510="","",IF(OR($B1510="",$C1510="",$D1510="",$B1510&lt;1300,$B1510&gt;1500,$C1510&lt;1,$C1510&gt;12,$D1510&lt;1,$D1510&gt;31),"نامعتبر",RIGHT("0000"&amp;$B1510,4)&amp;"/"&amp;RIGHT("00"&amp;$C1510,2)&amp;"/"&amp;RIGHT("00"&amp;$D1510,2)))</f>
        <v/>
      </c>
      <c r="F1510">
        <f>IF(OR($E1510="",$E1510="نامعتبر"),"",LEFT($E1510,4)&amp;"/"&amp;MID($E1510,6,2))</f>
        <v/>
      </c>
      <c r="G1510">
        <f>IF(OR($E1510="",$E1510="نامعتبر",Sync!$Y1507=""),"",Sync!$Y1507)</f>
        <v/>
      </c>
      <c r="H1510">
        <f>IF($G1510="","",IF(Sync!$X1507="","",Sync!$X1507))</f>
        <v/>
      </c>
      <c r="I1510">
        <f>IF($G1510="","",IFERROR(VLOOKUP(Sync!$X1507,OpTbl,3,0),""))</f>
        <v/>
      </c>
      <c r="J1510">
        <f>IF(OR($G1510="",Sync!$Z1507=""),"",Sync!$Z1507)</f>
        <v/>
      </c>
      <c r="K1510">
        <f>IF(OR($G1510="",Sync!$AA1507=""),"",Sync!$AA1507)</f>
        <v/>
      </c>
      <c r="L1510">
        <f>IF($G1510="",0,IF(Sync!$AB1507="",0,Sync!$AB1507))</f>
        <v/>
      </c>
      <c r="M1510">
        <f>IF($G1510="",0,IF(Sync!$AC1507="",0,Sync!$AC1507))</f>
        <v/>
      </c>
      <c r="N1510">
        <f>IF($G1510="","",IF($H1510="مرجوعی خرید",-1,1)*($L1510-$M1510*IFERROR(VLOOKUP("P01",ParamTbl,3,0),1.5))*(1-IF($I1510="خرید",IFERROR(VLOOKUP("P02",ParamTbl,3,0),1),0)/100))</f>
        <v/>
      </c>
      <c r="O1510">
        <f>IF($G1510="",0,IF($H1510="مرجوعی خرید",-1,1)*IF(Sync!$AD1507="",0,Sync!$AD1507))</f>
        <v/>
      </c>
      <c r="P1510">
        <f>IF(OR($G1510="",Sync!$W1507=""),"",Sync!$W1507)</f>
        <v/>
      </c>
      <c r="Q1510">
        <f>IF(OR($G1510="",Sync!$AE1507=""),"",Sync!$AE1507)</f>
        <v/>
      </c>
      <c r="R1510">
        <f>IF($G1510="","",IF(Sync!$V1507="","0000",IF(AND(ISNUMBER(Sync!$V1507),Sync!$V1507&gt;=0,Sync!$V1507&lt;1),RIGHT("00"&amp;HOUR(Sync!$V1507),2)&amp;RIGHT("00"&amp;MINUTE(Sync!$V1507),2),IFERROR(RIGHT("00"&amp;VALUE(LEFT(Sync!$V1507,FIND(":",Sync!$V1507)-1)),2)&amp;RIGHT("00"&amp;VALUE(MID(Sync!$V1507,FIND(":",Sync!$V1507)+1,2)),2),"0000"))))</f>
        <v/>
      </c>
    </row>
    <row r="1511">
      <c r="A1511">
        <f>IF(Sync!$U1508="","",Sync!$U1508)</f>
        <v/>
      </c>
      <c r="B1511">
        <f>IF($A1511="","",IF(ISNUMBER($A1511),IF(AND($A1511&gt;=10000101,$A1511&lt;=99991231),INT($A1511/10000),""),IFERROR(VALUE(TRIM(LEFT($A1511,FIND("/",$A1511)-1))),"")))</f>
        <v/>
      </c>
      <c r="C1511">
        <f>IF(OR($A1511="",$B1511=""),"",IF(ISNUMBER($A1511),INT(MOD($A1511,10000)/100),IFERROR(VALUE(TRIM(LEFT(MID($A1511,FIND("/",$A1511)+1,20),FIND("/",MID($A1511,FIND("/",$A1511)+1,20))-1))),"")))</f>
        <v/>
      </c>
      <c r="D1511">
        <f>IF(OR($A1511="",$B1511=""),"",IF(ISNUMBER($A1511),MOD($A1511,100),IFERROR(VALUE(TRIM(MID(MID($A1511,FIND("/",$A1511)+1,20),FIND("/",MID($A1511,FIND("/",$A1511)+1,20))+1,20))),"")))</f>
        <v/>
      </c>
      <c r="E1511">
        <f>IF($A1511="","",IF(OR($B1511="",$C1511="",$D1511="",$B1511&lt;1300,$B1511&gt;1500,$C1511&lt;1,$C1511&gt;12,$D1511&lt;1,$D1511&gt;31),"نامعتبر",RIGHT("0000"&amp;$B1511,4)&amp;"/"&amp;RIGHT("00"&amp;$C1511,2)&amp;"/"&amp;RIGHT("00"&amp;$D1511,2)))</f>
        <v/>
      </c>
      <c r="F1511">
        <f>IF(OR($E1511="",$E1511="نامعتبر"),"",LEFT($E1511,4)&amp;"/"&amp;MID($E1511,6,2))</f>
        <v/>
      </c>
      <c r="G1511">
        <f>IF(OR($E1511="",$E1511="نامعتبر",Sync!$Y1508=""),"",Sync!$Y1508)</f>
        <v/>
      </c>
      <c r="H1511">
        <f>IF($G1511="","",IF(Sync!$X1508="","",Sync!$X1508))</f>
        <v/>
      </c>
      <c r="I1511">
        <f>IF($G1511="","",IFERROR(VLOOKUP(Sync!$X1508,OpTbl,3,0),""))</f>
        <v/>
      </c>
      <c r="J1511">
        <f>IF(OR($G1511="",Sync!$Z1508=""),"",Sync!$Z1508)</f>
        <v/>
      </c>
      <c r="K1511">
        <f>IF(OR($G1511="",Sync!$AA1508=""),"",Sync!$AA1508)</f>
        <v/>
      </c>
      <c r="L1511">
        <f>IF($G1511="",0,IF(Sync!$AB1508="",0,Sync!$AB1508))</f>
        <v/>
      </c>
      <c r="M1511">
        <f>IF($G1511="",0,IF(Sync!$AC1508="",0,Sync!$AC1508))</f>
        <v/>
      </c>
      <c r="N1511">
        <f>IF($G1511="","",IF($H1511="مرجوعی خرید",-1,1)*($L1511-$M1511*IFERROR(VLOOKUP("P01",ParamTbl,3,0),1.5))*(1-IF($I1511="خرید",IFERROR(VLOOKUP("P02",ParamTbl,3,0),1),0)/100))</f>
        <v/>
      </c>
      <c r="O1511">
        <f>IF($G1511="",0,IF($H1511="مرجوعی خرید",-1,1)*IF(Sync!$AD1508="",0,Sync!$AD1508))</f>
        <v/>
      </c>
      <c r="P1511">
        <f>IF(OR($G1511="",Sync!$W1508=""),"",Sync!$W1508)</f>
        <v/>
      </c>
      <c r="Q1511">
        <f>IF(OR($G1511="",Sync!$AE1508=""),"",Sync!$AE1508)</f>
        <v/>
      </c>
      <c r="R1511">
        <f>IF($G1511="","",IF(Sync!$V1508="","0000",IF(AND(ISNUMBER(Sync!$V1508),Sync!$V1508&gt;=0,Sync!$V1508&lt;1),RIGHT("00"&amp;HOUR(Sync!$V1508),2)&amp;RIGHT("00"&amp;MINUTE(Sync!$V1508),2),IFERROR(RIGHT("00"&amp;VALUE(LEFT(Sync!$V1508,FIND(":",Sync!$V1508)-1)),2)&amp;RIGHT("00"&amp;VALUE(MID(Sync!$V1508,FIND(":",Sync!$V1508)+1,2)),2),"0000"))))</f>
        <v/>
      </c>
    </row>
    <row r="1512">
      <c r="A1512">
        <f>IF(Sync!$U1509="","",Sync!$U1509)</f>
        <v/>
      </c>
      <c r="B1512">
        <f>IF($A1512="","",IF(ISNUMBER($A1512),IF(AND($A1512&gt;=10000101,$A1512&lt;=99991231),INT($A1512/10000),""),IFERROR(VALUE(TRIM(LEFT($A1512,FIND("/",$A1512)-1))),"")))</f>
        <v/>
      </c>
      <c r="C1512">
        <f>IF(OR($A1512="",$B1512=""),"",IF(ISNUMBER($A1512),INT(MOD($A1512,10000)/100),IFERROR(VALUE(TRIM(LEFT(MID($A1512,FIND("/",$A1512)+1,20),FIND("/",MID($A1512,FIND("/",$A1512)+1,20))-1))),"")))</f>
        <v/>
      </c>
      <c r="D1512">
        <f>IF(OR($A1512="",$B1512=""),"",IF(ISNUMBER($A1512),MOD($A1512,100),IFERROR(VALUE(TRIM(MID(MID($A1512,FIND("/",$A1512)+1,20),FIND("/",MID($A1512,FIND("/",$A1512)+1,20))+1,20))),"")))</f>
        <v/>
      </c>
      <c r="E1512">
        <f>IF($A1512="","",IF(OR($B1512="",$C1512="",$D1512="",$B1512&lt;1300,$B1512&gt;1500,$C1512&lt;1,$C1512&gt;12,$D1512&lt;1,$D1512&gt;31),"نامعتبر",RIGHT("0000"&amp;$B1512,4)&amp;"/"&amp;RIGHT("00"&amp;$C1512,2)&amp;"/"&amp;RIGHT("00"&amp;$D1512,2)))</f>
        <v/>
      </c>
      <c r="F1512">
        <f>IF(OR($E1512="",$E1512="نامعتبر"),"",LEFT($E1512,4)&amp;"/"&amp;MID($E1512,6,2))</f>
        <v/>
      </c>
      <c r="G1512">
        <f>IF(OR($E1512="",$E1512="نامعتبر",Sync!$Y1509=""),"",Sync!$Y1509)</f>
        <v/>
      </c>
      <c r="H1512">
        <f>IF($G1512="","",IF(Sync!$X1509="","",Sync!$X1509))</f>
        <v/>
      </c>
      <c r="I1512">
        <f>IF($G1512="","",IFERROR(VLOOKUP(Sync!$X1509,OpTbl,3,0),""))</f>
        <v/>
      </c>
      <c r="J1512">
        <f>IF(OR($G1512="",Sync!$Z1509=""),"",Sync!$Z1509)</f>
        <v/>
      </c>
      <c r="K1512">
        <f>IF(OR($G1512="",Sync!$AA1509=""),"",Sync!$AA1509)</f>
        <v/>
      </c>
      <c r="L1512">
        <f>IF($G1512="",0,IF(Sync!$AB1509="",0,Sync!$AB1509))</f>
        <v/>
      </c>
      <c r="M1512">
        <f>IF($G1512="",0,IF(Sync!$AC1509="",0,Sync!$AC1509))</f>
        <v/>
      </c>
      <c r="N1512">
        <f>IF($G1512="","",IF($H1512="مرجوعی خرید",-1,1)*($L1512-$M1512*IFERROR(VLOOKUP("P01",ParamTbl,3,0),1.5))*(1-IF($I1512="خرید",IFERROR(VLOOKUP("P02",ParamTbl,3,0),1),0)/100))</f>
        <v/>
      </c>
      <c r="O1512">
        <f>IF($G1512="",0,IF($H1512="مرجوعی خرید",-1,1)*IF(Sync!$AD1509="",0,Sync!$AD1509))</f>
        <v/>
      </c>
      <c r="P1512">
        <f>IF(OR($G1512="",Sync!$W1509=""),"",Sync!$W1509)</f>
        <v/>
      </c>
      <c r="Q1512">
        <f>IF(OR($G1512="",Sync!$AE1509=""),"",Sync!$AE1509)</f>
        <v/>
      </c>
      <c r="R1512">
        <f>IF($G1512="","",IF(Sync!$V1509="","0000",IF(AND(ISNUMBER(Sync!$V1509),Sync!$V1509&gt;=0,Sync!$V1509&lt;1),RIGHT("00"&amp;HOUR(Sync!$V1509),2)&amp;RIGHT("00"&amp;MINUTE(Sync!$V1509),2),IFERROR(RIGHT("00"&amp;VALUE(LEFT(Sync!$V1509,FIND(":",Sync!$V1509)-1)),2)&amp;RIGHT("00"&amp;VALUE(MID(Sync!$V1509,FIND(":",Sync!$V1509)+1,2)),2),"0000"))))</f>
        <v/>
      </c>
    </row>
    <row r="1513">
      <c r="A1513">
        <f>IF(Sync!$U1510="","",Sync!$U1510)</f>
        <v/>
      </c>
      <c r="B1513">
        <f>IF($A1513="","",IF(ISNUMBER($A1513),IF(AND($A1513&gt;=10000101,$A1513&lt;=99991231),INT($A1513/10000),""),IFERROR(VALUE(TRIM(LEFT($A1513,FIND("/",$A1513)-1))),"")))</f>
        <v/>
      </c>
      <c r="C1513">
        <f>IF(OR($A1513="",$B1513=""),"",IF(ISNUMBER($A1513),INT(MOD($A1513,10000)/100),IFERROR(VALUE(TRIM(LEFT(MID($A1513,FIND("/",$A1513)+1,20),FIND("/",MID($A1513,FIND("/",$A1513)+1,20))-1))),"")))</f>
        <v/>
      </c>
      <c r="D1513">
        <f>IF(OR($A1513="",$B1513=""),"",IF(ISNUMBER($A1513),MOD($A1513,100),IFERROR(VALUE(TRIM(MID(MID($A1513,FIND("/",$A1513)+1,20),FIND("/",MID($A1513,FIND("/",$A1513)+1,20))+1,20))),"")))</f>
        <v/>
      </c>
      <c r="E1513">
        <f>IF($A1513="","",IF(OR($B1513="",$C1513="",$D1513="",$B1513&lt;1300,$B1513&gt;1500,$C1513&lt;1,$C1513&gt;12,$D1513&lt;1,$D1513&gt;31),"نامعتبر",RIGHT("0000"&amp;$B1513,4)&amp;"/"&amp;RIGHT("00"&amp;$C1513,2)&amp;"/"&amp;RIGHT("00"&amp;$D1513,2)))</f>
        <v/>
      </c>
      <c r="F1513">
        <f>IF(OR($E1513="",$E1513="نامعتبر"),"",LEFT($E1513,4)&amp;"/"&amp;MID($E1513,6,2))</f>
        <v/>
      </c>
      <c r="G1513">
        <f>IF(OR($E1513="",$E1513="نامعتبر",Sync!$Y1510=""),"",Sync!$Y1510)</f>
        <v/>
      </c>
      <c r="H1513">
        <f>IF($G1513="","",IF(Sync!$X1510="","",Sync!$X1510))</f>
        <v/>
      </c>
      <c r="I1513">
        <f>IF($G1513="","",IFERROR(VLOOKUP(Sync!$X1510,OpTbl,3,0),""))</f>
        <v/>
      </c>
      <c r="J1513">
        <f>IF(OR($G1513="",Sync!$Z1510=""),"",Sync!$Z1510)</f>
        <v/>
      </c>
      <c r="K1513">
        <f>IF(OR($G1513="",Sync!$AA1510=""),"",Sync!$AA1510)</f>
        <v/>
      </c>
      <c r="L1513">
        <f>IF($G1513="",0,IF(Sync!$AB1510="",0,Sync!$AB1510))</f>
        <v/>
      </c>
      <c r="M1513">
        <f>IF($G1513="",0,IF(Sync!$AC1510="",0,Sync!$AC1510))</f>
        <v/>
      </c>
      <c r="N1513">
        <f>IF($G1513="","",IF($H1513="مرجوعی خرید",-1,1)*($L1513-$M1513*IFERROR(VLOOKUP("P01",ParamTbl,3,0),1.5))*(1-IF($I1513="خرید",IFERROR(VLOOKUP("P02",ParamTbl,3,0),1),0)/100))</f>
        <v/>
      </c>
      <c r="O1513">
        <f>IF($G1513="",0,IF($H1513="مرجوعی خرید",-1,1)*IF(Sync!$AD1510="",0,Sync!$AD1510))</f>
        <v/>
      </c>
      <c r="P1513">
        <f>IF(OR($G1513="",Sync!$W1510=""),"",Sync!$W1510)</f>
        <v/>
      </c>
      <c r="Q1513">
        <f>IF(OR($G1513="",Sync!$AE1510=""),"",Sync!$AE1510)</f>
        <v/>
      </c>
      <c r="R1513">
        <f>IF($G1513="","",IF(Sync!$V1510="","0000",IF(AND(ISNUMBER(Sync!$V1510),Sync!$V1510&gt;=0,Sync!$V1510&lt;1),RIGHT("00"&amp;HOUR(Sync!$V1510),2)&amp;RIGHT("00"&amp;MINUTE(Sync!$V1510),2),IFERROR(RIGHT("00"&amp;VALUE(LEFT(Sync!$V1510,FIND(":",Sync!$V1510)-1)),2)&amp;RIGHT("00"&amp;VALUE(MID(Sync!$V1510,FIND(":",Sync!$V1510)+1,2)),2),"0000"))))</f>
        <v/>
      </c>
    </row>
    <row r="1514">
      <c r="A1514">
        <f>IF(Sync!$U1511="","",Sync!$U1511)</f>
        <v/>
      </c>
      <c r="B1514">
        <f>IF($A1514="","",IF(ISNUMBER($A1514),IF(AND($A1514&gt;=10000101,$A1514&lt;=99991231),INT($A1514/10000),""),IFERROR(VALUE(TRIM(LEFT($A1514,FIND("/",$A1514)-1))),"")))</f>
        <v/>
      </c>
      <c r="C1514">
        <f>IF(OR($A1514="",$B1514=""),"",IF(ISNUMBER($A1514),INT(MOD($A1514,10000)/100),IFERROR(VALUE(TRIM(LEFT(MID($A1514,FIND("/",$A1514)+1,20),FIND("/",MID($A1514,FIND("/",$A1514)+1,20))-1))),"")))</f>
        <v/>
      </c>
      <c r="D1514">
        <f>IF(OR($A1514="",$B1514=""),"",IF(ISNUMBER($A1514),MOD($A1514,100),IFERROR(VALUE(TRIM(MID(MID($A1514,FIND("/",$A1514)+1,20),FIND("/",MID($A1514,FIND("/",$A1514)+1,20))+1,20))),"")))</f>
        <v/>
      </c>
      <c r="E1514">
        <f>IF($A1514="","",IF(OR($B1514="",$C1514="",$D1514="",$B1514&lt;1300,$B1514&gt;1500,$C1514&lt;1,$C1514&gt;12,$D1514&lt;1,$D1514&gt;31),"نامعتبر",RIGHT("0000"&amp;$B1514,4)&amp;"/"&amp;RIGHT("00"&amp;$C1514,2)&amp;"/"&amp;RIGHT("00"&amp;$D1514,2)))</f>
        <v/>
      </c>
      <c r="F1514">
        <f>IF(OR($E1514="",$E1514="نامعتبر"),"",LEFT($E1514,4)&amp;"/"&amp;MID($E1514,6,2))</f>
        <v/>
      </c>
      <c r="G1514">
        <f>IF(OR($E1514="",$E1514="نامعتبر",Sync!$Y1511=""),"",Sync!$Y1511)</f>
        <v/>
      </c>
      <c r="H1514">
        <f>IF($G1514="","",IF(Sync!$X1511="","",Sync!$X1511))</f>
        <v/>
      </c>
      <c r="I1514">
        <f>IF($G1514="","",IFERROR(VLOOKUP(Sync!$X1511,OpTbl,3,0),""))</f>
        <v/>
      </c>
      <c r="J1514">
        <f>IF(OR($G1514="",Sync!$Z1511=""),"",Sync!$Z1511)</f>
        <v/>
      </c>
      <c r="K1514">
        <f>IF(OR($G1514="",Sync!$AA1511=""),"",Sync!$AA1511)</f>
        <v/>
      </c>
      <c r="L1514">
        <f>IF($G1514="",0,IF(Sync!$AB1511="",0,Sync!$AB1511))</f>
        <v/>
      </c>
      <c r="M1514">
        <f>IF($G1514="",0,IF(Sync!$AC1511="",0,Sync!$AC1511))</f>
        <v/>
      </c>
      <c r="N1514">
        <f>IF($G1514="","",IF($H1514="مرجوعی خرید",-1,1)*($L1514-$M1514*IFERROR(VLOOKUP("P01",ParamTbl,3,0),1.5))*(1-IF($I1514="خرید",IFERROR(VLOOKUP("P02",ParamTbl,3,0),1),0)/100))</f>
        <v/>
      </c>
      <c r="O1514">
        <f>IF($G1514="",0,IF($H1514="مرجوعی خرید",-1,1)*IF(Sync!$AD1511="",0,Sync!$AD1511))</f>
        <v/>
      </c>
      <c r="P1514">
        <f>IF(OR($G1514="",Sync!$W1511=""),"",Sync!$W1511)</f>
        <v/>
      </c>
      <c r="Q1514">
        <f>IF(OR($G1514="",Sync!$AE1511=""),"",Sync!$AE1511)</f>
        <v/>
      </c>
      <c r="R1514">
        <f>IF($G1514="","",IF(Sync!$V1511="","0000",IF(AND(ISNUMBER(Sync!$V1511),Sync!$V1511&gt;=0,Sync!$V1511&lt;1),RIGHT("00"&amp;HOUR(Sync!$V1511),2)&amp;RIGHT("00"&amp;MINUTE(Sync!$V1511),2),IFERROR(RIGHT("00"&amp;VALUE(LEFT(Sync!$V1511,FIND(":",Sync!$V1511)-1)),2)&amp;RIGHT("00"&amp;VALUE(MID(Sync!$V1511,FIND(":",Sync!$V1511)+1,2)),2),"0000"))))</f>
        <v/>
      </c>
    </row>
    <row r="1515">
      <c r="A1515">
        <f>IF(Sync!$U1512="","",Sync!$U1512)</f>
        <v/>
      </c>
      <c r="B1515">
        <f>IF($A1515="","",IF(ISNUMBER($A1515),IF(AND($A1515&gt;=10000101,$A1515&lt;=99991231),INT($A1515/10000),""),IFERROR(VALUE(TRIM(LEFT($A1515,FIND("/",$A1515)-1))),"")))</f>
        <v/>
      </c>
      <c r="C1515">
        <f>IF(OR($A1515="",$B1515=""),"",IF(ISNUMBER($A1515),INT(MOD($A1515,10000)/100),IFERROR(VALUE(TRIM(LEFT(MID($A1515,FIND("/",$A1515)+1,20),FIND("/",MID($A1515,FIND("/",$A1515)+1,20))-1))),"")))</f>
        <v/>
      </c>
      <c r="D1515">
        <f>IF(OR($A1515="",$B1515=""),"",IF(ISNUMBER($A1515),MOD($A1515,100),IFERROR(VALUE(TRIM(MID(MID($A1515,FIND("/",$A1515)+1,20),FIND("/",MID($A1515,FIND("/",$A1515)+1,20))+1,20))),"")))</f>
        <v/>
      </c>
      <c r="E1515">
        <f>IF($A1515="","",IF(OR($B1515="",$C1515="",$D1515="",$B1515&lt;1300,$B1515&gt;1500,$C1515&lt;1,$C1515&gt;12,$D1515&lt;1,$D1515&gt;31),"نامعتبر",RIGHT("0000"&amp;$B1515,4)&amp;"/"&amp;RIGHT("00"&amp;$C1515,2)&amp;"/"&amp;RIGHT("00"&amp;$D1515,2)))</f>
        <v/>
      </c>
      <c r="F1515">
        <f>IF(OR($E1515="",$E1515="نامعتبر"),"",LEFT($E1515,4)&amp;"/"&amp;MID($E1515,6,2))</f>
        <v/>
      </c>
      <c r="G1515">
        <f>IF(OR($E1515="",$E1515="نامعتبر",Sync!$Y1512=""),"",Sync!$Y1512)</f>
        <v/>
      </c>
      <c r="H1515">
        <f>IF($G1515="","",IF(Sync!$X1512="","",Sync!$X1512))</f>
        <v/>
      </c>
      <c r="I1515">
        <f>IF($G1515="","",IFERROR(VLOOKUP(Sync!$X1512,OpTbl,3,0),""))</f>
        <v/>
      </c>
      <c r="J1515">
        <f>IF(OR($G1515="",Sync!$Z1512=""),"",Sync!$Z1512)</f>
        <v/>
      </c>
      <c r="K1515">
        <f>IF(OR($G1515="",Sync!$AA1512=""),"",Sync!$AA1512)</f>
        <v/>
      </c>
      <c r="L1515">
        <f>IF($G1515="",0,IF(Sync!$AB1512="",0,Sync!$AB1512))</f>
        <v/>
      </c>
      <c r="M1515">
        <f>IF($G1515="",0,IF(Sync!$AC1512="",0,Sync!$AC1512))</f>
        <v/>
      </c>
      <c r="N1515">
        <f>IF($G1515="","",IF($H1515="مرجوعی خرید",-1,1)*($L1515-$M1515*IFERROR(VLOOKUP("P01",ParamTbl,3,0),1.5))*(1-IF($I1515="خرید",IFERROR(VLOOKUP("P02",ParamTbl,3,0),1),0)/100))</f>
        <v/>
      </c>
      <c r="O1515">
        <f>IF($G1515="",0,IF($H1515="مرجوعی خرید",-1,1)*IF(Sync!$AD1512="",0,Sync!$AD1512))</f>
        <v/>
      </c>
      <c r="P1515">
        <f>IF(OR($G1515="",Sync!$W1512=""),"",Sync!$W1512)</f>
        <v/>
      </c>
      <c r="Q1515">
        <f>IF(OR($G1515="",Sync!$AE1512=""),"",Sync!$AE1512)</f>
        <v/>
      </c>
      <c r="R1515">
        <f>IF($G1515="","",IF(Sync!$V1512="","0000",IF(AND(ISNUMBER(Sync!$V1512),Sync!$V1512&gt;=0,Sync!$V1512&lt;1),RIGHT("00"&amp;HOUR(Sync!$V1512),2)&amp;RIGHT("00"&amp;MINUTE(Sync!$V1512),2),IFERROR(RIGHT("00"&amp;VALUE(LEFT(Sync!$V1512,FIND(":",Sync!$V1512)-1)),2)&amp;RIGHT("00"&amp;VALUE(MID(Sync!$V1512,FIND(":",Sync!$V1512)+1,2)),2),"0000"))))</f>
        <v/>
      </c>
    </row>
    <row r="1516">
      <c r="A1516">
        <f>IF(Sync!$U1513="","",Sync!$U1513)</f>
        <v/>
      </c>
      <c r="B1516">
        <f>IF($A1516="","",IF(ISNUMBER($A1516),IF(AND($A1516&gt;=10000101,$A1516&lt;=99991231),INT($A1516/10000),""),IFERROR(VALUE(TRIM(LEFT($A1516,FIND("/",$A1516)-1))),"")))</f>
        <v/>
      </c>
      <c r="C1516">
        <f>IF(OR($A1516="",$B1516=""),"",IF(ISNUMBER($A1516),INT(MOD($A1516,10000)/100),IFERROR(VALUE(TRIM(LEFT(MID($A1516,FIND("/",$A1516)+1,20),FIND("/",MID($A1516,FIND("/",$A1516)+1,20))-1))),"")))</f>
        <v/>
      </c>
      <c r="D1516">
        <f>IF(OR($A1516="",$B1516=""),"",IF(ISNUMBER($A1516),MOD($A1516,100),IFERROR(VALUE(TRIM(MID(MID($A1516,FIND("/",$A1516)+1,20),FIND("/",MID($A1516,FIND("/",$A1516)+1,20))+1,20))),"")))</f>
        <v/>
      </c>
      <c r="E1516">
        <f>IF($A1516="","",IF(OR($B1516="",$C1516="",$D1516="",$B1516&lt;1300,$B1516&gt;1500,$C1516&lt;1,$C1516&gt;12,$D1516&lt;1,$D1516&gt;31),"نامعتبر",RIGHT("0000"&amp;$B1516,4)&amp;"/"&amp;RIGHT("00"&amp;$C1516,2)&amp;"/"&amp;RIGHT("00"&amp;$D1516,2)))</f>
        <v/>
      </c>
      <c r="F1516">
        <f>IF(OR($E1516="",$E1516="نامعتبر"),"",LEFT($E1516,4)&amp;"/"&amp;MID($E1516,6,2))</f>
        <v/>
      </c>
      <c r="G1516">
        <f>IF(OR($E1516="",$E1516="نامعتبر",Sync!$Y1513=""),"",Sync!$Y1513)</f>
        <v/>
      </c>
      <c r="H1516">
        <f>IF($G1516="","",IF(Sync!$X1513="","",Sync!$X1513))</f>
        <v/>
      </c>
      <c r="I1516">
        <f>IF($G1516="","",IFERROR(VLOOKUP(Sync!$X1513,OpTbl,3,0),""))</f>
        <v/>
      </c>
      <c r="J1516">
        <f>IF(OR($G1516="",Sync!$Z1513=""),"",Sync!$Z1513)</f>
        <v/>
      </c>
      <c r="K1516">
        <f>IF(OR($G1516="",Sync!$AA1513=""),"",Sync!$AA1513)</f>
        <v/>
      </c>
      <c r="L1516">
        <f>IF($G1516="",0,IF(Sync!$AB1513="",0,Sync!$AB1513))</f>
        <v/>
      </c>
      <c r="M1516">
        <f>IF($G1516="",0,IF(Sync!$AC1513="",0,Sync!$AC1513))</f>
        <v/>
      </c>
      <c r="N1516">
        <f>IF($G1516="","",IF($H1516="مرجوعی خرید",-1,1)*($L1516-$M1516*IFERROR(VLOOKUP("P01",ParamTbl,3,0),1.5))*(1-IF($I1516="خرید",IFERROR(VLOOKUP("P02",ParamTbl,3,0),1),0)/100))</f>
        <v/>
      </c>
      <c r="O1516">
        <f>IF($G1516="",0,IF($H1516="مرجوعی خرید",-1,1)*IF(Sync!$AD1513="",0,Sync!$AD1513))</f>
        <v/>
      </c>
      <c r="P1516">
        <f>IF(OR($G1516="",Sync!$W1513=""),"",Sync!$W1513)</f>
        <v/>
      </c>
      <c r="Q1516">
        <f>IF(OR($G1516="",Sync!$AE1513=""),"",Sync!$AE1513)</f>
        <v/>
      </c>
      <c r="R1516">
        <f>IF($G1516="","",IF(Sync!$V1513="","0000",IF(AND(ISNUMBER(Sync!$V1513),Sync!$V1513&gt;=0,Sync!$V1513&lt;1),RIGHT("00"&amp;HOUR(Sync!$V1513),2)&amp;RIGHT("00"&amp;MINUTE(Sync!$V1513),2),IFERROR(RIGHT("00"&amp;VALUE(LEFT(Sync!$V1513,FIND(":",Sync!$V1513)-1)),2)&amp;RIGHT("00"&amp;VALUE(MID(Sync!$V1513,FIND(":",Sync!$V1513)+1,2)),2),"0000"))))</f>
        <v/>
      </c>
    </row>
    <row r="1517">
      <c r="A1517">
        <f>IF(Sync!$U1514="","",Sync!$U1514)</f>
        <v/>
      </c>
      <c r="B1517">
        <f>IF($A1517="","",IF(ISNUMBER($A1517),IF(AND($A1517&gt;=10000101,$A1517&lt;=99991231),INT($A1517/10000),""),IFERROR(VALUE(TRIM(LEFT($A1517,FIND("/",$A1517)-1))),"")))</f>
        <v/>
      </c>
      <c r="C1517">
        <f>IF(OR($A1517="",$B1517=""),"",IF(ISNUMBER($A1517),INT(MOD($A1517,10000)/100),IFERROR(VALUE(TRIM(LEFT(MID($A1517,FIND("/",$A1517)+1,20),FIND("/",MID($A1517,FIND("/",$A1517)+1,20))-1))),"")))</f>
        <v/>
      </c>
      <c r="D1517">
        <f>IF(OR($A1517="",$B1517=""),"",IF(ISNUMBER($A1517),MOD($A1517,100),IFERROR(VALUE(TRIM(MID(MID($A1517,FIND("/",$A1517)+1,20),FIND("/",MID($A1517,FIND("/",$A1517)+1,20))+1,20))),"")))</f>
        <v/>
      </c>
      <c r="E1517">
        <f>IF($A1517="","",IF(OR($B1517="",$C1517="",$D1517="",$B1517&lt;1300,$B1517&gt;1500,$C1517&lt;1,$C1517&gt;12,$D1517&lt;1,$D1517&gt;31),"نامعتبر",RIGHT("0000"&amp;$B1517,4)&amp;"/"&amp;RIGHT("00"&amp;$C1517,2)&amp;"/"&amp;RIGHT("00"&amp;$D1517,2)))</f>
        <v/>
      </c>
      <c r="F1517">
        <f>IF(OR($E1517="",$E1517="نامعتبر"),"",LEFT($E1517,4)&amp;"/"&amp;MID($E1517,6,2))</f>
        <v/>
      </c>
      <c r="G1517">
        <f>IF(OR($E1517="",$E1517="نامعتبر",Sync!$Y1514=""),"",Sync!$Y1514)</f>
        <v/>
      </c>
      <c r="H1517">
        <f>IF($G1517="","",IF(Sync!$X1514="","",Sync!$X1514))</f>
        <v/>
      </c>
      <c r="I1517">
        <f>IF($G1517="","",IFERROR(VLOOKUP(Sync!$X1514,OpTbl,3,0),""))</f>
        <v/>
      </c>
      <c r="J1517">
        <f>IF(OR($G1517="",Sync!$Z1514=""),"",Sync!$Z1514)</f>
        <v/>
      </c>
      <c r="K1517">
        <f>IF(OR($G1517="",Sync!$AA1514=""),"",Sync!$AA1514)</f>
        <v/>
      </c>
      <c r="L1517">
        <f>IF($G1517="",0,IF(Sync!$AB1514="",0,Sync!$AB1514))</f>
        <v/>
      </c>
      <c r="M1517">
        <f>IF($G1517="",0,IF(Sync!$AC1514="",0,Sync!$AC1514))</f>
        <v/>
      </c>
      <c r="N1517">
        <f>IF($G1517="","",IF($H1517="مرجوعی خرید",-1,1)*($L1517-$M1517*IFERROR(VLOOKUP("P01",ParamTbl,3,0),1.5))*(1-IF($I1517="خرید",IFERROR(VLOOKUP("P02",ParamTbl,3,0),1),0)/100))</f>
        <v/>
      </c>
      <c r="O1517">
        <f>IF($G1517="",0,IF($H1517="مرجوعی خرید",-1,1)*IF(Sync!$AD1514="",0,Sync!$AD1514))</f>
        <v/>
      </c>
      <c r="P1517">
        <f>IF(OR($G1517="",Sync!$W1514=""),"",Sync!$W1514)</f>
        <v/>
      </c>
      <c r="Q1517">
        <f>IF(OR($G1517="",Sync!$AE1514=""),"",Sync!$AE1514)</f>
        <v/>
      </c>
      <c r="R1517">
        <f>IF($G1517="","",IF(Sync!$V1514="","0000",IF(AND(ISNUMBER(Sync!$V1514),Sync!$V1514&gt;=0,Sync!$V1514&lt;1),RIGHT("00"&amp;HOUR(Sync!$V1514),2)&amp;RIGHT("00"&amp;MINUTE(Sync!$V1514),2),IFERROR(RIGHT("00"&amp;VALUE(LEFT(Sync!$V1514,FIND(":",Sync!$V1514)-1)),2)&amp;RIGHT("00"&amp;VALUE(MID(Sync!$V1514,FIND(":",Sync!$V1514)+1,2)),2),"0000"))))</f>
        <v/>
      </c>
    </row>
    <row r="1518">
      <c r="A1518">
        <f>IF(Sync!$U1515="","",Sync!$U1515)</f>
        <v/>
      </c>
      <c r="B1518">
        <f>IF($A1518="","",IF(ISNUMBER($A1518),IF(AND($A1518&gt;=10000101,$A1518&lt;=99991231),INT($A1518/10000),""),IFERROR(VALUE(TRIM(LEFT($A1518,FIND("/",$A1518)-1))),"")))</f>
        <v/>
      </c>
      <c r="C1518">
        <f>IF(OR($A1518="",$B1518=""),"",IF(ISNUMBER($A1518),INT(MOD($A1518,10000)/100),IFERROR(VALUE(TRIM(LEFT(MID($A1518,FIND("/",$A1518)+1,20),FIND("/",MID($A1518,FIND("/",$A1518)+1,20))-1))),"")))</f>
        <v/>
      </c>
      <c r="D1518">
        <f>IF(OR($A1518="",$B1518=""),"",IF(ISNUMBER($A1518),MOD($A1518,100),IFERROR(VALUE(TRIM(MID(MID($A1518,FIND("/",$A1518)+1,20),FIND("/",MID($A1518,FIND("/",$A1518)+1,20))+1,20))),"")))</f>
        <v/>
      </c>
      <c r="E1518">
        <f>IF($A1518="","",IF(OR($B1518="",$C1518="",$D1518="",$B1518&lt;1300,$B1518&gt;1500,$C1518&lt;1,$C1518&gt;12,$D1518&lt;1,$D1518&gt;31),"نامعتبر",RIGHT("0000"&amp;$B1518,4)&amp;"/"&amp;RIGHT("00"&amp;$C1518,2)&amp;"/"&amp;RIGHT("00"&amp;$D1518,2)))</f>
        <v/>
      </c>
      <c r="F1518">
        <f>IF(OR($E1518="",$E1518="نامعتبر"),"",LEFT($E1518,4)&amp;"/"&amp;MID($E1518,6,2))</f>
        <v/>
      </c>
      <c r="G1518">
        <f>IF(OR($E1518="",$E1518="نامعتبر",Sync!$Y1515=""),"",Sync!$Y1515)</f>
        <v/>
      </c>
      <c r="H1518">
        <f>IF($G1518="","",IF(Sync!$X1515="","",Sync!$X1515))</f>
        <v/>
      </c>
      <c r="I1518">
        <f>IF($G1518="","",IFERROR(VLOOKUP(Sync!$X1515,OpTbl,3,0),""))</f>
        <v/>
      </c>
      <c r="J1518">
        <f>IF(OR($G1518="",Sync!$Z1515=""),"",Sync!$Z1515)</f>
        <v/>
      </c>
      <c r="K1518">
        <f>IF(OR($G1518="",Sync!$AA1515=""),"",Sync!$AA1515)</f>
        <v/>
      </c>
      <c r="L1518">
        <f>IF($G1518="",0,IF(Sync!$AB1515="",0,Sync!$AB1515))</f>
        <v/>
      </c>
      <c r="M1518">
        <f>IF($G1518="",0,IF(Sync!$AC1515="",0,Sync!$AC1515))</f>
        <v/>
      </c>
      <c r="N1518">
        <f>IF($G1518="","",IF($H1518="مرجوعی خرید",-1,1)*($L1518-$M1518*IFERROR(VLOOKUP("P01",ParamTbl,3,0),1.5))*(1-IF($I1518="خرید",IFERROR(VLOOKUP("P02",ParamTbl,3,0),1),0)/100))</f>
        <v/>
      </c>
      <c r="O1518">
        <f>IF($G1518="",0,IF($H1518="مرجوعی خرید",-1,1)*IF(Sync!$AD1515="",0,Sync!$AD1515))</f>
        <v/>
      </c>
      <c r="P1518">
        <f>IF(OR($G1518="",Sync!$W1515=""),"",Sync!$W1515)</f>
        <v/>
      </c>
      <c r="Q1518">
        <f>IF(OR($G1518="",Sync!$AE1515=""),"",Sync!$AE1515)</f>
        <v/>
      </c>
      <c r="R1518">
        <f>IF($G1518="","",IF(Sync!$V1515="","0000",IF(AND(ISNUMBER(Sync!$V1515),Sync!$V1515&gt;=0,Sync!$V1515&lt;1),RIGHT("00"&amp;HOUR(Sync!$V1515),2)&amp;RIGHT("00"&amp;MINUTE(Sync!$V1515),2),IFERROR(RIGHT("00"&amp;VALUE(LEFT(Sync!$V1515,FIND(":",Sync!$V1515)-1)),2)&amp;RIGHT("00"&amp;VALUE(MID(Sync!$V1515,FIND(":",Sync!$V1515)+1,2)),2),"0000"))))</f>
        <v/>
      </c>
    </row>
    <row r="1519">
      <c r="A1519">
        <f>IF(Sync!$U1516="","",Sync!$U1516)</f>
        <v/>
      </c>
      <c r="B1519">
        <f>IF($A1519="","",IF(ISNUMBER($A1519),IF(AND($A1519&gt;=10000101,$A1519&lt;=99991231),INT($A1519/10000),""),IFERROR(VALUE(TRIM(LEFT($A1519,FIND("/",$A1519)-1))),"")))</f>
        <v/>
      </c>
      <c r="C1519">
        <f>IF(OR($A1519="",$B1519=""),"",IF(ISNUMBER($A1519),INT(MOD($A1519,10000)/100),IFERROR(VALUE(TRIM(LEFT(MID($A1519,FIND("/",$A1519)+1,20),FIND("/",MID($A1519,FIND("/",$A1519)+1,20))-1))),"")))</f>
        <v/>
      </c>
      <c r="D1519">
        <f>IF(OR($A1519="",$B1519=""),"",IF(ISNUMBER($A1519),MOD($A1519,100),IFERROR(VALUE(TRIM(MID(MID($A1519,FIND("/",$A1519)+1,20),FIND("/",MID($A1519,FIND("/",$A1519)+1,20))+1,20))),"")))</f>
        <v/>
      </c>
      <c r="E1519">
        <f>IF($A1519="","",IF(OR($B1519="",$C1519="",$D1519="",$B1519&lt;1300,$B1519&gt;1500,$C1519&lt;1,$C1519&gt;12,$D1519&lt;1,$D1519&gt;31),"نامعتبر",RIGHT("0000"&amp;$B1519,4)&amp;"/"&amp;RIGHT("00"&amp;$C1519,2)&amp;"/"&amp;RIGHT("00"&amp;$D1519,2)))</f>
        <v/>
      </c>
      <c r="F1519">
        <f>IF(OR($E1519="",$E1519="نامعتبر"),"",LEFT($E1519,4)&amp;"/"&amp;MID($E1519,6,2))</f>
        <v/>
      </c>
      <c r="G1519">
        <f>IF(OR($E1519="",$E1519="نامعتبر",Sync!$Y1516=""),"",Sync!$Y1516)</f>
        <v/>
      </c>
      <c r="H1519">
        <f>IF($G1519="","",IF(Sync!$X1516="","",Sync!$X1516))</f>
        <v/>
      </c>
      <c r="I1519">
        <f>IF($G1519="","",IFERROR(VLOOKUP(Sync!$X1516,OpTbl,3,0),""))</f>
        <v/>
      </c>
      <c r="J1519">
        <f>IF(OR($G1519="",Sync!$Z1516=""),"",Sync!$Z1516)</f>
        <v/>
      </c>
      <c r="K1519">
        <f>IF(OR($G1519="",Sync!$AA1516=""),"",Sync!$AA1516)</f>
        <v/>
      </c>
      <c r="L1519">
        <f>IF($G1519="",0,IF(Sync!$AB1516="",0,Sync!$AB1516))</f>
        <v/>
      </c>
      <c r="M1519">
        <f>IF($G1519="",0,IF(Sync!$AC1516="",0,Sync!$AC1516))</f>
        <v/>
      </c>
      <c r="N1519">
        <f>IF($G1519="","",IF($H1519="مرجوعی خرید",-1,1)*($L1519-$M1519*IFERROR(VLOOKUP("P01",ParamTbl,3,0),1.5))*(1-IF($I1519="خرید",IFERROR(VLOOKUP("P02",ParamTbl,3,0),1),0)/100))</f>
        <v/>
      </c>
      <c r="O1519">
        <f>IF($G1519="",0,IF($H1519="مرجوعی خرید",-1,1)*IF(Sync!$AD1516="",0,Sync!$AD1516))</f>
        <v/>
      </c>
      <c r="P1519">
        <f>IF(OR($G1519="",Sync!$W1516=""),"",Sync!$W1516)</f>
        <v/>
      </c>
      <c r="Q1519">
        <f>IF(OR($G1519="",Sync!$AE1516=""),"",Sync!$AE1516)</f>
        <v/>
      </c>
      <c r="R1519">
        <f>IF($G1519="","",IF(Sync!$V1516="","0000",IF(AND(ISNUMBER(Sync!$V1516),Sync!$V1516&gt;=0,Sync!$V1516&lt;1),RIGHT("00"&amp;HOUR(Sync!$V1516),2)&amp;RIGHT("00"&amp;MINUTE(Sync!$V1516),2),IFERROR(RIGHT("00"&amp;VALUE(LEFT(Sync!$V1516,FIND(":",Sync!$V1516)-1)),2)&amp;RIGHT("00"&amp;VALUE(MID(Sync!$V1516,FIND(":",Sync!$V1516)+1,2)),2),"0000"))))</f>
        <v/>
      </c>
    </row>
    <row r="1520">
      <c r="A1520">
        <f>IF(Sync!$U1517="","",Sync!$U1517)</f>
        <v/>
      </c>
      <c r="B1520">
        <f>IF($A1520="","",IF(ISNUMBER($A1520),IF(AND($A1520&gt;=10000101,$A1520&lt;=99991231),INT($A1520/10000),""),IFERROR(VALUE(TRIM(LEFT($A1520,FIND("/",$A1520)-1))),"")))</f>
        <v/>
      </c>
      <c r="C1520">
        <f>IF(OR($A1520="",$B1520=""),"",IF(ISNUMBER($A1520),INT(MOD($A1520,10000)/100),IFERROR(VALUE(TRIM(LEFT(MID($A1520,FIND("/",$A1520)+1,20),FIND("/",MID($A1520,FIND("/",$A1520)+1,20))-1))),"")))</f>
        <v/>
      </c>
      <c r="D1520">
        <f>IF(OR($A1520="",$B1520=""),"",IF(ISNUMBER($A1520),MOD($A1520,100),IFERROR(VALUE(TRIM(MID(MID($A1520,FIND("/",$A1520)+1,20),FIND("/",MID($A1520,FIND("/",$A1520)+1,20))+1,20))),"")))</f>
        <v/>
      </c>
      <c r="E1520">
        <f>IF($A1520="","",IF(OR($B1520="",$C1520="",$D1520="",$B1520&lt;1300,$B1520&gt;1500,$C1520&lt;1,$C1520&gt;12,$D1520&lt;1,$D1520&gt;31),"نامعتبر",RIGHT("0000"&amp;$B1520,4)&amp;"/"&amp;RIGHT("00"&amp;$C1520,2)&amp;"/"&amp;RIGHT("00"&amp;$D1520,2)))</f>
        <v/>
      </c>
      <c r="F1520">
        <f>IF(OR($E1520="",$E1520="نامعتبر"),"",LEFT($E1520,4)&amp;"/"&amp;MID($E1520,6,2))</f>
        <v/>
      </c>
      <c r="G1520">
        <f>IF(OR($E1520="",$E1520="نامعتبر",Sync!$Y1517=""),"",Sync!$Y1517)</f>
        <v/>
      </c>
      <c r="H1520">
        <f>IF($G1520="","",IF(Sync!$X1517="","",Sync!$X1517))</f>
        <v/>
      </c>
      <c r="I1520">
        <f>IF($G1520="","",IFERROR(VLOOKUP(Sync!$X1517,OpTbl,3,0),""))</f>
        <v/>
      </c>
      <c r="J1520">
        <f>IF(OR($G1520="",Sync!$Z1517=""),"",Sync!$Z1517)</f>
        <v/>
      </c>
      <c r="K1520">
        <f>IF(OR($G1520="",Sync!$AA1517=""),"",Sync!$AA1517)</f>
        <v/>
      </c>
      <c r="L1520">
        <f>IF($G1520="",0,IF(Sync!$AB1517="",0,Sync!$AB1517))</f>
        <v/>
      </c>
      <c r="M1520">
        <f>IF($G1520="",0,IF(Sync!$AC1517="",0,Sync!$AC1517))</f>
        <v/>
      </c>
      <c r="N1520">
        <f>IF($G1520="","",IF($H1520="مرجوعی خرید",-1,1)*($L1520-$M1520*IFERROR(VLOOKUP("P01",ParamTbl,3,0),1.5))*(1-IF($I1520="خرید",IFERROR(VLOOKUP("P02",ParamTbl,3,0),1),0)/100))</f>
        <v/>
      </c>
      <c r="O1520">
        <f>IF($G1520="",0,IF($H1520="مرجوعی خرید",-1,1)*IF(Sync!$AD1517="",0,Sync!$AD1517))</f>
        <v/>
      </c>
      <c r="P1520">
        <f>IF(OR($G1520="",Sync!$W1517=""),"",Sync!$W1517)</f>
        <v/>
      </c>
      <c r="Q1520">
        <f>IF(OR($G1520="",Sync!$AE1517=""),"",Sync!$AE1517)</f>
        <v/>
      </c>
      <c r="R1520">
        <f>IF($G1520="","",IF(Sync!$V1517="","0000",IF(AND(ISNUMBER(Sync!$V1517),Sync!$V1517&gt;=0,Sync!$V1517&lt;1),RIGHT("00"&amp;HOUR(Sync!$V1517),2)&amp;RIGHT("00"&amp;MINUTE(Sync!$V1517),2),IFERROR(RIGHT("00"&amp;VALUE(LEFT(Sync!$V1517,FIND(":",Sync!$V1517)-1)),2)&amp;RIGHT("00"&amp;VALUE(MID(Sync!$V1517,FIND(":",Sync!$V1517)+1,2)),2),"0000"))))</f>
        <v/>
      </c>
    </row>
    <row r="1521">
      <c r="A1521">
        <f>IF(Sync!$U1518="","",Sync!$U1518)</f>
        <v/>
      </c>
      <c r="B1521">
        <f>IF($A1521="","",IF(ISNUMBER($A1521),IF(AND($A1521&gt;=10000101,$A1521&lt;=99991231),INT($A1521/10000),""),IFERROR(VALUE(TRIM(LEFT($A1521,FIND("/",$A1521)-1))),"")))</f>
        <v/>
      </c>
      <c r="C1521">
        <f>IF(OR($A1521="",$B1521=""),"",IF(ISNUMBER($A1521),INT(MOD($A1521,10000)/100),IFERROR(VALUE(TRIM(LEFT(MID($A1521,FIND("/",$A1521)+1,20),FIND("/",MID($A1521,FIND("/",$A1521)+1,20))-1))),"")))</f>
        <v/>
      </c>
      <c r="D1521">
        <f>IF(OR($A1521="",$B1521=""),"",IF(ISNUMBER($A1521),MOD($A1521,100),IFERROR(VALUE(TRIM(MID(MID($A1521,FIND("/",$A1521)+1,20),FIND("/",MID($A1521,FIND("/",$A1521)+1,20))+1,20))),"")))</f>
        <v/>
      </c>
      <c r="E1521">
        <f>IF($A1521="","",IF(OR($B1521="",$C1521="",$D1521="",$B1521&lt;1300,$B1521&gt;1500,$C1521&lt;1,$C1521&gt;12,$D1521&lt;1,$D1521&gt;31),"نامعتبر",RIGHT("0000"&amp;$B1521,4)&amp;"/"&amp;RIGHT("00"&amp;$C1521,2)&amp;"/"&amp;RIGHT("00"&amp;$D1521,2)))</f>
        <v/>
      </c>
      <c r="F1521">
        <f>IF(OR($E1521="",$E1521="نامعتبر"),"",LEFT($E1521,4)&amp;"/"&amp;MID($E1521,6,2))</f>
        <v/>
      </c>
      <c r="G1521">
        <f>IF(OR($E1521="",$E1521="نامعتبر",Sync!$Y1518=""),"",Sync!$Y1518)</f>
        <v/>
      </c>
      <c r="H1521">
        <f>IF($G1521="","",IF(Sync!$X1518="","",Sync!$X1518))</f>
        <v/>
      </c>
      <c r="I1521">
        <f>IF($G1521="","",IFERROR(VLOOKUP(Sync!$X1518,OpTbl,3,0),""))</f>
        <v/>
      </c>
      <c r="J1521">
        <f>IF(OR($G1521="",Sync!$Z1518=""),"",Sync!$Z1518)</f>
        <v/>
      </c>
      <c r="K1521">
        <f>IF(OR($G1521="",Sync!$AA1518=""),"",Sync!$AA1518)</f>
        <v/>
      </c>
      <c r="L1521">
        <f>IF($G1521="",0,IF(Sync!$AB1518="",0,Sync!$AB1518))</f>
        <v/>
      </c>
      <c r="M1521">
        <f>IF($G1521="",0,IF(Sync!$AC1518="",0,Sync!$AC1518))</f>
        <v/>
      </c>
      <c r="N1521">
        <f>IF($G1521="","",IF($H1521="مرجوعی خرید",-1,1)*($L1521-$M1521*IFERROR(VLOOKUP("P01",ParamTbl,3,0),1.5))*(1-IF($I1521="خرید",IFERROR(VLOOKUP("P02",ParamTbl,3,0),1),0)/100))</f>
        <v/>
      </c>
      <c r="O1521">
        <f>IF($G1521="",0,IF($H1521="مرجوعی خرید",-1,1)*IF(Sync!$AD1518="",0,Sync!$AD1518))</f>
        <v/>
      </c>
      <c r="P1521">
        <f>IF(OR($G1521="",Sync!$W1518=""),"",Sync!$W1518)</f>
        <v/>
      </c>
      <c r="Q1521">
        <f>IF(OR($G1521="",Sync!$AE1518=""),"",Sync!$AE1518)</f>
        <v/>
      </c>
      <c r="R1521">
        <f>IF($G1521="","",IF(Sync!$V1518="","0000",IF(AND(ISNUMBER(Sync!$V1518),Sync!$V1518&gt;=0,Sync!$V1518&lt;1),RIGHT("00"&amp;HOUR(Sync!$V1518),2)&amp;RIGHT("00"&amp;MINUTE(Sync!$V1518),2),IFERROR(RIGHT("00"&amp;VALUE(LEFT(Sync!$V1518,FIND(":",Sync!$V1518)-1)),2)&amp;RIGHT("00"&amp;VALUE(MID(Sync!$V1518,FIND(":",Sync!$V1518)+1,2)),2),"0000"))))</f>
        <v/>
      </c>
    </row>
    <row r="1522">
      <c r="A1522">
        <f>IF(Sync!$U1519="","",Sync!$U1519)</f>
        <v/>
      </c>
      <c r="B1522">
        <f>IF($A1522="","",IF(ISNUMBER($A1522),IF(AND($A1522&gt;=10000101,$A1522&lt;=99991231),INT($A1522/10000),""),IFERROR(VALUE(TRIM(LEFT($A1522,FIND("/",$A1522)-1))),"")))</f>
        <v/>
      </c>
      <c r="C1522">
        <f>IF(OR($A1522="",$B1522=""),"",IF(ISNUMBER($A1522),INT(MOD($A1522,10000)/100),IFERROR(VALUE(TRIM(LEFT(MID($A1522,FIND("/",$A1522)+1,20),FIND("/",MID($A1522,FIND("/",$A1522)+1,20))-1))),"")))</f>
        <v/>
      </c>
      <c r="D1522">
        <f>IF(OR($A1522="",$B1522=""),"",IF(ISNUMBER($A1522),MOD($A1522,100),IFERROR(VALUE(TRIM(MID(MID($A1522,FIND("/",$A1522)+1,20),FIND("/",MID($A1522,FIND("/",$A1522)+1,20))+1,20))),"")))</f>
        <v/>
      </c>
      <c r="E1522">
        <f>IF($A1522="","",IF(OR($B1522="",$C1522="",$D1522="",$B1522&lt;1300,$B1522&gt;1500,$C1522&lt;1,$C1522&gt;12,$D1522&lt;1,$D1522&gt;31),"نامعتبر",RIGHT("0000"&amp;$B1522,4)&amp;"/"&amp;RIGHT("00"&amp;$C1522,2)&amp;"/"&amp;RIGHT("00"&amp;$D1522,2)))</f>
        <v/>
      </c>
      <c r="F1522">
        <f>IF(OR($E1522="",$E1522="نامعتبر"),"",LEFT($E1522,4)&amp;"/"&amp;MID($E1522,6,2))</f>
        <v/>
      </c>
      <c r="G1522">
        <f>IF(OR($E1522="",$E1522="نامعتبر",Sync!$Y1519=""),"",Sync!$Y1519)</f>
        <v/>
      </c>
      <c r="H1522">
        <f>IF($G1522="","",IF(Sync!$X1519="","",Sync!$X1519))</f>
        <v/>
      </c>
      <c r="I1522">
        <f>IF($G1522="","",IFERROR(VLOOKUP(Sync!$X1519,OpTbl,3,0),""))</f>
        <v/>
      </c>
      <c r="J1522">
        <f>IF(OR($G1522="",Sync!$Z1519=""),"",Sync!$Z1519)</f>
        <v/>
      </c>
      <c r="K1522">
        <f>IF(OR($G1522="",Sync!$AA1519=""),"",Sync!$AA1519)</f>
        <v/>
      </c>
      <c r="L1522">
        <f>IF($G1522="",0,IF(Sync!$AB1519="",0,Sync!$AB1519))</f>
        <v/>
      </c>
      <c r="M1522">
        <f>IF($G1522="",0,IF(Sync!$AC1519="",0,Sync!$AC1519))</f>
        <v/>
      </c>
      <c r="N1522">
        <f>IF($G1522="","",IF($H1522="مرجوعی خرید",-1,1)*($L1522-$M1522*IFERROR(VLOOKUP("P01",ParamTbl,3,0),1.5))*(1-IF($I1522="خرید",IFERROR(VLOOKUP("P02",ParamTbl,3,0),1),0)/100))</f>
        <v/>
      </c>
      <c r="O1522">
        <f>IF($G1522="",0,IF($H1522="مرجوعی خرید",-1,1)*IF(Sync!$AD1519="",0,Sync!$AD1519))</f>
        <v/>
      </c>
      <c r="P1522">
        <f>IF(OR($G1522="",Sync!$W1519=""),"",Sync!$W1519)</f>
        <v/>
      </c>
      <c r="Q1522">
        <f>IF(OR($G1522="",Sync!$AE1519=""),"",Sync!$AE1519)</f>
        <v/>
      </c>
      <c r="R1522">
        <f>IF($G1522="","",IF(Sync!$V1519="","0000",IF(AND(ISNUMBER(Sync!$V1519),Sync!$V1519&gt;=0,Sync!$V1519&lt;1),RIGHT("00"&amp;HOUR(Sync!$V1519),2)&amp;RIGHT("00"&amp;MINUTE(Sync!$V1519),2),IFERROR(RIGHT("00"&amp;VALUE(LEFT(Sync!$V1519,FIND(":",Sync!$V1519)-1)),2)&amp;RIGHT("00"&amp;VALUE(MID(Sync!$V1519,FIND(":",Sync!$V1519)+1,2)),2),"0000"))))</f>
        <v/>
      </c>
    </row>
    <row r="1523">
      <c r="A1523">
        <f>IF(Sync!$U1520="","",Sync!$U1520)</f>
        <v/>
      </c>
      <c r="B1523">
        <f>IF($A1523="","",IF(ISNUMBER($A1523),IF(AND($A1523&gt;=10000101,$A1523&lt;=99991231),INT($A1523/10000),""),IFERROR(VALUE(TRIM(LEFT($A1523,FIND("/",$A1523)-1))),"")))</f>
        <v/>
      </c>
      <c r="C1523">
        <f>IF(OR($A1523="",$B1523=""),"",IF(ISNUMBER($A1523),INT(MOD($A1523,10000)/100),IFERROR(VALUE(TRIM(LEFT(MID($A1523,FIND("/",$A1523)+1,20),FIND("/",MID($A1523,FIND("/",$A1523)+1,20))-1))),"")))</f>
        <v/>
      </c>
      <c r="D1523">
        <f>IF(OR($A1523="",$B1523=""),"",IF(ISNUMBER($A1523),MOD($A1523,100),IFERROR(VALUE(TRIM(MID(MID($A1523,FIND("/",$A1523)+1,20),FIND("/",MID($A1523,FIND("/",$A1523)+1,20))+1,20))),"")))</f>
        <v/>
      </c>
      <c r="E1523">
        <f>IF($A1523="","",IF(OR($B1523="",$C1523="",$D1523="",$B1523&lt;1300,$B1523&gt;1500,$C1523&lt;1,$C1523&gt;12,$D1523&lt;1,$D1523&gt;31),"نامعتبر",RIGHT("0000"&amp;$B1523,4)&amp;"/"&amp;RIGHT("00"&amp;$C1523,2)&amp;"/"&amp;RIGHT("00"&amp;$D1523,2)))</f>
        <v/>
      </c>
      <c r="F1523">
        <f>IF(OR($E1523="",$E1523="نامعتبر"),"",LEFT($E1523,4)&amp;"/"&amp;MID($E1523,6,2))</f>
        <v/>
      </c>
      <c r="G1523">
        <f>IF(OR($E1523="",$E1523="نامعتبر",Sync!$Y1520=""),"",Sync!$Y1520)</f>
        <v/>
      </c>
      <c r="H1523">
        <f>IF($G1523="","",IF(Sync!$X1520="","",Sync!$X1520))</f>
        <v/>
      </c>
      <c r="I1523">
        <f>IF($G1523="","",IFERROR(VLOOKUP(Sync!$X1520,OpTbl,3,0),""))</f>
        <v/>
      </c>
      <c r="J1523">
        <f>IF(OR($G1523="",Sync!$Z1520=""),"",Sync!$Z1520)</f>
        <v/>
      </c>
      <c r="K1523">
        <f>IF(OR($G1523="",Sync!$AA1520=""),"",Sync!$AA1520)</f>
        <v/>
      </c>
      <c r="L1523">
        <f>IF($G1523="",0,IF(Sync!$AB1520="",0,Sync!$AB1520))</f>
        <v/>
      </c>
      <c r="M1523">
        <f>IF($G1523="",0,IF(Sync!$AC1520="",0,Sync!$AC1520))</f>
        <v/>
      </c>
      <c r="N1523">
        <f>IF($G1523="","",IF($H1523="مرجوعی خرید",-1,1)*($L1523-$M1523*IFERROR(VLOOKUP("P01",ParamTbl,3,0),1.5))*(1-IF($I1523="خرید",IFERROR(VLOOKUP("P02",ParamTbl,3,0),1),0)/100))</f>
        <v/>
      </c>
      <c r="O1523">
        <f>IF($G1523="",0,IF($H1523="مرجوعی خرید",-1,1)*IF(Sync!$AD1520="",0,Sync!$AD1520))</f>
        <v/>
      </c>
      <c r="P1523">
        <f>IF(OR($G1523="",Sync!$W1520=""),"",Sync!$W1520)</f>
        <v/>
      </c>
      <c r="Q1523">
        <f>IF(OR($G1523="",Sync!$AE1520=""),"",Sync!$AE1520)</f>
        <v/>
      </c>
      <c r="R1523">
        <f>IF($G1523="","",IF(Sync!$V1520="","0000",IF(AND(ISNUMBER(Sync!$V1520),Sync!$V1520&gt;=0,Sync!$V1520&lt;1),RIGHT("00"&amp;HOUR(Sync!$V1520),2)&amp;RIGHT("00"&amp;MINUTE(Sync!$V1520),2),IFERROR(RIGHT("00"&amp;VALUE(LEFT(Sync!$V1520,FIND(":",Sync!$V1520)-1)),2)&amp;RIGHT("00"&amp;VALUE(MID(Sync!$V1520,FIND(":",Sync!$V1520)+1,2)),2),"0000"))))</f>
        <v/>
      </c>
    </row>
    <row r="1524">
      <c r="A1524">
        <f>IF(Sync!$U1521="","",Sync!$U1521)</f>
        <v/>
      </c>
      <c r="B1524">
        <f>IF($A1524="","",IF(ISNUMBER($A1524),IF(AND($A1524&gt;=10000101,$A1524&lt;=99991231),INT($A1524/10000),""),IFERROR(VALUE(TRIM(LEFT($A1524,FIND("/",$A1524)-1))),"")))</f>
        <v/>
      </c>
      <c r="C1524">
        <f>IF(OR($A1524="",$B1524=""),"",IF(ISNUMBER($A1524),INT(MOD($A1524,10000)/100),IFERROR(VALUE(TRIM(LEFT(MID($A1524,FIND("/",$A1524)+1,20),FIND("/",MID($A1524,FIND("/",$A1524)+1,20))-1))),"")))</f>
        <v/>
      </c>
      <c r="D1524">
        <f>IF(OR($A1524="",$B1524=""),"",IF(ISNUMBER($A1524),MOD($A1524,100),IFERROR(VALUE(TRIM(MID(MID($A1524,FIND("/",$A1524)+1,20),FIND("/",MID($A1524,FIND("/",$A1524)+1,20))+1,20))),"")))</f>
        <v/>
      </c>
      <c r="E1524">
        <f>IF($A1524="","",IF(OR($B1524="",$C1524="",$D1524="",$B1524&lt;1300,$B1524&gt;1500,$C1524&lt;1,$C1524&gt;12,$D1524&lt;1,$D1524&gt;31),"نامعتبر",RIGHT("0000"&amp;$B1524,4)&amp;"/"&amp;RIGHT("00"&amp;$C1524,2)&amp;"/"&amp;RIGHT("00"&amp;$D1524,2)))</f>
        <v/>
      </c>
      <c r="F1524">
        <f>IF(OR($E1524="",$E1524="نامعتبر"),"",LEFT($E1524,4)&amp;"/"&amp;MID($E1524,6,2))</f>
        <v/>
      </c>
      <c r="G1524">
        <f>IF(OR($E1524="",$E1524="نامعتبر",Sync!$Y1521=""),"",Sync!$Y1521)</f>
        <v/>
      </c>
      <c r="H1524">
        <f>IF($G1524="","",IF(Sync!$X1521="","",Sync!$X1521))</f>
        <v/>
      </c>
      <c r="I1524">
        <f>IF($G1524="","",IFERROR(VLOOKUP(Sync!$X1521,OpTbl,3,0),""))</f>
        <v/>
      </c>
      <c r="J1524">
        <f>IF(OR($G1524="",Sync!$Z1521=""),"",Sync!$Z1521)</f>
        <v/>
      </c>
      <c r="K1524">
        <f>IF(OR($G1524="",Sync!$AA1521=""),"",Sync!$AA1521)</f>
        <v/>
      </c>
      <c r="L1524">
        <f>IF($G1524="",0,IF(Sync!$AB1521="",0,Sync!$AB1521))</f>
        <v/>
      </c>
      <c r="M1524">
        <f>IF($G1524="",0,IF(Sync!$AC1521="",0,Sync!$AC1521))</f>
        <v/>
      </c>
      <c r="N1524">
        <f>IF($G1524="","",IF($H1524="مرجوعی خرید",-1,1)*($L1524-$M1524*IFERROR(VLOOKUP("P01",ParamTbl,3,0),1.5))*(1-IF($I1524="خرید",IFERROR(VLOOKUP("P02",ParamTbl,3,0),1),0)/100))</f>
        <v/>
      </c>
      <c r="O1524">
        <f>IF($G1524="",0,IF($H1524="مرجوعی خرید",-1,1)*IF(Sync!$AD1521="",0,Sync!$AD1521))</f>
        <v/>
      </c>
      <c r="P1524">
        <f>IF(OR($G1524="",Sync!$W1521=""),"",Sync!$W1521)</f>
        <v/>
      </c>
      <c r="Q1524">
        <f>IF(OR($G1524="",Sync!$AE1521=""),"",Sync!$AE1521)</f>
        <v/>
      </c>
      <c r="R1524">
        <f>IF($G1524="","",IF(Sync!$V1521="","0000",IF(AND(ISNUMBER(Sync!$V1521),Sync!$V1521&gt;=0,Sync!$V1521&lt;1),RIGHT("00"&amp;HOUR(Sync!$V1521),2)&amp;RIGHT("00"&amp;MINUTE(Sync!$V1521),2),IFERROR(RIGHT("00"&amp;VALUE(LEFT(Sync!$V1521,FIND(":",Sync!$V1521)-1)),2)&amp;RIGHT("00"&amp;VALUE(MID(Sync!$V1521,FIND(":",Sync!$V1521)+1,2)),2),"0000"))))</f>
        <v/>
      </c>
    </row>
    <row r="1525">
      <c r="A1525">
        <f>IF(Sync!$U1522="","",Sync!$U1522)</f>
        <v/>
      </c>
      <c r="B1525">
        <f>IF($A1525="","",IF(ISNUMBER($A1525),IF(AND($A1525&gt;=10000101,$A1525&lt;=99991231),INT($A1525/10000),""),IFERROR(VALUE(TRIM(LEFT($A1525,FIND("/",$A1525)-1))),"")))</f>
        <v/>
      </c>
      <c r="C1525">
        <f>IF(OR($A1525="",$B1525=""),"",IF(ISNUMBER($A1525),INT(MOD($A1525,10000)/100),IFERROR(VALUE(TRIM(LEFT(MID($A1525,FIND("/",$A1525)+1,20),FIND("/",MID($A1525,FIND("/",$A1525)+1,20))-1))),"")))</f>
        <v/>
      </c>
      <c r="D1525">
        <f>IF(OR($A1525="",$B1525=""),"",IF(ISNUMBER($A1525),MOD($A1525,100),IFERROR(VALUE(TRIM(MID(MID($A1525,FIND("/",$A1525)+1,20),FIND("/",MID($A1525,FIND("/",$A1525)+1,20))+1,20))),"")))</f>
        <v/>
      </c>
      <c r="E1525">
        <f>IF($A1525="","",IF(OR($B1525="",$C1525="",$D1525="",$B1525&lt;1300,$B1525&gt;1500,$C1525&lt;1,$C1525&gt;12,$D1525&lt;1,$D1525&gt;31),"نامعتبر",RIGHT("0000"&amp;$B1525,4)&amp;"/"&amp;RIGHT("00"&amp;$C1525,2)&amp;"/"&amp;RIGHT("00"&amp;$D1525,2)))</f>
        <v/>
      </c>
      <c r="F1525">
        <f>IF(OR($E1525="",$E1525="نامعتبر"),"",LEFT($E1525,4)&amp;"/"&amp;MID($E1525,6,2))</f>
        <v/>
      </c>
      <c r="G1525">
        <f>IF(OR($E1525="",$E1525="نامعتبر",Sync!$Y1522=""),"",Sync!$Y1522)</f>
        <v/>
      </c>
      <c r="H1525">
        <f>IF($G1525="","",IF(Sync!$X1522="","",Sync!$X1522))</f>
        <v/>
      </c>
      <c r="I1525">
        <f>IF($G1525="","",IFERROR(VLOOKUP(Sync!$X1522,OpTbl,3,0),""))</f>
        <v/>
      </c>
      <c r="J1525">
        <f>IF(OR($G1525="",Sync!$Z1522=""),"",Sync!$Z1522)</f>
        <v/>
      </c>
      <c r="K1525">
        <f>IF(OR($G1525="",Sync!$AA1522=""),"",Sync!$AA1522)</f>
        <v/>
      </c>
      <c r="L1525">
        <f>IF($G1525="",0,IF(Sync!$AB1522="",0,Sync!$AB1522))</f>
        <v/>
      </c>
      <c r="M1525">
        <f>IF($G1525="",0,IF(Sync!$AC1522="",0,Sync!$AC1522))</f>
        <v/>
      </c>
      <c r="N1525">
        <f>IF($G1525="","",IF($H1525="مرجوعی خرید",-1,1)*($L1525-$M1525*IFERROR(VLOOKUP("P01",ParamTbl,3,0),1.5))*(1-IF($I1525="خرید",IFERROR(VLOOKUP("P02",ParamTbl,3,0),1),0)/100))</f>
        <v/>
      </c>
      <c r="O1525">
        <f>IF($G1525="",0,IF($H1525="مرجوعی خرید",-1,1)*IF(Sync!$AD1522="",0,Sync!$AD1522))</f>
        <v/>
      </c>
      <c r="P1525">
        <f>IF(OR($G1525="",Sync!$W1522=""),"",Sync!$W1522)</f>
        <v/>
      </c>
      <c r="Q1525">
        <f>IF(OR($G1525="",Sync!$AE1522=""),"",Sync!$AE1522)</f>
        <v/>
      </c>
      <c r="R1525">
        <f>IF($G1525="","",IF(Sync!$V1522="","0000",IF(AND(ISNUMBER(Sync!$V1522),Sync!$V1522&gt;=0,Sync!$V1522&lt;1),RIGHT("00"&amp;HOUR(Sync!$V1522),2)&amp;RIGHT("00"&amp;MINUTE(Sync!$V1522),2),IFERROR(RIGHT("00"&amp;VALUE(LEFT(Sync!$V1522,FIND(":",Sync!$V1522)-1)),2)&amp;RIGHT("00"&amp;VALUE(MID(Sync!$V1522,FIND(":",Sync!$V1522)+1,2)),2),"0000"))))</f>
        <v/>
      </c>
    </row>
    <row r="1526">
      <c r="A1526">
        <f>IF(Sync!$U1523="","",Sync!$U1523)</f>
        <v/>
      </c>
      <c r="B1526">
        <f>IF($A1526="","",IF(ISNUMBER($A1526),IF(AND($A1526&gt;=10000101,$A1526&lt;=99991231),INT($A1526/10000),""),IFERROR(VALUE(TRIM(LEFT($A1526,FIND("/",$A1526)-1))),"")))</f>
        <v/>
      </c>
      <c r="C1526">
        <f>IF(OR($A1526="",$B1526=""),"",IF(ISNUMBER($A1526),INT(MOD($A1526,10000)/100),IFERROR(VALUE(TRIM(LEFT(MID($A1526,FIND("/",$A1526)+1,20),FIND("/",MID($A1526,FIND("/",$A1526)+1,20))-1))),"")))</f>
        <v/>
      </c>
      <c r="D1526">
        <f>IF(OR($A1526="",$B1526=""),"",IF(ISNUMBER($A1526),MOD($A1526,100),IFERROR(VALUE(TRIM(MID(MID($A1526,FIND("/",$A1526)+1,20),FIND("/",MID($A1526,FIND("/",$A1526)+1,20))+1,20))),"")))</f>
        <v/>
      </c>
      <c r="E1526">
        <f>IF($A1526="","",IF(OR($B1526="",$C1526="",$D1526="",$B1526&lt;1300,$B1526&gt;1500,$C1526&lt;1,$C1526&gt;12,$D1526&lt;1,$D1526&gt;31),"نامعتبر",RIGHT("0000"&amp;$B1526,4)&amp;"/"&amp;RIGHT("00"&amp;$C1526,2)&amp;"/"&amp;RIGHT("00"&amp;$D1526,2)))</f>
        <v/>
      </c>
      <c r="F1526">
        <f>IF(OR($E1526="",$E1526="نامعتبر"),"",LEFT($E1526,4)&amp;"/"&amp;MID($E1526,6,2))</f>
        <v/>
      </c>
      <c r="G1526">
        <f>IF(OR($E1526="",$E1526="نامعتبر",Sync!$Y1523=""),"",Sync!$Y1523)</f>
        <v/>
      </c>
      <c r="H1526">
        <f>IF($G1526="","",IF(Sync!$X1523="","",Sync!$X1523))</f>
        <v/>
      </c>
      <c r="I1526">
        <f>IF($G1526="","",IFERROR(VLOOKUP(Sync!$X1523,OpTbl,3,0),""))</f>
        <v/>
      </c>
      <c r="J1526">
        <f>IF(OR($G1526="",Sync!$Z1523=""),"",Sync!$Z1523)</f>
        <v/>
      </c>
      <c r="K1526">
        <f>IF(OR($G1526="",Sync!$AA1523=""),"",Sync!$AA1523)</f>
        <v/>
      </c>
      <c r="L1526">
        <f>IF($G1526="",0,IF(Sync!$AB1523="",0,Sync!$AB1523))</f>
        <v/>
      </c>
      <c r="M1526">
        <f>IF($G1526="",0,IF(Sync!$AC1523="",0,Sync!$AC1523))</f>
        <v/>
      </c>
      <c r="N1526">
        <f>IF($G1526="","",IF($H1526="مرجوعی خرید",-1,1)*($L1526-$M1526*IFERROR(VLOOKUP("P01",ParamTbl,3,0),1.5))*(1-IF($I1526="خرید",IFERROR(VLOOKUP("P02",ParamTbl,3,0),1),0)/100))</f>
        <v/>
      </c>
      <c r="O1526">
        <f>IF($G1526="",0,IF($H1526="مرجوعی خرید",-1,1)*IF(Sync!$AD1523="",0,Sync!$AD1523))</f>
        <v/>
      </c>
      <c r="P1526">
        <f>IF(OR($G1526="",Sync!$W1523=""),"",Sync!$W1523)</f>
        <v/>
      </c>
      <c r="Q1526">
        <f>IF(OR($G1526="",Sync!$AE1523=""),"",Sync!$AE1523)</f>
        <v/>
      </c>
      <c r="R1526">
        <f>IF($G1526="","",IF(Sync!$V1523="","0000",IF(AND(ISNUMBER(Sync!$V1523),Sync!$V1523&gt;=0,Sync!$V1523&lt;1),RIGHT("00"&amp;HOUR(Sync!$V1523),2)&amp;RIGHT("00"&amp;MINUTE(Sync!$V1523),2),IFERROR(RIGHT("00"&amp;VALUE(LEFT(Sync!$V1523,FIND(":",Sync!$V1523)-1)),2)&amp;RIGHT("00"&amp;VALUE(MID(Sync!$V1523,FIND(":",Sync!$V1523)+1,2)),2),"0000"))))</f>
        <v/>
      </c>
    </row>
    <row r="1527">
      <c r="A1527">
        <f>IF(Sync!$U1524="","",Sync!$U1524)</f>
        <v/>
      </c>
      <c r="B1527">
        <f>IF($A1527="","",IF(ISNUMBER($A1527),IF(AND($A1527&gt;=10000101,$A1527&lt;=99991231),INT($A1527/10000),""),IFERROR(VALUE(TRIM(LEFT($A1527,FIND("/",$A1527)-1))),"")))</f>
        <v/>
      </c>
      <c r="C1527">
        <f>IF(OR($A1527="",$B1527=""),"",IF(ISNUMBER($A1527),INT(MOD($A1527,10000)/100),IFERROR(VALUE(TRIM(LEFT(MID($A1527,FIND("/",$A1527)+1,20),FIND("/",MID($A1527,FIND("/",$A1527)+1,20))-1))),"")))</f>
        <v/>
      </c>
      <c r="D1527">
        <f>IF(OR($A1527="",$B1527=""),"",IF(ISNUMBER($A1527),MOD($A1527,100),IFERROR(VALUE(TRIM(MID(MID($A1527,FIND("/",$A1527)+1,20),FIND("/",MID($A1527,FIND("/",$A1527)+1,20))+1,20))),"")))</f>
        <v/>
      </c>
      <c r="E1527">
        <f>IF($A1527="","",IF(OR($B1527="",$C1527="",$D1527="",$B1527&lt;1300,$B1527&gt;1500,$C1527&lt;1,$C1527&gt;12,$D1527&lt;1,$D1527&gt;31),"نامعتبر",RIGHT("0000"&amp;$B1527,4)&amp;"/"&amp;RIGHT("00"&amp;$C1527,2)&amp;"/"&amp;RIGHT("00"&amp;$D1527,2)))</f>
        <v/>
      </c>
      <c r="F1527">
        <f>IF(OR($E1527="",$E1527="نامعتبر"),"",LEFT($E1527,4)&amp;"/"&amp;MID($E1527,6,2))</f>
        <v/>
      </c>
      <c r="G1527">
        <f>IF(OR($E1527="",$E1527="نامعتبر",Sync!$Y1524=""),"",Sync!$Y1524)</f>
        <v/>
      </c>
      <c r="H1527">
        <f>IF($G1527="","",IF(Sync!$X1524="","",Sync!$X1524))</f>
        <v/>
      </c>
      <c r="I1527">
        <f>IF($G1527="","",IFERROR(VLOOKUP(Sync!$X1524,OpTbl,3,0),""))</f>
        <v/>
      </c>
      <c r="J1527">
        <f>IF(OR($G1527="",Sync!$Z1524=""),"",Sync!$Z1524)</f>
        <v/>
      </c>
      <c r="K1527">
        <f>IF(OR($G1527="",Sync!$AA1524=""),"",Sync!$AA1524)</f>
        <v/>
      </c>
      <c r="L1527">
        <f>IF($G1527="",0,IF(Sync!$AB1524="",0,Sync!$AB1524))</f>
        <v/>
      </c>
      <c r="M1527">
        <f>IF($G1527="",0,IF(Sync!$AC1524="",0,Sync!$AC1524))</f>
        <v/>
      </c>
      <c r="N1527">
        <f>IF($G1527="","",IF($H1527="مرجوعی خرید",-1,1)*($L1527-$M1527*IFERROR(VLOOKUP("P01",ParamTbl,3,0),1.5))*(1-IF($I1527="خرید",IFERROR(VLOOKUP("P02",ParamTbl,3,0),1),0)/100))</f>
        <v/>
      </c>
      <c r="O1527">
        <f>IF($G1527="",0,IF($H1527="مرجوعی خرید",-1,1)*IF(Sync!$AD1524="",0,Sync!$AD1524))</f>
        <v/>
      </c>
      <c r="P1527">
        <f>IF(OR($G1527="",Sync!$W1524=""),"",Sync!$W1524)</f>
        <v/>
      </c>
      <c r="Q1527">
        <f>IF(OR($G1527="",Sync!$AE1524=""),"",Sync!$AE1524)</f>
        <v/>
      </c>
      <c r="R1527">
        <f>IF($G1527="","",IF(Sync!$V1524="","0000",IF(AND(ISNUMBER(Sync!$V1524),Sync!$V1524&gt;=0,Sync!$V1524&lt;1),RIGHT("00"&amp;HOUR(Sync!$V1524),2)&amp;RIGHT("00"&amp;MINUTE(Sync!$V1524),2),IFERROR(RIGHT("00"&amp;VALUE(LEFT(Sync!$V1524,FIND(":",Sync!$V1524)-1)),2)&amp;RIGHT("00"&amp;VALUE(MID(Sync!$V1524,FIND(":",Sync!$V1524)+1,2)),2),"0000"))))</f>
        <v/>
      </c>
    </row>
    <row r="1528">
      <c r="A1528">
        <f>IF(Sync!$U1525="","",Sync!$U1525)</f>
        <v/>
      </c>
      <c r="B1528">
        <f>IF($A1528="","",IF(ISNUMBER($A1528),IF(AND($A1528&gt;=10000101,$A1528&lt;=99991231),INT($A1528/10000),""),IFERROR(VALUE(TRIM(LEFT($A1528,FIND("/",$A1528)-1))),"")))</f>
        <v/>
      </c>
      <c r="C1528">
        <f>IF(OR($A1528="",$B1528=""),"",IF(ISNUMBER($A1528),INT(MOD($A1528,10000)/100),IFERROR(VALUE(TRIM(LEFT(MID($A1528,FIND("/",$A1528)+1,20),FIND("/",MID($A1528,FIND("/",$A1528)+1,20))-1))),"")))</f>
        <v/>
      </c>
      <c r="D1528">
        <f>IF(OR($A1528="",$B1528=""),"",IF(ISNUMBER($A1528),MOD($A1528,100),IFERROR(VALUE(TRIM(MID(MID($A1528,FIND("/",$A1528)+1,20),FIND("/",MID($A1528,FIND("/",$A1528)+1,20))+1,20))),"")))</f>
        <v/>
      </c>
      <c r="E1528">
        <f>IF($A1528="","",IF(OR($B1528="",$C1528="",$D1528="",$B1528&lt;1300,$B1528&gt;1500,$C1528&lt;1,$C1528&gt;12,$D1528&lt;1,$D1528&gt;31),"نامعتبر",RIGHT("0000"&amp;$B1528,4)&amp;"/"&amp;RIGHT("00"&amp;$C1528,2)&amp;"/"&amp;RIGHT("00"&amp;$D1528,2)))</f>
        <v/>
      </c>
      <c r="F1528">
        <f>IF(OR($E1528="",$E1528="نامعتبر"),"",LEFT($E1528,4)&amp;"/"&amp;MID($E1528,6,2))</f>
        <v/>
      </c>
      <c r="G1528">
        <f>IF(OR($E1528="",$E1528="نامعتبر",Sync!$Y1525=""),"",Sync!$Y1525)</f>
        <v/>
      </c>
      <c r="H1528">
        <f>IF($G1528="","",IF(Sync!$X1525="","",Sync!$X1525))</f>
        <v/>
      </c>
      <c r="I1528">
        <f>IF($G1528="","",IFERROR(VLOOKUP(Sync!$X1525,OpTbl,3,0),""))</f>
        <v/>
      </c>
      <c r="J1528">
        <f>IF(OR($G1528="",Sync!$Z1525=""),"",Sync!$Z1525)</f>
        <v/>
      </c>
      <c r="K1528">
        <f>IF(OR($G1528="",Sync!$AA1525=""),"",Sync!$AA1525)</f>
        <v/>
      </c>
      <c r="L1528">
        <f>IF($G1528="",0,IF(Sync!$AB1525="",0,Sync!$AB1525))</f>
        <v/>
      </c>
      <c r="M1528">
        <f>IF($G1528="",0,IF(Sync!$AC1525="",0,Sync!$AC1525))</f>
        <v/>
      </c>
      <c r="N1528">
        <f>IF($G1528="","",IF($H1528="مرجوعی خرید",-1,1)*($L1528-$M1528*IFERROR(VLOOKUP("P01",ParamTbl,3,0),1.5))*(1-IF($I1528="خرید",IFERROR(VLOOKUP("P02",ParamTbl,3,0),1),0)/100))</f>
        <v/>
      </c>
      <c r="O1528">
        <f>IF($G1528="",0,IF($H1528="مرجوعی خرید",-1,1)*IF(Sync!$AD1525="",0,Sync!$AD1525))</f>
        <v/>
      </c>
      <c r="P1528">
        <f>IF(OR($G1528="",Sync!$W1525=""),"",Sync!$W1525)</f>
        <v/>
      </c>
      <c r="Q1528">
        <f>IF(OR($G1528="",Sync!$AE1525=""),"",Sync!$AE1525)</f>
        <v/>
      </c>
      <c r="R1528">
        <f>IF($G1528="","",IF(Sync!$V1525="","0000",IF(AND(ISNUMBER(Sync!$V1525),Sync!$V1525&gt;=0,Sync!$V1525&lt;1),RIGHT("00"&amp;HOUR(Sync!$V1525),2)&amp;RIGHT("00"&amp;MINUTE(Sync!$V1525),2),IFERROR(RIGHT("00"&amp;VALUE(LEFT(Sync!$V1525,FIND(":",Sync!$V1525)-1)),2)&amp;RIGHT("00"&amp;VALUE(MID(Sync!$V1525,FIND(":",Sync!$V1525)+1,2)),2),"0000"))))</f>
        <v/>
      </c>
    </row>
    <row r="1529">
      <c r="A1529">
        <f>IF(Sync!$U1526="","",Sync!$U1526)</f>
        <v/>
      </c>
      <c r="B1529">
        <f>IF($A1529="","",IF(ISNUMBER($A1529),IF(AND($A1529&gt;=10000101,$A1529&lt;=99991231),INT($A1529/10000),""),IFERROR(VALUE(TRIM(LEFT($A1529,FIND("/",$A1529)-1))),"")))</f>
        <v/>
      </c>
      <c r="C1529">
        <f>IF(OR($A1529="",$B1529=""),"",IF(ISNUMBER($A1529),INT(MOD($A1529,10000)/100),IFERROR(VALUE(TRIM(LEFT(MID($A1529,FIND("/",$A1529)+1,20),FIND("/",MID($A1529,FIND("/",$A1529)+1,20))-1))),"")))</f>
        <v/>
      </c>
      <c r="D1529">
        <f>IF(OR($A1529="",$B1529=""),"",IF(ISNUMBER($A1529),MOD($A1529,100),IFERROR(VALUE(TRIM(MID(MID($A1529,FIND("/",$A1529)+1,20),FIND("/",MID($A1529,FIND("/",$A1529)+1,20))+1,20))),"")))</f>
        <v/>
      </c>
      <c r="E1529">
        <f>IF($A1529="","",IF(OR($B1529="",$C1529="",$D1529="",$B1529&lt;1300,$B1529&gt;1500,$C1529&lt;1,$C1529&gt;12,$D1529&lt;1,$D1529&gt;31),"نامعتبر",RIGHT("0000"&amp;$B1529,4)&amp;"/"&amp;RIGHT("00"&amp;$C1529,2)&amp;"/"&amp;RIGHT("00"&amp;$D1529,2)))</f>
        <v/>
      </c>
      <c r="F1529">
        <f>IF(OR($E1529="",$E1529="نامعتبر"),"",LEFT($E1529,4)&amp;"/"&amp;MID($E1529,6,2))</f>
        <v/>
      </c>
      <c r="G1529">
        <f>IF(OR($E1529="",$E1529="نامعتبر",Sync!$Y1526=""),"",Sync!$Y1526)</f>
        <v/>
      </c>
      <c r="H1529">
        <f>IF($G1529="","",IF(Sync!$X1526="","",Sync!$X1526))</f>
        <v/>
      </c>
      <c r="I1529">
        <f>IF($G1529="","",IFERROR(VLOOKUP(Sync!$X1526,OpTbl,3,0),""))</f>
        <v/>
      </c>
      <c r="J1529">
        <f>IF(OR($G1529="",Sync!$Z1526=""),"",Sync!$Z1526)</f>
        <v/>
      </c>
      <c r="K1529">
        <f>IF(OR($G1529="",Sync!$AA1526=""),"",Sync!$AA1526)</f>
        <v/>
      </c>
      <c r="L1529">
        <f>IF($G1529="",0,IF(Sync!$AB1526="",0,Sync!$AB1526))</f>
        <v/>
      </c>
      <c r="M1529">
        <f>IF($G1529="",0,IF(Sync!$AC1526="",0,Sync!$AC1526))</f>
        <v/>
      </c>
      <c r="N1529">
        <f>IF($G1529="","",IF($H1529="مرجوعی خرید",-1,1)*($L1529-$M1529*IFERROR(VLOOKUP("P01",ParamTbl,3,0),1.5))*(1-IF($I1529="خرید",IFERROR(VLOOKUP("P02",ParamTbl,3,0),1),0)/100))</f>
        <v/>
      </c>
      <c r="O1529">
        <f>IF($G1529="",0,IF($H1529="مرجوعی خرید",-1,1)*IF(Sync!$AD1526="",0,Sync!$AD1526))</f>
        <v/>
      </c>
      <c r="P1529">
        <f>IF(OR($G1529="",Sync!$W1526=""),"",Sync!$W1526)</f>
        <v/>
      </c>
      <c r="Q1529">
        <f>IF(OR($G1529="",Sync!$AE1526=""),"",Sync!$AE1526)</f>
        <v/>
      </c>
      <c r="R1529">
        <f>IF($G1529="","",IF(Sync!$V1526="","0000",IF(AND(ISNUMBER(Sync!$V1526),Sync!$V1526&gt;=0,Sync!$V1526&lt;1),RIGHT("00"&amp;HOUR(Sync!$V1526),2)&amp;RIGHT("00"&amp;MINUTE(Sync!$V1526),2),IFERROR(RIGHT("00"&amp;VALUE(LEFT(Sync!$V1526,FIND(":",Sync!$V1526)-1)),2)&amp;RIGHT("00"&amp;VALUE(MID(Sync!$V1526,FIND(":",Sync!$V1526)+1,2)),2),"0000"))))</f>
        <v/>
      </c>
    </row>
    <row r="1530">
      <c r="A1530">
        <f>IF(Sync!$U1527="","",Sync!$U1527)</f>
        <v/>
      </c>
      <c r="B1530">
        <f>IF($A1530="","",IF(ISNUMBER($A1530),IF(AND($A1530&gt;=10000101,$A1530&lt;=99991231),INT($A1530/10000),""),IFERROR(VALUE(TRIM(LEFT($A1530,FIND("/",$A1530)-1))),"")))</f>
        <v/>
      </c>
      <c r="C1530">
        <f>IF(OR($A1530="",$B1530=""),"",IF(ISNUMBER($A1530),INT(MOD($A1530,10000)/100),IFERROR(VALUE(TRIM(LEFT(MID($A1530,FIND("/",$A1530)+1,20),FIND("/",MID($A1530,FIND("/",$A1530)+1,20))-1))),"")))</f>
        <v/>
      </c>
      <c r="D1530">
        <f>IF(OR($A1530="",$B1530=""),"",IF(ISNUMBER($A1530),MOD($A1530,100),IFERROR(VALUE(TRIM(MID(MID($A1530,FIND("/",$A1530)+1,20),FIND("/",MID($A1530,FIND("/",$A1530)+1,20))+1,20))),"")))</f>
        <v/>
      </c>
      <c r="E1530">
        <f>IF($A1530="","",IF(OR($B1530="",$C1530="",$D1530="",$B1530&lt;1300,$B1530&gt;1500,$C1530&lt;1,$C1530&gt;12,$D1530&lt;1,$D1530&gt;31),"نامعتبر",RIGHT("0000"&amp;$B1530,4)&amp;"/"&amp;RIGHT("00"&amp;$C1530,2)&amp;"/"&amp;RIGHT("00"&amp;$D1530,2)))</f>
        <v/>
      </c>
      <c r="F1530">
        <f>IF(OR($E1530="",$E1530="نامعتبر"),"",LEFT($E1530,4)&amp;"/"&amp;MID($E1530,6,2))</f>
        <v/>
      </c>
      <c r="G1530">
        <f>IF(OR($E1530="",$E1530="نامعتبر",Sync!$Y1527=""),"",Sync!$Y1527)</f>
        <v/>
      </c>
      <c r="H1530">
        <f>IF($G1530="","",IF(Sync!$X1527="","",Sync!$X1527))</f>
        <v/>
      </c>
      <c r="I1530">
        <f>IF($G1530="","",IFERROR(VLOOKUP(Sync!$X1527,OpTbl,3,0),""))</f>
        <v/>
      </c>
      <c r="J1530">
        <f>IF(OR($G1530="",Sync!$Z1527=""),"",Sync!$Z1527)</f>
        <v/>
      </c>
      <c r="K1530">
        <f>IF(OR($G1530="",Sync!$AA1527=""),"",Sync!$AA1527)</f>
        <v/>
      </c>
      <c r="L1530">
        <f>IF($G1530="",0,IF(Sync!$AB1527="",0,Sync!$AB1527))</f>
        <v/>
      </c>
      <c r="M1530">
        <f>IF($G1530="",0,IF(Sync!$AC1527="",0,Sync!$AC1527))</f>
        <v/>
      </c>
      <c r="N1530">
        <f>IF($G1530="","",IF($H1530="مرجوعی خرید",-1,1)*($L1530-$M1530*IFERROR(VLOOKUP("P01",ParamTbl,3,0),1.5))*(1-IF($I1530="خرید",IFERROR(VLOOKUP("P02",ParamTbl,3,0),1),0)/100))</f>
        <v/>
      </c>
      <c r="O1530">
        <f>IF($G1530="",0,IF($H1530="مرجوعی خرید",-1,1)*IF(Sync!$AD1527="",0,Sync!$AD1527))</f>
        <v/>
      </c>
      <c r="P1530">
        <f>IF(OR($G1530="",Sync!$W1527=""),"",Sync!$W1527)</f>
        <v/>
      </c>
      <c r="Q1530">
        <f>IF(OR($G1530="",Sync!$AE1527=""),"",Sync!$AE1527)</f>
        <v/>
      </c>
      <c r="R1530">
        <f>IF($G1530="","",IF(Sync!$V1527="","0000",IF(AND(ISNUMBER(Sync!$V1527),Sync!$V1527&gt;=0,Sync!$V1527&lt;1),RIGHT("00"&amp;HOUR(Sync!$V1527),2)&amp;RIGHT("00"&amp;MINUTE(Sync!$V1527),2),IFERROR(RIGHT("00"&amp;VALUE(LEFT(Sync!$V1527,FIND(":",Sync!$V1527)-1)),2)&amp;RIGHT("00"&amp;VALUE(MID(Sync!$V1527,FIND(":",Sync!$V1527)+1,2)),2),"0000"))))</f>
        <v/>
      </c>
    </row>
    <row r="1531">
      <c r="A1531">
        <f>IF(Sync!$U1528="","",Sync!$U1528)</f>
        <v/>
      </c>
      <c r="B1531">
        <f>IF($A1531="","",IF(ISNUMBER($A1531),IF(AND($A1531&gt;=10000101,$A1531&lt;=99991231),INT($A1531/10000),""),IFERROR(VALUE(TRIM(LEFT($A1531,FIND("/",$A1531)-1))),"")))</f>
        <v/>
      </c>
      <c r="C1531">
        <f>IF(OR($A1531="",$B1531=""),"",IF(ISNUMBER($A1531),INT(MOD($A1531,10000)/100),IFERROR(VALUE(TRIM(LEFT(MID($A1531,FIND("/",$A1531)+1,20),FIND("/",MID($A1531,FIND("/",$A1531)+1,20))-1))),"")))</f>
        <v/>
      </c>
      <c r="D1531">
        <f>IF(OR($A1531="",$B1531=""),"",IF(ISNUMBER($A1531),MOD($A1531,100),IFERROR(VALUE(TRIM(MID(MID($A1531,FIND("/",$A1531)+1,20),FIND("/",MID($A1531,FIND("/",$A1531)+1,20))+1,20))),"")))</f>
        <v/>
      </c>
      <c r="E1531">
        <f>IF($A1531="","",IF(OR($B1531="",$C1531="",$D1531="",$B1531&lt;1300,$B1531&gt;1500,$C1531&lt;1,$C1531&gt;12,$D1531&lt;1,$D1531&gt;31),"نامعتبر",RIGHT("0000"&amp;$B1531,4)&amp;"/"&amp;RIGHT("00"&amp;$C1531,2)&amp;"/"&amp;RIGHT("00"&amp;$D1531,2)))</f>
        <v/>
      </c>
      <c r="F1531">
        <f>IF(OR($E1531="",$E1531="نامعتبر"),"",LEFT($E1531,4)&amp;"/"&amp;MID($E1531,6,2))</f>
        <v/>
      </c>
      <c r="G1531">
        <f>IF(OR($E1531="",$E1531="نامعتبر",Sync!$Y1528=""),"",Sync!$Y1528)</f>
        <v/>
      </c>
      <c r="H1531">
        <f>IF($G1531="","",IF(Sync!$X1528="","",Sync!$X1528))</f>
        <v/>
      </c>
      <c r="I1531">
        <f>IF($G1531="","",IFERROR(VLOOKUP(Sync!$X1528,OpTbl,3,0),""))</f>
        <v/>
      </c>
      <c r="J1531">
        <f>IF(OR($G1531="",Sync!$Z1528=""),"",Sync!$Z1528)</f>
        <v/>
      </c>
      <c r="K1531">
        <f>IF(OR($G1531="",Sync!$AA1528=""),"",Sync!$AA1528)</f>
        <v/>
      </c>
      <c r="L1531">
        <f>IF($G1531="",0,IF(Sync!$AB1528="",0,Sync!$AB1528))</f>
        <v/>
      </c>
      <c r="M1531">
        <f>IF($G1531="",0,IF(Sync!$AC1528="",0,Sync!$AC1528))</f>
        <v/>
      </c>
      <c r="N1531">
        <f>IF($G1531="","",IF($H1531="مرجوعی خرید",-1,1)*($L1531-$M1531*IFERROR(VLOOKUP("P01",ParamTbl,3,0),1.5))*(1-IF($I1531="خرید",IFERROR(VLOOKUP("P02",ParamTbl,3,0),1),0)/100))</f>
        <v/>
      </c>
      <c r="O1531">
        <f>IF($G1531="",0,IF($H1531="مرجوعی خرید",-1,1)*IF(Sync!$AD1528="",0,Sync!$AD1528))</f>
        <v/>
      </c>
      <c r="P1531">
        <f>IF(OR($G1531="",Sync!$W1528=""),"",Sync!$W1528)</f>
        <v/>
      </c>
      <c r="Q1531">
        <f>IF(OR($G1531="",Sync!$AE1528=""),"",Sync!$AE1528)</f>
        <v/>
      </c>
      <c r="R1531">
        <f>IF($G1531="","",IF(Sync!$V1528="","0000",IF(AND(ISNUMBER(Sync!$V1528),Sync!$V1528&gt;=0,Sync!$V1528&lt;1),RIGHT("00"&amp;HOUR(Sync!$V1528),2)&amp;RIGHT("00"&amp;MINUTE(Sync!$V1528),2),IFERROR(RIGHT("00"&amp;VALUE(LEFT(Sync!$V1528,FIND(":",Sync!$V1528)-1)),2)&amp;RIGHT("00"&amp;VALUE(MID(Sync!$V1528,FIND(":",Sync!$V1528)+1,2)),2),"0000"))))</f>
        <v/>
      </c>
    </row>
    <row r="1532">
      <c r="A1532">
        <f>IF(Sync!$U1529="","",Sync!$U1529)</f>
        <v/>
      </c>
      <c r="B1532">
        <f>IF($A1532="","",IF(ISNUMBER($A1532),IF(AND($A1532&gt;=10000101,$A1532&lt;=99991231),INT($A1532/10000),""),IFERROR(VALUE(TRIM(LEFT($A1532,FIND("/",$A1532)-1))),"")))</f>
        <v/>
      </c>
      <c r="C1532">
        <f>IF(OR($A1532="",$B1532=""),"",IF(ISNUMBER($A1532),INT(MOD($A1532,10000)/100),IFERROR(VALUE(TRIM(LEFT(MID($A1532,FIND("/",$A1532)+1,20),FIND("/",MID($A1532,FIND("/",$A1532)+1,20))-1))),"")))</f>
        <v/>
      </c>
      <c r="D1532">
        <f>IF(OR($A1532="",$B1532=""),"",IF(ISNUMBER($A1532),MOD($A1532,100),IFERROR(VALUE(TRIM(MID(MID($A1532,FIND("/",$A1532)+1,20),FIND("/",MID($A1532,FIND("/",$A1532)+1,20))+1,20))),"")))</f>
        <v/>
      </c>
      <c r="E1532">
        <f>IF($A1532="","",IF(OR($B1532="",$C1532="",$D1532="",$B1532&lt;1300,$B1532&gt;1500,$C1532&lt;1,$C1532&gt;12,$D1532&lt;1,$D1532&gt;31),"نامعتبر",RIGHT("0000"&amp;$B1532,4)&amp;"/"&amp;RIGHT("00"&amp;$C1532,2)&amp;"/"&amp;RIGHT("00"&amp;$D1532,2)))</f>
        <v/>
      </c>
      <c r="F1532">
        <f>IF(OR($E1532="",$E1532="نامعتبر"),"",LEFT($E1532,4)&amp;"/"&amp;MID($E1532,6,2))</f>
        <v/>
      </c>
      <c r="G1532">
        <f>IF(OR($E1532="",$E1532="نامعتبر",Sync!$Y1529=""),"",Sync!$Y1529)</f>
        <v/>
      </c>
      <c r="H1532">
        <f>IF($G1532="","",IF(Sync!$X1529="","",Sync!$X1529))</f>
        <v/>
      </c>
      <c r="I1532">
        <f>IF($G1532="","",IFERROR(VLOOKUP(Sync!$X1529,OpTbl,3,0),""))</f>
        <v/>
      </c>
      <c r="J1532">
        <f>IF(OR($G1532="",Sync!$Z1529=""),"",Sync!$Z1529)</f>
        <v/>
      </c>
      <c r="K1532">
        <f>IF(OR($G1532="",Sync!$AA1529=""),"",Sync!$AA1529)</f>
        <v/>
      </c>
      <c r="L1532">
        <f>IF($G1532="",0,IF(Sync!$AB1529="",0,Sync!$AB1529))</f>
        <v/>
      </c>
      <c r="M1532">
        <f>IF($G1532="",0,IF(Sync!$AC1529="",0,Sync!$AC1529))</f>
        <v/>
      </c>
      <c r="N1532">
        <f>IF($G1532="","",IF($H1532="مرجوعی خرید",-1,1)*($L1532-$M1532*IFERROR(VLOOKUP("P01",ParamTbl,3,0),1.5))*(1-IF($I1532="خرید",IFERROR(VLOOKUP("P02",ParamTbl,3,0),1),0)/100))</f>
        <v/>
      </c>
      <c r="O1532">
        <f>IF($G1532="",0,IF($H1532="مرجوعی خرید",-1,1)*IF(Sync!$AD1529="",0,Sync!$AD1529))</f>
        <v/>
      </c>
      <c r="P1532">
        <f>IF(OR($G1532="",Sync!$W1529=""),"",Sync!$W1529)</f>
        <v/>
      </c>
      <c r="Q1532">
        <f>IF(OR($G1532="",Sync!$AE1529=""),"",Sync!$AE1529)</f>
        <v/>
      </c>
      <c r="R1532">
        <f>IF($G1532="","",IF(Sync!$V1529="","0000",IF(AND(ISNUMBER(Sync!$V1529),Sync!$V1529&gt;=0,Sync!$V1529&lt;1),RIGHT("00"&amp;HOUR(Sync!$V1529),2)&amp;RIGHT("00"&amp;MINUTE(Sync!$V1529),2),IFERROR(RIGHT("00"&amp;VALUE(LEFT(Sync!$V1529,FIND(":",Sync!$V1529)-1)),2)&amp;RIGHT("00"&amp;VALUE(MID(Sync!$V1529,FIND(":",Sync!$V1529)+1,2)),2),"0000"))))</f>
        <v/>
      </c>
    </row>
    <row r="1533">
      <c r="A1533">
        <f>IF(Sync!$U1530="","",Sync!$U1530)</f>
        <v/>
      </c>
      <c r="B1533">
        <f>IF($A1533="","",IF(ISNUMBER($A1533),IF(AND($A1533&gt;=10000101,$A1533&lt;=99991231),INT($A1533/10000),""),IFERROR(VALUE(TRIM(LEFT($A1533,FIND("/",$A1533)-1))),"")))</f>
        <v/>
      </c>
      <c r="C1533">
        <f>IF(OR($A1533="",$B1533=""),"",IF(ISNUMBER($A1533),INT(MOD($A1533,10000)/100),IFERROR(VALUE(TRIM(LEFT(MID($A1533,FIND("/",$A1533)+1,20),FIND("/",MID($A1533,FIND("/",$A1533)+1,20))-1))),"")))</f>
        <v/>
      </c>
      <c r="D1533">
        <f>IF(OR($A1533="",$B1533=""),"",IF(ISNUMBER($A1533),MOD($A1533,100),IFERROR(VALUE(TRIM(MID(MID($A1533,FIND("/",$A1533)+1,20),FIND("/",MID($A1533,FIND("/",$A1533)+1,20))+1,20))),"")))</f>
        <v/>
      </c>
      <c r="E1533">
        <f>IF($A1533="","",IF(OR($B1533="",$C1533="",$D1533="",$B1533&lt;1300,$B1533&gt;1500,$C1533&lt;1,$C1533&gt;12,$D1533&lt;1,$D1533&gt;31),"نامعتبر",RIGHT("0000"&amp;$B1533,4)&amp;"/"&amp;RIGHT("00"&amp;$C1533,2)&amp;"/"&amp;RIGHT("00"&amp;$D1533,2)))</f>
        <v/>
      </c>
      <c r="F1533">
        <f>IF(OR($E1533="",$E1533="نامعتبر"),"",LEFT($E1533,4)&amp;"/"&amp;MID($E1533,6,2))</f>
        <v/>
      </c>
      <c r="G1533">
        <f>IF(OR($E1533="",$E1533="نامعتبر",Sync!$Y1530=""),"",Sync!$Y1530)</f>
        <v/>
      </c>
      <c r="H1533">
        <f>IF($G1533="","",IF(Sync!$X1530="","",Sync!$X1530))</f>
        <v/>
      </c>
      <c r="I1533">
        <f>IF($G1533="","",IFERROR(VLOOKUP(Sync!$X1530,OpTbl,3,0),""))</f>
        <v/>
      </c>
      <c r="J1533">
        <f>IF(OR($G1533="",Sync!$Z1530=""),"",Sync!$Z1530)</f>
        <v/>
      </c>
      <c r="K1533">
        <f>IF(OR($G1533="",Sync!$AA1530=""),"",Sync!$AA1530)</f>
        <v/>
      </c>
      <c r="L1533">
        <f>IF($G1533="",0,IF(Sync!$AB1530="",0,Sync!$AB1530))</f>
        <v/>
      </c>
      <c r="M1533">
        <f>IF($G1533="",0,IF(Sync!$AC1530="",0,Sync!$AC1530))</f>
        <v/>
      </c>
      <c r="N1533">
        <f>IF($G1533="","",IF($H1533="مرجوعی خرید",-1,1)*($L1533-$M1533*IFERROR(VLOOKUP("P01",ParamTbl,3,0),1.5))*(1-IF($I1533="خرید",IFERROR(VLOOKUP("P02",ParamTbl,3,0),1),0)/100))</f>
        <v/>
      </c>
      <c r="O1533">
        <f>IF($G1533="",0,IF($H1533="مرجوعی خرید",-1,1)*IF(Sync!$AD1530="",0,Sync!$AD1530))</f>
        <v/>
      </c>
      <c r="P1533">
        <f>IF(OR($G1533="",Sync!$W1530=""),"",Sync!$W1530)</f>
        <v/>
      </c>
      <c r="Q1533">
        <f>IF(OR($G1533="",Sync!$AE1530=""),"",Sync!$AE1530)</f>
        <v/>
      </c>
      <c r="R1533">
        <f>IF($G1533="","",IF(Sync!$V1530="","0000",IF(AND(ISNUMBER(Sync!$V1530),Sync!$V1530&gt;=0,Sync!$V1530&lt;1),RIGHT("00"&amp;HOUR(Sync!$V1530),2)&amp;RIGHT("00"&amp;MINUTE(Sync!$V1530),2),IFERROR(RIGHT("00"&amp;VALUE(LEFT(Sync!$V1530,FIND(":",Sync!$V1530)-1)),2)&amp;RIGHT("00"&amp;VALUE(MID(Sync!$V1530,FIND(":",Sync!$V1530)+1,2)),2),"0000"))))</f>
        <v/>
      </c>
    </row>
    <row r="1534">
      <c r="A1534">
        <f>IF(Sync!$U1531="","",Sync!$U1531)</f>
        <v/>
      </c>
      <c r="B1534">
        <f>IF($A1534="","",IF(ISNUMBER($A1534),IF(AND($A1534&gt;=10000101,$A1534&lt;=99991231),INT($A1534/10000),""),IFERROR(VALUE(TRIM(LEFT($A1534,FIND("/",$A1534)-1))),"")))</f>
        <v/>
      </c>
      <c r="C1534">
        <f>IF(OR($A1534="",$B1534=""),"",IF(ISNUMBER($A1534),INT(MOD($A1534,10000)/100),IFERROR(VALUE(TRIM(LEFT(MID($A1534,FIND("/",$A1534)+1,20),FIND("/",MID($A1534,FIND("/",$A1534)+1,20))-1))),"")))</f>
        <v/>
      </c>
      <c r="D1534">
        <f>IF(OR($A1534="",$B1534=""),"",IF(ISNUMBER($A1534),MOD($A1534,100),IFERROR(VALUE(TRIM(MID(MID($A1534,FIND("/",$A1534)+1,20),FIND("/",MID($A1534,FIND("/",$A1534)+1,20))+1,20))),"")))</f>
        <v/>
      </c>
      <c r="E1534">
        <f>IF($A1534="","",IF(OR($B1534="",$C1534="",$D1534="",$B1534&lt;1300,$B1534&gt;1500,$C1534&lt;1,$C1534&gt;12,$D1534&lt;1,$D1534&gt;31),"نامعتبر",RIGHT("0000"&amp;$B1534,4)&amp;"/"&amp;RIGHT("00"&amp;$C1534,2)&amp;"/"&amp;RIGHT("00"&amp;$D1534,2)))</f>
        <v/>
      </c>
      <c r="F1534">
        <f>IF(OR($E1534="",$E1534="نامعتبر"),"",LEFT($E1534,4)&amp;"/"&amp;MID($E1534,6,2))</f>
        <v/>
      </c>
      <c r="G1534">
        <f>IF(OR($E1534="",$E1534="نامعتبر",Sync!$Y1531=""),"",Sync!$Y1531)</f>
        <v/>
      </c>
      <c r="H1534">
        <f>IF($G1534="","",IF(Sync!$X1531="","",Sync!$X1531))</f>
        <v/>
      </c>
      <c r="I1534">
        <f>IF($G1534="","",IFERROR(VLOOKUP(Sync!$X1531,OpTbl,3,0),""))</f>
        <v/>
      </c>
      <c r="J1534">
        <f>IF(OR($G1534="",Sync!$Z1531=""),"",Sync!$Z1531)</f>
        <v/>
      </c>
      <c r="K1534">
        <f>IF(OR($G1534="",Sync!$AA1531=""),"",Sync!$AA1531)</f>
        <v/>
      </c>
      <c r="L1534">
        <f>IF($G1534="",0,IF(Sync!$AB1531="",0,Sync!$AB1531))</f>
        <v/>
      </c>
      <c r="M1534">
        <f>IF($G1534="",0,IF(Sync!$AC1531="",0,Sync!$AC1531))</f>
        <v/>
      </c>
      <c r="N1534">
        <f>IF($G1534="","",IF($H1534="مرجوعی خرید",-1,1)*($L1534-$M1534*IFERROR(VLOOKUP("P01",ParamTbl,3,0),1.5))*(1-IF($I1534="خرید",IFERROR(VLOOKUP("P02",ParamTbl,3,0),1),0)/100))</f>
        <v/>
      </c>
      <c r="O1534">
        <f>IF($G1534="",0,IF($H1534="مرجوعی خرید",-1,1)*IF(Sync!$AD1531="",0,Sync!$AD1531))</f>
        <v/>
      </c>
      <c r="P1534">
        <f>IF(OR($G1534="",Sync!$W1531=""),"",Sync!$W1531)</f>
        <v/>
      </c>
      <c r="Q1534">
        <f>IF(OR($G1534="",Sync!$AE1531=""),"",Sync!$AE1531)</f>
        <v/>
      </c>
      <c r="R1534">
        <f>IF($G1534="","",IF(Sync!$V1531="","0000",IF(AND(ISNUMBER(Sync!$V1531),Sync!$V1531&gt;=0,Sync!$V1531&lt;1),RIGHT("00"&amp;HOUR(Sync!$V1531),2)&amp;RIGHT("00"&amp;MINUTE(Sync!$V1531),2),IFERROR(RIGHT("00"&amp;VALUE(LEFT(Sync!$V1531,FIND(":",Sync!$V1531)-1)),2)&amp;RIGHT("00"&amp;VALUE(MID(Sync!$V1531,FIND(":",Sync!$V1531)+1,2)),2),"0000"))))</f>
        <v/>
      </c>
    </row>
    <row r="1535">
      <c r="A1535">
        <f>IF(Sync!$U1532="","",Sync!$U1532)</f>
        <v/>
      </c>
      <c r="B1535">
        <f>IF($A1535="","",IF(ISNUMBER($A1535),IF(AND($A1535&gt;=10000101,$A1535&lt;=99991231),INT($A1535/10000),""),IFERROR(VALUE(TRIM(LEFT($A1535,FIND("/",$A1535)-1))),"")))</f>
        <v/>
      </c>
      <c r="C1535">
        <f>IF(OR($A1535="",$B1535=""),"",IF(ISNUMBER($A1535),INT(MOD($A1535,10000)/100),IFERROR(VALUE(TRIM(LEFT(MID($A1535,FIND("/",$A1535)+1,20),FIND("/",MID($A1535,FIND("/",$A1535)+1,20))-1))),"")))</f>
        <v/>
      </c>
      <c r="D1535">
        <f>IF(OR($A1535="",$B1535=""),"",IF(ISNUMBER($A1535),MOD($A1535,100),IFERROR(VALUE(TRIM(MID(MID($A1535,FIND("/",$A1535)+1,20),FIND("/",MID($A1535,FIND("/",$A1535)+1,20))+1,20))),"")))</f>
        <v/>
      </c>
      <c r="E1535">
        <f>IF($A1535="","",IF(OR($B1535="",$C1535="",$D1535="",$B1535&lt;1300,$B1535&gt;1500,$C1535&lt;1,$C1535&gt;12,$D1535&lt;1,$D1535&gt;31),"نامعتبر",RIGHT("0000"&amp;$B1535,4)&amp;"/"&amp;RIGHT("00"&amp;$C1535,2)&amp;"/"&amp;RIGHT("00"&amp;$D1535,2)))</f>
        <v/>
      </c>
      <c r="F1535">
        <f>IF(OR($E1535="",$E1535="نامعتبر"),"",LEFT($E1535,4)&amp;"/"&amp;MID($E1535,6,2))</f>
        <v/>
      </c>
      <c r="G1535">
        <f>IF(OR($E1535="",$E1535="نامعتبر",Sync!$Y1532=""),"",Sync!$Y1532)</f>
        <v/>
      </c>
      <c r="H1535">
        <f>IF($G1535="","",IF(Sync!$X1532="","",Sync!$X1532))</f>
        <v/>
      </c>
      <c r="I1535">
        <f>IF($G1535="","",IFERROR(VLOOKUP(Sync!$X1532,OpTbl,3,0),""))</f>
        <v/>
      </c>
      <c r="J1535">
        <f>IF(OR($G1535="",Sync!$Z1532=""),"",Sync!$Z1532)</f>
        <v/>
      </c>
      <c r="K1535">
        <f>IF(OR($G1535="",Sync!$AA1532=""),"",Sync!$AA1532)</f>
        <v/>
      </c>
      <c r="L1535">
        <f>IF($G1535="",0,IF(Sync!$AB1532="",0,Sync!$AB1532))</f>
        <v/>
      </c>
      <c r="M1535">
        <f>IF($G1535="",0,IF(Sync!$AC1532="",0,Sync!$AC1532))</f>
        <v/>
      </c>
      <c r="N1535">
        <f>IF($G1535="","",IF($H1535="مرجوعی خرید",-1,1)*($L1535-$M1535*IFERROR(VLOOKUP("P01",ParamTbl,3,0),1.5))*(1-IF($I1535="خرید",IFERROR(VLOOKUP("P02",ParamTbl,3,0),1),0)/100))</f>
        <v/>
      </c>
      <c r="O1535">
        <f>IF($G1535="",0,IF($H1535="مرجوعی خرید",-1,1)*IF(Sync!$AD1532="",0,Sync!$AD1532))</f>
        <v/>
      </c>
      <c r="P1535">
        <f>IF(OR($G1535="",Sync!$W1532=""),"",Sync!$W1532)</f>
        <v/>
      </c>
      <c r="Q1535">
        <f>IF(OR($G1535="",Sync!$AE1532=""),"",Sync!$AE1532)</f>
        <v/>
      </c>
      <c r="R1535">
        <f>IF($G1535="","",IF(Sync!$V1532="","0000",IF(AND(ISNUMBER(Sync!$V1532),Sync!$V1532&gt;=0,Sync!$V1532&lt;1),RIGHT("00"&amp;HOUR(Sync!$V1532),2)&amp;RIGHT("00"&amp;MINUTE(Sync!$V1532),2),IFERROR(RIGHT("00"&amp;VALUE(LEFT(Sync!$V1532,FIND(":",Sync!$V1532)-1)),2)&amp;RIGHT("00"&amp;VALUE(MID(Sync!$V1532,FIND(":",Sync!$V1532)+1,2)),2),"0000"))))</f>
        <v/>
      </c>
    </row>
    <row r="1536">
      <c r="A1536">
        <f>IF(Sync!$U1533="","",Sync!$U1533)</f>
        <v/>
      </c>
      <c r="B1536">
        <f>IF($A1536="","",IF(ISNUMBER($A1536),IF(AND($A1536&gt;=10000101,$A1536&lt;=99991231),INT($A1536/10000),""),IFERROR(VALUE(TRIM(LEFT($A1536,FIND("/",$A1536)-1))),"")))</f>
        <v/>
      </c>
      <c r="C1536">
        <f>IF(OR($A1536="",$B1536=""),"",IF(ISNUMBER($A1536),INT(MOD($A1536,10000)/100),IFERROR(VALUE(TRIM(LEFT(MID($A1536,FIND("/",$A1536)+1,20),FIND("/",MID($A1536,FIND("/",$A1536)+1,20))-1))),"")))</f>
        <v/>
      </c>
      <c r="D1536">
        <f>IF(OR($A1536="",$B1536=""),"",IF(ISNUMBER($A1536),MOD($A1536,100),IFERROR(VALUE(TRIM(MID(MID($A1536,FIND("/",$A1536)+1,20),FIND("/",MID($A1536,FIND("/",$A1536)+1,20))+1,20))),"")))</f>
        <v/>
      </c>
      <c r="E1536">
        <f>IF($A1536="","",IF(OR($B1536="",$C1536="",$D1536="",$B1536&lt;1300,$B1536&gt;1500,$C1536&lt;1,$C1536&gt;12,$D1536&lt;1,$D1536&gt;31),"نامعتبر",RIGHT("0000"&amp;$B1536,4)&amp;"/"&amp;RIGHT("00"&amp;$C1536,2)&amp;"/"&amp;RIGHT("00"&amp;$D1536,2)))</f>
        <v/>
      </c>
      <c r="F1536">
        <f>IF(OR($E1536="",$E1536="نامعتبر"),"",LEFT($E1536,4)&amp;"/"&amp;MID($E1536,6,2))</f>
        <v/>
      </c>
      <c r="G1536">
        <f>IF(OR($E1536="",$E1536="نامعتبر",Sync!$Y1533=""),"",Sync!$Y1533)</f>
        <v/>
      </c>
      <c r="H1536">
        <f>IF($G1536="","",IF(Sync!$X1533="","",Sync!$X1533))</f>
        <v/>
      </c>
      <c r="I1536">
        <f>IF($G1536="","",IFERROR(VLOOKUP(Sync!$X1533,OpTbl,3,0),""))</f>
        <v/>
      </c>
      <c r="J1536">
        <f>IF(OR($G1536="",Sync!$Z1533=""),"",Sync!$Z1533)</f>
        <v/>
      </c>
      <c r="K1536">
        <f>IF(OR($G1536="",Sync!$AA1533=""),"",Sync!$AA1533)</f>
        <v/>
      </c>
      <c r="L1536">
        <f>IF($G1536="",0,IF(Sync!$AB1533="",0,Sync!$AB1533))</f>
        <v/>
      </c>
      <c r="M1536">
        <f>IF($G1536="",0,IF(Sync!$AC1533="",0,Sync!$AC1533))</f>
        <v/>
      </c>
      <c r="N1536">
        <f>IF($G1536="","",IF($H1536="مرجوعی خرید",-1,1)*($L1536-$M1536*IFERROR(VLOOKUP("P01",ParamTbl,3,0),1.5))*(1-IF($I1536="خرید",IFERROR(VLOOKUP("P02",ParamTbl,3,0),1),0)/100))</f>
        <v/>
      </c>
      <c r="O1536">
        <f>IF($G1536="",0,IF($H1536="مرجوعی خرید",-1,1)*IF(Sync!$AD1533="",0,Sync!$AD1533))</f>
        <v/>
      </c>
      <c r="P1536">
        <f>IF(OR($G1536="",Sync!$W1533=""),"",Sync!$W1533)</f>
        <v/>
      </c>
      <c r="Q1536">
        <f>IF(OR($G1536="",Sync!$AE1533=""),"",Sync!$AE1533)</f>
        <v/>
      </c>
      <c r="R1536">
        <f>IF($G1536="","",IF(Sync!$V1533="","0000",IF(AND(ISNUMBER(Sync!$V1533),Sync!$V1533&gt;=0,Sync!$V1533&lt;1),RIGHT("00"&amp;HOUR(Sync!$V1533),2)&amp;RIGHT("00"&amp;MINUTE(Sync!$V1533),2),IFERROR(RIGHT("00"&amp;VALUE(LEFT(Sync!$V1533,FIND(":",Sync!$V1533)-1)),2)&amp;RIGHT("00"&amp;VALUE(MID(Sync!$V1533,FIND(":",Sync!$V1533)+1,2)),2),"0000"))))</f>
        <v/>
      </c>
    </row>
    <row r="1537">
      <c r="A1537">
        <f>IF(Sync!$U1534="","",Sync!$U1534)</f>
        <v/>
      </c>
      <c r="B1537">
        <f>IF($A1537="","",IF(ISNUMBER($A1537),IF(AND($A1537&gt;=10000101,$A1537&lt;=99991231),INT($A1537/10000),""),IFERROR(VALUE(TRIM(LEFT($A1537,FIND("/",$A1537)-1))),"")))</f>
        <v/>
      </c>
      <c r="C1537">
        <f>IF(OR($A1537="",$B1537=""),"",IF(ISNUMBER($A1537),INT(MOD($A1537,10000)/100),IFERROR(VALUE(TRIM(LEFT(MID($A1537,FIND("/",$A1537)+1,20),FIND("/",MID($A1537,FIND("/",$A1537)+1,20))-1))),"")))</f>
        <v/>
      </c>
      <c r="D1537">
        <f>IF(OR($A1537="",$B1537=""),"",IF(ISNUMBER($A1537),MOD($A1537,100),IFERROR(VALUE(TRIM(MID(MID($A1537,FIND("/",$A1537)+1,20),FIND("/",MID($A1537,FIND("/",$A1537)+1,20))+1,20))),"")))</f>
        <v/>
      </c>
      <c r="E1537">
        <f>IF($A1537="","",IF(OR($B1537="",$C1537="",$D1537="",$B1537&lt;1300,$B1537&gt;1500,$C1537&lt;1,$C1537&gt;12,$D1537&lt;1,$D1537&gt;31),"نامعتبر",RIGHT("0000"&amp;$B1537,4)&amp;"/"&amp;RIGHT("00"&amp;$C1537,2)&amp;"/"&amp;RIGHT("00"&amp;$D1537,2)))</f>
        <v/>
      </c>
      <c r="F1537">
        <f>IF(OR($E1537="",$E1537="نامعتبر"),"",LEFT($E1537,4)&amp;"/"&amp;MID($E1537,6,2))</f>
        <v/>
      </c>
      <c r="G1537">
        <f>IF(OR($E1537="",$E1537="نامعتبر",Sync!$Y1534=""),"",Sync!$Y1534)</f>
        <v/>
      </c>
      <c r="H1537">
        <f>IF($G1537="","",IF(Sync!$X1534="","",Sync!$X1534))</f>
        <v/>
      </c>
      <c r="I1537">
        <f>IF($G1537="","",IFERROR(VLOOKUP(Sync!$X1534,OpTbl,3,0),""))</f>
        <v/>
      </c>
      <c r="J1537">
        <f>IF(OR($G1537="",Sync!$Z1534=""),"",Sync!$Z1534)</f>
        <v/>
      </c>
      <c r="K1537">
        <f>IF(OR($G1537="",Sync!$AA1534=""),"",Sync!$AA1534)</f>
        <v/>
      </c>
      <c r="L1537">
        <f>IF($G1537="",0,IF(Sync!$AB1534="",0,Sync!$AB1534))</f>
        <v/>
      </c>
      <c r="M1537">
        <f>IF($G1537="",0,IF(Sync!$AC1534="",0,Sync!$AC1534))</f>
        <v/>
      </c>
      <c r="N1537">
        <f>IF($G1537="","",IF($H1537="مرجوعی خرید",-1,1)*($L1537-$M1537*IFERROR(VLOOKUP("P01",ParamTbl,3,0),1.5))*(1-IF($I1537="خرید",IFERROR(VLOOKUP("P02",ParamTbl,3,0),1),0)/100))</f>
        <v/>
      </c>
      <c r="O1537">
        <f>IF($G1537="",0,IF($H1537="مرجوعی خرید",-1,1)*IF(Sync!$AD1534="",0,Sync!$AD1534))</f>
        <v/>
      </c>
      <c r="P1537">
        <f>IF(OR($G1537="",Sync!$W1534=""),"",Sync!$W1534)</f>
        <v/>
      </c>
      <c r="Q1537">
        <f>IF(OR($G1537="",Sync!$AE1534=""),"",Sync!$AE1534)</f>
        <v/>
      </c>
      <c r="R1537">
        <f>IF($G1537="","",IF(Sync!$V1534="","0000",IF(AND(ISNUMBER(Sync!$V1534),Sync!$V1534&gt;=0,Sync!$V1534&lt;1),RIGHT("00"&amp;HOUR(Sync!$V1534),2)&amp;RIGHT("00"&amp;MINUTE(Sync!$V1534),2),IFERROR(RIGHT("00"&amp;VALUE(LEFT(Sync!$V1534,FIND(":",Sync!$V1534)-1)),2)&amp;RIGHT("00"&amp;VALUE(MID(Sync!$V1534,FIND(":",Sync!$V1534)+1,2)),2),"0000"))))</f>
        <v/>
      </c>
    </row>
    <row r="1538">
      <c r="A1538">
        <f>IF(Sync!$U1535="","",Sync!$U1535)</f>
        <v/>
      </c>
      <c r="B1538">
        <f>IF($A1538="","",IF(ISNUMBER($A1538),IF(AND($A1538&gt;=10000101,$A1538&lt;=99991231),INT($A1538/10000),""),IFERROR(VALUE(TRIM(LEFT($A1538,FIND("/",$A1538)-1))),"")))</f>
        <v/>
      </c>
      <c r="C1538">
        <f>IF(OR($A1538="",$B1538=""),"",IF(ISNUMBER($A1538),INT(MOD($A1538,10000)/100),IFERROR(VALUE(TRIM(LEFT(MID($A1538,FIND("/",$A1538)+1,20),FIND("/",MID($A1538,FIND("/",$A1538)+1,20))-1))),"")))</f>
        <v/>
      </c>
      <c r="D1538">
        <f>IF(OR($A1538="",$B1538=""),"",IF(ISNUMBER($A1538),MOD($A1538,100),IFERROR(VALUE(TRIM(MID(MID($A1538,FIND("/",$A1538)+1,20),FIND("/",MID($A1538,FIND("/",$A1538)+1,20))+1,20))),"")))</f>
        <v/>
      </c>
      <c r="E1538">
        <f>IF($A1538="","",IF(OR($B1538="",$C1538="",$D1538="",$B1538&lt;1300,$B1538&gt;1500,$C1538&lt;1,$C1538&gt;12,$D1538&lt;1,$D1538&gt;31),"نامعتبر",RIGHT("0000"&amp;$B1538,4)&amp;"/"&amp;RIGHT("00"&amp;$C1538,2)&amp;"/"&amp;RIGHT("00"&amp;$D1538,2)))</f>
        <v/>
      </c>
      <c r="F1538">
        <f>IF(OR($E1538="",$E1538="نامعتبر"),"",LEFT($E1538,4)&amp;"/"&amp;MID($E1538,6,2))</f>
        <v/>
      </c>
      <c r="G1538">
        <f>IF(OR($E1538="",$E1538="نامعتبر",Sync!$Y1535=""),"",Sync!$Y1535)</f>
        <v/>
      </c>
      <c r="H1538">
        <f>IF($G1538="","",IF(Sync!$X1535="","",Sync!$X1535))</f>
        <v/>
      </c>
      <c r="I1538">
        <f>IF($G1538="","",IFERROR(VLOOKUP(Sync!$X1535,OpTbl,3,0),""))</f>
        <v/>
      </c>
      <c r="J1538">
        <f>IF(OR($G1538="",Sync!$Z1535=""),"",Sync!$Z1535)</f>
        <v/>
      </c>
      <c r="K1538">
        <f>IF(OR($G1538="",Sync!$AA1535=""),"",Sync!$AA1535)</f>
        <v/>
      </c>
      <c r="L1538">
        <f>IF($G1538="",0,IF(Sync!$AB1535="",0,Sync!$AB1535))</f>
        <v/>
      </c>
      <c r="M1538">
        <f>IF($G1538="",0,IF(Sync!$AC1535="",0,Sync!$AC1535))</f>
        <v/>
      </c>
      <c r="N1538">
        <f>IF($G1538="","",IF($H1538="مرجوعی خرید",-1,1)*($L1538-$M1538*IFERROR(VLOOKUP("P01",ParamTbl,3,0),1.5))*(1-IF($I1538="خرید",IFERROR(VLOOKUP("P02",ParamTbl,3,0),1),0)/100))</f>
        <v/>
      </c>
      <c r="O1538">
        <f>IF($G1538="",0,IF($H1538="مرجوعی خرید",-1,1)*IF(Sync!$AD1535="",0,Sync!$AD1535))</f>
        <v/>
      </c>
      <c r="P1538">
        <f>IF(OR($G1538="",Sync!$W1535=""),"",Sync!$W1535)</f>
        <v/>
      </c>
      <c r="Q1538">
        <f>IF(OR($G1538="",Sync!$AE1535=""),"",Sync!$AE1535)</f>
        <v/>
      </c>
      <c r="R1538">
        <f>IF($G1538="","",IF(Sync!$V1535="","0000",IF(AND(ISNUMBER(Sync!$V1535),Sync!$V1535&gt;=0,Sync!$V1535&lt;1),RIGHT("00"&amp;HOUR(Sync!$V1535),2)&amp;RIGHT("00"&amp;MINUTE(Sync!$V1535),2),IFERROR(RIGHT("00"&amp;VALUE(LEFT(Sync!$V1535,FIND(":",Sync!$V1535)-1)),2)&amp;RIGHT("00"&amp;VALUE(MID(Sync!$V1535,FIND(":",Sync!$V1535)+1,2)),2),"0000"))))</f>
        <v/>
      </c>
    </row>
    <row r="1539">
      <c r="A1539">
        <f>IF(Sync!$U1536="","",Sync!$U1536)</f>
        <v/>
      </c>
      <c r="B1539">
        <f>IF($A1539="","",IF(ISNUMBER($A1539),IF(AND($A1539&gt;=10000101,$A1539&lt;=99991231),INT($A1539/10000),""),IFERROR(VALUE(TRIM(LEFT($A1539,FIND("/",$A1539)-1))),"")))</f>
        <v/>
      </c>
      <c r="C1539">
        <f>IF(OR($A1539="",$B1539=""),"",IF(ISNUMBER($A1539),INT(MOD($A1539,10000)/100),IFERROR(VALUE(TRIM(LEFT(MID($A1539,FIND("/",$A1539)+1,20),FIND("/",MID($A1539,FIND("/",$A1539)+1,20))-1))),"")))</f>
        <v/>
      </c>
      <c r="D1539">
        <f>IF(OR($A1539="",$B1539=""),"",IF(ISNUMBER($A1539),MOD($A1539,100),IFERROR(VALUE(TRIM(MID(MID($A1539,FIND("/",$A1539)+1,20),FIND("/",MID($A1539,FIND("/",$A1539)+1,20))+1,20))),"")))</f>
        <v/>
      </c>
      <c r="E1539">
        <f>IF($A1539="","",IF(OR($B1539="",$C1539="",$D1539="",$B1539&lt;1300,$B1539&gt;1500,$C1539&lt;1,$C1539&gt;12,$D1539&lt;1,$D1539&gt;31),"نامعتبر",RIGHT("0000"&amp;$B1539,4)&amp;"/"&amp;RIGHT("00"&amp;$C1539,2)&amp;"/"&amp;RIGHT("00"&amp;$D1539,2)))</f>
        <v/>
      </c>
      <c r="F1539">
        <f>IF(OR($E1539="",$E1539="نامعتبر"),"",LEFT($E1539,4)&amp;"/"&amp;MID($E1539,6,2))</f>
        <v/>
      </c>
      <c r="G1539">
        <f>IF(OR($E1539="",$E1539="نامعتبر",Sync!$Y1536=""),"",Sync!$Y1536)</f>
        <v/>
      </c>
      <c r="H1539">
        <f>IF($G1539="","",IF(Sync!$X1536="","",Sync!$X1536))</f>
        <v/>
      </c>
      <c r="I1539">
        <f>IF($G1539="","",IFERROR(VLOOKUP(Sync!$X1536,OpTbl,3,0),""))</f>
        <v/>
      </c>
      <c r="J1539">
        <f>IF(OR($G1539="",Sync!$Z1536=""),"",Sync!$Z1536)</f>
        <v/>
      </c>
      <c r="K1539">
        <f>IF(OR($G1539="",Sync!$AA1536=""),"",Sync!$AA1536)</f>
        <v/>
      </c>
      <c r="L1539">
        <f>IF($G1539="",0,IF(Sync!$AB1536="",0,Sync!$AB1536))</f>
        <v/>
      </c>
      <c r="M1539">
        <f>IF($G1539="",0,IF(Sync!$AC1536="",0,Sync!$AC1536))</f>
        <v/>
      </c>
      <c r="N1539">
        <f>IF($G1539="","",IF($H1539="مرجوعی خرید",-1,1)*($L1539-$M1539*IFERROR(VLOOKUP("P01",ParamTbl,3,0),1.5))*(1-IF($I1539="خرید",IFERROR(VLOOKUP("P02",ParamTbl,3,0),1),0)/100))</f>
        <v/>
      </c>
      <c r="O1539">
        <f>IF($G1539="",0,IF($H1539="مرجوعی خرید",-1,1)*IF(Sync!$AD1536="",0,Sync!$AD1536))</f>
        <v/>
      </c>
      <c r="P1539">
        <f>IF(OR($G1539="",Sync!$W1536=""),"",Sync!$W1536)</f>
        <v/>
      </c>
      <c r="Q1539">
        <f>IF(OR($G1539="",Sync!$AE1536=""),"",Sync!$AE1536)</f>
        <v/>
      </c>
      <c r="R1539">
        <f>IF($G1539="","",IF(Sync!$V1536="","0000",IF(AND(ISNUMBER(Sync!$V1536),Sync!$V1536&gt;=0,Sync!$V1536&lt;1),RIGHT("00"&amp;HOUR(Sync!$V1536),2)&amp;RIGHT("00"&amp;MINUTE(Sync!$V1536),2),IFERROR(RIGHT("00"&amp;VALUE(LEFT(Sync!$V1536,FIND(":",Sync!$V1536)-1)),2)&amp;RIGHT("00"&amp;VALUE(MID(Sync!$V1536,FIND(":",Sync!$V1536)+1,2)),2),"0000"))))</f>
        <v/>
      </c>
    </row>
    <row r="1540">
      <c r="A1540">
        <f>IF(Sync!$U1537="","",Sync!$U1537)</f>
        <v/>
      </c>
      <c r="B1540">
        <f>IF($A1540="","",IF(ISNUMBER($A1540),IF(AND($A1540&gt;=10000101,$A1540&lt;=99991231),INT($A1540/10000),""),IFERROR(VALUE(TRIM(LEFT($A1540,FIND("/",$A1540)-1))),"")))</f>
        <v/>
      </c>
      <c r="C1540">
        <f>IF(OR($A1540="",$B1540=""),"",IF(ISNUMBER($A1540),INT(MOD($A1540,10000)/100),IFERROR(VALUE(TRIM(LEFT(MID($A1540,FIND("/",$A1540)+1,20),FIND("/",MID($A1540,FIND("/",$A1540)+1,20))-1))),"")))</f>
        <v/>
      </c>
      <c r="D1540">
        <f>IF(OR($A1540="",$B1540=""),"",IF(ISNUMBER($A1540),MOD($A1540,100),IFERROR(VALUE(TRIM(MID(MID($A1540,FIND("/",$A1540)+1,20),FIND("/",MID($A1540,FIND("/",$A1540)+1,20))+1,20))),"")))</f>
        <v/>
      </c>
      <c r="E1540">
        <f>IF($A1540="","",IF(OR($B1540="",$C1540="",$D1540="",$B1540&lt;1300,$B1540&gt;1500,$C1540&lt;1,$C1540&gt;12,$D1540&lt;1,$D1540&gt;31),"نامعتبر",RIGHT("0000"&amp;$B1540,4)&amp;"/"&amp;RIGHT("00"&amp;$C1540,2)&amp;"/"&amp;RIGHT("00"&amp;$D1540,2)))</f>
        <v/>
      </c>
      <c r="F1540">
        <f>IF(OR($E1540="",$E1540="نامعتبر"),"",LEFT($E1540,4)&amp;"/"&amp;MID($E1540,6,2))</f>
        <v/>
      </c>
      <c r="G1540">
        <f>IF(OR($E1540="",$E1540="نامعتبر",Sync!$Y1537=""),"",Sync!$Y1537)</f>
        <v/>
      </c>
      <c r="H1540">
        <f>IF($G1540="","",IF(Sync!$X1537="","",Sync!$X1537))</f>
        <v/>
      </c>
      <c r="I1540">
        <f>IF($G1540="","",IFERROR(VLOOKUP(Sync!$X1537,OpTbl,3,0),""))</f>
        <v/>
      </c>
      <c r="J1540">
        <f>IF(OR($G1540="",Sync!$Z1537=""),"",Sync!$Z1537)</f>
        <v/>
      </c>
      <c r="K1540">
        <f>IF(OR($G1540="",Sync!$AA1537=""),"",Sync!$AA1537)</f>
        <v/>
      </c>
      <c r="L1540">
        <f>IF($G1540="",0,IF(Sync!$AB1537="",0,Sync!$AB1537))</f>
        <v/>
      </c>
      <c r="M1540">
        <f>IF($G1540="",0,IF(Sync!$AC1537="",0,Sync!$AC1537))</f>
        <v/>
      </c>
      <c r="N1540">
        <f>IF($G1540="","",IF($H1540="مرجوعی خرید",-1,1)*($L1540-$M1540*IFERROR(VLOOKUP("P01",ParamTbl,3,0),1.5))*(1-IF($I1540="خرید",IFERROR(VLOOKUP("P02",ParamTbl,3,0),1),0)/100))</f>
        <v/>
      </c>
      <c r="O1540">
        <f>IF($G1540="",0,IF($H1540="مرجوعی خرید",-1,1)*IF(Sync!$AD1537="",0,Sync!$AD1537))</f>
        <v/>
      </c>
      <c r="P1540">
        <f>IF(OR($G1540="",Sync!$W1537=""),"",Sync!$W1537)</f>
        <v/>
      </c>
      <c r="Q1540">
        <f>IF(OR($G1540="",Sync!$AE1537=""),"",Sync!$AE1537)</f>
        <v/>
      </c>
      <c r="R1540">
        <f>IF($G1540="","",IF(Sync!$V1537="","0000",IF(AND(ISNUMBER(Sync!$V1537),Sync!$V1537&gt;=0,Sync!$V1537&lt;1),RIGHT("00"&amp;HOUR(Sync!$V1537),2)&amp;RIGHT("00"&amp;MINUTE(Sync!$V1537),2),IFERROR(RIGHT("00"&amp;VALUE(LEFT(Sync!$V1537,FIND(":",Sync!$V1537)-1)),2)&amp;RIGHT("00"&amp;VALUE(MID(Sync!$V1537,FIND(":",Sync!$V1537)+1,2)),2),"0000"))))</f>
        <v/>
      </c>
    </row>
    <row r="1541">
      <c r="A1541">
        <f>IF(Sync!$U1538="","",Sync!$U1538)</f>
        <v/>
      </c>
      <c r="B1541">
        <f>IF($A1541="","",IF(ISNUMBER($A1541),IF(AND($A1541&gt;=10000101,$A1541&lt;=99991231),INT($A1541/10000),""),IFERROR(VALUE(TRIM(LEFT($A1541,FIND("/",$A1541)-1))),"")))</f>
        <v/>
      </c>
      <c r="C1541">
        <f>IF(OR($A1541="",$B1541=""),"",IF(ISNUMBER($A1541),INT(MOD($A1541,10000)/100),IFERROR(VALUE(TRIM(LEFT(MID($A1541,FIND("/",$A1541)+1,20),FIND("/",MID($A1541,FIND("/",$A1541)+1,20))-1))),"")))</f>
        <v/>
      </c>
      <c r="D1541">
        <f>IF(OR($A1541="",$B1541=""),"",IF(ISNUMBER($A1541),MOD($A1541,100),IFERROR(VALUE(TRIM(MID(MID($A1541,FIND("/",$A1541)+1,20),FIND("/",MID($A1541,FIND("/",$A1541)+1,20))+1,20))),"")))</f>
        <v/>
      </c>
      <c r="E1541">
        <f>IF($A1541="","",IF(OR($B1541="",$C1541="",$D1541="",$B1541&lt;1300,$B1541&gt;1500,$C1541&lt;1,$C1541&gt;12,$D1541&lt;1,$D1541&gt;31),"نامعتبر",RIGHT("0000"&amp;$B1541,4)&amp;"/"&amp;RIGHT("00"&amp;$C1541,2)&amp;"/"&amp;RIGHT("00"&amp;$D1541,2)))</f>
        <v/>
      </c>
      <c r="F1541">
        <f>IF(OR($E1541="",$E1541="نامعتبر"),"",LEFT($E1541,4)&amp;"/"&amp;MID($E1541,6,2))</f>
        <v/>
      </c>
      <c r="G1541">
        <f>IF(OR($E1541="",$E1541="نامعتبر",Sync!$Y1538=""),"",Sync!$Y1538)</f>
        <v/>
      </c>
      <c r="H1541">
        <f>IF($G1541="","",IF(Sync!$X1538="","",Sync!$X1538))</f>
        <v/>
      </c>
      <c r="I1541">
        <f>IF($G1541="","",IFERROR(VLOOKUP(Sync!$X1538,OpTbl,3,0),""))</f>
        <v/>
      </c>
      <c r="J1541">
        <f>IF(OR($G1541="",Sync!$Z1538=""),"",Sync!$Z1538)</f>
        <v/>
      </c>
      <c r="K1541">
        <f>IF(OR($G1541="",Sync!$AA1538=""),"",Sync!$AA1538)</f>
        <v/>
      </c>
      <c r="L1541">
        <f>IF($G1541="",0,IF(Sync!$AB1538="",0,Sync!$AB1538))</f>
        <v/>
      </c>
      <c r="M1541">
        <f>IF($G1541="",0,IF(Sync!$AC1538="",0,Sync!$AC1538))</f>
        <v/>
      </c>
      <c r="N1541">
        <f>IF($G1541="","",IF($H1541="مرجوعی خرید",-1,1)*($L1541-$M1541*IFERROR(VLOOKUP("P01",ParamTbl,3,0),1.5))*(1-IF($I1541="خرید",IFERROR(VLOOKUP("P02",ParamTbl,3,0),1),0)/100))</f>
        <v/>
      </c>
      <c r="O1541">
        <f>IF($G1541="",0,IF($H1541="مرجوعی خرید",-1,1)*IF(Sync!$AD1538="",0,Sync!$AD1538))</f>
        <v/>
      </c>
      <c r="P1541">
        <f>IF(OR($G1541="",Sync!$W1538=""),"",Sync!$W1538)</f>
        <v/>
      </c>
      <c r="Q1541">
        <f>IF(OR($G1541="",Sync!$AE1538=""),"",Sync!$AE1538)</f>
        <v/>
      </c>
      <c r="R1541">
        <f>IF($G1541="","",IF(Sync!$V1538="","0000",IF(AND(ISNUMBER(Sync!$V1538),Sync!$V1538&gt;=0,Sync!$V1538&lt;1),RIGHT("00"&amp;HOUR(Sync!$V1538),2)&amp;RIGHT("00"&amp;MINUTE(Sync!$V1538),2),IFERROR(RIGHT("00"&amp;VALUE(LEFT(Sync!$V1538,FIND(":",Sync!$V1538)-1)),2)&amp;RIGHT("00"&amp;VALUE(MID(Sync!$V1538,FIND(":",Sync!$V1538)+1,2)),2),"0000"))))</f>
        <v/>
      </c>
    </row>
    <row r="1542">
      <c r="A1542">
        <f>IF(Sync!$U1539="","",Sync!$U1539)</f>
        <v/>
      </c>
      <c r="B1542">
        <f>IF($A1542="","",IF(ISNUMBER($A1542),IF(AND($A1542&gt;=10000101,$A1542&lt;=99991231),INT($A1542/10000),""),IFERROR(VALUE(TRIM(LEFT($A1542,FIND("/",$A1542)-1))),"")))</f>
        <v/>
      </c>
      <c r="C1542">
        <f>IF(OR($A1542="",$B1542=""),"",IF(ISNUMBER($A1542),INT(MOD($A1542,10000)/100),IFERROR(VALUE(TRIM(LEFT(MID($A1542,FIND("/",$A1542)+1,20),FIND("/",MID($A1542,FIND("/",$A1542)+1,20))-1))),"")))</f>
        <v/>
      </c>
      <c r="D1542">
        <f>IF(OR($A1542="",$B1542=""),"",IF(ISNUMBER($A1542),MOD($A1542,100),IFERROR(VALUE(TRIM(MID(MID($A1542,FIND("/",$A1542)+1,20),FIND("/",MID($A1542,FIND("/",$A1542)+1,20))+1,20))),"")))</f>
        <v/>
      </c>
      <c r="E1542">
        <f>IF($A1542="","",IF(OR($B1542="",$C1542="",$D1542="",$B1542&lt;1300,$B1542&gt;1500,$C1542&lt;1,$C1542&gt;12,$D1542&lt;1,$D1542&gt;31),"نامعتبر",RIGHT("0000"&amp;$B1542,4)&amp;"/"&amp;RIGHT("00"&amp;$C1542,2)&amp;"/"&amp;RIGHT("00"&amp;$D1542,2)))</f>
        <v/>
      </c>
      <c r="F1542">
        <f>IF(OR($E1542="",$E1542="نامعتبر"),"",LEFT($E1542,4)&amp;"/"&amp;MID($E1542,6,2))</f>
        <v/>
      </c>
      <c r="G1542">
        <f>IF(OR($E1542="",$E1542="نامعتبر",Sync!$Y1539=""),"",Sync!$Y1539)</f>
        <v/>
      </c>
      <c r="H1542">
        <f>IF($G1542="","",IF(Sync!$X1539="","",Sync!$X1539))</f>
        <v/>
      </c>
      <c r="I1542">
        <f>IF($G1542="","",IFERROR(VLOOKUP(Sync!$X1539,OpTbl,3,0),""))</f>
        <v/>
      </c>
      <c r="J1542">
        <f>IF(OR($G1542="",Sync!$Z1539=""),"",Sync!$Z1539)</f>
        <v/>
      </c>
      <c r="K1542">
        <f>IF(OR($G1542="",Sync!$AA1539=""),"",Sync!$AA1539)</f>
        <v/>
      </c>
      <c r="L1542">
        <f>IF($G1542="",0,IF(Sync!$AB1539="",0,Sync!$AB1539))</f>
        <v/>
      </c>
      <c r="M1542">
        <f>IF($G1542="",0,IF(Sync!$AC1539="",0,Sync!$AC1539))</f>
        <v/>
      </c>
      <c r="N1542">
        <f>IF($G1542="","",IF($H1542="مرجوعی خرید",-1,1)*($L1542-$M1542*IFERROR(VLOOKUP("P01",ParamTbl,3,0),1.5))*(1-IF($I1542="خرید",IFERROR(VLOOKUP("P02",ParamTbl,3,0),1),0)/100))</f>
        <v/>
      </c>
      <c r="O1542">
        <f>IF($G1542="",0,IF($H1542="مرجوعی خرید",-1,1)*IF(Sync!$AD1539="",0,Sync!$AD1539))</f>
        <v/>
      </c>
      <c r="P1542">
        <f>IF(OR($G1542="",Sync!$W1539=""),"",Sync!$W1539)</f>
        <v/>
      </c>
      <c r="Q1542">
        <f>IF(OR($G1542="",Sync!$AE1539=""),"",Sync!$AE1539)</f>
        <v/>
      </c>
      <c r="R1542">
        <f>IF($G1542="","",IF(Sync!$V1539="","0000",IF(AND(ISNUMBER(Sync!$V1539),Sync!$V1539&gt;=0,Sync!$V1539&lt;1),RIGHT("00"&amp;HOUR(Sync!$V1539),2)&amp;RIGHT("00"&amp;MINUTE(Sync!$V1539),2),IFERROR(RIGHT("00"&amp;VALUE(LEFT(Sync!$V1539,FIND(":",Sync!$V1539)-1)),2)&amp;RIGHT("00"&amp;VALUE(MID(Sync!$V1539,FIND(":",Sync!$V1539)+1,2)),2),"0000"))))</f>
        <v/>
      </c>
    </row>
    <row r="1543">
      <c r="A1543">
        <f>IF(Sync!$U1540="","",Sync!$U1540)</f>
        <v/>
      </c>
      <c r="B1543">
        <f>IF($A1543="","",IF(ISNUMBER($A1543),IF(AND($A1543&gt;=10000101,$A1543&lt;=99991231),INT($A1543/10000),""),IFERROR(VALUE(TRIM(LEFT($A1543,FIND("/",$A1543)-1))),"")))</f>
        <v/>
      </c>
      <c r="C1543">
        <f>IF(OR($A1543="",$B1543=""),"",IF(ISNUMBER($A1543),INT(MOD($A1543,10000)/100),IFERROR(VALUE(TRIM(LEFT(MID($A1543,FIND("/",$A1543)+1,20),FIND("/",MID($A1543,FIND("/",$A1543)+1,20))-1))),"")))</f>
        <v/>
      </c>
      <c r="D1543">
        <f>IF(OR($A1543="",$B1543=""),"",IF(ISNUMBER($A1543),MOD($A1543,100),IFERROR(VALUE(TRIM(MID(MID($A1543,FIND("/",$A1543)+1,20),FIND("/",MID($A1543,FIND("/",$A1543)+1,20))+1,20))),"")))</f>
        <v/>
      </c>
      <c r="E1543">
        <f>IF($A1543="","",IF(OR($B1543="",$C1543="",$D1543="",$B1543&lt;1300,$B1543&gt;1500,$C1543&lt;1,$C1543&gt;12,$D1543&lt;1,$D1543&gt;31),"نامعتبر",RIGHT("0000"&amp;$B1543,4)&amp;"/"&amp;RIGHT("00"&amp;$C1543,2)&amp;"/"&amp;RIGHT("00"&amp;$D1543,2)))</f>
        <v/>
      </c>
      <c r="F1543">
        <f>IF(OR($E1543="",$E1543="نامعتبر"),"",LEFT($E1543,4)&amp;"/"&amp;MID($E1543,6,2))</f>
        <v/>
      </c>
      <c r="G1543">
        <f>IF(OR($E1543="",$E1543="نامعتبر",Sync!$Y1540=""),"",Sync!$Y1540)</f>
        <v/>
      </c>
      <c r="H1543">
        <f>IF($G1543="","",IF(Sync!$X1540="","",Sync!$X1540))</f>
        <v/>
      </c>
      <c r="I1543">
        <f>IF($G1543="","",IFERROR(VLOOKUP(Sync!$X1540,OpTbl,3,0),""))</f>
        <v/>
      </c>
      <c r="J1543">
        <f>IF(OR($G1543="",Sync!$Z1540=""),"",Sync!$Z1540)</f>
        <v/>
      </c>
      <c r="K1543">
        <f>IF(OR($G1543="",Sync!$AA1540=""),"",Sync!$AA1540)</f>
        <v/>
      </c>
      <c r="L1543">
        <f>IF($G1543="",0,IF(Sync!$AB1540="",0,Sync!$AB1540))</f>
        <v/>
      </c>
      <c r="M1543">
        <f>IF($G1543="",0,IF(Sync!$AC1540="",0,Sync!$AC1540))</f>
        <v/>
      </c>
      <c r="N1543">
        <f>IF($G1543="","",IF($H1543="مرجوعی خرید",-1,1)*($L1543-$M1543*IFERROR(VLOOKUP("P01",ParamTbl,3,0),1.5))*(1-IF($I1543="خرید",IFERROR(VLOOKUP("P02",ParamTbl,3,0),1),0)/100))</f>
        <v/>
      </c>
      <c r="O1543">
        <f>IF($G1543="",0,IF($H1543="مرجوعی خرید",-1,1)*IF(Sync!$AD1540="",0,Sync!$AD1540))</f>
        <v/>
      </c>
      <c r="P1543">
        <f>IF(OR($G1543="",Sync!$W1540=""),"",Sync!$W1540)</f>
        <v/>
      </c>
      <c r="Q1543">
        <f>IF(OR($G1543="",Sync!$AE1540=""),"",Sync!$AE1540)</f>
        <v/>
      </c>
      <c r="R1543">
        <f>IF($G1543="","",IF(Sync!$V1540="","0000",IF(AND(ISNUMBER(Sync!$V1540),Sync!$V1540&gt;=0,Sync!$V1540&lt;1),RIGHT("00"&amp;HOUR(Sync!$V1540),2)&amp;RIGHT("00"&amp;MINUTE(Sync!$V1540),2),IFERROR(RIGHT("00"&amp;VALUE(LEFT(Sync!$V1540,FIND(":",Sync!$V1540)-1)),2)&amp;RIGHT("00"&amp;VALUE(MID(Sync!$V1540,FIND(":",Sync!$V1540)+1,2)),2),"0000"))))</f>
        <v/>
      </c>
    </row>
    <row r="1544">
      <c r="A1544">
        <f>IF(Sync!$U1541="","",Sync!$U1541)</f>
        <v/>
      </c>
      <c r="B1544">
        <f>IF($A1544="","",IF(ISNUMBER($A1544),IF(AND($A1544&gt;=10000101,$A1544&lt;=99991231),INT($A1544/10000),""),IFERROR(VALUE(TRIM(LEFT($A1544,FIND("/",$A1544)-1))),"")))</f>
        <v/>
      </c>
      <c r="C1544">
        <f>IF(OR($A1544="",$B1544=""),"",IF(ISNUMBER($A1544),INT(MOD($A1544,10000)/100),IFERROR(VALUE(TRIM(LEFT(MID($A1544,FIND("/",$A1544)+1,20),FIND("/",MID($A1544,FIND("/",$A1544)+1,20))-1))),"")))</f>
        <v/>
      </c>
      <c r="D1544">
        <f>IF(OR($A1544="",$B1544=""),"",IF(ISNUMBER($A1544),MOD($A1544,100),IFERROR(VALUE(TRIM(MID(MID($A1544,FIND("/",$A1544)+1,20),FIND("/",MID($A1544,FIND("/",$A1544)+1,20))+1,20))),"")))</f>
        <v/>
      </c>
      <c r="E1544">
        <f>IF($A1544="","",IF(OR($B1544="",$C1544="",$D1544="",$B1544&lt;1300,$B1544&gt;1500,$C1544&lt;1,$C1544&gt;12,$D1544&lt;1,$D1544&gt;31),"نامعتبر",RIGHT("0000"&amp;$B1544,4)&amp;"/"&amp;RIGHT("00"&amp;$C1544,2)&amp;"/"&amp;RIGHT("00"&amp;$D1544,2)))</f>
        <v/>
      </c>
      <c r="F1544">
        <f>IF(OR($E1544="",$E1544="نامعتبر"),"",LEFT($E1544,4)&amp;"/"&amp;MID($E1544,6,2))</f>
        <v/>
      </c>
      <c r="G1544">
        <f>IF(OR($E1544="",$E1544="نامعتبر",Sync!$Y1541=""),"",Sync!$Y1541)</f>
        <v/>
      </c>
      <c r="H1544">
        <f>IF($G1544="","",IF(Sync!$X1541="","",Sync!$X1541))</f>
        <v/>
      </c>
      <c r="I1544">
        <f>IF($G1544="","",IFERROR(VLOOKUP(Sync!$X1541,OpTbl,3,0),""))</f>
        <v/>
      </c>
      <c r="J1544">
        <f>IF(OR($G1544="",Sync!$Z1541=""),"",Sync!$Z1541)</f>
        <v/>
      </c>
      <c r="K1544">
        <f>IF(OR($G1544="",Sync!$AA1541=""),"",Sync!$AA1541)</f>
        <v/>
      </c>
      <c r="L1544">
        <f>IF($G1544="",0,IF(Sync!$AB1541="",0,Sync!$AB1541))</f>
        <v/>
      </c>
      <c r="M1544">
        <f>IF($G1544="",0,IF(Sync!$AC1541="",0,Sync!$AC1541))</f>
        <v/>
      </c>
      <c r="N1544">
        <f>IF($G1544="","",IF($H1544="مرجوعی خرید",-1,1)*($L1544-$M1544*IFERROR(VLOOKUP("P01",ParamTbl,3,0),1.5))*(1-IF($I1544="خرید",IFERROR(VLOOKUP("P02",ParamTbl,3,0),1),0)/100))</f>
        <v/>
      </c>
      <c r="O1544">
        <f>IF($G1544="",0,IF($H1544="مرجوعی خرید",-1,1)*IF(Sync!$AD1541="",0,Sync!$AD1541))</f>
        <v/>
      </c>
      <c r="P1544">
        <f>IF(OR($G1544="",Sync!$W1541=""),"",Sync!$W1541)</f>
        <v/>
      </c>
      <c r="Q1544">
        <f>IF(OR($G1544="",Sync!$AE1541=""),"",Sync!$AE1541)</f>
        <v/>
      </c>
      <c r="R1544">
        <f>IF($G1544="","",IF(Sync!$V1541="","0000",IF(AND(ISNUMBER(Sync!$V1541),Sync!$V1541&gt;=0,Sync!$V1541&lt;1),RIGHT("00"&amp;HOUR(Sync!$V1541),2)&amp;RIGHT("00"&amp;MINUTE(Sync!$V1541),2),IFERROR(RIGHT("00"&amp;VALUE(LEFT(Sync!$V1541,FIND(":",Sync!$V1541)-1)),2)&amp;RIGHT("00"&amp;VALUE(MID(Sync!$V1541,FIND(":",Sync!$V1541)+1,2)),2),"0000"))))</f>
        <v/>
      </c>
    </row>
    <row r="1545">
      <c r="A1545">
        <f>IF(Sync!$U1542="","",Sync!$U1542)</f>
        <v/>
      </c>
      <c r="B1545">
        <f>IF($A1545="","",IF(ISNUMBER($A1545),IF(AND($A1545&gt;=10000101,$A1545&lt;=99991231),INT($A1545/10000),""),IFERROR(VALUE(TRIM(LEFT($A1545,FIND("/",$A1545)-1))),"")))</f>
        <v/>
      </c>
      <c r="C1545">
        <f>IF(OR($A1545="",$B1545=""),"",IF(ISNUMBER($A1545),INT(MOD($A1545,10000)/100),IFERROR(VALUE(TRIM(LEFT(MID($A1545,FIND("/",$A1545)+1,20),FIND("/",MID($A1545,FIND("/",$A1545)+1,20))-1))),"")))</f>
        <v/>
      </c>
      <c r="D1545">
        <f>IF(OR($A1545="",$B1545=""),"",IF(ISNUMBER($A1545),MOD($A1545,100),IFERROR(VALUE(TRIM(MID(MID($A1545,FIND("/",$A1545)+1,20),FIND("/",MID($A1545,FIND("/",$A1545)+1,20))+1,20))),"")))</f>
        <v/>
      </c>
      <c r="E1545">
        <f>IF($A1545="","",IF(OR($B1545="",$C1545="",$D1545="",$B1545&lt;1300,$B1545&gt;1500,$C1545&lt;1,$C1545&gt;12,$D1545&lt;1,$D1545&gt;31),"نامعتبر",RIGHT("0000"&amp;$B1545,4)&amp;"/"&amp;RIGHT("00"&amp;$C1545,2)&amp;"/"&amp;RIGHT("00"&amp;$D1545,2)))</f>
        <v/>
      </c>
      <c r="F1545">
        <f>IF(OR($E1545="",$E1545="نامعتبر"),"",LEFT($E1545,4)&amp;"/"&amp;MID($E1545,6,2))</f>
        <v/>
      </c>
      <c r="G1545">
        <f>IF(OR($E1545="",$E1545="نامعتبر",Sync!$Y1542=""),"",Sync!$Y1542)</f>
        <v/>
      </c>
      <c r="H1545">
        <f>IF($G1545="","",IF(Sync!$X1542="","",Sync!$X1542))</f>
        <v/>
      </c>
      <c r="I1545">
        <f>IF($G1545="","",IFERROR(VLOOKUP(Sync!$X1542,OpTbl,3,0),""))</f>
        <v/>
      </c>
      <c r="J1545">
        <f>IF(OR($G1545="",Sync!$Z1542=""),"",Sync!$Z1542)</f>
        <v/>
      </c>
      <c r="K1545">
        <f>IF(OR($G1545="",Sync!$AA1542=""),"",Sync!$AA1542)</f>
        <v/>
      </c>
      <c r="L1545">
        <f>IF($G1545="",0,IF(Sync!$AB1542="",0,Sync!$AB1542))</f>
        <v/>
      </c>
      <c r="M1545">
        <f>IF($G1545="",0,IF(Sync!$AC1542="",0,Sync!$AC1542))</f>
        <v/>
      </c>
      <c r="N1545">
        <f>IF($G1545="","",IF($H1545="مرجوعی خرید",-1,1)*($L1545-$M1545*IFERROR(VLOOKUP("P01",ParamTbl,3,0),1.5))*(1-IF($I1545="خرید",IFERROR(VLOOKUP("P02",ParamTbl,3,0),1),0)/100))</f>
        <v/>
      </c>
      <c r="O1545">
        <f>IF($G1545="",0,IF($H1545="مرجوعی خرید",-1,1)*IF(Sync!$AD1542="",0,Sync!$AD1542))</f>
        <v/>
      </c>
      <c r="P1545">
        <f>IF(OR($G1545="",Sync!$W1542=""),"",Sync!$W1542)</f>
        <v/>
      </c>
      <c r="Q1545">
        <f>IF(OR($G1545="",Sync!$AE1542=""),"",Sync!$AE1542)</f>
        <v/>
      </c>
      <c r="R1545">
        <f>IF($G1545="","",IF(Sync!$V1542="","0000",IF(AND(ISNUMBER(Sync!$V1542),Sync!$V1542&gt;=0,Sync!$V1542&lt;1),RIGHT("00"&amp;HOUR(Sync!$V1542),2)&amp;RIGHT("00"&amp;MINUTE(Sync!$V1542),2),IFERROR(RIGHT("00"&amp;VALUE(LEFT(Sync!$V1542,FIND(":",Sync!$V1542)-1)),2)&amp;RIGHT("00"&amp;VALUE(MID(Sync!$V1542,FIND(":",Sync!$V1542)+1,2)),2),"0000"))))</f>
        <v/>
      </c>
    </row>
    <row r="1546">
      <c r="A1546">
        <f>IF(Sync!$U1543="","",Sync!$U1543)</f>
        <v/>
      </c>
      <c r="B1546">
        <f>IF($A1546="","",IF(ISNUMBER($A1546),IF(AND($A1546&gt;=10000101,$A1546&lt;=99991231),INT($A1546/10000),""),IFERROR(VALUE(TRIM(LEFT($A1546,FIND("/",$A1546)-1))),"")))</f>
        <v/>
      </c>
      <c r="C1546">
        <f>IF(OR($A1546="",$B1546=""),"",IF(ISNUMBER($A1546),INT(MOD($A1546,10000)/100),IFERROR(VALUE(TRIM(LEFT(MID($A1546,FIND("/",$A1546)+1,20),FIND("/",MID($A1546,FIND("/",$A1546)+1,20))-1))),"")))</f>
        <v/>
      </c>
      <c r="D1546">
        <f>IF(OR($A1546="",$B1546=""),"",IF(ISNUMBER($A1546),MOD($A1546,100),IFERROR(VALUE(TRIM(MID(MID($A1546,FIND("/",$A1546)+1,20),FIND("/",MID($A1546,FIND("/",$A1546)+1,20))+1,20))),"")))</f>
        <v/>
      </c>
      <c r="E1546">
        <f>IF($A1546="","",IF(OR($B1546="",$C1546="",$D1546="",$B1546&lt;1300,$B1546&gt;1500,$C1546&lt;1,$C1546&gt;12,$D1546&lt;1,$D1546&gt;31),"نامعتبر",RIGHT("0000"&amp;$B1546,4)&amp;"/"&amp;RIGHT("00"&amp;$C1546,2)&amp;"/"&amp;RIGHT("00"&amp;$D1546,2)))</f>
        <v/>
      </c>
      <c r="F1546">
        <f>IF(OR($E1546="",$E1546="نامعتبر"),"",LEFT($E1546,4)&amp;"/"&amp;MID($E1546,6,2))</f>
        <v/>
      </c>
      <c r="G1546">
        <f>IF(OR($E1546="",$E1546="نامعتبر",Sync!$Y1543=""),"",Sync!$Y1543)</f>
        <v/>
      </c>
      <c r="H1546">
        <f>IF($G1546="","",IF(Sync!$X1543="","",Sync!$X1543))</f>
        <v/>
      </c>
      <c r="I1546">
        <f>IF($G1546="","",IFERROR(VLOOKUP(Sync!$X1543,OpTbl,3,0),""))</f>
        <v/>
      </c>
      <c r="J1546">
        <f>IF(OR($G1546="",Sync!$Z1543=""),"",Sync!$Z1543)</f>
        <v/>
      </c>
      <c r="K1546">
        <f>IF(OR($G1546="",Sync!$AA1543=""),"",Sync!$AA1543)</f>
        <v/>
      </c>
      <c r="L1546">
        <f>IF($G1546="",0,IF(Sync!$AB1543="",0,Sync!$AB1543))</f>
        <v/>
      </c>
      <c r="M1546">
        <f>IF($G1546="",0,IF(Sync!$AC1543="",0,Sync!$AC1543))</f>
        <v/>
      </c>
      <c r="N1546">
        <f>IF($G1546="","",IF($H1546="مرجوعی خرید",-1,1)*($L1546-$M1546*IFERROR(VLOOKUP("P01",ParamTbl,3,0),1.5))*(1-IF($I1546="خرید",IFERROR(VLOOKUP("P02",ParamTbl,3,0),1),0)/100))</f>
        <v/>
      </c>
      <c r="O1546">
        <f>IF($G1546="",0,IF($H1546="مرجوعی خرید",-1,1)*IF(Sync!$AD1543="",0,Sync!$AD1543))</f>
        <v/>
      </c>
      <c r="P1546">
        <f>IF(OR($G1546="",Sync!$W1543=""),"",Sync!$W1543)</f>
        <v/>
      </c>
      <c r="Q1546">
        <f>IF(OR($G1546="",Sync!$AE1543=""),"",Sync!$AE1543)</f>
        <v/>
      </c>
      <c r="R1546">
        <f>IF($G1546="","",IF(Sync!$V1543="","0000",IF(AND(ISNUMBER(Sync!$V1543),Sync!$V1543&gt;=0,Sync!$V1543&lt;1),RIGHT("00"&amp;HOUR(Sync!$V1543),2)&amp;RIGHT("00"&amp;MINUTE(Sync!$V1543),2),IFERROR(RIGHT("00"&amp;VALUE(LEFT(Sync!$V1543,FIND(":",Sync!$V1543)-1)),2)&amp;RIGHT("00"&amp;VALUE(MID(Sync!$V1543,FIND(":",Sync!$V1543)+1,2)),2),"0000"))))</f>
        <v/>
      </c>
    </row>
    <row r="1547">
      <c r="A1547">
        <f>IF(Sync!$U1544="","",Sync!$U1544)</f>
        <v/>
      </c>
      <c r="B1547">
        <f>IF($A1547="","",IF(ISNUMBER($A1547),IF(AND($A1547&gt;=10000101,$A1547&lt;=99991231),INT($A1547/10000),""),IFERROR(VALUE(TRIM(LEFT($A1547,FIND("/",$A1547)-1))),"")))</f>
        <v/>
      </c>
      <c r="C1547">
        <f>IF(OR($A1547="",$B1547=""),"",IF(ISNUMBER($A1547),INT(MOD($A1547,10000)/100),IFERROR(VALUE(TRIM(LEFT(MID($A1547,FIND("/",$A1547)+1,20),FIND("/",MID($A1547,FIND("/",$A1547)+1,20))-1))),"")))</f>
        <v/>
      </c>
      <c r="D1547">
        <f>IF(OR($A1547="",$B1547=""),"",IF(ISNUMBER($A1547),MOD($A1547,100),IFERROR(VALUE(TRIM(MID(MID($A1547,FIND("/",$A1547)+1,20),FIND("/",MID($A1547,FIND("/",$A1547)+1,20))+1,20))),"")))</f>
        <v/>
      </c>
      <c r="E1547">
        <f>IF($A1547="","",IF(OR($B1547="",$C1547="",$D1547="",$B1547&lt;1300,$B1547&gt;1500,$C1547&lt;1,$C1547&gt;12,$D1547&lt;1,$D1547&gt;31),"نامعتبر",RIGHT("0000"&amp;$B1547,4)&amp;"/"&amp;RIGHT("00"&amp;$C1547,2)&amp;"/"&amp;RIGHT("00"&amp;$D1547,2)))</f>
        <v/>
      </c>
      <c r="F1547">
        <f>IF(OR($E1547="",$E1547="نامعتبر"),"",LEFT($E1547,4)&amp;"/"&amp;MID($E1547,6,2))</f>
        <v/>
      </c>
      <c r="G1547">
        <f>IF(OR($E1547="",$E1547="نامعتبر",Sync!$Y1544=""),"",Sync!$Y1544)</f>
        <v/>
      </c>
      <c r="H1547">
        <f>IF($G1547="","",IF(Sync!$X1544="","",Sync!$X1544))</f>
        <v/>
      </c>
      <c r="I1547">
        <f>IF($G1547="","",IFERROR(VLOOKUP(Sync!$X1544,OpTbl,3,0),""))</f>
        <v/>
      </c>
      <c r="J1547">
        <f>IF(OR($G1547="",Sync!$Z1544=""),"",Sync!$Z1544)</f>
        <v/>
      </c>
      <c r="K1547">
        <f>IF(OR($G1547="",Sync!$AA1544=""),"",Sync!$AA1544)</f>
        <v/>
      </c>
      <c r="L1547">
        <f>IF($G1547="",0,IF(Sync!$AB1544="",0,Sync!$AB1544))</f>
        <v/>
      </c>
      <c r="M1547">
        <f>IF($G1547="",0,IF(Sync!$AC1544="",0,Sync!$AC1544))</f>
        <v/>
      </c>
      <c r="N1547">
        <f>IF($G1547="","",IF($H1547="مرجوعی خرید",-1,1)*($L1547-$M1547*IFERROR(VLOOKUP("P01",ParamTbl,3,0),1.5))*(1-IF($I1547="خرید",IFERROR(VLOOKUP("P02",ParamTbl,3,0),1),0)/100))</f>
        <v/>
      </c>
      <c r="O1547">
        <f>IF($G1547="",0,IF($H1547="مرجوعی خرید",-1,1)*IF(Sync!$AD1544="",0,Sync!$AD1544))</f>
        <v/>
      </c>
      <c r="P1547">
        <f>IF(OR($G1547="",Sync!$W1544=""),"",Sync!$W1544)</f>
        <v/>
      </c>
      <c r="Q1547">
        <f>IF(OR($G1547="",Sync!$AE1544=""),"",Sync!$AE1544)</f>
        <v/>
      </c>
      <c r="R1547">
        <f>IF($G1547="","",IF(Sync!$V1544="","0000",IF(AND(ISNUMBER(Sync!$V1544),Sync!$V1544&gt;=0,Sync!$V1544&lt;1),RIGHT("00"&amp;HOUR(Sync!$V1544),2)&amp;RIGHT("00"&amp;MINUTE(Sync!$V1544),2),IFERROR(RIGHT("00"&amp;VALUE(LEFT(Sync!$V1544,FIND(":",Sync!$V1544)-1)),2)&amp;RIGHT("00"&amp;VALUE(MID(Sync!$V1544,FIND(":",Sync!$V1544)+1,2)),2),"0000"))))</f>
        <v/>
      </c>
    </row>
    <row r="1548">
      <c r="A1548">
        <f>IF(Sync!$U1545="","",Sync!$U1545)</f>
        <v/>
      </c>
      <c r="B1548">
        <f>IF($A1548="","",IF(ISNUMBER($A1548),IF(AND($A1548&gt;=10000101,$A1548&lt;=99991231),INT($A1548/10000),""),IFERROR(VALUE(TRIM(LEFT($A1548,FIND("/",$A1548)-1))),"")))</f>
        <v/>
      </c>
      <c r="C1548">
        <f>IF(OR($A1548="",$B1548=""),"",IF(ISNUMBER($A1548),INT(MOD($A1548,10000)/100),IFERROR(VALUE(TRIM(LEFT(MID($A1548,FIND("/",$A1548)+1,20),FIND("/",MID($A1548,FIND("/",$A1548)+1,20))-1))),"")))</f>
        <v/>
      </c>
      <c r="D1548">
        <f>IF(OR($A1548="",$B1548=""),"",IF(ISNUMBER($A1548),MOD($A1548,100),IFERROR(VALUE(TRIM(MID(MID($A1548,FIND("/",$A1548)+1,20),FIND("/",MID($A1548,FIND("/",$A1548)+1,20))+1,20))),"")))</f>
        <v/>
      </c>
      <c r="E1548">
        <f>IF($A1548="","",IF(OR($B1548="",$C1548="",$D1548="",$B1548&lt;1300,$B1548&gt;1500,$C1548&lt;1,$C1548&gt;12,$D1548&lt;1,$D1548&gt;31),"نامعتبر",RIGHT("0000"&amp;$B1548,4)&amp;"/"&amp;RIGHT("00"&amp;$C1548,2)&amp;"/"&amp;RIGHT("00"&amp;$D1548,2)))</f>
        <v/>
      </c>
      <c r="F1548">
        <f>IF(OR($E1548="",$E1548="نامعتبر"),"",LEFT($E1548,4)&amp;"/"&amp;MID($E1548,6,2))</f>
        <v/>
      </c>
      <c r="G1548">
        <f>IF(OR($E1548="",$E1548="نامعتبر",Sync!$Y1545=""),"",Sync!$Y1545)</f>
        <v/>
      </c>
      <c r="H1548">
        <f>IF($G1548="","",IF(Sync!$X1545="","",Sync!$X1545))</f>
        <v/>
      </c>
      <c r="I1548">
        <f>IF($G1548="","",IFERROR(VLOOKUP(Sync!$X1545,OpTbl,3,0),""))</f>
        <v/>
      </c>
      <c r="J1548">
        <f>IF(OR($G1548="",Sync!$Z1545=""),"",Sync!$Z1545)</f>
        <v/>
      </c>
      <c r="K1548">
        <f>IF(OR($G1548="",Sync!$AA1545=""),"",Sync!$AA1545)</f>
        <v/>
      </c>
      <c r="L1548">
        <f>IF($G1548="",0,IF(Sync!$AB1545="",0,Sync!$AB1545))</f>
        <v/>
      </c>
      <c r="M1548">
        <f>IF($G1548="",0,IF(Sync!$AC1545="",0,Sync!$AC1545))</f>
        <v/>
      </c>
      <c r="N1548">
        <f>IF($G1548="","",IF($H1548="مرجوعی خرید",-1,1)*($L1548-$M1548*IFERROR(VLOOKUP("P01",ParamTbl,3,0),1.5))*(1-IF($I1548="خرید",IFERROR(VLOOKUP("P02",ParamTbl,3,0),1),0)/100))</f>
        <v/>
      </c>
      <c r="O1548">
        <f>IF($G1548="",0,IF($H1548="مرجوعی خرید",-1,1)*IF(Sync!$AD1545="",0,Sync!$AD1545))</f>
        <v/>
      </c>
      <c r="P1548">
        <f>IF(OR($G1548="",Sync!$W1545=""),"",Sync!$W1545)</f>
        <v/>
      </c>
      <c r="Q1548">
        <f>IF(OR($G1548="",Sync!$AE1545=""),"",Sync!$AE1545)</f>
        <v/>
      </c>
      <c r="R1548">
        <f>IF($G1548="","",IF(Sync!$V1545="","0000",IF(AND(ISNUMBER(Sync!$V1545),Sync!$V1545&gt;=0,Sync!$V1545&lt;1),RIGHT("00"&amp;HOUR(Sync!$V1545),2)&amp;RIGHT("00"&amp;MINUTE(Sync!$V1545),2),IFERROR(RIGHT("00"&amp;VALUE(LEFT(Sync!$V1545,FIND(":",Sync!$V1545)-1)),2)&amp;RIGHT("00"&amp;VALUE(MID(Sync!$V1545,FIND(":",Sync!$V1545)+1,2)),2),"0000"))))</f>
        <v/>
      </c>
    </row>
    <row r="1549">
      <c r="A1549">
        <f>IF(Sync!$U1546="","",Sync!$U1546)</f>
        <v/>
      </c>
      <c r="B1549">
        <f>IF($A1549="","",IF(ISNUMBER($A1549),IF(AND($A1549&gt;=10000101,$A1549&lt;=99991231),INT($A1549/10000),""),IFERROR(VALUE(TRIM(LEFT($A1549,FIND("/",$A1549)-1))),"")))</f>
        <v/>
      </c>
      <c r="C1549">
        <f>IF(OR($A1549="",$B1549=""),"",IF(ISNUMBER($A1549),INT(MOD($A1549,10000)/100),IFERROR(VALUE(TRIM(LEFT(MID($A1549,FIND("/",$A1549)+1,20),FIND("/",MID($A1549,FIND("/",$A1549)+1,20))-1))),"")))</f>
        <v/>
      </c>
      <c r="D1549">
        <f>IF(OR($A1549="",$B1549=""),"",IF(ISNUMBER($A1549),MOD($A1549,100),IFERROR(VALUE(TRIM(MID(MID($A1549,FIND("/",$A1549)+1,20),FIND("/",MID($A1549,FIND("/",$A1549)+1,20))+1,20))),"")))</f>
        <v/>
      </c>
      <c r="E1549">
        <f>IF($A1549="","",IF(OR($B1549="",$C1549="",$D1549="",$B1549&lt;1300,$B1549&gt;1500,$C1549&lt;1,$C1549&gt;12,$D1549&lt;1,$D1549&gt;31),"نامعتبر",RIGHT("0000"&amp;$B1549,4)&amp;"/"&amp;RIGHT("00"&amp;$C1549,2)&amp;"/"&amp;RIGHT("00"&amp;$D1549,2)))</f>
        <v/>
      </c>
      <c r="F1549">
        <f>IF(OR($E1549="",$E1549="نامعتبر"),"",LEFT($E1549,4)&amp;"/"&amp;MID($E1549,6,2))</f>
        <v/>
      </c>
      <c r="G1549">
        <f>IF(OR($E1549="",$E1549="نامعتبر",Sync!$Y1546=""),"",Sync!$Y1546)</f>
        <v/>
      </c>
      <c r="H1549">
        <f>IF($G1549="","",IF(Sync!$X1546="","",Sync!$X1546))</f>
        <v/>
      </c>
      <c r="I1549">
        <f>IF($G1549="","",IFERROR(VLOOKUP(Sync!$X1546,OpTbl,3,0),""))</f>
        <v/>
      </c>
      <c r="J1549">
        <f>IF(OR($G1549="",Sync!$Z1546=""),"",Sync!$Z1546)</f>
        <v/>
      </c>
      <c r="K1549">
        <f>IF(OR($G1549="",Sync!$AA1546=""),"",Sync!$AA1546)</f>
        <v/>
      </c>
      <c r="L1549">
        <f>IF($G1549="",0,IF(Sync!$AB1546="",0,Sync!$AB1546))</f>
        <v/>
      </c>
      <c r="M1549">
        <f>IF($G1549="",0,IF(Sync!$AC1546="",0,Sync!$AC1546))</f>
        <v/>
      </c>
      <c r="N1549">
        <f>IF($G1549="","",IF($H1549="مرجوعی خرید",-1,1)*($L1549-$M1549*IFERROR(VLOOKUP("P01",ParamTbl,3,0),1.5))*(1-IF($I1549="خرید",IFERROR(VLOOKUP("P02",ParamTbl,3,0),1),0)/100))</f>
        <v/>
      </c>
      <c r="O1549">
        <f>IF($G1549="",0,IF($H1549="مرجوعی خرید",-1,1)*IF(Sync!$AD1546="",0,Sync!$AD1546))</f>
        <v/>
      </c>
      <c r="P1549">
        <f>IF(OR($G1549="",Sync!$W1546=""),"",Sync!$W1546)</f>
        <v/>
      </c>
      <c r="Q1549">
        <f>IF(OR($G1549="",Sync!$AE1546=""),"",Sync!$AE1546)</f>
        <v/>
      </c>
      <c r="R1549">
        <f>IF($G1549="","",IF(Sync!$V1546="","0000",IF(AND(ISNUMBER(Sync!$V1546),Sync!$V1546&gt;=0,Sync!$V1546&lt;1),RIGHT("00"&amp;HOUR(Sync!$V1546),2)&amp;RIGHT("00"&amp;MINUTE(Sync!$V1546),2),IFERROR(RIGHT("00"&amp;VALUE(LEFT(Sync!$V1546,FIND(":",Sync!$V1546)-1)),2)&amp;RIGHT("00"&amp;VALUE(MID(Sync!$V1546,FIND(":",Sync!$V1546)+1,2)),2),"0000"))))</f>
        <v/>
      </c>
    </row>
    <row r="1550">
      <c r="A1550">
        <f>IF(Sync!$U1547="","",Sync!$U1547)</f>
        <v/>
      </c>
      <c r="B1550">
        <f>IF($A1550="","",IF(ISNUMBER($A1550),IF(AND($A1550&gt;=10000101,$A1550&lt;=99991231),INT($A1550/10000),""),IFERROR(VALUE(TRIM(LEFT($A1550,FIND("/",$A1550)-1))),"")))</f>
        <v/>
      </c>
      <c r="C1550">
        <f>IF(OR($A1550="",$B1550=""),"",IF(ISNUMBER($A1550),INT(MOD($A1550,10000)/100),IFERROR(VALUE(TRIM(LEFT(MID($A1550,FIND("/",$A1550)+1,20),FIND("/",MID($A1550,FIND("/",$A1550)+1,20))-1))),"")))</f>
        <v/>
      </c>
      <c r="D1550">
        <f>IF(OR($A1550="",$B1550=""),"",IF(ISNUMBER($A1550),MOD($A1550,100),IFERROR(VALUE(TRIM(MID(MID($A1550,FIND("/",$A1550)+1,20),FIND("/",MID($A1550,FIND("/",$A1550)+1,20))+1,20))),"")))</f>
        <v/>
      </c>
      <c r="E1550">
        <f>IF($A1550="","",IF(OR($B1550="",$C1550="",$D1550="",$B1550&lt;1300,$B1550&gt;1500,$C1550&lt;1,$C1550&gt;12,$D1550&lt;1,$D1550&gt;31),"نامعتبر",RIGHT("0000"&amp;$B1550,4)&amp;"/"&amp;RIGHT("00"&amp;$C1550,2)&amp;"/"&amp;RIGHT("00"&amp;$D1550,2)))</f>
        <v/>
      </c>
      <c r="F1550">
        <f>IF(OR($E1550="",$E1550="نامعتبر"),"",LEFT($E1550,4)&amp;"/"&amp;MID($E1550,6,2))</f>
        <v/>
      </c>
      <c r="G1550">
        <f>IF(OR($E1550="",$E1550="نامعتبر",Sync!$Y1547=""),"",Sync!$Y1547)</f>
        <v/>
      </c>
      <c r="H1550">
        <f>IF($G1550="","",IF(Sync!$X1547="","",Sync!$X1547))</f>
        <v/>
      </c>
      <c r="I1550">
        <f>IF($G1550="","",IFERROR(VLOOKUP(Sync!$X1547,OpTbl,3,0),""))</f>
        <v/>
      </c>
      <c r="J1550">
        <f>IF(OR($G1550="",Sync!$Z1547=""),"",Sync!$Z1547)</f>
        <v/>
      </c>
      <c r="K1550">
        <f>IF(OR($G1550="",Sync!$AA1547=""),"",Sync!$AA1547)</f>
        <v/>
      </c>
      <c r="L1550">
        <f>IF($G1550="",0,IF(Sync!$AB1547="",0,Sync!$AB1547))</f>
        <v/>
      </c>
      <c r="M1550">
        <f>IF($G1550="",0,IF(Sync!$AC1547="",0,Sync!$AC1547))</f>
        <v/>
      </c>
      <c r="N1550">
        <f>IF($G1550="","",IF($H1550="مرجوعی خرید",-1,1)*($L1550-$M1550*IFERROR(VLOOKUP("P01",ParamTbl,3,0),1.5))*(1-IF($I1550="خرید",IFERROR(VLOOKUP("P02",ParamTbl,3,0),1),0)/100))</f>
        <v/>
      </c>
      <c r="O1550">
        <f>IF($G1550="",0,IF($H1550="مرجوعی خرید",-1,1)*IF(Sync!$AD1547="",0,Sync!$AD1547))</f>
        <v/>
      </c>
      <c r="P1550">
        <f>IF(OR($G1550="",Sync!$W1547=""),"",Sync!$W1547)</f>
        <v/>
      </c>
      <c r="Q1550">
        <f>IF(OR($G1550="",Sync!$AE1547=""),"",Sync!$AE1547)</f>
        <v/>
      </c>
      <c r="R1550">
        <f>IF($G1550="","",IF(Sync!$V1547="","0000",IF(AND(ISNUMBER(Sync!$V1547),Sync!$V1547&gt;=0,Sync!$V1547&lt;1),RIGHT("00"&amp;HOUR(Sync!$V1547),2)&amp;RIGHT("00"&amp;MINUTE(Sync!$V1547),2),IFERROR(RIGHT("00"&amp;VALUE(LEFT(Sync!$V1547,FIND(":",Sync!$V1547)-1)),2)&amp;RIGHT("00"&amp;VALUE(MID(Sync!$V1547,FIND(":",Sync!$V1547)+1,2)),2),"0000"))))</f>
        <v/>
      </c>
    </row>
    <row r="1551">
      <c r="A1551">
        <f>IF(Sync!$U1548="","",Sync!$U1548)</f>
        <v/>
      </c>
      <c r="B1551">
        <f>IF($A1551="","",IF(ISNUMBER($A1551),IF(AND($A1551&gt;=10000101,$A1551&lt;=99991231),INT($A1551/10000),""),IFERROR(VALUE(TRIM(LEFT($A1551,FIND("/",$A1551)-1))),"")))</f>
        <v/>
      </c>
      <c r="C1551">
        <f>IF(OR($A1551="",$B1551=""),"",IF(ISNUMBER($A1551),INT(MOD($A1551,10000)/100),IFERROR(VALUE(TRIM(LEFT(MID($A1551,FIND("/",$A1551)+1,20),FIND("/",MID($A1551,FIND("/",$A1551)+1,20))-1))),"")))</f>
        <v/>
      </c>
      <c r="D1551">
        <f>IF(OR($A1551="",$B1551=""),"",IF(ISNUMBER($A1551),MOD($A1551,100),IFERROR(VALUE(TRIM(MID(MID($A1551,FIND("/",$A1551)+1,20),FIND("/",MID($A1551,FIND("/",$A1551)+1,20))+1,20))),"")))</f>
        <v/>
      </c>
      <c r="E1551">
        <f>IF($A1551="","",IF(OR($B1551="",$C1551="",$D1551="",$B1551&lt;1300,$B1551&gt;1500,$C1551&lt;1,$C1551&gt;12,$D1551&lt;1,$D1551&gt;31),"نامعتبر",RIGHT("0000"&amp;$B1551,4)&amp;"/"&amp;RIGHT("00"&amp;$C1551,2)&amp;"/"&amp;RIGHT("00"&amp;$D1551,2)))</f>
        <v/>
      </c>
      <c r="F1551">
        <f>IF(OR($E1551="",$E1551="نامعتبر"),"",LEFT($E1551,4)&amp;"/"&amp;MID($E1551,6,2))</f>
        <v/>
      </c>
      <c r="G1551">
        <f>IF(OR($E1551="",$E1551="نامعتبر",Sync!$Y1548=""),"",Sync!$Y1548)</f>
        <v/>
      </c>
      <c r="H1551">
        <f>IF($G1551="","",IF(Sync!$X1548="","",Sync!$X1548))</f>
        <v/>
      </c>
      <c r="I1551">
        <f>IF($G1551="","",IFERROR(VLOOKUP(Sync!$X1548,OpTbl,3,0),""))</f>
        <v/>
      </c>
      <c r="J1551">
        <f>IF(OR($G1551="",Sync!$Z1548=""),"",Sync!$Z1548)</f>
        <v/>
      </c>
      <c r="K1551">
        <f>IF(OR($G1551="",Sync!$AA1548=""),"",Sync!$AA1548)</f>
        <v/>
      </c>
      <c r="L1551">
        <f>IF($G1551="",0,IF(Sync!$AB1548="",0,Sync!$AB1548))</f>
        <v/>
      </c>
      <c r="M1551">
        <f>IF($G1551="",0,IF(Sync!$AC1548="",0,Sync!$AC1548))</f>
        <v/>
      </c>
      <c r="N1551">
        <f>IF($G1551="","",IF($H1551="مرجوعی خرید",-1,1)*($L1551-$M1551*IFERROR(VLOOKUP("P01",ParamTbl,3,0),1.5))*(1-IF($I1551="خرید",IFERROR(VLOOKUP("P02",ParamTbl,3,0),1),0)/100))</f>
        <v/>
      </c>
      <c r="O1551">
        <f>IF($G1551="",0,IF($H1551="مرجوعی خرید",-1,1)*IF(Sync!$AD1548="",0,Sync!$AD1548))</f>
        <v/>
      </c>
      <c r="P1551">
        <f>IF(OR($G1551="",Sync!$W1548=""),"",Sync!$W1548)</f>
        <v/>
      </c>
      <c r="Q1551">
        <f>IF(OR($G1551="",Sync!$AE1548=""),"",Sync!$AE1548)</f>
        <v/>
      </c>
      <c r="R1551">
        <f>IF($G1551="","",IF(Sync!$V1548="","0000",IF(AND(ISNUMBER(Sync!$V1548),Sync!$V1548&gt;=0,Sync!$V1548&lt;1),RIGHT("00"&amp;HOUR(Sync!$V1548),2)&amp;RIGHT("00"&amp;MINUTE(Sync!$V1548),2),IFERROR(RIGHT("00"&amp;VALUE(LEFT(Sync!$V1548,FIND(":",Sync!$V1548)-1)),2)&amp;RIGHT("00"&amp;VALUE(MID(Sync!$V1548,FIND(":",Sync!$V1548)+1,2)),2),"0000"))))</f>
        <v/>
      </c>
    </row>
    <row r="1552">
      <c r="A1552">
        <f>IF(Sync!$U1549="","",Sync!$U1549)</f>
        <v/>
      </c>
      <c r="B1552">
        <f>IF($A1552="","",IF(ISNUMBER($A1552),IF(AND($A1552&gt;=10000101,$A1552&lt;=99991231),INT($A1552/10000),""),IFERROR(VALUE(TRIM(LEFT($A1552,FIND("/",$A1552)-1))),"")))</f>
        <v/>
      </c>
      <c r="C1552">
        <f>IF(OR($A1552="",$B1552=""),"",IF(ISNUMBER($A1552),INT(MOD($A1552,10000)/100),IFERROR(VALUE(TRIM(LEFT(MID($A1552,FIND("/",$A1552)+1,20),FIND("/",MID($A1552,FIND("/",$A1552)+1,20))-1))),"")))</f>
        <v/>
      </c>
      <c r="D1552">
        <f>IF(OR($A1552="",$B1552=""),"",IF(ISNUMBER($A1552),MOD($A1552,100),IFERROR(VALUE(TRIM(MID(MID($A1552,FIND("/",$A1552)+1,20),FIND("/",MID($A1552,FIND("/",$A1552)+1,20))+1,20))),"")))</f>
        <v/>
      </c>
      <c r="E1552">
        <f>IF($A1552="","",IF(OR($B1552="",$C1552="",$D1552="",$B1552&lt;1300,$B1552&gt;1500,$C1552&lt;1,$C1552&gt;12,$D1552&lt;1,$D1552&gt;31),"نامعتبر",RIGHT("0000"&amp;$B1552,4)&amp;"/"&amp;RIGHT("00"&amp;$C1552,2)&amp;"/"&amp;RIGHT("00"&amp;$D1552,2)))</f>
        <v/>
      </c>
      <c r="F1552">
        <f>IF(OR($E1552="",$E1552="نامعتبر"),"",LEFT($E1552,4)&amp;"/"&amp;MID($E1552,6,2))</f>
        <v/>
      </c>
      <c r="G1552">
        <f>IF(OR($E1552="",$E1552="نامعتبر",Sync!$Y1549=""),"",Sync!$Y1549)</f>
        <v/>
      </c>
      <c r="H1552">
        <f>IF($G1552="","",IF(Sync!$X1549="","",Sync!$X1549))</f>
        <v/>
      </c>
      <c r="I1552">
        <f>IF($G1552="","",IFERROR(VLOOKUP(Sync!$X1549,OpTbl,3,0),""))</f>
        <v/>
      </c>
      <c r="J1552">
        <f>IF(OR($G1552="",Sync!$Z1549=""),"",Sync!$Z1549)</f>
        <v/>
      </c>
      <c r="K1552">
        <f>IF(OR($G1552="",Sync!$AA1549=""),"",Sync!$AA1549)</f>
        <v/>
      </c>
      <c r="L1552">
        <f>IF($G1552="",0,IF(Sync!$AB1549="",0,Sync!$AB1549))</f>
        <v/>
      </c>
      <c r="M1552">
        <f>IF($G1552="",0,IF(Sync!$AC1549="",0,Sync!$AC1549))</f>
        <v/>
      </c>
      <c r="N1552">
        <f>IF($G1552="","",IF($H1552="مرجوعی خرید",-1,1)*($L1552-$M1552*IFERROR(VLOOKUP("P01",ParamTbl,3,0),1.5))*(1-IF($I1552="خرید",IFERROR(VLOOKUP("P02",ParamTbl,3,0),1),0)/100))</f>
        <v/>
      </c>
      <c r="O1552">
        <f>IF($G1552="",0,IF($H1552="مرجوعی خرید",-1,1)*IF(Sync!$AD1549="",0,Sync!$AD1549))</f>
        <v/>
      </c>
      <c r="P1552">
        <f>IF(OR($G1552="",Sync!$W1549=""),"",Sync!$W1549)</f>
        <v/>
      </c>
      <c r="Q1552">
        <f>IF(OR($G1552="",Sync!$AE1549=""),"",Sync!$AE1549)</f>
        <v/>
      </c>
      <c r="R1552">
        <f>IF($G1552="","",IF(Sync!$V1549="","0000",IF(AND(ISNUMBER(Sync!$V1549),Sync!$V1549&gt;=0,Sync!$V1549&lt;1),RIGHT("00"&amp;HOUR(Sync!$V1549),2)&amp;RIGHT("00"&amp;MINUTE(Sync!$V1549),2),IFERROR(RIGHT("00"&amp;VALUE(LEFT(Sync!$V1549,FIND(":",Sync!$V1549)-1)),2)&amp;RIGHT("00"&amp;VALUE(MID(Sync!$V1549,FIND(":",Sync!$V1549)+1,2)),2),"0000"))))</f>
        <v/>
      </c>
    </row>
    <row r="1553">
      <c r="A1553">
        <f>IF(Sync!$U1550="","",Sync!$U1550)</f>
        <v/>
      </c>
      <c r="B1553">
        <f>IF($A1553="","",IF(ISNUMBER($A1553),IF(AND($A1553&gt;=10000101,$A1553&lt;=99991231),INT($A1553/10000),""),IFERROR(VALUE(TRIM(LEFT($A1553,FIND("/",$A1553)-1))),"")))</f>
        <v/>
      </c>
      <c r="C1553">
        <f>IF(OR($A1553="",$B1553=""),"",IF(ISNUMBER($A1553),INT(MOD($A1553,10000)/100),IFERROR(VALUE(TRIM(LEFT(MID($A1553,FIND("/",$A1553)+1,20),FIND("/",MID($A1553,FIND("/",$A1553)+1,20))-1))),"")))</f>
        <v/>
      </c>
      <c r="D1553">
        <f>IF(OR($A1553="",$B1553=""),"",IF(ISNUMBER($A1553),MOD($A1553,100),IFERROR(VALUE(TRIM(MID(MID($A1553,FIND("/",$A1553)+1,20),FIND("/",MID($A1553,FIND("/",$A1553)+1,20))+1,20))),"")))</f>
        <v/>
      </c>
      <c r="E1553">
        <f>IF($A1553="","",IF(OR($B1553="",$C1553="",$D1553="",$B1553&lt;1300,$B1553&gt;1500,$C1553&lt;1,$C1553&gt;12,$D1553&lt;1,$D1553&gt;31),"نامعتبر",RIGHT("0000"&amp;$B1553,4)&amp;"/"&amp;RIGHT("00"&amp;$C1553,2)&amp;"/"&amp;RIGHT("00"&amp;$D1553,2)))</f>
        <v/>
      </c>
      <c r="F1553">
        <f>IF(OR($E1553="",$E1553="نامعتبر"),"",LEFT($E1553,4)&amp;"/"&amp;MID($E1553,6,2))</f>
        <v/>
      </c>
      <c r="G1553">
        <f>IF(OR($E1553="",$E1553="نامعتبر",Sync!$Y1550=""),"",Sync!$Y1550)</f>
        <v/>
      </c>
      <c r="H1553">
        <f>IF($G1553="","",IF(Sync!$X1550="","",Sync!$X1550))</f>
        <v/>
      </c>
      <c r="I1553">
        <f>IF($G1553="","",IFERROR(VLOOKUP(Sync!$X1550,OpTbl,3,0),""))</f>
        <v/>
      </c>
      <c r="J1553">
        <f>IF(OR($G1553="",Sync!$Z1550=""),"",Sync!$Z1550)</f>
        <v/>
      </c>
      <c r="K1553">
        <f>IF(OR($G1553="",Sync!$AA1550=""),"",Sync!$AA1550)</f>
        <v/>
      </c>
      <c r="L1553">
        <f>IF($G1553="",0,IF(Sync!$AB1550="",0,Sync!$AB1550))</f>
        <v/>
      </c>
      <c r="M1553">
        <f>IF($G1553="",0,IF(Sync!$AC1550="",0,Sync!$AC1550))</f>
        <v/>
      </c>
      <c r="N1553">
        <f>IF($G1553="","",IF($H1553="مرجوعی خرید",-1,1)*($L1553-$M1553*IFERROR(VLOOKUP("P01",ParamTbl,3,0),1.5))*(1-IF($I1553="خرید",IFERROR(VLOOKUP("P02",ParamTbl,3,0),1),0)/100))</f>
        <v/>
      </c>
      <c r="O1553">
        <f>IF($G1553="",0,IF($H1553="مرجوعی خرید",-1,1)*IF(Sync!$AD1550="",0,Sync!$AD1550))</f>
        <v/>
      </c>
      <c r="P1553">
        <f>IF(OR($G1553="",Sync!$W1550=""),"",Sync!$W1550)</f>
        <v/>
      </c>
      <c r="Q1553">
        <f>IF(OR($G1553="",Sync!$AE1550=""),"",Sync!$AE1550)</f>
        <v/>
      </c>
      <c r="R1553">
        <f>IF($G1553="","",IF(Sync!$V1550="","0000",IF(AND(ISNUMBER(Sync!$V1550),Sync!$V1550&gt;=0,Sync!$V1550&lt;1),RIGHT("00"&amp;HOUR(Sync!$V1550),2)&amp;RIGHT("00"&amp;MINUTE(Sync!$V1550),2),IFERROR(RIGHT("00"&amp;VALUE(LEFT(Sync!$V1550,FIND(":",Sync!$V1550)-1)),2)&amp;RIGHT("00"&amp;VALUE(MID(Sync!$V1550,FIND(":",Sync!$V1550)+1,2)),2),"0000"))))</f>
        <v/>
      </c>
    </row>
    <row r="1554">
      <c r="A1554">
        <f>IF(Sync!$U1551="","",Sync!$U1551)</f>
        <v/>
      </c>
      <c r="B1554">
        <f>IF($A1554="","",IF(ISNUMBER($A1554),IF(AND($A1554&gt;=10000101,$A1554&lt;=99991231),INT($A1554/10000),""),IFERROR(VALUE(TRIM(LEFT($A1554,FIND("/",$A1554)-1))),"")))</f>
        <v/>
      </c>
      <c r="C1554">
        <f>IF(OR($A1554="",$B1554=""),"",IF(ISNUMBER($A1554),INT(MOD($A1554,10000)/100),IFERROR(VALUE(TRIM(LEFT(MID($A1554,FIND("/",$A1554)+1,20),FIND("/",MID($A1554,FIND("/",$A1554)+1,20))-1))),"")))</f>
        <v/>
      </c>
      <c r="D1554">
        <f>IF(OR($A1554="",$B1554=""),"",IF(ISNUMBER($A1554),MOD($A1554,100),IFERROR(VALUE(TRIM(MID(MID($A1554,FIND("/",$A1554)+1,20),FIND("/",MID($A1554,FIND("/",$A1554)+1,20))+1,20))),"")))</f>
        <v/>
      </c>
      <c r="E1554">
        <f>IF($A1554="","",IF(OR($B1554="",$C1554="",$D1554="",$B1554&lt;1300,$B1554&gt;1500,$C1554&lt;1,$C1554&gt;12,$D1554&lt;1,$D1554&gt;31),"نامعتبر",RIGHT("0000"&amp;$B1554,4)&amp;"/"&amp;RIGHT("00"&amp;$C1554,2)&amp;"/"&amp;RIGHT("00"&amp;$D1554,2)))</f>
        <v/>
      </c>
      <c r="F1554">
        <f>IF(OR($E1554="",$E1554="نامعتبر"),"",LEFT($E1554,4)&amp;"/"&amp;MID($E1554,6,2))</f>
        <v/>
      </c>
      <c r="G1554">
        <f>IF(OR($E1554="",$E1554="نامعتبر",Sync!$Y1551=""),"",Sync!$Y1551)</f>
        <v/>
      </c>
      <c r="H1554">
        <f>IF($G1554="","",IF(Sync!$X1551="","",Sync!$X1551))</f>
        <v/>
      </c>
      <c r="I1554">
        <f>IF($G1554="","",IFERROR(VLOOKUP(Sync!$X1551,OpTbl,3,0),""))</f>
        <v/>
      </c>
      <c r="J1554">
        <f>IF(OR($G1554="",Sync!$Z1551=""),"",Sync!$Z1551)</f>
        <v/>
      </c>
      <c r="K1554">
        <f>IF(OR($G1554="",Sync!$AA1551=""),"",Sync!$AA1551)</f>
        <v/>
      </c>
      <c r="L1554">
        <f>IF($G1554="",0,IF(Sync!$AB1551="",0,Sync!$AB1551))</f>
        <v/>
      </c>
      <c r="M1554">
        <f>IF($G1554="",0,IF(Sync!$AC1551="",0,Sync!$AC1551))</f>
        <v/>
      </c>
      <c r="N1554">
        <f>IF($G1554="","",IF($H1554="مرجوعی خرید",-1,1)*($L1554-$M1554*IFERROR(VLOOKUP("P01",ParamTbl,3,0),1.5))*(1-IF($I1554="خرید",IFERROR(VLOOKUP("P02",ParamTbl,3,0),1),0)/100))</f>
        <v/>
      </c>
      <c r="O1554">
        <f>IF($G1554="",0,IF($H1554="مرجوعی خرید",-1,1)*IF(Sync!$AD1551="",0,Sync!$AD1551))</f>
        <v/>
      </c>
      <c r="P1554">
        <f>IF(OR($G1554="",Sync!$W1551=""),"",Sync!$W1551)</f>
        <v/>
      </c>
      <c r="Q1554">
        <f>IF(OR($G1554="",Sync!$AE1551=""),"",Sync!$AE1551)</f>
        <v/>
      </c>
      <c r="R1554">
        <f>IF($G1554="","",IF(Sync!$V1551="","0000",IF(AND(ISNUMBER(Sync!$V1551),Sync!$V1551&gt;=0,Sync!$V1551&lt;1),RIGHT("00"&amp;HOUR(Sync!$V1551),2)&amp;RIGHT("00"&amp;MINUTE(Sync!$V1551),2),IFERROR(RIGHT("00"&amp;VALUE(LEFT(Sync!$V1551,FIND(":",Sync!$V1551)-1)),2)&amp;RIGHT("00"&amp;VALUE(MID(Sync!$V1551,FIND(":",Sync!$V1551)+1,2)),2),"0000"))))</f>
        <v/>
      </c>
    </row>
    <row r="1555">
      <c r="A1555">
        <f>IF(Sync!$U1552="","",Sync!$U1552)</f>
        <v/>
      </c>
      <c r="B1555">
        <f>IF($A1555="","",IF(ISNUMBER($A1555),IF(AND($A1555&gt;=10000101,$A1555&lt;=99991231),INT($A1555/10000),""),IFERROR(VALUE(TRIM(LEFT($A1555,FIND("/",$A1555)-1))),"")))</f>
        <v/>
      </c>
      <c r="C1555">
        <f>IF(OR($A1555="",$B1555=""),"",IF(ISNUMBER($A1555),INT(MOD($A1555,10000)/100),IFERROR(VALUE(TRIM(LEFT(MID($A1555,FIND("/",$A1555)+1,20),FIND("/",MID($A1555,FIND("/",$A1555)+1,20))-1))),"")))</f>
        <v/>
      </c>
      <c r="D1555">
        <f>IF(OR($A1555="",$B1555=""),"",IF(ISNUMBER($A1555),MOD($A1555,100),IFERROR(VALUE(TRIM(MID(MID($A1555,FIND("/",$A1555)+1,20),FIND("/",MID($A1555,FIND("/",$A1555)+1,20))+1,20))),"")))</f>
        <v/>
      </c>
      <c r="E1555">
        <f>IF($A1555="","",IF(OR($B1555="",$C1555="",$D1555="",$B1555&lt;1300,$B1555&gt;1500,$C1555&lt;1,$C1555&gt;12,$D1555&lt;1,$D1555&gt;31),"نامعتبر",RIGHT("0000"&amp;$B1555,4)&amp;"/"&amp;RIGHT("00"&amp;$C1555,2)&amp;"/"&amp;RIGHT("00"&amp;$D1555,2)))</f>
        <v/>
      </c>
      <c r="F1555">
        <f>IF(OR($E1555="",$E1555="نامعتبر"),"",LEFT($E1555,4)&amp;"/"&amp;MID($E1555,6,2))</f>
        <v/>
      </c>
      <c r="G1555">
        <f>IF(OR($E1555="",$E1555="نامعتبر",Sync!$Y1552=""),"",Sync!$Y1552)</f>
        <v/>
      </c>
      <c r="H1555">
        <f>IF($G1555="","",IF(Sync!$X1552="","",Sync!$X1552))</f>
        <v/>
      </c>
      <c r="I1555">
        <f>IF($G1555="","",IFERROR(VLOOKUP(Sync!$X1552,OpTbl,3,0),""))</f>
        <v/>
      </c>
      <c r="J1555">
        <f>IF(OR($G1555="",Sync!$Z1552=""),"",Sync!$Z1552)</f>
        <v/>
      </c>
      <c r="K1555">
        <f>IF(OR($G1555="",Sync!$AA1552=""),"",Sync!$AA1552)</f>
        <v/>
      </c>
      <c r="L1555">
        <f>IF($G1555="",0,IF(Sync!$AB1552="",0,Sync!$AB1552))</f>
        <v/>
      </c>
      <c r="M1555">
        <f>IF($G1555="",0,IF(Sync!$AC1552="",0,Sync!$AC1552))</f>
        <v/>
      </c>
      <c r="N1555">
        <f>IF($G1555="","",IF($H1555="مرجوعی خرید",-1,1)*($L1555-$M1555*IFERROR(VLOOKUP("P01",ParamTbl,3,0),1.5))*(1-IF($I1555="خرید",IFERROR(VLOOKUP("P02",ParamTbl,3,0),1),0)/100))</f>
        <v/>
      </c>
      <c r="O1555">
        <f>IF($G1555="",0,IF($H1555="مرجوعی خرید",-1,1)*IF(Sync!$AD1552="",0,Sync!$AD1552))</f>
        <v/>
      </c>
      <c r="P1555">
        <f>IF(OR($G1555="",Sync!$W1552=""),"",Sync!$W1552)</f>
        <v/>
      </c>
      <c r="Q1555">
        <f>IF(OR($G1555="",Sync!$AE1552=""),"",Sync!$AE1552)</f>
        <v/>
      </c>
      <c r="R1555">
        <f>IF($G1555="","",IF(Sync!$V1552="","0000",IF(AND(ISNUMBER(Sync!$V1552),Sync!$V1552&gt;=0,Sync!$V1552&lt;1),RIGHT("00"&amp;HOUR(Sync!$V1552),2)&amp;RIGHT("00"&amp;MINUTE(Sync!$V1552),2),IFERROR(RIGHT("00"&amp;VALUE(LEFT(Sync!$V1552,FIND(":",Sync!$V1552)-1)),2)&amp;RIGHT("00"&amp;VALUE(MID(Sync!$V1552,FIND(":",Sync!$V1552)+1,2)),2),"0000"))))</f>
        <v/>
      </c>
    </row>
    <row r="1556">
      <c r="A1556">
        <f>IF(Sync!$U1553="","",Sync!$U1553)</f>
        <v/>
      </c>
      <c r="B1556">
        <f>IF($A1556="","",IF(ISNUMBER($A1556),IF(AND($A1556&gt;=10000101,$A1556&lt;=99991231),INT($A1556/10000),""),IFERROR(VALUE(TRIM(LEFT($A1556,FIND("/",$A1556)-1))),"")))</f>
        <v/>
      </c>
      <c r="C1556">
        <f>IF(OR($A1556="",$B1556=""),"",IF(ISNUMBER($A1556),INT(MOD($A1556,10000)/100),IFERROR(VALUE(TRIM(LEFT(MID($A1556,FIND("/",$A1556)+1,20),FIND("/",MID($A1556,FIND("/",$A1556)+1,20))-1))),"")))</f>
        <v/>
      </c>
      <c r="D1556">
        <f>IF(OR($A1556="",$B1556=""),"",IF(ISNUMBER($A1556),MOD($A1556,100),IFERROR(VALUE(TRIM(MID(MID($A1556,FIND("/",$A1556)+1,20),FIND("/",MID($A1556,FIND("/",$A1556)+1,20))+1,20))),"")))</f>
        <v/>
      </c>
      <c r="E1556">
        <f>IF($A1556="","",IF(OR($B1556="",$C1556="",$D1556="",$B1556&lt;1300,$B1556&gt;1500,$C1556&lt;1,$C1556&gt;12,$D1556&lt;1,$D1556&gt;31),"نامعتبر",RIGHT("0000"&amp;$B1556,4)&amp;"/"&amp;RIGHT("00"&amp;$C1556,2)&amp;"/"&amp;RIGHT("00"&amp;$D1556,2)))</f>
        <v/>
      </c>
      <c r="F1556">
        <f>IF(OR($E1556="",$E1556="نامعتبر"),"",LEFT($E1556,4)&amp;"/"&amp;MID($E1556,6,2))</f>
        <v/>
      </c>
      <c r="G1556">
        <f>IF(OR($E1556="",$E1556="نامعتبر",Sync!$Y1553=""),"",Sync!$Y1553)</f>
        <v/>
      </c>
      <c r="H1556">
        <f>IF($G1556="","",IF(Sync!$X1553="","",Sync!$X1553))</f>
        <v/>
      </c>
      <c r="I1556">
        <f>IF($G1556="","",IFERROR(VLOOKUP(Sync!$X1553,OpTbl,3,0),""))</f>
        <v/>
      </c>
      <c r="J1556">
        <f>IF(OR($G1556="",Sync!$Z1553=""),"",Sync!$Z1553)</f>
        <v/>
      </c>
      <c r="K1556">
        <f>IF(OR($G1556="",Sync!$AA1553=""),"",Sync!$AA1553)</f>
        <v/>
      </c>
      <c r="L1556">
        <f>IF($G1556="",0,IF(Sync!$AB1553="",0,Sync!$AB1553))</f>
        <v/>
      </c>
      <c r="M1556">
        <f>IF($G1556="",0,IF(Sync!$AC1553="",0,Sync!$AC1553))</f>
        <v/>
      </c>
      <c r="N1556">
        <f>IF($G1556="","",IF($H1556="مرجوعی خرید",-1,1)*($L1556-$M1556*IFERROR(VLOOKUP("P01",ParamTbl,3,0),1.5))*(1-IF($I1556="خرید",IFERROR(VLOOKUP("P02",ParamTbl,3,0),1),0)/100))</f>
        <v/>
      </c>
      <c r="O1556">
        <f>IF($G1556="",0,IF($H1556="مرجوعی خرید",-1,1)*IF(Sync!$AD1553="",0,Sync!$AD1553))</f>
        <v/>
      </c>
      <c r="P1556">
        <f>IF(OR($G1556="",Sync!$W1553=""),"",Sync!$W1553)</f>
        <v/>
      </c>
      <c r="Q1556">
        <f>IF(OR($G1556="",Sync!$AE1553=""),"",Sync!$AE1553)</f>
        <v/>
      </c>
      <c r="R1556">
        <f>IF($G1556="","",IF(Sync!$V1553="","0000",IF(AND(ISNUMBER(Sync!$V1553),Sync!$V1553&gt;=0,Sync!$V1553&lt;1),RIGHT("00"&amp;HOUR(Sync!$V1553),2)&amp;RIGHT("00"&amp;MINUTE(Sync!$V1553),2),IFERROR(RIGHT("00"&amp;VALUE(LEFT(Sync!$V1553,FIND(":",Sync!$V1553)-1)),2)&amp;RIGHT("00"&amp;VALUE(MID(Sync!$V1553,FIND(":",Sync!$V1553)+1,2)),2),"0000"))))</f>
        <v/>
      </c>
    </row>
    <row r="1557">
      <c r="A1557">
        <f>IF(Sync!$U1554="","",Sync!$U1554)</f>
        <v/>
      </c>
      <c r="B1557">
        <f>IF($A1557="","",IF(ISNUMBER($A1557),IF(AND($A1557&gt;=10000101,$A1557&lt;=99991231),INT($A1557/10000),""),IFERROR(VALUE(TRIM(LEFT($A1557,FIND("/",$A1557)-1))),"")))</f>
        <v/>
      </c>
      <c r="C1557">
        <f>IF(OR($A1557="",$B1557=""),"",IF(ISNUMBER($A1557),INT(MOD($A1557,10000)/100),IFERROR(VALUE(TRIM(LEFT(MID($A1557,FIND("/",$A1557)+1,20),FIND("/",MID($A1557,FIND("/",$A1557)+1,20))-1))),"")))</f>
        <v/>
      </c>
      <c r="D1557">
        <f>IF(OR($A1557="",$B1557=""),"",IF(ISNUMBER($A1557),MOD($A1557,100),IFERROR(VALUE(TRIM(MID(MID($A1557,FIND("/",$A1557)+1,20),FIND("/",MID($A1557,FIND("/",$A1557)+1,20))+1,20))),"")))</f>
        <v/>
      </c>
      <c r="E1557">
        <f>IF($A1557="","",IF(OR($B1557="",$C1557="",$D1557="",$B1557&lt;1300,$B1557&gt;1500,$C1557&lt;1,$C1557&gt;12,$D1557&lt;1,$D1557&gt;31),"نامعتبر",RIGHT("0000"&amp;$B1557,4)&amp;"/"&amp;RIGHT("00"&amp;$C1557,2)&amp;"/"&amp;RIGHT("00"&amp;$D1557,2)))</f>
        <v/>
      </c>
      <c r="F1557">
        <f>IF(OR($E1557="",$E1557="نامعتبر"),"",LEFT($E1557,4)&amp;"/"&amp;MID($E1557,6,2))</f>
        <v/>
      </c>
      <c r="G1557">
        <f>IF(OR($E1557="",$E1557="نامعتبر",Sync!$Y1554=""),"",Sync!$Y1554)</f>
        <v/>
      </c>
      <c r="H1557">
        <f>IF($G1557="","",IF(Sync!$X1554="","",Sync!$X1554))</f>
        <v/>
      </c>
      <c r="I1557">
        <f>IF($G1557="","",IFERROR(VLOOKUP(Sync!$X1554,OpTbl,3,0),""))</f>
        <v/>
      </c>
      <c r="J1557">
        <f>IF(OR($G1557="",Sync!$Z1554=""),"",Sync!$Z1554)</f>
        <v/>
      </c>
      <c r="K1557">
        <f>IF(OR($G1557="",Sync!$AA1554=""),"",Sync!$AA1554)</f>
        <v/>
      </c>
      <c r="L1557">
        <f>IF($G1557="",0,IF(Sync!$AB1554="",0,Sync!$AB1554))</f>
        <v/>
      </c>
      <c r="M1557">
        <f>IF($G1557="",0,IF(Sync!$AC1554="",0,Sync!$AC1554))</f>
        <v/>
      </c>
      <c r="N1557">
        <f>IF($G1557="","",IF($H1557="مرجوعی خرید",-1,1)*($L1557-$M1557*IFERROR(VLOOKUP("P01",ParamTbl,3,0),1.5))*(1-IF($I1557="خرید",IFERROR(VLOOKUP("P02",ParamTbl,3,0),1),0)/100))</f>
        <v/>
      </c>
      <c r="O1557">
        <f>IF($G1557="",0,IF($H1557="مرجوعی خرید",-1,1)*IF(Sync!$AD1554="",0,Sync!$AD1554))</f>
        <v/>
      </c>
      <c r="P1557">
        <f>IF(OR($G1557="",Sync!$W1554=""),"",Sync!$W1554)</f>
        <v/>
      </c>
      <c r="Q1557">
        <f>IF(OR($G1557="",Sync!$AE1554=""),"",Sync!$AE1554)</f>
        <v/>
      </c>
      <c r="R1557">
        <f>IF($G1557="","",IF(Sync!$V1554="","0000",IF(AND(ISNUMBER(Sync!$V1554),Sync!$V1554&gt;=0,Sync!$V1554&lt;1),RIGHT("00"&amp;HOUR(Sync!$V1554),2)&amp;RIGHT("00"&amp;MINUTE(Sync!$V1554),2),IFERROR(RIGHT("00"&amp;VALUE(LEFT(Sync!$V1554,FIND(":",Sync!$V1554)-1)),2)&amp;RIGHT("00"&amp;VALUE(MID(Sync!$V1554,FIND(":",Sync!$V1554)+1,2)),2),"0000"))))</f>
        <v/>
      </c>
    </row>
    <row r="1558">
      <c r="A1558">
        <f>IF(Sync!$U1555="","",Sync!$U1555)</f>
        <v/>
      </c>
      <c r="B1558">
        <f>IF($A1558="","",IF(ISNUMBER($A1558),IF(AND($A1558&gt;=10000101,$A1558&lt;=99991231),INT($A1558/10000),""),IFERROR(VALUE(TRIM(LEFT($A1558,FIND("/",$A1558)-1))),"")))</f>
        <v/>
      </c>
      <c r="C1558">
        <f>IF(OR($A1558="",$B1558=""),"",IF(ISNUMBER($A1558),INT(MOD($A1558,10000)/100),IFERROR(VALUE(TRIM(LEFT(MID($A1558,FIND("/",$A1558)+1,20),FIND("/",MID($A1558,FIND("/",$A1558)+1,20))-1))),"")))</f>
        <v/>
      </c>
      <c r="D1558">
        <f>IF(OR($A1558="",$B1558=""),"",IF(ISNUMBER($A1558),MOD($A1558,100),IFERROR(VALUE(TRIM(MID(MID($A1558,FIND("/",$A1558)+1,20),FIND("/",MID($A1558,FIND("/",$A1558)+1,20))+1,20))),"")))</f>
        <v/>
      </c>
      <c r="E1558">
        <f>IF($A1558="","",IF(OR($B1558="",$C1558="",$D1558="",$B1558&lt;1300,$B1558&gt;1500,$C1558&lt;1,$C1558&gt;12,$D1558&lt;1,$D1558&gt;31),"نامعتبر",RIGHT("0000"&amp;$B1558,4)&amp;"/"&amp;RIGHT("00"&amp;$C1558,2)&amp;"/"&amp;RIGHT("00"&amp;$D1558,2)))</f>
        <v/>
      </c>
      <c r="F1558">
        <f>IF(OR($E1558="",$E1558="نامعتبر"),"",LEFT($E1558,4)&amp;"/"&amp;MID($E1558,6,2))</f>
        <v/>
      </c>
      <c r="G1558">
        <f>IF(OR($E1558="",$E1558="نامعتبر",Sync!$Y1555=""),"",Sync!$Y1555)</f>
        <v/>
      </c>
      <c r="H1558">
        <f>IF($G1558="","",IF(Sync!$X1555="","",Sync!$X1555))</f>
        <v/>
      </c>
      <c r="I1558">
        <f>IF($G1558="","",IFERROR(VLOOKUP(Sync!$X1555,OpTbl,3,0),""))</f>
        <v/>
      </c>
      <c r="J1558">
        <f>IF(OR($G1558="",Sync!$Z1555=""),"",Sync!$Z1555)</f>
        <v/>
      </c>
      <c r="K1558">
        <f>IF(OR($G1558="",Sync!$AA1555=""),"",Sync!$AA1555)</f>
        <v/>
      </c>
      <c r="L1558">
        <f>IF($G1558="",0,IF(Sync!$AB1555="",0,Sync!$AB1555))</f>
        <v/>
      </c>
      <c r="M1558">
        <f>IF($G1558="",0,IF(Sync!$AC1555="",0,Sync!$AC1555))</f>
        <v/>
      </c>
      <c r="N1558">
        <f>IF($G1558="","",IF($H1558="مرجوعی خرید",-1,1)*($L1558-$M1558*IFERROR(VLOOKUP("P01",ParamTbl,3,0),1.5))*(1-IF($I1558="خرید",IFERROR(VLOOKUP("P02",ParamTbl,3,0),1),0)/100))</f>
        <v/>
      </c>
      <c r="O1558">
        <f>IF($G1558="",0,IF($H1558="مرجوعی خرید",-1,1)*IF(Sync!$AD1555="",0,Sync!$AD1555))</f>
        <v/>
      </c>
      <c r="P1558">
        <f>IF(OR($G1558="",Sync!$W1555=""),"",Sync!$W1555)</f>
        <v/>
      </c>
      <c r="Q1558">
        <f>IF(OR($G1558="",Sync!$AE1555=""),"",Sync!$AE1555)</f>
        <v/>
      </c>
      <c r="R1558">
        <f>IF($G1558="","",IF(Sync!$V1555="","0000",IF(AND(ISNUMBER(Sync!$V1555),Sync!$V1555&gt;=0,Sync!$V1555&lt;1),RIGHT("00"&amp;HOUR(Sync!$V1555),2)&amp;RIGHT("00"&amp;MINUTE(Sync!$V1555),2),IFERROR(RIGHT("00"&amp;VALUE(LEFT(Sync!$V1555,FIND(":",Sync!$V1555)-1)),2)&amp;RIGHT("00"&amp;VALUE(MID(Sync!$V1555,FIND(":",Sync!$V1555)+1,2)),2),"0000"))))</f>
        <v/>
      </c>
    </row>
    <row r="1559">
      <c r="A1559">
        <f>IF(Sync!$U1556="","",Sync!$U1556)</f>
        <v/>
      </c>
      <c r="B1559">
        <f>IF($A1559="","",IF(ISNUMBER($A1559),IF(AND($A1559&gt;=10000101,$A1559&lt;=99991231),INT($A1559/10000),""),IFERROR(VALUE(TRIM(LEFT($A1559,FIND("/",$A1559)-1))),"")))</f>
        <v/>
      </c>
      <c r="C1559">
        <f>IF(OR($A1559="",$B1559=""),"",IF(ISNUMBER($A1559),INT(MOD($A1559,10000)/100),IFERROR(VALUE(TRIM(LEFT(MID($A1559,FIND("/",$A1559)+1,20),FIND("/",MID($A1559,FIND("/",$A1559)+1,20))-1))),"")))</f>
        <v/>
      </c>
      <c r="D1559">
        <f>IF(OR($A1559="",$B1559=""),"",IF(ISNUMBER($A1559),MOD($A1559,100),IFERROR(VALUE(TRIM(MID(MID($A1559,FIND("/",$A1559)+1,20),FIND("/",MID($A1559,FIND("/",$A1559)+1,20))+1,20))),"")))</f>
        <v/>
      </c>
      <c r="E1559">
        <f>IF($A1559="","",IF(OR($B1559="",$C1559="",$D1559="",$B1559&lt;1300,$B1559&gt;1500,$C1559&lt;1,$C1559&gt;12,$D1559&lt;1,$D1559&gt;31),"نامعتبر",RIGHT("0000"&amp;$B1559,4)&amp;"/"&amp;RIGHT("00"&amp;$C1559,2)&amp;"/"&amp;RIGHT("00"&amp;$D1559,2)))</f>
        <v/>
      </c>
      <c r="F1559">
        <f>IF(OR($E1559="",$E1559="نامعتبر"),"",LEFT($E1559,4)&amp;"/"&amp;MID($E1559,6,2))</f>
        <v/>
      </c>
      <c r="G1559">
        <f>IF(OR($E1559="",$E1559="نامعتبر",Sync!$Y1556=""),"",Sync!$Y1556)</f>
        <v/>
      </c>
      <c r="H1559">
        <f>IF($G1559="","",IF(Sync!$X1556="","",Sync!$X1556))</f>
        <v/>
      </c>
      <c r="I1559">
        <f>IF($G1559="","",IFERROR(VLOOKUP(Sync!$X1556,OpTbl,3,0),""))</f>
        <v/>
      </c>
      <c r="J1559">
        <f>IF(OR($G1559="",Sync!$Z1556=""),"",Sync!$Z1556)</f>
        <v/>
      </c>
      <c r="K1559">
        <f>IF(OR($G1559="",Sync!$AA1556=""),"",Sync!$AA1556)</f>
        <v/>
      </c>
      <c r="L1559">
        <f>IF($G1559="",0,IF(Sync!$AB1556="",0,Sync!$AB1556))</f>
        <v/>
      </c>
      <c r="M1559">
        <f>IF($G1559="",0,IF(Sync!$AC1556="",0,Sync!$AC1556))</f>
        <v/>
      </c>
      <c r="N1559">
        <f>IF($G1559="","",IF($H1559="مرجوعی خرید",-1,1)*($L1559-$M1559*IFERROR(VLOOKUP("P01",ParamTbl,3,0),1.5))*(1-IF($I1559="خرید",IFERROR(VLOOKUP("P02",ParamTbl,3,0),1),0)/100))</f>
        <v/>
      </c>
      <c r="O1559">
        <f>IF($G1559="",0,IF($H1559="مرجوعی خرید",-1,1)*IF(Sync!$AD1556="",0,Sync!$AD1556))</f>
        <v/>
      </c>
      <c r="P1559">
        <f>IF(OR($G1559="",Sync!$W1556=""),"",Sync!$W1556)</f>
        <v/>
      </c>
      <c r="Q1559">
        <f>IF(OR($G1559="",Sync!$AE1556=""),"",Sync!$AE1556)</f>
        <v/>
      </c>
      <c r="R1559">
        <f>IF($G1559="","",IF(Sync!$V1556="","0000",IF(AND(ISNUMBER(Sync!$V1556),Sync!$V1556&gt;=0,Sync!$V1556&lt;1),RIGHT("00"&amp;HOUR(Sync!$V1556),2)&amp;RIGHT("00"&amp;MINUTE(Sync!$V1556),2),IFERROR(RIGHT("00"&amp;VALUE(LEFT(Sync!$V1556,FIND(":",Sync!$V1556)-1)),2)&amp;RIGHT("00"&amp;VALUE(MID(Sync!$V1556,FIND(":",Sync!$V1556)+1,2)),2),"0000"))))</f>
        <v/>
      </c>
    </row>
    <row r="1560">
      <c r="A1560">
        <f>IF(Sync!$U1557="","",Sync!$U1557)</f>
        <v/>
      </c>
      <c r="B1560">
        <f>IF($A1560="","",IF(ISNUMBER($A1560),IF(AND($A1560&gt;=10000101,$A1560&lt;=99991231),INT($A1560/10000),""),IFERROR(VALUE(TRIM(LEFT($A1560,FIND("/",$A1560)-1))),"")))</f>
        <v/>
      </c>
      <c r="C1560">
        <f>IF(OR($A1560="",$B1560=""),"",IF(ISNUMBER($A1560),INT(MOD($A1560,10000)/100),IFERROR(VALUE(TRIM(LEFT(MID($A1560,FIND("/",$A1560)+1,20),FIND("/",MID($A1560,FIND("/",$A1560)+1,20))-1))),"")))</f>
        <v/>
      </c>
      <c r="D1560">
        <f>IF(OR($A1560="",$B1560=""),"",IF(ISNUMBER($A1560),MOD($A1560,100),IFERROR(VALUE(TRIM(MID(MID($A1560,FIND("/",$A1560)+1,20),FIND("/",MID($A1560,FIND("/",$A1560)+1,20))+1,20))),"")))</f>
        <v/>
      </c>
      <c r="E1560">
        <f>IF($A1560="","",IF(OR($B1560="",$C1560="",$D1560="",$B1560&lt;1300,$B1560&gt;1500,$C1560&lt;1,$C1560&gt;12,$D1560&lt;1,$D1560&gt;31),"نامعتبر",RIGHT("0000"&amp;$B1560,4)&amp;"/"&amp;RIGHT("00"&amp;$C1560,2)&amp;"/"&amp;RIGHT("00"&amp;$D1560,2)))</f>
        <v/>
      </c>
      <c r="F1560">
        <f>IF(OR($E1560="",$E1560="نامعتبر"),"",LEFT($E1560,4)&amp;"/"&amp;MID($E1560,6,2))</f>
        <v/>
      </c>
      <c r="G1560">
        <f>IF(OR($E1560="",$E1560="نامعتبر",Sync!$Y1557=""),"",Sync!$Y1557)</f>
        <v/>
      </c>
      <c r="H1560">
        <f>IF($G1560="","",IF(Sync!$X1557="","",Sync!$X1557))</f>
        <v/>
      </c>
      <c r="I1560">
        <f>IF($G1560="","",IFERROR(VLOOKUP(Sync!$X1557,OpTbl,3,0),""))</f>
        <v/>
      </c>
      <c r="J1560">
        <f>IF(OR($G1560="",Sync!$Z1557=""),"",Sync!$Z1557)</f>
        <v/>
      </c>
      <c r="K1560">
        <f>IF(OR($G1560="",Sync!$AA1557=""),"",Sync!$AA1557)</f>
        <v/>
      </c>
      <c r="L1560">
        <f>IF($G1560="",0,IF(Sync!$AB1557="",0,Sync!$AB1557))</f>
        <v/>
      </c>
      <c r="M1560">
        <f>IF($G1560="",0,IF(Sync!$AC1557="",0,Sync!$AC1557))</f>
        <v/>
      </c>
      <c r="N1560">
        <f>IF($G1560="","",IF($H1560="مرجوعی خرید",-1,1)*($L1560-$M1560*IFERROR(VLOOKUP("P01",ParamTbl,3,0),1.5))*(1-IF($I1560="خرید",IFERROR(VLOOKUP("P02",ParamTbl,3,0),1),0)/100))</f>
        <v/>
      </c>
      <c r="O1560">
        <f>IF($G1560="",0,IF($H1560="مرجوعی خرید",-1,1)*IF(Sync!$AD1557="",0,Sync!$AD1557))</f>
        <v/>
      </c>
      <c r="P1560">
        <f>IF(OR($G1560="",Sync!$W1557=""),"",Sync!$W1557)</f>
        <v/>
      </c>
      <c r="Q1560">
        <f>IF(OR($G1560="",Sync!$AE1557=""),"",Sync!$AE1557)</f>
        <v/>
      </c>
      <c r="R1560">
        <f>IF($G1560="","",IF(Sync!$V1557="","0000",IF(AND(ISNUMBER(Sync!$V1557),Sync!$V1557&gt;=0,Sync!$V1557&lt;1),RIGHT("00"&amp;HOUR(Sync!$V1557),2)&amp;RIGHT("00"&amp;MINUTE(Sync!$V1557),2),IFERROR(RIGHT("00"&amp;VALUE(LEFT(Sync!$V1557,FIND(":",Sync!$V1557)-1)),2)&amp;RIGHT("00"&amp;VALUE(MID(Sync!$V1557,FIND(":",Sync!$V1557)+1,2)),2),"0000"))))</f>
        <v/>
      </c>
    </row>
    <row r="1561">
      <c r="A1561">
        <f>IF(Sync!$U1558="","",Sync!$U1558)</f>
        <v/>
      </c>
      <c r="B1561">
        <f>IF($A1561="","",IF(ISNUMBER($A1561),IF(AND($A1561&gt;=10000101,$A1561&lt;=99991231),INT($A1561/10000),""),IFERROR(VALUE(TRIM(LEFT($A1561,FIND("/",$A1561)-1))),"")))</f>
        <v/>
      </c>
      <c r="C1561">
        <f>IF(OR($A1561="",$B1561=""),"",IF(ISNUMBER($A1561),INT(MOD($A1561,10000)/100),IFERROR(VALUE(TRIM(LEFT(MID($A1561,FIND("/",$A1561)+1,20),FIND("/",MID($A1561,FIND("/",$A1561)+1,20))-1))),"")))</f>
        <v/>
      </c>
      <c r="D1561">
        <f>IF(OR($A1561="",$B1561=""),"",IF(ISNUMBER($A1561),MOD($A1561,100),IFERROR(VALUE(TRIM(MID(MID($A1561,FIND("/",$A1561)+1,20),FIND("/",MID($A1561,FIND("/",$A1561)+1,20))+1,20))),"")))</f>
        <v/>
      </c>
      <c r="E1561">
        <f>IF($A1561="","",IF(OR($B1561="",$C1561="",$D1561="",$B1561&lt;1300,$B1561&gt;1500,$C1561&lt;1,$C1561&gt;12,$D1561&lt;1,$D1561&gt;31),"نامعتبر",RIGHT("0000"&amp;$B1561,4)&amp;"/"&amp;RIGHT("00"&amp;$C1561,2)&amp;"/"&amp;RIGHT("00"&amp;$D1561,2)))</f>
        <v/>
      </c>
      <c r="F1561">
        <f>IF(OR($E1561="",$E1561="نامعتبر"),"",LEFT($E1561,4)&amp;"/"&amp;MID($E1561,6,2))</f>
        <v/>
      </c>
      <c r="G1561">
        <f>IF(OR($E1561="",$E1561="نامعتبر",Sync!$Y1558=""),"",Sync!$Y1558)</f>
        <v/>
      </c>
      <c r="H1561">
        <f>IF($G1561="","",IF(Sync!$X1558="","",Sync!$X1558))</f>
        <v/>
      </c>
      <c r="I1561">
        <f>IF($G1561="","",IFERROR(VLOOKUP(Sync!$X1558,OpTbl,3,0),""))</f>
        <v/>
      </c>
      <c r="J1561">
        <f>IF(OR($G1561="",Sync!$Z1558=""),"",Sync!$Z1558)</f>
        <v/>
      </c>
      <c r="K1561">
        <f>IF(OR($G1561="",Sync!$AA1558=""),"",Sync!$AA1558)</f>
        <v/>
      </c>
      <c r="L1561">
        <f>IF($G1561="",0,IF(Sync!$AB1558="",0,Sync!$AB1558))</f>
        <v/>
      </c>
      <c r="M1561">
        <f>IF($G1561="",0,IF(Sync!$AC1558="",0,Sync!$AC1558))</f>
        <v/>
      </c>
      <c r="N1561">
        <f>IF($G1561="","",IF($H1561="مرجوعی خرید",-1,1)*($L1561-$M1561*IFERROR(VLOOKUP("P01",ParamTbl,3,0),1.5))*(1-IF($I1561="خرید",IFERROR(VLOOKUP("P02",ParamTbl,3,0),1),0)/100))</f>
        <v/>
      </c>
      <c r="O1561">
        <f>IF($G1561="",0,IF($H1561="مرجوعی خرید",-1,1)*IF(Sync!$AD1558="",0,Sync!$AD1558))</f>
        <v/>
      </c>
      <c r="P1561">
        <f>IF(OR($G1561="",Sync!$W1558=""),"",Sync!$W1558)</f>
        <v/>
      </c>
      <c r="Q1561">
        <f>IF(OR($G1561="",Sync!$AE1558=""),"",Sync!$AE1558)</f>
        <v/>
      </c>
      <c r="R1561">
        <f>IF($G1561="","",IF(Sync!$V1558="","0000",IF(AND(ISNUMBER(Sync!$V1558),Sync!$V1558&gt;=0,Sync!$V1558&lt;1),RIGHT("00"&amp;HOUR(Sync!$V1558),2)&amp;RIGHT("00"&amp;MINUTE(Sync!$V1558),2),IFERROR(RIGHT("00"&amp;VALUE(LEFT(Sync!$V1558,FIND(":",Sync!$V1558)-1)),2)&amp;RIGHT("00"&amp;VALUE(MID(Sync!$V1558,FIND(":",Sync!$V1558)+1,2)),2),"0000"))))</f>
        <v/>
      </c>
    </row>
    <row r="1562">
      <c r="A1562">
        <f>IF(Sync!$U1559="","",Sync!$U1559)</f>
        <v/>
      </c>
      <c r="B1562">
        <f>IF($A1562="","",IF(ISNUMBER($A1562),IF(AND($A1562&gt;=10000101,$A1562&lt;=99991231),INT($A1562/10000),""),IFERROR(VALUE(TRIM(LEFT($A1562,FIND("/",$A1562)-1))),"")))</f>
        <v/>
      </c>
      <c r="C1562">
        <f>IF(OR($A1562="",$B1562=""),"",IF(ISNUMBER($A1562),INT(MOD($A1562,10000)/100),IFERROR(VALUE(TRIM(LEFT(MID($A1562,FIND("/",$A1562)+1,20),FIND("/",MID($A1562,FIND("/",$A1562)+1,20))-1))),"")))</f>
        <v/>
      </c>
      <c r="D1562">
        <f>IF(OR($A1562="",$B1562=""),"",IF(ISNUMBER($A1562),MOD($A1562,100),IFERROR(VALUE(TRIM(MID(MID($A1562,FIND("/",$A1562)+1,20),FIND("/",MID($A1562,FIND("/",$A1562)+1,20))+1,20))),"")))</f>
        <v/>
      </c>
      <c r="E1562">
        <f>IF($A1562="","",IF(OR($B1562="",$C1562="",$D1562="",$B1562&lt;1300,$B1562&gt;1500,$C1562&lt;1,$C1562&gt;12,$D1562&lt;1,$D1562&gt;31),"نامعتبر",RIGHT("0000"&amp;$B1562,4)&amp;"/"&amp;RIGHT("00"&amp;$C1562,2)&amp;"/"&amp;RIGHT("00"&amp;$D1562,2)))</f>
        <v/>
      </c>
      <c r="F1562">
        <f>IF(OR($E1562="",$E1562="نامعتبر"),"",LEFT($E1562,4)&amp;"/"&amp;MID($E1562,6,2))</f>
        <v/>
      </c>
      <c r="G1562">
        <f>IF(OR($E1562="",$E1562="نامعتبر",Sync!$Y1559=""),"",Sync!$Y1559)</f>
        <v/>
      </c>
      <c r="H1562">
        <f>IF($G1562="","",IF(Sync!$X1559="","",Sync!$X1559))</f>
        <v/>
      </c>
      <c r="I1562">
        <f>IF($G1562="","",IFERROR(VLOOKUP(Sync!$X1559,OpTbl,3,0),""))</f>
        <v/>
      </c>
      <c r="J1562">
        <f>IF(OR($G1562="",Sync!$Z1559=""),"",Sync!$Z1559)</f>
        <v/>
      </c>
      <c r="K1562">
        <f>IF(OR($G1562="",Sync!$AA1559=""),"",Sync!$AA1559)</f>
        <v/>
      </c>
      <c r="L1562">
        <f>IF($G1562="",0,IF(Sync!$AB1559="",0,Sync!$AB1559))</f>
        <v/>
      </c>
      <c r="M1562">
        <f>IF($G1562="",0,IF(Sync!$AC1559="",0,Sync!$AC1559))</f>
        <v/>
      </c>
      <c r="N1562">
        <f>IF($G1562="","",IF($H1562="مرجوعی خرید",-1,1)*($L1562-$M1562*IFERROR(VLOOKUP("P01",ParamTbl,3,0),1.5))*(1-IF($I1562="خرید",IFERROR(VLOOKUP("P02",ParamTbl,3,0),1),0)/100))</f>
        <v/>
      </c>
      <c r="O1562">
        <f>IF($G1562="",0,IF($H1562="مرجوعی خرید",-1,1)*IF(Sync!$AD1559="",0,Sync!$AD1559))</f>
        <v/>
      </c>
      <c r="P1562">
        <f>IF(OR($G1562="",Sync!$W1559=""),"",Sync!$W1559)</f>
        <v/>
      </c>
      <c r="Q1562">
        <f>IF(OR($G1562="",Sync!$AE1559=""),"",Sync!$AE1559)</f>
        <v/>
      </c>
      <c r="R1562">
        <f>IF($G1562="","",IF(Sync!$V1559="","0000",IF(AND(ISNUMBER(Sync!$V1559),Sync!$V1559&gt;=0,Sync!$V1559&lt;1),RIGHT("00"&amp;HOUR(Sync!$V1559),2)&amp;RIGHT("00"&amp;MINUTE(Sync!$V1559),2),IFERROR(RIGHT("00"&amp;VALUE(LEFT(Sync!$V1559,FIND(":",Sync!$V1559)-1)),2)&amp;RIGHT("00"&amp;VALUE(MID(Sync!$V1559,FIND(":",Sync!$V1559)+1,2)),2),"0000"))))</f>
        <v/>
      </c>
    </row>
    <row r="1563">
      <c r="A1563">
        <f>IF(Sync!$U1560="","",Sync!$U1560)</f>
        <v/>
      </c>
      <c r="B1563">
        <f>IF($A1563="","",IF(ISNUMBER($A1563),IF(AND($A1563&gt;=10000101,$A1563&lt;=99991231),INT($A1563/10000),""),IFERROR(VALUE(TRIM(LEFT($A1563,FIND("/",$A1563)-1))),"")))</f>
        <v/>
      </c>
      <c r="C1563">
        <f>IF(OR($A1563="",$B1563=""),"",IF(ISNUMBER($A1563),INT(MOD($A1563,10000)/100),IFERROR(VALUE(TRIM(LEFT(MID($A1563,FIND("/",$A1563)+1,20),FIND("/",MID($A1563,FIND("/",$A1563)+1,20))-1))),"")))</f>
        <v/>
      </c>
      <c r="D1563">
        <f>IF(OR($A1563="",$B1563=""),"",IF(ISNUMBER($A1563),MOD($A1563,100),IFERROR(VALUE(TRIM(MID(MID($A1563,FIND("/",$A1563)+1,20),FIND("/",MID($A1563,FIND("/",$A1563)+1,20))+1,20))),"")))</f>
        <v/>
      </c>
      <c r="E1563">
        <f>IF($A1563="","",IF(OR($B1563="",$C1563="",$D1563="",$B1563&lt;1300,$B1563&gt;1500,$C1563&lt;1,$C1563&gt;12,$D1563&lt;1,$D1563&gt;31),"نامعتبر",RIGHT("0000"&amp;$B1563,4)&amp;"/"&amp;RIGHT("00"&amp;$C1563,2)&amp;"/"&amp;RIGHT("00"&amp;$D1563,2)))</f>
        <v/>
      </c>
      <c r="F1563">
        <f>IF(OR($E1563="",$E1563="نامعتبر"),"",LEFT($E1563,4)&amp;"/"&amp;MID($E1563,6,2))</f>
        <v/>
      </c>
      <c r="G1563">
        <f>IF(OR($E1563="",$E1563="نامعتبر",Sync!$Y1560=""),"",Sync!$Y1560)</f>
        <v/>
      </c>
      <c r="H1563">
        <f>IF($G1563="","",IF(Sync!$X1560="","",Sync!$X1560))</f>
        <v/>
      </c>
      <c r="I1563">
        <f>IF($G1563="","",IFERROR(VLOOKUP(Sync!$X1560,OpTbl,3,0),""))</f>
        <v/>
      </c>
      <c r="J1563">
        <f>IF(OR($G1563="",Sync!$Z1560=""),"",Sync!$Z1560)</f>
        <v/>
      </c>
      <c r="K1563">
        <f>IF(OR($G1563="",Sync!$AA1560=""),"",Sync!$AA1560)</f>
        <v/>
      </c>
      <c r="L1563">
        <f>IF($G1563="",0,IF(Sync!$AB1560="",0,Sync!$AB1560))</f>
        <v/>
      </c>
      <c r="M1563">
        <f>IF($G1563="",0,IF(Sync!$AC1560="",0,Sync!$AC1560))</f>
        <v/>
      </c>
      <c r="N1563">
        <f>IF($G1563="","",IF($H1563="مرجوعی خرید",-1,1)*($L1563-$M1563*IFERROR(VLOOKUP("P01",ParamTbl,3,0),1.5))*(1-IF($I1563="خرید",IFERROR(VLOOKUP("P02",ParamTbl,3,0),1),0)/100))</f>
        <v/>
      </c>
      <c r="O1563">
        <f>IF($G1563="",0,IF($H1563="مرجوعی خرید",-1,1)*IF(Sync!$AD1560="",0,Sync!$AD1560))</f>
        <v/>
      </c>
      <c r="P1563">
        <f>IF(OR($G1563="",Sync!$W1560=""),"",Sync!$W1560)</f>
        <v/>
      </c>
      <c r="Q1563">
        <f>IF(OR($G1563="",Sync!$AE1560=""),"",Sync!$AE1560)</f>
        <v/>
      </c>
      <c r="R1563">
        <f>IF($G1563="","",IF(Sync!$V1560="","0000",IF(AND(ISNUMBER(Sync!$V1560),Sync!$V1560&gt;=0,Sync!$V1560&lt;1),RIGHT("00"&amp;HOUR(Sync!$V1560),2)&amp;RIGHT("00"&amp;MINUTE(Sync!$V1560),2),IFERROR(RIGHT("00"&amp;VALUE(LEFT(Sync!$V1560,FIND(":",Sync!$V1560)-1)),2)&amp;RIGHT("00"&amp;VALUE(MID(Sync!$V1560,FIND(":",Sync!$V1560)+1,2)),2),"0000"))))</f>
        <v/>
      </c>
    </row>
    <row r="1564">
      <c r="A1564">
        <f>IF(Sync!$U1561="","",Sync!$U1561)</f>
        <v/>
      </c>
      <c r="B1564">
        <f>IF($A1564="","",IF(ISNUMBER($A1564),IF(AND($A1564&gt;=10000101,$A1564&lt;=99991231),INT($A1564/10000),""),IFERROR(VALUE(TRIM(LEFT($A1564,FIND("/",$A1564)-1))),"")))</f>
        <v/>
      </c>
      <c r="C1564">
        <f>IF(OR($A1564="",$B1564=""),"",IF(ISNUMBER($A1564),INT(MOD($A1564,10000)/100),IFERROR(VALUE(TRIM(LEFT(MID($A1564,FIND("/",$A1564)+1,20),FIND("/",MID($A1564,FIND("/",$A1564)+1,20))-1))),"")))</f>
        <v/>
      </c>
      <c r="D1564">
        <f>IF(OR($A1564="",$B1564=""),"",IF(ISNUMBER($A1564),MOD($A1564,100),IFERROR(VALUE(TRIM(MID(MID($A1564,FIND("/",$A1564)+1,20),FIND("/",MID($A1564,FIND("/",$A1564)+1,20))+1,20))),"")))</f>
        <v/>
      </c>
      <c r="E1564">
        <f>IF($A1564="","",IF(OR($B1564="",$C1564="",$D1564="",$B1564&lt;1300,$B1564&gt;1500,$C1564&lt;1,$C1564&gt;12,$D1564&lt;1,$D1564&gt;31),"نامعتبر",RIGHT("0000"&amp;$B1564,4)&amp;"/"&amp;RIGHT("00"&amp;$C1564,2)&amp;"/"&amp;RIGHT("00"&amp;$D1564,2)))</f>
        <v/>
      </c>
      <c r="F1564">
        <f>IF(OR($E1564="",$E1564="نامعتبر"),"",LEFT($E1564,4)&amp;"/"&amp;MID($E1564,6,2))</f>
        <v/>
      </c>
      <c r="G1564">
        <f>IF(OR($E1564="",$E1564="نامعتبر",Sync!$Y1561=""),"",Sync!$Y1561)</f>
        <v/>
      </c>
      <c r="H1564">
        <f>IF($G1564="","",IF(Sync!$X1561="","",Sync!$X1561))</f>
        <v/>
      </c>
      <c r="I1564">
        <f>IF($G1564="","",IFERROR(VLOOKUP(Sync!$X1561,OpTbl,3,0),""))</f>
        <v/>
      </c>
      <c r="J1564">
        <f>IF(OR($G1564="",Sync!$Z1561=""),"",Sync!$Z1561)</f>
        <v/>
      </c>
      <c r="K1564">
        <f>IF(OR($G1564="",Sync!$AA1561=""),"",Sync!$AA1561)</f>
        <v/>
      </c>
      <c r="L1564">
        <f>IF($G1564="",0,IF(Sync!$AB1561="",0,Sync!$AB1561))</f>
        <v/>
      </c>
      <c r="M1564">
        <f>IF($G1564="",0,IF(Sync!$AC1561="",0,Sync!$AC1561))</f>
        <v/>
      </c>
      <c r="N1564">
        <f>IF($G1564="","",IF($H1564="مرجوعی خرید",-1,1)*($L1564-$M1564*IFERROR(VLOOKUP("P01",ParamTbl,3,0),1.5))*(1-IF($I1564="خرید",IFERROR(VLOOKUP("P02",ParamTbl,3,0),1),0)/100))</f>
        <v/>
      </c>
      <c r="O1564">
        <f>IF($G1564="",0,IF($H1564="مرجوعی خرید",-1,1)*IF(Sync!$AD1561="",0,Sync!$AD1561))</f>
        <v/>
      </c>
      <c r="P1564">
        <f>IF(OR($G1564="",Sync!$W1561=""),"",Sync!$W1561)</f>
        <v/>
      </c>
      <c r="Q1564">
        <f>IF(OR($G1564="",Sync!$AE1561=""),"",Sync!$AE1561)</f>
        <v/>
      </c>
      <c r="R1564">
        <f>IF($G1564="","",IF(Sync!$V1561="","0000",IF(AND(ISNUMBER(Sync!$V1561),Sync!$V1561&gt;=0,Sync!$V1561&lt;1),RIGHT("00"&amp;HOUR(Sync!$V1561),2)&amp;RIGHT("00"&amp;MINUTE(Sync!$V1561),2),IFERROR(RIGHT("00"&amp;VALUE(LEFT(Sync!$V1561,FIND(":",Sync!$V1561)-1)),2)&amp;RIGHT("00"&amp;VALUE(MID(Sync!$V1561,FIND(":",Sync!$V1561)+1,2)),2),"0000"))))</f>
        <v/>
      </c>
    </row>
    <row r="1565">
      <c r="A1565">
        <f>IF(Sync!$U1562="","",Sync!$U1562)</f>
        <v/>
      </c>
      <c r="B1565">
        <f>IF($A1565="","",IF(ISNUMBER($A1565),IF(AND($A1565&gt;=10000101,$A1565&lt;=99991231),INT($A1565/10000),""),IFERROR(VALUE(TRIM(LEFT($A1565,FIND("/",$A1565)-1))),"")))</f>
        <v/>
      </c>
      <c r="C1565">
        <f>IF(OR($A1565="",$B1565=""),"",IF(ISNUMBER($A1565),INT(MOD($A1565,10000)/100),IFERROR(VALUE(TRIM(LEFT(MID($A1565,FIND("/",$A1565)+1,20),FIND("/",MID($A1565,FIND("/",$A1565)+1,20))-1))),"")))</f>
        <v/>
      </c>
      <c r="D1565">
        <f>IF(OR($A1565="",$B1565=""),"",IF(ISNUMBER($A1565),MOD($A1565,100),IFERROR(VALUE(TRIM(MID(MID($A1565,FIND("/",$A1565)+1,20),FIND("/",MID($A1565,FIND("/",$A1565)+1,20))+1,20))),"")))</f>
        <v/>
      </c>
      <c r="E1565">
        <f>IF($A1565="","",IF(OR($B1565="",$C1565="",$D1565="",$B1565&lt;1300,$B1565&gt;1500,$C1565&lt;1,$C1565&gt;12,$D1565&lt;1,$D1565&gt;31),"نامعتبر",RIGHT("0000"&amp;$B1565,4)&amp;"/"&amp;RIGHT("00"&amp;$C1565,2)&amp;"/"&amp;RIGHT("00"&amp;$D1565,2)))</f>
        <v/>
      </c>
      <c r="F1565">
        <f>IF(OR($E1565="",$E1565="نامعتبر"),"",LEFT($E1565,4)&amp;"/"&amp;MID($E1565,6,2))</f>
        <v/>
      </c>
      <c r="G1565">
        <f>IF(OR($E1565="",$E1565="نامعتبر",Sync!$Y1562=""),"",Sync!$Y1562)</f>
        <v/>
      </c>
      <c r="H1565">
        <f>IF($G1565="","",IF(Sync!$X1562="","",Sync!$X1562))</f>
        <v/>
      </c>
      <c r="I1565">
        <f>IF($G1565="","",IFERROR(VLOOKUP(Sync!$X1562,OpTbl,3,0),""))</f>
        <v/>
      </c>
      <c r="J1565">
        <f>IF(OR($G1565="",Sync!$Z1562=""),"",Sync!$Z1562)</f>
        <v/>
      </c>
      <c r="K1565">
        <f>IF(OR($G1565="",Sync!$AA1562=""),"",Sync!$AA1562)</f>
        <v/>
      </c>
      <c r="L1565">
        <f>IF($G1565="",0,IF(Sync!$AB1562="",0,Sync!$AB1562))</f>
        <v/>
      </c>
      <c r="M1565">
        <f>IF($G1565="",0,IF(Sync!$AC1562="",0,Sync!$AC1562))</f>
        <v/>
      </c>
      <c r="N1565">
        <f>IF($G1565="","",IF($H1565="مرجوعی خرید",-1,1)*($L1565-$M1565*IFERROR(VLOOKUP("P01",ParamTbl,3,0),1.5))*(1-IF($I1565="خرید",IFERROR(VLOOKUP("P02",ParamTbl,3,0),1),0)/100))</f>
        <v/>
      </c>
      <c r="O1565">
        <f>IF($G1565="",0,IF($H1565="مرجوعی خرید",-1,1)*IF(Sync!$AD1562="",0,Sync!$AD1562))</f>
        <v/>
      </c>
      <c r="P1565">
        <f>IF(OR($G1565="",Sync!$W1562=""),"",Sync!$W1562)</f>
        <v/>
      </c>
      <c r="Q1565">
        <f>IF(OR($G1565="",Sync!$AE1562=""),"",Sync!$AE1562)</f>
        <v/>
      </c>
      <c r="R1565">
        <f>IF($G1565="","",IF(Sync!$V1562="","0000",IF(AND(ISNUMBER(Sync!$V1562),Sync!$V1562&gt;=0,Sync!$V1562&lt;1),RIGHT("00"&amp;HOUR(Sync!$V1562),2)&amp;RIGHT("00"&amp;MINUTE(Sync!$V1562),2),IFERROR(RIGHT("00"&amp;VALUE(LEFT(Sync!$V1562,FIND(":",Sync!$V1562)-1)),2)&amp;RIGHT("00"&amp;VALUE(MID(Sync!$V1562,FIND(":",Sync!$V1562)+1,2)),2),"0000"))))</f>
        <v/>
      </c>
    </row>
    <row r="1566">
      <c r="A1566">
        <f>IF(Sync!$U1563="","",Sync!$U1563)</f>
        <v/>
      </c>
      <c r="B1566">
        <f>IF($A1566="","",IF(ISNUMBER($A1566),IF(AND($A1566&gt;=10000101,$A1566&lt;=99991231),INT($A1566/10000),""),IFERROR(VALUE(TRIM(LEFT($A1566,FIND("/",$A1566)-1))),"")))</f>
        <v/>
      </c>
      <c r="C1566">
        <f>IF(OR($A1566="",$B1566=""),"",IF(ISNUMBER($A1566),INT(MOD($A1566,10000)/100),IFERROR(VALUE(TRIM(LEFT(MID($A1566,FIND("/",$A1566)+1,20),FIND("/",MID($A1566,FIND("/",$A1566)+1,20))-1))),"")))</f>
        <v/>
      </c>
      <c r="D1566">
        <f>IF(OR($A1566="",$B1566=""),"",IF(ISNUMBER($A1566),MOD($A1566,100),IFERROR(VALUE(TRIM(MID(MID($A1566,FIND("/",$A1566)+1,20),FIND("/",MID($A1566,FIND("/",$A1566)+1,20))+1,20))),"")))</f>
        <v/>
      </c>
      <c r="E1566">
        <f>IF($A1566="","",IF(OR($B1566="",$C1566="",$D1566="",$B1566&lt;1300,$B1566&gt;1500,$C1566&lt;1,$C1566&gt;12,$D1566&lt;1,$D1566&gt;31),"نامعتبر",RIGHT("0000"&amp;$B1566,4)&amp;"/"&amp;RIGHT("00"&amp;$C1566,2)&amp;"/"&amp;RIGHT("00"&amp;$D1566,2)))</f>
        <v/>
      </c>
      <c r="F1566">
        <f>IF(OR($E1566="",$E1566="نامعتبر"),"",LEFT($E1566,4)&amp;"/"&amp;MID($E1566,6,2))</f>
        <v/>
      </c>
      <c r="G1566">
        <f>IF(OR($E1566="",$E1566="نامعتبر",Sync!$Y1563=""),"",Sync!$Y1563)</f>
        <v/>
      </c>
      <c r="H1566">
        <f>IF($G1566="","",IF(Sync!$X1563="","",Sync!$X1563))</f>
        <v/>
      </c>
      <c r="I1566">
        <f>IF($G1566="","",IFERROR(VLOOKUP(Sync!$X1563,OpTbl,3,0),""))</f>
        <v/>
      </c>
      <c r="J1566">
        <f>IF(OR($G1566="",Sync!$Z1563=""),"",Sync!$Z1563)</f>
        <v/>
      </c>
      <c r="K1566">
        <f>IF(OR($G1566="",Sync!$AA1563=""),"",Sync!$AA1563)</f>
        <v/>
      </c>
      <c r="L1566">
        <f>IF($G1566="",0,IF(Sync!$AB1563="",0,Sync!$AB1563))</f>
        <v/>
      </c>
      <c r="M1566">
        <f>IF($G1566="",0,IF(Sync!$AC1563="",0,Sync!$AC1563))</f>
        <v/>
      </c>
      <c r="N1566">
        <f>IF($G1566="","",IF($H1566="مرجوعی خرید",-1,1)*($L1566-$M1566*IFERROR(VLOOKUP("P01",ParamTbl,3,0),1.5))*(1-IF($I1566="خرید",IFERROR(VLOOKUP("P02",ParamTbl,3,0),1),0)/100))</f>
        <v/>
      </c>
      <c r="O1566">
        <f>IF($G1566="",0,IF($H1566="مرجوعی خرید",-1,1)*IF(Sync!$AD1563="",0,Sync!$AD1563))</f>
        <v/>
      </c>
      <c r="P1566">
        <f>IF(OR($G1566="",Sync!$W1563=""),"",Sync!$W1563)</f>
        <v/>
      </c>
      <c r="Q1566">
        <f>IF(OR($G1566="",Sync!$AE1563=""),"",Sync!$AE1563)</f>
        <v/>
      </c>
      <c r="R1566">
        <f>IF($G1566="","",IF(Sync!$V1563="","0000",IF(AND(ISNUMBER(Sync!$V1563),Sync!$V1563&gt;=0,Sync!$V1563&lt;1),RIGHT("00"&amp;HOUR(Sync!$V1563),2)&amp;RIGHT("00"&amp;MINUTE(Sync!$V1563),2),IFERROR(RIGHT("00"&amp;VALUE(LEFT(Sync!$V1563,FIND(":",Sync!$V1563)-1)),2)&amp;RIGHT("00"&amp;VALUE(MID(Sync!$V1563,FIND(":",Sync!$V1563)+1,2)),2),"0000"))))</f>
        <v/>
      </c>
    </row>
    <row r="1567">
      <c r="A1567">
        <f>IF(Sync!$U1564="","",Sync!$U1564)</f>
        <v/>
      </c>
      <c r="B1567">
        <f>IF($A1567="","",IF(ISNUMBER($A1567),IF(AND($A1567&gt;=10000101,$A1567&lt;=99991231),INT($A1567/10000),""),IFERROR(VALUE(TRIM(LEFT($A1567,FIND("/",$A1567)-1))),"")))</f>
        <v/>
      </c>
      <c r="C1567">
        <f>IF(OR($A1567="",$B1567=""),"",IF(ISNUMBER($A1567),INT(MOD($A1567,10000)/100),IFERROR(VALUE(TRIM(LEFT(MID($A1567,FIND("/",$A1567)+1,20),FIND("/",MID($A1567,FIND("/",$A1567)+1,20))-1))),"")))</f>
        <v/>
      </c>
      <c r="D1567">
        <f>IF(OR($A1567="",$B1567=""),"",IF(ISNUMBER($A1567),MOD($A1567,100),IFERROR(VALUE(TRIM(MID(MID($A1567,FIND("/",$A1567)+1,20),FIND("/",MID($A1567,FIND("/",$A1567)+1,20))+1,20))),"")))</f>
        <v/>
      </c>
      <c r="E1567">
        <f>IF($A1567="","",IF(OR($B1567="",$C1567="",$D1567="",$B1567&lt;1300,$B1567&gt;1500,$C1567&lt;1,$C1567&gt;12,$D1567&lt;1,$D1567&gt;31),"نامعتبر",RIGHT("0000"&amp;$B1567,4)&amp;"/"&amp;RIGHT("00"&amp;$C1567,2)&amp;"/"&amp;RIGHT("00"&amp;$D1567,2)))</f>
        <v/>
      </c>
      <c r="F1567">
        <f>IF(OR($E1567="",$E1567="نامعتبر"),"",LEFT($E1567,4)&amp;"/"&amp;MID($E1567,6,2))</f>
        <v/>
      </c>
      <c r="G1567">
        <f>IF(OR($E1567="",$E1567="نامعتبر",Sync!$Y1564=""),"",Sync!$Y1564)</f>
        <v/>
      </c>
      <c r="H1567">
        <f>IF($G1567="","",IF(Sync!$X1564="","",Sync!$X1564))</f>
        <v/>
      </c>
      <c r="I1567">
        <f>IF($G1567="","",IFERROR(VLOOKUP(Sync!$X1564,OpTbl,3,0),""))</f>
        <v/>
      </c>
      <c r="J1567">
        <f>IF(OR($G1567="",Sync!$Z1564=""),"",Sync!$Z1564)</f>
        <v/>
      </c>
      <c r="K1567">
        <f>IF(OR($G1567="",Sync!$AA1564=""),"",Sync!$AA1564)</f>
        <v/>
      </c>
      <c r="L1567">
        <f>IF($G1567="",0,IF(Sync!$AB1564="",0,Sync!$AB1564))</f>
        <v/>
      </c>
      <c r="M1567">
        <f>IF($G1567="",0,IF(Sync!$AC1564="",0,Sync!$AC1564))</f>
        <v/>
      </c>
      <c r="N1567">
        <f>IF($G1567="","",IF($H1567="مرجوعی خرید",-1,1)*($L1567-$M1567*IFERROR(VLOOKUP("P01",ParamTbl,3,0),1.5))*(1-IF($I1567="خرید",IFERROR(VLOOKUP("P02",ParamTbl,3,0),1),0)/100))</f>
        <v/>
      </c>
      <c r="O1567">
        <f>IF($G1567="",0,IF($H1567="مرجوعی خرید",-1,1)*IF(Sync!$AD1564="",0,Sync!$AD1564))</f>
        <v/>
      </c>
      <c r="P1567">
        <f>IF(OR($G1567="",Sync!$W1564=""),"",Sync!$W1564)</f>
        <v/>
      </c>
      <c r="Q1567">
        <f>IF(OR($G1567="",Sync!$AE1564=""),"",Sync!$AE1564)</f>
        <v/>
      </c>
      <c r="R1567">
        <f>IF($G1567="","",IF(Sync!$V1564="","0000",IF(AND(ISNUMBER(Sync!$V1564),Sync!$V1564&gt;=0,Sync!$V1564&lt;1),RIGHT("00"&amp;HOUR(Sync!$V1564),2)&amp;RIGHT("00"&amp;MINUTE(Sync!$V1564),2),IFERROR(RIGHT("00"&amp;VALUE(LEFT(Sync!$V1564,FIND(":",Sync!$V1564)-1)),2)&amp;RIGHT("00"&amp;VALUE(MID(Sync!$V1564,FIND(":",Sync!$V1564)+1,2)),2),"0000"))))</f>
        <v/>
      </c>
    </row>
    <row r="1568">
      <c r="A1568">
        <f>IF(Sync!$U1565="","",Sync!$U1565)</f>
        <v/>
      </c>
      <c r="B1568">
        <f>IF($A1568="","",IF(ISNUMBER($A1568),IF(AND($A1568&gt;=10000101,$A1568&lt;=99991231),INT($A1568/10000),""),IFERROR(VALUE(TRIM(LEFT($A1568,FIND("/",$A1568)-1))),"")))</f>
        <v/>
      </c>
      <c r="C1568">
        <f>IF(OR($A1568="",$B1568=""),"",IF(ISNUMBER($A1568),INT(MOD($A1568,10000)/100),IFERROR(VALUE(TRIM(LEFT(MID($A1568,FIND("/",$A1568)+1,20),FIND("/",MID($A1568,FIND("/",$A1568)+1,20))-1))),"")))</f>
        <v/>
      </c>
      <c r="D1568">
        <f>IF(OR($A1568="",$B1568=""),"",IF(ISNUMBER($A1568),MOD($A1568,100),IFERROR(VALUE(TRIM(MID(MID($A1568,FIND("/",$A1568)+1,20),FIND("/",MID($A1568,FIND("/",$A1568)+1,20))+1,20))),"")))</f>
        <v/>
      </c>
      <c r="E1568">
        <f>IF($A1568="","",IF(OR($B1568="",$C1568="",$D1568="",$B1568&lt;1300,$B1568&gt;1500,$C1568&lt;1,$C1568&gt;12,$D1568&lt;1,$D1568&gt;31),"نامعتبر",RIGHT("0000"&amp;$B1568,4)&amp;"/"&amp;RIGHT("00"&amp;$C1568,2)&amp;"/"&amp;RIGHT("00"&amp;$D1568,2)))</f>
        <v/>
      </c>
      <c r="F1568">
        <f>IF(OR($E1568="",$E1568="نامعتبر"),"",LEFT($E1568,4)&amp;"/"&amp;MID($E1568,6,2))</f>
        <v/>
      </c>
      <c r="G1568">
        <f>IF(OR($E1568="",$E1568="نامعتبر",Sync!$Y1565=""),"",Sync!$Y1565)</f>
        <v/>
      </c>
      <c r="H1568">
        <f>IF($G1568="","",IF(Sync!$X1565="","",Sync!$X1565))</f>
        <v/>
      </c>
      <c r="I1568">
        <f>IF($G1568="","",IFERROR(VLOOKUP(Sync!$X1565,OpTbl,3,0),""))</f>
        <v/>
      </c>
      <c r="J1568">
        <f>IF(OR($G1568="",Sync!$Z1565=""),"",Sync!$Z1565)</f>
        <v/>
      </c>
      <c r="K1568">
        <f>IF(OR($G1568="",Sync!$AA1565=""),"",Sync!$AA1565)</f>
        <v/>
      </c>
      <c r="L1568">
        <f>IF($G1568="",0,IF(Sync!$AB1565="",0,Sync!$AB1565))</f>
        <v/>
      </c>
      <c r="M1568">
        <f>IF($G1568="",0,IF(Sync!$AC1565="",0,Sync!$AC1565))</f>
        <v/>
      </c>
      <c r="N1568">
        <f>IF($G1568="","",IF($H1568="مرجوعی خرید",-1,1)*($L1568-$M1568*IFERROR(VLOOKUP("P01",ParamTbl,3,0),1.5))*(1-IF($I1568="خرید",IFERROR(VLOOKUP("P02",ParamTbl,3,0),1),0)/100))</f>
        <v/>
      </c>
      <c r="O1568">
        <f>IF($G1568="",0,IF($H1568="مرجوعی خرید",-1,1)*IF(Sync!$AD1565="",0,Sync!$AD1565))</f>
        <v/>
      </c>
      <c r="P1568">
        <f>IF(OR($G1568="",Sync!$W1565=""),"",Sync!$W1565)</f>
        <v/>
      </c>
      <c r="Q1568">
        <f>IF(OR($G1568="",Sync!$AE1565=""),"",Sync!$AE1565)</f>
        <v/>
      </c>
      <c r="R1568">
        <f>IF($G1568="","",IF(Sync!$V1565="","0000",IF(AND(ISNUMBER(Sync!$V1565),Sync!$V1565&gt;=0,Sync!$V1565&lt;1),RIGHT("00"&amp;HOUR(Sync!$V1565),2)&amp;RIGHT("00"&amp;MINUTE(Sync!$V1565),2),IFERROR(RIGHT("00"&amp;VALUE(LEFT(Sync!$V1565,FIND(":",Sync!$V1565)-1)),2)&amp;RIGHT("00"&amp;VALUE(MID(Sync!$V1565,FIND(":",Sync!$V1565)+1,2)),2),"0000"))))</f>
        <v/>
      </c>
    </row>
    <row r="1569">
      <c r="A1569">
        <f>IF(Sync!$U1566="","",Sync!$U1566)</f>
        <v/>
      </c>
      <c r="B1569">
        <f>IF($A1569="","",IF(ISNUMBER($A1569),IF(AND($A1569&gt;=10000101,$A1569&lt;=99991231),INT($A1569/10000),""),IFERROR(VALUE(TRIM(LEFT($A1569,FIND("/",$A1569)-1))),"")))</f>
        <v/>
      </c>
      <c r="C1569">
        <f>IF(OR($A1569="",$B1569=""),"",IF(ISNUMBER($A1569),INT(MOD($A1569,10000)/100),IFERROR(VALUE(TRIM(LEFT(MID($A1569,FIND("/",$A1569)+1,20),FIND("/",MID($A1569,FIND("/",$A1569)+1,20))-1))),"")))</f>
        <v/>
      </c>
      <c r="D1569">
        <f>IF(OR($A1569="",$B1569=""),"",IF(ISNUMBER($A1569),MOD($A1569,100),IFERROR(VALUE(TRIM(MID(MID($A1569,FIND("/",$A1569)+1,20),FIND("/",MID($A1569,FIND("/",$A1569)+1,20))+1,20))),"")))</f>
        <v/>
      </c>
      <c r="E1569">
        <f>IF($A1569="","",IF(OR($B1569="",$C1569="",$D1569="",$B1569&lt;1300,$B1569&gt;1500,$C1569&lt;1,$C1569&gt;12,$D1569&lt;1,$D1569&gt;31),"نامعتبر",RIGHT("0000"&amp;$B1569,4)&amp;"/"&amp;RIGHT("00"&amp;$C1569,2)&amp;"/"&amp;RIGHT("00"&amp;$D1569,2)))</f>
        <v/>
      </c>
      <c r="F1569">
        <f>IF(OR($E1569="",$E1569="نامعتبر"),"",LEFT($E1569,4)&amp;"/"&amp;MID($E1569,6,2))</f>
        <v/>
      </c>
      <c r="G1569">
        <f>IF(OR($E1569="",$E1569="نامعتبر",Sync!$Y1566=""),"",Sync!$Y1566)</f>
        <v/>
      </c>
      <c r="H1569">
        <f>IF($G1569="","",IF(Sync!$X1566="","",Sync!$X1566))</f>
        <v/>
      </c>
      <c r="I1569">
        <f>IF($G1569="","",IFERROR(VLOOKUP(Sync!$X1566,OpTbl,3,0),""))</f>
        <v/>
      </c>
      <c r="J1569">
        <f>IF(OR($G1569="",Sync!$Z1566=""),"",Sync!$Z1566)</f>
        <v/>
      </c>
      <c r="K1569">
        <f>IF(OR($G1569="",Sync!$AA1566=""),"",Sync!$AA1566)</f>
        <v/>
      </c>
      <c r="L1569">
        <f>IF($G1569="",0,IF(Sync!$AB1566="",0,Sync!$AB1566))</f>
        <v/>
      </c>
      <c r="M1569">
        <f>IF($G1569="",0,IF(Sync!$AC1566="",0,Sync!$AC1566))</f>
        <v/>
      </c>
      <c r="N1569">
        <f>IF($G1569="","",IF($H1569="مرجوعی خرید",-1,1)*($L1569-$M1569*IFERROR(VLOOKUP("P01",ParamTbl,3,0),1.5))*(1-IF($I1569="خرید",IFERROR(VLOOKUP("P02",ParamTbl,3,0),1),0)/100))</f>
        <v/>
      </c>
      <c r="O1569">
        <f>IF($G1569="",0,IF($H1569="مرجوعی خرید",-1,1)*IF(Sync!$AD1566="",0,Sync!$AD1566))</f>
        <v/>
      </c>
      <c r="P1569">
        <f>IF(OR($G1569="",Sync!$W1566=""),"",Sync!$W1566)</f>
        <v/>
      </c>
      <c r="Q1569">
        <f>IF(OR($G1569="",Sync!$AE1566=""),"",Sync!$AE1566)</f>
        <v/>
      </c>
      <c r="R1569">
        <f>IF($G1569="","",IF(Sync!$V1566="","0000",IF(AND(ISNUMBER(Sync!$V1566),Sync!$V1566&gt;=0,Sync!$V1566&lt;1),RIGHT("00"&amp;HOUR(Sync!$V1566),2)&amp;RIGHT("00"&amp;MINUTE(Sync!$V1566),2),IFERROR(RIGHT("00"&amp;VALUE(LEFT(Sync!$V1566,FIND(":",Sync!$V1566)-1)),2)&amp;RIGHT("00"&amp;VALUE(MID(Sync!$V1566,FIND(":",Sync!$V1566)+1,2)),2),"0000"))))</f>
        <v/>
      </c>
    </row>
    <row r="1570">
      <c r="A1570">
        <f>IF(Sync!$U1567="","",Sync!$U1567)</f>
        <v/>
      </c>
      <c r="B1570">
        <f>IF($A1570="","",IF(ISNUMBER($A1570),IF(AND($A1570&gt;=10000101,$A1570&lt;=99991231),INT($A1570/10000),""),IFERROR(VALUE(TRIM(LEFT($A1570,FIND("/",$A1570)-1))),"")))</f>
        <v/>
      </c>
      <c r="C1570">
        <f>IF(OR($A1570="",$B1570=""),"",IF(ISNUMBER($A1570),INT(MOD($A1570,10000)/100),IFERROR(VALUE(TRIM(LEFT(MID($A1570,FIND("/",$A1570)+1,20),FIND("/",MID($A1570,FIND("/",$A1570)+1,20))-1))),"")))</f>
        <v/>
      </c>
      <c r="D1570">
        <f>IF(OR($A1570="",$B1570=""),"",IF(ISNUMBER($A1570),MOD($A1570,100),IFERROR(VALUE(TRIM(MID(MID($A1570,FIND("/",$A1570)+1,20),FIND("/",MID($A1570,FIND("/",$A1570)+1,20))+1,20))),"")))</f>
        <v/>
      </c>
      <c r="E1570">
        <f>IF($A1570="","",IF(OR($B1570="",$C1570="",$D1570="",$B1570&lt;1300,$B1570&gt;1500,$C1570&lt;1,$C1570&gt;12,$D1570&lt;1,$D1570&gt;31),"نامعتبر",RIGHT("0000"&amp;$B1570,4)&amp;"/"&amp;RIGHT("00"&amp;$C1570,2)&amp;"/"&amp;RIGHT("00"&amp;$D1570,2)))</f>
        <v/>
      </c>
      <c r="F1570">
        <f>IF(OR($E1570="",$E1570="نامعتبر"),"",LEFT($E1570,4)&amp;"/"&amp;MID($E1570,6,2))</f>
        <v/>
      </c>
      <c r="G1570">
        <f>IF(OR($E1570="",$E1570="نامعتبر",Sync!$Y1567=""),"",Sync!$Y1567)</f>
        <v/>
      </c>
      <c r="H1570">
        <f>IF($G1570="","",IF(Sync!$X1567="","",Sync!$X1567))</f>
        <v/>
      </c>
      <c r="I1570">
        <f>IF($G1570="","",IFERROR(VLOOKUP(Sync!$X1567,OpTbl,3,0),""))</f>
        <v/>
      </c>
      <c r="J1570">
        <f>IF(OR($G1570="",Sync!$Z1567=""),"",Sync!$Z1567)</f>
        <v/>
      </c>
      <c r="K1570">
        <f>IF(OR($G1570="",Sync!$AA1567=""),"",Sync!$AA1567)</f>
        <v/>
      </c>
      <c r="L1570">
        <f>IF($G1570="",0,IF(Sync!$AB1567="",0,Sync!$AB1567))</f>
        <v/>
      </c>
      <c r="M1570">
        <f>IF($G1570="",0,IF(Sync!$AC1567="",0,Sync!$AC1567))</f>
        <v/>
      </c>
      <c r="N1570">
        <f>IF($G1570="","",IF($H1570="مرجوعی خرید",-1,1)*($L1570-$M1570*IFERROR(VLOOKUP("P01",ParamTbl,3,0),1.5))*(1-IF($I1570="خرید",IFERROR(VLOOKUP("P02",ParamTbl,3,0),1),0)/100))</f>
        <v/>
      </c>
      <c r="O1570">
        <f>IF($G1570="",0,IF($H1570="مرجوعی خرید",-1,1)*IF(Sync!$AD1567="",0,Sync!$AD1567))</f>
        <v/>
      </c>
      <c r="P1570">
        <f>IF(OR($G1570="",Sync!$W1567=""),"",Sync!$W1567)</f>
        <v/>
      </c>
      <c r="Q1570">
        <f>IF(OR($G1570="",Sync!$AE1567=""),"",Sync!$AE1567)</f>
        <v/>
      </c>
      <c r="R1570">
        <f>IF($G1570="","",IF(Sync!$V1567="","0000",IF(AND(ISNUMBER(Sync!$V1567),Sync!$V1567&gt;=0,Sync!$V1567&lt;1),RIGHT("00"&amp;HOUR(Sync!$V1567),2)&amp;RIGHT("00"&amp;MINUTE(Sync!$V1567),2),IFERROR(RIGHT("00"&amp;VALUE(LEFT(Sync!$V1567,FIND(":",Sync!$V1567)-1)),2)&amp;RIGHT("00"&amp;VALUE(MID(Sync!$V1567,FIND(":",Sync!$V1567)+1,2)),2),"0000"))))</f>
        <v/>
      </c>
    </row>
    <row r="1571">
      <c r="A1571">
        <f>IF(Sync!$U1568="","",Sync!$U1568)</f>
        <v/>
      </c>
      <c r="B1571">
        <f>IF($A1571="","",IF(ISNUMBER($A1571),IF(AND($A1571&gt;=10000101,$A1571&lt;=99991231),INT($A1571/10000),""),IFERROR(VALUE(TRIM(LEFT($A1571,FIND("/",$A1571)-1))),"")))</f>
        <v/>
      </c>
      <c r="C1571">
        <f>IF(OR($A1571="",$B1571=""),"",IF(ISNUMBER($A1571),INT(MOD($A1571,10000)/100),IFERROR(VALUE(TRIM(LEFT(MID($A1571,FIND("/",$A1571)+1,20),FIND("/",MID($A1571,FIND("/",$A1571)+1,20))-1))),"")))</f>
        <v/>
      </c>
      <c r="D1571">
        <f>IF(OR($A1571="",$B1571=""),"",IF(ISNUMBER($A1571),MOD($A1571,100),IFERROR(VALUE(TRIM(MID(MID($A1571,FIND("/",$A1571)+1,20),FIND("/",MID($A1571,FIND("/",$A1571)+1,20))+1,20))),"")))</f>
        <v/>
      </c>
      <c r="E1571">
        <f>IF($A1571="","",IF(OR($B1571="",$C1571="",$D1571="",$B1571&lt;1300,$B1571&gt;1500,$C1571&lt;1,$C1571&gt;12,$D1571&lt;1,$D1571&gt;31),"نامعتبر",RIGHT("0000"&amp;$B1571,4)&amp;"/"&amp;RIGHT("00"&amp;$C1571,2)&amp;"/"&amp;RIGHT("00"&amp;$D1571,2)))</f>
        <v/>
      </c>
      <c r="F1571">
        <f>IF(OR($E1571="",$E1571="نامعتبر"),"",LEFT($E1571,4)&amp;"/"&amp;MID($E1571,6,2))</f>
        <v/>
      </c>
      <c r="G1571">
        <f>IF(OR($E1571="",$E1571="نامعتبر",Sync!$Y1568=""),"",Sync!$Y1568)</f>
        <v/>
      </c>
      <c r="H1571">
        <f>IF($G1571="","",IF(Sync!$X1568="","",Sync!$X1568))</f>
        <v/>
      </c>
      <c r="I1571">
        <f>IF($G1571="","",IFERROR(VLOOKUP(Sync!$X1568,OpTbl,3,0),""))</f>
        <v/>
      </c>
      <c r="J1571">
        <f>IF(OR($G1571="",Sync!$Z1568=""),"",Sync!$Z1568)</f>
        <v/>
      </c>
      <c r="K1571">
        <f>IF(OR($G1571="",Sync!$AA1568=""),"",Sync!$AA1568)</f>
        <v/>
      </c>
      <c r="L1571">
        <f>IF($G1571="",0,IF(Sync!$AB1568="",0,Sync!$AB1568))</f>
        <v/>
      </c>
      <c r="M1571">
        <f>IF($G1571="",0,IF(Sync!$AC1568="",0,Sync!$AC1568))</f>
        <v/>
      </c>
      <c r="N1571">
        <f>IF($G1571="","",IF($H1571="مرجوعی خرید",-1,1)*($L1571-$M1571*IFERROR(VLOOKUP("P01",ParamTbl,3,0),1.5))*(1-IF($I1571="خرید",IFERROR(VLOOKUP("P02",ParamTbl,3,0),1),0)/100))</f>
        <v/>
      </c>
      <c r="O1571">
        <f>IF($G1571="",0,IF($H1571="مرجوعی خرید",-1,1)*IF(Sync!$AD1568="",0,Sync!$AD1568))</f>
        <v/>
      </c>
      <c r="P1571">
        <f>IF(OR($G1571="",Sync!$W1568=""),"",Sync!$W1568)</f>
        <v/>
      </c>
      <c r="Q1571">
        <f>IF(OR($G1571="",Sync!$AE1568=""),"",Sync!$AE1568)</f>
        <v/>
      </c>
      <c r="R1571">
        <f>IF($G1571="","",IF(Sync!$V1568="","0000",IF(AND(ISNUMBER(Sync!$V1568),Sync!$V1568&gt;=0,Sync!$V1568&lt;1),RIGHT("00"&amp;HOUR(Sync!$V1568),2)&amp;RIGHT("00"&amp;MINUTE(Sync!$V1568),2),IFERROR(RIGHT("00"&amp;VALUE(LEFT(Sync!$V1568,FIND(":",Sync!$V1568)-1)),2)&amp;RIGHT("00"&amp;VALUE(MID(Sync!$V1568,FIND(":",Sync!$V1568)+1,2)),2),"0000"))))</f>
        <v/>
      </c>
    </row>
    <row r="1572">
      <c r="A1572">
        <f>IF(Sync!$U1569="","",Sync!$U1569)</f>
        <v/>
      </c>
      <c r="B1572">
        <f>IF($A1572="","",IF(ISNUMBER($A1572),IF(AND($A1572&gt;=10000101,$A1572&lt;=99991231),INT($A1572/10000),""),IFERROR(VALUE(TRIM(LEFT($A1572,FIND("/",$A1572)-1))),"")))</f>
        <v/>
      </c>
      <c r="C1572">
        <f>IF(OR($A1572="",$B1572=""),"",IF(ISNUMBER($A1572),INT(MOD($A1572,10000)/100),IFERROR(VALUE(TRIM(LEFT(MID($A1572,FIND("/",$A1572)+1,20),FIND("/",MID($A1572,FIND("/",$A1572)+1,20))-1))),"")))</f>
        <v/>
      </c>
      <c r="D1572">
        <f>IF(OR($A1572="",$B1572=""),"",IF(ISNUMBER($A1572),MOD($A1572,100),IFERROR(VALUE(TRIM(MID(MID($A1572,FIND("/",$A1572)+1,20),FIND("/",MID($A1572,FIND("/",$A1572)+1,20))+1,20))),"")))</f>
        <v/>
      </c>
      <c r="E1572">
        <f>IF($A1572="","",IF(OR($B1572="",$C1572="",$D1572="",$B1572&lt;1300,$B1572&gt;1500,$C1572&lt;1,$C1572&gt;12,$D1572&lt;1,$D1572&gt;31),"نامعتبر",RIGHT("0000"&amp;$B1572,4)&amp;"/"&amp;RIGHT("00"&amp;$C1572,2)&amp;"/"&amp;RIGHT("00"&amp;$D1572,2)))</f>
        <v/>
      </c>
      <c r="F1572">
        <f>IF(OR($E1572="",$E1572="نامعتبر"),"",LEFT($E1572,4)&amp;"/"&amp;MID($E1572,6,2))</f>
        <v/>
      </c>
      <c r="G1572">
        <f>IF(OR($E1572="",$E1572="نامعتبر",Sync!$Y1569=""),"",Sync!$Y1569)</f>
        <v/>
      </c>
      <c r="H1572">
        <f>IF($G1572="","",IF(Sync!$X1569="","",Sync!$X1569))</f>
        <v/>
      </c>
      <c r="I1572">
        <f>IF($G1572="","",IFERROR(VLOOKUP(Sync!$X1569,OpTbl,3,0),""))</f>
        <v/>
      </c>
      <c r="J1572">
        <f>IF(OR($G1572="",Sync!$Z1569=""),"",Sync!$Z1569)</f>
        <v/>
      </c>
      <c r="K1572">
        <f>IF(OR($G1572="",Sync!$AA1569=""),"",Sync!$AA1569)</f>
        <v/>
      </c>
      <c r="L1572">
        <f>IF($G1572="",0,IF(Sync!$AB1569="",0,Sync!$AB1569))</f>
        <v/>
      </c>
      <c r="M1572">
        <f>IF($G1572="",0,IF(Sync!$AC1569="",0,Sync!$AC1569))</f>
        <v/>
      </c>
      <c r="N1572">
        <f>IF($G1572="","",IF($H1572="مرجوعی خرید",-1,1)*($L1572-$M1572*IFERROR(VLOOKUP("P01",ParamTbl,3,0),1.5))*(1-IF($I1572="خرید",IFERROR(VLOOKUP("P02",ParamTbl,3,0),1),0)/100))</f>
        <v/>
      </c>
      <c r="O1572">
        <f>IF($G1572="",0,IF($H1572="مرجوعی خرید",-1,1)*IF(Sync!$AD1569="",0,Sync!$AD1569))</f>
        <v/>
      </c>
      <c r="P1572">
        <f>IF(OR($G1572="",Sync!$W1569=""),"",Sync!$W1569)</f>
        <v/>
      </c>
      <c r="Q1572">
        <f>IF(OR($G1572="",Sync!$AE1569=""),"",Sync!$AE1569)</f>
        <v/>
      </c>
      <c r="R1572">
        <f>IF($G1572="","",IF(Sync!$V1569="","0000",IF(AND(ISNUMBER(Sync!$V1569),Sync!$V1569&gt;=0,Sync!$V1569&lt;1),RIGHT("00"&amp;HOUR(Sync!$V1569),2)&amp;RIGHT("00"&amp;MINUTE(Sync!$V1569),2),IFERROR(RIGHT("00"&amp;VALUE(LEFT(Sync!$V1569,FIND(":",Sync!$V1569)-1)),2)&amp;RIGHT("00"&amp;VALUE(MID(Sync!$V1569,FIND(":",Sync!$V1569)+1,2)),2),"0000"))))</f>
        <v/>
      </c>
    </row>
    <row r="1573">
      <c r="A1573">
        <f>IF(Sync!$U1570="","",Sync!$U1570)</f>
        <v/>
      </c>
      <c r="B1573">
        <f>IF($A1573="","",IF(ISNUMBER($A1573),IF(AND($A1573&gt;=10000101,$A1573&lt;=99991231),INT($A1573/10000),""),IFERROR(VALUE(TRIM(LEFT($A1573,FIND("/",$A1573)-1))),"")))</f>
        <v/>
      </c>
      <c r="C1573">
        <f>IF(OR($A1573="",$B1573=""),"",IF(ISNUMBER($A1573),INT(MOD($A1573,10000)/100),IFERROR(VALUE(TRIM(LEFT(MID($A1573,FIND("/",$A1573)+1,20),FIND("/",MID($A1573,FIND("/",$A1573)+1,20))-1))),"")))</f>
        <v/>
      </c>
      <c r="D1573">
        <f>IF(OR($A1573="",$B1573=""),"",IF(ISNUMBER($A1573),MOD($A1573,100),IFERROR(VALUE(TRIM(MID(MID($A1573,FIND("/",$A1573)+1,20),FIND("/",MID($A1573,FIND("/",$A1573)+1,20))+1,20))),"")))</f>
        <v/>
      </c>
      <c r="E1573">
        <f>IF($A1573="","",IF(OR($B1573="",$C1573="",$D1573="",$B1573&lt;1300,$B1573&gt;1500,$C1573&lt;1,$C1573&gt;12,$D1573&lt;1,$D1573&gt;31),"نامعتبر",RIGHT("0000"&amp;$B1573,4)&amp;"/"&amp;RIGHT("00"&amp;$C1573,2)&amp;"/"&amp;RIGHT("00"&amp;$D1573,2)))</f>
        <v/>
      </c>
      <c r="F1573">
        <f>IF(OR($E1573="",$E1573="نامعتبر"),"",LEFT($E1573,4)&amp;"/"&amp;MID($E1573,6,2))</f>
        <v/>
      </c>
      <c r="G1573">
        <f>IF(OR($E1573="",$E1573="نامعتبر",Sync!$Y1570=""),"",Sync!$Y1570)</f>
        <v/>
      </c>
      <c r="H1573">
        <f>IF($G1573="","",IF(Sync!$X1570="","",Sync!$X1570))</f>
        <v/>
      </c>
      <c r="I1573">
        <f>IF($G1573="","",IFERROR(VLOOKUP(Sync!$X1570,OpTbl,3,0),""))</f>
        <v/>
      </c>
      <c r="J1573">
        <f>IF(OR($G1573="",Sync!$Z1570=""),"",Sync!$Z1570)</f>
        <v/>
      </c>
      <c r="K1573">
        <f>IF(OR($G1573="",Sync!$AA1570=""),"",Sync!$AA1570)</f>
        <v/>
      </c>
      <c r="L1573">
        <f>IF($G1573="",0,IF(Sync!$AB1570="",0,Sync!$AB1570))</f>
        <v/>
      </c>
      <c r="M1573">
        <f>IF($G1573="",0,IF(Sync!$AC1570="",0,Sync!$AC1570))</f>
        <v/>
      </c>
      <c r="N1573">
        <f>IF($G1573="","",IF($H1573="مرجوعی خرید",-1,1)*($L1573-$M1573*IFERROR(VLOOKUP("P01",ParamTbl,3,0),1.5))*(1-IF($I1573="خرید",IFERROR(VLOOKUP("P02",ParamTbl,3,0),1),0)/100))</f>
        <v/>
      </c>
      <c r="O1573">
        <f>IF($G1573="",0,IF($H1573="مرجوعی خرید",-1,1)*IF(Sync!$AD1570="",0,Sync!$AD1570))</f>
        <v/>
      </c>
      <c r="P1573">
        <f>IF(OR($G1573="",Sync!$W1570=""),"",Sync!$W1570)</f>
        <v/>
      </c>
      <c r="Q1573">
        <f>IF(OR($G1573="",Sync!$AE1570=""),"",Sync!$AE1570)</f>
        <v/>
      </c>
      <c r="R1573">
        <f>IF($G1573="","",IF(Sync!$V1570="","0000",IF(AND(ISNUMBER(Sync!$V1570),Sync!$V1570&gt;=0,Sync!$V1570&lt;1),RIGHT("00"&amp;HOUR(Sync!$V1570),2)&amp;RIGHT("00"&amp;MINUTE(Sync!$V1570),2),IFERROR(RIGHT("00"&amp;VALUE(LEFT(Sync!$V1570,FIND(":",Sync!$V1570)-1)),2)&amp;RIGHT("00"&amp;VALUE(MID(Sync!$V1570,FIND(":",Sync!$V1570)+1,2)),2),"0000"))))</f>
        <v/>
      </c>
    </row>
    <row r="1574">
      <c r="A1574">
        <f>IF(Sync!$U1571="","",Sync!$U1571)</f>
        <v/>
      </c>
      <c r="B1574">
        <f>IF($A1574="","",IF(ISNUMBER($A1574),IF(AND($A1574&gt;=10000101,$A1574&lt;=99991231),INT($A1574/10000),""),IFERROR(VALUE(TRIM(LEFT($A1574,FIND("/",$A1574)-1))),"")))</f>
        <v/>
      </c>
      <c r="C1574">
        <f>IF(OR($A1574="",$B1574=""),"",IF(ISNUMBER($A1574),INT(MOD($A1574,10000)/100),IFERROR(VALUE(TRIM(LEFT(MID($A1574,FIND("/",$A1574)+1,20),FIND("/",MID($A1574,FIND("/",$A1574)+1,20))-1))),"")))</f>
        <v/>
      </c>
      <c r="D1574">
        <f>IF(OR($A1574="",$B1574=""),"",IF(ISNUMBER($A1574),MOD($A1574,100),IFERROR(VALUE(TRIM(MID(MID($A1574,FIND("/",$A1574)+1,20),FIND("/",MID($A1574,FIND("/",$A1574)+1,20))+1,20))),"")))</f>
        <v/>
      </c>
      <c r="E1574">
        <f>IF($A1574="","",IF(OR($B1574="",$C1574="",$D1574="",$B1574&lt;1300,$B1574&gt;1500,$C1574&lt;1,$C1574&gt;12,$D1574&lt;1,$D1574&gt;31),"نامعتبر",RIGHT("0000"&amp;$B1574,4)&amp;"/"&amp;RIGHT("00"&amp;$C1574,2)&amp;"/"&amp;RIGHT("00"&amp;$D1574,2)))</f>
        <v/>
      </c>
      <c r="F1574">
        <f>IF(OR($E1574="",$E1574="نامعتبر"),"",LEFT($E1574,4)&amp;"/"&amp;MID($E1574,6,2))</f>
        <v/>
      </c>
      <c r="G1574">
        <f>IF(OR($E1574="",$E1574="نامعتبر",Sync!$Y1571=""),"",Sync!$Y1571)</f>
        <v/>
      </c>
      <c r="H1574">
        <f>IF($G1574="","",IF(Sync!$X1571="","",Sync!$X1571))</f>
        <v/>
      </c>
      <c r="I1574">
        <f>IF($G1574="","",IFERROR(VLOOKUP(Sync!$X1571,OpTbl,3,0),""))</f>
        <v/>
      </c>
      <c r="J1574">
        <f>IF(OR($G1574="",Sync!$Z1571=""),"",Sync!$Z1571)</f>
        <v/>
      </c>
      <c r="K1574">
        <f>IF(OR($G1574="",Sync!$AA1571=""),"",Sync!$AA1571)</f>
        <v/>
      </c>
      <c r="L1574">
        <f>IF($G1574="",0,IF(Sync!$AB1571="",0,Sync!$AB1571))</f>
        <v/>
      </c>
      <c r="M1574">
        <f>IF($G1574="",0,IF(Sync!$AC1571="",0,Sync!$AC1571))</f>
        <v/>
      </c>
      <c r="N1574">
        <f>IF($G1574="","",IF($H1574="مرجوعی خرید",-1,1)*($L1574-$M1574*IFERROR(VLOOKUP("P01",ParamTbl,3,0),1.5))*(1-IF($I1574="خرید",IFERROR(VLOOKUP("P02",ParamTbl,3,0),1),0)/100))</f>
        <v/>
      </c>
      <c r="O1574">
        <f>IF($G1574="",0,IF($H1574="مرجوعی خرید",-1,1)*IF(Sync!$AD1571="",0,Sync!$AD1571))</f>
        <v/>
      </c>
      <c r="P1574">
        <f>IF(OR($G1574="",Sync!$W1571=""),"",Sync!$W1571)</f>
        <v/>
      </c>
      <c r="Q1574">
        <f>IF(OR($G1574="",Sync!$AE1571=""),"",Sync!$AE1571)</f>
        <v/>
      </c>
      <c r="R1574">
        <f>IF($G1574="","",IF(Sync!$V1571="","0000",IF(AND(ISNUMBER(Sync!$V1571),Sync!$V1571&gt;=0,Sync!$V1571&lt;1),RIGHT("00"&amp;HOUR(Sync!$V1571),2)&amp;RIGHT("00"&amp;MINUTE(Sync!$V1571),2),IFERROR(RIGHT("00"&amp;VALUE(LEFT(Sync!$V1571,FIND(":",Sync!$V1571)-1)),2)&amp;RIGHT("00"&amp;VALUE(MID(Sync!$V1571,FIND(":",Sync!$V1571)+1,2)),2),"0000"))))</f>
        <v/>
      </c>
    </row>
    <row r="1575">
      <c r="A1575">
        <f>IF(Sync!$U1572="","",Sync!$U1572)</f>
        <v/>
      </c>
      <c r="B1575">
        <f>IF($A1575="","",IF(ISNUMBER($A1575),IF(AND($A1575&gt;=10000101,$A1575&lt;=99991231),INT($A1575/10000),""),IFERROR(VALUE(TRIM(LEFT($A1575,FIND("/",$A1575)-1))),"")))</f>
        <v/>
      </c>
      <c r="C1575">
        <f>IF(OR($A1575="",$B1575=""),"",IF(ISNUMBER($A1575),INT(MOD($A1575,10000)/100),IFERROR(VALUE(TRIM(LEFT(MID($A1575,FIND("/",$A1575)+1,20),FIND("/",MID($A1575,FIND("/",$A1575)+1,20))-1))),"")))</f>
        <v/>
      </c>
      <c r="D1575">
        <f>IF(OR($A1575="",$B1575=""),"",IF(ISNUMBER($A1575),MOD($A1575,100),IFERROR(VALUE(TRIM(MID(MID($A1575,FIND("/",$A1575)+1,20),FIND("/",MID($A1575,FIND("/",$A1575)+1,20))+1,20))),"")))</f>
        <v/>
      </c>
      <c r="E1575">
        <f>IF($A1575="","",IF(OR($B1575="",$C1575="",$D1575="",$B1575&lt;1300,$B1575&gt;1500,$C1575&lt;1,$C1575&gt;12,$D1575&lt;1,$D1575&gt;31),"نامعتبر",RIGHT("0000"&amp;$B1575,4)&amp;"/"&amp;RIGHT("00"&amp;$C1575,2)&amp;"/"&amp;RIGHT("00"&amp;$D1575,2)))</f>
        <v/>
      </c>
      <c r="F1575">
        <f>IF(OR($E1575="",$E1575="نامعتبر"),"",LEFT($E1575,4)&amp;"/"&amp;MID($E1575,6,2))</f>
        <v/>
      </c>
      <c r="G1575">
        <f>IF(OR($E1575="",$E1575="نامعتبر",Sync!$Y1572=""),"",Sync!$Y1572)</f>
        <v/>
      </c>
      <c r="H1575">
        <f>IF($G1575="","",IF(Sync!$X1572="","",Sync!$X1572))</f>
        <v/>
      </c>
      <c r="I1575">
        <f>IF($G1575="","",IFERROR(VLOOKUP(Sync!$X1572,OpTbl,3,0),""))</f>
        <v/>
      </c>
      <c r="J1575">
        <f>IF(OR($G1575="",Sync!$Z1572=""),"",Sync!$Z1572)</f>
        <v/>
      </c>
      <c r="K1575">
        <f>IF(OR($G1575="",Sync!$AA1572=""),"",Sync!$AA1572)</f>
        <v/>
      </c>
      <c r="L1575">
        <f>IF($G1575="",0,IF(Sync!$AB1572="",0,Sync!$AB1572))</f>
        <v/>
      </c>
      <c r="M1575">
        <f>IF($G1575="",0,IF(Sync!$AC1572="",0,Sync!$AC1572))</f>
        <v/>
      </c>
      <c r="N1575">
        <f>IF($G1575="","",IF($H1575="مرجوعی خرید",-1,1)*($L1575-$M1575*IFERROR(VLOOKUP("P01",ParamTbl,3,0),1.5))*(1-IF($I1575="خرید",IFERROR(VLOOKUP("P02",ParamTbl,3,0),1),0)/100))</f>
        <v/>
      </c>
      <c r="O1575">
        <f>IF($G1575="",0,IF($H1575="مرجوعی خرید",-1,1)*IF(Sync!$AD1572="",0,Sync!$AD1572))</f>
        <v/>
      </c>
      <c r="P1575">
        <f>IF(OR($G1575="",Sync!$W1572=""),"",Sync!$W1572)</f>
        <v/>
      </c>
      <c r="Q1575">
        <f>IF(OR($G1575="",Sync!$AE1572=""),"",Sync!$AE1572)</f>
        <v/>
      </c>
      <c r="R1575">
        <f>IF($G1575="","",IF(Sync!$V1572="","0000",IF(AND(ISNUMBER(Sync!$V1572),Sync!$V1572&gt;=0,Sync!$V1572&lt;1),RIGHT("00"&amp;HOUR(Sync!$V1572),2)&amp;RIGHT("00"&amp;MINUTE(Sync!$V1572),2),IFERROR(RIGHT("00"&amp;VALUE(LEFT(Sync!$V1572,FIND(":",Sync!$V1572)-1)),2)&amp;RIGHT("00"&amp;VALUE(MID(Sync!$V1572,FIND(":",Sync!$V1572)+1,2)),2),"0000"))))</f>
        <v/>
      </c>
    </row>
    <row r="1576">
      <c r="A1576">
        <f>IF(Sync!$U1573="","",Sync!$U1573)</f>
        <v/>
      </c>
      <c r="B1576">
        <f>IF($A1576="","",IF(ISNUMBER($A1576),IF(AND($A1576&gt;=10000101,$A1576&lt;=99991231),INT($A1576/10000),""),IFERROR(VALUE(TRIM(LEFT($A1576,FIND("/",$A1576)-1))),"")))</f>
        <v/>
      </c>
      <c r="C1576">
        <f>IF(OR($A1576="",$B1576=""),"",IF(ISNUMBER($A1576),INT(MOD($A1576,10000)/100),IFERROR(VALUE(TRIM(LEFT(MID($A1576,FIND("/",$A1576)+1,20),FIND("/",MID($A1576,FIND("/",$A1576)+1,20))-1))),"")))</f>
        <v/>
      </c>
      <c r="D1576">
        <f>IF(OR($A1576="",$B1576=""),"",IF(ISNUMBER($A1576),MOD($A1576,100),IFERROR(VALUE(TRIM(MID(MID($A1576,FIND("/",$A1576)+1,20),FIND("/",MID($A1576,FIND("/",$A1576)+1,20))+1,20))),"")))</f>
        <v/>
      </c>
      <c r="E1576">
        <f>IF($A1576="","",IF(OR($B1576="",$C1576="",$D1576="",$B1576&lt;1300,$B1576&gt;1500,$C1576&lt;1,$C1576&gt;12,$D1576&lt;1,$D1576&gt;31),"نامعتبر",RIGHT("0000"&amp;$B1576,4)&amp;"/"&amp;RIGHT("00"&amp;$C1576,2)&amp;"/"&amp;RIGHT("00"&amp;$D1576,2)))</f>
        <v/>
      </c>
      <c r="F1576">
        <f>IF(OR($E1576="",$E1576="نامعتبر"),"",LEFT($E1576,4)&amp;"/"&amp;MID($E1576,6,2))</f>
        <v/>
      </c>
      <c r="G1576">
        <f>IF(OR($E1576="",$E1576="نامعتبر",Sync!$Y1573=""),"",Sync!$Y1573)</f>
        <v/>
      </c>
      <c r="H1576">
        <f>IF($G1576="","",IF(Sync!$X1573="","",Sync!$X1573))</f>
        <v/>
      </c>
      <c r="I1576">
        <f>IF($G1576="","",IFERROR(VLOOKUP(Sync!$X1573,OpTbl,3,0),""))</f>
        <v/>
      </c>
      <c r="J1576">
        <f>IF(OR($G1576="",Sync!$Z1573=""),"",Sync!$Z1573)</f>
        <v/>
      </c>
      <c r="K1576">
        <f>IF(OR($G1576="",Sync!$AA1573=""),"",Sync!$AA1573)</f>
        <v/>
      </c>
      <c r="L1576">
        <f>IF($G1576="",0,IF(Sync!$AB1573="",0,Sync!$AB1573))</f>
        <v/>
      </c>
      <c r="M1576">
        <f>IF($G1576="",0,IF(Sync!$AC1573="",0,Sync!$AC1573))</f>
        <v/>
      </c>
      <c r="N1576">
        <f>IF($G1576="","",IF($H1576="مرجوعی خرید",-1,1)*($L1576-$M1576*IFERROR(VLOOKUP("P01",ParamTbl,3,0),1.5))*(1-IF($I1576="خرید",IFERROR(VLOOKUP("P02",ParamTbl,3,0),1),0)/100))</f>
        <v/>
      </c>
      <c r="O1576">
        <f>IF($G1576="",0,IF($H1576="مرجوعی خرید",-1,1)*IF(Sync!$AD1573="",0,Sync!$AD1573))</f>
        <v/>
      </c>
      <c r="P1576">
        <f>IF(OR($G1576="",Sync!$W1573=""),"",Sync!$W1573)</f>
        <v/>
      </c>
      <c r="Q1576">
        <f>IF(OR($G1576="",Sync!$AE1573=""),"",Sync!$AE1573)</f>
        <v/>
      </c>
      <c r="R1576">
        <f>IF($G1576="","",IF(Sync!$V1573="","0000",IF(AND(ISNUMBER(Sync!$V1573),Sync!$V1573&gt;=0,Sync!$V1573&lt;1),RIGHT("00"&amp;HOUR(Sync!$V1573),2)&amp;RIGHT("00"&amp;MINUTE(Sync!$V1573),2),IFERROR(RIGHT("00"&amp;VALUE(LEFT(Sync!$V1573,FIND(":",Sync!$V1573)-1)),2)&amp;RIGHT("00"&amp;VALUE(MID(Sync!$V1573,FIND(":",Sync!$V1573)+1,2)),2),"0000"))))</f>
        <v/>
      </c>
    </row>
    <row r="1577">
      <c r="A1577">
        <f>IF(Sync!$U1574="","",Sync!$U1574)</f>
        <v/>
      </c>
      <c r="B1577">
        <f>IF($A1577="","",IF(ISNUMBER($A1577),IF(AND($A1577&gt;=10000101,$A1577&lt;=99991231),INT($A1577/10000),""),IFERROR(VALUE(TRIM(LEFT($A1577,FIND("/",$A1577)-1))),"")))</f>
        <v/>
      </c>
      <c r="C1577">
        <f>IF(OR($A1577="",$B1577=""),"",IF(ISNUMBER($A1577),INT(MOD($A1577,10000)/100),IFERROR(VALUE(TRIM(LEFT(MID($A1577,FIND("/",$A1577)+1,20),FIND("/",MID($A1577,FIND("/",$A1577)+1,20))-1))),"")))</f>
        <v/>
      </c>
      <c r="D1577">
        <f>IF(OR($A1577="",$B1577=""),"",IF(ISNUMBER($A1577),MOD($A1577,100),IFERROR(VALUE(TRIM(MID(MID($A1577,FIND("/",$A1577)+1,20),FIND("/",MID($A1577,FIND("/",$A1577)+1,20))+1,20))),"")))</f>
        <v/>
      </c>
      <c r="E1577">
        <f>IF($A1577="","",IF(OR($B1577="",$C1577="",$D1577="",$B1577&lt;1300,$B1577&gt;1500,$C1577&lt;1,$C1577&gt;12,$D1577&lt;1,$D1577&gt;31),"نامعتبر",RIGHT("0000"&amp;$B1577,4)&amp;"/"&amp;RIGHT("00"&amp;$C1577,2)&amp;"/"&amp;RIGHT("00"&amp;$D1577,2)))</f>
        <v/>
      </c>
      <c r="F1577">
        <f>IF(OR($E1577="",$E1577="نامعتبر"),"",LEFT($E1577,4)&amp;"/"&amp;MID($E1577,6,2))</f>
        <v/>
      </c>
      <c r="G1577">
        <f>IF(OR($E1577="",$E1577="نامعتبر",Sync!$Y1574=""),"",Sync!$Y1574)</f>
        <v/>
      </c>
      <c r="H1577">
        <f>IF($G1577="","",IF(Sync!$X1574="","",Sync!$X1574))</f>
        <v/>
      </c>
      <c r="I1577">
        <f>IF($G1577="","",IFERROR(VLOOKUP(Sync!$X1574,OpTbl,3,0),""))</f>
        <v/>
      </c>
      <c r="J1577">
        <f>IF(OR($G1577="",Sync!$Z1574=""),"",Sync!$Z1574)</f>
        <v/>
      </c>
      <c r="K1577">
        <f>IF(OR($G1577="",Sync!$AA1574=""),"",Sync!$AA1574)</f>
        <v/>
      </c>
      <c r="L1577">
        <f>IF($G1577="",0,IF(Sync!$AB1574="",0,Sync!$AB1574))</f>
        <v/>
      </c>
      <c r="M1577">
        <f>IF($G1577="",0,IF(Sync!$AC1574="",0,Sync!$AC1574))</f>
        <v/>
      </c>
      <c r="N1577">
        <f>IF($G1577="","",IF($H1577="مرجوعی خرید",-1,1)*($L1577-$M1577*IFERROR(VLOOKUP("P01",ParamTbl,3,0),1.5))*(1-IF($I1577="خرید",IFERROR(VLOOKUP("P02",ParamTbl,3,0),1),0)/100))</f>
        <v/>
      </c>
      <c r="O1577">
        <f>IF($G1577="",0,IF($H1577="مرجوعی خرید",-1,1)*IF(Sync!$AD1574="",0,Sync!$AD1574))</f>
        <v/>
      </c>
      <c r="P1577">
        <f>IF(OR($G1577="",Sync!$W1574=""),"",Sync!$W1574)</f>
        <v/>
      </c>
      <c r="Q1577">
        <f>IF(OR($G1577="",Sync!$AE1574=""),"",Sync!$AE1574)</f>
        <v/>
      </c>
      <c r="R1577">
        <f>IF($G1577="","",IF(Sync!$V1574="","0000",IF(AND(ISNUMBER(Sync!$V1574),Sync!$V1574&gt;=0,Sync!$V1574&lt;1),RIGHT("00"&amp;HOUR(Sync!$V1574),2)&amp;RIGHT("00"&amp;MINUTE(Sync!$V1574),2),IFERROR(RIGHT("00"&amp;VALUE(LEFT(Sync!$V1574,FIND(":",Sync!$V1574)-1)),2)&amp;RIGHT("00"&amp;VALUE(MID(Sync!$V1574,FIND(":",Sync!$V1574)+1,2)),2),"0000"))))</f>
        <v/>
      </c>
    </row>
    <row r="1578">
      <c r="A1578">
        <f>IF(Sync!$U1575="","",Sync!$U1575)</f>
        <v/>
      </c>
      <c r="B1578">
        <f>IF($A1578="","",IF(ISNUMBER($A1578),IF(AND($A1578&gt;=10000101,$A1578&lt;=99991231),INT($A1578/10000),""),IFERROR(VALUE(TRIM(LEFT($A1578,FIND("/",$A1578)-1))),"")))</f>
        <v/>
      </c>
      <c r="C1578">
        <f>IF(OR($A1578="",$B1578=""),"",IF(ISNUMBER($A1578),INT(MOD($A1578,10000)/100),IFERROR(VALUE(TRIM(LEFT(MID($A1578,FIND("/",$A1578)+1,20),FIND("/",MID($A1578,FIND("/",$A1578)+1,20))-1))),"")))</f>
        <v/>
      </c>
      <c r="D1578">
        <f>IF(OR($A1578="",$B1578=""),"",IF(ISNUMBER($A1578),MOD($A1578,100),IFERROR(VALUE(TRIM(MID(MID($A1578,FIND("/",$A1578)+1,20),FIND("/",MID($A1578,FIND("/",$A1578)+1,20))+1,20))),"")))</f>
        <v/>
      </c>
      <c r="E1578">
        <f>IF($A1578="","",IF(OR($B1578="",$C1578="",$D1578="",$B1578&lt;1300,$B1578&gt;1500,$C1578&lt;1,$C1578&gt;12,$D1578&lt;1,$D1578&gt;31),"نامعتبر",RIGHT("0000"&amp;$B1578,4)&amp;"/"&amp;RIGHT("00"&amp;$C1578,2)&amp;"/"&amp;RIGHT("00"&amp;$D1578,2)))</f>
        <v/>
      </c>
      <c r="F1578">
        <f>IF(OR($E1578="",$E1578="نامعتبر"),"",LEFT($E1578,4)&amp;"/"&amp;MID($E1578,6,2))</f>
        <v/>
      </c>
      <c r="G1578">
        <f>IF(OR($E1578="",$E1578="نامعتبر",Sync!$Y1575=""),"",Sync!$Y1575)</f>
        <v/>
      </c>
      <c r="H1578">
        <f>IF($G1578="","",IF(Sync!$X1575="","",Sync!$X1575))</f>
        <v/>
      </c>
      <c r="I1578">
        <f>IF($G1578="","",IFERROR(VLOOKUP(Sync!$X1575,OpTbl,3,0),""))</f>
        <v/>
      </c>
      <c r="J1578">
        <f>IF(OR($G1578="",Sync!$Z1575=""),"",Sync!$Z1575)</f>
        <v/>
      </c>
      <c r="K1578">
        <f>IF(OR($G1578="",Sync!$AA1575=""),"",Sync!$AA1575)</f>
        <v/>
      </c>
      <c r="L1578">
        <f>IF($G1578="",0,IF(Sync!$AB1575="",0,Sync!$AB1575))</f>
        <v/>
      </c>
      <c r="M1578">
        <f>IF($G1578="",0,IF(Sync!$AC1575="",0,Sync!$AC1575))</f>
        <v/>
      </c>
      <c r="N1578">
        <f>IF($G1578="","",IF($H1578="مرجوعی خرید",-1,1)*($L1578-$M1578*IFERROR(VLOOKUP("P01",ParamTbl,3,0),1.5))*(1-IF($I1578="خرید",IFERROR(VLOOKUP("P02",ParamTbl,3,0),1),0)/100))</f>
        <v/>
      </c>
      <c r="O1578">
        <f>IF($G1578="",0,IF($H1578="مرجوعی خرید",-1,1)*IF(Sync!$AD1575="",0,Sync!$AD1575))</f>
        <v/>
      </c>
      <c r="P1578">
        <f>IF(OR($G1578="",Sync!$W1575=""),"",Sync!$W1575)</f>
        <v/>
      </c>
      <c r="Q1578">
        <f>IF(OR($G1578="",Sync!$AE1575=""),"",Sync!$AE1575)</f>
        <v/>
      </c>
      <c r="R1578">
        <f>IF($G1578="","",IF(Sync!$V1575="","0000",IF(AND(ISNUMBER(Sync!$V1575),Sync!$V1575&gt;=0,Sync!$V1575&lt;1),RIGHT("00"&amp;HOUR(Sync!$V1575),2)&amp;RIGHT("00"&amp;MINUTE(Sync!$V1575),2),IFERROR(RIGHT("00"&amp;VALUE(LEFT(Sync!$V1575,FIND(":",Sync!$V1575)-1)),2)&amp;RIGHT("00"&amp;VALUE(MID(Sync!$V1575,FIND(":",Sync!$V1575)+1,2)),2),"0000"))))</f>
        <v/>
      </c>
    </row>
    <row r="1579">
      <c r="A1579">
        <f>IF(Sync!$U1576="","",Sync!$U1576)</f>
        <v/>
      </c>
      <c r="B1579">
        <f>IF($A1579="","",IF(ISNUMBER($A1579),IF(AND($A1579&gt;=10000101,$A1579&lt;=99991231),INT($A1579/10000),""),IFERROR(VALUE(TRIM(LEFT($A1579,FIND("/",$A1579)-1))),"")))</f>
        <v/>
      </c>
      <c r="C1579">
        <f>IF(OR($A1579="",$B1579=""),"",IF(ISNUMBER($A1579),INT(MOD($A1579,10000)/100),IFERROR(VALUE(TRIM(LEFT(MID($A1579,FIND("/",$A1579)+1,20),FIND("/",MID($A1579,FIND("/",$A1579)+1,20))-1))),"")))</f>
        <v/>
      </c>
      <c r="D1579">
        <f>IF(OR($A1579="",$B1579=""),"",IF(ISNUMBER($A1579),MOD($A1579,100),IFERROR(VALUE(TRIM(MID(MID($A1579,FIND("/",$A1579)+1,20),FIND("/",MID($A1579,FIND("/",$A1579)+1,20))+1,20))),"")))</f>
        <v/>
      </c>
      <c r="E1579">
        <f>IF($A1579="","",IF(OR($B1579="",$C1579="",$D1579="",$B1579&lt;1300,$B1579&gt;1500,$C1579&lt;1,$C1579&gt;12,$D1579&lt;1,$D1579&gt;31),"نامعتبر",RIGHT("0000"&amp;$B1579,4)&amp;"/"&amp;RIGHT("00"&amp;$C1579,2)&amp;"/"&amp;RIGHT("00"&amp;$D1579,2)))</f>
        <v/>
      </c>
      <c r="F1579">
        <f>IF(OR($E1579="",$E1579="نامعتبر"),"",LEFT($E1579,4)&amp;"/"&amp;MID($E1579,6,2))</f>
        <v/>
      </c>
      <c r="G1579">
        <f>IF(OR($E1579="",$E1579="نامعتبر",Sync!$Y1576=""),"",Sync!$Y1576)</f>
        <v/>
      </c>
      <c r="H1579">
        <f>IF($G1579="","",IF(Sync!$X1576="","",Sync!$X1576))</f>
        <v/>
      </c>
      <c r="I1579">
        <f>IF($G1579="","",IFERROR(VLOOKUP(Sync!$X1576,OpTbl,3,0),""))</f>
        <v/>
      </c>
      <c r="J1579">
        <f>IF(OR($G1579="",Sync!$Z1576=""),"",Sync!$Z1576)</f>
        <v/>
      </c>
      <c r="K1579">
        <f>IF(OR($G1579="",Sync!$AA1576=""),"",Sync!$AA1576)</f>
        <v/>
      </c>
      <c r="L1579">
        <f>IF($G1579="",0,IF(Sync!$AB1576="",0,Sync!$AB1576))</f>
        <v/>
      </c>
      <c r="M1579">
        <f>IF($G1579="",0,IF(Sync!$AC1576="",0,Sync!$AC1576))</f>
        <v/>
      </c>
      <c r="N1579">
        <f>IF($G1579="","",IF($H1579="مرجوعی خرید",-1,1)*($L1579-$M1579*IFERROR(VLOOKUP("P01",ParamTbl,3,0),1.5))*(1-IF($I1579="خرید",IFERROR(VLOOKUP("P02",ParamTbl,3,0),1),0)/100))</f>
        <v/>
      </c>
      <c r="O1579">
        <f>IF($G1579="",0,IF($H1579="مرجوعی خرید",-1,1)*IF(Sync!$AD1576="",0,Sync!$AD1576))</f>
        <v/>
      </c>
      <c r="P1579">
        <f>IF(OR($G1579="",Sync!$W1576=""),"",Sync!$W1576)</f>
        <v/>
      </c>
      <c r="Q1579">
        <f>IF(OR($G1579="",Sync!$AE1576=""),"",Sync!$AE1576)</f>
        <v/>
      </c>
      <c r="R1579">
        <f>IF($G1579="","",IF(Sync!$V1576="","0000",IF(AND(ISNUMBER(Sync!$V1576),Sync!$V1576&gt;=0,Sync!$V1576&lt;1),RIGHT("00"&amp;HOUR(Sync!$V1576),2)&amp;RIGHT("00"&amp;MINUTE(Sync!$V1576),2),IFERROR(RIGHT("00"&amp;VALUE(LEFT(Sync!$V1576,FIND(":",Sync!$V1576)-1)),2)&amp;RIGHT("00"&amp;VALUE(MID(Sync!$V1576,FIND(":",Sync!$V1576)+1,2)),2),"0000"))))</f>
        <v/>
      </c>
    </row>
    <row r="1580">
      <c r="A1580">
        <f>IF(Sync!$U1577="","",Sync!$U1577)</f>
        <v/>
      </c>
      <c r="B1580">
        <f>IF($A1580="","",IF(ISNUMBER($A1580),IF(AND($A1580&gt;=10000101,$A1580&lt;=99991231),INT($A1580/10000),""),IFERROR(VALUE(TRIM(LEFT($A1580,FIND("/",$A1580)-1))),"")))</f>
        <v/>
      </c>
      <c r="C1580">
        <f>IF(OR($A1580="",$B1580=""),"",IF(ISNUMBER($A1580),INT(MOD($A1580,10000)/100),IFERROR(VALUE(TRIM(LEFT(MID($A1580,FIND("/",$A1580)+1,20),FIND("/",MID($A1580,FIND("/",$A1580)+1,20))-1))),"")))</f>
        <v/>
      </c>
      <c r="D1580">
        <f>IF(OR($A1580="",$B1580=""),"",IF(ISNUMBER($A1580),MOD($A1580,100),IFERROR(VALUE(TRIM(MID(MID($A1580,FIND("/",$A1580)+1,20),FIND("/",MID($A1580,FIND("/",$A1580)+1,20))+1,20))),"")))</f>
        <v/>
      </c>
      <c r="E1580">
        <f>IF($A1580="","",IF(OR($B1580="",$C1580="",$D1580="",$B1580&lt;1300,$B1580&gt;1500,$C1580&lt;1,$C1580&gt;12,$D1580&lt;1,$D1580&gt;31),"نامعتبر",RIGHT("0000"&amp;$B1580,4)&amp;"/"&amp;RIGHT("00"&amp;$C1580,2)&amp;"/"&amp;RIGHT("00"&amp;$D1580,2)))</f>
        <v/>
      </c>
      <c r="F1580">
        <f>IF(OR($E1580="",$E1580="نامعتبر"),"",LEFT($E1580,4)&amp;"/"&amp;MID($E1580,6,2))</f>
        <v/>
      </c>
      <c r="G1580">
        <f>IF(OR($E1580="",$E1580="نامعتبر",Sync!$Y1577=""),"",Sync!$Y1577)</f>
        <v/>
      </c>
      <c r="H1580">
        <f>IF($G1580="","",IF(Sync!$X1577="","",Sync!$X1577))</f>
        <v/>
      </c>
      <c r="I1580">
        <f>IF($G1580="","",IFERROR(VLOOKUP(Sync!$X1577,OpTbl,3,0),""))</f>
        <v/>
      </c>
      <c r="J1580">
        <f>IF(OR($G1580="",Sync!$Z1577=""),"",Sync!$Z1577)</f>
        <v/>
      </c>
      <c r="K1580">
        <f>IF(OR($G1580="",Sync!$AA1577=""),"",Sync!$AA1577)</f>
        <v/>
      </c>
      <c r="L1580">
        <f>IF($G1580="",0,IF(Sync!$AB1577="",0,Sync!$AB1577))</f>
        <v/>
      </c>
      <c r="M1580">
        <f>IF($G1580="",0,IF(Sync!$AC1577="",0,Sync!$AC1577))</f>
        <v/>
      </c>
      <c r="N1580">
        <f>IF($G1580="","",IF($H1580="مرجوعی خرید",-1,1)*($L1580-$M1580*IFERROR(VLOOKUP("P01",ParamTbl,3,0),1.5))*(1-IF($I1580="خرید",IFERROR(VLOOKUP("P02",ParamTbl,3,0),1),0)/100))</f>
        <v/>
      </c>
      <c r="O1580">
        <f>IF($G1580="",0,IF($H1580="مرجوعی خرید",-1,1)*IF(Sync!$AD1577="",0,Sync!$AD1577))</f>
        <v/>
      </c>
      <c r="P1580">
        <f>IF(OR($G1580="",Sync!$W1577=""),"",Sync!$W1577)</f>
        <v/>
      </c>
      <c r="Q1580">
        <f>IF(OR($G1580="",Sync!$AE1577=""),"",Sync!$AE1577)</f>
        <v/>
      </c>
      <c r="R1580">
        <f>IF($G1580="","",IF(Sync!$V1577="","0000",IF(AND(ISNUMBER(Sync!$V1577),Sync!$V1577&gt;=0,Sync!$V1577&lt;1),RIGHT("00"&amp;HOUR(Sync!$V1577),2)&amp;RIGHT("00"&amp;MINUTE(Sync!$V1577),2),IFERROR(RIGHT("00"&amp;VALUE(LEFT(Sync!$V1577,FIND(":",Sync!$V1577)-1)),2)&amp;RIGHT("00"&amp;VALUE(MID(Sync!$V1577,FIND(":",Sync!$V1577)+1,2)),2),"0000"))))</f>
        <v/>
      </c>
    </row>
    <row r="1581">
      <c r="A1581">
        <f>IF(Sync!$U1578="","",Sync!$U1578)</f>
        <v/>
      </c>
      <c r="B1581">
        <f>IF($A1581="","",IF(ISNUMBER($A1581),IF(AND($A1581&gt;=10000101,$A1581&lt;=99991231),INT($A1581/10000),""),IFERROR(VALUE(TRIM(LEFT($A1581,FIND("/",$A1581)-1))),"")))</f>
        <v/>
      </c>
      <c r="C1581">
        <f>IF(OR($A1581="",$B1581=""),"",IF(ISNUMBER($A1581),INT(MOD($A1581,10000)/100),IFERROR(VALUE(TRIM(LEFT(MID($A1581,FIND("/",$A1581)+1,20),FIND("/",MID($A1581,FIND("/",$A1581)+1,20))-1))),"")))</f>
        <v/>
      </c>
      <c r="D1581">
        <f>IF(OR($A1581="",$B1581=""),"",IF(ISNUMBER($A1581),MOD($A1581,100),IFERROR(VALUE(TRIM(MID(MID($A1581,FIND("/",$A1581)+1,20),FIND("/",MID($A1581,FIND("/",$A1581)+1,20))+1,20))),"")))</f>
        <v/>
      </c>
      <c r="E1581">
        <f>IF($A1581="","",IF(OR($B1581="",$C1581="",$D1581="",$B1581&lt;1300,$B1581&gt;1500,$C1581&lt;1,$C1581&gt;12,$D1581&lt;1,$D1581&gt;31),"نامعتبر",RIGHT("0000"&amp;$B1581,4)&amp;"/"&amp;RIGHT("00"&amp;$C1581,2)&amp;"/"&amp;RIGHT("00"&amp;$D1581,2)))</f>
        <v/>
      </c>
      <c r="F1581">
        <f>IF(OR($E1581="",$E1581="نامعتبر"),"",LEFT($E1581,4)&amp;"/"&amp;MID($E1581,6,2))</f>
        <v/>
      </c>
      <c r="G1581">
        <f>IF(OR($E1581="",$E1581="نامعتبر",Sync!$Y1578=""),"",Sync!$Y1578)</f>
        <v/>
      </c>
      <c r="H1581">
        <f>IF($G1581="","",IF(Sync!$X1578="","",Sync!$X1578))</f>
        <v/>
      </c>
      <c r="I1581">
        <f>IF($G1581="","",IFERROR(VLOOKUP(Sync!$X1578,OpTbl,3,0),""))</f>
        <v/>
      </c>
      <c r="J1581">
        <f>IF(OR($G1581="",Sync!$Z1578=""),"",Sync!$Z1578)</f>
        <v/>
      </c>
      <c r="K1581">
        <f>IF(OR($G1581="",Sync!$AA1578=""),"",Sync!$AA1578)</f>
        <v/>
      </c>
      <c r="L1581">
        <f>IF($G1581="",0,IF(Sync!$AB1578="",0,Sync!$AB1578))</f>
        <v/>
      </c>
      <c r="M1581">
        <f>IF($G1581="",0,IF(Sync!$AC1578="",0,Sync!$AC1578))</f>
        <v/>
      </c>
      <c r="N1581">
        <f>IF($G1581="","",IF($H1581="مرجوعی خرید",-1,1)*($L1581-$M1581*IFERROR(VLOOKUP("P01",ParamTbl,3,0),1.5))*(1-IF($I1581="خرید",IFERROR(VLOOKUP("P02",ParamTbl,3,0),1),0)/100))</f>
        <v/>
      </c>
      <c r="O1581">
        <f>IF($G1581="",0,IF($H1581="مرجوعی خرید",-1,1)*IF(Sync!$AD1578="",0,Sync!$AD1578))</f>
        <v/>
      </c>
      <c r="P1581">
        <f>IF(OR($G1581="",Sync!$W1578=""),"",Sync!$W1578)</f>
        <v/>
      </c>
      <c r="Q1581">
        <f>IF(OR($G1581="",Sync!$AE1578=""),"",Sync!$AE1578)</f>
        <v/>
      </c>
      <c r="R1581">
        <f>IF($G1581="","",IF(Sync!$V1578="","0000",IF(AND(ISNUMBER(Sync!$V1578),Sync!$V1578&gt;=0,Sync!$V1578&lt;1),RIGHT("00"&amp;HOUR(Sync!$V1578),2)&amp;RIGHT("00"&amp;MINUTE(Sync!$V1578),2),IFERROR(RIGHT("00"&amp;VALUE(LEFT(Sync!$V1578,FIND(":",Sync!$V1578)-1)),2)&amp;RIGHT("00"&amp;VALUE(MID(Sync!$V1578,FIND(":",Sync!$V1578)+1,2)),2),"0000"))))</f>
        <v/>
      </c>
    </row>
    <row r="1582">
      <c r="A1582">
        <f>IF(Sync!$U1579="","",Sync!$U1579)</f>
        <v/>
      </c>
      <c r="B1582">
        <f>IF($A1582="","",IF(ISNUMBER($A1582),IF(AND($A1582&gt;=10000101,$A1582&lt;=99991231),INT($A1582/10000),""),IFERROR(VALUE(TRIM(LEFT($A1582,FIND("/",$A1582)-1))),"")))</f>
        <v/>
      </c>
      <c r="C1582">
        <f>IF(OR($A1582="",$B1582=""),"",IF(ISNUMBER($A1582),INT(MOD($A1582,10000)/100),IFERROR(VALUE(TRIM(LEFT(MID($A1582,FIND("/",$A1582)+1,20),FIND("/",MID($A1582,FIND("/",$A1582)+1,20))-1))),"")))</f>
        <v/>
      </c>
      <c r="D1582">
        <f>IF(OR($A1582="",$B1582=""),"",IF(ISNUMBER($A1582),MOD($A1582,100),IFERROR(VALUE(TRIM(MID(MID($A1582,FIND("/",$A1582)+1,20),FIND("/",MID($A1582,FIND("/",$A1582)+1,20))+1,20))),"")))</f>
        <v/>
      </c>
      <c r="E1582">
        <f>IF($A1582="","",IF(OR($B1582="",$C1582="",$D1582="",$B1582&lt;1300,$B1582&gt;1500,$C1582&lt;1,$C1582&gt;12,$D1582&lt;1,$D1582&gt;31),"نامعتبر",RIGHT("0000"&amp;$B1582,4)&amp;"/"&amp;RIGHT("00"&amp;$C1582,2)&amp;"/"&amp;RIGHT("00"&amp;$D1582,2)))</f>
        <v/>
      </c>
      <c r="F1582">
        <f>IF(OR($E1582="",$E1582="نامعتبر"),"",LEFT($E1582,4)&amp;"/"&amp;MID($E1582,6,2))</f>
        <v/>
      </c>
      <c r="G1582">
        <f>IF(OR($E1582="",$E1582="نامعتبر",Sync!$Y1579=""),"",Sync!$Y1579)</f>
        <v/>
      </c>
      <c r="H1582">
        <f>IF($G1582="","",IF(Sync!$X1579="","",Sync!$X1579))</f>
        <v/>
      </c>
      <c r="I1582">
        <f>IF($G1582="","",IFERROR(VLOOKUP(Sync!$X1579,OpTbl,3,0),""))</f>
        <v/>
      </c>
      <c r="J1582">
        <f>IF(OR($G1582="",Sync!$Z1579=""),"",Sync!$Z1579)</f>
        <v/>
      </c>
      <c r="K1582">
        <f>IF(OR($G1582="",Sync!$AA1579=""),"",Sync!$AA1579)</f>
        <v/>
      </c>
      <c r="L1582">
        <f>IF($G1582="",0,IF(Sync!$AB1579="",0,Sync!$AB1579))</f>
        <v/>
      </c>
      <c r="M1582">
        <f>IF($G1582="",0,IF(Sync!$AC1579="",0,Sync!$AC1579))</f>
        <v/>
      </c>
      <c r="N1582">
        <f>IF($G1582="","",IF($H1582="مرجوعی خرید",-1,1)*($L1582-$M1582*IFERROR(VLOOKUP("P01",ParamTbl,3,0),1.5))*(1-IF($I1582="خرید",IFERROR(VLOOKUP("P02",ParamTbl,3,0),1),0)/100))</f>
        <v/>
      </c>
      <c r="O1582">
        <f>IF($G1582="",0,IF($H1582="مرجوعی خرید",-1,1)*IF(Sync!$AD1579="",0,Sync!$AD1579))</f>
        <v/>
      </c>
      <c r="P1582">
        <f>IF(OR($G1582="",Sync!$W1579=""),"",Sync!$W1579)</f>
        <v/>
      </c>
      <c r="Q1582">
        <f>IF(OR($G1582="",Sync!$AE1579=""),"",Sync!$AE1579)</f>
        <v/>
      </c>
      <c r="R1582">
        <f>IF($G1582="","",IF(Sync!$V1579="","0000",IF(AND(ISNUMBER(Sync!$V1579),Sync!$V1579&gt;=0,Sync!$V1579&lt;1),RIGHT("00"&amp;HOUR(Sync!$V1579),2)&amp;RIGHT("00"&amp;MINUTE(Sync!$V1579),2),IFERROR(RIGHT("00"&amp;VALUE(LEFT(Sync!$V1579,FIND(":",Sync!$V1579)-1)),2)&amp;RIGHT("00"&amp;VALUE(MID(Sync!$V1579,FIND(":",Sync!$V1579)+1,2)),2),"0000"))))</f>
        <v/>
      </c>
    </row>
    <row r="1583">
      <c r="A1583">
        <f>IF(Sync!$U1580="","",Sync!$U1580)</f>
        <v/>
      </c>
      <c r="B1583">
        <f>IF($A1583="","",IF(ISNUMBER($A1583),IF(AND($A1583&gt;=10000101,$A1583&lt;=99991231),INT($A1583/10000),""),IFERROR(VALUE(TRIM(LEFT($A1583,FIND("/",$A1583)-1))),"")))</f>
        <v/>
      </c>
      <c r="C1583">
        <f>IF(OR($A1583="",$B1583=""),"",IF(ISNUMBER($A1583),INT(MOD($A1583,10000)/100),IFERROR(VALUE(TRIM(LEFT(MID($A1583,FIND("/",$A1583)+1,20),FIND("/",MID($A1583,FIND("/",$A1583)+1,20))-1))),"")))</f>
        <v/>
      </c>
      <c r="D1583">
        <f>IF(OR($A1583="",$B1583=""),"",IF(ISNUMBER($A1583),MOD($A1583,100),IFERROR(VALUE(TRIM(MID(MID($A1583,FIND("/",$A1583)+1,20),FIND("/",MID($A1583,FIND("/",$A1583)+1,20))+1,20))),"")))</f>
        <v/>
      </c>
      <c r="E1583">
        <f>IF($A1583="","",IF(OR($B1583="",$C1583="",$D1583="",$B1583&lt;1300,$B1583&gt;1500,$C1583&lt;1,$C1583&gt;12,$D1583&lt;1,$D1583&gt;31),"نامعتبر",RIGHT("0000"&amp;$B1583,4)&amp;"/"&amp;RIGHT("00"&amp;$C1583,2)&amp;"/"&amp;RIGHT("00"&amp;$D1583,2)))</f>
        <v/>
      </c>
      <c r="F1583">
        <f>IF(OR($E1583="",$E1583="نامعتبر"),"",LEFT($E1583,4)&amp;"/"&amp;MID($E1583,6,2))</f>
        <v/>
      </c>
      <c r="G1583">
        <f>IF(OR($E1583="",$E1583="نامعتبر",Sync!$Y1580=""),"",Sync!$Y1580)</f>
        <v/>
      </c>
      <c r="H1583">
        <f>IF($G1583="","",IF(Sync!$X1580="","",Sync!$X1580))</f>
        <v/>
      </c>
      <c r="I1583">
        <f>IF($G1583="","",IFERROR(VLOOKUP(Sync!$X1580,OpTbl,3,0),""))</f>
        <v/>
      </c>
      <c r="J1583">
        <f>IF(OR($G1583="",Sync!$Z1580=""),"",Sync!$Z1580)</f>
        <v/>
      </c>
      <c r="K1583">
        <f>IF(OR($G1583="",Sync!$AA1580=""),"",Sync!$AA1580)</f>
        <v/>
      </c>
      <c r="L1583">
        <f>IF($G1583="",0,IF(Sync!$AB1580="",0,Sync!$AB1580))</f>
        <v/>
      </c>
      <c r="M1583">
        <f>IF($G1583="",0,IF(Sync!$AC1580="",0,Sync!$AC1580))</f>
        <v/>
      </c>
      <c r="N1583">
        <f>IF($G1583="","",IF($H1583="مرجوعی خرید",-1,1)*($L1583-$M1583*IFERROR(VLOOKUP("P01",ParamTbl,3,0),1.5))*(1-IF($I1583="خرید",IFERROR(VLOOKUP("P02",ParamTbl,3,0),1),0)/100))</f>
        <v/>
      </c>
      <c r="O1583">
        <f>IF($G1583="",0,IF($H1583="مرجوعی خرید",-1,1)*IF(Sync!$AD1580="",0,Sync!$AD1580))</f>
        <v/>
      </c>
      <c r="P1583">
        <f>IF(OR($G1583="",Sync!$W1580=""),"",Sync!$W1580)</f>
        <v/>
      </c>
      <c r="Q1583">
        <f>IF(OR($G1583="",Sync!$AE1580=""),"",Sync!$AE1580)</f>
        <v/>
      </c>
      <c r="R1583">
        <f>IF($G1583="","",IF(Sync!$V1580="","0000",IF(AND(ISNUMBER(Sync!$V1580),Sync!$V1580&gt;=0,Sync!$V1580&lt;1),RIGHT("00"&amp;HOUR(Sync!$V1580),2)&amp;RIGHT("00"&amp;MINUTE(Sync!$V1580),2),IFERROR(RIGHT("00"&amp;VALUE(LEFT(Sync!$V1580,FIND(":",Sync!$V1580)-1)),2)&amp;RIGHT("00"&amp;VALUE(MID(Sync!$V1580,FIND(":",Sync!$V1580)+1,2)),2),"0000"))))</f>
        <v/>
      </c>
    </row>
    <row r="1584">
      <c r="A1584">
        <f>IF(Sync!$U1581="","",Sync!$U1581)</f>
        <v/>
      </c>
      <c r="B1584">
        <f>IF($A1584="","",IF(ISNUMBER($A1584),IF(AND($A1584&gt;=10000101,$A1584&lt;=99991231),INT($A1584/10000),""),IFERROR(VALUE(TRIM(LEFT($A1584,FIND("/",$A1584)-1))),"")))</f>
        <v/>
      </c>
      <c r="C1584">
        <f>IF(OR($A1584="",$B1584=""),"",IF(ISNUMBER($A1584),INT(MOD($A1584,10000)/100),IFERROR(VALUE(TRIM(LEFT(MID($A1584,FIND("/",$A1584)+1,20),FIND("/",MID($A1584,FIND("/",$A1584)+1,20))-1))),"")))</f>
        <v/>
      </c>
      <c r="D1584">
        <f>IF(OR($A1584="",$B1584=""),"",IF(ISNUMBER($A1584),MOD($A1584,100),IFERROR(VALUE(TRIM(MID(MID($A1584,FIND("/",$A1584)+1,20),FIND("/",MID($A1584,FIND("/",$A1584)+1,20))+1,20))),"")))</f>
        <v/>
      </c>
      <c r="E1584">
        <f>IF($A1584="","",IF(OR($B1584="",$C1584="",$D1584="",$B1584&lt;1300,$B1584&gt;1500,$C1584&lt;1,$C1584&gt;12,$D1584&lt;1,$D1584&gt;31),"نامعتبر",RIGHT("0000"&amp;$B1584,4)&amp;"/"&amp;RIGHT("00"&amp;$C1584,2)&amp;"/"&amp;RIGHT("00"&amp;$D1584,2)))</f>
        <v/>
      </c>
      <c r="F1584">
        <f>IF(OR($E1584="",$E1584="نامعتبر"),"",LEFT($E1584,4)&amp;"/"&amp;MID($E1584,6,2))</f>
        <v/>
      </c>
      <c r="G1584">
        <f>IF(OR($E1584="",$E1584="نامعتبر",Sync!$Y1581=""),"",Sync!$Y1581)</f>
        <v/>
      </c>
      <c r="H1584">
        <f>IF($G1584="","",IF(Sync!$X1581="","",Sync!$X1581))</f>
        <v/>
      </c>
      <c r="I1584">
        <f>IF($G1584="","",IFERROR(VLOOKUP(Sync!$X1581,OpTbl,3,0),""))</f>
        <v/>
      </c>
      <c r="J1584">
        <f>IF(OR($G1584="",Sync!$Z1581=""),"",Sync!$Z1581)</f>
        <v/>
      </c>
      <c r="K1584">
        <f>IF(OR($G1584="",Sync!$AA1581=""),"",Sync!$AA1581)</f>
        <v/>
      </c>
      <c r="L1584">
        <f>IF($G1584="",0,IF(Sync!$AB1581="",0,Sync!$AB1581))</f>
        <v/>
      </c>
      <c r="M1584">
        <f>IF($G1584="",0,IF(Sync!$AC1581="",0,Sync!$AC1581))</f>
        <v/>
      </c>
      <c r="N1584">
        <f>IF($G1584="","",IF($H1584="مرجوعی خرید",-1,1)*($L1584-$M1584*IFERROR(VLOOKUP("P01",ParamTbl,3,0),1.5))*(1-IF($I1584="خرید",IFERROR(VLOOKUP("P02",ParamTbl,3,0),1),0)/100))</f>
        <v/>
      </c>
      <c r="O1584">
        <f>IF($G1584="",0,IF($H1584="مرجوعی خرید",-1,1)*IF(Sync!$AD1581="",0,Sync!$AD1581))</f>
        <v/>
      </c>
      <c r="P1584">
        <f>IF(OR($G1584="",Sync!$W1581=""),"",Sync!$W1581)</f>
        <v/>
      </c>
      <c r="Q1584">
        <f>IF(OR($G1584="",Sync!$AE1581=""),"",Sync!$AE1581)</f>
        <v/>
      </c>
      <c r="R1584">
        <f>IF($G1584="","",IF(Sync!$V1581="","0000",IF(AND(ISNUMBER(Sync!$V1581),Sync!$V1581&gt;=0,Sync!$V1581&lt;1),RIGHT("00"&amp;HOUR(Sync!$V1581),2)&amp;RIGHT("00"&amp;MINUTE(Sync!$V1581),2),IFERROR(RIGHT("00"&amp;VALUE(LEFT(Sync!$V1581,FIND(":",Sync!$V1581)-1)),2)&amp;RIGHT("00"&amp;VALUE(MID(Sync!$V1581,FIND(":",Sync!$V1581)+1,2)),2),"0000"))))</f>
        <v/>
      </c>
    </row>
    <row r="1585">
      <c r="A1585">
        <f>IF(Sync!$U1582="","",Sync!$U1582)</f>
        <v/>
      </c>
      <c r="B1585">
        <f>IF($A1585="","",IF(ISNUMBER($A1585),IF(AND($A1585&gt;=10000101,$A1585&lt;=99991231),INT($A1585/10000),""),IFERROR(VALUE(TRIM(LEFT($A1585,FIND("/",$A1585)-1))),"")))</f>
        <v/>
      </c>
      <c r="C1585">
        <f>IF(OR($A1585="",$B1585=""),"",IF(ISNUMBER($A1585),INT(MOD($A1585,10000)/100),IFERROR(VALUE(TRIM(LEFT(MID($A1585,FIND("/",$A1585)+1,20),FIND("/",MID($A1585,FIND("/",$A1585)+1,20))-1))),"")))</f>
        <v/>
      </c>
      <c r="D1585">
        <f>IF(OR($A1585="",$B1585=""),"",IF(ISNUMBER($A1585),MOD($A1585,100),IFERROR(VALUE(TRIM(MID(MID($A1585,FIND("/",$A1585)+1,20),FIND("/",MID($A1585,FIND("/",$A1585)+1,20))+1,20))),"")))</f>
        <v/>
      </c>
      <c r="E1585">
        <f>IF($A1585="","",IF(OR($B1585="",$C1585="",$D1585="",$B1585&lt;1300,$B1585&gt;1500,$C1585&lt;1,$C1585&gt;12,$D1585&lt;1,$D1585&gt;31),"نامعتبر",RIGHT("0000"&amp;$B1585,4)&amp;"/"&amp;RIGHT("00"&amp;$C1585,2)&amp;"/"&amp;RIGHT("00"&amp;$D1585,2)))</f>
        <v/>
      </c>
      <c r="F1585">
        <f>IF(OR($E1585="",$E1585="نامعتبر"),"",LEFT($E1585,4)&amp;"/"&amp;MID($E1585,6,2))</f>
        <v/>
      </c>
      <c r="G1585">
        <f>IF(OR($E1585="",$E1585="نامعتبر",Sync!$Y1582=""),"",Sync!$Y1582)</f>
        <v/>
      </c>
      <c r="H1585">
        <f>IF($G1585="","",IF(Sync!$X1582="","",Sync!$X1582))</f>
        <v/>
      </c>
      <c r="I1585">
        <f>IF($G1585="","",IFERROR(VLOOKUP(Sync!$X1582,OpTbl,3,0),""))</f>
        <v/>
      </c>
      <c r="J1585">
        <f>IF(OR($G1585="",Sync!$Z1582=""),"",Sync!$Z1582)</f>
        <v/>
      </c>
      <c r="K1585">
        <f>IF(OR($G1585="",Sync!$AA1582=""),"",Sync!$AA1582)</f>
        <v/>
      </c>
      <c r="L1585">
        <f>IF($G1585="",0,IF(Sync!$AB1582="",0,Sync!$AB1582))</f>
        <v/>
      </c>
      <c r="M1585">
        <f>IF($G1585="",0,IF(Sync!$AC1582="",0,Sync!$AC1582))</f>
        <v/>
      </c>
      <c r="N1585">
        <f>IF($G1585="","",IF($H1585="مرجوعی خرید",-1,1)*($L1585-$M1585*IFERROR(VLOOKUP("P01",ParamTbl,3,0),1.5))*(1-IF($I1585="خرید",IFERROR(VLOOKUP("P02",ParamTbl,3,0),1),0)/100))</f>
        <v/>
      </c>
      <c r="O1585">
        <f>IF($G1585="",0,IF($H1585="مرجوعی خرید",-1,1)*IF(Sync!$AD1582="",0,Sync!$AD1582))</f>
        <v/>
      </c>
      <c r="P1585">
        <f>IF(OR($G1585="",Sync!$W1582=""),"",Sync!$W1582)</f>
        <v/>
      </c>
      <c r="Q1585">
        <f>IF(OR($G1585="",Sync!$AE1582=""),"",Sync!$AE1582)</f>
        <v/>
      </c>
      <c r="R1585">
        <f>IF($G1585="","",IF(Sync!$V1582="","0000",IF(AND(ISNUMBER(Sync!$V1582),Sync!$V1582&gt;=0,Sync!$V1582&lt;1),RIGHT("00"&amp;HOUR(Sync!$V1582),2)&amp;RIGHT("00"&amp;MINUTE(Sync!$V1582),2),IFERROR(RIGHT("00"&amp;VALUE(LEFT(Sync!$V1582,FIND(":",Sync!$V1582)-1)),2)&amp;RIGHT("00"&amp;VALUE(MID(Sync!$V1582,FIND(":",Sync!$V1582)+1,2)),2),"0000"))))</f>
        <v/>
      </c>
    </row>
    <row r="1586">
      <c r="A1586">
        <f>IF(Sync!$U1583="","",Sync!$U1583)</f>
        <v/>
      </c>
      <c r="B1586">
        <f>IF($A1586="","",IF(ISNUMBER($A1586),IF(AND($A1586&gt;=10000101,$A1586&lt;=99991231),INT($A1586/10000),""),IFERROR(VALUE(TRIM(LEFT($A1586,FIND("/",$A1586)-1))),"")))</f>
        <v/>
      </c>
      <c r="C1586">
        <f>IF(OR($A1586="",$B1586=""),"",IF(ISNUMBER($A1586),INT(MOD($A1586,10000)/100),IFERROR(VALUE(TRIM(LEFT(MID($A1586,FIND("/",$A1586)+1,20),FIND("/",MID($A1586,FIND("/",$A1586)+1,20))-1))),"")))</f>
        <v/>
      </c>
      <c r="D1586">
        <f>IF(OR($A1586="",$B1586=""),"",IF(ISNUMBER($A1586),MOD($A1586,100),IFERROR(VALUE(TRIM(MID(MID($A1586,FIND("/",$A1586)+1,20),FIND("/",MID($A1586,FIND("/",$A1586)+1,20))+1,20))),"")))</f>
        <v/>
      </c>
      <c r="E1586">
        <f>IF($A1586="","",IF(OR($B1586="",$C1586="",$D1586="",$B1586&lt;1300,$B1586&gt;1500,$C1586&lt;1,$C1586&gt;12,$D1586&lt;1,$D1586&gt;31),"نامعتبر",RIGHT("0000"&amp;$B1586,4)&amp;"/"&amp;RIGHT("00"&amp;$C1586,2)&amp;"/"&amp;RIGHT("00"&amp;$D1586,2)))</f>
        <v/>
      </c>
      <c r="F1586">
        <f>IF(OR($E1586="",$E1586="نامعتبر"),"",LEFT($E1586,4)&amp;"/"&amp;MID($E1586,6,2))</f>
        <v/>
      </c>
      <c r="G1586">
        <f>IF(OR($E1586="",$E1586="نامعتبر",Sync!$Y1583=""),"",Sync!$Y1583)</f>
        <v/>
      </c>
      <c r="H1586">
        <f>IF($G1586="","",IF(Sync!$X1583="","",Sync!$X1583))</f>
        <v/>
      </c>
      <c r="I1586">
        <f>IF($G1586="","",IFERROR(VLOOKUP(Sync!$X1583,OpTbl,3,0),""))</f>
        <v/>
      </c>
      <c r="J1586">
        <f>IF(OR($G1586="",Sync!$Z1583=""),"",Sync!$Z1583)</f>
        <v/>
      </c>
      <c r="K1586">
        <f>IF(OR($G1586="",Sync!$AA1583=""),"",Sync!$AA1583)</f>
        <v/>
      </c>
      <c r="L1586">
        <f>IF($G1586="",0,IF(Sync!$AB1583="",0,Sync!$AB1583))</f>
        <v/>
      </c>
      <c r="M1586">
        <f>IF($G1586="",0,IF(Sync!$AC1583="",0,Sync!$AC1583))</f>
        <v/>
      </c>
      <c r="N1586">
        <f>IF($G1586="","",IF($H1586="مرجوعی خرید",-1,1)*($L1586-$M1586*IFERROR(VLOOKUP("P01",ParamTbl,3,0),1.5))*(1-IF($I1586="خرید",IFERROR(VLOOKUP("P02",ParamTbl,3,0),1),0)/100))</f>
        <v/>
      </c>
      <c r="O1586">
        <f>IF($G1586="",0,IF($H1586="مرجوعی خرید",-1,1)*IF(Sync!$AD1583="",0,Sync!$AD1583))</f>
        <v/>
      </c>
      <c r="P1586">
        <f>IF(OR($G1586="",Sync!$W1583=""),"",Sync!$W1583)</f>
        <v/>
      </c>
      <c r="Q1586">
        <f>IF(OR($G1586="",Sync!$AE1583=""),"",Sync!$AE1583)</f>
        <v/>
      </c>
      <c r="R1586">
        <f>IF($G1586="","",IF(Sync!$V1583="","0000",IF(AND(ISNUMBER(Sync!$V1583),Sync!$V1583&gt;=0,Sync!$V1583&lt;1),RIGHT("00"&amp;HOUR(Sync!$V1583),2)&amp;RIGHT("00"&amp;MINUTE(Sync!$V1583),2),IFERROR(RIGHT("00"&amp;VALUE(LEFT(Sync!$V1583,FIND(":",Sync!$V1583)-1)),2)&amp;RIGHT("00"&amp;VALUE(MID(Sync!$V1583,FIND(":",Sync!$V1583)+1,2)),2),"0000"))))</f>
        <v/>
      </c>
    </row>
    <row r="1587">
      <c r="A1587">
        <f>IF(Sync!$U1584="","",Sync!$U1584)</f>
        <v/>
      </c>
      <c r="B1587">
        <f>IF($A1587="","",IF(ISNUMBER($A1587),IF(AND($A1587&gt;=10000101,$A1587&lt;=99991231),INT($A1587/10000),""),IFERROR(VALUE(TRIM(LEFT($A1587,FIND("/",$A1587)-1))),"")))</f>
        <v/>
      </c>
      <c r="C1587">
        <f>IF(OR($A1587="",$B1587=""),"",IF(ISNUMBER($A1587),INT(MOD($A1587,10000)/100),IFERROR(VALUE(TRIM(LEFT(MID($A1587,FIND("/",$A1587)+1,20),FIND("/",MID($A1587,FIND("/",$A1587)+1,20))-1))),"")))</f>
        <v/>
      </c>
      <c r="D1587">
        <f>IF(OR($A1587="",$B1587=""),"",IF(ISNUMBER($A1587),MOD($A1587,100),IFERROR(VALUE(TRIM(MID(MID($A1587,FIND("/",$A1587)+1,20),FIND("/",MID($A1587,FIND("/",$A1587)+1,20))+1,20))),"")))</f>
        <v/>
      </c>
      <c r="E1587">
        <f>IF($A1587="","",IF(OR($B1587="",$C1587="",$D1587="",$B1587&lt;1300,$B1587&gt;1500,$C1587&lt;1,$C1587&gt;12,$D1587&lt;1,$D1587&gt;31),"نامعتبر",RIGHT("0000"&amp;$B1587,4)&amp;"/"&amp;RIGHT("00"&amp;$C1587,2)&amp;"/"&amp;RIGHT("00"&amp;$D1587,2)))</f>
        <v/>
      </c>
      <c r="F1587">
        <f>IF(OR($E1587="",$E1587="نامعتبر"),"",LEFT($E1587,4)&amp;"/"&amp;MID($E1587,6,2))</f>
        <v/>
      </c>
      <c r="G1587">
        <f>IF(OR($E1587="",$E1587="نامعتبر",Sync!$Y1584=""),"",Sync!$Y1584)</f>
        <v/>
      </c>
      <c r="H1587">
        <f>IF($G1587="","",IF(Sync!$X1584="","",Sync!$X1584))</f>
        <v/>
      </c>
      <c r="I1587">
        <f>IF($G1587="","",IFERROR(VLOOKUP(Sync!$X1584,OpTbl,3,0),""))</f>
        <v/>
      </c>
      <c r="J1587">
        <f>IF(OR($G1587="",Sync!$Z1584=""),"",Sync!$Z1584)</f>
        <v/>
      </c>
      <c r="K1587">
        <f>IF(OR($G1587="",Sync!$AA1584=""),"",Sync!$AA1584)</f>
        <v/>
      </c>
      <c r="L1587">
        <f>IF($G1587="",0,IF(Sync!$AB1584="",0,Sync!$AB1584))</f>
        <v/>
      </c>
      <c r="M1587">
        <f>IF($G1587="",0,IF(Sync!$AC1584="",0,Sync!$AC1584))</f>
        <v/>
      </c>
      <c r="N1587">
        <f>IF($G1587="","",IF($H1587="مرجوعی خرید",-1,1)*($L1587-$M1587*IFERROR(VLOOKUP("P01",ParamTbl,3,0),1.5))*(1-IF($I1587="خرید",IFERROR(VLOOKUP("P02",ParamTbl,3,0),1),0)/100))</f>
        <v/>
      </c>
      <c r="O1587">
        <f>IF($G1587="",0,IF($H1587="مرجوعی خرید",-1,1)*IF(Sync!$AD1584="",0,Sync!$AD1584))</f>
        <v/>
      </c>
      <c r="P1587">
        <f>IF(OR($G1587="",Sync!$W1584=""),"",Sync!$W1584)</f>
        <v/>
      </c>
      <c r="Q1587">
        <f>IF(OR($G1587="",Sync!$AE1584=""),"",Sync!$AE1584)</f>
        <v/>
      </c>
      <c r="R1587">
        <f>IF($G1587="","",IF(Sync!$V1584="","0000",IF(AND(ISNUMBER(Sync!$V1584),Sync!$V1584&gt;=0,Sync!$V1584&lt;1),RIGHT("00"&amp;HOUR(Sync!$V1584),2)&amp;RIGHT("00"&amp;MINUTE(Sync!$V1584),2),IFERROR(RIGHT("00"&amp;VALUE(LEFT(Sync!$V1584,FIND(":",Sync!$V1584)-1)),2)&amp;RIGHT("00"&amp;VALUE(MID(Sync!$V1584,FIND(":",Sync!$V1584)+1,2)),2),"0000"))))</f>
        <v/>
      </c>
    </row>
    <row r="1588">
      <c r="A1588">
        <f>IF(Sync!$U1585="","",Sync!$U1585)</f>
        <v/>
      </c>
      <c r="B1588">
        <f>IF($A1588="","",IF(ISNUMBER($A1588),IF(AND($A1588&gt;=10000101,$A1588&lt;=99991231),INT($A1588/10000),""),IFERROR(VALUE(TRIM(LEFT($A1588,FIND("/",$A1588)-1))),"")))</f>
        <v/>
      </c>
      <c r="C1588">
        <f>IF(OR($A1588="",$B1588=""),"",IF(ISNUMBER($A1588),INT(MOD($A1588,10000)/100),IFERROR(VALUE(TRIM(LEFT(MID($A1588,FIND("/",$A1588)+1,20),FIND("/",MID($A1588,FIND("/",$A1588)+1,20))-1))),"")))</f>
        <v/>
      </c>
      <c r="D1588">
        <f>IF(OR($A1588="",$B1588=""),"",IF(ISNUMBER($A1588),MOD($A1588,100),IFERROR(VALUE(TRIM(MID(MID($A1588,FIND("/",$A1588)+1,20),FIND("/",MID($A1588,FIND("/",$A1588)+1,20))+1,20))),"")))</f>
        <v/>
      </c>
      <c r="E1588">
        <f>IF($A1588="","",IF(OR($B1588="",$C1588="",$D1588="",$B1588&lt;1300,$B1588&gt;1500,$C1588&lt;1,$C1588&gt;12,$D1588&lt;1,$D1588&gt;31),"نامعتبر",RIGHT("0000"&amp;$B1588,4)&amp;"/"&amp;RIGHT("00"&amp;$C1588,2)&amp;"/"&amp;RIGHT("00"&amp;$D1588,2)))</f>
        <v/>
      </c>
      <c r="F1588">
        <f>IF(OR($E1588="",$E1588="نامعتبر"),"",LEFT($E1588,4)&amp;"/"&amp;MID($E1588,6,2))</f>
        <v/>
      </c>
      <c r="G1588">
        <f>IF(OR($E1588="",$E1588="نامعتبر",Sync!$Y1585=""),"",Sync!$Y1585)</f>
        <v/>
      </c>
      <c r="H1588">
        <f>IF($G1588="","",IF(Sync!$X1585="","",Sync!$X1585))</f>
        <v/>
      </c>
      <c r="I1588">
        <f>IF($G1588="","",IFERROR(VLOOKUP(Sync!$X1585,OpTbl,3,0),""))</f>
        <v/>
      </c>
      <c r="J1588">
        <f>IF(OR($G1588="",Sync!$Z1585=""),"",Sync!$Z1585)</f>
        <v/>
      </c>
      <c r="K1588">
        <f>IF(OR($G1588="",Sync!$AA1585=""),"",Sync!$AA1585)</f>
        <v/>
      </c>
      <c r="L1588">
        <f>IF($G1588="",0,IF(Sync!$AB1585="",0,Sync!$AB1585))</f>
        <v/>
      </c>
      <c r="M1588">
        <f>IF($G1588="",0,IF(Sync!$AC1585="",0,Sync!$AC1585))</f>
        <v/>
      </c>
      <c r="N1588">
        <f>IF($G1588="","",IF($H1588="مرجوعی خرید",-1,1)*($L1588-$M1588*IFERROR(VLOOKUP("P01",ParamTbl,3,0),1.5))*(1-IF($I1588="خرید",IFERROR(VLOOKUP("P02",ParamTbl,3,0),1),0)/100))</f>
        <v/>
      </c>
      <c r="O1588">
        <f>IF($G1588="",0,IF($H1588="مرجوعی خرید",-1,1)*IF(Sync!$AD1585="",0,Sync!$AD1585))</f>
        <v/>
      </c>
      <c r="P1588">
        <f>IF(OR($G1588="",Sync!$W1585=""),"",Sync!$W1585)</f>
        <v/>
      </c>
      <c r="Q1588">
        <f>IF(OR($G1588="",Sync!$AE1585=""),"",Sync!$AE1585)</f>
        <v/>
      </c>
      <c r="R1588">
        <f>IF($G1588="","",IF(Sync!$V1585="","0000",IF(AND(ISNUMBER(Sync!$V1585),Sync!$V1585&gt;=0,Sync!$V1585&lt;1),RIGHT("00"&amp;HOUR(Sync!$V1585),2)&amp;RIGHT("00"&amp;MINUTE(Sync!$V1585),2),IFERROR(RIGHT("00"&amp;VALUE(LEFT(Sync!$V1585,FIND(":",Sync!$V1585)-1)),2)&amp;RIGHT("00"&amp;VALUE(MID(Sync!$V1585,FIND(":",Sync!$V1585)+1,2)),2),"0000"))))</f>
        <v/>
      </c>
    </row>
    <row r="1589">
      <c r="A1589">
        <f>IF(Sync!$U1586="","",Sync!$U1586)</f>
        <v/>
      </c>
      <c r="B1589">
        <f>IF($A1589="","",IF(ISNUMBER($A1589),IF(AND($A1589&gt;=10000101,$A1589&lt;=99991231),INT($A1589/10000),""),IFERROR(VALUE(TRIM(LEFT($A1589,FIND("/",$A1589)-1))),"")))</f>
        <v/>
      </c>
      <c r="C1589">
        <f>IF(OR($A1589="",$B1589=""),"",IF(ISNUMBER($A1589),INT(MOD($A1589,10000)/100),IFERROR(VALUE(TRIM(LEFT(MID($A1589,FIND("/",$A1589)+1,20),FIND("/",MID($A1589,FIND("/",$A1589)+1,20))-1))),"")))</f>
        <v/>
      </c>
      <c r="D1589">
        <f>IF(OR($A1589="",$B1589=""),"",IF(ISNUMBER($A1589),MOD($A1589,100),IFERROR(VALUE(TRIM(MID(MID($A1589,FIND("/",$A1589)+1,20),FIND("/",MID($A1589,FIND("/",$A1589)+1,20))+1,20))),"")))</f>
        <v/>
      </c>
      <c r="E1589">
        <f>IF($A1589="","",IF(OR($B1589="",$C1589="",$D1589="",$B1589&lt;1300,$B1589&gt;1500,$C1589&lt;1,$C1589&gt;12,$D1589&lt;1,$D1589&gt;31),"نامعتبر",RIGHT("0000"&amp;$B1589,4)&amp;"/"&amp;RIGHT("00"&amp;$C1589,2)&amp;"/"&amp;RIGHT("00"&amp;$D1589,2)))</f>
        <v/>
      </c>
      <c r="F1589">
        <f>IF(OR($E1589="",$E1589="نامعتبر"),"",LEFT($E1589,4)&amp;"/"&amp;MID($E1589,6,2))</f>
        <v/>
      </c>
      <c r="G1589">
        <f>IF(OR($E1589="",$E1589="نامعتبر",Sync!$Y1586=""),"",Sync!$Y1586)</f>
        <v/>
      </c>
      <c r="H1589">
        <f>IF($G1589="","",IF(Sync!$X1586="","",Sync!$X1586))</f>
        <v/>
      </c>
      <c r="I1589">
        <f>IF($G1589="","",IFERROR(VLOOKUP(Sync!$X1586,OpTbl,3,0),""))</f>
        <v/>
      </c>
      <c r="J1589">
        <f>IF(OR($G1589="",Sync!$Z1586=""),"",Sync!$Z1586)</f>
        <v/>
      </c>
      <c r="K1589">
        <f>IF(OR($G1589="",Sync!$AA1586=""),"",Sync!$AA1586)</f>
        <v/>
      </c>
      <c r="L1589">
        <f>IF($G1589="",0,IF(Sync!$AB1586="",0,Sync!$AB1586))</f>
        <v/>
      </c>
      <c r="M1589">
        <f>IF($G1589="",0,IF(Sync!$AC1586="",0,Sync!$AC1586))</f>
        <v/>
      </c>
      <c r="N1589">
        <f>IF($G1589="","",IF($H1589="مرجوعی خرید",-1,1)*($L1589-$M1589*IFERROR(VLOOKUP("P01",ParamTbl,3,0),1.5))*(1-IF($I1589="خرید",IFERROR(VLOOKUP("P02",ParamTbl,3,0),1),0)/100))</f>
        <v/>
      </c>
      <c r="O1589">
        <f>IF($G1589="",0,IF($H1589="مرجوعی خرید",-1,1)*IF(Sync!$AD1586="",0,Sync!$AD1586))</f>
        <v/>
      </c>
      <c r="P1589">
        <f>IF(OR($G1589="",Sync!$W1586=""),"",Sync!$W1586)</f>
        <v/>
      </c>
      <c r="Q1589">
        <f>IF(OR($G1589="",Sync!$AE1586=""),"",Sync!$AE1586)</f>
        <v/>
      </c>
      <c r="R1589">
        <f>IF($G1589="","",IF(Sync!$V1586="","0000",IF(AND(ISNUMBER(Sync!$V1586),Sync!$V1586&gt;=0,Sync!$V1586&lt;1),RIGHT("00"&amp;HOUR(Sync!$V1586),2)&amp;RIGHT("00"&amp;MINUTE(Sync!$V1586),2),IFERROR(RIGHT("00"&amp;VALUE(LEFT(Sync!$V1586,FIND(":",Sync!$V1586)-1)),2)&amp;RIGHT("00"&amp;VALUE(MID(Sync!$V1586,FIND(":",Sync!$V1586)+1,2)),2),"0000"))))</f>
        <v/>
      </c>
    </row>
    <row r="1590">
      <c r="A1590">
        <f>IF(Sync!$U1587="","",Sync!$U1587)</f>
        <v/>
      </c>
      <c r="B1590">
        <f>IF($A1590="","",IF(ISNUMBER($A1590),IF(AND($A1590&gt;=10000101,$A1590&lt;=99991231),INT($A1590/10000),""),IFERROR(VALUE(TRIM(LEFT($A1590,FIND("/",$A1590)-1))),"")))</f>
        <v/>
      </c>
      <c r="C1590">
        <f>IF(OR($A1590="",$B1590=""),"",IF(ISNUMBER($A1590),INT(MOD($A1590,10000)/100),IFERROR(VALUE(TRIM(LEFT(MID($A1590,FIND("/",$A1590)+1,20),FIND("/",MID($A1590,FIND("/",$A1590)+1,20))-1))),"")))</f>
        <v/>
      </c>
      <c r="D1590">
        <f>IF(OR($A1590="",$B1590=""),"",IF(ISNUMBER($A1590),MOD($A1590,100),IFERROR(VALUE(TRIM(MID(MID($A1590,FIND("/",$A1590)+1,20),FIND("/",MID($A1590,FIND("/",$A1590)+1,20))+1,20))),"")))</f>
        <v/>
      </c>
      <c r="E1590">
        <f>IF($A1590="","",IF(OR($B1590="",$C1590="",$D1590="",$B1590&lt;1300,$B1590&gt;1500,$C1590&lt;1,$C1590&gt;12,$D1590&lt;1,$D1590&gt;31),"نامعتبر",RIGHT("0000"&amp;$B1590,4)&amp;"/"&amp;RIGHT("00"&amp;$C1590,2)&amp;"/"&amp;RIGHT("00"&amp;$D1590,2)))</f>
        <v/>
      </c>
      <c r="F1590">
        <f>IF(OR($E1590="",$E1590="نامعتبر"),"",LEFT($E1590,4)&amp;"/"&amp;MID($E1590,6,2))</f>
        <v/>
      </c>
      <c r="G1590">
        <f>IF(OR($E1590="",$E1590="نامعتبر",Sync!$Y1587=""),"",Sync!$Y1587)</f>
        <v/>
      </c>
      <c r="H1590">
        <f>IF($G1590="","",IF(Sync!$X1587="","",Sync!$X1587))</f>
        <v/>
      </c>
      <c r="I1590">
        <f>IF($G1590="","",IFERROR(VLOOKUP(Sync!$X1587,OpTbl,3,0),""))</f>
        <v/>
      </c>
      <c r="J1590">
        <f>IF(OR($G1590="",Sync!$Z1587=""),"",Sync!$Z1587)</f>
        <v/>
      </c>
      <c r="K1590">
        <f>IF(OR($G1590="",Sync!$AA1587=""),"",Sync!$AA1587)</f>
        <v/>
      </c>
      <c r="L1590">
        <f>IF($G1590="",0,IF(Sync!$AB1587="",0,Sync!$AB1587))</f>
        <v/>
      </c>
      <c r="M1590">
        <f>IF($G1590="",0,IF(Sync!$AC1587="",0,Sync!$AC1587))</f>
        <v/>
      </c>
      <c r="N1590">
        <f>IF($G1590="","",IF($H1590="مرجوعی خرید",-1,1)*($L1590-$M1590*IFERROR(VLOOKUP("P01",ParamTbl,3,0),1.5))*(1-IF($I1590="خرید",IFERROR(VLOOKUP("P02",ParamTbl,3,0),1),0)/100))</f>
        <v/>
      </c>
      <c r="O1590">
        <f>IF($G1590="",0,IF($H1590="مرجوعی خرید",-1,1)*IF(Sync!$AD1587="",0,Sync!$AD1587))</f>
        <v/>
      </c>
      <c r="P1590">
        <f>IF(OR($G1590="",Sync!$W1587=""),"",Sync!$W1587)</f>
        <v/>
      </c>
      <c r="Q1590">
        <f>IF(OR($G1590="",Sync!$AE1587=""),"",Sync!$AE1587)</f>
        <v/>
      </c>
      <c r="R1590">
        <f>IF($G1590="","",IF(Sync!$V1587="","0000",IF(AND(ISNUMBER(Sync!$V1587),Sync!$V1587&gt;=0,Sync!$V1587&lt;1),RIGHT("00"&amp;HOUR(Sync!$V1587),2)&amp;RIGHT("00"&amp;MINUTE(Sync!$V1587),2),IFERROR(RIGHT("00"&amp;VALUE(LEFT(Sync!$V1587,FIND(":",Sync!$V1587)-1)),2)&amp;RIGHT("00"&amp;VALUE(MID(Sync!$V1587,FIND(":",Sync!$V1587)+1,2)),2),"0000"))))</f>
        <v/>
      </c>
    </row>
    <row r="1591">
      <c r="A1591">
        <f>IF(Sync!$U1588="","",Sync!$U1588)</f>
        <v/>
      </c>
      <c r="B1591">
        <f>IF($A1591="","",IF(ISNUMBER($A1591),IF(AND($A1591&gt;=10000101,$A1591&lt;=99991231),INT($A1591/10000),""),IFERROR(VALUE(TRIM(LEFT($A1591,FIND("/",$A1591)-1))),"")))</f>
        <v/>
      </c>
      <c r="C1591">
        <f>IF(OR($A1591="",$B1591=""),"",IF(ISNUMBER($A1591),INT(MOD($A1591,10000)/100),IFERROR(VALUE(TRIM(LEFT(MID($A1591,FIND("/",$A1591)+1,20),FIND("/",MID($A1591,FIND("/",$A1591)+1,20))-1))),"")))</f>
        <v/>
      </c>
      <c r="D1591">
        <f>IF(OR($A1591="",$B1591=""),"",IF(ISNUMBER($A1591),MOD($A1591,100),IFERROR(VALUE(TRIM(MID(MID($A1591,FIND("/",$A1591)+1,20),FIND("/",MID($A1591,FIND("/",$A1591)+1,20))+1,20))),"")))</f>
        <v/>
      </c>
      <c r="E1591">
        <f>IF($A1591="","",IF(OR($B1591="",$C1591="",$D1591="",$B1591&lt;1300,$B1591&gt;1500,$C1591&lt;1,$C1591&gt;12,$D1591&lt;1,$D1591&gt;31),"نامعتبر",RIGHT("0000"&amp;$B1591,4)&amp;"/"&amp;RIGHT("00"&amp;$C1591,2)&amp;"/"&amp;RIGHT("00"&amp;$D1591,2)))</f>
        <v/>
      </c>
      <c r="F1591">
        <f>IF(OR($E1591="",$E1591="نامعتبر"),"",LEFT($E1591,4)&amp;"/"&amp;MID($E1591,6,2))</f>
        <v/>
      </c>
      <c r="G1591">
        <f>IF(OR($E1591="",$E1591="نامعتبر",Sync!$Y1588=""),"",Sync!$Y1588)</f>
        <v/>
      </c>
      <c r="H1591">
        <f>IF($G1591="","",IF(Sync!$X1588="","",Sync!$X1588))</f>
        <v/>
      </c>
      <c r="I1591">
        <f>IF($G1591="","",IFERROR(VLOOKUP(Sync!$X1588,OpTbl,3,0),""))</f>
        <v/>
      </c>
      <c r="J1591">
        <f>IF(OR($G1591="",Sync!$Z1588=""),"",Sync!$Z1588)</f>
        <v/>
      </c>
      <c r="K1591">
        <f>IF(OR($G1591="",Sync!$AA1588=""),"",Sync!$AA1588)</f>
        <v/>
      </c>
      <c r="L1591">
        <f>IF($G1591="",0,IF(Sync!$AB1588="",0,Sync!$AB1588))</f>
        <v/>
      </c>
      <c r="M1591">
        <f>IF($G1591="",0,IF(Sync!$AC1588="",0,Sync!$AC1588))</f>
        <v/>
      </c>
      <c r="N1591">
        <f>IF($G1591="","",IF($H1591="مرجوعی خرید",-1,1)*($L1591-$M1591*IFERROR(VLOOKUP("P01",ParamTbl,3,0),1.5))*(1-IF($I1591="خرید",IFERROR(VLOOKUP("P02",ParamTbl,3,0),1),0)/100))</f>
        <v/>
      </c>
      <c r="O1591">
        <f>IF($G1591="",0,IF($H1591="مرجوعی خرید",-1,1)*IF(Sync!$AD1588="",0,Sync!$AD1588))</f>
        <v/>
      </c>
      <c r="P1591">
        <f>IF(OR($G1591="",Sync!$W1588=""),"",Sync!$W1588)</f>
        <v/>
      </c>
      <c r="Q1591">
        <f>IF(OR($G1591="",Sync!$AE1588=""),"",Sync!$AE1588)</f>
        <v/>
      </c>
      <c r="R1591">
        <f>IF($G1591="","",IF(Sync!$V1588="","0000",IF(AND(ISNUMBER(Sync!$V1588),Sync!$V1588&gt;=0,Sync!$V1588&lt;1),RIGHT("00"&amp;HOUR(Sync!$V1588),2)&amp;RIGHT("00"&amp;MINUTE(Sync!$V1588),2),IFERROR(RIGHT("00"&amp;VALUE(LEFT(Sync!$V1588,FIND(":",Sync!$V1588)-1)),2)&amp;RIGHT("00"&amp;VALUE(MID(Sync!$V1588,FIND(":",Sync!$V1588)+1,2)),2),"0000"))))</f>
        <v/>
      </c>
    </row>
    <row r="1592">
      <c r="A1592">
        <f>IF(Sync!$U1589="","",Sync!$U1589)</f>
        <v/>
      </c>
      <c r="B1592">
        <f>IF($A1592="","",IF(ISNUMBER($A1592),IF(AND($A1592&gt;=10000101,$A1592&lt;=99991231),INT($A1592/10000),""),IFERROR(VALUE(TRIM(LEFT($A1592,FIND("/",$A1592)-1))),"")))</f>
        <v/>
      </c>
      <c r="C1592">
        <f>IF(OR($A1592="",$B1592=""),"",IF(ISNUMBER($A1592),INT(MOD($A1592,10000)/100),IFERROR(VALUE(TRIM(LEFT(MID($A1592,FIND("/",$A1592)+1,20),FIND("/",MID($A1592,FIND("/",$A1592)+1,20))-1))),"")))</f>
        <v/>
      </c>
      <c r="D1592">
        <f>IF(OR($A1592="",$B1592=""),"",IF(ISNUMBER($A1592),MOD($A1592,100),IFERROR(VALUE(TRIM(MID(MID($A1592,FIND("/",$A1592)+1,20),FIND("/",MID($A1592,FIND("/",$A1592)+1,20))+1,20))),"")))</f>
        <v/>
      </c>
      <c r="E1592">
        <f>IF($A1592="","",IF(OR($B1592="",$C1592="",$D1592="",$B1592&lt;1300,$B1592&gt;1500,$C1592&lt;1,$C1592&gt;12,$D1592&lt;1,$D1592&gt;31),"نامعتبر",RIGHT("0000"&amp;$B1592,4)&amp;"/"&amp;RIGHT("00"&amp;$C1592,2)&amp;"/"&amp;RIGHT("00"&amp;$D1592,2)))</f>
        <v/>
      </c>
      <c r="F1592">
        <f>IF(OR($E1592="",$E1592="نامعتبر"),"",LEFT($E1592,4)&amp;"/"&amp;MID($E1592,6,2))</f>
        <v/>
      </c>
      <c r="G1592">
        <f>IF(OR($E1592="",$E1592="نامعتبر",Sync!$Y1589=""),"",Sync!$Y1589)</f>
        <v/>
      </c>
      <c r="H1592">
        <f>IF($G1592="","",IF(Sync!$X1589="","",Sync!$X1589))</f>
        <v/>
      </c>
      <c r="I1592">
        <f>IF($G1592="","",IFERROR(VLOOKUP(Sync!$X1589,OpTbl,3,0),""))</f>
        <v/>
      </c>
      <c r="J1592">
        <f>IF(OR($G1592="",Sync!$Z1589=""),"",Sync!$Z1589)</f>
        <v/>
      </c>
      <c r="K1592">
        <f>IF(OR($G1592="",Sync!$AA1589=""),"",Sync!$AA1589)</f>
        <v/>
      </c>
      <c r="L1592">
        <f>IF($G1592="",0,IF(Sync!$AB1589="",0,Sync!$AB1589))</f>
        <v/>
      </c>
      <c r="M1592">
        <f>IF($G1592="",0,IF(Sync!$AC1589="",0,Sync!$AC1589))</f>
        <v/>
      </c>
      <c r="N1592">
        <f>IF($G1592="","",IF($H1592="مرجوعی خرید",-1,1)*($L1592-$M1592*IFERROR(VLOOKUP("P01",ParamTbl,3,0),1.5))*(1-IF($I1592="خرید",IFERROR(VLOOKUP("P02",ParamTbl,3,0),1),0)/100))</f>
        <v/>
      </c>
      <c r="O1592">
        <f>IF($G1592="",0,IF($H1592="مرجوعی خرید",-1,1)*IF(Sync!$AD1589="",0,Sync!$AD1589))</f>
        <v/>
      </c>
      <c r="P1592">
        <f>IF(OR($G1592="",Sync!$W1589=""),"",Sync!$W1589)</f>
        <v/>
      </c>
      <c r="Q1592">
        <f>IF(OR($G1592="",Sync!$AE1589=""),"",Sync!$AE1589)</f>
        <v/>
      </c>
      <c r="R1592">
        <f>IF($G1592="","",IF(Sync!$V1589="","0000",IF(AND(ISNUMBER(Sync!$V1589),Sync!$V1589&gt;=0,Sync!$V1589&lt;1),RIGHT("00"&amp;HOUR(Sync!$V1589),2)&amp;RIGHT("00"&amp;MINUTE(Sync!$V1589),2),IFERROR(RIGHT("00"&amp;VALUE(LEFT(Sync!$V1589,FIND(":",Sync!$V1589)-1)),2)&amp;RIGHT("00"&amp;VALUE(MID(Sync!$V1589,FIND(":",Sync!$V1589)+1,2)),2),"0000"))))</f>
        <v/>
      </c>
    </row>
    <row r="1593">
      <c r="A1593">
        <f>IF(Sync!$U1590="","",Sync!$U1590)</f>
        <v/>
      </c>
      <c r="B1593">
        <f>IF($A1593="","",IF(ISNUMBER($A1593),IF(AND($A1593&gt;=10000101,$A1593&lt;=99991231),INT($A1593/10000),""),IFERROR(VALUE(TRIM(LEFT($A1593,FIND("/",$A1593)-1))),"")))</f>
        <v/>
      </c>
      <c r="C1593">
        <f>IF(OR($A1593="",$B1593=""),"",IF(ISNUMBER($A1593),INT(MOD($A1593,10000)/100),IFERROR(VALUE(TRIM(LEFT(MID($A1593,FIND("/",$A1593)+1,20),FIND("/",MID($A1593,FIND("/",$A1593)+1,20))-1))),"")))</f>
        <v/>
      </c>
      <c r="D1593">
        <f>IF(OR($A1593="",$B1593=""),"",IF(ISNUMBER($A1593),MOD($A1593,100),IFERROR(VALUE(TRIM(MID(MID($A1593,FIND("/",$A1593)+1,20),FIND("/",MID($A1593,FIND("/",$A1593)+1,20))+1,20))),"")))</f>
        <v/>
      </c>
      <c r="E1593">
        <f>IF($A1593="","",IF(OR($B1593="",$C1593="",$D1593="",$B1593&lt;1300,$B1593&gt;1500,$C1593&lt;1,$C1593&gt;12,$D1593&lt;1,$D1593&gt;31),"نامعتبر",RIGHT("0000"&amp;$B1593,4)&amp;"/"&amp;RIGHT("00"&amp;$C1593,2)&amp;"/"&amp;RIGHT("00"&amp;$D1593,2)))</f>
        <v/>
      </c>
      <c r="F1593">
        <f>IF(OR($E1593="",$E1593="نامعتبر"),"",LEFT($E1593,4)&amp;"/"&amp;MID($E1593,6,2))</f>
        <v/>
      </c>
      <c r="G1593">
        <f>IF(OR($E1593="",$E1593="نامعتبر",Sync!$Y1590=""),"",Sync!$Y1590)</f>
        <v/>
      </c>
      <c r="H1593">
        <f>IF($G1593="","",IF(Sync!$X1590="","",Sync!$X1590))</f>
        <v/>
      </c>
      <c r="I1593">
        <f>IF($G1593="","",IFERROR(VLOOKUP(Sync!$X1590,OpTbl,3,0),""))</f>
        <v/>
      </c>
      <c r="J1593">
        <f>IF(OR($G1593="",Sync!$Z1590=""),"",Sync!$Z1590)</f>
        <v/>
      </c>
      <c r="K1593">
        <f>IF(OR($G1593="",Sync!$AA1590=""),"",Sync!$AA1590)</f>
        <v/>
      </c>
      <c r="L1593">
        <f>IF($G1593="",0,IF(Sync!$AB1590="",0,Sync!$AB1590))</f>
        <v/>
      </c>
      <c r="M1593">
        <f>IF($G1593="",0,IF(Sync!$AC1590="",0,Sync!$AC1590))</f>
        <v/>
      </c>
      <c r="N1593">
        <f>IF($G1593="","",IF($H1593="مرجوعی خرید",-1,1)*($L1593-$M1593*IFERROR(VLOOKUP("P01",ParamTbl,3,0),1.5))*(1-IF($I1593="خرید",IFERROR(VLOOKUP("P02",ParamTbl,3,0),1),0)/100))</f>
        <v/>
      </c>
      <c r="O1593">
        <f>IF($G1593="",0,IF($H1593="مرجوعی خرید",-1,1)*IF(Sync!$AD1590="",0,Sync!$AD1590))</f>
        <v/>
      </c>
      <c r="P1593">
        <f>IF(OR($G1593="",Sync!$W1590=""),"",Sync!$W1590)</f>
        <v/>
      </c>
      <c r="Q1593">
        <f>IF(OR($G1593="",Sync!$AE1590=""),"",Sync!$AE1590)</f>
        <v/>
      </c>
      <c r="R1593">
        <f>IF($G1593="","",IF(Sync!$V1590="","0000",IF(AND(ISNUMBER(Sync!$V1590),Sync!$V1590&gt;=0,Sync!$V1590&lt;1),RIGHT("00"&amp;HOUR(Sync!$V1590),2)&amp;RIGHT("00"&amp;MINUTE(Sync!$V1590),2),IFERROR(RIGHT("00"&amp;VALUE(LEFT(Sync!$V1590,FIND(":",Sync!$V1590)-1)),2)&amp;RIGHT("00"&amp;VALUE(MID(Sync!$V1590,FIND(":",Sync!$V1590)+1,2)),2),"0000"))))</f>
        <v/>
      </c>
    </row>
    <row r="1594">
      <c r="A1594">
        <f>IF(Sync!$U1591="","",Sync!$U1591)</f>
        <v/>
      </c>
      <c r="B1594">
        <f>IF($A1594="","",IF(ISNUMBER($A1594),IF(AND($A1594&gt;=10000101,$A1594&lt;=99991231),INT($A1594/10000),""),IFERROR(VALUE(TRIM(LEFT($A1594,FIND("/",$A1594)-1))),"")))</f>
        <v/>
      </c>
      <c r="C1594">
        <f>IF(OR($A1594="",$B1594=""),"",IF(ISNUMBER($A1594),INT(MOD($A1594,10000)/100),IFERROR(VALUE(TRIM(LEFT(MID($A1594,FIND("/",$A1594)+1,20),FIND("/",MID($A1594,FIND("/",$A1594)+1,20))-1))),"")))</f>
        <v/>
      </c>
      <c r="D1594">
        <f>IF(OR($A1594="",$B1594=""),"",IF(ISNUMBER($A1594),MOD($A1594,100),IFERROR(VALUE(TRIM(MID(MID($A1594,FIND("/",$A1594)+1,20),FIND("/",MID($A1594,FIND("/",$A1594)+1,20))+1,20))),"")))</f>
        <v/>
      </c>
      <c r="E1594">
        <f>IF($A1594="","",IF(OR($B1594="",$C1594="",$D1594="",$B1594&lt;1300,$B1594&gt;1500,$C1594&lt;1,$C1594&gt;12,$D1594&lt;1,$D1594&gt;31),"نامعتبر",RIGHT("0000"&amp;$B1594,4)&amp;"/"&amp;RIGHT("00"&amp;$C1594,2)&amp;"/"&amp;RIGHT("00"&amp;$D1594,2)))</f>
        <v/>
      </c>
      <c r="F1594">
        <f>IF(OR($E1594="",$E1594="نامعتبر"),"",LEFT($E1594,4)&amp;"/"&amp;MID($E1594,6,2))</f>
        <v/>
      </c>
      <c r="G1594">
        <f>IF(OR($E1594="",$E1594="نامعتبر",Sync!$Y1591=""),"",Sync!$Y1591)</f>
        <v/>
      </c>
      <c r="H1594">
        <f>IF($G1594="","",IF(Sync!$X1591="","",Sync!$X1591))</f>
        <v/>
      </c>
      <c r="I1594">
        <f>IF($G1594="","",IFERROR(VLOOKUP(Sync!$X1591,OpTbl,3,0),""))</f>
        <v/>
      </c>
      <c r="J1594">
        <f>IF(OR($G1594="",Sync!$Z1591=""),"",Sync!$Z1591)</f>
        <v/>
      </c>
      <c r="K1594">
        <f>IF(OR($G1594="",Sync!$AA1591=""),"",Sync!$AA1591)</f>
        <v/>
      </c>
      <c r="L1594">
        <f>IF($G1594="",0,IF(Sync!$AB1591="",0,Sync!$AB1591))</f>
        <v/>
      </c>
      <c r="M1594">
        <f>IF($G1594="",0,IF(Sync!$AC1591="",0,Sync!$AC1591))</f>
        <v/>
      </c>
      <c r="N1594">
        <f>IF($G1594="","",IF($H1594="مرجوعی خرید",-1,1)*($L1594-$M1594*IFERROR(VLOOKUP("P01",ParamTbl,3,0),1.5))*(1-IF($I1594="خرید",IFERROR(VLOOKUP("P02",ParamTbl,3,0),1),0)/100))</f>
        <v/>
      </c>
      <c r="O1594">
        <f>IF($G1594="",0,IF($H1594="مرجوعی خرید",-1,1)*IF(Sync!$AD1591="",0,Sync!$AD1591))</f>
        <v/>
      </c>
      <c r="P1594">
        <f>IF(OR($G1594="",Sync!$W1591=""),"",Sync!$W1591)</f>
        <v/>
      </c>
      <c r="Q1594">
        <f>IF(OR($G1594="",Sync!$AE1591=""),"",Sync!$AE1591)</f>
        <v/>
      </c>
      <c r="R1594">
        <f>IF($G1594="","",IF(Sync!$V1591="","0000",IF(AND(ISNUMBER(Sync!$V1591),Sync!$V1591&gt;=0,Sync!$V1591&lt;1),RIGHT("00"&amp;HOUR(Sync!$V1591),2)&amp;RIGHT("00"&amp;MINUTE(Sync!$V1591),2),IFERROR(RIGHT("00"&amp;VALUE(LEFT(Sync!$V1591,FIND(":",Sync!$V1591)-1)),2)&amp;RIGHT("00"&amp;VALUE(MID(Sync!$V1591,FIND(":",Sync!$V1591)+1,2)),2),"0000"))))</f>
        <v/>
      </c>
    </row>
    <row r="1595">
      <c r="A1595">
        <f>IF(Sync!$U1592="","",Sync!$U1592)</f>
        <v/>
      </c>
      <c r="B1595">
        <f>IF($A1595="","",IF(ISNUMBER($A1595),IF(AND($A1595&gt;=10000101,$A1595&lt;=99991231),INT($A1595/10000),""),IFERROR(VALUE(TRIM(LEFT($A1595,FIND("/",$A1595)-1))),"")))</f>
        <v/>
      </c>
      <c r="C1595">
        <f>IF(OR($A1595="",$B1595=""),"",IF(ISNUMBER($A1595),INT(MOD($A1595,10000)/100),IFERROR(VALUE(TRIM(LEFT(MID($A1595,FIND("/",$A1595)+1,20),FIND("/",MID($A1595,FIND("/",$A1595)+1,20))-1))),"")))</f>
        <v/>
      </c>
      <c r="D1595">
        <f>IF(OR($A1595="",$B1595=""),"",IF(ISNUMBER($A1595),MOD($A1595,100),IFERROR(VALUE(TRIM(MID(MID($A1595,FIND("/",$A1595)+1,20),FIND("/",MID($A1595,FIND("/",$A1595)+1,20))+1,20))),"")))</f>
        <v/>
      </c>
      <c r="E1595">
        <f>IF($A1595="","",IF(OR($B1595="",$C1595="",$D1595="",$B1595&lt;1300,$B1595&gt;1500,$C1595&lt;1,$C1595&gt;12,$D1595&lt;1,$D1595&gt;31),"نامعتبر",RIGHT("0000"&amp;$B1595,4)&amp;"/"&amp;RIGHT("00"&amp;$C1595,2)&amp;"/"&amp;RIGHT("00"&amp;$D1595,2)))</f>
        <v/>
      </c>
      <c r="F1595">
        <f>IF(OR($E1595="",$E1595="نامعتبر"),"",LEFT($E1595,4)&amp;"/"&amp;MID($E1595,6,2))</f>
        <v/>
      </c>
      <c r="G1595">
        <f>IF(OR($E1595="",$E1595="نامعتبر",Sync!$Y1592=""),"",Sync!$Y1592)</f>
        <v/>
      </c>
      <c r="H1595">
        <f>IF($G1595="","",IF(Sync!$X1592="","",Sync!$X1592))</f>
        <v/>
      </c>
      <c r="I1595">
        <f>IF($G1595="","",IFERROR(VLOOKUP(Sync!$X1592,OpTbl,3,0),""))</f>
        <v/>
      </c>
      <c r="J1595">
        <f>IF(OR($G1595="",Sync!$Z1592=""),"",Sync!$Z1592)</f>
        <v/>
      </c>
      <c r="K1595">
        <f>IF(OR($G1595="",Sync!$AA1592=""),"",Sync!$AA1592)</f>
        <v/>
      </c>
      <c r="L1595">
        <f>IF($G1595="",0,IF(Sync!$AB1592="",0,Sync!$AB1592))</f>
        <v/>
      </c>
      <c r="M1595">
        <f>IF($G1595="",0,IF(Sync!$AC1592="",0,Sync!$AC1592))</f>
        <v/>
      </c>
      <c r="N1595">
        <f>IF($G1595="","",IF($H1595="مرجوعی خرید",-1,1)*($L1595-$M1595*IFERROR(VLOOKUP("P01",ParamTbl,3,0),1.5))*(1-IF($I1595="خرید",IFERROR(VLOOKUP("P02",ParamTbl,3,0),1),0)/100))</f>
        <v/>
      </c>
      <c r="O1595">
        <f>IF($G1595="",0,IF($H1595="مرجوعی خرید",-1,1)*IF(Sync!$AD1592="",0,Sync!$AD1592))</f>
        <v/>
      </c>
      <c r="P1595">
        <f>IF(OR($G1595="",Sync!$W1592=""),"",Sync!$W1592)</f>
        <v/>
      </c>
      <c r="Q1595">
        <f>IF(OR($G1595="",Sync!$AE1592=""),"",Sync!$AE1592)</f>
        <v/>
      </c>
      <c r="R1595">
        <f>IF($G1595="","",IF(Sync!$V1592="","0000",IF(AND(ISNUMBER(Sync!$V1592),Sync!$V1592&gt;=0,Sync!$V1592&lt;1),RIGHT("00"&amp;HOUR(Sync!$V1592),2)&amp;RIGHT("00"&amp;MINUTE(Sync!$V1592),2),IFERROR(RIGHT("00"&amp;VALUE(LEFT(Sync!$V1592,FIND(":",Sync!$V1592)-1)),2)&amp;RIGHT("00"&amp;VALUE(MID(Sync!$V1592,FIND(":",Sync!$V1592)+1,2)),2),"0000"))))</f>
        <v/>
      </c>
    </row>
    <row r="1596">
      <c r="A1596">
        <f>IF(Sync!$U1593="","",Sync!$U1593)</f>
        <v/>
      </c>
      <c r="B1596">
        <f>IF($A1596="","",IF(ISNUMBER($A1596),IF(AND($A1596&gt;=10000101,$A1596&lt;=99991231),INT($A1596/10000),""),IFERROR(VALUE(TRIM(LEFT($A1596,FIND("/",$A1596)-1))),"")))</f>
        <v/>
      </c>
      <c r="C1596">
        <f>IF(OR($A1596="",$B1596=""),"",IF(ISNUMBER($A1596),INT(MOD($A1596,10000)/100),IFERROR(VALUE(TRIM(LEFT(MID($A1596,FIND("/",$A1596)+1,20),FIND("/",MID($A1596,FIND("/",$A1596)+1,20))-1))),"")))</f>
        <v/>
      </c>
      <c r="D1596">
        <f>IF(OR($A1596="",$B1596=""),"",IF(ISNUMBER($A1596),MOD($A1596,100),IFERROR(VALUE(TRIM(MID(MID($A1596,FIND("/",$A1596)+1,20),FIND("/",MID($A1596,FIND("/",$A1596)+1,20))+1,20))),"")))</f>
        <v/>
      </c>
      <c r="E1596">
        <f>IF($A1596="","",IF(OR($B1596="",$C1596="",$D1596="",$B1596&lt;1300,$B1596&gt;1500,$C1596&lt;1,$C1596&gt;12,$D1596&lt;1,$D1596&gt;31),"نامعتبر",RIGHT("0000"&amp;$B1596,4)&amp;"/"&amp;RIGHT("00"&amp;$C1596,2)&amp;"/"&amp;RIGHT("00"&amp;$D1596,2)))</f>
        <v/>
      </c>
      <c r="F1596">
        <f>IF(OR($E1596="",$E1596="نامعتبر"),"",LEFT($E1596,4)&amp;"/"&amp;MID($E1596,6,2))</f>
        <v/>
      </c>
      <c r="G1596">
        <f>IF(OR($E1596="",$E1596="نامعتبر",Sync!$Y1593=""),"",Sync!$Y1593)</f>
        <v/>
      </c>
      <c r="H1596">
        <f>IF($G1596="","",IF(Sync!$X1593="","",Sync!$X1593))</f>
        <v/>
      </c>
      <c r="I1596">
        <f>IF($G1596="","",IFERROR(VLOOKUP(Sync!$X1593,OpTbl,3,0),""))</f>
        <v/>
      </c>
      <c r="J1596">
        <f>IF(OR($G1596="",Sync!$Z1593=""),"",Sync!$Z1593)</f>
        <v/>
      </c>
      <c r="K1596">
        <f>IF(OR($G1596="",Sync!$AA1593=""),"",Sync!$AA1593)</f>
        <v/>
      </c>
      <c r="L1596">
        <f>IF($G1596="",0,IF(Sync!$AB1593="",0,Sync!$AB1593))</f>
        <v/>
      </c>
      <c r="M1596">
        <f>IF($G1596="",0,IF(Sync!$AC1593="",0,Sync!$AC1593))</f>
        <v/>
      </c>
      <c r="N1596">
        <f>IF($G1596="","",IF($H1596="مرجوعی خرید",-1,1)*($L1596-$M1596*IFERROR(VLOOKUP("P01",ParamTbl,3,0),1.5))*(1-IF($I1596="خرید",IFERROR(VLOOKUP("P02",ParamTbl,3,0),1),0)/100))</f>
        <v/>
      </c>
      <c r="O1596">
        <f>IF($G1596="",0,IF($H1596="مرجوعی خرید",-1,1)*IF(Sync!$AD1593="",0,Sync!$AD1593))</f>
        <v/>
      </c>
      <c r="P1596">
        <f>IF(OR($G1596="",Sync!$W1593=""),"",Sync!$W1593)</f>
        <v/>
      </c>
      <c r="Q1596">
        <f>IF(OR($G1596="",Sync!$AE1593=""),"",Sync!$AE1593)</f>
        <v/>
      </c>
      <c r="R1596">
        <f>IF($G1596="","",IF(Sync!$V1593="","0000",IF(AND(ISNUMBER(Sync!$V1593),Sync!$V1593&gt;=0,Sync!$V1593&lt;1),RIGHT("00"&amp;HOUR(Sync!$V1593),2)&amp;RIGHT("00"&amp;MINUTE(Sync!$V1593),2),IFERROR(RIGHT("00"&amp;VALUE(LEFT(Sync!$V1593,FIND(":",Sync!$V1593)-1)),2)&amp;RIGHT("00"&amp;VALUE(MID(Sync!$V1593,FIND(":",Sync!$V1593)+1,2)),2),"0000"))))</f>
        <v/>
      </c>
    </row>
    <row r="1597">
      <c r="A1597">
        <f>IF(Sync!$U1594="","",Sync!$U1594)</f>
        <v/>
      </c>
      <c r="B1597">
        <f>IF($A1597="","",IF(ISNUMBER($A1597),IF(AND($A1597&gt;=10000101,$A1597&lt;=99991231),INT($A1597/10000),""),IFERROR(VALUE(TRIM(LEFT($A1597,FIND("/",$A1597)-1))),"")))</f>
        <v/>
      </c>
      <c r="C1597">
        <f>IF(OR($A1597="",$B1597=""),"",IF(ISNUMBER($A1597),INT(MOD($A1597,10000)/100),IFERROR(VALUE(TRIM(LEFT(MID($A1597,FIND("/",$A1597)+1,20),FIND("/",MID($A1597,FIND("/",$A1597)+1,20))-1))),"")))</f>
        <v/>
      </c>
      <c r="D1597">
        <f>IF(OR($A1597="",$B1597=""),"",IF(ISNUMBER($A1597),MOD($A1597,100),IFERROR(VALUE(TRIM(MID(MID($A1597,FIND("/",$A1597)+1,20),FIND("/",MID($A1597,FIND("/",$A1597)+1,20))+1,20))),"")))</f>
        <v/>
      </c>
      <c r="E1597">
        <f>IF($A1597="","",IF(OR($B1597="",$C1597="",$D1597="",$B1597&lt;1300,$B1597&gt;1500,$C1597&lt;1,$C1597&gt;12,$D1597&lt;1,$D1597&gt;31),"نامعتبر",RIGHT("0000"&amp;$B1597,4)&amp;"/"&amp;RIGHT("00"&amp;$C1597,2)&amp;"/"&amp;RIGHT("00"&amp;$D1597,2)))</f>
        <v/>
      </c>
      <c r="F1597">
        <f>IF(OR($E1597="",$E1597="نامعتبر"),"",LEFT($E1597,4)&amp;"/"&amp;MID($E1597,6,2))</f>
        <v/>
      </c>
      <c r="G1597">
        <f>IF(OR($E1597="",$E1597="نامعتبر",Sync!$Y1594=""),"",Sync!$Y1594)</f>
        <v/>
      </c>
      <c r="H1597">
        <f>IF($G1597="","",IF(Sync!$X1594="","",Sync!$X1594))</f>
        <v/>
      </c>
      <c r="I1597">
        <f>IF($G1597="","",IFERROR(VLOOKUP(Sync!$X1594,OpTbl,3,0),""))</f>
        <v/>
      </c>
      <c r="J1597">
        <f>IF(OR($G1597="",Sync!$Z1594=""),"",Sync!$Z1594)</f>
        <v/>
      </c>
      <c r="K1597">
        <f>IF(OR($G1597="",Sync!$AA1594=""),"",Sync!$AA1594)</f>
        <v/>
      </c>
      <c r="L1597">
        <f>IF($G1597="",0,IF(Sync!$AB1594="",0,Sync!$AB1594))</f>
        <v/>
      </c>
      <c r="M1597">
        <f>IF($G1597="",0,IF(Sync!$AC1594="",0,Sync!$AC1594))</f>
        <v/>
      </c>
      <c r="N1597">
        <f>IF($G1597="","",IF($H1597="مرجوعی خرید",-1,1)*($L1597-$M1597*IFERROR(VLOOKUP("P01",ParamTbl,3,0),1.5))*(1-IF($I1597="خرید",IFERROR(VLOOKUP("P02",ParamTbl,3,0),1),0)/100))</f>
        <v/>
      </c>
      <c r="O1597">
        <f>IF($G1597="",0,IF($H1597="مرجوعی خرید",-1,1)*IF(Sync!$AD1594="",0,Sync!$AD1594))</f>
        <v/>
      </c>
      <c r="P1597">
        <f>IF(OR($G1597="",Sync!$W1594=""),"",Sync!$W1594)</f>
        <v/>
      </c>
      <c r="Q1597">
        <f>IF(OR($G1597="",Sync!$AE1594=""),"",Sync!$AE1594)</f>
        <v/>
      </c>
      <c r="R1597">
        <f>IF($G1597="","",IF(Sync!$V1594="","0000",IF(AND(ISNUMBER(Sync!$V1594),Sync!$V1594&gt;=0,Sync!$V1594&lt;1),RIGHT("00"&amp;HOUR(Sync!$V1594),2)&amp;RIGHT("00"&amp;MINUTE(Sync!$V1594),2),IFERROR(RIGHT("00"&amp;VALUE(LEFT(Sync!$V1594,FIND(":",Sync!$V1594)-1)),2)&amp;RIGHT("00"&amp;VALUE(MID(Sync!$V1594,FIND(":",Sync!$V1594)+1,2)),2),"0000"))))</f>
        <v/>
      </c>
    </row>
    <row r="1598">
      <c r="A1598">
        <f>IF(Sync!$U1595="","",Sync!$U1595)</f>
        <v/>
      </c>
      <c r="B1598">
        <f>IF($A1598="","",IF(ISNUMBER($A1598),IF(AND($A1598&gt;=10000101,$A1598&lt;=99991231),INT($A1598/10000),""),IFERROR(VALUE(TRIM(LEFT($A1598,FIND("/",$A1598)-1))),"")))</f>
        <v/>
      </c>
      <c r="C1598">
        <f>IF(OR($A1598="",$B1598=""),"",IF(ISNUMBER($A1598),INT(MOD($A1598,10000)/100),IFERROR(VALUE(TRIM(LEFT(MID($A1598,FIND("/",$A1598)+1,20),FIND("/",MID($A1598,FIND("/",$A1598)+1,20))-1))),"")))</f>
        <v/>
      </c>
      <c r="D1598">
        <f>IF(OR($A1598="",$B1598=""),"",IF(ISNUMBER($A1598),MOD($A1598,100),IFERROR(VALUE(TRIM(MID(MID($A1598,FIND("/",$A1598)+1,20),FIND("/",MID($A1598,FIND("/",$A1598)+1,20))+1,20))),"")))</f>
        <v/>
      </c>
      <c r="E1598">
        <f>IF($A1598="","",IF(OR($B1598="",$C1598="",$D1598="",$B1598&lt;1300,$B1598&gt;1500,$C1598&lt;1,$C1598&gt;12,$D1598&lt;1,$D1598&gt;31),"نامعتبر",RIGHT("0000"&amp;$B1598,4)&amp;"/"&amp;RIGHT("00"&amp;$C1598,2)&amp;"/"&amp;RIGHT("00"&amp;$D1598,2)))</f>
        <v/>
      </c>
      <c r="F1598">
        <f>IF(OR($E1598="",$E1598="نامعتبر"),"",LEFT($E1598,4)&amp;"/"&amp;MID($E1598,6,2))</f>
        <v/>
      </c>
      <c r="G1598">
        <f>IF(OR($E1598="",$E1598="نامعتبر",Sync!$Y1595=""),"",Sync!$Y1595)</f>
        <v/>
      </c>
      <c r="H1598">
        <f>IF($G1598="","",IF(Sync!$X1595="","",Sync!$X1595))</f>
        <v/>
      </c>
      <c r="I1598">
        <f>IF($G1598="","",IFERROR(VLOOKUP(Sync!$X1595,OpTbl,3,0),""))</f>
        <v/>
      </c>
      <c r="J1598">
        <f>IF(OR($G1598="",Sync!$Z1595=""),"",Sync!$Z1595)</f>
        <v/>
      </c>
      <c r="K1598">
        <f>IF(OR($G1598="",Sync!$AA1595=""),"",Sync!$AA1595)</f>
        <v/>
      </c>
      <c r="L1598">
        <f>IF($G1598="",0,IF(Sync!$AB1595="",0,Sync!$AB1595))</f>
        <v/>
      </c>
      <c r="M1598">
        <f>IF($G1598="",0,IF(Sync!$AC1595="",0,Sync!$AC1595))</f>
        <v/>
      </c>
      <c r="N1598">
        <f>IF($G1598="","",IF($H1598="مرجوعی خرید",-1,1)*($L1598-$M1598*IFERROR(VLOOKUP("P01",ParamTbl,3,0),1.5))*(1-IF($I1598="خرید",IFERROR(VLOOKUP("P02",ParamTbl,3,0),1),0)/100))</f>
        <v/>
      </c>
      <c r="O1598">
        <f>IF($G1598="",0,IF($H1598="مرجوعی خرید",-1,1)*IF(Sync!$AD1595="",0,Sync!$AD1595))</f>
        <v/>
      </c>
      <c r="P1598">
        <f>IF(OR($G1598="",Sync!$W1595=""),"",Sync!$W1595)</f>
        <v/>
      </c>
      <c r="Q1598">
        <f>IF(OR($G1598="",Sync!$AE1595=""),"",Sync!$AE1595)</f>
        <v/>
      </c>
      <c r="R1598">
        <f>IF($G1598="","",IF(Sync!$V1595="","0000",IF(AND(ISNUMBER(Sync!$V1595),Sync!$V1595&gt;=0,Sync!$V1595&lt;1),RIGHT("00"&amp;HOUR(Sync!$V1595),2)&amp;RIGHT("00"&amp;MINUTE(Sync!$V1595),2),IFERROR(RIGHT("00"&amp;VALUE(LEFT(Sync!$V1595,FIND(":",Sync!$V1595)-1)),2)&amp;RIGHT("00"&amp;VALUE(MID(Sync!$V1595,FIND(":",Sync!$V1595)+1,2)),2),"0000"))))</f>
        <v/>
      </c>
    </row>
    <row r="1599">
      <c r="A1599">
        <f>IF(Sync!$U1596="","",Sync!$U1596)</f>
        <v/>
      </c>
      <c r="B1599">
        <f>IF($A1599="","",IF(ISNUMBER($A1599),IF(AND($A1599&gt;=10000101,$A1599&lt;=99991231),INT($A1599/10000),""),IFERROR(VALUE(TRIM(LEFT($A1599,FIND("/",$A1599)-1))),"")))</f>
        <v/>
      </c>
      <c r="C1599">
        <f>IF(OR($A1599="",$B1599=""),"",IF(ISNUMBER($A1599),INT(MOD($A1599,10000)/100),IFERROR(VALUE(TRIM(LEFT(MID($A1599,FIND("/",$A1599)+1,20),FIND("/",MID($A1599,FIND("/",$A1599)+1,20))-1))),"")))</f>
        <v/>
      </c>
      <c r="D1599">
        <f>IF(OR($A1599="",$B1599=""),"",IF(ISNUMBER($A1599),MOD($A1599,100),IFERROR(VALUE(TRIM(MID(MID($A1599,FIND("/",$A1599)+1,20),FIND("/",MID($A1599,FIND("/",$A1599)+1,20))+1,20))),"")))</f>
        <v/>
      </c>
      <c r="E1599">
        <f>IF($A1599="","",IF(OR($B1599="",$C1599="",$D1599="",$B1599&lt;1300,$B1599&gt;1500,$C1599&lt;1,$C1599&gt;12,$D1599&lt;1,$D1599&gt;31),"نامعتبر",RIGHT("0000"&amp;$B1599,4)&amp;"/"&amp;RIGHT("00"&amp;$C1599,2)&amp;"/"&amp;RIGHT("00"&amp;$D1599,2)))</f>
        <v/>
      </c>
      <c r="F1599">
        <f>IF(OR($E1599="",$E1599="نامعتبر"),"",LEFT($E1599,4)&amp;"/"&amp;MID($E1599,6,2))</f>
        <v/>
      </c>
      <c r="G1599">
        <f>IF(OR($E1599="",$E1599="نامعتبر",Sync!$Y1596=""),"",Sync!$Y1596)</f>
        <v/>
      </c>
      <c r="H1599">
        <f>IF($G1599="","",IF(Sync!$X1596="","",Sync!$X1596))</f>
        <v/>
      </c>
      <c r="I1599">
        <f>IF($G1599="","",IFERROR(VLOOKUP(Sync!$X1596,OpTbl,3,0),""))</f>
        <v/>
      </c>
      <c r="J1599">
        <f>IF(OR($G1599="",Sync!$Z1596=""),"",Sync!$Z1596)</f>
        <v/>
      </c>
      <c r="K1599">
        <f>IF(OR($G1599="",Sync!$AA1596=""),"",Sync!$AA1596)</f>
        <v/>
      </c>
      <c r="L1599">
        <f>IF($G1599="",0,IF(Sync!$AB1596="",0,Sync!$AB1596))</f>
        <v/>
      </c>
      <c r="M1599">
        <f>IF($G1599="",0,IF(Sync!$AC1596="",0,Sync!$AC1596))</f>
        <v/>
      </c>
      <c r="N1599">
        <f>IF($G1599="","",IF($H1599="مرجوعی خرید",-1,1)*($L1599-$M1599*IFERROR(VLOOKUP("P01",ParamTbl,3,0),1.5))*(1-IF($I1599="خرید",IFERROR(VLOOKUP("P02",ParamTbl,3,0),1),0)/100))</f>
        <v/>
      </c>
      <c r="O1599">
        <f>IF($G1599="",0,IF($H1599="مرجوعی خرید",-1,1)*IF(Sync!$AD1596="",0,Sync!$AD1596))</f>
        <v/>
      </c>
      <c r="P1599">
        <f>IF(OR($G1599="",Sync!$W1596=""),"",Sync!$W1596)</f>
        <v/>
      </c>
      <c r="Q1599">
        <f>IF(OR($G1599="",Sync!$AE1596=""),"",Sync!$AE1596)</f>
        <v/>
      </c>
      <c r="R1599">
        <f>IF($G1599="","",IF(Sync!$V1596="","0000",IF(AND(ISNUMBER(Sync!$V1596),Sync!$V1596&gt;=0,Sync!$V1596&lt;1),RIGHT("00"&amp;HOUR(Sync!$V1596),2)&amp;RIGHT("00"&amp;MINUTE(Sync!$V1596),2),IFERROR(RIGHT("00"&amp;VALUE(LEFT(Sync!$V1596,FIND(":",Sync!$V1596)-1)),2)&amp;RIGHT("00"&amp;VALUE(MID(Sync!$V1596,FIND(":",Sync!$V1596)+1,2)),2),"0000"))))</f>
        <v/>
      </c>
    </row>
    <row r="1600">
      <c r="A1600">
        <f>IF(Sync!$U1597="","",Sync!$U1597)</f>
        <v/>
      </c>
      <c r="B1600">
        <f>IF($A1600="","",IF(ISNUMBER($A1600),IF(AND($A1600&gt;=10000101,$A1600&lt;=99991231),INT($A1600/10000),""),IFERROR(VALUE(TRIM(LEFT($A1600,FIND("/",$A1600)-1))),"")))</f>
        <v/>
      </c>
      <c r="C1600">
        <f>IF(OR($A1600="",$B1600=""),"",IF(ISNUMBER($A1600),INT(MOD($A1600,10000)/100),IFERROR(VALUE(TRIM(LEFT(MID($A1600,FIND("/",$A1600)+1,20),FIND("/",MID($A1600,FIND("/",$A1600)+1,20))-1))),"")))</f>
        <v/>
      </c>
      <c r="D1600">
        <f>IF(OR($A1600="",$B1600=""),"",IF(ISNUMBER($A1600),MOD($A1600,100),IFERROR(VALUE(TRIM(MID(MID($A1600,FIND("/",$A1600)+1,20),FIND("/",MID($A1600,FIND("/",$A1600)+1,20))+1,20))),"")))</f>
        <v/>
      </c>
      <c r="E1600">
        <f>IF($A1600="","",IF(OR($B1600="",$C1600="",$D1600="",$B1600&lt;1300,$B1600&gt;1500,$C1600&lt;1,$C1600&gt;12,$D1600&lt;1,$D1600&gt;31),"نامعتبر",RIGHT("0000"&amp;$B1600,4)&amp;"/"&amp;RIGHT("00"&amp;$C1600,2)&amp;"/"&amp;RIGHT("00"&amp;$D1600,2)))</f>
        <v/>
      </c>
      <c r="F1600">
        <f>IF(OR($E1600="",$E1600="نامعتبر"),"",LEFT($E1600,4)&amp;"/"&amp;MID($E1600,6,2))</f>
        <v/>
      </c>
      <c r="G1600">
        <f>IF(OR($E1600="",$E1600="نامعتبر",Sync!$Y1597=""),"",Sync!$Y1597)</f>
        <v/>
      </c>
      <c r="H1600">
        <f>IF($G1600="","",IF(Sync!$X1597="","",Sync!$X1597))</f>
        <v/>
      </c>
      <c r="I1600">
        <f>IF($G1600="","",IFERROR(VLOOKUP(Sync!$X1597,OpTbl,3,0),""))</f>
        <v/>
      </c>
      <c r="J1600">
        <f>IF(OR($G1600="",Sync!$Z1597=""),"",Sync!$Z1597)</f>
        <v/>
      </c>
      <c r="K1600">
        <f>IF(OR($G1600="",Sync!$AA1597=""),"",Sync!$AA1597)</f>
        <v/>
      </c>
      <c r="L1600">
        <f>IF($G1600="",0,IF(Sync!$AB1597="",0,Sync!$AB1597))</f>
        <v/>
      </c>
      <c r="M1600">
        <f>IF($G1600="",0,IF(Sync!$AC1597="",0,Sync!$AC1597))</f>
        <v/>
      </c>
      <c r="N1600">
        <f>IF($G1600="","",IF($H1600="مرجوعی خرید",-1,1)*($L1600-$M1600*IFERROR(VLOOKUP("P01",ParamTbl,3,0),1.5))*(1-IF($I1600="خرید",IFERROR(VLOOKUP("P02",ParamTbl,3,0),1),0)/100))</f>
        <v/>
      </c>
      <c r="O1600">
        <f>IF($G1600="",0,IF($H1600="مرجوعی خرید",-1,1)*IF(Sync!$AD1597="",0,Sync!$AD1597))</f>
        <v/>
      </c>
      <c r="P1600">
        <f>IF(OR($G1600="",Sync!$W1597=""),"",Sync!$W1597)</f>
        <v/>
      </c>
      <c r="Q1600">
        <f>IF(OR($G1600="",Sync!$AE1597=""),"",Sync!$AE1597)</f>
        <v/>
      </c>
      <c r="R1600">
        <f>IF($G1600="","",IF(Sync!$V1597="","0000",IF(AND(ISNUMBER(Sync!$V1597),Sync!$V1597&gt;=0,Sync!$V1597&lt;1),RIGHT("00"&amp;HOUR(Sync!$V1597),2)&amp;RIGHT("00"&amp;MINUTE(Sync!$V1597),2),IFERROR(RIGHT("00"&amp;VALUE(LEFT(Sync!$V1597,FIND(":",Sync!$V1597)-1)),2)&amp;RIGHT("00"&amp;VALUE(MID(Sync!$V1597,FIND(":",Sync!$V1597)+1,2)),2),"0000"))))</f>
        <v/>
      </c>
    </row>
    <row r="1601">
      <c r="A1601">
        <f>IF(Sync!$U1598="","",Sync!$U1598)</f>
        <v/>
      </c>
      <c r="B1601">
        <f>IF($A1601="","",IF(ISNUMBER($A1601),IF(AND($A1601&gt;=10000101,$A1601&lt;=99991231),INT($A1601/10000),""),IFERROR(VALUE(TRIM(LEFT($A1601,FIND("/",$A1601)-1))),"")))</f>
        <v/>
      </c>
      <c r="C1601">
        <f>IF(OR($A1601="",$B1601=""),"",IF(ISNUMBER($A1601),INT(MOD($A1601,10000)/100),IFERROR(VALUE(TRIM(LEFT(MID($A1601,FIND("/",$A1601)+1,20),FIND("/",MID($A1601,FIND("/",$A1601)+1,20))-1))),"")))</f>
        <v/>
      </c>
      <c r="D1601">
        <f>IF(OR($A1601="",$B1601=""),"",IF(ISNUMBER($A1601),MOD($A1601,100),IFERROR(VALUE(TRIM(MID(MID($A1601,FIND("/",$A1601)+1,20),FIND("/",MID($A1601,FIND("/",$A1601)+1,20))+1,20))),"")))</f>
        <v/>
      </c>
      <c r="E1601">
        <f>IF($A1601="","",IF(OR($B1601="",$C1601="",$D1601="",$B1601&lt;1300,$B1601&gt;1500,$C1601&lt;1,$C1601&gt;12,$D1601&lt;1,$D1601&gt;31),"نامعتبر",RIGHT("0000"&amp;$B1601,4)&amp;"/"&amp;RIGHT("00"&amp;$C1601,2)&amp;"/"&amp;RIGHT("00"&amp;$D1601,2)))</f>
        <v/>
      </c>
      <c r="F1601">
        <f>IF(OR($E1601="",$E1601="نامعتبر"),"",LEFT($E1601,4)&amp;"/"&amp;MID($E1601,6,2))</f>
        <v/>
      </c>
      <c r="G1601">
        <f>IF(OR($E1601="",$E1601="نامعتبر",Sync!$Y1598=""),"",Sync!$Y1598)</f>
        <v/>
      </c>
      <c r="H1601">
        <f>IF($G1601="","",IF(Sync!$X1598="","",Sync!$X1598))</f>
        <v/>
      </c>
      <c r="I1601">
        <f>IF($G1601="","",IFERROR(VLOOKUP(Sync!$X1598,OpTbl,3,0),""))</f>
        <v/>
      </c>
      <c r="J1601">
        <f>IF(OR($G1601="",Sync!$Z1598=""),"",Sync!$Z1598)</f>
        <v/>
      </c>
      <c r="K1601">
        <f>IF(OR($G1601="",Sync!$AA1598=""),"",Sync!$AA1598)</f>
        <v/>
      </c>
      <c r="L1601">
        <f>IF($G1601="",0,IF(Sync!$AB1598="",0,Sync!$AB1598))</f>
        <v/>
      </c>
      <c r="M1601">
        <f>IF($G1601="",0,IF(Sync!$AC1598="",0,Sync!$AC1598))</f>
        <v/>
      </c>
      <c r="N1601">
        <f>IF($G1601="","",IF($H1601="مرجوعی خرید",-1,1)*($L1601-$M1601*IFERROR(VLOOKUP("P01",ParamTbl,3,0),1.5))*(1-IF($I1601="خرید",IFERROR(VLOOKUP("P02",ParamTbl,3,0),1),0)/100))</f>
        <v/>
      </c>
      <c r="O1601">
        <f>IF($G1601="",0,IF($H1601="مرجوعی خرید",-1,1)*IF(Sync!$AD1598="",0,Sync!$AD1598))</f>
        <v/>
      </c>
      <c r="P1601">
        <f>IF(OR($G1601="",Sync!$W1598=""),"",Sync!$W1598)</f>
        <v/>
      </c>
      <c r="Q1601">
        <f>IF(OR($G1601="",Sync!$AE1598=""),"",Sync!$AE1598)</f>
        <v/>
      </c>
      <c r="R1601">
        <f>IF($G1601="","",IF(Sync!$V1598="","0000",IF(AND(ISNUMBER(Sync!$V1598),Sync!$V1598&gt;=0,Sync!$V1598&lt;1),RIGHT("00"&amp;HOUR(Sync!$V1598),2)&amp;RIGHT("00"&amp;MINUTE(Sync!$V1598),2),IFERROR(RIGHT("00"&amp;VALUE(LEFT(Sync!$V1598,FIND(":",Sync!$V1598)-1)),2)&amp;RIGHT("00"&amp;VALUE(MID(Sync!$V1598,FIND(":",Sync!$V1598)+1,2)),2),"0000"))))</f>
        <v/>
      </c>
    </row>
    <row r="1602">
      <c r="A1602">
        <f>IF(Sync!$U1599="","",Sync!$U1599)</f>
        <v/>
      </c>
      <c r="B1602">
        <f>IF($A1602="","",IF(ISNUMBER($A1602),IF(AND($A1602&gt;=10000101,$A1602&lt;=99991231),INT($A1602/10000),""),IFERROR(VALUE(TRIM(LEFT($A1602,FIND("/",$A1602)-1))),"")))</f>
        <v/>
      </c>
      <c r="C1602">
        <f>IF(OR($A1602="",$B1602=""),"",IF(ISNUMBER($A1602),INT(MOD($A1602,10000)/100),IFERROR(VALUE(TRIM(LEFT(MID($A1602,FIND("/",$A1602)+1,20),FIND("/",MID($A1602,FIND("/",$A1602)+1,20))-1))),"")))</f>
        <v/>
      </c>
      <c r="D1602">
        <f>IF(OR($A1602="",$B1602=""),"",IF(ISNUMBER($A1602),MOD($A1602,100),IFERROR(VALUE(TRIM(MID(MID($A1602,FIND("/",$A1602)+1,20),FIND("/",MID($A1602,FIND("/",$A1602)+1,20))+1,20))),"")))</f>
        <v/>
      </c>
      <c r="E1602">
        <f>IF($A1602="","",IF(OR($B1602="",$C1602="",$D1602="",$B1602&lt;1300,$B1602&gt;1500,$C1602&lt;1,$C1602&gt;12,$D1602&lt;1,$D1602&gt;31),"نامعتبر",RIGHT("0000"&amp;$B1602,4)&amp;"/"&amp;RIGHT("00"&amp;$C1602,2)&amp;"/"&amp;RIGHT("00"&amp;$D1602,2)))</f>
        <v/>
      </c>
      <c r="F1602">
        <f>IF(OR($E1602="",$E1602="نامعتبر"),"",LEFT($E1602,4)&amp;"/"&amp;MID($E1602,6,2))</f>
        <v/>
      </c>
      <c r="G1602">
        <f>IF(OR($E1602="",$E1602="نامعتبر",Sync!$Y1599=""),"",Sync!$Y1599)</f>
        <v/>
      </c>
      <c r="H1602">
        <f>IF($G1602="","",IF(Sync!$X1599="","",Sync!$X1599))</f>
        <v/>
      </c>
      <c r="I1602">
        <f>IF($G1602="","",IFERROR(VLOOKUP(Sync!$X1599,OpTbl,3,0),""))</f>
        <v/>
      </c>
      <c r="J1602">
        <f>IF(OR($G1602="",Sync!$Z1599=""),"",Sync!$Z1599)</f>
        <v/>
      </c>
      <c r="K1602">
        <f>IF(OR($G1602="",Sync!$AA1599=""),"",Sync!$AA1599)</f>
        <v/>
      </c>
      <c r="L1602">
        <f>IF($G1602="",0,IF(Sync!$AB1599="",0,Sync!$AB1599))</f>
        <v/>
      </c>
      <c r="M1602">
        <f>IF($G1602="",0,IF(Sync!$AC1599="",0,Sync!$AC1599))</f>
        <v/>
      </c>
      <c r="N1602">
        <f>IF($G1602="","",IF($H1602="مرجوعی خرید",-1,1)*($L1602-$M1602*IFERROR(VLOOKUP("P01",ParamTbl,3,0),1.5))*(1-IF($I1602="خرید",IFERROR(VLOOKUP("P02",ParamTbl,3,0),1),0)/100))</f>
        <v/>
      </c>
      <c r="O1602">
        <f>IF($G1602="",0,IF($H1602="مرجوعی خرید",-1,1)*IF(Sync!$AD1599="",0,Sync!$AD1599))</f>
        <v/>
      </c>
      <c r="P1602">
        <f>IF(OR($G1602="",Sync!$W1599=""),"",Sync!$W1599)</f>
        <v/>
      </c>
      <c r="Q1602">
        <f>IF(OR($G1602="",Sync!$AE1599=""),"",Sync!$AE1599)</f>
        <v/>
      </c>
      <c r="R1602">
        <f>IF($G1602="","",IF(Sync!$V1599="","0000",IF(AND(ISNUMBER(Sync!$V1599),Sync!$V1599&gt;=0,Sync!$V1599&lt;1),RIGHT("00"&amp;HOUR(Sync!$V1599),2)&amp;RIGHT("00"&amp;MINUTE(Sync!$V1599),2),IFERROR(RIGHT("00"&amp;VALUE(LEFT(Sync!$V1599,FIND(":",Sync!$V1599)-1)),2)&amp;RIGHT("00"&amp;VALUE(MID(Sync!$V1599,FIND(":",Sync!$V1599)+1,2)),2),"0000"))))</f>
        <v/>
      </c>
    </row>
    <row r="1603">
      <c r="A1603">
        <f>IF(Sync!$U1600="","",Sync!$U1600)</f>
        <v/>
      </c>
      <c r="B1603">
        <f>IF($A1603="","",IF(ISNUMBER($A1603),IF(AND($A1603&gt;=10000101,$A1603&lt;=99991231),INT($A1603/10000),""),IFERROR(VALUE(TRIM(LEFT($A1603,FIND("/",$A1603)-1))),"")))</f>
        <v/>
      </c>
      <c r="C1603">
        <f>IF(OR($A1603="",$B1603=""),"",IF(ISNUMBER($A1603),INT(MOD($A1603,10000)/100),IFERROR(VALUE(TRIM(LEFT(MID($A1603,FIND("/",$A1603)+1,20),FIND("/",MID($A1603,FIND("/",$A1603)+1,20))-1))),"")))</f>
        <v/>
      </c>
      <c r="D1603">
        <f>IF(OR($A1603="",$B1603=""),"",IF(ISNUMBER($A1603),MOD($A1603,100),IFERROR(VALUE(TRIM(MID(MID($A1603,FIND("/",$A1603)+1,20),FIND("/",MID($A1603,FIND("/",$A1603)+1,20))+1,20))),"")))</f>
        <v/>
      </c>
      <c r="E1603">
        <f>IF($A1603="","",IF(OR($B1603="",$C1603="",$D1603="",$B1603&lt;1300,$B1603&gt;1500,$C1603&lt;1,$C1603&gt;12,$D1603&lt;1,$D1603&gt;31),"نامعتبر",RIGHT("0000"&amp;$B1603,4)&amp;"/"&amp;RIGHT("00"&amp;$C1603,2)&amp;"/"&amp;RIGHT("00"&amp;$D1603,2)))</f>
        <v/>
      </c>
      <c r="F1603">
        <f>IF(OR($E1603="",$E1603="نامعتبر"),"",LEFT($E1603,4)&amp;"/"&amp;MID($E1603,6,2))</f>
        <v/>
      </c>
      <c r="G1603">
        <f>IF(OR($E1603="",$E1603="نامعتبر",Sync!$Y1600=""),"",Sync!$Y1600)</f>
        <v/>
      </c>
      <c r="H1603">
        <f>IF($G1603="","",IF(Sync!$X1600="","",Sync!$X1600))</f>
        <v/>
      </c>
      <c r="I1603">
        <f>IF($G1603="","",IFERROR(VLOOKUP(Sync!$X1600,OpTbl,3,0),""))</f>
        <v/>
      </c>
      <c r="J1603">
        <f>IF(OR($G1603="",Sync!$Z1600=""),"",Sync!$Z1600)</f>
        <v/>
      </c>
      <c r="K1603">
        <f>IF(OR($G1603="",Sync!$AA1600=""),"",Sync!$AA1600)</f>
        <v/>
      </c>
      <c r="L1603">
        <f>IF($G1603="",0,IF(Sync!$AB1600="",0,Sync!$AB1600))</f>
        <v/>
      </c>
      <c r="M1603">
        <f>IF($G1603="",0,IF(Sync!$AC1600="",0,Sync!$AC1600))</f>
        <v/>
      </c>
      <c r="N1603">
        <f>IF($G1603="","",IF($H1603="مرجوعی خرید",-1,1)*($L1603-$M1603*IFERROR(VLOOKUP("P01",ParamTbl,3,0),1.5))*(1-IF($I1603="خرید",IFERROR(VLOOKUP("P02",ParamTbl,3,0),1),0)/100))</f>
        <v/>
      </c>
      <c r="O1603">
        <f>IF($G1603="",0,IF($H1603="مرجوعی خرید",-1,1)*IF(Sync!$AD1600="",0,Sync!$AD1600))</f>
        <v/>
      </c>
      <c r="P1603">
        <f>IF(OR($G1603="",Sync!$W1600=""),"",Sync!$W1600)</f>
        <v/>
      </c>
      <c r="Q1603">
        <f>IF(OR($G1603="",Sync!$AE1600=""),"",Sync!$AE1600)</f>
        <v/>
      </c>
      <c r="R1603">
        <f>IF($G1603="","",IF(Sync!$V1600="","0000",IF(AND(ISNUMBER(Sync!$V1600),Sync!$V1600&gt;=0,Sync!$V1600&lt;1),RIGHT("00"&amp;HOUR(Sync!$V1600),2)&amp;RIGHT("00"&amp;MINUTE(Sync!$V1600),2),IFERROR(RIGHT("00"&amp;VALUE(LEFT(Sync!$V1600,FIND(":",Sync!$V1600)-1)),2)&amp;RIGHT("00"&amp;VALUE(MID(Sync!$V1600,FIND(":",Sync!$V1600)+1,2)),2),"0000"))))</f>
        <v/>
      </c>
    </row>
    <row r="1604">
      <c r="A1604">
        <f>IF(Sync!$U1601="","",Sync!$U1601)</f>
        <v/>
      </c>
      <c r="B1604">
        <f>IF($A1604="","",IF(ISNUMBER($A1604),IF(AND($A1604&gt;=10000101,$A1604&lt;=99991231),INT($A1604/10000),""),IFERROR(VALUE(TRIM(LEFT($A1604,FIND("/",$A1604)-1))),"")))</f>
        <v/>
      </c>
      <c r="C1604">
        <f>IF(OR($A1604="",$B1604=""),"",IF(ISNUMBER($A1604),INT(MOD($A1604,10000)/100),IFERROR(VALUE(TRIM(LEFT(MID($A1604,FIND("/",$A1604)+1,20),FIND("/",MID($A1604,FIND("/",$A1604)+1,20))-1))),"")))</f>
        <v/>
      </c>
      <c r="D1604">
        <f>IF(OR($A1604="",$B1604=""),"",IF(ISNUMBER($A1604),MOD($A1604,100),IFERROR(VALUE(TRIM(MID(MID($A1604,FIND("/",$A1604)+1,20),FIND("/",MID($A1604,FIND("/",$A1604)+1,20))+1,20))),"")))</f>
        <v/>
      </c>
      <c r="E1604">
        <f>IF($A1604="","",IF(OR($B1604="",$C1604="",$D1604="",$B1604&lt;1300,$B1604&gt;1500,$C1604&lt;1,$C1604&gt;12,$D1604&lt;1,$D1604&gt;31),"نامعتبر",RIGHT("0000"&amp;$B1604,4)&amp;"/"&amp;RIGHT("00"&amp;$C1604,2)&amp;"/"&amp;RIGHT("00"&amp;$D1604,2)))</f>
        <v/>
      </c>
      <c r="F1604">
        <f>IF(OR($E1604="",$E1604="نامعتبر"),"",LEFT($E1604,4)&amp;"/"&amp;MID($E1604,6,2))</f>
        <v/>
      </c>
      <c r="G1604">
        <f>IF(OR($E1604="",$E1604="نامعتبر",Sync!$Y1601=""),"",Sync!$Y1601)</f>
        <v/>
      </c>
      <c r="H1604">
        <f>IF($G1604="","",IF(Sync!$X1601="","",Sync!$X1601))</f>
        <v/>
      </c>
      <c r="I1604">
        <f>IF($G1604="","",IFERROR(VLOOKUP(Sync!$X1601,OpTbl,3,0),""))</f>
        <v/>
      </c>
      <c r="J1604">
        <f>IF(OR($G1604="",Sync!$Z1601=""),"",Sync!$Z1601)</f>
        <v/>
      </c>
      <c r="K1604">
        <f>IF(OR($G1604="",Sync!$AA1601=""),"",Sync!$AA1601)</f>
        <v/>
      </c>
      <c r="L1604">
        <f>IF($G1604="",0,IF(Sync!$AB1601="",0,Sync!$AB1601))</f>
        <v/>
      </c>
      <c r="M1604">
        <f>IF($G1604="",0,IF(Sync!$AC1601="",0,Sync!$AC1601))</f>
        <v/>
      </c>
      <c r="N1604">
        <f>IF($G1604="","",IF($H1604="مرجوعی خرید",-1,1)*($L1604-$M1604*IFERROR(VLOOKUP("P01",ParamTbl,3,0),1.5))*(1-IF($I1604="خرید",IFERROR(VLOOKUP("P02",ParamTbl,3,0),1),0)/100))</f>
        <v/>
      </c>
      <c r="O1604">
        <f>IF($G1604="",0,IF($H1604="مرجوعی خرید",-1,1)*IF(Sync!$AD1601="",0,Sync!$AD1601))</f>
        <v/>
      </c>
      <c r="P1604">
        <f>IF(OR($G1604="",Sync!$W1601=""),"",Sync!$W1601)</f>
        <v/>
      </c>
      <c r="Q1604">
        <f>IF(OR($G1604="",Sync!$AE1601=""),"",Sync!$AE1601)</f>
        <v/>
      </c>
      <c r="R1604">
        <f>IF($G1604="","",IF(Sync!$V1601="","0000",IF(AND(ISNUMBER(Sync!$V1601),Sync!$V1601&gt;=0,Sync!$V1601&lt;1),RIGHT("00"&amp;HOUR(Sync!$V1601),2)&amp;RIGHT("00"&amp;MINUTE(Sync!$V1601),2),IFERROR(RIGHT("00"&amp;VALUE(LEFT(Sync!$V1601,FIND(":",Sync!$V1601)-1)),2)&amp;RIGHT("00"&amp;VALUE(MID(Sync!$V1601,FIND(":",Sync!$V1601)+1,2)),2),"0000"))))</f>
        <v/>
      </c>
    </row>
    <row r="1605">
      <c r="A1605">
        <f>IF(Sync!$U1602="","",Sync!$U1602)</f>
        <v/>
      </c>
      <c r="B1605">
        <f>IF($A1605="","",IF(ISNUMBER($A1605),IF(AND($A1605&gt;=10000101,$A1605&lt;=99991231),INT($A1605/10000),""),IFERROR(VALUE(TRIM(LEFT($A1605,FIND("/",$A1605)-1))),"")))</f>
        <v/>
      </c>
      <c r="C1605">
        <f>IF(OR($A1605="",$B1605=""),"",IF(ISNUMBER($A1605),INT(MOD($A1605,10000)/100),IFERROR(VALUE(TRIM(LEFT(MID($A1605,FIND("/",$A1605)+1,20),FIND("/",MID($A1605,FIND("/",$A1605)+1,20))-1))),"")))</f>
        <v/>
      </c>
      <c r="D1605">
        <f>IF(OR($A1605="",$B1605=""),"",IF(ISNUMBER($A1605),MOD($A1605,100),IFERROR(VALUE(TRIM(MID(MID($A1605,FIND("/",$A1605)+1,20),FIND("/",MID($A1605,FIND("/",$A1605)+1,20))+1,20))),"")))</f>
        <v/>
      </c>
      <c r="E1605">
        <f>IF($A1605="","",IF(OR($B1605="",$C1605="",$D1605="",$B1605&lt;1300,$B1605&gt;1500,$C1605&lt;1,$C1605&gt;12,$D1605&lt;1,$D1605&gt;31),"نامعتبر",RIGHT("0000"&amp;$B1605,4)&amp;"/"&amp;RIGHT("00"&amp;$C1605,2)&amp;"/"&amp;RIGHT("00"&amp;$D1605,2)))</f>
        <v/>
      </c>
      <c r="F1605">
        <f>IF(OR($E1605="",$E1605="نامعتبر"),"",LEFT($E1605,4)&amp;"/"&amp;MID($E1605,6,2))</f>
        <v/>
      </c>
      <c r="G1605">
        <f>IF(OR($E1605="",$E1605="نامعتبر",Sync!$Y1602=""),"",Sync!$Y1602)</f>
        <v/>
      </c>
      <c r="H1605">
        <f>IF($G1605="","",IF(Sync!$X1602="","",Sync!$X1602))</f>
        <v/>
      </c>
      <c r="I1605">
        <f>IF($G1605="","",IFERROR(VLOOKUP(Sync!$X1602,OpTbl,3,0),""))</f>
        <v/>
      </c>
      <c r="J1605">
        <f>IF(OR($G1605="",Sync!$Z1602=""),"",Sync!$Z1602)</f>
        <v/>
      </c>
      <c r="K1605">
        <f>IF(OR($G1605="",Sync!$AA1602=""),"",Sync!$AA1602)</f>
        <v/>
      </c>
      <c r="L1605">
        <f>IF($G1605="",0,IF(Sync!$AB1602="",0,Sync!$AB1602))</f>
        <v/>
      </c>
      <c r="M1605">
        <f>IF($G1605="",0,IF(Sync!$AC1602="",0,Sync!$AC1602))</f>
        <v/>
      </c>
      <c r="N1605">
        <f>IF($G1605="","",IF($H1605="مرجوعی خرید",-1,1)*($L1605-$M1605*IFERROR(VLOOKUP("P01",ParamTbl,3,0),1.5))*(1-IF($I1605="خرید",IFERROR(VLOOKUP("P02",ParamTbl,3,0),1),0)/100))</f>
        <v/>
      </c>
      <c r="O1605">
        <f>IF($G1605="",0,IF($H1605="مرجوعی خرید",-1,1)*IF(Sync!$AD1602="",0,Sync!$AD1602))</f>
        <v/>
      </c>
      <c r="P1605">
        <f>IF(OR($G1605="",Sync!$W1602=""),"",Sync!$W1602)</f>
        <v/>
      </c>
      <c r="Q1605">
        <f>IF(OR($G1605="",Sync!$AE1602=""),"",Sync!$AE1602)</f>
        <v/>
      </c>
      <c r="R1605">
        <f>IF($G1605="","",IF(Sync!$V1602="","0000",IF(AND(ISNUMBER(Sync!$V1602),Sync!$V1602&gt;=0,Sync!$V1602&lt;1),RIGHT("00"&amp;HOUR(Sync!$V1602),2)&amp;RIGHT("00"&amp;MINUTE(Sync!$V1602),2),IFERROR(RIGHT("00"&amp;VALUE(LEFT(Sync!$V1602,FIND(":",Sync!$V1602)-1)),2)&amp;RIGHT("00"&amp;VALUE(MID(Sync!$V1602,FIND(":",Sync!$V1602)+1,2)),2),"0000"))))</f>
        <v/>
      </c>
    </row>
    <row r="1606">
      <c r="A1606">
        <f>IF(Sync!$U1603="","",Sync!$U1603)</f>
        <v/>
      </c>
      <c r="B1606">
        <f>IF($A1606="","",IF(ISNUMBER($A1606),IF(AND($A1606&gt;=10000101,$A1606&lt;=99991231),INT($A1606/10000),""),IFERROR(VALUE(TRIM(LEFT($A1606,FIND("/",$A1606)-1))),"")))</f>
        <v/>
      </c>
      <c r="C1606">
        <f>IF(OR($A1606="",$B1606=""),"",IF(ISNUMBER($A1606),INT(MOD($A1606,10000)/100),IFERROR(VALUE(TRIM(LEFT(MID($A1606,FIND("/",$A1606)+1,20),FIND("/",MID($A1606,FIND("/",$A1606)+1,20))-1))),"")))</f>
        <v/>
      </c>
      <c r="D1606">
        <f>IF(OR($A1606="",$B1606=""),"",IF(ISNUMBER($A1606),MOD($A1606,100),IFERROR(VALUE(TRIM(MID(MID($A1606,FIND("/",$A1606)+1,20),FIND("/",MID($A1606,FIND("/",$A1606)+1,20))+1,20))),"")))</f>
        <v/>
      </c>
      <c r="E1606">
        <f>IF($A1606="","",IF(OR($B1606="",$C1606="",$D1606="",$B1606&lt;1300,$B1606&gt;1500,$C1606&lt;1,$C1606&gt;12,$D1606&lt;1,$D1606&gt;31),"نامعتبر",RIGHT("0000"&amp;$B1606,4)&amp;"/"&amp;RIGHT("00"&amp;$C1606,2)&amp;"/"&amp;RIGHT("00"&amp;$D1606,2)))</f>
        <v/>
      </c>
      <c r="F1606">
        <f>IF(OR($E1606="",$E1606="نامعتبر"),"",LEFT($E1606,4)&amp;"/"&amp;MID($E1606,6,2))</f>
        <v/>
      </c>
      <c r="G1606">
        <f>IF(OR($E1606="",$E1606="نامعتبر",Sync!$Y1603=""),"",Sync!$Y1603)</f>
        <v/>
      </c>
      <c r="H1606">
        <f>IF($G1606="","",IF(Sync!$X1603="","",Sync!$X1603))</f>
        <v/>
      </c>
      <c r="I1606">
        <f>IF($G1606="","",IFERROR(VLOOKUP(Sync!$X1603,OpTbl,3,0),""))</f>
        <v/>
      </c>
      <c r="J1606">
        <f>IF(OR($G1606="",Sync!$Z1603=""),"",Sync!$Z1603)</f>
        <v/>
      </c>
      <c r="K1606">
        <f>IF(OR($G1606="",Sync!$AA1603=""),"",Sync!$AA1603)</f>
        <v/>
      </c>
      <c r="L1606">
        <f>IF($G1606="",0,IF(Sync!$AB1603="",0,Sync!$AB1603))</f>
        <v/>
      </c>
      <c r="M1606">
        <f>IF($G1606="",0,IF(Sync!$AC1603="",0,Sync!$AC1603))</f>
        <v/>
      </c>
      <c r="N1606">
        <f>IF($G1606="","",IF($H1606="مرجوعی خرید",-1,1)*($L1606-$M1606*IFERROR(VLOOKUP("P01",ParamTbl,3,0),1.5))*(1-IF($I1606="خرید",IFERROR(VLOOKUP("P02",ParamTbl,3,0),1),0)/100))</f>
        <v/>
      </c>
      <c r="O1606">
        <f>IF($G1606="",0,IF($H1606="مرجوعی خرید",-1,1)*IF(Sync!$AD1603="",0,Sync!$AD1603))</f>
        <v/>
      </c>
      <c r="P1606">
        <f>IF(OR($G1606="",Sync!$W1603=""),"",Sync!$W1603)</f>
        <v/>
      </c>
      <c r="Q1606">
        <f>IF(OR($G1606="",Sync!$AE1603=""),"",Sync!$AE1603)</f>
        <v/>
      </c>
      <c r="R1606">
        <f>IF($G1606="","",IF(Sync!$V1603="","0000",IF(AND(ISNUMBER(Sync!$V1603),Sync!$V1603&gt;=0,Sync!$V1603&lt;1),RIGHT("00"&amp;HOUR(Sync!$V1603),2)&amp;RIGHT("00"&amp;MINUTE(Sync!$V1603),2),IFERROR(RIGHT("00"&amp;VALUE(LEFT(Sync!$V1603,FIND(":",Sync!$V1603)-1)),2)&amp;RIGHT("00"&amp;VALUE(MID(Sync!$V1603,FIND(":",Sync!$V1603)+1,2)),2),"0000"))))</f>
        <v/>
      </c>
    </row>
    <row r="1607">
      <c r="A1607">
        <f>IF(Sync!$U1604="","",Sync!$U1604)</f>
        <v/>
      </c>
      <c r="B1607">
        <f>IF($A1607="","",IF(ISNUMBER($A1607),IF(AND($A1607&gt;=10000101,$A1607&lt;=99991231),INT($A1607/10000),""),IFERROR(VALUE(TRIM(LEFT($A1607,FIND("/",$A1607)-1))),"")))</f>
        <v/>
      </c>
      <c r="C1607">
        <f>IF(OR($A1607="",$B1607=""),"",IF(ISNUMBER($A1607),INT(MOD($A1607,10000)/100),IFERROR(VALUE(TRIM(LEFT(MID($A1607,FIND("/",$A1607)+1,20),FIND("/",MID($A1607,FIND("/",$A1607)+1,20))-1))),"")))</f>
        <v/>
      </c>
      <c r="D1607">
        <f>IF(OR($A1607="",$B1607=""),"",IF(ISNUMBER($A1607),MOD($A1607,100),IFERROR(VALUE(TRIM(MID(MID($A1607,FIND("/",$A1607)+1,20),FIND("/",MID($A1607,FIND("/",$A1607)+1,20))+1,20))),"")))</f>
        <v/>
      </c>
      <c r="E1607">
        <f>IF($A1607="","",IF(OR($B1607="",$C1607="",$D1607="",$B1607&lt;1300,$B1607&gt;1500,$C1607&lt;1,$C1607&gt;12,$D1607&lt;1,$D1607&gt;31),"نامعتبر",RIGHT("0000"&amp;$B1607,4)&amp;"/"&amp;RIGHT("00"&amp;$C1607,2)&amp;"/"&amp;RIGHT("00"&amp;$D1607,2)))</f>
        <v/>
      </c>
      <c r="F1607">
        <f>IF(OR($E1607="",$E1607="نامعتبر"),"",LEFT($E1607,4)&amp;"/"&amp;MID($E1607,6,2))</f>
        <v/>
      </c>
      <c r="G1607">
        <f>IF(OR($E1607="",$E1607="نامعتبر",Sync!$Y1604=""),"",Sync!$Y1604)</f>
        <v/>
      </c>
      <c r="H1607">
        <f>IF($G1607="","",IF(Sync!$X1604="","",Sync!$X1604))</f>
        <v/>
      </c>
      <c r="I1607">
        <f>IF($G1607="","",IFERROR(VLOOKUP(Sync!$X1604,OpTbl,3,0),""))</f>
        <v/>
      </c>
      <c r="J1607">
        <f>IF(OR($G1607="",Sync!$Z1604=""),"",Sync!$Z1604)</f>
        <v/>
      </c>
      <c r="K1607">
        <f>IF(OR($G1607="",Sync!$AA1604=""),"",Sync!$AA1604)</f>
        <v/>
      </c>
      <c r="L1607">
        <f>IF($G1607="",0,IF(Sync!$AB1604="",0,Sync!$AB1604))</f>
        <v/>
      </c>
      <c r="M1607">
        <f>IF($G1607="",0,IF(Sync!$AC1604="",0,Sync!$AC1604))</f>
        <v/>
      </c>
      <c r="N1607">
        <f>IF($G1607="","",IF($H1607="مرجوعی خرید",-1,1)*($L1607-$M1607*IFERROR(VLOOKUP("P01",ParamTbl,3,0),1.5))*(1-IF($I1607="خرید",IFERROR(VLOOKUP("P02",ParamTbl,3,0),1),0)/100))</f>
        <v/>
      </c>
      <c r="O1607">
        <f>IF($G1607="",0,IF($H1607="مرجوعی خرید",-1,1)*IF(Sync!$AD1604="",0,Sync!$AD1604))</f>
        <v/>
      </c>
      <c r="P1607">
        <f>IF(OR($G1607="",Sync!$W1604=""),"",Sync!$W1604)</f>
        <v/>
      </c>
      <c r="Q1607">
        <f>IF(OR($G1607="",Sync!$AE1604=""),"",Sync!$AE1604)</f>
        <v/>
      </c>
      <c r="R1607">
        <f>IF($G1607="","",IF(Sync!$V1604="","0000",IF(AND(ISNUMBER(Sync!$V1604),Sync!$V1604&gt;=0,Sync!$V1604&lt;1),RIGHT("00"&amp;HOUR(Sync!$V1604),2)&amp;RIGHT("00"&amp;MINUTE(Sync!$V1604),2),IFERROR(RIGHT("00"&amp;VALUE(LEFT(Sync!$V1604,FIND(":",Sync!$V1604)-1)),2)&amp;RIGHT("00"&amp;VALUE(MID(Sync!$V1604,FIND(":",Sync!$V1604)+1,2)),2),"0000"))))</f>
        <v/>
      </c>
    </row>
    <row r="1608">
      <c r="A1608">
        <f>IF(Sync!$U1605="","",Sync!$U1605)</f>
        <v/>
      </c>
      <c r="B1608">
        <f>IF($A1608="","",IF(ISNUMBER($A1608),IF(AND($A1608&gt;=10000101,$A1608&lt;=99991231),INT($A1608/10000),""),IFERROR(VALUE(TRIM(LEFT($A1608,FIND("/",$A1608)-1))),"")))</f>
        <v/>
      </c>
      <c r="C1608">
        <f>IF(OR($A1608="",$B1608=""),"",IF(ISNUMBER($A1608),INT(MOD($A1608,10000)/100),IFERROR(VALUE(TRIM(LEFT(MID($A1608,FIND("/",$A1608)+1,20),FIND("/",MID($A1608,FIND("/",$A1608)+1,20))-1))),"")))</f>
        <v/>
      </c>
      <c r="D1608">
        <f>IF(OR($A1608="",$B1608=""),"",IF(ISNUMBER($A1608),MOD($A1608,100),IFERROR(VALUE(TRIM(MID(MID($A1608,FIND("/",$A1608)+1,20),FIND("/",MID($A1608,FIND("/",$A1608)+1,20))+1,20))),"")))</f>
        <v/>
      </c>
      <c r="E1608">
        <f>IF($A1608="","",IF(OR($B1608="",$C1608="",$D1608="",$B1608&lt;1300,$B1608&gt;1500,$C1608&lt;1,$C1608&gt;12,$D1608&lt;1,$D1608&gt;31),"نامعتبر",RIGHT("0000"&amp;$B1608,4)&amp;"/"&amp;RIGHT("00"&amp;$C1608,2)&amp;"/"&amp;RIGHT("00"&amp;$D1608,2)))</f>
        <v/>
      </c>
      <c r="F1608">
        <f>IF(OR($E1608="",$E1608="نامعتبر"),"",LEFT($E1608,4)&amp;"/"&amp;MID($E1608,6,2))</f>
        <v/>
      </c>
      <c r="G1608">
        <f>IF(OR($E1608="",$E1608="نامعتبر",Sync!$Y1605=""),"",Sync!$Y1605)</f>
        <v/>
      </c>
      <c r="H1608">
        <f>IF($G1608="","",IF(Sync!$X1605="","",Sync!$X1605))</f>
        <v/>
      </c>
      <c r="I1608">
        <f>IF($G1608="","",IFERROR(VLOOKUP(Sync!$X1605,OpTbl,3,0),""))</f>
        <v/>
      </c>
      <c r="J1608">
        <f>IF(OR($G1608="",Sync!$Z1605=""),"",Sync!$Z1605)</f>
        <v/>
      </c>
      <c r="K1608">
        <f>IF(OR($G1608="",Sync!$AA1605=""),"",Sync!$AA1605)</f>
        <v/>
      </c>
      <c r="L1608">
        <f>IF($G1608="",0,IF(Sync!$AB1605="",0,Sync!$AB1605))</f>
        <v/>
      </c>
      <c r="M1608">
        <f>IF($G1608="",0,IF(Sync!$AC1605="",0,Sync!$AC1605))</f>
        <v/>
      </c>
      <c r="N1608">
        <f>IF($G1608="","",IF($H1608="مرجوعی خرید",-1,1)*($L1608-$M1608*IFERROR(VLOOKUP("P01",ParamTbl,3,0),1.5))*(1-IF($I1608="خرید",IFERROR(VLOOKUP("P02",ParamTbl,3,0),1),0)/100))</f>
        <v/>
      </c>
      <c r="O1608">
        <f>IF($G1608="",0,IF($H1608="مرجوعی خرید",-1,1)*IF(Sync!$AD1605="",0,Sync!$AD1605))</f>
        <v/>
      </c>
      <c r="P1608">
        <f>IF(OR($G1608="",Sync!$W1605=""),"",Sync!$W1605)</f>
        <v/>
      </c>
      <c r="Q1608">
        <f>IF(OR($G1608="",Sync!$AE1605=""),"",Sync!$AE1605)</f>
        <v/>
      </c>
      <c r="R1608">
        <f>IF($G1608="","",IF(Sync!$V1605="","0000",IF(AND(ISNUMBER(Sync!$V1605),Sync!$V1605&gt;=0,Sync!$V1605&lt;1),RIGHT("00"&amp;HOUR(Sync!$V1605),2)&amp;RIGHT("00"&amp;MINUTE(Sync!$V1605),2),IFERROR(RIGHT("00"&amp;VALUE(LEFT(Sync!$V1605,FIND(":",Sync!$V1605)-1)),2)&amp;RIGHT("00"&amp;VALUE(MID(Sync!$V1605,FIND(":",Sync!$V1605)+1,2)),2),"0000"))))</f>
        <v/>
      </c>
    </row>
    <row r="1609">
      <c r="A1609">
        <f>IF(Sync!$U1606="","",Sync!$U1606)</f>
        <v/>
      </c>
      <c r="B1609">
        <f>IF($A1609="","",IF(ISNUMBER($A1609),IF(AND($A1609&gt;=10000101,$A1609&lt;=99991231),INT($A1609/10000),""),IFERROR(VALUE(TRIM(LEFT($A1609,FIND("/",$A1609)-1))),"")))</f>
        <v/>
      </c>
      <c r="C1609">
        <f>IF(OR($A1609="",$B1609=""),"",IF(ISNUMBER($A1609),INT(MOD($A1609,10000)/100),IFERROR(VALUE(TRIM(LEFT(MID($A1609,FIND("/",$A1609)+1,20),FIND("/",MID($A1609,FIND("/",$A1609)+1,20))-1))),"")))</f>
        <v/>
      </c>
      <c r="D1609">
        <f>IF(OR($A1609="",$B1609=""),"",IF(ISNUMBER($A1609),MOD($A1609,100),IFERROR(VALUE(TRIM(MID(MID($A1609,FIND("/",$A1609)+1,20),FIND("/",MID($A1609,FIND("/",$A1609)+1,20))+1,20))),"")))</f>
        <v/>
      </c>
      <c r="E1609">
        <f>IF($A1609="","",IF(OR($B1609="",$C1609="",$D1609="",$B1609&lt;1300,$B1609&gt;1500,$C1609&lt;1,$C1609&gt;12,$D1609&lt;1,$D1609&gt;31),"نامعتبر",RIGHT("0000"&amp;$B1609,4)&amp;"/"&amp;RIGHT("00"&amp;$C1609,2)&amp;"/"&amp;RIGHT("00"&amp;$D1609,2)))</f>
        <v/>
      </c>
      <c r="F1609">
        <f>IF(OR($E1609="",$E1609="نامعتبر"),"",LEFT($E1609,4)&amp;"/"&amp;MID($E1609,6,2))</f>
        <v/>
      </c>
      <c r="G1609">
        <f>IF(OR($E1609="",$E1609="نامعتبر",Sync!$Y1606=""),"",Sync!$Y1606)</f>
        <v/>
      </c>
      <c r="H1609">
        <f>IF($G1609="","",IF(Sync!$X1606="","",Sync!$X1606))</f>
        <v/>
      </c>
      <c r="I1609">
        <f>IF($G1609="","",IFERROR(VLOOKUP(Sync!$X1606,OpTbl,3,0),""))</f>
        <v/>
      </c>
      <c r="J1609">
        <f>IF(OR($G1609="",Sync!$Z1606=""),"",Sync!$Z1606)</f>
        <v/>
      </c>
      <c r="K1609">
        <f>IF(OR($G1609="",Sync!$AA1606=""),"",Sync!$AA1606)</f>
        <v/>
      </c>
      <c r="L1609">
        <f>IF($G1609="",0,IF(Sync!$AB1606="",0,Sync!$AB1606))</f>
        <v/>
      </c>
      <c r="M1609">
        <f>IF($G1609="",0,IF(Sync!$AC1606="",0,Sync!$AC1606))</f>
        <v/>
      </c>
      <c r="N1609">
        <f>IF($G1609="","",IF($H1609="مرجوعی خرید",-1,1)*($L1609-$M1609*IFERROR(VLOOKUP("P01",ParamTbl,3,0),1.5))*(1-IF($I1609="خرید",IFERROR(VLOOKUP("P02",ParamTbl,3,0),1),0)/100))</f>
        <v/>
      </c>
      <c r="O1609">
        <f>IF($G1609="",0,IF($H1609="مرجوعی خرید",-1,1)*IF(Sync!$AD1606="",0,Sync!$AD1606))</f>
        <v/>
      </c>
      <c r="P1609">
        <f>IF(OR($G1609="",Sync!$W1606=""),"",Sync!$W1606)</f>
        <v/>
      </c>
      <c r="Q1609">
        <f>IF(OR($G1609="",Sync!$AE1606=""),"",Sync!$AE1606)</f>
        <v/>
      </c>
      <c r="R1609">
        <f>IF($G1609="","",IF(Sync!$V1606="","0000",IF(AND(ISNUMBER(Sync!$V1606),Sync!$V1606&gt;=0,Sync!$V1606&lt;1),RIGHT("00"&amp;HOUR(Sync!$V1606),2)&amp;RIGHT("00"&amp;MINUTE(Sync!$V1606),2),IFERROR(RIGHT("00"&amp;VALUE(LEFT(Sync!$V1606,FIND(":",Sync!$V1606)-1)),2)&amp;RIGHT("00"&amp;VALUE(MID(Sync!$V1606,FIND(":",Sync!$V1606)+1,2)),2),"0000"))))</f>
        <v/>
      </c>
    </row>
    <row r="1610">
      <c r="A1610">
        <f>IF(Sync!$U1607="","",Sync!$U1607)</f>
        <v/>
      </c>
      <c r="B1610">
        <f>IF($A1610="","",IF(ISNUMBER($A1610),IF(AND($A1610&gt;=10000101,$A1610&lt;=99991231),INT($A1610/10000),""),IFERROR(VALUE(TRIM(LEFT($A1610,FIND("/",$A1610)-1))),"")))</f>
        <v/>
      </c>
      <c r="C1610">
        <f>IF(OR($A1610="",$B1610=""),"",IF(ISNUMBER($A1610),INT(MOD($A1610,10000)/100),IFERROR(VALUE(TRIM(LEFT(MID($A1610,FIND("/",$A1610)+1,20),FIND("/",MID($A1610,FIND("/",$A1610)+1,20))-1))),"")))</f>
        <v/>
      </c>
      <c r="D1610">
        <f>IF(OR($A1610="",$B1610=""),"",IF(ISNUMBER($A1610),MOD($A1610,100),IFERROR(VALUE(TRIM(MID(MID($A1610,FIND("/",$A1610)+1,20),FIND("/",MID($A1610,FIND("/",$A1610)+1,20))+1,20))),"")))</f>
        <v/>
      </c>
      <c r="E1610">
        <f>IF($A1610="","",IF(OR($B1610="",$C1610="",$D1610="",$B1610&lt;1300,$B1610&gt;1500,$C1610&lt;1,$C1610&gt;12,$D1610&lt;1,$D1610&gt;31),"نامعتبر",RIGHT("0000"&amp;$B1610,4)&amp;"/"&amp;RIGHT("00"&amp;$C1610,2)&amp;"/"&amp;RIGHT("00"&amp;$D1610,2)))</f>
        <v/>
      </c>
      <c r="F1610">
        <f>IF(OR($E1610="",$E1610="نامعتبر"),"",LEFT($E1610,4)&amp;"/"&amp;MID($E1610,6,2))</f>
        <v/>
      </c>
      <c r="G1610">
        <f>IF(OR($E1610="",$E1610="نامعتبر",Sync!$Y1607=""),"",Sync!$Y1607)</f>
        <v/>
      </c>
      <c r="H1610">
        <f>IF($G1610="","",IF(Sync!$X1607="","",Sync!$X1607))</f>
        <v/>
      </c>
      <c r="I1610">
        <f>IF($G1610="","",IFERROR(VLOOKUP(Sync!$X1607,OpTbl,3,0),""))</f>
        <v/>
      </c>
      <c r="J1610">
        <f>IF(OR($G1610="",Sync!$Z1607=""),"",Sync!$Z1607)</f>
        <v/>
      </c>
      <c r="K1610">
        <f>IF(OR($G1610="",Sync!$AA1607=""),"",Sync!$AA1607)</f>
        <v/>
      </c>
      <c r="L1610">
        <f>IF($G1610="",0,IF(Sync!$AB1607="",0,Sync!$AB1607))</f>
        <v/>
      </c>
      <c r="M1610">
        <f>IF($G1610="",0,IF(Sync!$AC1607="",0,Sync!$AC1607))</f>
        <v/>
      </c>
      <c r="N1610">
        <f>IF($G1610="","",IF($H1610="مرجوعی خرید",-1,1)*($L1610-$M1610*IFERROR(VLOOKUP("P01",ParamTbl,3,0),1.5))*(1-IF($I1610="خرید",IFERROR(VLOOKUP("P02",ParamTbl,3,0),1),0)/100))</f>
        <v/>
      </c>
      <c r="O1610">
        <f>IF($G1610="",0,IF($H1610="مرجوعی خرید",-1,1)*IF(Sync!$AD1607="",0,Sync!$AD1607))</f>
        <v/>
      </c>
      <c r="P1610">
        <f>IF(OR($G1610="",Sync!$W1607=""),"",Sync!$W1607)</f>
        <v/>
      </c>
      <c r="Q1610">
        <f>IF(OR($G1610="",Sync!$AE1607=""),"",Sync!$AE1607)</f>
        <v/>
      </c>
      <c r="R1610">
        <f>IF($G1610="","",IF(Sync!$V1607="","0000",IF(AND(ISNUMBER(Sync!$V1607),Sync!$V1607&gt;=0,Sync!$V1607&lt;1),RIGHT("00"&amp;HOUR(Sync!$V1607),2)&amp;RIGHT("00"&amp;MINUTE(Sync!$V1607),2),IFERROR(RIGHT("00"&amp;VALUE(LEFT(Sync!$V1607,FIND(":",Sync!$V1607)-1)),2)&amp;RIGHT("00"&amp;VALUE(MID(Sync!$V1607,FIND(":",Sync!$V1607)+1,2)),2),"0000"))))</f>
        <v/>
      </c>
    </row>
    <row r="1611">
      <c r="A1611">
        <f>IF(Sync!$U1608="","",Sync!$U1608)</f>
        <v/>
      </c>
      <c r="B1611">
        <f>IF($A1611="","",IF(ISNUMBER($A1611),IF(AND($A1611&gt;=10000101,$A1611&lt;=99991231),INT($A1611/10000),""),IFERROR(VALUE(TRIM(LEFT($A1611,FIND("/",$A1611)-1))),"")))</f>
        <v/>
      </c>
      <c r="C1611">
        <f>IF(OR($A1611="",$B1611=""),"",IF(ISNUMBER($A1611),INT(MOD($A1611,10000)/100),IFERROR(VALUE(TRIM(LEFT(MID($A1611,FIND("/",$A1611)+1,20),FIND("/",MID($A1611,FIND("/",$A1611)+1,20))-1))),"")))</f>
        <v/>
      </c>
      <c r="D1611">
        <f>IF(OR($A1611="",$B1611=""),"",IF(ISNUMBER($A1611),MOD($A1611,100),IFERROR(VALUE(TRIM(MID(MID($A1611,FIND("/",$A1611)+1,20),FIND("/",MID($A1611,FIND("/",$A1611)+1,20))+1,20))),"")))</f>
        <v/>
      </c>
      <c r="E1611">
        <f>IF($A1611="","",IF(OR($B1611="",$C1611="",$D1611="",$B1611&lt;1300,$B1611&gt;1500,$C1611&lt;1,$C1611&gt;12,$D1611&lt;1,$D1611&gt;31),"نامعتبر",RIGHT("0000"&amp;$B1611,4)&amp;"/"&amp;RIGHT("00"&amp;$C1611,2)&amp;"/"&amp;RIGHT("00"&amp;$D1611,2)))</f>
        <v/>
      </c>
      <c r="F1611">
        <f>IF(OR($E1611="",$E1611="نامعتبر"),"",LEFT($E1611,4)&amp;"/"&amp;MID($E1611,6,2))</f>
        <v/>
      </c>
      <c r="G1611">
        <f>IF(OR($E1611="",$E1611="نامعتبر",Sync!$Y1608=""),"",Sync!$Y1608)</f>
        <v/>
      </c>
      <c r="H1611">
        <f>IF($G1611="","",IF(Sync!$X1608="","",Sync!$X1608))</f>
        <v/>
      </c>
      <c r="I1611">
        <f>IF($G1611="","",IFERROR(VLOOKUP(Sync!$X1608,OpTbl,3,0),""))</f>
        <v/>
      </c>
      <c r="J1611">
        <f>IF(OR($G1611="",Sync!$Z1608=""),"",Sync!$Z1608)</f>
        <v/>
      </c>
      <c r="K1611">
        <f>IF(OR($G1611="",Sync!$AA1608=""),"",Sync!$AA1608)</f>
        <v/>
      </c>
      <c r="L1611">
        <f>IF($G1611="",0,IF(Sync!$AB1608="",0,Sync!$AB1608))</f>
        <v/>
      </c>
      <c r="M1611">
        <f>IF($G1611="",0,IF(Sync!$AC1608="",0,Sync!$AC1608))</f>
        <v/>
      </c>
      <c r="N1611">
        <f>IF($G1611="","",IF($H1611="مرجوعی خرید",-1,1)*($L1611-$M1611*IFERROR(VLOOKUP("P01",ParamTbl,3,0),1.5))*(1-IF($I1611="خرید",IFERROR(VLOOKUP("P02",ParamTbl,3,0),1),0)/100))</f>
        <v/>
      </c>
      <c r="O1611">
        <f>IF($G1611="",0,IF($H1611="مرجوعی خرید",-1,1)*IF(Sync!$AD1608="",0,Sync!$AD1608))</f>
        <v/>
      </c>
      <c r="P1611">
        <f>IF(OR($G1611="",Sync!$W1608=""),"",Sync!$W1608)</f>
        <v/>
      </c>
      <c r="Q1611">
        <f>IF(OR($G1611="",Sync!$AE1608=""),"",Sync!$AE1608)</f>
        <v/>
      </c>
      <c r="R1611">
        <f>IF($G1611="","",IF(Sync!$V1608="","0000",IF(AND(ISNUMBER(Sync!$V1608),Sync!$V1608&gt;=0,Sync!$V1608&lt;1),RIGHT("00"&amp;HOUR(Sync!$V1608),2)&amp;RIGHT("00"&amp;MINUTE(Sync!$V1608),2),IFERROR(RIGHT("00"&amp;VALUE(LEFT(Sync!$V1608,FIND(":",Sync!$V1608)-1)),2)&amp;RIGHT("00"&amp;VALUE(MID(Sync!$V1608,FIND(":",Sync!$V1608)+1,2)),2),"0000"))))</f>
        <v/>
      </c>
    </row>
    <row r="1612">
      <c r="A1612">
        <f>IF(Sync!$U1609="","",Sync!$U1609)</f>
        <v/>
      </c>
      <c r="B1612">
        <f>IF($A1612="","",IF(ISNUMBER($A1612),IF(AND($A1612&gt;=10000101,$A1612&lt;=99991231),INT($A1612/10000),""),IFERROR(VALUE(TRIM(LEFT($A1612,FIND("/",$A1612)-1))),"")))</f>
        <v/>
      </c>
      <c r="C1612">
        <f>IF(OR($A1612="",$B1612=""),"",IF(ISNUMBER($A1612),INT(MOD($A1612,10000)/100),IFERROR(VALUE(TRIM(LEFT(MID($A1612,FIND("/",$A1612)+1,20),FIND("/",MID($A1612,FIND("/",$A1612)+1,20))-1))),"")))</f>
        <v/>
      </c>
      <c r="D1612">
        <f>IF(OR($A1612="",$B1612=""),"",IF(ISNUMBER($A1612),MOD($A1612,100),IFERROR(VALUE(TRIM(MID(MID($A1612,FIND("/",$A1612)+1,20),FIND("/",MID($A1612,FIND("/",$A1612)+1,20))+1,20))),"")))</f>
        <v/>
      </c>
      <c r="E1612">
        <f>IF($A1612="","",IF(OR($B1612="",$C1612="",$D1612="",$B1612&lt;1300,$B1612&gt;1500,$C1612&lt;1,$C1612&gt;12,$D1612&lt;1,$D1612&gt;31),"نامعتبر",RIGHT("0000"&amp;$B1612,4)&amp;"/"&amp;RIGHT("00"&amp;$C1612,2)&amp;"/"&amp;RIGHT("00"&amp;$D1612,2)))</f>
        <v/>
      </c>
      <c r="F1612">
        <f>IF(OR($E1612="",$E1612="نامعتبر"),"",LEFT($E1612,4)&amp;"/"&amp;MID($E1612,6,2))</f>
        <v/>
      </c>
      <c r="G1612">
        <f>IF(OR($E1612="",$E1612="نامعتبر",Sync!$Y1609=""),"",Sync!$Y1609)</f>
        <v/>
      </c>
      <c r="H1612">
        <f>IF($G1612="","",IF(Sync!$X1609="","",Sync!$X1609))</f>
        <v/>
      </c>
      <c r="I1612">
        <f>IF($G1612="","",IFERROR(VLOOKUP(Sync!$X1609,OpTbl,3,0),""))</f>
        <v/>
      </c>
      <c r="J1612">
        <f>IF(OR($G1612="",Sync!$Z1609=""),"",Sync!$Z1609)</f>
        <v/>
      </c>
      <c r="K1612">
        <f>IF(OR($G1612="",Sync!$AA1609=""),"",Sync!$AA1609)</f>
        <v/>
      </c>
      <c r="L1612">
        <f>IF($G1612="",0,IF(Sync!$AB1609="",0,Sync!$AB1609))</f>
        <v/>
      </c>
      <c r="M1612">
        <f>IF($G1612="",0,IF(Sync!$AC1609="",0,Sync!$AC1609))</f>
        <v/>
      </c>
      <c r="N1612">
        <f>IF($G1612="","",IF($H1612="مرجوعی خرید",-1,1)*($L1612-$M1612*IFERROR(VLOOKUP("P01",ParamTbl,3,0),1.5))*(1-IF($I1612="خرید",IFERROR(VLOOKUP("P02",ParamTbl,3,0),1),0)/100))</f>
        <v/>
      </c>
      <c r="O1612">
        <f>IF($G1612="",0,IF($H1612="مرجوعی خرید",-1,1)*IF(Sync!$AD1609="",0,Sync!$AD1609))</f>
        <v/>
      </c>
      <c r="P1612">
        <f>IF(OR($G1612="",Sync!$W1609=""),"",Sync!$W1609)</f>
        <v/>
      </c>
      <c r="Q1612">
        <f>IF(OR($G1612="",Sync!$AE1609=""),"",Sync!$AE1609)</f>
        <v/>
      </c>
      <c r="R1612">
        <f>IF($G1612="","",IF(Sync!$V1609="","0000",IF(AND(ISNUMBER(Sync!$V1609),Sync!$V1609&gt;=0,Sync!$V1609&lt;1),RIGHT("00"&amp;HOUR(Sync!$V1609),2)&amp;RIGHT("00"&amp;MINUTE(Sync!$V1609),2),IFERROR(RIGHT("00"&amp;VALUE(LEFT(Sync!$V1609,FIND(":",Sync!$V1609)-1)),2)&amp;RIGHT("00"&amp;VALUE(MID(Sync!$V1609,FIND(":",Sync!$V1609)+1,2)),2),"0000"))))</f>
        <v/>
      </c>
    </row>
    <row r="1613">
      <c r="A1613">
        <f>IF(Sync!$U1610="","",Sync!$U1610)</f>
        <v/>
      </c>
      <c r="B1613">
        <f>IF($A1613="","",IF(ISNUMBER($A1613),IF(AND($A1613&gt;=10000101,$A1613&lt;=99991231),INT($A1613/10000),""),IFERROR(VALUE(TRIM(LEFT($A1613,FIND("/",$A1613)-1))),"")))</f>
        <v/>
      </c>
      <c r="C1613">
        <f>IF(OR($A1613="",$B1613=""),"",IF(ISNUMBER($A1613),INT(MOD($A1613,10000)/100),IFERROR(VALUE(TRIM(LEFT(MID($A1613,FIND("/",$A1613)+1,20),FIND("/",MID($A1613,FIND("/",$A1613)+1,20))-1))),"")))</f>
        <v/>
      </c>
      <c r="D1613">
        <f>IF(OR($A1613="",$B1613=""),"",IF(ISNUMBER($A1613),MOD($A1613,100),IFERROR(VALUE(TRIM(MID(MID($A1613,FIND("/",$A1613)+1,20),FIND("/",MID($A1613,FIND("/",$A1613)+1,20))+1,20))),"")))</f>
        <v/>
      </c>
      <c r="E1613">
        <f>IF($A1613="","",IF(OR($B1613="",$C1613="",$D1613="",$B1613&lt;1300,$B1613&gt;1500,$C1613&lt;1,$C1613&gt;12,$D1613&lt;1,$D1613&gt;31),"نامعتبر",RIGHT("0000"&amp;$B1613,4)&amp;"/"&amp;RIGHT("00"&amp;$C1613,2)&amp;"/"&amp;RIGHT("00"&amp;$D1613,2)))</f>
        <v/>
      </c>
      <c r="F1613">
        <f>IF(OR($E1613="",$E1613="نامعتبر"),"",LEFT($E1613,4)&amp;"/"&amp;MID($E1613,6,2))</f>
        <v/>
      </c>
      <c r="G1613">
        <f>IF(OR($E1613="",$E1613="نامعتبر",Sync!$Y1610=""),"",Sync!$Y1610)</f>
        <v/>
      </c>
      <c r="H1613">
        <f>IF($G1613="","",IF(Sync!$X1610="","",Sync!$X1610))</f>
        <v/>
      </c>
      <c r="I1613">
        <f>IF($G1613="","",IFERROR(VLOOKUP(Sync!$X1610,OpTbl,3,0),""))</f>
        <v/>
      </c>
      <c r="J1613">
        <f>IF(OR($G1613="",Sync!$Z1610=""),"",Sync!$Z1610)</f>
        <v/>
      </c>
      <c r="K1613">
        <f>IF(OR($G1613="",Sync!$AA1610=""),"",Sync!$AA1610)</f>
        <v/>
      </c>
      <c r="L1613">
        <f>IF($G1613="",0,IF(Sync!$AB1610="",0,Sync!$AB1610))</f>
        <v/>
      </c>
      <c r="M1613">
        <f>IF($G1613="",0,IF(Sync!$AC1610="",0,Sync!$AC1610))</f>
        <v/>
      </c>
      <c r="N1613">
        <f>IF($G1613="","",IF($H1613="مرجوعی خرید",-1,1)*($L1613-$M1613*IFERROR(VLOOKUP("P01",ParamTbl,3,0),1.5))*(1-IF($I1613="خرید",IFERROR(VLOOKUP("P02",ParamTbl,3,0),1),0)/100))</f>
        <v/>
      </c>
      <c r="O1613">
        <f>IF($G1613="",0,IF($H1613="مرجوعی خرید",-1,1)*IF(Sync!$AD1610="",0,Sync!$AD1610))</f>
        <v/>
      </c>
      <c r="P1613">
        <f>IF(OR($G1613="",Sync!$W1610=""),"",Sync!$W1610)</f>
        <v/>
      </c>
      <c r="Q1613">
        <f>IF(OR($G1613="",Sync!$AE1610=""),"",Sync!$AE1610)</f>
        <v/>
      </c>
      <c r="R1613">
        <f>IF($G1613="","",IF(Sync!$V1610="","0000",IF(AND(ISNUMBER(Sync!$V1610),Sync!$V1610&gt;=0,Sync!$V1610&lt;1),RIGHT("00"&amp;HOUR(Sync!$V1610),2)&amp;RIGHT("00"&amp;MINUTE(Sync!$V1610),2),IFERROR(RIGHT("00"&amp;VALUE(LEFT(Sync!$V1610,FIND(":",Sync!$V1610)-1)),2)&amp;RIGHT("00"&amp;VALUE(MID(Sync!$V1610,FIND(":",Sync!$V1610)+1,2)),2),"0000"))))</f>
        <v/>
      </c>
    </row>
    <row r="1614">
      <c r="A1614">
        <f>IF(Sync!$U1611="","",Sync!$U1611)</f>
        <v/>
      </c>
      <c r="B1614">
        <f>IF($A1614="","",IF(ISNUMBER($A1614),IF(AND($A1614&gt;=10000101,$A1614&lt;=99991231),INT($A1614/10000),""),IFERROR(VALUE(TRIM(LEFT($A1614,FIND("/",$A1614)-1))),"")))</f>
        <v/>
      </c>
      <c r="C1614">
        <f>IF(OR($A1614="",$B1614=""),"",IF(ISNUMBER($A1614),INT(MOD($A1614,10000)/100),IFERROR(VALUE(TRIM(LEFT(MID($A1614,FIND("/",$A1614)+1,20),FIND("/",MID($A1614,FIND("/",$A1614)+1,20))-1))),"")))</f>
        <v/>
      </c>
      <c r="D1614">
        <f>IF(OR($A1614="",$B1614=""),"",IF(ISNUMBER($A1614),MOD($A1614,100),IFERROR(VALUE(TRIM(MID(MID($A1614,FIND("/",$A1614)+1,20),FIND("/",MID($A1614,FIND("/",$A1614)+1,20))+1,20))),"")))</f>
        <v/>
      </c>
      <c r="E1614">
        <f>IF($A1614="","",IF(OR($B1614="",$C1614="",$D1614="",$B1614&lt;1300,$B1614&gt;1500,$C1614&lt;1,$C1614&gt;12,$D1614&lt;1,$D1614&gt;31),"نامعتبر",RIGHT("0000"&amp;$B1614,4)&amp;"/"&amp;RIGHT("00"&amp;$C1614,2)&amp;"/"&amp;RIGHT("00"&amp;$D1614,2)))</f>
        <v/>
      </c>
      <c r="F1614">
        <f>IF(OR($E1614="",$E1614="نامعتبر"),"",LEFT($E1614,4)&amp;"/"&amp;MID($E1614,6,2))</f>
        <v/>
      </c>
      <c r="G1614">
        <f>IF(OR($E1614="",$E1614="نامعتبر",Sync!$Y1611=""),"",Sync!$Y1611)</f>
        <v/>
      </c>
      <c r="H1614">
        <f>IF($G1614="","",IF(Sync!$X1611="","",Sync!$X1611))</f>
        <v/>
      </c>
      <c r="I1614">
        <f>IF($G1614="","",IFERROR(VLOOKUP(Sync!$X1611,OpTbl,3,0),""))</f>
        <v/>
      </c>
      <c r="J1614">
        <f>IF(OR($G1614="",Sync!$Z1611=""),"",Sync!$Z1611)</f>
        <v/>
      </c>
      <c r="K1614">
        <f>IF(OR($G1614="",Sync!$AA1611=""),"",Sync!$AA1611)</f>
        <v/>
      </c>
      <c r="L1614">
        <f>IF($G1614="",0,IF(Sync!$AB1611="",0,Sync!$AB1611))</f>
        <v/>
      </c>
      <c r="M1614">
        <f>IF($G1614="",0,IF(Sync!$AC1611="",0,Sync!$AC1611))</f>
        <v/>
      </c>
      <c r="N1614">
        <f>IF($G1614="","",IF($H1614="مرجوعی خرید",-1,1)*($L1614-$M1614*IFERROR(VLOOKUP("P01",ParamTbl,3,0),1.5))*(1-IF($I1614="خرید",IFERROR(VLOOKUP("P02",ParamTbl,3,0),1),0)/100))</f>
        <v/>
      </c>
      <c r="O1614">
        <f>IF($G1614="",0,IF($H1614="مرجوعی خرید",-1,1)*IF(Sync!$AD1611="",0,Sync!$AD1611))</f>
        <v/>
      </c>
      <c r="P1614">
        <f>IF(OR($G1614="",Sync!$W1611=""),"",Sync!$W1611)</f>
        <v/>
      </c>
      <c r="Q1614">
        <f>IF(OR($G1614="",Sync!$AE1611=""),"",Sync!$AE1611)</f>
        <v/>
      </c>
      <c r="R1614">
        <f>IF($G1614="","",IF(Sync!$V1611="","0000",IF(AND(ISNUMBER(Sync!$V1611),Sync!$V1611&gt;=0,Sync!$V1611&lt;1),RIGHT("00"&amp;HOUR(Sync!$V1611),2)&amp;RIGHT("00"&amp;MINUTE(Sync!$V1611),2),IFERROR(RIGHT("00"&amp;VALUE(LEFT(Sync!$V1611,FIND(":",Sync!$V1611)-1)),2)&amp;RIGHT("00"&amp;VALUE(MID(Sync!$V1611,FIND(":",Sync!$V1611)+1,2)),2),"0000"))))</f>
        <v/>
      </c>
    </row>
    <row r="1615">
      <c r="A1615">
        <f>IF(Sync!$U1612="","",Sync!$U1612)</f>
        <v/>
      </c>
      <c r="B1615">
        <f>IF($A1615="","",IF(ISNUMBER($A1615),IF(AND($A1615&gt;=10000101,$A1615&lt;=99991231),INT($A1615/10000),""),IFERROR(VALUE(TRIM(LEFT($A1615,FIND("/",$A1615)-1))),"")))</f>
        <v/>
      </c>
      <c r="C1615">
        <f>IF(OR($A1615="",$B1615=""),"",IF(ISNUMBER($A1615),INT(MOD($A1615,10000)/100),IFERROR(VALUE(TRIM(LEFT(MID($A1615,FIND("/",$A1615)+1,20),FIND("/",MID($A1615,FIND("/",$A1615)+1,20))-1))),"")))</f>
        <v/>
      </c>
      <c r="D1615">
        <f>IF(OR($A1615="",$B1615=""),"",IF(ISNUMBER($A1615),MOD($A1615,100),IFERROR(VALUE(TRIM(MID(MID($A1615,FIND("/",$A1615)+1,20),FIND("/",MID($A1615,FIND("/",$A1615)+1,20))+1,20))),"")))</f>
        <v/>
      </c>
      <c r="E1615">
        <f>IF($A1615="","",IF(OR($B1615="",$C1615="",$D1615="",$B1615&lt;1300,$B1615&gt;1500,$C1615&lt;1,$C1615&gt;12,$D1615&lt;1,$D1615&gt;31),"نامعتبر",RIGHT("0000"&amp;$B1615,4)&amp;"/"&amp;RIGHT("00"&amp;$C1615,2)&amp;"/"&amp;RIGHT("00"&amp;$D1615,2)))</f>
        <v/>
      </c>
      <c r="F1615">
        <f>IF(OR($E1615="",$E1615="نامعتبر"),"",LEFT($E1615,4)&amp;"/"&amp;MID($E1615,6,2))</f>
        <v/>
      </c>
      <c r="G1615">
        <f>IF(OR($E1615="",$E1615="نامعتبر",Sync!$Y1612=""),"",Sync!$Y1612)</f>
        <v/>
      </c>
      <c r="H1615">
        <f>IF($G1615="","",IF(Sync!$X1612="","",Sync!$X1612))</f>
        <v/>
      </c>
      <c r="I1615">
        <f>IF($G1615="","",IFERROR(VLOOKUP(Sync!$X1612,OpTbl,3,0),""))</f>
        <v/>
      </c>
      <c r="J1615">
        <f>IF(OR($G1615="",Sync!$Z1612=""),"",Sync!$Z1612)</f>
        <v/>
      </c>
      <c r="K1615">
        <f>IF(OR($G1615="",Sync!$AA1612=""),"",Sync!$AA1612)</f>
        <v/>
      </c>
      <c r="L1615">
        <f>IF($G1615="",0,IF(Sync!$AB1612="",0,Sync!$AB1612))</f>
        <v/>
      </c>
      <c r="M1615">
        <f>IF($G1615="",0,IF(Sync!$AC1612="",0,Sync!$AC1612))</f>
        <v/>
      </c>
      <c r="N1615">
        <f>IF($G1615="","",IF($H1615="مرجوعی خرید",-1,1)*($L1615-$M1615*IFERROR(VLOOKUP("P01",ParamTbl,3,0),1.5))*(1-IF($I1615="خرید",IFERROR(VLOOKUP("P02",ParamTbl,3,0),1),0)/100))</f>
        <v/>
      </c>
      <c r="O1615">
        <f>IF($G1615="",0,IF($H1615="مرجوعی خرید",-1,1)*IF(Sync!$AD1612="",0,Sync!$AD1612))</f>
        <v/>
      </c>
      <c r="P1615">
        <f>IF(OR($G1615="",Sync!$W1612=""),"",Sync!$W1612)</f>
        <v/>
      </c>
      <c r="Q1615">
        <f>IF(OR($G1615="",Sync!$AE1612=""),"",Sync!$AE1612)</f>
        <v/>
      </c>
      <c r="R1615">
        <f>IF($G1615="","",IF(Sync!$V1612="","0000",IF(AND(ISNUMBER(Sync!$V1612),Sync!$V1612&gt;=0,Sync!$V1612&lt;1),RIGHT("00"&amp;HOUR(Sync!$V1612),2)&amp;RIGHT("00"&amp;MINUTE(Sync!$V1612),2),IFERROR(RIGHT("00"&amp;VALUE(LEFT(Sync!$V1612,FIND(":",Sync!$V1612)-1)),2)&amp;RIGHT("00"&amp;VALUE(MID(Sync!$V1612,FIND(":",Sync!$V1612)+1,2)),2),"0000"))))</f>
        <v/>
      </c>
    </row>
    <row r="1616">
      <c r="A1616">
        <f>IF(Sync!$U1613="","",Sync!$U1613)</f>
        <v/>
      </c>
      <c r="B1616">
        <f>IF($A1616="","",IF(ISNUMBER($A1616),IF(AND($A1616&gt;=10000101,$A1616&lt;=99991231),INT($A1616/10000),""),IFERROR(VALUE(TRIM(LEFT($A1616,FIND("/",$A1616)-1))),"")))</f>
        <v/>
      </c>
      <c r="C1616">
        <f>IF(OR($A1616="",$B1616=""),"",IF(ISNUMBER($A1616),INT(MOD($A1616,10000)/100),IFERROR(VALUE(TRIM(LEFT(MID($A1616,FIND("/",$A1616)+1,20),FIND("/",MID($A1616,FIND("/",$A1616)+1,20))-1))),"")))</f>
        <v/>
      </c>
      <c r="D1616">
        <f>IF(OR($A1616="",$B1616=""),"",IF(ISNUMBER($A1616),MOD($A1616,100),IFERROR(VALUE(TRIM(MID(MID($A1616,FIND("/",$A1616)+1,20),FIND("/",MID($A1616,FIND("/",$A1616)+1,20))+1,20))),"")))</f>
        <v/>
      </c>
      <c r="E1616">
        <f>IF($A1616="","",IF(OR($B1616="",$C1616="",$D1616="",$B1616&lt;1300,$B1616&gt;1500,$C1616&lt;1,$C1616&gt;12,$D1616&lt;1,$D1616&gt;31),"نامعتبر",RIGHT("0000"&amp;$B1616,4)&amp;"/"&amp;RIGHT("00"&amp;$C1616,2)&amp;"/"&amp;RIGHT("00"&amp;$D1616,2)))</f>
        <v/>
      </c>
      <c r="F1616">
        <f>IF(OR($E1616="",$E1616="نامعتبر"),"",LEFT($E1616,4)&amp;"/"&amp;MID($E1616,6,2))</f>
        <v/>
      </c>
      <c r="G1616">
        <f>IF(OR($E1616="",$E1616="نامعتبر",Sync!$Y1613=""),"",Sync!$Y1613)</f>
        <v/>
      </c>
      <c r="H1616">
        <f>IF($G1616="","",IF(Sync!$X1613="","",Sync!$X1613))</f>
        <v/>
      </c>
      <c r="I1616">
        <f>IF($G1616="","",IFERROR(VLOOKUP(Sync!$X1613,OpTbl,3,0),""))</f>
        <v/>
      </c>
      <c r="J1616">
        <f>IF(OR($G1616="",Sync!$Z1613=""),"",Sync!$Z1613)</f>
        <v/>
      </c>
      <c r="K1616">
        <f>IF(OR($G1616="",Sync!$AA1613=""),"",Sync!$AA1613)</f>
        <v/>
      </c>
      <c r="L1616">
        <f>IF($G1616="",0,IF(Sync!$AB1613="",0,Sync!$AB1613))</f>
        <v/>
      </c>
      <c r="M1616">
        <f>IF($G1616="",0,IF(Sync!$AC1613="",0,Sync!$AC1613))</f>
        <v/>
      </c>
      <c r="N1616">
        <f>IF($G1616="","",IF($H1616="مرجوعی خرید",-1,1)*($L1616-$M1616*IFERROR(VLOOKUP("P01",ParamTbl,3,0),1.5))*(1-IF($I1616="خرید",IFERROR(VLOOKUP("P02",ParamTbl,3,0),1),0)/100))</f>
        <v/>
      </c>
      <c r="O1616">
        <f>IF($G1616="",0,IF($H1616="مرجوعی خرید",-1,1)*IF(Sync!$AD1613="",0,Sync!$AD1613))</f>
        <v/>
      </c>
      <c r="P1616">
        <f>IF(OR($G1616="",Sync!$W1613=""),"",Sync!$W1613)</f>
        <v/>
      </c>
      <c r="Q1616">
        <f>IF(OR($G1616="",Sync!$AE1613=""),"",Sync!$AE1613)</f>
        <v/>
      </c>
      <c r="R1616">
        <f>IF($G1616="","",IF(Sync!$V1613="","0000",IF(AND(ISNUMBER(Sync!$V1613),Sync!$V1613&gt;=0,Sync!$V1613&lt;1),RIGHT("00"&amp;HOUR(Sync!$V1613),2)&amp;RIGHT("00"&amp;MINUTE(Sync!$V1613),2),IFERROR(RIGHT("00"&amp;VALUE(LEFT(Sync!$V1613,FIND(":",Sync!$V1613)-1)),2)&amp;RIGHT("00"&amp;VALUE(MID(Sync!$V1613,FIND(":",Sync!$V1613)+1,2)),2),"0000"))))</f>
        <v/>
      </c>
    </row>
    <row r="1617">
      <c r="A1617">
        <f>IF(Sync!$U1614="","",Sync!$U1614)</f>
        <v/>
      </c>
      <c r="B1617">
        <f>IF($A1617="","",IF(ISNUMBER($A1617),IF(AND($A1617&gt;=10000101,$A1617&lt;=99991231),INT($A1617/10000),""),IFERROR(VALUE(TRIM(LEFT($A1617,FIND("/",$A1617)-1))),"")))</f>
        <v/>
      </c>
      <c r="C1617">
        <f>IF(OR($A1617="",$B1617=""),"",IF(ISNUMBER($A1617),INT(MOD($A1617,10000)/100),IFERROR(VALUE(TRIM(LEFT(MID($A1617,FIND("/",$A1617)+1,20),FIND("/",MID($A1617,FIND("/",$A1617)+1,20))-1))),"")))</f>
        <v/>
      </c>
      <c r="D1617">
        <f>IF(OR($A1617="",$B1617=""),"",IF(ISNUMBER($A1617),MOD($A1617,100),IFERROR(VALUE(TRIM(MID(MID($A1617,FIND("/",$A1617)+1,20),FIND("/",MID($A1617,FIND("/",$A1617)+1,20))+1,20))),"")))</f>
        <v/>
      </c>
      <c r="E1617">
        <f>IF($A1617="","",IF(OR($B1617="",$C1617="",$D1617="",$B1617&lt;1300,$B1617&gt;1500,$C1617&lt;1,$C1617&gt;12,$D1617&lt;1,$D1617&gt;31),"نامعتبر",RIGHT("0000"&amp;$B1617,4)&amp;"/"&amp;RIGHT("00"&amp;$C1617,2)&amp;"/"&amp;RIGHT("00"&amp;$D1617,2)))</f>
        <v/>
      </c>
      <c r="F1617">
        <f>IF(OR($E1617="",$E1617="نامعتبر"),"",LEFT($E1617,4)&amp;"/"&amp;MID($E1617,6,2))</f>
        <v/>
      </c>
      <c r="G1617">
        <f>IF(OR($E1617="",$E1617="نامعتبر",Sync!$Y1614=""),"",Sync!$Y1614)</f>
        <v/>
      </c>
      <c r="H1617">
        <f>IF($G1617="","",IF(Sync!$X1614="","",Sync!$X1614))</f>
        <v/>
      </c>
      <c r="I1617">
        <f>IF($G1617="","",IFERROR(VLOOKUP(Sync!$X1614,OpTbl,3,0),""))</f>
        <v/>
      </c>
      <c r="J1617">
        <f>IF(OR($G1617="",Sync!$Z1614=""),"",Sync!$Z1614)</f>
        <v/>
      </c>
      <c r="K1617">
        <f>IF(OR($G1617="",Sync!$AA1614=""),"",Sync!$AA1614)</f>
        <v/>
      </c>
      <c r="L1617">
        <f>IF($G1617="",0,IF(Sync!$AB1614="",0,Sync!$AB1614))</f>
        <v/>
      </c>
      <c r="M1617">
        <f>IF($G1617="",0,IF(Sync!$AC1614="",0,Sync!$AC1614))</f>
        <v/>
      </c>
      <c r="N1617">
        <f>IF($G1617="","",IF($H1617="مرجوعی خرید",-1,1)*($L1617-$M1617*IFERROR(VLOOKUP("P01",ParamTbl,3,0),1.5))*(1-IF($I1617="خرید",IFERROR(VLOOKUP("P02",ParamTbl,3,0),1),0)/100))</f>
        <v/>
      </c>
      <c r="O1617">
        <f>IF($G1617="",0,IF($H1617="مرجوعی خرید",-1,1)*IF(Sync!$AD1614="",0,Sync!$AD1614))</f>
        <v/>
      </c>
      <c r="P1617">
        <f>IF(OR($G1617="",Sync!$W1614=""),"",Sync!$W1614)</f>
        <v/>
      </c>
      <c r="Q1617">
        <f>IF(OR($G1617="",Sync!$AE1614=""),"",Sync!$AE1614)</f>
        <v/>
      </c>
      <c r="R1617">
        <f>IF($G1617="","",IF(Sync!$V1614="","0000",IF(AND(ISNUMBER(Sync!$V1614),Sync!$V1614&gt;=0,Sync!$V1614&lt;1),RIGHT("00"&amp;HOUR(Sync!$V1614),2)&amp;RIGHT("00"&amp;MINUTE(Sync!$V1614),2),IFERROR(RIGHT("00"&amp;VALUE(LEFT(Sync!$V1614,FIND(":",Sync!$V1614)-1)),2)&amp;RIGHT("00"&amp;VALUE(MID(Sync!$V1614,FIND(":",Sync!$V1614)+1,2)),2),"0000"))))</f>
        <v/>
      </c>
    </row>
    <row r="1618">
      <c r="A1618">
        <f>IF(Sync!$U1615="","",Sync!$U1615)</f>
        <v/>
      </c>
      <c r="B1618">
        <f>IF($A1618="","",IF(ISNUMBER($A1618),IF(AND($A1618&gt;=10000101,$A1618&lt;=99991231),INT($A1618/10000),""),IFERROR(VALUE(TRIM(LEFT($A1618,FIND("/",$A1618)-1))),"")))</f>
        <v/>
      </c>
      <c r="C1618">
        <f>IF(OR($A1618="",$B1618=""),"",IF(ISNUMBER($A1618),INT(MOD($A1618,10000)/100),IFERROR(VALUE(TRIM(LEFT(MID($A1618,FIND("/",$A1618)+1,20),FIND("/",MID($A1618,FIND("/",$A1618)+1,20))-1))),"")))</f>
        <v/>
      </c>
      <c r="D1618">
        <f>IF(OR($A1618="",$B1618=""),"",IF(ISNUMBER($A1618),MOD($A1618,100),IFERROR(VALUE(TRIM(MID(MID($A1618,FIND("/",$A1618)+1,20),FIND("/",MID($A1618,FIND("/",$A1618)+1,20))+1,20))),"")))</f>
        <v/>
      </c>
      <c r="E1618">
        <f>IF($A1618="","",IF(OR($B1618="",$C1618="",$D1618="",$B1618&lt;1300,$B1618&gt;1500,$C1618&lt;1,$C1618&gt;12,$D1618&lt;1,$D1618&gt;31),"نامعتبر",RIGHT("0000"&amp;$B1618,4)&amp;"/"&amp;RIGHT("00"&amp;$C1618,2)&amp;"/"&amp;RIGHT("00"&amp;$D1618,2)))</f>
        <v/>
      </c>
      <c r="F1618">
        <f>IF(OR($E1618="",$E1618="نامعتبر"),"",LEFT($E1618,4)&amp;"/"&amp;MID($E1618,6,2))</f>
        <v/>
      </c>
      <c r="G1618">
        <f>IF(OR($E1618="",$E1618="نامعتبر",Sync!$Y1615=""),"",Sync!$Y1615)</f>
        <v/>
      </c>
      <c r="H1618">
        <f>IF($G1618="","",IF(Sync!$X1615="","",Sync!$X1615))</f>
        <v/>
      </c>
      <c r="I1618">
        <f>IF($G1618="","",IFERROR(VLOOKUP(Sync!$X1615,OpTbl,3,0),""))</f>
        <v/>
      </c>
      <c r="J1618">
        <f>IF(OR($G1618="",Sync!$Z1615=""),"",Sync!$Z1615)</f>
        <v/>
      </c>
      <c r="K1618">
        <f>IF(OR($G1618="",Sync!$AA1615=""),"",Sync!$AA1615)</f>
        <v/>
      </c>
      <c r="L1618">
        <f>IF($G1618="",0,IF(Sync!$AB1615="",0,Sync!$AB1615))</f>
        <v/>
      </c>
      <c r="M1618">
        <f>IF($G1618="",0,IF(Sync!$AC1615="",0,Sync!$AC1615))</f>
        <v/>
      </c>
      <c r="N1618">
        <f>IF($G1618="","",IF($H1618="مرجوعی خرید",-1,1)*($L1618-$M1618*IFERROR(VLOOKUP("P01",ParamTbl,3,0),1.5))*(1-IF($I1618="خرید",IFERROR(VLOOKUP("P02",ParamTbl,3,0),1),0)/100))</f>
        <v/>
      </c>
      <c r="O1618">
        <f>IF($G1618="",0,IF($H1618="مرجوعی خرید",-1,1)*IF(Sync!$AD1615="",0,Sync!$AD1615))</f>
        <v/>
      </c>
      <c r="P1618">
        <f>IF(OR($G1618="",Sync!$W1615=""),"",Sync!$W1615)</f>
        <v/>
      </c>
      <c r="Q1618">
        <f>IF(OR($G1618="",Sync!$AE1615=""),"",Sync!$AE1615)</f>
        <v/>
      </c>
      <c r="R1618">
        <f>IF($G1618="","",IF(Sync!$V1615="","0000",IF(AND(ISNUMBER(Sync!$V1615),Sync!$V1615&gt;=0,Sync!$V1615&lt;1),RIGHT("00"&amp;HOUR(Sync!$V1615),2)&amp;RIGHT("00"&amp;MINUTE(Sync!$V1615),2),IFERROR(RIGHT("00"&amp;VALUE(LEFT(Sync!$V1615,FIND(":",Sync!$V1615)-1)),2)&amp;RIGHT("00"&amp;VALUE(MID(Sync!$V1615,FIND(":",Sync!$V1615)+1,2)),2),"0000"))))</f>
        <v/>
      </c>
    </row>
    <row r="1619">
      <c r="A1619">
        <f>IF(Sync!$U1616="","",Sync!$U1616)</f>
        <v/>
      </c>
      <c r="B1619">
        <f>IF($A1619="","",IF(ISNUMBER($A1619),IF(AND($A1619&gt;=10000101,$A1619&lt;=99991231),INT($A1619/10000),""),IFERROR(VALUE(TRIM(LEFT($A1619,FIND("/",$A1619)-1))),"")))</f>
        <v/>
      </c>
      <c r="C1619">
        <f>IF(OR($A1619="",$B1619=""),"",IF(ISNUMBER($A1619),INT(MOD($A1619,10000)/100),IFERROR(VALUE(TRIM(LEFT(MID($A1619,FIND("/",$A1619)+1,20),FIND("/",MID($A1619,FIND("/",$A1619)+1,20))-1))),"")))</f>
        <v/>
      </c>
      <c r="D1619">
        <f>IF(OR($A1619="",$B1619=""),"",IF(ISNUMBER($A1619),MOD($A1619,100),IFERROR(VALUE(TRIM(MID(MID($A1619,FIND("/",$A1619)+1,20),FIND("/",MID($A1619,FIND("/",$A1619)+1,20))+1,20))),"")))</f>
        <v/>
      </c>
      <c r="E1619">
        <f>IF($A1619="","",IF(OR($B1619="",$C1619="",$D1619="",$B1619&lt;1300,$B1619&gt;1500,$C1619&lt;1,$C1619&gt;12,$D1619&lt;1,$D1619&gt;31),"نامعتبر",RIGHT("0000"&amp;$B1619,4)&amp;"/"&amp;RIGHT("00"&amp;$C1619,2)&amp;"/"&amp;RIGHT("00"&amp;$D1619,2)))</f>
        <v/>
      </c>
      <c r="F1619">
        <f>IF(OR($E1619="",$E1619="نامعتبر"),"",LEFT($E1619,4)&amp;"/"&amp;MID($E1619,6,2))</f>
        <v/>
      </c>
      <c r="G1619">
        <f>IF(OR($E1619="",$E1619="نامعتبر",Sync!$Y1616=""),"",Sync!$Y1616)</f>
        <v/>
      </c>
      <c r="H1619">
        <f>IF($G1619="","",IF(Sync!$X1616="","",Sync!$X1616))</f>
        <v/>
      </c>
      <c r="I1619">
        <f>IF($G1619="","",IFERROR(VLOOKUP(Sync!$X1616,OpTbl,3,0),""))</f>
        <v/>
      </c>
      <c r="J1619">
        <f>IF(OR($G1619="",Sync!$Z1616=""),"",Sync!$Z1616)</f>
        <v/>
      </c>
      <c r="K1619">
        <f>IF(OR($G1619="",Sync!$AA1616=""),"",Sync!$AA1616)</f>
        <v/>
      </c>
      <c r="L1619">
        <f>IF($G1619="",0,IF(Sync!$AB1616="",0,Sync!$AB1616))</f>
        <v/>
      </c>
      <c r="M1619">
        <f>IF($G1619="",0,IF(Sync!$AC1616="",0,Sync!$AC1616))</f>
        <v/>
      </c>
      <c r="N1619">
        <f>IF($G1619="","",IF($H1619="مرجوعی خرید",-1,1)*($L1619-$M1619*IFERROR(VLOOKUP("P01",ParamTbl,3,0),1.5))*(1-IF($I1619="خرید",IFERROR(VLOOKUP("P02",ParamTbl,3,0),1),0)/100))</f>
        <v/>
      </c>
      <c r="O1619">
        <f>IF($G1619="",0,IF($H1619="مرجوعی خرید",-1,1)*IF(Sync!$AD1616="",0,Sync!$AD1616))</f>
        <v/>
      </c>
      <c r="P1619">
        <f>IF(OR($G1619="",Sync!$W1616=""),"",Sync!$W1616)</f>
        <v/>
      </c>
      <c r="Q1619">
        <f>IF(OR($G1619="",Sync!$AE1616=""),"",Sync!$AE1616)</f>
        <v/>
      </c>
      <c r="R1619">
        <f>IF($G1619="","",IF(Sync!$V1616="","0000",IF(AND(ISNUMBER(Sync!$V1616),Sync!$V1616&gt;=0,Sync!$V1616&lt;1),RIGHT("00"&amp;HOUR(Sync!$V1616),2)&amp;RIGHT("00"&amp;MINUTE(Sync!$V1616),2),IFERROR(RIGHT("00"&amp;VALUE(LEFT(Sync!$V1616,FIND(":",Sync!$V1616)-1)),2)&amp;RIGHT("00"&amp;VALUE(MID(Sync!$V1616,FIND(":",Sync!$V1616)+1,2)),2),"0000"))))</f>
        <v/>
      </c>
    </row>
    <row r="1620">
      <c r="A1620">
        <f>IF(Sync!$U1617="","",Sync!$U1617)</f>
        <v/>
      </c>
      <c r="B1620">
        <f>IF($A1620="","",IF(ISNUMBER($A1620),IF(AND($A1620&gt;=10000101,$A1620&lt;=99991231),INT($A1620/10000),""),IFERROR(VALUE(TRIM(LEFT($A1620,FIND("/",$A1620)-1))),"")))</f>
        <v/>
      </c>
      <c r="C1620">
        <f>IF(OR($A1620="",$B1620=""),"",IF(ISNUMBER($A1620),INT(MOD($A1620,10000)/100),IFERROR(VALUE(TRIM(LEFT(MID($A1620,FIND("/",$A1620)+1,20),FIND("/",MID($A1620,FIND("/",$A1620)+1,20))-1))),"")))</f>
        <v/>
      </c>
      <c r="D1620">
        <f>IF(OR($A1620="",$B1620=""),"",IF(ISNUMBER($A1620),MOD($A1620,100),IFERROR(VALUE(TRIM(MID(MID($A1620,FIND("/",$A1620)+1,20),FIND("/",MID($A1620,FIND("/",$A1620)+1,20))+1,20))),"")))</f>
        <v/>
      </c>
      <c r="E1620">
        <f>IF($A1620="","",IF(OR($B1620="",$C1620="",$D1620="",$B1620&lt;1300,$B1620&gt;1500,$C1620&lt;1,$C1620&gt;12,$D1620&lt;1,$D1620&gt;31),"نامعتبر",RIGHT("0000"&amp;$B1620,4)&amp;"/"&amp;RIGHT("00"&amp;$C1620,2)&amp;"/"&amp;RIGHT("00"&amp;$D1620,2)))</f>
        <v/>
      </c>
      <c r="F1620">
        <f>IF(OR($E1620="",$E1620="نامعتبر"),"",LEFT($E1620,4)&amp;"/"&amp;MID($E1620,6,2))</f>
        <v/>
      </c>
      <c r="G1620">
        <f>IF(OR($E1620="",$E1620="نامعتبر",Sync!$Y1617=""),"",Sync!$Y1617)</f>
        <v/>
      </c>
      <c r="H1620">
        <f>IF($G1620="","",IF(Sync!$X1617="","",Sync!$X1617))</f>
        <v/>
      </c>
      <c r="I1620">
        <f>IF($G1620="","",IFERROR(VLOOKUP(Sync!$X1617,OpTbl,3,0),""))</f>
        <v/>
      </c>
      <c r="J1620">
        <f>IF(OR($G1620="",Sync!$Z1617=""),"",Sync!$Z1617)</f>
        <v/>
      </c>
      <c r="K1620">
        <f>IF(OR($G1620="",Sync!$AA1617=""),"",Sync!$AA1617)</f>
        <v/>
      </c>
      <c r="L1620">
        <f>IF($G1620="",0,IF(Sync!$AB1617="",0,Sync!$AB1617))</f>
        <v/>
      </c>
      <c r="M1620">
        <f>IF($G1620="",0,IF(Sync!$AC1617="",0,Sync!$AC1617))</f>
        <v/>
      </c>
      <c r="N1620">
        <f>IF($G1620="","",IF($H1620="مرجوعی خرید",-1,1)*($L1620-$M1620*IFERROR(VLOOKUP("P01",ParamTbl,3,0),1.5))*(1-IF($I1620="خرید",IFERROR(VLOOKUP("P02",ParamTbl,3,0),1),0)/100))</f>
        <v/>
      </c>
      <c r="O1620">
        <f>IF($G1620="",0,IF($H1620="مرجوعی خرید",-1,1)*IF(Sync!$AD1617="",0,Sync!$AD1617))</f>
        <v/>
      </c>
      <c r="P1620">
        <f>IF(OR($G1620="",Sync!$W1617=""),"",Sync!$W1617)</f>
        <v/>
      </c>
      <c r="Q1620">
        <f>IF(OR($G1620="",Sync!$AE1617=""),"",Sync!$AE1617)</f>
        <v/>
      </c>
      <c r="R1620">
        <f>IF($G1620="","",IF(Sync!$V1617="","0000",IF(AND(ISNUMBER(Sync!$V1617),Sync!$V1617&gt;=0,Sync!$V1617&lt;1),RIGHT("00"&amp;HOUR(Sync!$V1617),2)&amp;RIGHT("00"&amp;MINUTE(Sync!$V1617),2),IFERROR(RIGHT("00"&amp;VALUE(LEFT(Sync!$V1617,FIND(":",Sync!$V1617)-1)),2)&amp;RIGHT("00"&amp;VALUE(MID(Sync!$V1617,FIND(":",Sync!$V1617)+1,2)),2),"0000"))))</f>
        <v/>
      </c>
    </row>
    <row r="1621">
      <c r="A1621">
        <f>IF(Sync!$U1618="","",Sync!$U1618)</f>
        <v/>
      </c>
      <c r="B1621">
        <f>IF($A1621="","",IF(ISNUMBER($A1621),IF(AND($A1621&gt;=10000101,$A1621&lt;=99991231),INT($A1621/10000),""),IFERROR(VALUE(TRIM(LEFT($A1621,FIND("/",$A1621)-1))),"")))</f>
        <v/>
      </c>
      <c r="C1621">
        <f>IF(OR($A1621="",$B1621=""),"",IF(ISNUMBER($A1621),INT(MOD($A1621,10000)/100),IFERROR(VALUE(TRIM(LEFT(MID($A1621,FIND("/",$A1621)+1,20),FIND("/",MID($A1621,FIND("/",$A1621)+1,20))-1))),"")))</f>
        <v/>
      </c>
      <c r="D1621">
        <f>IF(OR($A1621="",$B1621=""),"",IF(ISNUMBER($A1621),MOD($A1621,100),IFERROR(VALUE(TRIM(MID(MID($A1621,FIND("/",$A1621)+1,20),FIND("/",MID($A1621,FIND("/",$A1621)+1,20))+1,20))),"")))</f>
        <v/>
      </c>
      <c r="E1621">
        <f>IF($A1621="","",IF(OR($B1621="",$C1621="",$D1621="",$B1621&lt;1300,$B1621&gt;1500,$C1621&lt;1,$C1621&gt;12,$D1621&lt;1,$D1621&gt;31),"نامعتبر",RIGHT("0000"&amp;$B1621,4)&amp;"/"&amp;RIGHT("00"&amp;$C1621,2)&amp;"/"&amp;RIGHT("00"&amp;$D1621,2)))</f>
        <v/>
      </c>
      <c r="F1621">
        <f>IF(OR($E1621="",$E1621="نامعتبر"),"",LEFT($E1621,4)&amp;"/"&amp;MID($E1621,6,2))</f>
        <v/>
      </c>
      <c r="G1621">
        <f>IF(OR($E1621="",$E1621="نامعتبر",Sync!$Y1618=""),"",Sync!$Y1618)</f>
        <v/>
      </c>
      <c r="H1621">
        <f>IF($G1621="","",IF(Sync!$X1618="","",Sync!$X1618))</f>
        <v/>
      </c>
      <c r="I1621">
        <f>IF($G1621="","",IFERROR(VLOOKUP(Sync!$X1618,OpTbl,3,0),""))</f>
        <v/>
      </c>
      <c r="J1621">
        <f>IF(OR($G1621="",Sync!$Z1618=""),"",Sync!$Z1618)</f>
        <v/>
      </c>
      <c r="K1621">
        <f>IF(OR($G1621="",Sync!$AA1618=""),"",Sync!$AA1618)</f>
        <v/>
      </c>
      <c r="L1621">
        <f>IF($G1621="",0,IF(Sync!$AB1618="",0,Sync!$AB1618))</f>
        <v/>
      </c>
      <c r="M1621">
        <f>IF($G1621="",0,IF(Sync!$AC1618="",0,Sync!$AC1618))</f>
        <v/>
      </c>
      <c r="N1621">
        <f>IF($G1621="","",IF($H1621="مرجوعی خرید",-1,1)*($L1621-$M1621*IFERROR(VLOOKUP("P01",ParamTbl,3,0),1.5))*(1-IF($I1621="خرید",IFERROR(VLOOKUP("P02",ParamTbl,3,0),1),0)/100))</f>
        <v/>
      </c>
      <c r="O1621">
        <f>IF($G1621="",0,IF($H1621="مرجوعی خرید",-1,1)*IF(Sync!$AD1618="",0,Sync!$AD1618))</f>
        <v/>
      </c>
      <c r="P1621">
        <f>IF(OR($G1621="",Sync!$W1618=""),"",Sync!$W1618)</f>
        <v/>
      </c>
      <c r="Q1621">
        <f>IF(OR($G1621="",Sync!$AE1618=""),"",Sync!$AE1618)</f>
        <v/>
      </c>
      <c r="R1621">
        <f>IF($G1621="","",IF(Sync!$V1618="","0000",IF(AND(ISNUMBER(Sync!$V1618),Sync!$V1618&gt;=0,Sync!$V1618&lt;1),RIGHT("00"&amp;HOUR(Sync!$V1618),2)&amp;RIGHT("00"&amp;MINUTE(Sync!$V1618),2),IFERROR(RIGHT("00"&amp;VALUE(LEFT(Sync!$V1618,FIND(":",Sync!$V1618)-1)),2)&amp;RIGHT("00"&amp;VALUE(MID(Sync!$V1618,FIND(":",Sync!$V1618)+1,2)),2),"0000"))))</f>
        <v/>
      </c>
    </row>
    <row r="1622">
      <c r="A1622">
        <f>IF(Sync!$U1619="","",Sync!$U1619)</f>
        <v/>
      </c>
      <c r="B1622">
        <f>IF($A1622="","",IF(ISNUMBER($A1622),IF(AND($A1622&gt;=10000101,$A1622&lt;=99991231),INT($A1622/10000),""),IFERROR(VALUE(TRIM(LEFT($A1622,FIND("/",$A1622)-1))),"")))</f>
        <v/>
      </c>
      <c r="C1622">
        <f>IF(OR($A1622="",$B1622=""),"",IF(ISNUMBER($A1622),INT(MOD($A1622,10000)/100),IFERROR(VALUE(TRIM(LEFT(MID($A1622,FIND("/",$A1622)+1,20),FIND("/",MID($A1622,FIND("/",$A1622)+1,20))-1))),"")))</f>
        <v/>
      </c>
      <c r="D1622">
        <f>IF(OR($A1622="",$B1622=""),"",IF(ISNUMBER($A1622),MOD($A1622,100),IFERROR(VALUE(TRIM(MID(MID($A1622,FIND("/",$A1622)+1,20),FIND("/",MID($A1622,FIND("/",$A1622)+1,20))+1,20))),"")))</f>
        <v/>
      </c>
      <c r="E1622">
        <f>IF($A1622="","",IF(OR($B1622="",$C1622="",$D1622="",$B1622&lt;1300,$B1622&gt;1500,$C1622&lt;1,$C1622&gt;12,$D1622&lt;1,$D1622&gt;31),"نامعتبر",RIGHT("0000"&amp;$B1622,4)&amp;"/"&amp;RIGHT("00"&amp;$C1622,2)&amp;"/"&amp;RIGHT("00"&amp;$D1622,2)))</f>
        <v/>
      </c>
      <c r="F1622">
        <f>IF(OR($E1622="",$E1622="نامعتبر"),"",LEFT($E1622,4)&amp;"/"&amp;MID($E1622,6,2))</f>
        <v/>
      </c>
      <c r="G1622">
        <f>IF(OR($E1622="",$E1622="نامعتبر",Sync!$Y1619=""),"",Sync!$Y1619)</f>
        <v/>
      </c>
      <c r="H1622">
        <f>IF($G1622="","",IF(Sync!$X1619="","",Sync!$X1619))</f>
        <v/>
      </c>
      <c r="I1622">
        <f>IF($G1622="","",IFERROR(VLOOKUP(Sync!$X1619,OpTbl,3,0),""))</f>
        <v/>
      </c>
      <c r="J1622">
        <f>IF(OR($G1622="",Sync!$Z1619=""),"",Sync!$Z1619)</f>
        <v/>
      </c>
      <c r="K1622">
        <f>IF(OR($G1622="",Sync!$AA1619=""),"",Sync!$AA1619)</f>
        <v/>
      </c>
      <c r="L1622">
        <f>IF($G1622="",0,IF(Sync!$AB1619="",0,Sync!$AB1619))</f>
        <v/>
      </c>
      <c r="M1622">
        <f>IF($G1622="",0,IF(Sync!$AC1619="",0,Sync!$AC1619))</f>
        <v/>
      </c>
      <c r="N1622">
        <f>IF($G1622="","",IF($H1622="مرجوعی خرید",-1,1)*($L1622-$M1622*IFERROR(VLOOKUP("P01",ParamTbl,3,0),1.5))*(1-IF($I1622="خرید",IFERROR(VLOOKUP("P02",ParamTbl,3,0),1),0)/100))</f>
        <v/>
      </c>
      <c r="O1622">
        <f>IF($G1622="",0,IF($H1622="مرجوعی خرید",-1,1)*IF(Sync!$AD1619="",0,Sync!$AD1619))</f>
        <v/>
      </c>
      <c r="P1622">
        <f>IF(OR($G1622="",Sync!$W1619=""),"",Sync!$W1619)</f>
        <v/>
      </c>
      <c r="Q1622">
        <f>IF(OR($G1622="",Sync!$AE1619=""),"",Sync!$AE1619)</f>
        <v/>
      </c>
      <c r="R1622">
        <f>IF($G1622="","",IF(Sync!$V1619="","0000",IF(AND(ISNUMBER(Sync!$V1619),Sync!$V1619&gt;=0,Sync!$V1619&lt;1),RIGHT("00"&amp;HOUR(Sync!$V1619),2)&amp;RIGHT("00"&amp;MINUTE(Sync!$V1619),2),IFERROR(RIGHT("00"&amp;VALUE(LEFT(Sync!$V1619,FIND(":",Sync!$V1619)-1)),2)&amp;RIGHT("00"&amp;VALUE(MID(Sync!$V1619,FIND(":",Sync!$V1619)+1,2)),2),"0000"))))</f>
        <v/>
      </c>
    </row>
    <row r="1623">
      <c r="A1623">
        <f>IF(Sync!$U1620="","",Sync!$U1620)</f>
        <v/>
      </c>
      <c r="B1623">
        <f>IF($A1623="","",IF(ISNUMBER($A1623),IF(AND($A1623&gt;=10000101,$A1623&lt;=99991231),INT($A1623/10000),""),IFERROR(VALUE(TRIM(LEFT($A1623,FIND("/",$A1623)-1))),"")))</f>
        <v/>
      </c>
      <c r="C1623">
        <f>IF(OR($A1623="",$B1623=""),"",IF(ISNUMBER($A1623),INT(MOD($A1623,10000)/100),IFERROR(VALUE(TRIM(LEFT(MID($A1623,FIND("/",$A1623)+1,20),FIND("/",MID($A1623,FIND("/",$A1623)+1,20))-1))),"")))</f>
        <v/>
      </c>
      <c r="D1623">
        <f>IF(OR($A1623="",$B1623=""),"",IF(ISNUMBER($A1623),MOD($A1623,100),IFERROR(VALUE(TRIM(MID(MID($A1623,FIND("/",$A1623)+1,20),FIND("/",MID($A1623,FIND("/",$A1623)+1,20))+1,20))),"")))</f>
        <v/>
      </c>
      <c r="E1623">
        <f>IF($A1623="","",IF(OR($B1623="",$C1623="",$D1623="",$B1623&lt;1300,$B1623&gt;1500,$C1623&lt;1,$C1623&gt;12,$D1623&lt;1,$D1623&gt;31),"نامعتبر",RIGHT("0000"&amp;$B1623,4)&amp;"/"&amp;RIGHT("00"&amp;$C1623,2)&amp;"/"&amp;RIGHT("00"&amp;$D1623,2)))</f>
        <v/>
      </c>
      <c r="F1623">
        <f>IF(OR($E1623="",$E1623="نامعتبر"),"",LEFT($E1623,4)&amp;"/"&amp;MID($E1623,6,2))</f>
        <v/>
      </c>
      <c r="G1623">
        <f>IF(OR($E1623="",$E1623="نامعتبر",Sync!$Y1620=""),"",Sync!$Y1620)</f>
        <v/>
      </c>
      <c r="H1623">
        <f>IF($G1623="","",IF(Sync!$X1620="","",Sync!$X1620))</f>
        <v/>
      </c>
      <c r="I1623">
        <f>IF($G1623="","",IFERROR(VLOOKUP(Sync!$X1620,OpTbl,3,0),""))</f>
        <v/>
      </c>
      <c r="J1623">
        <f>IF(OR($G1623="",Sync!$Z1620=""),"",Sync!$Z1620)</f>
        <v/>
      </c>
      <c r="K1623">
        <f>IF(OR($G1623="",Sync!$AA1620=""),"",Sync!$AA1620)</f>
        <v/>
      </c>
      <c r="L1623">
        <f>IF($G1623="",0,IF(Sync!$AB1620="",0,Sync!$AB1620))</f>
        <v/>
      </c>
      <c r="M1623">
        <f>IF($G1623="",0,IF(Sync!$AC1620="",0,Sync!$AC1620))</f>
        <v/>
      </c>
      <c r="N1623">
        <f>IF($G1623="","",IF($H1623="مرجوعی خرید",-1,1)*($L1623-$M1623*IFERROR(VLOOKUP("P01",ParamTbl,3,0),1.5))*(1-IF($I1623="خرید",IFERROR(VLOOKUP("P02",ParamTbl,3,0),1),0)/100))</f>
        <v/>
      </c>
      <c r="O1623">
        <f>IF($G1623="",0,IF($H1623="مرجوعی خرید",-1,1)*IF(Sync!$AD1620="",0,Sync!$AD1620))</f>
        <v/>
      </c>
      <c r="P1623">
        <f>IF(OR($G1623="",Sync!$W1620=""),"",Sync!$W1620)</f>
        <v/>
      </c>
      <c r="Q1623">
        <f>IF(OR($G1623="",Sync!$AE1620=""),"",Sync!$AE1620)</f>
        <v/>
      </c>
      <c r="R1623">
        <f>IF($G1623="","",IF(Sync!$V1620="","0000",IF(AND(ISNUMBER(Sync!$V1620),Sync!$V1620&gt;=0,Sync!$V1620&lt;1),RIGHT("00"&amp;HOUR(Sync!$V1620),2)&amp;RIGHT("00"&amp;MINUTE(Sync!$V1620),2),IFERROR(RIGHT("00"&amp;VALUE(LEFT(Sync!$V1620,FIND(":",Sync!$V1620)-1)),2)&amp;RIGHT("00"&amp;VALUE(MID(Sync!$V1620,FIND(":",Sync!$V1620)+1,2)),2),"0000"))))</f>
        <v/>
      </c>
    </row>
    <row r="1624">
      <c r="A1624">
        <f>IF(Sync!$U1621="","",Sync!$U1621)</f>
        <v/>
      </c>
      <c r="B1624">
        <f>IF($A1624="","",IF(ISNUMBER($A1624),IF(AND($A1624&gt;=10000101,$A1624&lt;=99991231),INT($A1624/10000),""),IFERROR(VALUE(TRIM(LEFT($A1624,FIND("/",$A1624)-1))),"")))</f>
        <v/>
      </c>
      <c r="C1624">
        <f>IF(OR($A1624="",$B1624=""),"",IF(ISNUMBER($A1624),INT(MOD($A1624,10000)/100),IFERROR(VALUE(TRIM(LEFT(MID($A1624,FIND("/",$A1624)+1,20),FIND("/",MID($A1624,FIND("/",$A1624)+1,20))-1))),"")))</f>
        <v/>
      </c>
      <c r="D1624">
        <f>IF(OR($A1624="",$B1624=""),"",IF(ISNUMBER($A1624),MOD($A1624,100),IFERROR(VALUE(TRIM(MID(MID($A1624,FIND("/",$A1624)+1,20),FIND("/",MID($A1624,FIND("/",$A1624)+1,20))+1,20))),"")))</f>
        <v/>
      </c>
      <c r="E1624">
        <f>IF($A1624="","",IF(OR($B1624="",$C1624="",$D1624="",$B1624&lt;1300,$B1624&gt;1500,$C1624&lt;1,$C1624&gt;12,$D1624&lt;1,$D1624&gt;31),"نامعتبر",RIGHT("0000"&amp;$B1624,4)&amp;"/"&amp;RIGHT("00"&amp;$C1624,2)&amp;"/"&amp;RIGHT("00"&amp;$D1624,2)))</f>
        <v/>
      </c>
      <c r="F1624">
        <f>IF(OR($E1624="",$E1624="نامعتبر"),"",LEFT($E1624,4)&amp;"/"&amp;MID($E1624,6,2))</f>
        <v/>
      </c>
      <c r="G1624">
        <f>IF(OR($E1624="",$E1624="نامعتبر",Sync!$Y1621=""),"",Sync!$Y1621)</f>
        <v/>
      </c>
      <c r="H1624">
        <f>IF($G1624="","",IF(Sync!$X1621="","",Sync!$X1621))</f>
        <v/>
      </c>
      <c r="I1624">
        <f>IF($G1624="","",IFERROR(VLOOKUP(Sync!$X1621,OpTbl,3,0),""))</f>
        <v/>
      </c>
      <c r="J1624">
        <f>IF(OR($G1624="",Sync!$Z1621=""),"",Sync!$Z1621)</f>
        <v/>
      </c>
      <c r="K1624">
        <f>IF(OR($G1624="",Sync!$AA1621=""),"",Sync!$AA1621)</f>
        <v/>
      </c>
      <c r="L1624">
        <f>IF($G1624="",0,IF(Sync!$AB1621="",0,Sync!$AB1621))</f>
        <v/>
      </c>
      <c r="M1624">
        <f>IF($G1624="",0,IF(Sync!$AC1621="",0,Sync!$AC1621))</f>
        <v/>
      </c>
      <c r="N1624">
        <f>IF($G1624="","",IF($H1624="مرجوعی خرید",-1,1)*($L1624-$M1624*IFERROR(VLOOKUP("P01",ParamTbl,3,0),1.5))*(1-IF($I1624="خرید",IFERROR(VLOOKUP("P02",ParamTbl,3,0),1),0)/100))</f>
        <v/>
      </c>
      <c r="O1624">
        <f>IF($G1624="",0,IF($H1624="مرجوعی خرید",-1,1)*IF(Sync!$AD1621="",0,Sync!$AD1621))</f>
        <v/>
      </c>
      <c r="P1624">
        <f>IF(OR($G1624="",Sync!$W1621=""),"",Sync!$W1621)</f>
        <v/>
      </c>
      <c r="Q1624">
        <f>IF(OR($G1624="",Sync!$AE1621=""),"",Sync!$AE1621)</f>
        <v/>
      </c>
      <c r="R1624">
        <f>IF($G1624="","",IF(Sync!$V1621="","0000",IF(AND(ISNUMBER(Sync!$V1621),Sync!$V1621&gt;=0,Sync!$V1621&lt;1),RIGHT("00"&amp;HOUR(Sync!$V1621),2)&amp;RIGHT("00"&amp;MINUTE(Sync!$V1621),2),IFERROR(RIGHT("00"&amp;VALUE(LEFT(Sync!$V1621,FIND(":",Sync!$V1621)-1)),2)&amp;RIGHT("00"&amp;VALUE(MID(Sync!$V1621,FIND(":",Sync!$V1621)+1,2)),2),"0000"))))</f>
        <v/>
      </c>
    </row>
    <row r="1625">
      <c r="A1625">
        <f>IF(Sync!$U1622="","",Sync!$U1622)</f>
        <v/>
      </c>
      <c r="B1625">
        <f>IF($A1625="","",IF(ISNUMBER($A1625),IF(AND($A1625&gt;=10000101,$A1625&lt;=99991231),INT($A1625/10000),""),IFERROR(VALUE(TRIM(LEFT($A1625,FIND("/",$A1625)-1))),"")))</f>
        <v/>
      </c>
      <c r="C1625">
        <f>IF(OR($A1625="",$B1625=""),"",IF(ISNUMBER($A1625),INT(MOD($A1625,10000)/100),IFERROR(VALUE(TRIM(LEFT(MID($A1625,FIND("/",$A1625)+1,20),FIND("/",MID($A1625,FIND("/",$A1625)+1,20))-1))),"")))</f>
        <v/>
      </c>
      <c r="D1625">
        <f>IF(OR($A1625="",$B1625=""),"",IF(ISNUMBER($A1625),MOD($A1625,100),IFERROR(VALUE(TRIM(MID(MID($A1625,FIND("/",$A1625)+1,20),FIND("/",MID($A1625,FIND("/",$A1625)+1,20))+1,20))),"")))</f>
        <v/>
      </c>
      <c r="E1625">
        <f>IF($A1625="","",IF(OR($B1625="",$C1625="",$D1625="",$B1625&lt;1300,$B1625&gt;1500,$C1625&lt;1,$C1625&gt;12,$D1625&lt;1,$D1625&gt;31),"نامعتبر",RIGHT("0000"&amp;$B1625,4)&amp;"/"&amp;RIGHT("00"&amp;$C1625,2)&amp;"/"&amp;RIGHT("00"&amp;$D1625,2)))</f>
        <v/>
      </c>
      <c r="F1625">
        <f>IF(OR($E1625="",$E1625="نامعتبر"),"",LEFT($E1625,4)&amp;"/"&amp;MID($E1625,6,2))</f>
        <v/>
      </c>
      <c r="G1625">
        <f>IF(OR($E1625="",$E1625="نامعتبر",Sync!$Y1622=""),"",Sync!$Y1622)</f>
        <v/>
      </c>
      <c r="H1625">
        <f>IF($G1625="","",IF(Sync!$X1622="","",Sync!$X1622))</f>
        <v/>
      </c>
      <c r="I1625">
        <f>IF($G1625="","",IFERROR(VLOOKUP(Sync!$X1622,OpTbl,3,0),""))</f>
        <v/>
      </c>
      <c r="J1625">
        <f>IF(OR($G1625="",Sync!$Z1622=""),"",Sync!$Z1622)</f>
        <v/>
      </c>
      <c r="K1625">
        <f>IF(OR($G1625="",Sync!$AA1622=""),"",Sync!$AA1622)</f>
        <v/>
      </c>
      <c r="L1625">
        <f>IF($G1625="",0,IF(Sync!$AB1622="",0,Sync!$AB1622))</f>
        <v/>
      </c>
      <c r="M1625">
        <f>IF($G1625="",0,IF(Sync!$AC1622="",0,Sync!$AC1622))</f>
        <v/>
      </c>
      <c r="N1625">
        <f>IF($G1625="","",IF($H1625="مرجوعی خرید",-1,1)*($L1625-$M1625*IFERROR(VLOOKUP("P01",ParamTbl,3,0),1.5))*(1-IF($I1625="خرید",IFERROR(VLOOKUP("P02",ParamTbl,3,0),1),0)/100))</f>
        <v/>
      </c>
      <c r="O1625">
        <f>IF($G1625="",0,IF($H1625="مرجوعی خرید",-1,1)*IF(Sync!$AD1622="",0,Sync!$AD1622))</f>
        <v/>
      </c>
      <c r="P1625">
        <f>IF(OR($G1625="",Sync!$W1622=""),"",Sync!$W1622)</f>
        <v/>
      </c>
      <c r="Q1625">
        <f>IF(OR($G1625="",Sync!$AE1622=""),"",Sync!$AE1622)</f>
        <v/>
      </c>
      <c r="R1625">
        <f>IF($G1625="","",IF(Sync!$V1622="","0000",IF(AND(ISNUMBER(Sync!$V1622),Sync!$V1622&gt;=0,Sync!$V1622&lt;1),RIGHT("00"&amp;HOUR(Sync!$V1622),2)&amp;RIGHT("00"&amp;MINUTE(Sync!$V1622),2),IFERROR(RIGHT("00"&amp;VALUE(LEFT(Sync!$V1622,FIND(":",Sync!$V1622)-1)),2)&amp;RIGHT("00"&amp;VALUE(MID(Sync!$V1622,FIND(":",Sync!$V1622)+1,2)),2),"0000"))))</f>
        <v/>
      </c>
    </row>
    <row r="1626">
      <c r="A1626">
        <f>IF(Sync!$U1623="","",Sync!$U1623)</f>
        <v/>
      </c>
      <c r="B1626">
        <f>IF($A1626="","",IF(ISNUMBER($A1626),IF(AND($A1626&gt;=10000101,$A1626&lt;=99991231),INT($A1626/10000),""),IFERROR(VALUE(TRIM(LEFT($A1626,FIND("/",$A1626)-1))),"")))</f>
        <v/>
      </c>
      <c r="C1626">
        <f>IF(OR($A1626="",$B1626=""),"",IF(ISNUMBER($A1626),INT(MOD($A1626,10000)/100),IFERROR(VALUE(TRIM(LEFT(MID($A1626,FIND("/",$A1626)+1,20),FIND("/",MID($A1626,FIND("/",$A1626)+1,20))-1))),"")))</f>
        <v/>
      </c>
      <c r="D1626">
        <f>IF(OR($A1626="",$B1626=""),"",IF(ISNUMBER($A1626),MOD($A1626,100),IFERROR(VALUE(TRIM(MID(MID($A1626,FIND("/",$A1626)+1,20),FIND("/",MID($A1626,FIND("/",$A1626)+1,20))+1,20))),"")))</f>
        <v/>
      </c>
      <c r="E1626">
        <f>IF($A1626="","",IF(OR($B1626="",$C1626="",$D1626="",$B1626&lt;1300,$B1626&gt;1500,$C1626&lt;1,$C1626&gt;12,$D1626&lt;1,$D1626&gt;31),"نامعتبر",RIGHT("0000"&amp;$B1626,4)&amp;"/"&amp;RIGHT("00"&amp;$C1626,2)&amp;"/"&amp;RIGHT("00"&amp;$D1626,2)))</f>
        <v/>
      </c>
      <c r="F1626">
        <f>IF(OR($E1626="",$E1626="نامعتبر"),"",LEFT($E1626,4)&amp;"/"&amp;MID($E1626,6,2))</f>
        <v/>
      </c>
      <c r="G1626">
        <f>IF(OR($E1626="",$E1626="نامعتبر",Sync!$Y1623=""),"",Sync!$Y1623)</f>
        <v/>
      </c>
      <c r="H1626">
        <f>IF($G1626="","",IF(Sync!$X1623="","",Sync!$X1623))</f>
        <v/>
      </c>
      <c r="I1626">
        <f>IF($G1626="","",IFERROR(VLOOKUP(Sync!$X1623,OpTbl,3,0),""))</f>
        <v/>
      </c>
      <c r="J1626">
        <f>IF(OR($G1626="",Sync!$Z1623=""),"",Sync!$Z1623)</f>
        <v/>
      </c>
      <c r="K1626">
        <f>IF(OR($G1626="",Sync!$AA1623=""),"",Sync!$AA1623)</f>
        <v/>
      </c>
      <c r="L1626">
        <f>IF($G1626="",0,IF(Sync!$AB1623="",0,Sync!$AB1623))</f>
        <v/>
      </c>
      <c r="M1626">
        <f>IF($G1626="",0,IF(Sync!$AC1623="",0,Sync!$AC1623))</f>
        <v/>
      </c>
      <c r="N1626">
        <f>IF($G1626="","",IF($H1626="مرجوعی خرید",-1,1)*($L1626-$M1626*IFERROR(VLOOKUP("P01",ParamTbl,3,0),1.5))*(1-IF($I1626="خرید",IFERROR(VLOOKUP("P02",ParamTbl,3,0),1),0)/100))</f>
        <v/>
      </c>
      <c r="O1626">
        <f>IF($G1626="",0,IF($H1626="مرجوعی خرید",-1,1)*IF(Sync!$AD1623="",0,Sync!$AD1623))</f>
        <v/>
      </c>
      <c r="P1626">
        <f>IF(OR($G1626="",Sync!$W1623=""),"",Sync!$W1623)</f>
        <v/>
      </c>
      <c r="Q1626">
        <f>IF(OR($G1626="",Sync!$AE1623=""),"",Sync!$AE1623)</f>
        <v/>
      </c>
      <c r="R1626">
        <f>IF($G1626="","",IF(Sync!$V1623="","0000",IF(AND(ISNUMBER(Sync!$V1623),Sync!$V1623&gt;=0,Sync!$V1623&lt;1),RIGHT("00"&amp;HOUR(Sync!$V1623),2)&amp;RIGHT("00"&amp;MINUTE(Sync!$V1623),2),IFERROR(RIGHT("00"&amp;VALUE(LEFT(Sync!$V1623,FIND(":",Sync!$V1623)-1)),2)&amp;RIGHT("00"&amp;VALUE(MID(Sync!$V1623,FIND(":",Sync!$V1623)+1,2)),2),"0000"))))</f>
        <v/>
      </c>
    </row>
    <row r="1627">
      <c r="A1627">
        <f>IF(Sync!$U1624="","",Sync!$U1624)</f>
        <v/>
      </c>
      <c r="B1627">
        <f>IF($A1627="","",IF(ISNUMBER($A1627),IF(AND($A1627&gt;=10000101,$A1627&lt;=99991231),INT($A1627/10000),""),IFERROR(VALUE(TRIM(LEFT($A1627,FIND("/",$A1627)-1))),"")))</f>
        <v/>
      </c>
      <c r="C1627">
        <f>IF(OR($A1627="",$B1627=""),"",IF(ISNUMBER($A1627),INT(MOD($A1627,10000)/100),IFERROR(VALUE(TRIM(LEFT(MID($A1627,FIND("/",$A1627)+1,20),FIND("/",MID($A1627,FIND("/",$A1627)+1,20))-1))),"")))</f>
        <v/>
      </c>
      <c r="D1627">
        <f>IF(OR($A1627="",$B1627=""),"",IF(ISNUMBER($A1627),MOD($A1627,100),IFERROR(VALUE(TRIM(MID(MID($A1627,FIND("/",$A1627)+1,20),FIND("/",MID($A1627,FIND("/",$A1627)+1,20))+1,20))),"")))</f>
        <v/>
      </c>
      <c r="E1627">
        <f>IF($A1627="","",IF(OR($B1627="",$C1627="",$D1627="",$B1627&lt;1300,$B1627&gt;1500,$C1627&lt;1,$C1627&gt;12,$D1627&lt;1,$D1627&gt;31),"نامعتبر",RIGHT("0000"&amp;$B1627,4)&amp;"/"&amp;RIGHT("00"&amp;$C1627,2)&amp;"/"&amp;RIGHT("00"&amp;$D1627,2)))</f>
        <v/>
      </c>
      <c r="F1627">
        <f>IF(OR($E1627="",$E1627="نامعتبر"),"",LEFT($E1627,4)&amp;"/"&amp;MID($E1627,6,2))</f>
        <v/>
      </c>
      <c r="G1627">
        <f>IF(OR($E1627="",$E1627="نامعتبر",Sync!$Y1624=""),"",Sync!$Y1624)</f>
        <v/>
      </c>
      <c r="H1627">
        <f>IF($G1627="","",IF(Sync!$X1624="","",Sync!$X1624))</f>
        <v/>
      </c>
      <c r="I1627">
        <f>IF($G1627="","",IFERROR(VLOOKUP(Sync!$X1624,OpTbl,3,0),""))</f>
        <v/>
      </c>
      <c r="J1627">
        <f>IF(OR($G1627="",Sync!$Z1624=""),"",Sync!$Z1624)</f>
        <v/>
      </c>
      <c r="K1627">
        <f>IF(OR($G1627="",Sync!$AA1624=""),"",Sync!$AA1624)</f>
        <v/>
      </c>
      <c r="L1627">
        <f>IF($G1627="",0,IF(Sync!$AB1624="",0,Sync!$AB1624))</f>
        <v/>
      </c>
      <c r="M1627">
        <f>IF($G1627="",0,IF(Sync!$AC1624="",0,Sync!$AC1624))</f>
        <v/>
      </c>
      <c r="N1627">
        <f>IF($G1627="","",IF($H1627="مرجوعی خرید",-1,1)*($L1627-$M1627*IFERROR(VLOOKUP("P01",ParamTbl,3,0),1.5))*(1-IF($I1627="خرید",IFERROR(VLOOKUP("P02",ParamTbl,3,0),1),0)/100))</f>
        <v/>
      </c>
      <c r="O1627">
        <f>IF($G1627="",0,IF($H1627="مرجوعی خرید",-1,1)*IF(Sync!$AD1624="",0,Sync!$AD1624))</f>
        <v/>
      </c>
      <c r="P1627">
        <f>IF(OR($G1627="",Sync!$W1624=""),"",Sync!$W1624)</f>
        <v/>
      </c>
      <c r="Q1627">
        <f>IF(OR($G1627="",Sync!$AE1624=""),"",Sync!$AE1624)</f>
        <v/>
      </c>
      <c r="R1627">
        <f>IF($G1627="","",IF(Sync!$V1624="","0000",IF(AND(ISNUMBER(Sync!$V1624),Sync!$V1624&gt;=0,Sync!$V1624&lt;1),RIGHT("00"&amp;HOUR(Sync!$V1624),2)&amp;RIGHT("00"&amp;MINUTE(Sync!$V1624),2),IFERROR(RIGHT("00"&amp;VALUE(LEFT(Sync!$V1624,FIND(":",Sync!$V1624)-1)),2)&amp;RIGHT("00"&amp;VALUE(MID(Sync!$V1624,FIND(":",Sync!$V1624)+1,2)),2),"0000"))))</f>
        <v/>
      </c>
    </row>
    <row r="1628">
      <c r="A1628">
        <f>IF(Sync!$U1625="","",Sync!$U1625)</f>
        <v/>
      </c>
      <c r="B1628">
        <f>IF($A1628="","",IF(ISNUMBER($A1628),IF(AND($A1628&gt;=10000101,$A1628&lt;=99991231),INT($A1628/10000),""),IFERROR(VALUE(TRIM(LEFT($A1628,FIND("/",$A1628)-1))),"")))</f>
        <v/>
      </c>
      <c r="C1628">
        <f>IF(OR($A1628="",$B1628=""),"",IF(ISNUMBER($A1628),INT(MOD($A1628,10000)/100),IFERROR(VALUE(TRIM(LEFT(MID($A1628,FIND("/",$A1628)+1,20),FIND("/",MID($A1628,FIND("/",$A1628)+1,20))-1))),"")))</f>
        <v/>
      </c>
      <c r="D1628">
        <f>IF(OR($A1628="",$B1628=""),"",IF(ISNUMBER($A1628),MOD($A1628,100),IFERROR(VALUE(TRIM(MID(MID($A1628,FIND("/",$A1628)+1,20),FIND("/",MID($A1628,FIND("/",$A1628)+1,20))+1,20))),"")))</f>
        <v/>
      </c>
      <c r="E1628">
        <f>IF($A1628="","",IF(OR($B1628="",$C1628="",$D1628="",$B1628&lt;1300,$B1628&gt;1500,$C1628&lt;1,$C1628&gt;12,$D1628&lt;1,$D1628&gt;31),"نامعتبر",RIGHT("0000"&amp;$B1628,4)&amp;"/"&amp;RIGHT("00"&amp;$C1628,2)&amp;"/"&amp;RIGHT("00"&amp;$D1628,2)))</f>
        <v/>
      </c>
      <c r="F1628">
        <f>IF(OR($E1628="",$E1628="نامعتبر"),"",LEFT($E1628,4)&amp;"/"&amp;MID($E1628,6,2))</f>
        <v/>
      </c>
      <c r="G1628">
        <f>IF(OR($E1628="",$E1628="نامعتبر",Sync!$Y1625=""),"",Sync!$Y1625)</f>
        <v/>
      </c>
      <c r="H1628">
        <f>IF($G1628="","",IF(Sync!$X1625="","",Sync!$X1625))</f>
        <v/>
      </c>
      <c r="I1628">
        <f>IF($G1628="","",IFERROR(VLOOKUP(Sync!$X1625,OpTbl,3,0),""))</f>
        <v/>
      </c>
      <c r="J1628">
        <f>IF(OR($G1628="",Sync!$Z1625=""),"",Sync!$Z1625)</f>
        <v/>
      </c>
      <c r="K1628">
        <f>IF(OR($G1628="",Sync!$AA1625=""),"",Sync!$AA1625)</f>
        <v/>
      </c>
      <c r="L1628">
        <f>IF($G1628="",0,IF(Sync!$AB1625="",0,Sync!$AB1625))</f>
        <v/>
      </c>
      <c r="M1628">
        <f>IF($G1628="",0,IF(Sync!$AC1625="",0,Sync!$AC1625))</f>
        <v/>
      </c>
      <c r="N1628">
        <f>IF($G1628="","",IF($H1628="مرجوعی خرید",-1,1)*($L1628-$M1628*IFERROR(VLOOKUP("P01",ParamTbl,3,0),1.5))*(1-IF($I1628="خرید",IFERROR(VLOOKUP("P02",ParamTbl,3,0),1),0)/100))</f>
        <v/>
      </c>
      <c r="O1628">
        <f>IF($G1628="",0,IF($H1628="مرجوعی خرید",-1,1)*IF(Sync!$AD1625="",0,Sync!$AD1625))</f>
        <v/>
      </c>
      <c r="P1628">
        <f>IF(OR($G1628="",Sync!$W1625=""),"",Sync!$W1625)</f>
        <v/>
      </c>
      <c r="Q1628">
        <f>IF(OR($G1628="",Sync!$AE1625=""),"",Sync!$AE1625)</f>
        <v/>
      </c>
      <c r="R1628">
        <f>IF($G1628="","",IF(Sync!$V1625="","0000",IF(AND(ISNUMBER(Sync!$V1625),Sync!$V1625&gt;=0,Sync!$V1625&lt;1),RIGHT("00"&amp;HOUR(Sync!$V1625),2)&amp;RIGHT("00"&amp;MINUTE(Sync!$V1625),2),IFERROR(RIGHT("00"&amp;VALUE(LEFT(Sync!$V1625,FIND(":",Sync!$V1625)-1)),2)&amp;RIGHT("00"&amp;VALUE(MID(Sync!$V1625,FIND(":",Sync!$V1625)+1,2)),2),"0000"))))</f>
        <v/>
      </c>
    </row>
    <row r="1629">
      <c r="A1629">
        <f>IF(Sync!$U1626="","",Sync!$U1626)</f>
        <v/>
      </c>
      <c r="B1629">
        <f>IF($A1629="","",IF(ISNUMBER($A1629),IF(AND($A1629&gt;=10000101,$A1629&lt;=99991231),INT($A1629/10000),""),IFERROR(VALUE(TRIM(LEFT($A1629,FIND("/",$A1629)-1))),"")))</f>
        <v/>
      </c>
      <c r="C1629">
        <f>IF(OR($A1629="",$B1629=""),"",IF(ISNUMBER($A1629),INT(MOD($A1629,10000)/100),IFERROR(VALUE(TRIM(LEFT(MID($A1629,FIND("/",$A1629)+1,20),FIND("/",MID($A1629,FIND("/",$A1629)+1,20))-1))),"")))</f>
        <v/>
      </c>
      <c r="D1629">
        <f>IF(OR($A1629="",$B1629=""),"",IF(ISNUMBER($A1629),MOD($A1629,100),IFERROR(VALUE(TRIM(MID(MID($A1629,FIND("/",$A1629)+1,20),FIND("/",MID($A1629,FIND("/",$A1629)+1,20))+1,20))),"")))</f>
        <v/>
      </c>
      <c r="E1629">
        <f>IF($A1629="","",IF(OR($B1629="",$C1629="",$D1629="",$B1629&lt;1300,$B1629&gt;1500,$C1629&lt;1,$C1629&gt;12,$D1629&lt;1,$D1629&gt;31),"نامعتبر",RIGHT("0000"&amp;$B1629,4)&amp;"/"&amp;RIGHT("00"&amp;$C1629,2)&amp;"/"&amp;RIGHT("00"&amp;$D1629,2)))</f>
        <v/>
      </c>
      <c r="F1629">
        <f>IF(OR($E1629="",$E1629="نامعتبر"),"",LEFT($E1629,4)&amp;"/"&amp;MID($E1629,6,2))</f>
        <v/>
      </c>
      <c r="G1629">
        <f>IF(OR($E1629="",$E1629="نامعتبر",Sync!$Y1626=""),"",Sync!$Y1626)</f>
        <v/>
      </c>
      <c r="H1629">
        <f>IF($G1629="","",IF(Sync!$X1626="","",Sync!$X1626))</f>
        <v/>
      </c>
      <c r="I1629">
        <f>IF($G1629="","",IFERROR(VLOOKUP(Sync!$X1626,OpTbl,3,0),""))</f>
        <v/>
      </c>
      <c r="J1629">
        <f>IF(OR($G1629="",Sync!$Z1626=""),"",Sync!$Z1626)</f>
        <v/>
      </c>
      <c r="K1629">
        <f>IF(OR($G1629="",Sync!$AA1626=""),"",Sync!$AA1626)</f>
        <v/>
      </c>
      <c r="L1629">
        <f>IF($G1629="",0,IF(Sync!$AB1626="",0,Sync!$AB1626))</f>
        <v/>
      </c>
      <c r="M1629">
        <f>IF($G1629="",0,IF(Sync!$AC1626="",0,Sync!$AC1626))</f>
        <v/>
      </c>
      <c r="N1629">
        <f>IF($G1629="","",IF($H1629="مرجوعی خرید",-1,1)*($L1629-$M1629*IFERROR(VLOOKUP("P01",ParamTbl,3,0),1.5))*(1-IF($I1629="خرید",IFERROR(VLOOKUP("P02",ParamTbl,3,0),1),0)/100))</f>
        <v/>
      </c>
      <c r="O1629">
        <f>IF($G1629="",0,IF($H1629="مرجوعی خرید",-1,1)*IF(Sync!$AD1626="",0,Sync!$AD1626))</f>
        <v/>
      </c>
      <c r="P1629">
        <f>IF(OR($G1629="",Sync!$W1626=""),"",Sync!$W1626)</f>
        <v/>
      </c>
      <c r="Q1629">
        <f>IF(OR($G1629="",Sync!$AE1626=""),"",Sync!$AE1626)</f>
        <v/>
      </c>
      <c r="R1629">
        <f>IF($G1629="","",IF(Sync!$V1626="","0000",IF(AND(ISNUMBER(Sync!$V1626),Sync!$V1626&gt;=0,Sync!$V1626&lt;1),RIGHT("00"&amp;HOUR(Sync!$V1626),2)&amp;RIGHT("00"&amp;MINUTE(Sync!$V1626),2),IFERROR(RIGHT("00"&amp;VALUE(LEFT(Sync!$V1626,FIND(":",Sync!$V1626)-1)),2)&amp;RIGHT("00"&amp;VALUE(MID(Sync!$V1626,FIND(":",Sync!$V1626)+1,2)),2),"0000"))))</f>
        <v/>
      </c>
    </row>
    <row r="1630">
      <c r="A1630">
        <f>IF(Sync!$U1627="","",Sync!$U1627)</f>
        <v/>
      </c>
      <c r="B1630">
        <f>IF($A1630="","",IF(ISNUMBER($A1630),IF(AND($A1630&gt;=10000101,$A1630&lt;=99991231),INT($A1630/10000),""),IFERROR(VALUE(TRIM(LEFT($A1630,FIND("/",$A1630)-1))),"")))</f>
        <v/>
      </c>
      <c r="C1630">
        <f>IF(OR($A1630="",$B1630=""),"",IF(ISNUMBER($A1630),INT(MOD($A1630,10000)/100),IFERROR(VALUE(TRIM(LEFT(MID($A1630,FIND("/",$A1630)+1,20),FIND("/",MID($A1630,FIND("/",$A1630)+1,20))-1))),"")))</f>
        <v/>
      </c>
      <c r="D1630">
        <f>IF(OR($A1630="",$B1630=""),"",IF(ISNUMBER($A1630),MOD($A1630,100),IFERROR(VALUE(TRIM(MID(MID($A1630,FIND("/",$A1630)+1,20),FIND("/",MID($A1630,FIND("/",$A1630)+1,20))+1,20))),"")))</f>
        <v/>
      </c>
      <c r="E1630">
        <f>IF($A1630="","",IF(OR($B1630="",$C1630="",$D1630="",$B1630&lt;1300,$B1630&gt;1500,$C1630&lt;1,$C1630&gt;12,$D1630&lt;1,$D1630&gt;31),"نامعتبر",RIGHT("0000"&amp;$B1630,4)&amp;"/"&amp;RIGHT("00"&amp;$C1630,2)&amp;"/"&amp;RIGHT("00"&amp;$D1630,2)))</f>
        <v/>
      </c>
      <c r="F1630">
        <f>IF(OR($E1630="",$E1630="نامعتبر"),"",LEFT($E1630,4)&amp;"/"&amp;MID($E1630,6,2))</f>
        <v/>
      </c>
      <c r="G1630">
        <f>IF(OR($E1630="",$E1630="نامعتبر",Sync!$Y1627=""),"",Sync!$Y1627)</f>
        <v/>
      </c>
      <c r="H1630">
        <f>IF($G1630="","",IF(Sync!$X1627="","",Sync!$X1627))</f>
        <v/>
      </c>
      <c r="I1630">
        <f>IF($G1630="","",IFERROR(VLOOKUP(Sync!$X1627,OpTbl,3,0),""))</f>
        <v/>
      </c>
      <c r="J1630">
        <f>IF(OR($G1630="",Sync!$Z1627=""),"",Sync!$Z1627)</f>
        <v/>
      </c>
      <c r="K1630">
        <f>IF(OR($G1630="",Sync!$AA1627=""),"",Sync!$AA1627)</f>
        <v/>
      </c>
      <c r="L1630">
        <f>IF($G1630="",0,IF(Sync!$AB1627="",0,Sync!$AB1627))</f>
        <v/>
      </c>
      <c r="M1630">
        <f>IF($G1630="",0,IF(Sync!$AC1627="",0,Sync!$AC1627))</f>
        <v/>
      </c>
      <c r="N1630">
        <f>IF($G1630="","",IF($H1630="مرجوعی خرید",-1,1)*($L1630-$M1630*IFERROR(VLOOKUP("P01",ParamTbl,3,0),1.5))*(1-IF($I1630="خرید",IFERROR(VLOOKUP("P02",ParamTbl,3,0),1),0)/100))</f>
        <v/>
      </c>
      <c r="O1630">
        <f>IF($G1630="",0,IF($H1630="مرجوعی خرید",-1,1)*IF(Sync!$AD1627="",0,Sync!$AD1627))</f>
        <v/>
      </c>
      <c r="P1630">
        <f>IF(OR($G1630="",Sync!$W1627=""),"",Sync!$W1627)</f>
        <v/>
      </c>
      <c r="Q1630">
        <f>IF(OR($G1630="",Sync!$AE1627=""),"",Sync!$AE1627)</f>
        <v/>
      </c>
      <c r="R1630">
        <f>IF($G1630="","",IF(Sync!$V1627="","0000",IF(AND(ISNUMBER(Sync!$V1627),Sync!$V1627&gt;=0,Sync!$V1627&lt;1),RIGHT("00"&amp;HOUR(Sync!$V1627),2)&amp;RIGHT("00"&amp;MINUTE(Sync!$V1627),2),IFERROR(RIGHT("00"&amp;VALUE(LEFT(Sync!$V1627,FIND(":",Sync!$V1627)-1)),2)&amp;RIGHT("00"&amp;VALUE(MID(Sync!$V1627,FIND(":",Sync!$V1627)+1,2)),2),"0000"))))</f>
        <v/>
      </c>
    </row>
    <row r="1631">
      <c r="A1631">
        <f>IF(Sync!$U1628="","",Sync!$U1628)</f>
        <v/>
      </c>
      <c r="B1631">
        <f>IF($A1631="","",IF(ISNUMBER($A1631),IF(AND($A1631&gt;=10000101,$A1631&lt;=99991231),INT($A1631/10000),""),IFERROR(VALUE(TRIM(LEFT($A1631,FIND("/",$A1631)-1))),"")))</f>
        <v/>
      </c>
      <c r="C1631">
        <f>IF(OR($A1631="",$B1631=""),"",IF(ISNUMBER($A1631),INT(MOD($A1631,10000)/100),IFERROR(VALUE(TRIM(LEFT(MID($A1631,FIND("/",$A1631)+1,20),FIND("/",MID($A1631,FIND("/",$A1631)+1,20))-1))),"")))</f>
        <v/>
      </c>
      <c r="D1631">
        <f>IF(OR($A1631="",$B1631=""),"",IF(ISNUMBER($A1631),MOD($A1631,100),IFERROR(VALUE(TRIM(MID(MID($A1631,FIND("/",$A1631)+1,20),FIND("/",MID($A1631,FIND("/",$A1631)+1,20))+1,20))),"")))</f>
        <v/>
      </c>
      <c r="E1631">
        <f>IF($A1631="","",IF(OR($B1631="",$C1631="",$D1631="",$B1631&lt;1300,$B1631&gt;1500,$C1631&lt;1,$C1631&gt;12,$D1631&lt;1,$D1631&gt;31),"نامعتبر",RIGHT("0000"&amp;$B1631,4)&amp;"/"&amp;RIGHT("00"&amp;$C1631,2)&amp;"/"&amp;RIGHT("00"&amp;$D1631,2)))</f>
        <v/>
      </c>
      <c r="F1631">
        <f>IF(OR($E1631="",$E1631="نامعتبر"),"",LEFT($E1631,4)&amp;"/"&amp;MID($E1631,6,2))</f>
        <v/>
      </c>
      <c r="G1631">
        <f>IF(OR($E1631="",$E1631="نامعتبر",Sync!$Y1628=""),"",Sync!$Y1628)</f>
        <v/>
      </c>
      <c r="H1631">
        <f>IF($G1631="","",IF(Sync!$X1628="","",Sync!$X1628))</f>
        <v/>
      </c>
      <c r="I1631">
        <f>IF($G1631="","",IFERROR(VLOOKUP(Sync!$X1628,OpTbl,3,0),""))</f>
        <v/>
      </c>
      <c r="J1631">
        <f>IF(OR($G1631="",Sync!$Z1628=""),"",Sync!$Z1628)</f>
        <v/>
      </c>
      <c r="K1631">
        <f>IF(OR($G1631="",Sync!$AA1628=""),"",Sync!$AA1628)</f>
        <v/>
      </c>
      <c r="L1631">
        <f>IF($G1631="",0,IF(Sync!$AB1628="",0,Sync!$AB1628))</f>
        <v/>
      </c>
      <c r="M1631">
        <f>IF($G1631="",0,IF(Sync!$AC1628="",0,Sync!$AC1628))</f>
        <v/>
      </c>
      <c r="N1631">
        <f>IF($G1631="","",IF($H1631="مرجوعی خرید",-1,1)*($L1631-$M1631*IFERROR(VLOOKUP("P01",ParamTbl,3,0),1.5))*(1-IF($I1631="خرید",IFERROR(VLOOKUP("P02",ParamTbl,3,0),1),0)/100))</f>
        <v/>
      </c>
      <c r="O1631">
        <f>IF($G1631="",0,IF($H1631="مرجوعی خرید",-1,1)*IF(Sync!$AD1628="",0,Sync!$AD1628))</f>
        <v/>
      </c>
      <c r="P1631">
        <f>IF(OR($G1631="",Sync!$W1628=""),"",Sync!$W1628)</f>
        <v/>
      </c>
      <c r="Q1631">
        <f>IF(OR($G1631="",Sync!$AE1628=""),"",Sync!$AE1628)</f>
        <v/>
      </c>
      <c r="R1631">
        <f>IF($G1631="","",IF(Sync!$V1628="","0000",IF(AND(ISNUMBER(Sync!$V1628),Sync!$V1628&gt;=0,Sync!$V1628&lt;1),RIGHT("00"&amp;HOUR(Sync!$V1628),2)&amp;RIGHT("00"&amp;MINUTE(Sync!$V1628),2),IFERROR(RIGHT("00"&amp;VALUE(LEFT(Sync!$V1628,FIND(":",Sync!$V1628)-1)),2)&amp;RIGHT("00"&amp;VALUE(MID(Sync!$V1628,FIND(":",Sync!$V1628)+1,2)),2),"0000"))))</f>
        <v/>
      </c>
    </row>
    <row r="1632">
      <c r="A1632">
        <f>IF(Sync!$U1629="","",Sync!$U1629)</f>
        <v/>
      </c>
      <c r="B1632">
        <f>IF($A1632="","",IF(ISNUMBER($A1632),IF(AND($A1632&gt;=10000101,$A1632&lt;=99991231),INT($A1632/10000),""),IFERROR(VALUE(TRIM(LEFT($A1632,FIND("/",$A1632)-1))),"")))</f>
        <v/>
      </c>
      <c r="C1632">
        <f>IF(OR($A1632="",$B1632=""),"",IF(ISNUMBER($A1632),INT(MOD($A1632,10000)/100),IFERROR(VALUE(TRIM(LEFT(MID($A1632,FIND("/",$A1632)+1,20),FIND("/",MID($A1632,FIND("/",$A1632)+1,20))-1))),"")))</f>
        <v/>
      </c>
      <c r="D1632">
        <f>IF(OR($A1632="",$B1632=""),"",IF(ISNUMBER($A1632),MOD($A1632,100),IFERROR(VALUE(TRIM(MID(MID($A1632,FIND("/",$A1632)+1,20),FIND("/",MID($A1632,FIND("/",$A1632)+1,20))+1,20))),"")))</f>
        <v/>
      </c>
      <c r="E1632">
        <f>IF($A1632="","",IF(OR($B1632="",$C1632="",$D1632="",$B1632&lt;1300,$B1632&gt;1500,$C1632&lt;1,$C1632&gt;12,$D1632&lt;1,$D1632&gt;31),"نامعتبر",RIGHT("0000"&amp;$B1632,4)&amp;"/"&amp;RIGHT("00"&amp;$C1632,2)&amp;"/"&amp;RIGHT("00"&amp;$D1632,2)))</f>
        <v/>
      </c>
      <c r="F1632">
        <f>IF(OR($E1632="",$E1632="نامعتبر"),"",LEFT($E1632,4)&amp;"/"&amp;MID($E1632,6,2))</f>
        <v/>
      </c>
      <c r="G1632">
        <f>IF(OR($E1632="",$E1632="نامعتبر",Sync!$Y1629=""),"",Sync!$Y1629)</f>
        <v/>
      </c>
      <c r="H1632">
        <f>IF($G1632="","",IF(Sync!$X1629="","",Sync!$X1629))</f>
        <v/>
      </c>
      <c r="I1632">
        <f>IF($G1632="","",IFERROR(VLOOKUP(Sync!$X1629,OpTbl,3,0),""))</f>
        <v/>
      </c>
      <c r="J1632">
        <f>IF(OR($G1632="",Sync!$Z1629=""),"",Sync!$Z1629)</f>
        <v/>
      </c>
      <c r="K1632">
        <f>IF(OR($G1632="",Sync!$AA1629=""),"",Sync!$AA1629)</f>
        <v/>
      </c>
      <c r="L1632">
        <f>IF($G1632="",0,IF(Sync!$AB1629="",0,Sync!$AB1629))</f>
        <v/>
      </c>
      <c r="M1632">
        <f>IF($G1632="",0,IF(Sync!$AC1629="",0,Sync!$AC1629))</f>
        <v/>
      </c>
      <c r="N1632">
        <f>IF($G1632="","",IF($H1632="مرجوعی خرید",-1,1)*($L1632-$M1632*IFERROR(VLOOKUP("P01",ParamTbl,3,0),1.5))*(1-IF($I1632="خرید",IFERROR(VLOOKUP("P02",ParamTbl,3,0),1),0)/100))</f>
        <v/>
      </c>
      <c r="O1632">
        <f>IF($G1632="",0,IF($H1632="مرجوعی خرید",-1,1)*IF(Sync!$AD1629="",0,Sync!$AD1629))</f>
        <v/>
      </c>
      <c r="P1632">
        <f>IF(OR($G1632="",Sync!$W1629=""),"",Sync!$W1629)</f>
        <v/>
      </c>
      <c r="Q1632">
        <f>IF(OR($G1632="",Sync!$AE1629=""),"",Sync!$AE1629)</f>
        <v/>
      </c>
      <c r="R1632">
        <f>IF($G1632="","",IF(Sync!$V1629="","0000",IF(AND(ISNUMBER(Sync!$V1629),Sync!$V1629&gt;=0,Sync!$V1629&lt;1),RIGHT("00"&amp;HOUR(Sync!$V1629),2)&amp;RIGHT("00"&amp;MINUTE(Sync!$V1629),2),IFERROR(RIGHT("00"&amp;VALUE(LEFT(Sync!$V1629,FIND(":",Sync!$V1629)-1)),2)&amp;RIGHT("00"&amp;VALUE(MID(Sync!$V1629,FIND(":",Sync!$V1629)+1,2)),2),"0000"))))</f>
        <v/>
      </c>
    </row>
    <row r="1633">
      <c r="A1633">
        <f>IF(Sync!$U1630="","",Sync!$U1630)</f>
        <v/>
      </c>
      <c r="B1633">
        <f>IF($A1633="","",IF(ISNUMBER($A1633),IF(AND($A1633&gt;=10000101,$A1633&lt;=99991231),INT($A1633/10000),""),IFERROR(VALUE(TRIM(LEFT($A1633,FIND("/",$A1633)-1))),"")))</f>
        <v/>
      </c>
      <c r="C1633">
        <f>IF(OR($A1633="",$B1633=""),"",IF(ISNUMBER($A1633),INT(MOD($A1633,10000)/100),IFERROR(VALUE(TRIM(LEFT(MID($A1633,FIND("/",$A1633)+1,20),FIND("/",MID($A1633,FIND("/",$A1633)+1,20))-1))),"")))</f>
        <v/>
      </c>
      <c r="D1633">
        <f>IF(OR($A1633="",$B1633=""),"",IF(ISNUMBER($A1633),MOD($A1633,100),IFERROR(VALUE(TRIM(MID(MID($A1633,FIND("/",$A1633)+1,20),FIND("/",MID($A1633,FIND("/",$A1633)+1,20))+1,20))),"")))</f>
        <v/>
      </c>
      <c r="E1633">
        <f>IF($A1633="","",IF(OR($B1633="",$C1633="",$D1633="",$B1633&lt;1300,$B1633&gt;1500,$C1633&lt;1,$C1633&gt;12,$D1633&lt;1,$D1633&gt;31),"نامعتبر",RIGHT("0000"&amp;$B1633,4)&amp;"/"&amp;RIGHT("00"&amp;$C1633,2)&amp;"/"&amp;RIGHT("00"&amp;$D1633,2)))</f>
        <v/>
      </c>
      <c r="F1633">
        <f>IF(OR($E1633="",$E1633="نامعتبر"),"",LEFT($E1633,4)&amp;"/"&amp;MID($E1633,6,2))</f>
        <v/>
      </c>
      <c r="G1633">
        <f>IF(OR($E1633="",$E1633="نامعتبر",Sync!$Y1630=""),"",Sync!$Y1630)</f>
        <v/>
      </c>
      <c r="H1633">
        <f>IF($G1633="","",IF(Sync!$X1630="","",Sync!$X1630))</f>
        <v/>
      </c>
      <c r="I1633">
        <f>IF($G1633="","",IFERROR(VLOOKUP(Sync!$X1630,OpTbl,3,0),""))</f>
        <v/>
      </c>
      <c r="J1633">
        <f>IF(OR($G1633="",Sync!$Z1630=""),"",Sync!$Z1630)</f>
        <v/>
      </c>
      <c r="K1633">
        <f>IF(OR($G1633="",Sync!$AA1630=""),"",Sync!$AA1630)</f>
        <v/>
      </c>
      <c r="L1633">
        <f>IF($G1633="",0,IF(Sync!$AB1630="",0,Sync!$AB1630))</f>
        <v/>
      </c>
      <c r="M1633">
        <f>IF($G1633="",0,IF(Sync!$AC1630="",0,Sync!$AC1630))</f>
        <v/>
      </c>
      <c r="N1633">
        <f>IF($G1633="","",IF($H1633="مرجوعی خرید",-1,1)*($L1633-$M1633*IFERROR(VLOOKUP("P01",ParamTbl,3,0),1.5))*(1-IF($I1633="خرید",IFERROR(VLOOKUP("P02",ParamTbl,3,0),1),0)/100))</f>
        <v/>
      </c>
      <c r="O1633">
        <f>IF($G1633="",0,IF($H1633="مرجوعی خرید",-1,1)*IF(Sync!$AD1630="",0,Sync!$AD1630))</f>
        <v/>
      </c>
      <c r="P1633">
        <f>IF(OR($G1633="",Sync!$W1630=""),"",Sync!$W1630)</f>
        <v/>
      </c>
      <c r="Q1633">
        <f>IF(OR($G1633="",Sync!$AE1630=""),"",Sync!$AE1630)</f>
        <v/>
      </c>
      <c r="R1633">
        <f>IF($G1633="","",IF(Sync!$V1630="","0000",IF(AND(ISNUMBER(Sync!$V1630),Sync!$V1630&gt;=0,Sync!$V1630&lt;1),RIGHT("00"&amp;HOUR(Sync!$V1630),2)&amp;RIGHT("00"&amp;MINUTE(Sync!$V1630),2),IFERROR(RIGHT("00"&amp;VALUE(LEFT(Sync!$V1630,FIND(":",Sync!$V1630)-1)),2)&amp;RIGHT("00"&amp;VALUE(MID(Sync!$V1630,FIND(":",Sync!$V1630)+1,2)),2),"0000"))))</f>
        <v/>
      </c>
    </row>
    <row r="1634">
      <c r="A1634">
        <f>IF(Sync!$U1631="","",Sync!$U1631)</f>
        <v/>
      </c>
      <c r="B1634">
        <f>IF($A1634="","",IF(ISNUMBER($A1634),IF(AND($A1634&gt;=10000101,$A1634&lt;=99991231),INT($A1634/10000),""),IFERROR(VALUE(TRIM(LEFT($A1634,FIND("/",$A1634)-1))),"")))</f>
        <v/>
      </c>
      <c r="C1634">
        <f>IF(OR($A1634="",$B1634=""),"",IF(ISNUMBER($A1634),INT(MOD($A1634,10000)/100),IFERROR(VALUE(TRIM(LEFT(MID($A1634,FIND("/",$A1634)+1,20),FIND("/",MID($A1634,FIND("/",$A1634)+1,20))-1))),"")))</f>
        <v/>
      </c>
      <c r="D1634">
        <f>IF(OR($A1634="",$B1634=""),"",IF(ISNUMBER($A1634),MOD($A1634,100),IFERROR(VALUE(TRIM(MID(MID($A1634,FIND("/",$A1634)+1,20),FIND("/",MID($A1634,FIND("/",$A1634)+1,20))+1,20))),"")))</f>
        <v/>
      </c>
      <c r="E1634">
        <f>IF($A1634="","",IF(OR($B1634="",$C1634="",$D1634="",$B1634&lt;1300,$B1634&gt;1500,$C1634&lt;1,$C1634&gt;12,$D1634&lt;1,$D1634&gt;31),"نامعتبر",RIGHT("0000"&amp;$B1634,4)&amp;"/"&amp;RIGHT("00"&amp;$C1634,2)&amp;"/"&amp;RIGHT("00"&amp;$D1634,2)))</f>
        <v/>
      </c>
      <c r="F1634">
        <f>IF(OR($E1634="",$E1634="نامعتبر"),"",LEFT($E1634,4)&amp;"/"&amp;MID($E1634,6,2))</f>
        <v/>
      </c>
      <c r="G1634">
        <f>IF(OR($E1634="",$E1634="نامعتبر",Sync!$Y1631=""),"",Sync!$Y1631)</f>
        <v/>
      </c>
      <c r="H1634">
        <f>IF($G1634="","",IF(Sync!$X1631="","",Sync!$X1631))</f>
        <v/>
      </c>
      <c r="I1634">
        <f>IF($G1634="","",IFERROR(VLOOKUP(Sync!$X1631,OpTbl,3,0),""))</f>
        <v/>
      </c>
      <c r="J1634">
        <f>IF(OR($G1634="",Sync!$Z1631=""),"",Sync!$Z1631)</f>
        <v/>
      </c>
      <c r="K1634">
        <f>IF(OR($G1634="",Sync!$AA1631=""),"",Sync!$AA1631)</f>
        <v/>
      </c>
      <c r="L1634">
        <f>IF($G1634="",0,IF(Sync!$AB1631="",0,Sync!$AB1631))</f>
        <v/>
      </c>
      <c r="M1634">
        <f>IF($G1634="",0,IF(Sync!$AC1631="",0,Sync!$AC1631))</f>
        <v/>
      </c>
      <c r="N1634">
        <f>IF($G1634="","",IF($H1634="مرجوعی خرید",-1,1)*($L1634-$M1634*IFERROR(VLOOKUP("P01",ParamTbl,3,0),1.5))*(1-IF($I1634="خرید",IFERROR(VLOOKUP("P02",ParamTbl,3,0),1),0)/100))</f>
        <v/>
      </c>
      <c r="O1634">
        <f>IF($G1634="",0,IF($H1634="مرجوعی خرید",-1,1)*IF(Sync!$AD1631="",0,Sync!$AD1631))</f>
        <v/>
      </c>
      <c r="P1634">
        <f>IF(OR($G1634="",Sync!$W1631=""),"",Sync!$W1631)</f>
        <v/>
      </c>
      <c r="Q1634">
        <f>IF(OR($G1634="",Sync!$AE1631=""),"",Sync!$AE1631)</f>
        <v/>
      </c>
      <c r="R1634">
        <f>IF($G1634="","",IF(Sync!$V1631="","0000",IF(AND(ISNUMBER(Sync!$V1631),Sync!$V1631&gt;=0,Sync!$V1631&lt;1),RIGHT("00"&amp;HOUR(Sync!$V1631),2)&amp;RIGHT("00"&amp;MINUTE(Sync!$V1631),2),IFERROR(RIGHT("00"&amp;VALUE(LEFT(Sync!$V1631,FIND(":",Sync!$V1631)-1)),2)&amp;RIGHT("00"&amp;VALUE(MID(Sync!$V1631,FIND(":",Sync!$V1631)+1,2)),2),"0000"))))</f>
        <v/>
      </c>
    </row>
    <row r="1635">
      <c r="A1635">
        <f>IF(Sync!$U1632="","",Sync!$U1632)</f>
        <v/>
      </c>
      <c r="B1635">
        <f>IF($A1635="","",IF(ISNUMBER($A1635),IF(AND($A1635&gt;=10000101,$A1635&lt;=99991231),INT($A1635/10000),""),IFERROR(VALUE(TRIM(LEFT($A1635,FIND("/",$A1635)-1))),"")))</f>
        <v/>
      </c>
      <c r="C1635">
        <f>IF(OR($A1635="",$B1635=""),"",IF(ISNUMBER($A1635),INT(MOD($A1635,10000)/100),IFERROR(VALUE(TRIM(LEFT(MID($A1635,FIND("/",$A1635)+1,20),FIND("/",MID($A1635,FIND("/",$A1635)+1,20))-1))),"")))</f>
        <v/>
      </c>
      <c r="D1635">
        <f>IF(OR($A1635="",$B1635=""),"",IF(ISNUMBER($A1635),MOD($A1635,100),IFERROR(VALUE(TRIM(MID(MID($A1635,FIND("/",$A1635)+1,20),FIND("/",MID($A1635,FIND("/",$A1635)+1,20))+1,20))),"")))</f>
        <v/>
      </c>
      <c r="E1635">
        <f>IF($A1635="","",IF(OR($B1635="",$C1635="",$D1635="",$B1635&lt;1300,$B1635&gt;1500,$C1635&lt;1,$C1635&gt;12,$D1635&lt;1,$D1635&gt;31),"نامعتبر",RIGHT("0000"&amp;$B1635,4)&amp;"/"&amp;RIGHT("00"&amp;$C1635,2)&amp;"/"&amp;RIGHT("00"&amp;$D1635,2)))</f>
        <v/>
      </c>
      <c r="F1635">
        <f>IF(OR($E1635="",$E1635="نامعتبر"),"",LEFT($E1635,4)&amp;"/"&amp;MID($E1635,6,2))</f>
        <v/>
      </c>
      <c r="G1635">
        <f>IF(OR($E1635="",$E1635="نامعتبر",Sync!$Y1632=""),"",Sync!$Y1632)</f>
        <v/>
      </c>
      <c r="H1635">
        <f>IF($G1635="","",IF(Sync!$X1632="","",Sync!$X1632))</f>
        <v/>
      </c>
      <c r="I1635">
        <f>IF($G1635="","",IFERROR(VLOOKUP(Sync!$X1632,OpTbl,3,0),""))</f>
        <v/>
      </c>
      <c r="J1635">
        <f>IF(OR($G1635="",Sync!$Z1632=""),"",Sync!$Z1632)</f>
        <v/>
      </c>
      <c r="K1635">
        <f>IF(OR($G1635="",Sync!$AA1632=""),"",Sync!$AA1632)</f>
        <v/>
      </c>
      <c r="L1635">
        <f>IF($G1635="",0,IF(Sync!$AB1632="",0,Sync!$AB1632))</f>
        <v/>
      </c>
      <c r="M1635">
        <f>IF($G1635="",0,IF(Sync!$AC1632="",0,Sync!$AC1632))</f>
        <v/>
      </c>
      <c r="N1635">
        <f>IF($G1635="","",IF($H1635="مرجوعی خرید",-1,1)*($L1635-$M1635*IFERROR(VLOOKUP("P01",ParamTbl,3,0),1.5))*(1-IF($I1635="خرید",IFERROR(VLOOKUP("P02",ParamTbl,3,0),1),0)/100))</f>
        <v/>
      </c>
      <c r="O1635">
        <f>IF($G1635="",0,IF($H1635="مرجوعی خرید",-1,1)*IF(Sync!$AD1632="",0,Sync!$AD1632))</f>
        <v/>
      </c>
      <c r="P1635">
        <f>IF(OR($G1635="",Sync!$W1632=""),"",Sync!$W1632)</f>
        <v/>
      </c>
      <c r="Q1635">
        <f>IF(OR($G1635="",Sync!$AE1632=""),"",Sync!$AE1632)</f>
        <v/>
      </c>
      <c r="R1635">
        <f>IF($G1635="","",IF(Sync!$V1632="","0000",IF(AND(ISNUMBER(Sync!$V1632),Sync!$V1632&gt;=0,Sync!$V1632&lt;1),RIGHT("00"&amp;HOUR(Sync!$V1632),2)&amp;RIGHT("00"&amp;MINUTE(Sync!$V1632),2),IFERROR(RIGHT("00"&amp;VALUE(LEFT(Sync!$V1632,FIND(":",Sync!$V1632)-1)),2)&amp;RIGHT("00"&amp;VALUE(MID(Sync!$V1632,FIND(":",Sync!$V1632)+1,2)),2),"0000"))))</f>
        <v/>
      </c>
    </row>
    <row r="1636">
      <c r="A1636">
        <f>IF(Sync!$U1633="","",Sync!$U1633)</f>
        <v/>
      </c>
      <c r="B1636">
        <f>IF($A1636="","",IF(ISNUMBER($A1636),IF(AND($A1636&gt;=10000101,$A1636&lt;=99991231),INT($A1636/10000),""),IFERROR(VALUE(TRIM(LEFT($A1636,FIND("/",$A1636)-1))),"")))</f>
        <v/>
      </c>
      <c r="C1636">
        <f>IF(OR($A1636="",$B1636=""),"",IF(ISNUMBER($A1636),INT(MOD($A1636,10000)/100),IFERROR(VALUE(TRIM(LEFT(MID($A1636,FIND("/",$A1636)+1,20),FIND("/",MID($A1636,FIND("/",$A1636)+1,20))-1))),"")))</f>
        <v/>
      </c>
      <c r="D1636">
        <f>IF(OR($A1636="",$B1636=""),"",IF(ISNUMBER($A1636),MOD($A1636,100),IFERROR(VALUE(TRIM(MID(MID($A1636,FIND("/",$A1636)+1,20),FIND("/",MID($A1636,FIND("/",$A1636)+1,20))+1,20))),"")))</f>
        <v/>
      </c>
      <c r="E1636">
        <f>IF($A1636="","",IF(OR($B1636="",$C1636="",$D1636="",$B1636&lt;1300,$B1636&gt;1500,$C1636&lt;1,$C1636&gt;12,$D1636&lt;1,$D1636&gt;31),"نامعتبر",RIGHT("0000"&amp;$B1636,4)&amp;"/"&amp;RIGHT("00"&amp;$C1636,2)&amp;"/"&amp;RIGHT("00"&amp;$D1636,2)))</f>
        <v/>
      </c>
      <c r="F1636">
        <f>IF(OR($E1636="",$E1636="نامعتبر"),"",LEFT($E1636,4)&amp;"/"&amp;MID($E1636,6,2))</f>
        <v/>
      </c>
      <c r="G1636">
        <f>IF(OR($E1636="",$E1636="نامعتبر",Sync!$Y1633=""),"",Sync!$Y1633)</f>
        <v/>
      </c>
      <c r="H1636">
        <f>IF($G1636="","",IF(Sync!$X1633="","",Sync!$X1633))</f>
        <v/>
      </c>
      <c r="I1636">
        <f>IF($G1636="","",IFERROR(VLOOKUP(Sync!$X1633,OpTbl,3,0),""))</f>
        <v/>
      </c>
      <c r="J1636">
        <f>IF(OR($G1636="",Sync!$Z1633=""),"",Sync!$Z1633)</f>
        <v/>
      </c>
      <c r="K1636">
        <f>IF(OR($G1636="",Sync!$AA1633=""),"",Sync!$AA1633)</f>
        <v/>
      </c>
      <c r="L1636">
        <f>IF($G1636="",0,IF(Sync!$AB1633="",0,Sync!$AB1633))</f>
        <v/>
      </c>
      <c r="M1636">
        <f>IF($G1636="",0,IF(Sync!$AC1633="",0,Sync!$AC1633))</f>
        <v/>
      </c>
      <c r="N1636">
        <f>IF($G1636="","",IF($H1636="مرجوعی خرید",-1,1)*($L1636-$M1636*IFERROR(VLOOKUP("P01",ParamTbl,3,0),1.5))*(1-IF($I1636="خرید",IFERROR(VLOOKUP("P02",ParamTbl,3,0),1),0)/100))</f>
        <v/>
      </c>
      <c r="O1636">
        <f>IF($G1636="",0,IF($H1636="مرجوعی خرید",-1,1)*IF(Sync!$AD1633="",0,Sync!$AD1633))</f>
        <v/>
      </c>
      <c r="P1636">
        <f>IF(OR($G1636="",Sync!$W1633=""),"",Sync!$W1633)</f>
        <v/>
      </c>
      <c r="Q1636">
        <f>IF(OR($G1636="",Sync!$AE1633=""),"",Sync!$AE1633)</f>
        <v/>
      </c>
      <c r="R1636">
        <f>IF($G1636="","",IF(Sync!$V1633="","0000",IF(AND(ISNUMBER(Sync!$V1633),Sync!$V1633&gt;=0,Sync!$V1633&lt;1),RIGHT("00"&amp;HOUR(Sync!$V1633),2)&amp;RIGHT("00"&amp;MINUTE(Sync!$V1633),2),IFERROR(RIGHT("00"&amp;VALUE(LEFT(Sync!$V1633,FIND(":",Sync!$V1633)-1)),2)&amp;RIGHT("00"&amp;VALUE(MID(Sync!$V1633,FIND(":",Sync!$V1633)+1,2)),2),"0000"))))</f>
        <v/>
      </c>
    </row>
    <row r="1637">
      <c r="A1637">
        <f>IF(Sync!$U1634="","",Sync!$U1634)</f>
        <v/>
      </c>
      <c r="B1637">
        <f>IF($A1637="","",IF(ISNUMBER($A1637),IF(AND($A1637&gt;=10000101,$A1637&lt;=99991231),INT($A1637/10000),""),IFERROR(VALUE(TRIM(LEFT($A1637,FIND("/",$A1637)-1))),"")))</f>
        <v/>
      </c>
      <c r="C1637">
        <f>IF(OR($A1637="",$B1637=""),"",IF(ISNUMBER($A1637),INT(MOD($A1637,10000)/100),IFERROR(VALUE(TRIM(LEFT(MID($A1637,FIND("/",$A1637)+1,20),FIND("/",MID($A1637,FIND("/",$A1637)+1,20))-1))),"")))</f>
        <v/>
      </c>
      <c r="D1637">
        <f>IF(OR($A1637="",$B1637=""),"",IF(ISNUMBER($A1637),MOD($A1637,100),IFERROR(VALUE(TRIM(MID(MID($A1637,FIND("/",$A1637)+1,20),FIND("/",MID($A1637,FIND("/",$A1637)+1,20))+1,20))),"")))</f>
        <v/>
      </c>
      <c r="E1637">
        <f>IF($A1637="","",IF(OR($B1637="",$C1637="",$D1637="",$B1637&lt;1300,$B1637&gt;1500,$C1637&lt;1,$C1637&gt;12,$D1637&lt;1,$D1637&gt;31),"نامعتبر",RIGHT("0000"&amp;$B1637,4)&amp;"/"&amp;RIGHT("00"&amp;$C1637,2)&amp;"/"&amp;RIGHT("00"&amp;$D1637,2)))</f>
        <v/>
      </c>
      <c r="F1637">
        <f>IF(OR($E1637="",$E1637="نامعتبر"),"",LEFT($E1637,4)&amp;"/"&amp;MID($E1637,6,2))</f>
        <v/>
      </c>
      <c r="G1637">
        <f>IF(OR($E1637="",$E1637="نامعتبر",Sync!$Y1634=""),"",Sync!$Y1634)</f>
        <v/>
      </c>
      <c r="H1637">
        <f>IF($G1637="","",IF(Sync!$X1634="","",Sync!$X1634))</f>
        <v/>
      </c>
      <c r="I1637">
        <f>IF($G1637="","",IFERROR(VLOOKUP(Sync!$X1634,OpTbl,3,0),""))</f>
        <v/>
      </c>
      <c r="J1637">
        <f>IF(OR($G1637="",Sync!$Z1634=""),"",Sync!$Z1634)</f>
        <v/>
      </c>
      <c r="K1637">
        <f>IF(OR($G1637="",Sync!$AA1634=""),"",Sync!$AA1634)</f>
        <v/>
      </c>
      <c r="L1637">
        <f>IF($G1637="",0,IF(Sync!$AB1634="",0,Sync!$AB1634))</f>
        <v/>
      </c>
      <c r="M1637">
        <f>IF($G1637="",0,IF(Sync!$AC1634="",0,Sync!$AC1634))</f>
        <v/>
      </c>
      <c r="N1637">
        <f>IF($G1637="","",IF($H1637="مرجوعی خرید",-1,1)*($L1637-$M1637*IFERROR(VLOOKUP("P01",ParamTbl,3,0),1.5))*(1-IF($I1637="خرید",IFERROR(VLOOKUP("P02",ParamTbl,3,0),1),0)/100))</f>
        <v/>
      </c>
      <c r="O1637">
        <f>IF($G1637="",0,IF($H1637="مرجوعی خرید",-1,1)*IF(Sync!$AD1634="",0,Sync!$AD1634))</f>
        <v/>
      </c>
      <c r="P1637">
        <f>IF(OR($G1637="",Sync!$W1634=""),"",Sync!$W1634)</f>
        <v/>
      </c>
      <c r="Q1637">
        <f>IF(OR($G1637="",Sync!$AE1634=""),"",Sync!$AE1634)</f>
        <v/>
      </c>
      <c r="R1637">
        <f>IF($G1637="","",IF(Sync!$V1634="","0000",IF(AND(ISNUMBER(Sync!$V1634),Sync!$V1634&gt;=0,Sync!$V1634&lt;1),RIGHT("00"&amp;HOUR(Sync!$V1634),2)&amp;RIGHT("00"&amp;MINUTE(Sync!$V1634),2),IFERROR(RIGHT("00"&amp;VALUE(LEFT(Sync!$V1634,FIND(":",Sync!$V1634)-1)),2)&amp;RIGHT("00"&amp;VALUE(MID(Sync!$V1634,FIND(":",Sync!$V1634)+1,2)),2),"0000"))))</f>
        <v/>
      </c>
    </row>
    <row r="1638">
      <c r="A1638">
        <f>IF(Sync!$U1635="","",Sync!$U1635)</f>
        <v/>
      </c>
      <c r="B1638">
        <f>IF($A1638="","",IF(ISNUMBER($A1638),IF(AND($A1638&gt;=10000101,$A1638&lt;=99991231),INT($A1638/10000),""),IFERROR(VALUE(TRIM(LEFT($A1638,FIND("/",$A1638)-1))),"")))</f>
        <v/>
      </c>
      <c r="C1638">
        <f>IF(OR($A1638="",$B1638=""),"",IF(ISNUMBER($A1638),INT(MOD($A1638,10000)/100),IFERROR(VALUE(TRIM(LEFT(MID($A1638,FIND("/",$A1638)+1,20),FIND("/",MID($A1638,FIND("/",$A1638)+1,20))-1))),"")))</f>
        <v/>
      </c>
      <c r="D1638">
        <f>IF(OR($A1638="",$B1638=""),"",IF(ISNUMBER($A1638),MOD($A1638,100),IFERROR(VALUE(TRIM(MID(MID($A1638,FIND("/",$A1638)+1,20),FIND("/",MID($A1638,FIND("/",$A1638)+1,20))+1,20))),"")))</f>
        <v/>
      </c>
      <c r="E1638">
        <f>IF($A1638="","",IF(OR($B1638="",$C1638="",$D1638="",$B1638&lt;1300,$B1638&gt;1500,$C1638&lt;1,$C1638&gt;12,$D1638&lt;1,$D1638&gt;31),"نامعتبر",RIGHT("0000"&amp;$B1638,4)&amp;"/"&amp;RIGHT("00"&amp;$C1638,2)&amp;"/"&amp;RIGHT("00"&amp;$D1638,2)))</f>
        <v/>
      </c>
      <c r="F1638">
        <f>IF(OR($E1638="",$E1638="نامعتبر"),"",LEFT($E1638,4)&amp;"/"&amp;MID($E1638,6,2))</f>
        <v/>
      </c>
      <c r="G1638">
        <f>IF(OR($E1638="",$E1638="نامعتبر",Sync!$Y1635=""),"",Sync!$Y1635)</f>
        <v/>
      </c>
      <c r="H1638">
        <f>IF($G1638="","",IF(Sync!$X1635="","",Sync!$X1635))</f>
        <v/>
      </c>
      <c r="I1638">
        <f>IF($G1638="","",IFERROR(VLOOKUP(Sync!$X1635,OpTbl,3,0),""))</f>
        <v/>
      </c>
      <c r="J1638">
        <f>IF(OR($G1638="",Sync!$Z1635=""),"",Sync!$Z1635)</f>
        <v/>
      </c>
      <c r="K1638">
        <f>IF(OR($G1638="",Sync!$AA1635=""),"",Sync!$AA1635)</f>
        <v/>
      </c>
      <c r="L1638">
        <f>IF($G1638="",0,IF(Sync!$AB1635="",0,Sync!$AB1635))</f>
        <v/>
      </c>
      <c r="M1638">
        <f>IF($G1638="",0,IF(Sync!$AC1635="",0,Sync!$AC1635))</f>
        <v/>
      </c>
      <c r="N1638">
        <f>IF($G1638="","",IF($H1638="مرجوعی خرید",-1,1)*($L1638-$M1638*IFERROR(VLOOKUP("P01",ParamTbl,3,0),1.5))*(1-IF($I1638="خرید",IFERROR(VLOOKUP("P02",ParamTbl,3,0),1),0)/100))</f>
        <v/>
      </c>
      <c r="O1638">
        <f>IF($G1638="",0,IF($H1638="مرجوعی خرید",-1,1)*IF(Sync!$AD1635="",0,Sync!$AD1635))</f>
        <v/>
      </c>
      <c r="P1638">
        <f>IF(OR($G1638="",Sync!$W1635=""),"",Sync!$W1635)</f>
        <v/>
      </c>
      <c r="Q1638">
        <f>IF(OR($G1638="",Sync!$AE1635=""),"",Sync!$AE1635)</f>
        <v/>
      </c>
      <c r="R1638">
        <f>IF($G1638="","",IF(Sync!$V1635="","0000",IF(AND(ISNUMBER(Sync!$V1635),Sync!$V1635&gt;=0,Sync!$V1635&lt;1),RIGHT("00"&amp;HOUR(Sync!$V1635),2)&amp;RIGHT("00"&amp;MINUTE(Sync!$V1635),2),IFERROR(RIGHT("00"&amp;VALUE(LEFT(Sync!$V1635,FIND(":",Sync!$V1635)-1)),2)&amp;RIGHT("00"&amp;VALUE(MID(Sync!$V1635,FIND(":",Sync!$V1635)+1,2)),2),"0000"))))</f>
        <v/>
      </c>
    </row>
    <row r="1639">
      <c r="A1639">
        <f>IF(Sync!$U1636="","",Sync!$U1636)</f>
        <v/>
      </c>
      <c r="B1639">
        <f>IF($A1639="","",IF(ISNUMBER($A1639),IF(AND($A1639&gt;=10000101,$A1639&lt;=99991231),INT($A1639/10000),""),IFERROR(VALUE(TRIM(LEFT($A1639,FIND("/",$A1639)-1))),"")))</f>
        <v/>
      </c>
      <c r="C1639">
        <f>IF(OR($A1639="",$B1639=""),"",IF(ISNUMBER($A1639),INT(MOD($A1639,10000)/100),IFERROR(VALUE(TRIM(LEFT(MID($A1639,FIND("/",$A1639)+1,20),FIND("/",MID($A1639,FIND("/",$A1639)+1,20))-1))),"")))</f>
        <v/>
      </c>
      <c r="D1639">
        <f>IF(OR($A1639="",$B1639=""),"",IF(ISNUMBER($A1639),MOD($A1639,100),IFERROR(VALUE(TRIM(MID(MID($A1639,FIND("/",$A1639)+1,20),FIND("/",MID($A1639,FIND("/",$A1639)+1,20))+1,20))),"")))</f>
        <v/>
      </c>
      <c r="E1639">
        <f>IF($A1639="","",IF(OR($B1639="",$C1639="",$D1639="",$B1639&lt;1300,$B1639&gt;1500,$C1639&lt;1,$C1639&gt;12,$D1639&lt;1,$D1639&gt;31),"نامعتبر",RIGHT("0000"&amp;$B1639,4)&amp;"/"&amp;RIGHT("00"&amp;$C1639,2)&amp;"/"&amp;RIGHT("00"&amp;$D1639,2)))</f>
        <v/>
      </c>
      <c r="F1639">
        <f>IF(OR($E1639="",$E1639="نامعتبر"),"",LEFT($E1639,4)&amp;"/"&amp;MID($E1639,6,2))</f>
        <v/>
      </c>
      <c r="G1639">
        <f>IF(OR($E1639="",$E1639="نامعتبر",Sync!$Y1636=""),"",Sync!$Y1636)</f>
        <v/>
      </c>
      <c r="H1639">
        <f>IF($G1639="","",IF(Sync!$X1636="","",Sync!$X1636))</f>
        <v/>
      </c>
      <c r="I1639">
        <f>IF($G1639="","",IFERROR(VLOOKUP(Sync!$X1636,OpTbl,3,0),""))</f>
        <v/>
      </c>
      <c r="J1639">
        <f>IF(OR($G1639="",Sync!$Z1636=""),"",Sync!$Z1636)</f>
        <v/>
      </c>
      <c r="K1639">
        <f>IF(OR($G1639="",Sync!$AA1636=""),"",Sync!$AA1636)</f>
        <v/>
      </c>
      <c r="L1639">
        <f>IF($G1639="",0,IF(Sync!$AB1636="",0,Sync!$AB1636))</f>
        <v/>
      </c>
      <c r="M1639">
        <f>IF($G1639="",0,IF(Sync!$AC1636="",0,Sync!$AC1636))</f>
        <v/>
      </c>
      <c r="N1639">
        <f>IF($G1639="","",IF($H1639="مرجوعی خرید",-1,1)*($L1639-$M1639*IFERROR(VLOOKUP("P01",ParamTbl,3,0),1.5))*(1-IF($I1639="خرید",IFERROR(VLOOKUP("P02",ParamTbl,3,0),1),0)/100))</f>
        <v/>
      </c>
      <c r="O1639">
        <f>IF($G1639="",0,IF($H1639="مرجوعی خرید",-1,1)*IF(Sync!$AD1636="",0,Sync!$AD1636))</f>
        <v/>
      </c>
      <c r="P1639">
        <f>IF(OR($G1639="",Sync!$W1636=""),"",Sync!$W1636)</f>
        <v/>
      </c>
      <c r="Q1639">
        <f>IF(OR($G1639="",Sync!$AE1636=""),"",Sync!$AE1636)</f>
        <v/>
      </c>
      <c r="R1639">
        <f>IF($G1639="","",IF(Sync!$V1636="","0000",IF(AND(ISNUMBER(Sync!$V1636),Sync!$V1636&gt;=0,Sync!$V1636&lt;1),RIGHT("00"&amp;HOUR(Sync!$V1636),2)&amp;RIGHT("00"&amp;MINUTE(Sync!$V1636),2),IFERROR(RIGHT("00"&amp;VALUE(LEFT(Sync!$V1636,FIND(":",Sync!$V1636)-1)),2)&amp;RIGHT("00"&amp;VALUE(MID(Sync!$V1636,FIND(":",Sync!$V1636)+1,2)),2),"0000"))))</f>
        <v/>
      </c>
    </row>
    <row r="1640">
      <c r="A1640">
        <f>IF(Sync!$U1637="","",Sync!$U1637)</f>
        <v/>
      </c>
      <c r="B1640">
        <f>IF($A1640="","",IF(ISNUMBER($A1640),IF(AND($A1640&gt;=10000101,$A1640&lt;=99991231),INT($A1640/10000),""),IFERROR(VALUE(TRIM(LEFT($A1640,FIND("/",$A1640)-1))),"")))</f>
        <v/>
      </c>
      <c r="C1640">
        <f>IF(OR($A1640="",$B1640=""),"",IF(ISNUMBER($A1640),INT(MOD($A1640,10000)/100),IFERROR(VALUE(TRIM(LEFT(MID($A1640,FIND("/",$A1640)+1,20),FIND("/",MID($A1640,FIND("/",$A1640)+1,20))-1))),"")))</f>
        <v/>
      </c>
      <c r="D1640">
        <f>IF(OR($A1640="",$B1640=""),"",IF(ISNUMBER($A1640),MOD($A1640,100),IFERROR(VALUE(TRIM(MID(MID($A1640,FIND("/",$A1640)+1,20),FIND("/",MID($A1640,FIND("/",$A1640)+1,20))+1,20))),"")))</f>
        <v/>
      </c>
      <c r="E1640">
        <f>IF($A1640="","",IF(OR($B1640="",$C1640="",$D1640="",$B1640&lt;1300,$B1640&gt;1500,$C1640&lt;1,$C1640&gt;12,$D1640&lt;1,$D1640&gt;31),"نامعتبر",RIGHT("0000"&amp;$B1640,4)&amp;"/"&amp;RIGHT("00"&amp;$C1640,2)&amp;"/"&amp;RIGHT("00"&amp;$D1640,2)))</f>
        <v/>
      </c>
      <c r="F1640">
        <f>IF(OR($E1640="",$E1640="نامعتبر"),"",LEFT($E1640,4)&amp;"/"&amp;MID($E1640,6,2))</f>
        <v/>
      </c>
      <c r="G1640">
        <f>IF(OR($E1640="",$E1640="نامعتبر",Sync!$Y1637=""),"",Sync!$Y1637)</f>
        <v/>
      </c>
      <c r="H1640">
        <f>IF($G1640="","",IF(Sync!$X1637="","",Sync!$X1637))</f>
        <v/>
      </c>
      <c r="I1640">
        <f>IF($G1640="","",IFERROR(VLOOKUP(Sync!$X1637,OpTbl,3,0),""))</f>
        <v/>
      </c>
      <c r="J1640">
        <f>IF(OR($G1640="",Sync!$Z1637=""),"",Sync!$Z1637)</f>
        <v/>
      </c>
      <c r="K1640">
        <f>IF(OR($G1640="",Sync!$AA1637=""),"",Sync!$AA1637)</f>
        <v/>
      </c>
      <c r="L1640">
        <f>IF($G1640="",0,IF(Sync!$AB1637="",0,Sync!$AB1637))</f>
        <v/>
      </c>
      <c r="M1640">
        <f>IF($G1640="",0,IF(Sync!$AC1637="",0,Sync!$AC1637))</f>
        <v/>
      </c>
      <c r="N1640">
        <f>IF($G1640="","",IF($H1640="مرجوعی خرید",-1,1)*($L1640-$M1640*IFERROR(VLOOKUP("P01",ParamTbl,3,0),1.5))*(1-IF($I1640="خرید",IFERROR(VLOOKUP("P02",ParamTbl,3,0),1),0)/100))</f>
        <v/>
      </c>
      <c r="O1640">
        <f>IF($G1640="",0,IF($H1640="مرجوعی خرید",-1,1)*IF(Sync!$AD1637="",0,Sync!$AD1637))</f>
        <v/>
      </c>
      <c r="P1640">
        <f>IF(OR($G1640="",Sync!$W1637=""),"",Sync!$W1637)</f>
        <v/>
      </c>
      <c r="Q1640">
        <f>IF(OR($G1640="",Sync!$AE1637=""),"",Sync!$AE1637)</f>
        <v/>
      </c>
      <c r="R1640">
        <f>IF($G1640="","",IF(Sync!$V1637="","0000",IF(AND(ISNUMBER(Sync!$V1637),Sync!$V1637&gt;=0,Sync!$V1637&lt;1),RIGHT("00"&amp;HOUR(Sync!$V1637),2)&amp;RIGHT("00"&amp;MINUTE(Sync!$V1637),2),IFERROR(RIGHT("00"&amp;VALUE(LEFT(Sync!$V1637,FIND(":",Sync!$V1637)-1)),2)&amp;RIGHT("00"&amp;VALUE(MID(Sync!$V1637,FIND(":",Sync!$V1637)+1,2)),2),"0000"))))</f>
        <v/>
      </c>
    </row>
    <row r="1641">
      <c r="A1641">
        <f>IF(Sync!$U1638="","",Sync!$U1638)</f>
        <v/>
      </c>
      <c r="B1641">
        <f>IF($A1641="","",IF(ISNUMBER($A1641),IF(AND($A1641&gt;=10000101,$A1641&lt;=99991231),INT($A1641/10000),""),IFERROR(VALUE(TRIM(LEFT($A1641,FIND("/",$A1641)-1))),"")))</f>
        <v/>
      </c>
      <c r="C1641">
        <f>IF(OR($A1641="",$B1641=""),"",IF(ISNUMBER($A1641),INT(MOD($A1641,10000)/100),IFERROR(VALUE(TRIM(LEFT(MID($A1641,FIND("/",$A1641)+1,20),FIND("/",MID($A1641,FIND("/",$A1641)+1,20))-1))),"")))</f>
        <v/>
      </c>
      <c r="D1641">
        <f>IF(OR($A1641="",$B1641=""),"",IF(ISNUMBER($A1641),MOD($A1641,100),IFERROR(VALUE(TRIM(MID(MID($A1641,FIND("/",$A1641)+1,20),FIND("/",MID($A1641,FIND("/",$A1641)+1,20))+1,20))),"")))</f>
        <v/>
      </c>
      <c r="E1641">
        <f>IF($A1641="","",IF(OR($B1641="",$C1641="",$D1641="",$B1641&lt;1300,$B1641&gt;1500,$C1641&lt;1,$C1641&gt;12,$D1641&lt;1,$D1641&gt;31),"نامعتبر",RIGHT("0000"&amp;$B1641,4)&amp;"/"&amp;RIGHT("00"&amp;$C1641,2)&amp;"/"&amp;RIGHT("00"&amp;$D1641,2)))</f>
        <v/>
      </c>
      <c r="F1641">
        <f>IF(OR($E1641="",$E1641="نامعتبر"),"",LEFT($E1641,4)&amp;"/"&amp;MID($E1641,6,2))</f>
        <v/>
      </c>
      <c r="G1641">
        <f>IF(OR($E1641="",$E1641="نامعتبر",Sync!$Y1638=""),"",Sync!$Y1638)</f>
        <v/>
      </c>
      <c r="H1641">
        <f>IF($G1641="","",IF(Sync!$X1638="","",Sync!$X1638))</f>
        <v/>
      </c>
      <c r="I1641">
        <f>IF($G1641="","",IFERROR(VLOOKUP(Sync!$X1638,OpTbl,3,0),""))</f>
        <v/>
      </c>
      <c r="J1641">
        <f>IF(OR($G1641="",Sync!$Z1638=""),"",Sync!$Z1638)</f>
        <v/>
      </c>
      <c r="K1641">
        <f>IF(OR($G1641="",Sync!$AA1638=""),"",Sync!$AA1638)</f>
        <v/>
      </c>
      <c r="L1641">
        <f>IF($G1641="",0,IF(Sync!$AB1638="",0,Sync!$AB1638))</f>
        <v/>
      </c>
      <c r="M1641">
        <f>IF($G1641="",0,IF(Sync!$AC1638="",0,Sync!$AC1638))</f>
        <v/>
      </c>
      <c r="N1641">
        <f>IF($G1641="","",IF($H1641="مرجوعی خرید",-1,1)*($L1641-$M1641*IFERROR(VLOOKUP("P01",ParamTbl,3,0),1.5))*(1-IF($I1641="خرید",IFERROR(VLOOKUP("P02",ParamTbl,3,0),1),0)/100))</f>
        <v/>
      </c>
      <c r="O1641">
        <f>IF($G1641="",0,IF($H1641="مرجوعی خرید",-1,1)*IF(Sync!$AD1638="",0,Sync!$AD1638))</f>
        <v/>
      </c>
      <c r="P1641">
        <f>IF(OR($G1641="",Sync!$W1638=""),"",Sync!$W1638)</f>
        <v/>
      </c>
      <c r="Q1641">
        <f>IF(OR($G1641="",Sync!$AE1638=""),"",Sync!$AE1638)</f>
        <v/>
      </c>
      <c r="R1641">
        <f>IF($G1641="","",IF(Sync!$V1638="","0000",IF(AND(ISNUMBER(Sync!$V1638),Sync!$V1638&gt;=0,Sync!$V1638&lt;1),RIGHT("00"&amp;HOUR(Sync!$V1638),2)&amp;RIGHT("00"&amp;MINUTE(Sync!$V1638),2),IFERROR(RIGHT("00"&amp;VALUE(LEFT(Sync!$V1638,FIND(":",Sync!$V1638)-1)),2)&amp;RIGHT("00"&amp;VALUE(MID(Sync!$V1638,FIND(":",Sync!$V1638)+1,2)),2),"0000"))))</f>
        <v/>
      </c>
    </row>
    <row r="1642">
      <c r="A1642">
        <f>IF(Sync!$U1639="","",Sync!$U1639)</f>
        <v/>
      </c>
      <c r="B1642">
        <f>IF($A1642="","",IF(ISNUMBER($A1642),IF(AND($A1642&gt;=10000101,$A1642&lt;=99991231),INT($A1642/10000),""),IFERROR(VALUE(TRIM(LEFT($A1642,FIND("/",$A1642)-1))),"")))</f>
        <v/>
      </c>
      <c r="C1642">
        <f>IF(OR($A1642="",$B1642=""),"",IF(ISNUMBER($A1642),INT(MOD($A1642,10000)/100),IFERROR(VALUE(TRIM(LEFT(MID($A1642,FIND("/",$A1642)+1,20),FIND("/",MID($A1642,FIND("/",$A1642)+1,20))-1))),"")))</f>
        <v/>
      </c>
      <c r="D1642">
        <f>IF(OR($A1642="",$B1642=""),"",IF(ISNUMBER($A1642),MOD($A1642,100),IFERROR(VALUE(TRIM(MID(MID($A1642,FIND("/",$A1642)+1,20),FIND("/",MID($A1642,FIND("/",$A1642)+1,20))+1,20))),"")))</f>
        <v/>
      </c>
      <c r="E1642">
        <f>IF($A1642="","",IF(OR($B1642="",$C1642="",$D1642="",$B1642&lt;1300,$B1642&gt;1500,$C1642&lt;1,$C1642&gt;12,$D1642&lt;1,$D1642&gt;31),"نامعتبر",RIGHT("0000"&amp;$B1642,4)&amp;"/"&amp;RIGHT("00"&amp;$C1642,2)&amp;"/"&amp;RIGHT("00"&amp;$D1642,2)))</f>
        <v/>
      </c>
      <c r="F1642">
        <f>IF(OR($E1642="",$E1642="نامعتبر"),"",LEFT($E1642,4)&amp;"/"&amp;MID($E1642,6,2))</f>
        <v/>
      </c>
      <c r="G1642">
        <f>IF(OR($E1642="",$E1642="نامعتبر",Sync!$Y1639=""),"",Sync!$Y1639)</f>
        <v/>
      </c>
      <c r="H1642">
        <f>IF($G1642="","",IF(Sync!$X1639="","",Sync!$X1639))</f>
        <v/>
      </c>
      <c r="I1642">
        <f>IF($G1642="","",IFERROR(VLOOKUP(Sync!$X1639,OpTbl,3,0),""))</f>
        <v/>
      </c>
      <c r="J1642">
        <f>IF(OR($G1642="",Sync!$Z1639=""),"",Sync!$Z1639)</f>
        <v/>
      </c>
      <c r="K1642">
        <f>IF(OR($G1642="",Sync!$AA1639=""),"",Sync!$AA1639)</f>
        <v/>
      </c>
      <c r="L1642">
        <f>IF($G1642="",0,IF(Sync!$AB1639="",0,Sync!$AB1639))</f>
        <v/>
      </c>
      <c r="M1642">
        <f>IF($G1642="",0,IF(Sync!$AC1639="",0,Sync!$AC1639))</f>
        <v/>
      </c>
      <c r="N1642">
        <f>IF($G1642="","",IF($H1642="مرجوعی خرید",-1,1)*($L1642-$M1642*IFERROR(VLOOKUP("P01",ParamTbl,3,0),1.5))*(1-IF($I1642="خرید",IFERROR(VLOOKUP("P02",ParamTbl,3,0),1),0)/100))</f>
        <v/>
      </c>
      <c r="O1642">
        <f>IF($G1642="",0,IF($H1642="مرجوعی خرید",-1,1)*IF(Sync!$AD1639="",0,Sync!$AD1639))</f>
        <v/>
      </c>
      <c r="P1642">
        <f>IF(OR($G1642="",Sync!$W1639=""),"",Sync!$W1639)</f>
        <v/>
      </c>
      <c r="Q1642">
        <f>IF(OR($G1642="",Sync!$AE1639=""),"",Sync!$AE1639)</f>
        <v/>
      </c>
      <c r="R1642">
        <f>IF($G1642="","",IF(Sync!$V1639="","0000",IF(AND(ISNUMBER(Sync!$V1639),Sync!$V1639&gt;=0,Sync!$V1639&lt;1),RIGHT("00"&amp;HOUR(Sync!$V1639),2)&amp;RIGHT("00"&amp;MINUTE(Sync!$V1639),2),IFERROR(RIGHT("00"&amp;VALUE(LEFT(Sync!$V1639,FIND(":",Sync!$V1639)-1)),2)&amp;RIGHT("00"&amp;VALUE(MID(Sync!$V1639,FIND(":",Sync!$V1639)+1,2)),2),"0000"))))</f>
        <v/>
      </c>
    </row>
    <row r="1643">
      <c r="A1643">
        <f>IF(Sync!$U1640="","",Sync!$U1640)</f>
        <v/>
      </c>
      <c r="B1643">
        <f>IF($A1643="","",IF(ISNUMBER($A1643),IF(AND($A1643&gt;=10000101,$A1643&lt;=99991231),INT($A1643/10000),""),IFERROR(VALUE(TRIM(LEFT($A1643,FIND("/",$A1643)-1))),"")))</f>
        <v/>
      </c>
      <c r="C1643">
        <f>IF(OR($A1643="",$B1643=""),"",IF(ISNUMBER($A1643),INT(MOD($A1643,10000)/100),IFERROR(VALUE(TRIM(LEFT(MID($A1643,FIND("/",$A1643)+1,20),FIND("/",MID($A1643,FIND("/",$A1643)+1,20))-1))),"")))</f>
        <v/>
      </c>
      <c r="D1643">
        <f>IF(OR($A1643="",$B1643=""),"",IF(ISNUMBER($A1643),MOD($A1643,100),IFERROR(VALUE(TRIM(MID(MID($A1643,FIND("/",$A1643)+1,20),FIND("/",MID($A1643,FIND("/",$A1643)+1,20))+1,20))),"")))</f>
        <v/>
      </c>
      <c r="E1643">
        <f>IF($A1643="","",IF(OR($B1643="",$C1643="",$D1643="",$B1643&lt;1300,$B1643&gt;1500,$C1643&lt;1,$C1643&gt;12,$D1643&lt;1,$D1643&gt;31),"نامعتبر",RIGHT("0000"&amp;$B1643,4)&amp;"/"&amp;RIGHT("00"&amp;$C1643,2)&amp;"/"&amp;RIGHT("00"&amp;$D1643,2)))</f>
        <v/>
      </c>
      <c r="F1643">
        <f>IF(OR($E1643="",$E1643="نامعتبر"),"",LEFT($E1643,4)&amp;"/"&amp;MID($E1643,6,2))</f>
        <v/>
      </c>
      <c r="G1643">
        <f>IF(OR($E1643="",$E1643="نامعتبر",Sync!$Y1640=""),"",Sync!$Y1640)</f>
        <v/>
      </c>
      <c r="H1643">
        <f>IF($G1643="","",IF(Sync!$X1640="","",Sync!$X1640))</f>
        <v/>
      </c>
      <c r="I1643">
        <f>IF($G1643="","",IFERROR(VLOOKUP(Sync!$X1640,OpTbl,3,0),""))</f>
        <v/>
      </c>
      <c r="J1643">
        <f>IF(OR($G1643="",Sync!$Z1640=""),"",Sync!$Z1640)</f>
        <v/>
      </c>
      <c r="K1643">
        <f>IF(OR($G1643="",Sync!$AA1640=""),"",Sync!$AA1640)</f>
        <v/>
      </c>
      <c r="L1643">
        <f>IF($G1643="",0,IF(Sync!$AB1640="",0,Sync!$AB1640))</f>
        <v/>
      </c>
      <c r="M1643">
        <f>IF($G1643="",0,IF(Sync!$AC1640="",0,Sync!$AC1640))</f>
        <v/>
      </c>
      <c r="N1643">
        <f>IF($G1643="","",IF($H1643="مرجوعی خرید",-1,1)*($L1643-$M1643*IFERROR(VLOOKUP("P01",ParamTbl,3,0),1.5))*(1-IF($I1643="خرید",IFERROR(VLOOKUP("P02",ParamTbl,3,0),1),0)/100))</f>
        <v/>
      </c>
      <c r="O1643">
        <f>IF($G1643="",0,IF($H1643="مرجوعی خرید",-1,1)*IF(Sync!$AD1640="",0,Sync!$AD1640))</f>
        <v/>
      </c>
      <c r="P1643">
        <f>IF(OR($G1643="",Sync!$W1640=""),"",Sync!$W1640)</f>
        <v/>
      </c>
      <c r="Q1643">
        <f>IF(OR($G1643="",Sync!$AE1640=""),"",Sync!$AE1640)</f>
        <v/>
      </c>
      <c r="R1643">
        <f>IF($G1643="","",IF(Sync!$V1640="","0000",IF(AND(ISNUMBER(Sync!$V1640),Sync!$V1640&gt;=0,Sync!$V1640&lt;1),RIGHT("00"&amp;HOUR(Sync!$V1640),2)&amp;RIGHT("00"&amp;MINUTE(Sync!$V1640),2),IFERROR(RIGHT("00"&amp;VALUE(LEFT(Sync!$V1640,FIND(":",Sync!$V1640)-1)),2)&amp;RIGHT("00"&amp;VALUE(MID(Sync!$V1640,FIND(":",Sync!$V1640)+1,2)),2),"0000"))))</f>
        <v/>
      </c>
    </row>
    <row r="1644">
      <c r="A1644">
        <f>IF(Sync!$U1641="","",Sync!$U1641)</f>
        <v/>
      </c>
      <c r="B1644">
        <f>IF($A1644="","",IF(ISNUMBER($A1644),IF(AND($A1644&gt;=10000101,$A1644&lt;=99991231),INT($A1644/10000),""),IFERROR(VALUE(TRIM(LEFT($A1644,FIND("/",$A1644)-1))),"")))</f>
        <v/>
      </c>
      <c r="C1644">
        <f>IF(OR($A1644="",$B1644=""),"",IF(ISNUMBER($A1644),INT(MOD($A1644,10000)/100),IFERROR(VALUE(TRIM(LEFT(MID($A1644,FIND("/",$A1644)+1,20),FIND("/",MID($A1644,FIND("/",$A1644)+1,20))-1))),"")))</f>
        <v/>
      </c>
      <c r="D1644">
        <f>IF(OR($A1644="",$B1644=""),"",IF(ISNUMBER($A1644),MOD($A1644,100),IFERROR(VALUE(TRIM(MID(MID($A1644,FIND("/",$A1644)+1,20),FIND("/",MID($A1644,FIND("/",$A1644)+1,20))+1,20))),"")))</f>
        <v/>
      </c>
      <c r="E1644">
        <f>IF($A1644="","",IF(OR($B1644="",$C1644="",$D1644="",$B1644&lt;1300,$B1644&gt;1500,$C1644&lt;1,$C1644&gt;12,$D1644&lt;1,$D1644&gt;31),"نامعتبر",RIGHT("0000"&amp;$B1644,4)&amp;"/"&amp;RIGHT("00"&amp;$C1644,2)&amp;"/"&amp;RIGHT("00"&amp;$D1644,2)))</f>
        <v/>
      </c>
      <c r="F1644">
        <f>IF(OR($E1644="",$E1644="نامعتبر"),"",LEFT($E1644,4)&amp;"/"&amp;MID($E1644,6,2))</f>
        <v/>
      </c>
      <c r="G1644">
        <f>IF(OR($E1644="",$E1644="نامعتبر",Sync!$Y1641=""),"",Sync!$Y1641)</f>
        <v/>
      </c>
      <c r="H1644">
        <f>IF($G1644="","",IF(Sync!$X1641="","",Sync!$X1641))</f>
        <v/>
      </c>
      <c r="I1644">
        <f>IF($G1644="","",IFERROR(VLOOKUP(Sync!$X1641,OpTbl,3,0),""))</f>
        <v/>
      </c>
      <c r="J1644">
        <f>IF(OR($G1644="",Sync!$Z1641=""),"",Sync!$Z1641)</f>
        <v/>
      </c>
      <c r="K1644">
        <f>IF(OR($G1644="",Sync!$AA1641=""),"",Sync!$AA1641)</f>
        <v/>
      </c>
      <c r="L1644">
        <f>IF($G1644="",0,IF(Sync!$AB1641="",0,Sync!$AB1641))</f>
        <v/>
      </c>
      <c r="M1644">
        <f>IF($G1644="",0,IF(Sync!$AC1641="",0,Sync!$AC1641))</f>
        <v/>
      </c>
      <c r="N1644">
        <f>IF($G1644="","",IF($H1644="مرجوعی خرید",-1,1)*($L1644-$M1644*IFERROR(VLOOKUP("P01",ParamTbl,3,0),1.5))*(1-IF($I1644="خرید",IFERROR(VLOOKUP("P02",ParamTbl,3,0),1),0)/100))</f>
        <v/>
      </c>
      <c r="O1644">
        <f>IF($G1644="",0,IF($H1644="مرجوعی خرید",-1,1)*IF(Sync!$AD1641="",0,Sync!$AD1641))</f>
        <v/>
      </c>
      <c r="P1644">
        <f>IF(OR($G1644="",Sync!$W1641=""),"",Sync!$W1641)</f>
        <v/>
      </c>
      <c r="Q1644">
        <f>IF(OR($G1644="",Sync!$AE1641=""),"",Sync!$AE1641)</f>
        <v/>
      </c>
      <c r="R1644">
        <f>IF($G1644="","",IF(Sync!$V1641="","0000",IF(AND(ISNUMBER(Sync!$V1641),Sync!$V1641&gt;=0,Sync!$V1641&lt;1),RIGHT("00"&amp;HOUR(Sync!$V1641),2)&amp;RIGHT("00"&amp;MINUTE(Sync!$V1641),2),IFERROR(RIGHT("00"&amp;VALUE(LEFT(Sync!$V1641,FIND(":",Sync!$V1641)-1)),2)&amp;RIGHT("00"&amp;VALUE(MID(Sync!$V1641,FIND(":",Sync!$V1641)+1,2)),2),"0000"))))</f>
        <v/>
      </c>
    </row>
    <row r="1645">
      <c r="A1645">
        <f>IF(Sync!$U1642="","",Sync!$U1642)</f>
        <v/>
      </c>
      <c r="B1645">
        <f>IF($A1645="","",IF(ISNUMBER($A1645),IF(AND($A1645&gt;=10000101,$A1645&lt;=99991231),INT($A1645/10000),""),IFERROR(VALUE(TRIM(LEFT($A1645,FIND("/",$A1645)-1))),"")))</f>
        <v/>
      </c>
      <c r="C1645">
        <f>IF(OR($A1645="",$B1645=""),"",IF(ISNUMBER($A1645),INT(MOD($A1645,10000)/100),IFERROR(VALUE(TRIM(LEFT(MID($A1645,FIND("/",$A1645)+1,20),FIND("/",MID($A1645,FIND("/",$A1645)+1,20))-1))),"")))</f>
        <v/>
      </c>
      <c r="D1645">
        <f>IF(OR($A1645="",$B1645=""),"",IF(ISNUMBER($A1645),MOD($A1645,100),IFERROR(VALUE(TRIM(MID(MID($A1645,FIND("/",$A1645)+1,20),FIND("/",MID($A1645,FIND("/",$A1645)+1,20))+1,20))),"")))</f>
        <v/>
      </c>
      <c r="E1645">
        <f>IF($A1645="","",IF(OR($B1645="",$C1645="",$D1645="",$B1645&lt;1300,$B1645&gt;1500,$C1645&lt;1,$C1645&gt;12,$D1645&lt;1,$D1645&gt;31),"نامعتبر",RIGHT("0000"&amp;$B1645,4)&amp;"/"&amp;RIGHT("00"&amp;$C1645,2)&amp;"/"&amp;RIGHT("00"&amp;$D1645,2)))</f>
        <v/>
      </c>
      <c r="F1645">
        <f>IF(OR($E1645="",$E1645="نامعتبر"),"",LEFT($E1645,4)&amp;"/"&amp;MID($E1645,6,2))</f>
        <v/>
      </c>
      <c r="G1645">
        <f>IF(OR($E1645="",$E1645="نامعتبر",Sync!$Y1642=""),"",Sync!$Y1642)</f>
        <v/>
      </c>
      <c r="H1645">
        <f>IF($G1645="","",IF(Sync!$X1642="","",Sync!$X1642))</f>
        <v/>
      </c>
      <c r="I1645">
        <f>IF($G1645="","",IFERROR(VLOOKUP(Sync!$X1642,OpTbl,3,0),""))</f>
        <v/>
      </c>
      <c r="J1645">
        <f>IF(OR($G1645="",Sync!$Z1642=""),"",Sync!$Z1642)</f>
        <v/>
      </c>
      <c r="K1645">
        <f>IF(OR($G1645="",Sync!$AA1642=""),"",Sync!$AA1642)</f>
        <v/>
      </c>
      <c r="L1645">
        <f>IF($G1645="",0,IF(Sync!$AB1642="",0,Sync!$AB1642))</f>
        <v/>
      </c>
      <c r="M1645">
        <f>IF($G1645="",0,IF(Sync!$AC1642="",0,Sync!$AC1642))</f>
        <v/>
      </c>
      <c r="N1645">
        <f>IF($G1645="","",IF($H1645="مرجوعی خرید",-1,1)*($L1645-$M1645*IFERROR(VLOOKUP("P01",ParamTbl,3,0),1.5))*(1-IF($I1645="خرید",IFERROR(VLOOKUP("P02",ParamTbl,3,0),1),0)/100))</f>
        <v/>
      </c>
      <c r="O1645">
        <f>IF($G1645="",0,IF($H1645="مرجوعی خرید",-1,1)*IF(Sync!$AD1642="",0,Sync!$AD1642))</f>
        <v/>
      </c>
      <c r="P1645">
        <f>IF(OR($G1645="",Sync!$W1642=""),"",Sync!$W1642)</f>
        <v/>
      </c>
      <c r="Q1645">
        <f>IF(OR($G1645="",Sync!$AE1642=""),"",Sync!$AE1642)</f>
        <v/>
      </c>
      <c r="R1645">
        <f>IF($G1645="","",IF(Sync!$V1642="","0000",IF(AND(ISNUMBER(Sync!$V1642),Sync!$V1642&gt;=0,Sync!$V1642&lt;1),RIGHT("00"&amp;HOUR(Sync!$V1642),2)&amp;RIGHT("00"&amp;MINUTE(Sync!$V1642),2),IFERROR(RIGHT("00"&amp;VALUE(LEFT(Sync!$V1642,FIND(":",Sync!$V1642)-1)),2)&amp;RIGHT("00"&amp;VALUE(MID(Sync!$V1642,FIND(":",Sync!$V1642)+1,2)),2),"0000"))))</f>
        <v/>
      </c>
    </row>
    <row r="1646">
      <c r="A1646">
        <f>IF(Sync!$U1643="","",Sync!$U1643)</f>
        <v/>
      </c>
      <c r="B1646">
        <f>IF($A1646="","",IF(ISNUMBER($A1646),IF(AND($A1646&gt;=10000101,$A1646&lt;=99991231),INT($A1646/10000),""),IFERROR(VALUE(TRIM(LEFT($A1646,FIND("/",$A1646)-1))),"")))</f>
        <v/>
      </c>
      <c r="C1646">
        <f>IF(OR($A1646="",$B1646=""),"",IF(ISNUMBER($A1646),INT(MOD($A1646,10000)/100),IFERROR(VALUE(TRIM(LEFT(MID($A1646,FIND("/",$A1646)+1,20),FIND("/",MID($A1646,FIND("/",$A1646)+1,20))-1))),"")))</f>
        <v/>
      </c>
      <c r="D1646">
        <f>IF(OR($A1646="",$B1646=""),"",IF(ISNUMBER($A1646),MOD($A1646,100),IFERROR(VALUE(TRIM(MID(MID($A1646,FIND("/",$A1646)+1,20),FIND("/",MID($A1646,FIND("/",$A1646)+1,20))+1,20))),"")))</f>
        <v/>
      </c>
      <c r="E1646">
        <f>IF($A1646="","",IF(OR($B1646="",$C1646="",$D1646="",$B1646&lt;1300,$B1646&gt;1500,$C1646&lt;1,$C1646&gt;12,$D1646&lt;1,$D1646&gt;31),"نامعتبر",RIGHT("0000"&amp;$B1646,4)&amp;"/"&amp;RIGHT("00"&amp;$C1646,2)&amp;"/"&amp;RIGHT("00"&amp;$D1646,2)))</f>
        <v/>
      </c>
      <c r="F1646">
        <f>IF(OR($E1646="",$E1646="نامعتبر"),"",LEFT($E1646,4)&amp;"/"&amp;MID($E1646,6,2))</f>
        <v/>
      </c>
      <c r="G1646">
        <f>IF(OR($E1646="",$E1646="نامعتبر",Sync!$Y1643=""),"",Sync!$Y1643)</f>
        <v/>
      </c>
      <c r="H1646">
        <f>IF($G1646="","",IF(Sync!$X1643="","",Sync!$X1643))</f>
        <v/>
      </c>
      <c r="I1646">
        <f>IF($G1646="","",IFERROR(VLOOKUP(Sync!$X1643,OpTbl,3,0),""))</f>
        <v/>
      </c>
      <c r="J1646">
        <f>IF(OR($G1646="",Sync!$Z1643=""),"",Sync!$Z1643)</f>
        <v/>
      </c>
      <c r="K1646">
        <f>IF(OR($G1646="",Sync!$AA1643=""),"",Sync!$AA1643)</f>
        <v/>
      </c>
      <c r="L1646">
        <f>IF($G1646="",0,IF(Sync!$AB1643="",0,Sync!$AB1643))</f>
        <v/>
      </c>
      <c r="M1646">
        <f>IF($G1646="",0,IF(Sync!$AC1643="",0,Sync!$AC1643))</f>
        <v/>
      </c>
      <c r="N1646">
        <f>IF($G1646="","",IF($H1646="مرجوعی خرید",-1,1)*($L1646-$M1646*IFERROR(VLOOKUP("P01",ParamTbl,3,0),1.5))*(1-IF($I1646="خرید",IFERROR(VLOOKUP("P02",ParamTbl,3,0),1),0)/100))</f>
        <v/>
      </c>
      <c r="O1646">
        <f>IF($G1646="",0,IF($H1646="مرجوعی خرید",-1,1)*IF(Sync!$AD1643="",0,Sync!$AD1643))</f>
        <v/>
      </c>
      <c r="P1646">
        <f>IF(OR($G1646="",Sync!$W1643=""),"",Sync!$W1643)</f>
        <v/>
      </c>
      <c r="Q1646">
        <f>IF(OR($G1646="",Sync!$AE1643=""),"",Sync!$AE1643)</f>
        <v/>
      </c>
      <c r="R1646">
        <f>IF($G1646="","",IF(Sync!$V1643="","0000",IF(AND(ISNUMBER(Sync!$V1643),Sync!$V1643&gt;=0,Sync!$V1643&lt;1),RIGHT("00"&amp;HOUR(Sync!$V1643),2)&amp;RIGHT("00"&amp;MINUTE(Sync!$V1643),2),IFERROR(RIGHT("00"&amp;VALUE(LEFT(Sync!$V1643,FIND(":",Sync!$V1643)-1)),2)&amp;RIGHT("00"&amp;VALUE(MID(Sync!$V1643,FIND(":",Sync!$V1643)+1,2)),2),"0000"))))</f>
        <v/>
      </c>
    </row>
    <row r="1647">
      <c r="A1647">
        <f>IF(Sync!$U1644="","",Sync!$U1644)</f>
        <v/>
      </c>
      <c r="B1647">
        <f>IF($A1647="","",IF(ISNUMBER($A1647),IF(AND($A1647&gt;=10000101,$A1647&lt;=99991231),INT($A1647/10000),""),IFERROR(VALUE(TRIM(LEFT($A1647,FIND("/",$A1647)-1))),"")))</f>
        <v/>
      </c>
      <c r="C1647">
        <f>IF(OR($A1647="",$B1647=""),"",IF(ISNUMBER($A1647),INT(MOD($A1647,10000)/100),IFERROR(VALUE(TRIM(LEFT(MID($A1647,FIND("/",$A1647)+1,20),FIND("/",MID($A1647,FIND("/",$A1647)+1,20))-1))),"")))</f>
        <v/>
      </c>
      <c r="D1647">
        <f>IF(OR($A1647="",$B1647=""),"",IF(ISNUMBER($A1647),MOD($A1647,100),IFERROR(VALUE(TRIM(MID(MID($A1647,FIND("/",$A1647)+1,20),FIND("/",MID($A1647,FIND("/",$A1647)+1,20))+1,20))),"")))</f>
        <v/>
      </c>
      <c r="E1647">
        <f>IF($A1647="","",IF(OR($B1647="",$C1647="",$D1647="",$B1647&lt;1300,$B1647&gt;1500,$C1647&lt;1,$C1647&gt;12,$D1647&lt;1,$D1647&gt;31),"نامعتبر",RIGHT("0000"&amp;$B1647,4)&amp;"/"&amp;RIGHT("00"&amp;$C1647,2)&amp;"/"&amp;RIGHT("00"&amp;$D1647,2)))</f>
        <v/>
      </c>
      <c r="F1647">
        <f>IF(OR($E1647="",$E1647="نامعتبر"),"",LEFT($E1647,4)&amp;"/"&amp;MID($E1647,6,2))</f>
        <v/>
      </c>
      <c r="G1647">
        <f>IF(OR($E1647="",$E1647="نامعتبر",Sync!$Y1644=""),"",Sync!$Y1644)</f>
        <v/>
      </c>
      <c r="H1647">
        <f>IF($G1647="","",IF(Sync!$X1644="","",Sync!$X1644))</f>
        <v/>
      </c>
      <c r="I1647">
        <f>IF($G1647="","",IFERROR(VLOOKUP(Sync!$X1644,OpTbl,3,0),""))</f>
        <v/>
      </c>
      <c r="J1647">
        <f>IF(OR($G1647="",Sync!$Z1644=""),"",Sync!$Z1644)</f>
        <v/>
      </c>
      <c r="K1647">
        <f>IF(OR($G1647="",Sync!$AA1644=""),"",Sync!$AA1644)</f>
        <v/>
      </c>
      <c r="L1647">
        <f>IF($G1647="",0,IF(Sync!$AB1644="",0,Sync!$AB1644))</f>
        <v/>
      </c>
      <c r="M1647">
        <f>IF($G1647="",0,IF(Sync!$AC1644="",0,Sync!$AC1644))</f>
        <v/>
      </c>
      <c r="N1647">
        <f>IF($G1647="","",IF($H1647="مرجوعی خرید",-1,1)*($L1647-$M1647*IFERROR(VLOOKUP("P01",ParamTbl,3,0),1.5))*(1-IF($I1647="خرید",IFERROR(VLOOKUP("P02",ParamTbl,3,0),1),0)/100))</f>
        <v/>
      </c>
      <c r="O1647">
        <f>IF($G1647="",0,IF($H1647="مرجوعی خرید",-1,1)*IF(Sync!$AD1644="",0,Sync!$AD1644))</f>
        <v/>
      </c>
      <c r="P1647">
        <f>IF(OR($G1647="",Sync!$W1644=""),"",Sync!$W1644)</f>
        <v/>
      </c>
      <c r="Q1647">
        <f>IF(OR($G1647="",Sync!$AE1644=""),"",Sync!$AE1644)</f>
        <v/>
      </c>
      <c r="R1647">
        <f>IF($G1647="","",IF(Sync!$V1644="","0000",IF(AND(ISNUMBER(Sync!$V1644),Sync!$V1644&gt;=0,Sync!$V1644&lt;1),RIGHT("00"&amp;HOUR(Sync!$V1644),2)&amp;RIGHT("00"&amp;MINUTE(Sync!$V1644),2),IFERROR(RIGHT("00"&amp;VALUE(LEFT(Sync!$V1644,FIND(":",Sync!$V1644)-1)),2)&amp;RIGHT("00"&amp;VALUE(MID(Sync!$V1644,FIND(":",Sync!$V1644)+1,2)),2),"0000"))))</f>
        <v/>
      </c>
    </row>
    <row r="1648">
      <c r="A1648">
        <f>IF(Sync!$U1645="","",Sync!$U1645)</f>
        <v/>
      </c>
      <c r="B1648">
        <f>IF($A1648="","",IF(ISNUMBER($A1648),IF(AND($A1648&gt;=10000101,$A1648&lt;=99991231),INT($A1648/10000),""),IFERROR(VALUE(TRIM(LEFT($A1648,FIND("/",$A1648)-1))),"")))</f>
        <v/>
      </c>
      <c r="C1648">
        <f>IF(OR($A1648="",$B1648=""),"",IF(ISNUMBER($A1648),INT(MOD($A1648,10000)/100),IFERROR(VALUE(TRIM(LEFT(MID($A1648,FIND("/",$A1648)+1,20),FIND("/",MID($A1648,FIND("/",$A1648)+1,20))-1))),"")))</f>
        <v/>
      </c>
      <c r="D1648">
        <f>IF(OR($A1648="",$B1648=""),"",IF(ISNUMBER($A1648),MOD($A1648,100),IFERROR(VALUE(TRIM(MID(MID($A1648,FIND("/",$A1648)+1,20),FIND("/",MID($A1648,FIND("/",$A1648)+1,20))+1,20))),"")))</f>
        <v/>
      </c>
      <c r="E1648">
        <f>IF($A1648="","",IF(OR($B1648="",$C1648="",$D1648="",$B1648&lt;1300,$B1648&gt;1500,$C1648&lt;1,$C1648&gt;12,$D1648&lt;1,$D1648&gt;31),"نامعتبر",RIGHT("0000"&amp;$B1648,4)&amp;"/"&amp;RIGHT("00"&amp;$C1648,2)&amp;"/"&amp;RIGHT("00"&amp;$D1648,2)))</f>
        <v/>
      </c>
      <c r="F1648">
        <f>IF(OR($E1648="",$E1648="نامعتبر"),"",LEFT($E1648,4)&amp;"/"&amp;MID($E1648,6,2))</f>
        <v/>
      </c>
      <c r="G1648">
        <f>IF(OR($E1648="",$E1648="نامعتبر",Sync!$Y1645=""),"",Sync!$Y1645)</f>
        <v/>
      </c>
      <c r="H1648">
        <f>IF($G1648="","",IF(Sync!$X1645="","",Sync!$X1645))</f>
        <v/>
      </c>
      <c r="I1648">
        <f>IF($G1648="","",IFERROR(VLOOKUP(Sync!$X1645,OpTbl,3,0),""))</f>
        <v/>
      </c>
      <c r="J1648">
        <f>IF(OR($G1648="",Sync!$Z1645=""),"",Sync!$Z1645)</f>
        <v/>
      </c>
      <c r="K1648">
        <f>IF(OR($G1648="",Sync!$AA1645=""),"",Sync!$AA1645)</f>
        <v/>
      </c>
      <c r="L1648">
        <f>IF($G1648="",0,IF(Sync!$AB1645="",0,Sync!$AB1645))</f>
        <v/>
      </c>
      <c r="M1648">
        <f>IF($G1648="",0,IF(Sync!$AC1645="",0,Sync!$AC1645))</f>
        <v/>
      </c>
      <c r="N1648">
        <f>IF($G1648="","",IF($H1648="مرجوعی خرید",-1,1)*($L1648-$M1648*IFERROR(VLOOKUP("P01",ParamTbl,3,0),1.5))*(1-IF($I1648="خرید",IFERROR(VLOOKUP("P02",ParamTbl,3,0),1),0)/100))</f>
        <v/>
      </c>
      <c r="O1648">
        <f>IF($G1648="",0,IF($H1648="مرجوعی خرید",-1,1)*IF(Sync!$AD1645="",0,Sync!$AD1645))</f>
        <v/>
      </c>
      <c r="P1648">
        <f>IF(OR($G1648="",Sync!$W1645=""),"",Sync!$W1645)</f>
        <v/>
      </c>
      <c r="Q1648">
        <f>IF(OR($G1648="",Sync!$AE1645=""),"",Sync!$AE1645)</f>
        <v/>
      </c>
      <c r="R1648">
        <f>IF($G1648="","",IF(Sync!$V1645="","0000",IF(AND(ISNUMBER(Sync!$V1645),Sync!$V1645&gt;=0,Sync!$V1645&lt;1),RIGHT("00"&amp;HOUR(Sync!$V1645),2)&amp;RIGHT("00"&amp;MINUTE(Sync!$V1645),2),IFERROR(RIGHT("00"&amp;VALUE(LEFT(Sync!$V1645,FIND(":",Sync!$V1645)-1)),2)&amp;RIGHT("00"&amp;VALUE(MID(Sync!$V1645,FIND(":",Sync!$V1645)+1,2)),2),"0000"))))</f>
        <v/>
      </c>
    </row>
    <row r="1649">
      <c r="A1649">
        <f>IF(Sync!$U1646="","",Sync!$U1646)</f>
        <v/>
      </c>
      <c r="B1649">
        <f>IF($A1649="","",IF(ISNUMBER($A1649),IF(AND($A1649&gt;=10000101,$A1649&lt;=99991231),INT($A1649/10000),""),IFERROR(VALUE(TRIM(LEFT($A1649,FIND("/",$A1649)-1))),"")))</f>
        <v/>
      </c>
      <c r="C1649">
        <f>IF(OR($A1649="",$B1649=""),"",IF(ISNUMBER($A1649),INT(MOD($A1649,10000)/100),IFERROR(VALUE(TRIM(LEFT(MID($A1649,FIND("/",$A1649)+1,20),FIND("/",MID($A1649,FIND("/",$A1649)+1,20))-1))),"")))</f>
        <v/>
      </c>
      <c r="D1649">
        <f>IF(OR($A1649="",$B1649=""),"",IF(ISNUMBER($A1649),MOD($A1649,100),IFERROR(VALUE(TRIM(MID(MID($A1649,FIND("/",$A1649)+1,20),FIND("/",MID($A1649,FIND("/",$A1649)+1,20))+1,20))),"")))</f>
        <v/>
      </c>
      <c r="E1649">
        <f>IF($A1649="","",IF(OR($B1649="",$C1649="",$D1649="",$B1649&lt;1300,$B1649&gt;1500,$C1649&lt;1,$C1649&gt;12,$D1649&lt;1,$D1649&gt;31),"نامعتبر",RIGHT("0000"&amp;$B1649,4)&amp;"/"&amp;RIGHT("00"&amp;$C1649,2)&amp;"/"&amp;RIGHT("00"&amp;$D1649,2)))</f>
        <v/>
      </c>
      <c r="F1649">
        <f>IF(OR($E1649="",$E1649="نامعتبر"),"",LEFT($E1649,4)&amp;"/"&amp;MID($E1649,6,2))</f>
        <v/>
      </c>
      <c r="G1649">
        <f>IF(OR($E1649="",$E1649="نامعتبر",Sync!$Y1646=""),"",Sync!$Y1646)</f>
        <v/>
      </c>
      <c r="H1649">
        <f>IF($G1649="","",IF(Sync!$X1646="","",Sync!$X1646))</f>
        <v/>
      </c>
      <c r="I1649">
        <f>IF($G1649="","",IFERROR(VLOOKUP(Sync!$X1646,OpTbl,3,0),""))</f>
        <v/>
      </c>
      <c r="J1649">
        <f>IF(OR($G1649="",Sync!$Z1646=""),"",Sync!$Z1646)</f>
        <v/>
      </c>
      <c r="K1649">
        <f>IF(OR($G1649="",Sync!$AA1646=""),"",Sync!$AA1646)</f>
        <v/>
      </c>
      <c r="L1649">
        <f>IF($G1649="",0,IF(Sync!$AB1646="",0,Sync!$AB1646))</f>
        <v/>
      </c>
      <c r="M1649">
        <f>IF($G1649="",0,IF(Sync!$AC1646="",0,Sync!$AC1646))</f>
        <v/>
      </c>
      <c r="N1649">
        <f>IF($G1649="","",IF($H1649="مرجوعی خرید",-1,1)*($L1649-$M1649*IFERROR(VLOOKUP("P01",ParamTbl,3,0),1.5))*(1-IF($I1649="خرید",IFERROR(VLOOKUP("P02",ParamTbl,3,0),1),0)/100))</f>
        <v/>
      </c>
      <c r="O1649">
        <f>IF($G1649="",0,IF($H1649="مرجوعی خرید",-1,1)*IF(Sync!$AD1646="",0,Sync!$AD1646))</f>
        <v/>
      </c>
      <c r="P1649">
        <f>IF(OR($G1649="",Sync!$W1646=""),"",Sync!$W1646)</f>
        <v/>
      </c>
      <c r="Q1649">
        <f>IF(OR($G1649="",Sync!$AE1646=""),"",Sync!$AE1646)</f>
        <v/>
      </c>
      <c r="R1649">
        <f>IF($G1649="","",IF(Sync!$V1646="","0000",IF(AND(ISNUMBER(Sync!$V1646),Sync!$V1646&gt;=0,Sync!$V1646&lt;1),RIGHT("00"&amp;HOUR(Sync!$V1646),2)&amp;RIGHT("00"&amp;MINUTE(Sync!$V1646),2),IFERROR(RIGHT("00"&amp;VALUE(LEFT(Sync!$V1646,FIND(":",Sync!$V1646)-1)),2)&amp;RIGHT("00"&amp;VALUE(MID(Sync!$V1646,FIND(":",Sync!$V1646)+1,2)),2),"0000"))))</f>
        <v/>
      </c>
    </row>
    <row r="1650">
      <c r="A1650">
        <f>IF(Sync!$U1647="","",Sync!$U1647)</f>
        <v/>
      </c>
      <c r="B1650">
        <f>IF($A1650="","",IF(ISNUMBER($A1650),IF(AND($A1650&gt;=10000101,$A1650&lt;=99991231),INT($A1650/10000),""),IFERROR(VALUE(TRIM(LEFT($A1650,FIND("/",$A1650)-1))),"")))</f>
        <v/>
      </c>
      <c r="C1650">
        <f>IF(OR($A1650="",$B1650=""),"",IF(ISNUMBER($A1650),INT(MOD($A1650,10000)/100),IFERROR(VALUE(TRIM(LEFT(MID($A1650,FIND("/",$A1650)+1,20),FIND("/",MID($A1650,FIND("/",$A1650)+1,20))-1))),"")))</f>
        <v/>
      </c>
      <c r="D1650">
        <f>IF(OR($A1650="",$B1650=""),"",IF(ISNUMBER($A1650),MOD($A1650,100),IFERROR(VALUE(TRIM(MID(MID($A1650,FIND("/",$A1650)+1,20),FIND("/",MID($A1650,FIND("/",$A1650)+1,20))+1,20))),"")))</f>
        <v/>
      </c>
      <c r="E1650">
        <f>IF($A1650="","",IF(OR($B1650="",$C1650="",$D1650="",$B1650&lt;1300,$B1650&gt;1500,$C1650&lt;1,$C1650&gt;12,$D1650&lt;1,$D1650&gt;31),"نامعتبر",RIGHT("0000"&amp;$B1650,4)&amp;"/"&amp;RIGHT("00"&amp;$C1650,2)&amp;"/"&amp;RIGHT("00"&amp;$D1650,2)))</f>
        <v/>
      </c>
      <c r="F1650">
        <f>IF(OR($E1650="",$E1650="نامعتبر"),"",LEFT($E1650,4)&amp;"/"&amp;MID($E1650,6,2))</f>
        <v/>
      </c>
      <c r="G1650">
        <f>IF(OR($E1650="",$E1650="نامعتبر",Sync!$Y1647=""),"",Sync!$Y1647)</f>
        <v/>
      </c>
      <c r="H1650">
        <f>IF($G1650="","",IF(Sync!$X1647="","",Sync!$X1647))</f>
        <v/>
      </c>
      <c r="I1650">
        <f>IF($G1650="","",IFERROR(VLOOKUP(Sync!$X1647,OpTbl,3,0),""))</f>
        <v/>
      </c>
      <c r="J1650">
        <f>IF(OR($G1650="",Sync!$Z1647=""),"",Sync!$Z1647)</f>
        <v/>
      </c>
      <c r="K1650">
        <f>IF(OR($G1650="",Sync!$AA1647=""),"",Sync!$AA1647)</f>
        <v/>
      </c>
      <c r="L1650">
        <f>IF($G1650="",0,IF(Sync!$AB1647="",0,Sync!$AB1647))</f>
        <v/>
      </c>
      <c r="M1650">
        <f>IF($G1650="",0,IF(Sync!$AC1647="",0,Sync!$AC1647))</f>
        <v/>
      </c>
      <c r="N1650">
        <f>IF($G1650="","",IF($H1650="مرجوعی خرید",-1,1)*($L1650-$M1650*IFERROR(VLOOKUP("P01",ParamTbl,3,0),1.5))*(1-IF($I1650="خرید",IFERROR(VLOOKUP("P02",ParamTbl,3,0),1),0)/100))</f>
        <v/>
      </c>
      <c r="O1650">
        <f>IF($G1650="",0,IF($H1650="مرجوعی خرید",-1,1)*IF(Sync!$AD1647="",0,Sync!$AD1647))</f>
        <v/>
      </c>
      <c r="P1650">
        <f>IF(OR($G1650="",Sync!$W1647=""),"",Sync!$W1647)</f>
        <v/>
      </c>
      <c r="Q1650">
        <f>IF(OR($G1650="",Sync!$AE1647=""),"",Sync!$AE1647)</f>
        <v/>
      </c>
      <c r="R1650">
        <f>IF($G1650="","",IF(Sync!$V1647="","0000",IF(AND(ISNUMBER(Sync!$V1647),Sync!$V1647&gt;=0,Sync!$V1647&lt;1),RIGHT("00"&amp;HOUR(Sync!$V1647),2)&amp;RIGHT("00"&amp;MINUTE(Sync!$V1647),2),IFERROR(RIGHT("00"&amp;VALUE(LEFT(Sync!$V1647,FIND(":",Sync!$V1647)-1)),2)&amp;RIGHT("00"&amp;VALUE(MID(Sync!$V1647,FIND(":",Sync!$V1647)+1,2)),2),"0000"))))</f>
        <v/>
      </c>
    </row>
    <row r="1651">
      <c r="A1651">
        <f>IF(Sync!$U1648="","",Sync!$U1648)</f>
        <v/>
      </c>
      <c r="B1651">
        <f>IF($A1651="","",IF(ISNUMBER($A1651),IF(AND($A1651&gt;=10000101,$A1651&lt;=99991231),INT($A1651/10000),""),IFERROR(VALUE(TRIM(LEFT($A1651,FIND("/",$A1651)-1))),"")))</f>
        <v/>
      </c>
      <c r="C1651">
        <f>IF(OR($A1651="",$B1651=""),"",IF(ISNUMBER($A1651),INT(MOD($A1651,10000)/100),IFERROR(VALUE(TRIM(LEFT(MID($A1651,FIND("/",$A1651)+1,20),FIND("/",MID($A1651,FIND("/",$A1651)+1,20))-1))),"")))</f>
        <v/>
      </c>
      <c r="D1651">
        <f>IF(OR($A1651="",$B1651=""),"",IF(ISNUMBER($A1651),MOD($A1651,100),IFERROR(VALUE(TRIM(MID(MID($A1651,FIND("/",$A1651)+1,20),FIND("/",MID($A1651,FIND("/",$A1651)+1,20))+1,20))),"")))</f>
        <v/>
      </c>
      <c r="E1651">
        <f>IF($A1651="","",IF(OR($B1651="",$C1651="",$D1651="",$B1651&lt;1300,$B1651&gt;1500,$C1651&lt;1,$C1651&gt;12,$D1651&lt;1,$D1651&gt;31),"نامعتبر",RIGHT("0000"&amp;$B1651,4)&amp;"/"&amp;RIGHT("00"&amp;$C1651,2)&amp;"/"&amp;RIGHT("00"&amp;$D1651,2)))</f>
        <v/>
      </c>
      <c r="F1651">
        <f>IF(OR($E1651="",$E1651="نامعتبر"),"",LEFT($E1651,4)&amp;"/"&amp;MID($E1651,6,2))</f>
        <v/>
      </c>
      <c r="G1651">
        <f>IF(OR($E1651="",$E1651="نامعتبر",Sync!$Y1648=""),"",Sync!$Y1648)</f>
        <v/>
      </c>
      <c r="H1651">
        <f>IF($G1651="","",IF(Sync!$X1648="","",Sync!$X1648))</f>
        <v/>
      </c>
      <c r="I1651">
        <f>IF($G1651="","",IFERROR(VLOOKUP(Sync!$X1648,OpTbl,3,0),""))</f>
        <v/>
      </c>
      <c r="J1651">
        <f>IF(OR($G1651="",Sync!$Z1648=""),"",Sync!$Z1648)</f>
        <v/>
      </c>
      <c r="K1651">
        <f>IF(OR($G1651="",Sync!$AA1648=""),"",Sync!$AA1648)</f>
        <v/>
      </c>
      <c r="L1651">
        <f>IF($G1651="",0,IF(Sync!$AB1648="",0,Sync!$AB1648))</f>
        <v/>
      </c>
      <c r="M1651">
        <f>IF($G1651="",0,IF(Sync!$AC1648="",0,Sync!$AC1648))</f>
        <v/>
      </c>
      <c r="N1651">
        <f>IF($G1651="","",IF($H1651="مرجوعی خرید",-1,1)*($L1651-$M1651*IFERROR(VLOOKUP("P01",ParamTbl,3,0),1.5))*(1-IF($I1651="خرید",IFERROR(VLOOKUP("P02",ParamTbl,3,0),1),0)/100))</f>
        <v/>
      </c>
      <c r="O1651">
        <f>IF($G1651="",0,IF($H1651="مرجوعی خرید",-1,1)*IF(Sync!$AD1648="",0,Sync!$AD1648))</f>
        <v/>
      </c>
      <c r="P1651">
        <f>IF(OR($G1651="",Sync!$W1648=""),"",Sync!$W1648)</f>
        <v/>
      </c>
      <c r="Q1651">
        <f>IF(OR($G1651="",Sync!$AE1648=""),"",Sync!$AE1648)</f>
        <v/>
      </c>
      <c r="R1651">
        <f>IF($G1651="","",IF(Sync!$V1648="","0000",IF(AND(ISNUMBER(Sync!$V1648),Sync!$V1648&gt;=0,Sync!$V1648&lt;1),RIGHT("00"&amp;HOUR(Sync!$V1648),2)&amp;RIGHT("00"&amp;MINUTE(Sync!$V1648),2),IFERROR(RIGHT("00"&amp;VALUE(LEFT(Sync!$V1648,FIND(":",Sync!$V1648)-1)),2)&amp;RIGHT("00"&amp;VALUE(MID(Sync!$V1648,FIND(":",Sync!$V1648)+1,2)),2),"0000"))))</f>
        <v/>
      </c>
    </row>
    <row r="1652">
      <c r="A1652">
        <f>IF(Sync!$U1649="","",Sync!$U1649)</f>
        <v/>
      </c>
      <c r="B1652">
        <f>IF($A1652="","",IF(ISNUMBER($A1652),IF(AND($A1652&gt;=10000101,$A1652&lt;=99991231),INT($A1652/10000),""),IFERROR(VALUE(TRIM(LEFT($A1652,FIND("/",$A1652)-1))),"")))</f>
        <v/>
      </c>
      <c r="C1652">
        <f>IF(OR($A1652="",$B1652=""),"",IF(ISNUMBER($A1652),INT(MOD($A1652,10000)/100),IFERROR(VALUE(TRIM(LEFT(MID($A1652,FIND("/",$A1652)+1,20),FIND("/",MID($A1652,FIND("/",$A1652)+1,20))-1))),"")))</f>
        <v/>
      </c>
      <c r="D1652">
        <f>IF(OR($A1652="",$B1652=""),"",IF(ISNUMBER($A1652),MOD($A1652,100),IFERROR(VALUE(TRIM(MID(MID($A1652,FIND("/",$A1652)+1,20),FIND("/",MID($A1652,FIND("/",$A1652)+1,20))+1,20))),"")))</f>
        <v/>
      </c>
      <c r="E1652">
        <f>IF($A1652="","",IF(OR($B1652="",$C1652="",$D1652="",$B1652&lt;1300,$B1652&gt;1500,$C1652&lt;1,$C1652&gt;12,$D1652&lt;1,$D1652&gt;31),"نامعتبر",RIGHT("0000"&amp;$B1652,4)&amp;"/"&amp;RIGHT("00"&amp;$C1652,2)&amp;"/"&amp;RIGHT("00"&amp;$D1652,2)))</f>
        <v/>
      </c>
      <c r="F1652">
        <f>IF(OR($E1652="",$E1652="نامعتبر"),"",LEFT($E1652,4)&amp;"/"&amp;MID($E1652,6,2))</f>
        <v/>
      </c>
      <c r="G1652">
        <f>IF(OR($E1652="",$E1652="نامعتبر",Sync!$Y1649=""),"",Sync!$Y1649)</f>
        <v/>
      </c>
      <c r="H1652">
        <f>IF($G1652="","",IF(Sync!$X1649="","",Sync!$X1649))</f>
        <v/>
      </c>
      <c r="I1652">
        <f>IF($G1652="","",IFERROR(VLOOKUP(Sync!$X1649,OpTbl,3,0),""))</f>
        <v/>
      </c>
      <c r="J1652">
        <f>IF(OR($G1652="",Sync!$Z1649=""),"",Sync!$Z1649)</f>
        <v/>
      </c>
      <c r="K1652">
        <f>IF(OR($G1652="",Sync!$AA1649=""),"",Sync!$AA1649)</f>
        <v/>
      </c>
      <c r="L1652">
        <f>IF($G1652="",0,IF(Sync!$AB1649="",0,Sync!$AB1649))</f>
        <v/>
      </c>
      <c r="M1652">
        <f>IF($G1652="",0,IF(Sync!$AC1649="",0,Sync!$AC1649))</f>
        <v/>
      </c>
      <c r="N1652">
        <f>IF($G1652="","",IF($H1652="مرجوعی خرید",-1,1)*($L1652-$M1652*IFERROR(VLOOKUP("P01",ParamTbl,3,0),1.5))*(1-IF($I1652="خرید",IFERROR(VLOOKUP("P02",ParamTbl,3,0),1),0)/100))</f>
        <v/>
      </c>
      <c r="O1652">
        <f>IF($G1652="",0,IF($H1652="مرجوعی خرید",-1,1)*IF(Sync!$AD1649="",0,Sync!$AD1649))</f>
        <v/>
      </c>
      <c r="P1652">
        <f>IF(OR($G1652="",Sync!$W1649=""),"",Sync!$W1649)</f>
        <v/>
      </c>
      <c r="Q1652">
        <f>IF(OR($G1652="",Sync!$AE1649=""),"",Sync!$AE1649)</f>
        <v/>
      </c>
      <c r="R1652">
        <f>IF($G1652="","",IF(Sync!$V1649="","0000",IF(AND(ISNUMBER(Sync!$V1649),Sync!$V1649&gt;=0,Sync!$V1649&lt;1),RIGHT("00"&amp;HOUR(Sync!$V1649),2)&amp;RIGHT("00"&amp;MINUTE(Sync!$V1649),2),IFERROR(RIGHT("00"&amp;VALUE(LEFT(Sync!$V1649,FIND(":",Sync!$V1649)-1)),2)&amp;RIGHT("00"&amp;VALUE(MID(Sync!$V1649,FIND(":",Sync!$V1649)+1,2)),2),"0000"))))</f>
        <v/>
      </c>
    </row>
    <row r="1653">
      <c r="A1653">
        <f>IF(Sync!$U1650="","",Sync!$U1650)</f>
        <v/>
      </c>
      <c r="B1653">
        <f>IF($A1653="","",IF(ISNUMBER($A1653),IF(AND($A1653&gt;=10000101,$A1653&lt;=99991231),INT($A1653/10000),""),IFERROR(VALUE(TRIM(LEFT($A1653,FIND("/",$A1653)-1))),"")))</f>
        <v/>
      </c>
      <c r="C1653">
        <f>IF(OR($A1653="",$B1653=""),"",IF(ISNUMBER($A1653),INT(MOD($A1653,10000)/100),IFERROR(VALUE(TRIM(LEFT(MID($A1653,FIND("/",$A1653)+1,20),FIND("/",MID($A1653,FIND("/",$A1653)+1,20))-1))),"")))</f>
        <v/>
      </c>
      <c r="D1653">
        <f>IF(OR($A1653="",$B1653=""),"",IF(ISNUMBER($A1653),MOD($A1653,100),IFERROR(VALUE(TRIM(MID(MID($A1653,FIND("/",$A1653)+1,20),FIND("/",MID($A1653,FIND("/",$A1653)+1,20))+1,20))),"")))</f>
        <v/>
      </c>
      <c r="E1653">
        <f>IF($A1653="","",IF(OR($B1653="",$C1653="",$D1653="",$B1653&lt;1300,$B1653&gt;1500,$C1653&lt;1,$C1653&gt;12,$D1653&lt;1,$D1653&gt;31),"نامعتبر",RIGHT("0000"&amp;$B1653,4)&amp;"/"&amp;RIGHT("00"&amp;$C1653,2)&amp;"/"&amp;RIGHT("00"&amp;$D1653,2)))</f>
        <v/>
      </c>
      <c r="F1653">
        <f>IF(OR($E1653="",$E1653="نامعتبر"),"",LEFT($E1653,4)&amp;"/"&amp;MID($E1653,6,2))</f>
        <v/>
      </c>
      <c r="G1653">
        <f>IF(OR($E1653="",$E1653="نامعتبر",Sync!$Y1650=""),"",Sync!$Y1650)</f>
        <v/>
      </c>
      <c r="H1653">
        <f>IF($G1653="","",IF(Sync!$X1650="","",Sync!$X1650))</f>
        <v/>
      </c>
      <c r="I1653">
        <f>IF($G1653="","",IFERROR(VLOOKUP(Sync!$X1650,OpTbl,3,0),""))</f>
        <v/>
      </c>
      <c r="J1653">
        <f>IF(OR($G1653="",Sync!$Z1650=""),"",Sync!$Z1650)</f>
        <v/>
      </c>
      <c r="K1653">
        <f>IF(OR($G1653="",Sync!$AA1650=""),"",Sync!$AA1650)</f>
        <v/>
      </c>
      <c r="L1653">
        <f>IF($G1653="",0,IF(Sync!$AB1650="",0,Sync!$AB1650))</f>
        <v/>
      </c>
      <c r="M1653">
        <f>IF($G1653="",0,IF(Sync!$AC1650="",0,Sync!$AC1650))</f>
        <v/>
      </c>
      <c r="N1653">
        <f>IF($G1653="","",IF($H1653="مرجوعی خرید",-1,1)*($L1653-$M1653*IFERROR(VLOOKUP("P01",ParamTbl,3,0),1.5))*(1-IF($I1653="خرید",IFERROR(VLOOKUP("P02",ParamTbl,3,0),1),0)/100))</f>
        <v/>
      </c>
      <c r="O1653">
        <f>IF($G1653="",0,IF($H1653="مرجوعی خرید",-1,1)*IF(Sync!$AD1650="",0,Sync!$AD1650))</f>
        <v/>
      </c>
      <c r="P1653">
        <f>IF(OR($G1653="",Sync!$W1650=""),"",Sync!$W1650)</f>
        <v/>
      </c>
      <c r="Q1653">
        <f>IF(OR($G1653="",Sync!$AE1650=""),"",Sync!$AE1650)</f>
        <v/>
      </c>
      <c r="R1653">
        <f>IF($G1653="","",IF(Sync!$V1650="","0000",IF(AND(ISNUMBER(Sync!$V1650),Sync!$V1650&gt;=0,Sync!$V1650&lt;1),RIGHT("00"&amp;HOUR(Sync!$V1650),2)&amp;RIGHT("00"&amp;MINUTE(Sync!$V1650),2),IFERROR(RIGHT("00"&amp;VALUE(LEFT(Sync!$V1650,FIND(":",Sync!$V1650)-1)),2)&amp;RIGHT("00"&amp;VALUE(MID(Sync!$V1650,FIND(":",Sync!$V1650)+1,2)),2),"0000"))))</f>
        <v/>
      </c>
    </row>
    <row r="1654">
      <c r="A1654">
        <f>IF(Sync!$U1651="","",Sync!$U1651)</f>
        <v/>
      </c>
      <c r="B1654">
        <f>IF($A1654="","",IF(ISNUMBER($A1654),IF(AND($A1654&gt;=10000101,$A1654&lt;=99991231),INT($A1654/10000),""),IFERROR(VALUE(TRIM(LEFT($A1654,FIND("/",$A1654)-1))),"")))</f>
        <v/>
      </c>
      <c r="C1654">
        <f>IF(OR($A1654="",$B1654=""),"",IF(ISNUMBER($A1654),INT(MOD($A1654,10000)/100),IFERROR(VALUE(TRIM(LEFT(MID($A1654,FIND("/",$A1654)+1,20),FIND("/",MID($A1654,FIND("/",$A1654)+1,20))-1))),"")))</f>
        <v/>
      </c>
      <c r="D1654">
        <f>IF(OR($A1654="",$B1654=""),"",IF(ISNUMBER($A1654),MOD($A1654,100),IFERROR(VALUE(TRIM(MID(MID($A1654,FIND("/",$A1654)+1,20),FIND("/",MID($A1654,FIND("/",$A1654)+1,20))+1,20))),"")))</f>
        <v/>
      </c>
      <c r="E1654">
        <f>IF($A1654="","",IF(OR($B1654="",$C1654="",$D1654="",$B1654&lt;1300,$B1654&gt;1500,$C1654&lt;1,$C1654&gt;12,$D1654&lt;1,$D1654&gt;31),"نامعتبر",RIGHT("0000"&amp;$B1654,4)&amp;"/"&amp;RIGHT("00"&amp;$C1654,2)&amp;"/"&amp;RIGHT("00"&amp;$D1654,2)))</f>
        <v/>
      </c>
      <c r="F1654">
        <f>IF(OR($E1654="",$E1654="نامعتبر"),"",LEFT($E1654,4)&amp;"/"&amp;MID($E1654,6,2))</f>
        <v/>
      </c>
      <c r="G1654">
        <f>IF(OR($E1654="",$E1654="نامعتبر",Sync!$Y1651=""),"",Sync!$Y1651)</f>
        <v/>
      </c>
      <c r="H1654">
        <f>IF($G1654="","",IF(Sync!$X1651="","",Sync!$X1651))</f>
        <v/>
      </c>
      <c r="I1654">
        <f>IF($G1654="","",IFERROR(VLOOKUP(Sync!$X1651,OpTbl,3,0),""))</f>
        <v/>
      </c>
      <c r="J1654">
        <f>IF(OR($G1654="",Sync!$Z1651=""),"",Sync!$Z1651)</f>
        <v/>
      </c>
      <c r="K1654">
        <f>IF(OR($G1654="",Sync!$AA1651=""),"",Sync!$AA1651)</f>
        <v/>
      </c>
      <c r="L1654">
        <f>IF($G1654="",0,IF(Sync!$AB1651="",0,Sync!$AB1651))</f>
        <v/>
      </c>
      <c r="M1654">
        <f>IF($G1654="",0,IF(Sync!$AC1651="",0,Sync!$AC1651))</f>
        <v/>
      </c>
      <c r="N1654">
        <f>IF($G1654="","",IF($H1654="مرجوعی خرید",-1,1)*($L1654-$M1654*IFERROR(VLOOKUP("P01",ParamTbl,3,0),1.5))*(1-IF($I1654="خرید",IFERROR(VLOOKUP("P02",ParamTbl,3,0),1),0)/100))</f>
        <v/>
      </c>
      <c r="O1654">
        <f>IF($G1654="",0,IF($H1654="مرجوعی خرید",-1,1)*IF(Sync!$AD1651="",0,Sync!$AD1651))</f>
        <v/>
      </c>
      <c r="P1654">
        <f>IF(OR($G1654="",Sync!$W1651=""),"",Sync!$W1651)</f>
        <v/>
      </c>
      <c r="Q1654">
        <f>IF(OR($G1654="",Sync!$AE1651=""),"",Sync!$AE1651)</f>
        <v/>
      </c>
      <c r="R1654">
        <f>IF($G1654="","",IF(Sync!$V1651="","0000",IF(AND(ISNUMBER(Sync!$V1651),Sync!$V1651&gt;=0,Sync!$V1651&lt;1),RIGHT("00"&amp;HOUR(Sync!$V1651),2)&amp;RIGHT("00"&amp;MINUTE(Sync!$V1651),2),IFERROR(RIGHT("00"&amp;VALUE(LEFT(Sync!$V1651,FIND(":",Sync!$V1651)-1)),2)&amp;RIGHT("00"&amp;VALUE(MID(Sync!$V1651,FIND(":",Sync!$V1651)+1,2)),2),"0000"))))</f>
        <v/>
      </c>
    </row>
    <row r="1655">
      <c r="A1655">
        <f>IF(Sync!$U1652="","",Sync!$U1652)</f>
        <v/>
      </c>
      <c r="B1655">
        <f>IF($A1655="","",IF(ISNUMBER($A1655),IF(AND($A1655&gt;=10000101,$A1655&lt;=99991231),INT($A1655/10000),""),IFERROR(VALUE(TRIM(LEFT($A1655,FIND("/",$A1655)-1))),"")))</f>
        <v/>
      </c>
      <c r="C1655">
        <f>IF(OR($A1655="",$B1655=""),"",IF(ISNUMBER($A1655),INT(MOD($A1655,10000)/100),IFERROR(VALUE(TRIM(LEFT(MID($A1655,FIND("/",$A1655)+1,20),FIND("/",MID($A1655,FIND("/",$A1655)+1,20))-1))),"")))</f>
        <v/>
      </c>
      <c r="D1655">
        <f>IF(OR($A1655="",$B1655=""),"",IF(ISNUMBER($A1655),MOD($A1655,100),IFERROR(VALUE(TRIM(MID(MID($A1655,FIND("/",$A1655)+1,20),FIND("/",MID($A1655,FIND("/",$A1655)+1,20))+1,20))),"")))</f>
        <v/>
      </c>
      <c r="E1655">
        <f>IF($A1655="","",IF(OR($B1655="",$C1655="",$D1655="",$B1655&lt;1300,$B1655&gt;1500,$C1655&lt;1,$C1655&gt;12,$D1655&lt;1,$D1655&gt;31),"نامعتبر",RIGHT("0000"&amp;$B1655,4)&amp;"/"&amp;RIGHT("00"&amp;$C1655,2)&amp;"/"&amp;RIGHT("00"&amp;$D1655,2)))</f>
        <v/>
      </c>
      <c r="F1655">
        <f>IF(OR($E1655="",$E1655="نامعتبر"),"",LEFT($E1655,4)&amp;"/"&amp;MID($E1655,6,2))</f>
        <v/>
      </c>
      <c r="G1655">
        <f>IF(OR($E1655="",$E1655="نامعتبر",Sync!$Y1652=""),"",Sync!$Y1652)</f>
        <v/>
      </c>
      <c r="H1655">
        <f>IF($G1655="","",IF(Sync!$X1652="","",Sync!$X1652))</f>
        <v/>
      </c>
      <c r="I1655">
        <f>IF($G1655="","",IFERROR(VLOOKUP(Sync!$X1652,OpTbl,3,0),""))</f>
        <v/>
      </c>
      <c r="J1655">
        <f>IF(OR($G1655="",Sync!$Z1652=""),"",Sync!$Z1652)</f>
        <v/>
      </c>
      <c r="K1655">
        <f>IF(OR($G1655="",Sync!$AA1652=""),"",Sync!$AA1652)</f>
        <v/>
      </c>
      <c r="L1655">
        <f>IF($G1655="",0,IF(Sync!$AB1652="",0,Sync!$AB1652))</f>
        <v/>
      </c>
      <c r="M1655">
        <f>IF($G1655="",0,IF(Sync!$AC1652="",0,Sync!$AC1652))</f>
        <v/>
      </c>
      <c r="N1655">
        <f>IF($G1655="","",IF($H1655="مرجوعی خرید",-1,1)*($L1655-$M1655*IFERROR(VLOOKUP("P01",ParamTbl,3,0),1.5))*(1-IF($I1655="خرید",IFERROR(VLOOKUP("P02",ParamTbl,3,0),1),0)/100))</f>
        <v/>
      </c>
      <c r="O1655">
        <f>IF($G1655="",0,IF($H1655="مرجوعی خرید",-1,1)*IF(Sync!$AD1652="",0,Sync!$AD1652))</f>
        <v/>
      </c>
      <c r="P1655">
        <f>IF(OR($G1655="",Sync!$W1652=""),"",Sync!$W1652)</f>
        <v/>
      </c>
      <c r="Q1655">
        <f>IF(OR($G1655="",Sync!$AE1652=""),"",Sync!$AE1652)</f>
        <v/>
      </c>
      <c r="R1655">
        <f>IF($G1655="","",IF(Sync!$V1652="","0000",IF(AND(ISNUMBER(Sync!$V1652),Sync!$V1652&gt;=0,Sync!$V1652&lt;1),RIGHT("00"&amp;HOUR(Sync!$V1652),2)&amp;RIGHT("00"&amp;MINUTE(Sync!$V1652),2),IFERROR(RIGHT("00"&amp;VALUE(LEFT(Sync!$V1652,FIND(":",Sync!$V1652)-1)),2)&amp;RIGHT("00"&amp;VALUE(MID(Sync!$V1652,FIND(":",Sync!$V1652)+1,2)),2),"0000"))))</f>
        <v/>
      </c>
    </row>
    <row r="1656">
      <c r="A1656">
        <f>IF(Sync!$U1653="","",Sync!$U1653)</f>
        <v/>
      </c>
      <c r="B1656">
        <f>IF($A1656="","",IF(ISNUMBER($A1656),IF(AND($A1656&gt;=10000101,$A1656&lt;=99991231),INT($A1656/10000),""),IFERROR(VALUE(TRIM(LEFT($A1656,FIND("/",$A1656)-1))),"")))</f>
        <v/>
      </c>
      <c r="C1656">
        <f>IF(OR($A1656="",$B1656=""),"",IF(ISNUMBER($A1656),INT(MOD($A1656,10000)/100),IFERROR(VALUE(TRIM(LEFT(MID($A1656,FIND("/",$A1656)+1,20),FIND("/",MID($A1656,FIND("/",$A1656)+1,20))-1))),"")))</f>
        <v/>
      </c>
      <c r="D1656">
        <f>IF(OR($A1656="",$B1656=""),"",IF(ISNUMBER($A1656),MOD($A1656,100),IFERROR(VALUE(TRIM(MID(MID($A1656,FIND("/",$A1656)+1,20),FIND("/",MID($A1656,FIND("/",$A1656)+1,20))+1,20))),"")))</f>
        <v/>
      </c>
      <c r="E1656">
        <f>IF($A1656="","",IF(OR($B1656="",$C1656="",$D1656="",$B1656&lt;1300,$B1656&gt;1500,$C1656&lt;1,$C1656&gt;12,$D1656&lt;1,$D1656&gt;31),"نامعتبر",RIGHT("0000"&amp;$B1656,4)&amp;"/"&amp;RIGHT("00"&amp;$C1656,2)&amp;"/"&amp;RIGHT("00"&amp;$D1656,2)))</f>
        <v/>
      </c>
      <c r="F1656">
        <f>IF(OR($E1656="",$E1656="نامعتبر"),"",LEFT($E1656,4)&amp;"/"&amp;MID($E1656,6,2))</f>
        <v/>
      </c>
      <c r="G1656">
        <f>IF(OR($E1656="",$E1656="نامعتبر",Sync!$Y1653=""),"",Sync!$Y1653)</f>
        <v/>
      </c>
      <c r="H1656">
        <f>IF($G1656="","",IF(Sync!$X1653="","",Sync!$X1653))</f>
        <v/>
      </c>
      <c r="I1656">
        <f>IF($G1656="","",IFERROR(VLOOKUP(Sync!$X1653,OpTbl,3,0),""))</f>
        <v/>
      </c>
      <c r="J1656">
        <f>IF(OR($G1656="",Sync!$Z1653=""),"",Sync!$Z1653)</f>
        <v/>
      </c>
      <c r="K1656">
        <f>IF(OR($G1656="",Sync!$AA1653=""),"",Sync!$AA1653)</f>
        <v/>
      </c>
      <c r="L1656">
        <f>IF($G1656="",0,IF(Sync!$AB1653="",0,Sync!$AB1653))</f>
        <v/>
      </c>
      <c r="M1656">
        <f>IF($G1656="",0,IF(Sync!$AC1653="",0,Sync!$AC1653))</f>
        <v/>
      </c>
      <c r="N1656">
        <f>IF($G1656="","",IF($H1656="مرجوعی خرید",-1,1)*($L1656-$M1656*IFERROR(VLOOKUP("P01",ParamTbl,3,0),1.5))*(1-IF($I1656="خرید",IFERROR(VLOOKUP("P02",ParamTbl,3,0),1),0)/100))</f>
        <v/>
      </c>
      <c r="O1656">
        <f>IF($G1656="",0,IF($H1656="مرجوعی خرید",-1,1)*IF(Sync!$AD1653="",0,Sync!$AD1653))</f>
        <v/>
      </c>
      <c r="P1656">
        <f>IF(OR($G1656="",Sync!$W1653=""),"",Sync!$W1653)</f>
        <v/>
      </c>
      <c r="Q1656">
        <f>IF(OR($G1656="",Sync!$AE1653=""),"",Sync!$AE1653)</f>
        <v/>
      </c>
      <c r="R1656">
        <f>IF($G1656="","",IF(Sync!$V1653="","0000",IF(AND(ISNUMBER(Sync!$V1653),Sync!$V1653&gt;=0,Sync!$V1653&lt;1),RIGHT("00"&amp;HOUR(Sync!$V1653),2)&amp;RIGHT("00"&amp;MINUTE(Sync!$V1653),2),IFERROR(RIGHT("00"&amp;VALUE(LEFT(Sync!$V1653,FIND(":",Sync!$V1653)-1)),2)&amp;RIGHT("00"&amp;VALUE(MID(Sync!$V1653,FIND(":",Sync!$V1653)+1,2)),2),"0000"))))</f>
        <v/>
      </c>
    </row>
    <row r="1657">
      <c r="A1657">
        <f>IF(Sync!$U1654="","",Sync!$U1654)</f>
        <v/>
      </c>
      <c r="B1657">
        <f>IF($A1657="","",IF(ISNUMBER($A1657),IF(AND($A1657&gt;=10000101,$A1657&lt;=99991231),INT($A1657/10000),""),IFERROR(VALUE(TRIM(LEFT($A1657,FIND("/",$A1657)-1))),"")))</f>
        <v/>
      </c>
      <c r="C1657">
        <f>IF(OR($A1657="",$B1657=""),"",IF(ISNUMBER($A1657),INT(MOD($A1657,10000)/100),IFERROR(VALUE(TRIM(LEFT(MID($A1657,FIND("/",$A1657)+1,20),FIND("/",MID($A1657,FIND("/",$A1657)+1,20))-1))),"")))</f>
        <v/>
      </c>
      <c r="D1657">
        <f>IF(OR($A1657="",$B1657=""),"",IF(ISNUMBER($A1657),MOD($A1657,100),IFERROR(VALUE(TRIM(MID(MID($A1657,FIND("/",$A1657)+1,20),FIND("/",MID($A1657,FIND("/",$A1657)+1,20))+1,20))),"")))</f>
        <v/>
      </c>
      <c r="E1657">
        <f>IF($A1657="","",IF(OR($B1657="",$C1657="",$D1657="",$B1657&lt;1300,$B1657&gt;1500,$C1657&lt;1,$C1657&gt;12,$D1657&lt;1,$D1657&gt;31),"نامعتبر",RIGHT("0000"&amp;$B1657,4)&amp;"/"&amp;RIGHT("00"&amp;$C1657,2)&amp;"/"&amp;RIGHT("00"&amp;$D1657,2)))</f>
        <v/>
      </c>
      <c r="F1657">
        <f>IF(OR($E1657="",$E1657="نامعتبر"),"",LEFT($E1657,4)&amp;"/"&amp;MID($E1657,6,2))</f>
        <v/>
      </c>
      <c r="G1657">
        <f>IF(OR($E1657="",$E1657="نامعتبر",Sync!$Y1654=""),"",Sync!$Y1654)</f>
        <v/>
      </c>
      <c r="H1657">
        <f>IF($G1657="","",IF(Sync!$X1654="","",Sync!$X1654))</f>
        <v/>
      </c>
      <c r="I1657">
        <f>IF($G1657="","",IFERROR(VLOOKUP(Sync!$X1654,OpTbl,3,0),""))</f>
        <v/>
      </c>
      <c r="J1657">
        <f>IF(OR($G1657="",Sync!$Z1654=""),"",Sync!$Z1654)</f>
        <v/>
      </c>
      <c r="K1657">
        <f>IF(OR($G1657="",Sync!$AA1654=""),"",Sync!$AA1654)</f>
        <v/>
      </c>
      <c r="L1657">
        <f>IF($G1657="",0,IF(Sync!$AB1654="",0,Sync!$AB1654))</f>
        <v/>
      </c>
      <c r="M1657">
        <f>IF($G1657="",0,IF(Sync!$AC1654="",0,Sync!$AC1654))</f>
        <v/>
      </c>
      <c r="N1657">
        <f>IF($G1657="","",IF($H1657="مرجوعی خرید",-1,1)*($L1657-$M1657*IFERROR(VLOOKUP("P01",ParamTbl,3,0),1.5))*(1-IF($I1657="خرید",IFERROR(VLOOKUP("P02",ParamTbl,3,0),1),0)/100))</f>
        <v/>
      </c>
      <c r="O1657">
        <f>IF($G1657="",0,IF($H1657="مرجوعی خرید",-1,1)*IF(Sync!$AD1654="",0,Sync!$AD1654))</f>
        <v/>
      </c>
      <c r="P1657">
        <f>IF(OR($G1657="",Sync!$W1654=""),"",Sync!$W1654)</f>
        <v/>
      </c>
      <c r="Q1657">
        <f>IF(OR($G1657="",Sync!$AE1654=""),"",Sync!$AE1654)</f>
        <v/>
      </c>
      <c r="R1657">
        <f>IF($G1657="","",IF(Sync!$V1654="","0000",IF(AND(ISNUMBER(Sync!$V1654),Sync!$V1654&gt;=0,Sync!$V1654&lt;1),RIGHT("00"&amp;HOUR(Sync!$V1654),2)&amp;RIGHT("00"&amp;MINUTE(Sync!$V1654),2),IFERROR(RIGHT("00"&amp;VALUE(LEFT(Sync!$V1654,FIND(":",Sync!$V1654)-1)),2)&amp;RIGHT("00"&amp;VALUE(MID(Sync!$V1654,FIND(":",Sync!$V1654)+1,2)),2),"0000"))))</f>
        <v/>
      </c>
    </row>
    <row r="1658">
      <c r="A1658">
        <f>IF(Sync!$U1655="","",Sync!$U1655)</f>
        <v/>
      </c>
      <c r="B1658">
        <f>IF($A1658="","",IF(ISNUMBER($A1658),IF(AND($A1658&gt;=10000101,$A1658&lt;=99991231),INT($A1658/10000),""),IFERROR(VALUE(TRIM(LEFT($A1658,FIND("/",$A1658)-1))),"")))</f>
        <v/>
      </c>
      <c r="C1658">
        <f>IF(OR($A1658="",$B1658=""),"",IF(ISNUMBER($A1658),INT(MOD($A1658,10000)/100),IFERROR(VALUE(TRIM(LEFT(MID($A1658,FIND("/",$A1658)+1,20),FIND("/",MID($A1658,FIND("/",$A1658)+1,20))-1))),"")))</f>
        <v/>
      </c>
      <c r="D1658">
        <f>IF(OR($A1658="",$B1658=""),"",IF(ISNUMBER($A1658),MOD($A1658,100),IFERROR(VALUE(TRIM(MID(MID($A1658,FIND("/",$A1658)+1,20),FIND("/",MID($A1658,FIND("/",$A1658)+1,20))+1,20))),"")))</f>
        <v/>
      </c>
      <c r="E1658">
        <f>IF($A1658="","",IF(OR($B1658="",$C1658="",$D1658="",$B1658&lt;1300,$B1658&gt;1500,$C1658&lt;1,$C1658&gt;12,$D1658&lt;1,$D1658&gt;31),"نامعتبر",RIGHT("0000"&amp;$B1658,4)&amp;"/"&amp;RIGHT("00"&amp;$C1658,2)&amp;"/"&amp;RIGHT("00"&amp;$D1658,2)))</f>
        <v/>
      </c>
      <c r="F1658">
        <f>IF(OR($E1658="",$E1658="نامعتبر"),"",LEFT($E1658,4)&amp;"/"&amp;MID($E1658,6,2))</f>
        <v/>
      </c>
      <c r="G1658">
        <f>IF(OR($E1658="",$E1658="نامعتبر",Sync!$Y1655=""),"",Sync!$Y1655)</f>
        <v/>
      </c>
      <c r="H1658">
        <f>IF($G1658="","",IF(Sync!$X1655="","",Sync!$X1655))</f>
        <v/>
      </c>
      <c r="I1658">
        <f>IF($G1658="","",IFERROR(VLOOKUP(Sync!$X1655,OpTbl,3,0),""))</f>
        <v/>
      </c>
      <c r="J1658">
        <f>IF(OR($G1658="",Sync!$Z1655=""),"",Sync!$Z1655)</f>
        <v/>
      </c>
      <c r="K1658">
        <f>IF(OR($G1658="",Sync!$AA1655=""),"",Sync!$AA1655)</f>
        <v/>
      </c>
      <c r="L1658">
        <f>IF($G1658="",0,IF(Sync!$AB1655="",0,Sync!$AB1655))</f>
        <v/>
      </c>
      <c r="M1658">
        <f>IF($G1658="",0,IF(Sync!$AC1655="",0,Sync!$AC1655))</f>
        <v/>
      </c>
      <c r="N1658">
        <f>IF($G1658="","",IF($H1658="مرجوعی خرید",-1,1)*($L1658-$M1658*IFERROR(VLOOKUP("P01",ParamTbl,3,0),1.5))*(1-IF($I1658="خرید",IFERROR(VLOOKUP("P02",ParamTbl,3,0),1),0)/100))</f>
        <v/>
      </c>
      <c r="O1658">
        <f>IF($G1658="",0,IF($H1658="مرجوعی خرید",-1,1)*IF(Sync!$AD1655="",0,Sync!$AD1655))</f>
        <v/>
      </c>
      <c r="P1658">
        <f>IF(OR($G1658="",Sync!$W1655=""),"",Sync!$W1655)</f>
        <v/>
      </c>
      <c r="Q1658">
        <f>IF(OR($G1658="",Sync!$AE1655=""),"",Sync!$AE1655)</f>
        <v/>
      </c>
      <c r="R1658">
        <f>IF($G1658="","",IF(Sync!$V1655="","0000",IF(AND(ISNUMBER(Sync!$V1655),Sync!$V1655&gt;=0,Sync!$V1655&lt;1),RIGHT("00"&amp;HOUR(Sync!$V1655),2)&amp;RIGHT("00"&amp;MINUTE(Sync!$V1655),2),IFERROR(RIGHT("00"&amp;VALUE(LEFT(Sync!$V1655,FIND(":",Sync!$V1655)-1)),2)&amp;RIGHT("00"&amp;VALUE(MID(Sync!$V1655,FIND(":",Sync!$V1655)+1,2)),2),"0000"))))</f>
        <v/>
      </c>
    </row>
    <row r="1659">
      <c r="A1659">
        <f>IF(Sync!$U1656="","",Sync!$U1656)</f>
        <v/>
      </c>
      <c r="B1659">
        <f>IF($A1659="","",IF(ISNUMBER($A1659),IF(AND($A1659&gt;=10000101,$A1659&lt;=99991231),INT($A1659/10000),""),IFERROR(VALUE(TRIM(LEFT($A1659,FIND("/",$A1659)-1))),"")))</f>
        <v/>
      </c>
      <c r="C1659">
        <f>IF(OR($A1659="",$B1659=""),"",IF(ISNUMBER($A1659),INT(MOD($A1659,10000)/100),IFERROR(VALUE(TRIM(LEFT(MID($A1659,FIND("/",$A1659)+1,20),FIND("/",MID($A1659,FIND("/",$A1659)+1,20))-1))),"")))</f>
        <v/>
      </c>
      <c r="D1659">
        <f>IF(OR($A1659="",$B1659=""),"",IF(ISNUMBER($A1659),MOD($A1659,100),IFERROR(VALUE(TRIM(MID(MID($A1659,FIND("/",$A1659)+1,20),FIND("/",MID($A1659,FIND("/",$A1659)+1,20))+1,20))),"")))</f>
        <v/>
      </c>
      <c r="E1659">
        <f>IF($A1659="","",IF(OR($B1659="",$C1659="",$D1659="",$B1659&lt;1300,$B1659&gt;1500,$C1659&lt;1,$C1659&gt;12,$D1659&lt;1,$D1659&gt;31),"نامعتبر",RIGHT("0000"&amp;$B1659,4)&amp;"/"&amp;RIGHT("00"&amp;$C1659,2)&amp;"/"&amp;RIGHT("00"&amp;$D1659,2)))</f>
        <v/>
      </c>
      <c r="F1659">
        <f>IF(OR($E1659="",$E1659="نامعتبر"),"",LEFT($E1659,4)&amp;"/"&amp;MID($E1659,6,2))</f>
        <v/>
      </c>
      <c r="G1659">
        <f>IF(OR($E1659="",$E1659="نامعتبر",Sync!$Y1656=""),"",Sync!$Y1656)</f>
        <v/>
      </c>
      <c r="H1659">
        <f>IF($G1659="","",IF(Sync!$X1656="","",Sync!$X1656))</f>
        <v/>
      </c>
      <c r="I1659">
        <f>IF($G1659="","",IFERROR(VLOOKUP(Sync!$X1656,OpTbl,3,0),""))</f>
        <v/>
      </c>
      <c r="J1659">
        <f>IF(OR($G1659="",Sync!$Z1656=""),"",Sync!$Z1656)</f>
        <v/>
      </c>
      <c r="K1659">
        <f>IF(OR($G1659="",Sync!$AA1656=""),"",Sync!$AA1656)</f>
        <v/>
      </c>
      <c r="L1659">
        <f>IF($G1659="",0,IF(Sync!$AB1656="",0,Sync!$AB1656))</f>
        <v/>
      </c>
      <c r="M1659">
        <f>IF($G1659="",0,IF(Sync!$AC1656="",0,Sync!$AC1656))</f>
        <v/>
      </c>
      <c r="N1659">
        <f>IF($G1659="","",IF($H1659="مرجوعی خرید",-1,1)*($L1659-$M1659*IFERROR(VLOOKUP("P01",ParamTbl,3,0),1.5))*(1-IF($I1659="خرید",IFERROR(VLOOKUP("P02",ParamTbl,3,0),1),0)/100))</f>
        <v/>
      </c>
      <c r="O1659">
        <f>IF($G1659="",0,IF($H1659="مرجوعی خرید",-1,1)*IF(Sync!$AD1656="",0,Sync!$AD1656))</f>
        <v/>
      </c>
      <c r="P1659">
        <f>IF(OR($G1659="",Sync!$W1656=""),"",Sync!$W1656)</f>
        <v/>
      </c>
      <c r="Q1659">
        <f>IF(OR($G1659="",Sync!$AE1656=""),"",Sync!$AE1656)</f>
        <v/>
      </c>
      <c r="R1659">
        <f>IF($G1659="","",IF(Sync!$V1656="","0000",IF(AND(ISNUMBER(Sync!$V1656),Sync!$V1656&gt;=0,Sync!$V1656&lt;1),RIGHT("00"&amp;HOUR(Sync!$V1656),2)&amp;RIGHT("00"&amp;MINUTE(Sync!$V1656),2),IFERROR(RIGHT("00"&amp;VALUE(LEFT(Sync!$V1656,FIND(":",Sync!$V1656)-1)),2)&amp;RIGHT("00"&amp;VALUE(MID(Sync!$V1656,FIND(":",Sync!$V1656)+1,2)),2),"0000"))))</f>
        <v/>
      </c>
    </row>
    <row r="1660">
      <c r="A1660">
        <f>IF(Sync!$U1657="","",Sync!$U1657)</f>
        <v/>
      </c>
      <c r="B1660">
        <f>IF($A1660="","",IF(ISNUMBER($A1660),IF(AND($A1660&gt;=10000101,$A1660&lt;=99991231),INT($A1660/10000),""),IFERROR(VALUE(TRIM(LEFT($A1660,FIND("/",$A1660)-1))),"")))</f>
        <v/>
      </c>
      <c r="C1660">
        <f>IF(OR($A1660="",$B1660=""),"",IF(ISNUMBER($A1660),INT(MOD($A1660,10000)/100),IFERROR(VALUE(TRIM(LEFT(MID($A1660,FIND("/",$A1660)+1,20),FIND("/",MID($A1660,FIND("/",$A1660)+1,20))-1))),"")))</f>
        <v/>
      </c>
      <c r="D1660">
        <f>IF(OR($A1660="",$B1660=""),"",IF(ISNUMBER($A1660),MOD($A1660,100),IFERROR(VALUE(TRIM(MID(MID($A1660,FIND("/",$A1660)+1,20),FIND("/",MID($A1660,FIND("/",$A1660)+1,20))+1,20))),"")))</f>
        <v/>
      </c>
      <c r="E1660">
        <f>IF($A1660="","",IF(OR($B1660="",$C1660="",$D1660="",$B1660&lt;1300,$B1660&gt;1500,$C1660&lt;1,$C1660&gt;12,$D1660&lt;1,$D1660&gt;31),"نامعتبر",RIGHT("0000"&amp;$B1660,4)&amp;"/"&amp;RIGHT("00"&amp;$C1660,2)&amp;"/"&amp;RIGHT("00"&amp;$D1660,2)))</f>
        <v/>
      </c>
      <c r="F1660">
        <f>IF(OR($E1660="",$E1660="نامعتبر"),"",LEFT($E1660,4)&amp;"/"&amp;MID($E1660,6,2))</f>
        <v/>
      </c>
      <c r="G1660">
        <f>IF(OR($E1660="",$E1660="نامعتبر",Sync!$Y1657=""),"",Sync!$Y1657)</f>
        <v/>
      </c>
      <c r="H1660">
        <f>IF($G1660="","",IF(Sync!$X1657="","",Sync!$X1657))</f>
        <v/>
      </c>
      <c r="I1660">
        <f>IF($G1660="","",IFERROR(VLOOKUP(Sync!$X1657,OpTbl,3,0),""))</f>
        <v/>
      </c>
      <c r="J1660">
        <f>IF(OR($G1660="",Sync!$Z1657=""),"",Sync!$Z1657)</f>
        <v/>
      </c>
      <c r="K1660">
        <f>IF(OR($G1660="",Sync!$AA1657=""),"",Sync!$AA1657)</f>
        <v/>
      </c>
      <c r="L1660">
        <f>IF($G1660="",0,IF(Sync!$AB1657="",0,Sync!$AB1657))</f>
        <v/>
      </c>
      <c r="M1660">
        <f>IF($G1660="",0,IF(Sync!$AC1657="",0,Sync!$AC1657))</f>
        <v/>
      </c>
      <c r="N1660">
        <f>IF($G1660="","",IF($H1660="مرجوعی خرید",-1,1)*($L1660-$M1660*IFERROR(VLOOKUP("P01",ParamTbl,3,0),1.5))*(1-IF($I1660="خرید",IFERROR(VLOOKUP("P02",ParamTbl,3,0),1),0)/100))</f>
        <v/>
      </c>
      <c r="O1660">
        <f>IF($G1660="",0,IF($H1660="مرجوعی خرید",-1,1)*IF(Sync!$AD1657="",0,Sync!$AD1657))</f>
        <v/>
      </c>
      <c r="P1660">
        <f>IF(OR($G1660="",Sync!$W1657=""),"",Sync!$W1657)</f>
        <v/>
      </c>
      <c r="Q1660">
        <f>IF(OR($G1660="",Sync!$AE1657=""),"",Sync!$AE1657)</f>
        <v/>
      </c>
      <c r="R1660">
        <f>IF($G1660="","",IF(Sync!$V1657="","0000",IF(AND(ISNUMBER(Sync!$V1657),Sync!$V1657&gt;=0,Sync!$V1657&lt;1),RIGHT("00"&amp;HOUR(Sync!$V1657),2)&amp;RIGHT("00"&amp;MINUTE(Sync!$V1657),2),IFERROR(RIGHT("00"&amp;VALUE(LEFT(Sync!$V1657,FIND(":",Sync!$V1657)-1)),2)&amp;RIGHT("00"&amp;VALUE(MID(Sync!$V1657,FIND(":",Sync!$V1657)+1,2)),2),"0000"))))</f>
        <v/>
      </c>
    </row>
    <row r="1661">
      <c r="A1661">
        <f>IF(Sync!$U1658="","",Sync!$U1658)</f>
        <v/>
      </c>
      <c r="B1661">
        <f>IF($A1661="","",IF(ISNUMBER($A1661),IF(AND($A1661&gt;=10000101,$A1661&lt;=99991231),INT($A1661/10000),""),IFERROR(VALUE(TRIM(LEFT($A1661,FIND("/",$A1661)-1))),"")))</f>
        <v/>
      </c>
      <c r="C1661">
        <f>IF(OR($A1661="",$B1661=""),"",IF(ISNUMBER($A1661),INT(MOD($A1661,10000)/100),IFERROR(VALUE(TRIM(LEFT(MID($A1661,FIND("/",$A1661)+1,20),FIND("/",MID($A1661,FIND("/",$A1661)+1,20))-1))),"")))</f>
        <v/>
      </c>
      <c r="D1661">
        <f>IF(OR($A1661="",$B1661=""),"",IF(ISNUMBER($A1661),MOD($A1661,100),IFERROR(VALUE(TRIM(MID(MID($A1661,FIND("/",$A1661)+1,20),FIND("/",MID($A1661,FIND("/",$A1661)+1,20))+1,20))),"")))</f>
        <v/>
      </c>
      <c r="E1661">
        <f>IF($A1661="","",IF(OR($B1661="",$C1661="",$D1661="",$B1661&lt;1300,$B1661&gt;1500,$C1661&lt;1,$C1661&gt;12,$D1661&lt;1,$D1661&gt;31),"نامعتبر",RIGHT("0000"&amp;$B1661,4)&amp;"/"&amp;RIGHT("00"&amp;$C1661,2)&amp;"/"&amp;RIGHT("00"&amp;$D1661,2)))</f>
        <v/>
      </c>
      <c r="F1661">
        <f>IF(OR($E1661="",$E1661="نامعتبر"),"",LEFT($E1661,4)&amp;"/"&amp;MID($E1661,6,2))</f>
        <v/>
      </c>
      <c r="G1661">
        <f>IF(OR($E1661="",$E1661="نامعتبر",Sync!$Y1658=""),"",Sync!$Y1658)</f>
        <v/>
      </c>
      <c r="H1661">
        <f>IF($G1661="","",IF(Sync!$X1658="","",Sync!$X1658))</f>
        <v/>
      </c>
      <c r="I1661">
        <f>IF($G1661="","",IFERROR(VLOOKUP(Sync!$X1658,OpTbl,3,0),""))</f>
        <v/>
      </c>
      <c r="J1661">
        <f>IF(OR($G1661="",Sync!$Z1658=""),"",Sync!$Z1658)</f>
        <v/>
      </c>
      <c r="K1661">
        <f>IF(OR($G1661="",Sync!$AA1658=""),"",Sync!$AA1658)</f>
        <v/>
      </c>
      <c r="L1661">
        <f>IF($G1661="",0,IF(Sync!$AB1658="",0,Sync!$AB1658))</f>
        <v/>
      </c>
      <c r="M1661">
        <f>IF($G1661="",0,IF(Sync!$AC1658="",0,Sync!$AC1658))</f>
        <v/>
      </c>
      <c r="N1661">
        <f>IF($G1661="","",IF($H1661="مرجوعی خرید",-1,1)*($L1661-$M1661*IFERROR(VLOOKUP("P01",ParamTbl,3,0),1.5))*(1-IF($I1661="خرید",IFERROR(VLOOKUP("P02",ParamTbl,3,0),1),0)/100))</f>
        <v/>
      </c>
      <c r="O1661">
        <f>IF($G1661="",0,IF($H1661="مرجوعی خرید",-1,1)*IF(Sync!$AD1658="",0,Sync!$AD1658))</f>
        <v/>
      </c>
      <c r="P1661">
        <f>IF(OR($G1661="",Sync!$W1658=""),"",Sync!$W1658)</f>
        <v/>
      </c>
      <c r="Q1661">
        <f>IF(OR($G1661="",Sync!$AE1658=""),"",Sync!$AE1658)</f>
        <v/>
      </c>
      <c r="R1661">
        <f>IF($G1661="","",IF(Sync!$V1658="","0000",IF(AND(ISNUMBER(Sync!$V1658),Sync!$V1658&gt;=0,Sync!$V1658&lt;1),RIGHT("00"&amp;HOUR(Sync!$V1658),2)&amp;RIGHT("00"&amp;MINUTE(Sync!$V1658),2),IFERROR(RIGHT("00"&amp;VALUE(LEFT(Sync!$V1658,FIND(":",Sync!$V1658)-1)),2)&amp;RIGHT("00"&amp;VALUE(MID(Sync!$V1658,FIND(":",Sync!$V1658)+1,2)),2),"0000"))))</f>
        <v/>
      </c>
    </row>
    <row r="1662">
      <c r="A1662">
        <f>IF(Sync!$U1659="","",Sync!$U1659)</f>
        <v/>
      </c>
      <c r="B1662">
        <f>IF($A1662="","",IF(ISNUMBER($A1662),IF(AND($A1662&gt;=10000101,$A1662&lt;=99991231),INT($A1662/10000),""),IFERROR(VALUE(TRIM(LEFT($A1662,FIND("/",$A1662)-1))),"")))</f>
        <v/>
      </c>
      <c r="C1662">
        <f>IF(OR($A1662="",$B1662=""),"",IF(ISNUMBER($A1662),INT(MOD($A1662,10000)/100),IFERROR(VALUE(TRIM(LEFT(MID($A1662,FIND("/",$A1662)+1,20),FIND("/",MID($A1662,FIND("/",$A1662)+1,20))-1))),"")))</f>
        <v/>
      </c>
      <c r="D1662">
        <f>IF(OR($A1662="",$B1662=""),"",IF(ISNUMBER($A1662),MOD($A1662,100),IFERROR(VALUE(TRIM(MID(MID($A1662,FIND("/",$A1662)+1,20),FIND("/",MID($A1662,FIND("/",$A1662)+1,20))+1,20))),"")))</f>
        <v/>
      </c>
      <c r="E1662">
        <f>IF($A1662="","",IF(OR($B1662="",$C1662="",$D1662="",$B1662&lt;1300,$B1662&gt;1500,$C1662&lt;1,$C1662&gt;12,$D1662&lt;1,$D1662&gt;31),"نامعتبر",RIGHT("0000"&amp;$B1662,4)&amp;"/"&amp;RIGHT("00"&amp;$C1662,2)&amp;"/"&amp;RIGHT("00"&amp;$D1662,2)))</f>
        <v/>
      </c>
      <c r="F1662">
        <f>IF(OR($E1662="",$E1662="نامعتبر"),"",LEFT($E1662,4)&amp;"/"&amp;MID($E1662,6,2))</f>
        <v/>
      </c>
      <c r="G1662">
        <f>IF(OR($E1662="",$E1662="نامعتبر",Sync!$Y1659=""),"",Sync!$Y1659)</f>
        <v/>
      </c>
      <c r="H1662">
        <f>IF($G1662="","",IF(Sync!$X1659="","",Sync!$X1659))</f>
        <v/>
      </c>
      <c r="I1662">
        <f>IF($G1662="","",IFERROR(VLOOKUP(Sync!$X1659,OpTbl,3,0),""))</f>
        <v/>
      </c>
      <c r="J1662">
        <f>IF(OR($G1662="",Sync!$Z1659=""),"",Sync!$Z1659)</f>
        <v/>
      </c>
      <c r="K1662">
        <f>IF(OR($G1662="",Sync!$AA1659=""),"",Sync!$AA1659)</f>
        <v/>
      </c>
      <c r="L1662">
        <f>IF($G1662="",0,IF(Sync!$AB1659="",0,Sync!$AB1659))</f>
        <v/>
      </c>
      <c r="M1662">
        <f>IF($G1662="",0,IF(Sync!$AC1659="",0,Sync!$AC1659))</f>
        <v/>
      </c>
      <c r="N1662">
        <f>IF($G1662="","",IF($H1662="مرجوعی خرید",-1,1)*($L1662-$M1662*IFERROR(VLOOKUP("P01",ParamTbl,3,0),1.5))*(1-IF($I1662="خرید",IFERROR(VLOOKUP("P02",ParamTbl,3,0),1),0)/100))</f>
        <v/>
      </c>
      <c r="O1662">
        <f>IF($G1662="",0,IF($H1662="مرجوعی خرید",-1,1)*IF(Sync!$AD1659="",0,Sync!$AD1659))</f>
        <v/>
      </c>
      <c r="P1662">
        <f>IF(OR($G1662="",Sync!$W1659=""),"",Sync!$W1659)</f>
        <v/>
      </c>
      <c r="Q1662">
        <f>IF(OR($G1662="",Sync!$AE1659=""),"",Sync!$AE1659)</f>
        <v/>
      </c>
      <c r="R1662">
        <f>IF($G1662="","",IF(Sync!$V1659="","0000",IF(AND(ISNUMBER(Sync!$V1659),Sync!$V1659&gt;=0,Sync!$V1659&lt;1),RIGHT("00"&amp;HOUR(Sync!$V1659),2)&amp;RIGHT("00"&amp;MINUTE(Sync!$V1659),2),IFERROR(RIGHT("00"&amp;VALUE(LEFT(Sync!$V1659,FIND(":",Sync!$V1659)-1)),2)&amp;RIGHT("00"&amp;VALUE(MID(Sync!$V1659,FIND(":",Sync!$V1659)+1,2)),2),"0000"))))</f>
        <v/>
      </c>
    </row>
    <row r="1663">
      <c r="A1663">
        <f>IF(Sync!$U1660="","",Sync!$U1660)</f>
        <v/>
      </c>
      <c r="B1663">
        <f>IF($A1663="","",IF(ISNUMBER($A1663),IF(AND($A1663&gt;=10000101,$A1663&lt;=99991231),INT($A1663/10000),""),IFERROR(VALUE(TRIM(LEFT($A1663,FIND("/",$A1663)-1))),"")))</f>
        <v/>
      </c>
      <c r="C1663">
        <f>IF(OR($A1663="",$B1663=""),"",IF(ISNUMBER($A1663),INT(MOD($A1663,10000)/100),IFERROR(VALUE(TRIM(LEFT(MID($A1663,FIND("/",$A1663)+1,20),FIND("/",MID($A1663,FIND("/",$A1663)+1,20))-1))),"")))</f>
        <v/>
      </c>
      <c r="D1663">
        <f>IF(OR($A1663="",$B1663=""),"",IF(ISNUMBER($A1663),MOD($A1663,100),IFERROR(VALUE(TRIM(MID(MID($A1663,FIND("/",$A1663)+1,20),FIND("/",MID($A1663,FIND("/",$A1663)+1,20))+1,20))),"")))</f>
        <v/>
      </c>
      <c r="E1663">
        <f>IF($A1663="","",IF(OR($B1663="",$C1663="",$D1663="",$B1663&lt;1300,$B1663&gt;1500,$C1663&lt;1,$C1663&gt;12,$D1663&lt;1,$D1663&gt;31),"نامعتبر",RIGHT("0000"&amp;$B1663,4)&amp;"/"&amp;RIGHT("00"&amp;$C1663,2)&amp;"/"&amp;RIGHT("00"&amp;$D1663,2)))</f>
        <v/>
      </c>
      <c r="F1663">
        <f>IF(OR($E1663="",$E1663="نامعتبر"),"",LEFT($E1663,4)&amp;"/"&amp;MID($E1663,6,2))</f>
        <v/>
      </c>
      <c r="G1663">
        <f>IF(OR($E1663="",$E1663="نامعتبر",Sync!$Y1660=""),"",Sync!$Y1660)</f>
        <v/>
      </c>
      <c r="H1663">
        <f>IF($G1663="","",IF(Sync!$X1660="","",Sync!$X1660))</f>
        <v/>
      </c>
      <c r="I1663">
        <f>IF($G1663="","",IFERROR(VLOOKUP(Sync!$X1660,OpTbl,3,0),""))</f>
        <v/>
      </c>
      <c r="J1663">
        <f>IF(OR($G1663="",Sync!$Z1660=""),"",Sync!$Z1660)</f>
        <v/>
      </c>
      <c r="K1663">
        <f>IF(OR($G1663="",Sync!$AA1660=""),"",Sync!$AA1660)</f>
        <v/>
      </c>
      <c r="L1663">
        <f>IF($G1663="",0,IF(Sync!$AB1660="",0,Sync!$AB1660))</f>
        <v/>
      </c>
      <c r="M1663">
        <f>IF($G1663="",0,IF(Sync!$AC1660="",0,Sync!$AC1660))</f>
        <v/>
      </c>
      <c r="N1663">
        <f>IF($G1663="","",IF($H1663="مرجوعی خرید",-1,1)*($L1663-$M1663*IFERROR(VLOOKUP("P01",ParamTbl,3,0),1.5))*(1-IF($I1663="خرید",IFERROR(VLOOKUP("P02",ParamTbl,3,0),1),0)/100))</f>
        <v/>
      </c>
      <c r="O1663">
        <f>IF($G1663="",0,IF($H1663="مرجوعی خرید",-1,1)*IF(Sync!$AD1660="",0,Sync!$AD1660))</f>
        <v/>
      </c>
      <c r="P1663">
        <f>IF(OR($G1663="",Sync!$W1660=""),"",Sync!$W1660)</f>
        <v/>
      </c>
      <c r="Q1663">
        <f>IF(OR($G1663="",Sync!$AE1660=""),"",Sync!$AE1660)</f>
        <v/>
      </c>
      <c r="R1663">
        <f>IF($G1663="","",IF(Sync!$V1660="","0000",IF(AND(ISNUMBER(Sync!$V1660),Sync!$V1660&gt;=0,Sync!$V1660&lt;1),RIGHT("00"&amp;HOUR(Sync!$V1660),2)&amp;RIGHT("00"&amp;MINUTE(Sync!$V1660),2),IFERROR(RIGHT("00"&amp;VALUE(LEFT(Sync!$V1660,FIND(":",Sync!$V1660)-1)),2)&amp;RIGHT("00"&amp;VALUE(MID(Sync!$V1660,FIND(":",Sync!$V1660)+1,2)),2),"0000"))))</f>
        <v/>
      </c>
    </row>
    <row r="1664">
      <c r="A1664">
        <f>IF(Sync!$U1661="","",Sync!$U1661)</f>
        <v/>
      </c>
      <c r="B1664">
        <f>IF($A1664="","",IF(ISNUMBER($A1664),IF(AND($A1664&gt;=10000101,$A1664&lt;=99991231),INT($A1664/10000),""),IFERROR(VALUE(TRIM(LEFT($A1664,FIND("/",$A1664)-1))),"")))</f>
        <v/>
      </c>
      <c r="C1664">
        <f>IF(OR($A1664="",$B1664=""),"",IF(ISNUMBER($A1664),INT(MOD($A1664,10000)/100),IFERROR(VALUE(TRIM(LEFT(MID($A1664,FIND("/",$A1664)+1,20),FIND("/",MID($A1664,FIND("/",$A1664)+1,20))-1))),"")))</f>
        <v/>
      </c>
      <c r="D1664">
        <f>IF(OR($A1664="",$B1664=""),"",IF(ISNUMBER($A1664),MOD($A1664,100),IFERROR(VALUE(TRIM(MID(MID($A1664,FIND("/",$A1664)+1,20),FIND("/",MID($A1664,FIND("/",$A1664)+1,20))+1,20))),"")))</f>
        <v/>
      </c>
      <c r="E1664">
        <f>IF($A1664="","",IF(OR($B1664="",$C1664="",$D1664="",$B1664&lt;1300,$B1664&gt;1500,$C1664&lt;1,$C1664&gt;12,$D1664&lt;1,$D1664&gt;31),"نامعتبر",RIGHT("0000"&amp;$B1664,4)&amp;"/"&amp;RIGHT("00"&amp;$C1664,2)&amp;"/"&amp;RIGHT("00"&amp;$D1664,2)))</f>
        <v/>
      </c>
      <c r="F1664">
        <f>IF(OR($E1664="",$E1664="نامعتبر"),"",LEFT($E1664,4)&amp;"/"&amp;MID($E1664,6,2))</f>
        <v/>
      </c>
      <c r="G1664">
        <f>IF(OR($E1664="",$E1664="نامعتبر",Sync!$Y1661=""),"",Sync!$Y1661)</f>
        <v/>
      </c>
      <c r="H1664">
        <f>IF($G1664="","",IF(Sync!$X1661="","",Sync!$X1661))</f>
        <v/>
      </c>
      <c r="I1664">
        <f>IF($G1664="","",IFERROR(VLOOKUP(Sync!$X1661,OpTbl,3,0),""))</f>
        <v/>
      </c>
      <c r="J1664">
        <f>IF(OR($G1664="",Sync!$Z1661=""),"",Sync!$Z1661)</f>
        <v/>
      </c>
      <c r="K1664">
        <f>IF(OR($G1664="",Sync!$AA1661=""),"",Sync!$AA1661)</f>
        <v/>
      </c>
      <c r="L1664">
        <f>IF($G1664="",0,IF(Sync!$AB1661="",0,Sync!$AB1661))</f>
        <v/>
      </c>
      <c r="M1664">
        <f>IF($G1664="",0,IF(Sync!$AC1661="",0,Sync!$AC1661))</f>
        <v/>
      </c>
      <c r="N1664">
        <f>IF($G1664="","",IF($H1664="مرجوعی خرید",-1,1)*($L1664-$M1664*IFERROR(VLOOKUP("P01",ParamTbl,3,0),1.5))*(1-IF($I1664="خرید",IFERROR(VLOOKUP("P02",ParamTbl,3,0),1),0)/100))</f>
        <v/>
      </c>
      <c r="O1664">
        <f>IF($G1664="",0,IF($H1664="مرجوعی خرید",-1,1)*IF(Sync!$AD1661="",0,Sync!$AD1661))</f>
        <v/>
      </c>
      <c r="P1664">
        <f>IF(OR($G1664="",Sync!$W1661=""),"",Sync!$W1661)</f>
        <v/>
      </c>
      <c r="Q1664">
        <f>IF(OR($G1664="",Sync!$AE1661=""),"",Sync!$AE1661)</f>
        <v/>
      </c>
      <c r="R1664">
        <f>IF($G1664="","",IF(Sync!$V1661="","0000",IF(AND(ISNUMBER(Sync!$V1661),Sync!$V1661&gt;=0,Sync!$V1661&lt;1),RIGHT("00"&amp;HOUR(Sync!$V1661),2)&amp;RIGHT("00"&amp;MINUTE(Sync!$V1661),2),IFERROR(RIGHT("00"&amp;VALUE(LEFT(Sync!$V1661,FIND(":",Sync!$V1661)-1)),2)&amp;RIGHT("00"&amp;VALUE(MID(Sync!$V1661,FIND(":",Sync!$V1661)+1,2)),2),"0000"))))</f>
        <v/>
      </c>
    </row>
    <row r="1665">
      <c r="A1665">
        <f>IF(Sync!$U1662="","",Sync!$U1662)</f>
        <v/>
      </c>
      <c r="B1665">
        <f>IF($A1665="","",IF(ISNUMBER($A1665),IF(AND($A1665&gt;=10000101,$A1665&lt;=99991231),INT($A1665/10000),""),IFERROR(VALUE(TRIM(LEFT($A1665,FIND("/",$A1665)-1))),"")))</f>
        <v/>
      </c>
      <c r="C1665">
        <f>IF(OR($A1665="",$B1665=""),"",IF(ISNUMBER($A1665),INT(MOD($A1665,10000)/100),IFERROR(VALUE(TRIM(LEFT(MID($A1665,FIND("/",$A1665)+1,20),FIND("/",MID($A1665,FIND("/",$A1665)+1,20))-1))),"")))</f>
        <v/>
      </c>
      <c r="D1665">
        <f>IF(OR($A1665="",$B1665=""),"",IF(ISNUMBER($A1665),MOD($A1665,100),IFERROR(VALUE(TRIM(MID(MID($A1665,FIND("/",$A1665)+1,20),FIND("/",MID($A1665,FIND("/",$A1665)+1,20))+1,20))),"")))</f>
        <v/>
      </c>
      <c r="E1665">
        <f>IF($A1665="","",IF(OR($B1665="",$C1665="",$D1665="",$B1665&lt;1300,$B1665&gt;1500,$C1665&lt;1,$C1665&gt;12,$D1665&lt;1,$D1665&gt;31),"نامعتبر",RIGHT("0000"&amp;$B1665,4)&amp;"/"&amp;RIGHT("00"&amp;$C1665,2)&amp;"/"&amp;RIGHT("00"&amp;$D1665,2)))</f>
        <v/>
      </c>
      <c r="F1665">
        <f>IF(OR($E1665="",$E1665="نامعتبر"),"",LEFT($E1665,4)&amp;"/"&amp;MID($E1665,6,2))</f>
        <v/>
      </c>
      <c r="G1665">
        <f>IF(OR($E1665="",$E1665="نامعتبر",Sync!$Y1662=""),"",Sync!$Y1662)</f>
        <v/>
      </c>
      <c r="H1665">
        <f>IF($G1665="","",IF(Sync!$X1662="","",Sync!$X1662))</f>
        <v/>
      </c>
      <c r="I1665">
        <f>IF($G1665="","",IFERROR(VLOOKUP(Sync!$X1662,OpTbl,3,0),""))</f>
        <v/>
      </c>
      <c r="J1665">
        <f>IF(OR($G1665="",Sync!$Z1662=""),"",Sync!$Z1662)</f>
        <v/>
      </c>
      <c r="K1665">
        <f>IF(OR($G1665="",Sync!$AA1662=""),"",Sync!$AA1662)</f>
        <v/>
      </c>
      <c r="L1665">
        <f>IF($G1665="",0,IF(Sync!$AB1662="",0,Sync!$AB1662))</f>
        <v/>
      </c>
      <c r="M1665">
        <f>IF($G1665="",0,IF(Sync!$AC1662="",0,Sync!$AC1662))</f>
        <v/>
      </c>
      <c r="N1665">
        <f>IF($G1665="","",IF($H1665="مرجوعی خرید",-1,1)*($L1665-$M1665*IFERROR(VLOOKUP("P01",ParamTbl,3,0),1.5))*(1-IF($I1665="خرید",IFERROR(VLOOKUP("P02",ParamTbl,3,0),1),0)/100))</f>
        <v/>
      </c>
      <c r="O1665">
        <f>IF($G1665="",0,IF($H1665="مرجوعی خرید",-1,1)*IF(Sync!$AD1662="",0,Sync!$AD1662))</f>
        <v/>
      </c>
      <c r="P1665">
        <f>IF(OR($G1665="",Sync!$W1662=""),"",Sync!$W1662)</f>
        <v/>
      </c>
      <c r="Q1665">
        <f>IF(OR($G1665="",Sync!$AE1662=""),"",Sync!$AE1662)</f>
        <v/>
      </c>
      <c r="R1665">
        <f>IF($G1665="","",IF(Sync!$V1662="","0000",IF(AND(ISNUMBER(Sync!$V1662),Sync!$V1662&gt;=0,Sync!$V1662&lt;1),RIGHT("00"&amp;HOUR(Sync!$V1662),2)&amp;RIGHT("00"&amp;MINUTE(Sync!$V1662),2),IFERROR(RIGHT("00"&amp;VALUE(LEFT(Sync!$V1662,FIND(":",Sync!$V1662)-1)),2)&amp;RIGHT("00"&amp;VALUE(MID(Sync!$V1662,FIND(":",Sync!$V1662)+1,2)),2),"0000"))))</f>
        <v/>
      </c>
    </row>
    <row r="1666">
      <c r="A1666">
        <f>IF(Sync!$U1663="","",Sync!$U1663)</f>
        <v/>
      </c>
      <c r="B1666">
        <f>IF($A1666="","",IF(ISNUMBER($A1666),IF(AND($A1666&gt;=10000101,$A1666&lt;=99991231),INT($A1666/10000),""),IFERROR(VALUE(TRIM(LEFT($A1666,FIND("/",$A1666)-1))),"")))</f>
        <v/>
      </c>
      <c r="C1666">
        <f>IF(OR($A1666="",$B1666=""),"",IF(ISNUMBER($A1666),INT(MOD($A1666,10000)/100),IFERROR(VALUE(TRIM(LEFT(MID($A1666,FIND("/",$A1666)+1,20),FIND("/",MID($A1666,FIND("/",$A1666)+1,20))-1))),"")))</f>
        <v/>
      </c>
      <c r="D1666">
        <f>IF(OR($A1666="",$B1666=""),"",IF(ISNUMBER($A1666),MOD($A1666,100),IFERROR(VALUE(TRIM(MID(MID($A1666,FIND("/",$A1666)+1,20),FIND("/",MID($A1666,FIND("/",$A1666)+1,20))+1,20))),"")))</f>
        <v/>
      </c>
      <c r="E1666">
        <f>IF($A1666="","",IF(OR($B1666="",$C1666="",$D1666="",$B1666&lt;1300,$B1666&gt;1500,$C1666&lt;1,$C1666&gt;12,$D1666&lt;1,$D1666&gt;31),"نامعتبر",RIGHT("0000"&amp;$B1666,4)&amp;"/"&amp;RIGHT("00"&amp;$C1666,2)&amp;"/"&amp;RIGHT("00"&amp;$D1666,2)))</f>
        <v/>
      </c>
      <c r="F1666">
        <f>IF(OR($E1666="",$E1666="نامعتبر"),"",LEFT($E1666,4)&amp;"/"&amp;MID($E1666,6,2))</f>
        <v/>
      </c>
      <c r="G1666">
        <f>IF(OR($E1666="",$E1666="نامعتبر",Sync!$Y1663=""),"",Sync!$Y1663)</f>
        <v/>
      </c>
      <c r="H1666">
        <f>IF($G1666="","",IF(Sync!$X1663="","",Sync!$X1663))</f>
        <v/>
      </c>
      <c r="I1666">
        <f>IF($G1666="","",IFERROR(VLOOKUP(Sync!$X1663,OpTbl,3,0),""))</f>
        <v/>
      </c>
      <c r="J1666">
        <f>IF(OR($G1666="",Sync!$Z1663=""),"",Sync!$Z1663)</f>
        <v/>
      </c>
      <c r="K1666">
        <f>IF(OR($G1666="",Sync!$AA1663=""),"",Sync!$AA1663)</f>
        <v/>
      </c>
      <c r="L1666">
        <f>IF($G1666="",0,IF(Sync!$AB1663="",0,Sync!$AB1663))</f>
        <v/>
      </c>
      <c r="M1666">
        <f>IF($G1666="",0,IF(Sync!$AC1663="",0,Sync!$AC1663))</f>
        <v/>
      </c>
      <c r="N1666">
        <f>IF($G1666="","",IF($H1666="مرجوعی خرید",-1,1)*($L1666-$M1666*IFERROR(VLOOKUP("P01",ParamTbl,3,0),1.5))*(1-IF($I1666="خرید",IFERROR(VLOOKUP("P02",ParamTbl,3,0),1),0)/100))</f>
        <v/>
      </c>
      <c r="O1666">
        <f>IF($G1666="",0,IF($H1666="مرجوعی خرید",-1,1)*IF(Sync!$AD1663="",0,Sync!$AD1663))</f>
        <v/>
      </c>
      <c r="P1666">
        <f>IF(OR($G1666="",Sync!$W1663=""),"",Sync!$W1663)</f>
        <v/>
      </c>
      <c r="Q1666">
        <f>IF(OR($G1666="",Sync!$AE1663=""),"",Sync!$AE1663)</f>
        <v/>
      </c>
      <c r="R1666">
        <f>IF($G1666="","",IF(Sync!$V1663="","0000",IF(AND(ISNUMBER(Sync!$V1663),Sync!$V1663&gt;=0,Sync!$V1663&lt;1),RIGHT("00"&amp;HOUR(Sync!$V1663),2)&amp;RIGHT("00"&amp;MINUTE(Sync!$V1663),2),IFERROR(RIGHT("00"&amp;VALUE(LEFT(Sync!$V1663,FIND(":",Sync!$V1663)-1)),2)&amp;RIGHT("00"&amp;VALUE(MID(Sync!$V1663,FIND(":",Sync!$V1663)+1,2)),2),"0000"))))</f>
        <v/>
      </c>
    </row>
    <row r="1667">
      <c r="A1667">
        <f>IF(Sync!$U1664="","",Sync!$U1664)</f>
        <v/>
      </c>
      <c r="B1667">
        <f>IF($A1667="","",IF(ISNUMBER($A1667),IF(AND($A1667&gt;=10000101,$A1667&lt;=99991231),INT($A1667/10000),""),IFERROR(VALUE(TRIM(LEFT($A1667,FIND("/",$A1667)-1))),"")))</f>
        <v/>
      </c>
      <c r="C1667">
        <f>IF(OR($A1667="",$B1667=""),"",IF(ISNUMBER($A1667),INT(MOD($A1667,10000)/100),IFERROR(VALUE(TRIM(LEFT(MID($A1667,FIND("/",$A1667)+1,20),FIND("/",MID($A1667,FIND("/",$A1667)+1,20))-1))),"")))</f>
        <v/>
      </c>
      <c r="D1667">
        <f>IF(OR($A1667="",$B1667=""),"",IF(ISNUMBER($A1667),MOD($A1667,100),IFERROR(VALUE(TRIM(MID(MID($A1667,FIND("/",$A1667)+1,20),FIND("/",MID($A1667,FIND("/",$A1667)+1,20))+1,20))),"")))</f>
        <v/>
      </c>
      <c r="E1667">
        <f>IF($A1667="","",IF(OR($B1667="",$C1667="",$D1667="",$B1667&lt;1300,$B1667&gt;1500,$C1667&lt;1,$C1667&gt;12,$D1667&lt;1,$D1667&gt;31),"نامعتبر",RIGHT("0000"&amp;$B1667,4)&amp;"/"&amp;RIGHT("00"&amp;$C1667,2)&amp;"/"&amp;RIGHT("00"&amp;$D1667,2)))</f>
        <v/>
      </c>
      <c r="F1667">
        <f>IF(OR($E1667="",$E1667="نامعتبر"),"",LEFT($E1667,4)&amp;"/"&amp;MID($E1667,6,2))</f>
        <v/>
      </c>
      <c r="G1667">
        <f>IF(OR($E1667="",$E1667="نامعتبر",Sync!$Y1664=""),"",Sync!$Y1664)</f>
        <v/>
      </c>
      <c r="H1667">
        <f>IF($G1667="","",IF(Sync!$X1664="","",Sync!$X1664))</f>
        <v/>
      </c>
      <c r="I1667">
        <f>IF($G1667="","",IFERROR(VLOOKUP(Sync!$X1664,OpTbl,3,0),""))</f>
        <v/>
      </c>
      <c r="J1667">
        <f>IF(OR($G1667="",Sync!$Z1664=""),"",Sync!$Z1664)</f>
        <v/>
      </c>
      <c r="K1667">
        <f>IF(OR($G1667="",Sync!$AA1664=""),"",Sync!$AA1664)</f>
        <v/>
      </c>
      <c r="L1667">
        <f>IF($G1667="",0,IF(Sync!$AB1664="",0,Sync!$AB1664))</f>
        <v/>
      </c>
      <c r="M1667">
        <f>IF($G1667="",0,IF(Sync!$AC1664="",0,Sync!$AC1664))</f>
        <v/>
      </c>
      <c r="N1667">
        <f>IF($G1667="","",IF($H1667="مرجوعی خرید",-1,1)*($L1667-$M1667*IFERROR(VLOOKUP("P01",ParamTbl,3,0),1.5))*(1-IF($I1667="خرید",IFERROR(VLOOKUP("P02",ParamTbl,3,0),1),0)/100))</f>
        <v/>
      </c>
      <c r="O1667">
        <f>IF($G1667="",0,IF($H1667="مرجوعی خرید",-1,1)*IF(Sync!$AD1664="",0,Sync!$AD1664))</f>
        <v/>
      </c>
      <c r="P1667">
        <f>IF(OR($G1667="",Sync!$W1664=""),"",Sync!$W1664)</f>
        <v/>
      </c>
      <c r="Q1667">
        <f>IF(OR($G1667="",Sync!$AE1664=""),"",Sync!$AE1664)</f>
        <v/>
      </c>
      <c r="R1667">
        <f>IF($G1667="","",IF(Sync!$V1664="","0000",IF(AND(ISNUMBER(Sync!$V1664),Sync!$V1664&gt;=0,Sync!$V1664&lt;1),RIGHT("00"&amp;HOUR(Sync!$V1664),2)&amp;RIGHT("00"&amp;MINUTE(Sync!$V1664),2),IFERROR(RIGHT("00"&amp;VALUE(LEFT(Sync!$V1664,FIND(":",Sync!$V1664)-1)),2)&amp;RIGHT("00"&amp;VALUE(MID(Sync!$V1664,FIND(":",Sync!$V1664)+1,2)),2),"0000"))))</f>
        <v/>
      </c>
    </row>
    <row r="1668">
      <c r="A1668">
        <f>IF(Sync!$U1665="","",Sync!$U1665)</f>
        <v/>
      </c>
      <c r="B1668">
        <f>IF($A1668="","",IF(ISNUMBER($A1668),IF(AND($A1668&gt;=10000101,$A1668&lt;=99991231),INT($A1668/10000),""),IFERROR(VALUE(TRIM(LEFT($A1668,FIND("/",$A1668)-1))),"")))</f>
        <v/>
      </c>
      <c r="C1668">
        <f>IF(OR($A1668="",$B1668=""),"",IF(ISNUMBER($A1668),INT(MOD($A1668,10000)/100),IFERROR(VALUE(TRIM(LEFT(MID($A1668,FIND("/",$A1668)+1,20),FIND("/",MID($A1668,FIND("/",$A1668)+1,20))-1))),"")))</f>
        <v/>
      </c>
      <c r="D1668">
        <f>IF(OR($A1668="",$B1668=""),"",IF(ISNUMBER($A1668),MOD($A1668,100),IFERROR(VALUE(TRIM(MID(MID($A1668,FIND("/",$A1668)+1,20),FIND("/",MID($A1668,FIND("/",$A1668)+1,20))+1,20))),"")))</f>
        <v/>
      </c>
      <c r="E1668">
        <f>IF($A1668="","",IF(OR($B1668="",$C1668="",$D1668="",$B1668&lt;1300,$B1668&gt;1500,$C1668&lt;1,$C1668&gt;12,$D1668&lt;1,$D1668&gt;31),"نامعتبر",RIGHT("0000"&amp;$B1668,4)&amp;"/"&amp;RIGHT("00"&amp;$C1668,2)&amp;"/"&amp;RIGHT("00"&amp;$D1668,2)))</f>
        <v/>
      </c>
      <c r="F1668">
        <f>IF(OR($E1668="",$E1668="نامعتبر"),"",LEFT($E1668,4)&amp;"/"&amp;MID($E1668,6,2))</f>
        <v/>
      </c>
      <c r="G1668">
        <f>IF(OR($E1668="",$E1668="نامعتبر",Sync!$Y1665=""),"",Sync!$Y1665)</f>
        <v/>
      </c>
      <c r="H1668">
        <f>IF($G1668="","",IF(Sync!$X1665="","",Sync!$X1665))</f>
        <v/>
      </c>
      <c r="I1668">
        <f>IF($G1668="","",IFERROR(VLOOKUP(Sync!$X1665,OpTbl,3,0),""))</f>
        <v/>
      </c>
      <c r="J1668">
        <f>IF(OR($G1668="",Sync!$Z1665=""),"",Sync!$Z1665)</f>
        <v/>
      </c>
      <c r="K1668">
        <f>IF(OR($G1668="",Sync!$AA1665=""),"",Sync!$AA1665)</f>
        <v/>
      </c>
      <c r="L1668">
        <f>IF($G1668="",0,IF(Sync!$AB1665="",0,Sync!$AB1665))</f>
        <v/>
      </c>
      <c r="M1668">
        <f>IF($G1668="",0,IF(Sync!$AC1665="",0,Sync!$AC1665))</f>
        <v/>
      </c>
      <c r="N1668">
        <f>IF($G1668="","",IF($H1668="مرجوعی خرید",-1,1)*($L1668-$M1668*IFERROR(VLOOKUP("P01",ParamTbl,3,0),1.5))*(1-IF($I1668="خرید",IFERROR(VLOOKUP("P02",ParamTbl,3,0),1),0)/100))</f>
        <v/>
      </c>
      <c r="O1668">
        <f>IF($G1668="",0,IF($H1668="مرجوعی خرید",-1,1)*IF(Sync!$AD1665="",0,Sync!$AD1665))</f>
        <v/>
      </c>
      <c r="P1668">
        <f>IF(OR($G1668="",Sync!$W1665=""),"",Sync!$W1665)</f>
        <v/>
      </c>
      <c r="Q1668">
        <f>IF(OR($G1668="",Sync!$AE1665=""),"",Sync!$AE1665)</f>
        <v/>
      </c>
      <c r="R1668">
        <f>IF($G1668="","",IF(Sync!$V1665="","0000",IF(AND(ISNUMBER(Sync!$V1665),Sync!$V1665&gt;=0,Sync!$V1665&lt;1),RIGHT("00"&amp;HOUR(Sync!$V1665),2)&amp;RIGHT("00"&amp;MINUTE(Sync!$V1665),2),IFERROR(RIGHT("00"&amp;VALUE(LEFT(Sync!$V1665,FIND(":",Sync!$V1665)-1)),2)&amp;RIGHT("00"&amp;VALUE(MID(Sync!$V1665,FIND(":",Sync!$V1665)+1,2)),2),"0000"))))</f>
        <v/>
      </c>
    </row>
    <row r="1669">
      <c r="A1669">
        <f>IF(Sync!$U1666="","",Sync!$U1666)</f>
        <v/>
      </c>
      <c r="B1669">
        <f>IF($A1669="","",IF(ISNUMBER($A1669),IF(AND($A1669&gt;=10000101,$A1669&lt;=99991231),INT($A1669/10000),""),IFERROR(VALUE(TRIM(LEFT($A1669,FIND("/",$A1669)-1))),"")))</f>
        <v/>
      </c>
      <c r="C1669">
        <f>IF(OR($A1669="",$B1669=""),"",IF(ISNUMBER($A1669),INT(MOD($A1669,10000)/100),IFERROR(VALUE(TRIM(LEFT(MID($A1669,FIND("/",$A1669)+1,20),FIND("/",MID($A1669,FIND("/",$A1669)+1,20))-1))),"")))</f>
        <v/>
      </c>
      <c r="D1669">
        <f>IF(OR($A1669="",$B1669=""),"",IF(ISNUMBER($A1669),MOD($A1669,100),IFERROR(VALUE(TRIM(MID(MID($A1669,FIND("/",$A1669)+1,20),FIND("/",MID($A1669,FIND("/",$A1669)+1,20))+1,20))),"")))</f>
        <v/>
      </c>
      <c r="E1669">
        <f>IF($A1669="","",IF(OR($B1669="",$C1669="",$D1669="",$B1669&lt;1300,$B1669&gt;1500,$C1669&lt;1,$C1669&gt;12,$D1669&lt;1,$D1669&gt;31),"نامعتبر",RIGHT("0000"&amp;$B1669,4)&amp;"/"&amp;RIGHT("00"&amp;$C1669,2)&amp;"/"&amp;RIGHT("00"&amp;$D1669,2)))</f>
        <v/>
      </c>
      <c r="F1669">
        <f>IF(OR($E1669="",$E1669="نامعتبر"),"",LEFT($E1669,4)&amp;"/"&amp;MID($E1669,6,2))</f>
        <v/>
      </c>
      <c r="G1669">
        <f>IF(OR($E1669="",$E1669="نامعتبر",Sync!$Y1666=""),"",Sync!$Y1666)</f>
        <v/>
      </c>
      <c r="H1669">
        <f>IF($G1669="","",IF(Sync!$X1666="","",Sync!$X1666))</f>
        <v/>
      </c>
      <c r="I1669">
        <f>IF($G1669="","",IFERROR(VLOOKUP(Sync!$X1666,OpTbl,3,0),""))</f>
        <v/>
      </c>
      <c r="J1669">
        <f>IF(OR($G1669="",Sync!$Z1666=""),"",Sync!$Z1666)</f>
        <v/>
      </c>
      <c r="K1669">
        <f>IF(OR($G1669="",Sync!$AA1666=""),"",Sync!$AA1666)</f>
        <v/>
      </c>
      <c r="L1669">
        <f>IF($G1669="",0,IF(Sync!$AB1666="",0,Sync!$AB1666))</f>
        <v/>
      </c>
      <c r="M1669">
        <f>IF($G1669="",0,IF(Sync!$AC1666="",0,Sync!$AC1666))</f>
        <v/>
      </c>
      <c r="N1669">
        <f>IF($G1669="","",IF($H1669="مرجوعی خرید",-1,1)*($L1669-$M1669*IFERROR(VLOOKUP("P01",ParamTbl,3,0),1.5))*(1-IF($I1669="خرید",IFERROR(VLOOKUP("P02",ParamTbl,3,0),1),0)/100))</f>
        <v/>
      </c>
      <c r="O1669">
        <f>IF($G1669="",0,IF($H1669="مرجوعی خرید",-1,1)*IF(Sync!$AD1666="",0,Sync!$AD1666))</f>
        <v/>
      </c>
      <c r="P1669">
        <f>IF(OR($G1669="",Sync!$W1666=""),"",Sync!$W1666)</f>
        <v/>
      </c>
      <c r="Q1669">
        <f>IF(OR($G1669="",Sync!$AE1666=""),"",Sync!$AE1666)</f>
        <v/>
      </c>
      <c r="R1669">
        <f>IF($G1669="","",IF(Sync!$V1666="","0000",IF(AND(ISNUMBER(Sync!$V1666),Sync!$V1666&gt;=0,Sync!$V1666&lt;1),RIGHT("00"&amp;HOUR(Sync!$V1666),2)&amp;RIGHT("00"&amp;MINUTE(Sync!$V1666),2),IFERROR(RIGHT("00"&amp;VALUE(LEFT(Sync!$V1666,FIND(":",Sync!$V1666)-1)),2)&amp;RIGHT("00"&amp;VALUE(MID(Sync!$V1666,FIND(":",Sync!$V1666)+1,2)),2),"0000"))))</f>
        <v/>
      </c>
    </row>
    <row r="1670">
      <c r="A1670">
        <f>IF(Sync!$U1667="","",Sync!$U1667)</f>
        <v/>
      </c>
      <c r="B1670">
        <f>IF($A1670="","",IF(ISNUMBER($A1670),IF(AND($A1670&gt;=10000101,$A1670&lt;=99991231),INT($A1670/10000),""),IFERROR(VALUE(TRIM(LEFT($A1670,FIND("/",$A1670)-1))),"")))</f>
        <v/>
      </c>
      <c r="C1670">
        <f>IF(OR($A1670="",$B1670=""),"",IF(ISNUMBER($A1670),INT(MOD($A1670,10000)/100),IFERROR(VALUE(TRIM(LEFT(MID($A1670,FIND("/",$A1670)+1,20),FIND("/",MID($A1670,FIND("/",$A1670)+1,20))-1))),"")))</f>
        <v/>
      </c>
      <c r="D1670">
        <f>IF(OR($A1670="",$B1670=""),"",IF(ISNUMBER($A1670),MOD($A1670,100),IFERROR(VALUE(TRIM(MID(MID($A1670,FIND("/",$A1670)+1,20),FIND("/",MID($A1670,FIND("/",$A1670)+1,20))+1,20))),"")))</f>
        <v/>
      </c>
      <c r="E1670">
        <f>IF($A1670="","",IF(OR($B1670="",$C1670="",$D1670="",$B1670&lt;1300,$B1670&gt;1500,$C1670&lt;1,$C1670&gt;12,$D1670&lt;1,$D1670&gt;31),"نامعتبر",RIGHT("0000"&amp;$B1670,4)&amp;"/"&amp;RIGHT("00"&amp;$C1670,2)&amp;"/"&amp;RIGHT("00"&amp;$D1670,2)))</f>
        <v/>
      </c>
      <c r="F1670">
        <f>IF(OR($E1670="",$E1670="نامعتبر"),"",LEFT($E1670,4)&amp;"/"&amp;MID($E1670,6,2))</f>
        <v/>
      </c>
      <c r="G1670">
        <f>IF(OR($E1670="",$E1670="نامعتبر",Sync!$Y1667=""),"",Sync!$Y1667)</f>
        <v/>
      </c>
      <c r="H1670">
        <f>IF($G1670="","",IF(Sync!$X1667="","",Sync!$X1667))</f>
        <v/>
      </c>
      <c r="I1670">
        <f>IF($G1670="","",IFERROR(VLOOKUP(Sync!$X1667,OpTbl,3,0),""))</f>
        <v/>
      </c>
      <c r="J1670">
        <f>IF(OR($G1670="",Sync!$Z1667=""),"",Sync!$Z1667)</f>
        <v/>
      </c>
      <c r="K1670">
        <f>IF(OR($G1670="",Sync!$AA1667=""),"",Sync!$AA1667)</f>
        <v/>
      </c>
      <c r="L1670">
        <f>IF($G1670="",0,IF(Sync!$AB1667="",0,Sync!$AB1667))</f>
        <v/>
      </c>
      <c r="M1670">
        <f>IF($G1670="",0,IF(Sync!$AC1667="",0,Sync!$AC1667))</f>
        <v/>
      </c>
      <c r="N1670">
        <f>IF($G1670="","",IF($H1670="مرجوعی خرید",-1,1)*($L1670-$M1670*IFERROR(VLOOKUP("P01",ParamTbl,3,0),1.5))*(1-IF($I1670="خرید",IFERROR(VLOOKUP("P02",ParamTbl,3,0),1),0)/100))</f>
        <v/>
      </c>
      <c r="O1670">
        <f>IF($G1670="",0,IF($H1670="مرجوعی خرید",-1,1)*IF(Sync!$AD1667="",0,Sync!$AD1667))</f>
        <v/>
      </c>
      <c r="P1670">
        <f>IF(OR($G1670="",Sync!$W1667=""),"",Sync!$W1667)</f>
        <v/>
      </c>
      <c r="Q1670">
        <f>IF(OR($G1670="",Sync!$AE1667=""),"",Sync!$AE1667)</f>
        <v/>
      </c>
      <c r="R1670">
        <f>IF($G1670="","",IF(Sync!$V1667="","0000",IF(AND(ISNUMBER(Sync!$V1667),Sync!$V1667&gt;=0,Sync!$V1667&lt;1),RIGHT("00"&amp;HOUR(Sync!$V1667),2)&amp;RIGHT("00"&amp;MINUTE(Sync!$V1667),2),IFERROR(RIGHT("00"&amp;VALUE(LEFT(Sync!$V1667,FIND(":",Sync!$V1667)-1)),2)&amp;RIGHT("00"&amp;VALUE(MID(Sync!$V1667,FIND(":",Sync!$V1667)+1,2)),2),"0000"))))</f>
        <v/>
      </c>
    </row>
    <row r="1671">
      <c r="A1671">
        <f>IF(Sync!$U1668="","",Sync!$U1668)</f>
        <v/>
      </c>
      <c r="B1671">
        <f>IF($A1671="","",IF(ISNUMBER($A1671),IF(AND($A1671&gt;=10000101,$A1671&lt;=99991231),INT($A1671/10000),""),IFERROR(VALUE(TRIM(LEFT($A1671,FIND("/",$A1671)-1))),"")))</f>
        <v/>
      </c>
      <c r="C1671">
        <f>IF(OR($A1671="",$B1671=""),"",IF(ISNUMBER($A1671),INT(MOD($A1671,10000)/100),IFERROR(VALUE(TRIM(LEFT(MID($A1671,FIND("/",$A1671)+1,20),FIND("/",MID($A1671,FIND("/",$A1671)+1,20))-1))),"")))</f>
        <v/>
      </c>
      <c r="D1671">
        <f>IF(OR($A1671="",$B1671=""),"",IF(ISNUMBER($A1671),MOD($A1671,100),IFERROR(VALUE(TRIM(MID(MID($A1671,FIND("/",$A1671)+1,20),FIND("/",MID($A1671,FIND("/",$A1671)+1,20))+1,20))),"")))</f>
        <v/>
      </c>
      <c r="E1671">
        <f>IF($A1671="","",IF(OR($B1671="",$C1671="",$D1671="",$B1671&lt;1300,$B1671&gt;1500,$C1671&lt;1,$C1671&gt;12,$D1671&lt;1,$D1671&gt;31),"نامعتبر",RIGHT("0000"&amp;$B1671,4)&amp;"/"&amp;RIGHT("00"&amp;$C1671,2)&amp;"/"&amp;RIGHT("00"&amp;$D1671,2)))</f>
        <v/>
      </c>
      <c r="F1671">
        <f>IF(OR($E1671="",$E1671="نامعتبر"),"",LEFT($E1671,4)&amp;"/"&amp;MID($E1671,6,2))</f>
        <v/>
      </c>
      <c r="G1671">
        <f>IF(OR($E1671="",$E1671="نامعتبر",Sync!$Y1668=""),"",Sync!$Y1668)</f>
        <v/>
      </c>
      <c r="H1671">
        <f>IF($G1671="","",IF(Sync!$X1668="","",Sync!$X1668))</f>
        <v/>
      </c>
      <c r="I1671">
        <f>IF($G1671="","",IFERROR(VLOOKUP(Sync!$X1668,OpTbl,3,0),""))</f>
        <v/>
      </c>
      <c r="J1671">
        <f>IF(OR($G1671="",Sync!$Z1668=""),"",Sync!$Z1668)</f>
        <v/>
      </c>
      <c r="K1671">
        <f>IF(OR($G1671="",Sync!$AA1668=""),"",Sync!$AA1668)</f>
        <v/>
      </c>
      <c r="L1671">
        <f>IF($G1671="",0,IF(Sync!$AB1668="",0,Sync!$AB1668))</f>
        <v/>
      </c>
      <c r="M1671">
        <f>IF($G1671="",0,IF(Sync!$AC1668="",0,Sync!$AC1668))</f>
        <v/>
      </c>
      <c r="N1671">
        <f>IF($G1671="","",IF($H1671="مرجوعی خرید",-1,1)*($L1671-$M1671*IFERROR(VLOOKUP("P01",ParamTbl,3,0),1.5))*(1-IF($I1671="خرید",IFERROR(VLOOKUP("P02",ParamTbl,3,0),1),0)/100))</f>
        <v/>
      </c>
      <c r="O1671">
        <f>IF($G1671="",0,IF($H1671="مرجوعی خرید",-1,1)*IF(Sync!$AD1668="",0,Sync!$AD1668))</f>
        <v/>
      </c>
      <c r="P1671">
        <f>IF(OR($G1671="",Sync!$W1668=""),"",Sync!$W1668)</f>
        <v/>
      </c>
      <c r="Q1671">
        <f>IF(OR($G1671="",Sync!$AE1668=""),"",Sync!$AE1668)</f>
        <v/>
      </c>
      <c r="R1671">
        <f>IF($G1671="","",IF(Sync!$V1668="","0000",IF(AND(ISNUMBER(Sync!$V1668),Sync!$V1668&gt;=0,Sync!$V1668&lt;1),RIGHT("00"&amp;HOUR(Sync!$V1668),2)&amp;RIGHT("00"&amp;MINUTE(Sync!$V1668),2),IFERROR(RIGHT("00"&amp;VALUE(LEFT(Sync!$V1668,FIND(":",Sync!$V1668)-1)),2)&amp;RIGHT("00"&amp;VALUE(MID(Sync!$V1668,FIND(":",Sync!$V1668)+1,2)),2),"0000"))))</f>
        <v/>
      </c>
    </row>
    <row r="1672">
      <c r="A1672">
        <f>IF(Sync!$U1669="","",Sync!$U1669)</f>
        <v/>
      </c>
      <c r="B1672">
        <f>IF($A1672="","",IF(ISNUMBER($A1672),IF(AND($A1672&gt;=10000101,$A1672&lt;=99991231),INT($A1672/10000),""),IFERROR(VALUE(TRIM(LEFT($A1672,FIND("/",$A1672)-1))),"")))</f>
        <v/>
      </c>
      <c r="C1672">
        <f>IF(OR($A1672="",$B1672=""),"",IF(ISNUMBER($A1672),INT(MOD($A1672,10000)/100),IFERROR(VALUE(TRIM(LEFT(MID($A1672,FIND("/",$A1672)+1,20),FIND("/",MID($A1672,FIND("/",$A1672)+1,20))-1))),"")))</f>
        <v/>
      </c>
      <c r="D1672">
        <f>IF(OR($A1672="",$B1672=""),"",IF(ISNUMBER($A1672),MOD($A1672,100),IFERROR(VALUE(TRIM(MID(MID($A1672,FIND("/",$A1672)+1,20),FIND("/",MID($A1672,FIND("/",$A1672)+1,20))+1,20))),"")))</f>
        <v/>
      </c>
      <c r="E1672">
        <f>IF($A1672="","",IF(OR($B1672="",$C1672="",$D1672="",$B1672&lt;1300,$B1672&gt;1500,$C1672&lt;1,$C1672&gt;12,$D1672&lt;1,$D1672&gt;31),"نامعتبر",RIGHT("0000"&amp;$B1672,4)&amp;"/"&amp;RIGHT("00"&amp;$C1672,2)&amp;"/"&amp;RIGHT("00"&amp;$D1672,2)))</f>
        <v/>
      </c>
      <c r="F1672">
        <f>IF(OR($E1672="",$E1672="نامعتبر"),"",LEFT($E1672,4)&amp;"/"&amp;MID($E1672,6,2))</f>
        <v/>
      </c>
      <c r="G1672">
        <f>IF(OR($E1672="",$E1672="نامعتبر",Sync!$Y1669=""),"",Sync!$Y1669)</f>
        <v/>
      </c>
      <c r="H1672">
        <f>IF($G1672="","",IF(Sync!$X1669="","",Sync!$X1669))</f>
        <v/>
      </c>
      <c r="I1672">
        <f>IF($G1672="","",IFERROR(VLOOKUP(Sync!$X1669,OpTbl,3,0),""))</f>
        <v/>
      </c>
      <c r="J1672">
        <f>IF(OR($G1672="",Sync!$Z1669=""),"",Sync!$Z1669)</f>
        <v/>
      </c>
      <c r="K1672">
        <f>IF(OR($G1672="",Sync!$AA1669=""),"",Sync!$AA1669)</f>
        <v/>
      </c>
      <c r="L1672">
        <f>IF($G1672="",0,IF(Sync!$AB1669="",0,Sync!$AB1669))</f>
        <v/>
      </c>
      <c r="M1672">
        <f>IF($G1672="",0,IF(Sync!$AC1669="",0,Sync!$AC1669))</f>
        <v/>
      </c>
      <c r="N1672">
        <f>IF($G1672="","",IF($H1672="مرجوعی خرید",-1,1)*($L1672-$M1672*IFERROR(VLOOKUP("P01",ParamTbl,3,0),1.5))*(1-IF($I1672="خرید",IFERROR(VLOOKUP("P02",ParamTbl,3,0),1),0)/100))</f>
        <v/>
      </c>
      <c r="O1672">
        <f>IF($G1672="",0,IF($H1672="مرجوعی خرید",-1,1)*IF(Sync!$AD1669="",0,Sync!$AD1669))</f>
        <v/>
      </c>
      <c r="P1672">
        <f>IF(OR($G1672="",Sync!$W1669=""),"",Sync!$W1669)</f>
        <v/>
      </c>
      <c r="Q1672">
        <f>IF(OR($G1672="",Sync!$AE1669=""),"",Sync!$AE1669)</f>
        <v/>
      </c>
      <c r="R1672">
        <f>IF($G1672="","",IF(Sync!$V1669="","0000",IF(AND(ISNUMBER(Sync!$V1669),Sync!$V1669&gt;=0,Sync!$V1669&lt;1),RIGHT("00"&amp;HOUR(Sync!$V1669),2)&amp;RIGHT("00"&amp;MINUTE(Sync!$V1669),2),IFERROR(RIGHT("00"&amp;VALUE(LEFT(Sync!$V1669,FIND(":",Sync!$V1669)-1)),2)&amp;RIGHT("00"&amp;VALUE(MID(Sync!$V1669,FIND(":",Sync!$V1669)+1,2)),2),"0000"))))</f>
        <v/>
      </c>
    </row>
    <row r="1673">
      <c r="A1673">
        <f>IF(Sync!$U1670="","",Sync!$U1670)</f>
        <v/>
      </c>
      <c r="B1673">
        <f>IF($A1673="","",IF(ISNUMBER($A1673),IF(AND($A1673&gt;=10000101,$A1673&lt;=99991231),INT($A1673/10000),""),IFERROR(VALUE(TRIM(LEFT($A1673,FIND("/",$A1673)-1))),"")))</f>
        <v/>
      </c>
      <c r="C1673">
        <f>IF(OR($A1673="",$B1673=""),"",IF(ISNUMBER($A1673),INT(MOD($A1673,10000)/100),IFERROR(VALUE(TRIM(LEFT(MID($A1673,FIND("/",$A1673)+1,20),FIND("/",MID($A1673,FIND("/",$A1673)+1,20))-1))),"")))</f>
        <v/>
      </c>
      <c r="D1673">
        <f>IF(OR($A1673="",$B1673=""),"",IF(ISNUMBER($A1673),MOD($A1673,100),IFERROR(VALUE(TRIM(MID(MID($A1673,FIND("/",$A1673)+1,20),FIND("/",MID($A1673,FIND("/",$A1673)+1,20))+1,20))),"")))</f>
        <v/>
      </c>
      <c r="E1673">
        <f>IF($A1673="","",IF(OR($B1673="",$C1673="",$D1673="",$B1673&lt;1300,$B1673&gt;1500,$C1673&lt;1,$C1673&gt;12,$D1673&lt;1,$D1673&gt;31),"نامعتبر",RIGHT("0000"&amp;$B1673,4)&amp;"/"&amp;RIGHT("00"&amp;$C1673,2)&amp;"/"&amp;RIGHT("00"&amp;$D1673,2)))</f>
        <v/>
      </c>
      <c r="F1673">
        <f>IF(OR($E1673="",$E1673="نامعتبر"),"",LEFT($E1673,4)&amp;"/"&amp;MID($E1673,6,2))</f>
        <v/>
      </c>
      <c r="G1673">
        <f>IF(OR($E1673="",$E1673="نامعتبر",Sync!$Y1670=""),"",Sync!$Y1670)</f>
        <v/>
      </c>
      <c r="H1673">
        <f>IF($G1673="","",IF(Sync!$X1670="","",Sync!$X1670))</f>
        <v/>
      </c>
      <c r="I1673">
        <f>IF($G1673="","",IFERROR(VLOOKUP(Sync!$X1670,OpTbl,3,0),""))</f>
        <v/>
      </c>
      <c r="J1673">
        <f>IF(OR($G1673="",Sync!$Z1670=""),"",Sync!$Z1670)</f>
        <v/>
      </c>
      <c r="K1673">
        <f>IF(OR($G1673="",Sync!$AA1670=""),"",Sync!$AA1670)</f>
        <v/>
      </c>
      <c r="L1673">
        <f>IF($G1673="",0,IF(Sync!$AB1670="",0,Sync!$AB1670))</f>
        <v/>
      </c>
      <c r="M1673">
        <f>IF($G1673="",0,IF(Sync!$AC1670="",0,Sync!$AC1670))</f>
        <v/>
      </c>
      <c r="N1673">
        <f>IF($G1673="","",IF($H1673="مرجوعی خرید",-1,1)*($L1673-$M1673*IFERROR(VLOOKUP("P01",ParamTbl,3,0),1.5))*(1-IF($I1673="خرید",IFERROR(VLOOKUP("P02",ParamTbl,3,0),1),0)/100))</f>
        <v/>
      </c>
      <c r="O1673">
        <f>IF($G1673="",0,IF($H1673="مرجوعی خرید",-1,1)*IF(Sync!$AD1670="",0,Sync!$AD1670))</f>
        <v/>
      </c>
      <c r="P1673">
        <f>IF(OR($G1673="",Sync!$W1670=""),"",Sync!$W1670)</f>
        <v/>
      </c>
      <c r="Q1673">
        <f>IF(OR($G1673="",Sync!$AE1670=""),"",Sync!$AE1670)</f>
        <v/>
      </c>
      <c r="R1673">
        <f>IF($G1673="","",IF(Sync!$V1670="","0000",IF(AND(ISNUMBER(Sync!$V1670),Sync!$V1670&gt;=0,Sync!$V1670&lt;1),RIGHT("00"&amp;HOUR(Sync!$V1670),2)&amp;RIGHT("00"&amp;MINUTE(Sync!$V1670),2),IFERROR(RIGHT("00"&amp;VALUE(LEFT(Sync!$V1670,FIND(":",Sync!$V1670)-1)),2)&amp;RIGHT("00"&amp;VALUE(MID(Sync!$V1670,FIND(":",Sync!$V1670)+1,2)),2),"0000"))))</f>
        <v/>
      </c>
    </row>
    <row r="1674">
      <c r="A1674">
        <f>IF(Sync!$U1671="","",Sync!$U1671)</f>
        <v/>
      </c>
      <c r="B1674">
        <f>IF($A1674="","",IF(ISNUMBER($A1674),IF(AND($A1674&gt;=10000101,$A1674&lt;=99991231),INT($A1674/10000),""),IFERROR(VALUE(TRIM(LEFT($A1674,FIND("/",$A1674)-1))),"")))</f>
        <v/>
      </c>
      <c r="C1674">
        <f>IF(OR($A1674="",$B1674=""),"",IF(ISNUMBER($A1674),INT(MOD($A1674,10000)/100),IFERROR(VALUE(TRIM(LEFT(MID($A1674,FIND("/",$A1674)+1,20),FIND("/",MID($A1674,FIND("/",$A1674)+1,20))-1))),"")))</f>
        <v/>
      </c>
      <c r="D1674">
        <f>IF(OR($A1674="",$B1674=""),"",IF(ISNUMBER($A1674),MOD($A1674,100),IFERROR(VALUE(TRIM(MID(MID($A1674,FIND("/",$A1674)+1,20),FIND("/",MID($A1674,FIND("/",$A1674)+1,20))+1,20))),"")))</f>
        <v/>
      </c>
      <c r="E1674">
        <f>IF($A1674="","",IF(OR($B1674="",$C1674="",$D1674="",$B1674&lt;1300,$B1674&gt;1500,$C1674&lt;1,$C1674&gt;12,$D1674&lt;1,$D1674&gt;31),"نامعتبر",RIGHT("0000"&amp;$B1674,4)&amp;"/"&amp;RIGHT("00"&amp;$C1674,2)&amp;"/"&amp;RIGHT("00"&amp;$D1674,2)))</f>
        <v/>
      </c>
      <c r="F1674">
        <f>IF(OR($E1674="",$E1674="نامعتبر"),"",LEFT($E1674,4)&amp;"/"&amp;MID($E1674,6,2))</f>
        <v/>
      </c>
      <c r="G1674">
        <f>IF(OR($E1674="",$E1674="نامعتبر",Sync!$Y1671=""),"",Sync!$Y1671)</f>
        <v/>
      </c>
      <c r="H1674">
        <f>IF($G1674="","",IF(Sync!$X1671="","",Sync!$X1671))</f>
        <v/>
      </c>
      <c r="I1674">
        <f>IF($G1674="","",IFERROR(VLOOKUP(Sync!$X1671,OpTbl,3,0),""))</f>
        <v/>
      </c>
      <c r="J1674">
        <f>IF(OR($G1674="",Sync!$Z1671=""),"",Sync!$Z1671)</f>
        <v/>
      </c>
      <c r="K1674">
        <f>IF(OR($G1674="",Sync!$AA1671=""),"",Sync!$AA1671)</f>
        <v/>
      </c>
      <c r="L1674">
        <f>IF($G1674="",0,IF(Sync!$AB1671="",0,Sync!$AB1671))</f>
        <v/>
      </c>
      <c r="M1674">
        <f>IF($G1674="",0,IF(Sync!$AC1671="",0,Sync!$AC1671))</f>
        <v/>
      </c>
      <c r="N1674">
        <f>IF($G1674="","",IF($H1674="مرجوعی خرید",-1,1)*($L1674-$M1674*IFERROR(VLOOKUP("P01",ParamTbl,3,0),1.5))*(1-IF($I1674="خرید",IFERROR(VLOOKUP("P02",ParamTbl,3,0),1),0)/100))</f>
        <v/>
      </c>
      <c r="O1674">
        <f>IF($G1674="",0,IF($H1674="مرجوعی خرید",-1,1)*IF(Sync!$AD1671="",0,Sync!$AD1671))</f>
        <v/>
      </c>
      <c r="P1674">
        <f>IF(OR($G1674="",Sync!$W1671=""),"",Sync!$W1671)</f>
        <v/>
      </c>
      <c r="Q1674">
        <f>IF(OR($G1674="",Sync!$AE1671=""),"",Sync!$AE1671)</f>
        <v/>
      </c>
      <c r="R1674">
        <f>IF($G1674="","",IF(Sync!$V1671="","0000",IF(AND(ISNUMBER(Sync!$V1671),Sync!$V1671&gt;=0,Sync!$V1671&lt;1),RIGHT("00"&amp;HOUR(Sync!$V1671),2)&amp;RIGHT("00"&amp;MINUTE(Sync!$V1671),2),IFERROR(RIGHT("00"&amp;VALUE(LEFT(Sync!$V1671,FIND(":",Sync!$V1671)-1)),2)&amp;RIGHT("00"&amp;VALUE(MID(Sync!$V1671,FIND(":",Sync!$V1671)+1,2)),2),"0000"))))</f>
        <v/>
      </c>
    </row>
    <row r="1675">
      <c r="A1675">
        <f>IF(Sync!$U1672="","",Sync!$U1672)</f>
        <v/>
      </c>
      <c r="B1675">
        <f>IF($A1675="","",IF(ISNUMBER($A1675),IF(AND($A1675&gt;=10000101,$A1675&lt;=99991231),INT($A1675/10000),""),IFERROR(VALUE(TRIM(LEFT($A1675,FIND("/",$A1675)-1))),"")))</f>
        <v/>
      </c>
      <c r="C1675">
        <f>IF(OR($A1675="",$B1675=""),"",IF(ISNUMBER($A1675),INT(MOD($A1675,10000)/100),IFERROR(VALUE(TRIM(LEFT(MID($A1675,FIND("/",$A1675)+1,20),FIND("/",MID($A1675,FIND("/",$A1675)+1,20))-1))),"")))</f>
        <v/>
      </c>
      <c r="D1675">
        <f>IF(OR($A1675="",$B1675=""),"",IF(ISNUMBER($A1675),MOD($A1675,100),IFERROR(VALUE(TRIM(MID(MID($A1675,FIND("/",$A1675)+1,20),FIND("/",MID($A1675,FIND("/",$A1675)+1,20))+1,20))),"")))</f>
        <v/>
      </c>
      <c r="E1675">
        <f>IF($A1675="","",IF(OR($B1675="",$C1675="",$D1675="",$B1675&lt;1300,$B1675&gt;1500,$C1675&lt;1,$C1675&gt;12,$D1675&lt;1,$D1675&gt;31),"نامعتبر",RIGHT("0000"&amp;$B1675,4)&amp;"/"&amp;RIGHT("00"&amp;$C1675,2)&amp;"/"&amp;RIGHT("00"&amp;$D1675,2)))</f>
        <v/>
      </c>
      <c r="F1675">
        <f>IF(OR($E1675="",$E1675="نامعتبر"),"",LEFT($E1675,4)&amp;"/"&amp;MID($E1675,6,2))</f>
        <v/>
      </c>
      <c r="G1675">
        <f>IF(OR($E1675="",$E1675="نامعتبر",Sync!$Y1672=""),"",Sync!$Y1672)</f>
        <v/>
      </c>
      <c r="H1675">
        <f>IF($G1675="","",IF(Sync!$X1672="","",Sync!$X1672))</f>
        <v/>
      </c>
      <c r="I1675">
        <f>IF($G1675="","",IFERROR(VLOOKUP(Sync!$X1672,OpTbl,3,0),""))</f>
        <v/>
      </c>
      <c r="J1675">
        <f>IF(OR($G1675="",Sync!$Z1672=""),"",Sync!$Z1672)</f>
        <v/>
      </c>
      <c r="K1675">
        <f>IF(OR($G1675="",Sync!$AA1672=""),"",Sync!$AA1672)</f>
        <v/>
      </c>
      <c r="L1675">
        <f>IF($G1675="",0,IF(Sync!$AB1672="",0,Sync!$AB1672))</f>
        <v/>
      </c>
      <c r="M1675">
        <f>IF($G1675="",0,IF(Sync!$AC1672="",0,Sync!$AC1672))</f>
        <v/>
      </c>
      <c r="N1675">
        <f>IF($G1675="","",IF($H1675="مرجوعی خرید",-1,1)*($L1675-$M1675*IFERROR(VLOOKUP("P01",ParamTbl,3,0),1.5))*(1-IF($I1675="خرید",IFERROR(VLOOKUP("P02",ParamTbl,3,0),1),0)/100))</f>
        <v/>
      </c>
      <c r="O1675">
        <f>IF($G1675="",0,IF($H1675="مرجوعی خرید",-1,1)*IF(Sync!$AD1672="",0,Sync!$AD1672))</f>
        <v/>
      </c>
      <c r="P1675">
        <f>IF(OR($G1675="",Sync!$W1672=""),"",Sync!$W1672)</f>
        <v/>
      </c>
      <c r="Q1675">
        <f>IF(OR($G1675="",Sync!$AE1672=""),"",Sync!$AE1672)</f>
        <v/>
      </c>
      <c r="R1675">
        <f>IF($G1675="","",IF(Sync!$V1672="","0000",IF(AND(ISNUMBER(Sync!$V1672),Sync!$V1672&gt;=0,Sync!$V1672&lt;1),RIGHT("00"&amp;HOUR(Sync!$V1672),2)&amp;RIGHT("00"&amp;MINUTE(Sync!$V1672),2),IFERROR(RIGHT("00"&amp;VALUE(LEFT(Sync!$V1672,FIND(":",Sync!$V1672)-1)),2)&amp;RIGHT("00"&amp;VALUE(MID(Sync!$V1672,FIND(":",Sync!$V1672)+1,2)),2),"0000"))))</f>
        <v/>
      </c>
    </row>
    <row r="1676">
      <c r="A1676">
        <f>IF(Sync!$U1673="","",Sync!$U1673)</f>
        <v/>
      </c>
      <c r="B1676">
        <f>IF($A1676="","",IF(ISNUMBER($A1676),IF(AND($A1676&gt;=10000101,$A1676&lt;=99991231),INT($A1676/10000),""),IFERROR(VALUE(TRIM(LEFT($A1676,FIND("/",$A1676)-1))),"")))</f>
        <v/>
      </c>
      <c r="C1676">
        <f>IF(OR($A1676="",$B1676=""),"",IF(ISNUMBER($A1676),INT(MOD($A1676,10000)/100),IFERROR(VALUE(TRIM(LEFT(MID($A1676,FIND("/",$A1676)+1,20),FIND("/",MID($A1676,FIND("/",$A1676)+1,20))-1))),"")))</f>
        <v/>
      </c>
      <c r="D1676">
        <f>IF(OR($A1676="",$B1676=""),"",IF(ISNUMBER($A1676),MOD($A1676,100),IFERROR(VALUE(TRIM(MID(MID($A1676,FIND("/",$A1676)+1,20),FIND("/",MID($A1676,FIND("/",$A1676)+1,20))+1,20))),"")))</f>
        <v/>
      </c>
      <c r="E1676">
        <f>IF($A1676="","",IF(OR($B1676="",$C1676="",$D1676="",$B1676&lt;1300,$B1676&gt;1500,$C1676&lt;1,$C1676&gt;12,$D1676&lt;1,$D1676&gt;31),"نامعتبر",RIGHT("0000"&amp;$B1676,4)&amp;"/"&amp;RIGHT("00"&amp;$C1676,2)&amp;"/"&amp;RIGHT("00"&amp;$D1676,2)))</f>
        <v/>
      </c>
      <c r="F1676">
        <f>IF(OR($E1676="",$E1676="نامعتبر"),"",LEFT($E1676,4)&amp;"/"&amp;MID($E1676,6,2))</f>
        <v/>
      </c>
      <c r="G1676">
        <f>IF(OR($E1676="",$E1676="نامعتبر",Sync!$Y1673=""),"",Sync!$Y1673)</f>
        <v/>
      </c>
      <c r="H1676">
        <f>IF($G1676="","",IF(Sync!$X1673="","",Sync!$X1673))</f>
        <v/>
      </c>
      <c r="I1676">
        <f>IF($G1676="","",IFERROR(VLOOKUP(Sync!$X1673,OpTbl,3,0),""))</f>
        <v/>
      </c>
      <c r="J1676">
        <f>IF(OR($G1676="",Sync!$Z1673=""),"",Sync!$Z1673)</f>
        <v/>
      </c>
      <c r="K1676">
        <f>IF(OR($G1676="",Sync!$AA1673=""),"",Sync!$AA1673)</f>
        <v/>
      </c>
      <c r="L1676">
        <f>IF($G1676="",0,IF(Sync!$AB1673="",0,Sync!$AB1673))</f>
        <v/>
      </c>
      <c r="M1676">
        <f>IF($G1676="",0,IF(Sync!$AC1673="",0,Sync!$AC1673))</f>
        <v/>
      </c>
      <c r="N1676">
        <f>IF($G1676="","",IF($H1676="مرجوعی خرید",-1,1)*($L1676-$M1676*IFERROR(VLOOKUP("P01",ParamTbl,3,0),1.5))*(1-IF($I1676="خرید",IFERROR(VLOOKUP("P02",ParamTbl,3,0),1),0)/100))</f>
        <v/>
      </c>
      <c r="O1676">
        <f>IF($G1676="",0,IF($H1676="مرجوعی خرید",-1,1)*IF(Sync!$AD1673="",0,Sync!$AD1673))</f>
        <v/>
      </c>
      <c r="P1676">
        <f>IF(OR($G1676="",Sync!$W1673=""),"",Sync!$W1673)</f>
        <v/>
      </c>
      <c r="Q1676">
        <f>IF(OR($G1676="",Sync!$AE1673=""),"",Sync!$AE1673)</f>
        <v/>
      </c>
      <c r="R1676">
        <f>IF($G1676="","",IF(Sync!$V1673="","0000",IF(AND(ISNUMBER(Sync!$V1673),Sync!$V1673&gt;=0,Sync!$V1673&lt;1),RIGHT("00"&amp;HOUR(Sync!$V1673),2)&amp;RIGHT("00"&amp;MINUTE(Sync!$V1673),2),IFERROR(RIGHT("00"&amp;VALUE(LEFT(Sync!$V1673,FIND(":",Sync!$V1673)-1)),2)&amp;RIGHT("00"&amp;VALUE(MID(Sync!$V1673,FIND(":",Sync!$V1673)+1,2)),2),"0000"))))</f>
        <v/>
      </c>
    </row>
    <row r="1677">
      <c r="A1677">
        <f>IF(Sync!$U1674="","",Sync!$U1674)</f>
        <v/>
      </c>
      <c r="B1677">
        <f>IF($A1677="","",IF(ISNUMBER($A1677),IF(AND($A1677&gt;=10000101,$A1677&lt;=99991231),INT($A1677/10000),""),IFERROR(VALUE(TRIM(LEFT($A1677,FIND("/",$A1677)-1))),"")))</f>
        <v/>
      </c>
      <c r="C1677">
        <f>IF(OR($A1677="",$B1677=""),"",IF(ISNUMBER($A1677),INT(MOD($A1677,10000)/100),IFERROR(VALUE(TRIM(LEFT(MID($A1677,FIND("/",$A1677)+1,20),FIND("/",MID($A1677,FIND("/",$A1677)+1,20))-1))),"")))</f>
        <v/>
      </c>
      <c r="D1677">
        <f>IF(OR($A1677="",$B1677=""),"",IF(ISNUMBER($A1677),MOD($A1677,100),IFERROR(VALUE(TRIM(MID(MID($A1677,FIND("/",$A1677)+1,20),FIND("/",MID($A1677,FIND("/",$A1677)+1,20))+1,20))),"")))</f>
        <v/>
      </c>
      <c r="E1677">
        <f>IF($A1677="","",IF(OR($B1677="",$C1677="",$D1677="",$B1677&lt;1300,$B1677&gt;1500,$C1677&lt;1,$C1677&gt;12,$D1677&lt;1,$D1677&gt;31),"نامعتبر",RIGHT("0000"&amp;$B1677,4)&amp;"/"&amp;RIGHT("00"&amp;$C1677,2)&amp;"/"&amp;RIGHT("00"&amp;$D1677,2)))</f>
        <v/>
      </c>
      <c r="F1677">
        <f>IF(OR($E1677="",$E1677="نامعتبر"),"",LEFT($E1677,4)&amp;"/"&amp;MID($E1677,6,2))</f>
        <v/>
      </c>
      <c r="G1677">
        <f>IF(OR($E1677="",$E1677="نامعتبر",Sync!$Y1674=""),"",Sync!$Y1674)</f>
        <v/>
      </c>
      <c r="H1677">
        <f>IF($G1677="","",IF(Sync!$X1674="","",Sync!$X1674))</f>
        <v/>
      </c>
      <c r="I1677">
        <f>IF($G1677="","",IFERROR(VLOOKUP(Sync!$X1674,OpTbl,3,0),""))</f>
        <v/>
      </c>
      <c r="J1677">
        <f>IF(OR($G1677="",Sync!$Z1674=""),"",Sync!$Z1674)</f>
        <v/>
      </c>
      <c r="K1677">
        <f>IF(OR($G1677="",Sync!$AA1674=""),"",Sync!$AA1674)</f>
        <v/>
      </c>
      <c r="L1677">
        <f>IF($G1677="",0,IF(Sync!$AB1674="",0,Sync!$AB1674))</f>
        <v/>
      </c>
      <c r="M1677">
        <f>IF($G1677="",0,IF(Sync!$AC1674="",0,Sync!$AC1674))</f>
        <v/>
      </c>
      <c r="N1677">
        <f>IF($G1677="","",IF($H1677="مرجوعی خرید",-1,1)*($L1677-$M1677*IFERROR(VLOOKUP("P01",ParamTbl,3,0),1.5))*(1-IF($I1677="خرید",IFERROR(VLOOKUP("P02",ParamTbl,3,0),1),0)/100))</f>
        <v/>
      </c>
      <c r="O1677">
        <f>IF($G1677="",0,IF($H1677="مرجوعی خرید",-1,1)*IF(Sync!$AD1674="",0,Sync!$AD1674))</f>
        <v/>
      </c>
      <c r="P1677">
        <f>IF(OR($G1677="",Sync!$W1674=""),"",Sync!$W1674)</f>
        <v/>
      </c>
      <c r="Q1677">
        <f>IF(OR($G1677="",Sync!$AE1674=""),"",Sync!$AE1674)</f>
        <v/>
      </c>
      <c r="R1677">
        <f>IF($G1677="","",IF(Sync!$V1674="","0000",IF(AND(ISNUMBER(Sync!$V1674),Sync!$V1674&gt;=0,Sync!$V1674&lt;1),RIGHT("00"&amp;HOUR(Sync!$V1674),2)&amp;RIGHT("00"&amp;MINUTE(Sync!$V1674),2),IFERROR(RIGHT("00"&amp;VALUE(LEFT(Sync!$V1674,FIND(":",Sync!$V1674)-1)),2)&amp;RIGHT("00"&amp;VALUE(MID(Sync!$V1674,FIND(":",Sync!$V1674)+1,2)),2),"0000"))))</f>
        <v/>
      </c>
    </row>
    <row r="1678">
      <c r="A1678">
        <f>IF(Sync!$U1675="","",Sync!$U1675)</f>
        <v/>
      </c>
      <c r="B1678">
        <f>IF($A1678="","",IF(ISNUMBER($A1678),IF(AND($A1678&gt;=10000101,$A1678&lt;=99991231),INT($A1678/10000),""),IFERROR(VALUE(TRIM(LEFT($A1678,FIND("/",$A1678)-1))),"")))</f>
        <v/>
      </c>
      <c r="C1678">
        <f>IF(OR($A1678="",$B1678=""),"",IF(ISNUMBER($A1678),INT(MOD($A1678,10000)/100),IFERROR(VALUE(TRIM(LEFT(MID($A1678,FIND("/",$A1678)+1,20),FIND("/",MID($A1678,FIND("/",$A1678)+1,20))-1))),"")))</f>
        <v/>
      </c>
      <c r="D1678">
        <f>IF(OR($A1678="",$B1678=""),"",IF(ISNUMBER($A1678),MOD($A1678,100),IFERROR(VALUE(TRIM(MID(MID($A1678,FIND("/",$A1678)+1,20),FIND("/",MID($A1678,FIND("/",$A1678)+1,20))+1,20))),"")))</f>
        <v/>
      </c>
      <c r="E1678">
        <f>IF($A1678="","",IF(OR($B1678="",$C1678="",$D1678="",$B1678&lt;1300,$B1678&gt;1500,$C1678&lt;1,$C1678&gt;12,$D1678&lt;1,$D1678&gt;31),"نامعتبر",RIGHT("0000"&amp;$B1678,4)&amp;"/"&amp;RIGHT("00"&amp;$C1678,2)&amp;"/"&amp;RIGHT("00"&amp;$D1678,2)))</f>
        <v/>
      </c>
      <c r="F1678">
        <f>IF(OR($E1678="",$E1678="نامعتبر"),"",LEFT($E1678,4)&amp;"/"&amp;MID($E1678,6,2))</f>
        <v/>
      </c>
      <c r="G1678">
        <f>IF(OR($E1678="",$E1678="نامعتبر",Sync!$Y1675=""),"",Sync!$Y1675)</f>
        <v/>
      </c>
      <c r="H1678">
        <f>IF($G1678="","",IF(Sync!$X1675="","",Sync!$X1675))</f>
        <v/>
      </c>
      <c r="I1678">
        <f>IF($G1678="","",IFERROR(VLOOKUP(Sync!$X1675,OpTbl,3,0),""))</f>
        <v/>
      </c>
      <c r="J1678">
        <f>IF(OR($G1678="",Sync!$Z1675=""),"",Sync!$Z1675)</f>
        <v/>
      </c>
      <c r="K1678">
        <f>IF(OR($G1678="",Sync!$AA1675=""),"",Sync!$AA1675)</f>
        <v/>
      </c>
      <c r="L1678">
        <f>IF($G1678="",0,IF(Sync!$AB1675="",0,Sync!$AB1675))</f>
        <v/>
      </c>
      <c r="M1678">
        <f>IF($G1678="",0,IF(Sync!$AC1675="",0,Sync!$AC1675))</f>
        <v/>
      </c>
      <c r="N1678">
        <f>IF($G1678="","",IF($H1678="مرجوعی خرید",-1,1)*($L1678-$M1678*IFERROR(VLOOKUP("P01",ParamTbl,3,0),1.5))*(1-IF($I1678="خرید",IFERROR(VLOOKUP("P02",ParamTbl,3,0),1),0)/100))</f>
        <v/>
      </c>
      <c r="O1678">
        <f>IF($G1678="",0,IF($H1678="مرجوعی خرید",-1,1)*IF(Sync!$AD1675="",0,Sync!$AD1675))</f>
        <v/>
      </c>
      <c r="P1678">
        <f>IF(OR($G1678="",Sync!$W1675=""),"",Sync!$W1675)</f>
        <v/>
      </c>
      <c r="Q1678">
        <f>IF(OR($G1678="",Sync!$AE1675=""),"",Sync!$AE1675)</f>
        <v/>
      </c>
      <c r="R1678">
        <f>IF($G1678="","",IF(Sync!$V1675="","0000",IF(AND(ISNUMBER(Sync!$V1675),Sync!$V1675&gt;=0,Sync!$V1675&lt;1),RIGHT("00"&amp;HOUR(Sync!$V1675),2)&amp;RIGHT("00"&amp;MINUTE(Sync!$V1675),2),IFERROR(RIGHT("00"&amp;VALUE(LEFT(Sync!$V1675,FIND(":",Sync!$V1675)-1)),2)&amp;RIGHT("00"&amp;VALUE(MID(Sync!$V1675,FIND(":",Sync!$V1675)+1,2)),2),"0000"))))</f>
        <v/>
      </c>
    </row>
    <row r="1679">
      <c r="A1679">
        <f>IF(Sync!$U1676="","",Sync!$U1676)</f>
        <v/>
      </c>
      <c r="B1679">
        <f>IF($A1679="","",IF(ISNUMBER($A1679),IF(AND($A1679&gt;=10000101,$A1679&lt;=99991231),INT($A1679/10000),""),IFERROR(VALUE(TRIM(LEFT($A1679,FIND("/",$A1679)-1))),"")))</f>
        <v/>
      </c>
      <c r="C1679">
        <f>IF(OR($A1679="",$B1679=""),"",IF(ISNUMBER($A1679),INT(MOD($A1679,10000)/100),IFERROR(VALUE(TRIM(LEFT(MID($A1679,FIND("/",$A1679)+1,20),FIND("/",MID($A1679,FIND("/",$A1679)+1,20))-1))),"")))</f>
        <v/>
      </c>
      <c r="D1679">
        <f>IF(OR($A1679="",$B1679=""),"",IF(ISNUMBER($A1679),MOD($A1679,100),IFERROR(VALUE(TRIM(MID(MID($A1679,FIND("/",$A1679)+1,20),FIND("/",MID($A1679,FIND("/",$A1679)+1,20))+1,20))),"")))</f>
        <v/>
      </c>
      <c r="E1679">
        <f>IF($A1679="","",IF(OR($B1679="",$C1679="",$D1679="",$B1679&lt;1300,$B1679&gt;1500,$C1679&lt;1,$C1679&gt;12,$D1679&lt;1,$D1679&gt;31),"نامعتبر",RIGHT("0000"&amp;$B1679,4)&amp;"/"&amp;RIGHT("00"&amp;$C1679,2)&amp;"/"&amp;RIGHT("00"&amp;$D1679,2)))</f>
        <v/>
      </c>
      <c r="F1679">
        <f>IF(OR($E1679="",$E1679="نامعتبر"),"",LEFT($E1679,4)&amp;"/"&amp;MID($E1679,6,2))</f>
        <v/>
      </c>
      <c r="G1679">
        <f>IF(OR($E1679="",$E1679="نامعتبر",Sync!$Y1676=""),"",Sync!$Y1676)</f>
        <v/>
      </c>
      <c r="H1679">
        <f>IF($G1679="","",IF(Sync!$X1676="","",Sync!$X1676))</f>
        <v/>
      </c>
      <c r="I1679">
        <f>IF($G1679="","",IFERROR(VLOOKUP(Sync!$X1676,OpTbl,3,0),""))</f>
        <v/>
      </c>
      <c r="J1679">
        <f>IF(OR($G1679="",Sync!$Z1676=""),"",Sync!$Z1676)</f>
        <v/>
      </c>
      <c r="K1679">
        <f>IF(OR($G1679="",Sync!$AA1676=""),"",Sync!$AA1676)</f>
        <v/>
      </c>
      <c r="L1679">
        <f>IF($G1679="",0,IF(Sync!$AB1676="",0,Sync!$AB1676))</f>
        <v/>
      </c>
      <c r="M1679">
        <f>IF($G1679="",0,IF(Sync!$AC1676="",0,Sync!$AC1676))</f>
        <v/>
      </c>
      <c r="N1679">
        <f>IF($G1679="","",IF($H1679="مرجوعی خرید",-1,1)*($L1679-$M1679*IFERROR(VLOOKUP("P01",ParamTbl,3,0),1.5))*(1-IF($I1679="خرید",IFERROR(VLOOKUP("P02",ParamTbl,3,0),1),0)/100))</f>
        <v/>
      </c>
      <c r="O1679">
        <f>IF($G1679="",0,IF($H1679="مرجوعی خرید",-1,1)*IF(Sync!$AD1676="",0,Sync!$AD1676))</f>
        <v/>
      </c>
      <c r="P1679">
        <f>IF(OR($G1679="",Sync!$W1676=""),"",Sync!$W1676)</f>
        <v/>
      </c>
      <c r="Q1679">
        <f>IF(OR($G1679="",Sync!$AE1676=""),"",Sync!$AE1676)</f>
        <v/>
      </c>
      <c r="R1679">
        <f>IF($G1679="","",IF(Sync!$V1676="","0000",IF(AND(ISNUMBER(Sync!$V1676),Sync!$V1676&gt;=0,Sync!$V1676&lt;1),RIGHT("00"&amp;HOUR(Sync!$V1676),2)&amp;RIGHT("00"&amp;MINUTE(Sync!$V1676),2),IFERROR(RIGHT("00"&amp;VALUE(LEFT(Sync!$V1676,FIND(":",Sync!$V1676)-1)),2)&amp;RIGHT("00"&amp;VALUE(MID(Sync!$V1676,FIND(":",Sync!$V1676)+1,2)),2),"0000"))))</f>
        <v/>
      </c>
    </row>
    <row r="1680">
      <c r="A1680">
        <f>IF(Sync!$U1677="","",Sync!$U1677)</f>
        <v/>
      </c>
      <c r="B1680">
        <f>IF($A1680="","",IF(ISNUMBER($A1680),IF(AND($A1680&gt;=10000101,$A1680&lt;=99991231),INT($A1680/10000),""),IFERROR(VALUE(TRIM(LEFT($A1680,FIND("/",$A1680)-1))),"")))</f>
        <v/>
      </c>
      <c r="C1680">
        <f>IF(OR($A1680="",$B1680=""),"",IF(ISNUMBER($A1680),INT(MOD($A1680,10000)/100),IFERROR(VALUE(TRIM(LEFT(MID($A1680,FIND("/",$A1680)+1,20),FIND("/",MID($A1680,FIND("/",$A1680)+1,20))-1))),"")))</f>
        <v/>
      </c>
      <c r="D1680">
        <f>IF(OR($A1680="",$B1680=""),"",IF(ISNUMBER($A1680),MOD($A1680,100),IFERROR(VALUE(TRIM(MID(MID($A1680,FIND("/",$A1680)+1,20),FIND("/",MID($A1680,FIND("/",$A1680)+1,20))+1,20))),"")))</f>
        <v/>
      </c>
      <c r="E1680">
        <f>IF($A1680="","",IF(OR($B1680="",$C1680="",$D1680="",$B1680&lt;1300,$B1680&gt;1500,$C1680&lt;1,$C1680&gt;12,$D1680&lt;1,$D1680&gt;31),"نامعتبر",RIGHT("0000"&amp;$B1680,4)&amp;"/"&amp;RIGHT("00"&amp;$C1680,2)&amp;"/"&amp;RIGHT("00"&amp;$D1680,2)))</f>
        <v/>
      </c>
      <c r="F1680">
        <f>IF(OR($E1680="",$E1680="نامعتبر"),"",LEFT($E1680,4)&amp;"/"&amp;MID($E1680,6,2))</f>
        <v/>
      </c>
      <c r="G1680">
        <f>IF(OR($E1680="",$E1680="نامعتبر",Sync!$Y1677=""),"",Sync!$Y1677)</f>
        <v/>
      </c>
      <c r="H1680">
        <f>IF($G1680="","",IF(Sync!$X1677="","",Sync!$X1677))</f>
        <v/>
      </c>
      <c r="I1680">
        <f>IF($G1680="","",IFERROR(VLOOKUP(Sync!$X1677,OpTbl,3,0),""))</f>
        <v/>
      </c>
      <c r="J1680">
        <f>IF(OR($G1680="",Sync!$Z1677=""),"",Sync!$Z1677)</f>
        <v/>
      </c>
      <c r="K1680">
        <f>IF(OR($G1680="",Sync!$AA1677=""),"",Sync!$AA1677)</f>
        <v/>
      </c>
      <c r="L1680">
        <f>IF($G1680="",0,IF(Sync!$AB1677="",0,Sync!$AB1677))</f>
        <v/>
      </c>
      <c r="M1680">
        <f>IF($G1680="",0,IF(Sync!$AC1677="",0,Sync!$AC1677))</f>
        <v/>
      </c>
      <c r="N1680">
        <f>IF($G1680="","",IF($H1680="مرجوعی خرید",-1,1)*($L1680-$M1680*IFERROR(VLOOKUP("P01",ParamTbl,3,0),1.5))*(1-IF($I1680="خرید",IFERROR(VLOOKUP("P02",ParamTbl,3,0),1),0)/100))</f>
        <v/>
      </c>
      <c r="O1680">
        <f>IF($G1680="",0,IF($H1680="مرجوعی خرید",-1,1)*IF(Sync!$AD1677="",0,Sync!$AD1677))</f>
        <v/>
      </c>
      <c r="P1680">
        <f>IF(OR($G1680="",Sync!$W1677=""),"",Sync!$W1677)</f>
        <v/>
      </c>
      <c r="Q1680">
        <f>IF(OR($G1680="",Sync!$AE1677=""),"",Sync!$AE1677)</f>
        <v/>
      </c>
      <c r="R1680">
        <f>IF($G1680="","",IF(Sync!$V1677="","0000",IF(AND(ISNUMBER(Sync!$V1677),Sync!$V1677&gt;=0,Sync!$V1677&lt;1),RIGHT("00"&amp;HOUR(Sync!$V1677),2)&amp;RIGHT("00"&amp;MINUTE(Sync!$V1677),2),IFERROR(RIGHT("00"&amp;VALUE(LEFT(Sync!$V1677,FIND(":",Sync!$V1677)-1)),2)&amp;RIGHT("00"&amp;VALUE(MID(Sync!$V1677,FIND(":",Sync!$V1677)+1,2)),2),"0000"))))</f>
        <v/>
      </c>
    </row>
    <row r="1681">
      <c r="A1681">
        <f>IF(Sync!$U1678="","",Sync!$U1678)</f>
        <v/>
      </c>
      <c r="B1681">
        <f>IF($A1681="","",IF(ISNUMBER($A1681),IF(AND($A1681&gt;=10000101,$A1681&lt;=99991231),INT($A1681/10000),""),IFERROR(VALUE(TRIM(LEFT($A1681,FIND("/",$A1681)-1))),"")))</f>
        <v/>
      </c>
      <c r="C1681">
        <f>IF(OR($A1681="",$B1681=""),"",IF(ISNUMBER($A1681),INT(MOD($A1681,10000)/100),IFERROR(VALUE(TRIM(LEFT(MID($A1681,FIND("/",$A1681)+1,20),FIND("/",MID($A1681,FIND("/",$A1681)+1,20))-1))),"")))</f>
        <v/>
      </c>
      <c r="D1681">
        <f>IF(OR($A1681="",$B1681=""),"",IF(ISNUMBER($A1681),MOD($A1681,100),IFERROR(VALUE(TRIM(MID(MID($A1681,FIND("/",$A1681)+1,20),FIND("/",MID($A1681,FIND("/",$A1681)+1,20))+1,20))),"")))</f>
        <v/>
      </c>
      <c r="E1681">
        <f>IF($A1681="","",IF(OR($B1681="",$C1681="",$D1681="",$B1681&lt;1300,$B1681&gt;1500,$C1681&lt;1,$C1681&gt;12,$D1681&lt;1,$D1681&gt;31),"نامعتبر",RIGHT("0000"&amp;$B1681,4)&amp;"/"&amp;RIGHT("00"&amp;$C1681,2)&amp;"/"&amp;RIGHT("00"&amp;$D1681,2)))</f>
        <v/>
      </c>
      <c r="F1681">
        <f>IF(OR($E1681="",$E1681="نامعتبر"),"",LEFT($E1681,4)&amp;"/"&amp;MID($E1681,6,2))</f>
        <v/>
      </c>
      <c r="G1681">
        <f>IF(OR($E1681="",$E1681="نامعتبر",Sync!$Y1678=""),"",Sync!$Y1678)</f>
        <v/>
      </c>
      <c r="H1681">
        <f>IF($G1681="","",IF(Sync!$X1678="","",Sync!$X1678))</f>
        <v/>
      </c>
      <c r="I1681">
        <f>IF($G1681="","",IFERROR(VLOOKUP(Sync!$X1678,OpTbl,3,0),""))</f>
        <v/>
      </c>
      <c r="J1681">
        <f>IF(OR($G1681="",Sync!$Z1678=""),"",Sync!$Z1678)</f>
        <v/>
      </c>
      <c r="K1681">
        <f>IF(OR($G1681="",Sync!$AA1678=""),"",Sync!$AA1678)</f>
        <v/>
      </c>
      <c r="L1681">
        <f>IF($G1681="",0,IF(Sync!$AB1678="",0,Sync!$AB1678))</f>
        <v/>
      </c>
      <c r="M1681">
        <f>IF($G1681="",0,IF(Sync!$AC1678="",0,Sync!$AC1678))</f>
        <v/>
      </c>
      <c r="N1681">
        <f>IF($G1681="","",IF($H1681="مرجوعی خرید",-1,1)*($L1681-$M1681*IFERROR(VLOOKUP("P01",ParamTbl,3,0),1.5))*(1-IF($I1681="خرید",IFERROR(VLOOKUP("P02",ParamTbl,3,0),1),0)/100))</f>
        <v/>
      </c>
      <c r="O1681">
        <f>IF($G1681="",0,IF($H1681="مرجوعی خرید",-1,1)*IF(Sync!$AD1678="",0,Sync!$AD1678))</f>
        <v/>
      </c>
      <c r="P1681">
        <f>IF(OR($G1681="",Sync!$W1678=""),"",Sync!$W1678)</f>
        <v/>
      </c>
      <c r="Q1681">
        <f>IF(OR($G1681="",Sync!$AE1678=""),"",Sync!$AE1678)</f>
        <v/>
      </c>
      <c r="R1681">
        <f>IF($G1681="","",IF(Sync!$V1678="","0000",IF(AND(ISNUMBER(Sync!$V1678),Sync!$V1678&gt;=0,Sync!$V1678&lt;1),RIGHT("00"&amp;HOUR(Sync!$V1678),2)&amp;RIGHT("00"&amp;MINUTE(Sync!$V1678),2),IFERROR(RIGHT("00"&amp;VALUE(LEFT(Sync!$V1678,FIND(":",Sync!$V1678)-1)),2)&amp;RIGHT("00"&amp;VALUE(MID(Sync!$V1678,FIND(":",Sync!$V1678)+1,2)),2),"0000"))))</f>
        <v/>
      </c>
    </row>
    <row r="1682">
      <c r="A1682">
        <f>IF(Sync!$U1679="","",Sync!$U1679)</f>
        <v/>
      </c>
      <c r="B1682">
        <f>IF($A1682="","",IF(ISNUMBER($A1682),IF(AND($A1682&gt;=10000101,$A1682&lt;=99991231),INT($A1682/10000),""),IFERROR(VALUE(TRIM(LEFT($A1682,FIND("/",$A1682)-1))),"")))</f>
        <v/>
      </c>
      <c r="C1682">
        <f>IF(OR($A1682="",$B1682=""),"",IF(ISNUMBER($A1682),INT(MOD($A1682,10000)/100),IFERROR(VALUE(TRIM(LEFT(MID($A1682,FIND("/",$A1682)+1,20),FIND("/",MID($A1682,FIND("/",$A1682)+1,20))-1))),"")))</f>
        <v/>
      </c>
      <c r="D1682">
        <f>IF(OR($A1682="",$B1682=""),"",IF(ISNUMBER($A1682),MOD($A1682,100),IFERROR(VALUE(TRIM(MID(MID($A1682,FIND("/",$A1682)+1,20),FIND("/",MID($A1682,FIND("/",$A1682)+1,20))+1,20))),"")))</f>
        <v/>
      </c>
      <c r="E1682">
        <f>IF($A1682="","",IF(OR($B1682="",$C1682="",$D1682="",$B1682&lt;1300,$B1682&gt;1500,$C1682&lt;1,$C1682&gt;12,$D1682&lt;1,$D1682&gt;31),"نامعتبر",RIGHT("0000"&amp;$B1682,4)&amp;"/"&amp;RIGHT("00"&amp;$C1682,2)&amp;"/"&amp;RIGHT("00"&amp;$D1682,2)))</f>
        <v/>
      </c>
      <c r="F1682">
        <f>IF(OR($E1682="",$E1682="نامعتبر"),"",LEFT($E1682,4)&amp;"/"&amp;MID($E1682,6,2))</f>
        <v/>
      </c>
      <c r="G1682">
        <f>IF(OR($E1682="",$E1682="نامعتبر",Sync!$Y1679=""),"",Sync!$Y1679)</f>
        <v/>
      </c>
      <c r="H1682">
        <f>IF($G1682="","",IF(Sync!$X1679="","",Sync!$X1679))</f>
        <v/>
      </c>
      <c r="I1682">
        <f>IF($G1682="","",IFERROR(VLOOKUP(Sync!$X1679,OpTbl,3,0),""))</f>
        <v/>
      </c>
      <c r="J1682">
        <f>IF(OR($G1682="",Sync!$Z1679=""),"",Sync!$Z1679)</f>
        <v/>
      </c>
      <c r="K1682">
        <f>IF(OR($G1682="",Sync!$AA1679=""),"",Sync!$AA1679)</f>
        <v/>
      </c>
      <c r="L1682">
        <f>IF($G1682="",0,IF(Sync!$AB1679="",0,Sync!$AB1679))</f>
        <v/>
      </c>
      <c r="M1682">
        <f>IF($G1682="",0,IF(Sync!$AC1679="",0,Sync!$AC1679))</f>
        <v/>
      </c>
      <c r="N1682">
        <f>IF($G1682="","",IF($H1682="مرجوعی خرید",-1,1)*($L1682-$M1682*IFERROR(VLOOKUP("P01",ParamTbl,3,0),1.5))*(1-IF($I1682="خرید",IFERROR(VLOOKUP("P02",ParamTbl,3,0),1),0)/100))</f>
        <v/>
      </c>
      <c r="O1682">
        <f>IF($G1682="",0,IF($H1682="مرجوعی خرید",-1,1)*IF(Sync!$AD1679="",0,Sync!$AD1679))</f>
        <v/>
      </c>
      <c r="P1682">
        <f>IF(OR($G1682="",Sync!$W1679=""),"",Sync!$W1679)</f>
        <v/>
      </c>
      <c r="Q1682">
        <f>IF(OR($G1682="",Sync!$AE1679=""),"",Sync!$AE1679)</f>
        <v/>
      </c>
      <c r="R1682">
        <f>IF($G1682="","",IF(Sync!$V1679="","0000",IF(AND(ISNUMBER(Sync!$V1679),Sync!$V1679&gt;=0,Sync!$V1679&lt;1),RIGHT("00"&amp;HOUR(Sync!$V1679),2)&amp;RIGHT("00"&amp;MINUTE(Sync!$V1679),2),IFERROR(RIGHT("00"&amp;VALUE(LEFT(Sync!$V1679,FIND(":",Sync!$V1679)-1)),2)&amp;RIGHT("00"&amp;VALUE(MID(Sync!$V1679,FIND(":",Sync!$V1679)+1,2)),2),"0000"))))</f>
        <v/>
      </c>
    </row>
    <row r="1683">
      <c r="A1683">
        <f>IF(Sync!$U1680="","",Sync!$U1680)</f>
        <v/>
      </c>
      <c r="B1683">
        <f>IF($A1683="","",IF(ISNUMBER($A1683),IF(AND($A1683&gt;=10000101,$A1683&lt;=99991231),INT($A1683/10000),""),IFERROR(VALUE(TRIM(LEFT($A1683,FIND("/",$A1683)-1))),"")))</f>
        <v/>
      </c>
      <c r="C1683">
        <f>IF(OR($A1683="",$B1683=""),"",IF(ISNUMBER($A1683),INT(MOD($A1683,10000)/100),IFERROR(VALUE(TRIM(LEFT(MID($A1683,FIND("/",$A1683)+1,20),FIND("/",MID($A1683,FIND("/",$A1683)+1,20))-1))),"")))</f>
        <v/>
      </c>
      <c r="D1683">
        <f>IF(OR($A1683="",$B1683=""),"",IF(ISNUMBER($A1683),MOD($A1683,100),IFERROR(VALUE(TRIM(MID(MID($A1683,FIND("/",$A1683)+1,20),FIND("/",MID($A1683,FIND("/",$A1683)+1,20))+1,20))),"")))</f>
        <v/>
      </c>
      <c r="E1683">
        <f>IF($A1683="","",IF(OR($B1683="",$C1683="",$D1683="",$B1683&lt;1300,$B1683&gt;1500,$C1683&lt;1,$C1683&gt;12,$D1683&lt;1,$D1683&gt;31),"نامعتبر",RIGHT("0000"&amp;$B1683,4)&amp;"/"&amp;RIGHT("00"&amp;$C1683,2)&amp;"/"&amp;RIGHT("00"&amp;$D1683,2)))</f>
        <v/>
      </c>
      <c r="F1683">
        <f>IF(OR($E1683="",$E1683="نامعتبر"),"",LEFT($E1683,4)&amp;"/"&amp;MID($E1683,6,2))</f>
        <v/>
      </c>
      <c r="G1683">
        <f>IF(OR($E1683="",$E1683="نامعتبر",Sync!$Y1680=""),"",Sync!$Y1680)</f>
        <v/>
      </c>
      <c r="H1683">
        <f>IF($G1683="","",IF(Sync!$X1680="","",Sync!$X1680))</f>
        <v/>
      </c>
      <c r="I1683">
        <f>IF($G1683="","",IFERROR(VLOOKUP(Sync!$X1680,OpTbl,3,0),""))</f>
        <v/>
      </c>
      <c r="J1683">
        <f>IF(OR($G1683="",Sync!$Z1680=""),"",Sync!$Z1680)</f>
        <v/>
      </c>
      <c r="K1683">
        <f>IF(OR($G1683="",Sync!$AA1680=""),"",Sync!$AA1680)</f>
        <v/>
      </c>
      <c r="L1683">
        <f>IF($G1683="",0,IF(Sync!$AB1680="",0,Sync!$AB1680))</f>
        <v/>
      </c>
      <c r="M1683">
        <f>IF($G1683="",0,IF(Sync!$AC1680="",0,Sync!$AC1680))</f>
        <v/>
      </c>
      <c r="N1683">
        <f>IF($G1683="","",IF($H1683="مرجوعی خرید",-1,1)*($L1683-$M1683*IFERROR(VLOOKUP("P01",ParamTbl,3,0),1.5))*(1-IF($I1683="خرید",IFERROR(VLOOKUP("P02",ParamTbl,3,0),1),0)/100))</f>
        <v/>
      </c>
      <c r="O1683">
        <f>IF($G1683="",0,IF($H1683="مرجوعی خرید",-1,1)*IF(Sync!$AD1680="",0,Sync!$AD1680))</f>
        <v/>
      </c>
      <c r="P1683">
        <f>IF(OR($G1683="",Sync!$W1680=""),"",Sync!$W1680)</f>
        <v/>
      </c>
      <c r="Q1683">
        <f>IF(OR($G1683="",Sync!$AE1680=""),"",Sync!$AE1680)</f>
        <v/>
      </c>
      <c r="R1683">
        <f>IF($G1683="","",IF(Sync!$V1680="","0000",IF(AND(ISNUMBER(Sync!$V1680),Sync!$V1680&gt;=0,Sync!$V1680&lt;1),RIGHT("00"&amp;HOUR(Sync!$V1680),2)&amp;RIGHT("00"&amp;MINUTE(Sync!$V1680),2),IFERROR(RIGHT("00"&amp;VALUE(LEFT(Sync!$V1680,FIND(":",Sync!$V1680)-1)),2)&amp;RIGHT("00"&amp;VALUE(MID(Sync!$V1680,FIND(":",Sync!$V1680)+1,2)),2),"0000"))))</f>
        <v/>
      </c>
    </row>
    <row r="1684">
      <c r="A1684">
        <f>IF(Sync!$U1681="","",Sync!$U1681)</f>
        <v/>
      </c>
      <c r="B1684">
        <f>IF($A1684="","",IF(ISNUMBER($A1684),IF(AND($A1684&gt;=10000101,$A1684&lt;=99991231),INT($A1684/10000),""),IFERROR(VALUE(TRIM(LEFT($A1684,FIND("/",$A1684)-1))),"")))</f>
        <v/>
      </c>
      <c r="C1684">
        <f>IF(OR($A1684="",$B1684=""),"",IF(ISNUMBER($A1684),INT(MOD($A1684,10000)/100),IFERROR(VALUE(TRIM(LEFT(MID($A1684,FIND("/",$A1684)+1,20),FIND("/",MID($A1684,FIND("/",$A1684)+1,20))-1))),"")))</f>
        <v/>
      </c>
      <c r="D1684">
        <f>IF(OR($A1684="",$B1684=""),"",IF(ISNUMBER($A1684),MOD($A1684,100),IFERROR(VALUE(TRIM(MID(MID($A1684,FIND("/",$A1684)+1,20),FIND("/",MID($A1684,FIND("/",$A1684)+1,20))+1,20))),"")))</f>
        <v/>
      </c>
      <c r="E1684">
        <f>IF($A1684="","",IF(OR($B1684="",$C1684="",$D1684="",$B1684&lt;1300,$B1684&gt;1500,$C1684&lt;1,$C1684&gt;12,$D1684&lt;1,$D1684&gt;31),"نامعتبر",RIGHT("0000"&amp;$B1684,4)&amp;"/"&amp;RIGHT("00"&amp;$C1684,2)&amp;"/"&amp;RIGHT("00"&amp;$D1684,2)))</f>
        <v/>
      </c>
      <c r="F1684">
        <f>IF(OR($E1684="",$E1684="نامعتبر"),"",LEFT($E1684,4)&amp;"/"&amp;MID($E1684,6,2))</f>
        <v/>
      </c>
      <c r="G1684">
        <f>IF(OR($E1684="",$E1684="نامعتبر",Sync!$Y1681=""),"",Sync!$Y1681)</f>
        <v/>
      </c>
      <c r="H1684">
        <f>IF($G1684="","",IF(Sync!$X1681="","",Sync!$X1681))</f>
        <v/>
      </c>
      <c r="I1684">
        <f>IF($G1684="","",IFERROR(VLOOKUP(Sync!$X1681,OpTbl,3,0),""))</f>
        <v/>
      </c>
      <c r="J1684">
        <f>IF(OR($G1684="",Sync!$Z1681=""),"",Sync!$Z1681)</f>
        <v/>
      </c>
      <c r="K1684">
        <f>IF(OR($G1684="",Sync!$AA1681=""),"",Sync!$AA1681)</f>
        <v/>
      </c>
      <c r="L1684">
        <f>IF($G1684="",0,IF(Sync!$AB1681="",0,Sync!$AB1681))</f>
        <v/>
      </c>
      <c r="M1684">
        <f>IF($G1684="",0,IF(Sync!$AC1681="",0,Sync!$AC1681))</f>
        <v/>
      </c>
      <c r="N1684">
        <f>IF($G1684="","",IF($H1684="مرجوعی خرید",-1,1)*($L1684-$M1684*IFERROR(VLOOKUP("P01",ParamTbl,3,0),1.5))*(1-IF($I1684="خرید",IFERROR(VLOOKUP("P02",ParamTbl,3,0),1),0)/100))</f>
        <v/>
      </c>
      <c r="O1684">
        <f>IF($G1684="",0,IF($H1684="مرجوعی خرید",-1,1)*IF(Sync!$AD1681="",0,Sync!$AD1681))</f>
        <v/>
      </c>
      <c r="P1684">
        <f>IF(OR($G1684="",Sync!$W1681=""),"",Sync!$W1681)</f>
        <v/>
      </c>
      <c r="Q1684">
        <f>IF(OR($G1684="",Sync!$AE1681=""),"",Sync!$AE1681)</f>
        <v/>
      </c>
      <c r="R1684">
        <f>IF($G1684="","",IF(Sync!$V1681="","0000",IF(AND(ISNUMBER(Sync!$V1681),Sync!$V1681&gt;=0,Sync!$V1681&lt;1),RIGHT("00"&amp;HOUR(Sync!$V1681),2)&amp;RIGHT("00"&amp;MINUTE(Sync!$V1681),2),IFERROR(RIGHT("00"&amp;VALUE(LEFT(Sync!$V1681,FIND(":",Sync!$V1681)-1)),2)&amp;RIGHT("00"&amp;VALUE(MID(Sync!$V1681,FIND(":",Sync!$V1681)+1,2)),2),"0000"))))</f>
        <v/>
      </c>
    </row>
    <row r="1685">
      <c r="A1685">
        <f>IF(Sync!$U1682="","",Sync!$U1682)</f>
        <v/>
      </c>
      <c r="B1685">
        <f>IF($A1685="","",IF(ISNUMBER($A1685),IF(AND($A1685&gt;=10000101,$A1685&lt;=99991231),INT($A1685/10000),""),IFERROR(VALUE(TRIM(LEFT($A1685,FIND("/",$A1685)-1))),"")))</f>
        <v/>
      </c>
      <c r="C1685">
        <f>IF(OR($A1685="",$B1685=""),"",IF(ISNUMBER($A1685),INT(MOD($A1685,10000)/100),IFERROR(VALUE(TRIM(LEFT(MID($A1685,FIND("/",$A1685)+1,20),FIND("/",MID($A1685,FIND("/",$A1685)+1,20))-1))),"")))</f>
        <v/>
      </c>
      <c r="D1685">
        <f>IF(OR($A1685="",$B1685=""),"",IF(ISNUMBER($A1685),MOD($A1685,100),IFERROR(VALUE(TRIM(MID(MID($A1685,FIND("/",$A1685)+1,20),FIND("/",MID($A1685,FIND("/",$A1685)+1,20))+1,20))),"")))</f>
        <v/>
      </c>
      <c r="E1685">
        <f>IF($A1685="","",IF(OR($B1685="",$C1685="",$D1685="",$B1685&lt;1300,$B1685&gt;1500,$C1685&lt;1,$C1685&gt;12,$D1685&lt;1,$D1685&gt;31),"نامعتبر",RIGHT("0000"&amp;$B1685,4)&amp;"/"&amp;RIGHT("00"&amp;$C1685,2)&amp;"/"&amp;RIGHT("00"&amp;$D1685,2)))</f>
        <v/>
      </c>
      <c r="F1685">
        <f>IF(OR($E1685="",$E1685="نامعتبر"),"",LEFT($E1685,4)&amp;"/"&amp;MID($E1685,6,2))</f>
        <v/>
      </c>
      <c r="G1685">
        <f>IF(OR($E1685="",$E1685="نامعتبر",Sync!$Y1682=""),"",Sync!$Y1682)</f>
        <v/>
      </c>
      <c r="H1685">
        <f>IF($G1685="","",IF(Sync!$X1682="","",Sync!$X1682))</f>
        <v/>
      </c>
      <c r="I1685">
        <f>IF($G1685="","",IFERROR(VLOOKUP(Sync!$X1682,OpTbl,3,0),""))</f>
        <v/>
      </c>
      <c r="J1685">
        <f>IF(OR($G1685="",Sync!$Z1682=""),"",Sync!$Z1682)</f>
        <v/>
      </c>
      <c r="K1685">
        <f>IF(OR($G1685="",Sync!$AA1682=""),"",Sync!$AA1682)</f>
        <v/>
      </c>
      <c r="L1685">
        <f>IF($G1685="",0,IF(Sync!$AB1682="",0,Sync!$AB1682))</f>
        <v/>
      </c>
      <c r="M1685">
        <f>IF($G1685="",0,IF(Sync!$AC1682="",0,Sync!$AC1682))</f>
        <v/>
      </c>
      <c r="N1685">
        <f>IF($G1685="","",IF($H1685="مرجوعی خرید",-1,1)*($L1685-$M1685*IFERROR(VLOOKUP("P01",ParamTbl,3,0),1.5))*(1-IF($I1685="خرید",IFERROR(VLOOKUP("P02",ParamTbl,3,0),1),0)/100))</f>
        <v/>
      </c>
      <c r="O1685">
        <f>IF($G1685="",0,IF($H1685="مرجوعی خرید",-1,1)*IF(Sync!$AD1682="",0,Sync!$AD1682))</f>
        <v/>
      </c>
      <c r="P1685">
        <f>IF(OR($G1685="",Sync!$W1682=""),"",Sync!$W1682)</f>
        <v/>
      </c>
      <c r="Q1685">
        <f>IF(OR($G1685="",Sync!$AE1682=""),"",Sync!$AE1682)</f>
        <v/>
      </c>
      <c r="R1685">
        <f>IF($G1685="","",IF(Sync!$V1682="","0000",IF(AND(ISNUMBER(Sync!$V1682),Sync!$V1682&gt;=0,Sync!$V1682&lt;1),RIGHT("00"&amp;HOUR(Sync!$V1682),2)&amp;RIGHT("00"&amp;MINUTE(Sync!$V1682),2),IFERROR(RIGHT("00"&amp;VALUE(LEFT(Sync!$V1682,FIND(":",Sync!$V1682)-1)),2)&amp;RIGHT("00"&amp;VALUE(MID(Sync!$V1682,FIND(":",Sync!$V1682)+1,2)),2),"0000"))))</f>
        <v/>
      </c>
    </row>
    <row r="1686">
      <c r="A1686">
        <f>IF(Sync!$U1683="","",Sync!$U1683)</f>
        <v/>
      </c>
      <c r="B1686">
        <f>IF($A1686="","",IF(ISNUMBER($A1686),IF(AND($A1686&gt;=10000101,$A1686&lt;=99991231),INT($A1686/10000),""),IFERROR(VALUE(TRIM(LEFT($A1686,FIND("/",$A1686)-1))),"")))</f>
        <v/>
      </c>
      <c r="C1686">
        <f>IF(OR($A1686="",$B1686=""),"",IF(ISNUMBER($A1686),INT(MOD($A1686,10000)/100),IFERROR(VALUE(TRIM(LEFT(MID($A1686,FIND("/",$A1686)+1,20),FIND("/",MID($A1686,FIND("/",$A1686)+1,20))-1))),"")))</f>
        <v/>
      </c>
      <c r="D1686">
        <f>IF(OR($A1686="",$B1686=""),"",IF(ISNUMBER($A1686),MOD($A1686,100),IFERROR(VALUE(TRIM(MID(MID($A1686,FIND("/",$A1686)+1,20),FIND("/",MID($A1686,FIND("/",$A1686)+1,20))+1,20))),"")))</f>
        <v/>
      </c>
      <c r="E1686">
        <f>IF($A1686="","",IF(OR($B1686="",$C1686="",$D1686="",$B1686&lt;1300,$B1686&gt;1500,$C1686&lt;1,$C1686&gt;12,$D1686&lt;1,$D1686&gt;31),"نامعتبر",RIGHT("0000"&amp;$B1686,4)&amp;"/"&amp;RIGHT("00"&amp;$C1686,2)&amp;"/"&amp;RIGHT("00"&amp;$D1686,2)))</f>
        <v/>
      </c>
      <c r="F1686">
        <f>IF(OR($E1686="",$E1686="نامعتبر"),"",LEFT($E1686,4)&amp;"/"&amp;MID($E1686,6,2))</f>
        <v/>
      </c>
      <c r="G1686">
        <f>IF(OR($E1686="",$E1686="نامعتبر",Sync!$Y1683=""),"",Sync!$Y1683)</f>
        <v/>
      </c>
      <c r="H1686">
        <f>IF($G1686="","",IF(Sync!$X1683="","",Sync!$X1683))</f>
        <v/>
      </c>
      <c r="I1686">
        <f>IF($G1686="","",IFERROR(VLOOKUP(Sync!$X1683,OpTbl,3,0),""))</f>
        <v/>
      </c>
      <c r="J1686">
        <f>IF(OR($G1686="",Sync!$Z1683=""),"",Sync!$Z1683)</f>
        <v/>
      </c>
      <c r="K1686">
        <f>IF(OR($G1686="",Sync!$AA1683=""),"",Sync!$AA1683)</f>
        <v/>
      </c>
      <c r="L1686">
        <f>IF($G1686="",0,IF(Sync!$AB1683="",0,Sync!$AB1683))</f>
        <v/>
      </c>
      <c r="M1686">
        <f>IF($G1686="",0,IF(Sync!$AC1683="",0,Sync!$AC1683))</f>
        <v/>
      </c>
      <c r="N1686">
        <f>IF($G1686="","",IF($H1686="مرجوعی خرید",-1,1)*($L1686-$M1686*IFERROR(VLOOKUP("P01",ParamTbl,3,0),1.5))*(1-IF($I1686="خرید",IFERROR(VLOOKUP("P02",ParamTbl,3,0),1),0)/100))</f>
        <v/>
      </c>
      <c r="O1686">
        <f>IF($G1686="",0,IF($H1686="مرجوعی خرید",-1,1)*IF(Sync!$AD1683="",0,Sync!$AD1683))</f>
        <v/>
      </c>
      <c r="P1686">
        <f>IF(OR($G1686="",Sync!$W1683=""),"",Sync!$W1683)</f>
        <v/>
      </c>
      <c r="Q1686">
        <f>IF(OR($G1686="",Sync!$AE1683=""),"",Sync!$AE1683)</f>
        <v/>
      </c>
      <c r="R1686">
        <f>IF($G1686="","",IF(Sync!$V1683="","0000",IF(AND(ISNUMBER(Sync!$V1683),Sync!$V1683&gt;=0,Sync!$V1683&lt;1),RIGHT("00"&amp;HOUR(Sync!$V1683),2)&amp;RIGHT("00"&amp;MINUTE(Sync!$V1683),2),IFERROR(RIGHT("00"&amp;VALUE(LEFT(Sync!$V1683,FIND(":",Sync!$V1683)-1)),2)&amp;RIGHT("00"&amp;VALUE(MID(Sync!$V1683,FIND(":",Sync!$V1683)+1,2)),2),"0000"))))</f>
        <v/>
      </c>
    </row>
    <row r="1687">
      <c r="A1687">
        <f>IF(Sync!$U1684="","",Sync!$U1684)</f>
        <v/>
      </c>
      <c r="B1687">
        <f>IF($A1687="","",IF(ISNUMBER($A1687),IF(AND($A1687&gt;=10000101,$A1687&lt;=99991231),INT($A1687/10000),""),IFERROR(VALUE(TRIM(LEFT($A1687,FIND("/",$A1687)-1))),"")))</f>
        <v/>
      </c>
      <c r="C1687">
        <f>IF(OR($A1687="",$B1687=""),"",IF(ISNUMBER($A1687),INT(MOD($A1687,10000)/100),IFERROR(VALUE(TRIM(LEFT(MID($A1687,FIND("/",$A1687)+1,20),FIND("/",MID($A1687,FIND("/",$A1687)+1,20))-1))),"")))</f>
        <v/>
      </c>
      <c r="D1687">
        <f>IF(OR($A1687="",$B1687=""),"",IF(ISNUMBER($A1687),MOD($A1687,100),IFERROR(VALUE(TRIM(MID(MID($A1687,FIND("/",$A1687)+1,20),FIND("/",MID($A1687,FIND("/",$A1687)+1,20))+1,20))),"")))</f>
        <v/>
      </c>
      <c r="E1687">
        <f>IF($A1687="","",IF(OR($B1687="",$C1687="",$D1687="",$B1687&lt;1300,$B1687&gt;1500,$C1687&lt;1,$C1687&gt;12,$D1687&lt;1,$D1687&gt;31),"نامعتبر",RIGHT("0000"&amp;$B1687,4)&amp;"/"&amp;RIGHT("00"&amp;$C1687,2)&amp;"/"&amp;RIGHT("00"&amp;$D1687,2)))</f>
        <v/>
      </c>
      <c r="F1687">
        <f>IF(OR($E1687="",$E1687="نامعتبر"),"",LEFT($E1687,4)&amp;"/"&amp;MID($E1687,6,2))</f>
        <v/>
      </c>
      <c r="G1687">
        <f>IF(OR($E1687="",$E1687="نامعتبر",Sync!$Y1684=""),"",Sync!$Y1684)</f>
        <v/>
      </c>
      <c r="H1687">
        <f>IF($G1687="","",IF(Sync!$X1684="","",Sync!$X1684))</f>
        <v/>
      </c>
      <c r="I1687">
        <f>IF($G1687="","",IFERROR(VLOOKUP(Sync!$X1684,OpTbl,3,0),""))</f>
        <v/>
      </c>
      <c r="J1687">
        <f>IF(OR($G1687="",Sync!$Z1684=""),"",Sync!$Z1684)</f>
        <v/>
      </c>
      <c r="K1687">
        <f>IF(OR($G1687="",Sync!$AA1684=""),"",Sync!$AA1684)</f>
        <v/>
      </c>
      <c r="L1687">
        <f>IF($G1687="",0,IF(Sync!$AB1684="",0,Sync!$AB1684))</f>
        <v/>
      </c>
      <c r="M1687">
        <f>IF($G1687="",0,IF(Sync!$AC1684="",0,Sync!$AC1684))</f>
        <v/>
      </c>
      <c r="N1687">
        <f>IF($G1687="","",IF($H1687="مرجوعی خرید",-1,1)*($L1687-$M1687*IFERROR(VLOOKUP("P01",ParamTbl,3,0),1.5))*(1-IF($I1687="خرید",IFERROR(VLOOKUP("P02",ParamTbl,3,0),1),0)/100))</f>
        <v/>
      </c>
      <c r="O1687">
        <f>IF($G1687="",0,IF($H1687="مرجوعی خرید",-1,1)*IF(Sync!$AD1684="",0,Sync!$AD1684))</f>
        <v/>
      </c>
      <c r="P1687">
        <f>IF(OR($G1687="",Sync!$W1684=""),"",Sync!$W1684)</f>
        <v/>
      </c>
      <c r="Q1687">
        <f>IF(OR($G1687="",Sync!$AE1684=""),"",Sync!$AE1684)</f>
        <v/>
      </c>
      <c r="R1687">
        <f>IF($G1687="","",IF(Sync!$V1684="","0000",IF(AND(ISNUMBER(Sync!$V1684),Sync!$V1684&gt;=0,Sync!$V1684&lt;1),RIGHT("00"&amp;HOUR(Sync!$V1684),2)&amp;RIGHT("00"&amp;MINUTE(Sync!$V1684),2),IFERROR(RIGHT("00"&amp;VALUE(LEFT(Sync!$V1684,FIND(":",Sync!$V1684)-1)),2)&amp;RIGHT("00"&amp;VALUE(MID(Sync!$V1684,FIND(":",Sync!$V1684)+1,2)),2),"0000"))))</f>
        <v/>
      </c>
    </row>
    <row r="1688">
      <c r="A1688">
        <f>IF(Sync!$U1685="","",Sync!$U1685)</f>
        <v/>
      </c>
      <c r="B1688">
        <f>IF($A1688="","",IF(ISNUMBER($A1688),IF(AND($A1688&gt;=10000101,$A1688&lt;=99991231),INT($A1688/10000),""),IFERROR(VALUE(TRIM(LEFT($A1688,FIND("/",$A1688)-1))),"")))</f>
        <v/>
      </c>
      <c r="C1688">
        <f>IF(OR($A1688="",$B1688=""),"",IF(ISNUMBER($A1688),INT(MOD($A1688,10000)/100),IFERROR(VALUE(TRIM(LEFT(MID($A1688,FIND("/",$A1688)+1,20),FIND("/",MID($A1688,FIND("/",$A1688)+1,20))-1))),"")))</f>
        <v/>
      </c>
      <c r="D1688">
        <f>IF(OR($A1688="",$B1688=""),"",IF(ISNUMBER($A1688),MOD($A1688,100),IFERROR(VALUE(TRIM(MID(MID($A1688,FIND("/",$A1688)+1,20),FIND("/",MID($A1688,FIND("/",$A1688)+1,20))+1,20))),"")))</f>
        <v/>
      </c>
      <c r="E1688">
        <f>IF($A1688="","",IF(OR($B1688="",$C1688="",$D1688="",$B1688&lt;1300,$B1688&gt;1500,$C1688&lt;1,$C1688&gt;12,$D1688&lt;1,$D1688&gt;31),"نامعتبر",RIGHT("0000"&amp;$B1688,4)&amp;"/"&amp;RIGHT("00"&amp;$C1688,2)&amp;"/"&amp;RIGHT("00"&amp;$D1688,2)))</f>
        <v/>
      </c>
      <c r="F1688">
        <f>IF(OR($E1688="",$E1688="نامعتبر"),"",LEFT($E1688,4)&amp;"/"&amp;MID($E1688,6,2))</f>
        <v/>
      </c>
      <c r="G1688">
        <f>IF(OR($E1688="",$E1688="نامعتبر",Sync!$Y1685=""),"",Sync!$Y1685)</f>
        <v/>
      </c>
      <c r="H1688">
        <f>IF($G1688="","",IF(Sync!$X1685="","",Sync!$X1685))</f>
        <v/>
      </c>
      <c r="I1688">
        <f>IF($G1688="","",IFERROR(VLOOKUP(Sync!$X1685,OpTbl,3,0),""))</f>
        <v/>
      </c>
      <c r="J1688">
        <f>IF(OR($G1688="",Sync!$Z1685=""),"",Sync!$Z1685)</f>
        <v/>
      </c>
      <c r="K1688">
        <f>IF(OR($G1688="",Sync!$AA1685=""),"",Sync!$AA1685)</f>
        <v/>
      </c>
      <c r="L1688">
        <f>IF($G1688="",0,IF(Sync!$AB1685="",0,Sync!$AB1685))</f>
        <v/>
      </c>
      <c r="M1688">
        <f>IF($G1688="",0,IF(Sync!$AC1685="",0,Sync!$AC1685))</f>
        <v/>
      </c>
      <c r="N1688">
        <f>IF($G1688="","",IF($H1688="مرجوعی خرید",-1,1)*($L1688-$M1688*IFERROR(VLOOKUP("P01",ParamTbl,3,0),1.5))*(1-IF($I1688="خرید",IFERROR(VLOOKUP("P02",ParamTbl,3,0),1),0)/100))</f>
        <v/>
      </c>
      <c r="O1688">
        <f>IF($G1688="",0,IF($H1688="مرجوعی خرید",-1,1)*IF(Sync!$AD1685="",0,Sync!$AD1685))</f>
        <v/>
      </c>
      <c r="P1688">
        <f>IF(OR($G1688="",Sync!$W1685=""),"",Sync!$W1685)</f>
        <v/>
      </c>
      <c r="Q1688">
        <f>IF(OR($G1688="",Sync!$AE1685=""),"",Sync!$AE1685)</f>
        <v/>
      </c>
      <c r="R1688">
        <f>IF($G1688="","",IF(Sync!$V1685="","0000",IF(AND(ISNUMBER(Sync!$V1685),Sync!$V1685&gt;=0,Sync!$V1685&lt;1),RIGHT("00"&amp;HOUR(Sync!$V1685),2)&amp;RIGHT("00"&amp;MINUTE(Sync!$V1685),2),IFERROR(RIGHT("00"&amp;VALUE(LEFT(Sync!$V1685,FIND(":",Sync!$V1685)-1)),2)&amp;RIGHT("00"&amp;VALUE(MID(Sync!$V1685,FIND(":",Sync!$V1685)+1,2)),2),"0000"))))</f>
        <v/>
      </c>
    </row>
    <row r="1689">
      <c r="A1689">
        <f>IF(Sync!$U1686="","",Sync!$U1686)</f>
        <v/>
      </c>
      <c r="B1689">
        <f>IF($A1689="","",IF(ISNUMBER($A1689),IF(AND($A1689&gt;=10000101,$A1689&lt;=99991231),INT($A1689/10000),""),IFERROR(VALUE(TRIM(LEFT($A1689,FIND("/",$A1689)-1))),"")))</f>
        <v/>
      </c>
      <c r="C1689">
        <f>IF(OR($A1689="",$B1689=""),"",IF(ISNUMBER($A1689),INT(MOD($A1689,10000)/100),IFERROR(VALUE(TRIM(LEFT(MID($A1689,FIND("/",$A1689)+1,20),FIND("/",MID($A1689,FIND("/",$A1689)+1,20))-1))),"")))</f>
        <v/>
      </c>
      <c r="D1689">
        <f>IF(OR($A1689="",$B1689=""),"",IF(ISNUMBER($A1689),MOD($A1689,100),IFERROR(VALUE(TRIM(MID(MID($A1689,FIND("/",$A1689)+1,20),FIND("/",MID($A1689,FIND("/",$A1689)+1,20))+1,20))),"")))</f>
        <v/>
      </c>
      <c r="E1689">
        <f>IF($A1689="","",IF(OR($B1689="",$C1689="",$D1689="",$B1689&lt;1300,$B1689&gt;1500,$C1689&lt;1,$C1689&gt;12,$D1689&lt;1,$D1689&gt;31),"نامعتبر",RIGHT("0000"&amp;$B1689,4)&amp;"/"&amp;RIGHT("00"&amp;$C1689,2)&amp;"/"&amp;RIGHT("00"&amp;$D1689,2)))</f>
        <v/>
      </c>
      <c r="F1689">
        <f>IF(OR($E1689="",$E1689="نامعتبر"),"",LEFT($E1689,4)&amp;"/"&amp;MID($E1689,6,2))</f>
        <v/>
      </c>
      <c r="G1689">
        <f>IF(OR($E1689="",$E1689="نامعتبر",Sync!$Y1686=""),"",Sync!$Y1686)</f>
        <v/>
      </c>
      <c r="H1689">
        <f>IF($G1689="","",IF(Sync!$X1686="","",Sync!$X1686))</f>
        <v/>
      </c>
      <c r="I1689">
        <f>IF($G1689="","",IFERROR(VLOOKUP(Sync!$X1686,OpTbl,3,0),""))</f>
        <v/>
      </c>
      <c r="J1689">
        <f>IF(OR($G1689="",Sync!$Z1686=""),"",Sync!$Z1686)</f>
        <v/>
      </c>
      <c r="K1689">
        <f>IF(OR($G1689="",Sync!$AA1686=""),"",Sync!$AA1686)</f>
        <v/>
      </c>
      <c r="L1689">
        <f>IF($G1689="",0,IF(Sync!$AB1686="",0,Sync!$AB1686))</f>
        <v/>
      </c>
      <c r="M1689">
        <f>IF($G1689="",0,IF(Sync!$AC1686="",0,Sync!$AC1686))</f>
        <v/>
      </c>
      <c r="N1689">
        <f>IF($G1689="","",IF($H1689="مرجوعی خرید",-1,1)*($L1689-$M1689*IFERROR(VLOOKUP("P01",ParamTbl,3,0),1.5))*(1-IF($I1689="خرید",IFERROR(VLOOKUP("P02",ParamTbl,3,0),1),0)/100))</f>
        <v/>
      </c>
      <c r="O1689">
        <f>IF($G1689="",0,IF($H1689="مرجوعی خرید",-1,1)*IF(Sync!$AD1686="",0,Sync!$AD1686))</f>
        <v/>
      </c>
      <c r="P1689">
        <f>IF(OR($G1689="",Sync!$W1686=""),"",Sync!$W1686)</f>
        <v/>
      </c>
      <c r="Q1689">
        <f>IF(OR($G1689="",Sync!$AE1686=""),"",Sync!$AE1686)</f>
        <v/>
      </c>
      <c r="R1689">
        <f>IF($G1689="","",IF(Sync!$V1686="","0000",IF(AND(ISNUMBER(Sync!$V1686),Sync!$V1686&gt;=0,Sync!$V1686&lt;1),RIGHT("00"&amp;HOUR(Sync!$V1686),2)&amp;RIGHT("00"&amp;MINUTE(Sync!$V1686),2),IFERROR(RIGHT("00"&amp;VALUE(LEFT(Sync!$V1686,FIND(":",Sync!$V1686)-1)),2)&amp;RIGHT("00"&amp;VALUE(MID(Sync!$V1686,FIND(":",Sync!$V1686)+1,2)),2),"0000"))))</f>
        <v/>
      </c>
    </row>
    <row r="1690">
      <c r="A1690">
        <f>IF(Sync!$U1687="","",Sync!$U1687)</f>
        <v/>
      </c>
      <c r="B1690">
        <f>IF($A1690="","",IF(ISNUMBER($A1690),IF(AND($A1690&gt;=10000101,$A1690&lt;=99991231),INT($A1690/10000),""),IFERROR(VALUE(TRIM(LEFT($A1690,FIND("/",$A1690)-1))),"")))</f>
        <v/>
      </c>
      <c r="C1690">
        <f>IF(OR($A1690="",$B1690=""),"",IF(ISNUMBER($A1690),INT(MOD($A1690,10000)/100),IFERROR(VALUE(TRIM(LEFT(MID($A1690,FIND("/",$A1690)+1,20),FIND("/",MID($A1690,FIND("/",$A1690)+1,20))-1))),"")))</f>
        <v/>
      </c>
      <c r="D1690">
        <f>IF(OR($A1690="",$B1690=""),"",IF(ISNUMBER($A1690),MOD($A1690,100),IFERROR(VALUE(TRIM(MID(MID($A1690,FIND("/",$A1690)+1,20),FIND("/",MID($A1690,FIND("/",$A1690)+1,20))+1,20))),"")))</f>
        <v/>
      </c>
      <c r="E1690">
        <f>IF($A1690="","",IF(OR($B1690="",$C1690="",$D1690="",$B1690&lt;1300,$B1690&gt;1500,$C1690&lt;1,$C1690&gt;12,$D1690&lt;1,$D1690&gt;31),"نامعتبر",RIGHT("0000"&amp;$B1690,4)&amp;"/"&amp;RIGHT("00"&amp;$C1690,2)&amp;"/"&amp;RIGHT("00"&amp;$D1690,2)))</f>
        <v/>
      </c>
      <c r="F1690">
        <f>IF(OR($E1690="",$E1690="نامعتبر"),"",LEFT($E1690,4)&amp;"/"&amp;MID($E1690,6,2))</f>
        <v/>
      </c>
      <c r="G1690">
        <f>IF(OR($E1690="",$E1690="نامعتبر",Sync!$Y1687=""),"",Sync!$Y1687)</f>
        <v/>
      </c>
      <c r="H1690">
        <f>IF($G1690="","",IF(Sync!$X1687="","",Sync!$X1687))</f>
        <v/>
      </c>
      <c r="I1690">
        <f>IF($G1690="","",IFERROR(VLOOKUP(Sync!$X1687,OpTbl,3,0),""))</f>
        <v/>
      </c>
      <c r="J1690">
        <f>IF(OR($G1690="",Sync!$Z1687=""),"",Sync!$Z1687)</f>
        <v/>
      </c>
      <c r="K1690">
        <f>IF(OR($G1690="",Sync!$AA1687=""),"",Sync!$AA1687)</f>
        <v/>
      </c>
      <c r="L1690">
        <f>IF($G1690="",0,IF(Sync!$AB1687="",0,Sync!$AB1687))</f>
        <v/>
      </c>
      <c r="M1690">
        <f>IF($G1690="",0,IF(Sync!$AC1687="",0,Sync!$AC1687))</f>
        <v/>
      </c>
      <c r="N1690">
        <f>IF($G1690="","",IF($H1690="مرجوعی خرید",-1,1)*($L1690-$M1690*IFERROR(VLOOKUP("P01",ParamTbl,3,0),1.5))*(1-IF($I1690="خرید",IFERROR(VLOOKUP("P02",ParamTbl,3,0),1),0)/100))</f>
        <v/>
      </c>
      <c r="O1690">
        <f>IF($G1690="",0,IF($H1690="مرجوعی خرید",-1,1)*IF(Sync!$AD1687="",0,Sync!$AD1687))</f>
        <v/>
      </c>
      <c r="P1690">
        <f>IF(OR($G1690="",Sync!$W1687=""),"",Sync!$W1687)</f>
        <v/>
      </c>
      <c r="Q1690">
        <f>IF(OR($G1690="",Sync!$AE1687=""),"",Sync!$AE1687)</f>
        <v/>
      </c>
      <c r="R1690">
        <f>IF($G1690="","",IF(Sync!$V1687="","0000",IF(AND(ISNUMBER(Sync!$V1687),Sync!$V1687&gt;=0,Sync!$V1687&lt;1),RIGHT("00"&amp;HOUR(Sync!$V1687),2)&amp;RIGHT("00"&amp;MINUTE(Sync!$V1687),2),IFERROR(RIGHT("00"&amp;VALUE(LEFT(Sync!$V1687,FIND(":",Sync!$V1687)-1)),2)&amp;RIGHT("00"&amp;VALUE(MID(Sync!$V1687,FIND(":",Sync!$V1687)+1,2)),2),"0000"))))</f>
        <v/>
      </c>
    </row>
    <row r="1691">
      <c r="A1691">
        <f>IF(Sync!$U1688="","",Sync!$U1688)</f>
        <v/>
      </c>
      <c r="B1691">
        <f>IF($A1691="","",IF(ISNUMBER($A1691),IF(AND($A1691&gt;=10000101,$A1691&lt;=99991231),INT($A1691/10000),""),IFERROR(VALUE(TRIM(LEFT($A1691,FIND("/",$A1691)-1))),"")))</f>
        <v/>
      </c>
      <c r="C1691">
        <f>IF(OR($A1691="",$B1691=""),"",IF(ISNUMBER($A1691),INT(MOD($A1691,10000)/100),IFERROR(VALUE(TRIM(LEFT(MID($A1691,FIND("/",$A1691)+1,20),FIND("/",MID($A1691,FIND("/",$A1691)+1,20))-1))),"")))</f>
        <v/>
      </c>
      <c r="D1691">
        <f>IF(OR($A1691="",$B1691=""),"",IF(ISNUMBER($A1691),MOD($A1691,100),IFERROR(VALUE(TRIM(MID(MID($A1691,FIND("/",$A1691)+1,20),FIND("/",MID($A1691,FIND("/",$A1691)+1,20))+1,20))),"")))</f>
        <v/>
      </c>
      <c r="E1691">
        <f>IF($A1691="","",IF(OR($B1691="",$C1691="",$D1691="",$B1691&lt;1300,$B1691&gt;1500,$C1691&lt;1,$C1691&gt;12,$D1691&lt;1,$D1691&gt;31),"نامعتبر",RIGHT("0000"&amp;$B1691,4)&amp;"/"&amp;RIGHT("00"&amp;$C1691,2)&amp;"/"&amp;RIGHT("00"&amp;$D1691,2)))</f>
        <v/>
      </c>
      <c r="F1691">
        <f>IF(OR($E1691="",$E1691="نامعتبر"),"",LEFT($E1691,4)&amp;"/"&amp;MID($E1691,6,2))</f>
        <v/>
      </c>
      <c r="G1691">
        <f>IF(OR($E1691="",$E1691="نامعتبر",Sync!$Y1688=""),"",Sync!$Y1688)</f>
        <v/>
      </c>
      <c r="H1691">
        <f>IF($G1691="","",IF(Sync!$X1688="","",Sync!$X1688))</f>
        <v/>
      </c>
      <c r="I1691">
        <f>IF($G1691="","",IFERROR(VLOOKUP(Sync!$X1688,OpTbl,3,0),""))</f>
        <v/>
      </c>
      <c r="J1691">
        <f>IF(OR($G1691="",Sync!$Z1688=""),"",Sync!$Z1688)</f>
        <v/>
      </c>
      <c r="K1691">
        <f>IF(OR($G1691="",Sync!$AA1688=""),"",Sync!$AA1688)</f>
        <v/>
      </c>
      <c r="L1691">
        <f>IF($G1691="",0,IF(Sync!$AB1688="",0,Sync!$AB1688))</f>
        <v/>
      </c>
      <c r="M1691">
        <f>IF($G1691="",0,IF(Sync!$AC1688="",0,Sync!$AC1688))</f>
        <v/>
      </c>
      <c r="N1691">
        <f>IF($G1691="","",IF($H1691="مرجوعی خرید",-1,1)*($L1691-$M1691*IFERROR(VLOOKUP("P01",ParamTbl,3,0),1.5))*(1-IF($I1691="خرید",IFERROR(VLOOKUP("P02",ParamTbl,3,0),1),0)/100))</f>
        <v/>
      </c>
      <c r="O1691">
        <f>IF($G1691="",0,IF($H1691="مرجوعی خرید",-1,1)*IF(Sync!$AD1688="",0,Sync!$AD1688))</f>
        <v/>
      </c>
      <c r="P1691">
        <f>IF(OR($G1691="",Sync!$W1688=""),"",Sync!$W1688)</f>
        <v/>
      </c>
      <c r="Q1691">
        <f>IF(OR($G1691="",Sync!$AE1688=""),"",Sync!$AE1688)</f>
        <v/>
      </c>
      <c r="R1691">
        <f>IF($G1691="","",IF(Sync!$V1688="","0000",IF(AND(ISNUMBER(Sync!$V1688),Sync!$V1688&gt;=0,Sync!$V1688&lt;1),RIGHT("00"&amp;HOUR(Sync!$V1688),2)&amp;RIGHT("00"&amp;MINUTE(Sync!$V1688),2),IFERROR(RIGHT("00"&amp;VALUE(LEFT(Sync!$V1688,FIND(":",Sync!$V1688)-1)),2)&amp;RIGHT("00"&amp;VALUE(MID(Sync!$V1688,FIND(":",Sync!$V1688)+1,2)),2),"0000"))))</f>
        <v/>
      </c>
    </row>
    <row r="1692">
      <c r="A1692">
        <f>IF(Sync!$U1689="","",Sync!$U1689)</f>
        <v/>
      </c>
      <c r="B1692">
        <f>IF($A1692="","",IF(ISNUMBER($A1692),IF(AND($A1692&gt;=10000101,$A1692&lt;=99991231),INT($A1692/10000),""),IFERROR(VALUE(TRIM(LEFT($A1692,FIND("/",$A1692)-1))),"")))</f>
        <v/>
      </c>
      <c r="C1692">
        <f>IF(OR($A1692="",$B1692=""),"",IF(ISNUMBER($A1692),INT(MOD($A1692,10000)/100),IFERROR(VALUE(TRIM(LEFT(MID($A1692,FIND("/",$A1692)+1,20),FIND("/",MID($A1692,FIND("/",$A1692)+1,20))-1))),"")))</f>
        <v/>
      </c>
      <c r="D1692">
        <f>IF(OR($A1692="",$B1692=""),"",IF(ISNUMBER($A1692),MOD($A1692,100),IFERROR(VALUE(TRIM(MID(MID($A1692,FIND("/",$A1692)+1,20),FIND("/",MID($A1692,FIND("/",$A1692)+1,20))+1,20))),"")))</f>
        <v/>
      </c>
      <c r="E1692">
        <f>IF($A1692="","",IF(OR($B1692="",$C1692="",$D1692="",$B1692&lt;1300,$B1692&gt;1500,$C1692&lt;1,$C1692&gt;12,$D1692&lt;1,$D1692&gt;31),"نامعتبر",RIGHT("0000"&amp;$B1692,4)&amp;"/"&amp;RIGHT("00"&amp;$C1692,2)&amp;"/"&amp;RIGHT("00"&amp;$D1692,2)))</f>
        <v/>
      </c>
      <c r="F1692">
        <f>IF(OR($E1692="",$E1692="نامعتبر"),"",LEFT($E1692,4)&amp;"/"&amp;MID($E1692,6,2))</f>
        <v/>
      </c>
      <c r="G1692">
        <f>IF(OR($E1692="",$E1692="نامعتبر",Sync!$Y1689=""),"",Sync!$Y1689)</f>
        <v/>
      </c>
      <c r="H1692">
        <f>IF($G1692="","",IF(Sync!$X1689="","",Sync!$X1689))</f>
        <v/>
      </c>
      <c r="I1692">
        <f>IF($G1692="","",IFERROR(VLOOKUP(Sync!$X1689,OpTbl,3,0),""))</f>
        <v/>
      </c>
      <c r="J1692">
        <f>IF(OR($G1692="",Sync!$Z1689=""),"",Sync!$Z1689)</f>
        <v/>
      </c>
      <c r="K1692">
        <f>IF(OR($G1692="",Sync!$AA1689=""),"",Sync!$AA1689)</f>
        <v/>
      </c>
      <c r="L1692">
        <f>IF($G1692="",0,IF(Sync!$AB1689="",0,Sync!$AB1689))</f>
        <v/>
      </c>
      <c r="M1692">
        <f>IF($G1692="",0,IF(Sync!$AC1689="",0,Sync!$AC1689))</f>
        <v/>
      </c>
      <c r="N1692">
        <f>IF($G1692="","",IF($H1692="مرجوعی خرید",-1,1)*($L1692-$M1692*IFERROR(VLOOKUP("P01",ParamTbl,3,0),1.5))*(1-IF($I1692="خرید",IFERROR(VLOOKUP("P02",ParamTbl,3,0),1),0)/100))</f>
        <v/>
      </c>
      <c r="O1692">
        <f>IF($G1692="",0,IF($H1692="مرجوعی خرید",-1,1)*IF(Sync!$AD1689="",0,Sync!$AD1689))</f>
        <v/>
      </c>
      <c r="P1692">
        <f>IF(OR($G1692="",Sync!$W1689=""),"",Sync!$W1689)</f>
        <v/>
      </c>
      <c r="Q1692">
        <f>IF(OR($G1692="",Sync!$AE1689=""),"",Sync!$AE1689)</f>
        <v/>
      </c>
      <c r="R1692">
        <f>IF($G1692="","",IF(Sync!$V1689="","0000",IF(AND(ISNUMBER(Sync!$V1689),Sync!$V1689&gt;=0,Sync!$V1689&lt;1),RIGHT("00"&amp;HOUR(Sync!$V1689),2)&amp;RIGHT("00"&amp;MINUTE(Sync!$V1689),2),IFERROR(RIGHT("00"&amp;VALUE(LEFT(Sync!$V1689,FIND(":",Sync!$V1689)-1)),2)&amp;RIGHT("00"&amp;VALUE(MID(Sync!$V1689,FIND(":",Sync!$V1689)+1,2)),2),"0000"))))</f>
        <v/>
      </c>
    </row>
    <row r="1693">
      <c r="A1693">
        <f>IF(Sync!$U1690="","",Sync!$U1690)</f>
        <v/>
      </c>
      <c r="B1693">
        <f>IF($A1693="","",IF(ISNUMBER($A1693),IF(AND($A1693&gt;=10000101,$A1693&lt;=99991231),INT($A1693/10000),""),IFERROR(VALUE(TRIM(LEFT($A1693,FIND("/",$A1693)-1))),"")))</f>
        <v/>
      </c>
      <c r="C1693">
        <f>IF(OR($A1693="",$B1693=""),"",IF(ISNUMBER($A1693),INT(MOD($A1693,10000)/100),IFERROR(VALUE(TRIM(LEFT(MID($A1693,FIND("/",$A1693)+1,20),FIND("/",MID($A1693,FIND("/",$A1693)+1,20))-1))),"")))</f>
        <v/>
      </c>
      <c r="D1693">
        <f>IF(OR($A1693="",$B1693=""),"",IF(ISNUMBER($A1693),MOD($A1693,100),IFERROR(VALUE(TRIM(MID(MID($A1693,FIND("/",$A1693)+1,20),FIND("/",MID($A1693,FIND("/",$A1693)+1,20))+1,20))),"")))</f>
        <v/>
      </c>
      <c r="E1693">
        <f>IF($A1693="","",IF(OR($B1693="",$C1693="",$D1693="",$B1693&lt;1300,$B1693&gt;1500,$C1693&lt;1,$C1693&gt;12,$D1693&lt;1,$D1693&gt;31),"نامعتبر",RIGHT("0000"&amp;$B1693,4)&amp;"/"&amp;RIGHT("00"&amp;$C1693,2)&amp;"/"&amp;RIGHT("00"&amp;$D1693,2)))</f>
        <v/>
      </c>
      <c r="F1693">
        <f>IF(OR($E1693="",$E1693="نامعتبر"),"",LEFT($E1693,4)&amp;"/"&amp;MID($E1693,6,2))</f>
        <v/>
      </c>
      <c r="G1693">
        <f>IF(OR($E1693="",$E1693="نامعتبر",Sync!$Y1690=""),"",Sync!$Y1690)</f>
        <v/>
      </c>
      <c r="H1693">
        <f>IF($G1693="","",IF(Sync!$X1690="","",Sync!$X1690))</f>
        <v/>
      </c>
      <c r="I1693">
        <f>IF($G1693="","",IFERROR(VLOOKUP(Sync!$X1690,OpTbl,3,0),""))</f>
        <v/>
      </c>
      <c r="J1693">
        <f>IF(OR($G1693="",Sync!$Z1690=""),"",Sync!$Z1690)</f>
        <v/>
      </c>
      <c r="K1693">
        <f>IF(OR($G1693="",Sync!$AA1690=""),"",Sync!$AA1690)</f>
        <v/>
      </c>
      <c r="L1693">
        <f>IF($G1693="",0,IF(Sync!$AB1690="",0,Sync!$AB1690))</f>
        <v/>
      </c>
      <c r="M1693">
        <f>IF($G1693="",0,IF(Sync!$AC1690="",0,Sync!$AC1690))</f>
        <v/>
      </c>
      <c r="N1693">
        <f>IF($G1693="","",IF($H1693="مرجوعی خرید",-1,1)*($L1693-$M1693*IFERROR(VLOOKUP("P01",ParamTbl,3,0),1.5))*(1-IF($I1693="خرید",IFERROR(VLOOKUP("P02",ParamTbl,3,0),1),0)/100))</f>
        <v/>
      </c>
      <c r="O1693">
        <f>IF($G1693="",0,IF($H1693="مرجوعی خرید",-1,1)*IF(Sync!$AD1690="",0,Sync!$AD1690))</f>
        <v/>
      </c>
      <c r="P1693">
        <f>IF(OR($G1693="",Sync!$W1690=""),"",Sync!$W1690)</f>
        <v/>
      </c>
      <c r="Q1693">
        <f>IF(OR($G1693="",Sync!$AE1690=""),"",Sync!$AE1690)</f>
        <v/>
      </c>
      <c r="R1693">
        <f>IF($G1693="","",IF(Sync!$V1690="","0000",IF(AND(ISNUMBER(Sync!$V1690),Sync!$V1690&gt;=0,Sync!$V1690&lt;1),RIGHT("00"&amp;HOUR(Sync!$V1690),2)&amp;RIGHT("00"&amp;MINUTE(Sync!$V1690),2),IFERROR(RIGHT("00"&amp;VALUE(LEFT(Sync!$V1690,FIND(":",Sync!$V1690)-1)),2)&amp;RIGHT("00"&amp;VALUE(MID(Sync!$V1690,FIND(":",Sync!$V1690)+1,2)),2),"0000"))))</f>
        <v/>
      </c>
    </row>
    <row r="1694">
      <c r="A1694">
        <f>IF(Sync!$U1691="","",Sync!$U1691)</f>
        <v/>
      </c>
      <c r="B1694">
        <f>IF($A1694="","",IF(ISNUMBER($A1694),IF(AND($A1694&gt;=10000101,$A1694&lt;=99991231),INT($A1694/10000),""),IFERROR(VALUE(TRIM(LEFT($A1694,FIND("/",$A1694)-1))),"")))</f>
        <v/>
      </c>
      <c r="C1694">
        <f>IF(OR($A1694="",$B1694=""),"",IF(ISNUMBER($A1694),INT(MOD($A1694,10000)/100),IFERROR(VALUE(TRIM(LEFT(MID($A1694,FIND("/",$A1694)+1,20),FIND("/",MID($A1694,FIND("/",$A1694)+1,20))-1))),"")))</f>
        <v/>
      </c>
      <c r="D1694">
        <f>IF(OR($A1694="",$B1694=""),"",IF(ISNUMBER($A1694),MOD($A1694,100),IFERROR(VALUE(TRIM(MID(MID($A1694,FIND("/",$A1694)+1,20),FIND("/",MID($A1694,FIND("/",$A1694)+1,20))+1,20))),"")))</f>
        <v/>
      </c>
      <c r="E1694">
        <f>IF($A1694="","",IF(OR($B1694="",$C1694="",$D1694="",$B1694&lt;1300,$B1694&gt;1500,$C1694&lt;1,$C1694&gt;12,$D1694&lt;1,$D1694&gt;31),"نامعتبر",RIGHT("0000"&amp;$B1694,4)&amp;"/"&amp;RIGHT("00"&amp;$C1694,2)&amp;"/"&amp;RIGHT("00"&amp;$D1694,2)))</f>
        <v/>
      </c>
      <c r="F1694">
        <f>IF(OR($E1694="",$E1694="نامعتبر"),"",LEFT($E1694,4)&amp;"/"&amp;MID($E1694,6,2))</f>
        <v/>
      </c>
      <c r="G1694">
        <f>IF(OR($E1694="",$E1694="نامعتبر",Sync!$Y1691=""),"",Sync!$Y1691)</f>
        <v/>
      </c>
      <c r="H1694">
        <f>IF($G1694="","",IF(Sync!$X1691="","",Sync!$X1691))</f>
        <v/>
      </c>
      <c r="I1694">
        <f>IF($G1694="","",IFERROR(VLOOKUP(Sync!$X1691,OpTbl,3,0),""))</f>
        <v/>
      </c>
      <c r="J1694">
        <f>IF(OR($G1694="",Sync!$Z1691=""),"",Sync!$Z1691)</f>
        <v/>
      </c>
      <c r="K1694">
        <f>IF(OR($G1694="",Sync!$AA1691=""),"",Sync!$AA1691)</f>
        <v/>
      </c>
      <c r="L1694">
        <f>IF($G1694="",0,IF(Sync!$AB1691="",0,Sync!$AB1691))</f>
        <v/>
      </c>
      <c r="M1694">
        <f>IF($G1694="",0,IF(Sync!$AC1691="",0,Sync!$AC1691))</f>
        <v/>
      </c>
      <c r="N1694">
        <f>IF($G1694="","",IF($H1694="مرجوعی خرید",-1,1)*($L1694-$M1694*IFERROR(VLOOKUP("P01",ParamTbl,3,0),1.5))*(1-IF($I1694="خرید",IFERROR(VLOOKUP("P02",ParamTbl,3,0),1),0)/100))</f>
        <v/>
      </c>
      <c r="O1694">
        <f>IF($G1694="",0,IF($H1694="مرجوعی خرید",-1,1)*IF(Sync!$AD1691="",0,Sync!$AD1691))</f>
        <v/>
      </c>
      <c r="P1694">
        <f>IF(OR($G1694="",Sync!$W1691=""),"",Sync!$W1691)</f>
        <v/>
      </c>
      <c r="Q1694">
        <f>IF(OR($G1694="",Sync!$AE1691=""),"",Sync!$AE1691)</f>
        <v/>
      </c>
      <c r="R1694">
        <f>IF($G1694="","",IF(Sync!$V1691="","0000",IF(AND(ISNUMBER(Sync!$V1691),Sync!$V1691&gt;=0,Sync!$V1691&lt;1),RIGHT("00"&amp;HOUR(Sync!$V1691),2)&amp;RIGHT("00"&amp;MINUTE(Sync!$V1691),2),IFERROR(RIGHT("00"&amp;VALUE(LEFT(Sync!$V1691,FIND(":",Sync!$V1691)-1)),2)&amp;RIGHT("00"&amp;VALUE(MID(Sync!$V1691,FIND(":",Sync!$V1691)+1,2)),2),"0000"))))</f>
        <v/>
      </c>
    </row>
    <row r="1695">
      <c r="A1695">
        <f>IF(Sync!$U1692="","",Sync!$U1692)</f>
        <v/>
      </c>
      <c r="B1695">
        <f>IF($A1695="","",IF(ISNUMBER($A1695),IF(AND($A1695&gt;=10000101,$A1695&lt;=99991231),INT($A1695/10000),""),IFERROR(VALUE(TRIM(LEFT($A1695,FIND("/",$A1695)-1))),"")))</f>
        <v/>
      </c>
      <c r="C1695">
        <f>IF(OR($A1695="",$B1695=""),"",IF(ISNUMBER($A1695),INT(MOD($A1695,10000)/100),IFERROR(VALUE(TRIM(LEFT(MID($A1695,FIND("/",$A1695)+1,20),FIND("/",MID($A1695,FIND("/",$A1695)+1,20))-1))),"")))</f>
        <v/>
      </c>
      <c r="D1695">
        <f>IF(OR($A1695="",$B1695=""),"",IF(ISNUMBER($A1695),MOD($A1695,100),IFERROR(VALUE(TRIM(MID(MID($A1695,FIND("/",$A1695)+1,20),FIND("/",MID($A1695,FIND("/",$A1695)+1,20))+1,20))),"")))</f>
        <v/>
      </c>
      <c r="E1695">
        <f>IF($A1695="","",IF(OR($B1695="",$C1695="",$D1695="",$B1695&lt;1300,$B1695&gt;1500,$C1695&lt;1,$C1695&gt;12,$D1695&lt;1,$D1695&gt;31),"نامعتبر",RIGHT("0000"&amp;$B1695,4)&amp;"/"&amp;RIGHT("00"&amp;$C1695,2)&amp;"/"&amp;RIGHT("00"&amp;$D1695,2)))</f>
        <v/>
      </c>
      <c r="F1695">
        <f>IF(OR($E1695="",$E1695="نامعتبر"),"",LEFT($E1695,4)&amp;"/"&amp;MID($E1695,6,2))</f>
        <v/>
      </c>
      <c r="G1695">
        <f>IF(OR($E1695="",$E1695="نامعتبر",Sync!$Y1692=""),"",Sync!$Y1692)</f>
        <v/>
      </c>
      <c r="H1695">
        <f>IF($G1695="","",IF(Sync!$X1692="","",Sync!$X1692))</f>
        <v/>
      </c>
      <c r="I1695">
        <f>IF($G1695="","",IFERROR(VLOOKUP(Sync!$X1692,OpTbl,3,0),""))</f>
        <v/>
      </c>
      <c r="J1695">
        <f>IF(OR($G1695="",Sync!$Z1692=""),"",Sync!$Z1692)</f>
        <v/>
      </c>
      <c r="K1695">
        <f>IF(OR($G1695="",Sync!$AA1692=""),"",Sync!$AA1692)</f>
        <v/>
      </c>
      <c r="L1695">
        <f>IF($G1695="",0,IF(Sync!$AB1692="",0,Sync!$AB1692))</f>
        <v/>
      </c>
      <c r="M1695">
        <f>IF($G1695="",0,IF(Sync!$AC1692="",0,Sync!$AC1692))</f>
        <v/>
      </c>
      <c r="N1695">
        <f>IF($G1695="","",IF($H1695="مرجوعی خرید",-1,1)*($L1695-$M1695*IFERROR(VLOOKUP("P01",ParamTbl,3,0),1.5))*(1-IF($I1695="خرید",IFERROR(VLOOKUP("P02",ParamTbl,3,0),1),0)/100))</f>
        <v/>
      </c>
      <c r="O1695">
        <f>IF($G1695="",0,IF($H1695="مرجوعی خرید",-1,1)*IF(Sync!$AD1692="",0,Sync!$AD1692))</f>
        <v/>
      </c>
      <c r="P1695">
        <f>IF(OR($G1695="",Sync!$W1692=""),"",Sync!$W1692)</f>
        <v/>
      </c>
      <c r="Q1695">
        <f>IF(OR($G1695="",Sync!$AE1692=""),"",Sync!$AE1692)</f>
        <v/>
      </c>
      <c r="R1695">
        <f>IF($G1695="","",IF(Sync!$V1692="","0000",IF(AND(ISNUMBER(Sync!$V1692),Sync!$V1692&gt;=0,Sync!$V1692&lt;1),RIGHT("00"&amp;HOUR(Sync!$V1692),2)&amp;RIGHT("00"&amp;MINUTE(Sync!$V1692),2),IFERROR(RIGHT("00"&amp;VALUE(LEFT(Sync!$V1692,FIND(":",Sync!$V1692)-1)),2)&amp;RIGHT("00"&amp;VALUE(MID(Sync!$V1692,FIND(":",Sync!$V1692)+1,2)),2),"0000"))))</f>
        <v/>
      </c>
    </row>
    <row r="1696">
      <c r="A1696">
        <f>IF(Sync!$U1693="","",Sync!$U1693)</f>
        <v/>
      </c>
      <c r="B1696">
        <f>IF($A1696="","",IF(ISNUMBER($A1696),IF(AND($A1696&gt;=10000101,$A1696&lt;=99991231),INT($A1696/10000),""),IFERROR(VALUE(TRIM(LEFT($A1696,FIND("/",$A1696)-1))),"")))</f>
        <v/>
      </c>
      <c r="C1696">
        <f>IF(OR($A1696="",$B1696=""),"",IF(ISNUMBER($A1696),INT(MOD($A1696,10000)/100),IFERROR(VALUE(TRIM(LEFT(MID($A1696,FIND("/",$A1696)+1,20),FIND("/",MID($A1696,FIND("/",$A1696)+1,20))-1))),"")))</f>
        <v/>
      </c>
      <c r="D1696">
        <f>IF(OR($A1696="",$B1696=""),"",IF(ISNUMBER($A1696),MOD($A1696,100),IFERROR(VALUE(TRIM(MID(MID($A1696,FIND("/",$A1696)+1,20),FIND("/",MID($A1696,FIND("/",$A1696)+1,20))+1,20))),"")))</f>
        <v/>
      </c>
      <c r="E1696">
        <f>IF($A1696="","",IF(OR($B1696="",$C1696="",$D1696="",$B1696&lt;1300,$B1696&gt;1500,$C1696&lt;1,$C1696&gt;12,$D1696&lt;1,$D1696&gt;31),"نامعتبر",RIGHT("0000"&amp;$B1696,4)&amp;"/"&amp;RIGHT("00"&amp;$C1696,2)&amp;"/"&amp;RIGHT("00"&amp;$D1696,2)))</f>
        <v/>
      </c>
      <c r="F1696">
        <f>IF(OR($E1696="",$E1696="نامعتبر"),"",LEFT($E1696,4)&amp;"/"&amp;MID($E1696,6,2))</f>
        <v/>
      </c>
      <c r="G1696">
        <f>IF(OR($E1696="",$E1696="نامعتبر",Sync!$Y1693=""),"",Sync!$Y1693)</f>
        <v/>
      </c>
      <c r="H1696">
        <f>IF($G1696="","",IF(Sync!$X1693="","",Sync!$X1693))</f>
        <v/>
      </c>
      <c r="I1696">
        <f>IF($G1696="","",IFERROR(VLOOKUP(Sync!$X1693,OpTbl,3,0),""))</f>
        <v/>
      </c>
      <c r="J1696">
        <f>IF(OR($G1696="",Sync!$Z1693=""),"",Sync!$Z1693)</f>
        <v/>
      </c>
      <c r="K1696">
        <f>IF(OR($G1696="",Sync!$AA1693=""),"",Sync!$AA1693)</f>
        <v/>
      </c>
      <c r="L1696">
        <f>IF($G1696="",0,IF(Sync!$AB1693="",0,Sync!$AB1693))</f>
        <v/>
      </c>
      <c r="M1696">
        <f>IF($G1696="",0,IF(Sync!$AC1693="",0,Sync!$AC1693))</f>
        <v/>
      </c>
      <c r="N1696">
        <f>IF($G1696="","",IF($H1696="مرجوعی خرید",-1,1)*($L1696-$M1696*IFERROR(VLOOKUP("P01",ParamTbl,3,0),1.5))*(1-IF($I1696="خرید",IFERROR(VLOOKUP("P02",ParamTbl,3,0),1),0)/100))</f>
        <v/>
      </c>
      <c r="O1696">
        <f>IF($G1696="",0,IF($H1696="مرجوعی خرید",-1,1)*IF(Sync!$AD1693="",0,Sync!$AD1693))</f>
        <v/>
      </c>
      <c r="P1696">
        <f>IF(OR($G1696="",Sync!$W1693=""),"",Sync!$W1693)</f>
        <v/>
      </c>
      <c r="Q1696">
        <f>IF(OR($G1696="",Sync!$AE1693=""),"",Sync!$AE1693)</f>
        <v/>
      </c>
      <c r="R1696">
        <f>IF($G1696="","",IF(Sync!$V1693="","0000",IF(AND(ISNUMBER(Sync!$V1693),Sync!$V1693&gt;=0,Sync!$V1693&lt;1),RIGHT("00"&amp;HOUR(Sync!$V1693),2)&amp;RIGHT("00"&amp;MINUTE(Sync!$V1693),2),IFERROR(RIGHT("00"&amp;VALUE(LEFT(Sync!$V1693,FIND(":",Sync!$V1693)-1)),2)&amp;RIGHT("00"&amp;VALUE(MID(Sync!$V1693,FIND(":",Sync!$V1693)+1,2)),2),"0000"))))</f>
        <v/>
      </c>
    </row>
    <row r="1697">
      <c r="A1697">
        <f>IF(Sync!$U1694="","",Sync!$U1694)</f>
        <v/>
      </c>
      <c r="B1697">
        <f>IF($A1697="","",IF(ISNUMBER($A1697),IF(AND($A1697&gt;=10000101,$A1697&lt;=99991231),INT($A1697/10000),""),IFERROR(VALUE(TRIM(LEFT($A1697,FIND("/",$A1697)-1))),"")))</f>
        <v/>
      </c>
      <c r="C1697">
        <f>IF(OR($A1697="",$B1697=""),"",IF(ISNUMBER($A1697),INT(MOD($A1697,10000)/100),IFERROR(VALUE(TRIM(LEFT(MID($A1697,FIND("/",$A1697)+1,20),FIND("/",MID($A1697,FIND("/",$A1697)+1,20))-1))),"")))</f>
        <v/>
      </c>
      <c r="D1697">
        <f>IF(OR($A1697="",$B1697=""),"",IF(ISNUMBER($A1697),MOD($A1697,100),IFERROR(VALUE(TRIM(MID(MID($A1697,FIND("/",$A1697)+1,20),FIND("/",MID($A1697,FIND("/",$A1697)+1,20))+1,20))),"")))</f>
        <v/>
      </c>
      <c r="E1697">
        <f>IF($A1697="","",IF(OR($B1697="",$C1697="",$D1697="",$B1697&lt;1300,$B1697&gt;1500,$C1697&lt;1,$C1697&gt;12,$D1697&lt;1,$D1697&gt;31),"نامعتبر",RIGHT("0000"&amp;$B1697,4)&amp;"/"&amp;RIGHT("00"&amp;$C1697,2)&amp;"/"&amp;RIGHT("00"&amp;$D1697,2)))</f>
        <v/>
      </c>
      <c r="F1697">
        <f>IF(OR($E1697="",$E1697="نامعتبر"),"",LEFT($E1697,4)&amp;"/"&amp;MID($E1697,6,2))</f>
        <v/>
      </c>
      <c r="G1697">
        <f>IF(OR($E1697="",$E1697="نامعتبر",Sync!$Y1694=""),"",Sync!$Y1694)</f>
        <v/>
      </c>
      <c r="H1697">
        <f>IF($G1697="","",IF(Sync!$X1694="","",Sync!$X1694))</f>
        <v/>
      </c>
      <c r="I1697">
        <f>IF($G1697="","",IFERROR(VLOOKUP(Sync!$X1694,OpTbl,3,0),""))</f>
        <v/>
      </c>
      <c r="J1697">
        <f>IF(OR($G1697="",Sync!$Z1694=""),"",Sync!$Z1694)</f>
        <v/>
      </c>
      <c r="K1697">
        <f>IF(OR($G1697="",Sync!$AA1694=""),"",Sync!$AA1694)</f>
        <v/>
      </c>
      <c r="L1697">
        <f>IF($G1697="",0,IF(Sync!$AB1694="",0,Sync!$AB1694))</f>
        <v/>
      </c>
      <c r="M1697">
        <f>IF($G1697="",0,IF(Sync!$AC1694="",0,Sync!$AC1694))</f>
        <v/>
      </c>
      <c r="N1697">
        <f>IF($G1697="","",IF($H1697="مرجوعی خرید",-1,1)*($L1697-$M1697*IFERROR(VLOOKUP("P01",ParamTbl,3,0),1.5))*(1-IF($I1697="خرید",IFERROR(VLOOKUP("P02",ParamTbl,3,0),1),0)/100))</f>
        <v/>
      </c>
      <c r="O1697">
        <f>IF($G1697="",0,IF($H1697="مرجوعی خرید",-1,1)*IF(Sync!$AD1694="",0,Sync!$AD1694))</f>
        <v/>
      </c>
      <c r="P1697">
        <f>IF(OR($G1697="",Sync!$W1694=""),"",Sync!$W1694)</f>
        <v/>
      </c>
      <c r="Q1697">
        <f>IF(OR($G1697="",Sync!$AE1694=""),"",Sync!$AE1694)</f>
        <v/>
      </c>
      <c r="R1697">
        <f>IF($G1697="","",IF(Sync!$V1694="","0000",IF(AND(ISNUMBER(Sync!$V1694),Sync!$V1694&gt;=0,Sync!$V1694&lt;1),RIGHT("00"&amp;HOUR(Sync!$V1694),2)&amp;RIGHT("00"&amp;MINUTE(Sync!$V1694),2),IFERROR(RIGHT("00"&amp;VALUE(LEFT(Sync!$V1694,FIND(":",Sync!$V1694)-1)),2)&amp;RIGHT("00"&amp;VALUE(MID(Sync!$V1694,FIND(":",Sync!$V1694)+1,2)),2),"0000"))))</f>
        <v/>
      </c>
    </row>
    <row r="1698">
      <c r="A1698">
        <f>IF(Sync!$U1695="","",Sync!$U1695)</f>
        <v/>
      </c>
      <c r="B1698">
        <f>IF($A1698="","",IF(ISNUMBER($A1698),IF(AND($A1698&gt;=10000101,$A1698&lt;=99991231),INT($A1698/10000),""),IFERROR(VALUE(TRIM(LEFT($A1698,FIND("/",$A1698)-1))),"")))</f>
        <v/>
      </c>
      <c r="C1698">
        <f>IF(OR($A1698="",$B1698=""),"",IF(ISNUMBER($A1698),INT(MOD($A1698,10000)/100),IFERROR(VALUE(TRIM(LEFT(MID($A1698,FIND("/",$A1698)+1,20),FIND("/",MID($A1698,FIND("/",$A1698)+1,20))-1))),"")))</f>
        <v/>
      </c>
      <c r="D1698">
        <f>IF(OR($A1698="",$B1698=""),"",IF(ISNUMBER($A1698),MOD($A1698,100),IFERROR(VALUE(TRIM(MID(MID($A1698,FIND("/",$A1698)+1,20),FIND("/",MID($A1698,FIND("/",$A1698)+1,20))+1,20))),"")))</f>
        <v/>
      </c>
      <c r="E1698">
        <f>IF($A1698="","",IF(OR($B1698="",$C1698="",$D1698="",$B1698&lt;1300,$B1698&gt;1500,$C1698&lt;1,$C1698&gt;12,$D1698&lt;1,$D1698&gt;31),"نامعتبر",RIGHT("0000"&amp;$B1698,4)&amp;"/"&amp;RIGHT("00"&amp;$C1698,2)&amp;"/"&amp;RIGHT("00"&amp;$D1698,2)))</f>
        <v/>
      </c>
      <c r="F1698">
        <f>IF(OR($E1698="",$E1698="نامعتبر"),"",LEFT($E1698,4)&amp;"/"&amp;MID($E1698,6,2))</f>
        <v/>
      </c>
      <c r="G1698">
        <f>IF(OR($E1698="",$E1698="نامعتبر",Sync!$Y1695=""),"",Sync!$Y1695)</f>
        <v/>
      </c>
      <c r="H1698">
        <f>IF($G1698="","",IF(Sync!$X1695="","",Sync!$X1695))</f>
        <v/>
      </c>
      <c r="I1698">
        <f>IF($G1698="","",IFERROR(VLOOKUP(Sync!$X1695,OpTbl,3,0),""))</f>
        <v/>
      </c>
      <c r="J1698">
        <f>IF(OR($G1698="",Sync!$Z1695=""),"",Sync!$Z1695)</f>
        <v/>
      </c>
      <c r="K1698">
        <f>IF(OR($G1698="",Sync!$AA1695=""),"",Sync!$AA1695)</f>
        <v/>
      </c>
      <c r="L1698">
        <f>IF($G1698="",0,IF(Sync!$AB1695="",0,Sync!$AB1695))</f>
        <v/>
      </c>
      <c r="M1698">
        <f>IF($G1698="",0,IF(Sync!$AC1695="",0,Sync!$AC1695))</f>
        <v/>
      </c>
      <c r="N1698">
        <f>IF($G1698="","",IF($H1698="مرجوعی خرید",-1,1)*($L1698-$M1698*IFERROR(VLOOKUP("P01",ParamTbl,3,0),1.5))*(1-IF($I1698="خرید",IFERROR(VLOOKUP("P02",ParamTbl,3,0),1),0)/100))</f>
        <v/>
      </c>
      <c r="O1698">
        <f>IF($G1698="",0,IF($H1698="مرجوعی خرید",-1,1)*IF(Sync!$AD1695="",0,Sync!$AD1695))</f>
        <v/>
      </c>
      <c r="P1698">
        <f>IF(OR($G1698="",Sync!$W1695=""),"",Sync!$W1695)</f>
        <v/>
      </c>
      <c r="Q1698">
        <f>IF(OR($G1698="",Sync!$AE1695=""),"",Sync!$AE1695)</f>
        <v/>
      </c>
      <c r="R1698">
        <f>IF($G1698="","",IF(Sync!$V1695="","0000",IF(AND(ISNUMBER(Sync!$V1695),Sync!$V1695&gt;=0,Sync!$V1695&lt;1),RIGHT("00"&amp;HOUR(Sync!$V1695),2)&amp;RIGHT("00"&amp;MINUTE(Sync!$V1695),2),IFERROR(RIGHT("00"&amp;VALUE(LEFT(Sync!$V1695,FIND(":",Sync!$V1695)-1)),2)&amp;RIGHT("00"&amp;VALUE(MID(Sync!$V1695,FIND(":",Sync!$V1695)+1,2)),2),"0000"))))</f>
        <v/>
      </c>
    </row>
    <row r="1699">
      <c r="A1699">
        <f>IF(Sync!$U1696="","",Sync!$U1696)</f>
        <v/>
      </c>
      <c r="B1699">
        <f>IF($A1699="","",IF(ISNUMBER($A1699),IF(AND($A1699&gt;=10000101,$A1699&lt;=99991231),INT($A1699/10000),""),IFERROR(VALUE(TRIM(LEFT($A1699,FIND("/",$A1699)-1))),"")))</f>
        <v/>
      </c>
      <c r="C1699">
        <f>IF(OR($A1699="",$B1699=""),"",IF(ISNUMBER($A1699),INT(MOD($A1699,10000)/100),IFERROR(VALUE(TRIM(LEFT(MID($A1699,FIND("/",$A1699)+1,20),FIND("/",MID($A1699,FIND("/",$A1699)+1,20))-1))),"")))</f>
        <v/>
      </c>
      <c r="D1699">
        <f>IF(OR($A1699="",$B1699=""),"",IF(ISNUMBER($A1699),MOD($A1699,100),IFERROR(VALUE(TRIM(MID(MID($A1699,FIND("/",$A1699)+1,20),FIND("/",MID($A1699,FIND("/",$A1699)+1,20))+1,20))),"")))</f>
        <v/>
      </c>
      <c r="E1699">
        <f>IF($A1699="","",IF(OR($B1699="",$C1699="",$D1699="",$B1699&lt;1300,$B1699&gt;1500,$C1699&lt;1,$C1699&gt;12,$D1699&lt;1,$D1699&gt;31),"نامعتبر",RIGHT("0000"&amp;$B1699,4)&amp;"/"&amp;RIGHT("00"&amp;$C1699,2)&amp;"/"&amp;RIGHT("00"&amp;$D1699,2)))</f>
        <v/>
      </c>
      <c r="F1699">
        <f>IF(OR($E1699="",$E1699="نامعتبر"),"",LEFT($E1699,4)&amp;"/"&amp;MID($E1699,6,2))</f>
        <v/>
      </c>
      <c r="G1699">
        <f>IF(OR($E1699="",$E1699="نامعتبر",Sync!$Y1696=""),"",Sync!$Y1696)</f>
        <v/>
      </c>
      <c r="H1699">
        <f>IF($G1699="","",IF(Sync!$X1696="","",Sync!$X1696))</f>
        <v/>
      </c>
      <c r="I1699">
        <f>IF($G1699="","",IFERROR(VLOOKUP(Sync!$X1696,OpTbl,3,0),""))</f>
        <v/>
      </c>
      <c r="J1699">
        <f>IF(OR($G1699="",Sync!$Z1696=""),"",Sync!$Z1696)</f>
        <v/>
      </c>
      <c r="K1699">
        <f>IF(OR($G1699="",Sync!$AA1696=""),"",Sync!$AA1696)</f>
        <v/>
      </c>
      <c r="L1699">
        <f>IF($G1699="",0,IF(Sync!$AB1696="",0,Sync!$AB1696))</f>
        <v/>
      </c>
      <c r="M1699">
        <f>IF($G1699="",0,IF(Sync!$AC1696="",0,Sync!$AC1696))</f>
        <v/>
      </c>
      <c r="N1699">
        <f>IF($G1699="","",IF($H1699="مرجوعی خرید",-1,1)*($L1699-$M1699*IFERROR(VLOOKUP("P01",ParamTbl,3,0),1.5))*(1-IF($I1699="خرید",IFERROR(VLOOKUP("P02",ParamTbl,3,0),1),0)/100))</f>
        <v/>
      </c>
      <c r="O1699">
        <f>IF($G1699="",0,IF($H1699="مرجوعی خرید",-1,1)*IF(Sync!$AD1696="",0,Sync!$AD1696))</f>
        <v/>
      </c>
      <c r="P1699">
        <f>IF(OR($G1699="",Sync!$W1696=""),"",Sync!$W1696)</f>
        <v/>
      </c>
      <c r="Q1699">
        <f>IF(OR($G1699="",Sync!$AE1696=""),"",Sync!$AE1696)</f>
        <v/>
      </c>
      <c r="R1699">
        <f>IF($G1699="","",IF(Sync!$V1696="","0000",IF(AND(ISNUMBER(Sync!$V1696),Sync!$V1696&gt;=0,Sync!$V1696&lt;1),RIGHT("00"&amp;HOUR(Sync!$V1696),2)&amp;RIGHT("00"&amp;MINUTE(Sync!$V1696),2),IFERROR(RIGHT("00"&amp;VALUE(LEFT(Sync!$V1696,FIND(":",Sync!$V1696)-1)),2)&amp;RIGHT("00"&amp;VALUE(MID(Sync!$V1696,FIND(":",Sync!$V1696)+1,2)),2),"0000"))))</f>
        <v/>
      </c>
    </row>
    <row r="1700">
      <c r="A1700">
        <f>IF(Sync!$U1697="","",Sync!$U1697)</f>
        <v/>
      </c>
      <c r="B1700">
        <f>IF($A1700="","",IF(ISNUMBER($A1700),IF(AND($A1700&gt;=10000101,$A1700&lt;=99991231),INT($A1700/10000),""),IFERROR(VALUE(TRIM(LEFT($A1700,FIND("/",$A1700)-1))),"")))</f>
        <v/>
      </c>
      <c r="C1700">
        <f>IF(OR($A1700="",$B1700=""),"",IF(ISNUMBER($A1700),INT(MOD($A1700,10000)/100),IFERROR(VALUE(TRIM(LEFT(MID($A1700,FIND("/",$A1700)+1,20),FIND("/",MID($A1700,FIND("/",$A1700)+1,20))-1))),"")))</f>
        <v/>
      </c>
      <c r="D1700">
        <f>IF(OR($A1700="",$B1700=""),"",IF(ISNUMBER($A1700),MOD($A1700,100),IFERROR(VALUE(TRIM(MID(MID($A1700,FIND("/",$A1700)+1,20),FIND("/",MID($A1700,FIND("/",$A1700)+1,20))+1,20))),"")))</f>
        <v/>
      </c>
      <c r="E1700">
        <f>IF($A1700="","",IF(OR($B1700="",$C1700="",$D1700="",$B1700&lt;1300,$B1700&gt;1500,$C1700&lt;1,$C1700&gt;12,$D1700&lt;1,$D1700&gt;31),"نامعتبر",RIGHT("0000"&amp;$B1700,4)&amp;"/"&amp;RIGHT("00"&amp;$C1700,2)&amp;"/"&amp;RIGHT("00"&amp;$D1700,2)))</f>
        <v/>
      </c>
      <c r="F1700">
        <f>IF(OR($E1700="",$E1700="نامعتبر"),"",LEFT($E1700,4)&amp;"/"&amp;MID($E1700,6,2))</f>
        <v/>
      </c>
      <c r="G1700">
        <f>IF(OR($E1700="",$E1700="نامعتبر",Sync!$Y1697=""),"",Sync!$Y1697)</f>
        <v/>
      </c>
      <c r="H1700">
        <f>IF($G1700="","",IF(Sync!$X1697="","",Sync!$X1697))</f>
        <v/>
      </c>
      <c r="I1700">
        <f>IF($G1700="","",IFERROR(VLOOKUP(Sync!$X1697,OpTbl,3,0),""))</f>
        <v/>
      </c>
      <c r="J1700">
        <f>IF(OR($G1700="",Sync!$Z1697=""),"",Sync!$Z1697)</f>
        <v/>
      </c>
      <c r="K1700">
        <f>IF(OR($G1700="",Sync!$AA1697=""),"",Sync!$AA1697)</f>
        <v/>
      </c>
      <c r="L1700">
        <f>IF($G1700="",0,IF(Sync!$AB1697="",0,Sync!$AB1697))</f>
        <v/>
      </c>
      <c r="M1700">
        <f>IF($G1700="",0,IF(Sync!$AC1697="",0,Sync!$AC1697))</f>
        <v/>
      </c>
      <c r="N1700">
        <f>IF($G1700="","",IF($H1700="مرجوعی خرید",-1,1)*($L1700-$M1700*IFERROR(VLOOKUP("P01",ParamTbl,3,0),1.5))*(1-IF($I1700="خرید",IFERROR(VLOOKUP("P02",ParamTbl,3,0),1),0)/100))</f>
        <v/>
      </c>
      <c r="O1700">
        <f>IF($G1700="",0,IF($H1700="مرجوعی خرید",-1,1)*IF(Sync!$AD1697="",0,Sync!$AD1697))</f>
        <v/>
      </c>
      <c r="P1700">
        <f>IF(OR($G1700="",Sync!$W1697=""),"",Sync!$W1697)</f>
        <v/>
      </c>
      <c r="Q1700">
        <f>IF(OR($G1700="",Sync!$AE1697=""),"",Sync!$AE1697)</f>
        <v/>
      </c>
      <c r="R1700">
        <f>IF($G1700="","",IF(Sync!$V1697="","0000",IF(AND(ISNUMBER(Sync!$V1697),Sync!$V1697&gt;=0,Sync!$V1697&lt;1),RIGHT("00"&amp;HOUR(Sync!$V1697),2)&amp;RIGHT("00"&amp;MINUTE(Sync!$V1697),2),IFERROR(RIGHT("00"&amp;VALUE(LEFT(Sync!$V1697,FIND(":",Sync!$V1697)-1)),2)&amp;RIGHT("00"&amp;VALUE(MID(Sync!$V1697,FIND(":",Sync!$V1697)+1,2)),2),"0000"))))</f>
        <v/>
      </c>
    </row>
    <row r="1701">
      <c r="A1701">
        <f>IF(Sync!$U1698="","",Sync!$U1698)</f>
        <v/>
      </c>
      <c r="B1701">
        <f>IF($A1701="","",IF(ISNUMBER($A1701),IF(AND($A1701&gt;=10000101,$A1701&lt;=99991231),INT($A1701/10000),""),IFERROR(VALUE(TRIM(LEFT($A1701,FIND("/",$A1701)-1))),"")))</f>
        <v/>
      </c>
      <c r="C1701">
        <f>IF(OR($A1701="",$B1701=""),"",IF(ISNUMBER($A1701),INT(MOD($A1701,10000)/100),IFERROR(VALUE(TRIM(LEFT(MID($A1701,FIND("/",$A1701)+1,20),FIND("/",MID($A1701,FIND("/",$A1701)+1,20))-1))),"")))</f>
        <v/>
      </c>
      <c r="D1701">
        <f>IF(OR($A1701="",$B1701=""),"",IF(ISNUMBER($A1701),MOD($A1701,100),IFERROR(VALUE(TRIM(MID(MID($A1701,FIND("/",$A1701)+1,20),FIND("/",MID($A1701,FIND("/",$A1701)+1,20))+1,20))),"")))</f>
        <v/>
      </c>
      <c r="E1701">
        <f>IF($A1701="","",IF(OR($B1701="",$C1701="",$D1701="",$B1701&lt;1300,$B1701&gt;1500,$C1701&lt;1,$C1701&gt;12,$D1701&lt;1,$D1701&gt;31),"نامعتبر",RIGHT("0000"&amp;$B1701,4)&amp;"/"&amp;RIGHT("00"&amp;$C1701,2)&amp;"/"&amp;RIGHT("00"&amp;$D1701,2)))</f>
        <v/>
      </c>
      <c r="F1701">
        <f>IF(OR($E1701="",$E1701="نامعتبر"),"",LEFT($E1701,4)&amp;"/"&amp;MID($E1701,6,2))</f>
        <v/>
      </c>
      <c r="G1701">
        <f>IF(OR($E1701="",$E1701="نامعتبر",Sync!$Y1698=""),"",Sync!$Y1698)</f>
        <v/>
      </c>
      <c r="H1701">
        <f>IF($G1701="","",IF(Sync!$X1698="","",Sync!$X1698))</f>
        <v/>
      </c>
      <c r="I1701">
        <f>IF($G1701="","",IFERROR(VLOOKUP(Sync!$X1698,OpTbl,3,0),""))</f>
        <v/>
      </c>
      <c r="J1701">
        <f>IF(OR($G1701="",Sync!$Z1698=""),"",Sync!$Z1698)</f>
        <v/>
      </c>
      <c r="K1701">
        <f>IF(OR($G1701="",Sync!$AA1698=""),"",Sync!$AA1698)</f>
        <v/>
      </c>
      <c r="L1701">
        <f>IF($G1701="",0,IF(Sync!$AB1698="",0,Sync!$AB1698))</f>
        <v/>
      </c>
      <c r="M1701">
        <f>IF($G1701="",0,IF(Sync!$AC1698="",0,Sync!$AC1698))</f>
        <v/>
      </c>
      <c r="N1701">
        <f>IF($G1701="","",IF($H1701="مرجوعی خرید",-1,1)*($L1701-$M1701*IFERROR(VLOOKUP("P01",ParamTbl,3,0),1.5))*(1-IF($I1701="خرید",IFERROR(VLOOKUP("P02",ParamTbl,3,0),1),0)/100))</f>
        <v/>
      </c>
      <c r="O1701">
        <f>IF($G1701="",0,IF($H1701="مرجوعی خرید",-1,1)*IF(Sync!$AD1698="",0,Sync!$AD1698))</f>
        <v/>
      </c>
      <c r="P1701">
        <f>IF(OR($G1701="",Sync!$W1698=""),"",Sync!$W1698)</f>
        <v/>
      </c>
      <c r="Q1701">
        <f>IF(OR($G1701="",Sync!$AE1698=""),"",Sync!$AE1698)</f>
        <v/>
      </c>
      <c r="R1701">
        <f>IF($G1701="","",IF(Sync!$V1698="","0000",IF(AND(ISNUMBER(Sync!$V1698),Sync!$V1698&gt;=0,Sync!$V1698&lt;1),RIGHT("00"&amp;HOUR(Sync!$V1698),2)&amp;RIGHT("00"&amp;MINUTE(Sync!$V1698),2),IFERROR(RIGHT("00"&amp;VALUE(LEFT(Sync!$V1698,FIND(":",Sync!$V1698)-1)),2)&amp;RIGHT("00"&amp;VALUE(MID(Sync!$V1698,FIND(":",Sync!$V1698)+1,2)),2),"0000"))))</f>
        <v/>
      </c>
    </row>
    <row r="1702">
      <c r="A1702">
        <f>IF(Sync!$U1699="","",Sync!$U1699)</f>
        <v/>
      </c>
      <c r="B1702">
        <f>IF($A1702="","",IF(ISNUMBER($A1702),IF(AND($A1702&gt;=10000101,$A1702&lt;=99991231),INT($A1702/10000),""),IFERROR(VALUE(TRIM(LEFT($A1702,FIND("/",$A1702)-1))),"")))</f>
        <v/>
      </c>
      <c r="C1702">
        <f>IF(OR($A1702="",$B1702=""),"",IF(ISNUMBER($A1702),INT(MOD($A1702,10000)/100),IFERROR(VALUE(TRIM(LEFT(MID($A1702,FIND("/",$A1702)+1,20),FIND("/",MID($A1702,FIND("/",$A1702)+1,20))-1))),"")))</f>
        <v/>
      </c>
      <c r="D1702">
        <f>IF(OR($A1702="",$B1702=""),"",IF(ISNUMBER($A1702),MOD($A1702,100),IFERROR(VALUE(TRIM(MID(MID($A1702,FIND("/",$A1702)+1,20),FIND("/",MID($A1702,FIND("/",$A1702)+1,20))+1,20))),"")))</f>
        <v/>
      </c>
      <c r="E1702">
        <f>IF($A1702="","",IF(OR($B1702="",$C1702="",$D1702="",$B1702&lt;1300,$B1702&gt;1500,$C1702&lt;1,$C1702&gt;12,$D1702&lt;1,$D1702&gt;31),"نامعتبر",RIGHT("0000"&amp;$B1702,4)&amp;"/"&amp;RIGHT("00"&amp;$C1702,2)&amp;"/"&amp;RIGHT("00"&amp;$D1702,2)))</f>
        <v/>
      </c>
      <c r="F1702">
        <f>IF(OR($E1702="",$E1702="نامعتبر"),"",LEFT($E1702,4)&amp;"/"&amp;MID($E1702,6,2))</f>
        <v/>
      </c>
      <c r="G1702">
        <f>IF(OR($E1702="",$E1702="نامعتبر",Sync!$Y1699=""),"",Sync!$Y1699)</f>
        <v/>
      </c>
      <c r="H1702">
        <f>IF($G1702="","",IF(Sync!$X1699="","",Sync!$X1699))</f>
        <v/>
      </c>
      <c r="I1702">
        <f>IF($G1702="","",IFERROR(VLOOKUP(Sync!$X1699,OpTbl,3,0),""))</f>
        <v/>
      </c>
      <c r="J1702">
        <f>IF(OR($G1702="",Sync!$Z1699=""),"",Sync!$Z1699)</f>
        <v/>
      </c>
      <c r="K1702">
        <f>IF(OR($G1702="",Sync!$AA1699=""),"",Sync!$AA1699)</f>
        <v/>
      </c>
      <c r="L1702">
        <f>IF($G1702="",0,IF(Sync!$AB1699="",0,Sync!$AB1699))</f>
        <v/>
      </c>
      <c r="M1702">
        <f>IF($G1702="",0,IF(Sync!$AC1699="",0,Sync!$AC1699))</f>
        <v/>
      </c>
      <c r="N1702">
        <f>IF($G1702="","",IF($H1702="مرجوعی خرید",-1,1)*($L1702-$M1702*IFERROR(VLOOKUP("P01",ParamTbl,3,0),1.5))*(1-IF($I1702="خرید",IFERROR(VLOOKUP("P02",ParamTbl,3,0),1),0)/100))</f>
        <v/>
      </c>
      <c r="O1702">
        <f>IF($G1702="",0,IF($H1702="مرجوعی خرید",-1,1)*IF(Sync!$AD1699="",0,Sync!$AD1699))</f>
        <v/>
      </c>
      <c r="P1702">
        <f>IF(OR($G1702="",Sync!$W1699=""),"",Sync!$W1699)</f>
        <v/>
      </c>
      <c r="Q1702">
        <f>IF(OR($G1702="",Sync!$AE1699=""),"",Sync!$AE1699)</f>
        <v/>
      </c>
      <c r="R1702">
        <f>IF($G1702="","",IF(Sync!$V1699="","0000",IF(AND(ISNUMBER(Sync!$V1699),Sync!$V1699&gt;=0,Sync!$V1699&lt;1),RIGHT("00"&amp;HOUR(Sync!$V1699),2)&amp;RIGHT("00"&amp;MINUTE(Sync!$V1699),2),IFERROR(RIGHT("00"&amp;VALUE(LEFT(Sync!$V1699,FIND(":",Sync!$V1699)-1)),2)&amp;RIGHT("00"&amp;VALUE(MID(Sync!$V1699,FIND(":",Sync!$V1699)+1,2)),2),"0000"))))</f>
        <v/>
      </c>
    </row>
    <row r="1703">
      <c r="A1703">
        <f>IF(Sync!$U1700="","",Sync!$U1700)</f>
        <v/>
      </c>
      <c r="B1703">
        <f>IF($A1703="","",IF(ISNUMBER($A1703),IF(AND($A1703&gt;=10000101,$A1703&lt;=99991231),INT($A1703/10000),""),IFERROR(VALUE(TRIM(LEFT($A1703,FIND("/",$A1703)-1))),"")))</f>
        <v/>
      </c>
      <c r="C1703">
        <f>IF(OR($A1703="",$B1703=""),"",IF(ISNUMBER($A1703),INT(MOD($A1703,10000)/100),IFERROR(VALUE(TRIM(LEFT(MID($A1703,FIND("/",$A1703)+1,20),FIND("/",MID($A1703,FIND("/",$A1703)+1,20))-1))),"")))</f>
        <v/>
      </c>
      <c r="D1703">
        <f>IF(OR($A1703="",$B1703=""),"",IF(ISNUMBER($A1703),MOD($A1703,100),IFERROR(VALUE(TRIM(MID(MID($A1703,FIND("/",$A1703)+1,20),FIND("/",MID($A1703,FIND("/",$A1703)+1,20))+1,20))),"")))</f>
        <v/>
      </c>
      <c r="E1703">
        <f>IF($A1703="","",IF(OR($B1703="",$C1703="",$D1703="",$B1703&lt;1300,$B1703&gt;1500,$C1703&lt;1,$C1703&gt;12,$D1703&lt;1,$D1703&gt;31),"نامعتبر",RIGHT("0000"&amp;$B1703,4)&amp;"/"&amp;RIGHT("00"&amp;$C1703,2)&amp;"/"&amp;RIGHT("00"&amp;$D1703,2)))</f>
        <v/>
      </c>
      <c r="F1703">
        <f>IF(OR($E1703="",$E1703="نامعتبر"),"",LEFT($E1703,4)&amp;"/"&amp;MID($E1703,6,2))</f>
        <v/>
      </c>
      <c r="G1703">
        <f>IF(OR($E1703="",$E1703="نامعتبر",Sync!$Y1700=""),"",Sync!$Y1700)</f>
        <v/>
      </c>
      <c r="H1703">
        <f>IF($G1703="","",IF(Sync!$X1700="","",Sync!$X1700))</f>
        <v/>
      </c>
      <c r="I1703">
        <f>IF($G1703="","",IFERROR(VLOOKUP(Sync!$X1700,OpTbl,3,0),""))</f>
        <v/>
      </c>
      <c r="J1703">
        <f>IF(OR($G1703="",Sync!$Z1700=""),"",Sync!$Z1700)</f>
        <v/>
      </c>
      <c r="K1703">
        <f>IF(OR($G1703="",Sync!$AA1700=""),"",Sync!$AA1700)</f>
        <v/>
      </c>
      <c r="L1703">
        <f>IF($G1703="",0,IF(Sync!$AB1700="",0,Sync!$AB1700))</f>
        <v/>
      </c>
      <c r="M1703">
        <f>IF($G1703="",0,IF(Sync!$AC1700="",0,Sync!$AC1700))</f>
        <v/>
      </c>
      <c r="N1703">
        <f>IF($G1703="","",IF($H1703="مرجوعی خرید",-1,1)*($L1703-$M1703*IFERROR(VLOOKUP("P01",ParamTbl,3,0),1.5))*(1-IF($I1703="خرید",IFERROR(VLOOKUP("P02",ParamTbl,3,0),1),0)/100))</f>
        <v/>
      </c>
      <c r="O1703">
        <f>IF($G1703="",0,IF($H1703="مرجوعی خرید",-1,1)*IF(Sync!$AD1700="",0,Sync!$AD1700))</f>
        <v/>
      </c>
      <c r="P1703">
        <f>IF(OR($G1703="",Sync!$W1700=""),"",Sync!$W1700)</f>
        <v/>
      </c>
      <c r="Q1703">
        <f>IF(OR($G1703="",Sync!$AE1700=""),"",Sync!$AE1700)</f>
        <v/>
      </c>
      <c r="R1703">
        <f>IF($G1703="","",IF(Sync!$V1700="","0000",IF(AND(ISNUMBER(Sync!$V1700),Sync!$V1700&gt;=0,Sync!$V1700&lt;1),RIGHT("00"&amp;HOUR(Sync!$V1700),2)&amp;RIGHT("00"&amp;MINUTE(Sync!$V1700),2),IFERROR(RIGHT("00"&amp;VALUE(LEFT(Sync!$V1700,FIND(":",Sync!$V1700)-1)),2)&amp;RIGHT("00"&amp;VALUE(MID(Sync!$V1700,FIND(":",Sync!$V1700)+1,2)),2),"0000"))))</f>
        <v/>
      </c>
    </row>
    <row r="1704">
      <c r="A1704">
        <f>IF(Sync!$U1701="","",Sync!$U1701)</f>
        <v/>
      </c>
      <c r="B1704">
        <f>IF($A1704="","",IF(ISNUMBER($A1704),IF(AND($A1704&gt;=10000101,$A1704&lt;=99991231),INT($A1704/10000),""),IFERROR(VALUE(TRIM(LEFT($A1704,FIND("/",$A1704)-1))),"")))</f>
        <v/>
      </c>
      <c r="C1704">
        <f>IF(OR($A1704="",$B1704=""),"",IF(ISNUMBER($A1704),INT(MOD($A1704,10000)/100),IFERROR(VALUE(TRIM(LEFT(MID($A1704,FIND("/",$A1704)+1,20),FIND("/",MID($A1704,FIND("/",$A1704)+1,20))-1))),"")))</f>
        <v/>
      </c>
      <c r="D1704">
        <f>IF(OR($A1704="",$B1704=""),"",IF(ISNUMBER($A1704),MOD($A1704,100),IFERROR(VALUE(TRIM(MID(MID($A1704,FIND("/",$A1704)+1,20),FIND("/",MID($A1704,FIND("/",$A1704)+1,20))+1,20))),"")))</f>
        <v/>
      </c>
      <c r="E1704">
        <f>IF($A1704="","",IF(OR($B1704="",$C1704="",$D1704="",$B1704&lt;1300,$B1704&gt;1500,$C1704&lt;1,$C1704&gt;12,$D1704&lt;1,$D1704&gt;31),"نامعتبر",RIGHT("0000"&amp;$B1704,4)&amp;"/"&amp;RIGHT("00"&amp;$C1704,2)&amp;"/"&amp;RIGHT("00"&amp;$D1704,2)))</f>
        <v/>
      </c>
      <c r="F1704">
        <f>IF(OR($E1704="",$E1704="نامعتبر"),"",LEFT($E1704,4)&amp;"/"&amp;MID($E1704,6,2))</f>
        <v/>
      </c>
      <c r="G1704">
        <f>IF(OR($E1704="",$E1704="نامعتبر",Sync!$Y1701=""),"",Sync!$Y1701)</f>
        <v/>
      </c>
      <c r="H1704">
        <f>IF($G1704="","",IF(Sync!$X1701="","",Sync!$X1701))</f>
        <v/>
      </c>
      <c r="I1704">
        <f>IF($G1704="","",IFERROR(VLOOKUP(Sync!$X1701,OpTbl,3,0),""))</f>
        <v/>
      </c>
      <c r="J1704">
        <f>IF(OR($G1704="",Sync!$Z1701=""),"",Sync!$Z1701)</f>
        <v/>
      </c>
      <c r="K1704">
        <f>IF(OR($G1704="",Sync!$AA1701=""),"",Sync!$AA1701)</f>
        <v/>
      </c>
      <c r="L1704">
        <f>IF($G1704="",0,IF(Sync!$AB1701="",0,Sync!$AB1701))</f>
        <v/>
      </c>
      <c r="M1704">
        <f>IF($G1704="",0,IF(Sync!$AC1701="",0,Sync!$AC1701))</f>
        <v/>
      </c>
      <c r="N1704">
        <f>IF($G1704="","",IF($H1704="مرجوعی خرید",-1,1)*($L1704-$M1704*IFERROR(VLOOKUP("P01",ParamTbl,3,0),1.5))*(1-IF($I1704="خرید",IFERROR(VLOOKUP("P02",ParamTbl,3,0),1),0)/100))</f>
        <v/>
      </c>
      <c r="O1704">
        <f>IF($G1704="",0,IF($H1704="مرجوعی خرید",-1,1)*IF(Sync!$AD1701="",0,Sync!$AD1701))</f>
        <v/>
      </c>
      <c r="P1704">
        <f>IF(OR($G1704="",Sync!$W1701=""),"",Sync!$W1701)</f>
        <v/>
      </c>
      <c r="Q1704">
        <f>IF(OR($G1704="",Sync!$AE1701=""),"",Sync!$AE1701)</f>
        <v/>
      </c>
      <c r="R1704">
        <f>IF($G1704="","",IF(Sync!$V1701="","0000",IF(AND(ISNUMBER(Sync!$V1701),Sync!$V1701&gt;=0,Sync!$V1701&lt;1),RIGHT("00"&amp;HOUR(Sync!$V1701),2)&amp;RIGHT("00"&amp;MINUTE(Sync!$V1701),2),IFERROR(RIGHT("00"&amp;VALUE(LEFT(Sync!$V1701,FIND(":",Sync!$V1701)-1)),2)&amp;RIGHT("00"&amp;VALUE(MID(Sync!$V1701,FIND(":",Sync!$V1701)+1,2)),2),"0000"))))</f>
        <v/>
      </c>
    </row>
    <row r="1705">
      <c r="A1705">
        <f>IF(Sync!$U1702="","",Sync!$U1702)</f>
        <v/>
      </c>
      <c r="B1705">
        <f>IF($A1705="","",IF(ISNUMBER($A1705),IF(AND($A1705&gt;=10000101,$A1705&lt;=99991231),INT($A1705/10000),""),IFERROR(VALUE(TRIM(LEFT($A1705,FIND("/",$A1705)-1))),"")))</f>
        <v/>
      </c>
      <c r="C1705">
        <f>IF(OR($A1705="",$B1705=""),"",IF(ISNUMBER($A1705),INT(MOD($A1705,10000)/100),IFERROR(VALUE(TRIM(LEFT(MID($A1705,FIND("/",$A1705)+1,20),FIND("/",MID($A1705,FIND("/",$A1705)+1,20))-1))),"")))</f>
        <v/>
      </c>
      <c r="D1705">
        <f>IF(OR($A1705="",$B1705=""),"",IF(ISNUMBER($A1705),MOD($A1705,100),IFERROR(VALUE(TRIM(MID(MID($A1705,FIND("/",$A1705)+1,20),FIND("/",MID($A1705,FIND("/",$A1705)+1,20))+1,20))),"")))</f>
        <v/>
      </c>
      <c r="E1705">
        <f>IF($A1705="","",IF(OR($B1705="",$C1705="",$D1705="",$B1705&lt;1300,$B1705&gt;1500,$C1705&lt;1,$C1705&gt;12,$D1705&lt;1,$D1705&gt;31),"نامعتبر",RIGHT("0000"&amp;$B1705,4)&amp;"/"&amp;RIGHT("00"&amp;$C1705,2)&amp;"/"&amp;RIGHT("00"&amp;$D1705,2)))</f>
        <v/>
      </c>
      <c r="F1705">
        <f>IF(OR($E1705="",$E1705="نامعتبر"),"",LEFT($E1705,4)&amp;"/"&amp;MID($E1705,6,2))</f>
        <v/>
      </c>
      <c r="G1705">
        <f>IF(OR($E1705="",$E1705="نامعتبر",Sync!$Y1702=""),"",Sync!$Y1702)</f>
        <v/>
      </c>
      <c r="H1705">
        <f>IF($G1705="","",IF(Sync!$X1702="","",Sync!$X1702))</f>
        <v/>
      </c>
      <c r="I1705">
        <f>IF($G1705="","",IFERROR(VLOOKUP(Sync!$X1702,OpTbl,3,0),""))</f>
        <v/>
      </c>
      <c r="J1705">
        <f>IF(OR($G1705="",Sync!$Z1702=""),"",Sync!$Z1702)</f>
        <v/>
      </c>
      <c r="K1705">
        <f>IF(OR($G1705="",Sync!$AA1702=""),"",Sync!$AA1702)</f>
        <v/>
      </c>
      <c r="L1705">
        <f>IF($G1705="",0,IF(Sync!$AB1702="",0,Sync!$AB1702))</f>
        <v/>
      </c>
      <c r="M1705">
        <f>IF($G1705="",0,IF(Sync!$AC1702="",0,Sync!$AC1702))</f>
        <v/>
      </c>
      <c r="N1705">
        <f>IF($G1705="","",IF($H1705="مرجوعی خرید",-1,1)*($L1705-$M1705*IFERROR(VLOOKUP("P01",ParamTbl,3,0),1.5))*(1-IF($I1705="خرید",IFERROR(VLOOKUP("P02",ParamTbl,3,0),1),0)/100))</f>
        <v/>
      </c>
      <c r="O1705">
        <f>IF($G1705="",0,IF($H1705="مرجوعی خرید",-1,1)*IF(Sync!$AD1702="",0,Sync!$AD1702))</f>
        <v/>
      </c>
      <c r="P1705">
        <f>IF(OR($G1705="",Sync!$W1702=""),"",Sync!$W1702)</f>
        <v/>
      </c>
      <c r="Q1705">
        <f>IF(OR($G1705="",Sync!$AE1702=""),"",Sync!$AE1702)</f>
        <v/>
      </c>
      <c r="R1705">
        <f>IF($G1705="","",IF(Sync!$V1702="","0000",IF(AND(ISNUMBER(Sync!$V1702),Sync!$V1702&gt;=0,Sync!$V1702&lt;1),RIGHT("00"&amp;HOUR(Sync!$V1702),2)&amp;RIGHT("00"&amp;MINUTE(Sync!$V1702),2),IFERROR(RIGHT("00"&amp;VALUE(LEFT(Sync!$V1702,FIND(":",Sync!$V1702)-1)),2)&amp;RIGHT("00"&amp;VALUE(MID(Sync!$V1702,FIND(":",Sync!$V1702)+1,2)),2),"0000"))))</f>
        <v/>
      </c>
    </row>
    <row r="1706">
      <c r="A1706">
        <f>IF(Sync!$U1703="","",Sync!$U1703)</f>
        <v/>
      </c>
      <c r="B1706">
        <f>IF($A1706="","",IF(ISNUMBER($A1706),IF(AND($A1706&gt;=10000101,$A1706&lt;=99991231),INT($A1706/10000),""),IFERROR(VALUE(TRIM(LEFT($A1706,FIND("/",$A1706)-1))),"")))</f>
        <v/>
      </c>
      <c r="C1706">
        <f>IF(OR($A1706="",$B1706=""),"",IF(ISNUMBER($A1706),INT(MOD($A1706,10000)/100),IFERROR(VALUE(TRIM(LEFT(MID($A1706,FIND("/",$A1706)+1,20),FIND("/",MID($A1706,FIND("/",$A1706)+1,20))-1))),"")))</f>
        <v/>
      </c>
      <c r="D1706">
        <f>IF(OR($A1706="",$B1706=""),"",IF(ISNUMBER($A1706),MOD($A1706,100),IFERROR(VALUE(TRIM(MID(MID($A1706,FIND("/",$A1706)+1,20),FIND("/",MID($A1706,FIND("/",$A1706)+1,20))+1,20))),"")))</f>
        <v/>
      </c>
      <c r="E1706">
        <f>IF($A1706="","",IF(OR($B1706="",$C1706="",$D1706="",$B1706&lt;1300,$B1706&gt;1500,$C1706&lt;1,$C1706&gt;12,$D1706&lt;1,$D1706&gt;31),"نامعتبر",RIGHT("0000"&amp;$B1706,4)&amp;"/"&amp;RIGHT("00"&amp;$C1706,2)&amp;"/"&amp;RIGHT("00"&amp;$D1706,2)))</f>
        <v/>
      </c>
      <c r="F1706">
        <f>IF(OR($E1706="",$E1706="نامعتبر"),"",LEFT($E1706,4)&amp;"/"&amp;MID($E1706,6,2))</f>
        <v/>
      </c>
      <c r="G1706">
        <f>IF(OR($E1706="",$E1706="نامعتبر",Sync!$Y1703=""),"",Sync!$Y1703)</f>
        <v/>
      </c>
      <c r="H1706">
        <f>IF($G1706="","",IF(Sync!$X1703="","",Sync!$X1703))</f>
        <v/>
      </c>
      <c r="I1706">
        <f>IF($G1706="","",IFERROR(VLOOKUP(Sync!$X1703,OpTbl,3,0),""))</f>
        <v/>
      </c>
      <c r="J1706">
        <f>IF(OR($G1706="",Sync!$Z1703=""),"",Sync!$Z1703)</f>
        <v/>
      </c>
      <c r="K1706">
        <f>IF(OR($G1706="",Sync!$AA1703=""),"",Sync!$AA1703)</f>
        <v/>
      </c>
      <c r="L1706">
        <f>IF($G1706="",0,IF(Sync!$AB1703="",0,Sync!$AB1703))</f>
        <v/>
      </c>
      <c r="M1706">
        <f>IF($G1706="",0,IF(Sync!$AC1703="",0,Sync!$AC1703))</f>
        <v/>
      </c>
      <c r="N1706">
        <f>IF($G1706="","",IF($H1706="مرجوعی خرید",-1,1)*($L1706-$M1706*IFERROR(VLOOKUP("P01",ParamTbl,3,0),1.5))*(1-IF($I1706="خرید",IFERROR(VLOOKUP("P02",ParamTbl,3,0),1),0)/100))</f>
        <v/>
      </c>
      <c r="O1706">
        <f>IF($G1706="",0,IF($H1706="مرجوعی خرید",-1,1)*IF(Sync!$AD1703="",0,Sync!$AD1703))</f>
        <v/>
      </c>
      <c r="P1706">
        <f>IF(OR($G1706="",Sync!$W1703=""),"",Sync!$W1703)</f>
        <v/>
      </c>
      <c r="Q1706">
        <f>IF(OR($G1706="",Sync!$AE1703=""),"",Sync!$AE1703)</f>
        <v/>
      </c>
      <c r="R1706">
        <f>IF($G1706="","",IF(Sync!$V1703="","0000",IF(AND(ISNUMBER(Sync!$V1703),Sync!$V1703&gt;=0,Sync!$V1703&lt;1),RIGHT("00"&amp;HOUR(Sync!$V1703),2)&amp;RIGHT("00"&amp;MINUTE(Sync!$V1703),2),IFERROR(RIGHT("00"&amp;VALUE(LEFT(Sync!$V1703,FIND(":",Sync!$V1703)-1)),2)&amp;RIGHT("00"&amp;VALUE(MID(Sync!$V1703,FIND(":",Sync!$V1703)+1,2)),2),"0000"))))</f>
        <v/>
      </c>
    </row>
    <row r="1707">
      <c r="A1707">
        <f>IF(Sync!$U1704="","",Sync!$U1704)</f>
        <v/>
      </c>
      <c r="B1707">
        <f>IF($A1707="","",IF(ISNUMBER($A1707),IF(AND($A1707&gt;=10000101,$A1707&lt;=99991231),INT($A1707/10000),""),IFERROR(VALUE(TRIM(LEFT($A1707,FIND("/",$A1707)-1))),"")))</f>
        <v/>
      </c>
      <c r="C1707">
        <f>IF(OR($A1707="",$B1707=""),"",IF(ISNUMBER($A1707),INT(MOD($A1707,10000)/100),IFERROR(VALUE(TRIM(LEFT(MID($A1707,FIND("/",$A1707)+1,20),FIND("/",MID($A1707,FIND("/",$A1707)+1,20))-1))),"")))</f>
        <v/>
      </c>
      <c r="D1707">
        <f>IF(OR($A1707="",$B1707=""),"",IF(ISNUMBER($A1707),MOD($A1707,100),IFERROR(VALUE(TRIM(MID(MID($A1707,FIND("/",$A1707)+1,20),FIND("/",MID($A1707,FIND("/",$A1707)+1,20))+1,20))),"")))</f>
        <v/>
      </c>
      <c r="E1707">
        <f>IF($A1707="","",IF(OR($B1707="",$C1707="",$D1707="",$B1707&lt;1300,$B1707&gt;1500,$C1707&lt;1,$C1707&gt;12,$D1707&lt;1,$D1707&gt;31),"نامعتبر",RIGHT("0000"&amp;$B1707,4)&amp;"/"&amp;RIGHT("00"&amp;$C1707,2)&amp;"/"&amp;RIGHT("00"&amp;$D1707,2)))</f>
        <v/>
      </c>
      <c r="F1707">
        <f>IF(OR($E1707="",$E1707="نامعتبر"),"",LEFT($E1707,4)&amp;"/"&amp;MID($E1707,6,2))</f>
        <v/>
      </c>
      <c r="G1707">
        <f>IF(OR($E1707="",$E1707="نامعتبر",Sync!$Y1704=""),"",Sync!$Y1704)</f>
        <v/>
      </c>
      <c r="H1707">
        <f>IF($G1707="","",IF(Sync!$X1704="","",Sync!$X1704))</f>
        <v/>
      </c>
      <c r="I1707">
        <f>IF($G1707="","",IFERROR(VLOOKUP(Sync!$X1704,OpTbl,3,0),""))</f>
        <v/>
      </c>
      <c r="J1707">
        <f>IF(OR($G1707="",Sync!$Z1704=""),"",Sync!$Z1704)</f>
        <v/>
      </c>
      <c r="K1707">
        <f>IF(OR($G1707="",Sync!$AA1704=""),"",Sync!$AA1704)</f>
        <v/>
      </c>
      <c r="L1707">
        <f>IF($G1707="",0,IF(Sync!$AB1704="",0,Sync!$AB1704))</f>
        <v/>
      </c>
      <c r="M1707">
        <f>IF($G1707="",0,IF(Sync!$AC1704="",0,Sync!$AC1704))</f>
        <v/>
      </c>
      <c r="N1707">
        <f>IF($G1707="","",IF($H1707="مرجوعی خرید",-1,1)*($L1707-$M1707*IFERROR(VLOOKUP("P01",ParamTbl,3,0),1.5))*(1-IF($I1707="خرید",IFERROR(VLOOKUP("P02",ParamTbl,3,0),1),0)/100))</f>
        <v/>
      </c>
      <c r="O1707">
        <f>IF($G1707="",0,IF($H1707="مرجوعی خرید",-1,1)*IF(Sync!$AD1704="",0,Sync!$AD1704))</f>
        <v/>
      </c>
      <c r="P1707">
        <f>IF(OR($G1707="",Sync!$W1704=""),"",Sync!$W1704)</f>
        <v/>
      </c>
      <c r="Q1707">
        <f>IF(OR($G1707="",Sync!$AE1704=""),"",Sync!$AE1704)</f>
        <v/>
      </c>
      <c r="R1707">
        <f>IF($G1707="","",IF(Sync!$V1704="","0000",IF(AND(ISNUMBER(Sync!$V1704),Sync!$V1704&gt;=0,Sync!$V1704&lt;1),RIGHT("00"&amp;HOUR(Sync!$V1704),2)&amp;RIGHT("00"&amp;MINUTE(Sync!$V1704),2),IFERROR(RIGHT("00"&amp;VALUE(LEFT(Sync!$V1704,FIND(":",Sync!$V1704)-1)),2)&amp;RIGHT("00"&amp;VALUE(MID(Sync!$V1704,FIND(":",Sync!$V1704)+1,2)),2),"0000"))))</f>
        <v/>
      </c>
    </row>
    <row r="1708">
      <c r="A1708">
        <f>IF(Sync!$U1705="","",Sync!$U1705)</f>
        <v/>
      </c>
      <c r="B1708">
        <f>IF($A1708="","",IF(ISNUMBER($A1708),IF(AND($A1708&gt;=10000101,$A1708&lt;=99991231),INT($A1708/10000),""),IFERROR(VALUE(TRIM(LEFT($A1708,FIND("/",$A1708)-1))),"")))</f>
        <v/>
      </c>
      <c r="C1708">
        <f>IF(OR($A1708="",$B1708=""),"",IF(ISNUMBER($A1708),INT(MOD($A1708,10000)/100),IFERROR(VALUE(TRIM(LEFT(MID($A1708,FIND("/",$A1708)+1,20),FIND("/",MID($A1708,FIND("/",$A1708)+1,20))-1))),"")))</f>
        <v/>
      </c>
      <c r="D1708">
        <f>IF(OR($A1708="",$B1708=""),"",IF(ISNUMBER($A1708),MOD($A1708,100),IFERROR(VALUE(TRIM(MID(MID($A1708,FIND("/",$A1708)+1,20),FIND("/",MID($A1708,FIND("/",$A1708)+1,20))+1,20))),"")))</f>
        <v/>
      </c>
      <c r="E1708">
        <f>IF($A1708="","",IF(OR($B1708="",$C1708="",$D1708="",$B1708&lt;1300,$B1708&gt;1500,$C1708&lt;1,$C1708&gt;12,$D1708&lt;1,$D1708&gt;31),"نامعتبر",RIGHT("0000"&amp;$B1708,4)&amp;"/"&amp;RIGHT("00"&amp;$C1708,2)&amp;"/"&amp;RIGHT("00"&amp;$D1708,2)))</f>
        <v/>
      </c>
      <c r="F1708">
        <f>IF(OR($E1708="",$E1708="نامعتبر"),"",LEFT($E1708,4)&amp;"/"&amp;MID($E1708,6,2))</f>
        <v/>
      </c>
      <c r="G1708">
        <f>IF(OR($E1708="",$E1708="نامعتبر",Sync!$Y1705=""),"",Sync!$Y1705)</f>
        <v/>
      </c>
      <c r="H1708">
        <f>IF($G1708="","",IF(Sync!$X1705="","",Sync!$X1705))</f>
        <v/>
      </c>
      <c r="I1708">
        <f>IF($G1708="","",IFERROR(VLOOKUP(Sync!$X1705,OpTbl,3,0),""))</f>
        <v/>
      </c>
      <c r="J1708">
        <f>IF(OR($G1708="",Sync!$Z1705=""),"",Sync!$Z1705)</f>
        <v/>
      </c>
      <c r="K1708">
        <f>IF(OR($G1708="",Sync!$AA1705=""),"",Sync!$AA1705)</f>
        <v/>
      </c>
      <c r="L1708">
        <f>IF($G1708="",0,IF(Sync!$AB1705="",0,Sync!$AB1705))</f>
        <v/>
      </c>
      <c r="M1708">
        <f>IF($G1708="",0,IF(Sync!$AC1705="",0,Sync!$AC1705))</f>
        <v/>
      </c>
      <c r="N1708">
        <f>IF($G1708="","",IF($H1708="مرجوعی خرید",-1,1)*($L1708-$M1708*IFERROR(VLOOKUP("P01",ParamTbl,3,0),1.5))*(1-IF($I1708="خرید",IFERROR(VLOOKUP("P02",ParamTbl,3,0),1),0)/100))</f>
        <v/>
      </c>
      <c r="O1708">
        <f>IF($G1708="",0,IF($H1708="مرجوعی خرید",-1,1)*IF(Sync!$AD1705="",0,Sync!$AD1705))</f>
        <v/>
      </c>
      <c r="P1708">
        <f>IF(OR($G1708="",Sync!$W1705=""),"",Sync!$W1705)</f>
        <v/>
      </c>
      <c r="Q1708">
        <f>IF(OR($G1708="",Sync!$AE1705=""),"",Sync!$AE1705)</f>
        <v/>
      </c>
      <c r="R1708">
        <f>IF($G1708="","",IF(Sync!$V1705="","0000",IF(AND(ISNUMBER(Sync!$V1705),Sync!$V1705&gt;=0,Sync!$V1705&lt;1),RIGHT("00"&amp;HOUR(Sync!$V1705),2)&amp;RIGHT("00"&amp;MINUTE(Sync!$V1705),2),IFERROR(RIGHT("00"&amp;VALUE(LEFT(Sync!$V1705,FIND(":",Sync!$V1705)-1)),2)&amp;RIGHT("00"&amp;VALUE(MID(Sync!$V1705,FIND(":",Sync!$V1705)+1,2)),2),"0000"))))</f>
        <v/>
      </c>
    </row>
    <row r="1709">
      <c r="A1709">
        <f>IF(Sync!$U1706="","",Sync!$U1706)</f>
        <v/>
      </c>
      <c r="B1709">
        <f>IF($A1709="","",IF(ISNUMBER($A1709),IF(AND($A1709&gt;=10000101,$A1709&lt;=99991231),INT($A1709/10000),""),IFERROR(VALUE(TRIM(LEFT($A1709,FIND("/",$A1709)-1))),"")))</f>
        <v/>
      </c>
      <c r="C1709">
        <f>IF(OR($A1709="",$B1709=""),"",IF(ISNUMBER($A1709),INT(MOD($A1709,10000)/100),IFERROR(VALUE(TRIM(LEFT(MID($A1709,FIND("/",$A1709)+1,20),FIND("/",MID($A1709,FIND("/",$A1709)+1,20))-1))),"")))</f>
        <v/>
      </c>
      <c r="D1709">
        <f>IF(OR($A1709="",$B1709=""),"",IF(ISNUMBER($A1709),MOD($A1709,100),IFERROR(VALUE(TRIM(MID(MID($A1709,FIND("/",$A1709)+1,20),FIND("/",MID($A1709,FIND("/",$A1709)+1,20))+1,20))),"")))</f>
        <v/>
      </c>
      <c r="E1709">
        <f>IF($A1709="","",IF(OR($B1709="",$C1709="",$D1709="",$B1709&lt;1300,$B1709&gt;1500,$C1709&lt;1,$C1709&gt;12,$D1709&lt;1,$D1709&gt;31),"نامعتبر",RIGHT("0000"&amp;$B1709,4)&amp;"/"&amp;RIGHT("00"&amp;$C1709,2)&amp;"/"&amp;RIGHT("00"&amp;$D1709,2)))</f>
        <v/>
      </c>
      <c r="F1709">
        <f>IF(OR($E1709="",$E1709="نامعتبر"),"",LEFT($E1709,4)&amp;"/"&amp;MID($E1709,6,2))</f>
        <v/>
      </c>
      <c r="G1709">
        <f>IF(OR($E1709="",$E1709="نامعتبر",Sync!$Y1706=""),"",Sync!$Y1706)</f>
        <v/>
      </c>
      <c r="H1709">
        <f>IF($G1709="","",IF(Sync!$X1706="","",Sync!$X1706))</f>
        <v/>
      </c>
      <c r="I1709">
        <f>IF($G1709="","",IFERROR(VLOOKUP(Sync!$X1706,OpTbl,3,0),""))</f>
        <v/>
      </c>
      <c r="J1709">
        <f>IF(OR($G1709="",Sync!$Z1706=""),"",Sync!$Z1706)</f>
        <v/>
      </c>
      <c r="K1709">
        <f>IF(OR($G1709="",Sync!$AA1706=""),"",Sync!$AA1706)</f>
        <v/>
      </c>
      <c r="L1709">
        <f>IF($G1709="",0,IF(Sync!$AB1706="",0,Sync!$AB1706))</f>
        <v/>
      </c>
      <c r="M1709">
        <f>IF($G1709="",0,IF(Sync!$AC1706="",0,Sync!$AC1706))</f>
        <v/>
      </c>
      <c r="N1709">
        <f>IF($G1709="","",IF($H1709="مرجوعی خرید",-1,1)*($L1709-$M1709*IFERROR(VLOOKUP("P01",ParamTbl,3,0),1.5))*(1-IF($I1709="خرید",IFERROR(VLOOKUP("P02",ParamTbl,3,0),1),0)/100))</f>
        <v/>
      </c>
      <c r="O1709">
        <f>IF($G1709="",0,IF($H1709="مرجوعی خرید",-1,1)*IF(Sync!$AD1706="",0,Sync!$AD1706))</f>
        <v/>
      </c>
      <c r="P1709">
        <f>IF(OR($G1709="",Sync!$W1706=""),"",Sync!$W1706)</f>
        <v/>
      </c>
      <c r="Q1709">
        <f>IF(OR($G1709="",Sync!$AE1706=""),"",Sync!$AE1706)</f>
        <v/>
      </c>
      <c r="R1709">
        <f>IF($G1709="","",IF(Sync!$V1706="","0000",IF(AND(ISNUMBER(Sync!$V1706),Sync!$V1706&gt;=0,Sync!$V1706&lt;1),RIGHT("00"&amp;HOUR(Sync!$V1706),2)&amp;RIGHT("00"&amp;MINUTE(Sync!$V1706),2),IFERROR(RIGHT("00"&amp;VALUE(LEFT(Sync!$V1706,FIND(":",Sync!$V1706)-1)),2)&amp;RIGHT("00"&amp;VALUE(MID(Sync!$V1706,FIND(":",Sync!$V1706)+1,2)),2),"0000"))))</f>
        <v/>
      </c>
    </row>
    <row r="1710">
      <c r="A1710">
        <f>IF(Sync!$U1707="","",Sync!$U1707)</f>
        <v/>
      </c>
      <c r="B1710">
        <f>IF($A1710="","",IF(ISNUMBER($A1710),IF(AND($A1710&gt;=10000101,$A1710&lt;=99991231),INT($A1710/10000),""),IFERROR(VALUE(TRIM(LEFT($A1710,FIND("/",$A1710)-1))),"")))</f>
        <v/>
      </c>
      <c r="C1710">
        <f>IF(OR($A1710="",$B1710=""),"",IF(ISNUMBER($A1710),INT(MOD($A1710,10000)/100),IFERROR(VALUE(TRIM(LEFT(MID($A1710,FIND("/",$A1710)+1,20),FIND("/",MID($A1710,FIND("/",$A1710)+1,20))-1))),"")))</f>
        <v/>
      </c>
      <c r="D1710">
        <f>IF(OR($A1710="",$B1710=""),"",IF(ISNUMBER($A1710),MOD($A1710,100),IFERROR(VALUE(TRIM(MID(MID($A1710,FIND("/",$A1710)+1,20),FIND("/",MID($A1710,FIND("/",$A1710)+1,20))+1,20))),"")))</f>
        <v/>
      </c>
      <c r="E1710">
        <f>IF($A1710="","",IF(OR($B1710="",$C1710="",$D1710="",$B1710&lt;1300,$B1710&gt;1500,$C1710&lt;1,$C1710&gt;12,$D1710&lt;1,$D1710&gt;31),"نامعتبر",RIGHT("0000"&amp;$B1710,4)&amp;"/"&amp;RIGHT("00"&amp;$C1710,2)&amp;"/"&amp;RIGHT("00"&amp;$D1710,2)))</f>
        <v/>
      </c>
      <c r="F1710">
        <f>IF(OR($E1710="",$E1710="نامعتبر"),"",LEFT($E1710,4)&amp;"/"&amp;MID($E1710,6,2))</f>
        <v/>
      </c>
      <c r="G1710">
        <f>IF(OR($E1710="",$E1710="نامعتبر",Sync!$Y1707=""),"",Sync!$Y1707)</f>
        <v/>
      </c>
      <c r="H1710">
        <f>IF($G1710="","",IF(Sync!$X1707="","",Sync!$X1707))</f>
        <v/>
      </c>
      <c r="I1710">
        <f>IF($G1710="","",IFERROR(VLOOKUP(Sync!$X1707,OpTbl,3,0),""))</f>
        <v/>
      </c>
      <c r="J1710">
        <f>IF(OR($G1710="",Sync!$Z1707=""),"",Sync!$Z1707)</f>
        <v/>
      </c>
      <c r="K1710">
        <f>IF(OR($G1710="",Sync!$AA1707=""),"",Sync!$AA1707)</f>
        <v/>
      </c>
      <c r="L1710">
        <f>IF($G1710="",0,IF(Sync!$AB1707="",0,Sync!$AB1707))</f>
        <v/>
      </c>
      <c r="M1710">
        <f>IF($G1710="",0,IF(Sync!$AC1707="",0,Sync!$AC1707))</f>
        <v/>
      </c>
      <c r="N1710">
        <f>IF($G1710="","",IF($H1710="مرجوعی خرید",-1,1)*($L1710-$M1710*IFERROR(VLOOKUP("P01",ParamTbl,3,0),1.5))*(1-IF($I1710="خرید",IFERROR(VLOOKUP("P02",ParamTbl,3,0),1),0)/100))</f>
        <v/>
      </c>
      <c r="O1710">
        <f>IF($G1710="",0,IF($H1710="مرجوعی خرید",-1,1)*IF(Sync!$AD1707="",0,Sync!$AD1707))</f>
        <v/>
      </c>
      <c r="P1710">
        <f>IF(OR($G1710="",Sync!$W1707=""),"",Sync!$W1707)</f>
        <v/>
      </c>
      <c r="Q1710">
        <f>IF(OR($G1710="",Sync!$AE1707=""),"",Sync!$AE1707)</f>
        <v/>
      </c>
      <c r="R1710">
        <f>IF($G1710="","",IF(Sync!$V1707="","0000",IF(AND(ISNUMBER(Sync!$V1707),Sync!$V1707&gt;=0,Sync!$V1707&lt;1),RIGHT("00"&amp;HOUR(Sync!$V1707),2)&amp;RIGHT("00"&amp;MINUTE(Sync!$V1707),2),IFERROR(RIGHT("00"&amp;VALUE(LEFT(Sync!$V1707,FIND(":",Sync!$V1707)-1)),2)&amp;RIGHT("00"&amp;VALUE(MID(Sync!$V1707,FIND(":",Sync!$V1707)+1,2)),2),"0000"))))</f>
        <v/>
      </c>
    </row>
    <row r="1711">
      <c r="A1711">
        <f>IF(Sync!$U1708="","",Sync!$U1708)</f>
        <v/>
      </c>
      <c r="B1711">
        <f>IF($A1711="","",IF(ISNUMBER($A1711),IF(AND($A1711&gt;=10000101,$A1711&lt;=99991231),INT($A1711/10000),""),IFERROR(VALUE(TRIM(LEFT($A1711,FIND("/",$A1711)-1))),"")))</f>
        <v/>
      </c>
      <c r="C1711">
        <f>IF(OR($A1711="",$B1711=""),"",IF(ISNUMBER($A1711),INT(MOD($A1711,10000)/100),IFERROR(VALUE(TRIM(LEFT(MID($A1711,FIND("/",$A1711)+1,20),FIND("/",MID($A1711,FIND("/",$A1711)+1,20))-1))),"")))</f>
        <v/>
      </c>
      <c r="D1711">
        <f>IF(OR($A1711="",$B1711=""),"",IF(ISNUMBER($A1711),MOD($A1711,100),IFERROR(VALUE(TRIM(MID(MID($A1711,FIND("/",$A1711)+1,20),FIND("/",MID($A1711,FIND("/",$A1711)+1,20))+1,20))),"")))</f>
        <v/>
      </c>
      <c r="E1711">
        <f>IF($A1711="","",IF(OR($B1711="",$C1711="",$D1711="",$B1711&lt;1300,$B1711&gt;1500,$C1711&lt;1,$C1711&gt;12,$D1711&lt;1,$D1711&gt;31),"نامعتبر",RIGHT("0000"&amp;$B1711,4)&amp;"/"&amp;RIGHT("00"&amp;$C1711,2)&amp;"/"&amp;RIGHT("00"&amp;$D1711,2)))</f>
        <v/>
      </c>
      <c r="F1711">
        <f>IF(OR($E1711="",$E1711="نامعتبر"),"",LEFT($E1711,4)&amp;"/"&amp;MID($E1711,6,2))</f>
        <v/>
      </c>
      <c r="G1711">
        <f>IF(OR($E1711="",$E1711="نامعتبر",Sync!$Y1708=""),"",Sync!$Y1708)</f>
        <v/>
      </c>
      <c r="H1711">
        <f>IF($G1711="","",IF(Sync!$X1708="","",Sync!$X1708))</f>
        <v/>
      </c>
      <c r="I1711">
        <f>IF($G1711="","",IFERROR(VLOOKUP(Sync!$X1708,OpTbl,3,0),""))</f>
        <v/>
      </c>
      <c r="J1711">
        <f>IF(OR($G1711="",Sync!$Z1708=""),"",Sync!$Z1708)</f>
        <v/>
      </c>
      <c r="K1711">
        <f>IF(OR($G1711="",Sync!$AA1708=""),"",Sync!$AA1708)</f>
        <v/>
      </c>
      <c r="L1711">
        <f>IF($G1711="",0,IF(Sync!$AB1708="",0,Sync!$AB1708))</f>
        <v/>
      </c>
      <c r="M1711">
        <f>IF($G1711="",0,IF(Sync!$AC1708="",0,Sync!$AC1708))</f>
        <v/>
      </c>
      <c r="N1711">
        <f>IF($G1711="","",IF($H1711="مرجوعی خرید",-1,1)*($L1711-$M1711*IFERROR(VLOOKUP("P01",ParamTbl,3,0),1.5))*(1-IF($I1711="خرید",IFERROR(VLOOKUP("P02",ParamTbl,3,0),1),0)/100))</f>
        <v/>
      </c>
      <c r="O1711">
        <f>IF($G1711="",0,IF($H1711="مرجوعی خرید",-1,1)*IF(Sync!$AD1708="",0,Sync!$AD1708))</f>
        <v/>
      </c>
      <c r="P1711">
        <f>IF(OR($G1711="",Sync!$W1708=""),"",Sync!$W1708)</f>
        <v/>
      </c>
      <c r="Q1711">
        <f>IF(OR($G1711="",Sync!$AE1708=""),"",Sync!$AE1708)</f>
        <v/>
      </c>
      <c r="R1711">
        <f>IF($G1711="","",IF(Sync!$V1708="","0000",IF(AND(ISNUMBER(Sync!$V1708),Sync!$V1708&gt;=0,Sync!$V1708&lt;1),RIGHT("00"&amp;HOUR(Sync!$V1708),2)&amp;RIGHT("00"&amp;MINUTE(Sync!$V1708),2),IFERROR(RIGHT("00"&amp;VALUE(LEFT(Sync!$V1708,FIND(":",Sync!$V1708)-1)),2)&amp;RIGHT("00"&amp;VALUE(MID(Sync!$V1708,FIND(":",Sync!$V1708)+1,2)),2),"0000"))))</f>
        <v/>
      </c>
    </row>
    <row r="1712">
      <c r="A1712">
        <f>IF(Sync!$U1709="","",Sync!$U1709)</f>
        <v/>
      </c>
      <c r="B1712">
        <f>IF($A1712="","",IF(ISNUMBER($A1712),IF(AND($A1712&gt;=10000101,$A1712&lt;=99991231),INT($A1712/10000),""),IFERROR(VALUE(TRIM(LEFT($A1712,FIND("/",$A1712)-1))),"")))</f>
        <v/>
      </c>
      <c r="C1712">
        <f>IF(OR($A1712="",$B1712=""),"",IF(ISNUMBER($A1712),INT(MOD($A1712,10000)/100),IFERROR(VALUE(TRIM(LEFT(MID($A1712,FIND("/",$A1712)+1,20),FIND("/",MID($A1712,FIND("/",$A1712)+1,20))-1))),"")))</f>
        <v/>
      </c>
      <c r="D1712">
        <f>IF(OR($A1712="",$B1712=""),"",IF(ISNUMBER($A1712),MOD($A1712,100),IFERROR(VALUE(TRIM(MID(MID($A1712,FIND("/",$A1712)+1,20),FIND("/",MID($A1712,FIND("/",$A1712)+1,20))+1,20))),"")))</f>
        <v/>
      </c>
      <c r="E1712">
        <f>IF($A1712="","",IF(OR($B1712="",$C1712="",$D1712="",$B1712&lt;1300,$B1712&gt;1500,$C1712&lt;1,$C1712&gt;12,$D1712&lt;1,$D1712&gt;31),"نامعتبر",RIGHT("0000"&amp;$B1712,4)&amp;"/"&amp;RIGHT("00"&amp;$C1712,2)&amp;"/"&amp;RIGHT("00"&amp;$D1712,2)))</f>
        <v/>
      </c>
      <c r="F1712">
        <f>IF(OR($E1712="",$E1712="نامعتبر"),"",LEFT($E1712,4)&amp;"/"&amp;MID($E1712,6,2))</f>
        <v/>
      </c>
      <c r="G1712">
        <f>IF(OR($E1712="",$E1712="نامعتبر",Sync!$Y1709=""),"",Sync!$Y1709)</f>
        <v/>
      </c>
      <c r="H1712">
        <f>IF($G1712="","",IF(Sync!$X1709="","",Sync!$X1709))</f>
        <v/>
      </c>
      <c r="I1712">
        <f>IF($G1712="","",IFERROR(VLOOKUP(Sync!$X1709,OpTbl,3,0),""))</f>
        <v/>
      </c>
      <c r="J1712">
        <f>IF(OR($G1712="",Sync!$Z1709=""),"",Sync!$Z1709)</f>
        <v/>
      </c>
      <c r="K1712">
        <f>IF(OR($G1712="",Sync!$AA1709=""),"",Sync!$AA1709)</f>
        <v/>
      </c>
      <c r="L1712">
        <f>IF($G1712="",0,IF(Sync!$AB1709="",0,Sync!$AB1709))</f>
        <v/>
      </c>
      <c r="M1712">
        <f>IF($G1712="",0,IF(Sync!$AC1709="",0,Sync!$AC1709))</f>
        <v/>
      </c>
      <c r="N1712">
        <f>IF($G1712="","",IF($H1712="مرجوعی خرید",-1,1)*($L1712-$M1712*IFERROR(VLOOKUP("P01",ParamTbl,3,0),1.5))*(1-IF($I1712="خرید",IFERROR(VLOOKUP("P02",ParamTbl,3,0),1),0)/100))</f>
        <v/>
      </c>
      <c r="O1712">
        <f>IF($G1712="",0,IF($H1712="مرجوعی خرید",-1,1)*IF(Sync!$AD1709="",0,Sync!$AD1709))</f>
        <v/>
      </c>
      <c r="P1712">
        <f>IF(OR($G1712="",Sync!$W1709=""),"",Sync!$W1709)</f>
        <v/>
      </c>
      <c r="Q1712">
        <f>IF(OR($G1712="",Sync!$AE1709=""),"",Sync!$AE1709)</f>
        <v/>
      </c>
      <c r="R1712">
        <f>IF($G1712="","",IF(Sync!$V1709="","0000",IF(AND(ISNUMBER(Sync!$V1709),Sync!$V1709&gt;=0,Sync!$V1709&lt;1),RIGHT("00"&amp;HOUR(Sync!$V1709),2)&amp;RIGHT("00"&amp;MINUTE(Sync!$V1709),2),IFERROR(RIGHT("00"&amp;VALUE(LEFT(Sync!$V1709,FIND(":",Sync!$V1709)-1)),2)&amp;RIGHT("00"&amp;VALUE(MID(Sync!$V1709,FIND(":",Sync!$V1709)+1,2)),2),"0000"))))</f>
        <v/>
      </c>
    </row>
    <row r="1713">
      <c r="A1713">
        <f>IF(Sync!$U1710="","",Sync!$U1710)</f>
        <v/>
      </c>
      <c r="B1713">
        <f>IF($A1713="","",IF(ISNUMBER($A1713),IF(AND($A1713&gt;=10000101,$A1713&lt;=99991231),INT($A1713/10000),""),IFERROR(VALUE(TRIM(LEFT($A1713,FIND("/",$A1713)-1))),"")))</f>
        <v/>
      </c>
      <c r="C1713">
        <f>IF(OR($A1713="",$B1713=""),"",IF(ISNUMBER($A1713),INT(MOD($A1713,10000)/100),IFERROR(VALUE(TRIM(LEFT(MID($A1713,FIND("/",$A1713)+1,20),FIND("/",MID($A1713,FIND("/",$A1713)+1,20))-1))),"")))</f>
        <v/>
      </c>
      <c r="D1713">
        <f>IF(OR($A1713="",$B1713=""),"",IF(ISNUMBER($A1713),MOD($A1713,100),IFERROR(VALUE(TRIM(MID(MID($A1713,FIND("/",$A1713)+1,20),FIND("/",MID($A1713,FIND("/",$A1713)+1,20))+1,20))),"")))</f>
        <v/>
      </c>
      <c r="E1713">
        <f>IF($A1713="","",IF(OR($B1713="",$C1713="",$D1713="",$B1713&lt;1300,$B1713&gt;1500,$C1713&lt;1,$C1713&gt;12,$D1713&lt;1,$D1713&gt;31),"نامعتبر",RIGHT("0000"&amp;$B1713,4)&amp;"/"&amp;RIGHT("00"&amp;$C1713,2)&amp;"/"&amp;RIGHT("00"&amp;$D1713,2)))</f>
        <v/>
      </c>
      <c r="F1713">
        <f>IF(OR($E1713="",$E1713="نامعتبر"),"",LEFT($E1713,4)&amp;"/"&amp;MID($E1713,6,2))</f>
        <v/>
      </c>
      <c r="G1713">
        <f>IF(OR($E1713="",$E1713="نامعتبر",Sync!$Y1710=""),"",Sync!$Y1710)</f>
        <v/>
      </c>
      <c r="H1713">
        <f>IF($G1713="","",IF(Sync!$X1710="","",Sync!$X1710))</f>
        <v/>
      </c>
      <c r="I1713">
        <f>IF($G1713="","",IFERROR(VLOOKUP(Sync!$X1710,OpTbl,3,0),""))</f>
        <v/>
      </c>
      <c r="J1713">
        <f>IF(OR($G1713="",Sync!$Z1710=""),"",Sync!$Z1710)</f>
        <v/>
      </c>
      <c r="K1713">
        <f>IF(OR($G1713="",Sync!$AA1710=""),"",Sync!$AA1710)</f>
        <v/>
      </c>
      <c r="L1713">
        <f>IF($G1713="",0,IF(Sync!$AB1710="",0,Sync!$AB1710))</f>
        <v/>
      </c>
      <c r="M1713">
        <f>IF($G1713="",0,IF(Sync!$AC1710="",0,Sync!$AC1710))</f>
        <v/>
      </c>
      <c r="N1713">
        <f>IF($G1713="","",IF($H1713="مرجوعی خرید",-1,1)*($L1713-$M1713*IFERROR(VLOOKUP("P01",ParamTbl,3,0),1.5))*(1-IF($I1713="خرید",IFERROR(VLOOKUP("P02",ParamTbl,3,0),1),0)/100))</f>
        <v/>
      </c>
      <c r="O1713">
        <f>IF($G1713="",0,IF($H1713="مرجوعی خرید",-1,1)*IF(Sync!$AD1710="",0,Sync!$AD1710))</f>
        <v/>
      </c>
      <c r="P1713">
        <f>IF(OR($G1713="",Sync!$W1710=""),"",Sync!$W1710)</f>
        <v/>
      </c>
      <c r="Q1713">
        <f>IF(OR($G1713="",Sync!$AE1710=""),"",Sync!$AE1710)</f>
        <v/>
      </c>
      <c r="R1713">
        <f>IF($G1713="","",IF(Sync!$V1710="","0000",IF(AND(ISNUMBER(Sync!$V1710),Sync!$V1710&gt;=0,Sync!$V1710&lt;1),RIGHT("00"&amp;HOUR(Sync!$V1710),2)&amp;RIGHT("00"&amp;MINUTE(Sync!$V1710),2),IFERROR(RIGHT("00"&amp;VALUE(LEFT(Sync!$V1710,FIND(":",Sync!$V1710)-1)),2)&amp;RIGHT("00"&amp;VALUE(MID(Sync!$V1710,FIND(":",Sync!$V1710)+1,2)),2),"0000"))))</f>
        <v/>
      </c>
    </row>
    <row r="1714">
      <c r="A1714">
        <f>IF(Sync!$U1711="","",Sync!$U1711)</f>
        <v/>
      </c>
      <c r="B1714">
        <f>IF($A1714="","",IF(ISNUMBER($A1714),IF(AND($A1714&gt;=10000101,$A1714&lt;=99991231),INT($A1714/10000),""),IFERROR(VALUE(TRIM(LEFT($A1714,FIND("/",$A1714)-1))),"")))</f>
        <v/>
      </c>
      <c r="C1714">
        <f>IF(OR($A1714="",$B1714=""),"",IF(ISNUMBER($A1714),INT(MOD($A1714,10000)/100),IFERROR(VALUE(TRIM(LEFT(MID($A1714,FIND("/",$A1714)+1,20),FIND("/",MID($A1714,FIND("/",$A1714)+1,20))-1))),"")))</f>
        <v/>
      </c>
      <c r="D1714">
        <f>IF(OR($A1714="",$B1714=""),"",IF(ISNUMBER($A1714),MOD($A1714,100),IFERROR(VALUE(TRIM(MID(MID($A1714,FIND("/",$A1714)+1,20),FIND("/",MID($A1714,FIND("/",$A1714)+1,20))+1,20))),"")))</f>
        <v/>
      </c>
      <c r="E1714">
        <f>IF($A1714="","",IF(OR($B1714="",$C1714="",$D1714="",$B1714&lt;1300,$B1714&gt;1500,$C1714&lt;1,$C1714&gt;12,$D1714&lt;1,$D1714&gt;31),"نامعتبر",RIGHT("0000"&amp;$B1714,4)&amp;"/"&amp;RIGHT("00"&amp;$C1714,2)&amp;"/"&amp;RIGHT("00"&amp;$D1714,2)))</f>
        <v/>
      </c>
      <c r="F1714">
        <f>IF(OR($E1714="",$E1714="نامعتبر"),"",LEFT($E1714,4)&amp;"/"&amp;MID($E1714,6,2))</f>
        <v/>
      </c>
      <c r="G1714">
        <f>IF(OR($E1714="",$E1714="نامعتبر",Sync!$Y1711=""),"",Sync!$Y1711)</f>
        <v/>
      </c>
      <c r="H1714">
        <f>IF($G1714="","",IF(Sync!$X1711="","",Sync!$X1711))</f>
        <v/>
      </c>
      <c r="I1714">
        <f>IF($G1714="","",IFERROR(VLOOKUP(Sync!$X1711,OpTbl,3,0),""))</f>
        <v/>
      </c>
      <c r="J1714">
        <f>IF(OR($G1714="",Sync!$Z1711=""),"",Sync!$Z1711)</f>
        <v/>
      </c>
      <c r="K1714">
        <f>IF(OR($G1714="",Sync!$AA1711=""),"",Sync!$AA1711)</f>
        <v/>
      </c>
      <c r="L1714">
        <f>IF($G1714="",0,IF(Sync!$AB1711="",0,Sync!$AB1711))</f>
        <v/>
      </c>
      <c r="M1714">
        <f>IF($G1714="",0,IF(Sync!$AC1711="",0,Sync!$AC1711))</f>
        <v/>
      </c>
      <c r="N1714">
        <f>IF($G1714="","",IF($H1714="مرجوعی خرید",-1,1)*($L1714-$M1714*IFERROR(VLOOKUP("P01",ParamTbl,3,0),1.5))*(1-IF($I1714="خرید",IFERROR(VLOOKUP("P02",ParamTbl,3,0),1),0)/100))</f>
        <v/>
      </c>
      <c r="O1714">
        <f>IF($G1714="",0,IF($H1714="مرجوعی خرید",-1,1)*IF(Sync!$AD1711="",0,Sync!$AD1711))</f>
        <v/>
      </c>
      <c r="P1714">
        <f>IF(OR($G1714="",Sync!$W1711=""),"",Sync!$W1711)</f>
        <v/>
      </c>
      <c r="Q1714">
        <f>IF(OR($G1714="",Sync!$AE1711=""),"",Sync!$AE1711)</f>
        <v/>
      </c>
      <c r="R1714">
        <f>IF($G1714="","",IF(Sync!$V1711="","0000",IF(AND(ISNUMBER(Sync!$V1711),Sync!$V1711&gt;=0,Sync!$V1711&lt;1),RIGHT("00"&amp;HOUR(Sync!$V1711),2)&amp;RIGHT("00"&amp;MINUTE(Sync!$V1711),2),IFERROR(RIGHT("00"&amp;VALUE(LEFT(Sync!$V1711,FIND(":",Sync!$V1711)-1)),2)&amp;RIGHT("00"&amp;VALUE(MID(Sync!$V1711,FIND(":",Sync!$V1711)+1,2)),2),"0000"))))</f>
        <v/>
      </c>
    </row>
    <row r="1715">
      <c r="A1715">
        <f>IF(Sync!$U1712="","",Sync!$U1712)</f>
        <v/>
      </c>
      <c r="B1715">
        <f>IF($A1715="","",IF(ISNUMBER($A1715),IF(AND($A1715&gt;=10000101,$A1715&lt;=99991231),INT($A1715/10000),""),IFERROR(VALUE(TRIM(LEFT($A1715,FIND("/",$A1715)-1))),"")))</f>
        <v/>
      </c>
      <c r="C1715">
        <f>IF(OR($A1715="",$B1715=""),"",IF(ISNUMBER($A1715),INT(MOD($A1715,10000)/100),IFERROR(VALUE(TRIM(LEFT(MID($A1715,FIND("/",$A1715)+1,20),FIND("/",MID($A1715,FIND("/",$A1715)+1,20))-1))),"")))</f>
        <v/>
      </c>
      <c r="D1715">
        <f>IF(OR($A1715="",$B1715=""),"",IF(ISNUMBER($A1715),MOD($A1715,100),IFERROR(VALUE(TRIM(MID(MID($A1715,FIND("/",$A1715)+1,20),FIND("/",MID($A1715,FIND("/",$A1715)+1,20))+1,20))),"")))</f>
        <v/>
      </c>
      <c r="E1715">
        <f>IF($A1715="","",IF(OR($B1715="",$C1715="",$D1715="",$B1715&lt;1300,$B1715&gt;1500,$C1715&lt;1,$C1715&gt;12,$D1715&lt;1,$D1715&gt;31),"نامعتبر",RIGHT("0000"&amp;$B1715,4)&amp;"/"&amp;RIGHT("00"&amp;$C1715,2)&amp;"/"&amp;RIGHT("00"&amp;$D1715,2)))</f>
        <v/>
      </c>
      <c r="F1715">
        <f>IF(OR($E1715="",$E1715="نامعتبر"),"",LEFT($E1715,4)&amp;"/"&amp;MID($E1715,6,2))</f>
        <v/>
      </c>
      <c r="G1715">
        <f>IF(OR($E1715="",$E1715="نامعتبر",Sync!$Y1712=""),"",Sync!$Y1712)</f>
        <v/>
      </c>
      <c r="H1715">
        <f>IF($G1715="","",IF(Sync!$X1712="","",Sync!$X1712))</f>
        <v/>
      </c>
      <c r="I1715">
        <f>IF($G1715="","",IFERROR(VLOOKUP(Sync!$X1712,OpTbl,3,0),""))</f>
        <v/>
      </c>
      <c r="J1715">
        <f>IF(OR($G1715="",Sync!$Z1712=""),"",Sync!$Z1712)</f>
        <v/>
      </c>
      <c r="K1715">
        <f>IF(OR($G1715="",Sync!$AA1712=""),"",Sync!$AA1712)</f>
        <v/>
      </c>
      <c r="L1715">
        <f>IF($G1715="",0,IF(Sync!$AB1712="",0,Sync!$AB1712))</f>
        <v/>
      </c>
      <c r="M1715">
        <f>IF($G1715="",0,IF(Sync!$AC1712="",0,Sync!$AC1712))</f>
        <v/>
      </c>
      <c r="N1715">
        <f>IF($G1715="","",IF($H1715="مرجوعی خرید",-1,1)*($L1715-$M1715*IFERROR(VLOOKUP("P01",ParamTbl,3,0),1.5))*(1-IF($I1715="خرید",IFERROR(VLOOKUP("P02",ParamTbl,3,0),1),0)/100))</f>
        <v/>
      </c>
      <c r="O1715">
        <f>IF($G1715="",0,IF($H1715="مرجوعی خرید",-1,1)*IF(Sync!$AD1712="",0,Sync!$AD1712))</f>
        <v/>
      </c>
      <c r="P1715">
        <f>IF(OR($G1715="",Sync!$W1712=""),"",Sync!$W1712)</f>
        <v/>
      </c>
      <c r="Q1715">
        <f>IF(OR($G1715="",Sync!$AE1712=""),"",Sync!$AE1712)</f>
        <v/>
      </c>
      <c r="R1715">
        <f>IF($G1715="","",IF(Sync!$V1712="","0000",IF(AND(ISNUMBER(Sync!$V1712),Sync!$V1712&gt;=0,Sync!$V1712&lt;1),RIGHT("00"&amp;HOUR(Sync!$V1712),2)&amp;RIGHT("00"&amp;MINUTE(Sync!$V1712),2),IFERROR(RIGHT("00"&amp;VALUE(LEFT(Sync!$V1712,FIND(":",Sync!$V1712)-1)),2)&amp;RIGHT("00"&amp;VALUE(MID(Sync!$V1712,FIND(":",Sync!$V1712)+1,2)),2),"0000"))))</f>
        <v/>
      </c>
    </row>
    <row r="1716">
      <c r="A1716">
        <f>IF(Sync!$U1713="","",Sync!$U1713)</f>
        <v/>
      </c>
      <c r="B1716">
        <f>IF($A1716="","",IF(ISNUMBER($A1716),IF(AND($A1716&gt;=10000101,$A1716&lt;=99991231),INT($A1716/10000),""),IFERROR(VALUE(TRIM(LEFT($A1716,FIND("/",$A1716)-1))),"")))</f>
        <v/>
      </c>
      <c r="C1716">
        <f>IF(OR($A1716="",$B1716=""),"",IF(ISNUMBER($A1716),INT(MOD($A1716,10000)/100),IFERROR(VALUE(TRIM(LEFT(MID($A1716,FIND("/",$A1716)+1,20),FIND("/",MID($A1716,FIND("/",$A1716)+1,20))-1))),"")))</f>
        <v/>
      </c>
      <c r="D1716">
        <f>IF(OR($A1716="",$B1716=""),"",IF(ISNUMBER($A1716),MOD($A1716,100),IFERROR(VALUE(TRIM(MID(MID($A1716,FIND("/",$A1716)+1,20),FIND("/",MID($A1716,FIND("/",$A1716)+1,20))+1,20))),"")))</f>
        <v/>
      </c>
      <c r="E1716">
        <f>IF($A1716="","",IF(OR($B1716="",$C1716="",$D1716="",$B1716&lt;1300,$B1716&gt;1500,$C1716&lt;1,$C1716&gt;12,$D1716&lt;1,$D1716&gt;31),"نامعتبر",RIGHT("0000"&amp;$B1716,4)&amp;"/"&amp;RIGHT("00"&amp;$C1716,2)&amp;"/"&amp;RIGHT("00"&amp;$D1716,2)))</f>
        <v/>
      </c>
      <c r="F1716">
        <f>IF(OR($E1716="",$E1716="نامعتبر"),"",LEFT($E1716,4)&amp;"/"&amp;MID($E1716,6,2))</f>
        <v/>
      </c>
      <c r="G1716">
        <f>IF(OR($E1716="",$E1716="نامعتبر",Sync!$Y1713=""),"",Sync!$Y1713)</f>
        <v/>
      </c>
      <c r="H1716">
        <f>IF($G1716="","",IF(Sync!$X1713="","",Sync!$X1713))</f>
        <v/>
      </c>
      <c r="I1716">
        <f>IF($G1716="","",IFERROR(VLOOKUP(Sync!$X1713,OpTbl,3,0),""))</f>
        <v/>
      </c>
      <c r="J1716">
        <f>IF(OR($G1716="",Sync!$Z1713=""),"",Sync!$Z1713)</f>
        <v/>
      </c>
      <c r="K1716">
        <f>IF(OR($G1716="",Sync!$AA1713=""),"",Sync!$AA1713)</f>
        <v/>
      </c>
      <c r="L1716">
        <f>IF($G1716="",0,IF(Sync!$AB1713="",0,Sync!$AB1713))</f>
        <v/>
      </c>
      <c r="M1716">
        <f>IF($G1716="",0,IF(Sync!$AC1713="",0,Sync!$AC1713))</f>
        <v/>
      </c>
      <c r="N1716">
        <f>IF($G1716="","",IF($H1716="مرجوعی خرید",-1,1)*($L1716-$M1716*IFERROR(VLOOKUP("P01",ParamTbl,3,0),1.5))*(1-IF($I1716="خرید",IFERROR(VLOOKUP("P02",ParamTbl,3,0),1),0)/100))</f>
        <v/>
      </c>
      <c r="O1716">
        <f>IF($G1716="",0,IF($H1716="مرجوعی خرید",-1,1)*IF(Sync!$AD1713="",0,Sync!$AD1713))</f>
        <v/>
      </c>
      <c r="P1716">
        <f>IF(OR($G1716="",Sync!$W1713=""),"",Sync!$W1713)</f>
        <v/>
      </c>
      <c r="Q1716">
        <f>IF(OR($G1716="",Sync!$AE1713=""),"",Sync!$AE1713)</f>
        <v/>
      </c>
      <c r="R1716">
        <f>IF($G1716="","",IF(Sync!$V1713="","0000",IF(AND(ISNUMBER(Sync!$V1713),Sync!$V1713&gt;=0,Sync!$V1713&lt;1),RIGHT("00"&amp;HOUR(Sync!$V1713),2)&amp;RIGHT("00"&amp;MINUTE(Sync!$V1713),2),IFERROR(RIGHT("00"&amp;VALUE(LEFT(Sync!$V1713,FIND(":",Sync!$V1713)-1)),2)&amp;RIGHT("00"&amp;VALUE(MID(Sync!$V1713,FIND(":",Sync!$V1713)+1,2)),2),"0000"))))</f>
        <v/>
      </c>
    </row>
    <row r="1717">
      <c r="A1717">
        <f>IF(Sync!$U1714="","",Sync!$U1714)</f>
        <v/>
      </c>
      <c r="B1717">
        <f>IF($A1717="","",IF(ISNUMBER($A1717),IF(AND($A1717&gt;=10000101,$A1717&lt;=99991231),INT($A1717/10000),""),IFERROR(VALUE(TRIM(LEFT($A1717,FIND("/",$A1717)-1))),"")))</f>
        <v/>
      </c>
      <c r="C1717">
        <f>IF(OR($A1717="",$B1717=""),"",IF(ISNUMBER($A1717),INT(MOD($A1717,10000)/100),IFERROR(VALUE(TRIM(LEFT(MID($A1717,FIND("/",$A1717)+1,20),FIND("/",MID($A1717,FIND("/",$A1717)+1,20))-1))),"")))</f>
        <v/>
      </c>
      <c r="D1717">
        <f>IF(OR($A1717="",$B1717=""),"",IF(ISNUMBER($A1717),MOD($A1717,100),IFERROR(VALUE(TRIM(MID(MID($A1717,FIND("/",$A1717)+1,20),FIND("/",MID($A1717,FIND("/",$A1717)+1,20))+1,20))),"")))</f>
        <v/>
      </c>
      <c r="E1717">
        <f>IF($A1717="","",IF(OR($B1717="",$C1717="",$D1717="",$B1717&lt;1300,$B1717&gt;1500,$C1717&lt;1,$C1717&gt;12,$D1717&lt;1,$D1717&gt;31),"نامعتبر",RIGHT("0000"&amp;$B1717,4)&amp;"/"&amp;RIGHT("00"&amp;$C1717,2)&amp;"/"&amp;RIGHT("00"&amp;$D1717,2)))</f>
        <v/>
      </c>
      <c r="F1717">
        <f>IF(OR($E1717="",$E1717="نامعتبر"),"",LEFT($E1717,4)&amp;"/"&amp;MID($E1717,6,2))</f>
        <v/>
      </c>
      <c r="G1717">
        <f>IF(OR($E1717="",$E1717="نامعتبر",Sync!$Y1714=""),"",Sync!$Y1714)</f>
        <v/>
      </c>
      <c r="H1717">
        <f>IF($G1717="","",IF(Sync!$X1714="","",Sync!$X1714))</f>
        <v/>
      </c>
      <c r="I1717">
        <f>IF($G1717="","",IFERROR(VLOOKUP(Sync!$X1714,OpTbl,3,0),""))</f>
        <v/>
      </c>
      <c r="J1717">
        <f>IF(OR($G1717="",Sync!$Z1714=""),"",Sync!$Z1714)</f>
        <v/>
      </c>
      <c r="K1717">
        <f>IF(OR($G1717="",Sync!$AA1714=""),"",Sync!$AA1714)</f>
        <v/>
      </c>
      <c r="L1717">
        <f>IF($G1717="",0,IF(Sync!$AB1714="",0,Sync!$AB1714))</f>
        <v/>
      </c>
      <c r="M1717">
        <f>IF($G1717="",0,IF(Sync!$AC1714="",0,Sync!$AC1714))</f>
        <v/>
      </c>
      <c r="N1717">
        <f>IF($G1717="","",IF($H1717="مرجوعی خرید",-1,1)*($L1717-$M1717*IFERROR(VLOOKUP("P01",ParamTbl,3,0),1.5))*(1-IF($I1717="خرید",IFERROR(VLOOKUP("P02",ParamTbl,3,0),1),0)/100))</f>
        <v/>
      </c>
      <c r="O1717">
        <f>IF($G1717="",0,IF($H1717="مرجوعی خرید",-1,1)*IF(Sync!$AD1714="",0,Sync!$AD1714))</f>
        <v/>
      </c>
      <c r="P1717">
        <f>IF(OR($G1717="",Sync!$W1714=""),"",Sync!$W1714)</f>
        <v/>
      </c>
      <c r="Q1717">
        <f>IF(OR($G1717="",Sync!$AE1714=""),"",Sync!$AE1714)</f>
        <v/>
      </c>
      <c r="R1717">
        <f>IF($G1717="","",IF(Sync!$V1714="","0000",IF(AND(ISNUMBER(Sync!$V1714),Sync!$V1714&gt;=0,Sync!$V1714&lt;1),RIGHT("00"&amp;HOUR(Sync!$V1714),2)&amp;RIGHT("00"&amp;MINUTE(Sync!$V1714),2),IFERROR(RIGHT("00"&amp;VALUE(LEFT(Sync!$V1714,FIND(":",Sync!$V1714)-1)),2)&amp;RIGHT("00"&amp;VALUE(MID(Sync!$V1714,FIND(":",Sync!$V1714)+1,2)),2),"0000"))))</f>
        <v/>
      </c>
    </row>
    <row r="1718">
      <c r="A1718">
        <f>IF(Sync!$U1715="","",Sync!$U1715)</f>
        <v/>
      </c>
      <c r="B1718">
        <f>IF($A1718="","",IF(ISNUMBER($A1718),IF(AND($A1718&gt;=10000101,$A1718&lt;=99991231),INT($A1718/10000),""),IFERROR(VALUE(TRIM(LEFT($A1718,FIND("/",$A1718)-1))),"")))</f>
        <v/>
      </c>
      <c r="C1718">
        <f>IF(OR($A1718="",$B1718=""),"",IF(ISNUMBER($A1718),INT(MOD($A1718,10000)/100),IFERROR(VALUE(TRIM(LEFT(MID($A1718,FIND("/",$A1718)+1,20),FIND("/",MID($A1718,FIND("/",$A1718)+1,20))-1))),"")))</f>
        <v/>
      </c>
      <c r="D1718">
        <f>IF(OR($A1718="",$B1718=""),"",IF(ISNUMBER($A1718),MOD($A1718,100),IFERROR(VALUE(TRIM(MID(MID($A1718,FIND("/",$A1718)+1,20),FIND("/",MID($A1718,FIND("/",$A1718)+1,20))+1,20))),"")))</f>
        <v/>
      </c>
      <c r="E1718">
        <f>IF($A1718="","",IF(OR($B1718="",$C1718="",$D1718="",$B1718&lt;1300,$B1718&gt;1500,$C1718&lt;1,$C1718&gt;12,$D1718&lt;1,$D1718&gt;31),"نامعتبر",RIGHT("0000"&amp;$B1718,4)&amp;"/"&amp;RIGHT("00"&amp;$C1718,2)&amp;"/"&amp;RIGHT("00"&amp;$D1718,2)))</f>
        <v/>
      </c>
      <c r="F1718">
        <f>IF(OR($E1718="",$E1718="نامعتبر"),"",LEFT($E1718,4)&amp;"/"&amp;MID($E1718,6,2))</f>
        <v/>
      </c>
      <c r="G1718">
        <f>IF(OR($E1718="",$E1718="نامعتبر",Sync!$Y1715=""),"",Sync!$Y1715)</f>
        <v/>
      </c>
      <c r="H1718">
        <f>IF($G1718="","",IF(Sync!$X1715="","",Sync!$X1715))</f>
        <v/>
      </c>
      <c r="I1718">
        <f>IF($G1718="","",IFERROR(VLOOKUP(Sync!$X1715,OpTbl,3,0),""))</f>
        <v/>
      </c>
      <c r="J1718">
        <f>IF(OR($G1718="",Sync!$Z1715=""),"",Sync!$Z1715)</f>
        <v/>
      </c>
      <c r="K1718">
        <f>IF(OR($G1718="",Sync!$AA1715=""),"",Sync!$AA1715)</f>
        <v/>
      </c>
      <c r="L1718">
        <f>IF($G1718="",0,IF(Sync!$AB1715="",0,Sync!$AB1715))</f>
        <v/>
      </c>
      <c r="M1718">
        <f>IF($G1718="",0,IF(Sync!$AC1715="",0,Sync!$AC1715))</f>
        <v/>
      </c>
      <c r="N1718">
        <f>IF($G1718="","",IF($H1718="مرجوعی خرید",-1,1)*($L1718-$M1718*IFERROR(VLOOKUP("P01",ParamTbl,3,0),1.5))*(1-IF($I1718="خرید",IFERROR(VLOOKUP("P02",ParamTbl,3,0),1),0)/100))</f>
        <v/>
      </c>
      <c r="O1718">
        <f>IF($G1718="",0,IF($H1718="مرجوعی خرید",-1,1)*IF(Sync!$AD1715="",0,Sync!$AD1715))</f>
        <v/>
      </c>
      <c r="P1718">
        <f>IF(OR($G1718="",Sync!$W1715=""),"",Sync!$W1715)</f>
        <v/>
      </c>
      <c r="Q1718">
        <f>IF(OR($G1718="",Sync!$AE1715=""),"",Sync!$AE1715)</f>
        <v/>
      </c>
      <c r="R1718">
        <f>IF($G1718="","",IF(Sync!$V1715="","0000",IF(AND(ISNUMBER(Sync!$V1715),Sync!$V1715&gt;=0,Sync!$V1715&lt;1),RIGHT("00"&amp;HOUR(Sync!$V1715),2)&amp;RIGHT("00"&amp;MINUTE(Sync!$V1715),2),IFERROR(RIGHT("00"&amp;VALUE(LEFT(Sync!$V1715,FIND(":",Sync!$V1715)-1)),2)&amp;RIGHT("00"&amp;VALUE(MID(Sync!$V1715,FIND(":",Sync!$V1715)+1,2)),2),"0000"))))</f>
        <v/>
      </c>
    </row>
    <row r="1719">
      <c r="A1719">
        <f>IF(Sync!$U1716="","",Sync!$U1716)</f>
        <v/>
      </c>
      <c r="B1719">
        <f>IF($A1719="","",IF(ISNUMBER($A1719),IF(AND($A1719&gt;=10000101,$A1719&lt;=99991231),INT($A1719/10000),""),IFERROR(VALUE(TRIM(LEFT($A1719,FIND("/",$A1719)-1))),"")))</f>
        <v/>
      </c>
      <c r="C1719">
        <f>IF(OR($A1719="",$B1719=""),"",IF(ISNUMBER($A1719),INT(MOD($A1719,10000)/100),IFERROR(VALUE(TRIM(LEFT(MID($A1719,FIND("/",$A1719)+1,20),FIND("/",MID($A1719,FIND("/",$A1719)+1,20))-1))),"")))</f>
        <v/>
      </c>
      <c r="D1719">
        <f>IF(OR($A1719="",$B1719=""),"",IF(ISNUMBER($A1719),MOD($A1719,100),IFERROR(VALUE(TRIM(MID(MID($A1719,FIND("/",$A1719)+1,20),FIND("/",MID($A1719,FIND("/",$A1719)+1,20))+1,20))),"")))</f>
        <v/>
      </c>
      <c r="E1719">
        <f>IF($A1719="","",IF(OR($B1719="",$C1719="",$D1719="",$B1719&lt;1300,$B1719&gt;1500,$C1719&lt;1,$C1719&gt;12,$D1719&lt;1,$D1719&gt;31),"نامعتبر",RIGHT("0000"&amp;$B1719,4)&amp;"/"&amp;RIGHT("00"&amp;$C1719,2)&amp;"/"&amp;RIGHT("00"&amp;$D1719,2)))</f>
        <v/>
      </c>
      <c r="F1719">
        <f>IF(OR($E1719="",$E1719="نامعتبر"),"",LEFT($E1719,4)&amp;"/"&amp;MID($E1719,6,2))</f>
        <v/>
      </c>
      <c r="G1719">
        <f>IF(OR($E1719="",$E1719="نامعتبر",Sync!$Y1716=""),"",Sync!$Y1716)</f>
        <v/>
      </c>
      <c r="H1719">
        <f>IF($G1719="","",IF(Sync!$X1716="","",Sync!$X1716))</f>
        <v/>
      </c>
      <c r="I1719">
        <f>IF($G1719="","",IFERROR(VLOOKUP(Sync!$X1716,OpTbl,3,0),""))</f>
        <v/>
      </c>
      <c r="J1719">
        <f>IF(OR($G1719="",Sync!$Z1716=""),"",Sync!$Z1716)</f>
        <v/>
      </c>
      <c r="K1719">
        <f>IF(OR($G1719="",Sync!$AA1716=""),"",Sync!$AA1716)</f>
        <v/>
      </c>
      <c r="L1719">
        <f>IF($G1719="",0,IF(Sync!$AB1716="",0,Sync!$AB1716))</f>
        <v/>
      </c>
      <c r="M1719">
        <f>IF($G1719="",0,IF(Sync!$AC1716="",0,Sync!$AC1716))</f>
        <v/>
      </c>
      <c r="N1719">
        <f>IF($G1719="","",IF($H1719="مرجوعی خرید",-1,1)*($L1719-$M1719*IFERROR(VLOOKUP("P01",ParamTbl,3,0),1.5))*(1-IF($I1719="خرید",IFERROR(VLOOKUP("P02",ParamTbl,3,0),1),0)/100))</f>
        <v/>
      </c>
      <c r="O1719">
        <f>IF($G1719="",0,IF($H1719="مرجوعی خرید",-1,1)*IF(Sync!$AD1716="",0,Sync!$AD1716))</f>
        <v/>
      </c>
      <c r="P1719">
        <f>IF(OR($G1719="",Sync!$W1716=""),"",Sync!$W1716)</f>
        <v/>
      </c>
      <c r="Q1719">
        <f>IF(OR($G1719="",Sync!$AE1716=""),"",Sync!$AE1716)</f>
        <v/>
      </c>
      <c r="R1719">
        <f>IF($G1719="","",IF(Sync!$V1716="","0000",IF(AND(ISNUMBER(Sync!$V1716),Sync!$V1716&gt;=0,Sync!$V1716&lt;1),RIGHT("00"&amp;HOUR(Sync!$V1716),2)&amp;RIGHT("00"&amp;MINUTE(Sync!$V1716),2),IFERROR(RIGHT("00"&amp;VALUE(LEFT(Sync!$V1716,FIND(":",Sync!$V1716)-1)),2)&amp;RIGHT("00"&amp;VALUE(MID(Sync!$V1716,FIND(":",Sync!$V1716)+1,2)),2),"0000"))))</f>
        <v/>
      </c>
    </row>
    <row r="1720">
      <c r="A1720">
        <f>IF(Sync!$U1717="","",Sync!$U1717)</f>
        <v/>
      </c>
      <c r="B1720">
        <f>IF($A1720="","",IF(ISNUMBER($A1720),IF(AND($A1720&gt;=10000101,$A1720&lt;=99991231),INT($A1720/10000),""),IFERROR(VALUE(TRIM(LEFT($A1720,FIND("/",$A1720)-1))),"")))</f>
        <v/>
      </c>
      <c r="C1720">
        <f>IF(OR($A1720="",$B1720=""),"",IF(ISNUMBER($A1720),INT(MOD($A1720,10000)/100),IFERROR(VALUE(TRIM(LEFT(MID($A1720,FIND("/",$A1720)+1,20),FIND("/",MID($A1720,FIND("/",$A1720)+1,20))-1))),"")))</f>
        <v/>
      </c>
      <c r="D1720">
        <f>IF(OR($A1720="",$B1720=""),"",IF(ISNUMBER($A1720),MOD($A1720,100),IFERROR(VALUE(TRIM(MID(MID($A1720,FIND("/",$A1720)+1,20),FIND("/",MID($A1720,FIND("/",$A1720)+1,20))+1,20))),"")))</f>
        <v/>
      </c>
      <c r="E1720">
        <f>IF($A1720="","",IF(OR($B1720="",$C1720="",$D1720="",$B1720&lt;1300,$B1720&gt;1500,$C1720&lt;1,$C1720&gt;12,$D1720&lt;1,$D1720&gt;31),"نامعتبر",RIGHT("0000"&amp;$B1720,4)&amp;"/"&amp;RIGHT("00"&amp;$C1720,2)&amp;"/"&amp;RIGHT("00"&amp;$D1720,2)))</f>
        <v/>
      </c>
      <c r="F1720">
        <f>IF(OR($E1720="",$E1720="نامعتبر"),"",LEFT($E1720,4)&amp;"/"&amp;MID($E1720,6,2))</f>
        <v/>
      </c>
      <c r="G1720">
        <f>IF(OR($E1720="",$E1720="نامعتبر",Sync!$Y1717=""),"",Sync!$Y1717)</f>
        <v/>
      </c>
      <c r="H1720">
        <f>IF($G1720="","",IF(Sync!$X1717="","",Sync!$X1717))</f>
        <v/>
      </c>
      <c r="I1720">
        <f>IF($G1720="","",IFERROR(VLOOKUP(Sync!$X1717,OpTbl,3,0),""))</f>
        <v/>
      </c>
      <c r="J1720">
        <f>IF(OR($G1720="",Sync!$Z1717=""),"",Sync!$Z1717)</f>
        <v/>
      </c>
      <c r="K1720">
        <f>IF(OR($G1720="",Sync!$AA1717=""),"",Sync!$AA1717)</f>
        <v/>
      </c>
      <c r="L1720">
        <f>IF($G1720="",0,IF(Sync!$AB1717="",0,Sync!$AB1717))</f>
        <v/>
      </c>
      <c r="M1720">
        <f>IF($G1720="",0,IF(Sync!$AC1717="",0,Sync!$AC1717))</f>
        <v/>
      </c>
      <c r="N1720">
        <f>IF($G1720="","",IF($H1720="مرجوعی خرید",-1,1)*($L1720-$M1720*IFERROR(VLOOKUP("P01",ParamTbl,3,0),1.5))*(1-IF($I1720="خرید",IFERROR(VLOOKUP("P02",ParamTbl,3,0),1),0)/100))</f>
        <v/>
      </c>
      <c r="O1720">
        <f>IF($G1720="",0,IF($H1720="مرجوعی خرید",-1,1)*IF(Sync!$AD1717="",0,Sync!$AD1717))</f>
        <v/>
      </c>
      <c r="P1720">
        <f>IF(OR($G1720="",Sync!$W1717=""),"",Sync!$W1717)</f>
        <v/>
      </c>
      <c r="Q1720">
        <f>IF(OR($G1720="",Sync!$AE1717=""),"",Sync!$AE1717)</f>
        <v/>
      </c>
      <c r="R1720">
        <f>IF($G1720="","",IF(Sync!$V1717="","0000",IF(AND(ISNUMBER(Sync!$V1717),Sync!$V1717&gt;=0,Sync!$V1717&lt;1),RIGHT("00"&amp;HOUR(Sync!$V1717),2)&amp;RIGHT("00"&amp;MINUTE(Sync!$V1717),2),IFERROR(RIGHT("00"&amp;VALUE(LEFT(Sync!$V1717,FIND(":",Sync!$V1717)-1)),2)&amp;RIGHT("00"&amp;VALUE(MID(Sync!$V1717,FIND(":",Sync!$V1717)+1,2)),2),"0000"))))</f>
        <v/>
      </c>
    </row>
    <row r="1721">
      <c r="A1721">
        <f>IF(Sync!$U1718="","",Sync!$U1718)</f>
        <v/>
      </c>
      <c r="B1721">
        <f>IF($A1721="","",IF(ISNUMBER($A1721),IF(AND($A1721&gt;=10000101,$A1721&lt;=99991231),INT($A1721/10000),""),IFERROR(VALUE(TRIM(LEFT($A1721,FIND("/",$A1721)-1))),"")))</f>
        <v/>
      </c>
      <c r="C1721">
        <f>IF(OR($A1721="",$B1721=""),"",IF(ISNUMBER($A1721),INT(MOD($A1721,10000)/100),IFERROR(VALUE(TRIM(LEFT(MID($A1721,FIND("/",$A1721)+1,20),FIND("/",MID($A1721,FIND("/",$A1721)+1,20))-1))),"")))</f>
        <v/>
      </c>
      <c r="D1721">
        <f>IF(OR($A1721="",$B1721=""),"",IF(ISNUMBER($A1721),MOD($A1721,100),IFERROR(VALUE(TRIM(MID(MID($A1721,FIND("/",$A1721)+1,20),FIND("/",MID($A1721,FIND("/",$A1721)+1,20))+1,20))),"")))</f>
        <v/>
      </c>
      <c r="E1721">
        <f>IF($A1721="","",IF(OR($B1721="",$C1721="",$D1721="",$B1721&lt;1300,$B1721&gt;1500,$C1721&lt;1,$C1721&gt;12,$D1721&lt;1,$D1721&gt;31),"نامعتبر",RIGHT("0000"&amp;$B1721,4)&amp;"/"&amp;RIGHT("00"&amp;$C1721,2)&amp;"/"&amp;RIGHT("00"&amp;$D1721,2)))</f>
        <v/>
      </c>
      <c r="F1721">
        <f>IF(OR($E1721="",$E1721="نامعتبر"),"",LEFT($E1721,4)&amp;"/"&amp;MID($E1721,6,2))</f>
        <v/>
      </c>
      <c r="G1721">
        <f>IF(OR($E1721="",$E1721="نامعتبر",Sync!$Y1718=""),"",Sync!$Y1718)</f>
        <v/>
      </c>
      <c r="H1721">
        <f>IF($G1721="","",IF(Sync!$X1718="","",Sync!$X1718))</f>
        <v/>
      </c>
      <c r="I1721">
        <f>IF($G1721="","",IFERROR(VLOOKUP(Sync!$X1718,OpTbl,3,0),""))</f>
        <v/>
      </c>
      <c r="J1721">
        <f>IF(OR($G1721="",Sync!$Z1718=""),"",Sync!$Z1718)</f>
        <v/>
      </c>
      <c r="K1721">
        <f>IF(OR($G1721="",Sync!$AA1718=""),"",Sync!$AA1718)</f>
        <v/>
      </c>
      <c r="L1721">
        <f>IF($G1721="",0,IF(Sync!$AB1718="",0,Sync!$AB1718))</f>
        <v/>
      </c>
      <c r="M1721">
        <f>IF($G1721="",0,IF(Sync!$AC1718="",0,Sync!$AC1718))</f>
        <v/>
      </c>
      <c r="N1721">
        <f>IF($G1721="","",IF($H1721="مرجوعی خرید",-1,1)*($L1721-$M1721*IFERROR(VLOOKUP("P01",ParamTbl,3,0),1.5))*(1-IF($I1721="خرید",IFERROR(VLOOKUP("P02",ParamTbl,3,0),1),0)/100))</f>
        <v/>
      </c>
      <c r="O1721">
        <f>IF($G1721="",0,IF($H1721="مرجوعی خرید",-1,1)*IF(Sync!$AD1718="",0,Sync!$AD1718))</f>
        <v/>
      </c>
      <c r="P1721">
        <f>IF(OR($G1721="",Sync!$W1718=""),"",Sync!$W1718)</f>
        <v/>
      </c>
      <c r="Q1721">
        <f>IF(OR($G1721="",Sync!$AE1718=""),"",Sync!$AE1718)</f>
        <v/>
      </c>
      <c r="R1721">
        <f>IF($G1721="","",IF(Sync!$V1718="","0000",IF(AND(ISNUMBER(Sync!$V1718),Sync!$V1718&gt;=0,Sync!$V1718&lt;1),RIGHT("00"&amp;HOUR(Sync!$V1718),2)&amp;RIGHT("00"&amp;MINUTE(Sync!$V1718),2),IFERROR(RIGHT("00"&amp;VALUE(LEFT(Sync!$V1718,FIND(":",Sync!$V1718)-1)),2)&amp;RIGHT("00"&amp;VALUE(MID(Sync!$V1718,FIND(":",Sync!$V1718)+1,2)),2),"0000"))))</f>
        <v/>
      </c>
    </row>
    <row r="1722">
      <c r="A1722">
        <f>IF(Sync!$U1719="","",Sync!$U1719)</f>
        <v/>
      </c>
      <c r="B1722">
        <f>IF($A1722="","",IF(ISNUMBER($A1722),IF(AND($A1722&gt;=10000101,$A1722&lt;=99991231),INT($A1722/10000),""),IFERROR(VALUE(TRIM(LEFT($A1722,FIND("/",$A1722)-1))),"")))</f>
        <v/>
      </c>
      <c r="C1722">
        <f>IF(OR($A1722="",$B1722=""),"",IF(ISNUMBER($A1722),INT(MOD($A1722,10000)/100),IFERROR(VALUE(TRIM(LEFT(MID($A1722,FIND("/",$A1722)+1,20),FIND("/",MID($A1722,FIND("/",$A1722)+1,20))-1))),"")))</f>
        <v/>
      </c>
      <c r="D1722">
        <f>IF(OR($A1722="",$B1722=""),"",IF(ISNUMBER($A1722),MOD($A1722,100),IFERROR(VALUE(TRIM(MID(MID($A1722,FIND("/",$A1722)+1,20),FIND("/",MID($A1722,FIND("/",$A1722)+1,20))+1,20))),"")))</f>
        <v/>
      </c>
      <c r="E1722">
        <f>IF($A1722="","",IF(OR($B1722="",$C1722="",$D1722="",$B1722&lt;1300,$B1722&gt;1500,$C1722&lt;1,$C1722&gt;12,$D1722&lt;1,$D1722&gt;31),"نامعتبر",RIGHT("0000"&amp;$B1722,4)&amp;"/"&amp;RIGHT("00"&amp;$C1722,2)&amp;"/"&amp;RIGHT("00"&amp;$D1722,2)))</f>
        <v/>
      </c>
      <c r="F1722">
        <f>IF(OR($E1722="",$E1722="نامعتبر"),"",LEFT($E1722,4)&amp;"/"&amp;MID($E1722,6,2))</f>
        <v/>
      </c>
      <c r="G1722">
        <f>IF(OR($E1722="",$E1722="نامعتبر",Sync!$Y1719=""),"",Sync!$Y1719)</f>
        <v/>
      </c>
      <c r="H1722">
        <f>IF($G1722="","",IF(Sync!$X1719="","",Sync!$X1719))</f>
        <v/>
      </c>
      <c r="I1722">
        <f>IF($G1722="","",IFERROR(VLOOKUP(Sync!$X1719,OpTbl,3,0),""))</f>
        <v/>
      </c>
      <c r="J1722">
        <f>IF(OR($G1722="",Sync!$Z1719=""),"",Sync!$Z1719)</f>
        <v/>
      </c>
      <c r="K1722">
        <f>IF(OR($G1722="",Sync!$AA1719=""),"",Sync!$AA1719)</f>
        <v/>
      </c>
      <c r="L1722">
        <f>IF($G1722="",0,IF(Sync!$AB1719="",0,Sync!$AB1719))</f>
        <v/>
      </c>
      <c r="M1722">
        <f>IF($G1722="",0,IF(Sync!$AC1719="",0,Sync!$AC1719))</f>
        <v/>
      </c>
      <c r="N1722">
        <f>IF($G1722="","",IF($H1722="مرجوعی خرید",-1,1)*($L1722-$M1722*IFERROR(VLOOKUP("P01",ParamTbl,3,0),1.5))*(1-IF($I1722="خرید",IFERROR(VLOOKUP("P02",ParamTbl,3,0),1),0)/100))</f>
        <v/>
      </c>
      <c r="O1722">
        <f>IF($G1722="",0,IF($H1722="مرجوعی خرید",-1,1)*IF(Sync!$AD1719="",0,Sync!$AD1719))</f>
        <v/>
      </c>
      <c r="P1722">
        <f>IF(OR($G1722="",Sync!$W1719=""),"",Sync!$W1719)</f>
        <v/>
      </c>
      <c r="Q1722">
        <f>IF(OR($G1722="",Sync!$AE1719=""),"",Sync!$AE1719)</f>
        <v/>
      </c>
      <c r="R1722">
        <f>IF($G1722="","",IF(Sync!$V1719="","0000",IF(AND(ISNUMBER(Sync!$V1719),Sync!$V1719&gt;=0,Sync!$V1719&lt;1),RIGHT("00"&amp;HOUR(Sync!$V1719),2)&amp;RIGHT("00"&amp;MINUTE(Sync!$V1719),2),IFERROR(RIGHT("00"&amp;VALUE(LEFT(Sync!$V1719,FIND(":",Sync!$V1719)-1)),2)&amp;RIGHT("00"&amp;VALUE(MID(Sync!$V1719,FIND(":",Sync!$V1719)+1,2)),2),"0000"))))</f>
        <v/>
      </c>
    </row>
    <row r="1723">
      <c r="A1723">
        <f>IF(Sync!$U1720="","",Sync!$U1720)</f>
        <v/>
      </c>
      <c r="B1723">
        <f>IF($A1723="","",IF(ISNUMBER($A1723),IF(AND($A1723&gt;=10000101,$A1723&lt;=99991231),INT($A1723/10000),""),IFERROR(VALUE(TRIM(LEFT($A1723,FIND("/",$A1723)-1))),"")))</f>
        <v/>
      </c>
      <c r="C1723">
        <f>IF(OR($A1723="",$B1723=""),"",IF(ISNUMBER($A1723),INT(MOD($A1723,10000)/100),IFERROR(VALUE(TRIM(LEFT(MID($A1723,FIND("/",$A1723)+1,20),FIND("/",MID($A1723,FIND("/",$A1723)+1,20))-1))),"")))</f>
        <v/>
      </c>
      <c r="D1723">
        <f>IF(OR($A1723="",$B1723=""),"",IF(ISNUMBER($A1723),MOD($A1723,100),IFERROR(VALUE(TRIM(MID(MID($A1723,FIND("/",$A1723)+1,20),FIND("/",MID($A1723,FIND("/",$A1723)+1,20))+1,20))),"")))</f>
        <v/>
      </c>
      <c r="E1723">
        <f>IF($A1723="","",IF(OR($B1723="",$C1723="",$D1723="",$B1723&lt;1300,$B1723&gt;1500,$C1723&lt;1,$C1723&gt;12,$D1723&lt;1,$D1723&gt;31),"نامعتبر",RIGHT("0000"&amp;$B1723,4)&amp;"/"&amp;RIGHT("00"&amp;$C1723,2)&amp;"/"&amp;RIGHT("00"&amp;$D1723,2)))</f>
        <v/>
      </c>
      <c r="F1723">
        <f>IF(OR($E1723="",$E1723="نامعتبر"),"",LEFT($E1723,4)&amp;"/"&amp;MID($E1723,6,2))</f>
        <v/>
      </c>
      <c r="G1723">
        <f>IF(OR($E1723="",$E1723="نامعتبر",Sync!$Y1720=""),"",Sync!$Y1720)</f>
        <v/>
      </c>
      <c r="H1723">
        <f>IF($G1723="","",IF(Sync!$X1720="","",Sync!$X1720))</f>
        <v/>
      </c>
      <c r="I1723">
        <f>IF($G1723="","",IFERROR(VLOOKUP(Sync!$X1720,OpTbl,3,0),""))</f>
        <v/>
      </c>
      <c r="J1723">
        <f>IF(OR($G1723="",Sync!$Z1720=""),"",Sync!$Z1720)</f>
        <v/>
      </c>
      <c r="K1723">
        <f>IF(OR($G1723="",Sync!$AA1720=""),"",Sync!$AA1720)</f>
        <v/>
      </c>
      <c r="L1723">
        <f>IF($G1723="",0,IF(Sync!$AB1720="",0,Sync!$AB1720))</f>
        <v/>
      </c>
      <c r="M1723">
        <f>IF($G1723="",0,IF(Sync!$AC1720="",0,Sync!$AC1720))</f>
        <v/>
      </c>
      <c r="N1723">
        <f>IF($G1723="","",IF($H1723="مرجوعی خرید",-1,1)*($L1723-$M1723*IFERROR(VLOOKUP("P01",ParamTbl,3,0),1.5))*(1-IF($I1723="خرید",IFERROR(VLOOKUP("P02",ParamTbl,3,0),1),0)/100))</f>
        <v/>
      </c>
      <c r="O1723">
        <f>IF($G1723="",0,IF($H1723="مرجوعی خرید",-1,1)*IF(Sync!$AD1720="",0,Sync!$AD1720))</f>
        <v/>
      </c>
      <c r="P1723">
        <f>IF(OR($G1723="",Sync!$W1720=""),"",Sync!$W1720)</f>
        <v/>
      </c>
      <c r="Q1723">
        <f>IF(OR($G1723="",Sync!$AE1720=""),"",Sync!$AE1720)</f>
        <v/>
      </c>
      <c r="R1723">
        <f>IF($G1723="","",IF(Sync!$V1720="","0000",IF(AND(ISNUMBER(Sync!$V1720),Sync!$V1720&gt;=0,Sync!$V1720&lt;1),RIGHT("00"&amp;HOUR(Sync!$V1720),2)&amp;RIGHT("00"&amp;MINUTE(Sync!$V1720),2),IFERROR(RIGHT("00"&amp;VALUE(LEFT(Sync!$V1720,FIND(":",Sync!$V1720)-1)),2)&amp;RIGHT("00"&amp;VALUE(MID(Sync!$V1720,FIND(":",Sync!$V1720)+1,2)),2),"0000"))))</f>
        <v/>
      </c>
    </row>
    <row r="1724">
      <c r="A1724">
        <f>IF(Sync!$U1721="","",Sync!$U1721)</f>
        <v/>
      </c>
      <c r="B1724">
        <f>IF($A1724="","",IF(ISNUMBER($A1724),IF(AND($A1724&gt;=10000101,$A1724&lt;=99991231),INT($A1724/10000),""),IFERROR(VALUE(TRIM(LEFT($A1724,FIND("/",$A1724)-1))),"")))</f>
        <v/>
      </c>
      <c r="C1724">
        <f>IF(OR($A1724="",$B1724=""),"",IF(ISNUMBER($A1724),INT(MOD($A1724,10000)/100),IFERROR(VALUE(TRIM(LEFT(MID($A1724,FIND("/",$A1724)+1,20),FIND("/",MID($A1724,FIND("/",$A1724)+1,20))-1))),"")))</f>
        <v/>
      </c>
      <c r="D1724">
        <f>IF(OR($A1724="",$B1724=""),"",IF(ISNUMBER($A1724),MOD($A1724,100),IFERROR(VALUE(TRIM(MID(MID($A1724,FIND("/",$A1724)+1,20),FIND("/",MID($A1724,FIND("/",$A1724)+1,20))+1,20))),"")))</f>
        <v/>
      </c>
      <c r="E1724">
        <f>IF($A1724="","",IF(OR($B1724="",$C1724="",$D1724="",$B1724&lt;1300,$B1724&gt;1500,$C1724&lt;1,$C1724&gt;12,$D1724&lt;1,$D1724&gt;31),"نامعتبر",RIGHT("0000"&amp;$B1724,4)&amp;"/"&amp;RIGHT("00"&amp;$C1724,2)&amp;"/"&amp;RIGHT("00"&amp;$D1724,2)))</f>
        <v/>
      </c>
      <c r="F1724">
        <f>IF(OR($E1724="",$E1724="نامعتبر"),"",LEFT($E1724,4)&amp;"/"&amp;MID($E1724,6,2))</f>
        <v/>
      </c>
      <c r="G1724">
        <f>IF(OR($E1724="",$E1724="نامعتبر",Sync!$Y1721=""),"",Sync!$Y1721)</f>
        <v/>
      </c>
      <c r="H1724">
        <f>IF($G1724="","",IF(Sync!$X1721="","",Sync!$X1721))</f>
        <v/>
      </c>
      <c r="I1724">
        <f>IF($G1724="","",IFERROR(VLOOKUP(Sync!$X1721,OpTbl,3,0),""))</f>
        <v/>
      </c>
      <c r="J1724">
        <f>IF(OR($G1724="",Sync!$Z1721=""),"",Sync!$Z1721)</f>
        <v/>
      </c>
      <c r="K1724">
        <f>IF(OR($G1724="",Sync!$AA1721=""),"",Sync!$AA1721)</f>
        <v/>
      </c>
      <c r="L1724">
        <f>IF($G1724="",0,IF(Sync!$AB1721="",0,Sync!$AB1721))</f>
        <v/>
      </c>
      <c r="M1724">
        <f>IF($G1724="",0,IF(Sync!$AC1721="",0,Sync!$AC1721))</f>
        <v/>
      </c>
      <c r="N1724">
        <f>IF($G1724="","",IF($H1724="مرجوعی خرید",-1,1)*($L1724-$M1724*IFERROR(VLOOKUP("P01",ParamTbl,3,0),1.5))*(1-IF($I1724="خرید",IFERROR(VLOOKUP("P02",ParamTbl,3,0),1),0)/100))</f>
        <v/>
      </c>
      <c r="O1724">
        <f>IF($G1724="",0,IF($H1724="مرجوعی خرید",-1,1)*IF(Sync!$AD1721="",0,Sync!$AD1721))</f>
        <v/>
      </c>
      <c r="P1724">
        <f>IF(OR($G1724="",Sync!$W1721=""),"",Sync!$W1721)</f>
        <v/>
      </c>
      <c r="Q1724">
        <f>IF(OR($G1724="",Sync!$AE1721=""),"",Sync!$AE1721)</f>
        <v/>
      </c>
      <c r="R1724">
        <f>IF($G1724="","",IF(Sync!$V1721="","0000",IF(AND(ISNUMBER(Sync!$V1721),Sync!$V1721&gt;=0,Sync!$V1721&lt;1),RIGHT("00"&amp;HOUR(Sync!$V1721),2)&amp;RIGHT("00"&amp;MINUTE(Sync!$V1721),2),IFERROR(RIGHT("00"&amp;VALUE(LEFT(Sync!$V1721,FIND(":",Sync!$V1721)-1)),2)&amp;RIGHT("00"&amp;VALUE(MID(Sync!$V1721,FIND(":",Sync!$V1721)+1,2)),2),"0000"))))</f>
        <v/>
      </c>
    </row>
    <row r="1725">
      <c r="A1725">
        <f>IF(Sync!$U1722="","",Sync!$U1722)</f>
        <v/>
      </c>
      <c r="B1725">
        <f>IF($A1725="","",IF(ISNUMBER($A1725),IF(AND($A1725&gt;=10000101,$A1725&lt;=99991231),INT($A1725/10000),""),IFERROR(VALUE(TRIM(LEFT($A1725,FIND("/",$A1725)-1))),"")))</f>
        <v/>
      </c>
      <c r="C1725">
        <f>IF(OR($A1725="",$B1725=""),"",IF(ISNUMBER($A1725),INT(MOD($A1725,10000)/100),IFERROR(VALUE(TRIM(LEFT(MID($A1725,FIND("/",$A1725)+1,20),FIND("/",MID($A1725,FIND("/",$A1725)+1,20))-1))),"")))</f>
        <v/>
      </c>
      <c r="D1725">
        <f>IF(OR($A1725="",$B1725=""),"",IF(ISNUMBER($A1725),MOD($A1725,100),IFERROR(VALUE(TRIM(MID(MID($A1725,FIND("/",$A1725)+1,20),FIND("/",MID($A1725,FIND("/",$A1725)+1,20))+1,20))),"")))</f>
        <v/>
      </c>
      <c r="E1725">
        <f>IF($A1725="","",IF(OR($B1725="",$C1725="",$D1725="",$B1725&lt;1300,$B1725&gt;1500,$C1725&lt;1,$C1725&gt;12,$D1725&lt;1,$D1725&gt;31),"نامعتبر",RIGHT("0000"&amp;$B1725,4)&amp;"/"&amp;RIGHT("00"&amp;$C1725,2)&amp;"/"&amp;RIGHT("00"&amp;$D1725,2)))</f>
        <v/>
      </c>
      <c r="F1725">
        <f>IF(OR($E1725="",$E1725="نامعتبر"),"",LEFT($E1725,4)&amp;"/"&amp;MID($E1725,6,2))</f>
        <v/>
      </c>
      <c r="G1725">
        <f>IF(OR($E1725="",$E1725="نامعتبر",Sync!$Y1722=""),"",Sync!$Y1722)</f>
        <v/>
      </c>
      <c r="H1725">
        <f>IF($G1725="","",IF(Sync!$X1722="","",Sync!$X1722))</f>
        <v/>
      </c>
      <c r="I1725">
        <f>IF($G1725="","",IFERROR(VLOOKUP(Sync!$X1722,OpTbl,3,0),""))</f>
        <v/>
      </c>
      <c r="J1725">
        <f>IF(OR($G1725="",Sync!$Z1722=""),"",Sync!$Z1722)</f>
        <v/>
      </c>
      <c r="K1725">
        <f>IF(OR($G1725="",Sync!$AA1722=""),"",Sync!$AA1722)</f>
        <v/>
      </c>
      <c r="L1725">
        <f>IF($G1725="",0,IF(Sync!$AB1722="",0,Sync!$AB1722))</f>
        <v/>
      </c>
      <c r="M1725">
        <f>IF($G1725="",0,IF(Sync!$AC1722="",0,Sync!$AC1722))</f>
        <v/>
      </c>
      <c r="N1725">
        <f>IF($G1725="","",IF($H1725="مرجوعی خرید",-1,1)*($L1725-$M1725*IFERROR(VLOOKUP("P01",ParamTbl,3,0),1.5))*(1-IF($I1725="خرید",IFERROR(VLOOKUP("P02",ParamTbl,3,0),1),0)/100))</f>
        <v/>
      </c>
      <c r="O1725">
        <f>IF($G1725="",0,IF($H1725="مرجوعی خرید",-1,1)*IF(Sync!$AD1722="",0,Sync!$AD1722))</f>
        <v/>
      </c>
      <c r="P1725">
        <f>IF(OR($G1725="",Sync!$W1722=""),"",Sync!$W1722)</f>
        <v/>
      </c>
      <c r="Q1725">
        <f>IF(OR($G1725="",Sync!$AE1722=""),"",Sync!$AE1722)</f>
        <v/>
      </c>
      <c r="R1725">
        <f>IF($G1725="","",IF(Sync!$V1722="","0000",IF(AND(ISNUMBER(Sync!$V1722),Sync!$V1722&gt;=0,Sync!$V1722&lt;1),RIGHT("00"&amp;HOUR(Sync!$V1722),2)&amp;RIGHT("00"&amp;MINUTE(Sync!$V1722),2),IFERROR(RIGHT("00"&amp;VALUE(LEFT(Sync!$V1722,FIND(":",Sync!$V1722)-1)),2)&amp;RIGHT("00"&amp;VALUE(MID(Sync!$V1722,FIND(":",Sync!$V1722)+1,2)),2),"0000"))))</f>
        <v/>
      </c>
    </row>
    <row r="1726">
      <c r="A1726">
        <f>IF(Sync!$U1723="","",Sync!$U1723)</f>
        <v/>
      </c>
      <c r="B1726">
        <f>IF($A1726="","",IF(ISNUMBER($A1726),IF(AND($A1726&gt;=10000101,$A1726&lt;=99991231),INT($A1726/10000),""),IFERROR(VALUE(TRIM(LEFT($A1726,FIND("/",$A1726)-1))),"")))</f>
        <v/>
      </c>
      <c r="C1726">
        <f>IF(OR($A1726="",$B1726=""),"",IF(ISNUMBER($A1726),INT(MOD($A1726,10000)/100),IFERROR(VALUE(TRIM(LEFT(MID($A1726,FIND("/",$A1726)+1,20),FIND("/",MID($A1726,FIND("/",$A1726)+1,20))-1))),"")))</f>
        <v/>
      </c>
      <c r="D1726">
        <f>IF(OR($A1726="",$B1726=""),"",IF(ISNUMBER($A1726),MOD($A1726,100),IFERROR(VALUE(TRIM(MID(MID($A1726,FIND("/",$A1726)+1,20),FIND("/",MID($A1726,FIND("/",$A1726)+1,20))+1,20))),"")))</f>
        <v/>
      </c>
      <c r="E1726">
        <f>IF($A1726="","",IF(OR($B1726="",$C1726="",$D1726="",$B1726&lt;1300,$B1726&gt;1500,$C1726&lt;1,$C1726&gt;12,$D1726&lt;1,$D1726&gt;31),"نامعتبر",RIGHT("0000"&amp;$B1726,4)&amp;"/"&amp;RIGHT("00"&amp;$C1726,2)&amp;"/"&amp;RIGHT("00"&amp;$D1726,2)))</f>
        <v/>
      </c>
      <c r="F1726">
        <f>IF(OR($E1726="",$E1726="نامعتبر"),"",LEFT($E1726,4)&amp;"/"&amp;MID($E1726,6,2))</f>
        <v/>
      </c>
      <c r="G1726">
        <f>IF(OR($E1726="",$E1726="نامعتبر",Sync!$Y1723=""),"",Sync!$Y1723)</f>
        <v/>
      </c>
      <c r="H1726">
        <f>IF($G1726="","",IF(Sync!$X1723="","",Sync!$X1723))</f>
        <v/>
      </c>
      <c r="I1726">
        <f>IF($G1726="","",IFERROR(VLOOKUP(Sync!$X1723,OpTbl,3,0),""))</f>
        <v/>
      </c>
      <c r="J1726">
        <f>IF(OR($G1726="",Sync!$Z1723=""),"",Sync!$Z1723)</f>
        <v/>
      </c>
      <c r="K1726">
        <f>IF(OR($G1726="",Sync!$AA1723=""),"",Sync!$AA1723)</f>
        <v/>
      </c>
      <c r="L1726">
        <f>IF($G1726="",0,IF(Sync!$AB1723="",0,Sync!$AB1723))</f>
        <v/>
      </c>
      <c r="M1726">
        <f>IF($G1726="",0,IF(Sync!$AC1723="",0,Sync!$AC1723))</f>
        <v/>
      </c>
      <c r="N1726">
        <f>IF($G1726="","",IF($H1726="مرجوعی خرید",-1,1)*($L1726-$M1726*IFERROR(VLOOKUP("P01",ParamTbl,3,0),1.5))*(1-IF($I1726="خرید",IFERROR(VLOOKUP("P02",ParamTbl,3,0),1),0)/100))</f>
        <v/>
      </c>
      <c r="O1726">
        <f>IF($G1726="",0,IF($H1726="مرجوعی خرید",-1,1)*IF(Sync!$AD1723="",0,Sync!$AD1723))</f>
        <v/>
      </c>
      <c r="P1726">
        <f>IF(OR($G1726="",Sync!$W1723=""),"",Sync!$W1723)</f>
        <v/>
      </c>
      <c r="Q1726">
        <f>IF(OR($G1726="",Sync!$AE1723=""),"",Sync!$AE1723)</f>
        <v/>
      </c>
      <c r="R1726">
        <f>IF($G1726="","",IF(Sync!$V1723="","0000",IF(AND(ISNUMBER(Sync!$V1723),Sync!$V1723&gt;=0,Sync!$V1723&lt;1),RIGHT("00"&amp;HOUR(Sync!$V1723),2)&amp;RIGHT("00"&amp;MINUTE(Sync!$V1723),2),IFERROR(RIGHT("00"&amp;VALUE(LEFT(Sync!$V1723,FIND(":",Sync!$V1723)-1)),2)&amp;RIGHT("00"&amp;VALUE(MID(Sync!$V1723,FIND(":",Sync!$V1723)+1,2)),2),"0000"))))</f>
        <v/>
      </c>
    </row>
    <row r="1727">
      <c r="A1727">
        <f>IF(Sync!$U1724="","",Sync!$U1724)</f>
        <v/>
      </c>
      <c r="B1727">
        <f>IF($A1727="","",IF(ISNUMBER($A1727),IF(AND($A1727&gt;=10000101,$A1727&lt;=99991231),INT($A1727/10000),""),IFERROR(VALUE(TRIM(LEFT($A1727,FIND("/",$A1727)-1))),"")))</f>
        <v/>
      </c>
      <c r="C1727">
        <f>IF(OR($A1727="",$B1727=""),"",IF(ISNUMBER($A1727),INT(MOD($A1727,10000)/100),IFERROR(VALUE(TRIM(LEFT(MID($A1727,FIND("/",$A1727)+1,20),FIND("/",MID($A1727,FIND("/",$A1727)+1,20))-1))),"")))</f>
        <v/>
      </c>
      <c r="D1727">
        <f>IF(OR($A1727="",$B1727=""),"",IF(ISNUMBER($A1727),MOD($A1727,100),IFERROR(VALUE(TRIM(MID(MID($A1727,FIND("/",$A1727)+1,20),FIND("/",MID($A1727,FIND("/",$A1727)+1,20))+1,20))),"")))</f>
        <v/>
      </c>
      <c r="E1727">
        <f>IF($A1727="","",IF(OR($B1727="",$C1727="",$D1727="",$B1727&lt;1300,$B1727&gt;1500,$C1727&lt;1,$C1727&gt;12,$D1727&lt;1,$D1727&gt;31),"نامعتبر",RIGHT("0000"&amp;$B1727,4)&amp;"/"&amp;RIGHT("00"&amp;$C1727,2)&amp;"/"&amp;RIGHT("00"&amp;$D1727,2)))</f>
        <v/>
      </c>
      <c r="F1727">
        <f>IF(OR($E1727="",$E1727="نامعتبر"),"",LEFT($E1727,4)&amp;"/"&amp;MID($E1727,6,2))</f>
        <v/>
      </c>
      <c r="G1727">
        <f>IF(OR($E1727="",$E1727="نامعتبر",Sync!$Y1724=""),"",Sync!$Y1724)</f>
        <v/>
      </c>
      <c r="H1727">
        <f>IF($G1727="","",IF(Sync!$X1724="","",Sync!$X1724))</f>
        <v/>
      </c>
      <c r="I1727">
        <f>IF($G1727="","",IFERROR(VLOOKUP(Sync!$X1724,OpTbl,3,0),""))</f>
        <v/>
      </c>
      <c r="J1727">
        <f>IF(OR($G1727="",Sync!$Z1724=""),"",Sync!$Z1724)</f>
        <v/>
      </c>
      <c r="K1727">
        <f>IF(OR($G1727="",Sync!$AA1724=""),"",Sync!$AA1724)</f>
        <v/>
      </c>
      <c r="L1727">
        <f>IF($G1727="",0,IF(Sync!$AB1724="",0,Sync!$AB1724))</f>
        <v/>
      </c>
      <c r="M1727">
        <f>IF($G1727="",0,IF(Sync!$AC1724="",0,Sync!$AC1724))</f>
        <v/>
      </c>
      <c r="N1727">
        <f>IF($G1727="","",IF($H1727="مرجوعی خرید",-1,1)*($L1727-$M1727*IFERROR(VLOOKUP("P01",ParamTbl,3,0),1.5))*(1-IF($I1727="خرید",IFERROR(VLOOKUP("P02",ParamTbl,3,0),1),0)/100))</f>
        <v/>
      </c>
      <c r="O1727">
        <f>IF($G1727="",0,IF($H1727="مرجوعی خرید",-1,1)*IF(Sync!$AD1724="",0,Sync!$AD1724))</f>
        <v/>
      </c>
      <c r="P1727">
        <f>IF(OR($G1727="",Sync!$W1724=""),"",Sync!$W1724)</f>
        <v/>
      </c>
      <c r="Q1727">
        <f>IF(OR($G1727="",Sync!$AE1724=""),"",Sync!$AE1724)</f>
        <v/>
      </c>
      <c r="R1727">
        <f>IF($G1727="","",IF(Sync!$V1724="","0000",IF(AND(ISNUMBER(Sync!$V1724),Sync!$V1724&gt;=0,Sync!$V1724&lt;1),RIGHT("00"&amp;HOUR(Sync!$V1724),2)&amp;RIGHT("00"&amp;MINUTE(Sync!$V1724),2),IFERROR(RIGHT("00"&amp;VALUE(LEFT(Sync!$V1724,FIND(":",Sync!$V1724)-1)),2)&amp;RIGHT("00"&amp;VALUE(MID(Sync!$V1724,FIND(":",Sync!$V1724)+1,2)),2),"0000"))))</f>
        <v/>
      </c>
    </row>
    <row r="1728">
      <c r="A1728">
        <f>IF(Sync!$U1725="","",Sync!$U1725)</f>
        <v/>
      </c>
      <c r="B1728">
        <f>IF($A1728="","",IF(ISNUMBER($A1728),IF(AND($A1728&gt;=10000101,$A1728&lt;=99991231),INT($A1728/10000),""),IFERROR(VALUE(TRIM(LEFT($A1728,FIND("/",$A1728)-1))),"")))</f>
        <v/>
      </c>
      <c r="C1728">
        <f>IF(OR($A1728="",$B1728=""),"",IF(ISNUMBER($A1728),INT(MOD($A1728,10000)/100),IFERROR(VALUE(TRIM(LEFT(MID($A1728,FIND("/",$A1728)+1,20),FIND("/",MID($A1728,FIND("/",$A1728)+1,20))-1))),"")))</f>
        <v/>
      </c>
      <c r="D1728">
        <f>IF(OR($A1728="",$B1728=""),"",IF(ISNUMBER($A1728),MOD($A1728,100),IFERROR(VALUE(TRIM(MID(MID($A1728,FIND("/",$A1728)+1,20),FIND("/",MID($A1728,FIND("/",$A1728)+1,20))+1,20))),"")))</f>
        <v/>
      </c>
      <c r="E1728">
        <f>IF($A1728="","",IF(OR($B1728="",$C1728="",$D1728="",$B1728&lt;1300,$B1728&gt;1500,$C1728&lt;1,$C1728&gt;12,$D1728&lt;1,$D1728&gt;31),"نامعتبر",RIGHT("0000"&amp;$B1728,4)&amp;"/"&amp;RIGHT("00"&amp;$C1728,2)&amp;"/"&amp;RIGHT("00"&amp;$D1728,2)))</f>
        <v/>
      </c>
      <c r="F1728">
        <f>IF(OR($E1728="",$E1728="نامعتبر"),"",LEFT($E1728,4)&amp;"/"&amp;MID($E1728,6,2))</f>
        <v/>
      </c>
      <c r="G1728">
        <f>IF(OR($E1728="",$E1728="نامعتبر",Sync!$Y1725=""),"",Sync!$Y1725)</f>
        <v/>
      </c>
      <c r="H1728">
        <f>IF($G1728="","",IF(Sync!$X1725="","",Sync!$X1725))</f>
        <v/>
      </c>
      <c r="I1728">
        <f>IF($G1728="","",IFERROR(VLOOKUP(Sync!$X1725,OpTbl,3,0),""))</f>
        <v/>
      </c>
      <c r="J1728">
        <f>IF(OR($G1728="",Sync!$Z1725=""),"",Sync!$Z1725)</f>
        <v/>
      </c>
      <c r="K1728">
        <f>IF(OR($G1728="",Sync!$AA1725=""),"",Sync!$AA1725)</f>
        <v/>
      </c>
      <c r="L1728">
        <f>IF($G1728="",0,IF(Sync!$AB1725="",0,Sync!$AB1725))</f>
        <v/>
      </c>
      <c r="M1728">
        <f>IF($G1728="",0,IF(Sync!$AC1725="",0,Sync!$AC1725))</f>
        <v/>
      </c>
      <c r="N1728">
        <f>IF($G1728="","",IF($H1728="مرجوعی خرید",-1,1)*($L1728-$M1728*IFERROR(VLOOKUP("P01",ParamTbl,3,0),1.5))*(1-IF($I1728="خرید",IFERROR(VLOOKUP("P02",ParamTbl,3,0),1),0)/100))</f>
        <v/>
      </c>
      <c r="O1728">
        <f>IF($G1728="",0,IF($H1728="مرجوعی خرید",-1,1)*IF(Sync!$AD1725="",0,Sync!$AD1725))</f>
        <v/>
      </c>
      <c r="P1728">
        <f>IF(OR($G1728="",Sync!$W1725=""),"",Sync!$W1725)</f>
        <v/>
      </c>
      <c r="Q1728">
        <f>IF(OR($G1728="",Sync!$AE1725=""),"",Sync!$AE1725)</f>
        <v/>
      </c>
      <c r="R1728">
        <f>IF($G1728="","",IF(Sync!$V1725="","0000",IF(AND(ISNUMBER(Sync!$V1725),Sync!$V1725&gt;=0,Sync!$V1725&lt;1),RIGHT("00"&amp;HOUR(Sync!$V1725),2)&amp;RIGHT("00"&amp;MINUTE(Sync!$V1725),2),IFERROR(RIGHT("00"&amp;VALUE(LEFT(Sync!$V1725,FIND(":",Sync!$V1725)-1)),2)&amp;RIGHT("00"&amp;VALUE(MID(Sync!$V1725,FIND(":",Sync!$V1725)+1,2)),2),"0000"))))</f>
        <v/>
      </c>
    </row>
    <row r="1729">
      <c r="A1729">
        <f>IF(Sync!$U1726="","",Sync!$U1726)</f>
        <v/>
      </c>
      <c r="B1729">
        <f>IF($A1729="","",IF(ISNUMBER($A1729),IF(AND($A1729&gt;=10000101,$A1729&lt;=99991231),INT($A1729/10000),""),IFERROR(VALUE(TRIM(LEFT($A1729,FIND("/",$A1729)-1))),"")))</f>
        <v/>
      </c>
      <c r="C1729">
        <f>IF(OR($A1729="",$B1729=""),"",IF(ISNUMBER($A1729),INT(MOD($A1729,10000)/100),IFERROR(VALUE(TRIM(LEFT(MID($A1729,FIND("/",$A1729)+1,20),FIND("/",MID($A1729,FIND("/",$A1729)+1,20))-1))),"")))</f>
        <v/>
      </c>
      <c r="D1729">
        <f>IF(OR($A1729="",$B1729=""),"",IF(ISNUMBER($A1729),MOD($A1729,100),IFERROR(VALUE(TRIM(MID(MID($A1729,FIND("/",$A1729)+1,20),FIND("/",MID($A1729,FIND("/",$A1729)+1,20))+1,20))),"")))</f>
        <v/>
      </c>
      <c r="E1729">
        <f>IF($A1729="","",IF(OR($B1729="",$C1729="",$D1729="",$B1729&lt;1300,$B1729&gt;1500,$C1729&lt;1,$C1729&gt;12,$D1729&lt;1,$D1729&gt;31),"نامعتبر",RIGHT("0000"&amp;$B1729,4)&amp;"/"&amp;RIGHT("00"&amp;$C1729,2)&amp;"/"&amp;RIGHT("00"&amp;$D1729,2)))</f>
        <v/>
      </c>
      <c r="F1729">
        <f>IF(OR($E1729="",$E1729="نامعتبر"),"",LEFT($E1729,4)&amp;"/"&amp;MID($E1729,6,2))</f>
        <v/>
      </c>
      <c r="G1729">
        <f>IF(OR($E1729="",$E1729="نامعتبر",Sync!$Y1726=""),"",Sync!$Y1726)</f>
        <v/>
      </c>
      <c r="H1729">
        <f>IF($G1729="","",IF(Sync!$X1726="","",Sync!$X1726))</f>
        <v/>
      </c>
      <c r="I1729">
        <f>IF($G1729="","",IFERROR(VLOOKUP(Sync!$X1726,OpTbl,3,0),""))</f>
        <v/>
      </c>
      <c r="J1729">
        <f>IF(OR($G1729="",Sync!$Z1726=""),"",Sync!$Z1726)</f>
        <v/>
      </c>
      <c r="K1729">
        <f>IF(OR($G1729="",Sync!$AA1726=""),"",Sync!$AA1726)</f>
        <v/>
      </c>
      <c r="L1729">
        <f>IF($G1729="",0,IF(Sync!$AB1726="",0,Sync!$AB1726))</f>
        <v/>
      </c>
      <c r="M1729">
        <f>IF($G1729="",0,IF(Sync!$AC1726="",0,Sync!$AC1726))</f>
        <v/>
      </c>
      <c r="N1729">
        <f>IF($G1729="","",IF($H1729="مرجوعی خرید",-1,1)*($L1729-$M1729*IFERROR(VLOOKUP("P01",ParamTbl,3,0),1.5))*(1-IF($I1729="خرید",IFERROR(VLOOKUP("P02",ParamTbl,3,0),1),0)/100))</f>
        <v/>
      </c>
      <c r="O1729">
        <f>IF($G1729="",0,IF($H1729="مرجوعی خرید",-1,1)*IF(Sync!$AD1726="",0,Sync!$AD1726))</f>
        <v/>
      </c>
      <c r="P1729">
        <f>IF(OR($G1729="",Sync!$W1726=""),"",Sync!$W1726)</f>
        <v/>
      </c>
      <c r="Q1729">
        <f>IF(OR($G1729="",Sync!$AE1726=""),"",Sync!$AE1726)</f>
        <v/>
      </c>
      <c r="R1729">
        <f>IF($G1729="","",IF(Sync!$V1726="","0000",IF(AND(ISNUMBER(Sync!$V1726),Sync!$V1726&gt;=0,Sync!$V1726&lt;1),RIGHT("00"&amp;HOUR(Sync!$V1726),2)&amp;RIGHT("00"&amp;MINUTE(Sync!$V1726),2),IFERROR(RIGHT("00"&amp;VALUE(LEFT(Sync!$V1726,FIND(":",Sync!$V1726)-1)),2)&amp;RIGHT("00"&amp;VALUE(MID(Sync!$V1726,FIND(":",Sync!$V1726)+1,2)),2),"0000"))))</f>
        <v/>
      </c>
    </row>
    <row r="1730">
      <c r="A1730">
        <f>IF(Sync!$U1727="","",Sync!$U1727)</f>
        <v/>
      </c>
      <c r="B1730">
        <f>IF($A1730="","",IF(ISNUMBER($A1730),IF(AND($A1730&gt;=10000101,$A1730&lt;=99991231),INT($A1730/10000),""),IFERROR(VALUE(TRIM(LEFT($A1730,FIND("/",$A1730)-1))),"")))</f>
        <v/>
      </c>
      <c r="C1730">
        <f>IF(OR($A1730="",$B1730=""),"",IF(ISNUMBER($A1730),INT(MOD($A1730,10000)/100),IFERROR(VALUE(TRIM(LEFT(MID($A1730,FIND("/",$A1730)+1,20),FIND("/",MID($A1730,FIND("/",$A1730)+1,20))-1))),"")))</f>
        <v/>
      </c>
      <c r="D1730">
        <f>IF(OR($A1730="",$B1730=""),"",IF(ISNUMBER($A1730),MOD($A1730,100),IFERROR(VALUE(TRIM(MID(MID($A1730,FIND("/",$A1730)+1,20),FIND("/",MID($A1730,FIND("/",$A1730)+1,20))+1,20))),"")))</f>
        <v/>
      </c>
      <c r="E1730">
        <f>IF($A1730="","",IF(OR($B1730="",$C1730="",$D1730="",$B1730&lt;1300,$B1730&gt;1500,$C1730&lt;1,$C1730&gt;12,$D1730&lt;1,$D1730&gt;31),"نامعتبر",RIGHT("0000"&amp;$B1730,4)&amp;"/"&amp;RIGHT("00"&amp;$C1730,2)&amp;"/"&amp;RIGHT("00"&amp;$D1730,2)))</f>
        <v/>
      </c>
      <c r="F1730">
        <f>IF(OR($E1730="",$E1730="نامعتبر"),"",LEFT($E1730,4)&amp;"/"&amp;MID($E1730,6,2))</f>
        <v/>
      </c>
      <c r="G1730">
        <f>IF(OR($E1730="",$E1730="نامعتبر",Sync!$Y1727=""),"",Sync!$Y1727)</f>
        <v/>
      </c>
      <c r="H1730">
        <f>IF($G1730="","",IF(Sync!$X1727="","",Sync!$X1727))</f>
        <v/>
      </c>
      <c r="I1730">
        <f>IF($G1730="","",IFERROR(VLOOKUP(Sync!$X1727,OpTbl,3,0),""))</f>
        <v/>
      </c>
      <c r="J1730">
        <f>IF(OR($G1730="",Sync!$Z1727=""),"",Sync!$Z1727)</f>
        <v/>
      </c>
      <c r="K1730">
        <f>IF(OR($G1730="",Sync!$AA1727=""),"",Sync!$AA1727)</f>
        <v/>
      </c>
      <c r="L1730">
        <f>IF($G1730="",0,IF(Sync!$AB1727="",0,Sync!$AB1727))</f>
        <v/>
      </c>
      <c r="M1730">
        <f>IF($G1730="",0,IF(Sync!$AC1727="",0,Sync!$AC1727))</f>
        <v/>
      </c>
      <c r="N1730">
        <f>IF($G1730="","",IF($H1730="مرجوعی خرید",-1,1)*($L1730-$M1730*IFERROR(VLOOKUP("P01",ParamTbl,3,0),1.5))*(1-IF($I1730="خرید",IFERROR(VLOOKUP("P02",ParamTbl,3,0),1),0)/100))</f>
        <v/>
      </c>
      <c r="O1730">
        <f>IF($G1730="",0,IF($H1730="مرجوعی خرید",-1,1)*IF(Sync!$AD1727="",0,Sync!$AD1727))</f>
        <v/>
      </c>
      <c r="P1730">
        <f>IF(OR($G1730="",Sync!$W1727=""),"",Sync!$W1727)</f>
        <v/>
      </c>
      <c r="Q1730">
        <f>IF(OR($G1730="",Sync!$AE1727=""),"",Sync!$AE1727)</f>
        <v/>
      </c>
      <c r="R1730">
        <f>IF($G1730="","",IF(Sync!$V1727="","0000",IF(AND(ISNUMBER(Sync!$V1727),Sync!$V1727&gt;=0,Sync!$V1727&lt;1),RIGHT("00"&amp;HOUR(Sync!$V1727),2)&amp;RIGHT("00"&amp;MINUTE(Sync!$V1727),2),IFERROR(RIGHT("00"&amp;VALUE(LEFT(Sync!$V1727,FIND(":",Sync!$V1727)-1)),2)&amp;RIGHT("00"&amp;VALUE(MID(Sync!$V1727,FIND(":",Sync!$V1727)+1,2)),2),"0000"))))</f>
        <v/>
      </c>
    </row>
    <row r="1731">
      <c r="A1731">
        <f>IF(Sync!$U1728="","",Sync!$U1728)</f>
        <v/>
      </c>
      <c r="B1731">
        <f>IF($A1731="","",IF(ISNUMBER($A1731),IF(AND($A1731&gt;=10000101,$A1731&lt;=99991231),INT($A1731/10000),""),IFERROR(VALUE(TRIM(LEFT($A1731,FIND("/",$A1731)-1))),"")))</f>
        <v/>
      </c>
      <c r="C1731">
        <f>IF(OR($A1731="",$B1731=""),"",IF(ISNUMBER($A1731),INT(MOD($A1731,10000)/100),IFERROR(VALUE(TRIM(LEFT(MID($A1731,FIND("/",$A1731)+1,20),FIND("/",MID($A1731,FIND("/",$A1731)+1,20))-1))),"")))</f>
        <v/>
      </c>
      <c r="D1731">
        <f>IF(OR($A1731="",$B1731=""),"",IF(ISNUMBER($A1731),MOD($A1731,100),IFERROR(VALUE(TRIM(MID(MID($A1731,FIND("/",$A1731)+1,20),FIND("/",MID($A1731,FIND("/",$A1731)+1,20))+1,20))),"")))</f>
        <v/>
      </c>
      <c r="E1731">
        <f>IF($A1731="","",IF(OR($B1731="",$C1731="",$D1731="",$B1731&lt;1300,$B1731&gt;1500,$C1731&lt;1,$C1731&gt;12,$D1731&lt;1,$D1731&gt;31),"نامعتبر",RIGHT("0000"&amp;$B1731,4)&amp;"/"&amp;RIGHT("00"&amp;$C1731,2)&amp;"/"&amp;RIGHT("00"&amp;$D1731,2)))</f>
        <v/>
      </c>
      <c r="F1731">
        <f>IF(OR($E1731="",$E1731="نامعتبر"),"",LEFT($E1731,4)&amp;"/"&amp;MID($E1731,6,2))</f>
        <v/>
      </c>
      <c r="G1731">
        <f>IF(OR($E1731="",$E1731="نامعتبر",Sync!$Y1728=""),"",Sync!$Y1728)</f>
        <v/>
      </c>
      <c r="H1731">
        <f>IF($G1731="","",IF(Sync!$X1728="","",Sync!$X1728))</f>
        <v/>
      </c>
      <c r="I1731">
        <f>IF($G1731="","",IFERROR(VLOOKUP(Sync!$X1728,OpTbl,3,0),""))</f>
        <v/>
      </c>
      <c r="J1731">
        <f>IF(OR($G1731="",Sync!$Z1728=""),"",Sync!$Z1728)</f>
        <v/>
      </c>
      <c r="K1731">
        <f>IF(OR($G1731="",Sync!$AA1728=""),"",Sync!$AA1728)</f>
        <v/>
      </c>
      <c r="L1731">
        <f>IF($G1731="",0,IF(Sync!$AB1728="",0,Sync!$AB1728))</f>
        <v/>
      </c>
      <c r="M1731">
        <f>IF($G1731="",0,IF(Sync!$AC1728="",0,Sync!$AC1728))</f>
        <v/>
      </c>
      <c r="N1731">
        <f>IF($G1731="","",IF($H1731="مرجوعی خرید",-1,1)*($L1731-$M1731*IFERROR(VLOOKUP("P01",ParamTbl,3,0),1.5))*(1-IF($I1731="خرید",IFERROR(VLOOKUP("P02",ParamTbl,3,0),1),0)/100))</f>
        <v/>
      </c>
      <c r="O1731">
        <f>IF($G1731="",0,IF($H1731="مرجوعی خرید",-1,1)*IF(Sync!$AD1728="",0,Sync!$AD1728))</f>
        <v/>
      </c>
      <c r="P1731">
        <f>IF(OR($G1731="",Sync!$W1728=""),"",Sync!$W1728)</f>
        <v/>
      </c>
      <c r="Q1731">
        <f>IF(OR($G1731="",Sync!$AE1728=""),"",Sync!$AE1728)</f>
        <v/>
      </c>
      <c r="R1731">
        <f>IF($G1731="","",IF(Sync!$V1728="","0000",IF(AND(ISNUMBER(Sync!$V1728),Sync!$V1728&gt;=0,Sync!$V1728&lt;1),RIGHT("00"&amp;HOUR(Sync!$V1728),2)&amp;RIGHT("00"&amp;MINUTE(Sync!$V1728),2),IFERROR(RIGHT("00"&amp;VALUE(LEFT(Sync!$V1728,FIND(":",Sync!$V1728)-1)),2)&amp;RIGHT("00"&amp;VALUE(MID(Sync!$V1728,FIND(":",Sync!$V1728)+1,2)),2),"0000"))))</f>
        <v/>
      </c>
    </row>
    <row r="1732">
      <c r="A1732">
        <f>IF(Sync!$U1729="","",Sync!$U1729)</f>
        <v/>
      </c>
      <c r="B1732">
        <f>IF($A1732="","",IF(ISNUMBER($A1732),IF(AND($A1732&gt;=10000101,$A1732&lt;=99991231),INT($A1732/10000),""),IFERROR(VALUE(TRIM(LEFT($A1732,FIND("/",$A1732)-1))),"")))</f>
        <v/>
      </c>
      <c r="C1732">
        <f>IF(OR($A1732="",$B1732=""),"",IF(ISNUMBER($A1732),INT(MOD($A1732,10000)/100),IFERROR(VALUE(TRIM(LEFT(MID($A1732,FIND("/",$A1732)+1,20),FIND("/",MID($A1732,FIND("/",$A1732)+1,20))-1))),"")))</f>
        <v/>
      </c>
      <c r="D1732">
        <f>IF(OR($A1732="",$B1732=""),"",IF(ISNUMBER($A1732),MOD($A1732,100),IFERROR(VALUE(TRIM(MID(MID($A1732,FIND("/",$A1732)+1,20),FIND("/",MID($A1732,FIND("/",$A1732)+1,20))+1,20))),"")))</f>
        <v/>
      </c>
      <c r="E1732">
        <f>IF($A1732="","",IF(OR($B1732="",$C1732="",$D1732="",$B1732&lt;1300,$B1732&gt;1500,$C1732&lt;1,$C1732&gt;12,$D1732&lt;1,$D1732&gt;31),"نامعتبر",RIGHT("0000"&amp;$B1732,4)&amp;"/"&amp;RIGHT("00"&amp;$C1732,2)&amp;"/"&amp;RIGHT("00"&amp;$D1732,2)))</f>
        <v/>
      </c>
      <c r="F1732">
        <f>IF(OR($E1732="",$E1732="نامعتبر"),"",LEFT($E1732,4)&amp;"/"&amp;MID($E1732,6,2))</f>
        <v/>
      </c>
      <c r="G1732">
        <f>IF(OR($E1732="",$E1732="نامعتبر",Sync!$Y1729=""),"",Sync!$Y1729)</f>
        <v/>
      </c>
      <c r="H1732">
        <f>IF($G1732="","",IF(Sync!$X1729="","",Sync!$X1729))</f>
        <v/>
      </c>
      <c r="I1732">
        <f>IF($G1732="","",IFERROR(VLOOKUP(Sync!$X1729,OpTbl,3,0),""))</f>
        <v/>
      </c>
      <c r="J1732">
        <f>IF(OR($G1732="",Sync!$Z1729=""),"",Sync!$Z1729)</f>
        <v/>
      </c>
      <c r="K1732">
        <f>IF(OR($G1732="",Sync!$AA1729=""),"",Sync!$AA1729)</f>
        <v/>
      </c>
      <c r="L1732">
        <f>IF($G1732="",0,IF(Sync!$AB1729="",0,Sync!$AB1729))</f>
        <v/>
      </c>
      <c r="M1732">
        <f>IF($G1732="",0,IF(Sync!$AC1729="",0,Sync!$AC1729))</f>
        <v/>
      </c>
      <c r="N1732">
        <f>IF($G1732="","",IF($H1732="مرجوعی خرید",-1,1)*($L1732-$M1732*IFERROR(VLOOKUP("P01",ParamTbl,3,0),1.5))*(1-IF($I1732="خرید",IFERROR(VLOOKUP("P02",ParamTbl,3,0),1),0)/100))</f>
        <v/>
      </c>
      <c r="O1732">
        <f>IF($G1732="",0,IF($H1732="مرجوعی خرید",-1,1)*IF(Sync!$AD1729="",0,Sync!$AD1729))</f>
        <v/>
      </c>
      <c r="P1732">
        <f>IF(OR($G1732="",Sync!$W1729=""),"",Sync!$W1729)</f>
        <v/>
      </c>
      <c r="Q1732">
        <f>IF(OR($G1732="",Sync!$AE1729=""),"",Sync!$AE1729)</f>
        <v/>
      </c>
      <c r="R1732">
        <f>IF($G1732="","",IF(Sync!$V1729="","0000",IF(AND(ISNUMBER(Sync!$V1729),Sync!$V1729&gt;=0,Sync!$V1729&lt;1),RIGHT("00"&amp;HOUR(Sync!$V1729),2)&amp;RIGHT("00"&amp;MINUTE(Sync!$V1729),2),IFERROR(RIGHT("00"&amp;VALUE(LEFT(Sync!$V1729,FIND(":",Sync!$V1729)-1)),2)&amp;RIGHT("00"&amp;VALUE(MID(Sync!$V1729,FIND(":",Sync!$V1729)+1,2)),2),"0000"))))</f>
        <v/>
      </c>
    </row>
    <row r="1733">
      <c r="A1733">
        <f>IF(Sync!$U1730="","",Sync!$U1730)</f>
        <v/>
      </c>
      <c r="B1733">
        <f>IF($A1733="","",IF(ISNUMBER($A1733),IF(AND($A1733&gt;=10000101,$A1733&lt;=99991231),INT($A1733/10000),""),IFERROR(VALUE(TRIM(LEFT($A1733,FIND("/",$A1733)-1))),"")))</f>
        <v/>
      </c>
      <c r="C1733">
        <f>IF(OR($A1733="",$B1733=""),"",IF(ISNUMBER($A1733),INT(MOD($A1733,10000)/100),IFERROR(VALUE(TRIM(LEFT(MID($A1733,FIND("/",$A1733)+1,20),FIND("/",MID($A1733,FIND("/",$A1733)+1,20))-1))),"")))</f>
        <v/>
      </c>
      <c r="D1733">
        <f>IF(OR($A1733="",$B1733=""),"",IF(ISNUMBER($A1733),MOD($A1733,100),IFERROR(VALUE(TRIM(MID(MID($A1733,FIND("/",$A1733)+1,20),FIND("/",MID($A1733,FIND("/",$A1733)+1,20))+1,20))),"")))</f>
        <v/>
      </c>
      <c r="E1733">
        <f>IF($A1733="","",IF(OR($B1733="",$C1733="",$D1733="",$B1733&lt;1300,$B1733&gt;1500,$C1733&lt;1,$C1733&gt;12,$D1733&lt;1,$D1733&gt;31),"نامعتبر",RIGHT("0000"&amp;$B1733,4)&amp;"/"&amp;RIGHT("00"&amp;$C1733,2)&amp;"/"&amp;RIGHT("00"&amp;$D1733,2)))</f>
        <v/>
      </c>
      <c r="F1733">
        <f>IF(OR($E1733="",$E1733="نامعتبر"),"",LEFT($E1733,4)&amp;"/"&amp;MID($E1733,6,2))</f>
        <v/>
      </c>
      <c r="G1733">
        <f>IF(OR($E1733="",$E1733="نامعتبر",Sync!$Y1730=""),"",Sync!$Y1730)</f>
        <v/>
      </c>
      <c r="H1733">
        <f>IF($G1733="","",IF(Sync!$X1730="","",Sync!$X1730))</f>
        <v/>
      </c>
      <c r="I1733">
        <f>IF($G1733="","",IFERROR(VLOOKUP(Sync!$X1730,OpTbl,3,0),""))</f>
        <v/>
      </c>
      <c r="J1733">
        <f>IF(OR($G1733="",Sync!$Z1730=""),"",Sync!$Z1730)</f>
        <v/>
      </c>
      <c r="K1733">
        <f>IF(OR($G1733="",Sync!$AA1730=""),"",Sync!$AA1730)</f>
        <v/>
      </c>
      <c r="L1733">
        <f>IF($G1733="",0,IF(Sync!$AB1730="",0,Sync!$AB1730))</f>
        <v/>
      </c>
      <c r="M1733">
        <f>IF($G1733="",0,IF(Sync!$AC1730="",0,Sync!$AC1730))</f>
        <v/>
      </c>
      <c r="N1733">
        <f>IF($G1733="","",IF($H1733="مرجوعی خرید",-1,1)*($L1733-$M1733*IFERROR(VLOOKUP("P01",ParamTbl,3,0),1.5))*(1-IF($I1733="خرید",IFERROR(VLOOKUP("P02",ParamTbl,3,0),1),0)/100))</f>
        <v/>
      </c>
      <c r="O1733">
        <f>IF($G1733="",0,IF($H1733="مرجوعی خرید",-1,1)*IF(Sync!$AD1730="",0,Sync!$AD1730))</f>
        <v/>
      </c>
      <c r="P1733">
        <f>IF(OR($G1733="",Sync!$W1730=""),"",Sync!$W1730)</f>
        <v/>
      </c>
      <c r="Q1733">
        <f>IF(OR($G1733="",Sync!$AE1730=""),"",Sync!$AE1730)</f>
        <v/>
      </c>
      <c r="R1733">
        <f>IF($G1733="","",IF(Sync!$V1730="","0000",IF(AND(ISNUMBER(Sync!$V1730),Sync!$V1730&gt;=0,Sync!$V1730&lt;1),RIGHT("00"&amp;HOUR(Sync!$V1730),2)&amp;RIGHT("00"&amp;MINUTE(Sync!$V1730),2),IFERROR(RIGHT("00"&amp;VALUE(LEFT(Sync!$V1730,FIND(":",Sync!$V1730)-1)),2)&amp;RIGHT("00"&amp;VALUE(MID(Sync!$V1730,FIND(":",Sync!$V1730)+1,2)),2),"0000"))))</f>
        <v/>
      </c>
    </row>
    <row r="1734">
      <c r="A1734">
        <f>IF(Sync!$U1731="","",Sync!$U1731)</f>
        <v/>
      </c>
      <c r="B1734">
        <f>IF($A1734="","",IF(ISNUMBER($A1734),IF(AND($A1734&gt;=10000101,$A1734&lt;=99991231),INT($A1734/10000),""),IFERROR(VALUE(TRIM(LEFT($A1734,FIND("/",$A1734)-1))),"")))</f>
        <v/>
      </c>
      <c r="C1734">
        <f>IF(OR($A1734="",$B1734=""),"",IF(ISNUMBER($A1734),INT(MOD($A1734,10000)/100),IFERROR(VALUE(TRIM(LEFT(MID($A1734,FIND("/",$A1734)+1,20),FIND("/",MID($A1734,FIND("/",$A1734)+1,20))-1))),"")))</f>
        <v/>
      </c>
      <c r="D1734">
        <f>IF(OR($A1734="",$B1734=""),"",IF(ISNUMBER($A1734),MOD($A1734,100),IFERROR(VALUE(TRIM(MID(MID($A1734,FIND("/",$A1734)+1,20),FIND("/",MID($A1734,FIND("/",$A1734)+1,20))+1,20))),"")))</f>
        <v/>
      </c>
      <c r="E1734">
        <f>IF($A1734="","",IF(OR($B1734="",$C1734="",$D1734="",$B1734&lt;1300,$B1734&gt;1500,$C1734&lt;1,$C1734&gt;12,$D1734&lt;1,$D1734&gt;31),"نامعتبر",RIGHT("0000"&amp;$B1734,4)&amp;"/"&amp;RIGHT("00"&amp;$C1734,2)&amp;"/"&amp;RIGHT("00"&amp;$D1734,2)))</f>
        <v/>
      </c>
      <c r="F1734">
        <f>IF(OR($E1734="",$E1734="نامعتبر"),"",LEFT($E1734,4)&amp;"/"&amp;MID($E1734,6,2))</f>
        <v/>
      </c>
      <c r="G1734">
        <f>IF(OR($E1734="",$E1734="نامعتبر",Sync!$Y1731=""),"",Sync!$Y1731)</f>
        <v/>
      </c>
      <c r="H1734">
        <f>IF($G1734="","",IF(Sync!$X1731="","",Sync!$X1731))</f>
        <v/>
      </c>
      <c r="I1734">
        <f>IF($G1734="","",IFERROR(VLOOKUP(Sync!$X1731,OpTbl,3,0),""))</f>
        <v/>
      </c>
      <c r="J1734">
        <f>IF(OR($G1734="",Sync!$Z1731=""),"",Sync!$Z1731)</f>
        <v/>
      </c>
      <c r="K1734">
        <f>IF(OR($G1734="",Sync!$AA1731=""),"",Sync!$AA1731)</f>
        <v/>
      </c>
      <c r="L1734">
        <f>IF($G1734="",0,IF(Sync!$AB1731="",0,Sync!$AB1731))</f>
        <v/>
      </c>
      <c r="M1734">
        <f>IF($G1734="",0,IF(Sync!$AC1731="",0,Sync!$AC1731))</f>
        <v/>
      </c>
      <c r="N1734">
        <f>IF($G1734="","",IF($H1734="مرجوعی خرید",-1,1)*($L1734-$M1734*IFERROR(VLOOKUP("P01",ParamTbl,3,0),1.5))*(1-IF($I1734="خرید",IFERROR(VLOOKUP("P02",ParamTbl,3,0),1),0)/100))</f>
        <v/>
      </c>
      <c r="O1734">
        <f>IF($G1734="",0,IF($H1734="مرجوعی خرید",-1,1)*IF(Sync!$AD1731="",0,Sync!$AD1731))</f>
        <v/>
      </c>
      <c r="P1734">
        <f>IF(OR($G1734="",Sync!$W1731=""),"",Sync!$W1731)</f>
        <v/>
      </c>
      <c r="Q1734">
        <f>IF(OR($G1734="",Sync!$AE1731=""),"",Sync!$AE1731)</f>
        <v/>
      </c>
      <c r="R1734">
        <f>IF($G1734="","",IF(Sync!$V1731="","0000",IF(AND(ISNUMBER(Sync!$V1731),Sync!$V1731&gt;=0,Sync!$V1731&lt;1),RIGHT("00"&amp;HOUR(Sync!$V1731),2)&amp;RIGHT("00"&amp;MINUTE(Sync!$V1731),2),IFERROR(RIGHT("00"&amp;VALUE(LEFT(Sync!$V1731,FIND(":",Sync!$V1731)-1)),2)&amp;RIGHT("00"&amp;VALUE(MID(Sync!$V1731,FIND(":",Sync!$V1731)+1,2)),2),"0000"))))</f>
        <v/>
      </c>
    </row>
    <row r="1735">
      <c r="A1735">
        <f>IF(Sync!$U1732="","",Sync!$U1732)</f>
        <v/>
      </c>
      <c r="B1735">
        <f>IF($A1735="","",IF(ISNUMBER($A1735),IF(AND($A1735&gt;=10000101,$A1735&lt;=99991231),INT($A1735/10000),""),IFERROR(VALUE(TRIM(LEFT($A1735,FIND("/",$A1735)-1))),"")))</f>
        <v/>
      </c>
      <c r="C1735">
        <f>IF(OR($A1735="",$B1735=""),"",IF(ISNUMBER($A1735),INT(MOD($A1735,10000)/100),IFERROR(VALUE(TRIM(LEFT(MID($A1735,FIND("/",$A1735)+1,20),FIND("/",MID($A1735,FIND("/",$A1735)+1,20))-1))),"")))</f>
        <v/>
      </c>
      <c r="D1735">
        <f>IF(OR($A1735="",$B1735=""),"",IF(ISNUMBER($A1735),MOD($A1735,100),IFERROR(VALUE(TRIM(MID(MID($A1735,FIND("/",$A1735)+1,20),FIND("/",MID($A1735,FIND("/",$A1735)+1,20))+1,20))),"")))</f>
        <v/>
      </c>
      <c r="E1735">
        <f>IF($A1735="","",IF(OR($B1735="",$C1735="",$D1735="",$B1735&lt;1300,$B1735&gt;1500,$C1735&lt;1,$C1735&gt;12,$D1735&lt;1,$D1735&gt;31),"نامعتبر",RIGHT("0000"&amp;$B1735,4)&amp;"/"&amp;RIGHT("00"&amp;$C1735,2)&amp;"/"&amp;RIGHT("00"&amp;$D1735,2)))</f>
        <v/>
      </c>
      <c r="F1735">
        <f>IF(OR($E1735="",$E1735="نامعتبر"),"",LEFT($E1735,4)&amp;"/"&amp;MID($E1735,6,2))</f>
        <v/>
      </c>
      <c r="G1735">
        <f>IF(OR($E1735="",$E1735="نامعتبر",Sync!$Y1732=""),"",Sync!$Y1732)</f>
        <v/>
      </c>
      <c r="H1735">
        <f>IF($G1735="","",IF(Sync!$X1732="","",Sync!$X1732))</f>
        <v/>
      </c>
      <c r="I1735">
        <f>IF($G1735="","",IFERROR(VLOOKUP(Sync!$X1732,OpTbl,3,0),""))</f>
        <v/>
      </c>
      <c r="J1735">
        <f>IF(OR($G1735="",Sync!$Z1732=""),"",Sync!$Z1732)</f>
        <v/>
      </c>
      <c r="K1735">
        <f>IF(OR($G1735="",Sync!$AA1732=""),"",Sync!$AA1732)</f>
        <v/>
      </c>
      <c r="L1735">
        <f>IF($G1735="",0,IF(Sync!$AB1732="",0,Sync!$AB1732))</f>
        <v/>
      </c>
      <c r="M1735">
        <f>IF($G1735="",0,IF(Sync!$AC1732="",0,Sync!$AC1732))</f>
        <v/>
      </c>
      <c r="N1735">
        <f>IF($G1735="","",IF($H1735="مرجوعی خرید",-1,1)*($L1735-$M1735*IFERROR(VLOOKUP("P01",ParamTbl,3,0),1.5))*(1-IF($I1735="خرید",IFERROR(VLOOKUP("P02",ParamTbl,3,0),1),0)/100))</f>
        <v/>
      </c>
      <c r="O1735">
        <f>IF($G1735="",0,IF($H1735="مرجوعی خرید",-1,1)*IF(Sync!$AD1732="",0,Sync!$AD1732))</f>
        <v/>
      </c>
      <c r="P1735">
        <f>IF(OR($G1735="",Sync!$W1732=""),"",Sync!$W1732)</f>
        <v/>
      </c>
      <c r="Q1735">
        <f>IF(OR($G1735="",Sync!$AE1732=""),"",Sync!$AE1732)</f>
        <v/>
      </c>
      <c r="R1735">
        <f>IF($G1735="","",IF(Sync!$V1732="","0000",IF(AND(ISNUMBER(Sync!$V1732),Sync!$V1732&gt;=0,Sync!$V1732&lt;1),RIGHT("00"&amp;HOUR(Sync!$V1732),2)&amp;RIGHT("00"&amp;MINUTE(Sync!$V1732),2),IFERROR(RIGHT("00"&amp;VALUE(LEFT(Sync!$V1732,FIND(":",Sync!$V1732)-1)),2)&amp;RIGHT("00"&amp;VALUE(MID(Sync!$V1732,FIND(":",Sync!$V1732)+1,2)),2),"0000"))))</f>
        <v/>
      </c>
    </row>
    <row r="1736">
      <c r="A1736">
        <f>IF(Sync!$U1733="","",Sync!$U1733)</f>
        <v/>
      </c>
      <c r="B1736">
        <f>IF($A1736="","",IF(ISNUMBER($A1736),IF(AND($A1736&gt;=10000101,$A1736&lt;=99991231),INT($A1736/10000),""),IFERROR(VALUE(TRIM(LEFT($A1736,FIND("/",$A1736)-1))),"")))</f>
        <v/>
      </c>
      <c r="C1736">
        <f>IF(OR($A1736="",$B1736=""),"",IF(ISNUMBER($A1736),INT(MOD($A1736,10000)/100),IFERROR(VALUE(TRIM(LEFT(MID($A1736,FIND("/",$A1736)+1,20),FIND("/",MID($A1736,FIND("/",$A1736)+1,20))-1))),"")))</f>
        <v/>
      </c>
      <c r="D1736">
        <f>IF(OR($A1736="",$B1736=""),"",IF(ISNUMBER($A1736),MOD($A1736,100),IFERROR(VALUE(TRIM(MID(MID($A1736,FIND("/",$A1736)+1,20),FIND("/",MID($A1736,FIND("/",$A1736)+1,20))+1,20))),"")))</f>
        <v/>
      </c>
      <c r="E1736">
        <f>IF($A1736="","",IF(OR($B1736="",$C1736="",$D1736="",$B1736&lt;1300,$B1736&gt;1500,$C1736&lt;1,$C1736&gt;12,$D1736&lt;1,$D1736&gt;31),"نامعتبر",RIGHT("0000"&amp;$B1736,4)&amp;"/"&amp;RIGHT("00"&amp;$C1736,2)&amp;"/"&amp;RIGHT("00"&amp;$D1736,2)))</f>
        <v/>
      </c>
      <c r="F1736">
        <f>IF(OR($E1736="",$E1736="نامعتبر"),"",LEFT($E1736,4)&amp;"/"&amp;MID($E1736,6,2))</f>
        <v/>
      </c>
      <c r="G1736">
        <f>IF(OR($E1736="",$E1736="نامعتبر",Sync!$Y1733=""),"",Sync!$Y1733)</f>
        <v/>
      </c>
      <c r="H1736">
        <f>IF($G1736="","",IF(Sync!$X1733="","",Sync!$X1733))</f>
        <v/>
      </c>
      <c r="I1736">
        <f>IF($G1736="","",IFERROR(VLOOKUP(Sync!$X1733,OpTbl,3,0),""))</f>
        <v/>
      </c>
      <c r="J1736">
        <f>IF(OR($G1736="",Sync!$Z1733=""),"",Sync!$Z1733)</f>
        <v/>
      </c>
      <c r="K1736">
        <f>IF(OR($G1736="",Sync!$AA1733=""),"",Sync!$AA1733)</f>
        <v/>
      </c>
      <c r="L1736">
        <f>IF($G1736="",0,IF(Sync!$AB1733="",0,Sync!$AB1733))</f>
        <v/>
      </c>
      <c r="M1736">
        <f>IF($G1736="",0,IF(Sync!$AC1733="",0,Sync!$AC1733))</f>
        <v/>
      </c>
      <c r="N1736">
        <f>IF($G1736="","",IF($H1736="مرجوعی خرید",-1,1)*($L1736-$M1736*IFERROR(VLOOKUP("P01",ParamTbl,3,0),1.5))*(1-IF($I1736="خرید",IFERROR(VLOOKUP("P02",ParamTbl,3,0),1),0)/100))</f>
        <v/>
      </c>
      <c r="O1736">
        <f>IF($G1736="",0,IF($H1736="مرجوعی خرید",-1,1)*IF(Sync!$AD1733="",0,Sync!$AD1733))</f>
        <v/>
      </c>
      <c r="P1736">
        <f>IF(OR($G1736="",Sync!$W1733=""),"",Sync!$W1733)</f>
        <v/>
      </c>
      <c r="Q1736">
        <f>IF(OR($G1736="",Sync!$AE1733=""),"",Sync!$AE1733)</f>
        <v/>
      </c>
      <c r="R1736">
        <f>IF($G1736="","",IF(Sync!$V1733="","0000",IF(AND(ISNUMBER(Sync!$V1733),Sync!$V1733&gt;=0,Sync!$V1733&lt;1),RIGHT("00"&amp;HOUR(Sync!$V1733),2)&amp;RIGHT("00"&amp;MINUTE(Sync!$V1733),2),IFERROR(RIGHT("00"&amp;VALUE(LEFT(Sync!$V1733,FIND(":",Sync!$V1733)-1)),2)&amp;RIGHT("00"&amp;VALUE(MID(Sync!$V1733,FIND(":",Sync!$V1733)+1,2)),2),"0000"))))</f>
        <v/>
      </c>
    </row>
    <row r="1737">
      <c r="A1737">
        <f>IF(Sync!$U1734="","",Sync!$U1734)</f>
        <v/>
      </c>
      <c r="B1737">
        <f>IF($A1737="","",IF(ISNUMBER($A1737),IF(AND($A1737&gt;=10000101,$A1737&lt;=99991231),INT($A1737/10000),""),IFERROR(VALUE(TRIM(LEFT($A1737,FIND("/",$A1737)-1))),"")))</f>
        <v/>
      </c>
      <c r="C1737">
        <f>IF(OR($A1737="",$B1737=""),"",IF(ISNUMBER($A1737),INT(MOD($A1737,10000)/100),IFERROR(VALUE(TRIM(LEFT(MID($A1737,FIND("/",$A1737)+1,20),FIND("/",MID($A1737,FIND("/",$A1737)+1,20))-1))),"")))</f>
        <v/>
      </c>
      <c r="D1737">
        <f>IF(OR($A1737="",$B1737=""),"",IF(ISNUMBER($A1737),MOD($A1737,100),IFERROR(VALUE(TRIM(MID(MID($A1737,FIND("/",$A1737)+1,20),FIND("/",MID($A1737,FIND("/",$A1737)+1,20))+1,20))),"")))</f>
        <v/>
      </c>
      <c r="E1737">
        <f>IF($A1737="","",IF(OR($B1737="",$C1737="",$D1737="",$B1737&lt;1300,$B1737&gt;1500,$C1737&lt;1,$C1737&gt;12,$D1737&lt;1,$D1737&gt;31),"نامعتبر",RIGHT("0000"&amp;$B1737,4)&amp;"/"&amp;RIGHT("00"&amp;$C1737,2)&amp;"/"&amp;RIGHT("00"&amp;$D1737,2)))</f>
        <v/>
      </c>
      <c r="F1737">
        <f>IF(OR($E1737="",$E1737="نامعتبر"),"",LEFT($E1737,4)&amp;"/"&amp;MID($E1737,6,2))</f>
        <v/>
      </c>
      <c r="G1737">
        <f>IF(OR($E1737="",$E1737="نامعتبر",Sync!$Y1734=""),"",Sync!$Y1734)</f>
        <v/>
      </c>
      <c r="H1737">
        <f>IF($G1737="","",IF(Sync!$X1734="","",Sync!$X1734))</f>
        <v/>
      </c>
      <c r="I1737">
        <f>IF($G1737="","",IFERROR(VLOOKUP(Sync!$X1734,OpTbl,3,0),""))</f>
        <v/>
      </c>
      <c r="J1737">
        <f>IF(OR($G1737="",Sync!$Z1734=""),"",Sync!$Z1734)</f>
        <v/>
      </c>
      <c r="K1737">
        <f>IF(OR($G1737="",Sync!$AA1734=""),"",Sync!$AA1734)</f>
        <v/>
      </c>
      <c r="L1737">
        <f>IF($G1737="",0,IF(Sync!$AB1734="",0,Sync!$AB1734))</f>
        <v/>
      </c>
      <c r="M1737">
        <f>IF($G1737="",0,IF(Sync!$AC1734="",0,Sync!$AC1734))</f>
        <v/>
      </c>
      <c r="N1737">
        <f>IF($G1737="","",IF($H1737="مرجوعی خرید",-1,1)*($L1737-$M1737*IFERROR(VLOOKUP("P01",ParamTbl,3,0),1.5))*(1-IF($I1737="خرید",IFERROR(VLOOKUP("P02",ParamTbl,3,0),1),0)/100))</f>
        <v/>
      </c>
      <c r="O1737">
        <f>IF($G1737="",0,IF($H1737="مرجوعی خرید",-1,1)*IF(Sync!$AD1734="",0,Sync!$AD1734))</f>
        <v/>
      </c>
      <c r="P1737">
        <f>IF(OR($G1737="",Sync!$W1734=""),"",Sync!$W1734)</f>
        <v/>
      </c>
      <c r="Q1737">
        <f>IF(OR($G1737="",Sync!$AE1734=""),"",Sync!$AE1734)</f>
        <v/>
      </c>
      <c r="R1737">
        <f>IF($G1737="","",IF(Sync!$V1734="","0000",IF(AND(ISNUMBER(Sync!$V1734),Sync!$V1734&gt;=0,Sync!$V1734&lt;1),RIGHT("00"&amp;HOUR(Sync!$V1734),2)&amp;RIGHT("00"&amp;MINUTE(Sync!$V1734),2),IFERROR(RIGHT("00"&amp;VALUE(LEFT(Sync!$V1734,FIND(":",Sync!$V1734)-1)),2)&amp;RIGHT("00"&amp;VALUE(MID(Sync!$V1734,FIND(":",Sync!$V1734)+1,2)),2),"0000"))))</f>
        <v/>
      </c>
    </row>
    <row r="1738">
      <c r="A1738">
        <f>IF(Sync!$U1735="","",Sync!$U1735)</f>
        <v/>
      </c>
      <c r="B1738">
        <f>IF($A1738="","",IF(ISNUMBER($A1738),IF(AND($A1738&gt;=10000101,$A1738&lt;=99991231),INT($A1738/10000),""),IFERROR(VALUE(TRIM(LEFT($A1738,FIND("/",$A1738)-1))),"")))</f>
        <v/>
      </c>
      <c r="C1738">
        <f>IF(OR($A1738="",$B1738=""),"",IF(ISNUMBER($A1738),INT(MOD($A1738,10000)/100),IFERROR(VALUE(TRIM(LEFT(MID($A1738,FIND("/",$A1738)+1,20),FIND("/",MID($A1738,FIND("/",$A1738)+1,20))-1))),"")))</f>
        <v/>
      </c>
      <c r="D1738">
        <f>IF(OR($A1738="",$B1738=""),"",IF(ISNUMBER($A1738),MOD($A1738,100),IFERROR(VALUE(TRIM(MID(MID($A1738,FIND("/",$A1738)+1,20),FIND("/",MID($A1738,FIND("/",$A1738)+1,20))+1,20))),"")))</f>
        <v/>
      </c>
      <c r="E1738">
        <f>IF($A1738="","",IF(OR($B1738="",$C1738="",$D1738="",$B1738&lt;1300,$B1738&gt;1500,$C1738&lt;1,$C1738&gt;12,$D1738&lt;1,$D1738&gt;31),"نامعتبر",RIGHT("0000"&amp;$B1738,4)&amp;"/"&amp;RIGHT("00"&amp;$C1738,2)&amp;"/"&amp;RIGHT("00"&amp;$D1738,2)))</f>
        <v/>
      </c>
      <c r="F1738">
        <f>IF(OR($E1738="",$E1738="نامعتبر"),"",LEFT($E1738,4)&amp;"/"&amp;MID($E1738,6,2))</f>
        <v/>
      </c>
      <c r="G1738">
        <f>IF(OR($E1738="",$E1738="نامعتبر",Sync!$Y1735=""),"",Sync!$Y1735)</f>
        <v/>
      </c>
      <c r="H1738">
        <f>IF($G1738="","",IF(Sync!$X1735="","",Sync!$X1735))</f>
        <v/>
      </c>
      <c r="I1738">
        <f>IF($G1738="","",IFERROR(VLOOKUP(Sync!$X1735,OpTbl,3,0),""))</f>
        <v/>
      </c>
      <c r="J1738">
        <f>IF(OR($G1738="",Sync!$Z1735=""),"",Sync!$Z1735)</f>
        <v/>
      </c>
      <c r="K1738">
        <f>IF(OR($G1738="",Sync!$AA1735=""),"",Sync!$AA1735)</f>
        <v/>
      </c>
      <c r="L1738">
        <f>IF($G1738="",0,IF(Sync!$AB1735="",0,Sync!$AB1735))</f>
        <v/>
      </c>
      <c r="M1738">
        <f>IF($G1738="",0,IF(Sync!$AC1735="",0,Sync!$AC1735))</f>
        <v/>
      </c>
      <c r="N1738">
        <f>IF($G1738="","",IF($H1738="مرجوعی خرید",-1,1)*($L1738-$M1738*IFERROR(VLOOKUP("P01",ParamTbl,3,0),1.5))*(1-IF($I1738="خرید",IFERROR(VLOOKUP("P02",ParamTbl,3,0),1),0)/100))</f>
        <v/>
      </c>
      <c r="O1738">
        <f>IF($G1738="",0,IF($H1738="مرجوعی خرید",-1,1)*IF(Sync!$AD1735="",0,Sync!$AD1735))</f>
        <v/>
      </c>
      <c r="P1738">
        <f>IF(OR($G1738="",Sync!$W1735=""),"",Sync!$W1735)</f>
        <v/>
      </c>
      <c r="Q1738">
        <f>IF(OR($G1738="",Sync!$AE1735=""),"",Sync!$AE1735)</f>
        <v/>
      </c>
      <c r="R1738">
        <f>IF($G1738="","",IF(Sync!$V1735="","0000",IF(AND(ISNUMBER(Sync!$V1735),Sync!$V1735&gt;=0,Sync!$V1735&lt;1),RIGHT("00"&amp;HOUR(Sync!$V1735),2)&amp;RIGHT("00"&amp;MINUTE(Sync!$V1735),2),IFERROR(RIGHT("00"&amp;VALUE(LEFT(Sync!$V1735,FIND(":",Sync!$V1735)-1)),2)&amp;RIGHT("00"&amp;VALUE(MID(Sync!$V1735,FIND(":",Sync!$V1735)+1,2)),2),"0000"))))</f>
        <v/>
      </c>
    </row>
    <row r="1739">
      <c r="A1739">
        <f>IF(Sync!$U1736="","",Sync!$U1736)</f>
        <v/>
      </c>
      <c r="B1739">
        <f>IF($A1739="","",IF(ISNUMBER($A1739),IF(AND($A1739&gt;=10000101,$A1739&lt;=99991231),INT($A1739/10000),""),IFERROR(VALUE(TRIM(LEFT($A1739,FIND("/",$A1739)-1))),"")))</f>
        <v/>
      </c>
      <c r="C1739">
        <f>IF(OR($A1739="",$B1739=""),"",IF(ISNUMBER($A1739),INT(MOD($A1739,10000)/100),IFERROR(VALUE(TRIM(LEFT(MID($A1739,FIND("/",$A1739)+1,20),FIND("/",MID($A1739,FIND("/",$A1739)+1,20))-1))),"")))</f>
        <v/>
      </c>
      <c r="D1739">
        <f>IF(OR($A1739="",$B1739=""),"",IF(ISNUMBER($A1739),MOD($A1739,100),IFERROR(VALUE(TRIM(MID(MID($A1739,FIND("/",$A1739)+1,20),FIND("/",MID($A1739,FIND("/",$A1739)+1,20))+1,20))),"")))</f>
        <v/>
      </c>
      <c r="E1739">
        <f>IF($A1739="","",IF(OR($B1739="",$C1739="",$D1739="",$B1739&lt;1300,$B1739&gt;1500,$C1739&lt;1,$C1739&gt;12,$D1739&lt;1,$D1739&gt;31),"نامعتبر",RIGHT("0000"&amp;$B1739,4)&amp;"/"&amp;RIGHT("00"&amp;$C1739,2)&amp;"/"&amp;RIGHT("00"&amp;$D1739,2)))</f>
        <v/>
      </c>
      <c r="F1739">
        <f>IF(OR($E1739="",$E1739="نامعتبر"),"",LEFT($E1739,4)&amp;"/"&amp;MID($E1739,6,2))</f>
        <v/>
      </c>
      <c r="G1739">
        <f>IF(OR($E1739="",$E1739="نامعتبر",Sync!$Y1736=""),"",Sync!$Y1736)</f>
        <v/>
      </c>
      <c r="H1739">
        <f>IF($G1739="","",IF(Sync!$X1736="","",Sync!$X1736))</f>
        <v/>
      </c>
      <c r="I1739">
        <f>IF($G1739="","",IFERROR(VLOOKUP(Sync!$X1736,OpTbl,3,0),""))</f>
        <v/>
      </c>
      <c r="J1739">
        <f>IF(OR($G1739="",Sync!$Z1736=""),"",Sync!$Z1736)</f>
        <v/>
      </c>
      <c r="K1739">
        <f>IF(OR($G1739="",Sync!$AA1736=""),"",Sync!$AA1736)</f>
        <v/>
      </c>
      <c r="L1739">
        <f>IF($G1739="",0,IF(Sync!$AB1736="",0,Sync!$AB1736))</f>
        <v/>
      </c>
      <c r="M1739">
        <f>IF($G1739="",0,IF(Sync!$AC1736="",0,Sync!$AC1736))</f>
        <v/>
      </c>
      <c r="N1739">
        <f>IF($G1739="","",IF($H1739="مرجوعی خرید",-1,1)*($L1739-$M1739*IFERROR(VLOOKUP("P01",ParamTbl,3,0),1.5))*(1-IF($I1739="خرید",IFERROR(VLOOKUP("P02",ParamTbl,3,0),1),0)/100))</f>
        <v/>
      </c>
      <c r="O1739">
        <f>IF($G1739="",0,IF($H1739="مرجوعی خرید",-1,1)*IF(Sync!$AD1736="",0,Sync!$AD1736))</f>
        <v/>
      </c>
      <c r="P1739">
        <f>IF(OR($G1739="",Sync!$W1736=""),"",Sync!$W1736)</f>
        <v/>
      </c>
      <c r="Q1739">
        <f>IF(OR($G1739="",Sync!$AE1736=""),"",Sync!$AE1736)</f>
        <v/>
      </c>
      <c r="R1739">
        <f>IF($G1739="","",IF(Sync!$V1736="","0000",IF(AND(ISNUMBER(Sync!$V1736),Sync!$V1736&gt;=0,Sync!$V1736&lt;1),RIGHT("00"&amp;HOUR(Sync!$V1736),2)&amp;RIGHT("00"&amp;MINUTE(Sync!$V1736),2),IFERROR(RIGHT("00"&amp;VALUE(LEFT(Sync!$V1736,FIND(":",Sync!$V1736)-1)),2)&amp;RIGHT("00"&amp;VALUE(MID(Sync!$V1736,FIND(":",Sync!$V1736)+1,2)),2),"0000"))))</f>
        <v/>
      </c>
    </row>
    <row r="1740">
      <c r="A1740">
        <f>IF(Sync!$U1737="","",Sync!$U1737)</f>
        <v/>
      </c>
      <c r="B1740">
        <f>IF($A1740="","",IF(ISNUMBER($A1740),IF(AND($A1740&gt;=10000101,$A1740&lt;=99991231),INT($A1740/10000),""),IFERROR(VALUE(TRIM(LEFT($A1740,FIND("/",$A1740)-1))),"")))</f>
        <v/>
      </c>
      <c r="C1740">
        <f>IF(OR($A1740="",$B1740=""),"",IF(ISNUMBER($A1740),INT(MOD($A1740,10000)/100),IFERROR(VALUE(TRIM(LEFT(MID($A1740,FIND("/",$A1740)+1,20),FIND("/",MID($A1740,FIND("/",$A1740)+1,20))-1))),"")))</f>
        <v/>
      </c>
      <c r="D1740">
        <f>IF(OR($A1740="",$B1740=""),"",IF(ISNUMBER($A1740),MOD($A1740,100),IFERROR(VALUE(TRIM(MID(MID($A1740,FIND("/",$A1740)+1,20),FIND("/",MID($A1740,FIND("/",$A1740)+1,20))+1,20))),"")))</f>
        <v/>
      </c>
      <c r="E1740">
        <f>IF($A1740="","",IF(OR($B1740="",$C1740="",$D1740="",$B1740&lt;1300,$B1740&gt;1500,$C1740&lt;1,$C1740&gt;12,$D1740&lt;1,$D1740&gt;31),"نامعتبر",RIGHT("0000"&amp;$B1740,4)&amp;"/"&amp;RIGHT("00"&amp;$C1740,2)&amp;"/"&amp;RIGHT("00"&amp;$D1740,2)))</f>
        <v/>
      </c>
      <c r="F1740">
        <f>IF(OR($E1740="",$E1740="نامعتبر"),"",LEFT($E1740,4)&amp;"/"&amp;MID($E1740,6,2))</f>
        <v/>
      </c>
      <c r="G1740">
        <f>IF(OR($E1740="",$E1740="نامعتبر",Sync!$Y1737=""),"",Sync!$Y1737)</f>
        <v/>
      </c>
      <c r="H1740">
        <f>IF($G1740="","",IF(Sync!$X1737="","",Sync!$X1737))</f>
        <v/>
      </c>
      <c r="I1740">
        <f>IF($G1740="","",IFERROR(VLOOKUP(Sync!$X1737,OpTbl,3,0),""))</f>
        <v/>
      </c>
      <c r="J1740">
        <f>IF(OR($G1740="",Sync!$Z1737=""),"",Sync!$Z1737)</f>
        <v/>
      </c>
      <c r="K1740">
        <f>IF(OR($G1740="",Sync!$AA1737=""),"",Sync!$AA1737)</f>
        <v/>
      </c>
      <c r="L1740">
        <f>IF($G1740="",0,IF(Sync!$AB1737="",0,Sync!$AB1737))</f>
        <v/>
      </c>
      <c r="M1740">
        <f>IF($G1740="",0,IF(Sync!$AC1737="",0,Sync!$AC1737))</f>
        <v/>
      </c>
      <c r="N1740">
        <f>IF($G1740="","",IF($H1740="مرجوعی خرید",-1,1)*($L1740-$M1740*IFERROR(VLOOKUP("P01",ParamTbl,3,0),1.5))*(1-IF($I1740="خرید",IFERROR(VLOOKUP("P02",ParamTbl,3,0),1),0)/100))</f>
        <v/>
      </c>
      <c r="O1740">
        <f>IF($G1740="",0,IF($H1740="مرجوعی خرید",-1,1)*IF(Sync!$AD1737="",0,Sync!$AD1737))</f>
        <v/>
      </c>
      <c r="P1740">
        <f>IF(OR($G1740="",Sync!$W1737=""),"",Sync!$W1737)</f>
        <v/>
      </c>
      <c r="Q1740">
        <f>IF(OR($G1740="",Sync!$AE1737=""),"",Sync!$AE1737)</f>
        <v/>
      </c>
      <c r="R1740">
        <f>IF($G1740="","",IF(Sync!$V1737="","0000",IF(AND(ISNUMBER(Sync!$V1737),Sync!$V1737&gt;=0,Sync!$V1737&lt;1),RIGHT("00"&amp;HOUR(Sync!$V1737),2)&amp;RIGHT("00"&amp;MINUTE(Sync!$V1737),2),IFERROR(RIGHT("00"&amp;VALUE(LEFT(Sync!$V1737,FIND(":",Sync!$V1737)-1)),2)&amp;RIGHT("00"&amp;VALUE(MID(Sync!$V1737,FIND(":",Sync!$V1737)+1,2)),2),"0000"))))</f>
        <v/>
      </c>
    </row>
    <row r="1741">
      <c r="A1741">
        <f>IF(Sync!$U1738="","",Sync!$U1738)</f>
        <v/>
      </c>
      <c r="B1741">
        <f>IF($A1741="","",IF(ISNUMBER($A1741),IF(AND($A1741&gt;=10000101,$A1741&lt;=99991231),INT($A1741/10000),""),IFERROR(VALUE(TRIM(LEFT($A1741,FIND("/",$A1741)-1))),"")))</f>
        <v/>
      </c>
      <c r="C1741">
        <f>IF(OR($A1741="",$B1741=""),"",IF(ISNUMBER($A1741),INT(MOD($A1741,10000)/100),IFERROR(VALUE(TRIM(LEFT(MID($A1741,FIND("/",$A1741)+1,20),FIND("/",MID($A1741,FIND("/",$A1741)+1,20))-1))),"")))</f>
        <v/>
      </c>
      <c r="D1741">
        <f>IF(OR($A1741="",$B1741=""),"",IF(ISNUMBER($A1741),MOD($A1741,100),IFERROR(VALUE(TRIM(MID(MID($A1741,FIND("/",$A1741)+1,20),FIND("/",MID($A1741,FIND("/",$A1741)+1,20))+1,20))),"")))</f>
        <v/>
      </c>
      <c r="E1741">
        <f>IF($A1741="","",IF(OR($B1741="",$C1741="",$D1741="",$B1741&lt;1300,$B1741&gt;1500,$C1741&lt;1,$C1741&gt;12,$D1741&lt;1,$D1741&gt;31),"نامعتبر",RIGHT("0000"&amp;$B1741,4)&amp;"/"&amp;RIGHT("00"&amp;$C1741,2)&amp;"/"&amp;RIGHT("00"&amp;$D1741,2)))</f>
        <v/>
      </c>
      <c r="F1741">
        <f>IF(OR($E1741="",$E1741="نامعتبر"),"",LEFT($E1741,4)&amp;"/"&amp;MID($E1741,6,2))</f>
        <v/>
      </c>
      <c r="G1741">
        <f>IF(OR($E1741="",$E1741="نامعتبر",Sync!$Y1738=""),"",Sync!$Y1738)</f>
        <v/>
      </c>
      <c r="H1741">
        <f>IF($G1741="","",IF(Sync!$X1738="","",Sync!$X1738))</f>
        <v/>
      </c>
      <c r="I1741">
        <f>IF($G1741="","",IFERROR(VLOOKUP(Sync!$X1738,OpTbl,3,0),""))</f>
        <v/>
      </c>
      <c r="J1741">
        <f>IF(OR($G1741="",Sync!$Z1738=""),"",Sync!$Z1738)</f>
        <v/>
      </c>
      <c r="K1741">
        <f>IF(OR($G1741="",Sync!$AA1738=""),"",Sync!$AA1738)</f>
        <v/>
      </c>
      <c r="L1741">
        <f>IF($G1741="",0,IF(Sync!$AB1738="",0,Sync!$AB1738))</f>
        <v/>
      </c>
      <c r="M1741">
        <f>IF($G1741="",0,IF(Sync!$AC1738="",0,Sync!$AC1738))</f>
        <v/>
      </c>
      <c r="N1741">
        <f>IF($G1741="","",IF($H1741="مرجوعی خرید",-1,1)*($L1741-$M1741*IFERROR(VLOOKUP("P01",ParamTbl,3,0),1.5))*(1-IF($I1741="خرید",IFERROR(VLOOKUP("P02",ParamTbl,3,0),1),0)/100))</f>
        <v/>
      </c>
      <c r="O1741">
        <f>IF($G1741="",0,IF($H1741="مرجوعی خرید",-1,1)*IF(Sync!$AD1738="",0,Sync!$AD1738))</f>
        <v/>
      </c>
      <c r="P1741">
        <f>IF(OR($G1741="",Sync!$W1738=""),"",Sync!$W1738)</f>
        <v/>
      </c>
      <c r="Q1741">
        <f>IF(OR($G1741="",Sync!$AE1738=""),"",Sync!$AE1738)</f>
        <v/>
      </c>
      <c r="R1741">
        <f>IF($G1741="","",IF(Sync!$V1738="","0000",IF(AND(ISNUMBER(Sync!$V1738),Sync!$V1738&gt;=0,Sync!$V1738&lt;1),RIGHT("00"&amp;HOUR(Sync!$V1738),2)&amp;RIGHT("00"&amp;MINUTE(Sync!$V1738),2),IFERROR(RIGHT("00"&amp;VALUE(LEFT(Sync!$V1738,FIND(":",Sync!$V1738)-1)),2)&amp;RIGHT("00"&amp;VALUE(MID(Sync!$V1738,FIND(":",Sync!$V1738)+1,2)),2),"0000"))))</f>
        <v/>
      </c>
    </row>
    <row r="1742">
      <c r="A1742">
        <f>IF(Sync!$U1739="","",Sync!$U1739)</f>
        <v/>
      </c>
      <c r="B1742">
        <f>IF($A1742="","",IF(ISNUMBER($A1742),IF(AND($A1742&gt;=10000101,$A1742&lt;=99991231),INT($A1742/10000),""),IFERROR(VALUE(TRIM(LEFT($A1742,FIND("/",$A1742)-1))),"")))</f>
        <v/>
      </c>
      <c r="C1742">
        <f>IF(OR($A1742="",$B1742=""),"",IF(ISNUMBER($A1742),INT(MOD($A1742,10000)/100),IFERROR(VALUE(TRIM(LEFT(MID($A1742,FIND("/",$A1742)+1,20),FIND("/",MID($A1742,FIND("/",$A1742)+1,20))-1))),"")))</f>
        <v/>
      </c>
      <c r="D1742">
        <f>IF(OR($A1742="",$B1742=""),"",IF(ISNUMBER($A1742),MOD($A1742,100),IFERROR(VALUE(TRIM(MID(MID($A1742,FIND("/",$A1742)+1,20),FIND("/",MID($A1742,FIND("/",$A1742)+1,20))+1,20))),"")))</f>
        <v/>
      </c>
      <c r="E1742">
        <f>IF($A1742="","",IF(OR($B1742="",$C1742="",$D1742="",$B1742&lt;1300,$B1742&gt;1500,$C1742&lt;1,$C1742&gt;12,$D1742&lt;1,$D1742&gt;31),"نامعتبر",RIGHT("0000"&amp;$B1742,4)&amp;"/"&amp;RIGHT("00"&amp;$C1742,2)&amp;"/"&amp;RIGHT("00"&amp;$D1742,2)))</f>
        <v/>
      </c>
      <c r="F1742">
        <f>IF(OR($E1742="",$E1742="نامعتبر"),"",LEFT($E1742,4)&amp;"/"&amp;MID($E1742,6,2))</f>
        <v/>
      </c>
      <c r="G1742">
        <f>IF(OR($E1742="",$E1742="نامعتبر",Sync!$Y1739=""),"",Sync!$Y1739)</f>
        <v/>
      </c>
      <c r="H1742">
        <f>IF($G1742="","",IF(Sync!$X1739="","",Sync!$X1739))</f>
        <v/>
      </c>
      <c r="I1742">
        <f>IF($G1742="","",IFERROR(VLOOKUP(Sync!$X1739,OpTbl,3,0),""))</f>
        <v/>
      </c>
      <c r="J1742">
        <f>IF(OR($G1742="",Sync!$Z1739=""),"",Sync!$Z1739)</f>
        <v/>
      </c>
      <c r="K1742">
        <f>IF(OR($G1742="",Sync!$AA1739=""),"",Sync!$AA1739)</f>
        <v/>
      </c>
      <c r="L1742">
        <f>IF($G1742="",0,IF(Sync!$AB1739="",0,Sync!$AB1739))</f>
        <v/>
      </c>
      <c r="M1742">
        <f>IF($G1742="",0,IF(Sync!$AC1739="",0,Sync!$AC1739))</f>
        <v/>
      </c>
      <c r="N1742">
        <f>IF($G1742="","",IF($H1742="مرجوعی خرید",-1,1)*($L1742-$M1742*IFERROR(VLOOKUP("P01",ParamTbl,3,0),1.5))*(1-IF($I1742="خرید",IFERROR(VLOOKUP("P02",ParamTbl,3,0),1),0)/100))</f>
        <v/>
      </c>
      <c r="O1742">
        <f>IF($G1742="",0,IF($H1742="مرجوعی خرید",-1,1)*IF(Sync!$AD1739="",0,Sync!$AD1739))</f>
        <v/>
      </c>
      <c r="P1742">
        <f>IF(OR($G1742="",Sync!$W1739=""),"",Sync!$W1739)</f>
        <v/>
      </c>
      <c r="Q1742">
        <f>IF(OR($G1742="",Sync!$AE1739=""),"",Sync!$AE1739)</f>
        <v/>
      </c>
      <c r="R1742">
        <f>IF($G1742="","",IF(Sync!$V1739="","0000",IF(AND(ISNUMBER(Sync!$V1739),Sync!$V1739&gt;=0,Sync!$V1739&lt;1),RIGHT("00"&amp;HOUR(Sync!$V1739),2)&amp;RIGHT("00"&amp;MINUTE(Sync!$V1739),2),IFERROR(RIGHT("00"&amp;VALUE(LEFT(Sync!$V1739,FIND(":",Sync!$V1739)-1)),2)&amp;RIGHT("00"&amp;VALUE(MID(Sync!$V1739,FIND(":",Sync!$V1739)+1,2)),2),"0000"))))</f>
        <v/>
      </c>
    </row>
    <row r="1743">
      <c r="A1743">
        <f>IF(Sync!$U1740="","",Sync!$U1740)</f>
        <v/>
      </c>
      <c r="B1743">
        <f>IF($A1743="","",IF(ISNUMBER($A1743),IF(AND($A1743&gt;=10000101,$A1743&lt;=99991231),INT($A1743/10000),""),IFERROR(VALUE(TRIM(LEFT($A1743,FIND("/",$A1743)-1))),"")))</f>
        <v/>
      </c>
      <c r="C1743">
        <f>IF(OR($A1743="",$B1743=""),"",IF(ISNUMBER($A1743),INT(MOD($A1743,10000)/100),IFERROR(VALUE(TRIM(LEFT(MID($A1743,FIND("/",$A1743)+1,20),FIND("/",MID($A1743,FIND("/",$A1743)+1,20))-1))),"")))</f>
        <v/>
      </c>
      <c r="D1743">
        <f>IF(OR($A1743="",$B1743=""),"",IF(ISNUMBER($A1743),MOD($A1743,100),IFERROR(VALUE(TRIM(MID(MID($A1743,FIND("/",$A1743)+1,20),FIND("/",MID($A1743,FIND("/",$A1743)+1,20))+1,20))),"")))</f>
        <v/>
      </c>
      <c r="E1743">
        <f>IF($A1743="","",IF(OR($B1743="",$C1743="",$D1743="",$B1743&lt;1300,$B1743&gt;1500,$C1743&lt;1,$C1743&gt;12,$D1743&lt;1,$D1743&gt;31),"نامعتبر",RIGHT("0000"&amp;$B1743,4)&amp;"/"&amp;RIGHT("00"&amp;$C1743,2)&amp;"/"&amp;RIGHT("00"&amp;$D1743,2)))</f>
        <v/>
      </c>
      <c r="F1743">
        <f>IF(OR($E1743="",$E1743="نامعتبر"),"",LEFT($E1743,4)&amp;"/"&amp;MID($E1743,6,2))</f>
        <v/>
      </c>
      <c r="G1743">
        <f>IF(OR($E1743="",$E1743="نامعتبر",Sync!$Y1740=""),"",Sync!$Y1740)</f>
        <v/>
      </c>
      <c r="H1743">
        <f>IF($G1743="","",IF(Sync!$X1740="","",Sync!$X1740))</f>
        <v/>
      </c>
      <c r="I1743">
        <f>IF($G1743="","",IFERROR(VLOOKUP(Sync!$X1740,OpTbl,3,0),""))</f>
        <v/>
      </c>
      <c r="J1743">
        <f>IF(OR($G1743="",Sync!$Z1740=""),"",Sync!$Z1740)</f>
        <v/>
      </c>
      <c r="K1743">
        <f>IF(OR($G1743="",Sync!$AA1740=""),"",Sync!$AA1740)</f>
        <v/>
      </c>
      <c r="L1743">
        <f>IF($G1743="",0,IF(Sync!$AB1740="",0,Sync!$AB1740))</f>
        <v/>
      </c>
      <c r="M1743">
        <f>IF($G1743="",0,IF(Sync!$AC1740="",0,Sync!$AC1740))</f>
        <v/>
      </c>
      <c r="N1743">
        <f>IF($G1743="","",IF($H1743="مرجوعی خرید",-1,1)*($L1743-$M1743*IFERROR(VLOOKUP("P01",ParamTbl,3,0),1.5))*(1-IF($I1743="خرید",IFERROR(VLOOKUP("P02",ParamTbl,3,0),1),0)/100))</f>
        <v/>
      </c>
      <c r="O1743">
        <f>IF($G1743="",0,IF($H1743="مرجوعی خرید",-1,1)*IF(Sync!$AD1740="",0,Sync!$AD1740))</f>
        <v/>
      </c>
      <c r="P1743">
        <f>IF(OR($G1743="",Sync!$W1740=""),"",Sync!$W1740)</f>
        <v/>
      </c>
      <c r="Q1743">
        <f>IF(OR($G1743="",Sync!$AE1740=""),"",Sync!$AE1740)</f>
        <v/>
      </c>
      <c r="R1743">
        <f>IF($G1743="","",IF(Sync!$V1740="","0000",IF(AND(ISNUMBER(Sync!$V1740),Sync!$V1740&gt;=0,Sync!$V1740&lt;1),RIGHT("00"&amp;HOUR(Sync!$V1740),2)&amp;RIGHT("00"&amp;MINUTE(Sync!$V1740),2),IFERROR(RIGHT("00"&amp;VALUE(LEFT(Sync!$V1740,FIND(":",Sync!$V1740)-1)),2)&amp;RIGHT("00"&amp;VALUE(MID(Sync!$V1740,FIND(":",Sync!$V1740)+1,2)),2),"0000"))))</f>
        <v/>
      </c>
    </row>
    <row r="1744">
      <c r="A1744">
        <f>IF(Sync!$U1741="","",Sync!$U1741)</f>
        <v/>
      </c>
      <c r="B1744">
        <f>IF($A1744="","",IF(ISNUMBER($A1744),IF(AND($A1744&gt;=10000101,$A1744&lt;=99991231),INT($A1744/10000),""),IFERROR(VALUE(TRIM(LEFT($A1744,FIND("/",$A1744)-1))),"")))</f>
        <v/>
      </c>
      <c r="C1744">
        <f>IF(OR($A1744="",$B1744=""),"",IF(ISNUMBER($A1744),INT(MOD($A1744,10000)/100),IFERROR(VALUE(TRIM(LEFT(MID($A1744,FIND("/",$A1744)+1,20),FIND("/",MID($A1744,FIND("/",$A1744)+1,20))-1))),"")))</f>
        <v/>
      </c>
      <c r="D1744">
        <f>IF(OR($A1744="",$B1744=""),"",IF(ISNUMBER($A1744),MOD($A1744,100),IFERROR(VALUE(TRIM(MID(MID($A1744,FIND("/",$A1744)+1,20),FIND("/",MID($A1744,FIND("/",$A1744)+1,20))+1,20))),"")))</f>
        <v/>
      </c>
      <c r="E1744">
        <f>IF($A1744="","",IF(OR($B1744="",$C1744="",$D1744="",$B1744&lt;1300,$B1744&gt;1500,$C1744&lt;1,$C1744&gt;12,$D1744&lt;1,$D1744&gt;31),"نامعتبر",RIGHT("0000"&amp;$B1744,4)&amp;"/"&amp;RIGHT("00"&amp;$C1744,2)&amp;"/"&amp;RIGHT("00"&amp;$D1744,2)))</f>
        <v/>
      </c>
      <c r="F1744">
        <f>IF(OR($E1744="",$E1744="نامعتبر"),"",LEFT($E1744,4)&amp;"/"&amp;MID($E1744,6,2))</f>
        <v/>
      </c>
      <c r="G1744">
        <f>IF(OR($E1744="",$E1744="نامعتبر",Sync!$Y1741=""),"",Sync!$Y1741)</f>
        <v/>
      </c>
      <c r="H1744">
        <f>IF($G1744="","",IF(Sync!$X1741="","",Sync!$X1741))</f>
        <v/>
      </c>
      <c r="I1744">
        <f>IF($G1744="","",IFERROR(VLOOKUP(Sync!$X1741,OpTbl,3,0),""))</f>
        <v/>
      </c>
      <c r="J1744">
        <f>IF(OR($G1744="",Sync!$Z1741=""),"",Sync!$Z1741)</f>
        <v/>
      </c>
      <c r="K1744">
        <f>IF(OR($G1744="",Sync!$AA1741=""),"",Sync!$AA1741)</f>
        <v/>
      </c>
      <c r="L1744">
        <f>IF($G1744="",0,IF(Sync!$AB1741="",0,Sync!$AB1741))</f>
        <v/>
      </c>
      <c r="M1744">
        <f>IF($G1744="",0,IF(Sync!$AC1741="",0,Sync!$AC1741))</f>
        <v/>
      </c>
      <c r="N1744">
        <f>IF($G1744="","",IF($H1744="مرجوعی خرید",-1,1)*($L1744-$M1744*IFERROR(VLOOKUP("P01",ParamTbl,3,0),1.5))*(1-IF($I1744="خرید",IFERROR(VLOOKUP("P02",ParamTbl,3,0),1),0)/100))</f>
        <v/>
      </c>
      <c r="O1744">
        <f>IF($G1744="",0,IF($H1744="مرجوعی خرید",-1,1)*IF(Sync!$AD1741="",0,Sync!$AD1741))</f>
        <v/>
      </c>
      <c r="P1744">
        <f>IF(OR($G1744="",Sync!$W1741=""),"",Sync!$W1741)</f>
        <v/>
      </c>
      <c r="Q1744">
        <f>IF(OR($G1744="",Sync!$AE1741=""),"",Sync!$AE1741)</f>
        <v/>
      </c>
      <c r="R1744">
        <f>IF($G1744="","",IF(Sync!$V1741="","0000",IF(AND(ISNUMBER(Sync!$V1741),Sync!$V1741&gt;=0,Sync!$V1741&lt;1),RIGHT("00"&amp;HOUR(Sync!$V1741),2)&amp;RIGHT("00"&amp;MINUTE(Sync!$V1741),2),IFERROR(RIGHT("00"&amp;VALUE(LEFT(Sync!$V1741,FIND(":",Sync!$V1741)-1)),2)&amp;RIGHT("00"&amp;VALUE(MID(Sync!$V1741,FIND(":",Sync!$V1741)+1,2)),2),"0000"))))</f>
        <v/>
      </c>
    </row>
    <row r="1745">
      <c r="A1745">
        <f>IF(Sync!$U1742="","",Sync!$U1742)</f>
        <v/>
      </c>
      <c r="B1745">
        <f>IF($A1745="","",IF(ISNUMBER($A1745),IF(AND($A1745&gt;=10000101,$A1745&lt;=99991231),INT($A1745/10000),""),IFERROR(VALUE(TRIM(LEFT($A1745,FIND("/",$A1745)-1))),"")))</f>
        <v/>
      </c>
      <c r="C1745">
        <f>IF(OR($A1745="",$B1745=""),"",IF(ISNUMBER($A1745),INT(MOD($A1745,10000)/100),IFERROR(VALUE(TRIM(LEFT(MID($A1745,FIND("/",$A1745)+1,20),FIND("/",MID($A1745,FIND("/",$A1745)+1,20))-1))),"")))</f>
        <v/>
      </c>
      <c r="D1745">
        <f>IF(OR($A1745="",$B1745=""),"",IF(ISNUMBER($A1745),MOD($A1745,100),IFERROR(VALUE(TRIM(MID(MID($A1745,FIND("/",$A1745)+1,20),FIND("/",MID($A1745,FIND("/",$A1745)+1,20))+1,20))),"")))</f>
        <v/>
      </c>
      <c r="E1745">
        <f>IF($A1745="","",IF(OR($B1745="",$C1745="",$D1745="",$B1745&lt;1300,$B1745&gt;1500,$C1745&lt;1,$C1745&gt;12,$D1745&lt;1,$D1745&gt;31),"نامعتبر",RIGHT("0000"&amp;$B1745,4)&amp;"/"&amp;RIGHT("00"&amp;$C1745,2)&amp;"/"&amp;RIGHT("00"&amp;$D1745,2)))</f>
        <v/>
      </c>
      <c r="F1745">
        <f>IF(OR($E1745="",$E1745="نامعتبر"),"",LEFT($E1745,4)&amp;"/"&amp;MID($E1745,6,2))</f>
        <v/>
      </c>
      <c r="G1745">
        <f>IF(OR($E1745="",$E1745="نامعتبر",Sync!$Y1742=""),"",Sync!$Y1742)</f>
        <v/>
      </c>
      <c r="H1745">
        <f>IF($G1745="","",IF(Sync!$X1742="","",Sync!$X1742))</f>
        <v/>
      </c>
      <c r="I1745">
        <f>IF($G1745="","",IFERROR(VLOOKUP(Sync!$X1742,OpTbl,3,0),""))</f>
        <v/>
      </c>
      <c r="J1745">
        <f>IF(OR($G1745="",Sync!$Z1742=""),"",Sync!$Z1742)</f>
        <v/>
      </c>
      <c r="K1745">
        <f>IF(OR($G1745="",Sync!$AA1742=""),"",Sync!$AA1742)</f>
        <v/>
      </c>
      <c r="L1745">
        <f>IF($G1745="",0,IF(Sync!$AB1742="",0,Sync!$AB1742))</f>
        <v/>
      </c>
      <c r="M1745">
        <f>IF($G1745="",0,IF(Sync!$AC1742="",0,Sync!$AC1742))</f>
        <v/>
      </c>
      <c r="N1745">
        <f>IF($G1745="","",IF($H1745="مرجوعی خرید",-1,1)*($L1745-$M1745*IFERROR(VLOOKUP("P01",ParamTbl,3,0),1.5))*(1-IF($I1745="خرید",IFERROR(VLOOKUP("P02",ParamTbl,3,0),1),0)/100))</f>
        <v/>
      </c>
      <c r="O1745">
        <f>IF($G1745="",0,IF($H1745="مرجوعی خرید",-1,1)*IF(Sync!$AD1742="",0,Sync!$AD1742))</f>
        <v/>
      </c>
      <c r="P1745">
        <f>IF(OR($G1745="",Sync!$W1742=""),"",Sync!$W1742)</f>
        <v/>
      </c>
      <c r="Q1745">
        <f>IF(OR($G1745="",Sync!$AE1742=""),"",Sync!$AE1742)</f>
        <v/>
      </c>
      <c r="R1745">
        <f>IF($G1745="","",IF(Sync!$V1742="","0000",IF(AND(ISNUMBER(Sync!$V1742),Sync!$V1742&gt;=0,Sync!$V1742&lt;1),RIGHT("00"&amp;HOUR(Sync!$V1742),2)&amp;RIGHT("00"&amp;MINUTE(Sync!$V1742),2),IFERROR(RIGHT("00"&amp;VALUE(LEFT(Sync!$V1742,FIND(":",Sync!$V1742)-1)),2)&amp;RIGHT("00"&amp;VALUE(MID(Sync!$V1742,FIND(":",Sync!$V1742)+1,2)),2),"0000"))))</f>
        <v/>
      </c>
    </row>
    <row r="1746">
      <c r="A1746">
        <f>IF(Sync!$U1743="","",Sync!$U1743)</f>
        <v/>
      </c>
      <c r="B1746">
        <f>IF($A1746="","",IF(ISNUMBER($A1746),IF(AND($A1746&gt;=10000101,$A1746&lt;=99991231),INT($A1746/10000),""),IFERROR(VALUE(TRIM(LEFT($A1746,FIND("/",$A1746)-1))),"")))</f>
        <v/>
      </c>
      <c r="C1746">
        <f>IF(OR($A1746="",$B1746=""),"",IF(ISNUMBER($A1746),INT(MOD($A1746,10000)/100),IFERROR(VALUE(TRIM(LEFT(MID($A1746,FIND("/",$A1746)+1,20),FIND("/",MID($A1746,FIND("/",$A1746)+1,20))-1))),"")))</f>
        <v/>
      </c>
      <c r="D1746">
        <f>IF(OR($A1746="",$B1746=""),"",IF(ISNUMBER($A1746),MOD($A1746,100),IFERROR(VALUE(TRIM(MID(MID($A1746,FIND("/",$A1746)+1,20),FIND("/",MID($A1746,FIND("/",$A1746)+1,20))+1,20))),"")))</f>
        <v/>
      </c>
      <c r="E1746">
        <f>IF($A1746="","",IF(OR($B1746="",$C1746="",$D1746="",$B1746&lt;1300,$B1746&gt;1500,$C1746&lt;1,$C1746&gt;12,$D1746&lt;1,$D1746&gt;31),"نامعتبر",RIGHT("0000"&amp;$B1746,4)&amp;"/"&amp;RIGHT("00"&amp;$C1746,2)&amp;"/"&amp;RIGHT("00"&amp;$D1746,2)))</f>
        <v/>
      </c>
      <c r="F1746">
        <f>IF(OR($E1746="",$E1746="نامعتبر"),"",LEFT($E1746,4)&amp;"/"&amp;MID($E1746,6,2))</f>
        <v/>
      </c>
      <c r="G1746">
        <f>IF(OR($E1746="",$E1746="نامعتبر",Sync!$Y1743=""),"",Sync!$Y1743)</f>
        <v/>
      </c>
      <c r="H1746">
        <f>IF($G1746="","",IF(Sync!$X1743="","",Sync!$X1743))</f>
        <v/>
      </c>
      <c r="I1746">
        <f>IF($G1746="","",IFERROR(VLOOKUP(Sync!$X1743,OpTbl,3,0),""))</f>
        <v/>
      </c>
      <c r="J1746">
        <f>IF(OR($G1746="",Sync!$Z1743=""),"",Sync!$Z1743)</f>
        <v/>
      </c>
      <c r="K1746">
        <f>IF(OR($G1746="",Sync!$AA1743=""),"",Sync!$AA1743)</f>
        <v/>
      </c>
      <c r="L1746">
        <f>IF($G1746="",0,IF(Sync!$AB1743="",0,Sync!$AB1743))</f>
        <v/>
      </c>
      <c r="M1746">
        <f>IF($G1746="",0,IF(Sync!$AC1743="",0,Sync!$AC1743))</f>
        <v/>
      </c>
      <c r="N1746">
        <f>IF($G1746="","",IF($H1746="مرجوعی خرید",-1,1)*($L1746-$M1746*IFERROR(VLOOKUP("P01",ParamTbl,3,0),1.5))*(1-IF($I1746="خرید",IFERROR(VLOOKUP("P02",ParamTbl,3,0),1),0)/100))</f>
        <v/>
      </c>
      <c r="O1746">
        <f>IF($G1746="",0,IF($H1746="مرجوعی خرید",-1,1)*IF(Sync!$AD1743="",0,Sync!$AD1743))</f>
        <v/>
      </c>
      <c r="P1746">
        <f>IF(OR($G1746="",Sync!$W1743=""),"",Sync!$W1743)</f>
        <v/>
      </c>
      <c r="Q1746">
        <f>IF(OR($G1746="",Sync!$AE1743=""),"",Sync!$AE1743)</f>
        <v/>
      </c>
      <c r="R1746">
        <f>IF($G1746="","",IF(Sync!$V1743="","0000",IF(AND(ISNUMBER(Sync!$V1743),Sync!$V1743&gt;=0,Sync!$V1743&lt;1),RIGHT("00"&amp;HOUR(Sync!$V1743),2)&amp;RIGHT("00"&amp;MINUTE(Sync!$V1743),2),IFERROR(RIGHT("00"&amp;VALUE(LEFT(Sync!$V1743,FIND(":",Sync!$V1743)-1)),2)&amp;RIGHT("00"&amp;VALUE(MID(Sync!$V1743,FIND(":",Sync!$V1743)+1,2)),2),"0000"))))</f>
        <v/>
      </c>
    </row>
    <row r="1747">
      <c r="A1747">
        <f>IF(Sync!$U1744="","",Sync!$U1744)</f>
        <v/>
      </c>
      <c r="B1747">
        <f>IF($A1747="","",IF(ISNUMBER($A1747),IF(AND($A1747&gt;=10000101,$A1747&lt;=99991231),INT($A1747/10000),""),IFERROR(VALUE(TRIM(LEFT($A1747,FIND("/",$A1747)-1))),"")))</f>
        <v/>
      </c>
      <c r="C1747">
        <f>IF(OR($A1747="",$B1747=""),"",IF(ISNUMBER($A1747),INT(MOD($A1747,10000)/100),IFERROR(VALUE(TRIM(LEFT(MID($A1747,FIND("/",$A1747)+1,20),FIND("/",MID($A1747,FIND("/",$A1747)+1,20))-1))),"")))</f>
        <v/>
      </c>
      <c r="D1747">
        <f>IF(OR($A1747="",$B1747=""),"",IF(ISNUMBER($A1747),MOD($A1747,100),IFERROR(VALUE(TRIM(MID(MID($A1747,FIND("/",$A1747)+1,20),FIND("/",MID($A1747,FIND("/",$A1747)+1,20))+1,20))),"")))</f>
        <v/>
      </c>
      <c r="E1747">
        <f>IF($A1747="","",IF(OR($B1747="",$C1747="",$D1747="",$B1747&lt;1300,$B1747&gt;1500,$C1747&lt;1,$C1747&gt;12,$D1747&lt;1,$D1747&gt;31),"نامعتبر",RIGHT("0000"&amp;$B1747,4)&amp;"/"&amp;RIGHT("00"&amp;$C1747,2)&amp;"/"&amp;RIGHT("00"&amp;$D1747,2)))</f>
        <v/>
      </c>
      <c r="F1747">
        <f>IF(OR($E1747="",$E1747="نامعتبر"),"",LEFT($E1747,4)&amp;"/"&amp;MID($E1747,6,2))</f>
        <v/>
      </c>
      <c r="G1747">
        <f>IF(OR($E1747="",$E1747="نامعتبر",Sync!$Y1744=""),"",Sync!$Y1744)</f>
        <v/>
      </c>
      <c r="H1747">
        <f>IF($G1747="","",IF(Sync!$X1744="","",Sync!$X1744))</f>
        <v/>
      </c>
      <c r="I1747">
        <f>IF($G1747="","",IFERROR(VLOOKUP(Sync!$X1744,OpTbl,3,0),""))</f>
        <v/>
      </c>
      <c r="J1747">
        <f>IF(OR($G1747="",Sync!$Z1744=""),"",Sync!$Z1744)</f>
        <v/>
      </c>
      <c r="K1747">
        <f>IF(OR($G1747="",Sync!$AA1744=""),"",Sync!$AA1744)</f>
        <v/>
      </c>
      <c r="L1747">
        <f>IF($G1747="",0,IF(Sync!$AB1744="",0,Sync!$AB1744))</f>
        <v/>
      </c>
      <c r="M1747">
        <f>IF($G1747="",0,IF(Sync!$AC1744="",0,Sync!$AC1744))</f>
        <v/>
      </c>
      <c r="N1747">
        <f>IF($G1747="","",IF($H1747="مرجوعی خرید",-1,1)*($L1747-$M1747*IFERROR(VLOOKUP("P01",ParamTbl,3,0),1.5))*(1-IF($I1747="خرید",IFERROR(VLOOKUP("P02",ParamTbl,3,0),1),0)/100))</f>
        <v/>
      </c>
      <c r="O1747">
        <f>IF($G1747="",0,IF($H1747="مرجوعی خرید",-1,1)*IF(Sync!$AD1744="",0,Sync!$AD1744))</f>
        <v/>
      </c>
      <c r="P1747">
        <f>IF(OR($G1747="",Sync!$W1744=""),"",Sync!$W1744)</f>
        <v/>
      </c>
      <c r="Q1747">
        <f>IF(OR($G1747="",Sync!$AE1744=""),"",Sync!$AE1744)</f>
        <v/>
      </c>
      <c r="R1747">
        <f>IF($G1747="","",IF(Sync!$V1744="","0000",IF(AND(ISNUMBER(Sync!$V1744),Sync!$V1744&gt;=0,Sync!$V1744&lt;1),RIGHT("00"&amp;HOUR(Sync!$V1744),2)&amp;RIGHT("00"&amp;MINUTE(Sync!$V1744),2),IFERROR(RIGHT("00"&amp;VALUE(LEFT(Sync!$V1744,FIND(":",Sync!$V1744)-1)),2)&amp;RIGHT("00"&amp;VALUE(MID(Sync!$V1744,FIND(":",Sync!$V1744)+1,2)),2),"0000"))))</f>
        <v/>
      </c>
    </row>
    <row r="1748">
      <c r="A1748">
        <f>IF(Sync!$U1745="","",Sync!$U1745)</f>
        <v/>
      </c>
      <c r="B1748">
        <f>IF($A1748="","",IF(ISNUMBER($A1748),IF(AND($A1748&gt;=10000101,$A1748&lt;=99991231),INT($A1748/10000),""),IFERROR(VALUE(TRIM(LEFT($A1748,FIND("/",$A1748)-1))),"")))</f>
        <v/>
      </c>
      <c r="C1748">
        <f>IF(OR($A1748="",$B1748=""),"",IF(ISNUMBER($A1748),INT(MOD($A1748,10000)/100),IFERROR(VALUE(TRIM(LEFT(MID($A1748,FIND("/",$A1748)+1,20),FIND("/",MID($A1748,FIND("/",$A1748)+1,20))-1))),"")))</f>
        <v/>
      </c>
      <c r="D1748">
        <f>IF(OR($A1748="",$B1748=""),"",IF(ISNUMBER($A1748),MOD($A1748,100),IFERROR(VALUE(TRIM(MID(MID($A1748,FIND("/",$A1748)+1,20),FIND("/",MID($A1748,FIND("/",$A1748)+1,20))+1,20))),"")))</f>
        <v/>
      </c>
      <c r="E1748">
        <f>IF($A1748="","",IF(OR($B1748="",$C1748="",$D1748="",$B1748&lt;1300,$B1748&gt;1500,$C1748&lt;1,$C1748&gt;12,$D1748&lt;1,$D1748&gt;31),"نامعتبر",RIGHT("0000"&amp;$B1748,4)&amp;"/"&amp;RIGHT("00"&amp;$C1748,2)&amp;"/"&amp;RIGHT("00"&amp;$D1748,2)))</f>
        <v/>
      </c>
      <c r="F1748">
        <f>IF(OR($E1748="",$E1748="نامعتبر"),"",LEFT($E1748,4)&amp;"/"&amp;MID($E1748,6,2))</f>
        <v/>
      </c>
      <c r="G1748">
        <f>IF(OR($E1748="",$E1748="نامعتبر",Sync!$Y1745=""),"",Sync!$Y1745)</f>
        <v/>
      </c>
      <c r="H1748">
        <f>IF($G1748="","",IF(Sync!$X1745="","",Sync!$X1745))</f>
        <v/>
      </c>
      <c r="I1748">
        <f>IF($G1748="","",IFERROR(VLOOKUP(Sync!$X1745,OpTbl,3,0),""))</f>
        <v/>
      </c>
      <c r="J1748">
        <f>IF(OR($G1748="",Sync!$Z1745=""),"",Sync!$Z1745)</f>
        <v/>
      </c>
      <c r="K1748">
        <f>IF(OR($G1748="",Sync!$AA1745=""),"",Sync!$AA1745)</f>
        <v/>
      </c>
      <c r="L1748">
        <f>IF($G1748="",0,IF(Sync!$AB1745="",0,Sync!$AB1745))</f>
        <v/>
      </c>
      <c r="M1748">
        <f>IF($G1748="",0,IF(Sync!$AC1745="",0,Sync!$AC1745))</f>
        <v/>
      </c>
      <c r="N1748">
        <f>IF($G1748="","",IF($H1748="مرجوعی خرید",-1,1)*($L1748-$M1748*IFERROR(VLOOKUP("P01",ParamTbl,3,0),1.5))*(1-IF($I1748="خرید",IFERROR(VLOOKUP("P02",ParamTbl,3,0),1),0)/100))</f>
        <v/>
      </c>
      <c r="O1748">
        <f>IF($G1748="",0,IF($H1748="مرجوعی خرید",-1,1)*IF(Sync!$AD1745="",0,Sync!$AD1745))</f>
        <v/>
      </c>
      <c r="P1748">
        <f>IF(OR($G1748="",Sync!$W1745=""),"",Sync!$W1745)</f>
        <v/>
      </c>
      <c r="Q1748">
        <f>IF(OR($G1748="",Sync!$AE1745=""),"",Sync!$AE1745)</f>
        <v/>
      </c>
      <c r="R1748">
        <f>IF($G1748="","",IF(Sync!$V1745="","0000",IF(AND(ISNUMBER(Sync!$V1745),Sync!$V1745&gt;=0,Sync!$V1745&lt;1),RIGHT("00"&amp;HOUR(Sync!$V1745),2)&amp;RIGHT("00"&amp;MINUTE(Sync!$V1745),2),IFERROR(RIGHT("00"&amp;VALUE(LEFT(Sync!$V1745,FIND(":",Sync!$V1745)-1)),2)&amp;RIGHT("00"&amp;VALUE(MID(Sync!$V1745,FIND(":",Sync!$V1745)+1,2)),2),"0000"))))</f>
        <v/>
      </c>
    </row>
    <row r="1749">
      <c r="A1749">
        <f>IF(Sync!$U1746="","",Sync!$U1746)</f>
        <v/>
      </c>
      <c r="B1749">
        <f>IF($A1749="","",IF(ISNUMBER($A1749),IF(AND($A1749&gt;=10000101,$A1749&lt;=99991231),INT($A1749/10000),""),IFERROR(VALUE(TRIM(LEFT($A1749,FIND("/",$A1749)-1))),"")))</f>
        <v/>
      </c>
      <c r="C1749">
        <f>IF(OR($A1749="",$B1749=""),"",IF(ISNUMBER($A1749),INT(MOD($A1749,10000)/100),IFERROR(VALUE(TRIM(LEFT(MID($A1749,FIND("/",$A1749)+1,20),FIND("/",MID($A1749,FIND("/",$A1749)+1,20))-1))),"")))</f>
        <v/>
      </c>
      <c r="D1749">
        <f>IF(OR($A1749="",$B1749=""),"",IF(ISNUMBER($A1749),MOD($A1749,100),IFERROR(VALUE(TRIM(MID(MID($A1749,FIND("/",$A1749)+1,20),FIND("/",MID($A1749,FIND("/",$A1749)+1,20))+1,20))),"")))</f>
        <v/>
      </c>
      <c r="E1749">
        <f>IF($A1749="","",IF(OR($B1749="",$C1749="",$D1749="",$B1749&lt;1300,$B1749&gt;1500,$C1749&lt;1,$C1749&gt;12,$D1749&lt;1,$D1749&gt;31),"نامعتبر",RIGHT("0000"&amp;$B1749,4)&amp;"/"&amp;RIGHT("00"&amp;$C1749,2)&amp;"/"&amp;RIGHT("00"&amp;$D1749,2)))</f>
        <v/>
      </c>
      <c r="F1749">
        <f>IF(OR($E1749="",$E1749="نامعتبر"),"",LEFT($E1749,4)&amp;"/"&amp;MID($E1749,6,2))</f>
        <v/>
      </c>
      <c r="G1749">
        <f>IF(OR($E1749="",$E1749="نامعتبر",Sync!$Y1746=""),"",Sync!$Y1746)</f>
        <v/>
      </c>
      <c r="H1749">
        <f>IF($G1749="","",IF(Sync!$X1746="","",Sync!$X1746))</f>
        <v/>
      </c>
      <c r="I1749">
        <f>IF($G1749="","",IFERROR(VLOOKUP(Sync!$X1746,OpTbl,3,0),""))</f>
        <v/>
      </c>
      <c r="J1749">
        <f>IF(OR($G1749="",Sync!$Z1746=""),"",Sync!$Z1746)</f>
        <v/>
      </c>
      <c r="K1749">
        <f>IF(OR($G1749="",Sync!$AA1746=""),"",Sync!$AA1746)</f>
        <v/>
      </c>
      <c r="L1749">
        <f>IF($G1749="",0,IF(Sync!$AB1746="",0,Sync!$AB1746))</f>
        <v/>
      </c>
      <c r="M1749">
        <f>IF($G1749="",0,IF(Sync!$AC1746="",0,Sync!$AC1746))</f>
        <v/>
      </c>
      <c r="N1749">
        <f>IF($G1749="","",IF($H1749="مرجوعی خرید",-1,1)*($L1749-$M1749*IFERROR(VLOOKUP("P01",ParamTbl,3,0),1.5))*(1-IF($I1749="خرید",IFERROR(VLOOKUP("P02",ParamTbl,3,0),1),0)/100))</f>
        <v/>
      </c>
      <c r="O1749">
        <f>IF($G1749="",0,IF($H1749="مرجوعی خرید",-1,1)*IF(Sync!$AD1746="",0,Sync!$AD1746))</f>
        <v/>
      </c>
      <c r="P1749">
        <f>IF(OR($G1749="",Sync!$W1746=""),"",Sync!$W1746)</f>
        <v/>
      </c>
      <c r="Q1749">
        <f>IF(OR($G1749="",Sync!$AE1746=""),"",Sync!$AE1746)</f>
        <v/>
      </c>
      <c r="R1749">
        <f>IF($G1749="","",IF(Sync!$V1746="","0000",IF(AND(ISNUMBER(Sync!$V1746),Sync!$V1746&gt;=0,Sync!$V1746&lt;1),RIGHT("00"&amp;HOUR(Sync!$V1746),2)&amp;RIGHT("00"&amp;MINUTE(Sync!$V1746),2),IFERROR(RIGHT("00"&amp;VALUE(LEFT(Sync!$V1746,FIND(":",Sync!$V1746)-1)),2)&amp;RIGHT("00"&amp;VALUE(MID(Sync!$V1746,FIND(":",Sync!$V1746)+1,2)),2),"0000"))))</f>
        <v/>
      </c>
    </row>
    <row r="1750">
      <c r="A1750">
        <f>IF(Sync!$U1747="","",Sync!$U1747)</f>
        <v/>
      </c>
      <c r="B1750">
        <f>IF($A1750="","",IF(ISNUMBER($A1750),IF(AND($A1750&gt;=10000101,$A1750&lt;=99991231),INT($A1750/10000),""),IFERROR(VALUE(TRIM(LEFT($A1750,FIND("/",$A1750)-1))),"")))</f>
        <v/>
      </c>
      <c r="C1750">
        <f>IF(OR($A1750="",$B1750=""),"",IF(ISNUMBER($A1750),INT(MOD($A1750,10000)/100),IFERROR(VALUE(TRIM(LEFT(MID($A1750,FIND("/",$A1750)+1,20),FIND("/",MID($A1750,FIND("/",$A1750)+1,20))-1))),"")))</f>
        <v/>
      </c>
      <c r="D1750">
        <f>IF(OR($A1750="",$B1750=""),"",IF(ISNUMBER($A1750),MOD($A1750,100),IFERROR(VALUE(TRIM(MID(MID($A1750,FIND("/",$A1750)+1,20),FIND("/",MID($A1750,FIND("/",$A1750)+1,20))+1,20))),"")))</f>
        <v/>
      </c>
      <c r="E1750">
        <f>IF($A1750="","",IF(OR($B1750="",$C1750="",$D1750="",$B1750&lt;1300,$B1750&gt;1500,$C1750&lt;1,$C1750&gt;12,$D1750&lt;1,$D1750&gt;31),"نامعتبر",RIGHT("0000"&amp;$B1750,4)&amp;"/"&amp;RIGHT("00"&amp;$C1750,2)&amp;"/"&amp;RIGHT("00"&amp;$D1750,2)))</f>
        <v/>
      </c>
      <c r="F1750">
        <f>IF(OR($E1750="",$E1750="نامعتبر"),"",LEFT($E1750,4)&amp;"/"&amp;MID($E1750,6,2))</f>
        <v/>
      </c>
      <c r="G1750">
        <f>IF(OR($E1750="",$E1750="نامعتبر",Sync!$Y1747=""),"",Sync!$Y1747)</f>
        <v/>
      </c>
      <c r="H1750">
        <f>IF($G1750="","",IF(Sync!$X1747="","",Sync!$X1747))</f>
        <v/>
      </c>
      <c r="I1750">
        <f>IF($G1750="","",IFERROR(VLOOKUP(Sync!$X1747,OpTbl,3,0),""))</f>
        <v/>
      </c>
      <c r="J1750">
        <f>IF(OR($G1750="",Sync!$Z1747=""),"",Sync!$Z1747)</f>
        <v/>
      </c>
      <c r="K1750">
        <f>IF(OR($G1750="",Sync!$AA1747=""),"",Sync!$AA1747)</f>
        <v/>
      </c>
      <c r="L1750">
        <f>IF($G1750="",0,IF(Sync!$AB1747="",0,Sync!$AB1747))</f>
        <v/>
      </c>
      <c r="M1750">
        <f>IF($G1750="",0,IF(Sync!$AC1747="",0,Sync!$AC1747))</f>
        <v/>
      </c>
      <c r="N1750">
        <f>IF($G1750="","",IF($H1750="مرجوعی خرید",-1,1)*($L1750-$M1750*IFERROR(VLOOKUP("P01",ParamTbl,3,0),1.5))*(1-IF($I1750="خرید",IFERROR(VLOOKUP("P02",ParamTbl,3,0),1),0)/100))</f>
        <v/>
      </c>
      <c r="O1750">
        <f>IF($G1750="",0,IF($H1750="مرجوعی خرید",-1,1)*IF(Sync!$AD1747="",0,Sync!$AD1747))</f>
        <v/>
      </c>
      <c r="P1750">
        <f>IF(OR($G1750="",Sync!$W1747=""),"",Sync!$W1747)</f>
        <v/>
      </c>
      <c r="Q1750">
        <f>IF(OR($G1750="",Sync!$AE1747=""),"",Sync!$AE1747)</f>
        <v/>
      </c>
      <c r="R1750">
        <f>IF($G1750="","",IF(Sync!$V1747="","0000",IF(AND(ISNUMBER(Sync!$V1747),Sync!$V1747&gt;=0,Sync!$V1747&lt;1),RIGHT("00"&amp;HOUR(Sync!$V1747),2)&amp;RIGHT("00"&amp;MINUTE(Sync!$V1747),2),IFERROR(RIGHT("00"&amp;VALUE(LEFT(Sync!$V1747,FIND(":",Sync!$V1747)-1)),2)&amp;RIGHT("00"&amp;VALUE(MID(Sync!$V1747,FIND(":",Sync!$V1747)+1,2)),2),"0000"))))</f>
        <v/>
      </c>
    </row>
    <row r="1751">
      <c r="A1751">
        <f>IF(Sync!$U1748="","",Sync!$U1748)</f>
        <v/>
      </c>
      <c r="B1751">
        <f>IF($A1751="","",IF(ISNUMBER($A1751),IF(AND($A1751&gt;=10000101,$A1751&lt;=99991231),INT($A1751/10000),""),IFERROR(VALUE(TRIM(LEFT($A1751,FIND("/",$A1751)-1))),"")))</f>
        <v/>
      </c>
      <c r="C1751">
        <f>IF(OR($A1751="",$B1751=""),"",IF(ISNUMBER($A1751),INT(MOD($A1751,10000)/100),IFERROR(VALUE(TRIM(LEFT(MID($A1751,FIND("/",$A1751)+1,20),FIND("/",MID($A1751,FIND("/",$A1751)+1,20))-1))),"")))</f>
        <v/>
      </c>
      <c r="D1751">
        <f>IF(OR($A1751="",$B1751=""),"",IF(ISNUMBER($A1751),MOD($A1751,100),IFERROR(VALUE(TRIM(MID(MID($A1751,FIND("/",$A1751)+1,20),FIND("/",MID($A1751,FIND("/",$A1751)+1,20))+1,20))),"")))</f>
        <v/>
      </c>
      <c r="E1751">
        <f>IF($A1751="","",IF(OR($B1751="",$C1751="",$D1751="",$B1751&lt;1300,$B1751&gt;1500,$C1751&lt;1,$C1751&gt;12,$D1751&lt;1,$D1751&gt;31),"نامعتبر",RIGHT("0000"&amp;$B1751,4)&amp;"/"&amp;RIGHT("00"&amp;$C1751,2)&amp;"/"&amp;RIGHT("00"&amp;$D1751,2)))</f>
        <v/>
      </c>
      <c r="F1751">
        <f>IF(OR($E1751="",$E1751="نامعتبر"),"",LEFT($E1751,4)&amp;"/"&amp;MID($E1751,6,2))</f>
        <v/>
      </c>
      <c r="G1751">
        <f>IF(OR($E1751="",$E1751="نامعتبر",Sync!$Y1748=""),"",Sync!$Y1748)</f>
        <v/>
      </c>
      <c r="H1751">
        <f>IF($G1751="","",IF(Sync!$X1748="","",Sync!$X1748))</f>
        <v/>
      </c>
      <c r="I1751">
        <f>IF($G1751="","",IFERROR(VLOOKUP(Sync!$X1748,OpTbl,3,0),""))</f>
        <v/>
      </c>
      <c r="J1751">
        <f>IF(OR($G1751="",Sync!$Z1748=""),"",Sync!$Z1748)</f>
        <v/>
      </c>
      <c r="K1751">
        <f>IF(OR($G1751="",Sync!$AA1748=""),"",Sync!$AA1748)</f>
        <v/>
      </c>
      <c r="L1751">
        <f>IF($G1751="",0,IF(Sync!$AB1748="",0,Sync!$AB1748))</f>
        <v/>
      </c>
      <c r="M1751">
        <f>IF($G1751="",0,IF(Sync!$AC1748="",0,Sync!$AC1748))</f>
        <v/>
      </c>
      <c r="N1751">
        <f>IF($G1751="","",IF($H1751="مرجوعی خرید",-1,1)*($L1751-$M1751*IFERROR(VLOOKUP("P01",ParamTbl,3,0),1.5))*(1-IF($I1751="خرید",IFERROR(VLOOKUP("P02",ParamTbl,3,0),1),0)/100))</f>
        <v/>
      </c>
      <c r="O1751">
        <f>IF($G1751="",0,IF($H1751="مرجوعی خرید",-1,1)*IF(Sync!$AD1748="",0,Sync!$AD1748))</f>
        <v/>
      </c>
      <c r="P1751">
        <f>IF(OR($G1751="",Sync!$W1748=""),"",Sync!$W1748)</f>
        <v/>
      </c>
      <c r="Q1751">
        <f>IF(OR($G1751="",Sync!$AE1748=""),"",Sync!$AE1748)</f>
        <v/>
      </c>
      <c r="R1751">
        <f>IF($G1751="","",IF(Sync!$V1748="","0000",IF(AND(ISNUMBER(Sync!$V1748),Sync!$V1748&gt;=0,Sync!$V1748&lt;1),RIGHT("00"&amp;HOUR(Sync!$V1748),2)&amp;RIGHT("00"&amp;MINUTE(Sync!$V1748),2),IFERROR(RIGHT("00"&amp;VALUE(LEFT(Sync!$V1748,FIND(":",Sync!$V1748)-1)),2)&amp;RIGHT("00"&amp;VALUE(MID(Sync!$V1748,FIND(":",Sync!$V1748)+1,2)),2),"0000"))))</f>
        <v/>
      </c>
    </row>
    <row r="1752">
      <c r="A1752">
        <f>IF(Sync!$U1749="","",Sync!$U1749)</f>
        <v/>
      </c>
      <c r="B1752">
        <f>IF($A1752="","",IF(ISNUMBER($A1752),IF(AND($A1752&gt;=10000101,$A1752&lt;=99991231),INT($A1752/10000),""),IFERROR(VALUE(TRIM(LEFT($A1752,FIND("/",$A1752)-1))),"")))</f>
        <v/>
      </c>
      <c r="C1752">
        <f>IF(OR($A1752="",$B1752=""),"",IF(ISNUMBER($A1752),INT(MOD($A1752,10000)/100),IFERROR(VALUE(TRIM(LEFT(MID($A1752,FIND("/",$A1752)+1,20),FIND("/",MID($A1752,FIND("/",$A1752)+1,20))-1))),"")))</f>
        <v/>
      </c>
      <c r="D1752">
        <f>IF(OR($A1752="",$B1752=""),"",IF(ISNUMBER($A1752),MOD($A1752,100),IFERROR(VALUE(TRIM(MID(MID($A1752,FIND("/",$A1752)+1,20),FIND("/",MID($A1752,FIND("/",$A1752)+1,20))+1,20))),"")))</f>
        <v/>
      </c>
      <c r="E1752">
        <f>IF($A1752="","",IF(OR($B1752="",$C1752="",$D1752="",$B1752&lt;1300,$B1752&gt;1500,$C1752&lt;1,$C1752&gt;12,$D1752&lt;1,$D1752&gt;31),"نامعتبر",RIGHT("0000"&amp;$B1752,4)&amp;"/"&amp;RIGHT("00"&amp;$C1752,2)&amp;"/"&amp;RIGHT("00"&amp;$D1752,2)))</f>
        <v/>
      </c>
      <c r="F1752">
        <f>IF(OR($E1752="",$E1752="نامعتبر"),"",LEFT($E1752,4)&amp;"/"&amp;MID($E1752,6,2))</f>
        <v/>
      </c>
      <c r="G1752">
        <f>IF(OR($E1752="",$E1752="نامعتبر",Sync!$Y1749=""),"",Sync!$Y1749)</f>
        <v/>
      </c>
      <c r="H1752">
        <f>IF($G1752="","",IF(Sync!$X1749="","",Sync!$X1749))</f>
        <v/>
      </c>
      <c r="I1752">
        <f>IF($G1752="","",IFERROR(VLOOKUP(Sync!$X1749,OpTbl,3,0),""))</f>
        <v/>
      </c>
      <c r="J1752">
        <f>IF(OR($G1752="",Sync!$Z1749=""),"",Sync!$Z1749)</f>
        <v/>
      </c>
      <c r="K1752">
        <f>IF(OR($G1752="",Sync!$AA1749=""),"",Sync!$AA1749)</f>
        <v/>
      </c>
      <c r="L1752">
        <f>IF($G1752="",0,IF(Sync!$AB1749="",0,Sync!$AB1749))</f>
        <v/>
      </c>
      <c r="M1752">
        <f>IF($G1752="",0,IF(Sync!$AC1749="",0,Sync!$AC1749))</f>
        <v/>
      </c>
      <c r="N1752">
        <f>IF($G1752="","",IF($H1752="مرجوعی خرید",-1,1)*($L1752-$M1752*IFERROR(VLOOKUP("P01",ParamTbl,3,0),1.5))*(1-IF($I1752="خرید",IFERROR(VLOOKUP("P02",ParamTbl,3,0),1),0)/100))</f>
        <v/>
      </c>
      <c r="O1752">
        <f>IF($G1752="",0,IF($H1752="مرجوعی خرید",-1,1)*IF(Sync!$AD1749="",0,Sync!$AD1749))</f>
        <v/>
      </c>
      <c r="P1752">
        <f>IF(OR($G1752="",Sync!$W1749=""),"",Sync!$W1749)</f>
        <v/>
      </c>
      <c r="Q1752">
        <f>IF(OR($G1752="",Sync!$AE1749=""),"",Sync!$AE1749)</f>
        <v/>
      </c>
      <c r="R1752">
        <f>IF($G1752="","",IF(Sync!$V1749="","0000",IF(AND(ISNUMBER(Sync!$V1749),Sync!$V1749&gt;=0,Sync!$V1749&lt;1),RIGHT("00"&amp;HOUR(Sync!$V1749),2)&amp;RIGHT("00"&amp;MINUTE(Sync!$V1749),2),IFERROR(RIGHT("00"&amp;VALUE(LEFT(Sync!$V1749,FIND(":",Sync!$V1749)-1)),2)&amp;RIGHT("00"&amp;VALUE(MID(Sync!$V1749,FIND(":",Sync!$V1749)+1,2)),2),"0000"))))</f>
        <v/>
      </c>
    </row>
    <row r="1753">
      <c r="A1753">
        <f>IF(Sync!$U1750="","",Sync!$U1750)</f>
        <v/>
      </c>
      <c r="B1753">
        <f>IF($A1753="","",IF(ISNUMBER($A1753),IF(AND($A1753&gt;=10000101,$A1753&lt;=99991231),INT($A1753/10000),""),IFERROR(VALUE(TRIM(LEFT($A1753,FIND("/",$A1753)-1))),"")))</f>
        <v/>
      </c>
      <c r="C1753">
        <f>IF(OR($A1753="",$B1753=""),"",IF(ISNUMBER($A1753),INT(MOD($A1753,10000)/100),IFERROR(VALUE(TRIM(LEFT(MID($A1753,FIND("/",$A1753)+1,20),FIND("/",MID($A1753,FIND("/",$A1753)+1,20))-1))),"")))</f>
        <v/>
      </c>
      <c r="D1753">
        <f>IF(OR($A1753="",$B1753=""),"",IF(ISNUMBER($A1753),MOD($A1753,100),IFERROR(VALUE(TRIM(MID(MID($A1753,FIND("/",$A1753)+1,20),FIND("/",MID($A1753,FIND("/",$A1753)+1,20))+1,20))),"")))</f>
        <v/>
      </c>
      <c r="E1753">
        <f>IF($A1753="","",IF(OR($B1753="",$C1753="",$D1753="",$B1753&lt;1300,$B1753&gt;1500,$C1753&lt;1,$C1753&gt;12,$D1753&lt;1,$D1753&gt;31),"نامعتبر",RIGHT("0000"&amp;$B1753,4)&amp;"/"&amp;RIGHT("00"&amp;$C1753,2)&amp;"/"&amp;RIGHT("00"&amp;$D1753,2)))</f>
        <v/>
      </c>
      <c r="F1753">
        <f>IF(OR($E1753="",$E1753="نامعتبر"),"",LEFT($E1753,4)&amp;"/"&amp;MID($E1753,6,2))</f>
        <v/>
      </c>
      <c r="G1753">
        <f>IF(OR($E1753="",$E1753="نامعتبر",Sync!$Y1750=""),"",Sync!$Y1750)</f>
        <v/>
      </c>
      <c r="H1753">
        <f>IF($G1753="","",IF(Sync!$X1750="","",Sync!$X1750))</f>
        <v/>
      </c>
      <c r="I1753">
        <f>IF($G1753="","",IFERROR(VLOOKUP(Sync!$X1750,OpTbl,3,0),""))</f>
        <v/>
      </c>
      <c r="J1753">
        <f>IF(OR($G1753="",Sync!$Z1750=""),"",Sync!$Z1750)</f>
        <v/>
      </c>
      <c r="K1753">
        <f>IF(OR($G1753="",Sync!$AA1750=""),"",Sync!$AA1750)</f>
        <v/>
      </c>
      <c r="L1753">
        <f>IF($G1753="",0,IF(Sync!$AB1750="",0,Sync!$AB1750))</f>
        <v/>
      </c>
      <c r="M1753">
        <f>IF($G1753="",0,IF(Sync!$AC1750="",0,Sync!$AC1750))</f>
        <v/>
      </c>
      <c r="N1753">
        <f>IF($G1753="","",IF($H1753="مرجوعی خرید",-1,1)*($L1753-$M1753*IFERROR(VLOOKUP("P01",ParamTbl,3,0),1.5))*(1-IF($I1753="خرید",IFERROR(VLOOKUP("P02",ParamTbl,3,0),1),0)/100))</f>
        <v/>
      </c>
      <c r="O1753">
        <f>IF($G1753="",0,IF($H1753="مرجوعی خرید",-1,1)*IF(Sync!$AD1750="",0,Sync!$AD1750))</f>
        <v/>
      </c>
      <c r="P1753">
        <f>IF(OR($G1753="",Sync!$W1750=""),"",Sync!$W1750)</f>
        <v/>
      </c>
      <c r="Q1753">
        <f>IF(OR($G1753="",Sync!$AE1750=""),"",Sync!$AE1750)</f>
        <v/>
      </c>
      <c r="R1753">
        <f>IF($G1753="","",IF(Sync!$V1750="","0000",IF(AND(ISNUMBER(Sync!$V1750),Sync!$V1750&gt;=0,Sync!$V1750&lt;1),RIGHT("00"&amp;HOUR(Sync!$V1750),2)&amp;RIGHT("00"&amp;MINUTE(Sync!$V1750),2),IFERROR(RIGHT("00"&amp;VALUE(LEFT(Sync!$V1750,FIND(":",Sync!$V1750)-1)),2)&amp;RIGHT("00"&amp;VALUE(MID(Sync!$V1750,FIND(":",Sync!$V1750)+1,2)),2),"0000"))))</f>
        <v/>
      </c>
    </row>
    <row r="1754">
      <c r="A1754">
        <f>IF(Sync!$U1751="","",Sync!$U1751)</f>
        <v/>
      </c>
      <c r="B1754">
        <f>IF($A1754="","",IF(ISNUMBER($A1754),IF(AND($A1754&gt;=10000101,$A1754&lt;=99991231),INT($A1754/10000),""),IFERROR(VALUE(TRIM(LEFT($A1754,FIND("/",$A1754)-1))),"")))</f>
        <v/>
      </c>
      <c r="C1754">
        <f>IF(OR($A1754="",$B1754=""),"",IF(ISNUMBER($A1754),INT(MOD($A1754,10000)/100),IFERROR(VALUE(TRIM(LEFT(MID($A1754,FIND("/",$A1754)+1,20),FIND("/",MID($A1754,FIND("/",$A1754)+1,20))-1))),"")))</f>
        <v/>
      </c>
      <c r="D1754">
        <f>IF(OR($A1754="",$B1754=""),"",IF(ISNUMBER($A1754),MOD($A1754,100),IFERROR(VALUE(TRIM(MID(MID($A1754,FIND("/",$A1754)+1,20),FIND("/",MID($A1754,FIND("/",$A1754)+1,20))+1,20))),"")))</f>
        <v/>
      </c>
      <c r="E1754">
        <f>IF($A1754="","",IF(OR($B1754="",$C1754="",$D1754="",$B1754&lt;1300,$B1754&gt;1500,$C1754&lt;1,$C1754&gt;12,$D1754&lt;1,$D1754&gt;31),"نامعتبر",RIGHT("0000"&amp;$B1754,4)&amp;"/"&amp;RIGHT("00"&amp;$C1754,2)&amp;"/"&amp;RIGHT("00"&amp;$D1754,2)))</f>
        <v/>
      </c>
      <c r="F1754">
        <f>IF(OR($E1754="",$E1754="نامعتبر"),"",LEFT($E1754,4)&amp;"/"&amp;MID($E1754,6,2))</f>
        <v/>
      </c>
      <c r="G1754">
        <f>IF(OR($E1754="",$E1754="نامعتبر",Sync!$Y1751=""),"",Sync!$Y1751)</f>
        <v/>
      </c>
      <c r="H1754">
        <f>IF($G1754="","",IF(Sync!$X1751="","",Sync!$X1751))</f>
        <v/>
      </c>
      <c r="I1754">
        <f>IF($G1754="","",IFERROR(VLOOKUP(Sync!$X1751,OpTbl,3,0),""))</f>
        <v/>
      </c>
      <c r="J1754">
        <f>IF(OR($G1754="",Sync!$Z1751=""),"",Sync!$Z1751)</f>
        <v/>
      </c>
      <c r="K1754">
        <f>IF(OR($G1754="",Sync!$AA1751=""),"",Sync!$AA1751)</f>
        <v/>
      </c>
      <c r="L1754">
        <f>IF($G1754="",0,IF(Sync!$AB1751="",0,Sync!$AB1751))</f>
        <v/>
      </c>
      <c r="M1754">
        <f>IF($G1754="",0,IF(Sync!$AC1751="",0,Sync!$AC1751))</f>
        <v/>
      </c>
      <c r="N1754">
        <f>IF($G1754="","",IF($H1754="مرجوعی خرید",-1,1)*($L1754-$M1754*IFERROR(VLOOKUP("P01",ParamTbl,3,0),1.5))*(1-IF($I1754="خرید",IFERROR(VLOOKUP("P02",ParamTbl,3,0),1),0)/100))</f>
        <v/>
      </c>
      <c r="O1754">
        <f>IF($G1754="",0,IF($H1754="مرجوعی خرید",-1,1)*IF(Sync!$AD1751="",0,Sync!$AD1751))</f>
        <v/>
      </c>
      <c r="P1754">
        <f>IF(OR($G1754="",Sync!$W1751=""),"",Sync!$W1751)</f>
        <v/>
      </c>
      <c r="Q1754">
        <f>IF(OR($G1754="",Sync!$AE1751=""),"",Sync!$AE1751)</f>
        <v/>
      </c>
      <c r="R1754">
        <f>IF($G1754="","",IF(Sync!$V1751="","0000",IF(AND(ISNUMBER(Sync!$V1751),Sync!$V1751&gt;=0,Sync!$V1751&lt;1),RIGHT("00"&amp;HOUR(Sync!$V1751),2)&amp;RIGHT("00"&amp;MINUTE(Sync!$V1751),2),IFERROR(RIGHT("00"&amp;VALUE(LEFT(Sync!$V1751,FIND(":",Sync!$V1751)-1)),2)&amp;RIGHT("00"&amp;VALUE(MID(Sync!$V1751,FIND(":",Sync!$V1751)+1,2)),2),"0000"))))</f>
        <v/>
      </c>
    </row>
    <row r="1755">
      <c r="A1755">
        <f>IF(Sync!$U1752="","",Sync!$U1752)</f>
        <v/>
      </c>
      <c r="B1755">
        <f>IF($A1755="","",IF(ISNUMBER($A1755),IF(AND($A1755&gt;=10000101,$A1755&lt;=99991231),INT($A1755/10000),""),IFERROR(VALUE(TRIM(LEFT($A1755,FIND("/",$A1755)-1))),"")))</f>
        <v/>
      </c>
      <c r="C1755">
        <f>IF(OR($A1755="",$B1755=""),"",IF(ISNUMBER($A1755),INT(MOD($A1755,10000)/100),IFERROR(VALUE(TRIM(LEFT(MID($A1755,FIND("/",$A1755)+1,20),FIND("/",MID($A1755,FIND("/",$A1755)+1,20))-1))),"")))</f>
        <v/>
      </c>
      <c r="D1755">
        <f>IF(OR($A1755="",$B1755=""),"",IF(ISNUMBER($A1755),MOD($A1755,100),IFERROR(VALUE(TRIM(MID(MID($A1755,FIND("/",$A1755)+1,20),FIND("/",MID($A1755,FIND("/",$A1755)+1,20))+1,20))),"")))</f>
        <v/>
      </c>
      <c r="E1755">
        <f>IF($A1755="","",IF(OR($B1755="",$C1755="",$D1755="",$B1755&lt;1300,$B1755&gt;1500,$C1755&lt;1,$C1755&gt;12,$D1755&lt;1,$D1755&gt;31),"نامعتبر",RIGHT("0000"&amp;$B1755,4)&amp;"/"&amp;RIGHT("00"&amp;$C1755,2)&amp;"/"&amp;RIGHT("00"&amp;$D1755,2)))</f>
        <v/>
      </c>
      <c r="F1755">
        <f>IF(OR($E1755="",$E1755="نامعتبر"),"",LEFT($E1755,4)&amp;"/"&amp;MID($E1755,6,2))</f>
        <v/>
      </c>
      <c r="G1755">
        <f>IF(OR($E1755="",$E1755="نامعتبر",Sync!$Y1752=""),"",Sync!$Y1752)</f>
        <v/>
      </c>
      <c r="H1755">
        <f>IF($G1755="","",IF(Sync!$X1752="","",Sync!$X1752))</f>
        <v/>
      </c>
      <c r="I1755">
        <f>IF($G1755="","",IFERROR(VLOOKUP(Sync!$X1752,OpTbl,3,0),""))</f>
        <v/>
      </c>
      <c r="J1755">
        <f>IF(OR($G1755="",Sync!$Z1752=""),"",Sync!$Z1752)</f>
        <v/>
      </c>
      <c r="K1755">
        <f>IF(OR($G1755="",Sync!$AA1752=""),"",Sync!$AA1752)</f>
        <v/>
      </c>
      <c r="L1755">
        <f>IF($G1755="",0,IF(Sync!$AB1752="",0,Sync!$AB1752))</f>
        <v/>
      </c>
      <c r="M1755">
        <f>IF($G1755="",0,IF(Sync!$AC1752="",0,Sync!$AC1752))</f>
        <v/>
      </c>
      <c r="N1755">
        <f>IF($G1755="","",IF($H1755="مرجوعی خرید",-1,1)*($L1755-$M1755*IFERROR(VLOOKUP("P01",ParamTbl,3,0),1.5))*(1-IF($I1755="خرید",IFERROR(VLOOKUP("P02",ParamTbl,3,0),1),0)/100))</f>
        <v/>
      </c>
      <c r="O1755">
        <f>IF($G1755="",0,IF($H1755="مرجوعی خرید",-1,1)*IF(Sync!$AD1752="",0,Sync!$AD1752))</f>
        <v/>
      </c>
      <c r="P1755">
        <f>IF(OR($G1755="",Sync!$W1752=""),"",Sync!$W1752)</f>
        <v/>
      </c>
      <c r="Q1755">
        <f>IF(OR($G1755="",Sync!$AE1752=""),"",Sync!$AE1752)</f>
        <v/>
      </c>
      <c r="R1755">
        <f>IF($G1755="","",IF(Sync!$V1752="","0000",IF(AND(ISNUMBER(Sync!$V1752),Sync!$V1752&gt;=0,Sync!$V1752&lt;1),RIGHT("00"&amp;HOUR(Sync!$V1752),2)&amp;RIGHT("00"&amp;MINUTE(Sync!$V1752),2),IFERROR(RIGHT("00"&amp;VALUE(LEFT(Sync!$V1752,FIND(":",Sync!$V1752)-1)),2)&amp;RIGHT("00"&amp;VALUE(MID(Sync!$V1752,FIND(":",Sync!$V1752)+1,2)),2),"0000"))))</f>
        <v/>
      </c>
    </row>
    <row r="1756">
      <c r="A1756">
        <f>IF(Sync!$U1753="","",Sync!$U1753)</f>
        <v/>
      </c>
      <c r="B1756">
        <f>IF($A1756="","",IF(ISNUMBER($A1756),IF(AND($A1756&gt;=10000101,$A1756&lt;=99991231),INT($A1756/10000),""),IFERROR(VALUE(TRIM(LEFT($A1756,FIND("/",$A1756)-1))),"")))</f>
        <v/>
      </c>
      <c r="C1756">
        <f>IF(OR($A1756="",$B1756=""),"",IF(ISNUMBER($A1756),INT(MOD($A1756,10000)/100),IFERROR(VALUE(TRIM(LEFT(MID($A1756,FIND("/",$A1756)+1,20),FIND("/",MID($A1756,FIND("/",$A1756)+1,20))-1))),"")))</f>
        <v/>
      </c>
      <c r="D1756">
        <f>IF(OR($A1756="",$B1756=""),"",IF(ISNUMBER($A1756),MOD($A1756,100),IFERROR(VALUE(TRIM(MID(MID($A1756,FIND("/",$A1756)+1,20),FIND("/",MID($A1756,FIND("/",$A1756)+1,20))+1,20))),"")))</f>
        <v/>
      </c>
      <c r="E1756">
        <f>IF($A1756="","",IF(OR($B1756="",$C1756="",$D1756="",$B1756&lt;1300,$B1756&gt;1500,$C1756&lt;1,$C1756&gt;12,$D1756&lt;1,$D1756&gt;31),"نامعتبر",RIGHT("0000"&amp;$B1756,4)&amp;"/"&amp;RIGHT("00"&amp;$C1756,2)&amp;"/"&amp;RIGHT("00"&amp;$D1756,2)))</f>
        <v/>
      </c>
      <c r="F1756">
        <f>IF(OR($E1756="",$E1756="نامعتبر"),"",LEFT($E1756,4)&amp;"/"&amp;MID($E1756,6,2))</f>
        <v/>
      </c>
      <c r="G1756">
        <f>IF(OR($E1756="",$E1756="نامعتبر",Sync!$Y1753=""),"",Sync!$Y1753)</f>
        <v/>
      </c>
      <c r="H1756">
        <f>IF($G1756="","",IF(Sync!$X1753="","",Sync!$X1753))</f>
        <v/>
      </c>
      <c r="I1756">
        <f>IF($G1756="","",IFERROR(VLOOKUP(Sync!$X1753,OpTbl,3,0),""))</f>
        <v/>
      </c>
      <c r="J1756">
        <f>IF(OR($G1756="",Sync!$Z1753=""),"",Sync!$Z1753)</f>
        <v/>
      </c>
      <c r="K1756">
        <f>IF(OR($G1756="",Sync!$AA1753=""),"",Sync!$AA1753)</f>
        <v/>
      </c>
      <c r="L1756">
        <f>IF($G1756="",0,IF(Sync!$AB1753="",0,Sync!$AB1753))</f>
        <v/>
      </c>
      <c r="M1756">
        <f>IF($G1756="",0,IF(Sync!$AC1753="",0,Sync!$AC1753))</f>
        <v/>
      </c>
      <c r="N1756">
        <f>IF($G1756="","",IF($H1756="مرجوعی خرید",-1,1)*($L1756-$M1756*IFERROR(VLOOKUP("P01",ParamTbl,3,0),1.5))*(1-IF($I1756="خرید",IFERROR(VLOOKUP("P02",ParamTbl,3,0),1),0)/100))</f>
        <v/>
      </c>
      <c r="O1756">
        <f>IF($G1756="",0,IF($H1756="مرجوعی خرید",-1,1)*IF(Sync!$AD1753="",0,Sync!$AD1753))</f>
        <v/>
      </c>
      <c r="P1756">
        <f>IF(OR($G1756="",Sync!$W1753=""),"",Sync!$W1753)</f>
        <v/>
      </c>
      <c r="Q1756">
        <f>IF(OR($G1756="",Sync!$AE1753=""),"",Sync!$AE1753)</f>
        <v/>
      </c>
      <c r="R1756">
        <f>IF($G1756="","",IF(Sync!$V1753="","0000",IF(AND(ISNUMBER(Sync!$V1753),Sync!$V1753&gt;=0,Sync!$V1753&lt;1),RIGHT("00"&amp;HOUR(Sync!$V1753),2)&amp;RIGHT("00"&amp;MINUTE(Sync!$V1753),2),IFERROR(RIGHT("00"&amp;VALUE(LEFT(Sync!$V1753,FIND(":",Sync!$V1753)-1)),2)&amp;RIGHT("00"&amp;VALUE(MID(Sync!$V1753,FIND(":",Sync!$V1753)+1,2)),2),"0000"))))</f>
        <v/>
      </c>
    </row>
    <row r="1757">
      <c r="A1757">
        <f>IF(Sync!$U1754="","",Sync!$U1754)</f>
        <v/>
      </c>
      <c r="B1757">
        <f>IF($A1757="","",IF(ISNUMBER($A1757),IF(AND($A1757&gt;=10000101,$A1757&lt;=99991231),INT($A1757/10000),""),IFERROR(VALUE(TRIM(LEFT($A1757,FIND("/",$A1757)-1))),"")))</f>
        <v/>
      </c>
      <c r="C1757">
        <f>IF(OR($A1757="",$B1757=""),"",IF(ISNUMBER($A1757),INT(MOD($A1757,10000)/100),IFERROR(VALUE(TRIM(LEFT(MID($A1757,FIND("/",$A1757)+1,20),FIND("/",MID($A1757,FIND("/",$A1757)+1,20))-1))),"")))</f>
        <v/>
      </c>
      <c r="D1757">
        <f>IF(OR($A1757="",$B1757=""),"",IF(ISNUMBER($A1757),MOD($A1757,100),IFERROR(VALUE(TRIM(MID(MID($A1757,FIND("/",$A1757)+1,20),FIND("/",MID($A1757,FIND("/",$A1757)+1,20))+1,20))),"")))</f>
        <v/>
      </c>
      <c r="E1757">
        <f>IF($A1757="","",IF(OR($B1757="",$C1757="",$D1757="",$B1757&lt;1300,$B1757&gt;1500,$C1757&lt;1,$C1757&gt;12,$D1757&lt;1,$D1757&gt;31),"نامعتبر",RIGHT("0000"&amp;$B1757,4)&amp;"/"&amp;RIGHT("00"&amp;$C1757,2)&amp;"/"&amp;RIGHT("00"&amp;$D1757,2)))</f>
        <v/>
      </c>
      <c r="F1757">
        <f>IF(OR($E1757="",$E1757="نامعتبر"),"",LEFT($E1757,4)&amp;"/"&amp;MID($E1757,6,2))</f>
        <v/>
      </c>
      <c r="G1757">
        <f>IF(OR($E1757="",$E1757="نامعتبر",Sync!$Y1754=""),"",Sync!$Y1754)</f>
        <v/>
      </c>
      <c r="H1757">
        <f>IF($G1757="","",IF(Sync!$X1754="","",Sync!$X1754))</f>
        <v/>
      </c>
      <c r="I1757">
        <f>IF($G1757="","",IFERROR(VLOOKUP(Sync!$X1754,OpTbl,3,0),""))</f>
        <v/>
      </c>
      <c r="J1757">
        <f>IF(OR($G1757="",Sync!$Z1754=""),"",Sync!$Z1754)</f>
        <v/>
      </c>
      <c r="K1757">
        <f>IF(OR($G1757="",Sync!$AA1754=""),"",Sync!$AA1754)</f>
        <v/>
      </c>
      <c r="L1757">
        <f>IF($G1757="",0,IF(Sync!$AB1754="",0,Sync!$AB1754))</f>
        <v/>
      </c>
      <c r="M1757">
        <f>IF($G1757="",0,IF(Sync!$AC1754="",0,Sync!$AC1754))</f>
        <v/>
      </c>
      <c r="N1757">
        <f>IF($G1757="","",IF($H1757="مرجوعی خرید",-1,1)*($L1757-$M1757*IFERROR(VLOOKUP("P01",ParamTbl,3,0),1.5))*(1-IF($I1757="خرید",IFERROR(VLOOKUP("P02",ParamTbl,3,0),1),0)/100))</f>
        <v/>
      </c>
      <c r="O1757">
        <f>IF($G1757="",0,IF($H1757="مرجوعی خرید",-1,1)*IF(Sync!$AD1754="",0,Sync!$AD1754))</f>
        <v/>
      </c>
      <c r="P1757">
        <f>IF(OR($G1757="",Sync!$W1754=""),"",Sync!$W1754)</f>
        <v/>
      </c>
      <c r="Q1757">
        <f>IF(OR($G1757="",Sync!$AE1754=""),"",Sync!$AE1754)</f>
        <v/>
      </c>
      <c r="R1757">
        <f>IF($G1757="","",IF(Sync!$V1754="","0000",IF(AND(ISNUMBER(Sync!$V1754),Sync!$V1754&gt;=0,Sync!$V1754&lt;1),RIGHT("00"&amp;HOUR(Sync!$V1754),2)&amp;RIGHT("00"&amp;MINUTE(Sync!$V1754),2),IFERROR(RIGHT("00"&amp;VALUE(LEFT(Sync!$V1754,FIND(":",Sync!$V1754)-1)),2)&amp;RIGHT("00"&amp;VALUE(MID(Sync!$V1754,FIND(":",Sync!$V1754)+1,2)),2),"0000"))))</f>
        <v/>
      </c>
    </row>
    <row r="1758">
      <c r="A1758">
        <f>IF(Sync!$U1755="","",Sync!$U1755)</f>
        <v/>
      </c>
      <c r="B1758">
        <f>IF($A1758="","",IF(ISNUMBER($A1758),IF(AND($A1758&gt;=10000101,$A1758&lt;=99991231),INT($A1758/10000),""),IFERROR(VALUE(TRIM(LEFT($A1758,FIND("/",$A1758)-1))),"")))</f>
        <v/>
      </c>
      <c r="C1758">
        <f>IF(OR($A1758="",$B1758=""),"",IF(ISNUMBER($A1758),INT(MOD($A1758,10000)/100),IFERROR(VALUE(TRIM(LEFT(MID($A1758,FIND("/",$A1758)+1,20),FIND("/",MID($A1758,FIND("/",$A1758)+1,20))-1))),"")))</f>
        <v/>
      </c>
      <c r="D1758">
        <f>IF(OR($A1758="",$B1758=""),"",IF(ISNUMBER($A1758),MOD($A1758,100),IFERROR(VALUE(TRIM(MID(MID($A1758,FIND("/",$A1758)+1,20),FIND("/",MID($A1758,FIND("/",$A1758)+1,20))+1,20))),"")))</f>
        <v/>
      </c>
      <c r="E1758">
        <f>IF($A1758="","",IF(OR($B1758="",$C1758="",$D1758="",$B1758&lt;1300,$B1758&gt;1500,$C1758&lt;1,$C1758&gt;12,$D1758&lt;1,$D1758&gt;31),"نامعتبر",RIGHT("0000"&amp;$B1758,4)&amp;"/"&amp;RIGHT("00"&amp;$C1758,2)&amp;"/"&amp;RIGHT("00"&amp;$D1758,2)))</f>
        <v/>
      </c>
      <c r="F1758">
        <f>IF(OR($E1758="",$E1758="نامعتبر"),"",LEFT($E1758,4)&amp;"/"&amp;MID($E1758,6,2))</f>
        <v/>
      </c>
      <c r="G1758">
        <f>IF(OR($E1758="",$E1758="نامعتبر",Sync!$Y1755=""),"",Sync!$Y1755)</f>
        <v/>
      </c>
      <c r="H1758">
        <f>IF($G1758="","",IF(Sync!$X1755="","",Sync!$X1755))</f>
        <v/>
      </c>
      <c r="I1758">
        <f>IF($G1758="","",IFERROR(VLOOKUP(Sync!$X1755,OpTbl,3,0),""))</f>
        <v/>
      </c>
      <c r="J1758">
        <f>IF(OR($G1758="",Sync!$Z1755=""),"",Sync!$Z1755)</f>
        <v/>
      </c>
      <c r="K1758">
        <f>IF(OR($G1758="",Sync!$AA1755=""),"",Sync!$AA1755)</f>
        <v/>
      </c>
      <c r="L1758">
        <f>IF($G1758="",0,IF(Sync!$AB1755="",0,Sync!$AB1755))</f>
        <v/>
      </c>
      <c r="M1758">
        <f>IF($G1758="",0,IF(Sync!$AC1755="",0,Sync!$AC1755))</f>
        <v/>
      </c>
      <c r="N1758">
        <f>IF($G1758="","",IF($H1758="مرجوعی خرید",-1,1)*($L1758-$M1758*IFERROR(VLOOKUP("P01",ParamTbl,3,0),1.5))*(1-IF($I1758="خرید",IFERROR(VLOOKUP("P02",ParamTbl,3,0),1),0)/100))</f>
        <v/>
      </c>
      <c r="O1758">
        <f>IF($G1758="",0,IF($H1758="مرجوعی خرید",-1,1)*IF(Sync!$AD1755="",0,Sync!$AD1755))</f>
        <v/>
      </c>
      <c r="P1758">
        <f>IF(OR($G1758="",Sync!$W1755=""),"",Sync!$W1755)</f>
        <v/>
      </c>
      <c r="Q1758">
        <f>IF(OR($G1758="",Sync!$AE1755=""),"",Sync!$AE1755)</f>
        <v/>
      </c>
      <c r="R1758">
        <f>IF($G1758="","",IF(Sync!$V1755="","0000",IF(AND(ISNUMBER(Sync!$V1755),Sync!$V1755&gt;=0,Sync!$V1755&lt;1),RIGHT("00"&amp;HOUR(Sync!$V1755),2)&amp;RIGHT("00"&amp;MINUTE(Sync!$V1755),2),IFERROR(RIGHT("00"&amp;VALUE(LEFT(Sync!$V1755,FIND(":",Sync!$V1755)-1)),2)&amp;RIGHT("00"&amp;VALUE(MID(Sync!$V1755,FIND(":",Sync!$V1755)+1,2)),2),"0000"))))</f>
        <v/>
      </c>
    </row>
    <row r="1759">
      <c r="A1759">
        <f>IF(Sync!$U1756="","",Sync!$U1756)</f>
        <v/>
      </c>
      <c r="B1759">
        <f>IF($A1759="","",IF(ISNUMBER($A1759),IF(AND($A1759&gt;=10000101,$A1759&lt;=99991231),INT($A1759/10000),""),IFERROR(VALUE(TRIM(LEFT($A1759,FIND("/",$A1759)-1))),"")))</f>
        <v/>
      </c>
      <c r="C1759">
        <f>IF(OR($A1759="",$B1759=""),"",IF(ISNUMBER($A1759),INT(MOD($A1759,10000)/100),IFERROR(VALUE(TRIM(LEFT(MID($A1759,FIND("/",$A1759)+1,20),FIND("/",MID($A1759,FIND("/",$A1759)+1,20))-1))),"")))</f>
        <v/>
      </c>
      <c r="D1759">
        <f>IF(OR($A1759="",$B1759=""),"",IF(ISNUMBER($A1759),MOD($A1759,100),IFERROR(VALUE(TRIM(MID(MID($A1759,FIND("/",$A1759)+1,20),FIND("/",MID($A1759,FIND("/",$A1759)+1,20))+1,20))),"")))</f>
        <v/>
      </c>
      <c r="E1759">
        <f>IF($A1759="","",IF(OR($B1759="",$C1759="",$D1759="",$B1759&lt;1300,$B1759&gt;1500,$C1759&lt;1,$C1759&gt;12,$D1759&lt;1,$D1759&gt;31),"نامعتبر",RIGHT("0000"&amp;$B1759,4)&amp;"/"&amp;RIGHT("00"&amp;$C1759,2)&amp;"/"&amp;RIGHT("00"&amp;$D1759,2)))</f>
        <v/>
      </c>
      <c r="F1759">
        <f>IF(OR($E1759="",$E1759="نامعتبر"),"",LEFT($E1759,4)&amp;"/"&amp;MID($E1759,6,2))</f>
        <v/>
      </c>
      <c r="G1759">
        <f>IF(OR($E1759="",$E1759="نامعتبر",Sync!$Y1756=""),"",Sync!$Y1756)</f>
        <v/>
      </c>
      <c r="H1759">
        <f>IF($G1759="","",IF(Sync!$X1756="","",Sync!$X1756))</f>
        <v/>
      </c>
      <c r="I1759">
        <f>IF($G1759="","",IFERROR(VLOOKUP(Sync!$X1756,OpTbl,3,0),""))</f>
        <v/>
      </c>
      <c r="J1759">
        <f>IF(OR($G1759="",Sync!$Z1756=""),"",Sync!$Z1756)</f>
        <v/>
      </c>
      <c r="K1759">
        <f>IF(OR($G1759="",Sync!$AA1756=""),"",Sync!$AA1756)</f>
        <v/>
      </c>
      <c r="L1759">
        <f>IF($G1759="",0,IF(Sync!$AB1756="",0,Sync!$AB1756))</f>
        <v/>
      </c>
      <c r="M1759">
        <f>IF($G1759="",0,IF(Sync!$AC1756="",0,Sync!$AC1756))</f>
        <v/>
      </c>
      <c r="N1759">
        <f>IF($G1759="","",IF($H1759="مرجوعی خرید",-1,1)*($L1759-$M1759*IFERROR(VLOOKUP("P01",ParamTbl,3,0),1.5))*(1-IF($I1759="خرید",IFERROR(VLOOKUP("P02",ParamTbl,3,0),1),0)/100))</f>
        <v/>
      </c>
      <c r="O1759">
        <f>IF($G1759="",0,IF($H1759="مرجوعی خرید",-1,1)*IF(Sync!$AD1756="",0,Sync!$AD1756))</f>
        <v/>
      </c>
      <c r="P1759">
        <f>IF(OR($G1759="",Sync!$W1756=""),"",Sync!$W1756)</f>
        <v/>
      </c>
      <c r="Q1759">
        <f>IF(OR($G1759="",Sync!$AE1756=""),"",Sync!$AE1756)</f>
        <v/>
      </c>
      <c r="R1759">
        <f>IF($G1759="","",IF(Sync!$V1756="","0000",IF(AND(ISNUMBER(Sync!$V1756),Sync!$V1756&gt;=0,Sync!$V1756&lt;1),RIGHT("00"&amp;HOUR(Sync!$V1756),2)&amp;RIGHT("00"&amp;MINUTE(Sync!$V1756),2),IFERROR(RIGHT("00"&amp;VALUE(LEFT(Sync!$V1756,FIND(":",Sync!$V1756)-1)),2)&amp;RIGHT("00"&amp;VALUE(MID(Sync!$V1756,FIND(":",Sync!$V1756)+1,2)),2),"0000"))))</f>
        <v/>
      </c>
    </row>
    <row r="1760">
      <c r="A1760">
        <f>IF(Sync!$U1757="","",Sync!$U1757)</f>
        <v/>
      </c>
      <c r="B1760">
        <f>IF($A1760="","",IF(ISNUMBER($A1760),IF(AND($A1760&gt;=10000101,$A1760&lt;=99991231),INT($A1760/10000),""),IFERROR(VALUE(TRIM(LEFT($A1760,FIND("/",$A1760)-1))),"")))</f>
        <v/>
      </c>
      <c r="C1760">
        <f>IF(OR($A1760="",$B1760=""),"",IF(ISNUMBER($A1760),INT(MOD($A1760,10000)/100),IFERROR(VALUE(TRIM(LEFT(MID($A1760,FIND("/",$A1760)+1,20),FIND("/",MID($A1760,FIND("/",$A1760)+1,20))-1))),"")))</f>
        <v/>
      </c>
      <c r="D1760">
        <f>IF(OR($A1760="",$B1760=""),"",IF(ISNUMBER($A1760),MOD($A1760,100),IFERROR(VALUE(TRIM(MID(MID($A1760,FIND("/",$A1760)+1,20),FIND("/",MID($A1760,FIND("/",$A1760)+1,20))+1,20))),"")))</f>
        <v/>
      </c>
      <c r="E1760">
        <f>IF($A1760="","",IF(OR($B1760="",$C1760="",$D1760="",$B1760&lt;1300,$B1760&gt;1500,$C1760&lt;1,$C1760&gt;12,$D1760&lt;1,$D1760&gt;31),"نامعتبر",RIGHT("0000"&amp;$B1760,4)&amp;"/"&amp;RIGHT("00"&amp;$C1760,2)&amp;"/"&amp;RIGHT("00"&amp;$D1760,2)))</f>
        <v/>
      </c>
      <c r="F1760">
        <f>IF(OR($E1760="",$E1760="نامعتبر"),"",LEFT($E1760,4)&amp;"/"&amp;MID($E1760,6,2))</f>
        <v/>
      </c>
      <c r="G1760">
        <f>IF(OR($E1760="",$E1760="نامعتبر",Sync!$Y1757=""),"",Sync!$Y1757)</f>
        <v/>
      </c>
      <c r="H1760">
        <f>IF($G1760="","",IF(Sync!$X1757="","",Sync!$X1757))</f>
        <v/>
      </c>
      <c r="I1760">
        <f>IF($G1760="","",IFERROR(VLOOKUP(Sync!$X1757,OpTbl,3,0),""))</f>
        <v/>
      </c>
      <c r="J1760">
        <f>IF(OR($G1760="",Sync!$Z1757=""),"",Sync!$Z1757)</f>
        <v/>
      </c>
      <c r="K1760">
        <f>IF(OR($G1760="",Sync!$AA1757=""),"",Sync!$AA1757)</f>
        <v/>
      </c>
      <c r="L1760">
        <f>IF($G1760="",0,IF(Sync!$AB1757="",0,Sync!$AB1757))</f>
        <v/>
      </c>
      <c r="M1760">
        <f>IF($G1760="",0,IF(Sync!$AC1757="",0,Sync!$AC1757))</f>
        <v/>
      </c>
      <c r="N1760">
        <f>IF($G1760="","",IF($H1760="مرجوعی خرید",-1,1)*($L1760-$M1760*IFERROR(VLOOKUP("P01",ParamTbl,3,0),1.5))*(1-IF($I1760="خرید",IFERROR(VLOOKUP("P02",ParamTbl,3,0),1),0)/100))</f>
        <v/>
      </c>
      <c r="O1760">
        <f>IF($G1760="",0,IF($H1760="مرجوعی خرید",-1,1)*IF(Sync!$AD1757="",0,Sync!$AD1757))</f>
        <v/>
      </c>
      <c r="P1760">
        <f>IF(OR($G1760="",Sync!$W1757=""),"",Sync!$W1757)</f>
        <v/>
      </c>
      <c r="Q1760">
        <f>IF(OR($G1760="",Sync!$AE1757=""),"",Sync!$AE1757)</f>
        <v/>
      </c>
      <c r="R1760">
        <f>IF($G1760="","",IF(Sync!$V1757="","0000",IF(AND(ISNUMBER(Sync!$V1757),Sync!$V1757&gt;=0,Sync!$V1757&lt;1),RIGHT("00"&amp;HOUR(Sync!$V1757),2)&amp;RIGHT("00"&amp;MINUTE(Sync!$V1757),2),IFERROR(RIGHT("00"&amp;VALUE(LEFT(Sync!$V1757,FIND(":",Sync!$V1757)-1)),2)&amp;RIGHT("00"&amp;VALUE(MID(Sync!$V1757,FIND(":",Sync!$V1757)+1,2)),2),"0000"))))</f>
        <v/>
      </c>
    </row>
    <row r="1761">
      <c r="A1761">
        <f>IF(Sync!$U1758="","",Sync!$U1758)</f>
        <v/>
      </c>
      <c r="B1761">
        <f>IF($A1761="","",IF(ISNUMBER($A1761),IF(AND($A1761&gt;=10000101,$A1761&lt;=99991231),INT($A1761/10000),""),IFERROR(VALUE(TRIM(LEFT($A1761,FIND("/",$A1761)-1))),"")))</f>
        <v/>
      </c>
      <c r="C1761">
        <f>IF(OR($A1761="",$B1761=""),"",IF(ISNUMBER($A1761),INT(MOD($A1761,10000)/100),IFERROR(VALUE(TRIM(LEFT(MID($A1761,FIND("/",$A1761)+1,20),FIND("/",MID($A1761,FIND("/",$A1761)+1,20))-1))),"")))</f>
        <v/>
      </c>
      <c r="D1761">
        <f>IF(OR($A1761="",$B1761=""),"",IF(ISNUMBER($A1761),MOD($A1761,100),IFERROR(VALUE(TRIM(MID(MID($A1761,FIND("/",$A1761)+1,20),FIND("/",MID($A1761,FIND("/",$A1761)+1,20))+1,20))),"")))</f>
        <v/>
      </c>
      <c r="E1761">
        <f>IF($A1761="","",IF(OR($B1761="",$C1761="",$D1761="",$B1761&lt;1300,$B1761&gt;1500,$C1761&lt;1,$C1761&gt;12,$D1761&lt;1,$D1761&gt;31),"نامعتبر",RIGHT("0000"&amp;$B1761,4)&amp;"/"&amp;RIGHT("00"&amp;$C1761,2)&amp;"/"&amp;RIGHT("00"&amp;$D1761,2)))</f>
        <v/>
      </c>
      <c r="F1761">
        <f>IF(OR($E1761="",$E1761="نامعتبر"),"",LEFT($E1761,4)&amp;"/"&amp;MID($E1761,6,2))</f>
        <v/>
      </c>
      <c r="G1761">
        <f>IF(OR($E1761="",$E1761="نامعتبر",Sync!$Y1758=""),"",Sync!$Y1758)</f>
        <v/>
      </c>
      <c r="H1761">
        <f>IF($G1761="","",IF(Sync!$X1758="","",Sync!$X1758))</f>
        <v/>
      </c>
      <c r="I1761">
        <f>IF($G1761="","",IFERROR(VLOOKUP(Sync!$X1758,OpTbl,3,0),""))</f>
        <v/>
      </c>
      <c r="J1761">
        <f>IF(OR($G1761="",Sync!$Z1758=""),"",Sync!$Z1758)</f>
        <v/>
      </c>
      <c r="K1761">
        <f>IF(OR($G1761="",Sync!$AA1758=""),"",Sync!$AA1758)</f>
        <v/>
      </c>
      <c r="L1761">
        <f>IF($G1761="",0,IF(Sync!$AB1758="",0,Sync!$AB1758))</f>
        <v/>
      </c>
      <c r="M1761">
        <f>IF($G1761="",0,IF(Sync!$AC1758="",0,Sync!$AC1758))</f>
        <v/>
      </c>
      <c r="N1761">
        <f>IF($G1761="","",IF($H1761="مرجوعی خرید",-1,1)*($L1761-$M1761*IFERROR(VLOOKUP("P01",ParamTbl,3,0),1.5))*(1-IF($I1761="خرید",IFERROR(VLOOKUP("P02",ParamTbl,3,0),1),0)/100))</f>
        <v/>
      </c>
      <c r="O1761">
        <f>IF($G1761="",0,IF($H1761="مرجوعی خرید",-1,1)*IF(Sync!$AD1758="",0,Sync!$AD1758))</f>
        <v/>
      </c>
      <c r="P1761">
        <f>IF(OR($G1761="",Sync!$W1758=""),"",Sync!$W1758)</f>
        <v/>
      </c>
      <c r="Q1761">
        <f>IF(OR($G1761="",Sync!$AE1758=""),"",Sync!$AE1758)</f>
        <v/>
      </c>
      <c r="R1761">
        <f>IF($G1761="","",IF(Sync!$V1758="","0000",IF(AND(ISNUMBER(Sync!$V1758),Sync!$V1758&gt;=0,Sync!$V1758&lt;1),RIGHT("00"&amp;HOUR(Sync!$V1758),2)&amp;RIGHT("00"&amp;MINUTE(Sync!$V1758),2),IFERROR(RIGHT("00"&amp;VALUE(LEFT(Sync!$V1758,FIND(":",Sync!$V1758)-1)),2)&amp;RIGHT("00"&amp;VALUE(MID(Sync!$V1758,FIND(":",Sync!$V1758)+1,2)),2),"0000"))))</f>
        <v/>
      </c>
    </row>
    <row r="1762">
      <c r="A1762">
        <f>IF(Sync!$U1759="","",Sync!$U1759)</f>
        <v/>
      </c>
      <c r="B1762">
        <f>IF($A1762="","",IF(ISNUMBER($A1762),IF(AND($A1762&gt;=10000101,$A1762&lt;=99991231),INT($A1762/10000),""),IFERROR(VALUE(TRIM(LEFT($A1762,FIND("/",$A1762)-1))),"")))</f>
        <v/>
      </c>
      <c r="C1762">
        <f>IF(OR($A1762="",$B1762=""),"",IF(ISNUMBER($A1762),INT(MOD($A1762,10000)/100),IFERROR(VALUE(TRIM(LEFT(MID($A1762,FIND("/",$A1762)+1,20),FIND("/",MID($A1762,FIND("/",$A1762)+1,20))-1))),"")))</f>
        <v/>
      </c>
      <c r="D1762">
        <f>IF(OR($A1762="",$B1762=""),"",IF(ISNUMBER($A1762),MOD($A1762,100),IFERROR(VALUE(TRIM(MID(MID($A1762,FIND("/",$A1762)+1,20),FIND("/",MID($A1762,FIND("/",$A1762)+1,20))+1,20))),"")))</f>
        <v/>
      </c>
      <c r="E1762">
        <f>IF($A1762="","",IF(OR($B1762="",$C1762="",$D1762="",$B1762&lt;1300,$B1762&gt;1500,$C1762&lt;1,$C1762&gt;12,$D1762&lt;1,$D1762&gt;31),"نامعتبر",RIGHT("0000"&amp;$B1762,4)&amp;"/"&amp;RIGHT("00"&amp;$C1762,2)&amp;"/"&amp;RIGHT("00"&amp;$D1762,2)))</f>
        <v/>
      </c>
      <c r="F1762">
        <f>IF(OR($E1762="",$E1762="نامعتبر"),"",LEFT($E1762,4)&amp;"/"&amp;MID($E1762,6,2))</f>
        <v/>
      </c>
      <c r="G1762">
        <f>IF(OR($E1762="",$E1762="نامعتبر",Sync!$Y1759=""),"",Sync!$Y1759)</f>
        <v/>
      </c>
      <c r="H1762">
        <f>IF($G1762="","",IF(Sync!$X1759="","",Sync!$X1759))</f>
        <v/>
      </c>
      <c r="I1762">
        <f>IF($G1762="","",IFERROR(VLOOKUP(Sync!$X1759,OpTbl,3,0),""))</f>
        <v/>
      </c>
      <c r="J1762">
        <f>IF(OR($G1762="",Sync!$Z1759=""),"",Sync!$Z1759)</f>
        <v/>
      </c>
      <c r="K1762">
        <f>IF(OR($G1762="",Sync!$AA1759=""),"",Sync!$AA1759)</f>
        <v/>
      </c>
      <c r="L1762">
        <f>IF($G1762="",0,IF(Sync!$AB1759="",0,Sync!$AB1759))</f>
        <v/>
      </c>
      <c r="M1762">
        <f>IF($G1762="",0,IF(Sync!$AC1759="",0,Sync!$AC1759))</f>
        <v/>
      </c>
      <c r="N1762">
        <f>IF($G1762="","",IF($H1762="مرجوعی خرید",-1,1)*($L1762-$M1762*IFERROR(VLOOKUP("P01",ParamTbl,3,0),1.5))*(1-IF($I1762="خرید",IFERROR(VLOOKUP("P02",ParamTbl,3,0),1),0)/100))</f>
        <v/>
      </c>
      <c r="O1762">
        <f>IF($G1762="",0,IF($H1762="مرجوعی خرید",-1,1)*IF(Sync!$AD1759="",0,Sync!$AD1759))</f>
        <v/>
      </c>
      <c r="P1762">
        <f>IF(OR($G1762="",Sync!$W1759=""),"",Sync!$W1759)</f>
        <v/>
      </c>
      <c r="Q1762">
        <f>IF(OR($G1762="",Sync!$AE1759=""),"",Sync!$AE1759)</f>
        <v/>
      </c>
      <c r="R1762">
        <f>IF($G1762="","",IF(Sync!$V1759="","0000",IF(AND(ISNUMBER(Sync!$V1759),Sync!$V1759&gt;=0,Sync!$V1759&lt;1),RIGHT("00"&amp;HOUR(Sync!$V1759),2)&amp;RIGHT("00"&amp;MINUTE(Sync!$V1759),2),IFERROR(RIGHT("00"&amp;VALUE(LEFT(Sync!$V1759,FIND(":",Sync!$V1759)-1)),2)&amp;RIGHT("00"&amp;VALUE(MID(Sync!$V1759,FIND(":",Sync!$V1759)+1,2)),2),"0000"))))</f>
        <v/>
      </c>
    </row>
    <row r="1763">
      <c r="A1763">
        <f>IF(Sync!$U1760="","",Sync!$U1760)</f>
        <v/>
      </c>
      <c r="B1763">
        <f>IF($A1763="","",IF(ISNUMBER($A1763),IF(AND($A1763&gt;=10000101,$A1763&lt;=99991231),INT($A1763/10000),""),IFERROR(VALUE(TRIM(LEFT($A1763,FIND("/",$A1763)-1))),"")))</f>
        <v/>
      </c>
      <c r="C1763">
        <f>IF(OR($A1763="",$B1763=""),"",IF(ISNUMBER($A1763),INT(MOD($A1763,10000)/100),IFERROR(VALUE(TRIM(LEFT(MID($A1763,FIND("/",$A1763)+1,20),FIND("/",MID($A1763,FIND("/",$A1763)+1,20))-1))),"")))</f>
        <v/>
      </c>
      <c r="D1763">
        <f>IF(OR($A1763="",$B1763=""),"",IF(ISNUMBER($A1763),MOD($A1763,100),IFERROR(VALUE(TRIM(MID(MID($A1763,FIND("/",$A1763)+1,20),FIND("/",MID($A1763,FIND("/",$A1763)+1,20))+1,20))),"")))</f>
        <v/>
      </c>
      <c r="E1763">
        <f>IF($A1763="","",IF(OR($B1763="",$C1763="",$D1763="",$B1763&lt;1300,$B1763&gt;1500,$C1763&lt;1,$C1763&gt;12,$D1763&lt;1,$D1763&gt;31),"نامعتبر",RIGHT("0000"&amp;$B1763,4)&amp;"/"&amp;RIGHT("00"&amp;$C1763,2)&amp;"/"&amp;RIGHT("00"&amp;$D1763,2)))</f>
        <v/>
      </c>
      <c r="F1763">
        <f>IF(OR($E1763="",$E1763="نامعتبر"),"",LEFT($E1763,4)&amp;"/"&amp;MID($E1763,6,2))</f>
        <v/>
      </c>
      <c r="G1763">
        <f>IF(OR($E1763="",$E1763="نامعتبر",Sync!$Y1760=""),"",Sync!$Y1760)</f>
        <v/>
      </c>
      <c r="H1763">
        <f>IF($G1763="","",IF(Sync!$X1760="","",Sync!$X1760))</f>
        <v/>
      </c>
      <c r="I1763">
        <f>IF($G1763="","",IFERROR(VLOOKUP(Sync!$X1760,OpTbl,3,0),""))</f>
        <v/>
      </c>
      <c r="J1763">
        <f>IF(OR($G1763="",Sync!$Z1760=""),"",Sync!$Z1760)</f>
        <v/>
      </c>
      <c r="K1763">
        <f>IF(OR($G1763="",Sync!$AA1760=""),"",Sync!$AA1760)</f>
        <v/>
      </c>
      <c r="L1763">
        <f>IF($G1763="",0,IF(Sync!$AB1760="",0,Sync!$AB1760))</f>
        <v/>
      </c>
      <c r="M1763">
        <f>IF($G1763="",0,IF(Sync!$AC1760="",0,Sync!$AC1760))</f>
        <v/>
      </c>
      <c r="N1763">
        <f>IF($G1763="","",IF($H1763="مرجوعی خرید",-1,1)*($L1763-$M1763*IFERROR(VLOOKUP("P01",ParamTbl,3,0),1.5))*(1-IF($I1763="خرید",IFERROR(VLOOKUP("P02",ParamTbl,3,0),1),0)/100))</f>
        <v/>
      </c>
      <c r="O1763">
        <f>IF($G1763="",0,IF($H1763="مرجوعی خرید",-1,1)*IF(Sync!$AD1760="",0,Sync!$AD1760))</f>
        <v/>
      </c>
      <c r="P1763">
        <f>IF(OR($G1763="",Sync!$W1760=""),"",Sync!$W1760)</f>
        <v/>
      </c>
      <c r="Q1763">
        <f>IF(OR($G1763="",Sync!$AE1760=""),"",Sync!$AE1760)</f>
        <v/>
      </c>
      <c r="R1763">
        <f>IF($G1763="","",IF(Sync!$V1760="","0000",IF(AND(ISNUMBER(Sync!$V1760),Sync!$V1760&gt;=0,Sync!$V1760&lt;1),RIGHT("00"&amp;HOUR(Sync!$V1760),2)&amp;RIGHT("00"&amp;MINUTE(Sync!$V1760),2),IFERROR(RIGHT("00"&amp;VALUE(LEFT(Sync!$V1760,FIND(":",Sync!$V1760)-1)),2)&amp;RIGHT("00"&amp;VALUE(MID(Sync!$V1760,FIND(":",Sync!$V1760)+1,2)),2),"0000"))))</f>
        <v/>
      </c>
    </row>
    <row r="1764">
      <c r="A1764">
        <f>IF(Sync!$U1761="","",Sync!$U1761)</f>
        <v/>
      </c>
      <c r="B1764">
        <f>IF($A1764="","",IF(ISNUMBER($A1764),IF(AND($A1764&gt;=10000101,$A1764&lt;=99991231),INT($A1764/10000),""),IFERROR(VALUE(TRIM(LEFT($A1764,FIND("/",$A1764)-1))),"")))</f>
        <v/>
      </c>
      <c r="C1764">
        <f>IF(OR($A1764="",$B1764=""),"",IF(ISNUMBER($A1764),INT(MOD($A1764,10000)/100),IFERROR(VALUE(TRIM(LEFT(MID($A1764,FIND("/",$A1764)+1,20),FIND("/",MID($A1764,FIND("/",$A1764)+1,20))-1))),"")))</f>
        <v/>
      </c>
      <c r="D1764">
        <f>IF(OR($A1764="",$B1764=""),"",IF(ISNUMBER($A1764),MOD($A1764,100),IFERROR(VALUE(TRIM(MID(MID($A1764,FIND("/",$A1764)+1,20),FIND("/",MID($A1764,FIND("/",$A1764)+1,20))+1,20))),"")))</f>
        <v/>
      </c>
      <c r="E1764">
        <f>IF($A1764="","",IF(OR($B1764="",$C1764="",$D1764="",$B1764&lt;1300,$B1764&gt;1500,$C1764&lt;1,$C1764&gt;12,$D1764&lt;1,$D1764&gt;31),"نامعتبر",RIGHT("0000"&amp;$B1764,4)&amp;"/"&amp;RIGHT("00"&amp;$C1764,2)&amp;"/"&amp;RIGHT("00"&amp;$D1764,2)))</f>
        <v/>
      </c>
      <c r="F1764">
        <f>IF(OR($E1764="",$E1764="نامعتبر"),"",LEFT($E1764,4)&amp;"/"&amp;MID($E1764,6,2))</f>
        <v/>
      </c>
      <c r="G1764">
        <f>IF(OR($E1764="",$E1764="نامعتبر",Sync!$Y1761=""),"",Sync!$Y1761)</f>
        <v/>
      </c>
      <c r="H1764">
        <f>IF($G1764="","",IF(Sync!$X1761="","",Sync!$X1761))</f>
        <v/>
      </c>
      <c r="I1764">
        <f>IF($G1764="","",IFERROR(VLOOKUP(Sync!$X1761,OpTbl,3,0),""))</f>
        <v/>
      </c>
      <c r="J1764">
        <f>IF(OR($G1764="",Sync!$Z1761=""),"",Sync!$Z1761)</f>
        <v/>
      </c>
      <c r="K1764">
        <f>IF(OR($G1764="",Sync!$AA1761=""),"",Sync!$AA1761)</f>
        <v/>
      </c>
      <c r="L1764">
        <f>IF($G1764="",0,IF(Sync!$AB1761="",0,Sync!$AB1761))</f>
        <v/>
      </c>
      <c r="M1764">
        <f>IF($G1764="",0,IF(Sync!$AC1761="",0,Sync!$AC1761))</f>
        <v/>
      </c>
      <c r="N1764">
        <f>IF($G1764="","",IF($H1764="مرجوعی خرید",-1,1)*($L1764-$M1764*IFERROR(VLOOKUP("P01",ParamTbl,3,0),1.5))*(1-IF($I1764="خرید",IFERROR(VLOOKUP("P02",ParamTbl,3,0),1),0)/100))</f>
        <v/>
      </c>
      <c r="O1764">
        <f>IF($G1764="",0,IF($H1764="مرجوعی خرید",-1,1)*IF(Sync!$AD1761="",0,Sync!$AD1761))</f>
        <v/>
      </c>
      <c r="P1764">
        <f>IF(OR($G1764="",Sync!$W1761=""),"",Sync!$W1761)</f>
        <v/>
      </c>
      <c r="Q1764">
        <f>IF(OR($G1764="",Sync!$AE1761=""),"",Sync!$AE1761)</f>
        <v/>
      </c>
      <c r="R1764">
        <f>IF($G1764="","",IF(Sync!$V1761="","0000",IF(AND(ISNUMBER(Sync!$V1761),Sync!$V1761&gt;=0,Sync!$V1761&lt;1),RIGHT("00"&amp;HOUR(Sync!$V1761),2)&amp;RIGHT("00"&amp;MINUTE(Sync!$V1761),2),IFERROR(RIGHT("00"&amp;VALUE(LEFT(Sync!$V1761,FIND(":",Sync!$V1761)-1)),2)&amp;RIGHT("00"&amp;VALUE(MID(Sync!$V1761,FIND(":",Sync!$V1761)+1,2)),2),"0000"))))</f>
        <v/>
      </c>
    </row>
    <row r="1765">
      <c r="A1765">
        <f>IF(Sync!$U1762="","",Sync!$U1762)</f>
        <v/>
      </c>
      <c r="B1765">
        <f>IF($A1765="","",IF(ISNUMBER($A1765),IF(AND($A1765&gt;=10000101,$A1765&lt;=99991231),INT($A1765/10000),""),IFERROR(VALUE(TRIM(LEFT($A1765,FIND("/",$A1765)-1))),"")))</f>
        <v/>
      </c>
      <c r="C1765">
        <f>IF(OR($A1765="",$B1765=""),"",IF(ISNUMBER($A1765),INT(MOD($A1765,10000)/100),IFERROR(VALUE(TRIM(LEFT(MID($A1765,FIND("/",$A1765)+1,20),FIND("/",MID($A1765,FIND("/",$A1765)+1,20))-1))),"")))</f>
        <v/>
      </c>
      <c r="D1765">
        <f>IF(OR($A1765="",$B1765=""),"",IF(ISNUMBER($A1765),MOD($A1765,100),IFERROR(VALUE(TRIM(MID(MID($A1765,FIND("/",$A1765)+1,20),FIND("/",MID($A1765,FIND("/",$A1765)+1,20))+1,20))),"")))</f>
        <v/>
      </c>
      <c r="E1765">
        <f>IF($A1765="","",IF(OR($B1765="",$C1765="",$D1765="",$B1765&lt;1300,$B1765&gt;1500,$C1765&lt;1,$C1765&gt;12,$D1765&lt;1,$D1765&gt;31),"نامعتبر",RIGHT("0000"&amp;$B1765,4)&amp;"/"&amp;RIGHT("00"&amp;$C1765,2)&amp;"/"&amp;RIGHT("00"&amp;$D1765,2)))</f>
        <v/>
      </c>
      <c r="F1765">
        <f>IF(OR($E1765="",$E1765="نامعتبر"),"",LEFT($E1765,4)&amp;"/"&amp;MID($E1765,6,2))</f>
        <v/>
      </c>
      <c r="G1765">
        <f>IF(OR($E1765="",$E1765="نامعتبر",Sync!$Y1762=""),"",Sync!$Y1762)</f>
        <v/>
      </c>
      <c r="H1765">
        <f>IF($G1765="","",IF(Sync!$X1762="","",Sync!$X1762))</f>
        <v/>
      </c>
      <c r="I1765">
        <f>IF($G1765="","",IFERROR(VLOOKUP(Sync!$X1762,OpTbl,3,0),""))</f>
        <v/>
      </c>
      <c r="J1765">
        <f>IF(OR($G1765="",Sync!$Z1762=""),"",Sync!$Z1762)</f>
        <v/>
      </c>
      <c r="K1765">
        <f>IF(OR($G1765="",Sync!$AA1762=""),"",Sync!$AA1762)</f>
        <v/>
      </c>
      <c r="L1765">
        <f>IF($G1765="",0,IF(Sync!$AB1762="",0,Sync!$AB1762))</f>
        <v/>
      </c>
      <c r="M1765">
        <f>IF($G1765="",0,IF(Sync!$AC1762="",0,Sync!$AC1762))</f>
        <v/>
      </c>
      <c r="N1765">
        <f>IF($G1765="","",IF($H1765="مرجوعی خرید",-1,1)*($L1765-$M1765*IFERROR(VLOOKUP("P01",ParamTbl,3,0),1.5))*(1-IF($I1765="خرید",IFERROR(VLOOKUP("P02",ParamTbl,3,0),1),0)/100))</f>
        <v/>
      </c>
      <c r="O1765">
        <f>IF($G1765="",0,IF($H1765="مرجوعی خرید",-1,1)*IF(Sync!$AD1762="",0,Sync!$AD1762))</f>
        <v/>
      </c>
      <c r="P1765">
        <f>IF(OR($G1765="",Sync!$W1762=""),"",Sync!$W1762)</f>
        <v/>
      </c>
      <c r="Q1765">
        <f>IF(OR($G1765="",Sync!$AE1762=""),"",Sync!$AE1762)</f>
        <v/>
      </c>
      <c r="R1765">
        <f>IF($G1765="","",IF(Sync!$V1762="","0000",IF(AND(ISNUMBER(Sync!$V1762),Sync!$V1762&gt;=0,Sync!$V1762&lt;1),RIGHT("00"&amp;HOUR(Sync!$V1762),2)&amp;RIGHT("00"&amp;MINUTE(Sync!$V1762),2),IFERROR(RIGHT("00"&amp;VALUE(LEFT(Sync!$V1762,FIND(":",Sync!$V1762)-1)),2)&amp;RIGHT("00"&amp;VALUE(MID(Sync!$V1762,FIND(":",Sync!$V1762)+1,2)),2),"0000"))))</f>
        <v/>
      </c>
    </row>
    <row r="1766">
      <c r="A1766">
        <f>IF(Sync!$U1763="","",Sync!$U1763)</f>
        <v/>
      </c>
      <c r="B1766">
        <f>IF($A1766="","",IF(ISNUMBER($A1766),IF(AND($A1766&gt;=10000101,$A1766&lt;=99991231),INT($A1766/10000),""),IFERROR(VALUE(TRIM(LEFT($A1766,FIND("/",$A1766)-1))),"")))</f>
        <v/>
      </c>
      <c r="C1766">
        <f>IF(OR($A1766="",$B1766=""),"",IF(ISNUMBER($A1766),INT(MOD($A1766,10000)/100),IFERROR(VALUE(TRIM(LEFT(MID($A1766,FIND("/",$A1766)+1,20),FIND("/",MID($A1766,FIND("/",$A1766)+1,20))-1))),"")))</f>
        <v/>
      </c>
      <c r="D1766">
        <f>IF(OR($A1766="",$B1766=""),"",IF(ISNUMBER($A1766),MOD($A1766,100),IFERROR(VALUE(TRIM(MID(MID($A1766,FIND("/",$A1766)+1,20),FIND("/",MID($A1766,FIND("/",$A1766)+1,20))+1,20))),"")))</f>
        <v/>
      </c>
      <c r="E1766">
        <f>IF($A1766="","",IF(OR($B1766="",$C1766="",$D1766="",$B1766&lt;1300,$B1766&gt;1500,$C1766&lt;1,$C1766&gt;12,$D1766&lt;1,$D1766&gt;31),"نامعتبر",RIGHT("0000"&amp;$B1766,4)&amp;"/"&amp;RIGHT("00"&amp;$C1766,2)&amp;"/"&amp;RIGHT("00"&amp;$D1766,2)))</f>
        <v/>
      </c>
      <c r="F1766">
        <f>IF(OR($E1766="",$E1766="نامعتبر"),"",LEFT($E1766,4)&amp;"/"&amp;MID($E1766,6,2))</f>
        <v/>
      </c>
      <c r="G1766">
        <f>IF(OR($E1766="",$E1766="نامعتبر",Sync!$Y1763=""),"",Sync!$Y1763)</f>
        <v/>
      </c>
      <c r="H1766">
        <f>IF($G1766="","",IF(Sync!$X1763="","",Sync!$X1763))</f>
        <v/>
      </c>
      <c r="I1766">
        <f>IF($G1766="","",IFERROR(VLOOKUP(Sync!$X1763,OpTbl,3,0),""))</f>
        <v/>
      </c>
      <c r="J1766">
        <f>IF(OR($G1766="",Sync!$Z1763=""),"",Sync!$Z1763)</f>
        <v/>
      </c>
      <c r="K1766">
        <f>IF(OR($G1766="",Sync!$AA1763=""),"",Sync!$AA1763)</f>
        <v/>
      </c>
      <c r="L1766">
        <f>IF($G1766="",0,IF(Sync!$AB1763="",0,Sync!$AB1763))</f>
        <v/>
      </c>
      <c r="M1766">
        <f>IF($G1766="",0,IF(Sync!$AC1763="",0,Sync!$AC1763))</f>
        <v/>
      </c>
      <c r="N1766">
        <f>IF($G1766="","",IF($H1766="مرجوعی خرید",-1,1)*($L1766-$M1766*IFERROR(VLOOKUP("P01",ParamTbl,3,0),1.5))*(1-IF($I1766="خرید",IFERROR(VLOOKUP("P02",ParamTbl,3,0),1),0)/100))</f>
        <v/>
      </c>
      <c r="O1766">
        <f>IF($G1766="",0,IF($H1766="مرجوعی خرید",-1,1)*IF(Sync!$AD1763="",0,Sync!$AD1763))</f>
        <v/>
      </c>
      <c r="P1766">
        <f>IF(OR($G1766="",Sync!$W1763=""),"",Sync!$W1763)</f>
        <v/>
      </c>
      <c r="Q1766">
        <f>IF(OR($G1766="",Sync!$AE1763=""),"",Sync!$AE1763)</f>
        <v/>
      </c>
      <c r="R1766">
        <f>IF($G1766="","",IF(Sync!$V1763="","0000",IF(AND(ISNUMBER(Sync!$V1763),Sync!$V1763&gt;=0,Sync!$V1763&lt;1),RIGHT("00"&amp;HOUR(Sync!$V1763),2)&amp;RIGHT("00"&amp;MINUTE(Sync!$V1763),2),IFERROR(RIGHT("00"&amp;VALUE(LEFT(Sync!$V1763,FIND(":",Sync!$V1763)-1)),2)&amp;RIGHT("00"&amp;VALUE(MID(Sync!$V1763,FIND(":",Sync!$V1763)+1,2)),2),"0000"))))</f>
        <v/>
      </c>
    </row>
    <row r="1767">
      <c r="A1767">
        <f>IF(Sync!$U1764="","",Sync!$U1764)</f>
        <v/>
      </c>
      <c r="B1767">
        <f>IF($A1767="","",IF(ISNUMBER($A1767),IF(AND($A1767&gt;=10000101,$A1767&lt;=99991231),INT($A1767/10000),""),IFERROR(VALUE(TRIM(LEFT($A1767,FIND("/",$A1767)-1))),"")))</f>
        <v/>
      </c>
      <c r="C1767">
        <f>IF(OR($A1767="",$B1767=""),"",IF(ISNUMBER($A1767),INT(MOD($A1767,10000)/100),IFERROR(VALUE(TRIM(LEFT(MID($A1767,FIND("/",$A1767)+1,20),FIND("/",MID($A1767,FIND("/",$A1767)+1,20))-1))),"")))</f>
        <v/>
      </c>
      <c r="D1767">
        <f>IF(OR($A1767="",$B1767=""),"",IF(ISNUMBER($A1767),MOD($A1767,100),IFERROR(VALUE(TRIM(MID(MID($A1767,FIND("/",$A1767)+1,20),FIND("/",MID($A1767,FIND("/",$A1767)+1,20))+1,20))),"")))</f>
        <v/>
      </c>
      <c r="E1767">
        <f>IF($A1767="","",IF(OR($B1767="",$C1767="",$D1767="",$B1767&lt;1300,$B1767&gt;1500,$C1767&lt;1,$C1767&gt;12,$D1767&lt;1,$D1767&gt;31),"نامعتبر",RIGHT("0000"&amp;$B1767,4)&amp;"/"&amp;RIGHT("00"&amp;$C1767,2)&amp;"/"&amp;RIGHT("00"&amp;$D1767,2)))</f>
        <v/>
      </c>
      <c r="F1767">
        <f>IF(OR($E1767="",$E1767="نامعتبر"),"",LEFT($E1767,4)&amp;"/"&amp;MID($E1767,6,2))</f>
        <v/>
      </c>
      <c r="G1767">
        <f>IF(OR($E1767="",$E1767="نامعتبر",Sync!$Y1764=""),"",Sync!$Y1764)</f>
        <v/>
      </c>
      <c r="H1767">
        <f>IF($G1767="","",IF(Sync!$X1764="","",Sync!$X1764))</f>
        <v/>
      </c>
      <c r="I1767">
        <f>IF($G1767="","",IFERROR(VLOOKUP(Sync!$X1764,OpTbl,3,0),""))</f>
        <v/>
      </c>
      <c r="J1767">
        <f>IF(OR($G1767="",Sync!$Z1764=""),"",Sync!$Z1764)</f>
        <v/>
      </c>
      <c r="K1767">
        <f>IF(OR($G1767="",Sync!$AA1764=""),"",Sync!$AA1764)</f>
        <v/>
      </c>
      <c r="L1767">
        <f>IF($G1767="",0,IF(Sync!$AB1764="",0,Sync!$AB1764))</f>
        <v/>
      </c>
      <c r="M1767">
        <f>IF($G1767="",0,IF(Sync!$AC1764="",0,Sync!$AC1764))</f>
        <v/>
      </c>
      <c r="N1767">
        <f>IF($G1767="","",IF($H1767="مرجوعی خرید",-1,1)*($L1767-$M1767*IFERROR(VLOOKUP("P01",ParamTbl,3,0),1.5))*(1-IF($I1767="خرید",IFERROR(VLOOKUP("P02",ParamTbl,3,0),1),0)/100))</f>
        <v/>
      </c>
      <c r="O1767">
        <f>IF($G1767="",0,IF($H1767="مرجوعی خرید",-1,1)*IF(Sync!$AD1764="",0,Sync!$AD1764))</f>
        <v/>
      </c>
      <c r="P1767">
        <f>IF(OR($G1767="",Sync!$W1764=""),"",Sync!$W1764)</f>
        <v/>
      </c>
      <c r="Q1767">
        <f>IF(OR($G1767="",Sync!$AE1764=""),"",Sync!$AE1764)</f>
        <v/>
      </c>
      <c r="R1767">
        <f>IF($G1767="","",IF(Sync!$V1764="","0000",IF(AND(ISNUMBER(Sync!$V1764),Sync!$V1764&gt;=0,Sync!$V1764&lt;1),RIGHT("00"&amp;HOUR(Sync!$V1764),2)&amp;RIGHT("00"&amp;MINUTE(Sync!$V1764),2),IFERROR(RIGHT("00"&amp;VALUE(LEFT(Sync!$V1764,FIND(":",Sync!$V1764)-1)),2)&amp;RIGHT("00"&amp;VALUE(MID(Sync!$V1764,FIND(":",Sync!$V1764)+1,2)),2),"0000"))))</f>
        <v/>
      </c>
    </row>
    <row r="1768">
      <c r="A1768">
        <f>IF(Sync!$U1765="","",Sync!$U1765)</f>
        <v/>
      </c>
      <c r="B1768">
        <f>IF($A1768="","",IF(ISNUMBER($A1768),IF(AND($A1768&gt;=10000101,$A1768&lt;=99991231),INT($A1768/10000),""),IFERROR(VALUE(TRIM(LEFT($A1768,FIND("/",$A1768)-1))),"")))</f>
        <v/>
      </c>
      <c r="C1768">
        <f>IF(OR($A1768="",$B1768=""),"",IF(ISNUMBER($A1768),INT(MOD($A1768,10000)/100),IFERROR(VALUE(TRIM(LEFT(MID($A1768,FIND("/",$A1768)+1,20),FIND("/",MID($A1768,FIND("/",$A1768)+1,20))-1))),"")))</f>
        <v/>
      </c>
      <c r="D1768">
        <f>IF(OR($A1768="",$B1768=""),"",IF(ISNUMBER($A1768),MOD($A1768,100),IFERROR(VALUE(TRIM(MID(MID($A1768,FIND("/",$A1768)+1,20),FIND("/",MID($A1768,FIND("/",$A1768)+1,20))+1,20))),"")))</f>
        <v/>
      </c>
      <c r="E1768">
        <f>IF($A1768="","",IF(OR($B1768="",$C1768="",$D1768="",$B1768&lt;1300,$B1768&gt;1500,$C1768&lt;1,$C1768&gt;12,$D1768&lt;1,$D1768&gt;31),"نامعتبر",RIGHT("0000"&amp;$B1768,4)&amp;"/"&amp;RIGHT("00"&amp;$C1768,2)&amp;"/"&amp;RIGHT("00"&amp;$D1768,2)))</f>
        <v/>
      </c>
      <c r="F1768">
        <f>IF(OR($E1768="",$E1768="نامعتبر"),"",LEFT($E1768,4)&amp;"/"&amp;MID($E1768,6,2))</f>
        <v/>
      </c>
      <c r="G1768">
        <f>IF(OR($E1768="",$E1768="نامعتبر",Sync!$Y1765=""),"",Sync!$Y1765)</f>
        <v/>
      </c>
      <c r="H1768">
        <f>IF($G1768="","",IF(Sync!$X1765="","",Sync!$X1765))</f>
        <v/>
      </c>
      <c r="I1768">
        <f>IF($G1768="","",IFERROR(VLOOKUP(Sync!$X1765,OpTbl,3,0),""))</f>
        <v/>
      </c>
      <c r="J1768">
        <f>IF(OR($G1768="",Sync!$Z1765=""),"",Sync!$Z1765)</f>
        <v/>
      </c>
      <c r="K1768">
        <f>IF(OR($G1768="",Sync!$AA1765=""),"",Sync!$AA1765)</f>
        <v/>
      </c>
      <c r="L1768">
        <f>IF($G1768="",0,IF(Sync!$AB1765="",0,Sync!$AB1765))</f>
        <v/>
      </c>
      <c r="M1768">
        <f>IF($G1768="",0,IF(Sync!$AC1765="",0,Sync!$AC1765))</f>
        <v/>
      </c>
      <c r="N1768">
        <f>IF($G1768="","",IF($H1768="مرجوعی خرید",-1,1)*($L1768-$M1768*IFERROR(VLOOKUP("P01",ParamTbl,3,0),1.5))*(1-IF($I1768="خرید",IFERROR(VLOOKUP("P02",ParamTbl,3,0),1),0)/100))</f>
        <v/>
      </c>
      <c r="O1768">
        <f>IF($G1768="",0,IF($H1768="مرجوعی خرید",-1,1)*IF(Sync!$AD1765="",0,Sync!$AD1765))</f>
        <v/>
      </c>
      <c r="P1768">
        <f>IF(OR($G1768="",Sync!$W1765=""),"",Sync!$W1765)</f>
        <v/>
      </c>
      <c r="Q1768">
        <f>IF(OR($G1768="",Sync!$AE1765=""),"",Sync!$AE1765)</f>
        <v/>
      </c>
      <c r="R1768">
        <f>IF($G1768="","",IF(Sync!$V1765="","0000",IF(AND(ISNUMBER(Sync!$V1765),Sync!$V1765&gt;=0,Sync!$V1765&lt;1),RIGHT("00"&amp;HOUR(Sync!$V1765),2)&amp;RIGHT("00"&amp;MINUTE(Sync!$V1765),2),IFERROR(RIGHT("00"&amp;VALUE(LEFT(Sync!$V1765,FIND(":",Sync!$V1765)-1)),2)&amp;RIGHT("00"&amp;VALUE(MID(Sync!$V1765,FIND(":",Sync!$V1765)+1,2)),2),"0000"))))</f>
        <v/>
      </c>
    </row>
    <row r="1769">
      <c r="A1769">
        <f>IF(Sync!$U1766="","",Sync!$U1766)</f>
        <v/>
      </c>
      <c r="B1769">
        <f>IF($A1769="","",IF(ISNUMBER($A1769),IF(AND($A1769&gt;=10000101,$A1769&lt;=99991231),INT($A1769/10000),""),IFERROR(VALUE(TRIM(LEFT($A1769,FIND("/",$A1769)-1))),"")))</f>
        <v/>
      </c>
      <c r="C1769">
        <f>IF(OR($A1769="",$B1769=""),"",IF(ISNUMBER($A1769),INT(MOD($A1769,10000)/100),IFERROR(VALUE(TRIM(LEFT(MID($A1769,FIND("/",$A1769)+1,20),FIND("/",MID($A1769,FIND("/",$A1769)+1,20))-1))),"")))</f>
        <v/>
      </c>
      <c r="D1769">
        <f>IF(OR($A1769="",$B1769=""),"",IF(ISNUMBER($A1769),MOD($A1769,100),IFERROR(VALUE(TRIM(MID(MID($A1769,FIND("/",$A1769)+1,20),FIND("/",MID($A1769,FIND("/",$A1769)+1,20))+1,20))),"")))</f>
        <v/>
      </c>
      <c r="E1769">
        <f>IF($A1769="","",IF(OR($B1769="",$C1769="",$D1769="",$B1769&lt;1300,$B1769&gt;1500,$C1769&lt;1,$C1769&gt;12,$D1769&lt;1,$D1769&gt;31),"نامعتبر",RIGHT("0000"&amp;$B1769,4)&amp;"/"&amp;RIGHT("00"&amp;$C1769,2)&amp;"/"&amp;RIGHT("00"&amp;$D1769,2)))</f>
        <v/>
      </c>
      <c r="F1769">
        <f>IF(OR($E1769="",$E1769="نامعتبر"),"",LEFT($E1769,4)&amp;"/"&amp;MID($E1769,6,2))</f>
        <v/>
      </c>
      <c r="G1769">
        <f>IF(OR($E1769="",$E1769="نامعتبر",Sync!$Y1766=""),"",Sync!$Y1766)</f>
        <v/>
      </c>
      <c r="H1769">
        <f>IF($G1769="","",IF(Sync!$X1766="","",Sync!$X1766))</f>
        <v/>
      </c>
      <c r="I1769">
        <f>IF($G1769="","",IFERROR(VLOOKUP(Sync!$X1766,OpTbl,3,0),""))</f>
        <v/>
      </c>
      <c r="J1769">
        <f>IF(OR($G1769="",Sync!$Z1766=""),"",Sync!$Z1766)</f>
        <v/>
      </c>
      <c r="K1769">
        <f>IF(OR($G1769="",Sync!$AA1766=""),"",Sync!$AA1766)</f>
        <v/>
      </c>
      <c r="L1769">
        <f>IF($G1769="",0,IF(Sync!$AB1766="",0,Sync!$AB1766))</f>
        <v/>
      </c>
      <c r="M1769">
        <f>IF($G1769="",0,IF(Sync!$AC1766="",0,Sync!$AC1766))</f>
        <v/>
      </c>
      <c r="N1769">
        <f>IF($G1769="","",IF($H1769="مرجوعی خرید",-1,1)*($L1769-$M1769*IFERROR(VLOOKUP("P01",ParamTbl,3,0),1.5))*(1-IF($I1769="خرید",IFERROR(VLOOKUP("P02",ParamTbl,3,0),1),0)/100))</f>
        <v/>
      </c>
      <c r="O1769">
        <f>IF($G1769="",0,IF($H1769="مرجوعی خرید",-1,1)*IF(Sync!$AD1766="",0,Sync!$AD1766))</f>
        <v/>
      </c>
      <c r="P1769">
        <f>IF(OR($G1769="",Sync!$W1766=""),"",Sync!$W1766)</f>
        <v/>
      </c>
      <c r="Q1769">
        <f>IF(OR($G1769="",Sync!$AE1766=""),"",Sync!$AE1766)</f>
        <v/>
      </c>
      <c r="R1769">
        <f>IF($G1769="","",IF(Sync!$V1766="","0000",IF(AND(ISNUMBER(Sync!$V1766),Sync!$V1766&gt;=0,Sync!$V1766&lt;1),RIGHT("00"&amp;HOUR(Sync!$V1766),2)&amp;RIGHT("00"&amp;MINUTE(Sync!$V1766),2),IFERROR(RIGHT("00"&amp;VALUE(LEFT(Sync!$V1766,FIND(":",Sync!$V1766)-1)),2)&amp;RIGHT("00"&amp;VALUE(MID(Sync!$V1766,FIND(":",Sync!$V1766)+1,2)),2),"0000"))))</f>
        <v/>
      </c>
    </row>
    <row r="1770">
      <c r="A1770">
        <f>IF(Sync!$U1767="","",Sync!$U1767)</f>
        <v/>
      </c>
      <c r="B1770">
        <f>IF($A1770="","",IF(ISNUMBER($A1770),IF(AND($A1770&gt;=10000101,$A1770&lt;=99991231),INT($A1770/10000),""),IFERROR(VALUE(TRIM(LEFT($A1770,FIND("/",$A1770)-1))),"")))</f>
        <v/>
      </c>
      <c r="C1770">
        <f>IF(OR($A1770="",$B1770=""),"",IF(ISNUMBER($A1770),INT(MOD($A1770,10000)/100),IFERROR(VALUE(TRIM(LEFT(MID($A1770,FIND("/",$A1770)+1,20),FIND("/",MID($A1770,FIND("/",$A1770)+1,20))-1))),"")))</f>
        <v/>
      </c>
      <c r="D1770">
        <f>IF(OR($A1770="",$B1770=""),"",IF(ISNUMBER($A1770),MOD($A1770,100),IFERROR(VALUE(TRIM(MID(MID($A1770,FIND("/",$A1770)+1,20),FIND("/",MID($A1770,FIND("/",$A1770)+1,20))+1,20))),"")))</f>
        <v/>
      </c>
      <c r="E1770">
        <f>IF($A1770="","",IF(OR($B1770="",$C1770="",$D1770="",$B1770&lt;1300,$B1770&gt;1500,$C1770&lt;1,$C1770&gt;12,$D1770&lt;1,$D1770&gt;31),"نامعتبر",RIGHT("0000"&amp;$B1770,4)&amp;"/"&amp;RIGHT("00"&amp;$C1770,2)&amp;"/"&amp;RIGHT("00"&amp;$D1770,2)))</f>
        <v/>
      </c>
      <c r="F1770">
        <f>IF(OR($E1770="",$E1770="نامعتبر"),"",LEFT($E1770,4)&amp;"/"&amp;MID($E1770,6,2))</f>
        <v/>
      </c>
      <c r="G1770">
        <f>IF(OR($E1770="",$E1770="نامعتبر",Sync!$Y1767=""),"",Sync!$Y1767)</f>
        <v/>
      </c>
      <c r="H1770">
        <f>IF($G1770="","",IF(Sync!$X1767="","",Sync!$X1767))</f>
        <v/>
      </c>
      <c r="I1770">
        <f>IF($G1770="","",IFERROR(VLOOKUP(Sync!$X1767,OpTbl,3,0),""))</f>
        <v/>
      </c>
      <c r="J1770">
        <f>IF(OR($G1770="",Sync!$Z1767=""),"",Sync!$Z1767)</f>
        <v/>
      </c>
      <c r="K1770">
        <f>IF(OR($G1770="",Sync!$AA1767=""),"",Sync!$AA1767)</f>
        <v/>
      </c>
      <c r="L1770">
        <f>IF($G1770="",0,IF(Sync!$AB1767="",0,Sync!$AB1767))</f>
        <v/>
      </c>
      <c r="M1770">
        <f>IF($G1770="",0,IF(Sync!$AC1767="",0,Sync!$AC1767))</f>
        <v/>
      </c>
      <c r="N1770">
        <f>IF($G1770="","",IF($H1770="مرجوعی خرید",-1,1)*($L1770-$M1770*IFERROR(VLOOKUP("P01",ParamTbl,3,0),1.5))*(1-IF($I1770="خرید",IFERROR(VLOOKUP("P02",ParamTbl,3,0),1),0)/100))</f>
        <v/>
      </c>
      <c r="O1770">
        <f>IF($G1770="",0,IF($H1770="مرجوعی خرید",-1,1)*IF(Sync!$AD1767="",0,Sync!$AD1767))</f>
        <v/>
      </c>
      <c r="P1770">
        <f>IF(OR($G1770="",Sync!$W1767=""),"",Sync!$W1767)</f>
        <v/>
      </c>
      <c r="Q1770">
        <f>IF(OR($G1770="",Sync!$AE1767=""),"",Sync!$AE1767)</f>
        <v/>
      </c>
      <c r="R1770">
        <f>IF($G1770="","",IF(Sync!$V1767="","0000",IF(AND(ISNUMBER(Sync!$V1767),Sync!$V1767&gt;=0,Sync!$V1767&lt;1),RIGHT("00"&amp;HOUR(Sync!$V1767),2)&amp;RIGHT("00"&amp;MINUTE(Sync!$V1767),2),IFERROR(RIGHT("00"&amp;VALUE(LEFT(Sync!$V1767,FIND(":",Sync!$V1767)-1)),2)&amp;RIGHT("00"&amp;VALUE(MID(Sync!$V1767,FIND(":",Sync!$V1767)+1,2)),2),"0000"))))</f>
        <v/>
      </c>
    </row>
    <row r="1771">
      <c r="A1771">
        <f>IF(Sync!$U1768="","",Sync!$U1768)</f>
        <v/>
      </c>
      <c r="B1771">
        <f>IF($A1771="","",IF(ISNUMBER($A1771),IF(AND($A1771&gt;=10000101,$A1771&lt;=99991231),INT($A1771/10000),""),IFERROR(VALUE(TRIM(LEFT($A1771,FIND("/",$A1771)-1))),"")))</f>
        <v/>
      </c>
      <c r="C1771">
        <f>IF(OR($A1771="",$B1771=""),"",IF(ISNUMBER($A1771),INT(MOD($A1771,10000)/100),IFERROR(VALUE(TRIM(LEFT(MID($A1771,FIND("/",$A1771)+1,20),FIND("/",MID($A1771,FIND("/",$A1771)+1,20))-1))),"")))</f>
        <v/>
      </c>
      <c r="D1771">
        <f>IF(OR($A1771="",$B1771=""),"",IF(ISNUMBER($A1771),MOD($A1771,100),IFERROR(VALUE(TRIM(MID(MID($A1771,FIND("/",$A1771)+1,20),FIND("/",MID($A1771,FIND("/",$A1771)+1,20))+1,20))),"")))</f>
        <v/>
      </c>
      <c r="E1771">
        <f>IF($A1771="","",IF(OR($B1771="",$C1771="",$D1771="",$B1771&lt;1300,$B1771&gt;1500,$C1771&lt;1,$C1771&gt;12,$D1771&lt;1,$D1771&gt;31),"نامعتبر",RIGHT("0000"&amp;$B1771,4)&amp;"/"&amp;RIGHT("00"&amp;$C1771,2)&amp;"/"&amp;RIGHT("00"&amp;$D1771,2)))</f>
        <v/>
      </c>
      <c r="F1771">
        <f>IF(OR($E1771="",$E1771="نامعتبر"),"",LEFT($E1771,4)&amp;"/"&amp;MID($E1771,6,2))</f>
        <v/>
      </c>
      <c r="G1771">
        <f>IF(OR($E1771="",$E1771="نامعتبر",Sync!$Y1768=""),"",Sync!$Y1768)</f>
        <v/>
      </c>
      <c r="H1771">
        <f>IF($G1771="","",IF(Sync!$X1768="","",Sync!$X1768))</f>
        <v/>
      </c>
      <c r="I1771">
        <f>IF($G1771="","",IFERROR(VLOOKUP(Sync!$X1768,OpTbl,3,0),""))</f>
        <v/>
      </c>
      <c r="J1771">
        <f>IF(OR($G1771="",Sync!$Z1768=""),"",Sync!$Z1768)</f>
        <v/>
      </c>
      <c r="K1771">
        <f>IF(OR($G1771="",Sync!$AA1768=""),"",Sync!$AA1768)</f>
        <v/>
      </c>
      <c r="L1771">
        <f>IF($G1771="",0,IF(Sync!$AB1768="",0,Sync!$AB1768))</f>
        <v/>
      </c>
      <c r="M1771">
        <f>IF($G1771="",0,IF(Sync!$AC1768="",0,Sync!$AC1768))</f>
        <v/>
      </c>
      <c r="N1771">
        <f>IF($G1771="","",IF($H1771="مرجوعی خرید",-1,1)*($L1771-$M1771*IFERROR(VLOOKUP("P01",ParamTbl,3,0),1.5))*(1-IF($I1771="خرید",IFERROR(VLOOKUP("P02",ParamTbl,3,0),1),0)/100))</f>
        <v/>
      </c>
      <c r="O1771">
        <f>IF($G1771="",0,IF($H1771="مرجوعی خرید",-1,1)*IF(Sync!$AD1768="",0,Sync!$AD1768))</f>
        <v/>
      </c>
      <c r="P1771">
        <f>IF(OR($G1771="",Sync!$W1768=""),"",Sync!$W1768)</f>
        <v/>
      </c>
      <c r="Q1771">
        <f>IF(OR($G1771="",Sync!$AE1768=""),"",Sync!$AE1768)</f>
        <v/>
      </c>
      <c r="R1771">
        <f>IF($G1771="","",IF(Sync!$V1768="","0000",IF(AND(ISNUMBER(Sync!$V1768),Sync!$V1768&gt;=0,Sync!$V1768&lt;1),RIGHT("00"&amp;HOUR(Sync!$V1768),2)&amp;RIGHT("00"&amp;MINUTE(Sync!$V1768),2),IFERROR(RIGHT("00"&amp;VALUE(LEFT(Sync!$V1768,FIND(":",Sync!$V1768)-1)),2)&amp;RIGHT("00"&amp;VALUE(MID(Sync!$V1768,FIND(":",Sync!$V1768)+1,2)),2),"0000"))))</f>
        <v/>
      </c>
    </row>
    <row r="1772">
      <c r="A1772">
        <f>IF(Sync!$U1769="","",Sync!$U1769)</f>
        <v/>
      </c>
      <c r="B1772">
        <f>IF($A1772="","",IF(ISNUMBER($A1772),IF(AND($A1772&gt;=10000101,$A1772&lt;=99991231),INT($A1772/10000),""),IFERROR(VALUE(TRIM(LEFT($A1772,FIND("/",$A1772)-1))),"")))</f>
        <v/>
      </c>
      <c r="C1772">
        <f>IF(OR($A1772="",$B1772=""),"",IF(ISNUMBER($A1772),INT(MOD($A1772,10000)/100),IFERROR(VALUE(TRIM(LEFT(MID($A1772,FIND("/",$A1772)+1,20),FIND("/",MID($A1772,FIND("/",$A1772)+1,20))-1))),"")))</f>
        <v/>
      </c>
      <c r="D1772">
        <f>IF(OR($A1772="",$B1772=""),"",IF(ISNUMBER($A1772),MOD($A1772,100),IFERROR(VALUE(TRIM(MID(MID($A1772,FIND("/",$A1772)+1,20),FIND("/",MID($A1772,FIND("/",$A1772)+1,20))+1,20))),"")))</f>
        <v/>
      </c>
      <c r="E1772">
        <f>IF($A1772="","",IF(OR($B1772="",$C1772="",$D1772="",$B1772&lt;1300,$B1772&gt;1500,$C1772&lt;1,$C1772&gt;12,$D1772&lt;1,$D1772&gt;31),"نامعتبر",RIGHT("0000"&amp;$B1772,4)&amp;"/"&amp;RIGHT("00"&amp;$C1772,2)&amp;"/"&amp;RIGHT("00"&amp;$D1772,2)))</f>
        <v/>
      </c>
      <c r="F1772">
        <f>IF(OR($E1772="",$E1772="نامعتبر"),"",LEFT($E1772,4)&amp;"/"&amp;MID($E1772,6,2))</f>
        <v/>
      </c>
      <c r="G1772">
        <f>IF(OR($E1772="",$E1772="نامعتبر",Sync!$Y1769=""),"",Sync!$Y1769)</f>
        <v/>
      </c>
      <c r="H1772">
        <f>IF($G1772="","",IF(Sync!$X1769="","",Sync!$X1769))</f>
        <v/>
      </c>
      <c r="I1772">
        <f>IF($G1772="","",IFERROR(VLOOKUP(Sync!$X1769,OpTbl,3,0),""))</f>
        <v/>
      </c>
      <c r="J1772">
        <f>IF(OR($G1772="",Sync!$Z1769=""),"",Sync!$Z1769)</f>
        <v/>
      </c>
      <c r="K1772">
        <f>IF(OR($G1772="",Sync!$AA1769=""),"",Sync!$AA1769)</f>
        <v/>
      </c>
      <c r="L1772">
        <f>IF($G1772="",0,IF(Sync!$AB1769="",0,Sync!$AB1769))</f>
        <v/>
      </c>
      <c r="M1772">
        <f>IF($G1772="",0,IF(Sync!$AC1769="",0,Sync!$AC1769))</f>
        <v/>
      </c>
      <c r="N1772">
        <f>IF($G1772="","",IF($H1772="مرجوعی خرید",-1,1)*($L1772-$M1772*IFERROR(VLOOKUP("P01",ParamTbl,3,0),1.5))*(1-IF($I1772="خرید",IFERROR(VLOOKUP("P02",ParamTbl,3,0),1),0)/100))</f>
        <v/>
      </c>
      <c r="O1772">
        <f>IF($G1772="",0,IF($H1772="مرجوعی خرید",-1,1)*IF(Sync!$AD1769="",0,Sync!$AD1769))</f>
        <v/>
      </c>
      <c r="P1772">
        <f>IF(OR($G1772="",Sync!$W1769=""),"",Sync!$W1769)</f>
        <v/>
      </c>
      <c r="Q1772">
        <f>IF(OR($G1772="",Sync!$AE1769=""),"",Sync!$AE1769)</f>
        <v/>
      </c>
      <c r="R1772">
        <f>IF($G1772="","",IF(Sync!$V1769="","0000",IF(AND(ISNUMBER(Sync!$V1769),Sync!$V1769&gt;=0,Sync!$V1769&lt;1),RIGHT("00"&amp;HOUR(Sync!$V1769),2)&amp;RIGHT("00"&amp;MINUTE(Sync!$V1769),2),IFERROR(RIGHT("00"&amp;VALUE(LEFT(Sync!$V1769,FIND(":",Sync!$V1769)-1)),2)&amp;RIGHT("00"&amp;VALUE(MID(Sync!$V1769,FIND(":",Sync!$V1769)+1,2)),2),"0000"))))</f>
        <v/>
      </c>
    </row>
    <row r="1773">
      <c r="A1773">
        <f>IF(Sync!$U1770="","",Sync!$U1770)</f>
        <v/>
      </c>
      <c r="B1773">
        <f>IF($A1773="","",IF(ISNUMBER($A1773),IF(AND($A1773&gt;=10000101,$A1773&lt;=99991231),INT($A1773/10000),""),IFERROR(VALUE(TRIM(LEFT($A1773,FIND("/",$A1773)-1))),"")))</f>
        <v/>
      </c>
      <c r="C1773">
        <f>IF(OR($A1773="",$B1773=""),"",IF(ISNUMBER($A1773),INT(MOD($A1773,10000)/100),IFERROR(VALUE(TRIM(LEFT(MID($A1773,FIND("/",$A1773)+1,20),FIND("/",MID($A1773,FIND("/",$A1773)+1,20))-1))),"")))</f>
        <v/>
      </c>
      <c r="D1773">
        <f>IF(OR($A1773="",$B1773=""),"",IF(ISNUMBER($A1773),MOD($A1773,100),IFERROR(VALUE(TRIM(MID(MID($A1773,FIND("/",$A1773)+1,20),FIND("/",MID($A1773,FIND("/",$A1773)+1,20))+1,20))),"")))</f>
        <v/>
      </c>
      <c r="E1773">
        <f>IF($A1773="","",IF(OR($B1773="",$C1773="",$D1773="",$B1773&lt;1300,$B1773&gt;1500,$C1773&lt;1,$C1773&gt;12,$D1773&lt;1,$D1773&gt;31),"نامعتبر",RIGHT("0000"&amp;$B1773,4)&amp;"/"&amp;RIGHT("00"&amp;$C1773,2)&amp;"/"&amp;RIGHT("00"&amp;$D1773,2)))</f>
        <v/>
      </c>
      <c r="F1773">
        <f>IF(OR($E1773="",$E1773="نامعتبر"),"",LEFT($E1773,4)&amp;"/"&amp;MID($E1773,6,2))</f>
        <v/>
      </c>
      <c r="G1773">
        <f>IF(OR($E1773="",$E1773="نامعتبر",Sync!$Y1770=""),"",Sync!$Y1770)</f>
        <v/>
      </c>
      <c r="H1773">
        <f>IF($G1773="","",IF(Sync!$X1770="","",Sync!$X1770))</f>
        <v/>
      </c>
      <c r="I1773">
        <f>IF($G1773="","",IFERROR(VLOOKUP(Sync!$X1770,OpTbl,3,0),""))</f>
        <v/>
      </c>
      <c r="J1773">
        <f>IF(OR($G1773="",Sync!$Z1770=""),"",Sync!$Z1770)</f>
        <v/>
      </c>
      <c r="K1773">
        <f>IF(OR($G1773="",Sync!$AA1770=""),"",Sync!$AA1770)</f>
        <v/>
      </c>
      <c r="L1773">
        <f>IF($G1773="",0,IF(Sync!$AB1770="",0,Sync!$AB1770))</f>
        <v/>
      </c>
      <c r="M1773">
        <f>IF($G1773="",0,IF(Sync!$AC1770="",0,Sync!$AC1770))</f>
        <v/>
      </c>
      <c r="N1773">
        <f>IF($G1773="","",IF($H1773="مرجوعی خرید",-1,1)*($L1773-$M1773*IFERROR(VLOOKUP("P01",ParamTbl,3,0),1.5))*(1-IF($I1773="خرید",IFERROR(VLOOKUP("P02",ParamTbl,3,0),1),0)/100))</f>
        <v/>
      </c>
      <c r="O1773">
        <f>IF($G1773="",0,IF($H1773="مرجوعی خرید",-1,1)*IF(Sync!$AD1770="",0,Sync!$AD1770))</f>
        <v/>
      </c>
      <c r="P1773">
        <f>IF(OR($G1773="",Sync!$W1770=""),"",Sync!$W1770)</f>
        <v/>
      </c>
      <c r="Q1773">
        <f>IF(OR($G1773="",Sync!$AE1770=""),"",Sync!$AE1770)</f>
        <v/>
      </c>
      <c r="R1773">
        <f>IF($G1773="","",IF(Sync!$V1770="","0000",IF(AND(ISNUMBER(Sync!$V1770),Sync!$V1770&gt;=0,Sync!$V1770&lt;1),RIGHT("00"&amp;HOUR(Sync!$V1770),2)&amp;RIGHT("00"&amp;MINUTE(Sync!$V1770),2),IFERROR(RIGHT("00"&amp;VALUE(LEFT(Sync!$V1770,FIND(":",Sync!$V1770)-1)),2)&amp;RIGHT("00"&amp;VALUE(MID(Sync!$V1770,FIND(":",Sync!$V1770)+1,2)),2),"0000"))))</f>
        <v/>
      </c>
    </row>
    <row r="1774">
      <c r="A1774">
        <f>IF(Sync!$U1771="","",Sync!$U1771)</f>
        <v/>
      </c>
      <c r="B1774">
        <f>IF($A1774="","",IF(ISNUMBER($A1774),IF(AND($A1774&gt;=10000101,$A1774&lt;=99991231),INT($A1774/10000),""),IFERROR(VALUE(TRIM(LEFT($A1774,FIND("/",$A1774)-1))),"")))</f>
        <v/>
      </c>
      <c r="C1774">
        <f>IF(OR($A1774="",$B1774=""),"",IF(ISNUMBER($A1774),INT(MOD($A1774,10000)/100),IFERROR(VALUE(TRIM(LEFT(MID($A1774,FIND("/",$A1774)+1,20),FIND("/",MID($A1774,FIND("/",$A1774)+1,20))-1))),"")))</f>
        <v/>
      </c>
      <c r="D1774">
        <f>IF(OR($A1774="",$B1774=""),"",IF(ISNUMBER($A1774),MOD($A1774,100),IFERROR(VALUE(TRIM(MID(MID($A1774,FIND("/",$A1774)+1,20),FIND("/",MID($A1774,FIND("/",$A1774)+1,20))+1,20))),"")))</f>
        <v/>
      </c>
      <c r="E1774">
        <f>IF($A1774="","",IF(OR($B1774="",$C1774="",$D1774="",$B1774&lt;1300,$B1774&gt;1500,$C1774&lt;1,$C1774&gt;12,$D1774&lt;1,$D1774&gt;31),"نامعتبر",RIGHT("0000"&amp;$B1774,4)&amp;"/"&amp;RIGHT("00"&amp;$C1774,2)&amp;"/"&amp;RIGHT("00"&amp;$D1774,2)))</f>
        <v/>
      </c>
      <c r="F1774">
        <f>IF(OR($E1774="",$E1774="نامعتبر"),"",LEFT($E1774,4)&amp;"/"&amp;MID($E1774,6,2))</f>
        <v/>
      </c>
      <c r="G1774">
        <f>IF(OR($E1774="",$E1774="نامعتبر",Sync!$Y1771=""),"",Sync!$Y1771)</f>
        <v/>
      </c>
      <c r="H1774">
        <f>IF($G1774="","",IF(Sync!$X1771="","",Sync!$X1771))</f>
        <v/>
      </c>
      <c r="I1774">
        <f>IF($G1774="","",IFERROR(VLOOKUP(Sync!$X1771,OpTbl,3,0),""))</f>
        <v/>
      </c>
      <c r="J1774">
        <f>IF(OR($G1774="",Sync!$Z1771=""),"",Sync!$Z1771)</f>
        <v/>
      </c>
      <c r="K1774">
        <f>IF(OR($G1774="",Sync!$AA1771=""),"",Sync!$AA1771)</f>
        <v/>
      </c>
      <c r="L1774">
        <f>IF($G1774="",0,IF(Sync!$AB1771="",0,Sync!$AB1771))</f>
        <v/>
      </c>
      <c r="M1774">
        <f>IF($G1774="",0,IF(Sync!$AC1771="",0,Sync!$AC1771))</f>
        <v/>
      </c>
      <c r="N1774">
        <f>IF($G1774="","",IF($H1774="مرجوعی خرید",-1,1)*($L1774-$M1774*IFERROR(VLOOKUP("P01",ParamTbl,3,0),1.5))*(1-IF($I1774="خرید",IFERROR(VLOOKUP("P02",ParamTbl,3,0),1),0)/100))</f>
        <v/>
      </c>
      <c r="O1774">
        <f>IF($G1774="",0,IF($H1774="مرجوعی خرید",-1,1)*IF(Sync!$AD1771="",0,Sync!$AD1771))</f>
        <v/>
      </c>
      <c r="P1774">
        <f>IF(OR($G1774="",Sync!$W1771=""),"",Sync!$W1771)</f>
        <v/>
      </c>
      <c r="Q1774">
        <f>IF(OR($G1774="",Sync!$AE1771=""),"",Sync!$AE1771)</f>
        <v/>
      </c>
      <c r="R1774">
        <f>IF($G1774="","",IF(Sync!$V1771="","0000",IF(AND(ISNUMBER(Sync!$V1771),Sync!$V1771&gt;=0,Sync!$V1771&lt;1),RIGHT("00"&amp;HOUR(Sync!$V1771),2)&amp;RIGHT("00"&amp;MINUTE(Sync!$V1771),2),IFERROR(RIGHT("00"&amp;VALUE(LEFT(Sync!$V1771,FIND(":",Sync!$V1771)-1)),2)&amp;RIGHT("00"&amp;VALUE(MID(Sync!$V1771,FIND(":",Sync!$V1771)+1,2)),2),"0000"))))</f>
        <v/>
      </c>
    </row>
    <row r="1775">
      <c r="A1775">
        <f>IF(Sync!$U1772="","",Sync!$U1772)</f>
        <v/>
      </c>
      <c r="B1775">
        <f>IF($A1775="","",IF(ISNUMBER($A1775),IF(AND($A1775&gt;=10000101,$A1775&lt;=99991231),INT($A1775/10000),""),IFERROR(VALUE(TRIM(LEFT($A1775,FIND("/",$A1775)-1))),"")))</f>
        <v/>
      </c>
      <c r="C1775">
        <f>IF(OR($A1775="",$B1775=""),"",IF(ISNUMBER($A1775),INT(MOD($A1775,10000)/100),IFERROR(VALUE(TRIM(LEFT(MID($A1775,FIND("/",$A1775)+1,20),FIND("/",MID($A1775,FIND("/",$A1775)+1,20))-1))),"")))</f>
        <v/>
      </c>
      <c r="D1775">
        <f>IF(OR($A1775="",$B1775=""),"",IF(ISNUMBER($A1775),MOD($A1775,100),IFERROR(VALUE(TRIM(MID(MID($A1775,FIND("/",$A1775)+1,20),FIND("/",MID($A1775,FIND("/",$A1775)+1,20))+1,20))),"")))</f>
        <v/>
      </c>
      <c r="E1775">
        <f>IF($A1775="","",IF(OR($B1775="",$C1775="",$D1775="",$B1775&lt;1300,$B1775&gt;1500,$C1775&lt;1,$C1775&gt;12,$D1775&lt;1,$D1775&gt;31),"نامعتبر",RIGHT("0000"&amp;$B1775,4)&amp;"/"&amp;RIGHT("00"&amp;$C1775,2)&amp;"/"&amp;RIGHT("00"&amp;$D1775,2)))</f>
        <v/>
      </c>
      <c r="F1775">
        <f>IF(OR($E1775="",$E1775="نامعتبر"),"",LEFT($E1775,4)&amp;"/"&amp;MID($E1775,6,2))</f>
        <v/>
      </c>
      <c r="G1775">
        <f>IF(OR($E1775="",$E1775="نامعتبر",Sync!$Y1772=""),"",Sync!$Y1772)</f>
        <v/>
      </c>
      <c r="H1775">
        <f>IF($G1775="","",IF(Sync!$X1772="","",Sync!$X1772))</f>
        <v/>
      </c>
      <c r="I1775">
        <f>IF($G1775="","",IFERROR(VLOOKUP(Sync!$X1772,OpTbl,3,0),""))</f>
        <v/>
      </c>
      <c r="J1775">
        <f>IF(OR($G1775="",Sync!$Z1772=""),"",Sync!$Z1772)</f>
        <v/>
      </c>
      <c r="K1775">
        <f>IF(OR($G1775="",Sync!$AA1772=""),"",Sync!$AA1772)</f>
        <v/>
      </c>
      <c r="L1775">
        <f>IF($G1775="",0,IF(Sync!$AB1772="",0,Sync!$AB1772))</f>
        <v/>
      </c>
      <c r="M1775">
        <f>IF($G1775="",0,IF(Sync!$AC1772="",0,Sync!$AC1772))</f>
        <v/>
      </c>
      <c r="N1775">
        <f>IF($G1775="","",IF($H1775="مرجوعی خرید",-1,1)*($L1775-$M1775*IFERROR(VLOOKUP("P01",ParamTbl,3,0),1.5))*(1-IF($I1775="خرید",IFERROR(VLOOKUP("P02",ParamTbl,3,0),1),0)/100))</f>
        <v/>
      </c>
      <c r="O1775">
        <f>IF($G1775="",0,IF($H1775="مرجوعی خرید",-1,1)*IF(Sync!$AD1772="",0,Sync!$AD1772))</f>
        <v/>
      </c>
      <c r="P1775">
        <f>IF(OR($G1775="",Sync!$W1772=""),"",Sync!$W1772)</f>
        <v/>
      </c>
      <c r="Q1775">
        <f>IF(OR($G1775="",Sync!$AE1772=""),"",Sync!$AE1772)</f>
        <v/>
      </c>
      <c r="R1775">
        <f>IF($G1775="","",IF(Sync!$V1772="","0000",IF(AND(ISNUMBER(Sync!$V1772),Sync!$V1772&gt;=0,Sync!$V1772&lt;1),RIGHT("00"&amp;HOUR(Sync!$V1772),2)&amp;RIGHT("00"&amp;MINUTE(Sync!$V1772),2),IFERROR(RIGHT("00"&amp;VALUE(LEFT(Sync!$V1772,FIND(":",Sync!$V1772)-1)),2)&amp;RIGHT("00"&amp;VALUE(MID(Sync!$V1772,FIND(":",Sync!$V1772)+1,2)),2),"0000"))))</f>
        <v/>
      </c>
    </row>
    <row r="1776">
      <c r="A1776">
        <f>IF(Sync!$U1773="","",Sync!$U1773)</f>
        <v/>
      </c>
      <c r="B1776">
        <f>IF($A1776="","",IF(ISNUMBER($A1776),IF(AND($A1776&gt;=10000101,$A1776&lt;=99991231),INT($A1776/10000),""),IFERROR(VALUE(TRIM(LEFT($A1776,FIND("/",$A1776)-1))),"")))</f>
        <v/>
      </c>
      <c r="C1776">
        <f>IF(OR($A1776="",$B1776=""),"",IF(ISNUMBER($A1776),INT(MOD($A1776,10000)/100),IFERROR(VALUE(TRIM(LEFT(MID($A1776,FIND("/",$A1776)+1,20),FIND("/",MID($A1776,FIND("/",$A1776)+1,20))-1))),"")))</f>
        <v/>
      </c>
      <c r="D1776">
        <f>IF(OR($A1776="",$B1776=""),"",IF(ISNUMBER($A1776),MOD($A1776,100),IFERROR(VALUE(TRIM(MID(MID($A1776,FIND("/",$A1776)+1,20),FIND("/",MID($A1776,FIND("/",$A1776)+1,20))+1,20))),"")))</f>
        <v/>
      </c>
      <c r="E1776">
        <f>IF($A1776="","",IF(OR($B1776="",$C1776="",$D1776="",$B1776&lt;1300,$B1776&gt;1500,$C1776&lt;1,$C1776&gt;12,$D1776&lt;1,$D1776&gt;31),"نامعتبر",RIGHT("0000"&amp;$B1776,4)&amp;"/"&amp;RIGHT("00"&amp;$C1776,2)&amp;"/"&amp;RIGHT("00"&amp;$D1776,2)))</f>
        <v/>
      </c>
      <c r="F1776">
        <f>IF(OR($E1776="",$E1776="نامعتبر"),"",LEFT($E1776,4)&amp;"/"&amp;MID($E1776,6,2))</f>
        <v/>
      </c>
      <c r="G1776">
        <f>IF(OR($E1776="",$E1776="نامعتبر",Sync!$Y1773=""),"",Sync!$Y1773)</f>
        <v/>
      </c>
      <c r="H1776">
        <f>IF($G1776="","",IF(Sync!$X1773="","",Sync!$X1773))</f>
        <v/>
      </c>
      <c r="I1776">
        <f>IF($G1776="","",IFERROR(VLOOKUP(Sync!$X1773,OpTbl,3,0),""))</f>
        <v/>
      </c>
      <c r="J1776">
        <f>IF(OR($G1776="",Sync!$Z1773=""),"",Sync!$Z1773)</f>
        <v/>
      </c>
      <c r="K1776">
        <f>IF(OR($G1776="",Sync!$AA1773=""),"",Sync!$AA1773)</f>
        <v/>
      </c>
      <c r="L1776">
        <f>IF($G1776="",0,IF(Sync!$AB1773="",0,Sync!$AB1773))</f>
        <v/>
      </c>
      <c r="M1776">
        <f>IF($G1776="",0,IF(Sync!$AC1773="",0,Sync!$AC1773))</f>
        <v/>
      </c>
      <c r="N1776">
        <f>IF($G1776="","",IF($H1776="مرجوعی خرید",-1,1)*($L1776-$M1776*IFERROR(VLOOKUP("P01",ParamTbl,3,0),1.5))*(1-IF($I1776="خرید",IFERROR(VLOOKUP("P02",ParamTbl,3,0),1),0)/100))</f>
        <v/>
      </c>
      <c r="O1776">
        <f>IF($G1776="",0,IF($H1776="مرجوعی خرید",-1,1)*IF(Sync!$AD1773="",0,Sync!$AD1773))</f>
        <v/>
      </c>
      <c r="P1776">
        <f>IF(OR($G1776="",Sync!$W1773=""),"",Sync!$W1773)</f>
        <v/>
      </c>
      <c r="Q1776">
        <f>IF(OR($G1776="",Sync!$AE1773=""),"",Sync!$AE1773)</f>
        <v/>
      </c>
      <c r="R1776">
        <f>IF($G1776="","",IF(Sync!$V1773="","0000",IF(AND(ISNUMBER(Sync!$V1773),Sync!$V1773&gt;=0,Sync!$V1773&lt;1),RIGHT("00"&amp;HOUR(Sync!$V1773),2)&amp;RIGHT("00"&amp;MINUTE(Sync!$V1773),2),IFERROR(RIGHT("00"&amp;VALUE(LEFT(Sync!$V1773,FIND(":",Sync!$V1773)-1)),2)&amp;RIGHT("00"&amp;VALUE(MID(Sync!$V1773,FIND(":",Sync!$V1773)+1,2)),2),"0000"))))</f>
        <v/>
      </c>
    </row>
    <row r="1777">
      <c r="A1777">
        <f>IF(Sync!$U1774="","",Sync!$U1774)</f>
        <v/>
      </c>
      <c r="B1777">
        <f>IF($A1777="","",IF(ISNUMBER($A1777),IF(AND($A1777&gt;=10000101,$A1777&lt;=99991231),INT($A1777/10000),""),IFERROR(VALUE(TRIM(LEFT($A1777,FIND("/",$A1777)-1))),"")))</f>
        <v/>
      </c>
      <c r="C1777">
        <f>IF(OR($A1777="",$B1777=""),"",IF(ISNUMBER($A1777),INT(MOD($A1777,10000)/100),IFERROR(VALUE(TRIM(LEFT(MID($A1777,FIND("/",$A1777)+1,20),FIND("/",MID($A1777,FIND("/",$A1777)+1,20))-1))),"")))</f>
        <v/>
      </c>
      <c r="D1777">
        <f>IF(OR($A1777="",$B1777=""),"",IF(ISNUMBER($A1777),MOD($A1777,100),IFERROR(VALUE(TRIM(MID(MID($A1777,FIND("/",$A1777)+1,20),FIND("/",MID($A1777,FIND("/",$A1777)+1,20))+1,20))),"")))</f>
        <v/>
      </c>
      <c r="E1777">
        <f>IF($A1777="","",IF(OR($B1777="",$C1777="",$D1777="",$B1777&lt;1300,$B1777&gt;1500,$C1777&lt;1,$C1777&gt;12,$D1777&lt;1,$D1777&gt;31),"نامعتبر",RIGHT("0000"&amp;$B1777,4)&amp;"/"&amp;RIGHT("00"&amp;$C1777,2)&amp;"/"&amp;RIGHT("00"&amp;$D1777,2)))</f>
        <v/>
      </c>
      <c r="F1777">
        <f>IF(OR($E1777="",$E1777="نامعتبر"),"",LEFT($E1777,4)&amp;"/"&amp;MID($E1777,6,2))</f>
        <v/>
      </c>
      <c r="G1777">
        <f>IF(OR($E1777="",$E1777="نامعتبر",Sync!$Y1774=""),"",Sync!$Y1774)</f>
        <v/>
      </c>
      <c r="H1777">
        <f>IF($G1777="","",IF(Sync!$X1774="","",Sync!$X1774))</f>
        <v/>
      </c>
      <c r="I1777">
        <f>IF($G1777="","",IFERROR(VLOOKUP(Sync!$X1774,OpTbl,3,0),""))</f>
        <v/>
      </c>
      <c r="J1777">
        <f>IF(OR($G1777="",Sync!$Z1774=""),"",Sync!$Z1774)</f>
        <v/>
      </c>
      <c r="K1777">
        <f>IF(OR($G1777="",Sync!$AA1774=""),"",Sync!$AA1774)</f>
        <v/>
      </c>
      <c r="L1777">
        <f>IF($G1777="",0,IF(Sync!$AB1774="",0,Sync!$AB1774))</f>
        <v/>
      </c>
      <c r="M1777">
        <f>IF($G1777="",0,IF(Sync!$AC1774="",0,Sync!$AC1774))</f>
        <v/>
      </c>
      <c r="N1777">
        <f>IF($G1777="","",IF($H1777="مرجوعی خرید",-1,1)*($L1777-$M1777*IFERROR(VLOOKUP("P01",ParamTbl,3,0),1.5))*(1-IF($I1777="خرید",IFERROR(VLOOKUP("P02",ParamTbl,3,0),1),0)/100))</f>
        <v/>
      </c>
      <c r="O1777">
        <f>IF($G1777="",0,IF($H1777="مرجوعی خرید",-1,1)*IF(Sync!$AD1774="",0,Sync!$AD1774))</f>
        <v/>
      </c>
      <c r="P1777">
        <f>IF(OR($G1777="",Sync!$W1774=""),"",Sync!$W1774)</f>
        <v/>
      </c>
      <c r="Q1777">
        <f>IF(OR($G1777="",Sync!$AE1774=""),"",Sync!$AE1774)</f>
        <v/>
      </c>
      <c r="R1777">
        <f>IF($G1777="","",IF(Sync!$V1774="","0000",IF(AND(ISNUMBER(Sync!$V1774),Sync!$V1774&gt;=0,Sync!$V1774&lt;1),RIGHT("00"&amp;HOUR(Sync!$V1774),2)&amp;RIGHT("00"&amp;MINUTE(Sync!$V1774),2),IFERROR(RIGHT("00"&amp;VALUE(LEFT(Sync!$V1774,FIND(":",Sync!$V1774)-1)),2)&amp;RIGHT("00"&amp;VALUE(MID(Sync!$V1774,FIND(":",Sync!$V1774)+1,2)),2),"0000"))))</f>
        <v/>
      </c>
    </row>
    <row r="1778">
      <c r="A1778">
        <f>IF(Sync!$U1775="","",Sync!$U1775)</f>
        <v/>
      </c>
      <c r="B1778">
        <f>IF($A1778="","",IF(ISNUMBER($A1778),IF(AND($A1778&gt;=10000101,$A1778&lt;=99991231),INT($A1778/10000),""),IFERROR(VALUE(TRIM(LEFT($A1778,FIND("/",$A1778)-1))),"")))</f>
        <v/>
      </c>
      <c r="C1778">
        <f>IF(OR($A1778="",$B1778=""),"",IF(ISNUMBER($A1778),INT(MOD($A1778,10000)/100),IFERROR(VALUE(TRIM(LEFT(MID($A1778,FIND("/",$A1778)+1,20),FIND("/",MID($A1778,FIND("/",$A1778)+1,20))-1))),"")))</f>
        <v/>
      </c>
      <c r="D1778">
        <f>IF(OR($A1778="",$B1778=""),"",IF(ISNUMBER($A1778),MOD($A1778,100),IFERROR(VALUE(TRIM(MID(MID($A1778,FIND("/",$A1778)+1,20),FIND("/",MID($A1778,FIND("/",$A1778)+1,20))+1,20))),"")))</f>
        <v/>
      </c>
      <c r="E1778">
        <f>IF($A1778="","",IF(OR($B1778="",$C1778="",$D1778="",$B1778&lt;1300,$B1778&gt;1500,$C1778&lt;1,$C1778&gt;12,$D1778&lt;1,$D1778&gt;31),"نامعتبر",RIGHT("0000"&amp;$B1778,4)&amp;"/"&amp;RIGHT("00"&amp;$C1778,2)&amp;"/"&amp;RIGHT("00"&amp;$D1778,2)))</f>
        <v/>
      </c>
      <c r="F1778">
        <f>IF(OR($E1778="",$E1778="نامعتبر"),"",LEFT($E1778,4)&amp;"/"&amp;MID($E1778,6,2))</f>
        <v/>
      </c>
      <c r="G1778">
        <f>IF(OR($E1778="",$E1778="نامعتبر",Sync!$Y1775=""),"",Sync!$Y1775)</f>
        <v/>
      </c>
      <c r="H1778">
        <f>IF($G1778="","",IF(Sync!$X1775="","",Sync!$X1775))</f>
        <v/>
      </c>
      <c r="I1778">
        <f>IF($G1778="","",IFERROR(VLOOKUP(Sync!$X1775,OpTbl,3,0),""))</f>
        <v/>
      </c>
      <c r="J1778">
        <f>IF(OR($G1778="",Sync!$Z1775=""),"",Sync!$Z1775)</f>
        <v/>
      </c>
      <c r="K1778">
        <f>IF(OR($G1778="",Sync!$AA1775=""),"",Sync!$AA1775)</f>
        <v/>
      </c>
      <c r="L1778">
        <f>IF($G1778="",0,IF(Sync!$AB1775="",0,Sync!$AB1775))</f>
        <v/>
      </c>
      <c r="M1778">
        <f>IF($G1778="",0,IF(Sync!$AC1775="",0,Sync!$AC1775))</f>
        <v/>
      </c>
      <c r="N1778">
        <f>IF($G1778="","",IF($H1778="مرجوعی خرید",-1,1)*($L1778-$M1778*IFERROR(VLOOKUP("P01",ParamTbl,3,0),1.5))*(1-IF($I1778="خرید",IFERROR(VLOOKUP("P02",ParamTbl,3,0),1),0)/100))</f>
        <v/>
      </c>
      <c r="O1778">
        <f>IF($G1778="",0,IF($H1778="مرجوعی خرید",-1,1)*IF(Sync!$AD1775="",0,Sync!$AD1775))</f>
        <v/>
      </c>
      <c r="P1778">
        <f>IF(OR($G1778="",Sync!$W1775=""),"",Sync!$W1775)</f>
        <v/>
      </c>
      <c r="Q1778">
        <f>IF(OR($G1778="",Sync!$AE1775=""),"",Sync!$AE1775)</f>
        <v/>
      </c>
      <c r="R1778">
        <f>IF($G1778="","",IF(Sync!$V1775="","0000",IF(AND(ISNUMBER(Sync!$V1775),Sync!$V1775&gt;=0,Sync!$V1775&lt;1),RIGHT("00"&amp;HOUR(Sync!$V1775),2)&amp;RIGHT("00"&amp;MINUTE(Sync!$V1775),2),IFERROR(RIGHT("00"&amp;VALUE(LEFT(Sync!$V1775,FIND(":",Sync!$V1775)-1)),2)&amp;RIGHT("00"&amp;VALUE(MID(Sync!$V1775,FIND(":",Sync!$V1775)+1,2)),2),"0000"))))</f>
        <v/>
      </c>
    </row>
    <row r="1779">
      <c r="A1779">
        <f>IF(Sync!$U1776="","",Sync!$U1776)</f>
        <v/>
      </c>
      <c r="B1779">
        <f>IF($A1779="","",IF(ISNUMBER($A1779),IF(AND($A1779&gt;=10000101,$A1779&lt;=99991231),INT($A1779/10000),""),IFERROR(VALUE(TRIM(LEFT($A1779,FIND("/",$A1779)-1))),"")))</f>
        <v/>
      </c>
      <c r="C1779">
        <f>IF(OR($A1779="",$B1779=""),"",IF(ISNUMBER($A1779),INT(MOD($A1779,10000)/100),IFERROR(VALUE(TRIM(LEFT(MID($A1779,FIND("/",$A1779)+1,20),FIND("/",MID($A1779,FIND("/",$A1779)+1,20))-1))),"")))</f>
        <v/>
      </c>
      <c r="D1779">
        <f>IF(OR($A1779="",$B1779=""),"",IF(ISNUMBER($A1779),MOD($A1779,100),IFERROR(VALUE(TRIM(MID(MID($A1779,FIND("/",$A1779)+1,20),FIND("/",MID($A1779,FIND("/",$A1779)+1,20))+1,20))),"")))</f>
        <v/>
      </c>
      <c r="E1779">
        <f>IF($A1779="","",IF(OR($B1779="",$C1779="",$D1779="",$B1779&lt;1300,$B1779&gt;1500,$C1779&lt;1,$C1779&gt;12,$D1779&lt;1,$D1779&gt;31),"نامعتبر",RIGHT("0000"&amp;$B1779,4)&amp;"/"&amp;RIGHT("00"&amp;$C1779,2)&amp;"/"&amp;RIGHT("00"&amp;$D1779,2)))</f>
        <v/>
      </c>
      <c r="F1779">
        <f>IF(OR($E1779="",$E1779="نامعتبر"),"",LEFT($E1779,4)&amp;"/"&amp;MID($E1779,6,2))</f>
        <v/>
      </c>
      <c r="G1779">
        <f>IF(OR($E1779="",$E1779="نامعتبر",Sync!$Y1776=""),"",Sync!$Y1776)</f>
        <v/>
      </c>
      <c r="H1779">
        <f>IF($G1779="","",IF(Sync!$X1776="","",Sync!$X1776))</f>
        <v/>
      </c>
      <c r="I1779">
        <f>IF($G1779="","",IFERROR(VLOOKUP(Sync!$X1776,OpTbl,3,0),""))</f>
        <v/>
      </c>
      <c r="J1779">
        <f>IF(OR($G1779="",Sync!$Z1776=""),"",Sync!$Z1776)</f>
        <v/>
      </c>
      <c r="K1779">
        <f>IF(OR($G1779="",Sync!$AA1776=""),"",Sync!$AA1776)</f>
        <v/>
      </c>
      <c r="L1779">
        <f>IF($G1779="",0,IF(Sync!$AB1776="",0,Sync!$AB1776))</f>
        <v/>
      </c>
      <c r="M1779">
        <f>IF($G1779="",0,IF(Sync!$AC1776="",0,Sync!$AC1776))</f>
        <v/>
      </c>
      <c r="N1779">
        <f>IF($G1779="","",IF($H1779="مرجوعی خرید",-1,1)*($L1779-$M1779*IFERROR(VLOOKUP("P01",ParamTbl,3,0),1.5))*(1-IF($I1779="خرید",IFERROR(VLOOKUP("P02",ParamTbl,3,0),1),0)/100))</f>
        <v/>
      </c>
      <c r="O1779">
        <f>IF($G1779="",0,IF($H1779="مرجوعی خرید",-1,1)*IF(Sync!$AD1776="",0,Sync!$AD1776))</f>
        <v/>
      </c>
      <c r="P1779">
        <f>IF(OR($G1779="",Sync!$W1776=""),"",Sync!$W1776)</f>
        <v/>
      </c>
      <c r="Q1779">
        <f>IF(OR($G1779="",Sync!$AE1776=""),"",Sync!$AE1776)</f>
        <v/>
      </c>
      <c r="R1779">
        <f>IF($G1779="","",IF(Sync!$V1776="","0000",IF(AND(ISNUMBER(Sync!$V1776),Sync!$V1776&gt;=0,Sync!$V1776&lt;1),RIGHT("00"&amp;HOUR(Sync!$V1776),2)&amp;RIGHT("00"&amp;MINUTE(Sync!$V1776),2),IFERROR(RIGHT("00"&amp;VALUE(LEFT(Sync!$V1776,FIND(":",Sync!$V1776)-1)),2)&amp;RIGHT("00"&amp;VALUE(MID(Sync!$V1776,FIND(":",Sync!$V1776)+1,2)),2),"0000"))))</f>
        <v/>
      </c>
    </row>
    <row r="1780">
      <c r="A1780">
        <f>IF(Sync!$U1777="","",Sync!$U1777)</f>
        <v/>
      </c>
      <c r="B1780">
        <f>IF($A1780="","",IF(ISNUMBER($A1780),IF(AND($A1780&gt;=10000101,$A1780&lt;=99991231),INT($A1780/10000),""),IFERROR(VALUE(TRIM(LEFT($A1780,FIND("/",$A1780)-1))),"")))</f>
        <v/>
      </c>
      <c r="C1780">
        <f>IF(OR($A1780="",$B1780=""),"",IF(ISNUMBER($A1780),INT(MOD($A1780,10000)/100),IFERROR(VALUE(TRIM(LEFT(MID($A1780,FIND("/",$A1780)+1,20),FIND("/",MID($A1780,FIND("/",$A1780)+1,20))-1))),"")))</f>
        <v/>
      </c>
      <c r="D1780">
        <f>IF(OR($A1780="",$B1780=""),"",IF(ISNUMBER($A1780),MOD($A1780,100),IFERROR(VALUE(TRIM(MID(MID($A1780,FIND("/",$A1780)+1,20),FIND("/",MID($A1780,FIND("/",$A1780)+1,20))+1,20))),"")))</f>
        <v/>
      </c>
      <c r="E1780">
        <f>IF($A1780="","",IF(OR($B1780="",$C1780="",$D1780="",$B1780&lt;1300,$B1780&gt;1500,$C1780&lt;1,$C1780&gt;12,$D1780&lt;1,$D1780&gt;31),"نامعتبر",RIGHT("0000"&amp;$B1780,4)&amp;"/"&amp;RIGHT("00"&amp;$C1780,2)&amp;"/"&amp;RIGHT("00"&amp;$D1780,2)))</f>
        <v/>
      </c>
      <c r="F1780">
        <f>IF(OR($E1780="",$E1780="نامعتبر"),"",LEFT($E1780,4)&amp;"/"&amp;MID($E1780,6,2))</f>
        <v/>
      </c>
      <c r="G1780">
        <f>IF(OR($E1780="",$E1780="نامعتبر",Sync!$Y1777=""),"",Sync!$Y1777)</f>
        <v/>
      </c>
      <c r="H1780">
        <f>IF($G1780="","",IF(Sync!$X1777="","",Sync!$X1777))</f>
        <v/>
      </c>
      <c r="I1780">
        <f>IF($G1780="","",IFERROR(VLOOKUP(Sync!$X1777,OpTbl,3,0),""))</f>
        <v/>
      </c>
      <c r="J1780">
        <f>IF(OR($G1780="",Sync!$Z1777=""),"",Sync!$Z1777)</f>
        <v/>
      </c>
      <c r="K1780">
        <f>IF(OR($G1780="",Sync!$AA1777=""),"",Sync!$AA1777)</f>
        <v/>
      </c>
      <c r="L1780">
        <f>IF($G1780="",0,IF(Sync!$AB1777="",0,Sync!$AB1777))</f>
        <v/>
      </c>
      <c r="M1780">
        <f>IF($G1780="",0,IF(Sync!$AC1777="",0,Sync!$AC1777))</f>
        <v/>
      </c>
      <c r="N1780">
        <f>IF($G1780="","",IF($H1780="مرجوعی خرید",-1,1)*($L1780-$M1780*IFERROR(VLOOKUP("P01",ParamTbl,3,0),1.5))*(1-IF($I1780="خرید",IFERROR(VLOOKUP("P02",ParamTbl,3,0),1),0)/100))</f>
        <v/>
      </c>
      <c r="O1780">
        <f>IF($G1780="",0,IF($H1780="مرجوعی خرید",-1,1)*IF(Sync!$AD1777="",0,Sync!$AD1777))</f>
        <v/>
      </c>
      <c r="P1780">
        <f>IF(OR($G1780="",Sync!$W1777=""),"",Sync!$W1777)</f>
        <v/>
      </c>
      <c r="Q1780">
        <f>IF(OR($G1780="",Sync!$AE1777=""),"",Sync!$AE1777)</f>
        <v/>
      </c>
      <c r="R1780">
        <f>IF($G1780="","",IF(Sync!$V1777="","0000",IF(AND(ISNUMBER(Sync!$V1777),Sync!$V1777&gt;=0,Sync!$V1777&lt;1),RIGHT("00"&amp;HOUR(Sync!$V1777),2)&amp;RIGHT("00"&amp;MINUTE(Sync!$V1777),2),IFERROR(RIGHT("00"&amp;VALUE(LEFT(Sync!$V1777,FIND(":",Sync!$V1777)-1)),2)&amp;RIGHT("00"&amp;VALUE(MID(Sync!$V1777,FIND(":",Sync!$V1777)+1,2)),2),"0000"))))</f>
        <v/>
      </c>
    </row>
    <row r="1781">
      <c r="A1781">
        <f>IF(Sync!$U1778="","",Sync!$U1778)</f>
        <v/>
      </c>
      <c r="B1781">
        <f>IF($A1781="","",IF(ISNUMBER($A1781),IF(AND($A1781&gt;=10000101,$A1781&lt;=99991231),INT($A1781/10000),""),IFERROR(VALUE(TRIM(LEFT($A1781,FIND("/",$A1781)-1))),"")))</f>
        <v/>
      </c>
      <c r="C1781">
        <f>IF(OR($A1781="",$B1781=""),"",IF(ISNUMBER($A1781),INT(MOD($A1781,10000)/100),IFERROR(VALUE(TRIM(LEFT(MID($A1781,FIND("/",$A1781)+1,20),FIND("/",MID($A1781,FIND("/",$A1781)+1,20))-1))),"")))</f>
        <v/>
      </c>
      <c r="D1781">
        <f>IF(OR($A1781="",$B1781=""),"",IF(ISNUMBER($A1781),MOD($A1781,100),IFERROR(VALUE(TRIM(MID(MID($A1781,FIND("/",$A1781)+1,20),FIND("/",MID($A1781,FIND("/",$A1781)+1,20))+1,20))),"")))</f>
        <v/>
      </c>
      <c r="E1781">
        <f>IF($A1781="","",IF(OR($B1781="",$C1781="",$D1781="",$B1781&lt;1300,$B1781&gt;1500,$C1781&lt;1,$C1781&gt;12,$D1781&lt;1,$D1781&gt;31),"نامعتبر",RIGHT("0000"&amp;$B1781,4)&amp;"/"&amp;RIGHT("00"&amp;$C1781,2)&amp;"/"&amp;RIGHT("00"&amp;$D1781,2)))</f>
        <v/>
      </c>
      <c r="F1781">
        <f>IF(OR($E1781="",$E1781="نامعتبر"),"",LEFT($E1781,4)&amp;"/"&amp;MID($E1781,6,2))</f>
        <v/>
      </c>
      <c r="G1781">
        <f>IF(OR($E1781="",$E1781="نامعتبر",Sync!$Y1778=""),"",Sync!$Y1778)</f>
        <v/>
      </c>
      <c r="H1781">
        <f>IF($G1781="","",IF(Sync!$X1778="","",Sync!$X1778))</f>
        <v/>
      </c>
      <c r="I1781">
        <f>IF($G1781="","",IFERROR(VLOOKUP(Sync!$X1778,OpTbl,3,0),""))</f>
        <v/>
      </c>
      <c r="J1781">
        <f>IF(OR($G1781="",Sync!$Z1778=""),"",Sync!$Z1778)</f>
        <v/>
      </c>
      <c r="K1781">
        <f>IF(OR($G1781="",Sync!$AA1778=""),"",Sync!$AA1778)</f>
        <v/>
      </c>
      <c r="L1781">
        <f>IF($G1781="",0,IF(Sync!$AB1778="",0,Sync!$AB1778))</f>
        <v/>
      </c>
      <c r="M1781">
        <f>IF($G1781="",0,IF(Sync!$AC1778="",0,Sync!$AC1778))</f>
        <v/>
      </c>
      <c r="N1781">
        <f>IF($G1781="","",IF($H1781="مرجوعی خرید",-1,1)*($L1781-$M1781*IFERROR(VLOOKUP("P01",ParamTbl,3,0),1.5))*(1-IF($I1781="خرید",IFERROR(VLOOKUP("P02",ParamTbl,3,0),1),0)/100))</f>
        <v/>
      </c>
      <c r="O1781">
        <f>IF($G1781="",0,IF($H1781="مرجوعی خرید",-1,1)*IF(Sync!$AD1778="",0,Sync!$AD1778))</f>
        <v/>
      </c>
      <c r="P1781">
        <f>IF(OR($G1781="",Sync!$W1778=""),"",Sync!$W1778)</f>
        <v/>
      </c>
      <c r="Q1781">
        <f>IF(OR($G1781="",Sync!$AE1778=""),"",Sync!$AE1778)</f>
        <v/>
      </c>
      <c r="R1781">
        <f>IF($G1781="","",IF(Sync!$V1778="","0000",IF(AND(ISNUMBER(Sync!$V1778),Sync!$V1778&gt;=0,Sync!$V1778&lt;1),RIGHT("00"&amp;HOUR(Sync!$V1778),2)&amp;RIGHT("00"&amp;MINUTE(Sync!$V1778),2),IFERROR(RIGHT("00"&amp;VALUE(LEFT(Sync!$V1778,FIND(":",Sync!$V1778)-1)),2)&amp;RIGHT("00"&amp;VALUE(MID(Sync!$V1778,FIND(":",Sync!$V1778)+1,2)),2),"0000"))))</f>
        <v/>
      </c>
    </row>
    <row r="1782">
      <c r="A1782">
        <f>IF(Sync!$U1779="","",Sync!$U1779)</f>
        <v/>
      </c>
      <c r="B1782">
        <f>IF($A1782="","",IF(ISNUMBER($A1782),IF(AND($A1782&gt;=10000101,$A1782&lt;=99991231),INT($A1782/10000),""),IFERROR(VALUE(TRIM(LEFT($A1782,FIND("/",$A1782)-1))),"")))</f>
        <v/>
      </c>
      <c r="C1782">
        <f>IF(OR($A1782="",$B1782=""),"",IF(ISNUMBER($A1782),INT(MOD($A1782,10000)/100),IFERROR(VALUE(TRIM(LEFT(MID($A1782,FIND("/",$A1782)+1,20),FIND("/",MID($A1782,FIND("/",$A1782)+1,20))-1))),"")))</f>
        <v/>
      </c>
      <c r="D1782">
        <f>IF(OR($A1782="",$B1782=""),"",IF(ISNUMBER($A1782),MOD($A1782,100),IFERROR(VALUE(TRIM(MID(MID($A1782,FIND("/",$A1782)+1,20),FIND("/",MID($A1782,FIND("/",$A1782)+1,20))+1,20))),"")))</f>
        <v/>
      </c>
      <c r="E1782">
        <f>IF($A1782="","",IF(OR($B1782="",$C1782="",$D1782="",$B1782&lt;1300,$B1782&gt;1500,$C1782&lt;1,$C1782&gt;12,$D1782&lt;1,$D1782&gt;31),"نامعتبر",RIGHT("0000"&amp;$B1782,4)&amp;"/"&amp;RIGHT("00"&amp;$C1782,2)&amp;"/"&amp;RIGHT("00"&amp;$D1782,2)))</f>
        <v/>
      </c>
      <c r="F1782">
        <f>IF(OR($E1782="",$E1782="نامعتبر"),"",LEFT($E1782,4)&amp;"/"&amp;MID($E1782,6,2))</f>
        <v/>
      </c>
      <c r="G1782">
        <f>IF(OR($E1782="",$E1782="نامعتبر",Sync!$Y1779=""),"",Sync!$Y1779)</f>
        <v/>
      </c>
      <c r="H1782">
        <f>IF($G1782="","",IF(Sync!$X1779="","",Sync!$X1779))</f>
        <v/>
      </c>
      <c r="I1782">
        <f>IF($G1782="","",IFERROR(VLOOKUP(Sync!$X1779,OpTbl,3,0),""))</f>
        <v/>
      </c>
      <c r="J1782">
        <f>IF(OR($G1782="",Sync!$Z1779=""),"",Sync!$Z1779)</f>
        <v/>
      </c>
      <c r="K1782">
        <f>IF(OR($G1782="",Sync!$AA1779=""),"",Sync!$AA1779)</f>
        <v/>
      </c>
      <c r="L1782">
        <f>IF($G1782="",0,IF(Sync!$AB1779="",0,Sync!$AB1779))</f>
        <v/>
      </c>
      <c r="M1782">
        <f>IF($G1782="",0,IF(Sync!$AC1779="",0,Sync!$AC1779))</f>
        <v/>
      </c>
      <c r="N1782">
        <f>IF($G1782="","",IF($H1782="مرجوعی خرید",-1,1)*($L1782-$M1782*IFERROR(VLOOKUP("P01",ParamTbl,3,0),1.5))*(1-IF($I1782="خرید",IFERROR(VLOOKUP("P02",ParamTbl,3,0),1),0)/100))</f>
        <v/>
      </c>
      <c r="O1782">
        <f>IF($G1782="",0,IF($H1782="مرجوعی خرید",-1,1)*IF(Sync!$AD1779="",0,Sync!$AD1779))</f>
        <v/>
      </c>
      <c r="P1782">
        <f>IF(OR($G1782="",Sync!$W1779=""),"",Sync!$W1779)</f>
        <v/>
      </c>
      <c r="Q1782">
        <f>IF(OR($G1782="",Sync!$AE1779=""),"",Sync!$AE1779)</f>
        <v/>
      </c>
      <c r="R1782">
        <f>IF($G1782="","",IF(Sync!$V1779="","0000",IF(AND(ISNUMBER(Sync!$V1779),Sync!$V1779&gt;=0,Sync!$V1779&lt;1),RIGHT("00"&amp;HOUR(Sync!$V1779),2)&amp;RIGHT("00"&amp;MINUTE(Sync!$V1779),2),IFERROR(RIGHT("00"&amp;VALUE(LEFT(Sync!$V1779,FIND(":",Sync!$V1779)-1)),2)&amp;RIGHT("00"&amp;VALUE(MID(Sync!$V1779,FIND(":",Sync!$V1779)+1,2)),2),"0000"))))</f>
        <v/>
      </c>
    </row>
    <row r="1783">
      <c r="A1783">
        <f>IF(Sync!$U1780="","",Sync!$U1780)</f>
        <v/>
      </c>
      <c r="B1783">
        <f>IF($A1783="","",IF(ISNUMBER($A1783),IF(AND($A1783&gt;=10000101,$A1783&lt;=99991231),INT($A1783/10000),""),IFERROR(VALUE(TRIM(LEFT($A1783,FIND("/",$A1783)-1))),"")))</f>
        <v/>
      </c>
      <c r="C1783">
        <f>IF(OR($A1783="",$B1783=""),"",IF(ISNUMBER($A1783),INT(MOD($A1783,10000)/100),IFERROR(VALUE(TRIM(LEFT(MID($A1783,FIND("/",$A1783)+1,20),FIND("/",MID($A1783,FIND("/",$A1783)+1,20))-1))),"")))</f>
        <v/>
      </c>
      <c r="D1783">
        <f>IF(OR($A1783="",$B1783=""),"",IF(ISNUMBER($A1783),MOD($A1783,100),IFERROR(VALUE(TRIM(MID(MID($A1783,FIND("/",$A1783)+1,20),FIND("/",MID($A1783,FIND("/",$A1783)+1,20))+1,20))),"")))</f>
        <v/>
      </c>
      <c r="E1783">
        <f>IF($A1783="","",IF(OR($B1783="",$C1783="",$D1783="",$B1783&lt;1300,$B1783&gt;1500,$C1783&lt;1,$C1783&gt;12,$D1783&lt;1,$D1783&gt;31),"نامعتبر",RIGHT("0000"&amp;$B1783,4)&amp;"/"&amp;RIGHT("00"&amp;$C1783,2)&amp;"/"&amp;RIGHT("00"&amp;$D1783,2)))</f>
        <v/>
      </c>
      <c r="F1783">
        <f>IF(OR($E1783="",$E1783="نامعتبر"),"",LEFT($E1783,4)&amp;"/"&amp;MID($E1783,6,2))</f>
        <v/>
      </c>
      <c r="G1783">
        <f>IF(OR($E1783="",$E1783="نامعتبر",Sync!$Y1780=""),"",Sync!$Y1780)</f>
        <v/>
      </c>
      <c r="H1783">
        <f>IF($G1783="","",IF(Sync!$X1780="","",Sync!$X1780))</f>
        <v/>
      </c>
      <c r="I1783">
        <f>IF($G1783="","",IFERROR(VLOOKUP(Sync!$X1780,OpTbl,3,0),""))</f>
        <v/>
      </c>
      <c r="J1783">
        <f>IF(OR($G1783="",Sync!$Z1780=""),"",Sync!$Z1780)</f>
        <v/>
      </c>
      <c r="K1783">
        <f>IF(OR($G1783="",Sync!$AA1780=""),"",Sync!$AA1780)</f>
        <v/>
      </c>
      <c r="L1783">
        <f>IF($G1783="",0,IF(Sync!$AB1780="",0,Sync!$AB1780))</f>
        <v/>
      </c>
      <c r="M1783">
        <f>IF($G1783="",0,IF(Sync!$AC1780="",0,Sync!$AC1780))</f>
        <v/>
      </c>
      <c r="N1783">
        <f>IF($G1783="","",IF($H1783="مرجوعی خرید",-1,1)*($L1783-$M1783*IFERROR(VLOOKUP("P01",ParamTbl,3,0),1.5))*(1-IF($I1783="خرید",IFERROR(VLOOKUP("P02",ParamTbl,3,0),1),0)/100))</f>
        <v/>
      </c>
      <c r="O1783">
        <f>IF($G1783="",0,IF($H1783="مرجوعی خرید",-1,1)*IF(Sync!$AD1780="",0,Sync!$AD1780))</f>
        <v/>
      </c>
      <c r="P1783">
        <f>IF(OR($G1783="",Sync!$W1780=""),"",Sync!$W1780)</f>
        <v/>
      </c>
      <c r="Q1783">
        <f>IF(OR($G1783="",Sync!$AE1780=""),"",Sync!$AE1780)</f>
        <v/>
      </c>
      <c r="R1783">
        <f>IF($G1783="","",IF(Sync!$V1780="","0000",IF(AND(ISNUMBER(Sync!$V1780),Sync!$V1780&gt;=0,Sync!$V1780&lt;1),RIGHT("00"&amp;HOUR(Sync!$V1780),2)&amp;RIGHT("00"&amp;MINUTE(Sync!$V1780),2),IFERROR(RIGHT("00"&amp;VALUE(LEFT(Sync!$V1780,FIND(":",Sync!$V1780)-1)),2)&amp;RIGHT("00"&amp;VALUE(MID(Sync!$V1780,FIND(":",Sync!$V1780)+1,2)),2),"0000"))))</f>
        <v/>
      </c>
    </row>
    <row r="1784">
      <c r="A1784">
        <f>IF(Sync!$U1781="","",Sync!$U1781)</f>
        <v/>
      </c>
      <c r="B1784">
        <f>IF($A1784="","",IF(ISNUMBER($A1784),IF(AND($A1784&gt;=10000101,$A1784&lt;=99991231),INT($A1784/10000),""),IFERROR(VALUE(TRIM(LEFT($A1784,FIND("/",$A1784)-1))),"")))</f>
        <v/>
      </c>
      <c r="C1784">
        <f>IF(OR($A1784="",$B1784=""),"",IF(ISNUMBER($A1784),INT(MOD($A1784,10000)/100),IFERROR(VALUE(TRIM(LEFT(MID($A1784,FIND("/",$A1784)+1,20),FIND("/",MID($A1784,FIND("/",$A1784)+1,20))-1))),"")))</f>
        <v/>
      </c>
      <c r="D1784">
        <f>IF(OR($A1784="",$B1784=""),"",IF(ISNUMBER($A1784),MOD($A1784,100),IFERROR(VALUE(TRIM(MID(MID($A1784,FIND("/",$A1784)+1,20),FIND("/",MID($A1784,FIND("/",$A1784)+1,20))+1,20))),"")))</f>
        <v/>
      </c>
      <c r="E1784">
        <f>IF($A1784="","",IF(OR($B1784="",$C1784="",$D1784="",$B1784&lt;1300,$B1784&gt;1500,$C1784&lt;1,$C1784&gt;12,$D1784&lt;1,$D1784&gt;31),"نامعتبر",RIGHT("0000"&amp;$B1784,4)&amp;"/"&amp;RIGHT("00"&amp;$C1784,2)&amp;"/"&amp;RIGHT("00"&amp;$D1784,2)))</f>
        <v/>
      </c>
      <c r="F1784">
        <f>IF(OR($E1784="",$E1784="نامعتبر"),"",LEFT($E1784,4)&amp;"/"&amp;MID($E1784,6,2))</f>
        <v/>
      </c>
      <c r="G1784">
        <f>IF(OR($E1784="",$E1784="نامعتبر",Sync!$Y1781=""),"",Sync!$Y1781)</f>
        <v/>
      </c>
      <c r="H1784">
        <f>IF($G1784="","",IF(Sync!$X1781="","",Sync!$X1781))</f>
        <v/>
      </c>
      <c r="I1784">
        <f>IF($G1784="","",IFERROR(VLOOKUP(Sync!$X1781,OpTbl,3,0),""))</f>
        <v/>
      </c>
      <c r="J1784">
        <f>IF(OR($G1784="",Sync!$Z1781=""),"",Sync!$Z1781)</f>
        <v/>
      </c>
      <c r="K1784">
        <f>IF(OR($G1784="",Sync!$AA1781=""),"",Sync!$AA1781)</f>
        <v/>
      </c>
      <c r="L1784">
        <f>IF($G1784="",0,IF(Sync!$AB1781="",0,Sync!$AB1781))</f>
        <v/>
      </c>
      <c r="M1784">
        <f>IF($G1784="",0,IF(Sync!$AC1781="",0,Sync!$AC1781))</f>
        <v/>
      </c>
      <c r="N1784">
        <f>IF($G1784="","",IF($H1784="مرجوعی خرید",-1,1)*($L1784-$M1784*IFERROR(VLOOKUP("P01",ParamTbl,3,0),1.5))*(1-IF($I1784="خرید",IFERROR(VLOOKUP("P02",ParamTbl,3,0),1),0)/100))</f>
        <v/>
      </c>
      <c r="O1784">
        <f>IF($G1784="",0,IF($H1784="مرجوعی خرید",-1,1)*IF(Sync!$AD1781="",0,Sync!$AD1781))</f>
        <v/>
      </c>
      <c r="P1784">
        <f>IF(OR($G1784="",Sync!$W1781=""),"",Sync!$W1781)</f>
        <v/>
      </c>
      <c r="Q1784">
        <f>IF(OR($G1784="",Sync!$AE1781=""),"",Sync!$AE1781)</f>
        <v/>
      </c>
      <c r="R1784">
        <f>IF($G1784="","",IF(Sync!$V1781="","0000",IF(AND(ISNUMBER(Sync!$V1781),Sync!$V1781&gt;=0,Sync!$V1781&lt;1),RIGHT("00"&amp;HOUR(Sync!$V1781),2)&amp;RIGHT("00"&amp;MINUTE(Sync!$V1781),2),IFERROR(RIGHT("00"&amp;VALUE(LEFT(Sync!$V1781,FIND(":",Sync!$V1781)-1)),2)&amp;RIGHT("00"&amp;VALUE(MID(Sync!$V1781,FIND(":",Sync!$V1781)+1,2)),2),"0000"))))</f>
        <v/>
      </c>
    </row>
    <row r="1785">
      <c r="A1785">
        <f>IF(Sync!$U1782="","",Sync!$U1782)</f>
        <v/>
      </c>
      <c r="B1785">
        <f>IF($A1785="","",IF(ISNUMBER($A1785),IF(AND($A1785&gt;=10000101,$A1785&lt;=99991231),INT($A1785/10000),""),IFERROR(VALUE(TRIM(LEFT($A1785,FIND("/",$A1785)-1))),"")))</f>
        <v/>
      </c>
      <c r="C1785">
        <f>IF(OR($A1785="",$B1785=""),"",IF(ISNUMBER($A1785),INT(MOD($A1785,10000)/100),IFERROR(VALUE(TRIM(LEFT(MID($A1785,FIND("/",$A1785)+1,20),FIND("/",MID($A1785,FIND("/",$A1785)+1,20))-1))),"")))</f>
        <v/>
      </c>
      <c r="D1785">
        <f>IF(OR($A1785="",$B1785=""),"",IF(ISNUMBER($A1785),MOD($A1785,100),IFERROR(VALUE(TRIM(MID(MID($A1785,FIND("/",$A1785)+1,20),FIND("/",MID($A1785,FIND("/",$A1785)+1,20))+1,20))),"")))</f>
        <v/>
      </c>
      <c r="E1785">
        <f>IF($A1785="","",IF(OR($B1785="",$C1785="",$D1785="",$B1785&lt;1300,$B1785&gt;1500,$C1785&lt;1,$C1785&gt;12,$D1785&lt;1,$D1785&gt;31),"نامعتبر",RIGHT("0000"&amp;$B1785,4)&amp;"/"&amp;RIGHT("00"&amp;$C1785,2)&amp;"/"&amp;RIGHT("00"&amp;$D1785,2)))</f>
        <v/>
      </c>
      <c r="F1785">
        <f>IF(OR($E1785="",$E1785="نامعتبر"),"",LEFT($E1785,4)&amp;"/"&amp;MID($E1785,6,2))</f>
        <v/>
      </c>
      <c r="G1785">
        <f>IF(OR($E1785="",$E1785="نامعتبر",Sync!$Y1782=""),"",Sync!$Y1782)</f>
        <v/>
      </c>
      <c r="H1785">
        <f>IF($G1785="","",IF(Sync!$X1782="","",Sync!$X1782))</f>
        <v/>
      </c>
      <c r="I1785">
        <f>IF($G1785="","",IFERROR(VLOOKUP(Sync!$X1782,OpTbl,3,0),""))</f>
        <v/>
      </c>
      <c r="J1785">
        <f>IF(OR($G1785="",Sync!$Z1782=""),"",Sync!$Z1782)</f>
        <v/>
      </c>
      <c r="K1785">
        <f>IF(OR($G1785="",Sync!$AA1782=""),"",Sync!$AA1782)</f>
        <v/>
      </c>
      <c r="L1785">
        <f>IF($G1785="",0,IF(Sync!$AB1782="",0,Sync!$AB1782))</f>
        <v/>
      </c>
      <c r="M1785">
        <f>IF($G1785="",0,IF(Sync!$AC1782="",0,Sync!$AC1782))</f>
        <v/>
      </c>
      <c r="N1785">
        <f>IF($G1785="","",IF($H1785="مرجوعی خرید",-1,1)*($L1785-$M1785*IFERROR(VLOOKUP("P01",ParamTbl,3,0),1.5))*(1-IF($I1785="خرید",IFERROR(VLOOKUP("P02",ParamTbl,3,0),1),0)/100))</f>
        <v/>
      </c>
      <c r="O1785">
        <f>IF($G1785="",0,IF($H1785="مرجوعی خرید",-1,1)*IF(Sync!$AD1782="",0,Sync!$AD1782))</f>
        <v/>
      </c>
      <c r="P1785">
        <f>IF(OR($G1785="",Sync!$W1782=""),"",Sync!$W1782)</f>
        <v/>
      </c>
      <c r="Q1785">
        <f>IF(OR($G1785="",Sync!$AE1782=""),"",Sync!$AE1782)</f>
        <v/>
      </c>
      <c r="R1785">
        <f>IF($G1785="","",IF(Sync!$V1782="","0000",IF(AND(ISNUMBER(Sync!$V1782),Sync!$V1782&gt;=0,Sync!$V1782&lt;1),RIGHT("00"&amp;HOUR(Sync!$V1782),2)&amp;RIGHT("00"&amp;MINUTE(Sync!$V1782),2),IFERROR(RIGHT("00"&amp;VALUE(LEFT(Sync!$V1782,FIND(":",Sync!$V1782)-1)),2)&amp;RIGHT("00"&amp;VALUE(MID(Sync!$V1782,FIND(":",Sync!$V1782)+1,2)),2),"0000"))))</f>
        <v/>
      </c>
    </row>
    <row r="1786">
      <c r="A1786">
        <f>IF(Sync!$U1783="","",Sync!$U1783)</f>
        <v/>
      </c>
      <c r="B1786">
        <f>IF($A1786="","",IF(ISNUMBER($A1786),IF(AND($A1786&gt;=10000101,$A1786&lt;=99991231),INT($A1786/10000),""),IFERROR(VALUE(TRIM(LEFT($A1786,FIND("/",$A1786)-1))),"")))</f>
        <v/>
      </c>
      <c r="C1786">
        <f>IF(OR($A1786="",$B1786=""),"",IF(ISNUMBER($A1786),INT(MOD($A1786,10000)/100),IFERROR(VALUE(TRIM(LEFT(MID($A1786,FIND("/",$A1786)+1,20),FIND("/",MID($A1786,FIND("/",$A1786)+1,20))-1))),"")))</f>
        <v/>
      </c>
      <c r="D1786">
        <f>IF(OR($A1786="",$B1786=""),"",IF(ISNUMBER($A1786),MOD($A1786,100),IFERROR(VALUE(TRIM(MID(MID($A1786,FIND("/",$A1786)+1,20),FIND("/",MID($A1786,FIND("/",$A1786)+1,20))+1,20))),"")))</f>
        <v/>
      </c>
      <c r="E1786">
        <f>IF($A1786="","",IF(OR($B1786="",$C1786="",$D1786="",$B1786&lt;1300,$B1786&gt;1500,$C1786&lt;1,$C1786&gt;12,$D1786&lt;1,$D1786&gt;31),"نامعتبر",RIGHT("0000"&amp;$B1786,4)&amp;"/"&amp;RIGHT("00"&amp;$C1786,2)&amp;"/"&amp;RIGHT("00"&amp;$D1786,2)))</f>
        <v/>
      </c>
      <c r="F1786">
        <f>IF(OR($E1786="",$E1786="نامعتبر"),"",LEFT($E1786,4)&amp;"/"&amp;MID($E1786,6,2))</f>
        <v/>
      </c>
      <c r="G1786">
        <f>IF(OR($E1786="",$E1786="نامعتبر",Sync!$Y1783=""),"",Sync!$Y1783)</f>
        <v/>
      </c>
      <c r="H1786">
        <f>IF($G1786="","",IF(Sync!$X1783="","",Sync!$X1783))</f>
        <v/>
      </c>
      <c r="I1786">
        <f>IF($G1786="","",IFERROR(VLOOKUP(Sync!$X1783,OpTbl,3,0),""))</f>
        <v/>
      </c>
      <c r="J1786">
        <f>IF(OR($G1786="",Sync!$Z1783=""),"",Sync!$Z1783)</f>
        <v/>
      </c>
      <c r="K1786">
        <f>IF(OR($G1786="",Sync!$AA1783=""),"",Sync!$AA1783)</f>
        <v/>
      </c>
      <c r="L1786">
        <f>IF($G1786="",0,IF(Sync!$AB1783="",0,Sync!$AB1783))</f>
        <v/>
      </c>
      <c r="M1786">
        <f>IF($G1786="",0,IF(Sync!$AC1783="",0,Sync!$AC1783))</f>
        <v/>
      </c>
      <c r="N1786">
        <f>IF($G1786="","",IF($H1786="مرجوعی خرید",-1,1)*($L1786-$M1786*IFERROR(VLOOKUP("P01",ParamTbl,3,0),1.5))*(1-IF($I1786="خرید",IFERROR(VLOOKUP("P02",ParamTbl,3,0),1),0)/100))</f>
        <v/>
      </c>
      <c r="O1786">
        <f>IF($G1786="",0,IF($H1786="مرجوعی خرید",-1,1)*IF(Sync!$AD1783="",0,Sync!$AD1783))</f>
        <v/>
      </c>
      <c r="P1786">
        <f>IF(OR($G1786="",Sync!$W1783=""),"",Sync!$W1783)</f>
        <v/>
      </c>
      <c r="Q1786">
        <f>IF(OR($G1786="",Sync!$AE1783=""),"",Sync!$AE1783)</f>
        <v/>
      </c>
      <c r="R1786">
        <f>IF($G1786="","",IF(Sync!$V1783="","0000",IF(AND(ISNUMBER(Sync!$V1783),Sync!$V1783&gt;=0,Sync!$V1783&lt;1),RIGHT("00"&amp;HOUR(Sync!$V1783),2)&amp;RIGHT("00"&amp;MINUTE(Sync!$V1783),2),IFERROR(RIGHT("00"&amp;VALUE(LEFT(Sync!$V1783,FIND(":",Sync!$V1783)-1)),2)&amp;RIGHT("00"&amp;VALUE(MID(Sync!$V1783,FIND(":",Sync!$V1783)+1,2)),2),"0000"))))</f>
        <v/>
      </c>
    </row>
    <row r="1787">
      <c r="A1787">
        <f>IF(Sync!$U1784="","",Sync!$U1784)</f>
        <v/>
      </c>
      <c r="B1787">
        <f>IF($A1787="","",IF(ISNUMBER($A1787),IF(AND($A1787&gt;=10000101,$A1787&lt;=99991231),INT($A1787/10000),""),IFERROR(VALUE(TRIM(LEFT($A1787,FIND("/",$A1787)-1))),"")))</f>
        <v/>
      </c>
      <c r="C1787">
        <f>IF(OR($A1787="",$B1787=""),"",IF(ISNUMBER($A1787),INT(MOD($A1787,10000)/100),IFERROR(VALUE(TRIM(LEFT(MID($A1787,FIND("/",$A1787)+1,20),FIND("/",MID($A1787,FIND("/",$A1787)+1,20))-1))),"")))</f>
        <v/>
      </c>
      <c r="D1787">
        <f>IF(OR($A1787="",$B1787=""),"",IF(ISNUMBER($A1787),MOD($A1787,100),IFERROR(VALUE(TRIM(MID(MID($A1787,FIND("/",$A1787)+1,20),FIND("/",MID($A1787,FIND("/",$A1787)+1,20))+1,20))),"")))</f>
        <v/>
      </c>
      <c r="E1787">
        <f>IF($A1787="","",IF(OR($B1787="",$C1787="",$D1787="",$B1787&lt;1300,$B1787&gt;1500,$C1787&lt;1,$C1787&gt;12,$D1787&lt;1,$D1787&gt;31),"نامعتبر",RIGHT("0000"&amp;$B1787,4)&amp;"/"&amp;RIGHT("00"&amp;$C1787,2)&amp;"/"&amp;RIGHT("00"&amp;$D1787,2)))</f>
        <v/>
      </c>
      <c r="F1787">
        <f>IF(OR($E1787="",$E1787="نامعتبر"),"",LEFT($E1787,4)&amp;"/"&amp;MID($E1787,6,2))</f>
        <v/>
      </c>
      <c r="G1787">
        <f>IF(OR($E1787="",$E1787="نامعتبر",Sync!$Y1784=""),"",Sync!$Y1784)</f>
        <v/>
      </c>
      <c r="H1787">
        <f>IF($G1787="","",IF(Sync!$X1784="","",Sync!$X1784))</f>
        <v/>
      </c>
      <c r="I1787">
        <f>IF($G1787="","",IFERROR(VLOOKUP(Sync!$X1784,OpTbl,3,0),""))</f>
        <v/>
      </c>
      <c r="J1787">
        <f>IF(OR($G1787="",Sync!$Z1784=""),"",Sync!$Z1784)</f>
        <v/>
      </c>
      <c r="K1787">
        <f>IF(OR($G1787="",Sync!$AA1784=""),"",Sync!$AA1784)</f>
        <v/>
      </c>
      <c r="L1787">
        <f>IF($G1787="",0,IF(Sync!$AB1784="",0,Sync!$AB1784))</f>
        <v/>
      </c>
      <c r="M1787">
        <f>IF($G1787="",0,IF(Sync!$AC1784="",0,Sync!$AC1784))</f>
        <v/>
      </c>
      <c r="N1787">
        <f>IF($G1787="","",IF($H1787="مرجوعی خرید",-1,1)*($L1787-$M1787*IFERROR(VLOOKUP("P01",ParamTbl,3,0),1.5))*(1-IF($I1787="خرید",IFERROR(VLOOKUP("P02",ParamTbl,3,0),1),0)/100))</f>
        <v/>
      </c>
      <c r="O1787">
        <f>IF($G1787="",0,IF($H1787="مرجوعی خرید",-1,1)*IF(Sync!$AD1784="",0,Sync!$AD1784))</f>
        <v/>
      </c>
      <c r="P1787">
        <f>IF(OR($G1787="",Sync!$W1784=""),"",Sync!$W1784)</f>
        <v/>
      </c>
      <c r="Q1787">
        <f>IF(OR($G1787="",Sync!$AE1784=""),"",Sync!$AE1784)</f>
        <v/>
      </c>
      <c r="R1787">
        <f>IF($G1787="","",IF(Sync!$V1784="","0000",IF(AND(ISNUMBER(Sync!$V1784),Sync!$V1784&gt;=0,Sync!$V1784&lt;1),RIGHT("00"&amp;HOUR(Sync!$V1784),2)&amp;RIGHT("00"&amp;MINUTE(Sync!$V1784),2),IFERROR(RIGHT("00"&amp;VALUE(LEFT(Sync!$V1784,FIND(":",Sync!$V1784)-1)),2)&amp;RIGHT("00"&amp;VALUE(MID(Sync!$V1784,FIND(":",Sync!$V1784)+1,2)),2),"0000"))))</f>
        <v/>
      </c>
    </row>
    <row r="1788">
      <c r="A1788">
        <f>IF(Sync!$U1785="","",Sync!$U1785)</f>
        <v/>
      </c>
      <c r="B1788">
        <f>IF($A1788="","",IF(ISNUMBER($A1788),IF(AND($A1788&gt;=10000101,$A1788&lt;=99991231),INT($A1788/10000),""),IFERROR(VALUE(TRIM(LEFT($A1788,FIND("/",$A1788)-1))),"")))</f>
        <v/>
      </c>
      <c r="C1788">
        <f>IF(OR($A1788="",$B1788=""),"",IF(ISNUMBER($A1788),INT(MOD($A1788,10000)/100),IFERROR(VALUE(TRIM(LEFT(MID($A1788,FIND("/",$A1788)+1,20),FIND("/",MID($A1788,FIND("/",$A1788)+1,20))-1))),"")))</f>
        <v/>
      </c>
      <c r="D1788">
        <f>IF(OR($A1788="",$B1788=""),"",IF(ISNUMBER($A1788),MOD($A1788,100),IFERROR(VALUE(TRIM(MID(MID($A1788,FIND("/",$A1788)+1,20),FIND("/",MID($A1788,FIND("/",$A1788)+1,20))+1,20))),"")))</f>
        <v/>
      </c>
      <c r="E1788">
        <f>IF($A1788="","",IF(OR($B1788="",$C1788="",$D1788="",$B1788&lt;1300,$B1788&gt;1500,$C1788&lt;1,$C1788&gt;12,$D1788&lt;1,$D1788&gt;31),"نامعتبر",RIGHT("0000"&amp;$B1788,4)&amp;"/"&amp;RIGHT("00"&amp;$C1788,2)&amp;"/"&amp;RIGHT("00"&amp;$D1788,2)))</f>
        <v/>
      </c>
      <c r="F1788">
        <f>IF(OR($E1788="",$E1788="نامعتبر"),"",LEFT($E1788,4)&amp;"/"&amp;MID($E1788,6,2))</f>
        <v/>
      </c>
      <c r="G1788">
        <f>IF(OR($E1788="",$E1788="نامعتبر",Sync!$Y1785=""),"",Sync!$Y1785)</f>
        <v/>
      </c>
      <c r="H1788">
        <f>IF($G1788="","",IF(Sync!$X1785="","",Sync!$X1785))</f>
        <v/>
      </c>
      <c r="I1788">
        <f>IF($G1788="","",IFERROR(VLOOKUP(Sync!$X1785,OpTbl,3,0),""))</f>
        <v/>
      </c>
      <c r="J1788">
        <f>IF(OR($G1788="",Sync!$Z1785=""),"",Sync!$Z1785)</f>
        <v/>
      </c>
      <c r="K1788">
        <f>IF(OR($G1788="",Sync!$AA1785=""),"",Sync!$AA1785)</f>
        <v/>
      </c>
      <c r="L1788">
        <f>IF($G1788="",0,IF(Sync!$AB1785="",0,Sync!$AB1785))</f>
        <v/>
      </c>
      <c r="M1788">
        <f>IF($G1788="",0,IF(Sync!$AC1785="",0,Sync!$AC1785))</f>
        <v/>
      </c>
      <c r="N1788">
        <f>IF($G1788="","",IF($H1788="مرجوعی خرید",-1,1)*($L1788-$M1788*IFERROR(VLOOKUP("P01",ParamTbl,3,0),1.5))*(1-IF($I1788="خرید",IFERROR(VLOOKUP("P02",ParamTbl,3,0),1),0)/100))</f>
        <v/>
      </c>
      <c r="O1788">
        <f>IF($G1788="",0,IF($H1788="مرجوعی خرید",-1,1)*IF(Sync!$AD1785="",0,Sync!$AD1785))</f>
        <v/>
      </c>
      <c r="P1788">
        <f>IF(OR($G1788="",Sync!$W1785=""),"",Sync!$W1785)</f>
        <v/>
      </c>
      <c r="Q1788">
        <f>IF(OR($G1788="",Sync!$AE1785=""),"",Sync!$AE1785)</f>
        <v/>
      </c>
      <c r="R1788">
        <f>IF($G1788="","",IF(Sync!$V1785="","0000",IF(AND(ISNUMBER(Sync!$V1785),Sync!$V1785&gt;=0,Sync!$V1785&lt;1),RIGHT("00"&amp;HOUR(Sync!$V1785),2)&amp;RIGHT("00"&amp;MINUTE(Sync!$V1785),2),IFERROR(RIGHT("00"&amp;VALUE(LEFT(Sync!$V1785,FIND(":",Sync!$V1785)-1)),2)&amp;RIGHT("00"&amp;VALUE(MID(Sync!$V1785,FIND(":",Sync!$V1785)+1,2)),2),"0000"))))</f>
        <v/>
      </c>
    </row>
    <row r="1789">
      <c r="A1789">
        <f>IF(Sync!$U1786="","",Sync!$U1786)</f>
        <v/>
      </c>
      <c r="B1789">
        <f>IF($A1789="","",IF(ISNUMBER($A1789),IF(AND($A1789&gt;=10000101,$A1789&lt;=99991231),INT($A1789/10000),""),IFERROR(VALUE(TRIM(LEFT($A1789,FIND("/",$A1789)-1))),"")))</f>
        <v/>
      </c>
      <c r="C1789">
        <f>IF(OR($A1789="",$B1789=""),"",IF(ISNUMBER($A1789),INT(MOD($A1789,10000)/100),IFERROR(VALUE(TRIM(LEFT(MID($A1789,FIND("/",$A1789)+1,20),FIND("/",MID($A1789,FIND("/",$A1789)+1,20))-1))),"")))</f>
        <v/>
      </c>
      <c r="D1789">
        <f>IF(OR($A1789="",$B1789=""),"",IF(ISNUMBER($A1789),MOD($A1789,100),IFERROR(VALUE(TRIM(MID(MID($A1789,FIND("/",$A1789)+1,20),FIND("/",MID($A1789,FIND("/",$A1789)+1,20))+1,20))),"")))</f>
        <v/>
      </c>
      <c r="E1789">
        <f>IF($A1789="","",IF(OR($B1789="",$C1789="",$D1789="",$B1789&lt;1300,$B1789&gt;1500,$C1789&lt;1,$C1789&gt;12,$D1789&lt;1,$D1789&gt;31),"نامعتبر",RIGHT("0000"&amp;$B1789,4)&amp;"/"&amp;RIGHT("00"&amp;$C1789,2)&amp;"/"&amp;RIGHT("00"&amp;$D1789,2)))</f>
        <v/>
      </c>
      <c r="F1789">
        <f>IF(OR($E1789="",$E1789="نامعتبر"),"",LEFT($E1789,4)&amp;"/"&amp;MID($E1789,6,2))</f>
        <v/>
      </c>
      <c r="G1789">
        <f>IF(OR($E1789="",$E1789="نامعتبر",Sync!$Y1786=""),"",Sync!$Y1786)</f>
        <v/>
      </c>
      <c r="H1789">
        <f>IF($G1789="","",IF(Sync!$X1786="","",Sync!$X1786))</f>
        <v/>
      </c>
      <c r="I1789">
        <f>IF($G1789="","",IFERROR(VLOOKUP(Sync!$X1786,OpTbl,3,0),""))</f>
        <v/>
      </c>
      <c r="J1789">
        <f>IF(OR($G1789="",Sync!$Z1786=""),"",Sync!$Z1786)</f>
        <v/>
      </c>
      <c r="K1789">
        <f>IF(OR($G1789="",Sync!$AA1786=""),"",Sync!$AA1786)</f>
        <v/>
      </c>
      <c r="L1789">
        <f>IF($G1789="",0,IF(Sync!$AB1786="",0,Sync!$AB1786))</f>
        <v/>
      </c>
      <c r="M1789">
        <f>IF($G1789="",0,IF(Sync!$AC1786="",0,Sync!$AC1786))</f>
        <v/>
      </c>
      <c r="N1789">
        <f>IF($G1789="","",IF($H1789="مرجوعی خرید",-1,1)*($L1789-$M1789*IFERROR(VLOOKUP("P01",ParamTbl,3,0),1.5))*(1-IF($I1789="خرید",IFERROR(VLOOKUP("P02",ParamTbl,3,0),1),0)/100))</f>
        <v/>
      </c>
      <c r="O1789">
        <f>IF($G1789="",0,IF($H1789="مرجوعی خرید",-1,1)*IF(Sync!$AD1786="",0,Sync!$AD1786))</f>
        <v/>
      </c>
      <c r="P1789">
        <f>IF(OR($G1789="",Sync!$W1786=""),"",Sync!$W1786)</f>
        <v/>
      </c>
      <c r="Q1789">
        <f>IF(OR($G1789="",Sync!$AE1786=""),"",Sync!$AE1786)</f>
        <v/>
      </c>
      <c r="R1789">
        <f>IF($G1789="","",IF(Sync!$V1786="","0000",IF(AND(ISNUMBER(Sync!$V1786),Sync!$V1786&gt;=0,Sync!$V1786&lt;1),RIGHT("00"&amp;HOUR(Sync!$V1786),2)&amp;RIGHT("00"&amp;MINUTE(Sync!$V1786),2),IFERROR(RIGHT("00"&amp;VALUE(LEFT(Sync!$V1786,FIND(":",Sync!$V1786)-1)),2)&amp;RIGHT("00"&amp;VALUE(MID(Sync!$V1786,FIND(":",Sync!$V1786)+1,2)),2),"0000"))))</f>
        <v/>
      </c>
    </row>
    <row r="1790">
      <c r="A1790">
        <f>IF(Sync!$U1787="","",Sync!$U1787)</f>
        <v/>
      </c>
      <c r="B1790">
        <f>IF($A1790="","",IF(ISNUMBER($A1790),IF(AND($A1790&gt;=10000101,$A1790&lt;=99991231),INT($A1790/10000),""),IFERROR(VALUE(TRIM(LEFT($A1790,FIND("/",$A1790)-1))),"")))</f>
        <v/>
      </c>
      <c r="C1790">
        <f>IF(OR($A1790="",$B1790=""),"",IF(ISNUMBER($A1790),INT(MOD($A1790,10000)/100),IFERROR(VALUE(TRIM(LEFT(MID($A1790,FIND("/",$A1790)+1,20),FIND("/",MID($A1790,FIND("/",$A1790)+1,20))-1))),"")))</f>
        <v/>
      </c>
      <c r="D1790">
        <f>IF(OR($A1790="",$B1790=""),"",IF(ISNUMBER($A1790),MOD($A1790,100),IFERROR(VALUE(TRIM(MID(MID($A1790,FIND("/",$A1790)+1,20),FIND("/",MID($A1790,FIND("/",$A1790)+1,20))+1,20))),"")))</f>
        <v/>
      </c>
      <c r="E1790">
        <f>IF($A1790="","",IF(OR($B1790="",$C1790="",$D1790="",$B1790&lt;1300,$B1790&gt;1500,$C1790&lt;1,$C1790&gt;12,$D1790&lt;1,$D1790&gt;31),"نامعتبر",RIGHT("0000"&amp;$B1790,4)&amp;"/"&amp;RIGHT("00"&amp;$C1790,2)&amp;"/"&amp;RIGHT("00"&amp;$D1790,2)))</f>
        <v/>
      </c>
      <c r="F1790">
        <f>IF(OR($E1790="",$E1790="نامعتبر"),"",LEFT($E1790,4)&amp;"/"&amp;MID($E1790,6,2))</f>
        <v/>
      </c>
      <c r="G1790">
        <f>IF(OR($E1790="",$E1790="نامعتبر",Sync!$Y1787=""),"",Sync!$Y1787)</f>
        <v/>
      </c>
      <c r="H1790">
        <f>IF($G1790="","",IF(Sync!$X1787="","",Sync!$X1787))</f>
        <v/>
      </c>
      <c r="I1790">
        <f>IF($G1790="","",IFERROR(VLOOKUP(Sync!$X1787,OpTbl,3,0),""))</f>
        <v/>
      </c>
      <c r="J1790">
        <f>IF(OR($G1790="",Sync!$Z1787=""),"",Sync!$Z1787)</f>
        <v/>
      </c>
      <c r="K1790">
        <f>IF(OR($G1790="",Sync!$AA1787=""),"",Sync!$AA1787)</f>
        <v/>
      </c>
      <c r="L1790">
        <f>IF($G1790="",0,IF(Sync!$AB1787="",0,Sync!$AB1787))</f>
        <v/>
      </c>
      <c r="M1790">
        <f>IF($G1790="",0,IF(Sync!$AC1787="",0,Sync!$AC1787))</f>
        <v/>
      </c>
      <c r="N1790">
        <f>IF($G1790="","",IF($H1790="مرجوعی خرید",-1,1)*($L1790-$M1790*IFERROR(VLOOKUP("P01",ParamTbl,3,0),1.5))*(1-IF($I1790="خرید",IFERROR(VLOOKUP("P02",ParamTbl,3,0),1),0)/100))</f>
        <v/>
      </c>
      <c r="O1790">
        <f>IF($G1790="",0,IF($H1790="مرجوعی خرید",-1,1)*IF(Sync!$AD1787="",0,Sync!$AD1787))</f>
        <v/>
      </c>
      <c r="P1790">
        <f>IF(OR($G1790="",Sync!$W1787=""),"",Sync!$W1787)</f>
        <v/>
      </c>
      <c r="Q1790">
        <f>IF(OR($G1790="",Sync!$AE1787=""),"",Sync!$AE1787)</f>
        <v/>
      </c>
      <c r="R1790">
        <f>IF($G1790="","",IF(Sync!$V1787="","0000",IF(AND(ISNUMBER(Sync!$V1787),Sync!$V1787&gt;=0,Sync!$V1787&lt;1),RIGHT("00"&amp;HOUR(Sync!$V1787),2)&amp;RIGHT("00"&amp;MINUTE(Sync!$V1787),2),IFERROR(RIGHT("00"&amp;VALUE(LEFT(Sync!$V1787,FIND(":",Sync!$V1787)-1)),2)&amp;RIGHT("00"&amp;VALUE(MID(Sync!$V1787,FIND(":",Sync!$V1787)+1,2)),2),"0000"))))</f>
        <v/>
      </c>
    </row>
    <row r="1791">
      <c r="A1791">
        <f>IF(Sync!$U1788="","",Sync!$U1788)</f>
        <v/>
      </c>
      <c r="B1791">
        <f>IF($A1791="","",IF(ISNUMBER($A1791),IF(AND($A1791&gt;=10000101,$A1791&lt;=99991231),INT($A1791/10000),""),IFERROR(VALUE(TRIM(LEFT($A1791,FIND("/",$A1791)-1))),"")))</f>
        <v/>
      </c>
      <c r="C1791">
        <f>IF(OR($A1791="",$B1791=""),"",IF(ISNUMBER($A1791),INT(MOD($A1791,10000)/100),IFERROR(VALUE(TRIM(LEFT(MID($A1791,FIND("/",$A1791)+1,20),FIND("/",MID($A1791,FIND("/",$A1791)+1,20))-1))),"")))</f>
        <v/>
      </c>
      <c r="D1791">
        <f>IF(OR($A1791="",$B1791=""),"",IF(ISNUMBER($A1791),MOD($A1791,100),IFERROR(VALUE(TRIM(MID(MID($A1791,FIND("/",$A1791)+1,20),FIND("/",MID($A1791,FIND("/",$A1791)+1,20))+1,20))),"")))</f>
        <v/>
      </c>
      <c r="E1791">
        <f>IF($A1791="","",IF(OR($B1791="",$C1791="",$D1791="",$B1791&lt;1300,$B1791&gt;1500,$C1791&lt;1,$C1791&gt;12,$D1791&lt;1,$D1791&gt;31),"نامعتبر",RIGHT("0000"&amp;$B1791,4)&amp;"/"&amp;RIGHT("00"&amp;$C1791,2)&amp;"/"&amp;RIGHT("00"&amp;$D1791,2)))</f>
        <v/>
      </c>
      <c r="F1791">
        <f>IF(OR($E1791="",$E1791="نامعتبر"),"",LEFT($E1791,4)&amp;"/"&amp;MID($E1791,6,2))</f>
        <v/>
      </c>
      <c r="G1791">
        <f>IF(OR($E1791="",$E1791="نامعتبر",Sync!$Y1788=""),"",Sync!$Y1788)</f>
        <v/>
      </c>
      <c r="H1791">
        <f>IF($G1791="","",IF(Sync!$X1788="","",Sync!$X1788))</f>
        <v/>
      </c>
      <c r="I1791">
        <f>IF($G1791="","",IFERROR(VLOOKUP(Sync!$X1788,OpTbl,3,0),""))</f>
        <v/>
      </c>
      <c r="J1791">
        <f>IF(OR($G1791="",Sync!$Z1788=""),"",Sync!$Z1788)</f>
        <v/>
      </c>
      <c r="K1791">
        <f>IF(OR($G1791="",Sync!$AA1788=""),"",Sync!$AA1788)</f>
        <v/>
      </c>
      <c r="L1791">
        <f>IF($G1791="",0,IF(Sync!$AB1788="",0,Sync!$AB1788))</f>
        <v/>
      </c>
      <c r="M1791">
        <f>IF($G1791="",0,IF(Sync!$AC1788="",0,Sync!$AC1788))</f>
        <v/>
      </c>
      <c r="N1791">
        <f>IF($G1791="","",IF($H1791="مرجوعی خرید",-1,1)*($L1791-$M1791*IFERROR(VLOOKUP("P01",ParamTbl,3,0),1.5))*(1-IF($I1791="خرید",IFERROR(VLOOKUP("P02",ParamTbl,3,0),1),0)/100))</f>
        <v/>
      </c>
      <c r="O1791">
        <f>IF($G1791="",0,IF($H1791="مرجوعی خرید",-1,1)*IF(Sync!$AD1788="",0,Sync!$AD1788))</f>
        <v/>
      </c>
      <c r="P1791">
        <f>IF(OR($G1791="",Sync!$W1788=""),"",Sync!$W1788)</f>
        <v/>
      </c>
      <c r="Q1791">
        <f>IF(OR($G1791="",Sync!$AE1788=""),"",Sync!$AE1788)</f>
        <v/>
      </c>
      <c r="R1791">
        <f>IF($G1791="","",IF(Sync!$V1788="","0000",IF(AND(ISNUMBER(Sync!$V1788),Sync!$V1788&gt;=0,Sync!$V1788&lt;1),RIGHT("00"&amp;HOUR(Sync!$V1788),2)&amp;RIGHT("00"&amp;MINUTE(Sync!$V1788),2),IFERROR(RIGHT("00"&amp;VALUE(LEFT(Sync!$V1788,FIND(":",Sync!$V1788)-1)),2)&amp;RIGHT("00"&amp;VALUE(MID(Sync!$V1788,FIND(":",Sync!$V1788)+1,2)),2),"0000"))))</f>
        <v/>
      </c>
    </row>
    <row r="1792">
      <c r="A1792">
        <f>IF(Sync!$U1789="","",Sync!$U1789)</f>
        <v/>
      </c>
      <c r="B1792">
        <f>IF($A1792="","",IF(ISNUMBER($A1792),IF(AND($A1792&gt;=10000101,$A1792&lt;=99991231),INT($A1792/10000),""),IFERROR(VALUE(TRIM(LEFT($A1792,FIND("/",$A1792)-1))),"")))</f>
        <v/>
      </c>
      <c r="C1792">
        <f>IF(OR($A1792="",$B1792=""),"",IF(ISNUMBER($A1792),INT(MOD($A1792,10000)/100),IFERROR(VALUE(TRIM(LEFT(MID($A1792,FIND("/",$A1792)+1,20),FIND("/",MID($A1792,FIND("/",$A1792)+1,20))-1))),"")))</f>
        <v/>
      </c>
      <c r="D1792">
        <f>IF(OR($A1792="",$B1792=""),"",IF(ISNUMBER($A1792),MOD($A1792,100),IFERROR(VALUE(TRIM(MID(MID($A1792,FIND("/",$A1792)+1,20),FIND("/",MID($A1792,FIND("/",$A1792)+1,20))+1,20))),"")))</f>
        <v/>
      </c>
      <c r="E1792">
        <f>IF($A1792="","",IF(OR($B1792="",$C1792="",$D1792="",$B1792&lt;1300,$B1792&gt;1500,$C1792&lt;1,$C1792&gt;12,$D1792&lt;1,$D1792&gt;31),"نامعتبر",RIGHT("0000"&amp;$B1792,4)&amp;"/"&amp;RIGHT("00"&amp;$C1792,2)&amp;"/"&amp;RIGHT("00"&amp;$D1792,2)))</f>
        <v/>
      </c>
      <c r="F1792">
        <f>IF(OR($E1792="",$E1792="نامعتبر"),"",LEFT($E1792,4)&amp;"/"&amp;MID($E1792,6,2))</f>
        <v/>
      </c>
      <c r="G1792">
        <f>IF(OR($E1792="",$E1792="نامعتبر",Sync!$Y1789=""),"",Sync!$Y1789)</f>
        <v/>
      </c>
      <c r="H1792">
        <f>IF($G1792="","",IF(Sync!$X1789="","",Sync!$X1789))</f>
        <v/>
      </c>
      <c r="I1792">
        <f>IF($G1792="","",IFERROR(VLOOKUP(Sync!$X1789,OpTbl,3,0),""))</f>
        <v/>
      </c>
      <c r="J1792">
        <f>IF(OR($G1792="",Sync!$Z1789=""),"",Sync!$Z1789)</f>
        <v/>
      </c>
      <c r="K1792">
        <f>IF(OR($G1792="",Sync!$AA1789=""),"",Sync!$AA1789)</f>
        <v/>
      </c>
      <c r="L1792">
        <f>IF($G1792="",0,IF(Sync!$AB1789="",0,Sync!$AB1789))</f>
        <v/>
      </c>
      <c r="M1792">
        <f>IF($G1792="",0,IF(Sync!$AC1789="",0,Sync!$AC1789))</f>
        <v/>
      </c>
      <c r="N1792">
        <f>IF($G1792="","",IF($H1792="مرجوعی خرید",-1,1)*($L1792-$M1792*IFERROR(VLOOKUP("P01",ParamTbl,3,0),1.5))*(1-IF($I1792="خرید",IFERROR(VLOOKUP("P02",ParamTbl,3,0),1),0)/100))</f>
        <v/>
      </c>
      <c r="O1792">
        <f>IF($G1792="",0,IF($H1792="مرجوعی خرید",-1,1)*IF(Sync!$AD1789="",0,Sync!$AD1789))</f>
        <v/>
      </c>
      <c r="P1792">
        <f>IF(OR($G1792="",Sync!$W1789=""),"",Sync!$W1789)</f>
        <v/>
      </c>
      <c r="Q1792">
        <f>IF(OR($G1792="",Sync!$AE1789=""),"",Sync!$AE1789)</f>
        <v/>
      </c>
      <c r="R1792">
        <f>IF($G1792="","",IF(Sync!$V1789="","0000",IF(AND(ISNUMBER(Sync!$V1789),Sync!$V1789&gt;=0,Sync!$V1789&lt;1),RIGHT("00"&amp;HOUR(Sync!$V1789),2)&amp;RIGHT("00"&amp;MINUTE(Sync!$V1789),2),IFERROR(RIGHT("00"&amp;VALUE(LEFT(Sync!$V1789,FIND(":",Sync!$V1789)-1)),2)&amp;RIGHT("00"&amp;VALUE(MID(Sync!$V1789,FIND(":",Sync!$V1789)+1,2)),2),"0000"))))</f>
        <v/>
      </c>
    </row>
    <row r="1793">
      <c r="A1793">
        <f>IF(Sync!$U1790="","",Sync!$U1790)</f>
        <v/>
      </c>
      <c r="B1793">
        <f>IF($A1793="","",IF(ISNUMBER($A1793),IF(AND($A1793&gt;=10000101,$A1793&lt;=99991231),INT($A1793/10000),""),IFERROR(VALUE(TRIM(LEFT($A1793,FIND("/",$A1793)-1))),"")))</f>
        <v/>
      </c>
      <c r="C1793">
        <f>IF(OR($A1793="",$B1793=""),"",IF(ISNUMBER($A1793),INT(MOD($A1793,10000)/100),IFERROR(VALUE(TRIM(LEFT(MID($A1793,FIND("/",$A1793)+1,20),FIND("/",MID($A1793,FIND("/",$A1793)+1,20))-1))),"")))</f>
        <v/>
      </c>
      <c r="D1793">
        <f>IF(OR($A1793="",$B1793=""),"",IF(ISNUMBER($A1793),MOD($A1793,100),IFERROR(VALUE(TRIM(MID(MID($A1793,FIND("/",$A1793)+1,20),FIND("/",MID($A1793,FIND("/",$A1793)+1,20))+1,20))),"")))</f>
        <v/>
      </c>
      <c r="E1793">
        <f>IF($A1793="","",IF(OR($B1793="",$C1793="",$D1793="",$B1793&lt;1300,$B1793&gt;1500,$C1793&lt;1,$C1793&gt;12,$D1793&lt;1,$D1793&gt;31),"نامعتبر",RIGHT("0000"&amp;$B1793,4)&amp;"/"&amp;RIGHT("00"&amp;$C1793,2)&amp;"/"&amp;RIGHT("00"&amp;$D1793,2)))</f>
        <v/>
      </c>
      <c r="F1793">
        <f>IF(OR($E1793="",$E1793="نامعتبر"),"",LEFT($E1793,4)&amp;"/"&amp;MID($E1793,6,2))</f>
        <v/>
      </c>
      <c r="G1793">
        <f>IF(OR($E1793="",$E1793="نامعتبر",Sync!$Y1790=""),"",Sync!$Y1790)</f>
        <v/>
      </c>
      <c r="H1793">
        <f>IF($G1793="","",IF(Sync!$X1790="","",Sync!$X1790))</f>
        <v/>
      </c>
      <c r="I1793">
        <f>IF($G1793="","",IFERROR(VLOOKUP(Sync!$X1790,OpTbl,3,0),""))</f>
        <v/>
      </c>
      <c r="J1793">
        <f>IF(OR($G1793="",Sync!$Z1790=""),"",Sync!$Z1790)</f>
        <v/>
      </c>
      <c r="K1793">
        <f>IF(OR($G1793="",Sync!$AA1790=""),"",Sync!$AA1790)</f>
        <v/>
      </c>
      <c r="L1793">
        <f>IF($G1793="",0,IF(Sync!$AB1790="",0,Sync!$AB1790))</f>
        <v/>
      </c>
      <c r="M1793">
        <f>IF($G1793="",0,IF(Sync!$AC1790="",0,Sync!$AC1790))</f>
        <v/>
      </c>
      <c r="N1793">
        <f>IF($G1793="","",IF($H1793="مرجوعی خرید",-1,1)*($L1793-$M1793*IFERROR(VLOOKUP("P01",ParamTbl,3,0),1.5))*(1-IF($I1793="خرید",IFERROR(VLOOKUP("P02",ParamTbl,3,0),1),0)/100))</f>
        <v/>
      </c>
      <c r="O1793">
        <f>IF($G1793="",0,IF($H1793="مرجوعی خرید",-1,1)*IF(Sync!$AD1790="",0,Sync!$AD1790))</f>
        <v/>
      </c>
      <c r="P1793">
        <f>IF(OR($G1793="",Sync!$W1790=""),"",Sync!$W1790)</f>
        <v/>
      </c>
      <c r="Q1793">
        <f>IF(OR($G1793="",Sync!$AE1790=""),"",Sync!$AE1790)</f>
        <v/>
      </c>
      <c r="R1793">
        <f>IF($G1793="","",IF(Sync!$V1790="","0000",IF(AND(ISNUMBER(Sync!$V1790),Sync!$V1790&gt;=0,Sync!$V1790&lt;1),RIGHT("00"&amp;HOUR(Sync!$V1790),2)&amp;RIGHT("00"&amp;MINUTE(Sync!$V1790),2),IFERROR(RIGHT("00"&amp;VALUE(LEFT(Sync!$V1790,FIND(":",Sync!$V1790)-1)),2)&amp;RIGHT("00"&amp;VALUE(MID(Sync!$V1790,FIND(":",Sync!$V1790)+1,2)),2),"0000"))))</f>
        <v/>
      </c>
    </row>
    <row r="1794">
      <c r="A1794">
        <f>IF(Sync!$U1791="","",Sync!$U1791)</f>
        <v/>
      </c>
      <c r="B1794">
        <f>IF($A1794="","",IF(ISNUMBER($A1794),IF(AND($A1794&gt;=10000101,$A1794&lt;=99991231),INT($A1794/10000),""),IFERROR(VALUE(TRIM(LEFT($A1794,FIND("/",$A1794)-1))),"")))</f>
        <v/>
      </c>
      <c r="C1794">
        <f>IF(OR($A1794="",$B1794=""),"",IF(ISNUMBER($A1794),INT(MOD($A1794,10000)/100),IFERROR(VALUE(TRIM(LEFT(MID($A1794,FIND("/",$A1794)+1,20),FIND("/",MID($A1794,FIND("/",$A1794)+1,20))-1))),"")))</f>
        <v/>
      </c>
      <c r="D1794">
        <f>IF(OR($A1794="",$B1794=""),"",IF(ISNUMBER($A1794),MOD($A1794,100),IFERROR(VALUE(TRIM(MID(MID($A1794,FIND("/",$A1794)+1,20),FIND("/",MID($A1794,FIND("/",$A1794)+1,20))+1,20))),"")))</f>
        <v/>
      </c>
      <c r="E1794">
        <f>IF($A1794="","",IF(OR($B1794="",$C1794="",$D1794="",$B1794&lt;1300,$B1794&gt;1500,$C1794&lt;1,$C1794&gt;12,$D1794&lt;1,$D1794&gt;31),"نامعتبر",RIGHT("0000"&amp;$B1794,4)&amp;"/"&amp;RIGHT("00"&amp;$C1794,2)&amp;"/"&amp;RIGHT("00"&amp;$D1794,2)))</f>
        <v/>
      </c>
      <c r="F1794">
        <f>IF(OR($E1794="",$E1794="نامعتبر"),"",LEFT($E1794,4)&amp;"/"&amp;MID($E1794,6,2))</f>
        <v/>
      </c>
      <c r="G1794">
        <f>IF(OR($E1794="",$E1794="نامعتبر",Sync!$Y1791=""),"",Sync!$Y1791)</f>
        <v/>
      </c>
      <c r="H1794">
        <f>IF($G1794="","",IF(Sync!$X1791="","",Sync!$X1791))</f>
        <v/>
      </c>
      <c r="I1794">
        <f>IF($G1794="","",IFERROR(VLOOKUP(Sync!$X1791,OpTbl,3,0),""))</f>
        <v/>
      </c>
      <c r="J1794">
        <f>IF(OR($G1794="",Sync!$Z1791=""),"",Sync!$Z1791)</f>
        <v/>
      </c>
      <c r="K1794">
        <f>IF(OR($G1794="",Sync!$AA1791=""),"",Sync!$AA1791)</f>
        <v/>
      </c>
      <c r="L1794">
        <f>IF($G1794="",0,IF(Sync!$AB1791="",0,Sync!$AB1791))</f>
        <v/>
      </c>
      <c r="M1794">
        <f>IF($G1794="",0,IF(Sync!$AC1791="",0,Sync!$AC1791))</f>
        <v/>
      </c>
      <c r="N1794">
        <f>IF($G1794="","",IF($H1794="مرجوعی خرید",-1,1)*($L1794-$M1794*IFERROR(VLOOKUP("P01",ParamTbl,3,0),1.5))*(1-IF($I1794="خرید",IFERROR(VLOOKUP("P02",ParamTbl,3,0),1),0)/100))</f>
        <v/>
      </c>
      <c r="O1794">
        <f>IF($G1794="",0,IF($H1794="مرجوعی خرید",-1,1)*IF(Sync!$AD1791="",0,Sync!$AD1791))</f>
        <v/>
      </c>
      <c r="P1794">
        <f>IF(OR($G1794="",Sync!$W1791=""),"",Sync!$W1791)</f>
        <v/>
      </c>
      <c r="Q1794">
        <f>IF(OR($G1794="",Sync!$AE1791=""),"",Sync!$AE1791)</f>
        <v/>
      </c>
      <c r="R1794">
        <f>IF($G1794="","",IF(Sync!$V1791="","0000",IF(AND(ISNUMBER(Sync!$V1791),Sync!$V1791&gt;=0,Sync!$V1791&lt;1),RIGHT("00"&amp;HOUR(Sync!$V1791),2)&amp;RIGHT("00"&amp;MINUTE(Sync!$V1791),2),IFERROR(RIGHT("00"&amp;VALUE(LEFT(Sync!$V1791,FIND(":",Sync!$V1791)-1)),2)&amp;RIGHT("00"&amp;VALUE(MID(Sync!$V1791,FIND(":",Sync!$V1791)+1,2)),2),"0000"))))</f>
        <v/>
      </c>
    </row>
    <row r="1795">
      <c r="A1795">
        <f>IF(Sync!$U1792="","",Sync!$U1792)</f>
        <v/>
      </c>
      <c r="B1795">
        <f>IF($A1795="","",IF(ISNUMBER($A1795),IF(AND($A1795&gt;=10000101,$A1795&lt;=99991231),INT($A1795/10000),""),IFERROR(VALUE(TRIM(LEFT($A1795,FIND("/",$A1795)-1))),"")))</f>
        <v/>
      </c>
      <c r="C1795">
        <f>IF(OR($A1795="",$B1795=""),"",IF(ISNUMBER($A1795),INT(MOD($A1795,10000)/100),IFERROR(VALUE(TRIM(LEFT(MID($A1795,FIND("/",$A1795)+1,20),FIND("/",MID($A1795,FIND("/",$A1795)+1,20))-1))),"")))</f>
        <v/>
      </c>
      <c r="D1795">
        <f>IF(OR($A1795="",$B1795=""),"",IF(ISNUMBER($A1795),MOD($A1795,100),IFERROR(VALUE(TRIM(MID(MID($A1795,FIND("/",$A1795)+1,20),FIND("/",MID($A1795,FIND("/",$A1795)+1,20))+1,20))),"")))</f>
        <v/>
      </c>
      <c r="E1795">
        <f>IF($A1795="","",IF(OR($B1795="",$C1795="",$D1795="",$B1795&lt;1300,$B1795&gt;1500,$C1795&lt;1,$C1795&gt;12,$D1795&lt;1,$D1795&gt;31),"نامعتبر",RIGHT("0000"&amp;$B1795,4)&amp;"/"&amp;RIGHT("00"&amp;$C1795,2)&amp;"/"&amp;RIGHT("00"&amp;$D1795,2)))</f>
        <v/>
      </c>
      <c r="F1795">
        <f>IF(OR($E1795="",$E1795="نامعتبر"),"",LEFT($E1795,4)&amp;"/"&amp;MID($E1795,6,2))</f>
        <v/>
      </c>
      <c r="G1795">
        <f>IF(OR($E1795="",$E1795="نامعتبر",Sync!$Y1792=""),"",Sync!$Y1792)</f>
        <v/>
      </c>
      <c r="H1795">
        <f>IF($G1795="","",IF(Sync!$X1792="","",Sync!$X1792))</f>
        <v/>
      </c>
      <c r="I1795">
        <f>IF($G1795="","",IFERROR(VLOOKUP(Sync!$X1792,OpTbl,3,0),""))</f>
        <v/>
      </c>
      <c r="J1795">
        <f>IF(OR($G1795="",Sync!$Z1792=""),"",Sync!$Z1792)</f>
        <v/>
      </c>
      <c r="K1795">
        <f>IF(OR($G1795="",Sync!$AA1792=""),"",Sync!$AA1792)</f>
        <v/>
      </c>
      <c r="L1795">
        <f>IF($G1795="",0,IF(Sync!$AB1792="",0,Sync!$AB1792))</f>
        <v/>
      </c>
      <c r="M1795">
        <f>IF($G1795="",0,IF(Sync!$AC1792="",0,Sync!$AC1792))</f>
        <v/>
      </c>
      <c r="N1795">
        <f>IF($G1795="","",IF($H1795="مرجوعی خرید",-1,1)*($L1795-$M1795*IFERROR(VLOOKUP("P01",ParamTbl,3,0),1.5))*(1-IF($I1795="خرید",IFERROR(VLOOKUP("P02",ParamTbl,3,0),1),0)/100))</f>
        <v/>
      </c>
      <c r="O1795">
        <f>IF($G1795="",0,IF($H1795="مرجوعی خرید",-1,1)*IF(Sync!$AD1792="",0,Sync!$AD1792))</f>
        <v/>
      </c>
      <c r="P1795">
        <f>IF(OR($G1795="",Sync!$W1792=""),"",Sync!$W1792)</f>
        <v/>
      </c>
      <c r="Q1795">
        <f>IF(OR($G1795="",Sync!$AE1792=""),"",Sync!$AE1792)</f>
        <v/>
      </c>
      <c r="R1795">
        <f>IF($G1795="","",IF(Sync!$V1792="","0000",IF(AND(ISNUMBER(Sync!$V1792),Sync!$V1792&gt;=0,Sync!$V1792&lt;1),RIGHT("00"&amp;HOUR(Sync!$V1792),2)&amp;RIGHT("00"&amp;MINUTE(Sync!$V1792),2),IFERROR(RIGHT("00"&amp;VALUE(LEFT(Sync!$V1792,FIND(":",Sync!$V1792)-1)),2)&amp;RIGHT("00"&amp;VALUE(MID(Sync!$V1792,FIND(":",Sync!$V1792)+1,2)),2),"0000"))))</f>
        <v/>
      </c>
    </row>
    <row r="1796">
      <c r="A1796">
        <f>IF(Sync!$U1793="","",Sync!$U1793)</f>
        <v/>
      </c>
      <c r="B1796">
        <f>IF($A1796="","",IF(ISNUMBER($A1796),IF(AND($A1796&gt;=10000101,$A1796&lt;=99991231),INT($A1796/10000),""),IFERROR(VALUE(TRIM(LEFT($A1796,FIND("/",$A1796)-1))),"")))</f>
        <v/>
      </c>
      <c r="C1796">
        <f>IF(OR($A1796="",$B1796=""),"",IF(ISNUMBER($A1796),INT(MOD($A1796,10000)/100),IFERROR(VALUE(TRIM(LEFT(MID($A1796,FIND("/",$A1796)+1,20),FIND("/",MID($A1796,FIND("/",$A1796)+1,20))-1))),"")))</f>
        <v/>
      </c>
      <c r="D1796">
        <f>IF(OR($A1796="",$B1796=""),"",IF(ISNUMBER($A1796),MOD($A1796,100),IFERROR(VALUE(TRIM(MID(MID($A1796,FIND("/",$A1796)+1,20),FIND("/",MID($A1796,FIND("/",$A1796)+1,20))+1,20))),"")))</f>
        <v/>
      </c>
      <c r="E1796">
        <f>IF($A1796="","",IF(OR($B1796="",$C1796="",$D1796="",$B1796&lt;1300,$B1796&gt;1500,$C1796&lt;1,$C1796&gt;12,$D1796&lt;1,$D1796&gt;31),"نامعتبر",RIGHT("0000"&amp;$B1796,4)&amp;"/"&amp;RIGHT("00"&amp;$C1796,2)&amp;"/"&amp;RIGHT("00"&amp;$D1796,2)))</f>
        <v/>
      </c>
      <c r="F1796">
        <f>IF(OR($E1796="",$E1796="نامعتبر"),"",LEFT($E1796,4)&amp;"/"&amp;MID($E1796,6,2))</f>
        <v/>
      </c>
      <c r="G1796">
        <f>IF(OR($E1796="",$E1796="نامعتبر",Sync!$Y1793=""),"",Sync!$Y1793)</f>
        <v/>
      </c>
      <c r="H1796">
        <f>IF($G1796="","",IF(Sync!$X1793="","",Sync!$X1793))</f>
        <v/>
      </c>
      <c r="I1796">
        <f>IF($G1796="","",IFERROR(VLOOKUP(Sync!$X1793,OpTbl,3,0),""))</f>
        <v/>
      </c>
      <c r="J1796">
        <f>IF(OR($G1796="",Sync!$Z1793=""),"",Sync!$Z1793)</f>
        <v/>
      </c>
      <c r="K1796">
        <f>IF(OR($G1796="",Sync!$AA1793=""),"",Sync!$AA1793)</f>
        <v/>
      </c>
      <c r="L1796">
        <f>IF($G1796="",0,IF(Sync!$AB1793="",0,Sync!$AB1793))</f>
        <v/>
      </c>
      <c r="M1796">
        <f>IF($G1796="",0,IF(Sync!$AC1793="",0,Sync!$AC1793))</f>
        <v/>
      </c>
      <c r="N1796">
        <f>IF($G1796="","",IF($H1796="مرجوعی خرید",-1,1)*($L1796-$M1796*IFERROR(VLOOKUP("P01",ParamTbl,3,0),1.5))*(1-IF($I1796="خرید",IFERROR(VLOOKUP("P02",ParamTbl,3,0),1),0)/100))</f>
        <v/>
      </c>
      <c r="O1796">
        <f>IF($G1796="",0,IF($H1796="مرجوعی خرید",-1,1)*IF(Sync!$AD1793="",0,Sync!$AD1793))</f>
        <v/>
      </c>
      <c r="P1796">
        <f>IF(OR($G1796="",Sync!$W1793=""),"",Sync!$W1793)</f>
        <v/>
      </c>
      <c r="Q1796">
        <f>IF(OR($G1796="",Sync!$AE1793=""),"",Sync!$AE1793)</f>
        <v/>
      </c>
      <c r="R1796">
        <f>IF($G1796="","",IF(Sync!$V1793="","0000",IF(AND(ISNUMBER(Sync!$V1793),Sync!$V1793&gt;=0,Sync!$V1793&lt;1),RIGHT("00"&amp;HOUR(Sync!$V1793),2)&amp;RIGHT("00"&amp;MINUTE(Sync!$V1793),2),IFERROR(RIGHT("00"&amp;VALUE(LEFT(Sync!$V1793,FIND(":",Sync!$V1793)-1)),2)&amp;RIGHT("00"&amp;VALUE(MID(Sync!$V1793,FIND(":",Sync!$V1793)+1,2)),2),"0000"))))</f>
        <v/>
      </c>
    </row>
    <row r="1797">
      <c r="A1797">
        <f>IF(Sync!$U1794="","",Sync!$U1794)</f>
        <v/>
      </c>
      <c r="B1797">
        <f>IF($A1797="","",IF(ISNUMBER($A1797),IF(AND($A1797&gt;=10000101,$A1797&lt;=99991231),INT($A1797/10000),""),IFERROR(VALUE(TRIM(LEFT($A1797,FIND("/",$A1797)-1))),"")))</f>
        <v/>
      </c>
      <c r="C1797">
        <f>IF(OR($A1797="",$B1797=""),"",IF(ISNUMBER($A1797),INT(MOD($A1797,10000)/100),IFERROR(VALUE(TRIM(LEFT(MID($A1797,FIND("/",$A1797)+1,20),FIND("/",MID($A1797,FIND("/",$A1797)+1,20))-1))),"")))</f>
        <v/>
      </c>
      <c r="D1797">
        <f>IF(OR($A1797="",$B1797=""),"",IF(ISNUMBER($A1797),MOD($A1797,100),IFERROR(VALUE(TRIM(MID(MID($A1797,FIND("/",$A1797)+1,20),FIND("/",MID($A1797,FIND("/",$A1797)+1,20))+1,20))),"")))</f>
        <v/>
      </c>
      <c r="E1797">
        <f>IF($A1797="","",IF(OR($B1797="",$C1797="",$D1797="",$B1797&lt;1300,$B1797&gt;1500,$C1797&lt;1,$C1797&gt;12,$D1797&lt;1,$D1797&gt;31),"نامعتبر",RIGHT("0000"&amp;$B1797,4)&amp;"/"&amp;RIGHT("00"&amp;$C1797,2)&amp;"/"&amp;RIGHT("00"&amp;$D1797,2)))</f>
        <v/>
      </c>
      <c r="F1797">
        <f>IF(OR($E1797="",$E1797="نامعتبر"),"",LEFT($E1797,4)&amp;"/"&amp;MID($E1797,6,2))</f>
        <v/>
      </c>
      <c r="G1797">
        <f>IF(OR($E1797="",$E1797="نامعتبر",Sync!$Y1794=""),"",Sync!$Y1794)</f>
        <v/>
      </c>
      <c r="H1797">
        <f>IF($G1797="","",IF(Sync!$X1794="","",Sync!$X1794))</f>
        <v/>
      </c>
      <c r="I1797">
        <f>IF($G1797="","",IFERROR(VLOOKUP(Sync!$X1794,OpTbl,3,0),""))</f>
        <v/>
      </c>
      <c r="J1797">
        <f>IF(OR($G1797="",Sync!$Z1794=""),"",Sync!$Z1794)</f>
        <v/>
      </c>
      <c r="K1797">
        <f>IF(OR($G1797="",Sync!$AA1794=""),"",Sync!$AA1794)</f>
        <v/>
      </c>
      <c r="L1797">
        <f>IF($G1797="",0,IF(Sync!$AB1794="",0,Sync!$AB1794))</f>
        <v/>
      </c>
      <c r="M1797">
        <f>IF($G1797="",0,IF(Sync!$AC1794="",0,Sync!$AC1794))</f>
        <v/>
      </c>
      <c r="N1797">
        <f>IF($G1797="","",IF($H1797="مرجوعی خرید",-1,1)*($L1797-$M1797*IFERROR(VLOOKUP("P01",ParamTbl,3,0),1.5))*(1-IF($I1797="خرید",IFERROR(VLOOKUP("P02",ParamTbl,3,0),1),0)/100))</f>
        <v/>
      </c>
      <c r="O1797">
        <f>IF($G1797="",0,IF($H1797="مرجوعی خرید",-1,1)*IF(Sync!$AD1794="",0,Sync!$AD1794))</f>
        <v/>
      </c>
      <c r="P1797">
        <f>IF(OR($G1797="",Sync!$W1794=""),"",Sync!$W1794)</f>
        <v/>
      </c>
      <c r="Q1797">
        <f>IF(OR($G1797="",Sync!$AE1794=""),"",Sync!$AE1794)</f>
        <v/>
      </c>
      <c r="R1797">
        <f>IF($G1797="","",IF(Sync!$V1794="","0000",IF(AND(ISNUMBER(Sync!$V1794),Sync!$V1794&gt;=0,Sync!$V1794&lt;1),RIGHT("00"&amp;HOUR(Sync!$V1794),2)&amp;RIGHT("00"&amp;MINUTE(Sync!$V1794),2),IFERROR(RIGHT("00"&amp;VALUE(LEFT(Sync!$V1794,FIND(":",Sync!$V1794)-1)),2)&amp;RIGHT("00"&amp;VALUE(MID(Sync!$V1794,FIND(":",Sync!$V1794)+1,2)),2),"0000"))))</f>
        <v/>
      </c>
    </row>
    <row r="1798">
      <c r="A1798">
        <f>IF(Sync!$U1795="","",Sync!$U1795)</f>
        <v/>
      </c>
      <c r="B1798">
        <f>IF($A1798="","",IF(ISNUMBER($A1798),IF(AND($A1798&gt;=10000101,$A1798&lt;=99991231),INT($A1798/10000),""),IFERROR(VALUE(TRIM(LEFT($A1798,FIND("/",$A1798)-1))),"")))</f>
        <v/>
      </c>
      <c r="C1798">
        <f>IF(OR($A1798="",$B1798=""),"",IF(ISNUMBER($A1798),INT(MOD($A1798,10000)/100),IFERROR(VALUE(TRIM(LEFT(MID($A1798,FIND("/",$A1798)+1,20),FIND("/",MID($A1798,FIND("/",$A1798)+1,20))-1))),"")))</f>
        <v/>
      </c>
      <c r="D1798">
        <f>IF(OR($A1798="",$B1798=""),"",IF(ISNUMBER($A1798),MOD($A1798,100),IFERROR(VALUE(TRIM(MID(MID($A1798,FIND("/",$A1798)+1,20),FIND("/",MID($A1798,FIND("/",$A1798)+1,20))+1,20))),"")))</f>
        <v/>
      </c>
      <c r="E1798">
        <f>IF($A1798="","",IF(OR($B1798="",$C1798="",$D1798="",$B1798&lt;1300,$B1798&gt;1500,$C1798&lt;1,$C1798&gt;12,$D1798&lt;1,$D1798&gt;31),"نامعتبر",RIGHT("0000"&amp;$B1798,4)&amp;"/"&amp;RIGHT("00"&amp;$C1798,2)&amp;"/"&amp;RIGHT("00"&amp;$D1798,2)))</f>
        <v/>
      </c>
      <c r="F1798">
        <f>IF(OR($E1798="",$E1798="نامعتبر"),"",LEFT($E1798,4)&amp;"/"&amp;MID($E1798,6,2))</f>
        <v/>
      </c>
      <c r="G1798">
        <f>IF(OR($E1798="",$E1798="نامعتبر",Sync!$Y1795=""),"",Sync!$Y1795)</f>
        <v/>
      </c>
      <c r="H1798">
        <f>IF($G1798="","",IF(Sync!$X1795="","",Sync!$X1795))</f>
        <v/>
      </c>
      <c r="I1798">
        <f>IF($G1798="","",IFERROR(VLOOKUP(Sync!$X1795,OpTbl,3,0),""))</f>
        <v/>
      </c>
      <c r="J1798">
        <f>IF(OR($G1798="",Sync!$Z1795=""),"",Sync!$Z1795)</f>
        <v/>
      </c>
      <c r="K1798">
        <f>IF(OR($G1798="",Sync!$AA1795=""),"",Sync!$AA1795)</f>
        <v/>
      </c>
      <c r="L1798">
        <f>IF($G1798="",0,IF(Sync!$AB1795="",0,Sync!$AB1795))</f>
        <v/>
      </c>
      <c r="M1798">
        <f>IF($G1798="",0,IF(Sync!$AC1795="",0,Sync!$AC1795))</f>
        <v/>
      </c>
      <c r="N1798">
        <f>IF($G1798="","",IF($H1798="مرجوعی خرید",-1,1)*($L1798-$M1798*IFERROR(VLOOKUP("P01",ParamTbl,3,0),1.5))*(1-IF($I1798="خرید",IFERROR(VLOOKUP("P02",ParamTbl,3,0),1),0)/100))</f>
        <v/>
      </c>
      <c r="O1798">
        <f>IF($G1798="",0,IF($H1798="مرجوعی خرید",-1,1)*IF(Sync!$AD1795="",0,Sync!$AD1795))</f>
        <v/>
      </c>
      <c r="P1798">
        <f>IF(OR($G1798="",Sync!$W1795=""),"",Sync!$W1795)</f>
        <v/>
      </c>
      <c r="Q1798">
        <f>IF(OR($G1798="",Sync!$AE1795=""),"",Sync!$AE1795)</f>
        <v/>
      </c>
      <c r="R1798">
        <f>IF($G1798="","",IF(Sync!$V1795="","0000",IF(AND(ISNUMBER(Sync!$V1795),Sync!$V1795&gt;=0,Sync!$V1795&lt;1),RIGHT("00"&amp;HOUR(Sync!$V1795),2)&amp;RIGHT("00"&amp;MINUTE(Sync!$V1795),2),IFERROR(RIGHT("00"&amp;VALUE(LEFT(Sync!$V1795,FIND(":",Sync!$V1795)-1)),2)&amp;RIGHT("00"&amp;VALUE(MID(Sync!$V1795,FIND(":",Sync!$V1795)+1,2)),2),"0000"))))</f>
        <v/>
      </c>
    </row>
    <row r="1799">
      <c r="A1799">
        <f>IF(Sync!$U1796="","",Sync!$U1796)</f>
        <v/>
      </c>
      <c r="B1799">
        <f>IF($A1799="","",IF(ISNUMBER($A1799),IF(AND($A1799&gt;=10000101,$A1799&lt;=99991231),INT($A1799/10000),""),IFERROR(VALUE(TRIM(LEFT($A1799,FIND("/",$A1799)-1))),"")))</f>
        <v/>
      </c>
      <c r="C1799">
        <f>IF(OR($A1799="",$B1799=""),"",IF(ISNUMBER($A1799),INT(MOD($A1799,10000)/100),IFERROR(VALUE(TRIM(LEFT(MID($A1799,FIND("/",$A1799)+1,20),FIND("/",MID($A1799,FIND("/",$A1799)+1,20))-1))),"")))</f>
        <v/>
      </c>
      <c r="D1799">
        <f>IF(OR($A1799="",$B1799=""),"",IF(ISNUMBER($A1799),MOD($A1799,100),IFERROR(VALUE(TRIM(MID(MID($A1799,FIND("/",$A1799)+1,20),FIND("/",MID($A1799,FIND("/",$A1799)+1,20))+1,20))),"")))</f>
        <v/>
      </c>
      <c r="E1799">
        <f>IF($A1799="","",IF(OR($B1799="",$C1799="",$D1799="",$B1799&lt;1300,$B1799&gt;1500,$C1799&lt;1,$C1799&gt;12,$D1799&lt;1,$D1799&gt;31),"نامعتبر",RIGHT("0000"&amp;$B1799,4)&amp;"/"&amp;RIGHT("00"&amp;$C1799,2)&amp;"/"&amp;RIGHT("00"&amp;$D1799,2)))</f>
        <v/>
      </c>
      <c r="F1799">
        <f>IF(OR($E1799="",$E1799="نامعتبر"),"",LEFT($E1799,4)&amp;"/"&amp;MID($E1799,6,2))</f>
        <v/>
      </c>
      <c r="G1799">
        <f>IF(OR($E1799="",$E1799="نامعتبر",Sync!$Y1796=""),"",Sync!$Y1796)</f>
        <v/>
      </c>
      <c r="H1799">
        <f>IF($G1799="","",IF(Sync!$X1796="","",Sync!$X1796))</f>
        <v/>
      </c>
      <c r="I1799">
        <f>IF($G1799="","",IFERROR(VLOOKUP(Sync!$X1796,OpTbl,3,0),""))</f>
        <v/>
      </c>
      <c r="J1799">
        <f>IF(OR($G1799="",Sync!$Z1796=""),"",Sync!$Z1796)</f>
        <v/>
      </c>
      <c r="K1799">
        <f>IF(OR($G1799="",Sync!$AA1796=""),"",Sync!$AA1796)</f>
        <v/>
      </c>
      <c r="L1799">
        <f>IF($G1799="",0,IF(Sync!$AB1796="",0,Sync!$AB1796))</f>
        <v/>
      </c>
      <c r="M1799">
        <f>IF($G1799="",0,IF(Sync!$AC1796="",0,Sync!$AC1796))</f>
        <v/>
      </c>
      <c r="N1799">
        <f>IF($G1799="","",IF($H1799="مرجوعی خرید",-1,1)*($L1799-$M1799*IFERROR(VLOOKUP("P01",ParamTbl,3,0),1.5))*(1-IF($I1799="خرید",IFERROR(VLOOKUP("P02",ParamTbl,3,0),1),0)/100))</f>
        <v/>
      </c>
      <c r="O1799">
        <f>IF($G1799="",0,IF($H1799="مرجوعی خرید",-1,1)*IF(Sync!$AD1796="",0,Sync!$AD1796))</f>
        <v/>
      </c>
      <c r="P1799">
        <f>IF(OR($G1799="",Sync!$W1796=""),"",Sync!$W1796)</f>
        <v/>
      </c>
      <c r="Q1799">
        <f>IF(OR($G1799="",Sync!$AE1796=""),"",Sync!$AE1796)</f>
        <v/>
      </c>
      <c r="R1799">
        <f>IF($G1799="","",IF(Sync!$V1796="","0000",IF(AND(ISNUMBER(Sync!$V1796),Sync!$V1796&gt;=0,Sync!$V1796&lt;1),RIGHT("00"&amp;HOUR(Sync!$V1796),2)&amp;RIGHT("00"&amp;MINUTE(Sync!$V1796),2),IFERROR(RIGHT("00"&amp;VALUE(LEFT(Sync!$V1796,FIND(":",Sync!$V1796)-1)),2)&amp;RIGHT("00"&amp;VALUE(MID(Sync!$V1796,FIND(":",Sync!$V1796)+1,2)),2),"0000"))))</f>
        <v/>
      </c>
    </row>
    <row r="1800">
      <c r="A1800">
        <f>IF(Sync!$U1797="","",Sync!$U1797)</f>
        <v/>
      </c>
      <c r="B1800">
        <f>IF($A1800="","",IF(ISNUMBER($A1800),IF(AND($A1800&gt;=10000101,$A1800&lt;=99991231),INT($A1800/10000),""),IFERROR(VALUE(TRIM(LEFT($A1800,FIND("/",$A1800)-1))),"")))</f>
        <v/>
      </c>
      <c r="C1800">
        <f>IF(OR($A1800="",$B1800=""),"",IF(ISNUMBER($A1800),INT(MOD($A1800,10000)/100),IFERROR(VALUE(TRIM(LEFT(MID($A1800,FIND("/",$A1800)+1,20),FIND("/",MID($A1800,FIND("/",$A1800)+1,20))-1))),"")))</f>
        <v/>
      </c>
      <c r="D1800">
        <f>IF(OR($A1800="",$B1800=""),"",IF(ISNUMBER($A1800),MOD($A1800,100),IFERROR(VALUE(TRIM(MID(MID($A1800,FIND("/",$A1800)+1,20),FIND("/",MID($A1800,FIND("/",$A1800)+1,20))+1,20))),"")))</f>
        <v/>
      </c>
      <c r="E1800">
        <f>IF($A1800="","",IF(OR($B1800="",$C1800="",$D1800="",$B1800&lt;1300,$B1800&gt;1500,$C1800&lt;1,$C1800&gt;12,$D1800&lt;1,$D1800&gt;31),"نامعتبر",RIGHT("0000"&amp;$B1800,4)&amp;"/"&amp;RIGHT("00"&amp;$C1800,2)&amp;"/"&amp;RIGHT("00"&amp;$D1800,2)))</f>
        <v/>
      </c>
      <c r="F1800">
        <f>IF(OR($E1800="",$E1800="نامعتبر"),"",LEFT($E1800,4)&amp;"/"&amp;MID($E1800,6,2))</f>
        <v/>
      </c>
      <c r="G1800">
        <f>IF(OR($E1800="",$E1800="نامعتبر",Sync!$Y1797=""),"",Sync!$Y1797)</f>
        <v/>
      </c>
      <c r="H1800">
        <f>IF($G1800="","",IF(Sync!$X1797="","",Sync!$X1797))</f>
        <v/>
      </c>
      <c r="I1800">
        <f>IF($G1800="","",IFERROR(VLOOKUP(Sync!$X1797,OpTbl,3,0),""))</f>
        <v/>
      </c>
      <c r="J1800">
        <f>IF(OR($G1800="",Sync!$Z1797=""),"",Sync!$Z1797)</f>
        <v/>
      </c>
      <c r="K1800">
        <f>IF(OR($G1800="",Sync!$AA1797=""),"",Sync!$AA1797)</f>
        <v/>
      </c>
      <c r="L1800">
        <f>IF($G1800="",0,IF(Sync!$AB1797="",0,Sync!$AB1797))</f>
        <v/>
      </c>
      <c r="M1800">
        <f>IF($G1800="",0,IF(Sync!$AC1797="",0,Sync!$AC1797))</f>
        <v/>
      </c>
      <c r="N1800">
        <f>IF($G1800="","",IF($H1800="مرجوعی خرید",-1,1)*($L1800-$M1800*IFERROR(VLOOKUP("P01",ParamTbl,3,0),1.5))*(1-IF($I1800="خرید",IFERROR(VLOOKUP("P02",ParamTbl,3,0),1),0)/100))</f>
        <v/>
      </c>
      <c r="O1800">
        <f>IF($G1800="",0,IF($H1800="مرجوعی خرید",-1,1)*IF(Sync!$AD1797="",0,Sync!$AD1797))</f>
        <v/>
      </c>
      <c r="P1800">
        <f>IF(OR($G1800="",Sync!$W1797=""),"",Sync!$W1797)</f>
        <v/>
      </c>
      <c r="Q1800">
        <f>IF(OR($G1800="",Sync!$AE1797=""),"",Sync!$AE1797)</f>
        <v/>
      </c>
      <c r="R1800">
        <f>IF($G1800="","",IF(Sync!$V1797="","0000",IF(AND(ISNUMBER(Sync!$V1797),Sync!$V1797&gt;=0,Sync!$V1797&lt;1),RIGHT("00"&amp;HOUR(Sync!$V1797),2)&amp;RIGHT("00"&amp;MINUTE(Sync!$V1797),2),IFERROR(RIGHT("00"&amp;VALUE(LEFT(Sync!$V1797,FIND(":",Sync!$V1797)-1)),2)&amp;RIGHT("00"&amp;VALUE(MID(Sync!$V1797,FIND(":",Sync!$V1797)+1,2)),2),"0000"))))</f>
        <v/>
      </c>
    </row>
    <row r="1801">
      <c r="A1801">
        <f>IF(Sync!$U1798="","",Sync!$U1798)</f>
        <v/>
      </c>
      <c r="B1801">
        <f>IF($A1801="","",IF(ISNUMBER($A1801),IF(AND($A1801&gt;=10000101,$A1801&lt;=99991231),INT($A1801/10000),""),IFERROR(VALUE(TRIM(LEFT($A1801,FIND("/",$A1801)-1))),"")))</f>
        <v/>
      </c>
      <c r="C1801">
        <f>IF(OR($A1801="",$B1801=""),"",IF(ISNUMBER($A1801),INT(MOD($A1801,10000)/100),IFERROR(VALUE(TRIM(LEFT(MID($A1801,FIND("/",$A1801)+1,20),FIND("/",MID($A1801,FIND("/",$A1801)+1,20))-1))),"")))</f>
        <v/>
      </c>
      <c r="D1801">
        <f>IF(OR($A1801="",$B1801=""),"",IF(ISNUMBER($A1801),MOD($A1801,100),IFERROR(VALUE(TRIM(MID(MID($A1801,FIND("/",$A1801)+1,20),FIND("/",MID($A1801,FIND("/",$A1801)+1,20))+1,20))),"")))</f>
        <v/>
      </c>
      <c r="E1801">
        <f>IF($A1801="","",IF(OR($B1801="",$C1801="",$D1801="",$B1801&lt;1300,$B1801&gt;1500,$C1801&lt;1,$C1801&gt;12,$D1801&lt;1,$D1801&gt;31),"نامعتبر",RIGHT("0000"&amp;$B1801,4)&amp;"/"&amp;RIGHT("00"&amp;$C1801,2)&amp;"/"&amp;RIGHT("00"&amp;$D1801,2)))</f>
        <v/>
      </c>
      <c r="F1801">
        <f>IF(OR($E1801="",$E1801="نامعتبر"),"",LEFT($E1801,4)&amp;"/"&amp;MID($E1801,6,2))</f>
        <v/>
      </c>
      <c r="G1801">
        <f>IF(OR($E1801="",$E1801="نامعتبر",Sync!$Y1798=""),"",Sync!$Y1798)</f>
        <v/>
      </c>
      <c r="H1801">
        <f>IF($G1801="","",IF(Sync!$X1798="","",Sync!$X1798))</f>
        <v/>
      </c>
      <c r="I1801">
        <f>IF($G1801="","",IFERROR(VLOOKUP(Sync!$X1798,OpTbl,3,0),""))</f>
        <v/>
      </c>
      <c r="J1801">
        <f>IF(OR($G1801="",Sync!$Z1798=""),"",Sync!$Z1798)</f>
        <v/>
      </c>
      <c r="K1801">
        <f>IF(OR($G1801="",Sync!$AA1798=""),"",Sync!$AA1798)</f>
        <v/>
      </c>
      <c r="L1801">
        <f>IF($G1801="",0,IF(Sync!$AB1798="",0,Sync!$AB1798))</f>
        <v/>
      </c>
      <c r="M1801">
        <f>IF($G1801="",0,IF(Sync!$AC1798="",0,Sync!$AC1798))</f>
        <v/>
      </c>
      <c r="N1801">
        <f>IF($G1801="","",IF($H1801="مرجوعی خرید",-1,1)*($L1801-$M1801*IFERROR(VLOOKUP("P01",ParamTbl,3,0),1.5))*(1-IF($I1801="خرید",IFERROR(VLOOKUP("P02",ParamTbl,3,0),1),0)/100))</f>
        <v/>
      </c>
      <c r="O1801">
        <f>IF($G1801="",0,IF($H1801="مرجوعی خرید",-1,1)*IF(Sync!$AD1798="",0,Sync!$AD1798))</f>
        <v/>
      </c>
      <c r="P1801">
        <f>IF(OR($G1801="",Sync!$W1798=""),"",Sync!$W1798)</f>
        <v/>
      </c>
      <c r="Q1801">
        <f>IF(OR($G1801="",Sync!$AE1798=""),"",Sync!$AE1798)</f>
        <v/>
      </c>
      <c r="R1801">
        <f>IF($G1801="","",IF(Sync!$V1798="","0000",IF(AND(ISNUMBER(Sync!$V1798),Sync!$V1798&gt;=0,Sync!$V1798&lt;1),RIGHT("00"&amp;HOUR(Sync!$V1798),2)&amp;RIGHT("00"&amp;MINUTE(Sync!$V1798),2),IFERROR(RIGHT("00"&amp;VALUE(LEFT(Sync!$V1798,FIND(":",Sync!$V1798)-1)),2)&amp;RIGHT("00"&amp;VALUE(MID(Sync!$V1798,FIND(":",Sync!$V1798)+1,2)),2),"0000"))))</f>
        <v/>
      </c>
    </row>
    <row r="1802">
      <c r="A1802">
        <f>IF(Sync!$U1799="","",Sync!$U1799)</f>
        <v/>
      </c>
      <c r="B1802">
        <f>IF($A1802="","",IF(ISNUMBER($A1802),IF(AND($A1802&gt;=10000101,$A1802&lt;=99991231),INT($A1802/10000),""),IFERROR(VALUE(TRIM(LEFT($A1802,FIND("/",$A1802)-1))),"")))</f>
        <v/>
      </c>
      <c r="C1802">
        <f>IF(OR($A1802="",$B1802=""),"",IF(ISNUMBER($A1802),INT(MOD($A1802,10000)/100),IFERROR(VALUE(TRIM(LEFT(MID($A1802,FIND("/",$A1802)+1,20),FIND("/",MID($A1802,FIND("/",$A1802)+1,20))-1))),"")))</f>
        <v/>
      </c>
      <c r="D1802">
        <f>IF(OR($A1802="",$B1802=""),"",IF(ISNUMBER($A1802),MOD($A1802,100),IFERROR(VALUE(TRIM(MID(MID($A1802,FIND("/",$A1802)+1,20),FIND("/",MID($A1802,FIND("/",$A1802)+1,20))+1,20))),"")))</f>
        <v/>
      </c>
      <c r="E1802">
        <f>IF($A1802="","",IF(OR($B1802="",$C1802="",$D1802="",$B1802&lt;1300,$B1802&gt;1500,$C1802&lt;1,$C1802&gt;12,$D1802&lt;1,$D1802&gt;31),"نامعتبر",RIGHT("0000"&amp;$B1802,4)&amp;"/"&amp;RIGHT("00"&amp;$C1802,2)&amp;"/"&amp;RIGHT("00"&amp;$D1802,2)))</f>
        <v/>
      </c>
      <c r="F1802">
        <f>IF(OR($E1802="",$E1802="نامعتبر"),"",LEFT($E1802,4)&amp;"/"&amp;MID($E1802,6,2))</f>
        <v/>
      </c>
      <c r="G1802">
        <f>IF(OR($E1802="",$E1802="نامعتبر",Sync!$Y1799=""),"",Sync!$Y1799)</f>
        <v/>
      </c>
      <c r="H1802">
        <f>IF($G1802="","",IF(Sync!$X1799="","",Sync!$X1799))</f>
        <v/>
      </c>
      <c r="I1802">
        <f>IF($G1802="","",IFERROR(VLOOKUP(Sync!$X1799,OpTbl,3,0),""))</f>
        <v/>
      </c>
      <c r="J1802">
        <f>IF(OR($G1802="",Sync!$Z1799=""),"",Sync!$Z1799)</f>
        <v/>
      </c>
      <c r="K1802">
        <f>IF(OR($G1802="",Sync!$AA1799=""),"",Sync!$AA1799)</f>
        <v/>
      </c>
      <c r="L1802">
        <f>IF($G1802="",0,IF(Sync!$AB1799="",0,Sync!$AB1799))</f>
        <v/>
      </c>
      <c r="M1802">
        <f>IF($G1802="",0,IF(Sync!$AC1799="",0,Sync!$AC1799))</f>
        <v/>
      </c>
      <c r="N1802">
        <f>IF($G1802="","",IF($H1802="مرجوعی خرید",-1,1)*($L1802-$M1802*IFERROR(VLOOKUP("P01",ParamTbl,3,0),1.5))*(1-IF($I1802="خرید",IFERROR(VLOOKUP("P02",ParamTbl,3,0),1),0)/100))</f>
        <v/>
      </c>
      <c r="O1802">
        <f>IF($G1802="",0,IF($H1802="مرجوعی خرید",-1,1)*IF(Sync!$AD1799="",0,Sync!$AD1799))</f>
        <v/>
      </c>
      <c r="P1802">
        <f>IF(OR($G1802="",Sync!$W1799=""),"",Sync!$W1799)</f>
        <v/>
      </c>
      <c r="Q1802">
        <f>IF(OR($G1802="",Sync!$AE1799=""),"",Sync!$AE1799)</f>
        <v/>
      </c>
      <c r="R1802">
        <f>IF($G1802="","",IF(Sync!$V1799="","0000",IF(AND(ISNUMBER(Sync!$V1799),Sync!$V1799&gt;=0,Sync!$V1799&lt;1),RIGHT("00"&amp;HOUR(Sync!$V1799),2)&amp;RIGHT("00"&amp;MINUTE(Sync!$V1799),2),IFERROR(RIGHT("00"&amp;VALUE(LEFT(Sync!$V1799,FIND(":",Sync!$V1799)-1)),2)&amp;RIGHT("00"&amp;VALUE(MID(Sync!$V1799,FIND(":",Sync!$V1799)+1,2)),2),"0000"))))</f>
        <v/>
      </c>
    </row>
    <row r="1803">
      <c r="A1803">
        <f>IF(Sync!$U1800="","",Sync!$U1800)</f>
        <v/>
      </c>
      <c r="B1803">
        <f>IF($A1803="","",IF(ISNUMBER($A1803),IF(AND($A1803&gt;=10000101,$A1803&lt;=99991231),INT($A1803/10000),""),IFERROR(VALUE(TRIM(LEFT($A1803,FIND("/",$A1803)-1))),"")))</f>
        <v/>
      </c>
      <c r="C1803">
        <f>IF(OR($A1803="",$B1803=""),"",IF(ISNUMBER($A1803),INT(MOD($A1803,10000)/100),IFERROR(VALUE(TRIM(LEFT(MID($A1803,FIND("/",$A1803)+1,20),FIND("/",MID($A1803,FIND("/",$A1803)+1,20))-1))),"")))</f>
        <v/>
      </c>
      <c r="D1803">
        <f>IF(OR($A1803="",$B1803=""),"",IF(ISNUMBER($A1803),MOD($A1803,100),IFERROR(VALUE(TRIM(MID(MID($A1803,FIND("/",$A1803)+1,20),FIND("/",MID($A1803,FIND("/",$A1803)+1,20))+1,20))),"")))</f>
        <v/>
      </c>
      <c r="E1803">
        <f>IF($A1803="","",IF(OR($B1803="",$C1803="",$D1803="",$B1803&lt;1300,$B1803&gt;1500,$C1803&lt;1,$C1803&gt;12,$D1803&lt;1,$D1803&gt;31),"نامعتبر",RIGHT("0000"&amp;$B1803,4)&amp;"/"&amp;RIGHT("00"&amp;$C1803,2)&amp;"/"&amp;RIGHT("00"&amp;$D1803,2)))</f>
        <v/>
      </c>
      <c r="F1803">
        <f>IF(OR($E1803="",$E1803="نامعتبر"),"",LEFT($E1803,4)&amp;"/"&amp;MID($E1803,6,2))</f>
        <v/>
      </c>
      <c r="G1803">
        <f>IF(OR($E1803="",$E1803="نامعتبر",Sync!$Y1800=""),"",Sync!$Y1800)</f>
        <v/>
      </c>
      <c r="H1803">
        <f>IF($G1803="","",IF(Sync!$X1800="","",Sync!$X1800))</f>
        <v/>
      </c>
      <c r="I1803">
        <f>IF($G1803="","",IFERROR(VLOOKUP(Sync!$X1800,OpTbl,3,0),""))</f>
        <v/>
      </c>
      <c r="J1803">
        <f>IF(OR($G1803="",Sync!$Z1800=""),"",Sync!$Z1800)</f>
        <v/>
      </c>
      <c r="K1803">
        <f>IF(OR($G1803="",Sync!$AA1800=""),"",Sync!$AA1800)</f>
        <v/>
      </c>
      <c r="L1803">
        <f>IF($G1803="",0,IF(Sync!$AB1800="",0,Sync!$AB1800))</f>
        <v/>
      </c>
      <c r="M1803">
        <f>IF($G1803="",0,IF(Sync!$AC1800="",0,Sync!$AC1800))</f>
        <v/>
      </c>
      <c r="N1803">
        <f>IF($G1803="","",IF($H1803="مرجوعی خرید",-1,1)*($L1803-$M1803*IFERROR(VLOOKUP("P01",ParamTbl,3,0),1.5))*(1-IF($I1803="خرید",IFERROR(VLOOKUP("P02",ParamTbl,3,0),1),0)/100))</f>
        <v/>
      </c>
      <c r="O1803">
        <f>IF($G1803="",0,IF($H1803="مرجوعی خرید",-1,1)*IF(Sync!$AD1800="",0,Sync!$AD1800))</f>
        <v/>
      </c>
      <c r="P1803">
        <f>IF(OR($G1803="",Sync!$W1800=""),"",Sync!$W1800)</f>
        <v/>
      </c>
      <c r="Q1803">
        <f>IF(OR($G1803="",Sync!$AE1800=""),"",Sync!$AE1800)</f>
        <v/>
      </c>
      <c r="R1803">
        <f>IF($G1803="","",IF(Sync!$V1800="","0000",IF(AND(ISNUMBER(Sync!$V1800),Sync!$V1800&gt;=0,Sync!$V1800&lt;1),RIGHT("00"&amp;HOUR(Sync!$V1800),2)&amp;RIGHT("00"&amp;MINUTE(Sync!$V1800),2),IFERROR(RIGHT("00"&amp;VALUE(LEFT(Sync!$V1800,FIND(":",Sync!$V1800)-1)),2)&amp;RIGHT("00"&amp;VALUE(MID(Sync!$V1800,FIND(":",Sync!$V1800)+1,2)),2),"0000"))))</f>
        <v/>
      </c>
    </row>
    <row r="1804">
      <c r="A1804">
        <f>IF(Sync!$U1801="","",Sync!$U1801)</f>
        <v/>
      </c>
      <c r="B1804">
        <f>IF($A1804="","",IF(ISNUMBER($A1804),IF(AND($A1804&gt;=10000101,$A1804&lt;=99991231),INT($A1804/10000),""),IFERROR(VALUE(TRIM(LEFT($A1804,FIND("/",$A1804)-1))),"")))</f>
        <v/>
      </c>
      <c r="C1804">
        <f>IF(OR($A1804="",$B1804=""),"",IF(ISNUMBER($A1804),INT(MOD($A1804,10000)/100),IFERROR(VALUE(TRIM(LEFT(MID($A1804,FIND("/",$A1804)+1,20),FIND("/",MID($A1804,FIND("/",$A1804)+1,20))-1))),"")))</f>
        <v/>
      </c>
      <c r="D1804">
        <f>IF(OR($A1804="",$B1804=""),"",IF(ISNUMBER($A1804),MOD($A1804,100),IFERROR(VALUE(TRIM(MID(MID($A1804,FIND("/",$A1804)+1,20),FIND("/",MID($A1804,FIND("/",$A1804)+1,20))+1,20))),"")))</f>
        <v/>
      </c>
      <c r="E1804">
        <f>IF($A1804="","",IF(OR($B1804="",$C1804="",$D1804="",$B1804&lt;1300,$B1804&gt;1500,$C1804&lt;1,$C1804&gt;12,$D1804&lt;1,$D1804&gt;31),"نامعتبر",RIGHT("0000"&amp;$B1804,4)&amp;"/"&amp;RIGHT("00"&amp;$C1804,2)&amp;"/"&amp;RIGHT("00"&amp;$D1804,2)))</f>
        <v/>
      </c>
      <c r="F1804">
        <f>IF(OR($E1804="",$E1804="نامعتبر"),"",LEFT($E1804,4)&amp;"/"&amp;MID($E1804,6,2))</f>
        <v/>
      </c>
      <c r="G1804">
        <f>IF(OR($E1804="",$E1804="نامعتبر",Sync!$Y1801=""),"",Sync!$Y1801)</f>
        <v/>
      </c>
      <c r="H1804">
        <f>IF($G1804="","",IF(Sync!$X1801="","",Sync!$X1801))</f>
        <v/>
      </c>
      <c r="I1804">
        <f>IF($G1804="","",IFERROR(VLOOKUP(Sync!$X1801,OpTbl,3,0),""))</f>
        <v/>
      </c>
      <c r="J1804">
        <f>IF(OR($G1804="",Sync!$Z1801=""),"",Sync!$Z1801)</f>
        <v/>
      </c>
      <c r="K1804">
        <f>IF(OR($G1804="",Sync!$AA1801=""),"",Sync!$AA1801)</f>
        <v/>
      </c>
      <c r="L1804">
        <f>IF($G1804="",0,IF(Sync!$AB1801="",0,Sync!$AB1801))</f>
        <v/>
      </c>
      <c r="M1804">
        <f>IF($G1804="",0,IF(Sync!$AC1801="",0,Sync!$AC1801))</f>
        <v/>
      </c>
      <c r="N1804">
        <f>IF($G1804="","",IF($H1804="مرجوعی خرید",-1,1)*($L1804-$M1804*IFERROR(VLOOKUP("P01",ParamTbl,3,0),1.5))*(1-IF($I1804="خرید",IFERROR(VLOOKUP("P02",ParamTbl,3,0),1),0)/100))</f>
        <v/>
      </c>
      <c r="O1804">
        <f>IF($G1804="",0,IF($H1804="مرجوعی خرید",-1,1)*IF(Sync!$AD1801="",0,Sync!$AD1801))</f>
        <v/>
      </c>
      <c r="P1804">
        <f>IF(OR($G1804="",Sync!$W1801=""),"",Sync!$W1801)</f>
        <v/>
      </c>
      <c r="Q1804">
        <f>IF(OR($G1804="",Sync!$AE1801=""),"",Sync!$AE1801)</f>
        <v/>
      </c>
      <c r="R1804">
        <f>IF($G1804="","",IF(Sync!$V1801="","0000",IF(AND(ISNUMBER(Sync!$V1801),Sync!$V1801&gt;=0,Sync!$V1801&lt;1),RIGHT("00"&amp;HOUR(Sync!$V1801),2)&amp;RIGHT("00"&amp;MINUTE(Sync!$V1801),2),IFERROR(RIGHT("00"&amp;VALUE(LEFT(Sync!$V1801,FIND(":",Sync!$V1801)-1)),2)&amp;RIGHT("00"&amp;VALUE(MID(Sync!$V1801,FIND(":",Sync!$V1801)+1,2)),2),"0000"))))</f>
        <v/>
      </c>
    </row>
    <row r="1805">
      <c r="A1805">
        <f>IF(Sync!$U1802="","",Sync!$U1802)</f>
        <v/>
      </c>
      <c r="B1805">
        <f>IF($A1805="","",IF(ISNUMBER($A1805),IF(AND($A1805&gt;=10000101,$A1805&lt;=99991231),INT($A1805/10000),""),IFERROR(VALUE(TRIM(LEFT($A1805,FIND("/",$A1805)-1))),"")))</f>
        <v/>
      </c>
      <c r="C1805">
        <f>IF(OR($A1805="",$B1805=""),"",IF(ISNUMBER($A1805),INT(MOD($A1805,10000)/100),IFERROR(VALUE(TRIM(LEFT(MID($A1805,FIND("/",$A1805)+1,20),FIND("/",MID($A1805,FIND("/",$A1805)+1,20))-1))),"")))</f>
        <v/>
      </c>
      <c r="D1805">
        <f>IF(OR($A1805="",$B1805=""),"",IF(ISNUMBER($A1805),MOD($A1805,100),IFERROR(VALUE(TRIM(MID(MID($A1805,FIND("/",$A1805)+1,20),FIND("/",MID($A1805,FIND("/",$A1805)+1,20))+1,20))),"")))</f>
        <v/>
      </c>
      <c r="E1805">
        <f>IF($A1805="","",IF(OR($B1805="",$C1805="",$D1805="",$B1805&lt;1300,$B1805&gt;1500,$C1805&lt;1,$C1805&gt;12,$D1805&lt;1,$D1805&gt;31),"نامعتبر",RIGHT("0000"&amp;$B1805,4)&amp;"/"&amp;RIGHT("00"&amp;$C1805,2)&amp;"/"&amp;RIGHT("00"&amp;$D1805,2)))</f>
        <v/>
      </c>
      <c r="F1805">
        <f>IF(OR($E1805="",$E1805="نامعتبر"),"",LEFT($E1805,4)&amp;"/"&amp;MID($E1805,6,2))</f>
        <v/>
      </c>
      <c r="G1805">
        <f>IF(OR($E1805="",$E1805="نامعتبر",Sync!$Y1802=""),"",Sync!$Y1802)</f>
        <v/>
      </c>
      <c r="H1805">
        <f>IF($G1805="","",IF(Sync!$X1802="","",Sync!$X1802))</f>
        <v/>
      </c>
      <c r="I1805">
        <f>IF($G1805="","",IFERROR(VLOOKUP(Sync!$X1802,OpTbl,3,0),""))</f>
        <v/>
      </c>
      <c r="J1805">
        <f>IF(OR($G1805="",Sync!$Z1802=""),"",Sync!$Z1802)</f>
        <v/>
      </c>
      <c r="K1805">
        <f>IF(OR($G1805="",Sync!$AA1802=""),"",Sync!$AA1802)</f>
        <v/>
      </c>
      <c r="L1805">
        <f>IF($G1805="",0,IF(Sync!$AB1802="",0,Sync!$AB1802))</f>
        <v/>
      </c>
      <c r="M1805">
        <f>IF($G1805="",0,IF(Sync!$AC1802="",0,Sync!$AC1802))</f>
        <v/>
      </c>
      <c r="N1805">
        <f>IF($G1805="","",IF($H1805="مرجوعی خرید",-1,1)*($L1805-$M1805*IFERROR(VLOOKUP("P01",ParamTbl,3,0),1.5))*(1-IF($I1805="خرید",IFERROR(VLOOKUP("P02",ParamTbl,3,0),1),0)/100))</f>
        <v/>
      </c>
      <c r="O1805">
        <f>IF($G1805="",0,IF($H1805="مرجوعی خرید",-1,1)*IF(Sync!$AD1802="",0,Sync!$AD1802))</f>
        <v/>
      </c>
      <c r="P1805">
        <f>IF(OR($G1805="",Sync!$W1802=""),"",Sync!$W1802)</f>
        <v/>
      </c>
      <c r="Q1805">
        <f>IF(OR($G1805="",Sync!$AE1802=""),"",Sync!$AE1802)</f>
        <v/>
      </c>
      <c r="R1805">
        <f>IF($G1805="","",IF(Sync!$V1802="","0000",IF(AND(ISNUMBER(Sync!$V1802),Sync!$V1802&gt;=0,Sync!$V1802&lt;1),RIGHT("00"&amp;HOUR(Sync!$V1802),2)&amp;RIGHT("00"&amp;MINUTE(Sync!$V1802),2),IFERROR(RIGHT("00"&amp;VALUE(LEFT(Sync!$V1802,FIND(":",Sync!$V1802)-1)),2)&amp;RIGHT("00"&amp;VALUE(MID(Sync!$V1802,FIND(":",Sync!$V1802)+1,2)),2),"0000"))))</f>
        <v/>
      </c>
    </row>
    <row r="1806">
      <c r="A1806">
        <f>IF(Sync!$U1803="","",Sync!$U1803)</f>
        <v/>
      </c>
      <c r="B1806">
        <f>IF($A1806="","",IF(ISNUMBER($A1806),IF(AND($A1806&gt;=10000101,$A1806&lt;=99991231),INT($A1806/10000),""),IFERROR(VALUE(TRIM(LEFT($A1806,FIND("/",$A1806)-1))),"")))</f>
        <v/>
      </c>
      <c r="C1806">
        <f>IF(OR($A1806="",$B1806=""),"",IF(ISNUMBER($A1806),INT(MOD($A1806,10000)/100),IFERROR(VALUE(TRIM(LEFT(MID($A1806,FIND("/",$A1806)+1,20),FIND("/",MID($A1806,FIND("/",$A1806)+1,20))-1))),"")))</f>
        <v/>
      </c>
      <c r="D1806">
        <f>IF(OR($A1806="",$B1806=""),"",IF(ISNUMBER($A1806),MOD($A1806,100),IFERROR(VALUE(TRIM(MID(MID($A1806,FIND("/",$A1806)+1,20),FIND("/",MID($A1806,FIND("/",$A1806)+1,20))+1,20))),"")))</f>
        <v/>
      </c>
      <c r="E1806">
        <f>IF($A1806="","",IF(OR($B1806="",$C1806="",$D1806="",$B1806&lt;1300,$B1806&gt;1500,$C1806&lt;1,$C1806&gt;12,$D1806&lt;1,$D1806&gt;31),"نامعتبر",RIGHT("0000"&amp;$B1806,4)&amp;"/"&amp;RIGHT("00"&amp;$C1806,2)&amp;"/"&amp;RIGHT("00"&amp;$D1806,2)))</f>
        <v/>
      </c>
      <c r="F1806">
        <f>IF(OR($E1806="",$E1806="نامعتبر"),"",LEFT($E1806,4)&amp;"/"&amp;MID($E1806,6,2))</f>
        <v/>
      </c>
      <c r="G1806">
        <f>IF(OR($E1806="",$E1806="نامعتبر",Sync!$Y1803=""),"",Sync!$Y1803)</f>
        <v/>
      </c>
      <c r="H1806">
        <f>IF($G1806="","",IF(Sync!$X1803="","",Sync!$X1803))</f>
        <v/>
      </c>
      <c r="I1806">
        <f>IF($G1806="","",IFERROR(VLOOKUP(Sync!$X1803,OpTbl,3,0),""))</f>
        <v/>
      </c>
      <c r="J1806">
        <f>IF(OR($G1806="",Sync!$Z1803=""),"",Sync!$Z1803)</f>
        <v/>
      </c>
      <c r="K1806">
        <f>IF(OR($G1806="",Sync!$AA1803=""),"",Sync!$AA1803)</f>
        <v/>
      </c>
      <c r="L1806">
        <f>IF($G1806="",0,IF(Sync!$AB1803="",0,Sync!$AB1803))</f>
        <v/>
      </c>
      <c r="M1806">
        <f>IF($G1806="",0,IF(Sync!$AC1803="",0,Sync!$AC1803))</f>
        <v/>
      </c>
      <c r="N1806">
        <f>IF($G1806="","",IF($H1806="مرجوعی خرید",-1,1)*($L1806-$M1806*IFERROR(VLOOKUP("P01",ParamTbl,3,0),1.5))*(1-IF($I1806="خرید",IFERROR(VLOOKUP("P02",ParamTbl,3,0),1),0)/100))</f>
        <v/>
      </c>
      <c r="O1806">
        <f>IF($G1806="",0,IF($H1806="مرجوعی خرید",-1,1)*IF(Sync!$AD1803="",0,Sync!$AD1803))</f>
        <v/>
      </c>
      <c r="P1806">
        <f>IF(OR($G1806="",Sync!$W1803=""),"",Sync!$W1803)</f>
        <v/>
      </c>
      <c r="Q1806">
        <f>IF(OR($G1806="",Sync!$AE1803=""),"",Sync!$AE1803)</f>
        <v/>
      </c>
      <c r="R1806">
        <f>IF($G1806="","",IF(Sync!$V1803="","0000",IF(AND(ISNUMBER(Sync!$V1803),Sync!$V1803&gt;=0,Sync!$V1803&lt;1),RIGHT("00"&amp;HOUR(Sync!$V1803),2)&amp;RIGHT("00"&amp;MINUTE(Sync!$V1803),2),IFERROR(RIGHT("00"&amp;VALUE(LEFT(Sync!$V1803,FIND(":",Sync!$V1803)-1)),2)&amp;RIGHT("00"&amp;VALUE(MID(Sync!$V1803,FIND(":",Sync!$V1803)+1,2)),2),"0000"))))</f>
        <v/>
      </c>
    </row>
    <row r="1807">
      <c r="A1807">
        <f>IF(Sync!$U1804="","",Sync!$U1804)</f>
        <v/>
      </c>
      <c r="B1807">
        <f>IF($A1807="","",IF(ISNUMBER($A1807),IF(AND($A1807&gt;=10000101,$A1807&lt;=99991231),INT($A1807/10000),""),IFERROR(VALUE(TRIM(LEFT($A1807,FIND("/",$A1807)-1))),"")))</f>
        <v/>
      </c>
      <c r="C1807">
        <f>IF(OR($A1807="",$B1807=""),"",IF(ISNUMBER($A1807),INT(MOD($A1807,10000)/100),IFERROR(VALUE(TRIM(LEFT(MID($A1807,FIND("/",$A1807)+1,20),FIND("/",MID($A1807,FIND("/",$A1807)+1,20))-1))),"")))</f>
        <v/>
      </c>
      <c r="D1807">
        <f>IF(OR($A1807="",$B1807=""),"",IF(ISNUMBER($A1807),MOD($A1807,100),IFERROR(VALUE(TRIM(MID(MID($A1807,FIND("/",$A1807)+1,20),FIND("/",MID($A1807,FIND("/",$A1807)+1,20))+1,20))),"")))</f>
        <v/>
      </c>
      <c r="E1807">
        <f>IF($A1807="","",IF(OR($B1807="",$C1807="",$D1807="",$B1807&lt;1300,$B1807&gt;1500,$C1807&lt;1,$C1807&gt;12,$D1807&lt;1,$D1807&gt;31),"نامعتبر",RIGHT("0000"&amp;$B1807,4)&amp;"/"&amp;RIGHT("00"&amp;$C1807,2)&amp;"/"&amp;RIGHT("00"&amp;$D1807,2)))</f>
        <v/>
      </c>
      <c r="F1807">
        <f>IF(OR($E1807="",$E1807="نامعتبر"),"",LEFT($E1807,4)&amp;"/"&amp;MID($E1807,6,2))</f>
        <v/>
      </c>
      <c r="G1807">
        <f>IF(OR($E1807="",$E1807="نامعتبر",Sync!$Y1804=""),"",Sync!$Y1804)</f>
        <v/>
      </c>
      <c r="H1807">
        <f>IF($G1807="","",IF(Sync!$X1804="","",Sync!$X1804))</f>
        <v/>
      </c>
      <c r="I1807">
        <f>IF($G1807="","",IFERROR(VLOOKUP(Sync!$X1804,OpTbl,3,0),""))</f>
        <v/>
      </c>
      <c r="J1807">
        <f>IF(OR($G1807="",Sync!$Z1804=""),"",Sync!$Z1804)</f>
        <v/>
      </c>
      <c r="K1807">
        <f>IF(OR($G1807="",Sync!$AA1804=""),"",Sync!$AA1804)</f>
        <v/>
      </c>
      <c r="L1807">
        <f>IF($G1807="",0,IF(Sync!$AB1804="",0,Sync!$AB1804))</f>
        <v/>
      </c>
      <c r="M1807">
        <f>IF($G1807="",0,IF(Sync!$AC1804="",0,Sync!$AC1804))</f>
        <v/>
      </c>
      <c r="N1807">
        <f>IF($G1807="","",IF($H1807="مرجوعی خرید",-1,1)*($L1807-$M1807*IFERROR(VLOOKUP("P01",ParamTbl,3,0),1.5))*(1-IF($I1807="خرید",IFERROR(VLOOKUP("P02",ParamTbl,3,0),1),0)/100))</f>
        <v/>
      </c>
      <c r="O1807">
        <f>IF($G1807="",0,IF($H1807="مرجوعی خرید",-1,1)*IF(Sync!$AD1804="",0,Sync!$AD1804))</f>
        <v/>
      </c>
      <c r="P1807">
        <f>IF(OR($G1807="",Sync!$W1804=""),"",Sync!$W1804)</f>
        <v/>
      </c>
      <c r="Q1807">
        <f>IF(OR($G1807="",Sync!$AE1804=""),"",Sync!$AE1804)</f>
        <v/>
      </c>
      <c r="R1807">
        <f>IF($G1807="","",IF(Sync!$V1804="","0000",IF(AND(ISNUMBER(Sync!$V1804),Sync!$V1804&gt;=0,Sync!$V1804&lt;1),RIGHT("00"&amp;HOUR(Sync!$V1804),2)&amp;RIGHT("00"&amp;MINUTE(Sync!$V1804),2),IFERROR(RIGHT("00"&amp;VALUE(LEFT(Sync!$V1804,FIND(":",Sync!$V1804)-1)),2)&amp;RIGHT("00"&amp;VALUE(MID(Sync!$V1804,FIND(":",Sync!$V1804)+1,2)),2),"0000"))))</f>
        <v/>
      </c>
    </row>
    <row r="1808">
      <c r="A1808">
        <f>IF(Sync!$U1805="","",Sync!$U1805)</f>
        <v/>
      </c>
      <c r="B1808">
        <f>IF($A1808="","",IF(ISNUMBER($A1808),IF(AND($A1808&gt;=10000101,$A1808&lt;=99991231),INT($A1808/10000),""),IFERROR(VALUE(TRIM(LEFT($A1808,FIND("/",$A1808)-1))),"")))</f>
        <v/>
      </c>
      <c r="C1808">
        <f>IF(OR($A1808="",$B1808=""),"",IF(ISNUMBER($A1808),INT(MOD($A1808,10000)/100),IFERROR(VALUE(TRIM(LEFT(MID($A1808,FIND("/",$A1808)+1,20),FIND("/",MID($A1808,FIND("/",$A1808)+1,20))-1))),"")))</f>
        <v/>
      </c>
      <c r="D1808">
        <f>IF(OR($A1808="",$B1808=""),"",IF(ISNUMBER($A1808),MOD($A1808,100),IFERROR(VALUE(TRIM(MID(MID($A1808,FIND("/",$A1808)+1,20),FIND("/",MID($A1808,FIND("/",$A1808)+1,20))+1,20))),"")))</f>
        <v/>
      </c>
      <c r="E1808">
        <f>IF($A1808="","",IF(OR($B1808="",$C1808="",$D1808="",$B1808&lt;1300,$B1808&gt;1500,$C1808&lt;1,$C1808&gt;12,$D1808&lt;1,$D1808&gt;31),"نامعتبر",RIGHT("0000"&amp;$B1808,4)&amp;"/"&amp;RIGHT("00"&amp;$C1808,2)&amp;"/"&amp;RIGHT("00"&amp;$D1808,2)))</f>
        <v/>
      </c>
      <c r="F1808">
        <f>IF(OR($E1808="",$E1808="نامعتبر"),"",LEFT($E1808,4)&amp;"/"&amp;MID($E1808,6,2))</f>
        <v/>
      </c>
      <c r="G1808">
        <f>IF(OR($E1808="",$E1808="نامعتبر",Sync!$Y1805=""),"",Sync!$Y1805)</f>
        <v/>
      </c>
      <c r="H1808">
        <f>IF($G1808="","",IF(Sync!$X1805="","",Sync!$X1805))</f>
        <v/>
      </c>
      <c r="I1808">
        <f>IF($G1808="","",IFERROR(VLOOKUP(Sync!$X1805,OpTbl,3,0),""))</f>
        <v/>
      </c>
      <c r="J1808">
        <f>IF(OR($G1808="",Sync!$Z1805=""),"",Sync!$Z1805)</f>
        <v/>
      </c>
      <c r="K1808">
        <f>IF(OR($G1808="",Sync!$AA1805=""),"",Sync!$AA1805)</f>
        <v/>
      </c>
      <c r="L1808">
        <f>IF($G1808="",0,IF(Sync!$AB1805="",0,Sync!$AB1805))</f>
        <v/>
      </c>
      <c r="M1808">
        <f>IF($G1808="",0,IF(Sync!$AC1805="",0,Sync!$AC1805))</f>
        <v/>
      </c>
      <c r="N1808">
        <f>IF($G1808="","",IF($H1808="مرجوعی خرید",-1,1)*($L1808-$M1808*IFERROR(VLOOKUP("P01",ParamTbl,3,0),1.5))*(1-IF($I1808="خرید",IFERROR(VLOOKUP("P02",ParamTbl,3,0),1),0)/100))</f>
        <v/>
      </c>
      <c r="O1808">
        <f>IF($G1808="",0,IF($H1808="مرجوعی خرید",-1,1)*IF(Sync!$AD1805="",0,Sync!$AD1805))</f>
        <v/>
      </c>
      <c r="P1808">
        <f>IF(OR($G1808="",Sync!$W1805=""),"",Sync!$W1805)</f>
        <v/>
      </c>
      <c r="Q1808">
        <f>IF(OR($G1808="",Sync!$AE1805=""),"",Sync!$AE1805)</f>
        <v/>
      </c>
      <c r="R1808">
        <f>IF($G1808="","",IF(Sync!$V1805="","0000",IF(AND(ISNUMBER(Sync!$V1805),Sync!$V1805&gt;=0,Sync!$V1805&lt;1),RIGHT("00"&amp;HOUR(Sync!$V1805),2)&amp;RIGHT("00"&amp;MINUTE(Sync!$V1805),2),IFERROR(RIGHT("00"&amp;VALUE(LEFT(Sync!$V1805,FIND(":",Sync!$V1805)-1)),2)&amp;RIGHT("00"&amp;VALUE(MID(Sync!$V1805,FIND(":",Sync!$V1805)+1,2)),2),"0000"))))</f>
        <v/>
      </c>
    </row>
    <row r="1809">
      <c r="A1809">
        <f>IF(Sync!$U1806="","",Sync!$U1806)</f>
        <v/>
      </c>
      <c r="B1809">
        <f>IF($A1809="","",IF(ISNUMBER($A1809),IF(AND($A1809&gt;=10000101,$A1809&lt;=99991231),INT($A1809/10000),""),IFERROR(VALUE(TRIM(LEFT($A1809,FIND("/",$A1809)-1))),"")))</f>
        <v/>
      </c>
      <c r="C1809">
        <f>IF(OR($A1809="",$B1809=""),"",IF(ISNUMBER($A1809),INT(MOD($A1809,10000)/100),IFERROR(VALUE(TRIM(LEFT(MID($A1809,FIND("/",$A1809)+1,20),FIND("/",MID($A1809,FIND("/",$A1809)+1,20))-1))),"")))</f>
        <v/>
      </c>
      <c r="D1809">
        <f>IF(OR($A1809="",$B1809=""),"",IF(ISNUMBER($A1809),MOD($A1809,100),IFERROR(VALUE(TRIM(MID(MID($A1809,FIND("/",$A1809)+1,20),FIND("/",MID($A1809,FIND("/",$A1809)+1,20))+1,20))),"")))</f>
        <v/>
      </c>
      <c r="E1809">
        <f>IF($A1809="","",IF(OR($B1809="",$C1809="",$D1809="",$B1809&lt;1300,$B1809&gt;1500,$C1809&lt;1,$C1809&gt;12,$D1809&lt;1,$D1809&gt;31),"نامعتبر",RIGHT("0000"&amp;$B1809,4)&amp;"/"&amp;RIGHT("00"&amp;$C1809,2)&amp;"/"&amp;RIGHT("00"&amp;$D1809,2)))</f>
        <v/>
      </c>
      <c r="F1809">
        <f>IF(OR($E1809="",$E1809="نامعتبر"),"",LEFT($E1809,4)&amp;"/"&amp;MID($E1809,6,2))</f>
        <v/>
      </c>
      <c r="G1809">
        <f>IF(OR($E1809="",$E1809="نامعتبر",Sync!$Y1806=""),"",Sync!$Y1806)</f>
        <v/>
      </c>
      <c r="H1809">
        <f>IF($G1809="","",IF(Sync!$X1806="","",Sync!$X1806))</f>
        <v/>
      </c>
      <c r="I1809">
        <f>IF($G1809="","",IFERROR(VLOOKUP(Sync!$X1806,OpTbl,3,0),""))</f>
        <v/>
      </c>
      <c r="J1809">
        <f>IF(OR($G1809="",Sync!$Z1806=""),"",Sync!$Z1806)</f>
        <v/>
      </c>
      <c r="K1809">
        <f>IF(OR($G1809="",Sync!$AA1806=""),"",Sync!$AA1806)</f>
        <v/>
      </c>
      <c r="L1809">
        <f>IF($G1809="",0,IF(Sync!$AB1806="",0,Sync!$AB1806))</f>
        <v/>
      </c>
      <c r="M1809">
        <f>IF($G1809="",0,IF(Sync!$AC1806="",0,Sync!$AC1806))</f>
        <v/>
      </c>
      <c r="N1809">
        <f>IF($G1809="","",IF($H1809="مرجوعی خرید",-1,1)*($L1809-$M1809*IFERROR(VLOOKUP("P01",ParamTbl,3,0),1.5))*(1-IF($I1809="خرید",IFERROR(VLOOKUP("P02",ParamTbl,3,0),1),0)/100))</f>
        <v/>
      </c>
      <c r="O1809">
        <f>IF($G1809="",0,IF($H1809="مرجوعی خرید",-1,1)*IF(Sync!$AD1806="",0,Sync!$AD1806))</f>
        <v/>
      </c>
      <c r="P1809">
        <f>IF(OR($G1809="",Sync!$W1806=""),"",Sync!$W1806)</f>
        <v/>
      </c>
      <c r="Q1809">
        <f>IF(OR($G1809="",Sync!$AE1806=""),"",Sync!$AE1806)</f>
        <v/>
      </c>
      <c r="R1809">
        <f>IF($G1809="","",IF(Sync!$V1806="","0000",IF(AND(ISNUMBER(Sync!$V1806),Sync!$V1806&gt;=0,Sync!$V1806&lt;1),RIGHT("00"&amp;HOUR(Sync!$V1806),2)&amp;RIGHT("00"&amp;MINUTE(Sync!$V1806),2),IFERROR(RIGHT("00"&amp;VALUE(LEFT(Sync!$V1806,FIND(":",Sync!$V1806)-1)),2)&amp;RIGHT("00"&amp;VALUE(MID(Sync!$V1806,FIND(":",Sync!$V1806)+1,2)),2),"0000"))))</f>
        <v/>
      </c>
    </row>
    <row r="1810">
      <c r="A1810">
        <f>IF(Sync!$U1807="","",Sync!$U1807)</f>
        <v/>
      </c>
      <c r="B1810">
        <f>IF($A1810="","",IF(ISNUMBER($A1810),IF(AND($A1810&gt;=10000101,$A1810&lt;=99991231),INT($A1810/10000),""),IFERROR(VALUE(TRIM(LEFT($A1810,FIND("/",$A1810)-1))),"")))</f>
        <v/>
      </c>
      <c r="C1810">
        <f>IF(OR($A1810="",$B1810=""),"",IF(ISNUMBER($A1810),INT(MOD($A1810,10000)/100),IFERROR(VALUE(TRIM(LEFT(MID($A1810,FIND("/",$A1810)+1,20),FIND("/",MID($A1810,FIND("/",$A1810)+1,20))-1))),"")))</f>
        <v/>
      </c>
      <c r="D1810">
        <f>IF(OR($A1810="",$B1810=""),"",IF(ISNUMBER($A1810),MOD($A1810,100),IFERROR(VALUE(TRIM(MID(MID($A1810,FIND("/",$A1810)+1,20),FIND("/",MID($A1810,FIND("/",$A1810)+1,20))+1,20))),"")))</f>
        <v/>
      </c>
      <c r="E1810">
        <f>IF($A1810="","",IF(OR($B1810="",$C1810="",$D1810="",$B1810&lt;1300,$B1810&gt;1500,$C1810&lt;1,$C1810&gt;12,$D1810&lt;1,$D1810&gt;31),"نامعتبر",RIGHT("0000"&amp;$B1810,4)&amp;"/"&amp;RIGHT("00"&amp;$C1810,2)&amp;"/"&amp;RIGHT("00"&amp;$D1810,2)))</f>
        <v/>
      </c>
      <c r="F1810">
        <f>IF(OR($E1810="",$E1810="نامعتبر"),"",LEFT($E1810,4)&amp;"/"&amp;MID($E1810,6,2))</f>
        <v/>
      </c>
      <c r="G1810">
        <f>IF(OR($E1810="",$E1810="نامعتبر",Sync!$Y1807=""),"",Sync!$Y1807)</f>
        <v/>
      </c>
      <c r="H1810">
        <f>IF($G1810="","",IF(Sync!$X1807="","",Sync!$X1807))</f>
        <v/>
      </c>
      <c r="I1810">
        <f>IF($G1810="","",IFERROR(VLOOKUP(Sync!$X1807,OpTbl,3,0),""))</f>
        <v/>
      </c>
      <c r="J1810">
        <f>IF(OR($G1810="",Sync!$Z1807=""),"",Sync!$Z1807)</f>
        <v/>
      </c>
      <c r="K1810">
        <f>IF(OR($G1810="",Sync!$AA1807=""),"",Sync!$AA1807)</f>
        <v/>
      </c>
      <c r="L1810">
        <f>IF($G1810="",0,IF(Sync!$AB1807="",0,Sync!$AB1807))</f>
        <v/>
      </c>
      <c r="M1810">
        <f>IF($G1810="",0,IF(Sync!$AC1807="",0,Sync!$AC1807))</f>
        <v/>
      </c>
      <c r="N1810">
        <f>IF($G1810="","",IF($H1810="مرجوعی خرید",-1,1)*($L1810-$M1810*IFERROR(VLOOKUP("P01",ParamTbl,3,0),1.5))*(1-IF($I1810="خرید",IFERROR(VLOOKUP("P02",ParamTbl,3,0),1),0)/100))</f>
        <v/>
      </c>
      <c r="O1810">
        <f>IF($G1810="",0,IF($H1810="مرجوعی خرید",-1,1)*IF(Sync!$AD1807="",0,Sync!$AD1807))</f>
        <v/>
      </c>
      <c r="P1810">
        <f>IF(OR($G1810="",Sync!$W1807=""),"",Sync!$W1807)</f>
        <v/>
      </c>
      <c r="Q1810">
        <f>IF(OR($G1810="",Sync!$AE1807=""),"",Sync!$AE1807)</f>
        <v/>
      </c>
      <c r="R1810">
        <f>IF($G1810="","",IF(Sync!$V1807="","0000",IF(AND(ISNUMBER(Sync!$V1807),Sync!$V1807&gt;=0,Sync!$V1807&lt;1),RIGHT("00"&amp;HOUR(Sync!$V1807),2)&amp;RIGHT("00"&amp;MINUTE(Sync!$V1807),2),IFERROR(RIGHT("00"&amp;VALUE(LEFT(Sync!$V1807,FIND(":",Sync!$V1807)-1)),2)&amp;RIGHT("00"&amp;VALUE(MID(Sync!$V1807,FIND(":",Sync!$V1807)+1,2)),2),"0000"))))</f>
        <v/>
      </c>
    </row>
    <row r="1811">
      <c r="A1811">
        <f>IF(Sync!$U1808="","",Sync!$U1808)</f>
        <v/>
      </c>
      <c r="B1811">
        <f>IF($A1811="","",IF(ISNUMBER($A1811),IF(AND($A1811&gt;=10000101,$A1811&lt;=99991231),INT($A1811/10000),""),IFERROR(VALUE(TRIM(LEFT($A1811,FIND("/",$A1811)-1))),"")))</f>
        <v/>
      </c>
      <c r="C1811">
        <f>IF(OR($A1811="",$B1811=""),"",IF(ISNUMBER($A1811),INT(MOD($A1811,10000)/100),IFERROR(VALUE(TRIM(LEFT(MID($A1811,FIND("/",$A1811)+1,20),FIND("/",MID($A1811,FIND("/",$A1811)+1,20))-1))),"")))</f>
        <v/>
      </c>
      <c r="D1811">
        <f>IF(OR($A1811="",$B1811=""),"",IF(ISNUMBER($A1811),MOD($A1811,100),IFERROR(VALUE(TRIM(MID(MID($A1811,FIND("/",$A1811)+1,20),FIND("/",MID($A1811,FIND("/",$A1811)+1,20))+1,20))),"")))</f>
        <v/>
      </c>
      <c r="E1811">
        <f>IF($A1811="","",IF(OR($B1811="",$C1811="",$D1811="",$B1811&lt;1300,$B1811&gt;1500,$C1811&lt;1,$C1811&gt;12,$D1811&lt;1,$D1811&gt;31),"نامعتبر",RIGHT("0000"&amp;$B1811,4)&amp;"/"&amp;RIGHT("00"&amp;$C1811,2)&amp;"/"&amp;RIGHT("00"&amp;$D1811,2)))</f>
        <v/>
      </c>
      <c r="F1811">
        <f>IF(OR($E1811="",$E1811="نامعتبر"),"",LEFT($E1811,4)&amp;"/"&amp;MID($E1811,6,2))</f>
        <v/>
      </c>
      <c r="G1811">
        <f>IF(OR($E1811="",$E1811="نامعتبر",Sync!$Y1808=""),"",Sync!$Y1808)</f>
        <v/>
      </c>
      <c r="H1811">
        <f>IF($G1811="","",IF(Sync!$X1808="","",Sync!$X1808))</f>
        <v/>
      </c>
      <c r="I1811">
        <f>IF($G1811="","",IFERROR(VLOOKUP(Sync!$X1808,OpTbl,3,0),""))</f>
        <v/>
      </c>
      <c r="J1811">
        <f>IF(OR($G1811="",Sync!$Z1808=""),"",Sync!$Z1808)</f>
        <v/>
      </c>
      <c r="K1811">
        <f>IF(OR($G1811="",Sync!$AA1808=""),"",Sync!$AA1808)</f>
        <v/>
      </c>
      <c r="L1811">
        <f>IF($G1811="",0,IF(Sync!$AB1808="",0,Sync!$AB1808))</f>
        <v/>
      </c>
      <c r="M1811">
        <f>IF($G1811="",0,IF(Sync!$AC1808="",0,Sync!$AC1808))</f>
        <v/>
      </c>
      <c r="N1811">
        <f>IF($G1811="","",IF($H1811="مرجوعی خرید",-1,1)*($L1811-$M1811*IFERROR(VLOOKUP("P01",ParamTbl,3,0),1.5))*(1-IF($I1811="خرید",IFERROR(VLOOKUP("P02",ParamTbl,3,0),1),0)/100))</f>
        <v/>
      </c>
      <c r="O1811">
        <f>IF($G1811="",0,IF($H1811="مرجوعی خرید",-1,1)*IF(Sync!$AD1808="",0,Sync!$AD1808))</f>
        <v/>
      </c>
      <c r="P1811">
        <f>IF(OR($G1811="",Sync!$W1808=""),"",Sync!$W1808)</f>
        <v/>
      </c>
      <c r="Q1811">
        <f>IF(OR($G1811="",Sync!$AE1808=""),"",Sync!$AE1808)</f>
        <v/>
      </c>
      <c r="R1811">
        <f>IF($G1811="","",IF(Sync!$V1808="","0000",IF(AND(ISNUMBER(Sync!$V1808),Sync!$V1808&gt;=0,Sync!$V1808&lt;1),RIGHT("00"&amp;HOUR(Sync!$V1808),2)&amp;RIGHT("00"&amp;MINUTE(Sync!$V1808),2),IFERROR(RIGHT("00"&amp;VALUE(LEFT(Sync!$V1808,FIND(":",Sync!$V1808)-1)),2)&amp;RIGHT("00"&amp;VALUE(MID(Sync!$V1808,FIND(":",Sync!$V1808)+1,2)),2),"0000"))))</f>
        <v/>
      </c>
    </row>
    <row r="1812">
      <c r="A1812">
        <f>IF(Sync!$U1809="","",Sync!$U1809)</f>
        <v/>
      </c>
      <c r="B1812">
        <f>IF($A1812="","",IF(ISNUMBER($A1812),IF(AND($A1812&gt;=10000101,$A1812&lt;=99991231),INT($A1812/10000),""),IFERROR(VALUE(TRIM(LEFT($A1812,FIND("/",$A1812)-1))),"")))</f>
        <v/>
      </c>
      <c r="C1812">
        <f>IF(OR($A1812="",$B1812=""),"",IF(ISNUMBER($A1812),INT(MOD($A1812,10000)/100),IFERROR(VALUE(TRIM(LEFT(MID($A1812,FIND("/",$A1812)+1,20),FIND("/",MID($A1812,FIND("/",$A1812)+1,20))-1))),"")))</f>
        <v/>
      </c>
      <c r="D1812">
        <f>IF(OR($A1812="",$B1812=""),"",IF(ISNUMBER($A1812),MOD($A1812,100),IFERROR(VALUE(TRIM(MID(MID($A1812,FIND("/",$A1812)+1,20),FIND("/",MID($A1812,FIND("/",$A1812)+1,20))+1,20))),"")))</f>
        <v/>
      </c>
      <c r="E1812">
        <f>IF($A1812="","",IF(OR($B1812="",$C1812="",$D1812="",$B1812&lt;1300,$B1812&gt;1500,$C1812&lt;1,$C1812&gt;12,$D1812&lt;1,$D1812&gt;31),"نامعتبر",RIGHT("0000"&amp;$B1812,4)&amp;"/"&amp;RIGHT("00"&amp;$C1812,2)&amp;"/"&amp;RIGHT("00"&amp;$D1812,2)))</f>
        <v/>
      </c>
      <c r="F1812">
        <f>IF(OR($E1812="",$E1812="نامعتبر"),"",LEFT($E1812,4)&amp;"/"&amp;MID($E1812,6,2))</f>
        <v/>
      </c>
      <c r="G1812">
        <f>IF(OR($E1812="",$E1812="نامعتبر",Sync!$Y1809=""),"",Sync!$Y1809)</f>
        <v/>
      </c>
      <c r="H1812">
        <f>IF($G1812="","",IF(Sync!$X1809="","",Sync!$X1809))</f>
        <v/>
      </c>
      <c r="I1812">
        <f>IF($G1812="","",IFERROR(VLOOKUP(Sync!$X1809,OpTbl,3,0),""))</f>
        <v/>
      </c>
      <c r="J1812">
        <f>IF(OR($G1812="",Sync!$Z1809=""),"",Sync!$Z1809)</f>
        <v/>
      </c>
      <c r="K1812">
        <f>IF(OR($G1812="",Sync!$AA1809=""),"",Sync!$AA1809)</f>
        <v/>
      </c>
      <c r="L1812">
        <f>IF($G1812="",0,IF(Sync!$AB1809="",0,Sync!$AB1809))</f>
        <v/>
      </c>
      <c r="M1812">
        <f>IF($G1812="",0,IF(Sync!$AC1809="",0,Sync!$AC1809))</f>
        <v/>
      </c>
      <c r="N1812">
        <f>IF($G1812="","",IF($H1812="مرجوعی خرید",-1,1)*($L1812-$M1812*IFERROR(VLOOKUP("P01",ParamTbl,3,0),1.5))*(1-IF($I1812="خرید",IFERROR(VLOOKUP("P02",ParamTbl,3,0),1),0)/100))</f>
        <v/>
      </c>
      <c r="O1812">
        <f>IF($G1812="",0,IF($H1812="مرجوعی خرید",-1,1)*IF(Sync!$AD1809="",0,Sync!$AD1809))</f>
        <v/>
      </c>
      <c r="P1812">
        <f>IF(OR($G1812="",Sync!$W1809=""),"",Sync!$W1809)</f>
        <v/>
      </c>
      <c r="Q1812">
        <f>IF(OR($G1812="",Sync!$AE1809=""),"",Sync!$AE1809)</f>
        <v/>
      </c>
      <c r="R1812">
        <f>IF($G1812="","",IF(Sync!$V1809="","0000",IF(AND(ISNUMBER(Sync!$V1809),Sync!$V1809&gt;=0,Sync!$V1809&lt;1),RIGHT("00"&amp;HOUR(Sync!$V1809),2)&amp;RIGHT("00"&amp;MINUTE(Sync!$V1809),2),IFERROR(RIGHT("00"&amp;VALUE(LEFT(Sync!$V1809,FIND(":",Sync!$V1809)-1)),2)&amp;RIGHT("00"&amp;VALUE(MID(Sync!$V1809,FIND(":",Sync!$V1809)+1,2)),2),"0000"))))</f>
        <v/>
      </c>
    </row>
    <row r="1813">
      <c r="A1813">
        <f>IF(Sync!$U1810="","",Sync!$U1810)</f>
        <v/>
      </c>
      <c r="B1813">
        <f>IF($A1813="","",IF(ISNUMBER($A1813),IF(AND($A1813&gt;=10000101,$A1813&lt;=99991231),INT($A1813/10000),""),IFERROR(VALUE(TRIM(LEFT($A1813,FIND("/",$A1813)-1))),"")))</f>
        <v/>
      </c>
      <c r="C1813">
        <f>IF(OR($A1813="",$B1813=""),"",IF(ISNUMBER($A1813),INT(MOD($A1813,10000)/100),IFERROR(VALUE(TRIM(LEFT(MID($A1813,FIND("/",$A1813)+1,20),FIND("/",MID($A1813,FIND("/",$A1813)+1,20))-1))),"")))</f>
        <v/>
      </c>
      <c r="D1813">
        <f>IF(OR($A1813="",$B1813=""),"",IF(ISNUMBER($A1813),MOD($A1813,100),IFERROR(VALUE(TRIM(MID(MID($A1813,FIND("/",$A1813)+1,20),FIND("/",MID($A1813,FIND("/",$A1813)+1,20))+1,20))),"")))</f>
        <v/>
      </c>
      <c r="E1813">
        <f>IF($A1813="","",IF(OR($B1813="",$C1813="",$D1813="",$B1813&lt;1300,$B1813&gt;1500,$C1813&lt;1,$C1813&gt;12,$D1813&lt;1,$D1813&gt;31),"نامعتبر",RIGHT("0000"&amp;$B1813,4)&amp;"/"&amp;RIGHT("00"&amp;$C1813,2)&amp;"/"&amp;RIGHT("00"&amp;$D1813,2)))</f>
        <v/>
      </c>
      <c r="F1813">
        <f>IF(OR($E1813="",$E1813="نامعتبر"),"",LEFT($E1813,4)&amp;"/"&amp;MID($E1813,6,2))</f>
        <v/>
      </c>
      <c r="G1813">
        <f>IF(OR($E1813="",$E1813="نامعتبر",Sync!$Y1810=""),"",Sync!$Y1810)</f>
        <v/>
      </c>
      <c r="H1813">
        <f>IF($G1813="","",IF(Sync!$X1810="","",Sync!$X1810))</f>
        <v/>
      </c>
      <c r="I1813">
        <f>IF($G1813="","",IFERROR(VLOOKUP(Sync!$X1810,OpTbl,3,0),""))</f>
        <v/>
      </c>
      <c r="J1813">
        <f>IF(OR($G1813="",Sync!$Z1810=""),"",Sync!$Z1810)</f>
        <v/>
      </c>
      <c r="K1813">
        <f>IF(OR($G1813="",Sync!$AA1810=""),"",Sync!$AA1810)</f>
        <v/>
      </c>
      <c r="L1813">
        <f>IF($G1813="",0,IF(Sync!$AB1810="",0,Sync!$AB1810))</f>
        <v/>
      </c>
      <c r="M1813">
        <f>IF($G1813="",0,IF(Sync!$AC1810="",0,Sync!$AC1810))</f>
        <v/>
      </c>
      <c r="N1813">
        <f>IF($G1813="","",IF($H1813="مرجوعی خرید",-1,1)*($L1813-$M1813*IFERROR(VLOOKUP("P01",ParamTbl,3,0),1.5))*(1-IF($I1813="خرید",IFERROR(VLOOKUP("P02",ParamTbl,3,0),1),0)/100))</f>
        <v/>
      </c>
      <c r="O1813">
        <f>IF($G1813="",0,IF($H1813="مرجوعی خرید",-1,1)*IF(Sync!$AD1810="",0,Sync!$AD1810))</f>
        <v/>
      </c>
      <c r="P1813">
        <f>IF(OR($G1813="",Sync!$W1810=""),"",Sync!$W1810)</f>
        <v/>
      </c>
      <c r="Q1813">
        <f>IF(OR($G1813="",Sync!$AE1810=""),"",Sync!$AE1810)</f>
        <v/>
      </c>
      <c r="R1813">
        <f>IF($G1813="","",IF(Sync!$V1810="","0000",IF(AND(ISNUMBER(Sync!$V1810),Sync!$V1810&gt;=0,Sync!$V1810&lt;1),RIGHT("00"&amp;HOUR(Sync!$V1810),2)&amp;RIGHT("00"&amp;MINUTE(Sync!$V1810),2),IFERROR(RIGHT("00"&amp;VALUE(LEFT(Sync!$V1810,FIND(":",Sync!$V1810)-1)),2)&amp;RIGHT("00"&amp;VALUE(MID(Sync!$V1810,FIND(":",Sync!$V1810)+1,2)),2),"0000"))))</f>
        <v/>
      </c>
    </row>
    <row r="1814">
      <c r="A1814">
        <f>IF(Sync!$U1811="","",Sync!$U1811)</f>
        <v/>
      </c>
      <c r="B1814">
        <f>IF($A1814="","",IF(ISNUMBER($A1814),IF(AND($A1814&gt;=10000101,$A1814&lt;=99991231),INT($A1814/10000),""),IFERROR(VALUE(TRIM(LEFT($A1814,FIND("/",$A1814)-1))),"")))</f>
        <v/>
      </c>
      <c r="C1814">
        <f>IF(OR($A1814="",$B1814=""),"",IF(ISNUMBER($A1814),INT(MOD($A1814,10000)/100),IFERROR(VALUE(TRIM(LEFT(MID($A1814,FIND("/",$A1814)+1,20),FIND("/",MID($A1814,FIND("/",$A1814)+1,20))-1))),"")))</f>
        <v/>
      </c>
      <c r="D1814">
        <f>IF(OR($A1814="",$B1814=""),"",IF(ISNUMBER($A1814),MOD($A1814,100),IFERROR(VALUE(TRIM(MID(MID($A1814,FIND("/",$A1814)+1,20),FIND("/",MID($A1814,FIND("/",$A1814)+1,20))+1,20))),"")))</f>
        <v/>
      </c>
      <c r="E1814">
        <f>IF($A1814="","",IF(OR($B1814="",$C1814="",$D1814="",$B1814&lt;1300,$B1814&gt;1500,$C1814&lt;1,$C1814&gt;12,$D1814&lt;1,$D1814&gt;31),"نامعتبر",RIGHT("0000"&amp;$B1814,4)&amp;"/"&amp;RIGHT("00"&amp;$C1814,2)&amp;"/"&amp;RIGHT("00"&amp;$D1814,2)))</f>
        <v/>
      </c>
      <c r="F1814">
        <f>IF(OR($E1814="",$E1814="نامعتبر"),"",LEFT($E1814,4)&amp;"/"&amp;MID($E1814,6,2))</f>
        <v/>
      </c>
      <c r="G1814">
        <f>IF(OR($E1814="",$E1814="نامعتبر",Sync!$Y1811=""),"",Sync!$Y1811)</f>
        <v/>
      </c>
      <c r="H1814">
        <f>IF($G1814="","",IF(Sync!$X1811="","",Sync!$X1811))</f>
        <v/>
      </c>
      <c r="I1814">
        <f>IF($G1814="","",IFERROR(VLOOKUP(Sync!$X1811,OpTbl,3,0),""))</f>
        <v/>
      </c>
      <c r="J1814">
        <f>IF(OR($G1814="",Sync!$Z1811=""),"",Sync!$Z1811)</f>
        <v/>
      </c>
      <c r="K1814">
        <f>IF(OR($G1814="",Sync!$AA1811=""),"",Sync!$AA1811)</f>
        <v/>
      </c>
      <c r="L1814">
        <f>IF($G1814="",0,IF(Sync!$AB1811="",0,Sync!$AB1811))</f>
        <v/>
      </c>
      <c r="M1814">
        <f>IF($G1814="",0,IF(Sync!$AC1811="",0,Sync!$AC1811))</f>
        <v/>
      </c>
      <c r="N1814">
        <f>IF($G1814="","",IF($H1814="مرجوعی خرید",-1,1)*($L1814-$M1814*IFERROR(VLOOKUP("P01",ParamTbl,3,0),1.5))*(1-IF($I1814="خرید",IFERROR(VLOOKUP("P02",ParamTbl,3,0),1),0)/100))</f>
        <v/>
      </c>
      <c r="O1814">
        <f>IF($G1814="",0,IF($H1814="مرجوعی خرید",-1,1)*IF(Sync!$AD1811="",0,Sync!$AD1811))</f>
        <v/>
      </c>
      <c r="P1814">
        <f>IF(OR($G1814="",Sync!$W1811=""),"",Sync!$W1811)</f>
        <v/>
      </c>
      <c r="Q1814">
        <f>IF(OR($G1814="",Sync!$AE1811=""),"",Sync!$AE1811)</f>
        <v/>
      </c>
      <c r="R1814">
        <f>IF($G1814="","",IF(Sync!$V1811="","0000",IF(AND(ISNUMBER(Sync!$V1811),Sync!$V1811&gt;=0,Sync!$V1811&lt;1),RIGHT("00"&amp;HOUR(Sync!$V1811),2)&amp;RIGHT("00"&amp;MINUTE(Sync!$V1811),2),IFERROR(RIGHT("00"&amp;VALUE(LEFT(Sync!$V1811,FIND(":",Sync!$V1811)-1)),2)&amp;RIGHT("00"&amp;VALUE(MID(Sync!$V1811,FIND(":",Sync!$V1811)+1,2)),2),"0000"))))</f>
        <v/>
      </c>
    </row>
    <row r="1815">
      <c r="A1815">
        <f>IF(Sync!$U1812="","",Sync!$U1812)</f>
        <v/>
      </c>
      <c r="B1815">
        <f>IF($A1815="","",IF(ISNUMBER($A1815),IF(AND($A1815&gt;=10000101,$A1815&lt;=99991231),INT($A1815/10000),""),IFERROR(VALUE(TRIM(LEFT($A1815,FIND("/",$A1815)-1))),"")))</f>
        <v/>
      </c>
      <c r="C1815">
        <f>IF(OR($A1815="",$B1815=""),"",IF(ISNUMBER($A1815),INT(MOD($A1815,10000)/100),IFERROR(VALUE(TRIM(LEFT(MID($A1815,FIND("/",$A1815)+1,20),FIND("/",MID($A1815,FIND("/",$A1815)+1,20))-1))),"")))</f>
        <v/>
      </c>
      <c r="D1815">
        <f>IF(OR($A1815="",$B1815=""),"",IF(ISNUMBER($A1815),MOD($A1815,100),IFERROR(VALUE(TRIM(MID(MID($A1815,FIND("/",$A1815)+1,20),FIND("/",MID($A1815,FIND("/",$A1815)+1,20))+1,20))),"")))</f>
        <v/>
      </c>
      <c r="E1815">
        <f>IF($A1815="","",IF(OR($B1815="",$C1815="",$D1815="",$B1815&lt;1300,$B1815&gt;1500,$C1815&lt;1,$C1815&gt;12,$D1815&lt;1,$D1815&gt;31),"نامعتبر",RIGHT("0000"&amp;$B1815,4)&amp;"/"&amp;RIGHT("00"&amp;$C1815,2)&amp;"/"&amp;RIGHT("00"&amp;$D1815,2)))</f>
        <v/>
      </c>
      <c r="F1815">
        <f>IF(OR($E1815="",$E1815="نامعتبر"),"",LEFT($E1815,4)&amp;"/"&amp;MID($E1815,6,2))</f>
        <v/>
      </c>
      <c r="G1815">
        <f>IF(OR($E1815="",$E1815="نامعتبر",Sync!$Y1812=""),"",Sync!$Y1812)</f>
        <v/>
      </c>
      <c r="H1815">
        <f>IF($G1815="","",IF(Sync!$X1812="","",Sync!$X1812))</f>
        <v/>
      </c>
      <c r="I1815">
        <f>IF($G1815="","",IFERROR(VLOOKUP(Sync!$X1812,OpTbl,3,0),""))</f>
        <v/>
      </c>
      <c r="J1815">
        <f>IF(OR($G1815="",Sync!$Z1812=""),"",Sync!$Z1812)</f>
        <v/>
      </c>
      <c r="K1815">
        <f>IF(OR($G1815="",Sync!$AA1812=""),"",Sync!$AA1812)</f>
        <v/>
      </c>
      <c r="L1815">
        <f>IF($G1815="",0,IF(Sync!$AB1812="",0,Sync!$AB1812))</f>
        <v/>
      </c>
      <c r="M1815">
        <f>IF($G1815="",0,IF(Sync!$AC1812="",0,Sync!$AC1812))</f>
        <v/>
      </c>
      <c r="N1815">
        <f>IF($G1815="","",IF($H1815="مرجوعی خرید",-1,1)*($L1815-$M1815*IFERROR(VLOOKUP("P01",ParamTbl,3,0),1.5))*(1-IF($I1815="خرید",IFERROR(VLOOKUP("P02",ParamTbl,3,0),1),0)/100))</f>
        <v/>
      </c>
      <c r="O1815">
        <f>IF($G1815="",0,IF($H1815="مرجوعی خرید",-1,1)*IF(Sync!$AD1812="",0,Sync!$AD1812))</f>
        <v/>
      </c>
      <c r="P1815">
        <f>IF(OR($G1815="",Sync!$W1812=""),"",Sync!$W1812)</f>
        <v/>
      </c>
      <c r="Q1815">
        <f>IF(OR($G1815="",Sync!$AE1812=""),"",Sync!$AE1812)</f>
        <v/>
      </c>
      <c r="R1815">
        <f>IF($G1815="","",IF(Sync!$V1812="","0000",IF(AND(ISNUMBER(Sync!$V1812),Sync!$V1812&gt;=0,Sync!$V1812&lt;1),RIGHT("00"&amp;HOUR(Sync!$V1812),2)&amp;RIGHT("00"&amp;MINUTE(Sync!$V1812),2),IFERROR(RIGHT("00"&amp;VALUE(LEFT(Sync!$V1812,FIND(":",Sync!$V1812)-1)),2)&amp;RIGHT("00"&amp;VALUE(MID(Sync!$V1812,FIND(":",Sync!$V1812)+1,2)),2),"0000"))))</f>
        <v/>
      </c>
    </row>
    <row r="1816">
      <c r="A1816">
        <f>IF(Sync!$U1813="","",Sync!$U1813)</f>
        <v/>
      </c>
      <c r="B1816">
        <f>IF($A1816="","",IF(ISNUMBER($A1816),IF(AND($A1816&gt;=10000101,$A1816&lt;=99991231),INT($A1816/10000),""),IFERROR(VALUE(TRIM(LEFT($A1816,FIND("/",$A1816)-1))),"")))</f>
        <v/>
      </c>
      <c r="C1816">
        <f>IF(OR($A1816="",$B1816=""),"",IF(ISNUMBER($A1816),INT(MOD($A1816,10000)/100),IFERROR(VALUE(TRIM(LEFT(MID($A1816,FIND("/",$A1816)+1,20),FIND("/",MID($A1816,FIND("/",$A1816)+1,20))-1))),"")))</f>
        <v/>
      </c>
      <c r="D1816">
        <f>IF(OR($A1816="",$B1816=""),"",IF(ISNUMBER($A1816),MOD($A1816,100),IFERROR(VALUE(TRIM(MID(MID($A1816,FIND("/",$A1816)+1,20),FIND("/",MID($A1816,FIND("/",$A1816)+1,20))+1,20))),"")))</f>
        <v/>
      </c>
      <c r="E1816">
        <f>IF($A1816="","",IF(OR($B1816="",$C1816="",$D1816="",$B1816&lt;1300,$B1816&gt;1500,$C1816&lt;1,$C1816&gt;12,$D1816&lt;1,$D1816&gt;31),"نامعتبر",RIGHT("0000"&amp;$B1816,4)&amp;"/"&amp;RIGHT("00"&amp;$C1816,2)&amp;"/"&amp;RIGHT("00"&amp;$D1816,2)))</f>
        <v/>
      </c>
      <c r="F1816">
        <f>IF(OR($E1816="",$E1816="نامعتبر"),"",LEFT($E1816,4)&amp;"/"&amp;MID($E1816,6,2))</f>
        <v/>
      </c>
      <c r="G1816">
        <f>IF(OR($E1816="",$E1816="نامعتبر",Sync!$Y1813=""),"",Sync!$Y1813)</f>
        <v/>
      </c>
      <c r="H1816">
        <f>IF($G1816="","",IF(Sync!$X1813="","",Sync!$X1813))</f>
        <v/>
      </c>
      <c r="I1816">
        <f>IF($G1816="","",IFERROR(VLOOKUP(Sync!$X1813,OpTbl,3,0),""))</f>
        <v/>
      </c>
      <c r="J1816">
        <f>IF(OR($G1816="",Sync!$Z1813=""),"",Sync!$Z1813)</f>
        <v/>
      </c>
      <c r="K1816">
        <f>IF(OR($G1816="",Sync!$AA1813=""),"",Sync!$AA1813)</f>
        <v/>
      </c>
      <c r="L1816">
        <f>IF($G1816="",0,IF(Sync!$AB1813="",0,Sync!$AB1813))</f>
        <v/>
      </c>
      <c r="M1816">
        <f>IF($G1816="",0,IF(Sync!$AC1813="",0,Sync!$AC1813))</f>
        <v/>
      </c>
      <c r="N1816">
        <f>IF($G1816="","",IF($H1816="مرجوعی خرید",-1,1)*($L1816-$M1816*IFERROR(VLOOKUP("P01",ParamTbl,3,0),1.5))*(1-IF($I1816="خرید",IFERROR(VLOOKUP("P02",ParamTbl,3,0),1),0)/100))</f>
        <v/>
      </c>
      <c r="O1816">
        <f>IF($G1816="",0,IF($H1816="مرجوعی خرید",-1,1)*IF(Sync!$AD1813="",0,Sync!$AD1813))</f>
        <v/>
      </c>
      <c r="P1816">
        <f>IF(OR($G1816="",Sync!$W1813=""),"",Sync!$W1813)</f>
        <v/>
      </c>
      <c r="Q1816">
        <f>IF(OR($G1816="",Sync!$AE1813=""),"",Sync!$AE1813)</f>
        <v/>
      </c>
      <c r="R1816">
        <f>IF($G1816="","",IF(Sync!$V1813="","0000",IF(AND(ISNUMBER(Sync!$V1813),Sync!$V1813&gt;=0,Sync!$V1813&lt;1),RIGHT("00"&amp;HOUR(Sync!$V1813),2)&amp;RIGHT("00"&amp;MINUTE(Sync!$V1813),2),IFERROR(RIGHT("00"&amp;VALUE(LEFT(Sync!$V1813,FIND(":",Sync!$V1813)-1)),2)&amp;RIGHT("00"&amp;VALUE(MID(Sync!$V1813,FIND(":",Sync!$V1813)+1,2)),2),"0000"))))</f>
        <v/>
      </c>
    </row>
    <row r="1817">
      <c r="A1817">
        <f>IF(Sync!$U1814="","",Sync!$U1814)</f>
        <v/>
      </c>
      <c r="B1817">
        <f>IF($A1817="","",IF(ISNUMBER($A1817),IF(AND($A1817&gt;=10000101,$A1817&lt;=99991231),INT($A1817/10000),""),IFERROR(VALUE(TRIM(LEFT($A1817,FIND("/",$A1817)-1))),"")))</f>
        <v/>
      </c>
      <c r="C1817">
        <f>IF(OR($A1817="",$B1817=""),"",IF(ISNUMBER($A1817),INT(MOD($A1817,10000)/100),IFERROR(VALUE(TRIM(LEFT(MID($A1817,FIND("/",$A1817)+1,20),FIND("/",MID($A1817,FIND("/",$A1817)+1,20))-1))),"")))</f>
        <v/>
      </c>
      <c r="D1817">
        <f>IF(OR($A1817="",$B1817=""),"",IF(ISNUMBER($A1817),MOD($A1817,100),IFERROR(VALUE(TRIM(MID(MID($A1817,FIND("/",$A1817)+1,20),FIND("/",MID($A1817,FIND("/",$A1817)+1,20))+1,20))),"")))</f>
        <v/>
      </c>
      <c r="E1817">
        <f>IF($A1817="","",IF(OR($B1817="",$C1817="",$D1817="",$B1817&lt;1300,$B1817&gt;1500,$C1817&lt;1,$C1817&gt;12,$D1817&lt;1,$D1817&gt;31),"نامعتبر",RIGHT("0000"&amp;$B1817,4)&amp;"/"&amp;RIGHT("00"&amp;$C1817,2)&amp;"/"&amp;RIGHT("00"&amp;$D1817,2)))</f>
        <v/>
      </c>
      <c r="F1817">
        <f>IF(OR($E1817="",$E1817="نامعتبر"),"",LEFT($E1817,4)&amp;"/"&amp;MID($E1817,6,2))</f>
        <v/>
      </c>
      <c r="G1817">
        <f>IF(OR($E1817="",$E1817="نامعتبر",Sync!$Y1814=""),"",Sync!$Y1814)</f>
        <v/>
      </c>
      <c r="H1817">
        <f>IF($G1817="","",IF(Sync!$X1814="","",Sync!$X1814))</f>
        <v/>
      </c>
      <c r="I1817">
        <f>IF($G1817="","",IFERROR(VLOOKUP(Sync!$X1814,OpTbl,3,0),""))</f>
        <v/>
      </c>
      <c r="J1817">
        <f>IF(OR($G1817="",Sync!$Z1814=""),"",Sync!$Z1814)</f>
        <v/>
      </c>
      <c r="K1817">
        <f>IF(OR($G1817="",Sync!$AA1814=""),"",Sync!$AA1814)</f>
        <v/>
      </c>
      <c r="L1817">
        <f>IF($G1817="",0,IF(Sync!$AB1814="",0,Sync!$AB1814))</f>
        <v/>
      </c>
      <c r="M1817">
        <f>IF($G1817="",0,IF(Sync!$AC1814="",0,Sync!$AC1814))</f>
        <v/>
      </c>
      <c r="N1817">
        <f>IF($G1817="","",IF($H1817="مرجوعی خرید",-1,1)*($L1817-$M1817*IFERROR(VLOOKUP("P01",ParamTbl,3,0),1.5))*(1-IF($I1817="خرید",IFERROR(VLOOKUP("P02",ParamTbl,3,0),1),0)/100))</f>
        <v/>
      </c>
      <c r="O1817">
        <f>IF($G1817="",0,IF($H1817="مرجوعی خرید",-1,1)*IF(Sync!$AD1814="",0,Sync!$AD1814))</f>
        <v/>
      </c>
      <c r="P1817">
        <f>IF(OR($G1817="",Sync!$W1814=""),"",Sync!$W1814)</f>
        <v/>
      </c>
      <c r="Q1817">
        <f>IF(OR($G1817="",Sync!$AE1814=""),"",Sync!$AE1814)</f>
        <v/>
      </c>
      <c r="R1817">
        <f>IF($G1817="","",IF(Sync!$V1814="","0000",IF(AND(ISNUMBER(Sync!$V1814),Sync!$V1814&gt;=0,Sync!$V1814&lt;1),RIGHT("00"&amp;HOUR(Sync!$V1814),2)&amp;RIGHT("00"&amp;MINUTE(Sync!$V1814),2),IFERROR(RIGHT("00"&amp;VALUE(LEFT(Sync!$V1814,FIND(":",Sync!$V1814)-1)),2)&amp;RIGHT("00"&amp;VALUE(MID(Sync!$V1814,FIND(":",Sync!$V1814)+1,2)),2),"0000"))))</f>
        <v/>
      </c>
    </row>
    <row r="1818">
      <c r="A1818">
        <f>IF(Sync!$U1815="","",Sync!$U1815)</f>
        <v/>
      </c>
      <c r="B1818">
        <f>IF($A1818="","",IF(ISNUMBER($A1818),IF(AND($A1818&gt;=10000101,$A1818&lt;=99991231),INT($A1818/10000),""),IFERROR(VALUE(TRIM(LEFT($A1818,FIND("/",$A1818)-1))),"")))</f>
        <v/>
      </c>
      <c r="C1818">
        <f>IF(OR($A1818="",$B1818=""),"",IF(ISNUMBER($A1818),INT(MOD($A1818,10000)/100),IFERROR(VALUE(TRIM(LEFT(MID($A1818,FIND("/",$A1818)+1,20),FIND("/",MID($A1818,FIND("/",$A1818)+1,20))-1))),"")))</f>
        <v/>
      </c>
      <c r="D1818">
        <f>IF(OR($A1818="",$B1818=""),"",IF(ISNUMBER($A1818),MOD($A1818,100),IFERROR(VALUE(TRIM(MID(MID($A1818,FIND("/",$A1818)+1,20),FIND("/",MID($A1818,FIND("/",$A1818)+1,20))+1,20))),"")))</f>
        <v/>
      </c>
      <c r="E1818">
        <f>IF($A1818="","",IF(OR($B1818="",$C1818="",$D1818="",$B1818&lt;1300,$B1818&gt;1500,$C1818&lt;1,$C1818&gt;12,$D1818&lt;1,$D1818&gt;31),"نامعتبر",RIGHT("0000"&amp;$B1818,4)&amp;"/"&amp;RIGHT("00"&amp;$C1818,2)&amp;"/"&amp;RIGHT("00"&amp;$D1818,2)))</f>
        <v/>
      </c>
      <c r="F1818">
        <f>IF(OR($E1818="",$E1818="نامعتبر"),"",LEFT($E1818,4)&amp;"/"&amp;MID($E1818,6,2))</f>
        <v/>
      </c>
      <c r="G1818">
        <f>IF(OR($E1818="",$E1818="نامعتبر",Sync!$Y1815=""),"",Sync!$Y1815)</f>
        <v/>
      </c>
      <c r="H1818">
        <f>IF($G1818="","",IF(Sync!$X1815="","",Sync!$X1815))</f>
        <v/>
      </c>
      <c r="I1818">
        <f>IF($G1818="","",IFERROR(VLOOKUP(Sync!$X1815,OpTbl,3,0),""))</f>
        <v/>
      </c>
      <c r="J1818">
        <f>IF(OR($G1818="",Sync!$Z1815=""),"",Sync!$Z1815)</f>
        <v/>
      </c>
      <c r="K1818">
        <f>IF(OR($G1818="",Sync!$AA1815=""),"",Sync!$AA1815)</f>
        <v/>
      </c>
      <c r="L1818">
        <f>IF($G1818="",0,IF(Sync!$AB1815="",0,Sync!$AB1815))</f>
        <v/>
      </c>
      <c r="M1818">
        <f>IF($G1818="",0,IF(Sync!$AC1815="",0,Sync!$AC1815))</f>
        <v/>
      </c>
      <c r="N1818">
        <f>IF($G1818="","",IF($H1818="مرجوعی خرید",-1,1)*($L1818-$M1818*IFERROR(VLOOKUP("P01",ParamTbl,3,0),1.5))*(1-IF($I1818="خرید",IFERROR(VLOOKUP("P02",ParamTbl,3,0),1),0)/100))</f>
        <v/>
      </c>
      <c r="O1818">
        <f>IF($G1818="",0,IF($H1818="مرجوعی خرید",-1,1)*IF(Sync!$AD1815="",0,Sync!$AD1815))</f>
        <v/>
      </c>
      <c r="P1818">
        <f>IF(OR($G1818="",Sync!$W1815=""),"",Sync!$W1815)</f>
        <v/>
      </c>
      <c r="Q1818">
        <f>IF(OR($G1818="",Sync!$AE1815=""),"",Sync!$AE1815)</f>
        <v/>
      </c>
      <c r="R1818">
        <f>IF($G1818="","",IF(Sync!$V1815="","0000",IF(AND(ISNUMBER(Sync!$V1815),Sync!$V1815&gt;=0,Sync!$V1815&lt;1),RIGHT("00"&amp;HOUR(Sync!$V1815),2)&amp;RIGHT("00"&amp;MINUTE(Sync!$V1815),2),IFERROR(RIGHT("00"&amp;VALUE(LEFT(Sync!$V1815,FIND(":",Sync!$V1815)-1)),2)&amp;RIGHT("00"&amp;VALUE(MID(Sync!$V1815,FIND(":",Sync!$V1815)+1,2)),2),"0000"))))</f>
        <v/>
      </c>
    </row>
    <row r="1819">
      <c r="A1819">
        <f>IF(Sync!$U1816="","",Sync!$U1816)</f>
        <v/>
      </c>
      <c r="B1819">
        <f>IF($A1819="","",IF(ISNUMBER($A1819),IF(AND($A1819&gt;=10000101,$A1819&lt;=99991231),INT($A1819/10000),""),IFERROR(VALUE(TRIM(LEFT($A1819,FIND("/",$A1819)-1))),"")))</f>
        <v/>
      </c>
      <c r="C1819">
        <f>IF(OR($A1819="",$B1819=""),"",IF(ISNUMBER($A1819),INT(MOD($A1819,10000)/100),IFERROR(VALUE(TRIM(LEFT(MID($A1819,FIND("/",$A1819)+1,20),FIND("/",MID($A1819,FIND("/",$A1819)+1,20))-1))),"")))</f>
        <v/>
      </c>
      <c r="D1819">
        <f>IF(OR($A1819="",$B1819=""),"",IF(ISNUMBER($A1819),MOD($A1819,100),IFERROR(VALUE(TRIM(MID(MID($A1819,FIND("/",$A1819)+1,20),FIND("/",MID($A1819,FIND("/",$A1819)+1,20))+1,20))),"")))</f>
        <v/>
      </c>
      <c r="E1819">
        <f>IF($A1819="","",IF(OR($B1819="",$C1819="",$D1819="",$B1819&lt;1300,$B1819&gt;1500,$C1819&lt;1,$C1819&gt;12,$D1819&lt;1,$D1819&gt;31),"نامعتبر",RIGHT("0000"&amp;$B1819,4)&amp;"/"&amp;RIGHT("00"&amp;$C1819,2)&amp;"/"&amp;RIGHT("00"&amp;$D1819,2)))</f>
        <v/>
      </c>
      <c r="F1819">
        <f>IF(OR($E1819="",$E1819="نامعتبر"),"",LEFT($E1819,4)&amp;"/"&amp;MID($E1819,6,2))</f>
        <v/>
      </c>
      <c r="G1819">
        <f>IF(OR($E1819="",$E1819="نامعتبر",Sync!$Y1816=""),"",Sync!$Y1816)</f>
        <v/>
      </c>
      <c r="H1819">
        <f>IF($G1819="","",IF(Sync!$X1816="","",Sync!$X1816))</f>
        <v/>
      </c>
      <c r="I1819">
        <f>IF($G1819="","",IFERROR(VLOOKUP(Sync!$X1816,OpTbl,3,0),""))</f>
        <v/>
      </c>
      <c r="J1819">
        <f>IF(OR($G1819="",Sync!$Z1816=""),"",Sync!$Z1816)</f>
        <v/>
      </c>
      <c r="K1819">
        <f>IF(OR($G1819="",Sync!$AA1816=""),"",Sync!$AA1816)</f>
        <v/>
      </c>
      <c r="L1819">
        <f>IF($G1819="",0,IF(Sync!$AB1816="",0,Sync!$AB1816))</f>
        <v/>
      </c>
      <c r="M1819">
        <f>IF($G1819="",0,IF(Sync!$AC1816="",0,Sync!$AC1816))</f>
        <v/>
      </c>
      <c r="N1819">
        <f>IF($G1819="","",IF($H1819="مرجوعی خرید",-1,1)*($L1819-$M1819*IFERROR(VLOOKUP("P01",ParamTbl,3,0),1.5))*(1-IF($I1819="خرید",IFERROR(VLOOKUP("P02",ParamTbl,3,0),1),0)/100))</f>
        <v/>
      </c>
      <c r="O1819">
        <f>IF($G1819="",0,IF($H1819="مرجوعی خرید",-1,1)*IF(Sync!$AD1816="",0,Sync!$AD1816))</f>
        <v/>
      </c>
      <c r="P1819">
        <f>IF(OR($G1819="",Sync!$W1816=""),"",Sync!$W1816)</f>
        <v/>
      </c>
      <c r="Q1819">
        <f>IF(OR($G1819="",Sync!$AE1816=""),"",Sync!$AE1816)</f>
        <v/>
      </c>
      <c r="R1819">
        <f>IF($G1819="","",IF(Sync!$V1816="","0000",IF(AND(ISNUMBER(Sync!$V1816),Sync!$V1816&gt;=0,Sync!$V1816&lt;1),RIGHT("00"&amp;HOUR(Sync!$V1816),2)&amp;RIGHT("00"&amp;MINUTE(Sync!$V1816),2),IFERROR(RIGHT("00"&amp;VALUE(LEFT(Sync!$V1816,FIND(":",Sync!$V1816)-1)),2)&amp;RIGHT("00"&amp;VALUE(MID(Sync!$V1816,FIND(":",Sync!$V1816)+1,2)),2),"0000"))))</f>
        <v/>
      </c>
    </row>
    <row r="1820">
      <c r="A1820">
        <f>IF(Sync!$U1817="","",Sync!$U1817)</f>
        <v/>
      </c>
      <c r="B1820">
        <f>IF($A1820="","",IF(ISNUMBER($A1820),IF(AND($A1820&gt;=10000101,$A1820&lt;=99991231),INT($A1820/10000),""),IFERROR(VALUE(TRIM(LEFT($A1820,FIND("/",$A1820)-1))),"")))</f>
        <v/>
      </c>
      <c r="C1820">
        <f>IF(OR($A1820="",$B1820=""),"",IF(ISNUMBER($A1820),INT(MOD($A1820,10000)/100),IFERROR(VALUE(TRIM(LEFT(MID($A1820,FIND("/",$A1820)+1,20),FIND("/",MID($A1820,FIND("/",$A1820)+1,20))-1))),"")))</f>
        <v/>
      </c>
      <c r="D1820">
        <f>IF(OR($A1820="",$B1820=""),"",IF(ISNUMBER($A1820),MOD($A1820,100),IFERROR(VALUE(TRIM(MID(MID($A1820,FIND("/",$A1820)+1,20),FIND("/",MID($A1820,FIND("/",$A1820)+1,20))+1,20))),"")))</f>
        <v/>
      </c>
      <c r="E1820">
        <f>IF($A1820="","",IF(OR($B1820="",$C1820="",$D1820="",$B1820&lt;1300,$B1820&gt;1500,$C1820&lt;1,$C1820&gt;12,$D1820&lt;1,$D1820&gt;31),"نامعتبر",RIGHT("0000"&amp;$B1820,4)&amp;"/"&amp;RIGHT("00"&amp;$C1820,2)&amp;"/"&amp;RIGHT("00"&amp;$D1820,2)))</f>
        <v/>
      </c>
      <c r="F1820">
        <f>IF(OR($E1820="",$E1820="نامعتبر"),"",LEFT($E1820,4)&amp;"/"&amp;MID($E1820,6,2))</f>
        <v/>
      </c>
      <c r="G1820">
        <f>IF(OR($E1820="",$E1820="نامعتبر",Sync!$Y1817=""),"",Sync!$Y1817)</f>
        <v/>
      </c>
      <c r="H1820">
        <f>IF($G1820="","",IF(Sync!$X1817="","",Sync!$X1817))</f>
        <v/>
      </c>
      <c r="I1820">
        <f>IF($G1820="","",IFERROR(VLOOKUP(Sync!$X1817,OpTbl,3,0),""))</f>
        <v/>
      </c>
      <c r="J1820">
        <f>IF(OR($G1820="",Sync!$Z1817=""),"",Sync!$Z1817)</f>
        <v/>
      </c>
      <c r="K1820">
        <f>IF(OR($G1820="",Sync!$AA1817=""),"",Sync!$AA1817)</f>
        <v/>
      </c>
      <c r="L1820">
        <f>IF($G1820="",0,IF(Sync!$AB1817="",0,Sync!$AB1817))</f>
        <v/>
      </c>
      <c r="M1820">
        <f>IF($G1820="",0,IF(Sync!$AC1817="",0,Sync!$AC1817))</f>
        <v/>
      </c>
      <c r="N1820">
        <f>IF($G1820="","",IF($H1820="مرجوعی خرید",-1,1)*($L1820-$M1820*IFERROR(VLOOKUP("P01",ParamTbl,3,0),1.5))*(1-IF($I1820="خرید",IFERROR(VLOOKUP("P02",ParamTbl,3,0),1),0)/100))</f>
        <v/>
      </c>
      <c r="O1820">
        <f>IF($G1820="",0,IF($H1820="مرجوعی خرید",-1,1)*IF(Sync!$AD1817="",0,Sync!$AD1817))</f>
        <v/>
      </c>
      <c r="P1820">
        <f>IF(OR($G1820="",Sync!$W1817=""),"",Sync!$W1817)</f>
        <v/>
      </c>
      <c r="Q1820">
        <f>IF(OR($G1820="",Sync!$AE1817=""),"",Sync!$AE1817)</f>
        <v/>
      </c>
      <c r="R1820">
        <f>IF($G1820="","",IF(Sync!$V1817="","0000",IF(AND(ISNUMBER(Sync!$V1817),Sync!$V1817&gt;=0,Sync!$V1817&lt;1),RIGHT("00"&amp;HOUR(Sync!$V1817),2)&amp;RIGHT("00"&amp;MINUTE(Sync!$V1817),2),IFERROR(RIGHT("00"&amp;VALUE(LEFT(Sync!$V1817,FIND(":",Sync!$V1817)-1)),2)&amp;RIGHT("00"&amp;VALUE(MID(Sync!$V1817,FIND(":",Sync!$V1817)+1,2)),2),"0000"))))</f>
        <v/>
      </c>
    </row>
    <row r="1821">
      <c r="A1821">
        <f>IF(Sync!$U1818="","",Sync!$U1818)</f>
        <v/>
      </c>
      <c r="B1821">
        <f>IF($A1821="","",IF(ISNUMBER($A1821),IF(AND($A1821&gt;=10000101,$A1821&lt;=99991231),INT($A1821/10000),""),IFERROR(VALUE(TRIM(LEFT($A1821,FIND("/",$A1821)-1))),"")))</f>
        <v/>
      </c>
      <c r="C1821">
        <f>IF(OR($A1821="",$B1821=""),"",IF(ISNUMBER($A1821),INT(MOD($A1821,10000)/100),IFERROR(VALUE(TRIM(LEFT(MID($A1821,FIND("/",$A1821)+1,20),FIND("/",MID($A1821,FIND("/",$A1821)+1,20))-1))),"")))</f>
        <v/>
      </c>
      <c r="D1821">
        <f>IF(OR($A1821="",$B1821=""),"",IF(ISNUMBER($A1821),MOD($A1821,100),IFERROR(VALUE(TRIM(MID(MID($A1821,FIND("/",$A1821)+1,20),FIND("/",MID($A1821,FIND("/",$A1821)+1,20))+1,20))),"")))</f>
        <v/>
      </c>
      <c r="E1821">
        <f>IF($A1821="","",IF(OR($B1821="",$C1821="",$D1821="",$B1821&lt;1300,$B1821&gt;1500,$C1821&lt;1,$C1821&gt;12,$D1821&lt;1,$D1821&gt;31),"نامعتبر",RIGHT("0000"&amp;$B1821,4)&amp;"/"&amp;RIGHT("00"&amp;$C1821,2)&amp;"/"&amp;RIGHT("00"&amp;$D1821,2)))</f>
        <v/>
      </c>
      <c r="F1821">
        <f>IF(OR($E1821="",$E1821="نامعتبر"),"",LEFT($E1821,4)&amp;"/"&amp;MID($E1821,6,2))</f>
        <v/>
      </c>
      <c r="G1821">
        <f>IF(OR($E1821="",$E1821="نامعتبر",Sync!$Y1818=""),"",Sync!$Y1818)</f>
        <v/>
      </c>
      <c r="H1821">
        <f>IF($G1821="","",IF(Sync!$X1818="","",Sync!$X1818))</f>
        <v/>
      </c>
      <c r="I1821">
        <f>IF($G1821="","",IFERROR(VLOOKUP(Sync!$X1818,OpTbl,3,0),""))</f>
        <v/>
      </c>
      <c r="J1821">
        <f>IF(OR($G1821="",Sync!$Z1818=""),"",Sync!$Z1818)</f>
        <v/>
      </c>
      <c r="K1821">
        <f>IF(OR($G1821="",Sync!$AA1818=""),"",Sync!$AA1818)</f>
        <v/>
      </c>
      <c r="L1821">
        <f>IF($G1821="",0,IF(Sync!$AB1818="",0,Sync!$AB1818))</f>
        <v/>
      </c>
      <c r="M1821">
        <f>IF($G1821="",0,IF(Sync!$AC1818="",0,Sync!$AC1818))</f>
        <v/>
      </c>
      <c r="N1821">
        <f>IF($G1821="","",IF($H1821="مرجوعی خرید",-1,1)*($L1821-$M1821*IFERROR(VLOOKUP("P01",ParamTbl,3,0),1.5))*(1-IF($I1821="خرید",IFERROR(VLOOKUP("P02",ParamTbl,3,0),1),0)/100))</f>
        <v/>
      </c>
      <c r="O1821">
        <f>IF($G1821="",0,IF($H1821="مرجوعی خرید",-1,1)*IF(Sync!$AD1818="",0,Sync!$AD1818))</f>
        <v/>
      </c>
      <c r="P1821">
        <f>IF(OR($G1821="",Sync!$W1818=""),"",Sync!$W1818)</f>
        <v/>
      </c>
      <c r="Q1821">
        <f>IF(OR($G1821="",Sync!$AE1818=""),"",Sync!$AE1818)</f>
        <v/>
      </c>
      <c r="R1821">
        <f>IF($G1821="","",IF(Sync!$V1818="","0000",IF(AND(ISNUMBER(Sync!$V1818),Sync!$V1818&gt;=0,Sync!$V1818&lt;1),RIGHT("00"&amp;HOUR(Sync!$V1818),2)&amp;RIGHT("00"&amp;MINUTE(Sync!$V1818),2),IFERROR(RIGHT("00"&amp;VALUE(LEFT(Sync!$V1818,FIND(":",Sync!$V1818)-1)),2)&amp;RIGHT("00"&amp;VALUE(MID(Sync!$V1818,FIND(":",Sync!$V1818)+1,2)),2),"0000"))))</f>
        <v/>
      </c>
    </row>
    <row r="1822">
      <c r="A1822">
        <f>IF(Sync!$U1819="","",Sync!$U1819)</f>
        <v/>
      </c>
      <c r="B1822">
        <f>IF($A1822="","",IF(ISNUMBER($A1822),IF(AND($A1822&gt;=10000101,$A1822&lt;=99991231),INT($A1822/10000),""),IFERROR(VALUE(TRIM(LEFT($A1822,FIND("/",$A1822)-1))),"")))</f>
        <v/>
      </c>
      <c r="C1822">
        <f>IF(OR($A1822="",$B1822=""),"",IF(ISNUMBER($A1822),INT(MOD($A1822,10000)/100),IFERROR(VALUE(TRIM(LEFT(MID($A1822,FIND("/",$A1822)+1,20),FIND("/",MID($A1822,FIND("/",$A1822)+1,20))-1))),"")))</f>
        <v/>
      </c>
      <c r="D1822">
        <f>IF(OR($A1822="",$B1822=""),"",IF(ISNUMBER($A1822),MOD($A1822,100),IFERROR(VALUE(TRIM(MID(MID($A1822,FIND("/",$A1822)+1,20),FIND("/",MID($A1822,FIND("/",$A1822)+1,20))+1,20))),"")))</f>
        <v/>
      </c>
      <c r="E1822">
        <f>IF($A1822="","",IF(OR($B1822="",$C1822="",$D1822="",$B1822&lt;1300,$B1822&gt;1500,$C1822&lt;1,$C1822&gt;12,$D1822&lt;1,$D1822&gt;31),"نامعتبر",RIGHT("0000"&amp;$B1822,4)&amp;"/"&amp;RIGHT("00"&amp;$C1822,2)&amp;"/"&amp;RIGHT("00"&amp;$D1822,2)))</f>
        <v/>
      </c>
      <c r="F1822">
        <f>IF(OR($E1822="",$E1822="نامعتبر"),"",LEFT($E1822,4)&amp;"/"&amp;MID($E1822,6,2))</f>
        <v/>
      </c>
      <c r="G1822">
        <f>IF(OR($E1822="",$E1822="نامعتبر",Sync!$Y1819=""),"",Sync!$Y1819)</f>
        <v/>
      </c>
      <c r="H1822">
        <f>IF($G1822="","",IF(Sync!$X1819="","",Sync!$X1819))</f>
        <v/>
      </c>
      <c r="I1822">
        <f>IF($G1822="","",IFERROR(VLOOKUP(Sync!$X1819,OpTbl,3,0),""))</f>
        <v/>
      </c>
      <c r="J1822">
        <f>IF(OR($G1822="",Sync!$Z1819=""),"",Sync!$Z1819)</f>
        <v/>
      </c>
      <c r="K1822">
        <f>IF(OR($G1822="",Sync!$AA1819=""),"",Sync!$AA1819)</f>
        <v/>
      </c>
      <c r="L1822">
        <f>IF($G1822="",0,IF(Sync!$AB1819="",0,Sync!$AB1819))</f>
        <v/>
      </c>
      <c r="M1822">
        <f>IF($G1822="",0,IF(Sync!$AC1819="",0,Sync!$AC1819))</f>
        <v/>
      </c>
      <c r="N1822">
        <f>IF($G1822="","",IF($H1822="مرجوعی خرید",-1,1)*($L1822-$M1822*IFERROR(VLOOKUP("P01",ParamTbl,3,0),1.5))*(1-IF($I1822="خرید",IFERROR(VLOOKUP("P02",ParamTbl,3,0),1),0)/100))</f>
        <v/>
      </c>
      <c r="O1822">
        <f>IF($G1822="",0,IF($H1822="مرجوعی خرید",-1,1)*IF(Sync!$AD1819="",0,Sync!$AD1819))</f>
        <v/>
      </c>
      <c r="P1822">
        <f>IF(OR($G1822="",Sync!$W1819=""),"",Sync!$W1819)</f>
        <v/>
      </c>
      <c r="Q1822">
        <f>IF(OR($G1822="",Sync!$AE1819=""),"",Sync!$AE1819)</f>
        <v/>
      </c>
      <c r="R1822">
        <f>IF($G1822="","",IF(Sync!$V1819="","0000",IF(AND(ISNUMBER(Sync!$V1819),Sync!$V1819&gt;=0,Sync!$V1819&lt;1),RIGHT("00"&amp;HOUR(Sync!$V1819),2)&amp;RIGHT("00"&amp;MINUTE(Sync!$V1819),2),IFERROR(RIGHT("00"&amp;VALUE(LEFT(Sync!$V1819,FIND(":",Sync!$V1819)-1)),2)&amp;RIGHT("00"&amp;VALUE(MID(Sync!$V1819,FIND(":",Sync!$V1819)+1,2)),2),"0000"))))</f>
        <v/>
      </c>
    </row>
    <row r="1823">
      <c r="A1823">
        <f>IF(Sync!$U1820="","",Sync!$U1820)</f>
        <v/>
      </c>
      <c r="B1823">
        <f>IF($A1823="","",IF(ISNUMBER($A1823),IF(AND($A1823&gt;=10000101,$A1823&lt;=99991231),INT($A1823/10000),""),IFERROR(VALUE(TRIM(LEFT($A1823,FIND("/",$A1823)-1))),"")))</f>
        <v/>
      </c>
      <c r="C1823">
        <f>IF(OR($A1823="",$B1823=""),"",IF(ISNUMBER($A1823),INT(MOD($A1823,10000)/100),IFERROR(VALUE(TRIM(LEFT(MID($A1823,FIND("/",$A1823)+1,20),FIND("/",MID($A1823,FIND("/",$A1823)+1,20))-1))),"")))</f>
        <v/>
      </c>
      <c r="D1823">
        <f>IF(OR($A1823="",$B1823=""),"",IF(ISNUMBER($A1823),MOD($A1823,100),IFERROR(VALUE(TRIM(MID(MID($A1823,FIND("/",$A1823)+1,20),FIND("/",MID($A1823,FIND("/",$A1823)+1,20))+1,20))),"")))</f>
        <v/>
      </c>
      <c r="E1823">
        <f>IF($A1823="","",IF(OR($B1823="",$C1823="",$D1823="",$B1823&lt;1300,$B1823&gt;1500,$C1823&lt;1,$C1823&gt;12,$D1823&lt;1,$D1823&gt;31),"نامعتبر",RIGHT("0000"&amp;$B1823,4)&amp;"/"&amp;RIGHT("00"&amp;$C1823,2)&amp;"/"&amp;RIGHT("00"&amp;$D1823,2)))</f>
        <v/>
      </c>
      <c r="F1823">
        <f>IF(OR($E1823="",$E1823="نامعتبر"),"",LEFT($E1823,4)&amp;"/"&amp;MID($E1823,6,2))</f>
        <v/>
      </c>
      <c r="G1823">
        <f>IF(OR($E1823="",$E1823="نامعتبر",Sync!$Y1820=""),"",Sync!$Y1820)</f>
        <v/>
      </c>
      <c r="H1823">
        <f>IF($G1823="","",IF(Sync!$X1820="","",Sync!$X1820))</f>
        <v/>
      </c>
      <c r="I1823">
        <f>IF($G1823="","",IFERROR(VLOOKUP(Sync!$X1820,OpTbl,3,0),""))</f>
        <v/>
      </c>
      <c r="J1823">
        <f>IF(OR($G1823="",Sync!$Z1820=""),"",Sync!$Z1820)</f>
        <v/>
      </c>
      <c r="K1823">
        <f>IF(OR($G1823="",Sync!$AA1820=""),"",Sync!$AA1820)</f>
        <v/>
      </c>
      <c r="L1823">
        <f>IF($G1823="",0,IF(Sync!$AB1820="",0,Sync!$AB1820))</f>
        <v/>
      </c>
      <c r="M1823">
        <f>IF($G1823="",0,IF(Sync!$AC1820="",0,Sync!$AC1820))</f>
        <v/>
      </c>
      <c r="N1823">
        <f>IF($G1823="","",IF($H1823="مرجوعی خرید",-1,1)*($L1823-$M1823*IFERROR(VLOOKUP("P01",ParamTbl,3,0),1.5))*(1-IF($I1823="خرید",IFERROR(VLOOKUP("P02",ParamTbl,3,0),1),0)/100))</f>
        <v/>
      </c>
      <c r="O1823">
        <f>IF($G1823="",0,IF($H1823="مرجوعی خرید",-1,1)*IF(Sync!$AD1820="",0,Sync!$AD1820))</f>
        <v/>
      </c>
      <c r="P1823">
        <f>IF(OR($G1823="",Sync!$W1820=""),"",Sync!$W1820)</f>
        <v/>
      </c>
      <c r="Q1823">
        <f>IF(OR($G1823="",Sync!$AE1820=""),"",Sync!$AE1820)</f>
        <v/>
      </c>
      <c r="R1823">
        <f>IF($G1823="","",IF(Sync!$V1820="","0000",IF(AND(ISNUMBER(Sync!$V1820),Sync!$V1820&gt;=0,Sync!$V1820&lt;1),RIGHT("00"&amp;HOUR(Sync!$V1820),2)&amp;RIGHT("00"&amp;MINUTE(Sync!$V1820),2),IFERROR(RIGHT("00"&amp;VALUE(LEFT(Sync!$V1820,FIND(":",Sync!$V1820)-1)),2)&amp;RIGHT("00"&amp;VALUE(MID(Sync!$V1820,FIND(":",Sync!$V1820)+1,2)),2),"0000"))))</f>
        <v/>
      </c>
    </row>
    <row r="1824">
      <c r="A1824">
        <f>IF(Sync!$U1821="","",Sync!$U1821)</f>
        <v/>
      </c>
      <c r="B1824">
        <f>IF($A1824="","",IF(ISNUMBER($A1824),IF(AND($A1824&gt;=10000101,$A1824&lt;=99991231),INT($A1824/10000),""),IFERROR(VALUE(TRIM(LEFT($A1824,FIND("/",$A1824)-1))),"")))</f>
        <v/>
      </c>
      <c r="C1824">
        <f>IF(OR($A1824="",$B1824=""),"",IF(ISNUMBER($A1824),INT(MOD($A1824,10000)/100),IFERROR(VALUE(TRIM(LEFT(MID($A1824,FIND("/",$A1824)+1,20),FIND("/",MID($A1824,FIND("/",$A1824)+1,20))-1))),"")))</f>
        <v/>
      </c>
      <c r="D1824">
        <f>IF(OR($A1824="",$B1824=""),"",IF(ISNUMBER($A1824),MOD($A1824,100),IFERROR(VALUE(TRIM(MID(MID($A1824,FIND("/",$A1824)+1,20),FIND("/",MID($A1824,FIND("/",$A1824)+1,20))+1,20))),"")))</f>
        <v/>
      </c>
      <c r="E1824">
        <f>IF($A1824="","",IF(OR($B1824="",$C1824="",$D1824="",$B1824&lt;1300,$B1824&gt;1500,$C1824&lt;1,$C1824&gt;12,$D1824&lt;1,$D1824&gt;31),"نامعتبر",RIGHT("0000"&amp;$B1824,4)&amp;"/"&amp;RIGHT("00"&amp;$C1824,2)&amp;"/"&amp;RIGHT("00"&amp;$D1824,2)))</f>
        <v/>
      </c>
      <c r="F1824">
        <f>IF(OR($E1824="",$E1824="نامعتبر"),"",LEFT($E1824,4)&amp;"/"&amp;MID($E1824,6,2))</f>
        <v/>
      </c>
      <c r="G1824">
        <f>IF(OR($E1824="",$E1824="نامعتبر",Sync!$Y1821=""),"",Sync!$Y1821)</f>
        <v/>
      </c>
      <c r="H1824">
        <f>IF($G1824="","",IF(Sync!$X1821="","",Sync!$X1821))</f>
        <v/>
      </c>
      <c r="I1824">
        <f>IF($G1824="","",IFERROR(VLOOKUP(Sync!$X1821,OpTbl,3,0),""))</f>
        <v/>
      </c>
      <c r="J1824">
        <f>IF(OR($G1824="",Sync!$Z1821=""),"",Sync!$Z1821)</f>
        <v/>
      </c>
      <c r="K1824">
        <f>IF(OR($G1824="",Sync!$AA1821=""),"",Sync!$AA1821)</f>
        <v/>
      </c>
      <c r="L1824">
        <f>IF($G1824="",0,IF(Sync!$AB1821="",0,Sync!$AB1821))</f>
        <v/>
      </c>
      <c r="M1824">
        <f>IF($G1824="",0,IF(Sync!$AC1821="",0,Sync!$AC1821))</f>
        <v/>
      </c>
      <c r="N1824">
        <f>IF($G1824="","",IF($H1824="مرجوعی خرید",-1,1)*($L1824-$M1824*IFERROR(VLOOKUP("P01",ParamTbl,3,0),1.5))*(1-IF($I1824="خرید",IFERROR(VLOOKUP("P02",ParamTbl,3,0),1),0)/100))</f>
        <v/>
      </c>
      <c r="O1824">
        <f>IF($G1824="",0,IF($H1824="مرجوعی خرید",-1,1)*IF(Sync!$AD1821="",0,Sync!$AD1821))</f>
        <v/>
      </c>
      <c r="P1824">
        <f>IF(OR($G1824="",Sync!$W1821=""),"",Sync!$W1821)</f>
        <v/>
      </c>
      <c r="Q1824">
        <f>IF(OR($G1824="",Sync!$AE1821=""),"",Sync!$AE1821)</f>
        <v/>
      </c>
      <c r="R1824">
        <f>IF($G1824="","",IF(Sync!$V1821="","0000",IF(AND(ISNUMBER(Sync!$V1821),Sync!$V1821&gt;=0,Sync!$V1821&lt;1),RIGHT("00"&amp;HOUR(Sync!$V1821),2)&amp;RIGHT("00"&amp;MINUTE(Sync!$V1821),2),IFERROR(RIGHT("00"&amp;VALUE(LEFT(Sync!$V1821,FIND(":",Sync!$V1821)-1)),2)&amp;RIGHT("00"&amp;VALUE(MID(Sync!$V1821,FIND(":",Sync!$V1821)+1,2)),2),"0000"))))</f>
        <v/>
      </c>
    </row>
    <row r="1825">
      <c r="A1825">
        <f>IF(Sync!$U1822="","",Sync!$U1822)</f>
        <v/>
      </c>
      <c r="B1825">
        <f>IF($A1825="","",IF(ISNUMBER($A1825),IF(AND($A1825&gt;=10000101,$A1825&lt;=99991231),INT($A1825/10000),""),IFERROR(VALUE(TRIM(LEFT($A1825,FIND("/",$A1825)-1))),"")))</f>
        <v/>
      </c>
      <c r="C1825">
        <f>IF(OR($A1825="",$B1825=""),"",IF(ISNUMBER($A1825),INT(MOD($A1825,10000)/100),IFERROR(VALUE(TRIM(LEFT(MID($A1825,FIND("/",$A1825)+1,20),FIND("/",MID($A1825,FIND("/",$A1825)+1,20))-1))),"")))</f>
        <v/>
      </c>
      <c r="D1825">
        <f>IF(OR($A1825="",$B1825=""),"",IF(ISNUMBER($A1825),MOD($A1825,100),IFERROR(VALUE(TRIM(MID(MID($A1825,FIND("/",$A1825)+1,20),FIND("/",MID($A1825,FIND("/",$A1825)+1,20))+1,20))),"")))</f>
        <v/>
      </c>
      <c r="E1825">
        <f>IF($A1825="","",IF(OR($B1825="",$C1825="",$D1825="",$B1825&lt;1300,$B1825&gt;1500,$C1825&lt;1,$C1825&gt;12,$D1825&lt;1,$D1825&gt;31),"نامعتبر",RIGHT("0000"&amp;$B1825,4)&amp;"/"&amp;RIGHT("00"&amp;$C1825,2)&amp;"/"&amp;RIGHT("00"&amp;$D1825,2)))</f>
        <v/>
      </c>
      <c r="F1825">
        <f>IF(OR($E1825="",$E1825="نامعتبر"),"",LEFT($E1825,4)&amp;"/"&amp;MID($E1825,6,2))</f>
        <v/>
      </c>
      <c r="G1825">
        <f>IF(OR($E1825="",$E1825="نامعتبر",Sync!$Y1822=""),"",Sync!$Y1822)</f>
        <v/>
      </c>
      <c r="H1825">
        <f>IF($G1825="","",IF(Sync!$X1822="","",Sync!$X1822))</f>
        <v/>
      </c>
      <c r="I1825">
        <f>IF($G1825="","",IFERROR(VLOOKUP(Sync!$X1822,OpTbl,3,0),""))</f>
        <v/>
      </c>
      <c r="J1825">
        <f>IF(OR($G1825="",Sync!$Z1822=""),"",Sync!$Z1822)</f>
        <v/>
      </c>
      <c r="K1825">
        <f>IF(OR($G1825="",Sync!$AA1822=""),"",Sync!$AA1822)</f>
        <v/>
      </c>
      <c r="L1825">
        <f>IF($G1825="",0,IF(Sync!$AB1822="",0,Sync!$AB1822))</f>
        <v/>
      </c>
      <c r="M1825">
        <f>IF($G1825="",0,IF(Sync!$AC1822="",0,Sync!$AC1822))</f>
        <v/>
      </c>
      <c r="N1825">
        <f>IF($G1825="","",IF($H1825="مرجوعی خرید",-1,1)*($L1825-$M1825*IFERROR(VLOOKUP("P01",ParamTbl,3,0),1.5))*(1-IF($I1825="خرید",IFERROR(VLOOKUP("P02",ParamTbl,3,0),1),0)/100))</f>
        <v/>
      </c>
      <c r="O1825">
        <f>IF($G1825="",0,IF($H1825="مرجوعی خرید",-1,1)*IF(Sync!$AD1822="",0,Sync!$AD1822))</f>
        <v/>
      </c>
      <c r="P1825">
        <f>IF(OR($G1825="",Sync!$W1822=""),"",Sync!$W1822)</f>
        <v/>
      </c>
      <c r="Q1825">
        <f>IF(OR($G1825="",Sync!$AE1822=""),"",Sync!$AE1822)</f>
        <v/>
      </c>
      <c r="R1825">
        <f>IF($G1825="","",IF(Sync!$V1822="","0000",IF(AND(ISNUMBER(Sync!$V1822),Sync!$V1822&gt;=0,Sync!$V1822&lt;1),RIGHT("00"&amp;HOUR(Sync!$V1822),2)&amp;RIGHT("00"&amp;MINUTE(Sync!$V1822),2),IFERROR(RIGHT("00"&amp;VALUE(LEFT(Sync!$V1822,FIND(":",Sync!$V1822)-1)),2)&amp;RIGHT("00"&amp;VALUE(MID(Sync!$V1822,FIND(":",Sync!$V1822)+1,2)),2),"0000"))))</f>
        <v/>
      </c>
    </row>
    <row r="1826">
      <c r="A1826">
        <f>IF(Sync!$U1823="","",Sync!$U1823)</f>
        <v/>
      </c>
      <c r="B1826">
        <f>IF($A1826="","",IF(ISNUMBER($A1826),IF(AND($A1826&gt;=10000101,$A1826&lt;=99991231),INT($A1826/10000),""),IFERROR(VALUE(TRIM(LEFT($A1826,FIND("/",$A1826)-1))),"")))</f>
        <v/>
      </c>
      <c r="C1826">
        <f>IF(OR($A1826="",$B1826=""),"",IF(ISNUMBER($A1826),INT(MOD($A1826,10000)/100),IFERROR(VALUE(TRIM(LEFT(MID($A1826,FIND("/",$A1826)+1,20),FIND("/",MID($A1826,FIND("/",$A1826)+1,20))-1))),"")))</f>
        <v/>
      </c>
      <c r="D1826">
        <f>IF(OR($A1826="",$B1826=""),"",IF(ISNUMBER($A1826),MOD($A1826,100),IFERROR(VALUE(TRIM(MID(MID($A1826,FIND("/",$A1826)+1,20),FIND("/",MID($A1826,FIND("/",$A1826)+1,20))+1,20))),"")))</f>
        <v/>
      </c>
      <c r="E1826">
        <f>IF($A1826="","",IF(OR($B1826="",$C1826="",$D1826="",$B1826&lt;1300,$B1826&gt;1500,$C1826&lt;1,$C1826&gt;12,$D1826&lt;1,$D1826&gt;31),"نامعتبر",RIGHT("0000"&amp;$B1826,4)&amp;"/"&amp;RIGHT("00"&amp;$C1826,2)&amp;"/"&amp;RIGHT("00"&amp;$D1826,2)))</f>
        <v/>
      </c>
      <c r="F1826">
        <f>IF(OR($E1826="",$E1826="نامعتبر"),"",LEFT($E1826,4)&amp;"/"&amp;MID($E1826,6,2))</f>
        <v/>
      </c>
      <c r="G1826">
        <f>IF(OR($E1826="",$E1826="نامعتبر",Sync!$Y1823=""),"",Sync!$Y1823)</f>
        <v/>
      </c>
      <c r="H1826">
        <f>IF($G1826="","",IF(Sync!$X1823="","",Sync!$X1823))</f>
        <v/>
      </c>
      <c r="I1826">
        <f>IF($G1826="","",IFERROR(VLOOKUP(Sync!$X1823,OpTbl,3,0),""))</f>
        <v/>
      </c>
      <c r="J1826">
        <f>IF(OR($G1826="",Sync!$Z1823=""),"",Sync!$Z1823)</f>
        <v/>
      </c>
      <c r="K1826">
        <f>IF(OR($G1826="",Sync!$AA1823=""),"",Sync!$AA1823)</f>
        <v/>
      </c>
      <c r="L1826">
        <f>IF($G1826="",0,IF(Sync!$AB1823="",0,Sync!$AB1823))</f>
        <v/>
      </c>
      <c r="M1826">
        <f>IF($G1826="",0,IF(Sync!$AC1823="",0,Sync!$AC1823))</f>
        <v/>
      </c>
      <c r="N1826">
        <f>IF($G1826="","",IF($H1826="مرجوعی خرید",-1,1)*($L1826-$M1826*IFERROR(VLOOKUP("P01",ParamTbl,3,0),1.5))*(1-IF($I1826="خرید",IFERROR(VLOOKUP("P02",ParamTbl,3,0),1),0)/100))</f>
        <v/>
      </c>
      <c r="O1826">
        <f>IF($G1826="",0,IF($H1826="مرجوعی خرید",-1,1)*IF(Sync!$AD1823="",0,Sync!$AD1823))</f>
        <v/>
      </c>
      <c r="P1826">
        <f>IF(OR($G1826="",Sync!$W1823=""),"",Sync!$W1823)</f>
        <v/>
      </c>
      <c r="Q1826">
        <f>IF(OR($G1826="",Sync!$AE1823=""),"",Sync!$AE1823)</f>
        <v/>
      </c>
      <c r="R1826">
        <f>IF($G1826="","",IF(Sync!$V1823="","0000",IF(AND(ISNUMBER(Sync!$V1823),Sync!$V1823&gt;=0,Sync!$V1823&lt;1),RIGHT("00"&amp;HOUR(Sync!$V1823),2)&amp;RIGHT("00"&amp;MINUTE(Sync!$V1823),2),IFERROR(RIGHT("00"&amp;VALUE(LEFT(Sync!$V1823,FIND(":",Sync!$V1823)-1)),2)&amp;RIGHT("00"&amp;VALUE(MID(Sync!$V1823,FIND(":",Sync!$V1823)+1,2)),2),"0000"))))</f>
        <v/>
      </c>
    </row>
    <row r="1827">
      <c r="A1827">
        <f>IF(Sync!$U1824="","",Sync!$U1824)</f>
        <v/>
      </c>
      <c r="B1827">
        <f>IF($A1827="","",IF(ISNUMBER($A1827),IF(AND($A1827&gt;=10000101,$A1827&lt;=99991231),INT($A1827/10000),""),IFERROR(VALUE(TRIM(LEFT($A1827,FIND("/",$A1827)-1))),"")))</f>
        <v/>
      </c>
      <c r="C1827">
        <f>IF(OR($A1827="",$B1827=""),"",IF(ISNUMBER($A1827),INT(MOD($A1827,10000)/100),IFERROR(VALUE(TRIM(LEFT(MID($A1827,FIND("/",$A1827)+1,20),FIND("/",MID($A1827,FIND("/",$A1827)+1,20))-1))),"")))</f>
        <v/>
      </c>
      <c r="D1827">
        <f>IF(OR($A1827="",$B1827=""),"",IF(ISNUMBER($A1827),MOD($A1827,100),IFERROR(VALUE(TRIM(MID(MID($A1827,FIND("/",$A1827)+1,20),FIND("/",MID($A1827,FIND("/",$A1827)+1,20))+1,20))),"")))</f>
        <v/>
      </c>
      <c r="E1827">
        <f>IF($A1827="","",IF(OR($B1827="",$C1827="",$D1827="",$B1827&lt;1300,$B1827&gt;1500,$C1827&lt;1,$C1827&gt;12,$D1827&lt;1,$D1827&gt;31),"نامعتبر",RIGHT("0000"&amp;$B1827,4)&amp;"/"&amp;RIGHT("00"&amp;$C1827,2)&amp;"/"&amp;RIGHT("00"&amp;$D1827,2)))</f>
        <v/>
      </c>
      <c r="F1827">
        <f>IF(OR($E1827="",$E1827="نامعتبر"),"",LEFT($E1827,4)&amp;"/"&amp;MID($E1827,6,2))</f>
        <v/>
      </c>
      <c r="G1827">
        <f>IF(OR($E1827="",$E1827="نامعتبر",Sync!$Y1824=""),"",Sync!$Y1824)</f>
        <v/>
      </c>
      <c r="H1827">
        <f>IF($G1827="","",IF(Sync!$X1824="","",Sync!$X1824))</f>
        <v/>
      </c>
      <c r="I1827">
        <f>IF($G1827="","",IFERROR(VLOOKUP(Sync!$X1824,OpTbl,3,0),""))</f>
        <v/>
      </c>
      <c r="J1827">
        <f>IF(OR($G1827="",Sync!$Z1824=""),"",Sync!$Z1824)</f>
        <v/>
      </c>
      <c r="K1827">
        <f>IF(OR($G1827="",Sync!$AA1824=""),"",Sync!$AA1824)</f>
        <v/>
      </c>
      <c r="L1827">
        <f>IF($G1827="",0,IF(Sync!$AB1824="",0,Sync!$AB1824))</f>
        <v/>
      </c>
      <c r="M1827">
        <f>IF($G1827="",0,IF(Sync!$AC1824="",0,Sync!$AC1824))</f>
        <v/>
      </c>
      <c r="N1827">
        <f>IF($G1827="","",IF($H1827="مرجوعی خرید",-1,1)*($L1827-$M1827*IFERROR(VLOOKUP("P01",ParamTbl,3,0),1.5))*(1-IF($I1827="خرید",IFERROR(VLOOKUP("P02",ParamTbl,3,0),1),0)/100))</f>
        <v/>
      </c>
      <c r="O1827">
        <f>IF($G1827="",0,IF($H1827="مرجوعی خرید",-1,1)*IF(Sync!$AD1824="",0,Sync!$AD1824))</f>
        <v/>
      </c>
      <c r="P1827">
        <f>IF(OR($G1827="",Sync!$W1824=""),"",Sync!$W1824)</f>
        <v/>
      </c>
      <c r="Q1827">
        <f>IF(OR($G1827="",Sync!$AE1824=""),"",Sync!$AE1824)</f>
        <v/>
      </c>
      <c r="R1827">
        <f>IF($G1827="","",IF(Sync!$V1824="","0000",IF(AND(ISNUMBER(Sync!$V1824),Sync!$V1824&gt;=0,Sync!$V1824&lt;1),RIGHT("00"&amp;HOUR(Sync!$V1824),2)&amp;RIGHT("00"&amp;MINUTE(Sync!$V1824),2),IFERROR(RIGHT("00"&amp;VALUE(LEFT(Sync!$V1824,FIND(":",Sync!$V1824)-1)),2)&amp;RIGHT("00"&amp;VALUE(MID(Sync!$V1824,FIND(":",Sync!$V1824)+1,2)),2),"0000"))))</f>
        <v/>
      </c>
    </row>
    <row r="1828">
      <c r="A1828">
        <f>IF(Sync!$U1825="","",Sync!$U1825)</f>
        <v/>
      </c>
      <c r="B1828">
        <f>IF($A1828="","",IF(ISNUMBER($A1828),IF(AND($A1828&gt;=10000101,$A1828&lt;=99991231),INT($A1828/10000),""),IFERROR(VALUE(TRIM(LEFT($A1828,FIND("/",$A1828)-1))),"")))</f>
        <v/>
      </c>
      <c r="C1828">
        <f>IF(OR($A1828="",$B1828=""),"",IF(ISNUMBER($A1828),INT(MOD($A1828,10000)/100),IFERROR(VALUE(TRIM(LEFT(MID($A1828,FIND("/",$A1828)+1,20),FIND("/",MID($A1828,FIND("/",$A1828)+1,20))-1))),"")))</f>
        <v/>
      </c>
      <c r="D1828">
        <f>IF(OR($A1828="",$B1828=""),"",IF(ISNUMBER($A1828),MOD($A1828,100),IFERROR(VALUE(TRIM(MID(MID($A1828,FIND("/",$A1828)+1,20),FIND("/",MID($A1828,FIND("/",$A1828)+1,20))+1,20))),"")))</f>
        <v/>
      </c>
      <c r="E1828">
        <f>IF($A1828="","",IF(OR($B1828="",$C1828="",$D1828="",$B1828&lt;1300,$B1828&gt;1500,$C1828&lt;1,$C1828&gt;12,$D1828&lt;1,$D1828&gt;31),"نامعتبر",RIGHT("0000"&amp;$B1828,4)&amp;"/"&amp;RIGHT("00"&amp;$C1828,2)&amp;"/"&amp;RIGHT("00"&amp;$D1828,2)))</f>
        <v/>
      </c>
      <c r="F1828">
        <f>IF(OR($E1828="",$E1828="نامعتبر"),"",LEFT($E1828,4)&amp;"/"&amp;MID($E1828,6,2))</f>
        <v/>
      </c>
      <c r="G1828">
        <f>IF(OR($E1828="",$E1828="نامعتبر",Sync!$Y1825=""),"",Sync!$Y1825)</f>
        <v/>
      </c>
      <c r="H1828">
        <f>IF($G1828="","",IF(Sync!$X1825="","",Sync!$X1825))</f>
        <v/>
      </c>
      <c r="I1828">
        <f>IF($G1828="","",IFERROR(VLOOKUP(Sync!$X1825,OpTbl,3,0),""))</f>
        <v/>
      </c>
      <c r="J1828">
        <f>IF(OR($G1828="",Sync!$Z1825=""),"",Sync!$Z1825)</f>
        <v/>
      </c>
      <c r="K1828">
        <f>IF(OR($G1828="",Sync!$AA1825=""),"",Sync!$AA1825)</f>
        <v/>
      </c>
      <c r="L1828">
        <f>IF($G1828="",0,IF(Sync!$AB1825="",0,Sync!$AB1825))</f>
        <v/>
      </c>
      <c r="M1828">
        <f>IF($G1828="",0,IF(Sync!$AC1825="",0,Sync!$AC1825))</f>
        <v/>
      </c>
      <c r="N1828">
        <f>IF($G1828="","",IF($H1828="مرجوعی خرید",-1,1)*($L1828-$M1828*IFERROR(VLOOKUP("P01",ParamTbl,3,0),1.5))*(1-IF($I1828="خرید",IFERROR(VLOOKUP("P02",ParamTbl,3,0),1),0)/100))</f>
        <v/>
      </c>
      <c r="O1828">
        <f>IF($G1828="",0,IF($H1828="مرجوعی خرید",-1,1)*IF(Sync!$AD1825="",0,Sync!$AD1825))</f>
        <v/>
      </c>
      <c r="P1828">
        <f>IF(OR($G1828="",Sync!$W1825=""),"",Sync!$W1825)</f>
        <v/>
      </c>
      <c r="Q1828">
        <f>IF(OR($G1828="",Sync!$AE1825=""),"",Sync!$AE1825)</f>
        <v/>
      </c>
      <c r="R1828">
        <f>IF($G1828="","",IF(Sync!$V1825="","0000",IF(AND(ISNUMBER(Sync!$V1825),Sync!$V1825&gt;=0,Sync!$V1825&lt;1),RIGHT("00"&amp;HOUR(Sync!$V1825),2)&amp;RIGHT("00"&amp;MINUTE(Sync!$V1825),2),IFERROR(RIGHT("00"&amp;VALUE(LEFT(Sync!$V1825,FIND(":",Sync!$V1825)-1)),2)&amp;RIGHT("00"&amp;VALUE(MID(Sync!$V1825,FIND(":",Sync!$V1825)+1,2)),2),"0000"))))</f>
        <v/>
      </c>
    </row>
    <row r="1829">
      <c r="A1829">
        <f>IF(Sync!$U1826="","",Sync!$U1826)</f>
        <v/>
      </c>
      <c r="B1829">
        <f>IF($A1829="","",IF(ISNUMBER($A1829),IF(AND($A1829&gt;=10000101,$A1829&lt;=99991231),INT($A1829/10000),""),IFERROR(VALUE(TRIM(LEFT($A1829,FIND("/",$A1829)-1))),"")))</f>
        <v/>
      </c>
      <c r="C1829">
        <f>IF(OR($A1829="",$B1829=""),"",IF(ISNUMBER($A1829),INT(MOD($A1829,10000)/100),IFERROR(VALUE(TRIM(LEFT(MID($A1829,FIND("/",$A1829)+1,20),FIND("/",MID($A1829,FIND("/",$A1829)+1,20))-1))),"")))</f>
        <v/>
      </c>
      <c r="D1829">
        <f>IF(OR($A1829="",$B1829=""),"",IF(ISNUMBER($A1829),MOD($A1829,100),IFERROR(VALUE(TRIM(MID(MID($A1829,FIND("/",$A1829)+1,20),FIND("/",MID($A1829,FIND("/",$A1829)+1,20))+1,20))),"")))</f>
        <v/>
      </c>
      <c r="E1829">
        <f>IF($A1829="","",IF(OR($B1829="",$C1829="",$D1829="",$B1829&lt;1300,$B1829&gt;1500,$C1829&lt;1,$C1829&gt;12,$D1829&lt;1,$D1829&gt;31),"نامعتبر",RIGHT("0000"&amp;$B1829,4)&amp;"/"&amp;RIGHT("00"&amp;$C1829,2)&amp;"/"&amp;RIGHT("00"&amp;$D1829,2)))</f>
        <v/>
      </c>
      <c r="F1829">
        <f>IF(OR($E1829="",$E1829="نامعتبر"),"",LEFT($E1829,4)&amp;"/"&amp;MID($E1829,6,2))</f>
        <v/>
      </c>
      <c r="G1829">
        <f>IF(OR($E1829="",$E1829="نامعتبر",Sync!$Y1826=""),"",Sync!$Y1826)</f>
        <v/>
      </c>
      <c r="H1829">
        <f>IF($G1829="","",IF(Sync!$X1826="","",Sync!$X1826))</f>
        <v/>
      </c>
      <c r="I1829">
        <f>IF($G1829="","",IFERROR(VLOOKUP(Sync!$X1826,OpTbl,3,0),""))</f>
        <v/>
      </c>
      <c r="J1829">
        <f>IF(OR($G1829="",Sync!$Z1826=""),"",Sync!$Z1826)</f>
        <v/>
      </c>
      <c r="K1829">
        <f>IF(OR($G1829="",Sync!$AA1826=""),"",Sync!$AA1826)</f>
        <v/>
      </c>
      <c r="L1829">
        <f>IF($G1829="",0,IF(Sync!$AB1826="",0,Sync!$AB1826))</f>
        <v/>
      </c>
      <c r="M1829">
        <f>IF($G1829="",0,IF(Sync!$AC1826="",0,Sync!$AC1826))</f>
        <v/>
      </c>
      <c r="N1829">
        <f>IF($G1829="","",IF($H1829="مرجوعی خرید",-1,1)*($L1829-$M1829*IFERROR(VLOOKUP("P01",ParamTbl,3,0),1.5))*(1-IF($I1829="خرید",IFERROR(VLOOKUP("P02",ParamTbl,3,0),1),0)/100))</f>
        <v/>
      </c>
      <c r="O1829">
        <f>IF($G1829="",0,IF($H1829="مرجوعی خرید",-1,1)*IF(Sync!$AD1826="",0,Sync!$AD1826))</f>
        <v/>
      </c>
      <c r="P1829">
        <f>IF(OR($G1829="",Sync!$W1826=""),"",Sync!$W1826)</f>
        <v/>
      </c>
      <c r="Q1829">
        <f>IF(OR($G1829="",Sync!$AE1826=""),"",Sync!$AE1826)</f>
        <v/>
      </c>
      <c r="R1829">
        <f>IF($G1829="","",IF(Sync!$V1826="","0000",IF(AND(ISNUMBER(Sync!$V1826),Sync!$V1826&gt;=0,Sync!$V1826&lt;1),RIGHT("00"&amp;HOUR(Sync!$V1826),2)&amp;RIGHT("00"&amp;MINUTE(Sync!$V1826),2),IFERROR(RIGHT("00"&amp;VALUE(LEFT(Sync!$V1826,FIND(":",Sync!$V1826)-1)),2)&amp;RIGHT("00"&amp;VALUE(MID(Sync!$V1826,FIND(":",Sync!$V1826)+1,2)),2),"0000"))))</f>
        <v/>
      </c>
    </row>
    <row r="1830">
      <c r="A1830">
        <f>IF(Sync!$U1827="","",Sync!$U1827)</f>
        <v/>
      </c>
      <c r="B1830">
        <f>IF($A1830="","",IF(ISNUMBER($A1830),IF(AND($A1830&gt;=10000101,$A1830&lt;=99991231),INT($A1830/10000),""),IFERROR(VALUE(TRIM(LEFT($A1830,FIND("/",$A1830)-1))),"")))</f>
        <v/>
      </c>
      <c r="C1830">
        <f>IF(OR($A1830="",$B1830=""),"",IF(ISNUMBER($A1830),INT(MOD($A1830,10000)/100),IFERROR(VALUE(TRIM(LEFT(MID($A1830,FIND("/",$A1830)+1,20),FIND("/",MID($A1830,FIND("/",$A1830)+1,20))-1))),"")))</f>
        <v/>
      </c>
      <c r="D1830">
        <f>IF(OR($A1830="",$B1830=""),"",IF(ISNUMBER($A1830),MOD($A1830,100),IFERROR(VALUE(TRIM(MID(MID($A1830,FIND("/",$A1830)+1,20),FIND("/",MID($A1830,FIND("/",$A1830)+1,20))+1,20))),"")))</f>
        <v/>
      </c>
      <c r="E1830">
        <f>IF($A1830="","",IF(OR($B1830="",$C1830="",$D1830="",$B1830&lt;1300,$B1830&gt;1500,$C1830&lt;1,$C1830&gt;12,$D1830&lt;1,$D1830&gt;31),"نامعتبر",RIGHT("0000"&amp;$B1830,4)&amp;"/"&amp;RIGHT("00"&amp;$C1830,2)&amp;"/"&amp;RIGHT("00"&amp;$D1830,2)))</f>
        <v/>
      </c>
      <c r="F1830">
        <f>IF(OR($E1830="",$E1830="نامعتبر"),"",LEFT($E1830,4)&amp;"/"&amp;MID($E1830,6,2))</f>
        <v/>
      </c>
      <c r="G1830">
        <f>IF(OR($E1830="",$E1830="نامعتبر",Sync!$Y1827=""),"",Sync!$Y1827)</f>
        <v/>
      </c>
      <c r="H1830">
        <f>IF($G1830="","",IF(Sync!$X1827="","",Sync!$X1827))</f>
        <v/>
      </c>
      <c r="I1830">
        <f>IF($G1830="","",IFERROR(VLOOKUP(Sync!$X1827,OpTbl,3,0),""))</f>
        <v/>
      </c>
      <c r="J1830">
        <f>IF(OR($G1830="",Sync!$Z1827=""),"",Sync!$Z1827)</f>
        <v/>
      </c>
      <c r="K1830">
        <f>IF(OR($G1830="",Sync!$AA1827=""),"",Sync!$AA1827)</f>
        <v/>
      </c>
      <c r="L1830">
        <f>IF($G1830="",0,IF(Sync!$AB1827="",0,Sync!$AB1827))</f>
        <v/>
      </c>
      <c r="M1830">
        <f>IF($G1830="",0,IF(Sync!$AC1827="",0,Sync!$AC1827))</f>
        <v/>
      </c>
      <c r="N1830">
        <f>IF($G1830="","",IF($H1830="مرجوعی خرید",-1,1)*($L1830-$M1830*IFERROR(VLOOKUP("P01",ParamTbl,3,0),1.5))*(1-IF($I1830="خرید",IFERROR(VLOOKUP("P02",ParamTbl,3,0),1),0)/100))</f>
        <v/>
      </c>
      <c r="O1830">
        <f>IF($G1830="",0,IF($H1830="مرجوعی خرید",-1,1)*IF(Sync!$AD1827="",0,Sync!$AD1827))</f>
        <v/>
      </c>
      <c r="P1830">
        <f>IF(OR($G1830="",Sync!$W1827=""),"",Sync!$W1827)</f>
        <v/>
      </c>
      <c r="Q1830">
        <f>IF(OR($G1830="",Sync!$AE1827=""),"",Sync!$AE1827)</f>
        <v/>
      </c>
      <c r="R1830">
        <f>IF($G1830="","",IF(Sync!$V1827="","0000",IF(AND(ISNUMBER(Sync!$V1827),Sync!$V1827&gt;=0,Sync!$V1827&lt;1),RIGHT("00"&amp;HOUR(Sync!$V1827),2)&amp;RIGHT("00"&amp;MINUTE(Sync!$V1827),2),IFERROR(RIGHT("00"&amp;VALUE(LEFT(Sync!$V1827,FIND(":",Sync!$V1827)-1)),2)&amp;RIGHT("00"&amp;VALUE(MID(Sync!$V1827,FIND(":",Sync!$V1827)+1,2)),2),"0000"))))</f>
        <v/>
      </c>
    </row>
    <row r="1831">
      <c r="A1831">
        <f>IF(Sync!$U1828="","",Sync!$U1828)</f>
        <v/>
      </c>
      <c r="B1831">
        <f>IF($A1831="","",IF(ISNUMBER($A1831),IF(AND($A1831&gt;=10000101,$A1831&lt;=99991231),INT($A1831/10000),""),IFERROR(VALUE(TRIM(LEFT($A1831,FIND("/",$A1831)-1))),"")))</f>
        <v/>
      </c>
      <c r="C1831">
        <f>IF(OR($A1831="",$B1831=""),"",IF(ISNUMBER($A1831),INT(MOD($A1831,10000)/100),IFERROR(VALUE(TRIM(LEFT(MID($A1831,FIND("/",$A1831)+1,20),FIND("/",MID($A1831,FIND("/",$A1831)+1,20))-1))),"")))</f>
        <v/>
      </c>
      <c r="D1831">
        <f>IF(OR($A1831="",$B1831=""),"",IF(ISNUMBER($A1831),MOD($A1831,100),IFERROR(VALUE(TRIM(MID(MID($A1831,FIND("/",$A1831)+1,20),FIND("/",MID($A1831,FIND("/",$A1831)+1,20))+1,20))),"")))</f>
        <v/>
      </c>
      <c r="E1831">
        <f>IF($A1831="","",IF(OR($B1831="",$C1831="",$D1831="",$B1831&lt;1300,$B1831&gt;1500,$C1831&lt;1,$C1831&gt;12,$D1831&lt;1,$D1831&gt;31),"نامعتبر",RIGHT("0000"&amp;$B1831,4)&amp;"/"&amp;RIGHT("00"&amp;$C1831,2)&amp;"/"&amp;RIGHT("00"&amp;$D1831,2)))</f>
        <v/>
      </c>
      <c r="F1831">
        <f>IF(OR($E1831="",$E1831="نامعتبر"),"",LEFT($E1831,4)&amp;"/"&amp;MID($E1831,6,2))</f>
        <v/>
      </c>
      <c r="G1831">
        <f>IF(OR($E1831="",$E1831="نامعتبر",Sync!$Y1828=""),"",Sync!$Y1828)</f>
        <v/>
      </c>
      <c r="H1831">
        <f>IF($G1831="","",IF(Sync!$X1828="","",Sync!$X1828))</f>
        <v/>
      </c>
      <c r="I1831">
        <f>IF($G1831="","",IFERROR(VLOOKUP(Sync!$X1828,OpTbl,3,0),""))</f>
        <v/>
      </c>
      <c r="J1831">
        <f>IF(OR($G1831="",Sync!$Z1828=""),"",Sync!$Z1828)</f>
        <v/>
      </c>
      <c r="K1831">
        <f>IF(OR($G1831="",Sync!$AA1828=""),"",Sync!$AA1828)</f>
        <v/>
      </c>
      <c r="L1831">
        <f>IF($G1831="",0,IF(Sync!$AB1828="",0,Sync!$AB1828))</f>
        <v/>
      </c>
      <c r="M1831">
        <f>IF($G1831="",0,IF(Sync!$AC1828="",0,Sync!$AC1828))</f>
        <v/>
      </c>
      <c r="N1831">
        <f>IF($G1831="","",IF($H1831="مرجوعی خرید",-1,1)*($L1831-$M1831*IFERROR(VLOOKUP("P01",ParamTbl,3,0),1.5))*(1-IF($I1831="خرید",IFERROR(VLOOKUP("P02",ParamTbl,3,0),1),0)/100))</f>
        <v/>
      </c>
      <c r="O1831">
        <f>IF($G1831="",0,IF($H1831="مرجوعی خرید",-1,1)*IF(Sync!$AD1828="",0,Sync!$AD1828))</f>
        <v/>
      </c>
      <c r="P1831">
        <f>IF(OR($G1831="",Sync!$W1828=""),"",Sync!$W1828)</f>
        <v/>
      </c>
      <c r="Q1831">
        <f>IF(OR($G1831="",Sync!$AE1828=""),"",Sync!$AE1828)</f>
        <v/>
      </c>
      <c r="R1831">
        <f>IF($G1831="","",IF(Sync!$V1828="","0000",IF(AND(ISNUMBER(Sync!$V1828),Sync!$V1828&gt;=0,Sync!$V1828&lt;1),RIGHT("00"&amp;HOUR(Sync!$V1828),2)&amp;RIGHT("00"&amp;MINUTE(Sync!$V1828),2),IFERROR(RIGHT("00"&amp;VALUE(LEFT(Sync!$V1828,FIND(":",Sync!$V1828)-1)),2)&amp;RIGHT("00"&amp;VALUE(MID(Sync!$V1828,FIND(":",Sync!$V1828)+1,2)),2),"0000"))))</f>
        <v/>
      </c>
    </row>
    <row r="1832">
      <c r="A1832">
        <f>IF(Sync!$U1829="","",Sync!$U1829)</f>
        <v/>
      </c>
      <c r="B1832">
        <f>IF($A1832="","",IF(ISNUMBER($A1832),IF(AND($A1832&gt;=10000101,$A1832&lt;=99991231),INT($A1832/10000),""),IFERROR(VALUE(TRIM(LEFT($A1832,FIND("/",$A1832)-1))),"")))</f>
        <v/>
      </c>
      <c r="C1832">
        <f>IF(OR($A1832="",$B1832=""),"",IF(ISNUMBER($A1832),INT(MOD($A1832,10000)/100),IFERROR(VALUE(TRIM(LEFT(MID($A1832,FIND("/",$A1832)+1,20),FIND("/",MID($A1832,FIND("/",$A1832)+1,20))-1))),"")))</f>
        <v/>
      </c>
      <c r="D1832">
        <f>IF(OR($A1832="",$B1832=""),"",IF(ISNUMBER($A1832),MOD($A1832,100),IFERROR(VALUE(TRIM(MID(MID($A1832,FIND("/",$A1832)+1,20),FIND("/",MID($A1832,FIND("/",$A1832)+1,20))+1,20))),"")))</f>
        <v/>
      </c>
      <c r="E1832">
        <f>IF($A1832="","",IF(OR($B1832="",$C1832="",$D1832="",$B1832&lt;1300,$B1832&gt;1500,$C1832&lt;1,$C1832&gt;12,$D1832&lt;1,$D1832&gt;31),"نامعتبر",RIGHT("0000"&amp;$B1832,4)&amp;"/"&amp;RIGHT("00"&amp;$C1832,2)&amp;"/"&amp;RIGHT("00"&amp;$D1832,2)))</f>
        <v/>
      </c>
      <c r="F1832">
        <f>IF(OR($E1832="",$E1832="نامعتبر"),"",LEFT($E1832,4)&amp;"/"&amp;MID($E1832,6,2))</f>
        <v/>
      </c>
      <c r="G1832">
        <f>IF(OR($E1832="",$E1832="نامعتبر",Sync!$Y1829=""),"",Sync!$Y1829)</f>
        <v/>
      </c>
      <c r="H1832">
        <f>IF($G1832="","",IF(Sync!$X1829="","",Sync!$X1829))</f>
        <v/>
      </c>
      <c r="I1832">
        <f>IF($G1832="","",IFERROR(VLOOKUP(Sync!$X1829,OpTbl,3,0),""))</f>
        <v/>
      </c>
      <c r="J1832">
        <f>IF(OR($G1832="",Sync!$Z1829=""),"",Sync!$Z1829)</f>
        <v/>
      </c>
      <c r="K1832">
        <f>IF(OR($G1832="",Sync!$AA1829=""),"",Sync!$AA1829)</f>
        <v/>
      </c>
      <c r="L1832">
        <f>IF($G1832="",0,IF(Sync!$AB1829="",0,Sync!$AB1829))</f>
        <v/>
      </c>
      <c r="M1832">
        <f>IF($G1832="",0,IF(Sync!$AC1829="",0,Sync!$AC1829))</f>
        <v/>
      </c>
      <c r="N1832">
        <f>IF($G1832="","",IF($H1832="مرجوعی خرید",-1,1)*($L1832-$M1832*IFERROR(VLOOKUP("P01",ParamTbl,3,0),1.5))*(1-IF($I1832="خرید",IFERROR(VLOOKUP("P02",ParamTbl,3,0),1),0)/100))</f>
        <v/>
      </c>
      <c r="O1832">
        <f>IF($G1832="",0,IF($H1832="مرجوعی خرید",-1,1)*IF(Sync!$AD1829="",0,Sync!$AD1829))</f>
        <v/>
      </c>
      <c r="P1832">
        <f>IF(OR($G1832="",Sync!$W1829=""),"",Sync!$W1829)</f>
        <v/>
      </c>
      <c r="Q1832">
        <f>IF(OR($G1832="",Sync!$AE1829=""),"",Sync!$AE1829)</f>
        <v/>
      </c>
      <c r="R1832">
        <f>IF($G1832="","",IF(Sync!$V1829="","0000",IF(AND(ISNUMBER(Sync!$V1829),Sync!$V1829&gt;=0,Sync!$V1829&lt;1),RIGHT("00"&amp;HOUR(Sync!$V1829),2)&amp;RIGHT("00"&amp;MINUTE(Sync!$V1829),2),IFERROR(RIGHT("00"&amp;VALUE(LEFT(Sync!$V1829,FIND(":",Sync!$V1829)-1)),2)&amp;RIGHT("00"&amp;VALUE(MID(Sync!$V1829,FIND(":",Sync!$V1829)+1,2)),2),"0000"))))</f>
        <v/>
      </c>
    </row>
    <row r="1833">
      <c r="A1833">
        <f>IF(Sync!$U1830="","",Sync!$U1830)</f>
        <v/>
      </c>
      <c r="B1833">
        <f>IF($A1833="","",IF(ISNUMBER($A1833),IF(AND($A1833&gt;=10000101,$A1833&lt;=99991231),INT($A1833/10000),""),IFERROR(VALUE(TRIM(LEFT($A1833,FIND("/",$A1833)-1))),"")))</f>
        <v/>
      </c>
      <c r="C1833">
        <f>IF(OR($A1833="",$B1833=""),"",IF(ISNUMBER($A1833),INT(MOD($A1833,10000)/100),IFERROR(VALUE(TRIM(LEFT(MID($A1833,FIND("/",$A1833)+1,20),FIND("/",MID($A1833,FIND("/",$A1833)+1,20))-1))),"")))</f>
        <v/>
      </c>
      <c r="D1833">
        <f>IF(OR($A1833="",$B1833=""),"",IF(ISNUMBER($A1833),MOD($A1833,100),IFERROR(VALUE(TRIM(MID(MID($A1833,FIND("/",$A1833)+1,20),FIND("/",MID($A1833,FIND("/",$A1833)+1,20))+1,20))),"")))</f>
        <v/>
      </c>
      <c r="E1833">
        <f>IF($A1833="","",IF(OR($B1833="",$C1833="",$D1833="",$B1833&lt;1300,$B1833&gt;1500,$C1833&lt;1,$C1833&gt;12,$D1833&lt;1,$D1833&gt;31),"نامعتبر",RIGHT("0000"&amp;$B1833,4)&amp;"/"&amp;RIGHT("00"&amp;$C1833,2)&amp;"/"&amp;RIGHT("00"&amp;$D1833,2)))</f>
        <v/>
      </c>
      <c r="F1833">
        <f>IF(OR($E1833="",$E1833="نامعتبر"),"",LEFT($E1833,4)&amp;"/"&amp;MID($E1833,6,2))</f>
        <v/>
      </c>
      <c r="G1833">
        <f>IF(OR($E1833="",$E1833="نامعتبر",Sync!$Y1830=""),"",Sync!$Y1830)</f>
        <v/>
      </c>
      <c r="H1833">
        <f>IF($G1833="","",IF(Sync!$X1830="","",Sync!$X1830))</f>
        <v/>
      </c>
      <c r="I1833">
        <f>IF($G1833="","",IFERROR(VLOOKUP(Sync!$X1830,OpTbl,3,0),""))</f>
        <v/>
      </c>
      <c r="J1833">
        <f>IF(OR($G1833="",Sync!$Z1830=""),"",Sync!$Z1830)</f>
        <v/>
      </c>
      <c r="K1833">
        <f>IF(OR($G1833="",Sync!$AA1830=""),"",Sync!$AA1830)</f>
        <v/>
      </c>
      <c r="L1833">
        <f>IF($G1833="",0,IF(Sync!$AB1830="",0,Sync!$AB1830))</f>
        <v/>
      </c>
      <c r="M1833">
        <f>IF($G1833="",0,IF(Sync!$AC1830="",0,Sync!$AC1830))</f>
        <v/>
      </c>
      <c r="N1833">
        <f>IF($G1833="","",IF($H1833="مرجوعی خرید",-1,1)*($L1833-$M1833*IFERROR(VLOOKUP("P01",ParamTbl,3,0),1.5))*(1-IF($I1833="خرید",IFERROR(VLOOKUP("P02",ParamTbl,3,0),1),0)/100))</f>
        <v/>
      </c>
      <c r="O1833">
        <f>IF($G1833="",0,IF($H1833="مرجوعی خرید",-1,1)*IF(Sync!$AD1830="",0,Sync!$AD1830))</f>
        <v/>
      </c>
      <c r="P1833">
        <f>IF(OR($G1833="",Sync!$W1830=""),"",Sync!$W1830)</f>
        <v/>
      </c>
      <c r="Q1833">
        <f>IF(OR($G1833="",Sync!$AE1830=""),"",Sync!$AE1830)</f>
        <v/>
      </c>
      <c r="R1833">
        <f>IF($G1833="","",IF(Sync!$V1830="","0000",IF(AND(ISNUMBER(Sync!$V1830),Sync!$V1830&gt;=0,Sync!$V1830&lt;1),RIGHT("00"&amp;HOUR(Sync!$V1830),2)&amp;RIGHT("00"&amp;MINUTE(Sync!$V1830),2),IFERROR(RIGHT("00"&amp;VALUE(LEFT(Sync!$V1830,FIND(":",Sync!$V1830)-1)),2)&amp;RIGHT("00"&amp;VALUE(MID(Sync!$V1830,FIND(":",Sync!$V1830)+1,2)),2),"0000"))))</f>
        <v/>
      </c>
    </row>
    <row r="1834">
      <c r="A1834">
        <f>IF(Sync!$U1831="","",Sync!$U1831)</f>
        <v/>
      </c>
      <c r="B1834">
        <f>IF($A1834="","",IF(ISNUMBER($A1834),IF(AND($A1834&gt;=10000101,$A1834&lt;=99991231),INT($A1834/10000),""),IFERROR(VALUE(TRIM(LEFT($A1834,FIND("/",$A1834)-1))),"")))</f>
        <v/>
      </c>
      <c r="C1834">
        <f>IF(OR($A1834="",$B1834=""),"",IF(ISNUMBER($A1834),INT(MOD($A1834,10000)/100),IFERROR(VALUE(TRIM(LEFT(MID($A1834,FIND("/",$A1834)+1,20),FIND("/",MID($A1834,FIND("/",$A1834)+1,20))-1))),"")))</f>
        <v/>
      </c>
      <c r="D1834">
        <f>IF(OR($A1834="",$B1834=""),"",IF(ISNUMBER($A1834),MOD($A1834,100),IFERROR(VALUE(TRIM(MID(MID($A1834,FIND("/",$A1834)+1,20),FIND("/",MID($A1834,FIND("/",$A1834)+1,20))+1,20))),"")))</f>
        <v/>
      </c>
      <c r="E1834">
        <f>IF($A1834="","",IF(OR($B1834="",$C1834="",$D1834="",$B1834&lt;1300,$B1834&gt;1500,$C1834&lt;1,$C1834&gt;12,$D1834&lt;1,$D1834&gt;31),"نامعتبر",RIGHT("0000"&amp;$B1834,4)&amp;"/"&amp;RIGHT("00"&amp;$C1834,2)&amp;"/"&amp;RIGHT("00"&amp;$D1834,2)))</f>
        <v/>
      </c>
      <c r="F1834">
        <f>IF(OR($E1834="",$E1834="نامعتبر"),"",LEFT($E1834,4)&amp;"/"&amp;MID($E1834,6,2))</f>
        <v/>
      </c>
      <c r="G1834">
        <f>IF(OR($E1834="",$E1834="نامعتبر",Sync!$Y1831=""),"",Sync!$Y1831)</f>
        <v/>
      </c>
      <c r="H1834">
        <f>IF($G1834="","",IF(Sync!$X1831="","",Sync!$X1831))</f>
        <v/>
      </c>
      <c r="I1834">
        <f>IF($G1834="","",IFERROR(VLOOKUP(Sync!$X1831,OpTbl,3,0),""))</f>
        <v/>
      </c>
      <c r="J1834">
        <f>IF(OR($G1834="",Sync!$Z1831=""),"",Sync!$Z1831)</f>
        <v/>
      </c>
      <c r="K1834">
        <f>IF(OR($G1834="",Sync!$AA1831=""),"",Sync!$AA1831)</f>
        <v/>
      </c>
      <c r="L1834">
        <f>IF($G1834="",0,IF(Sync!$AB1831="",0,Sync!$AB1831))</f>
        <v/>
      </c>
      <c r="M1834">
        <f>IF($G1834="",0,IF(Sync!$AC1831="",0,Sync!$AC1831))</f>
        <v/>
      </c>
      <c r="N1834">
        <f>IF($G1834="","",IF($H1834="مرجوعی خرید",-1,1)*($L1834-$M1834*IFERROR(VLOOKUP("P01",ParamTbl,3,0),1.5))*(1-IF($I1834="خرید",IFERROR(VLOOKUP("P02",ParamTbl,3,0),1),0)/100))</f>
        <v/>
      </c>
      <c r="O1834">
        <f>IF($G1834="",0,IF($H1834="مرجوعی خرید",-1,1)*IF(Sync!$AD1831="",0,Sync!$AD1831))</f>
        <v/>
      </c>
      <c r="P1834">
        <f>IF(OR($G1834="",Sync!$W1831=""),"",Sync!$W1831)</f>
        <v/>
      </c>
      <c r="Q1834">
        <f>IF(OR($G1834="",Sync!$AE1831=""),"",Sync!$AE1831)</f>
        <v/>
      </c>
      <c r="R1834">
        <f>IF($G1834="","",IF(Sync!$V1831="","0000",IF(AND(ISNUMBER(Sync!$V1831),Sync!$V1831&gt;=0,Sync!$V1831&lt;1),RIGHT("00"&amp;HOUR(Sync!$V1831),2)&amp;RIGHT("00"&amp;MINUTE(Sync!$V1831),2),IFERROR(RIGHT("00"&amp;VALUE(LEFT(Sync!$V1831,FIND(":",Sync!$V1831)-1)),2)&amp;RIGHT("00"&amp;VALUE(MID(Sync!$V1831,FIND(":",Sync!$V1831)+1,2)),2),"0000"))))</f>
        <v/>
      </c>
    </row>
    <row r="1835">
      <c r="A1835">
        <f>IF(Sync!$U1832="","",Sync!$U1832)</f>
        <v/>
      </c>
      <c r="B1835">
        <f>IF($A1835="","",IF(ISNUMBER($A1835),IF(AND($A1835&gt;=10000101,$A1835&lt;=99991231),INT($A1835/10000),""),IFERROR(VALUE(TRIM(LEFT($A1835,FIND("/",$A1835)-1))),"")))</f>
        <v/>
      </c>
      <c r="C1835">
        <f>IF(OR($A1835="",$B1835=""),"",IF(ISNUMBER($A1835),INT(MOD($A1835,10000)/100),IFERROR(VALUE(TRIM(LEFT(MID($A1835,FIND("/",$A1835)+1,20),FIND("/",MID($A1835,FIND("/",$A1835)+1,20))-1))),"")))</f>
        <v/>
      </c>
      <c r="D1835">
        <f>IF(OR($A1835="",$B1835=""),"",IF(ISNUMBER($A1835),MOD($A1835,100),IFERROR(VALUE(TRIM(MID(MID($A1835,FIND("/",$A1835)+1,20),FIND("/",MID($A1835,FIND("/",$A1835)+1,20))+1,20))),"")))</f>
        <v/>
      </c>
      <c r="E1835">
        <f>IF($A1835="","",IF(OR($B1835="",$C1835="",$D1835="",$B1835&lt;1300,$B1835&gt;1500,$C1835&lt;1,$C1835&gt;12,$D1835&lt;1,$D1835&gt;31),"نامعتبر",RIGHT("0000"&amp;$B1835,4)&amp;"/"&amp;RIGHT("00"&amp;$C1835,2)&amp;"/"&amp;RIGHT("00"&amp;$D1835,2)))</f>
        <v/>
      </c>
      <c r="F1835">
        <f>IF(OR($E1835="",$E1835="نامعتبر"),"",LEFT($E1835,4)&amp;"/"&amp;MID($E1835,6,2))</f>
        <v/>
      </c>
      <c r="G1835">
        <f>IF(OR($E1835="",$E1835="نامعتبر",Sync!$Y1832=""),"",Sync!$Y1832)</f>
        <v/>
      </c>
      <c r="H1835">
        <f>IF($G1835="","",IF(Sync!$X1832="","",Sync!$X1832))</f>
        <v/>
      </c>
      <c r="I1835">
        <f>IF($G1835="","",IFERROR(VLOOKUP(Sync!$X1832,OpTbl,3,0),""))</f>
        <v/>
      </c>
      <c r="J1835">
        <f>IF(OR($G1835="",Sync!$Z1832=""),"",Sync!$Z1832)</f>
        <v/>
      </c>
      <c r="K1835">
        <f>IF(OR($G1835="",Sync!$AA1832=""),"",Sync!$AA1832)</f>
        <v/>
      </c>
      <c r="L1835">
        <f>IF($G1835="",0,IF(Sync!$AB1832="",0,Sync!$AB1832))</f>
        <v/>
      </c>
      <c r="M1835">
        <f>IF($G1835="",0,IF(Sync!$AC1832="",0,Sync!$AC1832))</f>
        <v/>
      </c>
      <c r="N1835">
        <f>IF($G1835="","",IF($H1835="مرجوعی خرید",-1,1)*($L1835-$M1835*IFERROR(VLOOKUP("P01",ParamTbl,3,0),1.5))*(1-IF($I1835="خرید",IFERROR(VLOOKUP("P02",ParamTbl,3,0),1),0)/100))</f>
        <v/>
      </c>
      <c r="O1835">
        <f>IF($G1835="",0,IF($H1835="مرجوعی خرید",-1,1)*IF(Sync!$AD1832="",0,Sync!$AD1832))</f>
        <v/>
      </c>
      <c r="P1835">
        <f>IF(OR($G1835="",Sync!$W1832=""),"",Sync!$W1832)</f>
        <v/>
      </c>
      <c r="Q1835">
        <f>IF(OR($G1835="",Sync!$AE1832=""),"",Sync!$AE1832)</f>
        <v/>
      </c>
      <c r="R1835">
        <f>IF($G1835="","",IF(Sync!$V1832="","0000",IF(AND(ISNUMBER(Sync!$V1832),Sync!$V1832&gt;=0,Sync!$V1832&lt;1),RIGHT("00"&amp;HOUR(Sync!$V1832),2)&amp;RIGHT("00"&amp;MINUTE(Sync!$V1832),2),IFERROR(RIGHT("00"&amp;VALUE(LEFT(Sync!$V1832,FIND(":",Sync!$V1832)-1)),2)&amp;RIGHT("00"&amp;VALUE(MID(Sync!$V1832,FIND(":",Sync!$V1832)+1,2)),2),"0000"))))</f>
        <v/>
      </c>
    </row>
    <row r="1836">
      <c r="A1836">
        <f>IF(Sync!$U1833="","",Sync!$U1833)</f>
        <v/>
      </c>
      <c r="B1836">
        <f>IF($A1836="","",IF(ISNUMBER($A1836),IF(AND($A1836&gt;=10000101,$A1836&lt;=99991231),INT($A1836/10000),""),IFERROR(VALUE(TRIM(LEFT($A1836,FIND("/",$A1836)-1))),"")))</f>
        <v/>
      </c>
      <c r="C1836">
        <f>IF(OR($A1836="",$B1836=""),"",IF(ISNUMBER($A1836),INT(MOD($A1836,10000)/100),IFERROR(VALUE(TRIM(LEFT(MID($A1836,FIND("/",$A1836)+1,20),FIND("/",MID($A1836,FIND("/",$A1836)+1,20))-1))),"")))</f>
        <v/>
      </c>
      <c r="D1836">
        <f>IF(OR($A1836="",$B1836=""),"",IF(ISNUMBER($A1836),MOD($A1836,100),IFERROR(VALUE(TRIM(MID(MID($A1836,FIND("/",$A1836)+1,20),FIND("/",MID($A1836,FIND("/",$A1836)+1,20))+1,20))),"")))</f>
        <v/>
      </c>
      <c r="E1836">
        <f>IF($A1836="","",IF(OR($B1836="",$C1836="",$D1836="",$B1836&lt;1300,$B1836&gt;1500,$C1836&lt;1,$C1836&gt;12,$D1836&lt;1,$D1836&gt;31),"نامعتبر",RIGHT("0000"&amp;$B1836,4)&amp;"/"&amp;RIGHT("00"&amp;$C1836,2)&amp;"/"&amp;RIGHT("00"&amp;$D1836,2)))</f>
        <v/>
      </c>
      <c r="F1836">
        <f>IF(OR($E1836="",$E1836="نامعتبر"),"",LEFT($E1836,4)&amp;"/"&amp;MID($E1836,6,2))</f>
        <v/>
      </c>
      <c r="G1836">
        <f>IF(OR($E1836="",$E1836="نامعتبر",Sync!$Y1833=""),"",Sync!$Y1833)</f>
        <v/>
      </c>
      <c r="H1836">
        <f>IF($G1836="","",IF(Sync!$X1833="","",Sync!$X1833))</f>
        <v/>
      </c>
      <c r="I1836">
        <f>IF($G1836="","",IFERROR(VLOOKUP(Sync!$X1833,OpTbl,3,0),""))</f>
        <v/>
      </c>
      <c r="J1836">
        <f>IF(OR($G1836="",Sync!$Z1833=""),"",Sync!$Z1833)</f>
        <v/>
      </c>
      <c r="K1836">
        <f>IF(OR($G1836="",Sync!$AA1833=""),"",Sync!$AA1833)</f>
        <v/>
      </c>
      <c r="L1836">
        <f>IF($G1836="",0,IF(Sync!$AB1833="",0,Sync!$AB1833))</f>
        <v/>
      </c>
      <c r="M1836">
        <f>IF($G1836="",0,IF(Sync!$AC1833="",0,Sync!$AC1833))</f>
        <v/>
      </c>
      <c r="N1836">
        <f>IF($G1836="","",IF($H1836="مرجوعی خرید",-1,1)*($L1836-$M1836*IFERROR(VLOOKUP("P01",ParamTbl,3,0),1.5))*(1-IF($I1836="خرید",IFERROR(VLOOKUP("P02",ParamTbl,3,0),1),0)/100))</f>
        <v/>
      </c>
      <c r="O1836">
        <f>IF($G1836="",0,IF($H1836="مرجوعی خرید",-1,1)*IF(Sync!$AD1833="",0,Sync!$AD1833))</f>
        <v/>
      </c>
      <c r="P1836">
        <f>IF(OR($G1836="",Sync!$W1833=""),"",Sync!$W1833)</f>
        <v/>
      </c>
      <c r="Q1836">
        <f>IF(OR($G1836="",Sync!$AE1833=""),"",Sync!$AE1833)</f>
        <v/>
      </c>
      <c r="R1836">
        <f>IF($G1836="","",IF(Sync!$V1833="","0000",IF(AND(ISNUMBER(Sync!$V1833),Sync!$V1833&gt;=0,Sync!$V1833&lt;1),RIGHT("00"&amp;HOUR(Sync!$V1833),2)&amp;RIGHT("00"&amp;MINUTE(Sync!$V1833),2),IFERROR(RIGHT("00"&amp;VALUE(LEFT(Sync!$V1833,FIND(":",Sync!$V1833)-1)),2)&amp;RIGHT("00"&amp;VALUE(MID(Sync!$V1833,FIND(":",Sync!$V1833)+1,2)),2),"0000"))))</f>
        <v/>
      </c>
    </row>
    <row r="1837">
      <c r="A1837">
        <f>IF(Sync!$U1834="","",Sync!$U1834)</f>
        <v/>
      </c>
      <c r="B1837">
        <f>IF($A1837="","",IF(ISNUMBER($A1837),IF(AND($A1837&gt;=10000101,$A1837&lt;=99991231),INT($A1837/10000),""),IFERROR(VALUE(TRIM(LEFT($A1837,FIND("/",$A1837)-1))),"")))</f>
        <v/>
      </c>
      <c r="C1837">
        <f>IF(OR($A1837="",$B1837=""),"",IF(ISNUMBER($A1837),INT(MOD($A1837,10000)/100),IFERROR(VALUE(TRIM(LEFT(MID($A1837,FIND("/",$A1837)+1,20),FIND("/",MID($A1837,FIND("/",$A1837)+1,20))-1))),"")))</f>
        <v/>
      </c>
      <c r="D1837">
        <f>IF(OR($A1837="",$B1837=""),"",IF(ISNUMBER($A1837),MOD($A1837,100),IFERROR(VALUE(TRIM(MID(MID($A1837,FIND("/",$A1837)+1,20),FIND("/",MID($A1837,FIND("/",$A1837)+1,20))+1,20))),"")))</f>
        <v/>
      </c>
      <c r="E1837">
        <f>IF($A1837="","",IF(OR($B1837="",$C1837="",$D1837="",$B1837&lt;1300,$B1837&gt;1500,$C1837&lt;1,$C1837&gt;12,$D1837&lt;1,$D1837&gt;31),"نامعتبر",RIGHT("0000"&amp;$B1837,4)&amp;"/"&amp;RIGHT("00"&amp;$C1837,2)&amp;"/"&amp;RIGHT("00"&amp;$D1837,2)))</f>
        <v/>
      </c>
      <c r="F1837">
        <f>IF(OR($E1837="",$E1837="نامعتبر"),"",LEFT($E1837,4)&amp;"/"&amp;MID($E1837,6,2))</f>
        <v/>
      </c>
      <c r="G1837">
        <f>IF(OR($E1837="",$E1837="نامعتبر",Sync!$Y1834=""),"",Sync!$Y1834)</f>
        <v/>
      </c>
      <c r="H1837">
        <f>IF($G1837="","",IF(Sync!$X1834="","",Sync!$X1834))</f>
        <v/>
      </c>
      <c r="I1837">
        <f>IF($G1837="","",IFERROR(VLOOKUP(Sync!$X1834,OpTbl,3,0),""))</f>
        <v/>
      </c>
      <c r="J1837">
        <f>IF(OR($G1837="",Sync!$Z1834=""),"",Sync!$Z1834)</f>
        <v/>
      </c>
      <c r="K1837">
        <f>IF(OR($G1837="",Sync!$AA1834=""),"",Sync!$AA1834)</f>
        <v/>
      </c>
      <c r="L1837">
        <f>IF($G1837="",0,IF(Sync!$AB1834="",0,Sync!$AB1834))</f>
        <v/>
      </c>
      <c r="M1837">
        <f>IF($G1837="",0,IF(Sync!$AC1834="",0,Sync!$AC1834))</f>
        <v/>
      </c>
      <c r="N1837">
        <f>IF($G1837="","",IF($H1837="مرجوعی خرید",-1,1)*($L1837-$M1837*IFERROR(VLOOKUP("P01",ParamTbl,3,0),1.5))*(1-IF($I1837="خرید",IFERROR(VLOOKUP("P02",ParamTbl,3,0),1),0)/100))</f>
        <v/>
      </c>
      <c r="O1837">
        <f>IF($G1837="",0,IF($H1837="مرجوعی خرید",-1,1)*IF(Sync!$AD1834="",0,Sync!$AD1834))</f>
        <v/>
      </c>
      <c r="P1837">
        <f>IF(OR($G1837="",Sync!$W1834=""),"",Sync!$W1834)</f>
        <v/>
      </c>
      <c r="Q1837">
        <f>IF(OR($G1837="",Sync!$AE1834=""),"",Sync!$AE1834)</f>
        <v/>
      </c>
      <c r="R1837">
        <f>IF($G1837="","",IF(Sync!$V1834="","0000",IF(AND(ISNUMBER(Sync!$V1834),Sync!$V1834&gt;=0,Sync!$V1834&lt;1),RIGHT("00"&amp;HOUR(Sync!$V1834),2)&amp;RIGHT("00"&amp;MINUTE(Sync!$V1834),2),IFERROR(RIGHT("00"&amp;VALUE(LEFT(Sync!$V1834,FIND(":",Sync!$V1834)-1)),2)&amp;RIGHT("00"&amp;VALUE(MID(Sync!$V1834,FIND(":",Sync!$V1834)+1,2)),2),"0000"))))</f>
        <v/>
      </c>
    </row>
    <row r="1838">
      <c r="A1838">
        <f>IF(Sync!$U1835="","",Sync!$U1835)</f>
        <v/>
      </c>
      <c r="B1838">
        <f>IF($A1838="","",IF(ISNUMBER($A1838),IF(AND($A1838&gt;=10000101,$A1838&lt;=99991231),INT($A1838/10000),""),IFERROR(VALUE(TRIM(LEFT($A1838,FIND("/",$A1838)-1))),"")))</f>
        <v/>
      </c>
      <c r="C1838">
        <f>IF(OR($A1838="",$B1838=""),"",IF(ISNUMBER($A1838),INT(MOD($A1838,10000)/100),IFERROR(VALUE(TRIM(LEFT(MID($A1838,FIND("/",$A1838)+1,20),FIND("/",MID($A1838,FIND("/",$A1838)+1,20))-1))),"")))</f>
        <v/>
      </c>
      <c r="D1838">
        <f>IF(OR($A1838="",$B1838=""),"",IF(ISNUMBER($A1838),MOD($A1838,100),IFERROR(VALUE(TRIM(MID(MID($A1838,FIND("/",$A1838)+1,20),FIND("/",MID($A1838,FIND("/",$A1838)+1,20))+1,20))),"")))</f>
        <v/>
      </c>
      <c r="E1838">
        <f>IF($A1838="","",IF(OR($B1838="",$C1838="",$D1838="",$B1838&lt;1300,$B1838&gt;1500,$C1838&lt;1,$C1838&gt;12,$D1838&lt;1,$D1838&gt;31),"نامعتبر",RIGHT("0000"&amp;$B1838,4)&amp;"/"&amp;RIGHT("00"&amp;$C1838,2)&amp;"/"&amp;RIGHT("00"&amp;$D1838,2)))</f>
        <v/>
      </c>
      <c r="F1838">
        <f>IF(OR($E1838="",$E1838="نامعتبر"),"",LEFT($E1838,4)&amp;"/"&amp;MID($E1838,6,2))</f>
        <v/>
      </c>
      <c r="G1838">
        <f>IF(OR($E1838="",$E1838="نامعتبر",Sync!$Y1835=""),"",Sync!$Y1835)</f>
        <v/>
      </c>
      <c r="H1838">
        <f>IF($G1838="","",IF(Sync!$X1835="","",Sync!$X1835))</f>
        <v/>
      </c>
      <c r="I1838">
        <f>IF($G1838="","",IFERROR(VLOOKUP(Sync!$X1835,OpTbl,3,0),""))</f>
        <v/>
      </c>
      <c r="J1838">
        <f>IF(OR($G1838="",Sync!$Z1835=""),"",Sync!$Z1835)</f>
        <v/>
      </c>
      <c r="K1838">
        <f>IF(OR($G1838="",Sync!$AA1835=""),"",Sync!$AA1835)</f>
        <v/>
      </c>
      <c r="L1838">
        <f>IF($G1838="",0,IF(Sync!$AB1835="",0,Sync!$AB1835))</f>
        <v/>
      </c>
      <c r="M1838">
        <f>IF($G1838="",0,IF(Sync!$AC1835="",0,Sync!$AC1835))</f>
        <v/>
      </c>
      <c r="N1838">
        <f>IF($G1838="","",IF($H1838="مرجوعی خرید",-1,1)*($L1838-$M1838*IFERROR(VLOOKUP("P01",ParamTbl,3,0),1.5))*(1-IF($I1838="خرید",IFERROR(VLOOKUP("P02",ParamTbl,3,0),1),0)/100))</f>
        <v/>
      </c>
      <c r="O1838">
        <f>IF($G1838="",0,IF($H1838="مرجوعی خرید",-1,1)*IF(Sync!$AD1835="",0,Sync!$AD1835))</f>
        <v/>
      </c>
      <c r="P1838">
        <f>IF(OR($G1838="",Sync!$W1835=""),"",Sync!$W1835)</f>
        <v/>
      </c>
      <c r="Q1838">
        <f>IF(OR($G1838="",Sync!$AE1835=""),"",Sync!$AE1835)</f>
        <v/>
      </c>
      <c r="R1838">
        <f>IF($G1838="","",IF(Sync!$V1835="","0000",IF(AND(ISNUMBER(Sync!$V1835),Sync!$V1835&gt;=0,Sync!$V1835&lt;1),RIGHT("00"&amp;HOUR(Sync!$V1835),2)&amp;RIGHT("00"&amp;MINUTE(Sync!$V1835),2),IFERROR(RIGHT("00"&amp;VALUE(LEFT(Sync!$V1835,FIND(":",Sync!$V1835)-1)),2)&amp;RIGHT("00"&amp;VALUE(MID(Sync!$V1835,FIND(":",Sync!$V1835)+1,2)),2),"0000"))))</f>
        <v/>
      </c>
    </row>
    <row r="1839">
      <c r="A1839">
        <f>IF(Sync!$U1836="","",Sync!$U1836)</f>
        <v/>
      </c>
      <c r="B1839">
        <f>IF($A1839="","",IF(ISNUMBER($A1839),IF(AND($A1839&gt;=10000101,$A1839&lt;=99991231),INT($A1839/10000),""),IFERROR(VALUE(TRIM(LEFT($A1839,FIND("/",$A1839)-1))),"")))</f>
        <v/>
      </c>
      <c r="C1839">
        <f>IF(OR($A1839="",$B1839=""),"",IF(ISNUMBER($A1839),INT(MOD($A1839,10000)/100),IFERROR(VALUE(TRIM(LEFT(MID($A1839,FIND("/",$A1839)+1,20),FIND("/",MID($A1839,FIND("/",$A1839)+1,20))-1))),"")))</f>
        <v/>
      </c>
      <c r="D1839">
        <f>IF(OR($A1839="",$B1839=""),"",IF(ISNUMBER($A1839),MOD($A1839,100),IFERROR(VALUE(TRIM(MID(MID($A1839,FIND("/",$A1839)+1,20),FIND("/",MID($A1839,FIND("/",$A1839)+1,20))+1,20))),"")))</f>
        <v/>
      </c>
      <c r="E1839">
        <f>IF($A1839="","",IF(OR($B1839="",$C1839="",$D1839="",$B1839&lt;1300,$B1839&gt;1500,$C1839&lt;1,$C1839&gt;12,$D1839&lt;1,$D1839&gt;31),"نامعتبر",RIGHT("0000"&amp;$B1839,4)&amp;"/"&amp;RIGHT("00"&amp;$C1839,2)&amp;"/"&amp;RIGHT("00"&amp;$D1839,2)))</f>
        <v/>
      </c>
      <c r="F1839">
        <f>IF(OR($E1839="",$E1839="نامعتبر"),"",LEFT($E1839,4)&amp;"/"&amp;MID($E1839,6,2))</f>
        <v/>
      </c>
      <c r="G1839">
        <f>IF(OR($E1839="",$E1839="نامعتبر",Sync!$Y1836=""),"",Sync!$Y1836)</f>
        <v/>
      </c>
      <c r="H1839">
        <f>IF($G1839="","",IF(Sync!$X1836="","",Sync!$X1836))</f>
        <v/>
      </c>
      <c r="I1839">
        <f>IF($G1839="","",IFERROR(VLOOKUP(Sync!$X1836,OpTbl,3,0),""))</f>
        <v/>
      </c>
      <c r="J1839">
        <f>IF(OR($G1839="",Sync!$Z1836=""),"",Sync!$Z1836)</f>
        <v/>
      </c>
      <c r="K1839">
        <f>IF(OR($G1839="",Sync!$AA1836=""),"",Sync!$AA1836)</f>
        <v/>
      </c>
      <c r="L1839">
        <f>IF($G1839="",0,IF(Sync!$AB1836="",0,Sync!$AB1836))</f>
        <v/>
      </c>
      <c r="M1839">
        <f>IF($G1839="",0,IF(Sync!$AC1836="",0,Sync!$AC1836))</f>
        <v/>
      </c>
      <c r="N1839">
        <f>IF($G1839="","",IF($H1839="مرجوعی خرید",-1,1)*($L1839-$M1839*IFERROR(VLOOKUP("P01",ParamTbl,3,0),1.5))*(1-IF($I1839="خرید",IFERROR(VLOOKUP("P02",ParamTbl,3,0),1),0)/100))</f>
        <v/>
      </c>
      <c r="O1839">
        <f>IF($G1839="",0,IF($H1839="مرجوعی خرید",-1,1)*IF(Sync!$AD1836="",0,Sync!$AD1836))</f>
        <v/>
      </c>
      <c r="P1839">
        <f>IF(OR($G1839="",Sync!$W1836=""),"",Sync!$W1836)</f>
        <v/>
      </c>
      <c r="Q1839">
        <f>IF(OR($G1839="",Sync!$AE1836=""),"",Sync!$AE1836)</f>
        <v/>
      </c>
      <c r="R1839">
        <f>IF($G1839="","",IF(Sync!$V1836="","0000",IF(AND(ISNUMBER(Sync!$V1836),Sync!$V1836&gt;=0,Sync!$V1836&lt;1),RIGHT("00"&amp;HOUR(Sync!$V1836),2)&amp;RIGHT("00"&amp;MINUTE(Sync!$V1836),2),IFERROR(RIGHT("00"&amp;VALUE(LEFT(Sync!$V1836,FIND(":",Sync!$V1836)-1)),2)&amp;RIGHT("00"&amp;VALUE(MID(Sync!$V1836,FIND(":",Sync!$V1836)+1,2)),2),"0000"))))</f>
        <v/>
      </c>
    </row>
    <row r="1840">
      <c r="A1840">
        <f>IF(Sync!$U1837="","",Sync!$U1837)</f>
        <v/>
      </c>
      <c r="B1840">
        <f>IF($A1840="","",IF(ISNUMBER($A1840),IF(AND($A1840&gt;=10000101,$A1840&lt;=99991231),INT($A1840/10000),""),IFERROR(VALUE(TRIM(LEFT($A1840,FIND("/",$A1840)-1))),"")))</f>
        <v/>
      </c>
      <c r="C1840">
        <f>IF(OR($A1840="",$B1840=""),"",IF(ISNUMBER($A1840),INT(MOD($A1840,10000)/100),IFERROR(VALUE(TRIM(LEFT(MID($A1840,FIND("/",$A1840)+1,20),FIND("/",MID($A1840,FIND("/",$A1840)+1,20))-1))),"")))</f>
        <v/>
      </c>
      <c r="D1840">
        <f>IF(OR($A1840="",$B1840=""),"",IF(ISNUMBER($A1840),MOD($A1840,100),IFERROR(VALUE(TRIM(MID(MID($A1840,FIND("/",$A1840)+1,20),FIND("/",MID($A1840,FIND("/",$A1840)+1,20))+1,20))),"")))</f>
        <v/>
      </c>
      <c r="E1840">
        <f>IF($A1840="","",IF(OR($B1840="",$C1840="",$D1840="",$B1840&lt;1300,$B1840&gt;1500,$C1840&lt;1,$C1840&gt;12,$D1840&lt;1,$D1840&gt;31),"نامعتبر",RIGHT("0000"&amp;$B1840,4)&amp;"/"&amp;RIGHT("00"&amp;$C1840,2)&amp;"/"&amp;RIGHT("00"&amp;$D1840,2)))</f>
        <v/>
      </c>
      <c r="F1840">
        <f>IF(OR($E1840="",$E1840="نامعتبر"),"",LEFT($E1840,4)&amp;"/"&amp;MID($E1840,6,2))</f>
        <v/>
      </c>
      <c r="G1840">
        <f>IF(OR($E1840="",$E1840="نامعتبر",Sync!$Y1837=""),"",Sync!$Y1837)</f>
        <v/>
      </c>
      <c r="H1840">
        <f>IF($G1840="","",IF(Sync!$X1837="","",Sync!$X1837))</f>
        <v/>
      </c>
      <c r="I1840">
        <f>IF($G1840="","",IFERROR(VLOOKUP(Sync!$X1837,OpTbl,3,0),""))</f>
        <v/>
      </c>
      <c r="J1840">
        <f>IF(OR($G1840="",Sync!$Z1837=""),"",Sync!$Z1837)</f>
        <v/>
      </c>
      <c r="K1840">
        <f>IF(OR($G1840="",Sync!$AA1837=""),"",Sync!$AA1837)</f>
        <v/>
      </c>
      <c r="L1840">
        <f>IF($G1840="",0,IF(Sync!$AB1837="",0,Sync!$AB1837))</f>
        <v/>
      </c>
      <c r="M1840">
        <f>IF($G1840="",0,IF(Sync!$AC1837="",0,Sync!$AC1837))</f>
        <v/>
      </c>
      <c r="N1840">
        <f>IF($G1840="","",IF($H1840="مرجوعی خرید",-1,1)*($L1840-$M1840*IFERROR(VLOOKUP("P01",ParamTbl,3,0),1.5))*(1-IF($I1840="خرید",IFERROR(VLOOKUP("P02",ParamTbl,3,0),1),0)/100))</f>
        <v/>
      </c>
      <c r="O1840">
        <f>IF($G1840="",0,IF($H1840="مرجوعی خرید",-1,1)*IF(Sync!$AD1837="",0,Sync!$AD1837))</f>
        <v/>
      </c>
      <c r="P1840">
        <f>IF(OR($G1840="",Sync!$W1837=""),"",Sync!$W1837)</f>
        <v/>
      </c>
      <c r="Q1840">
        <f>IF(OR($G1840="",Sync!$AE1837=""),"",Sync!$AE1837)</f>
        <v/>
      </c>
      <c r="R1840">
        <f>IF($G1840="","",IF(Sync!$V1837="","0000",IF(AND(ISNUMBER(Sync!$V1837),Sync!$V1837&gt;=0,Sync!$V1837&lt;1),RIGHT("00"&amp;HOUR(Sync!$V1837),2)&amp;RIGHT("00"&amp;MINUTE(Sync!$V1837),2),IFERROR(RIGHT("00"&amp;VALUE(LEFT(Sync!$V1837,FIND(":",Sync!$V1837)-1)),2)&amp;RIGHT("00"&amp;VALUE(MID(Sync!$V1837,FIND(":",Sync!$V1837)+1,2)),2),"0000"))))</f>
        <v/>
      </c>
    </row>
    <row r="1841">
      <c r="A1841">
        <f>IF(Sync!$U1838="","",Sync!$U1838)</f>
        <v/>
      </c>
      <c r="B1841">
        <f>IF($A1841="","",IF(ISNUMBER($A1841),IF(AND($A1841&gt;=10000101,$A1841&lt;=99991231),INT($A1841/10000),""),IFERROR(VALUE(TRIM(LEFT($A1841,FIND("/",$A1841)-1))),"")))</f>
        <v/>
      </c>
      <c r="C1841">
        <f>IF(OR($A1841="",$B1841=""),"",IF(ISNUMBER($A1841),INT(MOD($A1841,10000)/100),IFERROR(VALUE(TRIM(LEFT(MID($A1841,FIND("/",$A1841)+1,20),FIND("/",MID($A1841,FIND("/",$A1841)+1,20))-1))),"")))</f>
        <v/>
      </c>
      <c r="D1841">
        <f>IF(OR($A1841="",$B1841=""),"",IF(ISNUMBER($A1841),MOD($A1841,100),IFERROR(VALUE(TRIM(MID(MID($A1841,FIND("/",$A1841)+1,20),FIND("/",MID($A1841,FIND("/",$A1841)+1,20))+1,20))),"")))</f>
        <v/>
      </c>
      <c r="E1841">
        <f>IF($A1841="","",IF(OR($B1841="",$C1841="",$D1841="",$B1841&lt;1300,$B1841&gt;1500,$C1841&lt;1,$C1841&gt;12,$D1841&lt;1,$D1841&gt;31),"نامعتبر",RIGHT("0000"&amp;$B1841,4)&amp;"/"&amp;RIGHT("00"&amp;$C1841,2)&amp;"/"&amp;RIGHT("00"&amp;$D1841,2)))</f>
        <v/>
      </c>
      <c r="F1841">
        <f>IF(OR($E1841="",$E1841="نامعتبر"),"",LEFT($E1841,4)&amp;"/"&amp;MID($E1841,6,2))</f>
        <v/>
      </c>
      <c r="G1841">
        <f>IF(OR($E1841="",$E1841="نامعتبر",Sync!$Y1838=""),"",Sync!$Y1838)</f>
        <v/>
      </c>
      <c r="H1841">
        <f>IF($G1841="","",IF(Sync!$X1838="","",Sync!$X1838))</f>
        <v/>
      </c>
      <c r="I1841">
        <f>IF($G1841="","",IFERROR(VLOOKUP(Sync!$X1838,OpTbl,3,0),""))</f>
        <v/>
      </c>
      <c r="J1841">
        <f>IF(OR($G1841="",Sync!$Z1838=""),"",Sync!$Z1838)</f>
        <v/>
      </c>
      <c r="K1841">
        <f>IF(OR($G1841="",Sync!$AA1838=""),"",Sync!$AA1838)</f>
        <v/>
      </c>
      <c r="L1841">
        <f>IF($G1841="",0,IF(Sync!$AB1838="",0,Sync!$AB1838))</f>
        <v/>
      </c>
      <c r="M1841">
        <f>IF($G1841="",0,IF(Sync!$AC1838="",0,Sync!$AC1838))</f>
        <v/>
      </c>
      <c r="N1841">
        <f>IF($G1841="","",IF($H1841="مرجوعی خرید",-1,1)*($L1841-$M1841*IFERROR(VLOOKUP("P01",ParamTbl,3,0),1.5))*(1-IF($I1841="خرید",IFERROR(VLOOKUP("P02",ParamTbl,3,0),1),0)/100))</f>
        <v/>
      </c>
      <c r="O1841">
        <f>IF($G1841="",0,IF($H1841="مرجوعی خرید",-1,1)*IF(Sync!$AD1838="",0,Sync!$AD1838))</f>
        <v/>
      </c>
      <c r="P1841">
        <f>IF(OR($G1841="",Sync!$W1838=""),"",Sync!$W1838)</f>
        <v/>
      </c>
      <c r="Q1841">
        <f>IF(OR($G1841="",Sync!$AE1838=""),"",Sync!$AE1838)</f>
        <v/>
      </c>
      <c r="R1841">
        <f>IF($G1841="","",IF(Sync!$V1838="","0000",IF(AND(ISNUMBER(Sync!$V1838),Sync!$V1838&gt;=0,Sync!$V1838&lt;1),RIGHT("00"&amp;HOUR(Sync!$V1838),2)&amp;RIGHT("00"&amp;MINUTE(Sync!$V1838),2),IFERROR(RIGHT("00"&amp;VALUE(LEFT(Sync!$V1838,FIND(":",Sync!$V1838)-1)),2)&amp;RIGHT("00"&amp;VALUE(MID(Sync!$V1838,FIND(":",Sync!$V1838)+1,2)),2),"0000"))))</f>
        <v/>
      </c>
    </row>
    <row r="1842">
      <c r="A1842">
        <f>IF(Sync!$U1839="","",Sync!$U1839)</f>
        <v/>
      </c>
      <c r="B1842">
        <f>IF($A1842="","",IF(ISNUMBER($A1842),IF(AND($A1842&gt;=10000101,$A1842&lt;=99991231),INT($A1842/10000),""),IFERROR(VALUE(TRIM(LEFT($A1842,FIND("/",$A1842)-1))),"")))</f>
        <v/>
      </c>
      <c r="C1842">
        <f>IF(OR($A1842="",$B1842=""),"",IF(ISNUMBER($A1842),INT(MOD($A1842,10000)/100),IFERROR(VALUE(TRIM(LEFT(MID($A1842,FIND("/",$A1842)+1,20),FIND("/",MID($A1842,FIND("/",$A1842)+1,20))-1))),"")))</f>
        <v/>
      </c>
      <c r="D1842">
        <f>IF(OR($A1842="",$B1842=""),"",IF(ISNUMBER($A1842),MOD($A1842,100),IFERROR(VALUE(TRIM(MID(MID($A1842,FIND("/",$A1842)+1,20),FIND("/",MID($A1842,FIND("/",$A1842)+1,20))+1,20))),"")))</f>
        <v/>
      </c>
      <c r="E1842">
        <f>IF($A1842="","",IF(OR($B1842="",$C1842="",$D1842="",$B1842&lt;1300,$B1842&gt;1500,$C1842&lt;1,$C1842&gt;12,$D1842&lt;1,$D1842&gt;31),"نامعتبر",RIGHT("0000"&amp;$B1842,4)&amp;"/"&amp;RIGHT("00"&amp;$C1842,2)&amp;"/"&amp;RIGHT("00"&amp;$D1842,2)))</f>
        <v/>
      </c>
      <c r="F1842">
        <f>IF(OR($E1842="",$E1842="نامعتبر"),"",LEFT($E1842,4)&amp;"/"&amp;MID($E1842,6,2))</f>
        <v/>
      </c>
      <c r="G1842">
        <f>IF(OR($E1842="",$E1842="نامعتبر",Sync!$Y1839=""),"",Sync!$Y1839)</f>
        <v/>
      </c>
      <c r="H1842">
        <f>IF($G1842="","",IF(Sync!$X1839="","",Sync!$X1839))</f>
        <v/>
      </c>
      <c r="I1842">
        <f>IF($G1842="","",IFERROR(VLOOKUP(Sync!$X1839,OpTbl,3,0),""))</f>
        <v/>
      </c>
      <c r="J1842">
        <f>IF(OR($G1842="",Sync!$Z1839=""),"",Sync!$Z1839)</f>
        <v/>
      </c>
      <c r="K1842">
        <f>IF(OR($G1842="",Sync!$AA1839=""),"",Sync!$AA1839)</f>
        <v/>
      </c>
      <c r="L1842">
        <f>IF($G1842="",0,IF(Sync!$AB1839="",0,Sync!$AB1839))</f>
        <v/>
      </c>
      <c r="M1842">
        <f>IF($G1842="",0,IF(Sync!$AC1839="",0,Sync!$AC1839))</f>
        <v/>
      </c>
      <c r="N1842">
        <f>IF($G1842="","",IF($H1842="مرجوعی خرید",-1,1)*($L1842-$M1842*IFERROR(VLOOKUP("P01",ParamTbl,3,0),1.5))*(1-IF($I1842="خرید",IFERROR(VLOOKUP("P02",ParamTbl,3,0),1),0)/100))</f>
        <v/>
      </c>
      <c r="O1842">
        <f>IF($G1842="",0,IF($H1842="مرجوعی خرید",-1,1)*IF(Sync!$AD1839="",0,Sync!$AD1839))</f>
        <v/>
      </c>
      <c r="P1842">
        <f>IF(OR($G1842="",Sync!$W1839=""),"",Sync!$W1839)</f>
        <v/>
      </c>
      <c r="Q1842">
        <f>IF(OR($G1842="",Sync!$AE1839=""),"",Sync!$AE1839)</f>
        <v/>
      </c>
      <c r="R1842">
        <f>IF($G1842="","",IF(Sync!$V1839="","0000",IF(AND(ISNUMBER(Sync!$V1839),Sync!$V1839&gt;=0,Sync!$V1839&lt;1),RIGHT("00"&amp;HOUR(Sync!$V1839),2)&amp;RIGHT("00"&amp;MINUTE(Sync!$V1839),2),IFERROR(RIGHT("00"&amp;VALUE(LEFT(Sync!$V1839,FIND(":",Sync!$V1839)-1)),2)&amp;RIGHT("00"&amp;VALUE(MID(Sync!$V1839,FIND(":",Sync!$V1839)+1,2)),2),"0000"))))</f>
        <v/>
      </c>
    </row>
    <row r="1843">
      <c r="A1843">
        <f>IF(Sync!$U1840="","",Sync!$U1840)</f>
        <v/>
      </c>
      <c r="B1843">
        <f>IF($A1843="","",IF(ISNUMBER($A1843),IF(AND($A1843&gt;=10000101,$A1843&lt;=99991231),INT($A1843/10000),""),IFERROR(VALUE(TRIM(LEFT($A1843,FIND("/",$A1843)-1))),"")))</f>
        <v/>
      </c>
      <c r="C1843">
        <f>IF(OR($A1843="",$B1843=""),"",IF(ISNUMBER($A1843),INT(MOD($A1843,10000)/100),IFERROR(VALUE(TRIM(LEFT(MID($A1843,FIND("/",$A1843)+1,20),FIND("/",MID($A1843,FIND("/",$A1843)+1,20))-1))),"")))</f>
        <v/>
      </c>
      <c r="D1843">
        <f>IF(OR($A1843="",$B1843=""),"",IF(ISNUMBER($A1843),MOD($A1843,100),IFERROR(VALUE(TRIM(MID(MID($A1843,FIND("/",$A1843)+1,20),FIND("/",MID($A1843,FIND("/",$A1843)+1,20))+1,20))),"")))</f>
        <v/>
      </c>
      <c r="E1843">
        <f>IF($A1843="","",IF(OR($B1843="",$C1843="",$D1843="",$B1843&lt;1300,$B1843&gt;1500,$C1843&lt;1,$C1843&gt;12,$D1843&lt;1,$D1843&gt;31),"نامعتبر",RIGHT("0000"&amp;$B1843,4)&amp;"/"&amp;RIGHT("00"&amp;$C1843,2)&amp;"/"&amp;RIGHT("00"&amp;$D1843,2)))</f>
        <v/>
      </c>
      <c r="F1843">
        <f>IF(OR($E1843="",$E1843="نامعتبر"),"",LEFT($E1843,4)&amp;"/"&amp;MID($E1843,6,2))</f>
        <v/>
      </c>
      <c r="G1843">
        <f>IF(OR($E1843="",$E1843="نامعتبر",Sync!$Y1840=""),"",Sync!$Y1840)</f>
        <v/>
      </c>
      <c r="H1843">
        <f>IF($G1843="","",IF(Sync!$X1840="","",Sync!$X1840))</f>
        <v/>
      </c>
      <c r="I1843">
        <f>IF($G1843="","",IFERROR(VLOOKUP(Sync!$X1840,OpTbl,3,0),""))</f>
        <v/>
      </c>
      <c r="J1843">
        <f>IF(OR($G1843="",Sync!$Z1840=""),"",Sync!$Z1840)</f>
        <v/>
      </c>
      <c r="K1843">
        <f>IF(OR($G1843="",Sync!$AA1840=""),"",Sync!$AA1840)</f>
        <v/>
      </c>
      <c r="L1843">
        <f>IF($G1843="",0,IF(Sync!$AB1840="",0,Sync!$AB1840))</f>
        <v/>
      </c>
      <c r="M1843">
        <f>IF($G1843="",0,IF(Sync!$AC1840="",0,Sync!$AC1840))</f>
        <v/>
      </c>
      <c r="N1843">
        <f>IF($G1843="","",IF($H1843="مرجوعی خرید",-1,1)*($L1843-$M1843*IFERROR(VLOOKUP("P01",ParamTbl,3,0),1.5))*(1-IF($I1843="خرید",IFERROR(VLOOKUP("P02",ParamTbl,3,0),1),0)/100))</f>
        <v/>
      </c>
      <c r="O1843">
        <f>IF($G1843="",0,IF($H1843="مرجوعی خرید",-1,1)*IF(Sync!$AD1840="",0,Sync!$AD1840))</f>
        <v/>
      </c>
      <c r="P1843">
        <f>IF(OR($G1843="",Sync!$W1840=""),"",Sync!$W1840)</f>
        <v/>
      </c>
      <c r="Q1843">
        <f>IF(OR($G1843="",Sync!$AE1840=""),"",Sync!$AE1840)</f>
        <v/>
      </c>
      <c r="R1843">
        <f>IF($G1843="","",IF(Sync!$V1840="","0000",IF(AND(ISNUMBER(Sync!$V1840),Sync!$V1840&gt;=0,Sync!$V1840&lt;1),RIGHT("00"&amp;HOUR(Sync!$V1840),2)&amp;RIGHT("00"&amp;MINUTE(Sync!$V1840),2),IFERROR(RIGHT("00"&amp;VALUE(LEFT(Sync!$V1840,FIND(":",Sync!$V1840)-1)),2)&amp;RIGHT("00"&amp;VALUE(MID(Sync!$V1840,FIND(":",Sync!$V1840)+1,2)),2),"0000"))))</f>
        <v/>
      </c>
    </row>
    <row r="1844">
      <c r="A1844">
        <f>IF(Sync!$U1841="","",Sync!$U1841)</f>
        <v/>
      </c>
      <c r="B1844">
        <f>IF($A1844="","",IF(ISNUMBER($A1844),IF(AND($A1844&gt;=10000101,$A1844&lt;=99991231),INT($A1844/10000),""),IFERROR(VALUE(TRIM(LEFT($A1844,FIND("/",$A1844)-1))),"")))</f>
        <v/>
      </c>
      <c r="C1844">
        <f>IF(OR($A1844="",$B1844=""),"",IF(ISNUMBER($A1844),INT(MOD($A1844,10000)/100),IFERROR(VALUE(TRIM(LEFT(MID($A1844,FIND("/",$A1844)+1,20),FIND("/",MID($A1844,FIND("/",$A1844)+1,20))-1))),"")))</f>
        <v/>
      </c>
      <c r="D1844">
        <f>IF(OR($A1844="",$B1844=""),"",IF(ISNUMBER($A1844),MOD($A1844,100),IFERROR(VALUE(TRIM(MID(MID($A1844,FIND("/",$A1844)+1,20),FIND("/",MID($A1844,FIND("/",$A1844)+1,20))+1,20))),"")))</f>
        <v/>
      </c>
      <c r="E1844">
        <f>IF($A1844="","",IF(OR($B1844="",$C1844="",$D1844="",$B1844&lt;1300,$B1844&gt;1500,$C1844&lt;1,$C1844&gt;12,$D1844&lt;1,$D1844&gt;31),"نامعتبر",RIGHT("0000"&amp;$B1844,4)&amp;"/"&amp;RIGHT("00"&amp;$C1844,2)&amp;"/"&amp;RIGHT("00"&amp;$D1844,2)))</f>
        <v/>
      </c>
      <c r="F1844">
        <f>IF(OR($E1844="",$E1844="نامعتبر"),"",LEFT($E1844,4)&amp;"/"&amp;MID($E1844,6,2))</f>
        <v/>
      </c>
      <c r="G1844">
        <f>IF(OR($E1844="",$E1844="نامعتبر",Sync!$Y1841=""),"",Sync!$Y1841)</f>
        <v/>
      </c>
      <c r="H1844">
        <f>IF($G1844="","",IF(Sync!$X1841="","",Sync!$X1841))</f>
        <v/>
      </c>
      <c r="I1844">
        <f>IF($G1844="","",IFERROR(VLOOKUP(Sync!$X1841,OpTbl,3,0),""))</f>
        <v/>
      </c>
      <c r="J1844">
        <f>IF(OR($G1844="",Sync!$Z1841=""),"",Sync!$Z1841)</f>
        <v/>
      </c>
      <c r="K1844">
        <f>IF(OR($G1844="",Sync!$AA1841=""),"",Sync!$AA1841)</f>
        <v/>
      </c>
      <c r="L1844">
        <f>IF($G1844="",0,IF(Sync!$AB1841="",0,Sync!$AB1841))</f>
        <v/>
      </c>
      <c r="M1844">
        <f>IF($G1844="",0,IF(Sync!$AC1841="",0,Sync!$AC1841))</f>
        <v/>
      </c>
      <c r="N1844">
        <f>IF($G1844="","",IF($H1844="مرجوعی خرید",-1,1)*($L1844-$M1844*IFERROR(VLOOKUP("P01",ParamTbl,3,0),1.5))*(1-IF($I1844="خرید",IFERROR(VLOOKUP("P02",ParamTbl,3,0),1),0)/100))</f>
        <v/>
      </c>
      <c r="O1844">
        <f>IF($G1844="",0,IF($H1844="مرجوعی خرید",-1,1)*IF(Sync!$AD1841="",0,Sync!$AD1841))</f>
        <v/>
      </c>
      <c r="P1844">
        <f>IF(OR($G1844="",Sync!$W1841=""),"",Sync!$W1841)</f>
        <v/>
      </c>
      <c r="Q1844">
        <f>IF(OR($G1844="",Sync!$AE1841=""),"",Sync!$AE1841)</f>
        <v/>
      </c>
      <c r="R1844">
        <f>IF($G1844="","",IF(Sync!$V1841="","0000",IF(AND(ISNUMBER(Sync!$V1841),Sync!$V1841&gt;=0,Sync!$V1841&lt;1),RIGHT("00"&amp;HOUR(Sync!$V1841),2)&amp;RIGHT("00"&amp;MINUTE(Sync!$V1841),2),IFERROR(RIGHT("00"&amp;VALUE(LEFT(Sync!$V1841,FIND(":",Sync!$V1841)-1)),2)&amp;RIGHT("00"&amp;VALUE(MID(Sync!$V1841,FIND(":",Sync!$V1841)+1,2)),2),"0000"))))</f>
        <v/>
      </c>
    </row>
    <row r="1845">
      <c r="A1845">
        <f>IF(Sync!$U1842="","",Sync!$U1842)</f>
        <v/>
      </c>
      <c r="B1845">
        <f>IF($A1845="","",IF(ISNUMBER($A1845),IF(AND($A1845&gt;=10000101,$A1845&lt;=99991231),INT($A1845/10000),""),IFERROR(VALUE(TRIM(LEFT($A1845,FIND("/",$A1845)-1))),"")))</f>
        <v/>
      </c>
      <c r="C1845">
        <f>IF(OR($A1845="",$B1845=""),"",IF(ISNUMBER($A1845),INT(MOD($A1845,10000)/100),IFERROR(VALUE(TRIM(LEFT(MID($A1845,FIND("/",$A1845)+1,20),FIND("/",MID($A1845,FIND("/",$A1845)+1,20))-1))),"")))</f>
        <v/>
      </c>
      <c r="D1845">
        <f>IF(OR($A1845="",$B1845=""),"",IF(ISNUMBER($A1845),MOD($A1845,100),IFERROR(VALUE(TRIM(MID(MID($A1845,FIND("/",$A1845)+1,20),FIND("/",MID($A1845,FIND("/",$A1845)+1,20))+1,20))),"")))</f>
        <v/>
      </c>
      <c r="E1845">
        <f>IF($A1845="","",IF(OR($B1845="",$C1845="",$D1845="",$B1845&lt;1300,$B1845&gt;1500,$C1845&lt;1,$C1845&gt;12,$D1845&lt;1,$D1845&gt;31),"نامعتبر",RIGHT("0000"&amp;$B1845,4)&amp;"/"&amp;RIGHT("00"&amp;$C1845,2)&amp;"/"&amp;RIGHT("00"&amp;$D1845,2)))</f>
        <v/>
      </c>
      <c r="F1845">
        <f>IF(OR($E1845="",$E1845="نامعتبر"),"",LEFT($E1845,4)&amp;"/"&amp;MID($E1845,6,2))</f>
        <v/>
      </c>
      <c r="G1845">
        <f>IF(OR($E1845="",$E1845="نامعتبر",Sync!$Y1842=""),"",Sync!$Y1842)</f>
        <v/>
      </c>
      <c r="H1845">
        <f>IF($G1845="","",IF(Sync!$X1842="","",Sync!$X1842))</f>
        <v/>
      </c>
      <c r="I1845">
        <f>IF($G1845="","",IFERROR(VLOOKUP(Sync!$X1842,OpTbl,3,0),""))</f>
        <v/>
      </c>
      <c r="J1845">
        <f>IF(OR($G1845="",Sync!$Z1842=""),"",Sync!$Z1842)</f>
        <v/>
      </c>
      <c r="K1845">
        <f>IF(OR($G1845="",Sync!$AA1842=""),"",Sync!$AA1842)</f>
        <v/>
      </c>
      <c r="L1845">
        <f>IF($G1845="",0,IF(Sync!$AB1842="",0,Sync!$AB1842))</f>
        <v/>
      </c>
      <c r="M1845">
        <f>IF($G1845="",0,IF(Sync!$AC1842="",0,Sync!$AC1842))</f>
        <v/>
      </c>
      <c r="N1845">
        <f>IF($G1845="","",IF($H1845="مرجوعی خرید",-1,1)*($L1845-$M1845*IFERROR(VLOOKUP("P01",ParamTbl,3,0),1.5))*(1-IF($I1845="خرید",IFERROR(VLOOKUP("P02",ParamTbl,3,0),1),0)/100))</f>
        <v/>
      </c>
      <c r="O1845">
        <f>IF($G1845="",0,IF($H1845="مرجوعی خرید",-1,1)*IF(Sync!$AD1842="",0,Sync!$AD1842))</f>
        <v/>
      </c>
      <c r="P1845">
        <f>IF(OR($G1845="",Sync!$W1842=""),"",Sync!$W1842)</f>
        <v/>
      </c>
      <c r="Q1845">
        <f>IF(OR($G1845="",Sync!$AE1842=""),"",Sync!$AE1842)</f>
        <v/>
      </c>
      <c r="R1845">
        <f>IF($G1845="","",IF(Sync!$V1842="","0000",IF(AND(ISNUMBER(Sync!$V1842),Sync!$V1842&gt;=0,Sync!$V1842&lt;1),RIGHT("00"&amp;HOUR(Sync!$V1842),2)&amp;RIGHT("00"&amp;MINUTE(Sync!$V1842),2),IFERROR(RIGHT("00"&amp;VALUE(LEFT(Sync!$V1842,FIND(":",Sync!$V1842)-1)),2)&amp;RIGHT("00"&amp;VALUE(MID(Sync!$V1842,FIND(":",Sync!$V1842)+1,2)),2),"0000"))))</f>
        <v/>
      </c>
    </row>
    <row r="1846">
      <c r="A1846">
        <f>IF(Sync!$U1843="","",Sync!$U1843)</f>
        <v/>
      </c>
      <c r="B1846">
        <f>IF($A1846="","",IF(ISNUMBER($A1846),IF(AND($A1846&gt;=10000101,$A1846&lt;=99991231),INT($A1846/10000),""),IFERROR(VALUE(TRIM(LEFT($A1846,FIND("/",$A1846)-1))),"")))</f>
        <v/>
      </c>
      <c r="C1846">
        <f>IF(OR($A1846="",$B1846=""),"",IF(ISNUMBER($A1846),INT(MOD($A1846,10000)/100),IFERROR(VALUE(TRIM(LEFT(MID($A1846,FIND("/",$A1846)+1,20),FIND("/",MID($A1846,FIND("/",$A1846)+1,20))-1))),"")))</f>
        <v/>
      </c>
      <c r="D1846">
        <f>IF(OR($A1846="",$B1846=""),"",IF(ISNUMBER($A1846),MOD($A1846,100),IFERROR(VALUE(TRIM(MID(MID($A1846,FIND("/",$A1846)+1,20),FIND("/",MID($A1846,FIND("/",$A1846)+1,20))+1,20))),"")))</f>
        <v/>
      </c>
      <c r="E1846">
        <f>IF($A1846="","",IF(OR($B1846="",$C1846="",$D1846="",$B1846&lt;1300,$B1846&gt;1500,$C1846&lt;1,$C1846&gt;12,$D1846&lt;1,$D1846&gt;31),"نامعتبر",RIGHT("0000"&amp;$B1846,4)&amp;"/"&amp;RIGHT("00"&amp;$C1846,2)&amp;"/"&amp;RIGHT("00"&amp;$D1846,2)))</f>
        <v/>
      </c>
      <c r="F1846">
        <f>IF(OR($E1846="",$E1846="نامعتبر"),"",LEFT($E1846,4)&amp;"/"&amp;MID($E1846,6,2))</f>
        <v/>
      </c>
      <c r="G1846">
        <f>IF(OR($E1846="",$E1846="نامعتبر",Sync!$Y1843=""),"",Sync!$Y1843)</f>
        <v/>
      </c>
      <c r="H1846">
        <f>IF($G1846="","",IF(Sync!$X1843="","",Sync!$X1843))</f>
        <v/>
      </c>
      <c r="I1846">
        <f>IF($G1846="","",IFERROR(VLOOKUP(Sync!$X1843,OpTbl,3,0),""))</f>
        <v/>
      </c>
      <c r="J1846">
        <f>IF(OR($G1846="",Sync!$Z1843=""),"",Sync!$Z1843)</f>
        <v/>
      </c>
      <c r="K1846">
        <f>IF(OR($G1846="",Sync!$AA1843=""),"",Sync!$AA1843)</f>
        <v/>
      </c>
      <c r="L1846">
        <f>IF($G1846="",0,IF(Sync!$AB1843="",0,Sync!$AB1843))</f>
        <v/>
      </c>
      <c r="M1846">
        <f>IF($G1846="",0,IF(Sync!$AC1843="",0,Sync!$AC1843))</f>
        <v/>
      </c>
      <c r="N1846">
        <f>IF($G1846="","",IF($H1846="مرجوعی خرید",-1,1)*($L1846-$M1846*IFERROR(VLOOKUP("P01",ParamTbl,3,0),1.5))*(1-IF($I1846="خرید",IFERROR(VLOOKUP("P02",ParamTbl,3,0),1),0)/100))</f>
        <v/>
      </c>
      <c r="O1846">
        <f>IF($G1846="",0,IF($H1846="مرجوعی خرید",-1,1)*IF(Sync!$AD1843="",0,Sync!$AD1843))</f>
        <v/>
      </c>
      <c r="P1846">
        <f>IF(OR($G1846="",Sync!$W1843=""),"",Sync!$W1843)</f>
        <v/>
      </c>
      <c r="Q1846">
        <f>IF(OR($G1846="",Sync!$AE1843=""),"",Sync!$AE1843)</f>
        <v/>
      </c>
      <c r="R1846">
        <f>IF($G1846="","",IF(Sync!$V1843="","0000",IF(AND(ISNUMBER(Sync!$V1843),Sync!$V1843&gt;=0,Sync!$V1843&lt;1),RIGHT("00"&amp;HOUR(Sync!$V1843),2)&amp;RIGHT("00"&amp;MINUTE(Sync!$V1843),2),IFERROR(RIGHT("00"&amp;VALUE(LEFT(Sync!$V1843,FIND(":",Sync!$V1843)-1)),2)&amp;RIGHT("00"&amp;VALUE(MID(Sync!$V1843,FIND(":",Sync!$V1843)+1,2)),2),"0000"))))</f>
        <v/>
      </c>
    </row>
    <row r="1847">
      <c r="A1847">
        <f>IF(Sync!$U1844="","",Sync!$U1844)</f>
        <v/>
      </c>
      <c r="B1847">
        <f>IF($A1847="","",IF(ISNUMBER($A1847),IF(AND($A1847&gt;=10000101,$A1847&lt;=99991231),INT($A1847/10000),""),IFERROR(VALUE(TRIM(LEFT($A1847,FIND("/",$A1847)-1))),"")))</f>
        <v/>
      </c>
      <c r="C1847">
        <f>IF(OR($A1847="",$B1847=""),"",IF(ISNUMBER($A1847),INT(MOD($A1847,10000)/100),IFERROR(VALUE(TRIM(LEFT(MID($A1847,FIND("/",$A1847)+1,20),FIND("/",MID($A1847,FIND("/",$A1847)+1,20))-1))),"")))</f>
        <v/>
      </c>
      <c r="D1847">
        <f>IF(OR($A1847="",$B1847=""),"",IF(ISNUMBER($A1847),MOD($A1847,100),IFERROR(VALUE(TRIM(MID(MID($A1847,FIND("/",$A1847)+1,20),FIND("/",MID($A1847,FIND("/",$A1847)+1,20))+1,20))),"")))</f>
        <v/>
      </c>
      <c r="E1847">
        <f>IF($A1847="","",IF(OR($B1847="",$C1847="",$D1847="",$B1847&lt;1300,$B1847&gt;1500,$C1847&lt;1,$C1847&gt;12,$D1847&lt;1,$D1847&gt;31),"نامعتبر",RIGHT("0000"&amp;$B1847,4)&amp;"/"&amp;RIGHT("00"&amp;$C1847,2)&amp;"/"&amp;RIGHT("00"&amp;$D1847,2)))</f>
        <v/>
      </c>
      <c r="F1847">
        <f>IF(OR($E1847="",$E1847="نامعتبر"),"",LEFT($E1847,4)&amp;"/"&amp;MID($E1847,6,2))</f>
        <v/>
      </c>
      <c r="G1847">
        <f>IF(OR($E1847="",$E1847="نامعتبر",Sync!$Y1844=""),"",Sync!$Y1844)</f>
        <v/>
      </c>
      <c r="H1847">
        <f>IF($G1847="","",IF(Sync!$X1844="","",Sync!$X1844))</f>
        <v/>
      </c>
      <c r="I1847">
        <f>IF($G1847="","",IFERROR(VLOOKUP(Sync!$X1844,OpTbl,3,0),""))</f>
        <v/>
      </c>
      <c r="J1847">
        <f>IF(OR($G1847="",Sync!$Z1844=""),"",Sync!$Z1844)</f>
        <v/>
      </c>
      <c r="K1847">
        <f>IF(OR($G1847="",Sync!$AA1844=""),"",Sync!$AA1844)</f>
        <v/>
      </c>
      <c r="L1847">
        <f>IF($G1847="",0,IF(Sync!$AB1844="",0,Sync!$AB1844))</f>
        <v/>
      </c>
      <c r="M1847">
        <f>IF($G1847="",0,IF(Sync!$AC1844="",0,Sync!$AC1844))</f>
        <v/>
      </c>
      <c r="N1847">
        <f>IF($G1847="","",IF($H1847="مرجوعی خرید",-1,1)*($L1847-$M1847*IFERROR(VLOOKUP("P01",ParamTbl,3,0),1.5))*(1-IF($I1847="خرید",IFERROR(VLOOKUP("P02",ParamTbl,3,0),1),0)/100))</f>
        <v/>
      </c>
      <c r="O1847">
        <f>IF($G1847="",0,IF($H1847="مرجوعی خرید",-1,1)*IF(Sync!$AD1844="",0,Sync!$AD1844))</f>
        <v/>
      </c>
      <c r="P1847">
        <f>IF(OR($G1847="",Sync!$W1844=""),"",Sync!$W1844)</f>
        <v/>
      </c>
      <c r="Q1847">
        <f>IF(OR($G1847="",Sync!$AE1844=""),"",Sync!$AE1844)</f>
        <v/>
      </c>
      <c r="R1847">
        <f>IF($G1847="","",IF(Sync!$V1844="","0000",IF(AND(ISNUMBER(Sync!$V1844),Sync!$V1844&gt;=0,Sync!$V1844&lt;1),RIGHT("00"&amp;HOUR(Sync!$V1844),2)&amp;RIGHT("00"&amp;MINUTE(Sync!$V1844),2),IFERROR(RIGHT("00"&amp;VALUE(LEFT(Sync!$V1844,FIND(":",Sync!$V1844)-1)),2)&amp;RIGHT("00"&amp;VALUE(MID(Sync!$V1844,FIND(":",Sync!$V1844)+1,2)),2),"0000"))))</f>
        <v/>
      </c>
    </row>
    <row r="1848">
      <c r="A1848">
        <f>IF(Sync!$U1845="","",Sync!$U1845)</f>
        <v/>
      </c>
      <c r="B1848">
        <f>IF($A1848="","",IF(ISNUMBER($A1848),IF(AND($A1848&gt;=10000101,$A1848&lt;=99991231),INT($A1848/10000),""),IFERROR(VALUE(TRIM(LEFT($A1848,FIND("/",$A1848)-1))),"")))</f>
        <v/>
      </c>
      <c r="C1848">
        <f>IF(OR($A1848="",$B1848=""),"",IF(ISNUMBER($A1848),INT(MOD($A1848,10000)/100),IFERROR(VALUE(TRIM(LEFT(MID($A1848,FIND("/",$A1848)+1,20),FIND("/",MID($A1848,FIND("/",$A1848)+1,20))-1))),"")))</f>
        <v/>
      </c>
      <c r="D1848">
        <f>IF(OR($A1848="",$B1848=""),"",IF(ISNUMBER($A1848),MOD($A1848,100),IFERROR(VALUE(TRIM(MID(MID($A1848,FIND("/",$A1848)+1,20),FIND("/",MID($A1848,FIND("/",$A1848)+1,20))+1,20))),"")))</f>
        <v/>
      </c>
      <c r="E1848">
        <f>IF($A1848="","",IF(OR($B1848="",$C1848="",$D1848="",$B1848&lt;1300,$B1848&gt;1500,$C1848&lt;1,$C1848&gt;12,$D1848&lt;1,$D1848&gt;31),"نامعتبر",RIGHT("0000"&amp;$B1848,4)&amp;"/"&amp;RIGHT("00"&amp;$C1848,2)&amp;"/"&amp;RIGHT("00"&amp;$D1848,2)))</f>
        <v/>
      </c>
      <c r="F1848">
        <f>IF(OR($E1848="",$E1848="نامعتبر"),"",LEFT($E1848,4)&amp;"/"&amp;MID($E1848,6,2))</f>
        <v/>
      </c>
      <c r="G1848">
        <f>IF(OR($E1848="",$E1848="نامعتبر",Sync!$Y1845=""),"",Sync!$Y1845)</f>
        <v/>
      </c>
      <c r="H1848">
        <f>IF($G1848="","",IF(Sync!$X1845="","",Sync!$X1845))</f>
        <v/>
      </c>
      <c r="I1848">
        <f>IF($G1848="","",IFERROR(VLOOKUP(Sync!$X1845,OpTbl,3,0),""))</f>
        <v/>
      </c>
      <c r="J1848">
        <f>IF(OR($G1848="",Sync!$Z1845=""),"",Sync!$Z1845)</f>
        <v/>
      </c>
      <c r="K1848">
        <f>IF(OR($G1848="",Sync!$AA1845=""),"",Sync!$AA1845)</f>
        <v/>
      </c>
      <c r="L1848">
        <f>IF($G1848="",0,IF(Sync!$AB1845="",0,Sync!$AB1845))</f>
        <v/>
      </c>
      <c r="M1848">
        <f>IF($G1848="",0,IF(Sync!$AC1845="",0,Sync!$AC1845))</f>
        <v/>
      </c>
      <c r="N1848">
        <f>IF($G1848="","",IF($H1848="مرجوعی خرید",-1,1)*($L1848-$M1848*IFERROR(VLOOKUP("P01",ParamTbl,3,0),1.5))*(1-IF($I1848="خرید",IFERROR(VLOOKUP("P02",ParamTbl,3,0),1),0)/100))</f>
        <v/>
      </c>
      <c r="O1848">
        <f>IF($G1848="",0,IF($H1848="مرجوعی خرید",-1,1)*IF(Sync!$AD1845="",0,Sync!$AD1845))</f>
        <v/>
      </c>
      <c r="P1848">
        <f>IF(OR($G1848="",Sync!$W1845=""),"",Sync!$W1845)</f>
        <v/>
      </c>
      <c r="Q1848">
        <f>IF(OR($G1848="",Sync!$AE1845=""),"",Sync!$AE1845)</f>
        <v/>
      </c>
      <c r="R1848">
        <f>IF($G1848="","",IF(Sync!$V1845="","0000",IF(AND(ISNUMBER(Sync!$V1845),Sync!$V1845&gt;=0,Sync!$V1845&lt;1),RIGHT("00"&amp;HOUR(Sync!$V1845),2)&amp;RIGHT("00"&amp;MINUTE(Sync!$V1845),2),IFERROR(RIGHT("00"&amp;VALUE(LEFT(Sync!$V1845,FIND(":",Sync!$V1845)-1)),2)&amp;RIGHT("00"&amp;VALUE(MID(Sync!$V1845,FIND(":",Sync!$V1845)+1,2)),2),"0000"))))</f>
        <v/>
      </c>
    </row>
    <row r="1849">
      <c r="A1849">
        <f>IF(Sync!$U1846="","",Sync!$U1846)</f>
        <v/>
      </c>
      <c r="B1849">
        <f>IF($A1849="","",IF(ISNUMBER($A1849),IF(AND($A1849&gt;=10000101,$A1849&lt;=99991231),INT($A1849/10000),""),IFERROR(VALUE(TRIM(LEFT($A1849,FIND("/",$A1849)-1))),"")))</f>
        <v/>
      </c>
      <c r="C1849">
        <f>IF(OR($A1849="",$B1849=""),"",IF(ISNUMBER($A1849),INT(MOD($A1849,10000)/100),IFERROR(VALUE(TRIM(LEFT(MID($A1849,FIND("/",$A1849)+1,20),FIND("/",MID($A1849,FIND("/",$A1849)+1,20))-1))),"")))</f>
        <v/>
      </c>
      <c r="D1849">
        <f>IF(OR($A1849="",$B1849=""),"",IF(ISNUMBER($A1849),MOD($A1849,100),IFERROR(VALUE(TRIM(MID(MID($A1849,FIND("/",$A1849)+1,20),FIND("/",MID($A1849,FIND("/",$A1849)+1,20))+1,20))),"")))</f>
        <v/>
      </c>
      <c r="E1849">
        <f>IF($A1849="","",IF(OR($B1849="",$C1849="",$D1849="",$B1849&lt;1300,$B1849&gt;1500,$C1849&lt;1,$C1849&gt;12,$D1849&lt;1,$D1849&gt;31),"نامعتبر",RIGHT("0000"&amp;$B1849,4)&amp;"/"&amp;RIGHT("00"&amp;$C1849,2)&amp;"/"&amp;RIGHT("00"&amp;$D1849,2)))</f>
        <v/>
      </c>
      <c r="F1849">
        <f>IF(OR($E1849="",$E1849="نامعتبر"),"",LEFT($E1849,4)&amp;"/"&amp;MID($E1849,6,2))</f>
        <v/>
      </c>
      <c r="G1849">
        <f>IF(OR($E1849="",$E1849="نامعتبر",Sync!$Y1846=""),"",Sync!$Y1846)</f>
        <v/>
      </c>
      <c r="H1849">
        <f>IF($G1849="","",IF(Sync!$X1846="","",Sync!$X1846))</f>
        <v/>
      </c>
      <c r="I1849">
        <f>IF($G1849="","",IFERROR(VLOOKUP(Sync!$X1846,OpTbl,3,0),""))</f>
        <v/>
      </c>
      <c r="J1849">
        <f>IF(OR($G1849="",Sync!$Z1846=""),"",Sync!$Z1846)</f>
        <v/>
      </c>
      <c r="K1849">
        <f>IF(OR($G1849="",Sync!$AA1846=""),"",Sync!$AA1846)</f>
        <v/>
      </c>
      <c r="L1849">
        <f>IF($G1849="",0,IF(Sync!$AB1846="",0,Sync!$AB1846))</f>
        <v/>
      </c>
      <c r="M1849">
        <f>IF($G1849="",0,IF(Sync!$AC1846="",0,Sync!$AC1846))</f>
        <v/>
      </c>
      <c r="N1849">
        <f>IF($G1849="","",IF($H1849="مرجوعی خرید",-1,1)*($L1849-$M1849*IFERROR(VLOOKUP("P01",ParamTbl,3,0),1.5))*(1-IF($I1849="خرید",IFERROR(VLOOKUP("P02",ParamTbl,3,0),1),0)/100))</f>
        <v/>
      </c>
      <c r="O1849">
        <f>IF($G1849="",0,IF($H1849="مرجوعی خرید",-1,1)*IF(Sync!$AD1846="",0,Sync!$AD1846))</f>
        <v/>
      </c>
      <c r="P1849">
        <f>IF(OR($G1849="",Sync!$W1846=""),"",Sync!$W1846)</f>
        <v/>
      </c>
      <c r="Q1849">
        <f>IF(OR($G1849="",Sync!$AE1846=""),"",Sync!$AE1846)</f>
        <v/>
      </c>
      <c r="R1849">
        <f>IF($G1849="","",IF(Sync!$V1846="","0000",IF(AND(ISNUMBER(Sync!$V1846),Sync!$V1846&gt;=0,Sync!$V1846&lt;1),RIGHT("00"&amp;HOUR(Sync!$V1846),2)&amp;RIGHT("00"&amp;MINUTE(Sync!$V1846),2),IFERROR(RIGHT("00"&amp;VALUE(LEFT(Sync!$V1846,FIND(":",Sync!$V1846)-1)),2)&amp;RIGHT("00"&amp;VALUE(MID(Sync!$V1846,FIND(":",Sync!$V1846)+1,2)),2),"0000"))))</f>
        <v/>
      </c>
    </row>
    <row r="1850">
      <c r="A1850">
        <f>IF(Sync!$U1847="","",Sync!$U1847)</f>
        <v/>
      </c>
      <c r="B1850">
        <f>IF($A1850="","",IF(ISNUMBER($A1850),IF(AND($A1850&gt;=10000101,$A1850&lt;=99991231),INT($A1850/10000),""),IFERROR(VALUE(TRIM(LEFT($A1850,FIND("/",$A1850)-1))),"")))</f>
        <v/>
      </c>
      <c r="C1850">
        <f>IF(OR($A1850="",$B1850=""),"",IF(ISNUMBER($A1850),INT(MOD($A1850,10000)/100),IFERROR(VALUE(TRIM(LEFT(MID($A1850,FIND("/",$A1850)+1,20),FIND("/",MID($A1850,FIND("/",$A1850)+1,20))-1))),"")))</f>
        <v/>
      </c>
      <c r="D1850">
        <f>IF(OR($A1850="",$B1850=""),"",IF(ISNUMBER($A1850),MOD($A1850,100),IFERROR(VALUE(TRIM(MID(MID($A1850,FIND("/",$A1850)+1,20),FIND("/",MID($A1850,FIND("/",$A1850)+1,20))+1,20))),"")))</f>
        <v/>
      </c>
      <c r="E1850">
        <f>IF($A1850="","",IF(OR($B1850="",$C1850="",$D1850="",$B1850&lt;1300,$B1850&gt;1500,$C1850&lt;1,$C1850&gt;12,$D1850&lt;1,$D1850&gt;31),"نامعتبر",RIGHT("0000"&amp;$B1850,4)&amp;"/"&amp;RIGHT("00"&amp;$C1850,2)&amp;"/"&amp;RIGHT("00"&amp;$D1850,2)))</f>
        <v/>
      </c>
      <c r="F1850">
        <f>IF(OR($E1850="",$E1850="نامعتبر"),"",LEFT($E1850,4)&amp;"/"&amp;MID($E1850,6,2))</f>
        <v/>
      </c>
      <c r="G1850">
        <f>IF(OR($E1850="",$E1850="نامعتبر",Sync!$Y1847=""),"",Sync!$Y1847)</f>
        <v/>
      </c>
      <c r="H1850">
        <f>IF($G1850="","",IF(Sync!$X1847="","",Sync!$X1847))</f>
        <v/>
      </c>
      <c r="I1850">
        <f>IF($G1850="","",IFERROR(VLOOKUP(Sync!$X1847,OpTbl,3,0),""))</f>
        <v/>
      </c>
      <c r="J1850">
        <f>IF(OR($G1850="",Sync!$Z1847=""),"",Sync!$Z1847)</f>
        <v/>
      </c>
      <c r="K1850">
        <f>IF(OR($G1850="",Sync!$AA1847=""),"",Sync!$AA1847)</f>
        <v/>
      </c>
      <c r="L1850">
        <f>IF($G1850="",0,IF(Sync!$AB1847="",0,Sync!$AB1847))</f>
        <v/>
      </c>
      <c r="M1850">
        <f>IF($G1850="",0,IF(Sync!$AC1847="",0,Sync!$AC1847))</f>
        <v/>
      </c>
      <c r="N1850">
        <f>IF($G1850="","",IF($H1850="مرجوعی خرید",-1,1)*($L1850-$M1850*IFERROR(VLOOKUP("P01",ParamTbl,3,0),1.5))*(1-IF($I1850="خرید",IFERROR(VLOOKUP("P02",ParamTbl,3,0),1),0)/100))</f>
        <v/>
      </c>
      <c r="O1850">
        <f>IF($G1850="",0,IF($H1850="مرجوعی خرید",-1,1)*IF(Sync!$AD1847="",0,Sync!$AD1847))</f>
        <v/>
      </c>
      <c r="P1850">
        <f>IF(OR($G1850="",Sync!$W1847=""),"",Sync!$W1847)</f>
        <v/>
      </c>
      <c r="Q1850">
        <f>IF(OR($G1850="",Sync!$AE1847=""),"",Sync!$AE1847)</f>
        <v/>
      </c>
      <c r="R1850">
        <f>IF($G1850="","",IF(Sync!$V1847="","0000",IF(AND(ISNUMBER(Sync!$V1847),Sync!$V1847&gt;=0,Sync!$V1847&lt;1),RIGHT("00"&amp;HOUR(Sync!$V1847),2)&amp;RIGHT("00"&amp;MINUTE(Sync!$V1847),2),IFERROR(RIGHT("00"&amp;VALUE(LEFT(Sync!$V1847,FIND(":",Sync!$V1847)-1)),2)&amp;RIGHT("00"&amp;VALUE(MID(Sync!$V1847,FIND(":",Sync!$V1847)+1,2)),2),"0000"))))</f>
        <v/>
      </c>
    </row>
    <row r="1851">
      <c r="A1851">
        <f>IF(Sync!$U1848="","",Sync!$U1848)</f>
        <v/>
      </c>
      <c r="B1851">
        <f>IF($A1851="","",IF(ISNUMBER($A1851),IF(AND($A1851&gt;=10000101,$A1851&lt;=99991231),INT($A1851/10000),""),IFERROR(VALUE(TRIM(LEFT($A1851,FIND("/",$A1851)-1))),"")))</f>
        <v/>
      </c>
      <c r="C1851">
        <f>IF(OR($A1851="",$B1851=""),"",IF(ISNUMBER($A1851),INT(MOD($A1851,10000)/100),IFERROR(VALUE(TRIM(LEFT(MID($A1851,FIND("/",$A1851)+1,20),FIND("/",MID($A1851,FIND("/",$A1851)+1,20))-1))),"")))</f>
        <v/>
      </c>
      <c r="D1851">
        <f>IF(OR($A1851="",$B1851=""),"",IF(ISNUMBER($A1851),MOD($A1851,100),IFERROR(VALUE(TRIM(MID(MID($A1851,FIND("/",$A1851)+1,20),FIND("/",MID($A1851,FIND("/",$A1851)+1,20))+1,20))),"")))</f>
        <v/>
      </c>
      <c r="E1851">
        <f>IF($A1851="","",IF(OR($B1851="",$C1851="",$D1851="",$B1851&lt;1300,$B1851&gt;1500,$C1851&lt;1,$C1851&gt;12,$D1851&lt;1,$D1851&gt;31),"نامعتبر",RIGHT("0000"&amp;$B1851,4)&amp;"/"&amp;RIGHT("00"&amp;$C1851,2)&amp;"/"&amp;RIGHT("00"&amp;$D1851,2)))</f>
        <v/>
      </c>
      <c r="F1851">
        <f>IF(OR($E1851="",$E1851="نامعتبر"),"",LEFT($E1851,4)&amp;"/"&amp;MID($E1851,6,2))</f>
        <v/>
      </c>
      <c r="G1851">
        <f>IF(OR($E1851="",$E1851="نامعتبر",Sync!$Y1848=""),"",Sync!$Y1848)</f>
        <v/>
      </c>
      <c r="H1851">
        <f>IF($G1851="","",IF(Sync!$X1848="","",Sync!$X1848))</f>
        <v/>
      </c>
      <c r="I1851">
        <f>IF($G1851="","",IFERROR(VLOOKUP(Sync!$X1848,OpTbl,3,0),""))</f>
        <v/>
      </c>
      <c r="J1851">
        <f>IF(OR($G1851="",Sync!$Z1848=""),"",Sync!$Z1848)</f>
        <v/>
      </c>
      <c r="K1851">
        <f>IF(OR($G1851="",Sync!$AA1848=""),"",Sync!$AA1848)</f>
        <v/>
      </c>
      <c r="L1851">
        <f>IF($G1851="",0,IF(Sync!$AB1848="",0,Sync!$AB1848))</f>
        <v/>
      </c>
      <c r="M1851">
        <f>IF($G1851="",0,IF(Sync!$AC1848="",0,Sync!$AC1848))</f>
        <v/>
      </c>
      <c r="N1851">
        <f>IF($G1851="","",IF($H1851="مرجوعی خرید",-1,1)*($L1851-$M1851*IFERROR(VLOOKUP("P01",ParamTbl,3,0),1.5))*(1-IF($I1851="خرید",IFERROR(VLOOKUP("P02",ParamTbl,3,0),1),0)/100))</f>
        <v/>
      </c>
      <c r="O1851">
        <f>IF($G1851="",0,IF($H1851="مرجوعی خرید",-1,1)*IF(Sync!$AD1848="",0,Sync!$AD1848))</f>
        <v/>
      </c>
      <c r="P1851">
        <f>IF(OR($G1851="",Sync!$W1848=""),"",Sync!$W1848)</f>
        <v/>
      </c>
      <c r="Q1851">
        <f>IF(OR($G1851="",Sync!$AE1848=""),"",Sync!$AE1848)</f>
        <v/>
      </c>
      <c r="R1851">
        <f>IF($G1851="","",IF(Sync!$V1848="","0000",IF(AND(ISNUMBER(Sync!$V1848),Sync!$V1848&gt;=0,Sync!$V1848&lt;1),RIGHT("00"&amp;HOUR(Sync!$V1848),2)&amp;RIGHT("00"&amp;MINUTE(Sync!$V1848),2),IFERROR(RIGHT("00"&amp;VALUE(LEFT(Sync!$V1848,FIND(":",Sync!$V1848)-1)),2)&amp;RIGHT("00"&amp;VALUE(MID(Sync!$V1848,FIND(":",Sync!$V1848)+1,2)),2),"0000"))))</f>
        <v/>
      </c>
    </row>
    <row r="1852">
      <c r="A1852">
        <f>IF(Sync!$U1849="","",Sync!$U1849)</f>
        <v/>
      </c>
      <c r="B1852">
        <f>IF($A1852="","",IF(ISNUMBER($A1852),IF(AND($A1852&gt;=10000101,$A1852&lt;=99991231),INT($A1852/10000),""),IFERROR(VALUE(TRIM(LEFT($A1852,FIND("/",$A1852)-1))),"")))</f>
        <v/>
      </c>
      <c r="C1852">
        <f>IF(OR($A1852="",$B1852=""),"",IF(ISNUMBER($A1852),INT(MOD($A1852,10000)/100),IFERROR(VALUE(TRIM(LEFT(MID($A1852,FIND("/",$A1852)+1,20),FIND("/",MID($A1852,FIND("/",$A1852)+1,20))-1))),"")))</f>
        <v/>
      </c>
      <c r="D1852">
        <f>IF(OR($A1852="",$B1852=""),"",IF(ISNUMBER($A1852),MOD($A1852,100),IFERROR(VALUE(TRIM(MID(MID($A1852,FIND("/",$A1852)+1,20),FIND("/",MID($A1852,FIND("/",$A1852)+1,20))+1,20))),"")))</f>
        <v/>
      </c>
      <c r="E1852">
        <f>IF($A1852="","",IF(OR($B1852="",$C1852="",$D1852="",$B1852&lt;1300,$B1852&gt;1500,$C1852&lt;1,$C1852&gt;12,$D1852&lt;1,$D1852&gt;31),"نامعتبر",RIGHT("0000"&amp;$B1852,4)&amp;"/"&amp;RIGHT("00"&amp;$C1852,2)&amp;"/"&amp;RIGHT("00"&amp;$D1852,2)))</f>
        <v/>
      </c>
      <c r="F1852">
        <f>IF(OR($E1852="",$E1852="نامعتبر"),"",LEFT($E1852,4)&amp;"/"&amp;MID($E1852,6,2))</f>
        <v/>
      </c>
      <c r="G1852">
        <f>IF(OR($E1852="",$E1852="نامعتبر",Sync!$Y1849=""),"",Sync!$Y1849)</f>
        <v/>
      </c>
      <c r="H1852">
        <f>IF($G1852="","",IF(Sync!$X1849="","",Sync!$X1849))</f>
        <v/>
      </c>
      <c r="I1852">
        <f>IF($G1852="","",IFERROR(VLOOKUP(Sync!$X1849,OpTbl,3,0),""))</f>
        <v/>
      </c>
      <c r="J1852">
        <f>IF(OR($G1852="",Sync!$Z1849=""),"",Sync!$Z1849)</f>
        <v/>
      </c>
      <c r="K1852">
        <f>IF(OR($G1852="",Sync!$AA1849=""),"",Sync!$AA1849)</f>
        <v/>
      </c>
      <c r="L1852">
        <f>IF($G1852="",0,IF(Sync!$AB1849="",0,Sync!$AB1849))</f>
        <v/>
      </c>
      <c r="M1852">
        <f>IF($G1852="",0,IF(Sync!$AC1849="",0,Sync!$AC1849))</f>
        <v/>
      </c>
      <c r="N1852">
        <f>IF($G1852="","",IF($H1852="مرجوعی خرید",-1,1)*($L1852-$M1852*IFERROR(VLOOKUP("P01",ParamTbl,3,0),1.5))*(1-IF($I1852="خرید",IFERROR(VLOOKUP("P02",ParamTbl,3,0),1),0)/100))</f>
        <v/>
      </c>
      <c r="O1852">
        <f>IF($G1852="",0,IF($H1852="مرجوعی خرید",-1,1)*IF(Sync!$AD1849="",0,Sync!$AD1849))</f>
        <v/>
      </c>
      <c r="P1852">
        <f>IF(OR($G1852="",Sync!$W1849=""),"",Sync!$W1849)</f>
        <v/>
      </c>
      <c r="Q1852">
        <f>IF(OR($G1852="",Sync!$AE1849=""),"",Sync!$AE1849)</f>
        <v/>
      </c>
      <c r="R1852">
        <f>IF($G1852="","",IF(Sync!$V1849="","0000",IF(AND(ISNUMBER(Sync!$V1849),Sync!$V1849&gt;=0,Sync!$V1849&lt;1),RIGHT("00"&amp;HOUR(Sync!$V1849),2)&amp;RIGHT("00"&amp;MINUTE(Sync!$V1849),2),IFERROR(RIGHT("00"&amp;VALUE(LEFT(Sync!$V1849,FIND(":",Sync!$V1849)-1)),2)&amp;RIGHT("00"&amp;VALUE(MID(Sync!$V1849,FIND(":",Sync!$V1849)+1,2)),2),"0000"))))</f>
        <v/>
      </c>
    </row>
    <row r="1853">
      <c r="A1853">
        <f>IF(Sync!$U1850="","",Sync!$U1850)</f>
        <v/>
      </c>
      <c r="B1853">
        <f>IF($A1853="","",IF(ISNUMBER($A1853),IF(AND($A1853&gt;=10000101,$A1853&lt;=99991231),INT($A1853/10000),""),IFERROR(VALUE(TRIM(LEFT($A1853,FIND("/",$A1853)-1))),"")))</f>
        <v/>
      </c>
      <c r="C1853">
        <f>IF(OR($A1853="",$B1853=""),"",IF(ISNUMBER($A1853),INT(MOD($A1853,10000)/100),IFERROR(VALUE(TRIM(LEFT(MID($A1853,FIND("/",$A1853)+1,20),FIND("/",MID($A1853,FIND("/",$A1853)+1,20))-1))),"")))</f>
        <v/>
      </c>
      <c r="D1853">
        <f>IF(OR($A1853="",$B1853=""),"",IF(ISNUMBER($A1853),MOD($A1853,100),IFERROR(VALUE(TRIM(MID(MID($A1853,FIND("/",$A1853)+1,20),FIND("/",MID($A1853,FIND("/",$A1853)+1,20))+1,20))),"")))</f>
        <v/>
      </c>
      <c r="E1853">
        <f>IF($A1853="","",IF(OR($B1853="",$C1853="",$D1853="",$B1853&lt;1300,$B1853&gt;1500,$C1853&lt;1,$C1853&gt;12,$D1853&lt;1,$D1853&gt;31),"نامعتبر",RIGHT("0000"&amp;$B1853,4)&amp;"/"&amp;RIGHT("00"&amp;$C1853,2)&amp;"/"&amp;RIGHT("00"&amp;$D1853,2)))</f>
        <v/>
      </c>
      <c r="F1853">
        <f>IF(OR($E1853="",$E1853="نامعتبر"),"",LEFT($E1853,4)&amp;"/"&amp;MID($E1853,6,2))</f>
        <v/>
      </c>
      <c r="G1853">
        <f>IF(OR($E1853="",$E1853="نامعتبر",Sync!$Y1850=""),"",Sync!$Y1850)</f>
        <v/>
      </c>
      <c r="H1853">
        <f>IF($G1853="","",IF(Sync!$X1850="","",Sync!$X1850))</f>
        <v/>
      </c>
      <c r="I1853">
        <f>IF($G1853="","",IFERROR(VLOOKUP(Sync!$X1850,OpTbl,3,0),""))</f>
        <v/>
      </c>
      <c r="J1853">
        <f>IF(OR($G1853="",Sync!$Z1850=""),"",Sync!$Z1850)</f>
        <v/>
      </c>
      <c r="K1853">
        <f>IF(OR($G1853="",Sync!$AA1850=""),"",Sync!$AA1850)</f>
        <v/>
      </c>
      <c r="L1853">
        <f>IF($G1853="",0,IF(Sync!$AB1850="",0,Sync!$AB1850))</f>
        <v/>
      </c>
      <c r="M1853">
        <f>IF($G1853="",0,IF(Sync!$AC1850="",0,Sync!$AC1850))</f>
        <v/>
      </c>
      <c r="N1853">
        <f>IF($G1853="","",IF($H1853="مرجوعی خرید",-1,1)*($L1853-$M1853*IFERROR(VLOOKUP("P01",ParamTbl,3,0),1.5))*(1-IF($I1853="خرید",IFERROR(VLOOKUP("P02",ParamTbl,3,0),1),0)/100))</f>
        <v/>
      </c>
      <c r="O1853">
        <f>IF($G1853="",0,IF($H1853="مرجوعی خرید",-1,1)*IF(Sync!$AD1850="",0,Sync!$AD1850))</f>
        <v/>
      </c>
      <c r="P1853">
        <f>IF(OR($G1853="",Sync!$W1850=""),"",Sync!$W1850)</f>
        <v/>
      </c>
      <c r="Q1853">
        <f>IF(OR($G1853="",Sync!$AE1850=""),"",Sync!$AE1850)</f>
        <v/>
      </c>
      <c r="R1853">
        <f>IF($G1853="","",IF(Sync!$V1850="","0000",IF(AND(ISNUMBER(Sync!$V1850),Sync!$V1850&gt;=0,Sync!$V1850&lt;1),RIGHT("00"&amp;HOUR(Sync!$V1850),2)&amp;RIGHT("00"&amp;MINUTE(Sync!$V1850),2),IFERROR(RIGHT("00"&amp;VALUE(LEFT(Sync!$V1850,FIND(":",Sync!$V1850)-1)),2)&amp;RIGHT("00"&amp;VALUE(MID(Sync!$V1850,FIND(":",Sync!$V1850)+1,2)),2),"0000"))))</f>
        <v/>
      </c>
    </row>
    <row r="1854">
      <c r="A1854">
        <f>IF(Sync!$U1851="","",Sync!$U1851)</f>
        <v/>
      </c>
      <c r="B1854">
        <f>IF($A1854="","",IF(ISNUMBER($A1854),IF(AND($A1854&gt;=10000101,$A1854&lt;=99991231),INT($A1854/10000),""),IFERROR(VALUE(TRIM(LEFT($A1854,FIND("/",$A1854)-1))),"")))</f>
        <v/>
      </c>
      <c r="C1854">
        <f>IF(OR($A1854="",$B1854=""),"",IF(ISNUMBER($A1854),INT(MOD($A1854,10000)/100),IFERROR(VALUE(TRIM(LEFT(MID($A1854,FIND("/",$A1854)+1,20),FIND("/",MID($A1854,FIND("/",$A1854)+1,20))-1))),"")))</f>
        <v/>
      </c>
      <c r="D1854">
        <f>IF(OR($A1854="",$B1854=""),"",IF(ISNUMBER($A1854),MOD($A1854,100),IFERROR(VALUE(TRIM(MID(MID($A1854,FIND("/",$A1854)+1,20),FIND("/",MID($A1854,FIND("/",$A1854)+1,20))+1,20))),"")))</f>
        <v/>
      </c>
      <c r="E1854">
        <f>IF($A1854="","",IF(OR($B1854="",$C1854="",$D1854="",$B1854&lt;1300,$B1854&gt;1500,$C1854&lt;1,$C1854&gt;12,$D1854&lt;1,$D1854&gt;31),"نامعتبر",RIGHT("0000"&amp;$B1854,4)&amp;"/"&amp;RIGHT("00"&amp;$C1854,2)&amp;"/"&amp;RIGHT("00"&amp;$D1854,2)))</f>
        <v/>
      </c>
      <c r="F1854">
        <f>IF(OR($E1854="",$E1854="نامعتبر"),"",LEFT($E1854,4)&amp;"/"&amp;MID($E1854,6,2))</f>
        <v/>
      </c>
      <c r="G1854">
        <f>IF(OR($E1854="",$E1854="نامعتبر",Sync!$Y1851=""),"",Sync!$Y1851)</f>
        <v/>
      </c>
      <c r="H1854">
        <f>IF($G1854="","",IF(Sync!$X1851="","",Sync!$X1851))</f>
        <v/>
      </c>
      <c r="I1854">
        <f>IF($G1854="","",IFERROR(VLOOKUP(Sync!$X1851,OpTbl,3,0),""))</f>
        <v/>
      </c>
      <c r="J1854">
        <f>IF(OR($G1854="",Sync!$Z1851=""),"",Sync!$Z1851)</f>
        <v/>
      </c>
      <c r="K1854">
        <f>IF(OR($G1854="",Sync!$AA1851=""),"",Sync!$AA1851)</f>
        <v/>
      </c>
      <c r="L1854">
        <f>IF($G1854="",0,IF(Sync!$AB1851="",0,Sync!$AB1851))</f>
        <v/>
      </c>
      <c r="M1854">
        <f>IF($G1854="",0,IF(Sync!$AC1851="",0,Sync!$AC1851))</f>
        <v/>
      </c>
      <c r="N1854">
        <f>IF($G1854="","",IF($H1854="مرجوعی خرید",-1,1)*($L1854-$M1854*IFERROR(VLOOKUP("P01",ParamTbl,3,0),1.5))*(1-IF($I1854="خرید",IFERROR(VLOOKUP("P02",ParamTbl,3,0),1),0)/100))</f>
        <v/>
      </c>
      <c r="O1854">
        <f>IF($G1854="",0,IF($H1854="مرجوعی خرید",-1,1)*IF(Sync!$AD1851="",0,Sync!$AD1851))</f>
        <v/>
      </c>
      <c r="P1854">
        <f>IF(OR($G1854="",Sync!$W1851=""),"",Sync!$W1851)</f>
        <v/>
      </c>
      <c r="Q1854">
        <f>IF(OR($G1854="",Sync!$AE1851=""),"",Sync!$AE1851)</f>
        <v/>
      </c>
      <c r="R1854">
        <f>IF($G1854="","",IF(Sync!$V1851="","0000",IF(AND(ISNUMBER(Sync!$V1851),Sync!$V1851&gt;=0,Sync!$V1851&lt;1),RIGHT("00"&amp;HOUR(Sync!$V1851),2)&amp;RIGHT("00"&amp;MINUTE(Sync!$V1851),2),IFERROR(RIGHT("00"&amp;VALUE(LEFT(Sync!$V1851,FIND(":",Sync!$V1851)-1)),2)&amp;RIGHT("00"&amp;VALUE(MID(Sync!$V1851,FIND(":",Sync!$V1851)+1,2)),2),"0000"))))</f>
        <v/>
      </c>
    </row>
    <row r="1855">
      <c r="A1855">
        <f>IF(Sync!$U1852="","",Sync!$U1852)</f>
        <v/>
      </c>
      <c r="B1855">
        <f>IF($A1855="","",IF(ISNUMBER($A1855),IF(AND($A1855&gt;=10000101,$A1855&lt;=99991231),INT($A1855/10000),""),IFERROR(VALUE(TRIM(LEFT($A1855,FIND("/",$A1855)-1))),"")))</f>
        <v/>
      </c>
      <c r="C1855">
        <f>IF(OR($A1855="",$B1855=""),"",IF(ISNUMBER($A1855),INT(MOD($A1855,10000)/100),IFERROR(VALUE(TRIM(LEFT(MID($A1855,FIND("/",$A1855)+1,20),FIND("/",MID($A1855,FIND("/",$A1855)+1,20))-1))),"")))</f>
        <v/>
      </c>
      <c r="D1855">
        <f>IF(OR($A1855="",$B1855=""),"",IF(ISNUMBER($A1855),MOD($A1855,100),IFERROR(VALUE(TRIM(MID(MID($A1855,FIND("/",$A1855)+1,20),FIND("/",MID($A1855,FIND("/",$A1855)+1,20))+1,20))),"")))</f>
        <v/>
      </c>
      <c r="E1855">
        <f>IF($A1855="","",IF(OR($B1855="",$C1855="",$D1855="",$B1855&lt;1300,$B1855&gt;1500,$C1855&lt;1,$C1855&gt;12,$D1855&lt;1,$D1855&gt;31),"نامعتبر",RIGHT("0000"&amp;$B1855,4)&amp;"/"&amp;RIGHT("00"&amp;$C1855,2)&amp;"/"&amp;RIGHT("00"&amp;$D1855,2)))</f>
        <v/>
      </c>
      <c r="F1855">
        <f>IF(OR($E1855="",$E1855="نامعتبر"),"",LEFT($E1855,4)&amp;"/"&amp;MID($E1855,6,2))</f>
        <v/>
      </c>
      <c r="G1855">
        <f>IF(OR($E1855="",$E1855="نامعتبر",Sync!$Y1852=""),"",Sync!$Y1852)</f>
        <v/>
      </c>
      <c r="H1855">
        <f>IF($G1855="","",IF(Sync!$X1852="","",Sync!$X1852))</f>
        <v/>
      </c>
      <c r="I1855">
        <f>IF($G1855="","",IFERROR(VLOOKUP(Sync!$X1852,OpTbl,3,0),""))</f>
        <v/>
      </c>
      <c r="J1855">
        <f>IF(OR($G1855="",Sync!$Z1852=""),"",Sync!$Z1852)</f>
        <v/>
      </c>
      <c r="K1855">
        <f>IF(OR($G1855="",Sync!$AA1852=""),"",Sync!$AA1852)</f>
        <v/>
      </c>
      <c r="L1855">
        <f>IF($G1855="",0,IF(Sync!$AB1852="",0,Sync!$AB1852))</f>
        <v/>
      </c>
      <c r="M1855">
        <f>IF($G1855="",0,IF(Sync!$AC1852="",0,Sync!$AC1852))</f>
        <v/>
      </c>
      <c r="N1855">
        <f>IF($G1855="","",IF($H1855="مرجوعی خرید",-1,1)*($L1855-$M1855*IFERROR(VLOOKUP("P01",ParamTbl,3,0),1.5))*(1-IF($I1855="خرید",IFERROR(VLOOKUP("P02",ParamTbl,3,0),1),0)/100))</f>
        <v/>
      </c>
      <c r="O1855">
        <f>IF($G1855="",0,IF($H1855="مرجوعی خرید",-1,1)*IF(Sync!$AD1852="",0,Sync!$AD1852))</f>
        <v/>
      </c>
      <c r="P1855">
        <f>IF(OR($G1855="",Sync!$W1852=""),"",Sync!$W1852)</f>
        <v/>
      </c>
      <c r="Q1855">
        <f>IF(OR($G1855="",Sync!$AE1852=""),"",Sync!$AE1852)</f>
        <v/>
      </c>
      <c r="R1855">
        <f>IF($G1855="","",IF(Sync!$V1852="","0000",IF(AND(ISNUMBER(Sync!$V1852),Sync!$V1852&gt;=0,Sync!$V1852&lt;1),RIGHT("00"&amp;HOUR(Sync!$V1852),2)&amp;RIGHT("00"&amp;MINUTE(Sync!$V1852),2),IFERROR(RIGHT("00"&amp;VALUE(LEFT(Sync!$V1852,FIND(":",Sync!$V1852)-1)),2)&amp;RIGHT("00"&amp;VALUE(MID(Sync!$V1852,FIND(":",Sync!$V1852)+1,2)),2),"0000"))))</f>
        <v/>
      </c>
    </row>
    <row r="1856">
      <c r="A1856">
        <f>IF(Sync!$U1853="","",Sync!$U1853)</f>
        <v/>
      </c>
      <c r="B1856">
        <f>IF($A1856="","",IF(ISNUMBER($A1856),IF(AND($A1856&gt;=10000101,$A1856&lt;=99991231),INT($A1856/10000),""),IFERROR(VALUE(TRIM(LEFT($A1856,FIND("/",$A1856)-1))),"")))</f>
        <v/>
      </c>
      <c r="C1856">
        <f>IF(OR($A1856="",$B1856=""),"",IF(ISNUMBER($A1856),INT(MOD($A1856,10000)/100),IFERROR(VALUE(TRIM(LEFT(MID($A1856,FIND("/",$A1856)+1,20),FIND("/",MID($A1856,FIND("/",$A1856)+1,20))-1))),"")))</f>
        <v/>
      </c>
      <c r="D1856">
        <f>IF(OR($A1856="",$B1856=""),"",IF(ISNUMBER($A1856),MOD($A1856,100),IFERROR(VALUE(TRIM(MID(MID($A1856,FIND("/",$A1856)+1,20),FIND("/",MID($A1856,FIND("/",$A1856)+1,20))+1,20))),"")))</f>
        <v/>
      </c>
      <c r="E1856">
        <f>IF($A1856="","",IF(OR($B1856="",$C1856="",$D1856="",$B1856&lt;1300,$B1856&gt;1500,$C1856&lt;1,$C1856&gt;12,$D1856&lt;1,$D1856&gt;31),"نامعتبر",RIGHT("0000"&amp;$B1856,4)&amp;"/"&amp;RIGHT("00"&amp;$C1856,2)&amp;"/"&amp;RIGHT("00"&amp;$D1856,2)))</f>
        <v/>
      </c>
      <c r="F1856">
        <f>IF(OR($E1856="",$E1856="نامعتبر"),"",LEFT($E1856,4)&amp;"/"&amp;MID($E1856,6,2))</f>
        <v/>
      </c>
      <c r="G1856">
        <f>IF(OR($E1856="",$E1856="نامعتبر",Sync!$Y1853=""),"",Sync!$Y1853)</f>
        <v/>
      </c>
      <c r="H1856">
        <f>IF($G1856="","",IF(Sync!$X1853="","",Sync!$X1853))</f>
        <v/>
      </c>
      <c r="I1856">
        <f>IF($G1856="","",IFERROR(VLOOKUP(Sync!$X1853,OpTbl,3,0),""))</f>
        <v/>
      </c>
      <c r="J1856">
        <f>IF(OR($G1856="",Sync!$Z1853=""),"",Sync!$Z1853)</f>
        <v/>
      </c>
      <c r="K1856">
        <f>IF(OR($G1856="",Sync!$AA1853=""),"",Sync!$AA1853)</f>
        <v/>
      </c>
      <c r="L1856">
        <f>IF($G1856="",0,IF(Sync!$AB1853="",0,Sync!$AB1853))</f>
        <v/>
      </c>
      <c r="M1856">
        <f>IF($G1856="",0,IF(Sync!$AC1853="",0,Sync!$AC1853))</f>
        <v/>
      </c>
      <c r="N1856">
        <f>IF($G1856="","",IF($H1856="مرجوعی خرید",-1,1)*($L1856-$M1856*IFERROR(VLOOKUP("P01",ParamTbl,3,0),1.5))*(1-IF($I1856="خرید",IFERROR(VLOOKUP("P02",ParamTbl,3,0),1),0)/100))</f>
        <v/>
      </c>
      <c r="O1856">
        <f>IF($G1856="",0,IF($H1856="مرجوعی خرید",-1,1)*IF(Sync!$AD1853="",0,Sync!$AD1853))</f>
        <v/>
      </c>
      <c r="P1856">
        <f>IF(OR($G1856="",Sync!$W1853=""),"",Sync!$W1853)</f>
        <v/>
      </c>
      <c r="Q1856">
        <f>IF(OR($G1856="",Sync!$AE1853=""),"",Sync!$AE1853)</f>
        <v/>
      </c>
      <c r="R1856">
        <f>IF($G1856="","",IF(Sync!$V1853="","0000",IF(AND(ISNUMBER(Sync!$V1853),Sync!$V1853&gt;=0,Sync!$V1853&lt;1),RIGHT("00"&amp;HOUR(Sync!$V1853),2)&amp;RIGHT("00"&amp;MINUTE(Sync!$V1853),2),IFERROR(RIGHT("00"&amp;VALUE(LEFT(Sync!$V1853,FIND(":",Sync!$V1853)-1)),2)&amp;RIGHT("00"&amp;VALUE(MID(Sync!$V1853,FIND(":",Sync!$V1853)+1,2)),2),"0000"))))</f>
        <v/>
      </c>
    </row>
    <row r="1857">
      <c r="A1857">
        <f>IF(Sync!$U1854="","",Sync!$U1854)</f>
        <v/>
      </c>
      <c r="B1857">
        <f>IF($A1857="","",IF(ISNUMBER($A1857),IF(AND($A1857&gt;=10000101,$A1857&lt;=99991231),INT($A1857/10000),""),IFERROR(VALUE(TRIM(LEFT($A1857,FIND("/",$A1857)-1))),"")))</f>
        <v/>
      </c>
      <c r="C1857">
        <f>IF(OR($A1857="",$B1857=""),"",IF(ISNUMBER($A1857),INT(MOD($A1857,10000)/100),IFERROR(VALUE(TRIM(LEFT(MID($A1857,FIND("/",$A1857)+1,20),FIND("/",MID($A1857,FIND("/",$A1857)+1,20))-1))),"")))</f>
        <v/>
      </c>
      <c r="D1857">
        <f>IF(OR($A1857="",$B1857=""),"",IF(ISNUMBER($A1857),MOD($A1857,100),IFERROR(VALUE(TRIM(MID(MID($A1857,FIND("/",$A1857)+1,20),FIND("/",MID($A1857,FIND("/",$A1857)+1,20))+1,20))),"")))</f>
        <v/>
      </c>
      <c r="E1857">
        <f>IF($A1857="","",IF(OR($B1857="",$C1857="",$D1857="",$B1857&lt;1300,$B1857&gt;1500,$C1857&lt;1,$C1857&gt;12,$D1857&lt;1,$D1857&gt;31),"نامعتبر",RIGHT("0000"&amp;$B1857,4)&amp;"/"&amp;RIGHT("00"&amp;$C1857,2)&amp;"/"&amp;RIGHT("00"&amp;$D1857,2)))</f>
        <v/>
      </c>
      <c r="F1857">
        <f>IF(OR($E1857="",$E1857="نامعتبر"),"",LEFT($E1857,4)&amp;"/"&amp;MID($E1857,6,2))</f>
        <v/>
      </c>
      <c r="G1857">
        <f>IF(OR($E1857="",$E1857="نامعتبر",Sync!$Y1854=""),"",Sync!$Y1854)</f>
        <v/>
      </c>
      <c r="H1857">
        <f>IF($G1857="","",IF(Sync!$X1854="","",Sync!$X1854))</f>
        <v/>
      </c>
      <c r="I1857">
        <f>IF($G1857="","",IFERROR(VLOOKUP(Sync!$X1854,OpTbl,3,0),""))</f>
        <v/>
      </c>
      <c r="J1857">
        <f>IF(OR($G1857="",Sync!$Z1854=""),"",Sync!$Z1854)</f>
        <v/>
      </c>
      <c r="K1857">
        <f>IF(OR($G1857="",Sync!$AA1854=""),"",Sync!$AA1854)</f>
        <v/>
      </c>
      <c r="L1857">
        <f>IF($G1857="",0,IF(Sync!$AB1854="",0,Sync!$AB1854))</f>
        <v/>
      </c>
      <c r="M1857">
        <f>IF($G1857="",0,IF(Sync!$AC1854="",0,Sync!$AC1854))</f>
        <v/>
      </c>
      <c r="N1857">
        <f>IF($G1857="","",IF($H1857="مرجوعی خرید",-1,1)*($L1857-$M1857*IFERROR(VLOOKUP("P01",ParamTbl,3,0),1.5))*(1-IF($I1857="خرید",IFERROR(VLOOKUP("P02",ParamTbl,3,0),1),0)/100))</f>
        <v/>
      </c>
      <c r="O1857">
        <f>IF($G1857="",0,IF($H1857="مرجوعی خرید",-1,1)*IF(Sync!$AD1854="",0,Sync!$AD1854))</f>
        <v/>
      </c>
      <c r="P1857">
        <f>IF(OR($G1857="",Sync!$W1854=""),"",Sync!$W1854)</f>
        <v/>
      </c>
      <c r="Q1857">
        <f>IF(OR($G1857="",Sync!$AE1854=""),"",Sync!$AE1854)</f>
        <v/>
      </c>
      <c r="R1857">
        <f>IF($G1857="","",IF(Sync!$V1854="","0000",IF(AND(ISNUMBER(Sync!$V1854),Sync!$V1854&gt;=0,Sync!$V1854&lt;1),RIGHT("00"&amp;HOUR(Sync!$V1854),2)&amp;RIGHT("00"&amp;MINUTE(Sync!$V1854),2),IFERROR(RIGHT("00"&amp;VALUE(LEFT(Sync!$V1854,FIND(":",Sync!$V1854)-1)),2)&amp;RIGHT("00"&amp;VALUE(MID(Sync!$V1854,FIND(":",Sync!$V1854)+1,2)),2),"0000"))))</f>
        <v/>
      </c>
    </row>
    <row r="1858">
      <c r="A1858">
        <f>IF(Sync!$U1855="","",Sync!$U1855)</f>
        <v/>
      </c>
      <c r="B1858">
        <f>IF($A1858="","",IF(ISNUMBER($A1858),IF(AND($A1858&gt;=10000101,$A1858&lt;=99991231),INT($A1858/10000),""),IFERROR(VALUE(TRIM(LEFT($A1858,FIND("/",$A1858)-1))),"")))</f>
        <v/>
      </c>
      <c r="C1858">
        <f>IF(OR($A1858="",$B1858=""),"",IF(ISNUMBER($A1858),INT(MOD($A1858,10000)/100),IFERROR(VALUE(TRIM(LEFT(MID($A1858,FIND("/",$A1858)+1,20),FIND("/",MID($A1858,FIND("/",$A1858)+1,20))-1))),"")))</f>
        <v/>
      </c>
      <c r="D1858">
        <f>IF(OR($A1858="",$B1858=""),"",IF(ISNUMBER($A1858),MOD($A1858,100),IFERROR(VALUE(TRIM(MID(MID($A1858,FIND("/",$A1858)+1,20),FIND("/",MID($A1858,FIND("/",$A1858)+1,20))+1,20))),"")))</f>
        <v/>
      </c>
      <c r="E1858">
        <f>IF($A1858="","",IF(OR($B1858="",$C1858="",$D1858="",$B1858&lt;1300,$B1858&gt;1500,$C1858&lt;1,$C1858&gt;12,$D1858&lt;1,$D1858&gt;31),"نامعتبر",RIGHT("0000"&amp;$B1858,4)&amp;"/"&amp;RIGHT("00"&amp;$C1858,2)&amp;"/"&amp;RIGHT("00"&amp;$D1858,2)))</f>
        <v/>
      </c>
      <c r="F1858">
        <f>IF(OR($E1858="",$E1858="نامعتبر"),"",LEFT($E1858,4)&amp;"/"&amp;MID($E1858,6,2))</f>
        <v/>
      </c>
      <c r="G1858">
        <f>IF(OR($E1858="",$E1858="نامعتبر",Sync!$Y1855=""),"",Sync!$Y1855)</f>
        <v/>
      </c>
      <c r="H1858">
        <f>IF($G1858="","",IF(Sync!$X1855="","",Sync!$X1855))</f>
        <v/>
      </c>
      <c r="I1858">
        <f>IF($G1858="","",IFERROR(VLOOKUP(Sync!$X1855,OpTbl,3,0),""))</f>
        <v/>
      </c>
      <c r="J1858">
        <f>IF(OR($G1858="",Sync!$Z1855=""),"",Sync!$Z1855)</f>
        <v/>
      </c>
      <c r="K1858">
        <f>IF(OR($G1858="",Sync!$AA1855=""),"",Sync!$AA1855)</f>
        <v/>
      </c>
      <c r="L1858">
        <f>IF($G1858="",0,IF(Sync!$AB1855="",0,Sync!$AB1855))</f>
        <v/>
      </c>
      <c r="M1858">
        <f>IF($G1858="",0,IF(Sync!$AC1855="",0,Sync!$AC1855))</f>
        <v/>
      </c>
      <c r="N1858">
        <f>IF($G1858="","",IF($H1858="مرجوعی خرید",-1,1)*($L1858-$M1858*IFERROR(VLOOKUP("P01",ParamTbl,3,0),1.5))*(1-IF($I1858="خرید",IFERROR(VLOOKUP("P02",ParamTbl,3,0),1),0)/100))</f>
        <v/>
      </c>
      <c r="O1858">
        <f>IF($G1858="",0,IF($H1858="مرجوعی خرید",-1,1)*IF(Sync!$AD1855="",0,Sync!$AD1855))</f>
        <v/>
      </c>
      <c r="P1858">
        <f>IF(OR($G1858="",Sync!$W1855=""),"",Sync!$W1855)</f>
        <v/>
      </c>
      <c r="Q1858">
        <f>IF(OR($G1858="",Sync!$AE1855=""),"",Sync!$AE1855)</f>
        <v/>
      </c>
      <c r="R1858">
        <f>IF($G1858="","",IF(Sync!$V1855="","0000",IF(AND(ISNUMBER(Sync!$V1855),Sync!$V1855&gt;=0,Sync!$V1855&lt;1),RIGHT("00"&amp;HOUR(Sync!$V1855),2)&amp;RIGHT("00"&amp;MINUTE(Sync!$V1855),2),IFERROR(RIGHT("00"&amp;VALUE(LEFT(Sync!$V1855,FIND(":",Sync!$V1855)-1)),2)&amp;RIGHT("00"&amp;VALUE(MID(Sync!$V1855,FIND(":",Sync!$V1855)+1,2)),2),"0000"))))</f>
        <v/>
      </c>
    </row>
    <row r="1859">
      <c r="A1859">
        <f>IF(Sync!$U1856="","",Sync!$U1856)</f>
        <v/>
      </c>
      <c r="B1859">
        <f>IF($A1859="","",IF(ISNUMBER($A1859),IF(AND($A1859&gt;=10000101,$A1859&lt;=99991231),INT($A1859/10000),""),IFERROR(VALUE(TRIM(LEFT($A1859,FIND("/",$A1859)-1))),"")))</f>
        <v/>
      </c>
      <c r="C1859">
        <f>IF(OR($A1859="",$B1859=""),"",IF(ISNUMBER($A1859),INT(MOD($A1859,10000)/100),IFERROR(VALUE(TRIM(LEFT(MID($A1859,FIND("/",$A1859)+1,20),FIND("/",MID($A1859,FIND("/",$A1859)+1,20))-1))),"")))</f>
        <v/>
      </c>
      <c r="D1859">
        <f>IF(OR($A1859="",$B1859=""),"",IF(ISNUMBER($A1859),MOD($A1859,100),IFERROR(VALUE(TRIM(MID(MID($A1859,FIND("/",$A1859)+1,20),FIND("/",MID($A1859,FIND("/",$A1859)+1,20))+1,20))),"")))</f>
        <v/>
      </c>
      <c r="E1859">
        <f>IF($A1859="","",IF(OR($B1859="",$C1859="",$D1859="",$B1859&lt;1300,$B1859&gt;1500,$C1859&lt;1,$C1859&gt;12,$D1859&lt;1,$D1859&gt;31),"نامعتبر",RIGHT("0000"&amp;$B1859,4)&amp;"/"&amp;RIGHT("00"&amp;$C1859,2)&amp;"/"&amp;RIGHT("00"&amp;$D1859,2)))</f>
        <v/>
      </c>
      <c r="F1859">
        <f>IF(OR($E1859="",$E1859="نامعتبر"),"",LEFT($E1859,4)&amp;"/"&amp;MID($E1859,6,2))</f>
        <v/>
      </c>
      <c r="G1859">
        <f>IF(OR($E1859="",$E1859="نامعتبر",Sync!$Y1856=""),"",Sync!$Y1856)</f>
        <v/>
      </c>
      <c r="H1859">
        <f>IF($G1859="","",IF(Sync!$X1856="","",Sync!$X1856))</f>
        <v/>
      </c>
      <c r="I1859">
        <f>IF($G1859="","",IFERROR(VLOOKUP(Sync!$X1856,OpTbl,3,0),""))</f>
        <v/>
      </c>
      <c r="J1859">
        <f>IF(OR($G1859="",Sync!$Z1856=""),"",Sync!$Z1856)</f>
        <v/>
      </c>
      <c r="K1859">
        <f>IF(OR($G1859="",Sync!$AA1856=""),"",Sync!$AA1856)</f>
        <v/>
      </c>
      <c r="L1859">
        <f>IF($G1859="",0,IF(Sync!$AB1856="",0,Sync!$AB1856))</f>
        <v/>
      </c>
      <c r="M1859">
        <f>IF($G1859="",0,IF(Sync!$AC1856="",0,Sync!$AC1856))</f>
        <v/>
      </c>
      <c r="N1859">
        <f>IF($G1859="","",IF($H1859="مرجوعی خرید",-1,1)*($L1859-$M1859*IFERROR(VLOOKUP("P01",ParamTbl,3,0),1.5))*(1-IF($I1859="خرید",IFERROR(VLOOKUP("P02",ParamTbl,3,0),1),0)/100))</f>
        <v/>
      </c>
      <c r="O1859">
        <f>IF($G1859="",0,IF($H1859="مرجوعی خرید",-1,1)*IF(Sync!$AD1856="",0,Sync!$AD1856))</f>
        <v/>
      </c>
      <c r="P1859">
        <f>IF(OR($G1859="",Sync!$W1856=""),"",Sync!$W1856)</f>
        <v/>
      </c>
      <c r="Q1859">
        <f>IF(OR($G1859="",Sync!$AE1856=""),"",Sync!$AE1856)</f>
        <v/>
      </c>
      <c r="R1859">
        <f>IF($G1859="","",IF(Sync!$V1856="","0000",IF(AND(ISNUMBER(Sync!$V1856),Sync!$V1856&gt;=0,Sync!$V1856&lt;1),RIGHT("00"&amp;HOUR(Sync!$V1856),2)&amp;RIGHT("00"&amp;MINUTE(Sync!$V1856),2),IFERROR(RIGHT("00"&amp;VALUE(LEFT(Sync!$V1856,FIND(":",Sync!$V1856)-1)),2)&amp;RIGHT("00"&amp;VALUE(MID(Sync!$V1856,FIND(":",Sync!$V1856)+1,2)),2),"0000"))))</f>
        <v/>
      </c>
    </row>
    <row r="1860">
      <c r="A1860">
        <f>IF(Sync!$U1857="","",Sync!$U1857)</f>
        <v/>
      </c>
      <c r="B1860">
        <f>IF($A1860="","",IF(ISNUMBER($A1860),IF(AND($A1860&gt;=10000101,$A1860&lt;=99991231),INT($A1860/10000),""),IFERROR(VALUE(TRIM(LEFT($A1860,FIND("/",$A1860)-1))),"")))</f>
        <v/>
      </c>
      <c r="C1860">
        <f>IF(OR($A1860="",$B1860=""),"",IF(ISNUMBER($A1860),INT(MOD($A1860,10000)/100),IFERROR(VALUE(TRIM(LEFT(MID($A1860,FIND("/",$A1860)+1,20),FIND("/",MID($A1860,FIND("/",$A1860)+1,20))-1))),"")))</f>
        <v/>
      </c>
      <c r="D1860">
        <f>IF(OR($A1860="",$B1860=""),"",IF(ISNUMBER($A1860),MOD($A1860,100),IFERROR(VALUE(TRIM(MID(MID($A1860,FIND("/",$A1860)+1,20),FIND("/",MID($A1860,FIND("/",$A1860)+1,20))+1,20))),"")))</f>
        <v/>
      </c>
      <c r="E1860">
        <f>IF($A1860="","",IF(OR($B1860="",$C1860="",$D1860="",$B1860&lt;1300,$B1860&gt;1500,$C1860&lt;1,$C1860&gt;12,$D1860&lt;1,$D1860&gt;31),"نامعتبر",RIGHT("0000"&amp;$B1860,4)&amp;"/"&amp;RIGHT("00"&amp;$C1860,2)&amp;"/"&amp;RIGHT("00"&amp;$D1860,2)))</f>
        <v/>
      </c>
      <c r="F1860">
        <f>IF(OR($E1860="",$E1860="نامعتبر"),"",LEFT($E1860,4)&amp;"/"&amp;MID($E1860,6,2))</f>
        <v/>
      </c>
      <c r="G1860">
        <f>IF(OR($E1860="",$E1860="نامعتبر",Sync!$Y1857=""),"",Sync!$Y1857)</f>
        <v/>
      </c>
      <c r="H1860">
        <f>IF($G1860="","",IF(Sync!$X1857="","",Sync!$X1857))</f>
        <v/>
      </c>
      <c r="I1860">
        <f>IF($G1860="","",IFERROR(VLOOKUP(Sync!$X1857,OpTbl,3,0),""))</f>
        <v/>
      </c>
      <c r="J1860">
        <f>IF(OR($G1860="",Sync!$Z1857=""),"",Sync!$Z1857)</f>
        <v/>
      </c>
      <c r="K1860">
        <f>IF(OR($G1860="",Sync!$AA1857=""),"",Sync!$AA1857)</f>
        <v/>
      </c>
      <c r="L1860">
        <f>IF($G1860="",0,IF(Sync!$AB1857="",0,Sync!$AB1857))</f>
        <v/>
      </c>
      <c r="M1860">
        <f>IF($G1860="",0,IF(Sync!$AC1857="",0,Sync!$AC1857))</f>
        <v/>
      </c>
      <c r="N1860">
        <f>IF($G1860="","",IF($H1860="مرجوعی خرید",-1,1)*($L1860-$M1860*IFERROR(VLOOKUP("P01",ParamTbl,3,0),1.5))*(1-IF($I1860="خرید",IFERROR(VLOOKUP("P02",ParamTbl,3,0),1),0)/100))</f>
        <v/>
      </c>
      <c r="O1860">
        <f>IF($G1860="",0,IF($H1860="مرجوعی خرید",-1,1)*IF(Sync!$AD1857="",0,Sync!$AD1857))</f>
        <v/>
      </c>
      <c r="P1860">
        <f>IF(OR($G1860="",Sync!$W1857=""),"",Sync!$W1857)</f>
        <v/>
      </c>
      <c r="Q1860">
        <f>IF(OR($G1860="",Sync!$AE1857=""),"",Sync!$AE1857)</f>
        <v/>
      </c>
      <c r="R1860">
        <f>IF($G1860="","",IF(Sync!$V1857="","0000",IF(AND(ISNUMBER(Sync!$V1857),Sync!$V1857&gt;=0,Sync!$V1857&lt;1),RIGHT("00"&amp;HOUR(Sync!$V1857),2)&amp;RIGHT("00"&amp;MINUTE(Sync!$V1857),2),IFERROR(RIGHT("00"&amp;VALUE(LEFT(Sync!$V1857,FIND(":",Sync!$V1857)-1)),2)&amp;RIGHT("00"&amp;VALUE(MID(Sync!$V1857,FIND(":",Sync!$V1857)+1,2)),2),"0000"))))</f>
        <v/>
      </c>
    </row>
    <row r="1861">
      <c r="A1861">
        <f>IF(Sync!$U1858="","",Sync!$U1858)</f>
        <v/>
      </c>
      <c r="B1861">
        <f>IF($A1861="","",IF(ISNUMBER($A1861),IF(AND($A1861&gt;=10000101,$A1861&lt;=99991231),INT($A1861/10000),""),IFERROR(VALUE(TRIM(LEFT($A1861,FIND("/",$A1861)-1))),"")))</f>
        <v/>
      </c>
      <c r="C1861">
        <f>IF(OR($A1861="",$B1861=""),"",IF(ISNUMBER($A1861),INT(MOD($A1861,10000)/100),IFERROR(VALUE(TRIM(LEFT(MID($A1861,FIND("/",$A1861)+1,20),FIND("/",MID($A1861,FIND("/",$A1861)+1,20))-1))),"")))</f>
        <v/>
      </c>
      <c r="D1861">
        <f>IF(OR($A1861="",$B1861=""),"",IF(ISNUMBER($A1861),MOD($A1861,100),IFERROR(VALUE(TRIM(MID(MID($A1861,FIND("/",$A1861)+1,20),FIND("/",MID($A1861,FIND("/",$A1861)+1,20))+1,20))),"")))</f>
        <v/>
      </c>
      <c r="E1861">
        <f>IF($A1861="","",IF(OR($B1861="",$C1861="",$D1861="",$B1861&lt;1300,$B1861&gt;1500,$C1861&lt;1,$C1861&gt;12,$D1861&lt;1,$D1861&gt;31),"نامعتبر",RIGHT("0000"&amp;$B1861,4)&amp;"/"&amp;RIGHT("00"&amp;$C1861,2)&amp;"/"&amp;RIGHT("00"&amp;$D1861,2)))</f>
        <v/>
      </c>
      <c r="F1861">
        <f>IF(OR($E1861="",$E1861="نامعتبر"),"",LEFT($E1861,4)&amp;"/"&amp;MID($E1861,6,2))</f>
        <v/>
      </c>
      <c r="G1861">
        <f>IF(OR($E1861="",$E1861="نامعتبر",Sync!$Y1858=""),"",Sync!$Y1858)</f>
        <v/>
      </c>
      <c r="H1861">
        <f>IF($G1861="","",IF(Sync!$X1858="","",Sync!$X1858))</f>
        <v/>
      </c>
      <c r="I1861">
        <f>IF($G1861="","",IFERROR(VLOOKUP(Sync!$X1858,OpTbl,3,0),""))</f>
        <v/>
      </c>
      <c r="J1861">
        <f>IF(OR($G1861="",Sync!$Z1858=""),"",Sync!$Z1858)</f>
        <v/>
      </c>
      <c r="K1861">
        <f>IF(OR($G1861="",Sync!$AA1858=""),"",Sync!$AA1858)</f>
        <v/>
      </c>
      <c r="L1861">
        <f>IF($G1861="",0,IF(Sync!$AB1858="",0,Sync!$AB1858))</f>
        <v/>
      </c>
      <c r="M1861">
        <f>IF($G1861="",0,IF(Sync!$AC1858="",0,Sync!$AC1858))</f>
        <v/>
      </c>
      <c r="N1861">
        <f>IF($G1861="","",IF($H1861="مرجوعی خرید",-1,1)*($L1861-$M1861*IFERROR(VLOOKUP("P01",ParamTbl,3,0),1.5))*(1-IF($I1861="خرید",IFERROR(VLOOKUP("P02",ParamTbl,3,0),1),0)/100))</f>
        <v/>
      </c>
      <c r="O1861">
        <f>IF($G1861="",0,IF($H1861="مرجوعی خرید",-1,1)*IF(Sync!$AD1858="",0,Sync!$AD1858))</f>
        <v/>
      </c>
      <c r="P1861">
        <f>IF(OR($G1861="",Sync!$W1858=""),"",Sync!$W1858)</f>
        <v/>
      </c>
      <c r="Q1861">
        <f>IF(OR($G1861="",Sync!$AE1858=""),"",Sync!$AE1858)</f>
        <v/>
      </c>
      <c r="R1861">
        <f>IF($G1861="","",IF(Sync!$V1858="","0000",IF(AND(ISNUMBER(Sync!$V1858),Sync!$V1858&gt;=0,Sync!$V1858&lt;1),RIGHT("00"&amp;HOUR(Sync!$V1858),2)&amp;RIGHT("00"&amp;MINUTE(Sync!$V1858),2),IFERROR(RIGHT("00"&amp;VALUE(LEFT(Sync!$V1858,FIND(":",Sync!$V1858)-1)),2)&amp;RIGHT("00"&amp;VALUE(MID(Sync!$V1858,FIND(":",Sync!$V1858)+1,2)),2),"0000"))))</f>
        <v/>
      </c>
    </row>
    <row r="1862">
      <c r="A1862">
        <f>IF(Sync!$U1859="","",Sync!$U1859)</f>
        <v/>
      </c>
      <c r="B1862">
        <f>IF($A1862="","",IF(ISNUMBER($A1862),IF(AND($A1862&gt;=10000101,$A1862&lt;=99991231),INT($A1862/10000),""),IFERROR(VALUE(TRIM(LEFT($A1862,FIND("/",$A1862)-1))),"")))</f>
        <v/>
      </c>
      <c r="C1862">
        <f>IF(OR($A1862="",$B1862=""),"",IF(ISNUMBER($A1862),INT(MOD($A1862,10000)/100),IFERROR(VALUE(TRIM(LEFT(MID($A1862,FIND("/",$A1862)+1,20),FIND("/",MID($A1862,FIND("/",$A1862)+1,20))-1))),"")))</f>
        <v/>
      </c>
      <c r="D1862">
        <f>IF(OR($A1862="",$B1862=""),"",IF(ISNUMBER($A1862),MOD($A1862,100),IFERROR(VALUE(TRIM(MID(MID($A1862,FIND("/",$A1862)+1,20),FIND("/",MID($A1862,FIND("/",$A1862)+1,20))+1,20))),"")))</f>
        <v/>
      </c>
      <c r="E1862">
        <f>IF($A1862="","",IF(OR($B1862="",$C1862="",$D1862="",$B1862&lt;1300,$B1862&gt;1500,$C1862&lt;1,$C1862&gt;12,$D1862&lt;1,$D1862&gt;31),"نامعتبر",RIGHT("0000"&amp;$B1862,4)&amp;"/"&amp;RIGHT("00"&amp;$C1862,2)&amp;"/"&amp;RIGHT("00"&amp;$D1862,2)))</f>
        <v/>
      </c>
      <c r="F1862">
        <f>IF(OR($E1862="",$E1862="نامعتبر"),"",LEFT($E1862,4)&amp;"/"&amp;MID($E1862,6,2))</f>
        <v/>
      </c>
      <c r="G1862">
        <f>IF(OR($E1862="",$E1862="نامعتبر",Sync!$Y1859=""),"",Sync!$Y1859)</f>
        <v/>
      </c>
      <c r="H1862">
        <f>IF($G1862="","",IF(Sync!$X1859="","",Sync!$X1859))</f>
        <v/>
      </c>
      <c r="I1862">
        <f>IF($G1862="","",IFERROR(VLOOKUP(Sync!$X1859,OpTbl,3,0),""))</f>
        <v/>
      </c>
      <c r="J1862">
        <f>IF(OR($G1862="",Sync!$Z1859=""),"",Sync!$Z1859)</f>
        <v/>
      </c>
      <c r="K1862">
        <f>IF(OR($G1862="",Sync!$AA1859=""),"",Sync!$AA1859)</f>
        <v/>
      </c>
      <c r="L1862">
        <f>IF($G1862="",0,IF(Sync!$AB1859="",0,Sync!$AB1859))</f>
        <v/>
      </c>
      <c r="M1862">
        <f>IF($G1862="",0,IF(Sync!$AC1859="",0,Sync!$AC1859))</f>
        <v/>
      </c>
      <c r="N1862">
        <f>IF($G1862="","",IF($H1862="مرجوعی خرید",-1,1)*($L1862-$M1862*IFERROR(VLOOKUP("P01",ParamTbl,3,0),1.5))*(1-IF($I1862="خرید",IFERROR(VLOOKUP("P02",ParamTbl,3,0),1),0)/100))</f>
        <v/>
      </c>
      <c r="O1862">
        <f>IF($G1862="",0,IF($H1862="مرجوعی خرید",-1,1)*IF(Sync!$AD1859="",0,Sync!$AD1859))</f>
        <v/>
      </c>
      <c r="P1862">
        <f>IF(OR($G1862="",Sync!$W1859=""),"",Sync!$W1859)</f>
        <v/>
      </c>
      <c r="Q1862">
        <f>IF(OR($G1862="",Sync!$AE1859=""),"",Sync!$AE1859)</f>
        <v/>
      </c>
      <c r="R1862">
        <f>IF($G1862="","",IF(Sync!$V1859="","0000",IF(AND(ISNUMBER(Sync!$V1859),Sync!$V1859&gt;=0,Sync!$V1859&lt;1),RIGHT("00"&amp;HOUR(Sync!$V1859),2)&amp;RIGHT("00"&amp;MINUTE(Sync!$V1859),2),IFERROR(RIGHT("00"&amp;VALUE(LEFT(Sync!$V1859,FIND(":",Sync!$V1859)-1)),2)&amp;RIGHT("00"&amp;VALUE(MID(Sync!$V1859,FIND(":",Sync!$V1859)+1,2)),2),"0000"))))</f>
        <v/>
      </c>
    </row>
    <row r="1863">
      <c r="A1863">
        <f>IF(Sync!$U1860="","",Sync!$U1860)</f>
        <v/>
      </c>
      <c r="B1863">
        <f>IF($A1863="","",IF(ISNUMBER($A1863),IF(AND($A1863&gt;=10000101,$A1863&lt;=99991231),INT($A1863/10000),""),IFERROR(VALUE(TRIM(LEFT($A1863,FIND("/",$A1863)-1))),"")))</f>
        <v/>
      </c>
      <c r="C1863">
        <f>IF(OR($A1863="",$B1863=""),"",IF(ISNUMBER($A1863),INT(MOD($A1863,10000)/100),IFERROR(VALUE(TRIM(LEFT(MID($A1863,FIND("/",$A1863)+1,20),FIND("/",MID($A1863,FIND("/",$A1863)+1,20))-1))),"")))</f>
        <v/>
      </c>
      <c r="D1863">
        <f>IF(OR($A1863="",$B1863=""),"",IF(ISNUMBER($A1863),MOD($A1863,100),IFERROR(VALUE(TRIM(MID(MID($A1863,FIND("/",$A1863)+1,20),FIND("/",MID($A1863,FIND("/",$A1863)+1,20))+1,20))),"")))</f>
        <v/>
      </c>
      <c r="E1863">
        <f>IF($A1863="","",IF(OR($B1863="",$C1863="",$D1863="",$B1863&lt;1300,$B1863&gt;1500,$C1863&lt;1,$C1863&gt;12,$D1863&lt;1,$D1863&gt;31),"نامعتبر",RIGHT("0000"&amp;$B1863,4)&amp;"/"&amp;RIGHT("00"&amp;$C1863,2)&amp;"/"&amp;RIGHT("00"&amp;$D1863,2)))</f>
        <v/>
      </c>
      <c r="F1863">
        <f>IF(OR($E1863="",$E1863="نامعتبر"),"",LEFT($E1863,4)&amp;"/"&amp;MID($E1863,6,2))</f>
        <v/>
      </c>
      <c r="G1863">
        <f>IF(OR($E1863="",$E1863="نامعتبر",Sync!$Y1860=""),"",Sync!$Y1860)</f>
        <v/>
      </c>
      <c r="H1863">
        <f>IF($G1863="","",IF(Sync!$X1860="","",Sync!$X1860))</f>
        <v/>
      </c>
      <c r="I1863">
        <f>IF($G1863="","",IFERROR(VLOOKUP(Sync!$X1860,OpTbl,3,0),""))</f>
        <v/>
      </c>
      <c r="J1863">
        <f>IF(OR($G1863="",Sync!$Z1860=""),"",Sync!$Z1860)</f>
        <v/>
      </c>
      <c r="K1863">
        <f>IF(OR($G1863="",Sync!$AA1860=""),"",Sync!$AA1860)</f>
        <v/>
      </c>
      <c r="L1863">
        <f>IF($G1863="",0,IF(Sync!$AB1860="",0,Sync!$AB1860))</f>
        <v/>
      </c>
      <c r="M1863">
        <f>IF($G1863="",0,IF(Sync!$AC1860="",0,Sync!$AC1860))</f>
        <v/>
      </c>
      <c r="N1863">
        <f>IF($G1863="","",IF($H1863="مرجوعی خرید",-1,1)*($L1863-$M1863*IFERROR(VLOOKUP("P01",ParamTbl,3,0),1.5))*(1-IF($I1863="خرید",IFERROR(VLOOKUP("P02",ParamTbl,3,0),1),0)/100))</f>
        <v/>
      </c>
      <c r="O1863">
        <f>IF($G1863="",0,IF($H1863="مرجوعی خرید",-1,1)*IF(Sync!$AD1860="",0,Sync!$AD1860))</f>
        <v/>
      </c>
      <c r="P1863">
        <f>IF(OR($G1863="",Sync!$W1860=""),"",Sync!$W1860)</f>
        <v/>
      </c>
      <c r="Q1863">
        <f>IF(OR($G1863="",Sync!$AE1860=""),"",Sync!$AE1860)</f>
        <v/>
      </c>
      <c r="R1863">
        <f>IF($G1863="","",IF(Sync!$V1860="","0000",IF(AND(ISNUMBER(Sync!$V1860),Sync!$V1860&gt;=0,Sync!$V1860&lt;1),RIGHT("00"&amp;HOUR(Sync!$V1860),2)&amp;RIGHT("00"&amp;MINUTE(Sync!$V1860),2),IFERROR(RIGHT("00"&amp;VALUE(LEFT(Sync!$V1860,FIND(":",Sync!$V1860)-1)),2)&amp;RIGHT("00"&amp;VALUE(MID(Sync!$V1860,FIND(":",Sync!$V1860)+1,2)),2),"0000"))))</f>
        <v/>
      </c>
    </row>
    <row r="1864">
      <c r="A1864">
        <f>IF(Sync!$U1861="","",Sync!$U1861)</f>
        <v/>
      </c>
      <c r="B1864">
        <f>IF($A1864="","",IF(ISNUMBER($A1864),IF(AND($A1864&gt;=10000101,$A1864&lt;=99991231),INT($A1864/10000),""),IFERROR(VALUE(TRIM(LEFT($A1864,FIND("/",$A1864)-1))),"")))</f>
        <v/>
      </c>
      <c r="C1864">
        <f>IF(OR($A1864="",$B1864=""),"",IF(ISNUMBER($A1864),INT(MOD($A1864,10000)/100),IFERROR(VALUE(TRIM(LEFT(MID($A1864,FIND("/",$A1864)+1,20),FIND("/",MID($A1864,FIND("/",$A1864)+1,20))-1))),"")))</f>
        <v/>
      </c>
      <c r="D1864">
        <f>IF(OR($A1864="",$B1864=""),"",IF(ISNUMBER($A1864),MOD($A1864,100),IFERROR(VALUE(TRIM(MID(MID($A1864,FIND("/",$A1864)+1,20),FIND("/",MID($A1864,FIND("/",$A1864)+1,20))+1,20))),"")))</f>
        <v/>
      </c>
      <c r="E1864">
        <f>IF($A1864="","",IF(OR($B1864="",$C1864="",$D1864="",$B1864&lt;1300,$B1864&gt;1500,$C1864&lt;1,$C1864&gt;12,$D1864&lt;1,$D1864&gt;31),"نامعتبر",RIGHT("0000"&amp;$B1864,4)&amp;"/"&amp;RIGHT("00"&amp;$C1864,2)&amp;"/"&amp;RIGHT("00"&amp;$D1864,2)))</f>
        <v/>
      </c>
      <c r="F1864">
        <f>IF(OR($E1864="",$E1864="نامعتبر"),"",LEFT($E1864,4)&amp;"/"&amp;MID($E1864,6,2))</f>
        <v/>
      </c>
      <c r="G1864">
        <f>IF(OR($E1864="",$E1864="نامعتبر",Sync!$Y1861=""),"",Sync!$Y1861)</f>
        <v/>
      </c>
      <c r="H1864">
        <f>IF($G1864="","",IF(Sync!$X1861="","",Sync!$X1861))</f>
        <v/>
      </c>
      <c r="I1864">
        <f>IF($G1864="","",IFERROR(VLOOKUP(Sync!$X1861,OpTbl,3,0),""))</f>
        <v/>
      </c>
      <c r="J1864">
        <f>IF(OR($G1864="",Sync!$Z1861=""),"",Sync!$Z1861)</f>
        <v/>
      </c>
      <c r="K1864">
        <f>IF(OR($G1864="",Sync!$AA1861=""),"",Sync!$AA1861)</f>
        <v/>
      </c>
      <c r="L1864">
        <f>IF($G1864="",0,IF(Sync!$AB1861="",0,Sync!$AB1861))</f>
        <v/>
      </c>
      <c r="M1864">
        <f>IF($G1864="",0,IF(Sync!$AC1861="",0,Sync!$AC1861))</f>
        <v/>
      </c>
      <c r="N1864">
        <f>IF($G1864="","",IF($H1864="مرجوعی خرید",-1,1)*($L1864-$M1864*IFERROR(VLOOKUP("P01",ParamTbl,3,0),1.5))*(1-IF($I1864="خرید",IFERROR(VLOOKUP("P02",ParamTbl,3,0),1),0)/100))</f>
        <v/>
      </c>
      <c r="O1864">
        <f>IF($G1864="",0,IF($H1864="مرجوعی خرید",-1,1)*IF(Sync!$AD1861="",0,Sync!$AD1861))</f>
        <v/>
      </c>
      <c r="P1864">
        <f>IF(OR($G1864="",Sync!$W1861=""),"",Sync!$W1861)</f>
        <v/>
      </c>
      <c r="Q1864">
        <f>IF(OR($G1864="",Sync!$AE1861=""),"",Sync!$AE1861)</f>
        <v/>
      </c>
      <c r="R1864">
        <f>IF($G1864="","",IF(Sync!$V1861="","0000",IF(AND(ISNUMBER(Sync!$V1861),Sync!$V1861&gt;=0,Sync!$V1861&lt;1),RIGHT("00"&amp;HOUR(Sync!$V1861),2)&amp;RIGHT("00"&amp;MINUTE(Sync!$V1861),2),IFERROR(RIGHT("00"&amp;VALUE(LEFT(Sync!$V1861,FIND(":",Sync!$V1861)-1)),2)&amp;RIGHT("00"&amp;VALUE(MID(Sync!$V1861,FIND(":",Sync!$V1861)+1,2)),2),"0000"))))</f>
        <v/>
      </c>
    </row>
    <row r="1865">
      <c r="A1865">
        <f>IF(Sync!$U1862="","",Sync!$U1862)</f>
        <v/>
      </c>
      <c r="B1865">
        <f>IF($A1865="","",IF(ISNUMBER($A1865),IF(AND($A1865&gt;=10000101,$A1865&lt;=99991231),INT($A1865/10000),""),IFERROR(VALUE(TRIM(LEFT($A1865,FIND("/",$A1865)-1))),"")))</f>
        <v/>
      </c>
      <c r="C1865">
        <f>IF(OR($A1865="",$B1865=""),"",IF(ISNUMBER($A1865),INT(MOD($A1865,10000)/100),IFERROR(VALUE(TRIM(LEFT(MID($A1865,FIND("/",$A1865)+1,20),FIND("/",MID($A1865,FIND("/",$A1865)+1,20))-1))),"")))</f>
        <v/>
      </c>
      <c r="D1865">
        <f>IF(OR($A1865="",$B1865=""),"",IF(ISNUMBER($A1865),MOD($A1865,100),IFERROR(VALUE(TRIM(MID(MID($A1865,FIND("/",$A1865)+1,20),FIND("/",MID($A1865,FIND("/",$A1865)+1,20))+1,20))),"")))</f>
        <v/>
      </c>
      <c r="E1865">
        <f>IF($A1865="","",IF(OR($B1865="",$C1865="",$D1865="",$B1865&lt;1300,$B1865&gt;1500,$C1865&lt;1,$C1865&gt;12,$D1865&lt;1,$D1865&gt;31),"نامعتبر",RIGHT("0000"&amp;$B1865,4)&amp;"/"&amp;RIGHT("00"&amp;$C1865,2)&amp;"/"&amp;RIGHT("00"&amp;$D1865,2)))</f>
        <v/>
      </c>
      <c r="F1865">
        <f>IF(OR($E1865="",$E1865="نامعتبر"),"",LEFT($E1865,4)&amp;"/"&amp;MID($E1865,6,2))</f>
        <v/>
      </c>
      <c r="G1865">
        <f>IF(OR($E1865="",$E1865="نامعتبر",Sync!$Y1862=""),"",Sync!$Y1862)</f>
        <v/>
      </c>
      <c r="H1865">
        <f>IF($G1865="","",IF(Sync!$X1862="","",Sync!$X1862))</f>
        <v/>
      </c>
      <c r="I1865">
        <f>IF($G1865="","",IFERROR(VLOOKUP(Sync!$X1862,OpTbl,3,0),""))</f>
        <v/>
      </c>
      <c r="J1865">
        <f>IF(OR($G1865="",Sync!$Z1862=""),"",Sync!$Z1862)</f>
        <v/>
      </c>
      <c r="K1865">
        <f>IF(OR($G1865="",Sync!$AA1862=""),"",Sync!$AA1862)</f>
        <v/>
      </c>
      <c r="L1865">
        <f>IF($G1865="",0,IF(Sync!$AB1862="",0,Sync!$AB1862))</f>
        <v/>
      </c>
      <c r="M1865">
        <f>IF($G1865="",0,IF(Sync!$AC1862="",0,Sync!$AC1862))</f>
        <v/>
      </c>
      <c r="N1865">
        <f>IF($G1865="","",IF($H1865="مرجوعی خرید",-1,1)*($L1865-$M1865*IFERROR(VLOOKUP("P01",ParamTbl,3,0),1.5))*(1-IF($I1865="خرید",IFERROR(VLOOKUP("P02",ParamTbl,3,0),1),0)/100))</f>
        <v/>
      </c>
      <c r="O1865">
        <f>IF($G1865="",0,IF($H1865="مرجوعی خرید",-1,1)*IF(Sync!$AD1862="",0,Sync!$AD1862))</f>
        <v/>
      </c>
      <c r="P1865">
        <f>IF(OR($G1865="",Sync!$W1862=""),"",Sync!$W1862)</f>
        <v/>
      </c>
      <c r="Q1865">
        <f>IF(OR($G1865="",Sync!$AE1862=""),"",Sync!$AE1862)</f>
        <v/>
      </c>
      <c r="R1865">
        <f>IF($G1865="","",IF(Sync!$V1862="","0000",IF(AND(ISNUMBER(Sync!$V1862),Sync!$V1862&gt;=0,Sync!$V1862&lt;1),RIGHT("00"&amp;HOUR(Sync!$V1862),2)&amp;RIGHT("00"&amp;MINUTE(Sync!$V1862),2),IFERROR(RIGHT("00"&amp;VALUE(LEFT(Sync!$V1862,FIND(":",Sync!$V1862)-1)),2)&amp;RIGHT("00"&amp;VALUE(MID(Sync!$V1862,FIND(":",Sync!$V1862)+1,2)),2),"0000"))))</f>
        <v/>
      </c>
    </row>
    <row r="1866">
      <c r="A1866">
        <f>IF(Sync!$U1863="","",Sync!$U1863)</f>
        <v/>
      </c>
      <c r="B1866">
        <f>IF($A1866="","",IF(ISNUMBER($A1866),IF(AND($A1866&gt;=10000101,$A1866&lt;=99991231),INT($A1866/10000),""),IFERROR(VALUE(TRIM(LEFT($A1866,FIND("/",$A1866)-1))),"")))</f>
        <v/>
      </c>
      <c r="C1866">
        <f>IF(OR($A1866="",$B1866=""),"",IF(ISNUMBER($A1866),INT(MOD($A1866,10000)/100),IFERROR(VALUE(TRIM(LEFT(MID($A1866,FIND("/",$A1866)+1,20),FIND("/",MID($A1866,FIND("/",$A1866)+1,20))-1))),"")))</f>
        <v/>
      </c>
      <c r="D1866">
        <f>IF(OR($A1866="",$B1866=""),"",IF(ISNUMBER($A1866),MOD($A1866,100),IFERROR(VALUE(TRIM(MID(MID($A1866,FIND("/",$A1866)+1,20),FIND("/",MID($A1866,FIND("/",$A1866)+1,20))+1,20))),"")))</f>
        <v/>
      </c>
      <c r="E1866">
        <f>IF($A1866="","",IF(OR($B1866="",$C1866="",$D1866="",$B1866&lt;1300,$B1866&gt;1500,$C1866&lt;1,$C1866&gt;12,$D1866&lt;1,$D1866&gt;31),"نامعتبر",RIGHT("0000"&amp;$B1866,4)&amp;"/"&amp;RIGHT("00"&amp;$C1866,2)&amp;"/"&amp;RIGHT("00"&amp;$D1866,2)))</f>
        <v/>
      </c>
      <c r="F1866">
        <f>IF(OR($E1866="",$E1866="نامعتبر"),"",LEFT($E1866,4)&amp;"/"&amp;MID($E1866,6,2))</f>
        <v/>
      </c>
      <c r="G1866">
        <f>IF(OR($E1866="",$E1866="نامعتبر",Sync!$Y1863=""),"",Sync!$Y1863)</f>
        <v/>
      </c>
      <c r="H1866">
        <f>IF($G1866="","",IF(Sync!$X1863="","",Sync!$X1863))</f>
        <v/>
      </c>
      <c r="I1866">
        <f>IF($G1866="","",IFERROR(VLOOKUP(Sync!$X1863,OpTbl,3,0),""))</f>
        <v/>
      </c>
      <c r="J1866">
        <f>IF(OR($G1866="",Sync!$Z1863=""),"",Sync!$Z1863)</f>
        <v/>
      </c>
      <c r="K1866">
        <f>IF(OR($G1866="",Sync!$AA1863=""),"",Sync!$AA1863)</f>
        <v/>
      </c>
      <c r="L1866">
        <f>IF($G1866="",0,IF(Sync!$AB1863="",0,Sync!$AB1863))</f>
        <v/>
      </c>
      <c r="M1866">
        <f>IF($G1866="",0,IF(Sync!$AC1863="",0,Sync!$AC1863))</f>
        <v/>
      </c>
      <c r="N1866">
        <f>IF($G1866="","",IF($H1866="مرجوعی خرید",-1,1)*($L1866-$M1866*IFERROR(VLOOKUP("P01",ParamTbl,3,0),1.5))*(1-IF($I1866="خرید",IFERROR(VLOOKUP("P02",ParamTbl,3,0),1),0)/100))</f>
        <v/>
      </c>
      <c r="O1866">
        <f>IF($G1866="",0,IF($H1866="مرجوعی خرید",-1,1)*IF(Sync!$AD1863="",0,Sync!$AD1863))</f>
        <v/>
      </c>
      <c r="P1866">
        <f>IF(OR($G1866="",Sync!$W1863=""),"",Sync!$W1863)</f>
        <v/>
      </c>
      <c r="Q1866">
        <f>IF(OR($G1866="",Sync!$AE1863=""),"",Sync!$AE1863)</f>
        <v/>
      </c>
      <c r="R1866">
        <f>IF($G1866="","",IF(Sync!$V1863="","0000",IF(AND(ISNUMBER(Sync!$V1863),Sync!$V1863&gt;=0,Sync!$V1863&lt;1),RIGHT("00"&amp;HOUR(Sync!$V1863),2)&amp;RIGHT("00"&amp;MINUTE(Sync!$V1863),2),IFERROR(RIGHT("00"&amp;VALUE(LEFT(Sync!$V1863,FIND(":",Sync!$V1863)-1)),2)&amp;RIGHT("00"&amp;VALUE(MID(Sync!$V1863,FIND(":",Sync!$V1863)+1,2)),2),"0000"))))</f>
        <v/>
      </c>
    </row>
    <row r="1867">
      <c r="A1867">
        <f>IF(Sync!$U1864="","",Sync!$U1864)</f>
        <v/>
      </c>
      <c r="B1867">
        <f>IF($A1867="","",IF(ISNUMBER($A1867),IF(AND($A1867&gt;=10000101,$A1867&lt;=99991231),INT($A1867/10000),""),IFERROR(VALUE(TRIM(LEFT($A1867,FIND("/",$A1867)-1))),"")))</f>
        <v/>
      </c>
      <c r="C1867">
        <f>IF(OR($A1867="",$B1867=""),"",IF(ISNUMBER($A1867),INT(MOD($A1867,10000)/100),IFERROR(VALUE(TRIM(LEFT(MID($A1867,FIND("/",$A1867)+1,20),FIND("/",MID($A1867,FIND("/",$A1867)+1,20))-1))),"")))</f>
        <v/>
      </c>
      <c r="D1867">
        <f>IF(OR($A1867="",$B1867=""),"",IF(ISNUMBER($A1867),MOD($A1867,100),IFERROR(VALUE(TRIM(MID(MID($A1867,FIND("/",$A1867)+1,20),FIND("/",MID($A1867,FIND("/",$A1867)+1,20))+1,20))),"")))</f>
        <v/>
      </c>
      <c r="E1867">
        <f>IF($A1867="","",IF(OR($B1867="",$C1867="",$D1867="",$B1867&lt;1300,$B1867&gt;1500,$C1867&lt;1,$C1867&gt;12,$D1867&lt;1,$D1867&gt;31),"نامعتبر",RIGHT("0000"&amp;$B1867,4)&amp;"/"&amp;RIGHT("00"&amp;$C1867,2)&amp;"/"&amp;RIGHT("00"&amp;$D1867,2)))</f>
        <v/>
      </c>
      <c r="F1867">
        <f>IF(OR($E1867="",$E1867="نامعتبر"),"",LEFT($E1867,4)&amp;"/"&amp;MID($E1867,6,2))</f>
        <v/>
      </c>
      <c r="G1867">
        <f>IF(OR($E1867="",$E1867="نامعتبر",Sync!$Y1864=""),"",Sync!$Y1864)</f>
        <v/>
      </c>
      <c r="H1867">
        <f>IF($G1867="","",IF(Sync!$X1864="","",Sync!$X1864))</f>
        <v/>
      </c>
      <c r="I1867">
        <f>IF($G1867="","",IFERROR(VLOOKUP(Sync!$X1864,OpTbl,3,0),""))</f>
        <v/>
      </c>
      <c r="J1867">
        <f>IF(OR($G1867="",Sync!$Z1864=""),"",Sync!$Z1864)</f>
        <v/>
      </c>
      <c r="K1867">
        <f>IF(OR($G1867="",Sync!$AA1864=""),"",Sync!$AA1864)</f>
        <v/>
      </c>
      <c r="L1867">
        <f>IF($G1867="",0,IF(Sync!$AB1864="",0,Sync!$AB1864))</f>
        <v/>
      </c>
      <c r="M1867">
        <f>IF($G1867="",0,IF(Sync!$AC1864="",0,Sync!$AC1864))</f>
        <v/>
      </c>
      <c r="N1867">
        <f>IF($G1867="","",IF($H1867="مرجوعی خرید",-1,1)*($L1867-$M1867*IFERROR(VLOOKUP("P01",ParamTbl,3,0),1.5))*(1-IF($I1867="خرید",IFERROR(VLOOKUP("P02",ParamTbl,3,0),1),0)/100))</f>
        <v/>
      </c>
      <c r="O1867">
        <f>IF($G1867="",0,IF($H1867="مرجوعی خرید",-1,1)*IF(Sync!$AD1864="",0,Sync!$AD1864))</f>
        <v/>
      </c>
      <c r="P1867">
        <f>IF(OR($G1867="",Sync!$W1864=""),"",Sync!$W1864)</f>
        <v/>
      </c>
      <c r="Q1867">
        <f>IF(OR($G1867="",Sync!$AE1864=""),"",Sync!$AE1864)</f>
        <v/>
      </c>
      <c r="R1867">
        <f>IF($G1867="","",IF(Sync!$V1864="","0000",IF(AND(ISNUMBER(Sync!$V1864),Sync!$V1864&gt;=0,Sync!$V1864&lt;1),RIGHT("00"&amp;HOUR(Sync!$V1864),2)&amp;RIGHT("00"&amp;MINUTE(Sync!$V1864),2),IFERROR(RIGHT("00"&amp;VALUE(LEFT(Sync!$V1864,FIND(":",Sync!$V1864)-1)),2)&amp;RIGHT("00"&amp;VALUE(MID(Sync!$V1864,FIND(":",Sync!$V1864)+1,2)),2),"0000"))))</f>
        <v/>
      </c>
    </row>
    <row r="1868">
      <c r="A1868">
        <f>IF(Sync!$U1865="","",Sync!$U1865)</f>
        <v/>
      </c>
      <c r="B1868">
        <f>IF($A1868="","",IF(ISNUMBER($A1868),IF(AND($A1868&gt;=10000101,$A1868&lt;=99991231),INT($A1868/10000),""),IFERROR(VALUE(TRIM(LEFT($A1868,FIND("/",$A1868)-1))),"")))</f>
        <v/>
      </c>
      <c r="C1868">
        <f>IF(OR($A1868="",$B1868=""),"",IF(ISNUMBER($A1868),INT(MOD($A1868,10000)/100),IFERROR(VALUE(TRIM(LEFT(MID($A1868,FIND("/",$A1868)+1,20),FIND("/",MID($A1868,FIND("/",$A1868)+1,20))-1))),"")))</f>
        <v/>
      </c>
      <c r="D1868">
        <f>IF(OR($A1868="",$B1868=""),"",IF(ISNUMBER($A1868),MOD($A1868,100),IFERROR(VALUE(TRIM(MID(MID($A1868,FIND("/",$A1868)+1,20),FIND("/",MID($A1868,FIND("/",$A1868)+1,20))+1,20))),"")))</f>
        <v/>
      </c>
      <c r="E1868">
        <f>IF($A1868="","",IF(OR($B1868="",$C1868="",$D1868="",$B1868&lt;1300,$B1868&gt;1500,$C1868&lt;1,$C1868&gt;12,$D1868&lt;1,$D1868&gt;31),"نامعتبر",RIGHT("0000"&amp;$B1868,4)&amp;"/"&amp;RIGHT("00"&amp;$C1868,2)&amp;"/"&amp;RIGHT("00"&amp;$D1868,2)))</f>
        <v/>
      </c>
      <c r="F1868">
        <f>IF(OR($E1868="",$E1868="نامعتبر"),"",LEFT($E1868,4)&amp;"/"&amp;MID($E1868,6,2))</f>
        <v/>
      </c>
      <c r="G1868">
        <f>IF(OR($E1868="",$E1868="نامعتبر",Sync!$Y1865=""),"",Sync!$Y1865)</f>
        <v/>
      </c>
      <c r="H1868">
        <f>IF($G1868="","",IF(Sync!$X1865="","",Sync!$X1865))</f>
        <v/>
      </c>
      <c r="I1868">
        <f>IF($G1868="","",IFERROR(VLOOKUP(Sync!$X1865,OpTbl,3,0),""))</f>
        <v/>
      </c>
      <c r="J1868">
        <f>IF(OR($G1868="",Sync!$Z1865=""),"",Sync!$Z1865)</f>
        <v/>
      </c>
      <c r="K1868">
        <f>IF(OR($G1868="",Sync!$AA1865=""),"",Sync!$AA1865)</f>
        <v/>
      </c>
      <c r="L1868">
        <f>IF($G1868="",0,IF(Sync!$AB1865="",0,Sync!$AB1865))</f>
        <v/>
      </c>
      <c r="M1868">
        <f>IF($G1868="",0,IF(Sync!$AC1865="",0,Sync!$AC1865))</f>
        <v/>
      </c>
      <c r="N1868">
        <f>IF($G1868="","",IF($H1868="مرجوعی خرید",-1,1)*($L1868-$M1868*IFERROR(VLOOKUP("P01",ParamTbl,3,0),1.5))*(1-IF($I1868="خرید",IFERROR(VLOOKUP("P02",ParamTbl,3,0),1),0)/100))</f>
        <v/>
      </c>
      <c r="O1868">
        <f>IF($G1868="",0,IF($H1868="مرجوعی خرید",-1,1)*IF(Sync!$AD1865="",0,Sync!$AD1865))</f>
        <v/>
      </c>
      <c r="P1868">
        <f>IF(OR($G1868="",Sync!$W1865=""),"",Sync!$W1865)</f>
        <v/>
      </c>
      <c r="Q1868">
        <f>IF(OR($G1868="",Sync!$AE1865=""),"",Sync!$AE1865)</f>
        <v/>
      </c>
      <c r="R1868">
        <f>IF($G1868="","",IF(Sync!$V1865="","0000",IF(AND(ISNUMBER(Sync!$V1865),Sync!$V1865&gt;=0,Sync!$V1865&lt;1),RIGHT("00"&amp;HOUR(Sync!$V1865),2)&amp;RIGHT("00"&amp;MINUTE(Sync!$V1865),2),IFERROR(RIGHT("00"&amp;VALUE(LEFT(Sync!$V1865,FIND(":",Sync!$V1865)-1)),2)&amp;RIGHT("00"&amp;VALUE(MID(Sync!$V1865,FIND(":",Sync!$V1865)+1,2)),2),"0000"))))</f>
        <v/>
      </c>
    </row>
    <row r="1869">
      <c r="A1869">
        <f>IF(Sync!$U1866="","",Sync!$U1866)</f>
        <v/>
      </c>
      <c r="B1869">
        <f>IF($A1869="","",IF(ISNUMBER($A1869),IF(AND($A1869&gt;=10000101,$A1869&lt;=99991231),INT($A1869/10000),""),IFERROR(VALUE(TRIM(LEFT($A1869,FIND("/",$A1869)-1))),"")))</f>
        <v/>
      </c>
      <c r="C1869">
        <f>IF(OR($A1869="",$B1869=""),"",IF(ISNUMBER($A1869),INT(MOD($A1869,10000)/100),IFERROR(VALUE(TRIM(LEFT(MID($A1869,FIND("/",$A1869)+1,20),FIND("/",MID($A1869,FIND("/",$A1869)+1,20))-1))),"")))</f>
        <v/>
      </c>
      <c r="D1869">
        <f>IF(OR($A1869="",$B1869=""),"",IF(ISNUMBER($A1869),MOD($A1869,100),IFERROR(VALUE(TRIM(MID(MID($A1869,FIND("/",$A1869)+1,20),FIND("/",MID($A1869,FIND("/",$A1869)+1,20))+1,20))),"")))</f>
        <v/>
      </c>
      <c r="E1869">
        <f>IF($A1869="","",IF(OR($B1869="",$C1869="",$D1869="",$B1869&lt;1300,$B1869&gt;1500,$C1869&lt;1,$C1869&gt;12,$D1869&lt;1,$D1869&gt;31),"نامعتبر",RIGHT("0000"&amp;$B1869,4)&amp;"/"&amp;RIGHT("00"&amp;$C1869,2)&amp;"/"&amp;RIGHT("00"&amp;$D1869,2)))</f>
        <v/>
      </c>
      <c r="F1869">
        <f>IF(OR($E1869="",$E1869="نامعتبر"),"",LEFT($E1869,4)&amp;"/"&amp;MID($E1869,6,2))</f>
        <v/>
      </c>
      <c r="G1869">
        <f>IF(OR($E1869="",$E1869="نامعتبر",Sync!$Y1866=""),"",Sync!$Y1866)</f>
        <v/>
      </c>
      <c r="H1869">
        <f>IF($G1869="","",IF(Sync!$X1866="","",Sync!$X1866))</f>
        <v/>
      </c>
      <c r="I1869">
        <f>IF($G1869="","",IFERROR(VLOOKUP(Sync!$X1866,OpTbl,3,0),""))</f>
        <v/>
      </c>
      <c r="J1869">
        <f>IF(OR($G1869="",Sync!$Z1866=""),"",Sync!$Z1866)</f>
        <v/>
      </c>
      <c r="K1869">
        <f>IF(OR($G1869="",Sync!$AA1866=""),"",Sync!$AA1866)</f>
        <v/>
      </c>
      <c r="L1869">
        <f>IF($G1869="",0,IF(Sync!$AB1866="",0,Sync!$AB1866))</f>
        <v/>
      </c>
      <c r="M1869">
        <f>IF($G1869="",0,IF(Sync!$AC1866="",0,Sync!$AC1866))</f>
        <v/>
      </c>
      <c r="N1869">
        <f>IF($G1869="","",IF($H1869="مرجوعی خرید",-1,1)*($L1869-$M1869*IFERROR(VLOOKUP("P01",ParamTbl,3,0),1.5))*(1-IF($I1869="خرید",IFERROR(VLOOKUP("P02",ParamTbl,3,0),1),0)/100))</f>
        <v/>
      </c>
      <c r="O1869">
        <f>IF($G1869="",0,IF($H1869="مرجوعی خرید",-1,1)*IF(Sync!$AD1866="",0,Sync!$AD1866))</f>
        <v/>
      </c>
      <c r="P1869">
        <f>IF(OR($G1869="",Sync!$W1866=""),"",Sync!$W1866)</f>
        <v/>
      </c>
      <c r="Q1869">
        <f>IF(OR($G1869="",Sync!$AE1866=""),"",Sync!$AE1866)</f>
        <v/>
      </c>
      <c r="R1869">
        <f>IF($G1869="","",IF(Sync!$V1866="","0000",IF(AND(ISNUMBER(Sync!$V1866),Sync!$V1866&gt;=0,Sync!$V1866&lt;1),RIGHT("00"&amp;HOUR(Sync!$V1866),2)&amp;RIGHT("00"&amp;MINUTE(Sync!$V1866),2),IFERROR(RIGHT("00"&amp;VALUE(LEFT(Sync!$V1866,FIND(":",Sync!$V1866)-1)),2)&amp;RIGHT("00"&amp;VALUE(MID(Sync!$V1866,FIND(":",Sync!$V1866)+1,2)),2),"0000"))))</f>
        <v/>
      </c>
    </row>
    <row r="1870">
      <c r="A1870">
        <f>IF(Sync!$U1867="","",Sync!$U1867)</f>
        <v/>
      </c>
      <c r="B1870">
        <f>IF($A1870="","",IF(ISNUMBER($A1870),IF(AND($A1870&gt;=10000101,$A1870&lt;=99991231),INT($A1870/10000),""),IFERROR(VALUE(TRIM(LEFT($A1870,FIND("/",$A1870)-1))),"")))</f>
        <v/>
      </c>
      <c r="C1870">
        <f>IF(OR($A1870="",$B1870=""),"",IF(ISNUMBER($A1870),INT(MOD($A1870,10000)/100),IFERROR(VALUE(TRIM(LEFT(MID($A1870,FIND("/",$A1870)+1,20),FIND("/",MID($A1870,FIND("/",$A1870)+1,20))-1))),"")))</f>
        <v/>
      </c>
      <c r="D1870">
        <f>IF(OR($A1870="",$B1870=""),"",IF(ISNUMBER($A1870),MOD($A1870,100),IFERROR(VALUE(TRIM(MID(MID($A1870,FIND("/",$A1870)+1,20),FIND("/",MID($A1870,FIND("/",$A1870)+1,20))+1,20))),"")))</f>
        <v/>
      </c>
      <c r="E1870">
        <f>IF($A1870="","",IF(OR($B1870="",$C1870="",$D1870="",$B1870&lt;1300,$B1870&gt;1500,$C1870&lt;1,$C1870&gt;12,$D1870&lt;1,$D1870&gt;31),"نامعتبر",RIGHT("0000"&amp;$B1870,4)&amp;"/"&amp;RIGHT("00"&amp;$C1870,2)&amp;"/"&amp;RIGHT("00"&amp;$D1870,2)))</f>
        <v/>
      </c>
      <c r="F1870">
        <f>IF(OR($E1870="",$E1870="نامعتبر"),"",LEFT($E1870,4)&amp;"/"&amp;MID($E1870,6,2))</f>
        <v/>
      </c>
      <c r="G1870">
        <f>IF(OR($E1870="",$E1870="نامعتبر",Sync!$Y1867=""),"",Sync!$Y1867)</f>
        <v/>
      </c>
      <c r="H1870">
        <f>IF($G1870="","",IF(Sync!$X1867="","",Sync!$X1867))</f>
        <v/>
      </c>
      <c r="I1870">
        <f>IF($G1870="","",IFERROR(VLOOKUP(Sync!$X1867,OpTbl,3,0),""))</f>
        <v/>
      </c>
      <c r="J1870">
        <f>IF(OR($G1870="",Sync!$Z1867=""),"",Sync!$Z1867)</f>
        <v/>
      </c>
      <c r="K1870">
        <f>IF(OR($G1870="",Sync!$AA1867=""),"",Sync!$AA1867)</f>
        <v/>
      </c>
      <c r="L1870">
        <f>IF($G1870="",0,IF(Sync!$AB1867="",0,Sync!$AB1867))</f>
        <v/>
      </c>
      <c r="M1870">
        <f>IF($G1870="",0,IF(Sync!$AC1867="",0,Sync!$AC1867))</f>
        <v/>
      </c>
      <c r="N1870">
        <f>IF($G1870="","",IF($H1870="مرجوعی خرید",-1,1)*($L1870-$M1870*IFERROR(VLOOKUP("P01",ParamTbl,3,0),1.5))*(1-IF($I1870="خرید",IFERROR(VLOOKUP("P02",ParamTbl,3,0),1),0)/100))</f>
        <v/>
      </c>
      <c r="O1870">
        <f>IF($G1870="",0,IF($H1870="مرجوعی خرید",-1,1)*IF(Sync!$AD1867="",0,Sync!$AD1867))</f>
        <v/>
      </c>
      <c r="P1870">
        <f>IF(OR($G1870="",Sync!$W1867=""),"",Sync!$W1867)</f>
        <v/>
      </c>
      <c r="Q1870">
        <f>IF(OR($G1870="",Sync!$AE1867=""),"",Sync!$AE1867)</f>
        <v/>
      </c>
      <c r="R1870">
        <f>IF($G1870="","",IF(Sync!$V1867="","0000",IF(AND(ISNUMBER(Sync!$V1867),Sync!$V1867&gt;=0,Sync!$V1867&lt;1),RIGHT("00"&amp;HOUR(Sync!$V1867),2)&amp;RIGHT("00"&amp;MINUTE(Sync!$V1867),2),IFERROR(RIGHT("00"&amp;VALUE(LEFT(Sync!$V1867,FIND(":",Sync!$V1867)-1)),2)&amp;RIGHT("00"&amp;VALUE(MID(Sync!$V1867,FIND(":",Sync!$V1867)+1,2)),2),"0000"))))</f>
        <v/>
      </c>
    </row>
    <row r="1871">
      <c r="A1871">
        <f>IF(Sync!$U1868="","",Sync!$U1868)</f>
        <v/>
      </c>
      <c r="B1871">
        <f>IF($A1871="","",IF(ISNUMBER($A1871),IF(AND($A1871&gt;=10000101,$A1871&lt;=99991231),INT($A1871/10000),""),IFERROR(VALUE(TRIM(LEFT($A1871,FIND("/",$A1871)-1))),"")))</f>
        <v/>
      </c>
      <c r="C1871">
        <f>IF(OR($A1871="",$B1871=""),"",IF(ISNUMBER($A1871),INT(MOD($A1871,10000)/100),IFERROR(VALUE(TRIM(LEFT(MID($A1871,FIND("/",$A1871)+1,20),FIND("/",MID($A1871,FIND("/",$A1871)+1,20))-1))),"")))</f>
        <v/>
      </c>
      <c r="D1871">
        <f>IF(OR($A1871="",$B1871=""),"",IF(ISNUMBER($A1871),MOD($A1871,100),IFERROR(VALUE(TRIM(MID(MID($A1871,FIND("/",$A1871)+1,20),FIND("/",MID($A1871,FIND("/",$A1871)+1,20))+1,20))),"")))</f>
        <v/>
      </c>
      <c r="E1871">
        <f>IF($A1871="","",IF(OR($B1871="",$C1871="",$D1871="",$B1871&lt;1300,$B1871&gt;1500,$C1871&lt;1,$C1871&gt;12,$D1871&lt;1,$D1871&gt;31),"نامعتبر",RIGHT("0000"&amp;$B1871,4)&amp;"/"&amp;RIGHT("00"&amp;$C1871,2)&amp;"/"&amp;RIGHT("00"&amp;$D1871,2)))</f>
        <v/>
      </c>
      <c r="F1871">
        <f>IF(OR($E1871="",$E1871="نامعتبر"),"",LEFT($E1871,4)&amp;"/"&amp;MID($E1871,6,2))</f>
        <v/>
      </c>
      <c r="G1871">
        <f>IF(OR($E1871="",$E1871="نامعتبر",Sync!$Y1868=""),"",Sync!$Y1868)</f>
        <v/>
      </c>
      <c r="H1871">
        <f>IF($G1871="","",IF(Sync!$X1868="","",Sync!$X1868))</f>
        <v/>
      </c>
      <c r="I1871">
        <f>IF($G1871="","",IFERROR(VLOOKUP(Sync!$X1868,OpTbl,3,0),""))</f>
        <v/>
      </c>
      <c r="J1871">
        <f>IF(OR($G1871="",Sync!$Z1868=""),"",Sync!$Z1868)</f>
        <v/>
      </c>
      <c r="K1871">
        <f>IF(OR($G1871="",Sync!$AA1868=""),"",Sync!$AA1868)</f>
        <v/>
      </c>
      <c r="L1871">
        <f>IF($G1871="",0,IF(Sync!$AB1868="",0,Sync!$AB1868))</f>
        <v/>
      </c>
      <c r="M1871">
        <f>IF($G1871="",0,IF(Sync!$AC1868="",0,Sync!$AC1868))</f>
        <v/>
      </c>
      <c r="N1871">
        <f>IF($G1871="","",IF($H1871="مرجوعی خرید",-1,1)*($L1871-$M1871*IFERROR(VLOOKUP("P01",ParamTbl,3,0),1.5))*(1-IF($I1871="خرید",IFERROR(VLOOKUP("P02",ParamTbl,3,0),1),0)/100))</f>
        <v/>
      </c>
      <c r="O1871">
        <f>IF($G1871="",0,IF($H1871="مرجوعی خرید",-1,1)*IF(Sync!$AD1868="",0,Sync!$AD1868))</f>
        <v/>
      </c>
      <c r="P1871">
        <f>IF(OR($G1871="",Sync!$W1868=""),"",Sync!$W1868)</f>
        <v/>
      </c>
      <c r="Q1871">
        <f>IF(OR($G1871="",Sync!$AE1868=""),"",Sync!$AE1868)</f>
        <v/>
      </c>
      <c r="R1871">
        <f>IF($G1871="","",IF(Sync!$V1868="","0000",IF(AND(ISNUMBER(Sync!$V1868),Sync!$V1868&gt;=0,Sync!$V1868&lt;1),RIGHT("00"&amp;HOUR(Sync!$V1868),2)&amp;RIGHT("00"&amp;MINUTE(Sync!$V1868),2),IFERROR(RIGHT("00"&amp;VALUE(LEFT(Sync!$V1868,FIND(":",Sync!$V1868)-1)),2)&amp;RIGHT("00"&amp;VALUE(MID(Sync!$V1868,FIND(":",Sync!$V1868)+1,2)),2),"0000"))))</f>
        <v/>
      </c>
    </row>
    <row r="1872">
      <c r="A1872">
        <f>IF(Sync!$U1869="","",Sync!$U1869)</f>
        <v/>
      </c>
      <c r="B1872">
        <f>IF($A1872="","",IF(ISNUMBER($A1872),IF(AND($A1872&gt;=10000101,$A1872&lt;=99991231),INT($A1872/10000),""),IFERROR(VALUE(TRIM(LEFT($A1872,FIND("/",$A1872)-1))),"")))</f>
        <v/>
      </c>
      <c r="C1872">
        <f>IF(OR($A1872="",$B1872=""),"",IF(ISNUMBER($A1872),INT(MOD($A1872,10000)/100),IFERROR(VALUE(TRIM(LEFT(MID($A1872,FIND("/",$A1872)+1,20),FIND("/",MID($A1872,FIND("/",$A1872)+1,20))-1))),"")))</f>
        <v/>
      </c>
      <c r="D1872">
        <f>IF(OR($A1872="",$B1872=""),"",IF(ISNUMBER($A1872),MOD($A1872,100),IFERROR(VALUE(TRIM(MID(MID($A1872,FIND("/",$A1872)+1,20),FIND("/",MID($A1872,FIND("/",$A1872)+1,20))+1,20))),"")))</f>
        <v/>
      </c>
      <c r="E1872">
        <f>IF($A1872="","",IF(OR($B1872="",$C1872="",$D1872="",$B1872&lt;1300,$B1872&gt;1500,$C1872&lt;1,$C1872&gt;12,$D1872&lt;1,$D1872&gt;31),"نامعتبر",RIGHT("0000"&amp;$B1872,4)&amp;"/"&amp;RIGHT("00"&amp;$C1872,2)&amp;"/"&amp;RIGHT("00"&amp;$D1872,2)))</f>
        <v/>
      </c>
      <c r="F1872">
        <f>IF(OR($E1872="",$E1872="نامعتبر"),"",LEFT($E1872,4)&amp;"/"&amp;MID($E1872,6,2))</f>
        <v/>
      </c>
      <c r="G1872">
        <f>IF(OR($E1872="",$E1872="نامعتبر",Sync!$Y1869=""),"",Sync!$Y1869)</f>
        <v/>
      </c>
      <c r="H1872">
        <f>IF($G1872="","",IF(Sync!$X1869="","",Sync!$X1869))</f>
        <v/>
      </c>
      <c r="I1872">
        <f>IF($G1872="","",IFERROR(VLOOKUP(Sync!$X1869,OpTbl,3,0),""))</f>
        <v/>
      </c>
      <c r="J1872">
        <f>IF(OR($G1872="",Sync!$Z1869=""),"",Sync!$Z1869)</f>
        <v/>
      </c>
      <c r="K1872">
        <f>IF(OR($G1872="",Sync!$AA1869=""),"",Sync!$AA1869)</f>
        <v/>
      </c>
      <c r="L1872">
        <f>IF($G1872="",0,IF(Sync!$AB1869="",0,Sync!$AB1869))</f>
        <v/>
      </c>
      <c r="M1872">
        <f>IF($G1872="",0,IF(Sync!$AC1869="",0,Sync!$AC1869))</f>
        <v/>
      </c>
      <c r="N1872">
        <f>IF($G1872="","",IF($H1872="مرجوعی خرید",-1,1)*($L1872-$M1872*IFERROR(VLOOKUP("P01",ParamTbl,3,0),1.5))*(1-IF($I1872="خرید",IFERROR(VLOOKUP("P02",ParamTbl,3,0),1),0)/100))</f>
        <v/>
      </c>
      <c r="O1872">
        <f>IF($G1872="",0,IF($H1872="مرجوعی خرید",-1,1)*IF(Sync!$AD1869="",0,Sync!$AD1869))</f>
        <v/>
      </c>
      <c r="P1872">
        <f>IF(OR($G1872="",Sync!$W1869=""),"",Sync!$W1869)</f>
        <v/>
      </c>
      <c r="Q1872">
        <f>IF(OR($G1872="",Sync!$AE1869=""),"",Sync!$AE1869)</f>
        <v/>
      </c>
      <c r="R1872">
        <f>IF($G1872="","",IF(Sync!$V1869="","0000",IF(AND(ISNUMBER(Sync!$V1869),Sync!$V1869&gt;=0,Sync!$V1869&lt;1),RIGHT("00"&amp;HOUR(Sync!$V1869),2)&amp;RIGHT("00"&amp;MINUTE(Sync!$V1869),2),IFERROR(RIGHT("00"&amp;VALUE(LEFT(Sync!$V1869,FIND(":",Sync!$V1869)-1)),2)&amp;RIGHT("00"&amp;VALUE(MID(Sync!$V1869,FIND(":",Sync!$V1869)+1,2)),2),"0000"))))</f>
        <v/>
      </c>
    </row>
    <row r="1873">
      <c r="A1873">
        <f>IF(Sync!$U1870="","",Sync!$U1870)</f>
        <v/>
      </c>
      <c r="B1873">
        <f>IF($A1873="","",IF(ISNUMBER($A1873),IF(AND($A1873&gt;=10000101,$A1873&lt;=99991231),INT($A1873/10000),""),IFERROR(VALUE(TRIM(LEFT($A1873,FIND("/",$A1873)-1))),"")))</f>
        <v/>
      </c>
      <c r="C1873">
        <f>IF(OR($A1873="",$B1873=""),"",IF(ISNUMBER($A1873),INT(MOD($A1873,10000)/100),IFERROR(VALUE(TRIM(LEFT(MID($A1873,FIND("/",$A1873)+1,20),FIND("/",MID($A1873,FIND("/",$A1873)+1,20))-1))),"")))</f>
        <v/>
      </c>
      <c r="D1873">
        <f>IF(OR($A1873="",$B1873=""),"",IF(ISNUMBER($A1873),MOD($A1873,100),IFERROR(VALUE(TRIM(MID(MID($A1873,FIND("/",$A1873)+1,20),FIND("/",MID($A1873,FIND("/",$A1873)+1,20))+1,20))),"")))</f>
        <v/>
      </c>
      <c r="E1873">
        <f>IF($A1873="","",IF(OR($B1873="",$C1873="",$D1873="",$B1873&lt;1300,$B1873&gt;1500,$C1873&lt;1,$C1873&gt;12,$D1873&lt;1,$D1873&gt;31),"نامعتبر",RIGHT("0000"&amp;$B1873,4)&amp;"/"&amp;RIGHT("00"&amp;$C1873,2)&amp;"/"&amp;RIGHT("00"&amp;$D1873,2)))</f>
        <v/>
      </c>
      <c r="F1873">
        <f>IF(OR($E1873="",$E1873="نامعتبر"),"",LEFT($E1873,4)&amp;"/"&amp;MID($E1873,6,2))</f>
        <v/>
      </c>
      <c r="G1873">
        <f>IF(OR($E1873="",$E1873="نامعتبر",Sync!$Y1870=""),"",Sync!$Y1870)</f>
        <v/>
      </c>
      <c r="H1873">
        <f>IF($G1873="","",IF(Sync!$X1870="","",Sync!$X1870))</f>
        <v/>
      </c>
      <c r="I1873">
        <f>IF($G1873="","",IFERROR(VLOOKUP(Sync!$X1870,OpTbl,3,0),""))</f>
        <v/>
      </c>
      <c r="J1873">
        <f>IF(OR($G1873="",Sync!$Z1870=""),"",Sync!$Z1870)</f>
        <v/>
      </c>
      <c r="K1873">
        <f>IF(OR($G1873="",Sync!$AA1870=""),"",Sync!$AA1870)</f>
        <v/>
      </c>
      <c r="L1873">
        <f>IF($G1873="",0,IF(Sync!$AB1870="",0,Sync!$AB1870))</f>
        <v/>
      </c>
      <c r="M1873">
        <f>IF($G1873="",0,IF(Sync!$AC1870="",0,Sync!$AC1870))</f>
        <v/>
      </c>
      <c r="N1873">
        <f>IF($G1873="","",IF($H1873="مرجوعی خرید",-1,1)*($L1873-$M1873*IFERROR(VLOOKUP("P01",ParamTbl,3,0),1.5))*(1-IF($I1873="خرید",IFERROR(VLOOKUP("P02",ParamTbl,3,0),1),0)/100))</f>
        <v/>
      </c>
      <c r="O1873">
        <f>IF($G1873="",0,IF($H1873="مرجوعی خرید",-1,1)*IF(Sync!$AD1870="",0,Sync!$AD1870))</f>
        <v/>
      </c>
      <c r="P1873">
        <f>IF(OR($G1873="",Sync!$W1870=""),"",Sync!$W1870)</f>
        <v/>
      </c>
      <c r="Q1873">
        <f>IF(OR($G1873="",Sync!$AE1870=""),"",Sync!$AE1870)</f>
        <v/>
      </c>
      <c r="R1873">
        <f>IF($G1873="","",IF(Sync!$V1870="","0000",IF(AND(ISNUMBER(Sync!$V1870),Sync!$V1870&gt;=0,Sync!$V1870&lt;1),RIGHT("00"&amp;HOUR(Sync!$V1870),2)&amp;RIGHT("00"&amp;MINUTE(Sync!$V1870),2),IFERROR(RIGHT("00"&amp;VALUE(LEFT(Sync!$V1870,FIND(":",Sync!$V1870)-1)),2)&amp;RIGHT("00"&amp;VALUE(MID(Sync!$V1870,FIND(":",Sync!$V1870)+1,2)),2),"0000"))))</f>
        <v/>
      </c>
    </row>
    <row r="1874">
      <c r="A1874">
        <f>IF(Sync!$U1871="","",Sync!$U1871)</f>
        <v/>
      </c>
      <c r="B1874">
        <f>IF($A1874="","",IF(ISNUMBER($A1874),IF(AND($A1874&gt;=10000101,$A1874&lt;=99991231),INT($A1874/10000),""),IFERROR(VALUE(TRIM(LEFT($A1874,FIND("/",$A1874)-1))),"")))</f>
        <v/>
      </c>
      <c r="C1874">
        <f>IF(OR($A1874="",$B1874=""),"",IF(ISNUMBER($A1874),INT(MOD($A1874,10000)/100),IFERROR(VALUE(TRIM(LEFT(MID($A1874,FIND("/",$A1874)+1,20),FIND("/",MID($A1874,FIND("/",$A1874)+1,20))-1))),"")))</f>
        <v/>
      </c>
      <c r="D1874">
        <f>IF(OR($A1874="",$B1874=""),"",IF(ISNUMBER($A1874),MOD($A1874,100),IFERROR(VALUE(TRIM(MID(MID($A1874,FIND("/",$A1874)+1,20),FIND("/",MID($A1874,FIND("/",$A1874)+1,20))+1,20))),"")))</f>
        <v/>
      </c>
      <c r="E1874">
        <f>IF($A1874="","",IF(OR($B1874="",$C1874="",$D1874="",$B1874&lt;1300,$B1874&gt;1500,$C1874&lt;1,$C1874&gt;12,$D1874&lt;1,$D1874&gt;31),"نامعتبر",RIGHT("0000"&amp;$B1874,4)&amp;"/"&amp;RIGHT("00"&amp;$C1874,2)&amp;"/"&amp;RIGHT("00"&amp;$D1874,2)))</f>
        <v/>
      </c>
      <c r="F1874">
        <f>IF(OR($E1874="",$E1874="نامعتبر"),"",LEFT($E1874,4)&amp;"/"&amp;MID($E1874,6,2))</f>
        <v/>
      </c>
      <c r="G1874">
        <f>IF(OR($E1874="",$E1874="نامعتبر",Sync!$Y1871=""),"",Sync!$Y1871)</f>
        <v/>
      </c>
      <c r="H1874">
        <f>IF($G1874="","",IF(Sync!$X1871="","",Sync!$X1871))</f>
        <v/>
      </c>
      <c r="I1874">
        <f>IF($G1874="","",IFERROR(VLOOKUP(Sync!$X1871,OpTbl,3,0),""))</f>
        <v/>
      </c>
      <c r="J1874">
        <f>IF(OR($G1874="",Sync!$Z1871=""),"",Sync!$Z1871)</f>
        <v/>
      </c>
      <c r="K1874">
        <f>IF(OR($G1874="",Sync!$AA1871=""),"",Sync!$AA1871)</f>
        <v/>
      </c>
      <c r="L1874">
        <f>IF($G1874="",0,IF(Sync!$AB1871="",0,Sync!$AB1871))</f>
        <v/>
      </c>
      <c r="M1874">
        <f>IF($G1874="",0,IF(Sync!$AC1871="",0,Sync!$AC1871))</f>
        <v/>
      </c>
      <c r="N1874">
        <f>IF($G1874="","",IF($H1874="مرجوعی خرید",-1,1)*($L1874-$M1874*IFERROR(VLOOKUP("P01",ParamTbl,3,0),1.5))*(1-IF($I1874="خرید",IFERROR(VLOOKUP("P02",ParamTbl,3,0),1),0)/100))</f>
        <v/>
      </c>
      <c r="O1874">
        <f>IF($G1874="",0,IF($H1874="مرجوعی خرید",-1,1)*IF(Sync!$AD1871="",0,Sync!$AD1871))</f>
        <v/>
      </c>
      <c r="P1874">
        <f>IF(OR($G1874="",Sync!$W1871=""),"",Sync!$W1871)</f>
        <v/>
      </c>
      <c r="Q1874">
        <f>IF(OR($G1874="",Sync!$AE1871=""),"",Sync!$AE1871)</f>
        <v/>
      </c>
      <c r="R1874">
        <f>IF($G1874="","",IF(Sync!$V1871="","0000",IF(AND(ISNUMBER(Sync!$V1871),Sync!$V1871&gt;=0,Sync!$V1871&lt;1),RIGHT("00"&amp;HOUR(Sync!$V1871),2)&amp;RIGHT("00"&amp;MINUTE(Sync!$V1871),2),IFERROR(RIGHT("00"&amp;VALUE(LEFT(Sync!$V1871,FIND(":",Sync!$V1871)-1)),2)&amp;RIGHT("00"&amp;VALUE(MID(Sync!$V1871,FIND(":",Sync!$V1871)+1,2)),2),"0000"))))</f>
        <v/>
      </c>
    </row>
    <row r="1875">
      <c r="A1875">
        <f>IF(Sync!$U1872="","",Sync!$U1872)</f>
        <v/>
      </c>
      <c r="B1875">
        <f>IF($A1875="","",IF(ISNUMBER($A1875),IF(AND($A1875&gt;=10000101,$A1875&lt;=99991231),INT($A1875/10000),""),IFERROR(VALUE(TRIM(LEFT($A1875,FIND("/",$A1875)-1))),"")))</f>
        <v/>
      </c>
      <c r="C1875">
        <f>IF(OR($A1875="",$B1875=""),"",IF(ISNUMBER($A1875),INT(MOD($A1875,10000)/100),IFERROR(VALUE(TRIM(LEFT(MID($A1875,FIND("/",$A1875)+1,20),FIND("/",MID($A1875,FIND("/",$A1875)+1,20))-1))),"")))</f>
        <v/>
      </c>
      <c r="D1875">
        <f>IF(OR($A1875="",$B1875=""),"",IF(ISNUMBER($A1875),MOD($A1875,100),IFERROR(VALUE(TRIM(MID(MID($A1875,FIND("/",$A1875)+1,20),FIND("/",MID($A1875,FIND("/",$A1875)+1,20))+1,20))),"")))</f>
        <v/>
      </c>
      <c r="E1875">
        <f>IF($A1875="","",IF(OR($B1875="",$C1875="",$D1875="",$B1875&lt;1300,$B1875&gt;1500,$C1875&lt;1,$C1875&gt;12,$D1875&lt;1,$D1875&gt;31),"نامعتبر",RIGHT("0000"&amp;$B1875,4)&amp;"/"&amp;RIGHT("00"&amp;$C1875,2)&amp;"/"&amp;RIGHT("00"&amp;$D1875,2)))</f>
        <v/>
      </c>
      <c r="F1875">
        <f>IF(OR($E1875="",$E1875="نامعتبر"),"",LEFT($E1875,4)&amp;"/"&amp;MID($E1875,6,2))</f>
        <v/>
      </c>
      <c r="G1875">
        <f>IF(OR($E1875="",$E1875="نامعتبر",Sync!$Y1872=""),"",Sync!$Y1872)</f>
        <v/>
      </c>
      <c r="H1875">
        <f>IF($G1875="","",IF(Sync!$X1872="","",Sync!$X1872))</f>
        <v/>
      </c>
      <c r="I1875">
        <f>IF($G1875="","",IFERROR(VLOOKUP(Sync!$X1872,OpTbl,3,0),""))</f>
        <v/>
      </c>
      <c r="J1875">
        <f>IF(OR($G1875="",Sync!$Z1872=""),"",Sync!$Z1872)</f>
        <v/>
      </c>
      <c r="K1875">
        <f>IF(OR($G1875="",Sync!$AA1872=""),"",Sync!$AA1872)</f>
        <v/>
      </c>
      <c r="L1875">
        <f>IF($G1875="",0,IF(Sync!$AB1872="",0,Sync!$AB1872))</f>
        <v/>
      </c>
      <c r="M1875">
        <f>IF($G1875="",0,IF(Sync!$AC1872="",0,Sync!$AC1872))</f>
        <v/>
      </c>
      <c r="N1875">
        <f>IF($G1875="","",IF($H1875="مرجوعی خرید",-1,1)*($L1875-$M1875*IFERROR(VLOOKUP("P01",ParamTbl,3,0),1.5))*(1-IF($I1875="خرید",IFERROR(VLOOKUP("P02",ParamTbl,3,0),1),0)/100))</f>
        <v/>
      </c>
      <c r="O1875">
        <f>IF($G1875="",0,IF($H1875="مرجوعی خرید",-1,1)*IF(Sync!$AD1872="",0,Sync!$AD1872))</f>
        <v/>
      </c>
      <c r="P1875">
        <f>IF(OR($G1875="",Sync!$W1872=""),"",Sync!$W1872)</f>
        <v/>
      </c>
      <c r="Q1875">
        <f>IF(OR($G1875="",Sync!$AE1872=""),"",Sync!$AE1872)</f>
        <v/>
      </c>
      <c r="R1875">
        <f>IF($G1875="","",IF(Sync!$V1872="","0000",IF(AND(ISNUMBER(Sync!$V1872),Sync!$V1872&gt;=0,Sync!$V1872&lt;1),RIGHT("00"&amp;HOUR(Sync!$V1872),2)&amp;RIGHT("00"&amp;MINUTE(Sync!$V1872),2),IFERROR(RIGHT("00"&amp;VALUE(LEFT(Sync!$V1872,FIND(":",Sync!$V1872)-1)),2)&amp;RIGHT("00"&amp;VALUE(MID(Sync!$V1872,FIND(":",Sync!$V1872)+1,2)),2),"0000"))))</f>
        <v/>
      </c>
    </row>
    <row r="1876">
      <c r="A1876">
        <f>IF(Sync!$U1873="","",Sync!$U1873)</f>
        <v/>
      </c>
      <c r="B1876">
        <f>IF($A1876="","",IF(ISNUMBER($A1876),IF(AND($A1876&gt;=10000101,$A1876&lt;=99991231),INT($A1876/10000),""),IFERROR(VALUE(TRIM(LEFT($A1876,FIND("/",$A1876)-1))),"")))</f>
        <v/>
      </c>
      <c r="C1876">
        <f>IF(OR($A1876="",$B1876=""),"",IF(ISNUMBER($A1876),INT(MOD($A1876,10000)/100),IFERROR(VALUE(TRIM(LEFT(MID($A1876,FIND("/",$A1876)+1,20),FIND("/",MID($A1876,FIND("/",$A1876)+1,20))-1))),"")))</f>
        <v/>
      </c>
      <c r="D1876">
        <f>IF(OR($A1876="",$B1876=""),"",IF(ISNUMBER($A1876),MOD($A1876,100),IFERROR(VALUE(TRIM(MID(MID($A1876,FIND("/",$A1876)+1,20),FIND("/",MID($A1876,FIND("/",$A1876)+1,20))+1,20))),"")))</f>
        <v/>
      </c>
      <c r="E1876">
        <f>IF($A1876="","",IF(OR($B1876="",$C1876="",$D1876="",$B1876&lt;1300,$B1876&gt;1500,$C1876&lt;1,$C1876&gt;12,$D1876&lt;1,$D1876&gt;31),"نامعتبر",RIGHT("0000"&amp;$B1876,4)&amp;"/"&amp;RIGHT("00"&amp;$C1876,2)&amp;"/"&amp;RIGHT("00"&amp;$D1876,2)))</f>
        <v/>
      </c>
      <c r="F1876">
        <f>IF(OR($E1876="",$E1876="نامعتبر"),"",LEFT($E1876,4)&amp;"/"&amp;MID($E1876,6,2))</f>
        <v/>
      </c>
      <c r="G1876">
        <f>IF(OR($E1876="",$E1876="نامعتبر",Sync!$Y1873=""),"",Sync!$Y1873)</f>
        <v/>
      </c>
      <c r="H1876">
        <f>IF($G1876="","",IF(Sync!$X1873="","",Sync!$X1873))</f>
        <v/>
      </c>
      <c r="I1876">
        <f>IF($G1876="","",IFERROR(VLOOKUP(Sync!$X1873,OpTbl,3,0),""))</f>
        <v/>
      </c>
      <c r="J1876">
        <f>IF(OR($G1876="",Sync!$Z1873=""),"",Sync!$Z1873)</f>
        <v/>
      </c>
      <c r="K1876">
        <f>IF(OR($G1876="",Sync!$AA1873=""),"",Sync!$AA1873)</f>
        <v/>
      </c>
      <c r="L1876">
        <f>IF($G1876="",0,IF(Sync!$AB1873="",0,Sync!$AB1873))</f>
        <v/>
      </c>
      <c r="M1876">
        <f>IF($G1876="",0,IF(Sync!$AC1873="",0,Sync!$AC1873))</f>
        <v/>
      </c>
      <c r="N1876">
        <f>IF($G1876="","",IF($H1876="مرجوعی خرید",-1,1)*($L1876-$M1876*IFERROR(VLOOKUP("P01",ParamTbl,3,0),1.5))*(1-IF($I1876="خرید",IFERROR(VLOOKUP("P02",ParamTbl,3,0),1),0)/100))</f>
        <v/>
      </c>
      <c r="O1876">
        <f>IF($G1876="",0,IF($H1876="مرجوعی خرید",-1,1)*IF(Sync!$AD1873="",0,Sync!$AD1873))</f>
        <v/>
      </c>
      <c r="P1876">
        <f>IF(OR($G1876="",Sync!$W1873=""),"",Sync!$W1873)</f>
        <v/>
      </c>
      <c r="Q1876">
        <f>IF(OR($G1876="",Sync!$AE1873=""),"",Sync!$AE1873)</f>
        <v/>
      </c>
      <c r="R1876">
        <f>IF($G1876="","",IF(Sync!$V1873="","0000",IF(AND(ISNUMBER(Sync!$V1873),Sync!$V1873&gt;=0,Sync!$V1873&lt;1),RIGHT("00"&amp;HOUR(Sync!$V1873),2)&amp;RIGHT("00"&amp;MINUTE(Sync!$V1873),2),IFERROR(RIGHT("00"&amp;VALUE(LEFT(Sync!$V1873,FIND(":",Sync!$V1873)-1)),2)&amp;RIGHT("00"&amp;VALUE(MID(Sync!$V1873,FIND(":",Sync!$V1873)+1,2)),2),"0000"))))</f>
        <v/>
      </c>
    </row>
    <row r="1877">
      <c r="A1877">
        <f>IF(Sync!$U1874="","",Sync!$U1874)</f>
        <v/>
      </c>
      <c r="B1877">
        <f>IF($A1877="","",IF(ISNUMBER($A1877),IF(AND($A1877&gt;=10000101,$A1877&lt;=99991231),INT($A1877/10000),""),IFERROR(VALUE(TRIM(LEFT($A1877,FIND("/",$A1877)-1))),"")))</f>
        <v/>
      </c>
      <c r="C1877">
        <f>IF(OR($A1877="",$B1877=""),"",IF(ISNUMBER($A1877),INT(MOD($A1877,10000)/100),IFERROR(VALUE(TRIM(LEFT(MID($A1877,FIND("/",$A1877)+1,20),FIND("/",MID($A1877,FIND("/",$A1877)+1,20))-1))),"")))</f>
        <v/>
      </c>
      <c r="D1877">
        <f>IF(OR($A1877="",$B1877=""),"",IF(ISNUMBER($A1877),MOD($A1877,100),IFERROR(VALUE(TRIM(MID(MID($A1877,FIND("/",$A1877)+1,20),FIND("/",MID($A1877,FIND("/",$A1877)+1,20))+1,20))),"")))</f>
        <v/>
      </c>
      <c r="E1877">
        <f>IF($A1877="","",IF(OR($B1877="",$C1877="",$D1877="",$B1877&lt;1300,$B1877&gt;1500,$C1877&lt;1,$C1877&gt;12,$D1877&lt;1,$D1877&gt;31),"نامعتبر",RIGHT("0000"&amp;$B1877,4)&amp;"/"&amp;RIGHT("00"&amp;$C1877,2)&amp;"/"&amp;RIGHT("00"&amp;$D1877,2)))</f>
        <v/>
      </c>
      <c r="F1877">
        <f>IF(OR($E1877="",$E1877="نامعتبر"),"",LEFT($E1877,4)&amp;"/"&amp;MID($E1877,6,2))</f>
        <v/>
      </c>
      <c r="G1877">
        <f>IF(OR($E1877="",$E1877="نامعتبر",Sync!$Y1874=""),"",Sync!$Y1874)</f>
        <v/>
      </c>
      <c r="H1877">
        <f>IF($G1877="","",IF(Sync!$X1874="","",Sync!$X1874))</f>
        <v/>
      </c>
      <c r="I1877">
        <f>IF($G1877="","",IFERROR(VLOOKUP(Sync!$X1874,OpTbl,3,0),""))</f>
        <v/>
      </c>
      <c r="J1877">
        <f>IF(OR($G1877="",Sync!$Z1874=""),"",Sync!$Z1874)</f>
        <v/>
      </c>
      <c r="K1877">
        <f>IF(OR($G1877="",Sync!$AA1874=""),"",Sync!$AA1874)</f>
        <v/>
      </c>
      <c r="L1877">
        <f>IF($G1877="",0,IF(Sync!$AB1874="",0,Sync!$AB1874))</f>
        <v/>
      </c>
      <c r="M1877">
        <f>IF($G1877="",0,IF(Sync!$AC1874="",0,Sync!$AC1874))</f>
        <v/>
      </c>
      <c r="N1877">
        <f>IF($G1877="","",IF($H1877="مرجوعی خرید",-1,1)*($L1877-$M1877*IFERROR(VLOOKUP("P01",ParamTbl,3,0),1.5))*(1-IF($I1877="خرید",IFERROR(VLOOKUP("P02",ParamTbl,3,0),1),0)/100))</f>
        <v/>
      </c>
      <c r="O1877">
        <f>IF($G1877="",0,IF($H1877="مرجوعی خرید",-1,1)*IF(Sync!$AD1874="",0,Sync!$AD1874))</f>
        <v/>
      </c>
      <c r="P1877">
        <f>IF(OR($G1877="",Sync!$W1874=""),"",Sync!$W1874)</f>
        <v/>
      </c>
      <c r="Q1877">
        <f>IF(OR($G1877="",Sync!$AE1874=""),"",Sync!$AE1874)</f>
        <v/>
      </c>
      <c r="R1877">
        <f>IF($G1877="","",IF(Sync!$V1874="","0000",IF(AND(ISNUMBER(Sync!$V1874),Sync!$V1874&gt;=0,Sync!$V1874&lt;1),RIGHT("00"&amp;HOUR(Sync!$V1874),2)&amp;RIGHT("00"&amp;MINUTE(Sync!$V1874),2),IFERROR(RIGHT("00"&amp;VALUE(LEFT(Sync!$V1874,FIND(":",Sync!$V1874)-1)),2)&amp;RIGHT("00"&amp;VALUE(MID(Sync!$V1874,FIND(":",Sync!$V1874)+1,2)),2),"0000"))))</f>
        <v/>
      </c>
    </row>
    <row r="1878">
      <c r="A1878">
        <f>IF(Sync!$U1875="","",Sync!$U1875)</f>
        <v/>
      </c>
      <c r="B1878">
        <f>IF($A1878="","",IF(ISNUMBER($A1878),IF(AND($A1878&gt;=10000101,$A1878&lt;=99991231),INT($A1878/10000),""),IFERROR(VALUE(TRIM(LEFT($A1878,FIND("/",$A1878)-1))),"")))</f>
        <v/>
      </c>
      <c r="C1878">
        <f>IF(OR($A1878="",$B1878=""),"",IF(ISNUMBER($A1878),INT(MOD($A1878,10000)/100),IFERROR(VALUE(TRIM(LEFT(MID($A1878,FIND("/",$A1878)+1,20),FIND("/",MID($A1878,FIND("/",$A1878)+1,20))-1))),"")))</f>
        <v/>
      </c>
      <c r="D1878">
        <f>IF(OR($A1878="",$B1878=""),"",IF(ISNUMBER($A1878),MOD($A1878,100),IFERROR(VALUE(TRIM(MID(MID($A1878,FIND("/",$A1878)+1,20),FIND("/",MID($A1878,FIND("/",$A1878)+1,20))+1,20))),"")))</f>
        <v/>
      </c>
      <c r="E1878">
        <f>IF($A1878="","",IF(OR($B1878="",$C1878="",$D1878="",$B1878&lt;1300,$B1878&gt;1500,$C1878&lt;1,$C1878&gt;12,$D1878&lt;1,$D1878&gt;31),"نامعتبر",RIGHT("0000"&amp;$B1878,4)&amp;"/"&amp;RIGHT("00"&amp;$C1878,2)&amp;"/"&amp;RIGHT("00"&amp;$D1878,2)))</f>
        <v/>
      </c>
      <c r="F1878">
        <f>IF(OR($E1878="",$E1878="نامعتبر"),"",LEFT($E1878,4)&amp;"/"&amp;MID($E1878,6,2))</f>
        <v/>
      </c>
      <c r="G1878">
        <f>IF(OR($E1878="",$E1878="نامعتبر",Sync!$Y1875=""),"",Sync!$Y1875)</f>
        <v/>
      </c>
      <c r="H1878">
        <f>IF($G1878="","",IF(Sync!$X1875="","",Sync!$X1875))</f>
        <v/>
      </c>
      <c r="I1878">
        <f>IF($G1878="","",IFERROR(VLOOKUP(Sync!$X1875,OpTbl,3,0),""))</f>
        <v/>
      </c>
      <c r="J1878">
        <f>IF(OR($G1878="",Sync!$Z1875=""),"",Sync!$Z1875)</f>
        <v/>
      </c>
      <c r="K1878">
        <f>IF(OR($G1878="",Sync!$AA1875=""),"",Sync!$AA1875)</f>
        <v/>
      </c>
      <c r="L1878">
        <f>IF($G1878="",0,IF(Sync!$AB1875="",0,Sync!$AB1875))</f>
        <v/>
      </c>
      <c r="M1878">
        <f>IF($G1878="",0,IF(Sync!$AC1875="",0,Sync!$AC1875))</f>
        <v/>
      </c>
      <c r="N1878">
        <f>IF($G1878="","",IF($H1878="مرجوعی خرید",-1,1)*($L1878-$M1878*IFERROR(VLOOKUP("P01",ParamTbl,3,0),1.5))*(1-IF($I1878="خرید",IFERROR(VLOOKUP("P02",ParamTbl,3,0),1),0)/100))</f>
        <v/>
      </c>
      <c r="O1878">
        <f>IF($G1878="",0,IF($H1878="مرجوعی خرید",-1,1)*IF(Sync!$AD1875="",0,Sync!$AD1875))</f>
        <v/>
      </c>
      <c r="P1878">
        <f>IF(OR($G1878="",Sync!$W1875=""),"",Sync!$W1875)</f>
        <v/>
      </c>
      <c r="Q1878">
        <f>IF(OR($G1878="",Sync!$AE1875=""),"",Sync!$AE1875)</f>
        <v/>
      </c>
      <c r="R1878">
        <f>IF($G1878="","",IF(Sync!$V1875="","0000",IF(AND(ISNUMBER(Sync!$V1875),Sync!$V1875&gt;=0,Sync!$V1875&lt;1),RIGHT("00"&amp;HOUR(Sync!$V1875),2)&amp;RIGHT("00"&amp;MINUTE(Sync!$V1875),2),IFERROR(RIGHT("00"&amp;VALUE(LEFT(Sync!$V1875,FIND(":",Sync!$V1875)-1)),2)&amp;RIGHT("00"&amp;VALUE(MID(Sync!$V1875,FIND(":",Sync!$V1875)+1,2)),2),"0000"))))</f>
        <v/>
      </c>
    </row>
    <row r="1879">
      <c r="A1879">
        <f>IF(Sync!$U1876="","",Sync!$U1876)</f>
        <v/>
      </c>
      <c r="B1879">
        <f>IF($A1879="","",IF(ISNUMBER($A1879),IF(AND($A1879&gt;=10000101,$A1879&lt;=99991231),INT($A1879/10000),""),IFERROR(VALUE(TRIM(LEFT($A1879,FIND("/",$A1879)-1))),"")))</f>
        <v/>
      </c>
      <c r="C1879">
        <f>IF(OR($A1879="",$B1879=""),"",IF(ISNUMBER($A1879),INT(MOD($A1879,10000)/100),IFERROR(VALUE(TRIM(LEFT(MID($A1879,FIND("/",$A1879)+1,20),FIND("/",MID($A1879,FIND("/",$A1879)+1,20))-1))),"")))</f>
        <v/>
      </c>
      <c r="D1879">
        <f>IF(OR($A1879="",$B1879=""),"",IF(ISNUMBER($A1879),MOD($A1879,100),IFERROR(VALUE(TRIM(MID(MID($A1879,FIND("/",$A1879)+1,20),FIND("/",MID($A1879,FIND("/",$A1879)+1,20))+1,20))),"")))</f>
        <v/>
      </c>
      <c r="E1879">
        <f>IF($A1879="","",IF(OR($B1879="",$C1879="",$D1879="",$B1879&lt;1300,$B1879&gt;1500,$C1879&lt;1,$C1879&gt;12,$D1879&lt;1,$D1879&gt;31),"نامعتبر",RIGHT("0000"&amp;$B1879,4)&amp;"/"&amp;RIGHT("00"&amp;$C1879,2)&amp;"/"&amp;RIGHT("00"&amp;$D1879,2)))</f>
        <v/>
      </c>
      <c r="F1879">
        <f>IF(OR($E1879="",$E1879="نامعتبر"),"",LEFT($E1879,4)&amp;"/"&amp;MID($E1879,6,2))</f>
        <v/>
      </c>
      <c r="G1879">
        <f>IF(OR($E1879="",$E1879="نامعتبر",Sync!$Y1876=""),"",Sync!$Y1876)</f>
        <v/>
      </c>
      <c r="H1879">
        <f>IF($G1879="","",IF(Sync!$X1876="","",Sync!$X1876))</f>
        <v/>
      </c>
      <c r="I1879">
        <f>IF($G1879="","",IFERROR(VLOOKUP(Sync!$X1876,OpTbl,3,0),""))</f>
        <v/>
      </c>
      <c r="J1879">
        <f>IF(OR($G1879="",Sync!$Z1876=""),"",Sync!$Z1876)</f>
        <v/>
      </c>
      <c r="K1879">
        <f>IF(OR($G1879="",Sync!$AA1876=""),"",Sync!$AA1876)</f>
        <v/>
      </c>
      <c r="L1879">
        <f>IF($G1879="",0,IF(Sync!$AB1876="",0,Sync!$AB1876))</f>
        <v/>
      </c>
      <c r="M1879">
        <f>IF($G1879="",0,IF(Sync!$AC1876="",0,Sync!$AC1876))</f>
        <v/>
      </c>
      <c r="N1879">
        <f>IF($G1879="","",IF($H1879="مرجوعی خرید",-1,1)*($L1879-$M1879*IFERROR(VLOOKUP("P01",ParamTbl,3,0),1.5))*(1-IF($I1879="خرید",IFERROR(VLOOKUP("P02",ParamTbl,3,0),1),0)/100))</f>
        <v/>
      </c>
      <c r="O1879">
        <f>IF($G1879="",0,IF($H1879="مرجوعی خرید",-1,1)*IF(Sync!$AD1876="",0,Sync!$AD1876))</f>
        <v/>
      </c>
      <c r="P1879">
        <f>IF(OR($G1879="",Sync!$W1876=""),"",Sync!$W1876)</f>
        <v/>
      </c>
      <c r="Q1879">
        <f>IF(OR($G1879="",Sync!$AE1876=""),"",Sync!$AE1876)</f>
        <v/>
      </c>
      <c r="R1879">
        <f>IF($G1879="","",IF(Sync!$V1876="","0000",IF(AND(ISNUMBER(Sync!$V1876),Sync!$V1876&gt;=0,Sync!$V1876&lt;1),RIGHT("00"&amp;HOUR(Sync!$V1876),2)&amp;RIGHT("00"&amp;MINUTE(Sync!$V1876),2),IFERROR(RIGHT("00"&amp;VALUE(LEFT(Sync!$V1876,FIND(":",Sync!$V1876)-1)),2)&amp;RIGHT("00"&amp;VALUE(MID(Sync!$V1876,FIND(":",Sync!$V1876)+1,2)),2),"0000"))))</f>
        <v/>
      </c>
    </row>
    <row r="1880">
      <c r="A1880">
        <f>IF(Sync!$U1877="","",Sync!$U1877)</f>
        <v/>
      </c>
      <c r="B1880">
        <f>IF($A1880="","",IF(ISNUMBER($A1880),IF(AND($A1880&gt;=10000101,$A1880&lt;=99991231),INT($A1880/10000),""),IFERROR(VALUE(TRIM(LEFT($A1880,FIND("/",$A1880)-1))),"")))</f>
        <v/>
      </c>
      <c r="C1880">
        <f>IF(OR($A1880="",$B1880=""),"",IF(ISNUMBER($A1880),INT(MOD($A1880,10000)/100),IFERROR(VALUE(TRIM(LEFT(MID($A1880,FIND("/",$A1880)+1,20),FIND("/",MID($A1880,FIND("/",$A1880)+1,20))-1))),"")))</f>
        <v/>
      </c>
      <c r="D1880">
        <f>IF(OR($A1880="",$B1880=""),"",IF(ISNUMBER($A1880),MOD($A1880,100),IFERROR(VALUE(TRIM(MID(MID($A1880,FIND("/",$A1880)+1,20),FIND("/",MID($A1880,FIND("/",$A1880)+1,20))+1,20))),"")))</f>
        <v/>
      </c>
      <c r="E1880">
        <f>IF($A1880="","",IF(OR($B1880="",$C1880="",$D1880="",$B1880&lt;1300,$B1880&gt;1500,$C1880&lt;1,$C1880&gt;12,$D1880&lt;1,$D1880&gt;31),"نامعتبر",RIGHT("0000"&amp;$B1880,4)&amp;"/"&amp;RIGHT("00"&amp;$C1880,2)&amp;"/"&amp;RIGHT("00"&amp;$D1880,2)))</f>
        <v/>
      </c>
      <c r="F1880">
        <f>IF(OR($E1880="",$E1880="نامعتبر"),"",LEFT($E1880,4)&amp;"/"&amp;MID($E1880,6,2))</f>
        <v/>
      </c>
      <c r="G1880">
        <f>IF(OR($E1880="",$E1880="نامعتبر",Sync!$Y1877=""),"",Sync!$Y1877)</f>
        <v/>
      </c>
      <c r="H1880">
        <f>IF($G1880="","",IF(Sync!$X1877="","",Sync!$X1877))</f>
        <v/>
      </c>
      <c r="I1880">
        <f>IF($G1880="","",IFERROR(VLOOKUP(Sync!$X1877,OpTbl,3,0),""))</f>
        <v/>
      </c>
      <c r="J1880">
        <f>IF(OR($G1880="",Sync!$Z1877=""),"",Sync!$Z1877)</f>
        <v/>
      </c>
      <c r="K1880">
        <f>IF(OR($G1880="",Sync!$AA1877=""),"",Sync!$AA1877)</f>
        <v/>
      </c>
      <c r="L1880">
        <f>IF($G1880="",0,IF(Sync!$AB1877="",0,Sync!$AB1877))</f>
        <v/>
      </c>
      <c r="M1880">
        <f>IF($G1880="",0,IF(Sync!$AC1877="",0,Sync!$AC1877))</f>
        <v/>
      </c>
      <c r="N1880">
        <f>IF($G1880="","",IF($H1880="مرجوعی خرید",-1,1)*($L1880-$M1880*IFERROR(VLOOKUP("P01",ParamTbl,3,0),1.5))*(1-IF($I1880="خرید",IFERROR(VLOOKUP("P02",ParamTbl,3,0),1),0)/100))</f>
        <v/>
      </c>
      <c r="O1880">
        <f>IF($G1880="",0,IF($H1880="مرجوعی خرید",-1,1)*IF(Sync!$AD1877="",0,Sync!$AD1877))</f>
        <v/>
      </c>
      <c r="P1880">
        <f>IF(OR($G1880="",Sync!$W1877=""),"",Sync!$W1877)</f>
        <v/>
      </c>
      <c r="Q1880">
        <f>IF(OR($G1880="",Sync!$AE1877=""),"",Sync!$AE1877)</f>
        <v/>
      </c>
      <c r="R1880">
        <f>IF($G1880="","",IF(Sync!$V1877="","0000",IF(AND(ISNUMBER(Sync!$V1877),Sync!$V1877&gt;=0,Sync!$V1877&lt;1),RIGHT("00"&amp;HOUR(Sync!$V1877),2)&amp;RIGHT("00"&amp;MINUTE(Sync!$V1877),2),IFERROR(RIGHT("00"&amp;VALUE(LEFT(Sync!$V1877,FIND(":",Sync!$V1877)-1)),2)&amp;RIGHT("00"&amp;VALUE(MID(Sync!$V1877,FIND(":",Sync!$V1877)+1,2)),2),"0000"))))</f>
        <v/>
      </c>
    </row>
    <row r="1881">
      <c r="A1881">
        <f>IF(Sync!$U1878="","",Sync!$U1878)</f>
        <v/>
      </c>
      <c r="B1881">
        <f>IF($A1881="","",IF(ISNUMBER($A1881),IF(AND($A1881&gt;=10000101,$A1881&lt;=99991231),INT($A1881/10000),""),IFERROR(VALUE(TRIM(LEFT($A1881,FIND("/",$A1881)-1))),"")))</f>
        <v/>
      </c>
      <c r="C1881">
        <f>IF(OR($A1881="",$B1881=""),"",IF(ISNUMBER($A1881),INT(MOD($A1881,10000)/100),IFERROR(VALUE(TRIM(LEFT(MID($A1881,FIND("/",$A1881)+1,20),FIND("/",MID($A1881,FIND("/",$A1881)+1,20))-1))),"")))</f>
        <v/>
      </c>
      <c r="D1881">
        <f>IF(OR($A1881="",$B1881=""),"",IF(ISNUMBER($A1881),MOD($A1881,100),IFERROR(VALUE(TRIM(MID(MID($A1881,FIND("/",$A1881)+1,20),FIND("/",MID($A1881,FIND("/",$A1881)+1,20))+1,20))),"")))</f>
        <v/>
      </c>
      <c r="E1881">
        <f>IF($A1881="","",IF(OR($B1881="",$C1881="",$D1881="",$B1881&lt;1300,$B1881&gt;1500,$C1881&lt;1,$C1881&gt;12,$D1881&lt;1,$D1881&gt;31),"نامعتبر",RIGHT("0000"&amp;$B1881,4)&amp;"/"&amp;RIGHT("00"&amp;$C1881,2)&amp;"/"&amp;RIGHT("00"&amp;$D1881,2)))</f>
        <v/>
      </c>
      <c r="F1881">
        <f>IF(OR($E1881="",$E1881="نامعتبر"),"",LEFT($E1881,4)&amp;"/"&amp;MID($E1881,6,2))</f>
        <v/>
      </c>
      <c r="G1881">
        <f>IF(OR($E1881="",$E1881="نامعتبر",Sync!$Y1878=""),"",Sync!$Y1878)</f>
        <v/>
      </c>
      <c r="H1881">
        <f>IF($G1881="","",IF(Sync!$X1878="","",Sync!$X1878))</f>
        <v/>
      </c>
      <c r="I1881">
        <f>IF($G1881="","",IFERROR(VLOOKUP(Sync!$X1878,OpTbl,3,0),""))</f>
        <v/>
      </c>
      <c r="J1881">
        <f>IF(OR($G1881="",Sync!$Z1878=""),"",Sync!$Z1878)</f>
        <v/>
      </c>
      <c r="K1881">
        <f>IF(OR($G1881="",Sync!$AA1878=""),"",Sync!$AA1878)</f>
        <v/>
      </c>
      <c r="L1881">
        <f>IF($G1881="",0,IF(Sync!$AB1878="",0,Sync!$AB1878))</f>
        <v/>
      </c>
      <c r="M1881">
        <f>IF($G1881="",0,IF(Sync!$AC1878="",0,Sync!$AC1878))</f>
        <v/>
      </c>
      <c r="N1881">
        <f>IF($G1881="","",IF($H1881="مرجوعی خرید",-1,1)*($L1881-$M1881*IFERROR(VLOOKUP("P01",ParamTbl,3,0),1.5))*(1-IF($I1881="خرید",IFERROR(VLOOKUP("P02",ParamTbl,3,0),1),0)/100))</f>
        <v/>
      </c>
      <c r="O1881">
        <f>IF($G1881="",0,IF($H1881="مرجوعی خرید",-1,1)*IF(Sync!$AD1878="",0,Sync!$AD1878))</f>
        <v/>
      </c>
      <c r="P1881">
        <f>IF(OR($G1881="",Sync!$W1878=""),"",Sync!$W1878)</f>
        <v/>
      </c>
      <c r="Q1881">
        <f>IF(OR($G1881="",Sync!$AE1878=""),"",Sync!$AE1878)</f>
        <v/>
      </c>
      <c r="R1881">
        <f>IF($G1881="","",IF(Sync!$V1878="","0000",IF(AND(ISNUMBER(Sync!$V1878),Sync!$V1878&gt;=0,Sync!$V1878&lt;1),RIGHT("00"&amp;HOUR(Sync!$V1878),2)&amp;RIGHT("00"&amp;MINUTE(Sync!$V1878),2),IFERROR(RIGHT("00"&amp;VALUE(LEFT(Sync!$V1878,FIND(":",Sync!$V1878)-1)),2)&amp;RIGHT("00"&amp;VALUE(MID(Sync!$V1878,FIND(":",Sync!$V1878)+1,2)),2),"0000"))))</f>
        <v/>
      </c>
    </row>
    <row r="1882">
      <c r="A1882">
        <f>IF(Sync!$U1879="","",Sync!$U1879)</f>
        <v/>
      </c>
      <c r="B1882">
        <f>IF($A1882="","",IF(ISNUMBER($A1882),IF(AND($A1882&gt;=10000101,$A1882&lt;=99991231),INT($A1882/10000),""),IFERROR(VALUE(TRIM(LEFT($A1882,FIND("/",$A1882)-1))),"")))</f>
        <v/>
      </c>
      <c r="C1882">
        <f>IF(OR($A1882="",$B1882=""),"",IF(ISNUMBER($A1882),INT(MOD($A1882,10000)/100),IFERROR(VALUE(TRIM(LEFT(MID($A1882,FIND("/",$A1882)+1,20),FIND("/",MID($A1882,FIND("/",$A1882)+1,20))-1))),"")))</f>
        <v/>
      </c>
      <c r="D1882">
        <f>IF(OR($A1882="",$B1882=""),"",IF(ISNUMBER($A1882),MOD($A1882,100),IFERROR(VALUE(TRIM(MID(MID($A1882,FIND("/",$A1882)+1,20),FIND("/",MID($A1882,FIND("/",$A1882)+1,20))+1,20))),"")))</f>
        <v/>
      </c>
      <c r="E1882">
        <f>IF($A1882="","",IF(OR($B1882="",$C1882="",$D1882="",$B1882&lt;1300,$B1882&gt;1500,$C1882&lt;1,$C1882&gt;12,$D1882&lt;1,$D1882&gt;31),"نامعتبر",RIGHT("0000"&amp;$B1882,4)&amp;"/"&amp;RIGHT("00"&amp;$C1882,2)&amp;"/"&amp;RIGHT("00"&amp;$D1882,2)))</f>
        <v/>
      </c>
      <c r="F1882">
        <f>IF(OR($E1882="",$E1882="نامعتبر"),"",LEFT($E1882,4)&amp;"/"&amp;MID($E1882,6,2))</f>
        <v/>
      </c>
      <c r="G1882">
        <f>IF(OR($E1882="",$E1882="نامعتبر",Sync!$Y1879=""),"",Sync!$Y1879)</f>
        <v/>
      </c>
      <c r="H1882">
        <f>IF($G1882="","",IF(Sync!$X1879="","",Sync!$X1879))</f>
        <v/>
      </c>
      <c r="I1882">
        <f>IF($G1882="","",IFERROR(VLOOKUP(Sync!$X1879,OpTbl,3,0),""))</f>
        <v/>
      </c>
      <c r="J1882">
        <f>IF(OR($G1882="",Sync!$Z1879=""),"",Sync!$Z1879)</f>
        <v/>
      </c>
      <c r="K1882">
        <f>IF(OR($G1882="",Sync!$AA1879=""),"",Sync!$AA1879)</f>
        <v/>
      </c>
      <c r="L1882">
        <f>IF($G1882="",0,IF(Sync!$AB1879="",0,Sync!$AB1879))</f>
        <v/>
      </c>
      <c r="M1882">
        <f>IF($G1882="",0,IF(Sync!$AC1879="",0,Sync!$AC1879))</f>
        <v/>
      </c>
      <c r="N1882">
        <f>IF($G1882="","",IF($H1882="مرجوعی خرید",-1,1)*($L1882-$M1882*IFERROR(VLOOKUP("P01",ParamTbl,3,0),1.5))*(1-IF($I1882="خرید",IFERROR(VLOOKUP("P02",ParamTbl,3,0),1),0)/100))</f>
        <v/>
      </c>
      <c r="O1882">
        <f>IF($G1882="",0,IF($H1882="مرجوعی خرید",-1,1)*IF(Sync!$AD1879="",0,Sync!$AD1879))</f>
        <v/>
      </c>
      <c r="P1882">
        <f>IF(OR($G1882="",Sync!$W1879=""),"",Sync!$W1879)</f>
        <v/>
      </c>
      <c r="Q1882">
        <f>IF(OR($G1882="",Sync!$AE1879=""),"",Sync!$AE1879)</f>
        <v/>
      </c>
      <c r="R1882">
        <f>IF($G1882="","",IF(Sync!$V1879="","0000",IF(AND(ISNUMBER(Sync!$V1879),Sync!$V1879&gt;=0,Sync!$V1879&lt;1),RIGHT("00"&amp;HOUR(Sync!$V1879),2)&amp;RIGHT("00"&amp;MINUTE(Sync!$V1879),2),IFERROR(RIGHT("00"&amp;VALUE(LEFT(Sync!$V1879,FIND(":",Sync!$V1879)-1)),2)&amp;RIGHT("00"&amp;VALUE(MID(Sync!$V1879,FIND(":",Sync!$V1879)+1,2)),2),"0000"))))</f>
        <v/>
      </c>
    </row>
    <row r="1883">
      <c r="A1883">
        <f>IF(Sync!$U1880="","",Sync!$U1880)</f>
        <v/>
      </c>
      <c r="B1883">
        <f>IF($A1883="","",IF(ISNUMBER($A1883),IF(AND($A1883&gt;=10000101,$A1883&lt;=99991231),INT($A1883/10000),""),IFERROR(VALUE(TRIM(LEFT($A1883,FIND("/",$A1883)-1))),"")))</f>
        <v/>
      </c>
      <c r="C1883">
        <f>IF(OR($A1883="",$B1883=""),"",IF(ISNUMBER($A1883),INT(MOD($A1883,10000)/100),IFERROR(VALUE(TRIM(LEFT(MID($A1883,FIND("/",$A1883)+1,20),FIND("/",MID($A1883,FIND("/",$A1883)+1,20))-1))),"")))</f>
        <v/>
      </c>
      <c r="D1883">
        <f>IF(OR($A1883="",$B1883=""),"",IF(ISNUMBER($A1883),MOD($A1883,100),IFERROR(VALUE(TRIM(MID(MID($A1883,FIND("/",$A1883)+1,20),FIND("/",MID($A1883,FIND("/",$A1883)+1,20))+1,20))),"")))</f>
        <v/>
      </c>
      <c r="E1883">
        <f>IF($A1883="","",IF(OR($B1883="",$C1883="",$D1883="",$B1883&lt;1300,$B1883&gt;1500,$C1883&lt;1,$C1883&gt;12,$D1883&lt;1,$D1883&gt;31),"نامعتبر",RIGHT("0000"&amp;$B1883,4)&amp;"/"&amp;RIGHT("00"&amp;$C1883,2)&amp;"/"&amp;RIGHT("00"&amp;$D1883,2)))</f>
        <v/>
      </c>
      <c r="F1883">
        <f>IF(OR($E1883="",$E1883="نامعتبر"),"",LEFT($E1883,4)&amp;"/"&amp;MID($E1883,6,2))</f>
        <v/>
      </c>
      <c r="G1883">
        <f>IF(OR($E1883="",$E1883="نامعتبر",Sync!$Y1880=""),"",Sync!$Y1880)</f>
        <v/>
      </c>
      <c r="H1883">
        <f>IF($G1883="","",IF(Sync!$X1880="","",Sync!$X1880))</f>
        <v/>
      </c>
      <c r="I1883">
        <f>IF($G1883="","",IFERROR(VLOOKUP(Sync!$X1880,OpTbl,3,0),""))</f>
        <v/>
      </c>
      <c r="J1883">
        <f>IF(OR($G1883="",Sync!$Z1880=""),"",Sync!$Z1880)</f>
        <v/>
      </c>
      <c r="K1883">
        <f>IF(OR($G1883="",Sync!$AA1880=""),"",Sync!$AA1880)</f>
        <v/>
      </c>
      <c r="L1883">
        <f>IF($G1883="",0,IF(Sync!$AB1880="",0,Sync!$AB1880))</f>
        <v/>
      </c>
      <c r="M1883">
        <f>IF($G1883="",0,IF(Sync!$AC1880="",0,Sync!$AC1880))</f>
        <v/>
      </c>
      <c r="N1883">
        <f>IF($G1883="","",IF($H1883="مرجوعی خرید",-1,1)*($L1883-$M1883*IFERROR(VLOOKUP("P01",ParamTbl,3,0),1.5))*(1-IF($I1883="خرید",IFERROR(VLOOKUP("P02",ParamTbl,3,0),1),0)/100))</f>
        <v/>
      </c>
      <c r="O1883">
        <f>IF($G1883="",0,IF($H1883="مرجوعی خرید",-1,1)*IF(Sync!$AD1880="",0,Sync!$AD1880))</f>
        <v/>
      </c>
      <c r="P1883">
        <f>IF(OR($G1883="",Sync!$W1880=""),"",Sync!$W1880)</f>
        <v/>
      </c>
      <c r="Q1883">
        <f>IF(OR($G1883="",Sync!$AE1880=""),"",Sync!$AE1880)</f>
        <v/>
      </c>
      <c r="R1883">
        <f>IF($G1883="","",IF(Sync!$V1880="","0000",IF(AND(ISNUMBER(Sync!$V1880),Sync!$V1880&gt;=0,Sync!$V1880&lt;1),RIGHT("00"&amp;HOUR(Sync!$V1880),2)&amp;RIGHT("00"&amp;MINUTE(Sync!$V1880),2),IFERROR(RIGHT("00"&amp;VALUE(LEFT(Sync!$V1880,FIND(":",Sync!$V1880)-1)),2)&amp;RIGHT("00"&amp;VALUE(MID(Sync!$V1880,FIND(":",Sync!$V1880)+1,2)),2),"0000"))))</f>
        <v/>
      </c>
    </row>
    <row r="1884">
      <c r="A1884">
        <f>IF(Sync!$U1881="","",Sync!$U1881)</f>
        <v/>
      </c>
      <c r="B1884">
        <f>IF($A1884="","",IF(ISNUMBER($A1884),IF(AND($A1884&gt;=10000101,$A1884&lt;=99991231),INT($A1884/10000),""),IFERROR(VALUE(TRIM(LEFT($A1884,FIND("/",$A1884)-1))),"")))</f>
        <v/>
      </c>
      <c r="C1884">
        <f>IF(OR($A1884="",$B1884=""),"",IF(ISNUMBER($A1884),INT(MOD($A1884,10000)/100),IFERROR(VALUE(TRIM(LEFT(MID($A1884,FIND("/",$A1884)+1,20),FIND("/",MID($A1884,FIND("/",$A1884)+1,20))-1))),"")))</f>
        <v/>
      </c>
      <c r="D1884">
        <f>IF(OR($A1884="",$B1884=""),"",IF(ISNUMBER($A1884),MOD($A1884,100),IFERROR(VALUE(TRIM(MID(MID($A1884,FIND("/",$A1884)+1,20),FIND("/",MID($A1884,FIND("/",$A1884)+1,20))+1,20))),"")))</f>
        <v/>
      </c>
      <c r="E1884">
        <f>IF($A1884="","",IF(OR($B1884="",$C1884="",$D1884="",$B1884&lt;1300,$B1884&gt;1500,$C1884&lt;1,$C1884&gt;12,$D1884&lt;1,$D1884&gt;31),"نامعتبر",RIGHT("0000"&amp;$B1884,4)&amp;"/"&amp;RIGHT("00"&amp;$C1884,2)&amp;"/"&amp;RIGHT("00"&amp;$D1884,2)))</f>
        <v/>
      </c>
      <c r="F1884">
        <f>IF(OR($E1884="",$E1884="نامعتبر"),"",LEFT($E1884,4)&amp;"/"&amp;MID($E1884,6,2))</f>
        <v/>
      </c>
      <c r="G1884">
        <f>IF(OR($E1884="",$E1884="نامعتبر",Sync!$Y1881=""),"",Sync!$Y1881)</f>
        <v/>
      </c>
      <c r="H1884">
        <f>IF($G1884="","",IF(Sync!$X1881="","",Sync!$X1881))</f>
        <v/>
      </c>
      <c r="I1884">
        <f>IF($G1884="","",IFERROR(VLOOKUP(Sync!$X1881,OpTbl,3,0),""))</f>
        <v/>
      </c>
      <c r="J1884">
        <f>IF(OR($G1884="",Sync!$Z1881=""),"",Sync!$Z1881)</f>
        <v/>
      </c>
      <c r="K1884">
        <f>IF(OR($G1884="",Sync!$AA1881=""),"",Sync!$AA1881)</f>
        <v/>
      </c>
      <c r="L1884">
        <f>IF($G1884="",0,IF(Sync!$AB1881="",0,Sync!$AB1881))</f>
        <v/>
      </c>
      <c r="M1884">
        <f>IF($G1884="",0,IF(Sync!$AC1881="",0,Sync!$AC1881))</f>
        <v/>
      </c>
      <c r="N1884">
        <f>IF($G1884="","",IF($H1884="مرجوعی خرید",-1,1)*($L1884-$M1884*IFERROR(VLOOKUP("P01",ParamTbl,3,0),1.5))*(1-IF($I1884="خرید",IFERROR(VLOOKUP("P02",ParamTbl,3,0),1),0)/100))</f>
        <v/>
      </c>
      <c r="O1884">
        <f>IF($G1884="",0,IF($H1884="مرجوعی خرید",-1,1)*IF(Sync!$AD1881="",0,Sync!$AD1881))</f>
        <v/>
      </c>
      <c r="P1884">
        <f>IF(OR($G1884="",Sync!$W1881=""),"",Sync!$W1881)</f>
        <v/>
      </c>
      <c r="Q1884">
        <f>IF(OR($G1884="",Sync!$AE1881=""),"",Sync!$AE1881)</f>
        <v/>
      </c>
      <c r="R1884">
        <f>IF($G1884="","",IF(Sync!$V1881="","0000",IF(AND(ISNUMBER(Sync!$V1881),Sync!$V1881&gt;=0,Sync!$V1881&lt;1),RIGHT("00"&amp;HOUR(Sync!$V1881),2)&amp;RIGHT("00"&amp;MINUTE(Sync!$V1881),2),IFERROR(RIGHT("00"&amp;VALUE(LEFT(Sync!$V1881,FIND(":",Sync!$V1881)-1)),2)&amp;RIGHT("00"&amp;VALUE(MID(Sync!$V1881,FIND(":",Sync!$V1881)+1,2)),2),"0000"))))</f>
        <v/>
      </c>
    </row>
    <row r="1885">
      <c r="A1885">
        <f>IF(Sync!$U1882="","",Sync!$U1882)</f>
        <v/>
      </c>
      <c r="B1885">
        <f>IF($A1885="","",IF(ISNUMBER($A1885),IF(AND($A1885&gt;=10000101,$A1885&lt;=99991231),INT($A1885/10000),""),IFERROR(VALUE(TRIM(LEFT($A1885,FIND("/",$A1885)-1))),"")))</f>
        <v/>
      </c>
      <c r="C1885">
        <f>IF(OR($A1885="",$B1885=""),"",IF(ISNUMBER($A1885),INT(MOD($A1885,10000)/100),IFERROR(VALUE(TRIM(LEFT(MID($A1885,FIND("/",$A1885)+1,20),FIND("/",MID($A1885,FIND("/",$A1885)+1,20))-1))),"")))</f>
        <v/>
      </c>
      <c r="D1885">
        <f>IF(OR($A1885="",$B1885=""),"",IF(ISNUMBER($A1885),MOD($A1885,100),IFERROR(VALUE(TRIM(MID(MID($A1885,FIND("/",$A1885)+1,20),FIND("/",MID($A1885,FIND("/",$A1885)+1,20))+1,20))),"")))</f>
        <v/>
      </c>
      <c r="E1885">
        <f>IF($A1885="","",IF(OR($B1885="",$C1885="",$D1885="",$B1885&lt;1300,$B1885&gt;1500,$C1885&lt;1,$C1885&gt;12,$D1885&lt;1,$D1885&gt;31),"نامعتبر",RIGHT("0000"&amp;$B1885,4)&amp;"/"&amp;RIGHT("00"&amp;$C1885,2)&amp;"/"&amp;RIGHT("00"&amp;$D1885,2)))</f>
        <v/>
      </c>
      <c r="F1885">
        <f>IF(OR($E1885="",$E1885="نامعتبر"),"",LEFT($E1885,4)&amp;"/"&amp;MID($E1885,6,2))</f>
        <v/>
      </c>
      <c r="G1885">
        <f>IF(OR($E1885="",$E1885="نامعتبر",Sync!$Y1882=""),"",Sync!$Y1882)</f>
        <v/>
      </c>
      <c r="H1885">
        <f>IF($G1885="","",IF(Sync!$X1882="","",Sync!$X1882))</f>
        <v/>
      </c>
      <c r="I1885">
        <f>IF($G1885="","",IFERROR(VLOOKUP(Sync!$X1882,OpTbl,3,0),""))</f>
        <v/>
      </c>
      <c r="J1885">
        <f>IF(OR($G1885="",Sync!$Z1882=""),"",Sync!$Z1882)</f>
        <v/>
      </c>
      <c r="K1885">
        <f>IF(OR($G1885="",Sync!$AA1882=""),"",Sync!$AA1882)</f>
        <v/>
      </c>
      <c r="L1885">
        <f>IF($G1885="",0,IF(Sync!$AB1882="",0,Sync!$AB1882))</f>
        <v/>
      </c>
      <c r="M1885">
        <f>IF($G1885="",0,IF(Sync!$AC1882="",0,Sync!$AC1882))</f>
        <v/>
      </c>
      <c r="N1885">
        <f>IF($G1885="","",IF($H1885="مرجوعی خرید",-1,1)*($L1885-$M1885*IFERROR(VLOOKUP("P01",ParamTbl,3,0),1.5))*(1-IF($I1885="خرید",IFERROR(VLOOKUP("P02",ParamTbl,3,0),1),0)/100))</f>
        <v/>
      </c>
      <c r="O1885">
        <f>IF($G1885="",0,IF($H1885="مرجوعی خرید",-1,1)*IF(Sync!$AD1882="",0,Sync!$AD1882))</f>
        <v/>
      </c>
      <c r="P1885">
        <f>IF(OR($G1885="",Sync!$W1882=""),"",Sync!$W1882)</f>
        <v/>
      </c>
      <c r="Q1885">
        <f>IF(OR($G1885="",Sync!$AE1882=""),"",Sync!$AE1882)</f>
        <v/>
      </c>
      <c r="R1885">
        <f>IF($G1885="","",IF(Sync!$V1882="","0000",IF(AND(ISNUMBER(Sync!$V1882),Sync!$V1882&gt;=0,Sync!$V1882&lt;1),RIGHT("00"&amp;HOUR(Sync!$V1882),2)&amp;RIGHT("00"&amp;MINUTE(Sync!$V1882),2),IFERROR(RIGHT("00"&amp;VALUE(LEFT(Sync!$V1882,FIND(":",Sync!$V1882)-1)),2)&amp;RIGHT("00"&amp;VALUE(MID(Sync!$V1882,FIND(":",Sync!$V1882)+1,2)),2),"0000"))))</f>
        <v/>
      </c>
    </row>
    <row r="1886">
      <c r="A1886">
        <f>IF(Sync!$U1883="","",Sync!$U1883)</f>
        <v/>
      </c>
      <c r="B1886">
        <f>IF($A1886="","",IF(ISNUMBER($A1886),IF(AND($A1886&gt;=10000101,$A1886&lt;=99991231),INT($A1886/10000),""),IFERROR(VALUE(TRIM(LEFT($A1886,FIND("/",$A1886)-1))),"")))</f>
        <v/>
      </c>
      <c r="C1886">
        <f>IF(OR($A1886="",$B1886=""),"",IF(ISNUMBER($A1886),INT(MOD($A1886,10000)/100),IFERROR(VALUE(TRIM(LEFT(MID($A1886,FIND("/",$A1886)+1,20),FIND("/",MID($A1886,FIND("/",$A1886)+1,20))-1))),"")))</f>
        <v/>
      </c>
      <c r="D1886">
        <f>IF(OR($A1886="",$B1886=""),"",IF(ISNUMBER($A1886),MOD($A1886,100),IFERROR(VALUE(TRIM(MID(MID($A1886,FIND("/",$A1886)+1,20),FIND("/",MID($A1886,FIND("/",$A1886)+1,20))+1,20))),"")))</f>
        <v/>
      </c>
      <c r="E1886">
        <f>IF($A1886="","",IF(OR($B1886="",$C1886="",$D1886="",$B1886&lt;1300,$B1886&gt;1500,$C1886&lt;1,$C1886&gt;12,$D1886&lt;1,$D1886&gt;31),"نامعتبر",RIGHT("0000"&amp;$B1886,4)&amp;"/"&amp;RIGHT("00"&amp;$C1886,2)&amp;"/"&amp;RIGHT("00"&amp;$D1886,2)))</f>
        <v/>
      </c>
      <c r="F1886">
        <f>IF(OR($E1886="",$E1886="نامعتبر"),"",LEFT($E1886,4)&amp;"/"&amp;MID($E1886,6,2))</f>
        <v/>
      </c>
      <c r="G1886">
        <f>IF(OR($E1886="",$E1886="نامعتبر",Sync!$Y1883=""),"",Sync!$Y1883)</f>
        <v/>
      </c>
      <c r="H1886">
        <f>IF($G1886="","",IF(Sync!$X1883="","",Sync!$X1883))</f>
        <v/>
      </c>
      <c r="I1886">
        <f>IF($G1886="","",IFERROR(VLOOKUP(Sync!$X1883,OpTbl,3,0),""))</f>
        <v/>
      </c>
      <c r="J1886">
        <f>IF(OR($G1886="",Sync!$Z1883=""),"",Sync!$Z1883)</f>
        <v/>
      </c>
      <c r="K1886">
        <f>IF(OR($G1886="",Sync!$AA1883=""),"",Sync!$AA1883)</f>
        <v/>
      </c>
      <c r="L1886">
        <f>IF($G1886="",0,IF(Sync!$AB1883="",0,Sync!$AB1883))</f>
        <v/>
      </c>
      <c r="M1886">
        <f>IF($G1886="",0,IF(Sync!$AC1883="",0,Sync!$AC1883))</f>
        <v/>
      </c>
      <c r="N1886">
        <f>IF($G1886="","",IF($H1886="مرجوعی خرید",-1,1)*($L1886-$M1886*IFERROR(VLOOKUP("P01",ParamTbl,3,0),1.5))*(1-IF($I1886="خرید",IFERROR(VLOOKUP("P02",ParamTbl,3,0),1),0)/100))</f>
        <v/>
      </c>
      <c r="O1886">
        <f>IF($G1886="",0,IF($H1886="مرجوعی خرید",-1,1)*IF(Sync!$AD1883="",0,Sync!$AD1883))</f>
        <v/>
      </c>
      <c r="P1886">
        <f>IF(OR($G1886="",Sync!$W1883=""),"",Sync!$W1883)</f>
        <v/>
      </c>
      <c r="Q1886">
        <f>IF(OR($G1886="",Sync!$AE1883=""),"",Sync!$AE1883)</f>
        <v/>
      </c>
      <c r="R1886">
        <f>IF($G1886="","",IF(Sync!$V1883="","0000",IF(AND(ISNUMBER(Sync!$V1883),Sync!$V1883&gt;=0,Sync!$V1883&lt;1),RIGHT("00"&amp;HOUR(Sync!$V1883),2)&amp;RIGHT("00"&amp;MINUTE(Sync!$V1883),2),IFERROR(RIGHT("00"&amp;VALUE(LEFT(Sync!$V1883,FIND(":",Sync!$V1883)-1)),2)&amp;RIGHT("00"&amp;VALUE(MID(Sync!$V1883,FIND(":",Sync!$V1883)+1,2)),2),"0000"))))</f>
        <v/>
      </c>
    </row>
    <row r="1887">
      <c r="A1887">
        <f>IF(Sync!$U1884="","",Sync!$U1884)</f>
        <v/>
      </c>
      <c r="B1887">
        <f>IF($A1887="","",IF(ISNUMBER($A1887),IF(AND($A1887&gt;=10000101,$A1887&lt;=99991231),INT($A1887/10000),""),IFERROR(VALUE(TRIM(LEFT($A1887,FIND("/",$A1887)-1))),"")))</f>
        <v/>
      </c>
      <c r="C1887">
        <f>IF(OR($A1887="",$B1887=""),"",IF(ISNUMBER($A1887),INT(MOD($A1887,10000)/100),IFERROR(VALUE(TRIM(LEFT(MID($A1887,FIND("/",$A1887)+1,20),FIND("/",MID($A1887,FIND("/",$A1887)+1,20))-1))),"")))</f>
        <v/>
      </c>
      <c r="D1887">
        <f>IF(OR($A1887="",$B1887=""),"",IF(ISNUMBER($A1887),MOD($A1887,100),IFERROR(VALUE(TRIM(MID(MID($A1887,FIND("/",$A1887)+1,20),FIND("/",MID($A1887,FIND("/",$A1887)+1,20))+1,20))),"")))</f>
        <v/>
      </c>
      <c r="E1887">
        <f>IF($A1887="","",IF(OR($B1887="",$C1887="",$D1887="",$B1887&lt;1300,$B1887&gt;1500,$C1887&lt;1,$C1887&gt;12,$D1887&lt;1,$D1887&gt;31),"نامعتبر",RIGHT("0000"&amp;$B1887,4)&amp;"/"&amp;RIGHT("00"&amp;$C1887,2)&amp;"/"&amp;RIGHT("00"&amp;$D1887,2)))</f>
        <v/>
      </c>
      <c r="F1887">
        <f>IF(OR($E1887="",$E1887="نامعتبر"),"",LEFT($E1887,4)&amp;"/"&amp;MID($E1887,6,2))</f>
        <v/>
      </c>
      <c r="G1887">
        <f>IF(OR($E1887="",$E1887="نامعتبر",Sync!$Y1884=""),"",Sync!$Y1884)</f>
        <v/>
      </c>
      <c r="H1887">
        <f>IF($G1887="","",IF(Sync!$X1884="","",Sync!$X1884))</f>
        <v/>
      </c>
      <c r="I1887">
        <f>IF($G1887="","",IFERROR(VLOOKUP(Sync!$X1884,OpTbl,3,0),""))</f>
        <v/>
      </c>
      <c r="J1887">
        <f>IF(OR($G1887="",Sync!$Z1884=""),"",Sync!$Z1884)</f>
        <v/>
      </c>
      <c r="K1887">
        <f>IF(OR($G1887="",Sync!$AA1884=""),"",Sync!$AA1884)</f>
        <v/>
      </c>
      <c r="L1887">
        <f>IF($G1887="",0,IF(Sync!$AB1884="",0,Sync!$AB1884))</f>
        <v/>
      </c>
      <c r="M1887">
        <f>IF($G1887="",0,IF(Sync!$AC1884="",0,Sync!$AC1884))</f>
        <v/>
      </c>
      <c r="N1887">
        <f>IF($G1887="","",IF($H1887="مرجوعی خرید",-1,1)*($L1887-$M1887*IFERROR(VLOOKUP("P01",ParamTbl,3,0),1.5))*(1-IF($I1887="خرید",IFERROR(VLOOKUP("P02",ParamTbl,3,0),1),0)/100))</f>
        <v/>
      </c>
      <c r="O1887">
        <f>IF($G1887="",0,IF($H1887="مرجوعی خرید",-1,1)*IF(Sync!$AD1884="",0,Sync!$AD1884))</f>
        <v/>
      </c>
      <c r="P1887">
        <f>IF(OR($G1887="",Sync!$W1884=""),"",Sync!$W1884)</f>
        <v/>
      </c>
      <c r="Q1887">
        <f>IF(OR($G1887="",Sync!$AE1884=""),"",Sync!$AE1884)</f>
        <v/>
      </c>
      <c r="R1887">
        <f>IF($G1887="","",IF(Sync!$V1884="","0000",IF(AND(ISNUMBER(Sync!$V1884),Sync!$V1884&gt;=0,Sync!$V1884&lt;1),RIGHT("00"&amp;HOUR(Sync!$V1884),2)&amp;RIGHT("00"&amp;MINUTE(Sync!$V1884),2),IFERROR(RIGHT("00"&amp;VALUE(LEFT(Sync!$V1884,FIND(":",Sync!$V1884)-1)),2)&amp;RIGHT("00"&amp;VALUE(MID(Sync!$V1884,FIND(":",Sync!$V1884)+1,2)),2),"0000"))))</f>
        <v/>
      </c>
    </row>
    <row r="1888">
      <c r="A1888">
        <f>IF(Sync!$U1885="","",Sync!$U1885)</f>
        <v/>
      </c>
      <c r="B1888">
        <f>IF($A1888="","",IF(ISNUMBER($A1888),IF(AND($A1888&gt;=10000101,$A1888&lt;=99991231),INT($A1888/10000),""),IFERROR(VALUE(TRIM(LEFT($A1888,FIND("/",$A1888)-1))),"")))</f>
        <v/>
      </c>
      <c r="C1888">
        <f>IF(OR($A1888="",$B1888=""),"",IF(ISNUMBER($A1888),INT(MOD($A1888,10000)/100),IFERROR(VALUE(TRIM(LEFT(MID($A1888,FIND("/",$A1888)+1,20),FIND("/",MID($A1888,FIND("/",$A1888)+1,20))-1))),"")))</f>
        <v/>
      </c>
      <c r="D1888">
        <f>IF(OR($A1888="",$B1888=""),"",IF(ISNUMBER($A1888),MOD($A1888,100),IFERROR(VALUE(TRIM(MID(MID($A1888,FIND("/",$A1888)+1,20),FIND("/",MID($A1888,FIND("/",$A1888)+1,20))+1,20))),"")))</f>
        <v/>
      </c>
      <c r="E1888">
        <f>IF($A1888="","",IF(OR($B1888="",$C1888="",$D1888="",$B1888&lt;1300,$B1888&gt;1500,$C1888&lt;1,$C1888&gt;12,$D1888&lt;1,$D1888&gt;31),"نامعتبر",RIGHT("0000"&amp;$B1888,4)&amp;"/"&amp;RIGHT("00"&amp;$C1888,2)&amp;"/"&amp;RIGHT("00"&amp;$D1888,2)))</f>
        <v/>
      </c>
      <c r="F1888">
        <f>IF(OR($E1888="",$E1888="نامعتبر"),"",LEFT($E1888,4)&amp;"/"&amp;MID($E1888,6,2))</f>
        <v/>
      </c>
      <c r="G1888">
        <f>IF(OR($E1888="",$E1888="نامعتبر",Sync!$Y1885=""),"",Sync!$Y1885)</f>
        <v/>
      </c>
      <c r="H1888">
        <f>IF($G1888="","",IF(Sync!$X1885="","",Sync!$X1885))</f>
        <v/>
      </c>
      <c r="I1888">
        <f>IF($G1888="","",IFERROR(VLOOKUP(Sync!$X1885,OpTbl,3,0),""))</f>
        <v/>
      </c>
      <c r="J1888">
        <f>IF(OR($G1888="",Sync!$Z1885=""),"",Sync!$Z1885)</f>
        <v/>
      </c>
      <c r="K1888">
        <f>IF(OR($G1888="",Sync!$AA1885=""),"",Sync!$AA1885)</f>
        <v/>
      </c>
      <c r="L1888">
        <f>IF($G1888="",0,IF(Sync!$AB1885="",0,Sync!$AB1885))</f>
        <v/>
      </c>
      <c r="M1888">
        <f>IF($G1888="",0,IF(Sync!$AC1885="",0,Sync!$AC1885))</f>
        <v/>
      </c>
      <c r="N1888">
        <f>IF($G1888="","",IF($H1888="مرجوعی خرید",-1,1)*($L1888-$M1888*IFERROR(VLOOKUP("P01",ParamTbl,3,0),1.5))*(1-IF($I1888="خرید",IFERROR(VLOOKUP("P02",ParamTbl,3,0),1),0)/100))</f>
        <v/>
      </c>
      <c r="O1888">
        <f>IF($G1888="",0,IF($H1888="مرجوعی خرید",-1,1)*IF(Sync!$AD1885="",0,Sync!$AD1885))</f>
        <v/>
      </c>
      <c r="P1888">
        <f>IF(OR($G1888="",Sync!$W1885=""),"",Sync!$W1885)</f>
        <v/>
      </c>
      <c r="Q1888">
        <f>IF(OR($G1888="",Sync!$AE1885=""),"",Sync!$AE1885)</f>
        <v/>
      </c>
      <c r="R1888">
        <f>IF($G1888="","",IF(Sync!$V1885="","0000",IF(AND(ISNUMBER(Sync!$V1885),Sync!$V1885&gt;=0,Sync!$V1885&lt;1),RIGHT("00"&amp;HOUR(Sync!$V1885),2)&amp;RIGHT("00"&amp;MINUTE(Sync!$V1885),2),IFERROR(RIGHT("00"&amp;VALUE(LEFT(Sync!$V1885,FIND(":",Sync!$V1885)-1)),2)&amp;RIGHT("00"&amp;VALUE(MID(Sync!$V1885,FIND(":",Sync!$V1885)+1,2)),2),"0000"))))</f>
        <v/>
      </c>
    </row>
    <row r="1889">
      <c r="A1889">
        <f>IF(Sync!$U1886="","",Sync!$U1886)</f>
        <v/>
      </c>
      <c r="B1889">
        <f>IF($A1889="","",IF(ISNUMBER($A1889),IF(AND($A1889&gt;=10000101,$A1889&lt;=99991231),INT($A1889/10000),""),IFERROR(VALUE(TRIM(LEFT($A1889,FIND("/",$A1889)-1))),"")))</f>
        <v/>
      </c>
      <c r="C1889">
        <f>IF(OR($A1889="",$B1889=""),"",IF(ISNUMBER($A1889),INT(MOD($A1889,10000)/100),IFERROR(VALUE(TRIM(LEFT(MID($A1889,FIND("/",$A1889)+1,20),FIND("/",MID($A1889,FIND("/",$A1889)+1,20))-1))),"")))</f>
        <v/>
      </c>
      <c r="D1889">
        <f>IF(OR($A1889="",$B1889=""),"",IF(ISNUMBER($A1889),MOD($A1889,100),IFERROR(VALUE(TRIM(MID(MID($A1889,FIND("/",$A1889)+1,20),FIND("/",MID($A1889,FIND("/",$A1889)+1,20))+1,20))),"")))</f>
        <v/>
      </c>
      <c r="E1889">
        <f>IF($A1889="","",IF(OR($B1889="",$C1889="",$D1889="",$B1889&lt;1300,$B1889&gt;1500,$C1889&lt;1,$C1889&gt;12,$D1889&lt;1,$D1889&gt;31),"نامعتبر",RIGHT("0000"&amp;$B1889,4)&amp;"/"&amp;RIGHT("00"&amp;$C1889,2)&amp;"/"&amp;RIGHT("00"&amp;$D1889,2)))</f>
        <v/>
      </c>
      <c r="F1889">
        <f>IF(OR($E1889="",$E1889="نامعتبر"),"",LEFT($E1889,4)&amp;"/"&amp;MID($E1889,6,2))</f>
        <v/>
      </c>
      <c r="G1889">
        <f>IF(OR($E1889="",$E1889="نامعتبر",Sync!$Y1886=""),"",Sync!$Y1886)</f>
        <v/>
      </c>
      <c r="H1889">
        <f>IF($G1889="","",IF(Sync!$X1886="","",Sync!$X1886))</f>
        <v/>
      </c>
      <c r="I1889">
        <f>IF($G1889="","",IFERROR(VLOOKUP(Sync!$X1886,OpTbl,3,0),""))</f>
        <v/>
      </c>
      <c r="J1889">
        <f>IF(OR($G1889="",Sync!$Z1886=""),"",Sync!$Z1886)</f>
        <v/>
      </c>
      <c r="K1889">
        <f>IF(OR($G1889="",Sync!$AA1886=""),"",Sync!$AA1886)</f>
        <v/>
      </c>
      <c r="L1889">
        <f>IF($G1889="",0,IF(Sync!$AB1886="",0,Sync!$AB1886))</f>
        <v/>
      </c>
      <c r="M1889">
        <f>IF($G1889="",0,IF(Sync!$AC1886="",0,Sync!$AC1886))</f>
        <v/>
      </c>
      <c r="N1889">
        <f>IF($G1889="","",IF($H1889="مرجوعی خرید",-1,1)*($L1889-$M1889*IFERROR(VLOOKUP("P01",ParamTbl,3,0),1.5))*(1-IF($I1889="خرید",IFERROR(VLOOKUP("P02",ParamTbl,3,0),1),0)/100))</f>
        <v/>
      </c>
      <c r="O1889">
        <f>IF($G1889="",0,IF($H1889="مرجوعی خرید",-1,1)*IF(Sync!$AD1886="",0,Sync!$AD1886))</f>
        <v/>
      </c>
      <c r="P1889">
        <f>IF(OR($G1889="",Sync!$W1886=""),"",Sync!$W1886)</f>
        <v/>
      </c>
      <c r="Q1889">
        <f>IF(OR($G1889="",Sync!$AE1886=""),"",Sync!$AE1886)</f>
        <v/>
      </c>
      <c r="R1889">
        <f>IF($G1889="","",IF(Sync!$V1886="","0000",IF(AND(ISNUMBER(Sync!$V1886),Sync!$V1886&gt;=0,Sync!$V1886&lt;1),RIGHT("00"&amp;HOUR(Sync!$V1886),2)&amp;RIGHT("00"&amp;MINUTE(Sync!$V1886),2),IFERROR(RIGHT("00"&amp;VALUE(LEFT(Sync!$V1886,FIND(":",Sync!$V1886)-1)),2)&amp;RIGHT("00"&amp;VALUE(MID(Sync!$V1886,FIND(":",Sync!$V1886)+1,2)),2),"0000"))))</f>
        <v/>
      </c>
    </row>
    <row r="1890">
      <c r="A1890">
        <f>IF(Sync!$U1887="","",Sync!$U1887)</f>
        <v/>
      </c>
      <c r="B1890">
        <f>IF($A1890="","",IF(ISNUMBER($A1890),IF(AND($A1890&gt;=10000101,$A1890&lt;=99991231),INT($A1890/10000),""),IFERROR(VALUE(TRIM(LEFT($A1890,FIND("/",$A1890)-1))),"")))</f>
        <v/>
      </c>
      <c r="C1890">
        <f>IF(OR($A1890="",$B1890=""),"",IF(ISNUMBER($A1890),INT(MOD($A1890,10000)/100),IFERROR(VALUE(TRIM(LEFT(MID($A1890,FIND("/",$A1890)+1,20),FIND("/",MID($A1890,FIND("/",$A1890)+1,20))-1))),"")))</f>
        <v/>
      </c>
      <c r="D1890">
        <f>IF(OR($A1890="",$B1890=""),"",IF(ISNUMBER($A1890),MOD($A1890,100),IFERROR(VALUE(TRIM(MID(MID($A1890,FIND("/",$A1890)+1,20),FIND("/",MID($A1890,FIND("/",$A1890)+1,20))+1,20))),"")))</f>
        <v/>
      </c>
      <c r="E1890">
        <f>IF($A1890="","",IF(OR($B1890="",$C1890="",$D1890="",$B1890&lt;1300,$B1890&gt;1500,$C1890&lt;1,$C1890&gt;12,$D1890&lt;1,$D1890&gt;31),"نامعتبر",RIGHT("0000"&amp;$B1890,4)&amp;"/"&amp;RIGHT("00"&amp;$C1890,2)&amp;"/"&amp;RIGHT("00"&amp;$D1890,2)))</f>
        <v/>
      </c>
      <c r="F1890">
        <f>IF(OR($E1890="",$E1890="نامعتبر"),"",LEFT($E1890,4)&amp;"/"&amp;MID($E1890,6,2))</f>
        <v/>
      </c>
      <c r="G1890">
        <f>IF(OR($E1890="",$E1890="نامعتبر",Sync!$Y1887=""),"",Sync!$Y1887)</f>
        <v/>
      </c>
      <c r="H1890">
        <f>IF($G1890="","",IF(Sync!$X1887="","",Sync!$X1887))</f>
        <v/>
      </c>
      <c r="I1890">
        <f>IF($G1890="","",IFERROR(VLOOKUP(Sync!$X1887,OpTbl,3,0),""))</f>
        <v/>
      </c>
      <c r="J1890">
        <f>IF(OR($G1890="",Sync!$Z1887=""),"",Sync!$Z1887)</f>
        <v/>
      </c>
      <c r="K1890">
        <f>IF(OR($G1890="",Sync!$AA1887=""),"",Sync!$AA1887)</f>
        <v/>
      </c>
      <c r="L1890">
        <f>IF($G1890="",0,IF(Sync!$AB1887="",0,Sync!$AB1887))</f>
        <v/>
      </c>
      <c r="M1890">
        <f>IF($G1890="",0,IF(Sync!$AC1887="",0,Sync!$AC1887))</f>
        <v/>
      </c>
      <c r="N1890">
        <f>IF($G1890="","",IF($H1890="مرجوعی خرید",-1,1)*($L1890-$M1890*IFERROR(VLOOKUP("P01",ParamTbl,3,0),1.5))*(1-IF($I1890="خرید",IFERROR(VLOOKUP("P02",ParamTbl,3,0),1),0)/100))</f>
        <v/>
      </c>
      <c r="O1890">
        <f>IF($G1890="",0,IF($H1890="مرجوعی خرید",-1,1)*IF(Sync!$AD1887="",0,Sync!$AD1887))</f>
        <v/>
      </c>
      <c r="P1890">
        <f>IF(OR($G1890="",Sync!$W1887=""),"",Sync!$W1887)</f>
        <v/>
      </c>
      <c r="Q1890">
        <f>IF(OR($G1890="",Sync!$AE1887=""),"",Sync!$AE1887)</f>
        <v/>
      </c>
      <c r="R1890">
        <f>IF($G1890="","",IF(Sync!$V1887="","0000",IF(AND(ISNUMBER(Sync!$V1887),Sync!$V1887&gt;=0,Sync!$V1887&lt;1),RIGHT("00"&amp;HOUR(Sync!$V1887),2)&amp;RIGHT("00"&amp;MINUTE(Sync!$V1887),2),IFERROR(RIGHT("00"&amp;VALUE(LEFT(Sync!$V1887,FIND(":",Sync!$V1887)-1)),2)&amp;RIGHT("00"&amp;VALUE(MID(Sync!$V1887,FIND(":",Sync!$V1887)+1,2)),2),"0000"))))</f>
        <v/>
      </c>
    </row>
    <row r="1891">
      <c r="A1891">
        <f>IF(Sync!$U1888="","",Sync!$U1888)</f>
        <v/>
      </c>
      <c r="B1891">
        <f>IF($A1891="","",IF(ISNUMBER($A1891),IF(AND($A1891&gt;=10000101,$A1891&lt;=99991231),INT($A1891/10000),""),IFERROR(VALUE(TRIM(LEFT($A1891,FIND("/",$A1891)-1))),"")))</f>
        <v/>
      </c>
      <c r="C1891">
        <f>IF(OR($A1891="",$B1891=""),"",IF(ISNUMBER($A1891),INT(MOD($A1891,10000)/100),IFERROR(VALUE(TRIM(LEFT(MID($A1891,FIND("/",$A1891)+1,20),FIND("/",MID($A1891,FIND("/",$A1891)+1,20))-1))),"")))</f>
        <v/>
      </c>
      <c r="D1891">
        <f>IF(OR($A1891="",$B1891=""),"",IF(ISNUMBER($A1891),MOD($A1891,100),IFERROR(VALUE(TRIM(MID(MID($A1891,FIND("/",$A1891)+1,20),FIND("/",MID($A1891,FIND("/",$A1891)+1,20))+1,20))),"")))</f>
        <v/>
      </c>
      <c r="E1891">
        <f>IF($A1891="","",IF(OR($B1891="",$C1891="",$D1891="",$B1891&lt;1300,$B1891&gt;1500,$C1891&lt;1,$C1891&gt;12,$D1891&lt;1,$D1891&gt;31),"نامعتبر",RIGHT("0000"&amp;$B1891,4)&amp;"/"&amp;RIGHT("00"&amp;$C1891,2)&amp;"/"&amp;RIGHT("00"&amp;$D1891,2)))</f>
        <v/>
      </c>
      <c r="F1891">
        <f>IF(OR($E1891="",$E1891="نامعتبر"),"",LEFT($E1891,4)&amp;"/"&amp;MID($E1891,6,2))</f>
        <v/>
      </c>
      <c r="G1891">
        <f>IF(OR($E1891="",$E1891="نامعتبر",Sync!$Y1888=""),"",Sync!$Y1888)</f>
        <v/>
      </c>
      <c r="H1891">
        <f>IF($G1891="","",IF(Sync!$X1888="","",Sync!$X1888))</f>
        <v/>
      </c>
      <c r="I1891">
        <f>IF($G1891="","",IFERROR(VLOOKUP(Sync!$X1888,OpTbl,3,0),""))</f>
        <v/>
      </c>
      <c r="J1891">
        <f>IF(OR($G1891="",Sync!$Z1888=""),"",Sync!$Z1888)</f>
        <v/>
      </c>
      <c r="K1891">
        <f>IF(OR($G1891="",Sync!$AA1888=""),"",Sync!$AA1888)</f>
        <v/>
      </c>
      <c r="L1891">
        <f>IF($G1891="",0,IF(Sync!$AB1888="",0,Sync!$AB1888))</f>
        <v/>
      </c>
      <c r="M1891">
        <f>IF($G1891="",0,IF(Sync!$AC1888="",0,Sync!$AC1888))</f>
        <v/>
      </c>
      <c r="N1891">
        <f>IF($G1891="","",IF($H1891="مرجوعی خرید",-1,1)*($L1891-$M1891*IFERROR(VLOOKUP("P01",ParamTbl,3,0),1.5))*(1-IF($I1891="خرید",IFERROR(VLOOKUP("P02",ParamTbl,3,0),1),0)/100))</f>
        <v/>
      </c>
      <c r="O1891">
        <f>IF($G1891="",0,IF($H1891="مرجوعی خرید",-1,1)*IF(Sync!$AD1888="",0,Sync!$AD1888))</f>
        <v/>
      </c>
      <c r="P1891">
        <f>IF(OR($G1891="",Sync!$W1888=""),"",Sync!$W1888)</f>
        <v/>
      </c>
      <c r="Q1891">
        <f>IF(OR($G1891="",Sync!$AE1888=""),"",Sync!$AE1888)</f>
        <v/>
      </c>
      <c r="R1891">
        <f>IF($G1891="","",IF(Sync!$V1888="","0000",IF(AND(ISNUMBER(Sync!$V1888),Sync!$V1888&gt;=0,Sync!$V1888&lt;1),RIGHT("00"&amp;HOUR(Sync!$V1888),2)&amp;RIGHT("00"&amp;MINUTE(Sync!$V1888),2),IFERROR(RIGHT("00"&amp;VALUE(LEFT(Sync!$V1888,FIND(":",Sync!$V1888)-1)),2)&amp;RIGHT("00"&amp;VALUE(MID(Sync!$V1888,FIND(":",Sync!$V1888)+1,2)),2),"0000"))))</f>
        <v/>
      </c>
    </row>
    <row r="1892">
      <c r="A1892">
        <f>IF(Sync!$U1889="","",Sync!$U1889)</f>
        <v/>
      </c>
      <c r="B1892">
        <f>IF($A1892="","",IF(ISNUMBER($A1892),IF(AND($A1892&gt;=10000101,$A1892&lt;=99991231),INT($A1892/10000),""),IFERROR(VALUE(TRIM(LEFT($A1892,FIND("/",$A1892)-1))),"")))</f>
        <v/>
      </c>
      <c r="C1892">
        <f>IF(OR($A1892="",$B1892=""),"",IF(ISNUMBER($A1892),INT(MOD($A1892,10000)/100),IFERROR(VALUE(TRIM(LEFT(MID($A1892,FIND("/",$A1892)+1,20),FIND("/",MID($A1892,FIND("/",$A1892)+1,20))-1))),"")))</f>
        <v/>
      </c>
      <c r="D1892">
        <f>IF(OR($A1892="",$B1892=""),"",IF(ISNUMBER($A1892),MOD($A1892,100),IFERROR(VALUE(TRIM(MID(MID($A1892,FIND("/",$A1892)+1,20),FIND("/",MID($A1892,FIND("/",$A1892)+1,20))+1,20))),"")))</f>
        <v/>
      </c>
      <c r="E1892">
        <f>IF($A1892="","",IF(OR($B1892="",$C1892="",$D1892="",$B1892&lt;1300,$B1892&gt;1500,$C1892&lt;1,$C1892&gt;12,$D1892&lt;1,$D1892&gt;31),"نامعتبر",RIGHT("0000"&amp;$B1892,4)&amp;"/"&amp;RIGHT("00"&amp;$C1892,2)&amp;"/"&amp;RIGHT("00"&amp;$D1892,2)))</f>
        <v/>
      </c>
      <c r="F1892">
        <f>IF(OR($E1892="",$E1892="نامعتبر"),"",LEFT($E1892,4)&amp;"/"&amp;MID($E1892,6,2))</f>
        <v/>
      </c>
      <c r="G1892">
        <f>IF(OR($E1892="",$E1892="نامعتبر",Sync!$Y1889=""),"",Sync!$Y1889)</f>
        <v/>
      </c>
      <c r="H1892">
        <f>IF($G1892="","",IF(Sync!$X1889="","",Sync!$X1889))</f>
        <v/>
      </c>
      <c r="I1892">
        <f>IF($G1892="","",IFERROR(VLOOKUP(Sync!$X1889,OpTbl,3,0),""))</f>
        <v/>
      </c>
      <c r="J1892">
        <f>IF(OR($G1892="",Sync!$Z1889=""),"",Sync!$Z1889)</f>
        <v/>
      </c>
      <c r="K1892">
        <f>IF(OR($G1892="",Sync!$AA1889=""),"",Sync!$AA1889)</f>
        <v/>
      </c>
      <c r="L1892">
        <f>IF($G1892="",0,IF(Sync!$AB1889="",0,Sync!$AB1889))</f>
        <v/>
      </c>
      <c r="M1892">
        <f>IF($G1892="",0,IF(Sync!$AC1889="",0,Sync!$AC1889))</f>
        <v/>
      </c>
      <c r="N1892">
        <f>IF($G1892="","",IF($H1892="مرجوعی خرید",-1,1)*($L1892-$M1892*IFERROR(VLOOKUP("P01",ParamTbl,3,0),1.5))*(1-IF($I1892="خرید",IFERROR(VLOOKUP("P02",ParamTbl,3,0),1),0)/100))</f>
        <v/>
      </c>
      <c r="O1892">
        <f>IF($G1892="",0,IF($H1892="مرجوعی خرید",-1,1)*IF(Sync!$AD1889="",0,Sync!$AD1889))</f>
        <v/>
      </c>
      <c r="P1892">
        <f>IF(OR($G1892="",Sync!$W1889=""),"",Sync!$W1889)</f>
        <v/>
      </c>
      <c r="Q1892">
        <f>IF(OR($G1892="",Sync!$AE1889=""),"",Sync!$AE1889)</f>
        <v/>
      </c>
      <c r="R1892">
        <f>IF($G1892="","",IF(Sync!$V1889="","0000",IF(AND(ISNUMBER(Sync!$V1889),Sync!$V1889&gt;=0,Sync!$V1889&lt;1),RIGHT("00"&amp;HOUR(Sync!$V1889),2)&amp;RIGHT("00"&amp;MINUTE(Sync!$V1889),2),IFERROR(RIGHT("00"&amp;VALUE(LEFT(Sync!$V1889,FIND(":",Sync!$V1889)-1)),2)&amp;RIGHT("00"&amp;VALUE(MID(Sync!$V1889,FIND(":",Sync!$V1889)+1,2)),2),"0000"))))</f>
        <v/>
      </c>
    </row>
    <row r="1893">
      <c r="A1893">
        <f>IF(Sync!$U1890="","",Sync!$U1890)</f>
        <v/>
      </c>
      <c r="B1893">
        <f>IF($A1893="","",IF(ISNUMBER($A1893),IF(AND($A1893&gt;=10000101,$A1893&lt;=99991231),INT($A1893/10000),""),IFERROR(VALUE(TRIM(LEFT($A1893,FIND("/",$A1893)-1))),"")))</f>
        <v/>
      </c>
      <c r="C1893">
        <f>IF(OR($A1893="",$B1893=""),"",IF(ISNUMBER($A1893),INT(MOD($A1893,10000)/100),IFERROR(VALUE(TRIM(LEFT(MID($A1893,FIND("/",$A1893)+1,20),FIND("/",MID($A1893,FIND("/",$A1893)+1,20))-1))),"")))</f>
        <v/>
      </c>
      <c r="D1893">
        <f>IF(OR($A1893="",$B1893=""),"",IF(ISNUMBER($A1893),MOD($A1893,100),IFERROR(VALUE(TRIM(MID(MID($A1893,FIND("/",$A1893)+1,20),FIND("/",MID($A1893,FIND("/",$A1893)+1,20))+1,20))),"")))</f>
        <v/>
      </c>
      <c r="E1893">
        <f>IF($A1893="","",IF(OR($B1893="",$C1893="",$D1893="",$B1893&lt;1300,$B1893&gt;1500,$C1893&lt;1,$C1893&gt;12,$D1893&lt;1,$D1893&gt;31),"نامعتبر",RIGHT("0000"&amp;$B1893,4)&amp;"/"&amp;RIGHT("00"&amp;$C1893,2)&amp;"/"&amp;RIGHT("00"&amp;$D1893,2)))</f>
        <v/>
      </c>
      <c r="F1893">
        <f>IF(OR($E1893="",$E1893="نامعتبر"),"",LEFT($E1893,4)&amp;"/"&amp;MID($E1893,6,2))</f>
        <v/>
      </c>
      <c r="G1893">
        <f>IF(OR($E1893="",$E1893="نامعتبر",Sync!$Y1890=""),"",Sync!$Y1890)</f>
        <v/>
      </c>
      <c r="H1893">
        <f>IF($G1893="","",IF(Sync!$X1890="","",Sync!$X1890))</f>
        <v/>
      </c>
      <c r="I1893">
        <f>IF($G1893="","",IFERROR(VLOOKUP(Sync!$X1890,OpTbl,3,0),""))</f>
        <v/>
      </c>
      <c r="J1893">
        <f>IF(OR($G1893="",Sync!$Z1890=""),"",Sync!$Z1890)</f>
        <v/>
      </c>
      <c r="K1893">
        <f>IF(OR($G1893="",Sync!$AA1890=""),"",Sync!$AA1890)</f>
        <v/>
      </c>
      <c r="L1893">
        <f>IF($G1893="",0,IF(Sync!$AB1890="",0,Sync!$AB1890))</f>
        <v/>
      </c>
      <c r="M1893">
        <f>IF($G1893="",0,IF(Sync!$AC1890="",0,Sync!$AC1890))</f>
        <v/>
      </c>
      <c r="N1893">
        <f>IF($G1893="","",IF($H1893="مرجوعی خرید",-1,1)*($L1893-$M1893*IFERROR(VLOOKUP("P01",ParamTbl,3,0),1.5))*(1-IF($I1893="خرید",IFERROR(VLOOKUP("P02",ParamTbl,3,0),1),0)/100))</f>
        <v/>
      </c>
      <c r="O1893">
        <f>IF($G1893="",0,IF($H1893="مرجوعی خرید",-1,1)*IF(Sync!$AD1890="",0,Sync!$AD1890))</f>
        <v/>
      </c>
      <c r="P1893">
        <f>IF(OR($G1893="",Sync!$W1890=""),"",Sync!$W1890)</f>
        <v/>
      </c>
      <c r="Q1893">
        <f>IF(OR($G1893="",Sync!$AE1890=""),"",Sync!$AE1890)</f>
        <v/>
      </c>
      <c r="R1893">
        <f>IF($G1893="","",IF(Sync!$V1890="","0000",IF(AND(ISNUMBER(Sync!$V1890),Sync!$V1890&gt;=0,Sync!$V1890&lt;1),RIGHT("00"&amp;HOUR(Sync!$V1890),2)&amp;RIGHT("00"&amp;MINUTE(Sync!$V1890),2),IFERROR(RIGHT("00"&amp;VALUE(LEFT(Sync!$V1890,FIND(":",Sync!$V1890)-1)),2)&amp;RIGHT("00"&amp;VALUE(MID(Sync!$V1890,FIND(":",Sync!$V1890)+1,2)),2),"0000"))))</f>
        <v/>
      </c>
    </row>
    <row r="1894">
      <c r="A1894">
        <f>IF(Sync!$U1891="","",Sync!$U1891)</f>
        <v/>
      </c>
      <c r="B1894">
        <f>IF($A1894="","",IF(ISNUMBER($A1894),IF(AND($A1894&gt;=10000101,$A1894&lt;=99991231),INT($A1894/10000),""),IFERROR(VALUE(TRIM(LEFT($A1894,FIND("/",$A1894)-1))),"")))</f>
        <v/>
      </c>
      <c r="C1894">
        <f>IF(OR($A1894="",$B1894=""),"",IF(ISNUMBER($A1894),INT(MOD($A1894,10000)/100),IFERROR(VALUE(TRIM(LEFT(MID($A1894,FIND("/",$A1894)+1,20),FIND("/",MID($A1894,FIND("/",$A1894)+1,20))-1))),"")))</f>
        <v/>
      </c>
      <c r="D1894">
        <f>IF(OR($A1894="",$B1894=""),"",IF(ISNUMBER($A1894),MOD($A1894,100),IFERROR(VALUE(TRIM(MID(MID($A1894,FIND("/",$A1894)+1,20),FIND("/",MID($A1894,FIND("/",$A1894)+1,20))+1,20))),"")))</f>
        <v/>
      </c>
      <c r="E1894">
        <f>IF($A1894="","",IF(OR($B1894="",$C1894="",$D1894="",$B1894&lt;1300,$B1894&gt;1500,$C1894&lt;1,$C1894&gt;12,$D1894&lt;1,$D1894&gt;31),"نامعتبر",RIGHT("0000"&amp;$B1894,4)&amp;"/"&amp;RIGHT("00"&amp;$C1894,2)&amp;"/"&amp;RIGHT("00"&amp;$D1894,2)))</f>
        <v/>
      </c>
      <c r="F1894">
        <f>IF(OR($E1894="",$E1894="نامعتبر"),"",LEFT($E1894,4)&amp;"/"&amp;MID($E1894,6,2))</f>
        <v/>
      </c>
      <c r="G1894">
        <f>IF(OR($E1894="",$E1894="نامعتبر",Sync!$Y1891=""),"",Sync!$Y1891)</f>
        <v/>
      </c>
      <c r="H1894">
        <f>IF($G1894="","",IF(Sync!$X1891="","",Sync!$X1891))</f>
        <v/>
      </c>
      <c r="I1894">
        <f>IF($G1894="","",IFERROR(VLOOKUP(Sync!$X1891,OpTbl,3,0),""))</f>
        <v/>
      </c>
      <c r="J1894">
        <f>IF(OR($G1894="",Sync!$Z1891=""),"",Sync!$Z1891)</f>
        <v/>
      </c>
      <c r="K1894">
        <f>IF(OR($G1894="",Sync!$AA1891=""),"",Sync!$AA1891)</f>
        <v/>
      </c>
      <c r="L1894">
        <f>IF($G1894="",0,IF(Sync!$AB1891="",0,Sync!$AB1891))</f>
        <v/>
      </c>
      <c r="M1894">
        <f>IF($G1894="",0,IF(Sync!$AC1891="",0,Sync!$AC1891))</f>
        <v/>
      </c>
      <c r="N1894">
        <f>IF($G1894="","",IF($H1894="مرجوعی خرید",-1,1)*($L1894-$M1894*IFERROR(VLOOKUP("P01",ParamTbl,3,0),1.5))*(1-IF($I1894="خرید",IFERROR(VLOOKUP("P02",ParamTbl,3,0),1),0)/100))</f>
        <v/>
      </c>
      <c r="O1894">
        <f>IF($G1894="",0,IF($H1894="مرجوعی خرید",-1,1)*IF(Sync!$AD1891="",0,Sync!$AD1891))</f>
        <v/>
      </c>
      <c r="P1894">
        <f>IF(OR($G1894="",Sync!$W1891=""),"",Sync!$W1891)</f>
        <v/>
      </c>
      <c r="Q1894">
        <f>IF(OR($G1894="",Sync!$AE1891=""),"",Sync!$AE1891)</f>
        <v/>
      </c>
      <c r="R1894">
        <f>IF($G1894="","",IF(Sync!$V1891="","0000",IF(AND(ISNUMBER(Sync!$V1891),Sync!$V1891&gt;=0,Sync!$V1891&lt;1),RIGHT("00"&amp;HOUR(Sync!$V1891),2)&amp;RIGHT("00"&amp;MINUTE(Sync!$V1891),2),IFERROR(RIGHT("00"&amp;VALUE(LEFT(Sync!$V1891,FIND(":",Sync!$V1891)-1)),2)&amp;RIGHT("00"&amp;VALUE(MID(Sync!$V1891,FIND(":",Sync!$V1891)+1,2)),2),"0000"))))</f>
        <v/>
      </c>
    </row>
    <row r="1895">
      <c r="A1895">
        <f>IF(Sync!$U1892="","",Sync!$U1892)</f>
        <v/>
      </c>
      <c r="B1895">
        <f>IF($A1895="","",IF(ISNUMBER($A1895),IF(AND($A1895&gt;=10000101,$A1895&lt;=99991231),INT($A1895/10000),""),IFERROR(VALUE(TRIM(LEFT($A1895,FIND("/",$A1895)-1))),"")))</f>
        <v/>
      </c>
      <c r="C1895">
        <f>IF(OR($A1895="",$B1895=""),"",IF(ISNUMBER($A1895),INT(MOD($A1895,10000)/100),IFERROR(VALUE(TRIM(LEFT(MID($A1895,FIND("/",$A1895)+1,20),FIND("/",MID($A1895,FIND("/",$A1895)+1,20))-1))),"")))</f>
        <v/>
      </c>
      <c r="D1895">
        <f>IF(OR($A1895="",$B1895=""),"",IF(ISNUMBER($A1895),MOD($A1895,100),IFERROR(VALUE(TRIM(MID(MID($A1895,FIND("/",$A1895)+1,20),FIND("/",MID($A1895,FIND("/",$A1895)+1,20))+1,20))),"")))</f>
        <v/>
      </c>
      <c r="E1895">
        <f>IF($A1895="","",IF(OR($B1895="",$C1895="",$D1895="",$B1895&lt;1300,$B1895&gt;1500,$C1895&lt;1,$C1895&gt;12,$D1895&lt;1,$D1895&gt;31),"نامعتبر",RIGHT("0000"&amp;$B1895,4)&amp;"/"&amp;RIGHT("00"&amp;$C1895,2)&amp;"/"&amp;RIGHT("00"&amp;$D1895,2)))</f>
        <v/>
      </c>
      <c r="F1895">
        <f>IF(OR($E1895="",$E1895="نامعتبر"),"",LEFT($E1895,4)&amp;"/"&amp;MID($E1895,6,2))</f>
        <v/>
      </c>
      <c r="G1895">
        <f>IF(OR($E1895="",$E1895="نامعتبر",Sync!$Y1892=""),"",Sync!$Y1892)</f>
        <v/>
      </c>
      <c r="H1895">
        <f>IF($G1895="","",IF(Sync!$X1892="","",Sync!$X1892))</f>
        <v/>
      </c>
      <c r="I1895">
        <f>IF($G1895="","",IFERROR(VLOOKUP(Sync!$X1892,OpTbl,3,0),""))</f>
        <v/>
      </c>
      <c r="J1895">
        <f>IF(OR($G1895="",Sync!$Z1892=""),"",Sync!$Z1892)</f>
        <v/>
      </c>
      <c r="K1895">
        <f>IF(OR($G1895="",Sync!$AA1892=""),"",Sync!$AA1892)</f>
        <v/>
      </c>
      <c r="L1895">
        <f>IF($G1895="",0,IF(Sync!$AB1892="",0,Sync!$AB1892))</f>
        <v/>
      </c>
      <c r="M1895">
        <f>IF($G1895="",0,IF(Sync!$AC1892="",0,Sync!$AC1892))</f>
        <v/>
      </c>
      <c r="N1895">
        <f>IF($G1895="","",IF($H1895="مرجوعی خرید",-1,1)*($L1895-$M1895*IFERROR(VLOOKUP("P01",ParamTbl,3,0),1.5))*(1-IF($I1895="خرید",IFERROR(VLOOKUP("P02",ParamTbl,3,0),1),0)/100))</f>
        <v/>
      </c>
      <c r="O1895">
        <f>IF($G1895="",0,IF($H1895="مرجوعی خرید",-1,1)*IF(Sync!$AD1892="",0,Sync!$AD1892))</f>
        <v/>
      </c>
      <c r="P1895">
        <f>IF(OR($G1895="",Sync!$W1892=""),"",Sync!$W1892)</f>
        <v/>
      </c>
      <c r="Q1895">
        <f>IF(OR($G1895="",Sync!$AE1892=""),"",Sync!$AE1892)</f>
        <v/>
      </c>
      <c r="R1895">
        <f>IF($G1895="","",IF(Sync!$V1892="","0000",IF(AND(ISNUMBER(Sync!$V1892),Sync!$V1892&gt;=0,Sync!$V1892&lt;1),RIGHT("00"&amp;HOUR(Sync!$V1892),2)&amp;RIGHT("00"&amp;MINUTE(Sync!$V1892),2),IFERROR(RIGHT("00"&amp;VALUE(LEFT(Sync!$V1892,FIND(":",Sync!$V1892)-1)),2)&amp;RIGHT("00"&amp;VALUE(MID(Sync!$V1892,FIND(":",Sync!$V1892)+1,2)),2),"0000"))))</f>
        <v/>
      </c>
    </row>
    <row r="1896">
      <c r="A1896">
        <f>IF(Sync!$U1893="","",Sync!$U1893)</f>
        <v/>
      </c>
      <c r="B1896">
        <f>IF($A1896="","",IF(ISNUMBER($A1896),IF(AND($A1896&gt;=10000101,$A1896&lt;=99991231),INT($A1896/10000),""),IFERROR(VALUE(TRIM(LEFT($A1896,FIND("/",$A1896)-1))),"")))</f>
        <v/>
      </c>
      <c r="C1896">
        <f>IF(OR($A1896="",$B1896=""),"",IF(ISNUMBER($A1896),INT(MOD($A1896,10000)/100),IFERROR(VALUE(TRIM(LEFT(MID($A1896,FIND("/",$A1896)+1,20),FIND("/",MID($A1896,FIND("/",$A1896)+1,20))-1))),"")))</f>
        <v/>
      </c>
      <c r="D1896">
        <f>IF(OR($A1896="",$B1896=""),"",IF(ISNUMBER($A1896),MOD($A1896,100),IFERROR(VALUE(TRIM(MID(MID($A1896,FIND("/",$A1896)+1,20),FIND("/",MID($A1896,FIND("/",$A1896)+1,20))+1,20))),"")))</f>
        <v/>
      </c>
      <c r="E1896">
        <f>IF($A1896="","",IF(OR($B1896="",$C1896="",$D1896="",$B1896&lt;1300,$B1896&gt;1500,$C1896&lt;1,$C1896&gt;12,$D1896&lt;1,$D1896&gt;31),"نامعتبر",RIGHT("0000"&amp;$B1896,4)&amp;"/"&amp;RIGHT("00"&amp;$C1896,2)&amp;"/"&amp;RIGHT("00"&amp;$D1896,2)))</f>
        <v/>
      </c>
      <c r="F1896">
        <f>IF(OR($E1896="",$E1896="نامعتبر"),"",LEFT($E1896,4)&amp;"/"&amp;MID($E1896,6,2))</f>
        <v/>
      </c>
      <c r="G1896">
        <f>IF(OR($E1896="",$E1896="نامعتبر",Sync!$Y1893=""),"",Sync!$Y1893)</f>
        <v/>
      </c>
      <c r="H1896">
        <f>IF($G1896="","",IF(Sync!$X1893="","",Sync!$X1893))</f>
        <v/>
      </c>
      <c r="I1896">
        <f>IF($G1896="","",IFERROR(VLOOKUP(Sync!$X1893,OpTbl,3,0),""))</f>
        <v/>
      </c>
      <c r="J1896">
        <f>IF(OR($G1896="",Sync!$Z1893=""),"",Sync!$Z1893)</f>
        <v/>
      </c>
      <c r="K1896">
        <f>IF(OR($G1896="",Sync!$AA1893=""),"",Sync!$AA1893)</f>
        <v/>
      </c>
      <c r="L1896">
        <f>IF($G1896="",0,IF(Sync!$AB1893="",0,Sync!$AB1893))</f>
        <v/>
      </c>
      <c r="M1896">
        <f>IF($G1896="",0,IF(Sync!$AC1893="",0,Sync!$AC1893))</f>
        <v/>
      </c>
      <c r="N1896">
        <f>IF($G1896="","",IF($H1896="مرجوعی خرید",-1,1)*($L1896-$M1896*IFERROR(VLOOKUP("P01",ParamTbl,3,0),1.5))*(1-IF($I1896="خرید",IFERROR(VLOOKUP("P02",ParamTbl,3,0),1),0)/100))</f>
        <v/>
      </c>
      <c r="O1896">
        <f>IF($G1896="",0,IF($H1896="مرجوعی خرید",-1,1)*IF(Sync!$AD1893="",0,Sync!$AD1893))</f>
        <v/>
      </c>
      <c r="P1896">
        <f>IF(OR($G1896="",Sync!$W1893=""),"",Sync!$W1893)</f>
        <v/>
      </c>
      <c r="Q1896">
        <f>IF(OR($G1896="",Sync!$AE1893=""),"",Sync!$AE1893)</f>
        <v/>
      </c>
      <c r="R1896">
        <f>IF($G1896="","",IF(Sync!$V1893="","0000",IF(AND(ISNUMBER(Sync!$V1893),Sync!$V1893&gt;=0,Sync!$V1893&lt;1),RIGHT("00"&amp;HOUR(Sync!$V1893),2)&amp;RIGHT("00"&amp;MINUTE(Sync!$V1893),2),IFERROR(RIGHT("00"&amp;VALUE(LEFT(Sync!$V1893,FIND(":",Sync!$V1893)-1)),2)&amp;RIGHT("00"&amp;VALUE(MID(Sync!$V1893,FIND(":",Sync!$V1893)+1,2)),2),"0000"))))</f>
        <v/>
      </c>
    </row>
    <row r="1897">
      <c r="A1897">
        <f>IF(Sync!$U1894="","",Sync!$U1894)</f>
        <v/>
      </c>
      <c r="B1897">
        <f>IF($A1897="","",IF(ISNUMBER($A1897),IF(AND($A1897&gt;=10000101,$A1897&lt;=99991231),INT($A1897/10000),""),IFERROR(VALUE(TRIM(LEFT($A1897,FIND("/",$A1897)-1))),"")))</f>
        <v/>
      </c>
      <c r="C1897">
        <f>IF(OR($A1897="",$B1897=""),"",IF(ISNUMBER($A1897),INT(MOD($A1897,10000)/100),IFERROR(VALUE(TRIM(LEFT(MID($A1897,FIND("/",$A1897)+1,20),FIND("/",MID($A1897,FIND("/",$A1897)+1,20))-1))),"")))</f>
        <v/>
      </c>
      <c r="D1897">
        <f>IF(OR($A1897="",$B1897=""),"",IF(ISNUMBER($A1897),MOD($A1897,100),IFERROR(VALUE(TRIM(MID(MID($A1897,FIND("/",$A1897)+1,20),FIND("/",MID($A1897,FIND("/",$A1897)+1,20))+1,20))),"")))</f>
        <v/>
      </c>
      <c r="E1897">
        <f>IF($A1897="","",IF(OR($B1897="",$C1897="",$D1897="",$B1897&lt;1300,$B1897&gt;1500,$C1897&lt;1,$C1897&gt;12,$D1897&lt;1,$D1897&gt;31),"نامعتبر",RIGHT("0000"&amp;$B1897,4)&amp;"/"&amp;RIGHT("00"&amp;$C1897,2)&amp;"/"&amp;RIGHT("00"&amp;$D1897,2)))</f>
        <v/>
      </c>
      <c r="F1897">
        <f>IF(OR($E1897="",$E1897="نامعتبر"),"",LEFT($E1897,4)&amp;"/"&amp;MID($E1897,6,2))</f>
        <v/>
      </c>
      <c r="G1897">
        <f>IF(OR($E1897="",$E1897="نامعتبر",Sync!$Y1894=""),"",Sync!$Y1894)</f>
        <v/>
      </c>
      <c r="H1897">
        <f>IF($G1897="","",IF(Sync!$X1894="","",Sync!$X1894))</f>
        <v/>
      </c>
      <c r="I1897">
        <f>IF($G1897="","",IFERROR(VLOOKUP(Sync!$X1894,OpTbl,3,0),""))</f>
        <v/>
      </c>
      <c r="J1897">
        <f>IF(OR($G1897="",Sync!$Z1894=""),"",Sync!$Z1894)</f>
        <v/>
      </c>
      <c r="K1897">
        <f>IF(OR($G1897="",Sync!$AA1894=""),"",Sync!$AA1894)</f>
        <v/>
      </c>
      <c r="L1897">
        <f>IF($G1897="",0,IF(Sync!$AB1894="",0,Sync!$AB1894))</f>
        <v/>
      </c>
      <c r="M1897">
        <f>IF($G1897="",0,IF(Sync!$AC1894="",0,Sync!$AC1894))</f>
        <v/>
      </c>
      <c r="N1897">
        <f>IF($G1897="","",IF($H1897="مرجوعی خرید",-1,1)*($L1897-$M1897*IFERROR(VLOOKUP("P01",ParamTbl,3,0),1.5))*(1-IF($I1897="خرید",IFERROR(VLOOKUP("P02",ParamTbl,3,0),1),0)/100))</f>
        <v/>
      </c>
      <c r="O1897">
        <f>IF($G1897="",0,IF($H1897="مرجوعی خرید",-1,1)*IF(Sync!$AD1894="",0,Sync!$AD1894))</f>
        <v/>
      </c>
      <c r="P1897">
        <f>IF(OR($G1897="",Sync!$W1894=""),"",Sync!$W1894)</f>
        <v/>
      </c>
      <c r="Q1897">
        <f>IF(OR($G1897="",Sync!$AE1894=""),"",Sync!$AE1894)</f>
        <v/>
      </c>
      <c r="R1897">
        <f>IF($G1897="","",IF(Sync!$V1894="","0000",IF(AND(ISNUMBER(Sync!$V1894),Sync!$V1894&gt;=0,Sync!$V1894&lt;1),RIGHT("00"&amp;HOUR(Sync!$V1894),2)&amp;RIGHT("00"&amp;MINUTE(Sync!$V1894),2),IFERROR(RIGHT("00"&amp;VALUE(LEFT(Sync!$V1894,FIND(":",Sync!$V1894)-1)),2)&amp;RIGHT("00"&amp;VALUE(MID(Sync!$V1894,FIND(":",Sync!$V1894)+1,2)),2),"0000"))))</f>
        <v/>
      </c>
    </row>
    <row r="1898">
      <c r="A1898">
        <f>IF(Sync!$U1895="","",Sync!$U1895)</f>
        <v/>
      </c>
      <c r="B1898">
        <f>IF($A1898="","",IF(ISNUMBER($A1898),IF(AND($A1898&gt;=10000101,$A1898&lt;=99991231),INT($A1898/10000),""),IFERROR(VALUE(TRIM(LEFT($A1898,FIND("/",$A1898)-1))),"")))</f>
        <v/>
      </c>
      <c r="C1898">
        <f>IF(OR($A1898="",$B1898=""),"",IF(ISNUMBER($A1898),INT(MOD($A1898,10000)/100),IFERROR(VALUE(TRIM(LEFT(MID($A1898,FIND("/",$A1898)+1,20),FIND("/",MID($A1898,FIND("/",$A1898)+1,20))-1))),"")))</f>
        <v/>
      </c>
      <c r="D1898">
        <f>IF(OR($A1898="",$B1898=""),"",IF(ISNUMBER($A1898),MOD($A1898,100),IFERROR(VALUE(TRIM(MID(MID($A1898,FIND("/",$A1898)+1,20),FIND("/",MID($A1898,FIND("/",$A1898)+1,20))+1,20))),"")))</f>
        <v/>
      </c>
      <c r="E1898">
        <f>IF($A1898="","",IF(OR($B1898="",$C1898="",$D1898="",$B1898&lt;1300,$B1898&gt;1500,$C1898&lt;1,$C1898&gt;12,$D1898&lt;1,$D1898&gt;31),"نامعتبر",RIGHT("0000"&amp;$B1898,4)&amp;"/"&amp;RIGHT("00"&amp;$C1898,2)&amp;"/"&amp;RIGHT("00"&amp;$D1898,2)))</f>
        <v/>
      </c>
      <c r="F1898">
        <f>IF(OR($E1898="",$E1898="نامعتبر"),"",LEFT($E1898,4)&amp;"/"&amp;MID($E1898,6,2))</f>
        <v/>
      </c>
      <c r="G1898">
        <f>IF(OR($E1898="",$E1898="نامعتبر",Sync!$Y1895=""),"",Sync!$Y1895)</f>
        <v/>
      </c>
      <c r="H1898">
        <f>IF($G1898="","",IF(Sync!$X1895="","",Sync!$X1895))</f>
        <v/>
      </c>
      <c r="I1898">
        <f>IF($G1898="","",IFERROR(VLOOKUP(Sync!$X1895,OpTbl,3,0),""))</f>
        <v/>
      </c>
      <c r="J1898">
        <f>IF(OR($G1898="",Sync!$Z1895=""),"",Sync!$Z1895)</f>
        <v/>
      </c>
      <c r="K1898">
        <f>IF(OR($G1898="",Sync!$AA1895=""),"",Sync!$AA1895)</f>
        <v/>
      </c>
      <c r="L1898">
        <f>IF($G1898="",0,IF(Sync!$AB1895="",0,Sync!$AB1895))</f>
        <v/>
      </c>
      <c r="M1898">
        <f>IF($G1898="",0,IF(Sync!$AC1895="",0,Sync!$AC1895))</f>
        <v/>
      </c>
      <c r="N1898">
        <f>IF($G1898="","",IF($H1898="مرجوعی خرید",-1,1)*($L1898-$M1898*IFERROR(VLOOKUP("P01",ParamTbl,3,0),1.5))*(1-IF($I1898="خرید",IFERROR(VLOOKUP("P02",ParamTbl,3,0),1),0)/100))</f>
        <v/>
      </c>
      <c r="O1898">
        <f>IF($G1898="",0,IF($H1898="مرجوعی خرید",-1,1)*IF(Sync!$AD1895="",0,Sync!$AD1895))</f>
        <v/>
      </c>
      <c r="P1898">
        <f>IF(OR($G1898="",Sync!$W1895=""),"",Sync!$W1895)</f>
        <v/>
      </c>
      <c r="Q1898">
        <f>IF(OR($G1898="",Sync!$AE1895=""),"",Sync!$AE1895)</f>
        <v/>
      </c>
      <c r="R1898">
        <f>IF($G1898="","",IF(Sync!$V1895="","0000",IF(AND(ISNUMBER(Sync!$V1895),Sync!$V1895&gt;=0,Sync!$V1895&lt;1),RIGHT("00"&amp;HOUR(Sync!$V1895),2)&amp;RIGHT("00"&amp;MINUTE(Sync!$V1895),2),IFERROR(RIGHT("00"&amp;VALUE(LEFT(Sync!$V1895,FIND(":",Sync!$V1895)-1)),2)&amp;RIGHT("00"&amp;VALUE(MID(Sync!$V1895,FIND(":",Sync!$V1895)+1,2)),2),"0000"))))</f>
        <v/>
      </c>
    </row>
    <row r="1899">
      <c r="A1899">
        <f>IF(Sync!$U1896="","",Sync!$U1896)</f>
        <v/>
      </c>
      <c r="B1899">
        <f>IF($A1899="","",IF(ISNUMBER($A1899),IF(AND($A1899&gt;=10000101,$A1899&lt;=99991231),INT($A1899/10000),""),IFERROR(VALUE(TRIM(LEFT($A1899,FIND("/",$A1899)-1))),"")))</f>
        <v/>
      </c>
      <c r="C1899">
        <f>IF(OR($A1899="",$B1899=""),"",IF(ISNUMBER($A1899),INT(MOD($A1899,10000)/100),IFERROR(VALUE(TRIM(LEFT(MID($A1899,FIND("/",$A1899)+1,20),FIND("/",MID($A1899,FIND("/",$A1899)+1,20))-1))),"")))</f>
        <v/>
      </c>
      <c r="D1899">
        <f>IF(OR($A1899="",$B1899=""),"",IF(ISNUMBER($A1899),MOD($A1899,100),IFERROR(VALUE(TRIM(MID(MID($A1899,FIND("/",$A1899)+1,20),FIND("/",MID($A1899,FIND("/",$A1899)+1,20))+1,20))),"")))</f>
        <v/>
      </c>
      <c r="E1899">
        <f>IF($A1899="","",IF(OR($B1899="",$C1899="",$D1899="",$B1899&lt;1300,$B1899&gt;1500,$C1899&lt;1,$C1899&gt;12,$D1899&lt;1,$D1899&gt;31),"نامعتبر",RIGHT("0000"&amp;$B1899,4)&amp;"/"&amp;RIGHT("00"&amp;$C1899,2)&amp;"/"&amp;RIGHT("00"&amp;$D1899,2)))</f>
        <v/>
      </c>
      <c r="F1899">
        <f>IF(OR($E1899="",$E1899="نامعتبر"),"",LEFT($E1899,4)&amp;"/"&amp;MID($E1899,6,2))</f>
        <v/>
      </c>
      <c r="G1899">
        <f>IF(OR($E1899="",$E1899="نامعتبر",Sync!$Y1896=""),"",Sync!$Y1896)</f>
        <v/>
      </c>
      <c r="H1899">
        <f>IF($G1899="","",IF(Sync!$X1896="","",Sync!$X1896))</f>
        <v/>
      </c>
      <c r="I1899">
        <f>IF($G1899="","",IFERROR(VLOOKUP(Sync!$X1896,OpTbl,3,0),""))</f>
        <v/>
      </c>
      <c r="J1899">
        <f>IF(OR($G1899="",Sync!$Z1896=""),"",Sync!$Z1896)</f>
        <v/>
      </c>
      <c r="K1899">
        <f>IF(OR($G1899="",Sync!$AA1896=""),"",Sync!$AA1896)</f>
        <v/>
      </c>
      <c r="L1899">
        <f>IF($G1899="",0,IF(Sync!$AB1896="",0,Sync!$AB1896))</f>
        <v/>
      </c>
      <c r="M1899">
        <f>IF($G1899="",0,IF(Sync!$AC1896="",0,Sync!$AC1896))</f>
        <v/>
      </c>
      <c r="N1899">
        <f>IF($G1899="","",IF($H1899="مرجوعی خرید",-1,1)*($L1899-$M1899*IFERROR(VLOOKUP("P01",ParamTbl,3,0),1.5))*(1-IF($I1899="خرید",IFERROR(VLOOKUP("P02",ParamTbl,3,0),1),0)/100))</f>
        <v/>
      </c>
      <c r="O1899">
        <f>IF($G1899="",0,IF($H1899="مرجوعی خرید",-1,1)*IF(Sync!$AD1896="",0,Sync!$AD1896))</f>
        <v/>
      </c>
      <c r="P1899">
        <f>IF(OR($G1899="",Sync!$W1896=""),"",Sync!$W1896)</f>
        <v/>
      </c>
      <c r="Q1899">
        <f>IF(OR($G1899="",Sync!$AE1896=""),"",Sync!$AE1896)</f>
        <v/>
      </c>
      <c r="R1899">
        <f>IF($G1899="","",IF(Sync!$V1896="","0000",IF(AND(ISNUMBER(Sync!$V1896),Sync!$V1896&gt;=0,Sync!$V1896&lt;1),RIGHT("00"&amp;HOUR(Sync!$V1896),2)&amp;RIGHT("00"&amp;MINUTE(Sync!$V1896),2),IFERROR(RIGHT("00"&amp;VALUE(LEFT(Sync!$V1896,FIND(":",Sync!$V1896)-1)),2)&amp;RIGHT("00"&amp;VALUE(MID(Sync!$V1896,FIND(":",Sync!$V1896)+1,2)),2),"0000"))))</f>
        <v/>
      </c>
    </row>
    <row r="1900">
      <c r="A1900">
        <f>IF(Sync!$U1897="","",Sync!$U1897)</f>
        <v/>
      </c>
      <c r="B1900">
        <f>IF($A1900="","",IF(ISNUMBER($A1900),IF(AND($A1900&gt;=10000101,$A1900&lt;=99991231),INT($A1900/10000),""),IFERROR(VALUE(TRIM(LEFT($A1900,FIND("/",$A1900)-1))),"")))</f>
        <v/>
      </c>
      <c r="C1900">
        <f>IF(OR($A1900="",$B1900=""),"",IF(ISNUMBER($A1900),INT(MOD($A1900,10000)/100),IFERROR(VALUE(TRIM(LEFT(MID($A1900,FIND("/",$A1900)+1,20),FIND("/",MID($A1900,FIND("/",$A1900)+1,20))-1))),"")))</f>
        <v/>
      </c>
      <c r="D1900">
        <f>IF(OR($A1900="",$B1900=""),"",IF(ISNUMBER($A1900),MOD($A1900,100),IFERROR(VALUE(TRIM(MID(MID($A1900,FIND("/",$A1900)+1,20),FIND("/",MID($A1900,FIND("/",$A1900)+1,20))+1,20))),"")))</f>
        <v/>
      </c>
      <c r="E1900">
        <f>IF($A1900="","",IF(OR($B1900="",$C1900="",$D1900="",$B1900&lt;1300,$B1900&gt;1500,$C1900&lt;1,$C1900&gt;12,$D1900&lt;1,$D1900&gt;31),"نامعتبر",RIGHT("0000"&amp;$B1900,4)&amp;"/"&amp;RIGHT("00"&amp;$C1900,2)&amp;"/"&amp;RIGHT("00"&amp;$D1900,2)))</f>
        <v/>
      </c>
      <c r="F1900">
        <f>IF(OR($E1900="",$E1900="نامعتبر"),"",LEFT($E1900,4)&amp;"/"&amp;MID($E1900,6,2))</f>
        <v/>
      </c>
      <c r="G1900">
        <f>IF(OR($E1900="",$E1900="نامعتبر",Sync!$Y1897=""),"",Sync!$Y1897)</f>
        <v/>
      </c>
      <c r="H1900">
        <f>IF($G1900="","",IF(Sync!$X1897="","",Sync!$X1897))</f>
        <v/>
      </c>
      <c r="I1900">
        <f>IF($G1900="","",IFERROR(VLOOKUP(Sync!$X1897,OpTbl,3,0),""))</f>
        <v/>
      </c>
      <c r="J1900">
        <f>IF(OR($G1900="",Sync!$Z1897=""),"",Sync!$Z1897)</f>
        <v/>
      </c>
      <c r="K1900">
        <f>IF(OR($G1900="",Sync!$AA1897=""),"",Sync!$AA1897)</f>
        <v/>
      </c>
      <c r="L1900">
        <f>IF($G1900="",0,IF(Sync!$AB1897="",0,Sync!$AB1897))</f>
        <v/>
      </c>
      <c r="M1900">
        <f>IF($G1900="",0,IF(Sync!$AC1897="",0,Sync!$AC1897))</f>
        <v/>
      </c>
      <c r="N1900">
        <f>IF($G1900="","",IF($H1900="مرجوعی خرید",-1,1)*($L1900-$M1900*IFERROR(VLOOKUP("P01",ParamTbl,3,0),1.5))*(1-IF($I1900="خرید",IFERROR(VLOOKUP("P02",ParamTbl,3,0),1),0)/100))</f>
        <v/>
      </c>
      <c r="O1900">
        <f>IF($G1900="",0,IF($H1900="مرجوعی خرید",-1,1)*IF(Sync!$AD1897="",0,Sync!$AD1897))</f>
        <v/>
      </c>
      <c r="P1900">
        <f>IF(OR($G1900="",Sync!$W1897=""),"",Sync!$W1897)</f>
        <v/>
      </c>
      <c r="Q1900">
        <f>IF(OR($G1900="",Sync!$AE1897=""),"",Sync!$AE1897)</f>
        <v/>
      </c>
      <c r="R1900">
        <f>IF($G1900="","",IF(Sync!$V1897="","0000",IF(AND(ISNUMBER(Sync!$V1897),Sync!$V1897&gt;=0,Sync!$V1897&lt;1),RIGHT("00"&amp;HOUR(Sync!$V1897),2)&amp;RIGHT("00"&amp;MINUTE(Sync!$V1897),2),IFERROR(RIGHT("00"&amp;VALUE(LEFT(Sync!$V1897,FIND(":",Sync!$V1897)-1)),2)&amp;RIGHT("00"&amp;VALUE(MID(Sync!$V1897,FIND(":",Sync!$V1897)+1,2)),2),"0000"))))</f>
        <v/>
      </c>
    </row>
    <row r="1901">
      <c r="A1901">
        <f>IF(Sync!$U1898="","",Sync!$U1898)</f>
        <v/>
      </c>
      <c r="B1901">
        <f>IF($A1901="","",IF(ISNUMBER($A1901),IF(AND($A1901&gt;=10000101,$A1901&lt;=99991231),INT($A1901/10000),""),IFERROR(VALUE(TRIM(LEFT($A1901,FIND("/",$A1901)-1))),"")))</f>
        <v/>
      </c>
      <c r="C1901">
        <f>IF(OR($A1901="",$B1901=""),"",IF(ISNUMBER($A1901),INT(MOD($A1901,10000)/100),IFERROR(VALUE(TRIM(LEFT(MID($A1901,FIND("/",$A1901)+1,20),FIND("/",MID($A1901,FIND("/",$A1901)+1,20))-1))),"")))</f>
        <v/>
      </c>
      <c r="D1901">
        <f>IF(OR($A1901="",$B1901=""),"",IF(ISNUMBER($A1901),MOD($A1901,100),IFERROR(VALUE(TRIM(MID(MID($A1901,FIND("/",$A1901)+1,20),FIND("/",MID($A1901,FIND("/",$A1901)+1,20))+1,20))),"")))</f>
        <v/>
      </c>
      <c r="E1901">
        <f>IF($A1901="","",IF(OR($B1901="",$C1901="",$D1901="",$B1901&lt;1300,$B1901&gt;1500,$C1901&lt;1,$C1901&gt;12,$D1901&lt;1,$D1901&gt;31),"نامعتبر",RIGHT("0000"&amp;$B1901,4)&amp;"/"&amp;RIGHT("00"&amp;$C1901,2)&amp;"/"&amp;RIGHT("00"&amp;$D1901,2)))</f>
        <v/>
      </c>
      <c r="F1901">
        <f>IF(OR($E1901="",$E1901="نامعتبر"),"",LEFT($E1901,4)&amp;"/"&amp;MID($E1901,6,2))</f>
        <v/>
      </c>
      <c r="G1901">
        <f>IF(OR($E1901="",$E1901="نامعتبر",Sync!$Y1898=""),"",Sync!$Y1898)</f>
        <v/>
      </c>
      <c r="H1901">
        <f>IF($G1901="","",IF(Sync!$X1898="","",Sync!$X1898))</f>
        <v/>
      </c>
      <c r="I1901">
        <f>IF($G1901="","",IFERROR(VLOOKUP(Sync!$X1898,OpTbl,3,0),""))</f>
        <v/>
      </c>
      <c r="J1901">
        <f>IF(OR($G1901="",Sync!$Z1898=""),"",Sync!$Z1898)</f>
        <v/>
      </c>
      <c r="K1901">
        <f>IF(OR($G1901="",Sync!$AA1898=""),"",Sync!$AA1898)</f>
        <v/>
      </c>
      <c r="L1901">
        <f>IF($G1901="",0,IF(Sync!$AB1898="",0,Sync!$AB1898))</f>
        <v/>
      </c>
      <c r="M1901">
        <f>IF($G1901="",0,IF(Sync!$AC1898="",0,Sync!$AC1898))</f>
        <v/>
      </c>
      <c r="N1901">
        <f>IF($G1901="","",IF($H1901="مرجوعی خرید",-1,1)*($L1901-$M1901*IFERROR(VLOOKUP("P01",ParamTbl,3,0),1.5))*(1-IF($I1901="خرید",IFERROR(VLOOKUP("P02",ParamTbl,3,0),1),0)/100))</f>
        <v/>
      </c>
      <c r="O1901">
        <f>IF($G1901="",0,IF($H1901="مرجوعی خرید",-1,1)*IF(Sync!$AD1898="",0,Sync!$AD1898))</f>
        <v/>
      </c>
      <c r="P1901">
        <f>IF(OR($G1901="",Sync!$W1898=""),"",Sync!$W1898)</f>
        <v/>
      </c>
      <c r="Q1901">
        <f>IF(OR($G1901="",Sync!$AE1898=""),"",Sync!$AE1898)</f>
        <v/>
      </c>
      <c r="R1901">
        <f>IF($G1901="","",IF(Sync!$V1898="","0000",IF(AND(ISNUMBER(Sync!$V1898),Sync!$V1898&gt;=0,Sync!$V1898&lt;1),RIGHT("00"&amp;HOUR(Sync!$V1898),2)&amp;RIGHT("00"&amp;MINUTE(Sync!$V1898),2),IFERROR(RIGHT("00"&amp;VALUE(LEFT(Sync!$V1898,FIND(":",Sync!$V1898)-1)),2)&amp;RIGHT("00"&amp;VALUE(MID(Sync!$V1898,FIND(":",Sync!$V1898)+1,2)),2),"0000"))))</f>
        <v/>
      </c>
    </row>
    <row r="1902">
      <c r="A1902">
        <f>IF(Sync!$U1899="","",Sync!$U1899)</f>
        <v/>
      </c>
      <c r="B1902">
        <f>IF($A1902="","",IF(ISNUMBER($A1902),IF(AND($A1902&gt;=10000101,$A1902&lt;=99991231),INT($A1902/10000),""),IFERROR(VALUE(TRIM(LEFT($A1902,FIND("/",$A1902)-1))),"")))</f>
        <v/>
      </c>
      <c r="C1902">
        <f>IF(OR($A1902="",$B1902=""),"",IF(ISNUMBER($A1902),INT(MOD($A1902,10000)/100),IFERROR(VALUE(TRIM(LEFT(MID($A1902,FIND("/",$A1902)+1,20),FIND("/",MID($A1902,FIND("/",$A1902)+1,20))-1))),"")))</f>
        <v/>
      </c>
      <c r="D1902">
        <f>IF(OR($A1902="",$B1902=""),"",IF(ISNUMBER($A1902),MOD($A1902,100),IFERROR(VALUE(TRIM(MID(MID($A1902,FIND("/",$A1902)+1,20),FIND("/",MID($A1902,FIND("/",$A1902)+1,20))+1,20))),"")))</f>
        <v/>
      </c>
      <c r="E1902">
        <f>IF($A1902="","",IF(OR($B1902="",$C1902="",$D1902="",$B1902&lt;1300,$B1902&gt;1500,$C1902&lt;1,$C1902&gt;12,$D1902&lt;1,$D1902&gt;31),"نامعتبر",RIGHT("0000"&amp;$B1902,4)&amp;"/"&amp;RIGHT("00"&amp;$C1902,2)&amp;"/"&amp;RIGHT("00"&amp;$D1902,2)))</f>
        <v/>
      </c>
      <c r="F1902">
        <f>IF(OR($E1902="",$E1902="نامعتبر"),"",LEFT($E1902,4)&amp;"/"&amp;MID($E1902,6,2))</f>
        <v/>
      </c>
      <c r="G1902">
        <f>IF(OR($E1902="",$E1902="نامعتبر",Sync!$Y1899=""),"",Sync!$Y1899)</f>
        <v/>
      </c>
      <c r="H1902">
        <f>IF($G1902="","",IF(Sync!$X1899="","",Sync!$X1899))</f>
        <v/>
      </c>
      <c r="I1902">
        <f>IF($G1902="","",IFERROR(VLOOKUP(Sync!$X1899,OpTbl,3,0),""))</f>
        <v/>
      </c>
      <c r="J1902">
        <f>IF(OR($G1902="",Sync!$Z1899=""),"",Sync!$Z1899)</f>
        <v/>
      </c>
      <c r="K1902">
        <f>IF(OR($G1902="",Sync!$AA1899=""),"",Sync!$AA1899)</f>
        <v/>
      </c>
      <c r="L1902">
        <f>IF($G1902="",0,IF(Sync!$AB1899="",0,Sync!$AB1899))</f>
        <v/>
      </c>
      <c r="M1902">
        <f>IF($G1902="",0,IF(Sync!$AC1899="",0,Sync!$AC1899))</f>
        <v/>
      </c>
      <c r="N1902">
        <f>IF($G1902="","",IF($H1902="مرجوعی خرید",-1,1)*($L1902-$M1902*IFERROR(VLOOKUP("P01",ParamTbl,3,0),1.5))*(1-IF($I1902="خرید",IFERROR(VLOOKUP("P02",ParamTbl,3,0),1),0)/100))</f>
        <v/>
      </c>
      <c r="O1902">
        <f>IF($G1902="",0,IF($H1902="مرجوعی خرید",-1,1)*IF(Sync!$AD1899="",0,Sync!$AD1899))</f>
        <v/>
      </c>
      <c r="P1902">
        <f>IF(OR($G1902="",Sync!$W1899=""),"",Sync!$W1899)</f>
        <v/>
      </c>
      <c r="Q1902">
        <f>IF(OR($G1902="",Sync!$AE1899=""),"",Sync!$AE1899)</f>
        <v/>
      </c>
      <c r="R1902">
        <f>IF($G1902="","",IF(Sync!$V1899="","0000",IF(AND(ISNUMBER(Sync!$V1899),Sync!$V1899&gt;=0,Sync!$V1899&lt;1),RIGHT("00"&amp;HOUR(Sync!$V1899),2)&amp;RIGHT("00"&amp;MINUTE(Sync!$V1899),2),IFERROR(RIGHT("00"&amp;VALUE(LEFT(Sync!$V1899,FIND(":",Sync!$V1899)-1)),2)&amp;RIGHT("00"&amp;VALUE(MID(Sync!$V1899,FIND(":",Sync!$V1899)+1,2)),2),"0000"))))</f>
        <v/>
      </c>
    </row>
    <row r="1903">
      <c r="A1903">
        <f>IF(Sync!$U1900="","",Sync!$U1900)</f>
        <v/>
      </c>
      <c r="B1903">
        <f>IF($A1903="","",IF(ISNUMBER($A1903),IF(AND($A1903&gt;=10000101,$A1903&lt;=99991231),INT($A1903/10000),""),IFERROR(VALUE(TRIM(LEFT($A1903,FIND("/",$A1903)-1))),"")))</f>
        <v/>
      </c>
      <c r="C1903">
        <f>IF(OR($A1903="",$B1903=""),"",IF(ISNUMBER($A1903),INT(MOD($A1903,10000)/100),IFERROR(VALUE(TRIM(LEFT(MID($A1903,FIND("/",$A1903)+1,20),FIND("/",MID($A1903,FIND("/",$A1903)+1,20))-1))),"")))</f>
        <v/>
      </c>
      <c r="D1903">
        <f>IF(OR($A1903="",$B1903=""),"",IF(ISNUMBER($A1903),MOD($A1903,100),IFERROR(VALUE(TRIM(MID(MID($A1903,FIND("/",$A1903)+1,20),FIND("/",MID($A1903,FIND("/",$A1903)+1,20))+1,20))),"")))</f>
        <v/>
      </c>
      <c r="E1903">
        <f>IF($A1903="","",IF(OR($B1903="",$C1903="",$D1903="",$B1903&lt;1300,$B1903&gt;1500,$C1903&lt;1,$C1903&gt;12,$D1903&lt;1,$D1903&gt;31),"نامعتبر",RIGHT("0000"&amp;$B1903,4)&amp;"/"&amp;RIGHT("00"&amp;$C1903,2)&amp;"/"&amp;RIGHT("00"&amp;$D1903,2)))</f>
        <v/>
      </c>
      <c r="F1903">
        <f>IF(OR($E1903="",$E1903="نامعتبر"),"",LEFT($E1903,4)&amp;"/"&amp;MID($E1903,6,2))</f>
        <v/>
      </c>
      <c r="G1903">
        <f>IF(OR($E1903="",$E1903="نامعتبر",Sync!$Y1900=""),"",Sync!$Y1900)</f>
        <v/>
      </c>
      <c r="H1903">
        <f>IF($G1903="","",IF(Sync!$X1900="","",Sync!$X1900))</f>
        <v/>
      </c>
      <c r="I1903">
        <f>IF($G1903="","",IFERROR(VLOOKUP(Sync!$X1900,OpTbl,3,0),""))</f>
        <v/>
      </c>
      <c r="J1903">
        <f>IF(OR($G1903="",Sync!$Z1900=""),"",Sync!$Z1900)</f>
        <v/>
      </c>
      <c r="K1903">
        <f>IF(OR($G1903="",Sync!$AA1900=""),"",Sync!$AA1900)</f>
        <v/>
      </c>
      <c r="L1903">
        <f>IF($G1903="",0,IF(Sync!$AB1900="",0,Sync!$AB1900))</f>
        <v/>
      </c>
      <c r="M1903">
        <f>IF($G1903="",0,IF(Sync!$AC1900="",0,Sync!$AC1900))</f>
        <v/>
      </c>
      <c r="N1903">
        <f>IF($G1903="","",IF($H1903="مرجوعی خرید",-1,1)*($L1903-$M1903*IFERROR(VLOOKUP("P01",ParamTbl,3,0),1.5))*(1-IF($I1903="خرید",IFERROR(VLOOKUP("P02",ParamTbl,3,0),1),0)/100))</f>
        <v/>
      </c>
      <c r="O1903">
        <f>IF($G1903="",0,IF($H1903="مرجوعی خرید",-1,1)*IF(Sync!$AD1900="",0,Sync!$AD1900))</f>
        <v/>
      </c>
      <c r="P1903">
        <f>IF(OR($G1903="",Sync!$W1900=""),"",Sync!$W1900)</f>
        <v/>
      </c>
      <c r="Q1903">
        <f>IF(OR($G1903="",Sync!$AE1900=""),"",Sync!$AE1900)</f>
        <v/>
      </c>
      <c r="R1903">
        <f>IF($G1903="","",IF(Sync!$V1900="","0000",IF(AND(ISNUMBER(Sync!$V1900),Sync!$V1900&gt;=0,Sync!$V1900&lt;1),RIGHT("00"&amp;HOUR(Sync!$V1900),2)&amp;RIGHT("00"&amp;MINUTE(Sync!$V1900),2),IFERROR(RIGHT("00"&amp;VALUE(LEFT(Sync!$V1900,FIND(":",Sync!$V1900)-1)),2)&amp;RIGHT("00"&amp;VALUE(MID(Sync!$V1900,FIND(":",Sync!$V1900)+1,2)),2),"0000"))))</f>
        <v/>
      </c>
    </row>
    <row r="1904">
      <c r="A1904">
        <f>IF(Sync!$U1901="","",Sync!$U1901)</f>
        <v/>
      </c>
      <c r="B1904">
        <f>IF($A1904="","",IF(ISNUMBER($A1904),IF(AND($A1904&gt;=10000101,$A1904&lt;=99991231),INT($A1904/10000),""),IFERROR(VALUE(TRIM(LEFT($A1904,FIND("/",$A1904)-1))),"")))</f>
        <v/>
      </c>
      <c r="C1904">
        <f>IF(OR($A1904="",$B1904=""),"",IF(ISNUMBER($A1904),INT(MOD($A1904,10000)/100),IFERROR(VALUE(TRIM(LEFT(MID($A1904,FIND("/",$A1904)+1,20),FIND("/",MID($A1904,FIND("/",$A1904)+1,20))-1))),"")))</f>
        <v/>
      </c>
      <c r="D1904">
        <f>IF(OR($A1904="",$B1904=""),"",IF(ISNUMBER($A1904),MOD($A1904,100),IFERROR(VALUE(TRIM(MID(MID($A1904,FIND("/",$A1904)+1,20),FIND("/",MID($A1904,FIND("/",$A1904)+1,20))+1,20))),"")))</f>
        <v/>
      </c>
      <c r="E1904">
        <f>IF($A1904="","",IF(OR($B1904="",$C1904="",$D1904="",$B1904&lt;1300,$B1904&gt;1500,$C1904&lt;1,$C1904&gt;12,$D1904&lt;1,$D1904&gt;31),"نامعتبر",RIGHT("0000"&amp;$B1904,4)&amp;"/"&amp;RIGHT("00"&amp;$C1904,2)&amp;"/"&amp;RIGHT("00"&amp;$D1904,2)))</f>
        <v/>
      </c>
      <c r="F1904">
        <f>IF(OR($E1904="",$E1904="نامعتبر"),"",LEFT($E1904,4)&amp;"/"&amp;MID($E1904,6,2))</f>
        <v/>
      </c>
      <c r="G1904">
        <f>IF(OR($E1904="",$E1904="نامعتبر",Sync!$Y1901=""),"",Sync!$Y1901)</f>
        <v/>
      </c>
      <c r="H1904">
        <f>IF($G1904="","",IF(Sync!$X1901="","",Sync!$X1901))</f>
        <v/>
      </c>
      <c r="I1904">
        <f>IF($G1904="","",IFERROR(VLOOKUP(Sync!$X1901,OpTbl,3,0),""))</f>
        <v/>
      </c>
      <c r="J1904">
        <f>IF(OR($G1904="",Sync!$Z1901=""),"",Sync!$Z1901)</f>
        <v/>
      </c>
      <c r="K1904">
        <f>IF(OR($G1904="",Sync!$AA1901=""),"",Sync!$AA1901)</f>
        <v/>
      </c>
      <c r="L1904">
        <f>IF($G1904="",0,IF(Sync!$AB1901="",0,Sync!$AB1901))</f>
        <v/>
      </c>
      <c r="M1904">
        <f>IF($G1904="",0,IF(Sync!$AC1901="",0,Sync!$AC1901))</f>
        <v/>
      </c>
      <c r="N1904">
        <f>IF($G1904="","",IF($H1904="مرجوعی خرید",-1,1)*($L1904-$M1904*IFERROR(VLOOKUP("P01",ParamTbl,3,0),1.5))*(1-IF($I1904="خرید",IFERROR(VLOOKUP("P02",ParamTbl,3,0),1),0)/100))</f>
        <v/>
      </c>
      <c r="O1904">
        <f>IF($G1904="",0,IF($H1904="مرجوعی خرید",-1,1)*IF(Sync!$AD1901="",0,Sync!$AD1901))</f>
        <v/>
      </c>
      <c r="P1904">
        <f>IF(OR($G1904="",Sync!$W1901=""),"",Sync!$W1901)</f>
        <v/>
      </c>
      <c r="Q1904">
        <f>IF(OR($G1904="",Sync!$AE1901=""),"",Sync!$AE1901)</f>
        <v/>
      </c>
      <c r="R1904">
        <f>IF($G1904="","",IF(Sync!$V1901="","0000",IF(AND(ISNUMBER(Sync!$V1901),Sync!$V1901&gt;=0,Sync!$V1901&lt;1),RIGHT("00"&amp;HOUR(Sync!$V1901),2)&amp;RIGHT("00"&amp;MINUTE(Sync!$V1901),2),IFERROR(RIGHT("00"&amp;VALUE(LEFT(Sync!$V1901,FIND(":",Sync!$V1901)-1)),2)&amp;RIGHT("00"&amp;VALUE(MID(Sync!$V1901,FIND(":",Sync!$V1901)+1,2)),2),"0000"))))</f>
        <v/>
      </c>
    </row>
    <row r="1905">
      <c r="A1905">
        <f>IF(Sync!$U1902="","",Sync!$U1902)</f>
        <v/>
      </c>
      <c r="B1905">
        <f>IF($A1905="","",IF(ISNUMBER($A1905),IF(AND($A1905&gt;=10000101,$A1905&lt;=99991231),INT($A1905/10000),""),IFERROR(VALUE(TRIM(LEFT($A1905,FIND("/",$A1905)-1))),"")))</f>
        <v/>
      </c>
      <c r="C1905">
        <f>IF(OR($A1905="",$B1905=""),"",IF(ISNUMBER($A1905),INT(MOD($A1905,10000)/100),IFERROR(VALUE(TRIM(LEFT(MID($A1905,FIND("/",$A1905)+1,20),FIND("/",MID($A1905,FIND("/",$A1905)+1,20))-1))),"")))</f>
        <v/>
      </c>
      <c r="D1905">
        <f>IF(OR($A1905="",$B1905=""),"",IF(ISNUMBER($A1905),MOD($A1905,100),IFERROR(VALUE(TRIM(MID(MID($A1905,FIND("/",$A1905)+1,20),FIND("/",MID($A1905,FIND("/",$A1905)+1,20))+1,20))),"")))</f>
        <v/>
      </c>
      <c r="E1905">
        <f>IF($A1905="","",IF(OR($B1905="",$C1905="",$D1905="",$B1905&lt;1300,$B1905&gt;1500,$C1905&lt;1,$C1905&gt;12,$D1905&lt;1,$D1905&gt;31),"نامعتبر",RIGHT("0000"&amp;$B1905,4)&amp;"/"&amp;RIGHT("00"&amp;$C1905,2)&amp;"/"&amp;RIGHT("00"&amp;$D1905,2)))</f>
        <v/>
      </c>
      <c r="F1905">
        <f>IF(OR($E1905="",$E1905="نامعتبر"),"",LEFT($E1905,4)&amp;"/"&amp;MID($E1905,6,2))</f>
        <v/>
      </c>
      <c r="G1905">
        <f>IF(OR($E1905="",$E1905="نامعتبر",Sync!$Y1902=""),"",Sync!$Y1902)</f>
        <v/>
      </c>
      <c r="H1905">
        <f>IF($G1905="","",IF(Sync!$X1902="","",Sync!$X1902))</f>
        <v/>
      </c>
      <c r="I1905">
        <f>IF($G1905="","",IFERROR(VLOOKUP(Sync!$X1902,OpTbl,3,0),""))</f>
        <v/>
      </c>
      <c r="J1905">
        <f>IF(OR($G1905="",Sync!$Z1902=""),"",Sync!$Z1902)</f>
        <v/>
      </c>
      <c r="K1905">
        <f>IF(OR($G1905="",Sync!$AA1902=""),"",Sync!$AA1902)</f>
        <v/>
      </c>
      <c r="L1905">
        <f>IF($G1905="",0,IF(Sync!$AB1902="",0,Sync!$AB1902))</f>
        <v/>
      </c>
      <c r="M1905">
        <f>IF($G1905="",0,IF(Sync!$AC1902="",0,Sync!$AC1902))</f>
        <v/>
      </c>
      <c r="N1905">
        <f>IF($G1905="","",IF($H1905="مرجوعی خرید",-1,1)*($L1905-$M1905*IFERROR(VLOOKUP("P01",ParamTbl,3,0),1.5))*(1-IF($I1905="خرید",IFERROR(VLOOKUP("P02",ParamTbl,3,0),1),0)/100))</f>
        <v/>
      </c>
      <c r="O1905">
        <f>IF($G1905="",0,IF($H1905="مرجوعی خرید",-1,1)*IF(Sync!$AD1902="",0,Sync!$AD1902))</f>
        <v/>
      </c>
      <c r="P1905">
        <f>IF(OR($G1905="",Sync!$W1902=""),"",Sync!$W1902)</f>
        <v/>
      </c>
      <c r="Q1905">
        <f>IF(OR($G1905="",Sync!$AE1902=""),"",Sync!$AE1902)</f>
        <v/>
      </c>
      <c r="R1905">
        <f>IF($G1905="","",IF(Sync!$V1902="","0000",IF(AND(ISNUMBER(Sync!$V1902),Sync!$V1902&gt;=0,Sync!$V1902&lt;1),RIGHT("00"&amp;HOUR(Sync!$V1902),2)&amp;RIGHT("00"&amp;MINUTE(Sync!$V1902),2),IFERROR(RIGHT("00"&amp;VALUE(LEFT(Sync!$V1902,FIND(":",Sync!$V1902)-1)),2)&amp;RIGHT("00"&amp;VALUE(MID(Sync!$V1902,FIND(":",Sync!$V1902)+1,2)),2),"0000"))))</f>
        <v/>
      </c>
    </row>
    <row r="1906">
      <c r="A1906">
        <f>IF(Sync!$U1903="","",Sync!$U1903)</f>
        <v/>
      </c>
      <c r="B1906">
        <f>IF($A1906="","",IF(ISNUMBER($A1906),IF(AND($A1906&gt;=10000101,$A1906&lt;=99991231),INT($A1906/10000),""),IFERROR(VALUE(TRIM(LEFT($A1906,FIND("/",$A1906)-1))),"")))</f>
        <v/>
      </c>
      <c r="C1906">
        <f>IF(OR($A1906="",$B1906=""),"",IF(ISNUMBER($A1906),INT(MOD($A1906,10000)/100),IFERROR(VALUE(TRIM(LEFT(MID($A1906,FIND("/",$A1906)+1,20),FIND("/",MID($A1906,FIND("/",$A1906)+1,20))-1))),"")))</f>
        <v/>
      </c>
      <c r="D1906">
        <f>IF(OR($A1906="",$B1906=""),"",IF(ISNUMBER($A1906),MOD($A1906,100),IFERROR(VALUE(TRIM(MID(MID($A1906,FIND("/",$A1906)+1,20),FIND("/",MID($A1906,FIND("/",$A1906)+1,20))+1,20))),"")))</f>
        <v/>
      </c>
      <c r="E1906">
        <f>IF($A1906="","",IF(OR($B1906="",$C1906="",$D1906="",$B1906&lt;1300,$B1906&gt;1500,$C1906&lt;1,$C1906&gt;12,$D1906&lt;1,$D1906&gt;31),"نامعتبر",RIGHT("0000"&amp;$B1906,4)&amp;"/"&amp;RIGHT("00"&amp;$C1906,2)&amp;"/"&amp;RIGHT("00"&amp;$D1906,2)))</f>
        <v/>
      </c>
      <c r="F1906">
        <f>IF(OR($E1906="",$E1906="نامعتبر"),"",LEFT($E1906,4)&amp;"/"&amp;MID($E1906,6,2))</f>
        <v/>
      </c>
      <c r="G1906">
        <f>IF(OR($E1906="",$E1906="نامعتبر",Sync!$Y1903=""),"",Sync!$Y1903)</f>
        <v/>
      </c>
      <c r="H1906">
        <f>IF($G1906="","",IF(Sync!$X1903="","",Sync!$X1903))</f>
        <v/>
      </c>
      <c r="I1906">
        <f>IF($G1906="","",IFERROR(VLOOKUP(Sync!$X1903,OpTbl,3,0),""))</f>
        <v/>
      </c>
      <c r="J1906">
        <f>IF(OR($G1906="",Sync!$Z1903=""),"",Sync!$Z1903)</f>
        <v/>
      </c>
      <c r="K1906">
        <f>IF(OR($G1906="",Sync!$AA1903=""),"",Sync!$AA1903)</f>
        <v/>
      </c>
      <c r="L1906">
        <f>IF($G1906="",0,IF(Sync!$AB1903="",0,Sync!$AB1903))</f>
        <v/>
      </c>
      <c r="M1906">
        <f>IF($G1906="",0,IF(Sync!$AC1903="",0,Sync!$AC1903))</f>
        <v/>
      </c>
      <c r="N1906">
        <f>IF($G1906="","",IF($H1906="مرجوعی خرید",-1,1)*($L1906-$M1906*IFERROR(VLOOKUP("P01",ParamTbl,3,0),1.5))*(1-IF($I1906="خرید",IFERROR(VLOOKUP("P02",ParamTbl,3,0),1),0)/100))</f>
        <v/>
      </c>
      <c r="O1906">
        <f>IF($G1906="",0,IF($H1906="مرجوعی خرید",-1,1)*IF(Sync!$AD1903="",0,Sync!$AD1903))</f>
        <v/>
      </c>
      <c r="P1906">
        <f>IF(OR($G1906="",Sync!$W1903=""),"",Sync!$W1903)</f>
        <v/>
      </c>
      <c r="Q1906">
        <f>IF(OR($G1906="",Sync!$AE1903=""),"",Sync!$AE1903)</f>
        <v/>
      </c>
      <c r="R1906">
        <f>IF($G1906="","",IF(Sync!$V1903="","0000",IF(AND(ISNUMBER(Sync!$V1903),Sync!$V1903&gt;=0,Sync!$V1903&lt;1),RIGHT("00"&amp;HOUR(Sync!$V1903),2)&amp;RIGHT("00"&amp;MINUTE(Sync!$V1903),2),IFERROR(RIGHT("00"&amp;VALUE(LEFT(Sync!$V1903,FIND(":",Sync!$V1903)-1)),2)&amp;RIGHT("00"&amp;VALUE(MID(Sync!$V1903,FIND(":",Sync!$V1903)+1,2)),2),"0000"))))</f>
        <v/>
      </c>
    </row>
    <row r="1907">
      <c r="A1907">
        <f>IF(Sync!$U1904="","",Sync!$U1904)</f>
        <v/>
      </c>
      <c r="B1907">
        <f>IF($A1907="","",IF(ISNUMBER($A1907),IF(AND($A1907&gt;=10000101,$A1907&lt;=99991231),INT($A1907/10000),""),IFERROR(VALUE(TRIM(LEFT($A1907,FIND("/",$A1907)-1))),"")))</f>
        <v/>
      </c>
      <c r="C1907">
        <f>IF(OR($A1907="",$B1907=""),"",IF(ISNUMBER($A1907),INT(MOD($A1907,10000)/100),IFERROR(VALUE(TRIM(LEFT(MID($A1907,FIND("/",$A1907)+1,20),FIND("/",MID($A1907,FIND("/",$A1907)+1,20))-1))),"")))</f>
        <v/>
      </c>
      <c r="D1907">
        <f>IF(OR($A1907="",$B1907=""),"",IF(ISNUMBER($A1907),MOD($A1907,100),IFERROR(VALUE(TRIM(MID(MID($A1907,FIND("/",$A1907)+1,20),FIND("/",MID($A1907,FIND("/",$A1907)+1,20))+1,20))),"")))</f>
        <v/>
      </c>
      <c r="E1907">
        <f>IF($A1907="","",IF(OR($B1907="",$C1907="",$D1907="",$B1907&lt;1300,$B1907&gt;1500,$C1907&lt;1,$C1907&gt;12,$D1907&lt;1,$D1907&gt;31),"نامعتبر",RIGHT("0000"&amp;$B1907,4)&amp;"/"&amp;RIGHT("00"&amp;$C1907,2)&amp;"/"&amp;RIGHT("00"&amp;$D1907,2)))</f>
        <v/>
      </c>
      <c r="F1907">
        <f>IF(OR($E1907="",$E1907="نامعتبر"),"",LEFT($E1907,4)&amp;"/"&amp;MID($E1907,6,2))</f>
        <v/>
      </c>
      <c r="G1907">
        <f>IF(OR($E1907="",$E1907="نامعتبر",Sync!$Y1904=""),"",Sync!$Y1904)</f>
        <v/>
      </c>
      <c r="H1907">
        <f>IF($G1907="","",IF(Sync!$X1904="","",Sync!$X1904))</f>
        <v/>
      </c>
      <c r="I1907">
        <f>IF($G1907="","",IFERROR(VLOOKUP(Sync!$X1904,OpTbl,3,0),""))</f>
        <v/>
      </c>
      <c r="J1907">
        <f>IF(OR($G1907="",Sync!$Z1904=""),"",Sync!$Z1904)</f>
        <v/>
      </c>
      <c r="K1907">
        <f>IF(OR($G1907="",Sync!$AA1904=""),"",Sync!$AA1904)</f>
        <v/>
      </c>
      <c r="L1907">
        <f>IF($G1907="",0,IF(Sync!$AB1904="",0,Sync!$AB1904))</f>
        <v/>
      </c>
      <c r="M1907">
        <f>IF($G1907="",0,IF(Sync!$AC1904="",0,Sync!$AC1904))</f>
        <v/>
      </c>
      <c r="N1907">
        <f>IF($G1907="","",IF($H1907="مرجوعی خرید",-1,1)*($L1907-$M1907*IFERROR(VLOOKUP("P01",ParamTbl,3,0),1.5))*(1-IF($I1907="خرید",IFERROR(VLOOKUP("P02",ParamTbl,3,0),1),0)/100))</f>
        <v/>
      </c>
      <c r="O1907">
        <f>IF($G1907="",0,IF($H1907="مرجوعی خرید",-1,1)*IF(Sync!$AD1904="",0,Sync!$AD1904))</f>
        <v/>
      </c>
      <c r="P1907">
        <f>IF(OR($G1907="",Sync!$W1904=""),"",Sync!$W1904)</f>
        <v/>
      </c>
      <c r="Q1907">
        <f>IF(OR($G1907="",Sync!$AE1904=""),"",Sync!$AE1904)</f>
        <v/>
      </c>
      <c r="R1907">
        <f>IF($G1907="","",IF(Sync!$V1904="","0000",IF(AND(ISNUMBER(Sync!$V1904),Sync!$V1904&gt;=0,Sync!$V1904&lt;1),RIGHT("00"&amp;HOUR(Sync!$V1904),2)&amp;RIGHT("00"&amp;MINUTE(Sync!$V1904),2),IFERROR(RIGHT("00"&amp;VALUE(LEFT(Sync!$V1904,FIND(":",Sync!$V1904)-1)),2)&amp;RIGHT("00"&amp;VALUE(MID(Sync!$V1904,FIND(":",Sync!$V1904)+1,2)),2),"0000"))))</f>
        <v/>
      </c>
    </row>
    <row r="1908">
      <c r="A1908">
        <f>IF(Sync!$U1905="","",Sync!$U1905)</f>
        <v/>
      </c>
      <c r="B1908">
        <f>IF($A1908="","",IF(ISNUMBER($A1908),IF(AND($A1908&gt;=10000101,$A1908&lt;=99991231),INT($A1908/10000),""),IFERROR(VALUE(TRIM(LEFT($A1908,FIND("/",$A1908)-1))),"")))</f>
        <v/>
      </c>
      <c r="C1908">
        <f>IF(OR($A1908="",$B1908=""),"",IF(ISNUMBER($A1908),INT(MOD($A1908,10000)/100),IFERROR(VALUE(TRIM(LEFT(MID($A1908,FIND("/",$A1908)+1,20),FIND("/",MID($A1908,FIND("/",$A1908)+1,20))-1))),"")))</f>
        <v/>
      </c>
      <c r="D1908">
        <f>IF(OR($A1908="",$B1908=""),"",IF(ISNUMBER($A1908),MOD($A1908,100),IFERROR(VALUE(TRIM(MID(MID($A1908,FIND("/",$A1908)+1,20),FIND("/",MID($A1908,FIND("/",$A1908)+1,20))+1,20))),"")))</f>
        <v/>
      </c>
      <c r="E1908">
        <f>IF($A1908="","",IF(OR($B1908="",$C1908="",$D1908="",$B1908&lt;1300,$B1908&gt;1500,$C1908&lt;1,$C1908&gt;12,$D1908&lt;1,$D1908&gt;31),"نامعتبر",RIGHT("0000"&amp;$B1908,4)&amp;"/"&amp;RIGHT("00"&amp;$C1908,2)&amp;"/"&amp;RIGHT("00"&amp;$D1908,2)))</f>
        <v/>
      </c>
      <c r="F1908">
        <f>IF(OR($E1908="",$E1908="نامعتبر"),"",LEFT($E1908,4)&amp;"/"&amp;MID($E1908,6,2))</f>
        <v/>
      </c>
      <c r="G1908">
        <f>IF(OR($E1908="",$E1908="نامعتبر",Sync!$Y1905=""),"",Sync!$Y1905)</f>
        <v/>
      </c>
      <c r="H1908">
        <f>IF($G1908="","",IF(Sync!$X1905="","",Sync!$X1905))</f>
        <v/>
      </c>
      <c r="I1908">
        <f>IF($G1908="","",IFERROR(VLOOKUP(Sync!$X1905,OpTbl,3,0),""))</f>
        <v/>
      </c>
      <c r="J1908">
        <f>IF(OR($G1908="",Sync!$Z1905=""),"",Sync!$Z1905)</f>
        <v/>
      </c>
      <c r="K1908">
        <f>IF(OR($G1908="",Sync!$AA1905=""),"",Sync!$AA1905)</f>
        <v/>
      </c>
      <c r="L1908">
        <f>IF($G1908="",0,IF(Sync!$AB1905="",0,Sync!$AB1905))</f>
        <v/>
      </c>
      <c r="M1908">
        <f>IF($G1908="",0,IF(Sync!$AC1905="",0,Sync!$AC1905))</f>
        <v/>
      </c>
      <c r="N1908">
        <f>IF($G1908="","",IF($H1908="مرجوعی خرید",-1,1)*($L1908-$M1908*IFERROR(VLOOKUP("P01",ParamTbl,3,0),1.5))*(1-IF($I1908="خرید",IFERROR(VLOOKUP("P02",ParamTbl,3,0),1),0)/100))</f>
        <v/>
      </c>
      <c r="O1908">
        <f>IF($G1908="",0,IF($H1908="مرجوعی خرید",-1,1)*IF(Sync!$AD1905="",0,Sync!$AD1905))</f>
        <v/>
      </c>
      <c r="P1908">
        <f>IF(OR($G1908="",Sync!$W1905=""),"",Sync!$W1905)</f>
        <v/>
      </c>
      <c r="Q1908">
        <f>IF(OR($G1908="",Sync!$AE1905=""),"",Sync!$AE1905)</f>
        <v/>
      </c>
      <c r="R1908">
        <f>IF($G1908="","",IF(Sync!$V1905="","0000",IF(AND(ISNUMBER(Sync!$V1905),Sync!$V1905&gt;=0,Sync!$V1905&lt;1),RIGHT("00"&amp;HOUR(Sync!$V1905),2)&amp;RIGHT("00"&amp;MINUTE(Sync!$V1905),2),IFERROR(RIGHT("00"&amp;VALUE(LEFT(Sync!$V1905,FIND(":",Sync!$V1905)-1)),2)&amp;RIGHT("00"&amp;VALUE(MID(Sync!$V1905,FIND(":",Sync!$V1905)+1,2)),2),"0000"))))</f>
        <v/>
      </c>
    </row>
    <row r="1909">
      <c r="A1909">
        <f>IF(Sync!$U1906="","",Sync!$U1906)</f>
        <v/>
      </c>
      <c r="B1909">
        <f>IF($A1909="","",IF(ISNUMBER($A1909),IF(AND($A1909&gt;=10000101,$A1909&lt;=99991231),INT($A1909/10000),""),IFERROR(VALUE(TRIM(LEFT($A1909,FIND("/",$A1909)-1))),"")))</f>
        <v/>
      </c>
      <c r="C1909">
        <f>IF(OR($A1909="",$B1909=""),"",IF(ISNUMBER($A1909),INT(MOD($A1909,10000)/100),IFERROR(VALUE(TRIM(LEFT(MID($A1909,FIND("/",$A1909)+1,20),FIND("/",MID($A1909,FIND("/",$A1909)+1,20))-1))),"")))</f>
        <v/>
      </c>
      <c r="D1909">
        <f>IF(OR($A1909="",$B1909=""),"",IF(ISNUMBER($A1909),MOD($A1909,100),IFERROR(VALUE(TRIM(MID(MID($A1909,FIND("/",$A1909)+1,20),FIND("/",MID($A1909,FIND("/",$A1909)+1,20))+1,20))),"")))</f>
        <v/>
      </c>
      <c r="E1909">
        <f>IF($A1909="","",IF(OR($B1909="",$C1909="",$D1909="",$B1909&lt;1300,$B1909&gt;1500,$C1909&lt;1,$C1909&gt;12,$D1909&lt;1,$D1909&gt;31),"نامعتبر",RIGHT("0000"&amp;$B1909,4)&amp;"/"&amp;RIGHT("00"&amp;$C1909,2)&amp;"/"&amp;RIGHT("00"&amp;$D1909,2)))</f>
        <v/>
      </c>
      <c r="F1909">
        <f>IF(OR($E1909="",$E1909="نامعتبر"),"",LEFT($E1909,4)&amp;"/"&amp;MID($E1909,6,2))</f>
        <v/>
      </c>
      <c r="G1909">
        <f>IF(OR($E1909="",$E1909="نامعتبر",Sync!$Y1906=""),"",Sync!$Y1906)</f>
        <v/>
      </c>
      <c r="H1909">
        <f>IF($G1909="","",IF(Sync!$X1906="","",Sync!$X1906))</f>
        <v/>
      </c>
      <c r="I1909">
        <f>IF($G1909="","",IFERROR(VLOOKUP(Sync!$X1906,OpTbl,3,0),""))</f>
        <v/>
      </c>
      <c r="J1909">
        <f>IF(OR($G1909="",Sync!$Z1906=""),"",Sync!$Z1906)</f>
        <v/>
      </c>
      <c r="K1909">
        <f>IF(OR($G1909="",Sync!$AA1906=""),"",Sync!$AA1906)</f>
        <v/>
      </c>
      <c r="L1909">
        <f>IF($G1909="",0,IF(Sync!$AB1906="",0,Sync!$AB1906))</f>
        <v/>
      </c>
      <c r="M1909">
        <f>IF($G1909="",0,IF(Sync!$AC1906="",0,Sync!$AC1906))</f>
        <v/>
      </c>
      <c r="N1909">
        <f>IF($G1909="","",IF($H1909="مرجوعی خرید",-1,1)*($L1909-$M1909*IFERROR(VLOOKUP("P01",ParamTbl,3,0),1.5))*(1-IF($I1909="خرید",IFERROR(VLOOKUP("P02",ParamTbl,3,0),1),0)/100))</f>
        <v/>
      </c>
      <c r="O1909">
        <f>IF($G1909="",0,IF($H1909="مرجوعی خرید",-1,1)*IF(Sync!$AD1906="",0,Sync!$AD1906))</f>
        <v/>
      </c>
      <c r="P1909">
        <f>IF(OR($G1909="",Sync!$W1906=""),"",Sync!$W1906)</f>
        <v/>
      </c>
      <c r="Q1909">
        <f>IF(OR($G1909="",Sync!$AE1906=""),"",Sync!$AE1906)</f>
        <v/>
      </c>
      <c r="R1909">
        <f>IF($G1909="","",IF(Sync!$V1906="","0000",IF(AND(ISNUMBER(Sync!$V1906),Sync!$V1906&gt;=0,Sync!$V1906&lt;1),RIGHT("00"&amp;HOUR(Sync!$V1906),2)&amp;RIGHT("00"&amp;MINUTE(Sync!$V1906),2),IFERROR(RIGHT("00"&amp;VALUE(LEFT(Sync!$V1906,FIND(":",Sync!$V1906)-1)),2)&amp;RIGHT("00"&amp;VALUE(MID(Sync!$V1906,FIND(":",Sync!$V1906)+1,2)),2),"0000"))))</f>
        <v/>
      </c>
    </row>
    <row r="1910">
      <c r="A1910">
        <f>IF(Sync!$U1907="","",Sync!$U1907)</f>
        <v/>
      </c>
      <c r="B1910">
        <f>IF($A1910="","",IF(ISNUMBER($A1910),IF(AND($A1910&gt;=10000101,$A1910&lt;=99991231),INT($A1910/10000),""),IFERROR(VALUE(TRIM(LEFT($A1910,FIND("/",$A1910)-1))),"")))</f>
        <v/>
      </c>
      <c r="C1910">
        <f>IF(OR($A1910="",$B1910=""),"",IF(ISNUMBER($A1910),INT(MOD($A1910,10000)/100),IFERROR(VALUE(TRIM(LEFT(MID($A1910,FIND("/",$A1910)+1,20),FIND("/",MID($A1910,FIND("/",$A1910)+1,20))-1))),"")))</f>
        <v/>
      </c>
      <c r="D1910">
        <f>IF(OR($A1910="",$B1910=""),"",IF(ISNUMBER($A1910),MOD($A1910,100),IFERROR(VALUE(TRIM(MID(MID($A1910,FIND("/",$A1910)+1,20),FIND("/",MID($A1910,FIND("/",$A1910)+1,20))+1,20))),"")))</f>
        <v/>
      </c>
      <c r="E1910">
        <f>IF($A1910="","",IF(OR($B1910="",$C1910="",$D1910="",$B1910&lt;1300,$B1910&gt;1500,$C1910&lt;1,$C1910&gt;12,$D1910&lt;1,$D1910&gt;31),"نامعتبر",RIGHT("0000"&amp;$B1910,4)&amp;"/"&amp;RIGHT("00"&amp;$C1910,2)&amp;"/"&amp;RIGHT("00"&amp;$D1910,2)))</f>
        <v/>
      </c>
      <c r="F1910">
        <f>IF(OR($E1910="",$E1910="نامعتبر"),"",LEFT($E1910,4)&amp;"/"&amp;MID($E1910,6,2))</f>
        <v/>
      </c>
      <c r="G1910">
        <f>IF(OR($E1910="",$E1910="نامعتبر",Sync!$Y1907=""),"",Sync!$Y1907)</f>
        <v/>
      </c>
      <c r="H1910">
        <f>IF($G1910="","",IF(Sync!$X1907="","",Sync!$X1907))</f>
        <v/>
      </c>
      <c r="I1910">
        <f>IF($G1910="","",IFERROR(VLOOKUP(Sync!$X1907,OpTbl,3,0),""))</f>
        <v/>
      </c>
      <c r="J1910">
        <f>IF(OR($G1910="",Sync!$Z1907=""),"",Sync!$Z1907)</f>
        <v/>
      </c>
      <c r="K1910">
        <f>IF(OR($G1910="",Sync!$AA1907=""),"",Sync!$AA1907)</f>
        <v/>
      </c>
      <c r="L1910">
        <f>IF($G1910="",0,IF(Sync!$AB1907="",0,Sync!$AB1907))</f>
        <v/>
      </c>
      <c r="M1910">
        <f>IF($G1910="",0,IF(Sync!$AC1907="",0,Sync!$AC1907))</f>
        <v/>
      </c>
      <c r="N1910">
        <f>IF($G1910="","",IF($H1910="مرجوعی خرید",-1,1)*($L1910-$M1910*IFERROR(VLOOKUP("P01",ParamTbl,3,0),1.5))*(1-IF($I1910="خرید",IFERROR(VLOOKUP("P02",ParamTbl,3,0),1),0)/100))</f>
        <v/>
      </c>
      <c r="O1910">
        <f>IF($G1910="",0,IF($H1910="مرجوعی خرید",-1,1)*IF(Sync!$AD1907="",0,Sync!$AD1907))</f>
        <v/>
      </c>
      <c r="P1910">
        <f>IF(OR($G1910="",Sync!$W1907=""),"",Sync!$W1907)</f>
        <v/>
      </c>
      <c r="Q1910">
        <f>IF(OR($G1910="",Sync!$AE1907=""),"",Sync!$AE1907)</f>
        <v/>
      </c>
      <c r="R1910">
        <f>IF($G1910="","",IF(Sync!$V1907="","0000",IF(AND(ISNUMBER(Sync!$V1907),Sync!$V1907&gt;=0,Sync!$V1907&lt;1),RIGHT("00"&amp;HOUR(Sync!$V1907),2)&amp;RIGHT("00"&amp;MINUTE(Sync!$V1907),2),IFERROR(RIGHT("00"&amp;VALUE(LEFT(Sync!$V1907,FIND(":",Sync!$V1907)-1)),2)&amp;RIGHT("00"&amp;VALUE(MID(Sync!$V1907,FIND(":",Sync!$V1907)+1,2)),2),"0000"))))</f>
        <v/>
      </c>
    </row>
    <row r="1911">
      <c r="A1911">
        <f>IF(Sync!$U1908="","",Sync!$U1908)</f>
        <v/>
      </c>
      <c r="B1911">
        <f>IF($A1911="","",IF(ISNUMBER($A1911),IF(AND($A1911&gt;=10000101,$A1911&lt;=99991231),INT($A1911/10000),""),IFERROR(VALUE(TRIM(LEFT($A1911,FIND("/",$A1911)-1))),"")))</f>
        <v/>
      </c>
      <c r="C1911">
        <f>IF(OR($A1911="",$B1911=""),"",IF(ISNUMBER($A1911),INT(MOD($A1911,10000)/100),IFERROR(VALUE(TRIM(LEFT(MID($A1911,FIND("/",$A1911)+1,20),FIND("/",MID($A1911,FIND("/",$A1911)+1,20))-1))),"")))</f>
        <v/>
      </c>
      <c r="D1911">
        <f>IF(OR($A1911="",$B1911=""),"",IF(ISNUMBER($A1911),MOD($A1911,100),IFERROR(VALUE(TRIM(MID(MID($A1911,FIND("/",$A1911)+1,20),FIND("/",MID($A1911,FIND("/",$A1911)+1,20))+1,20))),"")))</f>
        <v/>
      </c>
      <c r="E1911">
        <f>IF($A1911="","",IF(OR($B1911="",$C1911="",$D1911="",$B1911&lt;1300,$B1911&gt;1500,$C1911&lt;1,$C1911&gt;12,$D1911&lt;1,$D1911&gt;31),"نامعتبر",RIGHT("0000"&amp;$B1911,4)&amp;"/"&amp;RIGHT("00"&amp;$C1911,2)&amp;"/"&amp;RIGHT("00"&amp;$D1911,2)))</f>
        <v/>
      </c>
      <c r="F1911">
        <f>IF(OR($E1911="",$E1911="نامعتبر"),"",LEFT($E1911,4)&amp;"/"&amp;MID($E1911,6,2))</f>
        <v/>
      </c>
      <c r="G1911">
        <f>IF(OR($E1911="",$E1911="نامعتبر",Sync!$Y1908=""),"",Sync!$Y1908)</f>
        <v/>
      </c>
      <c r="H1911">
        <f>IF($G1911="","",IF(Sync!$X1908="","",Sync!$X1908))</f>
        <v/>
      </c>
      <c r="I1911">
        <f>IF($G1911="","",IFERROR(VLOOKUP(Sync!$X1908,OpTbl,3,0),""))</f>
        <v/>
      </c>
      <c r="J1911">
        <f>IF(OR($G1911="",Sync!$Z1908=""),"",Sync!$Z1908)</f>
        <v/>
      </c>
      <c r="K1911">
        <f>IF(OR($G1911="",Sync!$AA1908=""),"",Sync!$AA1908)</f>
        <v/>
      </c>
      <c r="L1911">
        <f>IF($G1911="",0,IF(Sync!$AB1908="",0,Sync!$AB1908))</f>
        <v/>
      </c>
      <c r="M1911">
        <f>IF($G1911="",0,IF(Sync!$AC1908="",0,Sync!$AC1908))</f>
        <v/>
      </c>
      <c r="N1911">
        <f>IF($G1911="","",IF($H1911="مرجوعی خرید",-1,1)*($L1911-$M1911*IFERROR(VLOOKUP("P01",ParamTbl,3,0),1.5))*(1-IF($I1911="خرید",IFERROR(VLOOKUP("P02",ParamTbl,3,0),1),0)/100))</f>
        <v/>
      </c>
      <c r="O1911">
        <f>IF($G1911="",0,IF($H1911="مرجوعی خرید",-1,1)*IF(Sync!$AD1908="",0,Sync!$AD1908))</f>
        <v/>
      </c>
      <c r="P1911">
        <f>IF(OR($G1911="",Sync!$W1908=""),"",Sync!$W1908)</f>
        <v/>
      </c>
      <c r="Q1911">
        <f>IF(OR($G1911="",Sync!$AE1908=""),"",Sync!$AE1908)</f>
        <v/>
      </c>
      <c r="R1911">
        <f>IF($G1911="","",IF(Sync!$V1908="","0000",IF(AND(ISNUMBER(Sync!$V1908),Sync!$V1908&gt;=0,Sync!$V1908&lt;1),RIGHT("00"&amp;HOUR(Sync!$V1908),2)&amp;RIGHT("00"&amp;MINUTE(Sync!$V1908),2),IFERROR(RIGHT("00"&amp;VALUE(LEFT(Sync!$V1908,FIND(":",Sync!$V1908)-1)),2)&amp;RIGHT("00"&amp;VALUE(MID(Sync!$V1908,FIND(":",Sync!$V1908)+1,2)),2),"0000"))))</f>
        <v/>
      </c>
    </row>
    <row r="1912">
      <c r="A1912">
        <f>IF(Sync!$U1909="","",Sync!$U1909)</f>
        <v/>
      </c>
      <c r="B1912">
        <f>IF($A1912="","",IF(ISNUMBER($A1912),IF(AND($A1912&gt;=10000101,$A1912&lt;=99991231),INT($A1912/10000),""),IFERROR(VALUE(TRIM(LEFT($A1912,FIND("/",$A1912)-1))),"")))</f>
        <v/>
      </c>
      <c r="C1912">
        <f>IF(OR($A1912="",$B1912=""),"",IF(ISNUMBER($A1912),INT(MOD($A1912,10000)/100),IFERROR(VALUE(TRIM(LEFT(MID($A1912,FIND("/",$A1912)+1,20),FIND("/",MID($A1912,FIND("/",$A1912)+1,20))-1))),"")))</f>
        <v/>
      </c>
      <c r="D1912">
        <f>IF(OR($A1912="",$B1912=""),"",IF(ISNUMBER($A1912),MOD($A1912,100),IFERROR(VALUE(TRIM(MID(MID($A1912,FIND("/",$A1912)+1,20),FIND("/",MID($A1912,FIND("/",$A1912)+1,20))+1,20))),"")))</f>
        <v/>
      </c>
      <c r="E1912">
        <f>IF($A1912="","",IF(OR($B1912="",$C1912="",$D1912="",$B1912&lt;1300,$B1912&gt;1500,$C1912&lt;1,$C1912&gt;12,$D1912&lt;1,$D1912&gt;31),"نامعتبر",RIGHT("0000"&amp;$B1912,4)&amp;"/"&amp;RIGHT("00"&amp;$C1912,2)&amp;"/"&amp;RIGHT("00"&amp;$D1912,2)))</f>
        <v/>
      </c>
      <c r="F1912">
        <f>IF(OR($E1912="",$E1912="نامعتبر"),"",LEFT($E1912,4)&amp;"/"&amp;MID($E1912,6,2))</f>
        <v/>
      </c>
      <c r="G1912">
        <f>IF(OR($E1912="",$E1912="نامعتبر",Sync!$Y1909=""),"",Sync!$Y1909)</f>
        <v/>
      </c>
      <c r="H1912">
        <f>IF($G1912="","",IF(Sync!$X1909="","",Sync!$X1909))</f>
        <v/>
      </c>
      <c r="I1912">
        <f>IF($G1912="","",IFERROR(VLOOKUP(Sync!$X1909,OpTbl,3,0),""))</f>
        <v/>
      </c>
      <c r="J1912">
        <f>IF(OR($G1912="",Sync!$Z1909=""),"",Sync!$Z1909)</f>
        <v/>
      </c>
      <c r="K1912">
        <f>IF(OR($G1912="",Sync!$AA1909=""),"",Sync!$AA1909)</f>
        <v/>
      </c>
      <c r="L1912">
        <f>IF($G1912="",0,IF(Sync!$AB1909="",0,Sync!$AB1909))</f>
        <v/>
      </c>
      <c r="M1912">
        <f>IF($G1912="",0,IF(Sync!$AC1909="",0,Sync!$AC1909))</f>
        <v/>
      </c>
      <c r="N1912">
        <f>IF($G1912="","",IF($H1912="مرجوعی خرید",-1,1)*($L1912-$M1912*IFERROR(VLOOKUP("P01",ParamTbl,3,0),1.5))*(1-IF($I1912="خرید",IFERROR(VLOOKUP("P02",ParamTbl,3,0),1),0)/100))</f>
        <v/>
      </c>
      <c r="O1912">
        <f>IF($G1912="",0,IF($H1912="مرجوعی خرید",-1,1)*IF(Sync!$AD1909="",0,Sync!$AD1909))</f>
        <v/>
      </c>
      <c r="P1912">
        <f>IF(OR($G1912="",Sync!$W1909=""),"",Sync!$W1909)</f>
        <v/>
      </c>
      <c r="Q1912">
        <f>IF(OR($G1912="",Sync!$AE1909=""),"",Sync!$AE1909)</f>
        <v/>
      </c>
      <c r="R1912">
        <f>IF($G1912="","",IF(Sync!$V1909="","0000",IF(AND(ISNUMBER(Sync!$V1909),Sync!$V1909&gt;=0,Sync!$V1909&lt;1),RIGHT("00"&amp;HOUR(Sync!$V1909),2)&amp;RIGHT("00"&amp;MINUTE(Sync!$V1909),2),IFERROR(RIGHT("00"&amp;VALUE(LEFT(Sync!$V1909,FIND(":",Sync!$V1909)-1)),2)&amp;RIGHT("00"&amp;VALUE(MID(Sync!$V1909,FIND(":",Sync!$V1909)+1,2)),2),"0000"))))</f>
        <v/>
      </c>
    </row>
    <row r="1913">
      <c r="A1913">
        <f>IF(Sync!$U1910="","",Sync!$U1910)</f>
        <v/>
      </c>
      <c r="B1913">
        <f>IF($A1913="","",IF(ISNUMBER($A1913),IF(AND($A1913&gt;=10000101,$A1913&lt;=99991231),INT($A1913/10000),""),IFERROR(VALUE(TRIM(LEFT($A1913,FIND("/",$A1913)-1))),"")))</f>
        <v/>
      </c>
      <c r="C1913">
        <f>IF(OR($A1913="",$B1913=""),"",IF(ISNUMBER($A1913),INT(MOD($A1913,10000)/100),IFERROR(VALUE(TRIM(LEFT(MID($A1913,FIND("/",$A1913)+1,20),FIND("/",MID($A1913,FIND("/",$A1913)+1,20))-1))),"")))</f>
        <v/>
      </c>
      <c r="D1913">
        <f>IF(OR($A1913="",$B1913=""),"",IF(ISNUMBER($A1913),MOD($A1913,100),IFERROR(VALUE(TRIM(MID(MID($A1913,FIND("/",$A1913)+1,20),FIND("/",MID($A1913,FIND("/",$A1913)+1,20))+1,20))),"")))</f>
        <v/>
      </c>
      <c r="E1913">
        <f>IF($A1913="","",IF(OR($B1913="",$C1913="",$D1913="",$B1913&lt;1300,$B1913&gt;1500,$C1913&lt;1,$C1913&gt;12,$D1913&lt;1,$D1913&gt;31),"نامعتبر",RIGHT("0000"&amp;$B1913,4)&amp;"/"&amp;RIGHT("00"&amp;$C1913,2)&amp;"/"&amp;RIGHT("00"&amp;$D1913,2)))</f>
        <v/>
      </c>
      <c r="F1913">
        <f>IF(OR($E1913="",$E1913="نامعتبر"),"",LEFT($E1913,4)&amp;"/"&amp;MID($E1913,6,2))</f>
        <v/>
      </c>
      <c r="G1913">
        <f>IF(OR($E1913="",$E1913="نامعتبر",Sync!$Y1910=""),"",Sync!$Y1910)</f>
        <v/>
      </c>
      <c r="H1913">
        <f>IF($G1913="","",IF(Sync!$X1910="","",Sync!$X1910))</f>
        <v/>
      </c>
      <c r="I1913">
        <f>IF($G1913="","",IFERROR(VLOOKUP(Sync!$X1910,OpTbl,3,0),""))</f>
        <v/>
      </c>
      <c r="J1913">
        <f>IF(OR($G1913="",Sync!$Z1910=""),"",Sync!$Z1910)</f>
        <v/>
      </c>
      <c r="K1913">
        <f>IF(OR($G1913="",Sync!$AA1910=""),"",Sync!$AA1910)</f>
        <v/>
      </c>
      <c r="L1913">
        <f>IF($G1913="",0,IF(Sync!$AB1910="",0,Sync!$AB1910))</f>
        <v/>
      </c>
      <c r="M1913">
        <f>IF($G1913="",0,IF(Sync!$AC1910="",0,Sync!$AC1910))</f>
        <v/>
      </c>
      <c r="N1913">
        <f>IF($G1913="","",IF($H1913="مرجوعی خرید",-1,1)*($L1913-$M1913*IFERROR(VLOOKUP("P01",ParamTbl,3,0),1.5))*(1-IF($I1913="خرید",IFERROR(VLOOKUP("P02",ParamTbl,3,0),1),0)/100))</f>
        <v/>
      </c>
      <c r="O1913">
        <f>IF($G1913="",0,IF($H1913="مرجوعی خرید",-1,1)*IF(Sync!$AD1910="",0,Sync!$AD1910))</f>
        <v/>
      </c>
      <c r="P1913">
        <f>IF(OR($G1913="",Sync!$W1910=""),"",Sync!$W1910)</f>
        <v/>
      </c>
      <c r="Q1913">
        <f>IF(OR($G1913="",Sync!$AE1910=""),"",Sync!$AE1910)</f>
        <v/>
      </c>
      <c r="R1913">
        <f>IF($G1913="","",IF(Sync!$V1910="","0000",IF(AND(ISNUMBER(Sync!$V1910),Sync!$V1910&gt;=0,Sync!$V1910&lt;1),RIGHT("00"&amp;HOUR(Sync!$V1910),2)&amp;RIGHT("00"&amp;MINUTE(Sync!$V1910),2),IFERROR(RIGHT("00"&amp;VALUE(LEFT(Sync!$V1910,FIND(":",Sync!$V1910)-1)),2)&amp;RIGHT("00"&amp;VALUE(MID(Sync!$V1910,FIND(":",Sync!$V1910)+1,2)),2),"0000"))))</f>
        <v/>
      </c>
    </row>
    <row r="1914">
      <c r="A1914">
        <f>IF(Sync!$U1911="","",Sync!$U1911)</f>
        <v/>
      </c>
      <c r="B1914">
        <f>IF($A1914="","",IF(ISNUMBER($A1914),IF(AND($A1914&gt;=10000101,$A1914&lt;=99991231),INT($A1914/10000),""),IFERROR(VALUE(TRIM(LEFT($A1914,FIND("/",$A1914)-1))),"")))</f>
        <v/>
      </c>
      <c r="C1914">
        <f>IF(OR($A1914="",$B1914=""),"",IF(ISNUMBER($A1914),INT(MOD($A1914,10000)/100),IFERROR(VALUE(TRIM(LEFT(MID($A1914,FIND("/",$A1914)+1,20),FIND("/",MID($A1914,FIND("/",$A1914)+1,20))-1))),"")))</f>
        <v/>
      </c>
      <c r="D1914">
        <f>IF(OR($A1914="",$B1914=""),"",IF(ISNUMBER($A1914),MOD($A1914,100),IFERROR(VALUE(TRIM(MID(MID($A1914,FIND("/",$A1914)+1,20),FIND("/",MID($A1914,FIND("/",$A1914)+1,20))+1,20))),"")))</f>
        <v/>
      </c>
      <c r="E1914">
        <f>IF($A1914="","",IF(OR($B1914="",$C1914="",$D1914="",$B1914&lt;1300,$B1914&gt;1500,$C1914&lt;1,$C1914&gt;12,$D1914&lt;1,$D1914&gt;31),"نامعتبر",RIGHT("0000"&amp;$B1914,4)&amp;"/"&amp;RIGHT("00"&amp;$C1914,2)&amp;"/"&amp;RIGHT("00"&amp;$D1914,2)))</f>
        <v/>
      </c>
      <c r="F1914">
        <f>IF(OR($E1914="",$E1914="نامعتبر"),"",LEFT($E1914,4)&amp;"/"&amp;MID($E1914,6,2))</f>
        <v/>
      </c>
      <c r="G1914">
        <f>IF(OR($E1914="",$E1914="نامعتبر",Sync!$Y1911=""),"",Sync!$Y1911)</f>
        <v/>
      </c>
      <c r="H1914">
        <f>IF($G1914="","",IF(Sync!$X1911="","",Sync!$X1911))</f>
        <v/>
      </c>
      <c r="I1914">
        <f>IF($G1914="","",IFERROR(VLOOKUP(Sync!$X1911,OpTbl,3,0),""))</f>
        <v/>
      </c>
      <c r="J1914">
        <f>IF(OR($G1914="",Sync!$Z1911=""),"",Sync!$Z1911)</f>
        <v/>
      </c>
      <c r="K1914">
        <f>IF(OR($G1914="",Sync!$AA1911=""),"",Sync!$AA1911)</f>
        <v/>
      </c>
      <c r="L1914">
        <f>IF($G1914="",0,IF(Sync!$AB1911="",0,Sync!$AB1911))</f>
        <v/>
      </c>
      <c r="M1914">
        <f>IF($G1914="",0,IF(Sync!$AC1911="",0,Sync!$AC1911))</f>
        <v/>
      </c>
      <c r="N1914">
        <f>IF($G1914="","",IF($H1914="مرجوعی خرید",-1,1)*($L1914-$M1914*IFERROR(VLOOKUP("P01",ParamTbl,3,0),1.5))*(1-IF($I1914="خرید",IFERROR(VLOOKUP("P02",ParamTbl,3,0),1),0)/100))</f>
        <v/>
      </c>
      <c r="O1914">
        <f>IF($G1914="",0,IF($H1914="مرجوعی خرید",-1,1)*IF(Sync!$AD1911="",0,Sync!$AD1911))</f>
        <v/>
      </c>
      <c r="P1914">
        <f>IF(OR($G1914="",Sync!$W1911=""),"",Sync!$W1911)</f>
        <v/>
      </c>
      <c r="Q1914">
        <f>IF(OR($G1914="",Sync!$AE1911=""),"",Sync!$AE1911)</f>
        <v/>
      </c>
      <c r="R1914">
        <f>IF($G1914="","",IF(Sync!$V1911="","0000",IF(AND(ISNUMBER(Sync!$V1911),Sync!$V1911&gt;=0,Sync!$V1911&lt;1),RIGHT("00"&amp;HOUR(Sync!$V1911),2)&amp;RIGHT("00"&amp;MINUTE(Sync!$V1911),2),IFERROR(RIGHT("00"&amp;VALUE(LEFT(Sync!$V1911,FIND(":",Sync!$V1911)-1)),2)&amp;RIGHT("00"&amp;VALUE(MID(Sync!$V1911,FIND(":",Sync!$V1911)+1,2)),2),"0000"))))</f>
        <v/>
      </c>
    </row>
    <row r="1915">
      <c r="A1915">
        <f>IF(Sync!$U1912="","",Sync!$U1912)</f>
        <v/>
      </c>
      <c r="B1915">
        <f>IF($A1915="","",IF(ISNUMBER($A1915),IF(AND($A1915&gt;=10000101,$A1915&lt;=99991231),INT($A1915/10000),""),IFERROR(VALUE(TRIM(LEFT($A1915,FIND("/",$A1915)-1))),"")))</f>
        <v/>
      </c>
      <c r="C1915">
        <f>IF(OR($A1915="",$B1915=""),"",IF(ISNUMBER($A1915),INT(MOD($A1915,10000)/100),IFERROR(VALUE(TRIM(LEFT(MID($A1915,FIND("/",$A1915)+1,20),FIND("/",MID($A1915,FIND("/",$A1915)+1,20))-1))),"")))</f>
        <v/>
      </c>
      <c r="D1915">
        <f>IF(OR($A1915="",$B1915=""),"",IF(ISNUMBER($A1915),MOD($A1915,100),IFERROR(VALUE(TRIM(MID(MID($A1915,FIND("/",$A1915)+1,20),FIND("/",MID($A1915,FIND("/",$A1915)+1,20))+1,20))),"")))</f>
        <v/>
      </c>
      <c r="E1915">
        <f>IF($A1915="","",IF(OR($B1915="",$C1915="",$D1915="",$B1915&lt;1300,$B1915&gt;1500,$C1915&lt;1,$C1915&gt;12,$D1915&lt;1,$D1915&gt;31),"نامعتبر",RIGHT("0000"&amp;$B1915,4)&amp;"/"&amp;RIGHT("00"&amp;$C1915,2)&amp;"/"&amp;RIGHT("00"&amp;$D1915,2)))</f>
        <v/>
      </c>
      <c r="F1915">
        <f>IF(OR($E1915="",$E1915="نامعتبر"),"",LEFT($E1915,4)&amp;"/"&amp;MID($E1915,6,2))</f>
        <v/>
      </c>
      <c r="G1915">
        <f>IF(OR($E1915="",$E1915="نامعتبر",Sync!$Y1912=""),"",Sync!$Y1912)</f>
        <v/>
      </c>
      <c r="H1915">
        <f>IF($G1915="","",IF(Sync!$X1912="","",Sync!$X1912))</f>
        <v/>
      </c>
      <c r="I1915">
        <f>IF($G1915="","",IFERROR(VLOOKUP(Sync!$X1912,OpTbl,3,0),""))</f>
        <v/>
      </c>
      <c r="J1915">
        <f>IF(OR($G1915="",Sync!$Z1912=""),"",Sync!$Z1912)</f>
        <v/>
      </c>
      <c r="K1915">
        <f>IF(OR($G1915="",Sync!$AA1912=""),"",Sync!$AA1912)</f>
        <v/>
      </c>
      <c r="L1915">
        <f>IF($G1915="",0,IF(Sync!$AB1912="",0,Sync!$AB1912))</f>
        <v/>
      </c>
      <c r="M1915">
        <f>IF($G1915="",0,IF(Sync!$AC1912="",0,Sync!$AC1912))</f>
        <v/>
      </c>
      <c r="N1915">
        <f>IF($G1915="","",IF($H1915="مرجوعی خرید",-1,1)*($L1915-$M1915*IFERROR(VLOOKUP("P01",ParamTbl,3,0),1.5))*(1-IF($I1915="خرید",IFERROR(VLOOKUP("P02",ParamTbl,3,0),1),0)/100))</f>
        <v/>
      </c>
      <c r="O1915">
        <f>IF($G1915="",0,IF($H1915="مرجوعی خرید",-1,1)*IF(Sync!$AD1912="",0,Sync!$AD1912))</f>
        <v/>
      </c>
      <c r="P1915">
        <f>IF(OR($G1915="",Sync!$W1912=""),"",Sync!$W1912)</f>
        <v/>
      </c>
      <c r="Q1915">
        <f>IF(OR($G1915="",Sync!$AE1912=""),"",Sync!$AE1912)</f>
        <v/>
      </c>
      <c r="R1915">
        <f>IF($G1915="","",IF(Sync!$V1912="","0000",IF(AND(ISNUMBER(Sync!$V1912),Sync!$V1912&gt;=0,Sync!$V1912&lt;1),RIGHT("00"&amp;HOUR(Sync!$V1912),2)&amp;RIGHT("00"&amp;MINUTE(Sync!$V1912),2),IFERROR(RIGHT("00"&amp;VALUE(LEFT(Sync!$V1912,FIND(":",Sync!$V1912)-1)),2)&amp;RIGHT("00"&amp;VALUE(MID(Sync!$V1912,FIND(":",Sync!$V1912)+1,2)),2),"0000"))))</f>
        <v/>
      </c>
    </row>
    <row r="1916">
      <c r="A1916">
        <f>IF(Sync!$U1913="","",Sync!$U1913)</f>
        <v/>
      </c>
      <c r="B1916">
        <f>IF($A1916="","",IF(ISNUMBER($A1916),IF(AND($A1916&gt;=10000101,$A1916&lt;=99991231),INT($A1916/10000),""),IFERROR(VALUE(TRIM(LEFT($A1916,FIND("/",$A1916)-1))),"")))</f>
        <v/>
      </c>
      <c r="C1916">
        <f>IF(OR($A1916="",$B1916=""),"",IF(ISNUMBER($A1916),INT(MOD($A1916,10000)/100),IFERROR(VALUE(TRIM(LEFT(MID($A1916,FIND("/",$A1916)+1,20),FIND("/",MID($A1916,FIND("/",$A1916)+1,20))-1))),"")))</f>
        <v/>
      </c>
      <c r="D1916">
        <f>IF(OR($A1916="",$B1916=""),"",IF(ISNUMBER($A1916),MOD($A1916,100),IFERROR(VALUE(TRIM(MID(MID($A1916,FIND("/",$A1916)+1,20),FIND("/",MID($A1916,FIND("/",$A1916)+1,20))+1,20))),"")))</f>
        <v/>
      </c>
      <c r="E1916">
        <f>IF($A1916="","",IF(OR($B1916="",$C1916="",$D1916="",$B1916&lt;1300,$B1916&gt;1500,$C1916&lt;1,$C1916&gt;12,$D1916&lt;1,$D1916&gt;31),"نامعتبر",RIGHT("0000"&amp;$B1916,4)&amp;"/"&amp;RIGHT("00"&amp;$C1916,2)&amp;"/"&amp;RIGHT("00"&amp;$D1916,2)))</f>
        <v/>
      </c>
      <c r="F1916">
        <f>IF(OR($E1916="",$E1916="نامعتبر"),"",LEFT($E1916,4)&amp;"/"&amp;MID($E1916,6,2))</f>
        <v/>
      </c>
      <c r="G1916">
        <f>IF(OR($E1916="",$E1916="نامعتبر",Sync!$Y1913=""),"",Sync!$Y1913)</f>
        <v/>
      </c>
      <c r="H1916">
        <f>IF($G1916="","",IF(Sync!$X1913="","",Sync!$X1913))</f>
        <v/>
      </c>
      <c r="I1916">
        <f>IF($G1916="","",IFERROR(VLOOKUP(Sync!$X1913,OpTbl,3,0),""))</f>
        <v/>
      </c>
      <c r="J1916">
        <f>IF(OR($G1916="",Sync!$Z1913=""),"",Sync!$Z1913)</f>
        <v/>
      </c>
      <c r="K1916">
        <f>IF(OR($G1916="",Sync!$AA1913=""),"",Sync!$AA1913)</f>
        <v/>
      </c>
      <c r="L1916">
        <f>IF($G1916="",0,IF(Sync!$AB1913="",0,Sync!$AB1913))</f>
        <v/>
      </c>
      <c r="M1916">
        <f>IF($G1916="",0,IF(Sync!$AC1913="",0,Sync!$AC1913))</f>
        <v/>
      </c>
      <c r="N1916">
        <f>IF($G1916="","",IF($H1916="مرجوعی خرید",-1,1)*($L1916-$M1916*IFERROR(VLOOKUP("P01",ParamTbl,3,0),1.5))*(1-IF($I1916="خرید",IFERROR(VLOOKUP("P02",ParamTbl,3,0),1),0)/100))</f>
        <v/>
      </c>
      <c r="O1916">
        <f>IF($G1916="",0,IF($H1916="مرجوعی خرید",-1,1)*IF(Sync!$AD1913="",0,Sync!$AD1913))</f>
        <v/>
      </c>
      <c r="P1916">
        <f>IF(OR($G1916="",Sync!$W1913=""),"",Sync!$W1913)</f>
        <v/>
      </c>
      <c r="Q1916">
        <f>IF(OR($G1916="",Sync!$AE1913=""),"",Sync!$AE1913)</f>
        <v/>
      </c>
      <c r="R1916">
        <f>IF($G1916="","",IF(Sync!$V1913="","0000",IF(AND(ISNUMBER(Sync!$V1913),Sync!$V1913&gt;=0,Sync!$V1913&lt;1),RIGHT("00"&amp;HOUR(Sync!$V1913),2)&amp;RIGHT("00"&amp;MINUTE(Sync!$V1913),2),IFERROR(RIGHT("00"&amp;VALUE(LEFT(Sync!$V1913,FIND(":",Sync!$V1913)-1)),2)&amp;RIGHT("00"&amp;VALUE(MID(Sync!$V1913,FIND(":",Sync!$V1913)+1,2)),2),"0000"))))</f>
        <v/>
      </c>
    </row>
    <row r="1917">
      <c r="A1917">
        <f>IF(Sync!$U1914="","",Sync!$U1914)</f>
        <v/>
      </c>
      <c r="B1917">
        <f>IF($A1917="","",IF(ISNUMBER($A1917),IF(AND($A1917&gt;=10000101,$A1917&lt;=99991231),INT($A1917/10000),""),IFERROR(VALUE(TRIM(LEFT($A1917,FIND("/",$A1917)-1))),"")))</f>
        <v/>
      </c>
      <c r="C1917">
        <f>IF(OR($A1917="",$B1917=""),"",IF(ISNUMBER($A1917),INT(MOD($A1917,10000)/100),IFERROR(VALUE(TRIM(LEFT(MID($A1917,FIND("/",$A1917)+1,20),FIND("/",MID($A1917,FIND("/",$A1917)+1,20))-1))),"")))</f>
        <v/>
      </c>
      <c r="D1917">
        <f>IF(OR($A1917="",$B1917=""),"",IF(ISNUMBER($A1917),MOD($A1917,100),IFERROR(VALUE(TRIM(MID(MID($A1917,FIND("/",$A1917)+1,20),FIND("/",MID($A1917,FIND("/",$A1917)+1,20))+1,20))),"")))</f>
        <v/>
      </c>
      <c r="E1917">
        <f>IF($A1917="","",IF(OR($B1917="",$C1917="",$D1917="",$B1917&lt;1300,$B1917&gt;1500,$C1917&lt;1,$C1917&gt;12,$D1917&lt;1,$D1917&gt;31),"نامعتبر",RIGHT("0000"&amp;$B1917,4)&amp;"/"&amp;RIGHT("00"&amp;$C1917,2)&amp;"/"&amp;RIGHT("00"&amp;$D1917,2)))</f>
        <v/>
      </c>
      <c r="F1917">
        <f>IF(OR($E1917="",$E1917="نامعتبر"),"",LEFT($E1917,4)&amp;"/"&amp;MID($E1917,6,2))</f>
        <v/>
      </c>
      <c r="G1917">
        <f>IF(OR($E1917="",$E1917="نامعتبر",Sync!$Y1914=""),"",Sync!$Y1914)</f>
        <v/>
      </c>
      <c r="H1917">
        <f>IF($G1917="","",IF(Sync!$X1914="","",Sync!$X1914))</f>
        <v/>
      </c>
      <c r="I1917">
        <f>IF($G1917="","",IFERROR(VLOOKUP(Sync!$X1914,OpTbl,3,0),""))</f>
        <v/>
      </c>
      <c r="J1917">
        <f>IF(OR($G1917="",Sync!$Z1914=""),"",Sync!$Z1914)</f>
        <v/>
      </c>
      <c r="K1917">
        <f>IF(OR($G1917="",Sync!$AA1914=""),"",Sync!$AA1914)</f>
        <v/>
      </c>
      <c r="L1917">
        <f>IF($G1917="",0,IF(Sync!$AB1914="",0,Sync!$AB1914))</f>
        <v/>
      </c>
      <c r="M1917">
        <f>IF($G1917="",0,IF(Sync!$AC1914="",0,Sync!$AC1914))</f>
        <v/>
      </c>
      <c r="N1917">
        <f>IF($G1917="","",IF($H1917="مرجوعی خرید",-1,1)*($L1917-$M1917*IFERROR(VLOOKUP("P01",ParamTbl,3,0),1.5))*(1-IF($I1917="خرید",IFERROR(VLOOKUP("P02",ParamTbl,3,0),1),0)/100))</f>
        <v/>
      </c>
      <c r="O1917">
        <f>IF($G1917="",0,IF($H1917="مرجوعی خرید",-1,1)*IF(Sync!$AD1914="",0,Sync!$AD1914))</f>
        <v/>
      </c>
      <c r="P1917">
        <f>IF(OR($G1917="",Sync!$W1914=""),"",Sync!$W1914)</f>
        <v/>
      </c>
      <c r="Q1917">
        <f>IF(OR($G1917="",Sync!$AE1914=""),"",Sync!$AE1914)</f>
        <v/>
      </c>
      <c r="R1917">
        <f>IF($G1917="","",IF(Sync!$V1914="","0000",IF(AND(ISNUMBER(Sync!$V1914),Sync!$V1914&gt;=0,Sync!$V1914&lt;1),RIGHT("00"&amp;HOUR(Sync!$V1914),2)&amp;RIGHT("00"&amp;MINUTE(Sync!$V1914),2),IFERROR(RIGHT("00"&amp;VALUE(LEFT(Sync!$V1914,FIND(":",Sync!$V1914)-1)),2)&amp;RIGHT("00"&amp;VALUE(MID(Sync!$V1914,FIND(":",Sync!$V1914)+1,2)),2),"0000"))))</f>
        <v/>
      </c>
    </row>
    <row r="1918">
      <c r="A1918">
        <f>IF(Sync!$U1915="","",Sync!$U1915)</f>
        <v/>
      </c>
      <c r="B1918">
        <f>IF($A1918="","",IF(ISNUMBER($A1918),IF(AND($A1918&gt;=10000101,$A1918&lt;=99991231),INT($A1918/10000),""),IFERROR(VALUE(TRIM(LEFT($A1918,FIND("/",$A1918)-1))),"")))</f>
        <v/>
      </c>
      <c r="C1918">
        <f>IF(OR($A1918="",$B1918=""),"",IF(ISNUMBER($A1918),INT(MOD($A1918,10000)/100),IFERROR(VALUE(TRIM(LEFT(MID($A1918,FIND("/",$A1918)+1,20),FIND("/",MID($A1918,FIND("/",$A1918)+1,20))-1))),"")))</f>
        <v/>
      </c>
      <c r="D1918">
        <f>IF(OR($A1918="",$B1918=""),"",IF(ISNUMBER($A1918),MOD($A1918,100),IFERROR(VALUE(TRIM(MID(MID($A1918,FIND("/",$A1918)+1,20),FIND("/",MID($A1918,FIND("/",$A1918)+1,20))+1,20))),"")))</f>
        <v/>
      </c>
      <c r="E1918">
        <f>IF($A1918="","",IF(OR($B1918="",$C1918="",$D1918="",$B1918&lt;1300,$B1918&gt;1500,$C1918&lt;1,$C1918&gt;12,$D1918&lt;1,$D1918&gt;31),"نامعتبر",RIGHT("0000"&amp;$B1918,4)&amp;"/"&amp;RIGHT("00"&amp;$C1918,2)&amp;"/"&amp;RIGHT("00"&amp;$D1918,2)))</f>
        <v/>
      </c>
      <c r="F1918">
        <f>IF(OR($E1918="",$E1918="نامعتبر"),"",LEFT($E1918,4)&amp;"/"&amp;MID($E1918,6,2))</f>
        <v/>
      </c>
      <c r="G1918">
        <f>IF(OR($E1918="",$E1918="نامعتبر",Sync!$Y1915=""),"",Sync!$Y1915)</f>
        <v/>
      </c>
      <c r="H1918">
        <f>IF($G1918="","",IF(Sync!$X1915="","",Sync!$X1915))</f>
        <v/>
      </c>
      <c r="I1918">
        <f>IF($G1918="","",IFERROR(VLOOKUP(Sync!$X1915,OpTbl,3,0),""))</f>
        <v/>
      </c>
      <c r="J1918">
        <f>IF(OR($G1918="",Sync!$Z1915=""),"",Sync!$Z1915)</f>
        <v/>
      </c>
      <c r="K1918">
        <f>IF(OR($G1918="",Sync!$AA1915=""),"",Sync!$AA1915)</f>
        <v/>
      </c>
      <c r="L1918">
        <f>IF($G1918="",0,IF(Sync!$AB1915="",0,Sync!$AB1915))</f>
        <v/>
      </c>
      <c r="M1918">
        <f>IF($G1918="",0,IF(Sync!$AC1915="",0,Sync!$AC1915))</f>
        <v/>
      </c>
      <c r="N1918">
        <f>IF($G1918="","",IF($H1918="مرجوعی خرید",-1,1)*($L1918-$M1918*IFERROR(VLOOKUP("P01",ParamTbl,3,0),1.5))*(1-IF($I1918="خرید",IFERROR(VLOOKUP("P02",ParamTbl,3,0),1),0)/100))</f>
        <v/>
      </c>
      <c r="O1918">
        <f>IF($G1918="",0,IF($H1918="مرجوعی خرید",-1,1)*IF(Sync!$AD1915="",0,Sync!$AD1915))</f>
        <v/>
      </c>
      <c r="P1918">
        <f>IF(OR($G1918="",Sync!$W1915=""),"",Sync!$W1915)</f>
        <v/>
      </c>
      <c r="Q1918">
        <f>IF(OR($G1918="",Sync!$AE1915=""),"",Sync!$AE1915)</f>
        <v/>
      </c>
      <c r="R1918">
        <f>IF($G1918="","",IF(Sync!$V1915="","0000",IF(AND(ISNUMBER(Sync!$V1915),Sync!$V1915&gt;=0,Sync!$V1915&lt;1),RIGHT("00"&amp;HOUR(Sync!$V1915),2)&amp;RIGHT("00"&amp;MINUTE(Sync!$V1915),2),IFERROR(RIGHT("00"&amp;VALUE(LEFT(Sync!$V1915,FIND(":",Sync!$V1915)-1)),2)&amp;RIGHT("00"&amp;VALUE(MID(Sync!$V1915,FIND(":",Sync!$V1915)+1,2)),2),"0000"))))</f>
        <v/>
      </c>
    </row>
    <row r="1919">
      <c r="A1919">
        <f>IF(Sync!$U1916="","",Sync!$U1916)</f>
        <v/>
      </c>
      <c r="B1919">
        <f>IF($A1919="","",IF(ISNUMBER($A1919),IF(AND($A1919&gt;=10000101,$A1919&lt;=99991231),INT($A1919/10000),""),IFERROR(VALUE(TRIM(LEFT($A1919,FIND("/",$A1919)-1))),"")))</f>
        <v/>
      </c>
      <c r="C1919">
        <f>IF(OR($A1919="",$B1919=""),"",IF(ISNUMBER($A1919),INT(MOD($A1919,10000)/100),IFERROR(VALUE(TRIM(LEFT(MID($A1919,FIND("/",$A1919)+1,20),FIND("/",MID($A1919,FIND("/",$A1919)+1,20))-1))),"")))</f>
        <v/>
      </c>
      <c r="D1919">
        <f>IF(OR($A1919="",$B1919=""),"",IF(ISNUMBER($A1919),MOD($A1919,100),IFERROR(VALUE(TRIM(MID(MID($A1919,FIND("/",$A1919)+1,20),FIND("/",MID($A1919,FIND("/",$A1919)+1,20))+1,20))),"")))</f>
        <v/>
      </c>
      <c r="E1919">
        <f>IF($A1919="","",IF(OR($B1919="",$C1919="",$D1919="",$B1919&lt;1300,$B1919&gt;1500,$C1919&lt;1,$C1919&gt;12,$D1919&lt;1,$D1919&gt;31),"نامعتبر",RIGHT("0000"&amp;$B1919,4)&amp;"/"&amp;RIGHT("00"&amp;$C1919,2)&amp;"/"&amp;RIGHT("00"&amp;$D1919,2)))</f>
        <v/>
      </c>
      <c r="F1919">
        <f>IF(OR($E1919="",$E1919="نامعتبر"),"",LEFT($E1919,4)&amp;"/"&amp;MID($E1919,6,2))</f>
        <v/>
      </c>
      <c r="G1919">
        <f>IF(OR($E1919="",$E1919="نامعتبر",Sync!$Y1916=""),"",Sync!$Y1916)</f>
        <v/>
      </c>
      <c r="H1919">
        <f>IF($G1919="","",IF(Sync!$X1916="","",Sync!$X1916))</f>
        <v/>
      </c>
      <c r="I1919">
        <f>IF($G1919="","",IFERROR(VLOOKUP(Sync!$X1916,OpTbl,3,0),""))</f>
        <v/>
      </c>
      <c r="J1919">
        <f>IF(OR($G1919="",Sync!$Z1916=""),"",Sync!$Z1916)</f>
        <v/>
      </c>
      <c r="K1919">
        <f>IF(OR($G1919="",Sync!$AA1916=""),"",Sync!$AA1916)</f>
        <v/>
      </c>
      <c r="L1919">
        <f>IF($G1919="",0,IF(Sync!$AB1916="",0,Sync!$AB1916))</f>
        <v/>
      </c>
      <c r="M1919">
        <f>IF($G1919="",0,IF(Sync!$AC1916="",0,Sync!$AC1916))</f>
        <v/>
      </c>
      <c r="N1919">
        <f>IF($G1919="","",IF($H1919="مرجوعی خرید",-1,1)*($L1919-$M1919*IFERROR(VLOOKUP("P01",ParamTbl,3,0),1.5))*(1-IF($I1919="خرید",IFERROR(VLOOKUP("P02",ParamTbl,3,0),1),0)/100))</f>
        <v/>
      </c>
      <c r="O1919">
        <f>IF($G1919="",0,IF($H1919="مرجوعی خرید",-1,1)*IF(Sync!$AD1916="",0,Sync!$AD1916))</f>
        <v/>
      </c>
      <c r="P1919">
        <f>IF(OR($G1919="",Sync!$W1916=""),"",Sync!$W1916)</f>
        <v/>
      </c>
      <c r="Q1919">
        <f>IF(OR($G1919="",Sync!$AE1916=""),"",Sync!$AE1916)</f>
        <v/>
      </c>
      <c r="R1919">
        <f>IF($G1919="","",IF(Sync!$V1916="","0000",IF(AND(ISNUMBER(Sync!$V1916),Sync!$V1916&gt;=0,Sync!$V1916&lt;1),RIGHT("00"&amp;HOUR(Sync!$V1916),2)&amp;RIGHT("00"&amp;MINUTE(Sync!$V1916),2),IFERROR(RIGHT("00"&amp;VALUE(LEFT(Sync!$V1916,FIND(":",Sync!$V1916)-1)),2)&amp;RIGHT("00"&amp;VALUE(MID(Sync!$V1916,FIND(":",Sync!$V1916)+1,2)),2),"0000"))))</f>
        <v/>
      </c>
    </row>
    <row r="1920">
      <c r="A1920">
        <f>IF(Sync!$U1917="","",Sync!$U1917)</f>
        <v/>
      </c>
      <c r="B1920">
        <f>IF($A1920="","",IF(ISNUMBER($A1920),IF(AND($A1920&gt;=10000101,$A1920&lt;=99991231),INT($A1920/10000),""),IFERROR(VALUE(TRIM(LEFT($A1920,FIND("/",$A1920)-1))),"")))</f>
        <v/>
      </c>
      <c r="C1920">
        <f>IF(OR($A1920="",$B1920=""),"",IF(ISNUMBER($A1920),INT(MOD($A1920,10000)/100),IFERROR(VALUE(TRIM(LEFT(MID($A1920,FIND("/",$A1920)+1,20),FIND("/",MID($A1920,FIND("/",$A1920)+1,20))-1))),"")))</f>
        <v/>
      </c>
      <c r="D1920">
        <f>IF(OR($A1920="",$B1920=""),"",IF(ISNUMBER($A1920),MOD($A1920,100),IFERROR(VALUE(TRIM(MID(MID($A1920,FIND("/",$A1920)+1,20),FIND("/",MID($A1920,FIND("/",$A1920)+1,20))+1,20))),"")))</f>
        <v/>
      </c>
      <c r="E1920">
        <f>IF($A1920="","",IF(OR($B1920="",$C1920="",$D1920="",$B1920&lt;1300,$B1920&gt;1500,$C1920&lt;1,$C1920&gt;12,$D1920&lt;1,$D1920&gt;31),"نامعتبر",RIGHT("0000"&amp;$B1920,4)&amp;"/"&amp;RIGHT("00"&amp;$C1920,2)&amp;"/"&amp;RIGHT("00"&amp;$D1920,2)))</f>
        <v/>
      </c>
      <c r="F1920">
        <f>IF(OR($E1920="",$E1920="نامعتبر"),"",LEFT($E1920,4)&amp;"/"&amp;MID($E1920,6,2))</f>
        <v/>
      </c>
      <c r="G1920">
        <f>IF(OR($E1920="",$E1920="نامعتبر",Sync!$Y1917=""),"",Sync!$Y1917)</f>
        <v/>
      </c>
      <c r="H1920">
        <f>IF($G1920="","",IF(Sync!$X1917="","",Sync!$X1917))</f>
        <v/>
      </c>
      <c r="I1920">
        <f>IF($G1920="","",IFERROR(VLOOKUP(Sync!$X1917,OpTbl,3,0),""))</f>
        <v/>
      </c>
      <c r="J1920">
        <f>IF(OR($G1920="",Sync!$Z1917=""),"",Sync!$Z1917)</f>
        <v/>
      </c>
      <c r="K1920">
        <f>IF(OR($G1920="",Sync!$AA1917=""),"",Sync!$AA1917)</f>
        <v/>
      </c>
      <c r="L1920">
        <f>IF($G1920="",0,IF(Sync!$AB1917="",0,Sync!$AB1917))</f>
        <v/>
      </c>
      <c r="M1920">
        <f>IF($G1920="",0,IF(Sync!$AC1917="",0,Sync!$AC1917))</f>
        <v/>
      </c>
      <c r="N1920">
        <f>IF($G1920="","",IF($H1920="مرجوعی خرید",-1,1)*($L1920-$M1920*IFERROR(VLOOKUP("P01",ParamTbl,3,0),1.5))*(1-IF($I1920="خرید",IFERROR(VLOOKUP("P02",ParamTbl,3,0),1),0)/100))</f>
        <v/>
      </c>
      <c r="O1920">
        <f>IF($G1920="",0,IF($H1920="مرجوعی خرید",-1,1)*IF(Sync!$AD1917="",0,Sync!$AD1917))</f>
        <v/>
      </c>
      <c r="P1920">
        <f>IF(OR($G1920="",Sync!$W1917=""),"",Sync!$W1917)</f>
        <v/>
      </c>
      <c r="Q1920">
        <f>IF(OR($G1920="",Sync!$AE1917=""),"",Sync!$AE1917)</f>
        <v/>
      </c>
      <c r="R1920">
        <f>IF($G1920="","",IF(Sync!$V1917="","0000",IF(AND(ISNUMBER(Sync!$V1917),Sync!$V1917&gt;=0,Sync!$V1917&lt;1),RIGHT("00"&amp;HOUR(Sync!$V1917),2)&amp;RIGHT("00"&amp;MINUTE(Sync!$V1917),2),IFERROR(RIGHT("00"&amp;VALUE(LEFT(Sync!$V1917,FIND(":",Sync!$V1917)-1)),2)&amp;RIGHT("00"&amp;VALUE(MID(Sync!$V1917,FIND(":",Sync!$V1917)+1,2)),2),"0000"))))</f>
        <v/>
      </c>
    </row>
    <row r="1921">
      <c r="A1921">
        <f>IF(Sync!$U1918="","",Sync!$U1918)</f>
        <v/>
      </c>
      <c r="B1921">
        <f>IF($A1921="","",IF(ISNUMBER($A1921),IF(AND($A1921&gt;=10000101,$A1921&lt;=99991231),INT($A1921/10000),""),IFERROR(VALUE(TRIM(LEFT($A1921,FIND("/",$A1921)-1))),"")))</f>
        <v/>
      </c>
      <c r="C1921">
        <f>IF(OR($A1921="",$B1921=""),"",IF(ISNUMBER($A1921),INT(MOD($A1921,10000)/100),IFERROR(VALUE(TRIM(LEFT(MID($A1921,FIND("/",$A1921)+1,20),FIND("/",MID($A1921,FIND("/",$A1921)+1,20))-1))),"")))</f>
        <v/>
      </c>
      <c r="D1921">
        <f>IF(OR($A1921="",$B1921=""),"",IF(ISNUMBER($A1921),MOD($A1921,100),IFERROR(VALUE(TRIM(MID(MID($A1921,FIND("/",$A1921)+1,20),FIND("/",MID($A1921,FIND("/",$A1921)+1,20))+1,20))),"")))</f>
        <v/>
      </c>
      <c r="E1921">
        <f>IF($A1921="","",IF(OR($B1921="",$C1921="",$D1921="",$B1921&lt;1300,$B1921&gt;1500,$C1921&lt;1,$C1921&gt;12,$D1921&lt;1,$D1921&gt;31),"نامعتبر",RIGHT("0000"&amp;$B1921,4)&amp;"/"&amp;RIGHT("00"&amp;$C1921,2)&amp;"/"&amp;RIGHT("00"&amp;$D1921,2)))</f>
        <v/>
      </c>
      <c r="F1921">
        <f>IF(OR($E1921="",$E1921="نامعتبر"),"",LEFT($E1921,4)&amp;"/"&amp;MID($E1921,6,2))</f>
        <v/>
      </c>
      <c r="G1921">
        <f>IF(OR($E1921="",$E1921="نامعتبر",Sync!$Y1918=""),"",Sync!$Y1918)</f>
        <v/>
      </c>
      <c r="H1921">
        <f>IF($G1921="","",IF(Sync!$X1918="","",Sync!$X1918))</f>
        <v/>
      </c>
      <c r="I1921">
        <f>IF($G1921="","",IFERROR(VLOOKUP(Sync!$X1918,OpTbl,3,0),""))</f>
        <v/>
      </c>
      <c r="J1921">
        <f>IF(OR($G1921="",Sync!$Z1918=""),"",Sync!$Z1918)</f>
        <v/>
      </c>
      <c r="K1921">
        <f>IF(OR($G1921="",Sync!$AA1918=""),"",Sync!$AA1918)</f>
        <v/>
      </c>
      <c r="L1921">
        <f>IF($G1921="",0,IF(Sync!$AB1918="",0,Sync!$AB1918))</f>
        <v/>
      </c>
      <c r="M1921">
        <f>IF($G1921="",0,IF(Sync!$AC1918="",0,Sync!$AC1918))</f>
        <v/>
      </c>
      <c r="N1921">
        <f>IF($G1921="","",IF($H1921="مرجوعی خرید",-1,1)*($L1921-$M1921*IFERROR(VLOOKUP("P01",ParamTbl,3,0),1.5))*(1-IF($I1921="خرید",IFERROR(VLOOKUP("P02",ParamTbl,3,0),1),0)/100))</f>
        <v/>
      </c>
      <c r="O1921">
        <f>IF($G1921="",0,IF($H1921="مرجوعی خرید",-1,1)*IF(Sync!$AD1918="",0,Sync!$AD1918))</f>
        <v/>
      </c>
      <c r="P1921">
        <f>IF(OR($G1921="",Sync!$W1918=""),"",Sync!$W1918)</f>
        <v/>
      </c>
      <c r="Q1921">
        <f>IF(OR($G1921="",Sync!$AE1918=""),"",Sync!$AE1918)</f>
        <v/>
      </c>
      <c r="R1921">
        <f>IF($G1921="","",IF(Sync!$V1918="","0000",IF(AND(ISNUMBER(Sync!$V1918),Sync!$V1918&gt;=0,Sync!$V1918&lt;1),RIGHT("00"&amp;HOUR(Sync!$V1918),2)&amp;RIGHT("00"&amp;MINUTE(Sync!$V1918),2),IFERROR(RIGHT("00"&amp;VALUE(LEFT(Sync!$V1918,FIND(":",Sync!$V1918)-1)),2)&amp;RIGHT("00"&amp;VALUE(MID(Sync!$V1918,FIND(":",Sync!$V1918)+1,2)),2),"0000"))))</f>
        <v/>
      </c>
    </row>
    <row r="1922">
      <c r="A1922">
        <f>IF(Sync!$U1919="","",Sync!$U1919)</f>
        <v/>
      </c>
      <c r="B1922">
        <f>IF($A1922="","",IF(ISNUMBER($A1922),IF(AND($A1922&gt;=10000101,$A1922&lt;=99991231),INT($A1922/10000),""),IFERROR(VALUE(TRIM(LEFT($A1922,FIND("/",$A1922)-1))),"")))</f>
        <v/>
      </c>
      <c r="C1922">
        <f>IF(OR($A1922="",$B1922=""),"",IF(ISNUMBER($A1922),INT(MOD($A1922,10000)/100),IFERROR(VALUE(TRIM(LEFT(MID($A1922,FIND("/",$A1922)+1,20),FIND("/",MID($A1922,FIND("/",$A1922)+1,20))-1))),"")))</f>
        <v/>
      </c>
      <c r="D1922">
        <f>IF(OR($A1922="",$B1922=""),"",IF(ISNUMBER($A1922),MOD($A1922,100),IFERROR(VALUE(TRIM(MID(MID($A1922,FIND("/",$A1922)+1,20),FIND("/",MID($A1922,FIND("/",$A1922)+1,20))+1,20))),"")))</f>
        <v/>
      </c>
      <c r="E1922">
        <f>IF($A1922="","",IF(OR($B1922="",$C1922="",$D1922="",$B1922&lt;1300,$B1922&gt;1500,$C1922&lt;1,$C1922&gt;12,$D1922&lt;1,$D1922&gt;31),"نامعتبر",RIGHT("0000"&amp;$B1922,4)&amp;"/"&amp;RIGHT("00"&amp;$C1922,2)&amp;"/"&amp;RIGHT("00"&amp;$D1922,2)))</f>
        <v/>
      </c>
      <c r="F1922">
        <f>IF(OR($E1922="",$E1922="نامعتبر"),"",LEFT($E1922,4)&amp;"/"&amp;MID($E1922,6,2))</f>
        <v/>
      </c>
      <c r="G1922">
        <f>IF(OR($E1922="",$E1922="نامعتبر",Sync!$Y1919=""),"",Sync!$Y1919)</f>
        <v/>
      </c>
      <c r="H1922">
        <f>IF($G1922="","",IF(Sync!$X1919="","",Sync!$X1919))</f>
        <v/>
      </c>
      <c r="I1922">
        <f>IF($G1922="","",IFERROR(VLOOKUP(Sync!$X1919,OpTbl,3,0),""))</f>
        <v/>
      </c>
      <c r="J1922">
        <f>IF(OR($G1922="",Sync!$Z1919=""),"",Sync!$Z1919)</f>
        <v/>
      </c>
      <c r="K1922">
        <f>IF(OR($G1922="",Sync!$AA1919=""),"",Sync!$AA1919)</f>
        <v/>
      </c>
      <c r="L1922">
        <f>IF($G1922="",0,IF(Sync!$AB1919="",0,Sync!$AB1919))</f>
        <v/>
      </c>
      <c r="M1922">
        <f>IF($G1922="",0,IF(Sync!$AC1919="",0,Sync!$AC1919))</f>
        <v/>
      </c>
      <c r="N1922">
        <f>IF($G1922="","",IF($H1922="مرجوعی خرید",-1,1)*($L1922-$M1922*IFERROR(VLOOKUP("P01",ParamTbl,3,0),1.5))*(1-IF($I1922="خرید",IFERROR(VLOOKUP("P02",ParamTbl,3,0),1),0)/100))</f>
        <v/>
      </c>
      <c r="O1922">
        <f>IF($G1922="",0,IF($H1922="مرجوعی خرید",-1,1)*IF(Sync!$AD1919="",0,Sync!$AD1919))</f>
        <v/>
      </c>
      <c r="P1922">
        <f>IF(OR($G1922="",Sync!$W1919=""),"",Sync!$W1919)</f>
        <v/>
      </c>
      <c r="Q1922">
        <f>IF(OR($G1922="",Sync!$AE1919=""),"",Sync!$AE1919)</f>
        <v/>
      </c>
      <c r="R1922">
        <f>IF($G1922="","",IF(Sync!$V1919="","0000",IF(AND(ISNUMBER(Sync!$V1919),Sync!$V1919&gt;=0,Sync!$V1919&lt;1),RIGHT("00"&amp;HOUR(Sync!$V1919),2)&amp;RIGHT("00"&amp;MINUTE(Sync!$V1919),2),IFERROR(RIGHT("00"&amp;VALUE(LEFT(Sync!$V1919,FIND(":",Sync!$V1919)-1)),2)&amp;RIGHT("00"&amp;VALUE(MID(Sync!$V1919,FIND(":",Sync!$V1919)+1,2)),2),"0000"))))</f>
        <v/>
      </c>
    </row>
    <row r="1923">
      <c r="A1923">
        <f>IF(Sync!$U1920="","",Sync!$U1920)</f>
        <v/>
      </c>
      <c r="B1923">
        <f>IF($A1923="","",IF(ISNUMBER($A1923),IF(AND($A1923&gt;=10000101,$A1923&lt;=99991231),INT($A1923/10000),""),IFERROR(VALUE(TRIM(LEFT($A1923,FIND("/",$A1923)-1))),"")))</f>
        <v/>
      </c>
      <c r="C1923">
        <f>IF(OR($A1923="",$B1923=""),"",IF(ISNUMBER($A1923),INT(MOD($A1923,10000)/100),IFERROR(VALUE(TRIM(LEFT(MID($A1923,FIND("/",$A1923)+1,20),FIND("/",MID($A1923,FIND("/",$A1923)+1,20))-1))),"")))</f>
        <v/>
      </c>
      <c r="D1923">
        <f>IF(OR($A1923="",$B1923=""),"",IF(ISNUMBER($A1923),MOD($A1923,100),IFERROR(VALUE(TRIM(MID(MID($A1923,FIND("/",$A1923)+1,20),FIND("/",MID($A1923,FIND("/",$A1923)+1,20))+1,20))),"")))</f>
        <v/>
      </c>
      <c r="E1923">
        <f>IF($A1923="","",IF(OR($B1923="",$C1923="",$D1923="",$B1923&lt;1300,$B1923&gt;1500,$C1923&lt;1,$C1923&gt;12,$D1923&lt;1,$D1923&gt;31),"نامعتبر",RIGHT("0000"&amp;$B1923,4)&amp;"/"&amp;RIGHT("00"&amp;$C1923,2)&amp;"/"&amp;RIGHT("00"&amp;$D1923,2)))</f>
        <v/>
      </c>
      <c r="F1923">
        <f>IF(OR($E1923="",$E1923="نامعتبر"),"",LEFT($E1923,4)&amp;"/"&amp;MID($E1923,6,2))</f>
        <v/>
      </c>
      <c r="G1923">
        <f>IF(OR($E1923="",$E1923="نامعتبر",Sync!$Y1920=""),"",Sync!$Y1920)</f>
        <v/>
      </c>
      <c r="H1923">
        <f>IF($G1923="","",IF(Sync!$X1920="","",Sync!$X1920))</f>
        <v/>
      </c>
      <c r="I1923">
        <f>IF($G1923="","",IFERROR(VLOOKUP(Sync!$X1920,OpTbl,3,0),""))</f>
        <v/>
      </c>
      <c r="J1923">
        <f>IF(OR($G1923="",Sync!$Z1920=""),"",Sync!$Z1920)</f>
        <v/>
      </c>
      <c r="K1923">
        <f>IF(OR($G1923="",Sync!$AA1920=""),"",Sync!$AA1920)</f>
        <v/>
      </c>
      <c r="L1923">
        <f>IF($G1923="",0,IF(Sync!$AB1920="",0,Sync!$AB1920))</f>
        <v/>
      </c>
      <c r="M1923">
        <f>IF($G1923="",0,IF(Sync!$AC1920="",0,Sync!$AC1920))</f>
        <v/>
      </c>
      <c r="N1923">
        <f>IF($G1923="","",IF($H1923="مرجوعی خرید",-1,1)*($L1923-$M1923*IFERROR(VLOOKUP("P01",ParamTbl,3,0),1.5))*(1-IF($I1923="خرید",IFERROR(VLOOKUP("P02",ParamTbl,3,0),1),0)/100))</f>
        <v/>
      </c>
      <c r="O1923">
        <f>IF($G1923="",0,IF($H1923="مرجوعی خرید",-1,1)*IF(Sync!$AD1920="",0,Sync!$AD1920))</f>
        <v/>
      </c>
      <c r="P1923">
        <f>IF(OR($G1923="",Sync!$W1920=""),"",Sync!$W1920)</f>
        <v/>
      </c>
      <c r="Q1923">
        <f>IF(OR($G1923="",Sync!$AE1920=""),"",Sync!$AE1920)</f>
        <v/>
      </c>
      <c r="R1923">
        <f>IF($G1923="","",IF(Sync!$V1920="","0000",IF(AND(ISNUMBER(Sync!$V1920),Sync!$V1920&gt;=0,Sync!$V1920&lt;1),RIGHT("00"&amp;HOUR(Sync!$V1920),2)&amp;RIGHT("00"&amp;MINUTE(Sync!$V1920),2),IFERROR(RIGHT("00"&amp;VALUE(LEFT(Sync!$V1920,FIND(":",Sync!$V1920)-1)),2)&amp;RIGHT("00"&amp;VALUE(MID(Sync!$V1920,FIND(":",Sync!$V1920)+1,2)),2),"0000"))))</f>
        <v/>
      </c>
    </row>
    <row r="1924">
      <c r="A1924">
        <f>IF(Sync!$U1921="","",Sync!$U1921)</f>
        <v/>
      </c>
      <c r="B1924">
        <f>IF($A1924="","",IF(ISNUMBER($A1924),IF(AND($A1924&gt;=10000101,$A1924&lt;=99991231),INT($A1924/10000),""),IFERROR(VALUE(TRIM(LEFT($A1924,FIND("/",$A1924)-1))),"")))</f>
        <v/>
      </c>
      <c r="C1924">
        <f>IF(OR($A1924="",$B1924=""),"",IF(ISNUMBER($A1924),INT(MOD($A1924,10000)/100),IFERROR(VALUE(TRIM(LEFT(MID($A1924,FIND("/",$A1924)+1,20),FIND("/",MID($A1924,FIND("/",$A1924)+1,20))-1))),"")))</f>
        <v/>
      </c>
      <c r="D1924">
        <f>IF(OR($A1924="",$B1924=""),"",IF(ISNUMBER($A1924),MOD($A1924,100),IFERROR(VALUE(TRIM(MID(MID($A1924,FIND("/",$A1924)+1,20),FIND("/",MID($A1924,FIND("/",$A1924)+1,20))+1,20))),"")))</f>
        <v/>
      </c>
      <c r="E1924">
        <f>IF($A1924="","",IF(OR($B1924="",$C1924="",$D1924="",$B1924&lt;1300,$B1924&gt;1500,$C1924&lt;1,$C1924&gt;12,$D1924&lt;1,$D1924&gt;31),"نامعتبر",RIGHT("0000"&amp;$B1924,4)&amp;"/"&amp;RIGHT("00"&amp;$C1924,2)&amp;"/"&amp;RIGHT("00"&amp;$D1924,2)))</f>
        <v/>
      </c>
      <c r="F1924">
        <f>IF(OR($E1924="",$E1924="نامعتبر"),"",LEFT($E1924,4)&amp;"/"&amp;MID($E1924,6,2))</f>
        <v/>
      </c>
      <c r="G1924">
        <f>IF(OR($E1924="",$E1924="نامعتبر",Sync!$Y1921=""),"",Sync!$Y1921)</f>
        <v/>
      </c>
      <c r="H1924">
        <f>IF($G1924="","",IF(Sync!$X1921="","",Sync!$X1921))</f>
        <v/>
      </c>
      <c r="I1924">
        <f>IF($G1924="","",IFERROR(VLOOKUP(Sync!$X1921,OpTbl,3,0),""))</f>
        <v/>
      </c>
      <c r="J1924">
        <f>IF(OR($G1924="",Sync!$Z1921=""),"",Sync!$Z1921)</f>
        <v/>
      </c>
      <c r="K1924">
        <f>IF(OR($G1924="",Sync!$AA1921=""),"",Sync!$AA1921)</f>
        <v/>
      </c>
      <c r="L1924">
        <f>IF($G1924="",0,IF(Sync!$AB1921="",0,Sync!$AB1921))</f>
        <v/>
      </c>
      <c r="M1924">
        <f>IF($G1924="",0,IF(Sync!$AC1921="",0,Sync!$AC1921))</f>
        <v/>
      </c>
      <c r="N1924">
        <f>IF($G1924="","",IF($H1924="مرجوعی خرید",-1,1)*($L1924-$M1924*IFERROR(VLOOKUP("P01",ParamTbl,3,0),1.5))*(1-IF($I1924="خرید",IFERROR(VLOOKUP("P02",ParamTbl,3,0),1),0)/100))</f>
        <v/>
      </c>
      <c r="O1924">
        <f>IF($G1924="",0,IF($H1924="مرجوعی خرید",-1,1)*IF(Sync!$AD1921="",0,Sync!$AD1921))</f>
        <v/>
      </c>
      <c r="P1924">
        <f>IF(OR($G1924="",Sync!$W1921=""),"",Sync!$W1921)</f>
        <v/>
      </c>
      <c r="Q1924">
        <f>IF(OR($G1924="",Sync!$AE1921=""),"",Sync!$AE1921)</f>
        <v/>
      </c>
      <c r="R1924">
        <f>IF($G1924="","",IF(Sync!$V1921="","0000",IF(AND(ISNUMBER(Sync!$V1921),Sync!$V1921&gt;=0,Sync!$V1921&lt;1),RIGHT("00"&amp;HOUR(Sync!$V1921),2)&amp;RIGHT("00"&amp;MINUTE(Sync!$V1921),2),IFERROR(RIGHT("00"&amp;VALUE(LEFT(Sync!$V1921,FIND(":",Sync!$V1921)-1)),2)&amp;RIGHT("00"&amp;VALUE(MID(Sync!$V1921,FIND(":",Sync!$V1921)+1,2)),2),"0000"))))</f>
        <v/>
      </c>
    </row>
    <row r="1925">
      <c r="A1925">
        <f>IF(Sync!$U1922="","",Sync!$U1922)</f>
        <v/>
      </c>
      <c r="B1925">
        <f>IF($A1925="","",IF(ISNUMBER($A1925),IF(AND($A1925&gt;=10000101,$A1925&lt;=99991231),INT($A1925/10000),""),IFERROR(VALUE(TRIM(LEFT($A1925,FIND("/",$A1925)-1))),"")))</f>
        <v/>
      </c>
      <c r="C1925">
        <f>IF(OR($A1925="",$B1925=""),"",IF(ISNUMBER($A1925),INT(MOD($A1925,10000)/100),IFERROR(VALUE(TRIM(LEFT(MID($A1925,FIND("/",$A1925)+1,20),FIND("/",MID($A1925,FIND("/",$A1925)+1,20))-1))),"")))</f>
        <v/>
      </c>
      <c r="D1925">
        <f>IF(OR($A1925="",$B1925=""),"",IF(ISNUMBER($A1925),MOD($A1925,100),IFERROR(VALUE(TRIM(MID(MID($A1925,FIND("/",$A1925)+1,20),FIND("/",MID($A1925,FIND("/",$A1925)+1,20))+1,20))),"")))</f>
        <v/>
      </c>
      <c r="E1925">
        <f>IF($A1925="","",IF(OR($B1925="",$C1925="",$D1925="",$B1925&lt;1300,$B1925&gt;1500,$C1925&lt;1,$C1925&gt;12,$D1925&lt;1,$D1925&gt;31),"نامعتبر",RIGHT("0000"&amp;$B1925,4)&amp;"/"&amp;RIGHT("00"&amp;$C1925,2)&amp;"/"&amp;RIGHT("00"&amp;$D1925,2)))</f>
        <v/>
      </c>
      <c r="F1925">
        <f>IF(OR($E1925="",$E1925="نامعتبر"),"",LEFT($E1925,4)&amp;"/"&amp;MID($E1925,6,2))</f>
        <v/>
      </c>
      <c r="G1925">
        <f>IF(OR($E1925="",$E1925="نامعتبر",Sync!$Y1922=""),"",Sync!$Y1922)</f>
        <v/>
      </c>
      <c r="H1925">
        <f>IF($G1925="","",IF(Sync!$X1922="","",Sync!$X1922))</f>
        <v/>
      </c>
      <c r="I1925">
        <f>IF($G1925="","",IFERROR(VLOOKUP(Sync!$X1922,OpTbl,3,0),""))</f>
        <v/>
      </c>
      <c r="J1925">
        <f>IF(OR($G1925="",Sync!$Z1922=""),"",Sync!$Z1922)</f>
        <v/>
      </c>
      <c r="K1925">
        <f>IF(OR($G1925="",Sync!$AA1922=""),"",Sync!$AA1922)</f>
        <v/>
      </c>
      <c r="L1925">
        <f>IF($G1925="",0,IF(Sync!$AB1922="",0,Sync!$AB1922))</f>
        <v/>
      </c>
      <c r="M1925">
        <f>IF($G1925="",0,IF(Sync!$AC1922="",0,Sync!$AC1922))</f>
        <v/>
      </c>
      <c r="N1925">
        <f>IF($G1925="","",IF($H1925="مرجوعی خرید",-1,1)*($L1925-$M1925*IFERROR(VLOOKUP("P01",ParamTbl,3,0),1.5))*(1-IF($I1925="خرید",IFERROR(VLOOKUP("P02",ParamTbl,3,0),1),0)/100))</f>
        <v/>
      </c>
      <c r="O1925">
        <f>IF($G1925="",0,IF($H1925="مرجوعی خرید",-1,1)*IF(Sync!$AD1922="",0,Sync!$AD1922))</f>
        <v/>
      </c>
      <c r="P1925">
        <f>IF(OR($G1925="",Sync!$W1922=""),"",Sync!$W1922)</f>
        <v/>
      </c>
      <c r="Q1925">
        <f>IF(OR($G1925="",Sync!$AE1922=""),"",Sync!$AE1922)</f>
        <v/>
      </c>
      <c r="R1925">
        <f>IF($G1925="","",IF(Sync!$V1922="","0000",IF(AND(ISNUMBER(Sync!$V1922),Sync!$V1922&gt;=0,Sync!$V1922&lt;1),RIGHT("00"&amp;HOUR(Sync!$V1922),2)&amp;RIGHT("00"&amp;MINUTE(Sync!$V1922),2),IFERROR(RIGHT("00"&amp;VALUE(LEFT(Sync!$V1922,FIND(":",Sync!$V1922)-1)),2)&amp;RIGHT("00"&amp;VALUE(MID(Sync!$V1922,FIND(":",Sync!$V1922)+1,2)),2),"0000"))))</f>
        <v/>
      </c>
    </row>
    <row r="1926">
      <c r="A1926">
        <f>IF(Sync!$U1923="","",Sync!$U1923)</f>
        <v/>
      </c>
      <c r="B1926">
        <f>IF($A1926="","",IF(ISNUMBER($A1926),IF(AND($A1926&gt;=10000101,$A1926&lt;=99991231),INT($A1926/10000),""),IFERROR(VALUE(TRIM(LEFT($A1926,FIND("/",$A1926)-1))),"")))</f>
        <v/>
      </c>
      <c r="C1926">
        <f>IF(OR($A1926="",$B1926=""),"",IF(ISNUMBER($A1926),INT(MOD($A1926,10000)/100),IFERROR(VALUE(TRIM(LEFT(MID($A1926,FIND("/",$A1926)+1,20),FIND("/",MID($A1926,FIND("/",$A1926)+1,20))-1))),"")))</f>
        <v/>
      </c>
      <c r="D1926">
        <f>IF(OR($A1926="",$B1926=""),"",IF(ISNUMBER($A1926),MOD($A1926,100),IFERROR(VALUE(TRIM(MID(MID($A1926,FIND("/",$A1926)+1,20),FIND("/",MID($A1926,FIND("/",$A1926)+1,20))+1,20))),"")))</f>
        <v/>
      </c>
      <c r="E1926">
        <f>IF($A1926="","",IF(OR($B1926="",$C1926="",$D1926="",$B1926&lt;1300,$B1926&gt;1500,$C1926&lt;1,$C1926&gt;12,$D1926&lt;1,$D1926&gt;31),"نامعتبر",RIGHT("0000"&amp;$B1926,4)&amp;"/"&amp;RIGHT("00"&amp;$C1926,2)&amp;"/"&amp;RIGHT("00"&amp;$D1926,2)))</f>
        <v/>
      </c>
      <c r="F1926">
        <f>IF(OR($E1926="",$E1926="نامعتبر"),"",LEFT($E1926,4)&amp;"/"&amp;MID($E1926,6,2))</f>
        <v/>
      </c>
      <c r="G1926">
        <f>IF(OR($E1926="",$E1926="نامعتبر",Sync!$Y1923=""),"",Sync!$Y1923)</f>
        <v/>
      </c>
      <c r="H1926">
        <f>IF($G1926="","",IF(Sync!$X1923="","",Sync!$X1923))</f>
        <v/>
      </c>
      <c r="I1926">
        <f>IF($G1926="","",IFERROR(VLOOKUP(Sync!$X1923,OpTbl,3,0),""))</f>
        <v/>
      </c>
      <c r="J1926">
        <f>IF(OR($G1926="",Sync!$Z1923=""),"",Sync!$Z1923)</f>
        <v/>
      </c>
      <c r="K1926">
        <f>IF(OR($G1926="",Sync!$AA1923=""),"",Sync!$AA1923)</f>
        <v/>
      </c>
      <c r="L1926">
        <f>IF($G1926="",0,IF(Sync!$AB1923="",0,Sync!$AB1923))</f>
        <v/>
      </c>
      <c r="M1926">
        <f>IF($G1926="",0,IF(Sync!$AC1923="",0,Sync!$AC1923))</f>
        <v/>
      </c>
      <c r="N1926">
        <f>IF($G1926="","",IF($H1926="مرجوعی خرید",-1,1)*($L1926-$M1926*IFERROR(VLOOKUP("P01",ParamTbl,3,0),1.5))*(1-IF($I1926="خرید",IFERROR(VLOOKUP("P02",ParamTbl,3,0),1),0)/100))</f>
        <v/>
      </c>
      <c r="O1926">
        <f>IF($G1926="",0,IF($H1926="مرجوعی خرید",-1,1)*IF(Sync!$AD1923="",0,Sync!$AD1923))</f>
        <v/>
      </c>
      <c r="P1926">
        <f>IF(OR($G1926="",Sync!$W1923=""),"",Sync!$W1923)</f>
        <v/>
      </c>
      <c r="Q1926">
        <f>IF(OR($G1926="",Sync!$AE1923=""),"",Sync!$AE1923)</f>
        <v/>
      </c>
      <c r="R1926">
        <f>IF($G1926="","",IF(Sync!$V1923="","0000",IF(AND(ISNUMBER(Sync!$V1923),Sync!$V1923&gt;=0,Sync!$V1923&lt;1),RIGHT("00"&amp;HOUR(Sync!$V1923),2)&amp;RIGHT("00"&amp;MINUTE(Sync!$V1923),2),IFERROR(RIGHT("00"&amp;VALUE(LEFT(Sync!$V1923,FIND(":",Sync!$V1923)-1)),2)&amp;RIGHT("00"&amp;VALUE(MID(Sync!$V1923,FIND(":",Sync!$V1923)+1,2)),2),"0000"))))</f>
        <v/>
      </c>
    </row>
    <row r="1927">
      <c r="A1927">
        <f>IF(Sync!$U1924="","",Sync!$U1924)</f>
        <v/>
      </c>
      <c r="B1927">
        <f>IF($A1927="","",IF(ISNUMBER($A1927),IF(AND($A1927&gt;=10000101,$A1927&lt;=99991231),INT($A1927/10000),""),IFERROR(VALUE(TRIM(LEFT($A1927,FIND("/",$A1927)-1))),"")))</f>
        <v/>
      </c>
      <c r="C1927">
        <f>IF(OR($A1927="",$B1927=""),"",IF(ISNUMBER($A1927),INT(MOD($A1927,10000)/100),IFERROR(VALUE(TRIM(LEFT(MID($A1927,FIND("/",$A1927)+1,20),FIND("/",MID($A1927,FIND("/",$A1927)+1,20))-1))),"")))</f>
        <v/>
      </c>
      <c r="D1927">
        <f>IF(OR($A1927="",$B1927=""),"",IF(ISNUMBER($A1927),MOD($A1927,100),IFERROR(VALUE(TRIM(MID(MID($A1927,FIND("/",$A1927)+1,20),FIND("/",MID($A1927,FIND("/",$A1927)+1,20))+1,20))),"")))</f>
        <v/>
      </c>
      <c r="E1927">
        <f>IF($A1927="","",IF(OR($B1927="",$C1927="",$D1927="",$B1927&lt;1300,$B1927&gt;1500,$C1927&lt;1,$C1927&gt;12,$D1927&lt;1,$D1927&gt;31),"نامعتبر",RIGHT("0000"&amp;$B1927,4)&amp;"/"&amp;RIGHT("00"&amp;$C1927,2)&amp;"/"&amp;RIGHT("00"&amp;$D1927,2)))</f>
        <v/>
      </c>
      <c r="F1927">
        <f>IF(OR($E1927="",$E1927="نامعتبر"),"",LEFT($E1927,4)&amp;"/"&amp;MID($E1927,6,2))</f>
        <v/>
      </c>
      <c r="G1927">
        <f>IF(OR($E1927="",$E1927="نامعتبر",Sync!$Y1924=""),"",Sync!$Y1924)</f>
        <v/>
      </c>
      <c r="H1927">
        <f>IF($G1927="","",IF(Sync!$X1924="","",Sync!$X1924))</f>
        <v/>
      </c>
      <c r="I1927">
        <f>IF($G1927="","",IFERROR(VLOOKUP(Sync!$X1924,OpTbl,3,0),""))</f>
        <v/>
      </c>
      <c r="J1927">
        <f>IF(OR($G1927="",Sync!$Z1924=""),"",Sync!$Z1924)</f>
        <v/>
      </c>
      <c r="K1927">
        <f>IF(OR($G1927="",Sync!$AA1924=""),"",Sync!$AA1924)</f>
        <v/>
      </c>
      <c r="L1927">
        <f>IF($G1927="",0,IF(Sync!$AB1924="",0,Sync!$AB1924))</f>
        <v/>
      </c>
      <c r="M1927">
        <f>IF($G1927="",0,IF(Sync!$AC1924="",0,Sync!$AC1924))</f>
        <v/>
      </c>
      <c r="N1927">
        <f>IF($G1927="","",IF($H1927="مرجوعی خرید",-1,1)*($L1927-$M1927*IFERROR(VLOOKUP("P01",ParamTbl,3,0),1.5))*(1-IF($I1927="خرید",IFERROR(VLOOKUP("P02",ParamTbl,3,0),1),0)/100))</f>
        <v/>
      </c>
      <c r="O1927">
        <f>IF($G1927="",0,IF($H1927="مرجوعی خرید",-1,1)*IF(Sync!$AD1924="",0,Sync!$AD1924))</f>
        <v/>
      </c>
      <c r="P1927">
        <f>IF(OR($G1927="",Sync!$W1924=""),"",Sync!$W1924)</f>
        <v/>
      </c>
      <c r="Q1927">
        <f>IF(OR($G1927="",Sync!$AE1924=""),"",Sync!$AE1924)</f>
        <v/>
      </c>
      <c r="R1927">
        <f>IF($G1927="","",IF(Sync!$V1924="","0000",IF(AND(ISNUMBER(Sync!$V1924),Sync!$V1924&gt;=0,Sync!$V1924&lt;1),RIGHT("00"&amp;HOUR(Sync!$V1924),2)&amp;RIGHT("00"&amp;MINUTE(Sync!$V1924),2),IFERROR(RIGHT("00"&amp;VALUE(LEFT(Sync!$V1924,FIND(":",Sync!$V1924)-1)),2)&amp;RIGHT("00"&amp;VALUE(MID(Sync!$V1924,FIND(":",Sync!$V1924)+1,2)),2),"0000"))))</f>
        <v/>
      </c>
    </row>
    <row r="1928">
      <c r="A1928">
        <f>IF(Sync!$U1925="","",Sync!$U1925)</f>
        <v/>
      </c>
      <c r="B1928">
        <f>IF($A1928="","",IF(ISNUMBER($A1928),IF(AND($A1928&gt;=10000101,$A1928&lt;=99991231),INT($A1928/10000),""),IFERROR(VALUE(TRIM(LEFT($A1928,FIND("/",$A1928)-1))),"")))</f>
        <v/>
      </c>
      <c r="C1928">
        <f>IF(OR($A1928="",$B1928=""),"",IF(ISNUMBER($A1928),INT(MOD($A1928,10000)/100),IFERROR(VALUE(TRIM(LEFT(MID($A1928,FIND("/",$A1928)+1,20),FIND("/",MID($A1928,FIND("/",$A1928)+1,20))-1))),"")))</f>
        <v/>
      </c>
      <c r="D1928">
        <f>IF(OR($A1928="",$B1928=""),"",IF(ISNUMBER($A1928),MOD($A1928,100),IFERROR(VALUE(TRIM(MID(MID($A1928,FIND("/",$A1928)+1,20),FIND("/",MID($A1928,FIND("/",$A1928)+1,20))+1,20))),"")))</f>
        <v/>
      </c>
      <c r="E1928">
        <f>IF($A1928="","",IF(OR($B1928="",$C1928="",$D1928="",$B1928&lt;1300,$B1928&gt;1500,$C1928&lt;1,$C1928&gt;12,$D1928&lt;1,$D1928&gt;31),"نامعتبر",RIGHT("0000"&amp;$B1928,4)&amp;"/"&amp;RIGHT("00"&amp;$C1928,2)&amp;"/"&amp;RIGHT("00"&amp;$D1928,2)))</f>
        <v/>
      </c>
      <c r="F1928">
        <f>IF(OR($E1928="",$E1928="نامعتبر"),"",LEFT($E1928,4)&amp;"/"&amp;MID($E1928,6,2))</f>
        <v/>
      </c>
      <c r="G1928">
        <f>IF(OR($E1928="",$E1928="نامعتبر",Sync!$Y1925=""),"",Sync!$Y1925)</f>
        <v/>
      </c>
      <c r="H1928">
        <f>IF($G1928="","",IF(Sync!$X1925="","",Sync!$X1925))</f>
        <v/>
      </c>
      <c r="I1928">
        <f>IF($G1928="","",IFERROR(VLOOKUP(Sync!$X1925,OpTbl,3,0),""))</f>
        <v/>
      </c>
      <c r="J1928">
        <f>IF(OR($G1928="",Sync!$Z1925=""),"",Sync!$Z1925)</f>
        <v/>
      </c>
      <c r="K1928">
        <f>IF(OR($G1928="",Sync!$AA1925=""),"",Sync!$AA1925)</f>
        <v/>
      </c>
      <c r="L1928">
        <f>IF($G1928="",0,IF(Sync!$AB1925="",0,Sync!$AB1925))</f>
        <v/>
      </c>
      <c r="M1928">
        <f>IF($G1928="",0,IF(Sync!$AC1925="",0,Sync!$AC1925))</f>
        <v/>
      </c>
      <c r="N1928">
        <f>IF($G1928="","",IF($H1928="مرجوعی خرید",-1,1)*($L1928-$M1928*IFERROR(VLOOKUP("P01",ParamTbl,3,0),1.5))*(1-IF($I1928="خرید",IFERROR(VLOOKUP("P02",ParamTbl,3,0),1),0)/100))</f>
        <v/>
      </c>
      <c r="O1928">
        <f>IF($G1928="",0,IF($H1928="مرجوعی خرید",-1,1)*IF(Sync!$AD1925="",0,Sync!$AD1925))</f>
        <v/>
      </c>
      <c r="P1928">
        <f>IF(OR($G1928="",Sync!$W1925=""),"",Sync!$W1925)</f>
        <v/>
      </c>
      <c r="Q1928">
        <f>IF(OR($G1928="",Sync!$AE1925=""),"",Sync!$AE1925)</f>
        <v/>
      </c>
      <c r="R1928">
        <f>IF($G1928="","",IF(Sync!$V1925="","0000",IF(AND(ISNUMBER(Sync!$V1925),Sync!$V1925&gt;=0,Sync!$V1925&lt;1),RIGHT("00"&amp;HOUR(Sync!$V1925),2)&amp;RIGHT("00"&amp;MINUTE(Sync!$V1925),2),IFERROR(RIGHT("00"&amp;VALUE(LEFT(Sync!$V1925,FIND(":",Sync!$V1925)-1)),2)&amp;RIGHT("00"&amp;VALUE(MID(Sync!$V1925,FIND(":",Sync!$V1925)+1,2)),2),"0000"))))</f>
        <v/>
      </c>
    </row>
    <row r="1929">
      <c r="A1929">
        <f>IF(Sync!$U1926="","",Sync!$U1926)</f>
        <v/>
      </c>
      <c r="B1929">
        <f>IF($A1929="","",IF(ISNUMBER($A1929),IF(AND($A1929&gt;=10000101,$A1929&lt;=99991231),INT($A1929/10000),""),IFERROR(VALUE(TRIM(LEFT($A1929,FIND("/",$A1929)-1))),"")))</f>
        <v/>
      </c>
      <c r="C1929">
        <f>IF(OR($A1929="",$B1929=""),"",IF(ISNUMBER($A1929),INT(MOD($A1929,10000)/100),IFERROR(VALUE(TRIM(LEFT(MID($A1929,FIND("/",$A1929)+1,20),FIND("/",MID($A1929,FIND("/",$A1929)+1,20))-1))),"")))</f>
        <v/>
      </c>
      <c r="D1929">
        <f>IF(OR($A1929="",$B1929=""),"",IF(ISNUMBER($A1929),MOD($A1929,100),IFERROR(VALUE(TRIM(MID(MID($A1929,FIND("/",$A1929)+1,20),FIND("/",MID($A1929,FIND("/",$A1929)+1,20))+1,20))),"")))</f>
        <v/>
      </c>
      <c r="E1929">
        <f>IF($A1929="","",IF(OR($B1929="",$C1929="",$D1929="",$B1929&lt;1300,$B1929&gt;1500,$C1929&lt;1,$C1929&gt;12,$D1929&lt;1,$D1929&gt;31),"نامعتبر",RIGHT("0000"&amp;$B1929,4)&amp;"/"&amp;RIGHT("00"&amp;$C1929,2)&amp;"/"&amp;RIGHT("00"&amp;$D1929,2)))</f>
        <v/>
      </c>
      <c r="F1929">
        <f>IF(OR($E1929="",$E1929="نامعتبر"),"",LEFT($E1929,4)&amp;"/"&amp;MID($E1929,6,2))</f>
        <v/>
      </c>
      <c r="G1929">
        <f>IF(OR($E1929="",$E1929="نامعتبر",Sync!$Y1926=""),"",Sync!$Y1926)</f>
        <v/>
      </c>
      <c r="H1929">
        <f>IF($G1929="","",IF(Sync!$X1926="","",Sync!$X1926))</f>
        <v/>
      </c>
      <c r="I1929">
        <f>IF($G1929="","",IFERROR(VLOOKUP(Sync!$X1926,OpTbl,3,0),""))</f>
        <v/>
      </c>
      <c r="J1929">
        <f>IF(OR($G1929="",Sync!$Z1926=""),"",Sync!$Z1926)</f>
        <v/>
      </c>
      <c r="K1929">
        <f>IF(OR($G1929="",Sync!$AA1926=""),"",Sync!$AA1926)</f>
        <v/>
      </c>
      <c r="L1929">
        <f>IF($G1929="",0,IF(Sync!$AB1926="",0,Sync!$AB1926))</f>
        <v/>
      </c>
      <c r="M1929">
        <f>IF($G1929="",0,IF(Sync!$AC1926="",0,Sync!$AC1926))</f>
        <v/>
      </c>
      <c r="N1929">
        <f>IF($G1929="","",IF($H1929="مرجوعی خرید",-1,1)*($L1929-$M1929*IFERROR(VLOOKUP("P01",ParamTbl,3,0),1.5))*(1-IF($I1929="خرید",IFERROR(VLOOKUP("P02",ParamTbl,3,0),1),0)/100))</f>
        <v/>
      </c>
      <c r="O1929">
        <f>IF($G1929="",0,IF($H1929="مرجوعی خرید",-1,1)*IF(Sync!$AD1926="",0,Sync!$AD1926))</f>
        <v/>
      </c>
      <c r="P1929">
        <f>IF(OR($G1929="",Sync!$W1926=""),"",Sync!$W1926)</f>
        <v/>
      </c>
      <c r="Q1929">
        <f>IF(OR($G1929="",Sync!$AE1926=""),"",Sync!$AE1926)</f>
        <v/>
      </c>
      <c r="R1929">
        <f>IF($G1929="","",IF(Sync!$V1926="","0000",IF(AND(ISNUMBER(Sync!$V1926),Sync!$V1926&gt;=0,Sync!$V1926&lt;1),RIGHT("00"&amp;HOUR(Sync!$V1926),2)&amp;RIGHT("00"&amp;MINUTE(Sync!$V1926),2),IFERROR(RIGHT("00"&amp;VALUE(LEFT(Sync!$V1926,FIND(":",Sync!$V1926)-1)),2)&amp;RIGHT("00"&amp;VALUE(MID(Sync!$V1926,FIND(":",Sync!$V1926)+1,2)),2),"0000"))))</f>
        <v/>
      </c>
    </row>
    <row r="1930">
      <c r="A1930">
        <f>IF(Sync!$U1927="","",Sync!$U1927)</f>
        <v/>
      </c>
      <c r="B1930">
        <f>IF($A1930="","",IF(ISNUMBER($A1930),IF(AND($A1930&gt;=10000101,$A1930&lt;=99991231),INT($A1930/10000),""),IFERROR(VALUE(TRIM(LEFT($A1930,FIND("/",$A1930)-1))),"")))</f>
        <v/>
      </c>
      <c r="C1930">
        <f>IF(OR($A1930="",$B1930=""),"",IF(ISNUMBER($A1930),INT(MOD($A1930,10000)/100),IFERROR(VALUE(TRIM(LEFT(MID($A1930,FIND("/",$A1930)+1,20),FIND("/",MID($A1930,FIND("/",$A1930)+1,20))-1))),"")))</f>
        <v/>
      </c>
      <c r="D1930">
        <f>IF(OR($A1930="",$B1930=""),"",IF(ISNUMBER($A1930),MOD($A1930,100),IFERROR(VALUE(TRIM(MID(MID($A1930,FIND("/",$A1930)+1,20),FIND("/",MID($A1930,FIND("/",$A1930)+1,20))+1,20))),"")))</f>
        <v/>
      </c>
      <c r="E1930">
        <f>IF($A1930="","",IF(OR($B1930="",$C1930="",$D1930="",$B1930&lt;1300,$B1930&gt;1500,$C1930&lt;1,$C1930&gt;12,$D1930&lt;1,$D1930&gt;31),"نامعتبر",RIGHT("0000"&amp;$B1930,4)&amp;"/"&amp;RIGHT("00"&amp;$C1930,2)&amp;"/"&amp;RIGHT("00"&amp;$D1930,2)))</f>
        <v/>
      </c>
      <c r="F1930">
        <f>IF(OR($E1930="",$E1930="نامعتبر"),"",LEFT($E1930,4)&amp;"/"&amp;MID($E1930,6,2))</f>
        <v/>
      </c>
      <c r="G1930">
        <f>IF(OR($E1930="",$E1930="نامعتبر",Sync!$Y1927=""),"",Sync!$Y1927)</f>
        <v/>
      </c>
      <c r="H1930">
        <f>IF($G1930="","",IF(Sync!$X1927="","",Sync!$X1927))</f>
        <v/>
      </c>
      <c r="I1930">
        <f>IF($G1930="","",IFERROR(VLOOKUP(Sync!$X1927,OpTbl,3,0),""))</f>
        <v/>
      </c>
      <c r="J1930">
        <f>IF(OR($G1930="",Sync!$Z1927=""),"",Sync!$Z1927)</f>
        <v/>
      </c>
      <c r="K1930">
        <f>IF(OR($G1930="",Sync!$AA1927=""),"",Sync!$AA1927)</f>
        <v/>
      </c>
      <c r="L1930">
        <f>IF($G1930="",0,IF(Sync!$AB1927="",0,Sync!$AB1927))</f>
        <v/>
      </c>
      <c r="M1930">
        <f>IF($G1930="",0,IF(Sync!$AC1927="",0,Sync!$AC1927))</f>
        <v/>
      </c>
      <c r="N1930">
        <f>IF($G1930="","",IF($H1930="مرجوعی خرید",-1,1)*($L1930-$M1930*IFERROR(VLOOKUP("P01",ParamTbl,3,0),1.5))*(1-IF($I1930="خرید",IFERROR(VLOOKUP("P02",ParamTbl,3,0),1),0)/100))</f>
        <v/>
      </c>
      <c r="O1930">
        <f>IF($G1930="",0,IF($H1930="مرجوعی خرید",-1,1)*IF(Sync!$AD1927="",0,Sync!$AD1927))</f>
        <v/>
      </c>
      <c r="P1930">
        <f>IF(OR($G1930="",Sync!$W1927=""),"",Sync!$W1927)</f>
        <v/>
      </c>
      <c r="Q1930">
        <f>IF(OR($G1930="",Sync!$AE1927=""),"",Sync!$AE1927)</f>
        <v/>
      </c>
      <c r="R1930">
        <f>IF($G1930="","",IF(Sync!$V1927="","0000",IF(AND(ISNUMBER(Sync!$V1927),Sync!$V1927&gt;=0,Sync!$V1927&lt;1),RIGHT("00"&amp;HOUR(Sync!$V1927),2)&amp;RIGHT("00"&amp;MINUTE(Sync!$V1927),2),IFERROR(RIGHT("00"&amp;VALUE(LEFT(Sync!$V1927,FIND(":",Sync!$V1927)-1)),2)&amp;RIGHT("00"&amp;VALUE(MID(Sync!$V1927,FIND(":",Sync!$V1927)+1,2)),2),"0000"))))</f>
        <v/>
      </c>
    </row>
    <row r="1931">
      <c r="A1931">
        <f>IF(Sync!$U1928="","",Sync!$U1928)</f>
        <v/>
      </c>
      <c r="B1931">
        <f>IF($A1931="","",IF(ISNUMBER($A1931),IF(AND($A1931&gt;=10000101,$A1931&lt;=99991231),INT($A1931/10000),""),IFERROR(VALUE(TRIM(LEFT($A1931,FIND("/",$A1931)-1))),"")))</f>
        <v/>
      </c>
      <c r="C1931">
        <f>IF(OR($A1931="",$B1931=""),"",IF(ISNUMBER($A1931),INT(MOD($A1931,10000)/100),IFERROR(VALUE(TRIM(LEFT(MID($A1931,FIND("/",$A1931)+1,20),FIND("/",MID($A1931,FIND("/",$A1931)+1,20))-1))),"")))</f>
        <v/>
      </c>
      <c r="D1931">
        <f>IF(OR($A1931="",$B1931=""),"",IF(ISNUMBER($A1931),MOD($A1931,100),IFERROR(VALUE(TRIM(MID(MID($A1931,FIND("/",$A1931)+1,20),FIND("/",MID($A1931,FIND("/",$A1931)+1,20))+1,20))),"")))</f>
        <v/>
      </c>
      <c r="E1931">
        <f>IF($A1931="","",IF(OR($B1931="",$C1931="",$D1931="",$B1931&lt;1300,$B1931&gt;1500,$C1931&lt;1,$C1931&gt;12,$D1931&lt;1,$D1931&gt;31),"نامعتبر",RIGHT("0000"&amp;$B1931,4)&amp;"/"&amp;RIGHT("00"&amp;$C1931,2)&amp;"/"&amp;RIGHT("00"&amp;$D1931,2)))</f>
        <v/>
      </c>
      <c r="F1931">
        <f>IF(OR($E1931="",$E1931="نامعتبر"),"",LEFT($E1931,4)&amp;"/"&amp;MID($E1931,6,2))</f>
        <v/>
      </c>
      <c r="G1931">
        <f>IF(OR($E1931="",$E1931="نامعتبر",Sync!$Y1928=""),"",Sync!$Y1928)</f>
        <v/>
      </c>
      <c r="H1931">
        <f>IF($G1931="","",IF(Sync!$X1928="","",Sync!$X1928))</f>
        <v/>
      </c>
      <c r="I1931">
        <f>IF($G1931="","",IFERROR(VLOOKUP(Sync!$X1928,OpTbl,3,0),""))</f>
        <v/>
      </c>
      <c r="J1931">
        <f>IF(OR($G1931="",Sync!$Z1928=""),"",Sync!$Z1928)</f>
        <v/>
      </c>
      <c r="K1931">
        <f>IF(OR($G1931="",Sync!$AA1928=""),"",Sync!$AA1928)</f>
        <v/>
      </c>
      <c r="L1931">
        <f>IF($G1931="",0,IF(Sync!$AB1928="",0,Sync!$AB1928))</f>
        <v/>
      </c>
      <c r="M1931">
        <f>IF($G1931="",0,IF(Sync!$AC1928="",0,Sync!$AC1928))</f>
        <v/>
      </c>
      <c r="N1931">
        <f>IF($G1931="","",IF($H1931="مرجوعی خرید",-1,1)*($L1931-$M1931*IFERROR(VLOOKUP("P01",ParamTbl,3,0),1.5))*(1-IF($I1931="خرید",IFERROR(VLOOKUP("P02",ParamTbl,3,0),1),0)/100))</f>
        <v/>
      </c>
      <c r="O1931">
        <f>IF($G1931="",0,IF($H1931="مرجوعی خرید",-1,1)*IF(Sync!$AD1928="",0,Sync!$AD1928))</f>
        <v/>
      </c>
      <c r="P1931">
        <f>IF(OR($G1931="",Sync!$W1928=""),"",Sync!$W1928)</f>
        <v/>
      </c>
      <c r="Q1931">
        <f>IF(OR($G1931="",Sync!$AE1928=""),"",Sync!$AE1928)</f>
        <v/>
      </c>
      <c r="R1931">
        <f>IF($G1931="","",IF(Sync!$V1928="","0000",IF(AND(ISNUMBER(Sync!$V1928),Sync!$V1928&gt;=0,Sync!$V1928&lt;1),RIGHT("00"&amp;HOUR(Sync!$V1928),2)&amp;RIGHT("00"&amp;MINUTE(Sync!$V1928),2),IFERROR(RIGHT("00"&amp;VALUE(LEFT(Sync!$V1928,FIND(":",Sync!$V1928)-1)),2)&amp;RIGHT("00"&amp;VALUE(MID(Sync!$V1928,FIND(":",Sync!$V1928)+1,2)),2),"0000"))))</f>
        <v/>
      </c>
    </row>
    <row r="1932">
      <c r="A1932">
        <f>IF(Sync!$U1929="","",Sync!$U1929)</f>
        <v/>
      </c>
      <c r="B1932">
        <f>IF($A1932="","",IF(ISNUMBER($A1932),IF(AND($A1932&gt;=10000101,$A1932&lt;=99991231),INT($A1932/10000),""),IFERROR(VALUE(TRIM(LEFT($A1932,FIND("/",$A1932)-1))),"")))</f>
        <v/>
      </c>
      <c r="C1932">
        <f>IF(OR($A1932="",$B1932=""),"",IF(ISNUMBER($A1932),INT(MOD($A1932,10000)/100),IFERROR(VALUE(TRIM(LEFT(MID($A1932,FIND("/",$A1932)+1,20),FIND("/",MID($A1932,FIND("/",$A1932)+1,20))-1))),"")))</f>
        <v/>
      </c>
      <c r="D1932">
        <f>IF(OR($A1932="",$B1932=""),"",IF(ISNUMBER($A1932),MOD($A1932,100),IFERROR(VALUE(TRIM(MID(MID($A1932,FIND("/",$A1932)+1,20),FIND("/",MID($A1932,FIND("/",$A1932)+1,20))+1,20))),"")))</f>
        <v/>
      </c>
      <c r="E1932">
        <f>IF($A1932="","",IF(OR($B1932="",$C1932="",$D1932="",$B1932&lt;1300,$B1932&gt;1500,$C1932&lt;1,$C1932&gt;12,$D1932&lt;1,$D1932&gt;31),"نامعتبر",RIGHT("0000"&amp;$B1932,4)&amp;"/"&amp;RIGHT("00"&amp;$C1932,2)&amp;"/"&amp;RIGHT("00"&amp;$D1932,2)))</f>
        <v/>
      </c>
      <c r="F1932">
        <f>IF(OR($E1932="",$E1932="نامعتبر"),"",LEFT($E1932,4)&amp;"/"&amp;MID($E1932,6,2))</f>
        <v/>
      </c>
      <c r="G1932">
        <f>IF(OR($E1932="",$E1932="نامعتبر",Sync!$Y1929=""),"",Sync!$Y1929)</f>
        <v/>
      </c>
      <c r="H1932">
        <f>IF($G1932="","",IF(Sync!$X1929="","",Sync!$X1929))</f>
        <v/>
      </c>
      <c r="I1932">
        <f>IF($G1932="","",IFERROR(VLOOKUP(Sync!$X1929,OpTbl,3,0),""))</f>
        <v/>
      </c>
      <c r="J1932">
        <f>IF(OR($G1932="",Sync!$Z1929=""),"",Sync!$Z1929)</f>
        <v/>
      </c>
      <c r="K1932">
        <f>IF(OR($G1932="",Sync!$AA1929=""),"",Sync!$AA1929)</f>
        <v/>
      </c>
      <c r="L1932">
        <f>IF($G1932="",0,IF(Sync!$AB1929="",0,Sync!$AB1929))</f>
        <v/>
      </c>
      <c r="M1932">
        <f>IF($G1932="",0,IF(Sync!$AC1929="",0,Sync!$AC1929))</f>
        <v/>
      </c>
      <c r="N1932">
        <f>IF($G1932="","",IF($H1932="مرجوعی خرید",-1,1)*($L1932-$M1932*IFERROR(VLOOKUP("P01",ParamTbl,3,0),1.5))*(1-IF($I1932="خرید",IFERROR(VLOOKUP("P02",ParamTbl,3,0),1),0)/100))</f>
        <v/>
      </c>
      <c r="O1932">
        <f>IF($G1932="",0,IF($H1932="مرجوعی خرید",-1,1)*IF(Sync!$AD1929="",0,Sync!$AD1929))</f>
        <v/>
      </c>
      <c r="P1932">
        <f>IF(OR($G1932="",Sync!$W1929=""),"",Sync!$W1929)</f>
        <v/>
      </c>
      <c r="Q1932">
        <f>IF(OR($G1932="",Sync!$AE1929=""),"",Sync!$AE1929)</f>
        <v/>
      </c>
      <c r="R1932">
        <f>IF($G1932="","",IF(Sync!$V1929="","0000",IF(AND(ISNUMBER(Sync!$V1929),Sync!$V1929&gt;=0,Sync!$V1929&lt;1),RIGHT("00"&amp;HOUR(Sync!$V1929),2)&amp;RIGHT("00"&amp;MINUTE(Sync!$V1929),2),IFERROR(RIGHT("00"&amp;VALUE(LEFT(Sync!$V1929,FIND(":",Sync!$V1929)-1)),2)&amp;RIGHT("00"&amp;VALUE(MID(Sync!$V1929,FIND(":",Sync!$V1929)+1,2)),2),"0000"))))</f>
        <v/>
      </c>
    </row>
    <row r="1933">
      <c r="A1933">
        <f>IF(Sync!$U1930="","",Sync!$U1930)</f>
        <v/>
      </c>
      <c r="B1933">
        <f>IF($A1933="","",IF(ISNUMBER($A1933),IF(AND($A1933&gt;=10000101,$A1933&lt;=99991231),INT($A1933/10000),""),IFERROR(VALUE(TRIM(LEFT($A1933,FIND("/",$A1933)-1))),"")))</f>
        <v/>
      </c>
      <c r="C1933">
        <f>IF(OR($A1933="",$B1933=""),"",IF(ISNUMBER($A1933),INT(MOD($A1933,10000)/100),IFERROR(VALUE(TRIM(LEFT(MID($A1933,FIND("/",$A1933)+1,20),FIND("/",MID($A1933,FIND("/",$A1933)+1,20))-1))),"")))</f>
        <v/>
      </c>
      <c r="D1933">
        <f>IF(OR($A1933="",$B1933=""),"",IF(ISNUMBER($A1933),MOD($A1933,100),IFERROR(VALUE(TRIM(MID(MID($A1933,FIND("/",$A1933)+1,20),FIND("/",MID($A1933,FIND("/",$A1933)+1,20))+1,20))),"")))</f>
        <v/>
      </c>
      <c r="E1933">
        <f>IF($A1933="","",IF(OR($B1933="",$C1933="",$D1933="",$B1933&lt;1300,$B1933&gt;1500,$C1933&lt;1,$C1933&gt;12,$D1933&lt;1,$D1933&gt;31),"نامعتبر",RIGHT("0000"&amp;$B1933,4)&amp;"/"&amp;RIGHT("00"&amp;$C1933,2)&amp;"/"&amp;RIGHT("00"&amp;$D1933,2)))</f>
        <v/>
      </c>
      <c r="F1933">
        <f>IF(OR($E1933="",$E1933="نامعتبر"),"",LEFT($E1933,4)&amp;"/"&amp;MID($E1933,6,2))</f>
        <v/>
      </c>
      <c r="G1933">
        <f>IF(OR($E1933="",$E1933="نامعتبر",Sync!$Y1930=""),"",Sync!$Y1930)</f>
        <v/>
      </c>
      <c r="H1933">
        <f>IF($G1933="","",IF(Sync!$X1930="","",Sync!$X1930))</f>
        <v/>
      </c>
      <c r="I1933">
        <f>IF($G1933="","",IFERROR(VLOOKUP(Sync!$X1930,OpTbl,3,0),""))</f>
        <v/>
      </c>
      <c r="J1933">
        <f>IF(OR($G1933="",Sync!$Z1930=""),"",Sync!$Z1930)</f>
        <v/>
      </c>
      <c r="K1933">
        <f>IF(OR($G1933="",Sync!$AA1930=""),"",Sync!$AA1930)</f>
        <v/>
      </c>
      <c r="L1933">
        <f>IF($G1933="",0,IF(Sync!$AB1930="",0,Sync!$AB1930))</f>
        <v/>
      </c>
      <c r="M1933">
        <f>IF($G1933="",0,IF(Sync!$AC1930="",0,Sync!$AC1930))</f>
        <v/>
      </c>
      <c r="N1933">
        <f>IF($G1933="","",IF($H1933="مرجوعی خرید",-1,1)*($L1933-$M1933*IFERROR(VLOOKUP("P01",ParamTbl,3,0),1.5))*(1-IF($I1933="خرید",IFERROR(VLOOKUP("P02",ParamTbl,3,0),1),0)/100))</f>
        <v/>
      </c>
      <c r="O1933">
        <f>IF($G1933="",0,IF($H1933="مرجوعی خرید",-1,1)*IF(Sync!$AD1930="",0,Sync!$AD1930))</f>
        <v/>
      </c>
      <c r="P1933">
        <f>IF(OR($G1933="",Sync!$W1930=""),"",Sync!$W1930)</f>
        <v/>
      </c>
      <c r="Q1933">
        <f>IF(OR($G1933="",Sync!$AE1930=""),"",Sync!$AE1930)</f>
        <v/>
      </c>
      <c r="R1933">
        <f>IF($G1933="","",IF(Sync!$V1930="","0000",IF(AND(ISNUMBER(Sync!$V1930),Sync!$V1930&gt;=0,Sync!$V1930&lt;1),RIGHT("00"&amp;HOUR(Sync!$V1930),2)&amp;RIGHT("00"&amp;MINUTE(Sync!$V1930),2),IFERROR(RIGHT("00"&amp;VALUE(LEFT(Sync!$V1930,FIND(":",Sync!$V1930)-1)),2)&amp;RIGHT("00"&amp;VALUE(MID(Sync!$V1930,FIND(":",Sync!$V1930)+1,2)),2),"0000"))))</f>
        <v/>
      </c>
    </row>
    <row r="1934">
      <c r="A1934">
        <f>IF(Sync!$U1931="","",Sync!$U1931)</f>
        <v/>
      </c>
      <c r="B1934">
        <f>IF($A1934="","",IF(ISNUMBER($A1934),IF(AND($A1934&gt;=10000101,$A1934&lt;=99991231),INT($A1934/10000),""),IFERROR(VALUE(TRIM(LEFT($A1934,FIND("/",$A1934)-1))),"")))</f>
        <v/>
      </c>
      <c r="C1934">
        <f>IF(OR($A1934="",$B1934=""),"",IF(ISNUMBER($A1934),INT(MOD($A1934,10000)/100),IFERROR(VALUE(TRIM(LEFT(MID($A1934,FIND("/",$A1934)+1,20),FIND("/",MID($A1934,FIND("/",$A1934)+1,20))-1))),"")))</f>
        <v/>
      </c>
      <c r="D1934">
        <f>IF(OR($A1934="",$B1934=""),"",IF(ISNUMBER($A1934),MOD($A1934,100),IFERROR(VALUE(TRIM(MID(MID($A1934,FIND("/",$A1934)+1,20),FIND("/",MID($A1934,FIND("/",$A1934)+1,20))+1,20))),"")))</f>
        <v/>
      </c>
      <c r="E1934">
        <f>IF($A1934="","",IF(OR($B1934="",$C1934="",$D1934="",$B1934&lt;1300,$B1934&gt;1500,$C1934&lt;1,$C1934&gt;12,$D1934&lt;1,$D1934&gt;31),"نامعتبر",RIGHT("0000"&amp;$B1934,4)&amp;"/"&amp;RIGHT("00"&amp;$C1934,2)&amp;"/"&amp;RIGHT("00"&amp;$D1934,2)))</f>
        <v/>
      </c>
      <c r="F1934">
        <f>IF(OR($E1934="",$E1934="نامعتبر"),"",LEFT($E1934,4)&amp;"/"&amp;MID($E1934,6,2))</f>
        <v/>
      </c>
      <c r="G1934">
        <f>IF(OR($E1934="",$E1934="نامعتبر",Sync!$Y1931=""),"",Sync!$Y1931)</f>
        <v/>
      </c>
      <c r="H1934">
        <f>IF($G1934="","",IF(Sync!$X1931="","",Sync!$X1931))</f>
        <v/>
      </c>
      <c r="I1934">
        <f>IF($G1934="","",IFERROR(VLOOKUP(Sync!$X1931,OpTbl,3,0),""))</f>
        <v/>
      </c>
      <c r="J1934">
        <f>IF(OR($G1934="",Sync!$Z1931=""),"",Sync!$Z1931)</f>
        <v/>
      </c>
      <c r="K1934">
        <f>IF(OR($G1934="",Sync!$AA1931=""),"",Sync!$AA1931)</f>
        <v/>
      </c>
      <c r="L1934">
        <f>IF($G1934="",0,IF(Sync!$AB1931="",0,Sync!$AB1931))</f>
        <v/>
      </c>
      <c r="M1934">
        <f>IF($G1934="",0,IF(Sync!$AC1931="",0,Sync!$AC1931))</f>
        <v/>
      </c>
      <c r="N1934">
        <f>IF($G1934="","",IF($H1934="مرجوعی خرید",-1,1)*($L1934-$M1934*IFERROR(VLOOKUP("P01",ParamTbl,3,0),1.5))*(1-IF($I1934="خرید",IFERROR(VLOOKUP("P02",ParamTbl,3,0),1),0)/100))</f>
        <v/>
      </c>
      <c r="O1934">
        <f>IF($G1934="",0,IF($H1934="مرجوعی خرید",-1,1)*IF(Sync!$AD1931="",0,Sync!$AD1931))</f>
        <v/>
      </c>
      <c r="P1934">
        <f>IF(OR($G1934="",Sync!$W1931=""),"",Sync!$W1931)</f>
        <v/>
      </c>
      <c r="Q1934">
        <f>IF(OR($G1934="",Sync!$AE1931=""),"",Sync!$AE1931)</f>
        <v/>
      </c>
      <c r="R1934">
        <f>IF($G1934="","",IF(Sync!$V1931="","0000",IF(AND(ISNUMBER(Sync!$V1931),Sync!$V1931&gt;=0,Sync!$V1931&lt;1),RIGHT("00"&amp;HOUR(Sync!$V1931),2)&amp;RIGHT("00"&amp;MINUTE(Sync!$V1931),2),IFERROR(RIGHT("00"&amp;VALUE(LEFT(Sync!$V1931,FIND(":",Sync!$V1931)-1)),2)&amp;RIGHT("00"&amp;VALUE(MID(Sync!$V1931,FIND(":",Sync!$V1931)+1,2)),2),"0000"))))</f>
        <v/>
      </c>
    </row>
    <row r="1935">
      <c r="A1935">
        <f>IF(Sync!$U1932="","",Sync!$U1932)</f>
        <v/>
      </c>
      <c r="B1935">
        <f>IF($A1935="","",IF(ISNUMBER($A1935),IF(AND($A1935&gt;=10000101,$A1935&lt;=99991231),INT($A1935/10000),""),IFERROR(VALUE(TRIM(LEFT($A1935,FIND("/",$A1935)-1))),"")))</f>
        <v/>
      </c>
      <c r="C1935">
        <f>IF(OR($A1935="",$B1935=""),"",IF(ISNUMBER($A1935),INT(MOD($A1935,10000)/100),IFERROR(VALUE(TRIM(LEFT(MID($A1935,FIND("/",$A1935)+1,20),FIND("/",MID($A1935,FIND("/",$A1935)+1,20))-1))),"")))</f>
        <v/>
      </c>
      <c r="D1935">
        <f>IF(OR($A1935="",$B1935=""),"",IF(ISNUMBER($A1935),MOD($A1935,100),IFERROR(VALUE(TRIM(MID(MID($A1935,FIND("/",$A1935)+1,20),FIND("/",MID($A1935,FIND("/",$A1935)+1,20))+1,20))),"")))</f>
        <v/>
      </c>
      <c r="E1935">
        <f>IF($A1935="","",IF(OR($B1935="",$C1935="",$D1935="",$B1935&lt;1300,$B1935&gt;1500,$C1935&lt;1,$C1935&gt;12,$D1935&lt;1,$D1935&gt;31),"نامعتبر",RIGHT("0000"&amp;$B1935,4)&amp;"/"&amp;RIGHT("00"&amp;$C1935,2)&amp;"/"&amp;RIGHT("00"&amp;$D1935,2)))</f>
        <v/>
      </c>
      <c r="F1935">
        <f>IF(OR($E1935="",$E1935="نامعتبر"),"",LEFT($E1935,4)&amp;"/"&amp;MID($E1935,6,2))</f>
        <v/>
      </c>
      <c r="G1935">
        <f>IF(OR($E1935="",$E1935="نامعتبر",Sync!$Y1932=""),"",Sync!$Y1932)</f>
        <v/>
      </c>
      <c r="H1935">
        <f>IF($G1935="","",IF(Sync!$X1932="","",Sync!$X1932))</f>
        <v/>
      </c>
      <c r="I1935">
        <f>IF($G1935="","",IFERROR(VLOOKUP(Sync!$X1932,OpTbl,3,0),""))</f>
        <v/>
      </c>
      <c r="J1935">
        <f>IF(OR($G1935="",Sync!$Z1932=""),"",Sync!$Z1932)</f>
        <v/>
      </c>
      <c r="K1935">
        <f>IF(OR($G1935="",Sync!$AA1932=""),"",Sync!$AA1932)</f>
        <v/>
      </c>
      <c r="L1935">
        <f>IF($G1935="",0,IF(Sync!$AB1932="",0,Sync!$AB1932))</f>
        <v/>
      </c>
      <c r="M1935">
        <f>IF($G1935="",0,IF(Sync!$AC1932="",0,Sync!$AC1932))</f>
        <v/>
      </c>
      <c r="N1935">
        <f>IF($G1935="","",IF($H1935="مرجوعی خرید",-1,1)*($L1935-$M1935*IFERROR(VLOOKUP("P01",ParamTbl,3,0),1.5))*(1-IF($I1935="خرید",IFERROR(VLOOKUP("P02",ParamTbl,3,0),1),0)/100))</f>
        <v/>
      </c>
      <c r="O1935">
        <f>IF($G1935="",0,IF($H1935="مرجوعی خرید",-1,1)*IF(Sync!$AD1932="",0,Sync!$AD1932))</f>
        <v/>
      </c>
      <c r="P1935">
        <f>IF(OR($G1935="",Sync!$W1932=""),"",Sync!$W1932)</f>
        <v/>
      </c>
      <c r="Q1935">
        <f>IF(OR($G1935="",Sync!$AE1932=""),"",Sync!$AE1932)</f>
        <v/>
      </c>
      <c r="R1935">
        <f>IF($G1935="","",IF(Sync!$V1932="","0000",IF(AND(ISNUMBER(Sync!$V1932),Sync!$V1932&gt;=0,Sync!$V1932&lt;1),RIGHT("00"&amp;HOUR(Sync!$V1932),2)&amp;RIGHT("00"&amp;MINUTE(Sync!$V1932),2),IFERROR(RIGHT("00"&amp;VALUE(LEFT(Sync!$V1932,FIND(":",Sync!$V1932)-1)),2)&amp;RIGHT("00"&amp;VALUE(MID(Sync!$V1932,FIND(":",Sync!$V1932)+1,2)),2),"0000"))))</f>
        <v/>
      </c>
    </row>
    <row r="1936">
      <c r="A1936">
        <f>IF(Sync!$U1933="","",Sync!$U1933)</f>
        <v/>
      </c>
      <c r="B1936">
        <f>IF($A1936="","",IF(ISNUMBER($A1936),IF(AND($A1936&gt;=10000101,$A1936&lt;=99991231),INT($A1936/10000),""),IFERROR(VALUE(TRIM(LEFT($A1936,FIND("/",$A1936)-1))),"")))</f>
        <v/>
      </c>
      <c r="C1936">
        <f>IF(OR($A1936="",$B1936=""),"",IF(ISNUMBER($A1936),INT(MOD($A1936,10000)/100),IFERROR(VALUE(TRIM(LEFT(MID($A1936,FIND("/",$A1936)+1,20),FIND("/",MID($A1936,FIND("/",$A1936)+1,20))-1))),"")))</f>
        <v/>
      </c>
      <c r="D1936">
        <f>IF(OR($A1936="",$B1936=""),"",IF(ISNUMBER($A1936),MOD($A1936,100),IFERROR(VALUE(TRIM(MID(MID($A1936,FIND("/",$A1936)+1,20),FIND("/",MID($A1936,FIND("/",$A1936)+1,20))+1,20))),"")))</f>
        <v/>
      </c>
      <c r="E1936">
        <f>IF($A1936="","",IF(OR($B1936="",$C1936="",$D1936="",$B1936&lt;1300,$B1936&gt;1500,$C1936&lt;1,$C1936&gt;12,$D1936&lt;1,$D1936&gt;31),"نامعتبر",RIGHT("0000"&amp;$B1936,4)&amp;"/"&amp;RIGHT("00"&amp;$C1936,2)&amp;"/"&amp;RIGHT("00"&amp;$D1936,2)))</f>
        <v/>
      </c>
      <c r="F1936">
        <f>IF(OR($E1936="",$E1936="نامعتبر"),"",LEFT($E1936,4)&amp;"/"&amp;MID($E1936,6,2))</f>
        <v/>
      </c>
      <c r="G1936">
        <f>IF(OR($E1936="",$E1936="نامعتبر",Sync!$Y1933=""),"",Sync!$Y1933)</f>
        <v/>
      </c>
      <c r="H1936">
        <f>IF($G1936="","",IF(Sync!$X1933="","",Sync!$X1933))</f>
        <v/>
      </c>
      <c r="I1936">
        <f>IF($G1936="","",IFERROR(VLOOKUP(Sync!$X1933,OpTbl,3,0),""))</f>
        <v/>
      </c>
      <c r="J1936">
        <f>IF(OR($G1936="",Sync!$Z1933=""),"",Sync!$Z1933)</f>
        <v/>
      </c>
      <c r="K1936">
        <f>IF(OR($G1936="",Sync!$AA1933=""),"",Sync!$AA1933)</f>
        <v/>
      </c>
      <c r="L1936">
        <f>IF($G1936="",0,IF(Sync!$AB1933="",0,Sync!$AB1933))</f>
        <v/>
      </c>
      <c r="M1936">
        <f>IF($G1936="",0,IF(Sync!$AC1933="",0,Sync!$AC1933))</f>
        <v/>
      </c>
      <c r="N1936">
        <f>IF($G1936="","",IF($H1936="مرجوعی خرید",-1,1)*($L1936-$M1936*IFERROR(VLOOKUP("P01",ParamTbl,3,0),1.5))*(1-IF($I1936="خرید",IFERROR(VLOOKUP("P02",ParamTbl,3,0),1),0)/100))</f>
        <v/>
      </c>
      <c r="O1936">
        <f>IF($G1936="",0,IF($H1936="مرجوعی خرید",-1,1)*IF(Sync!$AD1933="",0,Sync!$AD1933))</f>
        <v/>
      </c>
      <c r="P1936">
        <f>IF(OR($G1936="",Sync!$W1933=""),"",Sync!$W1933)</f>
        <v/>
      </c>
      <c r="Q1936">
        <f>IF(OR($G1936="",Sync!$AE1933=""),"",Sync!$AE1933)</f>
        <v/>
      </c>
      <c r="R1936">
        <f>IF($G1936="","",IF(Sync!$V1933="","0000",IF(AND(ISNUMBER(Sync!$V1933),Sync!$V1933&gt;=0,Sync!$V1933&lt;1),RIGHT("00"&amp;HOUR(Sync!$V1933),2)&amp;RIGHT("00"&amp;MINUTE(Sync!$V1933),2),IFERROR(RIGHT("00"&amp;VALUE(LEFT(Sync!$V1933,FIND(":",Sync!$V1933)-1)),2)&amp;RIGHT("00"&amp;VALUE(MID(Sync!$V1933,FIND(":",Sync!$V1933)+1,2)),2),"0000"))))</f>
        <v/>
      </c>
    </row>
    <row r="1937">
      <c r="A1937">
        <f>IF(Sync!$U1934="","",Sync!$U1934)</f>
        <v/>
      </c>
      <c r="B1937">
        <f>IF($A1937="","",IF(ISNUMBER($A1937),IF(AND($A1937&gt;=10000101,$A1937&lt;=99991231),INT($A1937/10000),""),IFERROR(VALUE(TRIM(LEFT($A1937,FIND("/",$A1937)-1))),"")))</f>
        <v/>
      </c>
      <c r="C1937">
        <f>IF(OR($A1937="",$B1937=""),"",IF(ISNUMBER($A1937),INT(MOD($A1937,10000)/100),IFERROR(VALUE(TRIM(LEFT(MID($A1937,FIND("/",$A1937)+1,20),FIND("/",MID($A1937,FIND("/",$A1937)+1,20))-1))),"")))</f>
        <v/>
      </c>
      <c r="D1937">
        <f>IF(OR($A1937="",$B1937=""),"",IF(ISNUMBER($A1937),MOD($A1937,100),IFERROR(VALUE(TRIM(MID(MID($A1937,FIND("/",$A1937)+1,20),FIND("/",MID($A1937,FIND("/",$A1937)+1,20))+1,20))),"")))</f>
        <v/>
      </c>
      <c r="E1937">
        <f>IF($A1937="","",IF(OR($B1937="",$C1937="",$D1937="",$B1937&lt;1300,$B1937&gt;1500,$C1937&lt;1,$C1937&gt;12,$D1937&lt;1,$D1937&gt;31),"نامعتبر",RIGHT("0000"&amp;$B1937,4)&amp;"/"&amp;RIGHT("00"&amp;$C1937,2)&amp;"/"&amp;RIGHT("00"&amp;$D1937,2)))</f>
        <v/>
      </c>
      <c r="F1937">
        <f>IF(OR($E1937="",$E1937="نامعتبر"),"",LEFT($E1937,4)&amp;"/"&amp;MID($E1937,6,2))</f>
        <v/>
      </c>
      <c r="G1937">
        <f>IF(OR($E1937="",$E1937="نامعتبر",Sync!$Y1934=""),"",Sync!$Y1934)</f>
        <v/>
      </c>
      <c r="H1937">
        <f>IF($G1937="","",IF(Sync!$X1934="","",Sync!$X1934))</f>
        <v/>
      </c>
      <c r="I1937">
        <f>IF($G1937="","",IFERROR(VLOOKUP(Sync!$X1934,OpTbl,3,0),""))</f>
        <v/>
      </c>
      <c r="J1937">
        <f>IF(OR($G1937="",Sync!$Z1934=""),"",Sync!$Z1934)</f>
        <v/>
      </c>
      <c r="K1937">
        <f>IF(OR($G1937="",Sync!$AA1934=""),"",Sync!$AA1934)</f>
        <v/>
      </c>
      <c r="L1937">
        <f>IF($G1937="",0,IF(Sync!$AB1934="",0,Sync!$AB1934))</f>
        <v/>
      </c>
      <c r="M1937">
        <f>IF($G1937="",0,IF(Sync!$AC1934="",0,Sync!$AC1934))</f>
        <v/>
      </c>
      <c r="N1937">
        <f>IF($G1937="","",IF($H1937="مرجوعی خرید",-1,1)*($L1937-$M1937*IFERROR(VLOOKUP("P01",ParamTbl,3,0),1.5))*(1-IF($I1937="خرید",IFERROR(VLOOKUP("P02",ParamTbl,3,0),1),0)/100))</f>
        <v/>
      </c>
      <c r="O1937">
        <f>IF($G1937="",0,IF($H1937="مرجوعی خرید",-1,1)*IF(Sync!$AD1934="",0,Sync!$AD1934))</f>
        <v/>
      </c>
      <c r="P1937">
        <f>IF(OR($G1937="",Sync!$W1934=""),"",Sync!$W1934)</f>
        <v/>
      </c>
      <c r="Q1937">
        <f>IF(OR($G1937="",Sync!$AE1934=""),"",Sync!$AE1934)</f>
        <v/>
      </c>
      <c r="R1937">
        <f>IF($G1937="","",IF(Sync!$V1934="","0000",IF(AND(ISNUMBER(Sync!$V1934),Sync!$V1934&gt;=0,Sync!$V1934&lt;1),RIGHT("00"&amp;HOUR(Sync!$V1934),2)&amp;RIGHT("00"&amp;MINUTE(Sync!$V1934),2),IFERROR(RIGHT("00"&amp;VALUE(LEFT(Sync!$V1934,FIND(":",Sync!$V1934)-1)),2)&amp;RIGHT("00"&amp;VALUE(MID(Sync!$V1934,FIND(":",Sync!$V1934)+1,2)),2),"0000"))))</f>
        <v/>
      </c>
    </row>
    <row r="1938">
      <c r="A1938">
        <f>IF(Sync!$U1935="","",Sync!$U1935)</f>
        <v/>
      </c>
      <c r="B1938">
        <f>IF($A1938="","",IF(ISNUMBER($A1938),IF(AND($A1938&gt;=10000101,$A1938&lt;=99991231),INT($A1938/10000),""),IFERROR(VALUE(TRIM(LEFT($A1938,FIND("/",$A1938)-1))),"")))</f>
        <v/>
      </c>
      <c r="C1938">
        <f>IF(OR($A1938="",$B1938=""),"",IF(ISNUMBER($A1938),INT(MOD($A1938,10000)/100),IFERROR(VALUE(TRIM(LEFT(MID($A1938,FIND("/",$A1938)+1,20),FIND("/",MID($A1938,FIND("/",$A1938)+1,20))-1))),"")))</f>
        <v/>
      </c>
      <c r="D1938">
        <f>IF(OR($A1938="",$B1938=""),"",IF(ISNUMBER($A1938),MOD($A1938,100),IFERROR(VALUE(TRIM(MID(MID($A1938,FIND("/",$A1938)+1,20),FIND("/",MID($A1938,FIND("/",$A1938)+1,20))+1,20))),"")))</f>
        <v/>
      </c>
      <c r="E1938">
        <f>IF($A1938="","",IF(OR($B1938="",$C1938="",$D1938="",$B1938&lt;1300,$B1938&gt;1500,$C1938&lt;1,$C1938&gt;12,$D1938&lt;1,$D1938&gt;31),"نامعتبر",RIGHT("0000"&amp;$B1938,4)&amp;"/"&amp;RIGHT("00"&amp;$C1938,2)&amp;"/"&amp;RIGHT("00"&amp;$D1938,2)))</f>
        <v/>
      </c>
      <c r="F1938">
        <f>IF(OR($E1938="",$E1938="نامعتبر"),"",LEFT($E1938,4)&amp;"/"&amp;MID($E1938,6,2))</f>
        <v/>
      </c>
      <c r="G1938">
        <f>IF(OR($E1938="",$E1938="نامعتبر",Sync!$Y1935=""),"",Sync!$Y1935)</f>
        <v/>
      </c>
      <c r="H1938">
        <f>IF($G1938="","",IF(Sync!$X1935="","",Sync!$X1935))</f>
        <v/>
      </c>
      <c r="I1938">
        <f>IF($G1938="","",IFERROR(VLOOKUP(Sync!$X1935,OpTbl,3,0),""))</f>
        <v/>
      </c>
      <c r="J1938">
        <f>IF(OR($G1938="",Sync!$Z1935=""),"",Sync!$Z1935)</f>
        <v/>
      </c>
      <c r="K1938">
        <f>IF(OR($G1938="",Sync!$AA1935=""),"",Sync!$AA1935)</f>
        <v/>
      </c>
      <c r="L1938">
        <f>IF($G1938="",0,IF(Sync!$AB1935="",0,Sync!$AB1935))</f>
        <v/>
      </c>
      <c r="M1938">
        <f>IF($G1938="",0,IF(Sync!$AC1935="",0,Sync!$AC1935))</f>
        <v/>
      </c>
      <c r="N1938">
        <f>IF($G1938="","",IF($H1938="مرجوعی خرید",-1,1)*($L1938-$M1938*IFERROR(VLOOKUP("P01",ParamTbl,3,0),1.5))*(1-IF($I1938="خرید",IFERROR(VLOOKUP("P02",ParamTbl,3,0),1),0)/100))</f>
        <v/>
      </c>
      <c r="O1938">
        <f>IF($G1938="",0,IF($H1938="مرجوعی خرید",-1,1)*IF(Sync!$AD1935="",0,Sync!$AD1935))</f>
        <v/>
      </c>
      <c r="P1938">
        <f>IF(OR($G1938="",Sync!$W1935=""),"",Sync!$W1935)</f>
        <v/>
      </c>
      <c r="Q1938">
        <f>IF(OR($G1938="",Sync!$AE1935=""),"",Sync!$AE1935)</f>
        <v/>
      </c>
      <c r="R1938">
        <f>IF($G1938="","",IF(Sync!$V1935="","0000",IF(AND(ISNUMBER(Sync!$V1935),Sync!$V1935&gt;=0,Sync!$V1935&lt;1),RIGHT("00"&amp;HOUR(Sync!$V1935),2)&amp;RIGHT("00"&amp;MINUTE(Sync!$V1935),2),IFERROR(RIGHT("00"&amp;VALUE(LEFT(Sync!$V1935,FIND(":",Sync!$V1935)-1)),2)&amp;RIGHT("00"&amp;VALUE(MID(Sync!$V1935,FIND(":",Sync!$V1935)+1,2)),2),"0000"))))</f>
        <v/>
      </c>
    </row>
    <row r="1939">
      <c r="A1939">
        <f>IF(Sync!$U1936="","",Sync!$U1936)</f>
        <v/>
      </c>
      <c r="B1939">
        <f>IF($A1939="","",IF(ISNUMBER($A1939),IF(AND($A1939&gt;=10000101,$A1939&lt;=99991231),INT($A1939/10000),""),IFERROR(VALUE(TRIM(LEFT($A1939,FIND("/",$A1939)-1))),"")))</f>
        <v/>
      </c>
      <c r="C1939">
        <f>IF(OR($A1939="",$B1939=""),"",IF(ISNUMBER($A1939),INT(MOD($A1939,10000)/100),IFERROR(VALUE(TRIM(LEFT(MID($A1939,FIND("/",$A1939)+1,20),FIND("/",MID($A1939,FIND("/",$A1939)+1,20))-1))),"")))</f>
        <v/>
      </c>
      <c r="D1939">
        <f>IF(OR($A1939="",$B1939=""),"",IF(ISNUMBER($A1939),MOD($A1939,100),IFERROR(VALUE(TRIM(MID(MID($A1939,FIND("/",$A1939)+1,20),FIND("/",MID($A1939,FIND("/",$A1939)+1,20))+1,20))),"")))</f>
        <v/>
      </c>
      <c r="E1939">
        <f>IF($A1939="","",IF(OR($B1939="",$C1939="",$D1939="",$B1939&lt;1300,$B1939&gt;1500,$C1939&lt;1,$C1939&gt;12,$D1939&lt;1,$D1939&gt;31),"نامعتبر",RIGHT("0000"&amp;$B1939,4)&amp;"/"&amp;RIGHT("00"&amp;$C1939,2)&amp;"/"&amp;RIGHT("00"&amp;$D1939,2)))</f>
        <v/>
      </c>
      <c r="F1939">
        <f>IF(OR($E1939="",$E1939="نامعتبر"),"",LEFT($E1939,4)&amp;"/"&amp;MID($E1939,6,2))</f>
        <v/>
      </c>
      <c r="G1939">
        <f>IF(OR($E1939="",$E1939="نامعتبر",Sync!$Y1936=""),"",Sync!$Y1936)</f>
        <v/>
      </c>
      <c r="H1939">
        <f>IF($G1939="","",IF(Sync!$X1936="","",Sync!$X1936))</f>
        <v/>
      </c>
      <c r="I1939">
        <f>IF($G1939="","",IFERROR(VLOOKUP(Sync!$X1936,OpTbl,3,0),""))</f>
        <v/>
      </c>
      <c r="J1939">
        <f>IF(OR($G1939="",Sync!$Z1936=""),"",Sync!$Z1936)</f>
        <v/>
      </c>
      <c r="K1939">
        <f>IF(OR($G1939="",Sync!$AA1936=""),"",Sync!$AA1936)</f>
        <v/>
      </c>
      <c r="L1939">
        <f>IF($G1939="",0,IF(Sync!$AB1936="",0,Sync!$AB1936))</f>
        <v/>
      </c>
      <c r="M1939">
        <f>IF($G1939="",0,IF(Sync!$AC1936="",0,Sync!$AC1936))</f>
        <v/>
      </c>
      <c r="N1939">
        <f>IF($G1939="","",IF($H1939="مرجوعی خرید",-1,1)*($L1939-$M1939*IFERROR(VLOOKUP("P01",ParamTbl,3,0),1.5))*(1-IF($I1939="خرید",IFERROR(VLOOKUP("P02",ParamTbl,3,0),1),0)/100))</f>
        <v/>
      </c>
      <c r="O1939">
        <f>IF($G1939="",0,IF($H1939="مرجوعی خرید",-1,1)*IF(Sync!$AD1936="",0,Sync!$AD1936))</f>
        <v/>
      </c>
      <c r="P1939">
        <f>IF(OR($G1939="",Sync!$W1936=""),"",Sync!$W1936)</f>
        <v/>
      </c>
      <c r="Q1939">
        <f>IF(OR($G1939="",Sync!$AE1936=""),"",Sync!$AE1936)</f>
        <v/>
      </c>
      <c r="R1939">
        <f>IF($G1939="","",IF(Sync!$V1936="","0000",IF(AND(ISNUMBER(Sync!$V1936),Sync!$V1936&gt;=0,Sync!$V1936&lt;1),RIGHT("00"&amp;HOUR(Sync!$V1936),2)&amp;RIGHT("00"&amp;MINUTE(Sync!$V1936),2),IFERROR(RIGHT("00"&amp;VALUE(LEFT(Sync!$V1936,FIND(":",Sync!$V1936)-1)),2)&amp;RIGHT("00"&amp;VALUE(MID(Sync!$V1936,FIND(":",Sync!$V1936)+1,2)),2),"0000"))))</f>
        <v/>
      </c>
    </row>
    <row r="1940">
      <c r="A1940">
        <f>IF(Sync!$U1937="","",Sync!$U1937)</f>
        <v/>
      </c>
      <c r="B1940">
        <f>IF($A1940="","",IF(ISNUMBER($A1940),IF(AND($A1940&gt;=10000101,$A1940&lt;=99991231),INT($A1940/10000),""),IFERROR(VALUE(TRIM(LEFT($A1940,FIND("/",$A1940)-1))),"")))</f>
        <v/>
      </c>
      <c r="C1940">
        <f>IF(OR($A1940="",$B1940=""),"",IF(ISNUMBER($A1940),INT(MOD($A1940,10000)/100),IFERROR(VALUE(TRIM(LEFT(MID($A1940,FIND("/",$A1940)+1,20),FIND("/",MID($A1940,FIND("/",$A1940)+1,20))-1))),"")))</f>
        <v/>
      </c>
      <c r="D1940">
        <f>IF(OR($A1940="",$B1940=""),"",IF(ISNUMBER($A1940),MOD($A1940,100),IFERROR(VALUE(TRIM(MID(MID($A1940,FIND("/",$A1940)+1,20),FIND("/",MID($A1940,FIND("/",$A1940)+1,20))+1,20))),"")))</f>
        <v/>
      </c>
      <c r="E1940">
        <f>IF($A1940="","",IF(OR($B1940="",$C1940="",$D1940="",$B1940&lt;1300,$B1940&gt;1500,$C1940&lt;1,$C1940&gt;12,$D1940&lt;1,$D1940&gt;31),"نامعتبر",RIGHT("0000"&amp;$B1940,4)&amp;"/"&amp;RIGHT("00"&amp;$C1940,2)&amp;"/"&amp;RIGHT("00"&amp;$D1940,2)))</f>
        <v/>
      </c>
      <c r="F1940">
        <f>IF(OR($E1940="",$E1940="نامعتبر"),"",LEFT($E1940,4)&amp;"/"&amp;MID($E1940,6,2))</f>
        <v/>
      </c>
      <c r="G1940">
        <f>IF(OR($E1940="",$E1940="نامعتبر",Sync!$Y1937=""),"",Sync!$Y1937)</f>
        <v/>
      </c>
      <c r="H1940">
        <f>IF($G1940="","",IF(Sync!$X1937="","",Sync!$X1937))</f>
        <v/>
      </c>
      <c r="I1940">
        <f>IF($G1940="","",IFERROR(VLOOKUP(Sync!$X1937,OpTbl,3,0),""))</f>
        <v/>
      </c>
      <c r="J1940">
        <f>IF(OR($G1940="",Sync!$Z1937=""),"",Sync!$Z1937)</f>
        <v/>
      </c>
      <c r="K1940">
        <f>IF(OR($G1940="",Sync!$AA1937=""),"",Sync!$AA1937)</f>
        <v/>
      </c>
      <c r="L1940">
        <f>IF($G1940="",0,IF(Sync!$AB1937="",0,Sync!$AB1937))</f>
        <v/>
      </c>
      <c r="M1940">
        <f>IF($G1940="",0,IF(Sync!$AC1937="",0,Sync!$AC1937))</f>
        <v/>
      </c>
      <c r="N1940">
        <f>IF($G1940="","",IF($H1940="مرجوعی خرید",-1,1)*($L1940-$M1940*IFERROR(VLOOKUP("P01",ParamTbl,3,0),1.5))*(1-IF($I1940="خرید",IFERROR(VLOOKUP("P02",ParamTbl,3,0),1),0)/100))</f>
        <v/>
      </c>
      <c r="O1940">
        <f>IF($G1940="",0,IF($H1940="مرجوعی خرید",-1,1)*IF(Sync!$AD1937="",0,Sync!$AD1937))</f>
        <v/>
      </c>
      <c r="P1940">
        <f>IF(OR($G1940="",Sync!$W1937=""),"",Sync!$W1937)</f>
        <v/>
      </c>
      <c r="Q1940">
        <f>IF(OR($G1940="",Sync!$AE1937=""),"",Sync!$AE1937)</f>
        <v/>
      </c>
      <c r="R1940">
        <f>IF($G1940="","",IF(Sync!$V1937="","0000",IF(AND(ISNUMBER(Sync!$V1937),Sync!$V1937&gt;=0,Sync!$V1937&lt;1),RIGHT("00"&amp;HOUR(Sync!$V1937),2)&amp;RIGHT("00"&amp;MINUTE(Sync!$V1937),2),IFERROR(RIGHT("00"&amp;VALUE(LEFT(Sync!$V1937,FIND(":",Sync!$V1937)-1)),2)&amp;RIGHT("00"&amp;VALUE(MID(Sync!$V1937,FIND(":",Sync!$V1937)+1,2)),2),"0000"))))</f>
        <v/>
      </c>
    </row>
    <row r="1941">
      <c r="A1941">
        <f>IF(Sync!$U1938="","",Sync!$U1938)</f>
        <v/>
      </c>
      <c r="B1941">
        <f>IF($A1941="","",IF(ISNUMBER($A1941),IF(AND($A1941&gt;=10000101,$A1941&lt;=99991231),INT($A1941/10000),""),IFERROR(VALUE(TRIM(LEFT($A1941,FIND("/",$A1941)-1))),"")))</f>
        <v/>
      </c>
      <c r="C1941">
        <f>IF(OR($A1941="",$B1941=""),"",IF(ISNUMBER($A1941),INT(MOD($A1941,10000)/100),IFERROR(VALUE(TRIM(LEFT(MID($A1941,FIND("/",$A1941)+1,20),FIND("/",MID($A1941,FIND("/",$A1941)+1,20))-1))),"")))</f>
        <v/>
      </c>
      <c r="D1941">
        <f>IF(OR($A1941="",$B1941=""),"",IF(ISNUMBER($A1941),MOD($A1941,100),IFERROR(VALUE(TRIM(MID(MID($A1941,FIND("/",$A1941)+1,20),FIND("/",MID($A1941,FIND("/",$A1941)+1,20))+1,20))),"")))</f>
        <v/>
      </c>
      <c r="E1941">
        <f>IF($A1941="","",IF(OR($B1941="",$C1941="",$D1941="",$B1941&lt;1300,$B1941&gt;1500,$C1941&lt;1,$C1941&gt;12,$D1941&lt;1,$D1941&gt;31),"نامعتبر",RIGHT("0000"&amp;$B1941,4)&amp;"/"&amp;RIGHT("00"&amp;$C1941,2)&amp;"/"&amp;RIGHT("00"&amp;$D1941,2)))</f>
        <v/>
      </c>
      <c r="F1941">
        <f>IF(OR($E1941="",$E1941="نامعتبر"),"",LEFT($E1941,4)&amp;"/"&amp;MID($E1941,6,2))</f>
        <v/>
      </c>
      <c r="G1941">
        <f>IF(OR($E1941="",$E1941="نامعتبر",Sync!$Y1938=""),"",Sync!$Y1938)</f>
        <v/>
      </c>
      <c r="H1941">
        <f>IF($G1941="","",IF(Sync!$X1938="","",Sync!$X1938))</f>
        <v/>
      </c>
      <c r="I1941">
        <f>IF($G1941="","",IFERROR(VLOOKUP(Sync!$X1938,OpTbl,3,0),""))</f>
        <v/>
      </c>
      <c r="J1941">
        <f>IF(OR($G1941="",Sync!$Z1938=""),"",Sync!$Z1938)</f>
        <v/>
      </c>
      <c r="K1941">
        <f>IF(OR($G1941="",Sync!$AA1938=""),"",Sync!$AA1938)</f>
        <v/>
      </c>
      <c r="L1941">
        <f>IF($G1941="",0,IF(Sync!$AB1938="",0,Sync!$AB1938))</f>
        <v/>
      </c>
      <c r="M1941">
        <f>IF($G1941="",0,IF(Sync!$AC1938="",0,Sync!$AC1938))</f>
        <v/>
      </c>
      <c r="N1941">
        <f>IF($G1941="","",IF($H1941="مرجوعی خرید",-1,1)*($L1941-$M1941*IFERROR(VLOOKUP("P01",ParamTbl,3,0),1.5))*(1-IF($I1941="خرید",IFERROR(VLOOKUP("P02",ParamTbl,3,0),1),0)/100))</f>
        <v/>
      </c>
      <c r="O1941">
        <f>IF($G1941="",0,IF($H1941="مرجوعی خرید",-1,1)*IF(Sync!$AD1938="",0,Sync!$AD1938))</f>
        <v/>
      </c>
      <c r="P1941">
        <f>IF(OR($G1941="",Sync!$W1938=""),"",Sync!$W1938)</f>
        <v/>
      </c>
      <c r="Q1941">
        <f>IF(OR($G1941="",Sync!$AE1938=""),"",Sync!$AE1938)</f>
        <v/>
      </c>
      <c r="R1941">
        <f>IF($G1941="","",IF(Sync!$V1938="","0000",IF(AND(ISNUMBER(Sync!$V1938),Sync!$V1938&gt;=0,Sync!$V1938&lt;1),RIGHT("00"&amp;HOUR(Sync!$V1938),2)&amp;RIGHT("00"&amp;MINUTE(Sync!$V1938),2),IFERROR(RIGHT("00"&amp;VALUE(LEFT(Sync!$V1938,FIND(":",Sync!$V1938)-1)),2)&amp;RIGHT("00"&amp;VALUE(MID(Sync!$V1938,FIND(":",Sync!$V1938)+1,2)),2),"0000"))))</f>
        <v/>
      </c>
    </row>
    <row r="1942">
      <c r="A1942">
        <f>IF(Sync!$U1939="","",Sync!$U1939)</f>
        <v/>
      </c>
      <c r="B1942">
        <f>IF($A1942="","",IF(ISNUMBER($A1942),IF(AND($A1942&gt;=10000101,$A1942&lt;=99991231),INT($A1942/10000),""),IFERROR(VALUE(TRIM(LEFT($A1942,FIND("/",$A1942)-1))),"")))</f>
        <v/>
      </c>
      <c r="C1942">
        <f>IF(OR($A1942="",$B1942=""),"",IF(ISNUMBER($A1942),INT(MOD($A1942,10000)/100),IFERROR(VALUE(TRIM(LEFT(MID($A1942,FIND("/",$A1942)+1,20),FIND("/",MID($A1942,FIND("/",$A1942)+1,20))-1))),"")))</f>
        <v/>
      </c>
      <c r="D1942">
        <f>IF(OR($A1942="",$B1942=""),"",IF(ISNUMBER($A1942),MOD($A1942,100),IFERROR(VALUE(TRIM(MID(MID($A1942,FIND("/",$A1942)+1,20),FIND("/",MID($A1942,FIND("/",$A1942)+1,20))+1,20))),"")))</f>
        <v/>
      </c>
      <c r="E1942">
        <f>IF($A1942="","",IF(OR($B1942="",$C1942="",$D1942="",$B1942&lt;1300,$B1942&gt;1500,$C1942&lt;1,$C1942&gt;12,$D1942&lt;1,$D1942&gt;31),"نامعتبر",RIGHT("0000"&amp;$B1942,4)&amp;"/"&amp;RIGHT("00"&amp;$C1942,2)&amp;"/"&amp;RIGHT("00"&amp;$D1942,2)))</f>
        <v/>
      </c>
      <c r="F1942">
        <f>IF(OR($E1942="",$E1942="نامعتبر"),"",LEFT($E1942,4)&amp;"/"&amp;MID($E1942,6,2))</f>
        <v/>
      </c>
      <c r="G1942">
        <f>IF(OR($E1942="",$E1942="نامعتبر",Sync!$Y1939=""),"",Sync!$Y1939)</f>
        <v/>
      </c>
      <c r="H1942">
        <f>IF($G1942="","",IF(Sync!$X1939="","",Sync!$X1939))</f>
        <v/>
      </c>
      <c r="I1942">
        <f>IF($G1942="","",IFERROR(VLOOKUP(Sync!$X1939,OpTbl,3,0),""))</f>
        <v/>
      </c>
      <c r="J1942">
        <f>IF(OR($G1942="",Sync!$Z1939=""),"",Sync!$Z1939)</f>
        <v/>
      </c>
      <c r="K1942">
        <f>IF(OR($G1942="",Sync!$AA1939=""),"",Sync!$AA1939)</f>
        <v/>
      </c>
      <c r="L1942">
        <f>IF($G1942="",0,IF(Sync!$AB1939="",0,Sync!$AB1939))</f>
        <v/>
      </c>
      <c r="M1942">
        <f>IF($G1942="",0,IF(Sync!$AC1939="",0,Sync!$AC1939))</f>
        <v/>
      </c>
      <c r="N1942">
        <f>IF($G1942="","",IF($H1942="مرجوعی خرید",-1,1)*($L1942-$M1942*IFERROR(VLOOKUP("P01",ParamTbl,3,0),1.5))*(1-IF($I1942="خرید",IFERROR(VLOOKUP("P02",ParamTbl,3,0),1),0)/100))</f>
        <v/>
      </c>
      <c r="O1942">
        <f>IF($G1942="",0,IF($H1942="مرجوعی خرید",-1,1)*IF(Sync!$AD1939="",0,Sync!$AD1939))</f>
        <v/>
      </c>
      <c r="P1942">
        <f>IF(OR($G1942="",Sync!$W1939=""),"",Sync!$W1939)</f>
        <v/>
      </c>
      <c r="Q1942">
        <f>IF(OR($G1942="",Sync!$AE1939=""),"",Sync!$AE1939)</f>
        <v/>
      </c>
      <c r="R1942">
        <f>IF($G1942="","",IF(Sync!$V1939="","0000",IF(AND(ISNUMBER(Sync!$V1939),Sync!$V1939&gt;=0,Sync!$V1939&lt;1),RIGHT("00"&amp;HOUR(Sync!$V1939),2)&amp;RIGHT("00"&amp;MINUTE(Sync!$V1939),2),IFERROR(RIGHT("00"&amp;VALUE(LEFT(Sync!$V1939,FIND(":",Sync!$V1939)-1)),2)&amp;RIGHT("00"&amp;VALUE(MID(Sync!$V1939,FIND(":",Sync!$V1939)+1,2)),2),"0000"))))</f>
        <v/>
      </c>
    </row>
    <row r="1943">
      <c r="A1943">
        <f>IF(Sync!$U1940="","",Sync!$U1940)</f>
        <v/>
      </c>
      <c r="B1943">
        <f>IF($A1943="","",IF(ISNUMBER($A1943),IF(AND($A1943&gt;=10000101,$A1943&lt;=99991231),INT($A1943/10000),""),IFERROR(VALUE(TRIM(LEFT($A1943,FIND("/",$A1943)-1))),"")))</f>
        <v/>
      </c>
      <c r="C1943">
        <f>IF(OR($A1943="",$B1943=""),"",IF(ISNUMBER($A1943),INT(MOD($A1943,10000)/100),IFERROR(VALUE(TRIM(LEFT(MID($A1943,FIND("/",$A1943)+1,20),FIND("/",MID($A1943,FIND("/",$A1943)+1,20))-1))),"")))</f>
        <v/>
      </c>
      <c r="D1943">
        <f>IF(OR($A1943="",$B1943=""),"",IF(ISNUMBER($A1943),MOD($A1943,100),IFERROR(VALUE(TRIM(MID(MID($A1943,FIND("/",$A1943)+1,20),FIND("/",MID($A1943,FIND("/",$A1943)+1,20))+1,20))),"")))</f>
        <v/>
      </c>
      <c r="E1943">
        <f>IF($A1943="","",IF(OR($B1943="",$C1943="",$D1943="",$B1943&lt;1300,$B1943&gt;1500,$C1943&lt;1,$C1943&gt;12,$D1943&lt;1,$D1943&gt;31),"نامعتبر",RIGHT("0000"&amp;$B1943,4)&amp;"/"&amp;RIGHT("00"&amp;$C1943,2)&amp;"/"&amp;RIGHT("00"&amp;$D1943,2)))</f>
        <v/>
      </c>
      <c r="F1943">
        <f>IF(OR($E1943="",$E1943="نامعتبر"),"",LEFT($E1943,4)&amp;"/"&amp;MID($E1943,6,2))</f>
        <v/>
      </c>
      <c r="G1943">
        <f>IF(OR($E1943="",$E1943="نامعتبر",Sync!$Y1940=""),"",Sync!$Y1940)</f>
        <v/>
      </c>
      <c r="H1943">
        <f>IF($G1943="","",IF(Sync!$X1940="","",Sync!$X1940))</f>
        <v/>
      </c>
      <c r="I1943">
        <f>IF($G1943="","",IFERROR(VLOOKUP(Sync!$X1940,OpTbl,3,0),""))</f>
        <v/>
      </c>
      <c r="J1943">
        <f>IF(OR($G1943="",Sync!$Z1940=""),"",Sync!$Z1940)</f>
        <v/>
      </c>
      <c r="K1943">
        <f>IF(OR($G1943="",Sync!$AA1940=""),"",Sync!$AA1940)</f>
        <v/>
      </c>
      <c r="L1943">
        <f>IF($G1943="",0,IF(Sync!$AB1940="",0,Sync!$AB1940))</f>
        <v/>
      </c>
      <c r="M1943">
        <f>IF($G1943="",0,IF(Sync!$AC1940="",0,Sync!$AC1940))</f>
        <v/>
      </c>
      <c r="N1943">
        <f>IF($G1943="","",IF($H1943="مرجوعی خرید",-1,1)*($L1943-$M1943*IFERROR(VLOOKUP("P01",ParamTbl,3,0),1.5))*(1-IF($I1943="خرید",IFERROR(VLOOKUP("P02",ParamTbl,3,0),1),0)/100))</f>
        <v/>
      </c>
      <c r="O1943">
        <f>IF($G1943="",0,IF($H1943="مرجوعی خرید",-1,1)*IF(Sync!$AD1940="",0,Sync!$AD1940))</f>
        <v/>
      </c>
      <c r="P1943">
        <f>IF(OR($G1943="",Sync!$W1940=""),"",Sync!$W1940)</f>
        <v/>
      </c>
      <c r="Q1943">
        <f>IF(OR($G1943="",Sync!$AE1940=""),"",Sync!$AE1940)</f>
        <v/>
      </c>
      <c r="R1943">
        <f>IF($G1943="","",IF(Sync!$V1940="","0000",IF(AND(ISNUMBER(Sync!$V1940),Sync!$V1940&gt;=0,Sync!$V1940&lt;1),RIGHT("00"&amp;HOUR(Sync!$V1940),2)&amp;RIGHT("00"&amp;MINUTE(Sync!$V1940),2),IFERROR(RIGHT("00"&amp;VALUE(LEFT(Sync!$V1940,FIND(":",Sync!$V1940)-1)),2)&amp;RIGHT("00"&amp;VALUE(MID(Sync!$V1940,FIND(":",Sync!$V1940)+1,2)),2),"0000"))))</f>
        <v/>
      </c>
    </row>
    <row r="1944">
      <c r="A1944">
        <f>IF(Sync!$U1941="","",Sync!$U1941)</f>
        <v/>
      </c>
      <c r="B1944">
        <f>IF($A1944="","",IF(ISNUMBER($A1944),IF(AND($A1944&gt;=10000101,$A1944&lt;=99991231),INT($A1944/10000),""),IFERROR(VALUE(TRIM(LEFT($A1944,FIND("/",$A1944)-1))),"")))</f>
        <v/>
      </c>
      <c r="C1944">
        <f>IF(OR($A1944="",$B1944=""),"",IF(ISNUMBER($A1944),INT(MOD($A1944,10000)/100),IFERROR(VALUE(TRIM(LEFT(MID($A1944,FIND("/",$A1944)+1,20),FIND("/",MID($A1944,FIND("/",$A1944)+1,20))-1))),"")))</f>
        <v/>
      </c>
      <c r="D1944">
        <f>IF(OR($A1944="",$B1944=""),"",IF(ISNUMBER($A1944),MOD($A1944,100),IFERROR(VALUE(TRIM(MID(MID($A1944,FIND("/",$A1944)+1,20),FIND("/",MID($A1944,FIND("/",$A1944)+1,20))+1,20))),"")))</f>
        <v/>
      </c>
      <c r="E1944">
        <f>IF($A1944="","",IF(OR($B1944="",$C1944="",$D1944="",$B1944&lt;1300,$B1944&gt;1500,$C1944&lt;1,$C1944&gt;12,$D1944&lt;1,$D1944&gt;31),"نامعتبر",RIGHT("0000"&amp;$B1944,4)&amp;"/"&amp;RIGHT("00"&amp;$C1944,2)&amp;"/"&amp;RIGHT("00"&amp;$D1944,2)))</f>
        <v/>
      </c>
      <c r="F1944">
        <f>IF(OR($E1944="",$E1944="نامعتبر"),"",LEFT($E1944,4)&amp;"/"&amp;MID($E1944,6,2))</f>
        <v/>
      </c>
      <c r="G1944">
        <f>IF(OR($E1944="",$E1944="نامعتبر",Sync!$Y1941=""),"",Sync!$Y1941)</f>
        <v/>
      </c>
      <c r="H1944">
        <f>IF($G1944="","",IF(Sync!$X1941="","",Sync!$X1941))</f>
        <v/>
      </c>
      <c r="I1944">
        <f>IF($G1944="","",IFERROR(VLOOKUP(Sync!$X1941,OpTbl,3,0),""))</f>
        <v/>
      </c>
      <c r="J1944">
        <f>IF(OR($G1944="",Sync!$Z1941=""),"",Sync!$Z1941)</f>
        <v/>
      </c>
      <c r="K1944">
        <f>IF(OR($G1944="",Sync!$AA1941=""),"",Sync!$AA1941)</f>
        <v/>
      </c>
      <c r="L1944">
        <f>IF($G1944="",0,IF(Sync!$AB1941="",0,Sync!$AB1941))</f>
        <v/>
      </c>
      <c r="M1944">
        <f>IF($G1944="",0,IF(Sync!$AC1941="",0,Sync!$AC1941))</f>
        <v/>
      </c>
      <c r="N1944">
        <f>IF($G1944="","",IF($H1944="مرجوعی خرید",-1,1)*($L1944-$M1944*IFERROR(VLOOKUP("P01",ParamTbl,3,0),1.5))*(1-IF($I1944="خرید",IFERROR(VLOOKUP("P02",ParamTbl,3,0),1),0)/100))</f>
        <v/>
      </c>
      <c r="O1944">
        <f>IF($G1944="",0,IF($H1944="مرجوعی خرید",-1,1)*IF(Sync!$AD1941="",0,Sync!$AD1941))</f>
        <v/>
      </c>
      <c r="P1944">
        <f>IF(OR($G1944="",Sync!$W1941=""),"",Sync!$W1941)</f>
        <v/>
      </c>
      <c r="Q1944">
        <f>IF(OR($G1944="",Sync!$AE1941=""),"",Sync!$AE1941)</f>
        <v/>
      </c>
      <c r="R1944">
        <f>IF($G1944="","",IF(Sync!$V1941="","0000",IF(AND(ISNUMBER(Sync!$V1941),Sync!$V1941&gt;=0,Sync!$V1941&lt;1),RIGHT("00"&amp;HOUR(Sync!$V1941),2)&amp;RIGHT("00"&amp;MINUTE(Sync!$V1941),2),IFERROR(RIGHT("00"&amp;VALUE(LEFT(Sync!$V1941,FIND(":",Sync!$V1941)-1)),2)&amp;RIGHT("00"&amp;VALUE(MID(Sync!$V1941,FIND(":",Sync!$V1941)+1,2)),2),"0000"))))</f>
        <v/>
      </c>
    </row>
    <row r="1945">
      <c r="A1945">
        <f>IF(Sync!$U1942="","",Sync!$U1942)</f>
        <v/>
      </c>
      <c r="B1945">
        <f>IF($A1945="","",IF(ISNUMBER($A1945),IF(AND($A1945&gt;=10000101,$A1945&lt;=99991231),INT($A1945/10000),""),IFERROR(VALUE(TRIM(LEFT($A1945,FIND("/",$A1945)-1))),"")))</f>
        <v/>
      </c>
      <c r="C1945">
        <f>IF(OR($A1945="",$B1945=""),"",IF(ISNUMBER($A1945),INT(MOD($A1945,10000)/100),IFERROR(VALUE(TRIM(LEFT(MID($A1945,FIND("/",$A1945)+1,20),FIND("/",MID($A1945,FIND("/",$A1945)+1,20))-1))),"")))</f>
        <v/>
      </c>
      <c r="D1945">
        <f>IF(OR($A1945="",$B1945=""),"",IF(ISNUMBER($A1945),MOD($A1945,100),IFERROR(VALUE(TRIM(MID(MID($A1945,FIND("/",$A1945)+1,20),FIND("/",MID($A1945,FIND("/",$A1945)+1,20))+1,20))),"")))</f>
        <v/>
      </c>
      <c r="E1945">
        <f>IF($A1945="","",IF(OR($B1945="",$C1945="",$D1945="",$B1945&lt;1300,$B1945&gt;1500,$C1945&lt;1,$C1945&gt;12,$D1945&lt;1,$D1945&gt;31),"نامعتبر",RIGHT("0000"&amp;$B1945,4)&amp;"/"&amp;RIGHT("00"&amp;$C1945,2)&amp;"/"&amp;RIGHT("00"&amp;$D1945,2)))</f>
        <v/>
      </c>
      <c r="F1945">
        <f>IF(OR($E1945="",$E1945="نامعتبر"),"",LEFT($E1945,4)&amp;"/"&amp;MID($E1945,6,2))</f>
        <v/>
      </c>
      <c r="G1945">
        <f>IF(OR($E1945="",$E1945="نامعتبر",Sync!$Y1942=""),"",Sync!$Y1942)</f>
        <v/>
      </c>
      <c r="H1945">
        <f>IF($G1945="","",IF(Sync!$X1942="","",Sync!$X1942))</f>
        <v/>
      </c>
      <c r="I1945">
        <f>IF($G1945="","",IFERROR(VLOOKUP(Sync!$X1942,OpTbl,3,0),""))</f>
        <v/>
      </c>
      <c r="J1945">
        <f>IF(OR($G1945="",Sync!$Z1942=""),"",Sync!$Z1942)</f>
        <v/>
      </c>
      <c r="K1945">
        <f>IF(OR($G1945="",Sync!$AA1942=""),"",Sync!$AA1942)</f>
        <v/>
      </c>
      <c r="L1945">
        <f>IF($G1945="",0,IF(Sync!$AB1942="",0,Sync!$AB1942))</f>
        <v/>
      </c>
      <c r="M1945">
        <f>IF($G1945="",0,IF(Sync!$AC1942="",0,Sync!$AC1942))</f>
        <v/>
      </c>
      <c r="N1945">
        <f>IF($G1945="","",IF($H1945="مرجوعی خرید",-1,1)*($L1945-$M1945*IFERROR(VLOOKUP("P01",ParamTbl,3,0),1.5))*(1-IF($I1945="خرید",IFERROR(VLOOKUP("P02",ParamTbl,3,0),1),0)/100))</f>
        <v/>
      </c>
      <c r="O1945">
        <f>IF($G1945="",0,IF($H1945="مرجوعی خرید",-1,1)*IF(Sync!$AD1942="",0,Sync!$AD1942))</f>
        <v/>
      </c>
      <c r="P1945">
        <f>IF(OR($G1945="",Sync!$W1942=""),"",Sync!$W1942)</f>
        <v/>
      </c>
      <c r="Q1945">
        <f>IF(OR($G1945="",Sync!$AE1942=""),"",Sync!$AE1942)</f>
        <v/>
      </c>
      <c r="R1945">
        <f>IF($G1945="","",IF(Sync!$V1942="","0000",IF(AND(ISNUMBER(Sync!$V1942),Sync!$V1942&gt;=0,Sync!$V1942&lt;1),RIGHT("00"&amp;HOUR(Sync!$V1942),2)&amp;RIGHT("00"&amp;MINUTE(Sync!$V1942),2),IFERROR(RIGHT("00"&amp;VALUE(LEFT(Sync!$V1942,FIND(":",Sync!$V1942)-1)),2)&amp;RIGHT("00"&amp;VALUE(MID(Sync!$V1942,FIND(":",Sync!$V1942)+1,2)),2),"0000"))))</f>
        <v/>
      </c>
    </row>
    <row r="1946">
      <c r="A1946">
        <f>IF(Sync!$U1943="","",Sync!$U1943)</f>
        <v/>
      </c>
      <c r="B1946">
        <f>IF($A1946="","",IF(ISNUMBER($A1946),IF(AND($A1946&gt;=10000101,$A1946&lt;=99991231),INT($A1946/10000),""),IFERROR(VALUE(TRIM(LEFT($A1946,FIND("/",$A1946)-1))),"")))</f>
        <v/>
      </c>
      <c r="C1946">
        <f>IF(OR($A1946="",$B1946=""),"",IF(ISNUMBER($A1946),INT(MOD($A1946,10000)/100),IFERROR(VALUE(TRIM(LEFT(MID($A1946,FIND("/",$A1946)+1,20),FIND("/",MID($A1946,FIND("/",$A1946)+1,20))-1))),"")))</f>
        <v/>
      </c>
      <c r="D1946">
        <f>IF(OR($A1946="",$B1946=""),"",IF(ISNUMBER($A1946),MOD($A1946,100),IFERROR(VALUE(TRIM(MID(MID($A1946,FIND("/",$A1946)+1,20),FIND("/",MID($A1946,FIND("/",$A1946)+1,20))+1,20))),"")))</f>
        <v/>
      </c>
      <c r="E1946">
        <f>IF($A1946="","",IF(OR($B1946="",$C1946="",$D1946="",$B1946&lt;1300,$B1946&gt;1500,$C1946&lt;1,$C1946&gt;12,$D1946&lt;1,$D1946&gt;31),"نامعتبر",RIGHT("0000"&amp;$B1946,4)&amp;"/"&amp;RIGHT("00"&amp;$C1946,2)&amp;"/"&amp;RIGHT("00"&amp;$D1946,2)))</f>
        <v/>
      </c>
      <c r="F1946">
        <f>IF(OR($E1946="",$E1946="نامعتبر"),"",LEFT($E1946,4)&amp;"/"&amp;MID($E1946,6,2))</f>
        <v/>
      </c>
      <c r="G1946">
        <f>IF(OR($E1946="",$E1946="نامعتبر",Sync!$Y1943=""),"",Sync!$Y1943)</f>
        <v/>
      </c>
      <c r="H1946">
        <f>IF($G1946="","",IF(Sync!$X1943="","",Sync!$X1943))</f>
        <v/>
      </c>
      <c r="I1946">
        <f>IF($G1946="","",IFERROR(VLOOKUP(Sync!$X1943,OpTbl,3,0),""))</f>
        <v/>
      </c>
      <c r="J1946">
        <f>IF(OR($G1946="",Sync!$Z1943=""),"",Sync!$Z1943)</f>
        <v/>
      </c>
      <c r="K1946">
        <f>IF(OR($G1946="",Sync!$AA1943=""),"",Sync!$AA1943)</f>
        <v/>
      </c>
      <c r="L1946">
        <f>IF($G1946="",0,IF(Sync!$AB1943="",0,Sync!$AB1943))</f>
        <v/>
      </c>
      <c r="M1946">
        <f>IF($G1946="",0,IF(Sync!$AC1943="",0,Sync!$AC1943))</f>
        <v/>
      </c>
      <c r="N1946">
        <f>IF($G1946="","",IF($H1946="مرجوعی خرید",-1,1)*($L1946-$M1946*IFERROR(VLOOKUP("P01",ParamTbl,3,0),1.5))*(1-IF($I1946="خرید",IFERROR(VLOOKUP("P02",ParamTbl,3,0),1),0)/100))</f>
        <v/>
      </c>
      <c r="O1946">
        <f>IF($G1946="",0,IF($H1946="مرجوعی خرید",-1,1)*IF(Sync!$AD1943="",0,Sync!$AD1943))</f>
        <v/>
      </c>
      <c r="P1946">
        <f>IF(OR($G1946="",Sync!$W1943=""),"",Sync!$W1943)</f>
        <v/>
      </c>
      <c r="Q1946">
        <f>IF(OR($G1946="",Sync!$AE1943=""),"",Sync!$AE1943)</f>
        <v/>
      </c>
      <c r="R1946">
        <f>IF($G1946="","",IF(Sync!$V1943="","0000",IF(AND(ISNUMBER(Sync!$V1943),Sync!$V1943&gt;=0,Sync!$V1943&lt;1),RIGHT("00"&amp;HOUR(Sync!$V1943),2)&amp;RIGHT("00"&amp;MINUTE(Sync!$V1943),2),IFERROR(RIGHT("00"&amp;VALUE(LEFT(Sync!$V1943,FIND(":",Sync!$V1943)-1)),2)&amp;RIGHT("00"&amp;VALUE(MID(Sync!$V1943,FIND(":",Sync!$V1943)+1,2)),2),"0000"))))</f>
        <v/>
      </c>
    </row>
    <row r="1947">
      <c r="A1947">
        <f>IF(Sync!$U1944="","",Sync!$U1944)</f>
        <v/>
      </c>
      <c r="B1947">
        <f>IF($A1947="","",IF(ISNUMBER($A1947),IF(AND($A1947&gt;=10000101,$A1947&lt;=99991231),INT($A1947/10000),""),IFERROR(VALUE(TRIM(LEFT($A1947,FIND("/",$A1947)-1))),"")))</f>
        <v/>
      </c>
      <c r="C1947">
        <f>IF(OR($A1947="",$B1947=""),"",IF(ISNUMBER($A1947),INT(MOD($A1947,10000)/100),IFERROR(VALUE(TRIM(LEFT(MID($A1947,FIND("/",$A1947)+1,20),FIND("/",MID($A1947,FIND("/",$A1947)+1,20))-1))),"")))</f>
        <v/>
      </c>
      <c r="D1947">
        <f>IF(OR($A1947="",$B1947=""),"",IF(ISNUMBER($A1947),MOD($A1947,100),IFERROR(VALUE(TRIM(MID(MID($A1947,FIND("/",$A1947)+1,20),FIND("/",MID($A1947,FIND("/",$A1947)+1,20))+1,20))),"")))</f>
        <v/>
      </c>
      <c r="E1947">
        <f>IF($A1947="","",IF(OR($B1947="",$C1947="",$D1947="",$B1947&lt;1300,$B1947&gt;1500,$C1947&lt;1,$C1947&gt;12,$D1947&lt;1,$D1947&gt;31),"نامعتبر",RIGHT("0000"&amp;$B1947,4)&amp;"/"&amp;RIGHT("00"&amp;$C1947,2)&amp;"/"&amp;RIGHT("00"&amp;$D1947,2)))</f>
        <v/>
      </c>
      <c r="F1947">
        <f>IF(OR($E1947="",$E1947="نامعتبر"),"",LEFT($E1947,4)&amp;"/"&amp;MID($E1947,6,2))</f>
        <v/>
      </c>
      <c r="G1947">
        <f>IF(OR($E1947="",$E1947="نامعتبر",Sync!$Y1944=""),"",Sync!$Y1944)</f>
        <v/>
      </c>
      <c r="H1947">
        <f>IF($G1947="","",IF(Sync!$X1944="","",Sync!$X1944))</f>
        <v/>
      </c>
      <c r="I1947">
        <f>IF($G1947="","",IFERROR(VLOOKUP(Sync!$X1944,OpTbl,3,0),""))</f>
        <v/>
      </c>
      <c r="J1947">
        <f>IF(OR($G1947="",Sync!$Z1944=""),"",Sync!$Z1944)</f>
        <v/>
      </c>
      <c r="K1947">
        <f>IF(OR($G1947="",Sync!$AA1944=""),"",Sync!$AA1944)</f>
        <v/>
      </c>
      <c r="L1947">
        <f>IF($G1947="",0,IF(Sync!$AB1944="",0,Sync!$AB1944))</f>
        <v/>
      </c>
      <c r="M1947">
        <f>IF($G1947="",0,IF(Sync!$AC1944="",0,Sync!$AC1944))</f>
        <v/>
      </c>
      <c r="N1947">
        <f>IF($G1947="","",IF($H1947="مرجوعی خرید",-1,1)*($L1947-$M1947*IFERROR(VLOOKUP("P01",ParamTbl,3,0),1.5))*(1-IF($I1947="خرید",IFERROR(VLOOKUP("P02",ParamTbl,3,0),1),0)/100))</f>
        <v/>
      </c>
      <c r="O1947">
        <f>IF($G1947="",0,IF($H1947="مرجوعی خرید",-1,1)*IF(Sync!$AD1944="",0,Sync!$AD1944))</f>
        <v/>
      </c>
      <c r="P1947">
        <f>IF(OR($G1947="",Sync!$W1944=""),"",Sync!$W1944)</f>
        <v/>
      </c>
      <c r="Q1947">
        <f>IF(OR($G1947="",Sync!$AE1944=""),"",Sync!$AE1944)</f>
        <v/>
      </c>
      <c r="R1947">
        <f>IF($G1947="","",IF(Sync!$V1944="","0000",IF(AND(ISNUMBER(Sync!$V1944),Sync!$V1944&gt;=0,Sync!$V1944&lt;1),RIGHT("00"&amp;HOUR(Sync!$V1944),2)&amp;RIGHT("00"&amp;MINUTE(Sync!$V1944),2),IFERROR(RIGHT("00"&amp;VALUE(LEFT(Sync!$V1944,FIND(":",Sync!$V1944)-1)),2)&amp;RIGHT("00"&amp;VALUE(MID(Sync!$V1944,FIND(":",Sync!$V1944)+1,2)),2),"0000"))))</f>
        <v/>
      </c>
    </row>
    <row r="1948">
      <c r="A1948">
        <f>IF(Sync!$U1945="","",Sync!$U1945)</f>
        <v/>
      </c>
      <c r="B1948">
        <f>IF($A1948="","",IF(ISNUMBER($A1948),IF(AND($A1948&gt;=10000101,$A1948&lt;=99991231),INT($A1948/10000),""),IFERROR(VALUE(TRIM(LEFT($A1948,FIND("/",$A1948)-1))),"")))</f>
        <v/>
      </c>
      <c r="C1948">
        <f>IF(OR($A1948="",$B1948=""),"",IF(ISNUMBER($A1948),INT(MOD($A1948,10000)/100),IFERROR(VALUE(TRIM(LEFT(MID($A1948,FIND("/",$A1948)+1,20),FIND("/",MID($A1948,FIND("/",$A1948)+1,20))-1))),"")))</f>
        <v/>
      </c>
      <c r="D1948">
        <f>IF(OR($A1948="",$B1948=""),"",IF(ISNUMBER($A1948),MOD($A1948,100),IFERROR(VALUE(TRIM(MID(MID($A1948,FIND("/",$A1948)+1,20),FIND("/",MID($A1948,FIND("/",$A1948)+1,20))+1,20))),"")))</f>
        <v/>
      </c>
      <c r="E1948">
        <f>IF($A1948="","",IF(OR($B1948="",$C1948="",$D1948="",$B1948&lt;1300,$B1948&gt;1500,$C1948&lt;1,$C1948&gt;12,$D1948&lt;1,$D1948&gt;31),"نامعتبر",RIGHT("0000"&amp;$B1948,4)&amp;"/"&amp;RIGHT("00"&amp;$C1948,2)&amp;"/"&amp;RIGHT("00"&amp;$D1948,2)))</f>
        <v/>
      </c>
      <c r="F1948">
        <f>IF(OR($E1948="",$E1948="نامعتبر"),"",LEFT($E1948,4)&amp;"/"&amp;MID($E1948,6,2))</f>
        <v/>
      </c>
      <c r="G1948">
        <f>IF(OR($E1948="",$E1948="نامعتبر",Sync!$Y1945=""),"",Sync!$Y1945)</f>
        <v/>
      </c>
      <c r="H1948">
        <f>IF($G1948="","",IF(Sync!$X1945="","",Sync!$X1945))</f>
        <v/>
      </c>
      <c r="I1948">
        <f>IF($G1948="","",IFERROR(VLOOKUP(Sync!$X1945,OpTbl,3,0),""))</f>
        <v/>
      </c>
      <c r="J1948">
        <f>IF(OR($G1948="",Sync!$Z1945=""),"",Sync!$Z1945)</f>
        <v/>
      </c>
      <c r="K1948">
        <f>IF(OR($G1948="",Sync!$AA1945=""),"",Sync!$AA1945)</f>
        <v/>
      </c>
      <c r="L1948">
        <f>IF($G1948="",0,IF(Sync!$AB1945="",0,Sync!$AB1945))</f>
        <v/>
      </c>
      <c r="M1948">
        <f>IF($G1948="",0,IF(Sync!$AC1945="",0,Sync!$AC1945))</f>
        <v/>
      </c>
      <c r="N1948">
        <f>IF($G1948="","",IF($H1948="مرجوعی خرید",-1,1)*($L1948-$M1948*IFERROR(VLOOKUP("P01",ParamTbl,3,0),1.5))*(1-IF($I1948="خرید",IFERROR(VLOOKUP("P02",ParamTbl,3,0),1),0)/100))</f>
        <v/>
      </c>
      <c r="O1948">
        <f>IF($G1948="",0,IF($H1948="مرجوعی خرید",-1,1)*IF(Sync!$AD1945="",0,Sync!$AD1945))</f>
        <v/>
      </c>
      <c r="P1948">
        <f>IF(OR($G1948="",Sync!$W1945=""),"",Sync!$W1945)</f>
        <v/>
      </c>
      <c r="Q1948">
        <f>IF(OR($G1948="",Sync!$AE1945=""),"",Sync!$AE1945)</f>
        <v/>
      </c>
      <c r="R1948">
        <f>IF($G1948="","",IF(Sync!$V1945="","0000",IF(AND(ISNUMBER(Sync!$V1945),Sync!$V1945&gt;=0,Sync!$V1945&lt;1),RIGHT("00"&amp;HOUR(Sync!$V1945),2)&amp;RIGHT("00"&amp;MINUTE(Sync!$V1945),2),IFERROR(RIGHT("00"&amp;VALUE(LEFT(Sync!$V1945,FIND(":",Sync!$V1945)-1)),2)&amp;RIGHT("00"&amp;VALUE(MID(Sync!$V1945,FIND(":",Sync!$V1945)+1,2)),2),"0000"))))</f>
        <v/>
      </c>
    </row>
    <row r="1949">
      <c r="A1949">
        <f>IF(Sync!$U1946="","",Sync!$U1946)</f>
        <v/>
      </c>
      <c r="B1949">
        <f>IF($A1949="","",IF(ISNUMBER($A1949),IF(AND($A1949&gt;=10000101,$A1949&lt;=99991231),INT($A1949/10000),""),IFERROR(VALUE(TRIM(LEFT($A1949,FIND("/",$A1949)-1))),"")))</f>
        <v/>
      </c>
      <c r="C1949">
        <f>IF(OR($A1949="",$B1949=""),"",IF(ISNUMBER($A1949),INT(MOD($A1949,10000)/100),IFERROR(VALUE(TRIM(LEFT(MID($A1949,FIND("/",$A1949)+1,20),FIND("/",MID($A1949,FIND("/",$A1949)+1,20))-1))),"")))</f>
        <v/>
      </c>
      <c r="D1949">
        <f>IF(OR($A1949="",$B1949=""),"",IF(ISNUMBER($A1949),MOD($A1949,100),IFERROR(VALUE(TRIM(MID(MID($A1949,FIND("/",$A1949)+1,20),FIND("/",MID($A1949,FIND("/",$A1949)+1,20))+1,20))),"")))</f>
        <v/>
      </c>
      <c r="E1949">
        <f>IF($A1949="","",IF(OR($B1949="",$C1949="",$D1949="",$B1949&lt;1300,$B1949&gt;1500,$C1949&lt;1,$C1949&gt;12,$D1949&lt;1,$D1949&gt;31),"نامعتبر",RIGHT("0000"&amp;$B1949,4)&amp;"/"&amp;RIGHT("00"&amp;$C1949,2)&amp;"/"&amp;RIGHT("00"&amp;$D1949,2)))</f>
        <v/>
      </c>
      <c r="F1949">
        <f>IF(OR($E1949="",$E1949="نامعتبر"),"",LEFT($E1949,4)&amp;"/"&amp;MID($E1949,6,2))</f>
        <v/>
      </c>
      <c r="G1949">
        <f>IF(OR($E1949="",$E1949="نامعتبر",Sync!$Y1946=""),"",Sync!$Y1946)</f>
        <v/>
      </c>
      <c r="H1949">
        <f>IF($G1949="","",IF(Sync!$X1946="","",Sync!$X1946))</f>
        <v/>
      </c>
      <c r="I1949">
        <f>IF($G1949="","",IFERROR(VLOOKUP(Sync!$X1946,OpTbl,3,0),""))</f>
        <v/>
      </c>
      <c r="J1949">
        <f>IF(OR($G1949="",Sync!$Z1946=""),"",Sync!$Z1946)</f>
        <v/>
      </c>
      <c r="K1949">
        <f>IF(OR($G1949="",Sync!$AA1946=""),"",Sync!$AA1946)</f>
        <v/>
      </c>
      <c r="L1949">
        <f>IF($G1949="",0,IF(Sync!$AB1946="",0,Sync!$AB1946))</f>
        <v/>
      </c>
      <c r="M1949">
        <f>IF($G1949="",0,IF(Sync!$AC1946="",0,Sync!$AC1946))</f>
        <v/>
      </c>
      <c r="N1949">
        <f>IF($G1949="","",IF($H1949="مرجوعی خرید",-1,1)*($L1949-$M1949*IFERROR(VLOOKUP("P01",ParamTbl,3,0),1.5))*(1-IF($I1949="خرید",IFERROR(VLOOKUP("P02",ParamTbl,3,0),1),0)/100))</f>
        <v/>
      </c>
      <c r="O1949">
        <f>IF($G1949="",0,IF($H1949="مرجوعی خرید",-1,1)*IF(Sync!$AD1946="",0,Sync!$AD1946))</f>
        <v/>
      </c>
      <c r="P1949">
        <f>IF(OR($G1949="",Sync!$W1946=""),"",Sync!$W1946)</f>
        <v/>
      </c>
      <c r="Q1949">
        <f>IF(OR($G1949="",Sync!$AE1946=""),"",Sync!$AE1946)</f>
        <v/>
      </c>
      <c r="R1949">
        <f>IF($G1949="","",IF(Sync!$V1946="","0000",IF(AND(ISNUMBER(Sync!$V1946),Sync!$V1946&gt;=0,Sync!$V1946&lt;1),RIGHT("00"&amp;HOUR(Sync!$V1946),2)&amp;RIGHT("00"&amp;MINUTE(Sync!$V1946),2),IFERROR(RIGHT("00"&amp;VALUE(LEFT(Sync!$V1946,FIND(":",Sync!$V1946)-1)),2)&amp;RIGHT("00"&amp;VALUE(MID(Sync!$V1946,FIND(":",Sync!$V1946)+1,2)),2),"0000"))))</f>
        <v/>
      </c>
    </row>
    <row r="1950">
      <c r="A1950">
        <f>IF(Sync!$U1947="","",Sync!$U1947)</f>
        <v/>
      </c>
      <c r="B1950">
        <f>IF($A1950="","",IF(ISNUMBER($A1950),IF(AND($A1950&gt;=10000101,$A1950&lt;=99991231),INT($A1950/10000),""),IFERROR(VALUE(TRIM(LEFT($A1950,FIND("/",$A1950)-1))),"")))</f>
        <v/>
      </c>
      <c r="C1950">
        <f>IF(OR($A1950="",$B1950=""),"",IF(ISNUMBER($A1950),INT(MOD($A1950,10000)/100),IFERROR(VALUE(TRIM(LEFT(MID($A1950,FIND("/",$A1950)+1,20),FIND("/",MID($A1950,FIND("/",$A1950)+1,20))-1))),"")))</f>
        <v/>
      </c>
      <c r="D1950">
        <f>IF(OR($A1950="",$B1950=""),"",IF(ISNUMBER($A1950),MOD($A1950,100),IFERROR(VALUE(TRIM(MID(MID($A1950,FIND("/",$A1950)+1,20),FIND("/",MID($A1950,FIND("/",$A1950)+1,20))+1,20))),"")))</f>
        <v/>
      </c>
      <c r="E1950">
        <f>IF($A1950="","",IF(OR($B1950="",$C1950="",$D1950="",$B1950&lt;1300,$B1950&gt;1500,$C1950&lt;1,$C1950&gt;12,$D1950&lt;1,$D1950&gt;31),"نامعتبر",RIGHT("0000"&amp;$B1950,4)&amp;"/"&amp;RIGHT("00"&amp;$C1950,2)&amp;"/"&amp;RIGHT("00"&amp;$D1950,2)))</f>
        <v/>
      </c>
      <c r="F1950">
        <f>IF(OR($E1950="",$E1950="نامعتبر"),"",LEFT($E1950,4)&amp;"/"&amp;MID($E1950,6,2))</f>
        <v/>
      </c>
      <c r="G1950">
        <f>IF(OR($E1950="",$E1950="نامعتبر",Sync!$Y1947=""),"",Sync!$Y1947)</f>
        <v/>
      </c>
      <c r="H1950">
        <f>IF($G1950="","",IF(Sync!$X1947="","",Sync!$X1947))</f>
        <v/>
      </c>
      <c r="I1950">
        <f>IF($G1950="","",IFERROR(VLOOKUP(Sync!$X1947,OpTbl,3,0),""))</f>
        <v/>
      </c>
      <c r="J1950">
        <f>IF(OR($G1950="",Sync!$Z1947=""),"",Sync!$Z1947)</f>
        <v/>
      </c>
      <c r="K1950">
        <f>IF(OR($G1950="",Sync!$AA1947=""),"",Sync!$AA1947)</f>
        <v/>
      </c>
      <c r="L1950">
        <f>IF($G1950="",0,IF(Sync!$AB1947="",0,Sync!$AB1947))</f>
        <v/>
      </c>
      <c r="M1950">
        <f>IF($G1950="",0,IF(Sync!$AC1947="",0,Sync!$AC1947))</f>
        <v/>
      </c>
      <c r="N1950">
        <f>IF($G1950="","",IF($H1950="مرجوعی خرید",-1,1)*($L1950-$M1950*IFERROR(VLOOKUP("P01",ParamTbl,3,0),1.5))*(1-IF($I1950="خرید",IFERROR(VLOOKUP("P02",ParamTbl,3,0),1),0)/100))</f>
        <v/>
      </c>
      <c r="O1950">
        <f>IF($G1950="",0,IF($H1950="مرجوعی خرید",-1,1)*IF(Sync!$AD1947="",0,Sync!$AD1947))</f>
        <v/>
      </c>
      <c r="P1950">
        <f>IF(OR($G1950="",Sync!$W1947=""),"",Sync!$W1947)</f>
        <v/>
      </c>
      <c r="Q1950">
        <f>IF(OR($G1950="",Sync!$AE1947=""),"",Sync!$AE1947)</f>
        <v/>
      </c>
      <c r="R1950">
        <f>IF($G1950="","",IF(Sync!$V1947="","0000",IF(AND(ISNUMBER(Sync!$V1947),Sync!$V1947&gt;=0,Sync!$V1947&lt;1),RIGHT("00"&amp;HOUR(Sync!$V1947),2)&amp;RIGHT("00"&amp;MINUTE(Sync!$V1947),2),IFERROR(RIGHT("00"&amp;VALUE(LEFT(Sync!$V1947,FIND(":",Sync!$V1947)-1)),2)&amp;RIGHT("00"&amp;VALUE(MID(Sync!$V1947,FIND(":",Sync!$V1947)+1,2)),2),"0000"))))</f>
        <v/>
      </c>
    </row>
    <row r="1951">
      <c r="A1951">
        <f>IF(Sync!$U1948="","",Sync!$U1948)</f>
        <v/>
      </c>
      <c r="B1951">
        <f>IF($A1951="","",IF(ISNUMBER($A1951),IF(AND($A1951&gt;=10000101,$A1951&lt;=99991231),INT($A1951/10000),""),IFERROR(VALUE(TRIM(LEFT($A1951,FIND("/",$A1951)-1))),"")))</f>
        <v/>
      </c>
      <c r="C1951">
        <f>IF(OR($A1951="",$B1951=""),"",IF(ISNUMBER($A1951),INT(MOD($A1951,10000)/100),IFERROR(VALUE(TRIM(LEFT(MID($A1951,FIND("/",$A1951)+1,20),FIND("/",MID($A1951,FIND("/",$A1951)+1,20))-1))),"")))</f>
        <v/>
      </c>
      <c r="D1951">
        <f>IF(OR($A1951="",$B1951=""),"",IF(ISNUMBER($A1951),MOD($A1951,100),IFERROR(VALUE(TRIM(MID(MID($A1951,FIND("/",$A1951)+1,20),FIND("/",MID($A1951,FIND("/",$A1951)+1,20))+1,20))),"")))</f>
        <v/>
      </c>
      <c r="E1951">
        <f>IF($A1951="","",IF(OR($B1951="",$C1951="",$D1951="",$B1951&lt;1300,$B1951&gt;1500,$C1951&lt;1,$C1951&gt;12,$D1951&lt;1,$D1951&gt;31),"نامعتبر",RIGHT("0000"&amp;$B1951,4)&amp;"/"&amp;RIGHT("00"&amp;$C1951,2)&amp;"/"&amp;RIGHT("00"&amp;$D1951,2)))</f>
        <v/>
      </c>
      <c r="F1951">
        <f>IF(OR($E1951="",$E1951="نامعتبر"),"",LEFT($E1951,4)&amp;"/"&amp;MID($E1951,6,2))</f>
        <v/>
      </c>
      <c r="G1951">
        <f>IF(OR($E1951="",$E1951="نامعتبر",Sync!$Y1948=""),"",Sync!$Y1948)</f>
        <v/>
      </c>
      <c r="H1951">
        <f>IF($G1951="","",IF(Sync!$X1948="","",Sync!$X1948))</f>
        <v/>
      </c>
      <c r="I1951">
        <f>IF($G1951="","",IFERROR(VLOOKUP(Sync!$X1948,OpTbl,3,0),""))</f>
        <v/>
      </c>
      <c r="J1951">
        <f>IF(OR($G1951="",Sync!$Z1948=""),"",Sync!$Z1948)</f>
        <v/>
      </c>
      <c r="K1951">
        <f>IF(OR($G1951="",Sync!$AA1948=""),"",Sync!$AA1948)</f>
        <v/>
      </c>
      <c r="L1951">
        <f>IF($G1951="",0,IF(Sync!$AB1948="",0,Sync!$AB1948))</f>
        <v/>
      </c>
      <c r="M1951">
        <f>IF($G1951="",0,IF(Sync!$AC1948="",0,Sync!$AC1948))</f>
        <v/>
      </c>
      <c r="N1951">
        <f>IF($G1951="","",IF($H1951="مرجوعی خرید",-1,1)*($L1951-$M1951*IFERROR(VLOOKUP("P01",ParamTbl,3,0),1.5))*(1-IF($I1951="خرید",IFERROR(VLOOKUP("P02",ParamTbl,3,0),1),0)/100))</f>
        <v/>
      </c>
      <c r="O1951">
        <f>IF($G1951="",0,IF($H1951="مرجوعی خرید",-1,1)*IF(Sync!$AD1948="",0,Sync!$AD1948))</f>
        <v/>
      </c>
      <c r="P1951">
        <f>IF(OR($G1951="",Sync!$W1948=""),"",Sync!$W1948)</f>
        <v/>
      </c>
      <c r="Q1951">
        <f>IF(OR($G1951="",Sync!$AE1948=""),"",Sync!$AE1948)</f>
        <v/>
      </c>
      <c r="R1951">
        <f>IF($G1951="","",IF(Sync!$V1948="","0000",IF(AND(ISNUMBER(Sync!$V1948),Sync!$V1948&gt;=0,Sync!$V1948&lt;1),RIGHT("00"&amp;HOUR(Sync!$V1948),2)&amp;RIGHT("00"&amp;MINUTE(Sync!$V1948),2),IFERROR(RIGHT("00"&amp;VALUE(LEFT(Sync!$V1948,FIND(":",Sync!$V1948)-1)),2)&amp;RIGHT("00"&amp;VALUE(MID(Sync!$V1948,FIND(":",Sync!$V1948)+1,2)),2),"0000"))))</f>
        <v/>
      </c>
    </row>
    <row r="1952">
      <c r="A1952">
        <f>IF(Sync!$U1949="","",Sync!$U1949)</f>
        <v/>
      </c>
      <c r="B1952">
        <f>IF($A1952="","",IF(ISNUMBER($A1952),IF(AND($A1952&gt;=10000101,$A1952&lt;=99991231),INT($A1952/10000),""),IFERROR(VALUE(TRIM(LEFT($A1952,FIND("/",$A1952)-1))),"")))</f>
        <v/>
      </c>
      <c r="C1952">
        <f>IF(OR($A1952="",$B1952=""),"",IF(ISNUMBER($A1952),INT(MOD($A1952,10000)/100),IFERROR(VALUE(TRIM(LEFT(MID($A1952,FIND("/",$A1952)+1,20),FIND("/",MID($A1952,FIND("/",$A1952)+1,20))-1))),"")))</f>
        <v/>
      </c>
      <c r="D1952">
        <f>IF(OR($A1952="",$B1952=""),"",IF(ISNUMBER($A1952),MOD($A1952,100),IFERROR(VALUE(TRIM(MID(MID($A1952,FIND("/",$A1952)+1,20),FIND("/",MID($A1952,FIND("/",$A1952)+1,20))+1,20))),"")))</f>
        <v/>
      </c>
      <c r="E1952">
        <f>IF($A1952="","",IF(OR($B1952="",$C1952="",$D1952="",$B1952&lt;1300,$B1952&gt;1500,$C1952&lt;1,$C1952&gt;12,$D1952&lt;1,$D1952&gt;31),"نامعتبر",RIGHT("0000"&amp;$B1952,4)&amp;"/"&amp;RIGHT("00"&amp;$C1952,2)&amp;"/"&amp;RIGHT("00"&amp;$D1952,2)))</f>
        <v/>
      </c>
      <c r="F1952">
        <f>IF(OR($E1952="",$E1952="نامعتبر"),"",LEFT($E1952,4)&amp;"/"&amp;MID($E1952,6,2))</f>
        <v/>
      </c>
      <c r="G1952">
        <f>IF(OR($E1952="",$E1952="نامعتبر",Sync!$Y1949=""),"",Sync!$Y1949)</f>
        <v/>
      </c>
      <c r="H1952">
        <f>IF($G1952="","",IF(Sync!$X1949="","",Sync!$X1949))</f>
        <v/>
      </c>
      <c r="I1952">
        <f>IF($G1952="","",IFERROR(VLOOKUP(Sync!$X1949,OpTbl,3,0),""))</f>
        <v/>
      </c>
      <c r="J1952">
        <f>IF(OR($G1952="",Sync!$Z1949=""),"",Sync!$Z1949)</f>
        <v/>
      </c>
      <c r="K1952">
        <f>IF(OR($G1952="",Sync!$AA1949=""),"",Sync!$AA1949)</f>
        <v/>
      </c>
      <c r="L1952">
        <f>IF($G1952="",0,IF(Sync!$AB1949="",0,Sync!$AB1949))</f>
        <v/>
      </c>
      <c r="M1952">
        <f>IF($G1952="",0,IF(Sync!$AC1949="",0,Sync!$AC1949))</f>
        <v/>
      </c>
      <c r="N1952">
        <f>IF($G1952="","",IF($H1952="مرجوعی خرید",-1,1)*($L1952-$M1952*IFERROR(VLOOKUP("P01",ParamTbl,3,0),1.5))*(1-IF($I1952="خرید",IFERROR(VLOOKUP("P02",ParamTbl,3,0),1),0)/100))</f>
        <v/>
      </c>
      <c r="O1952">
        <f>IF($G1952="",0,IF($H1952="مرجوعی خرید",-1,1)*IF(Sync!$AD1949="",0,Sync!$AD1949))</f>
        <v/>
      </c>
      <c r="P1952">
        <f>IF(OR($G1952="",Sync!$W1949=""),"",Sync!$W1949)</f>
        <v/>
      </c>
      <c r="Q1952">
        <f>IF(OR($G1952="",Sync!$AE1949=""),"",Sync!$AE1949)</f>
        <v/>
      </c>
      <c r="R1952">
        <f>IF($G1952="","",IF(Sync!$V1949="","0000",IF(AND(ISNUMBER(Sync!$V1949),Sync!$V1949&gt;=0,Sync!$V1949&lt;1),RIGHT("00"&amp;HOUR(Sync!$V1949),2)&amp;RIGHT("00"&amp;MINUTE(Sync!$V1949),2),IFERROR(RIGHT("00"&amp;VALUE(LEFT(Sync!$V1949,FIND(":",Sync!$V1949)-1)),2)&amp;RIGHT("00"&amp;VALUE(MID(Sync!$V1949,FIND(":",Sync!$V1949)+1,2)),2),"0000"))))</f>
        <v/>
      </c>
    </row>
    <row r="1953">
      <c r="A1953">
        <f>IF(Sync!$U1950="","",Sync!$U1950)</f>
        <v/>
      </c>
      <c r="B1953">
        <f>IF($A1953="","",IF(ISNUMBER($A1953),IF(AND($A1953&gt;=10000101,$A1953&lt;=99991231),INT($A1953/10000),""),IFERROR(VALUE(TRIM(LEFT($A1953,FIND("/",$A1953)-1))),"")))</f>
        <v/>
      </c>
      <c r="C1953">
        <f>IF(OR($A1953="",$B1953=""),"",IF(ISNUMBER($A1953),INT(MOD($A1953,10000)/100),IFERROR(VALUE(TRIM(LEFT(MID($A1953,FIND("/",$A1953)+1,20),FIND("/",MID($A1953,FIND("/",$A1953)+1,20))-1))),"")))</f>
        <v/>
      </c>
      <c r="D1953">
        <f>IF(OR($A1953="",$B1953=""),"",IF(ISNUMBER($A1953),MOD($A1953,100),IFERROR(VALUE(TRIM(MID(MID($A1953,FIND("/",$A1953)+1,20),FIND("/",MID($A1953,FIND("/",$A1953)+1,20))+1,20))),"")))</f>
        <v/>
      </c>
      <c r="E1953">
        <f>IF($A1953="","",IF(OR($B1953="",$C1953="",$D1953="",$B1953&lt;1300,$B1953&gt;1500,$C1953&lt;1,$C1953&gt;12,$D1953&lt;1,$D1953&gt;31),"نامعتبر",RIGHT("0000"&amp;$B1953,4)&amp;"/"&amp;RIGHT("00"&amp;$C1953,2)&amp;"/"&amp;RIGHT("00"&amp;$D1953,2)))</f>
        <v/>
      </c>
      <c r="F1953">
        <f>IF(OR($E1953="",$E1953="نامعتبر"),"",LEFT($E1953,4)&amp;"/"&amp;MID($E1953,6,2))</f>
        <v/>
      </c>
      <c r="G1953">
        <f>IF(OR($E1953="",$E1953="نامعتبر",Sync!$Y1950=""),"",Sync!$Y1950)</f>
        <v/>
      </c>
      <c r="H1953">
        <f>IF($G1953="","",IF(Sync!$X1950="","",Sync!$X1950))</f>
        <v/>
      </c>
      <c r="I1953">
        <f>IF($G1953="","",IFERROR(VLOOKUP(Sync!$X1950,OpTbl,3,0),""))</f>
        <v/>
      </c>
      <c r="J1953">
        <f>IF(OR($G1953="",Sync!$Z1950=""),"",Sync!$Z1950)</f>
        <v/>
      </c>
      <c r="K1953">
        <f>IF(OR($G1953="",Sync!$AA1950=""),"",Sync!$AA1950)</f>
        <v/>
      </c>
      <c r="L1953">
        <f>IF($G1953="",0,IF(Sync!$AB1950="",0,Sync!$AB1950))</f>
        <v/>
      </c>
      <c r="M1953">
        <f>IF($G1953="",0,IF(Sync!$AC1950="",0,Sync!$AC1950))</f>
        <v/>
      </c>
      <c r="N1953">
        <f>IF($G1953="","",IF($H1953="مرجوعی خرید",-1,1)*($L1953-$M1953*IFERROR(VLOOKUP("P01",ParamTbl,3,0),1.5))*(1-IF($I1953="خرید",IFERROR(VLOOKUP("P02",ParamTbl,3,0),1),0)/100))</f>
        <v/>
      </c>
      <c r="O1953">
        <f>IF($G1953="",0,IF($H1953="مرجوعی خرید",-1,1)*IF(Sync!$AD1950="",0,Sync!$AD1950))</f>
        <v/>
      </c>
      <c r="P1953">
        <f>IF(OR($G1953="",Sync!$W1950=""),"",Sync!$W1950)</f>
        <v/>
      </c>
      <c r="Q1953">
        <f>IF(OR($G1953="",Sync!$AE1950=""),"",Sync!$AE1950)</f>
        <v/>
      </c>
      <c r="R1953">
        <f>IF($G1953="","",IF(Sync!$V1950="","0000",IF(AND(ISNUMBER(Sync!$V1950),Sync!$V1950&gt;=0,Sync!$V1950&lt;1),RIGHT("00"&amp;HOUR(Sync!$V1950),2)&amp;RIGHT("00"&amp;MINUTE(Sync!$V1950),2),IFERROR(RIGHT("00"&amp;VALUE(LEFT(Sync!$V1950,FIND(":",Sync!$V1950)-1)),2)&amp;RIGHT("00"&amp;VALUE(MID(Sync!$V1950,FIND(":",Sync!$V1950)+1,2)),2),"0000"))))</f>
        <v/>
      </c>
    </row>
    <row r="1954">
      <c r="A1954">
        <f>IF(Sync!$U1951="","",Sync!$U1951)</f>
        <v/>
      </c>
      <c r="B1954">
        <f>IF($A1954="","",IF(ISNUMBER($A1954),IF(AND($A1954&gt;=10000101,$A1954&lt;=99991231),INT($A1954/10000),""),IFERROR(VALUE(TRIM(LEFT($A1954,FIND("/",$A1954)-1))),"")))</f>
        <v/>
      </c>
      <c r="C1954">
        <f>IF(OR($A1954="",$B1954=""),"",IF(ISNUMBER($A1954),INT(MOD($A1954,10000)/100),IFERROR(VALUE(TRIM(LEFT(MID($A1954,FIND("/",$A1954)+1,20),FIND("/",MID($A1954,FIND("/",$A1954)+1,20))-1))),"")))</f>
        <v/>
      </c>
      <c r="D1954">
        <f>IF(OR($A1954="",$B1954=""),"",IF(ISNUMBER($A1954),MOD($A1954,100),IFERROR(VALUE(TRIM(MID(MID($A1954,FIND("/",$A1954)+1,20),FIND("/",MID($A1954,FIND("/",$A1954)+1,20))+1,20))),"")))</f>
        <v/>
      </c>
      <c r="E1954">
        <f>IF($A1954="","",IF(OR($B1954="",$C1954="",$D1954="",$B1954&lt;1300,$B1954&gt;1500,$C1954&lt;1,$C1954&gt;12,$D1954&lt;1,$D1954&gt;31),"نامعتبر",RIGHT("0000"&amp;$B1954,4)&amp;"/"&amp;RIGHT("00"&amp;$C1954,2)&amp;"/"&amp;RIGHT("00"&amp;$D1954,2)))</f>
        <v/>
      </c>
      <c r="F1954">
        <f>IF(OR($E1954="",$E1954="نامعتبر"),"",LEFT($E1954,4)&amp;"/"&amp;MID($E1954,6,2))</f>
        <v/>
      </c>
      <c r="G1954">
        <f>IF(OR($E1954="",$E1954="نامعتبر",Sync!$Y1951=""),"",Sync!$Y1951)</f>
        <v/>
      </c>
      <c r="H1954">
        <f>IF($G1954="","",IF(Sync!$X1951="","",Sync!$X1951))</f>
        <v/>
      </c>
      <c r="I1954">
        <f>IF($G1954="","",IFERROR(VLOOKUP(Sync!$X1951,OpTbl,3,0),""))</f>
        <v/>
      </c>
      <c r="J1954">
        <f>IF(OR($G1954="",Sync!$Z1951=""),"",Sync!$Z1951)</f>
        <v/>
      </c>
      <c r="K1954">
        <f>IF(OR($G1954="",Sync!$AA1951=""),"",Sync!$AA1951)</f>
        <v/>
      </c>
      <c r="L1954">
        <f>IF($G1954="",0,IF(Sync!$AB1951="",0,Sync!$AB1951))</f>
        <v/>
      </c>
      <c r="M1954">
        <f>IF($G1954="",0,IF(Sync!$AC1951="",0,Sync!$AC1951))</f>
        <v/>
      </c>
      <c r="N1954">
        <f>IF($G1954="","",IF($H1954="مرجوعی خرید",-1,1)*($L1954-$M1954*IFERROR(VLOOKUP("P01",ParamTbl,3,0),1.5))*(1-IF($I1954="خرید",IFERROR(VLOOKUP("P02",ParamTbl,3,0),1),0)/100))</f>
        <v/>
      </c>
      <c r="O1954">
        <f>IF($G1954="",0,IF($H1954="مرجوعی خرید",-1,1)*IF(Sync!$AD1951="",0,Sync!$AD1951))</f>
        <v/>
      </c>
      <c r="P1954">
        <f>IF(OR($G1954="",Sync!$W1951=""),"",Sync!$W1951)</f>
        <v/>
      </c>
      <c r="Q1954">
        <f>IF(OR($G1954="",Sync!$AE1951=""),"",Sync!$AE1951)</f>
        <v/>
      </c>
      <c r="R1954">
        <f>IF($G1954="","",IF(Sync!$V1951="","0000",IF(AND(ISNUMBER(Sync!$V1951),Sync!$V1951&gt;=0,Sync!$V1951&lt;1),RIGHT("00"&amp;HOUR(Sync!$V1951),2)&amp;RIGHT("00"&amp;MINUTE(Sync!$V1951),2),IFERROR(RIGHT("00"&amp;VALUE(LEFT(Sync!$V1951,FIND(":",Sync!$V1951)-1)),2)&amp;RIGHT("00"&amp;VALUE(MID(Sync!$V1951,FIND(":",Sync!$V1951)+1,2)),2),"0000"))))</f>
        <v/>
      </c>
    </row>
    <row r="1955">
      <c r="A1955">
        <f>IF(Sync!$U1952="","",Sync!$U1952)</f>
        <v/>
      </c>
      <c r="B1955">
        <f>IF($A1955="","",IF(ISNUMBER($A1955),IF(AND($A1955&gt;=10000101,$A1955&lt;=99991231),INT($A1955/10000),""),IFERROR(VALUE(TRIM(LEFT($A1955,FIND("/",$A1955)-1))),"")))</f>
        <v/>
      </c>
      <c r="C1955">
        <f>IF(OR($A1955="",$B1955=""),"",IF(ISNUMBER($A1955),INT(MOD($A1955,10000)/100),IFERROR(VALUE(TRIM(LEFT(MID($A1955,FIND("/",$A1955)+1,20),FIND("/",MID($A1955,FIND("/",$A1955)+1,20))-1))),"")))</f>
        <v/>
      </c>
      <c r="D1955">
        <f>IF(OR($A1955="",$B1955=""),"",IF(ISNUMBER($A1955),MOD($A1955,100),IFERROR(VALUE(TRIM(MID(MID($A1955,FIND("/",$A1955)+1,20),FIND("/",MID($A1955,FIND("/",$A1955)+1,20))+1,20))),"")))</f>
        <v/>
      </c>
      <c r="E1955">
        <f>IF($A1955="","",IF(OR($B1955="",$C1955="",$D1955="",$B1955&lt;1300,$B1955&gt;1500,$C1955&lt;1,$C1955&gt;12,$D1955&lt;1,$D1955&gt;31),"نامعتبر",RIGHT("0000"&amp;$B1955,4)&amp;"/"&amp;RIGHT("00"&amp;$C1955,2)&amp;"/"&amp;RIGHT("00"&amp;$D1955,2)))</f>
        <v/>
      </c>
      <c r="F1955">
        <f>IF(OR($E1955="",$E1955="نامعتبر"),"",LEFT($E1955,4)&amp;"/"&amp;MID($E1955,6,2))</f>
        <v/>
      </c>
      <c r="G1955">
        <f>IF(OR($E1955="",$E1955="نامعتبر",Sync!$Y1952=""),"",Sync!$Y1952)</f>
        <v/>
      </c>
      <c r="H1955">
        <f>IF($G1955="","",IF(Sync!$X1952="","",Sync!$X1952))</f>
        <v/>
      </c>
      <c r="I1955">
        <f>IF($G1955="","",IFERROR(VLOOKUP(Sync!$X1952,OpTbl,3,0),""))</f>
        <v/>
      </c>
      <c r="J1955">
        <f>IF(OR($G1955="",Sync!$Z1952=""),"",Sync!$Z1952)</f>
        <v/>
      </c>
      <c r="K1955">
        <f>IF(OR($G1955="",Sync!$AA1952=""),"",Sync!$AA1952)</f>
        <v/>
      </c>
      <c r="L1955">
        <f>IF($G1955="",0,IF(Sync!$AB1952="",0,Sync!$AB1952))</f>
        <v/>
      </c>
      <c r="M1955">
        <f>IF($G1955="",0,IF(Sync!$AC1952="",0,Sync!$AC1952))</f>
        <v/>
      </c>
      <c r="N1955">
        <f>IF($G1955="","",IF($H1955="مرجوعی خرید",-1,1)*($L1955-$M1955*IFERROR(VLOOKUP("P01",ParamTbl,3,0),1.5))*(1-IF($I1955="خرید",IFERROR(VLOOKUP("P02",ParamTbl,3,0),1),0)/100))</f>
        <v/>
      </c>
      <c r="O1955">
        <f>IF($G1955="",0,IF($H1955="مرجوعی خرید",-1,1)*IF(Sync!$AD1952="",0,Sync!$AD1952))</f>
        <v/>
      </c>
      <c r="P1955">
        <f>IF(OR($G1955="",Sync!$W1952=""),"",Sync!$W1952)</f>
        <v/>
      </c>
      <c r="Q1955">
        <f>IF(OR($G1955="",Sync!$AE1952=""),"",Sync!$AE1952)</f>
        <v/>
      </c>
      <c r="R1955">
        <f>IF($G1955="","",IF(Sync!$V1952="","0000",IF(AND(ISNUMBER(Sync!$V1952),Sync!$V1952&gt;=0,Sync!$V1952&lt;1),RIGHT("00"&amp;HOUR(Sync!$V1952),2)&amp;RIGHT("00"&amp;MINUTE(Sync!$V1952),2),IFERROR(RIGHT("00"&amp;VALUE(LEFT(Sync!$V1952,FIND(":",Sync!$V1952)-1)),2)&amp;RIGHT("00"&amp;VALUE(MID(Sync!$V1952,FIND(":",Sync!$V1952)+1,2)),2),"0000"))))</f>
        <v/>
      </c>
    </row>
    <row r="1956">
      <c r="A1956">
        <f>IF(Sync!$U1953="","",Sync!$U1953)</f>
        <v/>
      </c>
      <c r="B1956">
        <f>IF($A1956="","",IF(ISNUMBER($A1956),IF(AND($A1956&gt;=10000101,$A1956&lt;=99991231),INT($A1956/10000),""),IFERROR(VALUE(TRIM(LEFT($A1956,FIND("/",$A1956)-1))),"")))</f>
        <v/>
      </c>
      <c r="C1956">
        <f>IF(OR($A1956="",$B1956=""),"",IF(ISNUMBER($A1956),INT(MOD($A1956,10000)/100),IFERROR(VALUE(TRIM(LEFT(MID($A1956,FIND("/",$A1956)+1,20),FIND("/",MID($A1956,FIND("/",$A1956)+1,20))-1))),"")))</f>
        <v/>
      </c>
      <c r="D1956">
        <f>IF(OR($A1956="",$B1956=""),"",IF(ISNUMBER($A1956),MOD($A1956,100),IFERROR(VALUE(TRIM(MID(MID($A1956,FIND("/",$A1956)+1,20),FIND("/",MID($A1956,FIND("/",$A1956)+1,20))+1,20))),"")))</f>
        <v/>
      </c>
      <c r="E1956">
        <f>IF($A1956="","",IF(OR($B1956="",$C1956="",$D1956="",$B1956&lt;1300,$B1956&gt;1500,$C1956&lt;1,$C1956&gt;12,$D1956&lt;1,$D1956&gt;31),"نامعتبر",RIGHT("0000"&amp;$B1956,4)&amp;"/"&amp;RIGHT("00"&amp;$C1956,2)&amp;"/"&amp;RIGHT("00"&amp;$D1956,2)))</f>
        <v/>
      </c>
      <c r="F1956">
        <f>IF(OR($E1956="",$E1956="نامعتبر"),"",LEFT($E1956,4)&amp;"/"&amp;MID($E1956,6,2))</f>
        <v/>
      </c>
      <c r="G1956">
        <f>IF(OR($E1956="",$E1956="نامعتبر",Sync!$Y1953=""),"",Sync!$Y1953)</f>
        <v/>
      </c>
      <c r="H1956">
        <f>IF($G1956="","",IF(Sync!$X1953="","",Sync!$X1953))</f>
        <v/>
      </c>
      <c r="I1956">
        <f>IF($G1956="","",IFERROR(VLOOKUP(Sync!$X1953,OpTbl,3,0),""))</f>
        <v/>
      </c>
      <c r="J1956">
        <f>IF(OR($G1956="",Sync!$Z1953=""),"",Sync!$Z1953)</f>
        <v/>
      </c>
      <c r="K1956">
        <f>IF(OR($G1956="",Sync!$AA1953=""),"",Sync!$AA1953)</f>
        <v/>
      </c>
      <c r="L1956">
        <f>IF($G1956="",0,IF(Sync!$AB1953="",0,Sync!$AB1953))</f>
        <v/>
      </c>
      <c r="M1956">
        <f>IF($G1956="",0,IF(Sync!$AC1953="",0,Sync!$AC1953))</f>
        <v/>
      </c>
      <c r="N1956">
        <f>IF($G1956="","",IF($H1956="مرجوعی خرید",-1,1)*($L1956-$M1956*IFERROR(VLOOKUP("P01",ParamTbl,3,0),1.5))*(1-IF($I1956="خرید",IFERROR(VLOOKUP("P02",ParamTbl,3,0),1),0)/100))</f>
        <v/>
      </c>
      <c r="O1956">
        <f>IF($G1956="",0,IF($H1956="مرجوعی خرید",-1,1)*IF(Sync!$AD1953="",0,Sync!$AD1953))</f>
        <v/>
      </c>
      <c r="P1956">
        <f>IF(OR($G1956="",Sync!$W1953=""),"",Sync!$W1953)</f>
        <v/>
      </c>
      <c r="Q1956">
        <f>IF(OR($G1956="",Sync!$AE1953=""),"",Sync!$AE1953)</f>
        <v/>
      </c>
      <c r="R1956">
        <f>IF($G1956="","",IF(Sync!$V1953="","0000",IF(AND(ISNUMBER(Sync!$V1953),Sync!$V1953&gt;=0,Sync!$V1953&lt;1),RIGHT("00"&amp;HOUR(Sync!$V1953),2)&amp;RIGHT("00"&amp;MINUTE(Sync!$V1953),2),IFERROR(RIGHT("00"&amp;VALUE(LEFT(Sync!$V1953,FIND(":",Sync!$V1953)-1)),2)&amp;RIGHT("00"&amp;VALUE(MID(Sync!$V1953,FIND(":",Sync!$V1953)+1,2)),2),"0000"))))</f>
        <v/>
      </c>
    </row>
    <row r="1957">
      <c r="A1957">
        <f>IF(Sync!$U1954="","",Sync!$U1954)</f>
        <v/>
      </c>
      <c r="B1957">
        <f>IF($A1957="","",IF(ISNUMBER($A1957),IF(AND($A1957&gt;=10000101,$A1957&lt;=99991231),INT($A1957/10000),""),IFERROR(VALUE(TRIM(LEFT($A1957,FIND("/",$A1957)-1))),"")))</f>
        <v/>
      </c>
      <c r="C1957">
        <f>IF(OR($A1957="",$B1957=""),"",IF(ISNUMBER($A1957),INT(MOD($A1957,10000)/100),IFERROR(VALUE(TRIM(LEFT(MID($A1957,FIND("/",$A1957)+1,20),FIND("/",MID($A1957,FIND("/",$A1957)+1,20))-1))),"")))</f>
        <v/>
      </c>
      <c r="D1957">
        <f>IF(OR($A1957="",$B1957=""),"",IF(ISNUMBER($A1957),MOD($A1957,100),IFERROR(VALUE(TRIM(MID(MID($A1957,FIND("/",$A1957)+1,20),FIND("/",MID($A1957,FIND("/",$A1957)+1,20))+1,20))),"")))</f>
        <v/>
      </c>
      <c r="E1957">
        <f>IF($A1957="","",IF(OR($B1957="",$C1957="",$D1957="",$B1957&lt;1300,$B1957&gt;1500,$C1957&lt;1,$C1957&gt;12,$D1957&lt;1,$D1957&gt;31),"نامعتبر",RIGHT("0000"&amp;$B1957,4)&amp;"/"&amp;RIGHT("00"&amp;$C1957,2)&amp;"/"&amp;RIGHT("00"&amp;$D1957,2)))</f>
        <v/>
      </c>
      <c r="F1957">
        <f>IF(OR($E1957="",$E1957="نامعتبر"),"",LEFT($E1957,4)&amp;"/"&amp;MID($E1957,6,2))</f>
        <v/>
      </c>
      <c r="G1957">
        <f>IF(OR($E1957="",$E1957="نامعتبر",Sync!$Y1954=""),"",Sync!$Y1954)</f>
        <v/>
      </c>
      <c r="H1957">
        <f>IF($G1957="","",IF(Sync!$X1954="","",Sync!$X1954))</f>
        <v/>
      </c>
      <c r="I1957">
        <f>IF($G1957="","",IFERROR(VLOOKUP(Sync!$X1954,OpTbl,3,0),""))</f>
        <v/>
      </c>
      <c r="J1957">
        <f>IF(OR($G1957="",Sync!$Z1954=""),"",Sync!$Z1954)</f>
        <v/>
      </c>
      <c r="K1957">
        <f>IF(OR($G1957="",Sync!$AA1954=""),"",Sync!$AA1954)</f>
        <v/>
      </c>
      <c r="L1957">
        <f>IF($G1957="",0,IF(Sync!$AB1954="",0,Sync!$AB1954))</f>
        <v/>
      </c>
      <c r="M1957">
        <f>IF($G1957="",0,IF(Sync!$AC1954="",0,Sync!$AC1954))</f>
        <v/>
      </c>
      <c r="N1957">
        <f>IF($G1957="","",IF($H1957="مرجوعی خرید",-1,1)*($L1957-$M1957*IFERROR(VLOOKUP("P01",ParamTbl,3,0),1.5))*(1-IF($I1957="خرید",IFERROR(VLOOKUP("P02",ParamTbl,3,0),1),0)/100))</f>
        <v/>
      </c>
      <c r="O1957">
        <f>IF($G1957="",0,IF($H1957="مرجوعی خرید",-1,1)*IF(Sync!$AD1954="",0,Sync!$AD1954))</f>
        <v/>
      </c>
      <c r="P1957">
        <f>IF(OR($G1957="",Sync!$W1954=""),"",Sync!$W1954)</f>
        <v/>
      </c>
      <c r="Q1957">
        <f>IF(OR($G1957="",Sync!$AE1954=""),"",Sync!$AE1954)</f>
        <v/>
      </c>
      <c r="R1957">
        <f>IF($G1957="","",IF(Sync!$V1954="","0000",IF(AND(ISNUMBER(Sync!$V1954),Sync!$V1954&gt;=0,Sync!$V1954&lt;1),RIGHT("00"&amp;HOUR(Sync!$V1954),2)&amp;RIGHT("00"&amp;MINUTE(Sync!$V1954),2),IFERROR(RIGHT("00"&amp;VALUE(LEFT(Sync!$V1954,FIND(":",Sync!$V1954)-1)),2)&amp;RIGHT("00"&amp;VALUE(MID(Sync!$V1954,FIND(":",Sync!$V1954)+1,2)),2),"0000"))))</f>
        <v/>
      </c>
    </row>
    <row r="1958">
      <c r="A1958">
        <f>IF(Sync!$U1955="","",Sync!$U1955)</f>
        <v/>
      </c>
      <c r="B1958">
        <f>IF($A1958="","",IF(ISNUMBER($A1958),IF(AND($A1958&gt;=10000101,$A1958&lt;=99991231),INT($A1958/10000),""),IFERROR(VALUE(TRIM(LEFT($A1958,FIND("/",$A1958)-1))),"")))</f>
        <v/>
      </c>
      <c r="C1958">
        <f>IF(OR($A1958="",$B1958=""),"",IF(ISNUMBER($A1958),INT(MOD($A1958,10000)/100),IFERROR(VALUE(TRIM(LEFT(MID($A1958,FIND("/",$A1958)+1,20),FIND("/",MID($A1958,FIND("/",$A1958)+1,20))-1))),"")))</f>
        <v/>
      </c>
      <c r="D1958">
        <f>IF(OR($A1958="",$B1958=""),"",IF(ISNUMBER($A1958),MOD($A1958,100),IFERROR(VALUE(TRIM(MID(MID($A1958,FIND("/",$A1958)+1,20),FIND("/",MID($A1958,FIND("/",$A1958)+1,20))+1,20))),"")))</f>
        <v/>
      </c>
      <c r="E1958">
        <f>IF($A1958="","",IF(OR($B1958="",$C1958="",$D1958="",$B1958&lt;1300,$B1958&gt;1500,$C1958&lt;1,$C1958&gt;12,$D1958&lt;1,$D1958&gt;31),"نامعتبر",RIGHT("0000"&amp;$B1958,4)&amp;"/"&amp;RIGHT("00"&amp;$C1958,2)&amp;"/"&amp;RIGHT("00"&amp;$D1958,2)))</f>
        <v/>
      </c>
      <c r="F1958">
        <f>IF(OR($E1958="",$E1958="نامعتبر"),"",LEFT($E1958,4)&amp;"/"&amp;MID($E1958,6,2))</f>
        <v/>
      </c>
      <c r="G1958">
        <f>IF(OR($E1958="",$E1958="نامعتبر",Sync!$Y1955=""),"",Sync!$Y1955)</f>
        <v/>
      </c>
      <c r="H1958">
        <f>IF($G1958="","",IF(Sync!$X1955="","",Sync!$X1955))</f>
        <v/>
      </c>
      <c r="I1958">
        <f>IF($G1958="","",IFERROR(VLOOKUP(Sync!$X1955,OpTbl,3,0),""))</f>
        <v/>
      </c>
      <c r="J1958">
        <f>IF(OR($G1958="",Sync!$Z1955=""),"",Sync!$Z1955)</f>
        <v/>
      </c>
      <c r="K1958">
        <f>IF(OR($G1958="",Sync!$AA1955=""),"",Sync!$AA1955)</f>
        <v/>
      </c>
      <c r="L1958">
        <f>IF($G1958="",0,IF(Sync!$AB1955="",0,Sync!$AB1955))</f>
        <v/>
      </c>
      <c r="M1958">
        <f>IF($G1958="",0,IF(Sync!$AC1955="",0,Sync!$AC1955))</f>
        <v/>
      </c>
      <c r="N1958">
        <f>IF($G1958="","",IF($H1958="مرجوعی خرید",-1,1)*($L1958-$M1958*IFERROR(VLOOKUP("P01",ParamTbl,3,0),1.5))*(1-IF($I1958="خرید",IFERROR(VLOOKUP("P02",ParamTbl,3,0),1),0)/100))</f>
        <v/>
      </c>
      <c r="O1958">
        <f>IF($G1958="",0,IF($H1958="مرجوعی خرید",-1,1)*IF(Sync!$AD1955="",0,Sync!$AD1955))</f>
        <v/>
      </c>
      <c r="P1958">
        <f>IF(OR($G1958="",Sync!$W1955=""),"",Sync!$W1955)</f>
        <v/>
      </c>
      <c r="Q1958">
        <f>IF(OR($G1958="",Sync!$AE1955=""),"",Sync!$AE1955)</f>
        <v/>
      </c>
      <c r="R1958">
        <f>IF($G1958="","",IF(Sync!$V1955="","0000",IF(AND(ISNUMBER(Sync!$V1955),Sync!$V1955&gt;=0,Sync!$V1955&lt;1),RIGHT("00"&amp;HOUR(Sync!$V1955),2)&amp;RIGHT("00"&amp;MINUTE(Sync!$V1955),2),IFERROR(RIGHT("00"&amp;VALUE(LEFT(Sync!$V1955,FIND(":",Sync!$V1955)-1)),2)&amp;RIGHT("00"&amp;VALUE(MID(Sync!$V1955,FIND(":",Sync!$V1955)+1,2)),2),"0000"))))</f>
        <v/>
      </c>
    </row>
    <row r="1959">
      <c r="A1959">
        <f>IF(Sync!$U1956="","",Sync!$U1956)</f>
        <v/>
      </c>
      <c r="B1959">
        <f>IF($A1959="","",IF(ISNUMBER($A1959),IF(AND($A1959&gt;=10000101,$A1959&lt;=99991231),INT($A1959/10000),""),IFERROR(VALUE(TRIM(LEFT($A1959,FIND("/",$A1959)-1))),"")))</f>
        <v/>
      </c>
      <c r="C1959">
        <f>IF(OR($A1959="",$B1959=""),"",IF(ISNUMBER($A1959),INT(MOD($A1959,10000)/100),IFERROR(VALUE(TRIM(LEFT(MID($A1959,FIND("/",$A1959)+1,20),FIND("/",MID($A1959,FIND("/",$A1959)+1,20))-1))),"")))</f>
        <v/>
      </c>
      <c r="D1959">
        <f>IF(OR($A1959="",$B1959=""),"",IF(ISNUMBER($A1959),MOD($A1959,100),IFERROR(VALUE(TRIM(MID(MID($A1959,FIND("/",$A1959)+1,20),FIND("/",MID($A1959,FIND("/",$A1959)+1,20))+1,20))),"")))</f>
        <v/>
      </c>
      <c r="E1959">
        <f>IF($A1959="","",IF(OR($B1959="",$C1959="",$D1959="",$B1959&lt;1300,$B1959&gt;1500,$C1959&lt;1,$C1959&gt;12,$D1959&lt;1,$D1959&gt;31),"نامعتبر",RIGHT("0000"&amp;$B1959,4)&amp;"/"&amp;RIGHT("00"&amp;$C1959,2)&amp;"/"&amp;RIGHT("00"&amp;$D1959,2)))</f>
        <v/>
      </c>
      <c r="F1959">
        <f>IF(OR($E1959="",$E1959="نامعتبر"),"",LEFT($E1959,4)&amp;"/"&amp;MID($E1959,6,2))</f>
        <v/>
      </c>
      <c r="G1959">
        <f>IF(OR($E1959="",$E1959="نامعتبر",Sync!$Y1956=""),"",Sync!$Y1956)</f>
        <v/>
      </c>
      <c r="H1959">
        <f>IF($G1959="","",IF(Sync!$X1956="","",Sync!$X1956))</f>
        <v/>
      </c>
      <c r="I1959">
        <f>IF($G1959="","",IFERROR(VLOOKUP(Sync!$X1956,OpTbl,3,0),""))</f>
        <v/>
      </c>
      <c r="J1959">
        <f>IF(OR($G1959="",Sync!$Z1956=""),"",Sync!$Z1956)</f>
        <v/>
      </c>
      <c r="K1959">
        <f>IF(OR($G1959="",Sync!$AA1956=""),"",Sync!$AA1956)</f>
        <v/>
      </c>
      <c r="L1959">
        <f>IF($G1959="",0,IF(Sync!$AB1956="",0,Sync!$AB1956))</f>
        <v/>
      </c>
      <c r="M1959">
        <f>IF($G1959="",0,IF(Sync!$AC1956="",0,Sync!$AC1956))</f>
        <v/>
      </c>
      <c r="N1959">
        <f>IF($G1959="","",IF($H1959="مرجوعی خرید",-1,1)*($L1959-$M1959*IFERROR(VLOOKUP("P01",ParamTbl,3,0),1.5))*(1-IF($I1959="خرید",IFERROR(VLOOKUP("P02",ParamTbl,3,0),1),0)/100))</f>
        <v/>
      </c>
      <c r="O1959">
        <f>IF($G1959="",0,IF($H1959="مرجوعی خرید",-1,1)*IF(Sync!$AD1956="",0,Sync!$AD1956))</f>
        <v/>
      </c>
      <c r="P1959">
        <f>IF(OR($G1959="",Sync!$W1956=""),"",Sync!$W1956)</f>
        <v/>
      </c>
      <c r="Q1959">
        <f>IF(OR($G1959="",Sync!$AE1956=""),"",Sync!$AE1956)</f>
        <v/>
      </c>
      <c r="R1959">
        <f>IF($G1959="","",IF(Sync!$V1956="","0000",IF(AND(ISNUMBER(Sync!$V1956),Sync!$V1956&gt;=0,Sync!$V1956&lt;1),RIGHT("00"&amp;HOUR(Sync!$V1956),2)&amp;RIGHT("00"&amp;MINUTE(Sync!$V1956),2),IFERROR(RIGHT("00"&amp;VALUE(LEFT(Sync!$V1956,FIND(":",Sync!$V1956)-1)),2)&amp;RIGHT("00"&amp;VALUE(MID(Sync!$V1956,FIND(":",Sync!$V1956)+1,2)),2),"0000"))))</f>
        <v/>
      </c>
    </row>
    <row r="1960">
      <c r="A1960">
        <f>IF(Sync!$U1957="","",Sync!$U1957)</f>
        <v/>
      </c>
      <c r="B1960">
        <f>IF($A1960="","",IF(ISNUMBER($A1960),IF(AND($A1960&gt;=10000101,$A1960&lt;=99991231),INT($A1960/10000),""),IFERROR(VALUE(TRIM(LEFT($A1960,FIND("/",$A1960)-1))),"")))</f>
        <v/>
      </c>
      <c r="C1960">
        <f>IF(OR($A1960="",$B1960=""),"",IF(ISNUMBER($A1960),INT(MOD($A1960,10000)/100),IFERROR(VALUE(TRIM(LEFT(MID($A1960,FIND("/",$A1960)+1,20),FIND("/",MID($A1960,FIND("/",$A1960)+1,20))-1))),"")))</f>
        <v/>
      </c>
      <c r="D1960">
        <f>IF(OR($A1960="",$B1960=""),"",IF(ISNUMBER($A1960),MOD($A1960,100),IFERROR(VALUE(TRIM(MID(MID($A1960,FIND("/",$A1960)+1,20),FIND("/",MID($A1960,FIND("/",$A1960)+1,20))+1,20))),"")))</f>
        <v/>
      </c>
      <c r="E1960">
        <f>IF($A1960="","",IF(OR($B1960="",$C1960="",$D1960="",$B1960&lt;1300,$B1960&gt;1500,$C1960&lt;1,$C1960&gt;12,$D1960&lt;1,$D1960&gt;31),"نامعتبر",RIGHT("0000"&amp;$B1960,4)&amp;"/"&amp;RIGHT("00"&amp;$C1960,2)&amp;"/"&amp;RIGHT("00"&amp;$D1960,2)))</f>
        <v/>
      </c>
      <c r="F1960">
        <f>IF(OR($E1960="",$E1960="نامعتبر"),"",LEFT($E1960,4)&amp;"/"&amp;MID($E1960,6,2))</f>
        <v/>
      </c>
      <c r="G1960">
        <f>IF(OR($E1960="",$E1960="نامعتبر",Sync!$Y1957=""),"",Sync!$Y1957)</f>
        <v/>
      </c>
      <c r="H1960">
        <f>IF($G1960="","",IF(Sync!$X1957="","",Sync!$X1957))</f>
        <v/>
      </c>
      <c r="I1960">
        <f>IF($G1960="","",IFERROR(VLOOKUP(Sync!$X1957,OpTbl,3,0),""))</f>
        <v/>
      </c>
      <c r="J1960">
        <f>IF(OR($G1960="",Sync!$Z1957=""),"",Sync!$Z1957)</f>
        <v/>
      </c>
      <c r="K1960">
        <f>IF(OR($G1960="",Sync!$AA1957=""),"",Sync!$AA1957)</f>
        <v/>
      </c>
      <c r="L1960">
        <f>IF($G1960="",0,IF(Sync!$AB1957="",0,Sync!$AB1957))</f>
        <v/>
      </c>
      <c r="M1960">
        <f>IF($G1960="",0,IF(Sync!$AC1957="",0,Sync!$AC1957))</f>
        <v/>
      </c>
      <c r="N1960">
        <f>IF($G1960="","",IF($H1960="مرجوعی خرید",-1,1)*($L1960-$M1960*IFERROR(VLOOKUP("P01",ParamTbl,3,0),1.5))*(1-IF($I1960="خرید",IFERROR(VLOOKUP("P02",ParamTbl,3,0),1),0)/100))</f>
        <v/>
      </c>
      <c r="O1960">
        <f>IF($G1960="",0,IF($H1960="مرجوعی خرید",-1,1)*IF(Sync!$AD1957="",0,Sync!$AD1957))</f>
        <v/>
      </c>
      <c r="P1960">
        <f>IF(OR($G1960="",Sync!$W1957=""),"",Sync!$W1957)</f>
        <v/>
      </c>
      <c r="Q1960">
        <f>IF(OR($G1960="",Sync!$AE1957=""),"",Sync!$AE1957)</f>
        <v/>
      </c>
      <c r="R1960">
        <f>IF($G1960="","",IF(Sync!$V1957="","0000",IF(AND(ISNUMBER(Sync!$V1957),Sync!$V1957&gt;=0,Sync!$V1957&lt;1),RIGHT("00"&amp;HOUR(Sync!$V1957),2)&amp;RIGHT("00"&amp;MINUTE(Sync!$V1957),2),IFERROR(RIGHT("00"&amp;VALUE(LEFT(Sync!$V1957,FIND(":",Sync!$V1957)-1)),2)&amp;RIGHT("00"&amp;VALUE(MID(Sync!$V1957,FIND(":",Sync!$V1957)+1,2)),2),"0000"))))</f>
        <v/>
      </c>
    </row>
    <row r="1961">
      <c r="A1961">
        <f>IF(Sync!$U1958="","",Sync!$U1958)</f>
        <v/>
      </c>
      <c r="B1961">
        <f>IF($A1961="","",IF(ISNUMBER($A1961),IF(AND($A1961&gt;=10000101,$A1961&lt;=99991231),INT($A1961/10000),""),IFERROR(VALUE(TRIM(LEFT($A1961,FIND("/",$A1961)-1))),"")))</f>
        <v/>
      </c>
      <c r="C1961">
        <f>IF(OR($A1961="",$B1961=""),"",IF(ISNUMBER($A1961),INT(MOD($A1961,10000)/100),IFERROR(VALUE(TRIM(LEFT(MID($A1961,FIND("/",$A1961)+1,20),FIND("/",MID($A1961,FIND("/",$A1961)+1,20))-1))),"")))</f>
        <v/>
      </c>
      <c r="D1961">
        <f>IF(OR($A1961="",$B1961=""),"",IF(ISNUMBER($A1961),MOD($A1961,100),IFERROR(VALUE(TRIM(MID(MID($A1961,FIND("/",$A1961)+1,20),FIND("/",MID($A1961,FIND("/",$A1961)+1,20))+1,20))),"")))</f>
        <v/>
      </c>
      <c r="E1961">
        <f>IF($A1961="","",IF(OR($B1961="",$C1961="",$D1961="",$B1961&lt;1300,$B1961&gt;1500,$C1961&lt;1,$C1961&gt;12,$D1961&lt;1,$D1961&gt;31),"نامعتبر",RIGHT("0000"&amp;$B1961,4)&amp;"/"&amp;RIGHT("00"&amp;$C1961,2)&amp;"/"&amp;RIGHT("00"&amp;$D1961,2)))</f>
        <v/>
      </c>
      <c r="F1961">
        <f>IF(OR($E1961="",$E1961="نامعتبر"),"",LEFT($E1961,4)&amp;"/"&amp;MID($E1961,6,2))</f>
        <v/>
      </c>
      <c r="G1961">
        <f>IF(OR($E1961="",$E1961="نامعتبر",Sync!$Y1958=""),"",Sync!$Y1958)</f>
        <v/>
      </c>
      <c r="H1961">
        <f>IF($G1961="","",IF(Sync!$X1958="","",Sync!$X1958))</f>
        <v/>
      </c>
      <c r="I1961">
        <f>IF($G1961="","",IFERROR(VLOOKUP(Sync!$X1958,OpTbl,3,0),""))</f>
        <v/>
      </c>
      <c r="J1961">
        <f>IF(OR($G1961="",Sync!$Z1958=""),"",Sync!$Z1958)</f>
        <v/>
      </c>
      <c r="K1961">
        <f>IF(OR($G1961="",Sync!$AA1958=""),"",Sync!$AA1958)</f>
        <v/>
      </c>
      <c r="L1961">
        <f>IF($G1961="",0,IF(Sync!$AB1958="",0,Sync!$AB1958))</f>
        <v/>
      </c>
      <c r="M1961">
        <f>IF($G1961="",0,IF(Sync!$AC1958="",0,Sync!$AC1958))</f>
        <v/>
      </c>
      <c r="N1961">
        <f>IF($G1961="","",IF($H1961="مرجوعی خرید",-1,1)*($L1961-$M1961*IFERROR(VLOOKUP("P01",ParamTbl,3,0),1.5))*(1-IF($I1961="خرید",IFERROR(VLOOKUP("P02",ParamTbl,3,0),1),0)/100))</f>
        <v/>
      </c>
      <c r="O1961">
        <f>IF($G1961="",0,IF($H1961="مرجوعی خرید",-1,1)*IF(Sync!$AD1958="",0,Sync!$AD1958))</f>
        <v/>
      </c>
      <c r="P1961">
        <f>IF(OR($G1961="",Sync!$W1958=""),"",Sync!$W1958)</f>
        <v/>
      </c>
      <c r="Q1961">
        <f>IF(OR($G1961="",Sync!$AE1958=""),"",Sync!$AE1958)</f>
        <v/>
      </c>
      <c r="R1961">
        <f>IF($G1961="","",IF(Sync!$V1958="","0000",IF(AND(ISNUMBER(Sync!$V1958),Sync!$V1958&gt;=0,Sync!$V1958&lt;1),RIGHT("00"&amp;HOUR(Sync!$V1958),2)&amp;RIGHT("00"&amp;MINUTE(Sync!$V1958),2),IFERROR(RIGHT("00"&amp;VALUE(LEFT(Sync!$V1958,FIND(":",Sync!$V1958)-1)),2)&amp;RIGHT("00"&amp;VALUE(MID(Sync!$V1958,FIND(":",Sync!$V1958)+1,2)),2),"0000"))))</f>
        <v/>
      </c>
    </row>
    <row r="1962">
      <c r="A1962">
        <f>IF(Sync!$U1959="","",Sync!$U1959)</f>
        <v/>
      </c>
      <c r="B1962">
        <f>IF($A1962="","",IF(ISNUMBER($A1962),IF(AND($A1962&gt;=10000101,$A1962&lt;=99991231),INT($A1962/10000),""),IFERROR(VALUE(TRIM(LEFT($A1962,FIND("/",$A1962)-1))),"")))</f>
        <v/>
      </c>
      <c r="C1962">
        <f>IF(OR($A1962="",$B1962=""),"",IF(ISNUMBER($A1962),INT(MOD($A1962,10000)/100),IFERROR(VALUE(TRIM(LEFT(MID($A1962,FIND("/",$A1962)+1,20),FIND("/",MID($A1962,FIND("/",$A1962)+1,20))-1))),"")))</f>
        <v/>
      </c>
      <c r="D1962">
        <f>IF(OR($A1962="",$B1962=""),"",IF(ISNUMBER($A1962),MOD($A1962,100),IFERROR(VALUE(TRIM(MID(MID($A1962,FIND("/",$A1962)+1,20),FIND("/",MID($A1962,FIND("/",$A1962)+1,20))+1,20))),"")))</f>
        <v/>
      </c>
      <c r="E1962">
        <f>IF($A1962="","",IF(OR($B1962="",$C1962="",$D1962="",$B1962&lt;1300,$B1962&gt;1500,$C1962&lt;1,$C1962&gt;12,$D1962&lt;1,$D1962&gt;31),"نامعتبر",RIGHT("0000"&amp;$B1962,4)&amp;"/"&amp;RIGHT("00"&amp;$C1962,2)&amp;"/"&amp;RIGHT("00"&amp;$D1962,2)))</f>
        <v/>
      </c>
      <c r="F1962">
        <f>IF(OR($E1962="",$E1962="نامعتبر"),"",LEFT($E1962,4)&amp;"/"&amp;MID($E1962,6,2))</f>
        <v/>
      </c>
      <c r="G1962">
        <f>IF(OR($E1962="",$E1962="نامعتبر",Sync!$Y1959=""),"",Sync!$Y1959)</f>
        <v/>
      </c>
      <c r="H1962">
        <f>IF($G1962="","",IF(Sync!$X1959="","",Sync!$X1959))</f>
        <v/>
      </c>
      <c r="I1962">
        <f>IF($G1962="","",IFERROR(VLOOKUP(Sync!$X1959,OpTbl,3,0),""))</f>
        <v/>
      </c>
      <c r="J1962">
        <f>IF(OR($G1962="",Sync!$Z1959=""),"",Sync!$Z1959)</f>
        <v/>
      </c>
      <c r="K1962">
        <f>IF(OR($G1962="",Sync!$AA1959=""),"",Sync!$AA1959)</f>
        <v/>
      </c>
      <c r="L1962">
        <f>IF($G1962="",0,IF(Sync!$AB1959="",0,Sync!$AB1959))</f>
        <v/>
      </c>
      <c r="M1962">
        <f>IF($G1962="",0,IF(Sync!$AC1959="",0,Sync!$AC1959))</f>
        <v/>
      </c>
      <c r="N1962">
        <f>IF($G1962="","",IF($H1962="مرجوعی خرید",-1,1)*($L1962-$M1962*IFERROR(VLOOKUP("P01",ParamTbl,3,0),1.5))*(1-IF($I1962="خرید",IFERROR(VLOOKUP("P02",ParamTbl,3,0),1),0)/100))</f>
        <v/>
      </c>
      <c r="O1962">
        <f>IF($G1962="",0,IF($H1962="مرجوعی خرید",-1,1)*IF(Sync!$AD1959="",0,Sync!$AD1959))</f>
        <v/>
      </c>
      <c r="P1962">
        <f>IF(OR($G1962="",Sync!$W1959=""),"",Sync!$W1959)</f>
        <v/>
      </c>
      <c r="Q1962">
        <f>IF(OR($G1962="",Sync!$AE1959=""),"",Sync!$AE1959)</f>
        <v/>
      </c>
      <c r="R1962">
        <f>IF($G1962="","",IF(Sync!$V1959="","0000",IF(AND(ISNUMBER(Sync!$V1959),Sync!$V1959&gt;=0,Sync!$V1959&lt;1),RIGHT("00"&amp;HOUR(Sync!$V1959),2)&amp;RIGHT("00"&amp;MINUTE(Sync!$V1959),2),IFERROR(RIGHT("00"&amp;VALUE(LEFT(Sync!$V1959,FIND(":",Sync!$V1959)-1)),2)&amp;RIGHT("00"&amp;VALUE(MID(Sync!$V1959,FIND(":",Sync!$V1959)+1,2)),2),"0000"))))</f>
        <v/>
      </c>
    </row>
    <row r="1963">
      <c r="A1963">
        <f>IF(Sync!$U1960="","",Sync!$U1960)</f>
        <v/>
      </c>
      <c r="B1963">
        <f>IF($A1963="","",IF(ISNUMBER($A1963),IF(AND($A1963&gt;=10000101,$A1963&lt;=99991231),INT($A1963/10000),""),IFERROR(VALUE(TRIM(LEFT($A1963,FIND("/",$A1963)-1))),"")))</f>
        <v/>
      </c>
      <c r="C1963">
        <f>IF(OR($A1963="",$B1963=""),"",IF(ISNUMBER($A1963),INT(MOD($A1963,10000)/100),IFERROR(VALUE(TRIM(LEFT(MID($A1963,FIND("/",$A1963)+1,20),FIND("/",MID($A1963,FIND("/",$A1963)+1,20))-1))),"")))</f>
        <v/>
      </c>
      <c r="D1963">
        <f>IF(OR($A1963="",$B1963=""),"",IF(ISNUMBER($A1963),MOD($A1963,100),IFERROR(VALUE(TRIM(MID(MID($A1963,FIND("/",$A1963)+1,20),FIND("/",MID($A1963,FIND("/",$A1963)+1,20))+1,20))),"")))</f>
        <v/>
      </c>
      <c r="E1963">
        <f>IF($A1963="","",IF(OR($B1963="",$C1963="",$D1963="",$B1963&lt;1300,$B1963&gt;1500,$C1963&lt;1,$C1963&gt;12,$D1963&lt;1,$D1963&gt;31),"نامعتبر",RIGHT("0000"&amp;$B1963,4)&amp;"/"&amp;RIGHT("00"&amp;$C1963,2)&amp;"/"&amp;RIGHT("00"&amp;$D1963,2)))</f>
        <v/>
      </c>
      <c r="F1963">
        <f>IF(OR($E1963="",$E1963="نامعتبر"),"",LEFT($E1963,4)&amp;"/"&amp;MID($E1963,6,2))</f>
        <v/>
      </c>
      <c r="G1963">
        <f>IF(OR($E1963="",$E1963="نامعتبر",Sync!$Y1960=""),"",Sync!$Y1960)</f>
        <v/>
      </c>
      <c r="H1963">
        <f>IF($G1963="","",IF(Sync!$X1960="","",Sync!$X1960))</f>
        <v/>
      </c>
      <c r="I1963">
        <f>IF($G1963="","",IFERROR(VLOOKUP(Sync!$X1960,OpTbl,3,0),""))</f>
        <v/>
      </c>
      <c r="J1963">
        <f>IF(OR($G1963="",Sync!$Z1960=""),"",Sync!$Z1960)</f>
        <v/>
      </c>
      <c r="K1963">
        <f>IF(OR($G1963="",Sync!$AA1960=""),"",Sync!$AA1960)</f>
        <v/>
      </c>
      <c r="L1963">
        <f>IF($G1963="",0,IF(Sync!$AB1960="",0,Sync!$AB1960))</f>
        <v/>
      </c>
      <c r="M1963">
        <f>IF($G1963="",0,IF(Sync!$AC1960="",0,Sync!$AC1960))</f>
        <v/>
      </c>
      <c r="N1963">
        <f>IF($G1963="","",IF($H1963="مرجوعی خرید",-1,1)*($L1963-$M1963*IFERROR(VLOOKUP("P01",ParamTbl,3,0),1.5))*(1-IF($I1963="خرید",IFERROR(VLOOKUP("P02",ParamTbl,3,0),1),0)/100))</f>
        <v/>
      </c>
      <c r="O1963">
        <f>IF($G1963="",0,IF($H1963="مرجوعی خرید",-1,1)*IF(Sync!$AD1960="",0,Sync!$AD1960))</f>
        <v/>
      </c>
      <c r="P1963">
        <f>IF(OR($G1963="",Sync!$W1960=""),"",Sync!$W1960)</f>
        <v/>
      </c>
      <c r="Q1963">
        <f>IF(OR($G1963="",Sync!$AE1960=""),"",Sync!$AE1960)</f>
        <v/>
      </c>
      <c r="R1963">
        <f>IF($G1963="","",IF(Sync!$V1960="","0000",IF(AND(ISNUMBER(Sync!$V1960),Sync!$V1960&gt;=0,Sync!$V1960&lt;1),RIGHT("00"&amp;HOUR(Sync!$V1960),2)&amp;RIGHT("00"&amp;MINUTE(Sync!$V1960),2),IFERROR(RIGHT("00"&amp;VALUE(LEFT(Sync!$V1960,FIND(":",Sync!$V1960)-1)),2)&amp;RIGHT("00"&amp;VALUE(MID(Sync!$V1960,FIND(":",Sync!$V1960)+1,2)),2),"0000"))))</f>
        <v/>
      </c>
    </row>
    <row r="1964">
      <c r="A1964">
        <f>IF(Sync!$U1961="","",Sync!$U1961)</f>
        <v/>
      </c>
      <c r="B1964">
        <f>IF($A1964="","",IF(ISNUMBER($A1964),IF(AND($A1964&gt;=10000101,$A1964&lt;=99991231),INT($A1964/10000),""),IFERROR(VALUE(TRIM(LEFT($A1964,FIND("/",$A1964)-1))),"")))</f>
        <v/>
      </c>
      <c r="C1964">
        <f>IF(OR($A1964="",$B1964=""),"",IF(ISNUMBER($A1964),INT(MOD($A1964,10000)/100),IFERROR(VALUE(TRIM(LEFT(MID($A1964,FIND("/",$A1964)+1,20),FIND("/",MID($A1964,FIND("/",$A1964)+1,20))-1))),"")))</f>
        <v/>
      </c>
      <c r="D1964">
        <f>IF(OR($A1964="",$B1964=""),"",IF(ISNUMBER($A1964),MOD($A1964,100),IFERROR(VALUE(TRIM(MID(MID($A1964,FIND("/",$A1964)+1,20),FIND("/",MID($A1964,FIND("/",$A1964)+1,20))+1,20))),"")))</f>
        <v/>
      </c>
      <c r="E1964">
        <f>IF($A1964="","",IF(OR($B1964="",$C1964="",$D1964="",$B1964&lt;1300,$B1964&gt;1500,$C1964&lt;1,$C1964&gt;12,$D1964&lt;1,$D1964&gt;31),"نامعتبر",RIGHT("0000"&amp;$B1964,4)&amp;"/"&amp;RIGHT("00"&amp;$C1964,2)&amp;"/"&amp;RIGHT("00"&amp;$D1964,2)))</f>
        <v/>
      </c>
      <c r="F1964">
        <f>IF(OR($E1964="",$E1964="نامعتبر"),"",LEFT($E1964,4)&amp;"/"&amp;MID($E1964,6,2))</f>
        <v/>
      </c>
      <c r="G1964">
        <f>IF(OR($E1964="",$E1964="نامعتبر",Sync!$Y1961=""),"",Sync!$Y1961)</f>
        <v/>
      </c>
      <c r="H1964">
        <f>IF($G1964="","",IF(Sync!$X1961="","",Sync!$X1961))</f>
        <v/>
      </c>
      <c r="I1964">
        <f>IF($G1964="","",IFERROR(VLOOKUP(Sync!$X1961,OpTbl,3,0),""))</f>
        <v/>
      </c>
      <c r="J1964">
        <f>IF(OR($G1964="",Sync!$Z1961=""),"",Sync!$Z1961)</f>
        <v/>
      </c>
      <c r="K1964">
        <f>IF(OR($G1964="",Sync!$AA1961=""),"",Sync!$AA1961)</f>
        <v/>
      </c>
      <c r="L1964">
        <f>IF($G1964="",0,IF(Sync!$AB1961="",0,Sync!$AB1961))</f>
        <v/>
      </c>
      <c r="M1964">
        <f>IF($G1964="",0,IF(Sync!$AC1961="",0,Sync!$AC1961))</f>
        <v/>
      </c>
      <c r="N1964">
        <f>IF($G1964="","",IF($H1964="مرجوعی خرید",-1,1)*($L1964-$M1964*IFERROR(VLOOKUP("P01",ParamTbl,3,0),1.5))*(1-IF($I1964="خرید",IFERROR(VLOOKUP("P02",ParamTbl,3,0),1),0)/100))</f>
        <v/>
      </c>
      <c r="O1964">
        <f>IF($G1964="",0,IF($H1964="مرجوعی خرید",-1,1)*IF(Sync!$AD1961="",0,Sync!$AD1961))</f>
        <v/>
      </c>
      <c r="P1964">
        <f>IF(OR($G1964="",Sync!$W1961=""),"",Sync!$W1961)</f>
        <v/>
      </c>
      <c r="Q1964">
        <f>IF(OR($G1964="",Sync!$AE1961=""),"",Sync!$AE1961)</f>
        <v/>
      </c>
      <c r="R1964">
        <f>IF($G1964="","",IF(Sync!$V1961="","0000",IF(AND(ISNUMBER(Sync!$V1961),Sync!$V1961&gt;=0,Sync!$V1961&lt;1),RIGHT("00"&amp;HOUR(Sync!$V1961),2)&amp;RIGHT("00"&amp;MINUTE(Sync!$V1961),2),IFERROR(RIGHT("00"&amp;VALUE(LEFT(Sync!$V1961,FIND(":",Sync!$V1961)-1)),2)&amp;RIGHT("00"&amp;VALUE(MID(Sync!$V1961,FIND(":",Sync!$V1961)+1,2)),2),"0000"))))</f>
        <v/>
      </c>
    </row>
    <row r="1965">
      <c r="A1965">
        <f>IF(Sync!$U1962="","",Sync!$U1962)</f>
        <v/>
      </c>
      <c r="B1965">
        <f>IF($A1965="","",IF(ISNUMBER($A1965),IF(AND($A1965&gt;=10000101,$A1965&lt;=99991231),INT($A1965/10000),""),IFERROR(VALUE(TRIM(LEFT($A1965,FIND("/",$A1965)-1))),"")))</f>
        <v/>
      </c>
      <c r="C1965">
        <f>IF(OR($A1965="",$B1965=""),"",IF(ISNUMBER($A1965),INT(MOD($A1965,10000)/100),IFERROR(VALUE(TRIM(LEFT(MID($A1965,FIND("/",$A1965)+1,20),FIND("/",MID($A1965,FIND("/",$A1965)+1,20))-1))),"")))</f>
        <v/>
      </c>
      <c r="D1965">
        <f>IF(OR($A1965="",$B1965=""),"",IF(ISNUMBER($A1965),MOD($A1965,100),IFERROR(VALUE(TRIM(MID(MID($A1965,FIND("/",$A1965)+1,20),FIND("/",MID($A1965,FIND("/",$A1965)+1,20))+1,20))),"")))</f>
        <v/>
      </c>
      <c r="E1965">
        <f>IF($A1965="","",IF(OR($B1965="",$C1965="",$D1965="",$B1965&lt;1300,$B1965&gt;1500,$C1965&lt;1,$C1965&gt;12,$D1965&lt;1,$D1965&gt;31),"نامعتبر",RIGHT("0000"&amp;$B1965,4)&amp;"/"&amp;RIGHT("00"&amp;$C1965,2)&amp;"/"&amp;RIGHT("00"&amp;$D1965,2)))</f>
        <v/>
      </c>
      <c r="F1965">
        <f>IF(OR($E1965="",$E1965="نامعتبر"),"",LEFT($E1965,4)&amp;"/"&amp;MID($E1965,6,2))</f>
        <v/>
      </c>
      <c r="G1965">
        <f>IF(OR($E1965="",$E1965="نامعتبر",Sync!$Y1962=""),"",Sync!$Y1962)</f>
        <v/>
      </c>
      <c r="H1965">
        <f>IF($G1965="","",IF(Sync!$X1962="","",Sync!$X1962))</f>
        <v/>
      </c>
      <c r="I1965">
        <f>IF($G1965="","",IFERROR(VLOOKUP(Sync!$X1962,OpTbl,3,0),""))</f>
        <v/>
      </c>
      <c r="J1965">
        <f>IF(OR($G1965="",Sync!$Z1962=""),"",Sync!$Z1962)</f>
        <v/>
      </c>
      <c r="K1965">
        <f>IF(OR($G1965="",Sync!$AA1962=""),"",Sync!$AA1962)</f>
        <v/>
      </c>
      <c r="L1965">
        <f>IF($G1965="",0,IF(Sync!$AB1962="",0,Sync!$AB1962))</f>
        <v/>
      </c>
      <c r="M1965">
        <f>IF($G1965="",0,IF(Sync!$AC1962="",0,Sync!$AC1962))</f>
        <v/>
      </c>
      <c r="N1965">
        <f>IF($G1965="","",IF($H1965="مرجوعی خرید",-1,1)*($L1965-$M1965*IFERROR(VLOOKUP("P01",ParamTbl,3,0),1.5))*(1-IF($I1965="خرید",IFERROR(VLOOKUP("P02",ParamTbl,3,0),1),0)/100))</f>
        <v/>
      </c>
      <c r="O1965">
        <f>IF($G1965="",0,IF($H1965="مرجوعی خرید",-1,1)*IF(Sync!$AD1962="",0,Sync!$AD1962))</f>
        <v/>
      </c>
      <c r="P1965">
        <f>IF(OR($G1965="",Sync!$W1962=""),"",Sync!$W1962)</f>
        <v/>
      </c>
      <c r="Q1965">
        <f>IF(OR($G1965="",Sync!$AE1962=""),"",Sync!$AE1962)</f>
        <v/>
      </c>
      <c r="R1965">
        <f>IF($G1965="","",IF(Sync!$V1962="","0000",IF(AND(ISNUMBER(Sync!$V1962),Sync!$V1962&gt;=0,Sync!$V1962&lt;1),RIGHT("00"&amp;HOUR(Sync!$V1962),2)&amp;RIGHT("00"&amp;MINUTE(Sync!$V1962),2),IFERROR(RIGHT("00"&amp;VALUE(LEFT(Sync!$V1962,FIND(":",Sync!$V1962)-1)),2)&amp;RIGHT("00"&amp;VALUE(MID(Sync!$V1962,FIND(":",Sync!$V1962)+1,2)),2),"0000"))))</f>
        <v/>
      </c>
    </row>
    <row r="1966">
      <c r="A1966">
        <f>IF(Sync!$U1963="","",Sync!$U1963)</f>
        <v/>
      </c>
      <c r="B1966">
        <f>IF($A1966="","",IF(ISNUMBER($A1966),IF(AND($A1966&gt;=10000101,$A1966&lt;=99991231),INT($A1966/10000),""),IFERROR(VALUE(TRIM(LEFT($A1966,FIND("/",$A1966)-1))),"")))</f>
        <v/>
      </c>
      <c r="C1966">
        <f>IF(OR($A1966="",$B1966=""),"",IF(ISNUMBER($A1966),INT(MOD($A1966,10000)/100),IFERROR(VALUE(TRIM(LEFT(MID($A1966,FIND("/",$A1966)+1,20),FIND("/",MID($A1966,FIND("/",$A1966)+1,20))-1))),"")))</f>
        <v/>
      </c>
      <c r="D1966">
        <f>IF(OR($A1966="",$B1966=""),"",IF(ISNUMBER($A1966),MOD($A1966,100),IFERROR(VALUE(TRIM(MID(MID($A1966,FIND("/",$A1966)+1,20),FIND("/",MID($A1966,FIND("/",$A1966)+1,20))+1,20))),"")))</f>
        <v/>
      </c>
      <c r="E1966">
        <f>IF($A1966="","",IF(OR($B1966="",$C1966="",$D1966="",$B1966&lt;1300,$B1966&gt;1500,$C1966&lt;1,$C1966&gt;12,$D1966&lt;1,$D1966&gt;31),"نامعتبر",RIGHT("0000"&amp;$B1966,4)&amp;"/"&amp;RIGHT("00"&amp;$C1966,2)&amp;"/"&amp;RIGHT("00"&amp;$D1966,2)))</f>
        <v/>
      </c>
      <c r="F1966">
        <f>IF(OR($E1966="",$E1966="نامعتبر"),"",LEFT($E1966,4)&amp;"/"&amp;MID($E1966,6,2))</f>
        <v/>
      </c>
      <c r="G1966">
        <f>IF(OR($E1966="",$E1966="نامعتبر",Sync!$Y1963=""),"",Sync!$Y1963)</f>
        <v/>
      </c>
      <c r="H1966">
        <f>IF($G1966="","",IF(Sync!$X1963="","",Sync!$X1963))</f>
        <v/>
      </c>
      <c r="I1966">
        <f>IF($G1966="","",IFERROR(VLOOKUP(Sync!$X1963,OpTbl,3,0),""))</f>
        <v/>
      </c>
      <c r="J1966">
        <f>IF(OR($G1966="",Sync!$Z1963=""),"",Sync!$Z1963)</f>
        <v/>
      </c>
      <c r="K1966">
        <f>IF(OR($G1966="",Sync!$AA1963=""),"",Sync!$AA1963)</f>
        <v/>
      </c>
      <c r="L1966">
        <f>IF($G1966="",0,IF(Sync!$AB1963="",0,Sync!$AB1963))</f>
        <v/>
      </c>
      <c r="M1966">
        <f>IF($G1966="",0,IF(Sync!$AC1963="",0,Sync!$AC1963))</f>
        <v/>
      </c>
      <c r="N1966">
        <f>IF($G1966="","",IF($H1966="مرجوعی خرید",-1,1)*($L1966-$M1966*IFERROR(VLOOKUP("P01",ParamTbl,3,0),1.5))*(1-IF($I1966="خرید",IFERROR(VLOOKUP("P02",ParamTbl,3,0),1),0)/100))</f>
        <v/>
      </c>
      <c r="O1966">
        <f>IF($G1966="",0,IF($H1966="مرجوعی خرید",-1,1)*IF(Sync!$AD1963="",0,Sync!$AD1963))</f>
        <v/>
      </c>
      <c r="P1966">
        <f>IF(OR($G1966="",Sync!$W1963=""),"",Sync!$W1963)</f>
        <v/>
      </c>
      <c r="Q1966">
        <f>IF(OR($G1966="",Sync!$AE1963=""),"",Sync!$AE1963)</f>
        <v/>
      </c>
      <c r="R1966">
        <f>IF($G1966="","",IF(Sync!$V1963="","0000",IF(AND(ISNUMBER(Sync!$V1963),Sync!$V1963&gt;=0,Sync!$V1963&lt;1),RIGHT("00"&amp;HOUR(Sync!$V1963),2)&amp;RIGHT("00"&amp;MINUTE(Sync!$V1963),2),IFERROR(RIGHT("00"&amp;VALUE(LEFT(Sync!$V1963,FIND(":",Sync!$V1963)-1)),2)&amp;RIGHT("00"&amp;VALUE(MID(Sync!$V1963,FIND(":",Sync!$V1963)+1,2)),2),"0000"))))</f>
        <v/>
      </c>
    </row>
    <row r="1967">
      <c r="A1967">
        <f>IF(Sync!$U1964="","",Sync!$U1964)</f>
        <v/>
      </c>
      <c r="B1967">
        <f>IF($A1967="","",IF(ISNUMBER($A1967),IF(AND($A1967&gt;=10000101,$A1967&lt;=99991231),INT($A1967/10000),""),IFERROR(VALUE(TRIM(LEFT($A1967,FIND("/",$A1967)-1))),"")))</f>
        <v/>
      </c>
      <c r="C1967">
        <f>IF(OR($A1967="",$B1967=""),"",IF(ISNUMBER($A1967),INT(MOD($A1967,10000)/100),IFERROR(VALUE(TRIM(LEFT(MID($A1967,FIND("/",$A1967)+1,20),FIND("/",MID($A1967,FIND("/",$A1967)+1,20))-1))),"")))</f>
        <v/>
      </c>
      <c r="D1967">
        <f>IF(OR($A1967="",$B1967=""),"",IF(ISNUMBER($A1967),MOD($A1967,100),IFERROR(VALUE(TRIM(MID(MID($A1967,FIND("/",$A1967)+1,20),FIND("/",MID($A1967,FIND("/",$A1967)+1,20))+1,20))),"")))</f>
        <v/>
      </c>
      <c r="E1967">
        <f>IF($A1967="","",IF(OR($B1967="",$C1967="",$D1967="",$B1967&lt;1300,$B1967&gt;1500,$C1967&lt;1,$C1967&gt;12,$D1967&lt;1,$D1967&gt;31),"نامعتبر",RIGHT("0000"&amp;$B1967,4)&amp;"/"&amp;RIGHT("00"&amp;$C1967,2)&amp;"/"&amp;RIGHT("00"&amp;$D1967,2)))</f>
        <v/>
      </c>
      <c r="F1967">
        <f>IF(OR($E1967="",$E1967="نامعتبر"),"",LEFT($E1967,4)&amp;"/"&amp;MID($E1967,6,2))</f>
        <v/>
      </c>
      <c r="G1967">
        <f>IF(OR($E1967="",$E1967="نامعتبر",Sync!$Y1964=""),"",Sync!$Y1964)</f>
        <v/>
      </c>
      <c r="H1967">
        <f>IF($G1967="","",IF(Sync!$X1964="","",Sync!$X1964))</f>
        <v/>
      </c>
      <c r="I1967">
        <f>IF($G1967="","",IFERROR(VLOOKUP(Sync!$X1964,OpTbl,3,0),""))</f>
        <v/>
      </c>
      <c r="J1967">
        <f>IF(OR($G1967="",Sync!$Z1964=""),"",Sync!$Z1964)</f>
        <v/>
      </c>
      <c r="K1967">
        <f>IF(OR($G1967="",Sync!$AA1964=""),"",Sync!$AA1964)</f>
        <v/>
      </c>
      <c r="L1967">
        <f>IF($G1967="",0,IF(Sync!$AB1964="",0,Sync!$AB1964))</f>
        <v/>
      </c>
      <c r="M1967">
        <f>IF($G1967="",0,IF(Sync!$AC1964="",0,Sync!$AC1964))</f>
        <v/>
      </c>
      <c r="N1967">
        <f>IF($G1967="","",IF($H1967="مرجوعی خرید",-1,1)*($L1967-$M1967*IFERROR(VLOOKUP("P01",ParamTbl,3,0),1.5))*(1-IF($I1967="خرید",IFERROR(VLOOKUP("P02",ParamTbl,3,0),1),0)/100))</f>
        <v/>
      </c>
      <c r="O1967">
        <f>IF($G1967="",0,IF($H1967="مرجوعی خرید",-1,1)*IF(Sync!$AD1964="",0,Sync!$AD1964))</f>
        <v/>
      </c>
      <c r="P1967">
        <f>IF(OR($G1967="",Sync!$W1964=""),"",Sync!$W1964)</f>
        <v/>
      </c>
      <c r="Q1967">
        <f>IF(OR($G1967="",Sync!$AE1964=""),"",Sync!$AE1964)</f>
        <v/>
      </c>
      <c r="R1967">
        <f>IF($G1967="","",IF(Sync!$V1964="","0000",IF(AND(ISNUMBER(Sync!$V1964),Sync!$V1964&gt;=0,Sync!$V1964&lt;1),RIGHT("00"&amp;HOUR(Sync!$V1964),2)&amp;RIGHT("00"&amp;MINUTE(Sync!$V1964),2),IFERROR(RIGHT("00"&amp;VALUE(LEFT(Sync!$V1964,FIND(":",Sync!$V1964)-1)),2)&amp;RIGHT("00"&amp;VALUE(MID(Sync!$V1964,FIND(":",Sync!$V1964)+1,2)),2),"0000"))))</f>
        <v/>
      </c>
    </row>
    <row r="1968">
      <c r="A1968">
        <f>IF(Sync!$U1965="","",Sync!$U1965)</f>
        <v/>
      </c>
      <c r="B1968">
        <f>IF($A1968="","",IF(ISNUMBER($A1968),IF(AND($A1968&gt;=10000101,$A1968&lt;=99991231),INT($A1968/10000),""),IFERROR(VALUE(TRIM(LEFT($A1968,FIND("/",$A1968)-1))),"")))</f>
        <v/>
      </c>
      <c r="C1968">
        <f>IF(OR($A1968="",$B1968=""),"",IF(ISNUMBER($A1968),INT(MOD($A1968,10000)/100),IFERROR(VALUE(TRIM(LEFT(MID($A1968,FIND("/",$A1968)+1,20),FIND("/",MID($A1968,FIND("/",$A1968)+1,20))-1))),"")))</f>
        <v/>
      </c>
      <c r="D1968">
        <f>IF(OR($A1968="",$B1968=""),"",IF(ISNUMBER($A1968),MOD($A1968,100),IFERROR(VALUE(TRIM(MID(MID($A1968,FIND("/",$A1968)+1,20),FIND("/",MID($A1968,FIND("/",$A1968)+1,20))+1,20))),"")))</f>
        <v/>
      </c>
      <c r="E1968">
        <f>IF($A1968="","",IF(OR($B1968="",$C1968="",$D1968="",$B1968&lt;1300,$B1968&gt;1500,$C1968&lt;1,$C1968&gt;12,$D1968&lt;1,$D1968&gt;31),"نامعتبر",RIGHT("0000"&amp;$B1968,4)&amp;"/"&amp;RIGHT("00"&amp;$C1968,2)&amp;"/"&amp;RIGHT("00"&amp;$D1968,2)))</f>
        <v/>
      </c>
      <c r="F1968">
        <f>IF(OR($E1968="",$E1968="نامعتبر"),"",LEFT($E1968,4)&amp;"/"&amp;MID($E1968,6,2))</f>
        <v/>
      </c>
      <c r="G1968">
        <f>IF(OR($E1968="",$E1968="نامعتبر",Sync!$Y1965=""),"",Sync!$Y1965)</f>
        <v/>
      </c>
      <c r="H1968">
        <f>IF($G1968="","",IF(Sync!$X1965="","",Sync!$X1965))</f>
        <v/>
      </c>
      <c r="I1968">
        <f>IF($G1968="","",IFERROR(VLOOKUP(Sync!$X1965,OpTbl,3,0),""))</f>
        <v/>
      </c>
      <c r="J1968">
        <f>IF(OR($G1968="",Sync!$Z1965=""),"",Sync!$Z1965)</f>
        <v/>
      </c>
      <c r="K1968">
        <f>IF(OR($G1968="",Sync!$AA1965=""),"",Sync!$AA1965)</f>
        <v/>
      </c>
      <c r="L1968">
        <f>IF($G1968="",0,IF(Sync!$AB1965="",0,Sync!$AB1965))</f>
        <v/>
      </c>
      <c r="M1968">
        <f>IF($G1968="",0,IF(Sync!$AC1965="",0,Sync!$AC1965))</f>
        <v/>
      </c>
      <c r="N1968">
        <f>IF($G1968="","",IF($H1968="مرجوعی خرید",-1,1)*($L1968-$M1968*IFERROR(VLOOKUP("P01",ParamTbl,3,0),1.5))*(1-IF($I1968="خرید",IFERROR(VLOOKUP("P02",ParamTbl,3,0),1),0)/100))</f>
        <v/>
      </c>
      <c r="O1968">
        <f>IF($G1968="",0,IF($H1968="مرجوعی خرید",-1,1)*IF(Sync!$AD1965="",0,Sync!$AD1965))</f>
        <v/>
      </c>
      <c r="P1968">
        <f>IF(OR($G1968="",Sync!$W1965=""),"",Sync!$W1965)</f>
        <v/>
      </c>
      <c r="Q1968">
        <f>IF(OR($G1968="",Sync!$AE1965=""),"",Sync!$AE1965)</f>
        <v/>
      </c>
      <c r="R1968">
        <f>IF($G1968="","",IF(Sync!$V1965="","0000",IF(AND(ISNUMBER(Sync!$V1965),Sync!$V1965&gt;=0,Sync!$V1965&lt;1),RIGHT("00"&amp;HOUR(Sync!$V1965),2)&amp;RIGHT("00"&amp;MINUTE(Sync!$V1965),2),IFERROR(RIGHT("00"&amp;VALUE(LEFT(Sync!$V1965,FIND(":",Sync!$V1965)-1)),2)&amp;RIGHT("00"&amp;VALUE(MID(Sync!$V1965,FIND(":",Sync!$V1965)+1,2)),2),"0000"))))</f>
        <v/>
      </c>
    </row>
    <row r="1969">
      <c r="A1969">
        <f>IF(Sync!$U1966="","",Sync!$U1966)</f>
        <v/>
      </c>
      <c r="B1969">
        <f>IF($A1969="","",IF(ISNUMBER($A1969),IF(AND($A1969&gt;=10000101,$A1969&lt;=99991231),INT($A1969/10000),""),IFERROR(VALUE(TRIM(LEFT($A1969,FIND("/",$A1969)-1))),"")))</f>
        <v/>
      </c>
      <c r="C1969">
        <f>IF(OR($A1969="",$B1969=""),"",IF(ISNUMBER($A1969),INT(MOD($A1969,10000)/100),IFERROR(VALUE(TRIM(LEFT(MID($A1969,FIND("/",$A1969)+1,20),FIND("/",MID($A1969,FIND("/",$A1969)+1,20))-1))),"")))</f>
        <v/>
      </c>
      <c r="D1969">
        <f>IF(OR($A1969="",$B1969=""),"",IF(ISNUMBER($A1969),MOD($A1969,100),IFERROR(VALUE(TRIM(MID(MID($A1969,FIND("/",$A1969)+1,20),FIND("/",MID($A1969,FIND("/",$A1969)+1,20))+1,20))),"")))</f>
        <v/>
      </c>
      <c r="E1969">
        <f>IF($A1969="","",IF(OR($B1969="",$C1969="",$D1969="",$B1969&lt;1300,$B1969&gt;1500,$C1969&lt;1,$C1969&gt;12,$D1969&lt;1,$D1969&gt;31),"نامعتبر",RIGHT("0000"&amp;$B1969,4)&amp;"/"&amp;RIGHT("00"&amp;$C1969,2)&amp;"/"&amp;RIGHT("00"&amp;$D1969,2)))</f>
        <v/>
      </c>
      <c r="F1969">
        <f>IF(OR($E1969="",$E1969="نامعتبر"),"",LEFT($E1969,4)&amp;"/"&amp;MID($E1969,6,2))</f>
        <v/>
      </c>
      <c r="G1969">
        <f>IF(OR($E1969="",$E1969="نامعتبر",Sync!$Y1966=""),"",Sync!$Y1966)</f>
        <v/>
      </c>
      <c r="H1969">
        <f>IF($G1969="","",IF(Sync!$X1966="","",Sync!$X1966))</f>
        <v/>
      </c>
      <c r="I1969">
        <f>IF($G1969="","",IFERROR(VLOOKUP(Sync!$X1966,OpTbl,3,0),""))</f>
        <v/>
      </c>
      <c r="J1969">
        <f>IF(OR($G1969="",Sync!$Z1966=""),"",Sync!$Z1966)</f>
        <v/>
      </c>
      <c r="K1969">
        <f>IF(OR($G1969="",Sync!$AA1966=""),"",Sync!$AA1966)</f>
        <v/>
      </c>
      <c r="L1969">
        <f>IF($G1969="",0,IF(Sync!$AB1966="",0,Sync!$AB1966))</f>
        <v/>
      </c>
      <c r="M1969">
        <f>IF($G1969="",0,IF(Sync!$AC1966="",0,Sync!$AC1966))</f>
        <v/>
      </c>
      <c r="N1969">
        <f>IF($G1969="","",IF($H1969="مرجوعی خرید",-1,1)*($L1969-$M1969*IFERROR(VLOOKUP("P01",ParamTbl,3,0),1.5))*(1-IF($I1969="خرید",IFERROR(VLOOKUP("P02",ParamTbl,3,0),1),0)/100))</f>
        <v/>
      </c>
      <c r="O1969">
        <f>IF($G1969="",0,IF($H1969="مرجوعی خرید",-1,1)*IF(Sync!$AD1966="",0,Sync!$AD1966))</f>
        <v/>
      </c>
      <c r="P1969">
        <f>IF(OR($G1969="",Sync!$W1966=""),"",Sync!$W1966)</f>
        <v/>
      </c>
      <c r="Q1969">
        <f>IF(OR($G1969="",Sync!$AE1966=""),"",Sync!$AE1966)</f>
        <v/>
      </c>
      <c r="R1969">
        <f>IF($G1969="","",IF(Sync!$V1966="","0000",IF(AND(ISNUMBER(Sync!$V1966),Sync!$V1966&gt;=0,Sync!$V1966&lt;1),RIGHT("00"&amp;HOUR(Sync!$V1966),2)&amp;RIGHT("00"&amp;MINUTE(Sync!$V1966),2),IFERROR(RIGHT("00"&amp;VALUE(LEFT(Sync!$V1966,FIND(":",Sync!$V1966)-1)),2)&amp;RIGHT("00"&amp;VALUE(MID(Sync!$V1966,FIND(":",Sync!$V1966)+1,2)),2),"0000"))))</f>
        <v/>
      </c>
    </row>
    <row r="1970">
      <c r="A1970">
        <f>IF(Sync!$U1967="","",Sync!$U1967)</f>
        <v/>
      </c>
      <c r="B1970">
        <f>IF($A1970="","",IF(ISNUMBER($A1970),IF(AND($A1970&gt;=10000101,$A1970&lt;=99991231),INT($A1970/10000),""),IFERROR(VALUE(TRIM(LEFT($A1970,FIND("/",$A1970)-1))),"")))</f>
        <v/>
      </c>
      <c r="C1970">
        <f>IF(OR($A1970="",$B1970=""),"",IF(ISNUMBER($A1970),INT(MOD($A1970,10000)/100),IFERROR(VALUE(TRIM(LEFT(MID($A1970,FIND("/",$A1970)+1,20),FIND("/",MID($A1970,FIND("/",$A1970)+1,20))-1))),"")))</f>
        <v/>
      </c>
      <c r="D1970">
        <f>IF(OR($A1970="",$B1970=""),"",IF(ISNUMBER($A1970),MOD($A1970,100),IFERROR(VALUE(TRIM(MID(MID($A1970,FIND("/",$A1970)+1,20),FIND("/",MID($A1970,FIND("/",$A1970)+1,20))+1,20))),"")))</f>
        <v/>
      </c>
      <c r="E1970">
        <f>IF($A1970="","",IF(OR($B1970="",$C1970="",$D1970="",$B1970&lt;1300,$B1970&gt;1500,$C1970&lt;1,$C1970&gt;12,$D1970&lt;1,$D1970&gt;31),"نامعتبر",RIGHT("0000"&amp;$B1970,4)&amp;"/"&amp;RIGHT("00"&amp;$C1970,2)&amp;"/"&amp;RIGHT("00"&amp;$D1970,2)))</f>
        <v/>
      </c>
      <c r="F1970">
        <f>IF(OR($E1970="",$E1970="نامعتبر"),"",LEFT($E1970,4)&amp;"/"&amp;MID($E1970,6,2))</f>
        <v/>
      </c>
      <c r="G1970">
        <f>IF(OR($E1970="",$E1970="نامعتبر",Sync!$Y1967=""),"",Sync!$Y1967)</f>
        <v/>
      </c>
      <c r="H1970">
        <f>IF($G1970="","",IF(Sync!$X1967="","",Sync!$X1967))</f>
        <v/>
      </c>
      <c r="I1970">
        <f>IF($G1970="","",IFERROR(VLOOKUP(Sync!$X1967,OpTbl,3,0),""))</f>
        <v/>
      </c>
      <c r="J1970">
        <f>IF(OR($G1970="",Sync!$Z1967=""),"",Sync!$Z1967)</f>
        <v/>
      </c>
      <c r="K1970">
        <f>IF(OR($G1970="",Sync!$AA1967=""),"",Sync!$AA1967)</f>
        <v/>
      </c>
      <c r="L1970">
        <f>IF($G1970="",0,IF(Sync!$AB1967="",0,Sync!$AB1967))</f>
        <v/>
      </c>
      <c r="M1970">
        <f>IF($G1970="",0,IF(Sync!$AC1967="",0,Sync!$AC1967))</f>
        <v/>
      </c>
      <c r="N1970">
        <f>IF($G1970="","",IF($H1970="مرجوعی خرید",-1,1)*($L1970-$M1970*IFERROR(VLOOKUP("P01",ParamTbl,3,0),1.5))*(1-IF($I1970="خرید",IFERROR(VLOOKUP("P02",ParamTbl,3,0),1),0)/100))</f>
        <v/>
      </c>
      <c r="O1970">
        <f>IF($G1970="",0,IF($H1970="مرجوعی خرید",-1,1)*IF(Sync!$AD1967="",0,Sync!$AD1967))</f>
        <v/>
      </c>
      <c r="P1970">
        <f>IF(OR($G1970="",Sync!$W1967=""),"",Sync!$W1967)</f>
        <v/>
      </c>
      <c r="Q1970">
        <f>IF(OR($G1970="",Sync!$AE1967=""),"",Sync!$AE1967)</f>
        <v/>
      </c>
      <c r="R1970">
        <f>IF($G1970="","",IF(Sync!$V1967="","0000",IF(AND(ISNUMBER(Sync!$V1967),Sync!$V1967&gt;=0,Sync!$V1967&lt;1),RIGHT("00"&amp;HOUR(Sync!$V1967),2)&amp;RIGHT("00"&amp;MINUTE(Sync!$V1967),2),IFERROR(RIGHT("00"&amp;VALUE(LEFT(Sync!$V1967,FIND(":",Sync!$V1967)-1)),2)&amp;RIGHT("00"&amp;VALUE(MID(Sync!$V1967,FIND(":",Sync!$V1967)+1,2)),2),"0000"))))</f>
        <v/>
      </c>
    </row>
    <row r="1971">
      <c r="A1971">
        <f>IF(Sync!$U1968="","",Sync!$U1968)</f>
        <v/>
      </c>
      <c r="B1971">
        <f>IF($A1971="","",IF(ISNUMBER($A1971),IF(AND($A1971&gt;=10000101,$A1971&lt;=99991231),INT($A1971/10000),""),IFERROR(VALUE(TRIM(LEFT($A1971,FIND("/",$A1971)-1))),"")))</f>
        <v/>
      </c>
      <c r="C1971">
        <f>IF(OR($A1971="",$B1971=""),"",IF(ISNUMBER($A1971),INT(MOD($A1971,10000)/100),IFERROR(VALUE(TRIM(LEFT(MID($A1971,FIND("/",$A1971)+1,20),FIND("/",MID($A1971,FIND("/",$A1971)+1,20))-1))),"")))</f>
        <v/>
      </c>
      <c r="D1971">
        <f>IF(OR($A1971="",$B1971=""),"",IF(ISNUMBER($A1971),MOD($A1971,100),IFERROR(VALUE(TRIM(MID(MID($A1971,FIND("/",$A1971)+1,20),FIND("/",MID($A1971,FIND("/",$A1971)+1,20))+1,20))),"")))</f>
        <v/>
      </c>
      <c r="E1971">
        <f>IF($A1971="","",IF(OR($B1971="",$C1971="",$D1971="",$B1971&lt;1300,$B1971&gt;1500,$C1971&lt;1,$C1971&gt;12,$D1971&lt;1,$D1971&gt;31),"نامعتبر",RIGHT("0000"&amp;$B1971,4)&amp;"/"&amp;RIGHT("00"&amp;$C1971,2)&amp;"/"&amp;RIGHT("00"&amp;$D1971,2)))</f>
        <v/>
      </c>
      <c r="F1971">
        <f>IF(OR($E1971="",$E1971="نامعتبر"),"",LEFT($E1971,4)&amp;"/"&amp;MID($E1971,6,2))</f>
        <v/>
      </c>
      <c r="G1971">
        <f>IF(OR($E1971="",$E1971="نامعتبر",Sync!$Y1968=""),"",Sync!$Y1968)</f>
        <v/>
      </c>
      <c r="H1971">
        <f>IF($G1971="","",IF(Sync!$X1968="","",Sync!$X1968))</f>
        <v/>
      </c>
      <c r="I1971">
        <f>IF($G1971="","",IFERROR(VLOOKUP(Sync!$X1968,OpTbl,3,0),""))</f>
        <v/>
      </c>
      <c r="J1971">
        <f>IF(OR($G1971="",Sync!$Z1968=""),"",Sync!$Z1968)</f>
        <v/>
      </c>
      <c r="K1971">
        <f>IF(OR($G1971="",Sync!$AA1968=""),"",Sync!$AA1968)</f>
        <v/>
      </c>
      <c r="L1971">
        <f>IF($G1971="",0,IF(Sync!$AB1968="",0,Sync!$AB1968))</f>
        <v/>
      </c>
      <c r="M1971">
        <f>IF($G1971="",0,IF(Sync!$AC1968="",0,Sync!$AC1968))</f>
        <v/>
      </c>
      <c r="N1971">
        <f>IF($G1971="","",IF($H1971="مرجوعی خرید",-1,1)*($L1971-$M1971*IFERROR(VLOOKUP("P01",ParamTbl,3,0),1.5))*(1-IF($I1971="خرید",IFERROR(VLOOKUP("P02",ParamTbl,3,0),1),0)/100))</f>
        <v/>
      </c>
      <c r="O1971">
        <f>IF($G1971="",0,IF($H1971="مرجوعی خرید",-1,1)*IF(Sync!$AD1968="",0,Sync!$AD1968))</f>
        <v/>
      </c>
      <c r="P1971">
        <f>IF(OR($G1971="",Sync!$W1968=""),"",Sync!$W1968)</f>
        <v/>
      </c>
      <c r="Q1971">
        <f>IF(OR($G1971="",Sync!$AE1968=""),"",Sync!$AE1968)</f>
        <v/>
      </c>
      <c r="R1971">
        <f>IF($G1971="","",IF(Sync!$V1968="","0000",IF(AND(ISNUMBER(Sync!$V1968),Sync!$V1968&gt;=0,Sync!$V1968&lt;1),RIGHT("00"&amp;HOUR(Sync!$V1968),2)&amp;RIGHT("00"&amp;MINUTE(Sync!$V1968),2),IFERROR(RIGHT("00"&amp;VALUE(LEFT(Sync!$V1968,FIND(":",Sync!$V1968)-1)),2)&amp;RIGHT("00"&amp;VALUE(MID(Sync!$V1968,FIND(":",Sync!$V1968)+1,2)),2),"0000"))))</f>
        <v/>
      </c>
    </row>
    <row r="1972">
      <c r="A1972">
        <f>IF(Sync!$U1969="","",Sync!$U1969)</f>
        <v/>
      </c>
      <c r="B1972">
        <f>IF($A1972="","",IF(ISNUMBER($A1972),IF(AND($A1972&gt;=10000101,$A1972&lt;=99991231),INT($A1972/10000),""),IFERROR(VALUE(TRIM(LEFT($A1972,FIND("/",$A1972)-1))),"")))</f>
        <v/>
      </c>
      <c r="C1972">
        <f>IF(OR($A1972="",$B1972=""),"",IF(ISNUMBER($A1972),INT(MOD($A1972,10000)/100),IFERROR(VALUE(TRIM(LEFT(MID($A1972,FIND("/",$A1972)+1,20),FIND("/",MID($A1972,FIND("/",$A1972)+1,20))-1))),"")))</f>
        <v/>
      </c>
      <c r="D1972">
        <f>IF(OR($A1972="",$B1972=""),"",IF(ISNUMBER($A1972),MOD($A1972,100),IFERROR(VALUE(TRIM(MID(MID($A1972,FIND("/",$A1972)+1,20),FIND("/",MID($A1972,FIND("/",$A1972)+1,20))+1,20))),"")))</f>
        <v/>
      </c>
      <c r="E1972">
        <f>IF($A1972="","",IF(OR($B1972="",$C1972="",$D1972="",$B1972&lt;1300,$B1972&gt;1500,$C1972&lt;1,$C1972&gt;12,$D1972&lt;1,$D1972&gt;31),"نامعتبر",RIGHT("0000"&amp;$B1972,4)&amp;"/"&amp;RIGHT("00"&amp;$C1972,2)&amp;"/"&amp;RIGHT("00"&amp;$D1972,2)))</f>
        <v/>
      </c>
      <c r="F1972">
        <f>IF(OR($E1972="",$E1972="نامعتبر"),"",LEFT($E1972,4)&amp;"/"&amp;MID($E1972,6,2))</f>
        <v/>
      </c>
      <c r="G1972">
        <f>IF(OR($E1972="",$E1972="نامعتبر",Sync!$Y1969=""),"",Sync!$Y1969)</f>
        <v/>
      </c>
      <c r="H1972">
        <f>IF($G1972="","",IF(Sync!$X1969="","",Sync!$X1969))</f>
        <v/>
      </c>
      <c r="I1972">
        <f>IF($G1972="","",IFERROR(VLOOKUP(Sync!$X1969,OpTbl,3,0),""))</f>
        <v/>
      </c>
      <c r="J1972">
        <f>IF(OR($G1972="",Sync!$Z1969=""),"",Sync!$Z1969)</f>
        <v/>
      </c>
      <c r="K1972">
        <f>IF(OR($G1972="",Sync!$AA1969=""),"",Sync!$AA1969)</f>
        <v/>
      </c>
      <c r="L1972">
        <f>IF($G1972="",0,IF(Sync!$AB1969="",0,Sync!$AB1969))</f>
        <v/>
      </c>
      <c r="M1972">
        <f>IF($G1972="",0,IF(Sync!$AC1969="",0,Sync!$AC1969))</f>
        <v/>
      </c>
      <c r="N1972">
        <f>IF($G1972="","",IF($H1972="مرجوعی خرید",-1,1)*($L1972-$M1972*IFERROR(VLOOKUP("P01",ParamTbl,3,0),1.5))*(1-IF($I1972="خرید",IFERROR(VLOOKUP("P02",ParamTbl,3,0),1),0)/100))</f>
        <v/>
      </c>
      <c r="O1972">
        <f>IF($G1972="",0,IF($H1972="مرجوعی خرید",-1,1)*IF(Sync!$AD1969="",0,Sync!$AD1969))</f>
        <v/>
      </c>
      <c r="P1972">
        <f>IF(OR($G1972="",Sync!$W1969=""),"",Sync!$W1969)</f>
        <v/>
      </c>
      <c r="Q1972">
        <f>IF(OR($G1972="",Sync!$AE1969=""),"",Sync!$AE1969)</f>
        <v/>
      </c>
      <c r="R1972">
        <f>IF($G1972="","",IF(Sync!$V1969="","0000",IF(AND(ISNUMBER(Sync!$V1969),Sync!$V1969&gt;=0,Sync!$V1969&lt;1),RIGHT("00"&amp;HOUR(Sync!$V1969),2)&amp;RIGHT("00"&amp;MINUTE(Sync!$V1969),2),IFERROR(RIGHT("00"&amp;VALUE(LEFT(Sync!$V1969,FIND(":",Sync!$V1969)-1)),2)&amp;RIGHT("00"&amp;VALUE(MID(Sync!$V1969,FIND(":",Sync!$V1969)+1,2)),2),"0000"))))</f>
        <v/>
      </c>
    </row>
    <row r="1973">
      <c r="A1973">
        <f>IF(Sync!$U1970="","",Sync!$U1970)</f>
        <v/>
      </c>
      <c r="B1973">
        <f>IF($A1973="","",IF(ISNUMBER($A1973),IF(AND($A1973&gt;=10000101,$A1973&lt;=99991231),INT($A1973/10000),""),IFERROR(VALUE(TRIM(LEFT($A1973,FIND("/",$A1973)-1))),"")))</f>
        <v/>
      </c>
      <c r="C1973">
        <f>IF(OR($A1973="",$B1973=""),"",IF(ISNUMBER($A1973),INT(MOD($A1973,10000)/100),IFERROR(VALUE(TRIM(LEFT(MID($A1973,FIND("/",$A1973)+1,20),FIND("/",MID($A1973,FIND("/",$A1973)+1,20))-1))),"")))</f>
        <v/>
      </c>
      <c r="D1973">
        <f>IF(OR($A1973="",$B1973=""),"",IF(ISNUMBER($A1973),MOD($A1973,100),IFERROR(VALUE(TRIM(MID(MID($A1973,FIND("/",$A1973)+1,20),FIND("/",MID($A1973,FIND("/",$A1973)+1,20))+1,20))),"")))</f>
        <v/>
      </c>
      <c r="E1973">
        <f>IF($A1973="","",IF(OR($B1973="",$C1973="",$D1973="",$B1973&lt;1300,$B1973&gt;1500,$C1973&lt;1,$C1973&gt;12,$D1973&lt;1,$D1973&gt;31),"نامعتبر",RIGHT("0000"&amp;$B1973,4)&amp;"/"&amp;RIGHT("00"&amp;$C1973,2)&amp;"/"&amp;RIGHT("00"&amp;$D1973,2)))</f>
        <v/>
      </c>
      <c r="F1973">
        <f>IF(OR($E1973="",$E1973="نامعتبر"),"",LEFT($E1973,4)&amp;"/"&amp;MID($E1973,6,2))</f>
        <v/>
      </c>
      <c r="G1973">
        <f>IF(OR($E1973="",$E1973="نامعتبر",Sync!$Y1970=""),"",Sync!$Y1970)</f>
        <v/>
      </c>
      <c r="H1973">
        <f>IF($G1973="","",IF(Sync!$X1970="","",Sync!$X1970))</f>
        <v/>
      </c>
      <c r="I1973">
        <f>IF($G1973="","",IFERROR(VLOOKUP(Sync!$X1970,OpTbl,3,0),""))</f>
        <v/>
      </c>
      <c r="J1973">
        <f>IF(OR($G1973="",Sync!$Z1970=""),"",Sync!$Z1970)</f>
        <v/>
      </c>
      <c r="K1973">
        <f>IF(OR($G1973="",Sync!$AA1970=""),"",Sync!$AA1970)</f>
        <v/>
      </c>
      <c r="L1973">
        <f>IF($G1973="",0,IF(Sync!$AB1970="",0,Sync!$AB1970))</f>
        <v/>
      </c>
      <c r="M1973">
        <f>IF($G1973="",0,IF(Sync!$AC1970="",0,Sync!$AC1970))</f>
        <v/>
      </c>
      <c r="N1973">
        <f>IF($G1973="","",IF($H1973="مرجوعی خرید",-1,1)*($L1973-$M1973*IFERROR(VLOOKUP("P01",ParamTbl,3,0),1.5))*(1-IF($I1973="خرید",IFERROR(VLOOKUP("P02",ParamTbl,3,0),1),0)/100))</f>
        <v/>
      </c>
      <c r="O1973">
        <f>IF($G1973="",0,IF($H1973="مرجوعی خرید",-1,1)*IF(Sync!$AD1970="",0,Sync!$AD1970))</f>
        <v/>
      </c>
      <c r="P1973">
        <f>IF(OR($G1973="",Sync!$W1970=""),"",Sync!$W1970)</f>
        <v/>
      </c>
      <c r="Q1973">
        <f>IF(OR($G1973="",Sync!$AE1970=""),"",Sync!$AE1970)</f>
        <v/>
      </c>
      <c r="R1973">
        <f>IF($G1973="","",IF(Sync!$V1970="","0000",IF(AND(ISNUMBER(Sync!$V1970),Sync!$V1970&gt;=0,Sync!$V1970&lt;1),RIGHT("00"&amp;HOUR(Sync!$V1970),2)&amp;RIGHT("00"&amp;MINUTE(Sync!$V1970),2),IFERROR(RIGHT("00"&amp;VALUE(LEFT(Sync!$V1970,FIND(":",Sync!$V1970)-1)),2)&amp;RIGHT("00"&amp;VALUE(MID(Sync!$V1970,FIND(":",Sync!$V1970)+1,2)),2),"0000"))))</f>
        <v/>
      </c>
    </row>
    <row r="1974">
      <c r="A1974">
        <f>IF(Sync!$U1971="","",Sync!$U1971)</f>
        <v/>
      </c>
      <c r="B1974">
        <f>IF($A1974="","",IF(ISNUMBER($A1974),IF(AND($A1974&gt;=10000101,$A1974&lt;=99991231),INT($A1974/10000),""),IFERROR(VALUE(TRIM(LEFT($A1974,FIND("/",$A1974)-1))),"")))</f>
        <v/>
      </c>
      <c r="C1974">
        <f>IF(OR($A1974="",$B1974=""),"",IF(ISNUMBER($A1974),INT(MOD($A1974,10000)/100),IFERROR(VALUE(TRIM(LEFT(MID($A1974,FIND("/",$A1974)+1,20),FIND("/",MID($A1974,FIND("/",$A1974)+1,20))-1))),"")))</f>
        <v/>
      </c>
      <c r="D1974">
        <f>IF(OR($A1974="",$B1974=""),"",IF(ISNUMBER($A1974),MOD($A1974,100),IFERROR(VALUE(TRIM(MID(MID($A1974,FIND("/",$A1974)+1,20),FIND("/",MID($A1974,FIND("/",$A1974)+1,20))+1,20))),"")))</f>
        <v/>
      </c>
      <c r="E1974">
        <f>IF($A1974="","",IF(OR($B1974="",$C1974="",$D1974="",$B1974&lt;1300,$B1974&gt;1500,$C1974&lt;1,$C1974&gt;12,$D1974&lt;1,$D1974&gt;31),"نامعتبر",RIGHT("0000"&amp;$B1974,4)&amp;"/"&amp;RIGHT("00"&amp;$C1974,2)&amp;"/"&amp;RIGHT("00"&amp;$D1974,2)))</f>
        <v/>
      </c>
      <c r="F1974">
        <f>IF(OR($E1974="",$E1974="نامعتبر"),"",LEFT($E1974,4)&amp;"/"&amp;MID($E1974,6,2))</f>
        <v/>
      </c>
      <c r="G1974">
        <f>IF(OR($E1974="",$E1974="نامعتبر",Sync!$Y1971=""),"",Sync!$Y1971)</f>
        <v/>
      </c>
      <c r="H1974">
        <f>IF($G1974="","",IF(Sync!$X1971="","",Sync!$X1971))</f>
        <v/>
      </c>
      <c r="I1974">
        <f>IF($G1974="","",IFERROR(VLOOKUP(Sync!$X1971,OpTbl,3,0),""))</f>
        <v/>
      </c>
      <c r="J1974">
        <f>IF(OR($G1974="",Sync!$Z1971=""),"",Sync!$Z1971)</f>
        <v/>
      </c>
      <c r="K1974">
        <f>IF(OR($G1974="",Sync!$AA1971=""),"",Sync!$AA1971)</f>
        <v/>
      </c>
      <c r="L1974">
        <f>IF($G1974="",0,IF(Sync!$AB1971="",0,Sync!$AB1971))</f>
        <v/>
      </c>
      <c r="M1974">
        <f>IF($G1974="",0,IF(Sync!$AC1971="",0,Sync!$AC1971))</f>
        <v/>
      </c>
      <c r="N1974">
        <f>IF($G1974="","",IF($H1974="مرجوعی خرید",-1,1)*($L1974-$M1974*IFERROR(VLOOKUP("P01",ParamTbl,3,0),1.5))*(1-IF($I1974="خرید",IFERROR(VLOOKUP("P02",ParamTbl,3,0),1),0)/100))</f>
        <v/>
      </c>
      <c r="O1974">
        <f>IF($G1974="",0,IF($H1974="مرجوعی خرید",-1,1)*IF(Sync!$AD1971="",0,Sync!$AD1971))</f>
        <v/>
      </c>
      <c r="P1974">
        <f>IF(OR($G1974="",Sync!$W1971=""),"",Sync!$W1971)</f>
        <v/>
      </c>
      <c r="Q1974">
        <f>IF(OR($G1974="",Sync!$AE1971=""),"",Sync!$AE1971)</f>
        <v/>
      </c>
      <c r="R1974">
        <f>IF($G1974="","",IF(Sync!$V1971="","0000",IF(AND(ISNUMBER(Sync!$V1971),Sync!$V1971&gt;=0,Sync!$V1971&lt;1),RIGHT("00"&amp;HOUR(Sync!$V1971),2)&amp;RIGHT("00"&amp;MINUTE(Sync!$V1971),2),IFERROR(RIGHT("00"&amp;VALUE(LEFT(Sync!$V1971,FIND(":",Sync!$V1971)-1)),2)&amp;RIGHT("00"&amp;VALUE(MID(Sync!$V1971,FIND(":",Sync!$V1971)+1,2)),2),"0000"))))</f>
        <v/>
      </c>
    </row>
    <row r="1975">
      <c r="A1975">
        <f>IF(Sync!$U1972="","",Sync!$U1972)</f>
        <v/>
      </c>
      <c r="B1975">
        <f>IF($A1975="","",IF(ISNUMBER($A1975),IF(AND($A1975&gt;=10000101,$A1975&lt;=99991231),INT($A1975/10000),""),IFERROR(VALUE(TRIM(LEFT($A1975,FIND("/",$A1975)-1))),"")))</f>
        <v/>
      </c>
      <c r="C1975">
        <f>IF(OR($A1975="",$B1975=""),"",IF(ISNUMBER($A1975),INT(MOD($A1975,10000)/100),IFERROR(VALUE(TRIM(LEFT(MID($A1975,FIND("/",$A1975)+1,20),FIND("/",MID($A1975,FIND("/",$A1975)+1,20))-1))),"")))</f>
        <v/>
      </c>
      <c r="D1975">
        <f>IF(OR($A1975="",$B1975=""),"",IF(ISNUMBER($A1975),MOD($A1975,100),IFERROR(VALUE(TRIM(MID(MID($A1975,FIND("/",$A1975)+1,20),FIND("/",MID($A1975,FIND("/",$A1975)+1,20))+1,20))),"")))</f>
        <v/>
      </c>
      <c r="E1975">
        <f>IF($A1975="","",IF(OR($B1975="",$C1975="",$D1975="",$B1975&lt;1300,$B1975&gt;1500,$C1975&lt;1,$C1975&gt;12,$D1975&lt;1,$D1975&gt;31),"نامعتبر",RIGHT("0000"&amp;$B1975,4)&amp;"/"&amp;RIGHT("00"&amp;$C1975,2)&amp;"/"&amp;RIGHT("00"&amp;$D1975,2)))</f>
        <v/>
      </c>
      <c r="F1975">
        <f>IF(OR($E1975="",$E1975="نامعتبر"),"",LEFT($E1975,4)&amp;"/"&amp;MID($E1975,6,2))</f>
        <v/>
      </c>
      <c r="G1975">
        <f>IF(OR($E1975="",$E1975="نامعتبر",Sync!$Y1972=""),"",Sync!$Y1972)</f>
        <v/>
      </c>
      <c r="H1975">
        <f>IF($G1975="","",IF(Sync!$X1972="","",Sync!$X1972))</f>
        <v/>
      </c>
      <c r="I1975">
        <f>IF($G1975="","",IFERROR(VLOOKUP(Sync!$X1972,OpTbl,3,0),""))</f>
        <v/>
      </c>
      <c r="J1975">
        <f>IF(OR($G1975="",Sync!$Z1972=""),"",Sync!$Z1972)</f>
        <v/>
      </c>
      <c r="K1975">
        <f>IF(OR($G1975="",Sync!$AA1972=""),"",Sync!$AA1972)</f>
        <v/>
      </c>
      <c r="L1975">
        <f>IF($G1975="",0,IF(Sync!$AB1972="",0,Sync!$AB1972))</f>
        <v/>
      </c>
      <c r="M1975">
        <f>IF($G1975="",0,IF(Sync!$AC1972="",0,Sync!$AC1972))</f>
        <v/>
      </c>
      <c r="N1975">
        <f>IF($G1975="","",IF($H1975="مرجوعی خرید",-1,1)*($L1975-$M1975*IFERROR(VLOOKUP("P01",ParamTbl,3,0),1.5))*(1-IF($I1975="خرید",IFERROR(VLOOKUP("P02",ParamTbl,3,0),1),0)/100))</f>
        <v/>
      </c>
      <c r="O1975">
        <f>IF($G1975="",0,IF($H1975="مرجوعی خرید",-1,1)*IF(Sync!$AD1972="",0,Sync!$AD1972))</f>
        <v/>
      </c>
      <c r="P1975">
        <f>IF(OR($G1975="",Sync!$W1972=""),"",Sync!$W1972)</f>
        <v/>
      </c>
      <c r="Q1975">
        <f>IF(OR($G1975="",Sync!$AE1972=""),"",Sync!$AE1972)</f>
        <v/>
      </c>
      <c r="R1975">
        <f>IF($G1975="","",IF(Sync!$V1972="","0000",IF(AND(ISNUMBER(Sync!$V1972),Sync!$V1972&gt;=0,Sync!$V1972&lt;1),RIGHT("00"&amp;HOUR(Sync!$V1972),2)&amp;RIGHT("00"&amp;MINUTE(Sync!$V1972),2),IFERROR(RIGHT("00"&amp;VALUE(LEFT(Sync!$V1972,FIND(":",Sync!$V1972)-1)),2)&amp;RIGHT("00"&amp;VALUE(MID(Sync!$V1972,FIND(":",Sync!$V1972)+1,2)),2),"0000"))))</f>
        <v/>
      </c>
    </row>
    <row r="1976">
      <c r="A1976">
        <f>IF(Sync!$U1973="","",Sync!$U1973)</f>
        <v/>
      </c>
      <c r="B1976">
        <f>IF($A1976="","",IF(ISNUMBER($A1976),IF(AND($A1976&gt;=10000101,$A1976&lt;=99991231),INT($A1976/10000),""),IFERROR(VALUE(TRIM(LEFT($A1976,FIND("/",$A1976)-1))),"")))</f>
        <v/>
      </c>
      <c r="C1976">
        <f>IF(OR($A1976="",$B1976=""),"",IF(ISNUMBER($A1976),INT(MOD($A1976,10000)/100),IFERROR(VALUE(TRIM(LEFT(MID($A1976,FIND("/",$A1976)+1,20),FIND("/",MID($A1976,FIND("/",$A1976)+1,20))-1))),"")))</f>
        <v/>
      </c>
      <c r="D1976">
        <f>IF(OR($A1976="",$B1976=""),"",IF(ISNUMBER($A1976),MOD($A1976,100),IFERROR(VALUE(TRIM(MID(MID($A1976,FIND("/",$A1976)+1,20),FIND("/",MID($A1976,FIND("/",$A1976)+1,20))+1,20))),"")))</f>
        <v/>
      </c>
      <c r="E1976">
        <f>IF($A1976="","",IF(OR($B1976="",$C1976="",$D1976="",$B1976&lt;1300,$B1976&gt;1500,$C1976&lt;1,$C1976&gt;12,$D1976&lt;1,$D1976&gt;31),"نامعتبر",RIGHT("0000"&amp;$B1976,4)&amp;"/"&amp;RIGHT("00"&amp;$C1976,2)&amp;"/"&amp;RIGHT("00"&amp;$D1976,2)))</f>
        <v/>
      </c>
      <c r="F1976">
        <f>IF(OR($E1976="",$E1976="نامعتبر"),"",LEFT($E1976,4)&amp;"/"&amp;MID($E1976,6,2))</f>
        <v/>
      </c>
      <c r="G1976">
        <f>IF(OR($E1976="",$E1976="نامعتبر",Sync!$Y1973=""),"",Sync!$Y1973)</f>
        <v/>
      </c>
      <c r="H1976">
        <f>IF($G1976="","",IF(Sync!$X1973="","",Sync!$X1973))</f>
        <v/>
      </c>
      <c r="I1976">
        <f>IF($G1976="","",IFERROR(VLOOKUP(Sync!$X1973,OpTbl,3,0),""))</f>
        <v/>
      </c>
      <c r="J1976">
        <f>IF(OR($G1976="",Sync!$Z1973=""),"",Sync!$Z1973)</f>
        <v/>
      </c>
      <c r="K1976">
        <f>IF(OR($G1976="",Sync!$AA1973=""),"",Sync!$AA1973)</f>
        <v/>
      </c>
      <c r="L1976">
        <f>IF($G1976="",0,IF(Sync!$AB1973="",0,Sync!$AB1973))</f>
        <v/>
      </c>
      <c r="M1976">
        <f>IF($G1976="",0,IF(Sync!$AC1973="",0,Sync!$AC1973))</f>
        <v/>
      </c>
      <c r="N1976">
        <f>IF($G1976="","",IF($H1976="مرجوعی خرید",-1,1)*($L1976-$M1976*IFERROR(VLOOKUP("P01",ParamTbl,3,0),1.5))*(1-IF($I1976="خرید",IFERROR(VLOOKUP("P02",ParamTbl,3,0),1),0)/100))</f>
        <v/>
      </c>
      <c r="O1976">
        <f>IF($G1976="",0,IF($H1976="مرجوعی خرید",-1,1)*IF(Sync!$AD1973="",0,Sync!$AD1973))</f>
        <v/>
      </c>
      <c r="P1976">
        <f>IF(OR($G1976="",Sync!$W1973=""),"",Sync!$W1973)</f>
        <v/>
      </c>
      <c r="Q1976">
        <f>IF(OR($G1976="",Sync!$AE1973=""),"",Sync!$AE1973)</f>
        <v/>
      </c>
      <c r="R1976">
        <f>IF($G1976="","",IF(Sync!$V1973="","0000",IF(AND(ISNUMBER(Sync!$V1973),Sync!$V1973&gt;=0,Sync!$V1973&lt;1),RIGHT("00"&amp;HOUR(Sync!$V1973),2)&amp;RIGHT("00"&amp;MINUTE(Sync!$V1973),2),IFERROR(RIGHT("00"&amp;VALUE(LEFT(Sync!$V1973,FIND(":",Sync!$V1973)-1)),2)&amp;RIGHT("00"&amp;VALUE(MID(Sync!$V1973,FIND(":",Sync!$V1973)+1,2)),2),"0000"))))</f>
        <v/>
      </c>
    </row>
    <row r="1977">
      <c r="A1977">
        <f>IF(Sync!$U1974="","",Sync!$U1974)</f>
        <v/>
      </c>
      <c r="B1977">
        <f>IF($A1977="","",IF(ISNUMBER($A1977),IF(AND($A1977&gt;=10000101,$A1977&lt;=99991231),INT($A1977/10000),""),IFERROR(VALUE(TRIM(LEFT($A1977,FIND("/",$A1977)-1))),"")))</f>
        <v/>
      </c>
      <c r="C1977">
        <f>IF(OR($A1977="",$B1977=""),"",IF(ISNUMBER($A1977),INT(MOD($A1977,10000)/100),IFERROR(VALUE(TRIM(LEFT(MID($A1977,FIND("/",$A1977)+1,20),FIND("/",MID($A1977,FIND("/",$A1977)+1,20))-1))),"")))</f>
        <v/>
      </c>
      <c r="D1977">
        <f>IF(OR($A1977="",$B1977=""),"",IF(ISNUMBER($A1977),MOD($A1977,100),IFERROR(VALUE(TRIM(MID(MID($A1977,FIND("/",$A1977)+1,20),FIND("/",MID($A1977,FIND("/",$A1977)+1,20))+1,20))),"")))</f>
        <v/>
      </c>
      <c r="E1977">
        <f>IF($A1977="","",IF(OR($B1977="",$C1977="",$D1977="",$B1977&lt;1300,$B1977&gt;1500,$C1977&lt;1,$C1977&gt;12,$D1977&lt;1,$D1977&gt;31),"نامعتبر",RIGHT("0000"&amp;$B1977,4)&amp;"/"&amp;RIGHT("00"&amp;$C1977,2)&amp;"/"&amp;RIGHT("00"&amp;$D1977,2)))</f>
        <v/>
      </c>
      <c r="F1977">
        <f>IF(OR($E1977="",$E1977="نامعتبر"),"",LEFT($E1977,4)&amp;"/"&amp;MID($E1977,6,2))</f>
        <v/>
      </c>
      <c r="G1977">
        <f>IF(OR($E1977="",$E1977="نامعتبر",Sync!$Y1974=""),"",Sync!$Y1974)</f>
        <v/>
      </c>
      <c r="H1977">
        <f>IF($G1977="","",IF(Sync!$X1974="","",Sync!$X1974))</f>
        <v/>
      </c>
      <c r="I1977">
        <f>IF($G1977="","",IFERROR(VLOOKUP(Sync!$X1974,OpTbl,3,0),""))</f>
        <v/>
      </c>
      <c r="J1977">
        <f>IF(OR($G1977="",Sync!$Z1974=""),"",Sync!$Z1974)</f>
        <v/>
      </c>
      <c r="K1977">
        <f>IF(OR($G1977="",Sync!$AA1974=""),"",Sync!$AA1974)</f>
        <v/>
      </c>
      <c r="L1977">
        <f>IF($G1977="",0,IF(Sync!$AB1974="",0,Sync!$AB1974))</f>
        <v/>
      </c>
      <c r="M1977">
        <f>IF($G1977="",0,IF(Sync!$AC1974="",0,Sync!$AC1974))</f>
        <v/>
      </c>
      <c r="N1977">
        <f>IF($G1977="","",IF($H1977="مرجوعی خرید",-1,1)*($L1977-$M1977*IFERROR(VLOOKUP("P01",ParamTbl,3,0),1.5))*(1-IF($I1977="خرید",IFERROR(VLOOKUP("P02",ParamTbl,3,0),1),0)/100))</f>
        <v/>
      </c>
      <c r="O1977">
        <f>IF($G1977="",0,IF($H1977="مرجوعی خرید",-1,1)*IF(Sync!$AD1974="",0,Sync!$AD1974))</f>
        <v/>
      </c>
      <c r="P1977">
        <f>IF(OR($G1977="",Sync!$W1974=""),"",Sync!$W1974)</f>
        <v/>
      </c>
      <c r="Q1977">
        <f>IF(OR($G1977="",Sync!$AE1974=""),"",Sync!$AE1974)</f>
        <v/>
      </c>
      <c r="R1977">
        <f>IF($G1977="","",IF(Sync!$V1974="","0000",IF(AND(ISNUMBER(Sync!$V1974),Sync!$V1974&gt;=0,Sync!$V1974&lt;1),RIGHT("00"&amp;HOUR(Sync!$V1974),2)&amp;RIGHT("00"&amp;MINUTE(Sync!$V1974),2),IFERROR(RIGHT("00"&amp;VALUE(LEFT(Sync!$V1974,FIND(":",Sync!$V1974)-1)),2)&amp;RIGHT("00"&amp;VALUE(MID(Sync!$V1974,FIND(":",Sync!$V1974)+1,2)),2),"0000"))))</f>
        <v/>
      </c>
    </row>
    <row r="1978">
      <c r="A1978">
        <f>IF(Sync!$U1975="","",Sync!$U1975)</f>
        <v/>
      </c>
      <c r="B1978">
        <f>IF($A1978="","",IF(ISNUMBER($A1978),IF(AND($A1978&gt;=10000101,$A1978&lt;=99991231),INT($A1978/10000),""),IFERROR(VALUE(TRIM(LEFT($A1978,FIND("/",$A1978)-1))),"")))</f>
        <v/>
      </c>
      <c r="C1978">
        <f>IF(OR($A1978="",$B1978=""),"",IF(ISNUMBER($A1978),INT(MOD($A1978,10000)/100),IFERROR(VALUE(TRIM(LEFT(MID($A1978,FIND("/",$A1978)+1,20),FIND("/",MID($A1978,FIND("/",$A1978)+1,20))-1))),"")))</f>
        <v/>
      </c>
      <c r="D1978">
        <f>IF(OR($A1978="",$B1978=""),"",IF(ISNUMBER($A1978),MOD($A1978,100),IFERROR(VALUE(TRIM(MID(MID($A1978,FIND("/",$A1978)+1,20),FIND("/",MID($A1978,FIND("/",$A1978)+1,20))+1,20))),"")))</f>
        <v/>
      </c>
      <c r="E1978">
        <f>IF($A1978="","",IF(OR($B1978="",$C1978="",$D1978="",$B1978&lt;1300,$B1978&gt;1500,$C1978&lt;1,$C1978&gt;12,$D1978&lt;1,$D1978&gt;31),"نامعتبر",RIGHT("0000"&amp;$B1978,4)&amp;"/"&amp;RIGHT("00"&amp;$C1978,2)&amp;"/"&amp;RIGHT("00"&amp;$D1978,2)))</f>
        <v/>
      </c>
      <c r="F1978">
        <f>IF(OR($E1978="",$E1978="نامعتبر"),"",LEFT($E1978,4)&amp;"/"&amp;MID($E1978,6,2))</f>
        <v/>
      </c>
      <c r="G1978">
        <f>IF(OR($E1978="",$E1978="نامعتبر",Sync!$Y1975=""),"",Sync!$Y1975)</f>
        <v/>
      </c>
      <c r="H1978">
        <f>IF($G1978="","",IF(Sync!$X1975="","",Sync!$X1975))</f>
        <v/>
      </c>
      <c r="I1978">
        <f>IF($G1978="","",IFERROR(VLOOKUP(Sync!$X1975,OpTbl,3,0),""))</f>
        <v/>
      </c>
      <c r="J1978">
        <f>IF(OR($G1978="",Sync!$Z1975=""),"",Sync!$Z1975)</f>
        <v/>
      </c>
      <c r="K1978">
        <f>IF(OR($G1978="",Sync!$AA1975=""),"",Sync!$AA1975)</f>
        <v/>
      </c>
      <c r="L1978">
        <f>IF($G1978="",0,IF(Sync!$AB1975="",0,Sync!$AB1975))</f>
        <v/>
      </c>
      <c r="M1978">
        <f>IF($G1978="",0,IF(Sync!$AC1975="",0,Sync!$AC1975))</f>
        <v/>
      </c>
      <c r="N1978">
        <f>IF($G1978="","",IF($H1978="مرجوعی خرید",-1,1)*($L1978-$M1978*IFERROR(VLOOKUP("P01",ParamTbl,3,0),1.5))*(1-IF($I1978="خرید",IFERROR(VLOOKUP("P02",ParamTbl,3,0),1),0)/100))</f>
        <v/>
      </c>
      <c r="O1978">
        <f>IF($G1978="",0,IF($H1978="مرجوعی خرید",-1,1)*IF(Sync!$AD1975="",0,Sync!$AD1975))</f>
        <v/>
      </c>
      <c r="P1978">
        <f>IF(OR($G1978="",Sync!$W1975=""),"",Sync!$W1975)</f>
        <v/>
      </c>
      <c r="Q1978">
        <f>IF(OR($G1978="",Sync!$AE1975=""),"",Sync!$AE1975)</f>
        <v/>
      </c>
      <c r="R1978">
        <f>IF($G1978="","",IF(Sync!$V1975="","0000",IF(AND(ISNUMBER(Sync!$V1975),Sync!$V1975&gt;=0,Sync!$V1975&lt;1),RIGHT("00"&amp;HOUR(Sync!$V1975),2)&amp;RIGHT("00"&amp;MINUTE(Sync!$V1975),2),IFERROR(RIGHT("00"&amp;VALUE(LEFT(Sync!$V1975,FIND(":",Sync!$V1975)-1)),2)&amp;RIGHT("00"&amp;VALUE(MID(Sync!$V1975,FIND(":",Sync!$V1975)+1,2)),2),"0000"))))</f>
        <v/>
      </c>
    </row>
    <row r="1979">
      <c r="A1979">
        <f>IF(Sync!$U1976="","",Sync!$U1976)</f>
        <v/>
      </c>
      <c r="B1979">
        <f>IF($A1979="","",IF(ISNUMBER($A1979),IF(AND($A1979&gt;=10000101,$A1979&lt;=99991231),INT($A1979/10000),""),IFERROR(VALUE(TRIM(LEFT($A1979,FIND("/",$A1979)-1))),"")))</f>
        <v/>
      </c>
      <c r="C1979">
        <f>IF(OR($A1979="",$B1979=""),"",IF(ISNUMBER($A1979),INT(MOD($A1979,10000)/100),IFERROR(VALUE(TRIM(LEFT(MID($A1979,FIND("/",$A1979)+1,20),FIND("/",MID($A1979,FIND("/",$A1979)+1,20))-1))),"")))</f>
        <v/>
      </c>
      <c r="D1979">
        <f>IF(OR($A1979="",$B1979=""),"",IF(ISNUMBER($A1979),MOD($A1979,100),IFERROR(VALUE(TRIM(MID(MID($A1979,FIND("/",$A1979)+1,20),FIND("/",MID($A1979,FIND("/",$A1979)+1,20))+1,20))),"")))</f>
        <v/>
      </c>
      <c r="E1979">
        <f>IF($A1979="","",IF(OR($B1979="",$C1979="",$D1979="",$B1979&lt;1300,$B1979&gt;1500,$C1979&lt;1,$C1979&gt;12,$D1979&lt;1,$D1979&gt;31),"نامعتبر",RIGHT("0000"&amp;$B1979,4)&amp;"/"&amp;RIGHT("00"&amp;$C1979,2)&amp;"/"&amp;RIGHT("00"&amp;$D1979,2)))</f>
        <v/>
      </c>
      <c r="F1979">
        <f>IF(OR($E1979="",$E1979="نامعتبر"),"",LEFT($E1979,4)&amp;"/"&amp;MID($E1979,6,2))</f>
        <v/>
      </c>
      <c r="G1979">
        <f>IF(OR($E1979="",$E1979="نامعتبر",Sync!$Y1976=""),"",Sync!$Y1976)</f>
        <v/>
      </c>
      <c r="H1979">
        <f>IF($G1979="","",IF(Sync!$X1976="","",Sync!$X1976))</f>
        <v/>
      </c>
      <c r="I1979">
        <f>IF($G1979="","",IFERROR(VLOOKUP(Sync!$X1976,OpTbl,3,0),""))</f>
        <v/>
      </c>
      <c r="J1979">
        <f>IF(OR($G1979="",Sync!$Z1976=""),"",Sync!$Z1976)</f>
        <v/>
      </c>
      <c r="K1979">
        <f>IF(OR($G1979="",Sync!$AA1976=""),"",Sync!$AA1976)</f>
        <v/>
      </c>
      <c r="L1979">
        <f>IF($G1979="",0,IF(Sync!$AB1976="",0,Sync!$AB1976))</f>
        <v/>
      </c>
      <c r="M1979">
        <f>IF($G1979="",0,IF(Sync!$AC1976="",0,Sync!$AC1976))</f>
        <v/>
      </c>
      <c r="N1979">
        <f>IF($G1979="","",IF($H1979="مرجوعی خرید",-1,1)*($L1979-$M1979*IFERROR(VLOOKUP("P01",ParamTbl,3,0),1.5))*(1-IF($I1979="خرید",IFERROR(VLOOKUP("P02",ParamTbl,3,0),1),0)/100))</f>
        <v/>
      </c>
      <c r="O1979">
        <f>IF($G1979="",0,IF($H1979="مرجوعی خرید",-1,1)*IF(Sync!$AD1976="",0,Sync!$AD1976))</f>
        <v/>
      </c>
      <c r="P1979">
        <f>IF(OR($G1979="",Sync!$W1976=""),"",Sync!$W1976)</f>
        <v/>
      </c>
      <c r="Q1979">
        <f>IF(OR($G1979="",Sync!$AE1976=""),"",Sync!$AE1976)</f>
        <v/>
      </c>
      <c r="R1979">
        <f>IF($G1979="","",IF(Sync!$V1976="","0000",IF(AND(ISNUMBER(Sync!$V1976),Sync!$V1976&gt;=0,Sync!$V1976&lt;1),RIGHT("00"&amp;HOUR(Sync!$V1976),2)&amp;RIGHT("00"&amp;MINUTE(Sync!$V1976),2),IFERROR(RIGHT("00"&amp;VALUE(LEFT(Sync!$V1976,FIND(":",Sync!$V1976)-1)),2)&amp;RIGHT("00"&amp;VALUE(MID(Sync!$V1976,FIND(":",Sync!$V1976)+1,2)),2),"0000"))))</f>
        <v/>
      </c>
    </row>
    <row r="1980">
      <c r="A1980">
        <f>IF(Sync!$U1977="","",Sync!$U1977)</f>
        <v/>
      </c>
      <c r="B1980">
        <f>IF($A1980="","",IF(ISNUMBER($A1980),IF(AND($A1980&gt;=10000101,$A1980&lt;=99991231),INT($A1980/10000),""),IFERROR(VALUE(TRIM(LEFT($A1980,FIND("/",$A1980)-1))),"")))</f>
        <v/>
      </c>
      <c r="C1980">
        <f>IF(OR($A1980="",$B1980=""),"",IF(ISNUMBER($A1980),INT(MOD($A1980,10000)/100),IFERROR(VALUE(TRIM(LEFT(MID($A1980,FIND("/",$A1980)+1,20),FIND("/",MID($A1980,FIND("/",$A1980)+1,20))-1))),"")))</f>
        <v/>
      </c>
      <c r="D1980">
        <f>IF(OR($A1980="",$B1980=""),"",IF(ISNUMBER($A1980),MOD($A1980,100),IFERROR(VALUE(TRIM(MID(MID($A1980,FIND("/",$A1980)+1,20),FIND("/",MID($A1980,FIND("/",$A1980)+1,20))+1,20))),"")))</f>
        <v/>
      </c>
      <c r="E1980">
        <f>IF($A1980="","",IF(OR($B1980="",$C1980="",$D1980="",$B1980&lt;1300,$B1980&gt;1500,$C1980&lt;1,$C1980&gt;12,$D1980&lt;1,$D1980&gt;31),"نامعتبر",RIGHT("0000"&amp;$B1980,4)&amp;"/"&amp;RIGHT("00"&amp;$C1980,2)&amp;"/"&amp;RIGHT("00"&amp;$D1980,2)))</f>
        <v/>
      </c>
      <c r="F1980">
        <f>IF(OR($E1980="",$E1980="نامعتبر"),"",LEFT($E1980,4)&amp;"/"&amp;MID($E1980,6,2))</f>
        <v/>
      </c>
      <c r="G1980">
        <f>IF(OR($E1980="",$E1980="نامعتبر",Sync!$Y1977=""),"",Sync!$Y1977)</f>
        <v/>
      </c>
      <c r="H1980">
        <f>IF($G1980="","",IF(Sync!$X1977="","",Sync!$X1977))</f>
        <v/>
      </c>
      <c r="I1980">
        <f>IF($G1980="","",IFERROR(VLOOKUP(Sync!$X1977,OpTbl,3,0),""))</f>
        <v/>
      </c>
      <c r="J1980">
        <f>IF(OR($G1980="",Sync!$Z1977=""),"",Sync!$Z1977)</f>
        <v/>
      </c>
      <c r="K1980">
        <f>IF(OR($G1980="",Sync!$AA1977=""),"",Sync!$AA1977)</f>
        <v/>
      </c>
      <c r="L1980">
        <f>IF($G1980="",0,IF(Sync!$AB1977="",0,Sync!$AB1977))</f>
        <v/>
      </c>
      <c r="M1980">
        <f>IF($G1980="",0,IF(Sync!$AC1977="",0,Sync!$AC1977))</f>
        <v/>
      </c>
      <c r="N1980">
        <f>IF($G1980="","",IF($H1980="مرجوعی خرید",-1,1)*($L1980-$M1980*IFERROR(VLOOKUP("P01",ParamTbl,3,0),1.5))*(1-IF($I1980="خرید",IFERROR(VLOOKUP("P02",ParamTbl,3,0),1),0)/100))</f>
        <v/>
      </c>
      <c r="O1980">
        <f>IF($G1980="",0,IF($H1980="مرجوعی خرید",-1,1)*IF(Sync!$AD1977="",0,Sync!$AD1977))</f>
        <v/>
      </c>
      <c r="P1980">
        <f>IF(OR($G1980="",Sync!$W1977=""),"",Sync!$W1977)</f>
        <v/>
      </c>
      <c r="Q1980">
        <f>IF(OR($G1980="",Sync!$AE1977=""),"",Sync!$AE1977)</f>
        <v/>
      </c>
      <c r="R1980">
        <f>IF($G1980="","",IF(Sync!$V1977="","0000",IF(AND(ISNUMBER(Sync!$V1977),Sync!$V1977&gt;=0,Sync!$V1977&lt;1),RIGHT("00"&amp;HOUR(Sync!$V1977),2)&amp;RIGHT("00"&amp;MINUTE(Sync!$V1977),2),IFERROR(RIGHT("00"&amp;VALUE(LEFT(Sync!$V1977,FIND(":",Sync!$V1977)-1)),2)&amp;RIGHT("00"&amp;VALUE(MID(Sync!$V1977,FIND(":",Sync!$V1977)+1,2)),2),"0000"))))</f>
        <v/>
      </c>
    </row>
    <row r="1981">
      <c r="A1981">
        <f>IF(Sync!$U1978="","",Sync!$U1978)</f>
        <v/>
      </c>
      <c r="B1981">
        <f>IF($A1981="","",IF(ISNUMBER($A1981),IF(AND($A1981&gt;=10000101,$A1981&lt;=99991231),INT($A1981/10000),""),IFERROR(VALUE(TRIM(LEFT($A1981,FIND("/",$A1981)-1))),"")))</f>
        <v/>
      </c>
      <c r="C1981">
        <f>IF(OR($A1981="",$B1981=""),"",IF(ISNUMBER($A1981),INT(MOD($A1981,10000)/100),IFERROR(VALUE(TRIM(LEFT(MID($A1981,FIND("/",$A1981)+1,20),FIND("/",MID($A1981,FIND("/",$A1981)+1,20))-1))),"")))</f>
        <v/>
      </c>
      <c r="D1981">
        <f>IF(OR($A1981="",$B1981=""),"",IF(ISNUMBER($A1981),MOD($A1981,100),IFERROR(VALUE(TRIM(MID(MID($A1981,FIND("/",$A1981)+1,20),FIND("/",MID($A1981,FIND("/",$A1981)+1,20))+1,20))),"")))</f>
        <v/>
      </c>
      <c r="E1981">
        <f>IF($A1981="","",IF(OR($B1981="",$C1981="",$D1981="",$B1981&lt;1300,$B1981&gt;1500,$C1981&lt;1,$C1981&gt;12,$D1981&lt;1,$D1981&gt;31),"نامعتبر",RIGHT("0000"&amp;$B1981,4)&amp;"/"&amp;RIGHT("00"&amp;$C1981,2)&amp;"/"&amp;RIGHT("00"&amp;$D1981,2)))</f>
        <v/>
      </c>
      <c r="F1981">
        <f>IF(OR($E1981="",$E1981="نامعتبر"),"",LEFT($E1981,4)&amp;"/"&amp;MID($E1981,6,2))</f>
        <v/>
      </c>
      <c r="G1981">
        <f>IF(OR($E1981="",$E1981="نامعتبر",Sync!$Y1978=""),"",Sync!$Y1978)</f>
        <v/>
      </c>
      <c r="H1981">
        <f>IF($G1981="","",IF(Sync!$X1978="","",Sync!$X1978))</f>
        <v/>
      </c>
      <c r="I1981">
        <f>IF($G1981="","",IFERROR(VLOOKUP(Sync!$X1978,OpTbl,3,0),""))</f>
        <v/>
      </c>
      <c r="J1981">
        <f>IF(OR($G1981="",Sync!$Z1978=""),"",Sync!$Z1978)</f>
        <v/>
      </c>
      <c r="K1981">
        <f>IF(OR($G1981="",Sync!$AA1978=""),"",Sync!$AA1978)</f>
        <v/>
      </c>
      <c r="L1981">
        <f>IF($G1981="",0,IF(Sync!$AB1978="",0,Sync!$AB1978))</f>
        <v/>
      </c>
      <c r="M1981">
        <f>IF($G1981="",0,IF(Sync!$AC1978="",0,Sync!$AC1978))</f>
        <v/>
      </c>
      <c r="N1981">
        <f>IF($G1981="","",IF($H1981="مرجوعی خرید",-1,1)*($L1981-$M1981*IFERROR(VLOOKUP("P01",ParamTbl,3,0),1.5))*(1-IF($I1981="خرید",IFERROR(VLOOKUP("P02",ParamTbl,3,0),1),0)/100))</f>
        <v/>
      </c>
      <c r="O1981">
        <f>IF($G1981="",0,IF($H1981="مرجوعی خرید",-1,1)*IF(Sync!$AD1978="",0,Sync!$AD1978))</f>
        <v/>
      </c>
      <c r="P1981">
        <f>IF(OR($G1981="",Sync!$W1978=""),"",Sync!$W1978)</f>
        <v/>
      </c>
      <c r="Q1981">
        <f>IF(OR($G1981="",Sync!$AE1978=""),"",Sync!$AE1978)</f>
        <v/>
      </c>
      <c r="R1981">
        <f>IF($G1981="","",IF(Sync!$V1978="","0000",IF(AND(ISNUMBER(Sync!$V1978),Sync!$V1978&gt;=0,Sync!$V1978&lt;1),RIGHT("00"&amp;HOUR(Sync!$V1978),2)&amp;RIGHT("00"&amp;MINUTE(Sync!$V1978),2),IFERROR(RIGHT("00"&amp;VALUE(LEFT(Sync!$V1978,FIND(":",Sync!$V1978)-1)),2)&amp;RIGHT("00"&amp;VALUE(MID(Sync!$V1978,FIND(":",Sync!$V1978)+1,2)),2),"0000"))))</f>
        <v/>
      </c>
    </row>
    <row r="1982">
      <c r="A1982">
        <f>IF(Sync!$U1979="","",Sync!$U1979)</f>
        <v/>
      </c>
      <c r="B1982">
        <f>IF($A1982="","",IF(ISNUMBER($A1982),IF(AND($A1982&gt;=10000101,$A1982&lt;=99991231),INT($A1982/10000),""),IFERROR(VALUE(TRIM(LEFT($A1982,FIND("/",$A1982)-1))),"")))</f>
        <v/>
      </c>
      <c r="C1982">
        <f>IF(OR($A1982="",$B1982=""),"",IF(ISNUMBER($A1982),INT(MOD($A1982,10000)/100),IFERROR(VALUE(TRIM(LEFT(MID($A1982,FIND("/",$A1982)+1,20),FIND("/",MID($A1982,FIND("/",$A1982)+1,20))-1))),"")))</f>
        <v/>
      </c>
      <c r="D1982">
        <f>IF(OR($A1982="",$B1982=""),"",IF(ISNUMBER($A1982),MOD($A1982,100),IFERROR(VALUE(TRIM(MID(MID($A1982,FIND("/",$A1982)+1,20),FIND("/",MID($A1982,FIND("/",$A1982)+1,20))+1,20))),"")))</f>
        <v/>
      </c>
      <c r="E1982">
        <f>IF($A1982="","",IF(OR($B1982="",$C1982="",$D1982="",$B1982&lt;1300,$B1982&gt;1500,$C1982&lt;1,$C1982&gt;12,$D1982&lt;1,$D1982&gt;31),"نامعتبر",RIGHT("0000"&amp;$B1982,4)&amp;"/"&amp;RIGHT("00"&amp;$C1982,2)&amp;"/"&amp;RIGHT("00"&amp;$D1982,2)))</f>
        <v/>
      </c>
      <c r="F1982">
        <f>IF(OR($E1982="",$E1982="نامعتبر"),"",LEFT($E1982,4)&amp;"/"&amp;MID($E1982,6,2))</f>
        <v/>
      </c>
      <c r="G1982">
        <f>IF(OR($E1982="",$E1982="نامعتبر",Sync!$Y1979=""),"",Sync!$Y1979)</f>
        <v/>
      </c>
      <c r="H1982">
        <f>IF($G1982="","",IF(Sync!$X1979="","",Sync!$X1979))</f>
        <v/>
      </c>
      <c r="I1982">
        <f>IF($G1982="","",IFERROR(VLOOKUP(Sync!$X1979,OpTbl,3,0),""))</f>
        <v/>
      </c>
      <c r="J1982">
        <f>IF(OR($G1982="",Sync!$Z1979=""),"",Sync!$Z1979)</f>
        <v/>
      </c>
      <c r="K1982">
        <f>IF(OR($G1982="",Sync!$AA1979=""),"",Sync!$AA1979)</f>
        <v/>
      </c>
      <c r="L1982">
        <f>IF($G1982="",0,IF(Sync!$AB1979="",0,Sync!$AB1979))</f>
        <v/>
      </c>
      <c r="M1982">
        <f>IF($G1982="",0,IF(Sync!$AC1979="",0,Sync!$AC1979))</f>
        <v/>
      </c>
      <c r="N1982">
        <f>IF($G1982="","",IF($H1982="مرجوعی خرید",-1,1)*($L1982-$M1982*IFERROR(VLOOKUP("P01",ParamTbl,3,0),1.5))*(1-IF($I1982="خرید",IFERROR(VLOOKUP("P02",ParamTbl,3,0),1),0)/100))</f>
        <v/>
      </c>
      <c r="O1982">
        <f>IF($G1982="",0,IF($H1982="مرجوعی خرید",-1,1)*IF(Sync!$AD1979="",0,Sync!$AD1979))</f>
        <v/>
      </c>
      <c r="P1982">
        <f>IF(OR($G1982="",Sync!$W1979=""),"",Sync!$W1979)</f>
        <v/>
      </c>
      <c r="Q1982">
        <f>IF(OR($G1982="",Sync!$AE1979=""),"",Sync!$AE1979)</f>
        <v/>
      </c>
      <c r="R1982">
        <f>IF($G1982="","",IF(Sync!$V1979="","0000",IF(AND(ISNUMBER(Sync!$V1979),Sync!$V1979&gt;=0,Sync!$V1979&lt;1),RIGHT("00"&amp;HOUR(Sync!$V1979),2)&amp;RIGHT("00"&amp;MINUTE(Sync!$V1979),2),IFERROR(RIGHT("00"&amp;VALUE(LEFT(Sync!$V1979,FIND(":",Sync!$V1979)-1)),2)&amp;RIGHT("00"&amp;VALUE(MID(Sync!$V1979,FIND(":",Sync!$V1979)+1,2)),2),"0000"))))</f>
        <v/>
      </c>
    </row>
    <row r="1983">
      <c r="A1983">
        <f>IF(Sync!$U1980="","",Sync!$U1980)</f>
        <v/>
      </c>
      <c r="B1983">
        <f>IF($A1983="","",IF(ISNUMBER($A1983),IF(AND($A1983&gt;=10000101,$A1983&lt;=99991231),INT($A1983/10000),""),IFERROR(VALUE(TRIM(LEFT($A1983,FIND("/",$A1983)-1))),"")))</f>
        <v/>
      </c>
      <c r="C1983">
        <f>IF(OR($A1983="",$B1983=""),"",IF(ISNUMBER($A1983),INT(MOD($A1983,10000)/100),IFERROR(VALUE(TRIM(LEFT(MID($A1983,FIND("/",$A1983)+1,20),FIND("/",MID($A1983,FIND("/",$A1983)+1,20))-1))),"")))</f>
        <v/>
      </c>
      <c r="D1983">
        <f>IF(OR($A1983="",$B1983=""),"",IF(ISNUMBER($A1983),MOD($A1983,100),IFERROR(VALUE(TRIM(MID(MID($A1983,FIND("/",$A1983)+1,20),FIND("/",MID($A1983,FIND("/",$A1983)+1,20))+1,20))),"")))</f>
        <v/>
      </c>
      <c r="E1983">
        <f>IF($A1983="","",IF(OR($B1983="",$C1983="",$D1983="",$B1983&lt;1300,$B1983&gt;1500,$C1983&lt;1,$C1983&gt;12,$D1983&lt;1,$D1983&gt;31),"نامعتبر",RIGHT("0000"&amp;$B1983,4)&amp;"/"&amp;RIGHT("00"&amp;$C1983,2)&amp;"/"&amp;RIGHT("00"&amp;$D1983,2)))</f>
        <v/>
      </c>
      <c r="F1983">
        <f>IF(OR($E1983="",$E1983="نامعتبر"),"",LEFT($E1983,4)&amp;"/"&amp;MID($E1983,6,2))</f>
        <v/>
      </c>
      <c r="G1983">
        <f>IF(OR($E1983="",$E1983="نامعتبر",Sync!$Y1980=""),"",Sync!$Y1980)</f>
        <v/>
      </c>
      <c r="H1983">
        <f>IF($G1983="","",IF(Sync!$X1980="","",Sync!$X1980))</f>
        <v/>
      </c>
      <c r="I1983">
        <f>IF($G1983="","",IFERROR(VLOOKUP(Sync!$X1980,OpTbl,3,0),""))</f>
        <v/>
      </c>
      <c r="J1983">
        <f>IF(OR($G1983="",Sync!$Z1980=""),"",Sync!$Z1980)</f>
        <v/>
      </c>
      <c r="K1983">
        <f>IF(OR($G1983="",Sync!$AA1980=""),"",Sync!$AA1980)</f>
        <v/>
      </c>
      <c r="L1983">
        <f>IF($G1983="",0,IF(Sync!$AB1980="",0,Sync!$AB1980))</f>
        <v/>
      </c>
      <c r="M1983">
        <f>IF($G1983="",0,IF(Sync!$AC1980="",0,Sync!$AC1980))</f>
        <v/>
      </c>
      <c r="N1983">
        <f>IF($G1983="","",IF($H1983="مرجوعی خرید",-1,1)*($L1983-$M1983*IFERROR(VLOOKUP("P01",ParamTbl,3,0),1.5))*(1-IF($I1983="خرید",IFERROR(VLOOKUP("P02",ParamTbl,3,0),1),0)/100))</f>
        <v/>
      </c>
      <c r="O1983">
        <f>IF($G1983="",0,IF($H1983="مرجوعی خرید",-1,1)*IF(Sync!$AD1980="",0,Sync!$AD1980))</f>
        <v/>
      </c>
      <c r="P1983">
        <f>IF(OR($G1983="",Sync!$W1980=""),"",Sync!$W1980)</f>
        <v/>
      </c>
      <c r="Q1983">
        <f>IF(OR($G1983="",Sync!$AE1980=""),"",Sync!$AE1980)</f>
        <v/>
      </c>
      <c r="R1983">
        <f>IF($G1983="","",IF(Sync!$V1980="","0000",IF(AND(ISNUMBER(Sync!$V1980),Sync!$V1980&gt;=0,Sync!$V1980&lt;1),RIGHT("00"&amp;HOUR(Sync!$V1980),2)&amp;RIGHT("00"&amp;MINUTE(Sync!$V1980),2),IFERROR(RIGHT("00"&amp;VALUE(LEFT(Sync!$V1980,FIND(":",Sync!$V1980)-1)),2)&amp;RIGHT("00"&amp;VALUE(MID(Sync!$V1980,FIND(":",Sync!$V1980)+1,2)),2),"0000"))))</f>
        <v/>
      </c>
    </row>
    <row r="1984">
      <c r="A1984">
        <f>IF(Sync!$U1981="","",Sync!$U1981)</f>
        <v/>
      </c>
      <c r="B1984">
        <f>IF($A1984="","",IF(ISNUMBER($A1984),IF(AND($A1984&gt;=10000101,$A1984&lt;=99991231),INT($A1984/10000),""),IFERROR(VALUE(TRIM(LEFT($A1984,FIND("/",$A1984)-1))),"")))</f>
        <v/>
      </c>
      <c r="C1984">
        <f>IF(OR($A1984="",$B1984=""),"",IF(ISNUMBER($A1984),INT(MOD($A1984,10000)/100),IFERROR(VALUE(TRIM(LEFT(MID($A1984,FIND("/",$A1984)+1,20),FIND("/",MID($A1984,FIND("/",$A1984)+1,20))-1))),"")))</f>
        <v/>
      </c>
      <c r="D1984">
        <f>IF(OR($A1984="",$B1984=""),"",IF(ISNUMBER($A1984),MOD($A1984,100),IFERROR(VALUE(TRIM(MID(MID($A1984,FIND("/",$A1984)+1,20),FIND("/",MID($A1984,FIND("/",$A1984)+1,20))+1,20))),"")))</f>
        <v/>
      </c>
      <c r="E1984">
        <f>IF($A1984="","",IF(OR($B1984="",$C1984="",$D1984="",$B1984&lt;1300,$B1984&gt;1500,$C1984&lt;1,$C1984&gt;12,$D1984&lt;1,$D1984&gt;31),"نامعتبر",RIGHT("0000"&amp;$B1984,4)&amp;"/"&amp;RIGHT("00"&amp;$C1984,2)&amp;"/"&amp;RIGHT("00"&amp;$D1984,2)))</f>
        <v/>
      </c>
      <c r="F1984">
        <f>IF(OR($E1984="",$E1984="نامعتبر"),"",LEFT($E1984,4)&amp;"/"&amp;MID($E1984,6,2))</f>
        <v/>
      </c>
      <c r="G1984">
        <f>IF(OR($E1984="",$E1984="نامعتبر",Sync!$Y1981=""),"",Sync!$Y1981)</f>
        <v/>
      </c>
      <c r="H1984">
        <f>IF($G1984="","",IF(Sync!$X1981="","",Sync!$X1981))</f>
        <v/>
      </c>
      <c r="I1984">
        <f>IF($G1984="","",IFERROR(VLOOKUP(Sync!$X1981,OpTbl,3,0),""))</f>
        <v/>
      </c>
      <c r="J1984">
        <f>IF(OR($G1984="",Sync!$Z1981=""),"",Sync!$Z1981)</f>
        <v/>
      </c>
      <c r="K1984">
        <f>IF(OR($G1984="",Sync!$AA1981=""),"",Sync!$AA1981)</f>
        <v/>
      </c>
      <c r="L1984">
        <f>IF($G1984="",0,IF(Sync!$AB1981="",0,Sync!$AB1981))</f>
        <v/>
      </c>
      <c r="M1984">
        <f>IF($G1984="",0,IF(Sync!$AC1981="",0,Sync!$AC1981))</f>
        <v/>
      </c>
      <c r="N1984">
        <f>IF($G1984="","",IF($H1984="مرجوعی خرید",-1,1)*($L1984-$M1984*IFERROR(VLOOKUP("P01",ParamTbl,3,0),1.5))*(1-IF($I1984="خرید",IFERROR(VLOOKUP("P02",ParamTbl,3,0),1),0)/100))</f>
        <v/>
      </c>
      <c r="O1984">
        <f>IF($G1984="",0,IF($H1984="مرجوعی خرید",-1,1)*IF(Sync!$AD1981="",0,Sync!$AD1981))</f>
        <v/>
      </c>
      <c r="P1984">
        <f>IF(OR($G1984="",Sync!$W1981=""),"",Sync!$W1981)</f>
        <v/>
      </c>
      <c r="Q1984">
        <f>IF(OR($G1984="",Sync!$AE1981=""),"",Sync!$AE1981)</f>
        <v/>
      </c>
      <c r="R1984">
        <f>IF($G1984="","",IF(Sync!$V1981="","0000",IF(AND(ISNUMBER(Sync!$V1981),Sync!$V1981&gt;=0,Sync!$V1981&lt;1),RIGHT("00"&amp;HOUR(Sync!$V1981),2)&amp;RIGHT("00"&amp;MINUTE(Sync!$V1981),2),IFERROR(RIGHT("00"&amp;VALUE(LEFT(Sync!$V1981,FIND(":",Sync!$V1981)-1)),2)&amp;RIGHT("00"&amp;VALUE(MID(Sync!$V1981,FIND(":",Sync!$V1981)+1,2)),2),"0000"))))</f>
        <v/>
      </c>
    </row>
    <row r="1985">
      <c r="A1985">
        <f>IF(Sync!$U1982="","",Sync!$U1982)</f>
        <v/>
      </c>
      <c r="B1985">
        <f>IF($A1985="","",IF(ISNUMBER($A1985),IF(AND($A1985&gt;=10000101,$A1985&lt;=99991231),INT($A1985/10000),""),IFERROR(VALUE(TRIM(LEFT($A1985,FIND("/",$A1985)-1))),"")))</f>
        <v/>
      </c>
      <c r="C1985">
        <f>IF(OR($A1985="",$B1985=""),"",IF(ISNUMBER($A1985),INT(MOD($A1985,10000)/100),IFERROR(VALUE(TRIM(LEFT(MID($A1985,FIND("/",$A1985)+1,20),FIND("/",MID($A1985,FIND("/",$A1985)+1,20))-1))),"")))</f>
        <v/>
      </c>
      <c r="D1985">
        <f>IF(OR($A1985="",$B1985=""),"",IF(ISNUMBER($A1985),MOD($A1985,100),IFERROR(VALUE(TRIM(MID(MID($A1985,FIND("/",$A1985)+1,20),FIND("/",MID($A1985,FIND("/",$A1985)+1,20))+1,20))),"")))</f>
        <v/>
      </c>
      <c r="E1985">
        <f>IF($A1985="","",IF(OR($B1985="",$C1985="",$D1985="",$B1985&lt;1300,$B1985&gt;1500,$C1985&lt;1,$C1985&gt;12,$D1985&lt;1,$D1985&gt;31),"نامعتبر",RIGHT("0000"&amp;$B1985,4)&amp;"/"&amp;RIGHT("00"&amp;$C1985,2)&amp;"/"&amp;RIGHT("00"&amp;$D1985,2)))</f>
        <v/>
      </c>
      <c r="F1985">
        <f>IF(OR($E1985="",$E1985="نامعتبر"),"",LEFT($E1985,4)&amp;"/"&amp;MID($E1985,6,2))</f>
        <v/>
      </c>
      <c r="G1985">
        <f>IF(OR($E1985="",$E1985="نامعتبر",Sync!$Y1982=""),"",Sync!$Y1982)</f>
        <v/>
      </c>
      <c r="H1985">
        <f>IF($G1985="","",IF(Sync!$X1982="","",Sync!$X1982))</f>
        <v/>
      </c>
      <c r="I1985">
        <f>IF($G1985="","",IFERROR(VLOOKUP(Sync!$X1982,OpTbl,3,0),""))</f>
        <v/>
      </c>
      <c r="J1985">
        <f>IF(OR($G1985="",Sync!$Z1982=""),"",Sync!$Z1982)</f>
        <v/>
      </c>
      <c r="K1985">
        <f>IF(OR($G1985="",Sync!$AA1982=""),"",Sync!$AA1982)</f>
        <v/>
      </c>
      <c r="L1985">
        <f>IF($G1985="",0,IF(Sync!$AB1982="",0,Sync!$AB1982))</f>
        <v/>
      </c>
      <c r="M1985">
        <f>IF($G1985="",0,IF(Sync!$AC1982="",0,Sync!$AC1982))</f>
        <v/>
      </c>
      <c r="N1985">
        <f>IF($G1985="","",IF($H1985="مرجوعی خرید",-1,1)*($L1985-$M1985*IFERROR(VLOOKUP("P01",ParamTbl,3,0),1.5))*(1-IF($I1985="خرید",IFERROR(VLOOKUP("P02",ParamTbl,3,0),1),0)/100))</f>
        <v/>
      </c>
      <c r="O1985">
        <f>IF($G1985="",0,IF($H1985="مرجوعی خرید",-1,1)*IF(Sync!$AD1982="",0,Sync!$AD1982))</f>
        <v/>
      </c>
      <c r="P1985">
        <f>IF(OR($G1985="",Sync!$W1982=""),"",Sync!$W1982)</f>
        <v/>
      </c>
      <c r="Q1985">
        <f>IF(OR($G1985="",Sync!$AE1982=""),"",Sync!$AE1982)</f>
        <v/>
      </c>
      <c r="R1985">
        <f>IF($G1985="","",IF(Sync!$V1982="","0000",IF(AND(ISNUMBER(Sync!$V1982),Sync!$V1982&gt;=0,Sync!$V1982&lt;1),RIGHT("00"&amp;HOUR(Sync!$V1982),2)&amp;RIGHT("00"&amp;MINUTE(Sync!$V1982),2),IFERROR(RIGHT("00"&amp;VALUE(LEFT(Sync!$V1982,FIND(":",Sync!$V1982)-1)),2)&amp;RIGHT("00"&amp;VALUE(MID(Sync!$V1982,FIND(":",Sync!$V1982)+1,2)),2),"0000"))))</f>
        <v/>
      </c>
    </row>
    <row r="1986">
      <c r="A1986">
        <f>IF(Sync!$U1983="","",Sync!$U1983)</f>
        <v/>
      </c>
      <c r="B1986">
        <f>IF($A1986="","",IF(ISNUMBER($A1986),IF(AND($A1986&gt;=10000101,$A1986&lt;=99991231),INT($A1986/10000),""),IFERROR(VALUE(TRIM(LEFT($A1986,FIND("/",$A1986)-1))),"")))</f>
        <v/>
      </c>
      <c r="C1986">
        <f>IF(OR($A1986="",$B1986=""),"",IF(ISNUMBER($A1986),INT(MOD($A1986,10000)/100),IFERROR(VALUE(TRIM(LEFT(MID($A1986,FIND("/",$A1986)+1,20),FIND("/",MID($A1986,FIND("/",$A1986)+1,20))-1))),"")))</f>
        <v/>
      </c>
      <c r="D1986">
        <f>IF(OR($A1986="",$B1986=""),"",IF(ISNUMBER($A1986),MOD($A1986,100),IFERROR(VALUE(TRIM(MID(MID($A1986,FIND("/",$A1986)+1,20),FIND("/",MID($A1986,FIND("/",$A1986)+1,20))+1,20))),"")))</f>
        <v/>
      </c>
      <c r="E1986">
        <f>IF($A1986="","",IF(OR($B1986="",$C1986="",$D1986="",$B1986&lt;1300,$B1986&gt;1500,$C1986&lt;1,$C1986&gt;12,$D1986&lt;1,$D1986&gt;31),"نامعتبر",RIGHT("0000"&amp;$B1986,4)&amp;"/"&amp;RIGHT("00"&amp;$C1986,2)&amp;"/"&amp;RIGHT("00"&amp;$D1986,2)))</f>
        <v/>
      </c>
      <c r="F1986">
        <f>IF(OR($E1986="",$E1986="نامعتبر"),"",LEFT($E1986,4)&amp;"/"&amp;MID($E1986,6,2))</f>
        <v/>
      </c>
      <c r="G1986">
        <f>IF(OR($E1986="",$E1986="نامعتبر",Sync!$Y1983=""),"",Sync!$Y1983)</f>
        <v/>
      </c>
      <c r="H1986">
        <f>IF($G1986="","",IF(Sync!$X1983="","",Sync!$X1983))</f>
        <v/>
      </c>
      <c r="I1986">
        <f>IF($G1986="","",IFERROR(VLOOKUP(Sync!$X1983,OpTbl,3,0),""))</f>
        <v/>
      </c>
      <c r="J1986">
        <f>IF(OR($G1986="",Sync!$Z1983=""),"",Sync!$Z1983)</f>
        <v/>
      </c>
      <c r="K1986">
        <f>IF(OR($G1986="",Sync!$AA1983=""),"",Sync!$AA1983)</f>
        <v/>
      </c>
      <c r="L1986">
        <f>IF($G1986="",0,IF(Sync!$AB1983="",0,Sync!$AB1983))</f>
        <v/>
      </c>
      <c r="M1986">
        <f>IF($G1986="",0,IF(Sync!$AC1983="",0,Sync!$AC1983))</f>
        <v/>
      </c>
      <c r="N1986">
        <f>IF($G1986="","",IF($H1986="مرجوعی خرید",-1,1)*($L1986-$M1986*IFERROR(VLOOKUP("P01",ParamTbl,3,0),1.5))*(1-IF($I1986="خرید",IFERROR(VLOOKUP("P02",ParamTbl,3,0),1),0)/100))</f>
        <v/>
      </c>
      <c r="O1986">
        <f>IF($G1986="",0,IF($H1986="مرجوعی خرید",-1,1)*IF(Sync!$AD1983="",0,Sync!$AD1983))</f>
        <v/>
      </c>
      <c r="P1986">
        <f>IF(OR($G1986="",Sync!$W1983=""),"",Sync!$W1983)</f>
        <v/>
      </c>
      <c r="Q1986">
        <f>IF(OR($G1986="",Sync!$AE1983=""),"",Sync!$AE1983)</f>
        <v/>
      </c>
      <c r="R1986">
        <f>IF($G1986="","",IF(Sync!$V1983="","0000",IF(AND(ISNUMBER(Sync!$V1983),Sync!$V1983&gt;=0,Sync!$V1983&lt;1),RIGHT("00"&amp;HOUR(Sync!$V1983),2)&amp;RIGHT("00"&amp;MINUTE(Sync!$V1983),2),IFERROR(RIGHT("00"&amp;VALUE(LEFT(Sync!$V1983,FIND(":",Sync!$V1983)-1)),2)&amp;RIGHT("00"&amp;VALUE(MID(Sync!$V1983,FIND(":",Sync!$V1983)+1,2)),2),"0000"))))</f>
        <v/>
      </c>
    </row>
    <row r="1987">
      <c r="A1987">
        <f>IF(Sync!$U1984="","",Sync!$U1984)</f>
        <v/>
      </c>
      <c r="B1987">
        <f>IF($A1987="","",IF(ISNUMBER($A1987),IF(AND($A1987&gt;=10000101,$A1987&lt;=99991231),INT($A1987/10000),""),IFERROR(VALUE(TRIM(LEFT($A1987,FIND("/",$A1987)-1))),"")))</f>
        <v/>
      </c>
      <c r="C1987">
        <f>IF(OR($A1987="",$B1987=""),"",IF(ISNUMBER($A1987),INT(MOD($A1987,10000)/100),IFERROR(VALUE(TRIM(LEFT(MID($A1987,FIND("/",$A1987)+1,20),FIND("/",MID($A1987,FIND("/",$A1987)+1,20))-1))),"")))</f>
        <v/>
      </c>
      <c r="D1987">
        <f>IF(OR($A1987="",$B1987=""),"",IF(ISNUMBER($A1987),MOD($A1987,100),IFERROR(VALUE(TRIM(MID(MID($A1987,FIND("/",$A1987)+1,20),FIND("/",MID($A1987,FIND("/",$A1987)+1,20))+1,20))),"")))</f>
        <v/>
      </c>
      <c r="E1987">
        <f>IF($A1987="","",IF(OR($B1987="",$C1987="",$D1987="",$B1987&lt;1300,$B1987&gt;1500,$C1987&lt;1,$C1987&gt;12,$D1987&lt;1,$D1987&gt;31),"نامعتبر",RIGHT("0000"&amp;$B1987,4)&amp;"/"&amp;RIGHT("00"&amp;$C1987,2)&amp;"/"&amp;RIGHT("00"&amp;$D1987,2)))</f>
        <v/>
      </c>
      <c r="F1987">
        <f>IF(OR($E1987="",$E1987="نامعتبر"),"",LEFT($E1987,4)&amp;"/"&amp;MID($E1987,6,2))</f>
        <v/>
      </c>
      <c r="G1987">
        <f>IF(OR($E1987="",$E1987="نامعتبر",Sync!$Y1984=""),"",Sync!$Y1984)</f>
        <v/>
      </c>
      <c r="H1987">
        <f>IF($G1987="","",IF(Sync!$X1984="","",Sync!$X1984))</f>
        <v/>
      </c>
      <c r="I1987">
        <f>IF($G1987="","",IFERROR(VLOOKUP(Sync!$X1984,OpTbl,3,0),""))</f>
        <v/>
      </c>
      <c r="J1987">
        <f>IF(OR($G1987="",Sync!$Z1984=""),"",Sync!$Z1984)</f>
        <v/>
      </c>
      <c r="K1987">
        <f>IF(OR($G1987="",Sync!$AA1984=""),"",Sync!$AA1984)</f>
        <v/>
      </c>
      <c r="L1987">
        <f>IF($G1987="",0,IF(Sync!$AB1984="",0,Sync!$AB1984))</f>
        <v/>
      </c>
      <c r="M1987">
        <f>IF($G1987="",0,IF(Sync!$AC1984="",0,Sync!$AC1984))</f>
        <v/>
      </c>
      <c r="N1987">
        <f>IF($G1987="","",IF($H1987="مرجوعی خرید",-1,1)*($L1987-$M1987*IFERROR(VLOOKUP("P01",ParamTbl,3,0),1.5))*(1-IF($I1987="خرید",IFERROR(VLOOKUP("P02",ParamTbl,3,0),1),0)/100))</f>
        <v/>
      </c>
      <c r="O1987">
        <f>IF($G1987="",0,IF($H1987="مرجوعی خرید",-1,1)*IF(Sync!$AD1984="",0,Sync!$AD1984))</f>
        <v/>
      </c>
      <c r="P1987">
        <f>IF(OR($G1987="",Sync!$W1984=""),"",Sync!$W1984)</f>
        <v/>
      </c>
      <c r="Q1987">
        <f>IF(OR($G1987="",Sync!$AE1984=""),"",Sync!$AE1984)</f>
        <v/>
      </c>
      <c r="R1987">
        <f>IF($G1987="","",IF(Sync!$V1984="","0000",IF(AND(ISNUMBER(Sync!$V1984),Sync!$V1984&gt;=0,Sync!$V1984&lt;1),RIGHT("00"&amp;HOUR(Sync!$V1984),2)&amp;RIGHT("00"&amp;MINUTE(Sync!$V1984),2),IFERROR(RIGHT("00"&amp;VALUE(LEFT(Sync!$V1984,FIND(":",Sync!$V1984)-1)),2)&amp;RIGHT("00"&amp;VALUE(MID(Sync!$V1984,FIND(":",Sync!$V1984)+1,2)),2),"0000"))))</f>
        <v/>
      </c>
    </row>
    <row r="1988">
      <c r="A1988">
        <f>IF(Sync!$U1985="","",Sync!$U1985)</f>
        <v/>
      </c>
      <c r="B1988">
        <f>IF($A1988="","",IF(ISNUMBER($A1988),IF(AND($A1988&gt;=10000101,$A1988&lt;=99991231),INT($A1988/10000),""),IFERROR(VALUE(TRIM(LEFT($A1988,FIND("/",$A1988)-1))),"")))</f>
        <v/>
      </c>
      <c r="C1988">
        <f>IF(OR($A1988="",$B1988=""),"",IF(ISNUMBER($A1988),INT(MOD($A1988,10000)/100),IFERROR(VALUE(TRIM(LEFT(MID($A1988,FIND("/",$A1988)+1,20),FIND("/",MID($A1988,FIND("/",$A1988)+1,20))-1))),"")))</f>
        <v/>
      </c>
      <c r="D1988">
        <f>IF(OR($A1988="",$B1988=""),"",IF(ISNUMBER($A1988),MOD($A1988,100),IFERROR(VALUE(TRIM(MID(MID($A1988,FIND("/",$A1988)+1,20),FIND("/",MID($A1988,FIND("/",$A1988)+1,20))+1,20))),"")))</f>
        <v/>
      </c>
      <c r="E1988">
        <f>IF($A1988="","",IF(OR($B1988="",$C1988="",$D1988="",$B1988&lt;1300,$B1988&gt;1500,$C1988&lt;1,$C1988&gt;12,$D1988&lt;1,$D1988&gt;31),"نامعتبر",RIGHT("0000"&amp;$B1988,4)&amp;"/"&amp;RIGHT("00"&amp;$C1988,2)&amp;"/"&amp;RIGHT("00"&amp;$D1988,2)))</f>
        <v/>
      </c>
      <c r="F1988">
        <f>IF(OR($E1988="",$E1988="نامعتبر"),"",LEFT($E1988,4)&amp;"/"&amp;MID($E1988,6,2))</f>
        <v/>
      </c>
      <c r="G1988">
        <f>IF(OR($E1988="",$E1988="نامعتبر",Sync!$Y1985=""),"",Sync!$Y1985)</f>
        <v/>
      </c>
      <c r="H1988">
        <f>IF($G1988="","",IF(Sync!$X1985="","",Sync!$X1985))</f>
        <v/>
      </c>
      <c r="I1988">
        <f>IF($G1988="","",IFERROR(VLOOKUP(Sync!$X1985,OpTbl,3,0),""))</f>
        <v/>
      </c>
      <c r="J1988">
        <f>IF(OR($G1988="",Sync!$Z1985=""),"",Sync!$Z1985)</f>
        <v/>
      </c>
      <c r="K1988">
        <f>IF(OR($G1988="",Sync!$AA1985=""),"",Sync!$AA1985)</f>
        <v/>
      </c>
      <c r="L1988">
        <f>IF($G1988="",0,IF(Sync!$AB1985="",0,Sync!$AB1985))</f>
        <v/>
      </c>
      <c r="M1988">
        <f>IF($G1988="",0,IF(Sync!$AC1985="",0,Sync!$AC1985))</f>
        <v/>
      </c>
      <c r="N1988">
        <f>IF($G1988="","",IF($H1988="مرجوعی خرید",-1,1)*($L1988-$M1988*IFERROR(VLOOKUP("P01",ParamTbl,3,0),1.5))*(1-IF($I1988="خرید",IFERROR(VLOOKUP("P02",ParamTbl,3,0),1),0)/100))</f>
        <v/>
      </c>
      <c r="O1988">
        <f>IF($G1988="",0,IF($H1988="مرجوعی خرید",-1,1)*IF(Sync!$AD1985="",0,Sync!$AD1985))</f>
        <v/>
      </c>
      <c r="P1988">
        <f>IF(OR($G1988="",Sync!$W1985=""),"",Sync!$W1985)</f>
        <v/>
      </c>
      <c r="Q1988">
        <f>IF(OR($G1988="",Sync!$AE1985=""),"",Sync!$AE1985)</f>
        <v/>
      </c>
      <c r="R1988">
        <f>IF($G1988="","",IF(Sync!$V1985="","0000",IF(AND(ISNUMBER(Sync!$V1985),Sync!$V1985&gt;=0,Sync!$V1985&lt;1),RIGHT("00"&amp;HOUR(Sync!$V1985),2)&amp;RIGHT("00"&amp;MINUTE(Sync!$V1985),2),IFERROR(RIGHT("00"&amp;VALUE(LEFT(Sync!$V1985,FIND(":",Sync!$V1985)-1)),2)&amp;RIGHT("00"&amp;VALUE(MID(Sync!$V1985,FIND(":",Sync!$V1985)+1,2)),2),"0000"))))</f>
        <v/>
      </c>
    </row>
    <row r="1989">
      <c r="A1989">
        <f>IF(Sync!$U1986="","",Sync!$U1986)</f>
        <v/>
      </c>
      <c r="B1989">
        <f>IF($A1989="","",IF(ISNUMBER($A1989),IF(AND($A1989&gt;=10000101,$A1989&lt;=99991231),INT($A1989/10000),""),IFERROR(VALUE(TRIM(LEFT($A1989,FIND("/",$A1989)-1))),"")))</f>
        <v/>
      </c>
      <c r="C1989">
        <f>IF(OR($A1989="",$B1989=""),"",IF(ISNUMBER($A1989),INT(MOD($A1989,10000)/100),IFERROR(VALUE(TRIM(LEFT(MID($A1989,FIND("/",$A1989)+1,20),FIND("/",MID($A1989,FIND("/",$A1989)+1,20))-1))),"")))</f>
        <v/>
      </c>
      <c r="D1989">
        <f>IF(OR($A1989="",$B1989=""),"",IF(ISNUMBER($A1989),MOD($A1989,100),IFERROR(VALUE(TRIM(MID(MID($A1989,FIND("/",$A1989)+1,20),FIND("/",MID($A1989,FIND("/",$A1989)+1,20))+1,20))),"")))</f>
        <v/>
      </c>
      <c r="E1989">
        <f>IF($A1989="","",IF(OR($B1989="",$C1989="",$D1989="",$B1989&lt;1300,$B1989&gt;1500,$C1989&lt;1,$C1989&gt;12,$D1989&lt;1,$D1989&gt;31),"نامعتبر",RIGHT("0000"&amp;$B1989,4)&amp;"/"&amp;RIGHT("00"&amp;$C1989,2)&amp;"/"&amp;RIGHT("00"&amp;$D1989,2)))</f>
        <v/>
      </c>
      <c r="F1989">
        <f>IF(OR($E1989="",$E1989="نامعتبر"),"",LEFT($E1989,4)&amp;"/"&amp;MID($E1989,6,2))</f>
        <v/>
      </c>
      <c r="G1989">
        <f>IF(OR($E1989="",$E1989="نامعتبر",Sync!$Y1986=""),"",Sync!$Y1986)</f>
        <v/>
      </c>
      <c r="H1989">
        <f>IF($G1989="","",IF(Sync!$X1986="","",Sync!$X1986))</f>
        <v/>
      </c>
      <c r="I1989">
        <f>IF($G1989="","",IFERROR(VLOOKUP(Sync!$X1986,OpTbl,3,0),""))</f>
        <v/>
      </c>
      <c r="J1989">
        <f>IF(OR($G1989="",Sync!$Z1986=""),"",Sync!$Z1986)</f>
        <v/>
      </c>
      <c r="K1989">
        <f>IF(OR($G1989="",Sync!$AA1986=""),"",Sync!$AA1986)</f>
        <v/>
      </c>
      <c r="L1989">
        <f>IF($G1989="",0,IF(Sync!$AB1986="",0,Sync!$AB1986))</f>
        <v/>
      </c>
      <c r="M1989">
        <f>IF($G1989="",0,IF(Sync!$AC1986="",0,Sync!$AC1986))</f>
        <v/>
      </c>
      <c r="N1989">
        <f>IF($G1989="","",IF($H1989="مرجوعی خرید",-1,1)*($L1989-$M1989*IFERROR(VLOOKUP("P01",ParamTbl,3,0),1.5))*(1-IF($I1989="خرید",IFERROR(VLOOKUP("P02",ParamTbl,3,0),1),0)/100))</f>
        <v/>
      </c>
      <c r="O1989">
        <f>IF($G1989="",0,IF($H1989="مرجوعی خرید",-1,1)*IF(Sync!$AD1986="",0,Sync!$AD1986))</f>
        <v/>
      </c>
      <c r="P1989">
        <f>IF(OR($G1989="",Sync!$W1986=""),"",Sync!$W1986)</f>
        <v/>
      </c>
      <c r="Q1989">
        <f>IF(OR($G1989="",Sync!$AE1986=""),"",Sync!$AE1986)</f>
        <v/>
      </c>
      <c r="R1989">
        <f>IF($G1989="","",IF(Sync!$V1986="","0000",IF(AND(ISNUMBER(Sync!$V1986),Sync!$V1986&gt;=0,Sync!$V1986&lt;1),RIGHT("00"&amp;HOUR(Sync!$V1986),2)&amp;RIGHT("00"&amp;MINUTE(Sync!$V1986),2),IFERROR(RIGHT("00"&amp;VALUE(LEFT(Sync!$V1986,FIND(":",Sync!$V1986)-1)),2)&amp;RIGHT("00"&amp;VALUE(MID(Sync!$V1986,FIND(":",Sync!$V1986)+1,2)),2),"0000"))))</f>
        <v/>
      </c>
    </row>
    <row r="1990">
      <c r="A1990">
        <f>IF(Sync!$U1987="","",Sync!$U1987)</f>
        <v/>
      </c>
      <c r="B1990">
        <f>IF($A1990="","",IF(ISNUMBER($A1990),IF(AND($A1990&gt;=10000101,$A1990&lt;=99991231),INT($A1990/10000),""),IFERROR(VALUE(TRIM(LEFT($A1990,FIND("/",$A1990)-1))),"")))</f>
        <v/>
      </c>
      <c r="C1990">
        <f>IF(OR($A1990="",$B1990=""),"",IF(ISNUMBER($A1990),INT(MOD($A1990,10000)/100),IFERROR(VALUE(TRIM(LEFT(MID($A1990,FIND("/",$A1990)+1,20),FIND("/",MID($A1990,FIND("/",$A1990)+1,20))-1))),"")))</f>
        <v/>
      </c>
      <c r="D1990">
        <f>IF(OR($A1990="",$B1990=""),"",IF(ISNUMBER($A1990),MOD($A1990,100),IFERROR(VALUE(TRIM(MID(MID($A1990,FIND("/",$A1990)+1,20),FIND("/",MID($A1990,FIND("/",$A1990)+1,20))+1,20))),"")))</f>
        <v/>
      </c>
      <c r="E1990">
        <f>IF($A1990="","",IF(OR($B1990="",$C1990="",$D1990="",$B1990&lt;1300,$B1990&gt;1500,$C1990&lt;1,$C1990&gt;12,$D1990&lt;1,$D1990&gt;31),"نامعتبر",RIGHT("0000"&amp;$B1990,4)&amp;"/"&amp;RIGHT("00"&amp;$C1990,2)&amp;"/"&amp;RIGHT("00"&amp;$D1990,2)))</f>
        <v/>
      </c>
      <c r="F1990">
        <f>IF(OR($E1990="",$E1990="نامعتبر"),"",LEFT($E1990,4)&amp;"/"&amp;MID($E1990,6,2))</f>
        <v/>
      </c>
      <c r="G1990">
        <f>IF(OR($E1990="",$E1990="نامعتبر",Sync!$Y1987=""),"",Sync!$Y1987)</f>
        <v/>
      </c>
      <c r="H1990">
        <f>IF($G1990="","",IF(Sync!$X1987="","",Sync!$X1987))</f>
        <v/>
      </c>
      <c r="I1990">
        <f>IF($G1990="","",IFERROR(VLOOKUP(Sync!$X1987,OpTbl,3,0),""))</f>
        <v/>
      </c>
      <c r="J1990">
        <f>IF(OR($G1990="",Sync!$Z1987=""),"",Sync!$Z1987)</f>
        <v/>
      </c>
      <c r="K1990">
        <f>IF(OR($G1990="",Sync!$AA1987=""),"",Sync!$AA1987)</f>
        <v/>
      </c>
      <c r="L1990">
        <f>IF($G1990="",0,IF(Sync!$AB1987="",0,Sync!$AB1987))</f>
        <v/>
      </c>
      <c r="M1990">
        <f>IF($G1990="",0,IF(Sync!$AC1987="",0,Sync!$AC1987))</f>
        <v/>
      </c>
      <c r="N1990">
        <f>IF($G1990="","",IF($H1990="مرجوعی خرید",-1,1)*($L1990-$M1990*IFERROR(VLOOKUP("P01",ParamTbl,3,0),1.5))*(1-IF($I1990="خرید",IFERROR(VLOOKUP("P02",ParamTbl,3,0),1),0)/100))</f>
        <v/>
      </c>
      <c r="O1990">
        <f>IF($G1990="",0,IF($H1990="مرجوعی خرید",-1,1)*IF(Sync!$AD1987="",0,Sync!$AD1987))</f>
        <v/>
      </c>
      <c r="P1990">
        <f>IF(OR($G1990="",Sync!$W1987=""),"",Sync!$W1987)</f>
        <v/>
      </c>
      <c r="Q1990">
        <f>IF(OR($G1990="",Sync!$AE1987=""),"",Sync!$AE1987)</f>
        <v/>
      </c>
      <c r="R1990">
        <f>IF($G1990="","",IF(Sync!$V1987="","0000",IF(AND(ISNUMBER(Sync!$V1987),Sync!$V1987&gt;=0,Sync!$V1987&lt;1),RIGHT("00"&amp;HOUR(Sync!$V1987),2)&amp;RIGHT("00"&amp;MINUTE(Sync!$V1987),2),IFERROR(RIGHT("00"&amp;VALUE(LEFT(Sync!$V1987,FIND(":",Sync!$V1987)-1)),2)&amp;RIGHT("00"&amp;VALUE(MID(Sync!$V1987,FIND(":",Sync!$V1987)+1,2)),2),"0000"))))</f>
        <v/>
      </c>
    </row>
    <row r="1991">
      <c r="A1991">
        <f>IF(Sync!$U1988="","",Sync!$U1988)</f>
        <v/>
      </c>
      <c r="B1991">
        <f>IF($A1991="","",IF(ISNUMBER($A1991),IF(AND($A1991&gt;=10000101,$A1991&lt;=99991231),INT($A1991/10000),""),IFERROR(VALUE(TRIM(LEFT($A1991,FIND("/",$A1991)-1))),"")))</f>
        <v/>
      </c>
      <c r="C1991">
        <f>IF(OR($A1991="",$B1991=""),"",IF(ISNUMBER($A1991),INT(MOD($A1991,10000)/100),IFERROR(VALUE(TRIM(LEFT(MID($A1991,FIND("/",$A1991)+1,20),FIND("/",MID($A1991,FIND("/",$A1991)+1,20))-1))),"")))</f>
        <v/>
      </c>
      <c r="D1991">
        <f>IF(OR($A1991="",$B1991=""),"",IF(ISNUMBER($A1991),MOD($A1991,100),IFERROR(VALUE(TRIM(MID(MID($A1991,FIND("/",$A1991)+1,20),FIND("/",MID($A1991,FIND("/",$A1991)+1,20))+1,20))),"")))</f>
        <v/>
      </c>
      <c r="E1991">
        <f>IF($A1991="","",IF(OR($B1991="",$C1991="",$D1991="",$B1991&lt;1300,$B1991&gt;1500,$C1991&lt;1,$C1991&gt;12,$D1991&lt;1,$D1991&gt;31),"نامعتبر",RIGHT("0000"&amp;$B1991,4)&amp;"/"&amp;RIGHT("00"&amp;$C1991,2)&amp;"/"&amp;RIGHT("00"&amp;$D1991,2)))</f>
        <v/>
      </c>
      <c r="F1991">
        <f>IF(OR($E1991="",$E1991="نامعتبر"),"",LEFT($E1991,4)&amp;"/"&amp;MID($E1991,6,2))</f>
        <v/>
      </c>
      <c r="G1991">
        <f>IF(OR($E1991="",$E1991="نامعتبر",Sync!$Y1988=""),"",Sync!$Y1988)</f>
        <v/>
      </c>
      <c r="H1991">
        <f>IF($G1991="","",IF(Sync!$X1988="","",Sync!$X1988))</f>
        <v/>
      </c>
      <c r="I1991">
        <f>IF($G1991="","",IFERROR(VLOOKUP(Sync!$X1988,OpTbl,3,0),""))</f>
        <v/>
      </c>
      <c r="J1991">
        <f>IF(OR($G1991="",Sync!$Z1988=""),"",Sync!$Z1988)</f>
        <v/>
      </c>
      <c r="K1991">
        <f>IF(OR($G1991="",Sync!$AA1988=""),"",Sync!$AA1988)</f>
        <v/>
      </c>
      <c r="L1991">
        <f>IF($G1991="",0,IF(Sync!$AB1988="",0,Sync!$AB1988))</f>
        <v/>
      </c>
      <c r="M1991">
        <f>IF($G1991="",0,IF(Sync!$AC1988="",0,Sync!$AC1988))</f>
        <v/>
      </c>
      <c r="N1991">
        <f>IF($G1991="","",IF($H1991="مرجوعی خرید",-1,1)*($L1991-$M1991*IFERROR(VLOOKUP("P01",ParamTbl,3,0),1.5))*(1-IF($I1991="خرید",IFERROR(VLOOKUP("P02",ParamTbl,3,0),1),0)/100))</f>
        <v/>
      </c>
      <c r="O1991">
        <f>IF($G1991="",0,IF($H1991="مرجوعی خرید",-1,1)*IF(Sync!$AD1988="",0,Sync!$AD1988))</f>
        <v/>
      </c>
      <c r="P1991">
        <f>IF(OR($G1991="",Sync!$W1988=""),"",Sync!$W1988)</f>
        <v/>
      </c>
      <c r="Q1991">
        <f>IF(OR($G1991="",Sync!$AE1988=""),"",Sync!$AE1988)</f>
        <v/>
      </c>
      <c r="R1991">
        <f>IF($G1991="","",IF(Sync!$V1988="","0000",IF(AND(ISNUMBER(Sync!$V1988),Sync!$V1988&gt;=0,Sync!$V1988&lt;1),RIGHT("00"&amp;HOUR(Sync!$V1988),2)&amp;RIGHT("00"&amp;MINUTE(Sync!$V1988),2),IFERROR(RIGHT("00"&amp;VALUE(LEFT(Sync!$V1988,FIND(":",Sync!$V1988)-1)),2)&amp;RIGHT("00"&amp;VALUE(MID(Sync!$V1988,FIND(":",Sync!$V1988)+1,2)),2),"0000"))))</f>
        <v/>
      </c>
    </row>
    <row r="1992">
      <c r="A1992">
        <f>IF(Sync!$U1989="","",Sync!$U1989)</f>
        <v/>
      </c>
      <c r="B1992">
        <f>IF($A1992="","",IF(ISNUMBER($A1992),IF(AND($A1992&gt;=10000101,$A1992&lt;=99991231),INT($A1992/10000),""),IFERROR(VALUE(TRIM(LEFT($A1992,FIND("/",$A1992)-1))),"")))</f>
        <v/>
      </c>
      <c r="C1992">
        <f>IF(OR($A1992="",$B1992=""),"",IF(ISNUMBER($A1992),INT(MOD($A1992,10000)/100),IFERROR(VALUE(TRIM(LEFT(MID($A1992,FIND("/",$A1992)+1,20),FIND("/",MID($A1992,FIND("/",$A1992)+1,20))-1))),"")))</f>
        <v/>
      </c>
      <c r="D1992">
        <f>IF(OR($A1992="",$B1992=""),"",IF(ISNUMBER($A1992),MOD($A1992,100),IFERROR(VALUE(TRIM(MID(MID($A1992,FIND("/",$A1992)+1,20),FIND("/",MID($A1992,FIND("/",$A1992)+1,20))+1,20))),"")))</f>
        <v/>
      </c>
      <c r="E1992">
        <f>IF($A1992="","",IF(OR($B1992="",$C1992="",$D1992="",$B1992&lt;1300,$B1992&gt;1500,$C1992&lt;1,$C1992&gt;12,$D1992&lt;1,$D1992&gt;31),"نامعتبر",RIGHT("0000"&amp;$B1992,4)&amp;"/"&amp;RIGHT("00"&amp;$C1992,2)&amp;"/"&amp;RIGHT("00"&amp;$D1992,2)))</f>
        <v/>
      </c>
      <c r="F1992">
        <f>IF(OR($E1992="",$E1992="نامعتبر"),"",LEFT($E1992,4)&amp;"/"&amp;MID($E1992,6,2))</f>
        <v/>
      </c>
      <c r="G1992">
        <f>IF(OR($E1992="",$E1992="نامعتبر",Sync!$Y1989=""),"",Sync!$Y1989)</f>
        <v/>
      </c>
      <c r="H1992">
        <f>IF($G1992="","",IF(Sync!$X1989="","",Sync!$X1989))</f>
        <v/>
      </c>
      <c r="I1992">
        <f>IF($G1992="","",IFERROR(VLOOKUP(Sync!$X1989,OpTbl,3,0),""))</f>
        <v/>
      </c>
      <c r="J1992">
        <f>IF(OR($G1992="",Sync!$Z1989=""),"",Sync!$Z1989)</f>
        <v/>
      </c>
      <c r="K1992">
        <f>IF(OR($G1992="",Sync!$AA1989=""),"",Sync!$AA1989)</f>
        <v/>
      </c>
      <c r="L1992">
        <f>IF($G1992="",0,IF(Sync!$AB1989="",0,Sync!$AB1989))</f>
        <v/>
      </c>
      <c r="M1992">
        <f>IF($G1992="",0,IF(Sync!$AC1989="",0,Sync!$AC1989))</f>
        <v/>
      </c>
      <c r="N1992">
        <f>IF($G1992="","",IF($H1992="مرجوعی خرید",-1,1)*($L1992-$M1992*IFERROR(VLOOKUP("P01",ParamTbl,3,0),1.5))*(1-IF($I1992="خرید",IFERROR(VLOOKUP("P02",ParamTbl,3,0),1),0)/100))</f>
        <v/>
      </c>
      <c r="O1992">
        <f>IF($G1992="",0,IF($H1992="مرجوعی خرید",-1,1)*IF(Sync!$AD1989="",0,Sync!$AD1989))</f>
        <v/>
      </c>
      <c r="P1992">
        <f>IF(OR($G1992="",Sync!$W1989=""),"",Sync!$W1989)</f>
        <v/>
      </c>
      <c r="Q1992">
        <f>IF(OR($G1992="",Sync!$AE1989=""),"",Sync!$AE1989)</f>
        <v/>
      </c>
      <c r="R1992">
        <f>IF($G1992="","",IF(Sync!$V1989="","0000",IF(AND(ISNUMBER(Sync!$V1989),Sync!$V1989&gt;=0,Sync!$V1989&lt;1),RIGHT("00"&amp;HOUR(Sync!$V1989),2)&amp;RIGHT("00"&amp;MINUTE(Sync!$V1989),2),IFERROR(RIGHT("00"&amp;VALUE(LEFT(Sync!$V1989,FIND(":",Sync!$V1989)-1)),2)&amp;RIGHT("00"&amp;VALUE(MID(Sync!$V1989,FIND(":",Sync!$V1989)+1,2)),2),"0000"))))</f>
        <v/>
      </c>
    </row>
    <row r="1993">
      <c r="A1993">
        <f>IF(Sync!$U1990="","",Sync!$U1990)</f>
        <v/>
      </c>
      <c r="B1993">
        <f>IF($A1993="","",IF(ISNUMBER($A1993),IF(AND($A1993&gt;=10000101,$A1993&lt;=99991231),INT($A1993/10000),""),IFERROR(VALUE(TRIM(LEFT($A1993,FIND("/",$A1993)-1))),"")))</f>
        <v/>
      </c>
      <c r="C1993">
        <f>IF(OR($A1993="",$B1993=""),"",IF(ISNUMBER($A1993),INT(MOD($A1993,10000)/100),IFERROR(VALUE(TRIM(LEFT(MID($A1993,FIND("/",$A1993)+1,20),FIND("/",MID($A1993,FIND("/",$A1993)+1,20))-1))),"")))</f>
        <v/>
      </c>
      <c r="D1993">
        <f>IF(OR($A1993="",$B1993=""),"",IF(ISNUMBER($A1993),MOD($A1993,100),IFERROR(VALUE(TRIM(MID(MID($A1993,FIND("/",$A1993)+1,20),FIND("/",MID($A1993,FIND("/",$A1993)+1,20))+1,20))),"")))</f>
        <v/>
      </c>
      <c r="E1993">
        <f>IF($A1993="","",IF(OR($B1993="",$C1993="",$D1993="",$B1993&lt;1300,$B1993&gt;1500,$C1993&lt;1,$C1993&gt;12,$D1993&lt;1,$D1993&gt;31),"نامعتبر",RIGHT("0000"&amp;$B1993,4)&amp;"/"&amp;RIGHT("00"&amp;$C1993,2)&amp;"/"&amp;RIGHT("00"&amp;$D1993,2)))</f>
        <v/>
      </c>
      <c r="F1993">
        <f>IF(OR($E1993="",$E1993="نامعتبر"),"",LEFT($E1993,4)&amp;"/"&amp;MID($E1993,6,2))</f>
        <v/>
      </c>
      <c r="G1993">
        <f>IF(OR($E1993="",$E1993="نامعتبر",Sync!$Y1990=""),"",Sync!$Y1990)</f>
        <v/>
      </c>
      <c r="H1993">
        <f>IF($G1993="","",IF(Sync!$X1990="","",Sync!$X1990))</f>
        <v/>
      </c>
      <c r="I1993">
        <f>IF($G1993="","",IFERROR(VLOOKUP(Sync!$X1990,OpTbl,3,0),""))</f>
        <v/>
      </c>
      <c r="J1993">
        <f>IF(OR($G1993="",Sync!$Z1990=""),"",Sync!$Z1990)</f>
        <v/>
      </c>
      <c r="K1993">
        <f>IF(OR($G1993="",Sync!$AA1990=""),"",Sync!$AA1990)</f>
        <v/>
      </c>
      <c r="L1993">
        <f>IF($G1993="",0,IF(Sync!$AB1990="",0,Sync!$AB1990))</f>
        <v/>
      </c>
      <c r="M1993">
        <f>IF($G1993="",0,IF(Sync!$AC1990="",0,Sync!$AC1990))</f>
        <v/>
      </c>
      <c r="N1993">
        <f>IF($G1993="","",IF($H1993="مرجوعی خرید",-1,1)*($L1993-$M1993*IFERROR(VLOOKUP("P01",ParamTbl,3,0),1.5))*(1-IF($I1993="خرید",IFERROR(VLOOKUP("P02",ParamTbl,3,0),1),0)/100))</f>
        <v/>
      </c>
      <c r="O1993">
        <f>IF($G1993="",0,IF($H1993="مرجوعی خرید",-1,1)*IF(Sync!$AD1990="",0,Sync!$AD1990))</f>
        <v/>
      </c>
      <c r="P1993">
        <f>IF(OR($G1993="",Sync!$W1990=""),"",Sync!$W1990)</f>
        <v/>
      </c>
      <c r="Q1993">
        <f>IF(OR($G1993="",Sync!$AE1990=""),"",Sync!$AE1990)</f>
        <v/>
      </c>
      <c r="R1993">
        <f>IF($G1993="","",IF(Sync!$V1990="","0000",IF(AND(ISNUMBER(Sync!$V1990),Sync!$V1990&gt;=0,Sync!$V1990&lt;1),RIGHT("00"&amp;HOUR(Sync!$V1990),2)&amp;RIGHT("00"&amp;MINUTE(Sync!$V1990),2),IFERROR(RIGHT("00"&amp;VALUE(LEFT(Sync!$V1990,FIND(":",Sync!$V1990)-1)),2)&amp;RIGHT("00"&amp;VALUE(MID(Sync!$V1990,FIND(":",Sync!$V1990)+1,2)),2),"0000"))))</f>
        <v/>
      </c>
    </row>
    <row r="1994">
      <c r="A1994">
        <f>IF(Sync!$U1991="","",Sync!$U1991)</f>
        <v/>
      </c>
      <c r="B1994">
        <f>IF($A1994="","",IF(ISNUMBER($A1994),IF(AND($A1994&gt;=10000101,$A1994&lt;=99991231),INT($A1994/10000),""),IFERROR(VALUE(TRIM(LEFT($A1994,FIND("/",$A1994)-1))),"")))</f>
        <v/>
      </c>
      <c r="C1994">
        <f>IF(OR($A1994="",$B1994=""),"",IF(ISNUMBER($A1994),INT(MOD($A1994,10000)/100),IFERROR(VALUE(TRIM(LEFT(MID($A1994,FIND("/",$A1994)+1,20),FIND("/",MID($A1994,FIND("/",$A1994)+1,20))-1))),"")))</f>
        <v/>
      </c>
      <c r="D1994">
        <f>IF(OR($A1994="",$B1994=""),"",IF(ISNUMBER($A1994),MOD($A1994,100),IFERROR(VALUE(TRIM(MID(MID($A1994,FIND("/",$A1994)+1,20),FIND("/",MID($A1994,FIND("/",$A1994)+1,20))+1,20))),"")))</f>
        <v/>
      </c>
      <c r="E1994">
        <f>IF($A1994="","",IF(OR($B1994="",$C1994="",$D1994="",$B1994&lt;1300,$B1994&gt;1500,$C1994&lt;1,$C1994&gt;12,$D1994&lt;1,$D1994&gt;31),"نامعتبر",RIGHT("0000"&amp;$B1994,4)&amp;"/"&amp;RIGHT("00"&amp;$C1994,2)&amp;"/"&amp;RIGHT("00"&amp;$D1994,2)))</f>
        <v/>
      </c>
      <c r="F1994">
        <f>IF(OR($E1994="",$E1994="نامعتبر"),"",LEFT($E1994,4)&amp;"/"&amp;MID($E1994,6,2))</f>
        <v/>
      </c>
      <c r="G1994">
        <f>IF(OR($E1994="",$E1994="نامعتبر",Sync!$Y1991=""),"",Sync!$Y1991)</f>
        <v/>
      </c>
      <c r="H1994">
        <f>IF($G1994="","",IF(Sync!$X1991="","",Sync!$X1991))</f>
        <v/>
      </c>
      <c r="I1994">
        <f>IF($G1994="","",IFERROR(VLOOKUP(Sync!$X1991,OpTbl,3,0),""))</f>
        <v/>
      </c>
      <c r="J1994">
        <f>IF(OR($G1994="",Sync!$Z1991=""),"",Sync!$Z1991)</f>
        <v/>
      </c>
      <c r="K1994">
        <f>IF(OR($G1994="",Sync!$AA1991=""),"",Sync!$AA1991)</f>
        <v/>
      </c>
      <c r="L1994">
        <f>IF($G1994="",0,IF(Sync!$AB1991="",0,Sync!$AB1991))</f>
        <v/>
      </c>
      <c r="M1994">
        <f>IF($G1994="",0,IF(Sync!$AC1991="",0,Sync!$AC1991))</f>
        <v/>
      </c>
      <c r="N1994">
        <f>IF($G1994="","",IF($H1994="مرجوعی خرید",-1,1)*($L1994-$M1994*IFERROR(VLOOKUP("P01",ParamTbl,3,0),1.5))*(1-IF($I1994="خرید",IFERROR(VLOOKUP("P02",ParamTbl,3,0),1),0)/100))</f>
        <v/>
      </c>
      <c r="O1994">
        <f>IF($G1994="",0,IF($H1994="مرجوعی خرید",-1,1)*IF(Sync!$AD1991="",0,Sync!$AD1991))</f>
        <v/>
      </c>
      <c r="P1994">
        <f>IF(OR($G1994="",Sync!$W1991=""),"",Sync!$W1991)</f>
        <v/>
      </c>
      <c r="Q1994">
        <f>IF(OR($G1994="",Sync!$AE1991=""),"",Sync!$AE1991)</f>
        <v/>
      </c>
      <c r="R1994">
        <f>IF($G1994="","",IF(Sync!$V1991="","0000",IF(AND(ISNUMBER(Sync!$V1991),Sync!$V1991&gt;=0,Sync!$V1991&lt;1),RIGHT("00"&amp;HOUR(Sync!$V1991),2)&amp;RIGHT("00"&amp;MINUTE(Sync!$V1991),2),IFERROR(RIGHT("00"&amp;VALUE(LEFT(Sync!$V1991,FIND(":",Sync!$V1991)-1)),2)&amp;RIGHT("00"&amp;VALUE(MID(Sync!$V1991,FIND(":",Sync!$V1991)+1,2)),2),"0000"))))</f>
        <v/>
      </c>
    </row>
    <row r="1995">
      <c r="A1995">
        <f>IF(Sync!$U1992="","",Sync!$U1992)</f>
        <v/>
      </c>
      <c r="B1995">
        <f>IF($A1995="","",IF(ISNUMBER($A1995),IF(AND($A1995&gt;=10000101,$A1995&lt;=99991231),INT($A1995/10000),""),IFERROR(VALUE(TRIM(LEFT($A1995,FIND("/",$A1995)-1))),"")))</f>
        <v/>
      </c>
      <c r="C1995">
        <f>IF(OR($A1995="",$B1995=""),"",IF(ISNUMBER($A1995),INT(MOD($A1995,10000)/100),IFERROR(VALUE(TRIM(LEFT(MID($A1995,FIND("/",$A1995)+1,20),FIND("/",MID($A1995,FIND("/",$A1995)+1,20))-1))),"")))</f>
        <v/>
      </c>
      <c r="D1995">
        <f>IF(OR($A1995="",$B1995=""),"",IF(ISNUMBER($A1995),MOD($A1995,100),IFERROR(VALUE(TRIM(MID(MID($A1995,FIND("/",$A1995)+1,20),FIND("/",MID($A1995,FIND("/",$A1995)+1,20))+1,20))),"")))</f>
        <v/>
      </c>
      <c r="E1995">
        <f>IF($A1995="","",IF(OR($B1995="",$C1995="",$D1995="",$B1995&lt;1300,$B1995&gt;1500,$C1995&lt;1,$C1995&gt;12,$D1995&lt;1,$D1995&gt;31),"نامعتبر",RIGHT("0000"&amp;$B1995,4)&amp;"/"&amp;RIGHT("00"&amp;$C1995,2)&amp;"/"&amp;RIGHT("00"&amp;$D1995,2)))</f>
        <v/>
      </c>
      <c r="F1995">
        <f>IF(OR($E1995="",$E1995="نامعتبر"),"",LEFT($E1995,4)&amp;"/"&amp;MID($E1995,6,2))</f>
        <v/>
      </c>
      <c r="G1995">
        <f>IF(OR($E1995="",$E1995="نامعتبر",Sync!$Y1992=""),"",Sync!$Y1992)</f>
        <v/>
      </c>
      <c r="H1995">
        <f>IF($G1995="","",IF(Sync!$X1992="","",Sync!$X1992))</f>
        <v/>
      </c>
      <c r="I1995">
        <f>IF($G1995="","",IFERROR(VLOOKUP(Sync!$X1992,OpTbl,3,0),""))</f>
        <v/>
      </c>
      <c r="J1995">
        <f>IF(OR($G1995="",Sync!$Z1992=""),"",Sync!$Z1992)</f>
        <v/>
      </c>
      <c r="K1995">
        <f>IF(OR($G1995="",Sync!$AA1992=""),"",Sync!$AA1992)</f>
        <v/>
      </c>
      <c r="L1995">
        <f>IF($G1995="",0,IF(Sync!$AB1992="",0,Sync!$AB1992))</f>
        <v/>
      </c>
      <c r="M1995">
        <f>IF($G1995="",0,IF(Sync!$AC1992="",0,Sync!$AC1992))</f>
        <v/>
      </c>
      <c r="N1995">
        <f>IF($G1995="","",IF($H1995="مرجوعی خرید",-1,1)*($L1995-$M1995*IFERROR(VLOOKUP("P01",ParamTbl,3,0),1.5))*(1-IF($I1995="خرید",IFERROR(VLOOKUP("P02",ParamTbl,3,0),1),0)/100))</f>
        <v/>
      </c>
      <c r="O1995">
        <f>IF($G1995="",0,IF($H1995="مرجوعی خرید",-1,1)*IF(Sync!$AD1992="",0,Sync!$AD1992))</f>
        <v/>
      </c>
      <c r="P1995">
        <f>IF(OR($G1995="",Sync!$W1992=""),"",Sync!$W1992)</f>
        <v/>
      </c>
      <c r="Q1995">
        <f>IF(OR($G1995="",Sync!$AE1992=""),"",Sync!$AE1992)</f>
        <v/>
      </c>
      <c r="R1995">
        <f>IF($G1995="","",IF(Sync!$V1992="","0000",IF(AND(ISNUMBER(Sync!$V1992),Sync!$V1992&gt;=0,Sync!$V1992&lt;1),RIGHT("00"&amp;HOUR(Sync!$V1992),2)&amp;RIGHT("00"&amp;MINUTE(Sync!$V1992),2),IFERROR(RIGHT("00"&amp;VALUE(LEFT(Sync!$V1992,FIND(":",Sync!$V1992)-1)),2)&amp;RIGHT("00"&amp;VALUE(MID(Sync!$V1992,FIND(":",Sync!$V1992)+1,2)),2),"0000"))))</f>
        <v/>
      </c>
    </row>
    <row r="1996">
      <c r="A1996">
        <f>IF(Sync!$U1993="","",Sync!$U1993)</f>
        <v/>
      </c>
      <c r="B1996">
        <f>IF($A1996="","",IF(ISNUMBER($A1996),IF(AND($A1996&gt;=10000101,$A1996&lt;=99991231),INT($A1996/10000),""),IFERROR(VALUE(TRIM(LEFT($A1996,FIND("/",$A1996)-1))),"")))</f>
        <v/>
      </c>
      <c r="C1996">
        <f>IF(OR($A1996="",$B1996=""),"",IF(ISNUMBER($A1996),INT(MOD($A1996,10000)/100),IFERROR(VALUE(TRIM(LEFT(MID($A1996,FIND("/",$A1996)+1,20),FIND("/",MID($A1996,FIND("/",$A1996)+1,20))-1))),"")))</f>
        <v/>
      </c>
      <c r="D1996">
        <f>IF(OR($A1996="",$B1996=""),"",IF(ISNUMBER($A1996),MOD($A1996,100),IFERROR(VALUE(TRIM(MID(MID($A1996,FIND("/",$A1996)+1,20),FIND("/",MID($A1996,FIND("/",$A1996)+1,20))+1,20))),"")))</f>
        <v/>
      </c>
      <c r="E1996">
        <f>IF($A1996="","",IF(OR($B1996="",$C1996="",$D1996="",$B1996&lt;1300,$B1996&gt;1500,$C1996&lt;1,$C1996&gt;12,$D1996&lt;1,$D1996&gt;31),"نامعتبر",RIGHT("0000"&amp;$B1996,4)&amp;"/"&amp;RIGHT("00"&amp;$C1996,2)&amp;"/"&amp;RIGHT("00"&amp;$D1996,2)))</f>
        <v/>
      </c>
      <c r="F1996">
        <f>IF(OR($E1996="",$E1996="نامعتبر"),"",LEFT($E1996,4)&amp;"/"&amp;MID($E1996,6,2))</f>
        <v/>
      </c>
      <c r="G1996">
        <f>IF(OR($E1996="",$E1996="نامعتبر",Sync!$Y1993=""),"",Sync!$Y1993)</f>
        <v/>
      </c>
      <c r="H1996">
        <f>IF($G1996="","",IF(Sync!$X1993="","",Sync!$X1993))</f>
        <v/>
      </c>
      <c r="I1996">
        <f>IF($G1996="","",IFERROR(VLOOKUP(Sync!$X1993,OpTbl,3,0),""))</f>
        <v/>
      </c>
      <c r="J1996">
        <f>IF(OR($G1996="",Sync!$Z1993=""),"",Sync!$Z1993)</f>
        <v/>
      </c>
      <c r="K1996">
        <f>IF(OR($G1996="",Sync!$AA1993=""),"",Sync!$AA1993)</f>
        <v/>
      </c>
      <c r="L1996">
        <f>IF($G1996="",0,IF(Sync!$AB1993="",0,Sync!$AB1993))</f>
        <v/>
      </c>
      <c r="M1996">
        <f>IF($G1996="",0,IF(Sync!$AC1993="",0,Sync!$AC1993))</f>
        <v/>
      </c>
      <c r="N1996">
        <f>IF($G1996="","",IF($H1996="مرجوعی خرید",-1,1)*($L1996-$M1996*IFERROR(VLOOKUP("P01",ParamTbl,3,0),1.5))*(1-IF($I1996="خرید",IFERROR(VLOOKUP("P02",ParamTbl,3,0),1),0)/100))</f>
        <v/>
      </c>
      <c r="O1996">
        <f>IF($G1996="",0,IF($H1996="مرجوعی خرید",-1,1)*IF(Sync!$AD1993="",0,Sync!$AD1993))</f>
        <v/>
      </c>
      <c r="P1996">
        <f>IF(OR($G1996="",Sync!$W1993=""),"",Sync!$W1993)</f>
        <v/>
      </c>
      <c r="Q1996">
        <f>IF(OR($G1996="",Sync!$AE1993=""),"",Sync!$AE1993)</f>
        <v/>
      </c>
      <c r="R1996">
        <f>IF($G1996="","",IF(Sync!$V1993="","0000",IF(AND(ISNUMBER(Sync!$V1993),Sync!$V1993&gt;=0,Sync!$V1993&lt;1),RIGHT("00"&amp;HOUR(Sync!$V1993),2)&amp;RIGHT("00"&amp;MINUTE(Sync!$V1993),2),IFERROR(RIGHT("00"&amp;VALUE(LEFT(Sync!$V1993,FIND(":",Sync!$V1993)-1)),2)&amp;RIGHT("00"&amp;VALUE(MID(Sync!$V1993,FIND(":",Sync!$V1993)+1,2)),2),"0000"))))</f>
        <v/>
      </c>
    </row>
    <row r="1997">
      <c r="A1997">
        <f>IF(Sync!$U1994="","",Sync!$U1994)</f>
        <v/>
      </c>
      <c r="B1997">
        <f>IF($A1997="","",IF(ISNUMBER($A1997),IF(AND($A1997&gt;=10000101,$A1997&lt;=99991231),INT($A1997/10000),""),IFERROR(VALUE(TRIM(LEFT($A1997,FIND("/",$A1997)-1))),"")))</f>
        <v/>
      </c>
      <c r="C1997">
        <f>IF(OR($A1997="",$B1997=""),"",IF(ISNUMBER($A1997),INT(MOD($A1997,10000)/100),IFERROR(VALUE(TRIM(LEFT(MID($A1997,FIND("/",$A1997)+1,20),FIND("/",MID($A1997,FIND("/",$A1997)+1,20))-1))),"")))</f>
        <v/>
      </c>
      <c r="D1997">
        <f>IF(OR($A1997="",$B1997=""),"",IF(ISNUMBER($A1997),MOD($A1997,100),IFERROR(VALUE(TRIM(MID(MID($A1997,FIND("/",$A1997)+1,20),FIND("/",MID($A1997,FIND("/",$A1997)+1,20))+1,20))),"")))</f>
        <v/>
      </c>
      <c r="E1997">
        <f>IF($A1997="","",IF(OR($B1997="",$C1997="",$D1997="",$B1997&lt;1300,$B1997&gt;1500,$C1997&lt;1,$C1997&gt;12,$D1997&lt;1,$D1997&gt;31),"نامعتبر",RIGHT("0000"&amp;$B1997,4)&amp;"/"&amp;RIGHT("00"&amp;$C1997,2)&amp;"/"&amp;RIGHT("00"&amp;$D1997,2)))</f>
        <v/>
      </c>
      <c r="F1997">
        <f>IF(OR($E1997="",$E1997="نامعتبر"),"",LEFT($E1997,4)&amp;"/"&amp;MID($E1997,6,2))</f>
        <v/>
      </c>
      <c r="G1997">
        <f>IF(OR($E1997="",$E1997="نامعتبر",Sync!$Y1994=""),"",Sync!$Y1994)</f>
        <v/>
      </c>
      <c r="H1997">
        <f>IF($G1997="","",IF(Sync!$X1994="","",Sync!$X1994))</f>
        <v/>
      </c>
      <c r="I1997">
        <f>IF($G1997="","",IFERROR(VLOOKUP(Sync!$X1994,OpTbl,3,0),""))</f>
        <v/>
      </c>
      <c r="J1997">
        <f>IF(OR($G1997="",Sync!$Z1994=""),"",Sync!$Z1994)</f>
        <v/>
      </c>
      <c r="K1997">
        <f>IF(OR($G1997="",Sync!$AA1994=""),"",Sync!$AA1994)</f>
        <v/>
      </c>
      <c r="L1997">
        <f>IF($G1997="",0,IF(Sync!$AB1994="",0,Sync!$AB1994))</f>
        <v/>
      </c>
      <c r="M1997">
        <f>IF($G1997="",0,IF(Sync!$AC1994="",0,Sync!$AC1994))</f>
        <v/>
      </c>
      <c r="N1997">
        <f>IF($G1997="","",IF($H1997="مرجوعی خرید",-1,1)*($L1997-$M1997*IFERROR(VLOOKUP("P01",ParamTbl,3,0),1.5))*(1-IF($I1997="خرید",IFERROR(VLOOKUP("P02",ParamTbl,3,0),1),0)/100))</f>
        <v/>
      </c>
      <c r="O1997">
        <f>IF($G1997="",0,IF($H1997="مرجوعی خرید",-1,1)*IF(Sync!$AD1994="",0,Sync!$AD1994))</f>
        <v/>
      </c>
      <c r="P1997">
        <f>IF(OR($G1997="",Sync!$W1994=""),"",Sync!$W1994)</f>
        <v/>
      </c>
      <c r="Q1997">
        <f>IF(OR($G1997="",Sync!$AE1994=""),"",Sync!$AE1994)</f>
        <v/>
      </c>
      <c r="R1997">
        <f>IF($G1997="","",IF(Sync!$V1994="","0000",IF(AND(ISNUMBER(Sync!$V1994),Sync!$V1994&gt;=0,Sync!$V1994&lt;1),RIGHT("00"&amp;HOUR(Sync!$V1994),2)&amp;RIGHT("00"&amp;MINUTE(Sync!$V1994),2),IFERROR(RIGHT("00"&amp;VALUE(LEFT(Sync!$V1994,FIND(":",Sync!$V1994)-1)),2)&amp;RIGHT("00"&amp;VALUE(MID(Sync!$V1994,FIND(":",Sync!$V1994)+1,2)),2),"0000"))))</f>
        <v/>
      </c>
    </row>
    <row r="1998">
      <c r="A1998">
        <f>IF(Sync!$U1995="","",Sync!$U1995)</f>
        <v/>
      </c>
      <c r="B1998">
        <f>IF($A1998="","",IF(ISNUMBER($A1998),IF(AND($A1998&gt;=10000101,$A1998&lt;=99991231),INT($A1998/10000),""),IFERROR(VALUE(TRIM(LEFT($A1998,FIND("/",$A1998)-1))),"")))</f>
        <v/>
      </c>
      <c r="C1998">
        <f>IF(OR($A1998="",$B1998=""),"",IF(ISNUMBER($A1998),INT(MOD($A1998,10000)/100),IFERROR(VALUE(TRIM(LEFT(MID($A1998,FIND("/",$A1998)+1,20),FIND("/",MID($A1998,FIND("/",$A1998)+1,20))-1))),"")))</f>
        <v/>
      </c>
      <c r="D1998">
        <f>IF(OR($A1998="",$B1998=""),"",IF(ISNUMBER($A1998),MOD($A1998,100),IFERROR(VALUE(TRIM(MID(MID($A1998,FIND("/",$A1998)+1,20),FIND("/",MID($A1998,FIND("/",$A1998)+1,20))+1,20))),"")))</f>
        <v/>
      </c>
      <c r="E1998">
        <f>IF($A1998="","",IF(OR($B1998="",$C1998="",$D1998="",$B1998&lt;1300,$B1998&gt;1500,$C1998&lt;1,$C1998&gt;12,$D1998&lt;1,$D1998&gt;31),"نامعتبر",RIGHT("0000"&amp;$B1998,4)&amp;"/"&amp;RIGHT("00"&amp;$C1998,2)&amp;"/"&amp;RIGHT("00"&amp;$D1998,2)))</f>
        <v/>
      </c>
      <c r="F1998">
        <f>IF(OR($E1998="",$E1998="نامعتبر"),"",LEFT($E1998,4)&amp;"/"&amp;MID($E1998,6,2))</f>
        <v/>
      </c>
      <c r="G1998">
        <f>IF(OR($E1998="",$E1998="نامعتبر",Sync!$Y1995=""),"",Sync!$Y1995)</f>
        <v/>
      </c>
      <c r="H1998">
        <f>IF($G1998="","",IF(Sync!$X1995="","",Sync!$X1995))</f>
        <v/>
      </c>
      <c r="I1998">
        <f>IF($G1998="","",IFERROR(VLOOKUP(Sync!$X1995,OpTbl,3,0),""))</f>
        <v/>
      </c>
      <c r="J1998">
        <f>IF(OR($G1998="",Sync!$Z1995=""),"",Sync!$Z1995)</f>
        <v/>
      </c>
      <c r="K1998">
        <f>IF(OR($G1998="",Sync!$AA1995=""),"",Sync!$AA1995)</f>
        <v/>
      </c>
      <c r="L1998">
        <f>IF($G1998="",0,IF(Sync!$AB1995="",0,Sync!$AB1995))</f>
        <v/>
      </c>
      <c r="M1998">
        <f>IF($G1998="",0,IF(Sync!$AC1995="",0,Sync!$AC1995))</f>
        <v/>
      </c>
      <c r="N1998">
        <f>IF($G1998="","",IF($H1998="مرجوعی خرید",-1,1)*($L1998-$M1998*IFERROR(VLOOKUP("P01",ParamTbl,3,0),1.5))*(1-IF($I1998="خرید",IFERROR(VLOOKUP("P02",ParamTbl,3,0),1),0)/100))</f>
        <v/>
      </c>
      <c r="O1998">
        <f>IF($G1998="",0,IF($H1998="مرجوعی خرید",-1,1)*IF(Sync!$AD1995="",0,Sync!$AD1995))</f>
        <v/>
      </c>
      <c r="P1998">
        <f>IF(OR($G1998="",Sync!$W1995=""),"",Sync!$W1995)</f>
        <v/>
      </c>
      <c r="Q1998">
        <f>IF(OR($G1998="",Sync!$AE1995=""),"",Sync!$AE1995)</f>
        <v/>
      </c>
      <c r="R1998">
        <f>IF($G1998="","",IF(Sync!$V1995="","0000",IF(AND(ISNUMBER(Sync!$V1995),Sync!$V1995&gt;=0,Sync!$V1995&lt;1),RIGHT("00"&amp;HOUR(Sync!$V1995),2)&amp;RIGHT("00"&amp;MINUTE(Sync!$V1995),2),IFERROR(RIGHT("00"&amp;VALUE(LEFT(Sync!$V1995,FIND(":",Sync!$V1995)-1)),2)&amp;RIGHT("00"&amp;VALUE(MID(Sync!$V1995,FIND(":",Sync!$V1995)+1,2)),2),"0000"))))</f>
        <v/>
      </c>
    </row>
    <row r="1999">
      <c r="A1999">
        <f>IF(Sync!$U1996="","",Sync!$U1996)</f>
        <v/>
      </c>
      <c r="B1999">
        <f>IF($A1999="","",IF(ISNUMBER($A1999),IF(AND($A1999&gt;=10000101,$A1999&lt;=99991231),INT($A1999/10000),""),IFERROR(VALUE(TRIM(LEFT($A1999,FIND("/",$A1999)-1))),"")))</f>
        <v/>
      </c>
      <c r="C1999">
        <f>IF(OR($A1999="",$B1999=""),"",IF(ISNUMBER($A1999),INT(MOD($A1999,10000)/100),IFERROR(VALUE(TRIM(LEFT(MID($A1999,FIND("/",$A1999)+1,20),FIND("/",MID($A1999,FIND("/",$A1999)+1,20))-1))),"")))</f>
        <v/>
      </c>
      <c r="D1999">
        <f>IF(OR($A1999="",$B1999=""),"",IF(ISNUMBER($A1999),MOD($A1999,100),IFERROR(VALUE(TRIM(MID(MID($A1999,FIND("/",$A1999)+1,20),FIND("/",MID($A1999,FIND("/",$A1999)+1,20))+1,20))),"")))</f>
        <v/>
      </c>
      <c r="E1999">
        <f>IF($A1999="","",IF(OR($B1999="",$C1999="",$D1999="",$B1999&lt;1300,$B1999&gt;1500,$C1999&lt;1,$C1999&gt;12,$D1999&lt;1,$D1999&gt;31),"نامعتبر",RIGHT("0000"&amp;$B1999,4)&amp;"/"&amp;RIGHT("00"&amp;$C1999,2)&amp;"/"&amp;RIGHT("00"&amp;$D1999,2)))</f>
        <v/>
      </c>
      <c r="F1999">
        <f>IF(OR($E1999="",$E1999="نامعتبر"),"",LEFT($E1999,4)&amp;"/"&amp;MID($E1999,6,2))</f>
        <v/>
      </c>
      <c r="G1999">
        <f>IF(OR($E1999="",$E1999="نامعتبر",Sync!$Y1996=""),"",Sync!$Y1996)</f>
        <v/>
      </c>
      <c r="H1999">
        <f>IF($G1999="","",IF(Sync!$X1996="","",Sync!$X1996))</f>
        <v/>
      </c>
      <c r="I1999">
        <f>IF($G1999="","",IFERROR(VLOOKUP(Sync!$X1996,OpTbl,3,0),""))</f>
        <v/>
      </c>
      <c r="J1999">
        <f>IF(OR($G1999="",Sync!$Z1996=""),"",Sync!$Z1996)</f>
        <v/>
      </c>
      <c r="K1999">
        <f>IF(OR($G1999="",Sync!$AA1996=""),"",Sync!$AA1996)</f>
        <v/>
      </c>
      <c r="L1999">
        <f>IF($G1999="",0,IF(Sync!$AB1996="",0,Sync!$AB1996))</f>
        <v/>
      </c>
      <c r="M1999">
        <f>IF($G1999="",0,IF(Sync!$AC1996="",0,Sync!$AC1996))</f>
        <v/>
      </c>
      <c r="N1999">
        <f>IF($G1999="","",IF($H1999="مرجوعی خرید",-1,1)*($L1999-$M1999*IFERROR(VLOOKUP("P01",ParamTbl,3,0),1.5))*(1-IF($I1999="خرید",IFERROR(VLOOKUP("P02",ParamTbl,3,0),1),0)/100))</f>
        <v/>
      </c>
      <c r="O1999">
        <f>IF($G1999="",0,IF($H1999="مرجوعی خرید",-1,1)*IF(Sync!$AD1996="",0,Sync!$AD1996))</f>
        <v/>
      </c>
      <c r="P1999">
        <f>IF(OR($G1999="",Sync!$W1996=""),"",Sync!$W1996)</f>
        <v/>
      </c>
      <c r="Q1999">
        <f>IF(OR($G1999="",Sync!$AE1996=""),"",Sync!$AE1996)</f>
        <v/>
      </c>
      <c r="R1999">
        <f>IF($G1999="","",IF(Sync!$V1996="","0000",IF(AND(ISNUMBER(Sync!$V1996),Sync!$V1996&gt;=0,Sync!$V1996&lt;1),RIGHT("00"&amp;HOUR(Sync!$V1996),2)&amp;RIGHT("00"&amp;MINUTE(Sync!$V1996),2),IFERROR(RIGHT("00"&amp;VALUE(LEFT(Sync!$V1996,FIND(":",Sync!$V1996)-1)),2)&amp;RIGHT("00"&amp;VALUE(MID(Sync!$V1996,FIND(":",Sync!$V1996)+1,2)),2),"0000"))))</f>
        <v/>
      </c>
    </row>
    <row r="2000">
      <c r="A2000">
        <f>IF(Sync!$U1997="","",Sync!$U1997)</f>
        <v/>
      </c>
      <c r="B2000">
        <f>IF($A2000="","",IF(ISNUMBER($A2000),IF(AND($A2000&gt;=10000101,$A2000&lt;=99991231),INT($A2000/10000),""),IFERROR(VALUE(TRIM(LEFT($A2000,FIND("/",$A2000)-1))),"")))</f>
        <v/>
      </c>
      <c r="C2000">
        <f>IF(OR($A2000="",$B2000=""),"",IF(ISNUMBER($A2000),INT(MOD($A2000,10000)/100),IFERROR(VALUE(TRIM(LEFT(MID($A2000,FIND("/",$A2000)+1,20),FIND("/",MID($A2000,FIND("/",$A2000)+1,20))-1))),"")))</f>
        <v/>
      </c>
      <c r="D2000">
        <f>IF(OR($A2000="",$B2000=""),"",IF(ISNUMBER($A2000),MOD($A2000,100),IFERROR(VALUE(TRIM(MID(MID($A2000,FIND("/",$A2000)+1,20),FIND("/",MID($A2000,FIND("/",$A2000)+1,20))+1,20))),"")))</f>
        <v/>
      </c>
      <c r="E2000">
        <f>IF($A2000="","",IF(OR($B2000="",$C2000="",$D2000="",$B2000&lt;1300,$B2000&gt;1500,$C2000&lt;1,$C2000&gt;12,$D2000&lt;1,$D2000&gt;31),"نامعتبر",RIGHT("0000"&amp;$B2000,4)&amp;"/"&amp;RIGHT("00"&amp;$C2000,2)&amp;"/"&amp;RIGHT("00"&amp;$D2000,2)))</f>
        <v/>
      </c>
      <c r="F2000">
        <f>IF(OR($E2000="",$E2000="نامعتبر"),"",LEFT($E2000,4)&amp;"/"&amp;MID($E2000,6,2))</f>
        <v/>
      </c>
      <c r="G2000">
        <f>IF(OR($E2000="",$E2000="نامعتبر",Sync!$Y1997=""),"",Sync!$Y1997)</f>
        <v/>
      </c>
      <c r="H2000">
        <f>IF($G2000="","",IF(Sync!$X1997="","",Sync!$X1997))</f>
        <v/>
      </c>
      <c r="I2000">
        <f>IF($G2000="","",IFERROR(VLOOKUP(Sync!$X1997,OpTbl,3,0),""))</f>
        <v/>
      </c>
      <c r="J2000">
        <f>IF(OR($G2000="",Sync!$Z1997=""),"",Sync!$Z1997)</f>
        <v/>
      </c>
      <c r="K2000">
        <f>IF(OR($G2000="",Sync!$AA1997=""),"",Sync!$AA1997)</f>
        <v/>
      </c>
      <c r="L2000">
        <f>IF($G2000="",0,IF(Sync!$AB1997="",0,Sync!$AB1997))</f>
        <v/>
      </c>
      <c r="M2000">
        <f>IF($G2000="",0,IF(Sync!$AC1997="",0,Sync!$AC1997))</f>
        <v/>
      </c>
      <c r="N2000">
        <f>IF($G2000="","",IF($H2000="مرجوعی خرید",-1,1)*($L2000-$M2000*IFERROR(VLOOKUP("P01",ParamTbl,3,0),1.5))*(1-IF($I2000="خرید",IFERROR(VLOOKUP("P02",ParamTbl,3,0),1),0)/100))</f>
        <v/>
      </c>
      <c r="O2000">
        <f>IF($G2000="",0,IF($H2000="مرجوعی خرید",-1,1)*IF(Sync!$AD1997="",0,Sync!$AD1997))</f>
        <v/>
      </c>
      <c r="P2000">
        <f>IF(OR($G2000="",Sync!$W1997=""),"",Sync!$W1997)</f>
        <v/>
      </c>
      <c r="Q2000">
        <f>IF(OR($G2000="",Sync!$AE1997=""),"",Sync!$AE1997)</f>
        <v/>
      </c>
      <c r="R2000">
        <f>IF($G2000="","",IF(Sync!$V1997="","0000",IF(AND(ISNUMBER(Sync!$V1997),Sync!$V1997&gt;=0,Sync!$V1997&lt;1),RIGHT("00"&amp;HOUR(Sync!$V1997),2)&amp;RIGHT("00"&amp;MINUTE(Sync!$V1997),2),IFERROR(RIGHT("00"&amp;VALUE(LEFT(Sync!$V1997,FIND(":",Sync!$V1997)-1)),2)&amp;RIGHT("00"&amp;VALUE(MID(Sync!$V1997,FIND(":",Sync!$V1997)+1,2)),2),"0000"))))</f>
        <v/>
      </c>
    </row>
    <row r="2001">
      <c r="A2001">
        <f>IF(Sync!$U1998="","",Sync!$U1998)</f>
        <v/>
      </c>
      <c r="B2001">
        <f>IF($A2001="","",IF(ISNUMBER($A2001),IF(AND($A2001&gt;=10000101,$A2001&lt;=99991231),INT($A2001/10000),""),IFERROR(VALUE(TRIM(LEFT($A2001,FIND("/",$A2001)-1))),"")))</f>
        <v/>
      </c>
      <c r="C2001">
        <f>IF(OR($A2001="",$B2001=""),"",IF(ISNUMBER($A2001),INT(MOD($A2001,10000)/100),IFERROR(VALUE(TRIM(LEFT(MID($A2001,FIND("/",$A2001)+1,20),FIND("/",MID($A2001,FIND("/",$A2001)+1,20))-1))),"")))</f>
        <v/>
      </c>
      <c r="D2001">
        <f>IF(OR($A2001="",$B2001=""),"",IF(ISNUMBER($A2001),MOD($A2001,100),IFERROR(VALUE(TRIM(MID(MID($A2001,FIND("/",$A2001)+1,20),FIND("/",MID($A2001,FIND("/",$A2001)+1,20))+1,20))),"")))</f>
        <v/>
      </c>
      <c r="E2001">
        <f>IF($A2001="","",IF(OR($B2001="",$C2001="",$D2001="",$B2001&lt;1300,$B2001&gt;1500,$C2001&lt;1,$C2001&gt;12,$D2001&lt;1,$D2001&gt;31),"نامعتبر",RIGHT("0000"&amp;$B2001,4)&amp;"/"&amp;RIGHT("00"&amp;$C2001,2)&amp;"/"&amp;RIGHT("00"&amp;$D2001,2)))</f>
        <v/>
      </c>
      <c r="F2001">
        <f>IF(OR($E2001="",$E2001="نامعتبر"),"",LEFT($E2001,4)&amp;"/"&amp;MID($E2001,6,2))</f>
        <v/>
      </c>
      <c r="G2001">
        <f>IF(OR($E2001="",$E2001="نامعتبر",Sync!$Y1998=""),"",Sync!$Y1998)</f>
        <v/>
      </c>
      <c r="H2001">
        <f>IF($G2001="","",IF(Sync!$X1998="","",Sync!$X1998))</f>
        <v/>
      </c>
      <c r="I2001">
        <f>IF($G2001="","",IFERROR(VLOOKUP(Sync!$X1998,OpTbl,3,0),""))</f>
        <v/>
      </c>
      <c r="J2001">
        <f>IF(OR($G2001="",Sync!$Z1998=""),"",Sync!$Z1998)</f>
        <v/>
      </c>
      <c r="K2001">
        <f>IF(OR($G2001="",Sync!$AA1998=""),"",Sync!$AA1998)</f>
        <v/>
      </c>
      <c r="L2001">
        <f>IF($G2001="",0,IF(Sync!$AB1998="",0,Sync!$AB1998))</f>
        <v/>
      </c>
      <c r="M2001">
        <f>IF($G2001="",0,IF(Sync!$AC1998="",0,Sync!$AC1998))</f>
        <v/>
      </c>
      <c r="N2001">
        <f>IF($G2001="","",IF($H2001="مرجوعی خرید",-1,1)*($L2001-$M2001*IFERROR(VLOOKUP("P01",ParamTbl,3,0),1.5))*(1-IF($I2001="خرید",IFERROR(VLOOKUP("P02",ParamTbl,3,0),1),0)/100))</f>
        <v/>
      </c>
      <c r="O2001">
        <f>IF($G2001="",0,IF($H2001="مرجوعی خرید",-1,1)*IF(Sync!$AD1998="",0,Sync!$AD1998))</f>
        <v/>
      </c>
      <c r="P2001">
        <f>IF(OR($G2001="",Sync!$W1998=""),"",Sync!$W1998)</f>
        <v/>
      </c>
      <c r="Q2001">
        <f>IF(OR($G2001="",Sync!$AE1998=""),"",Sync!$AE1998)</f>
        <v/>
      </c>
      <c r="R2001">
        <f>IF($G2001="","",IF(Sync!$V1998="","0000",IF(AND(ISNUMBER(Sync!$V1998),Sync!$V1998&gt;=0,Sync!$V1998&lt;1),RIGHT("00"&amp;HOUR(Sync!$V1998),2)&amp;RIGHT("00"&amp;MINUTE(Sync!$V1998),2),IFERROR(RIGHT("00"&amp;VALUE(LEFT(Sync!$V1998,FIND(":",Sync!$V1998)-1)),2)&amp;RIGHT("00"&amp;VALUE(MID(Sync!$V1998,FIND(":",Sync!$V1998)+1,2)),2),"0000"))))</f>
        <v/>
      </c>
    </row>
    <row r="2002">
      <c r="A2002">
        <f>IF(Sync!$U1999="","",Sync!$U1999)</f>
        <v/>
      </c>
      <c r="B2002">
        <f>IF($A2002="","",IF(ISNUMBER($A2002),IF(AND($A2002&gt;=10000101,$A2002&lt;=99991231),INT($A2002/10000),""),IFERROR(VALUE(TRIM(LEFT($A2002,FIND("/",$A2002)-1))),"")))</f>
        <v/>
      </c>
      <c r="C2002">
        <f>IF(OR($A2002="",$B2002=""),"",IF(ISNUMBER($A2002),INT(MOD($A2002,10000)/100),IFERROR(VALUE(TRIM(LEFT(MID($A2002,FIND("/",$A2002)+1,20),FIND("/",MID($A2002,FIND("/",$A2002)+1,20))-1))),"")))</f>
        <v/>
      </c>
      <c r="D2002">
        <f>IF(OR($A2002="",$B2002=""),"",IF(ISNUMBER($A2002),MOD($A2002,100),IFERROR(VALUE(TRIM(MID(MID($A2002,FIND("/",$A2002)+1,20),FIND("/",MID($A2002,FIND("/",$A2002)+1,20))+1,20))),"")))</f>
        <v/>
      </c>
      <c r="E2002">
        <f>IF($A2002="","",IF(OR($B2002="",$C2002="",$D2002="",$B2002&lt;1300,$B2002&gt;1500,$C2002&lt;1,$C2002&gt;12,$D2002&lt;1,$D2002&gt;31),"نامعتبر",RIGHT("0000"&amp;$B2002,4)&amp;"/"&amp;RIGHT("00"&amp;$C2002,2)&amp;"/"&amp;RIGHT("00"&amp;$D2002,2)))</f>
        <v/>
      </c>
      <c r="F2002">
        <f>IF(OR($E2002="",$E2002="نامعتبر"),"",LEFT($E2002,4)&amp;"/"&amp;MID($E2002,6,2))</f>
        <v/>
      </c>
      <c r="G2002">
        <f>IF(OR($E2002="",$E2002="نامعتبر",Sync!$Y1999=""),"",Sync!$Y1999)</f>
        <v/>
      </c>
      <c r="H2002">
        <f>IF($G2002="","",IF(Sync!$X1999="","",Sync!$X1999))</f>
        <v/>
      </c>
      <c r="I2002">
        <f>IF($G2002="","",IFERROR(VLOOKUP(Sync!$X1999,OpTbl,3,0),""))</f>
        <v/>
      </c>
      <c r="J2002">
        <f>IF(OR($G2002="",Sync!$Z1999=""),"",Sync!$Z1999)</f>
        <v/>
      </c>
      <c r="K2002">
        <f>IF(OR($G2002="",Sync!$AA1999=""),"",Sync!$AA1999)</f>
        <v/>
      </c>
      <c r="L2002">
        <f>IF($G2002="",0,IF(Sync!$AB1999="",0,Sync!$AB1999))</f>
        <v/>
      </c>
      <c r="M2002">
        <f>IF($G2002="",0,IF(Sync!$AC1999="",0,Sync!$AC1999))</f>
        <v/>
      </c>
      <c r="N2002">
        <f>IF($G2002="","",IF($H2002="مرجوعی خرید",-1,1)*($L2002-$M2002*IFERROR(VLOOKUP("P01",ParamTbl,3,0),1.5))*(1-IF($I2002="خرید",IFERROR(VLOOKUP("P02",ParamTbl,3,0),1),0)/100))</f>
        <v/>
      </c>
      <c r="O2002">
        <f>IF($G2002="",0,IF($H2002="مرجوعی خرید",-1,1)*IF(Sync!$AD1999="",0,Sync!$AD1999))</f>
        <v/>
      </c>
      <c r="P2002">
        <f>IF(OR($G2002="",Sync!$W1999=""),"",Sync!$W1999)</f>
        <v/>
      </c>
      <c r="Q2002">
        <f>IF(OR($G2002="",Sync!$AE1999=""),"",Sync!$AE1999)</f>
        <v/>
      </c>
      <c r="R2002">
        <f>IF($G2002="","",IF(Sync!$V1999="","0000",IF(AND(ISNUMBER(Sync!$V1999),Sync!$V1999&gt;=0,Sync!$V1999&lt;1),RIGHT("00"&amp;HOUR(Sync!$V1999),2)&amp;RIGHT("00"&amp;MINUTE(Sync!$V1999),2),IFERROR(RIGHT("00"&amp;VALUE(LEFT(Sync!$V1999,FIND(":",Sync!$V1999)-1)),2)&amp;RIGHT("00"&amp;VALUE(MID(Sync!$V1999,FIND(":",Sync!$V1999)+1,2)),2),"0000"))))</f>
        <v/>
      </c>
    </row>
    <row r="2003">
      <c r="A2003">
        <f>IF(Sync!$U2000="","",Sync!$U2000)</f>
        <v/>
      </c>
      <c r="B2003">
        <f>IF($A2003="","",IF(ISNUMBER($A2003),IF(AND($A2003&gt;=10000101,$A2003&lt;=99991231),INT($A2003/10000),""),IFERROR(VALUE(TRIM(LEFT($A2003,FIND("/",$A2003)-1))),"")))</f>
        <v/>
      </c>
      <c r="C2003">
        <f>IF(OR($A2003="",$B2003=""),"",IF(ISNUMBER($A2003),INT(MOD($A2003,10000)/100),IFERROR(VALUE(TRIM(LEFT(MID($A2003,FIND("/",$A2003)+1,20),FIND("/",MID($A2003,FIND("/",$A2003)+1,20))-1))),"")))</f>
        <v/>
      </c>
      <c r="D2003">
        <f>IF(OR($A2003="",$B2003=""),"",IF(ISNUMBER($A2003),MOD($A2003,100),IFERROR(VALUE(TRIM(MID(MID($A2003,FIND("/",$A2003)+1,20),FIND("/",MID($A2003,FIND("/",$A2003)+1,20))+1,20))),"")))</f>
        <v/>
      </c>
      <c r="E2003">
        <f>IF($A2003="","",IF(OR($B2003="",$C2003="",$D2003="",$B2003&lt;1300,$B2003&gt;1500,$C2003&lt;1,$C2003&gt;12,$D2003&lt;1,$D2003&gt;31),"نامعتبر",RIGHT("0000"&amp;$B2003,4)&amp;"/"&amp;RIGHT("00"&amp;$C2003,2)&amp;"/"&amp;RIGHT("00"&amp;$D2003,2)))</f>
        <v/>
      </c>
      <c r="F2003">
        <f>IF(OR($E2003="",$E2003="نامعتبر"),"",LEFT($E2003,4)&amp;"/"&amp;MID($E2003,6,2))</f>
        <v/>
      </c>
      <c r="G2003">
        <f>IF(OR($E2003="",$E2003="نامعتبر",Sync!$Y2000=""),"",Sync!$Y2000)</f>
        <v/>
      </c>
      <c r="H2003">
        <f>IF($G2003="","",IF(Sync!$X2000="","",Sync!$X2000))</f>
        <v/>
      </c>
      <c r="I2003">
        <f>IF($G2003="","",IFERROR(VLOOKUP(Sync!$X2000,OpTbl,3,0),""))</f>
        <v/>
      </c>
      <c r="J2003">
        <f>IF(OR($G2003="",Sync!$Z2000=""),"",Sync!$Z2000)</f>
        <v/>
      </c>
      <c r="K2003">
        <f>IF(OR($G2003="",Sync!$AA2000=""),"",Sync!$AA2000)</f>
        <v/>
      </c>
      <c r="L2003">
        <f>IF($G2003="",0,IF(Sync!$AB2000="",0,Sync!$AB2000))</f>
        <v/>
      </c>
      <c r="M2003">
        <f>IF($G2003="",0,IF(Sync!$AC2000="",0,Sync!$AC2000))</f>
        <v/>
      </c>
      <c r="N2003">
        <f>IF($G2003="","",IF($H2003="مرجوعی خرید",-1,1)*($L2003-$M2003*IFERROR(VLOOKUP("P01",ParamTbl,3,0),1.5))*(1-IF($I2003="خرید",IFERROR(VLOOKUP("P02",ParamTbl,3,0),1),0)/100))</f>
        <v/>
      </c>
      <c r="O2003">
        <f>IF($G2003="",0,IF($H2003="مرجوعی خرید",-1,1)*IF(Sync!$AD2000="",0,Sync!$AD2000))</f>
        <v/>
      </c>
      <c r="P2003">
        <f>IF(OR($G2003="",Sync!$W2000=""),"",Sync!$W2000)</f>
        <v/>
      </c>
      <c r="Q2003">
        <f>IF(OR($G2003="",Sync!$AE2000=""),"",Sync!$AE2000)</f>
        <v/>
      </c>
      <c r="R2003">
        <f>IF($G2003="","",IF(Sync!$V2000="","0000",IF(AND(ISNUMBER(Sync!$V2000),Sync!$V2000&gt;=0,Sync!$V2000&lt;1),RIGHT("00"&amp;HOUR(Sync!$V2000),2)&amp;RIGHT("00"&amp;MINUTE(Sync!$V2000),2),IFERROR(RIGHT("00"&amp;VALUE(LEFT(Sync!$V2000,FIND(":",Sync!$V2000)-1)),2)&amp;RIGHT("00"&amp;VALUE(MID(Sync!$V2000,FIND(":",Sync!$V2000)+1,2)),2),"0000"))))</f>
        <v/>
      </c>
    </row>
    <row r="2004">
      <c r="A2004">
        <f>IF(Sync!$U2001="","",Sync!$U2001)</f>
        <v/>
      </c>
      <c r="B2004">
        <f>IF($A2004="","",IF(ISNUMBER($A2004),IF(AND($A2004&gt;=10000101,$A2004&lt;=99991231),INT($A2004/10000),""),IFERROR(VALUE(TRIM(LEFT($A2004,FIND("/",$A2004)-1))),"")))</f>
        <v/>
      </c>
      <c r="C2004">
        <f>IF(OR($A2004="",$B2004=""),"",IF(ISNUMBER($A2004),INT(MOD($A2004,10000)/100),IFERROR(VALUE(TRIM(LEFT(MID($A2004,FIND("/",$A2004)+1,20),FIND("/",MID($A2004,FIND("/",$A2004)+1,20))-1))),"")))</f>
        <v/>
      </c>
      <c r="D2004">
        <f>IF(OR($A2004="",$B2004=""),"",IF(ISNUMBER($A2004),MOD($A2004,100),IFERROR(VALUE(TRIM(MID(MID($A2004,FIND("/",$A2004)+1,20),FIND("/",MID($A2004,FIND("/",$A2004)+1,20))+1,20))),"")))</f>
        <v/>
      </c>
      <c r="E2004">
        <f>IF($A2004="","",IF(OR($B2004="",$C2004="",$D2004="",$B2004&lt;1300,$B2004&gt;1500,$C2004&lt;1,$C2004&gt;12,$D2004&lt;1,$D2004&gt;31),"نامعتبر",RIGHT("0000"&amp;$B2004,4)&amp;"/"&amp;RIGHT("00"&amp;$C2004,2)&amp;"/"&amp;RIGHT("00"&amp;$D2004,2)))</f>
        <v/>
      </c>
      <c r="F2004">
        <f>IF(OR($E2004="",$E2004="نامعتبر"),"",LEFT($E2004,4)&amp;"/"&amp;MID($E2004,6,2))</f>
        <v/>
      </c>
      <c r="G2004">
        <f>IF(OR($E2004="",$E2004="نامعتبر",Sync!$Y2001=""),"",Sync!$Y2001)</f>
        <v/>
      </c>
      <c r="H2004">
        <f>IF($G2004="","",IF(Sync!$X2001="","",Sync!$X2001))</f>
        <v/>
      </c>
      <c r="I2004">
        <f>IF($G2004="","",IFERROR(VLOOKUP(Sync!$X2001,OpTbl,3,0),""))</f>
        <v/>
      </c>
      <c r="J2004">
        <f>IF(OR($G2004="",Sync!$Z2001=""),"",Sync!$Z2001)</f>
        <v/>
      </c>
      <c r="K2004">
        <f>IF(OR($G2004="",Sync!$AA2001=""),"",Sync!$AA2001)</f>
        <v/>
      </c>
      <c r="L2004">
        <f>IF($G2004="",0,IF(Sync!$AB2001="",0,Sync!$AB2001))</f>
        <v/>
      </c>
      <c r="M2004">
        <f>IF($G2004="",0,IF(Sync!$AC2001="",0,Sync!$AC2001))</f>
        <v/>
      </c>
      <c r="N2004">
        <f>IF($G2004="","",IF($H2004="مرجوعی خرید",-1,1)*($L2004-$M2004*IFERROR(VLOOKUP("P01",ParamTbl,3,0),1.5))*(1-IF($I2004="خرید",IFERROR(VLOOKUP("P02",ParamTbl,3,0),1),0)/100))</f>
        <v/>
      </c>
      <c r="O2004">
        <f>IF($G2004="",0,IF($H2004="مرجوعی خرید",-1,1)*IF(Sync!$AD2001="",0,Sync!$AD2001))</f>
        <v/>
      </c>
      <c r="P2004">
        <f>IF(OR($G2004="",Sync!$W2001=""),"",Sync!$W2001)</f>
        <v/>
      </c>
      <c r="Q2004">
        <f>IF(OR($G2004="",Sync!$AE2001=""),"",Sync!$AE2001)</f>
        <v/>
      </c>
      <c r="R2004">
        <f>IF($G2004="","",IF(Sync!$V2001="","0000",IF(AND(ISNUMBER(Sync!$V2001),Sync!$V2001&gt;=0,Sync!$V2001&lt;1),RIGHT("00"&amp;HOUR(Sync!$V2001),2)&amp;RIGHT("00"&amp;MINUTE(Sync!$V2001),2),IFERROR(RIGHT("00"&amp;VALUE(LEFT(Sync!$V2001,FIND(":",Sync!$V2001)-1)),2)&amp;RIGHT("00"&amp;VALUE(MID(Sync!$V2001,FIND(":",Sync!$V2001)+1,2)),2),"0000"))))</f>
        <v/>
      </c>
    </row>
    <row r="2005">
      <c r="A2005">
        <f>IF(Sync!$U2002="","",Sync!$U2002)</f>
        <v/>
      </c>
      <c r="B2005">
        <f>IF($A2005="","",IF(ISNUMBER($A2005),IF(AND($A2005&gt;=10000101,$A2005&lt;=99991231),INT($A2005/10000),""),IFERROR(VALUE(TRIM(LEFT($A2005,FIND("/",$A2005)-1))),"")))</f>
        <v/>
      </c>
      <c r="C2005">
        <f>IF(OR($A2005="",$B2005=""),"",IF(ISNUMBER($A2005),INT(MOD($A2005,10000)/100),IFERROR(VALUE(TRIM(LEFT(MID($A2005,FIND("/",$A2005)+1,20),FIND("/",MID($A2005,FIND("/",$A2005)+1,20))-1))),"")))</f>
        <v/>
      </c>
      <c r="D2005">
        <f>IF(OR($A2005="",$B2005=""),"",IF(ISNUMBER($A2005),MOD($A2005,100),IFERROR(VALUE(TRIM(MID(MID($A2005,FIND("/",$A2005)+1,20),FIND("/",MID($A2005,FIND("/",$A2005)+1,20))+1,20))),"")))</f>
        <v/>
      </c>
      <c r="E2005">
        <f>IF($A2005="","",IF(OR($B2005="",$C2005="",$D2005="",$B2005&lt;1300,$B2005&gt;1500,$C2005&lt;1,$C2005&gt;12,$D2005&lt;1,$D2005&gt;31),"نامعتبر",RIGHT("0000"&amp;$B2005,4)&amp;"/"&amp;RIGHT("00"&amp;$C2005,2)&amp;"/"&amp;RIGHT("00"&amp;$D2005,2)))</f>
        <v/>
      </c>
      <c r="F2005">
        <f>IF(OR($E2005="",$E2005="نامعتبر"),"",LEFT($E2005,4)&amp;"/"&amp;MID($E2005,6,2))</f>
        <v/>
      </c>
      <c r="G2005">
        <f>IF(OR($E2005="",$E2005="نامعتبر",Sync!$Y2002=""),"",Sync!$Y2002)</f>
        <v/>
      </c>
      <c r="H2005">
        <f>IF($G2005="","",IF(Sync!$X2002="","",Sync!$X2002))</f>
        <v/>
      </c>
      <c r="I2005">
        <f>IF($G2005="","",IFERROR(VLOOKUP(Sync!$X2002,OpTbl,3,0),""))</f>
        <v/>
      </c>
      <c r="J2005">
        <f>IF(OR($G2005="",Sync!$Z2002=""),"",Sync!$Z2002)</f>
        <v/>
      </c>
      <c r="K2005">
        <f>IF(OR($G2005="",Sync!$AA2002=""),"",Sync!$AA2002)</f>
        <v/>
      </c>
      <c r="L2005">
        <f>IF($G2005="",0,IF(Sync!$AB2002="",0,Sync!$AB2002))</f>
        <v/>
      </c>
      <c r="M2005">
        <f>IF($G2005="",0,IF(Sync!$AC2002="",0,Sync!$AC2002))</f>
        <v/>
      </c>
      <c r="N2005">
        <f>IF($G2005="","",IF($H2005="مرجوعی خرید",-1,1)*($L2005-$M2005*IFERROR(VLOOKUP("P01",ParamTbl,3,0),1.5))*(1-IF($I2005="خرید",IFERROR(VLOOKUP("P02",ParamTbl,3,0),1),0)/100))</f>
        <v/>
      </c>
      <c r="O2005">
        <f>IF($G2005="",0,IF($H2005="مرجوعی خرید",-1,1)*IF(Sync!$AD2002="",0,Sync!$AD2002))</f>
        <v/>
      </c>
      <c r="P2005">
        <f>IF(OR($G2005="",Sync!$W2002=""),"",Sync!$W2002)</f>
        <v/>
      </c>
      <c r="Q2005">
        <f>IF(OR($G2005="",Sync!$AE2002=""),"",Sync!$AE2002)</f>
        <v/>
      </c>
      <c r="R2005">
        <f>IF($G2005="","",IF(Sync!$V2002="","0000",IF(AND(ISNUMBER(Sync!$V2002),Sync!$V2002&gt;=0,Sync!$V2002&lt;1),RIGHT("00"&amp;HOUR(Sync!$V2002),2)&amp;RIGHT("00"&amp;MINUTE(Sync!$V2002),2),IFERROR(RIGHT("00"&amp;VALUE(LEFT(Sync!$V2002,FIND(":",Sync!$V2002)-1)),2)&amp;RIGHT("00"&amp;VALUE(MID(Sync!$V2002,FIND(":",Sync!$V2002)+1,2)),2),"0000"))))</f>
        <v/>
      </c>
    </row>
    <row r="2006">
      <c r="A2006">
        <f>IF(Sync!$U2003="","",Sync!$U2003)</f>
        <v/>
      </c>
      <c r="B2006">
        <f>IF($A2006="","",IF(ISNUMBER($A2006),IF(AND($A2006&gt;=10000101,$A2006&lt;=99991231),INT($A2006/10000),""),IFERROR(VALUE(TRIM(LEFT($A2006,FIND("/",$A2006)-1))),"")))</f>
        <v/>
      </c>
      <c r="C2006">
        <f>IF(OR($A2006="",$B2006=""),"",IF(ISNUMBER($A2006),INT(MOD($A2006,10000)/100),IFERROR(VALUE(TRIM(LEFT(MID($A2006,FIND("/",$A2006)+1,20),FIND("/",MID($A2006,FIND("/",$A2006)+1,20))-1))),"")))</f>
        <v/>
      </c>
      <c r="D2006">
        <f>IF(OR($A2006="",$B2006=""),"",IF(ISNUMBER($A2006),MOD($A2006,100),IFERROR(VALUE(TRIM(MID(MID($A2006,FIND("/",$A2006)+1,20),FIND("/",MID($A2006,FIND("/",$A2006)+1,20))+1,20))),"")))</f>
        <v/>
      </c>
      <c r="E2006">
        <f>IF($A2006="","",IF(OR($B2006="",$C2006="",$D2006="",$B2006&lt;1300,$B2006&gt;1500,$C2006&lt;1,$C2006&gt;12,$D2006&lt;1,$D2006&gt;31),"نامعتبر",RIGHT("0000"&amp;$B2006,4)&amp;"/"&amp;RIGHT("00"&amp;$C2006,2)&amp;"/"&amp;RIGHT("00"&amp;$D2006,2)))</f>
        <v/>
      </c>
      <c r="F2006">
        <f>IF(OR($E2006="",$E2006="نامعتبر"),"",LEFT($E2006,4)&amp;"/"&amp;MID($E2006,6,2))</f>
        <v/>
      </c>
      <c r="G2006">
        <f>IF(OR($E2006="",$E2006="نامعتبر",Sync!$Y2003=""),"",Sync!$Y2003)</f>
        <v/>
      </c>
      <c r="H2006">
        <f>IF($G2006="","",IF(Sync!$X2003="","",Sync!$X2003))</f>
        <v/>
      </c>
      <c r="I2006">
        <f>IF($G2006="","",IFERROR(VLOOKUP(Sync!$X2003,OpTbl,3,0),""))</f>
        <v/>
      </c>
      <c r="J2006">
        <f>IF(OR($G2006="",Sync!$Z2003=""),"",Sync!$Z2003)</f>
        <v/>
      </c>
      <c r="K2006">
        <f>IF(OR($G2006="",Sync!$AA2003=""),"",Sync!$AA2003)</f>
        <v/>
      </c>
      <c r="L2006">
        <f>IF($G2006="",0,IF(Sync!$AB2003="",0,Sync!$AB2003))</f>
        <v/>
      </c>
      <c r="M2006">
        <f>IF($G2006="",0,IF(Sync!$AC2003="",0,Sync!$AC2003))</f>
        <v/>
      </c>
      <c r="N2006">
        <f>IF($G2006="","",IF($H2006="مرجوعی خرید",-1,1)*($L2006-$M2006*IFERROR(VLOOKUP("P01",ParamTbl,3,0),1.5))*(1-IF($I2006="خرید",IFERROR(VLOOKUP("P02",ParamTbl,3,0),1),0)/100))</f>
        <v/>
      </c>
      <c r="O2006">
        <f>IF($G2006="",0,IF($H2006="مرجوعی خرید",-1,1)*IF(Sync!$AD2003="",0,Sync!$AD2003))</f>
        <v/>
      </c>
      <c r="P2006">
        <f>IF(OR($G2006="",Sync!$W2003=""),"",Sync!$W2003)</f>
        <v/>
      </c>
      <c r="Q2006">
        <f>IF(OR($G2006="",Sync!$AE2003=""),"",Sync!$AE2003)</f>
        <v/>
      </c>
      <c r="R2006">
        <f>IF($G2006="","",IF(Sync!$V2003="","0000",IF(AND(ISNUMBER(Sync!$V2003),Sync!$V2003&gt;=0,Sync!$V2003&lt;1),RIGHT("00"&amp;HOUR(Sync!$V2003),2)&amp;RIGHT("00"&amp;MINUTE(Sync!$V2003),2),IFERROR(RIGHT("00"&amp;VALUE(LEFT(Sync!$V2003,FIND(":",Sync!$V2003)-1)),2)&amp;RIGHT("00"&amp;VALUE(MID(Sync!$V2003,FIND(":",Sync!$V2003)+1,2)),2),"0000"))))</f>
        <v/>
      </c>
    </row>
    <row r="2007">
      <c r="A2007">
        <f>IF(Sync!$U2004="","",Sync!$U2004)</f>
        <v/>
      </c>
      <c r="B2007">
        <f>IF($A2007="","",IF(ISNUMBER($A2007),IF(AND($A2007&gt;=10000101,$A2007&lt;=99991231),INT($A2007/10000),""),IFERROR(VALUE(TRIM(LEFT($A2007,FIND("/",$A2007)-1))),"")))</f>
        <v/>
      </c>
      <c r="C2007">
        <f>IF(OR($A2007="",$B2007=""),"",IF(ISNUMBER($A2007),INT(MOD($A2007,10000)/100),IFERROR(VALUE(TRIM(LEFT(MID($A2007,FIND("/",$A2007)+1,20),FIND("/",MID($A2007,FIND("/",$A2007)+1,20))-1))),"")))</f>
        <v/>
      </c>
      <c r="D2007">
        <f>IF(OR($A2007="",$B2007=""),"",IF(ISNUMBER($A2007),MOD($A2007,100),IFERROR(VALUE(TRIM(MID(MID($A2007,FIND("/",$A2007)+1,20),FIND("/",MID($A2007,FIND("/",$A2007)+1,20))+1,20))),"")))</f>
        <v/>
      </c>
      <c r="E2007">
        <f>IF($A2007="","",IF(OR($B2007="",$C2007="",$D2007="",$B2007&lt;1300,$B2007&gt;1500,$C2007&lt;1,$C2007&gt;12,$D2007&lt;1,$D2007&gt;31),"نامعتبر",RIGHT("0000"&amp;$B2007,4)&amp;"/"&amp;RIGHT("00"&amp;$C2007,2)&amp;"/"&amp;RIGHT("00"&amp;$D2007,2)))</f>
        <v/>
      </c>
      <c r="F2007">
        <f>IF(OR($E2007="",$E2007="نامعتبر"),"",LEFT($E2007,4)&amp;"/"&amp;MID($E2007,6,2))</f>
        <v/>
      </c>
      <c r="G2007">
        <f>IF(OR($E2007="",$E2007="نامعتبر",Sync!$Y2004=""),"",Sync!$Y2004)</f>
        <v/>
      </c>
      <c r="H2007">
        <f>IF($G2007="","",IF(Sync!$X2004="","",Sync!$X2004))</f>
        <v/>
      </c>
      <c r="I2007">
        <f>IF($G2007="","",IFERROR(VLOOKUP(Sync!$X2004,OpTbl,3,0),""))</f>
        <v/>
      </c>
      <c r="J2007">
        <f>IF(OR($G2007="",Sync!$Z2004=""),"",Sync!$Z2004)</f>
        <v/>
      </c>
      <c r="K2007">
        <f>IF(OR($G2007="",Sync!$AA2004=""),"",Sync!$AA2004)</f>
        <v/>
      </c>
      <c r="L2007">
        <f>IF($G2007="",0,IF(Sync!$AB2004="",0,Sync!$AB2004))</f>
        <v/>
      </c>
      <c r="M2007">
        <f>IF($G2007="",0,IF(Sync!$AC2004="",0,Sync!$AC2004))</f>
        <v/>
      </c>
      <c r="N2007">
        <f>IF($G2007="","",IF($H2007="مرجوعی خرید",-1,1)*($L2007-$M2007*IFERROR(VLOOKUP("P01",ParamTbl,3,0),1.5))*(1-IF($I2007="خرید",IFERROR(VLOOKUP("P02",ParamTbl,3,0),1),0)/100))</f>
        <v/>
      </c>
      <c r="O2007">
        <f>IF($G2007="",0,IF($H2007="مرجوعی خرید",-1,1)*IF(Sync!$AD2004="",0,Sync!$AD2004))</f>
        <v/>
      </c>
      <c r="P2007">
        <f>IF(OR($G2007="",Sync!$W2004=""),"",Sync!$W2004)</f>
        <v/>
      </c>
      <c r="Q2007">
        <f>IF(OR($G2007="",Sync!$AE2004=""),"",Sync!$AE2004)</f>
        <v/>
      </c>
      <c r="R2007">
        <f>IF($G2007="","",IF(Sync!$V2004="","0000",IF(AND(ISNUMBER(Sync!$V2004),Sync!$V2004&gt;=0,Sync!$V2004&lt;1),RIGHT("00"&amp;HOUR(Sync!$V2004),2)&amp;RIGHT("00"&amp;MINUTE(Sync!$V2004),2),IFERROR(RIGHT("00"&amp;VALUE(LEFT(Sync!$V2004,FIND(":",Sync!$V2004)-1)),2)&amp;RIGHT("00"&amp;VALUE(MID(Sync!$V2004,FIND(":",Sync!$V2004)+1,2)),2),"0000"))))</f>
        <v/>
      </c>
    </row>
    <row r="2008">
      <c r="A2008">
        <f>IF(Sync!$U2005="","",Sync!$U2005)</f>
        <v/>
      </c>
      <c r="B2008">
        <f>IF($A2008="","",IF(ISNUMBER($A2008),IF(AND($A2008&gt;=10000101,$A2008&lt;=99991231),INT($A2008/10000),""),IFERROR(VALUE(TRIM(LEFT($A2008,FIND("/",$A2008)-1))),"")))</f>
        <v/>
      </c>
      <c r="C2008">
        <f>IF(OR($A2008="",$B2008=""),"",IF(ISNUMBER($A2008),INT(MOD($A2008,10000)/100),IFERROR(VALUE(TRIM(LEFT(MID($A2008,FIND("/",$A2008)+1,20),FIND("/",MID($A2008,FIND("/",$A2008)+1,20))-1))),"")))</f>
        <v/>
      </c>
      <c r="D2008">
        <f>IF(OR($A2008="",$B2008=""),"",IF(ISNUMBER($A2008),MOD($A2008,100),IFERROR(VALUE(TRIM(MID(MID($A2008,FIND("/",$A2008)+1,20),FIND("/",MID($A2008,FIND("/",$A2008)+1,20))+1,20))),"")))</f>
        <v/>
      </c>
      <c r="E2008">
        <f>IF($A2008="","",IF(OR($B2008="",$C2008="",$D2008="",$B2008&lt;1300,$B2008&gt;1500,$C2008&lt;1,$C2008&gt;12,$D2008&lt;1,$D2008&gt;31),"نامعتبر",RIGHT("0000"&amp;$B2008,4)&amp;"/"&amp;RIGHT("00"&amp;$C2008,2)&amp;"/"&amp;RIGHT("00"&amp;$D2008,2)))</f>
        <v/>
      </c>
      <c r="F2008">
        <f>IF(OR($E2008="",$E2008="نامعتبر"),"",LEFT($E2008,4)&amp;"/"&amp;MID($E2008,6,2))</f>
        <v/>
      </c>
      <c r="G2008">
        <f>IF(OR($E2008="",$E2008="نامعتبر",Sync!$Y2005=""),"",Sync!$Y2005)</f>
        <v/>
      </c>
      <c r="H2008">
        <f>IF($G2008="","",IF(Sync!$X2005="","",Sync!$X2005))</f>
        <v/>
      </c>
      <c r="I2008">
        <f>IF($G2008="","",IFERROR(VLOOKUP(Sync!$X2005,OpTbl,3,0),""))</f>
        <v/>
      </c>
      <c r="J2008">
        <f>IF(OR($G2008="",Sync!$Z2005=""),"",Sync!$Z2005)</f>
        <v/>
      </c>
      <c r="K2008">
        <f>IF(OR($G2008="",Sync!$AA2005=""),"",Sync!$AA2005)</f>
        <v/>
      </c>
      <c r="L2008">
        <f>IF($G2008="",0,IF(Sync!$AB2005="",0,Sync!$AB2005))</f>
        <v/>
      </c>
      <c r="M2008">
        <f>IF($G2008="",0,IF(Sync!$AC2005="",0,Sync!$AC2005))</f>
        <v/>
      </c>
      <c r="N2008">
        <f>IF($G2008="","",IF($H2008="مرجوعی خرید",-1,1)*($L2008-$M2008*IFERROR(VLOOKUP("P01",ParamTbl,3,0),1.5))*(1-IF($I2008="خرید",IFERROR(VLOOKUP("P02",ParamTbl,3,0),1),0)/100))</f>
        <v/>
      </c>
      <c r="O2008">
        <f>IF($G2008="",0,IF($H2008="مرجوعی خرید",-1,1)*IF(Sync!$AD2005="",0,Sync!$AD2005))</f>
        <v/>
      </c>
      <c r="P2008">
        <f>IF(OR($G2008="",Sync!$W2005=""),"",Sync!$W2005)</f>
        <v/>
      </c>
      <c r="Q2008">
        <f>IF(OR($G2008="",Sync!$AE2005=""),"",Sync!$AE2005)</f>
        <v/>
      </c>
      <c r="R2008">
        <f>IF($G2008="","",IF(Sync!$V2005="","0000",IF(AND(ISNUMBER(Sync!$V2005),Sync!$V2005&gt;=0,Sync!$V2005&lt;1),RIGHT("00"&amp;HOUR(Sync!$V2005),2)&amp;RIGHT("00"&amp;MINUTE(Sync!$V2005),2),IFERROR(RIGHT("00"&amp;VALUE(LEFT(Sync!$V2005,FIND(":",Sync!$V2005)-1)),2)&amp;RIGHT("00"&amp;VALUE(MID(Sync!$V2005,FIND(":",Sync!$V2005)+1,2)),2),"0000"))))</f>
        <v/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0A4AE"/>
    <outlinePr summaryBelow="1" summaryRight="1"/>
    <pageSetUpPr/>
  </sheetPr>
  <dimension ref="A1:N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7" customWidth="1" min="3" max="3"/>
    <col width="15" customWidth="1" min="4" max="4"/>
    <col width="9" customWidth="1" min="6" max="6"/>
    <col width="6" customWidth="1" min="7" max="7"/>
    <col width="6" customWidth="1" min="8" max="8"/>
    <col width="6" customWidth="1" min="9" max="9"/>
    <col width="12" customWidth="1" min="10" max="10"/>
    <col width="18" customWidth="1" min="11" max="11"/>
    <col width="7" customWidth="1" min="12" max="12"/>
    <col width="15" customWidth="1" min="13" max="13"/>
    <col width="8" customWidth="1" min="14" max="14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2" t="inlineStr">
        <is>
          <t>برگه فنی — موتور گزارش خرید (ترکیب توزین‌های خرید باسکول و پرداخت‌های بانکی + رتبه‌بندی). فرمول‌ها را تغییر ندهید.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</row>
    <row r="5">
      <c r="A5" s="44" t="inlineStr">
        <is>
          <t>A·Party</t>
        </is>
      </c>
      <c r="B5" s="44" t="inlineStr">
        <is>
          <t>A·Key</t>
        </is>
      </c>
      <c r="C5" s="44" t="inlineStr">
        <is>
          <t>A·Rank</t>
        </is>
      </c>
      <c r="D5" s="44" t="inlineStr">
        <is>
          <t>A·RankKey</t>
        </is>
      </c>
      <c r="F5" s="45" t="inlineStr">
        <is>
          <t>B·Party</t>
        </is>
      </c>
      <c r="G5" s="45" t="inlineStr">
        <is>
          <t>B·Y</t>
        </is>
      </c>
      <c r="H5" s="45" t="inlineStr">
        <is>
          <t>B·M</t>
        </is>
      </c>
      <c r="I5" s="45" t="inlineStr">
        <is>
          <t>B·D</t>
        </is>
      </c>
      <c r="J5" s="45" t="inlineStr">
        <is>
          <t>B·Date</t>
        </is>
      </c>
      <c r="K5" s="45" t="inlineStr">
        <is>
          <t>B·Key</t>
        </is>
      </c>
      <c r="L5" s="45" t="inlineStr">
        <is>
          <t>B·Rank</t>
        </is>
      </c>
      <c r="M5" s="45" t="inlineStr">
        <is>
          <t>B·RankKey</t>
        </is>
      </c>
      <c r="N5" s="45" t="inlineStr">
        <is>
          <t>B·Time</t>
        </is>
      </c>
    </row>
    <row r="6">
      <c r="A6">
        <f>IF(OR(Calc!$E9="",Calc!$E9="نامعتبر",Calc!$G9="",Calc!$I9&lt;&gt;"خرید"),"",Calc!$G9)</f>
        <v/>
      </c>
      <c r="B6">
        <f>IF($A6="","",LEFT(Calc!$E9,4)&amp;MID(Calc!$E9,6,2)&amp;RIGHT(Calc!$E9,2)&amp;Calc!$R9&amp;"|"&amp;"1"&amp;RIGHT("00000"&amp;1,5))</f>
        <v/>
      </c>
      <c r="C6">
        <f>IF($B6="","",COUNTIFS(LdgPartyA,$A6,LdgKeyA,"&lt;"&amp;$B6)+COUNTIFS(LdgPartyB,$A6,LdgKeyB,"&lt;"&amp;$B6)+1)</f>
        <v/>
      </c>
      <c r="D6">
        <f>IF($C6="","",$A6&amp;"|"&amp;RIGHT("000000"&amp;$C6,6))</f>
        <v/>
      </c>
      <c r="F6">
        <f>IF(Sync!$AJ6="","",Sync!$AJ6)</f>
        <v/>
      </c>
      <c r="G6">
        <f>IF($F6="","",IF(Sync!$AG6="","",IF(ISNUMBER(Sync!$AG6),IF(AND(Sync!$AG6&gt;=10000101,Sync!$AG6&lt;=99991231),INT(Sync!$AG6/10000),""),IFERROR(VALUE(TRIM(LEFT(Sync!$AG6,FIND("/",Sync!$AG6)-1))),""))))</f>
        <v/>
      </c>
      <c r="H6">
        <f>IF(OR($F6="",$G6=""),"",IF(ISNUMBER(Sync!$AG6),INT(MOD(Sync!$AG6,10000)/100),IFERROR(VALUE(TRIM(LEFT(MID(Sync!$AG6,FIND("/",Sync!$AG6)+1,20),FIND("/",MID(Sync!$AG6,FIND("/",Sync!$AG6)+1,20))-1))),"")))</f>
        <v/>
      </c>
      <c r="I6">
        <f>IF(OR($F6="",$G6=""),"",IF(ISNUMBER(Sync!$AG6),MOD(Sync!$AG6,100),IFERROR(VALUE(TRIM(MID(MID(Sync!$AG6,FIND("/",Sync!$AG6)+1,20),FIND("/",MID(Sync!$AG6,FIND("/",Sync!$AG6)+1,20))+1,20))),"")))</f>
        <v/>
      </c>
      <c r="J6">
        <f>IF($F6="","",IF(OR($G6="",$H6="",$I6="",$G6&lt;1300,$G6&gt;1500,$H6&lt;1,$H6&gt;12,$I6&lt;1,$I6&gt;31),"نامعتبر",RIGHT("0000"&amp;$G6,4)&amp;"/"&amp;RIGHT("00"&amp;$H6,2)&amp;"/"&amp;RIGHT("00"&amp;$I6,2)))</f>
        <v/>
      </c>
      <c r="K6">
        <f>IF(OR($F6="",$J6="",$J6="نامعتبر"),"",LEFT($J6,4)&amp;MID($J6,6,2)&amp;RIGHT($J6,2)&amp;$N6&amp;"|"&amp;"2"&amp;RIGHT("00000"&amp;1,5))</f>
        <v/>
      </c>
      <c r="L6">
        <f>IF($K6="","",COUNTIFS(LdgPartyA,$F6,LdgKeyA,"&lt;"&amp;$K6)+COUNTIFS(LdgPartyB,$F6,LdgKeyB,"&lt;"&amp;$K6)+1)</f>
        <v/>
      </c>
      <c r="M6">
        <f>IF($L6="","",$F6&amp;"|"&amp;RIGHT("000000"&amp;$L6,6))</f>
        <v/>
      </c>
      <c r="N6">
        <f>IF($F6="","",IF(Sync!$AH6="","0000",IF(AND(ISNUMBER(Sync!$AH6),Sync!$AH6&gt;=0,Sync!$AH6&lt;1),RIGHT("00"&amp;HOUR(Sync!$AH6),2)&amp;RIGHT("00"&amp;MINUTE(Sync!$AH6),2),IFERROR(RIGHT("00"&amp;VALUE(LEFT(Sync!$AH6,FIND(":",Sync!$AH6)-1)),2)&amp;RIGHT("00"&amp;VALUE(MID(Sync!$AH6,FIND(":",Sync!$AH6)+1,2)),2),"0000"))))</f>
        <v/>
      </c>
    </row>
    <row r="7">
      <c r="A7">
        <f>IF(OR(Calc!$E10="",Calc!$E10="نامعتبر",Calc!$G10="",Calc!$I10&lt;&gt;"خرید"),"",Calc!$G10)</f>
        <v/>
      </c>
      <c r="B7">
        <f>IF($A7="","",LEFT(Calc!$E10,4)&amp;MID(Calc!$E10,6,2)&amp;RIGHT(Calc!$E10,2)&amp;Calc!$R10&amp;"|"&amp;"1"&amp;RIGHT("00000"&amp;2,5))</f>
        <v/>
      </c>
      <c r="C7">
        <f>IF($B7="","",COUNTIFS(LdgPartyA,$A7,LdgKeyA,"&lt;"&amp;$B7)+COUNTIFS(LdgPartyB,$A7,LdgKeyB,"&lt;"&amp;$B7)+1)</f>
        <v/>
      </c>
      <c r="D7">
        <f>IF($C7="","",$A7&amp;"|"&amp;RIGHT("000000"&amp;$C7,6))</f>
        <v/>
      </c>
      <c r="F7">
        <f>IF(Sync!$AJ7="","",Sync!$AJ7)</f>
        <v/>
      </c>
      <c r="G7">
        <f>IF($F7="","",IF(Sync!$AG7="","",IF(ISNUMBER(Sync!$AG7),IF(AND(Sync!$AG7&gt;=10000101,Sync!$AG7&lt;=99991231),INT(Sync!$AG7/10000),""),IFERROR(VALUE(TRIM(LEFT(Sync!$AG7,FIND("/",Sync!$AG7)-1))),""))))</f>
        <v/>
      </c>
      <c r="H7">
        <f>IF(OR($F7="",$G7=""),"",IF(ISNUMBER(Sync!$AG7),INT(MOD(Sync!$AG7,10000)/100),IFERROR(VALUE(TRIM(LEFT(MID(Sync!$AG7,FIND("/",Sync!$AG7)+1,20),FIND("/",MID(Sync!$AG7,FIND("/",Sync!$AG7)+1,20))-1))),"")))</f>
        <v/>
      </c>
      <c r="I7">
        <f>IF(OR($F7="",$G7=""),"",IF(ISNUMBER(Sync!$AG7),MOD(Sync!$AG7,100),IFERROR(VALUE(TRIM(MID(MID(Sync!$AG7,FIND("/",Sync!$AG7)+1,20),FIND("/",MID(Sync!$AG7,FIND("/",Sync!$AG7)+1,20))+1,20))),"")))</f>
        <v/>
      </c>
      <c r="J7">
        <f>IF($F7="","",IF(OR($G7="",$H7="",$I7="",$G7&lt;1300,$G7&gt;1500,$H7&lt;1,$H7&gt;12,$I7&lt;1,$I7&gt;31),"نامعتبر",RIGHT("0000"&amp;$G7,4)&amp;"/"&amp;RIGHT("00"&amp;$H7,2)&amp;"/"&amp;RIGHT("00"&amp;$I7,2)))</f>
        <v/>
      </c>
      <c r="K7">
        <f>IF(OR($F7="",$J7="",$J7="نامعتبر"),"",LEFT($J7,4)&amp;MID($J7,6,2)&amp;RIGHT($J7,2)&amp;$N7&amp;"|"&amp;"2"&amp;RIGHT("00000"&amp;2,5))</f>
        <v/>
      </c>
      <c r="L7">
        <f>IF($K7="","",COUNTIFS(LdgPartyA,$F7,LdgKeyA,"&lt;"&amp;$K7)+COUNTIFS(LdgPartyB,$F7,LdgKeyB,"&lt;"&amp;$K7)+1)</f>
        <v/>
      </c>
      <c r="M7">
        <f>IF($L7="","",$F7&amp;"|"&amp;RIGHT("000000"&amp;$L7,6))</f>
        <v/>
      </c>
      <c r="N7">
        <f>IF($F7="","",IF(Sync!$AH7="","0000",IF(AND(ISNUMBER(Sync!$AH7),Sync!$AH7&gt;=0,Sync!$AH7&lt;1),RIGHT("00"&amp;HOUR(Sync!$AH7),2)&amp;RIGHT("00"&amp;MINUTE(Sync!$AH7),2),IFERROR(RIGHT("00"&amp;VALUE(LEFT(Sync!$AH7,FIND(":",Sync!$AH7)-1)),2)&amp;RIGHT("00"&amp;VALUE(MID(Sync!$AH7,FIND(":",Sync!$AH7)+1,2)),2),"0000"))))</f>
        <v/>
      </c>
    </row>
    <row r="8">
      <c r="A8">
        <f>IF(OR(Calc!$E11="",Calc!$E11="نامعتبر",Calc!$G11="",Calc!$I11&lt;&gt;"خرید"),"",Calc!$G11)</f>
        <v/>
      </c>
      <c r="B8">
        <f>IF($A8="","",LEFT(Calc!$E11,4)&amp;MID(Calc!$E11,6,2)&amp;RIGHT(Calc!$E11,2)&amp;Calc!$R11&amp;"|"&amp;"1"&amp;RIGHT("00000"&amp;3,5))</f>
        <v/>
      </c>
      <c r="C8">
        <f>IF($B8="","",COUNTIFS(LdgPartyA,$A8,LdgKeyA,"&lt;"&amp;$B8)+COUNTIFS(LdgPartyB,$A8,LdgKeyB,"&lt;"&amp;$B8)+1)</f>
        <v/>
      </c>
      <c r="D8">
        <f>IF($C8="","",$A8&amp;"|"&amp;RIGHT("000000"&amp;$C8,6))</f>
        <v/>
      </c>
      <c r="F8">
        <f>IF(Sync!$AJ8="","",Sync!$AJ8)</f>
        <v/>
      </c>
      <c r="G8">
        <f>IF($F8="","",IF(Sync!$AG8="","",IF(ISNUMBER(Sync!$AG8),IF(AND(Sync!$AG8&gt;=10000101,Sync!$AG8&lt;=99991231),INT(Sync!$AG8/10000),""),IFERROR(VALUE(TRIM(LEFT(Sync!$AG8,FIND("/",Sync!$AG8)-1))),""))))</f>
        <v/>
      </c>
      <c r="H8">
        <f>IF(OR($F8="",$G8=""),"",IF(ISNUMBER(Sync!$AG8),INT(MOD(Sync!$AG8,10000)/100),IFERROR(VALUE(TRIM(LEFT(MID(Sync!$AG8,FIND("/",Sync!$AG8)+1,20),FIND("/",MID(Sync!$AG8,FIND("/",Sync!$AG8)+1,20))-1))),"")))</f>
        <v/>
      </c>
      <c r="I8">
        <f>IF(OR($F8="",$G8=""),"",IF(ISNUMBER(Sync!$AG8),MOD(Sync!$AG8,100),IFERROR(VALUE(TRIM(MID(MID(Sync!$AG8,FIND("/",Sync!$AG8)+1,20),FIND("/",MID(Sync!$AG8,FIND("/",Sync!$AG8)+1,20))+1,20))),"")))</f>
        <v/>
      </c>
      <c r="J8">
        <f>IF($F8="","",IF(OR($G8="",$H8="",$I8="",$G8&lt;1300,$G8&gt;1500,$H8&lt;1,$H8&gt;12,$I8&lt;1,$I8&gt;31),"نامعتبر",RIGHT("0000"&amp;$G8,4)&amp;"/"&amp;RIGHT("00"&amp;$H8,2)&amp;"/"&amp;RIGHT("00"&amp;$I8,2)))</f>
        <v/>
      </c>
      <c r="K8">
        <f>IF(OR($F8="",$J8="",$J8="نامعتبر"),"",LEFT($J8,4)&amp;MID($J8,6,2)&amp;RIGHT($J8,2)&amp;$N8&amp;"|"&amp;"2"&amp;RIGHT("00000"&amp;3,5))</f>
        <v/>
      </c>
      <c r="L8">
        <f>IF($K8="","",COUNTIFS(LdgPartyA,$F8,LdgKeyA,"&lt;"&amp;$K8)+COUNTIFS(LdgPartyB,$F8,LdgKeyB,"&lt;"&amp;$K8)+1)</f>
        <v/>
      </c>
      <c r="M8">
        <f>IF($L8="","",$F8&amp;"|"&amp;RIGHT("000000"&amp;$L8,6))</f>
        <v/>
      </c>
      <c r="N8">
        <f>IF($F8="","",IF(Sync!$AH8="","0000",IF(AND(ISNUMBER(Sync!$AH8),Sync!$AH8&gt;=0,Sync!$AH8&lt;1),RIGHT("00"&amp;HOUR(Sync!$AH8),2)&amp;RIGHT("00"&amp;MINUTE(Sync!$AH8),2),IFERROR(RIGHT("00"&amp;VALUE(LEFT(Sync!$AH8,FIND(":",Sync!$AH8)-1)),2)&amp;RIGHT("00"&amp;VALUE(MID(Sync!$AH8,FIND(":",Sync!$AH8)+1,2)),2),"0000"))))</f>
        <v/>
      </c>
    </row>
    <row r="9">
      <c r="A9">
        <f>IF(OR(Calc!$E12="",Calc!$E12="نامعتبر",Calc!$G12="",Calc!$I12&lt;&gt;"خرید"),"",Calc!$G12)</f>
        <v/>
      </c>
      <c r="B9">
        <f>IF($A9="","",LEFT(Calc!$E12,4)&amp;MID(Calc!$E12,6,2)&amp;RIGHT(Calc!$E12,2)&amp;Calc!$R12&amp;"|"&amp;"1"&amp;RIGHT("00000"&amp;4,5))</f>
        <v/>
      </c>
      <c r="C9">
        <f>IF($B9="","",COUNTIFS(LdgPartyA,$A9,LdgKeyA,"&lt;"&amp;$B9)+COUNTIFS(LdgPartyB,$A9,LdgKeyB,"&lt;"&amp;$B9)+1)</f>
        <v/>
      </c>
      <c r="D9">
        <f>IF($C9="","",$A9&amp;"|"&amp;RIGHT("000000"&amp;$C9,6))</f>
        <v/>
      </c>
      <c r="F9">
        <f>IF(Sync!$AJ9="","",Sync!$AJ9)</f>
        <v/>
      </c>
      <c r="G9">
        <f>IF($F9="","",IF(Sync!$AG9="","",IF(ISNUMBER(Sync!$AG9),IF(AND(Sync!$AG9&gt;=10000101,Sync!$AG9&lt;=99991231),INT(Sync!$AG9/10000),""),IFERROR(VALUE(TRIM(LEFT(Sync!$AG9,FIND("/",Sync!$AG9)-1))),""))))</f>
        <v/>
      </c>
      <c r="H9">
        <f>IF(OR($F9="",$G9=""),"",IF(ISNUMBER(Sync!$AG9),INT(MOD(Sync!$AG9,10000)/100),IFERROR(VALUE(TRIM(LEFT(MID(Sync!$AG9,FIND("/",Sync!$AG9)+1,20),FIND("/",MID(Sync!$AG9,FIND("/",Sync!$AG9)+1,20))-1))),"")))</f>
        <v/>
      </c>
      <c r="I9">
        <f>IF(OR($F9="",$G9=""),"",IF(ISNUMBER(Sync!$AG9),MOD(Sync!$AG9,100),IFERROR(VALUE(TRIM(MID(MID(Sync!$AG9,FIND("/",Sync!$AG9)+1,20),FIND("/",MID(Sync!$AG9,FIND("/",Sync!$AG9)+1,20))+1,20))),"")))</f>
        <v/>
      </c>
      <c r="J9">
        <f>IF($F9="","",IF(OR($G9="",$H9="",$I9="",$G9&lt;1300,$G9&gt;1500,$H9&lt;1,$H9&gt;12,$I9&lt;1,$I9&gt;31),"نامعتبر",RIGHT("0000"&amp;$G9,4)&amp;"/"&amp;RIGHT("00"&amp;$H9,2)&amp;"/"&amp;RIGHT("00"&amp;$I9,2)))</f>
        <v/>
      </c>
      <c r="K9">
        <f>IF(OR($F9="",$J9="",$J9="نامعتبر"),"",LEFT($J9,4)&amp;MID($J9,6,2)&amp;RIGHT($J9,2)&amp;$N9&amp;"|"&amp;"2"&amp;RIGHT("00000"&amp;4,5))</f>
        <v/>
      </c>
      <c r="L9">
        <f>IF($K9="","",COUNTIFS(LdgPartyA,$F9,LdgKeyA,"&lt;"&amp;$K9)+COUNTIFS(LdgPartyB,$F9,LdgKeyB,"&lt;"&amp;$K9)+1)</f>
        <v/>
      </c>
      <c r="M9">
        <f>IF($L9="","",$F9&amp;"|"&amp;RIGHT("000000"&amp;$L9,6))</f>
        <v/>
      </c>
      <c r="N9">
        <f>IF($F9="","",IF(Sync!$AH9="","0000",IF(AND(ISNUMBER(Sync!$AH9),Sync!$AH9&gt;=0,Sync!$AH9&lt;1),RIGHT("00"&amp;HOUR(Sync!$AH9),2)&amp;RIGHT("00"&amp;MINUTE(Sync!$AH9),2),IFERROR(RIGHT("00"&amp;VALUE(LEFT(Sync!$AH9,FIND(":",Sync!$AH9)-1)),2)&amp;RIGHT("00"&amp;VALUE(MID(Sync!$AH9,FIND(":",Sync!$AH9)+1,2)),2),"0000"))))</f>
        <v/>
      </c>
    </row>
    <row r="10">
      <c r="A10">
        <f>IF(OR(Calc!$E13="",Calc!$E13="نامعتبر",Calc!$G13="",Calc!$I13&lt;&gt;"خرید"),"",Calc!$G13)</f>
        <v/>
      </c>
      <c r="B10">
        <f>IF($A10="","",LEFT(Calc!$E13,4)&amp;MID(Calc!$E13,6,2)&amp;RIGHT(Calc!$E13,2)&amp;Calc!$R13&amp;"|"&amp;"1"&amp;RIGHT("00000"&amp;5,5))</f>
        <v/>
      </c>
      <c r="C10">
        <f>IF($B10="","",COUNTIFS(LdgPartyA,$A10,LdgKeyA,"&lt;"&amp;$B10)+COUNTIFS(LdgPartyB,$A10,LdgKeyB,"&lt;"&amp;$B10)+1)</f>
        <v/>
      </c>
      <c r="D10">
        <f>IF($C10="","",$A10&amp;"|"&amp;RIGHT("000000"&amp;$C10,6))</f>
        <v/>
      </c>
      <c r="F10">
        <f>IF(Sync!$AJ10="","",Sync!$AJ10)</f>
        <v/>
      </c>
      <c r="G10">
        <f>IF($F10="","",IF(Sync!$AG10="","",IF(ISNUMBER(Sync!$AG10),IF(AND(Sync!$AG10&gt;=10000101,Sync!$AG10&lt;=99991231),INT(Sync!$AG10/10000),""),IFERROR(VALUE(TRIM(LEFT(Sync!$AG10,FIND("/",Sync!$AG10)-1))),""))))</f>
        <v/>
      </c>
      <c r="H10">
        <f>IF(OR($F10="",$G10=""),"",IF(ISNUMBER(Sync!$AG10),INT(MOD(Sync!$AG10,10000)/100),IFERROR(VALUE(TRIM(LEFT(MID(Sync!$AG10,FIND("/",Sync!$AG10)+1,20),FIND("/",MID(Sync!$AG10,FIND("/",Sync!$AG10)+1,20))-1))),"")))</f>
        <v/>
      </c>
      <c r="I10">
        <f>IF(OR($F10="",$G10=""),"",IF(ISNUMBER(Sync!$AG10),MOD(Sync!$AG10,100),IFERROR(VALUE(TRIM(MID(MID(Sync!$AG10,FIND("/",Sync!$AG10)+1,20),FIND("/",MID(Sync!$AG10,FIND("/",Sync!$AG10)+1,20))+1,20))),"")))</f>
        <v/>
      </c>
      <c r="J10">
        <f>IF($F10="","",IF(OR($G10="",$H10="",$I10="",$G10&lt;1300,$G10&gt;1500,$H10&lt;1,$H10&gt;12,$I10&lt;1,$I10&gt;31),"نامعتبر",RIGHT("0000"&amp;$G10,4)&amp;"/"&amp;RIGHT("00"&amp;$H10,2)&amp;"/"&amp;RIGHT("00"&amp;$I10,2)))</f>
        <v/>
      </c>
      <c r="K10">
        <f>IF(OR($F10="",$J10="",$J10="نامعتبر"),"",LEFT($J10,4)&amp;MID($J10,6,2)&amp;RIGHT($J10,2)&amp;$N10&amp;"|"&amp;"2"&amp;RIGHT("00000"&amp;5,5))</f>
        <v/>
      </c>
      <c r="L10">
        <f>IF($K10="","",COUNTIFS(LdgPartyA,$F10,LdgKeyA,"&lt;"&amp;$K10)+COUNTIFS(LdgPartyB,$F10,LdgKeyB,"&lt;"&amp;$K10)+1)</f>
        <v/>
      </c>
      <c r="M10">
        <f>IF($L10="","",$F10&amp;"|"&amp;RIGHT("000000"&amp;$L10,6))</f>
        <v/>
      </c>
      <c r="N10">
        <f>IF($F10="","",IF(Sync!$AH10="","0000",IF(AND(ISNUMBER(Sync!$AH10),Sync!$AH10&gt;=0,Sync!$AH10&lt;1),RIGHT("00"&amp;HOUR(Sync!$AH10),2)&amp;RIGHT("00"&amp;MINUTE(Sync!$AH10),2),IFERROR(RIGHT("00"&amp;VALUE(LEFT(Sync!$AH10,FIND(":",Sync!$AH10)-1)),2)&amp;RIGHT("00"&amp;VALUE(MID(Sync!$AH10,FIND(":",Sync!$AH10)+1,2)),2),"0000"))))</f>
        <v/>
      </c>
    </row>
    <row r="11">
      <c r="A11">
        <f>IF(OR(Calc!$E14="",Calc!$E14="نامعتبر",Calc!$G14="",Calc!$I14&lt;&gt;"خرید"),"",Calc!$G14)</f>
        <v/>
      </c>
      <c r="B11">
        <f>IF($A11="","",LEFT(Calc!$E14,4)&amp;MID(Calc!$E14,6,2)&amp;RIGHT(Calc!$E14,2)&amp;Calc!$R14&amp;"|"&amp;"1"&amp;RIGHT("00000"&amp;6,5))</f>
        <v/>
      </c>
      <c r="C11">
        <f>IF($B11="","",COUNTIFS(LdgPartyA,$A11,LdgKeyA,"&lt;"&amp;$B11)+COUNTIFS(LdgPartyB,$A11,LdgKeyB,"&lt;"&amp;$B11)+1)</f>
        <v/>
      </c>
      <c r="D11">
        <f>IF($C11="","",$A11&amp;"|"&amp;RIGHT("000000"&amp;$C11,6))</f>
        <v/>
      </c>
      <c r="F11">
        <f>IF(Sync!$AJ11="","",Sync!$AJ11)</f>
        <v/>
      </c>
      <c r="G11">
        <f>IF($F11="","",IF(Sync!$AG11="","",IF(ISNUMBER(Sync!$AG11),IF(AND(Sync!$AG11&gt;=10000101,Sync!$AG11&lt;=99991231),INT(Sync!$AG11/10000),""),IFERROR(VALUE(TRIM(LEFT(Sync!$AG11,FIND("/",Sync!$AG11)-1))),""))))</f>
        <v/>
      </c>
      <c r="H11">
        <f>IF(OR($F11="",$G11=""),"",IF(ISNUMBER(Sync!$AG11),INT(MOD(Sync!$AG11,10000)/100),IFERROR(VALUE(TRIM(LEFT(MID(Sync!$AG11,FIND("/",Sync!$AG11)+1,20),FIND("/",MID(Sync!$AG11,FIND("/",Sync!$AG11)+1,20))-1))),"")))</f>
        <v/>
      </c>
      <c r="I11">
        <f>IF(OR($F11="",$G11=""),"",IF(ISNUMBER(Sync!$AG11),MOD(Sync!$AG11,100),IFERROR(VALUE(TRIM(MID(MID(Sync!$AG11,FIND("/",Sync!$AG11)+1,20),FIND("/",MID(Sync!$AG11,FIND("/",Sync!$AG11)+1,20))+1,20))),"")))</f>
        <v/>
      </c>
      <c r="J11">
        <f>IF($F11="","",IF(OR($G11="",$H11="",$I11="",$G11&lt;1300,$G11&gt;1500,$H11&lt;1,$H11&gt;12,$I11&lt;1,$I11&gt;31),"نامعتبر",RIGHT("0000"&amp;$G11,4)&amp;"/"&amp;RIGHT("00"&amp;$H11,2)&amp;"/"&amp;RIGHT("00"&amp;$I11,2)))</f>
        <v/>
      </c>
      <c r="K11">
        <f>IF(OR($F11="",$J11="",$J11="نامعتبر"),"",LEFT($J11,4)&amp;MID($J11,6,2)&amp;RIGHT($J11,2)&amp;$N11&amp;"|"&amp;"2"&amp;RIGHT("00000"&amp;6,5))</f>
        <v/>
      </c>
      <c r="L11">
        <f>IF($K11="","",COUNTIFS(LdgPartyA,$F11,LdgKeyA,"&lt;"&amp;$K11)+COUNTIFS(LdgPartyB,$F11,LdgKeyB,"&lt;"&amp;$K11)+1)</f>
        <v/>
      </c>
      <c r="M11">
        <f>IF($L11="","",$F11&amp;"|"&amp;RIGHT("000000"&amp;$L11,6))</f>
        <v/>
      </c>
      <c r="N11">
        <f>IF($F11="","",IF(Sync!$AH11="","0000",IF(AND(ISNUMBER(Sync!$AH11),Sync!$AH11&gt;=0,Sync!$AH11&lt;1),RIGHT("00"&amp;HOUR(Sync!$AH11),2)&amp;RIGHT("00"&amp;MINUTE(Sync!$AH11),2),IFERROR(RIGHT("00"&amp;VALUE(LEFT(Sync!$AH11,FIND(":",Sync!$AH11)-1)),2)&amp;RIGHT("00"&amp;VALUE(MID(Sync!$AH11,FIND(":",Sync!$AH11)+1,2)),2),"0000"))))</f>
        <v/>
      </c>
    </row>
    <row r="12">
      <c r="A12">
        <f>IF(OR(Calc!$E15="",Calc!$E15="نامعتبر",Calc!$G15="",Calc!$I15&lt;&gt;"خرید"),"",Calc!$G15)</f>
        <v/>
      </c>
      <c r="B12">
        <f>IF($A12="","",LEFT(Calc!$E15,4)&amp;MID(Calc!$E15,6,2)&amp;RIGHT(Calc!$E15,2)&amp;Calc!$R15&amp;"|"&amp;"1"&amp;RIGHT("00000"&amp;7,5))</f>
        <v/>
      </c>
      <c r="C12">
        <f>IF($B12="","",COUNTIFS(LdgPartyA,$A12,LdgKeyA,"&lt;"&amp;$B12)+COUNTIFS(LdgPartyB,$A12,LdgKeyB,"&lt;"&amp;$B12)+1)</f>
        <v/>
      </c>
      <c r="D12">
        <f>IF($C12="","",$A12&amp;"|"&amp;RIGHT("000000"&amp;$C12,6))</f>
        <v/>
      </c>
      <c r="F12">
        <f>IF(Sync!$AJ12="","",Sync!$AJ12)</f>
        <v/>
      </c>
      <c r="G12">
        <f>IF($F12="","",IF(Sync!$AG12="","",IF(ISNUMBER(Sync!$AG12),IF(AND(Sync!$AG12&gt;=10000101,Sync!$AG12&lt;=99991231),INT(Sync!$AG12/10000),""),IFERROR(VALUE(TRIM(LEFT(Sync!$AG12,FIND("/",Sync!$AG12)-1))),""))))</f>
        <v/>
      </c>
      <c r="H12">
        <f>IF(OR($F12="",$G12=""),"",IF(ISNUMBER(Sync!$AG12),INT(MOD(Sync!$AG12,10000)/100),IFERROR(VALUE(TRIM(LEFT(MID(Sync!$AG12,FIND("/",Sync!$AG12)+1,20),FIND("/",MID(Sync!$AG12,FIND("/",Sync!$AG12)+1,20))-1))),"")))</f>
        <v/>
      </c>
      <c r="I12">
        <f>IF(OR($F12="",$G12=""),"",IF(ISNUMBER(Sync!$AG12),MOD(Sync!$AG12,100),IFERROR(VALUE(TRIM(MID(MID(Sync!$AG12,FIND("/",Sync!$AG12)+1,20),FIND("/",MID(Sync!$AG12,FIND("/",Sync!$AG12)+1,20))+1,20))),"")))</f>
        <v/>
      </c>
      <c r="J12">
        <f>IF($F12="","",IF(OR($G12="",$H12="",$I12="",$G12&lt;1300,$G12&gt;1500,$H12&lt;1,$H12&gt;12,$I12&lt;1,$I12&gt;31),"نامعتبر",RIGHT("0000"&amp;$G12,4)&amp;"/"&amp;RIGHT("00"&amp;$H12,2)&amp;"/"&amp;RIGHT("00"&amp;$I12,2)))</f>
        <v/>
      </c>
      <c r="K12">
        <f>IF(OR($F12="",$J12="",$J12="نامعتبر"),"",LEFT($J12,4)&amp;MID($J12,6,2)&amp;RIGHT($J12,2)&amp;$N12&amp;"|"&amp;"2"&amp;RIGHT("00000"&amp;7,5))</f>
        <v/>
      </c>
      <c r="L12">
        <f>IF($K12="","",COUNTIFS(LdgPartyA,$F12,LdgKeyA,"&lt;"&amp;$K12)+COUNTIFS(LdgPartyB,$F12,LdgKeyB,"&lt;"&amp;$K12)+1)</f>
        <v/>
      </c>
      <c r="M12">
        <f>IF($L12="","",$F12&amp;"|"&amp;RIGHT("000000"&amp;$L12,6))</f>
        <v/>
      </c>
      <c r="N12">
        <f>IF($F12="","",IF(Sync!$AH12="","0000",IF(AND(ISNUMBER(Sync!$AH12),Sync!$AH12&gt;=0,Sync!$AH12&lt;1),RIGHT("00"&amp;HOUR(Sync!$AH12),2)&amp;RIGHT("00"&amp;MINUTE(Sync!$AH12),2),IFERROR(RIGHT("00"&amp;VALUE(LEFT(Sync!$AH12,FIND(":",Sync!$AH12)-1)),2)&amp;RIGHT("00"&amp;VALUE(MID(Sync!$AH12,FIND(":",Sync!$AH12)+1,2)),2),"0000"))))</f>
        <v/>
      </c>
    </row>
    <row r="13">
      <c r="A13">
        <f>IF(OR(Calc!$E16="",Calc!$E16="نامعتبر",Calc!$G16="",Calc!$I16&lt;&gt;"خرید"),"",Calc!$G16)</f>
        <v/>
      </c>
      <c r="B13">
        <f>IF($A13="","",LEFT(Calc!$E16,4)&amp;MID(Calc!$E16,6,2)&amp;RIGHT(Calc!$E16,2)&amp;Calc!$R16&amp;"|"&amp;"1"&amp;RIGHT("00000"&amp;8,5))</f>
        <v/>
      </c>
      <c r="C13">
        <f>IF($B13="","",COUNTIFS(LdgPartyA,$A13,LdgKeyA,"&lt;"&amp;$B13)+COUNTIFS(LdgPartyB,$A13,LdgKeyB,"&lt;"&amp;$B13)+1)</f>
        <v/>
      </c>
      <c r="D13">
        <f>IF($C13="","",$A13&amp;"|"&amp;RIGHT("000000"&amp;$C13,6))</f>
        <v/>
      </c>
      <c r="F13">
        <f>IF(Sync!$AJ13="","",Sync!$AJ13)</f>
        <v/>
      </c>
      <c r="G13">
        <f>IF($F13="","",IF(Sync!$AG13="","",IF(ISNUMBER(Sync!$AG13),IF(AND(Sync!$AG13&gt;=10000101,Sync!$AG13&lt;=99991231),INT(Sync!$AG13/10000),""),IFERROR(VALUE(TRIM(LEFT(Sync!$AG13,FIND("/",Sync!$AG13)-1))),""))))</f>
        <v/>
      </c>
      <c r="H13">
        <f>IF(OR($F13="",$G13=""),"",IF(ISNUMBER(Sync!$AG13),INT(MOD(Sync!$AG13,10000)/100),IFERROR(VALUE(TRIM(LEFT(MID(Sync!$AG13,FIND("/",Sync!$AG13)+1,20),FIND("/",MID(Sync!$AG13,FIND("/",Sync!$AG13)+1,20))-1))),"")))</f>
        <v/>
      </c>
      <c r="I13">
        <f>IF(OR($F13="",$G13=""),"",IF(ISNUMBER(Sync!$AG13),MOD(Sync!$AG13,100),IFERROR(VALUE(TRIM(MID(MID(Sync!$AG13,FIND("/",Sync!$AG13)+1,20),FIND("/",MID(Sync!$AG13,FIND("/",Sync!$AG13)+1,20))+1,20))),"")))</f>
        <v/>
      </c>
      <c r="J13">
        <f>IF($F13="","",IF(OR($G13="",$H13="",$I13="",$G13&lt;1300,$G13&gt;1500,$H13&lt;1,$H13&gt;12,$I13&lt;1,$I13&gt;31),"نامعتبر",RIGHT("0000"&amp;$G13,4)&amp;"/"&amp;RIGHT("00"&amp;$H13,2)&amp;"/"&amp;RIGHT("00"&amp;$I13,2)))</f>
        <v/>
      </c>
      <c r="K13">
        <f>IF(OR($F13="",$J13="",$J13="نامعتبر"),"",LEFT($J13,4)&amp;MID($J13,6,2)&amp;RIGHT($J13,2)&amp;$N13&amp;"|"&amp;"2"&amp;RIGHT("00000"&amp;8,5))</f>
        <v/>
      </c>
      <c r="L13">
        <f>IF($K13="","",COUNTIFS(LdgPartyA,$F13,LdgKeyA,"&lt;"&amp;$K13)+COUNTIFS(LdgPartyB,$F13,LdgKeyB,"&lt;"&amp;$K13)+1)</f>
        <v/>
      </c>
      <c r="M13">
        <f>IF($L13="","",$F13&amp;"|"&amp;RIGHT("000000"&amp;$L13,6))</f>
        <v/>
      </c>
      <c r="N13">
        <f>IF($F13="","",IF(Sync!$AH13="","0000",IF(AND(ISNUMBER(Sync!$AH13),Sync!$AH13&gt;=0,Sync!$AH13&lt;1),RIGHT("00"&amp;HOUR(Sync!$AH13),2)&amp;RIGHT("00"&amp;MINUTE(Sync!$AH13),2),IFERROR(RIGHT("00"&amp;VALUE(LEFT(Sync!$AH13,FIND(":",Sync!$AH13)-1)),2)&amp;RIGHT("00"&amp;VALUE(MID(Sync!$AH13,FIND(":",Sync!$AH13)+1,2)),2),"0000"))))</f>
        <v/>
      </c>
    </row>
    <row r="14">
      <c r="A14">
        <f>IF(OR(Calc!$E17="",Calc!$E17="نامعتبر",Calc!$G17="",Calc!$I17&lt;&gt;"خرید"),"",Calc!$G17)</f>
        <v/>
      </c>
      <c r="B14">
        <f>IF($A14="","",LEFT(Calc!$E17,4)&amp;MID(Calc!$E17,6,2)&amp;RIGHT(Calc!$E17,2)&amp;Calc!$R17&amp;"|"&amp;"1"&amp;RIGHT("00000"&amp;9,5))</f>
        <v/>
      </c>
      <c r="C14">
        <f>IF($B14="","",COUNTIFS(LdgPartyA,$A14,LdgKeyA,"&lt;"&amp;$B14)+COUNTIFS(LdgPartyB,$A14,LdgKeyB,"&lt;"&amp;$B14)+1)</f>
        <v/>
      </c>
      <c r="D14">
        <f>IF($C14="","",$A14&amp;"|"&amp;RIGHT("000000"&amp;$C14,6))</f>
        <v/>
      </c>
      <c r="F14">
        <f>IF(Sync!$AJ14="","",Sync!$AJ14)</f>
        <v/>
      </c>
      <c r="G14">
        <f>IF($F14="","",IF(Sync!$AG14="","",IF(ISNUMBER(Sync!$AG14),IF(AND(Sync!$AG14&gt;=10000101,Sync!$AG14&lt;=99991231),INT(Sync!$AG14/10000),""),IFERROR(VALUE(TRIM(LEFT(Sync!$AG14,FIND("/",Sync!$AG14)-1))),""))))</f>
        <v/>
      </c>
      <c r="H14">
        <f>IF(OR($F14="",$G14=""),"",IF(ISNUMBER(Sync!$AG14),INT(MOD(Sync!$AG14,10000)/100),IFERROR(VALUE(TRIM(LEFT(MID(Sync!$AG14,FIND("/",Sync!$AG14)+1,20),FIND("/",MID(Sync!$AG14,FIND("/",Sync!$AG14)+1,20))-1))),"")))</f>
        <v/>
      </c>
      <c r="I14">
        <f>IF(OR($F14="",$G14=""),"",IF(ISNUMBER(Sync!$AG14),MOD(Sync!$AG14,100),IFERROR(VALUE(TRIM(MID(MID(Sync!$AG14,FIND("/",Sync!$AG14)+1,20),FIND("/",MID(Sync!$AG14,FIND("/",Sync!$AG14)+1,20))+1,20))),"")))</f>
        <v/>
      </c>
      <c r="J14">
        <f>IF($F14="","",IF(OR($G14="",$H14="",$I14="",$G14&lt;1300,$G14&gt;1500,$H14&lt;1,$H14&gt;12,$I14&lt;1,$I14&gt;31),"نامعتبر",RIGHT("0000"&amp;$G14,4)&amp;"/"&amp;RIGHT("00"&amp;$H14,2)&amp;"/"&amp;RIGHT("00"&amp;$I14,2)))</f>
        <v/>
      </c>
      <c r="K14">
        <f>IF(OR($F14="",$J14="",$J14="نامعتبر"),"",LEFT($J14,4)&amp;MID($J14,6,2)&amp;RIGHT($J14,2)&amp;$N14&amp;"|"&amp;"2"&amp;RIGHT("00000"&amp;9,5))</f>
        <v/>
      </c>
      <c r="L14">
        <f>IF($K14="","",COUNTIFS(LdgPartyA,$F14,LdgKeyA,"&lt;"&amp;$K14)+COUNTIFS(LdgPartyB,$F14,LdgKeyB,"&lt;"&amp;$K14)+1)</f>
        <v/>
      </c>
      <c r="M14">
        <f>IF($L14="","",$F14&amp;"|"&amp;RIGHT("000000"&amp;$L14,6))</f>
        <v/>
      </c>
      <c r="N14">
        <f>IF($F14="","",IF(Sync!$AH14="","0000",IF(AND(ISNUMBER(Sync!$AH14),Sync!$AH14&gt;=0,Sync!$AH14&lt;1),RIGHT("00"&amp;HOUR(Sync!$AH14),2)&amp;RIGHT("00"&amp;MINUTE(Sync!$AH14),2),IFERROR(RIGHT("00"&amp;VALUE(LEFT(Sync!$AH14,FIND(":",Sync!$AH14)-1)),2)&amp;RIGHT("00"&amp;VALUE(MID(Sync!$AH14,FIND(":",Sync!$AH14)+1,2)),2),"0000"))))</f>
        <v/>
      </c>
    </row>
    <row r="15">
      <c r="A15">
        <f>IF(OR(Calc!$E18="",Calc!$E18="نامعتبر",Calc!$G18="",Calc!$I18&lt;&gt;"خرید"),"",Calc!$G18)</f>
        <v/>
      </c>
      <c r="B15">
        <f>IF($A15="","",LEFT(Calc!$E18,4)&amp;MID(Calc!$E18,6,2)&amp;RIGHT(Calc!$E18,2)&amp;Calc!$R18&amp;"|"&amp;"1"&amp;RIGHT("00000"&amp;10,5))</f>
        <v/>
      </c>
      <c r="C15">
        <f>IF($B15="","",COUNTIFS(LdgPartyA,$A15,LdgKeyA,"&lt;"&amp;$B15)+COUNTIFS(LdgPartyB,$A15,LdgKeyB,"&lt;"&amp;$B15)+1)</f>
        <v/>
      </c>
      <c r="D15">
        <f>IF($C15="","",$A15&amp;"|"&amp;RIGHT("000000"&amp;$C15,6))</f>
        <v/>
      </c>
      <c r="F15">
        <f>IF(Sync!$AJ15="","",Sync!$AJ15)</f>
        <v/>
      </c>
      <c r="G15">
        <f>IF($F15="","",IF(Sync!$AG15="","",IF(ISNUMBER(Sync!$AG15),IF(AND(Sync!$AG15&gt;=10000101,Sync!$AG15&lt;=99991231),INT(Sync!$AG15/10000),""),IFERROR(VALUE(TRIM(LEFT(Sync!$AG15,FIND("/",Sync!$AG15)-1))),""))))</f>
        <v/>
      </c>
      <c r="H15">
        <f>IF(OR($F15="",$G15=""),"",IF(ISNUMBER(Sync!$AG15),INT(MOD(Sync!$AG15,10000)/100),IFERROR(VALUE(TRIM(LEFT(MID(Sync!$AG15,FIND("/",Sync!$AG15)+1,20),FIND("/",MID(Sync!$AG15,FIND("/",Sync!$AG15)+1,20))-1))),"")))</f>
        <v/>
      </c>
      <c r="I15">
        <f>IF(OR($F15="",$G15=""),"",IF(ISNUMBER(Sync!$AG15),MOD(Sync!$AG15,100),IFERROR(VALUE(TRIM(MID(MID(Sync!$AG15,FIND("/",Sync!$AG15)+1,20),FIND("/",MID(Sync!$AG15,FIND("/",Sync!$AG15)+1,20))+1,20))),"")))</f>
        <v/>
      </c>
      <c r="J15">
        <f>IF($F15="","",IF(OR($G15="",$H15="",$I15="",$G15&lt;1300,$G15&gt;1500,$H15&lt;1,$H15&gt;12,$I15&lt;1,$I15&gt;31),"نامعتبر",RIGHT("0000"&amp;$G15,4)&amp;"/"&amp;RIGHT("00"&amp;$H15,2)&amp;"/"&amp;RIGHT("00"&amp;$I15,2)))</f>
        <v/>
      </c>
      <c r="K15">
        <f>IF(OR($F15="",$J15="",$J15="نامعتبر"),"",LEFT($J15,4)&amp;MID($J15,6,2)&amp;RIGHT($J15,2)&amp;$N15&amp;"|"&amp;"2"&amp;RIGHT("00000"&amp;10,5))</f>
        <v/>
      </c>
      <c r="L15">
        <f>IF($K15="","",COUNTIFS(LdgPartyA,$F15,LdgKeyA,"&lt;"&amp;$K15)+COUNTIFS(LdgPartyB,$F15,LdgKeyB,"&lt;"&amp;$K15)+1)</f>
        <v/>
      </c>
      <c r="M15">
        <f>IF($L15="","",$F15&amp;"|"&amp;RIGHT("000000"&amp;$L15,6))</f>
        <v/>
      </c>
      <c r="N15">
        <f>IF($F15="","",IF(Sync!$AH15="","0000",IF(AND(ISNUMBER(Sync!$AH15),Sync!$AH15&gt;=0,Sync!$AH15&lt;1),RIGHT("00"&amp;HOUR(Sync!$AH15),2)&amp;RIGHT("00"&amp;MINUTE(Sync!$AH15),2),IFERROR(RIGHT("00"&amp;VALUE(LEFT(Sync!$AH15,FIND(":",Sync!$AH15)-1)),2)&amp;RIGHT("00"&amp;VALUE(MID(Sync!$AH15,FIND(":",Sync!$AH15)+1,2)),2),"0000"))))</f>
        <v/>
      </c>
    </row>
    <row r="16">
      <c r="A16">
        <f>IF(OR(Calc!$E19="",Calc!$E19="نامعتبر",Calc!$G19="",Calc!$I19&lt;&gt;"خرید"),"",Calc!$G19)</f>
        <v/>
      </c>
      <c r="B16">
        <f>IF($A16="","",LEFT(Calc!$E19,4)&amp;MID(Calc!$E19,6,2)&amp;RIGHT(Calc!$E19,2)&amp;Calc!$R19&amp;"|"&amp;"1"&amp;RIGHT("00000"&amp;11,5))</f>
        <v/>
      </c>
      <c r="C16">
        <f>IF($B16="","",COUNTIFS(LdgPartyA,$A16,LdgKeyA,"&lt;"&amp;$B16)+COUNTIFS(LdgPartyB,$A16,LdgKeyB,"&lt;"&amp;$B16)+1)</f>
        <v/>
      </c>
      <c r="D16">
        <f>IF($C16="","",$A16&amp;"|"&amp;RIGHT("000000"&amp;$C16,6))</f>
        <v/>
      </c>
      <c r="F16">
        <f>IF(Sync!$AJ16="","",Sync!$AJ16)</f>
        <v/>
      </c>
      <c r="G16">
        <f>IF($F16="","",IF(Sync!$AG16="","",IF(ISNUMBER(Sync!$AG16),IF(AND(Sync!$AG16&gt;=10000101,Sync!$AG16&lt;=99991231),INT(Sync!$AG16/10000),""),IFERROR(VALUE(TRIM(LEFT(Sync!$AG16,FIND("/",Sync!$AG16)-1))),""))))</f>
        <v/>
      </c>
      <c r="H16">
        <f>IF(OR($F16="",$G16=""),"",IF(ISNUMBER(Sync!$AG16),INT(MOD(Sync!$AG16,10000)/100),IFERROR(VALUE(TRIM(LEFT(MID(Sync!$AG16,FIND("/",Sync!$AG16)+1,20),FIND("/",MID(Sync!$AG16,FIND("/",Sync!$AG16)+1,20))-1))),"")))</f>
        <v/>
      </c>
      <c r="I16">
        <f>IF(OR($F16="",$G16=""),"",IF(ISNUMBER(Sync!$AG16),MOD(Sync!$AG16,100),IFERROR(VALUE(TRIM(MID(MID(Sync!$AG16,FIND("/",Sync!$AG16)+1,20),FIND("/",MID(Sync!$AG16,FIND("/",Sync!$AG16)+1,20))+1,20))),"")))</f>
        <v/>
      </c>
      <c r="J16">
        <f>IF($F16="","",IF(OR($G16="",$H16="",$I16="",$G16&lt;1300,$G16&gt;1500,$H16&lt;1,$H16&gt;12,$I16&lt;1,$I16&gt;31),"نامعتبر",RIGHT("0000"&amp;$G16,4)&amp;"/"&amp;RIGHT("00"&amp;$H16,2)&amp;"/"&amp;RIGHT("00"&amp;$I16,2)))</f>
        <v/>
      </c>
      <c r="K16">
        <f>IF(OR($F16="",$J16="",$J16="نامعتبر"),"",LEFT($J16,4)&amp;MID($J16,6,2)&amp;RIGHT($J16,2)&amp;$N16&amp;"|"&amp;"2"&amp;RIGHT("00000"&amp;11,5))</f>
        <v/>
      </c>
      <c r="L16">
        <f>IF($K16="","",COUNTIFS(LdgPartyA,$F16,LdgKeyA,"&lt;"&amp;$K16)+COUNTIFS(LdgPartyB,$F16,LdgKeyB,"&lt;"&amp;$K16)+1)</f>
        <v/>
      </c>
      <c r="M16">
        <f>IF($L16="","",$F16&amp;"|"&amp;RIGHT("000000"&amp;$L16,6))</f>
        <v/>
      </c>
      <c r="N16">
        <f>IF($F16="","",IF(Sync!$AH16="","0000",IF(AND(ISNUMBER(Sync!$AH16),Sync!$AH16&gt;=0,Sync!$AH16&lt;1),RIGHT("00"&amp;HOUR(Sync!$AH16),2)&amp;RIGHT("00"&amp;MINUTE(Sync!$AH16),2),IFERROR(RIGHT("00"&amp;VALUE(LEFT(Sync!$AH16,FIND(":",Sync!$AH16)-1)),2)&amp;RIGHT("00"&amp;VALUE(MID(Sync!$AH16,FIND(":",Sync!$AH16)+1,2)),2),"0000"))))</f>
        <v/>
      </c>
    </row>
    <row r="17">
      <c r="A17">
        <f>IF(OR(Calc!$E20="",Calc!$E20="نامعتبر",Calc!$G20="",Calc!$I20&lt;&gt;"خرید"),"",Calc!$G20)</f>
        <v/>
      </c>
      <c r="B17">
        <f>IF($A17="","",LEFT(Calc!$E20,4)&amp;MID(Calc!$E20,6,2)&amp;RIGHT(Calc!$E20,2)&amp;Calc!$R20&amp;"|"&amp;"1"&amp;RIGHT("00000"&amp;12,5))</f>
        <v/>
      </c>
      <c r="C17">
        <f>IF($B17="","",COUNTIFS(LdgPartyA,$A17,LdgKeyA,"&lt;"&amp;$B17)+COUNTIFS(LdgPartyB,$A17,LdgKeyB,"&lt;"&amp;$B17)+1)</f>
        <v/>
      </c>
      <c r="D17">
        <f>IF($C17="","",$A17&amp;"|"&amp;RIGHT("000000"&amp;$C17,6))</f>
        <v/>
      </c>
      <c r="F17">
        <f>IF(Sync!$AJ17="","",Sync!$AJ17)</f>
        <v/>
      </c>
      <c r="G17">
        <f>IF($F17="","",IF(Sync!$AG17="","",IF(ISNUMBER(Sync!$AG17),IF(AND(Sync!$AG17&gt;=10000101,Sync!$AG17&lt;=99991231),INT(Sync!$AG17/10000),""),IFERROR(VALUE(TRIM(LEFT(Sync!$AG17,FIND("/",Sync!$AG17)-1))),""))))</f>
        <v/>
      </c>
      <c r="H17">
        <f>IF(OR($F17="",$G17=""),"",IF(ISNUMBER(Sync!$AG17),INT(MOD(Sync!$AG17,10000)/100),IFERROR(VALUE(TRIM(LEFT(MID(Sync!$AG17,FIND("/",Sync!$AG17)+1,20),FIND("/",MID(Sync!$AG17,FIND("/",Sync!$AG17)+1,20))-1))),"")))</f>
        <v/>
      </c>
      <c r="I17">
        <f>IF(OR($F17="",$G17=""),"",IF(ISNUMBER(Sync!$AG17),MOD(Sync!$AG17,100),IFERROR(VALUE(TRIM(MID(MID(Sync!$AG17,FIND("/",Sync!$AG17)+1,20),FIND("/",MID(Sync!$AG17,FIND("/",Sync!$AG17)+1,20))+1,20))),"")))</f>
        <v/>
      </c>
      <c r="J17">
        <f>IF($F17="","",IF(OR($G17="",$H17="",$I17="",$G17&lt;1300,$G17&gt;1500,$H17&lt;1,$H17&gt;12,$I17&lt;1,$I17&gt;31),"نامعتبر",RIGHT("0000"&amp;$G17,4)&amp;"/"&amp;RIGHT("00"&amp;$H17,2)&amp;"/"&amp;RIGHT("00"&amp;$I17,2)))</f>
        <v/>
      </c>
      <c r="K17">
        <f>IF(OR($F17="",$J17="",$J17="نامعتبر"),"",LEFT($J17,4)&amp;MID($J17,6,2)&amp;RIGHT($J17,2)&amp;$N17&amp;"|"&amp;"2"&amp;RIGHT("00000"&amp;12,5))</f>
        <v/>
      </c>
      <c r="L17">
        <f>IF($K17="","",COUNTIFS(LdgPartyA,$F17,LdgKeyA,"&lt;"&amp;$K17)+COUNTIFS(LdgPartyB,$F17,LdgKeyB,"&lt;"&amp;$K17)+1)</f>
        <v/>
      </c>
      <c r="M17">
        <f>IF($L17="","",$F17&amp;"|"&amp;RIGHT("000000"&amp;$L17,6))</f>
        <v/>
      </c>
      <c r="N17">
        <f>IF($F17="","",IF(Sync!$AH17="","0000",IF(AND(ISNUMBER(Sync!$AH17),Sync!$AH17&gt;=0,Sync!$AH17&lt;1),RIGHT("00"&amp;HOUR(Sync!$AH17),2)&amp;RIGHT("00"&amp;MINUTE(Sync!$AH17),2),IFERROR(RIGHT("00"&amp;VALUE(LEFT(Sync!$AH17,FIND(":",Sync!$AH17)-1)),2)&amp;RIGHT("00"&amp;VALUE(MID(Sync!$AH17,FIND(":",Sync!$AH17)+1,2)),2),"0000"))))</f>
        <v/>
      </c>
    </row>
    <row r="18">
      <c r="A18">
        <f>IF(OR(Calc!$E21="",Calc!$E21="نامعتبر",Calc!$G21="",Calc!$I21&lt;&gt;"خرید"),"",Calc!$G21)</f>
        <v/>
      </c>
      <c r="B18">
        <f>IF($A18="","",LEFT(Calc!$E21,4)&amp;MID(Calc!$E21,6,2)&amp;RIGHT(Calc!$E21,2)&amp;Calc!$R21&amp;"|"&amp;"1"&amp;RIGHT("00000"&amp;13,5))</f>
        <v/>
      </c>
      <c r="C18">
        <f>IF($B18="","",COUNTIFS(LdgPartyA,$A18,LdgKeyA,"&lt;"&amp;$B18)+COUNTIFS(LdgPartyB,$A18,LdgKeyB,"&lt;"&amp;$B18)+1)</f>
        <v/>
      </c>
      <c r="D18">
        <f>IF($C18="","",$A18&amp;"|"&amp;RIGHT("000000"&amp;$C18,6))</f>
        <v/>
      </c>
      <c r="F18">
        <f>IF(Sync!$AJ18="","",Sync!$AJ18)</f>
        <v/>
      </c>
      <c r="G18">
        <f>IF($F18="","",IF(Sync!$AG18="","",IF(ISNUMBER(Sync!$AG18),IF(AND(Sync!$AG18&gt;=10000101,Sync!$AG18&lt;=99991231),INT(Sync!$AG18/10000),""),IFERROR(VALUE(TRIM(LEFT(Sync!$AG18,FIND("/",Sync!$AG18)-1))),""))))</f>
        <v/>
      </c>
      <c r="H18">
        <f>IF(OR($F18="",$G18=""),"",IF(ISNUMBER(Sync!$AG18),INT(MOD(Sync!$AG18,10000)/100),IFERROR(VALUE(TRIM(LEFT(MID(Sync!$AG18,FIND("/",Sync!$AG18)+1,20),FIND("/",MID(Sync!$AG18,FIND("/",Sync!$AG18)+1,20))-1))),"")))</f>
        <v/>
      </c>
      <c r="I18">
        <f>IF(OR($F18="",$G18=""),"",IF(ISNUMBER(Sync!$AG18),MOD(Sync!$AG18,100),IFERROR(VALUE(TRIM(MID(MID(Sync!$AG18,FIND("/",Sync!$AG18)+1,20),FIND("/",MID(Sync!$AG18,FIND("/",Sync!$AG18)+1,20))+1,20))),"")))</f>
        <v/>
      </c>
      <c r="J18">
        <f>IF($F18="","",IF(OR($G18="",$H18="",$I18="",$G18&lt;1300,$G18&gt;1500,$H18&lt;1,$H18&gt;12,$I18&lt;1,$I18&gt;31),"نامعتبر",RIGHT("0000"&amp;$G18,4)&amp;"/"&amp;RIGHT("00"&amp;$H18,2)&amp;"/"&amp;RIGHT("00"&amp;$I18,2)))</f>
        <v/>
      </c>
      <c r="K18">
        <f>IF(OR($F18="",$J18="",$J18="نامعتبر"),"",LEFT($J18,4)&amp;MID($J18,6,2)&amp;RIGHT($J18,2)&amp;$N18&amp;"|"&amp;"2"&amp;RIGHT("00000"&amp;13,5))</f>
        <v/>
      </c>
      <c r="L18">
        <f>IF($K18="","",COUNTIFS(LdgPartyA,$F18,LdgKeyA,"&lt;"&amp;$K18)+COUNTIFS(LdgPartyB,$F18,LdgKeyB,"&lt;"&amp;$K18)+1)</f>
        <v/>
      </c>
      <c r="M18">
        <f>IF($L18="","",$F18&amp;"|"&amp;RIGHT("000000"&amp;$L18,6))</f>
        <v/>
      </c>
      <c r="N18">
        <f>IF($F18="","",IF(Sync!$AH18="","0000",IF(AND(ISNUMBER(Sync!$AH18),Sync!$AH18&gt;=0,Sync!$AH18&lt;1),RIGHT("00"&amp;HOUR(Sync!$AH18),2)&amp;RIGHT("00"&amp;MINUTE(Sync!$AH18),2),IFERROR(RIGHT("00"&amp;VALUE(LEFT(Sync!$AH18,FIND(":",Sync!$AH18)-1)),2)&amp;RIGHT("00"&amp;VALUE(MID(Sync!$AH18,FIND(":",Sync!$AH18)+1,2)),2),"0000"))))</f>
        <v/>
      </c>
    </row>
    <row r="19">
      <c r="A19">
        <f>IF(OR(Calc!$E22="",Calc!$E22="نامعتبر",Calc!$G22="",Calc!$I22&lt;&gt;"خرید"),"",Calc!$G22)</f>
        <v/>
      </c>
      <c r="B19">
        <f>IF($A19="","",LEFT(Calc!$E22,4)&amp;MID(Calc!$E22,6,2)&amp;RIGHT(Calc!$E22,2)&amp;Calc!$R22&amp;"|"&amp;"1"&amp;RIGHT("00000"&amp;14,5))</f>
        <v/>
      </c>
      <c r="C19">
        <f>IF($B19="","",COUNTIFS(LdgPartyA,$A19,LdgKeyA,"&lt;"&amp;$B19)+COUNTIFS(LdgPartyB,$A19,LdgKeyB,"&lt;"&amp;$B19)+1)</f>
        <v/>
      </c>
      <c r="D19">
        <f>IF($C19="","",$A19&amp;"|"&amp;RIGHT("000000"&amp;$C19,6))</f>
        <v/>
      </c>
      <c r="F19">
        <f>IF(Sync!$AJ19="","",Sync!$AJ19)</f>
        <v/>
      </c>
      <c r="G19">
        <f>IF($F19="","",IF(Sync!$AG19="","",IF(ISNUMBER(Sync!$AG19),IF(AND(Sync!$AG19&gt;=10000101,Sync!$AG19&lt;=99991231),INT(Sync!$AG19/10000),""),IFERROR(VALUE(TRIM(LEFT(Sync!$AG19,FIND("/",Sync!$AG19)-1))),""))))</f>
        <v/>
      </c>
      <c r="H19">
        <f>IF(OR($F19="",$G19=""),"",IF(ISNUMBER(Sync!$AG19),INT(MOD(Sync!$AG19,10000)/100),IFERROR(VALUE(TRIM(LEFT(MID(Sync!$AG19,FIND("/",Sync!$AG19)+1,20),FIND("/",MID(Sync!$AG19,FIND("/",Sync!$AG19)+1,20))-1))),"")))</f>
        <v/>
      </c>
      <c r="I19">
        <f>IF(OR($F19="",$G19=""),"",IF(ISNUMBER(Sync!$AG19),MOD(Sync!$AG19,100),IFERROR(VALUE(TRIM(MID(MID(Sync!$AG19,FIND("/",Sync!$AG19)+1,20),FIND("/",MID(Sync!$AG19,FIND("/",Sync!$AG19)+1,20))+1,20))),"")))</f>
        <v/>
      </c>
      <c r="J19">
        <f>IF($F19="","",IF(OR($G19="",$H19="",$I19="",$G19&lt;1300,$G19&gt;1500,$H19&lt;1,$H19&gt;12,$I19&lt;1,$I19&gt;31),"نامعتبر",RIGHT("0000"&amp;$G19,4)&amp;"/"&amp;RIGHT("00"&amp;$H19,2)&amp;"/"&amp;RIGHT("00"&amp;$I19,2)))</f>
        <v/>
      </c>
      <c r="K19">
        <f>IF(OR($F19="",$J19="",$J19="نامعتبر"),"",LEFT($J19,4)&amp;MID($J19,6,2)&amp;RIGHT($J19,2)&amp;$N19&amp;"|"&amp;"2"&amp;RIGHT("00000"&amp;14,5))</f>
        <v/>
      </c>
      <c r="L19">
        <f>IF($K19="","",COUNTIFS(LdgPartyA,$F19,LdgKeyA,"&lt;"&amp;$K19)+COUNTIFS(LdgPartyB,$F19,LdgKeyB,"&lt;"&amp;$K19)+1)</f>
        <v/>
      </c>
      <c r="M19">
        <f>IF($L19="","",$F19&amp;"|"&amp;RIGHT("000000"&amp;$L19,6))</f>
        <v/>
      </c>
      <c r="N19">
        <f>IF($F19="","",IF(Sync!$AH19="","0000",IF(AND(ISNUMBER(Sync!$AH19),Sync!$AH19&gt;=0,Sync!$AH19&lt;1),RIGHT("00"&amp;HOUR(Sync!$AH19),2)&amp;RIGHT("00"&amp;MINUTE(Sync!$AH19),2),IFERROR(RIGHT("00"&amp;VALUE(LEFT(Sync!$AH19,FIND(":",Sync!$AH19)-1)),2)&amp;RIGHT("00"&amp;VALUE(MID(Sync!$AH19,FIND(":",Sync!$AH19)+1,2)),2),"0000"))))</f>
        <v/>
      </c>
    </row>
    <row r="20">
      <c r="A20">
        <f>IF(OR(Calc!$E23="",Calc!$E23="نامعتبر",Calc!$G23="",Calc!$I23&lt;&gt;"خرید"),"",Calc!$G23)</f>
        <v/>
      </c>
      <c r="B20">
        <f>IF($A20="","",LEFT(Calc!$E23,4)&amp;MID(Calc!$E23,6,2)&amp;RIGHT(Calc!$E23,2)&amp;Calc!$R23&amp;"|"&amp;"1"&amp;RIGHT("00000"&amp;15,5))</f>
        <v/>
      </c>
      <c r="C20">
        <f>IF($B20="","",COUNTIFS(LdgPartyA,$A20,LdgKeyA,"&lt;"&amp;$B20)+COUNTIFS(LdgPartyB,$A20,LdgKeyB,"&lt;"&amp;$B20)+1)</f>
        <v/>
      </c>
      <c r="D20">
        <f>IF($C20="","",$A20&amp;"|"&amp;RIGHT("000000"&amp;$C20,6))</f>
        <v/>
      </c>
      <c r="F20">
        <f>IF(Sync!$AJ20="","",Sync!$AJ20)</f>
        <v/>
      </c>
      <c r="G20">
        <f>IF($F20="","",IF(Sync!$AG20="","",IF(ISNUMBER(Sync!$AG20),IF(AND(Sync!$AG20&gt;=10000101,Sync!$AG20&lt;=99991231),INT(Sync!$AG20/10000),""),IFERROR(VALUE(TRIM(LEFT(Sync!$AG20,FIND("/",Sync!$AG20)-1))),""))))</f>
        <v/>
      </c>
      <c r="H20">
        <f>IF(OR($F20="",$G20=""),"",IF(ISNUMBER(Sync!$AG20),INT(MOD(Sync!$AG20,10000)/100),IFERROR(VALUE(TRIM(LEFT(MID(Sync!$AG20,FIND("/",Sync!$AG20)+1,20),FIND("/",MID(Sync!$AG20,FIND("/",Sync!$AG20)+1,20))-1))),"")))</f>
        <v/>
      </c>
      <c r="I20">
        <f>IF(OR($F20="",$G20=""),"",IF(ISNUMBER(Sync!$AG20),MOD(Sync!$AG20,100),IFERROR(VALUE(TRIM(MID(MID(Sync!$AG20,FIND("/",Sync!$AG20)+1,20),FIND("/",MID(Sync!$AG20,FIND("/",Sync!$AG20)+1,20))+1,20))),"")))</f>
        <v/>
      </c>
      <c r="J20">
        <f>IF($F20="","",IF(OR($G20="",$H20="",$I20="",$G20&lt;1300,$G20&gt;1500,$H20&lt;1,$H20&gt;12,$I20&lt;1,$I20&gt;31),"نامعتبر",RIGHT("0000"&amp;$G20,4)&amp;"/"&amp;RIGHT("00"&amp;$H20,2)&amp;"/"&amp;RIGHT("00"&amp;$I20,2)))</f>
        <v/>
      </c>
      <c r="K20">
        <f>IF(OR($F20="",$J20="",$J20="نامعتبر"),"",LEFT($J20,4)&amp;MID($J20,6,2)&amp;RIGHT($J20,2)&amp;$N20&amp;"|"&amp;"2"&amp;RIGHT("00000"&amp;15,5))</f>
        <v/>
      </c>
      <c r="L20">
        <f>IF($K20="","",COUNTIFS(LdgPartyA,$F20,LdgKeyA,"&lt;"&amp;$K20)+COUNTIFS(LdgPartyB,$F20,LdgKeyB,"&lt;"&amp;$K20)+1)</f>
        <v/>
      </c>
      <c r="M20">
        <f>IF($L20="","",$F20&amp;"|"&amp;RIGHT("000000"&amp;$L20,6))</f>
        <v/>
      </c>
      <c r="N20">
        <f>IF($F20="","",IF(Sync!$AH20="","0000",IF(AND(ISNUMBER(Sync!$AH20),Sync!$AH20&gt;=0,Sync!$AH20&lt;1),RIGHT("00"&amp;HOUR(Sync!$AH20),2)&amp;RIGHT("00"&amp;MINUTE(Sync!$AH20),2),IFERROR(RIGHT("00"&amp;VALUE(LEFT(Sync!$AH20,FIND(":",Sync!$AH20)-1)),2)&amp;RIGHT("00"&amp;VALUE(MID(Sync!$AH20,FIND(":",Sync!$AH20)+1,2)),2),"0000"))))</f>
        <v/>
      </c>
    </row>
    <row r="21">
      <c r="A21">
        <f>IF(OR(Calc!$E24="",Calc!$E24="نامعتبر",Calc!$G24="",Calc!$I24&lt;&gt;"خرید"),"",Calc!$G24)</f>
        <v/>
      </c>
      <c r="B21">
        <f>IF($A21="","",LEFT(Calc!$E24,4)&amp;MID(Calc!$E24,6,2)&amp;RIGHT(Calc!$E24,2)&amp;Calc!$R24&amp;"|"&amp;"1"&amp;RIGHT("00000"&amp;16,5))</f>
        <v/>
      </c>
      <c r="C21">
        <f>IF($B21="","",COUNTIFS(LdgPartyA,$A21,LdgKeyA,"&lt;"&amp;$B21)+COUNTIFS(LdgPartyB,$A21,LdgKeyB,"&lt;"&amp;$B21)+1)</f>
        <v/>
      </c>
      <c r="D21">
        <f>IF($C21="","",$A21&amp;"|"&amp;RIGHT("000000"&amp;$C21,6))</f>
        <v/>
      </c>
      <c r="F21">
        <f>IF(Sync!$AJ21="","",Sync!$AJ21)</f>
        <v/>
      </c>
      <c r="G21">
        <f>IF($F21="","",IF(Sync!$AG21="","",IF(ISNUMBER(Sync!$AG21),IF(AND(Sync!$AG21&gt;=10000101,Sync!$AG21&lt;=99991231),INT(Sync!$AG21/10000),""),IFERROR(VALUE(TRIM(LEFT(Sync!$AG21,FIND("/",Sync!$AG21)-1))),""))))</f>
        <v/>
      </c>
      <c r="H21">
        <f>IF(OR($F21="",$G21=""),"",IF(ISNUMBER(Sync!$AG21),INT(MOD(Sync!$AG21,10000)/100),IFERROR(VALUE(TRIM(LEFT(MID(Sync!$AG21,FIND("/",Sync!$AG21)+1,20),FIND("/",MID(Sync!$AG21,FIND("/",Sync!$AG21)+1,20))-1))),"")))</f>
        <v/>
      </c>
      <c r="I21">
        <f>IF(OR($F21="",$G21=""),"",IF(ISNUMBER(Sync!$AG21),MOD(Sync!$AG21,100),IFERROR(VALUE(TRIM(MID(MID(Sync!$AG21,FIND("/",Sync!$AG21)+1,20),FIND("/",MID(Sync!$AG21,FIND("/",Sync!$AG21)+1,20))+1,20))),"")))</f>
        <v/>
      </c>
      <c r="J21">
        <f>IF($F21="","",IF(OR($G21="",$H21="",$I21="",$G21&lt;1300,$G21&gt;1500,$H21&lt;1,$H21&gt;12,$I21&lt;1,$I21&gt;31),"نامعتبر",RIGHT("0000"&amp;$G21,4)&amp;"/"&amp;RIGHT("00"&amp;$H21,2)&amp;"/"&amp;RIGHT("00"&amp;$I21,2)))</f>
        <v/>
      </c>
      <c r="K21">
        <f>IF(OR($F21="",$J21="",$J21="نامعتبر"),"",LEFT($J21,4)&amp;MID($J21,6,2)&amp;RIGHT($J21,2)&amp;$N21&amp;"|"&amp;"2"&amp;RIGHT("00000"&amp;16,5))</f>
        <v/>
      </c>
      <c r="L21">
        <f>IF($K21="","",COUNTIFS(LdgPartyA,$F21,LdgKeyA,"&lt;"&amp;$K21)+COUNTIFS(LdgPartyB,$F21,LdgKeyB,"&lt;"&amp;$K21)+1)</f>
        <v/>
      </c>
      <c r="M21">
        <f>IF($L21="","",$F21&amp;"|"&amp;RIGHT("000000"&amp;$L21,6))</f>
        <v/>
      </c>
      <c r="N21">
        <f>IF($F21="","",IF(Sync!$AH21="","0000",IF(AND(ISNUMBER(Sync!$AH21),Sync!$AH21&gt;=0,Sync!$AH21&lt;1),RIGHT("00"&amp;HOUR(Sync!$AH21),2)&amp;RIGHT("00"&amp;MINUTE(Sync!$AH21),2),IFERROR(RIGHT("00"&amp;VALUE(LEFT(Sync!$AH21,FIND(":",Sync!$AH21)-1)),2)&amp;RIGHT("00"&amp;VALUE(MID(Sync!$AH21,FIND(":",Sync!$AH21)+1,2)),2),"0000"))))</f>
        <v/>
      </c>
    </row>
    <row r="22">
      <c r="A22">
        <f>IF(OR(Calc!$E25="",Calc!$E25="نامعتبر",Calc!$G25="",Calc!$I25&lt;&gt;"خرید"),"",Calc!$G25)</f>
        <v/>
      </c>
      <c r="B22">
        <f>IF($A22="","",LEFT(Calc!$E25,4)&amp;MID(Calc!$E25,6,2)&amp;RIGHT(Calc!$E25,2)&amp;Calc!$R25&amp;"|"&amp;"1"&amp;RIGHT("00000"&amp;17,5))</f>
        <v/>
      </c>
      <c r="C22">
        <f>IF($B22="","",COUNTIFS(LdgPartyA,$A22,LdgKeyA,"&lt;"&amp;$B22)+COUNTIFS(LdgPartyB,$A22,LdgKeyB,"&lt;"&amp;$B22)+1)</f>
        <v/>
      </c>
      <c r="D22">
        <f>IF($C22="","",$A22&amp;"|"&amp;RIGHT("000000"&amp;$C22,6))</f>
        <v/>
      </c>
      <c r="F22">
        <f>IF(Sync!$AJ22="","",Sync!$AJ22)</f>
        <v/>
      </c>
      <c r="G22">
        <f>IF($F22="","",IF(Sync!$AG22="","",IF(ISNUMBER(Sync!$AG22),IF(AND(Sync!$AG22&gt;=10000101,Sync!$AG22&lt;=99991231),INT(Sync!$AG22/10000),""),IFERROR(VALUE(TRIM(LEFT(Sync!$AG22,FIND("/",Sync!$AG22)-1))),""))))</f>
        <v/>
      </c>
      <c r="H22">
        <f>IF(OR($F22="",$G22=""),"",IF(ISNUMBER(Sync!$AG22),INT(MOD(Sync!$AG22,10000)/100),IFERROR(VALUE(TRIM(LEFT(MID(Sync!$AG22,FIND("/",Sync!$AG22)+1,20),FIND("/",MID(Sync!$AG22,FIND("/",Sync!$AG22)+1,20))-1))),"")))</f>
        <v/>
      </c>
      <c r="I22">
        <f>IF(OR($F22="",$G22=""),"",IF(ISNUMBER(Sync!$AG22),MOD(Sync!$AG22,100),IFERROR(VALUE(TRIM(MID(MID(Sync!$AG22,FIND("/",Sync!$AG22)+1,20),FIND("/",MID(Sync!$AG22,FIND("/",Sync!$AG22)+1,20))+1,20))),"")))</f>
        <v/>
      </c>
      <c r="J22">
        <f>IF($F22="","",IF(OR($G22="",$H22="",$I22="",$G22&lt;1300,$G22&gt;1500,$H22&lt;1,$H22&gt;12,$I22&lt;1,$I22&gt;31),"نامعتبر",RIGHT("0000"&amp;$G22,4)&amp;"/"&amp;RIGHT("00"&amp;$H22,2)&amp;"/"&amp;RIGHT("00"&amp;$I22,2)))</f>
        <v/>
      </c>
      <c r="K22">
        <f>IF(OR($F22="",$J22="",$J22="نامعتبر"),"",LEFT($J22,4)&amp;MID($J22,6,2)&amp;RIGHT($J22,2)&amp;$N22&amp;"|"&amp;"2"&amp;RIGHT("00000"&amp;17,5))</f>
        <v/>
      </c>
      <c r="L22">
        <f>IF($K22="","",COUNTIFS(LdgPartyA,$F22,LdgKeyA,"&lt;"&amp;$K22)+COUNTIFS(LdgPartyB,$F22,LdgKeyB,"&lt;"&amp;$K22)+1)</f>
        <v/>
      </c>
      <c r="M22">
        <f>IF($L22="","",$F22&amp;"|"&amp;RIGHT("000000"&amp;$L22,6))</f>
        <v/>
      </c>
      <c r="N22">
        <f>IF($F22="","",IF(Sync!$AH22="","0000",IF(AND(ISNUMBER(Sync!$AH22),Sync!$AH22&gt;=0,Sync!$AH22&lt;1),RIGHT("00"&amp;HOUR(Sync!$AH22),2)&amp;RIGHT("00"&amp;MINUTE(Sync!$AH22),2),IFERROR(RIGHT("00"&amp;VALUE(LEFT(Sync!$AH22,FIND(":",Sync!$AH22)-1)),2)&amp;RIGHT("00"&amp;VALUE(MID(Sync!$AH22,FIND(":",Sync!$AH22)+1,2)),2),"0000"))))</f>
        <v/>
      </c>
    </row>
    <row r="23">
      <c r="A23">
        <f>IF(OR(Calc!$E26="",Calc!$E26="نامعتبر",Calc!$G26="",Calc!$I26&lt;&gt;"خرید"),"",Calc!$G26)</f>
        <v/>
      </c>
      <c r="B23">
        <f>IF($A23="","",LEFT(Calc!$E26,4)&amp;MID(Calc!$E26,6,2)&amp;RIGHT(Calc!$E26,2)&amp;Calc!$R26&amp;"|"&amp;"1"&amp;RIGHT("00000"&amp;18,5))</f>
        <v/>
      </c>
      <c r="C23">
        <f>IF($B23="","",COUNTIFS(LdgPartyA,$A23,LdgKeyA,"&lt;"&amp;$B23)+COUNTIFS(LdgPartyB,$A23,LdgKeyB,"&lt;"&amp;$B23)+1)</f>
        <v/>
      </c>
      <c r="D23">
        <f>IF($C23="","",$A23&amp;"|"&amp;RIGHT("000000"&amp;$C23,6))</f>
        <v/>
      </c>
      <c r="F23">
        <f>IF(Sync!$AJ23="","",Sync!$AJ23)</f>
        <v/>
      </c>
      <c r="G23">
        <f>IF($F23="","",IF(Sync!$AG23="","",IF(ISNUMBER(Sync!$AG23),IF(AND(Sync!$AG23&gt;=10000101,Sync!$AG23&lt;=99991231),INT(Sync!$AG23/10000),""),IFERROR(VALUE(TRIM(LEFT(Sync!$AG23,FIND("/",Sync!$AG23)-1))),""))))</f>
        <v/>
      </c>
      <c r="H23">
        <f>IF(OR($F23="",$G23=""),"",IF(ISNUMBER(Sync!$AG23),INT(MOD(Sync!$AG23,10000)/100),IFERROR(VALUE(TRIM(LEFT(MID(Sync!$AG23,FIND("/",Sync!$AG23)+1,20),FIND("/",MID(Sync!$AG23,FIND("/",Sync!$AG23)+1,20))-1))),"")))</f>
        <v/>
      </c>
      <c r="I23">
        <f>IF(OR($F23="",$G23=""),"",IF(ISNUMBER(Sync!$AG23),MOD(Sync!$AG23,100),IFERROR(VALUE(TRIM(MID(MID(Sync!$AG23,FIND("/",Sync!$AG23)+1,20),FIND("/",MID(Sync!$AG23,FIND("/",Sync!$AG23)+1,20))+1,20))),"")))</f>
        <v/>
      </c>
      <c r="J23">
        <f>IF($F23="","",IF(OR($G23="",$H23="",$I23="",$G23&lt;1300,$G23&gt;1500,$H23&lt;1,$H23&gt;12,$I23&lt;1,$I23&gt;31),"نامعتبر",RIGHT("0000"&amp;$G23,4)&amp;"/"&amp;RIGHT("00"&amp;$H23,2)&amp;"/"&amp;RIGHT("00"&amp;$I23,2)))</f>
        <v/>
      </c>
      <c r="K23">
        <f>IF(OR($F23="",$J23="",$J23="نامعتبر"),"",LEFT($J23,4)&amp;MID($J23,6,2)&amp;RIGHT($J23,2)&amp;$N23&amp;"|"&amp;"2"&amp;RIGHT("00000"&amp;18,5))</f>
        <v/>
      </c>
      <c r="L23">
        <f>IF($K23="","",COUNTIFS(LdgPartyA,$F23,LdgKeyA,"&lt;"&amp;$K23)+COUNTIFS(LdgPartyB,$F23,LdgKeyB,"&lt;"&amp;$K23)+1)</f>
        <v/>
      </c>
      <c r="M23">
        <f>IF($L23="","",$F23&amp;"|"&amp;RIGHT("000000"&amp;$L23,6))</f>
        <v/>
      </c>
      <c r="N23">
        <f>IF($F23="","",IF(Sync!$AH23="","0000",IF(AND(ISNUMBER(Sync!$AH23),Sync!$AH23&gt;=0,Sync!$AH23&lt;1),RIGHT("00"&amp;HOUR(Sync!$AH23),2)&amp;RIGHT("00"&amp;MINUTE(Sync!$AH23),2),IFERROR(RIGHT("00"&amp;VALUE(LEFT(Sync!$AH23,FIND(":",Sync!$AH23)-1)),2)&amp;RIGHT("00"&amp;VALUE(MID(Sync!$AH23,FIND(":",Sync!$AH23)+1,2)),2),"0000"))))</f>
        <v/>
      </c>
    </row>
    <row r="24">
      <c r="A24">
        <f>IF(OR(Calc!$E27="",Calc!$E27="نامعتبر",Calc!$G27="",Calc!$I27&lt;&gt;"خرید"),"",Calc!$G27)</f>
        <v/>
      </c>
      <c r="B24">
        <f>IF($A24="","",LEFT(Calc!$E27,4)&amp;MID(Calc!$E27,6,2)&amp;RIGHT(Calc!$E27,2)&amp;Calc!$R27&amp;"|"&amp;"1"&amp;RIGHT("00000"&amp;19,5))</f>
        <v/>
      </c>
      <c r="C24">
        <f>IF($B24="","",COUNTIFS(LdgPartyA,$A24,LdgKeyA,"&lt;"&amp;$B24)+COUNTIFS(LdgPartyB,$A24,LdgKeyB,"&lt;"&amp;$B24)+1)</f>
        <v/>
      </c>
      <c r="D24">
        <f>IF($C24="","",$A24&amp;"|"&amp;RIGHT("000000"&amp;$C24,6))</f>
        <v/>
      </c>
      <c r="F24">
        <f>IF(Sync!$AJ24="","",Sync!$AJ24)</f>
        <v/>
      </c>
      <c r="G24">
        <f>IF($F24="","",IF(Sync!$AG24="","",IF(ISNUMBER(Sync!$AG24),IF(AND(Sync!$AG24&gt;=10000101,Sync!$AG24&lt;=99991231),INT(Sync!$AG24/10000),""),IFERROR(VALUE(TRIM(LEFT(Sync!$AG24,FIND("/",Sync!$AG24)-1))),""))))</f>
        <v/>
      </c>
      <c r="H24">
        <f>IF(OR($F24="",$G24=""),"",IF(ISNUMBER(Sync!$AG24),INT(MOD(Sync!$AG24,10000)/100),IFERROR(VALUE(TRIM(LEFT(MID(Sync!$AG24,FIND("/",Sync!$AG24)+1,20),FIND("/",MID(Sync!$AG24,FIND("/",Sync!$AG24)+1,20))-1))),"")))</f>
        <v/>
      </c>
      <c r="I24">
        <f>IF(OR($F24="",$G24=""),"",IF(ISNUMBER(Sync!$AG24),MOD(Sync!$AG24,100),IFERROR(VALUE(TRIM(MID(MID(Sync!$AG24,FIND("/",Sync!$AG24)+1,20),FIND("/",MID(Sync!$AG24,FIND("/",Sync!$AG24)+1,20))+1,20))),"")))</f>
        <v/>
      </c>
      <c r="J24">
        <f>IF($F24="","",IF(OR($G24="",$H24="",$I24="",$G24&lt;1300,$G24&gt;1500,$H24&lt;1,$H24&gt;12,$I24&lt;1,$I24&gt;31),"نامعتبر",RIGHT("0000"&amp;$G24,4)&amp;"/"&amp;RIGHT("00"&amp;$H24,2)&amp;"/"&amp;RIGHT("00"&amp;$I24,2)))</f>
        <v/>
      </c>
      <c r="K24">
        <f>IF(OR($F24="",$J24="",$J24="نامعتبر"),"",LEFT($J24,4)&amp;MID($J24,6,2)&amp;RIGHT($J24,2)&amp;$N24&amp;"|"&amp;"2"&amp;RIGHT("00000"&amp;19,5))</f>
        <v/>
      </c>
      <c r="L24">
        <f>IF($K24="","",COUNTIFS(LdgPartyA,$F24,LdgKeyA,"&lt;"&amp;$K24)+COUNTIFS(LdgPartyB,$F24,LdgKeyB,"&lt;"&amp;$K24)+1)</f>
        <v/>
      </c>
      <c r="M24">
        <f>IF($L24="","",$F24&amp;"|"&amp;RIGHT("000000"&amp;$L24,6))</f>
        <v/>
      </c>
      <c r="N24">
        <f>IF($F24="","",IF(Sync!$AH24="","0000",IF(AND(ISNUMBER(Sync!$AH24),Sync!$AH24&gt;=0,Sync!$AH24&lt;1),RIGHT("00"&amp;HOUR(Sync!$AH24),2)&amp;RIGHT("00"&amp;MINUTE(Sync!$AH24),2),IFERROR(RIGHT("00"&amp;VALUE(LEFT(Sync!$AH24,FIND(":",Sync!$AH24)-1)),2)&amp;RIGHT("00"&amp;VALUE(MID(Sync!$AH24,FIND(":",Sync!$AH24)+1,2)),2),"0000"))))</f>
        <v/>
      </c>
    </row>
    <row r="25">
      <c r="A25">
        <f>IF(OR(Calc!$E28="",Calc!$E28="نامعتبر",Calc!$G28="",Calc!$I28&lt;&gt;"خرید"),"",Calc!$G28)</f>
        <v/>
      </c>
      <c r="B25">
        <f>IF($A25="","",LEFT(Calc!$E28,4)&amp;MID(Calc!$E28,6,2)&amp;RIGHT(Calc!$E28,2)&amp;Calc!$R28&amp;"|"&amp;"1"&amp;RIGHT("00000"&amp;20,5))</f>
        <v/>
      </c>
      <c r="C25">
        <f>IF($B25="","",COUNTIFS(LdgPartyA,$A25,LdgKeyA,"&lt;"&amp;$B25)+COUNTIFS(LdgPartyB,$A25,LdgKeyB,"&lt;"&amp;$B25)+1)</f>
        <v/>
      </c>
      <c r="D25">
        <f>IF($C25="","",$A25&amp;"|"&amp;RIGHT("000000"&amp;$C25,6))</f>
        <v/>
      </c>
      <c r="F25">
        <f>IF(Sync!$AJ25="","",Sync!$AJ25)</f>
        <v/>
      </c>
      <c r="G25">
        <f>IF($F25="","",IF(Sync!$AG25="","",IF(ISNUMBER(Sync!$AG25),IF(AND(Sync!$AG25&gt;=10000101,Sync!$AG25&lt;=99991231),INT(Sync!$AG25/10000),""),IFERROR(VALUE(TRIM(LEFT(Sync!$AG25,FIND("/",Sync!$AG25)-1))),""))))</f>
        <v/>
      </c>
      <c r="H25">
        <f>IF(OR($F25="",$G25=""),"",IF(ISNUMBER(Sync!$AG25),INT(MOD(Sync!$AG25,10000)/100),IFERROR(VALUE(TRIM(LEFT(MID(Sync!$AG25,FIND("/",Sync!$AG25)+1,20),FIND("/",MID(Sync!$AG25,FIND("/",Sync!$AG25)+1,20))-1))),"")))</f>
        <v/>
      </c>
      <c r="I25">
        <f>IF(OR($F25="",$G25=""),"",IF(ISNUMBER(Sync!$AG25),MOD(Sync!$AG25,100),IFERROR(VALUE(TRIM(MID(MID(Sync!$AG25,FIND("/",Sync!$AG25)+1,20),FIND("/",MID(Sync!$AG25,FIND("/",Sync!$AG25)+1,20))+1,20))),"")))</f>
        <v/>
      </c>
      <c r="J25">
        <f>IF($F25="","",IF(OR($G25="",$H25="",$I25="",$G25&lt;1300,$G25&gt;1500,$H25&lt;1,$H25&gt;12,$I25&lt;1,$I25&gt;31),"نامعتبر",RIGHT("0000"&amp;$G25,4)&amp;"/"&amp;RIGHT("00"&amp;$H25,2)&amp;"/"&amp;RIGHT("00"&amp;$I25,2)))</f>
        <v/>
      </c>
      <c r="K25">
        <f>IF(OR($F25="",$J25="",$J25="نامعتبر"),"",LEFT($J25,4)&amp;MID($J25,6,2)&amp;RIGHT($J25,2)&amp;$N25&amp;"|"&amp;"2"&amp;RIGHT("00000"&amp;20,5))</f>
        <v/>
      </c>
      <c r="L25">
        <f>IF($K25="","",COUNTIFS(LdgPartyA,$F25,LdgKeyA,"&lt;"&amp;$K25)+COUNTIFS(LdgPartyB,$F25,LdgKeyB,"&lt;"&amp;$K25)+1)</f>
        <v/>
      </c>
      <c r="M25">
        <f>IF($L25="","",$F25&amp;"|"&amp;RIGHT("000000"&amp;$L25,6))</f>
        <v/>
      </c>
      <c r="N25">
        <f>IF($F25="","",IF(Sync!$AH25="","0000",IF(AND(ISNUMBER(Sync!$AH25),Sync!$AH25&gt;=0,Sync!$AH25&lt;1),RIGHT("00"&amp;HOUR(Sync!$AH25),2)&amp;RIGHT("00"&amp;MINUTE(Sync!$AH25),2),IFERROR(RIGHT("00"&amp;VALUE(LEFT(Sync!$AH25,FIND(":",Sync!$AH25)-1)),2)&amp;RIGHT("00"&amp;VALUE(MID(Sync!$AH25,FIND(":",Sync!$AH25)+1,2)),2),"0000"))))</f>
        <v/>
      </c>
    </row>
    <row r="26">
      <c r="A26">
        <f>IF(OR(Calc!$E29="",Calc!$E29="نامعتبر",Calc!$G29="",Calc!$I29&lt;&gt;"خرید"),"",Calc!$G29)</f>
        <v/>
      </c>
      <c r="B26">
        <f>IF($A26="","",LEFT(Calc!$E29,4)&amp;MID(Calc!$E29,6,2)&amp;RIGHT(Calc!$E29,2)&amp;Calc!$R29&amp;"|"&amp;"1"&amp;RIGHT("00000"&amp;21,5))</f>
        <v/>
      </c>
      <c r="C26">
        <f>IF($B26="","",COUNTIFS(LdgPartyA,$A26,LdgKeyA,"&lt;"&amp;$B26)+COUNTIFS(LdgPartyB,$A26,LdgKeyB,"&lt;"&amp;$B26)+1)</f>
        <v/>
      </c>
      <c r="D26">
        <f>IF($C26="","",$A26&amp;"|"&amp;RIGHT("000000"&amp;$C26,6))</f>
        <v/>
      </c>
      <c r="F26">
        <f>IF(Sync!$AJ26="","",Sync!$AJ26)</f>
        <v/>
      </c>
      <c r="G26">
        <f>IF($F26="","",IF(Sync!$AG26="","",IF(ISNUMBER(Sync!$AG26),IF(AND(Sync!$AG26&gt;=10000101,Sync!$AG26&lt;=99991231),INT(Sync!$AG26/10000),""),IFERROR(VALUE(TRIM(LEFT(Sync!$AG26,FIND("/",Sync!$AG26)-1))),""))))</f>
        <v/>
      </c>
      <c r="H26">
        <f>IF(OR($F26="",$G26=""),"",IF(ISNUMBER(Sync!$AG26),INT(MOD(Sync!$AG26,10000)/100),IFERROR(VALUE(TRIM(LEFT(MID(Sync!$AG26,FIND("/",Sync!$AG26)+1,20),FIND("/",MID(Sync!$AG26,FIND("/",Sync!$AG26)+1,20))-1))),"")))</f>
        <v/>
      </c>
      <c r="I26">
        <f>IF(OR($F26="",$G26=""),"",IF(ISNUMBER(Sync!$AG26),MOD(Sync!$AG26,100),IFERROR(VALUE(TRIM(MID(MID(Sync!$AG26,FIND("/",Sync!$AG26)+1,20),FIND("/",MID(Sync!$AG26,FIND("/",Sync!$AG26)+1,20))+1,20))),"")))</f>
        <v/>
      </c>
      <c r="J26">
        <f>IF($F26="","",IF(OR($G26="",$H26="",$I26="",$G26&lt;1300,$G26&gt;1500,$H26&lt;1,$H26&gt;12,$I26&lt;1,$I26&gt;31),"نامعتبر",RIGHT("0000"&amp;$G26,4)&amp;"/"&amp;RIGHT("00"&amp;$H26,2)&amp;"/"&amp;RIGHT("00"&amp;$I26,2)))</f>
        <v/>
      </c>
      <c r="K26">
        <f>IF(OR($F26="",$J26="",$J26="نامعتبر"),"",LEFT($J26,4)&amp;MID($J26,6,2)&amp;RIGHT($J26,2)&amp;$N26&amp;"|"&amp;"2"&amp;RIGHT("00000"&amp;21,5))</f>
        <v/>
      </c>
      <c r="L26">
        <f>IF($K26="","",COUNTIFS(LdgPartyA,$F26,LdgKeyA,"&lt;"&amp;$K26)+COUNTIFS(LdgPartyB,$F26,LdgKeyB,"&lt;"&amp;$K26)+1)</f>
        <v/>
      </c>
      <c r="M26">
        <f>IF($L26="","",$F26&amp;"|"&amp;RIGHT("000000"&amp;$L26,6))</f>
        <v/>
      </c>
      <c r="N26">
        <f>IF($F26="","",IF(Sync!$AH26="","0000",IF(AND(ISNUMBER(Sync!$AH26),Sync!$AH26&gt;=0,Sync!$AH26&lt;1),RIGHT("00"&amp;HOUR(Sync!$AH26),2)&amp;RIGHT("00"&amp;MINUTE(Sync!$AH26),2),IFERROR(RIGHT("00"&amp;VALUE(LEFT(Sync!$AH26,FIND(":",Sync!$AH26)-1)),2)&amp;RIGHT("00"&amp;VALUE(MID(Sync!$AH26,FIND(":",Sync!$AH26)+1,2)),2),"0000"))))</f>
        <v/>
      </c>
    </row>
    <row r="27">
      <c r="A27">
        <f>IF(OR(Calc!$E30="",Calc!$E30="نامعتبر",Calc!$G30="",Calc!$I30&lt;&gt;"خرید"),"",Calc!$G30)</f>
        <v/>
      </c>
      <c r="B27">
        <f>IF($A27="","",LEFT(Calc!$E30,4)&amp;MID(Calc!$E30,6,2)&amp;RIGHT(Calc!$E30,2)&amp;Calc!$R30&amp;"|"&amp;"1"&amp;RIGHT("00000"&amp;22,5))</f>
        <v/>
      </c>
      <c r="C27">
        <f>IF($B27="","",COUNTIFS(LdgPartyA,$A27,LdgKeyA,"&lt;"&amp;$B27)+COUNTIFS(LdgPartyB,$A27,LdgKeyB,"&lt;"&amp;$B27)+1)</f>
        <v/>
      </c>
      <c r="D27">
        <f>IF($C27="","",$A27&amp;"|"&amp;RIGHT("000000"&amp;$C27,6))</f>
        <v/>
      </c>
      <c r="F27">
        <f>IF(Sync!$AJ27="","",Sync!$AJ27)</f>
        <v/>
      </c>
      <c r="G27">
        <f>IF($F27="","",IF(Sync!$AG27="","",IF(ISNUMBER(Sync!$AG27),IF(AND(Sync!$AG27&gt;=10000101,Sync!$AG27&lt;=99991231),INT(Sync!$AG27/10000),""),IFERROR(VALUE(TRIM(LEFT(Sync!$AG27,FIND("/",Sync!$AG27)-1))),""))))</f>
        <v/>
      </c>
      <c r="H27">
        <f>IF(OR($F27="",$G27=""),"",IF(ISNUMBER(Sync!$AG27),INT(MOD(Sync!$AG27,10000)/100),IFERROR(VALUE(TRIM(LEFT(MID(Sync!$AG27,FIND("/",Sync!$AG27)+1,20),FIND("/",MID(Sync!$AG27,FIND("/",Sync!$AG27)+1,20))-1))),"")))</f>
        <v/>
      </c>
      <c r="I27">
        <f>IF(OR($F27="",$G27=""),"",IF(ISNUMBER(Sync!$AG27),MOD(Sync!$AG27,100),IFERROR(VALUE(TRIM(MID(MID(Sync!$AG27,FIND("/",Sync!$AG27)+1,20),FIND("/",MID(Sync!$AG27,FIND("/",Sync!$AG27)+1,20))+1,20))),"")))</f>
        <v/>
      </c>
      <c r="J27">
        <f>IF($F27="","",IF(OR($G27="",$H27="",$I27="",$G27&lt;1300,$G27&gt;1500,$H27&lt;1,$H27&gt;12,$I27&lt;1,$I27&gt;31),"نامعتبر",RIGHT("0000"&amp;$G27,4)&amp;"/"&amp;RIGHT("00"&amp;$H27,2)&amp;"/"&amp;RIGHT("00"&amp;$I27,2)))</f>
        <v/>
      </c>
      <c r="K27">
        <f>IF(OR($F27="",$J27="",$J27="نامعتبر"),"",LEFT($J27,4)&amp;MID($J27,6,2)&amp;RIGHT($J27,2)&amp;$N27&amp;"|"&amp;"2"&amp;RIGHT("00000"&amp;22,5))</f>
        <v/>
      </c>
      <c r="L27">
        <f>IF($K27="","",COUNTIFS(LdgPartyA,$F27,LdgKeyA,"&lt;"&amp;$K27)+COUNTIFS(LdgPartyB,$F27,LdgKeyB,"&lt;"&amp;$K27)+1)</f>
        <v/>
      </c>
      <c r="M27">
        <f>IF($L27="","",$F27&amp;"|"&amp;RIGHT("000000"&amp;$L27,6))</f>
        <v/>
      </c>
      <c r="N27">
        <f>IF($F27="","",IF(Sync!$AH27="","0000",IF(AND(ISNUMBER(Sync!$AH27),Sync!$AH27&gt;=0,Sync!$AH27&lt;1),RIGHT("00"&amp;HOUR(Sync!$AH27),2)&amp;RIGHT("00"&amp;MINUTE(Sync!$AH27),2),IFERROR(RIGHT("00"&amp;VALUE(LEFT(Sync!$AH27,FIND(":",Sync!$AH27)-1)),2)&amp;RIGHT("00"&amp;VALUE(MID(Sync!$AH27,FIND(":",Sync!$AH27)+1,2)),2),"0000"))))</f>
        <v/>
      </c>
    </row>
    <row r="28">
      <c r="A28">
        <f>IF(OR(Calc!$E31="",Calc!$E31="نامعتبر",Calc!$G31="",Calc!$I31&lt;&gt;"خرید"),"",Calc!$G31)</f>
        <v/>
      </c>
      <c r="B28">
        <f>IF($A28="","",LEFT(Calc!$E31,4)&amp;MID(Calc!$E31,6,2)&amp;RIGHT(Calc!$E31,2)&amp;Calc!$R31&amp;"|"&amp;"1"&amp;RIGHT("00000"&amp;23,5))</f>
        <v/>
      </c>
      <c r="C28">
        <f>IF($B28="","",COUNTIFS(LdgPartyA,$A28,LdgKeyA,"&lt;"&amp;$B28)+COUNTIFS(LdgPartyB,$A28,LdgKeyB,"&lt;"&amp;$B28)+1)</f>
        <v/>
      </c>
      <c r="D28">
        <f>IF($C28="","",$A28&amp;"|"&amp;RIGHT("000000"&amp;$C28,6))</f>
        <v/>
      </c>
      <c r="F28">
        <f>IF(Sync!$AJ28="","",Sync!$AJ28)</f>
        <v/>
      </c>
      <c r="G28">
        <f>IF($F28="","",IF(Sync!$AG28="","",IF(ISNUMBER(Sync!$AG28),IF(AND(Sync!$AG28&gt;=10000101,Sync!$AG28&lt;=99991231),INT(Sync!$AG28/10000),""),IFERROR(VALUE(TRIM(LEFT(Sync!$AG28,FIND("/",Sync!$AG28)-1))),""))))</f>
        <v/>
      </c>
      <c r="H28">
        <f>IF(OR($F28="",$G28=""),"",IF(ISNUMBER(Sync!$AG28),INT(MOD(Sync!$AG28,10000)/100),IFERROR(VALUE(TRIM(LEFT(MID(Sync!$AG28,FIND("/",Sync!$AG28)+1,20),FIND("/",MID(Sync!$AG28,FIND("/",Sync!$AG28)+1,20))-1))),"")))</f>
        <v/>
      </c>
      <c r="I28">
        <f>IF(OR($F28="",$G28=""),"",IF(ISNUMBER(Sync!$AG28),MOD(Sync!$AG28,100),IFERROR(VALUE(TRIM(MID(MID(Sync!$AG28,FIND("/",Sync!$AG28)+1,20),FIND("/",MID(Sync!$AG28,FIND("/",Sync!$AG28)+1,20))+1,20))),"")))</f>
        <v/>
      </c>
      <c r="J28">
        <f>IF($F28="","",IF(OR($G28="",$H28="",$I28="",$G28&lt;1300,$G28&gt;1500,$H28&lt;1,$H28&gt;12,$I28&lt;1,$I28&gt;31),"نامعتبر",RIGHT("0000"&amp;$G28,4)&amp;"/"&amp;RIGHT("00"&amp;$H28,2)&amp;"/"&amp;RIGHT("00"&amp;$I28,2)))</f>
        <v/>
      </c>
      <c r="K28">
        <f>IF(OR($F28="",$J28="",$J28="نامعتبر"),"",LEFT($J28,4)&amp;MID($J28,6,2)&amp;RIGHT($J28,2)&amp;$N28&amp;"|"&amp;"2"&amp;RIGHT("00000"&amp;23,5))</f>
        <v/>
      </c>
      <c r="L28">
        <f>IF($K28="","",COUNTIFS(LdgPartyA,$F28,LdgKeyA,"&lt;"&amp;$K28)+COUNTIFS(LdgPartyB,$F28,LdgKeyB,"&lt;"&amp;$K28)+1)</f>
        <v/>
      </c>
      <c r="M28">
        <f>IF($L28="","",$F28&amp;"|"&amp;RIGHT("000000"&amp;$L28,6))</f>
        <v/>
      </c>
      <c r="N28">
        <f>IF($F28="","",IF(Sync!$AH28="","0000",IF(AND(ISNUMBER(Sync!$AH28),Sync!$AH28&gt;=0,Sync!$AH28&lt;1),RIGHT("00"&amp;HOUR(Sync!$AH28),2)&amp;RIGHT("00"&amp;MINUTE(Sync!$AH28),2),IFERROR(RIGHT("00"&amp;VALUE(LEFT(Sync!$AH28,FIND(":",Sync!$AH28)-1)),2)&amp;RIGHT("00"&amp;VALUE(MID(Sync!$AH28,FIND(":",Sync!$AH28)+1,2)),2),"0000"))))</f>
        <v/>
      </c>
    </row>
    <row r="29">
      <c r="A29">
        <f>IF(OR(Calc!$E32="",Calc!$E32="نامعتبر",Calc!$G32="",Calc!$I32&lt;&gt;"خرید"),"",Calc!$G32)</f>
        <v/>
      </c>
      <c r="B29">
        <f>IF($A29="","",LEFT(Calc!$E32,4)&amp;MID(Calc!$E32,6,2)&amp;RIGHT(Calc!$E32,2)&amp;Calc!$R32&amp;"|"&amp;"1"&amp;RIGHT("00000"&amp;24,5))</f>
        <v/>
      </c>
      <c r="C29">
        <f>IF($B29="","",COUNTIFS(LdgPartyA,$A29,LdgKeyA,"&lt;"&amp;$B29)+COUNTIFS(LdgPartyB,$A29,LdgKeyB,"&lt;"&amp;$B29)+1)</f>
        <v/>
      </c>
      <c r="D29">
        <f>IF($C29="","",$A29&amp;"|"&amp;RIGHT("000000"&amp;$C29,6))</f>
        <v/>
      </c>
      <c r="F29">
        <f>IF(Sync!$AJ29="","",Sync!$AJ29)</f>
        <v/>
      </c>
      <c r="G29">
        <f>IF($F29="","",IF(Sync!$AG29="","",IF(ISNUMBER(Sync!$AG29),IF(AND(Sync!$AG29&gt;=10000101,Sync!$AG29&lt;=99991231),INT(Sync!$AG29/10000),""),IFERROR(VALUE(TRIM(LEFT(Sync!$AG29,FIND("/",Sync!$AG29)-1))),""))))</f>
        <v/>
      </c>
      <c r="H29">
        <f>IF(OR($F29="",$G29=""),"",IF(ISNUMBER(Sync!$AG29),INT(MOD(Sync!$AG29,10000)/100),IFERROR(VALUE(TRIM(LEFT(MID(Sync!$AG29,FIND("/",Sync!$AG29)+1,20),FIND("/",MID(Sync!$AG29,FIND("/",Sync!$AG29)+1,20))-1))),"")))</f>
        <v/>
      </c>
      <c r="I29">
        <f>IF(OR($F29="",$G29=""),"",IF(ISNUMBER(Sync!$AG29),MOD(Sync!$AG29,100),IFERROR(VALUE(TRIM(MID(MID(Sync!$AG29,FIND("/",Sync!$AG29)+1,20),FIND("/",MID(Sync!$AG29,FIND("/",Sync!$AG29)+1,20))+1,20))),"")))</f>
        <v/>
      </c>
      <c r="J29">
        <f>IF($F29="","",IF(OR($G29="",$H29="",$I29="",$G29&lt;1300,$G29&gt;1500,$H29&lt;1,$H29&gt;12,$I29&lt;1,$I29&gt;31),"نامعتبر",RIGHT("0000"&amp;$G29,4)&amp;"/"&amp;RIGHT("00"&amp;$H29,2)&amp;"/"&amp;RIGHT("00"&amp;$I29,2)))</f>
        <v/>
      </c>
      <c r="K29">
        <f>IF(OR($F29="",$J29="",$J29="نامعتبر"),"",LEFT($J29,4)&amp;MID($J29,6,2)&amp;RIGHT($J29,2)&amp;$N29&amp;"|"&amp;"2"&amp;RIGHT("00000"&amp;24,5))</f>
        <v/>
      </c>
      <c r="L29">
        <f>IF($K29="","",COUNTIFS(LdgPartyA,$F29,LdgKeyA,"&lt;"&amp;$K29)+COUNTIFS(LdgPartyB,$F29,LdgKeyB,"&lt;"&amp;$K29)+1)</f>
        <v/>
      </c>
      <c r="M29">
        <f>IF($L29="","",$F29&amp;"|"&amp;RIGHT("000000"&amp;$L29,6))</f>
        <v/>
      </c>
      <c r="N29">
        <f>IF($F29="","",IF(Sync!$AH29="","0000",IF(AND(ISNUMBER(Sync!$AH29),Sync!$AH29&gt;=0,Sync!$AH29&lt;1),RIGHT("00"&amp;HOUR(Sync!$AH29),2)&amp;RIGHT("00"&amp;MINUTE(Sync!$AH29),2),IFERROR(RIGHT("00"&amp;VALUE(LEFT(Sync!$AH29,FIND(":",Sync!$AH29)-1)),2)&amp;RIGHT("00"&amp;VALUE(MID(Sync!$AH29,FIND(":",Sync!$AH29)+1,2)),2),"0000"))))</f>
        <v/>
      </c>
    </row>
    <row r="30">
      <c r="A30">
        <f>IF(OR(Calc!$E33="",Calc!$E33="نامعتبر",Calc!$G33="",Calc!$I33&lt;&gt;"خرید"),"",Calc!$G33)</f>
        <v/>
      </c>
      <c r="B30">
        <f>IF($A30="","",LEFT(Calc!$E33,4)&amp;MID(Calc!$E33,6,2)&amp;RIGHT(Calc!$E33,2)&amp;Calc!$R33&amp;"|"&amp;"1"&amp;RIGHT("00000"&amp;25,5))</f>
        <v/>
      </c>
      <c r="C30">
        <f>IF($B30="","",COUNTIFS(LdgPartyA,$A30,LdgKeyA,"&lt;"&amp;$B30)+COUNTIFS(LdgPartyB,$A30,LdgKeyB,"&lt;"&amp;$B30)+1)</f>
        <v/>
      </c>
      <c r="D30">
        <f>IF($C30="","",$A30&amp;"|"&amp;RIGHT("000000"&amp;$C30,6))</f>
        <v/>
      </c>
      <c r="F30">
        <f>IF(Sync!$AJ30="","",Sync!$AJ30)</f>
        <v/>
      </c>
      <c r="G30">
        <f>IF($F30="","",IF(Sync!$AG30="","",IF(ISNUMBER(Sync!$AG30),IF(AND(Sync!$AG30&gt;=10000101,Sync!$AG30&lt;=99991231),INT(Sync!$AG30/10000),""),IFERROR(VALUE(TRIM(LEFT(Sync!$AG30,FIND("/",Sync!$AG30)-1))),""))))</f>
        <v/>
      </c>
      <c r="H30">
        <f>IF(OR($F30="",$G30=""),"",IF(ISNUMBER(Sync!$AG30),INT(MOD(Sync!$AG30,10000)/100),IFERROR(VALUE(TRIM(LEFT(MID(Sync!$AG30,FIND("/",Sync!$AG30)+1,20),FIND("/",MID(Sync!$AG30,FIND("/",Sync!$AG30)+1,20))-1))),"")))</f>
        <v/>
      </c>
      <c r="I30">
        <f>IF(OR($F30="",$G30=""),"",IF(ISNUMBER(Sync!$AG30),MOD(Sync!$AG30,100),IFERROR(VALUE(TRIM(MID(MID(Sync!$AG30,FIND("/",Sync!$AG30)+1,20),FIND("/",MID(Sync!$AG30,FIND("/",Sync!$AG30)+1,20))+1,20))),"")))</f>
        <v/>
      </c>
      <c r="J30">
        <f>IF($F30="","",IF(OR($G30="",$H30="",$I30="",$G30&lt;1300,$G30&gt;1500,$H30&lt;1,$H30&gt;12,$I30&lt;1,$I30&gt;31),"نامعتبر",RIGHT("0000"&amp;$G30,4)&amp;"/"&amp;RIGHT("00"&amp;$H30,2)&amp;"/"&amp;RIGHT("00"&amp;$I30,2)))</f>
        <v/>
      </c>
      <c r="K30">
        <f>IF(OR($F30="",$J30="",$J30="نامعتبر"),"",LEFT($J30,4)&amp;MID($J30,6,2)&amp;RIGHT($J30,2)&amp;$N30&amp;"|"&amp;"2"&amp;RIGHT("00000"&amp;25,5))</f>
        <v/>
      </c>
      <c r="L30">
        <f>IF($K30="","",COUNTIFS(LdgPartyA,$F30,LdgKeyA,"&lt;"&amp;$K30)+COUNTIFS(LdgPartyB,$F30,LdgKeyB,"&lt;"&amp;$K30)+1)</f>
        <v/>
      </c>
      <c r="M30">
        <f>IF($L30="","",$F30&amp;"|"&amp;RIGHT("000000"&amp;$L30,6))</f>
        <v/>
      </c>
      <c r="N30">
        <f>IF($F30="","",IF(Sync!$AH30="","0000",IF(AND(ISNUMBER(Sync!$AH30),Sync!$AH30&gt;=0,Sync!$AH30&lt;1),RIGHT("00"&amp;HOUR(Sync!$AH30),2)&amp;RIGHT("00"&amp;MINUTE(Sync!$AH30),2),IFERROR(RIGHT("00"&amp;VALUE(LEFT(Sync!$AH30,FIND(":",Sync!$AH30)-1)),2)&amp;RIGHT("00"&amp;VALUE(MID(Sync!$AH30,FIND(":",Sync!$AH30)+1,2)),2),"0000"))))</f>
        <v/>
      </c>
    </row>
    <row r="31">
      <c r="A31">
        <f>IF(OR(Calc!$E34="",Calc!$E34="نامعتبر",Calc!$G34="",Calc!$I34&lt;&gt;"خرید"),"",Calc!$G34)</f>
        <v/>
      </c>
      <c r="B31">
        <f>IF($A31="","",LEFT(Calc!$E34,4)&amp;MID(Calc!$E34,6,2)&amp;RIGHT(Calc!$E34,2)&amp;Calc!$R34&amp;"|"&amp;"1"&amp;RIGHT("00000"&amp;26,5))</f>
        <v/>
      </c>
      <c r="C31">
        <f>IF($B31="","",COUNTIFS(LdgPartyA,$A31,LdgKeyA,"&lt;"&amp;$B31)+COUNTIFS(LdgPartyB,$A31,LdgKeyB,"&lt;"&amp;$B31)+1)</f>
        <v/>
      </c>
      <c r="D31">
        <f>IF($C31="","",$A31&amp;"|"&amp;RIGHT("000000"&amp;$C31,6))</f>
        <v/>
      </c>
      <c r="F31">
        <f>IF(Sync!$AJ31="","",Sync!$AJ31)</f>
        <v/>
      </c>
      <c r="G31">
        <f>IF($F31="","",IF(Sync!$AG31="","",IF(ISNUMBER(Sync!$AG31),IF(AND(Sync!$AG31&gt;=10000101,Sync!$AG31&lt;=99991231),INT(Sync!$AG31/10000),""),IFERROR(VALUE(TRIM(LEFT(Sync!$AG31,FIND("/",Sync!$AG31)-1))),""))))</f>
        <v/>
      </c>
      <c r="H31">
        <f>IF(OR($F31="",$G31=""),"",IF(ISNUMBER(Sync!$AG31),INT(MOD(Sync!$AG31,10000)/100),IFERROR(VALUE(TRIM(LEFT(MID(Sync!$AG31,FIND("/",Sync!$AG31)+1,20),FIND("/",MID(Sync!$AG31,FIND("/",Sync!$AG31)+1,20))-1))),"")))</f>
        <v/>
      </c>
      <c r="I31">
        <f>IF(OR($F31="",$G31=""),"",IF(ISNUMBER(Sync!$AG31),MOD(Sync!$AG31,100),IFERROR(VALUE(TRIM(MID(MID(Sync!$AG31,FIND("/",Sync!$AG31)+1,20),FIND("/",MID(Sync!$AG31,FIND("/",Sync!$AG31)+1,20))+1,20))),"")))</f>
        <v/>
      </c>
      <c r="J31">
        <f>IF($F31="","",IF(OR($G31="",$H31="",$I31="",$G31&lt;1300,$G31&gt;1500,$H31&lt;1,$H31&gt;12,$I31&lt;1,$I31&gt;31),"نامعتبر",RIGHT("0000"&amp;$G31,4)&amp;"/"&amp;RIGHT("00"&amp;$H31,2)&amp;"/"&amp;RIGHT("00"&amp;$I31,2)))</f>
        <v/>
      </c>
      <c r="K31">
        <f>IF(OR($F31="",$J31="",$J31="نامعتبر"),"",LEFT($J31,4)&amp;MID($J31,6,2)&amp;RIGHT($J31,2)&amp;$N31&amp;"|"&amp;"2"&amp;RIGHT("00000"&amp;26,5))</f>
        <v/>
      </c>
      <c r="L31">
        <f>IF($K31="","",COUNTIFS(LdgPartyA,$F31,LdgKeyA,"&lt;"&amp;$K31)+COUNTIFS(LdgPartyB,$F31,LdgKeyB,"&lt;"&amp;$K31)+1)</f>
        <v/>
      </c>
      <c r="M31">
        <f>IF($L31="","",$F31&amp;"|"&amp;RIGHT("000000"&amp;$L31,6))</f>
        <v/>
      </c>
      <c r="N31">
        <f>IF($F31="","",IF(Sync!$AH31="","0000",IF(AND(ISNUMBER(Sync!$AH31),Sync!$AH31&gt;=0,Sync!$AH31&lt;1),RIGHT("00"&amp;HOUR(Sync!$AH31),2)&amp;RIGHT("00"&amp;MINUTE(Sync!$AH31),2),IFERROR(RIGHT("00"&amp;VALUE(LEFT(Sync!$AH31,FIND(":",Sync!$AH31)-1)),2)&amp;RIGHT("00"&amp;VALUE(MID(Sync!$AH31,FIND(":",Sync!$AH31)+1,2)),2),"0000"))))</f>
        <v/>
      </c>
    </row>
    <row r="32">
      <c r="A32">
        <f>IF(OR(Calc!$E35="",Calc!$E35="نامعتبر",Calc!$G35="",Calc!$I35&lt;&gt;"خرید"),"",Calc!$G35)</f>
        <v/>
      </c>
      <c r="B32">
        <f>IF($A32="","",LEFT(Calc!$E35,4)&amp;MID(Calc!$E35,6,2)&amp;RIGHT(Calc!$E35,2)&amp;Calc!$R35&amp;"|"&amp;"1"&amp;RIGHT("00000"&amp;27,5))</f>
        <v/>
      </c>
      <c r="C32">
        <f>IF($B32="","",COUNTIFS(LdgPartyA,$A32,LdgKeyA,"&lt;"&amp;$B32)+COUNTIFS(LdgPartyB,$A32,LdgKeyB,"&lt;"&amp;$B32)+1)</f>
        <v/>
      </c>
      <c r="D32">
        <f>IF($C32="","",$A32&amp;"|"&amp;RIGHT("000000"&amp;$C32,6))</f>
        <v/>
      </c>
      <c r="F32">
        <f>IF(Sync!$AJ32="","",Sync!$AJ32)</f>
        <v/>
      </c>
      <c r="G32">
        <f>IF($F32="","",IF(Sync!$AG32="","",IF(ISNUMBER(Sync!$AG32),IF(AND(Sync!$AG32&gt;=10000101,Sync!$AG32&lt;=99991231),INT(Sync!$AG32/10000),""),IFERROR(VALUE(TRIM(LEFT(Sync!$AG32,FIND("/",Sync!$AG32)-1))),""))))</f>
        <v/>
      </c>
      <c r="H32">
        <f>IF(OR($F32="",$G32=""),"",IF(ISNUMBER(Sync!$AG32),INT(MOD(Sync!$AG32,10000)/100),IFERROR(VALUE(TRIM(LEFT(MID(Sync!$AG32,FIND("/",Sync!$AG32)+1,20),FIND("/",MID(Sync!$AG32,FIND("/",Sync!$AG32)+1,20))-1))),"")))</f>
        <v/>
      </c>
      <c r="I32">
        <f>IF(OR($F32="",$G32=""),"",IF(ISNUMBER(Sync!$AG32),MOD(Sync!$AG32,100),IFERROR(VALUE(TRIM(MID(MID(Sync!$AG32,FIND("/",Sync!$AG32)+1,20),FIND("/",MID(Sync!$AG32,FIND("/",Sync!$AG32)+1,20))+1,20))),"")))</f>
        <v/>
      </c>
      <c r="J32">
        <f>IF($F32="","",IF(OR($G32="",$H32="",$I32="",$G32&lt;1300,$G32&gt;1500,$H32&lt;1,$H32&gt;12,$I32&lt;1,$I32&gt;31),"نامعتبر",RIGHT("0000"&amp;$G32,4)&amp;"/"&amp;RIGHT("00"&amp;$H32,2)&amp;"/"&amp;RIGHT("00"&amp;$I32,2)))</f>
        <v/>
      </c>
      <c r="K32">
        <f>IF(OR($F32="",$J32="",$J32="نامعتبر"),"",LEFT($J32,4)&amp;MID($J32,6,2)&amp;RIGHT($J32,2)&amp;$N32&amp;"|"&amp;"2"&amp;RIGHT("00000"&amp;27,5))</f>
        <v/>
      </c>
      <c r="L32">
        <f>IF($K32="","",COUNTIFS(LdgPartyA,$F32,LdgKeyA,"&lt;"&amp;$K32)+COUNTIFS(LdgPartyB,$F32,LdgKeyB,"&lt;"&amp;$K32)+1)</f>
        <v/>
      </c>
      <c r="M32">
        <f>IF($L32="","",$F32&amp;"|"&amp;RIGHT("000000"&amp;$L32,6))</f>
        <v/>
      </c>
      <c r="N32">
        <f>IF($F32="","",IF(Sync!$AH32="","0000",IF(AND(ISNUMBER(Sync!$AH32),Sync!$AH32&gt;=0,Sync!$AH32&lt;1),RIGHT("00"&amp;HOUR(Sync!$AH32),2)&amp;RIGHT("00"&amp;MINUTE(Sync!$AH32),2),IFERROR(RIGHT("00"&amp;VALUE(LEFT(Sync!$AH32,FIND(":",Sync!$AH32)-1)),2)&amp;RIGHT("00"&amp;VALUE(MID(Sync!$AH32,FIND(":",Sync!$AH32)+1,2)),2),"0000"))))</f>
        <v/>
      </c>
    </row>
    <row r="33">
      <c r="A33">
        <f>IF(OR(Calc!$E36="",Calc!$E36="نامعتبر",Calc!$G36="",Calc!$I36&lt;&gt;"خرید"),"",Calc!$G36)</f>
        <v/>
      </c>
      <c r="B33">
        <f>IF($A33="","",LEFT(Calc!$E36,4)&amp;MID(Calc!$E36,6,2)&amp;RIGHT(Calc!$E36,2)&amp;Calc!$R36&amp;"|"&amp;"1"&amp;RIGHT("00000"&amp;28,5))</f>
        <v/>
      </c>
      <c r="C33">
        <f>IF($B33="","",COUNTIFS(LdgPartyA,$A33,LdgKeyA,"&lt;"&amp;$B33)+COUNTIFS(LdgPartyB,$A33,LdgKeyB,"&lt;"&amp;$B33)+1)</f>
        <v/>
      </c>
      <c r="D33">
        <f>IF($C33="","",$A33&amp;"|"&amp;RIGHT("000000"&amp;$C33,6))</f>
        <v/>
      </c>
      <c r="F33">
        <f>IF(Sync!$AJ33="","",Sync!$AJ33)</f>
        <v/>
      </c>
      <c r="G33">
        <f>IF($F33="","",IF(Sync!$AG33="","",IF(ISNUMBER(Sync!$AG33),IF(AND(Sync!$AG33&gt;=10000101,Sync!$AG33&lt;=99991231),INT(Sync!$AG33/10000),""),IFERROR(VALUE(TRIM(LEFT(Sync!$AG33,FIND("/",Sync!$AG33)-1))),""))))</f>
        <v/>
      </c>
      <c r="H33">
        <f>IF(OR($F33="",$G33=""),"",IF(ISNUMBER(Sync!$AG33),INT(MOD(Sync!$AG33,10000)/100),IFERROR(VALUE(TRIM(LEFT(MID(Sync!$AG33,FIND("/",Sync!$AG33)+1,20),FIND("/",MID(Sync!$AG33,FIND("/",Sync!$AG33)+1,20))-1))),"")))</f>
        <v/>
      </c>
      <c r="I33">
        <f>IF(OR($F33="",$G33=""),"",IF(ISNUMBER(Sync!$AG33),MOD(Sync!$AG33,100),IFERROR(VALUE(TRIM(MID(MID(Sync!$AG33,FIND("/",Sync!$AG33)+1,20),FIND("/",MID(Sync!$AG33,FIND("/",Sync!$AG33)+1,20))+1,20))),"")))</f>
        <v/>
      </c>
      <c r="J33">
        <f>IF($F33="","",IF(OR($G33="",$H33="",$I33="",$G33&lt;1300,$G33&gt;1500,$H33&lt;1,$H33&gt;12,$I33&lt;1,$I33&gt;31),"نامعتبر",RIGHT("0000"&amp;$G33,4)&amp;"/"&amp;RIGHT("00"&amp;$H33,2)&amp;"/"&amp;RIGHT("00"&amp;$I33,2)))</f>
        <v/>
      </c>
      <c r="K33">
        <f>IF(OR($F33="",$J33="",$J33="نامعتبر"),"",LEFT($J33,4)&amp;MID($J33,6,2)&amp;RIGHT($J33,2)&amp;$N33&amp;"|"&amp;"2"&amp;RIGHT("00000"&amp;28,5))</f>
        <v/>
      </c>
      <c r="L33">
        <f>IF($K33="","",COUNTIFS(LdgPartyA,$F33,LdgKeyA,"&lt;"&amp;$K33)+COUNTIFS(LdgPartyB,$F33,LdgKeyB,"&lt;"&amp;$K33)+1)</f>
        <v/>
      </c>
      <c r="M33">
        <f>IF($L33="","",$F33&amp;"|"&amp;RIGHT("000000"&amp;$L33,6))</f>
        <v/>
      </c>
      <c r="N33">
        <f>IF($F33="","",IF(Sync!$AH33="","0000",IF(AND(ISNUMBER(Sync!$AH33),Sync!$AH33&gt;=0,Sync!$AH33&lt;1),RIGHT("00"&amp;HOUR(Sync!$AH33),2)&amp;RIGHT("00"&amp;MINUTE(Sync!$AH33),2),IFERROR(RIGHT("00"&amp;VALUE(LEFT(Sync!$AH33,FIND(":",Sync!$AH33)-1)),2)&amp;RIGHT("00"&amp;VALUE(MID(Sync!$AH33,FIND(":",Sync!$AH33)+1,2)),2),"0000"))))</f>
        <v/>
      </c>
    </row>
    <row r="34">
      <c r="A34">
        <f>IF(OR(Calc!$E37="",Calc!$E37="نامعتبر",Calc!$G37="",Calc!$I37&lt;&gt;"خرید"),"",Calc!$G37)</f>
        <v/>
      </c>
      <c r="B34">
        <f>IF($A34="","",LEFT(Calc!$E37,4)&amp;MID(Calc!$E37,6,2)&amp;RIGHT(Calc!$E37,2)&amp;Calc!$R37&amp;"|"&amp;"1"&amp;RIGHT("00000"&amp;29,5))</f>
        <v/>
      </c>
      <c r="C34">
        <f>IF($B34="","",COUNTIFS(LdgPartyA,$A34,LdgKeyA,"&lt;"&amp;$B34)+COUNTIFS(LdgPartyB,$A34,LdgKeyB,"&lt;"&amp;$B34)+1)</f>
        <v/>
      </c>
      <c r="D34">
        <f>IF($C34="","",$A34&amp;"|"&amp;RIGHT("000000"&amp;$C34,6))</f>
        <v/>
      </c>
      <c r="F34">
        <f>IF(Sync!$AJ34="","",Sync!$AJ34)</f>
        <v/>
      </c>
      <c r="G34">
        <f>IF($F34="","",IF(Sync!$AG34="","",IF(ISNUMBER(Sync!$AG34),IF(AND(Sync!$AG34&gt;=10000101,Sync!$AG34&lt;=99991231),INT(Sync!$AG34/10000),""),IFERROR(VALUE(TRIM(LEFT(Sync!$AG34,FIND("/",Sync!$AG34)-1))),""))))</f>
        <v/>
      </c>
      <c r="H34">
        <f>IF(OR($F34="",$G34=""),"",IF(ISNUMBER(Sync!$AG34),INT(MOD(Sync!$AG34,10000)/100),IFERROR(VALUE(TRIM(LEFT(MID(Sync!$AG34,FIND("/",Sync!$AG34)+1,20),FIND("/",MID(Sync!$AG34,FIND("/",Sync!$AG34)+1,20))-1))),"")))</f>
        <v/>
      </c>
      <c r="I34">
        <f>IF(OR($F34="",$G34=""),"",IF(ISNUMBER(Sync!$AG34),MOD(Sync!$AG34,100),IFERROR(VALUE(TRIM(MID(MID(Sync!$AG34,FIND("/",Sync!$AG34)+1,20),FIND("/",MID(Sync!$AG34,FIND("/",Sync!$AG34)+1,20))+1,20))),"")))</f>
        <v/>
      </c>
      <c r="J34">
        <f>IF($F34="","",IF(OR($G34="",$H34="",$I34="",$G34&lt;1300,$G34&gt;1500,$H34&lt;1,$H34&gt;12,$I34&lt;1,$I34&gt;31),"نامعتبر",RIGHT("0000"&amp;$G34,4)&amp;"/"&amp;RIGHT("00"&amp;$H34,2)&amp;"/"&amp;RIGHT("00"&amp;$I34,2)))</f>
        <v/>
      </c>
      <c r="K34">
        <f>IF(OR($F34="",$J34="",$J34="نامعتبر"),"",LEFT($J34,4)&amp;MID($J34,6,2)&amp;RIGHT($J34,2)&amp;$N34&amp;"|"&amp;"2"&amp;RIGHT("00000"&amp;29,5))</f>
        <v/>
      </c>
      <c r="L34">
        <f>IF($K34="","",COUNTIFS(LdgPartyA,$F34,LdgKeyA,"&lt;"&amp;$K34)+COUNTIFS(LdgPartyB,$F34,LdgKeyB,"&lt;"&amp;$K34)+1)</f>
        <v/>
      </c>
      <c r="M34">
        <f>IF($L34="","",$F34&amp;"|"&amp;RIGHT("000000"&amp;$L34,6))</f>
        <v/>
      </c>
      <c r="N34">
        <f>IF($F34="","",IF(Sync!$AH34="","0000",IF(AND(ISNUMBER(Sync!$AH34),Sync!$AH34&gt;=0,Sync!$AH34&lt;1),RIGHT("00"&amp;HOUR(Sync!$AH34),2)&amp;RIGHT("00"&amp;MINUTE(Sync!$AH34),2),IFERROR(RIGHT("00"&amp;VALUE(LEFT(Sync!$AH34,FIND(":",Sync!$AH34)-1)),2)&amp;RIGHT("00"&amp;VALUE(MID(Sync!$AH34,FIND(":",Sync!$AH34)+1,2)),2),"0000"))))</f>
        <v/>
      </c>
    </row>
    <row r="35">
      <c r="A35">
        <f>IF(OR(Calc!$E38="",Calc!$E38="نامعتبر",Calc!$G38="",Calc!$I38&lt;&gt;"خرید"),"",Calc!$G38)</f>
        <v/>
      </c>
      <c r="B35">
        <f>IF($A35="","",LEFT(Calc!$E38,4)&amp;MID(Calc!$E38,6,2)&amp;RIGHT(Calc!$E38,2)&amp;Calc!$R38&amp;"|"&amp;"1"&amp;RIGHT("00000"&amp;30,5))</f>
        <v/>
      </c>
      <c r="C35">
        <f>IF($B35="","",COUNTIFS(LdgPartyA,$A35,LdgKeyA,"&lt;"&amp;$B35)+COUNTIFS(LdgPartyB,$A35,LdgKeyB,"&lt;"&amp;$B35)+1)</f>
        <v/>
      </c>
      <c r="D35">
        <f>IF($C35="","",$A35&amp;"|"&amp;RIGHT("000000"&amp;$C35,6))</f>
        <v/>
      </c>
      <c r="F35">
        <f>IF(Sync!$AJ35="","",Sync!$AJ35)</f>
        <v/>
      </c>
      <c r="G35">
        <f>IF($F35="","",IF(Sync!$AG35="","",IF(ISNUMBER(Sync!$AG35),IF(AND(Sync!$AG35&gt;=10000101,Sync!$AG35&lt;=99991231),INT(Sync!$AG35/10000),""),IFERROR(VALUE(TRIM(LEFT(Sync!$AG35,FIND("/",Sync!$AG35)-1))),""))))</f>
        <v/>
      </c>
      <c r="H35">
        <f>IF(OR($F35="",$G35=""),"",IF(ISNUMBER(Sync!$AG35),INT(MOD(Sync!$AG35,10000)/100),IFERROR(VALUE(TRIM(LEFT(MID(Sync!$AG35,FIND("/",Sync!$AG35)+1,20),FIND("/",MID(Sync!$AG35,FIND("/",Sync!$AG35)+1,20))-1))),"")))</f>
        <v/>
      </c>
      <c r="I35">
        <f>IF(OR($F35="",$G35=""),"",IF(ISNUMBER(Sync!$AG35),MOD(Sync!$AG35,100),IFERROR(VALUE(TRIM(MID(MID(Sync!$AG35,FIND("/",Sync!$AG35)+1,20),FIND("/",MID(Sync!$AG35,FIND("/",Sync!$AG35)+1,20))+1,20))),"")))</f>
        <v/>
      </c>
      <c r="J35">
        <f>IF($F35="","",IF(OR($G35="",$H35="",$I35="",$G35&lt;1300,$G35&gt;1500,$H35&lt;1,$H35&gt;12,$I35&lt;1,$I35&gt;31),"نامعتبر",RIGHT("0000"&amp;$G35,4)&amp;"/"&amp;RIGHT("00"&amp;$H35,2)&amp;"/"&amp;RIGHT("00"&amp;$I35,2)))</f>
        <v/>
      </c>
      <c r="K35">
        <f>IF(OR($F35="",$J35="",$J35="نامعتبر"),"",LEFT($J35,4)&amp;MID($J35,6,2)&amp;RIGHT($J35,2)&amp;$N35&amp;"|"&amp;"2"&amp;RIGHT("00000"&amp;30,5))</f>
        <v/>
      </c>
      <c r="L35">
        <f>IF($K35="","",COUNTIFS(LdgPartyA,$F35,LdgKeyA,"&lt;"&amp;$K35)+COUNTIFS(LdgPartyB,$F35,LdgKeyB,"&lt;"&amp;$K35)+1)</f>
        <v/>
      </c>
      <c r="M35">
        <f>IF($L35="","",$F35&amp;"|"&amp;RIGHT("000000"&amp;$L35,6))</f>
        <v/>
      </c>
      <c r="N35">
        <f>IF($F35="","",IF(Sync!$AH35="","0000",IF(AND(ISNUMBER(Sync!$AH35),Sync!$AH35&gt;=0,Sync!$AH35&lt;1),RIGHT("00"&amp;HOUR(Sync!$AH35),2)&amp;RIGHT("00"&amp;MINUTE(Sync!$AH35),2),IFERROR(RIGHT("00"&amp;VALUE(LEFT(Sync!$AH35,FIND(":",Sync!$AH35)-1)),2)&amp;RIGHT("00"&amp;VALUE(MID(Sync!$AH35,FIND(":",Sync!$AH35)+1,2)),2),"0000"))))</f>
        <v/>
      </c>
    </row>
    <row r="36">
      <c r="A36">
        <f>IF(OR(Calc!$E39="",Calc!$E39="نامعتبر",Calc!$G39="",Calc!$I39&lt;&gt;"خرید"),"",Calc!$G39)</f>
        <v/>
      </c>
      <c r="B36">
        <f>IF($A36="","",LEFT(Calc!$E39,4)&amp;MID(Calc!$E39,6,2)&amp;RIGHT(Calc!$E39,2)&amp;Calc!$R39&amp;"|"&amp;"1"&amp;RIGHT("00000"&amp;31,5))</f>
        <v/>
      </c>
      <c r="C36">
        <f>IF($B36="","",COUNTIFS(LdgPartyA,$A36,LdgKeyA,"&lt;"&amp;$B36)+COUNTIFS(LdgPartyB,$A36,LdgKeyB,"&lt;"&amp;$B36)+1)</f>
        <v/>
      </c>
      <c r="D36">
        <f>IF($C36="","",$A36&amp;"|"&amp;RIGHT("000000"&amp;$C36,6))</f>
        <v/>
      </c>
      <c r="F36">
        <f>IF(Sync!$AJ36="","",Sync!$AJ36)</f>
        <v/>
      </c>
      <c r="G36">
        <f>IF($F36="","",IF(Sync!$AG36="","",IF(ISNUMBER(Sync!$AG36),IF(AND(Sync!$AG36&gt;=10000101,Sync!$AG36&lt;=99991231),INT(Sync!$AG36/10000),""),IFERROR(VALUE(TRIM(LEFT(Sync!$AG36,FIND("/",Sync!$AG36)-1))),""))))</f>
        <v/>
      </c>
      <c r="H36">
        <f>IF(OR($F36="",$G36=""),"",IF(ISNUMBER(Sync!$AG36),INT(MOD(Sync!$AG36,10000)/100),IFERROR(VALUE(TRIM(LEFT(MID(Sync!$AG36,FIND("/",Sync!$AG36)+1,20),FIND("/",MID(Sync!$AG36,FIND("/",Sync!$AG36)+1,20))-1))),"")))</f>
        <v/>
      </c>
      <c r="I36">
        <f>IF(OR($F36="",$G36=""),"",IF(ISNUMBER(Sync!$AG36),MOD(Sync!$AG36,100),IFERROR(VALUE(TRIM(MID(MID(Sync!$AG36,FIND("/",Sync!$AG36)+1,20),FIND("/",MID(Sync!$AG36,FIND("/",Sync!$AG36)+1,20))+1,20))),"")))</f>
        <v/>
      </c>
      <c r="J36">
        <f>IF($F36="","",IF(OR($G36="",$H36="",$I36="",$G36&lt;1300,$G36&gt;1500,$H36&lt;1,$H36&gt;12,$I36&lt;1,$I36&gt;31),"نامعتبر",RIGHT("0000"&amp;$G36,4)&amp;"/"&amp;RIGHT("00"&amp;$H36,2)&amp;"/"&amp;RIGHT("00"&amp;$I36,2)))</f>
        <v/>
      </c>
      <c r="K36">
        <f>IF(OR($F36="",$J36="",$J36="نامعتبر"),"",LEFT($J36,4)&amp;MID($J36,6,2)&amp;RIGHT($J36,2)&amp;$N36&amp;"|"&amp;"2"&amp;RIGHT("00000"&amp;31,5))</f>
        <v/>
      </c>
      <c r="L36">
        <f>IF($K36="","",COUNTIFS(LdgPartyA,$F36,LdgKeyA,"&lt;"&amp;$K36)+COUNTIFS(LdgPartyB,$F36,LdgKeyB,"&lt;"&amp;$K36)+1)</f>
        <v/>
      </c>
      <c r="M36">
        <f>IF($L36="","",$F36&amp;"|"&amp;RIGHT("000000"&amp;$L36,6))</f>
        <v/>
      </c>
      <c r="N36">
        <f>IF($F36="","",IF(Sync!$AH36="","0000",IF(AND(ISNUMBER(Sync!$AH36),Sync!$AH36&gt;=0,Sync!$AH36&lt;1),RIGHT("00"&amp;HOUR(Sync!$AH36),2)&amp;RIGHT("00"&amp;MINUTE(Sync!$AH36),2),IFERROR(RIGHT("00"&amp;VALUE(LEFT(Sync!$AH36,FIND(":",Sync!$AH36)-1)),2)&amp;RIGHT("00"&amp;VALUE(MID(Sync!$AH36,FIND(":",Sync!$AH36)+1,2)),2),"0000"))))</f>
        <v/>
      </c>
    </row>
    <row r="37">
      <c r="A37">
        <f>IF(OR(Calc!$E40="",Calc!$E40="نامعتبر",Calc!$G40="",Calc!$I40&lt;&gt;"خرید"),"",Calc!$G40)</f>
        <v/>
      </c>
      <c r="B37">
        <f>IF($A37="","",LEFT(Calc!$E40,4)&amp;MID(Calc!$E40,6,2)&amp;RIGHT(Calc!$E40,2)&amp;Calc!$R40&amp;"|"&amp;"1"&amp;RIGHT("00000"&amp;32,5))</f>
        <v/>
      </c>
      <c r="C37">
        <f>IF($B37="","",COUNTIFS(LdgPartyA,$A37,LdgKeyA,"&lt;"&amp;$B37)+COUNTIFS(LdgPartyB,$A37,LdgKeyB,"&lt;"&amp;$B37)+1)</f>
        <v/>
      </c>
      <c r="D37">
        <f>IF($C37="","",$A37&amp;"|"&amp;RIGHT("000000"&amp;$C37,6))</f>
        <v/>
      </c>
      <c r="F37">
        <f>IF(Sync!$AJ37="","",Sync!$AJ37)</f>
        <v/>
      </c>
      <c r="G37">
        <f>IF($F37="","",IF(Sync!$AG37="","",IF(ISNUMBER(Sync!$AG37),IF(AND(Sync!$AG37&gt;=10000101,Sync!$AG37&lt;=99991231),INT(Sync!$AG37/10000),""),IFERROR(VALUE(TRIM(LEFT(Sync!$AG37,FIND("/",Sync!$AG37)-1))),""))))</f>
        <v/>
      </c>
      <c r="H37">
        <f>IF(OR($F37="",$G37=""),"",IF(ISNUMBER(Sync!$AG37),INT(MOD(Sync!$AG37,10000)/100),IFERROR(VALUE(TRIM(LEFT(MID(Sync!$AG37,FIND("/",Sync!$AG37)+1,20),FIND("/",MID(Sync!$AG37,FIND("/",Sync!$AG37)+1,20))-1))),"")))</f>
        <v/>
      </c>
      <c r="I37">
        <f>IF(OR($F37="",$G37=""),"",IF(ISNUMBER(Sync!$AG37),MOD(Sync!$AG37,100),IFERROR(VALUE(TRIM(MID(MID(Sync!$AG37,FIND("/",Sync!$AG37)+1,20),FIND("/",MID(Sync!$AG37,FIND("/",Sync!$AG37)+1,20))+1,20))),"")))</f>
        <v/>
      </c>
      <c r="J37">
        <f>IF($F37="","",IF(OR($G37="",$H37="",$I37="",$G37&lt;1300,$G37&gt;1500,$H37&lt;1,$H37&gt;12,$I37&lt;1,$I37&gt;31),"نامعتبر",RIGHT("0000"&amp;$G37,4)&amp;"/"&amp;RIGHT("00"&amp;$H37,2)&amp;"/"&amp;RIGHT("00"&amp;$I37,2)))</f>
        <v/>
      </c>
      <c r="K37">
        <f>IF(OR($F37="",$J37="",$J37="نامعتبر"),"",LEFT($J37,4)&amp;MID($J37,6,2)&amp;RIGHT($J37,2)&amp;$N37&amp;"|"&amp;"2"&amp;RIGHT("00000"&amp;32,5))</f>
        <v/>
      </c>
      <c r="L37">
        <f>IF($K37="","",COUNTIFS(LdgPartyA,$F37,LdgKeyA,"&lt;"&amp;$K37)+COUNTIFS(LdgPartyB,$F37,LdgKeyB,"&lt;"&amp;$K37)+1)</f>
        <v/>
      </c>
      <c r="M37">
        <f>IF($L37="","",$F37&amp;"|"&amp;RIGHT("000000"&amp;$L37,6))</f>
        <v/>
      </c>
      <c r="N37">
        <f>IF($F37="","",IF(Sync!$AH37="","0000",IF(AND(ISNUMBER(Sync!$AH37),Sync!$AH37&gt;=0,Sync!$AH37&lt;1),RIGHT("00"&amp;HOUR(Sync!$AH37),2)&amp;RIGHT("00"&amp;MINUTE(Sync!$AH37),2),IFERROR(RIGHT("00"&amp;VALUE(LEFT(Sync!$AH37,FIND(":",Sync!$AH37)-1)),2)&amp;RIGHT("00"&amp;VALUE(MID(Sync!$AH37,FIND(":",Sync!$AH37)+1,2)),2),"0000"))))</f>
        <v/>
      </c>
    </row>
    <row r="38">
      <c r="A38">
        <f>IF(OR(Calc!$E41="",Calc!$E41="نامعتبر",Calc!$G41="",Calc!$I41&lt;&gt;"خرید"),"",Calc!$G41)</f>
        <v/>
      </c>
      <c r="B38">
        <f>IF($A38="","",LEFT(Calc!$E41,4)&amp;MID(Calc!$E41,6,2)&amp;RIGHT(Calc!$E41,2)&amp;Calc!$R41&amp;"|"&amp;"1"&amp;RIGHT("00000"&amp;33,5))</f>
        <v/>
      </c>
      <c r="C38">
        <f>IF($B38="","",COUNTIFS(LdgPartyA,$A38,LdgKeyA,"&lt;"&amp;$B38)+COUNTIFS(LdgPartyB,$A38,LdgKeyB,"&lt;"&amp;$B38)+1)</f>
        <v/>
      </c>
      <c r="D38">
        <f>IF($C38="","",$A38&amp;"|"&amp;RIGHT("000000"&amp;$C38,6))</f>
        <v/>
      </c>
      <c r="F38">
        <f>IF(Sync!$AJ38="","",Sync!$AJ38)</f>
        <v/>
      </c>
      <c r="G38">
        <f>IF($F38="","",IF(Sync!$AG38="","",IF(ISNUMBER(Sync!$AG38),IF(AND(Sync!$AG38&gt;=10000101,Sync!$AG38&lt;=99991231),INT(Sync!$AG38/10000),""),IFERROR(VALUE(TRIM(LEFT(Sync!$AG38,FIND("/",Sync!$AG38)-1))),""))))</f>
        <v/>
      </c>
      <c r="H38">
        <f>IF(OR($F38="",$G38=""),"",IF(ISNUMBER(Sync!$AG38),INT(MOD(Sync!$AG38,10000)/100),IFERROR(VALUE(TRIM(LEFT(MID(Sync!$AG38,FIND("/",Sync!$AG38)+1,20),FIND("/",MID(Sync!$AG38,FIND("/",Sync!$AG38)+1,20))-1))),"")))</f>
        <v/>
      </c>
      <c r="I38">
        <f>IF(OR($F38="",$G38=""),"",IF(ISNUMBER(Sync!$AG38),MOD(Sync!$AG38,100),IFERROR(VALUE(TRIM(MID(MID(Sync!$AG38,FIND("/",Sync!$AG38)+1,20),FIND("/",MID(Sync!$AG38,FIND("/",Sync!$AG38)+1,20))+1,20))),"")))</f>
        <v/>
      </c>
      <c r="J38">
        <f>IF($F38="","",IF(OR($G38="",$H38="",$I38="",$G38&lt;1300,$G38&gt;1500,$H38&lt;1,$H38&gt;12,$I38&lt;1,$I38&gt;31),"نامعتبر",RIGHT("0000"&amp;$G38,4)&amp;"/"&amp;RIGHT("00"&amp;$H38,2)&amp;"/"&amp;RIGHT("00"&amp;$I38,2)))</f>
        <v/>
      </c>
      <c r="K38">
        <f>IF(OR($F38="",$J38="",$J38="نامعتبر"),"",LEFT($J38,4)&amp;MID($J38,6,2)&amp;RIGHT($J38,2)&amp;$N38&amp;"|"&amp;"2"&amp;RIGHT("00000"&amp;33,5))</f>
        <v/>
      </c>
      <c r="L38">
        <f>IF($K38="","",COUNTIFS(LdgPartyA,$F38,LdgKeyA,"&lt;"&amp;$K38)+COUNTIFS(LdgPartyB,$F38,LdgKeyB,"&lt;"&amp;$K38)+1)</f>
        <v/>
      </c>
      <c r="M38">
        <f>IF($L38="","",$F38&amp;"|"&amp;RIGHT("000000"&amp;$L38,6))</f>
        <v/>
      </c>
      <c r="N38">
        <f>IF($F38="","",IF(Sync!$AH38="","0000",IF(AND(ISNUMBER(Sync!$AH38),Sync!$AH38&gt;=0,Sync!$AH38&lt;1),RIGHT("00"&amp;HOUR(Sync!$AH38),2)&amp;RIGHT("00"&amp;MINUTE(Sync!$AH38),2),IFERROR(RIGHT("00"&amp;VALUE(LEFT(Sync!$AH38,FIND(":",Sync!$AH38)-1)),2)&amp;RIGHT("00"&amp;VALUE(MID(Sync!$AH38,FIND(":",Sync!$AH38)+1,2)),2),"0000"))))</f>
        <v/>
      </c>
    </row>
    <row r="39">
      <c r="A39">
        <f>IF(OR(Calc!$E42="",Calc!$E42="نامعتبر",Calc!$G42="",Calc!$I42&lt;&gt;"خرید"),"",Calc!$G42)</f>
        <v/>
      </c>
      <c r="B39">
        <f>IF($A39="","",LEFT(Calc!$E42,4)&amp;MID(Calc!$E42,6,2)&amp;RIGHT(Calc!$E42,2)&amp;Calc!$R42&amp;"|"&amp;"1"&amp;RIGHT("00000"&amp;34,5))</f>
        <v/>
      </c>
      <c r="C39">
        <f>IF($B39="","",COUNTIFS(LdgPartyA,$A39,LdgKeyA,"&lt;"&amp;$B39)+COUNTIFS(LdgPartyB,$A39,LdgKeyB,"&lt;"&amp;$B39)+1)</f>
        <v/>
      </c>
      <c r="D39">
        <f>IF($C39="","",$A39&amp;"|"&amp;RIGHT("000000"&amp;$C39,6))</f>
        <v/>
      </c>
      <c r="F39">
        <f>IF(Sync!$AJ39="","",Sync!$AJ39)</f>
        <v/>
      </c>
      <c r="G39">
        <f>IF($F39="","",IF(Sync!$AG39="","",IF(ISNUMBER(Sync!$AG39),IF(AND(Sync!$AG39&gt;=10000101,Sync!$AG39&lt;=99991231),INT(Sync!$AG39/10000),""),IFERROR(VALUE(TRIM(LEFT(Sync!$AG39,FIND("/",Sync!$AG39)-1))),""))))</f>
        <v/>
      </c>
      <c r="H39">
        <f>IF(OR($F39="",$G39=""),"",IF(ISNUMBER(Sync!$AG39),INT(MOD(Sync!$AG39,10000)/100),IFERROR(VALUE(TRIM(LEFT(MID(Sync!$AG39,FIND("/",Sync!$AG39)+1,20),FIND("/",MID(Sync!$AG39,FIND("/",Sync!$AG39)+1,20))-1))),"")))</f>
        <v/>
      </c>
      <c r="I39">
        <f>IF(OR($F39="",$G39=""),"",IF(ISNUMBER(Sync!$AG39),MOD(Sync!$AG39,100),IFERROR(VALUE(TRIM(MID(MID(Sync!$AG39,FIND("/",Sync!$AG39)+1,20),FIND("/",MID(Sync!$AG39,FIND("/",Sync!$AG39)+1,20))+1,20))),"")))</f>
        <v/>
      </c>
      <c r="J39">
        <f>IF($F39="","",IF(OR($G39="",$H39="",$I39="",$G39&lt;1300,$G39&gt;1500,$H39&lt;1,$H39&gt;12,$I39&lt;1,$I39&gt;31),"نامعتبر",RIGHT("0000"&amp;$G39,4)&amp;"/"&amp;RIGHT("00"&amp;$H39,2)&amp;"/"&amp;RIGHT("00"&amp;$I39,2)))</f>
        <v/>
      </c>
      <c r="K39">
        <f>IF(OR($F39="",$J39="",$J39="نامعتبر"),"",LEFT($J39,4)&amp;MID($J39,6,2)&amp;RIGHT($J39,2)&amp;$N39&amp;"|"&amp;"2"&amp;RIGHT("00000"&amp;34,5))</f>
        <v/>
      </c>
      <c r="L39">
        <f>IF($K39="","",COUNTIFS(LdgPartyA,$F39,LdgKeyA,"&lt;"&amp;$K39)+COUNTIFS(LdgPartyB,$F39,LdgKeyB,"&lt;"&amp;$K39)+1)</f>
        <v/>
      </c>
      <c r="M39">
        <f>IF($L39="","",$F39&amp;"|"&amp;RIGHT("000000"&amp;$L39,6))</f>
        <v/>
      </c>
      <c r="N39">
        <f>IF($F39="","",IF(Sync!$AH39="","0000",IF(AND(ISNUMBER(Sync!$AH39),Sync!$AH39&gt;=0,Sync!$AH39&lt;1),RIGHT("00"&amp;HOUR(Sync!$AH39),2)&amp;RIGHT("00"&amp;MINUTE(Sync!$AH39),2),IFERROR(RIGHT("00"&amp;VALUE(LEFT(Sync!$AH39,FIND(":",Sync!$AH39)-1)),2)&amp;RIGHT("00"&amp;VALUE(MID(Sync!$AH39,FIND(":",Sync!$AH39)+1,2)),2),"0000"))))</f>
        <v/>
      </c>
    </row>
    <row r="40">
      <c r="A40">
        <f>IF(OR(Calc!$E43="",Calc!$E43="نامعتبر",Calc!$G43="",Calc!$I43&lt;&gt;"خرید"),"",Calc!$G43)</f>
        <v/>
      </c>
      <c r="B40">
        <f>IF($A40="","",LEFT(Calc!$E43,4)&amp;MID(Calc!$E43,6,2)&amp;RIGHT(Calc!$E43,2)&amp;Calc!$R43&amp;"|"&amp;"1"&amp;RIGHT("00000"&amp;35,5))</f>
        <v/>
      </c>
      <c r="C40">
        <f>IF($B40="","",COUNTIFS(LdgPartyA,$A40,LdgKeyA,"&lt;"&amp;$B40)+COUNTIFS(LdgPartyB,$A40,LdgKeyB,"&lt;"&amp;$B40)+1)</f>
        <v/>
      </c>
      <c r="D40">
        <f>IF($C40="","",$A40&amp;"|"&amp;RIGHT("000000"&amp;$C40,6))</f>
        <v/>
      </c>
      <c r="F40">
        <f>IF(Sync!$AJ40="","",Sync!$AJ40)</f>
        <v/>
      </c>
      <c r="G40">
        <f>IF($F40="","",IF(Sync!$AG40="","",IF(ISNUMBER(Sync!$AG40),IF(AND(Sync!$AG40&gt;=10000101,Sync!$AG40&lt;=99991231),INT(Sync!$AG40/10000),""),IFERROR(VALUE(TRIM(LEFT(Sync!$AG40,FIND("/",Sync!$AG40)-1))),""))))</f>
        <v/>
      </c>
      <c r="H40">
        <f>IF(OR($F40="",$G40=""),"",IF(ISNUMBER(Sync!$AG40),INT(MOD(Sync!$AG40,10000)/100),IFERROR(VALUE(TRIM(LEFT(MID(Sync!$AG40,FIND("/",Sync!$AG40)+1,20),FIND("/",MID(Sync!$AG40,FIND("/",Sync!$AG40)+1,20))-1))),"")))</f>
        <v/>
      </c>
      <c r="I40">
        <f>IF(OR($F40="",$G40=""),"",IF(ISNUMBER(Sync!$AG40),MOD(Sync!$AG40,100),IFERROR(VALUE(TRIM(MID(MID(Sync!$AG40,FIND("/",Sync!$AG40)+1,20),FIND("/",MID(Sync!$AG40,FIND("/",Sync!$AG40)+1,20))+1,20))),"")))</f>
        <v/>
      </c>
      <c r="J40">
        <f>IF($F40="","",IF(OR($G40="",$H40="",$I40="",$G40&lt;1300,$G40&gt;1500,$H40&lt;1,$H40&gt;12,$I40&lt;1,$I40&gt;31),"نامعتبر",RIGHT("0000"&amp;$G40,4)&amp;"/"&amp;RIGHT("00"&amp;$H40,2)&amp;"/"&amp;RIGHT("00"&amp;$I40,2)))</f>
        <v/>
      </c>
      <c r="K40">
        <f>IF(OR($F40="",$J40="",$J40="نامعتبر"),"",LEFT($J40,4)&amp;MID($J40,6,2)&amp;RIGHT($J40,2)&amp;$N40&amp;"|"&amp;"2"&amp;RIGHT("00000"&amp;35,5))</f>
        <v/>
      </c>
      <c r="L40">
        <f>IF($K40="","",COUNTIFS(LdgPartyA,$F40,LdgKeyA,"&lt;"&amp;$K40)+COUNTIFS(LdgPartyB,$F40,LdgKeyB,"&lt;"&amp;$K40)+1)</f>
        <v/>
      </c>
      <c r="M40">
        <f>IF($L40="","",$F40&amp;"|"&amp;RIGHT("000000"&amp;$L40,6))</f>
        <v/>
      </c>
      <c r="N40">
        <f>IF($F40="","",IF(Sync!$AH40="","0000",IF(AND(ISNUMBER(Sync!$AH40),Sync!$AH40&gt;=0,Sync!$AH40&lt;1),RIGHT("00"&amp;HOUR(Sync!$AH40),2)&amp;RIGHT("00"&amp;MINUTE(Sync!$AH40),2),IFERROR(RIGHT("00"&amp;VALUE(LEFT(Sync!$AH40,FIND(":",Sync!$AH40)-1)),2)&amp;RIGHT("00"&amp;VALUE(MID(Sync!$AH40,FIND(":",Sync!$AH40)+1,2)),2),"0000"))))</f>
        <v/>
      </c>
    </row>
    <row r="41">
      <c r="A41">
        <f>IF(OR(Calc!$E44="",Calc!$E44="نامعتبر",Calc!$G44="",Calc!$I44&lt;&gt;"خرید"),"",Calc!$G44)</f>
        <v/>
      </c>
      <c r="B41">
        <f>IF($A41="","",LEFT(Calc!$E44,4)&amp;MID(Calc!$E44,6,2)&amp;RIGHT(Calc!$E44,2)&amp;Calc!$R44&amp;"|"&amp;"1"&amp;RIGHT("00000"&amp;36,5))</f>
        <v/>
      </c>
      <c r="C41">
        <f>IF($B41="","",COUNTIFS(LdgPartyA,$A41,LdgKeyA,"&lt;"&amp;$B41)+COUNTIFS(LdgPartyB,$A41,LdgKeyB,"&lt;"&amp;$B41)+1)</f>
        <v/>
      </c>
      <c r="D41">
        <f>IF($C41="","",$A41&amp;"|"&amp;RIGHT("000000"&amp;$C41,6))</f>
        <v/>
      </c>
      <c r="F41">
        <f>IF(Sync!$AJ41="","",Sync!$AJ41)</f>
        <v/>
      </c>
      <c r="G41">
        <f>IF($F41="","",IF(Sync!$AG41="","",IF(ISNUMBER(Sync!$AG41),IF(AND(Sync!$AG41&gt;=10000101,Sync!$AG41&lt;=99991231),INT(Sync!$AG41/10000),""),IFERROR(VALUE(TRIM(LEFT(Sync!$AG41,FIND("/",Sync!$AG41)-1))),""))))</f>
        <v/>
      </c>
      <c r="H41">
        <f>IF(OR($F41="",$G41=""),"",IF(ISNUMBER(Sync!$AG41),INT(MOD(Sync!$AG41,10000)/100),IFERROR(VALUE(TRIM(LEFT(MID(Sync!$AG41,FIND("/",Sync!$AG41)+1,20),FIND("/",MID(Sync!$AG41,FIND("/",Sync!$AG41)+1,20))-1))),"")))</f>
        <v/>
      </c>
      <c r="I41">
        <f>IF(OR($F41="",$G41=""),"",IF(ISNUMBER(Sync!$AG41),MOD(Sync!$AG41,100),IFERROR(VALUE(TRIM(MID(MID(Sync!$AG41,FIND("/",Sync!$AG41)+1,20),FIND("/",MID(Sync!$AG41,FIND("/",Sync!$AG41)+1,20))+1,20))),"")))</f>
        <v/>
      </c>
      <c r="J41">
        <f>IF($F41="","",IF(OR($G41="",$H41="",$I41="",$G41&lt;1300,$G41&gt;1500,$H41&lt;1,$H41&gt;12,$I41&lt;1,$I41&gt;31),"نامعتبر",RIGHT("0000"&amp;$G41,4)&amp;"/"&amp;RIGHT("00"&amp;$H41,2)&amp;"/"&amp;RIGHT("00"&amp;$I41,2)))</f>
        <v/>
      </c>
      <c r="K41">
        <f>IF(OR($F41="",$J41="",$J41="نامعتبر"),"",LEFT($J41,4)&amp;MID($J41,6,2)&amp;RIGHT($J41,2)&amp;$N41&amp;"|"&amp;"2"&amp;RIGHT("00000"&amp;36,5))</f>
        <v/>
      </c>
      <c r="L41">
        <f>IF($K41="","",COUNTIFS(LdgPartyA,$F41,LdgKeyA,"&lt;"&amp;$K41)+COUNTIFS(LdgPartyB,$F41,LdgKeyB,"&lt;"&amp;$K41)+1)</f>
        <v/>
      </c>
      <c r="M41">
        <f>IF($L41="","",$F41&amp;"|"&amp;RIGHT("000000"&amp;$L41,6))</f>
        <v/>
      </c>
      <c r="N41">
        <f>IF($F41="","",IF(Sync!$AH41="","0000",IF(AND(ISNUMBER(Sync!$AH41),Sync!$AH41&gt;=0,Sync!$AH41&lt;1),RIGHT("00"&amp;HOUR(Sync!$AH41),2)&amp;RIGHT("00"&amp;MINUTE(Sync!$AH41),2),IFERROR(RIGHT("00"&amp;VALUE(LEFT(Sync!$AH41,FIND(":",Sync!$AH41)-1)),2)&amp;RIGHT("00"&amp;VALUE(MID(Sync!$AH41,FIND(":",Sync!$AH41)+1,2)),2),"0000"))))</f>
        <v/>
      </c>
    </row>
    <row r="42">
      <c r="A42">
        <f>IF(OR(Calc!$E45="",Calc!$E45="نامعتبر",Calc!$G45="",Calc!$I45&lt;&gt;"خرید"),"",Calc!$G45)</f>
        <v/>
      </c>
      <c r="B42">
        <f>IF($A42="","",LEFT(Calc!$E45,4)&amp;MID(Calc!$E45,6,2)&amp;RIGHT(Calc!$E45,2)&amp;Calc!$R45&amp;"|"&amp;"1"&amp;RIGHT("00000"&amp;37,5))</f>
        <v/>
      </c>
      <c r="C42">
        <f>IF($B42="","",COUNTIFS(LdgPartyA,$A42,LdgKeyA,"&lt;"&amp;$B42)+COUNTIFS(LdgPartyB,$A42,LdgKeyB,"&lt;"&amp;$B42)+1)</f>
        <v/>
      </c>
      <c r="D42">
        <f>IF($C42="","",$A42&amp;"|"&amp;RIGHT("000000"&amp;$C42,6))</f>
        <v/>
      </c>
      <c r="F42">
        <f>IF(Sync!$AJ42="","",Sync!$AJ42)</f>
        <v/>
      </c>
      <c r="G42">
        <f>IF($F42="","",IF(Sync!$AG42="","",IF(ISNUMBER(Sync!$AG42),IF(AND(Sync!$AG42&gt;=10000101,Sync!$AG42&lt;=99991231),INT(Sync!$AG42/10000),""),IFERROR(VALUE(TRIM(LEFT(Sync!$AG42,FIND("/",Sync!$AG42)-1))),""))))</f>
        <v/>
      </c>
      <c r="H42">
        <f>IF(OR($F42="",$G42=""),"",IF(ISNUMBER(Sync!$AG42),INT(MOD(Sync!$AG42,10000)/100),IFERROR(VALUE(TRIM(LEFT(MID(Sync!$AG42,FIND("/",Sync!$AG42)+1,20),FIND("/",MID(Sync!$AG42,FIND("/",Sync!$AG42)+1,20))-1))),"")))</f>
        <v/>
      </c>
      <c r="I42">
        <f>IF(OR($F42="",$G42=""),"",IF(ISNUMBER(Sync!$AG42),MOD(Sync!$AG42,100),IFERROR(VALUE(TRIM(MID(MID(Sync!$AG42,FIND("/",Sync!$AG42)+1,20),FIND("/",MID(Sync!$AG42,FIND("/",Sync!$AG42)+1,20))+1,20))),"")))</f>
        <v/>
      </c>
      <c r="J42">
        <f>IF($F42="","",IF(OR($G42="",$H42="",$I42="",$G42&lt;1300,$G42&gt;1500,$H42&lt;1,$H42&gt;12,$I42&lt;1,$I42&gt;31),"نامعتبر",RIGHT("0000"&amp;$G42,4)&amp;"/"&amp;RIGHT("00"&amp;$H42,2)&amp;"/"&amp;RIGHT("00"&amp;$I42,2)))</f>
        <v/>
      </c>
      <c r="K42">
        <f>IF(OR($F42="",$J42="",$J42="نامعتبر"),"",LEFT($J42,4)&amp;MID($J42,6,2)&amp;RIGHT($J42,2)&amp;$N42&amp;"|"&amp;"2"&amp;RIGHT("00000"&amp;37,5))</f>
        <v/>
      </c>
      <c r="L42">
        <f>IF($K42="","",COUNTIFS(LdgPartyA,$F42,LdgKeyA,"&lt;"&amp;$K42)+COUNTIFS(LdgPartyB,$F42,LdgKeyB,"&lt;"&amp;$K42)+1)</f>
        <v/>
      </c>
      <c r="M42">
        <f>IF($L42="","",$F42&amp;"|"&amp;RIGHT("000000"&amp;$L42,6))</f>
        <v/>
      </c>
      <c r="N42">
        <f>IF($F42="","",IF(Sync!$AH42="","0000",IF(AND(ISNUMBER(Sync!$AH42),Sync!$AH42&gt;=0,Sync!$AH42&lt;1),RIGHT("00"&amp;HOUR(Sync!$AH42),2)&amp;RIGHT("00"&amp;MINUTE(Sync!$AH42),2),IFERROR(RIGHT("00"&amp;VALUE(LEFT(Sync!$AH42,FIND(":",Sync!$AH42)-1)),2)&amp;RIGHT("00"&amp;VALUE(MID(Sync!$AH42,FIND(":",Sync!$AH42)+1,2)),2),"0000"))))</f>
        <v/>
      </c>
    </row>
    <row r="43">
      <c r="A43">
        <f>IF(OR(Calc!$E46="",Calc!$E46="نامعتبر",Calc!$G46="",Calc!$I46&lt;&gt;"خرید"),"",Calc!$G46)</f>
        <v/>
      </c>
      <c r="B43">
        <f>IF($A43="","",LEFT(Calc!$E46,4)&amp;MID(Calc!$E46,6,2)&amp;RIGHT(Calc!$E46,2)&amp;Calc!$R46&amp;"|"&amp;"1"&amp;RIGHT("00000"&amp;38,5))</f>
        <v/>
      </c>
      <c r="C43">
        <f>IF($B43="","",COUNTIFS(LdgPartyA,$A43,LdgKeyA,"&lt;"&amp;$B43)+COUNTIFS(LdgPartyB,$A43,LdgKeyB,"&lt;"&amp;$B43)+1)</f>
        <v/>
      </c>
      <c r="D43">
        <f>IF($C43="","",$A43&amp;"|"&amp;RIGHT("000000"&amp;$C43,6))</f>
        <v/>
      </c>
      <c r="F43">
        <f>IF(Sync!$AJ43="","",Sync!$AJ43)</f>
        <v/>
      </c>
      <c r="G43">
        <f>IF($F43="","",IF(Sync!$AG43="","",IF(ISNUMBER(Sync!$AG43),IF(AND(Sync!$AG43&gt;=10000101,Sync!$AG43&lt;=99991231),INT(Sync!$AG43/10000),""),IFERROR(VALUE(TRIM(LEFT(Sync!$AG43,FIND("/",Sync!$AG43)-1))),""))))</f>
        <v/>
      </c>
      <c r="H43">
        <f>IF(OR($F43="",$G43=""),"",IF(ISNUMBER(Sync!$AG43),INT(MOD(Sync!$AG43,10000)/100),IFERROR(VALUE(TRIM(LEFT(MID(Sync!$AG43,FIND("/",Sync!$AG43)+1,20),FIND("/",MID(Sync!$AG43,FIND("/",Sync!$AG43)+1,20))-1))),"")))</f>
        <v/>
      </c>
      <c r="I43">
        <f>IF(OR($F43="",$G43=""),"",IF(ISNUMBER(Sync!$AG43),MOD(Sync!$AG43,100),IFERROR(VALUE(TRIM(MID(MID(Sync!$AG43,FIND("/",Sync!$AG43)+1,20),FIND("/",MID(Sync!$AG43,FIND("/",Sync!$AG43)+1,20))+1,20))),"")))</f>
        <v/>
      </c>
      <c r="J43">
        <f>IF($F43="","",IF(OR($G43="",$H43="",$I43="",$G43&lt;1300,$G43&gt;1500,$H43&lt;1,$H43&gt;12,$I43&lt;1,$I43&gt;31),"نامعتبر",RIGHT("0000"&amp;$G43,4)&amp;"/"&amp;RIGHT("00"&amp;$H43,2)&amp;"/"&amp;RIGHT("00"&amp;$I43,2)))</f>
        <v/>
      </c>
      <c r="K43">
        <f>IF(OR($F43="",$J43="",$J43="نامعتبر"),"",LEFT($J43,4)&amp;MID($J43,6,2)&amp;RIGHT($J43,2)&amp;$N43&amp;"|"&amp;"2"&amp;RIGHT("00000"&amp;38,5))</f>
        <v/>
      </c>
      <c r="L43">
        <f>IF($K43="","",COUNTIFS(LdgPartyA,$F43,LdgKeyA,"&lt;"&amp;$K43)+COUNTIFS(LdgPartyB,$F43,LdgKeyB,"&lt;"&amp;$K43)+1)</f>
        <v/>
      </c>
      <c r="M43">
        <f>IF($L43="","",$F43&amp;"|"&amp;RIGHT("000000"&amp;$L43,6))</f>
        <v/>
      </c>
      <c r="N43">
        <f>IF($F43="","",IF(Sync!$AH43="","0000",IF(AND(ISNUMBER(Sync!$AH43),Sync!$AH43&gt;=0,Sync!$AH43&lt;1),RIGHT("00"&amp;HOUR(Sync!$AH43),2)&amp;RIGHT("00"&amp;MINUTE(Sync!$AH43),2),IFERROR(RIGHT("00"&amp;VALUE(LEFT(Sync!$AH43,FIND(":",Sync!$AH43)-1)),2)&amp;RIGHT("00"&amp;VALUE(MID(Sync!$AH43,FIND(":",Sync!$AH43)+1,2)),2),"0000"))))</f>
        <v/>
      </c>
    </row>
    <row r="44">
      <c r="A44">
        <f>IF(OR(Calc!$E47="",Calc!$E47="نامعتبر",Calc!$G47="",Calc!$I47&lt;&gt;"خرید"),"",Calc!$G47)</f>
        <v/>
      </c>
      <c r="B44">
        <f>IF($A44="","",LEFT(Calc!$E47,4)&amp;MID(Calc!$E47,6,2)&amp;RIGHT(Calc!$E47,2)&amp;Calc!$R47&amp;"|"&amp;"1"&amp;RIGHT("00000"&amp;39,5))</f>
        <v/>
      </c>
      <c r="C44">
        <f>IF($B44="","",COUNTIFS(LdgPartyA,$A44,LdgKeyA,"&lt;"&amp;$B44)+COUNTIFS(LdgPartyB,$A44,LdgKeyB,"&lt;"&amp;$B44)+1)</f>
        <v/>
      </c>
      <c r="D44">
        <f>IF($C44="","",$A44&amp;"|"&amp;RIGHT("000000"&amp;$C44,6))</f>
        <v/>
      </c>
      <c r="F44">
        <f>IF(Sync!$AJ44="","",Sync!$AJ44)</f>
        <v/>
      </c>
      <c r="G44">
        <f>IF($F44="","",IF(Sync!$AG44="","",IF(ISNUMBER(Sync!$AG44),IF(AND(Sync!$AG44&gt;=10000101,Sync!$AG44&lt;=99991231),INT(Sync!$AG44/10000),""),IFERROR(VALUE(TRIM(LEFT(Sync!$AG44,FIND("/",Sync!$AG44)-1))),""))))</f>
        <v/>
      </c>
      <c r="H44">
        <f>IF(OR($F44="",$G44=""),"",IF(ISNUMBER(Sync!$AG44),INT(MOD(Sync!$AG44,10000)/100),IFERROR(VALUE(TRIM(LEFT(MID(Sync!$AG44,FIND("/",Sync!$AG44)+1,20),FIND("/",MID(Sync!$AG44,FIND("/",Sync!$AG44)+1,20))-1))),"")))</f>
        <v/>
      </c>
      <c r="I44">
        <f>IF(OR($F44="",$G44=""),"",IF(ISNUMBER(Sync!$AG44),MOD(Sync!$AG44,100),IFERROR(VALUE(TRIM(MID(MID(Sync!$AG44,FIND("/",Sync!$AG44)+1,20),FIND("/",MID(Sync!$AG44,FIND("/",Sync!$AG44)+1,20))+1,20))),"")))</f>
        <v/>
      </c>
      <c r="J44">
        <f>IF($F44="","",IF(OR($G44="",$H44="",$I44="",$G44&lt;1300,$G44&gt;1500,$H44&lt;1,$H44&gt;12,$I44&lt;1,$I44&gt;31),"نامعتبر",RIGHT("0000"&amp;$G44,4)&amp;"/"&amp;RIGHT("00"&amp;$H44,2)&amp;"/"&amp;RIGHT("00"&amp;$I44,2)))</f>
        <v/>
      </c>
      <c r="K44">
        <f>IF(OR($F44="",$J44="",$J44="نامعتبر"),"",LEFT($J44,4)&amp;MID($J44,6,2)&amp;RIGHT($J44,2)&amp;$N44&amp;"|"&amp;"2"&amp;RIGHT("00000"&amp;39,5))</f>
        <v/>
      </c>
      <c r="L44">
        <f>IF($K44="","",COUNTIFS(LdgPartyA,$F44,LdgKeyA,"&lt;"&amp;$K44)+COUNTIFS(LdgPartyB,$F44,LdgKeyB,"&lt;"&amp;$K44)+1)</f>
        <v/>
      </c>
      <c r="M44">
        <f>IF($L44="","",$F44&amp;"|"&amp;RIGHT("000000"&amp;$L44,6))</f>
        <v/>
      </c>
      <c r="N44">
        <f>IF($F44="","",IF(Sync!$AH44="","0000",IF(AND(ISNUMBER(Sync!$AH44),Sync!$AH44&gt;=0,Sync!$AH44&lt;1),RIGHT("00"&amp;HOUR(Sync!$AH44),2)&amp;RIGHT("00"&amp;MINUTE(Sync!$AH44),2),IFERROR(RIGHT("00"&amp;VALUE(LEFT(Sync!$AH44,FIND(":",Sync!$AH44)-1)),2)&amp;RIGHT("00"&amp;VALUE(MID(Sync!$AH44,FIND(":",Sync!$AH44)+1,2)),2),"0000"))))</f>
        <v/>
      </c>
    </row>
    <row r="45">
      <c r="A45">
        <f>IF(OR(Calc!$E48="",Calc!$E48="نامعتبر",Calc!$G48="",Calc!$I48&lt;&gt;"خرید"),"",Calc!$G48)</f>
        <v/>
      </c>
      <c r="B45">
        <f>IF($A45="","",LEFT(Calc!$E48,4)&amp;MID(Calc!$E48,6,2)&amp;RIGHT(Calc!$E48,2)&amp;Calc!$R48&amp;"|"&amp;"1"&amp;RIGHT("00000"&amp;40,5))</f>
        <v/>
      </c>
      <c r="C45">
        <f>IF($B45="","",COUNTIFS(LdgPartyA,$A45,LdgKeyA,"&lt;"&amp;$B45)+COUNTIFS(LdgPartyB,$A45,LdgKeyB,"&lt;"&amp;$B45)+1)</f>
        <v/>
      </c>
      <c r="D45">
        <f>IF($C45="","",$A45&amp;"|"&amp;RIGHT("000000"&amp;$C45,6))</f>
        <v/>
      </c>
      <c r="F45">
        <f>IF(Sync!$AJ45="","",Sync!$AJ45)</f>
        <v/>
      </c>
      <c r="G45">
        <f>IF($F45="","",IF(Sync!$AG45="","",IF(ISNUMBER(Sync!$AG45),IF(AND(Sync!$AG45&gt;=10000101,Sync!$AG45&lt;=99991231),INT(Sync!$AG45/10000),""),IFERROR(VALUE(TRIM(LEFT(Sync!$AG45,FIND("/",Sync!$AG45)-1))),""))))</f>
        <v/>
      </c>
      <c r="H45">
        <f>IF(OR($F45="",$G45=""),"",IF(ISNUMBER(Sync!$AG45),INT(MOD(Sync!$AG45,10000)/100),IFERROR(VALUE(TRIM(LEFT(MID(Sync!$AG45,FIND("/",Sync!$AG45)+1,20),FIND("/",MID(Sync!$AG45,FIND("/",Sync!$AG45)+1,20))-1))),"")))</f>
        <v/>
      </c>
      <c r="I45">
        <f>IF(OR($F45="",$G45=""),"",IF(ISNUMBER(Sync!$AG45),MOD(Sync!$AG45,100),IFERROR(VALUE(TRIM(MID(MID(Sync!$AG45,FIND("/",Sync!$AG45)+1,20),FIND("/",MID(Sync!$AG45,FIND("/",Sync!$AG45)+1,20))+1,20))),"")))</f>
        <v/>
      </c>
      <c r="J45">
        <f>IF($F45="","",IF(OR($G45="",$H45="",$I45="",$G45&lt;1300,$G45&gt;1500,$H45&lt;1,$H45&gt;12,$I45&lt;1,$I45&gt;31),"نامعتبر",RIGHT("0000"&amp;$G45,4)&amp;"/"&amp;RIGHT("00"&amp;$H45,2)&amp;"/"&amp;RIGHT("00"&amp;$I45,2)))</f>
        <v/>
      </c>
      <c r="K45">
        <f>IF(OR($F45="",$J45="",$J45="نامعتبر"),"",LEFT($J45,4)&amp;MID($J45,6,2)&amp;RIGHT($J45,2)&amp;$N45&amp;"|"&amp;"2"&amp;RIGHT("00000"&amp;40,5))</f>
        <v/>
      </c>
      <c r="L45">
        <f>IF($K45="","",COUNTIFS(LdgPartyA,$F45,LdgKeyA,"&lt;"&amp;$K45)+COUNTIFS(LdgPartyB,$F45,LdgKeyB,"&lt;"&amp;$K45)+1)</f>
        <v/>
      </c>
      <c r="M45">
        <f>IF($L45="","",$F45&amp;"|"&amp;RIGHT("000000"&amp;$L45,6))</f>
        <v/>
      </c>
      <c r="N45">
        <f>IF($F45="","",IF(Sync!$AH45="","0000",IF(AND(ISNUMBER(Sync!$AH45),Sync!$AH45&gt;=0,Sync!$AH45&lt;1),RIGHT("00"&amp;HOUR(Sync!$AH45),2)&amp;RIGHT("00"&amp;MINUTE(Sync!$AH45),2),IFERROR(RIGHT("00"&amp;VALUE(LEFT(Sync!$AH45,FIND(":",Sync!$AH45)-1)),2)&amp;RIGHT("00"&amp;VALUE(MID(Sync!$AH45,FIND(":",Sync!$AH45)+1,2)),2),"0000"))))</f>
        <v/>
      </c>
    </row>
    <row r="46">
      <c r="A46">
        <f>IF(OR(Calc!$E49="",Calc!$E49="نامعتبر",Calc!$G49="",Calc!$I49&lt;&gt;"خرید"),"",Calc!$G49)</f>
        <v/>
      </c>
      <c r="B46">
        <f>IF($A46="","",LEFT(Calc!$E49,4)&amp;MID(Calc!$E49,6,2)&amp;RIGHT(Calc!$E49,2)&amp;Calc!$R49&amp;"|"&amp;"1"&amp;RIGHT("00000"&amp;41,5))</f>
        <v/>
      </c>
      <c r="C46">
        <f>IF($B46="","",COUNTIFS(LdgPartyA,$A46,LdgKeyA,"&lt;"&amp;$B46)+COUNTIFS(LdgPartyB,$A46,LdgKeyB,"&lt;"&amp;$B46)+1)</f>
        <v/>
      </c>
      <c r="D46">
        <f>IF($C46="","",$A46&amp;"|"&amp;RIGHT("000000"&amp;$C46,6))</f>
        <v/>
      </c>
      <c r="F46">
        <f>IF(Sync!$AJ46="","",Sync!$AJ46)</f>
        <v/>
      </c>
      <c r="G46">
        <f>IF($F46="","",IF(Sync!$AG46="","",IF(ISNUMBER(Sync!$AG46),IF(AND(Sync!$AG46&gt;=10000101,Sync!$AG46&lt;=99991231),INT(Sync!$AG46/10000),""),IFERROR(VALUE(TRIM(LEFT(Sync!$AG46,FIND("/",Sync!$AG46)-1))),""))))</f>
        <v/>
      </c>
      <c r="H46">
        <f>IF(OR($F46="",$G46=""),"",IF(ISNUMBER(Sync!$AG46),INT(MOD(Sync!$AG46,10000)/100),IFERROR(VALUE(TRIM(LEFT(MID(Sync!$AG46,FIND("/",Sync!$AG46)+1,20),FIND("/",MID(Sync!$AG46,FIND("/",Sync!$AG46)+1,20))-1))),"")))</f>
        <v/>
      </c>
      <c r="I46">
        <f>IF(OR($F46="",$G46=""),"",IF(ISNUMBER(Sync!$AG46),MOD(Sync!$AG46,100),IFERROR(VALUE(TRIM(MID(MID(Sync!$AG46,FIND("/",Sync!$AG46)+1,20),FIND("/",MID(Sync!$AG46,FIND("/",Sync!$AG46)+1,20))+1,20))),"")))</f>
        <v/>
      </c>
      <c r="J46">
        <f>IF($F46="","",IF(OR($G46="",$H46="",$I46="",$G46&lt;1300,$G46&gt;1500,$H46&lt;1,$H46&gt;12,$I46&lt;1,$I46&gt;31),"نامعتبر",RIGHT("0000"&amp;$G46,4)&amp;"/"&amp;RIGHT("00"&amp;$H46,2)&amp;"/"&amp;RIGHT("00"&amp;$I46,2)))</f>
        <v/>
      </c>
      <c r="K46">
        <f>IF(OR($F46="",$J46="",$J46="نامعتبر"),"",LEFT($J46,4)&amp;MID($J46,6,2)&amp;RIGHT($J46,2)&amp;$N46&amp;"|"&amp;"2"&amp;RIGHT("00000"&amp;41,5))</f>
        <v/>
      </c>
      <c r="L46">
        <f>IF($K46="","",COUNTIFS(LdgPartyA,$F46,LdgKeyA,"&lt;"&amp;$K46)+COUNTIFS(LdgPartyB,$F46,LdgKeyB,"&lt;"&amp;$K46)+1)</f>
        <v/>
      </c>
      <c r="M46">
        <f>IF($L46="","",$F46&amp;"|"&amp;RIGHT("000000"&amp;$L46,6))</f>
        <v/>
      </c>
      <c r="N46">
        <f>IF($F46="","",IF(Sync!$AH46="","0000",IF(AND(ISNUMBER(Sync!$AH46),Sync!$AH46&gt;=0,Sync!$AH46&lt;1),RIGHT("00"&amp;HOUR(Sync!$AH46),2)&amp;RIGHT("00"&amp;MINUTE(Sync!$AH46),2),IFERROR(RIGHT("00"&amp;VALUE(LEFT(Sync!$AH46,FIND(":",Sync!$AH46)-1)),2)&amp;RIGHT("00"&amp;VALUE(MID(Sync!$AH46,FIND(":",Sync!$AH46)+1,2)),2),"0000"))))</f>
        <v/>
      </c>
    </row>
    <row r="47">
      <c r="A47">
        <f>IF(OR(Calc!$E50="",Calc!$E50="نامعتبر",Calc!$G50="",Calc!$I50&lt;&gt;"خرید"),"",Calc!$G50)</f>
        <v/>
      </c>
      <c r="B47">
        <f>IF($A47="","",LEFT(Calc!$E50,4)&amp;MID(Calc!$E50,6,2)&amp;RIGHT(Calc!$E50,2)&amp;Calc!$R50&amp;"|"&amp;"1"&amp;RIGHT("00000"&amp;42,5))</f>
        <v/>
      </c>
      <c r="C47">
        <f>IF($B47="","",COUNTIFS(LdgPartyA,$A47,LdgKeyA,"&lt;"&amp;$B47)+COUNTIFS(LdgPartyB,$A47,LdgKeyB,"&lt;"&amp;$B47)+1)</f>
        <v/>
      </c>
      <c r="D47">
        <f>IF($C47="","",$A47&amp;"|"&amp;RIGHT("000000"&amp;$C47,6))</f>
        <v/>
      </c>
      <c r="F47">
        <f>IF(Sync!$AJ47="","",Sync!$AJ47)</f>
        <v/>
      </c>
      <c r="G47">
        <f>IF($F47="","",IF(Sync!$AG47="","",IF(ISNUMBER(Sync!$AG47),IF(AND(Sync!$AG47&gt;=10000101,Sync!$AG47&lt;=99991231),INT(Sync!$AG47/10000),""),IFERROR(VALUE(TRIM(LEFT(Sync!$AG47,FIND("/",Sync!$AG47)-1))),""))))</f>
        <v/>
      </c>
      <c r="H47">
        <f>IF(OR($F47="",$G47=""),"",IF(ISNUMBER(Sync!$AG47),INT(MOD(Sync!$AG47,10000)/100),IFERROR(VALUE(TRIM(LEFT(MID(Sync!$AG47,FIND("/",Sync!$AG47)+1,20),FIND("/",MID(Sync!$AG47,FIND("/",Sync!$AG47)+1,20))-1))),"")))</f>
        <v/>
      </c>
      <c r="I47">
        <f>IF(OR($F47="",$G47=""),"",IF(ISNUMBER(Sync!$AG47),MOD(Sync!$AG47,100),IFERROR(VALUE(TRIM(MID(MID(Sync!$AG47,FIND("/",Sync!$AG47)+1,20),FIND("/",MID(Sync!$AG47,FIND("/",Sync!$AG47)+1,20))+1,20))),"")))</f>
        <v/>
      </c>
      <c r="J47">
        <f>IF($F47="","",IF(OR($G47="",$H47="",$I47="",$G47&lt;1300,$G47&gt;1500,$H47&lt;1,$H47&gt;12,$I47&lt;1,$I47&gt;31),"نامعتبر",RIGHT("0000"&amp;$G47,4)&amp;"/"&amp;RIGHT("00"&amp;$H47,2)&amp;"/"&amp;RIGHT("00"&amp;$I47,2)))</f>
        <v/>
      </c>
      <c r="K47">
        <f>IF(OR($F47="",$J47="",$J47="نامعتبر"),"",LEFT($J47,4)&amp;MID($J47,6,2)&amp;RIGHT($J47,2)&amp;$N47&amp;"|"&amp;"2"&amp;RIGHT("00000"&amp;42,5))</f>
        <v/>
      </c>
      <c r="L47">
        <f>IF($K47="","",COUNTIFS(LdgPartyA,$F47,LdgKeyA,"&lt;"&amp;$K47)+COUNTIFS(LdgPartyB,$F47,LdgKeyB,"&lt;"&amp;$K47)+1)</f>
        <v/>
      </c>
      <c r="M47">
        <f>IF($L47="","",$F47&amp;"|"&amp;RIGHT("000000"&amp;$L47,6))</f>
        <v/>
      </c>
      <c r="N47">
        <f>IF($F47="","",IF(Sync!$AH47="","0000",IF(AND(ISNUMBER(Sync!$AH47),Sync!$AH47&gt;=0,Sync!$AH47&lt;1),RIGHT("00"&amp;HOUR(Sync!$AH47),2)&amp;RIGHT("00"&amp;MINUTE(Sync!$AH47),2),IFERROR(RIGHT("00"&amp;VALUE(LEFT(Sync!$AH47,FIND(":",Sync!$AH47)-1)),2)&amp;RIGHT("00"&amp;VALUE(MID(Sync!$AH47,FIND(":",Sync!$AH47)+1,2)),2),"0000"))))</f>
        <v/>
      </c>
    </row>
    <row r="48">
      <c r="A48">
        <f>IF(OR(Calc!$E51="",Calc!$E51="نامعتبر",Calc!$G51="",Calc!$I51&lt;&gt;"خرید"),"",Calc!$G51)</f>
        <v/>
      </c>
      <c r="B48">
        <f>IF($A48="","",LEFT(Calc!$E51,4)&amp;MID(Calc!$E51,6,2)&amp;RIGHT(Calc!$E51,2)&amp;Calc!$R51&amp;"|"&amp;"1"&amp;RIGHT("00000"&amp;43,5))</f>
        <v/>
      </c>
      <c r="C48">
        <f>IF($B48="","",COUNTIFS(LdgPartyA,$A48,LdgKeyA,"&lt;"&amp;$B48)+COUNTIFS(LdgPartyB,$A48,LdgKeyB,"&lt;"&amp;$B48)+1)</f>
        <v/>
      </c>
      <c r="D48">
        <f>IF($C48="","",$A48&amp;"|"&amp;RIGHT("000000"&amp;$C48,6))</f>
        <v/>
      </c>
      <c r="F48">
        <f>IF(Sync!$AJ48="","",Sync!$AJ48)</f>
        <v/>
      </c>
      <c r="G48">
        <f>IF($F48="","",IF(Sync!$AG48="","",IF(ISNUMBER(Sync!$AG48),IF(AND(Sync!$AG48&gt;=10000101,Sync!$AG48&lt;=99991231),INT(Sync!$AG48/10000),""),IFERROR(VALUE(TRIM(LEFT(Sync!$AG48,FIND("/",Sync!$AG48)-1))),""))))</f>
        <v/>
      </c>
      <c r="H48">
        <f>IF(OR($F48="",$G48=""),"",IF(ISNUMBER(Sync!$AG48),INT(MOD(Sync!$AG48,10000)/100),IFERROR(VALUE(TRIM(LEFT(MID(Sync!$AG48,FIND("/",Sync!$AG48)+1,20),FIND("/",MID(Sync!$AG48,FIND("/",Sync!$AG48)+1,20))-1))),"")))</f>
        <v/>
      </c>
      <c r="I48">
        <f>IF(OR($F48="",$G48=""),"",IF(ISNUMBER(Sync!$AG48),MOD(Sync!$AG48,100),IFERROR(VALUE(TRIM(MID(MID(Sync!$AG48,FIND("/",Sync!$AG48)+1,20),FIND("/",MID(Sync!$AG48,FIND("/",Sync!$AG48)+1,20))+1,20))),"")))</f>
        <v/>
      </c>
      <c r="J48">
        <f>IF($F48="","",IF(OR($G48="",$H48="",$I48="",$G48&lt;1300,$G48&gt;1500,$H48&lt;1,$H48&gt;12,$I48&lt;1,$I48&gt;31),"نامعتبر",RIGHT("0000"&amp;$G48,4)&amp;"/"&amp;RIGHT("00"&amp;$H48,2)&amp;"/"&amp;RIGHT("00"&amp;$I48,2)))</f>
        <v/>
      </c>
      <c r="K48">
        <f>IF(OR($F48="",$J48="",$J48="نامعتبر"),"",LEFT($J48,4)&amp;MID($J48,6,2)&amp;RIGHT($J48,2)&amp;$N48&amp;"|"&amp;"2"&amp;RIGHT("00000"&amp;43,5))</f>
        <v/>
      </c>
      <c r="L48">
        <f>IF($K48="","",COUNTIFS(LdgPartyA,$F48,LdgKeyA,"&lt;"&amp;$K48)+COUNTIFS(LdgPartyB,$F48,LdgKeyB,"&lt;"&amp;$K48)+1)</f>
        <v/>
      </c>
      <c r="M48">
        <f>IF($L48="","",$F48&amp;"|"&amp;RIGHT("000000"&amp;$L48,6))</f>
        <v/>
      </c>
      <c r="N48">
        <f>IF($F48="","",IF(Sync!$AH48="","0000",IF(AND(ISNUMBER(Sync!$AH48),Sync!$AH48&gt;=0,Sync!$AH48&lt;1),RIGHT("00"&amp;HOUR(Sync!$AH48),2)&amp;RIGHT("00"&amp;MINUTE(Sync!$AH48),2),IFERROR(RIGHT("00"&amp;VALUE(LEFT(Sync!$AH48,FIND(":",Sync!$AH48)-1)),2)&amp;RIGHT("00"&amp;VALUE(MID(Sync!$AH48,FIND(":",Sync!$AH48)+1,2)),2),"0000"))))</f>
        <v/>
      </c>
    </row>
    <row r="49">
      <c r="A49">
        <f>IF(OR(Calc!$E52="",Calc!$E52="نامعتبر",Calc!$G52="",Calc!$I52&lt;&gt;"خرید"),"",Calc!$G52)</f>
        <v/>
      </c>
      <c r="B49">
        <f>IF($A49="","",LEFT(Calc!$E52,4)&amp;MID(Calc!$E52,6,2)&amp;RIGHT(Calc!$E52,2)&amp;Calc!$R52&amp;"|"&amp;"1"&amp;RIGHT("00000"&amp;44,5))</f>
        <v/>
      </c>
      <c r="C49">
        <f>IF($B49="","",COUNTIFS(LdgPartyA,$A49,LdgKeyA,"&lt;"&amp;$B49)+COUNTIFS(LdgPartyB,$A49,LdgKeyB,"&lt;"&amp;$B49)+1)</f>
        <v/>
      </c>
      <c r="D49">
        <f>IF($C49="","",$A49&amp;"|"&amp;RIGHT("000000"&amp;$C49,6))</f>
        <v/>
      </c>
      <c r="F49">
        <f>IF(Sync!$AJ49="","",Sync!$AJ49)</f>
        <v/>
      </c>
      <c r="G49">
        <f>IF($F49="","",IF(Sync!$AG49="","",IF(ISNUMBER(Sync!$AG49),IF(AND(Sync!$AG49&gt;=10000101,Sync!$AG49&lt;=99991231),INT(Sync!$AG49/10000),""),IFERROR(VALUE(TRIM(LEFT(Sync!$AG49,FIND("/",Sync!$AG49)-1))),""))))</f>
        <v/>
      </c>
      <c r="H49">
        <f>IF(OR($F49="",$G49=""),"",IF(ISNUMBER(Sync!$AG49),INT(MOD(Sync!$AG49,10000)/100),IFERROR(VALUE(TRIM(LEFT(MID(Sync!$AG49,FIND("/",Sync!$AG49)+1,20),FIND("/",MID(Sync!$AG49,FIND("/",Sync!$AG49)+1,20))-1))),"")))</f>
        <v/>
      </c>
      <c r="I49">
        <f>IF(OR($F49="",$G49=""),"",IF(ISNUMBER(Sync!$AG49),MOD(Sync!$AG49,100),IFERROR(VALUE(TRIM(MID(MID(Sync!$AG49,FIND("/",Sync!$AG49)+1,20),FIND("/",MID(Sync!$AG49,FIND("/",Sync!$AG49)+1,20))+1,20))),"")))</f>
        <v/>
      </c>
      <c r="J49">
        <f>IF($F49="","",IF(OR($G49="",$H49="",$I49="",$G49&lt;1300,$G49&gt;1500,$H49&lt;1,$H49&gt;12,$I49&lt;1,$I49&gt;31),"نامعتبر",RIGHT("0000"&amp;$G49,4)&amp;"/"&amp;RIGHT("00"&amp;$H49,2)&amp;"/"&amp;RIGHT("00"&amp;$I49,2)))</f>
        <v/>
      </c>
      <c r="K49">
        <f>IF(OR($F49="",$J49="",$J49="نامعتبر"),"",LEFT($J49,4)&amp;MID($J49,6,2)&amp;RIGHT($J49,2)&amp;$N49&amp;"|"&amp;"2"&amp;RIGHT("00000"&amp;44,5))</f>
        <v/>
      </c>
      <c r="L49">
        <f>IF($K49="","",COUNTIFS(LdgPartyA,$F49,LdgKeyA,"&lt;"&amp;$K49)+COUNTIFS(LdgPartyB,$F49,LdgKeyB,"&lt;"&amp;$K49)+1)</f>
        <v/>
      </c>
      <c r="M49">
        <f>IF($L49="","",$F49&amp;"|"&amp;RIGHT("000000"&amp;$L49,6))</f>
        <v/>
      </c>
      <c r="N49">
        <f>IF($F49="","",IF(Sync!$AH49="","0000",IF(AND(ISNUMBER(Sync!$AH49),Sync!$AH49&gt;=0,Sync!$AH49&lt;1),RIGHT("00"&amp;HOUR(Sync!$AH49),2)&amp;RIGHT("00"&amp;MINUTE(Sync!$AH49),2),IFERROR(RIGHT("00"&amp;VALUE(LEFT(Sync!$AH49,FIND(":",Sync!$AH49)-1)),2)&amp;RIGHT("00"&amp;VALUE(MID(Sync!$AH49,FIND(":",Sync!$AH49)+1,2)),2),"0000"))))</f>
        <v/>
      </c>
    </row>
    <row r="50">
      <c r="A50">
        <f>IF(OR(Calc!$E53="",Calc!$E53="نامعتبر",Calc!$G53="",Calc!$I53&lt;&gt;"خرید"),"",Calc!$G53)</f>
        <v/>
      </c>
      <c r="B50">
        <f>IF($A50="","",LEFT(Calc!$E53,4)&amp;MID(Calc!$E53,6,2)&amp;RIGHT(Calc!$E53,2)&amp;Calc!$R53&amp;"|"&amp;"1"&amp;RIGHT("00000"&amp;45,5))</f>
        <v/>
      </c>
      <c r="C50">
        <f>IF($B50="","",COUNTIFS(LdgPartyA,$A50,LdgKeyA,"&lt;"&amp;$B50)+COUNTIFS(LdgPartyB,$A50,LdgKeyB,"&lt;"&amp;$B50)+1)</f>
        <v/>
      </c>
      <c r="D50">
        <f>IF($C50="","",$A50&amp;"|"&amp;RIGHT("000000"&amp;$C50,6))</f>
        <v/>
      </c>
      <c r="F50">
        <f>IF(Sync!$AJ50="","",Sync!$AJ50)</f>
        <v/>
      </c>
      <c r="G50">
        <f>IF($F50="","",IF(Sync!$AG50="","",IF(ISNUMBER(Sync!$AG50),IF(AND(Sync!$AG50&gt;=10000101,Sync!$AG50&lt;=99991231),INT(Sync!$AG50/10000),""),IFERROR(VALUE(TRIM(LEFT(Sync!$AG50,FIND("/",Sync!$AG50)-1))),""))))</f>
        <v/>
      </c>
      <c r="H50">
        <f>IF(OR($F50="",$G50=""),"",IF(ISNUMBER(Sync!$AG50),INT(MOD(Sync!$AG50,10000)/100),IFERROR(VALUE(TRIM(LEFT(MID(Sync!$AG50,FIND("/",Sync!$AG50)+1,20),FIND("/",MID(Sync!$AG50,FIND("/",Sync!$AG50)+1,20))-1))),"")))</f>
        <v/>
      </c>
      <c r="I50">
        <f>IF(OR($F50="",$G50=""),"",IF(ISNUMBER(Sync!$AG50),MOD(Sync!$AG50,100),IFERROR(VALUE(TRIM(MID(MID(Sync!$AG50,FIND("/",Sync!$AG50)+1,20),FIND("/",MID(Sync!$AG50,FIND("/",Sync!$AG50)+1,20))+1,20))),"")))</f>
        <v/>
      </c>
      <c r="J50">
        <f>IF($F50="","",IF(OR($G50="",$H50="",$I50="",$G50&lt;1300,$G50&gt;1500,$H50&lt;1,$H50&gt;12,$I50&lt;1,$I50&gt;31),"نامعتبر",RIGHT("0000"&amp;$G50,4)&amp;"/"&amp;RIGHT("00"&amp;$H50,2)&amp;"/"&amp;RIGHT("00"&amp;$I50,2)))</f>
        <v/>
      </c>
      <c r="K50">
        <f>IF(OR($F50="",$J50="",$J50="نامعتبر"),"",LEFT($J50,4)&amp;MID($J50,6,2)&amp;RIGHT($J50,2)&amp;$N50&amp;"|"&amp;"2"&amp;RIGHT("00000"&amp;45,5))</f>
        <v/>
      </c>
      <c r="L50">
        <f>IF($K50="","",COUNTIFS(LdgPartyA,$F50,LdgKeyA,"&lt;"&amp;$K50)+COUNTIFS(LdgPartyB,$F50,LdgKeyB,"&lt;"&amp;$K50)+1)</f>
        <v/>
      </c>
      <c r="M50">
        <f>IF($L50="","",$F50&amp;"|"&amp;RIGHT("000000"&amp;$L50,6))</f>
        <v/>
      </c>
      <c r="N50">
        <f>IF($F50="","",IF(Sync!$AH50="","0000",IF(AND(ISNUMBER(Sync!$AH50),Sync!$AH50&gt;=0,Sync!$AH50&lt;1),RIGHT("00"&amp;HOUR(Sync!$AH50),2)&amp;RIGHT("00"&amp;MINUTE(Sync!$AH50),2),IFERROR(RIGHT("00"&amp;VALUE(LEFT(Sync!$AH50,FIND(":",Sync!$AH50)-1)),2)&amp;RIGHT("00"&amp;VALUE(MID(Sync!$AH50,FIND(":",Sync!$AH50)+1,2)),2),"0000"))))</f>
        <v/>
      </c>
    </row>
    <row r="51">
      <c r="A51">
        <f>IF(OR(Calc!$E54="",Calc!$E54="نامعتبر",Calc!$G54="",Calc!$I54&lt;&gt;"خرید"),"",Calc!$G54)</f>
        <v/>
      </c>
      <c r="B51">
        <f>IF($A51="","",LEFT(Calc!$E54,4)&amp;MID(Calc!$E54,6,2)&amp;RIGHT(Calc!$E54,2)&amp;Calc!$R54&amp;"|"&amp;"1"&amp;RIGHT("00000"&amp;46,5))</f>
        <v/>
      </c>
      <c r="C51">
        <f>IF($B51="","",COUNTIFS(LdgPartyA,$A51,LdgKeyA,"&lt;"&amp;$B51)+COUNTIFS(LdgPartyB,$A51,LdgKeyB,"&lt;"&amp;$B51)+1)</f>
        <v/>
      </c>
      <c r="D51">
        <f>IF($C51="","",$A51&amp;"|"&amp;RIGHT("000000"&amp;$C51,6))</f>
        <v/>
      </c>
      <c r="F51">
        <f>IF(Sync!$AJ51="","",Sync!$AJ51)</f>
        <v/>
      </c>
      <c r="G51">
        <f>IF($F51="","",IF(Sync!$AG51="","",IF(ISNUMBER(Sync!$AG51),IF(AND(Sync!$AG51&gt;=10000101,Sync!$AG51&lt;=99991231),INT(Sync!$AG51/10000),""),IFERROR(VALUE(TRIM(LEFT(Sync!$AG51,FIND("/",Sync!$AG51)-1))),""))))</f>
        <v/>
      </c>
      <c r="H51">
        <f>IF(OR($F51="",$G51=""),"",IF(ISNUMBER(Sync!$AG51),INT(MOD(Sync!$AG51,10000)/100),IFERROR(VALUE(TRIM(LEFT(MID(Sync!$AG51,FIND("/",Sync!$AG51)+1,20),FIND("/",MID(Sync!$AG51,FIND("/",Sync!$AG51)+1,20))-1))),"")))</f>
        <v/>
      </c>
      <c r="I51">
        <f>IF(OR($F51="",$G51=""),"",IF(ISNUMBER(Sync!$AG51),MOD(Sync!$AG51,100),IFERROR(VALUE(TRIM(MID(MID(Sync!$AG51,FIND("/",Sync!$AG51)+1,20),FIND("/",MID(Sync!$AG51,FIND("/",Sync!$AG51)+1,20))+1,20))),"")))</f>
        <v/>
      </c>
      <c r="J51">
        <f>IF($F51="","",IF(OR($G51="",$H51="",$I51="",$G51&lt;1300,$G51&gt;1500,$H51&lt;1,$H51&gt;12,$I51&lt;1,$I51&gt;31),"نامعتبر",RIGHT("0000"&amp;$G51,4)&amp;"/"&amp;RIGHT("00"&amp;$H51,2)&amp;"/"&amp;RIGHT("00"&amp;$I51,2)))</f>
        <v/>
      </c>
      <c r="K51">
        <f>IF(OR($F51="",$J51="",$J51="نامعتبر"),"",LEFT($J51,4)&amp;MID($J51,6,2)&amp;RIGHT($J51,2)&amp;$N51&amp;"|"&amp;"2"&amp;RIGHT("00000"&amp;46,5))</f>
        <v/>
      </c>
      <c r="L51">
        <f>IF($K51="","",COUNTIFS(LdgPartyA,$F51,LdgKeyA,"&lt;"&amp;$K51)+COUNTIFS(LdgPartyB,$F51,LdgKeyB,"&lt;"&amp;$K51)+1)</f>
        <v/>
      </c>
      <c r="M51">
        <f>IF($L51="","",$F51&amp;"|"&amp;RIGHT("000000"&amp;$L51,6))</f>
        <v/>
      </c>
      <c r="N51">
        <f>IF($F51="","",IF(Sync!$AH51="","0000",IF(AND(ISNUMBER(Sync!$AH51),Sync!$AH51&gt;=0,Sync!$AH51&lt;1),RIGHT("00"&amp;HOUR(Sync!$AH51),2)&amp;RIGHT("00"&amp;MINUTE(Sync!$AH51),2),IFERROR(RIGHT("00"&amp;VALUE(LEFT(Sync!$AH51,FIND(":",Sync!$AH51)-1)),2)&amp;RIGHT("00"&amp;VALUE(MID(Sync!$AH51,FIND(":",Sync!$AH51)+1,2)),2),"0000"))))</f>
        <v/>
      </c>
    </row>
    <row r="52">
      <c r="A52">
        <f>IF(OR(Calc!$E55="",Calc!$E55="نامعتبر",Calc!$G55="",Calc!$I55&lt;&gt;"خرید"),"",Calc!$G55)</f>
        <v/>
      </c>
      <c r="B52">
        <f>IF($A52="","",LEFT(Calc!$E55,4)&amp;MID(Calc!$E55,6,2)&amp;RIGHT(Calc!$E55,2)&amp;Calc!$R55&amp;"|"&amp;"1"&amp;RIGHT("00000"&amp;47,5))</f>
        <v/>
      </c>
      <c r="C52">
        <f>IF($B52="","",COUNTIFS(LdgPartyA,$A52,LdgKeyA,"&lt;"&amp;$B52)+COUNTIFS(LdgPartyB,$A52,LdgKeyB,"&lt;"&amp;$B52)+1)</f>
        <v/>
      </c>
      <c r="D52">
        <f>IF($C52="","",$A52&amp;"|"&amp;RIGHT("000000"&amp;$C52,6))</f>
        <v/>
      </c>
      <c r="F52">
        <f>IF(Sync!$AJ52="","",Sync!$AJ52)</f>
        <v/>
      </c>
      <c r="G52">
        <f>IF($F52="","",IF(Sync!$AG52="","",IF(ISNUMBER(Sync!$AG52),IF(AND(Sync!$AG52&gt;=10000101,Sync!$AG52&lt;=99991231),INT(Sync!$AG52/10000),""),IFERROR(VALUE(TRIM(LEFT(Sync!$AG52,FIND("/",Sync!$AG52)-1))),""))))</f>
        <v/>
      </c>
      <c r="H52">
        <f>IF(OR($F52="",$G52=""),"",IF(ISNUMBER(Sync!$AG52),INT(MOD(Sync!$AG52,10000)/100),IFERROR(VALUE(TRIM(LEFT(MID(Sync!$AG52,FIND("/",Sync!$AG52)+1,20),FIND("/",MID(Sync!$AG52,FIND("/",Sync!$AG52)+1,20))-1))),"")))</f>
        <v/>
      </c>
      <c r="I52">
        <f>IF(OR($F52="",$G52=""),"",IF(ISNUMBER(Sync!$AG52),MOD(Sync!$AG52,100),IFERROR(VALUE(TRIM(MID(MID(Sync!$AG52,FIND("/",Sync!$AG52)+1,20),FIND("/",MID(Sync!$AG52,FIND("/",Sync!$AG52)+1,20))+1,20))),"")))</f>
        <v/>
      </c>
      <c r="J52">
        <f>IF($F52="","",IF(OR($G52="",$H52="",$I52="",$G52&lt;1300,$G52&gt;1500,$H52&lt;1,$H52&gt;12,$I52&lt;1,$I52&gt;31),"نامعتبر",RIGHT("0000"&amp;$G52,4)&amp;"/"&amp;RIGHT("00"&amp;$H52,2)&amp;"/"&amp;RIGHT("00"&amp;$I52,2)))</f>
        <v/>
      </c>
      <c r="K52">
        <f>IF(OR($F52="",$J52="",$J52="نامعتبر"),"",LEFT($J52,4)&amp;MID($J52,6,2)&amp;RIGHT($J52,2)&amp;$N52&amp;"|"&amp;"2"&amp;RIGHT("00000"&amp;47,5))</f>
        <v/>
      </c>
      <c r="L52">
        <f>IF($K52="","",COUNTIFS(LdgPartyA,$F52,LdgKeyA,"&lt;"&amp;$K52)+COUNTIFS(LdgPartyB,$F52,LdgKeyB,"&lt;"&amp;$K52)+1)</f>
        <v/>
      </c>
      <c r="M52">
        <f>IF($L52="","",$F52&amp;"|"&amp;RIGHT("000000"&amp;$L52,6))</f>
        <v/>
      </c>
      <c r="N52">
        <f>IF($F52="","",IF(Sync!$AH52="","0000",IF(AND(ISNUMBER(Sync!$AH52),Sync!$AH52&gt;=0,Sync!$AH52&lt;1),RIGHT("00"&amp;HOUR(Sync!$AH52),2)&amp;RIGHT("00"&amp;MINUTE(Sync!$AH52),2),IFERROR(RIGHT("00"&amp;VALUE(LEFT(Sync!$AH52,FIND(":",Sync!$AH52)-1)),2)&amp;RIGHT("00"&amp;VALUE(MID(Sync!$AH52,FIND(":",Sync!$AH52)+1,2)),2),"0000"))))</f>
        <v/>
      </c>
    </row>
    <row r="53">
      <c r="A53">
        <f>IF(OR(Calc!$E56="",Calc!$E56="نامعتبر",Calc!$G56="",Calc!$I56&lt;&gt;"خرید"),"",Calc!$G56)</f>
        <v/>
      </c>
      <c r="B53">
        <f>IF($A53="","",LEFT(Calc!$E56,4)&amp;MID(Calc!$E56,6,2)&amp;RIGHT(Calc!$E56,2)&amp;Calc!$R56&amp;"|"&amp;"1"&amp;RIGHT("00000"&amp;48,5))</f>
        <v/>
      </c>
      <c r="C53">
        <f>IF($B53="","",COUNTIFS(LdgPartyA,$A53,LdgKeyA,"&lt;"&amp;$B53)+COUNTIFS(LdgPartyB,$A53,LdgKeyB,"&lt;"&amp;$B53)+1)</f>
        <v/>
      </c>
      <c r="D53">
        <f>IF($C53="","",$A53&amp;"|"&amp;RIGHT("000000"&amp;$C53,6))</f>
        <v/>
      </c>
      <c r="F53">
        <f>IF(Sync!$AJ53="","",Sync!$AJ53)</f>
        <v/>
      </c>
      <c r="G53">
        <f>IF($F53="","",IF(Sync!$AG53="","",IF(ISNUMBER(Sync!$AG53),IF(AND(Sync!$AG53&gt;=10000101,Sync!$AG53&lt;=99991231),INT(Sync!$AG53/10000),""),IFERROR(VALUE(TRIM(LEFT(Sync!$AG53,FIND("/",Sync!$AG53)-1))),""))))</f>
        <v/>
      </c>
      <c r="H53">
        <f>IF(OR($F53="",$G53=""),"",IF(ISNUMBER(Sync!$AG53),INT(MOD(Sync!$AG53,10000)/100),IFERROR(VALUE(TRIM(LEFT(MID(Sync!$AG53,FIND("/",Sync!$AG53)+1,20),FIND("/",MID(Sync!$AG53,FIND("/",Sync!$AG53)+1,20))-1))),"")))</f>
        <v/>
      </c>
      <c r="I53">
        <f>IF(OR($F53="",$G53=""),"",IF(ISNUMBER(Sync!$AG53),MOD(Sync!$AG53,100),IFERROR(VALUE(TRIM(MID(MID(Sync!$AG53,FIND("/",Sync!$AG53)+1,20),FIND("/",MID(Sync!$AG53,FIND("/",Sync!$AG53)+1,20))+1,20))),"")))</f>
        <v/>
      </c>
      <c r="J53">
        <f>IF($F53="","",IF(OR($G53="",$H53="",$I53="",$G53&lt;1300,$G53&gt;1500,$H53&lt;1,$H53&gt;12,$I53&lt;1,$I53&gt;31),"نامعتبر",RIGHT("0000"&amp;$G53,4)&amp;"/"&amp;RIGHT("00"&amp;$H53,2)&amp;"/"&amp;RIGHT("00"&amp;$I53,2)))</f>
        <v/>
      </c>
      <c r="K53">
        <f>IF(OR($F53="",$J53="",$J53="نامعتبر"),"",LEFT($J53,4)&amp;MID($J53,6,2)&amp;RIGHT($J53,2)&amp;$N53&amp;"|"&amp;"2"&amp;RIGHT("00000"&amp;48,5))</f>
        <v/>
      </c>
      <c r="L53">
        <f>IF($K53="","",COUNTIFS(LdgPartyA,$F53,LdgKeyA,"&lt;"&amp;$K53)+COUNTIFS(LdgPartyB,$F53,LdgKeyB,"&lt;"&amp;$K53)+1)</f>
        <v/>
      </c>
      <c r="M53">
        <f>IF($L53="","",$F53&amp;"|"&amp;RIGHT("000000"&amp;$L53,6))</f>
        <v/>
      </c>
      <c r="N53">
        <f>IF($F53="","",IF(Sync!$AH53="","0000",IF(AND(ISNUMBER(Sync!$AH53),Sync!$AH53&gt;=0,Sync!$AH53&lt;1),RIGHT("00"&amp;HOUR(Sync!$AH53),2)&amp;RIGHT("00"&amp;MINUTE(Sync!$AH53),2),IFERROR(RIGHT("00"&amp;VALUE(LEFT(Sync!$AH53,FIND(":",Sync!$AH53)-1)),2)&amp;RIGHT("00"&amp;VALUE(MID(Sync!$AH53,FIND(":",Sync!$AH53)+1,2)),2),"0000"))))</f>
        <v/>
      </c>
    </row>
    <row r="54">
      <c r="A54">
        <f>IF(OR(Calc!$E57="",Calc!$E57="نامعتبر",Calc!$G57="",Calc!$I57&lt;&gt;"خرید"),"",Calc!$G57)</f>
        <v/>
      </c>
      <c r="B54">
        <f>IF($A54="","",LEFT(Calc!$E57,4)&amp;MID(Calc!$E57,6,2)&amp;RIGHT(Calc!$E57,2)&amp;Calc!$R57&amp;"|"&amp;"1"&amp;RIGHT("00000"&amp;49,5))</f>
        <v/>
      </c>
      <c r="C54">
        <f>IF($B54="","",COUNTIFS(LdgPartyA,$A54,LdgKeyA,"&lt;"&amp;$B54)+COUNTIFS(LdgPartyB,$A54,LdgKeyB,"&lt;"&amp;$B54)+1)</f>
        <v/>
      </c>
      <c r="D54">
        <f>IF($C54="","",$A54&amp;"|"&amp;RIGHT("000000"&amp;$C54,6))</f>
        <v/>
      </c>
      <c r="F54">
        <f>IF(Sync!$AJ54="","",Sync!$AJ54)</f>
        <v/>
      </c>
      <c r="G54">
        <f>IF($F54="","",IF(Sync!$AG54="","",IF(ISNUMBER(Sync!$AG54),IF(AND(Sync!$AG54&gt;=10000101,Sync!$AG54&lt;=99991231),INT(Sync!$AG54/10000),""),IFERROR(VALUE(TRIM(LEFT(Sync!$AG54,FIND("/",Sync!$AG54)-1))),""))))</f>
        <v/>
      </c>
      <c r="H54">
        <f>IF(OR($F54="",$G54=""),"",IF(ISNUMBER(Sync!$AG54),INT(MOD(Sync!$AG54,10000)/100),IFERROR(VALUE(TRIM(LEFT(MID(Sync!$AG54,FIND("/",Sync!$AG54)+1,20),FIND("/",MID(Sync!$AG54,FIND("/",Sync!$AG54)+1,20))-1))),"")))</f>
        <v/>
      </c>
      <c r="I54">
        <f>IF(OR($F54="",$G54=""),"",IF(ISNUMBER(Sync!$AG54),MOD(Sync!$AG54,100),IFERROR(VALUE(TRIM(MID(MID(Sync!$AG54,FIND("/",Sync!$AG54)+1,20),FIND("/",MID(Sync!$AG54,FIND("/",Sync!$AG54)+1,20))+1,20))),"")))</f>
        <v/>
      </c>
      <c r="J54">
        <f>IF($F54="","",IF(OR($G54="",$H54="",$I54="",$G54&lt;1300,$G54&gt;1500,$H54&lt;1,$H54&gt;12,$I54&lt;1,$I54&gt;31),"نامعتبر",RIGHT("0000"&amp;$G54,4)&amp;"/"&amp;RIGHT("00"&amp;$H54,2)&amp;"/"&amp;RIGHT("00"&amp;$I54,2)))</f>
        <v/>
      </c>
      <c r="K54">
        <f>IF(OR($F54="",$J54="",$J54="نامعتبر"),"",LEFT($J54,4)&amp;MID($J54,6,2)&amp;RIGHT($J54,2)&amp;$N54&amp;"|"&amp;"2"&amp;RIGHT("00000"&amp;49,5))</f>
        <v/>
      </c>
      <c r="L54">
        <f>IF($K54="","",COUNTIFS(LdgPartyA,$F54,LdgKeyA,"&lt;"&amp;$K54)+COUNTIFS(LdgPartyB,$F54,LdgKeyB,"&lt;"&amp;$K54)+1)</f>
        <v/>
      </c>
      <c r="M54">
        <f>IF($L54="","",$F54&amp;"|"&amp;RIGHT("000000"&amp;$L54,6))</f>
        <v/>
      </c>
      <c r="N54">
        <f>IF($F54="","",IF(Sync!$AH54="","0000",IF(AND(ISNUMBER(Sync!$AH54),Sync!$AH54&gt;=0,Sync!$AH54&lt;1),RIGHT("00"&amp;HOUR(Sync!$AH54),2)&amp;RIGHT("00"&amp;MINUTE(Sync!$AH54),2),IFERROR(RIGHT("00"&amp;VALUE(LEFT(Sync!$AH54,FIND(":",Sync!$AH54)-1)),2)&amp;RIGHT("00"&amp;VALUE(MID(Sync!$AH54,FIND(":",Sync!$AH54)+1,2)),2),"0000"))))</f>
        <v/>
      </c>
    </row>
    <row r="55">
      <c r="A55">
        <f>IF(OR(Calc!$E58="",Calc!$E58="نامعتبر",Calc!$G58="",Calc!$I58&lt;&gt;"خرید"),"",Calc!$G58)</f>
        <v/>
      </c>
      <c r="B55">
        <f>IF($A55="","",LEFT(Calc!$E58,4)&amp;MID(Calc!$E58,6,2)&amp;RIGHT(Calc!$E58,2)&amp;Calc!$R58&amp;"|"&amp;"1"&amp;RIGHT("00000"&amp;50,5))</f>
        <v/>
      </c>
      <c r="C55">
        <f>IF($B55="","",COUNTIFS(LdgPartyA,$A55,LdgKeyA,"&lt;"&amp;$B55)+COUNTIFS(LdgPartyB,$A55,LdgKeyB,"&lt;"&amp;$B55)+1)</f>
        <v/>
      </c>
      <c r="D55">
        <f>IF($C55="","",$A55&amp;"|"&amp;RIGHT("000000"&amp;$C55,6))</f>
        <v/>
      </c>
      <c r="F55">
        <f>IF(Sync!$AJ55="","",Sync!$AJ55)</f>
        <v/>
      </c>
      <c r="G55">
        <f>IF($F55="","",IF(Sync!$AG55="","",IF(ISNUMBER(Sync!$AG55),IF(AND(Sync!$AG55&gt;=10000101,Sync!$AG55&lt;=99991231),INT(Sync!$AG55/10000),""),IFERROR(VALUE(TRIM(LEFT(Sync!$AG55,FIND("/",Sync!$AG55)-1))),""))))</f>
        <v/>
      </c>
      <c r="H55">
        <f>IF(OR($F55="",$G55=""),"",IF(ISNUMBER(Sync!$AG55),INT(MOD(Sync!$AG55,10000)/100),IFERROR(VALUE(TRIM(LEFT(MID(Sync!$AG55,FIND("/",Sync!$AG55)+1,20),FIND("/",MID(Sync!$AG55,FIND("/",Sync!$AG55)+1,20))-1))),"")))</f>
        <v/>
      </c>
      <c r="I55">
        <f>IF(OR($F55="",$G55=""),"",IF(ISNUMBER(Sync!$AG55),MOD(Sync!$AG55,100),IFERROR(VALUE(TRIM(MID(MID(Sync!$AG55,FIND("/",Sync!$AG55)+1,20),FIND("/",MID(Sync!$AG55,FIND("/",Sync!$AG55)+1,20))+1,20))),"")))</f>
        <v/>
      </c>
      <c r="J55">
        <f>IF($F55="","",IF(OR($G55="",$H55="",$I55="",$G55&lt;1300,$G55&gt;1500,$H55&lt;1,$H55&gt;12,$I55&lt;1,$I55&gt;31),"نامعتبر",RIGHT("0000"&amp;$G55,4)&amp;"/"&amp;RIGHT("00"&amp;$H55,2)&amp;"/"&amp;RIGHT("00"&amp;$I55,2)))</f>
        <v/>
      </c>
      <c r="K55">
        <f>IF(OR($F55="",$J55="",$J55="نامعتبر"),"",LEFT($J55,4)&amp;MID($J55,6,2)&amp;RIGHT($J55,2)&amp;$N55&amp;"|"&amp;"2"&amp;RIGHT("00000"&amp;50,5))</f>
        <v/>
      </c>
      <c r="L55">
        <f>IF($K55="","",COUNTIFS(LdgPartyA,$F55,LdgKeyA,"&lt;"&amp;$K55)+COUNTIFS(LdgPartyB,$F55,LdgKeyB,"&lt;"&amp;$K55)+1)</f>
        <v/>
      </c>
      <c r="M55">
        <f>IF($L55="","",$F55&amp;"|"&amp;RIGHT("000000"&amp;$L55,6))</f>
        <v/>
      </c>
      <c r="N55">
        <f>IF($F55="","",IF(Sync!$AH55="","0000",IF(AND(ISNUMBER(Sync!$AH55),Sync!$AH55&gt;=0,Sync!$AH55&lt;1),RIGHT("00"&amp;HOUR(Sync!$AH55),2)&amp;RIGHT("00"&amp;MINUTE(Sync!$AH55),2),IFERROR(RIGHT("00"&amp;VALUE(LEFT(Sync!$AH55,FIND(":",Sync!$AH55)-1)),2)&amp;RIGHT("00"&amp;VALUE(MID(Sync!$AH55,FIND(":",Sync!$AH55)+1,2)),2),"0000"))))</f>
        <v/>
      </c>
    </row>
    <row r="56">
      <c r="A56">
        <f>IF(OR(Calc!$E59="",Calc!$E59="نامعتبر",Calc!$G59="",Calc!$I59&lt;&gt;"خرید"),"",Calc!$G59)</f>
        <v/>
      </c>
      <c r="B56">
        <f>IF($A56="","",LEFT(Calc!$E59,4)&amp;MID(Calc!$E59,6,2)&amp;RIGHT(Calc!$E59,2)&amp;Calc!$R59&amp;"|"&amp;"1"&amp;RIGHT("00000"&amp;51,5))</f>
        <v/>
      </c>
      <c r="C56">
        <f>IF($B56="","",COUNTIFS(LdgPartyA,$A56,LdgKeyA,"&lt;"&amp;$B56)+COUNTIFS(LdgPartyB,$A56,LdgKeyB,"&lt;"&amp;$B56)+1)</f>
        <v/>
      </c>
      <c r="D56">
        <f>IF($C56="","",$A56&amp;"|"&amp;RIGHT("000000"&amp;$C56,6))</f>
        <v/>
      </c>
      <c r="F56">
        <f>IF(Sync!$AJ56="","",Sync!$AJ56)</f>
        <v/>
      </c>
      <c r="G56">
        <f>IF($F56="","",IF(Sync!$AG56="","",IF(ISNUMBER(Sync!$AG56),IF(AND(Sync!$AG56&gt;=10000101,Sync!$AG56&lt;=99991231),INT(Sync!$AG56/10000),""),IFERROR(VALUE(TRIM(LEFT(Sync!$AG56,FIND("/",Sync!$AG56)-1))),""))))</f>
        <v/>
      </c>
      <c r="H56">
        <f>IF(OR($F56="",$G56=""),"",IF(ISNUMBER(Sync!$AG56),INT(MOD(Sync!$AG56,10000)/100),IFERROR(VALUE(TRIM(LEFT(MID(Sync!$AG56,FIND("/",Sync!$AG56)+1,20),FIND("/",MID(Sync!$AG56,FIND("/",Sync!$AG56)+1,20))-1))),"")))</f>
        <v/>
      </c>
      <c r="I56">
        <f>IF(OR($F56="",$G56=""),"",IF(ISNUMBER(Sync!$AG56),MOD(Sync!$AG56,100),IFERROR(VALUE(TRIM(MID(MID(Sync!$AG56,FIND("/",Sync!$AG56)+1,20),FIND("/",MID(Sync!$AG56,FIND("/",Sync!$AG56)+1,20))+1,20))),"")))</f>
        <v/>
      </c>
      <c r="J56">
        <f>IF($F56="","",IF(OR($G56="",$H56="",$I56="",$G56&lt;1300,$G56&gt;1500,$H56&lt;1,$H56&gt;12,$I56&lt;1,$I56&gt;31),"نامعتبر",RIGHT("0000"&amp;$G56,4)&amp;"/"&amp;RIGHT("00"&amp;$H56,2)&amp;"/"&amp;RIGHT("00"&amp;$I56,2)))</f>
        <v/>
      </c>
      <c r="K56">
        <f>IF(OR($F56="",$J56="",$J56="نامعتبر"),"",LEFT($J56,4)&amp;MID($J56,6,2)&amp;RIGHT($J56,2)&amp;$N56&amp;"|"&amp;"2"&amp;RIGHT("00000"&amp;51,5))</f>
        <v/>
      </c>
      <c r="L56">
        <f>IF($K56="","",COUNTIFS(LdgPartyA,$F56,LdgKeyA,"&lt;"&amp;$K56)+COUNTIFS(LdgPartyB,$F56,LdgKeyB,"&lt;"&amp;$K56)+1)</f>
        <v/>
      </c>
      <c r="M56">
        <f>IF($L56="","",$F56&amp;"|"&amp;RIGHT("000000"&amp;$L56,6))</f>
        <v/>
      </c>
      <c r="N56">
        <f>IF($F56="","",IF(Sync!$AH56="","0000",IF(AND(ISNUMBER(Sync!$AH56),Sync!$AH56&gt;=0,Sync!$AH56&lt;1),RIGHT("00"&amp;HOUR(Sync!$AH56),2)&amp;RIGHT("00"&amp;MINUTE(Sync!$AH56),2),IFERROR(RIGHT("00"&amp;VALUE(LEFT(Sync!$AH56,FIND(":",Sync!$AH56)-1)),2)&amp;RIGHT("00"&amp;VALUE(MID(Sync!$AH56,FIND(":",Sync!$AH56)+1,2)),2),"0000"))))</f>
        <v/>
      </c>
    </row>
    <row r="57">
      <c r="A57">
        <f>IF(OR(Calc!$E60="",Calc!$E60="نامعتبر",Calc!$G60="",Calc!$I60&lt;&gt;"خرید"),"",Calc!$G60)</f>
        <v/>
      </c>
      <c r="B57">
        <f>IF($A57="","",LEFT(Calc!$E60,4)&amp;MID(Calc!$E60,6,2)&amp;RIGHT(Calc!$E60,2)&amp;Calc!$R60&amp;"|"&amp;"1"&amp;RIGHT("00000"&amp;52,5))</f>
        <v/>
      </c>
      <c r="C57">
        <f>IF($B57="","",COUNTIFS(LdgPartyA,$A57,LdgKeyA,"&lt;"&amp;$B57)+COUNTIFS(LdgPartyB,$A57,LdgKeyB,"&lt;"&amp;$B57)+1)</f>
        <v/>
      </c>
      <c r="D57">
        <f>IF($C57="","",$A57&amp;"|"&amp;RIGHT("000000"&amp;$C57,6))</f>
        <v/>
      </c>
      <c r="F57">
        <f>IF(Sync!$AJ57="","",Sync!$AJ57)</f>
        <v/>
      </c>
      <c r="G57">
        <f>IF($F57="","",IF(Sync!$AG57="","",IF(ISNUMBER(Sync!$AG57),IF(AND(Sync!$AG57&gt;=10000101,Sync!$AG57&lt;=99991231),INT(Sync!$AG57/10000),""),IFERROR(VALUE(TRIM(LEFT(Sync!$AG57,FIND("/",Sync!$AG57)-1))),""))))</f>
        <v/>
      </c>
      <c r="H57">
        <f>IF(OR($F57="",$G57=""),"",IF(ISNUMBER(Sync!$AG57),INT(MOD(Sync!$AG57,10000)/100),IFERROR(VALUE(TRIM(LEFT(MID(Sync!$AG57,FIND("/",Sync!$AG57)+1,20),FIND("/",MID(Sync!$AG57,FIND("/",Sync!$AG57)+1,20))-1))),"")))</f>
        <v/>
      </c>
      <c r="I57">
        <f>IF(OR($F57="",$G57=""),"",IF(ISNUMBER(Sync!$AG57),MOD(Sync!$AG57,100),IFERROR(VALUE(TRIM(MID(MID(Sync!$AG57,FIND("/",Sync!$AG57)+1,20),FIND("/",MID(Sync!$AG57,FIND("/",Sync!$AG57)+1,20))+1,20))),"")))</f>
        <v/>
      </c>
      <c r="J57">
        <f>IF($F57="","",IF(OR($G57="",$H57="",$I57="",$G57&lt;1300,$G57&gt;1500,$H57&lt;1,$H57&gt;12,$I57&lt;1,$I57&gt;31),"نامعتبر",RIGHT("0000"&amp;$G57,4)&amp;"/"&amp;RIGHT("00"&amp;$H57,2)&amp;"/"&amp;RIGHT("00"&amp;$I57,2)))</f>
        <v/>
      </c>
      <c r="K57">
        <f>IF(OR($F57="",$J57="",$J57="نامعتبر"),"",LEFT($J57,4)&amp;MID($J57,6,2)&amp;RIGHT($J57,2)&amp;$N57&amp;"|"&amp;"2"&amp;RIGHT("00000"&amp;52,5))</f>
        <v/>
      </c>
      <c r="L57">
        <f>IF($K57="","",COUNTIFS(LdgPartyA,$F57,LdgKeyA,"&lt;"&amp;$K57)+COUNTIFS(LdgPartyB,$F57,LdgKeyB,"&lt;"&amp;$K57)+1)</f>
        <v/>
      </c>
      <c r="M57">
        <f>IF($L57="","",$F57&amp;"|"&amp;RIGHT("000000"&amp;$L57,6))</f>
        <v/>
      </c>
      <c r="N57">
        <f>IF($F57="","",IF(Sync!$AH57="","0000",IF(AND(ISNUMBER(Sync!$AH57),Sync!$AH57&gt;=0,Sync!$AH57&lt;1),RIGHT("00"&amp;HOUR(Sync!$AH57),2)&amp;RIGHT("00"&amp;MINUTE(Sync!$AH57),2),IFERROR(RIGHT("00"&amp;VALUE(LEFT(Sync!$AH57,FIND(":",Sync!$AH57)-1)),2)&amp;RIGHT("00"&amp;VALUE(MID(Sync!$AH57,FIND(":",Sync!$AH57)+1,2)),2),"0000"))))</f>
        <v/>
      </c>
    </row>
    <row r="58">
      <c r="A58">
        <f>IF(OR(Calc!$E61="",Calc!$E61="نامعتبر",Calc!$G61="",Calc!$I61&lt;&gt;"خرید"),"",Calc!$G61)</f>
        <v/>
      </c>
      <c r="B58">
        <f>IF($A58="","",LEFT(Calc!$E61,4)&amp;MID(Calc!$E61,6,2)&amp;RIGHT(Calc!$E61,2)&amp;Calc!$R61&amp;"|"&amp;"1"&amp;RIGHT("00000"&amp;53,5))</f>
        <v/>
      </c>
      <c r="C58">
        <f>IF($B58="","",COUNTIFS(LdgPartyA,$A58,LdgKeyA,"&lt;"&amp;$B58)+COUNTIFS(LdgPartyB,$A58,LdgKeyB,"&lt;"&amp;$B58)+1)</f>
        <v/>
      </c>
      <c r="D58">
        <f>IF($C58="","",$A58&amp;"|"&amp;RIGHT("000000"&amp;$C58,6))</f>
        <v/>
      </c>
      <c r="F58">
        <f>IF(Sync!$AJ58="","",Sync!$AJ58)</f>
        <v/>
      </c>
      <c r="G58">
        <f>IF($F58="","",IF(Sync!$AG58="","",IF(ISNUMBER(Sync!$AG58),IF(AND(Sync!$AG58&gt;=10000101,Sync!$AG58&lt;=99991231),INT(Sync!$AG58/10000),""),IFERROR(VALUE(TRIM(LEFT(Sync!$AG58,FIND("/",Sync!$AG58)-1))),""))))</f>
        <v/>
      </c>
      <c r="H58">
        <f>IF(OR($F58="",$G58=""),"",IF(ISNUMBER(Sync!$AG58),INT(MOD(Sync!$AG58,10000)/100),IFERROR(VALUE(TRIM(LEFT(MID(Sync!$AG58,FIND("/",Sync!$AG58)+1,20),FIND("/",MID(Sync!$AG58,FIND("/",Sync!$AG58)+1,20))-1))),"")))</f>
        <v/>
      </c>
      <c r="I58">
        <f>IF(OR($F58="",$G58=""),"",IF(ISNUMBER(Sync!$AG58),MOD(Sync!$AG58,100),IFERROR(VALUE(TRIM(MID(MID(Sync!$AG58,FIND("/",Sync!$AG58)+1,20),FIND("/",MID(Sync!$AG58,FIND("/",Sync!$AG58)+1,20))+1,20))),"")))</f>
        <v/>
      </c>
      <c r="J58">
        <f>IF($F58="","",IF(OR($G58="",$H58="",$I58="",$G58&lt;1300,$G58&gt;1500,$H58&lt;1,$H58&gt;12,$I58&lt;1,$I58&gt;31),"نامعتبر",RIGHT("0000"&amp;$G58,4)&amp;"/"&amp;RIGHT("00"&amp;$H58,2)&amp;"/"&amp;RIGHT("00"&amp;$I58,2)))</f>
        <v/>
      </c>
      <c r="K58">
        <f>IF(OR($F58="",$J58="",$J58="نامعتبر"),"",LEFT($J58,4)&amp;MID($J58,6,2)&amp;RIGHT($J58,2)&amp;$N58&amp;"|"&amp;"2"&amp;RIGHT("00000"&amp;53,5))</f>
        <v/>
      </c>
      <c r="L58">
        <f>IF($K58="","",COUNTIFS(LdgPartyA,$F58,LdgKeyA,"&lt;"&amp;$K58)+COUNTIFS(LdgPartyB,$F58,LdgKeyB,"&lt;"&amp;$K58)+1)</f>
        <v/>
      </c>
      <c r="M58">
        <f>IF($L58="","",$F58&amp;"|"&amp;RIGHT("000000"&amp;$L58,6))</f>
        <v/>
      </c>
      <c r="N58">
        <f>IF($F58="","",IF(Sync!$AH58="","0000",IF(AND(ISNUMBER(Sync!$AH58),Sync!$AH58&gt;=0,Sync!$AH58&lt;1),RIGHT("00"&amp;HOUR(Sync!$AH58),2)&amp;RIGHT("00"&amp;MINUTE(Sync!$AH58),2),IFERROR(RIGHT("00"&amp;VALUE(LEFT(Sync!$AH58,FIND(":",Sync!$AH58)-1)),2)&amp;RIGHT("00"&amp;VALUE(MID(Sync!$AH58,FIND(":",Sync!$AH58)+1,2)),2),"0000"))))</f>
        <v/>
      </c>
    </row>
    <row r="59">
      <c r="A59">
        <f>IF(OR(Calc!$E62="",Calc!$E62="نامعتبر",Calc!$G62="",Calc!$I62&lt;&gt;"خرید"),"",Calc!$G62)</f>
        <v/>
      </c>
      <c r="B59">
        <f>IF($A59="","",LEFT(Calc!$E62,4)&amp;MID(Calc!$E62,6,2)&amp;RIGHT(Calc!$E62,2)&amp;Calc!$R62&amp;"|"&amp;"1"&amp;RIGHT("00000"&amp;54,5))</f>
        <v/>
      </c>
      <c r="C59">
        <f>IF($B59="","",COUNTIFS(LdgPartyA,$A59,LdgKeyA,"&lt;"&amp;$B59)+COUNTIFS(LdgPartyB,$A59,LdgKeyB,"&lt;"&amp;$B59)+1)</f>
        <v/>
      </c>
      <c r="D59">
        <f>IF($C59="","",$A59&amp;"|"&amp;RIGHT("000000"&amp;$C59,6))</f>
        <v/>
      </c>
      <c r="F59">
        <f>IF(Sync!$AJ59="","",Sync!$AJ59)</f>
        <v/>
      </c>
      <c r="G59">
        <f>IF($F59="","",IF(Sync!$AG59="","",IF(ISNUMBER(Sync!$AG59),IF(AND(Sync!$AG59&gt;=10000101,Sync!$AG59&lt;=99991231),INT(Sync!$AG59/10000),""),IFERROR(VALUE(TRIM(LEFT(Sync!$AG59,FIND("/",Sync!$AG59)-1))),""))))</f>
        <v/>
      </c>
      <c r="H59">
        <f>IF(OR($F59="",$G59=""),"",IF(ISNUMBER(Sync!$AG59),INT(MOD(Sync!$AG59,10000)/100),IFERROR(VALUE(TRIM(LEFT(MID(Sync!$AG59,FIND("/",Sync!$AG59)+1,20),FIND("/",MID(Sync!$AG59,FIND("/",Sync!$AG59)+1,20))-1))),"")))</f>
        <v/>
      </c>
      <c r="I59">
        <f>IF(OR($F59="",$G59=""),"",IF(ISNUMBER(Sync!$AG59),MOD(Sync!$AG59,100),IFERROR(VALUE(TRIM(MID(MID(Sync!$AG59,FIND("/",Sync!$AG59)+1,20),FIND("/",MID(Sync!$AG59,FIND("/",Sync!$AG59)+1,20))+1,20))),"")))</f>
        <v/>
      </c>
      <c r="J59">
        <f>IF($F59="","",IF(OR($G59="",$H59="",$I59="",$G59&lt;1300,$G59&gt;1500,$H59&lt;1,$H59&gt;12,$I59&lt;1,$I59&gt;31),"نامعتبر",RIGHT("0000"&amp;$G59,4)&amp;"/"&amp;RIGHT("00"&amp;$H59,2)&amp;"/"&amp;RIGHT("00"&amp;$I59,2)))</f>
        <v/>
      </c>
      <c r="K59">
        <f>IF(OR($F59="",$J59="",$J59="نامعتبر"),"",LEFT($J59,4)&amp;MID($J59,6,2)&amp;RIGHT($J59,2)&amp;$N59&amp;"|"&amp;"2"&amp;RIGHT("00000"&amp;54,5))</f>
        <v/>
      </c>
      <c r="L59">
        <f>IF($K59="","",COUNTIFS(LdgPartyA,$F59,LdgKeyA,"&lt;"&amp;$K59)+COUNTIFS(LdgPartyB,$F59,LdgKeyB,"&lt;"&amp;$K59)+1)</f>
        <v/>
      </c>
      <c r="M59">
        <f>IF($L59="","",$F59&amp;"|"&amp;RIGHT("000000"&amp;$L59,6))</f>
        <v/>
      </c>
      <c r="N59">
        <f>IF($F59="","",IF(Sync!$AH59="","0000",IF(AND(ISNUMBER(Sync!$AH59),Sync!$AH59&gt;=0,Sync!$AH59&lt;1),RIGHT("00"&amp;HOUR(Sync!$AH59),2)&amp;RIGHT("00"&amp;MINUTE(Sync!$AH59),2),IFERROR(RIGHT("00"&amp;VALUE(LEFT(Sync!$AH59,FIND(":",Sync!$AH59)-1)),2)&amp;RIGHT("00"&amp;VALUE(MID(Sync!$AH59,FIND(":",Sync!$AH59)+1,2)),2),"0000"))))</f>
        <v/>
      </c>
    </row>
    <row r="60">
      <c r="A60">
        <f>IF(OR(Calc!$E63="",Calc!$E63="نامعتبر",Calc!$G63="",Calc!$I63&lt;&gt;"خرید"),"",Calc!$G63)</f>
        <v/>
      </c>
      <c r="B60">
        <f>IF($A60="","",LEFT(Calc!$E63,4)&amp;MID(Calc!$E63,6,2)&amp;RIGHT(Calc!$E63,2)&amp;Calc!$R63&amp;"|"&amp;"1"&amp;RIGHT("00000"&amp;55,5))</f>
        <v/>
      </c>
      <c r="C60">
        <f>IF($B60="","",COUNTIFS(LdgPartyA,$A60,LdgKeyA,"&lt;"&amp;$B60)+COUNTIFS(LdgPartyB,$A60,LdgKeyB,"&lt;"&amp;$B60)+1)</f>
        <v/>
      </c>
      <c r="D60">
        <f>IF($C60="","",$A60&amp;"|"&amp;RIGHT("000000"&amp;$C60,6))</f>
        <v/>
      </c>
      <c r="F60">
        <f>IF(Sync!$AJ60="","",Sync!$AJ60)</f>
        <v/>
      </c>
      <c r="G60">
        <f>IF($F60="","",IF(Sync!$AG60="","",IF(ISNUMBER(Sync!$AG60),IF(AND(Sync!$AG60&gt;=10000101,Sync!$AG60&lt;=99991231),INT(Sync!$AG60/10000),""),IFERROR(VALUE(TRIM(LEFT(Sync!$AG60,FIND("/",Sync!$AG60)-1))),""))))</f>
        <v/>
      </c>
      <c r="H60">
        <f>IF(OR($F60="",$G60=""),"",IF(ISNUMBER(Sync!$AG60),INT(MOD(Sync!$AG60,10000)/100),IFERROR(VALUE(TRIM(LEFT(MID(Sync!$AG60,FIND("/",Sync!$AG60)+1,20),FIND("/",MID(Sync!$AG60,FIND("/",Sync!$AG60)+1,20))-1))),"")))</f>
        <v/>
      </c>
      <c r="I60">
        <f>IF(OR($F60="",$G60=""),"",IF(ISNUMBER(Sync!$AG60),MOD(Sync!$AG60,100),IFERROR(VALUE(TRIM(MID(MID(Sync!$AG60,FIND("/",Sync!$AG60)+1,20),FIND("/",MID(Sync!$AG60,FIND("/",Sync!$AG60)+1,20))+1,20))),"")))</f>
        <v/>
      </c>
      <c r="J60">
        <f>IF($F60="","",IF(OR($G60="",$H60="",$I60="",$G60&lt;1300,$G60&gt;1500,$H60&lt;1,$H60&gt;12,$I60&lt;1,$I60&gt;31),"نامعتبر",RIGHT("0000"&amp;$G60,4)&amp;"/"&amp;RIGHT("00"&amp;$H60,2)&amp;"/"&amp;RIGHT("00"&amp;$I60,2)))</f>
        <v/>
      </c>
      <c r="K60">
        <f>IF(OR($F60="",$J60="",$J60="نامعتبر"),"",LEFT($J60,4)&amp;MID($J60,6,2)&amp;RIGHT($J60,2)&amp;$N60&amp;"|"&amp;"2"&amp;RIGHT("00000"&amp;55,5))</f>
        <v/>
      </c>
      <c r="L60">
        <f>IF($K60="","",COUNTIFS(LdgPartyA,$F60,LdgKeyA,"&lt;"&amp;$K60)+COUNTIFS(LdgPartyB,$F60,LdgKeyB,"&lt;"&amp;$K60)+1)</f>
        <v/>
      </c>
      <c r="M60">
        <f>IF($L60="","",$F60&amp;"|"&amp;RIGHT("000000"&amp;$L60,6))</f>
        <v/>
      </c>
      <c r="N60">
        <f>IF($F60="","",IF(Sync!$AH60="","0000",IF(AND(ISNUMBER(Sync!$AH60),Sync!$AH60&gt;=0,Sync!$AH60&lt;1),RIGHT("00"&amp;HOUR(Sync!$AH60),2)&amp;RIGHT("00"&amp;MINUTE(Sync!$AH60),2),IFERROR(RIGHT("00"&amp;VALUE(LEFT(Sync!$AH60,FIND(":",Sync!$AH60)-1)),2)&amp;RIGHT("00"&amp;VALUE(MID(Sync!$AH60,FIND(":",Sync!$AH60)+1,2)),2),"0000"))))</f>
        <v/>
      </c>
    </row>
    <row r="61">
      <c r="A61">
        <f>IF(OR(Calc!$E64="",Calc!$E64="نامعتبر",Calc!$G64="",Calc!$I64&lt;&gt;"خرید"),"",Calc!$G64)</f>
        <v/>
      </c>
      <c r="B61">
        <f>IF($A61="","",LEFT(Calc!$E64,4)&amp;MID(Calc!$E64,6,2)&amp;RIGHT(Calc!$E64,2)&amp;Calc!$R64&amp;"|"&amp;"1"&amp;RIGHT("00000"&amp;56,5))</f>
        <v/>
      </c>
      <c r="C61">
        <f>IF($B61="","",COUNTIFS(LdgPartyA,$A61,LdgKeyA,"&lt;"&amp;$B61)+COUNTIFS(LdgPartyB,$A61,LdgKeyB,"&lt;"&amp;$B61)+1)</f>
        <v/>
      </c>
      <c r="D61">
        <f>IF($C61="","",$A61&amp;"|"&amp;RIGHT("000000"&amp;$C61,6))</f>
        <v/>
      </c>
      <c r="F61">
        <f>IF(Sync!$AJ61="","",Sync!$AJ61)</f>
        <v/>
      </c>
      <c r="G61">
        <f>IF($F61="","",IF(Sync!$AG61="","",IF(ISNUMBER(Sync!$AG61),IF(AND(Sync!$AG61&gt;=10000101,Sync!$AG61&lt;=99991231),INT(Sync!$AG61/10000),""),IFERROR(VALUE(TRIM(LEFT(Sync!$AG61,FIND("/",Sync!$AG61)-1))),""))))</f>
        <v/>
      </c>
      <c r="H61">
        <f>IF(OR($F61="",$G61=""),"",IF(ISNUMBER(Sync!$AG61),INT(MOD(Sync!$AG61,10000)/100),IFERROR(VALUE(TRIM(LEFT(MID(Sync!$AG61,FIND("/",Sync!$AG61)+1,20),FIND("/",MID(Sync!$AG61,FIND("/",Sync!$AG61)+1,20))-1))),"")))</f>
        <v/>
      </c>
      <c r="I61">
        <f>IF(OR($F61="",$G61=""),"",IF(ISNUMBER(Sync!$AG61),MOD(Sync!$AG61,100),IFERROR(VALUE(TRIM(MID(MID(Sync!$AG61,FIND("/",Sync!$AG61)+1,20),FIND("/",MID(Sync!$AG61,FIND("/",Sync!$AG61)+1,20))+1,20))),"")))</f>
        <v/>
      </c>
      <c r="J61">
        <f>IF($F61="","",IF(OR($G61="",$H61="",$I61="",$G61&lt;1300,$G61&gt;1500,$H61&lt;1,$H61&gt;12,$I61&lt;1,$I61&gt;31),"نامعتبر",RIGHT("0000"&amp;$G61,4)&amp;"/"&amp;RIGHT("00"&amp;$H61,2)&amp;"/"&amp;RIGHT("00"&amp;$I61,2)))</f>
        <v/>
      </c>
      <c r="K61">
        <f>IF(OR($F61="",$J61="",$J61="نامعتبر"),"",LEFT($J61,4)&amp;MID($J61,6,2)&amp;RIGHT($J61,2)&amp;$N61&amp;"|"&amp;"2"&amp;RIGHT("00000"&amp;56,5))</f>
        <v/>
      </c>
      <c r="L61">
        <f>IF($K61="","",COUNTIFS(LdgPartyA,$F61,LdgKeyA,"&lt;"&amp;$K61)+COUNTIFS(LdgPartyB,$F61,LdgKeyB,"&lt;"&amp;$K61)+1)</f>
        <v/>
      </c>
      <c r="M61">
        <f>IF($L61="","",$F61&amp;"|"&amp;RIGHT("000000"&amp;$L61,6))</f>
        <v/>
      </c>
      <c r="N61">
        <f>IF($F61="","",IF(Sync!$AH61="","0000",IF(AND(ISNUMBER(Sync!$AH61),Sync!$AH61&gt;=0,Sync!$AH61&lt;1),RIGHT("00"&amp;HOUR(Sync!$AH61),2)&amp;RIGHT("00"&amp;MINUTE(Sync!$AH61),2),IFERROR(RIGHT("00"&amp;VALUE(LEFT(Sync!$AH61,FIND(":",Sync!$AH61)-1)),2)&amp;RIGHT("00"&amp;VALUE(MID(Sync!$AH61,FIND(":",Sync!$AH61)+1,2)),2),"0000"))))</f>
        <v/>
      </c>
    </row>
    <row r="62">
      <c r="A62">
        <f>IF(OR(Calc!$E65="",Calc!$E65="نامعتبر",Calc!$G65="",Calc!$I65&lt;&gt;"خرید"),"",Calc!$G65)</f>
        <v/>
      </c>
      <c r="B62">
        <f>IF($A62="","",LEFT(Calc!$E65,4)&amp;MID(Calc!$E65,6,2)&amp;RIGHT(Calc!$E65,2)&amp;Calc!$R65&amp;"|"&amp;"1"&amp;RIGHT("00000"&amp;57,5))</f>
        <v/>
      </c>
      <c r="C62">
        <f>IF($B62="","",COUNTIFS(LdgPartyA,$A62,LdgKeyA,"&lt;"&amp;$B62)+COUNTIFS(LdgPartyB,$A62,LdgKeyB,"&lt;"&amp;$B62)+1)</f>
        <v/>
      </c>
      <c r="D62">
        <f>IF($C62="","",$A62&amp;"|"&amp;RIGHT("000000"&amp;$C62,6))</f>
        <v/>
      </c>
      <c r="F62">
        <f>IF(Sync!$AJ62="","",Sync!$AJ62)</f>
        <v/>
      </c>
      <c r="G62">
        <f>IF($F62="","",IF(Sync!$AG62="","",IF(ISNUMBER(Sync!$AG62),IF(AND(Sync!$AG62&gt;=10000101,Sync!$AG62&lt;=99991231),INT(Sync!$AG62/10000),""),IFERROR(VALUE(TRIM(LEFT(Sync!$AG62,FIND("/",Sync!$AG62)-1))),""))))</f>
        <v/>
      </c>
      <c r="H62">
        <f>IF(OR($F62="",$G62=""),"",IF(ISNUMBER(Sync!$AG62),INT(MOD(Sync!$AG62,10000)/100),IFERROR(VALUE(TRIM(LEFT(MID(Sync!$AG62,FIND("/",Sync!$AG62)+1,20),FIND("/",MID(Sync!$AG62,FIND("/",Sync!$AG62)+1,20))-1))),"")))</f>
        <v/>
      </c>
      <c r="I62">
        <f>IF(OR($F62="",$G62=""),"",IF(ISNUMBER(Sync!$AG62),MOD(Sync!$AG62,100),IFERROR(VALUE(TRIM(MID(MID(Sync!$AG62,FIND("/",Sync!$AG62)+1,20),FIND("/",MID(Sync!$AG62,FIND("/",Sync!$AG62)+1,20))+1,20))),"")))</f>
        <v/>
      </c>
      <c r="J62">
        <f>IF($F62="","",IF(OR($G62="",$H62="",$I62="",$G62&lt;1300,$G62&gt;1500,$H62&lt;1,$H62&gt;12,$I62&lt;1,$I62&gt;31),"نامعتبر",RIGHT("0000"&amp;$G62,4)&amp;"/"&amp;RIGHT("00"&amp;$H62,2)&amp;"/"&amp;RIGHT("00"&amp;$I62,2)))</f>
        <v/>
      </c>
      <c r="K62">
        <f>IF(OR($F62="",$J62="",$J62="نامعتبر"),"",LEFT($J62,4)&amp;MID($J62,6,2)&amp;RIGHT($J62,2)&amp;$N62&amp;"|"&amp;"2"&amp;RIGHT("00000"&amp;57,5))</f>
        <v/>
      </c>
      <c r="L62">
        <f>IF($K62="","",COUNTIFS(LdgPartyA,$F62,LdgKeyA,"&lt;"&amp;$K62)+COUNTIFS(LdgPartyB,$F62,LdgKeyB,"&lt;"&amp;$K62)+1)</f>
        <v/>
      </c>
      <c r="M62">
        <f>IF($L62="","",$F62&amp;"|"&amp;RIGHT("000000"&amp;$L62,6))</f>
        <v/>
      </c>
      <c r="N62">
        <f>IF($F62="","",IF(Sync!$AH62="","0000",IF(AND(ISNUMBER(Sync!$AH62),Sync!$AH62&gt;=0,Sync!$AH62&lt;1),RIGHT("00"&amp;HOUR(Sync!$AH62),2)&amp;RIGHT("00"&amp;MINUTE(Sync!$AH62),2),IFERROR(RIGHT("00"&amp;VALUE(LEFT(Sync!$AH62,FIND(":",Sync!$AH62)-1)),2)&amp;RIGHT("00"&amp;VALUE(MID(Sync!$AH62,FIND(":",Sync!$AH62)+1,2)),2),"0000"))))</f>
        <v/>
      </c>
    </row>
    <row r="63">
      <c r="A63">
        <f>IF(OR(Calc!$E66="",Calc!$E66="نامعتبر",Calc!$G66="",Calc!$I66&lt;&gt;"خرید"),"",Calc!$G66)</f>
        <v/>
      </c>
      <c r="B63">
        <f>IF($A63="","",LEFT(Calc!$E66,4)&amp;MID(Calc!$E66,6,2)&amp;RIGHT(Calc!$E66,2)&amp;Calc!$R66&amp;"|"&amp;"1"&amp;RIGHT("00000"&amp;58,5))</f>
        <v/>
      </c>
      <c r="C63">
        <f>IF($B63="","",COUNTIFS(LdgPartyA,$A63,LdgKeyA,"&lt;"&amp;$B63)+COUNTIFS(LdgPartyB,$A63,LdgKeyB,"&lt;"&amp;$B63)+1)</f>
        <v/>
      </c>
      <c r="D63">
        <f>IF($C63="","",$A63&amp;"|"&amp;RIGHT("000000"&amp;$C63,6))</f>
        <v/>
      </c>
      <c r="F63">
        <f>IF(Sync!$AJ63="","",Sync!$AJ63)</f>
        <v/>
      </c>
      <c r="G63">
        <f>IF($F63="","",IF(Sync!$AG63="","",IF(ISNUMBER(Sync!$AG63),IF(AND(Sync!$AG63&gt;=10000101,Sync!$AG63&lt;=99991231),INT(Sync!$AG63/10000),""),IFERROR(VALUE(TRIM(LEFT(Sync!$AG63,FIND("/",Sync!$AG63)-1))),""))))</f>
        <v/>
      </c>
      <c r="H63">
        <f>IF(OR($F63="",$G63=""),"",IF(ISNUMBER(Sync!$AG63),INT(MOD(Sync!$AG63,10000)/100),IFERROR(VALUE(TRIM(LEFT(MID(Sync!$AG63,FIND("/",Sync!$AG63)+1,20),FIND("/",MID(Sync!$AG63,FIND("/",Sync!$AG63)+1,20))-1))),"")))</f>
        <v/>
      </c>
      <c r="I63">
        <f>IF(OR($F63="",$G63=""),"",IF(ISNUMBER(Sync!$AG63),MOD(Sync!$AG63,100),IFERROR(VALUE(TRIM(MID(MID(Sync!$AG63,FIND("/",Sync!$AG63)+1,20),FIND("/",MID(Sync!$AG63,FIND("/",Sync!$AG63)+1,20))+1,20))),"")))</f>
        <v/>
      </c>
      <c r="J63">
        <f>IF($F63="","",IF(OR($G63="",$H63="",$I63="",$G63&lt;1300,$G63&gt;1500,$H63&lt;1,$H63&gt;12,$I63&lt;1,$I63&gt;31),"نامعتبر",RIGHT("0000"&amp;$G63,4)&amp;"/"&amp;RIGHT("00"&amp;$H63,2)&amp;"/"&amp;RIGHT("00"&amp;$I63,2)))</f>
        <v/>
      </c>
      <c r="K63">
        <f>IF(OR($F63="",$J63="",$J63="نامعتبر"),"",LEFT($J63,4)&amp;MID($J63,6,2)&amp;RIGHT($J63,2)&amp;$N63&amp;"|"&amp;"2"&amp;RIGHT("00000"&amp;58,5))</f>
        <v/>
      </c>
      <c r="L63">
        <f>IF($K63="","",COUNTIFS(LdgPartyA,$F63,LdgKeyA,"&lt;"&amp;$K63)+COUNTIFS(LdgPartyB,$F63,LdgKeyB,"&lt;"&amp;$K63)+1)</f>
        <v/>
      </c>
      <c r="M63">
        <f>IF($L63="","",$F63&amp;"|"&amp;RIGHT("000000"&amp;$L63,6))</f>
        <v/>
      </c>
      <c r="N63">
        <f>IF($F63="","",IF(Sync!$AH63="","0000",IF(AND(ISNUMBER(Sync!$AH63),Sync!$AH63&gt;=0,Sync!$AH63&lt;1),RIGHT("00"&amp;HOUR(Sync!$AH63),2)&amp;RIGHT("00"&amp;MINUTE(Sync!$AH63),2),IFERROR(RIGHT("00"&amp;VALUE(LEFT(Sync!$AH63,FIND(":",Sync!$AH63)-1)),2)&amp;RIGHT("00"&amp;VALUE(MID(Sync!$AH63,FIND(":",Sync!$AH63)+1,2)),2),"0000"))))</f>
        <v/>
      </c>
    </row>
    <row r="64">
      <c r="A64">
        <f>IF(OR(Calc!$E67="",Calc!$E67="نامعتبر",Calc!$G67="",Calc!$I67&lt;&gt;"خرید"),"",Calc!$G67)</f>
        <v/>
      </c>
      <c r="B64">
        <f>IF($A64="","",LEFT(Calc!$E67,4)&amp;MID(Calc!$E67,6,2)&amp;RIGHT(Calc!$E67,2)&amp;Calc!$R67&amp;"|"&amp;"1"&amp;RIGHT("00000"&amp;59,5))</f>
        <v/>
      </c>
      <c r="C64">
        <f>IF($B64="","",COUNTIFS(LdgPartyA,$A64,LdgKeyA,"&lt;"&amp;$B64)+COUNTIFS(LdgPartyB,$A64,LdgKeyB,"&lt;"&amp;$B64)+1)</f>
        <v/>
      </c>
      <c r="D64">
        <f>IF($C64="","",$A64&amp;"|"&amp;RIGHT("000000"&amp;$C64,6))</f>
        <v/>
      </c>
      <c r="F64">
        <f>IF(Sync!$AJ64="","",Sync!$AJ64)</f>
        <v/>
      </c>
      <c r="G64">
        <f>IF($F64="","",IF(Sync!$AG64="","",IF(ISNUMBER(Sync!$AG64),IF(AND(Sync!$AG64&gt;=10000101,Sync!$AG64&lt;=99991231),INT(Sync!$AG64/10000),""),IFERROR(VALUE(TRIM(LEFT(Sync!$AG64,FIND("/",Sync!$AG64)-1))),""))))</f>
        <v/>
      </c>
      <c r="H64">
        <f>IF(OR($F64="",$G64=""),"",IF(ISNUMBER(Sync!$AG64),INT(MOD(Sync!$AG64,10000)/100),IFERROR(VALUE(TRIM(LEFT(MID(Sync!$AG64,FIND("/",Sync!$AG64)+1,20),FIND("/",MID(Sync!$AG64,FIND("/",Sync!$AG64)+1,20))-1))),"")))</f>
        <v/>
      </c>
      <c r="I64">
        <f>IF(OR($F64="",$G64=""),"",IF(ISNUMBER(Sync!$AG64),MOD(Sync!$AG64,100),IFERROR(VALUE(TRIM(MID(MID(Sync!$AG64,FIND("/",Sync!$AG64)+1,20),FIND("/",MID(Sync!$AG64,FIND("/",Sync!$AG64)+1,20))+1,20))),"")))</f>
        <v/>
      </c>
      <c r="J64">
        <f>IF($F64="","",IF(OR($G64="",$H64="",$I64="",$G64&lt;1300,$G64&gt;1500,$H64&lt;1,$H64&gt;12,$I64&lt;1,$I64&gt;31),"نامعتبر",RIGHT("0000"&amp;$G64,4)&amp;"/"&amp;RIGHT("00"&amp;$H64,2)&amp;"/"&amp;RIGHT("00"&amp;$I64,2)))</f>
        <v/>
      </c>
      <c r="K64">
        <f>IF(OR($F64="",$J64="",$J64="نامعتبر"),"",LEFT($J64,4)&amp;MID($J64,6,2)&amp;RIGHT($J64,2)&amp;$N64&amp;"|"&amp;"2"&amp;RIGHT("00000"&amp;59,5))</f>
        <v/>
      </c>
      <c r="L64">
        <f>IF($K64="","",COUNTIFS(LdgPartyA,$F64,LdgKeyA,"&lt;"&amp;$K64)+COUNTIFS(LdgPartyB,$F64,LdgKeyB,"&lt;"&amp;$K64)+1)</f>
        <v/>
      </c>
      <c r="M64">
        <f>IF($L64="","",$F64&amp;"|"&amp;RIGHT("000000"&amp;$L64,6))</f>
        <v/>
      </c>
      <c r="N64">
        <f>IF($F64="","",IF(Sync!$AH64="","0000",IF(AND(ISNUMBER(Sync!$AH64),Sync!$AH64&gt;=0,Sync!$AH64&lt;1),RIGHT("00"&amp;HOUR(Sync!$AH64),2)&amp;RIGHT("00"&amp;MINUTE(Sync!$AH64),2),IFERROR(RIGHT("00"&amp;VALUE(LEFT(Sync!$AH64,FIND(":",Sync!$AH64)-1)),2)&amp;RIGHT("00"&amp;VALUE(MID(Sync!$AH64,FIND(":",Sync!$AH64)+1,2)),2),"0000"))))</f>
        <v/>
      </c>
    </row>
    <row r="65">
      <c r="A65">
        <f>IF(OR(Calc!$E68="",Calc!$E68="نامعتبر",Calc!$G68="",Calc!$I68&lt;&gt;"خرید"),"",Calc!$G68)</f>
        <v/>
      </c>
      <c r="B65">
        <f>IF($A65="","",LEFT(Calc!$E68,4)&amp;MID(Calc!$E68,6,2)&amp;RIGHT(Calc!$E68,2)&amp;Calc!$R68&amp;"|"&amp;"1"&amp;RIGHT("00000"&amp;60,5))</f>
        <v/>
      </c>
      <c r="C65">
        <f>IF($B65="","",COUNTIFS(LdgPartyA,$A65,LdgKeyA,"&lt;"&amp;$B65)+COUNTIFS(LdgPartyB,$A65,LdgKeyB,"&lt;"&amp;$B65)+1)</f>
        <v/>
      </c>
      <c r="D65">
        <f>IF($C65="","",$A65&amp;"|"&amp;RIGHT("000000"&amp;$C65,6))</f>
        <v/>
      </c>
      <c r="F65">
        <f>IF(Sync!$AJ65="","",Sync!$AJ65)</f>
        <v/>
      </c>
      <c r="G65">
        <f>IF($F65="","",IF(Sync!$AG65="","",IF(ISNUMBER(Sync!$AG65),IF(AND(Sync!$AG65&gt;=10000101,Sync!$AG65&lt;=99991231),INT(Sync!$AG65/10000),""),IFERROR(VALUE(TRIM(LEFT(Sync!$AG65,FIND("/",Sync!$AG65)-1))),""))))</f>
        <v/>
      </c>
      <c r="H65">
        <f>IF(OR($F65="",$G65=""),"",IF(ISNUMBER(Sync!$AG65),INT(MOD(Sync!$AG65,10000)/100),IFERROR(VALUE(TRIM(LEFT(MID(Sync!$AG65,FIND("/",Sync!$AG65)+1,20),FIND("/",MID(Sync!$AG65,FIND("/",Sync!$AG65)+1,20))-1))),"")))</f>
        <v/>
      </c>
      <c r="I65">
        <f>IF(OR($F65="",$G65=""),"",IF(ISNUMBER(Sync!$AG65),MOD(Sync!$AG65,100),IFERROR(VALUE(TRIM(MID(MID(Sync!$AG65,FIND("/",Sync!$AG65)+1,20),FIND("/",MID(Sync!$AG65,FIND("/",Sync!$AG65)+1,20))+1,20))),"")))</f>
        <v/>
      </c>
      <c r="J65">
        <f>IF($F65="","",IF(OR($G65="",$H65="",$I65="",$G65&lt;1300,$G65&gt;1500,$H65&lt;1,$H65&gt;12,$I65&lt;1,$I65&gt;31),"نامعتبر",RIGHT("0000"&amp;$G65,4)&amp;"/"&amp;RIGHT("00"&amp;$H65,2)&amp;"/"&amp;RIGHT("00"&amp;$I65,2)))</f>
        <v/>
      </c>
      <c r="K65">
        <f>IF(OR($F65="",$J65="",$J65="نامعتبر"),"",LEFT($J65,4)&amp;MID($J65,6,2)&amp;RIGHT($J65,2)&amp;$N65&amp;"|"&amp;"2"&amp;RIGHT("00000"&amp;60,5))</f>
        <v/>
      </c>
      <c r="L65">
        <f>IF($K65="","",COUNTIFS(LdgPartyA,$F65,LdgKeyA,"&lt;"&amp;$K65)+COUNTIFS(LdgPartyB,$F65,LdgKeyB,"&lt;"&amp;$K65)+1)</f>
        <v/>
      </c>
      <c r="M65">
        <f>IF($L65="","",$F65&amp;"|"&amp;RIGHT("000000"&amp;$L65,6))</f>
        <v/>
      </c>
      <c r="N65">
        <f>IF($F65="","",IF(Sync!$AH65="","0000",IF(AND(ISNUMBER(Sync!$AH65),Sync!$AH65&gt;=0,Sync!$AH65&lt;1),RIGHT("00"&amp;HOUR(Sync!$AH65),2)&amp;RIGHT("00"&amp;MINUTE(Sync!$AH65),2),IFERROR(RIGHT("00"&amp;VALUE(LEFT(Sync!$AH65,FIND(":",Sync!$AH65)-1)),2)&amp;RIGHT("00"&amp;VALUE(MID(Sync!$AH65,FIND(":",Sync!$AH65)+1,2)),2),"0000"))))</f>
        <v/>
      </c>
    </row>
    <row r="66">
      <c r="A66">
        <f>IF(OR(Calc!$E69="",Calc!$E69="نامعتبر",Calc!$G69="",Calc!$I69&lt;&gt;"خرید"),"",Calc!$G69)</f>
        <v/>
      </c>
      <c r="B66">
        <f>IF($A66="","",LEFT(Calc!$E69,4)&amp;MID(Calc!$E69,6,2)&amp;RIGHT(Calc!$E69,2)&amp;Calc!$R69&amp;"|"&amp;"1"&amp;RIGHT("00000"&amp;61,5))</f>
        <v/>
      </c>
      <c r="C66">
        <f>IF($B66="","",COUNTIFS(LdgPartyA,$A66,LdgKeyA,"&lt;"&amp;$B66)+COUNTIFS(LdgPartyB,$A66,LdgKeyB,"&lt;"&amp;$B66)+1)</f>
        <v/>
      </c>
      <c r="D66">
        <f>IF($C66="","",$A66&amp;"|"&amp;RIGHT("000000"&amp;$C66,6))</f>
        <v/>
      </c>
      <c r="F66">
        <f>IF(Sync!$AJ66="","",Sync!$AJ66)</f>
        <v/>
      </c>
      <c r="G66">
        <f>IF($F66="","",IF(Sync!$AG66="","",IF(ISNUMBER(Sync!$AG66),IF(AND(Sync!$AG66&gt;=10000101,Sync!$AG66&lt;=99991231),INT(Sync!$AG66/10000),""),IFERROR(VALUE(TRIM(LEFT(Sync!$AG66,FIND("/",Sync!$AG66)-1))),""))))</f>
        <v/>
      </c>
      <c r="H66">
        <f>IF(OR($F66="",$G66=""),"",IF(ISNUMBER(Sync!$AG66),INT(MOD(Sync!$AG66,10000)/100),IFERROR(VALUE(TRIM(LEFT(MID(Sync!$AG66,FIND("/",Sync!$AG66)+1,20),FIND("/",MID(Sync!$AG66,FIND("/",Sync!$AG66)+1,20))-1))),"")))</f>
        <v/>
      </c>
      <c r="I66">
        <f>IF(OR($F66="",$G66=""),"",IF(ISNUMBER(Sync!$AG66),MOD(Sync!$AG66,100),IFERROR(VALUE(TRIM(MID(MID(Sync!$AG66,FIND("/",Sync!$AG66)+1,20),FIND("/",MID(Sync!$AG66,FIND("/",Sync!$AG66)+1,20))+1,20))),"")))</f>
        <v/>
      </c>
      <c r="J66">
        <f>IF($F66="","",IF(OR($G66="",$H66="",$I66="",$G66&lt;1300,$G66&gt;1500,$H66&lt;1,$H66&gt;12,$I66&lt;1,$I66&gt;31),"نامعتبر",RIGHT("0000"&amp;$G66,4)&amp;"/"&amp;RIGHT("00"&amp;$H66,2)&amp;"/"&amp;RIGHT("00"&amp;$I66,2)))</f>
        <v/>
      </c>
      <c r="K66">
        <f>IF(OR($F66="",$J66="",$J66="نامعتبر"),"",LEFT($J66,4)&amp;MID($J66,6,2)&amp;RIGHT($J66,2)&amp;$N66&amp;"|"&amp;"2"&amp;RIGHT("00000"&amp;61,5))</f>
        <v/>
      </c>
      <c r="L66">
        <f>IF($K66="","",COUNTIFS(LdgPartyA,$F66,LdgKeyA,"&lt;"&amp;$K66)+COUNTIFS(LdgPartyB,$F66,LdgKeyB,"&lt;"&amp;$K66)+1)</f>
        <v/>
      </c>
      <c r="M66">
        <f>IF($L66="","",$F66&amp;"|"&amp;RIGHT("000000"&amp;$L66,6))</f>
        <v/>
      </c>
      <c r="N66">
        <f>IF($F66="","",IF(Sync!$AH66="","0000",IF(AND(ISNUMBER(Sync!$AH66),Sync!$AH66&gt;=0,Sync!$AH66&lt;1),RIGHT("00"&amp;HOUR(Sync!$AH66),2)&amp;RIGHT("00"&amp;MINUTE(Sync!$AH66),2),IFERROR(RIGHT("00"&amp;VALUE(LEFT(Sync!$AH66,FIND(":",Sync!$AH66)-1)),2)&amp;RIGHT("00"&amp;VALUE(MID(Sync!$AH66,FIND(":",Sync!$AH66)+1,2)),2),"0000"))))</f>
        <v/>
      </c>
    </row>
    <row r="67">
      <c r="A67">
        <f>IF(OR(Calc!$E70="",Calc!$E70="نامعتبر",Calc!$G70="",Calc!$I70&lt;&gt;"خرید"),"",Calc!$G70)</f>
        <v/>
      </c>
      <c r="B67">
        <f>IF($A67="","",LEFT(Calc!$E70,4)&amp;MID(Calc!$E70,6,2)&amp;RIGHT(Calc!$E70,2)&amp;Calc!$R70&amp;"|"&amp;"1"&amp;RIGHT("00000"&amp;62,5))</f>
        <v/>
      </c>
      <c r="C67">
        <f>IF($B67="","",COUNTIFS(LdgPartyA,$A67,LdgKeyA,"&lt;"&amp;$B67)+COUNTIFS(LdgPartyB,$A67,LdgKeyB,"&lt;"&amp;$B67)+1)</f>
        <v/>
      </c>
      <c r="D67">
        <f>IF($C67="","",$A67&amp;"|"&amp;RIGHT("000000"&amp;$C67,6))</f>
        <v/>
      </c>
      <c r="F67">
        <f>IF(Sync!$AJ67="","",Sync!$AJ67)</f>
        <v/>
      </c>
      <c r="G67">
        <f>IF($F67="","",IF(Sync!$AG67="","",IF(ISNUMBER(Sync!$AG67),IF(AND(Sync!$AG67&gt;=10000101,Sync!$AG67&lt;=99991231),INT(Sync!$AG67/10000),""),IFERROR(VALUE(TRIM(LEFT(Sync!$AG67,FIND("/",Sync!$AG67)-1))),""))))</f>
        <v/>
      </c>
      <c r="H67">
        <f>IF(OR($F67="",$G67=""),"",IF(ISNUMBER(Sync!$AG67),INT(MOD(Sync!$AG67,10000)/100),IFERROR(VALUE(TRIM(LEFT(MID(Sync!$AG67,FIND("/",Sync!$AG67)+1,20),FIND("/",MID(Sync!$AG67,FIND("/",Sync!$AG67)+1,20))-1))),"")))</f>
        <v/>
      </c>
      <c r="I67">
        <f>IF(OR($F67="",$G67=""),"",IF(ISNUMBER(Sync!$AG67),MOD(Sync!$AG67,100),IFERROR(VALUE(TRIM(MID(MID(Sync!$AG67,FIND("/",Sync!$AG67)+1,20),FIND("/",MID(Sync!$AG67,FIND("/",Sync!$AG67)+1,20))+1,20))),"")))</f>
        <v/>
      </c>
      <c r="J67">
        <f>IF($F67="","",IF(OR($G67="",$H67="",$I67="",$G67&lt;1300,$G67&gt;1500,$H67&lt;1,$H67&gt;12,$I67&lt;1,$I67&gt;31),"نامعتبر",RIGHT("0000"&amp;$G67,4)&amp;"/"&amp;RIGHT("00"&amp;$H67,2)&amp;"/"&amp;RIGHT("00"&amp;$I67,2)))</f>
        <v/>
      </c>
      <c r="K67">
        <f>IF(OR($F67="",$J67="",$J67="نامعتبر"),"",LEFT($J67,4)&amp;MID($J67,6,2)&amp;RIGHT($J67,2)&amp;$N67&amp;"|"&amp;"2"&amp;RIGHT("00000"&amp;62,5))</f>
        <v/>
      </c>
      <c r="L67">
        <f>IF($K67="","",COUNTIFS(LdgPartyA,$F67,LdgKeyA,"&lt;"&amp;$K67)+COUNTIFS(LdgPartyB,$F67,LdgKeyB,"&lt;"&amp;$K67)+1)</f>
        <v/>
      </c>
      <c r="M67">
        <f>IF($L67="","",$F67&amp;"|"&amp;RIGHT("000000"&amp;$L67,6))</f>
        <v/>
      </c>
      <c r="N67">
        <f>IF($F67="","",IF(Sync!$AH67="","0000",IF(AND(ISNUMBER(Sync!$AH67),Sync!$AH67&gt;=0,Sync!$AH67&lt;1),RIGHT("00"&amp;HOUR(Sync!$AH67),2)&amp;RIGHT("00"&amp;MINUTE(Sync!$AH67),2),IFERROR(RIGHT("00"&amp;VALUE(LEFT(Sync!$AH67,FIND(":",Sync!$AH67)-1)),2)&amp;RIGHT("00"&amp;VALUE(MID(Sync!$AH67,FIND(":",Sync!$AH67)+1,2)),2),"0000"))))</f>
        <v/>
      </c>
    </row>
    <row r="68">
      <c r="A68">
        <f>IF(OR(Calc!$E71="",Calc!$E71="نامعتبر",Calc!$G71="",Calc!$I71&lt;&gt;"خرید"),"",Calc!$G71)</f>
        <v/>
      </c>
      <c r="B68">
        <f>IF($A68="","",LEFT(Calc!$E71,4)&amp;MID(Calc!$E71,6,2)&amp;RIGHT(Calc!$E71,2)&amp;Calc!$R71&amp;"|"&amp;"1"&amp;RIGHT("00000"&amp;63,5))</f>
        <v/>
      </c>
      <c r="C68">
        <f>IF($B68="","",COUNTIFS(LdgPartyA,$A68,LdgKeyA,"&lt;"&amp;$B68)+COUNTIFS(LdgPartyB,$A68,LdgKeyB,"&lt;"&amp;$B68)+1)</f>
        <v/>
      </c>
      <c r="D68">
        <f>IF($C68="","",$A68&amp;"|"&amp;RIGHT("000000"&amp;$C68,6))</f>
        <v/>
      </c>
      <c r="F68">
        <f>IF(Sync!$AJ68="","",Sync!$AJ68)</f>
        <v/>
      </c>
      <c r="G68">
        <f>IF($F68="","",IF(Sync!$AG68="","",IF(ISNUMBER(Sync!$AG68),IF(AND(Sync!$AG68&gt;=10000101,Sync!$AG68&lt;=99991231),INT(Sync!$AG68/10000),""),IFERROR(VALUE(TRIM(LEFT(Sync!$AG68,FIND("/",Sync!$AG68)-1))),""))))</f>
        <v/>
      </c>
      <c r="H68">
        <f>IF(OR($F68="",$G68=""),"",IF(ISNUMBER(Sync!$AG68),INT(MOD(Sync!$AG68,10000)/100),IFERROR(VALUE(TRIM(LEFT(MID(Sync!$AG68,FIND("/",Sync!$AG68)+1,20),FIND("/",MID(Sync!$AG68,FIND("/",Sync!$AG68)+1,20))-1))),"")))</f>
        <v/>
      </c>
      <c r="I68">
        <f>IF(OR($F68="",$G68=""),"",IF(ISNUMBER(Sync!$AG68),MOD(Sync!$AG68,100),IFERROR(VALUE(TRIM(MID(MID(Sync!$AG68,FIND("/",Sync!$AG68)+1,20),FIND("/",MID(Sync!$AG68,FIND("/",Sync!$AG68)+1,20))+1,20))),"")))</f>
        <v/>
      </c>
      <c r="J68">
        <f>IF($F68="","",IF(OR($G68="",$H68="",$I68="",$G68&lt;1300,$G68&gt;1500,$H68&lt;1,$H68&gt;12,$I68&lt;1,$I68&gt;31),"نامعتبر",RIGHT("0000"&amp;$G68,4)&amp;"/"&amp;RIGHT("00"&amp;$H68,2)&amp;"/"&amp;RIGHT("00"&amp;$I68,2)))</f>
        <v/>
      </c>
      <c r="K68">
        <f>IF(OR($F68="",$J68="",$J68="نامعتبر"),"",LEFT($J68,4)&amp;MID($J68,6,2)&amp;RIGHT($J68,2)&amp;$N68&amp;"|"&amp;"2"&amp;RIGHT("00000"&amp;63,5))</f>
        <v/>
      </c>
      <c r="L68">
        <f>IF($K68="","",COUNTIFS(LdgPartyA,$F68,LdgKeyA,"&lt;"&amp;$K68)+COUNTIFS(LdgPartyB,$F68,LdgKeyB,"&lt;"&amp;$K68)+1)</f>
        <v/>
      </c>
      <c r="M68">
        <f>IF($L68="","",$F68&amp;"|"&amp;RIGHT("000000"&amp;$L68,6))</f>
        <v/>
      </c>
      <c r="N68">
        <f>IF($F68="","",IF(Sync!$AH68="","0000",IF(AND(ISNUMBER(Sync!$AH68),Sync!$AH68&gt;=0,Sync!$AH68&lt;1),RIGHT("00"&amp;HOUR(Sync!$AH68),2)&amp;RIGHT("00"&amp;MINUTE(Sync!$AH68),2),IFERROR(RIGHT("00"&amp;VALUE(LEFT(Sync!$AH68,FIND(":",Sync!$AH68)-1)),2)&amp;RIGHT("00"&amp;VALUE(MID(Sync!$AH68,FIND(":",Sync!$AH68)+1,2)),2),"0000"))))</f>
        <v/>
      </c>
    </row>
    <row r="69">
      <c r="A69">
        <f>IF(OR(Calc!$E72="",Calc!$E72="نامعتبر",Calc!$G72="",Calc!$I72&lt;&gt;"خرید"),"",Calc!$G72)</f>
        <v/>
      </c>
      <c r="B69">
        <f>IF($A69="","",LEFT(Calc!$E72,4)&amp;MID(Calc!$E72,6,2)&amp;RIGHT(Calc!$E72,2)&amp;Calc!$R72&amp;"|"&amp;"1"&amp;RIGHT("00000"&amp;64,5))</f>
        <v/>
      </c>
      <c r="C69">
        <f>IF($B69="","",COUNTIFS(LdgPartyA,$A69,LdgKeyA,"&lt;"&amp;$B69)+COUNTIFS(LdgPartyB,$A69,LdgKeyB,"&lt;"&amp;$B69)+1)</f>
        <v/>
      </c>
      <c r="D69">
        <f>IF($C69="","",$A69&amp;"|"&amp;RIGHT("000000"&amp;$C69,6))</f>
        <v/>
      </c>
      <c r="F69">
        <f>IF(Sync!$AJ69="","",Sync!$AJ69)</f>
        <v/>
      </c>
      <c r="G69">
        <f>IF($F69="","",IF(Sync!$AG69="","",IF(ISNUMBER(Sync!$AG69),IF(AND(Sync!$AG69&gt;=10000101,Sync!$AG69&lt;=99991231),INT(Sync!$AG69/10000),""),IFERROR(VALUE(TRIM(LEFT(Sync!$AG69,FIND("/",Sync!$AG69)-1))),""))))</f>
        <v/>
      </c>
      <c r="H69">
        <f>IF(OR($F69="",$G69=""),"",IF(ISNUMBER(Sync!$AG69),INT(MOD(Sync!$AG69,10000)/100),IFERROR(VALUE(TRIM(LEFT(MID(Sync!$AG69,FIND("/",Sync!$AG69)+1,20),FIND("/",MID(Sync!$AG69,FIND("/",Sync!$AG69)+1,20))-1))),"")))</f>
        <v/>
      </c>
      <c r="I69">
        <f>IF(OR($F69="",$G69=""),"",IF(ISNUMBER(Sync!$AG69),MOD(Sync!$AG69,100),IFERROR(VALUE(TRIM(MID(MID(Sync!$AG69,FIND("/",Sync!$AG69)+1,20),FIND("/",MID(Sync!$AG69,FIND("/",Sync!$AG69)+1,20))+1,20))),"")))</f>
        <v/>
      </c>
      <c r="J69">
        <f>IF($F69="","",IF(OR($G69="",$H69="",$I69="",$G69&lt;1300,$G69&gt;1500,$H69&lt;1,$H69&gt;12,$I69&lt;1,$I69&gt;31),"نامعتبر",RIGHT("0000"&amp;$G69,4)&amp;"/"&amp;RIGHT("00"&amp;$H69,2)&amp;"/"&amp;RIGHT("00"&amp;$I69,2)))</f>
        <v/>
      </c>
      <c r="K69">
        <f>IF(OR($F69="",$J69="",$J69="نامعتبر"),"",LEFT($J69,4)&amp;MID($J69,6,2)&amp;RIGHT($J69,2)&amp;$N69&amp;"|"&amp;"2"&amp;RIGHT("00000"&amp;64,5))</f>
        <v/>
      </c>
      <c r="L69">
        <f>IF($K69="","",COUNTIFS(LdgPartyA,$F69,LdgKeyA,"&lt;"&amp;$K69)+COUNTIFS(LdgPartyB,$F69,LdgKeyB,"&lt;"&amp;$K69)+1)</f>
        <v/>
      </c>
      <c r="M69">
        <f>IF($L69="","",$F69&amp;"|"&amp;RIGHT("000000"&amp;$L69,6))</f>
        <v/>
      </c>
      <c r="N69">
        <f>IF($F69="","",IF(Sync!$AH69="","0000",IF(AND(ISNUMBER(Sync!$AH69),Sync!$AH69&gt;=0,Sync!$AH69&lt;1),RIGHT("00"&amp;HOUR(Sync!$AH69),2)&amp;RIGHT("00"&amp;MINUTE(Sync!$AH69),2),IFERROR(RIGHT("00"&amp;VALUE(LEFT(Sync!$AH69,FIND(":",Sync!$AH69)-1)),2)&amp;RIGHT("00"&amp;VALUE(MID(Sync!$AH69,FIND(":",Sync!$AH69)+1,2)),2),"0000"))))</f>
        <v/>
      </c>
    </row>
    <row r="70">
      <c r="A70">
        <f>IF(OR(Calc!$E73="",Calc!$E73="نامعتبر",Calc!$G73="",Calc!$I73&lt;&gt;"خرید"),"",Calc!$G73)</f>
        <v/>
      </c>
      <c r="B70">
        <f>IF($A70="","",LEFT(Calc!$E73,4)&amp;MID(Calc!$E73,6,2)&amp;RIGHT(Calc!$E73,2)&amp;Calc!$R73&amp;"|"&amp;"1"&amp;RIGHT("00000"&amp;65,5))</f>
        <v/>
      </c>
      <c r="C70">
        <f>IF($B70="","",COUNTIFS(LdgPartyA,$A70,LdgKeyA,"&lt;"&amp;$B70)+COUNTIFS(LdgPartyB,$A70,LdgKeyB,"&lt;"&amp;$B70)+1)</f>
        <v/>
      </c>
      <c r="D70">
        <f>IF($C70="","",$A70&amp;"|"&amp;RIGHT("000000"&amp;$C70,6))</f>
        <v/>
      </c>
      <c r="F70">
        <f>IF(Sync!$AJ70="","",Sync!$AJ70)</f>
        <v/>
      </c>
      <c r="G70">
        <f>IF($F70="","",IF(Sync!$AG70="","",IF(ISNUMBER(Sync!$AG70),IF(AND(Sync!$AG70&gt;=10000101,Sync!$AG70&lt;=99991231),INT(Sync!$AG70/10000),""),IFERROR(VALUE(TRIM(LEFT(Sync!$AG70,FIND("/",Sync!$AG70)-1))),""))))</f>
        <v/>
      </c>
      <c r="H70">
        <f>IF(OR($F70="",$G70=""),"",IF(ISNUMBER(Sync!$AG70),INT(MOD(Sync!$AG70,10000)/100),IFERROR(VALUE(TRIM(LEFT(MID(Sync!$AG70,FIND("/",Sync!$AG70)+1,20),FIND("/",MID(Sync!$AG70,FIND("/",Sync!$AG70)+1,20))-1))),"")))</f>
        <v/>
      </c>
      <c r="I70">
        <f>IF(OR($F70="",$G70=""),"",IF(ISNUMBER(Sync!$AG70),MOD(Sync!$AG70,100),IFERROR(VALUE(TRIM(MID(MID(Sync!$AG70,FIND("/",Sync!$AG70)+1,20),FIND("/",MID(Sync!$AG70,FIND("/",Sync!$AG70)+1,20))+1,20))),"")))</f>
        <v/>
      </c>
      <c r="J70">
        <f>IF($F70="","",IF(OR($G70="",$H70="",$I70="",$G70&lt;1300,$G70&gt;1500,$H70&lt;1,$H70&gt;12,$I70&lt;1,$I70&gt;31),"نامعتبر",RIGHT("0000"&amp;$G70,4)&amp;"/"&amp;RIGHT("00"&amp;$H70,2)&amp;"/"&amp;RIGHT("00"&amp;$I70,2)))</f>
        <v/>
      </c>
      <c r="K70">
        <f>IF(OR($F70="",$J70="",$J70="نامعتبر"),"",LEFT($J70,4)&amp;MID($J70,6,2)&amp;RIGHT($J70,2)&amp;$N70&amp;"|"&amp;"2"&amp;RIGHT("00000"&amp;65,5))</f>
        <v/>
      </c>
      <c r="L70">
        <f>IF($K70="","",COUNTIFS(LdgPartyA,$F70,LdgKeyA,"&lt;"&amp;$K70)+COUNTIFS(LdgPartyB,$F70,LdgKeyB,"&lt;"&amp;$K70)+1)</f>
        <v/>
      </c>
      <c r="M70">
        <f>IF($L70="","",$F70&amp;"|"&amp;RIGHT("000000"&amp;$L70,6))</f>
        <v/>
      </c>
      <c r="N70">
        <f>IF($F70="","",IF(Sync!$AH70="","0000",IF(AND(ISNUMBER(Sync!$AH70),Sync!$AH70&gt;=0,Sync!$AH70&lt;1),RIGHT("00"&amp;HOUR(Sync!$AH70),2)&amp;RIGHT("00"&amp;MINUTE(Sync!$AH70),2),IFERROR(RIGHT("00"&amp;VALUE(LEFT(Sync!$AH70,FIND(":",Sync!$AH70)-1)),2)&amp;RIGHT("00"&amp;VALUE(MID(Sync!$AH70,FIND(":",Sync!$AH70)+1,2)),2),"0000"))))</f>
        <v/>
      </c>
    </row>
    <row r="71">
      <c r="A71">
        <f>IF(OR(Calc!$E74="",Calc!$E74="نامعتبر",Calc!$G74="",Calc!$I74&lt;&gt;"خرید"),"",Calc!$G74)</f>
        <v/>
      </c>
      <c r="B71">
        <f>IF($A71="","",LEFT(Calc!$E74,4)&amp;MID(Calc!$E74,6,2)&amp;RIGHT(Calc!$E74,2)&amp;Calc!$R74&amp;"|"&amp;"1"&amp;RIGHT("00000"&amp;66,5))</f>
        <v/>
      </c>
      <c r="C71">
        <f>IF($B71="","",COUNTIFS(LdgPartyA,$A71,LdgKeyA,"&lt;"&amp;$B71)+COUNTIFS(LdgPartyB,$A71,LdgKeyB,"&lt;"&amp;$B71)+1)</f>
        <v/>
      </c>
      <c r="D71">
        <f>IF($C71="","",$A71&amp;"|"&amp;RIGHT("000000"&amp;$C71,6))</f>
        <v/>
      </c>
      <c r="F71">
        <f>IF(Sync!$AJ71="","",Sync!$AJ71)</f>
        <v/>
      </c>
      <c r="G71">
        <f>IF($F71="","",IF(Sync!$AG71="","",IF(ISNUMBER(Sync!$AG71),IF(AND(Sync!$AG71&gt;=10000101,Sync!$AG71&lt;=99991231),INT(Sync!$AG71/10000),""),IFERROR(VALUE(TRIM(LEFT(Sync!$AG71,FIND("/",Sync!$AG71)-1))),""))))</f>
        <v/>
      </c>
      <c r="H71">
        <f>IF(OR($F71="",$G71=""),"",IF(ISNUMBER(Sync!$AG71),INT(MOD(Sync!$AG71,10000)/100),IFERROR(VALUE(TRIM(LEFT(MID(Sync!$AG71,FIND("/",Sync!$AG71)+1,20),FIND("/",MID(Sync!$AG71,FIND("/",Sync!$AG71)+1,20))-1))),"")))</f>
        <v/>
      </c>
      <c r="I71">
        <f>IF(OR($F71="",$G71=""),"",IF(ISNUMBER(Sync!$AG71),MOD(Sync!$AG71,100),IFERROR(VALUE(TRIM(MID(MID(Sync!$AG71,FIND("/",Sync!$AG71)+1,20),FIND("/",MID(Sync!$AG71,FIND("/",Sync!$AG71)+1,20))+1,20))),"")))</f>
        <v/>
      </c>
      <c r="J71">
        <f>IF($F71="","",IF(OR($G71="",$H71="",$I71="",$G71&lt;1300,$G71&gt;1500,$H71&lt;1,$H71&gt;12,$I71&lt;1,$I71&gt;31),"نامعتبر",RIGHT("0000"&amp;$G71,4)&amp;"/"&amp;RIGHT("00"&amp;$H71,2)&amp;"/"&amp;RIGHT("00"&amp;$I71,2)))</f>
        <v/>
      </c>
      <c r="K71">
        <f>IF(OR($F71="",$J71="",$J71="نامعتبر"),"",LEFT($J71,4)&amp;MID($J71,6,2)&amp;RIGHT($J71,2)&amp;$N71&amp;"|"&amp;"2"&amp;RIGHT("00000"&amp;66,5))</f>
        <v/>
      </c>
      <c r="L71">
        <f>IF($K71="","",COUNTIFS(LdgPartyA,$F71,LdgKeyA,"&lt;"&amp;$K71)+COUNTIFS(LdgPartyB,$F71,LdgKeyB,"&lt;"&amp;$K71)+1)</f>
        <v/>
      </c>
      <c r="M71">
        <f>IF($L71="","",$F71&amp;"|"&amp;RIGHT("000000"&amp;$L71,6))</f>
        <v/>
      </c>
      <c r="N71">
        <f>IF($F71="","",IF(Sync!$AH71="","0000",IF(AND(ISNUMBER(Sync!$AH71),Sync!$AH71&gt;=0,Sync!$AH71&lt;1),RIGHT("00"&amp;HOUR(Sync!$AH71),2)&amp;RIGHT("00"&amp;MINUTE(Sync!$AH71),2),IFERROR(RIGHT("00"&amp;VALUE(LEFT(Sync!$AH71,FIND(":",Sync!$AH71)-1)),2)&amp;RIGHT("00"&amp;VALUE(MID(Sync!$AH71,FIND(":",Sync!$AH71)+1,2)),2),"0000"))))</f>
        <v/>
      </c>
    </row>
    <row r="72">
      <c r="A72">
        <f>IF(OR(Calc!$E75="",Calc!$E75="نامعتبر",Calc!$G75="",Calc!$I75&lt;&gt;"خرید"),"",Calc!$G75)</f>
        <v/>
      </c>
      <c r="B72">
        <f>IF($A72="","",LEFT(Calc!$E75,4)&amp;MID(Calc!$E75,6,2)&amp;RIGHT(Calc!$E75,2)&amp;Calc!$R75&amp;"|"&amp;"1"&amp;RIGHT("00000"&amp;67,5))</f>
        <v/>
      </c>
      <c r="C72">
        <f>IF($B72="","",COUNTIFS(LdgPartyA,$A72,LdgKeyA,"&lt;"&amp;$B72)+COUNTIFS(LdgPartyB,$A72,LdgKeyB,"&lt;"&amp;$B72)+1)</f>
        <v/>
      </c>
      <c r="D72">
        <f>IF($C72="","",$A72&amp;"|"&amp;RIGHT("000000"&amp;$C72,6))</f>
        <v/>
      </c>
      <c r="F72">
        <f>IF(Sync!$AJ72="","",Sync!$AJ72)</f>
        <v/>
      </c>
      <c r="G72">
        <f>IF($F72="","",IF(Sync!$AG72="","",IF(ISNUMBER(Sync!$AG72),IF(AND(Sync!$AG72&gt;=10000101,Sync!$AG72&lt;=99991231),INT(Sync!$AG72/10000),""),IFERROR(VALUE(TRIM(LEFT(Sync!$AG72,FIND("/",Sync!$AG72)-1))),""))))</f>
        <v/>
      </c>
      <c r="H72">
        <f>IF(OR($F72="",$G72=""),"",IF(ISNUMBER(Sync!$AG72),INT(MOD(Sync!$AG72,10000)/100),IFERROR(VALUE(TRIM(LEFT(MID(Sync!$AG72,FIND("/",Sync!$AG72)+1,20),FIND("/",MID(Sync!$AG72,FIND("/",Sync!$AG72)+1,20))-1))),"")))</f>
        <v/>
      </c>
      <c r="I72">
        <f>IF(OR($F72="",$G72=""),"",IF(ISNUMBER(Sync!$AG72),MOD(Sync!$AG72,100),IFERROR(VALUE(TRIM(MID(MID(Sync!$AG72,FIND("/",Sync!$AG72)+1,20),FIND("/",MID(Sync!$AG72,FIND("/",Sync!$AG72)+1,20))+1,20))),"")))</f>
        <v/>
      </c>
      <c r="J72">
        <f>IF($F72="","",IF(OR($G72="",$H72="",$I72="",$G72&lt;1300,$G72&gt;1500,$H72&lt;1,$H72&gt;12,$I72&lt;1,$I72&gt;31),"نامعتبر",RIGHT("0000"&amp;$G72,4)&amp;"/"&amp;RIGHT("00"&amp;$H72,2)&amp;"/"&amp;RIGHT("00"&amp;$I72,2)))</f>
        <v/>
      </c>
      <c r="K72">
        <f>IF(OR($F72="",$J72="",$J72="نامعتبر"),"",LEFT($J72,4)&amp;MID($J72,6,2)&amp;RIGHT($J72,2)&amp;$N72&amp;"|"&amp;"2"&amp;RIGHT("00000"&amp;67,5))</f>
        <v/>
      </c>
      <c r="L72">
        <f>IF($K72="","",COUNTIFS(LdgPartyA,$F72,LdgKeyA,"&lt;"&amp;$K72)+COUNTIFS(LdgPartyB,$F72,LdgKeyB,"&lt;"&amp;$K72)+1)</f>
        <v/>
      </c>
      <c r="M72">
        <f>IF($L72="","",$F72&amp;"|"&amp;RIGHT("000000"&amp;$L72,6))</f>
        <v/>
      </c>
      <c r="N72">
        <f>IF($F72="","",IF(Sync!$AH72="","0000",IF(AND(ISNUMBER(Sync!$AH72),Sync!$AH72&gt;=0,Sync!$AH72&lt;1),RIGHT("00"&amp;HOUR(Sync!$AH72),2)&amp;RIGHT("00"&amp;MINUTE(Sync!$AH72),2),IFERROR(RIGHT("00"&amp;VALUE(LEFT(Sync!$AH72,FIND(":",Sync!$AH72)-1)),2)&amp;RIGHT("00"&amp;VALUE(MID(Sync!$AH72,FIND(":",Sync!$AH72)+1,2)),2),"0000"))))</f>
        <v/>
      </c>
    </row>
    <row r="73">
      <c r="A73">
        <f>IF(OR(Calc!$E76="",Calc!$E76="نامعتبر",Calc!$G76="",Calc!$I76&lt;&gt;"خرید"),"",Calc!$G76)</f>
        <v/>
      </c>
      <c r="B73">
        <f>IF($A73="","",LEFT(Calc!$E76,4)&amp;MID(Calc!$E76,6,2)&amp;RIGHT(Calc!$E76,2)&amp;Calc!$R76&amp;"|"&amp;"1"&amp;RIGHT("00000"&amp;68,5))</f>
        <v/>
      </c>
      <c r="C73">
        <f>IF($B73="","",COUNTIFS(LdgPartyA,$A73,LdgKeyA,"&lt;"&amp;$B73)+COUNTIFS(LdgPartyB,$A73,LdgKeyB,"&lt;"&amp;$B73)+1)</f>
        <v/>
      </c>
      <c r="D73">
        <f>IF($C73="","",$A73&amp;"|"&amp;RIGHT("000000"&amp;$C73,6))</f>
        <v/>
      </c>
      <c r="F73">
        <f>IF(Sync!$AJ73="","",Sync!$AJ73)</f>
        <v/>
      </c>
      <c r="G73">
        <f>IF($F73="","",IF(Sync!$AG73="","",IF(ISNUMBER(Sync!$AG73),IF(AND(Sync!$AG73&gt;=10000101,Sync!$AG73&lt;=99991231),INT(Sync!$AG73/10000),""),IFERROR(VALUE(TRIM(LEFT(Sync!$AG73,FIND("/",Sync!$AG73)-1))),""))))</f>
        <v/>
      </c>
      <c r="H73">
        <f>IF(OR($F73="",$G73=""),"",IF(ISNUMBER(Sync!$AG73),INT(MOD(Sync!$AG73,10000)/100),IFERROR(VALUE(TRIM(LEFT(MID(Sync!$AG73,FIND("/",Sync!$AG73)+1,20),FIND("/",MID(Sync!$AG73,FIND("/",Sync!$AG73)+1,20))-1))),"")))</f>
        <v/>
      </c>
      <c r="I73">
        <f>IF(OR($F73="",$G73=""),"",IF(ISNUMBER(Sync!$AG73),MOD(Sync!$AG73,100),IFERROR(VALUE(TRIM(MID(MID(Sync!$AG73,FIND("/",Sync!$AG73)+1,20),FIND("/",MID(Sync!$AG73,FIND("/",Sync!$AG73)+1,20))+1,20))),"")))</f>
        <v/>
      </c>
      <c r="J73">
        <f>IF($F73="","",IF(OR($G73="",$H73="",$I73="",$G73&lt;1300,$G73&gt;1500,$H73&lt;1,$H73&gt;12,$I73&lt;1,$I73&gt;31),"نامعتبر",RIGHT("0000"&amp;$G73,4)&amp;"/"&amp;RIGHT("00"&amp;$H73,2)&amp;"/"&amp;RIGHT("00"&amp;$I73,2)))</f>
        <v/>
      </c>
      <c r="K73">
        <f>IF(OR($F73="",$J73="",$J73="نامعتبر"),"",LEFT($J73,4)&amp;MID($J73,6,2)&amp;RIGHT($J73,2)&amp;$N73&amp;"|"&amp;"2"&amp;RIGHT("00000"&amp;68,5))</f>
        <v/>
      </c>
      <c r="L73">
        <f>IF($K73="","",COUNTIFS(LdgPartyA,$F73,LdgKeyA,"&lt;"&amp;$K73)+COUNTIFS(LdgPartyB,$F73,LdgKeyB,"&lt;"&amp;$K73)+1)</f>
        <v/>
      </c>
      <c r="M73">
        <f>IF($L73="","",$F73&amp;"|"&amp;RIGHT("000000"&amp;$L73,6))</f>
        <v/>
      </c>
      <c r="N73">
        <f>IF($F73="","",IF(Sync!$AH73="","0000",IF(AND(ISNUMBER(Sync!$AH73),Sync!$AH73&gt;=0,Sync!$AH73&lt;1),RIGHT("00"&amp;HOUR(Sync!$AH73),2)&amp;RIGHT("00"&amp;MINUTE(Sync!$AH73),2),IFERROR(RIGHT("00"&amp;VALUE(LEFT(Sync!$AH73,FIND(":",Sync!$AH73)-1)),2)&amp;RIGHT("00"&amp;VALUE(MID(Sync!$AH73,FIND(":",Sync!$AH73)+1,2)),2),"0000"))))</f>
        <v/>
      </c>
    </row>
    <row r="74">
      <c r="A74">
        <f>IF(OR(Calc!$E77="",Calc!$E77="نامعتبر",Calc!$G77="",Calc!$I77&lt;&gt;"خرید"),"",Calc!$G77)</f>
        <v/>
      </c>
      <c r="B74">
        <f>IF($A74="","",LEFT(Calc!$E77,4)&amp;MID(Calc!$E77,6,2)&amp;RIGHT(Calc!$E77,2)&amp;Calc!$R77&amp;"|"&amp;"1"&amp;RIGHT("00000"&amp;69,5))</f>
        <v/>
      </c>
      <c r="C74">
        <f>IF($B74="","",COUNTIFS(LdgPartyA,$A74,LdgKeyA,"&lt;"&amp;$B74)+COUNTIFS(LdgPartyB,$A74,LdgKeyB,"&lt;"&amp;$B74)+1)</f>
        <v/>
      </c>
      <c r="D74">
        <f>IF($C74="","",$A74&amp;"|"&amp;RIGHT("000000"&amp;$C74,6))</f>
        <v/>
      </c>
      <c r="F74">
        <f>IF(Sync!$AJ74="","",Sync!$AJ74)</f>
        <v/>
      </c>
      <c r="G74">
        <f>IF($F74="","",IF(Sync!$AG74="","",IF(ISNUMBER(Sync!$AG74),IF(AND(Sync!$AG74&gt;=10000101,Sync!$AG74&lt;=99991231),INT(Sync!$AG74/10000),""),IFERROR(VALUE(TRIM(LEFT(Sync!$AG74,FIND("/",Sync!$AG74)-1))),""))))</f>
        <v/>
      </c>
      <c r="H74">
        <f>IF(OR($F74="",$G74=""),"",IF(ISNUMBER(Sync!$AG74),INT(MOD(Sync!$AG74,10000)/100),IFERROR(VALUE(TRIM(LEFT(MID(Sync!$AG74,FIND("/",Sync!$AG74)+1,20),FIND("/",MID(Sync!$AG74,FIND("/",Sync!$AG74)+1,20))-1))),"")))</f>
        <v/>
      </c>
      <c r="I74">
        <f>IF(OR($F74="",$G74=""),"",IF(ISNUMBER(Sync!$AG74),MOD(Sync!$AG74,100),IFERROR(VALUE(TRIM(MID(MID(Sync!$AG74,FIND("/",Sync!$AG74)+1,20),FIND("/",MID(Sync!$AG74,FIND("/",Sync!$AG74)+1,20))+1,20))),"")))</f>
        <v/>
      </c>
      <c r="J74">
        <f>IF($F74="","",IF(OR($G74="",$H74="",$I74="",$G74&lt;1300,$G74&gt;1500,$H74&lt;1,$H74&gt;12,$I74&lt;1,$I74&gt;31),"نامعتبر",RIGHT("0000"&amp;$G74,4)&amp;"/"&amp;RIGHT("00"&amp;$H74,2)&amp;"/"&amp;RIGHT("00"&amp;$I74,2)))</f>
        <v/>
      </c>
      <c r="K74">
        <f>IF(OR($F74="",$J74="",$J74="نامعتبر"),"",LEFT($J74,4)&amp;MID($J74,6,2)&amp;RIGHT($J74,2)&amp;$N74&amp;"|"&amp;"2"&amp;RIGHT("00000"&amp;69,5))</f>
        <v/>
      </c>
      <c r="L74">
        <f>IF($K74="","",COUNTIFS(LdgPartyA,$F74,LdgKeyA,"&lt;"&amp;$K74)+COUNTIFS(LdgPartyB,$F74,LdgKeyB,"&lt;"&amp;$K74)+1)</f>
        <v/>
      </c>
      <c r="M74">
        <f>IF($L74="","",$F74&amp;"|"&amp;RIGHT("000000"&amp;$L74,6))</f>
        <v/>
      </c>
      <c r="N74">
        <f>IF($F74="","",IF(Sync!$AH74="","0000",IF(AND(ISNUMBER(Sync!$AH74),Sync!$AH74&gt;=0,Sync!$AH74&lt;1),RIGHT("00"&amp;HOUR(Sync!$AH74),2)&amp;RIGHT("00"&amp;MINUTE(Sync!$AH74),2),IFERROR(RIGHT("00"&amp;VALUE(LEFT(Sync!$AH74,FIND(":",Sync!$AH74)-1)),2)&amp;RIGHT("00"&amp;VALUE(MID(Sync!$AH74,FIND(":",Sync!$AH74)+1,2)),2),"0000"))))</f>
        <v/>
      </c>
    </row>
    <row r="75">
      <c r="A75">
        <f>IF(OR(Calc!$E78="",Calc!$E78="نامعتبر",Calc!$G78="",Calc!$I78&lt;&gt;"خرید"),"",Calc!$G78)</f>
        <v/>
      </c>
      <c r="B75">
        <f>IF($A75="","",LEFT(Calc!$E78,4)&amp;MID(Calc!$E78,6,2)&amp;RIGHT(Calc!$E78,2)&amp;Calc!$R78&amp;"|"&amp;"1"&amp;RIGHT("00000"&amp;70,5))</f>
        <v/>
      </c>
      <c r="C75">
        <f>IF($B75="","",COUNTIFS(LdgPartyA,$A75,LdgKeyA,"&lt;"&amp;$B75)+COUNTIFS(LdgPartyB,$A75,LdgKeyB,"&lt;"&amp;$B75)+1)</f>
        <v/>
      </c>
      <c r="D75">
        <f>IF($C75="","",$A75&amp;"|"&amp;RIGHT("000000"&amp;$C75,6))</f>
        <v/>
      </c>
      <c r="F75">
        <f>IF(Sync!$AJ75="","",Sync!$AJ75)</f>
        <v/>
      </c>
      <c r="G75">
        <f>IF($F75="","",IF(Sync!$AG75="","",IF(ISNUMBER(Sync!$AG75),IF(AND(Sync!$AG75&gt;=10000101,Sync!$AG75&lt;=99991231),INT(Sync!$AG75/10000),""),IFERROR(VALUE(TRIM(LEFT(Sync!$AG75,FIND("/",Sync!$AG75)-1))),""))))</f>
        <v/>
      </c>
      <c r="H75">
        <f>IF(OR($F75="",$G75=""),"",IF(ISNUMBER(Sync!$AG75),INT(MOD(Sync!$AG75,10000)/100),IFERROR(VALUE(TRIM(LEFT(MID(Sync!$AG75,FIND("/",Sync!$AG75)+1,20),FIND("/",MID(Sync!$AG75,FIND("/",Sync!$AG75)+1,20))-1))),"")))</f>
        <v/>
      </c>
      <c r="I75">
        <f>IF(OR($F75="",$G75=""),"",IF(ISNUMBER(Sync!$AG75),MOD(Sync!$AG75,100),IFERROR(VALUE(TRIM(MID(MID(Sync!$AG75,FIND("/",Sync!$AG75)+1,20),FIND("/",MID(Sync!$AG75,FIND("/",Sync!$AG75)+1,20))+1,20))),"")))</f>
        <v/>
      </c>
      <c r="J75">
        <f>IF($F75="","",IF(OR($G75="",$H75="",$I75="",$G75&lt;1300,$G75&gt;1500,$H75&lt;1,$H75&gt;12,$I75&lt;1,$I75&gt;31),"نامعتبر",RIGHT("0000"&amp;$G75,4)&amp;"/"&amp;RIGHT("00"&amp;$H75,2)&amp;"/"&amp;RIGHT("00"&amp;$I75,2)))</f>
        <v/>
      </c>
      <c r="K75">
        <f>IF(OR($F75="",$J75="",$J75="نامعتبر"),"",LEFT($J75,4)&amp;MID($J75,6,2)&amp;RIGHT($J75,2)&amp;$N75&amp;"|"&amp;"2"&amp;RIGHT("00000"&amp;70,5))</f>
        <v/>
      </c>
      <c r="L75">
        <f>IF($K75="","",COUNTIFS(LdgPartyA,$F75,LdgKeyA,"&lt;"&amp;$K75)+COUNTIFS(LdgPartyB,$F75,LdgKeyB,"&lt;"&amp;$K75)+1)</f>
        <v/>
      </c>
      <c r="M75">
        <f>IF($L75="","",$F75&amp;"|"&amp;RIGHT("000000"&amp;$L75,6))</f>
        <v/>
      </c>
      <c r="N75">
        <f>IF($F75="","",IF(Sync!$AH75="","0000",IF(AND(ISNUMBER(Sync!$AH75),Sync!$AH75&gt;=0,Sync!$AH75&lt;1),RIGHT("00"&amp;HOUR(Sync!$AH75),2)&amp;RIGHT("00"&amp;MINUTE(Sync!$AH75),2),IFERROR(RIGHT("00"&amp;VALUE(LEFT(Sync!$AH75,FIND(":",Sync!$AH75)-1)),2)&amp;RIGHT("00"&amp;VALUE(MID(Sync!$AH75,FIND(":",Sync!$AH75)+1,2)),2),"0000"))))</f>
        <v/>
      </c>
    </row>
    <row r="76">
      <c r="A76">
        <f>IF(OR(Calc!$E79="",Calc!$E79="نامعتبر",Calc!$G79="",Calc!$I79&lt;&gt;"خرید"),"",Calc!$G79)</f>
        <v/>
      </c>
      <c r="B76">
        <f>IF($A76="","",LEFT(Calc!$E79,4)&amp;MID(Calc!$E79,6,2)&amp;RIGHT(Calc!$E79,2)&amp;Calc!$R79&amp;"|"&amp;"1"&amp;RIGHT("00000"&amp;71,5))</f>
        <v/>
      </c>
      <c r="C76">
        <f>IF($B76="","",COUNTIFS(LdgPartyA,$A76,LdgKeyA,"&lt;"&amp;$B76)+COUNTIFS(LdgPartyB,$A76,LdgKeyB,"&lt;"&amp;$B76)+1)</f>
        <v/>
      </c>
      <c r="D76">
        <f>IF($C76="","",$A76&amp;"|"&amp;RIGHT("000000"&amp;$C76,6))</f>
        <v/>
      </c>
      <c r="F76">
        <f>IF(Sync!$AJ76="","",Sync!$AJ76)</f>
        <v/>
      </c>
      <c r="G76">
        <f>IF($F76="","",IF(Sync!$AG76="","",IF(ISNUMBER(Sync!$AG76),IF(AND(Sync!$AG76&gt;=10000101,Sync!$AG76&lt;=99991231),INT(Sync!$AG76/10000),""),IFERROR(VALUE(TRIM(LEFT(Sync!$AG76,FIND("/",Sync!$AG76)-1))),""))))</f>
        <v/>
      </c>
      <c r="H76">
        <f>IF(OR($F76="",$G76=""),"",IF(ISNUMBER(Sync!$AG76),INT(MOD(Sync!$AG76,10000)/100),IFERROR(VALUE(TRIM(LEFT(MID(Sync!$AG76,FIND("/",Sync!$AG76)+1,20),FIND("/",MID(Sync!$AG76,FIND("/",Sync!$AG76)+1,20))-1))),"")))</f>
        <v/>
      </c>
      <c r="I76">
        <f>IF(OR($F76="",$G76=""),"",IF(ISNUMBER(Sync!$AG76),MOD(Sync!$AG76,100),IFERROR(VALUE(TRIM(MID(MID(Sync!$AG76,FIND("/",Sync!$AG76)+1,20),FIND("/",MID(Sync!$AG76,FIND("/",Sync!$AG76)+1,20))+1,20))),"")))</f>
        <v/>
      </c>
      <c r="J76">
        <f>IF($F76="","",IF(OR($G76="",$H76="",$I76="",$G76&lt;1300,$G76&gt;1500,$H76&lt;1,$H76&gt;12,$I76&lt;1,$I76&gt;31),"نامعتبر",RIGHT("0000"&amp;$G76,4)&amp;"/"&amp;RIGHT("00"&amp;$H76,2)&amp;"/"&amp;RIGHT("00"&amp;$I76,2)))</f>
        <v/>
      </c>
      <c r="K76">
        <f>IF(OR($F76="",$J76="",$J76="نامعتبر"),"",LEFT($J76,4)&amp;MID($J76,6,2)&amp;RIGHT($J76,2)&amp;$N76&amp;"|"&amp;"2"&amp;RIGHT("00000"&amp;71,5))</f>
        <v/>
      </c>
      <c r="L76">
        <f>IF($K76="","",COUNTIFS(LdgPartyA,$F76,LdgKeyA,"&lt;"&amp;$K76)+COUNTIFS(LdgPartyB,$F76,LdgKeyB,"&lt;"&amp;$K76)+1)</f>
        <v/>
      </c>
      <c r="M76">
        <f>IF($L76="","",$F76&amp;"|"&amp;RIGHT("000000"&amp;$L76,6))</f>
        <v/>
      </c>
      <c r="N76">
        <f>IF($F76="","",IF(Sync!$AH76="","0000",IF(AND(ISNUMBER(Sync!$AH76),Sync!$AH76&gt;=0,Sync!$AH76&lt;1),RIGHT("00"&amp;HOUR(Sync!$AH76),2)&amp;RIGHT("00"&amp;MINUTE(Sync!$AH76),2),IFERROR(RIGHT("00"&amp;VALUE(LEFT(Sync!$AH76,FIND(":",Sync!$AH76)-1)),2)&amp;RIGHT("00"&amp;VALUE(MID(Sync!$AH76,FIND(":",Sync!$AH76)+1,2)),2),"0000"))))</f>
        <v/>
      </c>
    </row>
    <row r="77">
      <c r="A77">
        <f>IF(OR(Calc!$E80="",Calc!$E80="نامعتبر",Calc!$G80="",Calc!$I80&lt;&gt;"خرید"),"",Calc!$G80)</f>
        <v/>
      </c>
      <c r="B77">
        <f>IF($A77="","",LEFT(Calc!$E80,4)&amp;MID(Calc!$E80,6,2)&amp;RIGHT(Calc!$E80,2)&amp;Calc!$R80&amp;"|"&amp;"1"&amp;RIGHT("00000"&amp;72,5))</f>
        <v/>
      </c>
      <c r="C77">
        <f>IF($B77="","",COUNTIFS(LdgPartyA,$A77,LdgKeyA,"&lt;"&amp;$B77)+COUNTIFS(LdgPartyB,$A77,LdgKeyB,"&lt;"&amp;$B77)+1)</f>
        <v/>
      </c>
      <c r="D77">
        <f>IF($C77="","",$A77&amp;"|"&amp;RIGHT("000000"&amp;$C77,6))</f>
        <v/>
      </c>
      <c r="F77">
        <f>IF(Sync!$AJ77="","",Sync!$AJ77)</f>
        <v/>
      </c>
      <c r="G77">
        <f>IF($F77="","",IF(Sync!$AG77="","",IF(ISNUMBER(Sync!$AG77),IF(AND(Sync!$AG77&gt;=10000101,Sync!$AG77&lt;=99991231),INT(Sync!$AG77/10000),""),IFERROR(VALUE(TRIM(LEFT(Sync!$AG77,FIND("/",Sync!$AG77)-1))),""))))</f>
        <v/>
      </c>
      <c r="H77">
        <f>IF(OR($F77="",$G77=""),"",IF(ISNUMBER(Sync!$AG77),INT(MOD(Sync!$AG77,10000)/100),IFERROR(VALUE(TRIM(LEFT(MID(Sync!$AG77,FIND("/",Sync!$AG77)+1,20),FIND("/",MID(Sync!$AG77,FIND("/",Sync!$AG77)+1,20))-1))),"")))</f>
        <v/>
      </c>
      <c r="I77">
        <f>IF(OR($F77="",$G77=""),"",IF(ISNUMBER(Sync!$AG77),MOD(Sync!$AG77,100),IFERROR(VALUE(TRIM(MID(MID(Sync!$AG77,FIND("/",Sync!$AG77)+1,20),FIND("/",MID(Sync!$AG77,FIND("/",Sync!$AG77)+1,20))+1,20))),"")))</f>
        <v/>
      </c>
      <c r="J77">
        <f>IF($F77="","",IF(OR($G77="",$H77="",$I77="",$G77&lt;1300,$G77&gt;1500,$H77&lt;1,$H77&gt;12,$I77&lt;1,$I77&gt;31),"نامعتبر",RIGHT("0000"&amp;$G77,4)&amp;"/"&amp;RIGHT("00"&amp;$H77,2)&amp;"/"&amp;RIGHT("00"&amp;$I77,2)))</f>
        <v/>
      </c>
      <c r="K77">
        <f>IF(OR($F77="",$J77="",$J77="نامعتبر"),"",LEFT($J77,4)&amp;MID($J77,6,2)&amp;RIGHT($J77,2)&amp;$N77&amp;"|"&amp;"2"&amp;RIGHT("00000"&amp;72,5))</f>
        <v/>
      </c>
      <c r="L77">
        <f>IF($K77="","",COUNTIFS(LdgPartyA,$F77,LdgKeyA,"&lt;"&amp;$K77)+COUNTIFS(LdgPartyB,$F77,LdgKeyB,"&lt;"&amp;$K77)+1)</f>
        <v/>
      </c>
      <c r="M77">
        <f>IF($L77="","",$F77&amp;"|"&amp;RIGHT("000000"&amp;$L77,6))</f>
        <v/>
      </c>
      <c r="N77">
        <f>IF($F77="","",IF(Sync!$AH77="","0000",IF(AND(ISNUMBER(Sync!$AH77),Sync!$AH77&gt;=0,Sync!$AH77&lt;1),RIGHT("00"&amp;HOUR(Sync!$AH77),2)&amp;RIGHT("00"&amp;MINUTE(Sync!$AH77),2),IFERROR(RIGHT("00"&amp;VALUE(LEFT(Sync!$AH77,FIND(":",Sync!$AH77)-1)),2)&amp;RIGHT("00"&amp;VALUE(MID(Sync!$AH77,FIND(":",Sync!$AH77)+1,2)),2),"0000"))))</f>
        <v/>
      </c>
    </row>
    <row r="78">
      <c r="A78">
        <f>IF(OR(Calc!$E81="",Calc!$E81="نامعتبر",Calc!$G81="",Calc!$I81&lt;&gt;"خرید"),"",Calc!$G81)</f>
        <v/>
      </c>
      <c r="B78">
        <f>IF($A78="","",LEFT(Calc!$E81,4)&amp;MID(Calc!$E81,6,2)&amp;RIGHT(Calc!$E81,2)&amp;Calc!$R81&amp;"|"&amp;"1"&amp;RIGHT("00000"&amp;73,5))</f>
        <v/>
      </c>
      <c r="C78">
        <f>IF($B78="","",COUNTIFS(LdgPartyA,$A78,LdgKeyA,"&lt;"&amp;$B78)+COUNTIFS(LdgPartyB,$A78,LdgKeyB,"&lt;"&amp;$B78)+1)</f>
        <v/>
      </c>
      <c r="D78">
        <f>IF($C78="","",$A78&amp;"|"&amp;RIGHT("000000"&amp;$C78,6))</f>
        <v/>
      </c>
      <c r="F78">
        <f>IF(Sync!$AJ78="","",Sync!$AJ78)</f>
        <v/>
      </c>
      <c r="G78">
        <f>IF($F78="","",IF(Sync!$AG78="","",IF(ISNUMBER(Sync!$AG78),IF(AND(Sync!$AG78&gt;=10000101,Sync!$AG78&lt;=99991231),INT(Sync!$AG78/10000),""),IFERROR(VALUE(TRIM(LEFT(Sync!$AG78,FIND("/",Sync!$AG78)-1))),""))))</f>
        <v/>
      </c>
      <c r="H78">
        <f>IF(OR($F78="",$G78=""),"",IF(ISNUMBER(Sync!$AG78),INT(MOD(Sync!$AG78,10000)/100),IFERROR(VALUE(TRIM(LEFT(MID(Sync!$AG78,FIND("/",Sync!$AG78)+1,20),FIND("/",MID(Sync!$AG78,FIND("/",Sync!$AG78)+1,20))-1))),"")))</f>
        <v/>
      </c>
      <c r="I78">
        <f>IF(OR($F78="",$G78=""),"",IF(ISNUMBER(Sync!$AG78),MOD(Sync!$AG78,100),IFERROR(VALUE(TRIM(MID(MID(Sync!$AG78,FIND("/",Sync!$AG78)+1,20),FIND("/",MID(Sync!$AG78,FIND("/",Sync!$AG78)+1,20))+1,20))),"")))</f>
        <v/>
      </c>
      <c r="J78">
        <f>IF($F78="","",IF(OR($G78="",$H78="",$I78="",$G78&lt;1300,$G78&gt;1500,$H78&lt;1,$H78&gt;12,$I78&lt;1,$I78&gt;31),"نامعتبر",RIGHT("0000"&amp;$G78,4)&amp;"/"&amp;RIGHT("00"&amp;$H78,2)&amp;"/"&amp;RIGHT("00"&amp;$I78,2)))</f>
        <v/>
      </c>
      <c r="K78">
        <f>IF(OR($F78="",$J78="",$J78="نامعتبر"),"",LEFT($J78,4)&amp;MID($J78,6,2)&amp;RIGHT($J78,2)&amp;$N78&amp;"|"&amp;"2"&amp;RIGHT("00000"&amp;73,5))</f>
        <v/>
      </c>
      <c r="L78">
        <f>IF($K78="","",COUNTIFS(LdgPartyA,$F78,LdgKeyA,"&lt;"&amp;$K78)+COUNTIFS(LdgPartyB,$F78,LdgKeyB,"&lt;"&amp;$K78)+1)</f>
        <v/>
      </c>
      <c r="M78">
        <f>IF($L78="","",$F78&amp;"|"&amp;RIGHT("000000"&amp;$L78,6))</f>
        <v/>
      </c>
      <c r="N78">
        <f>IF($F78="","",IF(Sync!$AH78="","0000",IF(AND(ISNUMBER(Sync!$AH78),Sync!$AH78&gt;=0,Sync!$AH78&lt;1),RIGHT("00"&amp;HOUR(Sync!$AH78),2)&amp;RIGHT("00"&amp;MINUTE(Sync!$AH78),2),IFERROR(RIGHT("00"&amp;VALUE(LEFT(Sync!$AH78,FIND(":",Sync!$AH78)-1)),2)&amp;RIGHT("00"&amp;VALUE(MID(Sync!$AH78,FIND(":",Sync!$AH78)+1,2)),2),"0000"))))</f>
        <v/>
      </c>
    </row>
    <row r="79">
      <c r="A79">
        <f>IF(OR(Calc!$E82="",Calc!$E82="نامعتبر",Calc!$G82="",Calc!$I82&lt;&gt;"خرید"),"",Calc!$G82)</f>
        <v/>
      </c>
      <c r="B79">
        <f>IF($A79="","",LEFT(Calc!$E82,4)&amp;MID(Calc!$E82,6,2)&amp;RIGHT(Calc!$E82,2)&amp;Calc!$R82&amp;"|"&amp;"1"&amp;RIGHT("00000"&amp;74,5))</f>
        <v/>
      </c>
      <c r="C79">
        <f>IF($B79="","",COUNTIFS(LdgPartyA,$A79,LdgKeyA,"&lt;"&amp;$B79)+COUNTIFS(LdgPartyB,$A79,LdgKeyB,"&lt;"&amp;$B79)+1)</f>
        <v/>
      </c>
      <c r="D79">
        <f>IF($C79="","",$A79&amp;"|"&amp;RIGHT("000000"&amp;$C79,6))</f>
        <v/>
      </c>
      <c r="F79">
        <f>IF(Sync!$AJ79="","",Sync!$AJ79)</f>
        <v/>
      </c>
      <c r="G79">
        <f>IF($F79="","",IF(Sync!$AG79="","",IF(ISNUMBER(Sync!$AG79),IF(AND(Sync!$AG79&gt;=10000101,Sync!$AG79&lt;=99991231),INT(Sync!$AG79/10000),""),IFERROR(VALUE(TRIM(LEFT(Sync!$AG79,FIND("/",Sync!$AG79)-1))),""))))</f>
        <v/>
      </c>
      <c r="H79">
        <f>IF(OR($F79="",$G79=""),"",IF(ISNUMBER(Sync!$AG79),INT(MOD(Sync!$AG79,10000)/100),IFERROR(VALUE(TRIM(LEFT(MID(Sync!$AG79,FIND("/",Sync!$AG79)+1,20),FIND("/",MID(Sync!$AG79,FIND("/",Sync!$AG79)+1,20))-1))),"")))</f>
        <v/>
      </c>
      <c r="I79">
        <f>IF(OR($F79="",$G79=""),"",IF(ISNUMBER(Sync!$AG79),MOD(Sync!$AG79,100),IFERROR(VALUE(TRIM(MID(MID(Sync!$AG79,FIND("/",Sync!$AG79)+1,20),FIND("/",MID(Sync!$AG79,FIND("/",Sync!$AG79)+1,20))+1,20))),"")))</f>
        <v/>
      </c>
      <c r="J79">
        <f>IF($F79="","",IF(OR($G79="",$H79="",$I79="",$G79&lt;1300,$G79&gt;1500,$H79&lt;1,$H79&gt;12,$I79&lt;1,$I79&gt;31),"نامعتبر",RIGHT("0000"&amp;$G79,4)&amp;"/"&amp;RIGHT("00"&amp;$H79,2)&amp;"/"&amp;RIGHT("00"&amp;$I79,2)))</f>
        <v/>
      </c>
      <c r="K79">
        <f>IF(OR($F79="",$J79="",$J79="نامعتبر"),"",LEFT($J79,4)&amp;MID($J79,6,2)&amp;RIGHT($J79,2)&amp;$N79&amp;"|"&amp;"2"&amp;RIGHT("00000"&amp;74,5))</f>
        <v/>
      </c>
      <c r="L79">
        <f>IF($K79="","",COUNTIFS(LdgPartyA,$F79,LdgKeyA,"&lt;"&amp;$K79)+COUNTIFS(LdgPartyB,$F79,LdgKeyB,"&lt;"&amp;$K79)+1)</f>
        <v/>
      </c>
      <c r="M79">
        <f>IF($L79="","",$F79&amp;"|"&amp;RIGHT("000000"&amp;$L79,6))</f>
        <v/>
      </c>
      <c r="N79">
        <f>IF($F79="","",IF(Sync!$AH79="","0000",IF(AND(ISNUMBER(Sync!$AH79),Sync!$AH79&gt;=0,Sync!$AH79&lt;1),RIGHT("00"&amp;HOUR(Sync!$AH79),2)&amp;RIGHT("00"&amp;MINUTE(Sync!$AH79),2),IFERROR(RIGHT("00"&amp;VALUE(LEFT(Sync!$AH79,FIND(":",Sync!$AH79)-1)),2)&amp;RIGHT("00"&amp;VALUE(MID(Sync!$AH79,FIND(":",Sync!$AH79)+1,2)),2),"0000"))))</f>
        <v/>
      </c>
    </row>
    <row r="80">
      <c r="A80">
        <f>IF(OR(Calc!$E83="",Calc!$E83="نامعتبر",Calc!$G83="",Calc!$I83&lt;&gt;"خرید"),"",Calc!$G83)</f>
        <v/>
      </c>
      <c r="B80">
        <f>IF($A80="","",LEFT(Calc!$E83,4)&amp;MID(Calc!$E83,6,2)&amp;RIGHT(Calc!$E83,2)&amp;Calc!$R83&amp;"|"&amp;"1"&amp;RIGHT("00000"&amp;75,5))</f>
        <v/>
      </c>
      <c r="C80">
        <f>IF($B80="","",COUNTIFS(LdgPartyA,$A80,LdgKeyA,"&lt;"&amp;$B80)+COUNTIFS(LdgPartyB,$A80,LdgKeyB,"&lt;"&amp;$B80)+1)</f>
        <v/>
      </c>
      <c r="D80">
        <f>IF($C80="","",$A80&amp;"|"&amp;RIGHT("000000"&amp;$C80,6))</f>
        <v/>
      </c>
      <c r="F80">
        <f>IF(Sync!$AJ80="","",Sync!$AJ80)</f>
        <v/>
      </c>
      <c r="G80">
        <f>IF($F80="","",IF(Sync!$AG80="","",IF(ISNUMBER(Sync!$AG80),IF(AND(Sync!$AG80&gt;=10000101,Sync!$AG80&lt;=99991231),INT(Sync!$AG80/10000),""),IFERROR(VALUE(TRIM(LEFT(Sync!$AG80,FIND("/",Sync!$AG80)-1))),""))))</f>
        <v/>
      </c>
      <c r="H80">
        <f>IF(OR($F80="",$G80=""),"",IF(ISNUMBER(Sync!$AG80),INT(MOD(Sync!$AG80,10000)/100),IFERROR(VALUE(TRIM(LEFT(MID(Sync!$AG80,FIND("/",Sync!$AG80)+1,20),FIND("/",MID(Sync!$AG80,FIND("/",Sync!$AG80)+1,20))-1))),"")))</f>
        <v/>
      </c>
      <c r="I80">
        <f>IF(OR($F80="",$G80=""),"",IF(ISNUMBER(Sync!$AG80),MOD(Sync!$AG80,100),IFERROR(VALUE(TRIM(MID(MID(Sync!$AG80,FIND("/",Sync!$AG80)+1,20),FIND("/",MID(Sync!$AG80,FIND("/",Sync!$AG80)+1,20))+1,20))),"")))</f>
        <v/>
      </c>
      <c r="J80">
        <f>IF($F80="","",IF(OR($G80="",$H80="",$I80="",$G80&lt;1300,$G80&gt;1500,$H80&lt;1,$H80&gt;12,$I80&lt;1,$I80&gt;31),"نامعتبر",RIGHT("0000"&amp;$G80,4)&amp;"/"&amp;RIGHT("00"&amp;$H80,2)&amp;"/"&amp;RIGHT("00"&amp;$I80,2)))</f>
        <v/>
      </c>
      <c r="K80">
        <f>IF(OR($F80="",$J80="",$J80="نامعتبر"),"",LEFT($J80,4)&amp;MID($J80,6,2)&amp;RIGHT($J80,2)&amp;$N80&amp;"|"&amp;"2"&amp;RIGHT("00000"&amp;75,5))</f>
        <v/>
      </c>
      <c r="L80">
        <f>IF($K80="","",COUNTIFS(LdgPartyA,$F80,LdgKeyA,"&lt;"&amp;$K80)+COUNTIFS(LdgPartyB,$F80,LdgKeyB,"&lt;"&amp;$K80)+1)</f>
        <v/>
      </c>
      <c r="M80">
        <f>IF($L80="","",$F80&amp;"|"&amp;RIGHT("000000"&amp;$L80,6))</f>
        <v/>
      </c>
      <c r="N80">
        <f>IF($F80="","",IF(Sync!$AH80="","0000",IF(AND(ISNUMBER(Sync!$AH80),Sync!$AH80&gt;=0,Sync!$AH80&lt;1),RIGHT("00"&amp;HOUR(Sync!$AH80),2)&amp;RIGHT("00"&amp;MINUTE(Sync!$AH80),2),IFERROR(RIGHT("00"&amp;VALUE(LEFT(Sync!$AH80,FIND(":",Sync!$AH80)-1)),2)&amp;RIGHT("00"&amp;VALUE(MID(Sync!$AH80,FIND(":",Sync!$AH80)+1,2)),2),"0000"))))</f>
        <v/>
      </c>
    </row>
    <row r="81">
      <c r="A81">
        <f>IF(OR(Calc!$E84="",Calc!$E84="نامعتبر",Calc!$G84="",Calc!$I84&lt;&gt;"خرید"),"",Calc!$G84)</f>
        <v/>
      </c>
      <c r="B81">
        <f>IF($A81="","",LEFT(Calc!$E84,4)&amp;MID(Calc!$E84,6,2)&amp;RIGHT(Calc!$E84,2)&amp;Calc!$R84&amp;"|"&amp;"1"&amp;RIGHT("00000"&amp;76,5))</f>
        <v/>
      </c>
      <c r="C81">
        <f>IF($B81="","",COUNTIFS(LdgPartyA,$A81,LdgKeyA,"&lt;"&amp;$B81)+COUNTIFS(LdgPartyB,$A81,LdgKeyB,"&lt;"&amp;$B81)+1)</f>
        <v/>
      </c>
      <c r="D81">
        <f>IF($C81="","",$A81&amp;"|"&amp;RIGHT("000000"&amp;$C81,6))</f>
        <v/>
      </c>
      <c r="F81">
        <f>IF(Sync!$AJ81="","",Sync!$AJ81)</f>
        <v/>
      </c>
      <c r="G81">
        <f>IF($F81="","",IF(Sync!$AG81="","",IF(ISNUMBER(Sync!$AG81),IF(AND(Sync!$AG81&gt;=10000101,Sync!$AG81&lt;=99991231),INT(Sync!$AG81/10000),""),IFERROR(VALUE(TRIM(LEFT(Sync!$AG81,FIND("/",Sync!$AG81)-1))),""))))</f>
        <v/>
      </c>
      <c r="H81">
        <f>IF(OR($F81="",$G81=""),"",IF(ISNUMBER(Sync!$AG81),INT(MOD(Sync!$AG81,10000)/100),IFERROR(VALUE(TRIM(LEFT(MID(Sync!$AG81,FIND("/",Sync!$AG81)+1,20),FIND("/",MID(Sync!$AG81,FIND("/",Sync!$AG81)+1,20))-1))),"")))</f>
        <v/>
      </c>
      <c r="I81">
        <f>IF(OR($F81="",$G81=""),"",IF(ISNUMBER(Sync!$AG81),MOD(Sync!$AG81,100),IFERROR(VALUE(TRIM(MID(MID(Sync!$AG81,FIND("/",Sync!$AG81)+1,20),FIND("/",MID(Sync!$AG81,FIND("/",Sync!$AG81)+1,20))+1,20))),"")))</f>
        <v/>
      </c>
      <c r="J81">
        <f>IF($F81="","",IF(OR($G81="",$H81="",$I81="",$G81&lt;1300,$G81&gt;1500,$H81&lt;1,$H81&gt;12,$I81&lt;1,$I81&gt;31),"نامعتبر",RIGHT("0000"&amp;$G81,4)&amp;"/"&amp;RIGHT("00"&amp;$H81,2)&amp;"/"&amp;RIGHT("00"&amp;$I81,2)))</f>
        <v/>
      </c>
      <c r="K81">
        <f>IF(OR($F81="",$J81="",$J81="نامعتبر"),"",LEFT($J81,4)&amp;MID($J81,6,2)&amp;RIGHT($J81,2)&amp;$N81&amp;"|"&amp;"2"&amp;RIGHT("00000"&amp;76,5))</f>
        <v/>
      </c>
      <c r="L81">
        <f>IF($K81="","",COUNTIFS(LdgPartyA,$F81,LdgKeyA,"&lt;"&amp;$K81)+COUNTIFS(LdgPartyB,$F81,LdgKeyB,"&lt;"&amp;$K81)+1)</f>
        <v/>
      </c>
      <c r="M81">
        <f>IF($L81="","",$F81&amp;"|"&amp;RIGHT("000000"&amp;$L81,6))</f>
        <v/>
      </c>
      <c r="N81">
        <f>IF($F81="","",IF(Sync!$AH81="","0000",IF(AND(ISNUMBER(Sync!$AH81),Sync!$AH81&gt;=0,Sync!$AH81&lt;1),RIGHT("00"&amp;HOUR(Sync!$AH81),2)&amp;RIGHT("00"&amp;MINUTE(Sync!$AH81),2),IFERROR(RIGHT("00"&amp;VALUE(LEFT(Sync!$AH81,FIND(":",Sync!$AH81)-1)),2)&amp;RIGHT("00"&amp;VALUE(MID(Sync!$AH81,FIND(":",Sync!$AH81)+1,2)),2),"0000"))))</f>
        <v/>
      </c>
    </row>
    <row r="82">
      <c r="A82">
        <f>IF(OR(Calc!$E85="",Calc!$E85="نامعتبر",Calc!$G85="",Calc!$I85&lt;&gt;"خرید"),"",Calc!$G85)</f>
        <v/>
      </c>
      <c r="B82">
        <f>IF($A82="","",LEFT(Calc!$E85,4)&amp;MID(Calc!$E85,6,2)&amp;RIGHT(Calc!$E85,2)&amp;Calc!$R85&amp;"|"&amp;"1"&amp;RIGHT("00000"&amp;77,5))</f>
        <v/>
      </c>
      <c r="C82">
        <f>IF($B82="","",COUNTIFS(LdgPartyA,$A82,LdgKeyA,"&lt;"&amp;$B82)+COUNTIFS(LdgPartyB,$A82,LdgKeyB,"&lt;"&amp;$B82)+1)</f>
        <v/>
      </c>
      <c r="D82">
        <f>IF($C82="","",$A82&amp;"|"&amp;RIGHT("000000"&amp;$C82,6))</f>
        <v/>
      </c>
      <c r="F82">
        <f>IF(Sync!$AJ82="","",Sync!$AJ82)</f>
        <v/>
      </c>
      <c r="G82">
        <f>IF($F82="","",IF(Sync!$AG82="","",IF(ISNUMBER(Sync!$AG82),IF(AND(Sync!$AG82&gt;=10000101,Sync!$AG82&lt;=99991231),INT(Sync!$AG82/10000),""),IFERROR(VALUE(TRIM(LEFT(Sync!$AG82,FIND("/",Sync!$AG82)-1))),""))))</f>
        <v/>
      </c>
      <c r="H82">
        <f>IF(OR($F82="",$G82=""),"",IF(ISNUMBER(Sync!$AG82),INT(MOD(Sync!$AG82,10000)/100),IFERROR(VALUE(TRIM(LEFT(MID(Sync!$AG82,FIND("/",Sync!$AG82)+1,20),FIND("/",MID(Sync!$AG82,FIND("/",Sync!$AG82)+1,20))-1))),"")))</f>
        <v/>
      </c>
      <c r="I82">
        <f>IF(OR($F82="",$G82=""),"",IF(ISNUMBER(Sync!$AG82),MOD(Sync!$AG82,100),IFERROR(VALUE(TRIM(MID(MID(Sync!$AG82,FIND("/",Sync!$AG82)+1,20),FIND("/",MID(Sync!$AG82,FIND("/",Sync!$AG82)+1,20))+1,20))),"")))</f>
        <v/>
      </c>
      <c r="J82">
        <f>IF($F82="","",IF(OR($G82="",$H82="",$I82="",$G82&lt;1300,$G82&gt;1500,$H82&lt;1,$H82&gt;12,$I82&lt;1,$I82&gt;31),"نامعتبر",RIGHT("0000"&amp;$G82,4)&amp;"/"&amp;RIGHT("00"&amp;$H82,2)&amp;"/"&amp;RIGHT("00"&amp;$I82,2)))</f>
        <v/>
      </c>
      <c r="K82">
        <f>IF(OR($F82="",$J82="",$J82="نامعتبر"),"",LEFT($J82,4)&amp;MID($J82,6,2)&amp;RIGHT($J82,2)&amp;$N82&amp;"|"&amp;"2"&amp;RIGHT("00000"&amp;77,5))</f>
        <v/>
      </c>
      <c r="L82">
        <f>IF($K82="","",COUNTIFS(LdgPartyA,$F82,LdgKeyA,"&lt;"&amp;$K82)+COUNTIFS(LdgPartyB,$F82,LdgKeyB,"&lt;"&amp;$K82)+1)</f>
        <v/>
      </c>
      <c r="M82">
        <f>IF($L82="","",$F82&amp;"|"&amp;RIGHT("000000"&amp;$L82,6))</f>
        <v/>
      </c>
      <c r="N82">
        <f>IF($F82="","",IF(Sync!$AH82="","0000",IF(AND(ISNUMBER(Sync!$AH82),Sync!$AH82&gt;=0,Sync!$AH82&lt;1),RIGHT("00"&amp;HOUR(Sync!$AH82),2)&amp;RIGHT("00"&amp;MINUTE(Sync!$AH82),2),IFERROR(RIGHT("00"&amp;VALUE(LEFT(Sync!$AH82,FIND(":",Sync!$AH82)-1)),2)&amp;RIGHT("00"&amp;VALUE(MID(Sync!$AH82,FIND(":",Sync!$AH82)+1,2)),2),"0000"))))</f>
        <v/>
      </c>
    </row>
    <row r="83">
      <c r="A83">
        <f>IF(OR(Calc!$E86="",Calc!$E86="نامعتبر",Calc!$G86="",Calc!$I86&lt;&gt;"خرید"),"",Calc!$G86)</f>
        <v/>
      </c>
      <c r="B83">
        <f>IF($A83="","",LEFT(Calc!$E86,4)&amp;MID(Calc!$E86,6,2)&amp;RIGHT(Calc!$E86,2)&amp;Calc!$R86&amp;"|"&amp;"1"&amp;RIGHT("00000"&amp;78,5))</f>
        <v/>
      </c>
      <c r="C83">
        <f>IF($B83="","",COUNTIFS(LdgPartyA,$A83,LdgKeyA,"&lt;"&amp;$B83)+COUNTIFS(LdgPartyB,$A83,LdgKeyB,"&lt;"&amp;$B83)+1)</f>
        <v/>
      </c>
      <c r="D83">
        <f>IF($C83="","",$A83&amp;"|"&amp;RIGHT("000000"&amp;$C83,6))</f>
        <v/>
      </c>
      <c r="F83">
        <f>IF(Sync!$AJ83="","",Sync!$AJ83)</f>
        <v/>
      </c>
      <c r="G83">
        <f>IF($F83="","",IF(Sync!$AG83="","",IF(ISNUMBER(Sync!$AG83),IF(AND(Sync!$AG83&gt;=10000101,Sync!$AG83&lt;=99991231),INT(Sync!$AG83/10000),""),IFERROR(VALUE(TRIM(LEFT(Sync!$AG83,FIND("/",Sync!$AG83)-1))),""))))</f>
        <v/>
      </c>
      <c r="H83">
        <f>IF(OR($F83="",$G83=""),"",IF(ISNUMBER(Sync!$AG83),INT(MOD(Sync!$AG83,10000)/100),IFERROR(VALUE(TRIM(LEFT(MID(Sync!$AG83,FIND("/",Sync!$AG83)+1,20),FIND("/",MID(Sync!$AG83,FIND("/",Sync!$AG83)+1,20))-1))),"")))</f>
        <v/>
      </c>
      <c r="I83">
        <f>IF(OR($F83="",$G83=""),"",IF(ISNUMBER(Sync!$AG83),MOD(Sync!$AG83,100),IFERROR(VALUE(TRIM(MID(MID(Sync!$AG83,FIND("/",Sync!$AG83)+1,20),FIND("/",MID(Sync!$AG83,FIND("/",Sync!$AG83)+1,20))+1,20))),"")))</f>
        <v/>
      </c>
      <c r="J83">
        <f>IF($F83="","",IF(OR($G83="",$H83="",$I83="",$G83&lt;1300,$G83&gt;1500,$H83&lt;1,$H83&gt;12,$I83&lt;1,$I83&gt;31),"نامعتبر",RIGHT("0000"&amp;$G83,4)&amp;"/"&amp;RIGHT("00"&amp;$H83,2)&amp;"/"&amp;RIGHT("00"&amp;$I83,2)))</f>
        <v/>
      </c>
      <c r="K83">
        <f>IF(OR($F83="",$J83="",$J83="نامعتبر"),"",LEFT($J83,4)&amp;MID($J83,6,2)&amp;RIGHT($J83,2)&amp;$N83&amp;"|"&amp;"2"&amp;RIGHT("00000"&amp;78,5))</f>
        <v/>
      </c>
      <c r="L83">
        <f>IF($K83="","",COUNTIFS(LdgPartyA,$F83,LdgKeyA,"&lt;"&amp;$K83)+COUNTIFS(LdgPartyB,$F83,LdgKeyB,"&lt;"&amp;$K83)+1)</f>
        <v/>
      </c>
      <c r="M83">
        <f>IF($L83="","",$F83&amp;"|"&amp;RIGHT("000000"&amp;$L83,6))</f>
        <v/>
      </c>
      <c r="N83">
        <f>IF($F83="","",IF(Sync!$AH83="","0000",IF(AND(ISNUMBER(Sync!$AH83),Sync!$AH83&gt;=0,Sync!$AH83&lt;1),RIGHT("00"&amp;HOUR(Sync!$AH83),2)&amp;RIGHT("00"&amp;MINUTE(Sync!$AH83),2),IFERROR(RIGHT("00"&amp;VALUE(LEFT(Sync!$AH83,FIND(":",Sync!$AH83)-1)),2)&amp;RIGHT("00"&amp;VALUE(MID(Sync!$AH83,FIND(":",Sync!$AH83)+1,2)),2),"0000"))))</f>
        <v/>
      </c>
    </row>
    <row r="84">
      <c r="A84">
        <f>IF(OR(Calc!$E87="",Calc!$E87="نامعتبر",Calc!$G87="",Calc!$I87&lt;&gt;"خرید"),"",Calc!$G87)</f>
        <v/>
      </c>
      <c r="B84">
        <f>IF($A84="","",LEFT(Calc!$E87,4)&amp;MID(Calc!$E87,6,2)&amp;RIGHT(Calc!$E87,2)&amp;Calc!$R87&amp;"|"&amp;"1"&amp;RIGHT("00000"&amp;79,5))</f>
        <v/>
      </c>
      <c r="C84">
        <f>IF($B84="","",COUNTIFS(LdgPartyA,$A84,LdgKeyA,"&lt;"&amp;$B84)+COUNTIFS(LdgPartyB,$A84,LdgKeyB,"&lt;"&amp;$B84)+1)</f>
        <v/>
      </c>
      <c r="D84">
        <f>IF($C84="","",$A84&amp;"|"&amp;RIGHT("000000"&amp;$C84,6))</f>
        <v/>
      </c>
      <c r="F84">
        <f>IF(Sync!$AJ84="","",Sync!$AJ84)</f>
        <v/>
      </c>
      <c r="G84">
        <f>IF($F84="","",IF(Sync!$AG84="","",IF(ISNUMBER(Sync!$AG84),IF(AND(Sync!$AG84&gt;=10000101,Sync!$AG84&lt;=99991231),INT(Sync!$AG84/10000),""),IFERROR(VALUE(TRIM(LEFT(Sync!$AG84,FIND("/",Sync!$AG84)-1))),""))))</f>
        <v/>
      </c>
      <c r="H84">
        <f>IF(OR($F84="",$G84=""),"",IF(ISNUMBER(Sync!$AG84),INT(MOD(Sync!$AG84,10000)/100),IFERROR(VALUE(TRIM(LEFT(MID(Sync!$AG84,FIND("/",Sync!$AG84)+1,20),FIND("/",MID(Sync!$AG84,FIND("/",Sync!$AG84)+1,20))-1))),"")))</f>
        <v/>
      </c>
      <c r="I84">
        <f>IF(OR($F84="",$G84=""),"",IF(ISNUMBER(Sync!$AG84),MOD(Sync!$AG84,100),IFERROR(VALUE(TRIM(MID(MID(Sync!$AG84,FIND("/",Sync!$AG84)+1,20),FIND("/",MID(Sync!$AG84,FIND("/",Sync!$AG84)+1,20))+1,20))),"")))</f>
        <v/>
      </c>
      <c r="J84">
        <f>IF($F84="","",IF(OR($G84="",$H84="",$I84="",$G84&lt;1300,$G84&gt;1500,$H84&lt;1,$H84&gt;12,$I84&lt;1,$I84&gt;31),"نامعتبر",RIGHT("0000"&amp;$G84,4)&amp;"/"&amp;RIGHT("00"&amp;$H84,2)&amp;"/"&amp;RIGHT("00"&amp;$I84,2)))</f>
        <v/>
      </c>
      <c r="K84">
        <f>IF(OR($F84="",$J84="",$J84="نامعتبر"),"",LEFT($J84,4)&amp;MID($J84,6,2)&amp;RIGHT($J84,2)&amp;$N84&amp;"|"&amp;"2"&amp;RIGHT("00000"&amp;79,5))</f>
        <v/>
      </c>
      <c r="L84">
        <f>IF($K84="","",COUNTIFS(LdgPartyA,$F84,LdgKeyA,"&lt;"&amp;$K84)+COUNTIFS(LdgPartyB,$F84,LdgKeyB,"&lt;"&amp;$K84)+1)</f>
        <v/>
      </c>
      <c r="M84">
        <f>IF($L84="","",$F84&amp;"|"&amp;RIGHT("000000"&amp;$L84,6))</f>
        <v/>
      </c>
      <c r="N84">
        <f>IF($F84="","",IF(Sync!$AH84="","0000",IF(AND(ISNUMBER(Sync!$AH84),Sync!$AH84&gt;=0,Sync!$AH84&lt;1),RIGHT("00"&amp;HOUR(Sync!$AH84),2)&amp;RIGHT("00"&amp;MINUTE(Sync!$AH84),2),IFERROR(RIGHT("00"&amp;VALUE(LEFT(Sync!$AH84,FIND(":",Sync!$AH84)-1)),2)&amp;RIGHT("00"&amp;VALUE(MID(Sync!$AH84,FIND(":",Sync!$AH84)+1,2)),2),"0000"))))</f>
        <v/>
      </c>
    </row>
    <row r="85">
      <c r="A85">
        <f>IF(OR(Calc!$E88="",Calc!$E88="نامعتبر",Calc!$G88="",Calc!$I88&lt;&gt;"خرید"),"",Calc!$G88)</f>
        <v/>
      </c>
      <c r="B85">
        <f>IF($A85="","",LEFT(Calc!$E88,4)&amp;MID(Calc!$E88,6,2)&amp;RIGHT(Calc!$E88,2)&amp;Calc!$R88&amp;"|"&amp;"1"&amp;RIGHT("00000"&amp;80,5))</f>
        <v/>
      </c>
      <c r="C85">
        <f>IF($B85="","",COUNTIFS(LdgPartyA,$A85,LdgKeyA,"&lt;"&amp;$B85)+COUNTIFS(LdgPartyB,$A85,LdgKeyB,"&lt;"&amp;$B85)+1)</f>
        <v/>
      </c>
      <c r="D85">
        <f>IF($C85="","",$A85&amp;"|"&amp;RIGHT("000000"&amp;$C85,6))</f>
        <v/>
      </c>
      <c r="F85">
        <f>IF(Sync!$AJ85="","",Sync!$AJ85)</f>
        <v/>
      </c>
      <c r="G85">
        <f>IF($F85="","",IF(Sync!$AG85="","",IF(ISNUMBER(Sync!$AG85),IF(AND(Sync!$AG85&gt;=10000101,Sync!$AG85&lt;=99991231),INT(Sync!$AG85/10000),""),IFERROR(VALUE(TRIM(LEFT(Sync!$AG85,FIND("/",Sync!$AG85)-1))),""))))</f>
        <v/>
      </c>
      <c r="H85">
        <f>IF(OR($F85="",$G85=""),"",IF(ISNUMBER(Sync!$AG85),INT(MOD(Sync!$AG85,10000)/100),IFERROR(VALUE(TRIM(LEFT(MID(Sync!$AG85,FIND("/",Sync!$AG85)+1,20),FIND("/",MID(Sync!$AG85,FIND("/",Sync!$AG85)+1,20))-1))),"")))</f>
        <v/>
      </c>
      <c r="I85">
        <f>IF(OR($F85="",$G85=""),"",IF(ISNUMBER(Sync!$AG85),MOD(Sync!$AG85,100),IFERROR(VALUE(TRIM(MID(MID(Sync!$AG85,FIND("/",Sync!$AG85)+1,20),FIND("/",MID(Sync!$AG85,FIND("/",Sync!$AG85)+1,20))+1,20))),"")))</f>
        <v/>
      </c>
      <c r="J85">
        <f>IF($F85="","",IF(OR($G85="",$H85="",$I85="",$G85&lt;1300,$G85&gt;1500,$H85&lt;1,$H85&gt;12,$I85&lt;1,$I85&gt;31),"نامعتبر",RIGHT("0000"&amp;$G85,4)&amp;"/"&amp;RIGHT("00"&amp;$H85,2)&amp;"/"&amp;RIGHT("00"&amp;$I85,2)))</f>
        <v/>
      </c>
      <c r="K85">
        <f>IF(OR($F85="",$J85="",$J85="نامعتبر"),"",LEFT($J85,4)&amp;MID($J85,6,2)&amp;RIGHT($J85,2)&amp;$N85&amp;"|"&amp;"2"&amp;RIGHT("00000"&amp;80,5))</f>
        <v/>
      </c>
      <c r="L85">
        <f>IF($K85="","",COUNTIFS(LdgPartyA,$F85,LdgKeyA,"&lt;"&amp;$K85)+COUNTIFS(LdgPartyB,$F85,LdgKeyB,"&lt;"&amp;$K85)+1)</f>
        <v/>
      </c>
      <c r="M85">
        <f>IF($L85="","",$F85&amp;"|"&amp;RIGHT("000000"&amp;$L85,6))</f>
        <v/>
      </c>
      <c r="N85">
        <f>IF($F85="","",IF(Sync!$AH85="","0000",IF(AND(ISNUMBER(Sync!$AH85),Sync!$AH85&gt;=0,Sync!$AH85&lt;1),RIGHT("00"&amp;HOUR(Sync!$AH85),2)&amp;RIGHT("00"&amp;MINUTE(Sync!$AH85),2),IFERROR(RIGHT("00"&amp;VALUE(LEFT(Sync!$AH85,FIND(":",Sync!$AH85)-1)),2)&amp;RIGHT("00"&amp;VALUE(MID(Sync!$AH85,FIND(":",Sync!$AH85)+1,2)),2),"0000"))))</f>
        <v/>
      </c>
    </row>
    <row r="86">
      <c r="A86">
        <f>IF(OR(Calc!$E89="",Calc!$E89="نامعتبر",Calc!$G89="",Calc!$I89&lt;&gt;"خرید"),"",Calc!$G89)</f>
        <v/>
      </c>
      <c r="B86">
        <f>IF($A86="","",LEFT(Calc!$E89,4)&amp;MID(Calc!$E89,6,2)&amp;RIGHT(Calc!$E89,2)&amp;Calc!$R89&amp;"|"&amp;"1"&amp;RIGHT("00000"&amp;81,5))</f>
        <v/>
      </c>
      <c r="C86">
        <f>IF($B86="","",COUNTIFS(LdgPartyA,$A86,LdgKeyA,"&lt;"&amp;$B86)+COUNTIFS(LdgPartyB,$A86,LdgKeyB,"&lt;"&amp;$B86)+1)</f>
        <v/>
      </c>
      <c r="D86">
        <f>IF($C86="","",$A86&amp;"|"&amp;RIGHT("000000"&amp;$C86,6))</f>
        <v/>
      </c>
      <c r="F86">
        <f>IF(Sync!$AJ86="","",Sync!$AJ86)</f>
        <v/>
      </c>
      <c r="G86">
        <f>IF($F86="","",IF(Sync!$AG86="","",IF(ISNUMBER(Sync!$AG86),IF(AND(Sync!$AG86&gt;=10000101,Sync!$AG86&lt;=99991231),INT(Sync!$AG86/10000),""),IFERROR(VALUE(TRIM(LEFT(Sync!$AG86,FIND("/",Sync!$AG86)-1))),""))))</f>
        <v/>
      </c>
      <c r="H86">
        <f>IF(OR($F86="",$G86=""),"",IF(ISNUMBER(Sync!$AG86),INT(MOD(Sync!$AG86,10000)/100),IFERROR(VALUE(TRIM(LEFT(MID(Sync!$AG86,FIND("/",Sync!$AG86)+1,20),FIND("/",MID(Sync!$AG86,FIND("/",Sync!$AG86)+1,20))-1))),"")))</f>
        <v/>
      </c>
      <c r="I86">
        <f>IF(OR($F86="",$G86=""),"",IF(ISNUMBER(Sync!$AG86),MOD(Sync!$AG86,100),IFERROR(VALUE(TRIM(MID(MID(Sync!$AG86,FIND("/",Sync!$AG86)+1,20),FIND("/",MID(Sync!$AG86,FIND("/",Sync!$AG86)+1,20))+1,20))),"")))</f>
        <v/>
      </c>
      <c r="J86">
        <f>IF($F86="","",IF(OR($G86="",$H86="",$I86="",$G86&lt;1300,$G86&gt;1500,$H86&lt;1,$H86&gt;12,$I86&lt;1,$I86&gt;31),"نامعتبر",RIGHT("0000"&amp;$G86,4)&amp;"/"&amp;RIGHT("00"&amp;$H86,2)&amp;"/"&amp;RIGHT("00"&amp;$I86,2)))</f>
        <v/>
      </c>
      <c r="K86">
        <f>IF(OR($F86="",$J86="",$J86="نامعتبر"),"",LEFT($J86,4)&amp;MID($J86,6,2)&amp;RIGHT($J86,2)&amp;$N86&amp;"|"&amp;"2"&amp;RIGHT("00000"&amp;81,5))</f>
        <v/>
      </c>
      <c r="L86">
        <f>IF($K86="","",COUNTIFS(LdgPartyA,$F86,LdgKeyA,"&lt;"&amp;$K86)+COUNTIFS(LdgPartyB,$F86,LdgKeyB,"&lt;"&amp;$K86)+1)</f>
        <v/>
      </c>
      <c r="M86">
        <f>IF($L86="","",$F86&amp;"|"&amp;RIGHT("000000"&amp;$L86,6))</f>
        <v/>
      </c>
      <c r="N86">
        <f>IF($F86="","",IF(Sync!$AH86="","0000",IF(AND(ISNUMBER(Sync!$AH86),Sync!$AH86&gt;=0,Sync!$AH86&lt;1),RIGHT("00"&amp;HOUR(Sync!$AH86),2)&amp;RIGHT("00"&amp;MINUTE(Sync!$AH86),2),IFERROR(RIGHT("00"&amp;VALUE(LEFT(Sync!$AH86,FIND(":",Sync!$AH86)-1)),2)&amp;RIGHT("00"&amp;VALUE(MID(Sync!$AH86,FIND(":",Sync!$AH86)+1,2)),2),"0000"))))</f>
        <v/>
      </c>
    </row>
    <row r="87">
      <c r="A87">
        <f>IF(OR(Calc!$E90="",Calc!$E90="نامعتبر",Calc!$G90="",Calc!$I90&lt;&gt;"خرید"),"",Calc!$G90)</f>
        <v/>
      </c>
      <c r="B87">
        <f>IF($A87="","",LEFT(Calc!$E90,4)&amp;MID(Calc!$E90,6,2)&amp;RIGHT(Calc!$E90,2)&amp;Calc!$R90&amp;"|"&amp;"1"&amp;RIGHT("00000"&amp;82,5))</f>
        <v/>
      </c>
      <c r="C87">
        <f>IF($B87="","",COUNTIFS(LdgPartyA,$A87,LdgKeyA,"&lt;"&amp;$B87)+COUNTIFS(LdgPartyB,$A87,LdgKeyB,"&lt;"&amp;$B87)+1)</f>
        <v/>
      </c>
      <c r="D87">
        <f>IF($C87="","",$A87&amp;"|"&amp;RIGHT("000000"&amp;$C87,6))</f>
        <v/>
      </c>
      <c r="F87">
        <f>IF(Sync!$AJ87="","",Sync!$AJ87)</f>
        <v/>
      </c>
      <c r="G87">
        <f>IF($F87="","",IF(Sync!$AG87="","",IF(ISNUMBER(Sync!$AG87),IF(AND(Sync!$AG87&gt;=10000101,Sync!$AG87&lt;=99991231),INT(Sync!$AG87/10000),""),IFERROR(VALUE(TRIM(LEFT(Sync!$AG87,FIND("/",Sync!$AG87)-1))),""))))</f>
        <v/>
      </c>
      <c r="H87">
        <f>IF(OR($F87="",$G87=""),"",IF(ISNUMBER(Sync!$AG87),INT(MOD(Sync!$AG87,10000)/100),IFERROR(VALUE(TRIM(LEFT(MID(Sync!$AG87,FIND("/",Sync!$AG87)+1,20),FIND("/",MID(Sync!$AG87,FIND("/",Sync!$AG87)+1,20))-1))),"")))</f>
        <v/>
      </c>
      <c r="I87">
        <f>IF(OR($F87="",$G87=""),"",IF(ISNUMBER(Sync!$AG87),MOD(Sync!$AG87,100),IFERROR(VALUE(TRIM(MID(MID(Sync!$AG87,FIND("/",Sync!$AG87)+1,20),FIND("/",MID(Sync!$AG87,FIND("/",Sync!$AG87)+1,20))+1,20))),"")))</f>
        <v/>
      </c>
      <c r="J87">
        <f>IF($F87="","",IF(OR($G87="",$H87="",$I87="",$G87&lt;1300,$G87&gt;1500,$H87&lt;1,$H87&gt;12,$I87&lt;1,$I87&gt;31),"نامعتبر",RIGHT("0000"&amp;$G87,4)&amp;"/"&amp;RIGHT("00"&amp;$H87,2)&amp;"/"&amp;RIGHT("00"&amp;$I87,2)))</f>
        <v/>
      </c>
      <c r="K87">
        <f>IF(OR($F87="",$J87="",$J87="نامعتبر"),"",LEFT($J87,4)&amp;MID($J87,6,2)&amp;RIGHT($J87,2)&amp;$N87&amp;"|"&amp;"2"&amp;RIGHT("00000"&amp;82,5))</f>
        <v/>
      </c>
      <c r="L87">
        <f>IF($K87="","",COUNTIFS(LdgPartyA,$F87,LdgKeyA,"&lt;"&amp;$K87)+COUNTIFS(LdgPartyB,$F87,LdgKeyB,"&lt;"&amp;$K87)+1)</f>
        <v/>
      </c>
      <c r="M87">
        <f>IF($L87="","",$F87&amp;"|"&amp;RIGHT("000000"&amp;$L87,6))</f>
        <v/>
      </c>
      <c r="N87">
        <f>IF($F87="","",IF(Sync!$AH87="","0000",IF(AND(ISNUMBER(Sync!$AH87),Sync!$AH87&gt;=0,Sync!$AH87&lt;1),RIGHT("00"&amp;HOUR(Sync!$AH87),2)&amp;RIGHT("00"&amp;MINUTE(Sync!$AH87),2),IFERROR(RIGHT("00"&amp;VALUE(LEFT(Sync!$AH87,FIND(":",Sync!$AH87)-1)),2)&amp;RIGHT("00"&amp;VALUE(MID(Sync!$AH87,FIND(":",Sync!$AH87)+1,2)),2),"0000"))))</f>
        <v/>
      </c>
    </row>
    <row r="88">
      <c r="A88">
        <f>IF(OR(Calc!$E91="",Calc!$E91="نامعتبر",Calc!$G91="",Calc!$I91&lt;&gt;"خرید"),"",Calc!$G91)</f>
        <v/>
      </c>
      <c r="B88">
        <f>IF($A88="","",LEFT(Calc!$E91,4)&amp;MID(Calc!$E91,6,2)&amp;RIGHT(Calc!$E91,2)&amp;Calc!$R91&amp;"|"&amp;"1"&amp;RIGHT("00000"&amp;83,5))</f>
        <v/>
      </c>
      <c r="C88">
        <f>IF($B88="","",COUNTIFS(LdgPartyA,$A88,LdgKeyA,"&lt;"&amp;$B88)+COUNTIFS(LdgPartyB,$A88,LdgKeyB,"&lt;"&amp;$B88)+1)</f>
        <v/>
      </c>
      <c r="D88">
        <f>IF($C88="","",$A88&amp;"|"&amp;RIGHT("000000"&amp;$C88,6))</f>
        <v/>
      </c>
      <c r="F88">
        <f>IF(Sync!$AJ88="","",Sync!$AJ88)</f>
        <v/>
      </c>
      <c r="G88">
        <f>IF($F88="","",IF(Sync!$AG88="","",IF(ISNUMBER(Sync!$AG88),IF(AND(Sync!$AG88&gt;=10000101,Sync!$AG88&lt;=99991231),INT(Sync!$AG88/10000),""),IFERROR(VALUE(TRIM(LEFT(Sync!$AG88,FIND("/",Sync!$AG88)-1))),""))))</f>
        <v/>
      </c>
      <c r="H88">
        <f>IF(OR($F88="",$G88=""),"",IF(ISNUMBER(Sync!$AG88),INT(MOD(Sync!$AG88,10000)/100),IFERROR(VALUE(TRIM(LEFT(MID(Sync!$AG88,FIND("/",Sync!$AG88)+1,20),FIND("/",MID(Sync!$AG88,FIND("/",Sync!$AG88)+1,20))-1))),"")))</f>
        <v/>
      </c>
      <c r="I88">
        <f>IF(OR($F88="",$G88=""),"",IF(ISNUMBER(Sync!$AG88),MOD(Sync!$AG88,100),IFERROR(VALUE(TRIM(MID(MID(Sync!$AG88,FIND("/",Sync!$AG88)+1,20),FIND("/",MID(Sync!$AG88,FIND("/",Sync!$AG88)+1,20))+1,20))),"")))</f>
        <v/>
      </c>
      <c r="J88">
        <f>IF($F88="","",IF(OR($G88="",$H88="",$I88="",$G88&lt;1300,$G88&gt;1500,$H88&lt;1,$H88&gt;12,$I88&lt;1,$I88&gt;31),"نامعتبر",RIGHT("0000"&amp;$G88,4)&amp;"/"&amp;RIGHT("00"&amp;$H88,2)&amp;"/"&amp;RIGHT("00"&amp;$I88,2)))</f>
        <v/>
      </c>
      <c r="K88">
        <f>IF(OR($F88="",$J88="",$J88="نامعتبر"),"",LEFT($J88,4)&amp;MID($J88,6,2)&amp;RIGHT($J88,2)&amp;$N88&amp;"|"&amp;"2"&amp;RIGHT("00000"&amp;83,5))</f>
        <v/>
      </c>
      <c r="L88">
        <f>IF($K88="","",COUNTIFS(LdgPartyA,$F88,LdgKeyA,"&lt;"&amp;$K88)+COUNTIFS(LdgPartyB,$F88,LdgKeyB,"&lt;"&amp;$K88)+1)</f>
        <v/>
      </c>
      <c r="M88">
        <f>IF($L88="","",$F88&amp;"|"&amp;RIGHT("000000"&amp;$L88,6))</f>
        <v/>
      </c>
      <c r="N88">
        <f>IF($F88="","",IF(Sync!$AH88="","0000",IF(AND(ISNUMBER(Sync!$AH88),Sync!$AH88&gt;=0,Sync!$AH88&lt;1),RIGHT("00"&amp;HOUR(Sync!$AH88),2)&amp;RIGHT("00"&amp;MINUTE(Sync!$AH88),2),IFERROR(RIGHT("00"&amp;VALUE(LEFT(Sync!$AH88,FIND(":",Sync!$AH88)-1)),2)&amp;RIGHT("00"&amp;VALUE(MID(Sync!$AH88,FIND(":",Sync!$AH88)+1,2)),2),"0000"))))</f>
        <v/>
      </c>
    </row>
    <row r="89">
      <c r="A89">
        <f>IF(OR(Calc!$E92="",Calc!$E92="نامعتبر",Calc!$G92="",Calc!$I92&lt;&gt;"خرید"),"",Calc!$G92)</f>
        <v/>
      </c>
      <c r="B89">
        <f>IF($A89="","",LEFT(Calc!$E92,4)&amp;MID(Calc!$E92,6,2)&amp;RIGHT(Calc!$E92,2)&amp;Calc!$R92&amp;"|"&amp;"1"&amp;RIGHT("00000"&amp;84,5))</f>
        <v/>
      </c>
      <c r="C89">
        <f>IF($B89="","",COUNTIFS(LdgPartyA,$A89,LdgKeyA,"&lt;"&amp;$B89)+COUNTIFS(LdgPartyB,$A89,LdgKeyB,"&lt;"&amp;$B89)+1)</f>
        <v/>
      </c>
      <c r="D89">
        <f>IF($C89="","",$A89&amp;"|"&amp;RIGHT("000000"&amp;$C89,6))</f>
        <v/>
      </c>
      <c r="F89">
        <f>IF(Sync!$AJ89="","",Sync!$AJ89)</f>
        <v/>
      </c>
      <c r="G89">
        <f>IF($F89="","",IF(Sync!$AG89="","",IF(ISNUMBER(Sync!$AG89),IF(AND(Sync!$AG89&gt;=10000101,Sync!$AG89&lt;=99991231),INT(Sync!$AG89/10000),""),IFERROR(VALUE(TRIM(LEFT(Sync!$AG89,FIND("/",Sync!$AG89)-1))),""))))</f>
        <v/>
      </c>
      <c r="H89">
        <f>IF(OR($F89="",$G89=""),"",IF(ISNUMBER(Sync!$AG89),INT(MOD(Sync!$AG89,10000)/100),IFERROR(VALUE(TRIM(LEFT(MID(Sync!$AG89,FIND("/",Sync!$AG89)+1,20),FIND("/",MID(Sync!$AG89,FIND("/",Sync!$AG89)+1,20))-1))),"")))</f>
        <v/>
      </c>
      <c r="I89">
        <f>IF(OR($F89="",$G89=""),"",IF(ISNUMBER(Sync!$AG89),MOD(Sync!$AG89,100),IFERROR(VALUE(TRIM(MID(MID(Sync!$AG89,FIND("/",Sync!$AG89)+1,20),FIND("/",MID(Sync!$AG89,FIND("/",Sync!$AG89)+1,20))+1,20))),"")))</f>
        <v/>
      </c>
      <c r="J89">
        <f>IF($F89="","",IF(OR($G89="",$H89="",$I89="",$G89&lt;1300,$G89&gt;1500,$H89&lt;1,$H89&gt;12,$I89&lt;1,$I89&gt;31),"نامعتبر",RIGHT("0000"&amp;$G89,4)&amp;"/"&amp;RIGHT("00"&amp;$H89,2)&amp;"/"&amp;RIGHT("00"&amp;$I89,2)))</f>
        <v/>
      </c>
      <c r="K89">
        <f>IF(OR($F89="",$J89="",$J89="نامعتبر"),"",LEFT($J89,4)&amp;MID($J89,6,2)&amp;RIGHT($J89,2)&amp;$N89&amp;"|"&amp;"2"&amp;RIGHT("00000"&amp;84,5))</f>
        <v/>
      </c>
      <c r="L89">
        <f>IF($K89="","",COUNTIFS(LdgPartyA,$F89,LdgKeyA,"&lt;"&amp;$K89)+COUNTIFS(LdgPartyB,$F89,LdgKeyB,"&lt;"&amp;$K89)+1)</f>
        <v/>
      </c>
      <c r="M89">
        <f>IF($L89="","",$F89&amp;"|"&amp;RIGHT("000000"&amp;$L89,6))</f>
        <v/>
      </c>
      <c r="N89">
        <f>IF($F89="","",IF(Sync!$AH89="","0000",IF(AND(ISNUMBER(Sync!$AH89),Sync!$AH89&gt;=0,Sync!$AH89&lt;1),RIGHT("00"&amp;HOUR(Sync!$AH89),2)&amp;RIGHT("00"&amp;MINUTE(Sync!$AH89),2),IFERROR(RIGHT("00"&amp;VALUE(LEFT(Sync!$AH89,FIND(":",Sync!$AH89)-1)),2)&amp;RIGHT("00"&amp;VALUE(MID(Sync!$AH89,FIND(":",Sync!$AH89)+1,2)),2),"0000"))))</f>
        <v/>
      </c>
    </row>
    <row r="90">
      <c r="A90">
        <f>IF(OR(Calc!$E93="",Calc!$E93="نامعتبر",Calc!$G93="",Calc!$I93&lt;&gt;"خرید"),"",Calc!$G93)</f>
        <v/>
      </c>
      <c r="B90">
        <f>IF($A90="","",LEFT(Calc!$E93,4)&amp;MID(Calc!$E93,6,2)&amp;RIGHT(Calc!$E93,2)&amp;Calc!$R93&amp;"|"&amp;"1"&amp;RIGHT("00000"&amp;85,5))</f>
        <v/>
      </c>
      <c r="C90">
        <f>IF($B90="","",COUNTIFS(LdgPartyA,$A90,LdgKeyA,"&lt;"&amp;$B90)+COUNTIFS(LdgPartyB,$A90,LdgKeyB,"&lt;"&amp;$B90)+1)</f>
        <v/>
      </c>
      <c r="D90">
        <f>IF($C90="","",$A90&amp;"|"&amp;RIGHT("000000"&amp;$C90,6))</f>
        <v/>
      </c>
      <c r="F90">
        <f>IF(Sync!$AJ90="","",Sync!$AJ90)</f>
        <v/>
      </c>
      <c r="G90">
        <f>IF($F90="","",IF(Sync!$AG90="","",IF(ISNUMBER(Sync!$AG90),IF(AND(Sync!$AG90&gt;=10000101,Sync!$AG90&lt;=99991231),INT(Sync!$AG90/10000),""),IFERROR(VALUE(TRIM(LEFT(Sync!$AG90,FIND("/",Sync!$AG90)-1))),""))))</f>
        <v/>
      </c>
      <c r="H90">
        <f>IF(OR($F90="",$G90=""),"",IF(ISNUMBER(Sync!$AG90),INT(MOD(Sync!$AG90,10000)/100),IFERROR(VALUE(TRIM(LEFT(MID(Sync!$AG90,FIND("/",Sync!$AG90)+1,20),FIND("/",MID(Sync!$AG90,FIND("/",Sync!$AG90)+1,20))-1))),"")))</f>
        <v/>
      </c>
      <c r="I90">
        <f>IF(OR($F90="",$G90=""),"",IF(ISNUMBER(Sync!$AG90),MOD(Sync!$AG90,100),IFERROR(VALUE(TRIM(MID(MID(Sync!$AG90,FIND("/",Sync!$AG90)+1,20),FIND("/",MID(Sync!$AG90,FIND("/",Sync!$AG90)+1,20))+1,20))),"")))</f>
        <v/>
      </c>
      <c r="J90">
        <f>IF($F90="","",IF(OR($G90="",$H90="",$I90="",$G90&lt;1300,$G90&gt;1500,$H90&lt;1,$H90&gt;12,$I90&lt;1,$I90&gt;31),"نامعتبر",RIGHT("0000"&amp;$G90,4)&amp;"/"&amp;RIGHT("00"&amp;$H90,2)&amp;"/"&amp;RIGHT("00"&amp;$I90,2)))</f>
        <v/>
      </c>
      <c r="K90">
        <f>IF(OR($F90="",$J90="",$J90="نامعتبر"),"",LEFT($J90,4)&amp;MID($J90,6,2)&amp;RIGHT($J90,2)&amp;$N90&amp;"|"&amp;"2"&amp;RIGHT("00000"&amp;85,5))</f>
        <v/>
      </c>
      <c r="L90">
        <f>IF($K90="","",COUNTIFS(LdgPartyA,$F90,LdgKeyA,"&lt;"&amp;$K90)+COUNTIFS(LdgPartyB,$F90,LdgKeyB,"&lt;"&amp;$K90)+1)</f>
        <v/>
      </c>
      <c r="M90">
        <f>IF($L90="","",$F90&amp;"|"&amp;RIGHT("000000"&amp;$L90,6))</f>
        <v/>
      </c>
      <c r="N90">
        <f>IF($F90="","",IF(Sync!$AH90="","0000",IF(AND(ISNUMBER(Sync!$AH90),Sync!$AH90&gt;=0,Sync!$AH90&lt;1),RIGHT("00"&amp;HOUR(Sync!$AH90),2)&amp;RIGHT("00"&amp;MINUTE(Sync!$AH90),2),IFERROR(RIGHT("00"&amp;VALUE(LEFT(Sync!$AH90,FIND(":",Sync!$AH90)-1)),2)&amp;RIGHT("00"&amp;VALUE(MID(Sync!$AH90,FIND(":",Sync!$AH90)+1,2)),2),"0000"))))</f>
        <v/>
      </c>
    </row>
    <row r="91">
      <c r="A91">
        <f>IF(OR(Calc!$E94="",Calc!$E94="نامعتبر",Calc!$G94="",Calc!$I94&lt;&gt;"خرید"),"",Calc!$G94)</f>
        <v/>
      </c>
      <c r="B91">
        <f>IF($A91="","",LEFT(Calc!$E94,4)&amp;MID(Calc!$E94,6,2)&amp;RIGHT(Calc!$E94,2)&amp;Calc!$R94&amp;"|"&amp;"1"&amp;RIGHT("00000"&amp;86,5))</f>
        <v/>
      </c>
      <c r="C91">
        <f>IF($B91="","",COUNTIFS(LdgPartyA,$A91,LdgKeyA,"&lt;"&amp;$B91)+COUNTIFS(LdgPartyB,$A91,LdgKeyB,"&lt;"&amp;$B91)+1)</f>
        <v/>
      </c>
      <c r="D91">
        <f>IF($C91="","",$A91&amp;"|"&amp;RIGHT("000000"&amp;$C91,6))</f>
        <v/>
      </c>
      <c r="F91">
        <f>IF(Sync!$AJ91="","",Sync!$AJ91)</f>
        <v/>
      </c>
      <c r="G91">
        <f>IF($F91="","",IF(Sync!$AG91="","",IF(ISNUMBER(Sync!$AG91),IF(AND(Sync!$AG91&gt;=10000101,Sync!$AG91&lt;=99991231),INT(Sync!$AG91/10000),""),IFERROR(VALUE(TRIM(LEFT(Sync!$AG91,FIND("/",Sync!$AG91)-1))),""))))</f>
        <v/>
      </c>
      <c r="H91">
        <f>IF(OR($F91="",$G91=""),"",IF(ISNUMBER(Sync!$AG91),INT(MOD(Sync!$AG91,10000)/100),IFERROR(VALUE(TRIM(LEFT(MID(Sync!$AG91,FIND("/",Sync!$AG91)+1,20),FIND("/",MID(Sync!$AG91,FIND("/",Sync!$AG91)+1,20))-1))),"")))</f>
        <v/>
      </c>
      <c r="I91">
        <f>IF(OR($F91="",$G91=""),"",IF(ISNUMBER(Sync!$AG91),MOD(Sync!$AG91,100),IFERROR(VALUE(TRIM(MID(MID(Sync!$AG91,FIND("/",Sync!$AG91)+1,20),FIND("/",MID(Sync!$AG91,FIND("/",Sync!$AG91)+1,20))+1,20))),"")))</f>
        <v/>
      </c>
      <c r="J91">
        <f>IF($F91="","",IF(OR($G91="",$H91="",$I91="",$G91&lt;1300,$G91&gt;1500,$H91&lt;1,$H91&gt;12,$I91&lt;1,$I91&gt;31),"نامعتبر",RIGHT("0000"&amp;$G91,4)&amp;"/"&amp;RIGHT("00"&amp;$H91,2)&amp;"/"&amp;RIGHT("00"&amp;$I91,2)))</f>
        <v/>
      </c>
      <c r="K91">
        <f>IF(OR($F91="",$J91="",$J91="نامعتبر"),"",LEFT($J91,4)&amp;MID($J91,6,2)&amp;RIGHT($J91,2)&amp;$N91&amp;"|"&amp;"2"&amp;RIGHT("00000"&amp;86,5))</f>
        <v/>
      </c>
      <c r="L91">
        <f>IF($K91="","",COUNTIFS(LdgPartyA,$F91,LdgKeyA,"&lt;"&amp;$K91)+COUNTIFS(LdgPartyB,$F91,LdgKeyB,"&lt;"&amp;$K91)+1)</f>
        <v/>
      </c>
      <c r="M91">
        <f>IF($L91="","",$F91&amp;"|"&amp;RIGHT("000000"&amp;$L91,6))</f>
        <v/>
      </c>
      <c r="N91">
        <f>IF($F91="","",IF(Sync!$AH91="","0000",IF(AND(ISNUMBER(Sync!$AH91),Sync!$AH91&gt;=0,Sync!$AH91&lt;1),RIGHT("00"&amp;HOUR(Sync!$AH91),2)&amp;RIGHT("00"&amp;MINUTE(Sync!$AH91),2),IFERROR(RIGHT("00"&amp;VALUE(LEFT(Sync!$AH91,FIND(":",Sync!$AH91)-1)),2)&amp;RIGHT("00"&amp;VALUE(MID(Sync!$AH91,FIND(":",Sync!$AH91)+1,2)),2),"0000"))))</f>
        <v/>
      </c>
    </row>
    <row r="92">
      <c r="A92">
        <f>IF(OR(Calc!$E95="",Calc!$E95="نامعتبر",Calc!$G95="",Calc!$I95&lt;&gt;"خرید"),"",Calc!$G95)</f>
        <v/>
      </c>
      <c r="B92">
        <f>IF($A92="","",LEFT(Calc!$E95,4)&amp;MID(Calc!$E95,6,2)&amp;RIGHT(Calc!$E95,2)&amp;Calc!$R95&amp;"|"&amp;"1"&amp;RIGHT("00000"&amp;87,5))</f>
        <v/>
      </c>
      <c r="C92">
        <f>IF($B92="","",COUNTIFS(LdgPartyA,$A92,LdgKeyA,"&lt;"&amp;$B92)+COUNTIFS(LdgPartyB,$A92,LdgKeyB,"&lt;"&amp;$B92)+1)</f>
        <v/>
      </c>
      <c r="D92">
        <f>IF($C92="","",$A92&amp;"|"&amp;RIGHT("000000"&amp;$C92,6))</f>
        <v/>
      </c>
      <c r="F92">
        <f>IF(Sync!$AJ92="","",Sync!$AJ92)</f>
        <v/>
      </c>
      <c r="G92">
        <f>IF($F92="","",IF(Sync!$AG92="","",IF(ISNUMBER(Sync!$AG92),IF(AND(Sync!$AG92&gt;=10000101,Sync!$AG92&lt;=99991231),INT(Sync!$AG92/10000),""),IFERROR(VALUE(TRIM(LEFT(Sync!$AG92,FIND("/",Sync!$AG92)-1))),""))))</f>
        <v/>
      </c>
      <c r="H92">
        <f>IF(OR($F92="",$G92=""),"",IF(ISNUMBER(Sync!$AG92),INT(MOD(Sync!$AG92,10000)/100),IFERROR(VALUE(TRIM(LEFT(MID(Sync!$AG92,FIND("/",Sync!$AG92)+1,20),FIND("/",MID(Sync!$AG92,FIND("/",Sync!$AG92)+1,20))-1))),"")))</f>
        <v/>
      </c>
      <c r="I92">
        <f>IF(OR($F92="",$G92=""),"",IF(ISNUMBER(Sync!$AG92),MOD(Sync!$AG92,100),IFERROR(VALUE(TRIM(MID(MID(Sync!$AG92,FIND("/",Sync!$AG92)+1,20),FIND("/",MID(Sync!$AG92,FIND("/",Sync!$AG92)+1,20))+1,20))),"")))</f>
        <v/>
      </c>
      <c r="J92">
        <f>IF($F92="","",IF(OR($G92="",$H92="",$I92="",$G92&lt;1300,$G92&gt;1500,$H92&lt;1,$H92&gt;12,$I92&lt;1,$I92&gt;31),"نامعتبر",RIGHT("0000"&amp;$G92,4)&amp;"/"&amp;RIGHT("00"&amp;$H92,2)&amp;"/"&amp;RIGHT("00"&amp;$I92,2)))</f>
        <v/>
      </c>
      <c r="K92">
        <f>IF(OR($F92="",$J92="",$J92="نامعتبر"),"",LEFT($J92,4)&amp;MID($J92,6,2)&amp;RIGHT($J92,2)&amp;$N92&amp;"|"&amp;"2"&amp;RIGHT("00000"&amp;87,5))</f>
        <v/>
      </c>
      <c r="L92">
        <f>IF($K92="","",COUNTIFS(LdgPartyA,$F92,LdgKeyA,"&lt;"&amp;$K92)+COUNTIFS(LdgPartyB,$F92,LdgKeyB,"&lt;"&amp;$K92)+1)</f>
        <v/>
      </c>
      <c r="M92">
        <f>IF($L92="","",$F92&amp;"|"&amp;RIGHT("000000"&amp;$L92,6))</f>
        <v/>
      </c>
      <c r="N92">
        <f>IF($F92="","",IF(Sync!$AH92="","0000",IF(AND(ISNUMBER(Sync!$AH92),Sync!$AH92&gt;=0,Sync!$AH92&lt;1),RIGHT("00"&amp;HOUR(Sync!$AH92),2)&amp;RIGHT("00"&amp;MINUTE(Sync!$AH92),2),IFERROR(RIGHT("00"&amp;VALUE(LEFT(Sync!$AH92,FIND(":",Sync!$AH92)-1)),2)&amp;RIGHT("00"&amp;VALUE(MID(Sync!$AH92,FIND(":",Sync!$AH92)+1,2)),2),"0000"))))</f>
        <v/>
      </c>
    </row>
    <row r="93">
      <c r="A93">
        <f>IF(OR(Calc!$E96="",Calc!$E96="نامعتبر",Calc!$G96="",Calc!$I96&lt;&gt;"خرید"),"",Calc!$G96)</f>
        <v/>
      </c>
      <c r="B93">
        <f>IF($A93="","",LEFT(Calc!$E96,4)&amp;MID(Calc!$E96,6,2)&amp;RIGHT(Calc!$E96,2)&amp;Calc!$R96&amp;"|"&amp;"1"&amp;RIGHT("00000"&amp;88,5))</f>
        <v/>
      </c>
      <c r="C93">
        <f>IF($B93="","",COUNTIFS(LdgPartyA,$A93,LdgKeyA,"&lt;"&amp;$B93)+COUNTIFS(LdgPartyB,$A93,LdgKeyB,"&lt;"&amp;$B93)+1)</f>
        <v/>
      </c>
      <c r="D93">
        <f>IF($C93="","",$A93&amp;"|"&amp;RIGHT("000000"&amp;$C93,6))</f>
        <v/>
      </c>
      <c r="F93">
        <f>IF(Sync!$AJ93="","",Sync!$AJ93)</f>
        <v/>
      </c>
      <c r="G93">
        <f>IF($F93="","",IF(Sync!$AG93="","",IF(ISNUMBER(Sync!$AG93),IF(AND(Sync!$AG93&gt;=10000101,Sync!$AG93&lt;=99991231),INT(Sync!$AG93/10000),""),IFERROR(VALUE(TRIM(LEFT(Sync!$AG93,FIND("/",Sync!$AG93)-1))),""))))</f>
        <v/>
      </c>
      <c r="H93">
        <f>IF(OR($F93="",$G93=""),"",IF(ISNUMBER(Sync!$AG93),INT(MOD(Sync!$AG93,10000)/100),IFERROR(VALUE(TRIM(LEFT(MID(Sync!$AG93,FIND("/",Sync!$AG93)+1,20),FIND("/",MID(Sync!$AG93,FIND("/",Sync!$AG93)+1,20))-1))),"")))</f>
        <v/>
      </c>
      <c r="I93">
        <f>IF(OR($F93="",$G93=""),"",IF(ISNUMBER(Sync!$AG93),MOD(Sync!$AG93,100),IFERROR(VALUE(TRIM(MID(MID(Sync!$AG93,FIND("/",Sync!$AG93)+1,20),FIND("/",MID(Sync!$AG93,FIND("/",Sync!$AG93)+1,20))+1,20))),"")))</f>
        <v/>
      </c>
      <c r="J93">
        <f>IF($F93="","",IF(OR($G93="",$H93="",$I93="",$G93&lt;1300,$G93&gt;1500,$H93&lt;1,$H93&gt;12,$I93&lt;1,$I93&gt;31),"نامعتبر",RIGHT("0000"&amp;$G93,4)&amp;"/"&amp;RIGHT("00"&amp;$H93,2)&amp;"/"&amp;RIGHT("00"&amp;$I93,2)))</f>
        <v/>
      </c>
      <c r="K93">
        <f>IF(OR($F93="",$J93="",$J93="نامعتبر"),"",LEFT($J93,4)&amp;MID($J93,6,2)&amp;RIGHT($J93,2)&amp;$N93&amp;"|"&amp;"2"&amp;RIGHT("00000"&amp;88,5))</f>
        <v/>
      </c>
      <c r="L93">
        <f>IF($K93="","",COUNTIFS(LdgPartyA,$F93,LdgKeyA,"&lt;"&amp;$K93)+COUNTIFS(LdgPartyB,$F93,LdgKeyB,"&lt;"&amp;$K93)+1)</f>
        <v/>
      </c>
      <c r="M93">
        <f>IF($L93="","",$F93&amp;"|"&amp;RIGHT("000000"&amp;$L93,6))</f>
        <v/>
      </c>
      <c r="N93">
        <f>IF($F93="","",IF(Sync!$AH93="","0000",IF(AND(ISNUMBER(Sync!$AH93),Sync!$AH93&gt;=0,Sync!$AH93&lt;1),RIGHT("00"&amp;HOUR(Sync!$AH93),2)&amp;RIGHT("00"&amp;MINUTE(Sync!$AH93),2),IFERROR(RIGHT("00"&amp;VALUE(LEFT(Sync!$AH93,FIND(":",Sync!$AH93)-1)),2)&amp;RIGHT("00"&amp;VALUE(MID(Sync!$AH93,FIND(":",Sync!$AH93)+1,2)),2),"0000"))))</f>
        <v/>
      </c>
    </row>
    <row r="94">
      <c r="A94">
        <f>IF(OR(Calc!$E97="",Calc!$E97="نامعتبر",Calc!$G97="",Calc!$I97&lt;&gt;"خرید"),"",Calc!$G97)</f>
        <v/>
      </c>
      <c r="B94">
        <f>IF($A94="","",LEFT(Calc!$E97,4)&amp;MID(Calc!$E97,6,2)&amp;RIGHT(Calc!$E97,2)&amp;Calc!$R97&amp;"|"&amp;"1"&amp;RIGHT("00000"&amp;89,5))</f>
        <v/>
      </c>
      <c r="C94">
        <f>IF($B94="","",COUNTIFS(LdgPartyA,$A94,LdgKeyA,"&lt;"&amp;$B94)+COUNTIFS(LdgPartyB,$A94,LdgKeyB,"&lt;"&amp;$B94)+1)</f>
        <v/>
      </c>
      <c r="D94">
        <f>IF($C94="","",$A94&amp;"|"&amp;RIGHT("000000"&amp;$C94,6))</f>
        <v/>
      </c>
      <c r="F94">
        <f>IF(Sync!$AJ94="","",Sync!$AJ94)</f>
        <v/>
      </c>
      <c r="G94">
        <f>IF($F94="","",IF(Sync!$AG94="","",IF(ISNUMBER(Sync!$AG94),IF(AND(Sync!$AG94&gt;=10000101,Sync!$AG94&lt;=99991231),INT(Sync!$AG94/10000),""),IFERROR(VALUE(TRIM(LEFT(Sync!$AG94,FIND("/",Sync!$AG94)-1))),""))))</f>
        <v/>
      </c>
      <c r="H94">
        <f>IF(OR($F94="",$G94=""),"",IF(ISNUMBER(Sync!$AG94),INT(MOD(Sync!$AG94,10000)/100),IFERROR(VALUE(TRIM(LEFT(MID(Sync!$AG94,FIND("/",Sync!$AG94)+1,20),FIND("/",MID(Sync!$AG94,FIND("/",Sync!$AG94)+1,20))-1))),"")))</f>
        <v/>
      </c>
      <c r="I94">
        <f>IF(OR($F94="",$G94=""),"",IF(ISNUMBER(Sync!$AG94),MOD(Sync!$AG94,100),IFERROR(VALUE(TRIM(MID(MID(Sync!$AG94,FIND("/",Sync!$AG94)+1,20),FIND("/",MID(Sync!$AG94,FIND("/",Sync!$AG94)+1,20))+1,20))),"")))</f>
        <v/>
      </c>
      <c r="J94">
        <f>IF($F94="","",IF(OR($G94="",$H94="",$I94="",$G94&lt;1300,$G94&gt;1500,$H94&lt;1,$H94&gt;12,$I94&lt;1,$I94&gt;31),"نامعتبر",RIGHT("0000"&amp;$G94,4)&amp;"/"&amp;RIGHT("00"&amp;$H94,2)&amp;"/"&amp;RIGHT("00"&amp;$I94,2)))</f>
        <v/>
      </c>
      <c r="K94">
        <f>IF(OR($F94="",$J94="",$J94="نامعتبر"),"",LEFT($J94,4)&amp;MID($J94,6,2)&amp;RIGHT($J94,2)&amp;$N94&amp;"|"&amp;"2"&amp;RIGHT("00000"&amp;89,5))</f>
        <v/>
      </c>
      <c r="L94">
        <f>IF($K94="","",COUNTIFS(LdgPartyA,$F94,LdgKeyA,"&lt;"&amp;$K94)+COUNTIFS(LdgPartyB,$F94,LdgKeyB,"&lt;"&amp;$K94)+1)</f>
        <v/>
      </c>
      <c r="M94">
        <f>IF($L94="","",$F94&amp;"|"&amp;RIGHT("000000"&amp;$L94,6))</f>
        <v/>
      </c>
      <c r="N94">
        <f>IF($F94="","",IF(Sync!$AH94="","0000",IF(AND(ISNUMBER(Sync!$AH94),Sync!$AH94&gt;=0,Sync!$AH94&lt;1),RIGHT("00"&amp;HOUR(Sync!$AH94),2)&amp;RIGHT("00"&amp;MINUTE(Sync!$AH94),2),IFERROR(RIGHT("00"&amp;VALUE(LEFT(Sync!$AH94,FIND(":",Sync!$AH94)-1)),2)&amp;RIGHT("00"&amp;VALUE(MID(Sync!$AH94,FIND(":",Sync!$AH94)+1,2)),2),"0000"))))</f>
        <v/>
      </c>
    </row>
    <row r="95">
      <c r="A95">
        <f>IF(OR(Calc!$E98="",Calc!$E98="نامعتبر",Calc!$G98="",Calc!$I98&lt;&gt;"خرید"),"",Calc!$G98)</f>
        <v/>
      </c>
      <c r="B95">
        <f>IF($A95="","",LEFT(Calc!$E98,4)&amp;MID(Calc!$E98,6,2)&amp;RIGHT(Calc!$E98,2)&amp;Calc!$R98&amp;"|"&amp;"1"&amp;RIGHT("00000"&amp;90,5))</f>
        <v/>
      </c>
      <c r="C95">
        <f>IF($B95="","",COUNTIFS(LdgPartyA,$A95,LdgKeyA,"&lt;"&amp;$B95)+COUNTIFS(LdgPartyB,$A95,LdgKeyB,"&lt;"&amp;$B95)+1)</f>
        <v/>
      </c>
      <c r="D95">
        <f>IF($C95="","",$A95&amp;"|"&amp;RIGHT("000000"&amp;$C95,6))</f>
        <v/>
      </c>
      <c r="F95">
        <f>IF(Sync!$AJ95="","",Sync!$AJ95)</f>
        <v/>
      </c>
      <c r="G95">
        <f>IF($F95="","",IF(Sync!$AG95="","",IF(ISNUMBER(Sync!$AG95),IF(AND(Sync!$AG95&gt;=10000101,Sync!$AG95&lt;=99991231),INT(Sync!$AG95/10000),""),IFERROR(VALUE(TRIM(LEFT(Sync!$AG95,FIND("/",Sync!$AG95)-1))),""))))</f>
        <v/>
      </c>
      <c r="H95">
        <f>IF(OR($F95="",$G95=""),"",IF(ISNUMBER(Sync!$AG95),INT(MOD(Sync!$AG95,10000)/100),IFERROR(VALUE(TRIM(LEFT(MID(Sync!$AG95,FIND("/",Sync!$AG95)+1,20),FIND("/",MID(Sync!$AG95,FIND("/",Sync!$AG95)+1,20))-1))),"")))</f>
        <v/>
      </c>
      <c r="I95">
        <f>IF(OR($F95="",$G95=""),"",IF(ISNUMBER(Sync!$AG95),MOD(Sync!$AG95,100),IFERROR(VALUE(TRIM(MID(MID(Sync!$AG95,FIND("/",Sync!$AG95)+1,20),FIND("/",MID(Sync!$AG95,FIND("/",Sync!$AG95)+1,20))+1,20))),"")))</f>
        <v/>
      </c>
      <c r="J95">
        <f>IF($F95="","",IF(OR($G95="",$H95="",$I95="",$G95&lt;1300,$G95&gt;1500,$H95&lt;1,$H95&gt;12,$I95&lt;1,$I95&gt;31),"نامعتبر",RIGHT("0000"&amp;$G95,4)&amp;"/"&amp;RIGHT("00"&amp;$H95,2)&amp;"/"&amp;RIGHT("00"&amp;$I95,2)))</f>
        <v/>
      </c>
      <c r="K95">
        <f>IF(OR($F95="",$J95="",$J95="نامعتبر"),"",LEFT($J95,4)&amp;MID($J95,6,2)&amp;RIGHT($J95,2)&amp;$N95&amp;"|"&amp;"2"&amp;RIGHT("00000"&amp;90,5))</f>
        <v/>
      </c>
      <c r="L95">
        <f>IF($K95="","",COUNTIFS(LdgPartyA,$F95,LdgKeyA,"&lt;"&amp;$K95)+COUNTIFS(LdgPartyB,$F95,LdgKeyB,"&lt;"&amp;$K95)+1)</f>
        <v/>
      </c>
      <c r="M95">
        <f>IF($L95="","",$F95&amp;"|"&amp;RIGHT("000000"&amp;$L95,6))</f>
        <v/>
      </c>
      <c r="N95">
        <f>IF($F95="","",IF(Sync!$AH95="","0000",IF(AND(ISNUMBER(Sync!$AH95),Sync!$AH95&gt;=0,Sync!$AH95&lt;1),RIGHT("00"&amp;HOUR(Sync!$AH95),2)&amp;RIGHT("00"&amp;MINUTE(Sync!$AH95),2),IFERROR(RIGHT("00"&amp;VALUE(LEFT(Sync!$AH95,FIND(":",Sync!$AH95)-1)),2)&amp;RIGHT("00"&amp;VALUE(MID(Sync!$AH95,FIND(":",Sync!$AH95)+1,2)),2),"0000"))))</f>
        <v/>
      </c>
    </row>
    <row r="96">
      <c r="A96">
        <f>IF(OR(Calc!$E99="",Calc!$E99="نامعتبر",Calc!$G99="",Calc!$I99&lt;&gt;"خرید"),"",Calc!$G99)</f>
        <v/>
      </c>
      <c r="B96">
        <f>IF($A96="","",LEFT(Calc!$E99,4)&amp;MID(Calc!$E99,6,2)&amp;RIGHT(Calc!$E99,2)&amp;Calc!$R99&amp;"|"&amp;"1"&amp;RIGHT("00000"&amp;91,5))</f>
        <v/>
      </c>
      <c r="C96">
        <f>IF($B96="","",COUNTIFS(LdgPartyA,$A96,LdgKeyA,"&lt;"&amp;$B96)+COUNTIFS(LdgPartyB,$A96,LdgKeyB,"&lt;"&amp;$B96)+1)</f>
        <v/>
      </c>
      <c r="D96">
        <f>IF($C96="","",$A96&amp;"|"&amp;RIGHT("000000"&amp;$C96,6))</f>
        <v/>
      </c>
      <c r="F96">
        <f>IF(Sync!$AJ96="","",Sync!$AJ96)</f>
        <v/>
      </c>
      <c r="G96">
        <f>IF($F96="","",IF(Sync!$AG96="","",IF(ISNUMBER(Sync!$AG96),IF(AND(Sync!$AG96&gt;=10000101,Sync!$AG96&lt;=99991231),INT(Sync!$AG96/10000),""),IFERROR(VALUE(TRIM(LEFT(Sync!$AG96,FIND("/",Sync!$AG96)-1))),""))))</f>
        <v/>
      </c>
      <c r="H96">
        <f>IF(OR($F96="",$G96=""),"",IF(ISNUMBER(Sync!$AG96),INT(MOD(Sync!$AG96,10000)/100),IFERROR(VALUE(TRIM(LEFT(MID(Sync!$AG96,FIND("/",Sync!$AG96)+1,20),FIND("/",MID(Sync!$AG96,FIND("/",Sync!$AG96)+1,20))-1))),"")))</f>
        <v/>
      </c>
      <c r="I96">
        <f>IF(OR($F96="",$G96=""),"",IF(ISNUMBER(Sync!$AG96),MOD(Sync!$AG96,100),IFERROR(VALUE(TRIM(MID(MID(Sync!$AG96,FIND("/",Sync!$AG96)+1,20),FIND("/",MID(Sync!$AG96,FIND("/",Sync!$AG96)+1,20))+1,20))),"")))</f>
        <v/>
      </c>
      <c r="J96">
        <f>IF($F96="","",IF(OR($G96="",$H96="",$I96="",$G96&lt;1300,$G96&gt;1500,$H96&lt;1,$H96&gt;12,$I96&lt;1,$I96&gt;31),"نامعتبر",RIGHT("0000"&amp;$G96,4)&amp;"/"&amp;RIGHT("00"&amp;$H96,2)&amp;"/"&amp;RIGHT("00"&amp;$I96,2)))</f>
        <v/>
      </c>
      <c r="K96">
        <f>IF(OR($F96="",$J96="",$J96="نامعتبر"),"",LEFT($J96,4)&amp;MID($J96,6,2)&amp;RIGHT($J96,2)&amp;$N96&amp;"|"&amp;"2"&amp;RIGHT("00000"&amp;91,5))</f>
        <v/>
      </c>
      <c r="L96">
        <f>IF($K96="","",COUNTIFS(LdgPartyA,$F96,LdgKeyA,"&lt;"&amp;$K96)+COUNTIFS(LdgPartyB,$F96,LdgKeyB,"&lt;"&amp;$K96)+1)</f>
        <v/>
      </c>
      <c r="M96">
        <f>IF($L96="","",$F96&amp;"|"&amp;RIGHT("000000"&amp;$L96,6))</f>
        <v/>
      </c>
      <c r="N96">
        <f>IF($F96="","",IF(Sync!$AH96="","0000",IF(AND(ISNUMBER(Sync!$AH96),Sync!$AH96&gt;=0,Sync!$AH96&lt;1),RIGHT("00"&amp;HOUR(Sync!$AH96),2)&amp;RIGHT("00"&amp;MINUTE(Sync!$AH96),2),IFERROR(RIGHT("00"&amp;VALUE(LEFT(Sync!$AH96,FIND(":",Sync!$AH96)-1)),2)&amp;RIGHT("00"&amp;VALUE(MID(Sync!$AH96,FIND(":",Sync!$AH96)+1,2)),2),"0000"))))</f>
        <v/>
      </c>
    </row>
    <row r="97">
      <c r="A97">
        <f>IF(OR(Calc!$E100="",Calc!$E100="نامعتبر",Calc!$G100="",Calc!$I100&lt;&gt;"خرید"),"",Calc!$G100)</f>
        <v/>
      </c>
      <c r="B97">
        <f>IF($A97="","",LEFT(Calc!$E100,4)&amp;MID(Calc!$E100,6,2)&amp;RIGHT(Calc!$E100,2)&amp;Calc!$R100&amp;"|"&amp;"1"&amp;RIGHT("00000"&amp;92,5))</f>
        <v/>
      </c>
      <c r="C97">
        <f>IF($B97="","",COUNTIFS(LdgPartyA,$A97,LdgKeyA,"&lt;"&amp;$B97)+COUNTIFS(LdgPartyB,$A97,LdgKeyB,"&lt;"&amp;$B97)+1)</f>
        <v/>
      </c>
      <c r="D97">
        <f>IF($C97="","",$A97&amp;"|"&amp;RIGHT("000000"&amp;$C97,6))</f>
        <v/>
      </c>
      <c r="F97">
        <f>IF(Sync!$AJ97="","",Sync!$AJ97)</f>
        <v/>
      </c>
      <c r="G97">
        <f>IF($F97="","",IF(Sync!$AG97="","",IF(ISNUMBER(Sync!$AG97),IF(AND(Sync!$AG97&gt;=10000101,Sync!$AG97&lt;=99991231),INT(Sync!$AG97/10000),""),IFERROR(VALUE(TRIM(LEFT(Sync!$AG97,FIND("/",Sync!$AG97)-1))),""))))</f>
        <v/>
      </c>
      <c r="H97">
        <f>IF(OR($F97="",$G97=""),"",IF(ISNUMBER(Sync!$AG97),INT(MOD(Sync!$AG97,10000)/100),IFERROR(VALUE(TRIM(LEFT(MID(Sync!$AG97,FIND("/",Sync!$AG97)+1,20),FIND("/",MID(Sync!$AG97,FIND("/",Sync!$AG97)+1,20))-1))),"")))</f>
        <v/>
      </c>
      <c r="I97">
        <f>IF(OR($F97="",$G97=""),"",IF(ISNUMBER(Sync!$AG97),MOD(Sync!$AG97,100),IFERROR(VALUE(TRIM(MID(MID(Sync!$AG97,FIND("/",Sync!$AG97)+1,20),FIND("/",MID(Sync!$AG97,FIND("/",Sync!$AG97)+1,20))+1,20))),"")))</f>
        <v/>
      </c>
      <c r="J97">
        <f>IF($F97="","",IF(OR($G97="",$H97="",$I97="",$G97&lt;1300,$G97&gt;1500,$H97&lt;1,$H97&gt;12,$I97&lt;1,$I97&gt;31),"نامعتبر",RIGHT("0000"&amp;$G97,4)&amp;"/"&amp;RIGHT("00"&amp;$H97,2)&amp;"/"&amp;RIGHT("00"&amp;$I97,2)))</f>
        <v/>
      </c>
      <c r="K97">
        <f>IF(OR($F97="",$J97="",$J97="نامعتبر"),"",LEFT($J97,4)&amp;MID($J97,6,2)&amp;RIGHT($J97,2)&amp;$N97&amp;"|"&amp;"2"&amp;RIGHT("00000"&amp;92,5))</f>
        <v/>
      </c>
      <c r="L97">
        <f>IF($K97="","",COUNTIFS(LdgPartyA,$F97,LdgKeyA,"&lt;"&amp;$K97)+COUNTIFS(LdgPartyB,$F97,LdgKeyB,"&lt;"&amp;$K97)+1)</f>
        <v/>
      </c>
      <c r="M97">
        <f>IF($L97="","",$F97&amp;"|"&amp;RIGHT("000000"&amp;$L97,6))</f>
        <v/>
      </c>
      <c r="N97">
        <f>IF($F97="","",IF(Sync!$AH97="","0000",IF(AND(ISNUMBER(Sync!$AH97),Sync!$AH97&gt;=0,Sync!$AH97&lt;1),RIGHT("00"&amp;HOUR(Sync!$AH97),2)&amp;RIGHT("00"&amp;MINUTE(Sync!$AH97),2),IFERROR(RIGHT("00"&amp;VALUE(LEFT(Sync!$AH97,FIND(":",Sync!$AH97)-1)),2)&amp;RIGHT("00"&amp;VALUE(MID(Sync!$AH97,FIND(":",Sync!$AH97)+1,2)),2),"0000"))))</f>
        <v/>
      </c>
    </row>
    <row r="98">
      <c r="A98">
        <f>IF(OR(Calc!$E101="",Calc!$E101="نامعتبر",Calc!$G101="",Calc!$I101&lt;&gt;"خرید"),"",Calc!$G101)</f>
        <v/>
      </c>
      <c r="B98">
        <f>IF($A98="","",LEFT(Calc!$E101,4)&amp;MID(Calc!$E101,6,2)&amp;RIGHT(Calc!$E101,2)&amp;Calc!$R101&amp;"|"&amp;"1"&amp;RIGHT("00000"&amp;93,5))</f>
        <v/>
      </c>
      <c r="C98">
        <f>IF($B98="","",COUNTIFS(LdgPartyA,$A98,LdgKeyA,"&lt;"&amp;$B98)+COUNTIFS(LdgPartyB,$A98,LdgKeyB,"&lt;"&amp;$B98)+1)</f>
        <v/>
      </c>
      <c r="D98">
        <f>IF($C98="","",$A98&amp;"|"&amp;RIGHT("000000"&amp;$C98,6))</f>
        <v/>
      </c>
      <c r="F98">
        <f>IF(Sync!$AJ98="","",Sync!$AJ98)</f>
        <v/>
      </c>
      <c r="G98">
        <f>IF($F98="","",IF(Sync!$AG98="","",IF(ISNUMBER(Sync!$AG98),IF(AND(Sync!$AG98&gt;=10000101,Sync!$AG98&lt;=99991231),INT(Sync!$AG98/10000),""),IFERROR(VALUE(TRIM(LEFT(Sync!$AG98,FIND("/",Sync!$AG98)-1))),""))))</f>
        <v/>
      </c>
      <c r="H98">
        <f>IF(OR($F98="",$G98=""),"",IF(ISNUMBER(Sync!$AG98),INT(MOD(Sync!$AG98,10000)/100),IFERROR(VALUE(TRIM(LEFT(MID(Sync!$AG98,FIND("/",Sync!$AG98)+1,20),FIND("/",MID(Sync!$AG98,FIND("/",Sync!$AG98)+1,20))-1))),"")))</f>
        <v/>
      </c>
      <c r="I98">
        <f>IF(OR($F98="",$G98=""),"",IF(ISNUMBER(Sync!$AG98),MOD(Sync!$AG98,100),IFERROR(VALUE(TRIM(MID(MID(Sync!$AG98,FIND("/",Sync!$AG98)+1,20),FIND("/",MID(Sync!$AG98,FIND("/",Sync!$AG98)+1,20))+1,20))),"")))</f>
        <v/>
      </c>
      <c r="J98">
        <f>IF($F98="","",IF(OR($G98="",$H98="",$I98="",$G98&lt;1300,$G98&gt;1500,$H98&lt;1,$H98&gt;12,$I98&lt;1,$I98&gt;31),"نامعتبر",RIGHT("0000"&amp;$G98,4)&amp;"/"&amp;RIGHT("00"&amp;$H98,2)&amp;"/"&amp;RIGHT("00"&amp;$I98,2)))</f>
        <v/>
      </c>
      <c r="K98">
        <f>IF(OR($F98="",$J98="",$J98="نامعتبر"),"",LEFT($J98,4)&amp;MID($J98,6,2)&amp;RIGHT($J98,2)&amp;$N98&amp;"|"&amp;"2"&amp;RIGHT("00000"&amp;93,5))</f>
        <v/>
      </c>
      <c r="L98">
        <f>IF($K98="","",COUNTIFS(LdgPartyA,$F98,LdgKeyA,"&lt;"&amp;$K98)+COUNTIFS(LdgPartyB,$F98,LdgKeyB,"&lt;"&amp;$K98)+1)</f>
        <v/>
      </c>
      <c r="M98">
        <f>IF($L98="","",$F98&amp;"|"&amp;RIGHT("000000"&amp;$L98,6))</f>
        <v/>
      </c>
      <c r="N98">
        <f>IF($F98="","",IF(Sync!$AH98="","0000",IF(AND(ISNUMBER(Sync!$AH98),Sync!$AH98&gt;=0,Sync!$AH98&lt;1),RIGHT("00"&amp;HOUR(Sync!$AH98),2)&amp;RIGHT("00"&amp;MINUTE(Sync!$AH98),2),IFERROR(RIGHT("00"&amp;VALUE(LEFT(Sync!$AH98,FIND(":",Sync!$AH98)-1)),2)&amp;RIGHT("00"&amp;VALUE(MID(Sync!$AH98,FIND(":",Sync!$AH98)+1,2)),2),"0000"))))</f>
        <v/>
      </c>
    </row>
    <row r="99">
      <c r="A99">
        <f>IF(OR(Calc!$E102="",Calc!$E102="نامعتبر",Calc!$G102="",Calc!$I102&lt;&gt;"خرید"),"",Calc!$G102)</f>
        <v/>
      </c>
      <c r="B99">
        <f>IF($A99="","",LEFT(Calc!$E102,4)&amp;MID(Calc!$E102,6,2)&amp;RIGHT(Calc!$E102,2)&amp;Calc!$R102&amp;"|"&amp;"1"&amp;RIGHT("00000"&amp;94,5))</f>
        <v/>
      </c>
      <c r="C99">
        <f>IF($B99="","",COUNTIFS(LdgPartyA,$A99,LdgKeyA,"&lt;"&amp;$B99)+COUNTIFS(LdgPartyB,$A99,LdgKeyB,"&lt;"&amp;$B99)+1)</f>
        <v/>
      </c>
      <c r="D99">
        <f>IF($C99="","",$A99&amp;"|"&amp;RIGHT("000000"&amp;$C99,6))</f>
        <v/>
      </c>
      <c r="F99">
        <f>IF(Sync!$AJ99="","",Sync!$AJ99)</f>
        <v/>
      </c>
      <c r="G99">
        <f>IF($F99="","",IF(Sync!$AG99="","",IF(ISNUMBER(Sync!$AG99),IF(AND(Sync!$AG99&gt;=10000101,Sync!$AG99&lt;=99991231),INT(Sync!$AG99/10000),""),IFERROR(VALUE(TRIM(LEFT(Sync!$AG99,FIND("/",Sync!$AG99)-1))),""))))</f>
        <v/>
      </c>
      <c r="H99">
        <f>IF(OR($F99="",$G99=""),"",IF(ISNUMBER(Sync!$AG99),INT(MOD(Sync!$AG99,10000)/100),IFERROR(VALUE(TRIM(LEFT(MID(Sync!$AG99,FIND("/",Sync!$AG99)+1,20),FIND("/",MID(Sync!$AG99,FIND("/",Sync!$AG99)+1,20))-1))),"")))</f>
        <v/>
      </c>
      <c r="I99">
        <f>IF(OR($F99="",$G99=""),"",IF(ISNUMBER(Sync!$AG99),MOD(Sync!$AG99,100),IFERROR(VALUE(TRIM(MID(MID(Sync!$AG99,FIND("/",Sync!$AG99)+1,20),FIND("/",MID(Sync!$AG99,FIND("/",Sync!$AG99)+1,20))+1,20))),"")))</f>
        <v/>
      </c>
      <c r="J99">
        <f>IF($F99="","",IF(OR($G99="",$H99="",$I99="",$G99&lt;1300,$G99&gt;1500,$H99&lt;1,$H99&gt;12,$I99&lt;1,$I99&gt;31),"نامعتبر",RIGHT("0000"&amp;$G99,4)&amp;"/"&amp;RIGHT("00"&amp;$H99,2)&amp;"/"&amp;RIGHT("00"&amp;$I99,2)))</f>
        <v/>
      </c>
      <c r="K99">
        <f>IF(OR($F99="",$J99="",$J99="نامعتبر"),"",LEFT($J99,4)&amp;MID($J99,6,2)&amp;RIGHT($J99,2)&amp;$N99&amp;"|"&amp;"2"&amp;RIGHT("00000"&amp;94,5))</f>
        <v/>
      </c>
      <c r="L99">
        <f>IF($K99="","",COUNTIFS(LdgPartyA,$F99,LdgKeyA,"&lt;"&amp;$K99)+COUNTIFS(LdgPartyB,$F99,LdgKeyB,"&lt;"&amp;$K99)+1)</f>
        <v/>
      </c>
      <c r="M99">
        <f>IF($L99="","",$F99&amp;"|"&amp;RIGHT("000000"&amp;$L99,6))</f>
        <v/>
      </c>
      <c r="N99">
        <f>IF($F99="","",IF(Sync!$AH99="","0000",IF(AND(ISNUMBER(Sync!$AH99),Sync!$AH99&gt;=0,Sync!$AH99&lt;1),RIGHT("00"&amp;HOUR(Sync!$AH99),2)&amp;RIGHT("00"&amp;MINUTE(Sync!$AH99),2),IFERROR(RIGHT("00"&amp;VALUE(LEFT(Sync!$AH99,FIND(":",Sync!$AH99)-1)),2)&amp;RIGHT("00"&amp;VALUE(MID(Sync!$AH99,FIND(":",Sync!$AH99)+1,2)),2),"0000"))))</f>
        <v/>
      </c>
    </row>
    <row r="100">
      <c r="A100">
        <f>IF(OR(Calc!$E103="",Calc!$E103="نامعتبر",Calc!$G103="",Calc!$I103&lt;&gt;"خرید"),"",Calc!$G103)</f>
        <v/>
      </c>
      <c r="B100">
        <f>IF($A100="","",LEFT(Calc!$E103,4)&amp;MID(Calc!$E103,6,2)&amp;RIGHT(Calc!$E103,2)&amp;Calc!$R103&amp;"|"&amp;"1"&amp;RIGHT("00000"&amp;95,5))</f>
        <v/>
      </c>
      <c r="C100">
        <f>IF($B100="","",COUNTIFS(LdgPartyA,$A100,LdgKeyA,"&lt;"&amp;$B100)+COUNTIFS(LdgPartyB,$A100,LdgKeyB,"&lt;"&amp;$B100)+1)</f>
        <v/>
      </c>
      <c r="D100">
        <f>IF($C100="","",$A100&amp;"|"&amp;RIGHT("000000"&amp;$C100,6))</f>
        <v/>
      </c>
      <c r="F100">
        <f>IF(Sync!$AJ100="","",Sync!$AJ100)</f>
        <v/>
      </c>
      <c r="G100">
        <f>IF($F100="","",IF(Sync!$AG100="","",IF(ISNUMBER(Sync!$AG100),IF(AND(Sync!$AG100&gt;=10000101,Sync!$AG100&lt;=99991231),INT(Sync!$AG100/10000),""),IFERROR(VALUE(TRIM(LEFT(Sync!$AG100,FIND("/",Sync!$AG100)-1))),""))))</f>
        <v/>
      </c>
      <c r="H100">
        <f>IF(OR($F100="",$G100=""),"",IF(ISNUMBER(Sync!$AG100),INT(MOD(Sync!$AG100,10000)/100),IFERROR(VALUE(TRIM(LEFT(MID(Sync!$AG100,FIND("/",Sync!$AG100)+1,20),FIND("/",MID(Sync!$AG100,FIND("/",Sync!$AG100)+1,20))-1))),"")))</f>
        <v/>
      </c>
      <c r="I100">
        <f>IF(OR($F100="",$G100=""),"",IF(ISNUMBER(Sync!$AG100),MOD(Sync!$AG100,100),IFERROR(VALUE(TRIM(MID(MID(Sync!$AG100,FIND("/",Sync!$AG100)+1,20),FIND("/",MID(Sync!$AG100,FIND("/",Sync!$AG100)+1,20))+1,20))),"")))</f>
        <v/>
      </c>
      <c r="J100">
        <f>IF($F100="","",IF(OR($G100="",$H100="",$I100="",$G100&lt;1300,$G100&gt;1500,$H100&lt;1,$H100&gt;12,$I100&lt;1,$I100&gt;31),"نامعتبر",RIGHT("0000"&amp;$G100,4)&amp;"/"&amp;RIGHT("00"&amp;$H100,2)&amp;"/"&amp;RIGHT("00"&amp;$I100,2)))</f>
        <v/>
      </c>
      <c r="K100">
        <f>IF(OR($F100="",$J100="",$J100="نامعتبر"),"",LEFT($J100,4)&amp;MID($J100,6,2)&amp;RIGHT($J100,2)&amp;$N100&amp;"|"&amp;"2"&amp;RIGHT("00000"&amp;95,5))</f>
        <v/>
      </c>
      <c r="L100">
        <f>IF($K100="","",COUNTIFS(LdgPartyA,$F100,LdgKeyA,"&lt;"&amp;$K100)+COUNTIFS(LdgPartyB,$F100,LdgKeyB,"&lt;"&amp;$K100)+1)</f>
        <v/>
      </c>
      <c r="M100">
        <f>IF($L100="","",$F100&amp;"|"&amp;RIGHT("000000"&amp;$L100,6))</f>
        <v/>
      </c>
      <c r="N100">
        <f>IF($F100="","",IF(Sync!$AH100="","0000",IF(AND(ISNUMBER(Sync!$AH100),Sync!$AH100&gt;=0,Sync!$AH100&lt;1),RIGHT("00"&amp;HOUR(Sync!$AH100),2)&amp;RIGHT("00"&amp;MINUTE(Sync!$AH100),2),IFERROR(RIGHT("00"&amp;VALUE(LEFT(Sync!$AH100,FIND(":",Sync!$AH100)-1)),2)&amp;RIGHT("00"&amp;VALUE(MID(Sync!$AH100,FIND(":",Sync!$AH100)+1,2)),2),"0000"))))</f>
        <v/>
      </c>
    </row>
    <row r="101">
      <c r="A101">
        <f>IF(OR(Calc!$E104="",Calc!$E104="نامعتبر",Calc!$G104="",Calc!$I104&lt;&gt;"خرید"),"",Calc!$G104)</f>
        <v/>
      </c>
      <c r="B101">
        <f>IF($A101="","",LEFT(Calc!$E104,4)&amp;MID(Calc!$E104,6,2)&amp;RIGHT(Calc!$E104,2)&amp;Calc!$R104&amp;"|"&amp;"1"&amp;RIGHT("00000"&amp;96,5))</f>
        <v/>
      </c>
      <c r="C101">
        <f>IF($B101="","",COUNTIFS(LdgPartyA,$A101,LdgKeyA,"&lt;"&amp;$B101)+COUNTIFS(LdgPartyB,$A101,LdgKeyB,"&lt;"&amp;$B101)+1)</f>
        <v/>
      </c>
      <c r="D101">
        <f>IF($C101="","",$A101&amp;"|"&amp;RIGHT("000000"&amp;$C101,6))</f>
        <v/>
      </c>
      <c r="F101">
        <f>IF(Sync!$AJ101="","",Sync!$AJ101)</f>
        <v/>
      </c>
      <c r="G101">
        <f>IF($F101="","",IF(Sync!$AG101="","",IF(ISNUMBER(Sync!$AG101),IF(AND(Sync!$AG101&gt;=10000101,Sync!$AG101&lt;=99991231),INT(Sync!$AG101/10000),""),IFERROR(VALUE(TRIM(LEFT(Sync!$AG101,FIND("/",Sync!$AG101)-1))),""))))</f>
        <v/>
      </c>
      <c r="H101">
        <f>IF(OR($F101="",$G101=""),"",IF(ISNUMBER(Sync!$AG101),INT(MOD(Sync!$AG101,10000)/100),IFERROR(VALUE(TRIM(LEFT(MID(Sync!$AG101,FIND("/",Sync!$AG101)+1,20),FIND("/",MID(Sync!$AG101,FIND("/",Sync!$AG101)+1,20))-1))),"")))</f>
        <v/>
      </c>
      <c r="I101">
        <f>IF(OR($F101="",$G101=""),"",IF(ISNUMBER(Sync!$AG101),MOD(Sync!$AG101,100),IFERROR(VALUE(TRIM(MID(MID(Sync!$AG101,FIND("/",Sync!$AG101)+1,20),FIND("/",MID(Sync!$AG101,FIND("/",Sync!$AG101)+1,20))+1,20))),"")))</f>
        <v/>
      </c>
      <c r="J101">
        <f>IF($F101="","",IF(OR($G101="",$H101="",$I101="",$G101&lt;1300,$G101&gt;1500,$H101&lt;1,$H101&gt;12,$I101&lt;1,$I101&gt;31),"نامعتبر",RIGHT("0000"&amp;$G101,4)&amp;"/"&amp;RIGHT("00"&amp;$H101,2)&amp;"/"&amp;RIGHT("00"&amp;$I101,2)))</f>
        <v/>
      </c>
      <c r="K101">
        <f>IF(OR($F101="",$J101="",$J101="نامعتبر"),"",LEFT($J101,4)&amp;MID($J101,6,2)&amp;RIGHT($J101,2)&amp;$N101&amp;"|"&amp;"2"&amp;RIGHT("00000"&amp;96,5))</f>
        <v/>
      </c>
      <c r="L101">
        <f>IF($K101="","",COUNTIFS(LdgPartyA,$F101,LdgKeyA,"&lt;"&amp;$K101)+COUNTIFS(LdgPartyB,$F101,LdgKeyB,"&lt;"&amp;$K101)+1)</f>
        <v/>
      </c>
      <c r="M101">
        <f>IF($L101="","",$F101&amp;"|"&amp;RIGHT("000000"&amp;$L101,6))</f>
        <v/>
      </c>
      <c r="N101">
        <f>IF($F101="","",IF(Sync!$AH101="","0000",IF(AND(ISNUMBER(Sync!$AH101),Sync!$AH101&gt;=0,Sync!$AH101&lt;1),RIGHT("00"&amp;HOUR(Sync!$AH101),2)&amp;RIGHT("00"&amp;MINUTE(Sync!$AH101),2),IFERROR(RIGHT("00"&amp;VALUE(LEFT(Sync!$AH101,FIND(":",Sync!$AH101)-1)),2)&amp;RIGHT("00"&amp;VALUE(MID(Sync!$AH101,FIND(":",Sync!$AH101)+1,2)),2),"0000"))))</f>
        <v/>
      </c>
    </row>
    <row r="102">
      <c r="A102">
        <f>IF(OR(Calc!$E105="",Calc!$E105="نامعتبر",Calc!$G105="",Calc!$I105&lt;&gt;"خرید"),"",Calc!$G105)</f>
        <v/>
      </c>
      <c r="B102">
        <f>IF($A102="","",LEFT(Calc!$E105,4)&amp;MID(Calc!$E105,6,2)&amp;RIGHT(Calc!$E105,2)&amp;Calc!$R105&amp;"|"&amp;"1"&amp;RIGHT("00000"&amp;97,5))</f>
        <v/>
      </c>
      <c r="C102">
        <f>IF($B102="","",COUNTIFS(LdgPartyA,$A102,LdgKeyA,"&lt;"&amp;$B102)+COUNTIFS(LdgPartyB,$A102,LdgKeyB,"&lt;"&amp;$B102)+1)</f>
        <v/>
      </c>
      <c r="D102">
        <f>IF($C102="","",$A102&amp;"|"&amp;RIGHT("000000"&amp;$C102,6))</f>
        <v/>
      </c>
      <c r="F102">
        <f>IF(Sync!$AJ102="","",Sync!$AJ102)</f>
        <v/>
      </c>
      <c r="G102">
        <f>IF($F102="","",IF(Sync!$AG102="","",IF(ISNUMBER(Sync!$AG102),IF(AND(Sync!$AG102&gt;=10000101,Sync!$AG102&lt;=99991231),INT(Sync!$AG102/10000),""),IFERROR(VALUE(TRIM(LEFT(Sync!$AG102,FIND("/",Sync!$AG102)-1))),""))))</f>
        <v/>
      </c>
      <c r="H102">
        <f>IF(OR($F102="",$G102=""),"",IF(ISNUMBER(Sync!$AG102),INT(MOD(Sync!$AG102,10000)/100),IFERROR(VALUE(TRIM(LEFT(MID(Sync!$AG102,FIND("/",Sync!$AG102)+1,20),FIND("/",MID(Sync!$AG102,FIND("/",Sync!$AG102)+1,20))-1))),"")))</f>
        <v/>
      </c>
      <c r="I102">
        <f>IF(OR($F102="",$G102=""),"",IF(ISNUMBER(Sync!$AG102),MOD(Sync!$AG102,100),IFERROR(VALUE(TRIM(MID(MID(Sync!$AG102,FIND("/",Sync!$AG102)+1,20),FIND("/",MID(Sync!$AG102,FIND("/",Sync!$AG102)+1,20))+1,20))),"")))</f>
        <v/>
      </c>
      <c r="J102">
        <f>IF($F102="","",IF(OR($G102="",$H102="",$I102="",$G102&lt;1300,$G102&gt;1500,$H102&lt;1,$H102&gt;12,$I102&lt;1,$I102&gt;31),"نامعتبر",RIGHT("0000"&amp;$G102,4)&amp;"/"&amp;RIGHT("00"&amp;$H102,2)&amp;"/"&amp;RIGHT("00"&amp;$I102,2)))</f>
        <v/>
      </c>
      <c r="K102">
        <f>IF(OR($F102="",$J102="",$J102="نامعتبر"),"",LEFT($J102,4)&amp;MID($J102,6,2)&amp;RIGHT($J102,2)&amp;$N102&amp;"|"&amp;"2"&amp;RIGHT("00000"&amp;97,5))</f>
        <v/>
      </c>
      <c r="L102">
        <f>IF($K102="","",COUNTIFS(LdgPartyA,$F102,LdgKeyA,"&lt;"&amp;$K102)+COUNTIFS(LdgPartyB,$F102,LdgKeyB,"&lt;"&amp;$K102)+1)</f>
        <v/>
      </c>
      <c r="M102">
        <f>IF($L102="","",$F102&amp;"|"&amp;RIGHT("000000"&amp;$L102,6))</f>
        <v/>
      </c>
      <c r="N102">
        <f>IF($F102="","",IF(Sync!$AH102="","0000",IF(AND(ISNUMBER(Sync!$AH102),Sync!$AH102&gt;=0,Sync!$AH102&lt;1),RIGHT("00"&amp;HOUR(Sync!$AH102),2)&amp;RIGHT("00"&amp;MINUTE(Sync!$AH102),2),IFERROR(RIGHT("00"&amp;VALUE(LEFT(Sync!$AH102,FIND(":",Sync!$AH102)-1)),2)&amp;RIGHT("00"&amp;VALUE(MID(Sync!$AH102,FIND(":",Sync!$AH102)+1,2)),2),"0000"))))</f>
        <v/>
      </c>
    </row>
    <row r="103">
      <c r="A103">
        <f>IF(OR(Calc!$E106="",Calc!$E106="نامعتبر",Calc!$G106="",Calc!$I106&lt;&gt;"خرید"),"",Calc!$G106)</f>
        <v/>
      </c>
      <c r="B103">
        <f>IF($A103="","",LEFT(Calc!$E106,4)&amp;MID(Calc!$E106,6,2)&amp;RIGHT(Calc!$E106,2)&amp;Calc!$R106&amp;"|"&amp;"1"&amp;RIGHT("00000"&amp;98,5))</f>
        <v/>
      </c>
      <c r="C103">
        <f>IF($B103="","",COUNTIFS(LdgPartyA,$A103,LdgKeyA,"&lt;"&amp;$B103)+COUNTIFS(LdgPartyB,$A103,LdgKeyB,"&lt;"&amp;$B103)+1)</f>
        <v/>
      </c>
      <c r="D103">
        <f>IF($C103="","",$A103&amp;"|"&amp;RIGHT("000000"&amp;$C103,6))</f>
        <v/>
      </c>
      <c r="F103">
        <f>IF(Sync!$AJ103="","",Sync!$AJ103)</f>
        <v/>
      </c>
      <c r="G103">
        <f>IF($F103="","",IF(Sync!$AG103="","",IF(ISNUMBER(Sync!$AG103),IF(AND(Sync!$AG103&gt;=10000101,Sync!$AG103&lt;=99991231),INT(Sync!$AG103/10000),""),IFERROR(VALUE(TRIM(LEFT(Sync!$AG103,FIND("/",Sync!$AG103)-1))),""))))</f>
        <v/>
      </c>
      <c r="H103">
        <f>IF(OR($F103="",$G103=""),"",IF(ISNUMBER(Sync!$AG103),INT(MOD(Sync!$AG103,10000)/100),IFERROR(VALUE(TRIM(LEFT(MID(Sync!$AG103,FIND("/",Sync!$AG103)+1,20),FIND("/",MID(Sync!$AG103,FIND("/",Sync!$AG103)+1,20))-1))),"")))</f>
        <v/>
      </c>
      <c r="I103">
        <f>IF(OR($F103="",$G103=""),"",IF(ISNUMBER(Sync!$AG103),MOD(Sync!$AG103,100),IFERROR(VALUE(TRIM(MID(MID(Sync!$AG103,FIND("/",Sync!$AG103)+1,20),FIND("/",MID(Sync!$AG103,FIND("/",Sync!$AG103)+1,20))+1,20))),"")))</f>
        <v/>
      </c>
      <c r="J103">
        <f>IF($F103="","",IF(OR($G103="",$H103="",$I103="",$G103&lt;1300,$G103&gt;1500,$H103&lt;1,$H103&gt;12,$I103&lt;1,$I103&gt;31),"نامعتبر",RIGHT("0000"&amp;$G103,4)&amp;"/"&amp;RIGHT("00"&amp;$H103,2)&amp;"/"&amp;RIGHT("00"&amp;$I103,2)))</f>
        <v/>
      </c>
      <c r="K103">
        <f>IF(OR($F103="",$J103="",$J103="نامعتبر"),"",LEFT($J103,4)&amp;MID($J103,6,2)&amp;RIGHT($J103,2)&amp;$N103&amp;"|"&amp;"2"&amp;RIGHT("00000"&amp;98,5))</f>
        <v/>
      </c>
      <c r="L103">
        <f>IF($K103="","",COUNTIFS(LdgPartyA,$F103,LdgKeyA,"&lt;"&amp;$K103)+COUNTIFS(LdgPartyB,$F103,LdgKeyB,"&lt;"&amp;$K103)+1)</f>
        <v/>
      </c>
      <c r="M103">
        <f>IF($L103="","",$F103&amp;"|"&amp;RIGHT("000000"&amp;$L103,6))</f>
        <v/>
      </c>
      <c r="N103">
        <f>IF($F103="","",IF(Sync!$AH103="","0000",IF(AND(ISNUMBER(Sync!$AH103),Sync!$AH103&gt;=0,Sync!$AH103&lt;1),RIGHT("00"&amp;HOUR(Sync!$AH103),2)&amp;RIGHT("00"&amp;MINUTE(Sync!$AH103),2),IFERROR(RIGHT("00"&amp;VALUE(LEFT(Sync!$AH103,FIND(":",Sync!$AH103)-1)),2)&amp;RIGHT("00"&amp;VALUE(MID(Sync!$AH103,FIND(":",Sync!$AH103)+1,2)),2),"0000"))))</f>
        <v/>
      </c>
    </row>
    <row r="104">
      <c r="A104">
        <f>IF(OR(Calc!$E107="",Calc!$E107="نامعتبر",Calc!$G107="",Calc!$I107&lt;&gt;"خرید"),"",Calc!$G107)</f>
        <v/>
      </c>
      <c r="B104">
        <f>IF($A104="","",LEFT(Calc!$E107,4)&amp;MID(Calc!$E107,6,2)&amp;RIGHT(Calc!$E107,2)&amp;Calc!$R107&amp;"|"&amp;"1"&amp;RIGHT("00000"&amp;99,5))</f>
        <v/>
      </c>
      <c r="C104">
        <f>IF($B104="","",COUNTIFS(LdgPartyA,$A104,LdgKeyA,"&lt;"&amp;$B104)+COUNTIFS(LdgPartyB,$A104,LdgKeyB,"&lt;"&amp;$B104)+1)</f>
        <v/>
      </c>
      <c r="D104">
        <f>IF($C104="","",$A104&amp;"|"&amp;RIGHT("000000"&amp;$C104,6))</f>
        <v/>
      </c>
      <c r="F104">
        <f>IF(Sync!$AJ104="","",Sync!$AJ104)</f>
        <v/>
      </c>
      <c r="G104">
        <f>IF($F104="","",IF(Sync!$AG104="","",IF(ISNUMBER(Sync!$AG104),IF(AND(Sync!$AG104&gt;=10000101,Sync!$AG104&lt;=99991231),INT(Sync!$AG104/10000),""),IFERROR(VALUE(TRIM(LEFT(Sync!$AG104,FIND("/",Sync!$AG104)-1))),""))))</f>
        <v/>
      </c>
      <c r="H104">
        <f>IF(OR($F104="",$G104=""),"",IF(ISNUMBER(Sync!$AG104),INT(MOD(Sync!$AG104,10000)/100),IFERROR(VALUE(TRIM(LEFT(MID(Sync!$AG104,FIND("/",Sync!$AG104)+1,20),FIND("/",MID(Sync!$AG104,FIND("/",Sync!$AG104)+1,20))-1))),"")))</f>
        <v/>
      </c>
      <c r="I104">
        <f>IF(OR($F104="",$G104=""),"",IF(ISNUMBER(Sync!$AG104),MOD(Sync!$AG104,100),IFERROR(VALUE(TRIM(MID(MID(Sync!$AG104,FIND("/",Sync!$AG104)+1,20),FIND("/",MID(Sync!$AG104,FIND("/",Sync!$AG104)+1,20))+1,20))),"")))</f>
        <v/>
      </c>
      <c r="J104">
        <f>IF($F104="","",IF(OR($G104="",$H104="",$I104="",$G104&lt;1300,$G104&gt;1500,$H104&lt;1,$H104&gt;12,$I104&lt;1,$I104&gt;31),"نامعتبر",RIGHT("0000"&amp;$G104,4)&amp;"/"&amp;RIGHT("00"&amp;$H104,2)&amp;"/"&amp;RIGHT("00"&amp;$I104,2)))</f>
        <v/>
      </c>
      <c r="K104">
        <f>IF(OR($F104="",$J104="",$J104="نامعتبر"),"",LEFT($J104,4)&amp;MID($J104,6,2)&amp;RIGHT($J104,2)&amp;$N104&amp;"|"&amp;"2"&amp;RIGHT("00000"&amp;99,5))</f>
        <v/>
      </c>
      <c r="L104">
        <f>IF($K104="","",COUNTIFS(LdgPartyA,$F104,LdgKeyA,"&lt;"&amp;$K104)+COUNTIFS(LdgPartyB,$F104,LdgKeyB,"&lt;"&amp;$K104)+1)</f>
        <v/>
      </c>
      <c r="M104">
        <f>IF($L104="","",$F104&amp;"|"&amp;RIGHT("000000"&amp;$L104,6))</f>
        <v/>
      </c>
      <c r="N104">
        <f>IF($F104="","",IF(Sync!$AH104="","0000",IF(AND(ISNUMBER(Sync!$AH104),Sync!$AH104&gt;=0,Sync!$AH104&lt;1),RIGHT("00"&amp;HOUR(Sync!$AH104),2)&amp;RIGHT("00"&amp;MINUTE(Sync!$AH104),2),IFERROR(RIGHT("00"&amp;VALUE(LEFT(Sync!$AH104,FIND(":",Sync!$AH104)-1)),2)&amp;RIGHT("00"&amp;VALUE(MID(Sync!$AH104,FIND(":",Sync!$AH104)+1,2)),2),"0000"))))</f>
        <v/>
      </c>
    </row>
    <row r="105">
      <c r="A105">
        <f>IF(OR(Calc!$E108="",Calc!$E108="نامعتبر",Calc!$G108="",Calc!$I108&lt;&gt;"خرید"),"",Calc!$G108)</f>
        <v/>
      </c>
      <c r="B105">
        <f>IF($A105="","",LEFT(Calc!$E108,4)&amp;MID(Calc!$E108,6,2)&amp;RIGHT(Calc!$E108,2)&amp;Calc!$R108&amp;"|"&amp;"1"&amp;RIGHT("00000"&amp;100,5))</f>
        <v/>
      </c>
      <c r="C105">
        <f>IF($B105="","",COUNTIFS(LdgPartyA,$A105,LdgKeyA,"&lt;"&amp;$B105)+COUNTIFS(LdgPartyB,$A105,LdgKeyB,"&lt;"&amp;$B105)+1)</f>
        <v/>
      </c>
      <c r="D105">
        <f>IF($C105="","",$A105&amp;"|"&amp;RIGHT("000000"&amp;$C105,6))</f>
        <v/>
      </c>
      <c r="F105">
        <f>IF(Sync!$AJ105="","",Sync!$AJ105)</f>
        <v/>
      </c>
      <c r="G105">
        <f>IF($F105="","",IF(Sync!$AG105="","",IF(ISNUMBER(Sync!$AG105),IF(AND(Sync!$AG105&gt;=10000101,Sync!$AG105&lt;=99991231),INT(Sync!$AG105/10000),""),IFERROR(VALUE(TRIM(LEFT(Sync!$AG105,FIND("/",Sync!$AG105)-1))),""))))</f>
        <v/>
      </c>
      <c r="H105">
        <f>IF(OR($F105="",$G105=""),"",IF(ISNUMBER(Sync!$AG105),INT(MOD(Sync!$AG105,10000)/100),IFERROR(VALUE(TRIM(LEFT(MID(Sync!$AG105,FIND("/",Sync!$AG105)+1,20),FIND("/",MID(Sync!$AG105,FIND("/",Sync!$AG105)+1,20))-1))),"")))</f>
        <v/>
      </c>
      <c r="I105">
        <f>IF(OR($F105="",$G105=""),"",IF(ISNUMBER(Sync!$AG105),MOD(Sync!$AG105,100),IFERROR(VALUE(TRIM(MID(MID(Sync!$AG105,FIND("/",Sync!$AG105)+1,20),FIND("/",MID(Sync!$AG105,FIND("/",Sync!$AG105)+1,20))+1,20))),"")))</f>
        <v/>
      </c>
      <c r="J105">
        <f>IF($F105="","",IF(OR($G105="",$H105="",$I105="",$G105&lt;1300,$G105&gt;1500,$H105&lt;1,$H105&gt;12,$I105&lt;1,$I105&gt;31),"نامعتبر",RIGHT("0000"&amp;$G105,4)&amp;"/"&amp;RIGHT("00"&amp;$H105,2)&amp;"/"&amp;RIGHT("00"&amp;$I105,2)))</f>
        <v/>
      </c>
      <c r="K105">
        <f>IF(OR($F105="",$J105="",$J105="نامعتبر"),"",LEFT($J105,4)&amp;MID($J105,6,2)&amp;RIGHT($J105,2)&amp;$N105&amp;"|"&amp;"2"&amp;RIGHT("00000"&amp;100,5))</f>
        <v/>
      </c>
      <c r="L105">
        <f>IF($K105="","",COUNTIFS(LdgPartyA,$F105,LdgKeyA,"&lt;"&amp;$K105)+COUNTIFS(LdgPartyB,$F105,LdgKeyB,"&lt;"&amp;$K105)+1)</f>
        <v/>
      </c>
      <c r="M105">
        <f>IF($L105="","",$F105&amp;"|"&amp;RIGHT("000000"&amp;$L105,6))</f>
        <v/>
      </c>
      <c r="N105">
        <f>IF($F105="","",IF(Sync!$AH105="","0000",IF(AND(ISNUMBER(Sync!$AH105),Sync!$AH105&gt;=0,Sync!$AH105&lt;1),RIGHT("00"&amp;HOUR(Sync!$AH105),2)&amp;RIGHT("00"&amp;MINUTE(Sync!$AH105),2),IFERROR(RIGHT("00"&amp;VALUE(LEFT(Sync!$AH105,FIND(":",Sync!$AH105)-1)),2)&amp;RIGHT("00"&amp;VALUE(MID(Sync!$AH105,FIND(":",Sync!$AH105)+1,2)),2),"0000"))))</f>
        <v/>
      </c>
    </row>
    <row r="106">
      <c r="A106">
        <f>IF(OR(Calc!$E109="",Calc!$E109="نامعتبر",Calc!$G109="",Calc!$I109&lt;&gt;"خرید"),"",Calc!$G109)</f>
        <v/>
      </c>
      <c r="B106">
        <f>IF($A106="","",LEFT(Calc!$E109,4)&amp;MID(Calc!$E109,6,2)&amp;RIGHT(Calc!$E109,2)&amp;Calc!$R109&amp;"|"&amp;"1"&amp;RIGHT("00000"&amp;101,5))</f>
        <v/>
      </c>
      <c r="C106">
        <f>IF($B106="","",COUNTIFS(LdgPartyA,$A106,LdgKeyA,"&lt;"&amp;$B106)+COUNTIFS(LdgPartyB,$A106,LdgKeyB,"&lt;"&amp;$B106)+1)</f>
        <v/>
      </c>
      <c r="D106">
        <f>IF($C106="","",$A106&amp;"|"&amp;RIGHT("000000"&amp;$C106,6))</f>
        <v/>
      </c>
      <c r="F106">
        <f>IF(Sync!$AJ106="","",Sync!$AJ106)</f>
        <v/>
      </c>
      <c r="G106">
        <f>IF($F106="","",IF(Sync!$AG106="","",IF(ISNUMBER(Sync!$AG106),IF(AND(Sync!$AG106&gt;=10000101,Sync!$AG106&lt;=99991231),INT(Sync!$AG106/10000),""),IFERROR(VALUE(TRIM(LEFT(Sync!$AG106,FIND("/",Sync!$AG106)-1))),""))))</f>
        <v/>
      </c>
      <c r="H106">
        <f>IF(OR($F106="",$G106=""),"",IF(ISNUMBER(Sync!$AG106),INT(MOD(Sync!$AG106,10000)/100),IFERROR(VALUE(TRIM(LEFT(MID(Sync!$AG106,FIND("/",Sync!$AG106)+1,20),FIND("/",MID(Sync!$AG106,FIND("/",Sync!$AG106)+1,20))-1))),"")))</f>
        <v/>
      </c>
      <c r="I106">
        <f>IF(OR($F106="",$G106=""),"",IF(ISNUMBER(Sync!$AG106),MOD(Sync!$AG106,100),IFERROR(VALUE(TRIM(MID(MID(Sync!$AG106,FIND("/",Sync!$AG106)+1,20),FIND("/",MID(Sync!$AG106,FIND("/",Sync!$AG106)+1,20))+1,20))),"")))</f>
        <v/>
      </c>
      <c r="J106">
        <f>IF($F106="","",IF(OR($G106="",$H106="",$I106="",$G106&lt;1300,$G106&gt;1500,$H106&lt;1,$H106&gt;12,$I106&lt;1,$I106&gt;31),"نامعتبر",RIGHT("0000"&amp;$G106,4)&amp;"/"&amp;RIGHT("00"&amp;$H106,2)&amp;"/"&amp;RIGHT("00"&amp;$I106,2)))</f>
        <v/>
      </c>
      <c r="K106">
        <f>IF(OR($F106="",$J106="",$J106="نامعتبر"),"",LEFT($J106,4)&amp;MID($J106,6,2)&amp;RIGHT($J106,2)&amp;$N106&amp;"|"&amp;"2"&amp;RIGHT("00000"&amp;101,5))</f>
        <v/>
      </c>
      <c r="L106">
        <f>IF($K106="","",COUNTIFS(LdgPartyA,$F106,LdgKeyA,"&lt;"&amp;$K106)+COUNTIFS(LdgPartyB,$F106,LdgKeyB,"&lt;"&amp;$K106)+1)</f>
        <v/>
      </c>
      <c r="M106">
        <f>IF($L106="","",$F106&amp;"|"&amp;RIGHT("000000"&amp;$L106,6))</f>
        <v/>
      </c>
      <c r="N106">
        <f>IF($F106="","",IF(Sync!$AH106="","0000",IF(AND(ISNUMBER(Sync!$AH106),Sync!$AH106&gt;=0,Sync!$AH106&lt;1),RIGHT("00"&amp;HOUR(Sync!$AH106),2)&amp;RIGHT("00"&amp;MINUTE(Sync!$AH106),2),IFERROR(RIGHT("00"&amp;VALUE(LEFT(Sync!$AH106,FIND(":",Sync!$AH106)-1)),2)&amp;RIGHT("00"&amp;VALUE(MID(Sync!$AH106,FIND(":",Sync!$AH106)+1,2)),2),"0000"))))</f>
        <v/>
      </c>
    </row>
    <row r="107">
      <c r="A107">
        <f>IF(OR(Calc!$E110="",Calc!$E110="نامعتبر",Calc!$G110="",Calc!$I110&lt;&gt;"خرید"),"",Calc!$G110)</f>
        <v/>
      </c>
      <c r="B107">
        <f>IF($A107="","",LEFT(Calc!$E110,4)&amp;MID(Calc!$E110,6,2)&amp;RIGHT(Calc!$E110,2)&amp;Calc!$R110&amp;"|"&amp;"1"&amp;RIGHT("00000"&amp;102,5))</f>
        <v/>
      </c>
      <c r="C107">
        <f>IF($B107="","",COUNTIFS(LdgPartyA,$A107,LdgKeyA,"&lt;"&amp;$B107)+COUNTIFS(LdgPartyB,$A107,LdgKeyB,"&lt;"&amp;$B107)+1)</f>
        <v/>
      </c>
      <c r="D107">
        <f>IF($C107="","",$A107&amp;"|"&amp;RIGHT("000000"&amp;$C107,6))</f>
        <v/>
      </c>
      <c r="F107">
        <f>IF(Sync!$AJ107="","",Sync!$AJ107)</f>
        <v/>
      </c>
      <c r="G107">
        <f>IF($F107="","",IF(Sync!$AG107="","",IF(ISNUMBER(Sync!$AG107),IF(AND(Sync!$AG107&gt;=10000101,Sync!$AG107&lt;=99991231),INT(Sync!$AG107/10000),""),IFERROR(VALUE(TRIM(LEFT(Sync!$AG107,FIND("/",Sync!$AG107)-1))),""))))</f>
        <v/>
      </c>
      <c r="H107">
        <f>IF(OR($F107="",$G107=""),"",IF(ISNUMBER(Sync!$AG107),INT(MOD(Sync!$AG107,10000)/100),IFERROR(VALUE(TRIM(LEFT(MID(Sync!$AG107,FIND("/",Sync!$AG107)+1,20),FIND("/",MID(Sync!$AG107,FIND("/",Sync!$AG107)+1,20))-1))),"")))</f>
        <v/>
      </c>
      <c r="I107">
        <f>IF(OR($F107="",$G107=""),"",IF(ISNUMBER(Sync!$AG107),MOD(Sync!$AG107,100),IFERROR(VALUE(TRIM(MID(MID(Sync!$AG107,FIND("/",Sync!$AG107)+1,20),FIND("/",MID(Sync!$AG107,FIND("/",Sync!$AG107)+1,20))+1,20))),"")))</f>
        <v/>
      </c>
      <c r="J107">
        <f>IF($F107="","",IF(OR($G107="",$H107="",$I107="",$G107&lt;1300,$G107&gt;1500,$H107&lt;1,$H107&gt;12,$I107&lt;1,$I107&gt;31),"نامعتبر",RIGHT("0000"&amp;$G107,4)&amp;"/"&amp;RIGHT("00"&amp;$H107,2)&amp;"/"&amp;RIGHT("00"&amp;$I107,2)))</f>
        <v/>
      </c>
      <c r="K107">
        <f>IF(OR($F107="",$J107="",$J107="نامعتبر"),"",LEFT($J107,4)&amp;MID($J107,6,2)&amp;RIGHT($J107,2)&amp;$N107&amp;"|"&amp;"2"&amp;RIGHT("00000"&amp;102,5))</f>
        <v/>
      </c>
      <c r="L107">
        <f>IF($K107="","",COUNTIFS(LdgPartyA,$F107,LdgKeyA,"&lt;"&amp;$K107)+COUNTIFS(LdgPartyB,$F107,LdgKeyB,"&lt;"&amp;$K107)+1)</f>
        <v/>
      </c>
      <c r="M107">
        <f>IF($L107="","",$F107&amp;"|"&amp;RIGHT("000000"&amp;$L107,6))</f>
        <v/>
      </c>
      <c r="N107">
        <f>IF($F107="","",IF(Sync!$AH107="","0000",IF(AND(ISNUMBER(Sync!$AH107),Sync!$AH107&gt;=0,Sync!$AH107&lt;1),RIGHT("00"&amp;HOUR(Sync!$AH107),2)&amp;RIGHT("00"&amp;MINUTE(Sync!$AH107),2),IFERROR(RIGHT("00"&amp;VALUE(LEFT(Sync!$AH107,FIND(":",Sync!$AH107)-1)),2)&amp;RIGHT("00"&amp;VALUE(MID(Sync!$AH107,FIND(":",Sync!$AH107)+1,2)),2),"0000"))))</f>
        <v/>
      </c>
    </row>
    <row r="108">
      <c r="A108">
        <f>IF(OR(Calc!$E111="",Calc!$E111="نامعتبر",Calc!$G111="",Calc!$I111&lt;&gt;"خرید"),"",Calc!$G111)</f>
        <v/>
      </c>
      <c r="B108">
        <f>IF($A108="","",LEFT(Calc!$E111,4)&amp;MID(Calc!$E111,6,2)&amp;RIGHT(Calc!$E111,2)&amp;Calc!$R111&amp;"|"&amp;"1"&amp;RIGHT("00000"&amp;103,5))</f>
        <v/>
      </c>
      <c r="C108">
        <f>IF($B108="","",COUNTIFS(LdgPartyA,$A108,LdgKeyA,"&lt;"&amp;$B108)+COUNTIFS(LdgPartyB,$A108,LdgKeyB,"&lt;"&amp;$B108)+1)</f>
        <v/>
      </c>
      <c r="D108">
        <f>IF($C108="","",$A108&amp;"|"&amp;RIGHT("000000"&amp;$C108,6))</f>
        <v/>
      </c>
      <c r="F108">
        <f>IF(Sync!$AJ108="","",Sync!$AJ108)</f>
        <v/>
      </c>
      <c r="G108">
        <f>IF($F108="","",IF(Sync!$AG108="","",IF(ISNUMBER(Sync!$AG108),IF(AND(Sync!$AG108&gt;=10000101,Sync!$AG108&lt;=99991231),INT(Sync!$AG108/10000),""),IFERROR(VALUE(TRIM(LEFT(Sync!$AG108,FIND("/",Sync!$AG108)-1))),""))))</f>
        <v/>
      </c>
      <c r="H108">
        <f>IF(OR($F108="",$G108=""),"",IF(ISNUMBER(Sync!$AG108),INT(MOD(Sync!$AG108,10000)/100),IFERROR(VALUE(TRIM(LEFT(MID(Sync!$AG108,FIND("/",Sync!$AG108)+1,20),FIND("/",MID(Sync!$AG108,FIND("/",Sync!$AG108)+1,20))-1))),"")))</f>
        <v/>
      </c>
      <c r="I108">
        <f>IF(OR($F108="",$G108=""),"",IF(ISNUMBER(Sync!$AG108),MOD(Sync!$AG108,100),IFERROR(VALUE(TRIM(MID(MID(Sync!$AG108,FIND("/",Sync!$AG108)+1,20),FIND("/",MID(Sync!$AG108,FIND("/",Sync!$AG108)+1,20))+1,20))),"")))</f>
        <v/>
      </c>
      <c r="J108">
        <f>IF($F108="","",IF(OR($G108="",$H108="",$I108="",$G108&lt;1300,$G108&gt;1500,$H108&lt;1,$H108&gt;12,$I108&lt;1,$I108&gt;31),"نامعتبر",RIGHT("0000"&amp;$G108,4)&amp;"/"&amp;RIGHT("00"&amp;$H108,2)&amp;"/"&amp;RIGHT("00"&amp;$I108,2)))</f>
        <v/>
      </c>
      <c r="K108">
        <f>IF(OR($F108="",$J108="",$J108="نامعتبر"),"",LEFT($J108,4)&amp;MID($J108,6,2)&amp;RIGHT($J108,2)&amp;$N108&amp;"|"&amp;"2"&amp;RIGHT("00000"&amp;103,5))</f>
        <v/>
      </c>
      <c r="L108">
        <f>IF($K108="","",COUNTIFS(LdgPartyA,$F108,LdgKeyA,"&lt;"&amp;$K108)+COUNTIFS(LdgPartyB,$F108,LdgKeyB,"&lt;"&amp;$K108)+1)</f>
        <v/>
      </c>
      <c r="M108">
        <f>IF($L108="","",$F108&amp;"|"&amp;RIGHT("000000"&amp;$L108,6))</f>
        <v/>
      </c>
      <c r="N108">
        <f>IF($F108="","",IF(Sync!$AH108="","0000",IF(AND(ISNUMBER(Sync!$AH108),Sync!$AH108&gt;=0,Sync!$AH108&lt;1),RIGHT("00"&amp;HOUR(Sync!$AH108),2)&amp;RIGHT("00"&amp;MINUTE(Sync!$AH108),2),IFERROR(RIGHT("00"&amp;VALUE(LEFT(Sync!$AH108,FIND(":",Sync!$AH108)-1)),2)&amp;RIGHT("00"&amp;VALUE(MID(Sync!$AH108,FIND(":",Sync!$AH108)+1,2)),2),"0000"))))</f>
        <v/>
      </c>
    </row>
    <row r="109">
      <c r="A109">
        <f>IF(OR(Calc!$E112="",Calc!$E112="نامعتبر",Calc!$G112="",Calc!$I112&lt;&gt;"خرید"),"",Calc!$G112)</f>
        <v/>
      </c>
      <c r="B109">
        <f>IF($A109="","",LEFT(Calc!$E112,4)&amp;MID(Calc!$E112,6,2)&amp;RIGHT(Calc!$E112,2)&amp;Calc!$R112&amp;"|"&amp;"1"&amp;RIGHT("00000"&amp;104,5))</f>
        <v/>
      </c>
      <c r="C109">
        <f>IF($B109="","",COUNTIFS(LdgPartyA,$A109,LdgKeyA,"&lt;"&amp;$B109)+COUNTIFS(LdgPartyB,$A109,LdgKeyB,"&lt;"&amp;$B109)+1)</f>
        <v/>
      </c>
      <c r="D109">
        <f>IF($C109="","",$A109&amp;"|"&amp;RIGHT("000000"&amp;$C109,6))</f>
        <v/>
      </c>
      <c r="F109">
        <f>IF(Sync!$AJ109="","",Sync!$AJ109)</f>
        <v/>
      </c>
      <c r="G109">
        <f>IF($F109="","",IF(Sync!$AG109="","",IF(ISNUMBER(Sync!$AG109),IF(AND(Sync!$AG109&gt;=10000101,Sync!$AG109&lt;=99991231),INT(Sync!$AG109/10000),""),IFERROR(VALUE(TRIM(LEFT(Sync!$AG109,FIND("/",Sync!$AG109)-1))),""))))</f>
        <v/>
      </c>
      <c r="H109">
        <f>IF(OR($F109="",$G109=""),"",IF(ISNUMBER(Sync!$AG109),INT(MOD(Sync!$AG109,10000)/100),IFERROR(VALUE(TRIM(LEFT(MID(Sync!$AG109,FIND("/",Sync!$AG109)+1,20),FIND("/",MID(Sync!$AG109,FIND("/",Sync!$AG109)+1,20))-1))),"")))</f>
        <v/>
      </c>
      <c r="I109">
        <f>IF(OR($F109="",$G109=""),"",IF(ISNUMBER(Sync!$AG109),MOD(Sync!$AG109,100),IFERROR(VALUE(TRIM(MID(MID(Sync!$AG109,FIND("/",Sync!$AG109)+1,20),FIND("/",MID(Sync!$AG109,FIND("/",Sync!$AG109)+1,20))+1,20))),"")))</f>
        <v/>
      </c>
      <c r="J109">
        <f>IF($F109="","",IF(OR($G109="",$H109="",$I109="",$G109&lt;1300,$G109&gt;1500,$H109&lt;1,$H109&gt;12,$I109&lt;1,$I109&gt;31),"نامعتبر",RIGHT("0000"&amp;$G109,4)&amp;"/"&amp;RIGHT("00"&amp;$H109,2)&amp;"/"&amp;RIGHT("00"&amp;$I109,2)))</f>
        <v/>
      </c>
      <c r="K109">
        <f>IF(OR($F109="",$J109="",$J109="نامعتبر"),"",LEFT($J109,4)&amp;MID($J109,6,2)&amp;RIGHT($J109,2)&amp;$N109&amp;"|"&amp;"2"&amp;RIGHT("00000"&amp;104,5))</f>
        <v/>
      </c>
      <c r="L109">
        <f>IF($K109="","",COUNTIFS(LdgPartyA,$F109,LdgKeyA,"&lt;"&amp;$K109)+COUNTIFS(LdgPartyB,$F109,LdgKeyB,"&lt;"&amp;$K109)+1)</f>
        <v/>
      </c>
      <c r="M109">
        <f>IF($L109="","",$F109&amp;"|"&amp;RIGHT("000000"&amp;$L109,6))</f>
        <v/>
      </c>
      <c r="N109">
        <f>IF($F109="","",IF(Sync!$AH109="","0000",IF(AND(ISNUMBER(Sync!$AH109),Sync!$AH109&gt;=0,Sync!$AH109&lt;1),RIGHT("00"&amp;HOUR(Sync!$AH109),2)&amp;RIGHT("00"&amp;MINUTE(Sync!$AH109),2),IFERROR(RIGHT("00"&amp;VALUE(LEFT(Sync!$AH109,FIND(":",Sync!$AH109)-1)),2)&amp;RIGHT("00"&amp;VALUE(MID(Sync!$AH109,FIND(":",Sync!$AH109)+1,2)),2),"0000"))))</f>
        <v/>
      </c>
    </row>
    <row r="110">
      <c r="A110">
        <f>IF(OR(Calc!$E113="",Calc!$E113="نامعتبر",Calc!$G113="",Calc!$I113&lt;&gt;"خرید"),"",Calc!$G113)</f>
        <v/>
      </c>
      <c r="B110">
        <f>IF($A110="","",LEFT(Calc!$E113,4)&amp;MID(Calc!$E113,6,2)&amp;RIGHT(Calc!$E113,2)&amp;Calc!$R113&amp;"|"&amp;"1"&amp;RIGHT("00000"&amp;105,5))</f>
        <v/>
      </c>
      <c r="C110">
        <f>IF($B110="","",COUNTIFS(LdgPartyA,$A110,LdgKeyA,"&lt;"&amp;$B110)+COUNTIFS(LdgPartyB,$A110,LdgKeyB,"&lt;"&amp;$B110)+1)</f>
        <v/>
      </c>
      <c r="D110">
        <f>IF($C110="","",$A110&amp;"|"&amp;RIGHT("000000"&amp;$C110,6))</f>
        <v/>
      </c>
      <c r="F110">
        <f>IF(Sync!$AJ110="","",Sync!$AJ110)</f>
        <v/>
      </c>
      <c r="G110">
        <f>IF($F110="","",IF(Sync!$AG110="","",IF(ISNUMBER(Sync!$AG110),IF(AND(Sync!$AG110&gt;=10000101,Sync!$AG110&lt;=99991231),INT(Sync!$AG110/10000),""),IFERROR(VALUE(TRIM(LEFT(Sync!$AG110,FIND("/",Sync!$AG110)-1))),""))))</f>
        <v/>
      </c>
      <c r="H110">
        <f>IF(OR($F110="",$G110=""),"",IF(ISNUMBER(Sync!$AG110),INT(MOD(Sync!$AG110,10000)/100),IFERROR(VALUE(TRIM(LEFT(MID(Sync!$AG110,FIND("/",Sync!$AG110)+1,20),FIND("/",MID(Sync!$AG110,FIND("/",Sync!$AG110)+1,20))-1))),"")))</f>
        <v/>
      </c>
      <c r="I110">
        <f>IF(OR($F110="",$G110=""),"",IF(ISNUMBER(Sync!$AG110),MOD(Sync!$AG110,100),IFERROR(VALUE(TRIM(MID(MID(Sync!$AG110,FIND("/",Sync!$AG110)+1,20),FIND("/",MID(Sync!$AG110,FIND("/",Sync!$AG110)+1,20))+1,20))),"")))</f>
        <v/>
      </c>
      <c r="J110">
        <f>IF($F110="","",IF(OR($G110="",$H110="",$I110="",$G110&lt;1300,$G110&gt;1500,$H110&lt;1,$H110&gt;12,$I110&lt;1,$I110&gt;31),"نامعتبر",RIGHT("0000"&amp;$G110,4)&amp;"/"&amp;RIGHT("00"&amp;$H110,2)&amp;"/"&amp;RIGHT("00"&amp;$I110,2)))</f>
        <v/>
      </c>
      <c r="K110">
        <f>IF(OR($F110="",$J110="",$J110="نامعتبر"),"",LEFT($J110,4)&amp;MID($J110,6,2)&amp;RIGHT($J110,2)&amp;$N110&amp;"|"&amp;"2"&amp;RIGHT("00000"&amp;105,5))</f>
        <v/>
      </c>
      <c r="L110">
        <f>IF($K110="","",COUNTIFS(LdgPartyA,$F110,LdgKeyA,"&lt;"&amp;$K110)+COUNTIFS(LdgPartyB,$F110,LdgKeyB,"&lt;"&amp;$K110)+1)</f>
        <v/>
      </c>
      <c r="M110">
        <f>IF($L110="","",$F110&amp;"|"&amp;RIGHT("000000"&amp;$L110,6))</f>
        <v/>
      </c>
      <c r="N110">
        <f>IF($F110="","",IF(Sync!$AH110="","0000",IF(AND(ISNUMBER(Sync!$AH110),Sync!$AH110&gt;=0,Sync!$AH110&lt;1),RIGHT("00"&amp;HOUR(Sync!$AH110),2)&amp;RIGHT("00"&amp;MINUTE(Sync!$AH110),2),IFERROR(RIGHT("00"&amp;VALUE(LEFT(Sync!$AH110,FIND(":",Sync!$AH110)-1)),2)&amp;RIGHT("00"&amp;VALUE(MID(Sync!$AH110,FIND(":",Sync!$AH110)+1,2)),2),"0000"))))</f>
        <v/>
      </c>
    </row>
    <row r="111">
      <c r="A111">
        <f>IF(OR(Calc!$E114="",Calc!$E114="نامعتبر",Calc!$G114="",Calc!$I114&lt;&gt;"خرید"),"",Calc!$G114)</f>
        <v/>
      </c>
      <c r="B111">
        <f>IF($A111="","",LEFT(Calc!$E114,4)&amp;MID(Calc!$E114,6,2)&amp;RIGHT(Calc!$E114,2)&amp;Calc!$R114&amp;"|"&amp;"1"&amp;RIGHT("00000"&amp;106,5))</f>
        <v/>
      </c>
      <c r="C111">
        <f>IF($B111="","",COUNTIFS(LdgPartyA,$A111,LdgKeyA,"&lt;"&amp;$B111)+COUNTIFS(LdgPartyB,$A111,LdgKeyB,"&lt;"&amp;$B111)+1)</f>
        <v/>
      </c>
      <c r="D111">
        <f>IF($C111="","",$A111&amp;"|"&amp;RIGHT("000000"&amp;$C111,6))</f>
        <v/>
      </c>
      <c r="F111">
        <f>IF(Sync!$AJ111="","",Sync!$AJ111)</f>
        <v/>
      </c>
      <c r="G111">
        <f>IF($F111="","",IF(Sync!$AG111="","",IF(ISNUMBER(Sync!$AG111),IF(AND(Sync!$AG111&gt;=10000101,Sync!$AG111&lt;=99991231),INT(Sync!$AG111/10000),""),IFERROR(VALUE(TRIM(LEFT(Sync!$AG111,FIND("/",Sync!$AG111)-1))),""))))</f>
        <v/>
      </c>
      <c r="H111">
        <f>IF(OR($F111="",$G111=""),"",IF(ISNUMBER(Sync!$AG111),INT(MOD(Sync!$AG111,10000)/100),IFERROR(VALUE(TRIM(LEFT(MID(Sync!$AG111,FIND("/",Sync!$AG111)+1,20),FIND("/",MID(Sync!$AG111,FIND("/",Sync!$AG111)+1,20))-1))),"")))</f>
        <v/>
      </c>
      <c r="I111">
        <f>IF(OR($F111="",$G111=""),"",IF(ISNUMBER(Sync!$AG111),MOD(Sync!$AG111,100),IFERROR(VALUE(TRIM(MID(MID(Sync!$AG111,FIND("/",Sync!$AG111)+1,20),FIND("/",MID(Sync!$AG111,FIND("/",Sync!$AG111)+1,20))+1,20))),"")))</f>
        <v/>
      </c>
      <c r="J111">
        <f>IF($F111="","",IF(OR($G111="",$H111="",$I111="",$G111&lt;1300,$G111&gt;1500,$H111&lt;1,$H111&gt;12,$I111&lt;1,$I111&gt;31),"نامعتبر",RIGHT("0000"&amp;$G111,4)&amp;"/"&amp;RIGHT("00"&amp;$H111,2)&amp;"/"&amp;RIGHT("00"&amp;$I111,2)))</f>
        <v/>
      </c>
      <c r="K111">
        <f>IF(OR($F111="",$J111="",$J111="نامعتبر"),"",LEFT($J111,4)&amp;MID($J111,6,2)&amp;RIGHT($J111,2)&amp;$N111&amp;"|"&amp;"2"&amp;RIGHT("00000"&amp;106,5))</f>
        <v/>
      </c>
      <c r="L111">
        <f>IF($K111="","",COUNTIFS(LdgPartyA,$F111,LdgKeyA,"&lt;"&amp;$K111)+COUNTIFS(LdgPartyB,$F111,LdgKeyB,"&lt;"&amp;$K111)+1)</f>
        <v/>
      </c>
      <c r="M111">
        <f>IF($L111="","",$F111&amp;"|"&amp;RIGHT("000000"&amp;$L111,6))</f>
        <v/>
      </c>
      <c r="N111">
        <f>IF($F111="","",IF(Sync!$AH111="","0000",IF(AND(ISNUMBER(Sync!$AH111),Sync!$AH111&gt;=0,Sync!$AH111&lt;1),RIGHT("00"&amp;HOUR(Sync!$AH111),2)&amp;RIGHT("00"&amp;MINUTE(Sync!$AH111),2),IFERROR(RIGHT("00"&amp;VALUE(LEFT(Sync!$AH111,FIND(":",Sync!$AH111)-1)),2)&amp;RIGHT("00"&amp;VALUE(MID(Sync!$AH111,FIND(":",Sync!$AH111)+1,2)),2),"0000"))))</f>
        <v/>
      </c>
    </row>
    <row r="112">
      <c r="A112">
        <f>IF(OR(Calc!$E115="",Calc!$E115="نامعتبر",Calc!$G115="",Calc!$I115&lt;&gt;"خرید"),"",Calc!$G115)</f>
        <v/>
      </c>
      <c r="B112">
        <f>IF($A112="","",LEFT(Calc!$E115,4)&amp;MID(Calc!$E115,6,2)&amp;RIGHT(Calc!$E115,2)&amp;Calc!$R115&amp;"|"&amp;"1"&amp;RIGHT("00000"&amp;107,5))</f>
        <v/>
      </c>
      <c r="C112">
        <f>IF($B112="","",COUNTIFS(LdgPartyA,$A112,LdgKeyA,"&lt;"&amp;$B112)+COUNTIFS(LdgPartyB,$A112,LdgKeyB,"&lt;"&amp;$B112)+1)</f>
        <v/>
      </c>
      <c r="D112">
        <f>IF($C112="","",$A112&amp;"|"&amp;RIGHT("000000"&amp;$C112,6))</f>
        <v/>
      </c>
      <c r="F112">
        <f>IF(Sync!$AJ112="","",Sync!$AJ112)</f>
        <v/>
      </c>
      <c r="G112">
        <f>IF($F112="","",IF(Sync!$AG112="","",IF(ISNUMBER(Sync!$AG112),IF(AND(Sync!$AG112&gt;=10000101,Sync!$AG112&lt;=99991231),INT(Sync!$AG112/10000),""),IFERROR(VALUE(TRIM(LEFT(Sync!$AG112,FIND("/",Sync!$AG112)-1))),""))))</f>
        <v/>
      </c>
      <c r="H112">
        <f>IF(OR($F112="",$G112=""),"",IF(ISNUMBER(Sync!$AG112),INT(MOD(Sync!$AG112,10000)/100),IFERROR(VALUE(TRIM(LEFT(MID(Sync!$AG112,FIND("/",Sync!$AG112)+1,20),FIND("/",MID(Sync!$AG112,FIND("/",Sync!$AG112)+1,20))-1))),"")))</f>
        <v/>
      </c>
      <c r="I112">
        <f>IF(OR($F112="",$G112=""),"",IF(ISNUMBER(Sync!$AG112),MOD(Sync!$AG112,100),IFERROR(VALUE(TRIM(MID(MID(Sync!$AG112,FIND("/",Sync!$AG112)+1,20),FIND("/",MID(Sync!$AG112,FIND("/",Sync!$AG112)+1,20))+1,20))),"")))</f>
        <v/>
      </c>
      <c r="J112">
        <f>IF($F112="","",IF(OR($G112="",$H112="",$I112="",$G112&lt;1300,$G112&gt;1500,$H112&lt;1,$H112&gt;12,$I112&lt;1,$I112&gt;31),"نامعتبر",RIGHT("0000"&amp;$G112,4)&amp;"/"&amp;RIGHT("00"&amp;$H112,2)&amp;"/"&amp;RIGHT("00"&amp;$I112,2)))</f>
        <v/>
      </c>
      <c r="K112">
        <f>IF(OR($F112="",$J112="",$J112="نامعتبر"),"",LEFT($J112,4)&amp;MID($J112,6,2)&amp;RIGHT($J112,2)&amp;$N112&amp;"|"&amp;"2"&amp;RIGHT("00000"&amp;107,5))</f>
        <v/>
      </c>
      <c r="L112">
        <f>IF($K112="","",COUNTIFS(LdgPartyA,$F112,LdgKeyA,"&lt;"&amp;$K112)+COUNTIFS(LdgPartyB,$F112,LdgKeyB,"&lt;"&amp;$K112)+1)</f>
        <v/>
      </c>
      <c r="M112">
        <f>IF($L112="","",$F112&amp;"|"&amp;RIGHT("000000"&amp;$L112,6))</f>
        <v/>
      </c>
      <c r="N112">
        <f>IF($F112="","",IF(Sync!$AH112="","0000",IF(AND(ISNUMBER(Sync!$AH112),Sync!$AH112&gt;=0,Sync!$AH112&lt;1),RIGHT("00"&amp;HOUR(Sync!$AH112),2)&amp;RIGHT("00"&amp;MINUTE(Sync!$AH112),2),IFERROR(RIGHT("00"&amp;VALUE(LEFT(Sync!$AH112,FIND(":",Sync!$AH112)-1)),2)&amp;RIGHT("00"&amp;VALUE(MID(Sync!$AH112,FIND(":",Sync!$AH112)+1,2)),2),"0000"))))</f>
        <v/>
      </c>
    </row>
    <row r="113">
      <c r="A113">
        <f>IF(OR(Calc!$E116="",Calc!$E116="نامعتبر",Calc!$G116="",Calc!$I116&lt;&gt;"خرید"),"",Calc!$G116)</f>
        <v/>
      </c>
      <c r="B113">
        <f>IF($A113="","",LEFT(Calc!$E116,4)&amp;MID(Calc!$E116,6,2)&amp;RIGHT(Calc!$E116,2)&amp;Calc!$R116&amp;"|"&amp;"1"&amp;RIGHT("00000"&amp;108,5))</f>
        <v/>
      </c>
      <c r="C113">
        <f>IF($B113="","",COUNTIFS(LdgPartyA,$A113,LdgKeyA,"&lt;"&amp;$B113)+COUNTIFS(LdgPartyB,$A113,LdgKeyB,"&lt;"&amp;$B113)+1)</f>
        <v/>
      </c>
      <c r="D113">
        <f>IF($C113="","",$A113&amp;"|"&amp;RIGHT("000000"&amp;$C113,6))</f>
        <v/>
      </c>
      <c r="F113">
        <f>IF(Sync!$AJ113="","",Sync!$AJ113)</f>
        <v/>
      </c>
      <c r="G113">
        <f>IF($F113="","",IF(Sync!$AG113="","",IF(ISNUMBER(Sync!$AG113),IF(AND(Sync!$AG113&gt;=10000101,Sync!$AG113&lt;=99991231),INT(Sync!$AG113/10000),""),IFERROR(VALUE(TRIM(LEFT(Sync!$AG113,FIND("/",Sync!$AG113)-1))),""))))</f>
        <v/>
      </c>
      <c r="H113">
        <f>IF(OR($F113="",$G113=""),"",IF(ISNUMBER(Sync!$AG113),INT(MOD(Sync!$AG113,10000)/100),IFERROR(VALUE(TRIM(LEFT(MID(Sync!$AG113,FIND("/",Sync!$AG113)+1,20),FIND("/",MID(Sync!$AG113,FIND("/",Sync!$AG113)+1,20))-1))),"")))</f>
        <v/>
      </c>
      <c r="I113">
        <f>IF(OR($F113="",$G113=""),"",IF(ISNUMBER(Sync!$AG113),MOD(Sync!$AG113,100),IFERROR(VALUE(TRIM(MID(MID(Sync!$AG113,FIND("/",Sync!$AG113)+1,20),FIND("/",MID(Sync!$AG113,FIND("/",Sync!$AG113)+1,20))+1,20))),"")))</f>
        <v/>
      </c>
      <c r="J113">
        <f>IF($F113="","",IF(OR($G113="",$H113="",$I113="",$G113&lt;1300,$G113&gt;1500,$H113&lt;1,$H113&gt;12,$I113&lt;1,$I113&gt;31),"نامعتبر",RIGHT("0000"&amp;$G113,4)&amp;"/"&amp;RIGHT("00"&amp;$H113,2)&amp;"/"&amp;RIGHT("00"&amp;$I113,2)))</f>
        <v/>
      </c>
      <c r="K113">
        <f>IF(OR($F113="",$J113="",$J113="نامعتبر"),"",LEFT($J113,4)&amp;MID($J113,6,2)&amp;RIGHT($J113,2)&amp;$N113&amp;"|"&amp;"2"&amp;RIGHT("00000"&amp;108,5))</f>
        <v/>
      </c>
      <c r="L113">
        <f>IF($K113="","",COUNTIFS(LdgPartyA,$F113,LdgKeyA,"&lt;"&amp;$K113)+COUNTIFS(LdgPartyB,$F113,LdgKeyB,"&lt;"&amp;$K113)+1)</f>
        <v/>
      </c>
      <c r="M113">
        <f>IF($L113="","",$F113&amp;"|"&amp;RIGHT("000000"&amp;$L113,6))</f>
        <v/>
      </c>
      <c r="N113">
        <f>IF($F113="","",IF(Sync!$AH113="","0000",IF(AND(ISNUMBER(Sync!$AH113),Sync!$AH113&gt;=0,Sync!$AH113&lt;1),RIGHT("00"&amp;HOUR(Sync!$AH113),2)&amp;RIGHT("00"&amp;MINUTE(Sync!$AH113),2),IFERROR(RIGHT("00"&amp;VALUE(LEFT(Sync!$AH113,FIND(":",Sync!$AH113)-1)),2)&amp;RIGHT("00"&amp;VALUE(MID(Sync!$AH113,FIND(":",Sync!$AH113)+1,2)),2),"0000"))))</f>
        <v/>
      </c>
    </row>
    <row r="114">
      <c r="A114">
        <f>IF(OR(Calc!$E117="",Calc!$E117="نامعتبر",Calc!$G117="",Calc!$I117&lt;&gt;"خرید"),"",Calc!$G117)</f>
        <v/>
      </c>
      <c r="B114">
        <f>IF($A114="","",LEFT(Calc!$E117,4)&amp;MID(Calc!$E117,6,2)&amp;RIGHT(Calc!$E117,2)&amp;Calc!$R117&amp;"|"&amp;"1"&amp;RIGHT("00000"&amp;109,5))</f>
        <v/>
      </c>
      <c r="C114">
        <f>IF($B114="","",COUNTIFS(LdgPartyA,$A114,LdgKeyA,"&lt;"&amp;$B114)+COUNTIFS(LdgPartyB,$A114,LdgKeyB,"&lt;"&amp;$B114)+1)</f>
        <v/>
      </c>
      <c r="D114">
        <f>IF($C114="","",$A114&amp;"|"&amp;RIGHT("000000"&amp;$C114,6))</f>
        <v/>
      </c>
      <c r="F114">
        <f>IF(Sync!$AJ114="","",Sync!$AJ114)</f>
        <v/>
      </c>
      <c r="G114">
        <f>IF($F114="","",IF(Sync!$AG114="","",IF(ISNUMBER(Sync!$AG114),IF(AND(Sync!$AG114&gt;=10000101,Sync!$AG114&lt;=99991231),INT(Sync!$AG114/10000),""),IFERROR(VALUE(TRIM(LEFT(Sync!$AG114,FIND("/",Sync!$AG114)-1))),""))))</f>
        <v/>
      </c>
      <c r="H114">
        <f>IF(OR($F114="",$G114=""),"",IF(ISNUMBER(Sync!$AG114),INT(MOD(Sync!$AG114,10000)/100),IFERROR(VALUE(TRIM(LEFT(MID(Sync!$AG114,FIND("/",Sync!$AG114)+1,20),FIND("/",MID(Sync!$AG114,FIND("/",Sync!$AG114)+1,20))-1))),"")))</f>
        <v/>
      </c>
      <c r="I114">
        <f>IF(OR($F114="",$G114=""),"",IF(ISNUMBER(Sync!$AG114),MOD(Sync!$AG114,100),IFERROR(VALUE(TRIM(MID(MID(Sync!$AG114,FIND("/",Sync!$AG114)+1,20),FIND("/",MID(Sync!$AG114,FIND("/",Sync!$AG114)+1,20))+1,20))),"")))</f>
        <v/>
      </c>
      <c r="J114">
        <f>IF($F114="","",IF(OR($G114="",$H114="",$I114="",$G114&lt;1300,$G114&gt;1500,$H114&lt;1,$H114&gt;12,$I114&lt;1,$I114&gt;31),"نامعتبر",RIGHT("0000"&amp;$G114,4)&amp;"/"&amp;RIGHT("00"&amp;$H114,2)&amp;"/"&amp;RIGHT("00"&amp;$I114,2)))</f>
        <v/>
      </c>
      <c r="K114">
        <f>IF(OR($F114="",$J114="",$J114="نامعتبر"),"",LEFT($J114,4)&amp;MID($J114,6,2)&amp;RIGHT($J114,2)&amp;$N114&amp;"|"&amp;"2"&amp;RIGHT("00000"&amp;109,5))</f>
        <v/>
      </c>
      <c r="L114">
        <f>IF($K114="","",COUNTIFS(LdgPartyA,$F114,LdgKeyA,"&lt;"&amp;$K114)+COUNTIFS(LdgPartyB,$F114,LdgKeyB,"&lt;"&amp;$K114)+1)</f>
        <v/>
      </c>
      <c r="M114">
        <f>IF($L114="","",$F114&amp;"|"&amp;RIGHT("000000"&amp;$L114,6))</f>
        <v/>
      </c>
      <c r="N114">
        <f>IF($F114="","",IF(Sync!$AH114="","0000",IF(AND(ISNUMBER(Sync!$AH114),Sync!$AH114&gt;=0,Sync!$AH114&lt;1),RIGHT("00"&amp;HOUR(Sync!$AH114),2)&amp;RIGHT("00"&amp;MINUTE(Sync!$AH114),2),IFERROR(RIGHT("00"&amp;VALUE(LEFT(Sync!$AH114,FIND(":",Sync!$AH114)-1)),2)&amp;RIGHT("00"&amp;VALUE(MID(Sync!$AH114,FIND(":",Sync!$AH114)+1,2)),2),"0000"))))</f>
        <v/>
      </c>
    </row>
    <row r="115">
      <c r="A115">
        <f>IF(OR(Calc!$E118="",Calc!$E118="نامعتبر",Calc!$G118="",Calc!$I118&lt;&gt;"خرید"),"",Calc!$G118)</f>
        <v/>
      </c>
      <c r="B115">
        <f>IF($A115="","",LEFT(Calc!$E118,4)&amp;MID(Calc!$E118,6,2)&amp;RIGHT(Calc!$E118,2)&amp;Calc!$R118&amp;"|"&amp;"1"&amp;RIGHT("00000"&amp;110,5))</f>
        <v/>
      </c>
      <c r="C115">
        <f>IF($B115="","",COUNTIFS(LdgPartyA,$A115,LdgKeyA,"&lt;"&amp;$B115)+COUNTIFS(LdgPartyB,$A115,LdgKeyB,"&lt;"&amp;$B115)+1)</f>
        <v/>
      </c>
      <c r="D115">
        <f>IF($C115="","",$A115&amp;"|"&amp;RIGHT("000000"&amp;$C115,6))</f>
        <v/>
      </c>
      <c r="F115">
        <f>IF(Sync!$AJ115="","",Sync!$AJ115)</f>
        <v/>
      </c>
      <c r="G115">
        <f>IF($F115="","",IF(Sync!$AG115="","",IF(ISNUMBER(Sync!$AG115),IF(AND(Sync!$AG115&gt;=10000101,Sync!$AG115&lt;=99991231),INT(Sync!$AG115/10000),""),IFERROR(VALUE(TRIM(LEFT(Sync!$AG115,FIND("/",Sync!$AG115)-1))),""))))</f>
        <v/>
      </c>
      <c r="H115">
        <f>IF(OR($F115="",$G115=""),"",IF(ISNUMBER(Sync!$AG115),INT(MOD(Sync!$AG115,10000)/100),IFERROR(VALUE(TRIM(LEFT(MID(Sync!$AG115,FIND("/",Sync!$AG115)+1,20),FIND("/",MID(Sync!$AG115,FIND("/",Sync!$AG115)+1,20))-1))),"")))</f>
        <v/>
      </c>
      <c r="I115">
        <f>IF(OR($F115="",$G115=""),"",IF(ISNUMBER(Sync!$AG115),MOD(Sync!$AG115,100),IFERROR(VALUE(TRIM(MID(MID(Sync!$AG115,FIND("/",Sync!$AG115)+1,20),FIND("/",MID(Sync!$AG115,FIND("/",Sync!$AG115)+1,20))+1,20))),"")))</f>
        <v/>
      </c>
      <c r="J115">
        <f>IF($F115="","",IF(OR($G115="",$H115="",$I115="",$G115&lt;1300,$G115&gt;1500,$H115&lt;1,$H115&gt;12,$I115&lt;1,$I115&gt;31),"نامعتبر",RIGHT("0000"&amp;$G115,4)&amp;"/"&amp;RIGHT("00"&amp;$H115,2)&amp;"/"&amp;RIGHT("00"&amp;$I115,2)))</f>
        <v/>
      </c>
      <c r="K115">
        <f>IF(OR($F115="",$J115="",$J115="نامعتبر"),"",LEFT($J115,4)&amp;MID($J115,6,2)&amp;RIGHT($J115,2)&amp;$N115&amp;"|"&amp;"2"&amp;RIGHT("00000"&amp;110,5))</f>
        <v/>
      </c>
      <c r="L115">
        <f>IF($K115="","",COUNTIFS(LdgPartyA,$F115,LdgKeyA,"&lt;"&amp;$K115)+COUNTIFS(LdgPartyB,$F115,LdgKeyB,"&lt;"&amp;$K115)+1)</f>
        <v/>
      </c>
      <c r="M115">
        <f>IF($L115="","",$F115&amp;"|"&amp;RIGHT("000000"&amp;$L115,6))</f>
        <v/>
      </c>
      <c r="N115">
        <f>IF($F115="","",IF(Sync!$AH115="","0000",IF(AND(ISNUMBER(Sync!$AH115),Sync!$AH115&gt;=0,Sync!$AH115&lt;1),RIGHT("00"&amp;HOUR(Sync!$AH115),2)&amp;RIGHT("00"&amp;MINUTE(Sync!$AH115),2),IFERROR(RIGHT("00"&amp;VALUE(LEFT(Sync!$AH115,FIND(":",Sync!$AH115)-1)),2)&amp;RIGHT("00"&amp;VALUE(MID(Sync!$AH115,FIND(":",Sync!$AH115)+1,2)),2),"0000"))))</f>
        <v/>
      </c>
    </row>
    <row r="116">
      <c r="A116">
        <f>IF(OR(Calc!$E119="",Calc!$E119="نامعتبر",Calc!$G119="",Calc!$I119&lt;&gt;"خرید"),"",Calc!$G119)</f>
        <v/>
      </c>
      <c r="B116">
        <f>IF($A116="","",LEFT(Calc!$E119,4)&amp;MID(Calc!$E119,6,2)&amp;RIGHT(Calc!$E119,2)&amp;Calc!$R119&amp;"|"&amp;"1"&amp;RIGHT("00000"&amp;111,5))</f>
        <v/>
      </c>
      <c r="C116">
        <f>IF($B116="","",COUNTIFS(LdgPartyA,$A116,LdgKeyA,"&lt;"&amp;$B116)+COUNTIFS(LdgPartyB,$A116,LdgKeyB,"&lt;"&amp;$B116)+1)</f>
        <v/>
      </c>
      <c r="D116">
        <f>IF($C116="","",$A116&amp;"|"&amp;RIGHT("000000"&amp;$C116,6))</f>
        <v/>
      </c>
      <c r="F116">
        <f>IF(Sync!$AJ116="","",Sync!$AJ116)</f>
        <v/>
      </c>
      <c r="G116">
        <f>IF($F116="","",IF(Sync!$AG116="","",IF(ISNUMBER(Sync!$AG116),IF(AND(Sync!$AG116&gt;=10000101,Sync!$AG116&lt;=99991231),INT(Sync!$AG116/10000),""),IFERROR(VALUE(TRIM(LEFT(Sync!$AG116,FIND("/",Sync!$AG116)-1))),""))))</f>
        <v/>
      </c>
      <c r="H116">
        <f>IF(OR($F116="",$G116=""),"",IF(ISNUMBER(Sync!$AG116),INT(MOD(Sync!$AG116,10000)/100),IFERROR(VALUE(TRIM(LEFT(MID(Sync!$AG116,FIND("/",Sync!$AG116)+1,20),FIND("/",MID(Sync!$AG116,FIND("/",Sync!$AG116)+1,20))-1))),"")))</f>
        <v/>
      </c>
      <c r="I116">
        <f>IF(OR($F116="",$G116=""),"",IF(ISNUMBER(Sync!$AG116),MOD(Sync!$AG116,100),IFERROR(VALUE(TRIM(MID(MID(Sync!$AG116,FIND("/",Sync!$AG116)+1,20),FIND("/",MID(Sync!$AG116,FIND("/",Sync!$AG116)+1,20))+1,20))),"")))</f>
        <v/>
      </c>
      <c r="J116">
        <f>IF($F116="","",IF(OR($G116="",$H116="",$I116="",$G116&lt;1300,$G116&gt;1500,$H116&lt;1,$H116&gt;12,$I116&lt;1,$I116&gt;31),"نامعتبر",RIGHT("0000"&amp;$G116,4)&amp;"/"&amp;RIGHT("00"&amp;$H116,2)&amp;"/"&amp;RIGHT("00"&amp;$I116,2)))</f>
        <v/>
      </c>
      <c r="K116">
        <f>IF(OR($F116="",$J116="",$J116="نامعتبر"),"",LEFT($J116,4)&amp;MID($J116,6,2)&amp;RIGHT($J116,2)&amp;$N116&amp;"|"&amp;"2"&amp;RIGHT("00000"&amp;111,5))</f>
        <v/>
      </c>
      <c r="L116">
        <f>IF($K116="","",COUNTIFS(LdgPartyA,$F116,LdgKeyA,"&lt;"&amp;$K116)+COUNTIFS(LdgPartyB,$F116,LdgKeyB,"&lt;"&amp;$K116)+1)</f>
        <v/>
      </c>
      <c r="M116">
        <f>IF($L116="","",$F116&amp;"|"&amp;RIGHT("000000"&amp;$L116,6))</f>
        <v/>
      </c>
      <c r="N116">
        <f>IF($F116="","",IF(Sync!$AH116="","0000",IF(AND(ISNUMBER(Sync!$AH116),Sync!$AH116&gt;=0,Sync!$AH116&lt;1),RIGHT("00"&amp;HOUR(Sync!$AH116),2)&amp;RIGHT("00"&amp;MINUTE(Sync!$AH116),2),IFERROR(RIGHT("00"&amp;VALUE(LEFT(Sync!$AH116,FIND(":",Sync!$AH116)-1)),2)&amp;RIGHT("00"&amp;VALUE(MID(Sync!$AH116,FIND(":",Sync!$AH116)+1,2)),2),"0000"))))</f>
        <v/>
      </c>
    </row>
    <row r="117">
      <c r="A117">
        <f>IF(OR(Calc!$E120="",Calc!$E120="نامعتبر",Calc!$G120="",Calc!$I120&lt;&gt;"خرید"),"",Calc!$G120)</f>
        <v/>
      </c>
      <c r="B117">
        <f>IF($A117="","",LEFT(Calc!$E120,4)&amp;MID(Calc!$E120,6,2)&amp;RIGHT(Calc!$E120,2)&amp;Calc!$R120&amp;"|"&amp;"1"&amp;RIGHT("00000"&amp;112,5))</f>
        <v/>
      </c>
      <c r="C117">
        <f>IF($B117="","",COUNTIFS(LdgPartyA,$A117,LdgKeyA,"&lt;"&amp;$B117)+COUNTIFS(LdgPartyB,$A117,LdgKeyB,"&lt;"&amp;$B117)+1)</f>
        <v/>
      </c>
      <c r="D117">
        <f>IF($C117="","",$A117&amp;"|"&amp;RIGHT("000000"&amp;$C117,6))</f>
        <v/>
      </c>
      <c r="F117">
        <f>IF(Sync!$AJ117="","",Sync!$AJ117)</f>
        <v/>
      </c>
      <c r="G117">
        <f>IF($F117="","",IF(Sync!$AG117="","",IF(ISNUMBER(Sync!$AG117),IF(AND(Sync!$AG117&gt;=10000101,Sync!$AG117&lt;=99991231),INT(Sync!$AG117/10000),""),IFERROR(VALUE(TRIM(LEFT(Sync!$AG117,FIND("/",Sync!$AG117)-1))),""))))</f>
        <v/>
      </c>
      <c r="H117">
        <f>IF(OR($F117="",$G117=""),"",IF(ISNUMBER(Sync!$AG117),INT(MOD(Sync!$AG117,10000)/100),IFERROR(VALUE(TRIM(LEFT(MID(Sync!$AG117,FIND("/",Sync!$AG117)+1,20),FIND("/",MID(Sync!$AG117,FIND("/",Sync!$AG117)+1,20))-1))),"")))</f>
        <v/>
      </c>
      <c r="I117">
        <f>IF(OR($F117="",$G117=""),"",IF(ISNUMBER(Sync!$AG117),MOD(Sync!$AG117,100),IFERROR(VALUE(TRIM(MID(MID(Sync!$AG117,FIND("/",Sync!$AG117)+1,20),FIND("/",MID(Sync!$AG117,FIND("/",Sync!$AG117)+1,20))+1,20))),"")))</f>
        <v/>
      </c>
      <c r="J117">
        <f>IF($F117="","",IF(OR($G117="",$H117="",$I117="",$G117&lt;1300,$G117&gt;1500,$H117&lt;1,$H117&gt;12,$I117&lt;1,$I117&gt;31),"نامعتبر",RIGHT("0000"&amp;$G117,4)&amp;"/"&amp;RIGHT("00"&amp;$H117,2)&amp;"/"&amp;RIGHT("00"&amp;$I117,2)))</f>
        <v/>
      </c>
      <c r="K117">
        <f>IF(OR($F117="",$J117="",$J117="نامعتبر"),"",LEFT($J117,4)&amp;MID($J117,6,2)&amp;RIGHT($J117,2)&amp;$N117&amp;"|"&amp;"2"&amp;RIGHT("00000"&amp;112,5))</f>
        <v/>
      </c>
      <c r="L117">
        <f>IF($K117="","",COUNTIFS(LdgPartyA,$F117,LdgKeyA,"&lt;"&amp;$K117)+COUNTIFS(LdgPartyB,$F117,LdgKeyB,"&lt;"&amp;$K117)+1)</f>
        <v/>
      </c>
      <c r="M117">
        <f>IF($L117="","",$F117&amp;"|"&amp;RIGHT("000000"&amp;$L117,6))</f>
        <v/>
      </c>
      <c r="N117">
        <f>IF($F117="","",IF(Sync!$AH117="","0000",IF(AND(ISNUMBER(Sync!$AH117),Sync!$AH117&gt;=0,Sync!$AH117&lt;1),RIGHT("00"&amp;HOUR(Sync!$AH117),2)&amp;RIGHT("00"&amp;MINUTE(Sync!$AH117),2),IFERROR(RIGHT("00"&amp;VALUE(LEFT(Sync!$AH117,FIND(":",Sync!$AH117)-1)),2)&amp;RIGHT("00"&amp;VALUE(MID(Sync!$AH117,FIND(":",Sync!$AH117)+1,2)),2),"0000"))))</f>
        <v/>
      </c>
    </row>
    <row r="118">
      <c r="A118">
        <f>IF(OR(Calc!$E121="",Calc!$E121="نامعتبر",Calc!$G121="",Calc!$I121&lt;&gt;"خرید"),"",Calc!$G121)</f>
        <v/>
      </c>
      <c r="B118">
        <f>IF($A118="","",LEFT(Calc!$E121,4)&amp;MID(Calc!$E121,6,2)&amp;RIGHT(Calc!$E121,2)&amp;Calc!$R121&amp;"|"&amp;"1"&amp;RIGHT("00000"&amp;113,5))</f>
        <v/>
      </c>
      <c r="C118">
        <f>IF($B118="","",COUNTIFS(LdgPartyA,$A118,LdgKeyA,"&lt;"&amp;$B118)+COUNTIFS(LdgPartyB,$A118,LdgKeyB,"&lt;"&amp;$B118)+1)</f>
        <v/>
      </c>
      <c r="D118">
        <f>IF($C118="","",$A118&amp;"|"&amp;RIGHT("000000"&amp;$C118,6))</f>
        <v/>
      </c>
      <c r="F118">
        <f>IF(Sync!$AJ118="","",Sync!$AJ118)</f>
        <v/>
      </c>
      <c r="G118">
        <f>IF($F118="","",IF(Sync!$AG118="","",IF(ISNUMBER(Sync!$AG118),IF(AND(Sync!$AG118&gt;=10000101,Sync!$AG118&lt;=99991231),INT(Sync!$AG118/10000),""),IFERROR(VALUE(TRIM(LEFT(Sync!$AG118,FIND("/",Sync!$AG118)-1))),""))))</f>
        <v/>
      </c>
      <c r="H118">
        <f>IF(OR($F118="",$G118=""),"",IF(ISNUMBER(Sync!$AG118),INT(MOD(Sync!$AG118,10000)/100),IFERROR(VALUE(TRIM(LEFT(MID(Sync!$AG118,FIND("/",Sync!$AG118)+1,20),FIND("/",MID(Sync!$AG118,FIND("/",Sync!$AG118)+1,20))-1))),"")))</f>
        <v/>
      </c>
      <c r="I118">
        <f>IF(OR($F118="",$G118=""),"",IF(ISNUMBER(Sync!$AG118),MOD(Sync!$AG118,100),IFERROR(VALUE(TRIM(MID(MID(Sync!$AG118,FIND("/",Sync!$AG118)+1,20),FIND("/",MID(Sync!$AG118,FIND("/",Sync!$AG118)+1,20))+1,20))),"")))</f>
        <v/>
      </c>
      <c r="J118">
        <f>IF($F118="","",IF(OR($G118="",$H118="",$I118="",$G118&lt;1300,$G118&gt;1500,$H118&lt;1,$H118&gt;12,$I118&lt;1,$I118&gt;31),"نامعتبر",RIGHT("0000"&amp;$G118,4)&amp;"/"&amp;RIGHT("00"&amp;$H118,2)&amp;"/"&amp;RIGHT("00"&amp;$I118,2)))</f>
        <v/>
      </c>
      <c r="K118">
        <f>IF(OR($F118="",$J118="",$J118="نامعتبر"),"",LEFT($J118,4)&amp;MID($J118,6,2)&amp;RIGHT($J118,2)&amp;$N118&amp;"|"&amp;"2"&amp;RIGHT("00000"&amp;113,5))</f>
        <v/>
      </c>
      <c r="L118">
        <f>IF($K118="","",COUNTIFS(LdgPartyA,$F118,LdgKeyA,"&lt;"&amp;$K118)+COUNTIFS(LdgPartyB,$F118,LdgKeyB,"&lt;"&amp;$K118)+1)</f>
        <v/>
      </c>
      <c r="M118">
        <f>IF($L118="","",$F118&amp;"|"&amp;RIGHT("000000"&amp;$L118,6))</f>
        <v/>
      </c>
      <c r="N118">
        <f>IF($F118="","",IF(Sync!$AH118="","0000",IF(AND(ISNUMBER(Sync!$AH118),Sync!$AH118&gt;=0,Sync!$AH118&lt;1),RIGHT("00"&amp;HOUR(Sync!$AH118),2)&amp;RIGHT("00"&amp;MINUTE(Sync!$AH118),2),IFERROR(RIGHT("00"&amp;VALUE(LEFT(Sync!$AH118,FIND(":",Sync!$AH118)-1)),2)&amp;RIGHT("00"&amp;VALUE(MID(Sync!$AH118,FIND(":",Sync!$AH118)+1,2)),2),"0000"))))</f>
        <v/>
      </c>
    </row>
    <row r="119">
      <c r="A119">
        <f>IF(OR(Calc!$E122="",Calc!$E122="نامعتبر",Calc!$G122="",Calc!$I122&lt;&gt;"خرید"),"",Calc!$G122)</f>
        <v/>
      </c>
      <c r="B119">
        <f>IF($A119="","",LEFT(Calc!$E122,4)&amp;MID(Calc!$E122,6,2)&amp;RIGHT(Calc!$E122,2)&amp;Calc!$R122&amp;"|"&amp;"1"&amp;RIGHT("00000"&amp;114,5))</f>
        <v/>
      </c>
      <c r="C119">
        <f>IF($B119="","",COUNTIFS(LdgPartyA,$A119,LdgKeyA,"&lt;"&amp;$B119)+COUNTIFS(LdgPartyB,$A119,LdgKeyB,"&lt;"&amp;$B119)+1)</f>
        <v/>
      </c>
      <c r="D119">
        <f>IF($C119="","",$A119&amp;"|"&amp;RIGHT("000000"&amp;$C119,6))</f>
        <v/>
      </c>
      <c r="F119">
        <f>IF(Sync!$AJ119="","",Sync!$AJ119)</f>
        <v/>
      </c>
      <c r="G119">
        <f>IF($F119="","",IF(Sync!$AG119="","",IF(ISNUMBER(Sync!$AG119),IF(AND(Sync!$AG119&gt;=10000101,Sync!$AG119&lt;=99991231),INT(Sync!$AG119/10000),""),IFERROR(VALUE(TRIM(LEFT(Sync!$AG119,FIND("/",Sync!$AG119)-1))),""))))</f>
        <v/>
      </c>
      <c r="H119">
        <f>IF(OR($F119="",$G119=""),"",IF(ISNUMBER(Sync!$AG119),INT(MOD(Sync!$AG119,10000)/100),IFERROR(VALUE(TRIM(LEFT(MID(Sync!$AG119,FIND("/",Sync!$AG119)+1,20),FIND("/",MID(Sync!$AG119,FIND("/",Sync!$AG119)+1,20))-1))),"")))</f>
        <v/>
      </c>
      <c r="I119">
        <f>IF(OR($F119="",$G119=""),"",IF(ISNUMBER(Sync!$AG119),MOD(Sync!$AG119,100),IFERROR(VALUE(TRIM(MID(MID(Sync!$AG119,FIND("/",Sync!$AG119)+1,20),FIND("/",MID(Sync!$AG119,FIND("/",Sync!$AG119)+1,20))+1,20))),"")))</f>
        <v/>
      </c>
      <c r="J119">
        <f>IF($F119="","",IF(OR($G119="",$H119="",$I119="",$G119&lt;1300,$G119&gt;1500,$H119&lt;1,$H119&gt;12,$I119&lt;1,$I119&gt;31),"نامعتبر",RIGHT("0000"&amp;$G119,4)&amp;"/"&amp;RIGHT("00"&amp;$H119,2)&amp;"/"&amp;RIGHT("00"&amp;$I119,2)))</f>
        <v/>
      </c>
      <c r="K119">
        <f>IF(OR($F119="",$J119="",$J119="نامعتبر"),"",LEFT($J119,4)&amp;MID($J119,6,2)&amp;RIGHT($J119,2)&amp;$N119&amp;"|"&amp;"2"&amp;RIGHT("00000"&amp;114,5))</f>
        <v/>
      </c>
      <c r="L119">
        <f>IF($K119="","",COUNTIFS(LdgPartyA,$F119,LdgKeyA,"&lt;"&amp;$K119)+COUNTIFS(LdgPartyB,$F119,LdgKeyB,"&lt;"&amp;$K119)+1)</f>
        <v/>
      </c>
      <c r="M119">
        <f>IF($L119="","",$F119&amp;"|"&amp;RIGHT("000000"&amp;$L119,6))</f>
        <v/>
      </c>
      <c r="N119">
        <f>IF($F119="","",IF(Sync!$AH119="","0000",IF(AND(ISNUMBER(Sync!$AH119),Sync!$AH119&gt;=0,Sync!$AH119&lt;1),RIGHT("00"&amp;HOUR(Sync!$AH119),2)&amp;RIGHT("00"&amp;MINUTE(Sync!$AH119),2),IFERROR(RIGHT("00"&amp;VALUE(LEFT(Sync!$AH119,FIND(":",Sync!$AH119)-1)),2)&amp;RIGHT("00"&amp;VALUE(MID(Sync!$AH119,FIND(":",Sync!$AH119)+1,2)),2),"0000"))))</f>
        <v/>
      </c>
    </row>
    <row r="120">
      <c r="A120">
        <f>IF(OR(Calc!$E123="",Calc!$E123="نامعتبر",Calc!$G123="",Calc!$I123&lt;&gt;"خرید"),"",Calc!$G123)</f>
        <v/>
      </c>
      <c r="B120">
        <f>IF($A120="","",LEFT(Calc!$E123,4)&amp;MID(Calc!$E123,6,2)&amp;RIGHT(Calc!$E123,2)&amp;Calc!$R123&amp;"|"&amp;"1"&amp;RIGHT("00000"&amp;115,5))</f>
        <v/>
      </c>
      <c r="C120">
        <f>IF($B120="","",COUNTIFS(LdgPartyA,$A120,LdgKeyA,"&lt;"&amp;$B120)+COUNTIFS(LdgPartyB,$A120,LdgKeyB,"&lt;"&amp;$B120)+1)</f>
        <v/>
      </c>
      <c r="D120">
        <f>IF($C120="","",$A120&amp;"|"&amp;RIGHT("000000"&amp;$C120,6))</f>
        <v/>
      </c>
      <c r="F120">
        <f>IF(Sync!$AJ120="","",Sync!$AJ120)</f>
        <v/>
      </c>
      <c r="G120">
        <f>IF($F120="","",IF(Sync!$AG120="","",IF(ISNUMBER(Sync!$AG120),IF(AND(Sync!$AG120&gt;=10000101,Sync!$AG120&lt;=99991231),INT(Sync!$AG120/10000),""),IFERROR(VALUE(TRIM(LEFT(Sync!$AG120,FIND("/",Sync!$AG120)-1))),""))))</f>
        <v/>
      </c>
      <c r="H120">
        <f>IF(OR($F120="",$G120=""),"",IF(ISNUMBER(Sync!$AG120),INT(MOD(Sync!$AG120,10000)/100),IFERROR(VALUE(TRIM(LEFT(MID(Sync!$AG120,FIND("/",Sync!$AG120)+1,20),FIND("/",MID(Sync!$AG120,FIND("/",Sync!$AG120)+1,20))-1))),"")))</f>
        <v/>
      </c>
      <c r="I120">
        <f>IF(OR($F120="",$G120=""),"",IF(ISNUMBER(Sync!$AG120),MOD(Sync!$AG120,100),IFERROR(VALUE(TRIM(MID(MID(Sync!$AG120,FIND("/",Sync!$AG120)+1,20),FIND("/",MID(Sync!$AG120,FIND("/",Sync!$AG120)+1,20))+1,20))),"")))</f>
        <v/>
      </c>
      <c r="J120">
        <f>IF($F120="","",IF(OR($G120="",$H120="",$I120="",$G120&lt;1300,$G120&gt;1500,$H120&lt;1,$H120&gt;12,$I120&lt;1,$I120&gt;31),"نامعتبر",RIGHT("0000"&amp;$G120,4)&amp;"/"&amp;RIGHT("00"&amp;$H120,2)&amp;"/"&amp;RIGHT("00"&amp;$I120,2)))</f>
        <v/>
      </c>
      <c r="K120">
        <f>IF(OR($F120="",$J120="",$J120="نامعتبر"),"",LEFT($J120,4)&amp;MID($J120,6,2)&amp;RIGHT($J120,2)&amp;$N120&amp;"|"&amp;"2"&amp;RIGHT("00000"&amp;115,5))</f>
        <v/>
      </c>
      <c r="L120">
        <f>IF($K120="","",COUNTIFS(LdgPartyA,$F120,LdgKeyA,"&lt;"&amp;$K120)+COUNTIFS(LdgPartyB,$F120,LdgKeyB,"&lt;"&amp;$K120)+1)</f>
        <v/>
      </c>
      <c r="M120">
        <f>IF($L120="","",$F120&amp;"|"&amp;RIGHT("000000"&amp;$L120,6))</f>
        <v/>
      </c>
      <c r="N120">
        <f>IF($F120="","",IF(Sync!$AH120="","0000",IF(AND(ISNUMBER(Sync!$AH120),Sync!$AH120&gt;=0,Sync!$AH120&lt;1),RIGHT("00"&amp;HOUR(Sync!$AH120),2)&amp;RIGHT("00"&amp;MINUTE(Sync!$AH120),2),IFERROR(RIGHT("00"&amp;VALUE(LEFT(Sync!$AH120,FIND(":",Sync!$AH120)-1)),2)&amp;RIGHT("00"&amp;VALUE(MID(Sync!$AH120,FIND(":",Sync!$AH120)+1,2)),2),"0000"))))</f>
        <v/>
      </c>
    </row>
    <row r="121">
      <c r="A121">
        <f>IF(OR(Calc!$E124="",Calc!$E124="نامعتبر",Calc!$G124="",Calc!$I124&lt;&gt;"خرید"),"",Calc!$G124)</f>
        <v/>
      </c>
      <c r="B121">
        <f>IF($A121="","",LEFT(Calc!$E124,4)&amp;MID(Calc!$E124,6,2)&amp;RIGHT(Calc!$E124,2)&amp;Calc!$R124&amp;"|"&amp;"1"&amp;RIGHT("00000"&amp;116,5))</f>
        <v/>
      </c>
      <c r="C121">
        <f>IF($B121="","",COUNTIFS(LdgPartyA,$A121,LdgKeyA,"&lt;"&amp;$B121)+COUNTIFS(LdgPartyB,$A121,LdgKeyB,"&lt;"&amp;$B121)+1)</f>
        <v/>
      </c>
      <c r="D121">
        <f>IF($C121="","",$A121&amp;"|"&amp;RIGHT("000000"&amp;$C121,6))</f>
        <v/>
      </c>
      <c r="F121">
        <f>IF(Sync!$AJ121="","",Sync!$AJ121)</f>
        <v/>
      </c>
      <c r="G121">
        <f>IF($F121="","",IF(Sync!$AG121="","",IF(ISNUMBER(Sync!$AG121),IF(AND(Sync!$AG121&gt;=10000101,Sync!$AG121&lt;=99991231),INT(Sync!$AG121/10000),""),IFERROR(VALUE(TRIM(LEFT(Sync!$AG121,FIND("/",Sync!$AG121)-1))),""))))</f>
        <v/>
      </c>
      <c r="H121">
        <f>IF(OR($F121="",$G121=""),"",IF(ISNUMBER(Sync!$AG121),INT(MOD(Sync!$AG121,10000)/100),IFERROR(VALUE(TRIM(LEFT(MID(Sync!$AG121,FIND("/",Sync!$AG121)+1,20),FIND("/",MID(Sync!$AG121,FIND("/",Sync!$AG121)+1,20))-1))),"")))</f>
        <v/>
      </c>
      <c r="I121">
        <f>IF(OR($F121="",$G121=""),"",IF(ISNUMBER(Sync!$AG121),MOD(Sync!$AG121,100),IFERROR(VALUE(TRIM(MID(MID(Sync!$AG121,FIND("/",Sync!$AG121)+1,20),FIND("/",MID(Sync!$AG121,FIND("/",Sync!$AG121)+1,20))+1,20))),"")))</f>
        <v/>
      </c>
      <c r="J121">
        <f>IF($F121="","",IF(OR($G121="",$H121="",$I121="",$G121&lt;1300,$G121&gt;1500,$H121&lt;1,$H121&gt;12,$I121&lt;1,$I121&gt;31),"نامعتبر",RIGHT("0000"&amp;$G121,4)&amp;"/"&amp;RIGHT("00"&amp;$H121,2)&amp;"/"&amp;RIGHT("00"&amp;$I121,2)))</f>
        <v/>
      </c>
      <c r="K121">
        <f>IF(OR($F121="",$J121="",$J121="نامعتبر"),"",LEFT($J121,4)&amp;MID($J121,6,2)&amp;RIGHT($J121,2)&amp;$N121&amp;"|"&amp;"2"&amp;RIGHT("00000"&amp;116,5))</f>
        <v/>
      </c>
      <c r="L121">
        <f>IF($K121="","",COUNTIFS(LdgPartyA,$F121,LdgKeyA,"&lt;"&amp;$K121)+COUNTIFS(LdgPartyB,$F121,LdgKeyB,"&lt;"&amp;$K121)+1)</f>
        <v/>
      </c>
      <c r="M121">
        <f>IF($L121="","",$F121&amp;"|"&amp;RIGHT("000000"&amp;$L121,6))</f>
        <v/>
      </c>
      <c r="N121">
        <f>IF($F121="","",IF(Sync!$AH121="","0000",IF(AND(ISNUMBER(Sync!$AH121),Sync!$AH121&gt;=0,Sync!$AH121&lt;1),RIGHT("00"&amp;HOUR(Sync!$AH121),2)&amp;RIGHT("00"&amp;MINUTE(Sync!$AH121),2),IFERROR(RIGHT("00"&amp;VALUE(LEFT(Sync!$AH121,FIND(":",Sync!$AH121)-1)),2)&amp;RIGHT("00"&amp;VALUE(MID(Sync!$AH121,FIND(":",Sync!$AH121)+1,2)),2),"0000"))))</f>
        <v/>
      </c>
    </row>
    <row r="122">
      <c r="A122">
        <f>IF(OR(Calc!$E125="",Calc!$E125="نامعتبر",Calc!$G125="",Calc!$I125&lt;&gt;"خرید"),"",Calc!$G125)</f>
        <v/>
      </c>
      <c r="B122">
        <f>IF($A122="","",LEFT(Calc!$E125,4)&amp;MID(Calc!$E125,6,2)&amp;RIGHT(Calc!$E125,2)&amp;Calc!$R125&amp;"|"&amp;"1"&amp;RIGHT("00000"&amp;117,5))</f>
        <v/>
      </c>
      <c r="C122">
        <f>IF($B122="","",COUNTIFS(LdgPartyA,$A122,LdgKeyA,"&lt;"&amp;$B122)+COUNTIFS(LdgPartyB,$A122,LdgKeyB,"&lt;"&amp;$B122)+1)</f>
        <v/>
      </c>
      <c r="D122">
        <f>IF($C122="","",$A122&amp;"|"&amp;RIGHT("000000"&amp;$C122,6))</f>
        <v/>
      </c>
      <c r="F122">
        <f>IF(Sync!$AJ122="","",Sync!$AJ122)</f>
        <v/>
      </c>
      <c r="G122">
        <f>IF($F122="","",IF(Sync!$AG122="","",IF(ISNUMBER(Sync!$AG122),IF(AND(Sync!$AG122&gt;=10000101,Sync!$AG122&lt;=99991231),INT(Sync!$AG122/10000),""),IFERROR(VALUE(TRIM(LEFT(Sync!$AG122,FIND("/",Sync!$AG122)-1))),""))))</f>
        <v/>
      </c>
      <c r="H122">
        <f>IF(OR($F122="",$G122=""),"",IF(ISNUMBER(Sync!$AG122),INT(MOD(Sync!$AG122,10000)/100),IFERROR(VALUE(TRIM(LEFT(MID(Sync!$AG122,FIND("/",Sync!$AG122)+1,20),FIND("/",MID(Sync!$AG122,FIND("/",Sync!$AG122)+1,20))-1))),"")))</f>
        <v/>
      </c>
      <c r="I122">
        <f>IF(OR($F122="",$G122=""),"",IF(ISNUMBER(Sync!$AG122),MOD(Sync!$AG122,100),IFERROR(VALUE(TRIM(MID(MID(Sync!$AG122,FIND("/",Sync!$AG122)+1,20),FIND("/",MID(Sync!$AG122,FIND("/",Sync!$AG122)+1,20))+1,20))),"")))</f>
        <v/>
      </c>
      <c r="J122">
        <f>IF($F122="","",IF(OR($G122="",$H122="",$I122="",$G122&lt;1300,$G122&gt;1500,$H122&lt;1,$H122&gt;12,$I122&lt;1,$I122&gt;31),"نامعتبر",RIGHT("0000"&amp;$G122,4)&amp;"/"&amp;RIGHT("00"&amp;$H122,2)&amp;"/"&amp;RIGHT("00"&amp;$I122,2)))</f>
        <v/>
      </c>
      <c r="K122">
        <f>IF(OR($F122="",$J122="",$J122="نامعتبر"),"",LEFT($J122,4)&amp;MID($J122,6,2)&amp;RIGHT($J122,2)&amp;$N122&amp;"|"&amp;"2"&amp;RIGHT("00000"&amp;117,5))</f>
        <v/>
      </c>
      <c r="L122">
        <f>IF($K122="","",COUNTIFS(LdgPartyA,$F122,LdgKeyA,"&lt;"&amp;$K122)+COUNTIFS(LdgPartyB,$F122,LdgKeyB,"&lt;"&amp;$K122)+1)</f>
        <v/>
      </c>
      <c r="M122">
        <f>IF($L122="","",$F122&amp;"|"&amp;RIGHT("000000"&amp;$L122,6))</f>
        <v/>
      </c>
      <c r="N122">
        <f>IF($F122="","",IF(Sync!$AH122="","0000",IF(AND(ISNUMBER(Sync!$AH122),Sync!$AH122&gt;=0,Sync!$AH122&lt;1),RIGHT("00"&amp;HOUR(Sync!$AH122),2)&amp;RIGHT("00"&amp;MINUTE(Sync!$AH122),2),IFERROR(RIGHT("00"&amp;VALUE(LEFT(Sync!$AH122,FIND(":",Sync!$AH122)-1)),2)&amp;RIGHT("00"&amp;VALUE(MID(Sync!$AH122,FIND(":",Sync!$AH122)+1,2)),2),"0000"))))</f>
        <v/>
      </c>
    </row>
    <row r="123">
      <c r="A123">
        <f>IF(OR(Calc!$E126="",Calc!$E126="نامعتبر",Calc!$G126="",Calc!$I126&lt;&gt;"خرید"),"",Calc!$G126)</f>
        <v/>
      </c>
      <c r="B123">
        <f>IF($A123="","",LEFT(Calc!$E126,4)&amp;MID(Calc!$E126,6,2)&amp;RIGHT(Calc!$E126,2)&amp;Calc!$R126&amp;"|"&amp;"1"&amp;RIGHT("00000"&amp;118,5))</f>
        <v/>
      </c>
      <c r="C123">
        <f>IF($B123="","",COUNTIFS(LdgPartyA,$A123,LdgKeyA,"&lt;"&amp;$B123)+COUNTIFS(LdgPartyB,$A123,LdgKeyB,"&lt;"&amp;$B123)+1)</f>
        <v/>
      </c>
      <c r="D123">
        <f>IF($C123="","",$A123&amp;"|"&amp;RIGHT("000000"&amp;$C123,6))</f>
        <v/>
      </c>
      <c r="F123">
        <f>IF(Sync!$AJ123="","",Sync!$AJ123)</f>
        <v/>
      </c>
      <c r="G123">
        <f>IF($F123="","",IF(Sync!$AG123="","",IF(ISNUMBER(Sync!$AG123),IF(AND(Sync!$AG123&gt;=10000101,Sync!$AG123&lt;=99991231),INT(Sync!$AG123/10000),""),IFERROR(VALUE(TRIM(LEFT(Sync!$AG123,FIND("/",Sync!$AG123)-1))),""))))</f>
        <v/>
      </c>
      <c r="H123">
        <f>IF(OR($F123="",$G123=""),"",IF(ISNUMBER(Sync!$AG123),INT(MOD(Sync!$AG123,10000)/100),IFERROR(VALUE(TRIM(LEFT(MID(Sync!$AG123,FIND("/",Sync!$AG123)+1,20),FIND("/",MID(Sync!$AG123,FIND("/",Sync!$AG123)+1,20))-1))),"")))</f>
        <v/>
      </c>
      <c r="I123">
        <f>IF(OR($F123="",$G123=""),"",IF(ISNUMBER(Sync!$AG123),MOD(Sync!$AG123,100),IFERROR(VALUE(TRIM(MID(MID(Sync!$AG123,FIND("/",Sync!$AG123)+1,20),FIND("/",MID(Sync!$AG123,FIND("/",Sync!$AG123)+1,20))+1,20))),"")))</f>
        <v/>
      </c>
      <c r="J123">
        <f>IF($F123="","",IF(OR($G123="",$H123="",$I123="",$G123&lt;1300,$G123&gt;1500,$H123&lt;1,$H123&gt;12,$I123&lt;1,$I123&gt;31),"نامعتبر",RIGHT("0000"&amp;$G123,4)&amp;"/"&amp;RIGHT("00"&amp;$H123,2)&amp;"/"&amp;RIGHT("00"&amp;$I123,2)))</f>
        <v/>
      </c>
      <c r="K123">
        <f>IF(OR($F123="",$J123="",$J123="نامعتبر"),"",LEFT($J123,4)&amp;MID($J123,6,2)&amp;RIGHT($J123,2)&amp;$N123&amp;"|"&amp;"2"&amp;RIGHT("00000"&amp;118,5))</f>
        <v/>
      </c>
      <c r="L123">
        <f>IF($K123="","",COUNTIFS(LdgPartyA,$F123,LdgKeyA,"&lt;"&amp;$K123)+COUNTIFS(LdgPartyB,$F123,LdgKeyB,"&lt;"&amp;$K123)+1)</f>
        <v/>
      </c>
      <c r="M123">
        <f>IF($L123="","",$F123&amp;"|"&amp;RIGHT("000000"&amp;$L123,6))</f>
        <v/>
      </c>
      <c r="N123">
        <f>IF($F123="","",IF(Sync!$AH123="","0000",IF(AND(ISNUMBER(Sync!$AH123),Sync!$AH123&gt;=0,Sync!$AH123&lt;1),RIGHT("00"&amp;HOUR(Sync!$AH123),2)&amp;RIGHT("00"&amp;MINUTE(Sync!$AH123),2),IFERROR(RIGHT("00"&amp;VALUE(LEFT(Sync!$AH123,FIND(":",Sync!$AH123)-1)),2)&amp;RIGHT("00"&amp;VALUE(MID(Sync!$AH123,FIND(":",Sync!$AH123)+1,2)),2),"0000"))))</f>
        <v/>
      </c>
    </row>
    <row r="124">
      <c r="A124">
        <f>IF(OR(Calc!$E127="",Calc!$E127="نامعتبر",Calc!$G127="",Calc!$I127&lt;&gt;"خرید"),"",Calc!$G127)</f>
        <v/>
      </c>
      <c r="B124">
        <f>IF($A124="","",LEFT(Calc!$E127,4)&amp;MID(Calc!$E127,6,2)&amp;RIGHT(Calc!$E127,2)&amp;Calc!$R127&amp;"|"&amp;"1"&amp;RIGHT("00000"&amp;119,5))</f>
        <v/>
      </c>
      <c r="C124">
        <f>IF($B124="","",COUNTIFS(LdgPartyA,$A124,LdgKeyA,"&lt;"&amp;$B124)+COUNTIFS(LdgPartyB,$A124,LdgKeyB,"&lt;"&amp;$B124)+1)</f>
        <v/>
      </c>
      <c r="D124">
        <f>IF($C124="","",$A124&amp;"|"&amp;RIGHT("000000"&amp;$C124,6))</f>
        <v/>
      </c>
      <c r="F124">
        <f>IF(Sync!$AJ124="","",Sync!$AJ124)</f>
        <v/>
      </c>
      <c r="G124">
        <f>IF($F124="","",IF(Sync!$AG124="","",IF(ISNUMBER(Sync!$AG124),IF(AND(Sync!$AG124&gt;=10000101,Sync!$AG124&lt;=99991231),INT(Sync!$AG124/10000),""),IFERROR(VALUE(TRIM(LEFT(Sync!$AG124,FIND("/",Sync!$AG124)-1))),""))))</f>
        <v/>
      </c>
      <c r="H124">
        <f>IF(OR($F124="",$G124=""),"",IF(ISNUMBER(Sync!$AG124),INT(MOD(Sync!$AG124,10000)/100),IFERROR(VALUE(TRIM(LEFT(MID(Sync!$AG124,FIND("/",Sync!$AG124)+1,20),FIND("/",MID(Sync!$AG124,FIND("/",Sync!$AG124)+1,20))-1))),"")))</f>
        <v/>
      </c>
      <c r="I124">
        <f>IF(OR($F124="",$G124=""),"",IF(ISNUMBER(Sync!$AG124),MOD(Sync!$AG124,100),IFERROR(VALUE(TRIM(MID(MID(Sync!$AG124,FIND("/",Sync!$AG124)+1,20),FIND("/",MID(Sync!$AG124,FIND("/",Sync!$AG124)+1,20))+1,20))),"")))</f>
        <v/>
      </c>
      <c r="J124">
        <f>IF($F124="","",IF(OR($G124="",$H124="",$I124="",$G124&lt;1300,$G124&gt;1500,$H124&lt;1,$H124&gt;12,$I124&lt;1,$I124&gt;31),"نامعتبر",RIGHT("0000"&amp;$G124,4)&amp;"/"&amp;RIGHT("00"&amp;$H124,2)&amp;"/"&amp;RIGHT("00"&amp;$I124,2)))</f>
        <v/>
      </c>
      <c r="K124">
        <f>IF(OR($F124="",$J124="",$J124="نامعتبر"),"",LEFT($J124,4)&amp;MID($J124,6,2)&amp;RIGHT($J124,2)&amp;$N124&amp;"|"&amp;"2"&amp;RIGHT("00000"&amp;119,5))</f>
        <v/>
      </c>
      <c r="L124">
        <f>IF($K124="","",COUNTIFS(LdgPartyA,$F124,LdgKeyA,"&lt;"&amp;$K124)+COUNTIFS(LdgPartyB,$F124,LdgKeyB,"&lt;"&amp;$K124)+1)</f>
        <v/>
      </c>
      <c r="M124">
        <f>IF($L124="","",$F124&amp;"|"&amp;RIGHT("000000"&amp;$L124,6))</f>
        <v/>
      </c>
      <c r="N124">
        <f>IF($F124="","",IF(Sync!$AH124="","0000",IF(AND(ISNUMBER(Sync!$AH124),Sync!$AH124&gt;=0,Sync!$AH124&lt;1),RIGHT("00"&amp;HOUR(Sync!$AH124),2)&amp;RIGHT("00"&amp;MINUTE(Sync!$AH124),2),IFERROR(RIGHT("00"&amp;VALUE(LEFT(Sync!$AH124,FIND(":",Sync!$AH124)-1)),2)&amp;RIGHT("00"&amp;VALUE(MID(Sync!$AH124,FIND(":",Sync!$AH124)+1,2)),2),"0000"))))</f>
        <v/>
      </c>
    </row>
    <row r="125">
      <c r="A125">
        <f>IF(OR(Calc!$E128="",Calc!$E128="نامعتبر",Calc!$G128="",Calc!$I128&lt;&gt;"خرید"),"",Calc!$G128)</f>
        <v/>
      </c>
      <c r="B125">
        <f>IF($A125="","",LEFT(Calc!$E128,4)&amp;MID(Calc!$E128,6,2)&amp;RIGHT(Calc!$E128,2)&amp;Calc!$R128&amp;"|"&amp;"1"&amp;RIGHT("00000"&amp;120,5))</f>
        <v/>
      </c>
      <c r="C125">
        <f>IF($B125="","",COUNTIFS(LdgPartyA,$A125,LdgKeyA,"&lt;"&amp;$B125)+COUNTIFS(LdgPartyB,$A125,LdgKeyB,"&lt;"&amp;$B125)+1)</f>
        <v/>
      </c>
      <c r="D125">
        <f>IF($C125="","",$A125&amp;"|"&amp;RIGHT("000000"&amp;$C125,6))</f>
        <v/>
      </c>
      <c r="F125">
        <f>IF(Sync!$AJ125="","",Sync!$AJ125)</f>
        <v/>
      </c>
      <c r="G125">
        <f>IF($F125="","",IF(Sync!$AG125="","",IF(ISNUMBER(Sync!$AG125),IF(AND(Sync!$AG125&gt;=10000101,Sync!$AG125&lt;=99991231),INT(Sync!$AG125/10000),""),IFERROR(VALUE(TRIM(LEFT(Sync!$AG125,FIND("/",Sync!$AG125)-1))),""))))</f>
        <v/>
      </c>
      <c r="H125">
        <f>IF(OR($F125="",$G125=""),"",IF(ISNUMBER(Sync!$AG125),INT(MOD(Sync!$AG125,10000)/100),IFERROR(VALUE(TRIM(LEFT(MID(Sync!$AG125,FIND("/",Sync!$AG125)+1,20),FIND("/",MID(Sync!$AG125,FIND("/",Sync!$AG125)+1,20))-1))),"")))</f>
        <v/>
      </c>
      <c r="I125">
        <f>IF(OR($F125="",$G125=""),"",IF(ISNUMBER(Sync!$AG125),MOD(Sync!$AG125,100),IFERROR(VALUE(TRIM(MID(MID(Sync!$AG125,FIND("/",Sync!$AG125)+1,20),FIND("/",MID(Sync!$AG125,FIND("/",Sync!$AG125)+1,20))+1,20))),"")))</f>
        <v/>
      </c>
      <c r="J125">
        <f>IF($F125="","",IF(OR($G125="",$H125="",$I125="",$G125&lt;1300,$G125&gt;1500,$H125&lt;1,$H125&gt;12,$I125&lt;1,$I125&gt;31),"نامعتبر",RIGHT("0000"&amp;$G125,4)&amp;"/"&amp;RIGHT("00"&amp;$H125,2)&amp;"/"&amp;RIGHT("00"&amp;$I125,2)))</f>
        <v/>
      </c>
      <c r="K125">
        <f>IF(OR($F125="",$J125="",$J125="نامعتبر"),"",LEFT($J125,4)&amp;MID($J125,6,2)&amp;RIGHT($J125,2)&amp;$N125&amp;"|"&amp;"2"&amp;RIGHT("00000"&amp;120,5))</f>
        <v/>
      </c>
      <c r="L125">
        <f>IF($K125="","",COUNTIFS(LdgPartyA,$F125,LdgKeyA,"&lt;"&amp;$K125)+COUNTIFS(LdgPartyB,$F125,LdgKeyB,"&lt;"&amp;$K125)+1)</f>
        <v/>
      </c>
      <c r="M125">
        <f>IF($L125="","",$F125&amp;"|"&amp;RIGHT("000000"&amp;$L125,6))</f>
        <v/>
      </c>
      <c r="N125">
        <f>IF($F125="","",IF(Sync!$AH125="","0000",IF(AND(ISNUMBER(Sync!$AH125),Sync!$AH125&gt;=0,Sync!$AH125&lt;1),RIGHT("00"&amp;HOUR(Sync!$AH125),2)&amp;RIGHT("00"&amp;MINUTE(Sync!$AH125),2),IFERROR(RIGHT("00"&amp;VALUE(LEFT(Sync!$AH125,FIND(":",Sync!$AH125)-1)),2)&amp;RIGHT("00"&amp;VALUE(MID(Sync!$AH125,FIND(":",Sync!$AH125)+1,2)),2),"0000"))))</f>
        <v/>
      </c>
    </row>
    <row r="126">
      <c r="A126">
        <f>IF(OR(Calc!$E129="",Calc!$E129="نامعتبر",Calc!$G129="",Calc!$I129&lt;&gt;"خرید"),"",Calc!$G129)</f>
        <v/>
      </c>
      <c r="B126">
        <f>IF($A126="","",LEFT(Calc!$E129,4)&amp;MID(Calc!$E129,6,2)&amp;RIGHT(Calc!$E129,2)&amp;Calc!$R129&amp;"|"&amp;"1"&amp;RIGHT("00000"&amp;121,5))</f>
        <v/>
      </c>
      <c r="C126">
        <f>IF($B126="","",COUNTIFS(LdgPartyA,$A126,LdgKeyA,"&lt;"&amp;$B126)+COUNTIFS(LdgPartyB,$A126,LdgKeyB,"&lt;"&amp;$B126)+1)</f>
        <v/>
      </c>
      <c r="D126">
        <f>IF($C126="","",$A126&amp;"|"&amp;RIGHT("000000"&amp;$C126,6))</f>
        <v/>
      </c>
      <c r="F126">
        <f>IF(Sync!$AJ126="","",Sync!$AJ126)</f>
        <v/>
      </c>
      <c r="G126">
        <f>IF($F126="","",IF(Sync!$AG126="","",IF(ISNUMBER(Sync!$AG126),IF(AND(Sync!$AG126&gt;=10000101,Sync!$AG126&lt;=99991231),INT(Sync!$AG126/10000),""),IFERROR(VALUE(TRIM(LEFT(Sync!$AG126,FIND("/",Sync!$AG126)-1))),""))))</f>
        <v/>
      </c>
      <c r="H126">
        <f>IF(OR($F126="",$G126=""),"",IF(ISNUMBER(Sync!$AG126),INT(MOD(Sync!$AG126,10000)/100),IFERROR(VALUE(TRIM(LEFT(MID(Sync!$AG126,FIND("/",Sync!$AG126)+1,20),FIND("/",MID(Sync!$AG126,FIND("/",Sync!$AG126)+1,20))-1))),"")))</f>
        <v/>
      </c>
      <c r="I126">
        <f>IF(OR($F126="",$G126=""),"",IF(ISNUMBER(Sync!$AG126),MOD(Sync!$AG126,100),IFERROR(VALUE(TRIM(MID(MID(Sync!$AG126,FIND("/",Sync!$AG126)+1,20),FIND("/",MID(Sync!$AG126,FIND("/",Sync!$AG126)+1,20))+1,20))),"")))</f>
        <v/>
      </c>
      <c r="J126">
        <f>IF($F126="","",IF(OR($G126="",$H126="",$I126="",$G126&lt;1300,$G126&gt;1500,$H126&lt;1,$H126&gt;12,$I126&lt;1,$I126&gt;31),"نامعتبر",RIGHT("0000"&amp;$G126,4)&amp;"/"&amp;RIGHT("00"&amp;$H126,2)&amp;"/"&amp;RIGHT("00"&amp;$I126,2)))</f>
        <v/>
      </c>
      <c r="K126">
        <f>IF(OR($F126="",$J126="",$J126="نامعتبر"),"",LEFT($J126,4)&amp;MID($J126,6,2)&amp;RIGHT($J126,2)&amp;$N126&amp;"|"&amp;"2"&amp;RIGHT("00000"&amp;121,5))</f>
        <v/>
      </c>
      <c r="L126">
        <f>IF($K126="","",COUNTIFS(LdgPartyA,$F126,LdgKeyA,"&lt;"&amp;$K126)+COUNTIFS(LdgPartyB,$F126,LdgKeyB,"&lt;"&amp;$K126)+1)</f>
        <v/>
      </c>
      <c r="M126">
        <f>IF($L126="","",$F126&amp;"|"&amp;RIGHT("000000"&amp;$L126,6))</f>
        <v/>
      </c>
      <c r="N126">
        <f>IF($F126="","",IF(Sync!$AH126="","0000",IF(AND(ISNUMBER(Sync!$AH126),Sync!$AH126&gt;=0,Sync!$AH126&lt;1),RIGHT("00"&amp;HOUR(Sync!$AH126),2)&amp;RIGHT("00"&amp;MINUTE(Sync!$AH126),2),IFERROR(RIGHT("00"&amp;VALUE(LEFT(Sync!$AH126,FIND(":",Sync!$AH126)-1)),2)&amp;RIGHT("00"&amp;VALUE(MID(Sync!$AH126,FIND(":",Sync!$AH126)+1,2)),2),"0000"))))</f>
        <v/>
      </c>
    </row>
    <row r="127">
      <c r="A127">
        <f>IF(OR(Calc!$E130="",Calc!$E130="نامعتبر",Calc!$G130="",Calc!$I130&lt;&gt;"خرید"),"",Calc!$G130)</f>
        <v/>
      </c>
      <c r="B127">
        <f>IF($A127="","",LEFT(Calc!$E130,4)&amp;MID(Calc!$E130,6,2)&amp;RIGHT(Calc!$E130,2)&amp;Calc!$R130&amp;"|"&amp;"1"&amp;RIGHT("00000"&amp;122,5))</f>
        <v/>
      </c>
      <c r="C127">
        <f>IF($B127="","",COUNTIFS(LdgPartyA,$A127,LdgKeyA,"&lt;"&amp;$B127)+COUNTIFS(LdgPartyB,$A127,LdgKeyB,"&lt;"&amp;$B127)+1)</f>
        <v/>
      </c>
      <c r="D127">
        <f>IF($C127="","",$A127&amp;"|"&amp;RIGHT("000000"&amp;$C127,6))</f>
        <v/>
      </c>
      <c r="F127">
        <f>IF(Sync!$AJ127="","",Sync!$AJ127)</f>
        <v/>
      </c>
      <c r="G127">
        <f>IF($F127="","",IF(Sync!$AG127="","",IF(ISNUMBER(Sync!$AG127),IF(AND(Sync!$AG127&gt;=10000101,Sync!$AG127&lt;=99991231),INT(Sync!$AG127/10000),""),IFERROR(VALUE(TRIM(LEFT(Sync!$AG127,FIND("/",Sync!$AG127)-1))),""))))</f>
        <v/>
      </c>
      <c r="H127">
        <f>IF(OR($F127="",$G127=""),"",IF(ISNUMBER(Sync!$AG127),INT(MOD(Sync!$AG127,10000)/100),IFERROR(VALUE(TRIM(LEFT(MID(Sync!$AG127,FIND("/",Sync!$AG127)+1,20),FIND("/",MID(Sync!$AG127,FIND("/",Sync!$AG127)+1,20))-1))),"")))</f>
        <v/>
      </c>
      <c r="I127">
        <f>IF(OR($F127="",$G127=""),"",IF(ISNUMBER(Sync!$AG127),MOD(Sync!$AG127,100),IFERROR(VALUE(TRIM(MID(MID(Sync!$AG127,FIND("/",Sync!$AG127)+1,20),FIND("/",MID(Sync!$AG127,FIND("/",Sync!$AG127)+1,20))+1,20))),"")))</f>
        <v/>
      </c>
      <c r="J127">
        <f>IF($F127="","",IF(OR($G127="",$H127="",$I127="",$G127&lt;1300,$G127&gt;1500,$H127&lt;1,$H127&gt;12,$I127&lt;1,$I127&gt;31),"نامعتبر",RIGHT("0000"&amp;$G127,4)&amp;"/"&amp;RIGHT("00"&amp;$H127,2)&amp;"/"&amp;RIGHT("00"&amp;$I127,2)))</f>
        <v/>
      </c>
      <c r="K127">
        <f>IF(OR($F127="",$J127="",$J127="نامعتبر"),"",LEFT($J127,4)&amp;MID($J127,6,2)&amp;RIGHT($J127,2)&amp;$N127&amp;"|"&amp;"2"&amp;RIGHT("00000"&amp;122,5))</f>
        <v/>
      </c>
      <c r="L127">
        <f>IF($K127="","",COUNTIFS(LdgPartyA,$F127,LdgKeyA,"&lt;"&amp;$K127)+COUNTIFS(LdgPartyB,$F127,LdgKeyB,"&lt;"&amp;$K127)+1)</f>
        <v/>
      </c>
      <c r="M127">
        <f>IF($L127="","",$F127&amp;"|"&amp;RIGHT("000000"&amp;$L127,6))</f>
        <v/>
      </c>
      <c r="N127">
        <f>IF($F127="","",IF(Sync!$AH127="","0000",IF(AND(ISNUMBER(Sync!$AH127),Sync!$AH127&gt;=0,Sync!$AH127&lt;1),RIGHT("00"&amp;HOUR(Sync!$AH127),2)&amp;RIGHT("00"&amp;MINUTE(Sync!$AH127),2),IFERROR(RIGHT("00"&amp;VALUE(LEFT(Sync!$AH127,FIND(":",Sync!$AH127)-1)),2)&amp;RIGHT("00"&amp;VALUE(MID(Sync!$AH127,FIND(":",Sync!$AH127)+1,2)),2),"0000"))))</f>
        <v/>
      </c>
    </row>
    <row r="128">
      <c r="A128">
        <f>IF(OR(Calc!$E131="",Calc!$E131="نامعتبر",Calc!$G131="",Calc!$I131&lt;&gt;"خرید"),"",Calc!$G131)</f>
        <v/>
      </c>
      <c r="B128">
        <f>IF($A128="","",LEFT(Calc!$E131,4)&amp;MID(Calc!$E131,6,2)&amp;RIGHT(Calc!$E131,2)&amp;Calc!$R131&amp;"|"&amp;"1"&amp;RIGHT("00000"&amp;123,5))</f>
        <v/>
      </c>
      <c r="C128">
        <f>IF($B128="","",COUNTIFS(LdgPartyA,$A128,LdgKeyA,"&lt;"&amp;$B128)+COUNTIFS(LdgPartyB,$A128,LdgKeyB,"&lt;"&amp;$B128)+1)</f>
        <v/>
      </c>
      <c r="D128">
        <f>IF($C128="","",$A128&amp;"|"&amp;RIGHT("000000"&amp;$C128,6))</f>
        <v/>
      </c>
      <c r="F128">
        <f>IF(Sync!$AJ128="","",Sync!$AJ128)</f>
        <v/>
      </c>
      <c r="G128">
        <f>IF($F128="","",IF(Sync!$AG128="","",IF(ISNUMBER(Sync!$AG128),IF(AND(Sync!$AG128&gt;=10000101,Sync!$AG128&lt;=99991231),INT(Sync!$AG128/10000),""),IFERROR(VALUE(TRIM(LEFT(Sync!$AG128,FIND("/",Sync!$AG128)-1))),""))))</f>
        <v/>
      </c>
      <c r="H128">
        <f>IF(OR($F128="",$G128=""),"",IF(ISNUMBER(Sync!$AG128),INT(MOD(Sync!$AG128,10000)/100),IFERROR(VALUE(TRIM(LEFT(MID(Sync!$AG128,FIND("/",Sync!$AG128)+1,20),FIND("/",MID(Sync!$AG128,FIND("/",Sync!$AG128)+1,20))-1))),"")))</f>
        <v/>
      </c>
      <c r="I128">
        <f>IF(OR($F128="",$G128=""),"",IF(ISNUMBER(Sync!$AG128),MOD(Sync!$AG128,100),IFERROR(VALUE(TRIM(MID(MID(Sync!$AG128,FIND("/",Sync!$AG128)+1,20),FIND("/",MID(Sync!$AG128,FIND("/",Sync!$AG128)+1,20))+1,20))),"")))</f>
        <v/>
      </c>
      <c r="J128">
        <f>IF($F128="","",IF(OR($G128="",$H128="",$I128="",$G128&lt;1300,$G128&gt;1500,$H128&lt;1,$H128&gt;12,$I128&lt;1,$I128&gt;31),"نامعتبر",RIGHT("0000"&amp;$G128,4)&amp;"/"&amp;RIGHT("00"&amp;$H128,2)&amp;"/"&amp;RIGHT("00"&amp;$I128,2)))</f>
        <v/>
      </c>
      <c r="K128">
        <f>IF(OR($F128="",$J128="",$J128="نامعتبر"),"",LEFT($J128,4)&amp;MID($J128,6,2)&amp;RIGHT($J128,2)&amp;$N128&amp;"|"&amp;"2"&amp;RIGHT("00000"&amp;123,5))</f>
        <v/>
      </c>
      <c r="L128">
        <f>IF($K128="","",COUNTIFS(LdgPartyA,$F128,LdgKeyA,"&lt;"&amp;$K128)+COUNTIFS(LdgPartyB,$F128,LdgKeyB,"&lt;"&amp;$K128)+1)</f>
        <v/>
      </c>
      <c r="M128">
        <f>IF($L128="","",$F128&amp;"|"&amp;RIGHT("000000"&amp;$L128,6))</f>
        <v/>
      </c>
      <c r="N128">
        <f>IF($F128="","",IF(Sync!$AH128="","0000",IF(AND(ISNUMBER(Sync!$AH128),Sync!$AH128&gt;=0,Sync!$AH128&lt;1),RIGHT("00"&amp;HOUR(Sync!$AH128),2)&amp;RIGHT("00"&amp;MINUTE(Sync!$AH128),2),IFERROR(RIGHT("00"&amp;VALUE(LEFT(Sync!$AH128,FIND(":",Sync!$AH128)-1)),2)&amp;RIGHT("00"&amp;VALUE(MID(Sync!$AH128,FIND(":",Sync!$AH128)+1,2)),2),"0000"))))</f>
        <v/>
      </c>
    </row>
    <row r="129">
      <c r="A129">
        <f>IF(OR(Calc!$E132="",Calc!$E132="نامعتبر",Calc!$G132="",Calc!$I132&lt;&gt;"خرید"),"",Calc!$G132)</f>
        <v/>
      </c>
      <c r="B129">
        <f>IF($A129="","",LEFT(Calc!$E132,4)&amp;MID(Calc!$E132,6,2)&amp;RIGHT(Calc!$E132,2)&amp;Calc!$R132&amp;"|"&amp;"1"&amp;RIGHT("00000"&amp;124,5))</f>
        <v/>
      </c>
      <c r="C129">
        <f>IF($B129="","",COUNTIFS(LdgPartyA,$A129,LdgKeyA,"&lt;"&amp;$B129)+COUNTIFS(LdgPartyB,$A129,LdgKeyB,"&lt;"&amp;$B129)+1)</f>
        <v/>
      </c>
      <c r="D129">
        <f>IF($C129="","",$A129&amp;"|"&amp;RIGHT("000000"&amp;$C129,6))</f>
        <v/>
      </c>
      <c r="F129">
        <f>IF(Sync!$AJ129="","",Sync!$AJ129)</f>
        <v/>
      </c>
      <c r="G129">
        <f>IF($F129="","",IF(Sync!$AG129="","",IF(ISNUMBER(Sync!$AG129),IF(AND(Sync!$AG129&gt;=10000101,Sync!$AG129&lt;=99991231),INT(Sync!$AG129/10000),""),IFERROR(VALUE(TRIM(LEFT(Sync!$AG129,FIND("/",Sync!$AG129)-1))),""))))</f>
        <v/>
      </c>
      <c r="H129">
        <f>IF(OR($F129="",$G129=""),"",IF(ISNUMBER(Sync!$AG129),INT(MOD(Sync!$AG129,10000)/100),IFERROR(VALUE(TRIM(LEFT(MID(Sync!$AG129,FIND("/",Sync!$AG129)+1,20),FIND("/",MID(Sync!$AG129,FIND("/",Sync!$AG129)+1,20))-1))),"")))</f>
        <v/>
      </c>
      <c r="I129">
        <f>IF(OR($F129="",$G129=""),"",IF(ISNUMBER(Sync!$AG129),MOD(Sync!$AG129,100),IFERROR(VALUE(TRIM(MID(MID(Sync!$AG129,FIND("/",Sync!$AG129)+1,20),FIND("/",MID(Sync!$AG129,FIND("/",Sync!$AG129)+1,20))+1,20))),"")))</f>
        <v/>
      </c>
      <c r="J129">
        <f>IF($F129="","",IF(OR($G129="",$H129="",$I129="",$G129&lt;1300,$G129&gt;1500,$H129&lt;1,$H129&gt;12,$I129&lt;1,$I129&gt;31),"نامعتبر",RIGHT("0000"&amp;$G129,4)&amp;"/"&amp;RIGHT("00"&amp;$H129,2)&amp;"/"&amp;RIGHT("00"&amp;$I129,2)))</f>
        <v/>
      </c>
      <c r="K129">
        <f>IF(OR($F129="",$J129="",$J129="نامعتبر"),"",LEFT($J129,4)&amp;MID($J129,6,2)&amp;RIGHT($J129,2)&amp;$N129&amp;"|"&amp;"2"&amp;RIGHT("00000"&amp;124,5))</f>
        <v/>
      </c>
      <c r="L129">
        <f>IF($K129="","",COUNTIFS(LdgPartyA,$F129,LdgKeyA,"&lt;"&amp;$K129)+COUNTIFS(LdgPartyB,$F129,LdgKeyB,"&lt;"&amp;$K129)+1)</f>
        <v/>
      </c>
      <c r="M129">
        <f>IF($L129="","",$F129&amp;"|"&amp;RIGHT("000000"&amp;$L129,6))</f>
        <v/>
      </c>
      <c r="N129">
        <f>IF($F129="","",IF(Sync!$AH129="","0000",IF(AND(ISNUMBER(Sync!$AH129),Sync!$AH129&gt;=0,Sync!$AH129&lt;1),RIGHT("00"&amp;HOUR(Sync!$AH129),2)&amp;RIGHT("00"&amp;MINUTE(Sync!$AH129),2),IFERROR(RIGHT("00"&amp;VALUE(LEFT(Sync!$AH129,FIND(":",Sync!$AH129)-1)),2)&amp;RIGHT("00"&amp;VALUE(MID(Sync!$AH129,FIND(":",Sync!$AH129)+1,2)),2),"0000"))))</f>
        <v/>
      </c>
    </row>
    <row r="130">
      <c r="A130">
        <f>IF(OR(Calc!$E133="",Calc!$E133="نامعتبر",Calc!$G133="",Calc!$I133&lt;&gt;"خرید"),"",Calc!$G133)</f>
        <v/>
      </c>
      <c r="B130">
        <f>IF($A130="","",LEFT(Calc!$E133,4)&amp;MID(Calc!$E133,6,2)&amp;RIGHT(Calc!$E133,2)&amp;Calc!$R133&amp;"|"&amp;"1"&amp;RIGHT("00000"&amp;125,5))</f>
        <v/>
      </c>
      <c r="C130">
        <f>IF($B130="","",COUNTIFS(LdgPartyA,$A130,LdgKeyA,"&lt;"&amp;$B130)+COUNTIFS(LdgPartyB,$A130,LdgKeyB,"&lt;"&amp;$B130)+1)</f>
        <v/>
      </c>
      <c r="D130">
        <f>IF($C130="","",$A130&amp;"|"&amp;RIGHT("000000"&amp;$C130,6))</f>
        <v/>
      </c>
      <c r="F130">
        <f>IF(Sync!$AJ130="","",Sync!$AJ130)</f>
        <v/>
      </c>
      <c r="G130">
        <f>IF($F130="","",IF(Sync!$AG130="","",IF(ISNUMBER(Sync!$AG130),IF(AND(Sync!$AG130&gt;=10000101,Sync!$AG130&lt;=99991231),INT(Sync!$AG130/10000),""),IFERROR(VALUE(TRIM(LEFT(Sync!$AG130,FIND("/",Sync!$AG130)-1))),""))))</f>
        <v/>
      </c>
      <c r="H130">
        <f>IF(OR($F130="",$G130=""),"",IF(ISNUMBER(Sync!$AG130),INT(MOD(Sync!$AG130,10000)/100),IFERROR(VALUE(TRIM(LEFT(MID(Sync!$AG130,FIND("/",Sync!$AG130)+1,20),FIND("/",MID(Sync!$AG130,FIND("/",Sync!$AG130)+1,20))-1))),"")))</f>
        <v/>
      </c>
      <c r="I130">
        <f>IF(OR($F130="",$G130=""),"",IF(ISNUMBER(Sync!$AG130),MOD(Sync!$AG130,100),IFERROR(VALUE(TRIM(MID(MID(Sync!$AG130,FIND("/",Sync!$AG130)+1,20),FIND("/",MID(Sync!$AG130,FIND("/",Sync!$AG130)+1,20))+1,20))),"")))</f>
        <v/>
      </c>
      <c r="J130">
        <f>IF($F130="","",IF(OR($G130="",$H130="",$I130="",$G130&lt;1300,$G130&gt;1500,$H130&lt;1,$H130&gt;12,$I130&lt;1,$I130&gt;31),"نامعتبر",RIGHT("0000"&amp;$G130,4)&amp;"/"&amp;RIGHT("00"&amp;$H130,2)&amp;"/"&amp;RIGHT("00"&amp;$I130,2)))</f>
        <v/>
      </c>
      <c r="K130">
        <f>IF(OR($F130="",$J130="",$J130="نامعتبر"),"",LEFT($J130,4)&amp;MID($J130,6,2)&amp;RIGHT($J130,2)&amp;$N130&amp;"|"&amp;"2"&amp;RIGHT("00000"&amp;125,5))</f>
        <v/>
      </c>
      <c r="L130">
        <f>IF($K130="","",COUNTIFS(LdgPartyA,$F130,LdgKeyA,"&lt;"&amp;$K130)+COUNTIFS(LdgPartyB,$F130,LdgKeyB,"&lt;"&amp;$K130)+1)</f>
        <v/>
      </c>
      <c r="M130">
        <f>IF($L130="","",$F130&amp;"|"&amp;RIGHT("000000"&amp;$L130,6))</f>
        <v/>
      </c>
      <c r="N130">
        <f>IF($F130="","",IF(Sync!$AH130="","0000",IF(AND(ISNUMBER(Sync!$AH130),Sync!$AH130&gt;=0,Sync!$AH130&lt;1),RIGHT("00"&amp;HOUR(Sync!$AH130),2)&amp;RIGHT("00"&amp;MINUTE(Sync!$AH130),2),IFERROR(RIGHT("00"&amp;VALUE(LEFT(Sync!$AH130,FIND(":",Sync!$AH130)-1)),2)&amp;RIGHT("00"&amp;VALUE(MID(Sync!$AH130,FIND(":",Sync!$AH130)+1,2)),2),"0000"))))</f>
        <v/>
      </c>
    </row>
    <row r="131">
      <c r="A131">
        <f>IF(OR(Calc!$E134="",Calc!$E134="نامعتبر",Calc!$G134="",Calc!$I134&lt;&gt;"خرید"),"",Calc!$G134)</f>
        <v/>
      </c>
      <c r="B131">
        <f>IF($A131="","",LEFT(Calc!$E134,4)&amp;MID(Calc!$E134,6,2)&amp;RIGHT(Calc!$E134,2)&amp;Calc!$R134&amp;"|"&amp;"1"&amp;RIGHT("00000"&amp;126,5))</f>
        <v/>
      </c>
      <c r="C131">
        <f>IF($B131="","",COUNTIFS(LdgPartyA,$A131,LdgKeyA,"&lt;"&amp;$B131)+COUNTIFS(LdgPartyB,$A131,LdgKeyB,"&lt;"&amp;$B131)+1)</f>
        <v/>
      </c>
      <c r="D131">
        <f>IF($C131="","",$A131&amp;"|"&amp;RIGHT("000000"&amp;$C131,6))</f>
        <v/>
      </c>
      <c r="F131">
        <f>IF(Sync!$AJ131="","",Sync!$AJ131)</f>
        <v/>
      </c>
      <c r="G131">
        <f>IF($F131="","",IF(Sync!$AG131="","",IF(ISNUMBER(Sync!$AG131),IF(AND(Sync!$AG131&gt;=10000101,Sync!$AG131&lt;=99991231),INT(Sync!$AG131/10000),""),IFERROR(VALUE(TRIM(LEFT(Sync!$AG131,FIND("/",Sync!$AG131)-1))),""))))</f>
        <v/>
      </c>
      <c r="H131">
        <f>IF(OR($F131="",$G131=""),"",IF(ISNUMBER(Sync!$AG131),INT(MOD(Sync!$AG131,10000)/100),IFERROR(VALUE(TRIM(LEFT(MID(Sync!$AG131,FIND("/",Sync!$AG131)+1,20),FIND("/",MID(Sync!$AG131,FIND("/",Sync!$AG131)+1,20))-1))),"")))</f>
        <v/>
      </c>
      <c r="I131">
        <f>IF(OR($F131="",$G131=""),"",IF(ISNUMBER(Sync!$AG131),MOD(Sync!$AG131,100),IFERROR(VALUE(TRIM(MID(MID(Sync!$AG131,FIND("/",Sync!$AG131)+1,20),FIND("/",MID(Sync!$AG131,FIND("/",Sync!$AG131)+1,20))+1,20))),"")))</f>
        <v/>
      </c>
      <c r="J131">
        <f>IF($F131="","",IF(OR($G131="",$H131="",$I131="",$G131&lt;1300,$G131&gt;1500,$H131&lt;1,$H131&gt;12,$I131&lt;1,$I131&gt;31),"نامعتبر",RIGHT("0000"&amp;$G131,4)&amp;"/"&amp;RIGHT("00"&amp;$H131,2)&amp;"/"&amp;RIGHT("00"&amp;$I131,2)))</f>
        <v/>
      </c>
      <c r="K131">
        <f>IF(OR($F131="",$J131="",$J131="نامعتبر"),"",LEFT($J131,4)&amp;MID($J131,6,2)&amp;RIGHT($J131,2)&amp;$N131&amp;"|"&amp;"2"&amp;RIGHT("00000"&amp;126,5))</f>
        <v/>
      </c>
      <c r="L131">
        <f>IF($K131="","",COUNTIFS(LdgPartyA,$F131,LdgKeyA,"&lt;"&amp;$K131)+COUNTIFS(LdgPartyB,$F131,LdgKeyB,"&lt;"&amp;$K131)+1)</f>
        <v/>
      </c>
      <c r="M131">
        <f>IF($L131="","",$F131&amp;"|"&amp;RIGHT("000000"&amp;$L131,6))</f>
        <v/>
      </c>
      <c r="N131">
        <f>IF($F131="","",IF(Sync!$AH131="","0000",IF(AND(ISNUMBER(Sync!$AH131),Sync!$AH131&gt;=0,Sync!$AH131&lt;1),RIGHT("00"&amp;HOUR(Sync!$AH131),2)&amp;RIGHT("00"&amp;MINUTE(Sync!$AH131),2),IFERROR(RIGHT("00"&amp;VALUE(LEFT(Sync!$AH131,FIND(":",Sync!$AH131)-1)),2)&amp;RIGHT("00"&amp;VALUE(MID(Sync!$AH131,FIND(":",Sync!$AH131)+1,2)),2),"0000"))))</f>
        <v/>
      </c>
    </row>
    <row r="132">
      <c r="A132">
        <f>IF(OR(Calc!$E135="",Calc!$E135="نامعتبر",Calc!$G135="",Calc!$I135&lt;&gt;"خرید"),"",Calc!$G135)</f>
        <v/>
      </c>
      <c r="B132">
        <f>IF($A132="","",LEFT(Calc!$E135,4)&amp;MID(Calc!$E135,6,2)&amp;RIGHT(Calc!$E135,2)&amp;Calc!$R135&amp;"|"&amp;"1"&amp;RIGHT("00000"&amp;127,5))</f>
        <v/>
      </c>
      <c r="C132">
        <f>IF($B132="","",COUNTIFS(LdgPartyA,$A132,LdgKeyA,"&lt;"&amp;$B132)+COUNTIFS(LdgPartyB,$A132,LdgKeyB,"&lt;"&amp;$B132)+1)</f>
        <v/>
      </c>
      <c r="D132">
        <f>IF($C132="","",$A132&amp;"|"&amp;RIGHT("000000"&amp;$C132,6))</f>
        <v/>
      </c>
      <c r="F132">
        <f>IF(Sync!$AJ132="","",Sync!$AJ132)</f>
        <v/>
      </c>
      <c r="G132">
        <f>IF($F132="","",IF(Sync!$AG132="","",IF(ISNUMBER(Sync!$AG132),IF(AND(Sync!$AG132&gt;=10000101,Sync!$AG132&lt;=99991231),INT(Sync!$AG132/10000),""),IFERROR(VALUE(TRIM(LEFT(Sync!$AG132,FIND("/",Sync!$AG132)-1))),""))))</f>
        <v/>
      </c>
      <c r="H132">
        <f>IF(OR($F132="",$G132=""),"",IF(ISNUMBER(Sync!$AG132),INT(MOD(Sync!$AG132,10000)/100),IFERROR(VALUE(TRIM(LEFT(MID(Sync!$AG132,FIND("/",Sync!$AG132)+1,20),FIND("/",MID(Sync!$AG132,FIND("/",Sync!$AG132)+1,20))-1))),"")))</f>
        <v/>
      </c>
      <c r="I132">
        <f>IF(OR($F132="",$G132=""),"",IF(ISNUMBER(Sync!$AG132),MOD(Sync!$AG132,100),IFERROR(VALUE(TRIM(MID(MID(Sync!$AG132,FIND("/",Sync!$AG132)+1,20),FIND("/",MID(Sync!$AG132,FIND("/",Sync!$AG132)+1,20))+1,20))),"")))</f>
        <v/>
      </c>
      <c r="J132">
        <f>IF($F132="","",IF(OR($G132="",$H132="",$I132="",$G132&lt;1300,$G132&gt;1500,$H132&lt;1,$H132&gt;12,$I132&lt;1,$I132&gt;31),"نامعتبر",RIGHT("0000"&amp;$G132,4)&amp;"/"&amp;RIGHT("00"&amp;$H132,2)&amp;"/"&amp;RIGHT("00"&amp;$I132,2)))</f>
        <v/>
      </c>
      <c r="K132">
        <f>IF(OR($F132="",$J132="",$J132="نامعتبر"),"",LEFT($J132,4)&amp;MID($J132,6,2)&amp;RIGHT($J132,2)&amp;$N132&amp;"|"&amp;"2"&amp;RIGHT("00000"&amp;127,5))</f>
        <v/>
      </c>
      <c r="L132">
        <f>IF($K132="","",COUNTIFS(LdgPartyA,$F132,LdgKeyA,"&lt;"&amp;$K132)+COUNTIFS(LdgPartyB,$F132,LdgKeyB,"&lt;"&amp;$K132)+1)</f>
        <v/>
      </c>
      <c r="M132">
        <f>IF($L132="","",$F132&amp;"|"&amp;RIGHT("000000"&amp;$L132,6))</f>
        <v/>
      </c>
      <c r="N132">
        <f>IF($F132="","",IF(Sync!$AH132="","0000",IF(AND(ISNUMBER(Sync!$AH132),Sync!$AH132&gt;=0,Sync!$AH132&lt;1),RIGHT("00"&amp;HOUR(Sync!$AH132),2)&amp;RIGHT("00"&amp;MINUTE(Sync!$AH132),2),IFERROR(RIGHT("00"&amp;VALUE(LEFT(Sync!$AH132,FIND(":",Sync!$AH132)-1)),2)&amp;RIGHT("00"&amp;VALUE(MID(Sync!$AH132,FIND(":",Sync!$AH132)+1,2)),2),"0000"))))</f>
        <v/>
      </c>
    </row>
    <row r="133">
      <c r="A133">
        <f>IF(OR(Calc!$E136="",Calc!$E136="نامعتبر",Calc!$G136="",Calc!$I136&lt;&gt;"خرید"),"",Calc!$G136)</f>
        <v/>
      </c>
      <c r="B133">
        <f>IF($A133="","",LEFT(Calc!$E136,4)&amp;MID(Calc!$E136,6,2)&amp;RIGHT(Calc!$E136,2)&amp;Calc!$R136&amp;"|"&amp;"1"&amp;RIGHT("00000"&amp;128,5))</f>
        <v/>
      </c>
      <c r="C133">
        <f>IF($B133="","",COUNTIFS(LdgPartyA,$A133,LdgKeyA,"&lt;"&amp;$B133)+COUNTIFS(LdgPartyB,$A133,LdgKeyB,"&lt;"&amp;$B133)+1)</f>
        <v/>
      </c>
      <c r="D133">
        <f>IF($C133="","",$A133&amp;"|"&amp;RIGHT("000000"&amp;$C133,6))</f>
        <v/>
      </c>
      <c r="F133">
        <f>IF(Sync!$AJ133="","",Sync!$AJ133)</f>
        <v/>
      </c>
      <c r="G133">
        <f>IF($F133="","",IF(Sync!$AG133="","",IF(ISNUMBER(Sync!$AG133),IF(AND(Sync!$AG133&gt;=10000101,Sync!$AG133&lt;=99991231),INT(Sync!$AG133/10000),""),IFERROR(VALUE(TRIM(LEFT(Sync!$AG133,FIND("/",Sync!$AG133)-1))),""))))</f>
        <v/>
      </c>
      <c r="H133">
        <f>IF(OR($F133="",$G133=""),"",IF(ISNUMBER(Sync!$AG133),INT(MOD(Sync!$AG133,10000)/100),IFERROR(VALUE(TRIM(LEFT(MID(Sync!$AG133,FIND("/",Sync!$AG133)+1,20),FIND("/",MID(Sync!$AG133,FIND("/",Sync!$AG133)+1,20))-1))),"")))</f>
        <v/>
      </c>
      <c r="I133">
        <f>IF(OR($F133="",$G133=""),"",IF(ISNUMBER(Sync!$AG133),MOD(Sync!$AG133,100),IFERROR(VALUE(TRIM(MID(MID(Sync!$AG133,FIND("/",Sync!$AG133)+1,20),FIND("/",MID(Sync!$AG133,FIND("/",Sync!$AG133)+1,20))+1,20))),"")))</f>
        <v/>
      </c>
      <c r="J133">
        <f>IF($F133="","",IF(OR($G133="",$H133="",$I133="",$G133&lt;1300,$G133&gt;1500,$H133&lt;1,$H133&gt;12,$I133&lt;1,$I133&gt;31),"نامعتبر",RIGHT("0000"&amp;$G133,4)&amp;"/"&amp;RIGHT("00"&amp;$H133,2)&amp;"/"&amp;RIGHT("00"&amp;$I133,2)))</f>
        <v/>
      </c>
      <c r="K133">
        <f>IF(OR($F133="",$J133="",$J133="نامعتبر"),"",LEFT($J133,4)&amp;MID($J133,6,2)&amp;RIGHT($J133,2)&amp;$N133&amp;"|"&amp;"2"&amp;RIGHT("00000"&amp;128,5))</f>
        <v/>
      </c>
      <c r="L133">
        <f>IF($K133="","",COUNTIFS(LdgPartyA,$F133,LdgKeyA,"&lt;"&amp;$K133)+COUNTIFS(LdgPartyB,$F133,LdgKeyB,"&lt;"&amp;$K133)+1)</f>
        <v/>
      </c>
      <c r="M133">
        <f>IF($L133="","",$F133&amp;"|"&amp;RIGHT("000000"&amp;$L133,6))</f>
        <v/>
      </c>
      <c r="N133">
        <f>IF($F133="","",IF(Sync!$AH133="","0000",IF(AND(ISNUMBER(Sync!$AH133),Sync!$AH133&gt;=0,Sync!$AH133&lt;1),RIGHT("00"&amp;HOUR(Sync!$AH133),2)&amp;RIGHT("00"&amp;MINUTE(Sync!$AH133),2),IFERROR(RIGHT("00"&amp;VALUE(LEFT(Sync!$AH133,FIND(":",Sync!$AH133)-1)),2)&amp;RIGHT("00"&amp;VALUE(MID(Sync!$AH133,FIND(":",Sync!$AH133)+1,2)),2),"0000"))))</f>
        <v/>
      </c>
    </row>
    <row r="134">
      <c r="A134">
        <f>IF(OR(Calc!$E137="",Calc!$E137="نامعتبر",Calc!$G137="",Calc!$I137&lt;&gt;"خرید"),"",Calc!$G137)</f>
        <v/>
      </c>
      <c r="B134">
        <f>IF($A134="","",LEFT(Calc!$E137,4)&amp;MID(Calc!$E137,6,2)&amp;RIGHT(Calc!$E137,2)&amp;Calc!$R137&amp;"|"&amp;"1"&amp;RIGHT("00000"&amp;129,5))</f>
        <v/>
      </c>
      <c r="C134">
        <f>IF($B134="","",COUNTIFS(LdgPartyA,$A134,LdgKeyA,"&lt;"&amp;$B134)+COUNTIFS(LdgPartyB,$A134,LdgKeyB,"&lt;"&amp;$B134)+1)</f>
        <v/>
      </c>
      <c r="D134">
        <f>IF($C134="","",$A134&amp;"|"&amp;RIGHT("000000"&amp;$C134,6))</f>
        <v/>
      </c>
      <c r="F134">
        <f>IF(Sync!$AJ134="","",Sync!$AJ134)</f>
        <v/>
      </c>
      <c r="G134">
        <f>IF($F134="","",IF(Sync!$AG134="","",IF(ISNUMBER(Sync!$AG134),IF(AND(Sync!$AG134&gt;=10000101,Sync!$AG134&lt;=99991231),INT(Sync!$AG134/10000),""),IFERROR(VALUE(TRIM(LEFT(Sync!$AG134,FIND("/",Sync!$AG134)-1))),""))))</f>
        <v/>
      </c>
      <c r="H134">
        <f>IF(OR($F134="",$G134=""),"",IF(ISNUMBER(Sync!$AG134),INT(MOD(Sync!$AG134,10000)/100),IFERROR(VALUE(TRIM(LEFT(MID(Sync!$AG134,FIND("/",Sync!$AG134)+1,20),FIND("/",MID(Sync!$AG134,FIND("/",Sync!$AG134)+1,20))-1))),"")))</f>
        <v/>
      </c>
      <c r="I134">
        <f>IF(OR($F134="",$G134=""),"",IF(ISNUMBER(Sync!$AG134),MOD(Sync!$AG134,100),IFERROR(VALUE(TRIM(MID(MID(Sync!$AG134,FIND("/",Sync!$AG134)+1,20),FIND("/",MID(Sync!$AG134,FIND("/",Sync!$AG134)+1,20))+1,20))),"")))</f>
        <v/>
      </c>
      <c r="J134">
        <f>IF($F134="","",IF(OR($G134="",$H134="",$I134="",$G134&lt;1300,$G134&gt;1500,$H134&lt;1,$H134&gt;12,$I134&lt;1,$I134&gt;31),"نامعتبر",RIGHT("0000"&amp;$G134,4)&amp;"/"&amp;RIGHT("00"&amp;$H134,2)&amp;"/"&amp;RIGHT("00"&amp;$I134,2)))</f>
        <v/>
      </c>
      <c r="K134">
        <f>IF(OR($F134="",$J134="",$J134="نامعتبر"),"",LEFT($J134,4)&amp;MID($J134,6,2)&amp;RIGHT($J134,2)&amp;$N134&amp;"|"&amp;"2"&amp;RIGHT("00000"&amp;129,5))</f>
        <v/>
      </c>
      <c r="L134">
        <f>IF($K134="","",COUNTIFS(LdgPartyA,$F134,LdgKeyA,"&lt;"&amp;$K134)+COUNTIFS(LdgPartyB,$F134,LdgKeyB,"&lt;"&amp;$K134)+1)</f>
        <v/>
      </c>
      <c r="M134">
        <f>IF($L134="","",$F134&amp;"|"&amp;RIGHT("000000"&amp;$L134,6))</f>
        <v/>
      </c>
      <c r="N134">
        <f>IF($F134="","",IF(Sync!$AH134="","0000",IF(AND(ISNUMBER(Sync!$AH134),Sync!$AH134&gt;=0,Sync!$AH134&lt;1),RIGHT("00"&amp;HOUR(Sync!$AH134),2)&amp;RIGHT("00"&amp;MINUTE(Sync!$AH134),2),IFERROR(RIGHT("00"&amp;VALUE(LEFT(Sync!$AH134,FIND(":",Sync!$AH134)-1)),2)&amp;RIGHT("00"&amp;VALUE(MID(Sync!$AH134,FIND(":",Sync!$AH134)+1,2)),2),"0000"))))</f>
        <v/>
      </c>
    </row>
    <row r="135">
      <c r="A135">
        <f>IF(OR(Calc!$E138="",Calc!$E138="نامعتبر",Calc!$G138="",Calc!$I138&lt;&gt;"خرید"),"",Calc!$G138)</f>
        <v/>
      </c>
      <c r="B135">
        <f>IF($A135="","",LEFT(Calc!$E138,4)&amp;MID(Calc!$E138,6,2)&amp;RIGHT(Calc!$E138,2)&amp;Calc!$R138&amp;"|"&amp;"1"&amp;RIGHT("00000"&amp;130,5))</f>
        <v/>
      </c>
      <c r="C135">
        <f>IF($B135="","",COUNTIFS(LdgPartyA,$A135,LdgKeyA,"&lt;"&amp;$B135)+COUNTIFS(LdgPartyB,$A135,LdgKeyB,"&lt;"&amp;$B135)+1)</f>
        <v/>
      </c>
      <c r="D135">
        <f>IF($C135="","",$A135&amp;"|"&amp;RIGHT("000000"&amp;$C135,6))</f>
        <v/>
      </c>
      <c r="F135">
        <f>IF(Sync!$AJ135="","",Sync!$AJ135)</f>
        <v/>
      </c>
      <c r="G135">
        <f>IF($F135="","",IF(Sync!$AG135="","",IF(ISNUMBER(Sync!$AG135),IF(AND(Sync!$AG135&gt;=10000101,Sync!$AG135&lt;=99991231),INT(Sync!$AG135/10000),""),IFERROR(VALUE(TRIM(LEFT(Sync!$AG135,FIND("/",Sync!$AG135)-1))),""))))</f>
        <v/>
      </c>
      <c r="H135">
        <f>IF(OR($F135="",$G135=""),"",IF(ISNUMBER(Sync!$AG135),INT(MOD(Sync!$AG135,10000)/100),IFERROR(VALUE(TRIM(LEFT(MID(Sync!$AG135,FIND("/",Sync!$AG135)+1,20),FIND("/",MID(Sync!$AG135,FIND("/",Sync!$AG135)+1,20))-1))),"")))</f>
        <v/>
      </c>
      <c r="I135">
        <f>IF(OR($F135="",$G135=""),"",IF(ISNUMBER(Sync!$AG135),MOD(Sync!$AG135,100),IFERROR(VALUE(TRIM(MID(MID(Sync!$AG135,FIND("/",Sync!$AG135)+1,20),FIND("/",MID(Sync!$AG135,FIND("/",Sync!$AG135)+1,20))+1,20))),"")))</f>
        <v/>
      </c>
      <c r="J135">
        <f>IF($F135="","",IF(OR($G135="",$H135="",$I135="",$G135&lt;1300,$G135&gt;1500,$H135&lt;1,$H135&gt;12,$I135&lt;1,$I135&gt;31),"نامعتبر",RIGHT("0000"&amp;$G135,4)&amp;"/"&amp;RIGHT("00"&amp;$H135,2)&amp;"/"&amp;RIGHT("00"&amp;$I135,2)))</f>
        <v/>
      </c>
      <c r="K135">
        <f>IF(OR($F135="",$J135="",$J135="نامعتبر"),"",LEFT($J135,4)&amp;MID($J135,6,2)&amp;RIGHT($J135,2)&amp;$N135&amp;"|"&amp;"2"&amp;RIGHT("00000"&amp;130,5))</f>
        <v/>
      </c>
      <c r="L135">
        <f>IF($K135="","",COUNTIFS(LdgPartyA,$F135,LdgKeyA,"&lt;"&amp;$K135)+COUNTIFS(LdgPartyB,$F135,LdgKeyB,"&lt;"&amp;$K135)+1)</f>
        <v/>
      </c>
      <c r="M135">
        <f>IF($L135="","",$F135&amp;"|"&amp;RIGHT("000000"&amp;$L135,6))</f>
        <v/>
      </c>
      <c r="N135">
        <f>IF($F135="","",IF(Sync!$AH135="","0000",IF(AND(ISNUMBER(Sync!$AH135),Sync!$AH135&gt;=0,Sync!$AH135&lt;1),RIGHT("00"&amp;HOUR(Sync!$AH135),2)&amp;RIGHT("00"&amp;MINUTE(Sync!$AH135),2),IFERROR(RIGHT("00"&amp;VALUE(LEFT(Sync!$AH135,FIND(":",Sync!$AH135)-1)),2)&amp;RIGHT("00"&amp;VALUE(MID(Sync!$AH135,FIND(":",Sync!$AH135)+1,2)),2),"0000"))))</f>
        <v/>
      </c>
    </row>
    <row r="136">
      <c r="A136">
        <f>IF(OR(Calc!$E139="",Calc!$E139="نامعتبر",Calc!$G139="",Calc!$I139&lt;&gt;"خرید"),"",Calc!$G139)</f>
        <v/>
      </c>
      <c r="B136">
        <f>IF($A136="","",LEFT(Calc!$E139,4)&amp;MID(Calc!$E139,6,2)&amp;RIGHT(Calc!$E139,2)&amp;Calc!$R139&amp;"|"&amp;"1"&amp;RIGHT("00000"&amp;131,5))</f>
        <v/>
      </c>
      <c r="C136">
        <f>IF($B136="","",COUNTIFS(LdgPartyA,$A136,LdgKeyA,"&lt;"&amp;$B136)+COUNTIFS(LdgPartyB,$A136,LdgKeyB,"&lt;"&amp;$B136)+1)</f>
        <v/>
      </c>
      <c r="D136">
        <f>IF($C136="","",$A136&amp;"|"&amp;RIGHT("000000"&amp;$C136,6))</f>
        <v/>
      </c>
      <c r="F136">
        <f>IF(Sync!$AJ136="","",Sync!$AJ136)</f>
        <v/>
      </c>
      <c r="G136">
        <f>IF($F136="","",IF(Sync!$AG136="","",IF(ISNUMBER(Sync!$AG136),IF(AND(Sync!$AG136&gt;=10000101,Sync!$AG136&lt;=99991231),INT(Sync!$AG136/10000),""),IFERROR(VALUE(TRIM(LEFT(Sync!$AG136,FIND("/",Sync!$AG136)-1))),""))))</f>
        <v/>
      </c>
      <c r="H136">
        <f>IF(OR($F136="",$G136=""),"",IF(ISNUMBER(Sync!$AG136),INT(MOD(Sync!$AG136,10000)/100),IFERROR(VALUE(TRIM(LEFT(MID(Sync!$AG136,FIND("/",Sync!$AG136)+1,20),FIND("/",MID(Sync!$AG136,FIND("/",Sync!$AG136)+1,20))-1))),"")))</f>
        <v/>
      </c>
      <c r="I136">
        <f>IF(OR($F136="",$G136=""),"",IF(ISNUMBER(Sync!$AG136),MOD(Sync!$AG136,100),IFERROR(VALUE(TRIM(MID(MID(Sync!$AG136,FIND("/",Sync!$AG136)+1,20),FIND("/",MID(Sync!$AG136,FIND("/",Sync!$AG136)+1,20))+1,20))),"")))</f>
        <v/>
      </c>
      <c r="J136">
        <f>IF($F136="","",IF(OR($G136="",$H136="",$I136="",$G136&lt;1300,$G136&gt;1500,$H136&lt;1,$H136&gt;12,$I136&lt;1,$I136&gt;31),"نامعتبر",RIGHT("0000"&amp;$G136,4)&amp;"/"&amp;RIGHT("00"&amp;$H136,2)&amp;"/"&amp;RIGHT("00"&amp;$I136,2)))</f>
        <v/>
      </c>
      <c r="K136">
        <f>IF(OR($F136="",$J136="",$J136="نامعتبر"),"",LEFT($J136,4)&amp;MID($J136,6,2)&amp;RIGHT($J136,2)&amp;$N136&amp;"|"&amp;"2"&amp;RIGHT("00000"&amp;131,5))</f>
        <v/>
      </c>
      <c r="L136">
        <f>IF($K136="","",COUNTIFS(LdgPartyA,$F136,LdgKeyA,"&lt;"&amp;$K136)+COUNTIFS(LdgPartyB,$F136,LdgKeyB,"&lt;"&amp;$K136)+1)</f>
        <v/>
      </c>
      <c r="M136">
        <f>IF($L136="","",$F136&amp;"|"&amp;RIGHT("000000"&amp;$L136,6))</f>
        <v/>
      </c>
      <c r="N136">
        <f>IF($F136="","",IF(Sync!$AH136="","0000",IF(AND(ISNUMBER(Sync!$AH136),Sync!$AH136&gt;=0,Sync!$AH136&lt;1),RIGHT("00"&amp;HOUR(Sync!$AH136),2)&amp;RIGHT("00"&amp;MINUTE(Sync!$AH136),2),IFERROR(RIGHT("00"&amp;VALUE(LEFT(Sync!$AH136,FIND(":",Sync!$AH136)-1)),2)&amp;RIGHT("00"&amp;VALUE(MID(Sync!$AH136,FIND(":",Sync!$AH136)+1,2)),2),"0000"))))</f>
        <v/>
      </c>
    </row>
    <row r="137">
      <c r="A137">
        <f>IF(OR(Calc!$E140="",Calc!$E140="نامعتبر",Calc!$G140="",Calc!$I140&lt;&gt;"خرید"),"",Calc!$G140)</f>
        <v/>
      </c>
      <c r="B137">
        <f>IF($A137="","",LEFT(Calc!$E140,4)&amp;MID(Calc!$E140,6,2)&amp;RIGHT(Calc!$E140,2)&amp;Calc!$R140&amp;"|"&amp;"1"&amp;RIGHT("00000"&amp;132,5))</f>
        <v/>
      </c>
      <c r="C137">
        <f>IF($B137="","",COUNTIFS(LdgPartyA,$A137,LdgKeyA,"&lt;"&amp;$B137)+COUNTIFS(LdgPartyB,$A137,LdgKeyB,"&lt;"&amp;$B137)+1)</f>
        <v/>
      </c>
      <c r="D137">
        <f>IF($C137="","",$A137&amp;"|"&amp;RIGHT("000000"&amp;$C137,6))</f>
        <v/>
      </c>
      <c r="F137">
        <f>IF(Sync!$AJ137="","",Sync!$AJ137)</f>
        <v/>
      </c>
      <c r="G137">
        <f>IF($F137="","",IF(Sync!$AG137="","",IF(ISNUMBER(Sync!$AG137),IF(AND(Sync!$AG137&gt;=10000101,Sync!$AG137&lt;=99991231),INT(Sync!$AG137/10000),""),IFERROR(VALUE(TRIM(LEFT(Sync!$AG137,FIND("/",Sync!$AG137)-1))),""))))</f>
        <v/>
      </c>
      <c r="H137">
        <f>IF(OR($F137="",$G137=""),"",IF(ISNUMBER(Sync!$AG137),INT(MOD(Sync!$AG137,10000)/100),IFERROR(VALUE(TRIM(LEFT(MID(Sync!$AG137,FIND("/",Sync!$AG137)+1,20),FIND("/",MID(Sync!$AG137,FIND("/",Sync!$AG137)+1,20))-1))),"")))</f>
        <v/>
      </c>
      <c r="I137">
        <f>IF(OR($F137="",$G137=""),"",IF(ISNUMBER(Sync!$AG137),MOD(Sync!$AG137,100),IFERROR(VALUE(TRIM(MID(MID(Sync!$AG137,FIND("/",Sync!$AG137)+1,20),FIND("/",MID(Sync!$AG137,FIND("/",Sync!$AG137)+1,20))+1,20))),"")))</f>
        <v/>
      </c>
      <c r="J137">
        <f>IF($F137="","",IF(OR($G137="",$H137="",$I137="",$G137&lt;1300,$G137&gt;1500,$H137&lt;1,$H137&gt;12,$I137&lt;1,$I137&gt;31),"نامعتبر",RIGHT("0000"&amp;$G137,4)&amp;"/"&amp;RIGHT("00"&amp;$H137,2)&amp;"/"&amp;RIGHT("00"&amp;$I137,2)))</f>
        <v/>
      </c>
      <c r="K137">
        <f>IF(OR($F137="",$J137="",$J137="نامعتبر"),"",LEFT($J137,4)&amp;MID($J137,6,2)&amp;RIGHT($J137,2)&amp;$N137&amp;"|"&amp;"2"&amp;RIGHT("00000"&amp;132,5))</f>
        <v/>
      </c>
      <c r="L137">
        <f>IF($K137="","",COUNTIFS(LdgPartyA,$F137,LdgKeyA,"&lt;"&amp;$K137)+COUNTIFS(LdgPartyB,$F137,LdgKeyB,"&lt;"&amp;$K137)+1)</f>
        <v/>
      </c>
      <c r="M137">
        <f>IF($L137="","",$F137&amp;"|"&amp;RIGHT("000000"&amp;$L137,6))</f>
        <v/>
      </c>
      <c r="N137">
        <f>IF($F137="","",IF(Sync!$AH137="","0000",IF(AND(ISNUMBER(Sync!$AH137),Sync!$AH137&gt;=0,Sync!$AH137&lt;1),RIGHT("00"&amp;HOUR(Sync!$AH137),2)&amp;RIGHT("00"&amp;MINUTE(Sync!$AH137),2),IFERROR(RIGHT("00"&amp;VALUE(LEFT(Sync!$AH137,FIND(":",Sync!$AH137)-1)),2)&amp;RIGHT("00"&amp;VALUE(MID(Sync!$AH137,FIND(":",Sync!$AH137)+1,2)),2),"0000"))))</f>
        <v/>
      </c>
    </row>
    <row r="138">
      <c r="A138">
        <f>IF(OR(Calc!$E141="",Calc!$E141="نامعتبر",Calc!$G141="",Calc!$I141&lt;&gt;"خرید"),"",Calc!$G141)</f>
        <v/>
      </c>
      <c r="B138">
        <f>IF($A138="","",LEFT(Calc!$E141,4)&amp;MID(Calc!$E141,6,2)&amp;RIGHT(Calc!$E141,2)&amp;Calc!$R141&amp;"|"&amp;"1"&amp;RIGHT("00000"&amp;133,5))</f>
        <v/>
      </c>
      <c r="C138">
        <f>IF($B138="","",COUNTIFS(LdgPartyA,$A138,LdgKeyA,"&lt;"&amp;$B138)+COUNTIFS(LdgPartyB,$A138,LdgKeyB,"&lt;"&amp;$B138)+1)</f>
        <v/>
      </c>
      <c r="D138">
        <f>IF($C138="","",$A138&amp;"|"&amp;RIGHT("000000"&amp;$C138,6))</f>
        <v/>
      </c>
      <c r="F138">
        <f>IF(Sync!$AJ138="","",Sync!$AJ138)</f>
        <v/>
      </c>
      <c r="G138">
        <f>IF($F138="","",IF(Sync!$AG138="","",IF(ISNUMBER(Sync!$AG138),IF(AND(Sync!$AG138&gt;=10000101,Sync!$AG138&lt;=99991231),INT(Sync!$AG138/10000),""),IFERROR(VALUE(TRIM(LEFT(Sync!$AG138,FIND("/",Sync!$AG138)-1))),""))))</f>
        <v/>
      </c>
      <c r="H138">
        <f>IF(OR($F138="",$G138=""),"",IF(ISNUMBER(Sync!$AG138),INT(MOD(Sync!$AG138,10000)/100),IFERROR(VALUE(TRIM(LEFT(MID(Sync!$AG138,FIND("/",Sync!$AG138)+1,20),FIND("/",MID(Sync!$AG138,FIND("/",Sync!$AG138)+1,20))-1))),"")))</f>
        <v/>
      </c>
      <c r="I138">
        <f>IF(OR($F138="",$G138=""),"",IF(ISNUMBER(Sync!$AG138),MOD(Sync!$AG138,100),IFERROR(VALUE(TRIM(MID(MID(Sync!$AG138,FIND("/",Sync!$AG138)+1,20),FIND("/",MID(Sync!$AG138,FIND("/",Sync!$AG138)+1,20))+1,20))),"")))</f>
        <v/>
      </c>
      <c r="J138">
        <f>IF($F138="","",IF(OR($G138="",$H138="",$I138="",$G138&lt;1300,$G138&gt;1500,$H138&lt;1,$H138&gt;12,$I138&lt;1,$I138&gt;31),"نامعتبر",RIGHT("0000"&amp;$G138,4)&amp;"/"&amp;RIGHT("00"&amp;$H138,2)&amp;"/"&amp;RIGHT("00"&amp;$I138,2)))</f>
        <v/>
      </c>
      <c r="K138">
        <f>IF(OR($F138="",$J138="",$J138="نامعتبر"),"",LEFT($J138,4)&amp;MID($J138,6,2)&amp;RIGHT($J138,2)&amp;$N138&amp;"|"&amp;"2"&amp;RIGHT("00000"&amp;133,5))</f>
        <v/>
      </c>
      <c r="L138">
        <f>IF($K138="","",COUNTIFS(LdgPartyA,$F138,LdgKeyA,"&lt;"&amp;$K138)+COUNTIFS(LdgPartyB,$F138,LdgKeyB,"&lt;"&amp;$K138)+1)</f>
        <v/>
      </c>
      <c r="M138">
        <f>IF($L138="","",$F138&amp;"|"&amp;RIGHT("000000"&amp;$L138,6))</f>
        <v/>
      </c>
      <c r="N138">
        <f>IF($F138="","",IF(Sync!$AH138="","0000",IF(AND(ISNUMBER(Sync!$AH138),Sync!$AH138&gt;=0,Sync!$AH138&lt;1),RIGHT("00"&amp;HOUR(Sync!$AH138),2)&amp;RIGHT("00"&amp;MINUTE(Sync!$AH138),2),IFERROR(RIGHT("00"&amp;VALUE(LEFT(Sync!$AH138,FIND(":",Sync!$AH138)-1)),2)&amp;RIGHT("00"&amp;VALUE(MID(Sync!$AH138,FIND(":",Sync!$AH138)+1,2)),2),"0000"))))</f>
        <v/>
      </c>
    </row>
    <row r="139">
      <c r="A139">
        <f>IF(OR(Calc!$E142="",Calc!$E142="نامعتبر",Calc!$G142="",Calc!$I142&lt;&gt;"خرید"),"",Calc!$G142)</f>
        <v/>
      </c>
      <c r="B139">
        <f>IF($A139="","",LEFT(Calc!$E142,4)&amp;MID(Calc!$E142,6,2)&amp;RIGHT(Calc!$E142,2)&amp;Calc!$R142&amp;"|"&amp;"1"&amp;RIGHT("00000"&amp;134,5))</f>
        <v/>
      </c>
      <c r="C139">
        <f>IF($B139="","",COUNTIFS(LdgPartyA,$A139,LdgKeyA,"&lt;"&amp;$B139)+COUNTIFS(LdgPartyB,$A139,LdgKeyB,"&lt;"&amp;$B139)+1)</f>
        <v/>
      </c>
      <c r="D139">
        <f>IF($C139="","",$A139&amp;"|"&amp;RIGHT("000000"&amp;$C139,6))</f>
        <v/>
      </c>
      <c r="F139">
        <f>IF(Sync!$AJ139="","",Sync!$AJ139)</f>
        <v/>
      </c>
      <c r="G139">
        <f>IF($F139="","",IF(Sync!$AG139="","",IF(ISNUMBER(Sync!$AG139),IF(AND(Sync!$AG139&gt;=10000101,Sync!$AG139&lt;=99991231),INT(Sync!$AG139/10000),""),IFERROR(VALUE(TRIM(LEFT(Sync!$AG139,FIND("/",Sync!$AG139)-1))),""))))</f>
        <v/>
      </c>
      <c r="H139">
        <f>IF(OR($F139="",$G139=""),"",IF(ISNUMBER(Sync!$AG139),INT(MOD(Sync!$AG139,10000)/100),IFERROR(VALUE(TRIM(LEFT(MID(Sync!$AG139,FIND("/",Sync!$AG139)+1,20),FIND("/",MID(Sync!$AG139,FIND("/",Sync!$AG139)+1,20))-1))),"")))</f>
        <v/>
      </c>
      <c r="I139">
        <f>IF(OR($F139="",$G139=""),"",IF(ISNUMBER(Sync!$AG139),MOD(Sync!$AG139,100),IFERROR(VALUE(TRIM(MID(MID(Sync!$AG139,FIND("/",Sync!$AG139)+1,20),FIND("/",MID(Sync!$AG139,FIND("/",Sync!$AG139)+1,20))+1,20))),"")))</f>
        <v/>
      </c>
      <c r="J139">
        <f>IF($F139="","",IF(OR($G139="",$H139="",$I139="",$G139&lt;1300,$G139&gt;1500,$H139&lt;1,$H139&gt;12,$I139&lt;1,$I139&gt;31),"نامعتبر",RIGHT("0000"&amp;$G139,4)&amp;"/"&amp;RIGHT("00"&amp;$H139,2)&amp;"/"&amp;RIGHT("00"&amp;$I139,2)))</f>
        <v/>
      </c>
      <c r="K139">
        <f>IF(OR($F139="",$J139="",$J139="نامعتبر"),"",LEFT($J139,4)&amp;MID($J139,6,2)&amp;RIGHT($J139,2)&amp;$N139&amp;"|"&amp;"2"&amp;RIGHT("00000"&amp;134,5))</f>
        <v/>
      </c>
      <c r="L139">
        <f>IF($K139="","",COUNTIFS(LdgPartyA,$F139,LdgKeyA,"&lt;"&amp;$K139)+COUNTIFS(LdgPartyB,$F139,LdgKeyB,"&lt;"&amp;$K139)+1)</f>
        <v/>
      </c>
      <c r="M139">
        <f>IF($L139="","",$F139&amp;"|"&amp;RIGHT("000000"&amp;$L139,6))</f>
        <v/>
      </c>
      <c r="N139">
        <f>IF($F139="","",IF(Sync!$AH139="","0000",IF(AND(ISNUMBER(Sync!$AH139),Sync!$AH139&gt;=0,Sync!$AH139&lt;1),RIGHT("00"&amp;HOUR(Sync!$AH139),2)&amp;RIGHT("00"&amp;MINUTE(Sync!$AH139),2),IFERROR(RIGHT("00"&amp;VALUE(LEFT(Sync!$AH139,FIND(":",Sync!$AH139)-1)),2)&amp;RIGHT("00"&amp;VALUE(MID(Sync!$AH139,FIND(":",Sync!$AH139)+1,2)),2),"0000"))))</f>
        <v/>
      </c>
    </row>
    <row r="140">
      <c r="A140">
        <f>IF(OR(Calc!$E143="",Calc!$E143="نامعتبر",Calc!$G143="",Calc!$I143&lt;&gt;"خرید"),"",Calc!$G143)</f>
        <v/>
      </c>
      <c r="B140">
        <f>IF($A140="","",LEFT(Calc!$E143,4)&amp;MID(Calc!$E143,6,2)&amp;RIGHT(Calc!$E143,2)&amp;Calc!$R143&amp;"|"&amp;"1"&amp;RIGHT("00000"&amp;135,5))</f>
        <v/>
      </c>
      <c r="C140">
        <f>IF($B140="","",COUNTIFS(LdgPartyA,$A140,LdgKeyA,"&lt;"&amp;$B140)+COUNTIFS(LdgPartyB,$A140,LdgKeyB,"&lt;"&amp;$B140)+1)</f>
        <v/>
      </c>
      <c r="D140">
        <f>IF($C140="","",$A140&amp;"|"&amp;RIGHT("000000"&amp;$C140,6))</f>
        <v/>
      </c>
      <c r="F140">
        <f>IF(Sync!$AJ140="","",Sync!$AJ140)</f>
        <v/>
      </c>
      <c r="G140">
        <f>IF($F140="","",IF(Sync!$AG140="","",IF(ISNUMBER(Sync!$AG140),IF(AND(Sync!$AG140&gt;=10000101,Sync!$AG140&lt;=99991231),INT(Sync!$AG140/10000),""),IFERROR(VALUE(TRIM(LEFT(Sync!$AG140,FIND("/",Sync!$AG140)-1))),""))))</f>
        <v/>
      </c>
      <c r="H140">
        <f>IF(OR($F140="",$G140=""),"",IF(ISNUMBER(Sync!$AG140),INT(MOD(Sync!$AG140,10000)/100),IFERROR(VALUE(TRIM(LEFT(MID(Sync!$AG140,FIND("/",Sync!$AG140)+1,20),FIND("/",MID(Sync!$AG140,FIND("/",Sync!$AG140)+1,20))-1))),"")))</f>
        <v/>
      </c>
      <c r="I140">
        <f>IF(OR($F140="",$G140=""),"",IF(ISNUMBER(Sync!$AG140),MOD(Sync!$AG140,100),IFERROR(VALUE(TRIM(MID(MID(Sync!$AG140,FIND("/",Sync!$AG140)+1,20),FIND("/",MID(Sync!$AG140,FIND("/",Sync!$AG140)+1,20))+1,20))),"")))</f>
        <v/>
      </c>
      <c r="J140">
        <f>IF($F140="","",IF(OR($G140="",$H140="",$I140="",$G140&lt;1300,$G140&gt;1500,$H140&lt;1,$H140&gt;12,$I140&lt;1,$I140&gt;31),"نامعتبر",RIGHT("0000"&amp;$G140,4)&amp;"/"&amp;RIGHT("00"&amp;$H140,2)&amp;"/"&amp;RIGHT("00"&amp;$I140,2)))</f>
        <v/>
      </c>
      <c r="K140">
        <f>IF(OR($F140="",$J140="",$J140="نامعتبر"),"",LEFT($J140,4)&amp;MID($J140,6,2)&amp;RIGHT($J140,2)&amp;$N140&amp;"|"&amp;"2"&amp;RIGHT("00000"&amp;135,5))</f>
        <v/>
      </c>
      <c r="L140">
        <f>IF($K140="","",COUNTIFS(LdgPartyA,$F140,LdgKeyA,"&lt;"&amp;$K140)+COUNTIFS(LdgPartyB,$F140,LdgKeyB,"&lt;"&amp;$K140)+1)</f>
        <v/>
      </c>
      <c r="M140">
        <f>IF($L140="","",$F140&amp;"|"&amp;RIGHT("000000"&amp;$L140,6))</f>
        <v/>
      </c>
      <c r="N140">
        <f>IF($F140="","",IF(Sync!$AH140="","0000",IF(AND(ISNUMBER(Sync!$AH140),Sync!$AH140&gt;=0,Sync!$AH140&lt;1),RIGHT("00"&amp;HOUR(Sync!$AH140),2)&amp;RIGHT("00"&amp;MINUTE(Sync!$AH140),2),IFERROR(RIGHT("00"&amp;VALUE(LEFT(Sync!$AH140,FIND(":",Sync!$AH140)-1)),2)&amp;RIGHT("00"&amp;VALUE(MID(Sync!$AH140,FIND(":",Sync!$AH140)+1,2)),2),"0000"))))</f>
        <v/>
      </c>
    </row>
    <row r="141">
      <c r="A141">
        <f>IF(OR(Calc!$E144="",Calc!$E144="نامعتبر",Calc!$G144="",Calc!$I144&lt;&gt;"خرید"),"",Calc!$G144)</f>
        <v/>
      </c>
      <c r="B141">
        <f>IF($A141="","",LEFT(Calc!$E144,4)&amp;MID(Calc!$E144,6,2)&amp;RIGHT(Calc!$E144,2)&amp;Calc!$R144&amp;"|"&amp;"1"&amp;RIGHT("00000"&amp;136,5))</f>
        <v/>
      </c>
      <c r="C141">
        <f>IF($B141="","",COUNTIFS(LdgPartyA,$A141,LdgKeyA,"&lt;"&amp;$B141)+COUNTIFS(LdgPartyB,$A141,LdgKeyB,"&lt;"&amp;$B141)+1)</f>
        <v/>
      </c>
      <c r="D141">
        <f>IF($C141="","",$A141&amp;"|"&amp;RIGHT("000000"&amp;$C141,6))</f>
        <v/>
      </c>
      <c r="F141">
        <f>IF(Sync!$AJ141="","",Sync!$AJ141)</f>
        <v/>
      </c>
      <c r="G141">
        <f>IF($F141="","",IF(Sync!$AG141="","",IF(ISNUMBER(Sync!$AG141),IF(AND(Sync!$AG141&gt;=10000101,Sync!$AG141&lt;=99991231),INT(Sync!$AG141/10000),""),IFERROR(VALUE(TRIM(LEFT(Sync!$AG141,FIND("/",Sync!$AG141)-1))),""))))</f>
        <v/>
      </c>
      <c r="H141">
        <f>IF(OR($F141="",$G141=""),"",IF(ISNUMBER(Sync!$AG141),INT(MOD(Sync!$AG141,10000)/100),IFERROR(VALUE(TRIM(LEFT(MID(Sync!$AG141,FIND("/",Sync!$AG141)+1,20),FIND("/",MID(Sync!$AG141,FIND("/",Sync!$AG141)+1,20))-1))),"")))</f>
        <v/>
      </c>
      <c r="I141">
        <f>IF(OR($F141="",$G141=""),"",IF(ISNUMBER(Sync!$AG141),MOD(Sync!$AG141,100),IFERROR(VALUE(TRIM(MID(MID(Sync!$AG141,FIND("/",Sync!$AG141)+1,20),FIND("/",MID(Sync!$AG141,FIND("/",Sync!$AG141)+1,20))+1,20))),"")))</f>
        <v/>
      </c>
      <c r="J141">
        <f>IF($F141="","",IF(OR($G141="",$H141="",$I141="",$G141&lt;1300,$G141&gt;1500,$H141&lt;1,$H141&gt;12,$I141&lt;1,$I141&gt;31),"نامعتبر",RIGHT("0000"&amp;$G141,4)&amp;"/"&amp;RIGHT("00"&amp;$H141,2)&amp;"/"&amp;RIGHT("00"&amp;$I141,2)))</f>
        <v/>
      </c>
      <c r="K141">
        <f>IF(OR($F141="",$J141="",$J141="نامعتبر"),"",LEFT($J141,4)&amp;MID($J141,6,2)&amp;RIGHT($J141,2)&amp;$N141&amp;"|"&amp;"2"&amp;RIGHT("00000"&amp;136,5))</f>
        <v/>
      </c>
      <c r="L141">
        <f>IF($K141="","",COUNTIFS(LdgPartyA,$F141,LdgKeyA,"&lt;"&amp;$K141)+COUNTIFS(LdgPartyB,$F141,LdgKeyB,"&lt;"&amp;$K141)+1)</f>
        <v/>
      </c>
      <c r="M141">
        <f>IF($L141="","",$F141&amp;"|"&amp;RIGHT("000000"&amp;$L141,6))</f>
        <v/>
      </c>
      <c r="N141">
        <f>IF($F141="","",IF(Sync!$AH141="","0000",IF(AND(ISNUMBER(Sync!$AH141),Sync!$AH141&gt;=0,Sync!$AH141&lt;1),RIGHT("00"&amp;HOUR(Sync!$AH141),2)&amp;RIGHT("00"&amp;MINUTE(Sync!$AH141),2),IFERROR(RIGHT("00"&amp;VALUE(LEFT(Sync!$AH141,FIND(":",Sync!$AH141)-1)),2)&amp;RIGHT("00"&amp;VALUE(MID(Sync!$AH141,FIND(":",Sync!$AH141)+1,2)),2),"0000"))))</f>
        <v/>
      </c>
    </row>
    <row r="142">
      <c r="A142">
        <f>IF(OR(Calc!$E145="",Calc!$E145="نامعتبر",Calc!$G145="",Calc!$I145&lt;&gt;"خرید"),"",Calc!$G145)</f>
        <v/>
      </c>
      <c r="B142">
        <f>IF($A142="","",LEFT(Calc!$E145,4)&amp;MID(Calc!$E145,6,2)&amp;RIGHT(Calc!$E145,2)&amp;Calc!$R145&amp;"|"&amp;"1"&amp;RIGHT("00000"&amp;137,5))</f>
        <v/>
      </c>
      <c r="C142">
        <f>IF($B142="","",COUNTIFS(LdgPartyA,$A142,LdgKeyA,"&lt;"&amp;$B142)+COUNTIFS(LdgPartyB,$A142,LdgKeyB,"&lt;"&amp;$B142)+1)</f>
        <v/>
      </c>
      <c r="D142">
        <f>IF($C142="","",$A142&amp;"|"&amp;RIGHT("000000"&amp;$C142,6))</f>
        <v/>
      </c>
      <c r="F142">
        <f>IF(Sync!$AJ142="","",Sync!$AJ142)</f>
        <v/>
      </c>
      <c r="G142">
        <f>IF($F142="","",IF(Sync!$AG142="","",IF(ISNUMBER(Sync!$AG142),IF(AND(Sync!$AG142&gt;=10000101,Sync!$AG142&lt;=99991231),INT(Sync!$AG142/10000),""),IFERROR(VALUE(TRIM(LEFT(Sync!$AG142,FIND("/",Sync!$AG142)-1))),""))))</f>
        <v/>
      </c>
      <c r="H142">
        <f>IF(OR($F142="",$G142=""),"",IF(ISNUMBER(Sync!$AG142),INT(MOD(Sync!$AG142,10000)/100),IFERROR(VALUE(TRIM(LEFT(MID(Sync!$AG142,FIND("/",Sync!$AG142)+1,20),FIND("/",MID(Sync!$AG142,FIND("/",Sync!$AG142)+1,20))-1))),"")))</f>
        <v/>
      </c>
      <c r="I142">
        <f>IF(OR($F142="",$G142=""),"",IF(ISNUMBER(Sync!$AG142),MOD(Sync!$AG142,100),IFERROR(VALUE(TRIM(MID(MID(Sync!$AG142,FIND("/",Sync!$AG142)+1,20),FIND("/",MID(Sync!$AG142,FIND("/",Sync!$AG142)+1,20))+1,20))),"")))</f>
        <v/>
      </c>
      <c r="J142">
        <f>IF($F142="","",IF(OR($G142="",$H142="",$I142="",$G142&lt;1300,$G142&gt;1500,$H142&lt;1,$H142&gt;12,$I142&lt;1,$I142&gt;31),"نامعتبر",RIGHT("0000"&amp;$G142,4)&amp;"/"&amp;RIGHT("00"&amp;$H142,2)&amp;"/"&amp;RIGHT("00"&amp;$I142,2)))</f>
        <v/>
      </c>
      <c r="K142">
        <f>IF(OR($F142="",$J142="",$J142="نامعتبر"),"",LEFT($J142,4)&amp;MID($J142,6,2)&amp;RIGHT($J142,2)&amp;$N142&amp;"|"&amp;"2"&amp;RIGHT("00000"&amp;137,5))</f>
        <v/>
      </c>
      <c r="L142">
        <f>IF($K142="","",COUNTIFS(LdgPartyA,$F142,LdgKeyA,"&lt;"&amp;$K142)+COUNTIFS(LdgPartyB,$F142,LdgKeyB,"&lt;"&amp;$K142)+1)</f>
        <v/>
      </c>
      <c r="M142">
        <f>IF($L142="","",$F142&amp;"|"&amp;RIGHT("000000"&amp;$L142,6))</f>
        <v/>
      </c>
      <c r="N142">
        <f>IF($F142="","",IF(Sync!$AH142="","0000",IF(AND(ISNUMBER(Sync!$AH142),Sync!$AH142&gt;=0,Sync!$AH142&lt;1),RIGHT("00"&amp;HOUR(Sync!$AH142),2)&amp;RIGHT("00"&amp;MINUTE(Sync!$AH142),2),IFERROR(RIGHT("00"&amp;VALUE(LEFT(Sync!$AH142,FIND(":",Sync!$AH142)-1)),2)&amp;RIGHT("00"&amp;VALUE(MID(Sync!$AH142,FIND(":",Sync!$AH142)+1,2)),2),"0000"))))</f>
        <v/>
      </c>
    </row>
    <row r="143">
      <c r="A143">
        <f>IF(OR(Calc!$E146="",Calc!$E146="نامعتبر",Calc!$G146="",Calc!$I146&lt;&gt;"خرید"),"",Calc!$G146)</f>
        <v/>
      </c>
      <c r="B143">
        <f>IF($A143="","",LEFT(Calc!$E146,4)&amp;MID(Calc!$E146,6,2)&amp;RIGHT(Calc!$E146,2)&amp;Calc!$R146&amp;"|"&amp;"1"&amp;RIGHT("00000"&amp;138,5))</f>
        <v/>
      </c>
      <c r="C143">
        <f>IF($B143="","",COUNTIFS(LdgPartyA,$A143,LdgKeyA,"&lt;"&amp;$B143)+COUNTIFS(LdgPartyB,$A143,LdgKeyB,"&lt;"&amp;$B143)+1)</f>
        <v/>
      </c>
      <c r="D143">
        <f>IF($C143="","",$A143&amp;"|"&amp;RIGHT("000000"&amp;$C143,6))</f>
        <v/>
      </c>
      <c r="F143">
        <f>IF(Sync!$AJ143="","",Sync!$AJ143)</f>
        <v/>
      </c>
      <c r="G143">
        <f>IF($F143="","",IF(Sync!$AG143="","",IF(ISNUMBER(Sync!$AG143),IF(AND(Sync!$AG143&gt;=10000101,Sync!$AG143&lt;=99991231),INT(Sync!$AG143/10000),""),IFERROR(VALUE(TRIM(LEFT(Sync!$AG143,FIND("/",Sync!$AG143)-1))),""))))</f>
        <v/>
      </c>
      <c r="H143">
        <f>IF(OR($F143="",$G143=""),"",IF(ISNUMBER(Sync!$AG143),INT(MOD(Sync!$AG143,10000)/100),IFERROR(VALUE(TRIM(LEFT(MID(Sync!$AG143,FIND("/",Sync!$AG143)+1,20),FIND("/",MID(Sync!$AG143,FIND("/",Sync!$AG143)+1,20))-1))),"")))</f>
        <v/>
      </c>
      <c r="I143">
        <f>IF(OR($F143="",$G143=""),"",IF(ISNUMBER(Sync!$AG143),MOD(Sync!$AG143,100),IFERROR(VALUE(TRIM(MID(MID(Sync!$AG143,FIND("/",Sync!$AG143)+1,20),FIND("/",MID(Sync!$AG143,FIND("/",Sync!$AG143)+1,20))+1,20))),"")))</f>
        <v/>
      </c>
      <c r="J143">
        <f>IF($F143="","",IF(OR($G143="",$H143="",$I143="",$G143&lt;1300,$G143&gt;1500,$H143&lt;1,$H143&gt;12,$I143&lt;1,$I143&gt;31),"نامعتبر",RIGHT("0000"&amp;$G143,4)&amp;"/"&amp;RIGHT("00"&amp;$H143,2)&amp;"/"&amp;RIGHT("00"&amp;$I143,2)))</f>
        <v/>
      </c>
      <c r="K143">
        <f>IF(OR($F143="",$J143="",$J143="نامعتبر"),"",LEFT($J143,4)&amp;MID($J143,6,2)&amp;RIGHT($J143,2)&amp;$N143&amp;"|"&amp;"2"&amp;RIGHT("00000"&amp;138,5))</f>
        <v/>
      </c>
      <c r="L143">
        <f>IF($K143="","",COUNTIFS(LdgPartyA,$F143,LdgKeyA,"&lt;"&amp;$K143)+COUNTIFS(LdgPartyB,$F143,LdgKeyB,"&lt;"&amp;$K143)+1)</f>
        <v/>
      </c>
      <c r="M143">
        <f>IF($L143="","",$F143&amp;"|"&amp;RIGHT("000000"&amp;$L143,6))</f>
        <v/>
      </c>
      <c r="N143">
        <f>IF($F143="","",IF(Sync!$AH143="","0000",IF(AND(ISNUMBER(Sync!$AH143),Sync!$AH143&gt;=0,Sync!$AH143&lt;1),RIGHT("00"&amp;HOUR(Sync!$AH143),2)&amp;RIGHT("00"&amp;MINUTE(Sync!$AH143),2),IFERROR(RIGHT("00"&amp;VALUE(LEFT(Sync!$AH143,FIND(":",Sync!$AH143)-1)),2)&amp;RIGHT("00"&amp;VALUE(MID(Sync!$AH143,FIND(":",Sync!$AH143)+1,2)),2),"0000"))))</f>
        <v/>
      </c>
    </row>
    <row r="144">
      <c r="A144">
        <f>IF(OR(Calc!$E147="",Calc!$E147="نامعتبر",Calc!$G147="",Calc!$I147&lt;&gt;"خرید"),"",Calc!$G147)</f>
        <v/>
      </c>
      <c r="B144">
        <f>IF($A144="","",LEFT(Calc!$E147,4)&amp;MID(Calc!$E147,6,2)&amp;RIGHT(Calc!$E147,2)&amp;Calc!$R147&amp;"|"&amp;"1"&amp;RIGHT("00000"&amp;139,5))</f>
        <v/>
      </c>
      <c r="C144">
        <f>IF($B144="","",COUNTIFS(LdgPartyA,$A144,LdgKeyA,"&lt;"&amp;$B144)+COUNTIFS(LdgPartyB,$A144,LdgKeyB,"&lt;"&amp;$B144)+1)</f>
        <v/>
      </c>
      <c r="D144">
        <f>IF($C144="","",$A144&amp;"|"&amp;RIGHT("000000"&amp;$C144,6))</f>
        <v/>
      </c>
      <c r="F144">
        <f>IF(Sync!$AJ144="","",Sync!$AJ144)</f>
        <v/>
      </c>
      <c r="G144">
        <f>IF($F144="","",IF(Sync!$AG144="","",IF(ISNUMBER(Sync!$AG144),IF(AND(Sync!$AG144&gt;=10000101,Sync!$AG144&lt;=99991231),INT(Sync!$AG144/10000),""),IFERROR(VALUE(TRIM(LEFT(Sync!$AG144,FIND("/",Sync!$AG144)-1))),""))))</f>
        <v/>
      </c>
      <c r="H144">
        <f>IF(OR($F144="",$G144=""),"",IF(ISNUMBER(Sync!$AG144),INT(MOD(Sync!$AG144,10000)/100),IFERROR(VALUE(TRIM(LEFT(MID(Sync!$AG144,FIND("/",Sync!$AG144)+1,20),FIND("/",MID(Sync!$AG144,FIND("/",Sync!$AG144)+1,20))-1))),"")))</f>
        <v/>
      </c>
      <c r="I144">
        <f>IF(OR($F144="",$G144=""),"",IF(ISNUMBER(Sync!$AG144),MOD(Sync!$AG144,100),IFERROR(VALUE(TRIM(MID(MID(Sync!$AG144,FIND("/",Sync!$AG144)+1,20),FIND("/",MID(Sync!$AG144,FIND("/",Sync!$AG144)+1,20))+1,20))),"")))</f>
        <v/>
      </c>
      <c r="J144">
        <f>IF($F144="","",IF(OR($G144="",$H144="",$I144="",$G144&lt;1300,$G144&gt;1500,$H144&lt;1,$H144&gt;12,$I144&lt;1,$I144&gt;31),"نامعتبر",RIGHT("0000"&amp;$G144,4)&amp;"/"&amp;RIGHT("00"&amp;$H144,2)&amp;"/"&amp;RIGHT("00"&amp;$I144,2)))</f>
        <v/>
      </c>
      <c r="K144">
        <f>IF(OR($F144="",$J144="",$J144="نامعتبر"),"",LEFT($J144,4)&amp;MID($J144,6,2)&amp;RIGHT($J144,2)&amp;$N144&amp;"|"&amp;"2"&amp;RIGHT("00000"&amp;139,5))</f>
        <v/>
      </c>
      <c r="L144">
        <f>IF($K144="","",COUNTIFS(LdgPartyA,$F144,LdgKeyA,"&lt;"&amp;$K144)+COUNTIFS(LdgPartyB,$F144,LdgKeyB,"&lt;"&amp;$K144)+1)</f>
        <v/>
      </c>
      <c r="M144">
        <f>IF($L144="","",$F144&amp;"|"&amp;RIGHT("000000"&amp;$L144,6))</f>
        <v/>
      </c>
      <c r="N144">
        <f>IF($F144="","",IF(Sync!$AH144="","0000",IF(AND(ISNUMBER(Sync!$AH144),Sync!$AH144&gt;=0,Sync!$AH144&lt;1),RIGHT("00"&amp;HOUR(Sync!$AH144),2)&amp;RIGHT("00"&amp;MINUTE(Sync!$AH144),2),IFERROR(RIGHT("00"&amp;VALUE(LEFT(Sync!$AH144,FIND(":",Sync!$AH144)-1)),2)&amp;RIGHT("00"&amp;VALUE(MID(Sync!$AH144,FIND(":",Sync!$AH144)+1,2)),2),"0000"))))</f>
        <v/>
      </c>
    </row>
    <row r="145">
      <c r="A145">
        <f>IF(OR(Calc!$E148="",Calc!$E148="نامعتبر",Calc!$G148="",Calc!$I148&lt;&gt;"خرید"),"",Calc!$G148)</f>
        <v/>
      </c>
      <c r="B145">
        <f>IF($A145="","",LEFT(Calc!$E148,4)&amp;MID(Calc!$E148,6,2)&amp;RIGHT(Calc!$E148,2)&amp;Calc!$R148&amp;"|"&amp;"1"&amp;RIGHT("00000"&amp;140,5))</f>
        <v/>
      </c>
      <c r="C145">
        <f>IF($B145="","",COUNTIFS(LdgPartyA,$A145,LdgKeyA,"&lt;"&amp;$B145)+COUNTIFS(LdgPartyB,$A145,LdgKeyB,"&lt;"&amp;$B145)+1)</f>
        <v/>
      </c>
      <c r="D145">
        <f>IF($C145="","",$A145&amp;"|"&amp;RIGHT("000000"&amp;$C145,6))</f>
        <v/>
      </c>
      <c r="F145">
        <f>IF(Sync!$AJ145="","",Sync!$AJ145)</f>
        <v/>
      </c>
      <c r="G145">
        <f>IF($F145="","",IF(Sync!$AG145="","",IF(ISNUMBER(Sync!$AG145),IF(AND(Sync!$AG145&gt;=10000101,Sync!$AG145&lt;=99991231),INT(Sync!$AG145/10000),""),IFERROR(VALUE(TRIM(LEFT(Sync!$AG145,FIND("/",Sync!$AG145)-1))),""))))</f>
        <v/>
      </c>
      <c r="H145">
        <f>IF(OR($F145="",$G145=""),"",IF(ISNUMBER(Sync!$AG145),INT(MOD(Sync!$AG145,10000)/100),IFERROR(VALUE(TRIM(LEFT(MID(Sync!$AG145,FIND("/",Sync!$AG145)+1,20),FIND("/",MID(Sync!$AG145,FIND("/",Sync!$AG145)+1,20))-1))),"")))</f>
        <v/>
      </c>
      <c r="I145">
        <f>IF(OR($F145="",$G145=""),"",IF(ISNUMBER(Sync!$AG145),MOD(Sync!$AG145,100),IFERROR(VALUE(TRIM(MID(MID(Sync!$AG145,FIND("/",Sync!$AG145)+1,20),FIND("/",MID(Sync!$AG145,FIND("/",Sync!$AG145)+1,20))+1,20))),"")))</f>
        <v/>
      </c>
      <c r="J145">
        <f>IF($F145="","",IF(OR($G145="",$H145="",$I145="",$G145&lt;1300,$G145&gt;1500,$H145&lt;1,$H145&gt;12,$I145&lt;1,$I145&gt;31),"نامعتبر",RIGHT("0000"&amp;$G145,4)&amp;"/"&amp;RIGHT("00"&amp;$H145,2)&amp;"/"&amp;RIGHT("00"&amp;$I145,2)))</f>
        <v/>
      </c>
      <c r="K145">
        <f>IF(OR($F145="",$J145="",$J145="نامعتبر"),"",LEFT($J145,4)&amp;MID($J145,6,2)&amp;RIGHT($J145,2)&amp;$N145&amp;"|"&amp;"2"&amp;RIGHT("00000"&amp;140,5))</f>
        <v/>
      </c>
      <c r="L145">
        <f>IF($K145="","",COUNTIFS(LdgPartyA,$F145,LdgKeyA,"&lt;"&amp;$K145)+COUNTIFS(LdgPartyB,$F145,LdgKeyB,"&lt;"&amp;$K145)+1)</f>
        <v/>
      </c>
      <c r="M145">
        <f>IF($L145="","",$F145&amp;"|"&amp;RIGHT("000000"&amp;$L145,6))</f>
        <v/>
      </c>
      <c r="N145">
        <f>IF($F145="","",IF(Sync!$AH145="","0000",IF(AND(ISNUMBER(Sync!$AH145),Sync!$AH145&gt;=0,Sync!$AH145&lt;1),RIGHT("00"&amp;HOUR(Sync!$AH145),2)&amp;RIGHT("00"&amp;MINUTE(Sync!$AH145),2),IFERROR(RIGHT("00"&amp;VALUE(LEFT(Sync!$AH145,FIND(":",Sync!$AH145)-1)),2)&amp;RIGHT("00"&amp;VALUE(MID(Sync!$AH145,FIND(":",Sync!$AH145)+1,2)),2),"0000"))))</f>
        <v/>
      </c>
    </row>
    <row r="146">
      <c r="A146">
        <f>IF(OR(Calc!$E149="",Calc!$E149="نامعتبر",Calc!$G149="",Calc!$I149&lt;&gt;"خرید"),"",Calc!$G149)</f>
        <v/>
      </c>
      <c r="B146">
        <f>IF($A146="","",LEFT(Calc!$E149,4)&amp;MID(Calc!$E149,6,2)&amp;RIGHT(Calc!$E149,2)&amp;Calc!$R149&amp;"|"&amp;"1"&amp;RIGHT("00000"&amp;141,5))</f>
        <v/>
      </c>
      <c r="C146">
        <f>IF($B146="","",COUNTIFS(LdgPartyA,$A146,LdgKeyA,"&lt;"&amp;$B146)+COUNTIFS(LdgPartyB,$A146,LdgKeyB,"&lt;"&amp;$B146)+1)</f>
        <v/>
      </c>
      <c r="D146">
        <f>IF($C146="","",$A146&amp;"|"&amp;RIGHT("000000"&amp;$C146,6))</f>
        <v/>
      </c>
      <c r="F146">
        <f>IF(Sync!$AJ146="","",Sync!$AJ146)</f>
        <v/>
      </c>
      <c r="G146">
        <f>IF($F146="","",IF(Sync!$AG146="","",IF(ISNUMBER(Sync!$AG146),IF(AND(Sync!$AG146&gt;=10000101,Sync!$AG146&lt;=99991231),INT(Sync!$AG146/10000),""),IFERROR(VALUE(TRIM(LEFT(Sync!$AG146,FIND("/",Sync!$AG146)-1))),""))))</f>
        <v/>
      </c>
      <c r="H146">
        <f>IF(OR($F146="",$G146=""),"",IF(ISNUMBER(Sync!$AG146),INT(MOD(Sync!$AG146,10000)/100),IFERROR(VALUE(TRIM(LEFT(MID(Sync!$AG146,FIND("/",Sync!$AG146)+1,20),FIND("/",MID(Sync!$AG146,FIND("/",Sync!$AG146)+1,20))-1))),"")))</f>
        <v/>
      </c>
      <c r="I146">
        <f>IF(OR($F146="",$G146=""),"",IF(ISNUMBER(Sync!$AG146),MOD(Sync!$AG146,100),IFERROR(VALUE(TRIM(MID(MID(Sync!$AG146,FIND("/",Sync!$AG146)+1,20),FIND("/",MID(Sync!$AG146,FIND("/",Sync!$AG146)+1,20))+1,20))),"")))</f>
        <v/>
      </c>
      <c r="J146">
        <f>IF($F146="","",IF(OR($G146="",$H146="",$I146="",$G146&lt;1300,$G146&gt;1500,$H146&lt;1,$H146&gt;12,$I146&lt;1,$I146&gt;31),"نامعتبر",RIGHT("0000"&amp;$G146,4)&amp;"/"&amp;RIGHT("00"&amp;$H146,2)&amp;"/"&amp;RIGHT("00"&amp;$I146,2)))</f>
        <v/>
      </c>
      <c r="K146">
        <f>IF(OR($F146="",$J146="",$J146="نامعتبر"),"",LEFT($J146,4)&amp;MID($J146,6,2)&amp;RIGHT($J146,2)&amp;$N146&amp;"|"&amp;"2"&amp;RIGHT("00000"&amp;141,5))</f>
        <v/>
      </c>
      <c r="L146">
        <f>IF($K146="","",COUNTIFS(LdgPartyA,$F146,LdgKeyA,"&lt;"&amp;$K146)+COUNTIFS(LdgPartyB,$F146,LdgKeyB,"&lt;"&amp;$K146)+1)</f>
        <v/>
      </c>
      <c r="M146">
        <f>IF($L146="","",$F146&amp;"|"&amp;RIGHT("000000"&amp;$L146,6))</f>
        <v/>
      </c>
      <c r="N146">
        <f>IF($F146="","",IF(Sync!$AH146="","0000",IF(AND(ISNUMBER(Sync!$AH146),Sync!$AH146&gt;=0,Sync!$AH146&lt;1),RIGHT("00"&amp;HOUR(Sync!$AH146),2)&amp;RIGHT("00"&amp;MINUTE(Sync!$AH146),2),IFERROR(RIGHT("00"&amp;VALUE(LEFT(Sync!$AH146,FIND(":",Sync!$AH146)-1)),2)&amp;RIGHT("00"&amp;VALUE(MID(Sync!$AH146,FIND(":",Sync!$AH146)+1,2)),2),"0000"))))</f>
        <v/>
      </c>
    </row>
    <row r="147">
      <c r="A147">
        <f>IF(OR(Calc!$E150="",Calc!$E150="نامعتبر",Calc!$G150="",Calc!$I150&lt;&gt;"خرید"),"",Calc!$G150)</f>
        <v/>
      </c>
      <c r="B147">
        <f>IF($A147="","",LEFT(Calc!$E150,4)&amp;MID(Calc!$E150,6,2)&amp;RIGHT(Calc!$E150,2)&amp;Calc!$R150&amp;"|"&amp;"1"&amp;RIGHT("00000"&amp;142,5))</f>
        <v/>
      </c>
      <c r="C147">
        <f>IF($B147="","",COUNTIFS(LdgPartyA,$A147,LdgKeyA,"&lt;"&amp;$B147)+COUNTIFS(LdgPartyB,$A147,LdgKeyB,"&lt;"&amp;$B147)+1)</f>
        <v/>
      </c>
      <c r="D147">
        <f>IF($C147="","",$A147&amp;"|"&amp;RIGHT("000000"&amp;$C147,6))</f>
        <v/>
      </c>
      <c r="F147">
        <f>IF(Sync!$AJ147="","",Sync!$AJ147)</f>
        <v/>
      </c>
      <c r="G147">
        <f>IF($F147="","",IF(Sync!$AG147="","",IF(ISNUMBER(Sync!$AG147),IF(AND(Sync!$AG147&gt;=10000101,Sync!$AG147&lt;=99991231),INT(Sync!$AG147/10000),""),IFERROR(VALUE(TRIM(LEFT(Sync!$AG147,FIND("/",Sync!$AG147)-1))),""))))</f>
        <v/>
      </c>
      <c r="H147">
        <f>IF(OR($F147="",$G147=""),"",IF(ISNUMBER(Sync!$AG147),INT(MOD(Sync!$AG147,10000)/100),IFERROR(VALUE(TRIM(LEFT(MID(Sync!$AG147,FIND("/",Sync!$AG147)+1,20),FIND("/",MID(Sync!$AG147,FIND("/",Sync!$AG147)+1,20))-1))),"")))</f>
        <v/>
      </c>
      <c r="I147">
        <f>IF(OR($F147="",$G147=""),"",IF(ISNUMBER(Sync!$AG147),MOD(Sync!$AG147,100),IFERROR(VALUE(TRIM(MID(MID(Sync!$AG147,FIND("/",Sync!$AG147)+1,20),FIND("/",MID(Sync!$AG147,FIND("/",Sync!$AG147)+1,20))+1,20))),"")))</f>
        <v/>
      </c>
      <c r="J147">
        <f>IF($F147="","",IF(OR($G147="",$H147="",$I147="",$G147&lt;1300,$G147&gt;1500,$H147&lt;1,$H147&gt;12,$I147&lt;1,$I147&gt;31),"نامعتبر",RIGHT("0000"&amp;$G147,4)&amp;"/"&amp;RIGHT("00"&amp;$H147,2)&amp;"/"&amp;RIGHT("00"&amp;$I147,2)))</f>
        <v/>
      </c>
      <c r="K147">
        <f>IF(OR($F147="",$J147="",$J147="نامعتبر"),"",LEFT($J147,4)&amp;MID($J147,6,2)&amp;RIGHT($J147,2)&amp;$N147&amp;"|"&amp;"2"&amp;RIGHT("00000"&amp;142,5))</f>
        <v/>
      </c>
      <c r="L147">
        <f>IF($K147="","",COUNTIFS(LdgPartyA,$F147,LdgKeyA,"&lt;"&amp;$K147)+COUNTIFS(LdgPartyB,$F147,LdgKeyB,"&lt;"&amp;$K147)+1)</f>
        <v/>
      </c>
      <c r="M147">
        <f>IF($L147="","",$F147&amp;"|"&amp;RIGHT("000000"&amp;$L147,6))</f>
        <v/>
      </c>
      <c r="N147">
        <f>IF($F147="","",IF(Sync!$AH147="","0000",IF(AND(ISNUMBER(Sync!$AH147),Sync!$AH147&gt;=0,Sync!$AH147&lt;1),RIGHT("00"&amp;HOUR(Sync!$AH147),2)&amp;RIGHT("00"&amp;MINUTE(Sync!$AH147),2),IFERROR(RIGHT("00"&amp;VALUE(LEFT(Sync!$AH147,FIND(":",Sync!$AH147)-1)),2)&amp;RIGHT("00"&amp;VALUE(MID(Sync!$AH147,FIND(":",Sync!$AH147)+1,2)),2),"0000"))))</f>
        <v/>
      </c>
    </row>
    <row r="148">
      <c r="A148">
        <f>IF(OR(Calc!$E151="",Calc!$E151="نامعتبر",Calc!$G151="",Calc!$I151&lt;&gt;"خرید"),"",Calc!$G151)</f>
        <v/>
      </c>
      <c r="B148">
        <f>IF($A148="","",LEFT(Calc!$E151,4)&amp;MID(Calc!$E151,6,2)&amp;RIGHT(Calc!$E151,2)&amp;Calc!$R151&amp;"|"&amp;"1"&amp;RIGHT("00000"&amp;143,5))</f>
        <v/>
      </c>
      <c r="C148">
        <f>IF($B148="","",COUNTIFS(LdgPartyA,$A148,LdgKeyA,"&lt;"&amp;$B148)+COUNTIFS(LdgPartyB,$A148,LdgKeyB,"&lt;"&amp;$B148)+1)</f>
        <v/>
      </c>
      <c r="D148">
        <f>IF($C148="","",$A148&amp;"|"&amp;RIGHT("000000"&amp;$C148,6))</f>
        <v/>
      </c>
      <c r="F148">
        <f>IF(Sync!$AJ148="","",Sync!$AJ148)</f>
        <v/>
      </c>
      <c r="G148">
        <f>IF($F148="","",IF(Sync!$AG148="","",IF(ISNUMBER(Sync!$AG148),IF(AND(Sync!$AG148&gt;=10000101,Sync!$AG148&lt;=99991231),INT(Sync!$AG148/10000),""),IFERROR(VALUE(TRIM(LEFT(Sync!$AG148,FIND("/",Sync!$AG148)-1))),""))))</f>
        <v/>
      </c>
      <c r="H148">
        <f>IF(OR($F148="",$G148=""),"",IF(ISNUMBER(Sync!$AG148),INT(MOD(Sync!$AG148,10000)/100),IFERROR(VALUE(TRIM(LEFT(MID(Sync!$AG148,FIND("/",Sync!$AG148)+1,20),FIND("/",MID(Sync!$AG148,FIND("/",Sync!$AG148)+1,20))-1))),"")))</f>
        <v/>
      </c>
      <c r="I148">
        <f>IF(OR($F148="",$G148=""),"",IF(ISNUMBER(Sync!$AG148),MOD(Sync!$AG148,100),IFERROR(VALUE(TRIM(MID(MID(Sync!$AG148,FIND("/",Sync!$AG148)+1,20),FIND("/",MID(Sync!$AG148,FIND("/",Sync!$AG148)+1,20))+1,20))),"")))</f>
        <v/>
      </c>
      <c r="J148">
        <f>IF($F148="","",IF(OR($G148="",$H148="",$I148="",$G148&lt;1300,$G148&gt;1500,$H148&lt;1,$H148&gt;12,$I148&lt;1,$I148&gt;31),"نامعتبر",RIGHT("0000"&amp;$G148,4)&amp;"/"&amp;RIGHT("00"&amp;$H148,2)&amp;"/"&amp;RIGHT("00"&amp;$I148,2)))</f>
        <v/>
      </c>
      <c r="K148">
        <f>IF(OR($F148="",$J148="",$J148="نامعتبر"),"",LEFT($J148,4)&amp;MID($J148,6,2)&amp;RIGHT($J148,2)&amp;$N148&amp;"|"&amp;"2"&amp;RIGHT("00000"&amp;143,5))</f>
        <v/>
      </c>
      <c r="L148">
        <f>IF($K148="","",COUNTIFS(LdgPartyA,$F148,LdgKeyA,"&lt;"&amp;$K148)+COUNTIFS(LdgPartyB,$F148,LdgKeyB,"&lt;"&amp;$K148)+1)</f>
        <v/>
      </c>
      <c r="M148">
        <f>IF($L148="","",$F148&amp;"|"&amp;RIGHT("000000"&amp;$L148,6))</f>
        <v/>
      </c>
      <c r="N148">
        <f>IF($F148="","",IF(Sync!$AH148="","0000",IF(AND(ISNUMBER(Sync!$AH148),Sync!$AH148&gt;=0,Sync!$AH148&lt;1),RIGHT("00"&amp;HOUR(Sync!$AH148),2)&amp;RIGHT("00"&amp;MINUTE(Sync!$AH148),2),IFERROR(RIGHT("00"&amp;VALUE(LEFT(Sync!$AH148,FIND(":",Sync!$AH148)-1)),2)&amp;RIGHT("00"&amp;VALUE(MID(Sync!$AH148,FIND(":",Sync!$AH148)+1,2)),2),"0000"))))</f>
        <v/>
      </c>
    </row>
    <row r="149">
      <c r="A149">
        <f>IF(OR(Calc!$E152="",Calc!$E152="نامعتبر",Calc!$G152="",Calc!$I152&lt;&gt;"خرید"),"",Calc!$G152)</f>
        <v/>
      </c>
      <c r="B149">
        <f>IF($A149="","",LEFT(Calc!$E152,4)&amp;MID(Calc!$E152,6,2)&amp;RIGHT(Calc!$E152,2)&amp;Calc!$R152&amp;"|"&amp;"1"&amp;RIGHT("00000"&amp;144,5))</f>
        <v/>
      </c>
      <c r="C149">
        <f>IF($B149="","",COUNTIFS(LdgPartyA,$A149,LdgKeyA,"&lt;"&amp;$B149)+COUNTIFS(LdgPartyB,$A149,LdgKeyB,"&lt;"&amp;$B149)+1)</f>
        <v/>
      </c>
      <c r="D149">
        <f>IF($C149="","",$A149&amp;"|"&amp;RIGHT("000000"&amp;$C149,6))</f>
        <v/>
      </c>
      <c r="F149">
        <f>IF(Sync!$AJ149="","",Sync!$AJ149)</f>
        <v/>
      </c>
      <c r="G149">
        <f>IF($F149="","",IF(Sync!$AG149="","",IF(ISNUMBER(Sync!$AG149),IF(AND(Sync!$AG149&gt;=10000101,Sync!$AG149&lt;=99991231),INT(Sync!$AG149/10000),""),IFERROR(VALUE(TRIM(LEFT(Sync!$AG149,FIND("/",Sync!$AG149)-1))),""))))</f>
        <v/>
      </c>
      <c r="H149">
        <f>IF(OR($F149="",$G149=""),"",IF(ISNUMBER(Sync!$AG149),INT(MOD(Sync!$AG149,10000)/100),IFERROR(VALUE(TRIM(LEFT(MID(Sync!$AG149,FIND("/",Sync!$AG149)+1,20),FIND("/",MID(Sync!$AG149,FIND("/",Sync!$AG149)+1,20))-1))),"")))</f>
        <v/>
      </c>
      <c r="I149">
        <f>IF(OR($F149="",$G149=""),"",IF(ISNUMBER(Sync!$AG149),MOD(Sync!$AG149,100),IFERROR(VALUE(TRIM(MID(MID(Sync!$AG149,FIND("/",Sync!$AG149)+1,20),FIND("/",MID(Sync!$AG149,FIND("/",Sync!$AG149)+1,20))+1,20))),"")))</f>
        <v/>
      </c>
      <c r="J149">
        <f>IF($F149="","",IF(OR($G149="",$H149="",$I149="",$G149&lt;1300,$G149&gt;1500,$H149&lt;1,$H149&gt;12,$I149&lt;1,$I149&gt;31),"نامعتبر",RIGHT("0000"&amp;$G149,4)&amp;"/"&amp;RIGHT("00"&amp;$H149,2)&amp;"/"&amp;RIGHT("00"&amp;$I149,2)))</f>
        <v/>
      </c>
      <c r="K149">
        <f>IF(OR($F149="",$J149="",$J149="نامعتبر"),"",LEFT($J149,4)&amp;MID($J149,6,2)&amp;RIGHT($J149,2)&amp;$N149&amp;"|"&amp;"2"&amp;RIGHT("00000"&amp;144,5))</f>
        <v/>
      </c>
      <c r="L149">
        <f>IF($K149="","",COUNTIFS(LdgPartyA,$F149,LdgKeyA,"&lt;"&amp;$K149)+COUNTIFS(LdgPartyB,$F149,LdgKeyB,"&lt;"&amp;$K149)+1)</f>
        <v/>
      </c>
      <c r="M149">
        <f>IF($L149="","",$F149&amp;"|"&amp;RIGHT("000000"&amp;$L149,6))</f>
        <v/>
      </c>
      <c r="N149">
        <f>IF($F149="","",IF(Sync!$AH149="","0000",IF(AND(ISNUMBER(Sync!$AH149),Sync!$AH149&gt;=0,Sync!$AH149&lt;1),RIGHT("00"&amp;HOUR(Sync!$AH149),2)&amp;RIGHT("00"&amp;MINUTE(Sync!$AH149),2),IFERROR(RIGHT("00"&amp;VALUE(LEFT(Sync!$AH149,FIND(":",Sync!$AH149)-1)),2)&amp;RIGHT("00"&amp;VALUE(MID(Sync!$AH149,FIND(":",Sync!$AH149)+1,2)),2),"0000"))))</f>
        <v/>
      </c>
    </row>
    <row r="150">
      <c r="A150">
        <f>IF(OR(Calc!$E153="",Calc!$E153="نامعتبر",Calc!$G153="",Calc!$I153&lt;&gt;"خرید"),"",Calc!$G153)</f>
        <v/>
      </c>
      <c r="B150">
        <f>IF($A150="","",LEFT(Calc!$E153,4)&amp;MID(Calc!$E153,6,2)&amp;RIGHT(Calc!$E153,2)&amp;Calc!$R153&amp;"|"&amp;"1"&amp;RIGHT("00000"&amp;145,5))</f>
        <v/>
      </c>
      <c r="C150">
        <f>IF($B150="","",COUNTIFS(LdgPartyA,$A150,LdgKeyA,"&lt;"&amp;$B150)+COUNTIFS(LdgPartyB,$A150,LdgKeyB,"&lt;"&amp;$B150)+1)</f>
        <v/>
      </c>
      <c r="D150">
        <f>IF($C150="","",$A150&amp;"|"&amp;RIGHT("000000"&amp;$C150,6))</f>
        <v/>
      </c>
      <c r="F150">
        <f>IF(Sync!$AJ150="","",Sync!$AJ150)</f>
        <v/>
      </c>
      <c r="G150">
        <f>IF($F150="","",IF(Sync!$AG150="","",IF(ISNUMBER(Sync!$AG150),IF(AND(Sync!$AG150&gt;=10000101,Sync!$AG150&lt;=99991231),INT(Sync!$AG150/10000),""),IFERROR(VALUE(TRIM(LEFT(Sync!$AG150,FIND("/",Sync!$AG150)-1))),""))))</f>
        <v/>
      </c>
      <c r="H150">
        <f>IF(OR($F150="",$G150=""),"",IF(ISNUMBER(Sync!$AG150),INT(MOD(Sync!$AG150,10000)/100),IFERROR(VALUE(TRIM(LEFT(MID(Sync!$AG150,FIND("/",Sync!$AG150)+1,20),FIND("/",MID(Sync!$AG150,FIND("/",Sync!$AG150)+1,20))-1))),"")))</f>
        <v/>
      </c>
      <c r="I150">
        <f>IF(OR($F150="",$G150=""),"",IF(ISNUMBER(Sync!$AG150),MOD(Sync!$AG150,100),IFERROR(VALUE(TRIM(MID(MID(Sync!$AG150,FIND("/",Sync!$AG150)+1,20),FIND("/",MID(Sync!$AG150,FIND("/",Sync!$AG150)+1,20))+1,20))),"")))</f>
        <v/>
      </c>
      <c r="J150">
        <f>IF($F150="","",IF(OR($G150="",$H150="",$I150="",$G150&lt;1300,$G150&gt;1500,$H150&lt;1,$H150&gt;12,$I150&lt;1,$I150&gt;31),"نامعتبر",RIGHT("0000"&amp;$G150,4)&amp;"/"&amp;RIGHT("00"&amp;$H150,2)&amp;"/"&amp;RIGHT("00"&amp;$I150,2)))</f>
        <v/>
      </c>
      <c r="K150">
        <f>IF(OR($F150="",$J150="",$J150="نامعتبر"),"",LEFT($J150,4)&amp;MID($J150,6,2)&amp;RIGHT($J150,2)&amp;$N150&amp;"|"&amp;"2"&amp;RIGHT("00000"&amp;145,5))</f>
        <v/>
      </c>
      <c r="L150">
        <f>IF($K150="","",COUNTIFS(LdgPartyA,$F150,LdgKeyA,"&lt;"&amp;$K150)+COUNTIFS(LdgPartyB,$F150,LdgKeyB,"&lt;"&amp;$K150)+1)</f>
        <v/>
      </c>
      <c r="M150">
        <f>IF($L150="","",$F150&amp;"|"&amp;RIGHT("000000"&amp;$L150,6))</f>
        <v/>
      </c>
      <c r="N150">
        <f>IF($F150="","",IF(Sync!$AH150="","0000",IF(AND(ISNUMBER(Sync!$AH150),Sync!$AH150&gt;=0,Sync!$AH150&lt;1),RIGHT("00"&amp;HOUR(Sync!$AH150),2)&amp;RIGHT("00"&amp;MINUTE(Sync!$AH150),2),IFERROR(RIGHT("00"&amp;VALUE(LEFT(Sync!$AH150,FIND(":",Sync!$AH150)-1)),2)&amp;RIGHT("00"&amp;VALUE(MID(Sync!$AH150,FIND(":",Sync!$AH150)+1,2)),2),"0000"))))</f>
        <v/>
      </c>
    </row>
    <row r="151">
      <c r="A151">
        <f>IF(OR(Calc!$E154="",Calc!$E154="نامعتبر",Calc!$G154="",Calc!$I154&lt;&gt;"خرید"),"",Calc!$G154)</f>
        <v/>
      </c>
      <c r="B151">
        <f>IF($A151="","",LEFT(Calc!$E154,4)&amp;MID(Calc!$E154,6,2)&amp;RIGHT(Calc!$E154,2)&amp;Calc!$R154&amp;"|"&amp;"1"&amp;RIGHT("00000"&amp;146,5))</f>
        <v/>
      </c>
      <c r="C151">
        <f>IF($B151="","",COUNTIFS(LdgPartyA,$A151,LdgKeyA,"&lt;"&amp;$B151)+COUNTIFS(LdgPartyB,$A151,LdgKeyB,"&lt;"&amp;$B151)+1)</f>
        <v/>
      </c>
      <c r="D151">
        <f>IF($C151="","",$A151&amp;"|"&amp;RIGHT("000000"&amp;$C151,6))</f>
        <v/>
      </c>
      <c r="F151">
        <f>IF(Sync!$AJ151="","",Sync!$AJ151)</f>
        <v/>
      </c>
      <c r="G151">
        <f>IF($F151="","",IF(Sync!$AG151="","",IF(ISNUMBER(Sync!$AG151),IF(AND(Sync!$AG151&gt;=10000101,Sync!$AG151&lt;=99991231),INT(Sync!$AG151/10000),""),IFERROR(VALUE(TRIM(LEFT(Sync!$AG151,FIND("/",Sync!$AG151)-1))),""))))</f>
        <v/>
      </c>
      <c r="H151">
        <f>IF(OR($F151="",$G151=""),"",IF(ISNUMBER(Sync!$AG151),INT(MOD(Sync!$AG151,10000)/100),IFERROR(VALUE(TRIM(LEFT(MID(Sync!$AG151,FIND("/",Sync!$AG151)+1,20),FIND("/",MID(Sync!$AG151,FIND("/",Sync!$AG151)+1,20))-1))),"")))</f>
        <v/>
      </c>
      <c r="I151">
        <f>IF(OR($F151="",$G151=""),"",IF(ISNUMBER(Sync!$AG151),MOD(Sync!$AG151,100),IFERROR(VALUE(TRIM(MID(MID(Sync!$AG151,FIND("/",Sync!$AG151)+1,20),FIND("/",MID(Sync!$AG151,FIND("/",Sync!$AG151)+1,20))+1,20))),"")))</f>
        <v/>
      </c>
      <c r="J151">
        <f>IF($F151="","",IF(OR($G151="",$H151="",$I151="",$G151&lt;1300,$G151&gt;1500,$H151&lt;1,$H151&gt;12,$I151&lt;1,$I151&gt;31),"نامعتبر",RIGHT("0000"&amp;$G151,4)&amp;"/"&amp;RIGHT("00"&amp;$H151,2)&amp;"/"&amp;RIGHT("00"&amp;$I151,2)))</f>
        <v/>
      </c>
      <c r="K151">
        <f>IF(OR($F151="",$J151="",$J151="نامعتبر"),"",LEFT($J151,4)&amp;MID($J151,6,2)&amp;RIGHT($J151,2)&amp;$N151&amp;"|"&amp;"2"&amp;RIGHT("00000"&amp;146,5))</f>
        <v/>
      </c>
      <c r="L151">
        <f>IF($K151="","",COUNTIFS(LdgPartyA,$F151,LdgKeyA,"&lt;"&amp;$K151)+COUNTIFS(LdgPartyB,$F151,LdgKeyB,"&lt;"&amp;$K151)+1)</f>
        <v/>
      </c>
      <c r="M151">
        <f>IF($L151="","",$F151&amp;"|"&amp;RIGHT("000000"&amp;$L151,6))</f>
        <v/>
      </c>
      <c r="N151">
        <f>IF($F151="","",IF(Sync!$AH151="","0000",IF(AND(ISNUMBER(Sync!$AH151),Sync!$AH151&gt;=0,Sync!$AH151&lt;1),RIGHT("00"&amp;HOUR(Sync!$AH151),2)&amp;RIGHT("00"&amp;MINUTE(Sync!$AH151),2),IFERROR(RIGHT("00"&amp;VALUE(LEFT(Sync!$AH151,FIND(":",Sync!$AH151)-1)),2)&amp;RIGHT("00"&amp;VALUE(MID(Sync!$AH151,FIND(":",Sync!$AH151)+1,2)),2),"0000"))))</f>
        <v/>
      </c>
    </row>
    <row r="152">
      <c r="A152">
        <f>IF(OR(Calc!$E155="",Calc!$E155="نامعتبر",Calc!$G155="",Calc!$I155&lt;&gt;"خرید"),"",Calc!$G155)</f>
        <v/>
      </c>
      <c r="B152">
        <f>IF($A152="","",LEFT(Calc!$E155,4)&amp;MID(Calc!$E155,6,2)&amp;RIGHT(Calc!$E155,2)&amp;Calc!$R155&amp;"|"&amp;"1"&amp;RIGHT("00000"&amp;147,5))</f>
        <v/>
      </c>
      <c r="C152">
        <f>IF($B152="","",COUNTIFS(LdgPartyA,$A152,LdgKeyA,"&lt;"&amp;$B152)+COUNTIFS(LdgPartyB,$A152,LdgKeyB,"&lt;"&amp;$B152)+1)</f>
        <v/>
      </c>
      <c r="D152">
        <f>IF($C152="","",$A152&amp;"|"&amp;RIGHT("000000"&amp;$C152,6))</f>
        <v/>
      </c>
      <c r="F152">
        <f>IF(Sync!$AJ152="","",Sync!$AJ152)</f>
        <v/>
      </c>
      <c r="G152">
        <f>IF($F152="","",IF(Sync!$AG152="","",IF(ISNUMBER(Sync!$AG152),IF(AND(Sync!$AG152&gt;=10000101,Sync!$AG152&lt;=99991231),INT(Sync!$AG152/10000),""),IFERROR(VALUE(TRIM(LEFT(Sync!$AG152,FIND("/",Sync!$AG152)-1))),""))))</f>
        <v/>
      </c>
      <c r="H152">
        <f>IF(OR($F152="",$G152=""),"",IF(ISNUMBER(Sync!$AG152),INT(MOD(Sync!$AG152,10000)/100),IFERROR(VALUE(TRIM(LEFT(MID(Sync!$AG152,FIND("/",Sync!$AG152)+1,20),FIND("/",MID(Sync!$AG152,FIND("/",Sync!$AG152)+1,20))-1))),"")))</f>
        <v/>
      </c>
      <c r="I152">
        <f>IF(OR($F152="",$G152=""),"",IF(ISNUMBER(Sync!$AG152),MOD(Sync!$AG152,100),IFERROR(VALUE(TRIM(MID(MID(Sync!$AG152,FIND("/",Sync!$AG152)+1,20),FIND("/",MID(Sync!$AG152,FIND("/",Sync!$AG152)+1,20))+1,20))),"")))</f>
        <v/>
      </c>
      <c r="J152">
        <f>IF($F152="","",IF(OR($G152="",$H152="",$I152="",$G152&lt;1300,$G152&gt;1500,$H152&lt;1,$H152&gt;12,$I152&lt;1,$I152&gt;31),"نامعتبر",RIGHT("0000"&amp;$G152,4)&amp;"/"&amp;RIGHT("00"&amp;$H152,2)&amp;"/"&amp;RIGHT("00"&amp;$I152,2)))</f>
        <v/>
      </c>
      <c r="K152">
        <f>IF(OR($F152="",$J152="",$J152="نامعتبر"),"",LEFT($J152,4)&amp;MID($J152,6,2)&amp;RIGHT($J152,2)&amp;$N152&amp;"|"&amp;"2"&amp;RIGHT("00000"&amp;147,5))</f>
        <v/>
      </c>
      <c r="L152">
        <f>IF($K152="","",COUNTIFS(LdgPartyA,$F152,LdgKeyA,"&lt;"&amp;$K152)+COUNTIFS(LdgPartyB,$F152,LdgKeyB,"&lt;"&amp;$K152)+1)</f>
        <v/>
      </c>
      <c r="M152">
        <f>IF($L152="","",$F152&amp;"|"&amp;RIGHT("000000"&amp;$L152,6))</f>
        <v/>
      </c>
      <c r="N152">
        <f>IF($F152="","",IF(Sync!$AH152="","0000",IF(AND(ISNUMBER(Sync!$AH152),Sync!$AH152&gt;=0,Sync!$AH152&lt;1),RIGHT("00"&amp;HOUR(Sync!$AH152),2)&amp;RIGHT("00"&amp;MINUTE(Sync!$AH152),2),IFERROR(RIGHT("00"&amp;VALUE(LEFT(Sync!$AH152,FIND(":",Sync!$AH152)-1)),2)&amp;RIGHT("00"&amp;VALUE(MID(Sync!$AH152,FIND(":",Sync!$AH152)+1,2)),2),"0000"))))</f>
        <v/>
      </c>
    </row>
    <row r="153">
      <c r="A153">
        <f>IF(OR(Calc!$E156="",Calc!$E156="نامعتبر",Calc!$G156="",Calc!$I156&lt;&gt;"خرید"),"",Calc!$G156)</f>
        <v/>
      </c>
      <c r="B153">
        <f>IF($A153="","",LEFT(Calc!$E156,4)&amp;MID(Calc!$E156,6,2)&amp;RIGHT(Calc!$E156,2)&amp;Calc!$R156&amp;"|"&amp;"1"&amp;RIGHT("00000"&amp;148,5))</f>
        <v/>
      </c>
      <c r="C153">
        <f>IF($B153="","",COUNTIFS(LdgPartyA,$A153,LdgKeyA,"&lt;"&amp;$B153)+COUNTIFS(LdgPartyB,$A153,LdgKeyB,"&lt;"&amp;$B153)+1)</f>
        <v/>
      </c>
      <c r="D153">
        <f>IF($C153="","",$A153&amp;"|"&amp;RIGHT("000000"&amp;$C153,6))</f>
        <v/>
      </c>
      <c r="F153">
        <f>IF(Sync!$AJ153="","",Sync!$AJ153)</f>
        <v/>
      </c>
      <c r="G153">
        <f>IF($F153="","",IF(Sync!$AG153="","",IF(ISNUMBER(Sync!$AG153),IF(AND(Sync!$AG153&gt;=10000101,Sync!$AG153&lt;=99991231),INT(Sync!$AG153/10000),""),IFERROR(VALUE(TRIM(LEFT(Sync!$AG153,FIND("/",Sync!$AG153)-1))),""))))</f>
        <v/>
      </c>
      <c r="H153">
        <f>IF(OR($F153="",$G153=""),"",IF(ISNUMBER(Sync!$AG153),INT(MOD(Sync!$AG153,10000)/100),IFERROR(VALUE(TRIM(LEFT(MID(Sync!$AG153,FIND("/",Sync!$AG153)+1,20),FIND("/",MID(Sync!$AG153,FIND("/",Sync!$AG153)+1,20))-1))),"")))</f>
        <v/>
      </c>
      <c r="I153">
        <f>IF(OR($F153="",$G153=""),"",IF(ISNUMBER(Sync!$AG153),MOD(Sync!$AG153,100),IFERROR(VALUE(TRIM(MID(MID(Sync!$AG153,FIND("/",Sync!$AG153)+1,20),FIND("/",MID(Sync!$AG153,FIND("/",Sync!$AG153)+1,20))+1,20))),"")))</f>
        <v/>
      </c>
      <c r="J153">
        <f>IF($F153="","",IF(OR($G153="",$H153="",$I153="",$G153&lt;1300,$G153&gt;1500,$H153&lt;1,$H153&gt;12,$I153&lt;1,$I153&gt;31),"نامعتبر",RIGHT("0000"&amp;$G153,4)&amp;"/"&amp;RIGHT("00"&amp;$H153,2)&amp;"/"&amp;RIGHT("00"&amp;$I153,2)))</f>
        <v/>
      </c>
      <c r="K153">
        <f>IF(OR($F153="",$J153="",$J153="نامعتبر"),"",LEFT($J153,4)&amp;MID($J153,6,2)&amp;RIGHT($J153,2)&amp;$N153&amp;"|"&amp;"2"&amp;RIGHT("00000"&amp;148,5))</f>
        <v/>
      </c>
      <c r="L153">
        <f>IF($K153="","",COUNTIFS(LdgPartyA,$F153,LdgKeyA,"&lt;"&amp;$K153)+COUNTIFS(LdgPartyB,$F153,LdgKeyB,"&lt;"&amp;$K153)+1)</f>
        <v/>
      </c>
      <c r="M153">
        <f>IF($L153="","",$F153&amp;"|"&amp;RIGHT("000000"&amp;$L153,6))</f>
        <v/>
      </c>
      <c r="N153">
        <f>IF($F153="","",IF(Sync!$AH153="","0000",IF(AND(ISNUMBER(Sync!$AH153),Sync!$AH153&gt;=0,Sync!$AH153&lt;1),RIGHT("00"&amp;HOUR(Sync!$AH153),2)&amp;RIGHT("00"&amp;MINUTE(Sync!$AH153),2),IFERROR(RIGHT("00"&amp;VALUE(LEFT(Sync!$AH153,FIND(":",Sync!$AH153)-1)),2)&amp;RIGHT("00"&amp;VALUE(MID(Sync!$AH153,FIND(":",Sync!$AH153)+1,2)),2),"0000"))))</f>
        <v/>
      </c>
    </row>
    <row r="154">
      <c r="A154">
        <f>IF(OR(Calc!$E157="",Calc!$E157="نامعتبر",Calc!$G157="",Calc!$I157&lt;&gt;"خرید"),"",Calc!$G157)</f>
        <v/>
      </c>
      <c r="B154">
        <f>IF($A154="","",LEFT(Calc!$E157,4)&amp;MID(Calc!$E157,6,2)&amp;RIGHT(Calc!$E157,2)&amp;Calc!$R157&amp;"|"&amp;"1"&amp;RIGHT("00000"&amp;149,5))</f>
        <v/>
      </c>
      <c r="C154">
        <f>IF($B154="","",COUNTIFS(LdgPartyA,$A154,LdgKeyA,"&lt;"&amp;$B154)+COUNTIFS(LdgPartyB,$A154,LdgKeyB,"&lt;"&amp;$B154)+1)</f>
        <v/>
      </c>
      <c r="D154">
        <f>IF($C154="","",$A154&amp;"|"&amp;RIGHT("000000"&amp;$C154,6))</f>
        <v/>
      </c>
      <c r="F154">
        <f>IF(Sync!$AJ154="","",Sync!$AJ154)</f>
        <v/>
      </c>
      <c r="G154">
        <f>IF($F154="","",IF(Sync!$AG154="","",IF(ISNUMBER(Sync!$AG154),IF(AND(Sync!$AG154&gt;=10000101,Sync!$AG154&lt;=99991231),INT(Sync!$AG154/10000),""),IFERROR(VALUE(TRIM(LEFT(Sync!$AG154,FIND("/",Sync!$AG154)-1))),""))))</f>
        <v/>
      </c>
      <c r="H154">
        <f>IF(OR($F154="",$G154=""),"",IF(ISNUMBER(Sync!$AG154),INT(MOD(Sync!$AG154,10000)/100),IFERROR(VALUE(TRIM(LEFT(MID(Sync!$AG154,FIND("/",Sync!$AG154)+1,20),FIND("/",MID(Sync!$AG154,FIND("/",Sync!$AG154)+1,20))-1))),"")))</f>
        <v/>
      </c>
      <c r="I154">
        <f>IF(OR($F154="",$G154=""),"",IF(ISNUMBER(Sync!$AG154),MOD(Sync!$AG154,100),IFERROR(VALUE(TRIM(MID(MID(Sync!$AG154,FIND("/",Sync!$AG154)+1,20),FIND("/",MID(Sync!$AG154,FIND("/",Sync!$AG154)+1,20))+1,20))),"")))</f>
        <v/>
      </c>
      <c r="J154">
        <f>IF($F154="","",IF(OR($G154="",$H154="",$I154="",$G154&lt;1300,$G154&gt;1500,$H154&lt;1,$H154&gt;12,$I154&lt;1,$I154&gt;31),"نامعتبر",RIGHT("0000"&amp;$G154,4)&amp;"/"&amp;RIGHT("00"&amp;$H154,2)&amp;"/"&amp;RIGHT("00"&amp;$I154,2)))</f>
        <v/>
      </c>
      <c r="K154">
        <f>IF(OR($F154="",$J154="",$J154="نامعتبر"),"",LEFT($J154,4)&amp;MID($J154,6,2)&amp;RIGHT($J154,2)&amp;$N154&amp;"|"&amp;"2"&amp;RIGHT("00000"&amp;149,5))</f>
        <v/>
      </c>
      <c r="L154">
        <f>IF($K154="","",COUNTIFS(LdgPartyA,$F154,LdgKeyA,"&lt;"&amp;$K154)+COUNTIFS(LdgPartyB,$F154,LdgKeyB,"&lt;"&amp;$K154)+1)</f>
        <v/>
      </c>
      <c r="M154">
        <f>IF($L154="","",$F154&amp;"|"&amp;RIGHT("000000"&amp;$L154,6))</f>
        <v/>
      </c>
      <c r="N154">
        <f>IF($F154="","",IF(Sync!$AH154="","0000",IF(AND(ISNUMBER(Sync!$AH154),Sync!$AH154&gt;=0,Sync!$AH154&lt;1),RIGHT("00"&amp;HOUR(Sync!$AH154),2)&amp;RIGHT("00"&amp;MINUTE(Sync!$AH154),2),IFERROR(RIGHT("00"&amp;VALUE(LEFT(Sync!$AH154,FIND(":",Sync!$AH154)-1)),2)&amp;RIGHT("00"&amp;VALUE(MID(Sync!$AH154,FIND(":",Sync!$AH154)+1,2)),2),"0000"))))</f>
        <v/>
      </c>
    </row>
    <row r="155">
      <c r="A155">
        <f>IF(OR(Calc!$E158="",Calc!$E158="نامعتبر",Calc!$G158="",Calc!$I158&lt;&gt;"خرید"),"",Calc!$G158)</f>
        <v/>
      </c>
      <c r="B155">
        <f>IF($A155="","",LEFT(Calc!$E158,4)&amp;MID(Calc!$E158,6,2)&amp;RIGHT(Calc!$E158,2)&amp;Calc!$R158&amp;"|"&amp;"1"&amp;RIGHT("00000"&amp;150,5))</f>
        <v/>
      </c>
      <c r="C155">
        <f>IF($B155="","",COUNTIFS(LdgPartyA,$A155,LdgKeyA,"&lt;"&amp;$B155)+COUNTIFS(LdgPartyB,$A155,LdgKeyB,"&lt;"&amp;$B155)+1)</f>
        <v/>
      </c>
      <c r="D155">
        <f>IF($C155="","",$A155&amp;"|"&amp;RIGHT("000000"&amp;$C155,6))</f>
        <v/>
      </c>
      <c r="F155">
        <f>IF(Sync!$AJ155="","",Sync!$AJ155)</f>
        <v/>
      </c>
      <c r="G155">
        <f>IF($F155="","",IF(Sync!$AG155="","",IF(ISNUMBER(Sync!$AG155),IF(AND(Sync!$AG155&gt;=10000101,Sync!$AG155&lt;=99991231),INT(Sync!$AG155/10000),""),IFERROR(VALUE(TRIM(LEFT(Sync!$AG155,FIND("/",Sync!$AG155)-1))),""))))</f>
        <v/>
      </c>
      <c r="H155">
        <f>IF(OR($F155="",$G155=""),"",IF(ISNUMBER(Sync!$AG155),INT(MOD(Sync!$AG155,10000)/100),IFERROR(VALUE(TRIM(LEFT(MID(Sync!$AG155,FIND("/",Sync!$AG155)+1,20),FIND("/",MID(Sync!$AG155,FIND("/",Sync!$AG155)+1,20))-1))),"")))</f>
        <v/>
      </c>
      <c r="I155">
        <f>IF(OR($F155="",$G155=""),"",IF(ISNUMBER(Sync!$AG155),MOD(Sync!$AG155,100),IFERROR(VALUE(TRIM(MID(MID(Sync!$AG155,FIND("/",Sync!$AG155)+1,20),FIND("/",MID(Sync!$AG155,FIND("/",Sync!$AG155)+1,20))+1,20))),"")))</f>
        <v/>
      </c>
      <c r="J155">
        <f>IF($F155="","",IF(OR($G155="",$H155="",$I155="",$G155&lt;1300,$G155&gt;1500,$H155&lt;1,$H155&gt;12,$I155&lt;1,$I155&gt;31),"نامعتبر",RIGHT("0000"&amp;$G155,4)&amp;"/"&amp;RIGHT("00"&amp;$H155,2)&amp;"/"&amp;RIGHT("00"&amp;$I155,2)))</f>
        <v/>
      </c>
      <c r="K155">
        <f>IF(OR($F155="",$J155="",$J155="نامعتبر"),"",LEFT($J155,4)&amp;MID($J155,6,2)&amp;RIGHT($J155,2)&amp;$N155&amp;"|"&amp;"2"&amp;RIGHT("00000"&amp;150,5))</f>
        <v/>
      </c>
      <c r="L155">
        <f>IF($K155="","",COUNTIFS(LdgPartyA,$F155,LdgKeyA,"&lt;"&amp;$K155)+COUNTIFS(LdgPartyB,$F155,LdgKeyB,"&lt;"&amp;$K155)+1)</f>
        <v/>
      </c>
      <c r="M155">
        <f>IF($L155="","",$F155&amp;"|"&amp;RIGHT("000000"&amp;$L155,6))</f>
        <v/>
      </c>
      <c r="N155">
        <f>IF($F155="","",IF(Sync!$AH155="","0000",IF(AND(ISNUMBER(Sync!$AH155),Sync!$AH155&gt;=0,Sync!$AH155&lt;1),RIGHT("00"&amp;HOUR(Sync!$AH155),2)&amp;RIGHT("00"&amp;MINUTE(Sync!$AH155),2),IFERROR(RIGHT("00"&amp;VALUE(LEFT(Sync!$AH155,FIND(":",Sync!$AH155)-1)),2)&amp;RIGHT("00"&amp;VALUE(MID(Sync!$AH155,FIND(":",Sync!$AH155)+1,2)),2),"0000"))))</f>
        <v/>
      </c>
    </row>
    <row r="156">
      <c r="A156">
        <f>IF(OR(Calc!$E159="",Calc!$E159="نامعتبر",Calc!$G159="",Calc!$I159&lt;&gt;"خرید"),"",Calc!$G159)</f>
        <v/>
      </c>
      <c r="B156">
        <f>IF($A156="","",LEFT(Calc!$E159,4)&amp;MID(Calc!$E159,6,2)&amp;RIGHT(Calc!$E159,2)&amp;Calc!$R159&amp;"|"&amp;"1"&amp;RIGHT("00000"&amp;151,5))</f>
        <v/>
      </c>
      <c r="C156">
        <f>IF($B156="","",COUNTIFS(LdgPartyA,$A156,LdgKeyA,"&lt;"&amp;$B156)+COUNTIFS(LdgPartyB,$A156,LdgKeyB,"&lt;"&amp;$B156)+1)</f>
        <v/>
      </c>
      <c r="D156">
        <f>IF($C156="","",$A156&amp;"|"&amp;RIGHT("000000"&amp;$C156,6))</f>
        <v/>
      </c>
      <c r="F156">
        <f>IF(Sync!$AJ156="","",Sync!$AJ156)</f>
        <v/>
      </c>
      <c r="G156">
        <f>IF($F156="","",IF(Sync!$AG156="","",IF(ISNUMBER(Sync!$AG156),IF(AND(Sync!$AG156&gt;=10000101,Sync!$AG156&lt;=99991231),INT(Sync!$AG156/10000),""),IFERROR(VALUE(TRIM(LEFT(Sync!$AG156,FIND("/",Sync!$AG156)-1))),""))))</f>
        <v/>
      </c>
      <c r="H156">
        <f>IF(OR($F156="",$G156=""),"",IF(ISNUMBER(Sync!$AG156),INT(MOD(Sync!$AG156,10000)/100),IFERROR(VALUE(TRIM(LEFT(MID(Sync!$AG156,FIND("/",Sync!$AG156)+1,20),FIND("/",MID(Sync!$AG156,FIND("/",Sync!$AG156)+1,20))-1))),"")))</f>
        <v/>
      </c>
      <c r="I156">
        <f>IF(OR($F156="",$G156=""),"",IF(ISNUMBER(Sync!$AG156),MOD(Sync!$AG156,100),IFERROR(VALUE(TRIM(MID(MID(Sync!$AG156,FIND("/",Sync!$AG156)+1,20),FIND("/",MID(Sync!$AG156,FIND("/",Sync!$AG156)+1,20))+1,20))),"")))</f>
        <v/>
      </c>
      <c r="J156">
        <f>IF($F156="","",IF(OR($G156="",$H156="",$I156="",$G156&lt;1300,$G156&gt;1500,$H156&lt;1,$H156&gt;12,$I156&lt;1,$I156&gt;31),"نامعتبر",RIGHT("0000"&amp;$G156,4)&amp;"/"&amp;RIGHT("00"&amp;$H156,2)&amp;"/"&amp;RIGHT("00"&amp;$I156,2)))</f>
        <v/>
      </c>
      <c r="K156">
        <f>IF(OR($F156="",$J156="",$J156="نامعتبر"),"",LEFT($J156,4)&amp;MID($J156,6,2)&amp;RIGHT($J156,2)&amp;$N156&amp;"|"&amp;"2"&amp;RIGHT("00000"&amp;151,5))</f>
        <v/>
      </c>
      <c r="L156">
        <f>IF($K156="","",COUNTIFS(LdgPartyA,$F156,LdgKeyA,"&lt;"&amp;$K156)+COUNTIFS(LdgPartyB,$F156,LdgKeyB,"&lt;"&amp;$K156)+1)</f>
        <v/>
      </c>
      <c r="M156">
        <f>IF($L156="","",$F156&amp;"|"&amp;RIGHT("000000"&amp;$L156,6))</f>
        <v/>
      </c>
      <c r="N156">
        <f>IF($F156="","",IF(Sync!$AH156="","0000",IF(AND(ISNUMBER(Sync!$AH156),Sync!$AH156&gt;=0,Sync!$AH156&lt;1),RIGHT("00"&amp;HOUR(Sync!$AH156),2)&amp;RIGHT("00"&amp;MINUTE(Sync!$AH156),2),IFERROR(RIGHT("00"&amp;VALUE(LEFT(Sync!$AH156,FIND(":",Sync!$AH156)-1)),2)&amp;RIGHT("00"&amp;VALUE(MID(Sync!$AH156,FIND(":",Sync!$AH156)+1,2)),2),"0000"))))</f>
        <v/>
      </c>
    </row>
    <row r="157">
      <c r="A157">
        <f>IF(OR(Calc!$E160="",Calc!$E160="نامعتبر",Calc!$G160="",Calc!$I160&lt;&gt;"خرید"),"",Calc!$G160)</f>
        <v/>
      </c>
      <c r="B157">
        <f>IF($A157="","",LEFT(Calc!$E160,4)&amp;MID(Calc!$E160,6,2)&amp;RIGHT(Calc!$E160,2)&amp;Calc!$R160&amp;"|"&amp;"1"&amp;RIGHT("00000"&amp;152,5))</f>
        <v/>
      </c>
      <c r="C157">
        <f>IF($B157="","",COUNTIFS(LdgPartyA,$A157,LdgKeyA,"&lt;"&amp;$B157)+COUNTIFS(LdgPartyB,$A157,LdgKeyB,"&lt;"&amp;$B157)+1)</f>
        <v/>
      </c>
      <c r="D157">
        <f>IF($C157="","",$A157&amp;"|"&amp;RIGHT("000000"&amp;$C157,6))</f>
        <v/>
      </c>
      <c r="F157">
        <f>IF(Sync!$AJ157="","",Sync!$AJ157)</f>
        <v/>
      </c>
      <c r="G157">
        <f>IF($F157="","",IF(Sync!$AG157="","",IF(ISNUMBER(Sync!$AG157),IF(AND(Sync!$AG157&gt;=10000101,Sync!$AG157&lt;=99991231),INT(Sync!$AG157/10000),""),IFERROR(VALUE(TRIM(LEFT(Sync!$AG157,FIND("/",Sync!$AG157)-1))),""))))</f>
        <v/>
      </c>
      <c r="H157">
        <f>IF(OR($F157="",$G157=""),"",IF(ISNUMBER(Sync!$AG157),INT(MOD(Sync!$AG157,10000)/100),IFERROR(VALUE(TRIM(LEFT(MID(Sync!$AG157,FIND("/",Sync!$AG157)+1,20),FIND("/",MID(Sync!$AG157,FIND("/",Sync!$AG157)+1,20))-1))),"")))</f>
        <v/>
      </c>
      <c r="I157">
        <f>IF(OR($F157="",$G157=""),"",IF(ISNUMBER(Sync!$AG157),MOD(Sync!$AG157,100),IFERROR(VALUE(TRIM(MID(MID(Sync!$AG157,FIND("/",Sync!$AG157)+1,20),FIND("/",MID(Sync!$AG157,FIND("/",Sync!$AG157)+1,20))+1,20))),"")))</f>
        <v/>
      </c>
      <c r="J157">
        <f>IF($F157="","",IF(OR($G157="",$H157="",$I157="",$G157&lt;1300,$G157&gt;1500,$H157&lt;1,$H157&gt;12,$I157&lt;1,$I157&gt;31),"نامعتبر",RIGHT("0000"&amp;$G157,4)&amp;"/"&amp;RIGHT("00"&amp;$H157,2)&amp;"/"&amp;RIGHT("00"&amp;$I157,2)))</f>
        <v/>
      </c>
      <c r="K157">
        <f>IF(OR($F157="",$J157="",$J157="نامعتبر"),"",LEFT($J157,4)&amp;MID($J157,6,2)&amp;RIGHT($J157,2)&amp;$N157&amp;"|"&amp;"2"&amp;RIGHT("00000"&amp;152,5))</f>
        <v/>
      </c>
      <c r="L157">
        <f>IF($K157="","",COUNTIFS(LdgPartyA,$F157,LdgKeyA,"&lt;"&amp;$K157)+COUNTIFS(LdgPartyB,$F157,LdgKeyB,"&lt;"&amp;$K157)+1)</f>
        <v/>
      </c>
      <c r="M157">
        <f>IF($L157="","",$F157&amp;"|"&amp;RIGHT("000000"&amp;$L157,6))</f>
        <v/>
      </c>
      <c r="N157">
        <f>IF($F157="","",IF(Sync!$AH157="","0000",IF(AND(ISNUMBER(Sync!$AH157),Sync!$AH157&gt;=0,Sync!$AH157&lt;1),RIGHT("00"&amp;HOUR(Sync!$AH157),2)&amp;RIGHT("00"&amp;MINUTE(Sync!$AH157),2),IFERROR(RIGHT("00"&amp;VALUE(LEFT(Sync!$AH157,FIND(":",Sync!$AH157)-1)),2)&amp;RIGHT("00"&amp;VALUE(MID(Sync!$AH157,FIND(":",Sync!$AH157)+1,2)),2),"0000"))))</f>
        <v/>
      </c>
    </row>
    <row r="158">
      <c r="A158">
        <f>IF(OR(Calc!$E161="",Calc!$E161="نامعتبر",Calc!$G161="",Calc!$I161&lt;&gt;"خرید"),"",Calc!$G161)</f>
        <v/>
      </c>
      <c r="B158">
        <f>IF($A158="","",LEFT(Calc!$E161,4)&amp;MID(Calc!$E161,6,2)&amp;RIGHT(Calc!$E161,2)&amp;Calc!$R161&amp;"|"&amp;"1"&amp;RIGHT("00000"&amp;153,5))</f>
        <v/>
      </c>
      <c r="C158">
        <f>IF($B158="","",COUNTIFS(LdgPartyA,$A158,LdgKeyA,"&lt;"&amp;$B158)+COUNTIFS(LdgPartyB,$A158,LdgKeyB,"&lt;"&amp;$B158)+1)</f>
        <v/>
      </c>
      <c r="D158">
        <f>IF($C158="","",$A158&amp;"|"&amp;RIGHT("000000"&amp;$C158,6))</f>
        <v/>
      </c>
      <c r="F158">
        <f>IF(Sync!$AJ158="","",Sync!$AJ158)</f>
        <v/>
      </c>
      <c r="G158">
        <f>IF($F158="","",IF(Sync!$AG158="","",IF(ISNUMBER(Sync!$AG158),IF(AND(Sync!$AG158&gt;=10000101,Sync!$AG158&lt;=99991231),INT(Sync!$AG158/10000),""),IFERROR(VALUE(TRIM(LEFT(Sync!$AG158,FIND("/",Sync!$AG158)-1))),""))))</f>
        <v/>
      </c>
      <c r="H158">
        <f>IF(OR($F158="",$G158=""),"",IF(ISNUMBER(Sync!$AG158),INT(MOD(Sync!$AG158,10000)/100),IFERROR(VALUE(TRIM(LEFT(MID(Sync!$AG158,FIND("/",Sync!$AG158)+1,20),FIND("/",MID(Sync!$AG158,FIND("/",Sync!$AG158)+1,20))-1))),"")))</f>
        <v/>
      </c>
      <c r="I158">
        <f>IF(OR($F158="",$G158=""),"",IF(ISNUMBER(Sync!$AG158),MOD(Sync!$AG158,100),IFERROR(VALUE(TRIM(MID(MID(Sync!$AG158,FIND("/",Sync!$AG158)+1,20),FIND("/",MID(Sync!$AG158,FIND("/",Sync!$AG158)+1,20))+1,20))),"")))</f>
        <v/>
      </c>
      <c r="J158">
        <f>IF($F158="","",IF(OR($G158="",$H158="",$I158="",$G158&lt;1300,$G158&gt;1500,$H158&lt;1,$H158&gt;12,$I158&lt;1,$I158&gt;31),"نامعتبر",RIGHT("0000"&amp;$G158,4)&amp;"/"&amp;RIGHT("00"&amp;$H158,2)&amp;"/"&amp;RIGHT("00"&amp;$I158,2)))</f>
        <v/>
      </c>
      <c r="K158">
        <f>IF(OR($F158="",$J158="",$J158="نامعتبر"),"",LEFT($J158,4)&amp;MID($J158,6,2)&amp;RIGHT($J158,2)&amp;$N158&amp;"|"&amp;"2"&amp;RIGHT("00000"&amp;153,5))</f>
        <v/>
      </c>
      <c r="L158">
        <f>IF($K158="","",COUNTIFS(LdgPartyA,$F158,LdgKeyA,"&lt;"&amp;$K158)+COUNTIFS(LdgPartyB,$F158,LdgKeyB,"&lt;"&amp;$K158)+1)</f>
        <v/>
      </c>
      <c r="M158">
        <f>IF($L158="","",$F158&amp;"|"&amp;RIGHT("000000"&amp;$L158,6))</f>
        <v/>
      </c>
      <c r="N158">
        <f>IF($F158="","",IF(Sync!$AH158="","0000",IF(AND(ISNUMBER(Sync!$AH158),Sync!$AH158&gt;=0,Sync!$AH158&lt;1),RIGHT("00"&amp;HOUR(Sync!$AH158),2)&amp;RIGHT("00"&amp;MINUTE(Sync!$AH158),2),IFERROR(RIGHT("00"&amp;VALUE(LEFT(Sync!$AH158,FIND(":",Sync!$AH158)-1)),2)&amp;RIGHT("00"&amp;VALUE(MID(Sync!$AH158,FIND(":",Sync!$AH158)+1,2)),2),"0000"))))</f>
        <v/>
      </c>
    </row>
    <row r="159">
      <c r="A159">
        <f>IF(OR(Calc!$E162="",Calc!$E162="نامعتبر",Calc!$G162="",Calc!$I162&lt;&gt;"خرید"),"",Calc!$G162)</f>
        <v/>
      </c>
      <c r="B159">
        <f>IF($A159="","",LEFT(Calc!$E162,4)&amp;MID(Calc!$E162,6,2)&amp;RIGHT(Calc!$E162,2)&amp;Calc!$R162&amp;"|"&amp;"1"&amp;RIGHT("00000"&amp;154,5))</f>
        <v/>
      </c>
      <c r="C159">
        <f>IF($B159="","",COUNTIFS(LdgPartyA,$A159,LdgKeyA,"&lt;"&amp;$B159)+COUNTIFS(LdgPartyB,$A159,LdgKeyB,"&lt;"&amp;$B159)+1)</f>
        <v/>
      </c>
      <c r="D159">
        <f>IF($C159="","",$A159&amp;"|"&amp;RIGHT("000000"&amp;$C159,6))</f>
        <v/>
      </c>
      <c r="F159">
        <f>IF(Sync!$AJ159="","",Sync!$AJ159)</f>
        <v/>
      </c>
      <c r="G159">
        <f>IF($F159="","",IF(Sync!$AG159="","",IF(ISNUMBER(Sync!$AG159),IF(AND(Sync!$AG159&gt;=10000101,Sync!$AG159&lt;=99991231),INT(Sync!$AG159/10000),""),IFERROR(VALUE(TRIM(LEFT(Sync!$AG159,FIND("/",Sync!$AG159)-1))),""))))</f>
        <v/>
      </c>
      <c r="H159">
        <f>IF(OR($F159="",$G159=""),"",IF(ISNUMBER(Sync!$AG159),INT(MOD(Sync!$AG159,10000)/100),IFERROR(VALUE(TRIM(LEFT(MID(Sync!$AG159,FIND("/",Sync!$AG159)+1,20),FIND("/",MID(Sync!$AG159,FIND("/",Sync!$AG159)+1,20))-1))),"")))</f>
        <v/>
      </c>
      <c r="I159">
        <f>IF(OR($F159="",$G159=""),"",IF(ISNUMBER(Sync!$AG159),MOD(Sync!$AG159,100),IFERROR(VALUE(TRIM(MID(MID(Sync!$AG159,FIND("/",Sync!$AG159)+1,20),FIND("/",MID(Sync!$AG159,FIND("/",Sync!$AG159)+1,20))+1,20))),"")))</f>
        <v/>
      </c>
      <c r="J159">
        <f>IF($F159="","",IF(OR($G159="",$H159="",$I159="",$G159&lt;1300,$G159&gt;1500,$H159&lt;1,$H159&gt;12,$I159&lt;1,$I159&gt;31),"نامعتبر",RIGHT("0000"&amp;$G159,4)&amp;"/"&amp;RIGHT("00"&amp;$H159,2)&amp;"/"&amp;RIGHT("00"&amp;$I159,2)))</f>
        <v/>
      </c>
      <c r="K159">
        <f>IF(OR($F159="",$J159="",$J159="نامعتبر"),"",LEFT($J159,4)&amp;MID($J159,6,2)&amp;RIGHT($J159,2)&amp;$N159&amp;"|"&amp;"2"&amp;RIGHT("00000"&amp;154,5))</f>
        <v/>
      </c>
      <c r="L159">
        <f>IF($K159="","",COUNTIFS(LdgPartyA,$F159,LdgKeyA,"&lt;"&amp;$K159)+COUNTIFS(LdgPartyB,$F159,LdgKeyB,"&lt;"&amp;$K159)+1)</f>
        <v/>
      </c>
      <c r="M159">
        <f>IF($L159="","",$F159&amp;"|"&amp;RIGHT("000000"&amp;$L159,6))</f>
        <v/>
      </c>
      <c r="N159">
        <f>IF($F159="","",IF(Sync!$AH159="","0000",IF(AND(ISNUMBER(Sync!$AH159),Sync!$AH159&gt;=0,Sync!$AH159&lt;1),RIGHT("00"&amp;HOUR(Sync!$AH159),2)&amp;RIGHT("00"&amp;MINUTE(Sync!$AH159),2),IFERROR(RIGHT("00"&amp;VALUE(LEFT(Sync!$AH159,FIND(":",Sync!$AH159)-1)),2)&amp;RIGHT("00"&amp;VALUE(MID(Sync!$AH159,FIND(":",Sync!$AH159)+1,2)),2),"0000"))))</f>
        <v/>
      </c>
    </row>
    <row r="160">
      <c r="A160">
        <f>IF(OR(Calc!$E163="",Calc!$E163="نامعتبر",Calc!$G163="",Calc!$I163&lt;&gt;"خرید"),"",Calc!$G163)</f>
        <v/>
      </c>
      <c r="B160">
        <f>IF($A160="","",LEFT(Calc!$E163,4)&amp;MID(Calc!$E163,6,2)&amp;RIGHT(Calc!$E163,2)&amp;Calc!$R163&amp;"|"&amp;"1"&amp;RIGHT("00000"&amp;155,5))</f>
        <v/>
      </c>
      <c r="C160">
        <f>IF($B160="","",COUNTIFS(LdgPartyA,$A160,LdgKeyA,"&lt;"&amp;$B160)+COUNTIFS(LdgPartyB,$A160,LdgKeyB,"&lt;"&amp;$B160)+1)</f>
        <v/>
      </c>
      <c r="D160">
        <f>IF($C160="","",$A160&amp;"|"&amp;RIGHT("000000"&amp;$C160,6))</f>
        <v/>
      </c>
      <c r="F160">
        <f>IF(Sync!$AJ160="","",Sync!$AJ160)</f>
        <v/>
      </c>
      <c r="G160">
        <f>IF($F160="","",IF(Sync!$AG160="","",IF(ISNUMBER(Sync!$AG160),IF(AND(Sync!$AG160&gt;=10000101,Sync!$AG160&lt;=99991231),INT(Sync!$AG160/10000),""),IFERROR(VALUE(TRIM(LEFT(Sync!$AG160,FIND("/",Sync!$AG160)-1))),""))))</f>
        <v/>
      </c>
      <c r="H160">
        <f>IF(OR($F160="",$G160=""),"",IF(ISNUMBER(Sync!$AG160),INT(MOD(Sync!$AG160,10000)/100),IFERROR(VALUE(TRIM(LEFT(MID(Sync!$AG160,FIND("/",Sync!$AG160)+1,20),FIND("/",MID(Sync!$AG160,FIND("/",Sync!$AG160)+1,20))-1))),"")))</f>
        <v/>
      </c>
      <c r="I160">
        <f>IF(OR($F160="",$G160=""),"",IF(ISNUMBER(Sync!$AG160),MOD(Sync!$AG160,100),IFERROR(VALUE(TRIM(MID(MID(Sync!$AG160,FIND("/",Sync!$AG160)+1,20),FIND("/",MID(Sync!$AG160,FIND("/",Sync!$AG160)+1,20))+1,20))),"")))</f>
        <v/>
      </c>
      <c r="J160">
        <f>IF($F160="","",IF(OR($G160="",$H160="",$I160="",$G160&lt;1300,$G160&gt;1500,$H160&lt;1,$H160&gt;12,$I160&lt;1,$I160&gt;31),"نامعتبر",RIGHT("0000"&amp;$G160,4)&amp;"/"&amp;RIGHT("00"&amp;$H160,2)&amp;"/"&amp;RIGHT("00"&amp;$I160,2)))</f>
        <v/>
      </c>
      <c r="K160">
        <f>IF(OR($F160="",$J160="",$J160="نامعتبر"),"",LEFT($J160,4)&amp;MID($J160,6,2)&amp;RIGHT($J160,2)&amp;$N160&amp;"|"&amp;"2"&amp;RIGHT("00000"&amp;155,5))</f>
        <v/>
      </c>
      <c r="L160">
        <f>IF($K160="","",COUNTIFS(LdgPartyA,$F160,LdgKeyA,"&lt;"&amp;$K160)+COUNTIFS(LdgPartyB,$F160,LdgKeyB,"&lt;"&amp;$K160)+1)</f>
        <v/>
      </c>
      <c r="M160">
        <f>IF($L160="","",$F160&amp;"|"&amp;RIGHT("000000"&amp;$L160,6))</f>
        <v/>
      </c>
      <c r="N160">
        <f>IF($F160="","",IF(Sync!$AH160="","0000",IF(AND(ISNUMBER(Sync!$AH160),Sync!$AH160&gt;=0,Sync!$AH160&lt;1),RIGHT("00"&amp;HOUR(Sync!$AH160),2)&amp;RIGHT("00"&amp;MINUTE(Sync!$AH160),2),IFERROR(RIGHT("00"&amp;VALUE(LEFT(Sync!$AH160,FIND(":",Sync!$AH160)-1)),2)&amp;RIGHT("00"&amp;VALUE(MID(Sync!$AH160,FIND(":",Sync!$AH160)+1,2)),2),"0000"))))</f>
        <v/>
      </c>
    </row>
    <row r="161">
      <c r="A161">
        <f>IF(OR(Calc!$E164="",Calc!$E164="نامعتبر",Calc!$G164="",Calc!$I164&lt;&gt;"خرید"),"",Calc!$G164)</f>
        <v/>
      </c>
      <c r="B161">
        <f>IF($A161="","",LEFT(Calc!$E164,4)&amp;MID(Calc!$E164,6,2)&amp;RIGHT(Calc!$E164,2)&amp;Calc!$R164&amp;"|"&amp;"1"&amp;RIGHT("00000"&amp;156,5))</f>
        <v/>
      </c>
      <c r="C161">
        <f>IF($B161="","",COUNTIFS(LdgPartyA,$A161,LdgKeyA,"&lt;"&amp;$B161)+COUNTIFS(LdgPartyB,$A161,LdgKeyB,"&lt;"&amp;$B161)+1)</f>
        <v/>
      </c>
      <c r="D161">
        <f>IF($C161="","",$A161&amp;"|"&amp;RIGHT("000000"&amp;$C161,6))</f>
        <v/>
      </c>
      <c r="F161">
        <f>IF(Sync!$AJ161="","",Sync!$AJ161)</f>
        <v/>
      </c>
      <c r="G161">
        <f>IF($F161="","",IF(Sync!$AG161="","",IF(ISNUMBER(Sync!$AG161),IF(AND(Sync!$AG161&gt;=10000101,Sync!$AG161&lt;=99991231),INT(Sync!$AG161/10000),""),IFERROR(VALUE(TRIM(LEFT(Sync!$AG161,FIND("/",Sync!$AG161)-1))),""))))</f>
        <v/>
      </c>
      <c r="H161">
        <f>IF(OR($F161="",$G161=""),"",IF(ISNUMBER(Sync!$AG161),INT(MOD(Sync!$AG161,10000)/100),IFERROR(VALUE(TRIM(LEFT(MID(Sync!$AG161,FIND("/",Sync!$AG161)+1,20),FIND("/",MID(Sync!$AG161,FIND("/",Sync!$AG161)+1,20))-1))),"")))</f>
        <v/>
      </c>
      <c r="I161">
        <f>IF(OR($F161="",$G161=""),"",IF(ISNUMBER(Sync!$AG161),MOD(Sync!$AG161,100),IFERROR(VALUE(TRIM(MID(MID(Sync!$AG161,FIND("/",Sync!$AG161)+1,20),FIND("/",MID(Sync!$AG161,FIND("/",Sync!$AG161)+1,20))+1,20))),"")))</f>
        <v/>
      </c>
      <c r="J161">
        <f>IF($F161="","",IF(OR($G161="",$H161="",$I161="",$G161&lt;1300,$G161&gt;1500,$H161&lt;1,$H161&gt;12,$I161&lt;1,$I161&gt;31),"نامعتبر",RIGHT("0000"&amp;$G161,4)&amp;"/"&amp;RIGHT("00"&amp;$H161,2)&amp;"/"&amp;RIGHT("00"&amp;$I161,2)))</f>
        <v/>
      </c>
      <c r="K161">
        <f>IF(OR($F161="",$J161="",$J161="نامعتبر"),"",LEFT($J161,4)&amp;MID($J161,6,2)&amp;RIGHT($J161,2)&amp;$N161&amp;"|"&amp;"2"&amp;RIGHT("00000"&amp;156,5))</f>
        <v/>
      </c>
      <c r="L161">
        <f>IF($K161="","",COUNTIFS(LdgPartyA,$F161,LdgKeyA,"&lt;"&amp;$K161)+COUNTIFS(LdgPartyB,$F161,LdgKeyB,"&lt;"&amp;$K161)+1)</f>
        <v/>
      </c>
      <c r="M161">
        <f>IF($L161="","",$F161&amp;"|"&amp;RIGHT("000000"&amp;$L161,6))</f>
        <v/>
      </c>
      <c r="N161">
        <f>IF($F161="","",IF(Sync!$AH161="","0000",IF(AND(ISNUMBER(Sync!$AH161),Sync!$AH161&gt;=0,Sync!$AH161&lt;1),RIGHT("00"&amp;HOUR(Sync!$AH161),2)&amp;RIGHT("00"&amp;MINUTE(Sync!$AH161),2),IFERROR(RIGHT("00"&amp;VALUE(LEFT(Sync!$AH161,FIND(":",Sync!$AH161)-1)),2)&amp;RIGHT("00"&amp;VALUE(MID(Sync!$AH161,FIND(":",Sync!$AH161)+1,2)),2),"0000"))))</f>
        <v/>
      </c>
    </row>
    <row r="162">
      <c r="A162">
        <f>IF(OR(Calc!$E165="",Calc!$E165="نامعتبر",Calc!$G165="",Calc!$I165&lt;&gt;"خرید"),"",Calc!$G165)</f>
        <v/>
      </c>
      <c r="B162">
        <f>IF($A162="","",LEFT(Calc!$E165,4)&amp;MID(Calc!$E165,6,2)&amp;RIGHT(Calc!$E165,2)&amp;Calc!$R165&amp;"|"&amp;"1"&amp;RIGHT("00000"&amp;157,5))</f>
        <v/>
      </c>
      <c r="C162">
        <f>IF($B162="","",COUNTIFS(LdgPartyA,$A162,LdgKeyA,"&lt;"&amp;$B162)+COUNTIFS(LdgPartyB,$A162,LdgKeyB,"&lt;"&amp;$B162)+1)</f>
        <v/>
      </c>
      <c r="D162">
        <f>IF($C162="","",$A162&amp;"|"&amp;RIGHT("000000"&amp;$C162,6))</f>
        <v/>
      </c>
      <c r="F162">
        <f>IF(Sync!$AJ162="","",Sync!$AJ162)</f>
        <v/>
      </c>
      <c r="G162">
        <f>IF($F162="","",IF(Sync!$AG162="","",IF(ISNUMBER(Sync!$AG162),IF(AND(Sync!$AG162&gt;=10000101,Sync!$AG162&lt;=99991231),INT(Sync!$AG162/10000),""),IFERROR(VALUE(TRIM(LEFT(Sync!$AG162,FIND("/",Sync!$AG162)-1))),""))))</f>
        <v/>
      </c>
      <c r="H162">
        <f>IF(OR($F162="",$G162=""),"",IF(ISNUMBER(Sync!$AG162),INT(MOD(Sync!$AG162,10000)/100),IFERROR(VALUE(TRIM(LEFT(MID(Sync!$AG162,FIND("/",Sync!$AG162)+1,20),FIND("/",MID(Sync!$AG162,FIND("/",Sync!$AG162)+1,20))-1))),"")))</f>
        <v/>
      </c>
      <c r="I162">
        <f>IF(OR($F162="",$G162=""),"",IF(ISNUMBER(Sync!$AG162),MOD(Sync!$AG162,100),IFERROR(VALUE(TRIM(MID(MID(Sync!$AG162,FIND("/",Sync!$AG162)+1,20),FIND("/",MID(Sync!$AG162,FIND("/",Sync!$AG162)+1,20))+1,20))),"")))</f>
        <v/>
      </c>
      <c r="J162">
        <f>IF($F162="","",IF(OR($G162="",$H162="",$I162="",$G162&lt;1300,$G162&gt;1500,$H162&lt;1,$H162&gt;12,$I162&lt;1,$I162&gt;31),"نامعتبر",RIGHT("0000"&amp;$G162,4)&amp;"/"&amp;RIGHT("00"&amp;$H162,2)&amp;"/"&amp;RIGHT("00"&amp;$I162,2)))</f>
        <v/>
      </c>
      <c r="K162">
        <f>IF(OR($F162="",$J162="",$J162="نامعتبر"),"",LEFT($J162,4)&amp;MID($J162,6,2)&amp;RIGHT($J162,2)&amp;$N162&amp;"|"&amp;"2"&amp;RIGHT("00000"&amp;157,5))</f>
        <v/>
      </c>
      <c r="L162">
        <f>IF($K162="","",COUNTIFS(LdgPartyA,$F162,LdgKeyA,"&lt;"&amp;$K162)+COUNTIFS(LdgPartyB,$F162,LdgKeyB,"&lt;"&amp;$K162)+1)</f>
        <v/>
      </c>
      <c r="M162">
        <f>IF($L162="","",$F162&amp;"|"&amp;RIGHT("000000"&amp;$L162,6))</f>
        <v/>
      </c>
      <c r="N162">
        <f>IF($F162="","",IF(Sync!$AH162="","0000",IF(AND(ISNUMBER(Sync!$AH162),Sync!$AH162&gt;=0,Sync!$AH162&lt;1),RIGHT("00"&amp;HOUR(Sync!$AH162),2)&amp;RIGHT("00"&amp;MINUTE(Sync!$AH162),2),IFERROR(RIGHT("00"&amp;VALUE(LEFT(Sync!$AH162,FIND(":",Sync!$AH162)-1)),2)&amp;RIGHT("00"&amp;VALUE(MID(Sync!$AH162,FIND(":",Sync!$AH162)+1,2)),2),"0000"))))</f>
        <v/>
      </c>
    </row>
    <row r="163">
      <c r="A163">
        <f>IF(OR(Calc!$E166="",Calc!$E166="نامعتبر",Calc!$G166="",Calc!$I166&lt;&gt;"خرید"),"",Calc!$G166)</f>
        <v/>
      </c>
      <c r="B163">
        <f>IF($A163="","",LEFT(Calc!$E166,4)&amp;MID(Calc!$E166,6,2)&amp;RIGHT(Calc!$E166,2)&amp;Calc!$R166&amp;"|"&amp;"1"&amp;RIGHT("00000"&amp;158,5))</f>
        <v/>
      </c>
      <c r="C163">
        <f>IF($B163="","",COUNTIFS(LdgPartyA,$A163,LdgKeyA,"&lt;"&amp;$B163)+COUNTIFS(LdgPartyB,$A163,LdgKeyB,"&lt;"&amp;$B163)+1)</f>
        <v/>
      </c>
      <c r="D163">
        <f>IF($C163="","",$A163&amp;"|"&amp;RIGHT("000000"&amp;$C163,6))</f>
        <v/>
      </c>
      <c r="F163">
        <f>IF(Sync!$AJ163="","",Sync!$AJ163)</f>
        <v/>
      </c>
      <c r="G163">
        <f>IF($F163="","",IF(Sync!$AG163="","",IF(ISNUMBER(Sync!$AG163),IF(AND(Sync!$AG163&gt;=10000101,Sync!$AG163&lt;=99991231),INT(Sync!$AG163/10000),""),IFERROR(VALUE(TRIM(LEFT(Sync!$AG163,FIND("/",Sync!$AG163)-1))),""))))</f>
        <v/>
      </c>
      <c r="H163">
        <f>IF(OR($F163="",$G163=""),"",IF(ISNUMBER(Sync!$AG163),INT(MOD(Sync!$AG163,10000)/100),IFERROR(VALUE(TRIM(LEFT(MID(Sync!$AG163,FIND("/",Sync!$AG163)+1,20),FIND("/",MID(Sync!$AG163,FIND("/",Sync!$AG163)+1,20))-1))),"")))</f>
        <v/>
      </c>
      <c r="I163">
        <f>IF(OR($F163="",$G163=""),"",IF(ISNUMBER(Sync!$AG163),MOD(Sync!$AG163,100),IFERROR(VALUE(TRIM(MID(MID(Sync!$AG163,FIND("/",Sync!$AG163)+1,20),FIND("/",MID(Sync!$AG163,FIND("/",Sync!$AG163)+1,20))+1,20))),"")))</f>
        <v/>
      </c>
      <c r="J163">
        <f>IF($F163="","",IF(OR($G163="",$H163="",$I163="",$G163&lt;1300,$G163&gt;1500,$H163&lt;1,$H163&gt;12,$I163&lt;1,$I163&gt;31),"نامعتبر",RIGHT("0000"&amp;$G163,4)&amp;"/"&amp;RIGHT("00"&amp;$H163,2)&amp;"/"&amp;RIGHT("00"&amp;$I163,2)))</f>
        <v/>
      </c>
      <c r="K163">
        <f>IF(OR($F163="",$J163="",$J163="نامعتبر"),"",LEFT($J163,4)&amp;MID($J163,6,2)&amp;RIGHT($J163,2)&amp;$N163&amp;"|"&amp;"2"&amp;RIGHT("00000"&amp;158,5))</f>
        <v/>
      </c>
      <c r="L163">
        <f>IF($K163="","",COUNTIFS(LdgPartyA,$F163,LdgKeyA,"&lt;"&amp;$K163)+COUNTIFS(LdgPartyB,$F163,LdgKeyB,"&lt;"&amp;$K163)+1)</f>
        <v/>
      </c>
      <c r="M163">
        <f>IF($L163="","",$F163&amp;"|"&amp;RIGHT("000000"&amp;$L163,6))</f>
        <v/>
      </c>
      <c r="N163">
        <f>IF($F163="","",IF(Sync!$AH163="","0000",IF(AND(ISNUMBER(Sync!$AH163),Sync!$AH163&gt;=0,Sync!$AH163&lt;1),RIGHT("00"&amp;HOUR(Sync!$AH163),2)&amp;RIGHT("00"&amp;MINUTE(Sync!$AH163),2),IFERROR(RIGHT("00"&amp;VALUE(LEFT(Sync!$AH163,FIND(":",Sync!$AH163)-1)),2)&amp;RIGHT("00"&amp;VALUE(MID(Sync!$AH163,FIND(":",Sync!$AH163)+1,2)),2),"0000"))))</f>
        <v/>
      </c>
    </row>
    <row r="164">
      <c r="A164">
        <f>IF(OR(Calc!$E167="",Calc!$E167="نامعتبر",Calc!$G167="",Calc!$I167&lt;&gt;"خرید"),"",Calc!$G167)</f>
        <v/>
      </c>
      <c r="B164">
        <f>IF($A164="","",LEFT(Calc!$E167,4)&amp;MID(Calc!$E167,6,2)&amp;RIGHT(Calc!$E167,2)&amp;Calc!$R167&amp;"|"&amp;"1"&amp;RIGHT("00000"&amp;159,5))</f>
        <v/>
      </c>
      <c r="C164">
        <f>IF($B164="","",COUNTIFS(LdgPartyA,$A164,LdgKeyA,"&lt;"&amp;$B164)+COUNTIFS(LdgPartyB,$A164,LdgKeyB,"&lt;"&amp;$B164)+1)</f>
        <v/>
      </c>
      <c r="D164">
        <f>IF($C164="","",$A164&amp;"|"&amp;RIGHT("000000"&amp;$C164,6))</f>
        <v/>
      </c>
      <c r="F164">
        <f>IF(Sync!$AJ164="","",Sync!$AJ164)</f>
        <v/>
      </c>
      <c r="G164">
        <f>IF($F164="","",IF(Sync!$AG164="","",IF(ISNUMBER(Sync!$AG164),IF(AND(Sync!$AG164&gt;=10000101,Sync!$AG164&lt;=99991231),INT(Sync!$AG164/10000),""),IFERROR(VALUE(TRIM(LEFT(Sync!$AG164,FIND("/",Sync!$AG164)-1))),""))))</f>
        <v/>
      </c>
      <c r="H164">
        <f>IF(OR($F164="",$G164=""),"",IF(ISNUMBER(Sync!$AG164),INT(MOD(Sync!$AG164,10000)/100),IFERROR(VALUE(TRIM(LEFT(MID(Sync!$AG164,FIND("/",Sync!$AG164)+1,20),FIND("/",MID(Sync!$AG164,FIND("/",Sync!$AG164)+1,20))-1))),"")))</f>
        <v/>
      </c>
      <c r="I164">
        <f>IF(OR($F164="",$G164=""),"",IF(ISNUMBER(Sync!$AG164),MOD(Sync!$AG164,100),IFERROR(VALUE(TRIM(MID(MID(Sync!$AG164,FIND("/",Sync!$AG164)+1,20),FIND("/",MID(Sync!$AG164,FIND("/",Sync!$AG164)+1,20))+1,20))),"")))</f>
        <v/>
      </c>
      <c r="J164">
        <f>IF($F164="","",IF(OR($G164="",$H164="",$I164="",$G164&lt;1300,$G164&gt;1500,$H164&lt;1,$H164&gt;12,$I164&lt;1,$I164&gt;31),"نامعتبر",RIGHT("0000"&amp;$G164,4)&amp;"/"&amp;RIGHT("00"&amp;$H164,2)&amp;"/"&amp;RIGHT("00"&amp;$I164,2)))</f>
        <v/>
      </c>
      <c r="K164">
        <f>IF(OR($F164="",$J164="",$J164="نامعتبر"),"",LEFT($J164,4)&amp;MID($J164,6,2)&amp;RIGHT($J164,2)&amp;$N164&amp;"|"&amp;"2"&amp;RIGHT("00000"&amp;159,5))</f>
        <v/>
      </c>
      <c r="L164">
        <f>IF($K164="","",COUNTIFS(LdgPartyA,$F164,LdgKeyA,"&lt;"&amp;$K164)+COUNTIFS(LdgPartyB,$F164,LdgKeyB,"&lt;"&amp;$K164)+1)</f>
        <v/>
      </c>
      <c r="M164">
        <f>IF($L164="","",$F164&amp;"|"&amp;RIGHT("000000"&amp;$L164,6))</f>
        <v/>
      </c>
      <c r="N164">
        <f>IF($F164="","",IF(Sync!$AH164="","0000",IF(AND(ISNUMBER(Sync!$AH164),Sync!$AH164&gt;=0,Sync!$AH164&lt;1),RIGHT("00"&amp;HOUR(Sync!$AH164),2)&amp;RIGHT("00"&amp;MINUTE(Sync!$AH164),2),IFERROR(RIGHT("00"&amp;VALUE(LEFT(Sync!$AH164,FIND(":",Sync!$AH164)-1)),2)&amp;RIGHT("00"&amp;VALUE(MID(Sync!$AH164,FIND(":",Sync!$AH164)+1,2)),2),"0000"))))</f>
        <v/>
      </c>
    </row>
    <row r="165">
      <c r="A165">
        <f>IF(OR(Calc!$E168="",Calc!$E168="نامعتبر",Calc!$G168="",Calc!$I168&lt;&gt;"خرید"),"",Calc!$G168)</f>
        <v/>
      </c>
      <c r="B165">
        <f>IF($A165="","",LEFT(Calc!$E168,4)&amp;MID(Calc!$E168,6,2)&amp;RIGHT(Calc!$E168,2)&amp;Calc!$R168&amp;"|"&amp;"1"&amp;RIGHT("00000"&amp;160,5))</f>
        <v/>
      </c>
      <c r="C165">
        <f>IF($B165="","",COUNTIFS(LdgPartyA,$A165,LdgKeyA,"&lt;"&amp;$B165)+COUNTIFS(LdgPartyB,$A165,LdgKeyB,"&lt;"&amp;$B165)+1)</f>
        <v/>
      </c>
      <c r="D165">
        <f>IF($C165="","",$A165&amp;"|"&amp;RIGHT("000000"&amp;$C165,6))</f>
        <v/>
      </c>
      <c r="F165">
        <f>IF(Sync!$AJ165="","",Sync!$AJ165)</f>
        <v/>
      </c>
      <c r="G165">
        <f>IF($F165="","",IF(Sync!$AG165="","",IF(ISNUMBER(Sync!$AG165),IF(AND(Sync!$AG165&gt;=10000101,Sync!$AG165&lt;=99991231),INT(Sync!$AG165/10000),""),IFERROR(VALUE(TRIM(LEFT(Sync!$AG165,FIND("/",Sync!$AG165)-1))),""))))</f>
        <v/>
      </c>
      <c r="H165">
        <f>IF(OR($F165="",$G165=""),"",IF(ISNUMBER(Sync!$AG165),INT(MOD(Sync!$AG165,10000)/100),IFERROR(VALUE(TRIM(LEFT(MID(Sync!$AG165,FIND("/",Sync!$AG165)+1,20),FIND("/",MID(Sync!$AG165,FIND("/",Sync!$AG165)+1,20))-1))),"")))</f>
        <v/>
      </c>
      <c r="I165">
        <f>IF(OR($F165="",$G165=""),"",IF(ISNUMBER(Sync!$AG165),MOD(Sync!$AG165,100),IFERROR(VALUE(TRIM(MID(MID(Sync!$AG165,FIND("/",Sync!$AG165)+1,20),FIND("/",MID(Sync!$AG165,FIND("/",Sync!$AG165)+1,20))+1,20))),"")))</f>
        <v/>
      </c>
      <c r="J165">
        <f>IF($F165="","",IF(OR($G165="",$H165="",$I165="",$G165&lt;1300,$G165&gt;1500,$H165&lt;1,$H165&gt;12,$I165&lt;1,$I165&gt;31),"نامعتبر",RIGHT("0000"&amp;$G165,4)&amp;"/"&amp;RIGHT("00"&amp;$H165,2)&amp;"/"&amp;RIGHT("00"&amp;$I165,2)))</f>
        <v/>
      </c>
      <c r="K165">
        <f>IF(OR($F165="",$J165="",$J165="نامعتبر"),"",LEFT($J165,4)&amp;MID($J165,6,2)&amp;RIGHT($J165,2)&amp;$N165&amp;"|"&amp;"2"&amp;RIGHT("00000"&amp;160,5))</f>
        <v/>
      </c>
      <c r="L165">
        <f>IF($K165="","",COUNTIFS(LdgPartyA,$F165,LdgKeyA,"&lt;"&amp;$K165)+COUNTIFS(LdgPartyB,$F165,LdgKeyB,"&lt;"&amp;$K165)+1)</f>
        <v/>
      </c>
      <c r="M165">
        <f>IF($L165="","",$F165&amp;"|"&amp;RIGHT("000000"&amp;$L165,6))</f>
        <v/>
      </c>
      <c r="N165">
        <f>IF($F165="","",IF(Sync!$AH165="","0000",IF(AND(ISNUMBER(Sync!$AH165),Sync!$AH165&gt;=0,Sync!$AH165&lt;1),RIGHT("00"&amp;HOUR(Sync!$AH165),2)&amp;RIGHT("00"&amp;MINUTE(Sync!$AH165),2),IFERROR(RIGHT("00"&amp;VALUE(LEFT(Sync!$AH165,FIND(":",Sync!$AH165)-1)),2)&amp;RIGHT("00"&amp;VALUE(MID(Sync!$AH165,FIND(":",Sync!$AH165)+1,2)),2),"0000"))))</f>
        <v/>
      </c>
    </row>
    <row r="166">
      <c r="A166">
        <f>IF(OR(Calc!$E169="",Calc!$E169="نامعتبر",Calc!$G169="",Calc!$I169&lt;&gt;"خرید"),"",Calc!$G169)</f>
        <v/>
      </c>
      <c r="B166">
        <f>IF($A166="","",LEFT(Calc!$E169,4)&amp;MID(Calc!$E169,6,2)&amp;RIGHT(Calc!$E169,2)&amp;Calc!$R169&amp;"|"&amp;"1"&amp;RIGHT("00000"&amp;161,5))</f>
        <v/>
      </c>
      <c r="C166">
        <f>IF($B166="","",COUNTIFS(LdgPartyA,$A166,LdgKeyA,"&lt;"&amp;$B166)+COUNTIFS(LdgPartyB,$A166,LdgKeyB,"&lt;"&amp;$B166)+1)</f>
        <v/>
      </c>
      <c r="D166">
        <f>IF($C166="","",$A166&amp;"|"&amp;RIGHT("000000"&amp;$C166,6))</f>
        <v/>
      </c>
      <c r="F166">
        <f>IF(Sync!$AJ166="","",Sync!$AJ166)</f>
        <v/>
      </c>
      <c r="G166">
        <f>IF($F166="","",IF(Sync!$AG166="","",IF(ISNUMBER(Sync!$AG166),IF(AND(Sync!$AG166&gt;=10000101,Sync!$AG166&lt;=99991231),INT(Sync!$AG166/10000),""),IFERROR(VALUE(TRIM(LEFT(Sync!$AG166,FIND("/",Sync!$AG166)-1))),""))))</f>
        <v/>
      </c>
      <c r="H166">
        <f>IF(OR($F166="",$G166=""),"",IF(ISNUMBER(Sync!$AG166),INT(MOD(Sync!$AG166,10000)/100),IFERROR(VALUE(TRIM(LEFT(MID(Sync!$AG166,FIND("/",Sync!$AG166)+1,20),FIND("/",MID(Sync!$AG166,FIND("/",Sync!$AG166)+1,20))-1))),"")))</f>
        <v/>
      </c>
      <c r="I166">
        <f>IF(OR($F166="",$G166=""),"",IF(ISNUMBER(Sync!$AG166),MOD(Sync!$AG166,100),IFERROR(VALUE(TRIM(MID(MID(Sync!$AG166,FIND("/",Sync!$AG166)+1,20),FIND("/",MID(Sync!$AG166,FIND("/",Sync!$AG166)+1,20))+1,20))),"")))</f>
        <v/>
      </c>
      <c r="J166">
        <f>IF($F166="","",IF(OR($G166="",$H166="",$I166="",$G166&lt;1300,$G166&gt;1500,$H166&lt;1,$H166&gt;12,$I166&lt;1,$I166&gt;31),"نامعتبر",RIGHT("0000"&amp;$G166,4)&amp;"/"&amp;RIGHT("00"&amp;$H166,2)&amp;"/"&amp;RIGHT("00"&amp;$I166,2)))</f>
        <v/>
      </c>
      <c r="K166">
        <f>IF(OR($F166="",$J166="",$J166="نامعتبر"),"",LEFT($J166,4)&amp;MID($J166,6,2)&amp;RIGHT($J166,2)&amp;$N166&amp;"|"&amp;"2"&amp;RIGHT("00000"&amp;161,5))</f>
        <v/>
      </c>
      <c r="L166">
        <f>IF($K166="","",COUNTIFS(LdgPartyA,$F166,LdgKeyA,"&lt;"&amp;$K166)+COUNTIFS(LdgPartyB,$F166,LdgKeyB,"&lt;"&amp;$K166)+1)</f>
        <v/>
      </c>
      <c r="M166">
        <f>IF($L166="","",$F166&amp;"|"&amp;RIGHT("000000"&amp;$L166,6))</f>
        <v/>
      </c>
      <c r="N166">
        <f>IF($F166="","",IF(Sync!$AH166="","0000",IF(AND(ISNUMBER(Sync!$AH166),Sync!$AH166&gt;=0,Sync!$AH166&lt;1),RIGHT("00"&amp;HOUR(Sync!$AH166),2)&amp;RIGHT("00"&amp;MINUTE(Sync!$AH166),2),IFERROR(RIGHT("00"&amp;VALUE(LEFT(Sync!$AH166,FIND(":",Sync!$AH166)-1)),2)&amp;RIGHT("00"&amp;VALUE(MID(Sync!$AH166,FIND(":",Sync!$AH166)+1,2)),2),"0000"))))</f>
        <v/>
      </c>
    </row>
    <row r="167">
      <c r="A167">
        <f>IF(OR(Calc!$E170="",Calc!$E170="نامعتبر",Calc!$G170="",Calc!$I170&lt;&gt;"خرید"),"",Calc!$G170)</f>
        <v/>
      </c>
      <c r="B167">
        <f>IF($A167="","",LEFT(Calc!$E170,4)&amp;MID(Calc!$E170,6,2)&amp;RIGHT(Calc!$E170,2)&amp;Calc!$R170&amp;"|"&amp;"1"&amp;RIGHT("00000"&amp;162,5))</f>
        <v/>
      </c>
      <c r="C167">
        <f>IF($B167="","",COUNTIFS(LdgPartyA,$A167,LdgKeyA,"&lt;"&amp;$B167)+COUNTIFS(LdgPartyB,$A167,LdgKeyB,"&lt;"&amp;$B167)+1)</f>
        <v/>
      </c>
      <c r="D167">
        <f>IF($C167="","",$A167&amp;"|"&amp;RIGHT("000000"&amp;$C167,6))</f>
        <v/>
      </c>
      <c r="F167">
        <f>IF(Sync!$AJ167="","",Sync!$AJ167)</f>
        <v/>
      </c>
      <c r="G167">
        <f>IF($F167="","",IF(Sync!$AG167="","",IF(ISNUMBER(Sync!$AG167),IF(AND(Sync!$AG167&gt;=10000101,Sync!$AG167&lt;=99991231),INT(Sync!$AG167/10000),""),IFERROR(VALUE(TRIM(LEFT(Sync!$AG167,FIND("/",Sync!$AG167)-1))),""))))</f>
        <v/>
      </c>
      <c r="H167">
        <f>IF(OR($F167="",$G167=""),"",IF(ISNUMBER(Sync!$AG167),INT(MOD(Sync!$AG167,10000)/100),IFERROR(VALUE(TRIM(LEFT(MID(Sync!$AG167,FIND("/",Sync!$AG167)+1,20),FIND("/",MID(Sync!$AG167,FIND("/",Sync!$AG167)+1,20))-1))),"")))</f>
        <v/>
      </c>
      <c r="I167">
        <f>IF(OR($F167="",$G167=""),"",IF(ISNUMBER(Sync!$AG167),MOD(Sync!$AG167,100),IFERROR(VALUE(TRIM(MID(MID(Sync!$AG167,FIND("/",Sync!$AG167)+1,20),FIND("/",MID(Sync!$AG167,FIND("/",Sync!$AG167)+1,20))+1,20))),"")))</f>
        <v/>
      </c>
      <c r="J167">
        <f>IF($F167="","",IF(OR($G167="",$H167="",$I167="",$G167&lt;1300,$G167&gt;1500,$H167&lt;1,$H167&gt;12,$I167&lt;1,$I167&gt;31),"نامعتبر",RIGHT("0000"&amp;$G167,4)&amp;"/"&amp;RIGHT("00"&amp;$H167,2)&amp;"/"&amp;RIGHT("00"&amp;$I167,2)))</f>
        <v/>
      </c>
      <c r="K167">
        <f>IF(OR($F167="",$J167="",$J167="نامعتبر"),"",LEFT($J167,4)&amp;MID($J167,6,2)&amp;RIGHT($J167,2)&amp;$N167&amp;"|"&amp;"2"&amp;RIGHT("00000"&amp;162,5))</f>
        <v/>
      </c>
      <c r="L167">
        <f>IF($K167="","",COUNTIFS(LdgPartyA,$F167,LdgKeyA,"&lt;"&amp;$K167)+COUNTIFS(LdgPartyB,$F167,LdgKeyB,"&lt;"&amp;$K167)+1)</f>
        <v/>
      </c>
      <c r="M167">
        <f>IF($L167="","",$F167&amp;"|"&amp;RIGHT("000000"&amp;$L167,6))</f>
        <v/>
      </c>
      <c r="N167">
        <f>IF($F167="","",IF(Sync!$AH167="","0000",IF(AND(ISNUMBER(Sync!$AH167),Sync!$AH167&gt;=0,Sync!$AH167&lt;1),RIGHT("00"&amp;HOUR(Sync!$AH167),2)&amp;RIGHT("00"&amp;MINUTE(Sync!$AH167),2),IFERROR(RIGHT("00"&amp;VALUE(LEFT(Sync!$AH167,FIND(":",Sync!$AH167)-1)),2)&amp;RIGHT("00"&amp;VALUE(MID(Sync!$AH167,FIND(":",Sync!$AH167)+1,2)),2),"0000"))))</f>
        <v/>
      </c>
    </row>
    <row r="168">
      <c r="A168">
        <f>IF(OR(Calc!$E171="",Calc!$E171="نامعتبر",Calc!$G171="",Calc!$I171&lt;&gt;"خرید"),"",Calc!$G171)</f>
        <v/>
      </c>
      <c r="B168">
        <f>IF($A168="","",LEFT(Calc!$E171,4)&amp;MID(Calc!$E171,6,2)&amp;RIGHT(Calc!$E171,2)&amp;Calc!$R171&amp;"|"&amp;"1"&amp;RIGHT("00000"&amp;163,5))</f>
        <v/>
      </c>
      <c r="C168">
        <f>IF($B168="","",COUNTIFS(LdgPartyA,$A168,LdgKeyA,"&lt;"&amp;$B168)+COUNTIFS(LdgPartyB,$A168,LdgKeyB,"&lt;"&amp;$B168)+1)</f>
        <v/>
      </c>
      <c r="D168">
        <f>IF($C168="","",$A168&amp;"|"&amp;RIGHT("000000"&amp;$C168,6))</f>
        <v/>
      </c>
      <c r="F168">
        <f>IF(Sync!$AJ168="","",Sync!$AJ168)</f>
        <v/>
      </c>
      <c r="G168">
        <f>IF($F168="","",IF(Sync!$AG168="","",IF(ISNUMBER(Sync!$AG168),IF(AND(Sync!$AG168&gt;=10000101,Sync!$AG168&lt;=99991231),INT(Sync!$AG168/10000),""),IFERROR(VALUE(TRIM(LEFT(Sync!$AG168,FIND("/",Sync!$AG168)-1))),""))))</f>
        <v/>
      </c>
      <c r="H168">
        <f>IF(OR($F168="",$G168=""),"",IF(ISNUMBER(Sync!$AG168),INT(MOD(Sync!$AG168,10000)/100),IFERROR(VALUE(TRIM(LEFT(MID(Sync!$AG168,FIND("/",Sync!$AG168)+1,20),FIND("/",MID(Sync!$AG168,FIND("/",Sync!$AG168)+1,20))-1))),"")))</f>
        <v/>
      </c>
      <c r="I168">
        <f>IF(OR($F168="",$G168=""),"",IF(ISNUMBER(Sync!$AG168),MOD(Sync!$AG168,100),IFERROR(VALUE(TRIM(MID(MID(Sync!$AG168,FIND("/",Sync!$AG168)+1,20),FIND("/",MID(Sync!$AG168,FIND("/",Sync!$AG168)+1,20))+1,20))),"")))</f>
        <v/>
      </c>
      <c r="J168">
        <f>IF($F168="","",IF(OR($G168="",$H168="",$I168="",$G168&lt;1300,$G168&gt;1500,$H168&lt;1,$H168&gt;12,$I168&lt;1,$I168&gt;31),"نامعتبر",RIGHT("0000"&amp;$G168,4)&amp;"/"&amp;RIGHT("00"&amp;$H168,2)&amp;"/"&amp;RIGHT("00"&amp;$I168,2)))</f>
        <v/>
      </c>
      <c r="K168">
        <f>IF(OR($F168="",$J168="",$J168="نامعتبر"),"",LEFT($J168,4)&amp;MID($J168,6,2)&amp;RIGHT($J168,2)&amp;$N168&amp;"|"&amp;"2"&amp;RIGHT("00000"&amp;163,5))</f>
        <v/>
      </c>
      <c r="L168">
        <f>IF($K168="","",COUNTIFS(LdgPartyA,$F168,LdgKeyA,"&lt;"&amp;$K168)+COUNTIFS(LdgPartyB,$F168,LdgKeyB,"&lt;"&amp;$K168)+1)</f>
        <v/>
      </c>
      <c r="M168">
        <f>IF($L168="","",$F168&amp;"|"&amp;RIGHT("000000"&amp;$L168,6))</f>
        <v/>
      </c>
      <c r="N168">
        <f>IF($F168="","",IF(Sync!$AH168="","0000",IF(AND(ISNUMBER(Sync!$AH168),Sync!$AH168&gt;=0,Sync!$AH168&lt;1),RIGHT("00"&amp;HOUR(Sync!$AH168),2)&amp;RIGHT("00"&amp;MINUTE(Sync!$AH168),2),IFERROR(RIGHT("00"&amp;VALUE(LEFT(Sync!$AH168,FIND(":",Sync!$AH168)-1)),2)&amp;RIGHT("00"&amp;VALUE(MID(Sync!$AH168,FIND(":",Sync!$AH168)+1,2)),2),"0000"))))</f>
        <v/>
      </c>
    </row>
    <row r="169">
      <c r="A169">
        <f>IF(OR(Calc!$E172="",Calc!$E172="نامعتبر",Calc!$G172="",Calc!$I172&lt;&gt;"خرید"),"",Calc!$G172)</f>
        <v/>
      </c>
      <c r="B169">
        <f>IF($A169="","",LEFT(Calc!$E172,4)&amp;MID(Calc!$E172,6,2)&amp;RIGHT(Calc!$E172,2)&amp;Calc!$R172&amp;"|"&amp;"1"&amp;RIGHT("00000"&amp;164,5))</f>
        <v/>
      </c>
      <c r="C169">
        <f>IF($B169="","",COUNTIFS(LdgPartyA,$A169,LdgKeyA,"&lt;"&amp;$B169)+COUNTIFS(LdgPartyB,$A169,LdgKeyB,"&lt;"&amp;$B169)+1)</f>
        <v/>
      </c>
      <c r="D169">
        <f>IF($C169="","",$A169&amp;"|"&amp;RIGHT("000000"&amp;$C169,6))</f>
        <v/>
      </c>
      <c r="F169">
        <f>IF(Sync!$AJ169="","",Sync!$AJ169)</f>
        <v/>
      </c>
      <c r="G169">
        <f>IF($F169="","",IF(Sync!$AG169="","",IF(ISNUMBER(Sync!$AG169),IF(AND(Sync!$AG169&gt;=10000101,Sync!$AG169&lt;=99991231),INT(Sync!$AG169/10000),""),IFERROR(VALUE(TRIM(LEFT(Sync!$AG169,FIND("/",Sync!$AG169)-1))),""))))</f>
        <v/>
      </c>
      <c r="H169">
        <f>IF(OR($F169="",$G169=""),"",IF(ISNUMBER(Sync!$AG169),INT(MOD(Sync!$AG169,10000)/100),IFERROR(VALUE(TRIM(LEFT(MID(Sync!$AG169,FIND("/",Sync!$AG169)+1,20),FIND("/",MID(Sync!$AG169,FIND("/",Sync!$AG169)+1,20))-1))),"")))</f>
        <v/>
      </c>
      <c r="I169">
        <f>IF(OR($F169="",$G169=""),"",IF(ISNUMBER(Sync!$AG169),MOD(Sync!$AG169,100),IFERROR(VALUE(TRIM(MID(MID(Sync!$AG169,FIND("/",Sync!$AG169)+1,20),FIND("/",MID(Sync!$AG169,FIND("/",Sync!$AG169)+1,20))+1,20))),"")))</f>
        <v/>
      </c>
      <c r="J169">
        <f>IF($F169="","",IF(OR($G169="",$H169="",$I169="",$G169&lt;1300,$G169&gt;1500,$H169&lt;1,$H169&gt;12,$I169&lt;1,$I169&gt;31),"نامعتبر",RIGHT("0000"&amp;$G169,4)&amp;"/"&amp;RIGHT("00"&amp;$H169,2)&amp;"/"&amp;RIGHT("00"&amp;$I169,2)))</f>
        <v/>
      </c>
      <c r="K169">
        <f>IF(OR($F169="",$J169="",$J169="نامعتبر"),"",LEFT($J169,4)&amp;MID($J169,6,2)&amp;RIGHT($J169,2)&amp;$N169&amp;"|"&amp;"2"&amp;RIGHT("00000"&amp;164,5))</f>
        <v/>
      </c>
      <c r="L169">
        <f>IF($K169="","",COUNTIFS(LdgPartyA,$F169,LdgKeyA,"&lt;"&amp;$K169)+COUNTIFS(LdgPartyB,$F169,LdgKeyB,"&lt;"&amp;$K169)+1)</f>
        <v/>
      </c>
      <c r="M169">
        <f>IF($L169="","",$F169&amp;"|"&amp;RIGHT("000000"&amp;$L169,6))</f>
        <v/>
      </c>
      <c r="N169">
        <f>IF($F169="","",IF(Sync!$AH169="","0000",IF(AND(ISNUMBER(Sync!$AH169),Sync!$AH169&gt;=0,Sync!$AH169&lt;1),RIGHT("00"&amp;HOUR(Sync!$AH169),2)&amp;RIGHT("00"&amp;MINUTE(Sync!$AH169),2),IFERROR(RIGHT("00"&amp;VALUE(LEFT(Sync!$AH169,FIND(":",Sync!$AH169)-1)),2)&amp;RIGHT("00"&amp;VALUE(MID(Sync!$AH169,FIND(":",Sync!$AH169)+1,2)),2),"0000"))))</f>
        <v/>
      </c>
    </row>
    <row r="170">
      <c r="A170">
        <f>IF(OR(Calc!$E173="",Calc!$E173="نامعتبر",Calc!$G173="",Calc!$I173&lt;&gt;"خرید"),"",Calc!$G173)</f>
        <v/>
      </c>
      <c r="B170">
        <f>IF($A170="","",LEFT(Calc!$E173,4)&amp;MID(Calc!$E173,6,2)&amp;RIGHT(Calc!$E173,2)&amp;Calc!$R173&amp;"|"&amp;"1"&amp;RIGHT("00000"&amp;165,5))</f>
        <v/>
      </c>
      <c r="C170">
        <f>IF($B170="","",COUNTIFS(LdgPartyA,$A170,LdgKeyA,"&lt;"&amp;$B170)+COUNTIFS(LdgPartyB,$A170,LdgKeyB,"&lt;"&amp;$B170)+1)</f>
        <v/>
      </c>
      <c r="D170">
        <f>IF($C170="","",$A170&amp;"|"&amp;RIGHT("000000"&amp;$C170,6))</f>
        <v/>
      </c>
      <c r="F170">
        <f>IF(Sync!$AJ170="","",Sync!$AJ170)</f>
        <v/>
      </c>
      <c r="G170">
        <f>IF($F170="","",IF(Sync!$AG170="","",IF(ISNUMBER(Sync!$AG170),IF(AND(Sync!$AG170&gt;=10000101,Sync!$AG170&lt;=99991231),INT(Sync!$AG170/10000),""),IFERROR(VALUE(TRIM(LEFT(Sync!$AG170,FIND("/",Sync!$AG170)-1))),""))))</f>
        <v/>
      </c>
      <c r="H170">
        <f>IF(OR($F170="",$G170=""),"",IF(ISNUMBER(Sync!$AG170),INT(MOD(Sync!$AG170,10000)/100),IFERROR(VALUE(TRIM(LEFT(MID(Sync!$AG170,FIND("/",Sync!$AG170)+1,20),FIND("/",MID(Sync!$AG170,FIND("/",Sync!$AG170)+1,20))-1))),"")))</f>
        <v/>
      </c>
      <c r="I170">
        <f>IF(OR($F170="",$G170=""),"",IF(ISNUMBER(Sync!$AG170),MOD(Sync!$AG170,100),IFERROR(VALUE(TRIM(MID(MID(Sync!$AG170,FIND("/",Sync!$AG170)+1,20),FIND("/",MID(Sync!$AG170,FIND("/",Sync!$AG170)+1,20))+1,20))),"")))</f>
        <v/>
      </c>
      <c r="J170">
        <f>IF($F170="","",IF(OR($G170="",$H170="",$I170="",$G170&lt;1300,$G170&gt;1500,$H170&lt;1,$H170&gt;12,$I170&lt;1,$I170&gt;31),"نامعتبر",RIGHT("0000"&amp;$G170,4)&amp;"/"&amp;RIGHT("00"&amp;$H170,2)&amp;"/"&amp;RIGHT("00"&amp;$I170,2)))</f>
        <v/>
      </c>
      <c r="K170">
        <f>IF(OR($F170="",$J170="",$J170="نامعتبر"),"",LEFT($J170,4)&amp;MID($J170,6,2)&amp;RIGHT($J170,2)&amp;$N170&amp;"|"&amp;"2"&amp;RIGHT("00000"&amp;165,5))</f>
        <v/>
      </c>
      <c r="L170">
        <f>IF($K170="","",COUNTIFS(LdgPartyA,$F170,LdgKeyA,"&lt;"&amp;$K170)+COUNTIFS(LdgPartyB,$F170,LdgKeyB,"&lt;"&amp;$K170)+1)</f>
        <v/>
      </c>
      <c r="M170">
        <f>IF($L170="","",$F170&amp;"|"&amp;RIGHT("000000"&amp;$L170,6))</f>
        <v/>
      </c>
      <c r="N170">
        <f>IF($F170="","",IF(Sync!$AH170="","0000",IF(AND(ISNUMBER(Sync!$AH170),Sync!$AH170&gt;=0,Sync!$AH170&lt;1),RIGHT("00"&amp;HOUR(Sync!$AH170),2)&amp;RIGHT("00"&amp;MINUTE(Sync!$AH170),2),IFERROR(RIGHT("00"&amp;VALUE(LEFT(Sync!$AH170,FIND(":",Sync!$AH170)-1)),2)&amp;RIGHT("00"&amp;VALUE(MID(Sync!$AH170,FIND(":",Sync!$AH170)+1,2)),2),"0000"))))</f>
        <v/>
      </c>
    </row>
    <row r="171">
      <c r="A171">
        <f>IF(OR(Calc!$E174="",Calc!$E174="نامعتبر",Calc!$G174="",Calc!$I174&lt;&gt;"خرید"),"",Calc!$G174)</f>
        <v/>
      </c>
      <c r="B171">
        <f>IF($A171="","",LEFT(Calc!$E174,4)&amp;MID(Calc!$E174,6,2)&amp;RIGHT(Calc!$E174,2)&amp;Calc!$R174&amp;"|"&amp;"1"&amp;RIGHT("00000"&amp;166,5))</f>
        <v/>
      </c>
      <c r="C171">
        <f>IF($B171="","",COUNTIFS(LdgPartyA,$A171,LdgKeyA,"&lt;"&amp;$B171)+COUNTIFS(LdgPartyB,$A171,LdgKeyB,"&lt;"&amp;$B171)+1)</f>
        <v/>
      </c>
      <c r="D171">
        <f>IF($C171="","",$A171&amp;"|"&amp;RIGHT("000000"&amp;$C171,6))</f>
        <v/>
      </c>
      <c r="F171">
        <f>IF(Sync!$AJ171="","",Sync!$AJ171)</f>
        <v/>
      </c>
      <c r="G171">
        <f>IF($F171="","",IF(Sync!$AG171="","",IF(ISNUMBER(Sync!$AG171),IF(AND(Sync!$AG171&gt;=10000101,Sync!$AG171&lt;=99991231),INT(Sync!$AG171/10000),""),IFERROR(VALUE(TRIM(LEFT(Sync!$AG171,FIND("/",Sync!$AG171)-1))),""))))</f>
        <v/>
      </c>
      <c r="H171">
        <f>IF(OR($F171="",$G171=""),"",IF(ISNUMBER(Sync!$AG171),INT(MOD(Sync!$AG171,10000)/100),IFERROR(VALUE(TRIM(LEFT(MID(Sync!$AG171,FIND("/",Sync!$AG171)+1,20),FIND("/",MID(Sync!$AG171,FIND("/",Sync!$AG171)+1,20))-1))),"")))</f>
        <v/>
      </c>
      <c r="I171">
        <f>IF(OR($F171="",$G171=""),"",IF(ISNUMBER(Sync!$AG171),MOD(Sync!$AG171,100),IFERROR(VALUE(TRIM(MID(MID(Sync!$AG171,FIND("/",Sync!$AG171)+1,20),FIND("/",MID(Sync!$AG171,FIND("/",Sync!$AG171)+1,20))+1,20))),"")))</f>
        <v/>
      </c>
      <c r="J171">
        <f>IF($F171="","",IF(OR($G171="",$H171="",$I171="",$G171&lt;1300,$G171&gt;1500,$H171&lt;1,$H171&gt;12,$I171&lt;1,$I171&gt;31),"نامعتبر",RIGHT("0000"&amp;$G171,4)&amp;"/"&amp;RIGHT("00"&amp;$H171,2)&amp;"/"&amp;RIGHT("00"&amp;$I171,2)))</f>
        <v/>
      </c>
      <c r="K171">
        <f>IF(OR($F171="",$J171="",$J171="نامعتبر"),"",LEFT($J171,4)&amp;MID($J171,6,2)&amp;RIGHT($J171,2)&amp;$N171&amp;"|"&amp;"2"&amp;RIGHT("00000"&amp;166,5))</f>
        <v/>
      </c>
      <c r="L171">
        <f>IF($K171="","",COUNTIFS(LdgPartyA,$F171,LdgKeyA,"&lt;"&amp;$K171)+COUNTIFS(LdgPartyB,$F171,LdgKeyB,"&lt;"&amp;$K171)+1)</f>
        <v/>
      </c>
      <c r="M171">
        <f>IF($L171="","",$F171&amp;"|"&amp;RIGHT("000000"&amp;$L171,6))</f>
        <v/>
      </c>
      <c r="N171">
        <f>IF($F171="","",IF(Sync!$AH171="","0000",IF(AND(ISNUMBER(Sync!$AH171),Sync!$AH171&gt;=0,Sync!$AH171&lt;1),RIGHT("00"&amp;HOUR(Sync!$AH171),2)&amp;RIGHT("00"&amp;MINUTE(Sync!$AH171),2),IFERROR(RIGHT("00"&amp;VALUE(LEFT(Sync!$AH171,FIND(":",Sync!$AH171)-1)),2)&amp;RIGHT("00"&amp;VALUE(MID(Sync!$AH171,FIND(":",Sync!$AH171)+1,2)),2),"0000"))))</f>
        <v/>
      </c>
    </row>
    <row r="172">
      <c r="A172">
        <f>IF(OR(Calc!$E175="",Calc!$E175="نامعتبر",Calc!$G175="",Calc!$I175&lt;&gt;"خرید"),"",Calc!$G175)</f>
        <v/>
      </c>
      <c r="B172">
        <f>IF($A172="","",LEFT(Calc!$E175,4)&amp;MID(Calc!$E175,6,2)&amp;RIGHT(Calc!$E175,2)&amp;Calc!$R175&amp;"|"&amp;"1"&amp;RIGHT("00000"&amp;167,5))</f>
        <v/>
      </c>
      <c r="C172">
        <f>IF($B172="","",COUNTIFS(LdgPartyA,$A172,LdgKeyA,"&lt;"&amp;$B172)+COUNTIFS(LdgPartyB,$A172,LdgKeyB,"&lt;"&amp;$B172)+1)</f>
        <v/>
      </c>
      <c r="D172">
        <f>IF($C172="","",$A172&amp;"|"&amp;RIGHT("000000"&amp;$C172,6))</f>
        <v/>
      </c>
      <c r="F172">
        <f>IF(Sync!$AJ172="","",Sync!$AJ172)</f>
        <v/>
      </c>
      <c r="G172">
        <f>IF($F172="","",IF(Sync!$AG172="","",IF(ISNUMBER(Sync!$AG172),IF(AND(Sync!$AG172&gt;=10000101,Sync!$AG172&lt;=99991231),INT(Sync!$AG172/10000),""),IFERROR(VALUE(TRIM(LEFT(Sync!$AG172,FIND("/",Sync!$AG172)-1))),""))))</f>
        <v/>
      </c>
      <c r="H172">
        <f>IF(OR($F172="",$G172=""),"",IF(ISNUMBER(Sync!$AG172),INT(MOD(Sync!$AG172,10000)/100),IFERROR(VALUE(TRIM(LEFT(MID(Sync!$AG172,FIND("/",Sync!$AG172)+1,20),FIND("/",MID(Sync!$AG172,FIND("/",Sync!$AG172)+1,20))-1))),"")))</f>
        <v/>
      </c>
      <c r="I172">
        <f>IF(OR($F172="",$G172=""),"",IF(ISNUMBER(Sync!$AG172),MOD(Sync!$AG172,100),IFERROR(VALUE(TRIM(MID(MID(Sync!$AG172,FIND("/",Sync!$AG172)+1,20),FIND("/",MID(Sync!$AG172,FIND("/",Sync!$AG172)+1,20))+1,20))),"")))</f>
        <v/>
      </c>
      <c r="J172">
        <f>IF($F172="","",IF(OR($G172="",$H172="",$I172="",$G172&lt;1300,$G172&gt;1500,$H172&lt;1,$H172&gt;12,$I172&lt;1,$I172&gt;31),"نامعتبر",RIGHT("0000"&amp;$G172,4)&amp;"/"&amp;RIGHT("00"&amp;$H172,2)&amp;"/"&amp;RIGHT("00"&amp;$I172,2)))</f>
        <v/>
      </c>
      <c r="K172">
        <f>IF(OR($F172="",$J172="",$J172="نامعتبر"),"",LEFT($J172,4)&amp;MID($J172,6,2)&amp;RIGHT($J172,2)&amp;$N172&amp;"|"&amp;"2"&amp;RIGHT("00000"&amp;167,5))</f>
        <v/>
      </c>
      <c r="L172">
        <f>IF($K172="","",COUNTIFS(LdgPartyA,$F172,LdgKeyA,"&lt;"&amp;$K172)+COUNTIFS(LdgPartyB,$F172,LdgKeyB,"&lt;"&amp;$K172)+1)</f>
        <v/>
      </c>
      <c r="M172">
        <f>IF($L172="","",$F172&amp;"|"&amp;RIGHT("000000"&amp;$L172,6))</f>
        <v/>
      </c>
      <c r="N172">
        <f>IF($F172="","",IF(Sync!$AH172="","0000",IF(AND(ISNUMBER(Sync!$AH172),Sync!$AH172&gt;=0,Sync!$AH172&lt;1),RIGHT("00"&amp;HOUR(Sync!$AH172),2)&amp;RIGHT("00"&amp;MINUTE(Sync!$AH172),2),IFERROR(RIGHT("00"&amp;VALUE(LEFT(Sync!$AH172,FIND(":",Sync!$AH172)-1)),2)&amp;RIGHT("00"&amp;VALUE(MID(Sync!$AH172,FIND(":",Sync!$AH172)+1,2)),2),"0000"))))</f>
        <v/>
      </c>
    </row>
    <row r="173">
      <c r="A173">
        <f>IF(OR(Calc!$E176="",Calc!$E176="نامعتبر",Calc!$G176="",Calc!$I176&lt;&gt;"خرید"),"",Calc!$G176)</f>
        <v/>
      </c>
      <c r="B173">
        <f>IF($A173="","",LEFT(Calc!$E176,4)&amp;MID(Calc!$E176,6,2)&amp;RIGHT(Calc!$E176,2)&amp;Calc!$R176&amp;"|"&amp;"1"&amp;RIGHT("00000"&amp;168,5))</f>
        <v/>
      </c>
      <c r="C173">
        <f>IF($B173="","",COUNTIFS(LdgPartyA,$A173,LdgKeyA,"&lt;"&amp;$B173)+COUNTIFS(LdgPartyB,$A173,LdgKeyB,"&lt;"&amp;$B173)+1)</f>
        <v/>
      </c>
      <c r="D173">
        <f>IF($C173="","",$A173&amp;"|"&amp;RIGHT("000000"&amp;$C173,6))</f>
        <v/>
      </c>
      <c r="F173">
        <f>IF(Sync!$AJ173="","",Sync!$AJ173)</f>
        <v/>
      </c>
      <c r="G173">
        <f>IF($F173="","",IF(Sync!$AG173="","",IF(ISNUMBER(Sync!$AG173),IF(AND(Sync!$AG173&gt;=10000101,Sync!$AG173&lt;=99991231),INT(Sync!$AG173/10000),""),IFERROR(VALUE(TRIM(LEFT(Sync!$AG173,FIND("/",Sync!$AG173)-1))),""))))</f>
        <v/>
      </c>
      <c r="H173">
        <f>IF(OR($F173="",$G173=""),"",IF(ISNUMBER(Sync!$AG173),INT(MOD(Sync!$AG173,10000)/100),IFERROR(VALUE(TRIM(LEFT(MID(Sync!$AG173,FIND("/",Sync!$AG173)+1,20),FIND("/",MID(Sync!$AG173,FIND("/",Sync!$AG173)+1,20))-1))),"")))</f>
        <v/>
      </c>
      <c r="I173">
        <f>IF(OR($F173="",$G173=""),"",IF(ISNUMBER(Sync!$AG173),MOD(Sync!$AG173,100),IFERROR(VALUE(TRIM(MID(MID(Sync!$AG173,FIND("/",Sync!$AG173)+1,20),FIND("/",MID(Sync!$AG173,FIND("/",Sync!$AG173)+1,20))+1,20))),"")))</f>
        <v/>
      </c>
      <c r="J173">
        <f>IF($F173="","",IF(OR($G173="",$H173="",$I173="",$G173&lt;1300,$G173&gt;1500,$H173&lt;1,$H173&gt;12,$I173&lt;1,$I173&gt;31),"نامعتبر",RIGHT("0000"&amp;$G173,4)&amp;"/"&amp;RIGHT("00"&amp;$H173,2)&amp;"/"&amp;RIGHT("00"&amp;$I173,2)))</f>
        <v/>
      </c>
      <c r="K173">
        <f>IF(OR($F173="",$J173="",$J173="نامعتبر"),"",LEFT($J173,4)&amp;MID($J173,6,2)&amp;RIGHT($J173,2)&amp;$N173&amp;"|"&amp;"2"&amp;RIGHT("00000"&amp;168,5))</f>
        <v/>
      </c>
      <c r="L173">
        <f>IF($K173="","",COUNTIFS(LdgPartyA,$F173,LdgKeyA,"&lt;"&amp;$K173)+COUNTIFS(LdgPartyB,$F173,LdgKeyB,"&lt;"&amp;$K173)+1)</f>
        <v/>
      </c>
      <c r="M173">
        <f>IF($L173="","",$F173&amp;"|"&amp;RIGHT("000000"&amp;$L173,6))</f>
        <v/>
      </c>
      <c r="N173">
        <f>IF($F173="","",IF(Sync!$AH173="","0000",IF(AND(ISNUMBER(Sync!$AH173),Sync!$AH173&gt;=0,Sync!$AH173&lt;1),RIGHT("00"&amp;HOUR(Sync!$AH173),2)&amp;RIGHT("00"&amp;MINUTE(Sync!$AH173),2),IFERROR(RIGHT("00"&amp;VALUE(LEFT(Sync!$AH173,FIND(":",Sync!$AH173)-1)),2)&amp;RIGHT("00"&amp;VALUE(MID(Sync!$AH173,FIND(":",Sync!$AH173)+1,2)),2),"0000"))))</f>
        <v/>
      </c>
    </row>
    <row r="174">
      <c r="A174">
        <f>IF(OR(Calc!$E177="",Calc!$E177="نامعتبر",Calc!$G177="",Calc!$I177&lt;&gt;"خرید"),"",Calc!$G177)</f>
        <v/>
      </c>
      <c r="B174">
        <f>IF($A174="","",LEFT(Calc!$E177,4)&amp;MID(Calc!$E177,6,2)&amp;RIGHT(Calc!$E177,2)&amp;Calc!$R177&amp;"|"&amp;"1"&amp;RIGHT("00000"&amp;169,5))</f>
        <v/>
      </c>
      <c r="C174">
        <f>IF($B174="","",COUNTIFS(LdgPartyA,$A174,LdgKeyA,"&lt;"&amp;$B174)+COUNTIFS(LdgPartyB,$A174,LdgKeyB,"&lt;"&amp;$B174)+1)</f>
        <v/>
      </c>
      <c r="D174">
        <f>IF($C174="","",$A174&amp;"|"&amp;RIGHT("000000"&amp;$C174,6))</f>
        <v/>
      </c>
      <c r="F174">
        <f>IF(Sync!$AJ174="","",Sync!$AJ174)</f>
        <v/>
      </c>
      <c r="G174">
        <f>IF($F174="","",IF(Sync!$AG174="","",IF(ISNUMBER(Sync!$AG174),IF(AND(Sync!$AG174&gt;=10000101,Sync!$AG174&lt;=99991231),INT(Sync!$AG174/10000),""),IFERROR(VALUE(TRIM(LEFT(Sync!$AG174,FIND("/",Sync!$AG174)-1))),""))))</f>
        <v/>
      </c>
      <c r="H174">
        <f>IF(OR($F174="",$G174=""),"",IF(ISNUMBER(Sync!$AG174),INT(MOD(Sync!$AG174,10000)/100),IFERROR(VALUE(TRIM(LEFT(MID(Sync!$AG174,FIND("/",Sync!$AG174)+1,20),FIND("/",MID(Sync!$AG174,FIND("/",Sync!$AG174)+1,20))-1))),"")))</f>
        <v/>
      </c>
      <c r="I174">
        <f>IF(OR($F174="",$G174=""),"",IF(ISNUMBER(Sync!$AG174),MOD(Sync!$AG174,100),IFERROR(VALUE(TRIM(MID(MID(Sync!$AG174,FIND("/",Sync!$AG174)+1,20),FIND("/",MID(Sync!$AG174,FIND("/",Sync!$AG174)+1,20))+1,20))),"")))</f>
        <v/>
      </c>
      <c r="J174">
        <f>IF($F174="","",IF(OR($G174="",$H174="",$I174="",$G174&lt;1300,$G174&gt;1500,$H174&lt;1,$H174&gt;12,$I174&lt;1,$I174&gt;31),"نامعتبر",RIGHT("0000"&amp;$G174,4)&amp;"/"&amp;RIGHT("00"&amp;$H174,2)&amp;"/"&amp;RIGHT("00"&amp;$I174,2)))</f>
        <v/>
      </c>
      <c r="K174">
        <f>IF(OR($F174="",$J174="",$J174="نامعتبر"),"",LEFT($J174,4)&amp;MID($J174,6,2)&amp;RIGHT($J174,2)&amp;$N174&amp;"|"&amp;"2"&amp;RIGHT("00000"&amp;169,5))</f>
        <v/>
      </c>
      <c r="L174">
        <f>IF($K174="","",COUNTIFS(LdgPartyA,$F174,LdgKeyA,"&lt;"&amp;$K174)+COUNTIFS(LdgPartyB,$F174,LdgKeyB,"&lt;"&amp;$K174)+1)</f>
        <v/>
      </c>
      <c r="M174">
        <f>IF($L174="","",$F174&amp;"|"&amp;RIGHT("000000"&amp;$L174,6))</f>
        <v/>
      </c>
      <c r="N174">
        <f>IF($F174="","",IF(Sync!$AH174="","0000",IF(AND(ISNUMBER(Sync!$AH174),Sync!$AH174&gt;=0,Sync!$AH174&lt;1),RIGHT("00"&amp;HOUR(Sync!$AH174),2)&amp;RIGHT("00"&amp;MINUTE(Sync!$AH174),2),IFERROR(RIGHT("00"&amp;VALUE(LEFT(Sync!$AH174,FIND(":",Sync!$AH174)-1)),2)&amp;RIGHT("00"&amp;VALUE(MID(Sync!$AH174,FIND(":",Sync!$AH174)+1,2)),2),"0000"))))</f>
        <v/>
      </c>
    </row>
    <row r="175">
      <c r="A175">
        <f>IF(OR(Calc!$E178="",Calc!$E178="نامعتبر",Calc!$G178="",Calc!$I178&lt;&gt;"خرید"),"",Calc!$G178)</f>
        <v/>
      </c>
      <c r="B175">
        <f>IF($A175="","",LEFT(Calc!$E178,4)&amp;MID(Calc!$E178,6,2)&amp;RIGHT(Calc!$E178,2)&amp;Calc!$R178&amp;"|"&amp;"1"&amp;RIGHT("00000"&amp;170,5))</f>
        <v/>
      </c>
      <c r="C175">
        <f>IF($B175="","",COUNTIFS(LdgPartyA,$A175,LdgKeyA,"&lt;"&amp;$B175)+COUNTIFS(LdgPartyB,$A175,LdgKeyB,"&lt;"&amp;$B175)+1)</f>
        <v/>
      </c>
      <c r="D175">
        <f>IF($C175="","",$A175&amp;"|"&amp;RIGHT("000000"&amp;$C175,6))</f>
        <v/>
      </c>
      <c r="F175">
        <f>IF(Sync!$AJ175="","",Sync!$AJ175)</f>
        <v/>
      </c>
      <c r="G175">
        <f>IF($F175="","",IF(Sync!$AG175="","",IF(ISNUMBER(Sync!$AG175),IF(AND(Sync!$AG175&gt;=10000101,Sync!$AG175&lt;=99991231),INT(Sync!$AG175/10000),""),IFERROR(VALUE(TRIM(LEFT(Sync!$AG175,FIND("/",Sync!$AG175)-1))),""))))</f>
        <v/>
      </c>
      <c r="H175">
        <f>IF(OR($F175="",$G175=""),"",IF(ISNUMBER(Sync!$AG175),INT(MOD(Sync!$AG175,10000)/100),IFERROR(VALUE(TRIM(LEFT(MID(Sync!$AG175,FIND("/",Sync!$AG175)+1,20),FIND("/",MID(Sync!$AG175,FIND("/",Sync!$AG175)+1,20))-1))),"")))</f>
        <v/>
      </c>
      <c r="I175">
        <f>IF(OR($F175="",$G175=""),"",IF(ISNUMBER(Sync!$AG175),MOD(Sync!$AG175,100),IFERROR(VALUE(TRIM(MID(MID(Sync!$AG175,FIND("/",Sync!$AG175)+1,20),FIND("/",MID(Sync!$AG175,FIND("/",Sync!$AG175)+1,20))+1,20))),"")))</f>
        <v/>
      </c>
      <c r="J175">
        <f>IF($F175="","",IF(OR($G175="",$H175="",$I175="",$G175&lt;1300,$G175&gt;1500,$H175&lt;1,$H175&gt;12,$I175&lt;1,$I175&gt;31),"نامعتبر",RIGHT("0000"&amp;$G175,4)&amp;"/"&amp;RIGHT("00"&amp;$H175,2)&amp;"/"&amp;RIGHT("00"&amp;$I175,2)))</f>
        <v/>
      </c>
      <c r="K175">
        <f>IF(OR($F175="",$J175="",$J175="نامعتبر"),"",LEFT($J175,4)&amp;MID($J175,6,2)&amp;RIGHT($J175,2)&amp;$N175&amp;"|"&amp;"2"&amp;RIGHT("00000"&amp;170,5))</f>
        <v/>
      </c>
      <c r="L175">
        <f>IF($K175="","",COUNTIFS(LdgPartyA,$F175,LdgKeyA,"&lt;"&amp;$K175)+COUNTIFS(LdgPartyB,$F175,LdgKeyB,"&lt;"&amp;$K175)+1)</f>
        <v/>
      </c>
      <c r="M175">
        <f>IF($L175="","",$F175&amp;"|"&amp;RIGHT("000000"&amp;$L175,6))</f>
        <v/>
      </c>
      <c r="N175">
        <f>IF($F175="","",IF(Sync!$AH175="","0000",IF(AND(ISNUMBER(Sync!$AH175),Sync!$AH175&gt;=0,Sync!$AH175&lt;1),RIGHT("00"&amp;HOUR(Sync!$AH175),2)&amp;RIGHT("00"&amp;MINUTE(Sync!$AH175),2),IFERROR(RIGHT("00"&amp;VALUE(LEFT(Sync!$AH175,FIND(":",Sync!$AH175)-1)),2)&amp;RIGHT("00"&amp;VALUE(MID(Sync!$AH175,FIND(":",Sync!$AH175)+1,2)),2),"0000"))))</f>
        <v/>
      </c>
    </row>
    <row r="176">
      <c r="A176">
        <f>IF(OR(Calc!$E179="",Calc!$E179="نامعتبر",Calc!$G179="",Calc!$I179&lt;&gt;"خرید"),"",Calc!$G179)</f>
        <v/>
      </c>
      <c r="B176">
        <f>IF($A176="","",LEFT(Calc!$E179,4)&amp;MID(Calc!$E179,6,2)&amp;RIGHT(Calc!$E179,2)&amp;Calc!$R179&amp;"|"&amp;"1"&amp;RIGHT("00000"&amp;171,5))</f>
        <v/>
      </c>
      <c r="C176">
        <f>IF($B176="","",COUNTIFS(LdgPartyA,$A176,LdgKeyA,"&lt;"&amp;$B176)+COUNTIFS(LdgPartyB,$A176,LdgKeyB,"&lt;"&amp;$B176)+1)</f>
        <v/>
      </c>
      <c r="D176">
        <f>IF($C176="","",$A176&amp;"|"&amp;RIGHT("000000"&amp;$C176,6))</f>
        <v/>
      </c>
      <c r="F176">
        <f>IF(Sync!$AJ176="","",Sync!$AJ176)</f>
        <v/>
      </c>
      <c r="G176">
        <f>IF($F176="","",IF(Sync!$AG176="","",IF(ISNUMBER(Sync!$AG176),IF(AND(Sync!$AG176&gt;=10000101,Sync!$AG176&lt;=99991231),INT(Sync!$AG176/10000),""),IFERROR(VALUE(TRIM(LEFT(Sync!$AG176,FIND("/",Sync!$AG176)-1))),""))))</f>
        <v/>
      </c>
      <c r="H176">
        <f>IF(OR($F176="",$G176=""),"",IF(ISNUMBER(Sync!$AG176),INT(MOD(Sync!$AG176,10000)/100),IFERROR(VALUE(TRIM(LEFT(MID(Sync!$AG176,FIND("/",Sync!$AG176)+1,20),FIND("/",MID(Sync!$AG176,FIND("/",Sync!$AG176)+1,20))-1))),"")))</f>
        <v/>
      </c>
      <c r="I176">
        <f>IF(OR($F176="",$G176=""),"",IF(ISNUMBER(Sync!$AG176),MOD(Sync!$AG176,100),IFERROR(VALUE(TRIM(MID(MID(Sync!$AG176,FIND("/",Sync!$AG176)+1,20),FIND("/",MID(Sync!$AG176,FIND("/",Sync!$AG176)+1,20))+1,20))),"")))</f>
        <v/>
      </c>
      <c r="J176">
        <f>IF($F176="","",IF(OR($G176="",$H176="",$I176="",$G176&lt;1300,$G176&gt;1500,$H176&lt;1,$H176&gt;12,$I176&lt;1,$I176&gt;31),"نامعتبر",RIGHT("0000"&amp;$G176,4)&amp;"/"&amp;RIGHT("00"&amp;$H176,2)&amp;"/"&amp;RIGHT("00"&amp;$I176,2)))</f>
        <v/>
      </c>
      <c r="K176">
        <f>IF(OR($F176="",$J176="",$J176="نامعتبر"),"",LEFT($J176,4)&amp;MID($J176,6,2)&amp;RIGHT($J176,2)&amp;$N176&amp;"|"&amp;"2"&amp;RIGHT("00000"&amp;171,5))</f>
        <v/>
      </c>
      <c r="L176">
        <f>IF($K176="","",COUNTIFS(LdgPartyA,$F176,LdgKeyA,"&lt;"&amp;$K176)+COUNTIFS(LdgPartyB,$F176,LdgKeyB,"&lt;"&amp;$K176)+1)</f>
        <v/>
      </c>
      <c r="M176">
        <f>IF($L176="","",$F176&amp;"|"&amp;RIGHT("000000"&amp;$L176,6))</f>
        <v/>
      </c>
      <c r="N176">
        <f>IF($F176="","",IF(Sync!$AH176="","0000",IF(AND(ISNUMBER(Sync!$AH176),Sync!$AH176&gt;=0,Sync!$AH176&lt;1),RIGHT("00"&amp;HOUR(Sync!$AH176),2)&amp;RIGHT("00"&amp;MINUTE(Sync!$AH176),2),IFERROR(RIGHT("00"&amp;VALUE(LEFT(Sync!$AH176,FIND(":",Sync!$AH176)-1)),2)&amp;RIGHT("00"&amp;VALUE(MID(Sync!$AH176,FIND(":",Sync!$AH176)+1,2)),2),"0000"))))</f>
        <v/>
      </c>
    </row>
    <row r="177">
      <c r="A177">
        <f>IF(OR(Calc!$E180="",Calc!$E180="نامعتبر",Calc!$G180="",Calc!$I180&lt;&gt;"خرید"),"",Calc!$G180)</f>
        <v/>
      </c>
      <c r="B177">
        <f>IF($A177="","",LEFT(Calc!$E180,4)&amp;MID(Calc!$E180,6,2)&amp;RIGHT(Calc!$E180,2)&amp;Calc!$R180&amp;"|"&amp;"1"&amp;RIGHT("00000"&amp;172,5))</f>
        <v/>
      </c>
      <c r="C177">
        <f>IF($B177="","",COUNTIFS(LdgPartyA,$A177,LdgKeyA,"&lt;"&amp;$B177)+COUNTIFS(LdgPartyB,$A177,LdgKeyB,"&lt;"&amp;$B177)+1)</f>
        <v/>
      </c>
      <c r="D177">
        <f>IF($C177="","",$A177&amp;"|"&amp;RIGHT("000000"&amp;$C177,6))</f>
        <v/>
      </c>
      <c r="F177">
        <f>IF(Sync!$AJ177="","",Sync!$AJ177)</f>
        <v/>
      </c>
      <c r="G177">
        <f>IF($F177="","",IF(Sync!$AG177="","",IF(ISNUMBER(Sync!$AG177),IF(AND(Sync!$AG177&gt;=10000101,Sync!$AG177&lt;=99991231),INT(Sync!$AG177/10000),""),IFERROR(VALUE(TRIM(LEFT(Sync!$AG177,FIND("/",Sync!$AG177)-1))),""))))</f>
        <v/>
      </c>
      <c r="H177">
        <f>IF(OR($F177="",$G177=""),"",IF(ISNUMBER(Sync!$AG177),INT(MOD(Sync!$AG177,10000)/100),IFERROR(VALUE(TRIM(LEFT(MID(Sync!$AG177,FIND("/",Sync!$AG177)+1,20),FIND("/",MID(Sync!$AG177,FIND("/",Sync!$AG177)+1,20))-1))),"")))</f>
        <v/>
      </c>
      <c r="I177">
        <f>IF(OR($F177="",$G177=""),"",IF(ISNUMBER(Sync!$AG177),MOD(Sync!$AG177,100),IFERROR(VALUE(TRIM(MID(MID(Sync!$AG177,FIND("/",Sync!$AG177)+1,20),FIND("/",MID(Sync!$AG177,FIND("/",Sync!$AG177)+1,20))+1,20))),"")))</f>
        <v/>
      </c>
      <c r="J177">
        <f>IF($F177="","",IF(OR($G177="",$H177="",$I177="",$G177&lt;1300,$G177&gt;1500,$H177&lt;1,$H177&gt;12,$I177&lt;1,$I177&gt;31),"نامعتبر",RIGHT("0000"&amp;$G177,4)&amp;"/"&amp;RIGHT("00"&amp;$H177,2)&amp;"/"&amp;RIGHT("00"&amp;$I177,2)))</f>
        <v/>
      </c>
      <c r="K177">
        <f>IF(OR($F177="",$J177="",$J177="نامعتبر"),"",LEFT($J177,4)&amp;MID($J177,6,2)&amp;RIGHT($J177,2)&amp;$N177&amp;"|"&amp;"2"&amp;RIGHT("00000"&amp;172,5))</f>
        <v/>
      </c>
      <c r="L177">
        <f>IF($K177="","",COUNTIFS(LdgPartyA,$F177,LdgKeyA,"&lt;"&amp;$K177)+COUNTIFS(LdgPartyB,$F177,LdgKeyB,"&lt;"&amp;$K177)+1)</f>
        <v/>
      </c>
      <c r="M177">
        <f>IF($L177="","",$F177&amp;"|"&amp;RIGHT("000000"&amp;$L177,6))</f>
        <v/>
      </c>
      <c r="N177">
        <f>IF($F177="","",IF(Sync!$AH177="","0000",IF(AND(ISNUMBER(Sync!$AH177),Sync!$AH177&gt;=0,Sync!$AH177&lt;1),RIGHT("00"&amp;HOUR(Sync!$AH177),2)&amp;RIGHT("00"&amp;MINUTE(Sync!$AH177),2),IFERROR(RIGHT("00"&amp;VALUE(LEFT(Sync!$AH177,FIND(":",Sync!$AH177)-1)),2)&amp;RIGHT("00"&amp;VALUE(MID(Sync!$AH177,FIND(":",Sync!$AH177)+1,2)),2),"0000"))))</f>
        <v/>
      </c>
    </row>
    <row r="178">
      <c r="A178">
        <f>IF(OR(Calc!$E181="",Calc!$E181="نامعتبر",Calc!$G181="",Calc!$I181&lt;&gt;"خرید"),"",Calc!$G181)</f>
        <v/>
      </c>
      <c r="B178">
        <f>IF($A178="","",LEFT(Calc!$E181,4)&amp;MID(Calc!$E181,6,2)&amp;RIGHT(Calc!$E181,2)&amp;Calc!$R181&amp;"|"&amp;"1"&amp;RIGHT("00000"&amp;173,5))</f>
        <v/>
      </c>
      <c r="C178">
        <f>IF($B178="","",COUNTIFS(LdgPartyA,$A178,LdgKeyA,"&lt;"&amp;$B178)+COUNTIFS(LdgPartyB,$A178,LdgKeyB,"&lt;"&amp;$B178)+1)</f>
        <v/>
      </c>
      <c r="D178">
        <f>IF($C178="","",$A178&amp;"|"&amp;RIGHT("000000"&amp;$C178,6))</f>
        <v/>
      </c>
      <c r="F178">
        <f>IF(Sync!$AJ178="","",Sync!$AJ178)</f>
        <v/>
      </c>
      <c r="G178">
        <f>IF($F178="","",IF(Sync!$AG178="","",IF(ISNUMBER(Sync!$AG178),IF(AND(Sync!$AG178&gt;=10000101,Sync!$AG178&lt;=99991231),INT(Sync!$AG178/10000),""),IFERROR(VALUE(TRIM(LEFT(Sync!$AG178,FIND("/",Sync!$AG178)-1))),""))))</f>
        <v/>
      </c>
      <c r="H178">
        <f>IF(OR($F178="",$G178=""),"",IF(ISNUMBER(Sync!$AG178),INT(MOD(Sync!$AG178,10000)/100),IFERROR(VALUE(TRIM(LEFT(MID(Sync!$AG178,FIND("/",Sync!$AG178)+1,20),FIND("/",MID(Sync!$AG178,FIND("/",Sync!$AG178)+1,20))-1))),"")))</f>
        <v/>
      </c>
      <c r="I178">
        <f>IF(OR($F178="",$G178=""),"",IF(ISNUMBER(Sync!$AG178),MOD(Sync!$AG178,100),IFERROR(VALUE(TRIM(MID(MID(Sync!$AG178,FIND("/",Sync!$AG178)+1,20),FIND("/",MID(Sync!$AG178,FIND("/",Sync!$AG178)+1,20))+1,20))),"")))</f>
        <v/>
      </c>
      <c r="J178">
        <f>IF($F178="","",IF(OR($G178="",$H178="",$I178="",$G178&lt;1300,$G178&gt;1500,$H178&lt;1,$H178&gt;12,$I178&lt;1,$I178&gt;31),"نامعتبر",RIGHT("0000"&amp;$G178,4)&amp;"/"&amp;RIGHT("00"&amp;$H178,2)&amp;"/"&amp;RIGHT("00"&amp;$I178,2)))</f>
        <v/>
      </c>
      <c r="K178">
        <f>IF(OR($F178="",$J178="",$J178="نامعتبر"),"",LEFT($J178,4)&amp;MID($J178,6,2)&amp;RIGHT($J178,2)&amp;$N178&amp;"|"&amp;"2"&amp;RIGHT("00000"&amp;173,5))</f>
        <v/>
      </c>
      <c r="L178">
        <f>IF($K178="","",COUNTIFS(LdgPartyA,$F178,LdgKeyA,"&lt;"&amp;$K178)+COUNTIFS(LdgPartyB,$F178,LdgKeyB,"&lt;"&amp;$K178)+1)</f>
        <v/>
      </c>
      <c r="M178">
        <f>IF($L178="","",$F178&amp;"|"&amp;RIGHT("000000"&amp;$L178,6))</f>
        <v/>
      </c>
      <c r="N178">
        <f>IF($F178="","",IF(Sync!$AH178="","0000",IF(AND(ISNUMBER(Sync!$AH178),Sync!$AH178&gt;=0,Sync!$AH178&lt;1),RIGHT("00"&amp;HOUR(Sync!$AH178),2)&amp;RIGHT("00"&amp;MINUTE(Sync!$AH178),2),IFERROR(RIGHT("00"&amp;VALUE(LEFT(Sync!$AH178,FIND(":",Sync!$AH178)-1)),2)&amp;RIGHT("00"&amp;VALUE(MID(Sync!$AH178,FIND(":",Sync!$AH178)+1,2)),2),"0000"))))</f>
        <v/>
      </c>
    </row>
    <row r="179">
      <c r="A179">
        <f>IF(OR(Calc!$E182="",Calc!$E182="نامعتبر",Calc!$G182="",Calc!$I182&lt;&gt;"خرید"),"",Calc!$G182)</f>
        <v/>
      </c>
      <c r="B179">
        <f>IF($A179="","",LEFT(Calc!$E182,4)&amp;MID(Calc!$E182,6,2)&amp;RIGHT(Calc!$E182,2)&amp;Calc!$R182&amp;"|"&amp;"1"&amp;RIGHT("00000"&amp;174,5))</f>
        <v/>
      </c>
      <c r="C179">
        <f>IF($B179="","",COUNTIFS(LdgPartyA,$A179,LdgKeyA,"&lt;"&amp;$B179)+COUNTIFS(LdgPartyB,$A179,LdgKeyB,"&lt;"&amp;$B179)+1)</f>
        <v/>
      </c>
      <c r="D179">
        <f>IF($C179="","",$A179&amp;"|"&amp;RIGHT("000000"&amp;$C179,6))</f>
        <v/>
      </c>
      <c r="F179">
        <f>IF(Sync!$AJ179="","",Sync!$AJ179)</f>
        <v/>
      </c>
      <c r="G179">
        <f>IF($F179="","",IF(Sync!$AG179="","",IF(ISNUMBER(Sync!$AG179),IF(AND(Sync!$AG179&gt;=10000101,Sync!$AG179&lt;=99991231),INT(Sync!$AG179/10000),""),IFERROR(VALUE(TRIM(LEFT(Sync!$AG179,FIND("/",Sync!$AG179)-1))),""))))</f>
        <v/>
      </c>
      <c r="H179">
        <f>IF(OR($F179="",$G179=""),"",IF(ISNUMBER(Sync!$AG179),INT(MOD(Sync!$AG179,10000)/100),IFERROR(VALUE(TRIM(LEFT(MID(Sync!$AG179,FIND("/",Sync!$AG179)+1,20),FIND("/",MID(Sync!$AG179,FIND("/",Sync!$AG179)+1,20))-1))),"")))</f>
        <v/>
      </c>
      <c r="I179">
        <f>IF(OR($F179="",$G179=""),"",IF(ISNUMBER(Sync!$AG179),MOD(Sync!$AG179,100),IFERROR(VALUE(TRIM(MID(MID(Sync!$AG179,FIND("/",Sync!$AG179)+1,20),FIND("/",MID(Sync!$AG179,FIND("/",Sync!$AG179)+1,20))+1,20))),"")))</f>
        <v/>
      </c>
      <c r="J179">
        <f>IF($F179="","",IF(OR($G179="",$H179="",$I179="",$G179&lt;1300,$G179&gt;1500,$H179&lt;1,$H179&gt;12,$I179&lt;1,$I179&gt;31),"نامعتبر",RIGHT("0000"&amp;$G179,4)&amp;"/"&amp;RIGHT("00"&amp;$H179,2)&amp;"/"&amp;RIGHT("00"&amp;$I179,2)))</f>
        <v/>
      </c>
      <c r="K179">
        <f>IF(OR($F179="",$J179="",$J179="نامعتبر"),"",LEFT($J179,4)&amp;MID($J179,6,2)&amp;RIGHT($J179,2)&amp;$N179&amp;"|"&amp;"2"&amp;RIGHT("00000"&amp;174,5))</f>
        <v/>
      </c>
      <c r="L179">
        <f>IF($K179="","",COUNTIFS(LdgPartyA,$F179,LdgKeyA,"&lt;"&amp;$K179)+COUNTIFS(LdgPartyB,$F179,LdgKeyB,"&lt;"&amp;$K179)+1)</f>
        <v/>
      </c>
      <c r="M179">
        <f>IF($L179="","",$F179&amp;"|"&amp;RIGHT("000000"&amp;$L179,6))</f>
        <v/>
      </c>
      <c r="N179">
        <f>IF($F179="","",IF(Sync!$AH179="","0000",IF(AND(ISNUMBER(Sync!$AH179),Sync!$AH179&gt;=0,Sync!$AH179&lt;1),RIGHT("00"&amp;HOUR(Sync!$AH179),2)&amp;RIGHT("00"&amp;MINUTE(Sync!$AH179),2),IFERROR(RIGHT("00"&amp;VALUE(LEFT(Sync!$AH179,FIND(":",Sync!$AH179)-1)),2)&amp;RIGHT("00"&amp;VALUE(MID(Sync!$AH179,FIND(":",Sync!$AH179)+1,2)),2),"0000"))))</f>
        <v/>
      </c>
    </row>
    <row r="180">
      <c r="A180">
        <f>IF(OR(Calc!$E183="",Calc!$E183="نامعتبر",Calc!$G183="",Calc!$I183&lt;&gt;"خرید"),"",Calc!$G183)</f>
        <v/>
      </c>
      <c r="B180">
        <f>IF($A180="","",LEFT(Calc!$E183,4)&amp;MID(Calc!$E183,6,2)&amp;RIGHT(Calc!$E183,2)&amp;Calc!$R183&amp;"|"&amp;"1"&amp;RIGHT("00000"&amp;175,5))</f>
        <v/>
      </c>
      <c r="C180">
        <f>IF($B180="","",COUNTIFS(LdgPartyA,$A180,LdgKeyA,"&lt;"&amp;$B180)+COUNTIFS(LdgPartyB,$A180,LdgKeyB,"&lt;"&amp;$B180)+1)</f>
        <v/>
      </c>
      <c r="D180">
        <f>IF($C180="","",$A180&amp;"|"&amp;RIGHT("000000"&amp;$C180,6))</f>
        <v/>
      </c>
      <c r="F180">
        <f>IF(Sync!$AJ180="","",Sync!$AJ180)</f>
        <v/>
      </c>
      <c r="G180">
        <f>IF($F180="","",IF(Sync!$AG180="","",IF(ISNUMBER(Sync!$AG180),IF(AND(Sync!$AG180&gt;=10000101,Sync!$AG180&lt;=99991231),INT(Sync!$AG180/10000),""),IFERROR(VALUE(TRIM(LEFT(Sync!$AG180,FIND("/",Sync!$AG180)-1))),""))))</f>
        <v/>
      </c>
      <c r="H180">
        <f>IF(OR($F180="",$G180=""),"",IF(ISNUMBER(Sync!$AG180),INT(MOD(Sync!$AG180,10000)/100),IFERROR(VALUE(TRIM(LEFT(MID(Sync!$AG180,FIND("/",Sync!$AG180)+1,20),FIND("/",MID(Sync!$AG180,FIND("/",Sync!$AG180)+1,20))-1))),"")))</f>
        <v/>
      </c>
      <c r="I180">
        <f>IF(OR($F180="",$G180=""),"",IF(ISNUMBER(Sync!$AG180),MOD(Sync!$AG180,100),IFERROR(VALUE(TRIM(MID(MID(Sync!$AG180,FIND("/",Sync!$AG180)+1,20),FIND("/",MID(Sync!$AG180,FIND("/",Sync!$AG180)+1,20))+1,20))),"")))</f>
        <v/>
      </c>
      <c r="J180">
        <f>IF($F180="","",IF(OR($G180="",$H180="",$I180="",$G180&lt;1300,$G180&gt;1500,$H180&lt;1,$H180&gt;12,$I180&lt;1,$I180&gt;31),"نامعتبر",RIGHT("0000"&amp;$G180,4)&amp;"/"&amp;RIGHT("00"&amp;$H180,2)&amp;"/"&amp;RIGHT("00"&amp;$I180,2)))</f>
        <v/>
      </c>
      <c r="K180">
        <f>IF(OR($F180="",$J180="",$J180="نامعتبر"),"",LEFT($J180,4)&amp;MID($J180,6,2)&amp;RIGHT($J180,2)&amp;$N180&amp;"|"&amp;"2"&amp;RIGHT("00000"&amp;175,5))</f>
        <v/>
      </c>
      <c r="L180">
        <f>IF($K180="","",COUNTIFS(LdgPartyA,$F180,LdgKeyA,"&lt;"&amp;$K180)+COUNTIFS(LdgPartyB,$F180,LdgKeyB,"&lt;"&amp;$K180)+1)</f>
        <v/>
      </c>
      <c r="M180">
        <f>IF($L180="","",$F180&amp;"|"&amp;RIGHT("000000"&amp;$L180,6))</f>
        <v/>
      </c>
      <c r="N180">
        <f>IF($F180="","",IF(Sync!$AH180="","0000",IF(AND(ISNUMBER(Sync!$AH180),Sync!$AH180&gt;=0,Sync!$AH180&lt;1),RIGHT("00"&amp;HOUR(Sync!$AH180),2)&amp;RIGHT("00"&amp;MINUTE(Sync!$AH180),2),IFERROR(RIGHT("00"&amp;VALUE(LEFT(Sync!$AH180,FIND(":",Sync!$AH180)-1)),2)&amp;RIGHT("00"&amp;VALUE(MID(Sync!$AH180,FIND(":",Sync!$AH180)+1,2)),2),"0000"))))</f>
        <v/>
      </c>
    </row>
    <row r="181">
      <c r="A181">
        <f>IF(OR(Calc!$E184="",Calc!$E184="نامعتبر",Calc!$G184="",Calc!$I184&lt;&gt;"خرید"),"",Calc!$G184)</f>
        <v/>
      </c>
      <c r="B181">
        <f>IF($A181="","",LEFT(Calc!$E184,4)&amp;MID(Calc!$E184,6,2)&amp;RIGHT(Calc!$E184,2)&amp;Calc!$R184&amp;"|"&amp;"1"&amp;RIGHT("00000"&amp;176,5))</f>
        <v/>
      </c>
      <c r="C181">
        <f>IF($B181="","",COUNTIFS(LdgPartyA,$A181,LdgKeyA,"&lt;"&amp;$B181)+COUNTIFS(LdgPartyB,$A181,LdgKeyB,"&lt;"&amp;$B181)+1)</f>
        <v/>
      </c>
      <c r="D181">
        <f>IF($C181="","",$A181&amp;"|"&amp;RIGHT("000000"&amp;$C181,6))</f>
        <v/>
      </c>
      <c r="F181">
        <f>IF(Sync!$AJ181="","",Sync!$AJ181)</f>
        <v/>
      </c>
      <c r="G181">
        <f>IF($F181="","",IF(Sync!$AG181="","",IF(ISNUMBER(Sync!$AG181),IF(AND(Sync!$AG181&gt;=10000101,Sync!$AG181&lt;=99991231),INT(Sync!$AG181/10000),""),IFERROR(VALUE(TRIM(LEFT(Sync!$AG181,FIND("/",Sync!$AG181)-1))),""))))</f>
        <v/>
      </c>
      <c r="H181">
        <f>IF(OR($F181="",$G181=""),"",IF(ISNUMBER(Sync!$AG181),INT(MOD(Sync!$AG181,10000)/100),IFERROR(VALUE(TRIM(LEFT(MID(Sync!$AG181,FIND("/",Sync!$AG181)+1,20),FIND("/",MID(Sync!$AG181,FIND("/",Sync!$AG181)+1,20))-1))),"")))</f>
        <v/>
      </c>
      <c r="I181">
        <f>IF(OR($F181="",$G181=""),"",IF(ISNUMBER(Sync!$AG181),MOD(Sync!$AG181,100),IFERROR(VALUE(TRIM(MID(MID(Sync!$AG181,FIND("/",Sync!$AG181)+1,20),FIND("/",MID(Sync!$AG181,FIND("/",Sync!$AG181)+1,20))+1,20))),"")))</f>
        <v/>
      </c>
      <c r="J181">
        <f>IF($F181="","",IF(OR($G181="",$H181="",$I181="",$G181&lt;1300,$G181&gt;1500,$H181&lt;1,$H181&gt;12,$I181&lt;1,$I181&gt;31),"نامعتبر",RIGHT("0000"&amp;$G181,4)&amp;"/"&amp;RIGHT("00"&amp;$H181,2)&amp;"/"&amp;RIGHT("00"&amp;$I181,2)))</f>
        <v/>
      </c>
      <c r="K181">
        <f>IF(OR($F181="",$J181="",$J181="نامعتبر"),"",LEFT($J181,4)&amp;MID($J181,6,2)&amp;RIGHT($J181,2)&amp;$N181&amp;"|"&amp;"2"&amp;RIGHT("00000"&amp;176,5))</f>
        <v/>
      </c>
      <c r="L181">
        <f>IF($K181="","",COUNTIFS(LdgPartyA,$F181,LdgKeyA,"&lt;"&amp;$K181)+COUNTIFS(LdgPartyB,$F181,LdgKeyB,"&lt;"&amp;$K181)+1)</f>
        <v/>
      </c>
      <c r="M181">
        <f>IF($L181="","",$F181&amp;"|"&amp;RIGHT("000000"&amp;$L181,6))</f>
        <v/>
      </c>
      <c r="N181">
        <f>IF($F181="","",IF(Sync!$AH181="","0000",IF(AND(ISNUMBER(Sync!$AH181),Sync!$AH181&gt;=0,Sync!$AH181&lt;1),RIGHT("00"&amp;HOUR(Sync!$AH181),2)&amp;RIGHT("00"&amp;MINUTE(Sync!$AH181),2),IFERROR(RIGHT("00"&amp;VALUE(LEFT(Sync!$AH181,FIND(":",Sync!$AH181)-1)),2)&amp;RIGHT("00"&amp;VALUE(MID(Sync!$AH181,FIND(":",Sync!$AH181)+1,2)),2),"0000"))))</f>
        <v/>
      </c>
    </row>
    <row r="182">
      <c r="A182">
        <f>IF(OR(Calc!$E185="",Calc!$E185="نامعتبر",Calc!$G185="",Calc!$I185&lt;&gt;"خرید"),"",Calc!$G185)</f>
        <v/>
      </c>
      <c r="B182">
        <f>IF($A182="","",LEFT(Calc!$E185,4)&amp;MID(Calc!$E185,6,2)&amp;RIGHT(Calc!$E185,2)&amp;Calc!$R185&amp;"|"&amp;"1"&amp;RIGHT("00000"&amp;177,5))</f>
        <v/>
      </c>
      <c r="C182">
        <f>IF($B182="","",COUNTIFS(LdgPartyA,$A182,LdgKeyA,"&lt;"&amp;$B182)+COUNTIFS(LdgPartyB,$A182,LdgKeyB,"&lt;"&amp;$B182)+1)</f>
        <v/>
      </c>
      <c r="D182">
        <f>IF($C182="","",$A182&amp;"|"&amp;RIGHT("000000"&amp;$C182,6))</f>
        <v/>
      </c>
      <c r="F182">
        <f>IF(Sync!$AJ182="","",Sync!$AJ182)</f>
        <v/>
      </c>
      <c r="G182">
        <f>IF($F182="","",IF(Sync!$AG182="","",IF(ISNUMBER(Sync!$AG182),IF(AND(Sync!$AG182&gt;=10000101,Sync!$AG182&lt;=99991231),INT(Sync!$AG182/10000),""),IFERROR(VALUE(TRIM(LEFT(Sync!$AG182,FIND("/",Sync!$AG182)-1))),""))))</f>
        <v/>
      </c>
      <c r="H182">
        <f>IF(OR($F182="",$G182=""),"",IF(ISNUMBER(Sync!$AG182),INT(MOD(Sync!$AG182,10000)/100),IFERROR(VALUE(TRIM(LEFT(MID(Sync!$AG182,FIND("/",Sync!$AG182)+1,20),FIND("/",MID(Sync!$AG182,FIND("/",Sync!$AG182)+1,20))-1))),"")))</f>
        <v/>
      </c>
      <c r="I182">
        <f>IF(OR($F182="",$G182=""),"",IF(ISNUMBER(Sync!$AG182),MOD(Sync!$AG182,100),IFERROR(VALUE(TRIM(MID(MID(Sync!$AG182,FIND("/",Sync!$AG182)+1,20),FIND("/",MID(Sync!$AG182,FIND("/",Sync!$AG182)+1,20))+1,20))),"")))</f>
        <v/>
      </c>
      <c r="J182">
        <f>IF($F182="","",IF(OR($G182="",$H182="",$I182="",$G182&lt;1300,$G182&gt;1500,$H182&lt;1,$H182&gt;12,$I182&lt;1,$I182&gt;31),"نامعتبر",RIGHT("0000"&amp;$G182,4)&amp;"/"&amp;RIGHT("00"&amp;$H182,2)&amp;"/"&amp;RIGHT("00"&amp;$I182,2)))</f>
        <v/>
      </c>
      <c r="K182">
        <f>IF(OR($F182="",$J182="",$J182="نامعتبر"),"",LEFT($J182,4)&amp;MID($J182,6,2)&amp;RIGHT($J182,2)&amp;$N182&amp;"|"&amp;"2"&amp;RIGHT("00000"&amp;177,5))</f>
        <v/>
      </c>
      <c r="L182">
        <f>IF($K182="","",COUNTIFS(LdgPartyA,$F182,LdgKeyA,"&lt;"&amp;$K182)+COUNTIFS(LdgPartyB,$F182,LdgKeyB,"&lt;"&amp;$K182)+1)</f>
        <v/>
      </c>
      <c r="M182">
        <f>IF($L182="","",$F182&amp;"|"&amp;RIGHT("000000"&amp;$L182,6))</f>
        <v/>
      </c>
      <c r="N182">
        <f>IF($F182="","",IF(Sync!$AH182="","0000",IF(AND(ISNUMBER(Sync!$AH182),Sync!$AH182&gt;=0,Sync!$AH182&lt;1),RIGHT("00"&amp;HOUR(Sync!$AH182),2)&amp;RIGHT("00"&amp;MINUTE(Sync!$AH182),2),IFERROR(RIGHT("00"&amp;VALUE(LEFT(Sync!$AH182,FIND(":",Sync!$AH182)-1)),2)&amp;RIGHT("00"&amp;VALUE(MID(Sync!$AH182,FIND(":",Sync!$AH182)+1,2)),2),"0000"))))</f>
        <v/>
      </c>
    </row>
    <row r="183">
      <c r="A183">
        <f>IF(OR(Calc!$E186="",Calc!$E186="نامعتبر",Calc!$G186="",Calc!$I186&lt;&gt;"خرید"),"",Calc!$G186)</f>
        <v/>
      </c>
      <c r="B183">
        <f>IF($A183="","",LEFT(Calc!$E186,4)&amp;MID(Calc!$E186,6,2)&amp;RIGHT(Calc!$E186,2)&amp;Calc!$R186&amp;"|"&amp;"1"&amp;RIGHT("00000"&amp;178,5))</f>
        <v/>
      </c>
      <c r="C183">
        <f>IF($B183="","",COUNTIFS(LdgPartyA,$A183,LdgKeyA,"&lt;"&amp;$B183)+COUNTIFS(LdgPartyB,$A183,LdgKeyB,"&lt;"&amp;$B183)+1)</f>
        <v/>
      </c>
      <c r="D183">
        <f>IF($C183="","",$A183&amp;"|"&amp;RIGHT("000000"&amp;$C183,6))</f>
        <v/>
      </c>
      <c r="F183">
        <f>IF(Sync!$AJ183="","",Sync!$AJ183)</f>
        <v/>
      </c>
      <c r="G183">
        <f>IF($F183="","",IF(Sync!$AG183="","",IF(ISNUMBER(Sync!$AG183),IF(AND(Sync!$AG183&gt;=10000101,Sync!$AG183&lt;=99991231),INT(Sync!$AG183/10000),""),IFERROR(VALUE(TRIM(LEFT(Sync!$AG183,FIND("/",Sync!$AG183)-1))),""))))</f>
        <v/>
      </c>
      <c r="H183">
        <f>IF(OR($F183="",$G183=""),"",IF(ISNUMBER(Sync!$AG183),INT(MOD(Sync!$AG183,10000)/100),IFERROR(VALUE(TRIM(LEFT(MID(Sync!$AG183,FIND("/",Sync!$AG183)+1,20),FIND("/",MID(Sync!$AG183,FIND("/",Sync!$AG183)+1,20))-1))),"")))</f>
        <v/>
      </c>
      <c r="I183">
        <f>IF(OR($F183="",$G183=""),"",IF(ISNUMBER(Sync!$AG183),MOD(Sync!$AG183,100),IFERROR(VALUE(TRIM(MID(MID(Sync!$AG183,FIND("/",Sync!$AG183)+1,20),FIND("/",MID(Sync!$AG183,FIND("/",Sync!$AG183)+1,20))+1,20))),"")))</f>
        <v/>
      </c>
      <c r="J183">
        <f>IF($F183="","",IF(OR($G183="",$H183="",$I183="",$G183&lt;1300,$G183&gt;1500,$H183&lt;1,$H183&gt;12,$I183&lt;1,$I183&gt;31),"نامعتبر",RIGHT("0000"&amp;$G183,4)&amp;"/"&amp;RIGHT("00"&amp;$H183,2)&amp;"/"&amp;RIGHT("00"&amp;$I183,2)))</f>
        <v/>
      </c>
      <c r="K183">
        <f>IF(OR($F183="",$J183="",$J183="نامعتبر"),"",LEFT($J183,4)&amp;MID($J183,6,2)&amp;RIGHT($J183,2)&amp;$N183&amp;"|"&amp;"2"&amp;RIGHT("00000"&amp;178,5))</f>
        <v/>
      </c>
      <c r="L183">
        <f>IF($K183="","",COUNTIFS(LdgPartyA,$F183,LdgKeyA,"&lt;"&amp;$K183)+COUNTIFS(LdgPartyB,$F183,LdgKeyB,"&lt;"&amp;$K183)+1)</f>
        <v/>
      </c>
      <c r="M183">
        <f>IF($L183="","",$F183&amp;"|"&amp;RIGHT("000000"&amp;$L183,6))</f>
        <v/>
      </c>
      <c r="N183">
        <f>IF($F183="","",IF(Sync!$AH183="","0000",IF(AND(ISNUMBER(Sync!$AH183),Sync!$AH183&gt;=0,Sync!$AH183&lt;1),RIGHT("00"&amp;HOUR(Sync!$AH183),2)&amp;RIGHT("00"&amp;MINUTE(Sync!$AH183),2),IFERROR(RIGHT("00"&amp;VALUE(LEFT(Sync!$AH183,FIND(":",Sync!$AH183)-1)),2)&amp;RIGHT("00"&amp;VALUE(MID(Sync!$AH183,FIND(":",Sync!$AH183)+1,2)),2),"0000"))))</f>
        <v/>
      </c>
    </row>
    <row r="184">
      <c r="A184">
        <f>IF(OR(Calc!$E187="",Calc!$E187="نامعتبر",Calc!$G187="",Calc!$I187&lt;&gt;"خرید"),"",Calc!$G187)</f>
        <v/>
      </c>
      <c r="B184">
        <f>IF($A184="","",LEFT(Calc!$E187,4)&amp;MID(Calc!$E187,6,2)&amp;RIGHT(Calc!$E187,2)&amp;Calc!$R187&amp;"|"&amp;"1"&amp;RIGHT("00000"&amp;179,5))</f>
        <v/>
      </c>
      <c r="C184">
        <f>IF($B184="","",COUNTIFS(LdgPartyA,$A184,LdgKeyA,"&lt;"&amp;$B184)+COUNTIFS(LdgPartyB,$A184,LdgKeyB,"&lt;"&amp;$B184)+1)</f>
        <v/>
      </c>
      <c r="D184">
        <f>IF($C184="","",$A184&amp;"|"&amp;RIGHT("000000"&amp;$C184,6))</f>
        <v/>
      </c>
      <c r="F184">
        <f>IF(Sync!$AJ184="","",Sync!$AJ184)</f>
        <v/>
      </c>
      <c r="G184">
        <f>IF($F184="","",IF(Sync!$AG184="","",IF(ISNUMBER(Sync!$AG184),IF(AND(Sync!$AG184&gt;=10000101,Sync!$AG184&lt;=99991231),INT(Sync!$AG184/10000),""),IFERROR(VALUE(TRIM(LEFT(Sync!$AG184,FIND("/",Sync!$AG184)-1))),""))))</f>
        <v/>
      </c>
      <c r="H184">
        <f>IF(OR($F184="",$G184=""),"",IF(ISNUMBER(Sync!$AG184),INT(MOD(Sync!$AG184,10000)/100),IFERROR(VALUE(TRIM(LEFT(MID(Sync!$AG184,FIND("/",Sync!$AG184)+1,20),FIND("/",MID(Sync!$AG184,FIND("/",Sync!$AG184)+1,20))-1))),"")))</f>
        <v/>
      </c>
      <c r="I184">
        <f>IF(OR($F184="",$G184=""),"",IF(ISNUMBER(Sync!$AG184),MOD(Sync!$AG184,100),IFERROR(VALUE(TRIM(MID(MID(Sync!$AG184,FIND("/",Sync!$AG184)+1,20),FIND("/",MID(Sync!$AG184,FIND("/",Sync!$AG184)+1,20))+1,20))),"")))</f>
        <v/>
      </c>
      <c r="J184">
        <f>IF($F184="","",IF(OR($G184="",$H184="",$I184="",$G184&lt;1300,$G184&gt;1500,$H184&lt;1,$H184&gt;12,$I184&lt;1,$I184&gt;31),"نامعتبر",RIGHT("0000"&amp;$G184,4)&amp;"/"&amp;RIGHT("00"&amp;$H184,2)&amp;"/"&amp;RIGHT("00"&amp;$I184,2)))</f>
        <v/>
      </c>
      <c r="K184">
        <f>IF(OR($F184="",$J184="",$J184="نامعتبر"),"",LEFT($J184,4)&amp;MID($J184,6,2)&amp;RIGHT($J184,2)&amp;$N184&amp;"|"&amp;"2"&amp;RIGHT("00000"&amp;179,5))</f>
        <v/>
      </c>
      <c r="L184">
        <f>IF($K184="","",COUNTIFS(LdgPartyA,$F184,LdgKeyA,"&lt;"&amp;$K184)+COUNTIFS(LdgPartyB,$F184,LdgKeyB,"&lt;"&amp;$K184)+1)</f>
        <v/>
      </c>
      <c r="M184">
        <f>IF($L184="","",$F184&amp;"|"&amp;RIGHT("000000"&amp;$L184,6))</f>
        <v/>
      </c>
      <c r="N184">
        <f>IF($F184="","",IF(Sync!$AH184="","0000",IF(AND(ISNUMBER(Sync!$AH184),Sync!$AH184&gt;=0,Sync!$AH184&lt;1),RIGHT("00"&amp;HOUR(Sync!$AH184),2)&amp;RIGHT("00"&amp;MINUTE(Sync!$AH184),2),IFERROR(RIGHT("00"&amp;VALUE(LEFT(Sync!$AH184,FIND(":",Sync!$AH184)-1)),2)&amp;RIGHT("00"&amp;VALUE(MID(Sync!$AH184,FIND(":",Sync!$AH184)+1,2)),2),"0000"))))</f>
        <v/>
      </c>
    </row>
    <row r="185">
      <c r="A185">
        <f>IF(OR(Calc!$E188="",Calc!$E188="نامعتبر",Calc!$G188="",Calc!$I188&lt;&gt;"خرید"),"",Calc!$G188)</f>
        <v/>
      </c>
      <c r="B185">
        <f>IF($A185="","",LEFT(Calc!$E188,4)&amp;MID(Calc!$E188,6,2)&amp;RIGHT(Calc!$E188,2)&amp;Calc!$R188&amp;"|"&amp;"1"&amp;RIGHT("00000"&amp;180,5))</f>
        <v/>
      </c>
      <c r="C185">
        <f>IF($B185="","",COUNTIFS(LdgPartyA,$A185,LdgKeyA,"&lt;"&amp;$B185)+COUNTIFS(LdgPartyB,$A185,LdgKeyB,"&lt;"&amp;$B185)+1)</f>
        <v/>
      </c>
      <c r="D185">
        <f>IF($C185="","",$A185&amp;"|"&amp;RIGHT("000000"&amp;$C185,6))</f>
        <v/>
      </c>
      <c r="F185">
        <f>IF(Sync!$AJ185="","",Sync!$AJ185)</f>
        <v/>
      </c>
      <c r="G185">
        <f>IF($F185="","",IF(Sync!$AG185="","",IF(ISNUMBER(Sync!$AG185),IF(AND(Sync!$AG185&gt;=10000101,Sync!$AG185&lt;=99991231),INT(Sync!$AG185/10000),""),IFERROR(VALUE(TRIM(LEFT(Sync!$AG185,FIND("/",Sync!$AG185)-1))),""))))</f>
        <v/>
      </c>
      <c r="H185">
        <f>IF(OR($F185="",$G185=""),"",IF(ISNUMBER(Sync!$AG185),INT(MOD(Sync!$AG185,10000)/100),IFERROR(VALUE(TRIM(LEFT(MID(Sync!$AG185,FIND("/",Sync!$AG185)+1,20),FIND("/",MID(Sync!$AG185,FIND("/",Sync!$AG185)+1,20))-1))),"")))</f>
        <v/>
      </c>
      <c r="I185">
        <f>IF(OR($F185="",$G185=""),"",IF(ISNUMBER(Sync!$AG185),MOD(Sync!$AG185,100),IFERROR(VALUE(TRIM(MID(MID(Sync!$AG185,FIND("/",Sync!$AG185)+1,20),FIND("/",MID(Sync!$AG185,FIND("/",Sync!$AG185)+1,20))+1,20))),"")))</f>
        <v/>
      </c>
      <c r="J185">
        <f>IF($F185="","",IF(OR($G185="",$H185="",$I185="",$G185&lt;1300,$G185&gt;1500,$H185&lt;1,$H185&gt;12,$I185&lt;1,$I185&gt;31),"نامعتبر",RIGHT("0000"&amp;$G185,4)&amp;"/"&amp;RIGHT("00"&amp;$H185,2)&amp;"/"&amp;RIGHT("00"&amp;$I185,2)))</f>
        <v/>
      </c>
      <c r="K185">
        <f>IF(OR($F185="",$J185="",$J185="نامعتبر"),"",LEFT($J185,4)&amp;MID($J185,6,2)&amp;RIGHT($J185,2)&amp;$N185&amp;"|"&amp;"2"&amp;RIGHT("00000"&amp;180,5))</f>
        <v/>
      </c>
      <c r="L185">
        <f>IF($K185="","",COUNTIFS(LdgPartyA,$F185,LdgKeyA,"&lt;"&amp;$K185)+COUNTIFS(LdgPartyB,$F185,LdgKeyB,"&lt;"&amp;$K185)+1)</f>
        <v/>
      </c>
      <c r="M185">
        <f>IF($L185="","",$F185&amp;"|"&amp;RIGHT("000000"&amp;$L185,6))</f>
        <v/>
      </c>
      <c r="N185">
        <f>IF($F185="","",IF(Sync!$AH185="","0000",IF(AND(ISNUMBER(Sync!$AH185),Sync!$AH185&gt;=0,Sync!$AH185&lt;1),RIGHT("00"&amp;HOUR(Sync!$AH185),2)&amp;RIGHT("00"&amp;MINUTE(Sync!$AH185),2),IFERROR(RIGHT("00"&amp;VALUE(LEFT(Sync!$AH185,FIND(":",Sync!$AH185)-1)),2)&amp;RIGHT("00"&amp;VALUE(MID(Sync!$AH185,FIND(":",Sync!$AH185)+1,2)),2),"0000"))))</f>
        <v/>
      </c>
    </row>
    <row r="186">
      <c r="A186">
        <f>IF(OR(Calc!$E189="",Calc!$E189="نامعتبر",Calc!$G189="",Calc!$I189&lt;&gt;"خرید"),"",Calc!$G189)</f>
        <v/>
      </c>
      <c r="B186">
        <f>IF($A186="","",LEFT(Calc!$E189,4)&amp;MID(Calc!$E189,6,2)&amp;RIGHT(Calc!$E189,2)&amp;Calc!$R189&amp;"|"&amp;"1"&amp;RIGHT("00000"&amp;181,5))</f>
        <v/>
      </c>
      <c r="C186">
        <f>IF($B186="","",COUNTIFS(LdgPartyA,$A186,LdgKeyA,"&lt;"&amp;$B186)+COUNTIFS(LdgPartyB,$A186,LdgKeyB,"&lt;"&amp;$B186)+1)</f>
        <v/>
      </c>
      <c r="D186">
        <f>IF($C186="","",$A186&amp;"|"&amp;RIGHT("000000"&amp;$C186,6))</f>
        <v/>
      </c>
      <c r="F186">
        <f>IF(Sync!$AJ186="","",Sync!$AJ186)</f>
        <v/>
      </c>
      <c r="G186">
        <f>IF($F186="","",IF(Sync!$AG186="","",IF(ISNUMBER(Sync!$AG186),IF(AND(Sync!$AG186&gt;=10000101,Sync!$AG186&lt;=99991231),INT(Sync!$AG186/10000),""),IFERROR(VALUE(TRIM(LEFT(Sync!$AG186,FIND("/",Sync!$AG186)-1))),""))))</f>
        <v/>
      </c>
      <c r="H186">
        <f>IF(OR($F186="",$G186=""),"",IF(ISNUMBER(Sync!$AG186),INT(MOD(Sync!$AG186,10000)/100),IFERROR(VALUE(TRIM(LEFT(MID(Sync!$AG186,FIND("/",Sync!$AG186)+1,20),FIND("/",MID(Sync!$AG186,FIND("/",Sync!$AG186)+1,20))-1))),"")))</f>
        <v/>
      </c>
      <c r="I186">
        <f>IF(OR($F186="",$G186=""),"",IF(ISNUMBER(Sync!$AG186),MOD(Sync!$AG186,100),IFERROR(VALUE(TRIM(MID(MID(Sync!$AG186,FIND("/",Sync!$AG186)+1,20),FIND("/",MID(Sync!$AG186,FIND("/",Sync!$AG186)+1,20))+1,20))),"")))</f>
        <v/>
      </c>
      <c r="J186">
        <f>IF($F186="","",IF(OR($G186="",$H186="",$I186="",$G186&lt;1300,$G186&gt;1500,$H186&lt;1,$H186&gt;12,$I186&lt;1,$I186&gt;31),"نامعتبر",RIGHT("0000"&amp;$G186,4)&amp;"/"&amp;RIGHT("00"&amp;$H186,2)&amp;"/"&amp;RIGHT("00"&amp;$I186,2)))</f>
        <v/>
      </c>
      <c r="K186">
        <f>IF(OR($F186="",$J186="",$J186="نامعتبر"),"",LEFT($J186,4)&amp;MID($J186,6,2)&amp;RIGHT($J186,2)&amp;$N186&amp;"|"&amp;"2"&amp;RIGHT("00000"&amp;181,5))</f>
        <v/>
      </c>
      <c r="L186">
        <f>IF($K186="","",COUNTIFS(LdgPartyA,$F186,LdgKeyA,"&lt;"&amp;$K186)+COUNTIFS(LdgPartyB,$F186,LdgKeyB,"&lt;"&amp;$K186)+1)</f>
        <v/>
      </c>
      <c r="M186">
        <f>IF($L186="","",$F186&amp;"|"&amp;RIGHT("000000"&amp;$L186,6))</f>
        <v/>
      </c>
      <c r="N186">
        <f>IF($F186="","",IF(Sync!$AH186="","0000",IF(AND(ISNUMBER(Sync!$AH186),Sync!$AH186&gt;=0,Sync!$AH186&lt;1),RIGHT("00"&amp;HOUR(Sync!$AH186),2)&amp;RIGHT("00"&amp;MINUTE(Sync!$AH186),2),IFERROR(RIGHT("00"&amp;VALUE(LEFT(Sync!$AH186,FIND(":",Sync!$AH186)-1)),2)&amp;RIGHT("00"&amp;VALUE(MID(Sync!$AH186,FIND(":",Sync!$AH186)+1,2)),2),"0000"))))</f>
        <v/>
      </c>
    </row>
    <row r="187">
      <c r="A187">
        <f>IF(OR(Calc!$E190="",Calc!$E190="نامعتبر",Calc!$G190="",Calc!$I190&lt;&gt;"خرید"),"",Calc!$G190)</f>
        <v/>
      </c>
      <c r="B187">
        <f>IF($A187="","",LEFT(Calc!$E190,4)&amp;MID(Calc!$E190,6,2)&amp;RIGHT(Calc!$E190,2)&amp;Calc!$R190&amp;"|"&amp;"1"&amp;RIGHT("00000"&amp;182,5))</f>
        <v/>
      </c>
      <c r="C187">
        <f>IF($B187="","",COUNTIFS(LdgPartyA,$A187,LdgKeyA,"&lt;"&amp;$B187)+COUNTIFS(LdgPartyB,$A187,LdgKeyB,"&lt;"&amp;$B187)+1)</f>
        <v/>
      </c>
      <c r="D187">
        <f>IF($C187="","",$A187&amp;"|"&amp;RIGHT("000000"&amp;$C187,6))</f>
        <v/>
      </c>
      <c r="F187">
        <f>IF(Sync!$AJ187="","",Sync!$AJ187)</f>
        <v/>
      </c>
      <c r="G187">
        <f>IF($F187="","",IF(Sync!$AG187="","",IF(ISNUMBER(Sync!$AG187),IF(AND(Sync!$AG187&gt;=10000101,Sync!$AG187&lt;=99991231),INT(Sync!$AG187/10000),""),IFERROR(VALUE(TRIM(LEFT(Sync!$AG187,FIND("/",Sync!$AG187)-1))),""))))</f>
        <v/>
      </c>
      <c r="H187">
        <f>IF(OR($F187="",$G187=""),"",IF(ISNUMBER(Sync!$AG187),INT(MOD(Sync!$AG187,10000)/100),IFERROR(VALUE(TRIM(LEFT(MID(Sync!$AG187,FIND("/",Sync!$AG187)+1,20),FIND("/",MID(Sync!$AG187,FIND("/",Sync!$AG187)+1,20))-1))),"")))</f>
        <v/>
      </c>
      <c r="I187">
        <f>IF(OR($F187="",$G187=""),"",IF(ISNUMBER(Sync!$AG187),MOD(Sync!$AG187,100),IFERROR(VALUE(TRIM(MID(MID(Sync!$AG187,FIND("/",Sync!$AG187)+1,20),FIND("/",MID(Sync!$AG187,FIND("/",Sync!$AG187)+1,20))+1,20))),"")))</f>
        <v/>
      </c>
      <c r="J187">
        <f>IF($F187="","",IF(OR($G187="",$H187="",$I187="",$G187&lt;1300,$G187&gt;1500,$H187&lt;1,$H187&gt;12,$I187&lt;1,$I187&gt;31),"نامعتبر",RIGHT("0000"&amp;$G187,4)&amp;"/"&amp;RIGHT("00"&amp;$H187,2)&amp;"/"&amp;RIGHT("00"&amp;$I187,2)))</f>
        <v/>
      </c>
      <c r="K187">
        <f>IF(OR($F187="",$J187="",$J187="نامعتبر"),"",LEFT($J187,4)&amp;MID($J187,6,2)&amp;RIGHT($J187,2)&amp;$N187&amp;"|"&amp;"2"&amp;RIGHT("00000"&amp;182,5))</f>
        <v/>
      </c>
      <c r="L187">
        <f>IF($K187="","",COUNTIFS(LdgPartyA,$F187,LdgKeyA,"&lt;"&amp;$K187)+COUNTIFS(LdgPartyB,$F187,LdgKeyB,"&lt;"&amp;$K187)+1)</f>
        <v/>
      </c>
      <c r="M187">
        <f>IF($L187="","",$F187&amp;"|"&amp;RIGHT("000000"&amp;$L187,6))</f>
        <v/>
      </c>
      <c r="N187">
        <f>IF($F187="","",IF(Sync!$AH187="","0000",IF(AND(ISNUMBER(Sync!$AH187),Sync!$AH187&gt;=0,Sync!$AH187&lt;1),RIGHT("00"&amp;HOUR(Sync!$AH187),2)&amp;RIGHT("00"&amp;MINUTE(Sync!$AH187),2),IFERROR(RIGHT("00"&amp;VALUE(LEFT(Sync!$AH187,FIND(":",Sync!$AH187)-1)),2)&amp;RIGHT("00"&amp;VALUE(MID(Sync!$AH187,FIND(":",Sync!$AH187)+1,2)),2),"0000"))))</f>
        <v/>
      </c>
    </row>
    <row r="188">
      <c r="A188">
        <f>IF(OR(Calc!$E191="",Calc!$E191="نامعتبر",Calc!$G191="",Calc!$I191&lt;&gt;"خرید"),"",Calc!$G191)</f>
        <v/>
      </c>
      <c r="B188">
        <f>IF($A188="","",LEFT(Calc!$E191,4)&amp;MID(Calc!$E191,6,2)&amp;RIGHT(Calc!$E191,2)&amp;Calc!$R191&amp;"|"&amp;"1"&amp;RIGHT("00000"&amp;183,5))</f>
        <v/>
      </c>
      <c r="C188">
        <f>IF($B188="","",COUNTIFS(LdgPartyA,$A188,LdgKeyA,"&lt;"&amp;$B188)+COUNTIFS(LdgPartyB,$A188,LdgKeyB,"&lt;"&amp;$B188)+1)</f>
        <v/>
      </c>
      <c r="D188">
        <f>IF($C188="","",$A188&amp;"|"&amp;RIGHT("000000"&amp;$C188,6))</f>
        <v/>
      </c>
      <c r="F188">
        <f>IF(Sync!$AJ188="","",Sync!$AJ188)</f>
        <v/>
      </c>
      <c r="G188">
        <f>IF($F188="","",IF(Sync!$AG188="","",IF(ISNUMBER(Sync!$AG188),IF(AND(Sync!$AG188&gt;=10000101,Sync!$AG188&lt;=99991231),INT(Sync!$AG188/10000),""),IFERROR(VALUE(TRIM(LEFT(Sync!$AG188,FIND("/",Sync!$AG188)-1))),""))))</f>
        <v/>
      </c>
      <c r="H188">
        <f>IF(OR($F188="",$G188=""),"",IF(ISNUMBER(Sync!$AG188),INT(MOD(Sync!$AG188,10000)/100),IFERROR(VALUE(TRIM(LEFT(MID(Sync!$AG188,FIND("/",Sync!$AG188)+1,20),FIND("/",MID(Sync!$AG188,FIND("/",Sync!$AG188)+1,20))-1))),"")))</f>
        <v/>
      </c>
      <c r="I188">
        <f>IF(OR($F188="",$G188=""),"",IF(ISNUMBER(Sync!$AG188),MOD(Sync!$AG188,100),IFERROR(VALUE(TRIM(MID(MID(Sync!$AG188,FIND("/",Sync!$AG188)+1,20),FIND("/",MID(Sync!$AG188,FIND("/",Sync!$AG188)+1,20))+1,20))),"")))</f>
        <v/>
      </c>
      <c r="J188">
        <f>IF($F188="","",IF(OR($G188="",$H188="",$I188="",$G188&lt;1300,$G188&gt;1500,$H188&lt;1,$H188&gt;12,$I188&lt;1,$I188&gt;31),"نامعتبر",RIGHT("0000"&amp;$G188,4)&amp;"/"&amp;RIGHT("00"&amp;$H188,2)&amp;"/"&amp;RIGHT("00"&amp;$I188,2)))</f>
        <v/>
      </c>
      <c r="K188">
        <f>IF(OR($F188="",$J188="",$J188="نامعتبر"),"",LEFT($J188,4)&amp;MID($J188,6,2)&amp;RIGHT($J188,2)&amp;$N188&amp;"|"&amp;"2"&amp;RIGHT("00000"&amp;183,5))</f>
        <v/>
      </c>
      <c r="L188">
        <f>IF($K188="","",COUNTIFS(LdgPartyA,$F188,LdgKeyA,"&lt;"&amp;$K188)+COUNTIFS(LdgPartyB,$F188,LdgKeyB,"&lt;"&amp;$K188)+1)</f>
        <v/>
      </c>
      <c r="M188">
        <f>IF($L188="","",$F188&amp;"|"&amp;RIGHT("000000"&amp;$L188,6))</f>
        <v/>
      </c>
      <c r="N188">
        <f>IF($F188="","",IF(Sync!$AH188="","0000",IF(AND(ISNUMBER(Sync!$AH188),Sync!$AH188&gt;=0,Sync!$AH188&lt;1),RIGHT("00"&amp;HOUR(Sync!$AH188),2)&amp;RIGHT("00"&amp;MINUTE(Sync!$AH188),2),IFERROR(RIGHT("00"&amp;VALUE(LEFT(Sync!$AH188,FIND(":",Sync!$AH188)-1)),2)&amp;RIGHT("00"&amp;VALUE(MID(Sync!$AH188,FIND(":",Sync!$AH188)+1,2)),2),"0000"))))</f>
        <v/>
      </c>
    </row>
    <row r="189">
      <c r="A189">
        <f>IF(OR(Calc!$E192="",Calc!$E192="نامعتبر",Calc!$G192="",Calc!$I192&lt;&gt;"خرید"),"",Calc!$G192)</f>
        <v/>
      </c>
      <c r="B189">
        <f>IF($A189="","",LEFT(Calc!$E192,4)&amp;MID(Calc!$E192,6,2)&amp;RIGHT(Calc!$E192,2)&amp;Calc!$R192&amp;"|"&amp;"1"&amp;RIGHT("00000"&amp;184,5))</f>
        <v/>
      </c>
      <c r="C189">
        <f>IF($B189="","",COUNTIFS(LdgPartyA,$A189,LdgKeyA,"&lt;"&amp;$B189)+COUNTIFS(LdgPartyB,$A189,LdgKeyB,"&lt;"&amp;$B189)+1)</f>
        <v/>
      </c>
      <c r="D189">
        <f>IF($C189="","",$A189&amp;"|"&amp;RIGHT("000000"&amp;$C189,6))</f>
        <v/>
      </c>
      <c r="F189">
        <f>IF(Sync!$AJ189="","",Sync!$AJ189)</f>
        <v/>
      </c>
      <c r="G189">
        <f>IF($F189="","",IF(Sync!$AG189="","",IF(ISNUMBER(Sync!$AG189),IF(AND(Sync!$AG189&gt;=10000101,Sync!$AG189&lt;=99991231),INT(Sync!$AG189/10000),""),IFERROR(VALUE(TRIM(LEFT(Sync!$AG189,FIND("/",Sync!$AG189)-1))),""))))</f>
        <v/>
      </c>
      <c r="H189">
        <f>IF(OR($F189="",$G189=""),"",IF(ISNUMBER(Sync!$AG189),INT(MOD(Sync!$AG189,10000)/100),IFERROR(VALUE(TRIM(LEFT(MID(Sync!$AG189,FIND("/",Sync!$AG189)+1,20),FIND("/",MID(Sync!$AG189,FIND("/",Sync!$AG189)+1,20))-1))),"")))</f>
        <v/>
      </c>
      <c r="I189">
        <f>IF(OR($F189="",$G189=""),"",IF(ISNUMBER(Sync!$AG189),MOD(Sync!$AG189,100),IFERROR(VALUE(TRIM(MID(MID(Sync!$AG189,FIND("/",Sync!$AG189)+1,20),FIND("/",MID(Sync!$AG189,FIND("/",Sync!$AG189)+1,20))+1,20))),"")))</f>
        <v/>
      </c>
      <c r="J189">
        <f>IF($F189="","",IF(OR($G189="",$H189="",$I189="",$G189&lt;1300,$G189&gt;1500,$H189&lt;1,$H189&gt;12,$I189&lt;1,$I189&gt;31),"نامعتبر",RIGHT("0000"&amp;$G189,4)&amp;"/"&amp;RIGHT("00"&amp;$H189,2)&amp;"/"&amp;RIGHT("00"&amp;$I189,2)))</f>
        <v/>
      </c>
      <c r="K189">
        <f>IF(OR($F189="",$J189="",$J189="نامعتبر"),"",LEFT($J189,4)&amp;MID($J189,6,2)&amp;RIGHT($J189,2)&amp;$N189&amp;"|"&amp;"2"&amp;RIGHT("00000"&amp;184,5))</f>
        <v/>
      </c>
      <c r="L189">
        <f>IF($K189="","",COUNTIFS(LdgPartyA,$F189,LdgKeyA,"&lt;"&amp;$K189)+COUNTIFS(LdgPartyB,$F189,LdgKeyB,"&lt;"&amp;$K189)+1)</f>
        <v/>
      </c>
      <c r="M189">
        <f>IF($L189="","",$F189&amp;"|"&amp;RIGHT("000000"&amp;$L189,6))</f>
        <v/>
      </c>
      <c r="N189">
        <f>IF($F189="","",IF(Sync!$AH189="","0000",IF(AND(ISNUMBER(Sync!$AH189),Sync!$AH189&gt;=0,Sync!$AH189&lt;1),RIGHT("00"&amp;HOUR(Sync!$AH189),2)&amp;RIGHT("00"&amp;MINUTE(Sync!$AH189),2),IFERROR(RIGHT("00"&amp;VALUE(LEFT(Sync!$AH189,FIND(":",Sync!$AH189)-1)),2)&amp;RIGHT("00"&amp;VALUE(MID(Sync!$AH189,FIND(":",Sync!$AH189)+1,2)),2),"0000"))))</f>
        <v/>
      </c>
    </row>
    <row r="190">
      <c r="A190">
        <f>IF(OR(Calc!$E193="",Calc!$E193="نامعتبر",Calc!$G193="",Calc!$I193&lt;&gt;"خرید"),"",Calc!$G193)</f>
        <v/>
      </c>
      <c r="B190">
        <f>IF($A190="","",LEFT(Calc!$E193,4)&amp;MID(Calc!$E193,6,2)&amp;RIGHT(Calc!$E193,2)&amp;Calc!$R193&amp;"|"&amp;"1"&amp;RIGHT("00000"&amp;185,5))</f>
        <v/>
      </c>
      <c r="C190">
        <f>IF($B190="","",COUNTIFS(LdgPartyA,$A190,LdgKeyA,"&lt;"&amp;$B190)+COUNTIFS(LdgPartyB,$A190,LdgKeyB,"&lt;"&amp;$B190)+1)</f>
        <v/>
      </c>
      <c r="D190">
        <f>IF($C190="","",$A190&amp;"|"&amp;RIGHT("000000"&amp;$C190,6))</f>
        <v/>
      </c>
      <c r="F190">
        <f>IF(Sync!$AJ190="","",Sync!$AJ190)</f>
        <v/>
      </c>
      <c r="G190">
        <f>IF($F190="","",IF(Sync!$AG190="","",IF(ISNUMBER(Sync!$AG190),IF(AND(Sync!$AG190&gt;=10000101,Sync!$AG190&lt;=99991231),INT(Sync!$AG190/10000),""),IFERROR(VALUE(TRIM(LEFT(Sync!$AG190,FIND("/",Sync!$AG190)-1))),""))))</f>
        <v/>
      </c>
      <c r="H190">
        <f>IF(OR($F190="",$G190=""),"",IF(ISNUMBER(Sync!$AG190),INT(MOD(Sync!$AG190,10000)/100),IFERROR(VALUE(TRIM(LEFT(MID(Sync!$AG190,FIND("/",Sync!$AG190)+1,20),FIND("/",MID(Sync!$AG190,FIND("/",Sync!$AG190)+1,20))-1))),"")))</f>
        <v/>
      </c>
      <c r="I190">
        <f>IF(OR($F190="",$G190=""),"",IF(ISNUMBER(Sync!$AG190),MOD(Sync!$AG190,100),IFERROR(VALUE(TRIM(MID(MID(Sync!$AG190,FIND("/",Sync!$AG190)+1,20),FIND("/",MID(Sync!$AG190,FIND("/",Sync!$AG190)+1,20))+1,20))),"")))</f>
        <v/>
      </c>
      <c r="J190">
        <f>IF($F190="","",IF(OR($G190="",$H190="",$I190="",$G190&lt;1300,$G190&gt;1500,$H190&lt;1,$H190&gt;12,$I190&lt;1,$I190&gt;31),"نامعتبر",RIGHT("0000"&amp;$G190,4)&amp;"/"&amp;RIGHT("00"&amp;$H190,2)&amp;"/"&amp;RIGHT("00"&amp;$I190,2)))</f>
        <v/>
      </c>
      <c r="K190">
        <f>IF(OR($F190="",$J190="",$J190="نامعتبر"),"",LEFT($J190,4)&amp;MID($J190,6,2)&amp;RIGHT($J190,2)&amp;$N190&amp;"|"&amp;"2"&amp;RIGHT("00000"&amp;185,5))</f>
        <v/>
      </c>
      <c r="L190">
        <f>IF($K190="","",COUNTIFS(LdgPartyA,$F190,LdgKeyA,"&lt;"&amp;$K190)+COUNTIFS(LdgPartyB,$F190,LdgKeyB,"&lt;"&amp;$K190)+1)</f>
        <v/>
      </c>
      <c r="M190">
        <f>IF($L190="","",$F190&amp;"|"&amp;RIGHT("000000"&amp;$L190,6))</f>
        <v/>
      </c>
      <c r="N190">
        <f>IF($F190="","",IF(Sync!$AH190="","0000",IF(AND(ISNUMBER(Sync!$AH190),Sync!$AH190&gt;=0,Sync!$AH190&lt;1),RIGHT("00"&amp;HOUR(Sync!$AH190),2)&amp;RIGHT("00"&amp;MINUTE(Sync!$AH190),2),IFERROR(RIGHT("00"&amp;VALUE(LEFT(Sync!$AH190,FIND(":",Sync!$AH190)-1)),2)&amp;RIGHT("00"&amp;VALUE(MID(Sync!$AH190,FIND(":",Sync!$AH190)+1,2)),2),"0000"))))</f>
        <v/>
      </c>
    </row>
    <row r="191">
      <c r="A191">
        <f>IF(OR(Calc!$E194="",Calc!$E194="نامعتبر",Calc!$G194="",Calc!$I194&lt;&gt;"خرید"),"",Calc!$G194)</f>
        <v/>
      </c>
      <c r="B191">
        <f>IF($A191="","",LEFT(Calc!$E194,4)&amp;MID(Calc!$E194,6,2)&amp;RIGHT(Calc!$E194,2)&amp;Calc!$R194&amp;"|"&amp;"1"&amp;RIGHT("00000"&amp;186,5))</f>
        <v/>
      </c>
      <c r="C191">
        <f>IF($B191="","",COUNTIFS(LdgPartyA,$A191,LdgKeyA,"&lt;"&amp;$B191)+COUNTIFS(LdgPartyB,$A191,LdgKeyB,"&lt;"&amp;$B191)+1)</f>
        <v/>
      </c>
      <c r="D191">
        <f>IF($C191="","",$A191&amp;"|"&amp;RIGHT("000000"&amp;$C191,6))</f>
        <v/>
      </c>
      <c r="F191">
        <f>IF(Sync!$AJ191="","",Sync!$AJ191)</f>
        <v/>
      </c>
      <c r="G191">
        <f>IF($F191="","",IF(Sync!$AG191="","",IF(ISNUMBER(Sync!$AG191),IF(AND(Sync!$AG191&gt;=10000101,Sync!$AG191&lt;=99991231),INT(Sync!$AG191/10000),""),IFERROR(VALUE(TRIM(LEFT(Sync!$AG191,FIND("/",Sync!$AG191)-1))),""))))</f>
        <v/>
      </c>
      <c r="H191">
        <f>IF(OR($F191="",$G191=""),"",IF(ISNUMBER(Sync!$AG191),INT(MOD(Sync!$AG191,10000)/100),IFERROR(VALUE(TRIM(LEFT(MID(Sync!$AG191,FIND("/",Sync!$AG191)+1,20),FIND("/",MID(Sync!$AG191,FIND("/",Sync!$AG191)+1,20))-1))),"")))</f>
        <v/>
      </c>
      <c r="I191">
        <f>IF(OR($F191="",$G191=""),"",IF(ISNUMBER(Sync!$AG191),MOD(Sync!$AG191,100),IFERROR(VALUE(TRIM(MID(MID(Sync!$AG191,FIND("/",Sync!$AG191)+1,20),FIND("/",MID(Sync!$AG191,FIND("/",Sync!$AG191)+1,20))+1,20))),"")))</f>
        <v/>
      </c>
      <c r="J191">
        <f>IF($F191="","",IF(OR($G191="",$H191="",$I191="",$G191&lt;1300,$G191&gt;1500,$H191&lt;1,$H191&gt;12,$I191&lt;1,$I191&gt;31),"نامعتبر",RIGHT("0000"&amp;$G191,4)&amp;"/"&amp;RIGHT("00"&amp;$H191,2)&amp;"/"&amp;RIGHT("00"&amp;$I191,2)))</f>
        <v/>
      </c>
      <c r="K191">
        <f>IF(OR($F191="",$J191="",$J191="نامعتبر"),"",LEFT($J191,4)&amp;MID($J191,6,2)&amp;RIGHT($J191,2)&amp;$N191&amp;"|"&amp;"2"&amp;RIGHT("00000"&amp;186,5))</f>
        <v/>
      </c>
      <c r="L191">
        <f>IF($K191="","",COUNTIFS(LdgPartyA,$F191,LdgKeyA,"&lt;"&amp;$K191)+COUNTIFS(LdgPartyB,$F191,LdgKeyB,"&lt;"&amp;$K191)+1)</f>
        <v/>
      </c>
      <c r="M191">
        <f>IF($L191="","",$F191&amp;"|"&amp;RIGHT("000000"&amp;$L191,6))</f>
        <v/>
      </c>
      <c r="N191">
        <f>IF($F191="","",IF(Sync!$AH191="","0000",IF(AND(ISNUMBER(Sync!$AH191),Sync!$AH191&gt;=0,Sync!$AH191&lt;1),RIGHT("00"&amp;HOUR(Sync!$AH191),2)&amp;RIGHT("00"&amp;MINUTE(Sync!$AH191),2),IFERROR(RIGHT("00"&amp;VALUE(LEFT(Sync!$AH191,FIND(":",Sync!$AH191)-1)),2)&amp;RIGHT("00"&amp;VALUE(MID(Sync!$AH191,FIND(":",Sync!$AH191)+1,2)),2),"0000"))))</f>
        <v/>
      </c>
    </row>
    <row r="192">
      <c r="A192">
        <f>IF(OR(Calc!$E195="",Calc!$E195="نامعتبر",Calc!$G195="",Calc!$I195&lt;&gt;"خرید"),"",Calc!$G195)</f>
        <v/>
      </c>
      <c r="B192">
        <f>IF($A192="","",LEFT(Calc!$E195,4)&amp;MID(Calc!$E195,6,2)&amp;RIGHT(Calc!$E195,2)&amp;Calc!$R195&amp;"|"&amp;"1"&amp;RIGHT("00000"&amp;187,5))</f>
        <v/>
      </c>
      <c r="C192">
        <f>IF($B192="","",COUNTIFS(LdgPartyA,$A192,LdgKeyA,"&lt;"&amp;$B192)+COUNTIFS(LdgPartyB,$A192,LdgKeyB,"&lt;"&amp;$B192)+1)</f>
        <v/>
      </c>
      <c r="D192">
        <f>IF($C192="","",$A192&amp;"|"&amp;RIGHT("000000"&amp;$C192,6))</f>
        <v/>
      </c>
      <c r="F192">
        <f>IF(Sync!$AJ192="","",Sync!$AJ192)</f>
        <v/>
      </c>
      <c r="G192">
        <f>IF($F192="","",IF(Sync!$AG192="","",IF(ISNUMBER(Sync!$AG192),IF(AND(Sync!$AG192&gt;=10000101,Sync!$AG192&lt;=99991231),INT(Sync!$AG192/10000),""),IFERROR(VALUE(TRIM(LEFT(Sync!$AG192,FIND("/",Sync!$AG192)-1))),""))))</f>
        <v/>
      </c>
      <c r="H192">
        <f>IF(OR($F192="",$G192=""),"",IF(ISNUMBER(Sync!$AG192),INT(MOD(Sync!$AG192,10000)/100),IFERROR(VALUE(TRIM(LEFT(MID(Sync!$AG192,FIND("/",Sync!$AG192)+1,20),FIND("/",MID(Sync!$AG192,FIND("/",Sync!$AG192)+1,20))-1))),"")))</f>
        <v/>
      </c>
      <c r="I192">
        <f>IF(OR($F192="",$G192=""),"",IF(ISNUMBER(Sync!$AG192),MOD(Sync!$AG192,100),IFERROR(VALUE(TRIM(MID(MID(Sync!$AG192,FIND("/",Sync!$AG192)+1,20),FIND("/",MID(Sync!$AG192,FIND("/",Sync!$AG192)+1,20))+1,20))),"")))</f>
        <v/>
      </c>
      <c r="J192">
        <f>IF($F192="","",IF(OR($G192="",$H192="",$I192="",$G192&lt;1300,$G192&gt;1500,$H192&lt;1,$H192&gt;12,$I192&lt;1,$I192&gt;31),"نامعتبر",RIGHT("0000"&amp;$G192,4)&amp;"/"&amp;RIGHT("00"&amp;$H192,2)&amp;"/"&amp;RIGHT("00"&amp;$I192,2)))</f>
        <v/>
      </c>
      <c r="K192">
        <f>IF(OR($F192="",$J192="",$J192="نامعتبر"),"",LEFT($J192,4)&amp;MID($J192,6,2)&amp;RIGHT($J192,2)&amp;$N192&amp;"|"&amp;"2"&amp;RIGHT("00000"&amp;187,5))</f>
        <v/>
      </c>
      <c r="L192">
        <f>IF($K192="","",COUNTIFS(LdgPartyA,$F192,LdgKeyA,"&lt;"&amp;$K192)+COUNTIFS(LdgPartyB,$F192,LdgKeyB,"&lt;"&amp;$K192)+1)</f>
        <v/>
      </c>
      <c r="M192">
        <f>IF($L192="","",$F192&amp;"|"&amp;RIGHT("000000"&amp;$L192,6))</f>
        <v/>
      </c>
      <c r="N192">
        <f>IF($F192="","",IF(Sync!$AH192="","0000",IF(AND(ISNUMBER(Sync!$AH192),Sync!$AH192&gt;=0,Sync!$AH192&lt;1),RIGHT("00"&amp;HOUR(Sync!$AH192),2)&amp;RIGHT("00"&amp;MINUTE(Sync!$AH192),2),IFERROR(RIGHT("00"&amp;VALUE(LEFT(Sync!$AH192,FIND(":",Sync!$AH192)-1)),2)&amp;RIGHT("00"&amp;VALUE(MID(Sync!$AH192,FIND(":",Sync!$AH192)+1,2)),2),"0000"))))</f>
        <v/>
      </c>
    </row>
    <row r="193">
      <c r="A193">
        <f>IF(OR(Calc!$E196="",Calc!$E196="نامعتبر",Calc!$G196="",Calc!$I196&lt;&gt;"خرید"),"",Calc!$G196)</f>
        <v/>
      </c>
      <c r="B193">
        <f>IF($A193="","",LEFT(Calc!$E196,4)&amp;MID(Calc!$E196,6,2)&amp;RIGHT(Calc!$E196,2)&amp;Calc!$R196&amp;"|"&amp;"1"&amp;RIGHT("00000"&amp;188,5))</f>
        <v/>
      </c>
      <c r="C193">
        <f>IF($B193="","",COUNTIFS(LdgPartyA,$A193,LdgKeyA,"&lt;"&amp;$B193)+COUNTIFS(LdgPartyB,$A193,LdgKeyB,"&lt;"&amp;$B193)+1)</f>
        <v/>
      </c>
      <c r="D193">
        <f>IF($C193="","",$A193&amp;"|"&amp;RIGHT("000000"&amp;$C193,6))</f>
        <v/>
      </c>
      <c r="F193">
        <f>IF(Sync!$AJ193="","",Sync!$AJ193)</f>
        <v/>
      </c>
      <c r="G193">
        <f>IF($F193="","",IF(Sync!$AG193="","",IF(ISNUMBER(Sync!$AG193),IF(AND(Sync!$AG193&gt;=10000101,Sync!$AG193&lt;=99991231),INT(Sync!$AG193/10000),""),IFERROR(VALUE(TRIM(LEFT(Sync!$AG193,FIND("/",Sync!$AG193)-1))),""))))</f>
        <v/>
      </c>
      <c r="H193">
        <f>IF(OR($F193="",$G193=""),"",IF(ISNUMBER(Sync!$AG193),INT(MOD(Sync!$AG193,10000)/100),IFERROR(VALUE(TRIM(LEFT(MID(Sync!$AG193,FIND("/",Sync!$AG193)+1,20),FIND("/",MID(Sync!$AG193,FIND("/",Sync!$AG193)+1,20))-1))),"")))</f>
        <v/>
      </c>
      <c r="I193">
        <f>IF(OR($F193="",$G193=""),"",IF(ISNUMBER(Sync!$AG193),MOD(Sync!$AG193,100),IFERROR(VALUE(TRIM(MID(MID(Sync!$AG193,FIND("/",Sync!$AG193)+1,20),FIND("/",MID(Sync!$AG193,FIND("/",Sync!$AG193)+1,20))+1,20))),"")))</f>
        <v/>
      </c>
      <c r="J193">
        <f>IF($F193="","",IF(OR($G193="",$H193="",$I193="",$G193&lt;1300,$G193&gt;1500,$H193&lt;1,$H193&gt;12,$I193&lt;1,$I193&gt;31),"نامعتبر",RIGHT("0000"&amp;$G193,4)&amp;"/"&amp;RIGHT("00"&amp;$H193,2)&amp;"/"&amp;RIGHT("00"&amp;$I193,2)))</f>
        <v/>
      </c>
      <c r="K193">
        <f>IF(OR($F193="",$J193="",$J193="نامعتبر"),"",LEFT($J193,4)&amp;MID($J193,6,2)&amp;RIGHT($J193,2)&amp;$N193&amp;"|"&amp;"2"&amp;RIGHT("00000"&amp;188,5))</f>
        <v/>
      </c>
      <c r="L193">
        <f>IF($K193="","",COUNTIFS(LdgPartyA,$F193,LdgKeyA,"&lt;"&amp;$K193)+COUNTIFS(LdgPartyB,$F193,LdgKeyB,"&lt;"&amp;$K193)+1)</f>
        <v/>
      </c>
      <c r="M193">
        <f>IF($L193="","",$F193&amp;"|"&amp;RIGHT("000000"&amp;$L193,6))</f>
        <v/>
      </c>
      <c r="N193">
        <f>IF($F193="","",IF(Sync!$AH193="","0000",IF(AND(ISNUMBER(Sync!$AH193),Sync!$AH193&gt;=0,Sync!$AH193&lt;1),RIGHT("00"&amp;HOUR(Sync!$AH193),2)&amp;RIGHT("00"&amp;MINUTE(Sync!$AH193),2),IFERROR(RIGHT("00"&amp;VALUE(LEFT(Sync!$AH193,FIND(":",Sync!$AH193)-1)),2)&amp;RIGHT("00"&amp;VALUE(MID(Sync!$AH193,FIND(":",Sync!$AH193)+1,2)),2),"0000"))))</f>
        <v/>
      </c>
    </row>
    <row r="194">
      <c r="A194">
        <f>IF(OR(Calc!$E197="",Calc!$E197="نامعتبر",Calc!$G197="",Calc!$I197&lt;&gt;"خرید"),"",Calc!$G197)</f>
        <v/>
      </c>
      <c r="B194">
        <f>IF($A194="","",LEFT(Calc!$E197,4)&amp;MID(Calc!$E197,6,2)&amp;RIGHT(Calc!$E197,2)&amp;Calc!$R197&amp;"|"&amp;"1"&amp;RIGHT("00000"&amp;189,5))</f>
        <v/>
      </c>
      <c r="C194">
        <f>IF($B194="","",COUNTIFS(LdgPartyA,$A194,LdgKeyA,"&lt;"&amp;$B194)+COUNTIFS(LdgPartyB,$A194,LdgKeyB,"&lt;"&amp;$B194)+1)</f>
        <v/>
      </c>
      <c r="D194">
        <f>IF($C194="","",$A194&amp;"|"&amp;RIGHT("000000"&amp;$C194,6))</f>
        <v/>
      </c>
      <c r="F194">
        <f>IF(Sync!$AJ194="","",Sync!$AJ194)</f>
        <v/>
      </c>
      <c r="G194">
        <f>IF($F194="","",IF(Sync!$AG194="","",IF(ISNUMBER(Sync!$AG194),IF(AND(Sync!$AG194&gt;=10000101,Sync!$AG194&lt;=99991231),INT(Sync!$AG194/10000),""),IFERROR(VALUE(TRIM(LEFT(Sync!$AG194,FIND("/",Sync!$AG194)-1))),""))))</f>
        <v/>
      </c>
      <c r="H194">
        <f>IF(OR($F194="",$G194=""),"",IF(ISNUMBER(Sync!$AG194),INT(MOD(Sync!$AG194,10000)/100),IFERROR(VALUE(TRIM(LEFT(MID(Sync!$AG194,FIND("/",Sync!$AG194)+1,20),FIND("/",MID(Sync!$AG194,FIND("/",Sync!$AG194)+1,20))-1))),"")))</f>
        <v/>
      </c>
      <c r="I194">
        <f>IF(OR($F194="",$G194=""),"",IF(ISNUMBER(Sync!$AG194),MOD(Sync!$AG194,100),IFERROR(VALUE(TRIM(MID(MID(Sync!$AG194,FIND("/",Sync!$AG194)+1,20),FIND("/",MID(Sync!$AG194,FIND("/",Sync!$AG194)+1,20))+1,20))),"")))</f>
        <v/>
      </c>
      <c r="J194">
        <f>IF($F194="","",IF(OR($G194="",$H194="",$I194="",$G194&lt;1300,$G194&gt;1500,$H194&lt;1,$H194&gt;12,$I194&lt;1,$I194&gt;31),"نامعتبر",RIGHT("0000"&amp;$G194,4)&amp;"/"&amp;RIGHT("00"&amp;$H194,2)&amp;"/"&amp;RIGHT("00"&amp;$I194,2)))</f>
        <v/>
      </c>
      <c r="K194">
        <f>IF(OR($F194="",$J194="",$J194="نامعتبر"),"",LEFT($J194,4)&amp;MID($J194,6,2)&amp;RIGHT($J194,2)&amp;$N194&amp;"|"&amp;"2"&amp;RIGHT("00000"&amp;189,5))</f>
        <v/>
      </c>
      <c r="L194">
        <f>IF($K194="","",COUNTIFS(LdgPartyA,$F194,LdgKeyA,"&lt;"&amp;$K194)+COUNTIFS(LdgPartyB,$F194,LdgKeyB,"&lt;"&amp;$K194)+1)</f>
        <v/>
      </c>
      <c r="M194">
        <f>IF($L194="","",$F194&amp;"|"&amp;RIGHT("000000"&amp;$L194,6))</f>
        <v/>
      </c>
      <c r="N194">
        <f>IF($F194="","",IF(Sync!$AH194="","0000",IF(AND(ISNUMBER(Sync!$AH194),Sync!$AH194&gt;=0,Sync!$AH194&lt;1),RIGHT("00"&amp;HOUR(Sync!$AH194),2)&amp;RIGHT("00"&amp;MINUTE(Sync!$AH194),2),IFERROR(RIGHT("00"&amp;VALUE(LEFT(Sync!$AH194,FIND(":",Sync!$AH194)-1)),2)&amp;RIGHT("00"&amp;VALUE(MID(Sync!$AH194,FIND(":",Sync!$AH194)+1,2)),2),"0000"))))</f>
        <v/>
      </c>
    </row>
    <row r="195">
      <c r="A195">
        <f>IF(OR(Calc!$E198="",Calc!$E198="نامعتبر",Calc!$G198="",Calc!$I198&lt;&gt;"خرید"),"",Calc!$G198)</f>
        <v/>
      </c>
      <c r="B195">
        <f>IF($A195="","",LEFT(Calc!$E198,4)&amp;MID(Calc!$E198,6,2)&amp;RIGHT(Calc!$E198,2)&amp;Calc!$R198&amp;"|"&amp;"1"&amp;RIGHT("00000"&amp;190,5))</f>
        <v/>
      </c>
      <c r="C195">
        <f>IF($B195="","",COUNTIFS(LdgPartyA,$A195,LdgKeyA,"&lt;"&amp;$B195)+COUNTIFS(LdgPartyB,$A195,LdgKeyB,"&lt;"&amp;$B195)+1)</f>
        <v/>
      </c>
      <c r="D195">
        <f>IF($C195="","",$A195&amp;"|"&amp;RIGHT("000000"&amp;$C195,6))</f>
        <v/>
      </c>
      <c r="F195">
        <f>IF(Sync!$AJ195="","",Sync!$AJ195)</f>
        <v/>
      </c>
      <c r="G195">
        <f>IF($F195="","",IF(Sync!$AG195="","",IF(ISNUMBER(Sync!$AG195),IF(AND(Sync!$AG195&gt;=10000101,Sync!$AG195&lt;=99991231),INT(Sync!$AG195/10000),""),IFERROR(VALUE(TRIM(LEFT(Sync!$AG195,FIND("/",Sync!$AG195)-1))),""))))</f>
        <v/>
      </c>
      <c r="H195">
        <f>IF(OR($F195="",$G195=""),"",IF(ISNUMBER(Sync!$AG195),INT(MOD(Sync!$AG195,10000)/100),IFERROR(VALUE(TRIM(LEFT(MID(Sync!$AG195,FIND("/",Sync!$AG195)+1,20),FIND("/",MID(Sync!$AG195,FIND("/",Sync!$AG195)+1,20))-1))),"")))</f>
        <v/>
      </c>
      <c r="I195">
        <f>IF(OR($F195="",$G195=""),"",IF(ISNUMBER(Sync!$AG195),MOD(Sync!$AG195,100),IFERROR(VALUE(TRIM(MID(MID(Sync!$AG195,FIND("/",Sync!$AG195)+1,20),FIND("/",MID(Sync!$AG195,FIND("/",Sync!$AG195)+1,20))+1,20))),"")))</f>
        <v/>
      </c>
      <c r="J195">
        <f>IF($F195="","",IF(OR($G195="",$H195="",$I195="",$G195&lt;1300,$G195&gt;1500,$H195&lt;1,$H195&gt;12,$I195&lt;1,$I195&gt;31),"نامعتبر",RIGHT("0000"&amp;$G195,4)&amp;"/"&amp;RIGHT("00"&amp;$H195,2)&amp;"/"&amp;RIGHT("00"&amp;$I195,2)))</f>
        <v/>
      </c>
      <c r="K195">
        <f>IF(OR($F195="",$J195="",$J195="نامعتبر"),"",LEFT($J195,4)&amp;MID($J195,6,2)&amp;RIGHT($J195,2)&amp;$N195&amp;"|"&amp;"2"&amp;RIGHT("00000"&amp;190,5))</f>
        <v/>
      </c>
      <c r="L195">
        <f>IF($K195="","",COUNTIFS(LdgPartyA,$F195,LdgKeyA,"&lt;"&amp;$K195)+COUNTIFS(LdgPartyB,$F195,LdgKeyB,"&lt;"&amp;$K195)+1)</f>
        <v/>
      </c>
      <c r="M195">
        <f>IF($L195="","",$F195&amp;"|"&amp;RIGHT("000000"&amp;$L195,6))</f>
        <v/>
      </c>
      <c r="N195">
        <f>IF($F195="","",IF(Sync!$AH195="","0000",IF(AND(ISNUMBER(Sync!$AH195),Sync!$AH195&gt;=0,Sync!$AH195&lt;1),RIGHT("00"&amp;HOUR(Sync!$AH195),2)&amp;RIGHT("00"&amp;MINUTE(Sync!$AH195),2),IFERROR(RIGHT("00"&amp;VALUE(LEFT(Sync!$AH195,FIND(":",Sync!$AH195)-1)),2)&amp;RIGHT("00"&amp;VALUE(MID(Sync!$AH195,FIND(":",Sync!$AH195)+1,2)),2),"0000"))))</f>
        <v/>
      </c>
    </row>
    <row r="196">
      <c r="A196">
        <f>IF(OR(Calc!$E199="",Calc!$E199="نامعتبر",Calc!$G199="",Calc!$I199&lt;&gt;"خرید"),"",Calc!$G199)</f>
        <v/>
      </c>
      <c r="B196">
        <f>IF($A196="","",LEFT(Calc!$E199,4)&amp;MID(Calc!$E199,6,2)&amp;RIGHT(Calc!$E199,2)&amp;Calc!$R199&amp;"|"&amp;"1"&amp;RIGHT("00000"&amp;191,5))</f>
        <v/>
      </c>
      <c r="C196">
        <f>IF($B196="","",COUNTIFS(LdgPartyA,$A196,LdgKeyA,"&lt;"&amp;$B196)+COUNTIFS(LdgPartyB,$A196,LdgKeyB,"&lt;"&amp;$B196)+1)</f>
        <v/>
      </c>
      <c r="D196">
        <f>IF($C196="","",$A196&amp;"|"&amp;RIGHT("000000"&amp;$C196,6))</f>
        <v/>
      </c>
      <c r="F196">
        <f>IF(Sync!$AJ196="","",Sync!$AJ196)</f>
        <v/>
      </c>
      <c r="G196">
        <f>IF($F196="","",IF(Sync!$AG196="","",IF(ISNUMBER(Sync!$AG196),IF(AND(Sync!$AG196&gt;=10000101,Sync!$AG196&lt;=99991231),INT(Sync!$AG196/10000),""),IFERROR(VALUE(TRIM(LEFT(Sync!$AG196,FIND("/",Sync!$AG196)-1))),""))))</f>
        <v/>
      </c>
      <c r="H196">
        <f>IF(OR($F196="",$G196=""),"",IF(ISNUMBER(Sync!$AG196),INT(MOD(Sync!$AG196,10000)/100),IFERROR(VALUE(TRIM(LEFT(MID(Sync!$AG196,FIND("/",Sync!$AG196)+1,20),FIND("/",MID(Sync!$AG196,FIND("/",Sync!$AG196)+1,20))-1))),"")))</f>
        <v/>
      </c>
      <c r="I196">
        <f>IF(OR($F196="",$G196=""),"",IF(ISNUMBER(Sync!$AG196),MOD(Sync!$AG196,100),IFERROR(VALUE(TRIM(MID(MID(Sync!$AG196,FIND("/",Sync!$AG196)+1,20),FIND("/",MID(Sync!$AG196,FIND("/",Sync!$AG196)+1,20))+1,20))),"")))</f>
        <v/>
      </c>
      <c r="J196">
        <f>IF($F196="","",IF(OR($G196="",$H196="",$I196="",$G196&lt;1300,$G196&gt;1500,$H196&lt;1,$H196&gt;12,$I196&lt;1,$I196&gt;31),"نامعتبر",RIGHT("0000"&amp;$G196,4)&amp;"/"&amp;RIGHT("00"&amp;$H196,2)&amp;"/"&amp;RIGHT("00"&amp;$I196,2)))</f>
        <v/>
      </c>
      <c r="K196">
        <f>IF(OR($F196="",$J196="",$J196="نامعتبر"),"",LEFT($J196,4)&amp;MID($J196,6,2)&amp;RIGHT($J196,2)&amp;$N196&amp;"|"&amp;"2"&amp;RIGHT("00000"&amp;191,5))</f>
        <v/>
      </c>
      <c r="L196">
        <f>IF($K196="","",COUNTIFS(LdgPartyA,$F196,LdgKeyA,"&lt;"&amp;$K196)+COUNTIFS(LdgPartyB,$F196,LdgKeyB,"&lt;"&amp;$K196)+1)</f>
        <v/>
      </c>
      <c r="M196">
        <f>IF($L196="","",$F196&amp;"|"&amp;RIGHT("000000"&amp;$L196,6))</f>
        <v/>
      </c>
      <c r="N196">
        <f>IF($F196="","",IF(Sync!$AH196="","0000",IF(AND(ISNUMBER(Sync!$AH196),Sync!$AH196&gt;=0,Sync!$AH196&lt;1),RIGHT("00"&amp;HOUR(Sync!$AH196),2)&amp;RIGHT("00"&amp;MINUTE(Sync!$AH196),2),IFERROR(RIGHT("00"&amp;VALUE(LEFT(Sync!$AH196,FIND(":",Sync!$AH196)-1)),2)&amp;RIGHT("00"&amp;VALUE(MID(Sync!$AH196,FIND(":",Sync!$AH196)+1,2)),2),"0000"))))</f>
        <v/>
      </c>
    </row>
    <row r="197">
      <c r="A197">
        <f>IF(OR(Calc!$E200="",Calc!$E200="نامعتبر",Calc!$G200="",Calc!$I200&lt;&gt;"خرید"),"",Calc!$G200)</f>
        <v/>
      </c>
      <c r="B197">
        <f>IF($A197="","",LEFT(Calc!$E200,4)&amp;MID(Calc!$E200,6,2)&amp;RIGHT(Calc!$E200,2)&amp;Calc!$R200&amp;"|"&amp;"1"&amp;RIGHT("00000"&amp;192,5))</f>
        <v/>
      </c>
      <c r="C197">
        <f>IF($B197="","",COUNTIFS(LdgPartyA,$A197,LdgKeyA,"&lt;"&amp;$B197)+COUNTIFS(LdgPartyB,$A197,LdgKeyB,"&lt;"&amp;$B197)+1)</f>
        <v/>
      </c>
      <c r="D197">
        <f>IF($C197="","",$A197&amp;"|"&amp;RIGHT("000000"&amp;$C197,6))</f>
        <v/>
      </c>
      <c r="F197">
        <f>IF(Sync!$AJ197="","",Sync!$AJ197)</f>
        <v/>
      </c>
      <c r="G197">
        <f>IF($F197="","",IF(Sync!$AG197="","",IF(ISNUMBER(Sync!$AG197),IF(AND(Sync!$AG197&gt;=10000101,Sync!$AG197&lt;=99991231),INT(Sync!$AG197/10000),""),IFERROR(VALUE(TRIM(LEFT(Sync!$AG197,FIND("/",Sync!$AG197)-1))),""))))</f>
        <v/>
      </c>
      <c r="H197">
        <f>IF(OR($F197="",$G197=""),"",IF(ISNUMBER(Sync!$AG197),INT(MOD(Sync!$AG197,10000)/100),IFERROR(VALUE(TRIM(LEFT(MID(Sync!$AG197,FIND("/",Sync!$AG197)+1,20),FIND("/",MID(Sync!$AG197,FIND("/",Sync!$AG197)+1,20))-1))),"")))</f>
        <v/>
      </c>
      <c r="I197">
        <f>IF(OR($F197="",$G197=""),"",IF(ISNUMBER(Sync!$AG197),MOD(Sync!$AG197,100),IFERROR(VALUE(TRIM(MID(MID(Sync!$AG197,FIND("/",Sync!$AG197)+1,20),FIND("/",MID(Sync!$AG197,FIND("/",Sync!$AG197)+1,20))+1,20))),"")))</f>
        <v/>
      </c>
      <c r="J197">
        <f>IF($F197="","",IF(OR($G197="",$H197="",$I197="",$G197&lt;1300,$G197&gt;1500,$H197&lt;1,$H197&gt;12,$I197&lt;1,$I197&gt;31),"نامعتبر",RIGHT("0000"&amp;$G197,4)&amp;"/"&amp;RIGHT("00"&amp;$H197,2)&amp;"/"&amp;RIGHT("00"&amp;$I197,2)))</f>
        <v/>
      </c>
      <c r="K197">
        <f>IF(OR($F197="",$J197="",$J197="نامعتبر"),"",LEFT($J197,4)&amp;MID($J197,6,2)&amp;RIGHT($J197,2)&amp;$N197&amp;"|"&amp;"2"&amp;RIGHT("00000"&amp;192,5))</f>
        <v/>
      </c>
      <c r="L197">
        <f>IF($K197="","",COUNTIFS(LdgPartyA,$F197,LdgKeyA,"&lt;"&amp;$K197)+COUNTIFS(LdgPartyB,$F197,LdgKeyB,"&lt;"&amp;$K197)+1)</f>
        <v/>
      </c>
      <c r="M197">
        <f>IF($L197="","",$F197&amp;"|"&amp;RIGHT("000000"&amp;$L197,6))</f>
        <v/>
      </c>
      <c r="N197">
        <f>IF($F197="","",IF(Sync!$AH197="","0000",IF(AND(ISNUMBER(Sync!$AH197),Sync!$AH197&gt;=0,Sync!$AH197&lt;1),RIGHT("00"&amp;HOUR(Sync!$AH197),2)&amp;RIGHT("00"&amp;MINUTE(Sync!$AH197),2),IFERROR(RIGHT("00"&amp;VALUE(LEFT(Sync!$AH197,FIND(":",Sync!$AH197)-1)),2)&amp;RIGHT("00"&amp;VALUE(MID(Sync!$AH197,FIND(":",Sync!$AH197)+1,2)),2),"0000"))))</f>
        <v/>
      </c>
    </row>
    <row r="198">
      <c r="A198">
        <f>IF(OR(Calc!$E201="",Calc!$E201="نامعتبر",Calc!$G201="",Calc!$I201&lt;&gt;"خرید"),"",Calc!$G201)</f>
        <v/>
      </c>
      <c r="B198">
        <f>IF($A198="","",LEFT(Calc!$E201,4)&amp;MID(Calc!$E201,6,2)&amp;RIGHT(Calc!$E201,2)&amp;Calc!$R201&amp;"|"&amp;"1"&amp;RIGHT("00000"&amp;193,5))</f>
        <v/>
      </c>
      <c r="C198">
        <f>IF($B198="","",COUNTIFS(LdgPartyA,$A198,LdgKeyA,"&lt;"&amp;$B198)+COUNTIFS(LdgPartyB,$A198,LdgKeyB,"&lt;"&amp;$B198)+1)</f>
        <v/>
      </c>
      <c r="D198">
        <f>IF($C198="","",$A198&amp;"|"&amp;RIGHT("000000"&amp;$C198,6))</f>
        <v/>
      </c>
      <c r="F198">
        <f>IF(Sync!$AJ198="","",Sync!$AJ198)</f>
        <v/>
      </c>
      <c r="G198">
        <f>IF($F198="","",IF(Sync!$AG198="","",IF(ISNUMBER(Sync!$AG198),IF(AND(Sync!$AG198&gt;=10000101,Sync!$AG198&lt;=99991231),INT(Sync!$AG198/10000),""),IFERROR(VALUE(TRIM(LEFT(Sync!$AG198,FIND("/",Sync!$AG198)-1))),""))))</f>
        <v/>
      </c>
      <c r="H198">
        <f>IF(OR($F198="",$G198=""),"",IF(ISNUMBER(Sync!$AG198),INT(MOD(Sync!$AG198,10000)/100),IFERROR(VALUE(TRIM(LEFT(MID(Sync!$AG198,FIND("/",Sync!$AG198)+1,20),FIND("/",MID(Sync!$AG198,FIND("/",Sync!$AG198)+1,20))-1))),"")))</f>
        <v/>
      </c>
      <c r="I198">
        <f>IF(OR($F198="",$G198=""),"",IF(ISNUMBER(Sync!$AG198),MOD(Sync!$AG198,100),IFERROR(VALUE(TRIM(MID(MID(Sync!$AG198,FIND("/",Sync!$AG198)+1,20),FIND("/",MID(Sync!$AG198,FIND("/",Sync!$AG198)+1,20))+1,20))),"")))</f>
        <v/>
      </c>
      <c r="J198">
        <f>IF($F198="","",IF(OR($G198="",$H198="",$I198="",$G198&lt;1300,$G198&gt;1500,$H198&lt;1,$H198&gt;12,$I198&lt;1,$I198&gt;31),"نامعتبر",RIGHT("0000"&amp;$G198,4)&amp;"/"&amp;RIGHT("00"&amp;$H198,2)&amp;"/"&amp;RIGHT("00"&amp;$I198,2)))</f>
        <v/>
      </c>
      <c r="K198">
        <f>IF(OR($F198="",$J198="",$J198="نامعتبر"),"",LEFT($J198,4)&amp;MID($J198,6,2)&amp;RIGHT($J198,2)&amp;$N198&amp;"|"&amp;"2"&amp;RIGHT("00000"&amp;193,5))</f>
        <v/>
      </c>
      <c r="L198">
        <f>IF($K198="","",COUNTIFS(LdgPartyA,$F198,LdgKeyA,"&lt;"&amp;$K198)+COUNTIFS(LdgPartyB,$F198,LdgKeyB,"&lt;"&amp;$K198)+1)</f>
        <v/>
      </c>
      <c r="M198">
        <f>IF($L198="","",$F198&amp;"|"&amp;RIGHT("000000"&amp;$L198,6))</f>
        <v/>
      </c>
      <c r="N198">
        <f>IF($F198="","",IF(Sync!$AH198="","0000",IF(AND(ISNUMBER(Sync!$AH198),Sync!$AH198&gt;=0,Sync!$AH198&lt;1),RIGHT("00"&amp;HOUR(Sync!$AH198),2)&amp;RIGHT("00"&amp;MINUTE(Sync!$AH198),2),IFERROR(RIGHT("00"&amp;VALUE(LEFT(Sync!$AH198,FIND(":",Sync!$AH198)-1)),2)&amp;RIGHT("00"&amp;VALUE(MID(Sync!$AH198,FIND(":",Sync!$AH198)+1,2)),2),"0000"))))</f>
        <v/>
      </c>
    </row>
    <row r="199">
      <c r="A199">
        <f>IF(OR(Calc!$E202="",Calc!$E202="نامعتبر",Calc!$G202="",Calc!$I202&lt;&gt;"خرید"),"",Calc!$G202)</f>
        <v/>
      </c>
      <c r="B199">
        <f>IF($A199="","",LEFT(Calc!$E202,4)&amp;MID(Calc!$E202,6,2)&amp;RIGHT(Calc!$E202,2)&amp;Calc!$R202&amp;"|"&amp;"1"&amp;RIGHT("00000"&amp;194,5))</f>
        <v/>
      </c>
      <c r="C199">
        <f>IF($B199="","",COUNTIFS(LdgPartyA,$A199,LdgKeyA,"&lt;"&amp;$B199)+COUNTIFS(LdgPartyB,$A199,LdgKeyB,"&lt;"&amp;$B199)+1)</f>
        <v/>
      </c>
      <c r="D199">
        <f>IF($C199="","",$A199&amp;"|"&amp;RIGHT("000000"&amp;$C199,6))</f>
        <v/>
      </c>
      <c r="F199">
        <f>IF(Sync!$AJ199="","",Sync!$AJ199)</f>
        <v/>
      </c>
      <c r="G199">
        <f>IF($F199="","",IF(Sync!$AG199="","",IF(ISNUMBER(Sync!$AG199),IF(AND(Sync!$AG199&gt;=10000101,Sync!$AG199&lt;=99991231),INT(Sync!$AG199/10000),""),IFERROR(VALUE(TRIM(LEFT(Sync!$AG199,FIND("/",Sync!$AG199)-1))),""))))</f>
        <v/>
      </c>
      <c r="H199">
        <f>IF(OR($F199="",$G199=""),"",IF(ISNUMBER(Sync!$AG199),INT(MOD(Sync!$AG199,10000)/100),IFERROR(VALUE(TRIM(LEFT(MID(Sync!$AG199,FIND("/",Sync!$AG199)+1,20),FIND("/",MID(Sync!$AG199,FIND("/",Sync!$AG199)+1,20))-1))),"")))</f>
        <v/>
      </c>
      <c r="I199">
        <f>IF(OR($F199="",$G199=""),"",IF(ISNUMBER(Sync!$AG199),MOD(Sync!$AG199,100),IFERROR(VALUE(TRIM(MID(MID(Sync!$AG199,FIND("/",Sync!$AG199)+1,20),FIND("/",MID(Sync!$AG199,FIND("/",Sync!$AG199)+1,20))+1,20))),"")))</f>
        <v/>
      </c>
      <c r="J199">
        <f>IF($F199="","",IF(OR($G199="",$H199="",$I199="",$G199&lt;1300,$G199&gt;1500,$H199&lt;1,$H199&gt;12,$I199&lt;1,$I199&gt;31),"نامعتبر",RIGHT("0000"&amp;$G199,4)&amp;"/"&amp;RIGHT("00"&amp;$H199,2)&amp;"/"&amp;RIGHT("00"&amp;$I199,2)))</f>
        <v/>
      </c>
      <c r="K199">
        <f>IF(OR($F199="",$J199="",$J199="نامعتبر"),"",LEFT($J199,4)&amp;MID($J199,6,2)&amp;RIGHT($J199,2)&amp;$N199&amp;"|"&amp;"2"&amp;RIGHT("00000"&amp;194,5))</f>
        <v/>
      </c>
      <c r="L199">
        <f>IF($K199="","",COUNTIFS(LdgPartyA,$F199,LdgKeyA,"&lt;"&amp;$K199)+COUNTIFS(LdgPartyB,$F199,LdgKeyB,"&lt;"&amp;$K199)+1)</f>
        <v/>
      </c>
      <c r="M199">
        <f>IF($L199="","",$F199&amp;"|"&amp;RIGHT("000000"&amp;$L199,6))</f>
        <v/>
      </c>
      <c r="N199">
        <f>IF($F199="","",IF(Sync!$AH199="","0000",IF(AND(ISNUMBER(Sync!$AH199),Sync!$AH199&gt;=0,Sync!$AH199&lt;1),RIGHT("00"&amp;HOUR(Sync!$AH199),2)&amp;RIGHT("00"&amp;MINUTE(Sync!$AH199),2),IFERROR(RIGHT("00"&amp;VALUE(LEFT(Sync!$AH199,FIND(":",Sync!$AH199)-1)),2)&amp;RIGHT("00"&amp;VALUE(MID(Sync!$AH199,FIND(":",Sync!$AH199)+1,2)),2),"0000"))))</f>
        <v/>
      </c>
    </row>
    <row r="200">
      <c r="A200">
        <f>IF(OR(Calc!$E203="",Calc!$E203="نامعتبر",Calc!$G203="",Calc!$I203&lt;&gt;"خرید"),"",Calc!$G203)</f>
        <v/>
      </c>
      <c r="B200">
        <f>IF($A200="","",LEFT(Calc!$E203,4)&amp;MID(Calc!$E203,6,2)&amp;RIGHT(Calc!$E203,2)&amp;Calc!$R203&amp;"|"&amp;"1"&amp;RIGHT("00000"&amp;195,5))</f>
        <v/>
      </c>
      <c r="C200">
        <f>IF($B200="","",COUNTIFS(LdgPartyA,$A200,LdgKeyA,"&lt;"&amp;$B200)+COUNTIFS(LdgPartyB,$A200,LdgKeyB,"&lt;"&amp;$B200)+1)</f>
        <v/>
      </c>
      <c r="D200">
        <f>IF($C200="","",$A200&amp;"|"&amp;RIGHT("000000"&amp;$C200,6))</f>
        <v/>
      </c>
      <c r="F200">
        <f>IF(Sync!$AJ200="","",Sync!$AJ200)</f>
        <v/>
      </c>
      <c r="G200">
        <f>IF($F200="","",IF(Sync!$AG200="","",IF(ISNUMBER(Sync!$AG200),IF(AND(Sync!$AG200&gt;=10000101,Sync!$AG200&lt;=99991231),INT(Sync!$AG200/10000),""),IFERROR(VALUE(TRIM(LEFT(Sync!$AG200,FIND("/",Sync!$AG200)-1))),""))))</f>
        <v/>
      </c>
      <c r="H200">
        <f>IF(OR($F200="",$G200=""),"",IF(ISNUMBER(Sync!$AG200),INT(MOD(Sync!$AG200,10000)/100),IFERROR(VALUE(TRIM(LEFT(MID(Sync!$AG200,FIND("/",Sync!$AG200)+1,20),FIND("/",MID(Sync!$AG200,FIND("/",Sync!$AG200)+1,20))-1))),"")))</f>
        <v/>
      </c>
      <c r="I200">
        <f>IF(OR($F200="",$G200=""),"",IF(ISNUMBER(Sync!$AG200),MOD(Sync!$AG200,100),IFERROR(VALUE(TRIM(MID(MID(Sync!$AG200,FIND("/",Sync!$AG200)+1,20),FIND("/",MID(Sync!$AG200,FIND("/",Sync!$AG200)+1,20))+1,20))),"")))</f>
        <v/>
      </c>
      <c r="J200">
        <f>IF($F200="","",IF(OR($G200="",$H200="",$I200="",$G200&lt;1300,$G200&gt;1500,$H200&lt;1,$H200&gt;12,$I200&lt;1,$I200&gt;31),"نامعتبر",RIGHT("0000"&amp;$G200,4)&amp;"/"&amp;RIGHT("00"&amp;$H200,2)&amp;"/"&amp;RIGHT("00"&amp;$I200,2)))</f>
        <v/>
      </c>
      <c r="K200">
        <f>IF(OR($F200="",$J200="",$J200="نامعتبر"),"",LEFT($J200,4)&amp;MID($J200,6,2)&amp;RIGHT($J200,2)&amp;$N200&amp;"|"&amp;"2"&amp;RIGHT("00000"&amp;195,5))</f>
        <v/>
      </c>
      <c r="L200">
        <f>IF($K200="","",COUNTIFS(LdgPartyA,$F200,LdgKeyA,"&lt;"&amp;$K200)+COUNTIFS(LdgPartyB,$F200,LdgKeyB,"&lt;"&amp;$K200)+1)</f>
        <v/>
      </c>
      <c r="M200">
        <f>IF($L200="","",$F200&amp;"|"&amp;RIGHT("000000"&amp;$L200,6))</f>
        <v/>
      </c>
      <c r="N200">
        <f>IF($F200="","",IF(Sync!$AH200="","0000",IF(AND(ISNUMBER(Sync!$AH200),Sync!$AH200&gt;=0,Sync!$AH200&lt;1),RIGHT("00"&amp;HOUR(Sync!$AH200),2)&amp;RIGHT("00"&amp;MINUTE(Sync!$AH200),2),IFERROR(RIGHT("00"&amp;VALUE(LEFT(Sync!$AH200,FIND(":",Sync!$AH200)-1)),2)&amp;RIGHT("00"&amp;VALUE(MID(Sync!$AH200,FIND(":",Sync!$AH200)+1,2)),2),"0000"))))</f>
        <v/>
      </c>
    </row>
    <row r="201">
      <c r="A201">
        <f>IF(OR(Calc!$E204="",Calc!$E204="نامعتبر",Calc!$G204="",Calc!$I204&lt;&gt;"خرید"),"",Calc!$G204)</f>
        <v/>
      </c>
      <c r="B201">
        <f>IF($A201="","",LEFT(Calc!$E204,4)&amp;MID(Calc!$E204,6,2)&amp;RIGHT(Calc!$E204,2)&amp;Calc!$R204&amp;"|"&amp;"1"&amp;RIGHT("00000"&amp;196,5))</f>
        <v/>
      </c>
      <c r="C201">
        <f>IF($B201="","",COUNTIFS(LdgPartyA,$A201,LdgKeyA,"&lt;"&amp;$B201)+COUNTIFS(LdgPartyB,$A201,LdgKeyB,"&lt;"&amp;$B201)+1)</f>
        <v/>
      </c>
      <c r="D201">
        <f>IF($C201="","",$A201&amp;"|"&amp;RIGHT("000000"&amp;$C201,6))</f>
        <v/>
      </c>
      <c r="F201">
        <f>IF(Sync!$AJ201="","",Sync!$AJ201)</f>
        <v/>
      </c>
      <c r="G201">
        <f>IF($F201="","",IF(Sync!$AG201="","",IF(ISNUMBER(Sync!$AG201),IF(AND(Sync!$AG201&gt;=10000101,Sync!$AG201&lt;=99991231),INT(Sync!$AG201/10000),""),IFERROR(VALUE(TRIM(LEFT(Sync!$AG201,FIND("/",Sync!$AG201)-1))),""))))</f>
        <v/>
      </c>
      <c r="H201">
        <f>IF(OR($F201="",$G201=""),"",IF(ISNUMBER(Sync!$AG201),INT(MOD(Sync!$AG201,10000)/100),IFERROR(VALUE(TRIM(LEFT(MID(Sync!$AG201,FIND("/",Sync!$AG201)+1,20),FIND("/",MID(Sync!$AG201,FIND("/",Sync!$AG201)+1,20))-1))),"")))</f>
        <v/>
      </c>
      <c r="I201">
        <f>IF(OR($F201="",$G201=""),"",IF(ISNUMBER(Sync!$AG201),MOD(Sync!$AG201,100),IFERROR(VALUE(TRIM(MID(MID(Sync!$AG201,FIND("/",Sync!$AG201)+1,20),FIND("/",MID(Sync!$AG201,FIND("/",Sync!$AG201)+1,20))+1,20))),"")))</f>
        <v/>
      </c>
      <c r="J201">
        <f>IF($F201="","",IF(OR($G201="",$H201="",$I201="",$G201&lt;1300,$G201&gt;1500,$H201&lt;1,$H201&gt;12,$I201&lt;1,$I201&gt;31),"نامعتبر",RIGHT("0000"&amp;$G201,4)&amp;"/"&amp;RIGHT("00"&amp;$H201,2)&amp;"/"&amp;RIGHT("00"&amp;$I201,2)))</f>
        <v/>
      </c>
      <c r="K201">
        <f>IF(OR($F201="",$J201="",$J201="نامعتبر"),"",LEFT($J201,4)&amp;MID($J201,6,2)&amp;RIGHT($J201,2)&amp;$N201&amp;"|"&amp;"2"&amp;RIGHT("00000"&amp;196,5))</f>
        <v/>
      </c>
      <c r="L201">
        <f>IF($K201="","",COUNTIFS(LdgPartyA,$F201,LdgKeyA,"&lt;"&amp;$K201)+COUNTIFS(LdgPartyB,$F201,LdgKeyB,"&lt;"&amp;$K201)+1)</f>
        <v/>
      </c>
      <c r="M201">
        <f>IF($L201="","",$F201&amp;"|"&amp;RIGHT("000000"&amp;$L201,6))</f>
        <v/>
      </c>
      <c r="N201">
        <f>IF($F201="","",IF(Sync!$AH201="","0000",IF(AND(ISNUMBER(Sync!$AH201),Sync!$AH201&gt;=0,Sync!$AH201&lt;1),RIGHT("00"&amp;HOUR(Sync!$AH201),2)&amp;RIGHT("00"&amp;MINUTE(Sync!$AH201),2),IFERROR(RIGHT("00"&amp;VALUE(LEFT(Sync!$AH201,FIND(":",Sync!$AH201)-1)),2)&amp;RIGHT("00"&amp;VALUE(MID(Sync!$AH201,FIND(":",Sync!$AH201)+1,2)),2),"0000"))))</f>
        <v/>
      </c>
    </row>
    <row r="202">
      <c r="A202">
        <f>IF(OR(Calc!$E205="",Calc!$E205="نامعتبر",Calc!$G205="",Calc!$I205&lt;&gt;"خرید"),"",Calc!$G205)</f>
        <v/>
      </c>
      <c r="B202">
        <f>IF($A202="","",LEFT(Calc!$E205,4)&amp;MID(Calc!$E205,6,2)&amp;RIGHT(Calc!$E205,2)&amp;Calc!$R205&amp;"|"&amp;"1"&amp;RIGHT("00000"&amp;197,5))</f>
        <v/>
      </c>
      <c r="C202">
        <f>IF($B202="","",COUNTIFS(LdgPartyA,$A202,LdgKeyA,"&lt;"&amp;$B202)+COUNTIFS(LdgPartyB,$A202,LdgKeyB,"&lt;"&amp;$B202)+1)</f>
        <v/>
      </c>
      <c r="D202">
        <f>IF($C202="","",$A202&amp;"|"&amp;RIGHT("000000"&amp;$C202,6))</f>
        <v/>
      </c>
      <c r="F202">
        <f>IF(Sync!$AJ202="","",Sync!$AJ202)</f>
        <v/>
      </c>
      <c r="G202">
        <f>IF($F202="","",IF(Sync!$AG202="","",IF(ISNUMBER(Sync!$AG202),IF(AND(Sync!$AG202&gt;=10000101,Sync!$AG202&lt;=99991231),INT(Sync!$AG202/10000),""),IFERROR(VALUE(TRIM(LEFT(Sync!$AG202,FIND("/",Sync!$AG202)-1))),""))))</f>
        <v/>
      </c>
      <c r="H202">
        <f>IF(OR($F202="",$G202=""),"",IF(ISNUMBER(Sync!$AG202),INT(MOD(Sync!$AG202,10000)/100),IFERROR(VALUE(TRIM(LEFT(MID(Sync!$AG202,FIND("/",Sync!$AG202)+1,20),FIND("/",MID(Sync!$AG202,FIND("/",Sync!$AG202)+1,20))-1))),"")))</f>
        <v/>
      </c>
      <c r="I202">
        <f>IF(OR($F202="",$G202=""),"",IF(ISNUMBER(Sync!$AG202),MOD(Sync!$AG202,100),IFERROR(VALUE(TRIM(MID(MID(Sync!$AG202,FIND("/",Sync!$AG202)+1,20),FIND("/",MID(Sync!$AG202,FIND("/",Sync!$AG202)+1,20))+1,20))),"")))</f>
        <v/>
      </c>
      <c r="J202">
        <f>IF($F202="","",IF(OR($G202="",$H202="",$I202="",$G202&lt;1300,$G202&gt;1500,$H202&lt;1,$H202&gt;12,$I202&lt;1,$I202&gt;31),"نامعتبر",RIGHT("0000"&amp;$G202,4)&amp;"/"&amp;RIGHT("00"&amp;$H202,2)&amp;"/"&amp;RIGHT("00"&amp;$I202,2)))</f>
        <v/>
      </c>
      <c r="K202">
        <f>IF(OR($F202="",$J202="",$J202="نامعتبر"),"",LEFT($J202,4)&amp;MID($J202,6,2)&amp;RIGHT($J202,2)&amp;$N202&amp;"|"&amp;"2"&amp;RIGHT("00000"&amp;197,5))</f>
        <v/>
      </c>
      <c r="L202">
        <f>IF($K202="","",COUNTIFS(LdgPartyA,$F202,LdgKeyA,"&lt;"&amp;$K202)+COUNTIFS(LdgPartyB,$F202,LdgKeyB,"&lt;"&amp;$K202)+1)</f>
        <v/>
      </c>
      <c r="M202">
        <f>IF($L202="","",$F202&amp;"|"&amp;RIGHT("000000"&amp;$L202,6))</f>
        <v/>
      </c>
      <c r="N202">
        <f>IF($F202="","",IF(Sync!$AH202="","0000",IF(AND(ISNUMBER(Sync!$AH202),Sync!$AH202&gt;=0,Sync!$AH202&lt;1),RIGHT("00"&amp;HOUR(Sync!$AH202),2)&amp;RIGHT("00"&amp;MINUTE(Sync!$AH202),2),IFERROR(RIGHT("00"&amp;VALUE(LEFT(Sync!$AH202,FIND(":",Sync!$AH202)-1)),2)&amp;RIGHT("00"&amp;VALUE(MID(Sync!$AH202,FIND(":",Sync!$AH202)+1,2)),2),"0000"))))</f>
        <v/>
      </c>
    </row>
    <row r="203">
      <c r="A203">
        <f>IF(OR(Calc!$E206="",Calc!$E206="نامعتبر",Calc!$G206="",Calc!$I206&lt;&gt;"خرید"),"",Calc!$G206)</f>
        <v/>
      </c>
      <c r="B203">
        <f>IF($A203="","",LEFT(Calc!$E206,4)&amp;MID(Calc!$E206,6,2)&amp;RIGHT(Calc!$E206,2)&amp;Calc!$R206&amp;"|"&amp;"1"&amp;RIGHT("00000"&amp;198,5))</f>
        <v/>
      </c>
      <c r="C203">
        <f>IF($B203="","",COUNTIFS(LdgPartyA,$A203,LdgKeyA,"&lt;"&amp;$B203)+COUNTIFS(LdgPartyB,$A203,LdgKeyB,"&lt;"&amp;$B203)+1)</f>
        <v/>
      </c>
      <c r="D203">
        <f>IF($C203="","",$A203&amp;"|"&amp;RIGHT("000000"&amp;$C203,6))</f>
        <v/>
      </c>
      <c r="F203">
        <f>IF(Sync!$AJ203="","",Sync!$AJ203)</f>
        <v/>
      </c>
      <c r="G203">
        <f>IF($F203="","",IF(Sync!$AG203="","",IF(ISNUMBER(Sync!$AG203),IF(AND(Sync!$AG203&gt;=10000101,Sync!$AG203&lt;=99991231),INT(Sync!$AG203/10000),""),IFERROR(VALUE(TRIM(LEFT(Sync!$AG203,FIND("/",Sync!$AG203)-1))),""))))</f>
        <v/>
      </c>
      <c r="H203">
        <f>IF(OR($F203="",$G203=""),"",IF(ISNUMBER(Sync!$AG203),INT(MOD(Sync!$AG203,10000)/100),IFERROR(VALUE(TRIM(LEFT(MID(Sync!$AG203,FIND("/",Sync!$AG203)+1,20),FIND("/",MID(Sync!$AG203,FIND("/",Sync!$AG203)+1,20))-1))),"")))</f>
        <v/>
      </c>
      <c r="I203">
        <f>IF(OR($F203="",$G203=""),"",IF(ISNUMBER(Sync!$AG203),MOD(Sync!$AG203,100),IFERROR(VALUE(TRIM(MID(MID(Sync!$AG203,FIND("/",Sync!$AG203)+1,20),FIND("/",MID(Sync!$AG203,FIND("/",Sync!$AG203)+1,20))+1,20))),"")))</f>
        <v/>
      </c>
      <c r="J203">
        <f>IF($F203="","",IF(OR($G203="",$H203="",$I203="",$G203&lt;1300,$G203&gt;1500,$H203&lt;1,$H203&gt;12,$I203&lt;1,$I203&gt;31),"نامعتبر",RIGHT("0000"&amp;$G203,4)&amp;"/"&amp;RIGHT("00"&amp;$H203,2)&amp;"/"&amp;RIGHT("00"&amp;$I203,2)))</f>
        <v/>
      </c>
      <c r="K203">
        <f>IF(OR($F203="",$J203="",$J203="نامعتبر"),"",LEFT($J203,4)&amp;MID($J203,6,2)&amp;RIGHT($J203,2)&amp;$N203&amp;"|"&amp;"2"&amp;RIGHT("00000"&amp;198,5))</f>
        <v/>
      </c>
      <c r="L203">
        <f>IF($K203="","",COUNTIFS(LdgPartyA,$F203,LdgKeyA,"&lt;"&amp;$K203)+COUNTIFS(LdgPartyB,$F203,LdgKeyB,"&lt;"&amp;$K203)+1)</f>
        <v/>
      </c>
      <c r="M203">
        <f>IF($L203="","",$F203&amp;"|"&amp;RIGHT("000000"&amp;$L203,6))</f>
        <v/>
      </c>
      <c r="N203">
        <f>IF($F203="","",IF(Sync!$AH203="","0000",IF(AND(ISNUMBER(Sync!$AH203),Sync!$AH203&gt;=0,Sync!$AH203&lt;1),RIGHT("00"&amp;HOUR(Sync!$AH203),2)&amp;RIGHT("00"&amp;MINUTE(Sync!$AH203),2),IFERROR(RIGHT("00"&amp;VALUE(LEFT(Sync!$AH203,FIND(":",Sync!$AH203)-1)),2)&amp;RIGHT("00"&amp;VALUE(MID(Sync!$AH203,FIND(":",Sync!$AH203)+1,2)),2),"0000"))))</f>
        <v/>
      </c>
    </row>
    <row r="204">
      <c r="A204">
        <f>IF(OR(Calc!$E207="",Calc!$E207="نامعتبر",Calc!$G207="",Calc!$I207&lt;&gt;"خرید"),"",Calc!$G207)</f>
        <v/>
      </c>
      <c r="B204">
        <f>IF($A204="","",LEFT(Calc!$E207,4)&amp;MID(Calc!$E207,6,2)&amp;RIGHT(Calc!$E207,2)&amp;Calc!$R207&amp;"|"&amp;"1"&amp;RIGHT("00000"&amp;199,5))</f>
        <v/>
      </c>
      <c r="C204">
        <f>IF($B204="","",COUNTIFS(LdgPartyA,$A204,LdgKeyA,"&lt;"&amp;$B204)+COUNTIFS(LdgPartyB,$A204,LdgKeyB,"&lt;"&amp;$B204)+1)</f>
        <v/>
      </c>
      <c r="D204">
        <f>IF($C204="","",$A204&amp;"|"&amp;RIGHT("000000"&amp;$C204,6))</f>
        <v/>
      </c>
      <c r="F204">
        <f>IF(Sync!$AJ204="","",Sync!$AJ204)</f>
        <v/>
      </c>
      <c r="G204">
        <f>IF($F204="","",IF(Sync!$AG204="","",IF(ISNUMBER(Sync!$AG204),IF(AND(Sync!$AG204&gt;=10000101,Sync!$AG204&lt;=99991231),INT(Sync!$AG204/10000),""),IFERROR(VALUE(TRIM(LEFT(Sync!$AG204,FIND("/",Sync!$AG204)-1))),""))))</f>
        <v/>
      </c>
      <c r="H204">
        <f>IF(OR($F204="",$G204=""),"",IF(ISNUMBER(Sync!$AG204),INT(MOD(Sync!$AG204,10000)/100),IFERROR(VALUE(TRIM(LEFT(MID(Sync!$AG204,FIND("/",Sync!$AG204)+1,20),FIND("/",MID(Sync!$AG204,FIND("/",Sync!$AG204)+1,20))-1))),"")))</f>
        <v/>
      </c>
      <c r="I204">
        <f>IF(OR($F204="",$G204=""),"",IF(ISNUMBER(Sync!$AG204),MOD(Sync!$AG204,100),IFERROR(VALUE(TRIM(MID(MID(Sync!$AG204,FIND("/",Sync!$AG204)+1,20),FIND("/",MID(Sync!$AG204,FIND("/",Sync!$AG204)+1,20))+1,20))),"")))</f>
        <v/>
      </c>
      <c r="J204">
        <f>IF($F204="","",IF(OR($G204="",$H204="",$I204="",$G204&lt;1300,$G204&gt;1500,$H204&lt;1,$H204&gt;12,$I204&lt;1,$I204&gt;31),"نامعتبر",RIGHT("0000"&amp;$G204,4)&amp;"/"&amp;RIGHT("00"&amp;$H204,2)&amp;"/"&amp;RIGHT("00"&amp;$I204,2)))</f>
        <v/>
      </c>
      <c r="K204">
        <f>IF(OR($F204="",$J204="",$J204="نامعتبر"),"",LEFT($J204,4)&amp;MID($J204,6,2)&amp;RIGHT($J204,2)&amp;$N204&amp;"|"&amp;"2"&amp;RIGHT("00000"&amp;199,5))</f>
        <v/>
      </c>
      <c r="L204">
        <f>IF($K204="","",COUNTIFS(LdgPartyA,$F204,LdgKeyA,"&lt;"&amp;$K204)+COUNTIFS(LdgPartyB,$F204,LdgKeyB,"&lt;"&amp;$K204)+1)</f>
        <v/>
      </c>
      <c r="M204">
        <f>IF($L204="","",$F204&amp;"|"&amp;RIGHT("000000"&amp;$L204,6))</f>
        <v/>
      </c>
      <c r="N204">
        <f>IF($F204="","",IF(Sync!$AH204="","0000",IF(AND(ISNUMBER(Sync!$AH204),Sync!$AH204&gt;=0,Sync!$AH204&lt;1),RIGHT("00"&amp;HOUR(Sync!$AH204),2)&amp;RIGHT("00"&amp;MINUTE(Sync!$AH204),2),IFERROR(RIGHT("00"&amp;VALUE(LEFT(Sync!$AH204,FIND(":",Sync!$AH204)-1)),2)&amp;RIGHT("00"&amp;VALUE(MID(Sync!$AH204,FIND(":",Sync!$AH204)+1,2)),2),"0000"))))</f>
        <v/>
      </c>
    </row>
    <row r="205">
      <c r="A205">
        <f>IF(OR(Calc!$E208="",Calc!$E208="نامعتبر",Calc!$G208="",Calc!$I208&lt;&gt;"خرید"),"",Calc!$G208)</f>
        <v/>
      </c>
      <c r="B205">
        <f>IF($A205="","",LEFT(Calc!$E208,4)&amp;MID(Calc!$E208,6,2)&amp;RIGHT(Calc!$E208,2)&amp;Calc!$R208&amp;"|"&amp;"1"&amp;RIGHT("00000"&amp;200,5))</f>
        <v/>
      </c>
      <c r="C205">
        <f>IF($B205="","",COUNTIFS(LdgPartyA,$A205,LdgKeyA,"&lt;"&amp;$B205)+COUNTIFS(LdgPartyB,$A205,LdgKeyB,"&lt;"&amp;$B205)+1)</f>
        <v/>
      </c>
      <c r="D205">
        <f>IF($C205="","",$A205&amp;"|"&amp;RIGHT("000000"&amp;$C205,6))</f>
        <v/>
      </c>
      <c r="F205">
        <f>IF(Sync!$AJ205="","",Sync!$AJ205)</f>
        <v/>
      </c>
      <c r="G205">
        <f>IF($F205="","",IF(Sync!$AG205="","",IF(ISNUMBER(Sync!$AG205),IF(AND(Sync!$AG205&gt;=10000101,Sync!$AG205&lt;=99991231),INT(Sync!$AG205/10000),""),IFERROR(VALUE(TRIM(LEFT(Sync!$AG205,FIND("/",Sync!$AG205)-1))),""))))</f>
        <v/>
      </c>
      <c r="H205">
        <f>IF(OR($F205="",$G205=""),"",IF(ISNUMBER(Sync!$AG205),INT(MOD(Sync!$AG205,10000)/100),IFERROR(VALUE(TRIM(LEFT(MID(Sync!$AG205,FIND("/",Sync!$AG205)+1,20),FIND("/",MID(Sync!$AG205,FIND("/",Sync!$AG205)+1,20))-1))),"")))</f>
        <v/>
      </c>
      <c r="I205">
        <f>IF(OR($F205="",$G205=""),"",IF(ISNUMBER(Sync!$AG205),MOD(Sync!$AG205,100),IFERROR(VALUE(TRIM(MID(MID(Sync!$AG205,FIND("/",Sync!$AG205)+1,20),FIND("/",MID(Sync!$AG205,FIND("/",Sync!$AG205)+1,20))+1,20))),"")))</f>
        <v/>
      </c>
      <c r="J205">
        <f>IF($F205="","",IF(OR($G205="",$H205="",$I205="",$G205&lt;1300,$G205&gt;1500,$H205&lt;1,$H205&gt;12,$I205&lt;1,$I205&gt;31),"نامعتبر",RIGHT("0000"&amp;$G205,4)&amp;"/"&amp;RIGHT("00"&amp;$H205,2)&amp;"/"&amp;RIGHT("00"&amp;$I205,2)))</f>
        <v/>
      </c>
      <c r="K205">
        <f>IF(OR($F205="",$J205="",$J205="نامعتبر"),"",LEFT($J205,4)&amp;MID($J205,6,2)&amp;RIGHT($J205,2)&amp;$N205&amp;"|"&amp;"2"&amp;RIGHT("00000"&amp;200,5))</f>
        <v/>
      </c>
      <c r="L205">
        <f>IF($K205="","",COUNTIFS(LdgPartyA,$F205,LdgKeyA,"&lt;"&amp;$K205)+COUNTIFS(LdgPartyB,$F205,LdgKeyB,"&lt;"&amp;$K205)+1)</f>
        <v/>
      </c>
      <c r="M205">
        <f>IF($L205="","",$F205&amp;"|"&amp;RIGHT("000000"&amp;$L205,6))</f>
        <v/>
      </c>
      <c r="N205">
        <f>IF($F205="","",IF(Sync!$AH205="","0000",IF(AND(ISNUMBER(Sync!$AH205),Sync!$AH205&gt;=0,Sync!$AH205&lt;1),RIGHT("00"&amp;HOUR(Sync!$AH205),2)&amp;RIGHT("00"&amp;MINUTE(Sync!$AH205),2),IFERROR(RIGHT("00"&amp;VALUE(LEFT(Sync!$AH205,FIND(":",Sync!$AH205)-1)),2)&amp;RIGHT("00"&amp;VALUE(MID(Sync!$AH205,FIND(":",Sync!$AH205)+1,2)),2),"0000"))))</f>
        <v/>
      </c>
    </row>
    <row r="206">
      <c r="A206">
        <f>IF(OR(Calc!$E209="",Calc!$E209="نامعتبر",Calc!$G209="",Calc!$I209&lt;&gt;"خرید"),"",Calc!$G209)</f>
        <v/>
      </c>
      <c r="B206">
        <f>IF($A206="","",LEFT(Calc!$E209,4)&amp;MID(Calc!$E209,6,2)&amp;RIGHT(Calc!$E209,2)&amp;Calc!$R209&amp;"|"&amp;"1"&amp;RIGHT("00000"&amp;201,5))</f>
        <v/>
      </c>
      <c r="C206">
        <f>IF($B206="","",COUNTIFS(LdgPartyA,$A206,LdgKeyA,"&lt;"&amp;$B206)+COUNTIFS(LdgPartyB,$A206,LdgKeyB,"&lt;"&amp;$B206)+1)</f>
        <v/>
      </c>
      <c r="D206">
        <f>IF($C206="","",$A206&amp;"|"&amp;RIGHT("000000"&amp;$C206,6))</f>
        <v/>
      </c>
      <c r="F206">
        <f>IF(Sync!$AJ206="","",Sync!$AJ206)</f>
        <v/>
      </c>
      <c r="G206">
        <f>IF($F206="","",IF(Sync!$AG206="","",IF(ISNUMBER(Sync!$AG206),IF(AND(Sync!$AG206&gt;=10000101,Sync!$AG206&lt;=99991231),INT(Sync!$AG206/10000),""),IFERROR(VALUE(TRIM(LEFT(Sync!$AG206,FIND("/",Sync!$AG206)-1))),""))))</f>
        <v/>
      </c>
      <c r="H206">
        <f>IF(OR($F206="",$G206=""),"",IF(ISNUMBER(Sync!$AG206),INT(MOD(Sync!$AG206,10000)/100),IFERROR(VALUE(TRIM(LEFT(MID(Sync!$AG206,FIND("/",Sync!$AG206)+1,20),FIND("/",MID(Sync!$AG206,FIND("/",Sync!$AG206)+1,20))-1))),"")))</f>
        <v/>
      </c>
      <c r="I206">
        <f>IF(OR($F206="",$G206=""),"",IF(ISNUMBER(Sync!$AG206),MOD(Sync!$AG206,100),IFERROR(VALUE(TRIM(MID(MID(Sync!$AG206,FIND("/",Sync!$AG206)+1,20),FIND("/",MID(Sync!$AG206,FIND("/",Sync!$AG206)+1,20))+1,20))),"")))</f>
        <v/>
      </c>
      <c r="J206">
        <f>IF($F206="","",IF(OR($G206="",$H206="",$I206="",$G206&lt;1300,$G206&gt;1500,$H206&lt;1,$H206&gt;12,$I206&lt;1,$I206&gt;31),"نامعتبر",RIGHT("0000"&amp;$G206,4)&amp;"/"&amp;RIGHT("00"&amp;$H206,2)&amp;"/"&amp;RIGHT("00"&amp;$I206,2)))</f>
        <v/>
      </c>
      <c r="K206">
        <f>IF(OR($F206="",$J206="",$J206="نامعتبر"),"",LEFT($J206,4)&amp;MID($J206,6,2)&amp;RIGHT($J206,2)&amp;$N206&amp;"|"&amp;"2"&amp;RIGHT("00000"&amp;201,5))</f>
        <v/>
      </c>
      <c r="L206">
        <f>IF($K206="","",COUNTIFS(LdgPartyA,$F206,LdgKeyA,"&lt;"&amp;$K206)+COUNTIFS(LdgPartyB,$F206,LdgKeyB,"&lt;"&amp;$K206)+1)</f>
        <v/>
      </c>
      <c r="M206">
        <f>IF($L206="","",$F206&amp;"|"&amp;RIGHT("000000"&amp;$L206,6))</f>
        <v/>
      </c>
      <c r="N206">
        <f>IF($F206="","",IF(Sync!$AH206="","0000",IF(AND(ISNUMBER(Sync!$AH206),Sync!$AH206&gt;=0,Sync!$AH206&lt;1),RIGHT("00"&amp;HOUR(Sync!$AH206),2)&amp;RIGHT("00"&amp;MINUTE(Sync!$AH206),2),IFERROR(RIGHT("00"&amp;VALUE(LEFT(Sync!$AH206,FIND(":",Sync!$AH206)-1)),2)&amp;RIGHT("00"&amp;VALUE(MID(Sync!$AH206,FIND(":",Sync!$AH206)+1,2)),2),"0000"))))</f>
        <v/>
      </c>
    </row>
    <row r="207">
      <c r="A207">
        <f>IF(OR(Calc!$E210="",Calc!$E210="نامعتبر",Calc!$G210="",Calc!$I210&lt;&gt;"خرید"),"",Calc!$G210)</f>
        <v/>
      </c>
      <c r="B207">
        <f>IF($A207="","",LEFT(Calc!$E210,4)&amp;MID(Calc!$E210,6,2)&amp;RIGHT(Calc!$E210,2)&amp;Calc!$R210&amp;"|"&amp;"1"&amp;RIGHT("00000"&amp;202,5))</f>
        <v/>
      </c>
      <c r="C207">
        <f>IF($B207="","",COUNTIFS(LdgPartyA,$A207,LdgKeyA,"&lt;"&amp;$B207)+COUNTIFS(LdgPartyB,$A207,LdgKeyB,"&lt;"&amp;$B207)+1)</f>
        <v/>
      </c>
      <c r="D207">
        <f>IF($C207="","",$A207&amp;"|"&amp;RIGHT("000000"&amp;$C207,6))</f>
        <v/>
      </c>
      <c r="F207">
        <f>IF(Sync!$AJ207="","",Sync!$AJ207)</f>
        <v/>
      </c>
      <c r="G207">
        <f>IF($F207="","",IF(Sync!$AG207="","",IF(ISNUMBER(Sync!$AG207),IF(AND(Sync!$AG207&gt;=10000101,Sync!$AG207&lt;=99991231),INT(Sync!$AG207/10000),""),IFERROR(VALUE(TRIM(LEFT(Sync!$AG207,FIND("/",Sync!$AG207)-1))),""))))</f>
        <v/>
      </c>
      <c r="H207">
        <f>IF(OR($F207="",$G207=""),"",IF(ISNUMBER(Sync!$AG207),INT(MOD(Sync!$AG207,10000)/100),IFERROR(VALUE(TRIM(LEFT(MID(Sync!$AG207,FIND("/",Sync!$AG207)+1,20),FIND("/",MID(Sync!$AG207,FIND("/",Sync!$AG207)+1,20))-1))),"")))</f>
        <v/>
      </c>
      <c r="I207">
        <f>IF(OR($F207="",$G207=""),"",IF(ISNUMBER(Sync!$AG207),MOD(Sync!$AG207,100),IFERROR(VALUE(TRIM(MID(MID(Sync!$AG207,FIND("/",Sync!$AG207)+1,20),FIND("/",MID(Sync!$AG207,FIND("/",Sync!$AG207)+1,20))+1,20))),"")))</f>
        <v/>
      </c>
      <c r="J207">
        <f>IF($F207="","",IF(OR($G207="",$H207="",$I207="",$G207&lt;1300,$G207&gt;1500,$H207&lt;1,$H207&gt;12,$I207&lt;1,$I207&gt;31),"نامعتبر",RIGHT("0000"&amp;$G207,4)&amp;"/"&amp;RIGHT("00"&amp;$H207,2)&amp;"/"&amp;RIGHT("00"&amp;$I207,2)))</f>
        <v/>
      </c>
      <c r="K207">
        <f>IF(OR($F207="",$J207="",$J207="نامعتبر"),"",LEFT($J207,4)&amp;MID($J207,6,2)&amp;RIGHT($J207,2)&amp;$N207&amp;"|"&amp;"2"&amp;RIGHT("00000"&amp;202,5))</f>
        <v/>
      </c>
      <c r="L207">
        <f>IF($K207="","",COUNTIFS(LdgPartyA,$F207,LdgKeyA,"&lt;"&amp;$K207)+COUNTIFS(LdgPartyB,$F207,LdgKeyB,"&lt;"&amp;$K207)+1)</f>
        <v/>
      </c>
      <c r="M207">
        <f>IF($L207="","",$F207&amp;"|"&amp;RIGHT("000000"&amp;$L207,6))</f>
        <v/>
      </c>
      <c r="N207">
        <f>IF($F207="","",IF(Sync!$AH207="","0000",IF(AND(ISNUMBER(Sync!$AH207),Sync!$AH207&gt;=0,Sync!$AH207&lt;1),RIGHT("00"&amp;HOUR(Sync!$AH207),2)&amp;RIGHT("00"&amp;MINUTE(Sync!$AH207),2),IFERROR(RIGHT("00"&amp;VALUE(LEFT(Sync!$AH207,FIND(":",Sync!$AH207)-1)),2)&amp;RIGHT("00"&amp;VALUE(MID(Sync!$AH207,FIND(":",Sync!$AH207)+1,2)),2),"0000"))))</f>
        <v/>
      </c>
    </row>
    <row r="208">
      <c r="A208">
        <f>IF(OR(Calc!$E211="",Calc!$E211="نامعتبر",Calc!$G211="",Calc!$I211&lt;&gt;"خرید"),"",Calc!$G211)</f>
        <v/>
      </c>
      <c r="B208">
        <f>IF($A208="","",LEFT(Calc!$E211,4)&amp;MID(Calc!$E211,6,2)&amp;RIGHT(Calc!$E211,2)&amp;Calc!$R211&amp;"|"&amp;"1"&amp;RIGHT("00000"&amp;203,5))</f>
        <v/>
      </c>
      <c r="C208">
        <f>IF($B208="","",COUNTIFS(LdgPartyA,$A208,LdgKeyA,"&lt;"&amp;$B208)+COUNTIFS(LdgPartyB,$A208,LdgKeyB,"&lt;"&amp;$B208)+1)</f>
        <v/>
      </c>
      <c r="D208">
        <f>IF($C208="","",$A208&amp;"|"&amp;RIGHT("000000"&amp;$C208,6))</f>
        <v/>
      </c>
      <c r="F208">
        <f>IF(Sync!$AJ208="","",Sync!$AJ208)</f>
        <v/>
      </c>
      <c r="G208">
        <f>IF($F208="","",IF(Sync!$AG208="","",IF(ISNUMBER(Sync!$AG208),IF(AND(Sync!$AG208&gt;=10000101,Sync!$AG208&lt;=99991231),INT(Sync!$AG208/10000),""),IFERROR(VALUE(TRIM(LEFT(Sync!$AG208,FIND("/",Sync!$AG208)-1))),""))))</f>
        <v/>
      </c>
      <c r="H208">
        <f>IF(OR($F208="",$G208=""),"",IF(ISNUMBER(Sync!$AG208),INT(MOD(Sync!$AG208,10000)/100),IFERROR(VALUE(TRIM(LEFT(MID(Sync!$AG208,FIND("/",Sync!$AG208)+1,20),FIND("/",MID(Sync!$AG208,FIND("/",Sync!$AG208)+1,20))-1))),"")))</f>
        <v/>
      </c>
      <c r="I208">
        <f>IF(OR($F208="",$G208=""),"",IF(ISNUMBER(Sync!$AG208),MOD(Sync!$AG208,100),IFERROR(VALUE(TRIM(MID(MID(Sync!$AG208,FIND("/",Sync!$AG208)+1,20),FIND("/",MID(Sync!$AG208,FIND("/",Sync!$AG208)+1,20))+1,20))),"")))</f>
        <v/>
      </c>
      <c r="J208">
        <f>IF($F208="","",IF(OR($G208="",$H208="",$I208="",$G208&lt;1300,$G208&gt;1500,$H208&lt;1,$H208&gt;12,$I208&lt;1,$I208&gt;31),"نامعتبر",RIGHT("0000"&amp;$G208,4)&amp;"/"&amp;RIGHT("00"&amp;$H208,2)&amp;"/"&amp;RIGHT("00"&amp;$I208,2)))</f>
        <v/>
      </c>
      <c r="K208">
        <f>IF(OR($F208="",$J208="",$J208="نامعتبر"),"",LEFT($J208,4)&amp;MID($J208,6,2)&amp;RIGHT($J208,2)&amp;$N208&amp;"|"&amp;"2"&amp;RIGHT("00000"&amp;203,5))</f>
        <v/>
      </c>
      <c r="L208">
        <f>IF($K208="","",COUNTIFS(LdgPartyA,$F208,LdgKeyA,"&lt;"&amp;$K208)+COUNTIFS(LdgPartyB,$F208,LdgKeyB,"&lt;"&amp;$K208)+1)</f>
        <v/>
      </c>
      <c r="M208">
        <f>IF($L208="","",$F208&amp;"|"&amp;RIGHT("000000"&amp;$L208,6))</f>
        <v/>
      </c>
      <c r="N208">
        <f>IF($F208="","",IF(Sync!$AH208="","0000",IF(AND(ISNUMBER(Sync!$AH208),Sync!$AH208&gt;=0,Sync!$AH208&lt;1),RIGHT("00"&amp;HOUR(Sync!$AH208),2)&amp;RIGHT("00"&amp;MINUTE(Sync!$AH208),2),IFERROR(RIGHT("00"&amp;VALUE(LEFT(Sync!$AH208,FIND(":",Sync!$AH208)-1)),2)&amp;RIGHT("00"&amp;VALUE(MID(Sync!$AH208,FIND(":",Sync!$AH208)+1,2)),2),"0000"))))</f>
        <v/>
      </c>
    </row>
    <row r="209">
      <c r="A209">
        <f>IF(OR(Calc!$E212="",Calc!$E212="نامعتبر",Calc!$G212="",Calc!$I212&lt;&gt;"خرید"),"",Calc!$G212)</f>
        <v/>
      </c>
      <c r="B209">
        <f>IF($A209="","",LEFT(Calc!$E212,4)&amp;MID(Calc!$E212,6,2)&amp;RIGHT(Calc!$E212,2)&amp;Calc!$R212&amp;"|"&amp;"1"&amp;RIGHT("00000"&amp;204,5))</f>
        <v/>
      </c>
      <c r="C209">
        <f>IF($B209="","",COUNTIFS(LdgPartyA,$A209,LdgKeyA,"&lt;"&amp;$B209)+COUNTIFS(LdgPartyB,$A209,LdgKeyB,"&lt;"&amp;$B209)+1)</f>
        <v/>
      </c>
      <c r="D209">
        <f>IF($C209="","",$A209&amp;"|"&amp;RIGHT("000000"&amp;$C209,6))</f>
        <v/>
      </c>
      <c r="F209">
        <f>IF(Sync!$AJ209="","",Sync!$AJ209)</f>
        <v/>
      </c>
      <c r="G209">
        <f>IF($F209="","",IF(Sync!$AG209="","",IF(ISNUMBER(Sync!$AG209),IF(AND(Sync!$AG209&gt;=10000101,Sync!$AG209&lt;=99991231),INT(Sync!$AG209/10000),""),IFERROR(VALUE(TRIM(LEFT(Sync!$AG209,FIND("/",Sync!$AG209)-1))),""))))</f>
        <v/>
      </c>
      <c r="H209">
        <f>IF(OR($F209="",$G209=""),"",IF(ISNUMBER(Sync!$AG209),INT(MOD(Sync!$AG209,10000)/100),IFERROR(VALUE(TRIM(LEFT(MID(Sync!$AG209,FIND("/",Sync!$AG209)+1,20),FIND("/",MID(Sync!$AG209,FIND("/",Sync!$AG209)+1,20))-1))),"")))</f>
        <v/>
      </c>
      <c r="I209">
        <f>IF(OR($F209="",$G209=""),"",IF(ISNUMBER(Sync!$AG209),MOD(Sync!$AG209,100),IFERROR(VALUE(TRIM(MID(MID(Sync!$AG209,FIND("/",Sync!$AG209)+1,20),FIND("/",MID(Sync!$AG209,FIND("/",Sync!$AG209)+1,20))+1,20))),"")))</f>
        <v/>
      </c>
      <c r="J209">
        <f>IF($F209="","",IF(OR($G209="",$H209="",$I209="",$G209&lt;1300,$G209&gt;1500,$H209&lt;1,$H209&gt;12,$I209&lt;1,$I209&gt;31),"نامعتبر",RIGHT("0000"&amp;$G209,4)&amp;"/"&amp;RIGHT("00"&amp;$H209,2)&amp;"/"&amp;RIGHT("00"&amp;$I209,2)))</f>
        <v/>
      </c>
      <c r="K209">
        <f>IF(OR($F209="",$J209="",$J209="نامعتبر"),"",LEFT($J209,4)&amp;MID($J209,6,2)&amp;RIGHT($J209,2)&amp;$N209&amp;"|"&amp;"2"&amp;RIGHT("00000"&amp;204,5))</f>
        <v/>
      </c>
      <c r="L209">
        <f>IF($K209="","",COUNTIFS(LdgPartyA,$F209,LdgKeyA,"&lt;"&amp;$K209)+COUNTIFS(LdgPartyB,$F209,LdgKeyB,"&lt;"&amp;$K209)+1)</f>
        <v/>
      </c>
      <c r="M209">
        <f>IF($L209="","",$F209&amp;"|"&amp;RIGHT("000000"&amp;$L209,6))</f>
        <v/>
      </c>
      <c r="N209">
        <f>IF($F209="","",IF(Sync!$AH209="","0000",IF(AND(ISNUMBER(Sync!$AH209),Sync!$AH209&gt;=0,Sync!$AH209&lt;1),RIGHT("00"&amp;HOUR(Sync!$AH209),2)&amp;RIGHT("00"&amp;MINUTE(Sync!$AH209),2),IFERROR(RIGHT("00"&amp;VALUE(LEFT(Sync!$AH209,FIND(":",Sync!$AH209)-1)),2)&amp;RIGHT("00"&amp;VALUE(MID(Sync!$AH209,FIND(":",Sync!$AH209)+1,2)),2),"0000"))))</f>
        <v/>
      </c>
    </row>
    <row r="210">
      <c r="A210">
        <f>IF(OR(Calc!$E213="",Calc!$E213="نامعتبر",Calc!$G213="",Calc!$I213&lt;&gt;"خرید"),"",Calc!$G213)</f>
        <v/>
      </c>
      <c r="B210">
        <f>IF($A210="","",LEFT(Calc!$E213,4)&amp;MID(Calc!$E213,6,2)&amp;RIGHT(Calc!$E213,2)&amp;Calc!$R213&amp;"|"&amp;"1"&amp;RIGHT("00000"&amp;205,5))</f>
        <v/>
      </c>
      <c r="C210">
        <f>IF($B210="","",COUNTIFS(LdgPartyA,$A210,LdgKeyA,"&lt;"&amp;$B210)+COUNTIFS(LdgPartyB,$A210,LdgKeyB,"&lt;"&amp;$B210)+1)</f>
        <v/>
      </c>
      <c r="D210">
        <f>IF($C210="","",$A210&amp;"|"&amp;RIGHT("000000"&amp;$C210,6))</f>
        <v/>
      </c>
      <c r="F210">
        <f>IF(Sync!$AJ210="","",Sync!$AJ210)</f>
        <v/>
      </c>
      <c r="G210">
        <f>IF($F210="","",IF(Sync!$AG210="","",IF(ISNUMBER(Sync!$AG210),IF(AND(Sync!$AG210&gt;=10000101,Sync!$AG210&lt;=99991231),INT(Sync!$AG210/10000),""),IFERROR(VALUE(TRIM(LEFT(Sync!$AG210,FIND("/",Sync!$AG210)-1))),""))))</f>
        <v/>
      </c>
      <c r="H210">
        <f>IF(OR($F210="",$G210=""),"",IF(ISNUMBER(Sync!$AG210),INT(MOD(Sync!$AG210,10000)/100),IFERROR(VALUE(TRIM(LEFT(MID(Sync!$AG210,FIND("/",Sync!$AG210)+1,20),FIND("/",MID(Sync!$AG210,FIND("/",Sync!$AG210)+1,20))-1))),"")))</f>
        <v/>
      </c>
      <c r="I210">
        <f>IF(OR($F210="",$G210=""),"",IF(ISNUMBER(Sync!$AG210),MOD(Sync!$AG210,100),IFERROR(VALUE(TRIM(MID(MID(Sync!$AG210,FIND("/",Sync!$AG210)+1,20),FIND("/",MID(Sync!$AG210,FIND("/",Sync!$AG210)+1,20))+1,20))),"")))</f>
        <v/>
      </c>
      <c r="J210">
        <f>IF($F210="","",IF(OR($G210="",$H210="",$I210="",$G210&lt;1300,$G210&gt;1500,$H210&lt;1,$H210&gt;12,$I210&lt;1,$I210&gt;31),"نامعتبر",RIGHT("0000"&amp;$G210,4)&amp;"/"&amp;RIGHT("00"&amp;$H210,2)&amp;"/"&amp;RIGHT("00"&amp;$I210,2)))</f>
        <v/>
      </c>
      <c r="K210">
        <f>IF(OR($F210="",$J210="",$J210="نامعتبر"),"",LEFT($J210,4)&amp;MID($J210,6,2)&amp;RIGHT($J210,2)&amp;$N210&amp;"|"&amp;"2"&amp;RIGHT("00000"&amp;205,5))</f>
        <v/>
      </c>
      <c r="L210">
        <f>IF($K210="","",COUNTIFS(LdgPartyA,$F210,LdgKeyA,"&lt;"&amp;$K210)+COUNTIFS(LdgPartyB,$F210,LdgKeyB,"&lt;"&amp;$K210)+1)</f>
        <v/>
      </c>
      <c r="M210">
        <f>IF($L210="","",$F210&amp;"|"&amp;RIGHT("000000"&amp;$L210,6))</f>
        <v/>
      </c>
      <c r="N210">
        <f>IF($F210="","",IF(Sync!$AH210="","0000",IF(AND(ISNUMBER(Sync!$AH210),Sync!$AH210&gt;=0,Sync!$AH210&lt;1),RIGHT("00"&amp;HOUR(Sync!$AH210),2)&amp;RIGHT("00"&amp;MINUTE(Sync!$AH210),2),IFERROR(RIGHT("00"&amp;VALUE(LEFT(Sync!$AH210,FIND(":",Sync!$AH210)-1)),2)&amp;RIGHT("00"&amp;VALUE(MID(Sync!$AH210,FIND(":",Sync!$AH210)+1,2)),2),"0000"))))</f>
        <v/>
      </c>
    </row>
    <row r="211">
      <c r="A211">
        <f>IF(OR(Calc!$E214="",Calc!$E214="نامعتبر",Calc!$G214="",Calc!$I214&lt;&gt;"خرید"),"",Calc!$G214)</f>
        <v/>
      </c>
      <c r="B211">
        <f>IF($A211="","",LEFT(Calc!$E214,4)&amp;MID(Calc!$E214,6,2)&amp;RIGHT(Calc!$E214,2)&amp;Calc!$R214&amp;"|"&amp;"1"&amp;RIGHT("00000"&amp;206,5))</f>
        <v/>
      </c>
      <c r="C211">
        <f>IF($B211="","",COUNTIFS(LdgPartyA,$A211,LdgKeyA,"&lt;"&amp;$B211)+COUNTIFS(LdgPartyB,$A211,LdgKeyB,"&lt;"&amp;$B211)+1)</f>
        <v/>
      </c>
      <c r="D211">
        <f>IF($C211="","",$A211&amp;"|"&amp;RIGHT("000000"&amp;$C211,6))</f>
        <v/>
      </c>
      <c r="F211">
        <f>IF(Sync!$AJ211="","",Sync!$AJ211)</f>
        <v/>
      </c>
      <c r="G211">
        <f>IF($F211="","",IF(Sync!$AG211="","",IF(ISNUMBER(Sync!$AG211),IF(AND(Sync!$AG211&gt;=10000101,Sync!$AG211&lt;=99991231),INT(Sync!$AG211/10000),""),IFERROR(VALUE(TRIM(LEFT(Sync!$AG211,FIND("/",Sync!$AG211)-1))),""))))</f>
        <v/>
      </c>
      <c r="H211">
        <f>IF(OR($F211="",$G211=""),"",IF(ISNUMBER(Sync!$AG211),INT(MOD(Sync!$AG211,10000)/100),IFERROR(VALUE(TRIM(LEFT(MID(Sync!$AG211,FIND("/",Sync!$AG211)+1,20),FIND("/",MID(Sync!$AG211,FIND("/",Sync!$AG211)+1,20))-1))),"")))</f>
        <v/>
      </c>
      <c r="I211">
        <f>IF(OR($F211="",$G211=""),"",IF(ISNUMBER(Sync!$AG211),MOD(Sync!$AG211,100),IFERROR(VALUE(TRIM(MID(MID(Sync!$AG211,FIND("/",Sync!$AG211)+1,20),FIND("/",MID(Sync!$AG211,FIND("/",Sync!$AG211)+1,20))+1,20))),"")))</f>
        <v/>
      </c>
      <c r="J211">
        <f>IF($F211="","",IF(OR($G211="",$H211="",$I211="",$G211&lt;1300,$G211&gt;1500,$H211&lt;1,$H211&gt;12,$I211&lt;1,$I211&gt;31),"نامعتبر",RIGHT("0000"&amp;$G211,4)&amp;"/"&amp;RIGHT("00"&amp;$H211,2)&amp;"/"&amp;RIGHT("00"&amp;$I211,2)))</f>
        <v/>
      </c>
      <c r="K211">
        <f>IF(OR($F211="",$J211="",$J211="نامعتبر"),"",LEFT($J211,4)&amp;MID($J211,6,2)&amp;RIGHT($J211,2)&amp;$N211&amp;"|"&amp;"2"&amp;RIGHT("00000"&amp;206,5))</f>
        <v/>
      </c>
      <c r="L211">
        <f>IF($K211="","",COUNTIFS(LdgPartyA,$F211,LdgKeyA,"&lt;"&amp;$K211)+COUNTIFS(LdgPartyB,$F211,LdgKeyB,"&lt;"&amp;$K211)+1)</f>
        <v/>
      </c>
      <c r="M211">
        <f>IF($L211="","",$F211&amp;"|"&amp;RIGHT("000000"&amp;$L211,6))</f>
        <v/>
      </c>
      <c r="N211">
        <f>IF($F211="","",IF(Sync!$AH211="","0000",IF(AND(ISNUMBER(Sync!$AH211),Sync!$AH211&gt;=0,Sync!$AH211&lt;1),RIGHT("00"&amp;HOUR(Sync!$AH211),2)&amp;RIGHT("00"&amp;MINUTE(Sync!$AH211),2),IFERROR(RIGHT("00"&amp;VALUE(LEFT(Sync!$AH211,FIND(":",Sync!$AH211)-1)),2)&amp;RIGHT("00"&amp;VALUE(MID(Sync!$AH211,FIND(":",Sync!$AH211)+1,2)),2),"0000"))))</f>
        <v/>
      </c>
    </row>
    <row r="212">
      <c r="A212">
        <f>IF(OR(Calc!$E215="",Calc!$E215="نامعتبر",Calc!$G215="",Calc!$I215&lt;&gt;"خرید"),"",Calc!$G215)</f>
        <v/>
      </c>
      <c r="B212">
        <f>IF($A212="","",LEFT(Calc!$E215,4)&amp;MID(Calc!$E215,6,2)&amp;RIGHT(Calc!$E215,2)&amp;Calc!$R215&amp;"|"&amp;"1"&amp;RIGHT("00000"&amp;207,5))</f>
        <v/>
      </c>
      <c r="C212">
        <f>IF($B212="","",COUNTIFS(LdgPartyA,$A212,LdgKeyA,"&lt;"&amp;$B212)+COUNTIFS(LdgPartyB,$A212,LdgKeyB,"&lt;"&amp;$B212)+1)</f>
        <v/>
      </c>
      <c r="D212">
        <f>IF($C212="","",$A212&amp;"|"&amp;RIGHT("000000"&amp;$C212,6))</f>
        <v/>
      </c>
      <c r="F212">
        <f>IF(Sync!$AJ212="","",Sync!$AJ212)</f>
        <v/>
      </c>
      <c r="G212">
        <f>IF($F212="","",IF(Sync!$AG212="","",IF(ISNUMBER(Sync!$AG212),IF(AND(Sync!$AG212&gt;=10000101,Sync!$AG212&lt;=99991231),INT(Sync!$AG212/10000),""),IFERROR(VALUE(TRIM(LEFT(Sync!$AG212,FIND("/",Sync!$AG212)-1))),""))))</f>
        <v/>
      </c>
      <c r="H212">
        <f>IF(OR($F212="",$G212=""),"",IF(ISNUMBER(Sync!$AG212),INT(MOD(Sync!$AG212,10000)/100),IFERROR(VALUE(TRIM(LEFT(MID(Sync!$AG212,FIND("/",Sync!$AG212)+1,20),FIND("/",MID(Sync!$AG212,FIND("/",Sync!$AG212)+1,20))-1))),"")))</f>
        <v/>
      </c>
      <c r="I212">
        <f>IF(OR($F212="",$G212=""),"",IF(ISNUMBER(Sync!$AG212),MOD(Sync!$AG212,100),IFERROR(VALUE(TRIM(MID(MID(Sync!$AG212,FIND("/",Sync!$AG212)+1,20),FIND("/",MID(Sync!$AG212,FIND("/",Sync!$AG212)+1,20))+1,20))),"")))</f>
        <v/>
      </c>
      <c r="J212">
        <f>IF($F212="","",IF(OR($G212="",$H212="",$I212="",$G212&lt;1300,$G212&gt;1500,$H212&lt;1,$H212&gt;12,$I212&lt;1,$I212&gt;31),"نامعتبر",RIGHT("0000"&amp;$G212,4)&amp;"/"&amp;RIGHT("00"&amp;$H212,2)&amp;"/"&amp;RIGHT("00"&amp;$I212,2)))</f>
        <v/>
      </c>
      <c r="K212">
        <f>IF(OR($F212="",$J212="",$J212="نامعتبر"),"",LEFT($J212,4)&amp;MID($J212,6,2)&amp;RIGHT($J212,2)&amp;$N212&amp;"|"&amp;"2"&amp;RIGHT("00000"&amp;207,5))</f>
        <v/>
      </c>
      <c r="L212">
        <f>IF($K212="","",COUNTIFS(LdgPartyA,$F212,LdgKeyA,"&lt;"&amp;$K212)+COUNTIFS(LdgPartyB,$F212,LdgKeyB,"&lt;"&amp;$K212)+1)</f>
        <v/>
      </c>
      <c r="M212">
        <f>IF($L212="","",$F212&amp;"|"&amp;RIGHT("000000"&amp;$L212,6))</f>
        <v/>
      </c>
      <c r="N212">
        <f>IF($F212="","",IF(Sync!$AH212="","0000",IF(AND(ISNUMBER(Sync!$AH212),Sync!$AH212&gt;=0,Sync!$AH212&lt;1),RIGHT("00"&amp;HOUR(Sync!$AH212),2)&amp;RIGHT("00"&amp;MINUTE(Sync!$AH212),2),IFERROR(RIGHT("00"&amp;VALUE(LEFT(Sync!$AH212,FIND(":",Sync!$AH212)-1)),2)&amp;RIGHT("00"&amp;VALUE(MID(Sync!$AH212,FIND(":",Sync!$AH212)+1,2)),2),"0000"))))</f>
        <v/>
      </c>
    </row>
    <row r="213">
      <c r="A213">
        <f>IF(OR(Calc!$E216="",Calc!$E216="نامعتبر",Calc!$G216="",Calc!$I216&lt;&gt;"خرید"),"",Calc!$G216)</f>
        <v/>
      </c>
      <c r="B213">
        <f>IF($A213="","",LEFT(Calc!$E216,4)&amp;MID(Calc!$E216,6,2)&amp;RIGHT(Calc!$E216,2)&amp;Calc!$R216&amp;"|"&amp;"1"&amp;RIGHT("00000"&amp;208,5))</f>
        <v/>
      </c>
      <c r="C213">
        <f>IF($B213="","",COUNTIFS(LdgPartyA,$A213,LdgKeyA,"&lt;"&amp;$B213)+COUNTIFS(LdgPartyB,$A213,LdgKeyB,"&lt;"&amp;$B213)+1)</f>
        <v/>
      </c>
      <c r="D213">
        <f>IF($C213="","",$A213&amp;"|"&amp;RIGHT("000000"&amp;$C213,6))</f>
        <v/>
      </c>
      <c r="F213">
        <f>IF(Sync!$AJ213="","",Sync!$AJ213)</f>
        <v/>
      </c>
      <c r="G213">
        <f>IF($F213="","",IF(Sync!$AG213="","",IF(ISNUMBER(Sync!$AG213),IF(AND(Sync!$AG213&gt;=10000101,Sync!$AG213&lt;=99991231),INT(Sync!$AG213/10000),""),IFERROR(VALUE(TRIM(LEFT(Sync!$AG213,FIND("/",Sync!$AG213)-1))),""))))</f>
        <v/>
      </c>
      <c r="H213">
        <f>IF(OR($F213="",$G213=""),"",IF(ISNUMBER(Sync!$AG213),INT(MOD(Sync!$AG213,10000)/100),IFERROR(VALUE(TRIM(LEFT(MID(Sync!$AG213,FIND("/",Sync!$AG213)+1,20),FIND("/",MID(Sync!$AG213,FIND("/",Sync!$AG213)+1,20))-1))),"")))</f>
        <v/>
      </c>
      <c r="I213">
        <f>IF(OR($F213="",$G213=""),"",IF(ISNUMBER(Sync!$AG213),MOD(Sync!$AG213,100),IFERROR(VALUE(TRIM(MID(MID(Sync!$AG213,FIND("/",Sync!$AG213)+1,20),FIND("/",MID(Sync!$AG213,FIND("/",Sync!$AG213)+1,20))+1,20))),"")))</f>
        <v/>
      </c>
      <c r="J213">
        <f>IF($F213="","",IF(OR($G213="",$H213="",$I213="",$G213&lt;1300,$G213&gt;1500,$H213&lt;1,$H213&gt;12,$I213&lt;1,$I213&gt;31),"نامعتبر",RIGHT("0000"&amp;$G213,4)&amp;"/"&amp;RIGHT("00"&amp;$H213,2)&amp;"/"&amp;RIGHT("00"&amp;$I213,2)))</f>
        <v/>
      </c>
      <c r="K213">
        <f>IF(OR($F213="",$J213="",$J213="نامعتبر"),"",LEFT($J213,4)&amp;MID($J213,6,2)&amp;RIGHT($J213,2)&amp;$N213&amp;"|"&amp;"2"&amp;RIGHT("00000"&amp;208,5))</f>
        <v/>
      </c>
      <c r="L213">
        <f>IF($K213="","",COUNTIFS(LdgPartyA,$F213,LdgKeyA,"&lt;"&amp;$K213)+COUNTIFS(LdgPartyB,$F213,LdgKeyB,"&lt;"&amp;$K213)+1)</f>
        <v/>
      </c>
      <c r="M213">
        <f>IF($L213="","",$F213&amp;"|"&amp;RIGHT("000000"&amp;$L213,6))</f>
        <v/>
      </c>
      <c r="N213">
        <f>IF($F213="","",IF(Sync!$AH213="","0000",IF(AND(ISNUMBER(Sync!$AH213),Sync!$AH213&gt;=0,Sync!$AH213&lt;1),RIGHT("00"&amp;HOUR(Sync!$AH213),2)&amp;RIGHT("00"&amp;MINUTE(Sync!$AH213),2),IFERROR(RIGHT("00"&amp;VALUE(LEFT(Sync!$AH213,FIND(":",Sync!$AH213)-1)),2)&amp;RIGHT("00"&amp;VALUE(MID(Sync!$AH213,FIND(":",Sync!$AH213)+1,2)),2),"0000"))))</f>
        <v/>
      </c>
    </row>
    <row r="214">
      <c r="A214">
        <f>IF(OR(Calc!$E217="",Calc!$E217="نامعتبر",Calc!$G217="",Calc!$I217&lt;&gt;"خرید"),"",Calc!$G217)</f>
        <v/>
      </c>
      <c r="B214">
        <f>IF($A214="","",LEFT(Calc!$E217,4)&amp;MID(Calc!$E217,6,2)&amp;RIGHT(Calc!$E217,2)&amp;Calc!$R217&amp;"|"&amp;"1"&amp;RIGHT("00000"&amp;209,5))</f>
        <v/>
      </c>
      <c r="C214">
        <f>IF($B214="","",COUNTIFS(LdgPartyA,$A214,LdgKeyA,"&lt;"&amp;$B214)+COUNTIFS(LdgPartyB,$A214,LdgKeyB,"&lt;"&amp;$B214)+1)</f>
        <v/>
      </c>
      <c r="D214">
        <f>IF($C214="","",$A214&amp;"|"&amp;RIGHT("000000"&amp;$C214,6))</f>
        <v/>
      </c>
      <c r="F214">
        <f>IF(Sync!$AJ214="","",Sync!$AJ214)</f>
        <v/>
      </c>
      <c r="G214">
        <f>IF($F214="","",IF(Sync!$AG214="","",IF(ISNUMBER(Sync!$AG214),IF(AND(Sync!$AG214&gt;=10000101,Sync!$AG214&lt;=99991231),INT(Sync!$AG214/10000),""),IFERROR(VALUE(TRIM(LEFT(Sync!$AG214,FIND("/",Sync!$AG214)-1))),""))))</f>
        <v/>
      </c>
      <c r="H214">
        <f>IF(OR($F214="",$G214=""),"",IF(ISNUMBER(Sync!$AG214),INT(MOD(Sync!$AG214,10000)/100),IFERROR(VALUE(TRIM(LEFT(MID(Sync!$AG214,FIND("/",Sync!$AG214)+1,20),FIND("/",MID(Sync!$AG214,FIND("/",Sync!$AG214)+1,20))-1))),"")))</f>
        <v/>
      </c>
      <c r="I214">
        <f>IF(OR($F214="",$G214=""),"",IF(ISNUMBER(Sync!$AG214),MOD(Sync!$AG214,100),IFERROR(VALUE(TRIM(MID(MID(Sync!$AG214,FIND("/",Sync!$AG214)+1,20),FIND("/",MID(Sync!$AG214,FIND("/",Sync!$AG214)+1,20))+1,20))),"")))</f>
        <v/>
      </c>
      <c r="J214">
        <f>IF($F214="","",IF(OR($G214="",$H214="",$I214="",$G214&lt;1300,$G214&gt;1500,$H214&lt;1,$H214&gt;12,$I214&lt;1,$I214&gt;31),"نامعتبر",RIGHT("0000"&amp;$G214,4)&amp;"/"&amp;RIGHT("00"&amp;$H214,2)&amp;"/"&amp;RIGHT("00"&amp;$I214,2)))</f>
        <v/>
      </c>
      <c r="K214">
        <f>IF(OR($F214="",$J214="",$J214="نامعتبر"),"",LEFT($J214,4)&amp;MID($J214,6,2)&amp;RIGHT($J214,2)&amp;$N214&amp;"|"&amp;"2"&amp;RIGHT("00000"&amp;209,5))</f>
        <v/>
      </c>
      <c r="L214">
        <f>IF($K214="","",COUNTIFS(LdgPartyA,$F214,LdgKeyA,"&lt;"&amp;$K214)+COUNTIFS(LdgPartyB,$F214,LdgKeyB,"&lt;"&amp;$K214)+1)</f>
        <v/>
      </c>
      <c r="M214">
        <f>IF($L214="","",$F214&amp;"|"&amp;RIGHT("000000"&amp;$L214,6))</f>
        <v/>
      </c>
      <c r="N214">
        <f>IF($F214="","",IF(Sync!$AH214="","0000",IF(AND(ISNUMBER(Sync!$AH214),Sync!$AH214&gt;=0,Sync!$AH214&lt;1),RIGHT("00"&amp;HOUR(Sync!$AH214),2)&amp;RIGHT("00"&amp;MINUTE(Sync!$AH214),2),IFERROR(RIGHT("00"&amp;VALUE(LEFT(Sync!$AH214,FIND(":",Sync!$AH214)-1)),2)&amp;RIGHT("00"&amp;VALUE(MID(Sync!$AH214,FIND(":",Sync!$AH214)+1,2)),2),"0000"))))</f>
        <v/>
      </c>
    </row>
    <row r="215">
      <c r="A215">
        <f>IF(OR(Calc!$E218="",Calc!$E218="نامعتبر",Calc!$G218="",Calc!$I218&lt;&gt;"خرید"),"",Calc!$G218)</f>
        <v/>
      </c>
      <c r="B215">
        <f>IF($A215="","",LEFT(Calc!$E218,4)&amp;MID(Calc!$E218,6,2)&amp;RIGHT(Calc!$E218,2)&amp;Calc!$R218&amp;"|"&amp;"1"&amp;RIGHT("00000"&amp;210,5))</f>
        <v/>
      </c>
      <c r="C215">
        <f>IF($B215="","",COUNTIFS(LdgPartyA,$A215,LdgKeyA,"&lt;"&amp;$B215)+COUNTIFS(LdgPartyB,$A215,LdgKeyB,"&lt;"&amp;$B215)+1)</f>
        <v/>
      </c>
      <c r="D215">
        <f>IF($C215="","",$A215&amp;"|"&amp;RIGHT("000000"&amp;$C215,6))</f>
        <v/>
      </c>
      <c r="F215">
        <f>IF(Sync!$AJ215="","",Sync!$AJ215)</f>
        <v/>
      </c>
      <c r="G215">
        <f>IF($F215="","",IF(Sync!$AG215="","",IF(ISNUMBER(Sync!$AG215),IF(AND(Sync!$AG215&gt;=10000101,Sync!$AG215&lt;=99991231),INT(Sync!$AG215/10000),""),IFERROR(VALUE(TRIM(LEFT(Sync!$AG215,FIND("/",Sync!$AG215)-1))),""))))</f>
        <v/>
      </c>
      <c r="H215">
        <f>IF(OR($F215="",$G215=""),"",IF(ISNUMBER(Sync!$AG215),INT(MOD(Sync!$AG215,10000)/100),IFERROR(VALUE(TRIM(LEFT(MID(Sync!$AG215,FIND("/",Sync!$AG215)+1,20),FIND("/",MID(Sync!$AG215,FIND("/",Sync!$AG215)+1,20))-1))),"")))</f>
        <v/>
      </c>
      <c r="I215">
        <f>IF(OR($F215="",$G215=""),"",IF(ISNUMBER(Sync!$AG215),MOD(Sync!$AG215,100),IFERROR(VALUE(TRIM(MID(MID(Sync!$AG215,FIND("/",Sync!$AG215)+1,20),FIND("/",MID(Sync!$AG215,FIND("/",Sync!$AG215)+1,20))+1,20))),"")))</f>
        <v/>
      </c>
      <c r="J215">
        <f>IF($F215="","",IF(OR($G215="",$H215="",$I215="",$G215&lt;1300,$G215&gt;1500,$H215&lt;1,$H215&gt;12,$I215&lt;1,$I215&gt;31),"نامعتبر",RIGHT("0000"&amp;$G215,4)&amp;"/"&amp;RIGHT("00"&amp;$H215,2)&amp;"/"&amp;RIGHT("00"&amp;$I215,2)))</f>
        <v/>
      </c>
      <c r="K215">
        <f>IF(OR($F215="",$J215="",$J215="نامعتبر"),"",LEFT($J215,4)&amp;MID($J215,6,2)&amp;RIGHT($J215,2)&amp;$N215&amp;"|"&amp;"2"&amp;RIGHT("00000"&amp;210,5))</f>
        <v/>
      </c>
      <c r="L215">
        <f>IF($K215="","",COUNTIFS(LdgPartyA,$F215,LdgKeyA,"&lt;"&amp;$K215)+COUNTIFS(LdgPartyB,$F215,LdgKeyB,"&lt;"&amp;$K215)+1)</f>
        <v/>
      </c>
      <c r="M215">
        <f>IF($L215="","",$F215&amp;"|"&amp;RIGHT("000000"&amp;$L215,6))</f>
        <v/>
      </c>
      <c r="N215">
        <f>IF($F215="","",IF(Sync!$AH215="","0000",IF(AND(ISNUMBER(Sync!$AH215),Sync!$AH215&gt;=0,Sync!$AH215&lt;1),RIGHT("00"&amp;HOUR(Sync!$AH215),2)&amp;RIGHT("00"&amp;MINUTE(Sync!$AH215),2),IFERROR(RIGHT("00"&amp;VALUE(LEFT(Sync!$AH215,FIND(":",Sync!$AH215)-1)),2)&amp;RIGHT("00"&amp;VALUE(MID(Sync!$AH215,FIND(":",Sync!$AH215)+1,2)),2),"0000"))))</f>
        <v/>
      </c>
    </row>
    <row r="216">
      <c r="A216">
        <f>IF(OR(Calc!$E219="",Calc!$E219="نامعتبر",Calc!$G219="",Calc!$I219&lt;&gt;"خرید"),"",Calc!$G219)</f>
        <v/>
      </c>
      <c r="B216">
        <f>IF($A216="","",LEFT(Calc!$E219,4)&amp;MID(Calc!$E219,6,2)&amp;RIGHT(Calc!$E219,2)&amp;Calc!$R219&amp;"|"&amp;"1"&amp;RIGHT("00000"&amp;211,5))</f>
        <v/>
      </c>
      <c r="C216">
        <f>IF($B216="","",COUNTIFS(LdgPartyA,$A216,LdgKeyA,"&lt;"&amp;$B216)+COUNTIFS(LdgPartyB,$A216,LdgKeyB,"&lt;"&amp;$B216)+1)</f>
        <v/>
      </c>
      <c r="D216">
        <f>IF($C216="","",$A216&amp;"|"&amp;RIGHT("000000"&amp;$C216,6))</f>
        <v/>
      </c>
      <c r="F216">
        <f>IF(Sync!$AJ216="","",Sync!$AJ216)</f>
        <v/>
      </c>
      <c r="G216">
        <f>IF($F216="","",IF(Sync!$AG216="","",IF(ISNUMBER(Sync!$AG216),IF(AND(Sync!$AG216&gt;=10000101,Sync!$AG216&lt;=99991231),INT(Sync!$AG216/10000),""),IFERROR(VALUE(TRIM(LEFT(Sync!$AG216,FIND("/",Sync!$AG216)-1))),""))))</f>
        <v/>
      </c>
      <c r="H216">
        <f>IF(OR($F216="",$G216=""),"",IF(ISNUMBER(Sync!$AG216),INT(MOD(Sync!$AG216,10000)/100),IFERROR(VALUE(TRIM(LEFT(MID(Sync!$AG216,FIND("/",Sync!$AG216)+1,20),FIND("/",MID(Sync!$AG216,FIND("/",Sync!$AG216)+1,20))-1))),"")))</f>
        <v/>
      </c>
      <c r="I216">
        <f>IF(OR($F216="",$G216=""),"",IF(ISNUMBER(Sync!$AG216),MOD(Sync!$AG216,100),IFERROR(VALUE(TRIM(MID(MID(Sync!$AG216,FIND("/",Sync!$AG216)+1,20),FIND("/",MID(Sync!$AG216,FIND("/",Sync!$AG216)+1,20))+1,20))),"")))</f>
        <v/>
      </c>
      <c r="J216">
        <f>IF($F216="","",IF(OR($G216="",$H216="",$I216="",$G216&lt;1300,$G216&gt;1500,$H216&lt;1,$H216&gt;12,$I216&lt;1,$I216&gt;31),"نامعتبر",RIGHT("0000"&amp;$G216,4)&amp;"/"&amp;RIGHT("00"&amp;$H216,2)&amp;"/"&amp;RIGHT("00"&amp;$I216,2)))</f>
        <v/>
      </c>
      <c r="K216">
        <f>IF(OR($F216="",$J216="",$J216="نامعتبر"),"",LEFT($J216,4)&amp;MID($J216,6,2)&amp;RIGHT($J216,2)&amp;$N216&amp;"|"&amp;"2"&amp;RIGHT("00000"&amp;211,5))</f>
        <v/>
      </c>
      <c r="L216">
        <f>IF($K216="","",COUNTIFS(LdgPartyA,$F216,LdgKeyA,"&lt;"&amp;$K216)+COUNTIFS(LdgPartyB,$F216,LdgKeyB,"&lt;"&amp;$K216)+1)</f>
        <v/>
      </c>
      <c r="M216">
        <f>IF($L216="","",$F216&amp;"|"&amp;RIGHT("000000"&amp;$L216,6))</f>
        <v/>
      </c>
      <c r="N216">
        <f>IF($F216="","",IF(Sync!$AH216="","0000",IF(AND(ISNUMBER(Sync!$AH216),Sync!$AH216&gt;=0,Sync!$AH216&lt;1),RIGHT("00"&amp;HOUR(Sync!$AH216),2)&amp;RIGHT("00"&amp;MINUTE(Sync!$AH216),2),IFERROR(RIGHT("00"&amp;VALUE(LEFT(Sync!$AH216,FIND(":",Sync!$AH216)-1)),2)&amp;RIGHT("00"&amp;VALUE(MID(Sync!$AH216,FIND(":",Sync!$AH216)+1,2)),2),"0000"))))</f>
        <v/>
      </c>
    </row>
    <row r="217">
      <c r="A217">
        <f>IF(OR(Calc!$E220="",Calc!$E220="نامعتبر",Calc!$G220="",Calc!$I220&lt;&gt;"خرید"),"",Calc!$G220)</f>
        <v/>
      </c>
      <c r="B217">
        <f>IF($A217="","",LEFT(Calc!$E220,4)&amp;MID(Calc!$E220,6,2)&amp;RIGHT(Calc!$E220,2)&amp;Calc!$R220&amp;"|"&amp;"1"&amp;RIGHT("00000"&amp;212,5))</f>
        <v/>
      </c>
      <c r="C217">
        <f>IF($B217="","",COUNTIFS(LdgPartyA,$A217,LdgKeyA,"&lt;"&amp;$B217)+COUNTIFS(LdgPartyB,$A217,LdgKeyB,"&lt;"&amp;$B217)+1)</f>
        <v/>
      </c>
      <c r="D217">
        <f>IF($C217="","",$A217&amp;"|"&amp;RIGHT("000000"&amp;$C217,6))</f>
        <v/>
      </c>
      <c r="F217">
        <f>IF(Sync!$AJ217="","",Sync!$AJ217)</f>
        <v/>
      </c>
      <c r="G217">
        <f>IF($F217="","",IF(Sync!$AG217="","",IF(ISNUMBER(Sync!$AG217),IF(AND(Sync!$AG217&gt;=10000101,Sync!$AG217&lt;=99991231),INT(Sync!$AG217/10000),""),IFERROR(VALUE(TRIM(LEFT(Sync!$AG217,FIND("/",Sync!$AG217)-1))),""))))</f>
        <v/>
      </c>
      <c r="H217">
        <f>IF(OR($F217="",$G217=""),"",IF(ISNUMBER(Sync!$AG217),INT(MOD(Sync!$AG217,10000)/100),IFERROR(VALUE(TRIM(LEFT(MID(Sync!$AG217,FIND("/",Sync!$AG217)+1,20),FIND("/",MID(Sync!$AG217,FIND("/",Sync!$AG217)+1,20))-1))),"")))</f>
        <v/>
      </c>
      <c r="I217">
        <f>IF(OR($F217="",$G217=""),"",IF(ISNUMBER(Sync!$AG217),MOD(Sync!$AG217,100),IFERROR(VALUE(TRIM(MID(MID(Sync!$AG217,FIND("/",Sync!$AG217)+1,20),FIND("/",MID(Sync!$AG217,FIND("/",Sync!$AG217)+1,20))+1,20))),"")))</f>
        <v/>
      </c>
      <c r="J217">
        <f>IF($F217="","",IF(OR($G217="",$H217="",$I217="",$G217&lt;1300,$G217&gt;1500,$H217&lt;1,$H217&gt;12,$I217&lt;1,$I217&gt;31),"نامعتبر",RIGHT("0000"&amp;$G217,4)&amp;"/"&amp;RIGHT("00"&amp;$H217,2)&amp;"/"&amp;RIGHT("00"&amp;$I217,2)))</f>
        <v/>
      </c>
      <c r="K217">
        <f>IF(OR($F217="",$J217="",$J217="نامعتبر"),"",LEFT($J217,4)&amp;MID($J217,6,2)&amp;RIGHT($J217,2)&amp;$N217&amp;"|"&amp;"2"&amp;RIGHT("00000"&amp;212,5))</f>
        <v/>
      </c>
      <c r="L217">
        <f>IF($K217="","",COUNTIFS(LdgPartyA,$F217,LdgKeyA,"&lt;"&amp;$K217)+COUNTIFS(LdgPartyB,$F217,LdgKeyB,"&lt;"&amp;$K217)+1)</f>
        <v/>
      </c>
      <c r="M217">
        <f>IF($L217="","",$F217&amp;"|"&amp;RIGHT("000000"&amp;$L217,6))</f>
        <v/>
      </c>
      <c r="N217">
        <f>IF($F217="","",IF(Sync!$AH217="","0000",IF(AND(ISNUMBER(Sync!$AH217),Sync!$AH217&gt;=0,Sync!$AH217&lt;1),RIGHT("00"&amp;HOUR(Sync!$AH217),2)&amp;RIGHT("00"&amp;MINUTE(Sync!$AH217),2),IFERROR(RIGHT("00"&amp;VALUE(LEFT(Sync!$AH217,FIND(":",Sync!$AH217)-1)),2)&amp;RIGHT("00"&amp;VALUE(MID(Sync!$AH217,FIND(":",Sync!$AH217)+1,2)),2),"0000"))))</f>
        <v/>
      </c>
    </row>
    <row r="218">
      <c r="A218">
        <f>IF(OR(Calc!$E221="",Calc!$E221="نامعتبر",Calc!$G221="",Calc!$I221&lt;&gt;"خرید"),"",Calc!$G221)</f>
        <v/>
      </c>
      <c r="B218">
        <f>IF($A218="","",LEFT(Calc!$E221,4)&amp;MID(Calc!$E221,6,2)&amp;RIGHT(Calc!$E221,2)&amp;Calc!$R221&amp;"|"&amp;"1"&amp;RIGHT("00000"&amp;213,5))</f>
        <v/>
      </c>
      <c r="C218">
        <f>IF($B218="","",COUNTIFS(LdgPartyA,$A218,LdgKeyA,"&lt;"&amp;$B218)+COUNTIFS(LdgPartyB,$A218,LdgKeyB,"&lt;"&amp;$B218)+1)</f>
        <v/>
      </c>
      <c r="D218">
        <f>IF($C218="","",$A218&amp;"|"&amp;RIGHT("000000"&amp;$C218,6))</f>
        <v/>
      </c>
      <c r="F218">
        <f>IF(Sync!$AJ218="","",Sync!$AJ218)</f>
        <v/>
      </c>
      <c r="G218">
        <f>IF($F218="","",IF(Sync!$AG218="","",IF(ISNUMBER(Sync!$AG218),IF(AND(Sync!$AG218&gt;=10000101,Sync!$AG218&lt;=99991231),INT(Sync!$AG218/10000),""),IFERROR(VALUE(TRIM(LEFT(Sync!$AG218,FIND("/",Sync!$AG218)-1))),""))))</f>
        <v/>
      </c>
      <c r="H218">
        <f>IF(OR($F218="",$G218=""),"",IF(ISNUMBER(Sync!$AG218),INT(MOD(Sync!$AG218,10000)/100),IFERROR(VALUE(TRIM(LEFT(MID(Sync!$AG218,FIND("/",Sync!$AG218)+1,20),FIND("/",MID(Sync!$AG218,FIND("/",Sync!$AG218)+1,20))-1))),"")))</f>
        <v/>
      </c>
      <c r="I218">
        <f>IF(OR($F218="",$G218=""),"",IF(ISNUMBER(Sync!$AG218),MOD(Sync!$AG218,100),IFERROR(VALUE(TRIM(MID(MID(Sync!$AG218,FIND("/",Sync!$AG218)+1,20),FIND("/",MID(Sync!$AG218,FIND("/",Sync!$AG218)+1,20))+1,20))),"")))</f>
        <v/>
      </c>
      <c r="J218">
        <f>IF($F218="","",IF(OR($G218="",$H218="",$I218="",$G218&lt;1300,$G218&gt;1500,$H218&lt;1,$H218&gt;12,$I218&lt;1,$I218&gt;31),"نامعتبر",RIGHT("0000"&amp;$G218,4)&amp;"/"&amp;RIGHT("00"&amp;$H218,2)&amp;"/"&amp;RIGHT("00"&amp;$I218,2)))</f>
        <v/>
      </c>
      <c r="K218">
        <f>IF(OR($F218="",$J218="",$J218="نامعتبر"),"",LEFT($J218,4)&amp;MID($J218,6,2)&amp;RIGHT($J218,2)&amp;$N218&amp;"|"&amp;"2"&amp;RIGHT("00000"&amp;213,5))</f>
        <v/>
      </c>
      <c r="L218">
        <f>IF($K218="","",COUNTIFS(LdgPartyA,$F218,LdgKeyA,"&lt;"&amp;$K218)+COUNTIFS(LdgPartyB,$F218,LdgKeyB,"&lt;"&amp;$K218)+1)</f>
        <v/>
      </c>
      <c r="M218">
        <f>IF($L218="","",$F218&amp;"|"&amp;RIGHT("000000"&amp;$L218,6))</f>
        <v/>
      </c>
      <c r="N218">
        <f>IF($F218="","",IF(Sync!$AH218="","0000",IF(AND(ISNUMBER(Sync!$AH218),Sync!$AH218&gt;=0,Sync!$AH218&lt;1),RIGHT("00"&amp;HOUR(Sync!$AH218),2)&amp;RIGHT("00"&amp;MINUTE(Sync!$AH218),2),IFERROR(RIGHT("00"&amp;VALUE(LEFT(Sync!$AH218,FIND(":",Sync!$AH218)-1)),2)&amp;RIGHT("00"&amp;VALUE(MID(Sync!$AH218,FIND(":",Sync!$AH218)+1,2)),2),"0000"))))</f>
        <v/>
      </c>
    </row>
    <row r="219">
      <c r="A219">
        <f>IF(OR(Calc!$E222="",Calc!$E222="نامعتبر",Calc!$G222="",Calc!$I222&lt;&gt;"خرید"),"",Calc!$G222)</f>
        <v/>
      </c>
      <c r="B219">
        <f>IF($A219="","",LEFT(Calc!$E222,4)&amp;MID(Calc!$E222,6,2)&amp;RIGHT(Calc!$E222,2)&amp;Calc!$R222&amp;"|"&amp;"1"&amp;RIGHT("00000"&amp;214,5))</f>
        <v/>
      </c>
      <c r="C219">
        <f>IF($B219="","",COUNTIFS(LdgPartyA,$A219,LdgKeyA,"&lt;"&amp;$B219)+COUNTIFS(LdgPartyB,$A219,LdgKeyB,"&lt;"&amp;$B219)+1)</f>
        <v/>
      </c>
      <c r="D219">
        <f>IF($C219="","",$A219&amp;"|"&amp;RIGHT("000000"&amp;$C219,6))</f>
        <v/>
      </c>
      <c r="F219">
        <f>IF(Sync!$AJ219="","",Sync!$AJ219)</f>
        <v/>
      </c>
      <c r="G219">
        <f>IF($F219="","",IF(Sync!$AG219="","",IF(ISNUMBER(Sync!$AG219),IF(AND(Sync!$AG219&gt;=10000101,Sync!$AG219&lt;=99991231),INT(Sync!$AG219/10000),""),IFERROR(VALUE(TRIM(LEFT(Sync!$AG219,FIND("/",Sync!$AG219)-1))),""))))</f>
        <v/>
      </c>
      <c r="H219">
        <f>IF(OR($F219="",$G219=""),"",IF(ISNUMBER(Sync!$AG219),INT(MOD(Sync!$AG219,10000)/100),IFERROR(VALUE(TRIM(LEFT(MID(Sync!$AG219,FIND("/",Sync!$AG219)+1,20),FIND("/",MID(Sync!$AG219,FIND("/",Sync!$AG219)+1,20))-1))),"")))</f>
        <v/>
      </c>
      <c r="I219">
        <f>IF(OR($F219="",$G219=""),"",IF(ISNUMBER(Sync!$AG219),MOD(Sync!$AG219,100),IFERROR(VALUE(TRIM(MID(MID(Sync!$AG219,FIND("/",Sync!$AG219)+1,20),FIND("/",MID(Sync!$AG219,FIND("/",Sync!$AG219)+1,20))+1,20))),"")))</f>
        <v/>
      </c>
      <c r="J219">
        <f>IF($F219="","",IF(OR($G219="",$H219="",$I219="",$G219&lt;1300,$G219&gt;1500,$H219&lt;1,$H219&gt;12,$I219&lt;1,$I219&gt;31),"نامعتبر",RIGHT("0000"&amp;$G219,4)&amp;"/"&amp;RIGHT("00"&amp;$H219,2)&amp;"/"&amp;RIGHT("00"&amp;$I219,2)))</f>
        <v/>
      </c>
      <c r="K219">
        <f>IF(OR($F219="",$J219="",$J219="نامعتبر"),"",LEFT($J219,4)&amp;MID($J219,6,2)&amp;RIGHT($J219,2)&amp;$N219&amp;"|"&amp;"2"&amp;RIGHT("00000"&amp;214,5))</f>
        <v/>
      </c>
      <c r="L219">
        <f>IF($K219="","",COUNTIFS(LdgPartyA,$F219,LdgKeyA,"&lt;"&amp;$K219)+COUNTIFS(LdgPartyB,$F219,LdgKeyB,"&lt;"&amp;$K219)+1)</f>
        <v/>
      </c>
      <c r="M219">
        <f>IF($L219="","",$F219&amp;"|"&amp;RIGHT("000000"&amp;$L219,6))</f>
        <v/>
      </c>
      <c r="N219">
        <f>IF($F219="","",IF(Sync!$AH219="","0000",IF(AND(ISNUMBER(Sync!$AH219),Sync!$AH219&gt;=0,Sync!$AH219&lt;1),RIGHT("00"&amp;HOUR(Sync!$AH219),2)&amp;RIGHT("00"&amp;MINUTE(Sync!$AH219),2),IFERROR(RIGHT("00"&amp;VALUE(LEFT(Sync!$AH219,FIND(":",Sync!$AH219)-1)),2)&amp;RIGHT("00"&amp;VALUE(MID(Sync!$AH219,FIND(":",Sync!$AH219)+1,2)),2),"0000"))))</f>
        <v/>
      </c>
    </row>
    <row r="220">
      <c r="A220">
        <f>IF(OR(Calc!$E223="",Calc!$E223="نامعتبر",Calc!$G223="",Calc!$I223&lt;&gt;"خرید"),"",Calc!$G223)</f>
        <v/>
      </c>
      <c r="B220">
        <f>IF($A220="","",LEFT(Calc!$E223,4)&amp;MID(Calc!$E223,6,2)&amp;RIGHT(Calc!$E223,2)&amp;Calc!$R223&amp;"|"&amp;"1"&amp;RIGHT("00000"&amp;215,5))</f>
        <v/>
      </c>
      <c r="C220">
        <f>IF($B220="","",COUNTIFS(LdgPartyA,$A220,LdgKeyA,"&lt;"&amp;$B220)+COUNTIFS(LdgPartyB,$A220,LdgKeyB,"&lt;"&amp;$B220)+1)</f>
        <v/>
      </c>
      <c r="D220">
        <f>IF($C220="","",$A220&amp;"|"&amp;RIGHT("000000"&amp;$C220,6))</f>
        <v/>
      </c>
      <c r="F220">
        <f>IF(Sync!$AJ220="","",Sync!$AJ220)</f>
        <v/>
      </c>
      <c r="G220">
        <f>IF($F220="","",IF(Sync!$AG220="","",IF(ISNUMBER(Sync!$AG220),IF(AND(Sync!$AG220&gt;=10000101,Sync!$AG220&lt;=99991231),INT(Sync!$AG220/10000),""),IFERROR(VALUE(TRIM(LEFT(Sync!$AG220,FIND("/",Sync!$AG220)-1))),""))))</f>
        <v/>
      </c>
      <c r="H220">
        <f>IF(OR($F220="",$G220=""),"",IF(ISNUMBER(Sync!$AG220),INT(MOD(Sync!$AG220,10000)/100),IFERROR(VALUE(TRIM(LEFT(MID(Sync!$AG220,FIND("/",Sync!$AG220)+1,20),FIND("/",MID(Sync!$AG220,FIND("/",Sync!$AG220)+1,20))-1))),"")))</f>
        <v/>
      </c>
      <c r="I220">
        <f>IF(OR($F220="",$G220=""),"",IF(ISNUMBER(Sync!$AG220),MOD(Sync!$AG220,100),IFERROR(VALUE(TRIM(MID(MID(Sync!$AG220,FIND("/",Sync!$AG220)+1,20),FIND("/",MID(Sync!$AG220,FIND("/",Sync!$AG220)+1,20))+1,20))),"")))</f>
        <v/>
      </c>
      <c r="J220">
        <f>IF($F220="","",IF(OR($G220="",$H220="",$I220="",$G220&lt;1300,$G220&gt;1500,$H220&lt;1,$H220&gt;12,$I220&lt;1,$I220&gt;31),"نامعتبر",RIGHT("0000"&amp;$G220,4)&amp;"/"&amp;RIGHT("00"&amp;$H220,2)&amp;"/"&amp;RIGHT("00"&amp;$I220,2)))</f>
        <v/>
      </c>
      <c r="K220">
        <f>IF(OR($F220="",$J220="",$J220="نامعتبر"),"",LEFT($J220,4)&amp;MID($J220,6,2)&amp;RIGHT($J220,2)&amp;$N220&amp;"|"&amp;"2"&amp;RIGHT("00000"&amp;215,5))</f>
        <v/>
      </c>
      <c r="L220">
        <f>IF($K220="","",COUNTIFS(LdgPartyA,$F220,LdgKeyA,"&lt;"&amp;$K220)+COUNTIFS(LdgPartyB,$F220,LdgKeyB,"&lt;"&amp;$K220)+1)</f>
        <v/>
      </c>
      <c r="M220">
        <f>IF($L220="","",$F220&amp;"|"&amp;RIGHT("000000"&amp;$L220,6))</f>
        <v/>
      </c>
      <c r="N220">
        <f>IF($F220="","",IF(Sync!$AH220="","0000",IF(AND(ISNUMBER(Sync!$AH220),Sync!$AH220&gt;=0,Sync!$AH220&lt;1),RIGHT("00"&amp;HOUR(Sync!$AH220),2)&amp;RIGHT("00"&amp;MINUTE(Sync!$AH220),2),IFERROR(RIGHT("00"&amp;VALUE(LEFT(Sync!$AH220,FIND(":",Sync!$AH220)-1)),2)&amp;RIGHT("00"&amp;VALUE(MID(Sync!$AH220,FIND(":",Sync!$AH220)+1,2)),2),"0000"))))</f>
        <v/>
      </c>
    </row>
    <row r="221">
      <c r="A221">
        <f>IF(OR(Calc!$E224="",Calc!$E224="نامعتبر",Calc!$G224="",Calc!$I224&lt;&gt;"خرید"),"",Calc!$G224)</f>
        <v/>
      </c>
      <c r="B221">
        <f>IF($A221="","",LEFT(Calc!$E224,4)&amp;MID(Calc!$E224,6,2)&amp;RIGHT(Calc!$E224,2)&amp;Calc!$R224&amp;"|"&amp;"1"&amp;RIGHT("00000"&amp;216,5))</f>
        <v/>
      </c>
      <c r="C221">
        <f>IF($B221="","",COUNTIFS(LdgPartyA,$A221,LdgKeyA,"&lt;"&amp;$B221)+COUNTIFS(LdgPartyB,$A221,LdgKeyB,"&lt;"&amp;$B221)+1)</f>
        <v/>
      </c>
      <c r="D221">
        <f>IF($C221="","",$A221&amp;"|"&amp;RIGHT("000000"&amp;$C221,6))</f>
        <v/>
      </c>
      <c r="F221">
        <f>IF(Sync!$AJ221="","",Sync!$AJ221)</f>
        <v/>
      </c>
      <c r="G221">
        <f>IF($F221="","",IF(Sync!$AG221="","",IF(ISNUMBER(Sync!$AG221),IF(AND(Sync!$AG221&gt;=10000101,Sync!$AG221&lt;=99991231),INT(Sync!$AG221/10000),""),IFERROR(VALUE(TRIM(LEFT(Sync!$AG221,FIND("/",Sync!$AG221)-1))),""))))</f>
        <v/>
      </c>
      <c r="H221">
        <f>IF(OR($F221="",$G221=""),"",IF(ISNUMBER(Sync!$AG221),INT(MOD(Sync!$AG221,10000)/100),IFERROR(VALUE(TRIM(LEFT(MID(Sync!$AG221,FIND("/",Sync!$AG221)+1,20),FIND("/",MID(Sync!$AG221,FIND("/",Sync!$AG221)+1,20))-1))),"")))</f>
        <v/>
      </c>
      <c r="I221">
        <f>IF(OR($F221="",$G221=""),"",IF(ISNUMBER(Sync!$AG221),MOD(Sync!$AG221,100),IFERROR(VALUE(TRIM(MID(MID(Sync!$AG221,FIND("/",Sync!$AG221)+1,20),FIND("/",MID(Sync!$AG221,FIND("/",Sync!$AG221)+1,20))+1,20))),"")))</f>
        <v/>
      </c>
      <c r="J221">
        <f>IF($F221="","",IF(OR($G221="",$H221="",$I221="",$G221&lt;1300,$G221&gt;1500,$H221&lt;1,$H221&gt;12,$I221&lt;1,$I221&gt;31),"نامعتبر",RIGHT("0000"&amp;$G221,4)&amp;"/"&amp;RIGHT("00"&amp;$H221,2)&amp;"/"&amp;RIGHT("00"&amp;$I221,2)))</f>
        <v/>
      </c>
      <c r="K221">
        <f>IF(OR($F221="",$J221="",$J221="نامعتبر"),"",LEFT($J221,4)&amp;MID($J221,6,2)&amp;RIGHT($J221,2)&amp;$N221&amp;"|"&amp;"2"&amp;RIGHT("00000"&amp;216,5))</f>
        <v/>
      </c>
      <c r="L221">
        <f>IF($K221="","",COUNTIFS(LdgPartyA,$F221,LdgKeyA,"&lt;"&amp;$K221)+COUNTIFS(LdgPartyB,$F221,LdgKeyB,"&lt;"&amp;$K221)+1)</f>
        <v/>
      </c>
      <c r="M221">
        <f>IF($L221="","",$F221&amp;"|"&amp;RIGHT("000000"&amp;$L221,6))</f>
        <v/>
      </c>
      <c r="N221">
        <f>IF($F221="","",IF(Sync!$AH221="","0000",IF(AND(ISNUMBER(Sync!$AH221),Sync!$AH221&gt;=0,Sync!$AH221&lt;1),RIGHT("00"&amp;HOUR(Sync!$AH221),2)&amp;RIGHT("00"&amp;MINUTE(Sync!$AH221),2),IFERROR(RIGHT("00"&amp;VALUE(LEFT(Sync!$AH221,FIND(":",Sync!$AH221)-1)),2)&amp;RIGHT("00"&amp;VALUE(MID(Sync!$AH221,FIND(":",Sync!$AH221)+1,2)),2),"0000"))))</f>
        <v/>
      </c>
    </row>
    <row r="222">
      <c r="A222">
        <f>IF(OR(Calc!$E225="",Calc!$E225="نامعتبر",Calc!$G225="",Calc!$I225&lt;&gt;"خرید"),"",Calc!$G225)</f>
        <v/>
      </c>
      <c r="B222">
        <f>IF($A222="","",LEFT(Calc!$E225,4)&amp;MID(Calc!$E225,6,2)&amp;RIGHT(Calc!$E225,2)&amp;Calc!$R225&amp;"|"&amp;"1"&amp;RIGHT("00000"&amp;217,5))</f>
        <v/>
      </c>
      <c r="C222">
        <f>IF($B222="","",COUNTIFS(LdgPartyA,$A222,LdgKeyA,"&lt;"&amp;$B222)+COUNTIFS(LdgPartyB,$A222,LdgKeyB,"&lt;"&amp;$B222)+1)</f>
        <v/>
      </c>
      <c r="D222">
        <f>IF($C222="","",$A222&amp;"|"&amp;RIGHT("000000"&amp;$C222,6))</f>
        <v/>
      </c>
      <c r="F222">
        <f>IF(Sync!$AJ222="","",Sync!$AJ222)</f>
        <v/>
      </c>
      <c r="G222">
        <f>IF($F222="","",IF(Sync!$AG222="","",IF(ISNUMBER(Sync!$AG222),IF(AND(Sync!$AG222&gt;=10000101,Sync!$AG222&lt;=99991231),INT(Sync!$AG222/10000),""),IFERROR(VALUE(TRIM(LEFT(Sync!$AG222,FIND("/",Sync!$AG222)-1))),""))))</f>
        <v/>
      </c>
      <c r="H222">
        <f>IF(OR($F222="",$G222=""),"",IF(ISNUMBER(Sync!$AG222),INT(MOD(Sync!$AG222,10000)/100),IFERROR(VALUE(TRIM(LEFT(MID(Sync!$AG222,FIND("/",Sync!$AG222)+1,20),FIND("/",MID(Sync!$AG222,FIND("/",Sync!$AG222)+1,20))-1))),"")))</f>
        <v/>
      </c>
      <c r="I222">
        <f>IF(OR($F222="",$G222=""),"",IF(ISNUMBER(Sync!$AG222),MOD(Sync!$AG222,100),IFERROR(VALUE(TRIM(MID(MID(Sync!$AG222,FIND("/",Sync!$AG222)+1,20),FIND("/",MID(Sync!$AG222,FIND("/",Sync!$AG222)+1,20))+1,20))),"")))</f>
        <v/>
      </c>
      <c r="J222">
        <f>IF($F222="","",IF(OR($G222="",$H222="",$I222="",$G222&lt;1300,$G222&gt;1500,$H222&lt;1,$H222&gt;12,$I222&lt;1,$I222&gt;31),"نامعتبر",RIGHT("0000"&amp;$G222,4)&amp;"/"&amp;RIGHT("00"&amp;$H222,2)&amp;"/"&amp;RIGHT("00"&amp;$I222,2)))</f>
        <v/>
      </c>
      <c r="K222">
        <f>IF(OR($F222="",$J222="",$J222="نامعتبر"),"",LEFT($J222,4)&amp;MID($J222,6,2)&amp;RIGHT($J222,2)&amp;$N222&amp;"|"&amp;"2"&amp;RIGHT("00000"&amp;217,5))</f>
        <v/>
      </c>
      <c r="L222">
        <f>IF($K222="","",COUNTIFS(LdgPartyA,$F222,LdgKeyA,"&lt;"&amp;$K222)+COUNTIFS(LdgPartyB,$F222,LdgKeyB,"&lt;"&amp;$K222)+1)</f>
        <v/>
      </c>
      <c r="M222">
        <f>IF($L222="","",$F222&amp;"|"&amp;RIGHT("000000"&amp;$L222,6))</f>
        <v/>
      </c>
      <c r="N222">
        <f>IF($F222="","",IF(Sync!$AH222="","0000",IF(AND(ISNUMBER(Sync!$AH222),Sync!$AH222&gt;=0,Sync!$AH222&lt;1),RIGHT("00"&amp;HOUR(Sync!$AH222),2)&amp;RIGHT("00"&amp;MINUTE(Sync!$AH222),2),IFERROR(RIGHT("00"&amp;VALUE(LEFT(Sync!$AH222,FIND(":",Sync!$AH222)-1)),2)&amp;RIGHT("00"&amp;VALUE(MID(Sync!$AH222,FIND(":",Sync!$AH222)+1,2)),2),"0000"))))</f>
        <v/>
      </c>
    </row>
    <row r="223">
      <c r="A223">
        <f>IF(OR(Calc!$E226="",Calc!$E226="نامعتبر",Calc!$G226="",Calc!$I226&lt;&gt;"خرید"),"",Calc!$G226)</f>
        <v/>
      </c>
      <c r="B223">
        <f>IF($A223="","",LEFT(Calc!$E226,4)&amp;MID(Calc!$E226,6,2)&amp;RIGHT(Calc!$E226,2)&amp;Calc!$R226&amp;"|"&amp;"1"&amp;RIGHT("00000"&amp;218,5))</f>
        <v/>
      </c>
      <c r="C223">
        <f>IF($B223="","",COUNTIFS(LdgPartyA,$A223,LdgKeyA,"&lt;"&amp;$B223)+COUNTIFS(LdgPartyB,$A223,LdgKeyB,"&lt;"&amp;$B223)+1)</f>
        <v/>
      </c>
      <c r="D223">
        <f>IF($C223="","",$A223&amp;"|"&amp;RIGHT("000000"&amp;$C223,6))</f>
        <v/>
      </c>
      <c r="F223">
        <f>IF(Sync!$AJ223="","",Sync!$AJ223)</f>
        <v/>
      </c>
      <c r="G223">
        <f>IF($F223="","",IF(Sync!$AG223="","",IF(ISNUMBER(Sync!$AG223),IF(AND(Sync!$AG223&gt;=10000101,Sync!$AG223&lt;=99991231),INT(Sync!$AG223/10000),""),IFERROR(VALUE(TRIM(LEFT(Sync!$AG223,FIND("/",Sync!$AG223)-1))),""))))</f>
        <v/>
      </c>
      <c r="H223">
        <f>IF(OR($F223="",$G223=""),"",IF(ISNUMBER(Sync!$AG223),INT(MOD(Sync!$AG223,10000)/100),IFERROR(VALUE(TRIM(LEFT(MID(Sync!$AG223,FIND("/",Sync!$AG223)+1,20),FIND("/",MID(Sync!$AG223,FIND("/",Sync!$AG223)+1,20))-1))),"")))</f>
        <v/>
      </c>
      <c r="I223">
        <f>IF(OR($F223="",$G223=""),"",IF(ISNUMBER(Sync!$AG223),MOD(Sync!$AG223,100),IFERROR(VALUE(TRIM(MID(MID(Sync!$AG223,FIND("/",Sync!$AG223)+1,20),FIND("/",MID(Sync!$AG223,FIND("/",Sync!$AG223)+1,20))+1,20))),"")))</f>
        <v/>
      </c>
      <c r="J223">
        <f>IF($F223="","",IF(OR($G223="",$H223="",$I223="",$G223&lt;1300,$G223&gt;1500,$H223&lt;1,$H223&gt;12,$I223&lt;1,$I223&gt;31),"نامعتبر",RIGHT("0000"&amp;$G223,4)&amp;"/"&amp;RIGHT("00"&amp;$H223,2)&amp;"/"&amp;RIGHT("00"&amp;$I223,2)))</f>
        <v/>
      </c>
      <c r="K223">
        <f>IF(OR($F223="",$J223="",$J223="نامعتبر"),"",LEFT($J223,4)&amp;MID($J223,6,2)&amp;RIGHT($J223,2)&amp;$N223&amp;"|"&amp;"2"&amp;RIGHT("00000"&amp;218,5))</f>
        <v/>
      </c>
      <c r="L223">
        <f>IF($K223="","",COUNTIFS(LdgPartyA,$F223,LdgKeyA,"&lt;"&amp;$K223)+COUNTIFS(LdgPartyB,$F223,LdgKeyB,"&lt;"&amp;$K223)+1)</f>
        <v/>
      </c>
      <c r="M223">
        <f>IF($L223="","",$F223&amp;"|"&amp;RIGHT("000000"&amp;$L223,6))</f>
        <v/>
      </c>
      <c r="N223">
        <f>IF($F223="","",IF(Sync!$AH223="","0000",IF(AND(ISNUMBER(Sync!$AH223),Sync!$AH223&gt;=0,Sync!$AH223&lt;1),RIGHT("00"&amp;HOUR(Sync!$AH223),2)&amp;RIGHT("00"&amp;MINUTE(Sync!$AH223),2),IFERROR(RIGHT("00"&amp;VALUE(LEFT(Sync!$AH223,FIND(":",Sync!$AH223)-1)),2)&amp;RIGHT("00"&amp;VALUE(MID(Sync!$AH223,FIND(":",Sync!$AH223)+1,2)),2),"0000"))))</f>
        <v/>
      </c>
    </row>
    <row r="224">
      <c r="A224">
        <f>IF(OR(Calc!$E227="",Calc!$E227="نامعتبر",Calc!$G227="",Calc!$I227&lt;&gt;"خرید"),"",Calc!$G227)</f>
        <v/>
      </c>
      <c r="B224">
        <f>IF($A224="","",LEFT(Calc!$E227,4)&amp;MID(Calc!$E227,6,2)&amp;RIGHT(Calc!$E227,2)&amp;Calc!$R227&amp;"|"&amp;"1"&amp;RIGHT("00000"&amp;219,5))</f>
        <v/>
      </c>
      <c r="C224">
        <f>IF($B224="","",COUNTIFS(LdgPartyA,$A224,LdgKeyA,"&lt;"&amp;$B224)+COUNTIFS(LdgPartyB,$A224,LdgKeyB,"&lt;"&amp;$B224)+1)</f>
        <v/>
      </c>
      <c r="D224">
        <f>IF($C224="","",$A224&amp;"|"&amp;RIGHT("000000"&amp;$C224,6))</f>
        <v/>
      </c>
      <c r="F224">
        <f>IF(Sync!$AJ224="","",Sync!$AJ224)</f>
        <v/>
      </c>
      <c r="G224">
        <f>IF($F224="","",IF(Sync!$AG224="","",IF(ISNUMBER(Sync!$AG224),IF(AND(Sync!$AG224&gt;=10000101,Sync!$AG224&lt;=99991231),INT(Sync!$AG224/10000),""),IFERROR(VALUE(TRIM(LEFT(Sync!$AG224,FIND("/",Sync!$AG224)-1))),""))))</f>
        <v/>
      </c>
      <c r="H224">
        <f>IF(OR($F224="",$G224=""),"",IF(ISNUMBER(Sync!$AG224),INT(MOD(Sync!$AG224,10000)/100),IFERROR(VALUE(TRIM(LEFT(MID(Sync!$AG224,FIND("/",Sync!$AG224)+1,20),FIND("/",MID(Sync!$AG224,FIND("/",Sync!$AG224)+1,20))-1))),"")))</f>
        <v/>
      </c>
      <c r="I224">
        <f>IF(OR($F224="",$G224=""),"",IF(ISNUMBER(Sync!$AG224),MOD(Sync!$AG224,100),IFERROR(VALUE(TRIM(MID(MID(Sync!$AG224,FIND("/",Sync!$AG224)+1,20),FIND("/",MID(Sync!$AG224,FIND("/",Sync!$AG224)+1,20))+1,20))),"")))</f>
        <v/>
      </c>
      <c r="J224">
        <f>IF($F224="","",IF(OR($G224="",$H224="",$I224="",$G224&lt;1300,$G224&gt;1500,$H224&lt;1,$H224&gt;12,$I224&lt;1,$I224&gt;31),"نامعتبر",RIGHT("0000"&amp;$G224,4)&amp;"/"&amp;RIGHT("00"&amp;$H224,2)&amp;"/"&amp;RIGHT("00"&amp;$I224,2)))</f>
        <v/>
      </c>
      <c r="K224">
        <f>IF(OR($F224="",$J224="",$J224="نامعتبر"),"",LEFT($J224,4)&amp;MID($J224,6,2)&amp;RIGHT($J224,2)&amp;$N224&amp;"|"&amp;"2"&amp;RIGHT("00000"&amp;219,5))</f>
        <v/>
      </c>
      <c r="L224">
        <f>IF($K224="","",COUNTIFS(LdgPartyA,$F224,LdgKeyA,"&lt;"&amp;$K224)+COUNTIFS(LdgPartyB,$F224,LdgKeyB,"&lt;"&amp;$K224)+1)</f>
        <v/>
      </c>
      <c r="M224">
        <f>IF($L224="","",$F224&amp;"|"&amp;RIGHT("000000"&amp;$L224,6))</f>
        <v/>
      </c>
      <c r="N224">
        <f>IF($F224="","",IF(Sync!$AH224="","0000",IF(AND(ISNUMBER(Sync!$AH224),Sync!$AH224&gt;=0,Sync!$AH224&lt;1),RIGHT("00"&amp;HOUR(Sync!$AH224),2)&amp;RIGHT("00"&amp;MINUTE(Sync!$AH224),2),IFERROR(RIGHT("00"&amp;VALUE(LEFT(Sync!$AH224,FIND(":",Sync!$AH224)-1)),2)&amp;RIGHT("00"&amp;VALUE(MID(Sync!$AH224,FIND(":",Sync!$AH224)+1,2)),2),"0000"))))</f>
        <v/>
      </c>
    </row>
    <row r="225">
      <c r="A225">
        <f>IF(OR(Calc!$E228="",Calc!$E228="نامعتبر",Calc!$G228="",Calc!$I228&lt;&gt;"خرید"),"",Calc!$G228)</f>
        <v/>
      </c>
      <c r="B225">
        <f>IF($A225="","",LEFT(Calc!$E228,4)&amp;MID(Calc!$E228,6,2)&amp;RIGHT(Calc!$E228,2)&amp;Calc!$R228&amp;"|"&amp;"1"&amp;RIGHT("00000"&amp;220,5))</f>
        <v/>
      </c>
      <c r="C225">
        <f>IF($B225="","",COUNTIFS(LdgPartyA,$A225,LdgKeyA,"&lt;"&amp;$B225)+COUNTIFS(LdgPartyB,$A225,LdgKeyB,"&lt;"&amp;$B225)+1)</f>
        <v/>
      </c>
      <c r="D225">
        <f>IF($C225="","",$A225&amp;"|"&amp;RIGHT("000000"&amp;$C225,6))</f>
        <v/>
      </c>
      <c r="F225">
        <f>IF(Sync!$AJ225="","",Sync!$AJ225)</f>
        <v/>
      </c>
      <c r="G225">
        <f>IF($F225="","",IF(Sync!$AG225="","",IF(ISNUMBER(Sync!$AG225),IF(AND(Sync!$AG225&gt;=10000101,Sync!$AG225&lt;=99991231),INT(Sync!$AG225/10000),""),IFERROR(VALUE(TRIM(LEFT(Sync!$AG225,FIND("/",Sync!$AG225)-1))),""))))</f>
        <v/>
      </c>
      <c r="H225">
        <f>IF(OR($F225="",$G225=""),"",IF(ISNUMBER(Sync!$AG225),INT(MOD(Sync!$AG225,10000)/100),IFERROR(VALUE(TRIM(LEFT(MID(Sync!$AG225,FIND("/",Sync!$AG225)+1,20),FIND("/",MID(Sync!$AG225,FIND("/",Sync!$AG225)+1,20))-1))),"")))</f>
        <v/>
      </c>
      <c r="I225">
        <f>IF(OR($F225="",$G225=""),"",IF(ISNUMBER(Sync!$AG225),MOD(Sync!$AG225,100),IFERROR(VALUE(TRIM(MID(MID(Sync!$AG225,FIND("/",Sync!$AG225)+1,20),FIND("/",MID(Sync!$AG225,FIND("/",Sync!$AG225)+1,20))+1,20))),"")))</f>
        <v/>
      </c>
      <c r="J225">
        <f>IF($F225="","",IF(OR($G225="",$H225="",$I225="",$G225&lt;1300,$G225&gt;1500,$H225&lt;1,$H225&gt;12,$I225&lt;1,$I225&gt;31),"نامعتبر",RIGHT("0000"&amp;$G225,4)&amp;"/"&amp;RIGHT("00"&amp;$H225,2)&amp;"/"&amp;RIGHT("00"&amp;$I225,2)))</f>
        <v/>
      </c>
      <c r="K225">
        <f>IF(OR($F225="",$J225="",$J225="نامعتبر"),"",LEFT($J225,4)&amp;MID($J225,6,2)&amp;RIGHT($J225,2)&amp;$N225&amp;"|"&amp;"2"&amp;RIGHT("00000"&amp;220,5))</f>
        <v/>
      </c>
      <c r="L225">
        <f>IF($K225="","",COUNTIFS(LdgPartyA,$F225,LdgKeyA,"&lt;"&amp;$K225)+COUNTIFS(LdgPartyB,$F225,LdgKeyB,"&lt;"&amp;$K225)+1)</f>
        <v/>
      </c>
      <c r="M225">
        <f>IF($L225="","",$F225&amp;"|"&amp;RIGHT("000000"&amp;$L225,6))</f>
        <v/>
      </c>
      <c r="N225">
        <f>IF($F225="","",IF(Sync!$AH225="","0000",IF(AND(ISNUMBER(Sync!$AH225),Sync!$AH225&gt;=0,Sync!$AH225&lt;1),RIGHT("00"&amp;HOUR(Sync!$AH225),2)&amp;RIGHT("00"&amp;MINUTE(Sync!$AH225),2),IFERROR(RIGHT("00"&amp;VALUE(LEFT(Sync!$AH225,FIND(":",Sync!$AH225)-1)),2)&amp;RIGHT("00"&amp;VALUE(MID(Sync!$AH225,FIND(":",Sync!$AH225)+1,2)),2),"0000"))))</f>
        <v/>
      </c>
    </row>
    <row r="226">
      <c r="A226">
        <f>IF(OR(Calc!$E229="",Calc!$E229="نامعتبر",Calc!$G229="",Calc!$I229&lt;&gt;"خرید"),"",Calc!$G229)</f>
        <v/>
      </c>
      <c r="B226">
        <f>IF($A226="","",LEFT(Calc!$E229,4)&amp;MID(Calc!$E229,6,2)&amp;RIGHT(Calc!$E229,2)&amp;Calc!$R229&amp;"|"&amp;"1"&amp;RIGHT("00000"&amp;221,5))</f>
        <v/>
      </c>
      <c r="C226">
        <f>IF($B226="","",COUNTIFS(LdgPartyA,$A226,LdgKeyA,"&lt;"&amp;$B226)+COUNTIFS(LdgPartyB,$A226,LdgKeyB,"&lt;"&amp;$B226)+1)</f>
        <v/>
      </c>
      <c r="D226">
        <f>IF($C226="","",$A226&amp;"|"&amp;RIGHT("000000"&amp;$C226,6))</f>
        <v/>
      </c>
      <c r="F226">
        <f>IF(Sync!$AJ226="","",Sync!$AJ226)</f>
        <v/>
      </c>
      <c r="G226">
        <f>IF($F226="","",IF(Sync!$AG226="","",IF(ISNUMBER(Sync!$AG226),IF(AND(Sync!$AG226&gt;=10000101,Sync!$AG226&lt;=99991231),INT(Sync!$AG226/10000),""),IFERROR(VALUE(TRIM(LEFT(Sync!$AG226,FIND("/",Sync!$AG226)-1))),""))))</f>
        <v/>
      </c>
      <c r="H226">
        <f>IF(OR($F226="",$G226=""),"",IF(ISNUMBER(Sync!$AG226),INT(MOD(Sync!$AG226,10000)/100),IFERROR(VALUE(TRIM(LEFT(MID(Sync!$AG226,FIND("/",Sync!$AG226)+1,20),FIND("/",MID(Sync!$AG226,FIND("/",Sync!$AG226)+1,20))-1))),"")))</f>
        <v/>
      </c>
      <c r="I226">
        <f>IF(OR($F226="",$G226=""),"",IF(ISNUMBER(Sync!$AG226),MOD(Sync!$AG226,100),IFERROR(VALUE(TRIM(MID(MID(Sync!$AG226,FIND("/",Sync!$AG226)+1,20),FIND("/",MID(Sync!$AG226,FIND("/",Sync!$AG226)+1,20))+1,20))),"")))</f>
        <v/>
      </c>
      <c r="J226">
        <f>IF($F226="","",IF(OR($G226="",$H226="",$I226="",$G226&lt;1300,$G226&gt;1500,$H226&lt;1,$H226&gt;12,$I226&lt;1,$I226&gt;31),"نامعتبر",RIGHT("0000"&amp;$G226,4)&amp;"/"&amp;RIGHT("00"&amp;$H226,2)&amp;"/"&amp;RIGHT("00"&amp;$I226,2)))</f>
        <v/>
      </c>
      <c r="K226">
        <f>IF(OR($F226="",$J226="",$J226="نامعتبر"),"",LEFT($J226,4)&amp;MID($J226,6,2)&amp;RIGHT($J226,2)&amp;$N226&amp;"|"&amp;"2"&amp;RIGHT("00000"&amp;221,5))</f>
        <v/>
      </c>
      <c r="L226">
        <f>IF($K226="","",COUNTIFS(LdgPartyA,$F226,LdgKeyA,"&lt;"&amp;$K226)+COUNTIFS(LdgPartyB,$F226,LdgKeyB,"&lt;"&amp;$K226)+1)</f>
        <v/>
      </c>
      <c r="M226">
        <f>IF($L226="","",$F226&amp;"|"&amp;RIGHT("000000"&amp;$L226,6))</f>
        <v/>
      </c>
      <c r="N226">
        <f>IF($F226="","",IF(Sync!$AH226="","0000",IF(AND(ISNUMBER(Sync!$AH226),Sync!$AH226&gt;=0,Sync!$AH226&lt;1),RIGHT("00"&amp;HOUR(Sync!$AH226),2)&amp;RIGHT("00"&amp;MINUTE(Sync!$AH226),2),IFERROR(RIGHT("00"&amp;VALUE(LEFT(Sync!$AH226,FIND(":",Sync!$AH226)-1)),2)&amp;RIGHT("00"&amp;VALUE(MID(Sync!$AH226,FIND(":",Sync!$AH226)+1,2)),2),"0000"))))</f>
        <v/>
      </c>
    </row>
    <row r="227">
      <c r="A227">
        <f>IF(OR(Calc!$E230="",Calc!$E230="نامعتبر",Calc!$G230="",Calc!$I230&lt;&gt;"خرید"),"",Calc!$G230)</f>
        <v/>
      </c>
      <c r="B227">
        <f>IF($A227="","",LEFT(Calc!$E230,4)&amp;MID(Calc!$E230,6,2)&amp;RIGHT(Calc!$E230,2)&amp;Calc!$R230&amp;"|"&amp;"1"&amp;RIGHT("00000"&amp;222,5))</f>
        <v/>
      </c>
      <c r="C227">
        <f>IF($B227="","",COUNTIFS(LdgPartyA,$A227,LdgKeyA,"&lt;"&amp;$B227)+COUNTIFS(LdgPartyB,$A227,LdgKeyB,"&lt;"&amp;$B227)+1)</f>
        <v/>
      </c>
      <c r="D227">
        <f>IF($C227="","",$A227&amp;"|"&amp;RIGHT("000000"&amp;$C227,6))</f>
        <v/>
      </c>
      <c r="F227">
        <f>IF(Sync!$AJ227="","",Sync!$AJ227)</f>
        <v/>
      </c>
      <c r="G227">
        <f>IF($F227="","",IF(Sync!$AG227="","",IF(ISNUMBER(Sync!$AG227),IF(AND(Sync!$AG227&gt;=10000101,Sync!$AG227&lt;=99991231),INT(Sync!$AG227/10000),""),IFERROR(VALUE(TRIM(LEFT(Sync!$AG227,FIND("/",Sync!$AG227)-1))),""))))</f>
        <v/>
      </c>
      <c r="H227">
        <f>IF(OR($F227="",$G227=""),"",IF(ISNUMBER(Sync!$AG227),INT(MOD(Sync!$AG227,10000)/100),IFERROR(VALUE(TRIM(LEFT(MID(Sync!$AG227,FIND("/",Sync!$AG227)+1,20),FIND("/",MID(Sync!$AG227,FIND("/",Sync!$AG227)+1,20))-1))),"")))</f>
        <v/>
      </c>
      <c r="I227">
        <f>IF(OR($F227="",$G227=""),"",IF(ISNUMBER(Sync!$AG227),MOD(Sync!$AG227,100),IFERROR(VALUE(TRIM(MID(MID(Sync!$AG227,FIND("/",Sync!$AG227)+1,20),FIND("/",MID(Sync!$AG227,FIND("/",Sync!$AG227)+1,20))+1,20))),"")))</f>
        <v/>
      </c>
      <c r="J227">
        <f>IF($F227="","",IF(OR($G227="",$H227="",$I227="",$G227&lt;1300,$G227&gt;1500,$H227&lt;1,$H227&gt;12,$I227&lt;1,$I227&gt;31),"نامعتبر",RIGHT("0000"&amp;$G227,4)&amp;"/"&amp;RIGHT("00"&amp;$H227,2)&amp;"/"&amp;RIGHT("00"&amp;$I227,2)))</f>
        <v/>
      </c>
      <c r="K227">
        <f>IF(OR($F227="",$J227="",$J227="نامعتبر"),"",LEFT($J227,4)&amp;MID($J227,6,2)&amp;RIGHT($J227,2)&amp;$N227&amp;"|"&amp;"2"&amp;RIGHT("00000"&amp;222,5))</f>
        <v/>
      </c>
      <c r="L227">
        <f>IF($K227="","",COUNTIFS(LdgPartyA,$F227,LdgKeyA,"&lt;"&amp;$K227)+COUNTIFS(LdgPartyB,$F227,LdgKeyB,"&lt;"&amp;$K227)+1)</f>
        <v/>
      </c>
      <c r="M227">
        <f>IF($L227="","",$F227&amp;"|"&amp;RIGHT("000000"&amp;$L227,6))</f>
        <v/>
      </c>
      <c r="N227">
        <f>IF($F227="","",IF(Sync!$AH227="","0000",IF(AND(ISNUMBER(Sync!$AH227),Sync!$AH227&gt;=0,Sync!$AH227&lt;1),RIGHT("00"&amp;HOUR(Sync!$AH227),2)&amp;RIGHT("00"&amp;MINUTE(Sync!$AH227),2),IFERROR(RIGHT("00"&amp;VALUE(LEFT(Sync!$AH227,FIND(":",Sync!$AH227)-1)),2)&amp;RIGHT("00"&amp;VALUE(MID(Sync!$AH227,FIND(":",Sync!$AH227)+1,2)),2),"0000"))))</f>
        <v/>
      </c>
    </row>
    <row r="228">
      <c r="A228">
        <f>IF(OR(Calc!$E231="",Calc!$E231="نامعتبر",Calc!$G231="",Calc!$I231&lt;&gt;"خرید"),"",Calc!$G231)</f>
        <v/>
      </c>
      <c r="B228">
        <f>IF($A228="","",LEFT(Calc!$E231,4)&amp;MID(Calc!$E231,6,2)&amp;RIGHT(Calc!$E231,2)&amp;Calc!$R231&amp;"|"&amp;"1"&amp;RIGHT("00000"&amp;223,5))</f>
        <v/>
      </c>
      <c r="C228">
        <f>IF($B228="","",COUNTIFS(LdgPartyA,$A228,LdgKeyA,"&lt;"&amp;$B228)+COUNTIFS(LdgPartyB,$A228,LdgKeyB,"&lt;"&amp;$B228)+1)</f>
        <v/>
      </c>
      <c r="D228">
        <f>IF($C228="","",$A228&amp;"|"&amp;RIGHT("000000"&amp;$C228,6))</f>
        <v/>
      </c>
      <c r="F228">
        <f>IF(Sync!$AJ228="","",Sync!$AJ228)</f>
        <v/>
      </c>
      <c r="G228">
        <f>IF($F228="","",IF(Sync!$AG228="","",IF(ISNUMBER(Sync!$AG228),IF(AND(Sync!$AG228&gt;=10000101,Sync!$AG228&lt;=99991231),INT(Sync!$AG228/10000),""),IFERROR(VALUE(TRIM(LEFT(Sync!$AG228,FIND("/",Sync!$AG228)-1))),""))))</f>
        <v/>
      </c>
      <c r="H228">
        <f>IF(OR($F228="",$G228=""),"",IF(ISNUMBER(Sync!$AG228),INT(MOD(Sync!$AG228,10000)/100),IFERROR(VALUE(TRIM(LEFT(MID(Sync!$AG228,FIND("/",Sync!$AG228)+1,20),FIND("/",MID(Sync!$AG228,FIND("/",Sync!$AG228)+1,20))-1))),"")))</f>
        <v/>
      </c>
      <c r="I228">
        <f>IF(OR($F228="",$G228=""),"",IF(ISNUMBER(Sync!$AG228),MOD(Sync!$AG228,100),IFERROR(VALUE(TRIM(MID(MID(Sync!$AG228,FIND("/",Sync!$AG228)+1,20),FIND("/",MID(Sync!$AG228,FIND("/",Sync!$AG228)+1,20))+1,20))),"")))</f>
        <v/>
      </c>
      <c r="J228">
        <f>IF($F228="","",IF(OR($G228="",$H228="",$I228="",$G228&lt;1300,$G228&gt;1500,$H228&lt;1,$H228&gt;12,$I228&lt;1,$I228&gt;31),"نامعتبر",RIGHT("0000"&amp;$G228,4)&amp;"/"&amp;RIGHT("00"&amp;$H228,2)&amp;"/"&amp;RIGHT("00"&amp;$I228,2)))</f>
        <v/>
      </c>
      <c r="K228">
        <f>IF(OR($F228="",$J228="",$J228="نامعتبر"),"",LEFT($J228,4)&amp;MID($J228,6,2)&amp;RIGHT($J228,2)&amp;$N228&amp;"|"&amp;"2"&amp;RIGHT("00000"&amp;223,5))</f>
        <v/>
      </c>
      <c r="L228">
        <f>IF($K228="","",COUNTIFS(LdgPartyA,$F228,LdgKeyA,"&lt;"&amp;$K228)+COUNTIFS(LdgPartyB,$F228,LdgKeyB,"&lt;"&amp;$K228)+1)</f>
        <v/>
      </c>
      <c r="M228">
        <f>IF($L228="","",$F228&amp;"|"&amp;RIGHT("000000"&amp;$L228,6))</f>
        <v/>
      </c>
      <c r="N228">
        <f>IF($F228="","",IF(Sync!$AH228="","0000",IF(AND(ISNUMBER(Sync!$AH228),Sync!$AH228&gt;=0,Sync!$AH228&lt;1),RIGHT("00"&amp;HOUR(Sync!$AH228),2)&amp;RIGHT("00"&amp;MINUTE(Sync!$AH228),2),IFERROR(RIGHT("00"&amp;VALUE(LEFT(Sync!$AH228,FIND(":",Sync!$AH228)-1)),2)&amp;RIGHT("00"&amp;VALUE(MID(Sync!$AH228,FIND(":",Sync!$AH228)+1,2)),2),"0000"))))</f>
        <v/>
      </c>
    </row>
    <row r="229">
      <c r="A229">
        <f>IF(OR(Calc!$E232="",Calc!$E232="نامعتبر",Calc!$G232="",Calc!$I232&lt;&gt;"خرید"),"",Calc!$G232)</f>
        <v/>
      </c>
      <c r="B229">
        <f>IF($A229="","",LEFT(Calc!$E232,4)&amp;MID(Calc!$E232,6,2)&amp;RIGHT(Calc!$E232,2)&amp;Calc!$R232&amp;"|"&amp;"1"&amp;RIGHT("00000"&amp;224,5))</f>
        <v/>
      </c>
      <c r="C229">
        <f>IF($B229="","",COUNTIFS(LdgPartyA,$A229,LdgKeyA,"&lt;"&amp;$B229)+COUNTIFS(LdgPartyB,$A229,LdgKeyB,"&lt;"&amp;$B229)+1)</f>
        <v/>
      </c>
      <c r="D229">
        <f>IF($C229="","",$A229&amp;"|"&amp;RIGHT("000000"&amp;$C229,6))</f>
        <v/>
      </c>
      <c r="F229">
        <f>IF(Sync!$AJ229="","",Sync!$AJ229)</f>
        <v/>
      </c>
      <c r="G229">
        <f>IF($F229="","",IF(Sync!$AG229="","",IF(ISNUMBER(Sync!$AG229),IF(AND(Sync!$AG229&gt;=10000101,Sync!$AG229&lt;=99991231),INT(Sync!$AG229/10000),""),IFERROR(VALUE(TRIM(LEFT(Sync!$AG229,FIND("/",Sync!$AG229)-1))),""))))</f>
        <v/>
      </c>
      <c r="H229">
        <f>IF(OR($F229="",$G229=""),"",IF(ISNUMBER(Sync!$AG229),INT(MOD(Sync!$AG229,10000)/100),IFERROR(VALUE(TRIM(LEFT(MID(Sync!$AG229,FIND("/",Sync!$AG229)+1,20),FIND("/",MID(Sync!$AG229,FIND("/",Sync!$AG229)+1,20))-1))),"")))</f>
        <v/>
      </c>
      <c r="I229">
        <f>IF(OR($F229="",$G229=""),"",IF(ISNUMBER(Sync!$AG229),MOD(Sync!$AG229,100),IFERROR(VALUE(TRIM(MID(MID(Sync!$AG229,FIND("/",Sync!$AG229)+1,20),FIND("/",MID(Sync!$AG229,FIND("/",Sync!$AG229)+1,20))+1,20))),"")))</f>
        <v/>
      </c>
      <c r="J229">
        <f>IF($F229="","",IF(OR($G229="",$H229="",$I229="",$G229&lt;1300,$G229&gt;1500,$H229&lt;1,$H229&gt;12,$I229&lt;1,$I229&gt;31),"نامعتبر",RIGHT("0000"&amp;$G229,4)&amp;"/"&amp;RIGHT("00"&amp;$H229,2)&amp;"/"&amp;RIGHT("00"&amp;$I229,2)))</f>
        <v/>
      </c>
      <c r="K229">
        <f>IF(OR($F229="",$J229="",$J229="نامعتبر"),"",LEFT($J229,4)&amp;MID($J229,6,2)&amp;RIGHT($J229,2)&amp;$N229&amp;"|"&amp;"2"&amp;RIGHT("00000"&amp;224,5))</f>
        <v/>
      </c>
      <c r="L229">
        <f>IF($K229="","",COUNTIFS(LdgPartyA,$F229,LdgKeyA,"&lt;"&amp;$K229)+COUNTIFS(LdgPartyB,$F229,LdgKeyB,"&lt;"&amp;$K229)+1)</f>
        <v/>
      </c>
      <c r="M229">
        <f>IF($L229="","",$F229&amp;"|"&amp;RIGHT("000000"&amp;$L229,6))</f>
        <v/>
      </c>
      <c r="N229">
        <f>IF($F229="","",IF(Sync!$AH229="","0000",IF(AND(ISNUMBER(Sync!$AH229),Sync!$AH229&gt;=0,Sync!$AH229&lt;1),RIGHT("00"&amp;HOUR(Sync!$AH229),2)&amp;RIGHT("00"&amp;MINUTE(Sync!$AH229),2),IFERROR(RIGHT("00"&amp;VALUE(LEFT(Sync!$AH229,FIND(":",Sync!$AH229)-1)),2)&amp;RIGHT("00"&amp;VALUE(MID(Sync!$AH229,FIND(":",Sync!$AH229)+1,2)),2),"0000"))))</f>
        <v/>
      </c>
    </row>
    <row r="230">
      <c r="A230">
        <f>IF(OR(Calc!$E233="",Calc!$E233="نامعتبر",Calc!$G233="",Calc!$I233&lt;&gt;"خرید"),"",Calc!$G233)</f>
        <v/>
      </c>
      <c r="B230">
        <f>IF($A230="","",LEFT(Calc!$E233,4)&amp;MID(Calc!$E233,6,2)&amp;RIGHT(Calc!$E233,2)&amp;Calc!$R233&amp;"|"&amp;"1"&amp;RIGHT("00000"&amp;225,5))</f>
        <v/>
      </c>
      <c r="C230">
        <f>IF($B230="","",COUNTIFS(LdgPartyA,$A230,LdgKeyA,"&lt;"&amp;$B230)+COUNTIFS(LdgPartyB,$A230,LdgKeyB,"&lt;"&amp;$B230)+1)</f>
        <v/>
      </c>
      <c r="D230">
        <f>IF($C230="","",$A230&amp;"|"&amp;RIGHT("000000"&amp;$C230,6))</f>
        <v/>
      </c>
      <c r="F230">
        <f>IF(Sync!$AJ230="","",Sync!$AJ230)</f>
        <v/>
      </c>
      <c r="G230">
        <f>IF($F230="","",IF(Sync!$AG230="","",IF(ISNUMBER(Sync!$AG230),IF(AND(Sync!$AG230&gt;=10000101,Sync!$AG230&lt;=99991231),INT(Sync!$AG230/10000),""),IFERROR(VALUE(TRIM(LEFT(Sync!$AG230,FIND("/",Sync!$AG230)-1))),""))))</f>
        <v/>
      </c>
      <c r="H230">
        <f>IF(OR($F230="",$G230=""),"",IF(ISNUMBER(Sync!$AG230),INT(MOD(Sync!$AG230,10000)/100),IFERROR(VALUE(TRIM(LEFT(MID(Sync!$AG230,FIND("/",Sync!$AG230)+1,20),FIND("/",MID(Sync!$AG230,FIND("/",Sync!$AG230)+1,20))-1))),"")))</f>
        <v/>
      </c>
      <c r="I230">
        <f>IF(OR($F230="",$G230=""),"",IF(ISNUMBER(Sync!$AG230),MOD(Sync!$AG230,100),IFERROR(VALUE(TRIM(MID(MID(Sync!$AG230,FIND("/",Sync!$AG230)+1,20),FIND("/",MID(Sync!$AG230,FIND("/",Sync!$AG230)+1,20))+1,20))),"")))</f>
        <v/>
      </c>
      <c r="J230">
        <f>IF($F230="","",IF(OR($G230="",$H230="",$I230="",$G230&lt;1300,$G230&gt;1500,$H230&lt;1,$H230&gt;12,$I230&lt;1,$I230&gt;31),"نامعتبر",RIGHT("0000"&amp;$G230,4)&amp;"/"&amp;RIGHT("00"&amp;$H230,2)&amp;"/"&amp;RIGHT("00"&amp;$I230,2)))</f>
        <v/>
      </c>
      <c r="K230">
        <f>IF(OR($F230="",$J230="",$J230="نامعتبر"),"",LEFT($J230,4)&amp;MID($J230,6,2)&amp;RIGHT($J230,2)&amp;$N230&amp;"|"&amp;"2"&amp;RIGHT("00000"&amp;225,5))</f>
        <v/>
      </c>
      <c r="L230">
        <f>IF($K230="","",COUNTIFS(LdgPartyA,$F230,LdgKeyA,"&lt;"&amp;$K230)+COUNTIFS(LdgPartyB,$F230,LdgKeyB,"&lt;"&amp;$K230)+1)</f>
        <v/>
      </c>
      <c r="M230">
        <f>IF($L230="","",$F230&amp;"|"&amp;RIGHT("000000"&amp;$L230,6))</f>
        <v/>
      </c>
      <c r="N230">
        <f>IF($F230="","",IF(Sync!$AH230="","0000",IF(AND(ISNUMBER(Sync!$AH230),Sync!$AH230&gt;=0,Sync!$AH230&lt;1),RIGHT("00"&amp;HOUR(Sync!$AH230),2)&amp;RIGHT("00"&amp;MINUTE(Sync!$AH230),2),IFERROR(RIGHT("00"&amp;VALUE(LEFT(Sync!$AH230,FIND(":",Sync!$AH230)-1)),2)&amp;RIGHT("00"&amp;VALUE(MID(Sync!$AH230,FIND(":",Sync!$AH230)+1,2)),2),"0000"))))</f>
        <v/>
      </c>
    </row>
    <row r="231">
      <c r="A231">
        <f>IF(OR(Calc!$E234="",Calc!$E234="نامعتبر",Calc!$G234="",Calc!$I234&lt;&gt;"خرید"),"",Calc!$G234)</f>
        <v/>
      </c>
      <c r="B231">
        <f>IF($A231="","",LEFT(Calc!$E234,4)&amp;MID(Calc!$E234,6,2)&amp;RIGHT(Calc!$E234,2)&amp;Calc!$R234&amp;"|"&amp;"1"&amp;RIGHT("00000"&amp;226,5))</f>
        <v/>
      </c>
      <c r="C231">
        <f>IF($B231="","",COUNTIFS(LdgPartyA,$A231,LdgKeyA,"&lt;"&amp;$B231)+COUNTIFS(LdgPartyB,$A231,LdgKeyB,"&lt;"&amp;$B231)+1)</f>
        <v/>
      </c>
      <c r="D231">
        <f>IF($C231="","",$A231&amp;"|"&amp;RIGHT("000000"&amp;$C231,6))</f>
        <v/>
      </c>
      <c r="F231">
        <f>IF(Sync!$AJ231="","",Sync!$AJ231)</f>
        <v/>
      </c>
      <c r="G231">
        <f>IF($F231="","",IF(Sync!$AG231="","",IF(ISNUMBER(Sync!$AG231),IF(AND(Sync!$AG231&gt;=10000101,Sync!$AG231&lt;=99991231),INT(Sync!$AG231/10000),""),IFERROR(VALUE(TRIM(LEFT(Sync!$AG231,FIND("/",Sync!$AG231)-1))),""))))</f>
        <v/>
      </c>
      <c r="H231">
        <f>IF(OR($F231="",$G231=""),"",IF(ISNUMBER(Sync!$AG231),INT(MOD(Sync!$AG231,10000)/100),IFERROR(VALUE(TRIM(LEFT(MID(Sync!$AG231,FIND("/",Sync!$AG231)+1,20),FIND("/",MID(Sync!$AG231,FIND("/",Sync!$AG231)+1,20))-1))),"")))</f>
        <v/>
      </c>
      <c r="I231">
        <f>IF(OR($F231="",$G231=""),"",IF(ISNUMBER(Sync!$AG231),MOD(Sync!$AG231,100),IFERROR(VALUE(TRIM(MID(MID(Sync!$AG231,FIND("/",Sync!$AG231)+1,20),FIND("/",MID(Sync!$AG231,FIND("/",Sync!$AG231)+1,20))+1,20))),"")))</f>
        <v/>
      </c>
      <c r="J231">
        <f>IF($F231="","",IF(OR($G231="",$H231="",$I231="",$G231&lt;1300,$G231&gt;1500,$H231&lt;1,$H231&gt;12,$I231&lt;1,$I231&gt;31),"نامعتبر",RIGHT("0000"&amp;$G231,4)&amp;"/"&amp;RIGHT("00"&amp;$H231,2)&amp;"/"&amp;RIGHT("00"&amp;$I231,2)))</f>
        <v/>
      </c>
      <c r="K231">
        <f>IF(OR($F231="",$J231="",$J231="نامعتبر"),"",LEFT($J231,4)&amp;MID($J231,6,2)&amp;RIGHT($J231,2)&amp;$N231&amp;"|"&amp;"2"&amp;RIGHT("00000"&amp;226,5))</f>
        <v/>
      </c>
      <c r="L231">
        <f>IF($K231="","",COUNTIFS(LdgPartyA,$F231,LdgKeyA,"&lt;"&amp;$K231)+COUNTIFS(LdgPartyB,$F231,LdgKeyB,"&lt;"&amp;$K231)+1)</f>
        <v/>
      </c>
      <c r="M231">
        <f>IF($L231="","",$F231&amp;"|"&amp;RIGHT("000000"&amp;$L231,6))</f>
        <v/>
      </c>
      <c r="N231">
        <f>IF($F231="","",IF(Sync!$AH231="","0000",IF(AND(ISNUMBER(Sync!$AH231),Sync!$AH231&gt;=0,Sync!$AH231&lt;1),RIGHT("00"&amp;HOUR(Sync!$AH231),2)&amp;RIGHT("00"&amp;MINUTE(Sync!$AH231),2),IFERROR(RIGHT("00"&amp;VALUE(LEFT(Sync!$AH231,FIND(":",Sync!$AH231)-1)),2)&amp;RIGHT("00"&amp;VALUE(MID(Sync!$AH231,FIND(":",Sync!$AH231)+1,2)),2),"0000"))))</f>
        <v/>
      </c>
    </row>
    <row r="232">
      <c r="A232">
        <f>IF(OR(Calc!$E235="",Calc!$E235="نامعتبر",Calc!$G235="",Calc!$I235&lt;&gt;"خرید"),"",Calc!$G235)</f>
        <v/>
      </c>
      <c r="B232">
        <f>IF($A232="","",LEFT(Calc!$E235,4)&amp;MID(Calc!$E235,6,2)&amp;RIGHT(Calc!$E235,2)&amp;Calc!$R235&amp;"|"&amp;"1"&amp;RIGHT("00000"&amp;227,5))</f>
        <v/>
      </c>
      <c r="C232">
        <f>IF($B232="","",COUNTIFS(LdgPartyA,$A232,LdgKeyA,"&lt;"&amp;$B232)+COUNTIFS(LdgPartyB,$A232,LdgKeyB,"&lt;"&amp;$B232)+1)</f>
        <v/>
      </c>
      <c r="D232">
        <f>IF($C232="","",$A232&amp;"|"&amp;RIGHT("000000"&amp;$C232,6))</f>
        <v/>
      </c>
      <c r="F232">
        <f>IF(Sync!$AJ232="","",Sync!$AJ232)</f>
        <v/>
      </c>
      <c r="G232">
        <f>IF($F232="","",IF(Sync!$AG232="","",IF(ISNUMBER(Sync!$AG232),IF(AND(Sync!$AG232&gt;=10000101,Sync!$AG232&lt;=99991231),INT(Sync!$AG232/10000),""),IFERROR(VALUE(TRIM(LEFT(Sync!$AG232,FIND("/",Sync!$AG232)-1))),""))))</f>
        <v/>
      </c>
      <c r="H232">
        <f>IF(OR($F232="",$G232=""),"",IF(ISNUMBER(Sync!$AG232),INT(MOD(Sync!$AG232,10000)/100),IFERROR(VALUE(TRIM(LEFT(MID(Sync!$AG232,FIND("/",Sync!$AG232)+1,20),FIND("/",MID(Sync!$AG232,FIND("/",Sync!$AG232)+1,20))-1))),"")))</f>
        <v/>
      </c>
      <c r="I232">
        <f>IF(OR($F232="",$G232=""),"",IF(ISNUMBER(Sync!$AG232),MOD(Sync!$AG232,100),IFERROR(VALUE(TRIM(MID(MID(Sync!$AG232,FIND("/",Sync!$AG232)+1,20),FIND("/",MID(Sync!$AG232,FIND("/",Sync!$AG232)+1,20))+1,20))),"")))</f>
        <v/>
      </c>
      <c r="J232">
        <f>IF($F232="","",IF(OR($G232="",$H232="",$I232="",$G232&lt;1300,$G232&gt;1500,$H232&lt;1,$H232&gt;12,$I232&lt;1,$I232&gt;31),"نامعتبر",RIGHT("0000"&amp;$G232,4)&amp;"/"&amp;RIGHT("00"&amp;$H232,2)&amp;"/"&amp;RIGHT("00"&amp;$I232,2)))</f>
        <v/>
      </c>
      <c r="K232">
        <f>IF(OR($F232="",$J232="",$J232="نامعتبر"),"",LEFT($J232,4)&amp;MID($J232,6,2)&amp;RIGHT($J232,2)&amp;$N232&amp;"|"&amp;"2"&amp;RIGHT("00000"&amp;227,5))</f>
        <v/>
      </c>
      <c r="L232">
        <f>IF($K232="","",COUNTIFS(LdgPartyA,$F232,LdgKeyA,"&lt;"&amp;$K232)+COUNTIFS(LdgPartyB,$F232,LdgKeyB,"&lt;"&amp;$K232)+1)</f>
        <v/>
      </c>
      <c r="M232">
        <f>IF($L232="","",$F232&amp;"|"&amp;RIGHT("000000"&amp;$L232,6))</f>
        <v/>
      </c>
      <c r="N232">
        <f>IF($F232="","",IF(Sync!$AH232="","0000",IF(AND(ISNUMBER(Sync!$AH232),Sync!$AH232&gt;=0,Sync!$AH232&lt;1),RIGHT("00"&amp;HOUR(Sync!$AH232),2)&amp;RIGHT("00"&amp;MINUTE(Sync!$AH232),2),IFERROR(RIGHT("00"&amp;VALUE(LEFT(Sync!$AH232,FIND(":",Sync!$AH232)-1)),2)&amp;RIGHT("00"&amp;VALUE(MID(Sync!$AH232,FIND(":",Sync!$AH232)+1,2)),2),"0000"))))</f>
        <v/>
      </c>
    </row>
    <row r="233">
      <c r="A233">
        <f>IF(OR(Calc!$E236="",Calc!$E236="نامعتبر",Calc!$G236="",Calc!$I236&lt;&gt;"خرید"),"",Calc!$G236)</f>
        <v/>
      </c>
      <c r="B233">
        <f>IF($A233="","",LEFT(Calc!$E236,4)&amp;MID(Calc!$E236,6,2)&amp;RIGHT(Calc!$E236,2)&amp;Calc!$R236&amp;"|"&amp;"1"&amp;RIGHT("00000"&amp;228,5))</f>
        <v/>
      </c>
      <c r="C233">
        <f>IF($B233="","",COUNTIFS(LdgPartyA,$A233,LdgKeyA,"&lt;"&amp;$B233)+COUNTIFS(LdgPartyB,$A233,LdgKeyB,"&lt;"&amp;$B233)+1)</f>
        <v/>
      </c>
      <c r="D233">
        <f>IF($C233="","",$A233&amp;"|"&amp;RIGHT("000000"&amp;$C233,6))</f>
        <v/>
      </c>
      <c r="F233">
        <f>IF(Sync!$AJ233="","",Sync!$AJ233)</f>
        <v/>
      </c>
      <c r="G233">
        <f>IF($F233="","",IF(Sync!$AG233="","",IF(ISNUMBER(Sync!$AG233),IF(AND(Sync!$AG233&gt;=10000101,Sync!$AG233&lt;=99991231),INT(Sync!$AG233/10000),""),IFERROR(VALUE(TRIM(LEFT(Sync!$AG233,FIND("/",Sync!$AG233)-1))),""))))</f>
        <v/>
      </c>
      <c r="H233">
        <f>IF(OR($F233="",$G233=""),"",IF(ISNUMBER(Sync!$AG233),INT(MOD(Sync!$AG233,10000)/100),IFERROR(VALUE(TRIM(LEFT(MID(Sync!$AG233,FIND("/",Sync!$AG233)+1,20),FIND("/",MID(Sync!$AG233,FIND("/",Sync!$AG233)+1,20))-1))),"")))</f>
        <v/>
      </c>
      <c r="I233">
        <f>IF(OR($F233="",$G233=""),"",IF(ISNUMBER(Sync!$AG233),MOD(Sync!$AG233,100),IFERROR(VALUE(TRIM(MID(MID(Sync!$AG233,FIND("/",Sync!$AG233)+1,20),FIND("/",MID(Sync!$AG233,FIND("/",Sync!$AG233)+1,20))+1,20))),"")))</f>
        <v/>
      </c>
      <c r="J233">
        <f>IF($F233="","",IF(OR($G233="",$H233="",$I233="",$G233&lt;1300,$G233&gt;1500,$H233&lt;1,$H233&gt;12,$I233&lt;1,$I233&gt;31),"نامعتبر",RIGHT("0000"&amp;$G233,4)&amp;"/"&amp;RIGHT("00"&amp;$H233,2)&amp;"/"&amp;RIGHT("00"&amp;$I233,2)))</f>
        <v/>
      </c>
      <c r="K233">
        <f>IF(OR($F233="",$J233="",$J233="نامعتبر"),"",LEFT($J233,4)&amp;MID($J233,6,2)&amp;RIGHT($J233,2)&amp;$N233&amp;"|"&amp;"2"&amp;RIGHT("00000"&amp;228,5))</f>
        <v/>
      </c>
      <c r="L233">
        <f>IF($K233="","",COUNTIFS(LdgPartyA,$F233,LdgKeyA,"&lt;"&amp;$K233)+COUNTIFS(LdgPartyB,$F233,LdgKeyB,"&lt;"&amp;$K233)+1)</f>
        <v/>
      </c>
      <c r="M233">
        <f>IF($L233="","",$F233&amp;"|"&amp;RIGHT("000000"&amp;$L233,6))</f>
        <v/>
      </c>
      <c r="N233">
        <f>IF($F233="","",IF(Sync!$AH233="","0000",IF(AND(ISNUMBER(Sync!$AH233),Sync!$AH233&gt;=0,Sync!$AH233&lt;1),RIGHT("00"&amp;HOUR(Sync!$AH233),2)&amp;RIGHT("00"&amp;MINUTE(Sync!$AH233),2),IFERROR(RIGHT("00"&amp;VALUE(LEFT(Sync!$AH233,FIND(":",Sync!$AH233)-1)),2)&amp;RIGHT("00"&amp;VALUE(MID(Sync!$AH233,FIND(":",Sync!$AH233)+1,2)),2),"0000"))))</f>
        <v/>
      </c>
    </row>
    <row r="234">
      <c r="A234">
        <f>IF(OR(Calc!$E237="",Calc!$E237="نامعتبر",Calc!$G237="",Calc!$I237&lt;&gt;"خرید"),"",Calc!$G237)</f>
        <v/>
      </c>
      <c r="B234">
        <f>IF($A234="","",LEFT(Calc!$E237,4)&amp;MID(Calc!$E237,6,2)&amp;RIGHT(Calc!$E237,2)&amp;Calc!$R237&amp;"|"&amp;"1"&amp;RIGHT("00000"&amp;229,5))</f>
        <v/>
      </c>
      <c r="C234">
        <f>IF($B234="","",COUNTIFS(LdgPartyA,$A234,LdgKeyA,"&lt;"&amp;$B234)+COUNTIFS(LdgPartyB,$A234,LdgKeyB,"&lt;"&amp;$B234)+1)</f>
        <v/>
      </c>
      <c r="D234">
        <f>IF($C234="","",$A234&amp;"|"&amp;RIGHT("000000"&amp;$C234,6))</f>
        <v/>
      </c>
      <c r="F234">
        <f>IF(Sync!$AJ234="","",Sync!$AJ234)</f>
        <v/>
      </c>
      <c r="G234">
        <f>IF($F234="","",IF(Sync!$AG234="","",IF(ISNUMBER(Sync!$AG234),IF(AND(Sync!$AG234&gt;=10000101,Sync!$AG234&lt;=99991231),INT(Sync!$AG234/10000),""),IFERROR(VALUE(TRIM(LEFT(Sync!$AG234,FIND("/",Sync!$AG234)-1))),""))))</f>
        <v/>
      </c>
      <c r="H234">
        <f>IF(OR($F234="",$G234=""),"",IF(ISNUMBER(Sync!$AG234),INT(MOD(Sync!$AG234,10000)/100),IFERROR(VALUE(TRIM(LEFT(MID(Sync!$AG234,FIND("/",Sync!$AG234)+1,20),FIND("/",MID(Sync!$AG234,FIND("/",Sync!$AG234)+1,20))-1))),"")))</f>
        <v/>
      </c>
      <c r="I234">
        <f>IF(OR($F234="",$G234=""),"",IF(ISNUMBER(Sync!$AG234),MOD(Sync!$AG234,100),IFERROR(VALUE(TRIM(MID(MID(Sync!$AG234,FIND("/",Sync!$AG234)+1,20),FIND("/",MID(Sync!$AG234,FIND("/",Sync!$AG234)+1,20))+1,20))),"")))</f>
        <v/>
      </c>
      <c r="J234">
        <f>IF($F234="","",IF(OR($G234="",$H234="",$I234="",$G234&lt;1300,$G234&gt;1500,$H234&lt;1,$H234&gt;12,$I234&lt;1,$I234&gt;31),"نامعتبر",RIGHT("0000"&amp;$G234,4)&amp;"/"&amp;RIGHT("00"&amp;$H234,2)&amp;"/"&amp;RIGHT("00"&amp;$I234,2)))</f>
        <v/>
      </c>
      <c r="K234">
        <f>IF(OR($F234="",$J234="",$J234="نامعتبر"),"",LEFT($J234,4)&amp;MID($J234,6,2)&amp;RIGHT($J234,2)&amp;$N234&amp;"|"&amp;"2"&amp;RIGHT("00000"&amp;229,5))</f>
        <v/>
      </c>
      <c r="L234">
        <f>IF($K234="","",COUNTIFS(LdgPartyA,$F234,LdgKeyA,"&lt;"&amp;$K234)+COUNTIFS(LdgPartyB,$F234,LdgKeyB,"&lt;"&amp;$K234)+1)</f>
        <v/>
      </c>
      <c r="M234">
        <f>IF($L234="","",$F234&amp;"|"&amp;RIGHT("000000"&amp;$L234,6))</f>
        <v/>
      </c>
      <c r="N234">
        <f>IF($F234="","",IF(Sync!$AH234="","0000",IF(AND(ISNUMBER(Sync!$AH234),Sync!$AH234&gt;=0,Sync!$AH234&lt;1),RIGHT("00"&amp;HOUR(Sync!$AH234),2)&amp;RIGHT("00"&amp;MINUTE(Sync!$AH234),2),IFERROR(RIGHT("00"&amp;VALUE(LEFT(Sync!$AH234,FIND(":",Sync!$AH234)-1)),2)&amp;RIGHT("00"&amp;VALUE(MID(Sync!$AH234,FIND(":",Sync!$AH234)+1,2)),2),"0000"))))</f>
        <v/>
      </c>
    </row>
    <row r="235">
      <c r="A235">
        <f>IF(OR(Calc!$E238="",Calc!$E238="نامعتبر",Calc!$G238="",Calc!$I238&lt;&gt;"خرید"),"",Calc!$G238)</f>
        <v/>
      </c>
      <c r="B235">
        <f>IF($A235="","",LEFT(Calc!$E238,4)&amp;MID(Calc!$E238,6,2)&amp;RIGHT(Calc!$E238,2)&amp;Calc!$R238&amp;"|"&amp;"1"&amp;RIGHT("00000"&amp;230,5))</f>
        <v/>
      </c>
      <c r="C235">
        <f>IF($B235="","",COUNTIFS(LdgPartyA,$A235,LdgKeyA,"&lt;"&amp;$B235)+COUNTIFS(LdgPartyB,$A235,LdgKeyB,"&lt;"&amp;$B235)+1)</f>
        <v/>
      </c>
      <c r="D235">
        <f>IF($C235="","",$A235&amp;"|"&amp;RIGHT("000000"&amp;$C235,6))</f>
        <v/>
      </c>
      <c r="F235">
        <f>IF(Sync!$AJ235="","",Sync!$AJ235)</f>
        <v/>
      </c>
      <c r="G235">
        <f>IF($F235="","",IF(Sync!$AG235="","",IF(ISNUMBER(Sync!$AG235),IF(AND(Sync!$AG235&gt;=10000101,Sync!$AG235&lt;=99991231),INT(Sync!$AG235/10000),""),IFERROR(VALUE(TRIM(LEFT(Sync!$AG235,FIND("/",Sync!$AG235)-1))),""))))</f>
        <v/>
      </c>
      <c r="H235">
        <f>IF(OR($F235="",$G235=""),"",IF(ISNUMBER(Sync!$AG235),INT(MOD(Sync!$AG235,10000)/100),IFERROR(VALUE(TRIM(LEFT(MID(Sync!$AG235,FIND("/",Sync!$AG235)+1,20),FIND("/",MID(Sync!$AG235,FIND("/",Sync!$AG235)+1,20))-1))),"")))</f>
        <v/>
      </c>
      <c r="I235">
        <f>IF(OR($F235="",$G235=""),"",IF(ISNUMBER(Sync!$AG235),MOD(Sync!$AG235,100),IFERROR(VALUE(TRIM(MID(MID(Sync!$AG235,FIND("/",Sync!$AG235)+1,20),FIND("/",MID(Sync!$AG235,FIND("/",Sync!$AG235)+1,20))+1,20))),"")))</f>
        <v/>
      </c>
      <c r="J235">
        <f>IF($F235="","",IF(OR($G235="",$H235="",$I235="",$G235&lt;1300,$G235&gt;1500,$H235&lt;1,$H235&gt;12,$I235&lt;1,$I235&gt;31),"نامعتبر",RIGHT("0000"&amp;$G235,4)&amp;"/"&amp;RIGHT("00"&amp;$H235,2)&amp;"/"&amp;RIGHT("00"&amp;$I235,2)))</f>
        <v/>
      </c>
      <c r="K235">
        <f>IF(OR($F235="",$J235="",$J235="نامعتبر"),"",LEFT($J235,4)&amp;MID($J235,6,2)&amp;RIGHT($J235,2)&amp;$N235&amp;"|"&amp;"2"&amp;RIGHT("00000"&amp;230,5))</f>
        <v/>
      </c>
      <c r="L235">
        <f>IF($K235="","",COUNTIFS(LdgPartyA,$F235,LdgKeyA,"&lt;"&amp;$K235)+COUNTIFS(LdgPartyB,$F235,LdgKeyB,"&lt;"&amp;$K235)+1)</f>
        <v/>
      </c>
      <c r="M235">
        <f>IF($L235="","",$F235&amp;"|"&amp;RIGHT("000000"&amp;$L235,6))</f>
        <v/>
      </c>
      <c r="N235">
        <f>IF($F235="","",IF(Sync!$AH235="","0000",IF(AND(ISNUMBER(Sync!$AH235),Sync!$AH235&gt;=0,Sync!$AH235&lt;1),RIGHT("00"&amp;HOUR(Sync!$AH235),2)&amp;RIGHT("00"&amp;MINUTE(Sync!$AH235),2),IFERROR(RIGHT("00"&amp;VALUE(LEFT(Sync!$AH235,FIND(":",Sync!$AH235)-1)),2)&amp;RIGHT("00"&amp;VALUE(MID(Sync!$AH235,FIND(":",Sync!$AH235)+1,2)),2),"0000"))))</f>
        <v/>
      </c>
    </row>
    <row r="236">
      <c r="A236">
        <f>IF(OR(Calc!$E239="",Calc!$E239="نامعتبر",Calc!$G239="",Calc!$I239&lt;&gt;"خرید"),"",Calc!$G239)</f>
        <v/>
      </c>
      <c r="B236">
        <f>IF($A236="","",LEFT(Calc!$E239,4)&amp;MID(Calc!$E239,6,2)&amp;RIGHT(Calc!$E239,2)&amp;Calc!$R239&amp;"|"&amp;"1"&amp;RIGHT("00000"&amp;231,5))</f>
        <v/>
      </c>
      <c r="C236">
        <f>IF($B236="","",COUNTIFS(LdgPartyA,$A236,LdgKeyA,"&lt;"&amp;$B236)+COUNTIFS(LdgPartyB,$A236,LdgKeyB,"&lt;"&amp;$B236)+1)</f>
        <v/>
      </c>
      <c r="D236">
        <f>IF($C236="","",$A236&amp;"|"&amp;RIGHT("000000"&amp;$C236,6))</f>
        <v/>
      </c>
      <c r="F236">
        <f>IF(Sync!$AJ236="","",Sync!$AJ236)</f>
        <v/>
      </c>
      <c r="G236">
        <f>IF($F236="","",IF(Sync!$AG236="","",IF(ISNUMBER(Sync!$AG236),IF(AND(Sync!$AG236&gt;=10000101,Sync!$AG236&lt;=99991231),INT(Sync!$AG236/10000),""),IFERROR(VALUE(TRIM(LEFT(Sync!$AG236,FIND("/",Sync!$AG236)-1))),""))))</f>
        <v/>
      </c>
      <c r="H236">
        <f>IF(OR($F236="",$G236=""),"",IF(ISNUMBER(Sync!$AG236),INT(MOD(Sync!$AG236,10000)/100),IFERROR(VALUE(TRIM(LEFT(MID(Sync!$AG236,FIND("/",Sync!$AG236)+1,20),FIND("/",MID(Sync!$AG236,FIND("/",Sync!$AG236)+1,20))-1))),"")))</f>
        <v/>
      </c>
      <c r="I236">
        <f>IF(OR($F236="",$G236=""),"",IF(ISNUMBER(Sync!$AG236),MOD(Sync!$AG236,100),IFERROR(VALUE(TRIM(MID(MID(Sync!$AG236,FIND("/",Sync!$AG236)+1,20),FIND("/",MID(Sync!$AG236,FIND("/",Sync!$AG236)+1,20))+1,20))),"")))</f>
        <v/>
      </c>
      <c r="J236">
        <f>IF($F236="","",IF(OR($G236="",$H236="",$I236="",$G236&lt;1300,$G236&gt;1500,$H236&lt;1,$H236&gt;12,$I236&lt;1,$I236&gt;31),"نامعتبر",RIGHT("0000"&amp;$G236,4)&amp;"/"&amp;RIGHT("00"&amp;$H236,2)&amp;"/"&amp;RIGHT("00"&amp;$I236,2)))</f>
        <v/>
      </c>
      <c r="K236">
        <f>IF(OR($F236="",$J236="",$J236="نامعتبر"),"",LEFT($J236,4)&amp;MID($J236,6,2)&amp;RIGHT($J236,2)&amp;$N236&amp;"|"&amp;"2"&amp;RIGHT("00000"&amp;231,5))</f>
        <v/>
      </c>
      <c r="L236">
        <f>IF($K236="","",COUNTIFS(LdgPartyA,$F236,LdgKeyA,"&lt;"&amp;$K236)+COUNTIFS(LdgPartyB,$F236,LdgKeyB,"&lt;"&amp;$K236)+1)</f>
        <v/>
      </c>
      <c r="M236">
        <f>IF($L236="","",$F236&amp;"|"&amp;RIGHT("000000"&amp;$L236,6))</f>
        <v/>
      </c>
      <c r="N236">
        <f>IF($F236="","",IF(Sync!$AH236="","0000",IF(AND(ISNUMBER(Sync!$AH236),Sync!$AH236&gt;=0,Sync!$AH236&lt;1),RIGHT("00"&amp;HOUR(Sync!$AH236),2)&amp;RIGHT("00"&amp;MINUTE(Sync!$AH236),2),IFERROR(RIGHT("00"&amp;VALUE(LEFT(Sync!$AH236,FIND(":",Sync!$AH236)-1)),2)&amp;RIGHT("00"&amp;VALUE(MID(Sync!$AH236,FIND(":",Sync!$AH236)+1,2)),2),"0000"))))</f>
        <v/>
      </c>
    </row>
    <row r="237">
      <c r="A237">
        <f>IF(OR(Calc!$E240="",Calc!$E240="نامعتبر",Calc!$G240="",Calc!$I240&lt;&gt;"خرید"),"",Calc!$G240)</f>
        <v/>
      </c>
      <c r="B237">
        <f>IF($A237="","",LEFT(Calc!$E240,4)&amp;MID(Calc!$E240,6,2)&amp;RIGHT(Calc!$E240,2)&amp;Calc!$R240&amp;"|"&amp;"1"&amp;RIGHT("00000"&amp;232,5))</f>
        <v/>
      </c>
      <c r="C237">
        <f>IF($B237="","",COUNTIFS(LdgPartyA,$A237,LdgKeyA,"&lt;"&amp;$B237)+COUNTIFS(LdgPartyB,$A237,LdgKeyB,"&lt;"&amp;$B237)+1)</f>
        <v/>
      </c>
      <c r="D237">
        <f>IF($C237="","",$A237&amp;"|"&amp;RIGHT("000000"&amp;$C237,6))</f>
        <v/>
      </c>
      <c r="F237">
        <f>IF(Sync!$AJ237="","",Sync!$AJ237)</f>
        <v/>
      </c>
      <c r="G237">
        <f>IF($F237="","",IF(Sync!$AG237="","",IF(ISNUMBER(Sync!$AG237),IF(AND(Sync!$AG237&gt;=10000101,Sync!$AG237&lt;=99991231),INT(Sync!$AG237/10000),""),IFERROR(VALUE(TRIM(LEFT(Sync!$AG237,FIND("/",Sync!$AG237)-1))),""))))</f>
        <v/>
      </c>
      <c r="H237">
        <f>IF(OR($F237="",$G237=""),"",IF(ISNUMBER(Sync!$AG237),INT(MOD(Sync!$AG237,10000)/100),IFERROR(VALUE(TRIM(LEFT(MID(Sync!$AG237,FIND("/",Sync!$AG237)+1,20),FIND("/",MID(Sync!$AG237,FIND("/",Sync!$AG237)+1,20))-1))),"")))</f>
        <v/>
      </c>
      <c r="I237">
        <f>IF(OR($F237="",$G237=""),"",IF(ISNUMBER(Sync!$AG237),MOD(Sync!$AG237,100),IFERROR(VALUE(TRIM(MID(MID(Sync!$AG237,FIND("/",Sync!$AG237)+1,20),FIND("/",MID(Sync!$AG237,FIND("/",Sync!$AG237)+1,20))+1,20))),"")))</f>
        <v/>
      </c>
      <c r="J237">
        <f>IF($F237="","",IF(OR($G237="",$H237="",$I237="",$G237&lt;1300,$G237&gt;1500,$H237&lt;1,$H237&gt;12,$I237&lt;1,$I237&gt;31),"نامعتبر",RIGHT("0000"&amp;$G237,4)&amp;"/"&amp;RIGHT("00"&amp;$H237,2)&amp;"/"&amp;RIGHT("00"&amp;$I237,2)))</f>
        <v/>
      </c>
      <c r="K237">
        <f>IF(OR($F237="",$J237="",$J237="نامعتبر"),"",LEFT($J237,4)&amp;MID($J237,6,2)&amp;RIGHT($J237,2)&amp;$N237&amp;"|"&amp;"2"&amp;RIGHT("00000"&amp;232,5))</f>
        <v/>
      </c>
      <c r="L237">
        <f>IF($K237="","",COUNTIFS(LdgPartyA,$F237,LdgKeyA,"&lt;"&amp;$K237)+COUNTIFS(LdgPartyB,$F237,LdgKeyB,"&lt;"&amp;$K237)+1)</f>
        <v/>
      </c>
      <c r="M237">
        <f>IF($L237="","",$F237&amp;"|"&amp;RIGHT("000000"&amp;$L237,6))</f>
        <v/>
      </c>
      <c r="N237">
        <f>IF($F237="","",IF(Sync!$AH237="","0000",IF(AND(ISNUMBER(Sync!$AH237),Sync!$AH237&gt;=0,Sync!$AH237&lt;1),RIGHT("00"&amp;HOUR(Sync!$AH237),2)&amp;RIGHT("00"&amp;MINUTE(Sync!$AH237),2),IFERROR(RIGHT("00"&amp;VALUE(LEFT(Sync!$AH237,FIND(":",Sync!$AH237)-1)),2)&amp;RIGHT("00"&amp;VALUE(MID(Sync!$AH237,FIND(":",Sync!$AH237)+1,2)),2),"0000"))))</f>
        <v/>
      </c>
    </row>
    <row r="238">
      <c r="A238">
        <f>IF(OR(Calc!$E241="",Calc!$E241="نامعتبر",Calc!$G241="",Calc!$I241&lt;&gt;"خرید"),"",Calc!$G241)</f>
        <v/>
      </c>
      <c r="B238">
        <f>IF($A238="","",LEFT(Calc!$E241,4)&amp;MID(Calc!$E241,6,2)&amp;RIGHT(Calc!$E241,2)&amp;Calc!$R241&amp;"|"&amp;"1"&amp;RIGHT("00000"&amp;233,5))</f>
        <v/>
      </c>
      <c r="C238">
        <f>IF($B238="","",COUNTIFS(LdgPartyA,$A238,LdgKeyA,"&lt;"&amp;$B238)+COUNTIFS(LdgPartyB,$A238,LdgKeyB,"&lt;"&amp;$B238)+1)</f>
        <v/>
      </c>
      <c r="D238">
        <f>IF($C238="","",$A238&amp;"|"&amp;RIGHT("000000"&amp;$C238,6))</f>
        <v/>
      </c>
      <c r="F238">
        <f>IF(Sync!$AJ238="","",Sync!$AJ238)</f>
        <v/>
      </c>
      <c r="G238">
        <f>IF($F238="","",IF(Sync!$AG238="","",IF(ISNUMBER(Sync!$AG238),IF(AND(Sync!$AG238&gt;=10000101,Sync!$AG238&lt;=99991231),INT(Sync!$AG238/10000),""),IFERROR(VALUE(TRIM(LEFT(Sync!$AG238,FIND("/",Sync!$AG238)-1))),""))))</f>
        <v/>
      </c>
      <c r="H238">
        <f>IF(OR($F238="",$G238=""),"",IF(ISNUMBER(Sync!$AG238),INT(MOD(Sync!$AG238,10000)/100),IFERROR(VALUE(TRIM(LEFT(MID(Sync!$AG238,FIND("/",Sync!$AG238)+1,20),FIND("/",MID(Sync!$AG238,FIND("/",Sync!$AG238)+1,20))-1))),"")))</f>
        <v/>
      </c>
      <c r="I238">
        <f>IF(OR($F238="",$G238=""),"",IF(ISNUMBER(Sync!$AG238),MOD(Sync!$AG238,100),IFERROR(VALUE(TRIM(MID(MID(Sync!$AG238,FIND("/",Sync!$AG238)+1,20),FIND("/",MID(Sync!$AG238,FIND("/",Sync!$AG238)+1,20))+1,20))),"")))</f>
        <v/>
      </c>
      <c r="J238">
        <f>IF($F238="","",IF(OR($G238="",$H238="",$I238="",$G238&lt;1300,$G238&gt;1500,$H238&lt;1,$H238&gt;12,$I238&lt;1,$I238&gt;31),"نامعتبر",RIGHT("0000"&amp;$G238,4)&amp;"/"&amp;RIGHT("00"&amp;$H238,2)&amp;"/"&amp;RIGHT("00"&amp;$I238,2)))</f>
        <v/>
      </c>
      <c r="K238">
        <f>IF(OR($F238="",$J238="",$J238="نامعتبر"),"",LEFT($J238,4)&amp;MID($J238,6,2)&amp;RIGHT($J238,2)&amp;$N238&amp;"|"&amp;"2"&amp;RIGHT("00000"&amp;233,5))</f>
        <v/>
      </c>
      <c r="L238">
        <f>IF($K238="","",COUNTIFS(LdgPartyA,$F238,LdgKeyA,"&lt;"&amp;$K238)+COUNTIFS(LdgPartyB,$F238,LdgKeyB,"&lt;"&amp;$K238)+1)</f>
        <v/>
      </c>
      <c r="M238">
        <f>IF($L238="","",$F238&amp;"|"&amp;RIGHT("000000"&amp;$L238,6))</f>
        <v/>
      </c>
      <c r="N238">
        <f>IF($F238="","",IF(Sync!$AH238="","0000",IF(AND(ISNUMBER(Sync!$AH238),Sync!$AH238&gt;=0,Sync!$AH238&lt;1),RIGHT("00"&amp;HOUR(Sync!$AH238),2)&amp;RIGHT("00"&amp;MINUTE(Sync!$AH238),2),IFERROR(RIGHT("00"&amp;VALUE(LEFT(Sync!$AH238,FIND(":",Sync!$AH238)-1)),2)&amp;RIGHT("00"&amp;VALUE(MID(Sync!$AH238,FIND(":",Sync!$AH238)+1,2)),2),"0000"))))</f>
        <v/>
      </c>
    </row>
    <row r="239">
      <c r="A239">
        <f>IF(OR(Calc!$E242="",Calc!$E242="نامعتبر",Calc!$G242="",Calc!$I242&lt;&gt;"خرید"),"",Calc!$G242)</f>
        <v/>
      </c>
      <c r="B239">
        <f>IF($A239="","",LEFT(Calc!$E242,4)&amp;MID(Calc!$E242,6,2)&amp;RIGHT(Calc!$E242,2)&amp;Calc!$R242&amp;"|"&amp;"1"&amp;RIGHT("00000"&amp;234,5))</f>
        <v/>
      </c>
      <c r="C239">
        <f>IF($B239="","",COUNTIFS(LdgPartyA,$A239,LdgKeyA,"&lt;"&amp;$B239)+COUNTIFS(LdgPartyB,$A239,LdgKeyB,"&lt;"&amp;$B239)+1)</f>
        <v/>
      </c>
      <c r="D239">
        <f>IF($C239="","",$A239&amp;"|"&amp;RIGHT("000000"&amp;$C239,6))</f>
        <v/>
      </c>
      <c r="F239">
        <f>IF(Sync!$AJ239="","",Sync!$AJ239)</f>
        <v/>
      </c>
      <c r="G239">
        <f>IF($F239="","",IF(Sync!$AG239="","",IF(ISNUMBER(Sync!$AG239),IF(AND(Sync!$AG239&gt;=10000101,Sync!$AG239&lt;=99991231),INT(Sync!$AG239/10000),""),IFERROR(VALUE(TRIM(LEFT(Sync!$AG239,FIND("/",Sync!$AG239)-1))),""))))</f>
        <v/>
      </c>
      <c r="H239">
        <f>IF(OR($F239="",$G239=""),"",IF(ISNUMBER(Sync!$AG239),INT(MOD(Sync!$AG239,10000)/100),IFERROR(VALUE(TRIM(LEFT(MID(Sync!$AG239,FIND("/",Sync!$AG239)+1,20),FIND("/",MID(Sync!$AG239,FIND("/",Sync!$AG239)+1,20))-1))),"")))</f>
        <v/>
      </c>
      <c r="I239">
        <f>IF(OR($F239="",$G239=""),"",IF(ISNUMBER(Sync!$AG239),MOD(Sync!$AG239,100),IFERROR(VALUE(TRIM(MID(MID(Sync!$AG239,FIND("/",Sync!$AG239)+1,20),FIND("/",MID(Sync!$AG239,FIND("/",Sync!$AG239)+1,20))+1,20))),"")))</f>
        <v/>
      </c>
      <c r="J239">
        <f>IF($F239="","",IF(OR($G239="",$H239="",$I239="",$G239&lt;1300,$G239&gt;1500,$H239&lt;1,$H239&gt;12,$I239&lt;1,$I239&gt;31),"نامعتبر",RIGHT("0000"&amp;$G239,4)&amp;"/"&amp;RIGHT("00"&amp;$H239,2)&amp;"/"&amp;RIGHT("00"&amp;$I239,2)))</f>
        <v/>
      </c>
      <c r="K239">
        <f>IF(OR($F239="",$J239="",$J239="نامعتبر"),"",LEFT($J239,4)&amp;MID($J239,6,2)&amp;RIGHT($J239,2)&amp;$N239&amp;"|"&amp;"2"&amp;RIGHT("00000"&amp;234,5))</f>
        <v/>
      </c>
      <c r="L239">
        <f>IF($K239="","",COUNTIFS(LdgPartyA,$F239,LdgKeyA,"&lt;"&amp;$K239)+COUNTIFS(LdgPartyB,$F239,LdgKeyB,"&lt;"&amp;$K239)+1)</f>
        <v/>
      </c>
      <c r="M239">
        <f>IF($L239="","",$F239&amp;"|"&amp;RIGHT("000000"&amp;$L239,6))</f>
        <v/>
      </c>
      <c r="N239">
        <f>IF($F239="","",IF(Sync!$AH239="","0000",IF(AND(ISNUMBER(Sync!$AH239),Sync!$AH239&gt;=0,Sync!$AH239&lt;1),RIGHT("00"&amp;HOUR(Sync!$AH239),2)&amp;RIGHT("00"&amp;MINUTE(Sync!$AH239),2),IFERROR(RIGHT("00"&amp;VALUE(LEFT(Sync!$AH239,FIND(":",Sync!$AH239)-1)),2)&amp;RIGHT("00"&amp;VALUE(MID(Sync!$AH239,FIND(":",Sync!$AH239)+1,2)),2),"0000"))))</f>
        <v/>
      </c>
    </row>
    <row r="240">
      <c r="A240">
        <f>IF(OR(Calc!$E243="",Calc!$E243="نامعتبر",Calc!$G243="",Calc!$I243&lt;&gt;"خرید"),"",Calc!$G243)</f>
        <v/>
      </c>
      <c r="B240">
        <f>IF($A240="","",LEFT(Calc!$E243,4)&amp;MID(Calc!$E243,6,2)&amp;RIGHT(Calc!$E243,2)&amp;Calc!$R243&amp;"|"&amp;"1"&amp;RIGHT("00000"&amp;235,5))</f>
        <v/>
      </c>
      <c r="C240">
        <f>IF($B240="","",COUNTIFS(LdgPartyA,$A240,LdgKeyA,"&lt;"&amp;$B240)+COUNTIFS(LdgPartyB,$A240,LdgKeyB,"&lt;"&amp;$B240)+1)</f>
        <v/>
      </c>
      <c r="D240">
        <f>IF($C240="","",$A240&amp;"|"&amp;RIGHT("000000"&amp;$C240,6))</f>
        <v/>
      </c>
      <c r="F240">
        <f>IF(Sync!$AJ240="","",Sync!$AJ240)</f>
        <v/>
      </c>
      <c r="G240">
        <f>IF($F240="","",IF(Sync!$AG240="","",IF(ISNUMBER(Sync!$AG240),IF(AND(Sync!$AG240&gt;=10000101,Sync!$AG240&lt;=99991231),INT(Sync!$AG240/10000),""),IFERROR(VALUE(TRIM(LEFT(Sync!$AG240,FIND("/",Sync!$AG240)-1))),""))))</f>
        <v/>
      </c>
      <c r="H240">
        <f>IF(OR($F240="",$G240=""),"",IF(ISNUMBER(Sync!$AG240),INT(MOD(Sync!$AG240,10000)/100),IFERROR(VALUE(TRIM(LEFT(MID(Sync!$AG240,FIND("/",Sync!$AG240)+1,20),FIND("/",MID(Sync!$AG240,FIND("/",Sync!$AG240)+1,20))-1))),"")))</f>
        <v/>
      </c>
      <c r="I240">
        <f>IF(OR($F240="",$G240=""),"",IF(ISNUMBER(Sync!$AG240),MOD(Sync!$AG240,100),IFERROR(VALUE(TRIM(MID(MID(Sync!$AG240,FIND("/",Sync!$AG240)+1,20),FIND("/",MID(Sync!$AG240,FIND("/",Sync!$AG240)+1,20))+1,20))),"")))</f>
        <v/>
      </c>
      <c r="J240">
        <f>IF($F240="","",IF(OR($G240="",$H240="",$I240="",$G240&lt;1300,$G240&gt;1500,$H240&lt;1,$H240&gt;12,$I240&lt;1,$I240&gt;31),"نامعتبر",RIGHT("0000"&amp;$G240,4)&amp;"/"&amp;RIGHT("00"&amp;$H240,2)&amp;"/"&amp;RIGHT("00"&amp;$I240,2)))</f>
        <v/>
      </c>
      <c r="K240">
        <f>IF(OR($F240="",$J240="",$J240="نامعتبر"),"",LEFT($J240,4)&amp;MID($J240,6,2)&amp;RIGHT($J240,2)&amp;$N240&amp;"|"&amp;"2"&amp;RIGHT("00000"&amp;235,5))</f>
        <v/>
      </c>
      <c r="L240">
        <f>IF($K240="","",COUNTIFS(LdgPartyA,$F240,LdgKeyA,"&lt;"&amp;$K240)+COUNTIFS(LdgPartyB,$F240,LdgKeyB,"&lt;"&amp;$K240)+1)</f>
        <v/>
      </c>
      <c r="M240">
        <f>IF($L240="","",$F240&amp;"|"&amp;RIGHT("000000"&amp;$L240,6))</f>
        <v/>
      </c>
      <c r="N240">
        <f>IF($F240="","",IF(Sync!$AH240="","0000",IF(AND(ISNUMBER(Sync!$AH240),Sync!$AH240&gt;=0,Sync!$AH240&lt;1),RIGHT("00"&amp;HOUR(Sync!$AH240),2)&amp;RIGHT("00"&amp;MINUTE(Sync!$AH240),2),IFERROR(RIGHT("00"&amp;VALUE(LEFT(Sync!$AH240,FIND(":",Sync!$AH240)-1)),2)&amp;RIGHT("00"&amp;VALUE(MID(Sync!$AH240,FIND(":",Sync!$AH240)+1,2)),2),"0000"))))</f>
        <v/>
      </c>
    </row>
    <row r="241">
      <c r="A241">
        <f>IF(OR(Calc!$E244="",Calc!$E244="نامعتبر",Calc!$G244="",Calc!$I244&lt;&gt;"خرید"),"",Calc!$G244)</f>
        <v/>
      </c>
      <c r="B241">
        <f>IF($A241="","",LEFT(Calc!$E244,4)&amp;MID(Calc!$E244,6,2)&amp;RIGHT(Calc!$E244,2)&amp;Calc!$R244&amp;"|"&amp;"1"&amp;RIGHT("00000"&amp;236,5))</f>
        <v/>
      </c>
      <c r="C241">
        <f>IF($B241="","",COUNTIFS(LdgPartyA,$A241,LdgKeyA,"&lt;"&amp;$B241)+COUNTIFS(LdgPartyB,$A241,LdgKeyB,"&lt;"&amp;$B241)+1)</f>
        <v/>
      </c>
      <c r="D241">
        <f>IF($C241="","",$A241&amp;"|"&amp;RIGHT("000000"&amp;$C241,6))</f>
        <v/>
      </c>
      <c r="F241">
        <f>IF(Sync!$AJ241="","",Sync!$AJ241)</f>
        <v/>
      </c>
      <c r="G241">
        <f>IF($F241="","",IF(Sync!$AG241="","",IF(ISNUMBER(Sync!$AG241),IF(AND(Sync!$AG241&gt;=10000101,Sync!$AG241&lt;=99991231),INT(Sync!$AG241/10000),""),IFERROR(VALUE(TRIM(LEFT(Sync!$AG241,FIND("/",Sync!$AG241)-1))),""))))</f>
        <v/>
      </c>
      <c r="H241">
        <f>IF(OR($F241="",$G241=""),"",IF(ISNUMBER(Sync!$AG241),INT(MOD(Sync!$AG241,10000)/100),IFERROR(VALUE(TRIM(LEFT(MID(Sync!$AG241,FIND("/",Sync!$AG241)+1,20),FIND("/",MID(Sync!$AG241,FIND("/",Sync!$AG241)+1,20))-1))),"")))</f>
        <v/>
      </c>
      <c r="I241">
        <f>IF(OR($F241="",$G241=""),"",IF(ISNUMBER(Sync!$AG241),MOD(Sync!$AG241,100),IFERROR(VALUE(TRIM(MID(MID(Sync!$AG241,FIND("/",Sync!$AG241)+1,20),FIND("/",MID(Sync!$AG241,FIND("/",Sync!$AG241)+1,20))+1,20))),"")))</f>
        <v/>
      </c>
      <c r="J241">
        <f>IF($F241="","",IF(OR($G241="",$H241="",$I241="",$G241&lt;1300,$G241&gt;1500,$H241&lt;1,$H241&gt;12,$I241&lt;1,$I241&gt;31),"نامعتبر",RIGHT("0000"&amp;$G241,4)&amp;"/"&amp;RIGHT("00"&amp;$H241,2)&amp;"/"&amp;RIGHT("00"&amp;$I241,2)))</f>
        <v/>
      </c>
      <c r="K241">
        <f>IF(OR($F241="",$J241="",$J241="نامعتبر"),"",LEFT($J241,4)&amp;MID($J241,6,2)&amp;RIGHT($J241,2)&amp;$N241&amp;"|"&amp;"2"&amp;RIGHT("00000"&amp;236,5))</f>
        <v/>
      </c>
      <c r="L241">
        <f>IF($K241="","",COUNTIFS(LdgPartyA,$F241,LdgKeyA,"&lt;"&amp;$K241)+COUNTIFS(LdgPartyB,$F241,LdgKeyB,"&lt;"&amp;$K241)+1)</f>
        <v/>
      </c>
      <c r="M241">
        <f>IF($L241="","",$F241&amp;"|"&amp;RIGHT("000000"&amp;$L241,6))</f>
        <v/>
      </c>
      <c r="N241">
        <f>IF($F241="","",IF(Sync!$AH241="","0000",IF(AND(ISNUMBER(Sync!$AH241),Sync!$AH241&gt;=0,Sync!$AH241&lt;1),RIGHT("00"&amp;HOUR(Sync!$AH241),2)&amp;RIGHT("00"&amp;MINUTE(Sync!$AH241),2),IFERROR(RIGHT("00"&amp;VALUE(LEFT(Sync!$AH241,FIND(":",Sync!$AH241)-1)),2)&amp;RIGHT("00"&amp;VALUE(MID(Sync!$AH241,FIND(":",Sync!$AH241)+1,2)),2),"0000"))))</f>
        <v/>
      </c>
    </row>
    <row r="242">
      <c r="A242">
        <f>IF(OR(Calc!$E245="",Calc!$E245="نامعتبر",Calc!$G245="",Calc!$I245&lt;&gt;"خرید"),"",Calc!$G245)</f>
        <v/>
      </c>
      <c r="B242">
        <f>IF($A242="","",LEFT(Calc!$E245,4)&amp;MID(Calc!$E245,6,2)&amp;RIGHT(Calc!$E245,2)&amp;Calc!$R245&amp;"|"&amp;"1"&amp;RIGHT("00000"&amp;237,5))</f>
        <v/>
      </c>
      <c r="C242">
        <f>IF($B242="","",COUNTIFS(LdgPartyA,$A242,LdgKeyA,"&lt;"&amp;$B242)+COUNTIFS(LdgPartyB,$A242,LdgKeyB,"&lt;"&amp;$B242)+1)</f>
        <v/>
      </c>
      <c r="D242">
        <f>IF($C242="","",$A242&amp;"|"&amp;RIGHT("000000"&amp;$C242,6))</f>
        <v/>
      </c>
      <c r="F242">
        <f>IF(Sync!$AJ242="","",Sync!$AJ242)</f>
        <v/>
      </c>
      <c r="G242">
        <f>IF($F242="","",IF(Sync!$AG242="","",IF(ISNUMBER(Sync!$AG242),IF(AND(Sync!$AG242&gt;=10000101,Sync!$AG242&lt;=99991231),INT(Sync!$AG242/10000),""),IFERROR(VALUE(TRIM(LEFT(Sync!$AG242,FIND("/",Sync!$AG242)-1))),""))))</f>
        <v/>
      </c>
      <c r="H242">
        <f>IF(OR($F242="",$G242=""),"",IF(ISNUMBER(Sync!$AG242),INT(MOD(Sync!$AG242,10000)/100),IFERROR(VALUE(TRIM(LEFT(MID(Sync!$AG242,FIND("/",Sync!$AG242)+1,20),FIND("/",MID(Sync!$AG242,FIND("/",Sync!$AG242)+1,20))-1))),"")))</f>
        <v/>
      </c>
      <c r="I242">
        <f>IF(OR($F242="",$G242=""),"",IF(ISNUMBER(Sync!$AG242),MOD(Sync!$AG242,100),IFERROR(VALUE(TRIM(MID(MID(Sync!$AG242,FIND("/",Sync!$AG242)+1,20),FIND("/",MID(Sync!$AG242,FIND("/",Sync!$AG242)+1,20))+1,20))),"")))</f>
        <v/>
      </c>
      <c r="J242">
        <f>IF($F242="","",IF(OR($G242="",$H242="",$I242="",$G242&lt;1300,$G242&gt;1500,$H242&lt;1,$H242&gt;12,$I242&lt;1,$I242&gt;31),"نامعتبر",RIGHT("0000"&amp;$G242,4)&amp;"/"&amp;RIGHT("00"&amp;$H242,2)&amp;"/"&amp;RIGHT("00"&amp;$I242,2)))</f>
        <v/>
      </c>
      <c r="K242">
        <f>IF(OR($F242="",$J242="",$J242="نامعتبر"),"",LEFT($J242,4)&amp;MID($J242,6,2)&amp;RIGHT($J242,2)&amp;$N242&amp;"|"&amp;"2"&amp;RIGHT("00000"&amp;237,5))</f>
        <v/>
      </c>
      <c r="L242">
        <f>IF($K242="","",COUNTIFS(LdgPartyA,$F242,LdgKeyA,"&lt;"&amp;$K242)+COUNTIFS(LdgPartyB,$F242,LdgKeyB,"&lt;"&amp;$K242)+1)</f>
        <v/>
      </c>
      <c r="M242">
        <f>IF($L242="","",$F242&amp;"|"&amp;RIGHT("000000"&amp;$L242,6))</f>
        <v/>
      </c>
      <c r="N242">
        <f>IF($F242="","",IF(Sync!$AH242="","0000",IF(AND(ISNUMBER(Sync!$AH242),Sync!$AH242&gt;=0,Sync!$AH242&lt;1),RIGHT("00"&amp;HOUR(Sync!$AH242),2)&amp;RIGHT("00"&amp;MINUTE(Sync!$AH242),2),IFERROR(RIGHT("00"&amp;VALUE(LEFT(Sync!$AH242,FIND(":",Sync!$AH242)-1)),2)&amp;RIGHT("00"&amp;VALUE(MID(Sync!$AH242,FIND(":",Sync!$AH242)+1,2)),2),"0000"))))</f>
        <v/>
      </c>
    </row>
    <row r="243">
      <c r="A243">
        <f>IF(OR(Calc!$E246="",Calc!$E246="نامعتبر",Calc!$G246="",Calc!$I246&lt;&gt;"خرید"),"",Calc!$G246)</f>
        <v/>
      </c>
      <c r="B243">
        <f>IF($A243="","",LEFT(Calc!$E246,4)&amp;MID(Calc!$E246,6,2)&amp;RIGHT(Calc!$E246,2)&amp;Calc!$R246&amp;"|"&amp;"1"&amp;RIGHT("00000"&amp;238,5))</f>
        <v/>
      </c>
      <c r="C243">
        <f>IF($B243="","",COUNTIFS(LdgPartyA,$A243,LdgKeyA,"&lt;"&amp;$B243)+COUNTIFS(LdgPartyB,$A243,LdgKeyB,"&lt;"&amp;$B243)+1)</f>
        <v/>
      </c>
      <c r="D243">
        <f>IF($C243="","",$A243&amp;"|"&amp;RIGHT("000000"&amp;$C243,6))</f>
        <v/>
      </c>
      <c r="F243">
        <f>IF(Sync!$AJ243="","",Sync!$AJ243)</f>
        <v/>
      </c>
      <c r="G243">
        <f>IF($F243="","",IF(Sync!$AG243="","",IF(ISNUMBER(Sync!$AG243),IF(AND(Sync!$AG243&gt;=10000101,Sync!$AG243&lt;=99991231),INT(Sync!$AG243/10000),""),IFERROR(VALUE(TRIM(LEFT(Sync!$AG243,FIND("/",Sync!$AG243)-1))),""))))</f>
        <v/>
      </c>
      <c r="H243">
        <f>IF(OR($F243="",$G243=""),"",IF(ISNUMBER(Sync!$AG243),INT(MOD(Sync!$AG243,10000)/100),IFERROR(VALUE(TRIM(LEFT(MID(Sync!$AG243,FIND("/",Sync!$AG243)+1,20),FIND("/",MID(Sync!$AG243,FIND("/",Sync!$AG243)+1,20))-1))),"")))</f>
        <v/>
      </c>
      <c r="I243">
        <f>IF(OR($F243="",$G243=""),"",IF(ISNUMBER(Sync!$AG243),MOD(Sync!$AG243,100),IFERROR(VALUE(TRIM(MID(MID(Sync!$AG243,FIND("/",Sync!$AG243)+1,20),FIND("/",MID(Sync!$AG243,FIND("/",Sync!$AG243)+1,20))+1,20))),"")))</f>
        <v/>
      </c>
      <c r="J243">
        <f>IF($F243="","",IF(OR($G243="",$H243="",$I243="",$G243&lt;1300,$G243&gt;1500,$H243&lt;1,$H243&gt;12,$I243&lt;1,$I243&gt;31),"نامعتبر",RIGHT("0000"&amp;$G243,4)&amp;"/"&amp;RIGHT("00"&amp;$H243,2)&amp;"/"&amp;RIGHT("00"&amp;$I243,2)))</f>
        <v/>
      </c>
      <c r="K243">
        <f>IF(OR($F243="",$J243="",$J243="نامعتبر"),"",LEFT($J243,4)&amp;MID($J243,6,2)&amp;RIGHT($J243,2)&amp;$N243&amp;"|"&amp;"2"&amp;RIGHT("00000"&amp;238,5))</f>
        <v/>
      </c>
      <c r="L243">
        <f>IF($K243="","",COUNTIFS(LdgPartyA,$F243,LdgKeyA,"&lt;"&amp;$K243)+COUNTIFS(LdgPartyB,$F243,LdgKeyB,"&lt;"&amp;$K243)+1)</f>
        <v/>
      </c>
      <c r="M243">
        <f>IF($L243="","",$F243&amp;"|"&amp;RIGHT("000000"&amp;$L243,6))</f>
        <v/>
      </c>
      <c r="N243">
        <f>IF($F243="","",IF(Sync!$AH243="","0000",IF(AND(ISNUMBER(Sync!$AH243),Sync!$AH243&gt;=0,Sync!$AH243&lt;1),RIGHT("00"&amp;HOUR(Sync!$AH243),2)&amp;RIGHT("00"&amp;MINUTE(Sync!$AH243),2),IFERROR(RIGHT("00"&amp;VALUE(LEFT(Sync!$AH243,FIND(":",Sync!$AH243)-1)),2)&amp;RIGHT("00"&amp;VALUE(MID(Sync!$AH243,FIND(":",Sync!$AH243)+1,2)),2),"0000"))))</f>
        <v/>
      </c>
    </row>
    <row r="244">
      <c r="A244">
        <f>IF(OR(Calc!$E247="",Calc!$E247="نامعتبر",Calc!$G247="",Calc!$I247&lt;&gt;"خرید"),"",Calc!$G247)</f>
        <v/>
      </c>
      <c r="B244">
        <f>IF($A244="","",LEFT(Calc!$E247,4)&amp;MID(Calc!$E247,6,2)&amp;RIGHT(Calc!$E247,2)&amp;Calc!$R247&amp;"|"&amp;"1"&amp;RIGHT("00000"&amp;239,5))</f>
        <v/>
      </c>
      <c r="C244">
        <f>IF($B244="","",COUNTIFS(LdgPartyA,$A244,LdgKeyA,"&lt;"&amp;$B244)+COUNTIFS(LdgPartyB,$A244,LdgKeyB,"&lt;"&amp;$B244)+1)</f>
        <v/>
      </c>
      <c r="D244">
        <f>IF($C244="","",$A244&amp;"|"&amp;RIGHT("000000"&amp;$C244,6))</f>
        <v/>
      </c>
      <c r="F244">
        <f>IF(Sync!$AJ244="","",Sync!$AJ244)</f>
        <v/>
      </c>
      <c r="G244">
        <f>IF($F244="","",IF(Sync!$AG244="","",IF(ISNUMBER(Sync!$AG244),IF(AND(Sync!$AG244&gt;=10000101,Sync!$AG244&lt;=99991231),INT(Sync!$AG244/10000),""),IFERROR(VALUE(TRIM(LEFT(Sync!$AG244,FIND("/",Sync!$AG244)-1))),""))))</f>
        <v/>
      </c>
      <c r="H244">
        <f>IF(OR($F244="",$G244=""),"",IF(ISNUMBER(Sync!$AG244),INT(MOD(Sync!$AG244,10000)/100),IFERROR(VALUE(TRIM(LEFT(MID(Sync!$AG244,FIND("/",Sync!$AG244)+1,20),FIND("/",MID(Sync!$AG244,FIND("/",Sync!$AG244)+1,20))-1))),"")))</f>
        <v/>
      </c>
      <c r="I244">
        <f>IF(OR($F244="",$G244=""),"",IF(ISNUMBER(Sync!$AG244),MOD(Sync!$AG244,100),IFERROR(VALUE(TRIM(MID(MID(Sync!$AG244,FIND("/",Sync!$AG244)+1,20),FIND("/",MID(Sync!$AG244,FIND("/",Sync!$AG244)+1,20))+1,20))),"")))</f>
        <v/>
      </c>
      <c r="J244">
        <f>IF($F244="","",IF(OR($G244="",$H244="",$I244="",$G244&lt;1300,$G244&gt;1500,$H244&lt;1,$H244&gt;12,$I244&lt;1,$I244&gt;31),"نامعتبر",RIGHT("0000"&amp;$G244,4)&amp;"/"&amp;RIGHT("00"&amp;$H244,2)&amp;"/"&amp;RIGHT("00"&amp;$I244,2)))</f>
        <v/>
      </c>
      <c r="K244">
        <f>IF(OR($F244="",$J244="",$J244="نامعتبر"),"",LEFT($J244,4)&amp;MID($J244,6,2)&amp;RIGHT($J244,2)&amp;$N244&amp;"|"&amp;"2"&amp;RIGHT("00000"&amp;239,5))</f>
        <v/>
      </c>
      <c r="L244">
        <f>IF($K244="","",COUNTIFS(LdgPartyA,$F244,LdgKeyA,"&lt;"&amp;$K244)+COUNTIFS(LdgPartyB,$F244,LdgKeyB,"&lt;"&amp;$K244)+1)</f>
        <v/>
      </c>
      <c r="M244">
        <f>IF($L244="","",$F244&amp;"|"&amp;RIGHT("000000"&amp;$L244,6))</f>
        <v/>
      </c>
      <c r="N244">
        <f>IF($F244="","",IF(Sync!$AH244="","0000",IF(AND(ISNUMBER(Sync!$AH244),Sync!$AH244&gt;=0,Sync!$AH244&lt;1),RIGHT("00"&amp;HOUR(Sync!$AH244),2)&amp;RIGHT("00"&amp;MINUTE(Sync!$AH244),2),IFERROR(RIGHT("00"&amp;VALUE(LEFT(Sync!$AH244,FIND(":",Sync!$AH244)-1)),2)&amp;RIGHT("00"&amp;VALUE(MID(Sync!$AH244,FIND(":",Sync!$AH244)+1,2)),2),"0000"))))</f>
        <v/>
      </c>
    </row>
    <row r="245">
      <c r="A245">
        <f>IF(OR(Calc!$E248="",Calc!$E248="نامعتبر",Calc!$G248="",Calc!$I248&lt;&gt;"خرید"),"",Calc!$G248)</f>
        <v/>
      </c>
      <c r="B245">
        <f>IF($A245="","",LEFT(Calc!$E248,4)&amp;MID(Calc!$E248,6,2)&amp;RIGHT(Calc!$E248,2)&amp;Calc!$R248&amp;"|"&amp;"1"&amp;RIGHT("00000"&amp;240,5))</f>
        <v/>
      </c>
      <c r="C245">
        <f>IF($B245="","",COUNTIFS(LdgPartyA,$A245,LdgKeyA,"&lt;"&amp;$B245)+COUNTIFS(LdgPartyB,$A245,LdgKeyB,"&lt;"&amp;$B245)+1)</f>
        <v/>
      </c>
      <c r="D245">
        <f>IF($C245="","",$A245&amp;"|"&amp;RIGHT("000000"&amp;$C245,6))</f>
        <v/>
      </c>
      <c r="F245">
        <f>IF(Sync!$AJ245="","",Sync!$AJ245)</f>
        <v/>
      </c>
      <c r="G245">
        <f>IF($F245="","",IF(Sync!$AG245="","",IF(ISNUMBER(Sync!$AG245),IF(AND(Sync!$AG245&gt;=10000101,Sync!$AG245&lt;=99991231),INT(Sync!$AG245/10000),""),IFERROR(VALUE(TRIM(LEFT(Sync!$AG245,FIND("/",Sync!$AG245)-1))),""))))</f>
        <v/>
      </c>
      <c r="H245">
        <f>IF(OR($F245="",$G245=""),"",IF(ISNUMBER(Sync!$AG245),INT(MOD(Sync!$AG245,10000)/100),IFERROR(VALUE(TRIM(LEFT(MID(Sync!$AG245,FIND("/",Sync!$AG245)+1,20),FIND("/",MID(Sync!$AG245,FIND("/",Sync!$AG245)+1,20))-1))),"")))</f>
        <v/>
      </c>
      <c r="I245">
        <f>IF(OR($F245="",$G245=""),"",IF(ISNUMBER(Sync!$AG245),MOD(Sync!$AG245,100),IFERROR(VALUE(TRIM(MID(MID(Sync!$AG245,FIND("/",Sync!$AG245)+1,20),FIND("/",MID(Sync!$AG245,FIND("/",Sync!$AG245)+1,20))+1,20))),"")))</f>
        <v/>
      </c>
      <c r="J245">
        <f>IF($F245="","",IF(OR($G245="",$H245="",$I245="",$G245&lt;1300,$G245&gt;1500,$H245&lt;1,$H245&gt;12,$I245&lt;1,$I245&gt;31),"نامعتبر",RIGHT("0000"&amp;$G245,4)&amp;"/"&amp;RIGHT("00"&amp;$H245,2)&amp;"/"&amp;RIGHT("00"&amp;$I245,2)))</f>
        <v/>
      </c>
      <c r="K245">
        <f>IF(OR($F245="",$J245="",$J245="نامعتبر"),"",LEFT($J245,4)&amp;MID($J245,6,2)&amp;RIGHT($J245,2)&amp;$N245&amp;"|"&amp;"2"&amp;RIGHT("00000"&amp;240,5))</f>
        <v/>
      </c>
      <c r="L245">
        <f>IF($K245="","",COUNTIFS(LdgPartyA,$F245,LdgKeyA,"&lt;"&amp;$K245)+COUNTIFS(LdgPartyB,$F245,LdgKeyB,"&lt;"&amp;$K245)+1)</f>
        <v/>
      </c>
      <c r="M245">
        <f>IF($L245="","",$F245&amp;"|"&amp;RIGHT("000000"&amp;$L245,6))</f>
        <v/>
      </c>
      <c r="N245">
        <f>IF($F245="","",IF(Sync!$AH245="","0000",IF(AND(ISNUMBER(Sync!$AH245),Sync!$AH245&gt;=0,Sync!$AH245&lt;1),RIGHT("00"&amp;HOUR(Sync!$AH245),2)&amp;RIGHT("00"&amp;MINUTE(Sync!$AH245),2),IFERROR(RIGHT("00"&amp;VALUE(LEFT(Sync!$AH245,FIND(":",Sync!$AH245)-1)),2)&amp;RIGHT("00"&amp;VALUE(MID(Sync!$AH245,FIND(":",Sync!$AH245)+1,2)),2),"0000"))))</f>
        <v/>
      </c>
    </row>
    <row r="246">
      <c r="A246">
        <f>IF(OR(Calc!$E249="",Calc!$E249="نامعتبر",Calc!$G249="",Calc!$I249&lt;&gt;"خرید"),"",Calc!$G249)</f>
        <v/>
      </c>
      <c r="B246">
        <f>IF($A246="","",LEFT(Calc!$E249,4)&amp;MID(Calc!$E249,6,2)&amp;RIGHT(Calc!$E249,2)&amp;Calc!$R249&amp;"|"&amp;"1"&amp;RIGHT("00000"&amp;241,5))</f>
        <v/>
      </c>
      <c r="C246">
        <f>IF($B246="","",COUNTIFS(LdgPartyA,$A246,LdgKeyA,"&lt;"&amp;$B246)+COUNTIFS(LdgPartyB,$A246,LdgKeyB,"&lt;"&amp;$B246)+1)</f>
        <v/>
      </c>
      <c r="D246">
        <f>IF($C246="","",$A246&amp;"|"&amp;RIGHT("000000"&amp;$C246,6))</f>
        <v/>
      </c>
      <c r="F246">
        <f>IF(Sync!$AJ246="","",Sync!$AJ246)</f>
        <v/>
      </c>
      <c r="G246">
        <f>IF($F246="","",IF(Sync!$AG246="","",IF(ISNUMBER(Sync!$AG246),IF(AND(Sync!$AG246&gt;=10000101,Sync!$AG246&lt;=99991231),INT(Sync!$AG246/10000),""),IFERROR(VALUE(TRIM(LEFT(Sync!$AG246,FIND("/",Sync!$AG246)-1))),""))))</f>
        <v/>
      </c>
      <c r="H246">
        <f>IF(OR($F246="",$G246=""),"",IF(ISNUMBER(Sync!$AG246),INT(MOD(Sync!$AG246,10000)/100),IFERROR(VALUE(TRIM(LEFT(MID(Sync!$AG246,FIND("/",Sync!$AG246)+1,20),FIND("/",MID(Sync!$AG246,FIND("/",Sync!$AG246)+1,20))-1))),"")))</f>
        <v/>
      </c>
      <c r="I246">
        <f>IF(OR($F246="",$G246=""),"",IF(ISNUMBER(Sync!$AG246),MOD(Sync!$AG246,100),IFERROR(VALUE(TRIM(MID(MID(Sync!$AG246,FIND("/",Sync!$AG246)+1,20),FIND("/",MID(Sync!$AG246,FIND("/",Sync!$AG246)+1,20))+1,20))),"")))</f>
        <v/>
      </c>
      <c r="J246">
        <f>IF($F246="","",IF(OR($G246="",$H246="",$I246="",$G246&lt;1300,$G246&gt;1500,$H246&lt;1,$H246&gt;12,$I246&lt;1,$I246&gt;31),"نامعتبر",RIGHT("0000"&amp;$G246,4)&amp;"/"&amp;RIGHT("00"&amp;$H246,2)&amp;"/"&amp;RIGHT("00"&amp;$I246,2)))</f>
        <v/>
      </c>
      <c r="K246">
        <f>IF(OR($F246="",$J246="",$J246="نامعتبر"),"",LEFT($J246,4)&amp;MID($J246,6,2)&amp;RIGHT($J246,2)&amp;$N246&amp;"|"&amp;"2"&amp;RIGHT("00000"&amp;241,5))</f>
        <v/>
      </c>
      <c r="L246">
        <f>IF($K246="","",COUNTIFS(LdgPartyA,$F246,LdgKeyA,"&lt;"&amp;$K246)+COUNTIFS(LdgPartyB,$F246,LdgKeyB,"&lt;"&amp;$K246)+1)</f>
        <v/>
      </c>
      <c r="M246">
        <f>IF($L246="","",$F246&amp;"|"&amp;RIGHT("000000"&amp;$L246,6))</f>
        <v/>
      </c>
      <c r="N246">
        <f>IF($F246="","",IF(Sync!$AH246="","0000",IF(AND(ISNUMBER(Sync!$AH246),Sync!$AH246&gt;=0,Sync!$AH246&lt;1),RIGHT("00"&amp;HOUR(Sync!$AH246),2)&amp;RIGHT("00"&amp;MINUTE(Sync!$AH246),2),IFERROR(RIGHT("00"&amp;VALUE(LEFT(Sync!$AH246,FIND(":",Sync!$AH246)-1)),2)&amp;RIGHT("00"&amp;VALUE(MID(Sync!$AH246,FIND(":",Sync!$AH246)+1,2)),2),"0000"))))</f>
        <v/>
      </c>
    </row>
    <row r="247">
      <c r="A247">
        <f>IF(OR(Calc!$E250="",Calc!$E250="نامعتبر",Calc!$G250="",Calc!$I250&lt;&gt;"خرید"),"",Calc!$G250)</f>
        <v/>
      </c>
      <c r="B247">
        <f>IF($A247="","",LEFT(Calc!$E250,4)&amp;MID(Calc!$E250,6,2)&amp;RIGHT(Calc!$E250,2)&amp;Calc!$R250&amp;"|"&amp;"1"&amp;RIGHT("00000"&amp;242,5))</f>
        <v/>
      </c>
      <c r="C247">
        <f>IF($B247="","",COUNTIFS(LdgPartyA,$A247,LdgKeyA,"&lt;"&amp;$B247)+COUNTIFS(LdgPartyB,$A247,LdgKeyB,"&lt;"&amp;$B247)+1)</f>
        <v/>
      </c>
      <c r="D247">
        <f>IF($C247="","",$A247&amp;"|"&amp;RIGHT("000000"&amp;$C247,6))</f>
        <v/>
      </c>
      <c r="F247">
        <f>IF(Sync!$AJ247="","",Sync!$AJ247)</f>
        <v/>
      </c>
      <c r="G247">
        <f>IF($F247="","",IF(Sync!$AG247="","",IF(ISNUMBER(Sync!$AG247),IF(AND(Sync!$AG247&gt;=10000101,Sync!$AG247&lt;=99991231),INT(Sync!$AG247/10000),""),IFERROR(VALUE(TRIM(LEFT(Sync!$AG247,FIND("/",Sync!$AG247)-1))),""))))</f>
        <v/>
      </c>
      <c r="H247">
        <f>IF(OR($F247="",$G247=""),"",IF(ISNUMBER(Sync!$AG247),INT(MOD(Sync!$AG247,10000)/100),IFERROR(VALUE(TRIM(LEFT(MID(Sync!$AG247,FIND("/",Sync!$AG247)+1,20),FIND("/",MID(Sync!$AG247,FIND("/",Sync!$AG247)+1,20))-1))),"")))</f>
        <v/>
      </c>
      <c r="I247">
        <f>IF(OR($F247="",$G247=""),"",IF(ISNUMBER(Sync!$AG247),MOD(Sync!$AG247,100),IFERROR(VALUE(TRIM(MID(MID(Sync!$AG247,FIND("/",Sync!$AG247)+1,20),FIND("/",MID(Sync!$AG247,FIND("/",Sync!$AG247)+1,20))+1,20))),"")))</f>
        <v/>
      </c>
      <c r="J247">
        <f>IF($F247="","",IF(OR($G247="",$H247="",$I247="",$G247&lt;1300,$G247&gt;1500,$H247&lt;1,$H247&gt;12,$I247&lt;1,$I247&gt;31),"نامعتبر",RIGHT("0000"&amp;$G247,4)&amp;"/"&amp;RIGHT("00"&amp;$H247,2)&amp;"/"&amp;RIGHT("00"&amp;$I247,2)))</f>
        <v/>
      </c>
      <c r="K247">
        <f>IF(OR($F247="",$J247="",$J247="نامعتبر"),"",LEFT($J247,4)&amp;MID($J247,6,2)&amp;RIGHT($J247,2)&amp;$N247&amp;"|"&amp;"2"&amp;RIGHT("00000"&amp;242,5))</f>
        <v/>
      </c>
      <c r="L247">
        <f>IF($K247="","",COUNTIFS(LdgPartyA,$F247,LdgKeyA,"&lt;"&amp;$K247)+COUNTIFS(LdgPartyB,$F247,LdgKeyB,"&lt;"&amp;$K247)+1)</f>
        <v/>
      </c>
      <c r="M247">
        <f>IF($L247="","",$F247&amp;"|"&amp;RIGHT("000000"&amp;$L247,6))</f>
        <v/>
      </c>
      <c r="N247">
        <f>IF($F247="","",IF(Sync!$AH247="","0000",IF(AND(ISNUMBER(Sync!$AH247),Sync!$AH247&gt;=0,Sync!$AH247&lt;1),RIGHT("00"&amp;HOUR(Sync!$AH247),2)&amp;RIGHT("00"&amp;MINUTE(Sync!$AH247),2),IFERROR(RIGHT("00"&amp;VALUE(LEFT(Sync!$AH247,FIND(":",Sync!$AH247)-1)),2)&amp;RIGHT("00"&amp;VALUE(MID(Sync!$AH247,FIND(":",Sync!$AH247)+1,2)),2),"0000"))))</f>
        <v/>
      </c>
    </row>
    <row r="248">
      <c r="A248">
        <f>IF(OR(Calc!$E251="",Calc!$E251="نامعتبر",Calc!$G251="",Calc!$I251&lt;&gt;"خرید"),"",Calc!$G251)</f>
        <v/>
      </c>
      <c r="B248">
        <f>IF($A248="","",LEFT(Calc!$E251,4)&amp;MID(Calc!$E251,6,2)&amp;RIGHT(Calc!$E251,2)&amp;Calc!$R251&amp;"|"&amp;"1"&amp;RIGHT("00000"&amp;243,5))</f>
        <v/>
      </c>
      <c r="C248">
        <f>IF($B248="","",COUNTIFS(LdgPartyA,$A248,LdgKeyA,"&lt;"&amp;$B248)+COUNTIFS(LdgPartyB,$A248,LdgKeyB,"&lt;"&amp;$B248)+1)</f>
        <v/>
      </c>
      <c r="D248">
        <f>IF($C248="","",$A248&amp;"|"&amp;RIGHT("000000"&amp;$C248,6))</f>
        <v/>
      </c>
      <c r="F248">
        <f>IF(Sync!$AJ248="","",Sync!$AJ248)</f>
        <v/>
      </c>
      <c r="G248">
        <f>IF($F248="","",IF(Sync!$AG248="","",IF(ISNUMBER(Sync!$AG248),IF(AND(Sync!$AG248&gt;=10000101,Sync!$AG248&lt;=99991231),INT(Sync!$AG248/10000),""),IFERROR(VALUE(TRIM(LEFT(Sync!$AG248,FIND("/",Sync!$AG248)-1))),""))))</f>
        <v/>
      </c>
      <c r="H248">
        <f>IF(OR($F248="",$G248=""),"",IF(ISNUMBER(Sync!$AG248),INT(MOD(Sync!$AG248,10000)/100),IFERROR(VALUE(TRIM(LEFT(MID(Sync!$AG248,FIND("/",Sync!$AG248)+1,20),FIND("/",MID(Sync!$AG248,FIND("/",Sync!$AG248)+1,20))-1))),"")))</f>
        <v/>
      </c>
      <c r="I248">
        <f>IF(OR($F248="",$G248=""),"",IF(ISNUMBER(Sync!$AG248),MOD(Sync!$AG248,100),IFERROR(VALUE(TRIM(MID(MID(Sync!$AG248,FIND("/",Sync!$AG248)+1,20),FIND("/",MID(Sync!$AG248,FIND("/",Sync!$AG248)+1,20))+1,20))),"")))</f>
        <v/>
      </c>
      <c r="J248">
        <f>IF($F248="","",IF(OR($G248="",$H248="",$I248="",$G248&lt;1300,$G248&gt;1500,$H248&lt;1,$H248&gt;12,$I248&lt;1,$I248&gt;31),"نامعتبر",RIGHT("0000"&amp;$G248,4)&amp;"/"&amp;RIGHT("00"&amp;$H248,2)&amp;"/"&amp;RIGHT("00"&amp;$I248,2)))</f>
        <v/>
      </c>
      <c r="K248">
        <f>IF(OR($F248="",$J248="",$J248="نامعتبر"),"",LEFT($J248,4)&amp;MID($J248,6,2)&amp;RIGHT($J248,2)&amp;$N248&amp;"|"&amp;"2"&amp;RIGHT("00000"&amp;243,5))</f>
        <v/>
      </c>
      <c r="L248">
        <f>IF($K248="","",COUNTIFS(LdgPartyA,$F248,LdgKeyA,"&lt;"&amp;$K248)+COUNTIFS(LdgPartyB,$F248,LdgKeyB,"&lt;"&amp;$K248)+1)</f>
        <v/>
      </c>
      <c r="M248">
        <f>IF($L248="","",$F248&amp;"|"&amp;RIGHT("000000"&amp;$L248,6))</f>
        <v/>
      </c>
      <c r="N248">
        <f>IF($F248="","",IF(Sync!$AH248="","0000",IF(AND(ISNUMBER(Sync!$AH248),Sync!$AH248&gt;=0,Sync!$AH248&lt;1),RIGHT("00"&amp;HOUR(Sync!$AH248),2)&amp;RIGHT("00"&amp;MINUTE(Sync!$AH248),2),IFERROR(RIGHT("00"&amp;VALUE(LEFT(Sync!$AH248,FIND(":",Sync!$AH248)-1)),2)&amp;RIGHT("00"&amp;VALUE(MID(Sync!$AH248,FIND(":",Sync!$AH248)+1,2)),2),"0000"))))</f>
        <v/>
      </c>
    </row>
    <row r="249">
      <c r="A249">
        <f>IF(OR(Calc!$E252="",Calc!$E252="نامعتبر",Calc!$G252="",Calc!$I252&lt;&gt;"خرید"),"",Calc!$G252)</f>
        <v/>
      </c>
      <c r="B249">
        <f>IF($A249="","",LEFT(Calc!$E252,4)&amp;MID(Calc!$E252,6,2)&amp;RIGHT(Calc!$E252,2)&amp;Calc!$R252&amp;"|"&amp;"1"&amp;RIGHT("00000"&amp;244,5))</f>
        <v/>
      </c>
      <c r="C249">
        <f>IF($B249="","",COUNTIFS(LdgPartyA,$A249,LdgKeyA,"&lt;"&amp;$B249)+COUNTIFS(LdgPartyB,$A249,LdgKeyB,"&lt;"&amp;$B249)+1)</f>
        <v/>
      </c>
      <c r="D249">
        <f>IF($C249="","",$A249&amp;"|"&amp;RIGHT("000000"&amp;$C249,6))</f>
        <v/>
      </c>
      <c r="F249">
        <f>IF(Sync!$AJ249="","",Sync!$AJ249)</f>
        <v/>
      </c>
      <c r="G249">
        <f>IF($F249="","",IF(Sync!$AG249="","",IF(ISNUMBER(Sync!$AG249),IF(AND(Sync!$AG249&gt;=10000101,Sync!$AG249&lt;=99991231),INT(Sync!$AG249/10000),""),IFERROR(VALUE(TRIM(LEFT(Sync!$AG249,FIND("/",Sync!$AG249)-1))),""))))</f>
        <v/>
      </c>
      <c r="H249">
        <f>IF(OR($F249="",$G249=""),"",IF(ISNUMBER(Sync!$AG249),INT(MOD(Sync!$AG249,10000)/100),IFERROR(VALUE(TRIM(LEFT(MID(Sync!$AG249,FIND("/",Sync!$AG249)+1,20),FIND("/",MID(Sync!$AG249,FIND("/",Sync!$AG249)+1,20))-1))),"")))</f>
        <v/>
      </c>
      <c r="I249">
        <f>IF(OR($F249="",$G249=""),"",IF(ISNUMBER(Sync!$AG249),MOD(Sync!$AG249,100),IFERROR(VALUE(TRIM(MID(MID(Sync!$AG249,FIND("/",Sync!$AG249)+1,20),FIND("/",MID(Sync!$AG249,FIND("/",Sync!$AG249)+1,20))+1,20))),"")))</f>
        <v/>
      </c>
      <c r="J249">
        <f>IF($F249="","",IF(OR($G249="",$H249="",$I249="",$G249&lt;1300,$G249&gt;1500,$H249&lt;1,$H249&gt;12,$I249&lt;1,$I249&gt;31),"نامعتبر",RIGHT("0000"&amp;$G249,4)&amp;"/"&amp;RIGHT("00"&amp;$H249,2)&amp;"/"&amp;RIGHT("00"&amp;$I249,2)))</f>
        <v/>
      </c>
      <c r="K249">
        <f>IF(OR($F249="",$J249="",$J249="نامعتبر"),"",LEFT($J249,4)&amp;MID($J249,6,2)&amp;RIGHT($J249,2)&amp;$N249&amp;"|"&amp;"2"&amp;RIGHT("00000"&amp;244,5))</f>
        <v/>
      </c>
      <c r="L249">
        <f>IF($K249="","",COUNTIFS(LdgPartyA,$F249,LdgKeyA,"&lt;"&amp;$K249)+COUNTIFS(LdgPartyB,$F249,LdgKeyB,"&lt;"&amp;$K249)+1)</f>
        <v/>
      </c>
      <c r="M249">
        <f>IF($L249="","",$F249&amp;"|"&amp;RIGHT("000000"&amp;$L249,6))</f>
        <v/>
      </c>
      <c r="N249">
        <f>IF($F249="","",IF(Sync!$AH249="","0000",IF(AND(ISNUMBER(Sync!$AH249),Sync!$AH249&gt;=0,Sync!$AH249&lt;1),RIGHT("00"&amp;HOUR(Sync!$AH249),2)&amp;RIGHT("00"&amp;MINUTE(Sync!$AH249),2),IFERROR(RIGHT("00"&amp;VALUE(LEFT(Sync!$AH249,FIND(":",Sync!$AH249)-1)),2)&amp;RIGHT("00"&amp;VALUE(MID(Sync!$AH249,FIND(":",Sync!$AH249)+1,2)),2),"0000"))))</f>
        <v/>
      </c>
    </row>
    <row r="250">
      <c r="A250">
        <f>IF(OR(Calc!$E253="",Calc!$E253="نامعتبر",Calc!$G253="",Calc!$I253&lt;&gt;"خرید"),"",Calc!$G253)</f>
        <v/>
      </c>
      <c r="B250">
        <f>IF($A250="","",LEFT(Calc!$E253,4)&amp;MID(Calc!$E253,6,2)&amp;RIGHT(Calc!$E253,2)&amp;Calc!$R253&amp;"|"&amp;"1"&amp;RIGHT("00000"&amp;245,5))</f>
        <v/>
      </c>
      <c r="C250">
        <f>IF($B250="","",COUNTIFS(LdgPartyA,$A250,LdgKeyA,"&lt;"&amp;$B250)+COUNTIFS(LdgPartyB,$A250,LdgKeyB,"&lt;"&amp;$B250)+1)</f>
        <v/>
      </c>
      <c r="D250">
        <f>IF($C250="","",$A250&amp;"|"&amp;RIGHT("000000"&amp;$C250,6))</f>
        <v/>
      </c>
      <c r="F250">
        <f>IF(Sync!$AJ250="","",Sync!$AJ250)</f>
        <v/>
      </c>
      <c r="G250">
        <f>IF($F250="","",IF(Sync!$AG250="","",IF(ISNUMBER(Sync!$AG250),IF(AND(Sync!$AG250&gt;=10000101,Sync!$AG250&lt;=99991231),INT(Sync!$AG250/10000),""),IFERROR(VALUE(TRIM(LEFT(Sync!$AG250,FIND("/",Sync!$AG250)-1))),""))))</f>
        <v/>
      </c>
      <c r="H250">
        <f>IF(OR($F250="",$G250=""),"",IF(ISNUMBER(Sync!$AG250),INT(MOD(Sync!$AG250,10000)/100),IFERROR(VALUE(TRIM(LEFT(MID(Sync!$AG250,FIND("/",Sync!$AG250)+1,20),FIND("/",MID(Sync!$AG250,FIND("/",Sync!$AG250)+1,20))-1))),"")))</f>
        <v/>
      </c>
      <c r="I250">
        <f>IF(OR($F250="",$G250=""),"",IF(ISNUMBER(Sync!$AG250),MOD(Sync!$AG250,100),IFERROR(VALUE(TRIM(MID(MID(Sync!$AG250,FIND("/",Sync!$AG250)+1,20),FIND("/",MID(Sync!$AG250,FIND("/",Sync!$AG250)+1,20))+1,20))),"")))</f>
        <v/>
      </c>
      <c r="J250">
        <f>IF($F250="","",IF(OR($G250="",$H250="",$I250="",$G250&lt;1300,$G250&gt;1500,$H250&lt;1,$H250&gt;12,$I250&lt;1,$I250&gt;31),"نامعتبر",RIGHT("0000"&amp;$G250,4)&amp;"/"&amp;RIGHT("00"&amp;$H250,2)&amp;"/"&amp;RIGHT("00"&amp;$I250,2)))</f>
        <v/>
      </c>
      <c r="K250">
        <f>IF(OR($F250="",$J250="",$J250="نامعتبر"),"",LEFT($J250,4)&amp;MID($J250,6,2)&amp;RIGHT($J250,2)&amp;$N250&amp;"|"&amp;"2"&amp;RIGHT("00000"&amp;245,5))</f>
        <v/>
      </c>
      <c r="L250">
        <f>IF($K250="","",COUNTIFS(LdgPartyA,$F250,LdgKeyA,"&lt;"&amp;$K250)+COUNTIFS(LdgPartyB,$F250,LdgKeyB,"&lt;"&amp;$K250)+1)</f>
        <v/>
      </c>
      <c r="M250">
        <f>IF($L250="","",$F250&amp;"|"&amp;RIGHT("000000"&amp;$L250,6))</f>
        <v/>
      </c>
      <c r="N250">
        <f>IF($F250="","",IF(Sync!$AH250="","0000",IF(AND(ISNUMBER(Sync!$AH250),Sync!$AH250&gt;=0,Sync!$AH250&lt;1),RIGHT("00"&amp;HOUR(Sync!$AH250),2)&amp;RIGHT("00"&amp;MINUTE(Sync!$AH250),2),IFERROR(RIGHT("00"&amp;VALUE(LEFT(Sync!$AH250,FIND(":",Sync!$AH250)-1)),2)&amp;RIGHT("00"&amp;VALUE(MID(Sync!$AH250,FIND(":",Sync!$AH250)+1,2)),2),"0000"))))</f>
        <v/>
      </c>
    </row>
    <row r="251">
      <c r="A251">
        <f>IF(OR(Calc!$E254="",Calc!$E254="نامعتبر",Calc!$G254="",Calc!$I254&lt;&gt;"خرید"),"",Calc!$G254)</f>
        <v/>
      </c>
      <c r="B251">
        <f>IF($A251="","",LEFT(Calc!$E254,4)&amp;MID(Calc!$E254,6,2)&amp;RIGHT(Calc!$E254,2)&amp;Calc!$R254&amp;"|"&amp;"1"&amp;RIGHT("00000"&amp;246,5))</f>
        <v/>
      </c>
      <c r="C251">
        <f>IF($B251="","",COUNTIFS(LdgPartyA,$A251,LdgKeyA,"&lt;"&amp;$B251)+COUNTIFS(LdgPartyB,$A251,LdgKeyB,"&lt;"&amp;$B251)+1)</f>
        <v/>
      </c>
      <c r="D251">
        <f>IF($C251="","",$A251&amp;"|"&amp;RIGHT("000000"&amp;$C251,6))</f>
        <v/>
      </c>
      <c r="F251">
        <f>IF(Sync!$AJ251="","",Sync!$AJ251)</f>
        <v/>
      </c>
      <c r="G251">
        <f>IF($F251="","",IF(Sync!$AG251="","",IF(ISNUMBER(Sync!$AG251),IF(AND(Sync!$AG251&gt;=10000101,Sync!$AG251&lt;=99991231),INT(Sync!$AG251/10000),""),IFERROR(VALUE(TRIM(LEFT(Sync!$AG251,FIND("/",Sync!$AG251)-1))),""))))</f>
        <v/>
      </c>
      <c r="H251">
        <f>IF(OR($F251="",$G251=""),"",IF(ISNUMBER(Sync!$AG251),INT(MOD(Sync!$AG251,10000)/100),IFERROR(VALUE(TRIM(LEFT(MID(Sync!$AG251,FIND("/",Sync!$AG251)+1,20),FIND("/",MID(Sync!$AG251,FIND("/",Sync!$AG251)+1,20))-1))),"")))</f>
        <v/>
      </c>
      <c r="I251">
        <f>IF(OR($F251="",$G251=""),"",IF(ISNUMBER(Sync!$AG251),MOD(Sync!$AG251,100),IFERROR(VALUE(TRIM(MID(MID(Sync!$AG251,FIND("/",Sync!$AG251)+1,20),FIND("/",MID(Sync!$AG251,FIND("/",Sync!$AG251)+1,20))+1,20))),"")))</f>
        <v/>
      </c>
      <c r="J251">
        <f>IF($F251="","",IF(OR($G251="",$H251="",$I251="",$G251&lt;1300,$G251&gt;1500,$H251&lt;1,$H251&gt;12,$I251&lt;1,$I251&gt;31),"نامعتبر",RIGHT("0000"&amp;$G251,4)&amp;"/"&amp;RIGHT("00"&amp;$H251,2)&amp;"/"&amp;RIGHT("00"&amp;$I251,2)))</f>
        <v/>
      </c>
      <c r="K251">
        <f>IF(OR($F251="",$J251="",$J251="نامعتبر"),"",LEFT($J251,4)&amp;MID($J251,6,2)&amp;RIGHT($J251,2)&amp;$N251&amp;"|"&amp;"2"&amp;RIGHT("00000"&amp;246,5))</f>
        <v/>
      </c>
      <c r="L251">
        <f>IF($K251="","",COUNTIFS(LdgPartyA,$F251,LdgKeyA,"&lt;"&amp;$K251)+COUNTIFS(LdgPartyB,$F251,LdgKeyB,"&lt;"&amp;$K251)+1)</f>
        <v/>
      </c>
      <c r="M251">
        <f>IF($L251="","",$F251&amp;"|"&amp;RIGHT("000000"&amp;$L251,6))</f>
        <v/>
      </c>
      <c r="N251">
        <f>IF($F251="","",IF(Sync!$AH251="","0000",IF(AND(ISNUMBER(Sync!$AH251),Sync!$AH251&gt;=0,Sync!$AH251&lt;1),RIGHT("00"&amp;HOUR(Sync!$AH251),2)&amp;RIGHT("00"&amp;MINUTE(Sync!$AH251),2),IFERROR(RIGHT("00"&amp;VALUE(LEFT(Sync!$AH251,FIND(":",Sync!$AH251)-1)),2)&amp;RIGHT("00"&amp;VALUE(MID(Sync!$AH251,FIND(":",Sync!$AH251)+1,2)),2),"0000"))))</f>
        <v/>
      </c>
    </row>
    <row r="252">
      <c r="A252">
        <f>IF(OR(Calc!$E255="",Calc!$E255="نامعتبر",Calc!$G255="",Calc!$I255&lt;&gt;"خرید"),"",Calc!$G255)</f>
        <v/>
      </c>
      <c r="B252">
        <f>IF($A252="","",LEFT(Calc!$E255,4)&amp;MID(Calc!$E255,6,2)&amp;RIGHT(Calc!$E255,2)&amp;Calc!$R255&amp;"|"&amp;"1"&amp;RIGHT("00000"&amp;247,5))</f>
        <v/>
      </c>
      <c r="C252">
        <f>IF($B252="","",COUNTIFS(LdgPartyA,$A252,LdgKeyA,"&lt;"&amp;$B252)+COUNTIFS(LdgPartyB,$A252,LdgKeyB,"&lt;"&amp;$B252)+1)</f>
        <v/>
      </c>
      <c r="D252">
        <f>IF($C252="","",$A252&amp;"|"&amp;RIGHT("000000"&amp;$C252,6))</f>
        <v/>
      </c>
      <c r="F252">
        <f>IF(Sync!$AJ252="","",Sync!$AJ252)</f>
        <v/>
      </c>
      <c r="G252">
        <f>IF($F252="","",IF(Sync!$AG252="","",IF(ISNUMBER(Sync!$AG252),IF(AND(Sync!$AG252&gt;=10000101,Sync!$AG252&lt;=99991231),INT(Sync!$AG252/10000),""),IFERROR(VALUE(TRIM(LEFT(Sync!$AG252,FIND("/",Sync!$AG252)-1))),""))))</f>
        <v/>
      </c>
      <c r="H252">
        <f>IF(OR($F252="",$G252=""),"",IF(ISNUMBER(Sync!$AG252),INT(MOD(Sync!$AG252,10000)/100),IFERROR(VALUE(TRIM(LEFT(MID(Sync!$AG252,FIND("/",Sync!$AG252)+1,20),FIND("/",MID(Sync!$AG252,FIND("/",Sync!$AG252)+1,20))-1))),"")))</f>
        <v/>
      </c>
      <c r="I252">
        <f>IF(OR($F252="",$G252=""),"",IF(ISNUMBER(Sync!$AG252),MOD(Sync!$AG252,100),IFERROR(VALUE(TRIM(MID(MID(Sync!$AG252,FIND("/",Sync!$AG252)+1,20),FIND("/",MID(Sync!$AG252,FIND("/",Sync!$AG252)+1,20))+1,20))),"")))</f>
        <v/>
      </c>
      <c r="J252">
        <f>IF($F252="","",IF(OR($G252="",$H252="",$I252="",$G252&lt;1300,$G252&gt;1500,$H252&lt;1,$H252&gt;12,$I252&lt;1,$I252&gt;31),"نامعتبر",RIGHT("0000"&amp;$G252,4)&amp;"/"&amp;RIGHT("00"&amp;$H252,2)&amp;"/"&amp;RIGHT("00"&amp;$I252,2)))</f>
        <v/>
      </c>
      <c r="K252">
        <f>IF(OR($F252="",$J252="",$J252="نامعتبر"),"",LEFT($J252,4)&amp;MID($J252,6,2)&amp;RIGHT($J252,2)&amp;$N252&amp;"|"&amp;"2"&amp;RIGHT("00000"&amp;247,5))</f>
        <v/>
      </c>
      <c r="L252">
        <f>IF($K252="","",COUNTIFS(LdgPartyA,$F252,LdgKeyA,"&lt;"&amp;$K252)+COUNTIFS(LdgPartyB,$F252,LdgKeyB,"&lt;"&amp;$K252)+1)</f>
        <v/>
      </c>
      <c r="M252">
        <f>IF($L252="","",$F252&amp;"|"&amp;RIGHT("000000"&amp;$L252,6))</f>
        <v/>
      </c>
      <c r="N252">
        <f>IF($F252="","",IF(Sync!$AH252="","0000",IF(AND(ISNUMBER(Sync!$AH252),Sync!$AH252&gt;=0,Sync!$AH252&lt;1),RIGHT("00"&amp;HOUR(Sync!$AH252),2)&amp;RIGHT("00"&amp;MINUTE(Sync!$AH252),2),IFERROR(RIGHT("00"&amp;VALUE(LEFT(Sync!$AH252,FIND(":",Sync!$AH252)-1)),2)&amp;RIGHT("00"&amp;VALUE(MID(Sync!$AH252,FIND(":",Sync!$AH252)+1,2)),2),"0000"))))</f>
        <v/>
      </c>
    </row>
    <row r="253">
      <c r="A253">
        <f>IF(OR(Calc!$E256="",Calc!$E256="نامعتبر",Calc!$G256="",Calc!$I256&lt;&gt;"خرید"),"",Calc!$G256)</f>
        <v/>
      </c>
      <c r="B253">
        <f>IF($A253="","",LEFT(Calc!$E256,4)&amp;MID(Calc!$E256,6,2)&amp;RIGHT(Calc!$E256,2)&amp;Calc!$R256&amp;"|"&amp;"1"&amp;RIGHT("00000"&amp;248,5))</f>
        <v/>
      </c>
      <c r="C253">
        <f>IF($B253="","",COUNTIFS(LdgPartyA,$A253,LdgKeyA,"&lt;"&amp;$B253)+COUNTIFS(LdgPartyB,$A253,LdgKeyB,"&lt;"&amp;$B253)+1)</f>
        <v/>
      </c>
      <c r="D253">
        <f>IF($C253="","",$A253&amp;"|"&amp;RIGHT("000000"&amp;$C253,6))</f>
        <v/>
      </c>
      <c r="F253">
        <f>IF(Sync!$AJ253="","",Sync!$AJ253)</f>
        <v/>
      </c>
      <c r="G253">
        <f>IF($F253="","",IF(Sync!$AG253="","",IF(ISNUMBER(Sync!$AG253),IF(AND(Sync!$AG253&gt;=10000101,Sync!$AG253&lt;=99991231),INT(Sync!$AG253/10000),""),IFERROR(VALUE(TRIM(LEFT(Sync!$AG253,FIND("/",Sync!$AG253)-1))),""))))</f>
        <v/>
      </c>
      <c r="H253">
        <f>IF(OR($F253="",$G253=""),"",IF(ISNUMBER(Sync!$AG253),INT(MOD(Sync!$AG253,10000)/100),IFERROR(VALUE(TRIM(LEFT(MID(Sync!$AG253,FIND("/",Sync!$AG253)+1,20),FIND("/",MID(Sync!$AG253,FIND("/",Sync!$AG253)+1,20))-1))),"")))</f>
        <v/>
      </c>
      <c r="I253">
        <f>IF(OR($F253="",$G253=""),"",IF(ISNUMBER(Sync!$AG253),MOD(Sync!$AG253,100),IFERROR(VALUE(TRIM(MID(MID(Sync!$AG253,FIND("/",Sync!$AG253)+1,20),FIND("/",MID(Sync!$AG253,FIND("/",Sync!$AG253)+1,20))+1,20))),"")))</f>
        <v/>
      </c>
      <c r="J253">
        <f>IF($F253="","",IF(OR($G253="",$H253="",$I253="",$G253&lt;1300,$G253&gt;1500,$H253&lt;1,$H253&gt;12,$I253&lt;1,$I253&gt;31),"نامعتبر",RIGHT("0000"&amp;$G253,4)&amp;"/"&amp;RIGHT("00"&amp;$H253,2)&amp;"/"&amp;RIGHT("00"&amp;$I253,2)))</f>
        <v/>
      </c>
      <c r="K253">
        <f>IF(OR($F253="",$J253="",$J253="نامعتبر"),"",LEFT($J253,4)&amp;MID($J253,6,2)&amp;RIGHT($J253,2)&amp;$N253&amp;"|"&amp;"2"&amp;RIGHT("00000"&amp;248,5))</f>
        <v/>
      </c>
      <c r="L253">
        <f>IF($K253="","",COUNTIFS(LdgPartyA,$F253,LdgKeyA,"&lt;"&amp;$K253)+COUNTIFS(LdgPartyB,$F253,LdgKeyB,"&lt;"&amp;$K253)+1)</f>
        <v/>
      </c>
      <c r="M253">
        <f>IF($L253="","",$F253&amp;"|"&amp;RIGHT("000000"&amp;$L253,6))</f>
        <v/>
      </c>
      <c r="N253">
        <f>IF($F253="","",IF(Sync!$AH253="","0000",IF(AND(ISNUMBER(Sync!$AH253),Sync!$AH253&gt;=0,Sync!$AH253&lt;1),RIGHT("00"&amp;HOUR(Sync!$AH253),2)&amp;RIGHT("00"&amp;MINUTE(Sync!$AH253),2),IFERROR(RIGHT("00"&amp;VALUE(LEFT(Sync!$AH253,FIND(":",Sync!$AH253)-1)),2)&amp;RIGHT("00"&amp;VALUE(MID(Sync!$AH253,FIND(":",Sync!$AH253)+1,2)),2),"0000"))))</f>
        <v/>
      </c>
    </row>
    <row r="254">
      <c r="A254">
        <f>IF(OR(Calc!$E257="",Calc!$E257="نامعتبر",Calc!$G257="",Calc!$I257&lt;&gt;"خرید"),"",Calc!$G257)</f>
        <v/>
      </c>
      <c r="B254">
        <f>IF($A254="","",LEFT(Calc!$E257,4)&amp;MID(Calc!$E257,6,2)&amp;RIGHT(Calc!$E257,2)&amp;Calc!$R257&amp;"|"&amp;"1"&amp;RIGHT("00000"&amp;249,5))</f>
        <v/>
      </c>
      <c r="C254">
        <f>IF($B254="","",COUNTIFS(LdgPartyA,$A254,LdgKeyA,"&lt;"&amp;$B254)+COUNTIFS(LdgPartyB,$A254,LdgKeyB,"&lt;"&amp;$B254)+1)</f>
        <v/>
      </c>
      <c r="D254">
        <f>IF($C254="","",$A254&amp;"|"&amp;RIGHT("000000"&amp;$C254,6))</f>
        <v/>
      </c>
      <c r="F254">
        <f>IF(Sync!$AJ254="","",Sync!$AJ254)</f>
        <v/>
      </c>
      <c r="G254">
        <f>IF($F254="","",IF(Sync!$AG254="","",IF(ISNUMBER(Sync!$AG254),IF(AND(Sync!$AG254&gt;=10000101,Sync!$AG254&lt;=99991231),INT(Sync!$AG254/10000),""),IFERROR(VALUE(TRIM(LEFT(Sync!$AG254,FIND("/",Sync!$AG254)-1))),""))))</f>
        <v/>
      </c>
      <c r="H254">
        <f>IF(OR($F254="",$G254=""),"",IF(ISNUMBER(Sync!$AG254),INT(MOD(Sync!$AG254,10000)/100),IFERROR(VALUE(TRIM(LEFT(MID(Sync!$AG254,FIND("/",Sync!$AG254)+1,20),FIND("/",MID(Sync!$AG254,FIND("/",Sync!$AG254)+1,20))-1))),"")))</f>
        <v/>
      </c>
      <c r="I254">
        <f>IF(OR($F254="",$G254=""),"",IF(ISNUMBER(Sync!$AG254),MOD(Sync!$AG254,100),IFERROR(VALUE(TRIM(MID(MID(Sync!$AG254,FIND("/",Sync!$AG254)+1,20),FIND("/",MID(Sync!$AG254,FIND("/",Sync!$AG254)+1,20))+1,20))),"")))</f>
        <v/>
      </c>
      <c r="J254">
        <f>IF($F254="","",IF(OR($G254="",$H254="",$I254="",$G254&lt;1300,$G254&gt;1500,$H254&lt;1,$H254&gt;12,$I254&lt;1,$I254&gt;31),"نامعتبر",RIGHT("0000"&amp;$G254,4)&amp;"/"&amp;RIGHT("00"&amp;$H254,2)&amp;"/"&amp;RIGHT("00"&amp;$I254,2)))</f>
        <v/>
      </c>
      <c r="K254">
        <f>IF(OR($F254="",$J254="",$J254="نامعتبر"),"",LEFT($J254,4)&amp;MID($J254,6,2)&amp;RIGHT($J254,2)&amp;$N254&amp;"|"&amp;"2"&amp;RIGHT("00000"&amp;249,5))</f>
        <v/>
      </c>
      <c r="L254">
        <f>IF($K254="","",COUNTIFS(LdgPartyA,$F254,LdgKeyA,"&lt;"&amp;$K254)+COUNTIFS(LdgPartyB,$F254,LdgKeyB,"&lt;"&amp;$K254)+1)</f>
        <v/>
      </c>
      <c r="M254">
        <f>IF($L254="","",$F254&amp;"|"&amp;RIGHT("000000"&amp;$L254,6))</f>
        <v/>
      </c>
      <c r="N254">
        <f>IF($F254="","",IF(Sync!$AH254="","0000",IF(AND(ISNUMBER(Sync!$AH254),Sync!$AH254&gt;=0,Sync!$AH254&lt;1),RIGHT("00"&amp;HOUR(Sync!$AH254),2)&amp;RIGHT("00"&amp;MINUTE(Sync!$AH254),2),IFERROR(RIGHT("00"&amp;VALUE(LEFT(Sync!$AH254,FIND(":",Sync!$AH254)-1)),2)&amp;RIGHT("00"&amp;VALUE(MID(Sync!$AH254,FIND(":",Sync!$AH254)+1,2)),2),"0000"))))</f>
        <v/>
      </c>
    </row>
    <row r="255">
      <c r="A255">
        <f>IF(OR(Calc!$E258="",Calc!$E258="نامعتبر",Calc!$G258="",Calc!$I258&lt;&gt;"خرید"),"",Calc!$G258)</f>
        <v/>
      </c>
      <c r="B255">
        <f>IF($A255="","",LEFT(Calc!$E258,4)&amp;MID(Calc!$E258,6,2)&amp;RIGHT(Calc!$E258,2)&amp;Calc!$R258&amp;"|"&amp;"1"&amp;RIGHT("00000"&amp;250,5))</f>
        <v/>
      </c>
      <c r="C255">
        <f>IF($B255="","",COUNTIFS(LdgPartyA,$A255,LdgKeyA,"&lt;"&amp;$B255)+COUNTIFS(LdgPartyB,$A255,LdgKeyB,"&lt;"&amp;$B255)+1)</f>
        <v/>
      </c>
      <c r="D255">
        <f>IF($C255="","",$A255&amp;"|"&amp;RIGHT("000000"&amp;$C255,6))</f>
        <v/>
      </c>
      <c r="F255">
        <f>IF(Sync!$AJ255="","",Sync!$AJ255)</f>
        <v/>
      </c>
      <c r="G255">
        <f>IF($F255="","",IF(Sync!$AG255="","",IF(ISNUMBER(Sync!$AG255),IF(AND(Sync!$AG255&gt;=10000101,Sync!$AG255&lt;=99991231),INT(Sync!$AG255/10000),""),IFERROR(VALUE(TRIM(LEFT(Sync!$AG255,FIND("/",Sync!$AG255)-1))),""))))</f>
        <v/>
      </c>
      <c r="H255">
        <f>IF(OR($F255="",$G255=""),"",IF(ISNUMBER(Sync!$AG255),INT(MOD(Sync!$AG255,10000)/100),IFERROR(VALUE(TRIM(LEFT(MID(Sync!$AG255,FIND("/",Sync!$AG255)+1,20),FIND("/",MID(Sync!$AG255,FIND("/",Sync!$AG255)+1,20))-1))),"")))</f>
        <v/>
      </c>
      <c r="I255">
        <f>IF(OR($F255="",$G255=""),"",IF(ISNUMBER(Sync!$AG255),MOD(Sync!$AG255,100),IFERROR(VALUE(TRIM(MID(MID(Sync!$AG255,FIND("/",Sync!$AG255)+1,20),FIND("/",MID(Sync!$AG255,FIND("/",Sync!$AG255)+1,20))+1,20))),"")))</f>
        <v/>
      </c>
      <c r="J255">
        <f>IF($F255="","",IF(OR($G255="",$H255="",$I255="",$G255&lt;1300,$G255&gt;1500,$H255&lt;1,$H255&gt;12,$I255&lt;1,$I255&gt;31),"نامعتبر",RIGHT("0000"&amp;$G255,4)&amp;"/"&amp;RIGHT("00"&amp;$H255,2)&amp;"/"&amp;RIGHT("00"&amp;$I255,2)))</f>
        <v/>
      </c>
      <c r="K255">
        <f>IF(OR($F255="",$J255="",$J255="نامعتبر"),"",LEFT($J255,4)&amp;MID($J255,6,2)&amp;RIGHT($J255,2)&amp;$N255&amp;"|"&amp;"2"&amp;RIGHT("00000"&amp;250,5))</f>
        <v/>
      </c>
      <c r="L255">
        <f>IF($K255="","",COUNTIFS(LdgPartyA,$F255,LdgKeyA,"&lt;"&amp;$K255)+COUNTIFS(LdgPartyB,$F255,LdgKeyB,"&lt;"&amp;$K255)+1)</f>
        <v/>
      </c>
      <c r="M255">
        <f>IF($L255="","",$F255&amp;"|"&amp;RIGHT("000000"&amp;$L255,6))</f>
        <v/>
      </c>
      <c r="N255">
        <f>IF($F255="","",IF(Sync!$AH255="","0000",IF(AND(ISNUMBER(Sync!$AH255),Sync!$AH255&gt;=0,Sync!$AH255&lt;1),RIGHT("00"&amp;HOUR(Sync!$AH255),2)&amp;RIGHT("00"&amp;MINUTE(Sync!$AH255),2),IFERROR(RIGHT("00"&amp;VALUE(LEFT(Sync!$AH255,FIND(":",Sync!$AH255)-1)),2)&amp;RIGHT("00"&amp;VALUE(MID(Sync!$AH255,FIND(":",Sync!$AH255)+1,2)),2),"0000"))))</f>
        <v/>
      </c>
    </row>
    <row r="256">
      <c r="A256">
        <f>IF(OR(Calc!$E259="",Calc!$E259="نامعتبر",Calc!$G259="",Calc!$I259&lt;&gt;"خرید"),"",Calc!$G259)</f>
        <v/>
      </c>
      <c r="B256">
        <f>IF($A256="","",LEFT(Calc!$E259,4)&amp;MID(Calc!$E259,6,2)&amp;RIGHT(Calc!$E259,2)&amp;Calc!$R259&amp;"|"&amp;"1"&amp;RIGHT("00000"&amp;251,5))</f>
        <v/>
      </c>
      <c r="C256">
        <f>IF($B256="","",COUNTIFS(LdgPartyA,$A256,LdgKeyA,"&lt;"&amp;$B256)+COUNTIFS(LdgPartyB,$A256,LdgKeyB,"&lt;"&amp;$B256)+1)</f>
        <v/>
      </c>
      <c r="D256">
        <f>IF($C256="","",$A256&amp;"|"&amp;RIGHT("000000"&amp;$C256,6))</f>
        <v/>
      </c>
      <c r="F256">
        <f>IF(Sync!$AJ256="","",Sync!$AJ256)</f>
        <v/>
      </c>
      <c r="G256">
        <f>IF($F256="","",IF(Sync!$AG256="","",IF(ISNUMBER(Sync!$AG256),IF(AND(Sync!$AG256&gt;=10000101,Sync!$AG256&lt;=99991231),INT(Sync!$AG256/10000),""),IFERROR(VALUE(TRIM(LEFT(Sync!$AG256,FIND("/",Sync!$AG256)-1))),""))))</f>
        <v/>
      </c>
      <c r="H256">
        <f>IF(OR($F256="",$G256=""),"",IF(ISNUMBER(Sync!$AG256),INT(MOD(Sync!$AG256,10000)/100),IFERROR(VALUE(TRIM(LEFT(MID(Sync!$AG256,FIND("/",Sync!$AG256)+1,20),FIND("/",MID(Sync!$AG256,FIND("/",Sync!$AG256)+1,20))-1))),"")))</f>
        <v/>
      </c>
      <c r="I256">
        <f>IF(OR($F256="",$G256=""),"",IF(ISNUMBER(Sync!$AG256),MOD(Sync!$AG256,100),IFERROR(VALUE(TRIM(MID(MID(Sync!$AG256,FIND("/",Sync!$AG256)+1,20),FIND("/",MID(Sync!$AG256,FIND("/",Sync!$AG256)+1,20))+1,20))),"")))</f>
        <v/>
      </c>
      <c r="J256">
        <f>IF($F256="","",IF(OR($G256="",$H256="",$I256="",$G256&lt;1300,$G256&gt;1500,$H256&lt;1,$H256&gt;12,$I256&lt;1,$I256&gt;31),"نامعتبر",RIGHT("0000"&amp;$G256,4)&amp;"/"&amp;RIGHT("00"&amp;$H256,2)&amp;"/"&amp;RIGHT("00"&amp;$I256,2)))</f>
        <v/>
      </c>
      <c r="K256">
        <f>IF(OR($F256="",$J256="",$J256="نامعتبر"),"",LEFT($J256,4)&amp;MID($J256,6,2)&amp;RIGHT($J256,2)&amp;$N256&amp;"|"&amp;"2"&amp;RIGHT("00000"&amp;251,5))</f>
        <v/>
      </c>
      <c r="L256">
        <f>IF($K256="","",COUNTIFS(LdgPartyA,$F256,LdgKeyA,"&lt;"&amp;$K256)+COUNTIFS(LdgPartyB,$F256,LdgKeyB,"&lt;"&amp;$K256)+1)</f>
        <v/>
      </c>
      <c r="M256">
        <f>IF($L256="","",$F256&amp;"|"&amp;RIGHT("000000"&amp;$L256,6))</f>
        <v/>
      </c>
      <c r="N256">
        <f>IF($F256="","",IF(Sync!$AH256="","0000",IF(AND(ISNUMBER(Sync!$AH256),Sync!$AH256&gt;=0,Sync!$AH256&lt;1),RIGHT("00"&amp;HOUR(Sync!$AH256),2)&amp;RIGHT("00"&amp;MINUTE(Sync!$AH256),2),IFERROR(RIGHT("00"&amp;VALUE(LEFT(Sync!$AH256,FIND(":",Sync!$AH256)-1)),2)&amp;RIGHT("00"&amp;VALUE(MID(Sync!$AH256,FIND(":",Sync!$AH256)+1,2)),2),"0000"))))</f>
        <v/>
      </c>
    </row>
    <row r="257">
      <c r="A257">
        <f>IF(OR(Calc!$E260="",Calc!$E260="نامعتبر",Calc!$G260="",Calc!$I260&lt;&gt;"خرید"),"",Calc!$G260)</f>
        <v/>
      </c>
      <c r="B257">
        <f>IF($A257="","",LEFT(Calc!$E260,4)&amp;MID(Calc!$E260,6,2)&amp;RIGHT(Calc!$E260,2)&amp;Calc!$R260&amp;"|"&amp;"1"&amp;RIGHT("00000"&amp;252,5))</f>
        <v/>
      </c>
      <c r="C257">
        <f>IF($B257="","",COUNTIFS(LdgPartyA,$A257,LdgKeyA,"&lt;"&amp;$B257)+COUNTIFS(LdgPartyB,$A257,LdgKeyB,"&lt;"&amp;$B257)+1)</f>
        <v/>
      </c>
      <c r="D257">
        <f>IF($C257="","",$A257&amp;"|"&amp;RIGHT("000000"&amp;$C257,6))</f>
        <v/>
      </c>
      <c r="F257">
        <f>IF(Sync!$AJ257="","",Sync!$AJ257)</f>
        <v/>
      </c>
      <c r="G257">
        <f>IF($F257="","",IF(Sync!$AG257="","",IF(ISNUMBER(Sync!$AG257),IF(AND(Sync!$AG257&gt;=10000101,Sync!$AG257&lt;=99991231),INT(Sync!$AG257/10000),""),IFERROR(VALUE(TRIM(LEFT(Sync!$AG257,FIND("/",Sync!$AG257)-1))),""))))</f>
        <v/>
      </c>
      <c r="H257">
        <f>IF(OR($F257="",$G257=""),"",IF(ISNUMBER(Sync!$AG257),INT(MOD(Sync!$AG257,10000)/100),IFERROR(VALUE(TRIM(LEFT(MID(Sync!$AG257,FIND("/",Sync!$AG257)+1,20),FIND("/",MID(Sync!$AG257,FIND("/",Sync!$AG257)+1,20))-1))),"")))</f>
        <v/>
      </c>
      <c r="I257">
        <f>IF(OR($F257="",$G257=""),"",IF(ISNUMBER(Sync!$AG257),MOD(Sync!$AG257,100),IFERROR(VALUE(TRIM(MID(MID(Sync!$AG257,FIND("/",Sync!$AG257)+1,20),FIND("/",MID(Sync!$AG257,FIND("/",Sync!$AG257)+1,20))+1,20))),"")))</f>
        <v/>
      </c>
      <c r="J257">
        <f>IF($F257="","",IF(OR($G257="",$H257="",$I257="",$G257&lt;1300,$G257&gt;1500,$H257&lt;1,$H257&gt;12,$I257&lt;1,$I257&gt;31),"نامعتبر",RIGHT("0000"&amp;$G257,4)&amp;"/"&amp;RIGHT("00"&amp;$H257,2)&amp;"/"&amp;RIGHT("00"&amp;$I257,2)))</f>
        <v/>
      </c>
      <c r="K257">
        <f>IF(OR($F257="",$J257="",$J257="نامعتبر"),"",LEFT($J257,4)&amp;MID($J257,6,2)&amp;RIGHT($J257,2)&amp;$N257&amp;"|"&amp;"2"&amp;RIGHT("00000"&amp;252,5))</f>
        <v/>
      </c>
      <c r="L257">
        <f>IF($K257="","",COUNTIFS(LdgPartyA,$F257,LdgKeyA,"&lt;"&amp;$K257)+COUNTIFS(LdgPartyB,$F257,LdgKeyB,"&lt;"&amp;$K257)+1)</f>
        <v/>
      </c>
      <c r="M257">
        <f>IF($L257="","",$F257&amp;"|"&amp;RIGHT("000000"&amp;$L257,6))</f>
        <v/>
      </c>
      <c r="N257">
        <f>IF($F257="","",IF(Sync!$AH257="","0000",IF(AND(ISNUMBER(Sync!$AH257),Sync!$AH257&gt;=0,Sync!$AH257&lt;1),RIGHT("00"&amp;HOUR(Sync!$AH257),2)&amp;RIGHT("00"&amp;MINUTE(Sync!$AH257),2),IFERROR(RIGHT("00"&amp;VALUE(LEFT(Sync!$AH257,FIND(":",Sync!$AH257)-1)),2)&amp;RIGHT("00"&amp;VALUE(MID(Sync!$AH257,FIND(":",Sync!$AH257)+1,2)),2),"0000"))))</f>
        <v/>
      </c>
    </row>
    <row r="258">
      <c r="A258">
        <f>IF(OR(Calc!$E261="",Calc!$E261="نامعتبر",Calc!$G261="",Calc!$I261&lt;&gt;"خرید"),"",Calc!$G261)</f>
        <v/>
      </c>
      <c r="B258">
        <f>IF($A258="","",LEFT(Calc!$E261,4)&amp;MID(Calc!$E261,6,2)&amp;RIGHT(Calc!$E261,2)&amp;Calc!$R261&amp;"|"&amp;"1"&amp;RIGHT("00000"&amp;253,5))</f>
        <v/>
      </c>
      <c r="C258">
        <f>IF($B258="","",COUNTIFS(LdgPartyA,$A258,LdgKeyA,"&lt;"&amp;$B258)+COUNTIFS(LdgPartyB,$A258,LdgKeyB,"&lt;"&amp;$B258)+1)</f>
        <v/>
      </c>
      <c r="D258">
        <f>IF($C258="","",$A258&amp;"|"&amp;RIGHT("000000"&amp;$C258,6))</f>
        <v/>
      </c>
      <c r="F258">
        <f>IF(Sync!$AJ258="","",Sync!$AJ258)</f>
        <v/>
      </c>
      <c r="G258">
        <f>IF($F258="","",IF(Sync!$AG258="","",IF(ISNUMBER(Sync!$AG258),IF(AND(Sync!$AG258&gt;=10000101,Sync!$AG258&lt;=99991231),INT(Sync!$AG258/10000),""),IFERROR(VALUE(TRIM(LEFT(Sync!$AG258,FIND("/",Sync!$AG258)-1))),""))))</f>
        <v/>
      </c>
      <c r="H258">
        <f>IF(OR($F258="",$G258=""),"",IF(ISNUMBER(Sync!$AG258),INT(MOD(Sync!$AG258,10000)/100),IFERROR(VALUE(TRIM(LEFT(MID(Sync!$AG258,FIND("/",Sync!$AG258)+1,20),FIND("/",MID(Sync!$AG258,FIND("/",Sync!$AG258)+1,20))-1))),"")))</f>
        <v/>
      </c>
      <c r="I258">
        <f>IF(OR($F258="",$G258=""),"",IF(ISNUMBER(Sync!$AG258),MOD(Sync!$AG258,100),IFERROR(VALUE(TRIM(MID(MID(Sync!$AG258,FIND("/",Sync!$AG258)+1,20),FIND("/",MID(Sync!$AG258,FIND("/",Sync!$AG258)+1,20))+1,20))),"")))</f>
        <v/>
      </c>
      <c r="J258">
        <f>IF($F258="","",IF(OR($G258="",$H258="",$I258="",$G258&lt;1300,$G258&gt;1500,$H258&lt;1,$H258&gt;12,$I258&lt;1,$I258&gt;31),"نامعتبر",RIGHT("0000"&amp;$G258,4)&amp;"/"&amp;RIGHT("00"&amp;$H258,2)&amp;"/"&amp;RIGHT("00"&amp;$I258,2)))</f>
        <v/>
      </c>
      <c r="K258">
        <f>IF(OR($F258="",$J258="",$J258="نامعتبر"),"",LEFT($J258,4)&amp;MID($J258,6,2)&amp;RIGHT($J258,2)&amp;$N258&amp;"|"&amp;"2"&amp;RIGHT("00000"&amp;253,5))</f>
        <v/>
      </c>
      <c r="L258">
        <f>IF($K258="","",COUNTIFS(LdgPartyA,$F258,LdgKeyA,"&lt;"&amp;$K258)+COUNTIFS(LdgPartyB,$F258,LdgKeyB,"&lt;"&amp;$K258)+1)</f>
        <v/>
      </c>
      <c r="M258">
        <f>IF($L258="","",$F258&amp;"|"&amp;RIGHT("000000"&amp;$L258,6))</f>
        <v/>
      </c>
      <c r="N258">
        <f>IF($F258="","",IF(Sync!$AH258="","0000",IF(AND(ISNUMBER(Sync!$AH258),Sync!$AH258&gt;=0,Sync!$AH258&lt;1),RIGHT("00"&amp;HOUR(Sync!$AH258),2)&amp;RIGHT("00"&amp;MINUTE(Sync!$AH258),2),IFERROR(RIGHT("00"&amp;VALUE(LEFT(Sync!$AH258,FIND(":",Sync!$AH258)-1)),2)&amp;RIGHT("00"&amp;VALUE(MID(Sync!$AH258,FIND(":",Sync!$AH258)+1,2)),2),"0000"))))</f>
        <v/>
      </c>
    </row>
    <row r="259">
      <c r="A259">
        <f>IF(OR(Calc!$E262="",Calc!$E262="نامعتبر",Calc!$G262="",Calc!$I262&lt;&gt;"خرید"),"",Calc!$G262)</f>
        <v/>
      </c>
      <c r="B259">
        <f>IF($A259="","",LEFT(Calc!$E262,4)&amp;MID(Calc!$E262,6,2)&amp;RIGHT(Calc!$E262,2)&amp;Calc!$R262&amp;"|"&amp;"1"&amp;RIGHT("00000"&amp;254,5))</f>
        <v/>
      </c>
      <c r="C259">
        <f>IF($B259="","",COUNTIFS(LdgPartyA,$A259,LdgKeyA,"&lt;"&amp;$B259)+COUNTIFS(LdgPartyB,$A259,LdgKeyB,"&lt;"&amp;$B259)+1)</f>
        <v/>
      </c>
      <c r="D259">
        <f>IF($C259="","",$A259&amp;"|"&amp;RIGHT("000000"&amp;$C259,6))</f>
        <v/>
      </c>
      <c r="F259">
        <f>IF(Sync!$AJ259="","",Sync!$AJ259)</f>
        <v/>
      </c>
      <c r="G259">
        <f>IF($F259="","",IF(Sync!$AG259="","",IF(ISNUMBER(Sync!$AG259),IF(AND(Sync!$AG259&gt;=10000101,Sync!$AG259&lt;=99991231),INT(Sync!$AG259/10000),""),IFERROR(VALUE(TRIM(LEFT(Sync!$AG259,FIND("/",Sync!$AG259)-1))),""))))</f>
        <v/>
      </c>
      <c r="H259">
        <f>IF(OR($F259="",$G259=""),"",IF(ISNUMBER(Sync!$AG259),INT(MOD(Sync!$AG259,10000)/100),IFERROR(VALUE(TRIM(LEFT(MID(Sync!$AG259,FIND("/",Sync!$AG259)+1,20),FIND("/",MID(Sync!$AG259,FIND("/",Sync!$AG259)+1,20))-1))),"")))</f>
        <v/>
      </c>
      <c r="I259">
        <f>IF(OR($F259="",$G259=""),"",IF(ISNUMBER(Sync!$AG259),MOD(Sync!$AG259,100),IFERROR(VALUE(TRIM(MID(MID(Sync!$AG259,FIND("/",Sync!$AG259)+1,20),FIND("/",MID(Sync!$AG259,FIND("/",Sync!$AG259)+1,20))+1,20))),"")))</f>
        <v/>
      </c>
      <c r="J259">
        <f>IF($F259="","",IF(OR($G259="",$H259="",$I259="",$G259&lt;1300,$G259&gt;1500,$H259&lt;1,$H259&gt;12,$I259&lt;1,$I259&gt;31),"نامعتبر",RIGHT("0000"&amp;$G259,4)&amp;"/"&amp;RIGHT("00"&amp;$H259,2)&amp;"/"&amp;RIGHT("00"&amp;$I259,2)))</f>
        <v/>
      </c>
      <c r="K259">
        <f>IF(OR($F259="",$J259="",$J259="نامعتبر"),"",LEFT($J259,4)&amp;MID($J259,6,2)&amp;RIGHT($J259,2)&amp;$N259&amp;"|"&amp;"2"&amp;RIGHT("00000"&amp;254,5))</f>
        <v/>
      </c>
      <c r="L259">
        <f>IF($K259="","",COUNTIFS(LdgPartyA,$F259,LdgKeyA,"&lt;"&amp;$K259)+COUNTIFS(LdgPartyB,$F259,LdgKeyB,"&lt;"&amp;$K259)+1)</f>
        <v/>
      </c>
      <c r="M259">
        <f>IF($L259="","",$F259&amp;"|"&amp;RIGHT("000000"&amp;$L259,6))</f>
        <v/>
      </c>
      <c r="N259">
        <f>IF($F259="","",IF(Sync!$AH259="","0000",IF(AND(ISNUMBER(Sync!$AH259),Sync!$AH259&gt;=0,Sync!$AH259&lt;1),RIGHT("00"&amp;HOUR(Sync!$AH259),2)&amp;RIGHT("00"&amp;MINUTE(Sync!$AH259),2),IFERROR(RIGHT("00"&amp;VALUE(LEFT(Sync!$AH259,FIND(":",Sync!$AH259)-1)),2)&amp;RIGHT("00"&amp;VALUE(MID(Sync!$AH259,FIND(":",Sync!$AH259)+1,2)),2),"0000"))))</f>
        <v/>
      </c>
    </row>
    <row r="260">
      <c r="A260">
        <f>IF(OR(Calc!$E263="",Calc!$E263="نامعتبر",Calc!$G263="",Calc!$I263&lt;&gt;"خرید"),"",Calc!$G263)</f>
        <v/>
      </c>
      <c r="B260">
        <f>IF($A260="","",LEFT(Calc!$E263,4)&amp;MID(Calc!$E263,6,2)&amp;RIGHT(Calc!$E263,2)&amp;Calc!$R263&amp;"|"&amp;"1"&amp;RIGHT("00000"&amp;255,5))</f>
        <v/>
      </c>
      <c r="C260">
        <f>IF($B260="","",COUNTIFS(LdgPartyA,$A260,LdgKeyA,"&lt;"&amp;$B260)+COUNTIFS(LdgPartyB,$A260,LdgKeyB,"&lt;"&amp;$B260)+1)</f>
        <v/>
      </c>
      <c r="D260">
        <f>IF($C260="","",$A260&amp;"|"&amp;RIGHT("000000"&amp;$C260,6))</f>
        <v/>
      </c>
      <c r="F260">
        <f>IF(Sync!$AJ260="","",Sync!$AJ260)</f>
        <v/>
      </c>
      <c r="G260">
        <f>IF($F260="","",IF(Sync!$AG260="","",IF(ISNUMBER(Sync!$AG260),IF(AND(Sync!$AG260&gt;=10000101,Sync!$AG260&lt;=99991231),INT(Sync!$AG260/10000),""),IFERROR(VALUE(TRIM(LEFT(Sync!$AG260,FIND("/",Sync!$AG260)-1))),""))))</f>
        <v/>
      </c>
      <c r="H260">
        <f>IF(OR($F260="",$G260=""),"",IF(ISNUMBER(Sync!$AG260),INT(MOD(Sync!$AG260,10000)/100),IFERROR(VALUE(TRIM(LEFT(MID(Sync!$AG260,FIND("/",Sync!$AG260)+1,20),FIND("/",MID(Sync!$AG260,FIND("/",Sync!$AG260)+1,20))-1))),"")))</f>
        <v/>
      </c>
      <c r="I260">
        <f>IF(OR($F260="",$G260=""),"",IF(ISNUMBER(Sync!$AG260),MOD(Sync!$AG260,100),IFERROR(VALUE(TRIM(MID(MID(Sync!$AG260,FIND("/",Sync!$AG260)+1,20),FIND("/",MID(Sync!$AG260,FIND("/",Sync!$AG260)+1,20))+1,20))),"")))</f>
        <v/>
      </c>
      <c r="J260">
        <f>IF($F260="","",IF(OR($G260="",$H260="",$I260="",$G260&lt;1300,$G260&gt;1500,$H260&lt;1,$H260&gt;12,$I260&lt;1,$I260&gt;31),"نامعتبر",RIGHT("0000"&amp;$G260,4)&amp;"/"&amp;RIGHT("00"&amp;$H260,2)&amp;"/"&amp;RIGHT("00"&amp;$I260,2)))</f>
        <v/>
      </c>
      <c r="K260">
        <f>IF(OR($F260="",$J260="",$J260="نامعتبر"),"",LEFT($J260,4)&amp;MID($J260,6,2)&amp;RIGHT($J260,2)&amp;$N260&amp;"|"&amp;"2"&amp;RIGHT("00000"&amp;255,5))</f>
        <v/>
      </c>
      <c r="L260">
        <f>IF($K260="","",COUNTIFS(LdgPartyA,$F260,LdgKeyA,"&lt;"&amp;$K260)+COUNTIFS(LdgPartyB,$F260,LdgKeyB,"&lt;"&amp;$K260)+1)</f>
        <v/>
      </c>
      <c r="M260">
        <f>IF($L260="","",$F260&amp;"|"&amp;RIGHT("000000"&amp;$L260,6))</f>
        <v/>
      </c>
      <c r="N260">
        <f>IF($F260="","",IF(Sync!$AH260="","0000",IF(AND(ISNUMBER(Sync!$AH260),Sync!$AH260&gt;=0,Sync!$AH260&lt;1),RIGHT("00"&amp;HOUR(Sync!$AH260),2)&amp;RIGHT("00"&amp;MINUTE(Sync!$AH260),2),IFERROR(RIGHT("00"&amp;VALUE(LEFT(Sync!$AH260,FIND(":",Sync!$AH260)-1)),2)&amp;RIGHT("00"&amp;VALUE(MID(Sync!$AH260,FIND(":",Sync!$AH260)+1,2)),2),"0000"))))</f>
        <v/>
      </c>
    </row>
    <row r="261">
      <c r="A261">
        <f>IF(OR(Calc!$E264="",Calc!$E264="نامعتبر",Calc!$G264="",Calc!$I264&lt;&gt;"خرید"),"",Calc!$G264)</f>
        <v/>
      </c>
      <c r="B261">
        <f>IF($A261="","",LEFT(Calc!$E264,4)&amp;MID(Calc!$E264,6,2)&amp;RIGHT(Calc!$E264,2)&amp;Calc!$R264&amp;"|"&amp;"1"&amp;RIGHT("00000"&amp;256,5))</f>
        <v/>
      </c>
      <c r="C261">
        <f>IF($B261="","",COUNTIFS(LdgPartyA,$A261,LdgKeyA,"&lt;"&amp;$B261)+COUNTIFS(LdgPartyB,$A261,LdgKeyB,"&lt;"&amp;$B261)+1)</f>
        <v/>
      </c>
      <c r="D261">
        <f>IF($C261="","",$A261&amp;"|"&amp;RIGHT("000000"&amp;$C261,6))</f>
        <v/>
      </c>
      <c r="F261">
        <f>IF(Sync!$AJ261="","",Sync!$AJ261)</f>
        <v/>
      </c>
      <c r="G261">
        <f>IF($F261="","",IF(Sync!$AG261="","",IF(ISNUMBER(Sync!$AG261),IF(AND(Sync!$AG261&gt;=10000101,Sync!$AG261&lt;=99991231),INT(Sync!$AG261/10000),""),IFERROR(VALUE(TRIM(LEFT(Sync!$AG261,FIND("/",Sync!$AG261)-1))),""))))</f>
        <v/>
      </c>
      <c r="H261">
        <f>IF(OR($F261="",$G261=""),"",IF(ISNUMBER(Sync!$AG261),INT(MOD(Sync!$AG261,10000)/100),IFERROR(VALUE(TRIM(LEFT(MID(Sync!$AG261,FIND("/",Sync!$AG261)+1,20),FIND("/",MID(Sync!$AG261,FIND("/",Sync!$AG261)+1,20))-1))),"")))</f>
        <v/>
      </c>
      <c r="I261">
        <f>IF(OR($F261="",$G261=""),"",IF(ISNUMBER(Sync!$AG261),MOD(Sync!$AG261,100),IFERROR(VALUE(TRIM(MID(MID(Sync!$AG261,FIND("/",Sync!$AG261)+1,20),FIND("/",MID(Sync!$AG261,FIND("/",Sync!$AG261)+1,20))+1,20))),"")))</f>
        <v/>
      </c>
      <c r="J261">
        <f>IF($F261="","",IF(OR($G261="",$H261="",$I261="",$G261&lt;1300,$G261&gt;1500,$H261&lt;1,$H261&gt;12,$I261&lt;1,$I261&gt;31),"نامعتبر",RIGHT("0000"&amp;$G261,4)&amp;"/"&amp;RIGHT("00"&amp;$H261,2)&amp;"/"&amp;RIGHT("00"&amp;$I261,2)))</f>
        <v/>
      </c>
      <c r="K261">
        <f>IF(OR($F261="",$J261="",$J261="نامعتبر"),"",LEFT($J261,4)&amp;MID($J261,6,2)&amp;RIGHT($J261,2)&amp;$N261&amp;"|"&amp;"2"&amp;RIGHT("00000"&amp;256,5))</f>
        <v/>
      </c>
      <c r="L261">
        <f>IF($K261="","",COUNTIFS(LdgPartyA,$F261,LdgKeyA,"&lt;"&amp;$K261)+COUNTIFS(LdgPartyB,$F261,LdgKeyB,"&lt;"&amp;$K261)+1)</f>
        <v/>
      </c>
      <c r="M261">
        <f>IF($L261="","",$F261&amp;"|"&amp;RIGHT("000000"&amp;$L261,6))</f>
        <v/>
      </c>
      <c r="N261">
        <f>IF($F261="","",IF(Sync!$AH261="","0000",IF(AND(ISNUMBER(Sync!$AH261),Sync!$AH261&gt;=0,Sync!$AH261&lt;1),RIGHT("00"&amp;HOUR(Sync!$AH261),2)&amp;RIGHT("00"&amp;MINUTE(Sync!$AH261),2),IFERROR(RIGHT("00"&amp;VALUE(LEFT(Sync!$AH261,FIND(":",Sync!$AH261)-1)),2)&amp;RIGHT("00"&amp;VALUE(MID(Sync!$AH261,FIND(":",Sync!$AH261)+1,2)),2),"0000"))))</f>
        <v/>
      </c>
    </row>
    <row r="262">
      <c r="A262">
        <f>IF(OR(Calc!$E265="",Calc!$E265="نامعتبر",Calc!$G265="",Calc!$I265&lt;&gt;"خرید"),"",Calc!$G265)</f>
        <v/>
      </c>
      <c r="B262">
        <f>IF($A262="","",LEFT(Calc!$E265,4)&amp;MID(Calc!$E265,6,2)&amp;RIGHT(Calc!$E265,2)&amp;Calc!$R265&amp;"|"&amp;"1"&amp;RIGHT("00000"&amp;257,5))</f>
        <v/>
      </c>
      <c r="C262">
        <f>IF($B262="","",COUNTIFS(LdgPartyA,$A262,LdgKeyA,"&lt;"&amp;$B262)+COUNTIFS(LdgPartyB,$A262,LdgKeyB,"&lt;"&amp;$B262)+1)</f>
        <v/>
      </c>
      <c r="D262">
        <f>IF($C262="","",$A262&amp;"|"&amp;RIGHT("000000"&amp;$C262,6))</f>
        <v/>
      </c>
      <c r="F262">
        <f>IF(Sync!$AJ262="","",Sync!$AJ262)</f>
        <v/>
      </c>
      <c r="G262">
        <f>IF($F262="","",IF(Sync!$AG262="","",IF(ISNUMBER(Sync!$AG262),IF(AND(Sync!$AG262&gt;=10000101,Sync!$AG262&lt;=99991231),INT(Sync!$AG262/10000),""),IFERROR(VALUE(TRIM(LEFT(Sync!$AG262,FIND("/",Sync!$AG262)-1))),""))))</f>
        <v/>
      </c>
      <c r="H262">
        <f>IF(OR($F262="",$G262=""),"",IF(ISNUMBER(Sync!$AG262),INT(MOD(Sync!$AG262,10000)/100),IFERROR(VALUE(TRIM(LEFT(MID(Sync!$AG262,FIND("/",Sync!$AG262)+1,20),FIND("/",MID(Sync!$AG262,FIND("/",Sync!$AG262)+1,20))-1))),"")))</f>
        <v/>
      </c>
      <c r="I262">
        <f>IF(OR($F262="",$G262=""),"",IF(ISNUMBER(Sync!$AG262),MOD(Sync!$AG262,100),IFERROR(VALUE(TRIM(MID(MID(Sync!$AG262,FIND("/",Sync!$AG262)+1,20),FIND("/",MID(Sync!$AG262,FIND("/",Sync!$AG262)+1,20))+1,20))),"")))</f>
        <v/>
      </c>
      <c r="J262">
        <f>IF($F262="","",IF(OR($G262="",$H262="",$I262="",$G262&lt;1300,$G262&gt;1500,$H262&lt;1,$H262&gt;12,$I262&lt;1,$I262&gt;31),"نامعتبر",RIGHT("0000"&amp;$G262,4)&amp;"/"&amp;RIGHT("00"&amp;$H262,2)&amp;"/"&amp;RIGHT("00"&amp;$I262,2)))</f>
        <v/>
      </c>
      <c r="K262">
        <f>IF(OR($F262="",$J262="",$J262="نامعتبر"),"",LEFT($J262,4)&amp;MID($J262,6,2)&amp;RIGHT($J262,2)&amp;$N262&amp;"|"&amp;"2"&amp;RIGHT("00000"&amp;257,5))</f>
        <v/>
      </c>
      <c r="L262">
        <f>IF($K262="","",COUNTIFS(LdgPartyA,$F262,LdgKeyA,"&lt;"&amp;$K262)+COUNTIFS(LdgPartyB,$F262,LdgKeyB,"&lt;"&amp;$K262)+1)</f>
        <v/>
      </c>
      <c r="M262">
        <f>IF($L262="","",$F262&amp;"|"&amp;RIGHT("000000"&amp;$L262,6))</f>
        <v/>
      </c>
      <c r="N262">
        <f>IF($F262="","",IF(Sync!$AH262="","0000",IF(AND(ISNUMBER(Sync!$AH262),Sync!$AH262&gt;=0,Sync!$AH262&lt;1),RIGHT("00"&amp;HOUR(Sync!$AH262),2)&amp;RIGHT("00"&amp;MINUTE(Sync!$AH262),2),IFERROR(RIGHT("00"&amp;VALUE(LEFT(Sync!$AH262,FIND(":",Sync!$AH262)-1)),2)&amp;RIGHT("00"&amp;VALUE(MID(Sync!$AH262,FIND(":",Sync!$AH262)+1,2)),2),"0000"))))</f>
        <v/>
      </c>
    </row>
    <row r="263">
      <c r="A263">
        <f>IF(OR(Calc!$E266="",Calc!$E266="نامعتبر",Calc!$G266="",Calc!$I266&lt;&gt;"خرید"),"",Calc!$G266)</f>
        <v/>
      </c>
      <c r="B263">
        <f>IF($A263="","",LEFT(Calc!$E266,4)&amp;MID(Calc!$E266,6,2)&amp;RIGHT(Calc!$E266,2)&amp;Calc!$R266&amp;"|"&amp;"1"&amp;RIGHT("00000"&amp;258,5))</f>
        <v/>
      </c>
      <c r="C263">
        <f>IF($B263="","",COUNTIFS(LdgPartyA,$A263,LdgKeyA,"&lt;"&amp;$B263)+COUNTIFS(LdgPartyB,$A263,LdgKeyB,"&lt;"&amp;$B263)+1)</f>
        <v/>
      </c>
      <c r="D263">
        <f>IF($C263="","",$A263&amp;"|"&amp;RIGHT("000000"&amp;$C263,6))</f>
        <v/>
      </c>
      <c r="F263">
        <f>IF(Sync!$AJ263="","",Sync!$AJ263)</f>
        <v/>
      </c>
      <c r="G263">
        <f>IF($F263="","",IF(Sync!$AG263="","",IF(ISNUMBER(Sync!$AG263),IF(AND(Sync!$AG263&gt;=10000101,Sync!$AG263&lt;=99991231),INT(Sync!$AG263/10000),""),IFERROR(VALUE(TRIM(LEFT(Sync!$AG263,FIND("/",Sync!$AG263)-1))),""))))</f>
        <v/>
      </c>
      <c r="H263">
        <f>IF(OR($F263="",$G263=""),"",IF(ISNUMBER(Sync!$AG263),INT(MOD(Sync!$AG263,10000)/100),IFERROR(VALUE(TRIM(LEFT(MID(Sync!$AG263,FIND("/",Sync!$AG263)+1,20),FIND("/",MID(Sync!$AG263,FIND("/",Sync!$AG263)+1,20))-1))),"")))</f>
        <v/>
      </c>
      <c r="I263">
        <f>IF(OR($F263="",$G263=""),"",IF(ISNUMBER(Sync!$AG263),MOD(Sync!$AG263,100),IFERROR(VALUE(TRIM(MID(MID(Sync!$AG263,FIND("/",Sync!$AG263)+1,20),FIND("/",MID(Sync!$AG263,FIND("/",Sync!$AG263)+1,20))+1,20))),"")))</f>
        <v/>
      </c>
      <c r="J263">
        <f>IF($F263="","",IF(OR($G263="",$H263="",$I263="",$G263&lt;1300,$G263&gt;1500,$H263&lt;1,$H263&gt;12,$I263&lt;1,$I263&gt;31),"نامعتبر",RIGHT("0000"&amp;$G263,4)&amp;"/"&amp;RIGHT("00"&amp;$H263,2)&amp;"/"&amp;RIGHT("00"&amp;$I263,2)))</f>
        <v/>
      </c>
      <c r="K263">
        <f>IF(OR($F263="",$J263="",$J263="نامعتبر"),"",LEFT($J263,4)&amp;MID($J263,6,2)&amp;RIGHT($J263,2)&amp;$N263&amp;"|"&amp;"2"&amp;RIGHT("00000"&amp;258,5))</f>
        <v/>
      </c>
      <c r="L263">
        <f>IF($K263="","",COUNTIFS(LdgPartyA,$F263,LdgKeyA,"&lt;"&amp;$K263)+COUNTIFS(LdgPartyB,$F263,LdgKeyB,"&lt;"&amp;$K263)+1)</f>
        <v/>
      </c>
      <c r="M263">
        <f>IF($L263="","",$F263&amp;"|"&amp;RIGHT("000000"&amp;$L263,6))</f>
        <v/>
      </c>
      <c r="N263">
        <f>IF($F263="","",IF(Sync!$AH263="","0000",IF(AND(ISNUMBER(Sync!$AH263),Sync!$AH263&gt;=0,Sync!$AH263&lt;1),RIGHT("00"&amp;HOUR(Sync!$AH263),2)&amp;RIGHT("00"&amp;MINUTE(Sync!$AH263),2),IFERROR(RIGHT("00"&amp;VALUE(LEFT(Sync!$AH263,FIND(":",Sync!$AH263)-1)),2)&amp;RIGHT("00"&amp;VALUE(MID(Sync!$AH263,FIND(":",Sync!$AH263)+1,2)),2),"0000"))))</f>
        <v/>
      </c>
    </row>
    <row r="264">
      <c r="A264">
        <f>IF(OR(Calc!$E267="",Calc!$E267="نامعتبر",Calc!$G267="",Calc!$I267&lt;&gt;"خرید"),"",Calc!$G267)</f>
        <v/>
      </c>
      <c r="B264">
        <f>IF($A264="","",LEFT(Calc!$E267,4)&amp;MID(Calc!$E267,6,2)&amp;RIGHT(Calc!$E267,2)&amp;Calc!$R267&amp;"|"&amp;"1"&amp;RIGHT("00000"&amp;259,5))</f>
        <v/>
      </c>
      <c r="C264">
        <f>IF($B264="","",COUNTIFS(LdgPartyA,$A264,LdgKeyA,"&lt;"&amp;$B264)+COUNTIFS(LdgPartyB,$A264,LdgKeyB,"&lt;"&amp;$B264)+1)</f>
        <v/>
      </c>
      <c r="D264">
        <f>IF($C264="","",$A264&amp;"|"&amp;RIGHT("000000"&amp;$C264,6))</f>
        <v/>
      </c>
      <c r="F264">
        <f>IF(Sync!$AJ264="","",Sync!$AJ264)</f>
        <v/>
      </c>
      <c r="G264">
        <f>IF($F264="","",IF(Sync!$AG264="","",IF(ISNUMBER(Sync!$AG264),IF(AND(Sync!$AG264&gt;=10000101,Sync!$AG264&lt;=99991231),INT(Sync!$AG264/10000),""),IFERROR(VALUE(TRIM(LEFT(Sync!$AG264,FIND("/",Sync!$AG264)-1))),""))))</f>
        <v/>
      </c>
      <c r="H264">
        <f>IF(OR($F264="",$G264=""),"",IF(ISNUMBER(Sync!$AG264),INT(MOD(Sync!$AG264,10000)/100),IFERROR(VALUE(TRIM(LEFT(MID(Sync!$AG264,FIND("/",Sync!$AG264)+1,20),FIND("/",MID(Sync!$AG264,FIND("/",Sync!$AG264)+1,20))-1))),"")))</f>
        <v/>
      </c>
      <c r="I264">
        <f>IF(OR($F264="",$G264=""),"",IF(ISNUMBER(Sync!$AG264),MOD(Sync!$AG264,100),IFERROR(VALUE(TRIM(MID(MID(Sync!$AG264,FIND("/",Sync!$AG264)+1,20),FIND("/",MID(Sync!$AG264,FIND("/",Sync!$AG264)+1,20))+1,20))),"")))</f>
        <v/>
      </c>
      <c r="J264">
        <f>IF($F264="","",IF(OR($G264="",$H264="",$I264="",$G264&lt;1300,$G264&gt;1500,$H264&lt;1,$H264&gt;12,$I264&lt;1,$I264&gt;31),"نامعتبر",RIGHT("0000"&amp;$G264,4)&amp;"/"&amp;RIGHT("00"&amp;$H264,2)&amp;"/"&amp;RIGHT("00"&amp;$I264,2)))</f>
        <v/>
      </c>
      <c r="K264">
        <f>IF(OR($F264="",$J264="",$J264="نامعتبر"),"",LEFT($J264,4)&amp;MID($J264,6,2)&amp;RIGHT($J264,2)&amp;$N264&amp;"|"&amp;"2"&amp;RIGHT("00000"&amp;259,5))</f>
        <v/>
      </c>
      <c r="L264">
        <f>IF($K264="","",COUNTIFS(LdgPartyA,$F264,LdgKeyA,"&lt;"&amp;$K264)+COUNTIFS(LdgPartyB,$F264,LdgKeyB,"&lt;"&amp;$K264)+1)</f>
        <v/>
      </c>
      <c r="M264">
        <f>IF($L264="","",$F264&amp;"|"&amp;RIGHT("000000"&amp;$L264,6))</f>
        <v/>
      </c>
      <c r="N264">
        <f>IF($F264="","",IF(Sync!$AH264="","0000",IF(AND(ISNUMBER(Sync!$AH264),Sync!$AH264&gt;=0,Sync!$AH264&lt;1),RIGHT("00"&amp;HOUR(Sync!$AH264),2)&amp;RIGHT("00"&amp;MINUTE(Sync!$AH264),2),IFERROR(RIGHT("00"&amp;VALUE(LEFT(Sync!$AH264,FIND(":",Sync!$AH264)-1)),2)&amp;RIGHT("00"&amp;VALUE(MID(Sync!$AH264,FIND(":",Sync!$AH264)+1,2)),2),"0000"))))</f>
        <v/>
      </c>
    </row>
    <row r="265">
      <c r="A265">
        <f>IF(OR(Calc!$E268="",Calc!$E268="نامعتبر",Calc!$G268="",Calc!$I268&lt;&gt;"خرید"),"",Calc!$G268)</f>
        <v/>
      </c>
      <c r="B265">
        <f>IF($A265="","",LEFT(Calc!$E268,4)&amp;MID(Calc!$E268,6,2)&amp;RIGHT(Calc!$E268,2)&amp;Calc!$R268&amp;"|"&amp;"1"&amp;RIGHT("00000"&amp;260,5))</f>
        <v/>
      </c>
      <c r="C265">
        <f>IF($B265="","",COUNTIFS(LdgPartyA,$A265,LdgKeyA,"&lt;"&amp;$B265)+COUNTIFS(LdgPartyB,$A265,LdgKeyB,"&lt;"&amp;$B265)+1)</f>
        <v/>
      </c>
      <c r="D265">
        <f>IF($C265="","",$A265&amp;"|"&amp;RIGHT("000000"&amp;$C265,6))</f>
        <v/>
      </c>
      <c r="F265">
        <f>IF(Sync!$AJ265="","",Sync!$AJ265)</f>
        <v/>
      </c>
      <c r="G265">
        <f>IF($F265="","",IF(Sync!$AG265="","",IF(ISNUMBER(Sync!$AG265),IF(AND(Sync!$AG265&gt;=10000101,Sync!$AG265&lt;=99991231),INT(Sync!$AG265/10000),""),IFERROR(VALUE(TRIM(LEFT(Sync!$AG265,FIND("/",Sync!$AG265)-1))),""))))</f>
        <v/>
      </c>
      <c r="H265">
        <f>IF(OR($F265="",$G265=""),"",IF(ISNUMBER(Sync!$AG265),INT(MOD(Sync!$AG265,10000)/100),IFERROR(VALUE(TRIM(LEFT(MID(Sync!$AG265,FIND("/",Sync!$AG265)+1,20),FIND("/",MID(Sync!$AG265,FIND("/",Sync!$AG265)+1,20))-1))),"")))</f>
        <v/>
      </c>
      <c r="I265">
        <f>IF(OR($F265="",$G265=""),"",IF(ISNUMBER(Sync!$AG265),MOD(Sync!$AG265,100),IFERROR(VALUE(TRIM(MID(MID(Sync!$AG265,FIND("/",Sync!$AG265)+1,20),FIND("/",MID(Sync!$AG265,FIND("/",Sync!$AG265)+1,20))+1,20))),"")))</f>
        <v/>
      </c>
      <c r="J265">
        <f>IF($F265="","",IF(OR($G265="",$H265="",$I265="",$G265&lt;1300,$G265&gt;1500,$H265&lt;1,$H265&gt;12,$I265&lt;1,$I265&gt;31),"نامعتبر",RIGHT("0000"&amp;$G265,4)&amp;"/"&amp;RIGHT("00"&amp;$H265,2)&amp;"/"&amp;RIGHT("00"&amp;$I265,2)))</f>
        <v/>
      </c>
      <c r="K265">
        <f>IF(OR($F265="",$J265="",$J265="نامعتبر"),"",LEFT($J265,4)&amp;MID($J265,6,2)&amp;RIGHT($J265,2)&amp;$N265&amp;"|"&amp;"2"&amp;RIGHT("00000"&amp;260,5))</f>
        <v/>
      </c>
      <c r="L265">
        <f>IF($K265="","",COUNTIFS(LdgPartyA,$F265,LdgKeyA,"&lt;"&amp;$K265)+COUNTIFS(LdgPartyB,$F265,LdgKeyB,"&lt;"&amp;$K265)+1)</f>
        <v/>
      </c>
      <c r="M265">
        <f>IF($L265="","",$F265&amp;"|"&amp;RIGHT("000000"&amp;$L265,6))</f>
        <v/>
      </c>
      <c r="N265">
        <f>IF($F265="","",IF(Sync!$AH265="","0000",IF(AND(ISNUMBER(Sync!$AH265),Sync!$AH265&gt;=0,Sync!$AH265&lt;1),RIGHT("00"&amp;HOUR(Sync!$AH265),2)&amp;RIGHT("00"&amp;MINUTE(Sync!$AH265),2),IFERROR(RIGHT("00"&amp;VALUE(LEFT(Sync!$AH265,FIND(":",Sync!$AH265)-1)),2)&amp;RIGHT("00"&amp;VALUE(MID(Sync!$AH265,FIND(":",Sync!$AH265)+1,2)),2),"0000"))))</f>
        <v/>
      </c>
    </row>
    <row r="266">
      <c r="A266">
        <f>IF(OR(Calc!$E269="",Calc!$E269="نامعتبر",Calc!$G269="",Calc!$I269&lt;&gt;"خرید"),"",Calc!$G269)</f>
        <v/>
      </c>
      <c r="B266">
        <f>IF($A266="","",LEFT(Calc!$E269,4)&amp;MID(Calc!$E269,6,2)&amp;RIGHT(Calc!$E269,2)&amp;Calc!$R269&amp;"|"&amp;"1"&amp;RIGHT("00000"&amp;261,5))</f>
        <v/>
      </c>
      <c r="C266">
        <f>IF($B266="","",COUNTIFS(LdgPartyA,$A266,LdgKeyA,"&lt;"&amp;$B266)+COUNTIFS(LdgPartyB,$A266,LdgKeyB,"&lt;"&amp;$B266)+1)</f>
        <v/>
      </c>
      <c r="D266">
        <f>IF($C266="","",$A266&amp;"|"&amp;RIGHT("000000"&amp;$C266,6))</f>
        <v/>
      </c>
      <c r="F266">
        <f>IF(Sync!$AJ266="","",Sync!$AJ266)</f>
        <v/>
      </c>
      <c r="G266">
        <f>IF($F266="","",IF(Sync!$AG266="","",IF(ISNUMBER(Sync!$AG266),IF(AND(Sync!$AG266&gt;=10000101,Sync!$AG266&lt;=99991231),INT(Sync!$AG266/10000),""),IFERROR(VALUE(TRIM(LEFT(Sync!$AG266,FIND("/",Sync!$AG266)-1))),""))))</f>
        <v/>
      </c>
      <c r="H266">
        <f>IF(OR($F266="",$G266=""),"",IF(ISNUMBER(Sync!$AG266),INT(MOD(Sync!$AG266,10000)/100),IFERROR(VALUE(TRIM(LEFT(MID(Sync!$AG266,FIND("/",Sync!$AG266)+1,20),FIND("/",MID(Sync!$AG266,FIND("/",Sync!$AG266)+1,20))-1))),"")))</f>
        <v/>
      </c>
      <c r="I266">
        <f>IF(OR($F266="",$G266=""),"",IF(ISNUMBER(Sync!$AG266),MOD(Sync!$AG266,100),IFERROR(VALUE(TRIM(MID(MID(Sync!$AG266,FIND("/",Sync!$AG266)+1,20),FIND("/",MID(Sync!$AG266,FIND("/",Sync!$AG266)+1,20))+1,20))),"")))</f>
        <v/>
      </c>
      <c r="J266">
        <f>IF($F266="","",IF(OR($G266="",$H266="",$I266="",$G266&lt;1300,$G266&gt;1500,$H266&lt;1,$H266&gt;12,$I266&lt;1,$I266&gt;31),"نامعتبر",RIGHT("0000"&amp;$G266,4)&amp;"/"&amp;RIGHT("00"&amp;$H266,2)&amp;"/"&amp;RIGHT("00"&amp;$I266,2)))</f>
        <v/>
      </c>
      <c r="K266">
        <f>IF(OR($F266="",$J266="",$J266="نامعتبر"),"",LEFT($J266,4)&amp;MID($J266,6,2)&amp;RIGHT($J266,2)&amp;$N266&amp;"|"&amp;"2"&amp;RIGHT("00000"&amp;261,5))</f>
        <v/>
      </c>
      <c r="L266">
        <f>IF($K266="","",COUNTIFS(LdgPartyA,$F266,LdgKeyA,"&lt;"&amp;$K266)+COUNTIFS(LdgPartyB,$F266,LdgKeyB,"&lt;"&amp;$K266)+1)</f>
        <v/>
      </c>
      <c r="M266">
        <f>IF($L266="","",$F266&amp;"|"&amp;RIGHT("000000"&amp;$L266,6))</f>
        <v/>
      </c>
      <c r="N266">
        <f>IF($F266="","",IF(Sync!$AH266="","0000",IF(AND(ISNUMBER(Sync!$AH266),Sync!$AH266&gt;=0,Sync!$AH266&lt;1),RIGHT("00"&amp;HOUR(Sync!$AH266),2)&amp;RIGHT("00"&amp;MINUTE(Sync!$AH266),2),IFERROR(RIGHT("00"&amp;VALUE(LEFT(Sync!$AH266,FIND(":",Sync!$AH266)-1)),2)&amp;RIGHT("00"&amp;VALUE(MID(Sync!$AH266,FIND(":",Sync!$AH266)+1,2)),2),"0000"))))</f>
        <v/>
      </c>
    </row>
    <row r="267">
      <c r="A267">
        <f>IF(OR(Calc!$E270="",Calc!$E270="نامعتبر",Calc!$G270="",Calc!$I270&lt;&gt;"خرید"),"",Calc!$G270)</f>
        <v/>
      </c>
      <c r="B267">
        <f>IF($A267="","",LEFT(Calc!$E270,4)&amp;MID(Calc!$E270,6,2)&amp;RIGHT(Calc!$E270,2)&amp;Calc!$R270&amp;"|"&amp;"1"&amp;RIGHT("00000"&amp;262,5))</f>
        <v/>
      </c>
      <c r="C267">
        <f>IF($B267="","",COUNTIFS(LdgPartyA,$A267,LdgKeyA,"&lt;"&amp;$B267)+COUNTIFS(LdgPartyB,$A267,LdgKeyB,"&lt;"&amp;$B267)+1)</f>
        <v/>
      </c>
      <c r="D267">
        <f>IF($C267="","",$A267&amp;"|"&amp;RIGHT("000000"&amp;$C267,6))</f>
        <v/>
      </c>
      <c r="F267">
        <f>IF(Sync!$AJ267="","",Sync!$AJ267)</f>
        <v/>
      </c>
      <c r="G267">
        <f>IF($F267="","",IF(Sync!$AG267="","",IF(ISNUMBER(Sync!$AG267),IF(AND(Sync!$AG267&gt;=10000101,Sync!$AG267&lt;=99991231),INT(Sync!$AG267/10000),""),IFERROR(VALUE(TRIM(LEFT(Sync!$AG267,FIND("/",Sync!$AG267)-1))),""))))</f>
        <v/>
      </c>
      <c r="H267">
        <f>IF(OR($F267="",$G267=""),"",IF(ISNUMBER(Sync!$AG267),INT(MOD(Sync!$AG267,10000)/100),IFERROR(VALUE(TRIM(LEFT(MID(Sync!$AG267,FIND("/",Sync!$AG267)+1,20),FIND("/",MID(Sync!$AG267,FIND("/",Sync!$AG267)+1,20))-1))),"")))</f>
        <v/>
      </c>
      <c r="I267">
        <f>IF(OR($F267="",$G267=""),"",IF(ISNUMBER(Sync!$AG267),MOD(Sync!$AG267,100),IFERROR(VALUE(TRIM(MID(MID(Sync!$AG267,FIND("/",Sync!$AG267)+1,20),FIND("/",MID(Sync!$AG267,FIND("/",Sync!$AG267)+1,20))+1,20))),"")))</f>
        <v/>
      </c>
      <c r="J267">
        <f>IF($F267="","",IF(OR($G267="",$H267="",$I267="",$G267&lt;1300,$G267&gt;1500,$H267&lt;1,$H267&gt;12,$I267&lt;1,$I267&gt;31),"نامعتبر",RIGHT("0000"&amp;$G267,4)&amp;"/"&amp;RIGHT("00"&amp;$H267,2)&amp;"/"&amp;RIGHT("00"&amp;$I267,2)))</f>
        <v/>
      </c>
      <c r="K267">
        <f>IF(OR($F267="",$J267="",$J267="نامعتبر"),"",LEFT($J267,4)&amp;MID($J267,6,2)&amp;RIGHT($J267,2)&amp;$N267&amp;"|"&amp;"2"&amp;RIGHT("00000"&amp;262,5))</f>
        <v/>
      </c>
      <c r="L267">
        <f>IF($K267="","",COUNTIFS(LdgPartyA,$F267,LdgKeyA,"&lt;"&amp;$K267)+COUNTIFS(LdgPartyB,$F267,LdgKeyB,"&lt;"&amp;$K267)+1)</f>
        <v/>
      </c>
      <c r="M267">
        <f>IF($L267="","",$F267&amp;"|"&amp;RIGHT("000000"&amp;$L267,6))</f>
        <v/>
      </c>
      <c r="N267">
        <f>IF($F267="","",IF(Sync!$AH267="","0000",IF(AND(ISNUMBER(Sync!$AH267),Sync!$AH267&gt;=0,Sync!$AH267&lt;1),RIGHT("00"&amp;HOUR(Sync!$AH267),2)&amp;RIGHT("00"&amp;MINUTE(Sync!$AH267),2),IFERROR(RIGHT("00"&amp;VALUE(LEFT(Sync!$AH267,FIND(":",Sync!$AH267)-1)),2)&amp;RIGHT("00"&amp;VALUE(MID(Sync!$AH267,FIND(":",Sync!$AH267)+1,2)),2),"0000"))))</f>
        <v/>
      </c>
    </row>
    <row r="268">
      <c r="A268">
        <f>IF(OR(Calc!$E271="",Calc!$E271="نامعتبر",Calc!$G271="",Calc!$I271&lt;&gt;"خرید"),"",Calc!$G271)</f>
        <v/>
      </c>
      <c r="B268">
        <f>IF($A268="","",LEFT(Calc!$E271,4)&amp;MID(Calc!$E271,6,2)&amp;RIGHT(Calc!$E271,2)&amp;Calc!$R271&amp;"|"&amp;"1"&amp;RIGHT("00000"&amp;263,5))</f>
        <v/>
      </c>
      <c r="C268">
        <f>IF($B268="","",COUNTIFS(LdgPartyA,$A268,LdgKeyA,"&lt;"&amp;$B268)+COUNTIFS(LdgPartyB,$A268,LdgKeyB,"&lt;"&amp;$B268)+1)</f>
        <v/>
      </c>
      <c r="D268">
        <f>IF($C268="","",$A268&amp;"|"&amp;RIGHT("000000"&amp;$C268,6))</f>
        <v/>
      </c>
      <c r="F268">
        <f>IF(Sync!$AJ268="","",Sync!$AJ268)</f>
        <v/>
      </c>
      <c r="G268">
        <f>IF($F268="","",IF(Sync!$AG268="","",IF(ISNUMBER(Sync!$AG268),IF(AND(Sync!$AG268&gt;=10000101,Sync!$AG268&lt;=99991231),INT(Sync!$AG268/10000),""),IFERROR(VALUE(TRIM(LEFT(Sync!$AG268,FIND("/",Sync!$AG268)-1))),""))))</f>
        <v/>
      </c>
      <c r="H268">
        <f>IF(OR($F268="",$G268=""),"",IF(ISNUMBER(Sync!$AG268),INT(MOD(Sync!$AG268,10000)/100),IFERROR(VALUE(TRIM(LEFT(MID(Sync!$AG268,FIND("/",Sync!$AG268)+1,20),FIND("/",MID(Sync!$AG268,FIND("/",Sync!$AG268)+1,20))-1))),"")))</f>
        <v/>
      </c>
      <c r="I268">
        <f>IF(OR($F268="",$G268=""),"",IF(ISNUMBER(Sync!$AG268),MOD(Sync!$AG268,100),IFERROR(VALUE(TRIM(MID(MID(Sync!$AG268,FIND("/",Sync!$AG268)+1,20),FIND("/",MID(Sync!$AG268,FIND("/",Sync!$AG268)+1,20))+1,20))),"")))</f>
        <v/>
      </c>
      <c r="J268">
        <f>IF($F268="","",IF(OR($G268="",$H268="",$I268="",$G268&lt;1300,$G268&gt;1500,$H268&lt;1,$H268&gt;12,$I268&lt;1,$I268&gt;31),"نامعتبر",RIGHT("0000"&amp;$G268,4)&amp;"/"&amp;RIGHT("00"&amp;$H268,2)&amp;"/"&amp;RIGHT("00"&amp;$I268,2)))</f>
        <v/>
      </c>
      <c r="K268">
        <f>IF(OR($F268="",$J268="",$J268="نامعتبر"),"",LEFT($J268,4)&amp;MID($J268,6,2)&amp;RIGHT($J268,2)&amp;$N268&amp;"|"&amp;"2"&amp;RIGHT("00000"&amp;263,5))</f>
        <v/>
      </c>
      <c r="L268">
        <f>IF($K268="","",COUNTIFS(LdgPartyA,$F268,LdgKeyA,"&lt;"&amp;$K268)+COUNTIFS(LdgPartyB,$F268,LdgKeyB,"&lt;"&amp;$K268)+1)</f>
        <v/>
      </c>
      <c r="M268">
        <f>IF($L268="","",$F268&amp;"|"&amp;RIGHT("000000"&amp;$L268,6))</f>
        <v/>
      </c>
      <c r="N268">
        <f>IF($F268="","",IF(Sync!$AH268="","0000",IF(AND(ISNUMBER(Sync!$AH268),Sync!$AH268&gt;=0,Sync!$AH268&lt;1),RIGHT("00"&amp;HOUR(Sync!$AH268),2)&amp;RIGHT("00"&amp;MINUTE(Sync!$AH268),2),IFERROR(RIGHT("00"&amp;VALUE(LEFT(Sync!$AH268,FIND(":",Sync!$AH268)-1)),2)&amp;RIGHT("00"&amp;VALUE(MID(Sync!$AH268,FIND(":",Sync!$AH268)+1,2)),2),"0000"))))</f>
        <v/>
      </c>
    </row>
    <row r="269">
      <c r="A269">
        <f>IF(OR(Calc!$E272="",Calc!$E272="نامعتبر",Calc!$G272="",Calc!$I272&lt;&gt;"خرید"),"",Calc!$G272)</f>
        <v/>
      </c>
      <c r="B269">
        <f>IF($A269="","",LEFT(Calc!$E272,4)&amp;MID(Calc!$E272,6,2)&amp;RIGHT(Calc!$E272,2)&amp;Calc!$R272&amp;"|"&amp;"1"&amp;RIGHT("00000"&amp;264,5))</f>
        <v/>
      </c>
      <c r="C269">
        <f>IF($B269="","",COUNTIFS(LdgPartyA,$A269,LdgKeyA,"&lt;"&amp;$B269)+COUNTIFS(LdgPartyB,$A269,LdgKeyB,"&lt;"&amp;$B269)+1)</f>
        <v/>
      </c>
      <c r="D269">
        <f>IF($C269="","",$A269&amp;"|"&amp;RIGHT("000000"&amp;$C269,6))</f>
        <v/>
      </c>
      <c r="F269">
        <f>IF(Sync!$AJ269="","",Sync!$AJ269)</f>
        <v/>
      </c>
      <c r="G269">
        <f>IF($F269="","",IF(Sync!$AG269="","",IF(ISNUMBER(Sync!$AG269),IF(AND(Sync!$AG269&gt;=10000101,Sync!$AG269&lt;=99991231),INT(Sync!$AG269/10000),""),IFERROR(VALUE(TRIM(LEFT(Sync!$AG269,FIND("/",Sync!$AG269)-1))),""))))</f>
        <v/>
      </c>
      <c r="H269">
        <f>IF(OR($F269="",$G269=""),"",IF(ISNUMBER(Sync!$AG269),INT(MOD(Sync!$AG269,10000)/100),IFERROR(VALUE(TRIM(LEFT(MID(Sync!$AG269,FIND("/",Sync!$AG269)+1,20),FIND("/",MID(Sync!$AG269,FIND("/",Sync!$AG269)+1,20))-1))),"")))</f>
        <v/>
      </c>
      <c r="I269">
        <f>IF(OR($F269="",$G269=""),"",IF(ISNUMBER(Sync!$AG269),MOD(Sync!$AG269,100),IFERROR(VALUE(TRIM(MID(MID(Sync!$AG269,FIND("/",Sync!$AG269)+1,20),FIND("/",MID(Sync!$AG269,FIND("/",Sync!$AG269)+1,20))+1,20))),"")))</f>
        <v/>
      </c>
      <c r="J269">
        <f>IF($F269="","",IF(OR($G269="",$H269="",$I269="",$G269&lt;1300,$G269&gt;1500,$H269&lt;1,$H269&gt;12,$I269&lt;1,$I269&gt;31),"نامعتبر",RIGHT("0000"&amp;$G269,4)&amp;"/"&amp;RIGHT("00"&amp;$H269,2)&amp;"/"&amp;RIGHT("00"&amp;$I269,2)))</f>
        <v/>
      </c>
      <c r="K269">
        <f>IF(OR($F269="",$J269="",$J269="نامعتبر"),"",LEFT($J269,4)&amp;MID($J269,6,2)&amp;RIGHT($J269,2)&amp;$N269&amp;"|"&amp;"2"&amp;RIGHT("00000"&amp;264,5))</f>
        <v/>
      </c>
      <c r="L269">
        <f>IF($K269="","",COUNTIFS(LdgPartyA,$F269,LdgKeyA,"&lt;"&amp;$K269)+COUNTIFS(LdgPartyB,$F269,LdgKeyB,"&lt;"&amp;$K269)+1)</f>
        <v/>
      </c>
      <c r="M269">
        <f>IF($L269="","",$F269&amp;"|"&amp;RIGHT("000000"&amp;$L269,6))</f>
        <v/>
      </c>
      <c r="N269">
        <f>IF($F269="","",IF(Sync!$AH269="","0000",IF(AND(ISNUMBER(Sync!$AH269),Sync!$AH269&gt;=0,Sync!$AH269&lt;1),RIGHT("00"&amp;HOUR(Sync!$AH269),2)&amp;RIGHT("00"&amp;MINUTE(Sync!$AH269),2),IFERROR(RIGHT("00"&amp;VALUE(LEFT(Sync!$AH269,FIND(":",Sync!$AH269)-1)),2)&amp;RIGHT("00"&amp;VALUE(MID(Sync!$AH269,FIND(":",Sync!$AH269)+1,2)),2),"0000"))))</f>
        <v/>
      </c>
    </row>
    <row r="270">
      <c r="A270">
        <f>IF(OR(Calc!$E273="",Calc!$E273="نامعتبر",Calc!$G273="",Calc!$I273&lt;&gt;"خرید"),"",Calc!$G273)</f>
        <v/>
      </c>
      <c r="B270">
        <f>IF($A270="","",LEFT(Calc!$E273,4)&amp;MID(Calc!$E273,6,2)&amp;RIGHT(Calc!$E273,2)&amp;Calc!$R273&amp;"|"&amp;"1"&amp;RIGHT("00000"&amp;265,5))</f>
        <v/>
      </c>
      <c r="C270">
        <f>IF($B270="","",COUNTIFS(LdgPartyA,$A270,LdgKeyA,"&lt;"&amp;$B270)+COUNTIFS(LdgPartyB,$A270,LdgKeyB,"&lt;"&amp;$B270)+1)</f>
        <v/>
      </c>
      <c r="D270">
        <f>IF($C270="","",$A270&amp;"|"&amp;RIGHT("000000"&amp;$C270,6))</f>
        <v/>
      </c>
      <c r="F270">
        <f>IF(Sync!$AJ270="","",Sync!$AJ270)</f>
        <v/>
      </c>
      <c r="G270">
        <f>IF($F270="","",IF(Sync!$AG270="","",IF(ISNUMBER(Sync!$AG270),IF(AND(Sync!$AG270&gt;=10000101,Sync!$AG270&lt;=99991231),INT(Sync!$AG270/10000),""),IFERROR(VALUE(TRIM(LEFT(Sync!$AG270,FIND("/",Sync!$AG270)-1))),""))))</f>
        <v/>
      </c>
      <c r="H270">
        <f>IF(OR($F270="",$G270=""),"",IF(ISNUMBER(Sync!$AG270),INT(MOD(Sync!$AG270,10000)/100),IFERROR(VALUE(TRIM(LEFT(MID(Sync!$AG270,FIND("/",Sync!$AG270)+1,20),FIND("/",MID(Sync!$AG270,FIND("/",Sync!$AG270)+1,20))-1))),"")))</f>
        <v/>
      </c>
      <c r="I270">
        <f>IF(OR($F270="",$G270=""),"",IF(ISNUMBER(Sync!$AG270),MOD(Sync!$AG270,100),IFERROR(VALUE(TRIM(MID(MID(Sync!$AG270,FIND("/",Sync!$AG270)+1,20),FIND("/",MID(Sync!$AG270,FIND("/",Sync!$AG270)+1,20))+1,20))),"")))</f>
        <v/>
      </c>
      <c r="J270">
        <f>IF($F270="","",IF(OR($G270="",$H270="",$I270="",$G270&lt;1300,$G270&gt;1500,$H270&lt;1,$H270&gt;12,$I270&lt;1,$I270&gt;31),"نامعتبر",RIGHT("0000"&amp;$G270,4)&amp;"/"&amp;RIGHT("00"&amp;$H270,2)&amp;"/"&amp;RIGHT("00"&amp;$I270,2)))</f>
        <v/>
      </c>
      <c r="K270">
        <f>IF(OR($F270="",$J270="",$J270="نامعتبر"),"",LEFT($J270,4)&amp;MID($J270,6,2)&amp;RIGHT($J270,2)&amp;$N270&amp;"|"&amp;"2"&amp;RIGHT("00000"&amp;265,5))</f>
        <v/>
      </c>
      <c r="L270">
        <f>IF($K270="","",COUNTIFS(LdgPartyA,$F270,LdgKeyA,"&lt;"&amp;$K270)+COUNTIFS(LdgPartyB,$F270,LdgKeyB,"&lt;"&amp;$K270)+1)</f>
        <v/>
      </c>
      <c r="M270">
        <f>IF($L270="","",$F270&amp;"|"&amp;RIGHT("000000"&amp;$L270,6))</f>
        <v/>
      </c>
      <c r="N270">
        <f>IF($F270="","",IF(Sync!$AH270="","0000",IF(AND(ISNUMBER(Sync!$AH270),Sync!$AH270&gt;=0,Sync!$AH270&lt;1),RIGHT("00"&amp;HOUR(Sync!$AH270),2)&amp;RIGHT("00"&amp;MINUTE(Sync!$AH270),2),IFERROR(RIGHT("00"&amp;VALUE(LEFT(Sync!$AH270,FIND(":",Sync!$AH270)-1)),2)&amp;RIGHT("00"&amp;VALUE(MID(Sync!$AH270,FIND(":",Sync!$AH270)+1,2)),2),"0000"))))</f>
        <v/>
      </c>
    </row>
    <row r="271">
      <c r="A271">
        <f>IF(OR(Calc!$E274="",Calc!$E274="نامعتبر",Calc!$G274="",Calc!$I274&lt;&gt;"خرید"),"",Calc!$G274)</f>
        <v/>
      </c>
      <c r="B271">
        <f>IF($A271="","",LEFT(Calc!$E274,4)&amp;MID(Calc!$E274,6,2)&amp;RIGHT(Calc!$E274,2)&amp;Calc!$R274&amp;"|"&amp;"1"&amp;RIGHT("00000"&amp;266,5))</f>
        <v/>
      </c>
      <c r="C271">
        <f>IF($B271="","",COUNTIFS(LdgPartyA,$A271,LdgKeyA,"&lt;"&amp;$B271)+COUNTIFS(LdgPartyB,$A271,LdgKeyB,"&lt;"&amp;$B271)+1)</f>
        <v/>
      </c>
      <c r="D271">
        <f>IF($C271="","",$A271&amp;"|"&amp;RIGHT("000000"&amp;$C271,6))</f>
        <v/>
      </c>
      <c r="F271">
        <f>IF(Sync!$AJ271="","",Sync!$AJ271)</f>
        <v/>
      </c>
      <c r="G271">
        <f>IF($F271="","",IF(Sync!$AG271="","",IF(ISNUMBER(Sync!$AG271),IF(AND(Sync!$AG271&gt;=10000101,Sync!$AG271&lt;=99991231),INT(Sync!$AG271/10000),""),IFERROR(VALUE(TRIM(LEFT(Sync!$AG271,FIND("/",Sync!$AG271)-1))),""))))</f>
        <v/>
      </c>
      <c r="H271">
        <f>IF(OR($F271="",$G271=""),"",IF(ISNUMBER(Sync!$AG271),INT(MOD(Sync!$AG271,10000)/100),IFERROR(VALUE(TRIM(LEFT(MID(Sync!$AG271,FIND("/",Sync!$AG271)+1,20),FIND("/",MID(Sync!$AG271,FIND("/",Sync!$AG271)+1,20))-1))),"")))</f>
        <v/>
      </c>
      <c r="I271">
        <f>IF(OR($F271="",$G271=""),"",IF(ISNUMBER(Sync!$AG271),MOD(Sync!$AG271,100),IFERROR(VALUE(TRIM(MID(MID(Sync!$AG271,FIND("/",Sync!$AG271)+1,20),FIND("/",MID(Sync!$AG271,FIND("/",Sync!$AG271)+1,20))+1,20))),"")))</f>
        <v/>
      </c>
      <c r="J271">
        <f>IF($F271="","",IF(OR($G271="",$H271="",$I271="",$G271&lt;1300,$G271&gt;1500,$H271&lt;1,$H271&gt;12,$I271&lt;1,$I271&gt;31),"نامعتبر",RIGHT("0000"&amp;$G271,4)&amp;"/"&amp;RIGHT("00"&amp;$H271,2)&amp;"/"&amp;RIGHT("00"&amp;$I271,2)))</f>
        <v/>
      </c>
      <c r="K271">
        <f>IF(OR($F271="",$J271="",$J271="نامعتبر"),"",LEFT($J271,4)&amp;MID($J271,6,2)&amp;RIGHT($J271,2)&amp;$N271&amp;"|"&amp;"2"&amp;RIGHT("00000"&amp;266,5))</f>
        <v/>
      </c>
      <c r="L271">
        <f>IF($K271="","",COUNTIFS(LdgPartyA,$F271,LdgKeyA,"&lt;"&amp;$K271)+COUNTIFS(LdgPartyB,$F271,LdgKeyB,"&lt;"&amp;$K271)+1)</f>
        <v/>
      </c>
      <c r="M271">
        <f>IF($L271="","",$F271&amp;"|"&amp;RIGHT("000000"&amp;$L271,6))</f>
        <v/>
      </c>
      <c r="N271">
        <f>IF($F271="","",IF(Sync!$AH271="","0000",IF(AND(ISNUMBER(Sync!$AH271),Sync!$AH271&gt;=0,Sync!$AH271&lt;1),RIGHT("00"&amp;HOUR(Sync!$AH271),2)&amp;RIGHT("00"&amp;MINUTE(Sync!$AH271),2),IFERROR(RIGHT("00"&amp;VALUE(LEFT(Sync!$AH271,FIND(":",Sync!$AH271)-1)),2)&amp;RIGHT("00"&amp;VALUE(MID(Sync!$AH271,FIND(":",Sync!$AH271)+1,2)),2),"0000"))))</f>
        <v/>
      </c>
    </row>
    <row r="272">
      <c r="A272">
        <f>IF(OR(Calc!$E275="",Calc!$E275="نامعتبر",Calc!$G275="",Calc!$I275&lt;&gt;"خرید"),"",Calc!$G275)</f>
        <v/>
      </c>
      <c r="B272">
        <f>IF($A272="","",LEFT(Calc!$E275,4)&amp;MID(Calc!$E275,6,2)&amp;RIGHT(Calc!$E275,2)&amp;Calc!$R275&amp;"|"&amp;"1"&amp;RIGHT("00000"&amp;267,5))</f>
        <v/>
      </c>
      <c r="C272">
        <f>IF($B272="","",COUNTIFS(LdgPartyA,$A272,LdgKeyA,"&lt;"&amp;$B272)+COUNTIFS(LdgPartyB,$A272,LdgKeyB,"&lt;"&amp;$B272)+1)</f>
        <v/>
      </c>
      <c r="D272">
        <f>IF($C272="","",$A272&amp;"|"&amp;RIGHT("000000"&amp;$C272,6))</f>
        <v/>
      </c>
      <c r="F272">
        <f>IF(Sync!$AJ272="","",Sync!$AJ272)</f>
        <v/>
      </c>
      <c r="G272">
        <f>IF($F272="","",IF(Sync!$AG272="","",IF(ISNUMBER(Sync!$AG272),IF(AND(Sync!$AG272&gt;=10000101,Sync!$AG272&lt;=99991231),INT(Sync!$AG272/10000),""),IFERROR(VALUE(TRIM(LEFT(Sync!$AG272,FIND("/",Sync!$AG272)-1))),""))))</f>
        <v/>
      </c>
      <c r="H272">
        <f>IF(OR($F272="",$G272=""),"",IF(ISNUMBER(Sync!$AG272),INT(MOD(Sync!$AG272,10000)/100),IFERROR(VALUE(TRIM(LEFT(MID(Sync!$AG272,FIND("/",Sync!$AG272)+1,20),FIND("/",MID(Sync!$AG272,FIND("/",Sync!$AG272)+1,20))-1))),"")))</f>
        <v/>
      </c>
      <c r="I272">
        <f>IF(OR($F272="",$G272=""),"",IF(ISNUMBER(Sync!$AG272),MOD(Sync!$AG272,100),IFERROR(VALUE(TRIM(MID(MID(Sync!$AG272,FIND("/",Sync!$AG272)+1,20),FIND("/",MID(Sync!$AG272,FIND("/",Sync!$AG272)+1,20))+1,20))),"")))</f>
        <v/>
      </c>
      <c r="J272">
        <f>IF($F272="","",IF(OR($G272="",$H272="",$I272="",$G272&lt;1300,$G272&gt;1500,$H272&lt;1,$H272&gt;12,$I272&lt;1,$I272&gt;31),"نامعتبر",RIGHT("0000"&amp;$G272,4)&amp;"/"&amp;RIGHT("00"&amp;$H272,2)&amp;"/"&amp;RIGHT("00"&amp;$I272,2)))</f>
        <v/>
      </c>
      <c r="K272">
        <f>IF(OR($F272="",$J272="",$J272="نامعتبر"),"",LEFT($J272,4)&amp;MID($J272,6,2)&amp;RIGHT($J272,2)&amp;$N272&amp;"|"&amp;"2"&amp;RIGHT("00000"&amp;267,5))</f>
        <v/>
      </c>
      <c r="L272">
        <f>IF($K272="","",COUNTIFS(LdgPartyA,$F272,LdgKeyA,"&lt;"&amp;$K272)+COUNTIFS(LdgPartyB,$F272,LdgKeyB,"&lt;"&amp;$K272)+1)</f>
        <v/>
      </c>
      <c r="M272">
        <f>IF($L272="","",$F272&amp;"|"&amp;RIGHT("000000"&amp;$L272,6))</f>
        <v/>
      </c>
      <c r="N272">
        <f>IF($F272="","",IF(Sync!$AH272="","0000",IF(AND(ISNUMBER(Sync!$AH272),Sync!$AH272&gt;=0,Sync!$AH272&lt;1),RIGHT("00"&amp;HOUR(Sync!$AH272),2)&amp;RIGHT("00"&amp;MINUTE(Sync!$AH272),2),IFERROR(RIGHT("00"&amp;VALUE(LEFT(Sync!$AH272,FIND(":",Sync!$AH272)-1)),2)&amp;RIGHT("00"&amp;VALUE(MID(Sync!$AH272,FIND(":",Sync!$AH272)+1,2)),2),"0000"))))</f>
        <v/>
      </c>
    </row>
    <row r="273">
      <c r="A273">
        <f>IF(OR(Calc!$E276="",Calc!$E276="نامعتبر",Calc!$G276="",Calc!$I276&lt;&gt;"خرید"),"",Calc!$G276)</f>
        <v/>
      </c>
      <c r="B273">
        <f>IF($A273="","",LEFT(Calc!$E276,4)&amp;MID(Calc!$E276,6,2)&amp;RIGHT(Calc!$E276,2)&amp;Calc!$R276&amp;"|"&amp;"1"&amp;RIGHT("00000"&amp;268,5))</f>
        <v/>
      </c>
      <c r="C273">
        <f>IF($B273="","",COUNTIFS(LdgPartyA,$A273,LdgKeyA,"&lt;"&amp;$B273)+COUNTIFS(LdgPartyB,$A273,LdgKeyB,"&lt;"&amp;$B273)+1)</f>
        <v/>
      </c>
      <c r="D273">
        <f>IF($C273="","",$A273&amp;"|"&amp;RIGHT("000000"&amp;$C273,6))</f>
        <v/>
      </c>
      <c r="F273">
        <f>IF(Sync!$AJ273="","",Sync!$AJ273)</f>
        <v/>
      </c>
      <c r="G273">
        <f>IF($F273="","",IF(Sync!$AG273="","",IF(ISNUMBER(Sync!$AG273),IF(AND(Sync!$AG273&gt;=10000101,Sync!$AG273&lt;=99991231),INT(Sync!$AG273/10000),""),IFERROR(VALUE(TRIM(LEFT(Sync!$AG273,FIND("/",Sync!$AG273)-1))),""))))</f>
        <v/>
      </c>
      <c r="H273">
        <f>IF(OR($F273="",$G273=""),"",IF(ISNUMBER(Sync!$AG273),INT(MOD(Sync!$AG273,10000)/100),IFERROR(VALUE(TRIM(LEFT(MID(Sync!$AG273,FIND("/",Sync!$AG273)+1,20),FIND("/",MID(Sync!$AG273,FIND("/",Sync!$AG273)+1,20))-1))),"")))</f>
        <v/>
      </c>
      <c r="I273">
        <f>IF(OR($F273="",$G273=""),"",IF(ISNUMBER(Sync!$AG273),MOD(Sync!$AG273,100),IFERROR(VALUE(TRIM(MID(MID(Sync!$AG273,FIND("/",Sync!$AG273)+1,20),FIND("/",MID(Sync!$AG273,FIND("/",Sync!$AG273)+1,20))+1,20))),"")))</f>
        <v/>
      </c>
      <c r="J273">
        <f>IF($F273="","",IF(OR($G273="",$H273="",$I273="",$G273&lt;1300,$G273&gt;1500,$H273&lt;1,$H273&gt;12,$I273&lt;1,$I273&gt;31),"نامعتبر",RIGHT("0000"&amp;$G273,4)&amp;"/"&amp;RIGHT("00"&amp;$H273,2)&amp;"/"&amp;RIGHT("00"&amp;$I273,2)))</f>
        <v/>
      </c>
      <c r="K273">
        <f>IF(OR($F273="",$J273="",$J273="نامعتبر"),"",LEFT($J273,4)&amp;MID($J273,6,2)&amp;RIGHT($J273,2)&amp;$N273&amp;"|"&amp;"2"&amp;RIGHT("00000"&amp;268,5))</f>
        <v/>
      </c>
      <c r="L273">
        <f>IF($K273="","",COUNTIFS(LdgPartyA,$F273,LdgKeyA,"&lt;"&amp;$K273)+COUNTIFS(LdgPartyB,$F273,LdgKeyB,"&lt;"&amp;$K273)+1)</f>
        <v/>
      </c>
      <c r="M273">
        <f>IF($L273="","",$F273&amp;"|"&amp;RIGHT("000000"&amp;$L273,6))</f>
        <v/>
      </c>
      <c r="N273">
        <f>IF($F273="","",IF(Sync!$AH273="","0000",IF(AND(ISNUMBER(Sync!$AH273),Sync!$AH273&gt;=0,Sync!$AH273&lt;1),RIGHT("00"&amp;HOUR(Sync!$AH273),2)&amp;RIGHT("00"&amp;MINUTE(Sync!$AH273),2),IFERROR(RIGHT("00"&amp;VALUE(LEFT(Sync!$AH273,FIND(":",Sync!$AH273)-1)),2)&amp;RIGHT("00"&amp;VALUE(MID(Sync!$AH273,FIND(":",Sync!$AH273)+1,2)),2),"0000"))))</f>
        <v/>
      </c>
    </row>
    <row r="274">
      <c r="A274">
        <f>IF(OR(Calc!$E277="",Calc!$E277="نامعتبر",Calc!$G277="",Calc!$I277&lt;&gt;"خرید"),"",Calc!$G277)</f>
        <v/>
      </c>
      <c r="B274">
        <f>IF($A274="","",LEFT(Calc!$E277,4)&amp;MID(Calc!$E277,6,2)&amp;RIGHT(Calc!$E277,2)&amp;Calc!$R277&amp;"|"&amp;"1"&amp;RIGHT("00000"&amp;269,5))</f>
        <v/>
      </c>
      <c r="C274">
        <f>IF($B274="","",COUNTIFS(LdgPartyA,$A274,LdgKeyA,"&lt;"&amp;$B274)+COUNTIFS(LdgPartyB,$A274,LdgKeyB,"&lt;"&amp;$B274)+1)</f>
        <v/>
      </c>
      <c r="D274">
        <f>IF($C274="","",$A274&amp;"|"&amp;RIGHT("000000"&amp;$C274,6))</f>
        <v/>
      </c>
      <c r="F274">
        <f>IF(Sync!$AJ274="","",Sync!$AJ274)</f>
        <v/>
      </c>
      <c r="G274">
        <f>IF($F274="","",IF(Sync!$AG274="","",IF(ISNUMBER(Sync!$AG274),IF(AND(Sync!$AG274&gt;=10000101,Sync!$AG274&lt;=99991231),INT(Sync!$AG274/10000),""),IFERROR(VALUE(TRIM(LEFT(Sync!$AG274,FIND("/",Sync!$AG274)-1))),""))))</f>
        <v/>
      </c>
      <c r="H274">
        <f>IF(OR($F274="",$G274=""),"",IF(ISNUMBER(Sync!$AG274),INT(MOD(Sync!$AG274,10000)/100),IFERROR(VALUE(TRIM(LEFT(MID(Sync!$AG274,FIND("/",Sync!$AG274)+1,20),FIND("/",MID(Sync!$AG274,FIND("/",Sync!$AG274)+1,20))-1))),"")))</f>
        <v/>
      </c>
      <c r="I274">
        <f>IF(OR($F274="",$G274=""),"",IF(ISNUMBER(Sync!$AG274),MOD(Sync!$AG274,100),IFERROR(VALUE(TRIM(MID(MID(Sync!$AG274,FIND("/",Sync!$AG274)+1,20),FIND("/",MID(Sync!$AG274,FIND("/",Sync!$AG274)+1,20))+1,20))),"")))</f>
        <v/>
      </c>
      <c r="J274">
        <f>IF($F274="","",IF(OR($G274="",$H274="",$I274="",$G274&lt;1300,$G274&gt;1500,$H274&lt;1,$H274&gt;12,$I274&lt;1,$I274&gt;31),"نامعتبر",RIGHT("0000"&amp;$G274,4)&amp;"/"&amp;RIGHT("00"&amp;$H274,2)&amp;"/"&amp;RIGHT("00"&amp;$I274,2)))</f>
        <v/>
      </c>
      <c r="K274">
        <f>IF(OR($F274="",$J274="",$J274="نامعتبر"),"",LEFT($J274,4)&amp;MID($J274,6,2)&amp;RIGHT($J274,2)&amp;$N274&amp;"|"&amp;"2"&amp;RIGHT("00000"&amp;269,5))</f>
        <v/>
      </c>
      <c r="L274">
        <f>IF($K274="","",COUNTIFS(LdgPartyA,$F274,LdgKeyA,"&lt;"&amp;$K274)+COUNTIFS(LdgPartyB,$F274,LdgKeyB,"&lt;"&amp;$K274)+1)</f>
        <v/>
      </c>
      <c r="M274">
        <f>IF($L274="","",$F274&amp;"|"&amp;RIGHT("000000"&amp;$L274,6))</f>
        <v/>
      </c>
      <c r="N274">
        <f>IF($F274="","",IF(Sync!$AH274="","0000",IF(AND(ISNUMBER(Sync!$AH274),Sync!$AH274&gt;=0,Sync!$AH274&lt;1),RIGHT("00"&amp;HOUR(Sync!$AH274),2)&amp;RIGHT("00"&amp;MINUTE(Sync!$AH274),2),IFERROR(RIGHT("00"&amp;VALUE(LEFT(Sync!$AH274,FIND(":",Sync!$AH274)-1)),2)&amp;RIGHT("00"&amp;VALUE(MID(Sync!$AH274,FIND(":",Sync!$AH274)+1,2)),2),"0000"))))</f>
        <v/>
      </c>
    </row>
    <row r="275">
      <c r="A275">
        <f>IF(OR(Calc!$E278="",Calc!$E278="نامعتبر",Calc!$G278="",Calc!$I278&lt;&gt;"خرید"),"",Calc!$G278)</f>
        <v/>
      </c>
      <c r="B275">
        <f>IF($A275="","",LEFT(Calc!$E278,4)&amp;MID(Calc!$E278,6,2)&amp;RIGHT(Calc!$E278,2)&amp;Calc!$R278&amp;"|"&amp;"1"&amp;RIGHT("00000"&amp;270,5))</f>
        <v/>
      </c>
      <c r="C275">
        <f>IF($B275="","",COUNTIFS(LdgPartyA,$A275,LdgKeyA,"&lt;"&amp;$B275)+COUNTIFS(LdgPartyB,$A275,LdgKeyB,"&lt;"&amp;$B275)+1)</f>
        <v/>
      </c>
      <c r="D275">
        <f>IF($C275="","",$A275&amp;"|"&amp;RIGHT("000000"&amp;$C275,6))</f>
        <v/>
      </c>
      <c r="F275">
        <f>IF(Sync!$AJ275="","",Sync!$AJ275)</f>
        <v/>
      </c>
      <c r="G275">
        <f>IF($F275="","",IF(Sync!$AG275="","",IF(ISNUMBER(Sync!$AG275),IF(AND(Sync!$AG275&gt;=10000101,Sync!$AG275&lt;=99991231),INT(Sync!$AG275/10000),""),IFERROR(VALUE(TRIM(LEFT(Sync!$AG275,FIND("/",Sync!$AG275)-1))),""))))</f>
        <v/>
      </c>
      <c r="H275">
        <f>IF(OR($F275="",$G275=""),"",IF(ISNUMBER(Sync!$AG275),INT(MOD(Sync!$AG275,10000)/100),IFERROR(VALUE(TRIM(LEFT(MID(Sync!$AG275,FIND("/",Sync!$AG275)+1,20),FIND("/",MID(Sync!$AG275,FIND("/",Sync!$AG275)+1,20))-1))),"")))</f>
        <v/>
      </c>
      <c r="I275">
        <f>IF(OR($F275="",$G275=""),"",IF(ISNUMBER(Sync!$AG275),MOD(Sync!$AG275,100),IFERROR(VALUE(TRIM(MID(MID(Sync!$AG275,FIND("/",Sync!$AG275)+1,20),FIND("/",MID(Sync!$AG275,FIND("/",Sync!$AG275)+1,20))+1,20))),"")))</f>
        <v/>
      </c>
      <c r="J275">
        <f>IF($F275="","",IF(OR($G275="",$H275="",$I275="",$G275&lt;1300,$G275&gt;1500,$H275&lt;1,$H275&gt;12,$I275&lt;1,$I275&gt;31),"نامعتبر",RIGHT("0000"&amp;$G275,4)&amp;"/"&amp;RIGHT("00"&amp;$H275,2)&amp;"/"&amp;RIGHT("00"&amp;$I275,2)))</f>
        <v/>
      </c>
      <c r="K275">
        <f>IF(OR($F275="",$J275="",$J275="نامعتبر"),"",LEFT($J275,4)&amp;MID($J275,6,2)&amp;RIGHT($J275,2)&amp;$N275&amp;"|"&amp;"2"&amp;RIGHT("00000"&amp;270,5))</f>
        <v/>
      </c>
      <c r="L275">
        <f>IF($K275="","",COUNTIFS(LdgPartyA,$F275,LdgKeyA,"&lt;"&amp;$K275)+COUNTIFS(LdgPartyB,$F275,LdgKeyB,"&lt;"&amp;$K275)+1)</f>
        <v/>
      </c>
      <c r="M275">
        <f>IF($L275="","",$F275&amp;"|"&amp;RIGHT("000000"&amp;$L275,6))</f>
        <v/>
      </c>
      <c r="N275">
        <f>IF($F275="","",IF(Sync!$AH275="","0000",IF(AND(ISNUMBER(Sync!$AH275),Sync!$AH275&gt;=0,Sync!$AH275&lt;1),RIGHT("00"&amp;HOUR(Sync!$AH275),2)&amp;RIGHT("00"&amp;MINUTE(Sync!$AH275),2),IFERROR(RIGHT("00"&amp;VALUE(LEFT(Sync!$AH275,FIND(":",Sync!$AH275)-1)),2)&amp;RIGHT("00"&amp;VALUE(MID(Sync!$AH275,FIND(":",Sync!$AH275)+1,2)),2),"0000"))))</f>
        <v/>
      </c>
    </row>
    <row r="276">
      <c r="A276">
        <f>IF(OR(Calc!$E279="",Calc!$E279="نامعتبر",Calc!$G279="",Calc!$I279&lt;&gt;"خرید"),"",Calc!$G279)</f>
        <v/>
      </c>
      <c r="B276">
        <f>IF($A276="","",LEFT(Calc!$E279,4)&amp;MID(Calc!$E279,6,2)&amp;RIGHT(Calc!$E279,2)&amp;Calc!$R279&amp;"|"&amp;"1"&amp;RIGHT("00000"&amp;271,5))</f>
        <v/>
      </c>
      <c r="C276">
        <f>IF($B276="","",COUNTIFS(LdgPartyA,$A276,LdgKeyA,"&lt;"&amp;$B276)+COUNTIFS(LdgPartyB,$A276,LdgKeyB,"&lt;"&amp;$B276)+1)</f>
        <v/>
      </c>
      <c r="D276">
        <f>IF($C276="","",$A276&amp;"|"&amp;RIGHT("000000"&amp;$C276,6))</f>
        <v/>
      </c>
      <c r="F276">
        <f>IF(Sync!$AJ276="","",Sync!$AJ276)</f>
        <v/>
      </c>
      <c r="G276">
        <f>IF($F276="","",IF(Sync!$AG276="","",IF(ISNUMBER(Sync!$AG276),IF(AND(Sync!$AG276&gt;=10000101,Sync!$AG276&lt;=99991231),INT(Sync!$AG276/10000),""),IFERROR(VALUE(TRIM(LEFT(Sync!$AG276,FIND("/",Sync!$AG276)-1))),""))))</f>
        <v/>
      </c>
      <c r="H276">
        <f>IF(OR($F276="",$G276=""),"",IF(ISNUMBER(Sync!$AG276),INT(MOD(Sync!$AG276,10000)/100),IFERROR(VALUE(TRIM(LEFT(MID(Sync!$AG276,FIND("/",Sync!$AG276)+1,20),FIND("/",MID(Sync!$AG276,FIND("/",Sync!$AG276)+1,20))-1))),"")))</f>
        <v/>
      </c>
      <c r="I276">
        <f>IF(OR($F276="",$G276=""),"",IF(ISNUMBER(Sync!$AG276),MOD(Sync!$AG276,100),IFERROR(VALUE(TRIM(MID(MID(Sync!$AG276,FIND("/",Sync!$AG276)+1,20),FIND("/",MID(Sync!$AG276,FIND("/",Sync!$AG276)+1,20))+1,20))),"")))</f>
        <v/>
      </c>
      <c r="J276">
        <f>IF($F276="","",IF(OR($G276="",$H276="",$I276="",$G276&lt;1300,$G276&gt;1500,$H276&lt;1,$H276&gt;12,$I276&lt;1,$I276&gt;31),"نامعتبر",RIGHT("0000"&amp;$G276,4)&amp;"/"&amp;RIGHT("00"&amp;$H276,2)&amp;"/"&amp;RIGHT("00"&amp;$I276,2)))</f>
        <v/>
      </c>
      <c r="K276">
        <f>IF(OR($F276="",$J276="",$J276="نامعتبر"),"",LEFT($J276,4)&amp;MID($J276,6,2)&amp;RIGHT($J276,2)&amp;$N276&amp;"|"&amp;"2"&amp;RIGHT("00000"&amp;271,5))</f>
        <v/>
      </c>
      <c r="L276">
        <f>IF($K276="","",COUNTIFS(LdgPartyA,$F276,LdgKeyA,"&lt;"&amp;$K276)+COUNTIFS(LdgPartyB,$F276,LdgKeyB,"&lt;"&amp;$K276)+1)</f>
        <v/>
      </c>
      <c r="M276">
        <f>IF($L276="","",$F276&amp;"|"&amp;RIGHT("000000"&amp;$L276,6))</f>
        <v/>
      </c>
      <c r="N276">
        <f>IF($F276="","",IF(Sync!$AH276="","0000",IF(AND(ISNUMBER(Sync!$AH276),Sync!$AH276&gt;=0,Sync!$AH276&lt;1),RIGHT("00"&amp;HOUR(Sync!$AH276),2)&amp;RIGHT("00"&amp;MINUTE(Sync!$AH276),2),IFERROR(RIGHT("00"&amp;VALUE(LEFT(Sync!$AH276,FIND(":",Sync!$AH276)-1)),2)&amp;RIGHT("00"&amp;VALUE(MID(Sync!$AH276,FIND(":",Sync!$AH276)+1,2)),2),"0000"))))</f>
        <v/>
      </c>
    </row>
    <row r="277">
      <c r="A277">
        <f>IF(OR(Calc!$E280="",Calc!$E280="نامعتبر",Calc!$G280="",Calc!$I280&lt;&gt;"خرید"),"",Calc!$G280)</f>
        <v/>
      </c>
      <c r="B277">
        <f>IF($A277="","",LEFT(Calc!$E280,4)&amp;MID(Calc!$E280,6,2)&amp;RIGHT(Calc!$E280,2)&amp;Calc!$R280&amp;"|"&amp;"1"&amp;RIGHT("00000"&amp;272,5))</f>
        <v/>
      </c>
      <c r="C277">
        <f>IF($B277="","",COUNTIFS(LdgPartyA,$A277,LdgKeyA,"&lt;"&amp;$B277)+COUNTIFS(LdgPartyB,$A277,LdgKeyB,"&lt;"&amp;$B277)+1)</f>
        <v/>
      </c>
      <c r="D277">
        <f>IF($C277="","",$A277&amp;"|"&amp;RIGHT("000000"&amp;$C277,6))</f>
        <v/>
      </c>
      <c r="F277">
        <f>IF(Sync!$AJ277="","",Sync!$AJ277)</f>
        <v/>
      </c>
      <c r="G277">
        <f>IF($F277="","",IF(Sync!$AG277="","",IF(ISNUMBER(Sync!$AG277),IF(AND(Sync!$AG277&gt;=10000101,Sync!$AG277&lt;=99991231),INT(Sync!$AG277/10000),""),IFERROR(VALUE(TRIM(LEFT(Sync!$AG277,FIND("/",Sync!$AG277)-1))),""))))</f>
        <v/>
      </c>
      <c r="H277">
        <f>IF(OR($F277="",$G277=""),"",IF(ISNUMBER(Sync!$AG277),INT(MOD(Sync!$AG277,10000)/100),IFERROR(VALUE(TRIM(LEFT(MID(Sync!$AG277,FIND("/",Sync!$AG277)+1,20),FIND("/",MID(Sync!$AG277,FIND("/",Sync!$AG277)+1,20))-1))),"")))</f>
        <v/>
      </c>
      <c r="I277">
        <f>IF(OR($F277="",$G277=""),"",IF(ISNUMBER(Sync!$AG277),MOD(Sync!$AG277,100),IFERROR(VALUE(TRIM(MID(MID(Sync!$AG277,FIND("/",Sync!$AG277)+1,20),FIND("/",MID(Sync!$AG277,FIND("/",Sync!$AG277)+1,20))+1,20))),"")))</f>
        <v/>
      </c>
      <c r="J277">
        <f>IF($F277="","",IF(OR($G277="",$H277="",$I277="",$G277&lt;1300,$G277&gt;1500,$H277&lt;1,$H277&gt;12,$I277&lt;1,$I277&gt;31),"نامعتبر",RIGHT("0000"&amp;$G277,4)&amp;"/"&amp;RIGHT("00"&amp;$H277,2)&amp;"/"&amp;RIGHT("00"&amp;$I277,2)))</f>
        <v/>
      </c>
      <c r="K277">
        <f>IF(OR($F277="",$J277="",$J277="نامعتبر"),"",LEFT($J277,4)&amp;MID($J277,6,2)&amp;RIGHT($J277,2)&amp;$N277&amp;"|"&amp;"2"&amp;RIGHT("00000"&amp;272,5))</f>
        <v/>
      </c>
      <c r="L277">
        <f>IF($K277="","",COUNTIFS(LdgPartyA,$F277,LdgKeyA,"&lt;"&amp;$K277)+COUNTIFS(LdgPartyB,$F277,LdgKeyB,"&lt;"&amp;$K277)+1)</f>
        <v/>
      </c>
      <c r="M277">
        <f>IF($L277="","",$F277&amp;"|"&amp;RIGHT("000000"&amp;$L277,6))</f>
        <v/>
      </c>
      <c r="N277">
        <f>IF($F277="","",IF(Sync!$AH277="","0000",IF(AND(ISNUMBER(Sync!$AH277),Sync!$AH277&gt;=0,Sync!$AH277&lt;1),RIGHT("00"&amp;HOUR(Sync!$AH277),2)&amp;RIGHT("00"&amp;MINUTE(Sync!$AH277),2),IFERROR(RIGHT("00"&amp;VALUE(LEFT(Sync!$AH277,FIND(":",Sync!$AH277)-1)),2)&amp;RIGHT("00"&amp;VALUE(MID(Sync!$AH277,FIND(":",Sync!$AH277)+1,2)),2),"0000"))))</f>
        <v/>
      </c>
    </row>
    <row r="278">
      <c r="A278">
        <f>IF(OR(Calc!$E281="",Calc!$E281="نامعتبر",Calc!$G281="",Calc!$I281&lt;&gt;"خرید"),"",Calc!$G281)</f>
        <v/>
      </c>
      <c r="B278">
        <f>IF($A278="","",LEFT(Calc!$E281,4)&amp;MID(Calc!$E281,6,2)&amp;RIGHT(Calc!$E281,2)&amp;Calc!$R281&amp;"|"&amp;"1"&amp;RIGHT("00000"&amp;273,5))</f>
        <v/>
      </c>
      <c r="C278">
        <f>IF($B278="","",COUNTIFS(LdgPartyA,$A278,LdgKeyA,"&lt;"&amp;$B278)+COUNTIFS(LdgPartyB,$A278,LdgKeyB,"&lt;"&amp;$B278)+1)</f>
        <v/>
      </c>
      <c r="D278">
        <f>IF($C278="","",$A278&amp;"|"&amp;RIGHT("000000"&amp;$C278,6))</f>
        <v/>
      </c>
      <c r="F278">
        <f>IF(Sync!$AJ278="","",Sync!$AJ278)</f>
        <v/>
      </c>
      <c r="G278">
        <f>IF($F278="","",IF(Sync!$AG278="","",IF(ISNUMBER(Sync!$AG278),IF(AND(Sync!$AG278&gt;=10000101,Sync!$AG278&lt;=99991231),INT(Sync!$AG278/10000),""),IFERROR(VALUE(TRIM(LEFT(Sync!$AG278,FIND("/",Sync!$AG278)-1))),""))))</f>
        <v/>
      </c>
      <c r="H278">
        <f>IF(OR($F278="",$G278=""),"",IF(ISNUMBER(Sync!$AG278),INT(MOD(Sync!$AG278,10000)/100),IFERROR(VALUE(TRIM(LEFT(MID(Sync!$AG278,FIND("/",Sync!$AG278)+1,20),FIND("/",MID(Sync!$AG278,FIND("/",Sync!$AG278)+1,20))-1))),"")))</f>
        <v/>
      </c>
      <c r="I278">
        <f>IF(OR($F278="",$G278=""),"",IF(ISNUMBER(Sync!$AG278),MOD(Sync!$AG278,100),IFERROR(VALUE(TRIM(MID(MID(Sync!$AG278,FIND("/",Sync!$AG278)+1,20),FIND("/",MID(Sync!$AG278,FIND("/",Sync!$AG278)+1,20))+1,20))),"")))</f>
        <v/>
      </c>
      <c r="J278">
        <f>IF($F278="","",IF(OR($G278="",$H278="",$I278="",$G278&lt;1300,$G278&gt;1500,$H278&lt;1,$H278&gt;12,$I278&lt;1,$I278&gt;31),"نامعتبر",RIGHT("0000"&amp;$G278,4)&amp;"/"&amp;RIGHT("00"&amp;$H278,2)&amp;"/"&amp;RIGHT("00"&amp;$I278,2)))</f>
        <v/>
      </c>
      <c r="K278">
        <f>IF(OR($F278="",$J278="",$J278="نامعتبر"),"",LEFT($J278,4)&amp;MID($J278,6,2)&amp;RIGHT($J278,2)&amp;$N278&amp;"|"&amp;"2"&amp;RIGHT("00000"&amp;273,5))</f>
        <v/>
      </c>
      <c r="L278">
        <f>IF($K278="","",COUNTIFS(LdgPartyA,$F278,LdgKeyA,"&lt;"&amp;$K278)+COUNTIFS(LdgPartyB,$F278,LdgKeyB,"&lt;"&amp;$K278)+1)</f>
        <v/>
      </c>
      <c r="M278">
        <f>IF($L278="","",$F278&amp;"|"&amp;RIGHT("000000"&amp;$L278,6))</f>
        <v/>
      </c>
      <c r="N278">
        <f>IF($F278="","",IF(Sync!$AH278="","0000",IF(AND(ISNUMBER(Sync!$AH278),Sync!$AH278&gt;=0,Sync!$AH278&lt;1),RIGHT("00"&amp;HOUR(Sync!$AH278),2)&amp;RIGHT("00"&amp;MINUTE(Sync!$AH278),2),IFERROR(RIGHT("00"&amp;VALUE(LEFT(Sync!$AH278,FIND(":",Sync!$AH278)-1)),2)&amp;RIGHT("00"&amp;VALUE(MID(Sync!$AH278,FIND(":",Sync!$AH278)+1,2)),2),"0000"))))</f>
        <v/>
      </c>
    </row>
    <row r="279">
      <c r="A279">
        <f>IF(OR(Calc!$E282="",Calc!$E282="نامعتبر",Calc!$G282="",Calc!$I282&lt;&gt;"خرید"),"",Calc!$G282)</f>
        <v/>
      </c>
      <c r="B279">
        <f>IF($A279="","",LEFT(Calc!$E282,4)&amp;MID(Calc!$E282,6,2)&amp;RIGHT(Calc!$E282,2)&amp;Calc!$R282&amp;"|"&amp;"1"&amp;RIGHT("00000"&amp;274,5))</f>
        <v/>
      </c>
      <c r="C279">
        <f>IF($B279="","",COUNTIFS(LdgPartyA,$A279,LdgKeyA,"&lt;"&amp;$B279)+COUNTIFS(LdgPartyB,$A279,LdgKeyB,"&lt;"&amp;$B279)+1)</f>
        <v/>
      </c>
      <c r="D279">
        <f>IF($C279="","",$A279&amp;"|"&amp;RIGHT("000000"&amp;$C279,6))</f>
        <v/>
      </c>
      <c r="F279">
        <f>IF(Sync!$AJ279="","",Sync!$AJ279)</f>
        <v/>
      </c>
      <c r="G279">
        <f>IF($F279="","",IF(Sync!$AG279="","",IF(ISNUMBER(Sync!$AG279),IF(AND(Sync!$AG279&gt;=10000101,Sync!$AG279&lt;=99991231),INT(Sync!$AG279/10000),""),IFERROR(VALUE(TRIM(LEFT(Sync!$AG279,FIND("/",Sync!$AG279)-1))),""))))</f>
        <v/>
      </c>
      <c r="H279">
        <f>IF(OR($F279="",$G279=""),"",IF(ISNUMBER(Sync!$AG279),INT(MOD(Sync!$AG279,10000)/100),IFERROR(VALUE(TRIM(LEFT(MID(Sync!$AG279,FIND("/",Sync!$AG279)+1,20),FIND("/",MID(Sync!$AG279,FIND("/",Sync!$AG279)+1,20))-1))),"")))</f>
        <v/>
      </c>
      <c r="I279">
        <f>IF(OR($F279="",$G279=""),"",IF(ISNUMBER(Sync!$AG279),MOD(Sync!$AG279,100),IFERROR(VALUE(TRIM(MID(MID(Sync!$AG279,FIND("/",Sync!$AG279)+1,20),FIND("/",MID(Sync!$AG279,FIND("/",Sync!$AG279)+1,20))+1,20))),"")))</f>
        <v/>
      </c>
      <c r="J279">
        <f>IF($F279="","",IF(OR($G279="",$H279="",$I279="",$G279&lt;1300,$G279&gt;1500,$H279&lt;1,$H279&gt;12,$I279&lt;1,$I279&gt;31),"نامعتبر",RIGHT("0000"&amp;$G279,4)&amp;"/"&amp;RIGHT("00"&amp;$H279,2)&amp;"/"&amp;RIGHT("00"&amp;$I279,2)))</f>
        <v/>
      </c>
      <c r="K279">
        <f>IF(OR($F279="",$J279="",$J279="نامعتبر"),"",LEFT($J279,4)&amp;MID($J279,6,2)&amp;RIGHT($J279,2)&amp;$N279&amp;"|"&amp;"2"&amp;RIGHT("00000"&amp;274,5))</f>
        <v/>
      </c>
      <c r="L279">
        <f>IF($K279="","",COUNTIFS(LdgPartyA,$F279,LdgKeyA,"&lt;"&amp;$K279)+COUNTIFS(LdgPartyB,$F279,LdgKeyB,"&lt;"&amp;$K279)+1)</f>
        <v/>
      </c>
      <c r="M279">
        <f>IF($L279="","",$F279&amp;"|"&amp;RIGHT("000000"&amp;$L279,6))</f>
        <v/>
      </c>
      <c r="N279">
        <f>IF($F279="","",IF(Sync!$AH279="","0000",IF(AND(ISNUMBER(Sync!$AH279),Sync!$AH279&gt;=0,Sync!$AH279&lt;1),RIGHT("00"&amp;HOUR(Sync!$AH279),2)&amp;RIGHT("00"&amp;MINUTE(Sync!$AH279),2),IFERROR(RIGHT("00"&amp;VALUE(LEFT(Sync!$AH279,FIND(":",Sync!$AH279)-1)),2)&amp;RIGHT("00"&amp;VALUE(MID(Sync!$AH279,FIND(":",Sync!$AH279)+1,2)),2),"0000"))))</f>
        <v/>
      </c>
    </row>
    <row r="280">
      <c r="A280">
        <f>IF(OR(Calc!$E283="",Calc!$E283="نامعتبر",Calc!$G283="",Calc!$I283&lt;&gt;"خرید"),"",Calc!$G283)</f>
        <v/>
      </c>
      <c r="B280">
        <f>IF($A280="","",LEFT(Calc!$E283,4)&amp;MID(Calc!$E283,6,2)&amp;RIGHT(Calc!$E283,2)&amp;Calc!$R283&amp;"|"&amp;"1"&amp;RIGHT("00000"&amp;275,5))</f>
        <v/>
      </c>
      <c r="C280">
        <f>IF($B280="","",COUNTIFS(LdgPartyA,$A280,LdgKeyA,"&lt;"&amp;$B280)+COUNTIFS(LdgPartyB,$A280,LdgKeyB,"&lt;"&amp;$B280)+1)</f>
        <v/>
      </c>
      <c r="D280">
        <f>IF($C280="","",$A280&amp;"|"&amp;RIGHT("000000"&amp;$C280,6))</f>
        <v/>
      </c>
      <c r="F280">
        <f>IF(Sync!$AJ280="","",Sync!$AJ280)</f>
        <v/>
      </c>
      <c r="G280">
        <f>IF($F280="","",IF(Sync!$AG280="","",IF(ISNUMBER(Sync!$AG280),IF(AND(Sync!$AG280&gt;=10000101,Sync!$AG280&lt;=99991231),INT(Sync!$AG280/10000),""),IFERROR(VALUE(TRIM(LEFT(Sync!$AG280,FIND("/",Sync!$AG280)-1))),""))))</f>
        <v/>
      </c>
      <c r="H280">
        <f>IF(OR($F280="",$G280=""),"",IF(ISNUMBER(Sync!$AG280),INT(MOD(Sync!$AG280,10000)/100),IFERROR(VALUE(TRIM(LEFT(MID(Sync!$AG280,FIND("/",Sync!$AG280)+1,20),FIND("/",MID(Sync!$AG280,FIND("/",Sync!$AG280)+1,20))-1))),"")))</f>
        <v/>
      </c>
      <c r="I280">
        <f>IF(OR($F280="",$G280=""),"",IF(ISNUMBER(Sync!$AG280),MOD(Sync!$AG280,100),IFERROR(VALUE(TRIM(MID(MID(Sync!$AG280,FIND("/",Sync!$AG280)+1,20),FIND("/",MID(Sync!$AG280,FIND("/",Sync!$AG280)+1,20))+1,20))),"")))</f>
        <v/>
      </c>
      <c r="J280">
        <f>IF($F280="","",IF(OR($G280="",$H280="",$I280="",$G280&lt;1300,$G280&gt;1500,$H280&lt;1,$H280&gt;12,$I280&lt;1,$I280&gt;31),"نامعتبر",RIGHT("0000"&amp;$G280,4)&amp;"/"&amp;RIGHT("00"&amp;$H280,2)&amp;"/"&amp;RIGHT("00"&amp;$I280,2)))</f>
        <v/>
      </c>
      <c r="K280">
        <f>IF(OR($F280="",$J280="",$J280="نامعتبر"),"",LEFT($J280,4)&amp;MID($J280,6,2)&amp;RIGHT($J280,2)&amp;$N280&amp;"|"&amp;"2"&amp;RIGHT("00000"&amp;275,5))</f>
        <v/>
      </c>
      <c r="L280">
        <f>IF($K280="","",COUNTIFS(LdgPartyA,$F280,LdgKeyA,"&lt;"&amp;$K280)+COUNTIFS(LdgPartyB,$F280,LdgKeyB,"&lt;"&amp;$K280)+1)</f>
        <v/>
      </c>
      <c r="M280">
        <f>IF($L280="","",$F280&amp;"|"&amp;RIGHT("000000"&amp;$L280,6))</f>
        <v/>
      </c>
      <c r="N280">
        <f>IF($F280="","",IF(Sync!$AH280="","0000",IF(AND(ISNUMBER(Sync!$AH280),Sync!$AH280&gt;=0,Sync!$AH280&lt;1),RIGHT("00"&amp;HOUR(Sync!$AH280),2)&amp;RIGHT("00"&amp;MINUTE(Sync!$AH280),2),IFERROR(RIGHT("00"&amp;VALUE(LEFT(Sync!$AH280,FIND(":",Sync!$AH280)-1)),2)&amp;RIGHT("00"&amp;VALUE(MID(Sync!$AH280,FIND(":",Sync!$AH280)+1,2)),2),"0000"))))</f>
        <v/>
      </c>
    </row>
    <row r="281">
      <c r="A281">
        <f>IF(OR(Calc!$E284="",Calc!$E284="نامعتبر",Calc!$G284="",Calc!$I284&lt;&gt;"خرید"),"",Calc!$G284)</f>
        <v/>
      </c>
      <c r="B281">
        <f>IF($A281="","",LEFT(Calc!$E284,4)&amp;MID(Calc!$E284,6,2)&amp;RIGHT(Calc!$E284,2)&amp;Calc!$R284&amp;"|"&amp;"1"&amp;RIGHT("00000"&amp;276,5))</f>
        <v/>
      </c>
      <c r="C281">
        <f>IF($B281="","",COUNTIFS(LdgPartyA,$A281,LdgKeyA,"&lt;"&amp;$B281)+COUNTIFS(LdgPartyB,$A281,LdgKeyB,"&lt;"&amp;$B281)+1)</f>
        <v/>
      </c>
      <c r="D281">
        <f>IF($C281="","",$A281&amp;"|"&amp;RIGHT("000000"&amp;$C281,6))</f>
        <v/>
      </c>
      <c r="F281">
        <f>IF(Sync!$AJ281="","",Sync!$AJ281)</f>
        <v/>
      </c>
      <c r="G281">
        <f>IF($F281="","",IF(Sync!$AG281="","",IF(ISNUMBER(Sync!$AG281),IF(AND(Sync!$AG281&gt;=10000101,Sync!$AG281&lt;=99991231),INT(Sync!$AG281/10000),""),IFERROR(VALUE(TRIM(LEFT(Sync!$AG281,FIND("/",Sync!$AG281)-1))),""))))</f>
        <v/>
      </c>
      <c r="H281">
        <f>IF(OR($F281="",$G281=""),"",IF(ISNUMBER(Sync!$AG281),INT(MOD(Sync!$AG281,10000)/100),IFERROR(VALUE(TRIM(LEFT(MID(Sync!$AG281,FIND("/",Sync!$AG281)+1,20),FIND("/",MID(Sync!$AG281,FIND("/",Sync!$AG281)+1,20))-1))),"")))</f>
        <v/>
      </c>
      <c r="I281">
        <f>IF(OR($F281="",$G281=""),"",IF(ISNUMBER(Sync!$AG281),MOD(Sync!$AG281,100),IFERROR(VALUE(TRIM(MID(MID(Sync!$AG281,FIND("/",Sync!$AG281)+1,20),FIND("/",MID(Sync!$AG281,FIND("/",Sync!$AG281)+1,20))+1,20))),"")))</f>
        <v/>
      </c>
      <c r="J281">
        <f>IF($F281="","",IF(OR($G281="",$H281="",$I281="",$G281&lt;1300,$G281&gt;1500,$H281&lt;1,$H281&gt;12,$I281&lt;1,$I281&gt;31),"نامعتبر",RIGHT("0000"&amp;$G281,4)&amp;"/"&amp;RIGHT("00"&amp;$H281,2)&amp;"/"&amp;RIGHT("00"&amp;$I281,2)))</f>
        <v/>
      </c>
      <c r="K281">
        <f>IF(OR($F281="",$J281="",$J281="نامعتبر"),"",LEFT($J281,4)&amp;MID($J281,6,2)&amp;RIGHT($J281,2)&amp;$N281&amp;"|"&amp;"2"&amp;RIGHT("00000"&amp;276,5))</f>
        <v/>
      </c>
      <c r="L281">
        <f>IF($K281="","",COUNTIFS(LdgPartyA,$F281,LdgKeyA,"&lt;"&amp;$K281)+COUNTIFS(LdgPartyB,$F281,LdgKeyB,"&lt;"&amp;$K281)+1)</f>
        <v/>
      </c>
      <c r="M281">
        <f>IF($L281="","",$F281&amp;"|"&amp;RIGHT("000000"&amp;$L281,6))</f>
        <v/>
      </c>
      <c r="N281">
        <f>IF($F281="","",IF(Sync!$AH281="","0000",IF(AND(ISNUMBER(Sync!$AH281),Sync!$AH281&gt;=0,Sync!$AH281&lt;1),RIGHT("00"&amp;HOUR(Sync!$AH281),2)&amp;RIGHT("00"&amp;MINUTE(Sync!$AH281),2),IFERROR(RIGHT("00"&amp;VALUE(LEFT(Sync!$AH281,FIND(":",Sync!$AH281)-1)),2)&amp;RIGHT("00"&amp;VALUE(MID(Sync!$AH281,FIND(":",Sync!$AH281)+1,2)),2),"0000"))))</f>
        <v/>
      </c>
    </row>
    <row r="282">
      <c r="A282">
        <f>IF(OR(Calc!$E285="",Calc!$E285="نامعتبر",Calc!$G285="",Calc!$I285&lt;&gt;"خرید"),"",Calc!$G285)</f>
        <v/>
      </c>
      <c r="B282">
        <f>IF($A282="","",LEFT(Calc!$E285,4)&amp;MID(Calc!$E285,6,2)&amp;RIGHT(Calc!$E285,2)&amp;Calc!$R285&amp;"|"&amp;"1"&amp;RIGHT("00000"&amp;277,5))</f>
        <v/>
      </c>
      <c r="C282">
        <f>IF($B282="","",COUNTIFS(LdgPartyA,$A282,LdgKeyA,"&lt;"&amp;$B282)+COUNTIFS(LdgPartyB,$A282,LdgKeyB,"&lt;"&amp;$B282)+1)</f>
        <v/>
      </c>
      <c r="D282">
        <f>IF($C282="","",$A282&amp;"|"&amp;RIGHT("000000"&amp;$C282,6))</f>
        <v/>
      </c>
      <c r="F282">
        <f>IF(Sync!$AJ282="","",Sync!$AJ282)</f>
        <v/>
      </c>
      <c r="G282">
        <f>IF($F282="","",IF(Sync!$AG282="","",IF(ISNUMBER(Sync!$AG282),IF(AND(Sync!$AG282&gt;=10000101,Sync!$AG282&lt;=99991231),INT(Sync!$AG282/10000),""),IFERROR(VALUE(TRIM(LEFT(Sync!$AG282,FIND("/",Sync!$AG282)-1))),""))))</f>
        <v/>
      </c>
      <c r="H282">
        <f>IF(OR($F282="",$G282=""),"",IF(ISNUMBER(Sync!$AG282),INT(MOD(Sync!$AG282,10000)/100),IFERROR(VALUE(TRIM(LEFT(MID(Sync!$AG282,FIND("/",Sync!$AG282)+1,20),FIND("/",MID(Sync!$AG282,FIND("/",Sync!$AG282)+1,20))-1))),"")))</f>
        <v/>
      </c>
      <c r="I282">
        <f>IF(OR($F282="",$G282=""),"",IF(ISNUMBER(Sync!$AG282),MOD(Sync!$AG282,100),IFERROR(VALUE(TRIM(MID(MID(Sync!$AG282,FIND("/",Sync!$AG282)+1,20),FIND("/",MID(Sync!$AG282,FIND("/",Sync!$AG282)+1,20))+1,20))),"")))</f>
        <v/>
      </c>
      <c r="J282">
        <f>IF($F282="","",IF(OR($G282="",$H282="",$I282="",$G282&lt;1300,$G282&gt;1500,$H282&lt;1,$H282&gt;12,$I282&lt;1,$I282&gt;31),"نامعتبر",RIGHT("0000"&amp;$G282,4)&amp;"/"&amp;RIGHT("00"&amp;$H282,2)&amp;"/"&amp;RIGHT("00"&amp;$I282,2)))</f>
        <v/>
      </c>
      <c r="K282">
        <f>IF(OR($F282="",$J282="",$J282="نامعتبر"),"",LEFT($J282,4)&amp;MID($J282,6,2)&amp;RIGHT($J282,2)&amp;$N282&amp;"|"&amp;"2"&amp;RIGHT("00000"&amp;277,5))</f>
        <v/>
      </c>
      <c r="L282">
        <f>IF($K282="","",COUNTIFS(LdgPartyA,$F282,LdgKeyA,"&lt;"&amp;$K282)+COUNTIFS(LdgPartyB,$F282,LdgKeyB,"&lt;"&amp;$K282)+1)</f>
        <v/>
      </c>
      <c r="M282">
        <f>IF($L282="","",$F282&amp;"|"&amp;RIGHT("000000"&amp;$L282,6))</f>
        <v/>
      </c>
      <c r="N282">
        <f>IF($F282="","",IF(Sync!$AH282="","0000",IF(AND(ISNUMBER(Sync!$AH282),Sync!$AH282&gt;=0,Sync!$AH282&lt;1),RIGHT("00"&amp;HOUR(Sync!$AH282),2)&amp;RIGHT("00"&amp;MINUTE(Sync!$AH282),2),IFERROR(RIGHT("00"&amp;VALUE(LEFT(Sync!$AH282,FIND(":",Sync!$AH282)-1)),2)&amp;RIGHT("00"&amp;VALUE(MID(Sync!$AH282,FIND(":",Sync!$AH282)+1,2)),2),"0000"))))</f>
        <v/>
      </c>
    </row>
    <row r="283">
      <c r="A283">
        <f>IF(OR(Calc!$E286="",Calc!$E286="نامعتبر",Calc!$G286="",Calc!$I286&lt;&gt;"خرید"),"",Calc!$G286)</f>
        <v/>
      </c>
      <c r="B283">
        <f>IF($A283="","",LEFT(Calc!$E286,4)&amp;MID(Calc!$E286,6,2)&amp;RIGHT(Calc!$E286,2)&amp;Calc!$R286&amp;"|"&amp;"1"&amp;RIGHT("00000"&amp;278,5))</f>
        <v/>
      </c>
      <c r="C283">
        <f>IF($B283="","",COUNTIFS(LdgPartyA,$A283,LdgKeyA,"&lt;"&amp;$B283)+COUNTIFS(LdgPartyB,$A283,LdgKeyB,"&lt;"&amp;$B283)+1)</f>
        <v/>
      </c>
      <c r="D283">
        <f>IF($C283="","",$A283&amp;"|"&amp;RIGHT("000000"&amp;$C283,6))</f>
        <v/>
      </c>
      <c r="F283">
        <f>IF(Sync!$AJ283="","",Sync!$AJ283)</f>
        <v/>
      </c>
      <c r="G283">
        <f>IF($F283="","",IF(Sync!$AG283="","",IF(ISNUMBER(Sync!$AG283),IF(AND(Sync!$AG283&gt;=10000101,Sync!$AG283&lt;=99991231),INT(Sync!$AG283/10000),""),IFERROR(VALUE(TRIM(LEFT(Sync!$AG283,FIND("/",Sync!$AG283)-1))),""))))</f>
        <v/>
      </c>
      <c r="H283">
        <f>IF(OR($F283="",$G283=""),"",IF(ISNUMBER(Sync!$AG283),INT(MOD(Sync!$AG283,10000)/100),IFERROR(VALUE(TRIM(LEFT(MID(Sync!$AG283,FIND("/",Sync!$AG283)+1,20),FIND("/",MID(Sync!$AG283,FIND("/",Sync!$AG283)+1,20))-1))),"")))</f>
        <v/>
      </c>
      <c r="I283">
        <f>IF(OR($F283="",$G283=""),"",IF(ISNUMBER(Sync!$AG283),MOD(Sync!$AG283,100),IFERROR(VALUE(TRIM(MID(MID(Sync!$AG283,FIND("/",Sync!$AG283)+1,20),FIND("/",MID(Sync!$AG283,FIND("/",Sync!$AG283)+1,20))+1,20))),"")))</f>
        <v/>
      </c>
      <c r="J283">
        <f>IF($F283="","",IF(OR($G283="",$H283="",$I283="",$G283&lt;1300,$G283&gt;1500,$H283&lt;1,$H283&gt;12,$I283&lt;1,$I283&gt;31),"نامعتبر",RIGHT("0000"&amp;$G283,4)&amp;"/"&amp;RIGHT("00"&amp;$H283,2)&amp;"/"&amp;RIGHT("00"&amp;$I283,2)))</f>
        <v/>
      </c>
      <c r="K283">
        <f>IF(OR($F283="",$J283="",$J283="نامعتبر"),"",LEFT($J283,4)&amp;MID($J283,6,2)&amp;RIGHT($J283,2)&amp;$N283&amp;"|"&amp;"2"&amp;RIGHT("00000"&amp;278,5))</f>
        <v/>
      </c>
      <c r="L283">
        <f>IF($K283="","",COUNTIFS(LdgPartyA,$F283,LdgKeyA,"&lt;"&amp;$K283)+COUNTIFS(LdgPartyB,$F283,LdgKeyB,"&lt;"&amp;$K283)+1)</f>
        <v/>
      </c>
      <c r="M283">
        <f>IF($L283="","",$F283&amp;"|"&amp;RIGHT("000000"&amp;$L283,6))</f>
        <v/>
      </c>
      <c r="N283">
        <f>IF($F283="","",IF(Sync!$AH283="","0000",IF(AND(ISNUMBER(Sync!$AH283),Sync!$AH283&gt;=0,Sync!$AH283&lt;1),RIGHT("00"&amp;HOUR(Sync!$AH283),2)&amp;RIGHT("00"&amp;MINUTE(Sync!$AH283),2),IFERROR(RIGHT("00"&amp;VALUE(LEFT(Sync!$AH283,FIND(":",Sync!$AH283)-1)),2)&amp;RIGHT("00"&amp;VALUE(MID(Sync!$AH283,FIND(":",Sync!$AH283)+1,2)),2),"0000"))))</f>
        <v/>
      </c>
    </row>
    <row r="284">
      <c r="A284">
        <f>IF(OR(Calc!$E287="",Calc!$E287="نامعتبر",Calc!$G287="",Calc!$I287&lt;&gt;"خرید"),"",Calc!$G287)</f>
        <v/>
      </c>
      <c r="B284">
        <f>IF($A284="","",LEFT(Calc!$E287,4)&amp;MID(Calc!$E287,6,2)&amp;RIGHT(Calc!$E287,2)&amp;Calc!$R287&amp;"|"&amp;"1"&amp;RIGHT("00000"&amp;279,5))</f>
        <v/>
      </c>
      <c r="C284">
        <f>IF($B284="","",COUNTIFS(LdgPartyA,$A284,LdgKeyA,"&lt;"&amp;$B284)+COUNTIFS(LdgPartyB,$A284,LdgKeyB,"&lt;"&amp;$B284)+1)</f>
        <v/>
      </c>
      <c r="D284">
        <f>IF($C284="","",$A284&amp;"|"&amp;RIGHT("000000"&amp;$C284,6))</f>
        <v/>
      </c>
      <c r="F284">
        <f>IF(Sync!$AJ284="","",Sync!$AJ284)</f>
        <v/>
      </c>
      <c r="G284">
        <f>IF($F284="","",IF(Sync!$AG284="","",IF(ISNUMBER(Sync!$AG284),IF(AND(Sync!$AG284&gt;=10000101,Sync!$AG284&lt;=99991231),INT(Sync!$AG284/10000),""),IFERROR(VALUE(TRIM(LEFT(Sync!$AG284,FIND("/",Sync!$AG284)-1))),""))))</f>
        <v/>
      </c>
      <c r="H284">
        <f>IF(OR($F284="",$G284=""),"",IF(ISNUMBER(Sync!$AG284),INT(MOD(Sync!$AG284,10000)/100),IFERROR(VALUE(TRIM(LEFT(MID(Sync!$AG284,FIND("/",Sync!$AG284)+1,20),FIND("/",MID(Sync!$AG284,FIND("/",Sync!$AG284)+1,20))-1))),"")))</f>
        <v/>
      </c>
      <c r="I284">
        <f>IF(OR($F284="",$G284=""),"",IF(ISNUMBER(Sync!$AG284),MOD(Sync!$AG284,100),IFERROR(VALUE(TRIM(MID(MID(Sync!$AG284,FIND("/",Sync!$AG284)+1,20),FIND("/",MID(Sync!$AG284,FIND("/",Sync!$AG284)+1,20))+1,20))),"")))</f>
        <v/>
      </c>
      <c r="J284">
        <f>IF($F284="","",IF(OR($G284="",$H284="",$I284="",$G284&lt;1300,$G284&gt;1500,$H284&lt;1,$H284&gt;12,$I284&lt;1,$I284&gt;31),"نامعتبر",RIGHT("0000"&amp;$G284,4)&amp;"/"&amp;RIGHT("00"&amp;$H284,2)&amp;"/"&amp;RIGHT("00"&amp;$I284,2)))</f>
        <v/>
      </c>
      <c r="K284">
        <f>IF(OR($F284="",$J284="",$J284="نامعتبر"),"",LEFT($J284,4)&amp;MID($J284,6,2)&amp;RIGHT($J284,2)&amp;$N284&amp;"|"&amp;"2"&amp;RIGHT("00000"&amp;279,5))</f>
        <v/>
      </c>
      <c r="L284">
        <f>IF($K284="","",COUNTIFS(LdgPartyA,$F284,LdgKeyA,"&lt;"&amp;$K284)+COUNTIFS(LdgPartyB,$F284,LdgKeyB,"&lt;"&amp;$K284)+1)</f>
        <v/>
      </c>
      <c r="M284">
        <f>IF($L284="","",$F284&amp;"|"&amp;RIGHT("000000"&amp;$L284,6))</f>
        <v/>
      </c>
      <c r="N284">
        <f>IF($F284="","",IF(Sync!$AH284="","0000",IF(AND(ISNUMBER(Sync!$AH284),Sync!$AH284&gt;=0,Sync!$AH284&lt;1),RIGHT("00"&amp;HOUR(Sync!$AH284),2)&amp;RIGHT("00"&amp;MINUTE(Sync!$AH284),2),IFERROR(RIGHT("00"&amp;VALUE(LEFT(Sync!$AH284,FIND(":",Sync!$AH284)-1)),2)&amp;RIGHT("00"&amp;VALUE(MID(Sync!$AH284,FIND(":",Sync!$AH284)+1,2)),2),"0000"))))</f>
        <v/>
      </c>
    </row>
    <row r="285">
      <c r="A285">
        <f>IF(OR(Calc!$E288="",Calc!$E288="نامعتبر",Calc!$G288="",Calc!$I288&lt;&gt;"خرید"),"",Calc!$G288)</f>
        <v/>
      </c>
      <c r="B285">
        <f>IF($A285="","",LEFT(Calc!$E288,4)&amp;MID(Calc!$E288,6,2)&amp;RIGHT(Calc!$E288,2)&amp;Calc!$R288&amp;"|"&amp;"1"&amp;RIGHT("00000"&amp;280,5))</f>
        <v/>
      </c>
      <c r="C285">
        <f>IF($B285="","",COUNTIFS(LdgPartyA,$A285,LdgKeyA,"&lt;"&amp;$B285)+COUNTIFS(LdgPartyB,$A285,LdgKeyB,"&lt;"&amp;$B285)+1)</f>
        <v/>
      </c>
      <c r="D285">
        <f>IF($C285="","",$A285&amp;"|"&amp;RIGHT("000000"&amp;$C285,6))</f>
        <v/>
      </c>
      <c r="F285">
        <f>IF(Sync!$AJ285="","",Sync!$AJ285)</f>
        <v/>
      </c>
      <c r="G285">
        <f>IF($F285="","",IF(Sync!$AG285="","",IF(ISNUMBER(Sync!$AG285),IF(AND(Sync!$AG285&gt;=10000101,Sync!$AG285&lt;=99991231),INT(Sync!$AG285/10000),""),IFERROR(VALUE(TRIM(LEFT(Sync!$AG285,FIND("/",Sync!$AG285)-1))),""))))</f>
        <v/>
      </c>
      <c r="H285">
        <f>IF(OR($F285="",$G285=""),"",IF(ISNUMBER(Sync!$AG285),INT(MOD(Sync!$AG285,10000)/100),IFERROR(VALUE(TRIM(LEFT(MID(Sync!$AG285,FIND("/",Sync!$AG285)+1,20),FIND("/",MID(Sync!$AG285,FIND("/",Sync!$AG285)+1,20))-1))),"")))</f>
        <v/>
      </c>
      <c r="I285">
        <f>IF(OR($F285="",$G285=""),"",IF(ISNUMBER(Sync!$AG285),MOD(Sync!$AG285,100),IFERROR(VALUE(TRIM(MID(MID(Sync!$AG285,FIND("/",Sync!$AG285)+1,20),FIND("/",MID(Sync!$AG285,FIND("/",Sync!$AG285)+1,20))+1,20))),"")))</f>
        <v/>
      </c>
      <c r="J285">
        <f>IF($F285="","",IF(OR($G285="",$H285="",$I285="",$G285&lt;1300,$G285&gt;1500,$H285&lt;1,$H285&gt;12,$I285&lt;1,$I285&gt;31),"نامعتبر",RIGHT("0000"&amp;$G285,4)&amp;"/"&amp;RIGHT("00"&amp;$H285,2)&amp;"/"&amp;RIGHT("00"&amp;$I285,2)))</f>
        <v/>
      </c>
      <c r="K285">
        <f>IF(OR($F285="",$J285="",$J285="نامعتبر"),"",LEFT($J285,4)&amp;MID($J285,6,2)&amp;RIGHT($J285,2)&amp;$N285&amp;"|"&amp;"2"&amp;RIGHT("00000"&amp;280,5))</f>
        <v/>
      </c>
      <c r="L285">
        <f>IF($K285="","",COUNTIFS(LdgPartyA,$F285,LdgKeyA,"&lt;"&amp;$K285)+COUNTIFS(LdgPartyB,$F285,LdgKeyB,"&lt;"&amp;$K285)+1)</f>
        <v/>
      </c>
      <c r="M285">
        <f>IF($L285="","",$F285&amp;"|"&amp;RIGHT("000000"&amp;$L285,6))</f>
        <v/>
      </c>
      <c r="N285">
        <f>IF($F285="","",IF(Sync!$AH285="","0000",IF(AND(ISNUMBER(Sync!$AH285),Sync!$AH285&gt;=0,Sync!$AH285&lt;1),RIGHT("00"&amp;HOUR(Sync!$AH285),2)&amp;RIGHT("00"&amp;MINUTE(Sync!$AH285),2),IFERROR(RIGHT("00"&amp;VALUE(LEFT(Sync!$AH285,FIND(":",Sync!$AH285)-1)),2)&amp;RIGHT("00"&amp;VALUE(MID(Sync!$AH285,FIND(":",Sync!$AH285)+1,2)),2),"0000"))))</f>
        <v/>
      </c>
    </row>
    <row r="286">
      <c r="A286">
        <f>IF(OR(Calc!$E289="",Calc!$E289="نامعتبر",Calc!$G289="",Calc!$I289&lt;&gt;"خرید"),"",Calc!$G289)</f>
        <v/>
      </c>
      <c r="B286">
        <f>IF($A286="","",LEFT(Calc!$E289,4)&amp;MID(Calc!$E289,6,2)&amp;RIGHT(Calc!$E289,2)&amp;Calc!$R289&amp;"|"&amp;"1"&amp;RIGHT("00000"&amp;281,5))</f>
        <v/>
      </c>
      <c r="C286">
        <f>IF($B286="","",COUNTIFS(LdgPartyA,$A286,LdgKeyA,"&lt;"&amp;$B286)+COUNTIFS(LdgPartyB,$A286,LdgKeyB,"&lt;"&amp;$B286)+1)</f>
        <v/>
      </c>
      <c r="D286">
        <f>IF($C286="","",$A286&amp;"|"&amp;RIGHT("000000"&amp;$C286,6))</f>
        <v/>
      </c>
      <c r="F286">
        <f>IF(Sync!$AJ286="","",Sync!$AJ286)</f>
        <v/>
      </c>
      <c r="G286">
        <f>IF($F286="","",IF(Sync!$AG286="","",IF(ISNUMBER(Sync!$AG286),IF(AND(Sync!$AG286&gt;=10000101,Sync!$AG286&lt;=99991231),INT(Sync!$AG286/10000),""),IFERROR(VALUE(TRIM(LEFT(Sync!$AG286,FIND("/",Sync!$AG286)-1))),""))))</f>
        <v/>
      </c>
      <c r="H286">
        <f>IF(OR($F286="",$G286=""),"",IF(ISNUMBER(Sync!$AG286),INT(MOD(Sync!$AG286,10000)/100),IFERROR(VALUE(TRIM(LEFT(MID(Sync!$AG286,FIND("/",Sync!$AG286)+1,20),FIND("/",MID(Sync!$AG286,FIND("/",Sync!$AG286)+1,20))-1))),"")))</f>
        <v/>
      </c>
      <c r="I286">
        <f>IF(OR($F286="",$G286=""),"",IF(ISNUMBER(Sync!$AG286),MOD(Sync!$AG286,100),IFERROR(VALUE(TRIM(MID(MID(Sync!$AG286,FIND("/",Sync!$AG286)+1,20),FIND("/",MID(Sync!$AG286,FIND("/",Sync!$AG286)+1,20))+1,20))),"")))</f>
        <v/>
      </c>
      <c r="J286">
        <f>IF($F286="","",IF(OR($G286="",$H286="",$I286="",$G286&lt;1300,$G286&gt;1500,$H286&lt;1,$H286&gt;12,$I286&lt;1,$I286&gt;31),"نامعتبر",RIGHT("0000"&amp;$G286,4)&amp;"/"&amp;RIGHT("00"&amp;$H286,2)&amp;"/"&amp;RIGHT("00"&amp;$I286,2)))</f>
        <v/>
      </c>
      <c r="K286">
        <f>IF(OR($F286="",$J286="",$J286="نامعتبر"),"",LEFT($J286,4)&amp;MID($J286,6,2)&amp;RIGHT($J286,2)&amp;$N286&amp;"|"&amp;"2"&amp;RIGHT("00000"&amp;281,5))</f>
        <v/>
      </c>
      <c r="L286">
        <f>IF($K286="","",COUNTIFS(LdgPartyA,$F286,LdgKeyA,"&lt;"&amp;$K286)+COUNTIFS(LdgPartyB,$F286,LdgKeyB,"&lt;"&amp;$K286)+1)</f>
        <v/>
      </c>
      <c r="M286">
        <f>IF($L286="","",$F286&amp;"|"&amp;RIGHT("000000"&amp;$L286,6))</f>
        <v/>
      </c>
      <c r="N286">
        <f>IF($F286="","",IF(Sync!$AH286="","0000",IF(AND(ISNUMBER(Sync!$AH286),Sync!$AH286&gt;=0,Sync!$AH286&lt;1),RIGHT("00"&amp;HOUR(Sync!$AH286),2)&amp;RIGHT("00"&amp;MINUTE(Sync!$AH286),2),IFERROR(RIGHT("00"&amp;VALUE(LEFT(Sync!$AH286,FIND(":",Sync!$AH286)-1)),2)&amp;RIGHT("00"&amp;VALUE(MID(Sync!$AH286,FIND(":",Sync!$AH286)+1,2)),2),"0000"))))</f>
        <v/>
      </c>
    </row>
    <row r="287">
      <c r="A287">
        <f>IF(OR(Calc!$E290="",Calc!$E290="نامعتبر",Calc!$G290="",Calc!$I290&lt;&gt;"خرید"),"",Calc!$G290)</f>
        <v/>
      </c>
      <c r="B287">
        <f>IF($A287="","",LEFT(Calc!$E290,4)&amp;MID(Calc!$E290,6,2)&amp;RIGHT(Calc!$E290,2)&amp;Calc!$R290&amp;"|"&amp;"1"&amp;RIGHT("00000"&amp;282,5))</f>
        <v/>
      </c>
      <c r="C287">
        <f>IF($B287="","",COUNTIFS(LdgPartyA,$A287,LdgKeyA,"&lt;"&amp;$B287)+COUNTIFS(LdgPartyB,$A287,LdgKeyB,"&lt;"&amp;$B287)+1)</f>
        <v/>
      </c>
      <c r="D287">
        <f>IF($C287="","",$A287&amp;"|"&amp;RIGHT("000000"&amp;$C287,6))</f>
        <v/>
      </c>
      <c r="F287">
        <f>IF(Sync!$AJ287="","",Sync!$AJ287)</f>
        <v/>
      </c>
      <c r="G287">
        <f>IF($F287="","",IF(Sync!$AG287="","",IF(ISNUMBER(Sync!$AG287),IF(AND(Sync!$AG287&gt;=10000101,Sync!$AG287&lt;=99991231),INT(Sync!$AG287/10000),""),IFERROR(VALUE(TRIM(LEFT(Sync!$AG287,FIND("/",Sync!$AG287)-1))),""))))</f>
        <v/>
      </c>
      <c r="H287">
        <f>IF(OR($F287="",$G287=""),"",IF(ISNUMBER(Sync!$AG287),INT(MOD(Sync!$AG287,10000)/100),IFERROR(VALUE(TRIM(LEFT(MID(Sync!$AG287,FIND("/",Sync!$AG287)+1,20),FIND("/",MID(Sync!$AG287,FIND("/",Sync!$AG287)+1,20))-1))),"")))</f>
        <v/>
      </c>
      <c r="I287">
        <f>IF(OR($F287="",$G287=""),"",IF(ISNUMBER(Sync!$AG287),MOD(Sync!$AG287,100),IFERROR(VALUE(TRIM(MID(MID(Sync!$AG287,FIND("/",Sync!$AG287)+1,20),FIND("/",MID(Sync!$AG287,FIND("/",Sync!$AG287)+1,20))+1,20))),"")))</f>
        <v/>
      </c>
      <c r="J287">
        <f>IF($F287="","",IF(OR($G287="",$H287="",$I287="",$G287&lt;1300,$G287&gt;1500,$H287&lt;1,$H287&gt;12,$I287&lt;1,$I287&gt;31),"نامعتبر",RIGHT("0000"&amp;$G287,4)&amp;"/"&amp;RIGHT("00"&amp;$H287,2)&amp;"/"&amp;RIGHT("00"&amp;$I287,2)))</f>
        <v/>
      </c>
      <c r="K287">
        <f>IF(OR($F287="",$J287="",$J287="نامعتبر"),"",LEFT($J287,4)&amp;MID($J287,6,2)&amp;RIGHT($J287,2)&amp;$N287&amp;"|"&amp;"2"&amp;RIGHT("00000"&amp;282,5))</f>
        <v/>
      </c>
      <c r="L287">
        <f>IF($K287="","",COUNTIFS(LdgPartyA,$F287,LdgKeyA,"&lt;"&amp;$K287)+COUNTIFS(LdgPartyB,$F287,LdgKeyB,"&lt;"&amp;$K287)+1)</f>
        <v/>
      </c>
      <c r="M287">
        <f>IF($L287="","",$F287&amp;"|"&amp;RIGHT("000000"&amp;$L287,6))</f>
        <v/>
      </c>
      <c r="N287">
        <f>IF($F287="","",IF(Sync!$AH287="","0000",IF(AND(ISNUMBER(Sync!$AH287),Sync!$AH287&gt;=0,Sync!$AH287&lt;1),RIGHT("00"&amp;HOUR(Sync!$AH287),2)&amp;RIGHT("00"&amp;MINUTE(Sync!$AH287),2),IFERROR(RIGHT("00"&amp;VALUE(LEFT(Sync!$AH287,FIND(":",Sync!$AH287)-1)),2)&amp;RIGHT("00"&amp;VALUE(MID(Sync!$AH287,FIND(":",Sync!$AH287)+1,2)),2),"0000"))))</f>
        <v/>
      </c>
    </row>
    <row r="288">
      <c r="A288">
        <f>IF(OR(Calc!$E291="",Calc!$E291="نامعتبر",Calc!$G291="",Calc!$I291&lt;&gt;"خرید"),"",Calc!$G291)</f>
        <v/>
      </c>
      <c r="B288">
        <f>IF($A288="","",LEFT(Calc!$E291,4)&amp;MID(Calc!$E291,6,2)&amp;RIGHT(Calc!$E291,2)&amp;Calc!$R291&amp;"|"&amp;"1"&amp;RIGHT("00000"&amp;283,5))</f>
        <v/>
      </c>
      <c r="C288">
        <f>IF($B288="","",COUNTIFS(LdgPartyA,$A288,LdgKeyA,"&lt;"&amp;$B288)+COUNTIFS(LdgPartyB,$A288,LdgKeyB,"&lt;"&amp;$B288)+1)</f>
        <v/>
      </c>
      <c r="D288">
        <f>IF($C288="","",$A288&amp;"|"&amp;RIGHT("000000"&amp;$C288,6))</f>
        <v/>
      </c>
      <c r="F288">
        <f>IF(Sync!$AJ288="","",Sync!$AJ288)</f>
        <v/>
      </c>
      <c r="G288">
        <f>IF($F288="","",IF(Sync!$AG288="","",IF(ISNUMBER(Sync!$AG288),IF(AND(Sync!$AG288&gt;=10000101,Sync!$AG288&lt;=99991231),INT(Sync!$AG288/10000),""),IFERROR(VALUE(TRIM(LEFT(Sync!$AG288,FIND("/",Sync!$AG288)-1))),""))))</f>
        <v/>
      </c>
      <c r="H288">
        <f>IF(OR($F288="",$G288=""),"",IF(ISNUMBER(Sync!$AG288),INT(MOD(Sync!$AG288,10000)/100),IFERROR(VALUE(TRIM(LEFT(MID(Sync!$AG288,FIND("/",Sync!$AG288)+1,20),FIND("/",MID(Sync!$AG288,FIND("/",Sync!$AG288)+1,20))-1))),"")))</f>
        <v/>
      </c>
      <c r="I288">
        <f>IF(OR($F288="",$G288=""),"",IF(ISNUMBER(Sync!$AG288),MOD(Sync!$AG288,100),IFERROR(VALUE(TRIM(MID(MID(Sync!$AG288,FIND("/",Sync!$AG288)+1,20),FIND("/",MID(Sync!$AG288,FIND("/",Sync!$AG288)+1,20))+1,20))),"")))</f>
        <v/>
      </c>
      <c r="J288">
        <f>IF($F288="","",IF(OR($G288="",$H288="",$I288="",$G288&lt;1300,$G288&gt;1500,$H288&lt;1,$H288&gt;12,$I288&lt;1,$I288&gt;31),"نامعتبر",RIGHT("0000"&amp;$G288,4)&amp;"/"&amp;RIGHT("00"&amp;$H288,2)&amp;"/"&amp;RIGHT("00"&amp;$I288,2)))</f>
        <v/>
      </c>
      <c r="K288">
        <f>IF(OR($F288="",$J288="",$J288="نامعتبر"),"",LEFT($J288,4)&amp;MID($J288,6,2)&amp;RIGHT($J288,2)&amp;$N288&amp;"|"&amp;"2"&amp;RIGHT("00000"&amp;283,5))</f>
        <v/>
      </c>
      <c r="L288">
        <f>IF($K288="","",COUNTIFS(LdgPartyA,$F288,LdgKeyA,"&lt;"&amp;$K288)+COUNTIFS(LdgPartyB,$F288,LdgKeyB,"&lt;"&amp;$K288)+1)</f>
        <v/>
      </c>
      <c r="M288">
        <f>IF($L288="","",$F288&amp;"|"&amp;RIGHT("000000"&amp;$L288,6))</f>
        <v/>
      </c>
      <c r="N288">
        <f>IF($F288="","",IF(Sync!$AH288="","0000",IF(AND(ISNUMBER(Sync!$AH288),Sync!$AH288&gt;=0,Sync!$AH288&lt;1),RIGHT("00"&amp;HOUR(Sync!$AH288),2)&amp;RIGHT("00"&amp;MINUTE(Sync!$AH288),2),IFERROR(RIGHT("00"&amp;VALUE(LEFT(Sync!$AH288,FIND(":",Sync!$AH288)-1)),2)&amp;RIGHT("00"&amp;VALUE(MID(Sync!$AH288,FIND(":",Sync!$AH288)+1,2)),2),"0000"))))</f>
        <v/>
      </c>
    </row>
    <row r="289">
      <c r="A289">
        <f>IF(OR(Calc!$E292="",Calc!$E292="نامعتبر",Calc!$G292="",Calc!$I292&lt;&gt;"خرید"),"",Calc!$G292)</f>
        <v/>
      </c>
      <c r="B289">
        <f>IF($A289="","",LEFT(Calc!$E292,4)&amp;MID(Calc!$E292,6,2)&amp;RIGHT(Calc!$E292,2)&amp;Calc!$R292&amp;"|"&amp;"1"&amp;RIGHT("00000"&amp;284,5))</f>
        <v/>
      </c>
      <c r="C289">
        <f>IF($B289="","",COUNTIFS(LdgPartyA,$A289,LdgKeyA,"&lt;"&amp;$B289)+COUNTIFS(LdgPartyB,$A289,LdgKeyB,"&lt;"&amp;$B289)+1)</f>
        <v/>
      </c>
      <c r="D289">
        <f>IF($C289="","",$A289&amp;"|"&amp;RIGHT("000000"&amp;$C289,6))</f>
        <v/>
      </c>
      <c r="F289">
        <f>IF(Sync!$AJ289="","",Sync!$AJ289)</f>
        <v/>
      </c>
      <c r="G289">
        <f>IF($F289="","",IF(Sync!$AG289="","",IF(ISNUMBER(Sync!$AG289),IF(AND(Sync!$AG289&gt;=10000101,Sync!$AG289&lt;=99991231),INT(Sync!$AG289/10000),""),IFERROR(VALUE(TRIM(LEFT(Sync!$AG289,FIND("/",Sync!$AG289)-1))),""))))</f>
        <v/>
      </c>
      <c r="H289">
        <f>IF(OR($F289="",$G289=""),"",IF(ISNUMBER(Sync!$AG289),INT(MOD(Sync!$AG289,10000)/100),IFERROR(VALUE(TRIM(LEFT(MID(Sync!$AG289,FIND("/",Sync!$AG289)+1,20),FIND("/",MID(Sync!$AG289,FIND("/",Sync!$AG289)+1,20))-1))),"")))</f>
        <v/>
      </c>
      <c r="I289">
        <f>IF(OR($F289="",$G289=""),"",IF(ISNUMBER(Sync!$AG289),MOD(Sync!$AG289,100),IFERROR(VALUE(TRIM(MID(MID(Sync!$AG289,FIND("/",Sync!$AG289)+1,20),FIND("/",MID(Sync!$AG289,FIND("/",Sync!$AG289)+1,20))+1,20))),"")))</f>
        <v/>
      </c>
      <c r="J289">
        <f>IF($F289="","",IF(OR($G289="",$H289="",$I289="",$G289&lt;1300,$G289&gt;1500,$H289&lt;1,$H289&gt;12,$I289&lt;1,$I289&gt;31),"نامعتبر",RIGHT("0000"&amp;$G289,4)&amp;"/"&amp;RIGHT("00"&amp;$H289,2)&amp;"/"&amp;RIGHT("00"&amp;$I289,2)))</f>
        <v/>
      </c>
      <c r="K289">
        <f>IF(OR($F289="",$J289="",$J289="نامعتبر"),"",LEFT($J289,4)&amp;MID($J289,6,2)&amp;RIGHT($J289,2)&amp;$N289&amp;"|"&amp;"2"&amp;RIGHT("00000"&amp;284,5))</f>
        <v/>
      </c>
      <c r="L289">
        <f>IF($K289="","",COUNTIFS(LdgPartyA,$F289,LdgKeyA,"&lt;"&amp;$K289)+COUNTIFS(LdgPartyB,$F289,LdgKeyB,"&lt;"&amp;$K289)+1)</f>
        <v/>
      </c>
      <c r="M289">
        <f>IF($L289="","",$F289&amp;"|"&amp;RIGHT("000000"&amp;$L289,6))</f>
        <v/>
      </c>
      <c r="N289">
        <f>IF($F289="","",IF(Sync!$AH289="","0000",IF(AND(ISNUMBER(Sync!$AH289),Sync!$AH289&gt;=0,Sync!$AH289&lt;1),RIGHT("00"&amp;HOUR(Sync!$AH289),2)&amp;RIGHT("00"&amp;MINUTE(Sync!$AH289),2),IFERROR(RIGHT("00"&amp;VALUE(LEFT(Sync!$AH289,FIND(":",Sync!$AH289)-1)),2)&amp;RIGHT("00"&amp;VALUE(MID(Sync!$AH289,FIND(":",Sync!$AH289)+1,2)),2),"0000"))))</f>
        <v/>
      </c>
    </row>
    <row r="290">
      <c r="A290">
        <f>IF(OR(Calc!$E293="",Calc!$E293="نامعتبر",Calc!$G293="",Calc!$I293&lt;&gt;"خرید"),"",Calc!$G293)</f>
        <v/>
      </c>
      <c r="B290">
        <f>IF($A290="","",LEFT(Calc!$E293,4)&amp;MID(Calc!$E293,6,2)&amp;RIGHT(Calc!$E293,2)&amp;Calc!$R293&amp;"|"&amp;"1"&amp;RIGHT("00000"&amp;285,5))</f>
        <v/>
      </c>
      <c r="C290">
        <f>IF($B290="","",COUNTIFS(LdgPartyA,$A290,LdgKeyA,"&lt;"&amp;$B290)+COUNTIFS(LdgPartyB,$A290,LdgKeyB,"&lt;"&amp;$B290)+1)</f>
        <v/>
      </c>
      <c r="D290">
        <f>IF($C290="","",$A290&amp;"|"&amp;RIGHT("000000"&amp;$C290,6))</f>
        <v/>
      </c>
      <c r="F290">
        <f>IF(Sync!$AJ290="","",Sync!$AJ290)</f>
        <v/>
      </c>
      <c r="G290">
        <f>IF($F290="","",IF(Sync!$AG290="","",IF(ISNUMBER(Sync!$AG290),IF(AND(Sync!$AG290&gt;=10000101,Sync!$AG290&lt;=99991231),INT(Sync!$AG290/10000),""),IFERROR(VALUE(TRIM(LEFT(Sync!$AG290,FIND("/",Sync!$AG290)-1))),""))))</f>
        <v/>
      </c>
      <c r="H290">
        <f>IF(OR($F290="",$G290=""),"",IF(ISNUMBER(Sync!$AG290),INT(MOD(Sync!$AG290,10000)/100),IFERROR(VALUE(TRIM(LEFT(MID(Sync!$AG290,FIND("/",Sync!$AG290)+1,20),FIND("/",MID(Sync!$AG290,FIND("/",Sync!$AG290)+1,20))-1))),"")))</f>
        <v/>
      </c>
      <c r="I290">
        <f>IF(OR($F290="",$G290=""),"",IF(ISNUMBER(Sync!$AG290),MOD(Sync!$AG290,100),IFERROR(VALUE(TRIM(MID(MID(Sync!$AG290,FIND("/",Sync!$AG290)+1,20),FIND("/",MID(Sync!$AG290,FIND("/",Sync!$AG290)+1,20))+1,20))),"")))</f>
        <v/>
      </c>
      <c r="J290">
        <f>IF($F290="","",IF(OR($G290="",$H290="",$I290="",$G290&lt;1300,$G290&gt;1500,$H290&lt;1,$H290&gt;12,$I290&lt;1,$I290&gt;31),"نامعتبر",RIGHT("0000"&amp;$G290,4)&amp;"/"&amp;RIGHT("00"&amp;$H290,2)&amp;"/"&amp;RIGHT("00"&amp;$I290,2)))</f>
        <v/>
      </c>
      <c r="K290">
        <f>IF(OR($F290="",$J290="",$J290="نامعتبر"),"",LEFT($J290,4)&amp;MID($J290,6,2)&amp;RIGHT($J290,2)&amp;$N290&amp;"|"&amp;"2"&amp;RIGHT("00000"&amp;285,5))</f>
        <v/>
      </c>
      <c r="L290">
        <f>IF($K290="","",COUNTIFS(LdgPartyA,$F290,LdgKeyA,"&lt;"&amp;$K290)+COUNTIFS(LdgPartyB,$F290,LdgKeyB,"&lt;"&amp;$K290)+1)</f>
        <v/>
      </c>
      <c r="M290">
        <f>IF($L290="","",$F290&amp;"|"&amp;RIGHT("000000"&amp;$L290,6))</f>
        <v/>
      </c>
      <c r="N290">
        <f>IF($F290="","",IF(Sync!$AH290="","0000",IF(AND(ISNUMBER(Sync!$AH290),Sync!$AH290&gt;=0,Sync!$AH290&lt;1),RIGHT("00"&amp;HOUR(Sync!$AH290),2)&amp;RIGHT("00"&amp;MINUTE(Sync!$AH290),2),IFERROR(RIGHT("00"&amp;VALUE(LEFT(Sync!$AH290,FIND(":",Sync!$AH290)-1)),2)&amp;RIGHT("00"&amp;VALUE(MID(Sync!$AH290,FIND(":",Sync!$AH290)+1,2)),2),"0000"))))</f>
        <v/>
      </c>
    </row>
    <row r="291">
      <c r="A291">
        <f>IF(OR(Calc!$E294="",Calc!$E294="نامعتبر",Calc!$G294="",Calc!$I294&lt;&gt;"خرید"),"",Calc!$G294)</f>
        <v/>
      </c>
      <c r="B291">
        <f>IF($A291="","",LEFT(Calc!$E294,4)&amp;MID(Calc!$E294,6,2)&amp;RIGHT(Calc!$E294,2)&amp;Calc!$R294&amp;"|"&amp;"1"&amp;RIGHT("00000"&amp;286,5))</f>
        <v/>
      </c>
      <c r="C291">
        <f>IF($B291="","",COUNTIFS(LdgPartyA,$A291,LdgKeyA,"&lt;"&amp;$B291)+COUNTIFS(LdgPartyB,$A291,LdgKeyB,"&lt;"&amp;$B291)+1)</f>
        <v/>
      </c>
      <c r="D291">
        <f>IF($C291="","",$A291&amp;"|"&amp;RIGHT("000000"&amp;$C291,6))</f>
        <v/>
      </c>
      <c r="F291">
        <f>IF(Sync!$AJ291="","",Sync!$AJ291)</f>
        <v/>
      </c>
      <c r="G291">
        <f>IF($F291="","",IF(Sync!$AG291="","",IF(ISNUMBER(Sync!$AG291),IF(AND(Sync!$AG291&gt;=10000101,Sync!$AG291&lt;=99991231),INT(Sync!$AG291/10000),""),IFERROR(VALUE(TRIM(LEFT(Sync!$AG291,FIND("/",Sync!$AG291)-1))),""))))</f>
        <v/>
      </c>
      <c r="H291">
        <f>IF(OR($F291="",$G291=""),"",IF(ISNUMBER(Sync!$AG291),INT(MOD(Sync!$AG291,10000)/100),IFERROR(VALUE(TRIM(LEFT(MID(Sync!$AG291,FIND("/",Sync!$AG291)+1,20),FIND("/",MID(Sync!$AG291,FIND("/",Sync!$AG291)+1,20))-1))),"")))</f>
        <v/>
      </c>
      <c r="I291">
        <f>IF(OR($F291="",$G291=""),"",IF(ISNUMBER(Sync!$AG291),MOD(Sync!$AG291,100),IFERROR(VALUE(TRIM(MID(MID(Sync!$AG291,FIND("/",Sync!$AG291)+1,20),FIND("/",MID(Sync!$AG291,FIND("/",Sync!$AG291)+1,20))+1,20))),"")))</f>
        <v/>
      </c>
      <c r="J291">
        <f>IF($F291="","",IF(OR($G291="",$H291="",$I291="",$G291&lt;1300,$G291&gt;1500,$H291&lt;1,$H291&gt;12,$I291&lt;1,$I291&gt;31),"نامعتبر",RIGHT("0000"&amp;$G291,4)&amp;"/"&amp;RIGHT("00"&amp;$H291,2)&amp;"/"&amp;RIGHT("00"&amp;$I291,2)))</f>
        <v/>
      </c>
      <c r="K291">
        <f>IF(OR($F291="",$J291="",$J291="نامعتبر"),"",LEFT($J291,4)&amp;MID($J291,6,2)&amp;RIGHT($J291,2)&amp;$N291&amp;"|"&amp;"2"&amp;RIGHT("00000"&amp;286,5))</f>
        <v/>
      </c>
      <c r="L291">
        <f>IF($K291="","",COUNTIFS(LdgPartyA,$F291,LdgKeyA,"&lt;"&amp;$K291)+COUNTIFS(LdgPartyB,$F291,LdgKeyB,"&lt;"&amp;$K291)+1)</f>
        <v/>
      </c>
      <c r="M291">
        <f>IF($L291="","",$F291&amp;"|"&amp;RIGHT("000000"&amp;$L291,6))</f>
        <v/>
      </c>
      <c r="N291">
        <f>IF($F291="","",IF(Sync!$AH291="","0000",IF(AND(ISNUMBER(Sync!$AH291),Sync!$AH291&gt;=0,Sync!$AH291&lt;1),RIGHT("00"&amp;HOUR(Sync!$AH291),2)&amp;RIGHT("00"&amp;MINUTE(Sync!$AH291),2),IFERROR(RIGHT("00"&amp;VALUE(LEFT(Sync!$AH291,FIND(":",Sync!$AH291)-1)),2)&amp;RIGHT("00"&amp;VALUE(MID(Sync!$AH291,FIND(":",Sync!$AH291)+1,2)),2),"0000"))))</f>
        <v/>
      </c>
    </row>
    <row r="292">
      <c r="A292">
        <f>IF(OR(Calc!$E295="",Calc!$E295="نامعتبر",Calc!$G295="",Calc!$I295&lt;&gt;"خرید"),"",Calc!$G295)</f>
        <v/>
      </c>
      <c r="B292">
        <f>IF($A292="","",LEFT(Calc!$E295,4)&amp;MID(Calc!$E295,6,2)&amp;RIGHT(Calc!$E295,2)&amp;Calc!$R295&amp;"|"&amp;"1"&amp;RIGHT("00000"&amp;287,5))</f>
        <v/>
      </c>
      <c r="C292">
        <f>IF($B292="","",COUNTIFS(LdgPartyA,$A292,LdgKeyA,"&lt;"&amp;$B292)+COUNTIFS(LdgPartyB,$A292,LdgKeyB,"&lt;"&amp;$B292)+1)</f>
        <v/>
      </c>
      <c r="D292">
        <f>IF($C292="","",$A292&amp;"|"&amp;RIGHT("000000"&amp;$C292,6))</f>
        <v/>
      </c>
      <c r="F292">
        <f>IF(Sync!$AJ292="","",Sync!$AJ292)</f>
        <v/>
      </c>
      <c r="G292">
        <f>IF($F292="","",IF(Sync!$AG292="","",IF(ISNUMBER(Sync!$AG292),IF(AND(Sync!$AG292&gt;=10000101,Sync!$AG292&lt;=99991231),INT(Sync!$AG292/10000),""),IFERROR(VALUE(TRIM(LEFT(Sync!$AG292,FIND("/",Sync!$AG292)-1))),""))))</f>
        <v/>
      </c>
      <c r="H292">
        <f>IF(OR($F292="",$G292=""),"",IF(ISNUMBER(Sync!$AG292),INT(MOD(Sync!$AG292,10000)/100),IFERROR(VALUE(TRIM(LEFT(MID(Sync!$AG292,FIND("/",Sync!$AG292)+1,20),FIND("/",MID(Sync!$AG292,FIND("/",Sync!$AG292)+1,20))-1))),"")))</f>
        <v/>
      </c>
      <c r="I292">
        <f>IF(OR($F292="",$G292=""),"",IF(ISNUMBER(Sync!$AG292),MOD(Sync!$AG292,100),IFERROR(VALUE(TRIM(MID(MID(Sync!$AG292,FIND("/",Sync!$AG292)+1,20),FIND("/",MID(Sync!$AG292,FIND("/",Sync!$AG292)+1,20))+1,20))),"")))</f>
        <v/>
      </c>
      <c r="J292">
        <f>IF($F292="","",IF(OR($G292="",$H292="",$I292="",$G292&lt;1300,$G292&gt;1500,$H292&lt;1,$H292&gt;12,$I292&lt;1,$I292&gt;31),"نامعتبر",RIGHT("0000"&amp;$G292,4)&amp;"/"&amp;RIGHT("00"&amp;$H292,2)&amp;"/"&amp;RIGHT("00"&amp;$I292,2)))</f>
        <v/>
      </c>
      <c r="K292">
        <f>IF(OR($F292="",$J292="",$J292="نامعتبر"),"",LEFT($J292,4)&amp;MID($J292,6,2)&amp;RIGHT($J292,2)&amp;$N292&amp;"|"&amp;"2"&amp;RIGHT("00000"&amp;287,5))</f>
        <v/>
      </c>
      <c r="L292">
        <f>IF($K292="","",COUNTIFS(LdgPartyA,$F292,LdgKeyA,"&lt;"&amp;$K292)+COUNTIFS(LdgPartyB,$F292,LdgKeyB,"&lt;"&amp;$K292)+1)</f>
        <v/>
      </c>
      <c r="M292">
        <f>IF($L292="","",$F292&amp;"|"&amp;RIGHT("000000"&amp;$L292,6))</f>
        <v/>
      </c>
      <c r="N292">
        <f>IF($F292="","",IF(Sync!$AH292="","0000",IF(AND(ISNUMBER(Sync!$AH292),Sync!$AH292&gt;=0,Sync!$AH292&lt;1),RIGHT("00"&amp;HOUR(Sync!$AH292),2)&amp;RIGHT("00"&amp;MINUTE(Sync!$AH292),2),IFERROR(RIGHT("00"&amp;VALUE(LEFT(Sync!$AH292,FIND(":",Sync!$AH292)-1)),2)&amp;RIGHT("00"&amp;VALUE(MID(Sync!$AH292,FIND(":",Sync!$AH292)+1,2)),2),"0000"))))</f>
        <v/>
      </c>
    </row>
    <row r="293">
      <c r="A293">
        <f>IF(OR(Calc!$E296="",Calc!$E296="نامعتبر",Calc!$G296="",Calc!$I296&lt;&gt;"خرید"),"",Calc!$G296)</f>
        <v/>
      </c>
      <c r="B293">
        <f>IF($A293="","",LEFT(Calc!$E296,4)&amp;MID(Calc!$E296,6,2)&amp;RIGHT(Calc!$E296,2)&amp;Calc!$R296&amp;"|"&amp;"1"&amp;RIGHT("00000"&amp;288,5))</f>
        <v/>
      </c>
      <c r="C293">
        <f>IF($B293="","",COUNTIFS(LdgPartyA,$A293,LdgKeyA,"&lt;"&amp;$B293)+COUNTIFS(LdgPartyB,$A293,LdgKeyB,"&lt;"&amp;$B293)+1)</f>
        <v/>
      </c>
      <c r="D293">
        <f>IF($C293="","",$A293&amp;"|"&amp;RIGHT("000000"&amp;$C293,6))</f>
        <v/>
      </c>
      <c r="F293">
        <f>IF(Sync!$AJ293="","",Sync!$AJ293)</f>
        <v/>
      </c>
      <c r="G293">
        <f>IF($F293="","",IF(Sync!$AG293="","",IF(ISNUMBER(Sync!$AG293),IF(AND(Sync!$AG293&gt;=10000101,Sync!$AG293&lt;=99991231),INT(Sync!$AG293/10000),""),IFERROR(VALUE(TRIM(LEFT(Sync!$AG293,FIND("/",Sync!$AG293)-1))),""))))</f>
        <v/>
      </c>
      <c r="H293">
        <f>IF(OR($F293="",$G293=""),"",IF(ISNUMBER(Sync!$AG293),INT(MOD(Sync!$AG293,10000)/100),IFERROR(VALUE(TRIM(LEFT(MID(Sync!$AG293,FIND("/",Sync!$AG293)+1,20),FIND("/",MID(Sync!$AG293,FIND("/",Sync!$AG293)+1,20))-1))),"")))</f>
        <v/>
      </c>
      <c r="I293">
        <f>IF(OR($F293="",$G293=""),"",IF(ISNUMBER(Sync!$AG293),MOD(Sync!$AG293,100),IFERROR(VALUE(TRIM(MID(MID(Sync!$AG293,FIND("/",Sync!$AG293)+1,20),FIND("/",MID(Sync!$AG293,FIND("/",Sync!$AG293)+1,20))+1,20))),"")))</f>
        <v/>
      </c>
      <c r="J293">
        <f>IF($F293="","",IF(OR($G293="",$H293="",$I293="",$G293&lt;1300,$G293&gt;1500,$H293&lt;1,$H293&gt;12,$I293&lt;1,$I293&gt;31),"نامعتبر",RIGHT("0000"&amp;$G293,4)&amp;"/"&amp;RIGHT("00"&amp;$H293,2)&amp;"/"&amp;RIGHT("00"&amp;$I293,2)))</f>
        <v/>
      </c>
      <c r="K293">
        <f>IF(OR($F293="",$J293="",$J293="نامعتبر"),"",LEFT($J293,4)&amp;MID($J293,6,2)&amp;RIGHT($J293,2)&amp;$N293&amp;"|"&amp;"2"&amp;RIGHT("00000"&amp;288,5))</f>
        <v/>
      </c>
      <c r="L293">
        <f>IF($K293="","",COUNTIFS(LdgPartyA,$F293,LdgKeyA,"&lt;"&amp;$K293)+COUNTIFS(LdgPartyB,$F293,LdgKeyB,"&lt;"&amp;$K293)+1)</f>
        <v/>
      </c>
      <c r="M293">
        <f>IF($L293="","",$F293&amp;"|"&amp;RIGHT("000000"&amp;$L293,6))</f>
        <v/>
      </c>
      <c r="N293">
        <f>IF($F293="","",IF(Sync!$AH293="","0000",IF(AND(ISNUMBER(Sync!$AH293),Sync!$AH293&gt;=0,Sync!$AH293&lt;1),RIGHT("00"&amp;HOUR(Sync!$AH293),2)&amp;RIGHT("00"&amp;MINUTE(Sync!$AH293),2),IFERROR(RIGHT("00"&amp;VALUE(LEFT(Sync!$AH293,FIND(":",Sync!$AH293)-1)),2)&amp;RIGHT("00"&amp;VALUE(MID(Sync!$AH293,FIND(":",Sync!$AH293)+1,2)),2),"0000"))))</f>
        <v/>
      </c>
    </row>
    <row r="294">
      <c r="A294">
        <f>IF(OR(Calc!$E297="",Calc!$E297="نامعتبر",Calc!$G297="",Calc!$I297&lt;&gt;"خرید"),"",Calc!$G297)</f>
        <v/>
      </c>
      <c r="B294">
        <f>IF($A294="","",LEFT(Calc!$E297,4)&amp;MID(Calc!$E297,6,2)&amp;RIGHT(Calc!$E297,2)&amp;Calc!$R297&amp;"|"&amp;"1"&amp;RIGHT("00000"&amp;289,5))</f>
        <v/>
      </c>
      <c r="C294">
        <f>IF($B294="","",COUNTIFS(LdgPartyA,$A294,LdgKeyA,"&lt;"&amp;$B294)+COUNTIFS(LdgPartyB,$A294,LdgKeyB,"&lt;"&amp;$B294)+1)</f>
        <v/>
      </c>
      <c r="D294">
        <f>IF($C294="","",$A294&amp;"|"&amp;RIGHT("000000"&amp;$C294,6))</f>
        <v/>
      </c>
      <c r="F294">
        <f>IF(Sync!$AJ294="","",Sync!$AJ294)</f>
        <v/>
      </c>
      <c r="G294">
        <f>IF($F294="","",IF(Sync!$AG294="","",IF(ISNUMBER(Sync!$AG294),IF(AND(Sync!$AG294&gt;=10000101,Sync!$AG294&lt;=99991231),INT(Sync!$AG294/10000),""),IFERROR(VALUE(TRIM(LEFT(Sync!$AG294,FIND("/",Sync!$AG294)-1))),""))))</f>
        <v/>
      </c>
      <c r="H294">
        <f>IF(OR($F294="",$G294=""),"",IF(ISNUMBER(Sync!$AG294),INT(MOD(Sync!$AG294,10000)/100),IFERROR(VALUE(TRIM(LEFT(MID(Sync!$AG294,FIND("/",Sync!$AG294)+1,20),FIND("/",MID(Sync!$AG294,FIND("/",Sync!$AG294)+1,20))-1))),"")))</f>
        <v/>
      </c>
      <c r="I294">
        <f>IF(OR($F294="",$G294=""),"",IF(ISNUMBER(Sync!$AG294),MOD(Sync!$AG294,100),IFERROR(VALUE(TRIM(MID(MID(Sync!$AG294,FIND("/",Sync!$AG294)+1,20),FIND("/",MID(Sync!$AG294,FIND("/",Sync!$AG294)+1,20))+1,20))),"")))</f>
        <v/>
      </c>
      <c r="J294">
        <f>IF($F294="","",IF(OR($G294="",$H294="",$I294="",$G294&lt;1300,$G294&gt;1500,$H294&lt;1,$H294&gt;12,$I294&lt;1,$I294&gt;31),"نامعتبر",RIGHT("0000"&amp;$G294,4)&amp;"/"&amp;RIGHT("00"&amp;$H294,2)&amp;"/"&amp;RIGHT("00"&amp;$I294,2)))</f>
        <v/>
      </c>
      <c r="K294">
        <f>IF(OR($F294="",$J294="",$J294="نامعتبر"),"",LEFT($J294,4)&amp;MID($J294,6,2)&amp;RIGHT($J294,2)&amp;$N294&amp;"|"&amp;"2"&amp;RIGHT("00000"&amp;289,5))</f>
        <v/>
      </c>
      <c r="L294">
        <f>IF($K294="","",COUNTIFS(LdgPartyA,$F294,LdgKeyA,"&lt;"&amp;$K294)+COUNTIFS(LdgPartyB,$F294,LdgKeyB,"&lt;"&amp;$K294)+1)</f>
        <v/>
      </c>
      <c r="M294">
        <f>IF($L294="","",$F294&amp;"|"&amp;RIGHT("000000"&amp;$L294,6))</f>
        <v/>
      </c>
      <c r="N294">
        <f>IF($F294="","",IF(Sync!$AH294="","0000",IF(AND(ISNUMBER(Sync!$AH294),Sync!$AH294&gt;=0,Sync!$AH294&lt;1),RIGHT("00"&amp;HOUR(Sync!$AH294),2)&amp;RIGHT("00"&amp;MINUTE(Sync!$AH294),2),IFERROR(RIGHT("00"&amp;VALUE(LEFT(Sync!$AH294,FIND(":",Sync!$AH294)-1)),2)&amp;RIGHT("00"&amp;VALUE(MID(Sync!$AH294,FIND(":",Sync!$AH294)+1,2)),2),"0000"))))</f>
        <v/>
      </c>
    </row>
    <row r="295">
      <c r="A295">
        <f>IF(OR(Calc!$E298="",Calc!$E298="نامعتبر",Calc!$G298="",Calc!$I298&lt;&gt;"خرید"),"",Calc!$G298)</f>
        <v/>
      </c>
      <c r="B295">
        <f>IF($A295="","",LEFT(Calc!$E298,4)&amp;MID(Calc!$E298,6,2)&amp;RIGHT(Calc!$E298,2)&amp;Calc!$R298&amp;"|"&amp;"1"&amp;RIGHT("00000"&amp;290,5))</f>
        <v/>
      </c>
      <c r="C295">
        <f>IF($B295="","",COUNTIFS(LdgPartyA,$A295,LdgKeyA,"&lt;"&amp;$B295)+COUNTIFS(LdgPartyB,$A295,LdgKeyB,"&lt;"&amp;$B295)+1)</f>
        <v/>
      </c>
      <c r="D295">
        <f>IF($C295="","",$A295&amp;"|"&amp;RIGHT("000000"&amp;$C295,6))</f>
        <v/>
      </c>
      <c r="F295">
        <f>IF(Sync!$AJ295="","",Sync!$AJ295)</f>
        <v/>
      </c>
      <c r="G295">
        <f>IF($F295="","",IF(Sync!$AG295="","",IF(ISNUMBER(Sync!$AG295),IF(AND(Sync!$AG295&gt;=10000101,Sync!$AG295&lt;=99991231),INT(Sync!$AG295/10000),""),IFERROR(VALUE(TRIM(LEFT(Sync!$AG295,FIND("/",Sync!$AG295)-1))),""))))</f>
        <v/>
      </c>
      <c r="H295">
        <f>IF(OR($F295="",$G295=""),"",IF(ISNUMBER(Sync!$AG295),INT(MOD(Sync!$AG295,10000)/100),IFERROR(VALUE(TRIM(LEFT(MID(Sync!$AG295,FIND("/",Sync!$AG295)+1,20),FIND("/",MID(Sync!$AG295,FIND("/",Sync!$AG295)+1,20))-1))),"")))</f>
        <v/>
      </c>
      <c r="I295">
        <f>IF(OR($F295="",$G295=""),"",IF(ISNUMBER(Sync!$AG295),MOD(Sync!$AG295,100),IFERROR(VALUE(TRIM(MID(MID(Sync!$AG295,FIND("/",Sync!$AG295)+1,20),FIND("/",MID(Sync!$AG295,FIND("/",Sync!$AG295)+1,20))+1,20))),"")))</f>
        <v/>
      </c>
      <c r="J295">
        <f>IF($F295="","",IF(OR($G295="",$H295="",$I295="",$G295&lt;1300,$G295&gt;1500,$H295&lt;1,$H295&gt;12,$I295&lt;1,$I295&gt;31),"نامعتبر",RIGHT("0000"&amp;$G295,4)&amp;"/"&amp;RIGHT("00"&amp;$H295,2)&amp;"/"&amp;RIGHT("00"&amp;$I295,2)))</f>
        <v/>
      </c>
      <c r="K295">
        <f>IF(OR($F295="",$J295="",$J295="نامعتبر"),"",LEFT($J295,4)&amp;MID($J295,6,2)&amp;RIGHT($J295,2)&amp;$N295&amp;"|"&amp;"2"&amp;RIGHT("00000"&amp;290,5))</f>
        <v/>
      </c>
      <c r="L295">
        <f>IF($K295="","",COUNTIFS(LdgPartyA,$F295,LdgKeyA,"&lt;"&amp;$K295)+COUNTIFS(LdgPartyB,$F295,LdgKeyB,"&lt;"&amp;$K295)+1)</f>
        <v/>
      </c>
      <c r="M295">
        <f>IF($L295="","",$F295&amp;"|"&amp;RIGHT("000000"&amp;$L295,6))</f>
        <v/>
      </c>
      <c r="N295">
        <f>IF($F295="","",IF(Sync!$AH295="","0000",IF(AND(ISNUMBER(Sync!$AH295),Sync!$AH295&gt;=0,Sync!$AH295&lt;1),RIGHT("00"&amp;HOUR(Sync!$AH295),2)&amp;RIGHT("00"&amp;MINUTE(Sync!$AH295),2),IFERROR(RIGHT("00"&amp;VALUE(LEFT(Sync!$AH295,FIND(":",Sync!$AH295)-1)),2)&amp;RIGHT("00"&amp;VALUE(MID(Sync!$AH295,FIND(":",Sync!$AH295)+1,2)),2),"0000"))))</f>
        <v/>
      </c>
    </row>
    <row r="296">
      <c r="A296">
        <f>IF(OR(Calc!$E299="",Calc!$E299="نامعتبر",Calc!$G299="",Calc!$I299&lt;&gt;"خرید"),"",Calc!$G299)</f>
        <v/>
      </c>
      <c r="B296">
        <f>IF($A296="","",LEFT(Calc!$E299,4)&amp;MID(Calc!$E299,6,2)&amp;RIGHT(Calc!$E299,2)&amp;Calc!$R299&amp;"|"&amp;"1"&amp;RIGHT("00000"&amp;291,5))</f>
        <v/>
      </c>
      <c r="C296">
        <f>IF($B296="","",COUNTIFS(LdgPartyA,$A296,LdgKeyA,"&lt;"&amp;$B296)+COUNTIFS(LdgPartyB,$A296,LdgKeyB,"&lt;"&amp;$B296)+1)</f>
        <v/>
      </c>
      <c r="D296">
        <f>IF($C296="","",$A296&amp;"|"&amp;RIGHT("000000"&amp;$C296,6))</f>
        <v/>
      </c>
      <c r="F296">
        <f>IF(Sync!$AJ296="","",Sync!$AJ296)</f>
        <v/>
      </c>
      <c r="G296">
        <f>IF($F296="","",IF(Sync!$AG296="","",IF(ISNUMBER(Sync!$AG296),IF(AND(Sync!$AG296&gt;=10000101,Sync!$AG296&lt;=99991231),INT(Sync!$AG296/10000),""),IFERROR(VALUE(TRIM(LEFT(Sync!$AG296,FIND("/",Sync!$AG296)-1))),""))))</f>
        <v/>
      </c>
      <c r="H296">
        <f>IF(OR($F296="",$G296=""),"",IF(ISNUMBER(Sync!$AG296),INT(MOD(Sync!$AG296,10000)/100),IFERROR(VALUE(TRIM(LEFT(MID(Sync!$AG296,FIND("/",Sync!$AG296)+1,20),FIND("/",MID(Sync!$AG296,FIND("/",Sync!$AG296)+1,20))-1))),"")))</f>
        <v/>
      </c>
      <c r="I296">
        <f>IF(OR($F296="",$G296=""),"",IF(ISNUMBER(Sync!$AG296),MOD(Sync!$AG296,100),IFERROR(VALUE(TRIM(MID(MID(Sync!$AG296,FIND("/",Sync!$AG296)+1,20),FIND("/",MID(Sync!$AG296,FIND("/",Sync!$AG296)+1,20))+1,20))),"")))</f>
        <v/>
      </c>
      <c r="J296">
        <f>IF($F296="","",IF(OR($G296="",$H296="",$I296="",$G296&lt;1300,$G296&gt;1500,$H296&lt;1,$H296&gt;12,$I296&lt;1,$I296&gt;31),"نامعتبر",RIGHT("0000"&amp;$G296,4)&amp;"/"&amp;RIGHT("00"&amp;$H296,2)&amp;"/"&amp;RIGHT("00"&amp;$I296,2)))</f>
        <v/>
      </c>
      <c r="K296">
        <f>IF(OR($F296="",$J296="",$J296="نامعتبر"),"",LEFT($J296,4)&amp;MID($J296,6,2)&amp;RIGHT($J296,2)&amp;$N296&amp;"|"&amp;"2"&amp;RIGHT("00000"&amp;291,5))</f>
        <v/>
      </c>
      <c r="L296">
        <f>IF($K296="","",COUNTIFS(LdgPartyA,$F296,LdgKeyA,"&lt;"&amp;$K296)+COUNTIFS(LdgPartyB,$F296,LdgKeyB,"&lt;"&amp;$K296)+1)</f>
        <v/>
      </c>
      <c r="M296">
        <f>IF($L296="","",$F296&amp;"|"&amp;RIGHT("000000"&amp;$L296,6))</f>
        <v/>
      </c>
      <c r="N296">
        <f>IF($F296="","",IF(Sync!$AH296="","0000",IF(AND(ISNUMBER(Sync!$AH296),Sync!$AH296&gt;=0,Sync!$AH296&lt;1),RIGHT("00"&amp;HOUR(Sync!$AH296),2)&amp;RIGHT("00"&amp;MINUTE(Sync!$AH296),2),IFERROR(RIGHT("00"&amp;VALUE(LEFT(Sync!$AH296,FIND(":",Sync!$AH296)-1)),2)&amp;RIGHT("00"&amp;VALUE(MID(Sync!$AH296,FIND(":",Sync!$AH296)+1,2)),2),"0000"))))</f>
        <v/>
      </c>
    </row>
    <row r="297">
      <c r="A297">
        <f>IF(OR(Calc!$E300="",Calc!$E300="نامعتبر",Calc!$G300="",Calc!$I300&lt;&gt;"خرید"),"",Calc!$G300)</f>
        <v/>
      </c>
      <c r="B297">
        <f>IF($A297="","",LEFT(Calc!$E300,4)&amp;MID(Calc!$E300,6,2)&amp;RIGHT(Calc!$E300,2)&amp;Calc!$R300&amp;"|"&amp;"1"&amp;RIGHT("00000"&amp;292,5))</f>
        <v/>
      </c>
      <c r="C297">
        <f>IF($B297="","",COUNTIFS(LdgPartyA,$A297,LdgKeyA,"&lt;"&amp;$B297)+COUNTIFS(LdgPartyB,$A297,LdgKeyB,"&lt;"&amp;$B297)+1)</f>
        <v/>
      </c>
      <c r="D297">
        <f>IF($C297="","",$A297&amp;"|"&amp;RIGHT("000000"&amp;$C297,6))</f>
        <v/>
      </c>
      <c r="F297">
        <f>IF(Sync!$AJ297="","",Sync!$AJ297)</f>
        <v/>
      </c>
      <c r="G297">
        <f>IF($F297="","",IF(Sync!$AG297="","",IF(ISNUMBER(Sync!$AG297),IF(AND(Sync!$AG297&gt;=10000101,Sync!$AG297&lt;=99991231),INT(Sync!$AG297/10000),""),IFERROR(VALUE(TRIM(LEFT(Sync!$AG297,FIND("/",Sync!$AG297)-1))),""))))</f>
        <v/>
      </c>
      <c r="H297">
        <f>IF(OR($F297="",$G297=""),"",IF(ISNUMBER(Sync!$AG297),INT(MOD(Sync!$AG297,10000)/100),IFERROR(VALUE(TRIM(LEFT(MID(Sync!$AG297,FIND("/",Sync!$AG297)+1,20),FIND("/",MID(Sync!$AG297,FIND("/",Sync!$AG297)+1,20))-1))),"")))</f>
        <v/>
      </c>
      <c r="I297">
        <f>IF(OR($F297="",$G297=""),"",IF(ISNUMBER(Sync!$AG297),MOD(Sync!$AG297,100),IFERROR(VALUE(TRIM(MID(MID(Sync!$AG297,FIND("/",Sync!$AG297)+1,20),FIND("/",MID(Sync!$AG297,FIND("/",Sync!$AG297)+1,20))+1,20))),"")))</f>
        <v/>
      </c>
      <c r="J297">
        <f>IF($F297="","",IF(OR($G297="",$H297="",$I297="",$G297&lt;1300,$G297&gt;1500,$H297&lt;1,$H297&gt;12,$I297&lt;1,$I297&gt;31),"نامعتبر",RIGHT("0000"&amp;$G297,4)&amp;"/"&amp;RIGHT("00"&amp;$H297,2)&amp;"/"&amp;RIGHT("00"&amp;$I297,2)))</f>
        <v/>
      </c>
      <c r="K297">
        <f>IF(OR($F297="",$J297="",$J297="نامعتبر"),"",LEFT($J297,4)&amp;MID($J297,6,2)&amp;RIGHT($J297,2)&amp;$N297&amp;"|"&amp;"2"&amp;RIGHT("00000"&amp;292,5))</f>
        <v/>
      </c>
      <c r="L297">
        <f>IF($K297="","",COUNTIFS(LdgPartyA,$F297,LdgKeyA,"&lt;"&amp;$K297)+COUNTIFS(LdgPartyB,$F297,LdgKeyB,"&lt;"&amp;$K297)+1)</f>
        <v/>
      </c>
      <c r="M297">
        <f>IF($L297="","",$F297&amp;"|"&amp;RIGHT("000000"&amp;$L297,6))</f>
        <v/>
      </c>
      <c r="N297">
        <f>IF($F297="","",IF(Sync!$AH297="","0000",IF(AND(ISNUMBER(Sync!$AH297),Sync!$AH297&gt;=0,Sync!$AH297&lt;1),RIGHT("00"&amp;HOUR(Sync!$AH297),2)&amp;RIGHT("00"&amp;MINUTE(Sync!$AH297),2),IFERROR(RIGHT("00"&amp;VALUE(LEFT(Sync!$AH297,FIND(":",Sync!$AH297)-1)),2)&amp;RIGHT("00"&amp;VALUE(MID(Sync!$AH297,FIND(":",Sync!$AH297)+1,2)),2),"0000"))))</f>
        <v/>
      </c>
    </row>
    <row r="298">
      <c r="A298">
        <f>IF(OR(Calc!$E301="",Calc!$E301="نامعتبر",Calc!$G301="",Calc!$I301&lt;&gt;"خرید"),"",Calc!$G301)</f>
        <v/>
      </c>
      <c r="B298">
        <f>IF($A298="","",LEFT(Calc!$E301,4)&amp;MID(Calc!$E301,6,2)&amp;RIGHT(Calc!$E301,2)&amp;Calc!$R301&amp;"|"&amp;"1"&amp;RIGHT("00000"&amp;293,5))</f>
        <v/>
      </c>
      <c r="C298">
        <f>IF($B298="","",COUNTIFS(LdgPartyA,$A298,LdgKeyA,"&lt;"&amp;$B298)+COUNTIFS(LdgPartyB,$A298,LdgKeyB,"&lt;"&amp;$B298)+1)</f>
        <v/>
      </c>
      <c r="D298">
        <f>IF($C298="","",$A298&amp;"|"&amp;RIGHT("000000"&amp;$C298,6))</f>
        <v/>
      </c>
      <c r="F298">
        <f>IF(Sync!$AJ298="","",Sync!$AJ298)</f>
        <v/>
      </c>
      <c r="G298">
        <f>IF($F298="","",IF(Sync!$AG298="","",IF(ISNUMBER(Sync!$AG298),IF(AND(Sync!$AG298&gt;=10000101,Sync!$AG298&lt;=99991231),INT(Sync!$AG298/10000),""),IFERROR(VALUE(TRIM(LEFT(Sync!$AG298,FIND("/",Sync!$AG298)-1))),""))))</f>
        <v/>
      </c>
      <c r="H298">
        <f>IF(OR($F298="",$G298=""),"",IF(ISNUMBER(Sync!$AG298),INT(MOD(Sync!$AG298,10000)/100),IFERROR(VALUE(TRIM(LEFT(MID(Sync!$AG298,FIND("/",Sync!$AG298)+1,20),FIND("/",MID(Sync!$AG298,FIND("/",Sync!$AG298)+1,20))-1))),"")))</f>
        <v/>
      </c>
      <c r="I298">
        <f>IF(OR($F298="",$G298=""),"",IF(ISNUMBER(Sync!$AG298),MOD(Sync!$AG298,100),IFERROR(VALUE(TRIM(MID(MID(Sync!$AG298,FIND("/",Sync!$AG298)+1,20),FIND("/",MID(Sync!$AG298,FIND("/",Sync!$AG298)+1,20))+1,20))),"")))</f>
        <v/>
      </c>
      <c r="J298">
        <f>IF($F298="","",IF(OR($G298="",$H298="",$I298="",$G298&lt;1300,$G298&gt;1500,$H298&lt;1,$H298&gt;12,$I298&lt;1,$I298&gt;31),"نامعتبر",RIGHT("0000"&amp;$G298,4)&amp;"/"&amp;RIGHT("00"&amp;$H298,2)&amp;"/"&amp;RIGHT("00"&amp;$I298,2)))</f>
        <v/>
      </c>
      <c r="K298">
        <f>IF(OR($F298="",$J298="",$J298="نامعتبر"),"",LEFT($J298,4)&amp;MID($J298,6,2)&amp;RIGHT($J298,2)&amp;$N298&amp;"|"&amp;"2"&amp;RIGHT("00000"&amp;293,5))</f>
        <v/>
      </c>
      <c r="L298">
        <f>IF($K298="","",COUNTIFS(LdgPartyA,$F298,LdgKeyA,"&lt;"&amp;$K298)+COUNTIFS(LdgPartyB,$F298,LdgKeyB,"&lt;"&amp;$K298)+1)</f>
        <v/>
      </c>
      <c r="M298">
        <f>IF($L298="","",$F298&amp;"|"&amp;RIGHT("000000"&amp;$L298,6))</f>
        <v/>
      </c>
      <c r="N298">
        <f>IF($F298="","",IF(Sync!$AH298="","0000",IF(AND(ISNUMBER(Sync!$AH298),Sync!$AH298&gt;=0,Sync!$AH298&lt;1),RIGHT("00"&amp;HOUR(Sync!$AH298),2)&amp;RIGHT("00"&amp;MINUTE(Sync!$AH298),2),IFERROR(RIGHT("00"&amp;VALUE(LEFT(Sync!$AH298,FIND(":",Sync!$AH298)-1)),2)&amp;RIGHT("00"&amp;VALUE(MID(Sync!$AH298,FIND(":",Sync!$AH298)+1,2)),2),"0000"))))</f>
        <v/>
      </c>
    </row>
    <row r="299">
      <c r="A299">
        <f>IF(OR(Calc!$E302="",Calc!$E302="نامعتبر",Calc!$G302="",Calc!$I302&lt;&gt;"خرید"),"",Calc!$G302)</f>
        <v/>
      </c>
      <c r="B299">
        <f>IF($A299="","",LEFT(Calc!$E302,4)&amp;MID(Calc!$E302,6,2)&amp;RIGHT(Calc!$E302,2)&amp;Calc!$R302&amp;"|"&amp;"1"&amp;RIGHT("00000"&amp;294,5))</f>
        <v/>
      </c>
      <c r="C299">
        <f>IF($B299="","",COUNTIFS(LdgPartyA,$A299,LdgKeyA,"&lt;"&amp;$B299)+COUNTIFS(LdgPartyB,$A299,LdgKeyB,"&lt;"&amp;$B299)+1)</f>
        <v/>
      </c>
      <c r="D299">
        <f>IF($C299="","",$A299&amp;"|"&amp;RIGHT("000000"&amp;$C299,6))</f>
        <v/>
      </c>
      <c r="F299">
        <f>IF(Sync!$AJ299="","",Sync!$AJ299)</f>
        <v/>
      </c>
      <c r="G299">
        <f>IF($F299="","",IF(Sync!$AG299="","",IF(ISNUMBER(Sync!$AG299),IF(AND(Sync!$AG299&gt;=10000101,Sync!$AG299&lt;=99991231),INT(Sync!$AG299/10000),""),IFERROR(VALUE(TRIM(LEFT(Sync!$AG299,FIND("/",Sync!$AG299)-1))),""))))</f>
        <v/>
      </c>
      <c r="H299">
        <f>IF(OR($F299="",$G299=""),"",IF(ISNUMBER(Sync!$AG299),INT(MOD(Sync!$AG299,10000)/100),IFERROR(VALUE(TRIM(LEFT(MID(Sync!$AG299,FIND("/",Sync!$AG299)+1,20),FIND("/",MID(Sync!$AG299,FIND("/",Sync!$AG299)+1,20))-1))),"")))</f>
        <v/>
      </c>
      <c r="I299">
        <f>IF(OR($F299="",$G299=""),"",IF(ISNUMBER(Sync!$AG299),MOD(Sync!$AG299,100),IFERROR(VALUE(TRIM(MID(MID(Sync!$AG299,FIND("/",Sync!$AG299)+1,20),FIND("/",MID(Sync!$AG299,FIND("/",Sync!$AG299)+1,20))+1,20))),"")))</f>
        <v/>
      </c>
      <c r="J299">
        <f>IF($F299="","",IF(OR($G299="",$H299="",$I299="",$G299&lt;1300,$G299&gt;1500,$H299&lt;1,$H299&gt;12,$I299&lt;1,$I299&gt;31),"نامعتبر",RIGHT("0000"&amp;$G299,4)&amp;"/"&amp;RIGHT("00"&amp;$H299,2)&amp;"/"&amp;RIGHT("00"&amp;$I299,2)))</f>
        <v/>
      </c>
      <c r="K299">
        <f>IF(OR($F299="",$J299="",$J299="نامعتبر"),"",LEFT($J299,4)&amp;MID($J299,6,2)&amp;RIGHT($J299,2)&amp;$N299&amp;"|"&amp;"2"&amp;RIGHT("00000"&amp;294,5))</f>
        <v/>
      </c>
      <c r="L299">
        <f>IF($K299="","",COUNTIFS(LdgPartyA,$F299,LdgKeyA,"&lt;"&amp;$K299)+COUNTIFS(LdgPartyB,$F299,LdgKeyB,"&lt;"&amp;$K299)+1)</f>
        <v/>
      </c>
      <c r="M299">
        <f>IF($L299="","",$F299&amp;"|"&amp;RIGHT("000000"&amp;$L299,6))</f>
        <v/>
      </c>
      <c r="N299">
        <f>IF($F299="","",IF(Sync!$AH299="","0000",IF(AND(ISNUMBER(Sync!$AH299),Sync!$AH299&gt;=0,Sync!$AH299&lt;1),RIGHT("00"&amp;HOUR(Sync!$AH299),2)&amp;RIGHT("00"&amp;MINUTE(Sync!$AH299),2),IFERROR(RIGHT("00"&amp;VALUE(LEFT(Sync!$AH299,FIND(":",Sync!$AH299)-1)),2)&amp;RIGHT("00"&amp;VALUE(MID(Sync!$AH299,FIND(":",Sync!$AH299)+1,2)),2),"0000"))))</f>
        <v/>
      </c>
    </row>
    <row r="300">
      <c r="A300">
        <f>IF(OR(Calc!$E303="",Calc!$E303="نامعتبر",Calc!$G303="",Calc!$I303&lt;&gt;"خرید"),"",Calc!$G303)</f>
        <v/>
      </c>
      <c r="B300">
        <f>IF($A300="","",LEFT(Calc!$E303,4)&amp;MID(Calc!$E303,6,2)&amp;RIGHT(Calc!$E303,2)&amp;Calc!$R303&amp;"|"&amp;"1"&amp;RIGHT("00000"&amp;295,5))</f>
        <v/>
      </c>
      <c r="C300">
        <f>IF($B300="","",COUNTIFS(LdgPartyA,$A300,LdgKeyA,"&lt;"&amp;$B300)+COUNTIFS(LdgPartyB,$A300,LdgKeyB,"&lt;"&amp;$B300)+1)</f>
        <v/>
      </c>
      <c r="D300">
        <f>IF($C300="","",$A300&amp;"|"&amp;RIGHT("000000"&amp;$C300,6))</f>
        <v/>
      </c>
      <c r="F300">
        <f>IF(Sync!$AJ300="","",Sync!$AJ300)</f>
        <v/>
      </c>
      <c r="G300">
        <f>IF($F300="","",IF(Sync!$AG300="","",IF(ISNUMBER(Sync!$AG300),IF(AND(Sync!$AG300&gt;=10000101,Sync!$AG300&lt;=99991231),INT(Sync!$AG300/10000),""),IFERROR(VALUE(TRIM(LEFT(Sync!$AG300,FIND("/",Sync!$AG300)-1))),""))))</f>
        <v/>
      </c>
      <c r="H300">
        <f>IF(OR($F300="",$G300=""),"",IF(ISNUMBER(Sync!$AG300),INT(MOD(Sync!$AG300,10000)/100),IFERROR(VALUE(TRIM(LEFT(MID(Sync!$AG300,FIND("/",Sync!$AG300)+1,20),FIND("/",MID(Sync!$AG300,FIND("/",Sync!$AG300)+1,20))-1))),"")))</f>
        <v/>
      </c>
      <c r="I300">
        <f>IF(OR($F300="",$G300=""),"",IF(ISNUMBER(Sync!$AG300),MOD(Sync!$AG300,100),IFERROR(VALUE(TRIM(MID(MID(Sync!$AG300,FIND("/",Sync!$AG300)+1,20),FIND("/",MID(Sync!$AG300,FIND("/",Sync!$AG300)+1,20))+1,20))),"")))</f>
        <v/>
      </c>
      <c r="J300">
        <f>IF($F300="","",IF(OR($G300="",$H300="",$I300="",$G300&lt;1300,$G300&gt;1500,$H300&lt;1,$H300&gt;12,$I300&lt;1,$I300&gt;31),"نامعتبر",RIGHT("0000"&amp;$G300,4)&amp;"/"&amp;RIGHT("00"&amp;$H300,2)&amp;"/"&amp;RIGHT("00"&amp;$I300,2)))</f>
        <v/>
      </c>
      <c r="K300">
        <f>IF(OR($F300="",$J300="",$J300="نامعتبر"),"",LEFT($J300,4)&amp;MID($J300,6,2)&amp;RIGHT($J300,2)&amp;$N300&amp;"|"&amp;"2"&amp;RIGHT("00000"&amp;295,5))</f>
        <v/>
      </c>
      <c r="L300">
        <f>IF($K300="","",COUNTIFS(LdgPartyA,$F300,LdgKeyA,"&lt;"&amp;$K300)+COUNTIFS(LdgPartyB,$F300,LdgKeyB,"&lt;"&amp;$K300)+1)</f>
        <v/>
      </c>
      <c r="M300">
        <f>IF($L300="","",$F300&amp;"|"&amp;RIGHT("000000"&amp;$L300,6))</f>
        <v/>
      </c>
      <c r="N300">
        <f>IF($F300="","",IF(Sync!$AH300="","0000",IF(AND(ISNUMBER(Sync!$AH300),Sync!$AH300&gt;=0,Sync!$AH300&lt;1),RIGHT("00"&amp;HOUR(Sync!$AH300),2)&amp;RIGHT("00"&amp;MINUTE(Sync!$AH300),2),IFERROR(RIGHT("00"&amp;VALUE(LEFT(Sync!$AH300,FIND(":",Sync!$AH300)-1)),2)&amp;RIGHT("00"&amp;VALUE(MID(Sync!$AH300,FIND(":",Sync!$AH300)+1,2)),2),"0000"))))</f>
        <v/>
      </c>
    </row>
    <row r="301">
      <c r="A301">
        <f>IF(OR(Calc!$E304="",Calc!$E304="نامعتبر",Calc!$G304="",Calc!$I304&lt;&gt;"خرید"),"",Calc!$G304)</f>
        <v/>
      </c>
      <c r="B301">
        <f>IF($A301="","",LEFT(Calc!$E304,4)&amp;MID(Calc!$E304,6,2)&amp;RIGHT(Calc!$E304,2)&amp;Calc!$R304&amp;"|"&amp;"1"&amp;RIGHT("00000"&amp;296,5))</f>
        <v/>
      </c>
      <c r="C301">
        <f>IF($B301="","",COUNTIFS(LdgPartyA,$A301,LdgKeyA,"&lt;"&amp;$B301)+COUNTIFS(LdgPartyB,$A301,LdgKeyB,"&lt;"&amp;$B301)+1)</f>
        <v/>
      </c>
      <c r="D301">
        <f>IF($C301="","",$A301&amp;"|"&amp;RIGHT("000000"&amp;$C301,6))</f>
        <v/>
      </c>
      <c r="F301">
        <f>IF(Sync!$AJ301="","",Sync!$AJ301)</f>
        <v/>
      </c>
      <c r="G301">
        <f>IF($F301="","",IF(Sync!$AG301="","",IF(ISNUMBER(Sync!$AG301),IF(AND(Sync!$AG301&gt;=10000101,Sync!$AG301&lt;=99991231),INT(Sync!$AG301/10000),""),IFERROR(VALUE(TRIM(LEFT(Sync!$AG301,FIND("/",Sync!$AG301)-1))),""))))</f>
        <v/>
      </c>
      <c r="H301">
        <f>IF(OR($F301="",$G301=""),"",IF(ISNUMBER(Sync!$AG301),INT(MOD(Sync!$AG301,10000)/100),IFERROR(VALUE(TRIM(LEFT(MID(Sync!$AG301,FIND("/",Sync!$AG301)+1,20),FIND("/",MID(Sync!$AG301,FIND("/",Sync!$AG301)+1,20))-1))),"")))</f>
        <v/>
      </c>
      <c r="I301">
        <f>IF(OR($F301="",$G301=""),"",IF(ISNUMBER(Sync!$AG301),MOD(Sync!$AG301,100),IFERROR(VALUE(TRIM(MID(MID(Sync!$AG301,FIND("/",Sync!$AG301)+1,20),FIND("/",MID(Sync!$AG301,FIND("/",Sync!$AG301)+1,20))+1,20))),"")))</f>
        <v/>
      </c>
      <c r="J301">
        <f>IF($F301="","",IF(OR($G301="",$H301="",$I301="",$G301&lt;1300,$G301&gt;1500,$H301&lt;1,$H301&gt;12,$I301&lt;1,$I301&gt;31),"نامعتبر",RIGHT("0000"&amp;$G301,4)&amp;"/"&amp;RIGHT("00"&amp;$H301,2)&amp;"/"&amp;RIGHT("00"&amp;$I301,2)))</f>
        <v/>
      </c>
      <c r="K301">
        <f>IF(OR($F301="",$J301="",$J301="نامعتبر"),"",LEFT($J301,4)&amp;MID($J301,6,2)&amp;RIGHT($J301,2)&amp;$N301&amp;"|"&amp;"2"&amp;RIGHT("00000"&amp;296,5))</f>
        <v/>
      </c>
      <c r="L301">
        <f>IF($K301="","",COUNTIFS(LdgPartyA,$F301,LdgKeyA,"&lt;"&amp;$K301)+COUNTIFS(LdgPartyB,$F301,LdgKeyB,"&lt;"&amp;$K301)+1)</f>
        <v/>
      </c>
      <c r="M301">
        <f>IF($L301="","",$F301&amp;"|"&amp;RIGHT("000000"&amp;$L301,6))</f>
        <v/>
      </c>
      <c r="N301">
        <f>IF($F301="","",IF(Sync!$AH301="","0000",IF(AND(ISNUMBER(Sync!$AH301),Sync!$AH301&gt;=0,Sync!$AH301&lt;1),RIGHT("00"&amp;HOUR(Sync!$AH301),2)&amp;RIGHT("00"&amp;MINUTE(Sync!$AH301),2),IFERROR(RIGHT("00"&amp;VALUE(LEFT(Sync!$AH301,FIND(":",Sync!$AH301)-1)),2)&amp;RIGHT("00"&amp;VALUE(MID(Sync!$AH301,FIND(":",Sync!$AH301)+1,2)),2),"0000"))))</f>
        <v/>
      </c>
    </row>
    <row r="302">
      <c r="A302">
        <f>IF(OR(Calc!$E305="",Calc!$E305="نامعتبر",Calc!$G305="",Calc!$I305&lt;&gt;"خرید"),"",Calc!$G305)</f>
        <v/>
      </c>
      <c r="B302">
        <f>IF($A302="","",LEFT(Calc!$E305,4)&amp;MID(Calc!$E305,6,2)&amp;RIGHT(Calc!$E305,2)&amp;Calc!$R305&amp;"|"&amp;"1"&amp;RIGHT("00000"&amp;297,5))</f>
        <v/>
      </c>
      <c r="C302">
        <f>IF($B302="","",COUNTIFS(LdgPartyA,$A302,LdgKeyA,"&lt;"&amp;$B302)+COUNTIFS(LdgPartyB,$A302,LdgKeyB,"&lt;"&amp;$B302)+1)</f>
        <v/>
      </c>
      <c r="D302">
        <f>IF($C302="","",$A302&amp;"|"&amp;RIGHT("000000"&amp;$C302,6))</f>
        <v/>
      </c>
      <c r="F302">
        <f>IF(Sync!$AJ302="","",Sync!$AJ302)</f>
        <v/>
      </c>
      <c r="G302">
        <f>IF($F302="","",IF(Sync!$AG302="","",IF(ISNUMBER(Sync!$AG302),IF(AND(Sync!$AG302&gt;=10000101,Sync!$AG302&lt;=99991231),INT(Sync!$AG302/10000),""),IFERROR(VALUE(TRIM(LEFT(Sync!$AG302,FIND("/",Sync!$AG302)-1))),""))))</f>
        <v/>
      </c>
      <c r="H302">
        <f>IF(OR($F302="",$G302=""),"",IF(ISNUMBER(Sync!$AG302),INT(MOD(Sync!$AG302,10000)/100),IFERROR(VALUE(TRIM(LEFT(MID(Sync!$AG302,FIND("/",Sync!$AG302)+1,20),FIND("/",MID(Sync!$AG302,FIND("/",Sync!$AG302)+1,20))-1))),"")))</f>
        <v/>
      </c>
      <c r="I302">
        <f>IF(OR($F302="",$G302=""),"",IF(ISNUMBER(Sync!$AG302),MOD(Sync!$AG302,100),IFERROR(VALUE(TRIM(MID(MID(Sync!$AG302,FIND("/",Sync!$AG302)+1,20),FIND("/",MID(Sync!$AG302,FIND("/",Sync!$AG302)+1,20))+1,20))),"")))</f>
        <v/>
      </c>
      <c r="J302">
        <f>IF($F302="","",IF(OR($G302="",$H302="",$I302="",$G302&lt;1300,$G302&gt;1500,$H302&lt;1,$H302&gt;12,$I302&lt;1,$I302&gt;31),"نامعتبر",RIGHT("0000"&amp;$G302,4)&amp;"/"&amp;RIGHT("00"&amp;$H302,2)&amp;"/"&amp;RIGHT("00"&amp;$I302,2)))</f>
        <v/>
      </c>
      <c r="K302">
        <f>IF(OR($F302="",$J302="",$J302="نامعتبر"),"",LEFT($J302,4)&amp;MID($J302,6,2)&amp;RIGHT($J302,2)&amp;$N302&amp;"|"&amp;"2"&amp;RIGHT("00000"&amp;297,5))</f>
        <v/>
      </c>
      <c r="L302">
        <f>IF($K302="","",COUNTIFS(LdgPartyA,$F302,LdgKeyA,"&lt;"&amp;$K302)+COUNTIFS(LdgPartyB,$F302,LdgKeyB,"&lt;"&amp;$K302)+1)</f>
        <v/>
      </c>
      <c r="M302">
        <f>IF($L302="","",$F302&amp;"|"&amp;RIGHT("000000"&amp;$L302,6))</f>
        <v/>
      </c>
      <c r="N302">
        <f>IF($F302="","",IF(Sync!$AH302="","0000",IF(AND(ISNUMBER(Sync!$AH302),Sync!$AH302&gt;=0,Sync!$AH302&lt;1),RIGHT("00"&amp;HOUR(Sync!$AH302),2)&amp;RIGHT("00"&amp;MINUTE(Sync!$AH302),2),IFERROR(RIGHT("00"&amp;VALUE(LEFT(Sync!$AH302,FIND(":",Sync!$AH302)-1)),2)&amp;RIGHT("00"&amp;VALUE(MID(Sync!$AH302,FIND(":",Sync!$AH302)+1,2)),2),"0000"))))</f>
        <v/>
      </c>
    </row>
    <row r="303">
      <c r="A303">
        <f>IF(OR(Calc!$E306="",Calc!$E306="نامعتبر",Calc!$G306="",Calc!$I306&lt;&gt;"خرید"),"",Calc!$G306)</f>
        <v/>
      </c>
      <c r="B303">
        <f>IF($A303="","",LEFT(Calc!$E306,4)&amp;MID(Calc!$E306,6,2)&amp;RIGHT(Calc!$E306,2)&amp;Calc!$R306&amp;"|"&amp;"1"&amp;RIGHT("00000"&amp;298,5))</f>
        <v/>
      </c>
      <c r="C303">
        <f>IF($B303="","",COUNTIFS(LdgPartyA,$A303,LdgKeyA,"&lt;"&amp;$B303)+COUNTIFS(LdgPartyB,$A303,LdgKeyB,"&lt;"&amp;$B303)+1)</f>
        <v/>
      </c>
      <c r="D303">
        <f>IF($C303="","",$A303&amp;"|"&amp;RIGHT("000000"&amp;$C303,6))</f>
        <v/>
      </c>
      <c r="F303">
        <f>IF(Sync!$AJ303="","",Sync!$AJ303)</f>
        <v/>
      </c>
      <c r="G303">
        <f>IF($F303="","",IF(Sync!$AG303="","",IF(ISNUMBER(Sync!$AG303),IF(AND(Sync!$AG303&gt;=10000101,Sync!$AG303&lt;=99991231),INT(Sync!$AG303/10000),""),IFERROR(VALUE(TRIM(LEFT(Sync!$AG303,FIND("/",Sync!$AG303)-1))),""))))</f>
        <v/>
      </c>
      <c r="H303">
        <f>IF(OR($F303="",$G303=""),"",IF(ISNUMBER(Sync!$AG303),INT(MOD(Sync!$AG303,10000)/100),IFERROR(VALUE(TRIM(LEFT(MID(Sync!$AG303,FIND("/",Sync!$AG303)+1,20),FIND("/",MID(Sync!$AG303,FIND("/",Sync!$AG303)+1,20))-1))),"")))</f>
        <v/>
      </c>
      <c r="I303">
        <f>IF(OR($F303="",$G303=""),"",IF(ISNUMBER(Sync!$AG303),MOD(Sync!$AG303,100),IFERROR(VALUE(TRIM(MID(MID(Sync!$AG303,FIND("/",Sync!$AG303)+1,20),FIND("/",MID(Sync!$AG303,FIND("/",Sync!$AG303)+1,20))+1,20))),"")))</f>
        <v/>
      </c>
      <c r="J303">
        <f>IF($F303="","",IF(OR($G303="",$H303="",$I303="",$G303&lt;1300,$G303&gt;1500,$H303&lt;1,$H303&gt;12,$I303&lt;1,$I303&gt;31),"نامعتبر",RIGHT("0000"&amp;$G303,4)&amp;"/"&amp;RIGHT("00"&amp;$H303,2)&amp;"/"&amp;RIGHT("00"&amp;$I303,2)))</f>
        <v/>
      </c>
      <c r="K303">
        <f>IF(OR($F303="",$J303="",$J303="نامعتبر"),"",LEFT($J303,4)&amp;MID($J303,6,2)&amp;RIGHT($J303,2)&amp;$N303&amp;"|"&amp;"2"&amp;RIGHT("00000"&amp;298,5))</f>
        <v/>
      </c>
      <c r="L303">
        <f>IF($K303="","",COUNTIFS(LdgPartyA,$F303,LdgKeyA,"&lt;"&amp;$K303)+COUNTIFS(LdgPartyB,$F303,LdgKeyB,"&lt;"&amp;$K303)+1)</f>
        <v/>
      </c>
      <c r="M303">
        <f>IF($L303="","",$F303&amp;"|"&amp;RIGHT("000000"&amp;$L303,6))</f>
        <v/>
      </c>
      <c r="N303">
        <f>IF($F303="","",IF(Sync!$AH303="","0000",IF(AND(ISNUMBER(Sync!$AH303),Sync!$AH303&gt;=0,Sync!$AH303&lt;1),RIGHT("00"&amp;HOUR(Sync!$AH303),2)&amp;RIGHT("00"&amp;MINUTE(Sync!$AH303),2),IFERROR(RIGHT("00"&amp;VALUE(LEFT(Sync!$AH303,FIND(":",Sync!$AH303)-1)),2)&amp;RIGHT("00"&amp;VALUE(MID(Sync!$AH303,FIND(":",Sync!$AH303)+1,2)),2),"0000"))))</f>
        <v/>
      </c>
    </row>
    <row r="304">
      <c r="A304">
        <f>IF(OR(Calc!$E307="",Calc!$E307="نامعتبر",Calc!$G307="",Calc!$I307&lt;&gt;"خرید"),"",Calc!$G307)</f>
        <v/>
      </c>
      <c r="B304">
        <f>IF($A304="","",LEFT(Calc!$E307,4)&amp;MID(Calc!$E307,6,2)&amp;RIGHT(Calc!$E307,2)&amp;Calc!$R307&amp;"|"&amp;"1"&amp;RIGHT("00000"&amp;299,5))</f>
        <v/>
      </c>
      <c r="C304">
        <f>IF($B304="","",COUNTIFS(LdgPartyA,$A304,LdgKeyA,"&lt;"&amp;$B304)+COUNTIFS(LdgPartyB,$A304,LdgKeyB,"&lt;"&amp;$B304)+1)</f>
        <v/>
      </c>
      <c r="D304">
        <f>IF($C304="","",$A304&amp;"|"&amp;RIGHT("000000"&amp;$C304,6))</f>
        <v/>
      </c>
      <c r="F304">
        <f>IF(Sync!$AJ304="","",Sync!$AJ304)</f>
        <v/>
      </c>
      <c r="G304">
        <f>IF($F304="","",IF(Sync!$AG304="","",IF(ISNUMBER(Sync!$AG304),IF(AND(Sync!$AG304&gt;=10000101,Sync!$AG304&lt;=99991231),INT(Sync!$AG304/10000),""),IFERROR(VALUE(TRIM(LEFT(Sync!$AG304,FIND("/",Sync!$AG304)-1))),""))))</f>
        <v/>
      </c>
      <c r="H304">
        <f>IF(OR($F304="",$G304=""),"",IF(ISNUMBER(Sync!$AG304),INT(MOD(Sync!$AG304,10000)/100),IFERROR(VALUE(TRIM(LEFT(MID(Sync!$AG304,FIND("/",Sync!$AG304)+1,20),FIND("/",MID(Sync!$AG304,FIND("/",Sync!$AG304)+1,20))-1))),"")))</f>
        <v/>
      </c>
      <c r="I304">
        <f>IF(OR($F304="",$G304=""),"",IF(ISNUMBER(Sync!$AG304),MOD(Sync!$AG304,100),IFERROR(VALUE(TRIM(MID(MID(Sync!$AG304,FIND("/",Sync!$AG304)+1,20),FIND("/",MID(Sync!$AG304,FIND("/",Sync!$AG304)+1,20))+1,20))),"")))</f>
        <v/>
      </c>
      <c r="J304">
        <f>IF($F304="","",IF(OR($G304="",$H304="",$I304="",$G304&lt;1300,$G304&gt;1500,$H304&lt;1,$H304&gt;12,$I304&lt;1,$I304&gt;31),"نامعتبر",RIGHT("0000"&amp;$G304,4)&amp;"/"&amp;RIGHT("00"&amp;$H304,2)&amp;"/"&amp;RIGHT("00"&amp;$I304,2)))</f>
        <v/>
      </c>
      <c r="K304">
        <f>IF(OR($F304="",$J304="",$J304="نامعتبر"),"",LEFT($J304,4)&amp;MID($J304,6,2)&amp;RIGHT($J304,2)&amp;$N304&amp;"|"&amp;"2"&amp;RIGHT("00000"&amp;299,5))</f>
        <v/>
      </c>
      <c r="L304">
        <f>IF($K304="","",COUNTIFS(LdgPartyA,$F304,LdgKeyA,"&lt;"&amp;$K304)+COUNTIFS(LdgPartyB,$F304,LdgKeyB,"&lt;"&amp;$K304)+1)</f>
        <v/>
      </c>
      <c r="M304">
        <f>IF($L304="","",$F304&amp;"|"&amp;RIGHT("000000"&amp;$L304,6))</f>
        <v/>
      </c>
      <c r="N304">
        <f>IF($F304="","",IF(Sync!$AH304="","0000",IF(AND(ISNUMBER(Sync!$AH304),Sync!$AH304&gt;=0,Sync!$AH304&lt;1),RIGHT("00"&amp;HOUR(Sync!$AH304),2)&amp;RIGHT("00"&amp;MINUTE(Sync!$AH304),2),IFERROR(RIGHT("00"&amp;VALUE(LEFT(Sync!$AH304,FIND(":",Sync!$AH304)-1)),2)&amp;RIGHT("00"&amp;VALUE(MID(Sync!$AH304,FIND(":",Sync!$AH304)+1,2)),2),"0000"))))</f>
        <v/>
      </c>
    </row>
    <row r="305">
      <c r="A305">
        <f>IF(OR(Calc!$E308="",Calc!$E308="نامعتبر",Calc!$G308="",Calc!$I308&lt;&gt;"خرید"),"",Calc!$G308)</f>
        <v/>
      </c>
      <c r="B305">
        <f>IF($A305="","",LEFT(Calc!$E308,4)&amp;MID(Calc!$E308,6,2)&amp;RIGHT(Calc!$E308,2)&amp;Calc!$R308&amp;"|"&amp;"1"&amp;RIGHT("00000"&amp;300,5))</f>
        <v/>
      </c>
      <c r="C305">
        <f>IF($B305="","",COUNTIFS(LdgPartyA,$A305,LdgKeyA,"&lt;"&amp;$B305)+COUNTIFS(LdgPartyB,$A305,LdgKeyB,"&lt;"&amp;$B305)+1)</f>
        <v/>
      </c>
      <c r="D305">
        <f>IF($C305="","",$A305&amp;"|"&amp;RIGHT("000000"&amp;$C305,6))</f>
        <v/>
      </c>
      <c r="F305">
        <f>IF(Sync!$AJ305="","",Sync!$AJ305)</f>
        <v/>
      </c>
      <c r="G305">
        <f>IF($F305="","",IF(Sync!$AG305="","",IF(ISNUMBER(Sync!$AG305),IF(AND(Sync!$AG305&gt;=10000101,Sync!$AG305&lt;=99991231),INT(Sync!$AG305/10000),""),IFERROR(VALUE(TRIM(LEFT(Sync!$AG305,FIND("/",Sync!$AG305)-1))),""))))</f>
        <v/>
      </c>
      <c r="H305">
        <f>IF(OR($F305="",$G305=""),"",IF(ISNUMBER(Sync!$AG305),INT(MOD(Sync!$AG305,10000)/100),IFERROR(VALUE(TRIM(LEFT(MID(Sync!$AG305,FIND("/",Sync!$AG305)+1,20),FIND("/",MID(Sync!$AG305,FIND("/",Sync!$AG305)+1,20))-1))),"")))</f>
        <v/>
      </c>
      <c r="I305">
        <f>IF(OR($F305="",$G305=""),"",IF(ISNUMBER(Sync!$AG305),MOD(Sync!$AG305,100),IFERROR(VALUE(TRIM(MID(MID(Sync!$AG305,FIND("/",Sync!$AG305)+1,20),FIND("/",MID(Sync!$AG305,FIND("/",Sync!$AG305)+1,20))+1,20))),"")))</f>
        <v/>
      </c>
      <c r="J305">
        <f>IF($F305="","",IF(OR($G305="",$H305="",$I305="",$G305&lt;1300,$G305&gt;1500,$H305&lt;1,$H305&gt;12,$I305&lt;1,$I305&gt;31),"نامعتبر",RIGHT("0000"&amp;$G305,4)&amp;"/"&amp;RIGHT("00"&amp;$H305,2)&amp;"/"&amp;RIGHT("00"&amp;$I305,2)))</f>
        <v/>
      </c>
      <c r="K305">
        <f>IF(OR($F305="",$J305="",$J305="نامعتبر"),"",LEFT($J305,4)&amp;MID($J305,6,2)&amp;RIGHT($J305,2)&amp;$N305&amp;"|"&amp;"2"&amp;RIGHT("00000"&amp;300,5))</f>
        <v/>
      </c>
      <c r="L305">
        <f>IF($K305="","",COUNTIFS(LdgPartyA,$F305,LdgKeyA,"&lt;"&amp;$K305)+COUNTIFS(LdgPartyB,$F305,LdgKeyB,"&lt;"&amp;$K305)+1)</f>
        <v/>
      </c>
      <c r="M305">
        <f>IF($L305="","",$F305&amp;"|"&amp;RIGHT("000000"&amp;$L305,6))</f>
        <v/>
      </c>
      <c r="N305">
        <f>IF($F305="","",IF(Sync!$AH305="","0000",IF(AND(ISNUMBER(Sync!$AH305),Sync!$AH305&gt;=0,Sync!$AH305&lt;1),RIGHT("00"&amp;HOUR(Sync!$AH305),2)&amp;RIGHT("00"&amp;MINUTE(Sync!$AH305),2),IFERROR(RIGHT("00"&amp;VALUE(LEFT(Sync!$AH305,FIND(":",Sync!$AH305)-1)),2)&amp;RIGHT("00"&amp;VALUE(MID(Sync!$AH305,FIND(":",Sync!$AH305)+1,2)),2),"0000"))))</f>
        <v/>
      </c>
    </row>
    <row r="306">
      <c r="A306">
        <f>IF(OR(Calc!$E309="",Calc!$E309="نامعتبر",Calc!$G309="",Calc!$I309&lt;&gt;"خرید"),"",Calc!$G309)</f>
        <v/>
      </c>
      <c r="B306">
        <f>IF($A306="","",LEFT(Calc!$E309,4)&amp;MID(Calc!$E309,6,2)&amp;RIGHT(Calc!$E309,2)&amp;Calc!$R309&amp;"|"&amp;"1"&amp;RIGHT("00000"&amp;301,5))</f>
        <v/>
      </c>
      <c r="C306">
        <f>IF($B306="","",COUNTIFS(LdgPartyA,$A306,LdgKeyA,"&lt;"&amp;$B306)+COUNTIFS(LdgPartyB,$A306,LdgKeyB,"&lt;"&amp;$B306)+1)</f>
        <v/>
      </c>
      <c r="D306">
        <f>IF($C306="","",$A306&amp;"|"&amp;RIGHT("000000"&amp;$C306,6))</f>
        <v/>
      </c>
      <c r="F306">
        <f>IF(Sync!$AJ306="","",Sync!$AJ306)</f>
        <v/>
      </c>
      <c r="G306">
        <f>IF($F306="","",IF(Sync!$AG306="","",IF(ISNUMBER(Sync!$AG306),IF(AND(Sync!$AG306&gt;=10000101,Sync!$AG306&lt;=99991231),INT(Sync!$AG306/10000),""),IFERROR(VALUE(TRIM(LEFT(Sync!$AG306,FIND("/",Sync!$AG306)-1))),""))))</f>
        <v/>
      </c>
      <c r="H306">
        <f>IF(OR($F306="",$G306=""),"",IF(ISNUMBER(Sync!$AG306),INT(MOD(Sync!$AG306,10000)/100),IFERROR(VALUE(TRIM(LEFT(MID(Sync!$AG306,FIND("/",Sync!$AG306)+1,20),FIND("/",MID(Sync!$AG306,FIND("/",Sync!$AG306)+1,20))-1))),"")))</f>
        <v/>
      </c>
      <c r="I306">
        <f>IF(OR($F306="",$G306=""),"",IF(ISNUMBER(Sync!$AG306),MOD(Sync!$AG306,100),IFERROR(VALUE(TRIM(MID(MID(Sync!$AG306,FIND("/",Sync!$AG306)+1,20),FIND("/",MID(Sync!$AG306,FIND("/",Sync!$AG306)+1,20))+1,20))),"")))</f>
        <v/>
      </c>
      <c r="J306">
        <f>IF($F306="","",IF(OR($G306="",$H306="",$I306="",$G306&lt;1300,$G306&gt;1500,$H306&lt;1,$H306&gt;12,$I306&lt;1,$I306&gt;31),"نامعتبر",RIGHT("0000"&amp;$G306,4)&amp;"/"&amp;RIGHT("00"&amp;$H306,2)&amp;"/"&amp;RIGHT("00"&amp;$I306,2)))</f>
        <v/>
      </c>
      <c r="K306">
        <f>IF(OR($F306="",$J306="",$J306="نامعتبر"),"",LEFT($J306,4)&amp;MID($J306,6,2)&amp;RIGHT($J306,2)&amp;$N306&amp;"|"&amp;"2"&amp;RIGHT("00000"&amp;301,5))</f>
        <v/>
      </c>
      <c r="L306">
        <f>IF($K306="","",COUNTIFS(LdgPartyA,$F306,LdgKeyA,"&lt;"&amp;$K306)+COUNTIFS(LdgPartyB,$F306,LdgKeyB,"&lt;"&amp;$K306)+1)</f>
        <v/>
      </c>
      <c r="M306">
        <f>IF($L306="","",$F306&amp;"|"&amp;RIGHT("000000"&amp;$L306,6))</f>
        <v/>
      </c>
      <c r="N306">
        <f>IF($F306="","",IF(Sync!$AH306="","0000",IF(AND(ISNUMBER(Sync!$AH306),Sync!$AH306&gt;=0,Sync!$AH306&lt;1),RIGHT("00"&amp;HOUR(Sync!$AH306),2)&amp;RIGHT("00"&amp;MINUTE(Sync!$AH306),2),IFERROR(RIGHT("00"&amp;VALUE(LEFT(Sync!$AH306,FIND(":",Sync!$AH306)-1)),2)&amp;RIGHT("00"&amp;VALUE(MID(Sync!$AH306,FIND(":",Sync!$AH306)+1,2)),2),"0000"))))</f>
        <v/>
      </c>
    </row>
    <row r="307">
      <c r="A307">
        <f>IF(OR(Calc!$E310="",Calc!$E310="نامعتبر",Calc!$G310="",Calc!$I310&lt;&gt;"خرید"),"",Calc!$G310)</f>
        <v/>
      </c>
      <c r="B307">
        <f>IF($A307="","",LEFT(Calc!$E310,4)&amp;MID(Calc!$E310,6,2)&amp;RIGHT(Calc!$E310,2)&amp;Calc!$R310&amp;"|"&amp;"1"&amp;RIGHT("00000"&amp;302,5))</f>
        <v/>
      </c>
      <c r="C307">
        <f>IF($B307="","",COUNTIFS(LdgPartyA,$A307,LdgKeyA,"&lt;"&amp;$B307)+COUNTIFS(LdgPartyB,$A307,LdgKeyB,"&lt;"&amp;$B307)+1)</f>
        <v/>
      </c>
      <c r="D307">
        <f>IF($C307="","",$A307&amp;"|"&amp;RIGHT("000000"&amp;$C307,6))</f>
        <v/>
      </c>
      <c r="F307">
        <f>IF(Sync!$AJ307="","",Sync!$AJ307)</f>
        <v/>
      </c>
      <c r="G307">
        <f>IF($F307="","",IF(Sync!$AG307="","",IF(ISNUMBER(Sync!$AG307),IF(AND(Sync!$AG307&gt;=10000101,Sync!$AG307&lt;=99991231),INT(Sync!$AG307/10000),""),IFERROR(VALUE(TRIM(LEFT(Sync!$AG307,FIND("/",Sync!$AG307)-1))),""))))</f>
        <v/>
      </c>
      <c r="H307">
        <f>IF(OR($F307="",$G307=""),"",IF(ISNUMBER(Sync!$AG307),INT(MOD(Sync!$AG307,10000)/100),IFERROR(VALUE(TRIM(LEFT(MID(Sync!$AG307,FIND("/",Sync!$AG307)+1,20),FIND("/",MID(Sync!$AG307,FIND("/",Sync!$AG307)+1,20))-1))),"")))</f>
        <v/>
      </c>
      <c r="I307">
        <f>IF(OR($F307="",$G307=""),"",IF(ISNUMBER(Sync!$AG307),MOD(Sync!$AG307,100),IFERROR(VALUE(TRIM(MID(MID(Sync!$AG307,FIND("/",Sync!$AG307)+1,20),FIND("/",MID(Sync!$AG307,FIND("/",Sync!$AG307)+1,20))+1,20))),"")))</f>
        <v/>
      </c>
      <c r="J307">
        <f>IF($F307="","",IF(OR($G307="",$H307="",$I307="",$G307&lt;1300,$G307&gt;1500,$H307&lt;1,$H307&gt;12,$I307&lt;1,$I307&gt;31),"نامعتبر",RIGHT("0000"&amp;$G307,4)&amp;"/"&amp;RIGHT("00"&amp;$H307,2)&amp;"/"&amp;RIGHT("00"&amp;$I307,2)))</f>
        <v/>
      </c>
      <c r="K307">
        <f>IF(OR($F307="",$J307="",$J307="نامعتبر"),"",LEFT($J307,4)&amp;MID($J307,6,2)&amp;RIGHT($J307,2)&amp;$N307&amp;"|"&amp;"2"&amp;RIGHT("00000"&amp;302,5))</f>
        <v/>
      </c>
      <c r="L307">
        <f>IF($K307="","",COUNTIFS(LdgPartyA,$F307,LdgKeyA,"&lt;"&amp;$K307)+COUNTIFS(LdgPartyB,$F307,LdgKeyB,"&lt;"&amp;$K307)+1)</f>
        <v/>
      </c>
      <c r="M307">
        <f>IF($L307="","",$F307&amp;"|"&amp;RIGHT("000000"&amp;$L307,6))</f>
        <v/>
      </c>
      <c r="N307">
        <f>IF($F307="","",IF(Sync!$AH307="","0000",IF(AND(ISNUMBER(Sync!$AH307),Sync!$AH307&gt;=0,Sync!$AH307&lt;1),RIGHT("00"&amp;HOUR(Sync!$AH307),2)&amp;RIGHT("00"&amp;MINUTE(Sync!$AH307),2),IFERROR(RIGHT("00"&amp;VALUE(LEFT(Sync!$AH307,FIND(":",Sync!$AH307)-1)),2)&amp;RIGHT("00"&amp;VALUE(MID(Sync!$AH307,FIND(":",Sync!$AH307)+1,2)),2),"0000"))))</f>
        <v/>
      </c>
    </row>
    <row r="308">
      <c r="A308">
        <f>IF(OR(Calc!$E311="",Calc!$E311="نامعتبر",Calc!$G311="",Calc!$I311&lt;&gt;"خرید"),"",Calc!$G311)</f>
        <v/>
      </c>
      <c r="B308">
        <f>IF($A308="","",LEFT(Calc!$E311,4)&amp;MID(Calc!$E311,6,2)&amp;RIGHT(Calc!$E311,2)&amp;Calc!$R311&amp;"|"&amp;"1"&amp;RIGHT("00000"&amp;303,5))</f>
        <v/>
      </c>
      <c r="C308">
        <f>IF($B308="","",COUNTIFS(LdgPartyA,$A308,LdgKeyA,"&lt;"&amp;$B308)+COUNTIFS(LdgPartyB,$A308,LdgKeyB,"&lt;"&amp;$B308)+1)</f>
        <v/>
      </c>
      <c r="D308">
        <f>IF($C308="","",$A308&amp;"|"&amp;RIGHT("000000"&amp;$C308,6))</f>
        <v/>
      </c>
      <c r="F308">
        <f>IF(Sync!$AJ308="","",Sync!$AJ308)</f>
        <v/>
      </c>
      <c r="G308">
        <f>IF($F308="","",IF(Sync!$AG308="","",IF(ISNUMBER(Sync!$AG308),IF(AND(Sync!$AG308&gt;=10000101,Sync!$AG308&lt;=99991231),INT(Sync!$AG308/10000),""),IFERROR(VALUE(TRIM(LEFT(Sync!$AG308,FIND("/",Sync!$AG308)-1))),""))))</f>
        <v/>
      </c>
      <c r="H308">
        <f>IF(OR($F308="",$G308=""),"",IF(ISNUMBER(Sync!$AG308),INT(MOD(Sync!$AG308,10000)/100),IFERROR(VALUE(TRIM(LEFT(MID(Sync!$AG308,FIND("/",Sync!$AG308)+1,20),FIND("/",MID(Sync!$AG308,FIND("/",Sync!$AG308)+1,20))-1))),"")))</f>
        <v/>
      </c>
      <c r="I308">
        <f>IF(OR($F308="",$G308=""),"",IF(ISNUMBER(Sync!$AG308),MOD(Sync!$AG308,100),IFERROR(VALUE(TRIM(MID(MID(Sync!$AG308,FIND("/",Sync!$AG308)+1,20),FIND("/",MID(Sync!$AG308,FIND("/",Sync!$AG308)+1,20))+1,20))),"")))</f>
        <v/>
      </c>
      <c r="J308">
        <f>IF($F308="","",IF(OR($G308="",$H308="",$I308="",$G308&lt;1300,$G308&gt;1500,$H308&lt;1,$H308&gt;12,$I308&lt;1,$I308&gt;31),"نامعتبر",RIGHT("0000"&amp;$G308,4)&amp;"/"&amp;RIGHT("00"&amp;$H308,2)&amp;"/"&amp;RIGHT("00"&amp;$I308,2)))</f>
        <v/>
      </c>
      <c r="K308">
        <f>IF(OR($F308="",$J308="",$J308="نامعتبر"),"",LEFT($J308,4)&amp;MID($J308,6,2)&amp;RIGHT($J308,2)&amp;$N308&amp;"|"&amp;"2"&amp;RIGHT("00000"&amp;303,5))</f>
        <v/>
      </c>
      <c r="L308">
        <f>IF($K308="","",COUNTIFS(LdgPartyA,$F308,LdgKeyA,"&lt;"&amp;$K308)+COUNTIFS(LdgPartyB,$F308,LdgKeyB,"&lt;"&amp;$K308)+1)</f>
        <v/>
      </c>
      <c r="M308">
        <f>IF($L308="","",$F308&amp;"|"&amp;RIGHT("000000"&amp;$L308,6))</f>
        <v/>
      </c>
      <c r="N308">
        <f>IF($F308="","",IF(Sync!$AH308="","0000",IF(AND(ISNUMBER(Sync!$AH308),Sync!$AH308&gt;=0,Sync!$AH308&lt;1),RIGHT("00"&amp;HOUR(Sync!$AH308),2)&amp;RIGHT("00"&amp;MINUTE(Sync!$AH308),2),IFERROR(RIGHT("00"&amp;VALUE(LEFT(Sync!$AH308,FIND(":",Sync!$AH308)-1)),2)&amp;RIGHT("00"&amp;VALUE(MID(Sync!$AH308,FIND(":",Sync!$AH308)+1,2)),2),"0000"))))</f>
        <v/>
      </c>
    </row>
    <row r="309">
      <c r="A309">
        <f>IF(OR(Calc!$E312="",Calc!$E312="نامعتبر",Calc!$G312="",Calc!$I312&lt;&gt;"خرید"),"",Calc!$G312)</f>
        <v/>
      </c>
      <c r="B309">
        <f>IF($A309="","",LEFT(Calc!$E312,4)&amp;MID(Calc!$E312,6,2)&amp;RIGHT(Calc!$E312,2)&amp;Calc!$R312&amp;"|"&amp;"1"&amp;RIGHT("00000"&amp;304,5))</f>
        <v/>
      </c>
      <c r="C309">
        <f>IF($B309="","",COUNTIFS(LdgPartyA,$A309,LdgKeyA,"&lt;"&amp;$B309)+COUNTIFS(LdgPartyB,$A309,LdgKeyB,"&lt;"&amp;$B309)+1)</f>
        <v/>
      </c>
      <c r="D309">
        <f>IF($C309="","",$A309&amp;"|"&amp;RIGHT("000000"&amp;$C309,6))</f>
        <v/>
      </c>
      <c r="F309">
        <f>IF(Sync!$AJ309="","",Sync!$AJ309)</f>
        <v/>
      </c>
      <c r="G309">
        <f>IF($F309="","",IF(Sync!$AG309="","",IF(ISNUMBER(Sync!$AG309),IF(AND(Sync!$AG309&gt;=10000101,Sync!$AG309&lt;=99991231),INT(Sync!$AG309/10000),""),IFERROR(VALUE(TRIM(LEFT(Sync!$AG309,FIND("/",Sync!$AG309)-1))),""))))</f>
        <v/>
      </c>
      <c r="H309">
        <f>IF(OR($F309="",$G309=""),"",IF(ISNUMBER(Sync!$AG309),INT(MOD(Sync!$AG309,10000)/100),IFERROR(VALUE(TRIM(LEFT(MID(Sync!$AG309,FIND("/",Sync!$AG309)+1,20),FIND("/",MID(Sync!$AG309,FIND("/",Sync!$AG309)+1,20))-1))),"")))</f>
        <v/>
      </c>
      <c r="I309">
        <f>IF(OR($F309="",$G309=""),"",IF(ISNUMBER(Sync!$AG309),MOD(Sync!$AG309,100),IFERROR(VALUE(TRIM(MID(MID(Sync!$AG309,FIND("/",Sync!$AG309)+1,20),FIND("/",MID(Sync!$AG309,FIND("/",Sync!$AG309)+1,20))+1,20))),"")))</f>
        <v/>
      </c>
      <c r="J309">
        <f>IF($F309="","",IF(OR($G309="",$H309="",$I309="",$G309&lt;1300,$G309&gt;1500,$H309&lt;1,$H309&gt;12,$I309&lt;1,$I309&gt;31),"نامعتبر",RIGHT("0000"&amp;$G309,4)&amp;"/"&amp;RIGHT("00"&amp;$H309,2)&amp;"/"&amp;RIGHT("00"&amp;$I309,2)))</f>
        <v/>
      </c>
      <c r="K309">
        <f>IF(OR($F309="",$J309="",$J309="نامعتبر"),"",LEFT($J309,4)&amp;MID($J309,6,2)&amp;RIGHT($J309,2)&amp;$N309&amp;"|"&amp;"2"&amp;RIGHT("00000"&amp;304,5))</f>
        <v/>
      </c>
      <c r="L309">
        <f>IF($K309="","",COUNTIFS(LdgPartyA,$F309,LdgKeyA,"&lt;"&amp;$K309)+COUNTIFS(LdgPartyB,$F309,LdgKeyB,"&lt;"&amp;$K309)+1)</f>
        <v/>
      </c>
      <c r="M309">
        <f>IF($L309="","",$F309&amp;"|"&amp;RIGHT("000000"&amp;$L309,6))</f>
        <v/>
      </c>
      <c r="N309">
        <f>IF($F309="","",IF(Sync!$AH309="","0000",IF(AND(ISNUMBER(Sync!$AH309),Sync!$AH309&gt;=0,Sync!$AH309&lt;1),RIGHT("00"&amp;HOUR(Sync!$AH309),2)&amp;RIGHT("00"&amp;MINUTE(Sync!$AH309),2),IFERROR(RIGHT("00"&amp;VALUE(LEFT(Sync!$AH309,FIND(":",Sync!$AH309)-1)),2)&amp;RIGHT("00"&amp;VALUE(MID(Sync!$AH309,FIND(":",Sync!$AH309)+1,2)),2),"0000"))))</f>
        <v/>
      </c>
    </row>
    <row r="310">
      <c r="A310">
        <f>IF(OR(Calc!$E313="",Calc!$E313="نامعتبر",Calc!$G313="",Calc!$I313&lt;&gt;"خرید"),"",Calc!$G313)</f>
        <v/>
      </c>
      <c r="B310">
        <f>IF($A310="","",LEFT(Calc!$E313,4)&amp;MID(Calc!$E313,6,2)&amp;RIGHT(Calc!$E313,2)&amp;Calc!$R313&amp;"|"&amp;"1"&amp;RIGHT("00000"&amp;305,5))</f>
        <v/>
      </c>
      <c r="C310">
        <f>IF($B310="","",COUNTIFS(LdgPartyA,$A310,LdgKeyA,"&lt;"&amp;$B310)+COUNTIFS(LdgPartyB,$A310,LdgKeyB,"&lt;"&amp;$B310)+1)</f>
        <v/>
      </c>
      <c r="D310">
        <f>IF($C310="","",$A310&amp;"|"&amp;RIGHT("000000"&amp;$C310,6))</f>
        <v/>
      </c>
      <c r="F310">
        <f>IF(Sync!$AJ310="","",Sync!$AJ310)</f>
        <v/>
      </c>
      <c r="G310">
        <f>IF($F310="","",IF(Sync!$AG310="","",IF(ISNUMBER(Sync!$AG310),IF(AND(Sync!$AG310&gt;=10000101,Sync!$AG310&lt;=99991231),INT(Sync!$AG310/10000),""),IFERROR(VALUE(TRIM(LEFT(Sync!$AG310,FIND("/",Sync!$AG310)-1))),""))))</f>
        <v/>
      </c>
      <c r="H310">
        <f>IF(OR($F310="",$G310=""),"",IF(ISNUMBER(Sync!$AG310),INT(MOD(Sync!$AG310,10000)/100),IFERROR(VALUE(TRIM(LEFT(MID(Sync!$AG310,FIND("/",Sync!$AG310)+1,20),FIND("/",MID(Sync!$AG310,FIND("/",Sync!$AG310)+1,20))-1))),"")))</f>
        <v/>
      </c>
      <c r="I310">
        <f>IF(OR($F310="",$G310=""),"",IF(ISNUMBER(Sync!$AG310),MOD(Sync!$AG310,100),IFERROR(VALUE(TRIM(MID(MID(Sync!$AG310,FIND("/",Sync!$AG310)+1,20),FIND("/",MID(Sync!$AG310,FIND("/",Sync!$AG310)+1,20))+1,20))),"")))</f>
        <v/>
      </c>
      <c r="J310">
        <f>IF($F310="","",IF(OR($G310="",$H310="",$I310="",$G310&lt;1300,$G310&gt;1500,$H310&lt;1,$H310&gt;12,$I310&lt;1,$I310&gt;31),"نامعتبر",RIGHT("0000"&amp;$G310,4)&amp;"/"&amp;RIGHT("00"&amp;$H310,2)&amp;"/"&amp;RIGHT("00"&amp;$I310,2)))</f>
        <v/>
      </c>
      <c r="K310">
        <f>IF(OR($F310="",$J310="",$J310="نامعتبر"),"",LEFT($J310,4)&amp;MID($J310,6,2)&amp;RIGHT($J310,2)&amp;$N310&amp;"|"&amp;"2"&amp;RIGHT("00000"&amp;305,5))</f>
        <v/>
      </c>
      <c r="L310">
        <f>IF($K310="","",COUNTIFS(LdgPartyA,$F310,LdgKeyA,"&lt;"&amp;$K310)+COUNTIFS(LdgPartyB,$F310,LdgKeyB,"&lt;"&amp;$K310)+1)</f>
        <v/>
      </c>
      <c r="M310">
        <f>IF($L310="","",$F310&amp;"|"&amp;RIGHT("000000"&amp;$L310,6))</f>
        <v/>
      </c>
      <c r="N310">
        <f>IF($F310="","",IF(Sync!$AH310="","0000",IF(AND(ISNUMBER(Sync!$AH310),Sync!$AH310&gt;=0,Sync!$AH310&lt;1),RIGHT("00"&amp;HOUR(Sync!$AH310),2)&amp;RIGHT("00"&amp;MINUTE(Sync!$AH310),2),IFERROR(RIGHT("00"&amp;VALUE(LEFT(Sync!$AH310,FIND(":",Sync!$AH310)-1)),2)&amp;RIGHT("00"&amp;VALUE(MID(Sync!$AH310,FIND(":",Sync!$AH310)+1,2)),2),"0000"))))</f>
        <v/>
      </c>
    </row>
    <row r="311">
      <c r="A311">
        <f>IF(OR(Calc!$E314="",Calc!$E314="نامعتبر",Calc!$G314="",Calc!$I314&lt;&gt;"خرید"),"",Calc!$G314)</f>
        <v/>
      </c>
      <c r="B311">
        <f>IF($A311="","",LEFT(Calc!$E314,4)&amp;MID(Calc!$E314,6,2)&amp;RIGHT(Calc!$E314,2)&amp;Calc!$R314&amp;"|"&amp;"1"&amp;RIGHT("00000"&amp;306,5))</f>
        <v/>
      </c>
      <c r="C311">
        <f>IF($B311="","",COUNTIFS(LdgPartyA,$A311,LdgKeyA,"&lt;"&amp;$B311)+COUNTIFS(LdgPartyB,$A311,LdgKeyB,"&lt;"&amp;$B311)+1)</f>
        <v/>
      </c>
      <c r="D311">
        <f>IF($C311="","",$A311&amp;"|"&amp;RIGHT("000000"&amp;$C311,6))</f>
        <v/>
      </c>
      <c r="F311">
        <f>IF(Sync!$AJ311="","",Sync!$AJ311)</f>
        <v/>
      </c>
      <c r="G311">
        <f>IF($F311="","",IF(Sync!$AG311="","",IF(ISNUMBER(Sync!$AG311),IF(AND(Sync!$AG311&gt;=10000101,Sync!$AG311&lt;=99991231),INT(Sync!$AG311/10000),""),IFERROR(VALUE(TRIM(LEFT(Sync!$AG311,FIND("/",Sync!$AG311)-1))),""))))</f>
        <v/>
      </c>
      <c r="H311">
        <f>IF(OR($F311="",$G311=""),"",IF(ISNUMBER(Sync!$AG311),INT(MOD(Sync!$AG311,10000)/100),IFERROR(VALUE(TRIM(LEFT(MID(Sync!$AG311,FIND("/",Sync!$AG311)+1,20),FIND("/",MID(Sync!$AG311,FIND("/",Sync!$AG311)+1,20))-1))),"")))</f>
        <v/>
      </c>
      <c r="I311">
        <f>IF(OR($F311="",$G311=""),"",IF(ISNUMBER(Sync!$AG311),MOD(Sync!$AG311,100),IFERROR(VALUE(TRIM(MID(MID(Sync!$AG311,FIND("/",Sync!$AG311)+1,20),FIND("/",MID(Sync!$AG311,FIND("/",Sync!$AG311)+1,20))+1,20))),"")))</f>
        <v/>
      </c>
      <c r="J311">
        <f>IF($F311="","",IF(OR($G311="",$H311="",$I311="",$G311&lt;1300,$G311&gt;1500,$H311&lt;1,$H311&gt;12,$I311&lt;1,$I311&gt;31),"نامعتبر",RIGHT("0000"&amp;$G311,4)&amp;"/"&amp;RIGHT("00"&amp;$H311,2)&amp;"/"&amp;RIGHT("00"&amp;$I311,2)))</f>
        <v/>
      </c>
      <c r="K311">
        <f>IF(OR($F311="",$J311="",$J311="نامعتبر"),"",LEFT($J311,4)&amp;MID($J311,6,2)&amp;RIGHT($J311,2)&amp;$N311&amp;"|"&amp;"2"&amp;RIGHT("00000"&amp;306,5))</f>
        <v/>
      </c>
      <c r="L311">
        <f>IF($K311="","",COUNTIFS(LdgPartyA,$F311,LdgKeyA,"&lt;"&amp;$K311)+COUNTIFS(LdgPartyB,$F311,LdgKeyB,"&lt;"&amp;$K311)+1)</f>
        <v/>
      </c>
      <c r="M311">
        <f>IF($L311="","",$F311&amp;"|"&amp;RIGHT("000000"&amp;$L311,6))</f>
        <v/>
      </c>
      <c r="N311">
        <f>IF($F311="","",IF(Sync!$AH311="","0000",IF(AND(ISNUMBER(Sync!$AH311),Sync!$AH311&gt;=0,Sync!$AH311&lt;1),RIGHT("00"&amp;HOUR(Sync!$AH311),2)&amp;RIGHT("00"&amp;MINUTE(Sync!$AH311),2),IFERROR(RIGHT("00"&amp;VALUE(LEFT(Sync!$AH311,FIND(":",Sync!$AH311)-1)),2)&amp;RIGHT("00"&amp;VALUE(MID(Sync!$AH311,FIND(":",Sync!$AH311)+1,2)),2),"0000"))))</f>
        <v/>
      </c>
    </row>
    <row r="312">
      <c r="A312">
        <f>IF(OR(Calc!$E315="",Calc!$E315="نامعتبر",Calc!$G315="",Calc!$I315&lt;&gt;"خرید"),"",Calc!$G315)</f>
        <v/>
      </c>
      <c r="B312">
        <f>IF($A312="","",LEFT(Calc!$E315,4)&amp;MID(Calc!$E315,6,2)&amp;RIGHT(Calc!$E315,2)&amp;Calc!$R315&amp;"|"&amp;"1"&amp;RIGHT("00000"&amp;307,5))</f>
        <v/>
      </c>
      <c r="C312">
        <f>IF($B312="","",COUNTIFS(LdgPartyA,$A312,LdgKeyA,"&lt;"&amp;$B312)+COUNTIFS(LdgPartyB,$A312,LdgKeyB,"&lt;"&amp;$B312)+1)</f>
        <v/>
      </c>
      <c r="D312">
        <f>IF($C312="","",$A312&amp;"|"&amp;RIGHT("000000"&amp;$C312,6))</f>
        <v/>
      </c>
      <c r="F312">
        <f>IF(Sync!$AJ312="","",Sync!$AJ312)</f>
        <v/>
      </c>
      <c r="G312">
        <f>IF($F312="","",IF(Sync!$AG312="","",IF(ISNUMBER(Sync!$AG312),IF(AND(Sync!$AG312&gt;=10000101,Sync!$AG312&lt;=99991231),INT(Sync!$AG312/10000),""),IFERROR(VALUE(TRIM(LEFT(Sync!$AG312,FIND("/",Sync!$AG312)-1))),""))))</f>
        <v/>
      </c>
      <c r="H312">
        <f>IF(OR($F312="",$G312=""),"",IF(ISNUMBER(Sync!$AG312),INT(MOD(Sync!$AG312,10000)/100),IFERROR(VALUE(TRIM(LEFT(MID(Sync!$AG312,FIND("/",Sync!$AG312)+1,20),FIND("/",MID(Sync!$AG312,FIND("/",Sync!$AG312)+1,20))-1))),"")))</f>
        <v/>
      </c>
      <c r="I312">
        <f>IF(OR($F312="",$G312=""),"",IF(ISNUMBER(Sync!$AG312),MOD(Sync!$AG312,100),IFERROR(VALUE(TRIM(MID(MID(Sync!$AG312,FIND("/",Sync!$AG312)+1,20),FIND("/",MID(Sync!$AG312,FIND("/",Sync!$AG312)+1,20))+1,20))),"")))</f>
        <v/>
      </c>
      <c r="J312">
        <f>IF($F312="","",IF(OR($G312="",$H312="",$I312="",$G312&lt;1300,$G312&gt;1500,$H312&lt;1,$H312&gt;12,$I312&lt;1,$I312&gt;31),"نامعتبر",RIGHT("0000"&amp;$G312,4)&amp;"/"&amp;RIGHT("00"&amp;$H312,2)&amp;"/"&amp;RIGHT("00"&amp;$I312,2)))</f>
        <v/>
      </c>
      <c r="K312">
        <f>IF(OR($F312="",$J312="",$J312="نامعتبر"),"",LEFT($J312,4)&amp;MID($J312,6,2)&amp;RIGHT($J312,2)&amp;$N312&amp;"|"&amp;"2"&amp;RIGHT("00000"&amp;307,5))</f>
        <v/>
      </c>
      <c r="L312">
        <f>IF($K312="","",COUNTIFS(LdgPartyA,$F312,LdgKeyA,"&lt;"&amp;$K312)+COUNTIFS(LdgPartyB,$F312,LdgKeyB,"&lt;"&amp;$K312)+1)</f>
        <v/>
      </c>
      <c r="M312">
        <f>IF($L312="","",$F312&amp;"|"&amp;RIGHT("000000"&amp;$L312,6))</f>
        <v/>
      </c>
      <c r="N312">
        <f>IF($F312="","",IF(Sync!$AH312="","0000",IF(AND(ISNUMBER(Sync!$AH312),Sync!$AH312&gt;=0,Sync!$AH312&lt;1),RIGHT("00"&amp;HOUR(Sync!$AH312),2)&amp;RIGHT("00"&amp;MINUTE(Sync!$AH312),2),IFERROR(RIGHT("00"&amp;VALUE(LEFT(Sync!$AH312,FIND(":",Sync!$AH312)-1)),2)&amp;RIGHT("00"&amp;VALUE(MID(Sync!$AH312,FIND(":",Sync!$AH312)+1,2)),2),"0000"))))</f>
        <v/>
      </c>
    </row>
    <row r="313">
      <c r="A313">
        <f>IF(OR(Calc!$E316="",Calc!$E316="نامعتبر",Calc!$G316="",Calc!$I316&lt;&gt;"خرید"),"",Calc!$G316)</f>
        <v/>
      </c>
      <c r="B313">
        <f>IF($A313="","",LEFT(Calc!$E316,4)&amp;MID(Calc!$E316,6,2)&amp;RIGHT(Calc!$E316,2)&amp;Calc!$R316&amp;"|"&amp;"1"&amp;RIGHT("00000"&amp;308,5))</f>
        <v/>
      </c>
      <c r="C313">
        <f>IF($B313="","",COUNTIFS(LdgPartyA,$A313,LdgKeyA,"&lt;"&amp;$B313)+COUNTIFS(LdgPartyB,$A313,LdgKeyB,"&lt;"&amp;$B313)+1)</f>
        <v/>
      </c>
      <c r="D313">
        <f>IF($C313="","",$A313&amp;"|"&amp;RIGHT("000000"&amp;$C313,6))</f>
        <v/>
      </c>
      <c r="F313">
        <f>IF(Sync!$AJ313="","",Sync!$AJ313)</f>
        <v/>
      </c>
      <c r="G313">
        <f>IF($F313="","",IF(Sync!$AG313="","",IF(ISNUMBER(Sync!$AG313),IF(AND(Sync!$AG313&gt;=10000101,Sync!$AG313&lt;=99991231),INT(Sync!$AG313/10000),""),IFERROR(VALUE(TRIM(LEFT(Sync!$AG313,FIND("/",Sync!$AG313)-1))),""))))</f>
        <v/>
      </c>
      <c r="H313">
        <f>IF(OR($F313="",$G313=""),"",IF(ISNUMBER(Sync!$AG313),INT(MOD(Sync!$AG313,10000)/100),IFERROR(VALUE(TRIM(LEFT(MID(Sync!$AG313,FIND("/",Sync!$AG313)+1,20),FIND("/",MID(Sync!$AG313,FIND("/",Sync!$AG313)+1,20))-1))),"")))</f>
        <v/>
      </c>
      <c r="I313">
        <f>IF(OR($F313="",$G313=""),"",IF(ISNUMBER(Sync!$AG313),MOD(Sync!$AG313,100),IFERROR(VALUE(TRIM(MID(MID(Sync!$AG313,FIND("/",Sync!$AG313)+1,20),FIND("/",MID(Sync!$AG313,FIND("/",Sync!$AG313)+1,20))+1,20))),"")))</f>
        <v/>
      </c>
      <c r="J313">
        <f>IF($F313="","",IF(OR($G313="",$H313="",$I313="",$G313&lt;1300,$G313&gt;1500,$H313&lt;1,$H313&gt;12,$I313&lt;1,$I313&gt;31),"نامعتبر",RIGHT("0000"&amp;$G313,4)&amp;"/"&amp;RIGHT("00"&amp;$H313,2)&amp;"/"&amp;RIGHT("00"&amp;$I313,2)))</f>
        <v/>
      </c>
      <c r="K313">
        <f>IF(OR($F313="",$J313="",$J313="نامعتبر"),"",LEFT($J313,4)&amp;MID($J313,6,2)&amp;RIGHT($J313,2)&amp;$N313&amp;"|"&amp;"2"&amp;RIGHT("00000"&amp;308,5))</f>
        <v/>
      </c>
      <c r="L313">
        <f>IF($K313="","",COUNTIFS(LdgPartyA,$F313,LdgKeyA,"&lt;"&amp;$K313)+COUNTIFS(LdgPartyB,$F313,LdgKeyB,"&lt;"&amp;$K313)+1)</f>
        <v/>
      </c>
      <c r="M313">
        <f>IF($L313="","",$F313&amp;"|"&amp;RIGHT("000000"&amp;$L313,6))</f>
        <v/>
      </c>
      <c r="N313">
        <f>IF($F313="","",IF(Sync!$AH313="","0000",IF(AND(ISNUMBER(Sync!$AH313),Sync!$AH313&gt;=0,Sync!$AH313&lt;1),RIGHT("00"&amp;HOUR(Sync!$AH313),2)&amp;RIGHT("00"&amp;MINUTE(Sync!$AH313),2),IFERROR(RIGHT("00"&amp;VALUE(LEFT(Sync!$AH313,FIND(":",Sync!$AH313)-1)),2)&amp;RIGHT("00"&amp;VALUE(MID(Sync!$AH313,FIND(":",Sync!$AH313)+1,2)),2),"0000"))))</f>
        <v/>
      </c>
    </row>
    <row r="314">
      <c r="A314">
        <f>IF(OR(Calc!$E317="",Calc!$E317="نامعتبر",Calc!$G317="",Calc!$I317&lt;&gt;"خرید"),"",Calc!$G317)</f>
        <v/>
      </c>
      <c r="B314">
        <f>IF($A314="","",LEFT(Calc!$E317,4)&amp;MID(Calc!$E317,6,2)&amp;RIGHT(Calc!$E317,2)&amp;Calc!$R317&amp;"|"&amp;"1"&amp;RIGHT("00000"&amp;309,5))</f>
        <v/>
      </c>
      <c r="C314">
        <f>IF($B314="","",COUNTIFS(LdgPartyA,$A314,LdgKeyA,"&lt;"&amp;$B314)+COUNTIFS(LdgPartyB,$A314,LdgKeyB,"&lt;"&amp;$B314)+1)</f>
        <v/>
      </c>
      <c r="D314">
        <f>IF($C314="","",$A314&amp;"|"&amp;RIGHT("000000"&amp;$C314,6))</f>
        <v/>
      </c>
      <c r="F314">
        <f>IF(Sync!$AJ314="","",Sync!$AJ314)</f>
        <v/>
      </c>
      <c r="G314">
        <f>IF($F314="","",IF(Sync!$AG314="","",IF(ISNUMBER(Sync!$AG314),IF(AND(Sync!$AG314&gt;=10000101,Sync!$AG314&lt;=99991231),INT(Sync!$AG314/10000),""),IFERROR(VALUE(TRIM(LEFT(Sync!$AG314,FIND("/",Sync!$AG314)-1))),""))))</f>
        <v/>
      </c>
      <c r="H314">
        <f>IF(OR($F314="",$G314=""),"",IF(ISNUMBER(Sync!$AG314),INT(MOD(Sync!$AG314,10000)/100),IFERROR(VALUE(TRIM(LEFT(MID(Sync!$AG314,FIND("/",Sync!$AG314)+1,20),FIND("/",MID(Sync!$AG314,FIND("/",Sync!$AG314)+1,20))-1))),"")))</f>
        <v/>
      </c>
      <c r="I314">
        <f>IF(OR($F314="",$G314=""),"",IF(ISNUMBER(Sync!$AG314),MOD(Sync!$AG314,100),IFERROR(VALUE(TRIM(MID(MID(Sync!$AG314,FIND("/",Sync!$AG314)+1,20),FIND("/",MID(Sync!$AG314,FIND("/",Sync!$AG314)+1,20))+1,20))),"")))</f>
        <v/>
      </c>
      <c r="J314">
        <f>IF($F314="","",IF(OR($G314="",$H314="",$I314="",$G314&lt;1300,$G314&gt;1500,$H314&lt;1,$H314&gt;12,$I314&lt;1,$I314&gt;31),"نامعتبر",RIGHT("0000"&amp;$G314,4)&amp;"/"&amp;RIGHT("00"&amp;$H314,2)&amp;"/"&amp;RIGHT("00"&amp;$I314,2)))</f>
        <v/>
      </c>
      <c r="K314">
        <f>IF(OR($F314="",$J314="",$J314="نامعتبر"),"",LEFT($J314,4)&amp;MID($J314,6,2)&amp;RIGHT($J314,2)&amp;$N314&amp;"|"&amp;"2"&amp;RIGHT("00000"&amp;309,5))</f>
        <v/>
      </c>
      <c r="L314">
        <f>IF($K314="","",COUNTIFS(LdgPartyA,$F314,LdgKeyA,"&lt;"&amp;$K314)+COUNTIFS(LdgPartyB,$F314,LdgKeyB,"&lt;"&amp;$K314)+1)</f>
        <v/>
      </c>
      <c r="M314">
        <f>IF($L314="","",$F314&amp;"|"&amp;RIGHT("000000"&amp;$L314,6))</f>
        <v/>
      </c>
      <c r="N314">
        <f>IF($F314="","",IF(Sync!$AH314="","0000",IF(AND(ISNUMBER(Sync!$AH314),Sync!$AH314&gt;=0,Sync!$AH314&lt;1),RIGHT("00"&amp;HOUR(Sync!$AH314),2)&amp;RIGHT("00"&amp;MINUTE(Sync!$AH314),2),IFERROR(RIGHT("00"&amp;VALUE(LEFT(Sync!$AH314,FIND(":",Sync!$AH314)-1)),2)&amp;RIGHT("00"&amp;VALUE(MID(Sync!$AH314,FIND(":",Sync!$AH314)+1,2)),2),"0000"))))</f>
        <v/>
      </c>
    </row>
    <row r="315">
      <c r="A315">
        <f>IF(OR(Calc!$E318="",Calc!$E318="نامعتبر",Calc!$G318="",Calc!$I318&lt;&gt;"خرید"),"",Calc!$G318)</f>
        <v/>
      </c>
      <c r="B315">
        <f>IF($A315="","",LEFT(Calc!$E318,4)&amp;MID(Calc!$E318,6,2)&amp;RIGHT(Calc!$E318,2)&amp;Calc!$R318&amp;"|"&amp;"1"&amp;RIGHT("00000"&amp;310,5))</f>
        <v/>
      </c>
      <c r="C315">
        <f>IF($B315="","",COUNTIFS(LdgPartyA,$A315,LdgKeyA,"&lt;"&amp;$B315)+COUNTIFS(LdgPartyB,$A315,LdgKeyB,"&lt;"&amp;$B315)+1)</f>
        <v/>
      </c>
      <c r="D315">
        <f>IF($C315="","",$A315&amp;"|"&amp;RIGHT("000000"&amp;$C315,6))</f>
        <v/>
      </c>
      <c r="F315">
        <f>IF(Sync!$AJ315="","",Sync!$AJ315)</f>
        <v/>
      </c>
      <c r="G315">
        <f>IF($F315="","",IF(Sync!$AG315="","",IF(ISNUMBER(Sync!$AG315),IF(AND(Sync!$AG315&gt;=10000101,Sync!$AG315&lt;=99991231),INT(Sync!$AG315/10000),""),IFERROR(VALUE(TRIM(LEFT(Sync!$AG315,FIND("/",Sync!$AG315)-1))),""))))</f>
        <v/>
      </c>
      <c r="H315">
        <f>IF(OR($F315="",$G315=""),"",IF(ISNUMBER(Sync!$AG315),INT(MOD(Sync!$AG315,10000)/100),IFERROR(VALUE(TRIM(LEFT(MID(Sync!$AG315,FIND("/",Sync!$AG315)+1,20),FIND("/",MID(Sync!$AG315,FIND("/",Sync!$AG315)+1,20))-1))),"")))</f>
        <v/>
      </c>
      <c r="I315">
        <f>IF(OR($F315="",$G315=""),"",IF(ISNUMBER(Sync!$AG315),MOD(Sync!$AG315,100),IFERROR(VALUE(TRIM(MID(MID(Sync!$AG315,FIND("/",Sync!$AG315)+1,20),FIND("/",MID(Sync!$AG315,FIND("/",Sync!$AG315)+1,20))+1,20))),"")))</f>
        <v/>
      </c>
      <c r="J315">
        <f>IF($F315="","",IF(OR($G315="",$H315="",$I315="",$G315&lt;1300,$G315&gt;1500,$H315&lt;1,$H315&gt;12,$I315&lt;1,$I315&gt;31),"نامعتبر",RIGHT("0000"&amp;$G315,4)&amp;"/"&amp;RIGHT("00"&amp;$H315,2)&amp;"/"&amp;RIGHT("00"&amp;$I315,2)))</f>
        <v/>
      </c>
      <c r="K315">
        <f>IF(OR($F315="",$J315="",$J315="نامعتبر"),"",LEFT($J315,4)&amp;MID($J315,6,2)&amp;RIGHT($J315,2)&amp;$N315&amp;"|"&amp;"2"&amp;RIGHT("00000"&amp;310,5))</f>
        <v/>
      </c>
      <c r="L315">
        <f>IF($K315="","",COUNTIFS(LdgPartyA,$F315,LdgKeyA,"&lt;"&amp;$K315)+COUNTIFS(LdgPartyB,$F315,LdgKeyB,"&lt;"&amp;$K315)+1)</f>
        <v/>
      </c>
      <c r="M315">
        <f>IF($L315="","",$F315&amp;"|"&amp;RIGHT("000000"&amp;$L315,6))</f>
        <v/>
      </c>
      <c r="N315">
        <f>IF($F315="","",IF(Sync!$AH315="","0000",IF(AND(ISNUMBER(Sync!$AH315),Sync!$AH315&gt;=0,Sync!$AH315&lt;1),RIGHT("00"&amp;HOUR(Sync!$AH315),2)&amp;RIGHT("00"&amp;MINUTE(Sync!$AH315),2),IFERROR(RIGHT("00"&amp;VALUE(LEFT(Sync!$AH315,FIND(":",Sync!$AH315)-1)),2)&amp;RIGHT("00"&amp;VALUE(MID(Sync!$AH315,FIND(":",Sync!$AH315)+1,2)),2),"0000"))))</f>
        <v/>
      </c>
    </row>
    <row r="316">
      <c r="A316">
        <f>IF(OR(Calc!$E319="",Calc!$E319="نامعتبر",Calc!$G319="",Calc!$I319&lt;&gt;"خرید"),"",Calc!$G319)</f>
        <v/>
      </c>
      <c r="B316">
        <f>IF($A316="","",LEFT(Calc!$E319,4)&amp;MID(Calc!$E319,6,2)&amp;RIGHT(Calc!$E319,2)&amp;Calc!$R319&amp;"|"&amp;"1"&amp;RIGHT("00000"&amp;311,5))</f>
        <v/>
      </c>
      <c r="C316">
        <f>IF($B316="","",COUNTIFS(LdgPartyA,$A316,LdgKeyA,"&lt;"&amp;$B316)+COUNTIFS(LdgPartyB,$A316,LdgKeyB,"&lt;"&amp;$B316)+1)</f>
        <v/>
      </c>
      <c r="D316">
        <f>IF($C316="","",$A316&amp;"|"&amp;RIGHT("000000"&amp;$C316,6))</f>
        <v/>
      </c>
      <c r="F316">
        <f>IF(Sync!$AJ316="","",Sync!$AJ316)</f>
        <v/>
      </c>
      <c r="G316">
        <f>IF($F316="","",IF(Sync!$AG316="","",IF(ISNUMBER(Sync!$AG316),IF(AND(Sync!$AG316&gt;=10000101,Sync!$AG316&lt;=99991231),INT(Sync!$AG316/10000),""),IFERROR(VALUE(TRIM(LEFT(Sync!$AG316,FIND("/",Sync!$AG316)-1))),""))))</f>
        <v/>
      </c>
      <c r="H316">
        <f>IF(OR($F316="",$G316=""),"",IF(ISNUMBER(Sync!$AG316),INT(MOD(Sync!$AG316,10000)/100),IFERROR(VALUE(TRIM(LEFT(MID(Sync!$AG316,FIND("/",Sync!$AG316)+1,20),FIND("/",MID(Sync!$AG316,FIND("/",Sync!$AG316)+1,20))-1))),"")))</f>
        <v/>
      </c>
      <c r="I316">
        <f>IF(OR($F316="",$G316=""),"",IF(ISNUMBER(Sync!$AG316),MOD(Sync!$AG316,100),IFERROR(VALUE(TRIM(MID(MID(Sync!$AG316,FIND("/",Sync!$AG316)+1,20),FIND("/",MID(Sync!$AG316,FIND("/",Sync!$AG316)+1,20))+1,20))),"")))</f>
        <v/>
      </c>
      <c r="J316">
        <f>IF($F316="","",IF(OR($G316="",$H316="",$I316="",$G316&lt;1300,$G316&gt;1500,$H316&lt;1,$H316&gt;12,$I316&lt;1,$I316&gt;31),"نامعتبر",RIGHT("0000"&amp;$G316,4)&amp;"/"&amp;RIGHT("00"&amp;$H316,2)&amp;"/"&amp;RIGHT("00"&amp;$I316,2)))</f>
        <v/>
      </c>
      <c r="K316">
        <f>IF(OR($F316="",$J316="",$J316="نامعتبر"),"",LEFT($J316,4)&amp;MID($J316,6,2)&amp;RIGHT($J316,2)&amp;$N316&amp;"|"&amp;"2"&amp;RIGHT("00000"&amp;311,5))</f>
        <v/>
      </c>
      <c r="L316">
        <f>IF($K316="","",COUNTIFS(LdgPartyA,$F316,LdgKeyA,"&lt;"&amp;$K316)+COUNTIFS(LdgPartyB,$F316,LdgKeyB,"&lt;"&amp;$K316)+1)</f>
        <v/>
      </c>
      <c r="M316">
        <f>IF($L316="","",$F316&amp;"|"&amp;RIGHT("000000"&amp;$L316,6))</f>
        <v/>
      </c>
      <c r="N316">
        <f>IF($F316="","",IF(Sync!$AH316="","0000",IF(AND(ISNUMBER(Sync!$AH316),Sync!$AH316&gt;=0,Sync!$AH316&lt;1),RIGHT("00"&amp;HOUR(Sync!$AH316),2)&amp;RIGHT("00"&amp;MINUTE(Sync!$AH316),2),IFERROR(RIGHT("00"&amp;VALUE(LEFT(Sync!$AH316,FIND(":",Sync!$AH316)-1)),2)&amp;RIGHT("00"&amp;VALUE(MID(Sync!$AH316,FIND(":",Sync!$AH316)+1,2)),2),"0000"))))</f>
        <v/>
      </c>
    </row>
    <row r="317">
      <c r="A317">
        <f>IF(OR(Calc!$E320="",Calc!$E320="نامعتبر",Calc!$G320="",Calc!$I320&lt;&gt;"خرید"),"",Calc!$G320)</f>
        <v/>
      </c>
      <c r="B317">
        <f>IF($A317="","",LEFT(Calc!$E320,4)&amp;MID(Calc!$E320,6,2)&amp;RIGHT(Calc!$E320,2)&amp;Calc!$R320&amp;"|"&amp;"1"&amp;RIGHT("00000"&amp;312,5))</f>
        <v/>
      </c>
      <c r="C317">
        <f>IF($B317="","",COUNTIFS(LdgPartyA,$A317,LdgKeyA,"&lt;"&amp;$B317)+COUNTIFS(LdgPartyB,$A317,LdgKeyB,"&lt;"&amp;$B317)+1)</f>
        <v/>
      </c>
      <c r="D317">
        <f>IF($C317="","",$A317&amp;"|"&amp;RIGHT("000000"&amp;$C317,6))</f>
        <v/>
      </c>
      <c r="F317">
        <f>IF(Sync!$AJ317="","",Sync!$AJ317)</f>
        <v/>
      </c>
      <c r="G317">
        <f>IF($F317="","",IF(Sync!$AG317="","",IF(ISNUMBER(Sync!$AG317),IF(AND(Sync!$AG317&gt;=10000101,Sync!$AG317&lt;=99991231),INT(Sync!$AG317/10000),""),IFERROR(VALUE(TRIM(LEFT(Sync!$AG317,FIND("/",Sync!$AG317)-1))),""))))</f>
        <v/>
      </c>
      <c r="H317">
        <f>IF(OR($F317="",$G317=""),"",IF(ISNUMBER(Sync!$AG317),INT(MOD(Sync!$AG317,10000)/100),IFERROR(VALUE(TRIM(LEFT(MID(Sync!$AG317,FIND("/",Sync!$AG317)+1,20),FIND("/",MID(Sync!$AG317,FIND("/",Sync!$AG317)+1,20))-1))),"")))</f>
        <v/>
      </c>
      <c r="I317">
        <f>IF(OR($F317="",$G317=""),"",IF(ISNUMBER(Sync!$AG317),MOD(Sync!$AG317,100),IFERROR(VALUE(TRIM(MID(MID(Sync!$AG317,FIND("/",Sync!$AG317)+1,20),FIND("/",MID(Sync!$AG317,FIND("/",Sync!$AG317)+1,20))+1,20))),"")))</f>
        <v/>
      </c>
      <c r="J317">
        <f>IF($F317="","",IF(OR($G317="",$H317="",$I317="",$G317&lt;1300,$G317&gt;1500,$H317&lt;1,$H317&gt;12,$I317&lt;1,$I317&gt;31),"نامعتبر",RIGHT("0000"&amp;$G317,4)&amp;"/"&amp;RIGHT("00"&amp;$H317,2)&amp;"/"&amp;RIGHT("00"&amp;$I317,2)))</f>
        <v/>
      </c>
      <c r="K317">
        <f>IF(OR($F317="",$J317="",$J317="نامعتبر"),"",LEFT($J317,4)&amp;MID($J317,6,2)&amp;RIGHT($J317,2)&amp;$N317&amp;"|"&amp;"2"&amp;RIGHT("00000"&amp;312,5))</f>
        <v/>
      </c>
      <c r="L317">
        <f>IF($K317="","",COUNTIFS(LdgPartyA,$F317,LdgKeyA,"&lt;"&amp;$K317)+COUNTIFS(LdgPartyB,$F317,LdgKeyB,"&lt;"&amp;$K317)+1)</f>
        <v/>
      </c>
      <c r="M317">
        <f>IF($L317="","",$F317&amp;"|"&amp;RIGHT("000000"&amp;$L317,6))</f>
        <v/>
      </c>
      <c r="N317">
        <f>IF($F317="","",IF(Sync!$AH317="","0000",IF(AND(ISNUMBER(Sync!$AH317),Sync!$AH317&gt;=0,Sync!$AH317&lt;1),RIGHT("00"&amp;HOUR(Sync!$AH317),2)&amp;RIGHT("00"&amp;MINUTE(Sync!$AH317),2),IFERROR(RIGHT("00"&amp;VALUE(LEFT(Sync!$AH317,FIND(":",Sync!$AH317)-1)),2)&amp;RIGHT("00"&amp;VALUE(MID(Sync!$AH317,FIND(":",Sync!$AH317)+1,2)),2),"0000"))))</f>
        <v/>
      </c>
    </row>
    <row r="318">
      <c r="A318">
        <f>IF(OR(Calc!$E321="",Calc!$E321="نامعتبر",Calc!$G321="",Calc!$I321&lt;&gt;"خرید"),"",Calc!$G321)</f>
        <v/>
      </c>
      <c r="B318">
        <f>IF($A318="","",LEFT(Calc!$E321,4)&amp;MID(Calc!$E321,6,2)&amp;RIGHT(Calc!$E321,2)&amp;Calc!$R321&amp;"|"&amp;"1"&amp;RIGHT("00000"&amp;313,5))</f>
        <v/>
      </c>
      <c r="C318">
        <f>IF($B318="","",COUNTIFS(LdgPartyA,$A318,LdgKeyA,"&lt;"&amp;$B318)+COUNTIFS(LdgPartyB,$A318,LdgKeyB,"&lt;"&amp;$B318)+1)</f>
        <v/>
      </c>
      <c r="D318">
        <f>IF($C318="","",$A318&amp;"|"&amp;RIGHT("000000"&amp;$C318,6))</f>
        <v/>
      </c>
      <c r="F318">
        <f>IF(Sync!$AJ318="","",Sync!$AJ318)</f>
        <v/>
      </c>
      <c r="G318">
        <f>IF($F318="","",IF(Sync!$AG318="","",IF(ISNUMBER(Sync!$AG318),IF(AND(Sync!$AG318&gt;=10000101,Sync!$AG318&lt;=99991231),INT(Sync!$AG318/10000),""),IFERROR(VALUE(TRIM(LEFT(Sync!$AG318,FIND("/",Sync!$AG318)-1))),""))))</f>
        <v/>
      </c>
      <c r="H318">
        <f>IF(OR($F318="",$G318=""),"",IF(ISNUMBER(Sync!$AG318),INT(MOD(Sync!$AG318,10000)/100),IFERROR(VALUE(TRIM(LEFT(MID(Sync!$AG318,FIND("/",Sync!$AG318)+1,20),FIND("/",MID(Sync!$AG318,FIND("/",Sync!$AG318)+1,20))-1))),"")))</f>
        <v/>
      </c>
      <c r="I318">
        <f>IF(OR($F318="",$G318=""),"",IF(ISNUMBER(Sync!$AG318),MOD(Sync!$AG318,100),IFERROR(VALUE(TRIM(MID(MID(Sync!$AG318,FIND("/",Sync!$AG318)+1,20),FIND("/",MID(Sync!$AG318,FIND("/",Sync!$AG318)+1,20))+1,20))),"")))</f>
        <v/>
      </c>
      <c r="J318">
        <f>IF($F318="","",IF(OR($G318="",$H318="",$I318="",$G318&lt;1300,$G318&gt;1500,$H318&lt;1,$H318&gt;12,$I318&lt;1,$I318&gt;31),"نامعتبر",RIGHT("0000"&amp;$G318,4)&amp;"/"&amp;RIGHT("00"&amp;$H318,2)&amp;"/"&amp;RIGHT("00"&amp;$I318,2)))</f>
        <v/>
      </c>
      <c r="K318">
        <f>IF(OR($F318="",$J318="",$J318="نامعتبر"),"",LEFT($J318,4)&amp;MID($J318,6,2)&amp;RIGHT($J318,2)&amp;$N318&amp;"|"&amp;"2"&amp;RIGHT("00000"&amp;313,5))</f>
        <v/>
      </c>
      <c r="L318">
        <f>IF($K318="","",COUNTIFS(LdgPartyA,$F318,LdgKeyA,"&lt;"&amp;$K318)+COUNTIFS(LdgPartyB,$F318,LdgKeyB,"&lt;"&amp;$K318)+1)</f>
        <v/>
      </c>
      <c r="M318">
        <f>IF($L318="","",$F318&amp;"|"&amp;RIGHT("000000"&amp;$L318,6))</f>
        <v/>
      </c>
      <c r="N318">
        <f>IF($F318="","",IF(Sync!$AH318="","0000",IF(AND(ISNUMBER(Sync!$AH318),Sync!$AH318&gt;=0,Sync!$AH318&lt;1),RIGHT("00"&amp;HOUR(Sync!$AH318),2)&amp;RIGHT("00"&amp;MINUTE(Sync!$AH318),2),IFERROR(RIGHT("00"&amp;VALUE(LEFT(Sync!$AH318,FIND(":",Sync!$AH318)-1)),2)&amp;RIGHT("00"&amp;VALUE(MID(Sync!$AH318,FIND(":",Sync!$AH318)+1,2)),2),"0000"))))</f>
        <v/>
      </c>
    </row>
    <row r="319">
      <c r="A319">
        <f>IF(OR(Calc!$E322="",Calc!$E322="نامعتبر",Calc!$G322="",Calc!$I322&lt;&gt;"خرید"),"",Calc!$G322)</f>
        <v/>
      </c>
      <c r="B319">
        <f>IF($A319="","",LEFT(Calc!$E322,4)&amp;MID(Calc!$E322,6,2)&amp;RIGHT(Calc!$E322,2)&amp;Calc!$R322&amp;"|"&amp;"1"&amp;RIGHT("00000"&amp;314,5))</f>
        <v/>
      </c>
      <c r="C319">
        <f>IF($B319="","",COUNTIFS(LdgPartyA,$A319,LdgKeyA,"&lt;"&amp;$B319)+COUNTIFS(LdgPartyB,$A319,LdgKeyB,"&lt;"&amp;$B319)+1)</f>
        <v/>
      </c>
      <c r="D319">
        <f>IF($C319="","",$A319&amp;"|"&amp;RIGHT("000000"&amp;$C319,6))</f>
        <v/>
      </c>
      <c r="F319">
        <f>IF(Sync!$AJ319="","",Sync!$AJ319)</f>
        <v/>
      </c>
      <c r="G319">
        <f>IF($F319="","",IF(Sync!$AG319="","",IF(ISNUMBER(Sync!$AG319),IF(AND(Sync!$AG319&gt;=10000101,Sync!$AG319&lt;=99991231),INT(Sync!$AG319/10000),""),IFERROR(VALUE(TRIM(LEFT(Sync!$AG319,FIND("/",Sync!$AG319)-1))),""))))</f>
        <v/>
      </c>
      <c r="H319">
        <f>IF(OR($F319="",$G319=""),"",IF(ISNUMBER(Sync!$AG319),INT(MOD(Sync!$AG319,10000)/100),IFERROR(VALUE(TRIM(LEFT(MID(Sync!$AG319,FIND("/",Sync!$AG319)+1,20),FIND("/",MID(Sync!$AG319,FIND("/",Sync!$AG319)+1,20))-1))),"")))</f>
        <v/>
      </c>
      <c r="I319">
        <f>IF(OR($F319="",$G319=""),"",IF(ISNUMBER(Sync!$AG319),MOD(Sync!$AG319,100),IFERROR(VALUE(TRIM(MID(MID(Sync!$AG319,FIND("/",Sync!$AG319)+1,20),FIND("/",MID(Sync!$AG319,FIND("/",Sync!$AG319)+1,20))+1,20))),"")))</f>
        <v/>
      </c>
      <c r="J319">
        <f>IF($F319="","",IF(OR($G319="",$H319="",$I319="",$G319&lt;1300,$G319&gt;1500,$H319&lt;1,$H319&gt;12,$I319&lt;1,$I319&gt;31),"نامعتبر",RIGHT("0000"&amp;$G319,4)&amp;"/"&amp;RIGHT("00"&amp;$H319,2)&amp;"/"&amp;RIGHT("00"&amp;$I319,2)))</f>
        <v/>
      </c>
      <c r="K319">
        <f>IF(OR($F319="",$J319="",$J319="نامعتبر"),"",LEFT($J319,4)&amp;MID($J319,6,2)&amp;RIGHT($J319,2)&amp;$N319&amp;"|"&amp;"2"&amp;RIGHT("00000"&amp;314,5))</f>
        <v/>
      </c>
      <c r="L319">
        <f>IF($K319="","",COUNTIFS(LdgPartyA,$F319,LdgKeyA,"&lt;"&amp;$K319)+COUNTIFS(LdgPartyB,$F319,LdgKeyB,"&lt;"&amp;$K319)+1)</f>
        <v/>
      </c>
      <c r="M319">
        <f>IF($L319="","",$F319&amp;"|"&amp;RIGHT("000000"&amp;$L319,6))</f>
        <v/>
      </c>
      <c r="N319">
        <f>IF($F319="","",IF(Sync!$AH319="","0000",IF(AND(ISNUMBER(Sync!$AH319),Sync!$AH319&gt;=0,Sync!$AH319&lt;1),RIGHT("00"&amp;HOUR(Sync!$AH319),2)&amp;RIGHT("00"&amp;MINUTE(Sync!$AH319),2),IFERROR(RIGHT("00"&amp;VALUE(LEFT(Sync!$AH319,FIND(":",Sync!$AH319)-1)),2)&amp;RIGHT("00"&amp;VALUE(MID(Sync!$AH319,FIND(":",Sync!$AH319)+1,2)),2),"0000"))))</f>
        <v/>
      </c>
    </row>
    <row r="320">
      <c r="A320">
        <f>IF(OR(Calc!$E323="",Calc!$E323="نامعتبر",Calc!$G323="",Calc!$I323&lt;&gt;"خرید"),"",Calc!$G323)</f>
        <v/>
      </c>
      <c r="B320">
        <f>IF($A320="","",LEFT(Calc!$E323,4)&amp;MID(Calc!$E323,6,2)&amp;RIGHT(Calc!$E323,2)&amp;Calc!$R323&amp;"|"&amp;"1"&amp;RIGHT("00000"&amp;315,5))</f>
        <v/>
      </c>
      <c r="C320">
        <f>IF($B320="","",COUNTIFS(LdgPartyA,$A320,LdgKeyA,"&lt;"&amp;$B320)+COUNTIFS(LdgPartyB,$A320,LdgKeyB,"&lt;"&amp;$B320)+1)</f>
        <v/>
      </c>
      <c r="D320">
        <f>IF($C320="","",$A320&amp;"|"&amp;RIGHT("000000"&amp;$C320,6))</f>
        <v/>
      </c>
      <c r="F320">
        <f>IF(Sync!$AJ320="","",Sync!$AJ320)</f>
        <v/>
      </c>
      <c r="G320">
        <f>IF($F320="","",IF(Sync!$AG320="","",IF(ISNUMBER(Sync!$AG320),IF(AND(Sync!$AG320&gt;=10000101,Sync!$AG320&lt;=99991231),INT(Sync!$AG320/10000),""),IFERROR(VALUE(TRIM(LEFT(Sync!$AG320,FIND("/",Sync!$AG320)-1))),""))))</f>
        <v/>
      </c>
      <c r="H320">
        <f>IF(OR($F320="",$G320=""),"",IF(ISNUMBER(Sync!$AG320),INT(MOD(Sync!$AG320,10000)/100),IFERROR(VALUE(TRIM(LEFT(MID(Sync!$AG320,FIND("/",Sync!$AG320)+1,20),FIND("/",MID(Sync!$AG320,FIND("/",Sync!$AG320)+1,20))-1))),"")))</f>
        <v/>
      </c>
      <c r="I320">
        <f>IF(OR($F320="",$G320=""),"",IF(ISNUMBER(Sync!$AG320),MOD(Sync!$AG320,100),IFERROR(VALUE(TRIM(MID(MID(Sync!$AG320,FIND("/",Sync!$AG320)+1,20),FIND("/",MID(Sync!$AG320,FIND("/",Sync!$AG320)+1,20))+1,20))),"")))</f>
        <v/>
      </c>
      <c r="J320">
        <f>IF($F320="","",IF(OR($G320="",$H320="",$I320="",$G320&lt;1300,$G320&gt;1500,$H320&lt;1,$H320&gt;12,$I320&lt;1,$I320&gt;31),"نامعتبر",RIGHT("0000"&amp;$G320,4)&amp;"/"&amp;RIGHT("00"&amp;$H320,2)&amp;"/"&amp;RIGHT("00"&amp;$I320,2)))</f>
        <v/>
      </c>
      <c r="K320">
        <f>IF(OR($F320="",$J320="",$J320="نامعتبر"),"",LEFT($J320,4)&amp;MID($J320,6,2)&amp;RIGHT($J320,2)&amp;$N320&amp;"|"&amp;"2"&amp;RIGHT("00000"&amp;315,5))</f>
        <v/>
      </c>
      <c r="L320">
        <f>IF($K320="","",COUNTIFS(LdgPartyA,$F320,LdgKeyA,"&lt;"&amp;$K320)+COUNTIFS(LdgPartyB,$F320,LdgKeyB,"&lt;"&amp;$K320)+1)</f>
        <v/>
      </c>
      <c r="M320">
        <f>IF($L320="","",$F320&amp;"|"&amp;RIGHT("000000"&amp;$L320,6))</f>
        <v/>
      </c>
      <c r="N320">
        <f>IF($F320="","",IF(Sync!$AH320="","0000",IF(AND(ISNUMBER(Sync!$AH320),Sync!$AH320&gt;=0,Sync!$AH320&lt;1),RIGHT("00"&amp;HOUR(Sync!$AH320),2)&amp;RIGHT("00"&amp;MINUTE(Sync!$AH320),2),IFERROR(RIGHT("00"&amp;VALUE(LEFT(Sync!$AH320,FIND(":",Sync!$AH320)-1)),2)&amp;RIGHT("00"&amp;VALUE(MID(Sync!$AH320,FIND(":",Sync!$AH320)+1,2)),2),"0000"))))</f>
        <v/>
      </c>
    </row>
    <row r="321">
      <c r="A321">
        <f>IF(OR(Calc!$E324="",Calc!$E324="نامعتبر",Calc!$G324="",Calc!$I324&lt;&gt;"خرید"),"",Calc!$G324)</f>
        <v/>
      </c>
      <c r="B321">
        <f>IF($A321="","",LEFT(Calc!$E324,4)&amp;MID(Calc!$E324,6,2)&amp;RIGHT(Calc!$E324,2)&amp;Calc!$R324&amp;"|"&amp;"1"&amp;RIGHT("00000"&amp;316,5))</f>
        <v/>
      </c>
      <c r="C321">
        <f>IF($B321="","",COUNTIFS(LdgPartyA,$A321,LdgKeyA,"&lt;"&amp;$B321)+COUNTIFS(LdgPartyB,$A321,LdgKeyB,"&lt;"&amp;$B321)+1)</f>
        <v/>
      </c>
      <c r="D321">
        <f>IF($C321="","",$A321&amp;"|"&amp;RIGHT("000000"&amp;$C321,6))</f>
        <v/>
      </c>
      <c r="F321">
        <f>IF(Sync!$AJ321="","",Sync!$AJ321)</f>
        <v/>
      </c>
      <c r="G321">
        <f>IF($F321="","",IF(Sync!$AG321="","",IF(ISNUMBER(Sync!$AG321),IF(AND(Sync!$AG321&gt;=10000101,Sync!$AG321&lt;=99991231),INT(Sync!$AG321/10000),""),IFERROR(VALUE(TRIM(LEFT(Sync!$AG321,FIND("/",Sync!$AG321)-1))),""))))</f>
        <v/>
      </c>
      <c r="H321">
        <f>IF(OR($F321="",$G321=""),"",IF(ISNUMBER(Sync!$AG321),INT(MOD(Sync!$AG321,10000)/100),IFERROR(VALUE(TRIM(LEFT(MID(Sync!$AG321,FIND("/",Sync!$AG321)+1,20),FIND("/",MID(Sync!$AG321,FIND("/",Sync!$AG321)+1,20))-1))),"")))</f>
        <v/>
      </c>
      <c r="I321">
        <f>IF(OR($F321="",$G321=""),"",IF(ISNUMBER(Sync!$AG321),MOD(Sync!$AG321,100),IFERROR(VALUE(TRIM(MID(MID(Sync!$AG321,FIND("/",Sync!$AG321)+1,20),FIND("/",MID(Sync!$AG321,FIND("/",Sync!$AG321)+1,20))+1,20))),"")))</f>
        <v/>
      </c>
      <c r="J321">
        <f>IF($F321="","",IF(OR($G321="",$H321="",$I321="",$G321&lt;1300,$G321&gt;1500,$H321&lt;1,$H321&gt;12,$I321&lt;1,$I321&gt;31),"نامعتبر",RIGHT("0000"&amp;$G321,4)&amp;"/"&amp;RIGHT("00"&amp;$H321,2)&amp;"/"&amp;RIGHT("00"&amp;$I321,2)))</f>
        <v/>
      </c>
      <c r="K321">
        <f>IF(OR($F321="",$J321="",$J321="نامعتبر"),"",LEFT($J321,4)&amp;MID($J321,6,2)&amp;RIGHT($J321,2)&amp;$N321&amp;"|"&amp;"2"&amp;RIGHT("00000"&amp;316,5))</f>
        <v/>
      </c>
      <c r="L321">
        <f>IF($K321="","",COUNTIFS(LdgPartyA,$F321,LdgKeyA,"&lt;"&amp;$K321)+COUNTIFS(LdgPartyB,$F321,LdgKeyB,"&lt;"&amp;$K321)+1)</f>
        <v/>
      </c>
      <c r="M321">
        <f>IF($L321="","",$F321&amp;"|"&amp;RIGHT("000000"&amp;$L321,6))</f>
        <v/>
      </c>
      <c r="N321">
        <f>IF($F321="","",IF(Sync!$AH321="","0000",IF(AND(ISNUMBER(Sync!$AH321),Sync!$AH321&gt;=0,Sync!$AH321&lt;1),RIGHT("00"&amp;HOUR(Sync!$AH321),2)&amp;RIGHT("00"&amp;MINUTE(Sync!$AH321),2),IFERROR(RIGHT("00"&amp;VALUE(LEFT(Sync!$AH321,FIND(":",Sync!$AH321)-1)),2)&amp;RIGHT("00"&amp;VALUE(MID(Sync!$AH321,FIND(":",Sync!$AH321)+1,2)),2),"0000"))))</f>
        <v/>
      </c>
    </row>
    <row r="322">
      <c r="A322">
        <f>IF(OR(Calc!$E325="",Calc!$E325="نامعتبر",Calc!$G325="",Calc!$I325&lt;&gt;"خرید"),"",Calc!$G325)</f>
        <v/>
      </c>
      <c r="B322">
        <f>IF($A322="","",LEFT(Calc!$E325,4)&amp;MID(Calc!$E325,6,2)&amp;RIGHT(Calc!$E325,2)&amp;Calc!$R325&amp;"|"&amp;"1"&amp;RIGHT("00000"&amp;317,5))</f>
        <v/>
      </c>
      <c r="C322">
        <f>IF($B322="","",COUNTIFS(LdgPartyA,$A322,LdgKeyA,"&lt;"&amp;$B322)+COUNTIFS(LdgPartyB,$A322,LdgKeyB,"&lt;"&amp;$B322)+1)</f>
        <v/>
      </c>
      <c r="D322">
        <f>IF($C322="","",$A322&amp;"|"&amp;RIGHT("000000"&amp;$C322,6))</f>
        <v/>
      </c>
      <c r="F322">
        <f>IF(Sync!$AJ322="","",Sync!$AJ322)</f>
        <v/>
      </c>
      <c r="G322">
        <f>IF($F322="","",IF(Sync!$AG322="","",IF(ISNUMBER(Sync!$AG322),IF(AND(Sync!$AG322&gt;=10000101,Sync!$AG322&lt;=99991231),INT(Sync!$AG322/10000),""),IFERROR(VALUE(TRIM(LEFT(Sync!$AG322,FIND("/",Sync!$AG322)-1))),""))))</f>
        <v/>
      </c>
      <c r="H322">
        <f>IF(OR($F322="",$G322=""),"",IF(ISNUMBER(Sync!$AG322),INT(MOD(Sync!$AG322,10000)/100),IFERROR(VALUE(TRIM(LEFT(MID(Sync!$AG322,FIND("/",Sync!$AG322)+1,20),FIND("/",MID(Sync!$AG322,FIND("/",Sync!$AG322)+1,20))-1))),"")))</f>
        <v/>
      </c>
      <c r="I322">
        <f>IF(OR($F322="",$G322=""),"",IF(ISNUMBER(Sync!$AG322),MOD(Sync!$AG322,100),IFERROR(VALUE(TRIM(MID(MID(Sync!$AG322,FIND("/",Sync!$AG322)+1,20),FIND("/",MID(Sync!$AG322,FIND("/",Sync!$AG322)+1,20))+1,20))),"")))</f>
        <v/>
      </c>
      <c r="J322">
        <f>IF($F322="","",IF(OR($G322="",$H322="",$I322="",$G322&lt;1300,$G322&gt;1500,$H322&lt;1,$H322&gt;12,$I322&lt;1,$I322&gt;31),"نامعتبر",RIGHT("0000"&amp;$G322,4)&amp;"/"&amp;RIGHT("00"&amp;$H322,2)&amp;"/"&amp;RIGHT("00"&amp;$I322,2)))</f>
        <v/>
      </c>
      <c r="K322">
        <f>IF(OR($F322="",$J322="",$J322="نامعتبر"),"",LEFT($J322,4)&amp;MID($J322,6,2)&amp;RIGHT($J322,2)&amp;$N322&amp;"|"&amp;"2"&amp;RIGHT("00000"&amp;317,5))</f>
        <v/>
      </c>
      <c r="L322">
        <f>IF($K322="","",COUNTIFS(LdgPartyA,$F322,LdgKeyA,"&lt;"&amp;$K322)+COUNTIFS(LdgPartyB,$F322,LdgKeyB,"&lt;"&amp;$K322)+1)</f>
        <v/>
      </c>
      <c r="M322">
        <f>IF($L322="","",$F322&amp;"|"&amp;RIGHT("000000"&amp;$L322,6))</f>
        <v/>
      </c>
      <c r="N322">
        <f>IF($F322="","",IF(Sync!$AH322="","0000",IF(AND(ISNUMBER(Sync!$AH322),Sync!$AH322&gt;=0,Sync!$AH322&lt;1),RIGHT("00"&amp;HOUR(Sync!$AH322),2)&amp;RIGHT("00"&amp;MINUTE(Sync!$AH322),2),IFERROR(RIGHT("00"&amp;VALUE(LEFT(Sync!$AH322,FIND(":",Sync!$AH322)-1)),2)&amp;RIGHT("00"&amp;VALUE(MID(Sync!$AH322,FIND(":",Sync!$AH322)+1,2)),2),"0000"))))</f>
        <v/>
      </c>
    </row>
    <row r="323">
      <c r="A323">
        <f>IF(OR(Calc!$E326="",Calc!$E326="نامعتبر",Calc!$G326="",Calc!$I326&lt;&gt;"خرید"),"",Calc!$G326)</f>
        <v/>
      </c>
      <c r="B323">
        <f>IF($A323="","",LEFT(Calc!$E326,4)&amp;MID(Calc!$E326,6,2)&amp;RIGHT(Calc!$E326,2)&amp;Calc!$R326&amp;"|"&amp;"1"&amp;RIGHT("00000"&amp;318,5))</f>
        <v/>
      </c>
      <c r="C323">
        <f>IF($B323="","",COUNTIFS(LdgPartyA,$A323,LdgKeyA,"&lt;"&amp;$B323)+COUNTIFS(LdgPartyB,$A323,LdgKeyB,"&lt;"&amp;$B323)+1)</f>
        <v/>
      </c>
      <c r="D323">
        <f>IF($C323="","",$A323&amp;"|"&amp;RIGHT("000000"&amp;$C323,6))</f>
        <v/>
      </c>
      <c r="F323">
        <f>IF(Sync!$AJ323="","",Sync!$AJ323)</f>
        <v/>
      </c>
      <c r="G323">
        <f>IF($F323="","",IF(Sync!$AG323="","",IF(ISNUMBER(Sync!$AG323),IF(AND(Sync!$AG323&gt;=10000101,Sync!$AG323&lt;=99991231),INT(Sync!$AG323/10000),""),IFERROR(VALUE(TRIM(LEFT(Sync!$AG323,FIND("/",Sync!$AG323)-1))),""))))</f>
        <v/>
      </c>
      <c r="H323">
        <f>IF(OR($F323="",$G323=""),"",IF(ISNUMBER(Sync!$AG323),INT(MOD(Sync!$AG323,10000)/100),IFERROR(VALUE(TRIM(LEFT(MID(Sync!$AG323,FIND("/",Sync!$AG323)+1,20),FIND("/",MID(Sync!$AG323,FIND("/",Sync!$AG323)+1,20))-1))),"")))</f>
        <v/>
      </c>
      <c r="I323">
        <f>IF(OR($F323="",$G323=""),"",IF(ISNUMBER(Sync!$AG323),MOD(Sync!$AG323,100),IFERROR(VALUE(TRIM(MID(MID(Sync!$AG323,FIND("/",Sync!$AG323)+1,20),FIND("/",MID(Sync!$AG323,FIND("/",Sync!$AG323)+1,20))+1,20))),"")))</f>
        <v/>
      </c>
      <c r="J323">
        <f>IF($F323="","",IF(OR($G323="",$H323="",$I323="",$G323&lt;1300,$G323&gt;1500,$H323&lt;1,$H323&gt;12,$I323&lt;1,$I323&gt;31),"نامعتبر",RIGHT("0000"&amp;$G323,4)&amp;"/"&amp;RIGHT("00"&amp;$H323,2)&amp;"/"&amp;RIGHT("00"&amp;$I323,2)))</f>
        <v/>
      </c>
      <c r="K323">
        <f>IF(OR($F323="",$J323="",$J323="نامعتبر"),"",LEFT($J323,4)&amp;MID($J323,6,2)&amp;RIGHT($J323,2)&amp;$N323&amp;"|"&amp;"2"&amp;RIGHT("00000"&amp;318,5))</f>
        <v/>
      </c>
      <c r="L323">
        <f>IF($K323="","",COUNTIFS(LdgPartyA,$F323,LdgKeyA,"&lt;"&amp;$K323)+COUNTIFS(LdgPartyB,$F323,LdgKeyB,"&lt;"&amp;$K323)+1)</f>
        <v/>
      </c>
      <c r="M323">
        <f>IF($L323="","",$F323&amp;"|"&amp;RIGHT("000000"&amp;$L323,6))</f>
        <v/>
      </c>
      <c r="N323">
        <f>IF($F323="","",IF(Sync!$AH323="","0000",IF(AND(ISNUMBER(Sync!$AH323),Sync!$AH323&gt;=0,Sync!$AH323&lt;1),RIGHT("00"&amp;HOUR(Sync!$AH323),2)&amp;RIGHT("00"&amp;MINUTE(Sync!$AH323),2),IFERROR(RIGHT("00"&amp;VALUE(LEFT(Sync!$AH323,FIND(":",Sync!$AH323)-1)),2)&amp;RIGHT("00"&amp;VALUE(MID(Sync!$AH323,FIND(":",Sync!$AH323)+1,2)),2),"0000"))))</f>
        <v/>
      </c>
    </row>
    <row r="324">
      <c r="A324">
        <f>IF(OR(Calc!$E327="",Calc!$E327="نامعتبر",Calc!$G327="",Calc!$I327&lt;&gt;"خرید"),"",Calc!$G327)</f>
        <v/>
      </c>
      <c r="B324">
        <f>IF($A324="","",LEFT(Calc!$E327,4)&amp;MID(Calc!$E327,6,2)&amp;RIGHT(Calc!$E327,2)&amp;Calc!$R327&amp;"|"&amp;"1"&amp;RIGHT("00000"&amp;319,5))</f>
        <v/>
      </c>
      <c r="C324">
        <f>IF($B324="","",COUNTIFS(LdgPartyA,$A324,LdgKeyA,"&lt;"&amp;$B324)+COUNTIFS(LdgPartyB,$A324,LdgKeyB,"&lt;"&amp;$B324)+1)</f>
        <v/>
      </c>
      <c r="D324">
        <f>IF($C324="","",$A324&amp;"|"&amp;RIGHT("000000"&amp;$C324,6))</f>
        <v/>
      </c>
      <c r="F324">
        <f>IF(Sync!$AJ324="","",Sync!$AJ324)</f>
        <v/>
      </c>
      <c r="G324">
        <f>IF($F324="","",IF(Sync!$AG324="","",IF(ISNUMBER(Sync!$AG324),IF(AND(Sync!$AG324&gt;=10000101,Sync!$AG324&lt;=99991231),INT(Sync!$AG324/10000),""),IFERROR(VALUE(TRIM(LEFT(Sync!$AG324,FIND("/",Sync!$AG324)-1))),""))))</f>
        <v/>
      </c>
      <c r="H324">
        <f>IF(OR($F324="",$G324=""),"",IF(ISNUMBER(Sync!$AG324),INT(MOD(Sync!$AG324,10000)/100),IFERROR(VALUE(TRIM(LEFT(MID(Sync!$AG324,FIND("/",Sync!$AG324)+1,20),FIND("/",MID(Sync!$AG324,FIND("/",Sync!$AG324)+1,20))-1))),"")))</f>
        <v/>
      </c>
      <c r="I324">
        <f>IF(OR($F324="",$G324=""),"",IF(ISNUMBER(Sync!$AG324),MOD(Sync!$AG324,100),IFERROR(VALUE(TRIM(MID(MID(Sync!$AG324,FIND("/",Sync!$AG324)+1,20),FIND("/",MID(Sync!$AG324,FIND("/",Sync!$AG324)+1,20))+1,20))),"")))</f>
        <v/>
      </c>
      <c r="J324">
        <f>IF($F324="","",IF(OR($G324="",$H324="",$I324="",$G324&lt;1300,$G324&gt;1500,$H324&lt;1,$H324&gt;12,$I324&lt;1,$I324&gt;31),"نامعتبر",RIGHT("0000"&amp;$G324,4)&amp;"/"&amp;RIGHT("00"&amp;$H324,2)&amp;"/"&amp;RIGHT("00"&amp;$I324,2)))</f>
        <v/>
      </c>
      <c r="K324">
        <f>IF(OR($F324="",$J324="",$J324="نامعتبر"),"",LEFT($J324,4)&amp;MID($J324,6,2)&amp;RIGHT($J324,2)&amp;$N324&amp;"|"&amp;"2"&amp;RIGHT("00000"&amp;319,5))</f>
        <v/>
      </c>
      <c r="L324">
        <f>IF($K324="","",COUNTIFS(LdgPartyA,$F324,LdgKeyA,"&lt;"&amp;$K324)+COUNTIFS(LdgPartyB,$F324,LdgKeyB,"&lt;"&amp;$K324)+1)</f>
        <v/>
      </c>
      <c r="M324">
        <f>IF($L324="","",$F324&amp;"|"&amp;RIGHT("000000"&amp;$L324,6))</f>
        <v/>
      </c>
      <c r="N324">
        <f>IF($F324="","",IF(Sync!$AH324="","0000",IF(AND(ISNUMBER(Sync!$AH324),Sync!$AH324&gt;=0,Sync!$AH324&lt;1),RIGHT("00"&amp;HOUR(Sync!$AH324),2)&amp;RIGHT("00"&amp;MINUTE(Sync!$AH324),2),IFERROR(RIGHT("00"&amp;VALUE(LEFT(Sync!$AH324,FIND(":",Sync!$AH324)-1)),2)&amp;RIGHT("00"&amp;VALUE(MID(Sync!$AH324,FIND(":",Sync!$AH324)+1,2)),2),"0000"))))</f>
        <v/>
      </c>
    </row>
    <row r="325">
      <c r="A325">
        <f>IF(OR(Calc!$E328="",Calc!$E328="نامعتبر",Calc!$G328="",Calc!$I328&lt;&gt;"خرید"),"",Calc!$G328)</f>
        <v/>
      </c>
      <c r="B325">
        <f>IF($A325="","",LEFT(Calc!$E328,4)&amp;MID(Calc!$E328,6,2)&amp;RIGHT(Calc!$E328,2)&amp;Calc!$R328&amp;"|"&amp;"1"&amp;RIGHT("00000"&amp;320,5))</f>
        <v/>
      </c>
      <c r="C325">
        <f>IF($B325="","",COUNTIFS(LdgPartyA,$A325,LdgKeyA,"&lt;"&amp;$B325)+COUNTIFS(LdgPartyB,$A325,LdgKeyB,"&lt;"&amp;$B325)+1)</f>
        <v/>
      </c>
      <c r="D325">
        <f>IF($C325="","",$A325&amp;"|"&amp;RIGHT("000000"&amp;$C325,6))</f>
        <v/>
      </c>
      <c r="F325">
        <f>IF(Sync!$AJ325="","",Sync!$AJ325)</f>
        <v/>
      </c>
      <c r="G325">
        <f>IF($F325="","",IF(Sync!$AG325="","",IF(ISNUMBER(Sync!$AG325),IF(AND(Sync!$AG325&gt;=10000101,Sync!$AG325&lt;=99991231),INT(Sync!$AG325/10000),""),IFERROR(VALUE(TRIM(LEFT(Sync!$AG325,FIND("/",Sync!$AG325)-1))),""))))</f>
        <v/>
      </c>
      <c r="H325">
        <f>IF(OR($F325="",$G325=""),"",IF(ISNUMBER(Sync!$AG325),INT(MOD(Sync!$AG325,10000)/100),IFERROR(VALUE(TRIM(LEFT(MID(Sync!$AG325,FIND("/",Sync!$AG325)+1,20),FIND("/",MID(Sync!$AG325,FIND("/",Sync!$AG325)+1,20))-1))),"")))</f>
        <v/>
      </c>
      <c r="I325">
        <f>IF(OR($F325="",$G325=""),"",IF(ISNUMBER(Sync!$AG325),MOD(Sync!$AG325,100),IFERROR(VALUE(TRIM(MID(MID(Sync!$AG325,FIND("/",Sync!$AG325)+1,20),FIND("/",MID(Sync!$AG325,FIND("/",Sync!$AG325)+1,20))+1,20))),"")))</f>
        <v/>
      </c>
      <c r="J325">
        <f>IF($F325="","",IF(OR($G325="",$H325="",$I325="",$G325&lt;1300,$G325&gt;1500,$H325&lt;1,$H325&gt;12,$I325&lt;1,$I325&gt;31),"نامعتبر",RIGHT("0000"&amp;$G325,4)&amp;"/"&amp;RIGHT("00"&amp;$H325,2)&amp;"/"&amp;RIGHT("00"&amp;$I325,2)))</f>
        <v/>
      </c>
      <c r="K325">
        <f>IF(OR($F325="",$J325="",$J325="نامعتبر"),"",LEFT($J325,4)&amp;MID($J325,6,2)&amp;RIGHT($J325,2)&amp;$N325&amp;"|"&amp;"2"&amp;RIGHT("00000"&amp;320,5))</f>
        <v/>
      </c>
      <c r="L325">
        <f>IF($K325="","",COUNTIFS(LdgPartyA,$F325,LdgKeyA,"&lt;"&amp;$K325)+COUNTIFS(LdgPartyB,$F325,LdgKeyB,"&lt;"&amp;$K325)+1)</f>
        <v/>
      </c>
      <c r="M325">
        <f>IF($L325="","",$F325&amp;"|"&amp;RIGHT("000000"&amp;$L325,6))</f>
        <v/>
      </c>
      <c r="N325">
        <f>IF($F325="","",IF(Sync!$AH325="","0000",IF(AND(ISNUMBER(Sync!$AH325),Sync!$AH325&gt;=0,Sync!$AH325&lt;1),RIGHT("00"&amp;HOUR(Sync!$AH325),2)&amp;RIGHT("00"&amp;MINUTE(Sync!$AH325),2),IFERROR(RIGHT("00"&amp;VALUE(LEFT(Sync!$AH325,FIND(":",Sync!$AH325)-1)),2)&amp;RIGHT("00"&amp;VALUE(MID(Sync!$AH325,FIND(":",Sync!$AH325)+1,2)),2),"0000"))))</f>
        <v/>
      </c>
    </row>
    <row r="326">
      <c r="A326">
        <f>IF(OR(Calc!$E329="",Calc!$E329="نامعتبر",Calc!$G329="",Calc!$I329&lt;&gt;"خرید"),"",Calc!$G329)</f>
        <v/>
      </c>
      <c r="B326">
        <f>IF($A326="","",LEFT(Calc!$E329,4)&amp;MID(Calc!$E329,6,2)&amp;RIGHT(Calc!$E329,2)&amp;Calc!$R329&amp;"|"&amp;"1"&amp;RIGHT("00000"&amp;321,5))</f>
        <v/>
      </c>
      <c r="C326">
        <f>IF($B326="","",COUNTIFS(LdgPartyA,$A326,LdgKeyA,"&lt;"&amp;$B326)+COUNTIFS(LdgPartyB,$A326,LdgKeyB,"&lt;"&amp;$B326)+1)</f>
        <v/>
      </c>
      <c r="D326">
        <f>IF($C326="","",$A326&amp;"|"&amp;RIGHT("000000"&amp;$C326,6))</f>
        <v/>
      </c>
      <c r="F326">
        <f>IF(Sync!$AJ326="","",Sync!$AJ326)</f>
        <v/>
      </c>
      <c r="G326">
        <f>IF($F326="","",IF(Sync!$AG326="","",IF(ISNUMBER(Sync!$AG326),IF(AND(Sync!$AG326&gt;=10000101,Sync!$AG326&lt;=99991231),INT(Sync!$AG326/10000),""),IFERROR(VALUE(TRIM(LEFT(Sync!$AG326,FIND("/",Sync!$AG326)-1))),""))))</f>
        <v/>
      </c>
      <c r="H326">
        <f>IF(OR($F326="",$G326=""),"",IF(ISNUMBER(Sync!$AG326),INT(MOD(Sync!$AG326,10000)/100),IFERROR(VALUE(TRIM(LEFT(MID(Sync!$AG326,FIND("/",Sync!$AG326)+1,20),FIND("/",MID(Sync!$AG326,FIND("/",Sync!$AG326)+1,20))-1))),"")))</f>
        <v/>
      </c>
      <c r="I326">
        <f>IF(OR($F326="",$G326=""),"",IF(ISNUMBER(Sync!$AG326),MOD(Sync!$AG326,100),IFERROR(VALUE(TRIM(MID(MID(Sync!$AG326,FIND("/",Sync!$AG326)+1,20),FIND("/",MID(Sync!$AG326,FIND("/",Sync!$AG326)+1,20))+1,20))),"")))</f>
        <v/>
      </c>
      <c r="J326">
        <f>IF($F326="","",IF(OR($G326="",$H326="",$I326="",$G326&lt;1300,$G326&gt;1500,$H326&lt;1,$H326&gt;12,$I326&lt;1,$I326&gt;31),"نامعتبر",RIGHT("0000"&amp;$G326,4)&amp;"/"&amp;RIGHT("00"&amp;$H326,2)&amp;"/"&amp;RIGHT("00"&amp;$I326,2)))</f>
        <v/>
      </c>
      <c r="K326">
        <f>IF(OR($F326="",$J326="",$J326="نامعتبر"),"",LEFT($J326,4)&amp;MID($J326,6,2)&amp;RIGHT($J326,2)&amp;$N326&amp;"|"&amp;"2"&amp;RIGHT("00000"&amp;321,5))</f>
        <v/>
      </c>
      <c r="L326">
        <f>IF($K326="","",COUNTIFS(LdgPartyA,$F326,LdgKeyA,"&lt;"&amp;$K326)+COUNTIFS(LdgPartyB,$F326,LdgKeyB,"&lt;"&amp;$K326)+1)</f>
        <v/>
      </c>
      <c r="M326">
        <f>IF($L326="","",$F326&amp;"|"&amp;RIGHT("000000"&amp;$L326,6))</f>
        <v/>
      </c>
      <c r="N326">
        <f>IF($F326="","",IF(Sync!$AH326="","0000",IF(AND(ISNUMBER(Sync!$AH326),Sync!$AH326&gt;=0,Sync!$AH326&lt;1),RIGHT("00"&amp;HOUR(Sync!$AH326),2)&amp;RIGHT("00"&amp;MINUTE(Sync!$AH326),2),IFERROR(RIGHT("00"&amp;VALUE(LEFT(Sync!$AH326,FIND(":",Sync!$AH326)-1)),2)&amp;RIGHT("00"&amp;VALUE(MID(Sync!$AH326,FIND(":",Sync!$AH326)+1,2)),2),"0000"))))</f>
        <v/>
      </c>
    </row>
    <row r="327">
      <c r="A327">
        <f>IF(OR(Calc!$E330="",Calc!$E330="نامعتبر",Calc!$G330="",Calc!$I330&lt;&gt;"خرید"),"",Calc!$G330)</f>
        <v/>
      </c>
      <c r="B327">
        <f>IF($A327="","",LEFT(Calc!$E330,4)&amp;MID(Calc!$E330,6,2)&amp;RIGHT(Calc!$E330,2)&amp;Calc!$R330&amp;"|"&amp;"1"&amp;RIGHT("00000"&amp;322,5))</f>
        <v/>
      </c>
      <c r="C327">
        <f>IF($B327="","",COUNTIFS(LdgPartyA,$A327,LdgKeyA,"&lt;"&amp;$B327)+COUNTIFS(LdgPartyB,$A327,LdgKeyB,"&lt;"&amp;$B327)+1)</f>
        <v/>
      </c>
      <c r="D327">
        <f>IF($C327="","",$A327&amp;"|"&amp;RIGHT("000000"&amp;$C327,6))</f>
        <v/>
      </c>
      <c r="F327">
        <f>IF(Sync!$AJ327="","",Sync!$AJ327)</f>
        <v/>
      </c>
      <c r="G327">
        <f>IF($F327="","",IF(Sync!$AG327="","",IF(ISNUMBER(Sync!$AG327),IF(AND(Sync!$AG327&gt;=10000101,Sync!$AG327&lt;=99991231),INT(Sync!$AG327/10000),""),IFERROR(VALUE(TRIM(LEFT(Sync!$AG327,FIND("/",Sync!$AG327)-1))),""))))</f>
        <v/>
      </c>
      <c r="H327">
        <f>IF(OR($F327="",$G327=""),"",IF(ISNUMBER(Sync!$AG327),INT(MOD(Sync!$AG327,10000)/100),IFERROR(VALUE(TRIM(LEFT(MID(Sync!$AG327,FIND("/",Sync!$AG327)+1,20),FIND("/",MID(Sync!$AG327,FIND("/",Sync!$AG327)+1,20))-1))),"")))</f>
        <v/>
      </c>
      <c r="I327">
        <f>IF(OR($F327="",$G327=""),"",IF(ISNUMBER(Sync!$AG327),MOD(Sync!$AG327,100),IFERROR(VALUE(TRIM(MID(MID(Sync!$AG327,FIND("/",Sync!$AG327)+1,20),FIND("/",MID(Sync!$AG327,FIND("/",Sync!$AG327)+1,20))+1,20))),"")))</f>
        <v/>
      </c>
      <c r="J327">
        <f>IF($F327="","",IF(OR($G327="",$H327="",$I327="",$G327&lt;1300,$G327&gt;1500,$H327&lt;1,$H327&gt;12,$I327&lt;1,$I327&gt;31),"نامعتبر",RIGHT("0000"&amp;$G327,4)&amp;"/"&amp;RIGHT("00"&amp;$H327,2)&amp;"/"&amp;RIGHT("00"&amp;$I327,2)))</f>
        <v/>
      </c>
      <c r="K327">
        <f>IF(OR($F327="",$J327="",$J327="نامعتبر"),"",LEFT($J327,4)&amp;MID($J327,6,2)&amp;RIGHT($J327,2)&amp;$N327&amp;"|"&amp;"2"&amp;RIGHT("00000"&amp;322,5))</f>
        <v/>
      </c>
      <c r="L327">
        <f>IF($K327="","",COUNTIFS(LdgPartyA,$F327,LdgKeyA,"&lt;"&amp;$K327)+COUNTIFS(LdgPartyB,$F327,LdgKeyB,"&lt;"&amp;$K327)+1)</f>
        <v/>
      </c>
      <c r="M327">
        <f>IF($L327="","",$F327&amp;"|"&amp;RIGHT("000000"&amp;$L327,6))</f>
        <v/>
      </c>
      <c r="N327">
        <f>IF($F327="","",IF(Sync!$AH327="","0000",IF(AND(ISNUMBER(Sync!$AH327),Sync!$AH327&gt;=0,Sync!$AH327&lt;1),RIGHT("00"&amp;HOUR(Sync!$AH327),2)&amp;RIGHT("00"&amp;MINUTE(Sync!$AH327),2),IFERROR(RIGHT("00"&amp;VALUE(LEFT(Sync!$AH327,FIND(":",Sync!$AH327)-1)),2)&amp;RIGHT("00"&amp;VALUE(MID(Sync!$AH327,FIND(":",Sync!$AH327)+1,2)),2),"0000"))))</f>
        <v/>
      </c>
    </row>
    <row r="328">
      <c r="A328">
        <f>IF(OR(Calc!$E331="",Calc!$E331="نامعتبر",Calc!$G331="",Calc!$I331&lt;&gt;"خرید"),"",Calc!$G331)</f>
        <v/>
      </c>
      <c r="B328">
        <f>IF($A328="","",LEFT(Calc!$E331,4)&amp;MID(Calc!$E331,6,2)&amp;RIGHT(Calc!$E331,2)&amp;Calc!$R331&amp;"|"&amp;"1"&amp;RIGHT("00000"&amp;323,5))</f>
        <v/>
      </c>
      <c r="C328">
        <f>IF($B328="","",COUNTIFS(LdgPartyA,$A328,LdgKeyA,"&lt;"&amp;$B328)+COUNTIFS(LdgPartyB,$A328,LdgKeyB,"&lt;"&amp;$B328)+1)</f>
        <v/>
      </c>
      <c r="D328">
        <f>IF($C328="","",$A328&amp;"|"&amp;RIGHT("000000"&amp;$C328,6))</f>
        <v/>
      </c>
      <c r="F328">
        <f>IF(Sync!$AJ328="","",Sync!$AJ328)</f>
        <v/>
      </c>
      <c r="G328">
        <f>IF($F328="","",IF(Sync!$AG328="","",IF(ISNUMBER(Sync!$AG328),IF(AND(Sync!$AG328&gt;=10000101,Sync!$AG328&lt;=99991231),INT(Sync!$AG328/10000),""),IFERROR(VALUE(TRIM(LEFT(Sync!$AG328,FIND("/",Sync!$AG328)-1))),""))))</f>
        <v/>
      </c>
      <c r="H328">
        <f>IF(OR($F328="",$G328=""),"",IF(ISNUMBER(Sync!$AG328),INT(MOD(Sync!$AG328,10000)/100),IFERROR(VALUE(TRIM(LEFT(MID(Sync!$AG328,FIND("/",Sync!$AG328)+1,20),FIND("/",MID(Sync!$AG328,FIND("/",Sync!$AG328)+1,20))-1))),"")))</f>
        <v/>
      </c>
      <c r="I328">
        <f>IF(OR($F328="",$G328=""),"",IF(ISNUMBER(Sync!$AG328),MOD(Sync!$AG328,100),IFERROR(VALUE(TRIM(MID(MID(Sync!$AG328,FIND("/",Sync!$AG328)+1,20),FIND("/",MID(Sync!$AG328,FIND("/",Sync!$AG328)+1,20))+1,20))),"")))</f>
        <v/>
      </c>
      <c r="J328">
        <f>IF($F328="","",IF(OR($G328="",$H328="",$I328="",$G328&lt;1300,$G328&gt;1500,$H328&lt;1,$H328&gt;12,$I328&lt;1,$I328&gt;31),"نامعتبر",RIGHT("0000"&amp;$G328,4)&amp;"/"&amp;RIGHT("00"&amp;$H328,2)&amp;"/"&amp;RIGHT("00"&amp;$I328,2)))</f>
        <v/>
      </c>
      <c r="K328">
        <f>IF(OR($F328="",$J328="",$J328="نامعتبر"),"",LEFT($J328,4)&amp;MID($J328,6,2)&amp;RIGHT($J328,2)&amp;$N328&amp;"|"&amp;"2"&amp;RIGHT("00000"&amp;323,5))</f>
        <v/>
      </c>
      <c r="L328">
        <f>IF($K328="","",COUNTIFS(LdgPartyA,$F328,LdgKeyA,"&lt;"&amp;$K328)+COUNTIFS(LdgPartyB,$F328,LdgKeyB,"&lt;"&amp;$K328)+1)</f>
        <v/>
      </c>
      <c r="M328">
        <f>IF($L328="","",$F328&amp;"|"&amp;RIGHT("000000"&amp;$L328,6))</f>
        <v/>
      </c>
      <c r="N328">
        <f>IF($F328="","",IF(Sync!$AH328="","0000",IF(AND(ISNUMBER(Sync!$AH328),Sync!$AH328&gt;=0,Sync!$AH328&lt;1),RIGHT("00"&amp;HOUR(Sync!$AH328),2)&amp;RIGHT("00"&amp;MINUTE(Sync!$AH328),2),IFERROR(RIGHT("00"&amp;VALUE(LEFT(Sync!$AH328,FIND(":",Sync!$AH328)-1)),2)&amp;RIGHT("00"&amp;VALUE(MID(Sync!$AH328,FIND(":",Sync!$AH328)+1,2)),2),"0000"))))</f>
        <v/>
      </c>
    </row>
    <row r="329">
      <c r="A329">
        <f>IF(OR(Calc!$E332="",Calc!$E332="نامعتبر",Calc!$G332="",Calc!$I332&lt;&gt;"خرید"),"",Calc!$G332)</f>
        <v/>
      </c>
      <c r="B329">
        <f>IF($A329="","",LEFT(Calc!$E332,4)&amp;MID(Calc!$E332,6,2)&amp;RIGHT(Calc!$E332,2)&amp;Calc!$R332&amp;"|"&amp;"1"&amp;RIGHT("00000"&amp;324,5))</f>
        <v/>
      </c>
      <c r="C329">
        <f>IF($B329="","",COUNTIFS(LdgPartyA,$A329,LdgKeyA,"&lt;"&amp;$B329)+COUNTIFS(LdgPartyB,$A329,LdgKeyB,"&lt;"&amp;$B329)+1)</f>
        <v/>
      </c>
      <c r="D329">
        <f>IF($C329="","",$A329&amp;"|"&amp;RIGHT("000000"&amp;$C329,6))</f>
        <v/>
      </c>
      <c r="F329">
        <f>IF(Sync!$AJ329="","",Sync!$AJ329)</f>
        <v/>
      </c>
      <c r="G329">
        <f>IF($F329="","",IF(Sync!$AG329="","",IF(ISNUMBER(Sync!$AG329),IF(AND(Sync!$AG329&gt;=10000101,Sync!$AG329&lt;=99991231),INT(Sync!$AG329/10000),""),IFERROR(VALUE(TRIM(LEFT(Sync!$AG329,FIND("/",Sync!$AG329)-1))),""))))</f>
        <v/>
      </c>
      <c r="H329">
        <f>IF(OR($F329="",$G329=""),"",IF(ISNUMBER(Sync!$AG329),INT(MOD(Sync!$AG329,10000)/100),IFERROR(VALUE(TRIM(LEFT(MID(Sync!$AG329,FIND("/",Sync!$AG329)+1,20),FIND("/",MID(Sync!$AG329,FIND("/",Sync!$AG329)+1,20))-1))),"")))</f>
        <v/>
      </c>
      <c r="I329">
        <f>IF(OR($F329="",$G329=""),"",IF(ISNUMBER(Sync!$AG329),MOD(Sync!$AG329,100),IFERROR(VALUE(TRIM(MID(MID(Sync!$AG329,FIND("/",Sync!$AG329)+1,20),FIND("/",MID(Sync!$AG329,FIND("/",Sync!$AG329)+1,20))+1,20))),"")))</f>
        <v/>
      </c>
      <c r="J329">
        <f>IF($F329="","",IF(OR($G329="",$H329="",$I329="",$G329&lt;1300,$G329&gt;1500,$H329&lt;1,$H329&gt;12,$I329&lt;1,$I329&gt;31),"نامعتبر",RIGHT("0000"&amp;$G329,4)&amp;"/"&amp;RIGHT("00"&amp;$H329,2)&amp;"/"&amp;RIGHT("00"&amp;$I329,2)))</f>
        <v/>
      </c>
      <c r="K329">
        <f>IF(OR($F329="",$J329="",$J329="نامعتبر"),"",LEFT($J329,4)&amp;MID($J329,6,2)&amp;RIGHT($J329,2)&amp;$N329&amp;"|"&amp;"2"&amp;RIGHT("00000"&amp;324,5))</f>
        <v/>
      </c>
      <c r="L329">
        <f>IF($K329="","",COUNTIFS(LdgPartyA,$F329,LdgKeyA,"&lt;"&amp;$K329)+COUNTIFS(LdgPartyB,$F329,LdgKeyB,"&lt;"&amp;$K329)+1)</f>
        <v/>
      </c>
      <c r="M329">
        <f>IF($L329="","",$F329&amp;"|"&amp;RIGHT("000000"&amp;$L329,6))</f>
        <v/>
      </c>
      <c r="N329">
        <f>IF($F329="","",IF(Sync!$AH329="","0000",IF(AND(ISNUMBER(Sync!$AH329),Sync!$AH329&gt;=0,Sync!$AH329&lt;1),RIGHT("00"&amp;HOUR(Sync!$AH329),2)&amp;RIGHT("00"&amp;MINUTE(Sync!$AH329),2),IFERROR(RIGHT("00"&amp;VALUE(LEFT(Sync!$AH329,FIND(":",Sync!$AH329)-1)),2)&amp;RIGHT("00"&amp;VALUE(MID(Sync!$AH329,FIND(":",Sync!$AH329)+1,2)),2),"0000"))))</f>
        <v/>
      </c>
    </row>
    <row r="330">
      <c r="A330">
        <f>IF(OR(Calc!$E333="",Calc!$E333="نامعتبر",Calc!$G333="",Calc!$I333&lt;&gt;"خرید"),"",Calc!$G333)</f>
        <v/>
      </c>
      <c r="B330">
        <f>IF($A330="","",LEFT(Calc!$E333,4)&amp;MID(Calc!$E333,6,2)&amp;RIGHT(Calc!$E333,2)&amp;Calc!$R333&amp;"|"&amp;"1"&amp;RIGHT("00000"&amp;325,5))</f>
        <v/>
      </c>
      <c r="C330">
        <f>IF($B330="","",COUNTIFS(LdgPartyA,$A330,LdgKeyA,"&lt;"&amp;$B330)+COUNTIFS(LdgPartyB,$A330,LdgKeyB,"&lt;"&amp;$B330)+1)</f>
        <v/>
      </c>
      <c r="D330">
        <f>IF($C330="","",$A330&amp;"|"&amp;RIGHT("000000"&amp;$C330,6))</f>
        <v/>
      </c>
      <c r="F330">
        <f>IF(Sync!$AJ330="","",Sync!$AJ330)</f>
        <v/>
      </c>
      <c r="G330">
        <f>IF($F330="","",IF(Sync!$AG330="","",IF(ISNUMBER(Sync!$AG330),IF(AND(Sync!$AG330&gt;=10000101,Sync!$AG330&lt;=99991231),INT(Sync!$AG330/10000),""),IFERROR(VALUE(TRIM(LEFT(Sync!$AG330,FIND("/",Sync!$AG330)-1))),""))))</f>
        <v/>
      </c>
      <c r="H330">
        <f>IF(OR($F330="",$G330=""),"",IF(ISNUMBER(Sync!$AG330),INT(MOD(Sync!$AG330,10000)/100),IFERROR(VALUE(TRIM(LEFT(MID(Sync!$AG330,FIND("/",Sync!$AG330)+1,20),FIND("/",MID(Sync!$AG330,FIND("/",Sync!$AG330)+1,20))-1))),"")))</f>
        <v/>
      </c>
      <c r="I330">
        <f>IF(OR($F330="",$G330=""),"",IF(ISNUMBER(Sync!$AG330),MOD(Sync!$AG330,100),IFERROR(VALUE(TRIM(MID(MID(Sync!$AG330,FIND("/",Sync!$AG330)+1,20),FIND("/",MID(Sync!$AG330,FIND("/",Sync!$AG330)+1,20))+1,20))),"")))</f>
        <v/>
      </c>
      <c r="J330">
        <f>IF($F330="","",IF(OR($G330="",$H330="",$I330="",$G330&lt;1300,$G330&gt;1500,$H330&lt;1,$H330&gt;12,$I330&lt;1,$I330&gt;31),"نامعتبر",RIGHT("0000"&amp;$G330,4)&amp;"/"&amp;RIGHT("00"&amp;$H330,2)&amp;"/"&amp;RIGHT("00"&amp;$I330,2)))</f>
        <v/>
      </c>
      <c r="K330">
        <f>IF(OR($F330="",$J330="",$J330="نامعتبر"),"",LEFT($J330,4)&amp;MID($J330,6,2)&amp;RIGHT($J330,2)&amp;$N330&amp;"|"&amp;"2"&amp;RIGHT("00000"&amp;325,5))</f>
        <v/>
      </c>
      <c r="L330">
        <f>IF($K330="","",COUNTIFS(LdgPartyA,$F330,LdgKeyA,"&lt;"&amp;$K330)+COUNTIFS(LdgPartyB,$F330,LdgKeyB,"&lt;"&amp;$K330)+1)</f>
        <v/>
      </c>
      <c r="M330">
        <f>IF($L330="","",$F330&amp;"|"&amp;RIGHT("000000"&amp;$L330,6))</f>
        <v/>
      </c>
      <c r="N330">
        <f>IF($F330="","",IF(Sync!$AH330="","0000",IF(AND(ISNUMBER(Sync!$AH330),Sync!$AH330&gt;=0,Sync!$AH330&lt;1),RIGHT("00"&amp;HOUR(Sync!$AH330),2)&amp;RIGHT("00"&amp;MINUTE(Sync!$AH330),2),IFERROR(RIGHT("00"&amp;VALUE(LEFT(Sync!$AH330,FIND(":",Sync!$AH330)-1)),2)&amp;RIGHT("00"&amp;VALUE(MID(Sync!$AH330,FIND(":",Sync!$AH330)+1,2)),2),"0000"))))</f>
        <v/>
      </c>
    </row>
    <row r="331">
      <c r="A331">
        <f>IF(OR(Calc!$E334="",Calc!$E334="نامعتبر",Calc!$G334="",Calc!$I334&lt;&gt;"خرید"),"",Calc!$G334)</f>
        <v/>
      </c>
      <c r="B331">
        <f>IF($A331="","",LEFT(Calc!$E334,4)&amp;MID(Calc!$E334,6,2)&amp;RIGHT(Calc!$E334,2)&amp;Calc!$R334&amp;"|"&amp;"1"&amp;RIGHT("00000"&amp;326,5))</f>
        <v/>
      </c>
      <c r="C331">
        <f>IF($B331="","",COUNTIFS(LdgPartyA,$A331,LdgKeyA,"&lt;"&amp;$B331)+COUNTIFS(LdgPartyB,$A331,LdgKeyB,"&lt;"&amp;$B331)+1)</f>
        <v/>
      </c>
      <c r="D331">
        <f>IF($C331="","",$A331&amp;"|"&amp;RIGHT("000000"&amp;$C331,6))</f>
        <v/>
      </c>
      <c r="F331">
        <f>IF(Sync!$AJ331="","",Sync!$AJ331)</f>
        <v/>
      </c>
      <c r="G331">
        <f>IF($F331="","",IF(Sync!$AG331="","",IF(ISNUMBER(Sync!$AG331),IF(AND(Sync!$AG331&gt;=10000101,Sync!$AG331&lt;=99991231),INT(Sync!$AG331/10000),""),IFERROR(VALUE(TRIM(LEFT(Sync!$AG331,FIND("/",Sync!$AG331)-1))),""))))</f>
        <v/>
      </c>
      <c r="H331">
        <f>IF(OR($F331="",$G331=""),"",IF(ISNUMBER(Sync!$AG331),INT(MOD(Sync!$AG331,10000)/100),IFERROR(VALUE(TRIM(LEFT(MID(Sync!$AG331,FIND("/",Sync!$AG331)+1,20),FIND("/",MID(Sync!$AG331,FIND("/",Sync!$AG331)+1,20))-1))),"")))</f>
        <v/>
      </c>
      <c r="I331">
        <f>IF(OR($F331="",$G331=""),"",IF(ISNUMBER(Sync!$AG331),MOD(Sync!$AG331,100),IFERROR(VALUE(TRIM(MID(MID(Sync!$AG331,FIND("/",Sync!$AG331)+1,20),FIND("/",MID(Sync!$AG331,FIND("/",Sync!$AG331)+1,20))+1,20))),"")))</f>
        <v/>
      </c>
      <c r="J331">
        <f>IF($F331="","",IF(OR($G331="",$H331="",$I331="",$G331&lt;1300,$G331&gt;1500,$H331&lt;1,$H331&gt;12,$I331&lt;1,$I331&gt;31),"نامعتبر",RIGHT("0000"&amp;$G331,4)&amp;"/"&amp;RIGHT("00"&amp;$H331,2)&amp;"/"&amp;RIGHT("00"&amp;$I331,2)))</f>
        <v/>
      </c>
      <c r="K331">
        <f>IF(OR($F331="",$J331="",$J331="نامعتبر"),"",LEFT($J331,4)&amp;MID($J331,6,2)&amp;RIGHT($J331,2)&amp;$N331&amp;"|"&amp;"2"&amp;RIGHT("00000"&amp;326,5))</f>
        <v/>
      </c>
      <c r="L331">
        <f>IF($K331="","",COUNTIFS(LdgPartyA,$F331,LdgKeyA,"&lt;"&amp;$K331)+COUNTIFS(LdgPartyB,$F331,LdgKeyB,"&lt;"&amp;$K331)+1)</f>
        <v/>
      </c>
      <c r="M331">
        <f>IF($L331="","",$F331&amp;"|"&amp;RIGHT("000000"&amp;$L331,6))</f>
        <v/>
      </c>
      <c r="N331">
        <f>IF($F331="","",IF(Sync!$AH331="","0000",IF(AND(ISNUMBER(Sync!$AH331),Sync!$AH331&gt;=0,Sync!$AH331&lt;1),RIGHT("00"&amp;HOUR(Sync!$AH331),2)&amp;RIGHT("00"&amp;MINUTE(Sync!$AH331),2),IFERROR(RIGHT("00"&amp;VALUE(LEFT(Sync!$AH331,FIND(":",Sync!$AH331)-1)),2)&amp;RIGHT("00"&amp;VALUE(MID(Sync!$AH331,FIND(":",Sync!$AH331)+1,2)),2),"0000"))))</f>
        <v/>
      </c>
    </row>
    <row r="332">
      <c r="A332">
        <f>IF(OR(Calc!$E335="",Calc!$E335="نامعتبر",Calc!$G335="",Calc!$I335&lt;&gt;"خرید"),"",Calc!$G335)</f>
        <v/>
      </c>
      <c r="B332">
        <f>IF($A332="","",LEFT(Calc!$E335,4)&amp;MID(Calc!$E335,6,2)&amp;RIGHT(Calc!$E335,2)&amp;Calc!$R335&amp;"|"&amp;"1"&amp;RIGHT("00000"&amp;327,5))</f>
        <v/>
      </c>
      <c r="C332">
        <f>IF($B332="","",COUNTIFS(LdgPartyA,$A332,LdgKeyA,"&lt;"&amp;$B332)+COUNTIFS(LdgPartyB,$A332,LdgKeyB,"&lt;"&amp;$B332)+1)</f>
        <v/>
      </c>
      <c r="D332">
        <f>IF($C332="","",$A332&amp;"|"&amp;RIGHT("000000"&amp;$C332,6))</f>
        <v/>
      </c>
      <c r="F332">
        <f>IF(Sync!$AJ332="","",Sync!$AJ332)</f>
        <v/>
      </c>
      <c r="G332">
        <f>IF($F332="","",IF(Sync!$AG332="","",IF(ISNUMBER(Sync!$AG332),IF(AND(Sync!$AG332&gt;=10000101,Sync!$AG332&lt;=99991231),INT(Sync!$AG332/10000),""),IFERROR(VALUE(TRIM(LEFT(Sync!$AG332,FIND("/",Sync!$AG332)-1))),""))))</f>
        <v/>
      </c>
      <c r="H332">
        <f>IF(OR($F332="",$G332=""),"",IF(ISNUMBER(Sync!$AG332),INT(MOD(Sync!$AG332,10000)/100),IFERROR(VALUE(TRIM(LEFT(MID(Sync!$AG332,FIND("/",Sync!$AG332)+1,20),FIND("/",MID(Sync!$AG332,FIND("/",Sync!$AG332)+1,20))-1))),"")))</f>
        <v/>
      </c>
      <c r="I332">
        <f>IF(OR($F332="",$G332=""),"",IF(ISNUMBER(Sync!$AG332),MOD(Sync!$AG332,100),IFERROR(VALUE(TRIM(MID(MID(Sync!$AG332,FIND("/",Sync!$AG332)+1,20),FIND("/",MID(Sync!$AG332,FIND("/",Sync!$AG332)+1,20))+1,20))),"")))</f>
        <v/>
      </c>
      <c r="J332">
        <f>IF($F332="","",IF(OR($G332="",$H332="",$I332="",$G332&lt;1300,$G332&gt;1500,$H332&lt;1,$H332&gt;12,$I332&lt;1,$I332&gt;31),"نامعتبر",RIGHT("0000"&amp;$G332,4)&amp;"/"&amp;RIGHT("00"&amp;$H332,2)&amp;"/"&amp;RIGHT("00"&amp;$I332,2)))</f>
        <v/>
      </c>
      <c r="K332">
        <f>IF(OR($F332="",$J332="",$J332="نامعتبر"),"",LEFT($J332,4)&amp;MID($J332,6,2)&amp;RIGHT($J332,2)&amp;$N332&amp;"|"&amp;"2"&amp;RIGHT("00000"&amp;327,5))</f>
        <v/>
      </c>
      <c r="L332">
        <f>IF($K332="","",COUNTIFS(LdgPartyA,$F332,LdgKeyA,"&lt;"&amp;$K332)+COUNTIFS(LdgPartyB,$F332,LdgKeyB,"&lt;"&amp;$K332)+1)</f>
        <v/>
      </c>
      <c r="M332">
        <f>IF($L332="","",$F332&amp;"|"&amp;RIGHT("000000"&amp;$L332,6))</f>
        <v/>
      </c>
      <c r="N332">
        <f>IF($F332="","",IF(Sync!$AH332="","0000",IF(AND(ISNUMBER(Sync!$AH332),Sync!$AH332&gt;=0,Sync!$AH332&lt;1),RIGHT("00"&amp;HOUR(Sync!$AH332),2)&amp;RIGHT("00"&amp;MINUTE(Sync!$AH332),2),IFERROR(RIGHT("00"&amp;VALUE(LEFT(Sync!$AH332,FIND(":",Sync!$AH332)-1)),2)&amp;RIGHT("00"&amp;VALUE(MID(Sync!$AH332,FIND(":",Sync!$AH332)+1,2)),2),"0000"))))</f>
        <v/>
      </c>
    </row>
    <row r="333">
      <c r="A333">
        <f>IF(OR(Calc!$E336="",Calc!$E336="نامعتبر",Calc!$G336="",Calc!$I336&lt;&gt;"خرید"),"",Calc!$G336)</f>
        <v/>
      </c>
      <c r="B333">
        <f>IF($A333="","",LEFT(Calc!$E336,4)&amp;MID(Calc!$E336,6,2)&amp;RIGHT(Calc!$E336,2)&amp;Calc!$R336&amp;"|"&amp;"1"&amp;RIGHT("00000"&amp;328,5))</f>
        <v/>
      </c>
      <c r="C333">
        <f>IF($B333="","",COUNTIFS(LdgPartyA,$A333,LdgKeyA,"&lt;"&amp;$B333)+COUNTIFS(LdgPartyB,$A333,LdgKeyB,"&lt;"&amp;$B333)+1)</f>
        <v/>
      </c>
      <c r="D333">
        <f>IF($C333="","",$A333&amp;"|"&amp;RIGHT("000000"&amp;$C333,6))</f>
        <v/>
      </c>
      <c r="F333">
        <f>IF(Sync!$AJ333="","",Sync!$AJ333)</f>
        <v/>
      </c>
      <c r="G333">
        <f>IF($F333="","",IF(Sync!$AG333="","",IF(ISNUMBER(Sync!$AG333),IF(AND(Sync!$AG333&gt;=10000101,Sync!$AG333&lt;=99991231),INT(Sync!$AG333/10000),""),IFERROR(VALUE(TRIM(LEFT(Sync!$AG333,FIND("/",Sync!$AG333)-1))),""))))</f>
        <v/>
      </c>
      <c r="H333">
        <f>IF(OR($F333="",$G333=""),"",IF(ISNUMBER(Sync!$AG333),INT(MOD(Sync!$AG333,10000)/100),IFERROR(VALUE(TRIM(LEFT(MID(Sync!$AG333,FIND("/",Sync!$AG333)+1,20),FIND("/",MID(Sync!$AG333,FIND("/",Sync!$AG333)+1,20))-1))),"")))</f>
        <v/>
      </c>
      <c r="I333">
        <f>IF(OR($F333="",$G333=""),"",IF(ISNUMBER(Sync!$AG333),MOD(Sync!$AG333,100),IFERROR(VALUE(TRIM(MID(MID(Sync!$AG333,FIND("/",Sync!$AG333)+1,20),FIND("/",MID(Sync!$AG333,FIND("/",Sync!$AG333)+1,20))+1,20))),"")))</f>
        <v/>
      </c>
      <c r="J333">
        <f>IF($F333="","",IF(OR($G333="",$H333="",$I333="",$G333&lt;1300,$G333&gt;1500,$H333&lt;1,$H333&gt;12,$I333&lt;1,$I333&gt;31),"نامعتبر",RIGHT("0000"&amp;$G333,4)&amp;"/"&amp;RIGHT("00"&amp;$H333,2)&amp;"/"&amp;RIGHT("00"&amp;$I333,2)))</f>
        <v/>
      </c>
      <c r="K333">
        <f>IF(OR($F333="",$J333="",$J333="نامعتبر"),"",LEFT($J333,4)&amp;MID($J333,6,2)&amp;RIGHT($J333,2)&amp;$N333&amp;"|"&amp;"2"&amp;RIGHT("00000"&amp;328,5))</f>
        <v/>
      </c>
      <c r="L333">
        <f>IF($K333="","",COUNTIFS(LdgPartyA,$F333,LdgKeyA,"&lt;"&amp;$K333)+COUNTIFS(LdgPartyB,$F333,LdgKeyB,"&lt;"&amp;$K333)+1)</f>
        <v/>
      </c>
      <c r="M333">
        <f>IF($L333="","",$F333&amp;"|"&amp;RIGHT("000000"&amp;$L333,6))</f>
        <v/>
      </c>
      <c r="N333">
        <f>IF($F333="","",IF(Sync!$AH333="","0000",IF(AND(ISNUMBER(Sync!$AH333),Sync!$AH333&gt;=0,Sync!$AH333&lt;1),RIGHT("00"&amp;HOUR(Sync!$AH333),2)&amp;RIGHT("00"&amp;MINUTE(Sync!$AH333),2),IFERROR(RIGHT("00"&amp;VALUE(LEFT(Sync!$AH333,FIND(":",Sync!$AH333)-1)),2)&amp;RIGHT("00"&amp;VALUE(MID(Sync!$AH333,FIND(":",Sync!$AH333)+1,2)),2),"0000"))))</f>
        <v/>
      </c>
    </row>
    <row r="334">
      <c r="A334">
        <f>IF(OR(Calc!$E337="",Calc!$E337="نامعتبر",Calc!$G337="",Calc!$I337&lt;&gt;"خرید"),"",Calc!$G337)</f>
        <v/>
      </c>
      <c r="B334">
        <f>IF($A334="","",LEFT(Calc!$E337,4)&amp;MID(Calc!$E337,6,2)&amp;RIGHT(Calc!$E337,2)&amp;Calc!$R337&amp;"|"&amp;"1"&amp;RIGHT("00000"&amp;329,5))</f>
        <v/>
      </c>
      <c r="C334">
        <f>IF($B334="","",COUNTIFS(LdgPartyA,$A334,LdgKeyA,"&lt;"&amp;$B334)+COUNTIFS(LdgPartyB,$A334,LdgKeyB,"&lt;"&amp;$B334)+1)</f>
        <v/>
      </c>
      <c r="D334">
        <f>IF($C334="","",$A334&amp;"|"&amp;RIGHT("000000"&amp;$C334,6))</f>
        <v/>
      </c>
      <c r="F334">
        <f>IF(Sync!$AJ334="","",Sync!$AJ334)</f>
        <v/>
      </c>
      <c r="G334">
        <f>IF($F334="","",IF(Sync!$AG334="","",IF(ISNUMBER(Sync!$AG334),IF(AND(Sync!$AG334&gt;=10000101,Sync!$AG334&lt;=99991231),INT(Sync!$AG334/10000),""),IFERROR(VALUE(TRIM(LEFT(Sync!$AG334,FIND("/",Sync!$AG334)-1))),""))))</f>
        <v/>
      </c>
      <c r="H334">
        <f>IF(OR($F334="",$G334=""),"",IF(ISNUMBER(Sync!$AG334),INT(MOD(Sync!$AG334,10000)/100),IFERROR(VALUE(TRIM(LEFT(MID(Sync!$AG334,FIND("/",Sync!$AG334)+1,20),FIND("/",MID(Sync!$AG334,FIND("/",Sync!$AG334)+1,20))-1))),"")))</f>
        <v/>
      </c>
      <c r="I334">
        <f>IF(OR($F334="",$G334=""),"",IF(ISNUMBER(Sync!$AG334),MOD(Sync!$AG334,100),IFERROR(VALUE(TRIM(MID(MID(Sync!$AG334,FIND("/",Sync!$AG334)+1,20),FIND("/",MID(Sync!$AG334,FIND("/",Sync!$AG334)+1,20))+1,20))),"")))</f>
        <v/>
      </c>
      <c r="J334">
        <f>IF($F334="","",IF(OR($G334="",$H334="",$I334="",$G334&lt;1300,$G334&gt;1500,$H334&lt;1,$H334&gt;12,$I334&lt;1,$I334&gt;31),"نامعتبر",RIGHT("0000"&amp;$G334,4)&amp;"/"&amp;RIGHT("00"&amp;$H334,2)&amp;"/"&amp;RIGHT("00"&amp;$I334,2)))</f>
        <v/>
      </c>
      <c r="K334">
        <f>IF(OR($F334="",$J334="",$J334="نامعتبر"),"",LEFT($J334,4)&amp;MID($J334,6,2)&amp;RIGHT($J334,2)&amp;$N334&amp;"|"&amp;"2"&amp;RIGHT("00000"&amp;329,5))</f>
        <v/>
      </c>
      <c r="L334">
        <f>IF($K334="","",COUNTIFS(LdgPartyA,$F334,LdgKeyA,"&lt;"&amp;$K334)+COUNTIFS(LdgPartyB,$F334,LdgKeyB,"&lt;"&amp;$K334)+1)</f>
        <v/>
      </c>
      <c r="M334">
        <f>IF($L334="","",$F334&amp;"|"&amp;RIGHT("000000"&amp;$L334,6))</f>
        <v/>
      </c>
      <c r="N334">
        <f>IF($F334="","",IF(Sync!$AH334="","0000",IF(AND(ISNUMBER(Sync!$AH334),Sync!$AH334&gt;=0,Sync!$AH334&lt;1),RIGHT("00"&amp;HOUR(Sync!$AH334),2)&amp;RIGHT("00"&amp;MINUTE(Sync!$AH334),2),IFERROR(RIGHT("00"&amp;VALUE(LEFT(Sync!$AH334,FIND(":",Sync!$AH334)-1)),2)&amp;RIGHT("00"&amp;VALUE(MID(Sync!$AH334,FIND(":",Sync!$AH334)+1,2)),2),"0000"))))</f>
        <v/>
      </c>
    </row>
    <row r="335">
      <c r="A335">
        <f>IF(OR(Calc!$E338="",Calc!$E338="نامعتبر",Calc!$G338="",Calc!$I338&lt;&gt;"خرید"),"",Calc!$G338)</f>
        <v/>
      </c>
      <c r="B335">
        <f>IF($A335="","",LEFT(Calc!$E338,4)&amp;MID(Calc!$E338,6,2)&amp;RIGHT(Calc!$E338,2)&amp;Calc!$R338&amp;"|"&amp;"1"&amp;RIGHT("00000"&amp;330,5))</f>
        <v/>
      </c>
      <c r="C335">
        <f>IF($B335="","",COUNTIFS(LdgPartyA,$A335,LdgKeyA,"&lt;"&amp;$B335)+COUNTIFS(LdgPartyB,$A335,LdgKeyB,"&lt;"&amp;$B335)+1)</f>
        <v/>
      </c>
      <c r="D335">
        <f>IF($C335="","",$A335&amp;"|"&amp;RIGHT("000000"&amp;$C335,6))</f>
        <v/>
      </c>
      <c r="F335">
        <f>IF(Sync!$AJ335="","",Sync!$AJ335)</f>
        <v/>
      </c>
      <c r="G335">
        <f>IF($F335="","",IF(Sync!$AG335="","",IF(ISNUMBER(Sync!$AG335),IF(AND(Sync!$AG335&gt;=10000101,Sync!$AG335&lt;=99991231),INT(Sync!$AG335/10000),""),IFERROR(VALUE(TRIM(LEFT(Sync!$AG335,FIND("/",Sync!$AG335)-1))),""))))</f>
        <v/>
      </c>
      <c r="H335">
        <f>IF(OR($F335="",$G335=""),"",IF(ISNUMBER(Sync!$AG335),INT(MOD(Sync!$AG335,10000)/100),IFERROR(VALUE(TRIM(LEFT(MID(Sync!$AG335,FIND("/",Sync!$AG335)+1,20),FIND("/",MID(Sync!$AG335,FIND("/",Sync!$AG335)+1,20))-1))),"")))</f>
        <v/>
      </c>
      <c r="I335">
        <f>IF(OR($F335="",$G335=""),"",IF(ISNUMBER(Sync!$AG335),MOD(Sync!$AG335,100),IFERROR(VALUE(TRIM(MID(MID(Sync!$AG335,FIND("/",Sync!$AG335)+1,20),FIND("/",MID(Sync!$AG335,FIND("/",Sync!$AG335)+1,20))+1,20))),"")))</f>
        <v/>
      </c>
      <c r="J335">
        <f>IF($F335="","",IF(OR($G335="",$H335="",$I335="",$G335&lt;1300,$G335&gt;1500,$H335&lt;1,$H335&gt;12,$I335&lt;1,$I335&gt;31),"نامعتبر",RIGHT("0000"&amp;$G335,4)&amp;"/"&amp;RIGHT("00"&amp;$H335,2)&amp;"/"&amp;RIGHT("00"&amp;$I335,2)))</f>
        <v/>
      </c>
      <c r="K335">
        <f>IF(OR($F335="",$J335="",$J335="نامعتبر"),"",LEFT($J335,4)&amp;MID($J335,6,2)&amp;RIGHT($J335,2)&amp;$N335&amp;"|"&amp;"2"&amp;RIGHT("00000"&amp;330,5))</f>
        <v/>
      </c>
      <c r="L335">
        <f>IF($K335="","",COUNTIFS(LdgPartyA,$F335,LdgKeyA,"&lt;"&amp;$K335)+COUNTIFS(LdgPartyB,$F335,LdgKeyB,"&lt;"&amp;$K335)+1)</f>
        <v/>
      </c>
      <c r="M335">
        <f>IF($L335="","",$F335&amp;"|"&amp;RIGHT("000000"&amp;$L335,6))</f>
        <v/>
      </c>
      <c r="N335">
        <f>IF($F335="","",IF(Sync!$AH335="","0000",IF(AND(ISNUMBER(Sync!$AH335),Sync!$AH335&gt;=0,Sync!$AH335&lt;1),RIGHT("00"&amp;HOUR(Sync!$AH335),2)&amp;RIGHT("00"&amp;MINUTE(Sync!$AH335),2),IFERROR(RIGHT("00"&amp;VALUE(LEFT(Sync!$AH335,FIND(":",Sync!$AH335)-1)),2)&amp;RIGHT("00"&amp;VALUE(MID(Sync!$AH335,FIND(":",Sync!$AH335)+1,2)),2),"0000"))))</f>
        <v/>
      </c>
    </row>
    <row r="336">
      <c r="A336">
        <f>IF(OR(Calc!$E339="",Calc!$E339="نامعتبر",Calc!$G339="",Calc!$I339&lt;&gt;"خرید"),"",Calc!$G339)</f>
        <v/>
      </c>
      <c r="B336">
        <f>IF($A336="","",LEFT(Calc!$E339,4)&amp;MID(Calc!$E339,6,2)&amp;RIGHT(Calc!$E339,2)&amp;Calc!$R339&amp;"|"&amp;"1"&amp;RIGHT("00000"&amp;331,5))</f>
        <v/>
      </c>
      <c r="C336">
        <f>IF($B336="","",COUNTIFS(LdgPartyA,$A336,LdgKeyA,"&lt;"&amp;$B336)+COUNTIFS(LdgPartyB,$A336,LdgKeyB,"&lt;"&amp;$B336)+1)</f>
        <v/>
      </c>
      <c r="D336">
        <f>IF($C336="","",$A336&amp;"|"&amp;RIGHT("000000"&amp;$C336,6))</f>
        <v/>
      </c>
      <c r="F336">
        <f>IF(Sync!$AJ336="","",Sync!$AJ336)</f>
        <v/>
      </c>
      <c r="G336">
        <f>IF($F336="","",IF(Sync!$AG336="","",IF(ISNUMBER(Sync!$AG336),IF(AND(Sync!$AG336&gt;=10000101,Sync!$AG336&lt;=99991231),INT(Sync!$AG336/10000),""),IFERROR(VALUE(TRIM(LEFT(Sync!$AG336,FIND("/",Sync!$AG336)-1))),""))))</f>
        <v/>
      </c>
      <c r="H336">
        <f>IF(OR($F336="",$G336=""),"",IF(ISNUMBER(Sync!$AG336),INT(MOD(Sync!$AG336,10000)/100),IFERROR(VALUE(TRIM(LEFT(MID(Sync!$AG336,FIND("/",Sync!$AG336)+1,20),FIND("/",MID(Sync!$AG336,FIND("/",Sync!$AG336)+1,20))-1))),"")))</f>
        <v/>
      </c>
      <c r="I336">
        <f>IF(OR($F336="",$G336=""),"",IF(ISNUMBER(Sync!$AG336),MOD(Sync!$AG336,100),IFERROR(VALUE(TRIM(MID(MID(Sync!$AG336,FIND("/",Sync!$AG336)+1,20),FIND("/",MID(Sync!$AG336,FIND("/",Sync!$AG336)+1,20))+1,20))),"")))</f>
        <v/>
      </c>
      <c r="J336">
        <f>IF($F336="","",IF(OR($G336="",$H336="",$I336="",$G336&lt;1300,$G336&gt;1500,$H336&lt;1,$H336&gt;12,$I336&lt;1,$I336&gt;31),"نامعتبر",RIGHT("0000"&amp;$G336,4)&amp;"/"&amp;RIGHT("00"&amp;$H336,2)&amp;"/"&amp;RIGHT("00"&amp;$I336,2)))</f>
        <v/>
      </c>
      <c r="K336">
        <f>IF(OR($F336="",$J336="",$J336="نامعتبر"),"",LEFT($J336,4)&amp;MID($J336,6,2)&amp;RIGHT($J336,2)&amp;$N336&amp;"|"&amp;"2"&amp;RIGHT("00000"&amp;331,5))</f>
        <v/>
      </c>
      <c r="L336">
        <f>IF($K336="","",COUNTIFS(LdgPartyA,$F336,LdgKeyA,"&lt;"&amp;$K336)+COUNTIFS(LdgPartyB,$F336,LdgKeyB,"&lt;"&amp;$K336)+1)</f>
        <v/>
      </c>
      <c r="M336">
        <f>IF($L336="","",$F336&amp;"|"&amp;RIGHT("000000"&amp;$L336,6))</f>
        <v/>
      </c>
      <c r="N336">
        <f>IF($F336="","",IF(Sync!$AH336="","0000",IF(AND(ISNUMBER(Sync!$AH336),Sync!$AH336&gt;=0,Sync!$AH336&lt;1),RIGHT("00"&amp;HOUR(Sync!$AH336),2)&amp;RIGHT("00"&amp;MINUTE(Sync!$AH336),2),IFERROR(RIGHT("00"&amp;VALUE(LEFT(Sync!$AH336,FIND(":",Sync!$AH336)-1)),2)&amp;RIGHT("00"&amp;VALUE(MID(Sync!$AH336,FIND(":",Sync!$AH336)+1,2)),2),"0000"))))</f>
        <v/>
      </c>
    </row>
    <row r="337">
      <c r="A337">
        <f>IF(OR(Calc!$E340="",Calc!$E340="نامعتبر",Calc!$G340="",Calc!$I340&lt;&gt;"خرید"),"",Calc!$G340)</f>
        <v/>
      </c>
      <c r="B337">
        <f>IF($A337="","",LEFT(Calc!$E340,4)&amp;MID(Calc!$E340,6,2)&amp;RIGHT(Calc!$E340,2)&amp;Calc!$R340&amp;"|"&amp;"1"&amp;RIGHT("00000"&amp;332,5))</f>
        <v/>
      </c>
      <c r="C337">
        <f>IF($B337="","",COUNTIFS(LdgPartyA,$A337,LdgKeyA,"&lt;"&amp;$B337)+COUNTIFS(LdgPartyB,$A337,LdgKeyB,"&lt;"&amp;$B337)+1)</f>
        <v/>
      </c>
      <c r="D337">
        <f>IF($C337="","",$A337&amp;"|"&amp;RIGHT("000000"&amp;$C337,6))</f>
        <v/>
      </c>
      <c r="F337">
        <f>IF(Sync!$AJ337="","",Sync!$AJ337)</f>
        <v/>
      </c>
      <c r="G337">
        <f>IF($F337="","",IF(Sync!$AG337="","",IF(ISNUMBER(Sync!$AG337),IF(AND(Sync!$AG337&gt;=10000101,Sync!$AG337&lt;=99991231),INT(Sync!$AG337/10000),""),IFERROR(VALUE(TRIM(LEFT(Sync!$AG337,FIND("/",Sync!$AG337)-1))),""))))</f>
        <v/>
      </c>
      <c r="H337">
        <f>IF(OR($F337="",$G337=""),"",IF(ISNUMBER(Sync!$AG337),INT(MOD(Sync!$AG337,10000)/100),IFERROR(VALUE(TRIM(LEFT(MID(Sync!$AG337,FIND("/",Sync!$AG337)+1,20),FIND("/",MID(Sync!$AG337,FIND("/",Sync!$AG337)+1,20))-1))),"")))</f>
        <v/>
      </c>
      <c r="I337">
        <f>IF(OR($F337="",$G337=""),"",IF(ISNUMBER(Sync!$AG337),MOD(Sync!$AG337,100),IFERROR(VALUE(TRIM(MID(MID(Sync!$AG337,FIND("/",Sync!$AG337)+1,20),FIND("/",MID(Sync!$AG337,FIND("/",Sync!$AG337)+1,20))+1,20))),"")))</f>
        <v/>
      </c>
      <c r="J337">
        <f>IF($F337="","",IF(OR($G337="",$H337="",$I337="",$G337&lt;1300,$G337&gt;1500,$H337&lt;1,$H337&gt;12,$I337&lt;1,$I337&gt;31),"نامعتبر",RIGHT("0000"&amp;$G337,4)&amp;"/"&amp;RIGHT("00"&amp;$H337,2)&amp;"/"&amp;RIGHT("00"&amp;$I337,2)))</f>
        <v/>
      </c>
      <c r="K337">
        <f>IF(OR($F337="",$J337="",$J337="نامعتبر"),"",LEFT($J337,4)&amp;MID($J337,6,2)&amp;RIGHT($J337,2)&amp;$N337&amp;"|"&amp;"2"&amp;RIGHT("00000"&amp;332,5))</f>
        <v/>
      </c>
      <c r="L337">
        <f>IF($K337="","",COUNTIFS(LdgPartyA,$F337,LdgKeyA,"&lt;"&amp;$K337)+COUNTIFS(LdgPartyB,$F337,LdgKeyB,"&lt;"&amp;$K337)+1)</f>
        <v/>
      </c>
      <c r="M337">
        <f>IF($L337="","",$F337&amp;"|"&amp;RIGHT("000000"&amp;$L337,6))</f>
        <v/>
      </c>
      <c r="N337">
        <f>IF($F337="","",IF(Sync!$AH337="","0000",IF(AND(ISNUMBER(Sync!$AH337),Sync!$AH337&gt;=0,Sync!$AH337&lt;1),RIGHT("00"&amp;HOUR(Sync!$AH337),2)&amp;RIGHT("00"&amp;MINUTE(Sync!$AH337),2),IFERROR(RIGHT("00"&amp;VALUE(LEFT(Sync!$AH337,FIND(":",Sync!$AH337)-1)),2)&amp;RIGHT("00"&amp;VALUE(MID(Sync!$AH337,FIND(":",Sync!$AH337)+1,2)),2),"0000"))))</f>
        <v/>
      </c>
    </row>
    <row r="338">
      <c r="A338">
        <f>IF(OR(Calc!$E341="",Calc!$E341="نامعتبر",Calc!$G341="",Calc!$I341&lt;&gt;"خرید"),"",Calc!$G341)</f>
        <v/>
      </c>
      <c r="B338">
        <f>IF($A338="","",LEFT(Calc!$E341,4)&amp;MID(Calc!$E341,6,2)&amp;RIGHT(Calc!$E341,2)&amp;Calc!$R341&amp;"|"&amp;"1"&amp;RIGHT("00000"&amp;333,5))</f>
        <v/>
      </c>
      <c r="C338">
        <f>IF($B338="","",COUNTIFS(LdgPartyA,$A338,LdgKeyA,"&lt;"&amp;$B338)+COUNTIFS(LdgPartyB,$A338,LdgKeyB,"&lt;"&amp;$B338)+1)</f>
        <v/>
      </c>
      <c r="D338">
        <f>IF($C338="","",$A338&amp;"|"&amp;RIGHT("000000"&amp;$C338,6))</f>
        <v/>
      </c>
      <c r="F338">
        <f>IF(Sync!$AJ338="","",Sync!$AJ338)</f>
        <v/>
      </c>
      <c r="G338">
        <f>IF($F338="","",IF(Sync!$AG338="","",IF(ISNUMBER(Sync!$AG338),IF(AND(Sync!$AG338&gt;=10000101,Sync!$AG338&lt;=99991231),INT(Sync!$AG338/10000),""),IFERROR(VALUE(TRIM(LEFT(Sync!$AG338,FIND("/",Sync!$AG338)-1))),""))))</f>
        <v/>
      </c>
      <c r="H338">
        <f>IF(OR($F338="",$G338=""),"",IF(ISNUMBER(Sync!$AG338),INT(MOD(Sync!$AG338,10000)/100),IFERROR(VALUE(TRIM(LEFT(MID(Sync!$AG338,FIND("/",Sync!$AG338)+1,20),FIND("/",MID(Sync!$AG338,FIND("/",Sync!$AG338)+1,20))-1))),"")))</f>
        <v/>
      </c>
      <c r="I338">
        <f>IF(OR($F338="",$G338=""),"",IF(ISNUMBER(Sync!$AG338),MOD(Sync!$AG338,100),IFERROR(VALUE(TRIM(MID(MID(Sync!$AG338,FIND("/",Sync!$AG338)+1,20),FIND("/",MID(Sync!$AG338,FIND("/",Sync!$AG338)+1,20))+1,20))),"")))</f>
        <v/>
      </c>
      <c r="J338">
        <f>IF($F338="","",IF(OR($G338="",$H338="",$I338="",$G338&lt;1300,$G338&gt;1500,$H338&lt;1,$H338&gt;12,$I338&lt;1,$I338&gt;31),"نامعتبر",RIGHT("0000"&amp;$G338,4)&amp;"/"&amp;RIGHT("00"&amp;$H338,2)&amp;"/"&amp;RIGHT("00"&amp;$I338,2)))</f>
        <v/>
      </c>
      <c r="K338">
        <f>IF(OR($F338="",$J338="",$J338="نامعتبر"),"",LEFT($J338,4)&amp;MID($J338,6,2)&amp;RIGHT($J338,2)&amp;$N338&amp;"|"&amp;"2"&amp;RIGHT("00000"&amp;333,5))</f>
        <v/>
      </c>
      <c r="L338">
        <f>IF($K338="","",COUNTIFS(LdgPartyA,$F338,LdgKeyA,"&lt;"&amp;$K338)+COUNTIFS(LdgPartyB,$F338,LdgKeyB,"&lt;"&amp;$K338)+1)</f>
        <v/>
      </c>
      <c r="M338">
        <f>IF($L338="","",$F338&amp;"|"&amp;RIGHT("000000"&amp;$L338,6))</f>
        <v/>
      </c>
      <c r="N338">
        <f>IF($F338="","",IF(Sync!$AH338="","0000",IF(AND(ISNUMBER(Sync!$AH338),Sync!$AH338&gt;=0,Sync!$AH338&lt;1),RIGHT("00"&amp;HOUR(Sync!$AH338),2)&amp;RIGHT("00"&amp;MINUTE(Sync!$AH338),2),IFERROR(RIGHT("00"&amp;VALUE(LEFT(Sync!$AH338,FIND(":",Sync!$AH338)-1)),2)&amp;RIGHT("00"&amp;VALUE(MID(Sync!$AH338,FIND(":",Sync!$AH338)+1,2)),2),"0000"))))</f>
        <v/>
      </c>
    </row>
    <row r="339">
      <c r="A339">
        <f>IF(OR(Calc!$E342="",Calc!$E342="نامعتبر",Calc!$G342="",Calc!$I342&lt;&gt;"خرید"),"",Calc!$G342)</f>
        <v/>
      </c>
      <c r="B339">
        <f>IF($A339="","",LEFT(Calc!$E342,4)&amp;MID(Calc!$E342,6,2)&amp;RIGHT(Calc!$E342,2)&amp;Calc!$R342&amp;"|"&amp;"1"&amp;RIGHT("00000"&amp;334,5))</f>
        <v/>
      </c>
      <c r="C339">
        <f>IF($B339="","",COUNTIFS(LdgPartyA,$A339,LdgKeyA,"&lt;"&amp;$B339)+COUNTIFS(LdgPartyB,$A339,LdgKeyB,"&lt;"&amp;$B339)+1)</f>
        <v/>
      </c>
      <c r="D339">
        <f>IF($C339="","",$A339&amp;"|"&amp;RIGHT("000000"&amp;$C339,6))</f>
        <v/>
      </c>
      <c r="F339">
        <f>IF(Sync!$AJ339="","",Sync!$AJ339)</f>
        <v/>
      </c>
      <c r="G339">
        <f>IF($F339="","",IF(Sync!$AG339="","",IF(ISNUMBER(Sync!$AG339),IF(AND(Sync!$AG339&gt;=10000101,Sync!$AG339&lt;=99991231),INT(Sync!$AG339/10000),""),IFERROR(VALUE(TRIM(LEFT(Sync!$AG339,FIND("/",Sync!$AG339)-1))),""))))</f>
        <v/>
      </c>
      <c r="H339">
        <f>IF(OR($F339="",$G339=""),"",IF(ISNUMBER(Sync!$AG339),INT(MOD(Sync!$AG339,10000)/100),IFERROR(VALUE(TRIM(LEFT(MID(Sync!$AG339,FIND("/",Sync!$AG339)+1,20),FIND("/",MID(Sync!$AG339,FIND("/",Sync!$AG339)+1,20))-1))),"")))</f>
        <v/>
      </c>
      <c r="I339">
        <f>IF(OR($F339="",$G339=""),"",IF(ISNUMBER(Sync!$AG339),MOD(Sync!$AG339,100),IFERROR(VALUE(TRIM(MID(MID(Sync!$AG339,FIND("/",Sync!$AG339)+1,20),FIND("/",MID(Sync!$AG339,FIND("/",Sync!$AG339)+1,20))+1,20))),"")))</f>
        <v/>
      </c>
      <c r="J339">
        <f>IF($F339="","",IF(OR($G339="",$H339="",$I339="",$G339&lt;1300,$G339&gt;1500,$H339&lt;1,$H339&gt;12,$I339&lt;1,$I339&gt;31),"نامعتبر",RIGHT("0000"&amp;$G339,4)&amp;"/"&amp;RIGHT("00"&amp;$H339,2)&amp;"/"&amp;RIGHT("00"&amp;$I339,2)))</f>
        <v/>
      </c>
      <c r="K339">
        <f>IF(OR($F339="",$J339="",$J339="نامعتبر"),"",LEFT($J339,4)&amp;MID($J339,6,2)&amp;RIGHT($J339,2)&amp;$N339&amp;"|"&amp;"2"&amp;RIGHT("00000"&amp;334,5))</f>
        <v/>
      </c>
      <c r="L339">
        <f>IF($K339="","",COUNTIFS(LdgPartyA,$F339,LdgKeyA,"&lt;"&amp;$K339)+COUNTIFS(LdgPartyB,$F339,LdgKeyB,"&lt;"&amp;$K339)+1)</f>
        <v/>
      </c>
      <c r="M339">
        <f>IF($L339="","",$F339&amp;"|"&amp;RIGHT("000000"&amp;$L339,6))</f>
        <v/>
      </c>
      <c r="N339">
        <f>IF($F339="","",IF(Sync!$AH339="","0000",IF(AND(ISNUMBER(Sync!$AH339),Sync!$AH339&gt;=0,Sync!$AH339&lt;1),RIGHT("00"&amp;HOUR(Sync!$AH339),2)&amp;RIGHT("00"&amp;MINUTE(Sync!$AH339),2),IFERROR(RIGHT("00"&amp;VALUE(LEFT(Sync!$AH339,FIND(":",Sync!$AH339)-1)),2)&amp;RIGHT("00"&amp;VALUE(MID(Sync!$AH339,FIND(":",Sync!$AH339)+1,2)),2),"0000"))))</f>
        <v/>
      </c>
    </row>
    <row r="340">
      <c r="A340">
        <f>IF(OR(Calc!$E343="",Calc!$E343="نامعتبر",Calc!$G343="",Calc!$I343&lt;&gt;"خرید"),"",Calc!$G343)</f>
        <v/>
      </c>
      <c r="B340">
        <f>IF($A340="","",LEFT(Calc!$E343,4)&amp;MID(Calc!$E343,6,2)&amp;RIGHT(Calc!$E343,2)&amp;Calc!$R343&amp;"|"&amp;"1"&amp;RIGHT("00000"&amp;335,5))</f>
        <v/>
      </c>
      <c r="C340">
        <f>IF($B340="","",COUNTIFS(LdgPartyA,$A340,LdgKeyA,"&lt;"&amp;$B340)+COUNTIFS(LdgPartyB,$A340,LdgKeyB,"&lt;"&amp;$B340)+1)</f>
        <v/>
      </c>
      <c r="D340">
        <f>IF($C340="","",$A340&amp;"|"&amp;RIGHT("000000"&amp;$C340,6))</f>
        <v/>
      </c>
      <c r="F340">
        <f>IF(Sync!$AJ340="","",Sync!$AJ340)</f>
        <v/>
      </c>
      <c r="G340">
        <f>IF($F340="","",IF(Sync!$AG340="","",IF(ISNUMBER(Sync!$AG340),IF(AND(Sync!$AG340&gt;=10000101,Sync!$AG340&lt;=99991231),INT(Sync!$AG340/10000),""),IFERROR(VALUE(TRIM(LEFT(Sync!$AG340,FIND("/",Sync!$AG340)-1))),""))))</f>
        <v/>
      </c>
      <c r="H340">
        <f>IF(OR($F340="",$G340=""),"",IF(ISNUMBER(Sync!$AG340),INT(MOD(Sync!$AG340,10000)/100),IFERROR(VALUE(TRIM(LEFT(MID(Sync!$AG340,FIND("/",Sync!$AG340)+1,20),FIND("/",MID(Sync!$AG340,FIND("/",Sync!$AG340)+1,20))-1))),"")))</f>
        <v/>
      </c>
      <c r="I340">
        <f>IF(OR($F340="",$G340=""),"",IF(ISNUMBER(Sync!$AG340),MOD(Sync!$AG340,100),IFERROR(VALUE(TRIM(MID(MID(Sync!$AG340,FIND("/",Sync!$AG340)+1,20),FIND("/",MID(Sync!$AG340,FIND("/",Sync!$AG340)+1,20))+1,20))),"")))</f>
        <v/>
      </c>
      <c r="J340">
        <f>IF($F340="","",IF(OR($G340="",$H340="",$I340="",$G340&lt;1300,$G340&gt;1500,$H340&lt;1,$H340&gt;12,$I340&lt;1,$I340&gt;31),"نامعتبر",RIGHT("0000"&amp;$G340,4)&amp;"/"&amp;RIGHT("00"&amp;$H340,2)&amp;"/"&amp;RIGHT("00"&amp;$I340,2)))</f>
        <v/>
      </c>
      <c r="K340">
        <f>IF(OR($F340="",$J340="",$J340="نامعتبر"),"",LEFT($J340,4)&amp;MID($J340,6,2)&amp;RIGHT($J340,2)&amp;$N340&amp;"|"&amp;"2"&amp;RIGHT("00000"&amp;335,5))</f>
        <v/>
      </c>
      <c r="L340">
        <f>IF($K340="","",COUNTIFS(LdgPartyA,$F340,LdgKeyA,"&lt;"&amp;$K340)+COUNTIFS(LdgPartyB,$F340,LdgKeyB,"&lt;"&amp;$K340)+1)</f>
        <v/>
      </c>
      <c r="M340">
        <f>IF($L340="","",$F340&amp;"|"&amp;RIGHT("000000"&amp;$L340,6))</f>
        <v/>
      </c>
      <c r="N340">
        <f>IF($F340="","",IF(Sync!$AH340="","0000",IF(AND(ISNUMBER(Sync!$AH340),Sync!$AH340&gt;=0,Sync!$AH340&lt;1),RIGHT("00"&amp;HOUR(Sync!$AH340),2)&amp;RIGHT("00"&amp;MINUTE(Sync!$AH340),2),IFERROR(RIGHT("00"&amp;VALUE(LEFT(Sync!$AH340,FIND(":",Sync!$AH340)-1)),2)&amp;RIGHT("00"&amp;VALUE(MID(Sync!$AH340,FIND(":",Sync!$AH340)+1,2)),2),"0000"))))</f>
        <v/>
      </c>
    </row>
    <row r="341">
      <c r="A341">
        <f>IF(OR(Calc!$E344="",Calc!$E344="نامعتبر",Calc!$G344="",Calc!$I344&lt;&gt;"خرید"),"",Calc!$G344)</f>
        <v/>
      </c>
      <c r="B341">
        <f>IF($A341="","",LEFT(Calc!$E344,4)&amp;MID(Calc!$E344,6,2)&amp;RIGHT(Calc!$E344,2)&amp;Calc!$R344&amp;"|"&amp;"1"&amp;RIGHT("00000"&amp;336,5))</f>
        <v/>
      </c>
      <c r="C341">
        <f>IF($B341="","",COUNTIFS(LdgPartyA,$A341,LdgKeyA,"&lt;"&amp;$B341)+COUNTIFS(LdgPartyB,$A341,LdgKeyB,"&lt;"&amp;$B341)+1)</f>
        <v/>
      </c>
      <c r="D341">
        <f>IF($C341="","",$A341&amp;"|"&amp;RIGHT("000000"&amp;$C341,6))</f>
        <v/>
      </c>
      <c r="F341">
        <f>IF(Sync!$AJ341="","",Sync!$AJ341)</f>
        <v/>
      </c>
      <c r="G341">
        <f>IF($F341="","",IF(Sync!$AG341="","",IF(ISNUMBER(Sync!$AG341),IF(AND(Sync!$AG341&gt;=10000101,Sync!$AG341&lt;=99991231),INT(Sync!$AG341/10000),""),IFERROR(VALUE(TRIM(LEFT(Sync!$AG341,FIND("/",Sync!$AG341)-1))),""))))</f>
        <v/>
      </c>
      <c r="H341">
        <f>IF(OR($F341="",$G341=""),"",IF(ISNUMBER(Sync!$AG341),INT(MOD(Sync!$AG341,10000)/100),IFERROR(VALUE(TRIM(LEFT(MID(Sync!$AG341,FIND("/",Sync!$AG341)+1,20),FIND("/",MID(Sync!$AG341,FIND("/",Sync!$AG341)+1,20))-1))),"")))</f>
        <v/>
      </c>
      <c r="I341">
        <f>IF(OR($F341="",$G341=""),"",IF(ISNUMBER(Sync!$AG341),MOD(Sync!$AG341,100),IFERROR(VALUE(TRIM(MID(MID(Sync!$AG341,FIND("/",Sync!$AG341)+1,20),FIND("/",MID(Sync!$AG341,FIND("/",Sync!$AG341)+1,20))+1,20))),"")))</f>
        <v/>
      </c>
      <c r="J341">
        <f>IF($F341="","",IF(OR($G341="",$H341="",$I341="",$G341&lt;1300,$G341&gt;1500,$H341&lt;1,$H341&gt;12,$I341&lt;1,$I341&gt;31),"نامعتبر",RIGHT("0000"&amp;$G341,4)&amp;"/"&amp;RIGHT("00"&amp;$H341,2)&amp;"/"&amp;RIGHT("00"&amp;$I341,2)))</f>
        <v/>
      </c>
      <c r="K341">
        <f>IF(OR($F341="",$J341="",$J341="نامعتبر"),"",LEFT($J341,4)&amp;MID($J341,6,2)&amp;RIGHT($J341,2)&amp;$N341&amp;"|"&amp;"2"&amp;RIGHT("00000"&amp;336,5))</f>
        <v/>
      </c>
      <c r="L341">
        <f>IF($K341="","",COUNTIFS(LdgPartyA,$F341,LdgKeyA,"&lt;"&amp;$K341)+COUNTIFS(LdgPartyB,$F341,LdgKeyB,"&lt;"&amp;$K341)+1)</f>
        <v/>
      </c>
      <c r="M341">
        <f>IF($L341="","",$F341&amp;"|"&amp;RIGHT("000000"&amp;$L341,6))</f>
        <v/>
      </c>
      <c r="N341">
        <f>IF($F341="","",IF(Sync!$AH341="","0000",IF(AND(ISNUMBER(Sync!$AH341),Sync!$AH341&gt;=0,Sync!$AH341&lt;1),RIGHT("00"&amp;HOUR(Sync!$AH341),2)&amp;RIGHT("00"&amp;MINUTE(Sync!$AH341),2),IFERROR(RIGHT("00"&amp;VALUE(LEFT(Sync!$AH341,FIND(":",Sync!$AH341)-1)),2)&amp;RIGHT("00"&amp;VALUE(MID(Sync!$AH341,FIND(":",Sync!$AH341)+1,2)),2),"0000"))))</f>
        <v/>
      </c>
    </row>
    <row r="342">
      <c r="A342">
        <f>IF(OR(Calc!$E345="",Calc!$E345="نامعتبر",Calc!$G345="",Calc!$I345&lt;&gt;"خرید"),"",Calc!$G345)</f>
        <v/>
      </c>
      <c r="B342">
        <f>IF($A342="","",LEFT(Calc!$E345,4)&amp;MID(Calc!$E345,6,2)&amp;RIGHT(Calc!$E345,2)&amp;Calc!$R345&amp;"|"&amp;"1"&amp;RIGHT("00000"&amp;337,5))</f>
        <v/>
      </c>
      <c r="C342">
        <f>IF($B342="","",COUNTIFS(LdgPartyA,$A342,LdgKeyA,"&lt;"&amp;$B342)+COUNTIFS(LdgPartyB,$A342,LdgKeyB,"&lt;"&amp;$B342)+1)</f>
        <v/>
      </c>
      <c r="D342">
        <f>IF($C342="","",$A342&amp;"|"&amp;RIGHT("000000"&amp;$C342,6))</f>
        <v/>
      </c>
      <c r="F342">
        <f>IF(Sync!$AJ342="","",Sync!$AJ342)</f>
        <v/>
      </c>
      <c r="G342">
        <f>IF($F342="","",IF(Sync!$AG342="","",IF(ISNUMBER(Sync!$AG342),IF(AND(Sync!$AG342&gt;=10000101,Sync!$AG342&lt;=99991231),INT(Sync!$AG342/10000),""),IFERROR(VALUE(TRIM(LEFT(Sync!$AG342,FIND("/",Sync!$AG342)-1))),""))))</f>
        <v/>
      </c>
      <c r="H342">
        <f>IF(OR($F342="",$G342=""),"",IF(ISNUMBER(Sync!$AG342),INT(MOD(Sync!$AG342,10000)/100),IFERROR(VALUE(TRIM(LEFT(MID(Sync!$AG342,FIND("/",Sync!$AG342)+1,20),FIND("/",MID(Sync!$AG342,FIND("/",Sync!$AG342)+1,20))-1))),"")))</f>
        <v/>
      </c>
      <c r="I342">
        <f>IF(OR($F342="",$G342=""),"",IF(ISNUMBER(Sync!$AG342),MOD(Sync!$AG342,100),IFERROR(VALUE(TRIM(MID(MID(Sync!$AG342,FIND("/",Sync!$AG342)+1,20),FIND("/",MID(Sync!$AG342,FIND("/",Sync!$AG342)+1,20))+1,20))),"")))</f>
        <v/>
      </c>
      <c r="J342">
        <f>IF($F342="","",IF(OR($G342="",$H342="",$I342="",$G342&lt;1300,$G342&gt;1500,$H342&lt;1,$H342&gt;12,$I342&lt;1,$I342&gt;31),"نامعتبر",RIGHT("0000"&amp;$G342,4)&amp;"/"&amp;RIGHT("00"&amp;$H342,2)&amp;"/"&amp;RIGHT("00"&amp;$I342,2)))</f>
        <v/>
      </c>
      <c r="K342">
        <f>IF(OR($F342="",$J342="",$J342="نامعتبر"),"",LEFT($J342,4)&amp;MID($J342,6,2)&amp;RIGHT($J342,2)&amp;$N342&amp;"|"&amp;"2"&amp;RIGHT("00000"&amp;337,5))</f>
        <v/>
      </c>
      <c r="L342">
        <f>IF($K342="","",COUNTIFS(LdgPartyA,$F342,LdgKeyA,"&lt;"&amp;$K342)+COUNTIFS(LdgPartyB,$F342,LdgKeyB,"&lt;"&amp;$K342)+1)</f>
        <v/>
      </c>
      <c r="M342">
        <f>IF($L342="","",$F342&amp;"|"&amp;RIGHT("000000"&amp;$L342,6))</f>
        <v/>
      </c>
      <c r="N342">
        <f>IF($F342="","",IF(Sync!$AH342="","0000",IF(AND(ISNUMBER(Sync!$AH342),Sync!$AH342&gt;=0,Sync!$AH342&lt;1),RIGHT("00"&amp;HOUR(Sync!$AH342),2)&amp;RIGHT("00"&amp;MINUTE(Sync!$AH342),2),IFERROR(RIGHT("00"&amp;VALUE(LEFT(Sync!$AH342,FIND(":",Sync!$AH342)-1)),2)&amp;RIGHT("00"&amp;VALUE(MID(Sync!$AH342,FIND(":",Sync!$AH342)+1,2)),2),"0000"))))</f>
        <v/>
      </c>
    </row>
    <row r="343">
      <c r="A343">
        <f>IF(OR(Calc!$E346="",Calc!$E346="نامعتبر",Calc!$G346="",Calc!$I346&lt;&gt;"خرید"),"",Calc!$G346)</f>
        <v/>
      </c>
      <c r="B343">
        <f>IF($A343="","",LEFT(Calc!$E346,4)&amp;MID(Calc!$E346,6,2)&amp;RIGHT(Calc!$E346,2)&amp;Calc!$R346&amp;"|"&amp;"1"&amp;RIGHT("00000"&amp;338,5))</f>
        <v/>
      </c>
      <c r="C343">
        <f>IF($B343="","",COUNTIFS(LdgPartyA,$A343,LdgKeyA,"&lt;"&amp;$B343)+COUNTIFS(LdgPartyB,$A343,LdgKeyB,"&lt;"&amp;$B343)+1)</f>
        <v/>
      </c>
      <c r="D343">
        <f>IF($C343="","",$A343&amp;"|"&amp;RIGHT("000000"&amp;$C343,6))</f>
        <v/>
      </c>
      <c r="F343">
        <f>IF(Sync!$AJ343="","",Sync!$AJ343)</f>
        <v/>
      </c>
      <c r="G343">
        <f>IF($F343="","",IF(Sync!$AG343="","",IF(ISNUMBER(Sync!$AG343),IF(AND(Sync!$AG343&gt;=10000101,Sync!$AG343&lt;=99991231),INT(Sync!$AG343/10000),""),IFERROR(VALUE(TRIM(LEFT(Sync!$AG343,FIND("/",Sync!$AG343)-1))),""))))</f>
        <v/>
      </c>
      <c r="H343">
        <f>IF(OR($F343="",$G343=""),"",IF(ISNUMBER(Sync!$AG343),INT(MOD(Sync!$AG343,10000)/100),IFERROR(VALUE(TRIM(LEFT(MID(Sync!$AG343,FIND("/",Sync!$AG343)+1,20),FIND("/",MID(Sync!$AG343,FIND("/",Sync!$AG343)+1,20))-1))),"")))</f>
        <v/>
      </c>
      <c r="I343">
        <f>IF(OR($F343="",$G343=""),"",IF(ISNUMBER(Sync!$AG343),MOD(Sync!$AG343,100),IFERROR(VALUE(TRIM(MID(MID(Sync!$AG343,FIND("/",Sync!$AG343)+1,20),FIND("/",MID(Sync!$AG343,FIND("/",Sync!$AG343)+1,20))+1,20))),"")))</f>
        <v/>
      </c>
      <c r="J343">
        <f>IF($F343="","",IF(OR($G343="",$H343="",$I343="",$G343&lt;1300,$G343&gt;1500,$H343&lt;1,$H343&gt;12,$I343&lt;1,$I343&gt;31),"نامعتبر",RIGHT("0000"&amp;$G343,4)&amp;"/"&amp;RIGHT("00"&amp;$H343,2)&amp;"/"&amp;RIGHT("00"&amp;$I343,2)))</f>
        <v/>
      </c>
      <c r="K343">
        <f>IF(OR($F343="",$J343="",$J343="نامعتبر"),"",LEFT($J343,4)&amp;MID($J343,6,2)&amp;RIGHT($J343,2)&amp;$N343&amp;"|"&amp;"2"&amp;RIGHT("00000"&amp;338,5))</f>
        <v/>
      </c>
      <c r="L343">
        <f>IF($K343="","",COUNTIFS(LdgPartyA,$F343,LdgKeyA,"&lt;"&amp;$K343)+COUNTIFS(LdgPartyB,$F343,LdgKeyB,"&lt;"&amp;$K343)+1)</f>
        <v/>
      </c>
      <c r="M343">
        <f>IF($L343="","",$F343&amp;"|"&amp;RIGHT("000000"&amp;$L343,6))</f>
        <v/>
      </c>
      <c r="N343">
        <f>IF($F343="","",IF(Sync!$AH343="","0000",IF(AND(ISNUMBER(Sync!$AH343),Sync!$AH343&gt;=0,Sync!$AH343&lt;1),RIGHT("00"&amp;HOUR(Sync!$AH343),2)&amp;RIGHT("00"&amp;MINUTE(Sync!$AH343),2),IFERROR(RIGHT("00"&amp;VALUE(LEFT(Sync!$AH343,FIND(":",Sync!$AH343)-1)),2)&amp;RIGHT("00"&amp;VALUE(MID(Sync!$AH343,FIND(":",Sync!$AH343)+1,2)),2),"0000"))))</f>
        <v/>
      </c>
    </row>
    <row r="344">
      <c r="A344">
        <f>IF(OR(Calc!$E347="",Calc!$E347="نامعتبر",Calc!$G347="",Calc!$I347&lt;&gt;"خرید"),"",Calc!$G347)</f>
        <v/>
      </c>
      <c r="B344">
        <f>IF($A344="","",LEFT(Calc!$E347,4)&amp;MID(Calc!$E347,6,2)&amp;RIGHT(Calc!$E347,2)&amp;Calc!$R347&amp;"|"&amp;"1"&amp;RIGHT("00000"&amp;339,5))</f>
        <v/>
      </c>
      <c r="C344">
        <f>IF($B344="","",COUNTIFS(LdgPartyA,$A344,LdgKeyA,"&lt;"&amp;$B344)+COUNTIFS(LdgPartyB,$A344,LdgKeyB,"&lt;"&amp;$B344)+1)</f>
        <v/>
      </c>
      <c r="D344">
        <f>IF($C344="","",$A344&amp;"|"&amp;RIGHT("000000"&amp;$C344,6))</f>
        <v/>
      </c>
      <c r="F344">
        <f>IF(Sync!$AJ344="","",Sync!$AJ344)</f>
        <v/>
      </c>
      <c r="G344">
        <f>IF($F344="","",IF(Sync!$AG344="","",IF(ISNUMBER(Sync!$AG344),IF(AND(Sync!$AG344&gt;=10000101,Sync!$AG344&lt;=99991231),INT(Sync!$AG344/10000),""),IFERROR(VALUE(TRIM(LEFT(Sync!$AG344,FIND("/",Sync!$AG344)-1))),""))))</f>
        <v/>
      </c>
      <c r="H344">
        <f>IF(OR($F344="",$G344=""),"",IF(ISNUMBER(Sync!$AG344),INT(MOD(Sync!$AG344,10000)/100),IFERROR(VALUE(TRIM(LEFT(MID(Sync!$AG344,FIND("/",Sync!$AG344)+1,20),FIND("/",MID(Sync!$AG344,FIND("/",Sync!$AG344)+1,20))-1))),"")))</f>
        <v/>
      </c>
      <c r="I344">
        <f>IF(OR($F344="",$G344=""),"",IF(ISNUMBER(Sync!$AG344),MOD(Sync!$AG344,100),IFERROR(VALUE(TRIM(MID(MID(Sync!$AG344,FIND("/",Sync!$AG344)+1,20),FIND("/",MID(Sync!$AG344,FIND("/",Sync!$AG344)+1,20))+1,20))),"")))</f>
        <v/>
      </c>
      <c r="J344">
        <f>IF($F344="","",IF(OR($G344="",$H344="",$I344="",$G344&lt;1300,$G344&gt;1500,$H344&lt;1,$H344&gt;12,$I344&lt;1,$I344&gt;31),"نامعتبر",RIGHT("0000"&amp;$G344,4)&amp;"/"&amp;RIGHT("00"&amp;$H344,2)&amp;"/"&amp;RIGHT("00"&amp;$I344,2)))</f>
        <v/>
      </c>
      <c r="K344">
        <f>IF(OR($F344="",$J344="",$J344="نامعتبر"),"",LEFT($J344,4)&amp;MID($J344,6,2)&amp;RIGHT($J344,2)&amp;$N344&amp;"|"&amp;"2"&amp;RIGHT("00000"&amp;339,5))</f>
        <v/>
      </c>
      <c r="L344">
        <f>IF($K344="","",COUNTIFS(LdgPartyA,$F344,LdgKeyA,"&lt;"&amp;$K344)+COUNTIFS(LdgPartyB,$F344,LdgKeyB,"&lt;"&amp;$K344)+1)</f>
        <v/>
      </c>
      <c r="M344">
        <f>IF($L344="","",$F344&amp;"|"&amp;RIGHT("000000"&amp;$L344,6))</f>
        <v/>
      </c>
      <c r="N344">
        <f>IF($F344="","",IF(Sync!$AH344="","0000",IF(AND(ISNUMBER(Sync!$AH344),Sync!$AH344&gt;=0,Sync!$AH344&lt;1),RIGHT("00"&amp;HOUR(Sync!$AH344),2)&amp;RIGHT("00"&amp;MINUTE(Sync!$AH344),2),IFERROR(RIGHT("00"&amp;VALUE(LEFT(Sync!$AH344,FIND(":",Sync!$AH344)-1)),2)&amp;RIGHT("00"&amp;VALUE(MID(Sync!$AH344,FIND(":",Sync!$AH344)+1,2)),2),"0000"))))</f>
        <v/>
      </c>
    </row>
    <row r="345">
      <c r="A345">
        <f>IF(OR(Calc!$E348="",Calc!$E348="نامعتبر",Calc!$G348="",Calc!$I348&lt;&gt;"خرید"),"",Calc!$G348)</f>
        <v/>
      </c>
      <c r="B345">
        <f>IF($A345="","",LEFT(Calc!$E348,4)&amp;MID(Calc!$E348,6,2)&amp;RIGHT(Calc!$E348,2)&amp;Calc!$R348&amp;"|"&amp;"1"&amp;RIGHT("00000"&amp;340,5))</f>
        <v/>
      </c>
      <c r="C345">
        <f>IF($B345="","",COUNTIFS(LdgPartyA,$A345,LdgKeyA,"&lt;"&amp;$B345)+COUNTIFS(LdgPartyB,$A345,LdgKeyB,"&lt;"&amp;$B345)+1)</f>
        <v/>
      </c>
      <c r="D345">
        <f>IF($C345="","",$A345&amp;"|"&amp;RIGHT("000000"&amp;$C345,6))</f>
        <v/>
      </c>
      <c r="F345">
        <f>IF(Sync!$AJ345="","",Sync!$AJ345)</f>
        <v/>
      </c>
      <c r="G345">
        <f>IF($F345="","",IF(Sync!$AG345="","",IF(ISNUMBER(Sync!$AG345),IF(AND(Sync!$AG345&gt;=10000101,Sync!$AG345&lt;=99991231),INT(Sync!$AG345/10000),""),IFERROR(VALUE(TRIM(LEFT(Sync!$AG345,FIND("/",Sync!$AG345)-1))),""))))</f>
        <v/>
      </c>
      <c r="H345">
        <f>IF(OR($F345="",$G345=""),"",IF(ISNUMBER(Sync!$AG345),INT(MOD(Sync!$AG345,10000)/100),IFERROR(VALUE(TRIM(LEFT(MID(Sync!$AG345,FIND("/",Sync!$AG345)+1,20),FIND("/",MID(Sync!$AG345,FIND("/",Sync!$AG345)+1,20))-1))),"")))</f>
        <v/>
      </c>
      <c r="I345">
        <f>IF(OR($F345="",$G345=""),"",IF(ISNUMBER(Sync!$AG345),MOD(Sync!$AG345,100),IFERROR(VALUE(TRIM(MID(MID(Sync!$AG345,FIND("/",Sync!$AG345)+1,20),FIND("/",MID(Sync!$AG345,FIND("/",Sync!$AG345)+1,20))+1,20))),"")))</f>
        <v/>
      </c>
      <c r="J345">
        <f>IF($F345="","",IF(OR($G345="",$H345="",$I345="",$G345&lt;1300,$G345&gt;1500,$H345&lt;1,$H345&gt;12,$I345&lt;1,$I345&gt;31),"نامعتبر",RIGHT("0000"&amp;$G345,4)&amp;"/"&amp;RIGHT("00"&amp;$H345,2)&amp;"/"&amp;RIGHT("00"&amp;$I345,2)))</f>
        <v/>
      </c>
      <c r="K345">
        <f>IF(OR($F345="",$J345="",$J345="نامعتبر"),"",LEFT($J345,4)&amp;MID($J345,6,2)&amp;RIGHT($J345,2)&amp;$N345&amp;"|"&amp;"2"&amp;RIGHT("00000"&amp;340,5))</f>
        <v/>
      </c>
      <c r="L345">
        <f>IF($K345="","",COUNTIFS(LdgPartyA,$F345,LdgKeyA,"&lt;"&amp;$K345)+COUNTIFS(LdgPartyB,$F345,LdgKeyB,"&lt;"&amp;$K345)+1)</f>
        <v/>
      </c>
      <c r="M345">
        <f>IF($L345="","",$F345&amp;"|"&amp;RIGHT("000000"&amp;$L345,6))</f>
        <v/>
      </c>
      <c r="N345">
        <f>IF($F345="","",IF(Sync!$AH345="","0000",IF(AND(ISNUMBER(Sync!$AH345),Sync!$AH345&gt;=0,Sync!$AH345&lt;1),RIGHT("00"&amp;HOUR(Sync!$AH345),2)&amp;RIGHT("00"&amp;MINUTE(Sync!$AH345),2),IFERROR(RIGHT("00"&amp;VALUE(LEFT(Sync!$AH345,FIND(":",Sync!$AH345)-1)),2)&amp;RIGHT("00"&amp;VALUE(MID(Sync!$AH345,FIND(":",Sync!$AH345)+1,2)),2),"0000"))))</f>
        <v/>
      </c>
    </row>
    <row r="346">
      <c r="A346">
        <f>IF(OR(Calc!$E349="",Calc!$E349="نامعتبر",Calc!$G349="",Calc!$I349&lt;&gt;"خرید"),"",Calc!$G349)</f>
        <v/>
      </c>
      <c r="B346">
        <f>IF($A346="","",LEFT(Calc!$E349,4)&amp;MID(Calc!$E349,6,2)&amp;RIGHT(Calc!$E349,2)&amp;Calc!$R349&amp;"|"&amp;"1"&amp;RIGHT("00000"&amp;341,5))</f>
        <v/>
      </c>
      <c r="C346">
        <f>IF($B346="","",COUNTIFS(LdgPartyA,$A346,LdgKeyA,"&lt;"&amp;$B346)+COUNTIFS(LdgPartyB,$A346,LdgKeyB,"&lt;"&amp;$B346)+1)</f>
        <v/>
      </c>
      <c r="D346">
        <f>IF($C346="","",$A346&amp;"|"&amp;RIGHT("000000"&amp;$C346,6))</f>
        <v/>
      </c>
      <c r="F346">
        <f>IF(Sync!$AJ346="","",Sync!$AJ346)</f>
        <v/>
      </c>
      <c r="G346">
        <f>IF($F346="","",IF(Sync!$AG346="","",IF(ISNUMBER(Sync!$AG346),IF(AND(Sync!$AG346&gt;=10000101,Sync!$AG346&lt;=99991231),INT(Sync!$AG346/10000),""),IFERROR(VALUE(TRIM(LEFT(Sync!$AG346,FIND("/",Sync!$AG346)-1))),""))))</f>
        <v/>
      </c>
      <c r="H346">
        <f>IF(OR($F346="",$G346=""),"",IF(ISNUMBER(Sync!$AG346),INT(MOD(Sync!$AG346,10000)/100),IFERROR(VALUE(TRIM(LEFT(MID(Sync!$AG346,FIND("/",Sync!$AG346)+1,20),FIND("/",MID(Sync!$AG346,FIND("/",Sync!$AG346)+1,20))-1))),"")))</f>
        <v/>
      </c>
      <c r="I346">
        <f>IF(OR($F346="",$G346=""),"",IF(ISNUMBER(Sync!$AG346),MOD(Sync!$AG346,100),IFERROR(VALUE(TRIM(MID(MID(Sync!$AG346,FIND("/",Sync!$AG346)+1,20),FIND("/",MID(Sync!$AG346,FIND("/",Sync!$AG346)+1,20))+1,20))),"")))</f>
        <v/>
      </c>
      <c r="J346">
        <f>IF($F346="","",IF(OR($G346="",$H346="",$I346="",$G346&lt;1300,$G346&gt;1500,$H346&lt;1,$H346&gt;12,$I346&lt;1,$I346&gt;31),"نامعتبر",RIGHT("0000"&amp;$G346,4)&amp;"/"&amp;RIGHT("00"&amp;$H346,2)&amp;"/"&amp;RIGHT("00"&amp;$I346,2)))</f>
        <v/>
      </c>
      <c r="K346">
        <f>IF(OR($F346="",$J346="",$J346="نامعتبر"),"",LEFT($J346,4)&amp;MID($J346,6,2)&amp;RIGHT($J346,2)&amp;$N346&amp;"|"&amp;"2"&amp;RIGHT("00000"&amp;341,5))</f>
        <v/>
      </c>
      <c r="L346">
        <f>IF($K346="","",COUNTIFS(LdgPartyA,$F346,LdgKeyA,"&lt;"&amp;$K346)+COUNTIFS(LdgPartyB,$F346,LdgKeyB,"&lt;"&amp;$K346)+1)</f>
        <v/>
      </c>
      <c r="M346">
        <f>IF($L346="","",$F346&amp;"|"&amp;RIGHT("000000"&amp;$L346,6))</f>
        <v/>
      </c>
      <c r="N346">
        <f>IF($F346="","",IF(Sync!$AH346="","0000",IF(AND(ISNUMBER(Sync!$AH346),Sync!$AH346&gt;=0,Sync!$AH346&lt;1),RIGHT("00"&amp;HOUR(Sync!$AH346),2)&amp;RIGHT("00"&amp;MINUTE(Sync!$AH346),2),IFERROR(RIGHT("00"&amp;VALUE(LEFT(Sync!$AH346,FIND(":",Sync!$AH346)-1)),2)&amp;RIGHT("00"&amp;VALUE(MID(Sync!$AH346,FIND(":",Sync!$AH346)+1,2)),2),"0000"))))</f>
        <v/>
      </c>
    </row>
    <row r="347">
      <c r="A347">
        <f>IF(OR(Calc!$E350="",Calc!$E350="نامعتبر",Calc!$G350="",Calc!$I350&lt;&gt;"خرید"),"",Calc!$G350)</f>
        <v/>
      </c>
      <c r="B347">
        <f>IF($A347="","",LEFT(Calc!$E350,4)&amp;MID(Calc!$E350,6,2)&amp;RIGHT(Calc!$E350,2)&amp;Calc!$R350&amp;"|"&amp;"1"&amp;RIGHT("00000"&amp;342,5))</f>
        <v/>
      </c>
      <c r="C347">
        <f>IF($B347="","",COUNTIFS(LdgPartyA,$A347,LdgKeyA,"&lt;"&amp;$B347)+COUNTIFS(LdgPartyB,$A347,LdgKeyB,"&lt;"&amp;$B347)+1)</f>
        <v/>
      </c>
      <c r="D347">
        <f>IF($C347="","",$A347&amp;"|"&amp;RIGHT("000000"&amp;$C347,6))</f>
        <v/>
      </c>
      <c r="F347">
        <f>IF(Sync!$AJ347="","",Sync!$AJ347)</f>
        <v/>
      </c>
      <c r="G347">
        <f>IF($F347="","",IF(Sync!$AG347="","",IF(ISNUMBER(Sync!$AG347),IF(AND(Sync!$AG347&gt;=10000101,Sync!$AG347&lt;=99991231),INT(Sync!$AG347/10000),""),IFERROR(VALUE(TRIM(LEFT(Sync!$AG347,FIND("/",Sync!$AG347)-1))),""))))</f>
        <v/>
      </c>
      <c r="H347">
        <f>IF(OR($F347="",$G347=""),"",IF(ISNUMBER(Sync!$AG347),INT(MOD(Sync!$AG347,10000)/100),IFERROR(VALUE(TRIM(LEFT(MID(Sync!$AG347,FIND("/",Sync!$AG347)+1,20),FIND("/",MID(Sync!$AG347,FIND("/",Sync!$AG347)+1,20))-1))),"")))</f>
        <v/>
      </c>
      <c r="I347">
        <f>IF(OR($F347="",$G347=""),"",IF(ISNUMBER(Sync!$AG347),MOD(Sync!$AG347,100),IFERROR(VALUE(TRIM(MID(MID(Sync!$AG347,FIND("/",Sync!$AG347)+1,20),FIND("/",MID(Sync!$AG347,FIND("/",Sync!$AG347)+1,20))+1,20))),"")))</f>
        <v/>
      </c>
      <c r="J347">
        <f>IF($F347="","",IF(OR($G347="",$H347="",$I347="",$G347&lt;1300,$G347&gt;1500,$H347&lt;1,$H347&gt;12,$I347&lt;1,$I347&gt;31),"نامعتبر",RIGHT("0000"&amp;$G347,4)&amp;"/"&amp;RIGHT("00"&amp;$H347,2)&amp;"/"&amp;RIGHT("00"&amp;$I347,2)))</f>
        <v/>
      </c>
      <c r="K347">
        <f>IF(OR($F347="",$J347="",$J347="نامعتبر"),"",LEFT($J347,4)&amp;MID($J347,6,2)&amp;RIGHT($J347,2)&amp;$N347&amp;"|"&amp;"2"&amp;RIGHT("00000"&amp;342,5))</f>
        <v/>
      </c>
      <c r="L347">
        <f>IF($K347="","",COUNTIFS(LdgPartyA,$F347,LdgKeyA,"&lt;"&amp;$K347)+COUNTIFS(LdgPartyB,$F347,LdgKeyB,"&lt;"&amp;$K347)+1)</f>
        <v/>
      </c>
      <c r="M347">
        <f>IF($L347="","",$F347&amp;"|"&amp;RIGHT("000000"&amp;$L347,6))</f>
        <v/>
      </c>
      <c r="N347">
        <f>IF($F347="","",IF(Sync!$AH347="","0000",IF(AND(ISNUMBER(Sync!$AH347),Sync!$AH347&gt;=0,Sync!$AH347&lt;1),RIGHT("00"&amp;HOUR(Sync!$AH347),2)&amp;RIGHT("00"&amp;MINUTE(Sync!$AH347),2),IFERROR(RIGHT("00"&amp;VALUE(LEFT(Sync!$AH347,FIND(":",Sync!$AH347)-1)),2)&amp;RIGHT("00"&amp;VALUE(MID(Sync!$AH347,FIND(":",Sync!$AH347)+1,2)),2),"0000"))))</f>
        <v/>
      </c>
    </row>
    <row r="348">
      <c r="A348">
        <f>IF(OR(Calc!$E351="",Calc!$E351="نامعتبر",Calc!$G351="",Calc!$I351&lt;&gt;"خرید"),"",Calc!$G351)</f>
        <v/>
      </c>
      <c r="B348">
        <f>IF($A348="","",LEFT(Calc!$E351,4)&amp;MID(Calc!$E351,6,2)&amp;RIGHT(Calc!$E351,2)&amp;Calc!$R351&amp;"|"&amp;"1"&amp;RIGHT("00000"&amp;343,5))</f>
        <v/>
      </c>
      <c r="C348">
        <f>IF($B348="","",COUNTIFS(LdgPartyA,$A348,LdgKeyA,"&lt;"&amp;$B348)+COUNTIFS(LdgPartyB,$A348,LdgKeyB,"&lt;"&amp;$B348)+1)</f>
        <v/>
      </c>
      <c r="D348">
        <f>IF($C348="","",$A348&amp;"|"&amp;RIGHT("000000"&amp;$C348,6))</f>
        <v/>
      </c>
      <c r="F348">
        <f>IF(Sync!$AJ348="","",Sync!$AJ348)</f>
        <v/>
      </c>
      <c r="G348">
        <f>IF($F348="","",IF(Sync!$AG348="","",IF(ISNUMBER(Sync!$AG348),IF(AND(Sync!$AG348&gt;=10000101,Sync!$AG348&lt;=99991231),INT(Sync!$AG348/10000),""),IFERROR(VALUE(TRIM(LEFT(Sync!$AG348,FIND("/",Sync!$AG348)-1))),""))))</f>
        <v/>
      </c>
      <c r="H348">
        <f>IF(OR($F348="",$G348=""),"",IF(ISNUMBER(Sync!$AG348),INT(MOD(Sync!$AG348,10000)/100),IFERROR(VALUE(TRIM(LEFT(MID(Sync!$AG348,FIND("/",Sync!$AG348)+1,20),FIND("/",MID(Sync!$AG348,FIND("/",Sync!$AG348)+1,20))-1))),"")))</f>
        <v/>
      </c>
      <c r="I348">
        <f>IF(OR($F348="",$G348=""),"",IF(ISNUMBER(Sync!$AG348),MOD(Sync!$AG348,100),IFERROR(VALUE(TRIM(MID(MID(Sync!$AG348,FIND("/",Sync!$AG348)+1,20),FIND("/",MID(Sync!$AG348,FIND("/",Sync!$AG348)+1,20))+1,20))),"")))</f>
        <v/>
      </c>
      <c r="J348">
        <f>IF($F348="","",IF(OR($G348="",$H348="",$I348="",$G348&lt;1300,$G348&gt;1500,$H348&lt;1,$H348&gt;12,$I348&lt;1,$I348&gt;31),"نامعتبر",RIGHT("0000"&amp;$G348,4)&amp;"/"&amp;RIGHT("00"&amp;$H348,2)&amp;"/"&amp;RIGHT("00"&amp;$I348,2)))</f>
        <v/>
      </c>
      <c r="K348">
        <f>IF(OR($F348="",$J348="",$J348="نامعتبر"),"",LEFT($J348,4)&amp;MID($J348,6,2)&amp;RIGHT($J348,2)&amp;$N348&amp;"|"&amp;"2"&amp;RIGHT("00000"&amp;343,5))</f>
        <v/>
      </c>
      <c r="L348">
        <f>IF($K348="","",COUNTIFS(LdgPartyA,$F348,LdgKeyA,"&lt;"&amp;$K348)+COUNTIFS(LdgPartyB,$F348,LdgKeyB,"&lt;"&amp;$K348)+1)</f>
        <v/>
      </c>
      <c r="M348">
        <f>IF($L348="","",$F348&amp;"|"&amp;RIGHT("000000"&amp;$L348,6))</f>
        <v/>
      </c>
      <c r="N348">
        <f>IF($F348="","",IF(Sync!$AH348="","0000",IF(AND(ISNUMBER(Sync!$AH348),Sync!$AH348&gt;=0,Sync!$AH348&lt;1),RIGHT("00"&amp;HOUR(Sync!$AH348),2)&amp;RIGHT("00"&amp;MINUTE(Sync!$AH348),2),IFERROR(RIGHT("00"&amp;VALUE(LEFT(Sync!$AH348,FIND(":",Sync!$AH348)-1)),2)&amp;RIGHT("00"&amp;VALUE(MID(Sync!$AH348,FIND(":",Sync!$AH348)+1,2)),2),"0000"))))</f>
        <v/>
      </c>
    </row>
    <row r="349">
      <c r="A349">
        <f>IF(OR(Calc!$E352="",Calc!$E352="نامعتبر",Calc!$G352="",Calc!$I352&lt;&gt;"خرید"),"",Calc!$G352)</f>
        <v/>
      </c>
      <c r="B349">
        <f>IF($A349="","",LEFT(Calc!$E352,4)&amp;MID(Calc!$E352,6,2)&amp;RIGHT(Calc!$E352,2)&amp;Calc!$R352&amp;"|"&amp;"1"&amp;RIGHT("00000"&amp;344,5))</f>
        <v/>
      </c>
      <c r="C349">
        <f>IF($B349="","",COUNTIFS(LdgPartyA,$A349,LdgKeyA,"&lt;"&amp;$B349)+COUNTIFS(LdgPartyB,$A349,LdgKeyB,"&lt;"&amp;$B349)+1)</f>
        <v/>
      </c>
      <c r="D349">
        <f>IF($C349="","",$A349&amp;"|"&amp;RIGHT("000000"&amp;$C349,6))</f>
        <v/>
      </c>
      <c r="F349">
        <f>IF(Sync!$AJ349="","",Sync!$AJ349)</f>
        <v/>
      </c>
      <c r="G349">
        <f>IF($F349="","",IF(Sync!$AG349="","",IF(ISNUMBER(Sync!$AG349),IF(AND(Sync!$AG349&gt;=10000101,Sync!$AG349&lt;=99991231),INT(Sync!$AG349/10000),""),IFERROR(VALUE(TRIM(LEFT(Sync!$AG349,FIND("/",Sync!$AG349)-1))),""))))</f>
        <v/>
      </c>
      <c r="H349">
        <f>IF(OR($F349="",$G349=""),"",IF(ISNUMBER(Sync!$AG349),INT(MOD(Sync!$AG349,10000)/100),IFERROR(VALUE(TRIM(LEFT(MID(Sync!$AG349,FIND("/",Sync!$AG349)+1,20),FIND("/",MID(Sync!$AG349,FIND("/",Sync!$AG349)+1,20))-1))),"")))</f>
        <v/>
      </c>
      <c r="I349">
        <f>IF(OR($F349="",$G349=""),"",IF(ISNUMBER(Sync!$AG349),MOD(Sync!$AG349,100),IFERROR(VALUE(TRIM(MID(MID(Sync!$AG349,FIND("/",Sync!$AG349)+1,20),FIND("/",MID(Sync!$AG349,FIND("/",Sync!$AG349)+1,20))+1,20))),"")))</f>
        <v/>
      </c>
      <c r="J349">
        <f>IF($F349="","",IF(OR($G349="",$H349="",$I349="",$G349&lt;1300,$G349&gt;1500,$H349&lt;1,$H349&gt;12,$I349&lt;1,$I349&gt;31),"نامعتبر",RIGHT("0000"&amp;$G349,4)&amp;"/"&amp;RIGHT("00"&amp;$H349,2)&amp;"/"&amp;RIGHT("00"&amp;$I349,2)))</f>
        <v/>
      </c>
      <c r="K349">
        <f>IF(OR($F349="",$J349="",$J349="نامعتبر"),"",LEFT($J349,4)&amp;MID($J349,6,2)&amp;RIGHT($J349,2)&amp;$N349&amp;"|"&amp;"2"&amp;RIGHT("00000"&amp;344,5))</f>
        <v/>
      </c>
      <c r="L349">
        <f>IF($K349="","",COUNTIFS(LdgPartyA,$F349,LdgKeyA,"&lt;"&amp;$K349)+COUNTIFS(LdgPartyB,$F349,LdgKeyB,"&lt;"&amp;$K349)+1)</f>
        <v/>
      </c>
      <c r="M349">
        <f>IF($L349="","",$F349&amp;"|"&amp;RIGHT("000000"&amp;$L349,6))</f>
        <v/>
      </c>
      <c r="N349">
        <f>IF($F349="","",IF(Sync!$AH349="","0000",IF(AND(ISNUMBER(Sync!$AH349),Sync!$AH349&gt;=0,Sync!$AH349&lt;1),RIGHT("00"&amp;HOUR(Sync!$AH349),2)&amp;RIGHT("00"&amp;MINUTE(Sync!$AH349),2),IFERROR(RIGHT("00"&amp;VALUE(LEFT(Sync!$AH349,FIND(":",Sync!$AH349)-1)),2)&amp;RIGHT("00"&amp;VALUE(MID(Sync!$AH349,FIND(":",Sync!$AH349)+1,2)),2),"0000"))))</f>
        <v/>
      </c>
    </row>
    <row r="350">
      <c r="A350">
        <f>IF(OR(Calc!$E353="",Calc!$E353="نامعتبر",Calc!$G353="",Calc!$I353&lt;&gt;"خرید"),"",Calc!$G353)</f>
        <v/>
      </c>
      <c r="B350">
        <f>IF($A350="","",LEFT(Calc!$E353,4)&amp;MID(Calc!$E353,6,2)&amp;RIGHT(Calc!$E353,2)&amp;Calc!$R353&amp;"|"&amp;"1"&amp;RIGHT("00000"&amp;345,5))</f>
        <v/>
      </c>
      <c r="C350">
        <f>IF($B350="","",COUNTIFS(LdgPartyA,$A350,LdgKeyA,"&lt;"&amp;$B350)+COUNTIFS(LdgPartyB,$A350,LdgKeyB,"&lt;"&amp;$B350)+1)</f>
        <v/>
      </c>
      <c r="D350">
        <f>IF($C350="","",$A350&amp;"|"&amp;RIGHT("000000"&amp;$C350,6))</f>
        <v/>
      </c>
      <c r="F350">
        <f>IF(Sync!$AJ350="","",Sync!$AJ350)</f>
        <v/>
      </c>
      <c r="G350">
        <f>IF($F350="","",IF(Sync!$AG350="","",IF(ISNUMBER(Sync!$AG350),IF(AND(Sync!$AG350&gt;=10000101,Sync!$AG350&lt;=99991231),INT(Sync!$AG350/10000),""),IFERROR(VALUE(TRIM(LEFT(Sync!$AG350,FIND("/",Sync!$AG350)-1))),""))))</f>
        <v/>
      </c>
      <c r="H350">
        <f>IF(OR($F350="",$G350=""),"",IF(ISNUMBER(Sync!$AG350),INT(MOD(Sync!$AG350,10000)/100),IFERROR(VALUE(TRIM(LEFT(MID(Sync!$AG350,FIND("/",Sync!$AG350)+1,20),FIND("/",MID(Sync!$AG350,FIND("/",Sync!$AG350)+1,20))-1))),"")))</f>
        <v/>
      </c>
      <c r="I350">
        <f>IF(OR($F350="",$G350=""),"",IF(ISNUMBER(Sync!$AG350),MOD(Sync!$AG350,100),IFERROR(VALUE(TRIM(MID(MID(Sync!$AG350,FIND("/",Sync!$AG350)+1,20),FIND("/",MID(Sync!$AG350,FIND("/",Sync!$AG350)+1,20))+1,20))),"")))</f>
        <v/>
      </c>
      <c r="J350">
        <f>IF($F350="","",IF(OR($G350="",$H350="",$I350="",$G350&lt;1300,$G350&gt;1500,$H350&lt;1,$H350&gt;12,$I350&lt;1,$I350&gt;31),"نامعتبر",RIGHT("0000"&amp;$G350,4)&amp;"/"&amp;RIGHT("00"&amp;$H350,2)&amp;"/"&amp;RIGHT("00"&amp;$I350,2)))</f>
        <v/>
      </c>
      <c r="K350">
        <f>IF(OR($F350="",$J350="",$J350="نامعتبر"),"",LEFT($J350,4)&amp;MID($J350,6,2)&amp;RIGHT($J350,2)&amp;$N350&amp;"|"&amp;"2"&amp;RIGHT("00000"&amp;345,5))</f>
        <v/>
      </c>
      <c r="L350">
        <f>IF($K350="","",COUNTIFS(LdgPartyA,$F350,LdgKeyA,"&lt;"&amp;$K350)+COUNTIFS(LdgPartyB,$F350,LdgKeyB,"&lt;"&amp;$K350)+1)</f>
        <v/>
      </c>
      <c r="M350">
        <f>IF($L350="","",$F350&amp;"|"&amp;RIGHT("000000"&amp;$L350,6))</f>
        <v/>
      </c>
      <c r="N350">
        <f>IF($F350="","",IF(Sync!$AH350="","0000",IF(AND(ISNUMBER(Sync!$AH350),Sync!$AH350&gt;=0,Sync!$AH350&lt;1),RIGHT("00"&amp;HOUR(Sync!$AH350),2)&amp;RIGHT("00"&amp;MINUTE(Sync!$AH350),2),IFERROR(RIGHT("00"&amp;VALUE(LEFT(Sync!$AH350,FIND(":",Sync!$AH350)-1)),2)&amp;RIGHT("00"&amp;VALUE(MID(Sync!$AH350,FIND(":",Sync!$AH350)+1,2)),2),"0000"))))</f>
        <v/>
      </c>
    </row>
    <row r="351">
      <c r="A351">
        <f>IF(OR(Calc!$E354="",Calc!$E354="نامعتبر",Calc!$G354="",Calc!$I354&lt;&gt;"خرید"),"",Calc!$G354)</f>
        <v/>
      </c>
      <c r="B351">
        <f>IF($A351="","",LEFT(Calc!$E354,4)&amp;MID(Calc!$E354,6,2)&amp;RIGHT(Calc!$E354,2)&amp;Calc!$R354&amp;"|"&amp;"1"&amp;RIGHT("00000"&amp;346,5))</f>
        <v/>
      </c>
      <c r="C351">
        <f>IF($B351="","",COUNTIFS(LdgPartyA,$A351,LdgKeyA,"&lt;"&amp;$B351)+COUNTIFS(LdgPartyB,$A351,LdgKeyB,"&lt;"&amp;$B351)+1)</f>
        <v/>
      </c>
      <c r="D351">
        <f>IF($C351="","",$A351&amp;"|"&amp;RIGHT("000000"&amp;$C351,6))</f>
        <v/>
      </c>
      <c r="F351">
        <f>IF(Sync!$AJ351="","",Sync!$AJ351)</f>
        <v/>
      </c>
      <c r="G351">
        <f>IF($F351="","",IF(Sync!$AG351="","",IF(ISNUMBER(Sync!$AG351),IF(AND(Sync!$AG351&gt;=10000101,Sync!$AG351&lt;=99991231),INT(Sync!$AG351/10000),""),IFERROR(VALUE(TRIM(LEFT(Sync!$AG351,FIND("/",Sync!$AG351)-1))),""))))</f>
        <v/>
      </c>
      <c r="H351">
        <f>IF(OR($F351="",$G351=""),"",IF(ISNUMBER(Sync!$AG351),INT(MOD(Sync!$AG351,10000)/100),IFERROR(VALUE(TRIM(LEFT(MID(Sync!$AG351,FIND("/",Sync!$AG351)+1,20),FIND("/",MID(Sync!$AG351,FIND("/",Sync!$AG351)+1,20))-1))),"")))</f>
        <v/>
      </c>
      <c r="I351">
        <f>IF(OR($F351="",$G351=""),"",IF(ISNUMBER(Sync!$AG351),MOD(Sync!$AG351,100),IFERROR(VALUE(TRIM(MID(MID(Sync!$AG351,FIND("/",Sync!$AG351)+1,20),FIND("/",MID(Sync!$AG351,FIND("/",Sync!$AG351)+1,20))+1,20))),"")))</f>
        <v/>
      </c>
      <c r="J351">
        <f>IF($F351="","",IF(OR($G351="",$H351="",$I351="",$G351&lt;1300,$G351&gt;1500,$H351&lt;1,$H351&gt;12,$I351&lt;1,$I351&gt;31),"نامعتبر",RIGHT("0000"&amp;$G351,4)&amp;"/"&amp;RIGHT("00"&amp;$H351,2)&amp;"/"&amp;RIGHT("00"&amp;$I351,2)))</f>
        <v/>
      </c>
      <c r="K351">
        <f>IF(OR($F351="",$J351="",$J351="نامعتبر"),"",LEFT($J351,4)&amp;MID($J351,6,2)&amp;RIGHT($J351,2)&amp;$N351&amp;"|"&amp;"2"&amp;RIGHT("00000"&amp;346,5))</f>
        <v/>
      </c>
      <c r="L351">
        <f>IF($K351="","",COUNTIFS(LdgPartyA,$F351,LdgKeyA,"&lt;"&amp;$K351)+COUNTIFS(LdgPartyB,$F351,LdgKeyB,"&lt;"&amp;$K351)+1)</f>
        <v/>
      </c>
      <c r="M351">
        <f>IF($L351="","",$F351&amp;"|"&amp;RIGHT("000000"&amp;$L351,6))</f>
        <v/>
      </c>
      <c r="N351">
        <f>IF($F351="","",IF(Sync!$AH351="","0000",IF(AND(ISNUMBER(Sync!$AH351),Sync!$AH351&gt;=0,Sync!$AH351&lt;1),RIGHT("00"&amp;HOUR(Sync!$AH351),2)&amp;RIGHT("00"&amp;MINUTE(Sync!$AH351),2),IFERROR(RIGHT("00"&amp;VALUE(LEFT(Sync!$AH351,FIND(":",Sync!$AH351)-1)),2)&amp;RIGHT("00"&amp;VALUE(MID(Sync!$AH351,FIND(":",Sync!$AH351)+1,2)),2),"0000"))))</f>
        <v/>
      </c>
    </row>
    <row r="352">
      <c r="A352">
        <f>IF(OR(Calc!$E355="",Calc!$E355="نامعتبر",Calc!$G355="",Calc!$I355&lt;&gt;"خرید"),"",Calc!$G355)</f>
        <v/>
      </c>
      <c r="B352">
        <f>IF($A352="","",LEFT(Calc!$E355,4)&amp;MID(Calc!$E355,6,2)&amp;RIGHT(Calc!$E355,2)&amp;Calc!$R355&amp;"|"&amp;"1"&amp;RIGHT("00000"&amp;347,5))</f>
        <v/>
      </c>
      <c r="C352">
        <f>IF($B352="","",COUNTIFS(LdgPartyA,$A352,LdgKeyA,"&lt;"&amp;$B352)+COUNTIFS(LdgPartyB,$A352,LdgKeyB,"&lt;"&amp;$B352)+1)</f>
        <v/>
      </c>
      <c r="D352">
        <f>IF($C352="","",$A352&amp;"|"&amp;RIGHT("000000"&amp;$C352,6))</f>
        <v/>
      </c>
      <c r="F352">
        <f>IF(Sync!$AJ352="","",Sync!$AJ352)</f>
        <v/>
      </c>
      <c r="G352">
        <f>IF($F352="","",IF(Sync!$AG352="","",IF(ISNUMBER(Sync!$AG352),IF(AND(Sync!$AG352&gt;=10000101,Sync!$AG352&lt;=99991231),INT(Sync!$AG352/10000),""),IFERROR(VALUE(TRIM(LEFT(Sync!$AG352,FIND("/",Sync!$AG352)-1))),""))))</f>
        <v/>
      </c>
      <c r="H352">
        <f>IF(OR($F352="",$G352=""),"",IF(ISNUMBER(Sync!$AG352),INT(MOD(Sync!$AG352,10000)/100),IFERROR(VALUE(TRIM(LEFT(MID(Sync!$AG352,FIND("/",Sync!$AG352)+1,20),FIND("/",MID(Sync!$AG352,FIND("/",Sync!$AG352)+1,20))-1))),"")))</f>
        <v/>
      </c>
      <c r="I352">
        <f>IF(OR($F352="",$G352=""),"",IF(ISNUMBER(Sync!$AG352),MOD(Sync!$AG352,100),IFERROR(VALUE(TRIM(MID(MID(Sync!$AG352,FIND("/",Sync!$AG352)+1,20),FIND("/",MID(Sync!$AG352,FIND("/",Sync!$AG352)+1,20))+1,20))),"")))</f>
        <v/>
      </c>
      <c r="J352">
        <f>IF($F352="","",IF(OR($G352="",$H352="",$I352="",$G352&lt;1300,$G352&gt;1500,$H352&lt;1,$H352&gt;12,$I352&lt;1,$I352&gt;31),"نامعتبر",RIGHT("0000"&amp;$G352,4)&amp;"/"&amp;RIGHT("00"&amp;$H352,2)&amp;"/"&amp;RIGHT("00"&amp;$I352,2)))</f>
        <v/>
      </c>
      <c r="K352">
        <f>IF(OR($F352="",$J352="",$J352="نامعتبر"),"",LEFT($J352,4)&amp;MID($J352,6,2)&amp;RIGHT($J352,2)&amp;$N352&amp;"|"&amp;"2"&amp;RIGHT("00000"&amp;347,5))</f>
        <v/>
      </c>
      <c r="L352">
        <f>IF($K352="","",COUNTIFS(LdgPartyA,$F352,LdgKeyA,"&lt;"&amp;$K352)+COUNTIFS(LdgPartyB,$F352,LdgKeyB,"&lt;"&amp;$K352)+1)</f>
        <v/>
      </c>
      <c r="M352">
        <f>IF($L352="","",$F352&amp;"|"&amp;RIGHT("000000"&amp;$L352,6))</f>
        <v/>
      </c>
      <c r="N352">
        <f>IF($F352="","",IF(Sync!$AH352="","0000",IF(AND(ISNUMBER(Sync!$AH352),Sync!$AH352&gt;=0,Sync!$AH352&lt;1),RIGHT("00"&amp;HOUR(Sync!$AH352),2)&amp;RIGHT("00"&amp;MINUTE(Sync!$AH352),2),IFERROR(RIGHT("00"&amp;VALUE(LEFT(Sync!$AH352,FIND(":",Sync!$AH352)-1)),2)&amp;RIGHT("00"&amp;VALUE(MID(Sync!$AH352,FIND(":",Sync!$AH352)+1,2)),2),"0000"))))</f>
        <v/>
      </c>
    </row>
    <row r="353">
      <c r="A353">
        <f>IF(OR(Calc!$E356="",Calc!$E356="نامعتبر",Calc!$G356="",Calc!$I356&lt;&gt;"خرید"),"",Calc!$G356)</f>
        <v/>
      </c>
      <c r="B353">
        <f>IF($A353="","",LEFT(Calc!$E356,4)&amp;MID(Calc!$E356,6,2)&amp;RIGHT(Calc!$E356,2)&amp;Calc!$R356&amp;"|"&amp;"1"&amp;RIGHT("00000"&amp;348,5))</f>
        <v/>
      </c>
      <c r="C353">
        <f>IF($B353="","",COUNTIFS(LdgPartyA,$A353,LdgKeyA,"&lt;"&amp;$B353)+COUNTIFS(LdgPartyB,$A353,LdgKeyB,"&lt;"&amp;$B353)+1)</f>
        <v/>
      </c>
      <c r="D353">
        <f>IF($C353="","",$A353&amp;"|"&amp;RIGHT("000000"&amp;$C353,6))</f>
        <v/>
      </c>
      <c r="F353">
        <f>IF(Sync!$AJ353="","",Sync!$AJ353)</f>
        <v/>
      </c>
      <c r="G353">
        <f>IF($F353="","",IF(Sync!$AG353="","",IF(ISNUMBER(Sync!$AG353),IF(AND(Sync!$AG353&gt;=10000101,Sync!$AG353&lt;=99991231),INT(Sync!$AG353/10000),""),IFERROR(VALUE(TRIM(LEFT(Sync!$AG353,FIND("/",Sync!$AG353)-1))),""))))</f>
        <v/>
      </c>
      <c r="H353">
        <f>IF(OR($F353="",$G353=""),"",IF(ISNUMBER(Sync!$AG353),INT(MOD(Sync!$AG353,10000)/100),IFERROR(VALUE(TRIM(LEFT(MID(Sync!$AG353,FIND("/",Sync!$AG353)+1,20),FIND("/",MID(Sync!$AG353,FIND("/",Sync!$AG353)+1,20))-1))),"")))</f>
        <v/>
      </c>
      <c r="I353">
        <f>IF(OR($F353="",$G353=""),"",IF(ISNUMBER(Sync!$AG353),MOD(Sync!$AG353,100),IFERROR(VALUE(TRIM(MID(MID(Sync!$AG353,FIND("/",Sync!$AG353)+1,20),FIND("/",MID(Sync!$AG353,FIND("/",Sync!$AG353)+1,20))+1,20))),"")))</f>
        <v/>
      </c>
      <c r="J353">
        <f>IF($F353="","",IF(OR($G353="",$H353="",$I353="",$G353&lt;1300,$G353&gt;1500,$H353&lt;1,$H353&gt;12,$I353&lt;1,$I353&gt;31),"نامعتبر",RIGHT("0000"&amp;$G353,4)&amp;"/"&amp;RIGHT("00"&amp;$H353,2)&amp;"/"&amp;RIGHT("00"&amp;$I353,2)))</f>
        <v/>
      </c>
      <c r="K353">
        <f>IF(OR($F353="",$J353="",$J353="نامعتبر"),"",LEFT($J353,4)&amp;MID($J353,6,2)&amp;RIGHT($J353,2)&amp;$N353&amp;"|"&amp;"2"&amp;RIGHT("00000"&amp;348,5))</f>
        <v/>
      </c>
      <c r="L353">
        <f>IF($K353="","",COUNTIFS(LdgPartyA,$F353,LdgKeyA,"&lt;"&amp;$K353)+COUNTIFS(LdgPartyB,$F353,LdgKeyB,"&lt;"&amp;$K353)+1)</f>
        <v/>
      </c>
      <c r="M353">
        <f>IF($L353="","",$F353&amp;"|"&amp;RIGHT("000000"&amp;$L353,6))</f>
        <v/>
      </c>
      <c r="N353">
        <f>IF($F353="","",IF(Sync!$AH353="","0000",IF(AND(ISNUMBER(Sync!$AH353),Sync!$AH353&gt;=0,Sync!$AH353&lt;1),RIGHT("00"&amp;HOUR(Sync!$AH353),2)&amp;RIGHT("00"&amp;MINUTE(Sync!$AH353),2),IFERROR(RIGHT("00"&amp;VALUE(LEFT(Sync!$AH353,FIND(":",Sync!$AH353)-1)),2)&amp;RIGHT("00"&amp;VALUE(MID(Sync!$AH353,FIND(":",Sync!$AH353)+1,2)),2),"0000"))))</f>
        <v/>
      </c>
    </row>
    <row r="354">
      <c r="A354">
        <f>IF(OR(Calc!$E357="",Calc!$E357="نامعتبر",Calc!$G357="",Calc!$I357&lt;&gt;"خرید"),"",Calc!$G357)</f>
        <v/>
      </c>
      <c r="B354">
        <f>IF($A354="","",LEFT(Calc!$E357,4)&amp;MID(Calc!$E357,6,2)&amp;RIGHT(Calc!$E357,2)&amp;Calc!$R357&amp;"|"&amp;"1"&amp;RIGHT("00000"&amp;349,5))</f>
        <v/>
      </c>
      <c r="C354">
        <f>IF($B354="","",COUNTIFS(LdgPartyA,$A354,LdgKeyA,"&lt;"&amp;$B354)+COUNTIFS(LdgPartyB,$A354,LdgKeyB,"&lt;"&amp;$B354)+1)</f>
        <v/>
      </c>
      <c r="D354">
        <f>IF($C354="","",$A354&amp;"|"&amp;RIGHT("000000"&amp;$C354,6))</f>
        <v/>
      </c>
      <c r="F354">
        <f>IF(Sync!$AJ354="","",Sync!$AJ354)</f>
        <v/>
      </c>
      <c r="G354">
        <f>IF($F354="","",IF(Sync!$AG354="","",IF(ISNUMBER(Sync!$AG354),IF(AND(Sync!$AG354&gt;=10000101,Sync!$AG354&lt;=99991231),INT(Sync!$AG354/10000),""),IFERROR(VALUE(TRIM(LEFT(Sync!$AG354,FIND("/",Sync!$AG354)-1))),""))))</f>
        <v/>
      </c>
      <c r="H354">
        <f>IF(OR($F354="",$G354=""),"",IF(ISNUMBER(Sync!$AG354),INT(MOD(Sync!$AG354,10000)/100),IFERROR(VALUE(TRIM(LEFT(MID(Sync!$AG354,FIND("/",Sync!$AG354)+1,20),FIND("/",MID(Sync!$AG354,FIND("/",Sync!$AG354)+1,20))-1))),"")))</f>
        <v/>
      </c>
      <c r="I354">
        <f>IF(OR($F354="",$G354=""),"",IF(ISNUMBER(Sync!$AG354),MOD(Sync!$AG354,100),IFERROR(VALUE(TRIM(MID(MID(Sync!$AG354,FIND("/",Sync!$AG354)+1,20),FIND("/",MID(Sync!$AG354,FIND("/",Sync!$AG354)+1,20))+1,20))),"")))</f>
        <v/>
      </c>
      <c r="J354">
        <f>IF($F354="","",IF(OR($G354="",$H354="",$I354="",$G354&lt;1300,$G354&gt;1500,$H354&lt;1,$H354&gt;12,$I354&lt;1,$I354&gt;31),"نامعتبر",RIGHT("0000"&amp;$G354,4)&amp;"/"&amp;RIGHT("00"&amp;$H354,2)&amp;"/"&amp;RIGHT("00"&amp;$I354,2)))</f>
        <v/>
      </c>
      <c r="K354">
        <f>IF(OR($F354="",$J354="",$J354="نامعتبر"),"",LEFT($J354,4)&amp;MID($J354,6,2)&amp;RIGHT($J354,2)&amp;$N354&amp;"|"&amp;"2"&amp;RIGHT("00000"&amp;349,5))</f>
        <v/>
      </c>
      <c r="L354">
        <f>IF($K354="","",COUNTIFS(LdgPartyA,$F354,LdgKeyA,"&lt;"&amp;$K354)+COUNTIFS(LdgPartyB,$F354,LdgKeyB,"&lt;"&amp;$K354)+1)</f>
        <v/>
      </c>
      <c r="M354">
        <f>IF($L354="","",$F354&amp;"|"&amp;RIGHT("000000"&amp;$L354,6))</f>
        <v/>
      </c>
      <c r="N354">
        <f>IF($F354="","",IF(Sync!$AH354="","0000",IF(AND(ISNUMBER(Sync!$AH354),Sync!$AH354&gt;=0,Sync!$AH354&lt;1),RIGHT("00"&amp;HOUR(Sync!$AH354),2)&amp;RIGHT("00"&amp;MINUTE(Sync!$AH354),2),IFERROR(RIGHT("00"&amp;VALUE(LEFT(Sync!$AH354,FIND(":",Sync!$AH354)-1)),2)&amp;RIGHT("00"&amp;VALUE(MID(Sync!$AH354,FIND(":",Sync!$AH354)+1,2)),2),"0000"))))</f>
        <v/>
      </c>
    </row>
    <row r="355">
      <c r="A355">
        <f>IF(OR(Calc!$E358="",Calc!$E358="نامعتبر",Calc!$G358="",Calc!$I358&lt;&gt;"خرید"),"",Calc!$G358)</f>
        <v/>
      </c>
      <c r="B355">
        <f>IF($A355="","",LEFT(Calc!$E358,4)&amp;MID(Calc!$E358,6,2)&amp;RIGHT(Calc!$E358,2)&amp;Calc!$R358&amp;"|"&amp;"1"&amp;RIGHT("00000"&amp;350,5))</f>
        <v/>
      </c>
      <c r="C355">
        <f>IF($B355="","",COUNTIFS(LdgPartyA,$A355,LdgKeyA,"&lt;"&amp;$B355)+COUNTIFS(LdgPartyB,$A355,LdgKeyB,"&lt;"&amp;$B355)+1)</f>
        <v/>
      </c>
      <c r="D355">
        <f>IF($C355="","",$A355&amp;"|"&amp;RIGHT("000000"&amp;$C355,6))</f>
        <v/>
      </c>
      <c r="F355">
        <f>IF(Sync!$AJ355="","",Sync!$AJ355)</f>
        <v/>
      </c>
      <c r="G355">
        <f>IF($F355="","",IF(Sync!$AG355="","",IF(ISNUMBER(Sync!$AG355),IF(AND(Sync!$AG355&gt;=10000101,Sync!$AG355&lt;=99991231),INT(Sync!$AG355/10000),""),IFERROR(VALUE(TRIM(LEFT(Sync!$AG355,FIND("/",Sync!$AG355)-1))),""))))</f>
        <v/>
      </c>
      <c r="H355">
        <f>IF(OR($F355="",$G355=""),"",IF(ISNUMBER(Sync!$AG355),INT(MOD(Sync!$AG355,10000)/100),IFERROR(VALUE(TRIM(LEFT(MID(Sync!$AG355,FIND("/",Sync!$AG355)+1,20),FIND("/",MID(Sync!$AG355,FIND("/",Sync!$AG355)+1,20))-1))),"")))</f>
        <v/>
      </c>
      <c r="I355">
        <f>IF(OR($F355="",$G355=""),"",IF(ISNUMBER(Sync!$AG355),MOD(Sync!$AG355,100),IFERROR(VALUE(TRIM(MID(MID(Sync!$AG355,FIND("/",Sync!$AG355)+1,20),FIND("/",MID(Sync!$AG355,FIND("/",Sync!$AG355)+1,20))+1,20))),"")))</f>
        <v/>
      </c>
      <c r="J355">
        <f>IF($F355="","",IF(OR($G355="",$H355="",$I355="",$G355&lt;1300,$G355&gt;1500,$H355&lt;1,$H355&gt;12,$I355&lt;1,$I355&gt;31),"نامعتبر",RIGHT("0000"&amp;$G355,4)&amp;"/"&amp;RIGHT("00"&amp;$H355,2)&amp;"/"&amp;RIGHT("00"&amp;$I355,2)))</f>
        <v/>
      </c>
      <c r="K355">
        <f>IF(OR($F355="",$J355="",$J355="نامعتبر"),"",LEFT($J355,4)&amp;MID($J355,6,2)&amp;RIGHT($J355,2)&amp;$N355&amp;"|"&amp;"2"&amp;RIGHT("00000"&amp;350,5))</f>
        <v/>
      </c>
      <c r="L355">
        <f>IF($K355="","",COUNTIFS(LdgPartyA,$F355,LdgKeyA,"&lt;"&amp;$K355)+COUNTIFS(LdgPartyB,$F355,LdgKeyB,"&lt;"&amp;$K355)+1)</f>
        <v/>
      </c>
      <c r="M355">
        <f>IF($L355="","",$F355&amp;"|"&amp;RIGHT("000000"&amp;$L355,6))</f>
        <v/>
      </c>
      <c r="N355">
        <f>IF($F355="","",IF(Sync!$AH355="","0000",IF(AND(ISNUMBER(Sync!$AH355),Sync!$AH355&gt;=0,Sync!$AH355&lt;1),RIGHT("00"&amp;HOUR(Sync!$AH355),2)&amp;RIGHT("00"&amp;MINUTE(Sync!$AH355),2),IFERROR(RIGHT("00"&amp;VALUE(LEFT(Sync!$AH355,FIND(":",Sync!$AH355)-1)),2)&amp;RIGHT("00"&amp;VALUE(MID(Sync!$AH355,FIND(":",Sync!$AH355)+1,2)),2),"0000"))))</f>
        <v/>
      </c>
    </row>
    <row r="356">
      <c r="A356">
        <f>IF(OR(Calc!$E359="",Calc!$E359="نامعتبر",Calc!$G359="",Calc!$I359&lt;&gt;"خرید"),"",Calc!$G359)</f>
        <v/>
      </c>
      <c r="B356">
        <f>IF($A356="","",LEFT(Calc!$E359,4)&amp;MID(Calc!$E359,6,2)&amp;RIGHT(Calc!$E359,2)&amp;Calc!$R359&amp;"|"&amp;"1"&amp;RIGHT("00000"&amp;351,5))</f>
        <v/>
      </c>
      <c r="C356">
        <f>IF($B356="","",COUNTIFS(LdgPartyA,$A356,LdgKeyA,"&lt;"&amp;$B356)+COUNTIFS(LdgPartyB,$A356,LdgKeyB,"&lt;"&amp;$B356)+1)</f>
        <v/>
      </c>
      <c r="D356">
        <f>IF($C356="","",$A356&amp;"|"&amp;RIGHT("000000"&amp;$C356,6))</f>
        <v/>
      </c>
      <c r="F356">
        <f>IF(Sync!$AJ356="","",Sync!$AJ356)</f>
        <v/>
      </c>
      <c r="G356">
        <f>IF($F356="","",IF(Sync!$AG356="","",IF(ISNUMBER(Sync!$AG356),IF(AND(Sync!$AG356&gt;=10000101,Sync!$AG356&lt;=99991231),INT(Sync!$AG356/10000),""),IFERROR(VALUE(TRIM(LEFT(Sync!$AG356,FIND("/",Sync!$AG356)-1))),""))))</f>
        <v/>
      </c>
      <c r="H356">
        <f>IF(OR($F356="",$G356=""),"",IF(ISNUMBER(Sync!$AG356),INT(MOD(Sync!$AG356,10000)/100),IFERROR(VALUE(TRIM(LEFT(MID(Sync!$AG356,FIND("/",Sync!$AG356)+1,20),FIND("/",MID(Sync!$AG356,FIND("/",Sync!$AG356)+1,20))-1))),"")))</f>
        <v/>
      </c>
      <c r="I356">
        <f>IF(OR($F356="",$G356=""),"",IF(ISNUMBER(Sync!$AG356),MOD(Sync!$AG356,100),IFERROR(VALUE(TRIM(MID(MID(Sync!$AG356,FIND("/",Sync!$AG356)+1,20),FIND("/",MID(Sync!$AG356,FIND("/",Sync!$AG356)+1,20))+1,20))),"")))</f>
        <v/>
      </c>
      <c r="J356">
        <f>IF($F356="","",IF(OR($G356="",$H356="",$I356="",$G356&lt;1300,$G356&gt;1500,$H356&lt;1,$H356&gt;12,$I356&lt;1,$I356&gt;31),"نامعتبر",RIGHT("0000"&amp;$G356,4)&amp;"/"&amp;RIGHT("00"&amp;$H356,2)&amp;"/"&amp;RIGHT("00"&amp;$I356,2)))</f>
        <v/>
      </c>
      <c r="K356">
        <f>IF(OR($F356="",$J356="",$J356="نامعتبر"),"",LEFT($J356,4)&amp;MID($J356,6,2)&amp;RIGHT($J356,2)&amp;$N356&amp;"|"&amp;"2"&amp;RIGHT("00000"&amp;351,5))</f>
        <v/>
      </c>
      <c r="L356">
        <f>IF($K356="","",COUNTIFS(LdgPartyA,$F356,LdgKeyA,"&lt;"&amp;$K356)+COUNTIFS(LdgPartyB,$F356,LdgKeyB,"&lt;"&amp;$K356)+1)</f>
        <v/>
      </c>
      <c r="M356">
        <f>IF($L356="","",$F356&amp;"|"&amp;RIGHT("000000"&amp;$L356,6))</f>
        <v/>
      </c>
      <c r="N356">
        <f>IF($F356="","",IF(Sync!$AH356="","0000",IF(AND(ISNUMBER(Sync!$AH356),Sync!$AH356&gt;=0,Sync!$AH356&lt;1),RIGHT("00"&amp;HOUR(Sync!$AH356),2)&amp;RIGHT("00"&amp;MINUTE(Sync!$AH356),2),IFERROR(RIGHT("00"&amp;VALUE(LEFT(Sync!$AH356,FIND(":",Sync!$AH356)-1)),2)&amp;RIGHT("00"&amp;VALUE(MID(Sync!$AH356,FIND(":",Sync!$AH356)+1,2)),2),"0000"))))</f>
        <v/>
      </c>
    </row>
    <row r="357">
      <c r="A357">
        <f>IF(OR(Calc!$E360="",Calc!$E360="نامعتبر",Calc!$G360="",Calc!$I360&lt;&gt;"خرید"),"",Calc!$G360)</f>
        <v/>
      </c>
      <c r="B357">
        <f>IF($A357="","",LEFT(Calc!$E360,4)&amp;MID(Calc!$E360,6,2)&amp;RIGHT(Calc!$E360,2)&amp;Calc!$R360&amp;"|"&amp;"1"&amp;RIGHT("00000"&amp;352,5))</f>
        <v/>
      </c>
      <c r="C357">
        <f>IF($B357="","",COUNTIFS(LdgPartyA,$A357,LdgKeyA,"&lt;"&amp;$B357)+COUNTIFS(LdgPartyB,$A357,LdgKeyB,"&lt;"&amp;$B357)+1)</f>
        <v/>
      </c>
      <c r="D357">
        <f>IF($C357="","",$A357&amp;"|"&amp;RIGHT("000000"&amp;$C357,6))</f>
        <v/>
      </c>
      <c r="F357">
        <f>IF(Sync!$AJ357="","",Sync!$AJ357)</f>
        <v/>
      </c>
      <c r="G357">
        <f>IF($F357="","",IF(Sync!$AG357="","",IF(ISNUMBER(Sync!$AG357),IF(AND(Sync!$AG357&gt;=10000101,Sync!$AG357&lt;=99991231),INT(Sync!$AG357/10000),""),IFERROR(VALUE(TRIM(LEFT(Sync!$AG357,FIND("/",Sync!$AG357)-1))),""))))</f>
        <v/>
      </c>
      <c r="H357">
        <f>IF(OR($F357="",$G357=""),"",IF(ISNUMBER(Sync!$AG357),INT(MOD(Sync!$AG357,10000)/100),IFERROR(VALUE(TRIM(LEFT(MID(Sync!$AG357,FIND("/",Sync!$AG357)+1,20),FIND("/",MID(Sync!$AG357,FIND("/",Sync!$AG357)+1,20))-1))),"")))</f>
        <v/>
      </c>
      <c r="I357">
        <f>IF(OR($F357="",$G357=""),"",IF(ISNUMBER(Sync!$AG357),MOD(Sync!$AG357,100),IFERROR(VALUE(TRIM(MID(MID(Sync!$AG357,FIND("/",Sync!$AG357)+1,20),FIND("/",MID(Sync!$AG357,FIND("/",Sync!$AG357)+1,20))+1,20))),"")))</f>
        <v/>
      </c>
      <c r="J357">
        <f>IF($F357="","",IF(OR($G357="",$H357="",$I357="",$G357&lt;1300,$G357&gt;1500,$H357&lt;1,$H357&gt;12,$I357&lt;1,$I357&gt;31),"نامعتبر",RIGHT("0000"&amp;$G357,4)&amp;"/"&amp;RIGHT("00"&amp;$H357,2)&amp;"/"&amp;RIGHT("00"&amp;$I357,2)))</f>
        <v/>
      </c>
      <c r="K357">
        <f>IF(OR($F357="",$J357="",$J357="نامعتبر"),"",LEFT($J357,4)&amp;MID($J357,6,2)&amp;RIGHT($J357,2)&amp;$N357&amp;"|"&amp;"2"&amp;RIGHT("00000"&amp;352,5))</f>
        <v/>
      </c>
      <c r="L357">
        <f>IF($K357="","",COUNTIFS(LdgPartyA,$F357,LdgKeyA,"&lt;"&amp;$K357)+COUNTIFS(LdgPartyB,$F357,LdgKeyB,"&lt;"&amp;$K357)+1)</f>
        <v/>
      </c>
      <c r="M357">
        <f>IF($L357="","",$F357&amp;"|"&amp;RIGHT("000000"&amp;$L357,6))</f>
        <v/>
      </c>
      <c r="N357">
        <f>IF($F357="","",IF(Sync!$AH357="","0000",IF(AND(ISNUMBER(Sync!$AH357),Sync!$AH357&gt;=0,Sync!$AH357&lt;1),RIGHT("00"&amp;HOUR(Sync!$AH357),2)&amp;RIGHT("00"&amp;MINUTE(Sync!$AH357),2),IFERROR(RIGHT("00"&amp;VALUE(LEFT(Sync!$AH357,FIND(":",Sync!$AH357)-1)),2)&amp;RIGHT("00"&amp;VALUE(MID(Sync!$AH357,FIND(":",Sync!$AH357)+1,2)),2),"0000"))))</f>
        <v/>
      </c>
    </row>
    <row r="358">
      <c r="A358">
        <f>IF(OR(Calc!$E361="",Calc!$E361="نامعتبر",Calc!$G361="",Calc!$I361&lt;&gt;"خرید"),"",Calc!$G361)</f>
        <v/>
      </c>
      <c r="B358">
        <f>IF($A358="","",LEFT(Calc!$E361,4)&amp;MID(Calc!$E361,6,2)&amp;RIGHT(Calc!$E361,2)&amp;Calc!$R361&amp;"|"&amp;"1"&amp;RIGHT("00000"&amp;353,5))</f>
        <v/>
      </c>
      <c r="C358">
        <f>IF($B358="","",COUNTIFS(LdgPartyA,$A358,LdgKeyA,"&lt;"&amp;$B358)+COUNTIFS(LdgPartyB,$A358,LdgKeyB,"&lt;"&amp;$B358)+1)</f>
        <v/>
      </c>
      <c r="D358">
        <f>IF($C358="","",$A358&amp;"|"&amp;RIGHT("000000"&amp;$C358,6))</f>
        <v/>
      </c>
      <c r="F358">
        <f>IF(Sync!$AJ358="","",Sync!$AJ358)</f>
        <v/>
      </c>
      <c r="G358">
        <f>IF($F358="","",IF(Sync!$AG358="","",IF(ISNUMBER(Sync!$AG358),IF(AND(Sync!$AG358&gt;=10000101,Sync!$AG358&lt;=99991231),INT(Sync!$AG358/10000),""),IFERROR(VALUE(TRIM(LEFT(Sync!$AG358,FIND("/",Sync!$AG358)-1))),""))))</f>
        <v/>
      </c>
      <c r="H358">
        <f>IF(OR($F358="",$G358=""),"",IF(ISNUMBER(Sync!$AG358),INT(MOD(Sync!$AG358,10000)/100),IFERROR(VALUE(TRIM(LEFT(MID(Sync!$AG358,FIND("/",Sync!$AG358)+1,20),FIND("/",MID(Sync!$AG358,FIND("/",Sync!$AG358)+1,20))-1))),"")))</f>
        <v/>
      </c>
      <c r="I358">
        <f>IF(OR($F358="",$G358=""),"",IF(ISNUMBER(Sync!$AG358),MOD(Sync!$AG358,100),IFERROR(VALUE(TRIM(MID(MID(Sync!$AG358,FIND("/",Sync!$AG358)+1,20),FIND("/",MID(Sync!$AG358,FIND("/",Sync!$AG358)+1,20))+1,20))),"")))</f>
        <v/>
      </c>
      <c r="J358">
        <f>IF($F358="","",IF(OR($G358="",$H358="",$I358="",$G358&lt;1300,$G358&gt;1500,$H358&lt;1,$H358&gt;12,$I358&lt;1,$I358&gt;31),"نامعتبر",RIGHT("0000"&amp;$G358,4)&amp;"/"&amp;RIGHT("00"&amp;$H358,2)&amp;"/"&amp;RIGHT("00"&amp;$I358,2)))</f>
        <v/>
      </c>
      <c r="K358">
        <f>IF(OR($F358="",$J358="",$J358="نامعتبر"),"",LEFT($J358,4)&amp;MID($J358,6,2)&amp;RIGHT($J358,2)&amp;$N358&amp;"|"&amp;"2"&amp;RIGHT("00000"&amp;353,5))</f>
        <v/>
      </c>
      <c r="L358">
        <f>IF($K358="","",COUNTIFS(LdgPartyA,$F358,LdgKeyA,"&lt;"&amp;$K358)+COUNTIFS(LdgPartyB,$F358,LdgKeyB,"&lt;"&amp;$K358)+1)</f>
        <v/>
      </c>
      <c r="M358">
        <f>IF($L358="","",$F358&amp;"|"&amp;RIGHT("000000"&amp;$L358,6))</f>
        <v/>
      </c>
      <c r="N358">
        <f>IF($F358="","",IF(Sync!$AH358="","0000",IF(AND(ISNUMBER(Sync!$AH358),Sync!$AH358&gt;=0,Sync!$AH358&lt;1),RIGHT("00"&amp;HOUR(Sync!$AH358),2)&amp;RIGHT("00"&amp;MINUTE(Sync!$AH358),2),IFERROR(RIGHT("00"&amp;VALUE(LEFT(Sync!$AH358,FIND(":",Sync!$AH358)-1)),2)&amp;RIGHT("00"&amp;VALUE(MID(Sync!$AH358,FIND(":",Sync!$AH358)+1,2)),2),"0000"))))</f>
        <v/>
      </c>
    </row>
    <row r="359">
      <c r="A359">
        <f>IF(OR(Calc!$E362="",Calc!$E362="نامعتبر",Calc!$G362="",Calc!$I362&lt;&gt;"خرید"),"",Calc!$G362)</f>
        <v/>
      </c>
      <c r="B359">
        <f>IF($A359="","",LEFT(Calc!$E362,4)&amp;MID(Calc!$E362,6,2)&amp;RIGHT(Calc!$E362,2)&amp;Calc!$R362&amp;"|"&amp;"1"&amp;RIGHT("00000"&amp;354,5))</f>
        <v/>
      </c>
      <c r="C359">
        <f>IF($B359="","",COUNTIFS(LdgPartyA,$A359,LdgKeyA,"&lt;"&amp;$B359)+COUNTIFS(LdgPartyB,$A359,LdgKeyB,"&lt;"&amp;$B359)+1)</f>
        <v/>
      </c>
      <c r="D359">
        <f>IF($C359="","",$A359&amp;"|"&amp;RIGHT("000000"&amp;$C359,6))</f>
        <v/>
      </c>
      <c r="F359">
        <f>IF(Sync!$AJ359="","",Sync!$AJ359)</f>
        <v/>
      </c>
      <c r="G359">
        <f>IF($F359="","",IF(Sync!$AG359="","",IF(ISNUMBER(Sync!$AG359),IF(AND(Sync!$AG359&gt;=10000101,Sync!$AG359&lt;=99991231),INT(Sync!$AG359/10000),""),IFERROR(VALUE(TRIM(LEFT(Sync!$AG359,FIND("/",Sync!$AG359)-1))),""))))</f>
        <v/>
      </c>
      <c r="H359">
        <f>IF(OR($F359="",$G359=""),"",IF(ISNUMBER(Sync!$AG359),INT(MOD(Sync!$AG359,10000)/100),IFERROR(VALUE(TRIM(LEFT(MID(Sync!$AG359,FIND("/",Sync!$AG359)+1,20),FIND("/",MID(Sync!$AG359,FIND("/",Sync!$AG359)+1,20))-1))),"")))</f>
        <v/>
      </c>
      <c r="I359">
        <f>IF(OR($F359="",$G359=""),"",IF(ISNUMBER(Sync!$AG359),MOD(Sync!$AG359,100),IFERROR(VALUE(TRIM(MID(MID(Sync!$AG359,FIND("/",Sync!$AG359)+1,20),FIND("/",MID(Sync!$AG359,FIND("/",Sync!$AG359)+1,20))+1,20))),"")))</f>
        <v/>
      </c>
      <c r="J359">
        <f>IF($F359="","",IF(OR($G359="",$H359="",$I359="",$G359&lt;1300,$G359&gt;1500,$H359&lt;1,$H359&gt;12,$I359&lt;1,$I359&gt;31),"نامعتبر",RIGHT("0000"&amp;$G359,4)&amp;"/"&amp;RIGHT("00"&amp;$H359,2)&amp;"/"&amp;RIGHT("00"&amp;$I359,2)))</f>
        <v/>
      </c>
      <c r="K359">
        <f>IF(OR($F359="",$J359="",$J359="نامعتبر"),"",LEFT($J359,4)&amp;MID($J359,6,2)&amp;RIGHT($J359,2)&amp;$N359&amp;"|"&amp;"2"&amp;RIGHT("00000"&amp;354,5))</f>
        <v/>
      </c>
      <c r="L359">
        <f>IF($K359="","",COUNTIFS(LdgPartyA,$F359,LdgKeyA,"&lt;"&amp;$K359)+COUNTIFS(LdgPartyB,$F359,LdgKeyB,"&lt;"&amp;$K359)+1)</f>
        <v/>
      </c>
      <c r="M359">
        <f>IF($L359="","",$F359&amp;"|"&amp;RIGHT("000000"&amp;$L359,6))</f>
        <v/>
      </c>
      <c r="N359">
        <f>IF($F359="","",IF(Sync!$AH359="","0000",IF(AND(ISNUMBER(Sync!$AH359),Sync!$AH359&gt;=0,Sync!$AH359&lt;1),RIGHT("00"&amp;HOUR(Sync!$AH359),2)&amp;RIGHT("00"&amp;MINUTE(Sync!$AH359),2),IFERROR(RIGHT("00"&amp;VALUE(LEFT(Sync!$AH359,FIND(":",Sync!$AH359)-1)),2)&amp;RIGHT("00"&amp;VALUE(MID(Sync!$AH359,FIND(":",Sync!$AH359)+1,2)),2),"0000"))))</f>
        <v/>
      </c>
    </row>
    <row r="360">
      <c r="A360">
        <f>IF(OR(Calc!$E363="",Calc!$E363="نامعتبر",Calc!$G363="",Calc!$I363&lt;&gt;"خرید"),"",Calc!$G363)</f>
        <v/>
      </c>
      <c r="B360">
        <f>IF($A360="","",LEFT(Calc!$E363,4)&amp;MID(Calc!$E363,6,2)&amp;RIGHT(Calc!$E363,2)&amp;Calc!$R363&amp;"|"&amp;"1"&amp;RIGHT("00000"&amp;355,5))</f>
        <v/>
      </c>
      <c r="C360">
        <f>IF($B360="","",COUNTIFS(LdgPartyA,$A360,LdgKeyA,"&lt;"&amp;$B360)+COUNTIFS(LdgPartyB,$A360,LdgKeyB,"&lt;"&amp;$B360)+1)</f>
        <v/>
      </c>
      <c r="D360">
        <f>IF($C360="","",$A360&amp;"|"&amp;RIGHT("000000"&amp;$C360,6))</f>
        <v/>
      </c>
      <c r="F360">
        <f>IF(Sync!$AJ360="","",Sync!$AJ360)</f>
        <v/>
      </c>
      <c r="G360">
        <f>IF($F360="","",IF(Sync!$AG360="","",IF(ISNUMBER(Sync!$AG360),IF(AND(Sync!$AG360&gt;=10000101,Sync!$AG360&lt;=99991231),INT(Sync!$AG360/10000),""),IFERROR(VALUE(TRIM(LEFT(Sync!$AG360,FIND("/",Sync!$AG360)-1))),""))))</f>
        <v/>
      </c>
      <c r="H360">
        <f>IF(OR($F360="",$G360=""),"",IF(ISNUMBER(Sync!$AG360),INT(MOD(Sync!$AG360,10000)/100),IFERROR(VALUE(TRIM(LEFT(MID(Sync!$AG360,FIND("/",Sync!$AG360)+1,20),FIND("/",MID(Sync!$AG360,FIND("/",Sync!$AG360)+1,20))-1))),"")))</f>
        <v/>
      </c>
      <c r="I360">
        <f>IF(OR($F360="",$G360=""),"",IF(ISNUMBER(Sync!$AG360),MOD(Sync!$AG360,100),IFERROR(VALUE(TRIM(MID(MID(Sync!$AG360,FIND("/",Sync!$AG360)+1,20),FIND("/",MID(Sync!$AG360,FIND("/",Sync!$AG360)+1,20))+1,20))),"")))</f>
        <v/>
      </c>
      <c r="J360">
        <f>IF($F360="","",IF(OR($G360="",$H360="",$I360="",$G360&lt;1300,$G360&gt;1500,$H360&lt;1,$H360&gt;12,$I360&lt;1,$I360&gt;31),"نامعتبر",RIGHT("0000"&amp;$G360,4)&amp;"/"&amp;RIGHT("00"&amp;$H360,2)&amp;"/"&amp;RIGHT("00"&amp;$I360,2)))</f>
        <v/>
      </c>
      <c r="K360">
        <f>IF(OR($F360="",$J360="",$J360="نامعتبر"),"",LEFT($J360,4)&amp;MID($J360,6,2)&amp;RIGHT($J360,2)&amp;$N360&amp;"|"&amp;"2"&amp;RIGHT("00000"&amp;355,5))</f>
        <v/>
      </c>
      <c r="L360">
        <f>IF($K360="","",COUNTIFS(LdgPartyA,$F360,LdgKeyA,"&lt;"&amp;$K360)+COUNTIFS(LdgPartyB,$F360,LdgKeyB,"&lt;"&amp;$K360)+1)</f>
        <v/>
      </c>
      <c r="M360">
        <f>IF($L360="","",$F360&amp;"|"&amp;RIGHT("000000"&amp;$L360,6))</f>
        <v/>
      </c>
      <c r="N360">
        <f>IF($F360="","",IF(Sync!$AH360="","0000",IF(AND(ISNUMBER(Sync!$AH360),Sync!$AH360&gt;=0,Sync!$AH360&lt;1),RIGHT("00"&amp;HOUR(Sync!$AH360),2)&amp;RIGHT("00"&amp;MINUTE(Sync!$AH360),2),IFERROR(RIGHT("00"&amp;VALUE(LEFT(Sync!$AH360,FIND(":",Sync!$AH360)-1)),2)&amp;RIGHT("00"&amp;VALUE(MID(Sync!$AH360,FIND(":",Sync!$AH360)+1,2)),2),"0000"))))</f>
        <v/>
      </c>
    </row>
    <row r="361">
      <c r="A361">
        <f>IF(OR(Calc!$E364="",Calc!$E364="نامعتبر",Calc!$G364="",Calc!$I364&lt;&gt;"خرید"),"",Calc!$G364)</f>
        <v/>
      </c>
      <c r="B361">
        <f>IF($A361="","",LEFT(Calc!$E364,4)&amp;MID(Calc!$E364,6,2)&amp;RIGHT(Calc!$E364,2)&amp;Calc!$R364&amp;"|"&amp;"1"&amp;RIGHT("00000"&amp;356,5))</f>
        <v/>
      </c>
      <c r="C361">
        <f>IF($B361="","",COUNTIFS(LdgPartyA,$A361,LdgKeyA,"&lt;"&amp;$B361)+COUNTIFS(LdgPartyB,$A361,LdgKeyB,"&lt;"&amp;$B361)+1)</f>
        <v/>
      </c>
      <c r="D361">
        <f>IF($C361="","",$A361&amp;"|"&amp;RIGHT("000000"&amp;$C361,6))</f>
        <v/>
      </c>
      <c r="F361">
        <f>IF(Sync!$AJ361="","",Sync!$AJ361)</f>
        <v/>
      </c>
      <c r="G361">
        <f>IF($F361="","",IF(Sync!$AG361="","",IF(ISNUMBER(Sync!$AG361),IF(AND(Sync!$AG361&gt;=10000101,Sync!$AG361&lt;=99991231),INT(Sync!$AG361/10000),""),IFERROR(VALUE(TRIM(LEFT(Sync!$AG361,FIND("/",Sync!$AG361)-1))),""))))</f>
        <v/>
      </c>
      <c r="H361">
        <f>IF(OR($F361="",$G361=""),"",IF(ISNUMBER(Sync!$AG361),INT(MOD(Sync!$AG361,10000)/100),IFERROR(VALUE(TRIM(LEFT(MID(Sync!$AG361,FIND("/",Sync!$AG361)+1,20),FIND("/",MID(Sync!$AG361,FIND("/",Sync!$AG361)+1,20))-1))),"")))</f>
        <v/>
      </c>
      <c r="I361">
        <f>IF(OR($F361="",$G361=""),"",IF(ISNUMBER(Sync!$AG361),MOD(Sync!$AG361,100),IFERROR(VALUE(TRIM(MID(MID(Sync!$AG361,FIND("/",Sync!$AG361)+1,20),FIND("/",MID(Sync!$AG361,FIND("/",Sync!$AG361)+1,20))+1,20))),"")))</f>
        <v/>
      </c>
      <c r="J361">
        <f>IF($F361="","",IF(OR($G361="",$H361="",$I361="",$G361&lt;1300,$G361&gt;1500,$H361&lt;1,$H361&gt;12,$I361&lt;1,$I361&gt;31),"نامعتبر",RIGHT("0000"&amp;$G361,4)&amp;"/"&amp;RIGHT("00"&amp;$H361,2)&amp;"/"&amp;RIGHT("00"&amp;$I361,2)))</f>
        <v/>
      </c>
      <c r="K361">
        <f>IF(OR($F361="",$J361="",$J361="نامعتبر"),"",LEFT($J361,4)&amp;MID($J361,6,2)&amp;RIGHT($J361,2)&amp;$N361&amp;"|"&amp;"2"&amp;RIGHT("00000"&amp;356,5))</f>
        <v/>
      </c>
      <c r="L361">
        <f>IF($K361="","",COUNTIFS(LdgPartyA,$F361,LdgKeyA,"&lt;"&amp;$K361)+COUNTIFS(LdgPartyB,$F361,LdgKeyB,"&lt;"&amp;$K361)+1)</f>
        <v/>
      </c>
      <c r="M361">
        <f>IF($L361="","",$F361&amp;"|"&amp;RIGHT("000000"&amp;$L361,6))</f>
        <v/>
      </c>
      <c r="N361">
        <f>IF($F361="","",IF(Sync!$AH361="","0000",IF(AND(ISNUMBER(Sync!$AH361),Sync!$AH361&gt;=0,Sync!$AH361&lt;1),RIGHT("00"&amp;HOUR(Sync!$AH361),2)&amp;RIGHT("00"&amp;MINUTE(Sync!$AH361),2),IFERROR(RIGHT("00"&amp;VALUE(LEFT(Sync!$AH361,FIND(":",Sync!$AH361)-1)),2)&amp;RIGHT("00"&amp;VALUE(MID(Sync!$AH361,FIND(":",Sync!$AH361)+1,2)),2),"0000"))))</f>
        <v/>
      </c>
    </row>
    <row r="362">
      <c r="A362">
        <f>IF(OR(Calc!$E365="",Calc!$E365="نامعتبر",Calc!$G365="",Calc!$I365&lt;&gt;"خرید"),"",Calc!$G365)</f>
        <v/>
      </c>
      <c r="B362">
        <f>IF($A362="","",LEFT(Calc!$E365,4)&amp;MID(Calc!$E365,6,2)&amp;RIGHT(Calc!$E365,2)&amp;Calc!$R365&amp;"|"&amp;"1"&amp;RIGHT("00000"&amp;357,5))</f>
        <v/>
      </c>
      <c r="C362">
        <f>IF($B362="","",COUNTIFS(LdgPartyA,$A362,LdgKeyA,"&lt;"&amp;$B362)+COUNTIFS(LdgPartyB,$A362,LdgKeyB,"&lt;"&amp;$B362)+1)</f>
        <v/>
      </c>
      <c r="D362">
        <f>IF($C362="","",$A362&amp;"|"&amp;RIGHT("000000"&amp;$C362,6))</f>
        <v/>
      </c>
      <c r="F362">
        <f>IF(Sync!$AJ362="","",Sync!$AJ362)</f>
        <v/>
      </c>
      <c r="G362">
        <f>IF($F362="","",IF(Sync!$AG362="","",IF(ISNUMBER(Sync!$AG362),IF(AND(Sync!$AG362&gt;=10000101,Sync!$AG362&lt;=99991231),INT(Sync!$AG362/10000),""),IFERROR(VALUE(TRIM(LEFT(Sync!$AG362,FIND("/",Sync!$AG362)-1))),""))))</f>
        <v/>
      </c>
      <c r="H362">
        <f>IF(OR($F362="",$G362=""),"",IF(ISNUMBER(Sync!$AG362),INT(MOD(Sync!$AG362,10000)/100),IFERROR(VALUE(TRIM(LEFT(MID(Sync!$AG362,FIND("/",Sync!$AG362)+1,20),FIND("/",MID(Sync!$AG362,FIND("/",Sync!$AG362)+1,20))-1))),"")))</f>
        <v/>
      </c>
      <c r="I362">
        <f>IF(OR($F362="",$G362=""),"",IF(ISNUMBER(Sync!$AG362),MOD(Sync!$AG362,100),IFERROR(VALUE(TRIM(MID(MID(Sync!$AG362,FIND("/",Sync!$AG362)+1,20),FIND("/",MID(Sync!$AG362,FIND("/",Sync!$AG362)+1,20))+1,20))),"")))</f>
        <v/>
      </c>
      <c r="J362">
        <f>IF($F362="","",IF(OR($G362="",$H362="",$I362="",$G362&lt;1300,$G362&gt;1500,$H362&lt;1,$H362&gt;12,$I362&lt;1,$I362&gt;31),"نامعتبر",RIGHT("0000"&amp;$G362,4)&amp;"/"&amp;RIGHT("00"&amp;$H362,2)&amp;"/"&amp;RIGHT("00"&amp;$I362,2)))</f>
        <v/>
      </c>
      <c r="K362">
        <f>IF(OR($F362="",$J362="",$J362="نامعتبر"),"",LEFT($J362,4)&amp;MID($J362,6,2)&amp;RIGHT($J362,2)&amp;$N362&amp;"|"&amp;"2"&amp;RIGHT("00000"&amp;357,5))</f>
        <v/>
      </c>
      <c r="L362">
        <f>IF($K362="","",COUNTIFS(LdgPartyA,$F362,LdgKeyA,"&lt;"&amp;$K362)+COUNTIFS(LdgPartyB,$F362,LdgKeyB,"&lt;"&amp;$K362)+1)</f>
        <v/>
      </c>
      <c r="M362">
        <f>IF($L362="","",$F362&amp;"|"&amp;RIGHT("000000"&amp;$L362,6))</f>
        <v/>
      </c>
      <c r="N362">
        <f>IF($F362="","",IF(Sync!$AH362="","0000",IF(AND(ISNUMBER(Sync!$AH362),Sync!$AH362&gt;=0,Sync!$AH362&lt;1),RIGHT("00"&amp;HOUR(Sync!$AH362),2)&amp;RIGHT("00"&amp;MINUTE(Sync!$AH362),2),IFERROR(RIGHT("00"&amp;VALUE(LEFT(Sync!$AH362,FIND(":",Sync!$AH362)-1)),2)&amp;RIGHT("00"&amp;VALUE(MID(Sync!$AH362,FIND(":",Sync!$AH362)+1,2)),2),"0000"))))</f>
        <v/>
      </c>
    </row>
    <row r="363">
      <c r="A363">
        <f>IF(OR(Calc!$E366="",Calc!$E366="نامعتبر",Calc!$G366="",Calc!$I366&lt;&gt;"خرید"),"",Calc!$G366)</f>
        <v/>
      </c>
      <c r="B363">
        <f>IF($A363="","",LEFT(Calc!$E366,4)&amp;MID(Calc!$E366,6,2)&amp;RIGHT(Calc!$E366,2)&amp;Calc!$R366&amp;"|"&amp;"1"&amp;RIGHT("00000"&amp;358,5))</f>
        <v/>
      </c>
      <c r="C363">
        <f>IF($B363="","",COUNTIFS(LdgPartyA,$A363,LdgKeyA,"&lt;"&amp;$B363)+COUNTIFS(LdgPartyB,$A363,LdgKeyB,"&lt;"&amp;$B363)+1)</f>
        <v/>
      </c>
      <c r="D363">
        <f>IF($C363="","",$A363&amp;"|"&amp;RIGHT("000000"&amp;$C363,6))</f>
        <v/>
      </c>
      <c r="F363">
        <f>IF(Sync!$AJ363="","",Sync!$AJ363)</f>
        <v/>
      </c>
      <c r="G363">
        <f>IF($F363="","",IF(Sync!$AG363="","",IF(ISNUMBER(Sync!$AG363),IF(AND(Sync!$AG363&gt;=10000101,Sync!$AG363&lt;=99991231),INT(Sync!$AG363/10000),""),IFERROR(VALUE(TRIM(LEFT(Sync!$AG363,FIND("/",Sync!$AG363)-1))),""))))</f>
        <v/>
      </c>
      <c r="H363">
        <f>IF(OR($F363="",$G363=""),"",IF(ISNUMBER(Sync!$AG363),INT(MOD(Sync!$AG363,10000)/100),IFERROR(VALUE(TRIM(LEFT(MID(Sync!$AG363,FIND("/",Sync!$AG363)+1,20),FIND("/",MID(Sync!$AG363,FIND("/",Sync!$AG363)+1,20))-1))),"")))</f>
        <v/>
      </c>
      <c r="I363">
        <f>IF(OR($F363="",$G363=""),"",IF(ISNUMBER(Sync!$AG363),MOD(Sync!$AG363,100),IFERROR(VALUE(TRIM(MID(MID(Sync!$AG363,FIND("/",Sync!$AG363)+1,20),FIND("/",MID(Sync!$AG363,FIND("/",Sync!$AG363)+1,20))+1,20))),"")))</f>
        <v/>
      </c>
      <c r="J363">
        <f>IF($F363="","",IF(OR($G363="",$H363="",$I363="",$G363&lt;1300,$G363&gt;1500,$H363&lt;1,$H363&gt;12,$I363&lt;1,$I363&gt;31),"نامعتبر",RIGHT("0000"&amp;$G363,4)&amp;"/"&amp;RIGHT("00"&amp;$H363,2)&amp;"/"&amp;RIGHT("00"&amp;$I363,2)))</f>
        <v/>
      </c>
      <c r="K363">
        <f>IF(OR($F363="",$J363="",$J363="نامعتبر"),"",LEFT($J363,4)&amp;MID($J363,6,2)&amp;RIGHT($J363,2)&amp;$N363&amp;"|"&amp;"2"&amp;RIGHT("00000"&amp;358,5))</f>
        <v/>
      </c>
      <c r="L363">
        <f>IF($K363="","",COUNTIFS(LdgPartyA,$F363,LdgKeyA,"&lt;"&amp;$K363)+COUNTIFS(LdgPartyB,$F363,LdgKeyB,"&lt;"&amp;$K363)+1)</f>
        <v/>
      </c>
      <c r="M363">
        <f>IF($L363="","",$F363&amp;"|"&amp;RIGHT("000000"&amp;$L363,6))</f>
        <v/>
      </c>
      <c r="N363">
        <f>IF($F363="","",IF(Sync!$AH363="","0000",IF(AND(ISNUMBER(Sync!$AH363),Sync!$AH363&gt;=0,Sync!$AH363&lt;1),RIGHT("00"&amp;HOUR(Sync!$AH363),2)&amp;RIGHT("00"&amp;MINUTE(Sync!$AH363),2),IFERROR(RIGHT("00"&amp;VALUE(LEFT(Sync!$AH363,FIND(":",Sync!$AH363)-1)),2)&amp;RIGHT("00"&amp;VALUE(MID(Sync!$AH363,FIND(":",Sync!$AH363)+1,2)),2),"0000"))))</f>
        <v/>
      </c>
    </row>
    <row r="364">
      <c r="A364">
        <f>IF(OR(Calc!$E367="",Calc!$E367="نامعتبر",Calc!$G367="",Calc!$I367&lt;&gt;"خرید"),"",Calc!$G367)</f>
        <v/>
      </c>
      <c r="B364">
        <f>IF($A364="","",LEFT(Calc!$E367,4)&amp;MID(Calc!$E367,6,2)&amp;RIGHT(Calc!$E367,2)&amp;Calc!$R367&amp;"|"&amp;"1"&amp;RIGHT("00000"&amp;359,5))</f>
        <v/>
      </c>
      <c r="C364">
        <f>IF($B364="","",COUNTIFS(LdgPartyA,$A364,LdgKeyA,"&lt;"&amp;$B364)+COUNTIFS(LdgPartyB,$A364,LdgKeyB,"&lt;"&amp;$B364)+1)</f>
        <v/>
      </c>
      <c r="D364">
        <f>IF($C364="","",$A364&amp;"|"&amp;RIGHT("000000"&amp;$C364,6))</f>
        <v/>
      </c>
      <c r="F364">
        <f>IF(Sync!$AJ364="","",Sync!$AJ364)</f>
        <v/>
      </c>
      <c r="G364">
        <f>IF($F364="","",IF(Sync!$AG364="","",IF(ISNUMBER(Sync!$AG364),IF(AND(Sync!$AG364&gt;=10000101,Sync!$AG364&lt;=99991231),INT(Sync!$AG364/10000),""),IFERROR(VALUE(TRIM(LEFT(Sync!$AG364,FIND("/",Sync!$AG364)-1))),""))))</f>
        <v/>
      </c>
      <c r="H364">
        <f>IF(OR($F364="",$G364=""),"",IF(ISNUMBER(Sync!$AG364),INT(MOD(Sync!$AG364,10000)/100),IFERROR(VALUE(TRIM(LEFT(MID(Sync!$AG364,FIND("/",Sync!$AG364)+1,20),FIND("/",MID(Sync!$AG364,FIND("/",Sync!$AG364)+1,20))-1))),"")))</f>
        <v/>
      </c>
      <c r="I364">
        <f>IF(OR($F364="",$G364=""),"",IF(ISNUMBER(Sync!$AG364),MOD(Sync!$AG364,100),IFERROR(VALUE(TRIM(MID(MID(Sync!$AG364,FIND("/",Sync!$AG364)+1,20),FIND("/",MID(Sync!$AG364,FIND("/",Sync!$AG364)+1,20))+1,20))),"")))</f>
        <v/>
      </c>
      <c r="J364">
        <f>IF($F364="","",IF(OR($G364="",$H364="",$I364="",$G364&lt;1300,$G364&gt;1500,$H364&lt;1,$H364&gt;12,$I364&lt;1,$I364&gt;31),"نامعتبر",RIGHT("0000"&amp;$G364,4)&amp;"/"&amp;RIGHT("00"&amp;$H364,2)&amp;"/"&amp;RIGHT("00"&amp;$I364,2)))</f>
        <v/>
      </c>
      <c r="K364">
        <f>IF(OR($F364="",$J364="",$J364="نامعتبر"),"",LEFT($J364,4)&amp;MID($J364,6,2)&amp;RIGHT($J364,2)&amp;$N364&amp;"|"&amp;"2"&amp;RIGHT("00000"&amp;359,5))</f>
        <v/>
      </c>
      <c r="L364">
        <f>IF($K364="","",COUNTIFS(LdgPartyA,$F364,LdgKeyA,"&lt;"&amp;$K364)+COUNTIFS(LdgPartyB,$F364,LdgKeyB,"&lt;"&amp;$K364)+1)</f>
        <v/>
      </c>
      <c r="M364">
        <f>IF($L364="","",$F364&amp;"|"&amp;RIGHT("000000"&amp;$L364,6))</f>
        <v/>
      </c>
      <c r="N364">
        <f>IF($F364="","",IF(Sync!$AH364="","0000",IF(AND(ISNUMBER(Sync!$AH364),Sync!$AH364&gt;=0,Sync!$AH364&lt;1),RIGHT("00"&amp;HOUR(Sync!$AH364),2)&amp;RIGHT("00"&amp;MINUTE(Sync!$AH364),2),IFERROR(RIGHT("00"&amp;VALUE(LEFT(Sync!$AH364,FIND(":",Sync!$AH364)-1)),2)&amp;RIGHT("00"&amp;VALUE(MID(Sync!$AH364,FIND(":",Sync!$AH364)+1,2)),2),"0000"))))</f>
        <v/>
      </c>
    </row>
    <row r="365">
      <c r="A365">
        <f>IF(OR(Calc!$E368="",Calc!$E368="نامعتبر",Calc!$G368="",Calc!$I368&lt;&gt;"خرید"),"",Calc!$G368)</f>
        <v/>
      </c>
      <c r="B365">
        <f>IF($A365="","",LEFT(Calc!$E368,4)&amp;MID(Calc!$E368,6,2)&amp;RIGHT(Calc!$E368,2)&amp;Calc!$R368&amp;"|"&amp;"1"&amp;RIGHT("00000"&amp;360,5))</f>
        <v/>
      </c>
      <c r="C365">
        <f>IF($B365="","",COUNTIFS(LdgPartyA,$A365,LdgKeyA,"&lt;"&amp;$B365)+COUNTIFS(LdgPartyB,$A365,LdgKeyB,"&lt;"&amp;$B365)+1)</f>
        <v/>
      </c>
      <c r="D365">
        <f>IF($C365="","",$A365&amp;"|"&amp;RIGHT("000000"&amp;$C365,6))</f>
        <v/>
      </c>
      <c r="F365">
        <f>IF(Sync!$AJ365="","",Sync!$AJ365)</f>
        <v/>
      </c>
      <c r="G365">
        <f>IF($F365="","",IF(Sync!$AG365="","",IF(ISNUMBER(Sync!$AG365),IF(AND(Sync!$AG365&gt;=10000101,Sync!$AG365&lt;=99991231),INT(Sync!$AG365/10000),""),IFERROR(VALUE(TRIM(LEFT(Sync!$AG365,FIND("/",Sync!$AG365)-1))),""))))</f>
        <v/>
      </c>
      <c r="H365">
        <f>IF(OR($F365="",$G365=""),"",IF(ISNUMBER(Sync!$AG365),INT(MOD(Sync!$AG365,10000)/100),IFERROR(VALUE(TRIM(LEFT(MID(Sync!$AG365,FIND("/",Sync!$AG365)+1,20),FIND("/",MID(Sync!$AG365,FIND("/",Sync!$AG365)+1,20))-1))),"")))</f>
        <v/>
      </c>
      <c r="I365">
        <f>IF(OR($F365="",$G365=""),"",IF(ISNUMBER(Sync!$AG365),MOD(Sync!$AG365,100),IFERROR(VALUE(TRIM(MID(MID(Sync!$AG365,FIND("/",Sync!$AG365)+1,20),FIND("/",MID(Sync!$AG365,FIND("/",Sync!$AG365)+1,20))+1,20))),"")))</f>
        <v/>
      </c>
      <c r="J365">
        <f>IF($F365="","",IF(OR($G365="",$H365="",$I365="",$G365&lt;1300,$G365&gt;1500,$H365&lt;1,$H365&gt;12,$I365&lt;1,$I365&gt;31),"نامعتبر",RIGHT("0000"&amp;$G365,4)&amp;"/"&amp;RIGHT("00"&amp;$H365,2)&amp;"/"&amp;RIGHT("00"&amp;$I365,2)))</f>
        <v/>
      </c>
      <c r="K365">
        <f>IF(OR($F365="",$J365="",$J365="نامعتبر"),"",LEFT($J365,4)&amp;MID($J365,6,2)&amp;RIGHT($J365,2)&amp;$N365&amp;"|"&amp;"2"&amp;RIGHT("00000"&amp;360,5))</f>
        <v/>
      </c>
      <c r="L365">
        <f>IF($K365="","",COUNTIFS(LdgPartyA,$F365,LdgKeyA,"&lt;"&amp;$K365)+COUNTIFS(LdgPartyB,$F365,LdgKeyB,"&lt;"&amp;$K365)+1)</f>
        <v/>
      </c>
      <c r="M365">
        <f>IF($L365="","",$F365&amp;"|"&amp;RIGHT("000000"&amp;$L365,6))</f>
        <v/>
      </c>
      <c r="N365">
        <f>IF($F365="","",IF(Sync!$AH365="","0000",IF(AND(ISNUMBER(Sync!$AH365),Sync!$AH365&gt;=0,Sync!$AH365&lt;1),RIGHT("00"&amp;HOUR(Sync!$AH365),2)&amp;RIGHT("00"&amp;MINUTE(Sync!$AH365),2),IFERROR(RIGHT("00"&amp;VALUE(LEFT(Sync!$AH365,FIND(":",Sync!$AH365)-1)),2)&amp;RIGHT("00"&amp;VALUE(MID(Sync!$AH365,FIND(":",Sync!$AH365)+1,2)),2),"0000"))))</f>
        <v/>
      </c>
    </row>
    <row r="366">
      <c r="A366">
        <f>IF(OR(Calc!$E369="",Calc!$E369="نامعتبر",Calc!$G369="",Calc!$I369&lt;&gt;"خرید"),"",Calc!$G369)</f>
        <v/>
      </c>
      <c r="B366">
        <f>IF($A366="","",LEFT(Calc!$E369,4)&amp;MID(Calc!$E369,6,2)&amp;RIGHT(Calc!$E369,2)&amp;Calc!$R369&amp;"|"&amp;"1"&amp;RIGHT("00000"&amp;361,5))</f>
        <v/>
      </c>
      <c r="C366">
        <f>IF($B366="","",COUNTIFS(LdgPartyA,$A366,LdgKeyA,"&lt;"&amp;$B366)+COUNTIFS(LdgPartyB,$A366,LdgKeyB,"&lt;"&amp;$B366)+1)</f>
        <v/>
      </c>
      <c r="D366">
        <f>IF($C366="","",$A366&amp;"|"&amp;RIGHT("000000"&amp;$C366,6))</f>
        <v/>
      </c>
      <c r="F366">
        <f>IF(Sync!$AJ366="","",Sync!$AJ366)</f>
        <v/>
      </c>
      <c r="G366">
        <f>IF($F366="","",IF(Sync!$AG366="","",IF(ISNUMBER(Sync!$AG366),IF(AND(Sync!$AG366&gt;=10000101,Sync!$AG366&lt;=99991231),INT(Sync!$AG366/10000),""),IFERROR(VALUE(TRIM(LEFT(Sync!$AG366,FIND("/",Sync!$AG366)-1))),""))))</f>
        <v/>
      </c>
      <c r="H366">
        <f>IF(OR($F366="",$G366=""),"",IF(ISNUMBER(Sync!$AG366),INT(MOD(Sync!$AG366,10000)/100),IFERROR(VALUE(TRIM(LEFT(MID(Sync!$AG366,FIND("/",Sync!$AG366)+1,20),FIND("/",MID(Sync!$AG366,FIND("/",Sync!$AG366)+1,20))-1))),"")))</f>
        <v/>
      </c>
      <c r="I366">
        <f>IF(OR($F366="",$G366=""),"",IF(ISNUMBER(Sync!$AG366),MOD(Sync!$AG366,100),IFERROR(VALUE(TRIM(MID(MID(Sync!$AG366,FIND("/",Sync!$AG366)+1,20),FIND("/",MID(Sync!$AG366,FIND("/",Sync!$AG366)+1,20))+1,20))),"")))</f>
        <v/>
      </c>
      <c r="J366">
        <f>IF($F366="","",IF(OR($G366="",$H366="",$I366="",$G366&lt;1300,$G366&gt;1500,$H366&lt;1,$H366&gt;12,$I366&lt;1,$I366&gt;31),"نامعتبر",RIGHT("0000"&amp;$G366,4)&amp;"/"&amp;RIGHT("00"&amp;$H366,2)&amp;"/"&amp;RIGHT("00"&amp;$I366,2)))</f>
        <v/>
      </c>
      <c r="K366">
        <f>IF(OR($F366="",$J366="",$J366="نامعتبر"),"",LEFT($J366,4)&amp;MID($J366,6,2)&amp;RIGHT($J366,2)&amp;$N366&amp;"|"&amp;"2"&amp;RIGHT("00000"&amp;361,5))</f>
        <v/>
      </c>
      <c r="L366">
        <f>IF($K366="","",COUNTIFS(LdgPartyA,$F366,LdgKeyA,"&lt;"&amp;$K366)+COUNTIFS(LdgPartyB,$F366,LdgKeyB,"&lt;"&amp;$K366)+1)</f>
        <v/>
      </c>
      <c r="M366">
        <f>IF($L366="","",$F366&amp;"|"&amp;RIGHT("000000"&amp;$L366,6))</f>
        <v/>
      </c>
      <c r="N366">
        <f>IF($F366="","",IF(Sync!$AH366="","0000",IF(AND(ISNUMBER(Sync!$AH366),Sync!$AH366&gt;=0,Sync!$AH366&lt;1),RIGHT("00"&amp;HOUR(Sync!$AH366),2)&amp;RIGHT("00"&amp;MINUTE(Sync!$AH366),2),IFERROR(RIGHT("00"&amp;VALUE(LEFT(Sync!$AH366,FIND(":",Sync!$AH366)-1)),2)&amp;RIGHT("00"&amp;VALUE(MID(Sync!$AH366,FIND(":",Sync!$AH366)+1,2)),2),"0000"))))</f>
        <v/>
      </c>
    </row>
    <row r="367">
      <c r="A367">
        <f>IF(OR(Calc!$E370="",Calc!$E370="نامعتبر",Calc!$G370="",Calc!$I370&lt;&gt;"خرید"),"",Calc!$G370)</f>
        <v/>
      </c>
      <c r="B367">
        <f>IF($A367="","",LEFT(Calc!$E370,4)&amp;MID(Calc!$E370,6,2)&amp;RIGHT(Calc!$E370,2)&amp;Calc!$R370&amp;"|"&amp;"1"&amp;RIGHT("00000"&amp;362,5))</f>
        <v/>
      </c>
      <c r="C367">
        <f>IF($B367="","",COUNTIFS(LdgPartyA,$A367,LdgKeyA,"&lt;"&amp;$B367)+COUNTIFS(LdgPartyB,$A367,LdgKeyB,"&lt;"&amp;$B367)+1)</f>
        <v/>
      </c>
      <c r="D367">
        <f>IF($C367="","",$A367&amp;"|"&amp;RIGHT("000000"&amp;$C367,6))</f>
        <v/>
      </c>
      <c r="F367">
        <f>IF(Sync!$AJ367="","",Sync!$AJ367)</f>
        <v/>
      </c>
      <c r="G367">
        <f>IF($F367="","",IF(Sync!$AG367="","",IF(ISNUMBER(Sync!$AG367),IF(AND(Sync!$AG367&gt;=10000101,Sync!$AG367&lt;=99991231),INT(Sync!$AG367/10000),""),IFERROR(VALUE(TRIM(LEFT(Sync!$AG367,FIND("/",Sync!$AG367)-1))),""))))</f>
        <v/>
      </c>
      <c r="H367">
        <f>IF(OR($F367="",$G367=""),"",IF(ISNUMBER(Sync!$AG367),INT(MOD(Sync!$AG367,10000)/100),IFERROR(VALUE(TRIM(LEFT(MID(Sync!$AG367,FIND("/",Sync!$AG367)+1,20),FIND("/",MID(Sync!$AG367,FIND("/",Sync!$AG367)+1,20))-1))),"")))</f>
        <v/>
      </c>
      <c r="I367">
        <f>IF(OR($F367="",$G367=""),"",IF(ISNUMBER(Sync!$AG367),MOD(Sync!$AG367,100),IFERROR(VALUE(TRIM(MID(MID(Sync!$AG367,FIND("/",Sync!$AG367)+1,20),FIND("/",MID(Sync!$AG367,FIND("/",Sync!$AG367)+1,20))+1,20))),"")))</f>
        <v/>
      </c>
      <c r="J367">
        <f>IF($F367="","",IF(OR($G367="",$H367="",$I367="",$G367&lt;1300,$G367&gt;1500,$H367&lt;1,$H367&gt;12,$I367&lt;1,$I367&gt;31),"نامعتبر",RIGHT("0000"&amp;$G367,4)&amp;"/"&amp;RIGHT("00"&amp;$H367,2)&amp;"/"&amp;RIGHT("00"&amp;$I367,2)))</f>
        <v/>
      </c>
      <c r="K367">
        <f>IF(OR($F367="",$J367="",$J367="نامعتبر"),"",LEFT($J367,4)&amp;MID($J367,6,2)&amp;RIGHT($J367,2)&amp;$N367&amp;"|"&amp;"2"&amp;RIGHT("00000"&amp;362,5))</f>
        <v/>
      </c>
      <c r="L367">
        <f>IF($K367="","",COUNTIFS(LdgPartyA,$F367,LdgKeyA,"&lt;"&amp;$K367)+COUNTIFS(LdgPartyB,$F367,LdgKeyB,"&lt;"&amp;$K367)+1)</f>
        <v/>
      </c>
      <c r="M367">
        <f>IF($L367="","",$F367&amp;"|"&amp;RIGHT("000000"&amp;$L367,6))</f>
        <v/>
      </c>
      <c r="N367">
        <f>IF($F367="","",IF(Sync!$AH367="","0000",IF(AND(ISNUMBER(Sync!$AH367),Sync!$AH367&gt;=0,Sync!$AH367&lt;1),RIGHT("00"&amp;HOUR(Sync!$AH367),2)&amp;RIGHT("00"&amp;MINUTE(Sync!$AH367),2),IFERROR(RIGHT("00"&amp;VALUE(LEFT(Sync!$AH367,FIND(":",Sync!$AH367)-1)),2)&amp;RIGHT("00"&amp;VALUE(MID(Sync!$AH367,FIND(":",Sync!$AH367)+1,2)),2),"0000"))))</f>
        <v/>
      </c>
    </row>
    <row r="368">
      <c r="A368">
        <f>IF(OR(Calc!$E371="",Calc!$E371="نامعتبر",Calc!$G371="",Calc!$I371&lt;&gt;"خرید"),"",Calc!$G371)</f>
        <v/>
      </c>
      <c r="B368">
        <f>IF($A368="","",LEFT(Calc!$E371,4)&amp;MID(Calc!$E371,6,2)&amp;RIGHT(Calc!$E371,2)&amp;Calc!$R371&amp;"|"&amp;"1"&amp;RIGHT("00000"&amp;363,5))</f>
        <v/>
      </c>
      <c r="C368">
        <f>IF($B368="","",COUNTIFS(LdgPartyA,$A368,LdgKeyA,"&lt;"&amp;$B368)+COUNTIFS(LdgPartyB,$A368,LdgKeyB,"&lt;"&amp;$B368)+1)</f>
        <v/>
      </c>
      <c r="D368">
        <f>IF($C368="","",$A368&amp;"|"&amp;RIGHT("000000"&amp;$C368,6))</f>
        <v/>
      </c>
      <c r="F368">
        <f>IF(Sync!$AJ368="","",Sync!$AJ368)</f>
        <v/>
      </c>
      <c r="G368">
        <f>IF($F368="","",IF(Sync!$AG368="","",IF(ISNUMBER(Sync!$AG368),IF(AND(Sync!$AG368&gt;=10000101,Sync!$AG368&lt;=99991231),INT(Sync!$AG368/10000),""),IFERROR(VALUE(TRIM(LEFT(Sync!$AG368,FIND("/",Sync!$AG368)-1))),""))))</f>
        <v/>
      </c>
      <c r="H368">
        <f>IF(OR($F368="",$G368=""),"",IF(ISNUMBER(Sync!$AG368),INT(MOD(Sync!$AG368,10000)/100),IFERROR(VALUE(TRIM(LEFT(MID(Sync!$AG368,FIND("/",Sync!$AG368)+1,20),FIND("/",MID(Sync!$AG368,FIND("/",Sync!$AG368)+1,20))-1))),"")))</f>
        <v/>
      </c>
      <c r="I368">
        <f>IF(OR($F368="",$G368=""),"",IF(ISNUMBER(Sync!$AG368),MOD(Sync!$AG368,100),IFERROR(VALUE(TRIM(MID(MID(Sync!$AG368,FIND("/",Sync!$AG368)+1,20),FIND("/",MID(Sync!$AG368,FIND("/",Sync!$AG368)+1,20))+1,20))),"")))</f>
        <v/>
      </c>
      <c r="J368">
        <f>IF($F368="","",IF(OR($G368="",$H368="",$I368="",$G368&lt;1300,$G368&gt;1500,$H368&lt;1,$H368&gt;12,$I368&lt;1,$I368&gt;31),"نامعتبر",RIGHT("0000"&amp;$G368,4)&amp;"/"&amp;RIGHT("00"&amp;$H368,2)&amp;"/"&amp;RIGHT("00"&amp;$I368,2)))</f>
        <v/>
      </c>
      <c r="K368">
        <f>IF(OR($F368="",$J368="",$J368="نامعتبر"),"",LEFT($J368,4)&amp;MID($J368,6,2)&amp;RIGHT($J368,2)&amp;$N368&amp;"|"&amp;"2"&amp;RIGHT("00000"&amp;363,5))</f>
        <v/>
      </c>
      <c r="L368">
        <f>IF($K368="","",COUNTIFS(LdgPartyA,$F368,LdgKeyA,"&lt;"&amp;$K368)+COUNTIFS(LdgPartyB,$F368,LdgKeyB,"&lt;"&amp;$K368)+1)</f>
        <v/>
      </c>
      <c r="M368">
        <f>IF($L368="","",$F368&amp;"|"&amp;RIGHT("000000"&amp;$L368,6))</f>
        <v/>
      </c>
      <c r="N368">
        <f>IF($F368="","",IF(Sync!$AH368="","0000",IF(AND(ISNUMBER(Sync!$AH368),Sync!$AH368&gt;=0,Sync!$AH368&lt;1),RIGHT("00"&amp;HOUR(Sync!$AH368),2)&amp;RIGHT("00"&amp;MINUTE(Sync!$AH368),2),IFERROR(RIGHT("00"&amp;VALUE(LEFT(Sync!$AH368,FIND(":",Sync!$AH368)-1)),2)&amp;RIGHT("00"&amp;VALUE(MID(Sync!$AH368,FIND(":",Sync!$AH368)+1,2)),2),"0000"))))</f>
        <v/>
      </c>
    </row>
    <row r="369">
      <c r="A369">
        <f>IF(OR(Calc!$E372="",Calc!$E372="نامعتبر",Calc!$G372="",Calc!$I372&lt;&gt;"خرید"),"",Calc!$G372)</f>
        <v/>
      </c>
      <c r="B369">
        <f>IF($A369="","",LEFT(Calc!$E372,4)&amp;MID(Calc!$E372,6,2)&amp;RIGHT(Calc!$E372,2)&amp;Calc!$R372&amp;"|"&amp;"1"&amp;RIGHT("00000"&amp;364,5))</f>
        <v/>
      </c>
      <c r="C369">
        <f>IF($B369="","",COUNTIFS(LdgPartyA,$A369,LdgKeyA,"&lt;"&amp;$B369)+COUNTIFS(LdgPartyB,$A369,LdgKeyB,"&lt;"&amp;$B369)+1)</f>
        <v/>
      </c>
      <c r="D369">
        <f>IF($C369="","",$A369&amp;"|"&amp;RIGHT("000000"&amp;$C369,6))</f>
        <v/>
      </c>
      <c r="F369">
        <f>IF(Sync!$AJ369="","",Sync!$AJ369)</f>
        <v/>
      </c>
      <c r="G369">
        <f>IF($F369="","",IF(Sync!$AG369="","",IF(ISNUMBER(Sync!$AG369),IF(AND(Sync!$AG369&gt;=10000101,Sync!$AG369&lt;=99991231),INT(Sync!$AG369/10000),""),IFERROR(VALUE(TRIM(LEFT(Sync!$AG369,FIND("/",Sync!$AG369)-1))),""))))</f>
        <v/>
      </c>
      <c r="H369">
        <f>IF(OR($F369="",$G369=""),"",IF(ISNUMBER(Sync!$AG369),INT(MOD(Sync!$AG369,10000)/100),IFERROR(VALUE(TRIM(LEFT(MID(Sync!$AG369,FIND("/",Sync!$AG369)+1,20),FIND("/",MID(Sync!$AG369,FIND("/",Sync!$AG369)+1,20))-1))),"")))</f>
        <v/>
      </c>
      <c r="I369">
        <f>IF(OR($F369="",$G369=""),"",IF(ISNUMBER(Sync!$AG369),MOD(Sync!$AG369,100),IFERROR(VALUE(TRIM(MID(MID(Sync!$AG369,FIND("/",Sync!$AG369)+1,20),FIND("/",MID(Sync!$AG369,FIND("/",Sync!$AG369)+1,20))+1,20))),"")))</f>
        <v/>
      </c>
      <c r="J369">
        <f>IF($F369="","",IF(OR($G369="",$H369="",$I369="",$G369&lt;1300,$G369&gt;1500,$H369&lt;1,$H369&gt;12,$I369&lt;1,$I369&gt;31),"نامعتبر",RIGHT("0000"&amp;$G369,4)&amp;"/"&amp;RIGHT("00"&amp;$H369,2)&amp;"/"&amp;RIGHT("00"&amp;$I369,2)))</f>
        <v/>
      </c>
      <c r="K369">
        <f>IF(OR($F369="",$J369="",$J369="نامعتبر"),"",LEFT($J369,4)&amp;MID($J369,6,2)&amp;RIGHT($J369,2)&amp;$N369&amp;"|"&amp;"2"&amp;RIGHT("00000"&amp;364,5))</f>
        <v/>
      </c>
      <c r="L369">
        <f>IF($K369="","",COUNTIFS(LdgPartyA,$F369,LdgKeyA,"&lt;"&amp;$K369)+COUNTIFS(LdgPartyB,$F369,LdgKeyB,"&lt;"&amp;$K369)+1)</f>
        <v/>
      </c>
      <c r="M369">
        <f>IF($L369="","",$F369&amp;"|"&amp;RIGHT("000000"&amp;$L369,6))</f>
        <v/>
      </c>
      <c r="N369">
        <f>IF($F369="","",IF(Sync!$AH369="","0000",IF(AND(ISNUMBER(Sync!$AH369),Sync!$AH369&gt;=0,Sync!$AH369&lt;1),RIGHT("00"&amp;HOUR(Sync!$AH369),2)&amp;RIGHT("00"&amp;MINUTE(Sync!$AH369),2),IFERROR(RIGHT("00"&amp;VALUE(LEFT(Sync!$AH369,FIND(":",Sync!$AH369)-1)),2)&amp;RIGHT("00"&amp;VALUE(MID(Sync!$AH369,FIND(":",Sync!$AH369)+1,2)),2),"0000"))))</f>
        <v/>
      </c>
    </row>
    <row r="370">
      <c r="A370">
        <f>IF(OR(Calc!$E373="",Calc!$E373="نامعتبر",Calc!$G373="",Calc!$I373&lt;&gt;"خرید"),"",Calc!$G373)</f>
        <v/>
      </c>
      <c r="B370">
        <f>IF($A370="","",LEFT(Calc!$E373,4)&amp;MID(Calc!$E373,6,2)&amp;RIGHT(Calc!$E373,2)&amp;Calc!$R373&amp;"|"&amp;"1"&amp;RIGHT("00000"&amp;365,5))</f>
        <v/>
      </c>
      <c r="C370">
        <f>IF($B370="","",COUNTIFS(LdgPartyA,$A370,LdgKeyA,"&lt;"&amp;$B370)+COUNTIFS(LdgPartyB,$A370,LdgKeyB,"&lt;"&amp;$B370)+1)</f>
        <v/>
      </c>
      <c r="D370">
        <f>IF($C370="","",$A370&amp;"|"&amp;RIGHT("000000"&amp;$C370,6))</f>
        <v/>
      </c>
      <c r="F370">
        <f>IF(Sync!$AJ370="","",Sync!$AJ370)</f>
        <v/>
      </c>
      <c r="G370">
        <f>IF($F370="","",IF(Sync!$AG370="","",IF(ISNUMBER(Sync!$AG370),IF(AND(Sync!$AG370&gt;=10000101,Sync!$AG370&lt;=99991231),INT(Sync!$AG370/10000),""),IFERROR(VALUE(TRIM(LEFT(Sync!$AG370,FIND("/",Sync!$AG370)-1))),""))))</f>
        <v/>
      </c>
      <c r="H370">
        <f>IF(OR($F370="",$G370=""),"",IF(ISNUMBER(Sync!$AG370),INT(MOD(Sync!$AG370,10000)/100),IFERROR(VALUE(TRIM(LEFT(MID(Sync!$AG370,FIND("/",Sync!$AG370)+1,20),FIND("/",MID(Sync!$AG370,FIND("/",Sync!$AG370)+1,20))-1))),"")))</f>
        <v/>
      </c>
      <c r="I370">
        <f>IF(OR($F370="",$G370=""),"",IF(ISNUMBER(Sync!$AG370),MOD(Sync!$AG370,100),IFERROR(VALUE(TRIM(MID(MID(Sync!$AG370,FIND("/",Sync!$AG370)+1,20),FIND("/",MID(Sync!$AG370,FIND("/",Sync!$AG370)+1,20))+1,20))),"")))</f>
        <v/>
      </c>
      <c r="J370">
        <f>IF($F370="","",IF(OR($G370="",$H370="",$I370="",$G370&lt;1300,$G370&gt;1500,$H370&lt;1,$H370&gt;12,$I370&lt;1,$I370&gt;31),"نامعتبر",RIGHT("0000"&amp;$G370,4)&amp;"/"&amp;RIGHT("00"&amp;$H370,2)&amp;"/"&amp;RIGHT("00"&amp;$I370,2)))</f>
        <v/>
      </c>
      <c r="K370">
        <f>IF(OR($F370="",$J370="",$J370="نامعتبر"),"",LEFT($J370,4)&amp;MID($J370,6,2)&amp;RIGHT($J370,2)&amp;$N370&amp;"|"&amp;"2"&amp;RIGHT("00000"&amp;365,5))</f>
        <v/>
      </c>
      <c r="L370">
        <f>IF($K370="","",COUNTIFS(LdgPartyA,$F370,LdgKeyA,"&lt;"&amp;$K370)+COUNTIFS(LdgPartyB,$F370,LdgKeyB,"&lt;"&amp;$K370)+1)</f>
        <v/>
      </c>
      <c r="M370">
        <f>IF($L370="","",$F370&amp;"|"&amp;RIGHT("000000"&amp;$L370,6))</f>
        <v/>
      </c>
      <c r="N370">
        <f>IF($F370="","",IF(Sync!$AH370="","0000",IF(AND(ISNUMBER(Sync!$AH370),Sync!$AH370&gt;=0,Sync!$AH370&lt;1),RIGHT("00"&amp;HOUR(Sync!$AH370),2)&amp;RIGHT("00"&amp;MINUTE(Sync!$AH370),2),IFERROR(RIGHT("00"&amp;VALUE(LEFT(Sync!$AH370,FIND(":",Sync!$AH370)-1)),2)&amp;RIGHT("00"&amp;VALUE(MID(Sync!$AH370,FIND(":",Sync!$AH370)+1,2)),2),"0000"))))</f>
        <v/>
      </c>
    </row>
    <row r="371">
      <c r="A371">
        <f>IF(OR(Calc!$E374="",Calc!$E374="نامعتبر",Calc!$G374="",Calc!$I374&lt;&gt;"خرید"),"",Calc!$G374)</f>
        <v/>
      </c>
      <c r="B371">
        <f>IF($A371="","",LEFT(Calc!$E374,4)&amp;MID(Calc!$E374,6,2)&amp;RIGHT(Calc!$E374,2)&amp;Calc!$R374&amp;"|"&amp;"1"&amp;RIGHT("00000"&amp;366,5))</f>
        <v/>
      </c>
      <c r="C371">
        <f>IF($B371="","",COUNTIFS(LdgPartyA,$A371,LdgKeyA,"&lt;"&amp;$B371)+COUNTIFS(LdgPartyB,$A371,LdgKeyB,"&lt;"&amp;$B371)+1)</f>
        <v/>
      </c>
      <c r="D371">
        <f>IF($C371="","",$A371&amp;"|"&amp;RIGHT("000000"&amp;$C371,6))</f>
        <v/>
      </c>
      <c r="F371">
        <f>IF(Sync!$AJ371="","",Sync!$AJ371)</f>
        <v/>
      </c>
      <c r="G371">
        <f>IF($F371="","",IF(Sync!$AG371="","",IF(ISNUMBER(Sync!$AG371),IF(AND(Sync!$AG371&gt;=10000101,Sync!$AG371&lt;=99991231),INT(Sync!$AG371/10000),""),IFERROR(VALUE(TRIM(LEFT(Sync!$AG371,FIND("/",Sync!$AG371)-1))),""))))</f>
        <v/>
      </c>
      <c r="H371">
        <f>IF(OR($F371="",$G371=""),"",IF(ISNUMBER(Sync!$AG371),INT(MOD(Sync!$AG371,10000)/100),IFERROR(VALUE(TRIM(LEFT(MID(Sync!$AG371,FIND("/",Sync!$AG371)+1,20),FIND("/",MID(Sync!$AG371,FIND("/",Sync!$AG371)+1,20))-1))),"")))</f>
        <v/>
      </c>
      <c r="I371">
        <f>IF(OR($F371="",$G371=""),"",IF(ISNUMBER(Sync!$AG371),MOD(Sync!$AG371,100),IFERROR(VALUE(TRIM(MID(MID(Sync!$AG371,FIND("/",Sync!$AG371)+1,20),FIND("/",MID(Sync!$AG371,FIND("/",Sync!$AG371)+1,20))+1,20))),"")))</f>
        <v/>
      </c>
      <c r="J371">
        <f>IF($F371="","",IF(OR($G371="",$H371="",$I371="",$G371&lt;1300,$G371&gt;1500,$H371&lt;1,$H371&gt;12,$I371&lt;1,$I371&gt;31),"نامعتبر",RIGHT("0000"&amp;$G371,4)&amp;"/"&amp;RIGHT("00"&amp;$H371,2)&amp;"/"&amp;RIGHT("00"&amp;$I371,2)))</f>
        <v/>
      </c>
      <c r="K371">
        <f>IF(OR($F371="",$J371="",$J371="نامعتبر"),"",LEFT($J371,4)&amp;MID($J371,6,2)&amp;RIGHT($J371,2)&amp;$N371&amp;"|"&amp;"2"&amp;RIGHT("00000"&amp;366,5))</f>
        <v/>
      </c>
      <c r="L371">
        <f>IF($K371="","",COUNTIFS(LdgPartyA,$F371,LdgKeyA,"&lt;"&amp;$K371)+COUNTIFS(LdgPartyB,$F371,LdgKeyB,"&lt;"&amp;$K371)+1)</f>
        <v/>
      </c>
      <c r="M371">
        <f>IF($L371="","",$F371&amp;"|"&amp;RIGHT("000000"&amp;$L371,6))</f>
        <v/>
      </c>
      <c r="N371">
        <f>IF($F371="","",IF(Sync!$AH371="","0000",IF(AND(ISNUMBER(Sync!$AH371),Sync!$AH371&gt;=0,Sync!$AH371&lt;1),RIGHT("00"&amp;HOUR(Sync!$AH371),2)&amp;RIGHT("00"&amp;MINUTE(Sync!$AH371),2),IFERROR(RIGHT("00"&amp;VALUE(LEFT(Sync!$AH371,FIND(":",Sync!$AH371)-1)),2)&amp;RIGHT("00"&amp;VALUE(MID(Sync!$AH371,FIND(":",Sync!$AH371)+1,2)),2),"0000"))))</f>
        <v/>
      </c>
    </row>
    <row r="372">
      <c r="A372">
        <f>IF(OR(Calc!$E375="",Calc!$E375="نامعتبر",Calc!$G375="",Calc!$I375&lt;&gt;"خرید"),"",Calc!$G375)</f>
        <v/>
      </c>
      <c r="B372">
        <f>IF($A372="","",LEFT(Calc!$E375,4)&amp;MID(Calc!$E375,6,2)&amp;RIGHT(Calc!$E375,2)&amp;Calc!$R375&amp;"|"&amp;"1"&amp;RIGHT("00000"&amp;367,5))</f>
        <v/>
      </c>
      <c r="C372">
        <f>IF($B372="","",COUNTIFS(LdgPartyA,$A372,LdgKeyA,"&lt;"&amp;$B372)+COUNTIFS(LdgPartyB,$A372,LdgKeyB,"&lt;"&amp;$B372)+1)</f>
        <v/>
      </c>
      <c r="D372">
        <f>IF($C372="","",$A372&amp;"|"&amp;RIGHT("000000"&amp;$C372,6))</f>
        <v/>
      </c>
      <c r="F372">
        <f>IF(Sync!$AJ372="","",Sync!$AJ372)</f>
        <v/>
      </c>
      <c r="G372">
        <f>IF($F372="","",IF(Sync!$AG372="","",IF(ISNUMBER(Sync!$AG372),IF(AND(Sync!$AG372&gt;=10000101,Sync!$AG372&lt;=99991231),INT(Sync!$AG372/10000),""),IFERROR(VALUE(TRIM(LEFT(Sync!$AG372,FIND("/",Sync!$AG372)-1))),""))))</f>
        <v/>
      </c>
      <c r="H372">
        <f>IF(OR($F372="",$G372=""),"",IF(ISNUMBER(Sync!$AG372),INT(MOD(Sync!$AG372,10000)/100),IFERROR(VALUE(TRIM(LEFT(MID(Sync!$AG372,FIND("/",Sync!$AG372)+1,20),FIND("/",MID(Sync!$AG372,FIND("/",Sync!$AG372)+1,20))-1))),"")))</f>
        <v/>
      </c>
      <c r="I372">
        <f>IF(OR($F372="",$G372=""),"",IF(ISNUMBER(Sync!$AG372),MOD(Sync!$AG372,100),IFERROR(VALUE(TRIM(MID(MID(Sync!$AG372,FIND("/",Sync!$AG372)+1,20),FIND("/",MID(Sync!$AG372,FIND("/",Sync!$AG372)+1,20))+1,20))),"")))</f>
        <v/>
      </c>
      <c r="J372">
        <f>IF($F372="","",IF(OR($G372="",$H372="",$I372="",$G372&lt;1300,$G372&gt;1500,$H372&lt;1,$H372&gt;12,$I372&lt;1,$I372&gt;31),"نامعتبر",RIGHT("0000"&amp;$G372,4)&amp;"/"&amp;RIGHT("00"&amp;$H372,2)&amp;"/"&amp;RIGHT("00"&amp;$I372,2)))</f>
        <v/>
      </c>
      <c r="K372">
        <f>IF(OR($F372="",$J372="",$J372="نامعتبر"),"",LEFT($J372,4)&amp;MID($J372,6,2)&amp;RIGHT($J372,2)&amp;$N372&amp;"|"&amp;"2"&amp;RIGHT("00000"&amp;367,5))</f>
        <v/>
      </c>
      <c r="L372">
        <f>IF($K372="","",COUNTIFS(LdgPartyA,$F372,LdgKeyA,"&lt;"&amp;$K372)+COUNTIFS(LdgPartyB,$F372,LdgKeyB,"&lt;"&amp;$K372)+1)</f>
        <v/>
      </c>
      <c r="M372">
        <f>IF($L372="","",$F372&amp;"|"&amp;RIGHT("000000"&amp;$L372,6))</f>
        <v/>
      </c>
      <c r="N372">
        <f>IF($F372="","",IF(Sync!$AH372="","0000",IF(AND(ISNUMBER(Sync!$AH372),Sync!$AH372&gt;=0,Sync!$AH372&lt;1),RIGHT("00"&amp;HOUR(Sync!$AH372),2)&amp;RIGHT("00"&amp;MINUTE(Sync!$AH372),2),IFERROR(RIGHT("00"&amp;VALUE(LEFT(Sync!$AH372,FIND(":",Sync!$AH372)-1)),2)&amp;RIGHT("00"&amp;VALUE(MID(Sync!$AH372,FIND(":",Sync!$AH372)+1,2)),2),"0000"))))</f>
        <v/>
      </c>
    </row>
    <row r="373">
      <c r="A373">
        <f>IF(OR(Calc!$E376="",Calc!$E376="نامعتبر",Calc!$G376="",Calc!$I376&lt;&gt;"خرید"),"",Calc!$G376)</f>
        <v/>
      </c>
      <c r="B373">
        <f>IF($A373="","",LEFT(Calc!$E376,4)&amp;MID(Calc!$E376,6,2)&amp;RIGHT(Calc!$E376,2)&amp;Calc!$R376&amp;"|"&amp;"1"&amp;RIGHT("00000"&amp;368,5))</f>
        <v/>
      </c>
      <c r="C373">
        <f>IF($B373="","",COUNTIFS(LdgPartyA,$A373,LdgKeyA,"&lt;"&amp;$B373)+COUNTIFS(LdgPartyB,$A373,LdgKeyB,"&lt;"&amp;$B373)+1)</f>
        <v/>
      </c>
      <c r="D373">
        <f>IF($C373="","",$A373&amp;"|"&amp;RIGHT("000000"&amp;$C373,6))</f>
        <v/>
      </c>
      <c r="F373">
        <f>IF(Sync!$AJ373="","",Sync!$AJ373)</f>
        <v/>
      </c>
      <c r="G373">
        <f>IF($F373="","",IF(Sync!$AG373="","",IF(ISNUMBER(Sync!$AG373),IF(AND(Sync!$AG373&gt;=10000101,Sync!$AG373&lt;=99991231),INT(Sync!$AG373/10000),""),IFERROR(VALUE(TRIM(LEFT(Sync!$AG373,FIND("/",Sync!$AG373)-1))),""))))</f>
        <v/>
      </c>
      <c r="H373">
        <f>IF(OR($F373="",$G373=""),"",IF(ISNUMBER(Sync!$AG373),INT(MOD(Sync!$AG373,10000)/100),IFERROR(VALUE(TRIM(LEFT(MID(Sync!$AG373,FIND("/",Sync!$AG373)+1,20),FIND("/",MID(Sync!$AG373,FIND("/",Sync!$AG373)+1,20))-1))),"")))</f>
        <v/>
      </c>
      <c r="I373">
        <f>IF(OR($F373="",$G373=""),"",IF(ISNUMBER(Sync!$AG373),MOD(Sync!$AG373,100),IFERROR(VALUE(TRIM(MID(MID(Sync!$AG373,FIND("/",Sync!$AG373)+1,20),FIND("/",MID(Sync!$AG373,FIND("/",Sync!$AG373)+1,20))+1,20))),"")))</f>
        <v/>
      </c>
      <c r="J373">
        <f>IF($F373="","",IF(OR($G373="",$H373="",$I373="",$G373&lt;1300,$G373&gt;1500,$H373&lt;1,$H373&gt;12,$I373&lt;1,$I373&gt;31),"نامعتبر",RIGHT("0000"&amp;$G373,4)&amp;"/"&amp;RIGHT("00"&amp;$H373,2)&amp;"/"&amp;RIGHT("00"&amp;$I373,2)))</f>
        <v/>
      </c>
      <c r="K373">
        <f>IF(OR($F373="",$J373="",$J373="نامعتبر"),"",LEFT($J373,4)&amp;MID($J373,6,2)&amp;RIGHT($J373,2)&amp;$N373&amp;"|"&amp;"2"&amp;RIGHT("00000"&amp;368,5))</f>
        <v/>
      </c>
      <c r="L373">
        <f>IF($K373="","",COUNTIFS(LdgPartyA,$F373,LdgKeyA,"&lt;"&amp;$K373)+COUNTIFS(LdgPartyB,$F373,LdgKeyB,"&lt;"&amp;$K373)+1)</f>
        <v/>
      </c>
      <c r="M373">
        <f>IF($L373="","",$F373&amp;"|"&amp;RIGHT("000000"&amp;$L373,6))</f>
        <v/>
      </c>
      <c r="N373">
        <f>IF($F373="","",IF(Sync!$AH373="","0000",IF(AND(ISNUMBER(Sync!$AH373),Sync!$AH373&gt;=0,Sync!$AH373&lt;1),RIGHT("00"&amp;HOUR(Sync!$AH373),2)&amp;RIGHT("00"&amp;MINUTE(Sync!$AH373),2),IFERROR(RIGHT("00"&amp;VALUE(LEFT(Sync!$AH373,FIND(":",Sync!$AH373)-1)),2)&amp;RIGHT("00"&amp;VALUE(MID(Sync!$AH373,FIND(":",Sync!$AH373)+1,2)),2),"0000"))))</f>
        <v/>
      </c>
    </row>
    <row r="374">
      <c r="A374">
        <f>IF(OR(Calc!$E377="",Calc!$E377="نامعتبر",Calc!$G377="",Calc!$I377&lt;&gt;"خرید"),"",Calc!$G377)</f>
        <v/>
      </c>
      <c r="B374">
        <f>IF($A374="","",LEFT(Calc!$E377,4)&amp;MID(Calc!$E377,6,2)&amp;RIGHT(Calc!$E377,2)&amp;Calc!$R377&amp;"|"&amp;"1"&amp;RIGHT("00000"&amp;369,5))</f>
        <v/>
      </c>
      <c r="C374">
        <f>IF($B374="","",COUNTIFS(LdgPartyA,$A374,LdgKeyA,"&lt;"&amp;$B374)+COUNTIFS(LdgPartyB,$A374,LdgKeyB,"&lt;"&amp;$B374)+1)</f>
        <v/>
      </c>
      <c r="D374">
        <f>IF($C374="","",$A374&amp;"|"&amp;RIGHT("000000"&amp;$C374,6))</f>
        <v/>
      </c>
      <c r="F374">
        <f>IF(Sync!$AJ374="","",Sync!$AJ374)</f>
        <v/>
      </c>
      <c r="G374">
        <f>IF($F374="","",IF(Sync!$AG374="","",IF(ISNUMBER(Sync!$AG374),IF(AND(Sync!$AG374&gt;=10000101,Sync!$AG374&lt;=99991231),INT(Sync!$AG374/10000),""),IFERROR(VALUE(TRIM(LEFT(Sync!$AG374,FIND("/",Sync!$AG374)-1))),""))))</f>
        <v/>
      </c>
      <c r="H374">
        <f>IF(OR($F374="",$G374=""),"",IF(ISNUMBER(Sync!$AG374),INT(MOD(Sync!$AG374,10000)/100),IFERROR(VALUE(TRIM(LEFT(MID(Sync!$AG374,FIND("/",Sync!$AG374)+1,20),FIND("/",MID(Sync!$AG374,FIND("/",Sync!$AG374)+1,20))-1))),"")))</f>
        <v/>
      </c>
      <c r="I374">
        <f>IF(OR($F374="",$G374=""),"",IF(ISNUMBER(Sync!$AG374),MOD(Sync!$AG374,100),IFERROR(VALUE(TRIM(MID(MID(Sync!$AG374,FIND("/",Sync!$AG374)+1,20),FIND("/",MID(Sync!$AG374,FIND("/",Sync!$AG374)+1,20))+1,20))),"")))</f>
        <v/>
      </c>
      <c r="J374">
        <f>IF($F374="","",IF(OR($G374="",$H374="",$I374="",$G374&lt;1300,$G374&gt;1500,$H374&lt;1,$H374&gt;12,$I374&lt;1,$I374&gt;31),"نامعتبر",RIGHT("0000"&amp;$G374,4)&amp;"/"&amp;RIGHT("00"&amp;$H374,2)&amp;"/"&amp;RIGHT("00"&amp;$I374,2)))</f>
        <v/>
      </c>
      <c r="K374">
        <f>IF(OR($F374="",$J374="",$J374="نامعتبر"),"",LEFT($J374,4)&amp;MID($J374,6,2)&amp;RIGHT($J374,2)&amp;$N374&amp;"|"&amp;"2"&amp;RIGHT("00000"&amp;369,5))</f>
        <v/>
      </c>
      <c r="L374">
        <f>IF($K374="","",COUNTIFS(LdgPartyA,$F374,LdgKeyA,"&lt;"&amp;$K374)+COUNTIFS(LdgPartyB,$F374,LdgKeyB,"&lt;"&amp;$K374)+1)</f>
        <v/>
      </c>
      <c r="M374">
        <f>IF($L374="","",$F374&amp;"|"&amp;RIGHT("000000"&amp;$L374,6))</f>
        <v/>
      </c>
      <c r="N374">
        <f>IF($F374="","",IF(Sync!$AH374="","0000",IF(AND(ISNUMBER(Sync!$AH374),Sync!$AH374&gt;=0,Sync!$AH374&lt;1),RIGHT("00"&amp;HOUR(Sync!$AH374),2)&amp;RIGHT("00"&amp;MINUTE(Sync!$AH374),2),IFERROR(RIGHT("00"&amp;VALUE(LEFT(Sync!$AH374,FIND(":",Sync!$AH374)-1)),2)&amp;RIGHT("00"&amp;VALUE(MID(Sync!$AH374,FIND(":",Sync!$AH374)+1,2)),2),"0000"))))</f>
        <v/>
      </c>
    </row>
    <row r="375">
      <c r="A375">
        <f>IF(OR(Calc!$E378="",Calc!$E378="نامعتبر",Calc!$G378="",Calc!$I378&lt;&gt;"خرید"),"",Calc!$G378)</f>
        <v/>
      </c>
      <c r="B375">
        <f>IF($A375="","",LEFT(Calc!$E378,4)&amp;MID(Calc!$E378,6,2)&amp;RIGHT(Calc!$E378,2)&amp;Calc!$R378&amp;"|"&amp;"1"&amp;RIGHT("00000"&amp;370,5))</f>
        <v/>
      </c>
      <c r="C375">
        <f>IF($B375="","",COUNTIFS(LdgPartyA,$A375,LdgKeyA,"&lt;"&amp;$B375)+COUNTIFS(LdgPartyB,$A375,LdgKeyB,"&lt;"&amp;$B375)+1)</f>
        <v/>
      </c>
      <c r="D375">
        <f>IF($C375="","",$A375&amp;"|"&amp;RIGHT("000000"&amp;$C375,6))</f>
        <v/>
      </c>
      <c r="F375">
        <f>IF(Sync!$AJ375="","",Sync!$AJ375)</f>
        <v/>
      </c>
      <c r="G375">
        <f>IF($F375="","",IF(Sync!$AG375="","",IF(ISNUMBER(Sync!$AG375),IF(AND(Sync!$AG375&gt;=10000101,Sync!$AG375&lt;=99991231),INT(Sync!$AG375/10000),""),IFERROR(VALUE(TRIM(LEFT(Sync!$AG375,FIND("/",Sync!$AG375)-1))),""))))</f>
        <v/>
      </c>
      <c r="H375">
        <f>IF(OR($F375="",$G375=""),"",IF(ISNUMBER(Sync!$AG375),INT(MOD(Sync!$AG375,10000)/100),IFERROR(VALUE(TRIM(LEFT(MID(Sync!$AG375,FIND("/",Sync!$AG375)+1,20),FIND("/",MID(Sync!$AG375,FIND("/",Sync!$AG375)+1,20))-1))),"")))</f>
        <v/>
      </c>
      <c r="I375">
        <f>IF(OR($F375="",$G375=""),"",IF(ISNUMBER(Sync!$AG375),MOD(Sync!$AG375,100),IFERROR(VALUE(TRIM(MID(MID(Sync!$AG375,FIND("/",Sync!$AG375)+1,20),FIND("/",MID(Sync!$AG375,FIND("/",Sync!$AG375)+1,20))+1,20))),"")))</f>
        <v/>
      </c>
      <c r="J375">
        <f>IF($F375="","",IF(OR($G375="",$H375="",$I375="",$G375&lt;1300,$G375&gt;1500,$H375&lt;1,$H375&gt;12,$I375&lt;1,$I375&gt;31),"نامعتبر",RIGHT("0000"&amp;$G375,4)&amp;"/"&amp;RIGHT("00"&amp;$H375,2)&amp;"/"&amp;RIGHT("00"&amp;$I375,2)))</f>
        <v/>
      </c>
      <c r="K375">
        <f>IF(OR($F375="",$J375="",$J375="نامعتبر"),"",LEFT($J375,4)&amp;MID($J375,6,2)&amp;RIGHT($J375,2)&amp;$N375&amp;"|"&amp;"2"&amp;RIGHT("00000"&amp;370,5))</f>
        <v/>
      </c>
      <c r="L375">
        <f>IF($K375="","",COUNTIFS(LdgPartyA,$F375,LdgKeyA,"&lt;"&amp;$K375)+COUNTIFS(LdgPartyB,$F375,LdgKeyB,"&lt;"&amp;$K375)+1)</f>
        <v/>
      </c>
      <c r="M375">
        <f>IF($L375="","",$F375&amp;"|"&amp;RIGHT("000000"&amp;$L375,6))</f>
        <v/>
      </c>
      <c r="N375">
        <f>IF($F375="","",IF(Sync!$AH375="","0000",IF(AND(ISNUMBER(Sync!$AH375),Sync!$AH375&gt;=0,Sync!$AH375&lt;1),RIGHT("00"&amp;HOUR(Sync!$AH375),2)&amp;RIGHT("00"&amp;MINUTE(Sync!$AH375),2),IFERROR(RIGHT("00"&amp;VALUE(LEFT(Sync!$AH375,FIND(":",Sync!$AH375)-1)),2)&amp;RIGHT("00"&amp;VALUE(MID(Sync!$AH375,FIND(":",Sync!$AH375)+1,2)),2),"0000"))))</f>
        <v/>
      </c>
    </row>
    <row r="376">
      <c r="A376">
        <f>IF(OR(Calc!$E379="",Calc!$E379="نامعتبر",Calc!$G379="",Calc!$I379&lt;&gt;"خرید"),"",Calc!$G379)</f>
        <v/>
      </c>
      <c r="B376">
        <f>IF($A376="","",LEFT(Calc!$E379,4)&amp;MID(Calc!$E379,6,2)&amp;RIGHT(Calc!$E379,2)&amp;Calc!$R379&amp;"|"&amp;"1"&amp;RIGHT("00000"&amp;371,5))</f>
        <v/>
      </c>
      <c r="C376">
        <f>IF($B376="","",COUNTIFS(LdgPartyA,$A376,LdgKeyA,"&lt;"&amp;$B376)+COUNTIFS(LdgPartyB,$A376,LdgKeyB,"&lt;"&amp;$B376)+1)</f>
        <v/>
      </c>
      <c r="D376">
        <f>IF($C376="","",$A376&amp;"|"&amp;RIGHT("000000"&amp;$C376,6))</f>
        <v/>
      </c>
      <c r="F376">
        <f>IF(Sync!$AJ376="","",Sync!$AJ376)</f>
        <v/>
      </c>
      <c r="G376">
        <f>IF($F376="","",IF(Sync!$AG376="","",IF(ISNUMBER(Sync!$AG376),IF(AND(Sync!$AG376&gt;=10000101,Sync!$AG376&lt;=99991231),INT(Sync!$AG376/10000),""),IFERROR(VALUE(TRIM(LEFT(Sync!$AG376,FIND("/",Sync!$AG376)-1))),""))))</f>
        <v/>
      </c>
      <c r="H376">
        <f>IF(OR($F376="",$G376=""),"",IF(ISNUMBER(Sync!$AG376),INT(MOD(Sync!$AG376,10000)/100),IFERROR(VALUE(TRIM(LEFT(MID(Sync!$AG376,FIND("/",Sync!$AG376)+1,20),FIND("/",MID(Sync!$AG376,FIND("/",Sync!$AG376)+1,20))-1))),"")))</f>
        <v/>
      </c>
      <c r="I376">
        <f>IF(OR($F376="",$G376=""),"",IF(ISNUMBER(Sync!$AG376),MOD(Sync!$AG376,100),IFERROR(VALUE(TRIM(MID(MID(Sync!$AG376,FIND("/",Sync!$AG376)+1,20),FIND("/",MID(Sync!$AG376,FIND("/",Sync!$AG376)+1,20))+1,20))),"")))</f>
        <v/>
      </c>
      <c r="J376">
        <f>IF($F376="","",IF(OR($G376="",$H376="",$I376="",$G376&lt;1300,$G376&gt;1500,$H376&lt;1,$H376&gt;12,$I376&lt;1,$I376&gt;31),"نامعتبر",RIGHT("0000"&amp;$G376,4)&amp;"/"&amp;RIGHT("00"&amp;$H376,2)&amp;"/"&amp;RIGHT("00"&amp;$I376,2)))</f>
        <v/>
      </c>
      <c r="K376">
        <f>IF(OR($F376="",$J376="",$J376="نامعتبر"),"",LEFT($J376,4)&amp;MID($J376,6,2)&amp;RIGHT($J376,2)&amp;$N376&amp;"|"&amp;"2"&amp;RIGHT("00000"&amp;371,5))</f>
        <v/>
      </c>
      <c r="L376">
        <f>IF($K376="","",COUNTIFS(LdgPartyA,$F376,LdgKeyA,"&lt;"&amp;$K376)+COUNTIFS(LdgPartyB,$F376,LdgKeyB,"&lt;"&amp;$K376)+1)</f>
        <v/>
      </c>
      <c r="M376">
        <f>IF($L376="","",$F376&amp;"|"&amp;RIGHT("000000"&amp;$L376,6))</f>
        <v/>
      </c>
      <c r="N376">
        <f>IF($F376="","",IF(Sync!$AH376="","0000",IF(AND(ISNUMBER(Sync!$AH376),Sync!$AH376&gt;=0,Sync!$AH376&lt;1),RIGHT("00"&amp;HOUR(Sync!$AH376),2)&amp;RIGHT("00"&amp;MINUTE(Sync!$AH376),2),IFERROR(RIGHT("00"&amp;VALUE(LEFT(Sync!$AH376,FIND(":",Sync!$AH376)-1)),2)&amp;RIGHT("00"&amp;VALUE(MID(Sync!$AH376,FIND(":",Sync!$AH376)+1,2)),2),"0000"))))</f>
        <v/>
      </c>
    </row>
    <row r="377">
      <c r="A377">
        <f>IF(OR(Calc!$E380="",Calc!$E380="نامعتبر",Calc!$G380="",Calc!$I380&lt;&gt;"خرید"),"",Calc!$G380)</f>
        <v/>
      </c>
      <c r="B377">
        <f>IF($A377="","",LEFT(Calc!$E380,4)&amp;MID(Calc!$E380,6,2)&amp;RIGHT(Calc!$E380,2)&amp;Calc!$R380&amp;"|"&amp;"1"&amp;RIGHT("00000"&amp;372,5))</f>
        <v/>
      </c>
      <c r="C377">
        <f>IF($B377="","",COUNTIFS(LdgPartyA,$A377,LdgKeyA,"&lt;"&amp;$B377)+COUNTIFS(LdgPartyB,$A377,LdgKeyB,"&lt;"&amp;$B377)+1)</f>
        <v/>
      </c>
      <c r="D377">
        <f>IF($C377="","",$A377&amp;"|"&amp;RIGHT("000000"&amp;$C377,6))</f>
        <v/>
      </c>
      <c r="F377">
        <f>IF(Sync!$AJ377="","",Sync!$AJ377)</f>
        <v/>
      </c>
      <c r="G377">
        <f>IF($F377="","",IF(Sync!$AG377="","",IF(ISNUMBER(Sync!$AG377),IF(AND(Sync!$AG377&gt;=10000101,Sync!$AG377&lt;=99991231),INT(Sync!$AG377/10000),""),IFERROR(VALUE(TRIM(LEFT(Sync!$AG377,FIND("/",Sync!$AG377)-1))),""))))</f>
        <v/>
      </c>
      <c r="H377">
        <f>IF(OR($F377="",$G377=""),"",IF(ISNUMBER(Sync!$AG377),INT(MOD(Sync!$AG377,10000)/100),IFERROR(VALUE(TRIM(LEFT(MID(Sync!$AG377,FIND("/",Sync!$AG377)+1,20),FIND("/",MID(Sync!$AG377,FIND("/",Sync!$AG377)+1,20))-1))),"")))</f>
        <v/>
      </c>
      <c r="I377">
        <f>IF(OR($F377="",$G377=""),"",IF(ISNUMBER(Sync!$AG377),MOD(Sync!$AG377,100),IFERROR(VALUE(TRIM(MID(MID(Sync!$AG377,FIND("/",Sync!$AG377)+1,20),FIND("/",MID(Sync!$AG377,FIND("/",Sync!$AG377)+1,20))+1,20))),"")))</f>
        <v/>
      </c>
      <c r="J377">
        <f>IF($F377="","",IF(OR($G377="",$H377="",$I377="",$G377&lt;1300,$G377&gt;1500,$H377&lt;1,$H377&gt;12,$I377&lt;1,$I377&gt;31),"نامعتبر",RIGHT("0000"&amp;$G377,4)&amp;"/"&amp;RIGHT("00"&amp;$H377,2)&amp;"/"&amp;RIGHT("00"&amp;$I377,2)))</f>
        <v/>
      </c>
      <c r="K377">
        <f>IF(OR($F377="",$J377="",$J377="نامعتبر"),"",LEFT($J377,4)&amp;MID($J377,6,2)&amp;RIGHT($J377,2)&amp;$N377&amp;"|"&amp;"2"&amp;RIGHT("00000"&amp;372,5))</f>
        <v/>
      </c>
      <c r="L377">
        <f>IF($K377="","",COUNTIFS(LdgPartyA,$F377,LdgKeyA,"&lt;"&amp;$K377)+COUNTIFS(LdgPartyB,$F377,LdgKeyB,"&lt;"&amp;$K377)+1)</f>
        <v/>
      </c>
      <c r="M377">
        <f>IF($L377="","",$F377&amp;"|"&amp;RIGHT("000000"&amp;$L377,6))</f>
        <v/>
      </c>
      <c r="N377">
        <f>IF($F377="","",IF(Sync!$AH377="","0000",IF(AND(ISNUMBER(Sync!$AH377),Sync!$AH377&gt;=0,Sync!$AH377&lt;1),RIGHT("00"&amp;HOUR(Sync!$AH377),2)&amp;RIGHT("00"&amp;MINUTE(Sync!$AH377),2),IFERROR(RIGHT("00"&amp;VALUE(LEFT(Sync!$AH377,FIND(":",Sync!$AH377)-1)),2)&amp;RIGHT("00"&amp;VALUE(MID(Sync!$AH377,FIND(":",Sync!$AH377)+1,2)),2),"0000"))))</f>
        <v/>
      </c>
    </row>
    <row r="378">
      <c r="A378">
        <f>IF(OR(Calc!$E381="",Calc!$E381="نامعتبر",Calc!$G381="",Calc!$I381&lt;&gt;"خرید"),"",Calc!$G381)</f>
        <v/>
      </c>
      <c r="B378">
        <f>IF($A378="","",LEFT(Calc!$E381,4)&amp;MID(Calc!$E381,6,2)&amp;RIGHT(Calc!$E381,2)&amp;Calc!$R381&amp;"|"&amp;"1"&amp;RIGHT("00000"&amp;373,5))</f>
        <v/>
      </c>
      <c r="C378">
        <f>IF($B378="","",COUNTIFS(LdgPartyA,$A378,LdgKeyA,"&lt;"&amp;$B378)+COUNTIFS(LdgPartyB,$A378,LdgKeyB,"&lt;"&amp;$B378)+1)</f>
        <v/>
      </c>
      <c r="D378">
        <f>IF($C378="","",$A378&amp;"|"&amp;RIGHT("000000"&amp;$C378,6))</f>
        <v/>
      </c>
      <c r="F378">
        <f>IF(Sync!$AJ378="","",Sync!$AJ378)</f>
        <v/>
      </c>
      <c r="G378">
        <f>IF($F378="","",IF(Sync!$AG378="","",IF(ISNUMBER(Sync!$AG378),IF(AND(Sync!$AG378&gt;=10000101,Sync!$AG378&lt;=99991231),INT(Sync!$AG378/10000),""),IFERROR(VALUE(TRIM(LEFT(Sync!$AG378,FIND("/",Sync!$AG378)-1))),""))))</f>
        <v/>
      </c>
      <c r="H378">
        <f>IF(OR($F378="",$G378=""),"",IF(ISNUMBER(Sync!$AG378),INT(MOD(Sync!$AG378,10000)/100),IFERROR(VALUE(TRIM(LEFT(MID(Sync!$AG378,FIND("/",Sync!$AG378)+1,20),FIND("/",MID(Sync!$AG378,FIND("/",Sync!$AG378)+1,20))-1))),"")))</f>
        <v/>
      </c>
      <c r="I378">
        <f>IF(OR($F378="",$G378=""),"",IF(ISNUMBER(Sync!$AG378),MOD(Sync!$AG378,100),IFERROR(VALUE(TRIM(MID(MID(Sync!$AG378,FIND("/",Sync!$AG378)+1,20),FIND("/",MID(Sync!$AG378,FIND("/",Sync!$AG378)+1,20))+1,20))),"")))</f>
        <v/>
      </c>
      <c r="J378">
        <f>IF($F378="","",IF(OR($G378="",$H378="",$I378="",$G378&lt;1300,$G378&gt;1500,$H378&lt;1,$H378&gt;12,$I378&lt;1,$I378&gt;31),"نامعتبر",RIGHT("0000"&amp;$G378,4)&amp;"/"&amp;RIGHT("00"&amp;$H378,2)&amp;"/"&amp;RIGHT("00"&amp;$I378,2)))</f>
        <v/>
      </c>
      <c r="K378">
        <f>IF(OR($F378="",$J378="",$J378="نامعتبر"),"",LEFT($J378,4)&amp;MID($J378,6,2)&amp;RIGHT($J378,2)&amp;$N378&amp;"|"&amp;"2"&amp;RIGHT("00000"&amp;373,5))</f>
        <v/>
      </c>
      <c r="L378">
        <f>IF($K378="","",COUNTIFS(LdgPartyA,$F378,LdgKeyA,"&lt;"&amp;$K378)+COUNTIFS(LdgPartyB,$F378,LdgKeyB,"&lt;"&amp;$K378)+1)</f>
        <v/>
      </c>
      <c r="M378">
        <f>IF($L378="","",$F378&amp;"|"&amp;RIGHT("000000"&amp;$L378,6))</f>
        <v/>
      </c>
      <c r="N378">
        <f>IF($F378="","",IF(Sync!$AH378="","0000",IF(AND(ISNUMBER(Sync!$AH378),Sync!$AH378&gt;=0,Sync!$AH378&lt;1),RIGHT("00"&amp;HOUR(Sync!$AH378),2)&amp;RIGHT("00"&amp;MINUTE(Sync!$AH378),2),IFERROR(RIGHT("00"&amp;VALUE(LEFT(Sync!$AH378,FIND(":",Sync!$AH378)-1)),2)&amp;RIGHT("00"&amp;VALUE(MID(Sync!$AH378,FIND(":",Sync!$AH378)+1,2)),2),"0000"))))</f>
        <v/>
      </c>
    </row>
    <row r="379">
      <c r="A379">
        <f>IF(OR(Calc!$E382="",Calc!$E382="نامعتبر",Calc!$G382="",Calc!$I382&lt;&gt;"خرید"),"",Calc!$G382)</f>
        <v/>
      </c>
      <c r="B379">
        <f>IF($A379="","",LEFT(Calc!$E382,4)&amp;MID(Calc!$E382,6,2)&amp;RIGHT(Calc!$E382,2)&amp;Calc!$R382&amp;"|"&amp;"1"&amp;RIGHT("00000"&amp;374,5))</f>
        <v/>
      </c>
      <c r="C379">
        <f>IF($B379="","",COUNTIFS(LdgPartyA,$A379,LdgKeyA,"&lt;"&amp;$B379)+COUNTIFS(LdgPartyB,$A379,LdgKeyB,"&lt;"&amp;$B379)+1)</f>
        <v/>
      </c>
      <c r="D379">
        <f>IF($C379="","",$A379&amp;"|"&amp;RIGHT("000000"&amp;$C379,6))</f>
        <v/>
      </c>
      <c r="F379">
        <f>IF(Sync!$AJ379="","",Sync!$AJ379)</f>
        <v/>
      </c>
      <c r="G379">
        <f>IF($F379="","",IF(Sync!$AG379="","",IF(ISNUMBER(Sync!$AG379),IF(AND(Sync!$AG379&gt;=10000101,Sync!$AG379&lt;=99991231),INT(Sync!$AG379/10000),""),IFERROR(VALUE(TRIM(LEFT(Sync!$AG379,FIND("/",Sync!$AG379)-1))),""))))</f>
        <v/>
      </c>
      <c r="H379">
        <f>IF(OR($F379="",$G379=""),"",IF(ISNUMBER(Sync!$AG379),INT(MOD(Sync!$AG379,10000)/100),IFERROR(VALUE(TRIM(LEFT(MID(Sync!$AG379,FIND("/",Sync!$AG379)+1,20),FIND("/",MID(Sync!$AG379,FIND("/",Sync!$AG379)+1,20))-1))),"")))</f>
        <v/>
      </c>
      <c r="I379">
        <f>IF(OR($F379="",$G379=""),"",IF(ISNUMBER(Sync!$AG379),MOD(Sync!$AG379,100),IFERROR(VALUE(TRIM(MID(MID(Sync!$AG379,FIND("/",Sync!$AG379)+1,20),FIND("/",MID(Sync!$AG379,FIND("/",Sync!$AG379)+1,20))+1,20))),"")))</f>
        <v/>
      </c>
      <c r="J379">
        <f>IF($F379="","",IF(OR($G379="",$H379="",$I379="",$G379&lt;1300,$G379&gt;1500,$H379&lt;1,$H379&gt;12,$I379&lt;1,$I379&gt;31),"نامعتبر",RIGHT("0000"&amp;$G379,4)&amp;"/"&amp;RIGHT("00"&amp;$H379,2)&amp;"/"&amp;RIGHT("00"&amp;$I379,2)))</f>
        <v/>
      </c>
      <c r="K379">
        <f>IF(OR($F379="",$J379="",$J379="نامعتبر"),"",LEFT($J379,4)&amp;MID($J379,6,2)&amp;RIGHT($J379,2)&amp;$N379&amp;"|"&amp;"2"&amp;RIGHT("00000"&amp;374,5))</f>
        <v/>
      </c>
      <c r="L379">
        <f>IF($K379="","",COUNTIFS(LdgPartyA,$F379,LdgKeyA,"&lt;"&amp;$K379)+COUNTIFS(LdgPartyB,$F379,LdgKeyB,"&lt;"&amp;$K379)+1)</f>
        <v/>
      </c>
      <c r="M379">
        <f>IF($L379="","",$F379&amp;"|"&amp;RIGHT("000000"&amp;$L379,6))</f>
        <v/>
      </c>
      <c r="N379">
        <f>IF($F379="","",IF(Sync!$AH379="","0000",IF(AND(ISNUMBER(Sync!$AH379),Sync!$AH379&gt;=0,Sync!$AH379&lt;1),RIGHT("00"&amp;HOUR(Sync!$AH379),2)&amp;RIGHT("00"&amp;MINUTE(Sync!$AH379),2),IFERROR(RIGHT("00"&amp;VALUE(LEFT(Sync!$AH379,FIND(":",Sync!$AH379)-1)),2)&amp;RIGHT("00"&amp;VALUE(MID(Sync!$AH379,FIND(":",Sync!$AH379)+1,2)),2),"0000"))))</f>
        <v/>
      </c>
    </row>
    <row r="380">
      <c r="A380">
        <f>IF(OR(Calc!$E383="",Calc!$E383="نامعتبر",Calc!$G383="",Calc!$I383&lt;&gt;"خرید"),"",Calc!$G383)</f>
        <v/>
      </c>
      <c r="B380">
        <f>IF($A380="","",LEFT(Calc!$E383,4)&amp;MID(Calc!$E383,6,2)&amp;RIGHT(Calc!$E383,2)&amp;Calc!$R383&amp;"|"&amp;"1"&amp;RIGHT("00000"&amp;375,5))</f>
        <v/>
      </c>
      <c r="C380">
        <f>IF($B380="","",COUNTIFS(LdgPartyA,$A380,LdgKeyA,"&lt;"&amp;$B380)+COUNTIFS(LdgPartyB,$A380,LdgKeyB,"&lt;"&amp;$B380)+1)</f>
        <v/>
      </c>
      <c r="D380">
        <f>IF($C380="","",$A380&amp;"|"&amp;RIGHT("000000"&amp;$C380,6))</f>
        <v/>
      </c>
      <c r="F380">
        <f>IF(Sync!$AJ380="","",Sync!$AJ380)</f>
        <v/>
      </c>
      <c r="G380">
        <f>IF($F380="","",IF(Sync!$AG380="","",IF(ISNUMBER(Sync!$AG380),IF(AND(Sync!$AG380&gt;=10000101,Sync!$AG380&lt;=99991231),INT(Sync!$AG380/10000),""),IFERROR(VALUE(TRIM(LEFT(Sync!$AG380,FIND("/",Sync!$AG380)-1))),""))))</f>
        <v/>
      </c>
      <c r="H380">
        <f>IF(OR($F380="",$G380=""),"",IF(ISNUMBER(Sync!$AG380),INT(MOD(Sync!$AG380,10000)/100),IFERROR(VALUE(TRIM(LEFT(MID(Sync!$AG380,FIND("/",Sync!$AG380)+1,20),FIND("/",MID(Sync!$AG380,FIND("/",Sync!$AG380)+1,20))-1))),"")))</f>
        <v/>
      </c>
      <c r="I380">
        <f>IF(OR($F380="",$G380=""),"",IF(ISNUMBER(Sync!$AG380),MOD(Sync!$AG380,100),IFERROR(VALUE(TRIM(MID(MID(Sync!$AG380,FIND("/",Sync!$AG380)+1,20),FIND("/",MID(Sync!$AG380,FIND("/",Sync!$AG380)+1,20))+1,20))),"")))</f>
        <v/>
      </c>
      <c r="J380">
        <f>IF($F380="","",IF(OR($G380="",$H380="",$I380="",$G380&lt;1300,$G380&gt;1500,$H380&lt;1,$H380&gt;12,$I380&lt;1,$I380&gt;31),"نامعتبر",RIGHT("0000"&amp;$G380,4)&amp;"/"&amp;RIGHT("00"&amp;$H380,2)&amp;"/"&amp;RIGHT("00"&amp;$I380,2)))</f>
        <v/>
      </c>
      <c r="K380">
        <f>IF(OR($F380="",$J380="",$J380="نامعتبر"),"",LEFT($J380,4)&amp;MID($J380,6,2)&amp;RIGHT($J380,2)&amp;$N380&amp;"|"&amp;"2"&amp;RIGHT("00000"&amp;375,5))</f>
        <v/>
      </c>
      <c r="L380">
        <f>IF($K380="","",COUNTIFS(LdgPartyA,$F380,LdgKeyA,"&lt;"&amp;$K380)+COUNTIFS(LdgPartyB,$F380,LdgKeyB,"&lt;"&amp;$K380)+1)</f>
        <v/>
      </c>
      <c r="M380">
        <f>IF($L380="","",$F380&amp;"|"&amp;RIGHT("000000"&amp;$L380,6))</f>
        <v/>
      </c>
      <c r="N380">
        <f>IF($F380="","",IF(Sync!$AH380="","0000",IF(AND(ISNUMBER(Sync!$AH380),Sync!$AH380&gt;=0,Sync!$AH380&lt;1),RIGHT("00"&amp;HOUR(Sync!$AH380),2)&amp;RIGHT("00"&amp;MINUTE(Sync!$AH380),2),IFERROR(RIGHT("00"&amp;VALUE(LEFT(Sync!$AH380,FIND(":",Sync!$AH380)-1)),2)&amp;RIGHT("00"&amp;VALUE(MID(Sync!$AH380,FIND(":",Sync!$AH380)+1,2)),2),"0000"))))</f>
        <v/>
      </c>
    </row>
    <row r="381">
      <c r="A381">
        <f>IF(OR(Calc!$E384="",Calc!$E384="نامعتبر",Calc!$G384="",Calc!$I384&lt;&gt;"خرید"),"",Calc!$G384)</f>
        <v/>
      </c>
      <c r="B381">
        <f>IF($A381="","",LEFT(Calc!$E384,4)&amp;MID(Calc!$E384,6,2)&amp;RIGHT(Calc!$E384,2)&amp;Calc!$R384&amp;"|"&amp;"1"&amp;RIGHT("00000"&amp;376,5))</f>
        <v/>
      </c>
      <c r="C381">
        <f>IF($B381="","",COUNTIFS(LdgPartyA,$A381,LdgKeyA,"&lt;"&amp;$B381)+COUNTIFS(LdgPartyB,$A381,LdgKeyB,"&lt;"&amp;$B381)+1)</f>
        <v/>
      </c>
      <c r="D381">
        <f>IF($C381="","",$A381&amp;"|"&amp;RIGHT("000000"&amp;$C381,6))</f>
        <v/>
      </c>
      <c r="F381">
        <f>IF(Sync!$AJ381="","",Sync!$AJ381)</f>
        <v/>
      </c>
      <c r="G381">
        <f>IF($F381="","",IF(Sync!$AG381="","",IF(ISNUMBER(Sync!$AG381),IF(AND(Sync!$AG381&gt;=10000101,Sync!$AG381&lt;=99991231),INT(Sync!$AG381/10000),""),IFERROR(VALUE(TRIM(LEFT(Sync!$AG381,FIND("/",Sync!$AG381)-1))),""))))</f>
        <v/>
      </c>
      <c r="H381">
        <f>IF(OR($F381="",$G381=""),"",IF(ISNUMBER(Sync!$AG381),INT(MOD(Sync!$AG381,10000)/100),IFERROR(VALUE(TRIM(LEFT(MID(Sync!$AG381,FIND("/",Sync!$AG381)+1,20),FIND("/",MID(Sync!$AG381,FIND("/",Sync!$AG381)+1,20))-1))),"")))</f>
        <v/>
      </c>
      <c r="I381">
        <f>IF(OR($F381="",$G381=""),"",IF(ISNUMBER(Sync!$AG381),MOD(Sync!$AG381,100),IFERROR(VALUE(TRIM(MID(MID(Sync!$AG381,FIND("/",Sync!$AG381)+1,20),FIND("/",MID(Sync!$AG381,FIND("/",Sync!$AG381)+1,20))+1,20))),"")))</f>
        <v/>
      </c>
      <c r="J381">
        <f>IF($F381="","",IF(OR($G381="",$H381="",$I381="",$G381&lt;1300,$G381&gt;1500,$H381&lt;1,$H381&gt;12,$I381&lt;1,$I381&gt;31),"نامعتبر",RIGHT("0000"&amp;$G381,4)&amp;"/"&amp;RIGHT("00"&amp;$H381,2)&amp;"/"&amp;RIGHT("00"&amp;$I381,2)))</f>
        <v/>
      </c>
      <c r="K381">
        <f>IF(OR($F381="",$J381="",$J381="نامعتبر"),"",LEFT($J381,4)&amp;MID($J381,6,2)&amp;RIGHT($J381,2)&amp;$N381&amp;"|"&amp;"2"&amp;RIGHT("00000"&amp;376,5))</f>
        <v/>
      </c>
      <c r="L381">
        <f>IF($K381="","",COUNTIFS(LdgPartyA,$F381,LdgKeyA,"&lt;"&amp;$K381)+COUNTIFS(LdgPartyB,$F381,LdgKeyB,"&lt;"&amp;$K381)+1)</f>
        <v/>
      </c>
      <c r="M381">
        <f>IF($L381="","",$F381&amp;"|"&amp;RIGHT("000000"&amp;$L381,6))</f>
        <v/>
      </c>
      <c r="N381">
        <f>IF($F381="","",IF(Sync!$AH381="","0000",IF(AND(ISNUMBER(Sync!$AH381),Sync!$AH381&gt;=0,Sync!$AH381&lt;1),RIGHT("00"&amp;HOUR(Sync!$AH381),2)&amp;RIGHT("00"&amp;MINUTE(Sync!$AH381),2),IFERROR(RIGHT("00"&amp;VALUE(LEFT(Sync!$AH381,FIND(":",Sync!$AH381)-1)),2)&amp;RIGHT("00"&amp;VALUE(MID(Sync!$AH381,FIND(":",Sync!$AH381)+1,2)),2),"0000"))))</f>
        <v/>
      </c>
    </row>
    <row r="382">
      <c r="A382">
        <f>IF(OR(Calc!$E385="",Calc!$E385="نامعتبر",Calc!$G385="",Calc!$I385&lt;&gt;"خرید"),"",Calc!$G385)</f>
        <v/>
      </c>
      <c r="B382">
        <f>IF($A382="","",LEFT(Calc!$E385,4)&amp;MID(Calc!$E385,6,2)&amp;RIGHT(Calc!$E385,2)&amp;Calc!$R385&amp;"|"&amp;"1"&amp;RIGHT("00000"&amp;377,5))</f>
        <v/>
      </c>
      <c r="C382">
        <f>IF($B382="","",COUNTIFS(LdgPartyA,$A382,LdgKeyA,"&lt;"&amp;$B382)+COUNTIFS(LdgPartyB,$A382,LdgKeyB,"&lt;"&amp;$B382)+1)</f>
        <v/>
      </c>
      <c r="D382">
        <f>IF($C382="","",$A382&amp;"|"&amp;RIGHT("000000"&amp;$C382,6))</f>
        <v/>
      </c>
      <c r="F382">
        <f>IF(Sync!$AJ382="","",Sync!$AJ382)</f>
        <v/>
      </c>
      <c r="G382">
        <f>IF($F382="","",IF(Sync!$AG382="","",IF(ISNUMBER(Sync!$AG382),IF(AND(Sync!$AG382&gt;=10000101,Sync!$AG382&lt;=99991231),INT(Sync!$AG382/10000),""),IFERROR(VALUE(TRIM(LEFT(Sync!$AG382,FIND("/",Sync!$AG382)-1))),""))))</f>
        <v/>
      </c>
      <c r="H382">
        <f>IF(OR($F382="",$G382=""),"",IF(ISNUMBER(Sync!$AG382),INT(MOD(Sync!$AG382,10000)/100),IFERROR(VALUE(TRIM(LEFT(MID(Sync!$AG382,FIND("/",Sync!$AG382)+1,20),FIND("/",MID(Sync!$AG382,FIND("/",Sync!$AG382)+1,20))-1))),"")))</f>
        <v/>
      </c>
      <c r="I382">
        <f>IF(OR($F382="",$G382=""),"",IF(ISNUMBER(Sync!$AG382),MOD(Sync!$AG382,100),IFERROR(VALUE(TRIM(MID(MID(Sync!$AG382,FIND("/",Sync!$AG382)+1,20),FIND("/",MID(Sync!$AG382,FIND("/",Sync!$AG382)+1,20))+1,20))),"")))</f>
        <v/>
      </c>
      <c r="J382">
        <f>IF($F382="","",IF(OR($G382="",$H382="",$I382="",$G382&lt;1300,$G382&gt;1500,$H382&lt;1,$H382&gt;12,$I382&lt;1,$I382&gt;31),"نامعتبر",RIGHT("0000"&amp;$G382,4)&amp;"/"&amp;RIGHT("00"&amp;$H382,2)&amp;"/"&amp;RIGHT("00"&amp;$I382,2)))</f>
        <v/>
      </c>
      <c r="K382">
        <f>IF(OR($F382="",$J382="",$J382="نامعتبر"),"",LEFT($J382,4)&amp;MID($J382,6,2)&amp;RIGHT($J382,2)&amp;$N382&amp;"|"&amp;"2"&amp;RIGHT("00000"&amp;377,5))</f>
        <v/>
      </c>
      <c r="L382">
        <f>IF($K382="","",COUNTIFS(LdgPartyA,$F382,LdgKeyA,"&lt;"&amp;$K382)+COUNTIFS(LdgPartyB,$F382,LdgKeyB,"&lt;"&amp;$K382)+1)</f>
        <v/>
      </c>
      <c r="M382">
        <f>IF($L382="","",$F382&amp;"|"&amp;RIGHT("000000"&amp;$L382,6))</f>
        <v/>
      </c>
      <c r="N382">
        <f>IF($F382="","",IF(Sync!$AH382="","0000",IF(AND(ISNUMBER(Sync!$AH382),Sync!$AH382&gt;=0,Sync!$AH382&lt;1),RIGHT("00"&amp;HOUR(Sync!$AH382),2)&amp;RIGHT("00"&amp;MINUTE(Sync!$AH382),2),IFERROR(RIGHT("00"&amp;VALUE(LEFT(Sync!$AH382,FIND(":",Sync!$AH382)-1)),2)&amp;RIGHT("00"&amp;VALUE(MID(Sync!$AH382,FIND(":",Sync!$AH382)+1,2)),2),"0000"))))</f>
        <v/>
      </c>
    </row>
    <row r="383">
      <c r="A383">
        <f>IF(OR(Calc!$E386="",Calc!$E386="نامعتبر",Calc!$G386="",Calc!$I386&lt;&gt;"خرید"),"",Calc!$G386)</f>
        <v/>
      </c>
      <c r="B383">
        <f>IF($A383="","",LEFT(Calc!$E386,4)&amp;MID(Calc!$E386,6,2)&amp;RIGHT(Calc!$E386,2)&amp;Calc!$R386&amp;"|"&amp;"1"&amp;RIGHT("00000"&amp;378,5))</f>
        <v/>
      </c>
      <c r="C383">
        <f>IF($B383="","",COUNTIFS(LdgPartyA,$A383,LdgKeyA,"&lt;"&amp;$B383)+COUNTIFS(LdgPartyB,$A383,LdgKeyB,"&lt;"&amp;$B383)+1)</f>
        <v/>
      </c>
      <c r="D383">
        <f>IF($C383="","",$A383&amp;"|"&amp;RIGHT("000000"&amp;$C383,6))</f>
        <v/>
      </c>
      <c r="F383">
        <f>IF(Sync!$AJ383="","",Sync!$AJ383)</f>
        <v/>
      </c>
      <c r="G383">
        <f>IF($F383="","",IF(Sync!$AG383="","",IF(ISNUMBER(Sync!$AG383),IF(AND(Sync!$AG383&gt;=10000101,Sync!$AG383&lt;=99991231),INT(Sync!$AG383/10000),""),IFERROR(VALUE(TRIM(LEFT(Sync!$AG383,FIND("/",Sync!$AG383)-1))),""))))</f>
        <v/>
      </c>
      <c r="H383">
        <f>IF(OR($F383="",$G383=""),"",IF(ISNUMBER(Sync!$AG383),INT(MOD(Sync!$AG383,10000)/100),IFERROR(VALUE(TRIM(LEFT(MID(Sync!$AG383,FIND("/",Sync!$AG383)+1,20),FIND("/",MID(Sync!$AG383,FIND("/",Sync!$AG383)+1,20))-1))),"")))</f>
        <v/>
      </c>
      <c r="I383">
        <f>IF(OR($F383="",$G383=""),"",IF(ISNUMBER(Sync!$AG383),MOD(Sync!$AG383,100),IFERROR(VALUE(TRIM(MID(MID(Sync!$AG383,FIND("/",Sync!$AG383)+1,20),FIND("/",MID(Sync!$AG383,FIND("/",Sync!$AG383)+1,20))+1,20))),"")))</f>
        <v/>
      </c>
      <c r="J383">
        <f>IF($F383="","",IF(OR($G383="",$H383="",$I383="",$G383&lt;1300,$G383&gt;1500,$H383&lt;1,$H383&gt;12,$I383&lt;1,$I383&gt;31),"نامعتبر",RIGHT("0000"&amp;$G383,4)&amp;"/"&amp;RIGHT("00"&amp;$H383,2)&amp;"/"&amp;RIGHT("00"&amp;$I383,2)))</f>
        <v/>
      </c>
      <c r="K383">
        <f>IF(OR($F383="",$J383="",$J383="نامعتبر"),"",LEFT($J383,4)&amp;MID($J383,6,2)&amp;RIGHT($J383,2)&amp;$N383&amp;"|"&amp;"2"&amp;RIGHT("00000"&amp;378,5))</f>
        <v/>
      </c>
      <c r="L383">
        <f>IF($K383="","",COUNTIFS(LdgPartyA,$F383,LdgKeyA,"&lt;"&amp;$K383)+COUNTIFS(LdgPartyB,$F383,LdgKeyB,"&lt;"&amp;$K383)+1)</f>
        <v/>
      </c>
      <c r="M383">
        <f>IF($L383="","",$F383&amp;"|"&amp;RIGHT("000000"&amp;$L383,6))</f>
        <v/>
      </c>
      <c r="N383">
        <f>IF($F383="","",IF(Sync!$AH383="","0000",IF(AND(ISNUMBER(Sync!$AH383),Sync!$AH383&gt;=0,Sync!$AH383&lt;1),RIGHT("00"&amp;HOUR(Sync!$AH383),2)&amp;RIGHT("00"&amp;MINUTE(Sync!$AH383),2),IFERROR(RIGHT("00"&amp;VALUE(LEFT(Sync!$AH383,FIND(":",Sync!$AH383)-1)),2)&amp;RIGHT("00"&amp;VALUE(MID(Sync!$AH383,FIND(":",Sync!$AH383)+1,2)),2),"0000"))))</f>
        <v/>
      </c>
    </row>
    <row r="384">
      <c r="A384">
        <f>IF(OR(Calc!$E387="",Calc!$E387="نامعتبر",Calc!$G387="",Calc!$I387&lt;&gt;"خرید"),"",Calc!$G387)</f>
        <v/>
      </c>
      <c r="B384">
        <f>IF($A384="","",LEFT(Calc!$E387,4)&amp;MID(Calc!$E387,6,2)&amp;RIGHT(Calc!$E387,2)&amp;Calc!$R387&amp;"|"&amp;"1"&amp;RIGHT("00000"&amp;379,5))</f>
        <v/>
      </c>
      <c r="C384">
        <f>IF($B384="","",COUNTIFS(LdgPartyA,$A384,LdgKeyA,"&lt;"&amp;$B384)+COUNTIFS(LdgPartyB,$A384,LdgKeyB,"&lt;"&amp;$B384)+1)</f>
        <v/>
      </c>
      <c r="D384">
        <f>IF($C384="","",$A384&amp;"|"&amp;RIGHT("000000"&amp;$C384,6))</f>
        <v/>
      </c>
      <c r="F384">
        <f>IF(Sync!$AJ384="","",Sync!$AJ384)</f>
        <v/>
      </c>
      <c r="G384">
        <f>IF($F384="","",IF(Sync!$AG384="","",IF(ISNUMBER(Sync!$AG384),IF(AND(Sync!$AG384&gt;=10000101,Sync!$AG384&lt;=99991231),INT(Sync!$AG384/10000),""),IFERROR(VALUE(TRIM(LEFT(Sync!$AG384,FIND("/",Sync!$AG384)-1))),""))))</f>
        <v/>
      </c>
      <c r="H384">
        <f>IF(OR($F384="",$G384=""),"",IF(ISNUMBER(Sync!$AG384),INT(MOD(Sync!$AG384,10000)/100),IFERROR(VALUE(TRIM(LEFT(MID(Sync!$AG384,FIND("/",Sync!$AG384)+1,20),FIND("/",MID(Sync!$AG384,FIND("/",Sync!$AG384)+1,20))-1))),"")))</f>
        <v/>
      </c>
      <c r="I384">
        <f>IF(OR($F384="",$G384=""),"",IF(ISNUMBER(Sync!$AG384),MOD(Sync!$AG384,100),IFERROR(VALUE(TRIM(MID(MID(Sync!$AG384,FIND("/",Sync!$AG384)+1,20),FIND("/",MID(Sync!$AG384,FIND("/",Sync!$AG384)+1,20))+1,20))),"")))</f>
        <v/>
      </c>
      <c r="J384">
        <f>IF($F384="","",IF(OR($G384="",$H384="",$I384="",$G384&lt;1300,$G384&gt;1500,$H384&lt;1,$H384&gt;12,$I384&lt;1,$I384&gt;31),"نامعتبر",RIGHT("0000"&amp;$G384,4)&amp;"/"&amp;RIGHT("00"&amp;$H384,2)&amp;"/"&amp;RIGHT("00"&amp;$I384,2)))</f>
        <v/>
      </c>
      <c r="K384">
        <f>IF(OR($F384="",$J384="",$J384="نامعتبر"),"",LEFT($J384,4)&amp;MID($J384,6,2)&amp;RIGHT($J384,2)&amp;$N384&amp;"|"&amp;"2"&amp;RIGHT("00000"&amp;379,5))</f>
        <v/>
      </c>
      <c r="L384">
        <f>IF($K384="","",COUNTIFS(LdgPartyA,$F384,LdgKeyA,"&lt;"&amp;$K384)+COUNTIFS(LdgPartyB,$F384,LdgKeyB,"&lt;"&amp;$K384)+1)</f>
        <v/>
      </c>
      <c r="M384">
        <f>IF($L384="","",$F384&amp;"|"&amp;RIGHT("000000"&amp;$L384,6))</f>
        <v/>
      </c>
      <c r="N384">
        <f>IF($F384="","",IF(Sync!$AH384="","0000",IF(AND(ISNUMBER(Sync!$AH384),Sync!$AH384&gt;=0,Sync!$AH384&lt;1),RIGHT("00"&amp;HOUR(Sync!$AH384),2)&amp;RIGHT("00"&amp;MINUTE(Sync!$AH384),2),IFERROR(RIGHT("00"&amp;VALUE(LEFT(Sync!$AH384,FIND(":",Sync!$AH384)-1)),2)&amp;RIGHT("00"&amp;VALUE(MID(Sync!$AH384,FIND(":",Sync!$AH384)+1,2)),2),"0000"))))</f>
        <v/>
      </c>
    </row>
    <row r="385">
      <c r="A385">
        <f>IF(OR(Calc!$E388="",Calc!$E388="نامعتبر",Calc!$G388="",Calc!$I388&lt;&gt;"خرید"),"",Calc!$G388)</f>
        <v/>
      </c>
      <c r="B385">
        <f>IF($A385="","",LEFT(Calc!$E388,4)&amp;MID(Calc!$E388,6,2)&amp;RIGHT(Calc!$E388,2)&amp;Calc!$R388&amp;"|"&amp;"1"&amp;RIGHT("00000"&amp;380,5))</f>
        <v/>
      </c>
      <c r="C385">
        <f>IF($B385="","",COUNTIFS(LdgPartyA,$A385,LdgKeyA,"&lt;"&amp;$B385)+COUNTIFS(LdgPartyB,$A385,LdgKeyB,"&lt;"&amp;$B385)+1)</f>
        <v/>
      </c>
      <c r="D385">
        <f>IF($C385="","",$A385&amp;"|"&amp;RIGHT("000000"&amp;$C385,6))</f>
        <v/>
      </c>
      <c r="F385">
        <f>IF(Sync!$AJ385="","",Sync!$AJ385)</f>
        <v/>
      </c>
      <c r="G385">
        <f>IF($F385="","",IF(Sync!$AG385="","",IF(ISNUMBER(Sync!$AG385),IF(AND(Sync!$AG385&gt;=10000101,Sync!$AG385&lt;=99991231),INT(Sync!$AG385/10000),""),IFERROR(VALUE(TRIM(LEFT(Sync!$AG385,FIND("/",Sync!$AG385)-1))),""))))</f>
        <v/>
      </c>
      <c r="H385">
        <f>IF(OR($F385="",$G385=""),"",IF(ISNUMBER(Sync!$AG385),INT(MOD(Sync!$AG385,10000)/100),IFERROR(VALUE(TRIM(LEFT(MID(Sync!$AG385,FIND("/",Sync!$AG385)+1,20),FIND("/",MID(Sync!$AG385,FIND("/",Sync!$AG385)+1,20))-1))),"")))</f>
        <v/>
      </c>
      <c r="I385">
        <f>IF(OR($F385="",$G385=""),"",IF(ISNUMBER(Sync!$AG385),MOD(Sync!$AG385,100),IFERROR(VALUE(TRIM(MID(MID(Sync!$AG385,FIND("/",Sync!$AG385)+1,20),FIND("/",MID(Sync!$AG385,FIND("/",Sync!$AG385)+1,20))+1,20))),"")))</f>
        <v/>
      </c>
      <c r="J385">
        <f>IF($F385="","",IF(OR($G385="",$H385="",$I385="",$G385&lt;1300,$G385&gt;1500,$H385&lt;1,$H385&gt;12,$I385&lt;1,$I385&gt;31),"نامعتبر",RIGHT("0000"&amp;$G385,4)&amp;"/"&amp;RIGHT("00"&amp;$H385,2)&amp;"/"&amp;RIGHT("00"&amp;$I385,2)))</f>
        <v/>
      </c>
      <c r="K385">
        <f>IF(OR($F385="",$J385="",$J385="نامعتبر"),"",LEFT($J385,4)&amp;MID($J385,6,2)&amp;RIGHT($J385,2)&amp;$N385&amp;"|"&amp;"2"&amp;RIGHT("00000"&amp;380,5))</f>
        <v/>
      </c>
      <c r="L385">
        <f>IF($K385="","",COUNTIFS(LdgPartyA,$F385,LdgKeyA,"&lt;"&amp;$K385)+COUNTIFS(LdgPartyB,$F385,LdgKeyB,"&lt;"&amp;$K385)+1)</f>
        <v/>
      </c>
      <c r="M385">
        <f>IF($L385="","",$F385&amp;"|"&amp;RIGHT("000000"&amp;$L385,6))</f>
        <v/>
      </c>
      <c r="N385">
        <f>IF($F385="","",IF(Sync!$AH385="","0000",IF(AND(ISNUMBER(Sync!$AH385),Sync!$AH385&gt;=0,Sync!$AH385&lt;1),RIGHT("00"&amp;HOUR(Sync!$AH385),2)&amp;RIGHT("00"&amp;MINUTE(Sync!$AH385),2),IFERROR(RIGHT("00"&amp;VALUE(LEFT(Sync!$AH385,FIND(":",Sync!$AH385)-1)),2)&amp;RIGHT("00"&amp;VALUE(MID(Sync!$AH385,FIND(":",Sync!$AH385)+1,2)),2),"0000"))))</f>
        <v/>
      </c>
    </row>
    <row r="386">
      <c r="A386">
        <f>IF(OR(Calc!$E389="",Calc!$E389="نامعتبر",Calc!$G389="",Calc!$I389&lt;&gt;"خرید"),"",Calc!$G389)</f>
        <v/>
      </c>
      <c r="B386">
        <f>IF($A386="","",LEFT(Calc!$E389,4)&amp;MID(Calc!$E389,6,2)&amp;RIGHT(Calc!$E389,2)&amp;Calc!$R389&amp;"|"&amp;"1"&amp;RIGHT("00000"&amp;381,5))</f>
        <v/>
      </c>
      <c r="C386">
        <f>IF($B386="","",COUNTIFS(LdgPartyA,$A386,LdgKeyA,"&lt;"&amp;$B386)+COUNTIFS(LdgPartyB,$A386,LdgKeyB,"&lt;"&amp;$B386)+1)</f>
        <v/>
      </c>
      <c r="D386">
        <f>IF($C386="","",$A386&amp;"|"&amp;RIGHT("000000"&amp;$C386,6))</f>
        <v/>
      </c>
      <c r="F386">
        <f>IF(Sync!$AJ386="","",Sync!$AJ386)</f>
        <v/>
      </c>
      <c r="G386">
        <f>IF($F386="","",IF(Sync!$AG386="","",IF(ISNUMBER(Sync!$AG386),IF(AND(Sync!$AG386&gt;=10000101,Sync!$AG386&lt;=99991231),INT(Sync!$AG386/10000),""),IFERROR(VALUE(TRIM(LEFT(Sync!$AG386,FIND("/",Sync!$AG386)-1))),""))))</f>
        <v/>
      </c>
      <c r="H386">
        <f>IF(OR($F386="",$G386=""),"",IF(ISNUMBER(Sync!$AG386),INT(MOD(Sync!$AG386,10000)/100),IFERROR(VALUE(TRIM(LEFT(MID(Sync!$AG386,FIND("/",Sync!$AG386)+1,20),FIND("/",MID(Sync!$AG386,FIND("/",Sync!$AG386)+1,20))-1))),"")))</f>
        <v/>
      </c>
      <c r="I386">
        <f>IF(OR($F386="",$G386=""),"",IF(ISNUMBER(Sync!$AG386),MOD(Sync!$AG386,100),IFERROR(VALUE(TRIM(MID(MID(Sync!$AG386,FIND("/",Sync!$AG386)+1,20),FIND("/",MID(Sync!$AG386,FIND("/",Sync!$AG386)+1,20))+1,20))),"")))</f>
        <v/>
      </c>
      <c r="J386">
        <f>IF($F386="","",IF(OR($G386="",$H386="",$I386="",$G386&lt;1300,$G386&gt;1500,$H386&lt;1,$H386&gt;12,$I386&lt;1,$I386&gt;31),"نامعتبر",RIGHT("0000"&amp;$G386,4)&amp;"/"&amp;RIGHT("00"&amp;$H386,2)&amp;"/"&amp;RIGHT("00"&amp;$I386,2)))</f>
        <v/>
      </c>
      <c r="K386">
        <f>IF(OR($F386="",$J386="",$J386="نامعتبر"),"",LEFT($J386,4)&amp;MID($J386,6,2)&amp;RIGHT($J386,2)&amp;$N386&amp;"|"&amp;"2"&amp;RIGHT("00000"&amp;381,5))</f>
        <v/>
      </c>
      <c r="L386">
        <f>IF($K386="","",COUNTIFS(LdgPartyA,$F386,LdgKeyA,"&lt;"&amp;$K386)+COUNTIFS(LdgPartyB,$F386,LdgKeyB,"&lt;"&amp;$K386)+1)</f>
        <v/>
      </c>
      <c r="M386">
        <f>IF($L386="","",$F386&amp;"|"&amp;RIGHT("000000"&amp;$L386,6))</f>
        <v/>
      </c>
      <c r="N386">
        <f>IF($F386="","",IF(Sync!$AH386="","0000",IF(AND(ISNUMBER(Sync!$AH386),Sync!$AH386&gt;=0,Sync!$AH386&lt;1),RIGHT("00"&amp;HOUR(Sync!$AH386),2)&amp;RIGHT("00"&amp;MINUTE(Sync!$AH386),2),IFERROR(RIGHT("00"&amp;VALUE(LEFT(Sync!$AH386,FIND(":",Sync!$AH386)-1)),2)&amp;RIGHT("00"&amp;VALUE(MID(Sync!$AH386,FIND(":",Sync!$AH386)+1,2)),2),"0000"))))</f>
        <v/>
      </c>
    </row>
    <row r="387">
      <c r="A387">
        <f>IF(OR(Calc!$E390="",Calc!$E390="نامعتبر",Calc!$G390="",Calc!$I390&lt;&gt;"خرید"),"",Calc!$G390)</f>
        <v/>
      </c>
      <c r="B387">
        <f>IF($A387="","",LEFT(Calc!$E390,4)&amp;MID(Calc!$E390,6,2)&amp;RIGHT(Calc!$E390,2)&amp;Calc!$R390&amp;"|"&amp;"1"&amp;RIGHT("00000"&amp;382,5))</f>
        <v/>
      </c>
      <c r="C387">
        <f>IF($B387="","",COUNTIFS(LdgPartyA,$A387,LdgKeyA,"&lt;"&amp;$B387)+COUNTIFS(LdgPartyB,$A387,LdgKeyB,"&lt;"&amp;$B387)+1)</f>
        <v/>
      </c>
      <c r="D387">
        <f>IF($C387="","",$A387&amp;"|"&amp;RIGHT("000000"&amp;$C387,6))</f>
        <v/>
      </c>
      <c r="F387">
        <f>IF(Sync!$AJ387="","",Sync!$AJ387)</f>
        <v/>
      </c>
      <c r="G387">
        <f>IF($F387="","",IF(Sync!$AG387="","",IF(ISNUMBER(Sync!$AG387),IF(AND(Sync!$AG387&gt;=10000101,Sync!$AG387&lt;=99991231),INT(Sync!$AG387/10000),""),IFERROR(VALUE(TRIM(LEFT(Sync!$AG387,FIND("/",Sync!$AG387)-1))),""))))</f>
        <v/>
      </c>
      <c r="H387">
        <f>IF(OR($F387="",$G387=""),"",IF(ISNUMBER(Sync!$AG387),INT(MOD(Sync!$AG387,10000)/100),IFERROR(VALUE(TRIM(LEFT(MID(Sync!$AG387,FIND("/",Sync!$AG387)+1,20),FIND("/",MID(Sync!$AG387,FIND("/",Sync!$AG387)+1,20))-1))),"")))</f>
        <v/>
      </c>
      <c r="I387">
        <f>IF(OR($F387="",$G387=""),"",IF(ISNUMBER(Sync!$AG387),MOD(Sync!$AG387,100),IFERROR(VALUE(TRIM(MID(MID(Sync!$AG387,FIND("/",Sync!$AG387)+1,20),FIND("/",MID(Sync!$AG387,FIND("/",Sync!$AG387)+1,20))+1,20))),"")))</f>
        <v/>
      </c>
      <c r="J387">
        <f>IF($F387="","",IF(OR($G387="",$H387="",$I387="",$G387&lt;1300,$G387&gt;1500,$H387&lt;1,$H387&gt;12,$I387&lt;1,$I387&gt;31),"نامعتبر",RIGHT("0000"&amp;$G387,4)&amp;"/"&amp;RIGHT("00"&amp;$H387,2)&amp;"/"&amp;RIGHT("00"&amp;$I387,2)))</f>
        <v/>
      </c>
      <c r="K387">
        <f>IF(OR($F387="",$J387="",$J387="نامعتبر"),"",LEFT($J387,4)&amp;MID($J387,6,2)&amp;RIGHT($J387,2)&amp;$N387&amp;"|"&amp;"2"&amp;RIGHT("00000"&amp;382,5))</f>
        <v/>
      </c>
      <c r="L387">
        <f>IF($K387="","",COUNTIFS(LdgPartyA,$F387,LdgKeyA,"&lt;"&amp;$K387)+COUNTIFS(LdgPartyB,$F387,LdgKeyB,"&lt;"&amp;$K387)+1)</f>
        <v/>
      </c>
      <c r="M387">
        <f>IF($L387="","",$F387&amp;"|"&amp;RIGHT("000000"&amp;$L387,6))</f>
        <v/>
      </c>
      <c r="N387">
        <f>IF($F387="","",IF(Sync!$AH387="","0000",IF(AND(ISNUMBER(Sync!$AH387),Sync!$AH387&gt;=0,Sync!$AH387&lt;1),RIGHT("00"&amp;HOUR(Sync!$AH387),2)&amp;RIGHT("00"&amp;MINUTE(Sync!$AH387),2),IFERROR(RIGHT("00"&amp;VALUE(LEFT(Sync!$AH387,FIND(":",Sync!$AH387)-1)),2)&amp;RIGHT("00"&amp;VALUE(MID(Sync!$AH387,FIND(":",Sync!$AH387)+1,2)),2),"0000"))))</f>
        <v/>
      </c>
    </row>
    <row r="388">
      <c r="A388">
        <f>IF(OR(Calc!$E391="",Calc!$E391="نامعتبر",Calc!$G391="",Calc!$I391&lt;&gt;"خرید"),"",Calc!$G391)</f>
        <v/>
      </c>
      <c r="B388">
        <f>IF($A388="","",LEFT(Calc!$E391,4)&amp;MID(Calc!$E391,6,2)&amp;RIGHT(Calc!$E391,2)&amp;Calc!$R391&amp;"|"&amp;"1"&amp;RIGHT("00000"&amp;383,5))</f>
        <v/>
      </c>
      <c r="C388">
        <f>IF($B388="","",COUNTIFS(LdgPartyA,$A388,LdgKeyA,"&lt;"&amp;$B388)+COUNTIFS(LdgPartyB,$A388,LdgKeyB,"&lt;"&amp;$B388)+1)</f>
        <v/>
      </c>
      <c r="D388">
        <f>IF($C388="","",$A388&amp;"|"&amp;RIGHT("000000"&amp;$C388,6))</f>
        <v/>
      </c>
      <c r="F388">
        <f>IF(Sync!$AJ388="","",Sync!$AJ388)</f>
        <v/>
      </c>
      <c r="G388">
        <f>IF($F388="","",IF(Sync!$AG388="","",IF(ISNUMBER(Sync!$AG388),IF(AND(Sync!$AG388&gt;=10000101,Sync!$AG388&lt;=99991231),INT(Sync!$AG388/10000),""),IFERROR(VALUE(TRIM(LEFT(Sync!$AG388,FIND("/",Sync!$AG388)-1))),""))))</f>
        <v/>
      </c>
      <c r="H388">
        <f>IF(OR($F388="",$G388=""),"",IF(ISNUMBER(Sync!$AG388),INT(MOD(Sync!$AG388,10000)/100),IFERROR(VALUE(TRIM(LEFT(MID(Sync!$AG388,FIND("/",Sync!$AG388)+1,20),FIND("/",MID(Sync!$AG388,FIND("/",Sync!$AG388)+1,20))-1))),"")))</f>
        <v/>
      </c>
      <c r="I388">
        <f>IF(OR($F388="",$G388=""),"",IF(ISNUMBER(Sync!$AG388),MOD(Sync!$AG388,100),IFERROR(VALUE(TRIM(MID(MID(Sync!$AG388,FIND("/",Sync!$AG388)+1,20),FIND("/",MID(Sync!$AG388,FIND("/",Sync!$AG388)+1,20))+1,20))),"")))</f>
        <v/>
      </c>
      <c r="J388">
        <f>IF($F388="","",IF(OR($G388="",$H388="",$I388="",$G388&lt;1300,$G388&gt;1500,$H388&lt;1,$H388&gt;12,$I388&lt;1,$I388&gt;31),"نامعتبر",RIGHT("0000"&amp;$G388,4)&amp;"/"&amp;RIGHT("00"&amp;$H388,2)&amp;"/"&amp;RIGHT("00"&amp;$I388,2)))</f>
        <v/>
      </c>
      <c r="K388">
        <f>IF(OR($F388="",$J388="",$J388="نامعتبر"),"",LEFT($J388,4)&amp;MID($J388,6,2)&amp;RIGHT($J388,2)&amp;$N388&amp;"|"&amp;"2"&amp;RIGHT("00000"&amp;383,5))</f>
        <v/>
      </c>
      <c r="L388">
        <f>IF($K388="","",COUNTIFS(LdgPartyA,$F388,LdgKeyA,"&lt;"&amp;$K388)+COUNTIFS(LdgPartyB,$F388,LdgKeyB,"&lt;"&amp;$K388)+1)</f>
        <v/>
      </c>
      <c r="M388">
        <f>IF($L388="","",$F388&amp;"|"&amp;RIGHT("000000"&amp;$L388,6))</f>
        <v/>
      </c>
      <c r="N388">
        <f>IF($F388="","",IF(Sync!$AH388="","0000",IF(AND(ISNUMBER(Sync!$AH388),Sync!$AH388&gt;=0,Sync!$AH388&lt;1),RIGHT("00"&amp;HOUR(Sync!$AH388),2)&amp;RIGHT("00"&amp;MINUTE(Sync!$AH388),2),IFERROR(RIGHT("00"&amp;VALUE(LEFT(Sync!$AH388,FIND(":",Sync!$AH388)-1)),2)&amp;RIGHT("00"&amp;VALUE(MID(Sync!$AH388,FIND(":",Sync!$AH388)+1,2)),2),"0000"))))</f>
        <v/>
      </c>
    </row>
    <row r="389">
      <c r="A389">
        <f>IF(OR(Calc!$E392="",Calc!$E392="نامعتبر",Calc!$G392="",Calc!$I392&lt;&gt;"خرید"),"",Calc!$G392)</f>
        <v/>
      </c>
      <c r="B389">
        <f>IF($A389="","",LEFT(Calc!$E392,4)&amp;MID(Calc!$E392,6,2)&amp;RIGHT(Calc!$E392,2)&amp;Calc!$R392&amp;"|"&amp;"1"&amp;RIGHT("00000"&amp;384,5))</f>
        <v/>
      </c>
      <c r="C389">
        <f>IF($B389="","",COUNTIFS(LdgPartyA,$A389,LdgKeyA,"&lt;"&amp;$B389)+COUNTIFS(LdgPartyB,$A389,LdgKeyB,"&lt;"&amp;$B389)+1)</f>
        <v/>
      </c>
      <c r="D389">
        <f>IF($C389="","",$A389&amp;"|"&amp;RIGHT("000000"&amp;$C389,6))</f>
        <v/>
      </c>
      <c r="F389">
        <f>IF(Sync!$AJ389="","",Sync!$AJ389)</f>
        <v/>
      </c>
      <c r="G389">
        <f>IF($F389="","",IF(Sync!$AG389="","",IF(ISNUMBER(Sync!$AG389),IF(AND(Sync!$AG389&gt;=10000101,Sync!$AG389&lt;=99991231),INT(Sync!$AG389/10000),""),IFERROR(VALUE(TRIM(LEFT(Sync!$AG389,FIND("/",Sync!$AG389)-1))),""))))</f>
        <v/>
      </c>
      <c r="H389">
        <f>IF(OR($F389="",$G389=""),"",IF(ISNUMBER(Sync!$AG389),INT(MOD(Sync!$AG389,10000)/100),IFERROR(VALUE(TRIM(LEFT(MID(Sync!$AG389,FIND("/",Sync!$AG389)+1,20),FIND("/",MID(Sync!$AG389,FIND("/",Sync!$AG389)+1,20))-1))),"")))</f>
        <v/>
      </c>
      <c r="I389">
        <f>IF(OR($F389="",$G389=""),"",IF(ISNUMBER(Sync!$AG389),MOD(Sync!$AG389,100),IFERROR(VALUE(TRIM(MID(MID(Sync!$AG389,FIND("/",Sync!$AG389)+1,20),FIND("/",MID(Sync!$AG389,FIND("/",Sync!$AG389)+1,20))+1,20))),"")))</f>
        <v/>
      </c>
      <c r="J389">
        <f>IF($F389="","",IF(OR($G389="",$H389="",$I389="",$G389&lt;1300,$G389&gt;1500,$H389&lt;1,$H389&gt;12,$I389&lt;1,$I389&gt;31),"نامعتبر",RIGHT("0000"&amp;$G389,4)&amp;"/"&amp;RIGHT("00"&amp;$H389,2)&amp;"/"&amp;RIGHT("00"&amp;$I389,2)))</f>
        <v/>
      </c>
      <c r="K389">
        <f>IF(OR($F389="",$J389="",$J389="نامعتبر"),"",LEFT($J389,4)&amp;MID($J389,6,2)&amp;RIGHT($J389,2)&amp;$N389&amp;"|"&amp;"2"&amp;RIGHT("00000"&amp;384,5))</f>
        <v/>
      </c>
      <c r="L389">
        <f>IF($K389="","",COUNTIFS(LdgPartyA,$F389,LdgKeyA,"&lt;"&amp;$K389)+COUNTIFS(LdgPartyB,$F389,LdgKeyB,"&lt;"&amp;$K389)+1)</f>
        <v/>
      </c>
      <c r="M389">
        <f>IF($L389="","",$F389&amp;"|"&amp;RIGHT("000000"&amp;$L389,6))</f>
        <v/>
      </c>
      <c r="N389">
        <f>IF($F389="","",IF(Sync!$AH389="","0000",IF(AND(ISNUMBER(Sync!$AH389),Sync!$AH389&gt;=0,Sync!$AH389&lt;1),RIGHT("00"&amp;HOUR(Sync!$AH389),2)&amp;RIGHT("00"&amp;MINUTE(Sync!$AH389),2),IFERROR(RIGHT("00"&amp;VALUE(LEFT(Sync!$AH389,FIND(":",Sync!$AH389)-1)),2)&amp;RIGHT("00"&amp;VALUE(MID(Sync!$AH389,FIND(":",Sync!$AH389)+1,2)),2),"0000"))))</f>
        <v/>
      </c>
    </row>
    <row r="390">
      <c r="A390">
        <f>IF(OR(Calc!$E393="",Calc!$E393="نامعتبر",Calc!$G393="",Calc!$I393&lt;&gt;"خرید"),"",Calc!$G393)</f>
        <v/>
      </c>
      <c r="B390">
        <f>IF($A390="","",LEFT(Calc!$E393,4)&amp;MID(Calc!$E393,6,2)&amp;RIGHT(Calc!$E393,2)&amp;Calc!$R393&amp;"|"&amp;"1"&amp;RIGHT("00000"&amp;385,5))</f>
        <v/>
      </c>
      <c r="C390">
        <f>IF($B390="","",COUNTIFS(LdgPartyA,$A390,LdgKeyA,"&lt;"&amp;$B390)+COUNTIFS(LdgPartyB,$A390,LdgKeyB,"&lt;"&amp;$B390)+1)</f>
        <v/>
      </c>
      <c r="D390">
        <f>IF($C390="","",$A390&amp;"|"&amp;RIGHT("000000"&amp;$C390,6))</f>
        <v/>
      </c>
      <c r="F390">
        <f>IF(Sync!$AJ390="","",Sync!$AJ390)</f>
        <v/>
      </c>
      <c r="G390">
        <f>IF($F390="","",IF(Sync!$AG390="","",IF(ISNUMBER(Sync!$AG390),IF(AND(Sync!$AG390&gt;=10000101,Sync!$AG390&lt;=99991231),INT(Sync!$AG390/10000),""),IFERROR(VALUE(TRIM(LEFT(Sync!$AG390,FIND("/",Sync!$AG390)-1))),""))))</f>
        <v/>
      </c>
      <c r="H390">
        <f>IF(OR($F390="",$G390=""),"",IF(ISNUMBER(Sync!$AG390),INT(MOD(Sync!$AG390,10000)/100),IFERROR(VALUE(TRIM(LEFT(MID(Sync!$AG390,FIND("/",Sync!$AG390)+1,20),FIND("/",MID(Sync!$AG390,FIND("/",Sync!$AG390)+1,20))-1))),"")))</f>
        <v/>
      </c>
      <c r="I390">
        <f>IF(OR($F390="",$G390=""),"",IF(ISNUMBER(Sync!$AG390),MOD(Sync!$AG390,100),IFERROR(VALUE(TRIM(MID(MID(Sync!$AG390,FIND("/",Sync!$AG390)+1,20),FIND("/",MID(Sync!$AG390,FIND("/",Sync!$AG390)+1,20))+1,20))),"")))</f>
        <v/>
      </c>
      <c r="J390">
        <f>IF($F390="","",IF(OR($G390="",$H390="",$I390="",$G390&lt;1300,$G390&gt;1500,$H390&lt;1,$H390&gt;12,$I390&lt;1,$I390&gt;31),"نامعتبر",RIGHT("0000"&amp;$G390,4)&amp;"/"&amp;RIGHT("00"&amp;$H390,2)&amp;"/"&amp;RIGHT("00"&amp;$I390,2)))</f>
        <v/>
      </c>
      <c r="K390">
        <f>IF(OR($F390="",$J390="",$J390="نامعتبر"),"",LEFT($J390,4)&amp;MID($J390,6,2)&amp;RIGHT($J390,2)&amp;$N390&amp;"|"&amp;"2"&amp;RIGHT("00000"&amp;385,5))</f>
        <v/>
      </c>
      <c r="L390">
        <f>IF($K390="","",COUNTIFS(LdgPartyA,$F390,LdgKeyA,"&lt;"&amp;$K390)+COUNTIFS(LdgPartyB,$F390,LdgKeyB,"&lt;"&amp;$K390)+1)</f>
        <v/>
      </c>
      <c r="M390">
        <f>IF($L390="","",$F390&amp;"|"&amp;RIGHT("000000"&amp;$L390,6))</f>
        <v/>
      </c>
      <c r="N390">
        <f>IF($F390="","",IF(Sync!$AH390="","0000",IF(AND(ISNUMBER(Sync!$AH390),Sync!$AH390&gt;=0,Sync!$AH390&lt;1),RIGHT("00"&amp;HOUR(Sync!$AH390),2)&amp;RIGHT("00"&amp;MINUTE(Sync!$AH390),2),IFERROR(RIGHT("00"&amp;VALUE(LEFT(Sync!$AH390,FIND(":",Sync!$AH390)-1)),2)&amp;RIGHT("00"&amp;VALUE(MID(Sync!$AH390,FIND(":",Sync!$AH390)+1,2)),2),"0000"))))</f>
        <v/>
      </c>
    </row>
    <row r="391">
      <c r="A391">
        <f>IF(OR(Calc!$E394="",Calc!$E394="نامعتبر",Calc!$G394="",Calc!$I394&lt;&gt;"خرید"),"",Calc!$G394)</f>
        <v/>
      </c>
      <c r="B391">
        <f>IF($A391="","",LEFT(Calc!$E394,4)&amp;MID(Calc!$E394,6,2)&amp;RIGHT(Calc!$E394,2)&amp;Calc!$R394&amp;"|"&amp;"1"&amp;RIGHT("00000"&amp;386,5))</f>
        <v/>
      </c>
      <c r="C391">
        <f>IF($B391="","",COUNTIFS(LdgPartyA,$A391,LdgKeyA,"&lt;"&amp;$B391)+COUNTIFS(LdgPartyB,$A391,LdgKeyB,"&lt;"&amp;$B391)+1)</f>
        <v/>
      </c>
      <c r="D391">
        <f>IF($C391="","",$A391&amp;"|"&amp;RIGHT("000000"&amp;$C391,6))</f>
        <v/>
      </c>
      <c r="F391">
        <f>IF(Sync!$AJ391="","",Sync!$AJ391)</f>
        <v/>
      </c>
      <c r="G391">
        <f>IF($F391="","",IF(Sync!$AG391="","",IF(ISNUMBER(Sync!$AG391),IF(AND(Sync!$AG391&gt;=10000101,Sync!$AG391&lt;=99991231),INT(Sync!$AG391/10000),""),IFERROR(VALUE(TRIM(LEFT(Sync!$AG391,FIND("/",Sync!$AG391)-1))),""))))</f>
        <v/>
      </c>
      <c r="H391">
        <f>IF(OR($F391="",$G391=""),"",IF(ISNUMBER(Sync!$AG391),INT(MOD(Sync!$AG391,10000)/100),IFERROR(VALUE(TRIM(LEFT(MID(Sync!$AG391,FIND("/",Sync!$AG391)+1,20),FIND("/",MID(Sync!$AG391,FIND("/",Sync!$AG391)+1,20))-1))),"")))</f>
        <v/>
      </c>
      <c r="I391">
        <f>IF(OR($F391="",$G391=""),"",IF(ISNUMBER(Sync!$AG391),MOD(Sync!$AG391,100),IFERROR(VALUE(TRIM(MID(MID(Sync!$AG391,FIND("/",Sync!$AG391)+1,20),FIND("/",MID(Sync!$AG391,FIND("/",Sync!$AG391)+1,20))+1,20))),"")))</f>
        <v/>
      </c>
      <c r="J391">
        <f>IF($F391="","",IF(OR($G391="",$H391="",$I391="",$G391&lt;1300,$G391&gt;1500,$H391&lt;1,$H391&gt;12,$I391&lt;1,$I391&gt;31),"نامعتبر",RIGHT("0000"&amp;$G391,4)&amp;"/"&amp;RIGHT("00"&amp;$H391,2)&amp;"/"&amp;RIGHT("00"&amp;$I391,2)))</f>
        <v/>
      </c>
      <c r="K391">
        <f>IF(OR($F391="",$J391="",$J391="نامعتبر"),"",LEFT($J391,4)&amp;MID($J391,6,2)&amp;RIGHT($J391,2)&amp;$N391&amp;"|"&amp;"2"&amp;RIGHT("00000"&amp;386,5))</f>
        <v/>
      </c>
      <c r="L391">
        <f>IF($K391="","",COUNTIFS(LdgPartyA,$F391,LdgKeyA,"&lt;"&amp;$K391)+COUNTIFS(LdgPartyB,$F391,LdgKeyB,"&lt;"&amp;$K391)+1)</f>
        <v/>
      </c>
      <c r="M391">
        <f>IF($L391="","",$F391&amp;"|"&amp;RIGHT("000000"&amp;$L391,6))</f>
        <v/>
      </c>
      <c r="N391">
        <f>IF($F391="","",IF(Sync!$AH391="","0000",IF(AND(ISNUMBER(Sync!$AH391),Sync!$AH391&gt;=0,Sync!$AH391&lt;1),RIGHT("00"&amp;HOUR(Sync!$AH391),2)&amp;RIGHT("00"&amp;MINUTE(Sync!$AH391),2),IFERROR(RIGHT("00"&amp;VALUE(LEFT(Sync!$AH391,FIND(":",Sync!$AH391)-1)),2)&amp;RIGHT("00"&amp;VALUE(MID(Sync!$AH391,FIND(":",Sync!$AH391)+1,2)),2),"0000"))))</f>
        <v/>
      </c>
    </row>
    <row r="392">
      <c r="A392">
        <f>IF(OR(Calc!$E395="",Calc!$E395="نامعتبر",Calc!$G395="",Calc!$I395&lt;&gt;"خرید"),"",Calc!$G395)</f>
        <v/>
      </c>
      <c r="B392">
        <f>IF($A392="","",LEFT(Calc!$E395,4)&amp;MID(Calc!$E395,6,2)&amp;RIGHT(Calc!$E395,2)&amp;Calc!$R395&amp;"|"&amp;"1"&amp;RIGHT("00000"&amp;387,5))</f>
        <v/>
      </c>
      <c r="C392">
        <f>IF($B392="","",COUNTIFS(LdgPartyA,$A392,LdgKeyA,"&lt;"&amp;$B392)+COUNTIFS(LdgPartyB,$A392,LdgKeyB,"&lt;"&amp;$B392)+1)</f>
        <v/>
      </c>
      <c r="D392">
        <f>IF($C392="","",$A392&amp;"|"&amp;RIGHT("000000"&amp;$C392,6))</f>
        <v/>
      </c>
      <c r="F392">
        <f>IF(Sync!$AJ392="","",Sync!$AJ392)</f>
        <v/>
      </c>
      <c r="G392">
        <f>IF($F392="","",IF(Sync!$AG392="","",IF(ISNUMBER(Sync!$AG392),IF(AND(Sync!$AG392&gt;=10000101,Sync!$AG392&lt;=99991231),INT(Sync!$AG392/10000),""),IFERROR(VALUE(TRIM(LEFT(Sync!$AG392,FIND("/",Sync!$AG392)-1))),""))))</f>
        <v/>
      </c>
      <c r="H392">
        <f>IF(OR($F392="",$G392=""),"",IF(ISNUMBER(Sync!$AG392),INT(MOD(Sync!$AG392,10000)/100),IFERROR(VALUE(TRIM(LEFT(MID(Sync!$AG392,FIND("/",Sync!$AG392)+1,20),FIND("/",MID(Sync!$AG392,FIND("/",Sync!$AG392)+1,20))-1))),"")))</f>
        <v/>
      </c>
      <c r="I392">
        <f>IF(OR($F392="",$G392=""),"",IF(ISNUMBER(Sync!$AG392),MOD(Sync!$AG392,100),IFERROR(VALUE(TRIM(MID(MID(Sync!$AG392,FIND("/",Sync!$AG392)+1,20),FIND("/",MID(Sync!$AG392,FIND("/",Sync!$AG392)+1,20))+1,20))),"")))</f>
        <v/>
      </c>
      <c r="J392">
        <f>IF($F392="","",IF(OR($G392="",$H392="",$I392="",$G392&lt;1300,$G392&gt;1500,$H392&lt;1,$H392&gt;12,$I392&lt;1,$I392&gt;31),"نامعتبر",RIGHT("0000"&amp;$G392,4)&amp;"/"&amp;RIGHT("00"&amp;$H392,2)&amp;"/"&amp;RIGHT("00"&amp;$I392,2)))</f>
        <v/>
      </c>
      <c r="K392">
        <f>IF(OR($F392="",$J392="",$J392="نامعتبر"),"",LEFT($J392,4)&amp;MID($J392,6,2)&amp;RIGHT($J392,2)&amp;$N392&amp;"|"&amp;"2"&amp;RIGHT("00000"&amp;387,5))</f>
        <v/>
      </c>
      <c r="L392">
        <f>IF($K392="","",COUNTIFS(LdgPartyA,$F392,LdgKeyA,"&lt;"&amp;$K392)+COUNTIFS(LdgPartyB,$F392,LdgKeyB,"&lt;"&amp;$K392)+1)</f>
        <v/>
      </c>
      <c r="M392">
        <f>IF($L392="","",$F392&amp;"|"&amp;RIGHT("000000"&amp;$L392,6))</f>
        <v/>
      </c>
      <c r="N392">
        <f>IF($F392="","",IF(Sync!$AH392="","0000",IF(AND(ISNUMBER(Sync!$AH392),Sync!$AH392&gt;=0,Sync!$AH392&lt;1),RIGHT("00"&amp;HOUR(Sync!$AH392),2)&amp;RIGHT("00"&amp;MINUTE(Sync!$AH392),2),IFERROR(RIGHT("00"&amp;VALUE(LEFT(Sync!$AH392,FIND(":",Sync!$AH392)-1)),2)&amp;RIGHT("00"&amp;VALUE(MID(Sync!$AH392,FIND(":",Sync!$AH392)+1,2)),2),"0000"))))</f>
        <v/>
      </c>
    </row>
    <row r="393">
      <c r="A393">
        <f>IF(OR(Calc!$E396="",Calc!$E396="نامعتبر",Calc!$G396="",Calc!$I396&lt;&gt;"خرید"),"",Calc!$G396)</f>
        <v/>
      </c>
      <c r="B393">
        <f>IF($A393="","",LEFT(Calc!$E396,4)&amp;MID(Calc!$E396,6,2)&amp;RIGHT(Calc!$E396,2)&amp;Calc!$R396&amp;"|"&amp;"1"&amp;RIGHT("00000"&amp;388,5))</f>
        <v/>
      </c>
      <c r="C393">
        <f>IF($B393="","",COUNTIFS(LdgPartyA,$A393,LdgKeyA,"&lt;"&amp;$B393)+COUNTIFS(LdgPartyB,$A393,LdgKeyB,"&lt;"&amp;$B393)+1)</f>
        <v/>
      </c>
      <c r="D393">
        <f>IF($C393="","",$A393&amp;"|"&amp;RIGHT("000000"&amp;$C393,6))</f>
        <v/>
      </c>
      <c r="F393">
        <f>IF(Sync!$AJ393="","",Sync!$AJ393)</f>
        <v/>
      </c>
      <c r="G393">
        <f>IF($F393="","",IF(Sync!$AG393="","",IF(ISNUMBER(Sync!$AG393),IF(AND(Sync!$AG393&gt;=10000101,Sync!$AG393&lt;=99991231),INT(Sync!$AG393/10000),""),IFERROR(VALUE(TRIM(LEFT(Sync!$AG393,FIND("/",Sync!$AG393)-1))),""))))</f>
        <v/>
      </c>
      <c r="H393">
        <f>IF(OR($F393="",$G393=""),"",IF(ISNUMBER(Sync!$AG393),INT(MOD(Sync!$AG393,10000)/100),IFERROR(VALUE(TRIM(LEFT(MID(Sync!$AG393,FIND("/",Sync!$AG393)+1,20),FIND("/",MID(Sync!$AG393,FIND("/",Sync!$AG393)+1,20))-1))),"")))</f>
        <v/>
      </c>
      <c r="I393">
        <f>IF(OR($F393="",$G393=""),"",IF(ISNUMBER(Sync!$AG393),MOD(Sync!$AG393,100),IFERROR(VALUE(TRIM(MID(MID(Sync!$AG393,FIND("/",Sync!$AG393)+1,20),FIND("/",MID(Sync!$AG393,FIND("/",Sync!$AG393)+1,20))+1,20))),"")))</f>
        <v/>
      </c>
      <c r="J393">
        <f>IF($F393="","",IF(OR($G393="",$H393="",$I393="",$G393&lt;1300,$G393&gt;1500,$H393&lt;1,$H393&gt;12,$I393&lt;1,$I393&gt;31),"نامعتبر",RIGHT("0000"&amp;$G393,4)&amp;"/"&amp;RIGHT("00"&amp;$H393,2)&amp;"/"&amp;RIGHT("00"&amp;$I393,2)))</f>
        <v/>
      </c>
      <c r="K393">
        <f>IF(OR($F393="",$J393="",$J393="نامعتبر"),"",LEFT($J393,4)&amp;MID($J393,6,2)&amp;RIGHT($J393,2)&amp;$N393&amp;"|"&amp;"2"&amp;RIGHT("00000"&amp;388,5))</f>
        <v/>
      </c>
      <c r="L393">
        <f>IF($K393="","",COUNTIFS(LdgPartyA,$F393,LdgKeyA,"&lt;"&amp;$K393)+COUNTIFS(LdgPartyB,$F393,LdgKeyB,"&lt;"&amp;$K393)+1)</f>
        <v/>
      </c>
      <c r="M393">
        <f>IF($L393="","",$F393&amp;"|"&amp;RIGHT("000000"&amp;$L393,6))</f>
        <v/>
      </c>
      <c r="N393">
        <f>IF($F393="","",IF(Sync!$AH393="","0000",IF(AND(ISNUMBER(Sync!$AH393),Sync!$AH393&gt;=0,Sync!$AH393&lt;1),RIGHT("00"&amp;HOUR(Sync!$AH393),2)&amp;RIGHT("00"&amp;MINUTE(Sync!$AH393),2),IFERROR(RIGHT("00"&amp;VALUE(LEFT(Sync!$AH393,FIND(":",Sync!$AH393)-1)),2)&amp;RIGHT("00"&amp;VALUE(MID(Sync!$AH393,FIND(":",Sync!$AH393)+1,2)),2),"0000"))))</f>
        <v/>
      </c>
    </row>
    <row r="394">
      <c r="A394">
        <f>IF(OR(Calc!$E397="",Calc!$E397="نامعتبر",Calc!$G397="",Calc!$I397&lt;&gt;"خرید"),"",Calc!$G397)</f>
        <v/>
      </c>
      <c r="B394">
        <f>IF($A394="","",LEFT(Calc!$E397,4)&amp;MID(Calc!$E397,6,2)&amp;RIGHT(Calc!$E397,2)&amp;Calc!$R397&amp;"|"&amp;"1"&amp;RIGHT("00000"&amp;389,5))</f>
        <v/>
      </c>
      <c r="C394">
        <f>IF($B394="","",COUNTIFS(LdgPartyA,$A394,LdgKeyA,"&lt;"&amp;$B394)+COUNTIFS(LdgPartyB,$A394,LdgKeyB,"&lt;"&amp;$B394)+1)</f>
        <v/>
      </c>
      <c r="D394">
        <f>IF($C394="","",$A394&amp;"|"&amp;RIGHT("000000"&amp;$C394,6))</f>
        <v/>
      </c>
      <c r="F394">
        <f>IF(Sync!$AJ394="","",Sync!$AJ394)</f>
        <v/>
      </c>
      <c r="G394">
        <f>IF($F394="","",IF(Sync!$AG394="","",IF(ISNUMBER(Sync!$AG394),IF(AND(Sync!$AG394&gt;=10000101,Sync!$AG394&lt;=99991231),INT(Sync!$AG394/10000),""),IFERROR(VALUE(TRIM(LEFT(Sync!$AG394,FIND("/",Sync!$AG394)-1))),""))))</f>
        <v/>
      </c>
      <c r="H394">
        <f>IF(OR($F394="",$G394=""),"",IF(ISNUMBER(Sync!$AG394),INT(MOD(Sync!$AG394,10000)/100),IFERROR(VALUE(TRIM(LEFT(MID(Sync!$AG394,FIND("/",Sync!$AG394)+1,20),FIND("/",MID(Sync!$AG394,FIND("/",Sync!$AG394)+1,20))-1))),"")))</f>
        <v/>
      </c>
      <c r="I394">
        <f>IF(OR($F394="",$G394=""),"",IF(ISNUMBER(Sync!$AG394),MOD(Sync!$AG394,100),IFERROR(VALUE(TRIM(MID(MID(Sync!$AG394,FIND("/",Sync!$AG394)+1,20),FIND("/",MID(Sync!$AG394,FIND("/",Sync!$AG394)+1,20))+1,20))),"")))</f>
        <v/>
      </c>
      <c r="J394">
        <f>IF($F394="","",IF(OR($G394="",$H394="",$I394="",$G394&lt;1300,$G394&gt;1500,$H394&lt;1,$H394&gt;12,$I394&lt;1,$I394&gt;31),"نامعتبر",RIGHT("0000"&amp;$G394,4)&amp;"/"&amp;RIGHT("00"&amp;$H394,2)&amp;"/"&amp;RIGHT("00"&amp;$I394,2)))</f>
        <v/>
      </c>
      <c r="K394">
        <f>IF(OR($F394="",$J394="",$J394="نامعتبر"),"",LEFT($J394,4)&amp;MID($J394,6,2)&amp;RIGHT($J394,2)&amp;$N394&amp;"|"&amp;"2"&amp;RIGHT("00000"&amp;389,5))</f>
        <v/>
      </c>
      <c r="L394">
        <f>IF($K394="","",COUNTIFS(LdgPartyA,$F394,LdgKeyA,"&lt;"&amp;$K394)+COUNTIFS(LdgPartyB,$F394,LdgKeyB,"&lt;"&amp;$K394)+1)</f>
        <v/>
      </c>
      <c r="M394">
        <f>IF($L394="","",$F394&amp;"|"&amp;RIGHT("000000"&amp;$L394,6))</f>
        <v/>
      </c>
      <c r="N394">
        <f>IF($F394="","",IF(Sync!$AH394="","0000",IF(AND(ISNUMBER(Sync!$AH394),Sync!$AH394&gt;=0,Sync!$AH394&lt;1),RIGHT("00"&amp;HOUR(Sync!$AH394),2)&amp;RIGHT("00"&amp;MINUTE(Sync!$AH394),2),IFERROR(RIGHT("00"&amp;VALUE(LEFT(Sync!$AH394,FIND(":",Sync!$AH394)-1)),2)&amp;RIGHT("00"&amp;VALUE(MID(Sync!$AH394,FIND(":",Sync!$AH394)+1,2)),2),"0000"))))</f>
        <v/>
      </c>
    </row>
    <row r="395">
      <c r="A395">
        <f>IF(OR(Calc!$E398="",Calc!$E398="نامعتبر",Calc!$G398="",Calc!$I398&lt;&gt;"خرید"),"",Calc!$G398)</f>
        <v/>
      </c>
      <c r="B395">
        <f>IF($A395="","",LEFT(Calc!$E398,4)&amp;MID(Calc!$E398,6,2)&amp;RIGHT(Calc!$E398,2)&amp;Calc!$R398&amp;"|"&amp;"1"&amp;RIGHT("00000"&amp;390,5))</f>
        <v/>
      </c>
      <c r="C395">
        <f>IF($B395="","",COUNTIFS(LdgPartyA,$A395,LdgKeyA,"&lt;"&amp;$B395)+COUNTIFS(LdgPartyB,$A395,LdgKeyB,"&lt;"&amp;$B395)+1)</f>
        <v/>
      </c>
      <c r="D395">
        <f>IF($C395="","",$A395&amp;"|"&amp;RIGHT("000000"&amp;$C395,6))</f>
        <v/>
      </c>
      <c r="F395">
        <f>IF(Sync!$AJ395="","",Sync!$AJ395)</f>
        <v/>
      </c>
      <c r="G395">
        <f>IF($F395="","",IF(Sync!$AG395="","",IF(ISNUMBER(Sync!$AG395),IF(AND(Sync!$AG395&gt;=10000101,Sync!$AG395&lt;=99991231),INT(Sync!$AG395/10000),""),IFERROR(VALUE(TRIM(LEFT(Sync!$AG395,FIND("/",Sync!$AG395)-1))),""))))</f>
        <v/>
      </c>
      <c r="H395">
        <f>IF(OR($F395="",$G395=""),"",IF(ISNUMBER(Sync!$AG395),INT(MOD(Sync!$AG395,10000)/100),IFERROR(VALUE(TRIM(LEFT(MID(Sync!$AG395,FIND("/",Sync!$AG395)+1,20),FIND("/",MID(Sync!$AG395,FIND("/",Sync!$AG395)+1,20))-1))),"")))</f>
        <v/>
      </c>
      <c r="I395">
        <f>IF(OR($F395="",$G395=""),"",IF(ISNUMBER(Sync!$AG395),MOD(Sync!$AG395,100),IFERROR(VALUE(TRIM(MID(MID(Sync!$AG395,FIND("/",Sync!$AG395)+1,20),FIND("/",MID(Sync!$AG395,FIND("/",Sync!$AG395)+1,20))+1,20))),"")))</f>
        <v/>
      </c>
      <c r="J395">
        <f>IF($F395="","",IF(OR($G395="",$H395="",$I395="",$G395&lt;1300,$G395&gt;1500,$H395&lt;1,$H395&gt;12,$I395&lt;1,$I395&gt;31),"نامعتبر",RIGHT("0000"&amp;$G395,4)&amp;"/"&amp;RIGHT("00"&amp;$H395,2)&amp;"/"&amp;RIGHT("00"&amp;$I395,2)))</f>
        <v/>
      </c>
      <c r="K395">
        <f>IF(OR($F395="",$J395="",$J395="نامعتبر"),"",LEFT($J395,4)&amp;MID($J395,6,2)&amp;RIGHT($J395,2)&amp;$N395&amp;"|"&amp;"2"&amp;RIGHT("00000"&amp;390,5))</f>
        <v/>
      </c>
      <c r="L395">
        <f>IF($K395="","",COUNTIFS(LdgPartyA,$F395,LdgKeyA,"&lt;"&amp;$K395)+COUNTIFS(LdgPartyB,$F395,LdgKeyB,"&lt;"&amp;$K395)+1)</f>
        <v/>
      </c>
      <c r="M395">
        <f>IF($L395="","",$F395&amp;"|"&amp;RIGHT("000000"&amp;$L395,6))</f>
        <v/>
      </c>
      <c r="N395">
        <f>IF($F395="","",IF(Sync!$AH395="","0000",IF(AND(ISNUMBER(Sync!$AH395),Sync!$AH395&gt;=0,Sync!$AH395&lt;1),RIGHT("00"&amp;HOUR(Sync!$AH395),2)&amp;RIGHT("00"&amp;MINUTE(Sync!$AH395),2),IFERROR(RIGHT("00"&amp;VALUE(LEFT(Sync!$AH395,FIND(":",Sync!$AH395)-1)),2)&amp;RIGHT("00"&amp;VALUE(MID(Sync!$AH395,FIND(":",Sync!$AH395)+1,2)),2),"0000"))))</f>
        <v/>
      </c>
    </row>
    <row r="396">
      <c r="A396">
        <f>IF(OR(Calc!$E399="",Calc!$E399="نامعتبر",Calc!$G399="",Calc!$I399&lt;&gt;"خرید"),"",Calc!$G399)</f>
        <v/>
      </c>
      <c r="B396">
        <f>IF($A396="","",LEFT(Calc!$E399,4)&amp;MID(Calc!$E399,6,2)&amp;RIGHT(Calc!$E399,2)&amp;Calc!$R399&amp;"|"&amp;"1"&amp;RIGHT("00000"&amp;391,5))</f>
        <v/>
      </c>
      <c r="C396">
        <f>IF($B396="","",COUNTIFS(LdgPartyA,$A396,LdgKeyA,"&lt;"&amp;$B396)+COUNTIFS(LdgPartyB,$A396,LdgKeyB,"&lt;"&amp;$B396)+1)</f>
        <v/>
      </c>
      <c r="D396">
        <f>IF($C396="","",$A396&amp;"|"&amp;RIGHT("000000"&amp;$C396,6))</f>
        <v/>
      </c>
      <c r="F396">
        <f>IF(Sync!$AJ396="","",Sync!$AJ396)</f>
        <v/>
      </c>
      <c r="G396">
        <f>IF($F396="","",IF(Sync!$AG396="","",IF(ISNUMBER(Sync!$AG396),IF(AND(Sync!$AG396&gt;=10000101,Sync!$AG396&lt;=99991231),INT(Sync!$AG396/10000),""),IFERROR(VALUE(TRIM(LEFT(Sync!$AG396,FIND("/",Sync!$AG396)-1))),""))))</f>
        <v/>
      </c>
      <c r="H396">
        <f>IF(OR($F396="",$G396=""),"",IF(ISNUMBER(Sync!$AG396),INT(MOD(Sync!$AG396,10000)/100),IFERROR(VALUE(TRIM(LEFT(MID(Sync!$AG396,FIND("/",Sync!$AG396)+1,20),FIND("/",MID(Sync!$AG396,FIND("/",Sync!$AG396)+1,20))-1))),"")))</f>
        <v/>
      </c>
      <c r="I396">
        <f>IF(OR($F396="",$G396=""),"",IF(ISNUMBER(Sync!$AG396),MOD(Sync!$AG396,100),IFERROR(VALUE(TRIM(MID(MID(Sync!$AG396,FIND("/",Sync!$AG396)+1,20),FIND("/",MID(Sync!$AG396,FIND("/",Sync!$AG396)+1,20))+1,20))),"")))</f>
        <v/>
      </c>
      <c r="J396">
        <f>IF($F396="","",IF(OR($G396="",$H396="",$I396="",$G396&lt;1300,$G396&gt;1500,$H396&lt;1,$H396&gt;12,$I396&lt;1,$I396&gt;31),"نامعتبر",RIGHT("0000"&amp;$G396,4)&amp;"/"&amp;RIGHT("00"&amp;$H396,2)&amp;"/"&amp;RIGHT("00"&amp;$I396,2)))</f>
        <v/>
      </c>
      <c r="K396">
        <f>IF(OR($F396="",$J396="",$J396="نامعتبر"),"",LEFT($J396,4)&amp;MID($J396,6,2)&amp;RIGHT($J396,2)&amp;$N396&amp;"|"&amp;"2"&amp;RIGHT("00000"&amp;391,5))</f>
        <v/>
      </c>
      <c r="L396">
        <f>IF($K396="","",COUNTIFS(LdgPartyA,$F396,LdgKeyA,"&lt;"&amp;$K396)+COUNTIFS(LdgPartyB,$F396,LdgKeyB,"&lt;"&amp;$K396)+1)</f>
        <v/>
      </c>
      <c r="M396">
        <f>IF($L396="","",$F396&amp;"|"&amp;RIGHT("000000"&amp;$L396,6))</f>
        <v/>
      </c>
      <c r="N396">
        <f>IF($F396="","",IF(Sync!$AH396="","0000",IF(AND(ISNUMBER(Sync!$AH396),Sync!$AH396&gt;=0,Sync!$AH396&lt;1),RIGHT("00"&amp;HOUR(Sync!$AH396),2)&amp;RIGHT("00"&amp;MINUTE(Sync!$AH396),2),IFERROR(RIGHT("00"&amp;VALUE(LEFT(Sync!$AH396,FIND(":",Sync!$AH396)-1)),2)&amp;RIGHT("00"&amp;VALUE(MID(Sync!$AH396,FIND(":",Sync!$AH396)+1,2)),2),"0000"))))</f>
        <v/>
      </c>
    </row>
    <row r="397">
      <c r="A397">
        <f>IF(OR(Calc!$E400="",Calc!$E400="نامعتبر",Calc!$G400="",Calc!$I400&lt;&gt;"خرید"),"",Calc!$G400)</f>
        <v/>
      </c>
      <c r="B397">
        <f>IF($A397="","",LEFT(Calc!$E400,4)&amp;MID(Calc!$E400,6,2)&amp;RIGHT(Calc!$E400,2)&amp;Calc!$R400&amp;"|"&amp;"1"&amp;RIGHT("00000"&amp;392,5))</f>
        <v/>
      </c>
      <c r="C397">
        <f>IF($B397="","",COUNTIFS(LdgPartyA,$A397,LdgKeyA,"&lt;"&amp;$B397)+COUNTIFS(LdgPartyB,$A397,LdgKeyB,"&lt;"&amp;$B397)+1)</f>
        <v/>
      </c>
      <c r="D397">
        <f>IF($C397="","",$A397&amp;"|"&amp;RIGHT("000000"&amp;$C397,6))</f>
        <v/>
      </c>
      <c r="F397">
        <f>IF(Sync!$AJ397="","",Sync!$AJ397)</f>
        <v/>
      </c>
      <c r="G397">
        <f>IF($F397="","",IF(Sync!$AG397="","",IF(ISNUMBER(Sync!$AG397),IF(AND(Sync!$AG397&gt;=10000101,Sync!$AG397&lt;=99991231),INT(Sync!$AG397/10000),""),IFERROR(VALUE(TRIM(LEFT(Sync!$AG397,FIND("/",Sync!$AG397)-1))),""))))</f>
        <v/>
      </c>
      <c r="H397">
        <f>IF(OR($F397="",$G397=""),"",IF(ISNUMBER(Sync!$AG397),INT(MOD(Sync!$AG397,10000)/100),IFERROR(VALUE(TRIM(LEFT(MID(Sync!$AG397,FIND("/",Sync!$AG397)+1,20),FIND("/",MID(Sync!$AG397,FIND("/",Sync!$AG397)+1,20))-1))),"")))</f>
        <v/>
      </c>
      <c r="I397">
        <f>IF(OR($F397="",$G397=""),"",IF(ISNUMBER(Sync!$AG397),MOD(Sync!$AG397,100),IFERROR(VALUE(TRIM(MID(MID(Sync!$AG397,FIND("/",Sync!$AG397)+1,20),FIND("/",MID(Sync!$AG397,FIND("/",Sync!$AG397)+1,20))+1,20))),"")))</f>
        <v/>
      </c>
      <c r="J397">
        <f>IF($F397="","",IF(OR($G397="",$H397="",$I397="",$G397&lt;1300,$G397&gt;1500,$H397&lt;1,$H397&gt;12,$I397&lt;1,$I397&gt;31),"نامعتبر",RIGHT("0000"&amp;$G397,4)&amp;"/"&amp;RIGHT("00"&amp;$H397,2)&amp;"/"&amp;RIGHT("00"&amp;$I397,2)))</f>
        <v/>
      </c>
      <c r="K397">
        <f>IF(OR($F397="",$J397="",$J397="نامعتبر"),"",LEFT($J397,4)&amp;MID($J397,6,2)&amp;RIGHT($J397,2)&amp;$N397&amp;"|"&amp;"2"&amp;RIGHT("00000"&amp;392,5))</f>
        <v/>
      </c>
      <c r="L397">
        <f>IF($K397="","",COUNTIFS(LdgPartyA,$F397,LdgKeyA,"&lt;"&amp;$K397)+COUNTIFS(LdgPartyB,$F397,LdgKeyB,"&lt;"&amp;$K397)+1)</f>
        <v/>
      </c>
      <c r="M397">
        <f>IF($L397="","",$F397&amp;"|"&amp;RIGHT("000000"&amp;$L397,6))</f>
        <v/>
      </c>
      <c r="N397">
        <f>IF($F397="","",IF(Sync!$AH397="","0000",IF(AND(ISNUMBER(Sync!$AH397),Sync!$AH397&gt;=0,Sync!$AH397&lt;1),RIGHT("00"&amp;HOUR(Sync!$AH397),2)&amp;RIGHT("00"&amp;MINUTE(Sync!$AH397),2),IFERROR(RIGHT("00"&amp;VALUE(LEFT(Sync!$AH397,FIND(":",Sync!$AH397)-1)),2)&amp;RIGHT("00"&amp;VALUE(MID(Sync!$AH397,FIND(":",Sync!$AH397)+1,2)),2),"0000"))))</f>
        <v/>
      </c>
    </row>
    <row r="398">
      <c r="A398">
        <f>IF(OR(Calc!$E401="",Calc!$E401="نامعتبر",Calc!$G401="",Calc!$I401&lt;&gt;"خرید"),"",Calc!$G401)</f>
        <v/>
      </c>
      <c r="B398">
        <f>IF($A398="","",LEFT(Calc!$E401,4)&amp;MID(Calc!$E401,6,2)&amp;RIGHT(Calc!$E401,2)&amp;Calc!$R401&amp;"|"&amp;"1"&amp;RIGHT("00000"&amp;393,5))</f>
        <v/>
      </c>
      <c r="C398">
        <f>IF($B398="","",COUNTIFS(LdgPartyA,$A398,LdgKeyA,"&lt;"&amp;$B398)+COUNTIFS(LdgPartyB,$A398,LdgKeyB,"&lt;"&amp;$B398)+1)</f>
        <v/>
      </c>
      <c r="D398">
        <f>IF($C398="","",$A398&amp;"|"&amp;RIGHT("000000"&amp;$C398,6))</f>
        <v/>
      </c>
      <c r="F398">
        <f>IF(Sync!$AJ398="","",Sync!$AJ398)</f>
        <v/>
      </c>
      <c r="G398">
        <f>IF($F398="","",IF(Sync!$AG398="","",IF(ISNUMBER(Sync!$AG398),IF(AND(Sync!$AG398&gt;=10000101,Sync!$AG398&lt;=99991231),INT(Sync!$AG398/10000),""),IFERROR(VALUE(TRIM(LEFT(Sync!$AG398,FIND("/",Sync!$AG398)-1))),""))))</f>
        <v/>
      </c>
      <c r="H398">
        <f>IF(OR($F398="",$G398=""),"",IF(ISNUMBER(Sync!$AG398),INT(MOD(Sync!$AG398,10000)/100),IFERROR(VALUE(TRIM(LEFT(MID(Sync!$AG398,FIND("/",Sync!$AG398)+1,20),FIND("/",MID(Sync!$AG398,FIND("/",Sync!$AG398)+1,20))-1))),"")))</f>
        <v/>
      </c>
      <c r="I398">
        <f>IF(OR($F398="",$G398=""),"",IF(ISNUMBER(Sync!$AG398),MOD(Sync!$AG398,100),IFERROR(VALUE(TRIM(MID(MID(Sync!$AG398,FIND("/",Sync!$AG398)+1,20),FIND("/",MID(Sync!$AG398,FIND("/",Sync!$AG398)+1,20))+1,20))),"")))</f>
        <v/>
      </c>
      <c r="J398">
        <f>IF($F398="","",IF(OR($G398="",$H398="",$I398="",$G398&lt;1300,$G398&gt;1500,$H398&lt;1,$H398&gt;12,$I398&lt;1,$I398&gt;31),"نامعتبر",RIGHT("0000"&amp;$G398,4)&amp;"/"&amp;RIGHT("00"&amp;$H398,2)&amp;"/"&amp;RIGHT("00"&amp;$I398,2)))</f>
        <v/>
      </c>
      <c r="K398">
        <f>IF(OR($F398="",$J398="",$J398="نامعتبر"),"",LEFT($J398,4)&amp;MID($J398,6,2)&amp;RIGHT($J398,2)&amp;$N398&amp;"|"&amp;"2"&amp;RIGHT("00000"&amp;393,5))</f>
        <v/>
      </c>
      <c r="L398">
        <f>IF($K398="","",COUNTIFS(LdgPartyA,$F398,LdgKeyA,"&lt;"&amp;$K398)+COUNTIFS(LdgPartyB,$F398,LdgKeyB,"&lt;"&amp;$K398)+1)</f>
        <v/>
      </c>
      <c r="M398">
        <f>IF($L398="","",$F398&amp;"|"&amp;RIGHT("000000"&amp;$L398,6))</f>
        <v/>
      </c>
      <c r="N398">
        <f>IF($F398="","",IF(Sync!$AH398="","0000",IF(AND(ISNUMBER(Sync!$AH398),Sync!$AH398&gt;=0,Sync!$AH398&lt;1),RIGHT("00"&amp;HOUR(Sync!$AH398),2)&amp;RIGHT("00"&amp;MINUTE(Sync!$AH398),2),IFERROR(RIGHT("00"&amp;VALUE(LEFT(Sync!$AH398,FIND(":",Sync!$AH398)-1)),2)&amp;RIGHT("00"&amp;VALUE(MID(Sync!$AH398,FIND(":",Sync!$AH398)+1,2)),2),"0000"))))</f>
        <v/>
      </c>
    </row>
    <row r="399">
      <c r="A399">
        <f>IF(OR(Calc!$E402="",Calc!$E402="نامعتبر",Calc!$G402="",Calc!$I402&lt;&gt;"خرید"),"",Calc!$G402)</f>
        <v/>
      </c>
      <c r="B399">
        <f>IF($A399="","",LEFT(Calc!$E402,4)&amp;MID(Calc!$E402,6,2)&amp;RIGHT(Calc!$E402,2)&amp;Calc!$R402&amp;"|"&amp;"1"&amp;RIGHT("00000"&amp;394,5))</f>
        <v/>
      </c>
      <c r="C399">
        <f>IF($B399="","",COUNTIFS(LdgPartyA,$A399,LdgKeyA,"&lt;"&amp;$B399)+COUNTIFS(LdgPartyB,$A399,LdgKeyB,"&lt;"&amp;$B399)+1)</f>
        <v/>
      </c>
      <c r="D399">
        <f>IF($C399="","",$A399&amp;"|"&amp;RIGHT("000000"&amp;$C399,6))</f>
        <v/>
      </c>
      <c r="F399">
        <f>IF(Sync!$AJ399="","",Sync!$AJ399)</f>
        <v/>
      </c>
      <c r="G399">
        <f>IF($F399="","",IF(Sync!$AG399="","",IF(ISNUMBER(Sync!$AG399),IF(AND(Sync!$AG399&gt;=10000101,Sync!$AG399&lt;=99991231),INT(Sync!$AG399/10000),""),IFERROR(VALUE(TRIM(LEFT(Sync!$AG399,FIND("/",Sync!$AG399)-1))),""))))</f>
        <v/>
      </c>
      <c r="H399">
        <f>IF(OR($F399="",$G399=""),"",IF(ISNUMBER(Sync!$AG399),INT(MOD(Sync!$AG399,10000)/100),IFERROR(VALUE(TRIM(LEFT(MID(Sync!$AG399,FIND("/",Sync!$AG399)+1,20),FIND("/",MID(Sync!$AG399,FIND("/",Sync!$AG399)+1,20))-1))),"")))</f>
        <v/>
      </c>
      <c r="I399">
        <f>IF(OR($F399="",$G399=""),"",IF(ISNUMBER(Sync!$AG399),MOD(Sync!$AG399,100),IFERROR(VALUE(TRIM(MID(MID(Sync!$AG399,FIND("/",Sync!$AG399)+1,20),FIND("/",MID(Sync!$AG399,FIND("/",Sync!$AG399)+1,20))+1,20))),"")))</f>
        <v/>
      </c>
      <c r="J399">
        <f>IF($F399="","",IF(OR($G399="",$H399="",$I399="",$G399&lt;1300,$G399&gt;1500,$H399&lt;1,$H399&gt;12,$I399&lt;1,$I399&gt;31),"نامعتبر",RIGHT("0000"&amp;$G399,4)&amp;"/"&amp;RIGHT("00"&amp;$H399,2)&amp;"/"&amp;RIGHT("00"&amp;$I399,2)))</f>
        <v/>
      </c>
      <c r="K399">
        <f>IF(OR($F399="",$J399="",$J399="نامعتبر"),"",LEFT($J399,4)&amp;MID($J399,6,2)&amp;RIGHT($J399,2)&amp;$N399&amp;"|"&amp;"2"&amp;RIGHT("00000"&amp;394,5))</f>
        <v/>
      </c>
      <c r="L399">
        <f>IF($K399="","",COUNTIFS(LdgPartyA,$F399,LdgKeyA,"&lt;"&amp;$K399)+COUNTIFS(LdgPartyB,$F399,LdgKeyB,"&lt;"&amp;$K399)+1)</f>
        <v/>
      </c>
      <c r="M399">
        <f>IF($L399="","",$F399&amp;"|"&amp;RIGHT("000000"&amp;$L399,6))</f>
        <v/>
      </c>
      <c r="N399">
        <f>IF($F399="","",IF(Sync!$AH399="","0000",IF(AND(ISNUMBER(Sync!$AH399),Sync!$AH399&gt;=0,Sync!$AH399&lt;1),RIGHT("00"&amp;HOUR(Sync!$AH399),2)&amp;RIGHT("00"&amp;MINUTE(Sync!$AH399),2),IFERROR(RIGHT("00"&amp;VALUE(LEFT(Sync!$AH399,FIND(":",Sync!$AH399)-1)),2)&amp;RIGHT("00"&amp;VALUE(MID(Sync!$AH399,FIND(":",Sync!$AH399)+1,2)),2),"0000"))))</f>
        <v/>
      </c>
    </row>
    <row r="400">
      <c r="A400">
        <f>IF(OR(Calc!$E403="",Calc!$E403="نامعتبر",Calc!$G403="",Calc!$I403&lt;&gt;"خرید"),"",Calc!$G403)</f>
        <v/>
      </c>
      <c r="B400">
        <f>IF($A400="","",LEFT(Calc!$E403,4)&amp;MID(Calc!$E403,6,2)&amp;RIGHT(Calc!$E403,2)&amp;Calc!$R403&amp;"|"&amp;"1"&amp;RIGHT("00000"&amp;395,5))</f>
        <v/>
      </c>
      <c r="C400">
        <f>IF($B400="","",COUNTIFS(LdgPartyA,$A400,LdgKeyA,"&lt;"&amp;$B400)+COUNTIFS(LdgPartyB,$A400,LdgKeyB,"&lt;"&amp;$B400)+1)</f>
        <v/>
      </c>
      <c r="D400">
        <f>IF($C400="","",$A400&amp;"|"&amp;RIGHT("000000"&amp;$C400,6))</f>
        <v/>
      </c>
      <c r="F400">
        <f>IF(Sync!$AJ400="","",Sync!$AJ400)</f>
        <v/>
      </c>
      <c r="G400">
        <f>IF($F400="","",IF(Sync!$AG400="","",IF(ISNUMBER(Sync!$AG400),IF(AND(Sync!$AG400&gt;=10000101,Sync!$AG400&lt;=99991231),INT(Sync!$AG400/10000),""),IFERROR(VALUE(TRIM(LEFT(Sync!$AG400,FIND("/",Sync!$AG400)-1))),""))))</f>
        <v/>
      </c>
      <c r="H400">
        <f>IF(OR($F400="",$G400=""),"",IF(ISNUMBER(Sync!$AG400),INT(MOD(Sync!$AG400,10000)/100),IFERROR(VALUE(TRIM(LEFT(MID(Sync!$AG400,FIND("/",Sync!$AG400)+1,20),FIND("/",MID(Sync!$AG400,FIND("/",Sync!$AG400)+1,20))-1))),"")))</f>
        <v/>
      </c>
      <c r="I400">
        <f>IF(OR($F400="",$G400=""),"",IF(ISNUMBER(Sync!$AG400),MOD(Sync!$AG400,100),IFERROR(VALUE(TRIM(MID(MID(Sync!$AG400,FIND("/",Sync!$AG400)+1,20),FIND("/",MID(Sync!$AG400,FIND("/",Sync!$AG400)+1,20))+1,20))),"")))</f>
        <v/>
      </c>
      <c r="J400">
        <f>IF($F400="","",IF(OR($G400="",$H400="",$I400="",$G400&lt;1300,$G400&gt;1500,$H400&lt;1,$H400&gt;12,$I400&lt;1,$I400&gt;31),"نامعتبر",RIGHT("0000"&amp;$G400,4)&amp;"/"&amp;RIGHT("00"&amp;$H400,2)&amp;"/"&amp;RIGHT("00"&amp;$I400,2)))</f>
        <v/>
      </c>
      <c r="K400">
        <f>IF(OR($F400="",$J400="",$J400="نامعتبر"),"",LEFT($J400,4)&amp;MID($J400,6,2)&amp;RIGHT($J400,2)&amp;$N400&amp;"|"&amp;"2"&amp;RIGHT("00000"&amp;395,5))</f>
        <v/>
      </c>
      <c r="L400">
        <f>IF($K400="","",COUNTIFS(LdgPartyA,$F400,LdgKeyA,"&lt;"&amp;$K400)+COUNTIFS(LdgPartyB,$F400,LdgKeyB,"&lt;"&amp;$K400)+1)</f>
        <v/>
      </c>
      <c r="M400">
        <f>IF($L400="","",$F400&amp;"|"&amp;RIGHT("000000"&amp;$L400,6))</f>
        <v/>
      </c>
      <c r="N400">
        <f>IF($F400="","",IF(Sync!$AH400="","0000",IF(AND(ISNUMBER(Sync!$AH400),Sync!$AH400&gt;=0,Sync!$AH400&lt;1),RIGHT("00"&amp;HOUR(Sync!$AH400),2)&amp;RIGHT("00"&amp;MINUTE(Sync!$AH400),2),IFERROR(RIGHT("00"&amp;VALUE(LEFT(Sync!$AH400,FIND(":",Sync!$AH400)-1)),2)&amp;RIGHT("00"&amp;VALUE(MID(Sync!$AH400,FIND(":",Sync!$AH400)+1,2)),2),"0000"))))</f>
        <v/>
      </c>
    </row>
    <row r="401">
      <c r="A401">
        <f>IF(OR(Calc!$E404="",Calc!$E404="نامعتبر",Calc!$G404="",Calc!$I404&lt;&gt;"خرید"),"",Calc!$G404)</f>
        <v/>
      </c>
      <c r="B401">
        <f>IF($A401="","",LEFT(Calc!$E404,4)&amp;MID(Calc!$E404,6,2)&amp;RIGHT(Calc!$E404,2)&amp;Calc!$R404&amp;"|"&amp;"1"&amp;RIGHT("00000"&amp;396,5))</f>
        <v/>
      </c>
      <c r="C401">
        <f>IF($B401="","",COUNTIFS(LdgPartyA,$A401,LdgKeyA,"&lt;"&amp;$B401)+COUNTIFS(LdgPartyB,$A401,LdgKeyB,"&lt;"&amp;$B401)+1)</f>
        <v/>
      </c>
      <c r="D401">
        <f>IF($C401="","",$A401&amp;"|"&amp;RIGHT("000000"&amp;$C401,6))</f>
        <v/>
      </c>
      <c r="F401">
        <f>IF(Sync!$AJ401="","",Sync!$AJ401)</f>
        <v/>
      </c>
      <c r="G401">
        <f>IF($F401="","",IF(Sync!$AG401="","",IF(ISNUMBER(Sync!$AG401),IF(AND(Sync!$AG401&gt;=10000101,Sync!$AG401&lt;=99991231),INT(Sync!$AG401/10000),""),IFERROR(VALUE(TRIM(LEFT(Sync!$AG401,FIND("/",Sync!$AG401)-1))),""))))</f>
        <v/>
      </c>
      <c r="H401">
        <f>IF(OR($F401="",$G401=""),"",IF(ISNUMBER(Sync!$AG401),INT(MOD(Sync!$AG401,10000)/100),IFERROR(VALUE(TRIM(LEFT(MID(Sync!$AG401,FIND("/",Sync!$AG401)+1,20),FIND("/",MID(Sync!$AG401,FIND("/",Sync!$AG401)+1,20))-1))),"")))</f>
        <v/>
      </c>
      <c r="I401">
        <f>IF(OR($F401="",$G401=""),"",IF(ISNUMBER(Sync!$AG401),MOD(Sync!$AG401,100),IFERROR(VALUE(TRIM(MID(MID(Sync!$AG401,FIND("/",Sync!$AG401)+1,20),FIND("/",MID(Sync!$AG401,FIND("/",Sync!$AG401)+1,20))+1,20))),"")))</f>
        <v/>
      </c>
      <c r="J401">
        <f>IF($F401="","",IF(OR($G401="",$H401="",$I401="",$G401&lt;1300,$G401&gt;1500,$H401&lt;1,$H401&gt;12,$I401&lt;1,$I401&gt;31),"نامعتبر",RIGHT("0000"&amp;$G401,4)&amp;"/"&amp;RIGHT("00"&amp;$H401,2)&amp;"/"&amp;RIGHT("00"&amp;$I401,2)))</f>
        <v/>
      </c>
      <c r="K401">
        <f>IF(OR($F401="",$J401="",$J401="نامعتبر"),"",LEFT($J401,4)&amp;MID($J401,6,2)&amp;RIGHT($J401,2)&amp;$N401&amp;"|"&amp;"2"&amp;RIGHT("00000"&amp;396,5))</f>
        <v/>
      </c>
      <c r="L401">
        <f>IF($K401="","",COUNTIFS(LdgPartyA,$F401,LdgKeyA,"&lt;"&amp;$K401)+COUNTIFS(LdgPartyB,$F401,LdgKeyB,"&lt;"&amp;$K401)+1)</f>
        <v/>
      </c>
      <c r="M401">
        <f>IF($L401="","",$F401&amp;"|"&amp;RIGHT("000000"&amp;$L401,6))</f>
        <v/>
      </c>
      <c r="N401">
        <f>IF($F401="","",IF(Sync!$AH401="","0000",IF(AND(ISNUMBER(Sync!$AH401),Sync!$AH401&gt;=0,Sync!$AH401&lt;1),RIGHT("00"&amp;HOUR(Sync!$AH401),2)&amp;RIGHT("00"&amp;MINUTE(Sync!$AH401),2),IFERROR(RIGHT("00"&amp;VALUE(LEFT(Sync!$AH401,FIND(":",Sync!$AH401)-1)),2)&amp;RIGHT("00"&amp;VALUE(MID(Sync!$AH401,FIND(":",Sync!$AH401)+1,2)),2),"0000"))))</f>
        <v/>
      </c>
    </row>
    <row r="402">
      <c r="A402">
        <f>IF(OR(Calc!$E405="",Calc!$E405="نامعتبر",Calc!$G405="",Calc!$I405&lt;&gt;"خرید"),"",Calc!$G405)</f>
        <v/>
      </c>
      <c r="B402">
        <f>IF($A402="","",LEFT(Calc!$E405,4)&amp;MID(Calc!$E405,6,2)&amp;RIGHT(Calc!$E405,2)&amp;Calc!$R405&amp;"|"&amp;"1"&amp;RIGHT("00000"&amp;397,5))</f>
        <v/>
      </c>
      <c r="C402">
        <f>IF($B402="","",COUNTIFS(LdgPartyA,$A402,LdgKeyA,"&lt;"&amp;$B402)+COUNTIFS(LdgPartyB,$A402,LdgKeyB,"&lt;"&amp;$B402)+1)</f>
        <v/>
      </c>
      <c r="D402">
        <f>IF($C402="","",$A402&amp;"|"&amp;RIGHT("000000"&amp;$C402,6))</f>
        <v/>
      </c>
      <c r="F402">
        <f>IF(Sync!$AJ402="","",Sync!$AJ402)</f>
        <v/>
      </c>
      <c r="G402">
        <f>IF($F402="","",IF(Sync!$AG402="","",IF(ISNUMBER(Sync!$AG402),IF(AND(Sync!$AG402&gt;=10000101,Sync!$AG402&lt;=99991231),INT(Sync!$AG402/10000),""),IFERROR(VALUE(TRIM(LEFT(Sync!$AG402,FIND("/",Sync!$AG402)-1))),""))))</f>
        <v/>
      </c>
      <c r="H402">
        <f>IF(OR($F402="",$G402=""),"",IF(ISNUMBER(Sync!$AG402),INT(MOD(Sync!$AG402,10000)/100),IFERROR(VALUE(TRIM(LEFT(MID(Sync!$AG402,FIND("/",Sync!$AG402)+1,20),FIND("/",MID(Sync!$AG402,FIND("/",Sync!$AG402)+1,20))-1))),"")))</f>
        <v/>
      </c>
      <c r="I402">
        <f>IF(OR($F402="",$G402=""),"",IF(ISNUMBER(Sync!$AG402),MOD(Sync!$AG402,100),IFERROR(VALUE(TRIM(MID(MID(Sync!$AG402,FIND("/",Sync!$AG402)+1,20),FIND("/",MID(Sync!$AG402,FIND("/",Sync!$AG402)+1,20))+1,20))),"")))</f>
        <v/>
      </c>
      <c r="J402">
        <f>IF($F402="","",IF(OR($G402="",$H402="",$I402="",$G402&lt;1300,$G402&gt;1500,$H402&lt;1,$H402&gt;12,$I402&lt;1,$I402&gt;31),"نامعتبر",RIGHT("0000"&amp;$G402,4)&amp;"/"&amp;RIGHT("00"&amp;$H402,2)&amp;"/"&amp;RIGHT("00"&amp;$I402,2)))</f>
        <v/>
      </c>
      <c r="K402">
        <f>IF(OR($F402="",$J402="",$J402="نامعتبر"),"",LEFT($J402,4)&amp;MID($J402,6,2)&amp;RIGHT($J402,2)&amp;$N402&amp;"|"&amp;"2"&amp;RIGHT("00000"&amp;397,5))</f>
        <v/>
      </c>
      <c r="L402">
        <f>IF($K402="","",COUNTIFS(LdgPartyA,$F402,LdgKeyA,"&lt;"&amp;$K402)+COUNTIFS(LdgPartyB,$F402,LdgKeyB,"&lt;"&amp;$K402)+1)</f>
        <v/>
      </c>
      <c r="M402">
        <f>IF($L402="","",$F402&amp;"|"&amp;RIGHT("000000"&amp;$L402,6))</f>
        <v/>
      </c>
      <c r="N402">
        <f>IF($F402="","",IF(Sync!$AH402="","0000",IF(AND(ISNUMBER(Sync!$AH402),Sync!$AH402&gt;=0,Sync!$AH402&lt;1),RIGHT("00"&amp;HOUR(Sync!$AH402),2)&amp;RIGHT("00"&amp;MINUTE(Sync!$AH402),2),IFERROR(RIGHT("00"&amp;VALUE(LEFT(Sync!$AH402,FIND(":",Sync!$AH402)-1)),2)&amp;RIGHT("00"&amp;VALUE(MID(Sync!$AH402,FIND(":",Sync!$AH402)+1,2)),2),"0000"))))</f>
        <v/>
      </c>
    </row>
    <row r="403">
      <c r="A403">
        <f>IF(OR(Calc!$E406="",Calc!$E406="نامعتبر",Calc!$G406="",Calc!$I406&lt;&gt;"خرید"),"",Calc!$G406)</f>
        <v/>
      </c>
      <c r="B403">
        <f>IF($A403="","",LEFT(Calc!$E406,4)&amp;MID(Calc!$E406,6,2)&amp;RIGHT(Calc!$E406,2)&amp;Calc!$R406&amp;"|"&amp;"1"&amp;RIGHT("00000"&amp;398,5))</f>
        <v/>
      </c>
      <c r="C403">
        <f>IF($B403="","",COUNTIFS(LdgPartyA,$A403,LdgKeyA,"&lt;"&amp;$B403)+COUNTIFS(LdgPartyB,$A403,LdgKeyB,"&lt;"&amp;$B403)+1)</f>
        <v/>
      </c>
      <c r="D403">
        <f>IF($C403="","",$A403&amp;"|"&amp;RIGHT("000000"&amp;$C403,6))</f>
        <v/>
      </c>
      <c r="F403">
        <f>IF(Sync!$AJ403="","",Sync!$AJ403)</f>
        <v/>
      </c>
      <c r="G403">
        <f>IF($F403="","",IF(Sync!$AG403="","",IF(ISNUMBER(Sync!$AG403),IF(AND(Sync!$AG403&gt;=10000101,Sync!$AG403&lt;=99991231),INT(Sync!$AG403/10000),""),IFERROR(VALUE(TRIM(LEFT(Sync!$AG403,FIND("/",Sync!$AG403)-1))),""))))</f>
        <v/>
      </c>
      <c r="H403">
        <f>IF(OR($F403="",$G403=""),"",IF(ISNUMBER(Sync!$AG403),INT(MOD(Sync!$AG403,10000)/100),IFERROR(VALUE(TRIM(LEFT(MID(Sync!$AG403,FIND("/",Sync!$AG403)+1,20),FIND("/",MID(Sync!$AG403,FIND("/",Sync!$AG403)+1,20))-1))),"")))</f>
        <v/>
      </c>
      <c r="I403">
        <f>IF(OR($F403="",$G403=""),"",IF(ISNUMBER(Sync!$AG403),MOD(Sync!$AG403,100),IFERROR(VALUE(TRIM(MID(MID(Sync!$AG403,FIND("/",Sync!$AG403)+1,20),FIND("/",MID(Sync!$AG403,FIND("/",Sync!$AG403)+1,20))+1,20))),"")))</f>
        <v/>
      </c>
      <c r="J403">
        <f>IF($F403="","",IF(OR($G403="",$H403="",$I403="",$G403&lt;1300,$G403&gt;1500,$H403&lt;1,$H403&gt;12,$I403&lt;1,$I403&gt;31),"نامعتبر",RIGHT("0000"&amp;$G403,4)&amp;"/"&amp;RIGHT("00"&amp;$H403,2)&amp;"/"&amp;RIGHT("00"&amp;$I403,2)))</f>
        <v/>
      </c>
      <c r="K403">
        <f>IF(OR($F403="",$J403="",$J403="نامعتبر"),"",LEFT($J403,4)&amp;MID($J403,6,2)&amp;RIGHT($J403,2)&amp;$N403&amp;"|"&amp;"2"&amp;RIGHT("00000"&amp;398,5))</f>
        <v/>
      </c>
      <c r="L403">
        <f>IF($K403="","",COUNTIFS(LdgPartyA,$F403,LdgKeyA,"&lt;"&amp;$K403)+COUNTIFS(LdgPartyB,$F403,LdgKeyB,"&lt;"&amp;$K403)+1)</f>
        <v/>
      </c>
      <c r="M403">
        <f>IF($L403="","",$F403&amp;"|"&amp;RIGHT("000000"&amp;$L403,6))</f>
        <v/>
      </c>
      <c r="N403">
        <f>IF($F403="","",IF(Sync!$AH403="","0000",IF(AND(ISNUMBER(Sync!$AH403),Sync!$AH403&gt;=0,Sync!$AH403&lt;1),RIGHT("00"&amp;HOUR(Sync!$AH403),2)&amp;RIGHT("00"&amp;MINUTE(Sync!$AH403),2),IFERROR(RIGHT("00"&amp;VALUE(LEFT(Sync!$AH403,FIND(":",Sync!$AH403)-1)),2)&amp;RIGHT("00"&amp;VALUE(MID(Sync!$AH403,FIND(":",Sync!$AH403)+1,2)),2),"0000"))))</f>
        <v/>
      </c>
    </row>
    <row r="404">
      <c r="A404">
        <f>IF(OR(Calc!$E407="",Calc!$E407="نامعتبر",Calc!$G407="",Calc!$I407&lt;&gt;"خرید"),"",Calc!$G407)</f>
        <v/>
      </c>
      <c r="B404">
        <f>IF($A404="","",LEFT(Calc!$E407,4)&amp;MID(Calc!$E407,6,2)&amp;RIGHT(Calc!$E407,2)&amp;Calc!$R407&amp;"|"&amp;"1"&amp;RIGHT("00000"&amp;399,5))</f>
        <v/>
      </c>
      <c r="C404">
        <f>IF($B404="","",COUNTIFS(LdgPartyA,$A404,LdgKeyA,"&lt;"&amp;$B404)+COUNTIFS(LdgPartyB,$A404,LdgKeyB,"&lt;"&amp;$B404)+1)</f>
        <v/>
      </c>
      <c r="D404">
        <f>IF($C404="","",$A404&amp;"|"&amp;RIGHT("000000"&amp;$C404,6))</f>
        <v/>
      </c>
      <c r="F404">
        <f>IF(Sync!$AJ404="","",Sync!$AJ404)</f>
        <v/>
      </c>
      <c r="G404">
        <f>IF($F404="","",IF(Sync!$AG404="","",IF(ISNUMBER(Sync!$AG404),IF(AND(Sync!$AG404&gt;=10000101,Sync!$AG404&lt;=99991231),INT(Sync!$AG404/10000),""),IFERROR(VALUE(TRIM(LEFT(Sync!$AG404,FIND("/",Sync!$AG404)-1))),""))))</f>
        <v/>
      </c>
      <c r="H404">
        <f>IF(OR($F404="",$G404=""),"",IF(ISNUMBER(Sync!$AG404),INT(MOD(Sync!$AG404,10000)/100),IFERROR(VALUE(TRIM(LEFT(MID(Sync!$AG404,FIND("/",Sync!$AG404)+1,20),FIND("/",MID(Sync!$AG404,FIND("/",Sync!$AG404)+1,20))-1))),"")))</f>
        <v/>
      </c>
      <c r="I404">
        <f>IF(OR($F404="",$G404=""),"",IF(ISNUMBER(Sync!$AG404),MOD(Sync!$AG404,100),IFERROR(VALUE(TRIM(MID(MID(Sync!$AG404,FIND("/",Sync!$AG404)+1,20),FIND("/",MID(Sync!$AG404,FIND("/",Sync!$AG404)+1,20))+1,20))),"")))</f>
        <v/>
      </c>
      <c r="J404">
        <f>IF($F404="","",IF(OR($G404="",$H404="",$I404="",$G404&lt;1300,$G404&gt;1500,$H404&lt;1,$H404&gt;12,$I404&lt;1,$I404&gt;31),"نامعتبر",RIGHT("0000"&amp;$G404,4)&amp;"/"&amp;RIGHT("00"&amp;$H404,2)&amp;"/"&amp;RIGHT("00"&amp;$I404,2)))</f>
        <v/>
      </c>
      <c r="K404">
        <f>IF(OR($F404="",$J404="",$J404="نامعتبر"),"",LEFT($J404,4)&amp;MID($J404,6,2)&amp;RIGHT($J404,2)&amp;$N404&amp;"|"&amp;"2"&amp;RIGHT("00000"&amp;399,5))</f>
        <v/>
      </c>
      <c r="L404">
        <f>IF($K404="","",COUNTIFS(LdgPartyA,$F404,LdgKeyA,"&lt;"&amp;$K404)+COUNTIFS(LdgPartyB,$F404,LdgKeyB,"&lt;"&amp;$K404)+1)</f>
        <v/>
      </c>
      <c r="M404">
        <f>IF($L404="","",$F404&amp;"|"&amp;RIGHT("000000"&amp;$L404,6))</f>
        <v/>
      </c>
      <c r="N404">
        <f>IF($F404="","",IF(Sync!$AH404="","0000",IF(AND(ISNUMBER(Sync!$AH404),Sync!$AH404&gt;=0,Sync!$AH404&lt;1),RIGHT("00"&amp;HOUR(Sync!$AH404),2)&amp;RIGHT("00"&amp;MINUTE(Sync!$AH404),2),IFERROR(RIGHT("00"&amp;VALUE(LEFT(Sync!$AH404,FIND(":",Sync!$AH404)-1)),2)&amp;RIGHT("00"&amp;VALUE(MID(Sync!$AH404,FIND(":",Sync!$AH404)+1,2)),2),"0000"))))</f>
        <v/>
      </c>
    </row>
    <row r="405">
      <c r="A405">
        <f>IF(OR(Calc!$E408="",Calc!$E408="نامعتبر",Calc!$G408="",Calc!$I408&lt;&gt;"خرید"),"",Calc!$G408)</f>
        <v/>
      </c>
      <c r="B405">
        <f>IF($A405="","",LEFT(Calc!$E408,4)&amp;MID(Calc!$E408,6,2)&amp;RIGHT(Calc!$E408,2)&amp;Calc!$R408&amp;"|"&amp;"1"&amp;RIGHT("00000"&amp;400,5))</f>
        <v/>
      </c>
      <c r="C405">
        <f>IF($B405="","",COUNTIFS(LdgPartyA,$A405,LdgKeyA,"&lt;"&amp;$B405)+COUNTIFS(LdgPartyB,$A405,LdgKeyB,"&lt;"&amp;$B405)+1)</f>
        <v/>
      </c>
      <c r="D405">
        <f>IF($C405="","",$A405&amp;"|"&amp;RIGHT("000000"&amp;$C405,6))</f>
        <v/>
      </c>
      <c r="F405">
        <f>IF(Sync!$AJ405="","",Sync!$AJ405)</f>
        <v/>
      </c>
      <c r="G405">
        <f>IF($F405="","",IF(Sync!$AG405="","",IF(ISNUMBER(Sync!$AG405),IF(AND(Sync!$AG405&gt;=10000101,Sync!$AG405&lt;=99991231),INT(Sync!$AG405/10000),""),IFERROR(VALUE(TRIM(LEFT(Sync!$AG405,FIND("/",Sync!$AG405)-1))),""))))</f>
        <v/>
      </c>
      <c r="H405">
        <f>IF(OR($F405="",$G405=""),"",IF(ISNUMBER(Sync!$AG405),INT(MOD(Sync!$AG405,10000)/100),IFERROR(VALUE(TRIM(LEFT(MID(Sync!$AG405,FIND("/",Sync!$AG405)+1,20),FIND("/",MID(Sync!$AG405,FIND("/",Sync!$AG405)+1,20))-1))),"")))</f>
        <v/>
      </c>
      <c r="I405">
        <f>IF(OR($F405="",$G405=""),"",IF(ISNUMBER(Sync!$AG405),MOD(Sync!$AG405,100),IFERROR(VALUE(TRIM(MID(MID(Sync!$AG405,FIND("/",Sync!$AG405)+1,20),FIND("/",MID(Sync!$AG405,FIND("/",Sync!$AG405)+1,20))+1,20))),"")))</f>
        <v/>
      </c>
      <c r="J405">
        <f>IF($F405="","",IF(OR($G405="",$H405="",$I405="",$G405&lt;1300,$G405&gt;1500,$H405&lt;1,$H405&gt;12,$I405&lt;1,$I405&gt;31),"نامعتبر",RIGHT("0000"&amp;$G405,4)&amp;"/"&amp;RIGHT("00"&amp;$H405,2)&amp;"/"&amp;RIGHT("00"&amp;$I405,2)))</f>
        <v/>
      </c>
      <c r="K405">
        <f>IF(OR($F405="",$J405="",$J405="نامعتبر"),"",LEFT($J405,4)&amp;MID($J405,6,2)&amp;RIGHT($J405,2)&amp;$N405&amp;"|"&amp;"2"&amp;RIGHT("00000"&amp;400,5))</f>
        <v/>
      </c>
      <c r="L405">
        <f>IF($K405="","",COUNTIFS(LdgPartyA,$F405,LdgKeyA,"&lt;"&amp;$K405)+COUNTIFS(LdgPartyB,$F405,LdgKeyB,"&lt;"&amp;$K405)+1)</f>
        <v/>
      </c>
      <c r="M405">
        <f>IF($L405="","",$F405&amp;"|"&amp;RIGHT("000000"&amp;$L405,6))</f>
        <v/>
      </c>
      <c r="N405">
        <f>IF($F405="","",IF(Sync!$AH405="","0000",IF(AND(ISNUMBER(Sync!$AH405),Sync!$AH405&gt;=0,Sync!$AH405&lt;1),RIGHT("00"&amp;HOUR(Sync!$AH405),2)&amp;RIGHT("00"&amp;MINUTE(Sync!$AH405),2),IFERROR(RIGHT("00"&amp;VALUE(LEFT(Sync!$AH405,FIND(":",Sync!$AH405)-1)),2)&amp;RIGHT("00"&amp;VALUE(MID(Sync!$AH405,FIND(":",Sync!$AH405)+1,2)),2),"0000"))))</f>
        <v/>
      </c>
    </row>
    <row r="406">
      <c r="A406">
        <f>IF(OR(Calc!$E409="",Calc!$E409="نامعتبر",Calc!$G409="",Calc!$I409&lt;&gt;"خرید"),"",Calc!$G409)</f>
        <v/>
      </c>
      <c r="B406">
        <f>IF($A406="","",LEFT(Calc!$E409,4)&amp;MID(Calc!$E409,6,2)&amp;RIGHT(Calc!$E409,2)&amp;Calc!$R409&amp;"|"&amp;"1"&amp;RIGHT("00000"&amp;401,5))</f>
        <v/>
      </c>
      <c r="C406">
        <f>IF($B406="","",COUNTIFS(LdgPartyA,$A406,LdgKeyA,"&lt;"&amp;$B406)+COUNTIFS(LdgPartyB,$A406,LdgKeyB,"&lt;"&amp;$B406)+1)</f>
        <v/>
      </c>
      <c r="D406">
        <f>IF($C406="","",$A406&amp;"|"&amp;RIGHT("000000"&amp;$C406,6))</f>
        <v/>
      </c>
      <c r="F406">
        <f>IF(Sync!$AJ406="","",Sync!$AJ406)</f>
        <v/>
      </c>
      <c r="G406">
        <f>IF($F406="","",IF(Sync!$AG406="","",IF(ISNUMBER(Sync!$AG406),IF(AND(Sync!$AG406&gt;=10000101,Sync!$AG406&lt;=99991231),INT(Sync!$AG406/10000),""),IFERROR(VALUE(TRIM(LEFT(Sync!$AG406,FIND("/",Sync!$AG406)-1))),""))))</f>
        <v/>
      </c>
      <c r="H406">
        <f>IF(OR($F406="",$G406=""),"",IF(ISNUMBER(Sync!$AG406),INT(MOD(Sync!$AG406,10000)/100),IFERROR(VALUE(TRIM(LEFT(MID(Sync!$AG406,FIND("/",Sync!$AG406)+1,20),FIND("/",MID(Sync!$AG406,FIND("/",Sync!$AG406)+1,20))-1))),"")))</f>
        <v/>
      </c>
      <c r="I406">
        <f>IF(OR($F406="",$G406=""),"",IF(ISNUMBER(Sync!$AG406),MOD(Sync!$AG406,100),IFERROR(VALUE(TRIM(MID(MID(Sync!$AG406,FIND("/",Sync!$AG406)+1,20),FIND("/",MID(Sync!$AG406,FIND("/",Sync!$AG406)+1,20))+1,20))),"")))</f>
        <v/>
      </c>
      <c r="J406">
        <f>IF($F406="","",IF(OR($G406="",$H406="",$I406="",$G406&lt;1300,$G406&gt;1500,$H406&lt;1,$H406&gt;12,$I406&lt;1,$I406&gt;31),"نامعتبر",RIGHT("0000"&amp;$G406,4)&amp;"/"&amp;RIGHT("00"&amp;$H406,2)&amp;"/"&amp;RIGHT("00"&amp;$I406,2)))</f>
        <v/>
      </c>
      <c r="K406">
        <f>IF(OR($F406="",$J406="",$J406="نامعتبر"),"",LEFT($J406,4)&amp;MID($J406,6,2)&amp;RIGHT($J406,2)&amp;$N406&amp;"|"&amp;"2"&amp;RIGHT("00000"&amp;401,5))</f>
        <v/>
      </c>
      <c r="L406">
        <f>IF($K406="","",COUNTIFS(LdgPartyA,$F406,LdgKeyA,"&lt;"&amp;$K406)+COUNTIFS(LdgPartyB,$F406,LdgKeyB,"&lt;"&amp;$K406)+1)</f>
        <v/>
      </c>
      <c r="M406">
        <f>IF($L406="","",$F406&amp;"|"&amp;RIGHT("000000"&amp;$L406,6))</f>
        <v/>
      </c>
      <c r="N406">
        <f>IF($F406="","",IF(Sync!$AH406="","0000",IF(AND(ISNUMBER(Sync!$AH406),Sync!$AH406&gt;=0,Sync!$AH406&lt;1),RIGHT("00"&amp;HOUR(Sync!$AH406),2)&amp;RIGHT("00"&amp;MINUTE(Sync!$AH406),2),IFERROR(RIGHT("00"&amp;VALUE(LEFT(Sync!$AH406,FIND(":",Sync!$AH406)-1)),2)&amp;RIGHT("00"&amp;VALUE(MID(Sync!$AH406,FIND(":",Sync!$AH406)+1,2)),2),"0000"))))</f>
        <v/>
      </c>
    </row>
    <row r="407">
      <c r="A407">
        <f>IF(OR(Calc!$E410="",Calc!$E410="نامعتبر",Calc!$G410="",Calc!$I410&lt;&gt;"خرید"),"",Calc!$G410)</f>
        <v/>
      </c>
      <c r="B407">
        <f>IF($A407="","",LEFT(Calc!$E410,4)&amp;MID(Calc!$E410,6,2)&amp;RIGHT(Calc!$E410,2)&amp;Calc!$R410&amp;"|"&amp;"1"&amp;RIGHT("00000"&amp;402,5))</f>
        <v/>
      </c>
      <c r="C407">
        <f>IF($B407="","",COUNTIFS(LdgPartyA,$A407,LdgKeyA,"&lt;"&amp;$B407)+COUNTIFS(LdgPartyB,$A407,LdgKeyB,"&lt;"&amp;$B407)+1)</f>
        <v/>
      </c>
      <c r="D407">
        <f>IF($C407="","",$A407&amp;"|"&amp;RIGHT("000000"&amp;$C407,6))</f>
        <v/>
      </c>
      <c r="F407">
        <f>IF(Sync!$AJ407="","",Sync!$AJ407)</f>
        <v/>
      </c>
      <c r="G407">
        <f>IF($F407="","",IF(Sync!$AG407="","",IF(ISNUMBER(Sync!$AG407),IF(AND(Sync!$AG407&gt;=10000101,Sync!$AG407&lt;=99991231),INT(Sync!$AG407/10000),""),IFERROR(VALUE(TRIM(LEFT(Sync!$AG407,FIND("/",Sync!$AG407)-1))),""))))</f>
        <v/>
      </c>
      <c r="H407">
        <f>IF(OR($F407="",$G407=""),"",IF(ISNUMBER(Sync!$AG407),INT(MOD(Sync!$AG407,10000)/100),IFERROR(VALUE(TRIM(LEFT(MID(Sync!$AG407,FIND("/",Sync!$AG407)+1,20),FIND("/",MID(Sync!$AG407,FIND("/",Sync!$AG407)+1,20))-1))),"")))</f>
        <v/>
      </c>
      <c r="I407">
        <f>IF(OR($F407="",$G407=""),"",IF(ISNUMBER(Sync!$AG407),MOD(Sync!$AG407,100),IFERROR(VALUE(TRIM(MID(MID(Sync!$AG407,FIND("/",Sync!$AG407)+1,20),FIND("/",MID(Sync!$AG407,FIND("/",Sync!$AG407)+1,20))+1,20))),"")))</f>
        <v/>
      </c>
      <c r="J407">
        <f>IF($F407="","",IF(OR($G407="",$H407="",$I407="",$G407&lt;1300,$G407&gt;1500,$H407&lt;1,$H407&gt;12,$I407&lt;1,$I407&gt;31),"نامعتبر",RIGHT("0000"&amp;$G407,4)&amp;"/"&amp;RIGHT("00"&amp;$H407,2)&amp;"/"&amp;RIGHT("00"&amp;$I407,2)))</f>
        <v/>
      </c>
      <c r="K407">
        <f>IF(OR($F407="",$J407="",$J407="نامعتبر"),"",LEFT($J407,4)&amp;MID($J407,6,2)&amp;RIGHT($J407,2)&amp;$N407&amp;"|"&amp;"2"&amp;RIGHT("00000"&amp;402,5))</f>
        <v/>
      </c>
      <c r="L407">
        <f>IF($K407="","",COUNTIFS(LdgPartyA,$F407,LdgKeyA,"&lt;"&amp;$K407)+COUNTIFS(LdgPartyB,$F407,LdgKeyB,"&lt;"&amp;$K407)+1)</f>
        <v/>
      </c>
      <c r="M407">
        <f>IF($L407="","",$F407&amp;"|"&amp;RIGHT("000000"&amp;$L407,6))</f>
        <v/>
      </c>
      <c r="N407">
        <f>IF($F407="","",IF(Sync!$AH407="","0000",IF(AND(ISNUMBER(Sync!$AH407),Sync!$AH407&gt;=0,Sync!$AH407&lt;1),RIGHT("00"&amp;HOUR(Sync!$AH407),2)&amp;RIGHT("00"&amp;MINUTE(Sync!$AH407),2),IFERROR(RIGHT("00"&amp;VALUE(LEFT(Sync!$AH407,FIND(":",Sync!$AH407)-1)),2)&amp;RIGHT("00"&amp;VALUE(MID(Sync!$AH407,FIND(":",Sync!$AH407)+1,2)),2),"0000"))))</f>
        <v/>
      </c>
    </row>
    <row r="408">
      <c r="A408">
        <f>IF(OR(Calc!$E411="",Calc!$E411="نامعتبر",Calc!$G411="",Calc!$I411&lt;&gt;"خرید"),"",Calc!$G411)</f>
        <v/>
      </c>
      <c r="B408">
        <f>IF($A408="","",LEFT(Calc!$E411,4)&amp;MID(Calc!$E411,6,2)&amp;RIGHT(Calc!$E411,2)&amp;Calc!$R411&amp;"|"&amp;"1"&amp;RIGHT("00000"&amp;403,5))</f>
        <v/>
      </c>
      <c r="C408">
        <f>IF($B408="","",COUNTIFS(LdgPartyA,$A408,LdgKeyA,"&lt;"&amp;$B408)+COUNTIFS(LdgPartyB,$A408,LdgKeyB,"&lt;"&amp;$B408)+1)</f>
        <v/>
      </c>
      <c r="D408">
        <f>IF($C408="","",$A408&amp;"|"&amp;RIGHT("000000"&amp;$C408,6))</f>
        <v/>
      </c>
      <c r="F408">
        <f>IF(Sync!$AJ408="","",Sync!$AJ408)</f>
        <v/>
      </c>
      <c r="G408">
        <f>IF($F408="","",IF(Sync!$AG408="","",IF(ISNUMBER(Sync!$AG408),IF(AND(Sync!$AG408&gt;=10000101,Sync!$AG408&lt;=99991231),INT(Sync!$AG408/10000),""),IFERROR(VALUE(TRIM(LEFT(Sync!$AG408,FIND("/",Sync!$AG408)-1))),""))))</f>
        <v/>
      </c>
      <c r="H408">
        <f>IF(OR($F408="",$G408=""),"",IF(ISNUMBER(Sync!$AG408),INT(MOD(Sync!$AG408,10000)/100),IFERROR(VALUE(TRIM(LEFT(MID(Sync!$AG408,FIND("/",Sync!$AG408)+1,20),FIND("/",MID(Sync!$AG408,FIND("/",Sync!$AG408)+1,20))-1))),"")))</f>
        <v/>
      </c>
      <c r="I408">
        <f>IF(OR($F408="",$G408=""),"",IF(ISNUMBER(Sync!$AG408),MOD(Sync!$AG408,100),IFERROR(VALUE(TRIM(MID(MID(Sync!$AG408,FIND("/",Sync!$AG408)+1,20),FIND("/",MID(Sync!$AG408,FIND("/",Sync!$AG408)+1,20))+1,20))),"")))</f>
        <v/>
      </c>
      <c r="J408">
        <f>IF($F408="","",IF(OR($G408="",$H408="",$I408="",$G408&lt;1300,$G408&gt;1500,$H408&lt;1,$H408&gt;12,$I408&lt;1,$I408&gt;31),"نامعتبر",RIGHT("0000"&amp;$G408,4)&amp;"/"&amp;RIGHT("00"&amp;$H408,2)&amp;"/"&amp;RIGHT("00"&amp;$I408,2)))</f>
        <v/>
      </c>
      <c r="K408">
        <f>IF(OR($F408="",$J408="",$J408="نامعتبر"),"",LEFT($J408,4)&amp;MID($J408,6,2)&amp;RIGHT($J408,2)&amp;$N408&amp;"|"&amp;"2"&amp;RIGHT("00000"&amp;403,5))</f>
        <v/>
      </c>
      <c r="L408">
        <f>IF($K408="","",COUNTIFS(LdgPartyA,$F408,LdgKeyA,"&lt;"&amp;$K408)+COUNTIFS(LdgPartyB,$F408,LdgKeyB,"&lt;"&amp;$K408)+1)</f>
        <v/>
      </c>
      <c r="M408">
        <f>IF($L408="","",$F408&amp;"|"&amp;RIGHT("000000"&amp;$L408,6))</f>
        <v/>
      </c>
      <c r="N408">
        <f>IF($F408="","",IF(Sync!$AH408="","0000",IF(AND(ISNUMBER(Sync!$AH408),Sync!$AH408&gt;=0,Sync!$AH408&lt;1),RIGHT("00"&amp;HOUR(Sync!$AH408),2)&amp;RIGHT("00"&amp;MINUTE(Sync!$AH408),2),IFERROR(RIGHT("00"&amp;VALUE(LEFT(Sync!$AH408,FIND(":",Sync!$AH408)-1)),2)&amp;RIGHT("00"&amp;VALUE(MID(Sync!$AH408,FIND(":",Sync!$AH408)+1,2)),2),"0000"))))</f>
        <v/>
      </c>
    </row>
    <row r="409">
      <c r="A409">
        <f>IF(OR(Calc!$E412="",Calc!$E412="نامعتبر",Calc!$G412="",Calc!$I412&lt;&gt;"خرید"),"",Calc!$G412)</f>
        <v/>
      </c>
      <c r="B409">
        <f>IF($A409="","",LEFT(Calc!$E412,4)&amp;MID(Calc!$E412,6,2)&amp;RIGHT(Calc!$E412,2)&amp;Calc!$R412&amp;"|"&amp;"1"&amp;RIGHT("00000"&amp;404,5))</f>
        <v/>
      </c>
      <c r="C409">
        <f>IF($B409="","",COUNTIFS(LdgPartyA,$A409,LdgKeyA,"&lt;"&amp;$B409)+COUNTIFS(LdgPartyB,$A409,LdgKeyB,"&lt;"&amp;$B409)+1)</f>
        <v/>
      </c>
      <c r="D409">
        <f>IF($C409="","",$A409&amp;"|"&amp;RIGHT("000000"&amp;$C409,6))</f>
        <v/>
      </c>
      <c r="F409">
        <f>IF(Sync!$AJ409="","",Sync!$AJ409)</f>
        <v/>
      </c>
      <c r="G409">
        <f>IF($F409="","",IF(Sync!$AG409="","",IF(ISNUMBER(Sync!$AG409),IF(AND(Sync!$AG409&gt;=10000101,Sync!$AG409&lt;=99991231),INT(Sync!$AG409/10000),""),IFERROR(VALUE(TRIM(LEFT(Sync!$AG409,FIND("/",Sync!$AG409)-1))),""))))</f>
        <v/>
      </c>
      <c r="H409">
        <f>IF(OR($F409="",$G409=""),"",IF(ISNUMBER(Sync!$AG409),INT(MOD(Sync!$AG409,10000)/100),IFERROR(VALUE(TRIM(LEFT(MID(Sync!$AG409,FIND("/",Sync!$AG409)+1,20),FIND("/",MID(Sync!$AG409,FIND("/",Sync!$AG409)+1,20))-1))),"")))</f>
        <v/>
      </c>
      <c r="I409">
        <f>IF(OR($F409="",$G409=""),"",IF(ISNUMBER(Sync!$AG409),MOD(Sync!$AG409,100),IFERROR(VALUE(TRIM(MID(MID(Sync!$AG409,FIND("/",Sync!$AG409)+1,20),FIND("/",MID(Sync!$AG409,FIND("/",Sync!$AG409)+1,20))+1,20))),"")))</f>
        <v/>
      </c>
      <c r="J409">
        <f>IF($F409="","",IF(OR($G409="",$H409="",$I409="",$G409&lt;1300,$G409&gt;1500,$H409&lt;1,$H409&gt;12,$I409&lt;1,$I409&gt;31),"نامعتبر",RIGHT("0000"&amp;$G409,4)&amp;"/"&amp;RIGHT("00"&amp;$H409,2)&amp;"/"&amp;RIGHT("00"&amp;$I409,2)))</f>
        <v/>
      </c>
      <c r="K409">
        <f>IF(OR($F409="",$J409="",$J409="نامعتبر"),"",LEFT($J409,4)&amp;MID($J409,6,2)&amp;RIGHT($J409,2)&amp;$N409&amp;"|"&amp;"2"&amp;RIGHT("00000"&amp;404,5))</f>
        <v/>
      </c>
      <c r="L409">
        <f>IF($K409="","",COUNTIFS(LdgPartyA,$F409,LdgKeyA,"&lt;"&amp;$K409)+COUNTIFS(LdgPartyB,$F409,LdgKeyB,"&lt;"&amp;$K409)+1)</f>
        <v/>
      </c>
      <c r="M409">
        <f>IF($L409="","",$F409&amp;"|"&amp;RIGHT("000000"&amp;$L409,6))</f>
        <v/>
      </c>
      <c r="N409">
        <f>IF($F409="","",IF(Sync!$AH409="","0000",IF(AND(ISNUMBER(Sync!$AH409),Sync!$AH409&gt;=0,Sync!$AH409&lt;1),RIGHT("00"&amp;HOUR(Sync!$AH409),2)&amp;RIGHT("00"&amp;MINUTE(Sync!$AH409),2),IFERROR(RIGHT("00"&amp;VALUE(LEFT(Sync!$AH409,FIND(":",Sync!$AH409)-1)),2)&amp;RIGHT("00"&amp;VALUE(MID(Sync!$AH409,FIND(":",Sync!$AH409)+1,2)),2),"0000"))))</f>
        <v/>
      </c>
    </row>
    <row r="410">
      <c r="A410">
        <f>IF(OR(Calc!$E413="",Calc!$E413="نامعتبر",Calc!$G413="",Calc!$I413&lt;&gt;"خرید"),"",Calc!$G413)</f>
        <v/>
      </c>
      <c r="B410">
        <f>IF($A410="","",LEFT(Calc!$E413,4)&amp;MID(Calc!$E413,6,2)&amp;RIGHT(Calc!$E413,2)&amp;Calc!$R413&amp;"|"&amp;"1"&amp;RIGHT("00000"&amp;405,5))</f>
        <v/>
      </c>
      <c r="C410">
        <f>IF($B410="","",COUNTIFS(LdgPartyA,$A410,LdgKeyA,"&lt;"&amp;$B410)+COUNTIFS(LdgPartyB,$A410,LdgKeyB,"&lt;"&amp;$B410)+1)</f>
        <v/>
      </c>
      <c r="D410">
        <f>IF($C410="","",$A410&amp;"|"&amp;RIGHT("000000"&amp;$C410,6))</f>
        <v/>
      </c>
      <c r="F410">
        <f>IF(Sync!$AJ410="","",Sync!$AJ410)</f>
        <v/>
      </c>
      <c r="G410">
        <f>IF($F410="","",IF(Sync!$AG410="","",IF(ISNUMBER(Sync!$AG410),IF(AND(Sync!$AG410&gt;=10000101,Sync!$AG410&lt;=99991231),INT(Sync!$AG410/10000),""),IFERROR(VALUE(TRIM(LEFT(Sync!$AG410,FIND("/",Sync!$AG410)-1))),""))))</f>
        <v/>
      </c>
      <c r="H410">
        <f>IF(OR($F410="",$G410=""),"",IF(ISNUMBER(Sync!$AG410),INT(MOD(Sync!$AG410,10000)/100),IFERROR(VALUE(TRIM(LEFT(MID(Sync!$AG410,FIND("/",Sync!$AG410)+1,20),FIND("/",MID(Sync!$AG410,FIND("/",Sync!$AG410)+1,20))-1))),"")))</f>
        <v/>
      </c>
      <c r="I410">
        <f>IF(OR($F410="",$G410=""),"",IF(ISNUMBER(Sync!$AG410),MOD(Sync!$AG410,100),IFERROR(VALUE(TRIM(MID(MID(Sync!$AG410,FIND("/",Sync!$AG410)+1,20),FIND("/",MID(Sync!$AG410,FIND("/",Sync!$AG410)+1,20))+1,20))),"")))</f>
        <v/>
      </c>
      <c r="J410">
        <f>IF($F410="","",IF(OR($G410="",$H410="",$I410="",$G410&lt;1300,$G410&gt;1500,$H410&lt;1,$H410&gt;12,$I410&lt;1,$I410&gt;31),"نامعتبر",RIGHT("0000"&amp;$G410,4)&amp;"/"&amp;RIGHT("00"&amp;$H410,2)&amp;"/"&amp;RIGHT("00"&amp;$I410,2)))</f>
        <v/>
      </c>
      <c r="K410">
        <f>IF(OR($F410="",$J410="",$J410="نامعتبر"),"",LEFT($J410,4)&amp;MID($J410,6,2)&amp;RIGHT($J410,2)&amp;$N410&amp;"|"&amp;"2"&amp;RIGHT("00000"&amp;405,5))</f>
        <v/>
      </c>
      <c r="L410">
        <f>IF($K410="","",COUNTIFS(LdgPartyA,$F410,LdgKeyA,"&lt;"&amp;$K410)+COUNTIFS(LdgPartyB,$F410,LdgKeyB,"&lt;"&amp;$K410)+1)</f>
        <v/>
      </c>
      <c r="M410">
        <f>IF($L410="","",$F410&amp;"|"&amp;RIGHT("000000"&amp;$L410,6))</f>
        <v/>
      </c>
      <c r="N410">
        <f>IF($F410="","",IF(Sync!$AH410="","0000",IF(AND(ISNUMBER(Sync!$AH410),Sync!$AH410&gt;=0,Sync!$AH410&lt;1),RIGHT("00"&amp;HOUR(Sync!$AH410),2)&amp;RIGHT("00"&amp;MINUTE(Sync!$AH410),2),IFERROR(RIGHT("00"&amp;VALUE(LEFT(Sync!$AH410,FIND(":",Sync!$AH410)-1)),2)&amp;RIGHT("00"&amp;VALUE(MID(Sync!$AH410,FIND(":",Sync!$AH410)+1,2)),2),"0000"))))</f>
        <v/>
      </c>
    </row>
    <row r="411">
      <c r="A411">
        <f>IF(OR(Calc!$E414="",Calc!$E414="نامعتبر",Calc!$G414="",Calc!$I414&lt;&gt;"خرید"),"",Calc!$G414)</f>
        <v/>
      </c>
      <c r="B411">
        <f>IF($A411="","",LEFT(Calc!$E414,4)&amp;MID(Calc!$E414,6,2)&amp;RIGHT(Calc!$E414,2)&amp;Calc!$R414&amp;"|"&amp;"1"&amp;RIGHT("00000"&amp;406,5))</f>
        <v/>
      </c>
      <c r="C411">
        <f>IF($B411="","",COUNTIFS(LdgPartyA,$A411,LdgKeyA,"&lt;"&amp;$B411)+COUNTIFS(LdgPartyB,$A411,LdgKeyB,"&lt;"&amp;$B411)+1)</f>
        <v/>
      </c>
      <c r="D411">
        <f>IF($C411="","",$A411&amp;"|"&amp;RIGHT("000000"&amp;$C411,6))</f>
        <v/>
      </c>
      <c r="F411">
        <f>IF(Sync!$AJ411="","",Sync!$AJ411)</f>
        <v/>
      </c>
      <c r="G411">
        <f>IF($F411="","",IF(Sync!$AG411="","",IF(ISNUMBER(Sync!$AG411),IF(AND(Sync!$AG411&gt;=10000101,Sync!$AG411&lt;=99991231),INT(Sync!$AG411/10000),""),IFERROR(VALUE(TRIM(LEFT(Sync!$AG411,FIND("/",Sync!$AG411)-1))),""))))</f>
        <v/>
      </c>
      <c r="H411">
        <f>IF(OR($F411="",$G411=""),"",IF(ISNUMBER(Sync!$AG411),INT(MOD(Sync!$AG411,10000)/100),IFERROR(VALUE(TRIM(LEFT(MID(Sync!$AG411,FIND("/",Sync!$AG411)+1,20),FIND("/",MID(Sync!$AG411,FIND("/",Sync!$AG411)+1,20))-1))),"")))</f>
        <v/>
      </c>
      <c r="I411">
        <f>IF(OR($F411="",$G411=""),"",IF(ISNUMBER(Sync!$AG411),MOD(Sync!$AG411,100),IFERROR(VALUE(TRIM(MID(MID(Sync!$AG411,FIND("/",Sync!$AG411)+1,20),FIND("/",MID(Sync!$AG411,FIND("/",Sync!$AG411)+1,20))+1,20))),"")))</f>
        <v/>
      </c>
      <c r="J411">
        <f>IF($F411="","",IF(OR($G411="",$H411="",$I411="",$G411&lt;1300,$G411&gt;1500,$H411&lt;1,$H411&gt;12,$I411&lt;1,$I411&gt;31),"نامعتبر",RIGHT("0000"&amp;$G411,4)&amp;"/"&amp;RIGHT("00"&amp;$H411,2)&amp;"/"&amp;RIGHT("00"&amp;$I411,2)))</f>
        <v/>
      </c>
      <c r="K411">
        <f>IF(OR($F411="",$J411="",$J411="نامعتبر"),"",LEFT($J411,4)&amp;MID($J411,6,2)&amp;RIGHT($J411,2)&amp;$N411&amp;"|"&amp;"2"&amp;RIGHT("00000"&amp;406,5))</f>
        <v/>
      </c>
      <c r="L411">
        <f>IF($K411="","",COUNTIFS(LdgPartyA,$F411,LdgKeyA,"&lt;"&amp;$K411)+COUNTIFS(LdgPartyB,$F411,LdgKeyB,"&lt;"&amp;$K411)+1)</f>
        <v/>
      </c>
      <c r="M411">
        <f>IF($L411="","",$F411&amp;"|"&amp;RIGHT("000000"&amp;$L411,6))</f>
        <v/>
      </c>
      <c r="N411">
        <f>IF($F411="","",IF(Sync!$AH411="","0000",IF(AND(ISNUMBER(Sync!$AH411),Sync!$AH411&gt;=0,Sync!$AH411&lt;1),RIGHT("00"&amp;HOUR(Sync!$AH411),2)&amp;RIGHT("00"&amp;MINUTE(Sync!$AH411),2),IFERROR(RIGHT("00"&amp;VALUE(LEFT(Sync!$AH411,FIND(":",Sync!$AH411)-1)),2)&amp;RIGHT("00"&amp;VALUE(MID(Sync!$AH411,FIND(":",Sync!$AH411)+1,2)),2),"0000"))))</f>
        <v/>
      </c>
    </row>
    <row r="412">
      <c r="A412">
        <f>IF(OR(Calc!$E415="",Calc!$E415="نامعتبر",Calc!$G415="",Calc!$I415&lt;&gt;"خرید"),"",Calc!$G415)</f>
        <v/>
      </c>
      <c r="B412">
        <f>IF($A412="","",LEFT(Calc!$E415,4)&amp;MID(Calc!$E415,6,2)&amp;RIGHT(Calc!$E415,2)&amp;Calc!$R415&amp;"|"&amp;"1"&amp;RIGHT("00000"&amp;407,5))</f>
        <v/>
      </c>
      <c r="C412">
        <f>IF($B412="","",COUNTIFS(LdgPartyA,$A412,LdgKeyA,"&lt;"&amp;$B412)+COUNTIFS(LdgPartyB,$A412,LdgKeyB,"&lt;"&amp;$B412)+1)</f>
        <v/>
      </c>
      <c r="D412">
        <f>IF($C412="","",$A412&amp;"|"&amp;RIGHT("000000"&amp;$C412,6))</f>
        <v/>
      </c>
      <c r="F412">
        <f>IF(Sync!$AJ412="","",Sync!$AJ412)</f>
        <v/>
      </c>
      <c r="G412">
        <f>IF($F412="","",IF(Sync!$AG412="","",IF(ISNUMBER(Sync!$AG412),IF(AND(Sync!$AG412&gt;=10000101,Sync!$AG412&lt;=99991231),INT(Sync!$AG412/10000),""),IFERROR(VALUE(TRIM(LEFT(Sync!$AG412,FIND("/",Sync!$AG412)-1))),""))))</f>
        <v/>
      </c>
      <c r="H412">
        <f>IF(OR($F412="",$G412=""),"",IF(ISNUMBER(Sync!$AG412),INT(MOD(Sync!$AG412,10000)/100),IFERROR(VALUE(TRIM(LEFT(MID(Sync!$AG412,FIND("/",Sync!$AG412)+1,20),FIND("/",MID(Sync!$AG412,FIND("/",Sync!$AG412)+1,20))-1))),"")))</f>
        <v/>
      </c>
      <c r="I412">
        <f>IF(OR($F412="",$G412=""),"",IF(ISNUMBER(Sync!$AG412),MOD(Sync!$AG412,100),IFERROR(VALUE(TRIM(MID(MID(Sync!$AG412,FIND("/",Sync!$AG412)+1,20),FIND("/",MID(Sync!$AG412,FIND("/",Sync!$AG412)+1,20))+1,20))),"")))</f>
        <v/>
      </c>
      <c r="J412">
        <f>IF($F412="","",IF(OR($G412="",$H412="",$I412="",$G412&lt;1300,$G412&gt;1500,$H412&lt;1,$H412&gt;12,$I412&lt;1,$I412&gt;31),"نامعتبر",RIGHT("0000"&amp;$G412,4)&amp;"/"&amp;RIGHT("00"&amp;$H412,2)&amp;"/"&amp;RIGHT("00"&amp;$I412,2)))</f>
        <v/>
      </c>
      <c r="K412">
        <f>IF(OR($F412="",$J412="",$J412="نامعتبر"),"",LEFT($J412,4)&amp;MID($J412,6,2)&amp;RIGHT($J412,2)&amp;$N412&amp;"|"&amp;"2"&amp;RIGHT("00000"&amp;407,5))</f>
        <v/>
      </c>
      <c r="L412">
        <f>IF($K412="","",COUNTIFS(LdgPartyA,$F412,LdgKeyA,"&lt;"&amp;$K412)+COUNTIFS(LdgPartyB,$F412,LdgKeyB,"&lt;"&amp;$K412)+1)</f>
        <v/>
      </c>
      <c r="M412">
        <f>IF($L412="","",$F412&amp;"|"&amp;RIGHT("000000"&amp;$L412,6))</f>
        <v/>
      </c>
      <c r="N412">
        <f>IF($F412="","",IF(Sync!$AH412="","0000",IF(AND(ISNUMBER(Sync!$AH412),Sync!$AH412&gt;=0,Sync!$AH412&lt;1),RIGHT("00"&amp;HOUR(Sync!$AH412),2)&amp;RIGHT("00"&amp;MINUTE(Sync!$AH412),2),IFERROR(RIGHT("00"&amp;VALUE(LEFT(Sync!$AH412,FIND(":",Sync!$AH412)-1)),2)&amp;RIGHT("00"&amp;VALUE(MID(Sync!$AH412,FIND(":",Sync!$AH412)+1,2)),2),"0000"))))</f>
        <v/>
      </c>
    </row>
    <row r="413">
      <c r="A413">
        <f>IF(OR(Calc!$E416="",Calc!$E416="نامعتبر",Calc!$G416="",Calc!$I416&lt;&gt;"خرید"),"",Calc!$G416)</f>
        <v/>
      </c>
      <c r="B413">
        <f>IF($A413="","",LEFT(Calc!$E416,4)&amp;MID(Calc!$E416,6,2)&amp;RIGHT(Calc!$E416,2)&amp;Calc!$R416&amp;"|"&amp;"1"&amp;RIGHT("00000"&amp;408,5))</f>
        <v/>
      </c>
      <c r="C413">
        <f>IF($B413="","",COUNTIFS(LdgPartyA,$A413,LdgKeyA,"&lt;"&amp;$B413)+COUNTIFS(LdgPartyB,$A413,LdgKeyB,"&lt;"&amp;$B413)+1)</f>
        <v/>
      </c>
      <c r="D413">
        <f>IF($C413="","",$A413&amp;"|"&amp;RIGHT("000000"&amp;$C413,6))</f>
        <v/>
      </c>
      <c r="F413">
        <f>IF(Sync!$AJ413="","",Sync!$AJ413)</f>
        <v/>
      </c>
      <c r="G413">
        <f>IF($F413="","",IF(Sync!$AG413="","",IF(ISNUMBER(Sync!$AG413),IF(AND(Sync!$AG413&gt;=10000101,Sync!$AG413&lt;=99991231),INT(Sync!$AG413/10000),""),IFERROR(VALUE(TRIM(LEFT(Sync!$AG413,FIND("/",Sync!$AG413)-1))),""))))</f>
        <v/>
      </c>
      <c r="H413">
        <f>IF(OR($F413="",$G413=""),"",IF(ISNUMBER(Sync!$AG413),INT(MOD(Sync!$AG413,10000)/100),IFERROR(VALUE(TRIM(LEFT(MID(Sync!$AG413,FIND("/",Sync!$AG413)+1,20),FIND("/",MID(Sync!$AG413,FIND("/",Sync!$AG413)+1,20))-1))),"")))</f>
        <v/>
      </c>
      <c r="I413">
        <f>IF(OR($F413="",$G413=""),"",IF(ISNUMBER(Sync!$AG413),MOD(Sync!$AG413,100),IFERROR(VALUE(TRIM(MID(MID(Sync!$AG413,FIND("/",Sync!$AG413)+1,20),FIND("/",MID(Sync!$AG413,FIND("/",Sync!$AG413)+1,20))+1,20))),"")))</f>
        <v/>
      </c>
      <c r="J413">
        <f>IF($F413="","",IF(OR($G413="",$H413="",$I413="",$G413&lt;1300,$G413&gt;1500,$H413&lt;1,$H413&gt;12,$I413&lt;1,$I413&gt;31),"نامعتبر",RIGHT("0000"&amp;$G413,4)&amp;"/"&amp;RIGHT("00"&amp;$H413,2)&amp;"/"&amp;RIGHT("00"&amp;$I413,2)))</f>
        <v/>
      </c>
      <c r="K413">
        <f>IF(OR($F413="",$J413="",$J413="نامعتبر"),"",LEFT($J413,4)&amp;MID($J413,6,2)&amp;RIGHT($J413,2)&amp;$N413&amp;"|"&amp;"2"&amp;RIGHT("00000"&amp;408,5))</f>
        <v/>
      </c>
      <c r="L413">
        <f>IF($K413="","",COUNTIFS(LdgPartyA,$F413,LdgKeyA,"&lt;"&amp;$K413)+COUNTIFS(LdgPartyB,$F413,LdgKeyB,"&lt;"&amp;$K413)+1)</f>
        <v/>
      </c>
      <c r="M413">
        <f>IF($L413="","",$F413&amp;"|"&amp;RIGHT("000000"&amp;$L413,6))</f>
        <v/>
      </c>
      <c r="N413">
        <f>IF($F413="","",IF(Sync!$AH413="","0000",IF(AND(ISNUMBER(Sync!$AH413),Sync!$AH413&gt;=0,Sync!$AH413&lt;1),RIGHT("00"&amp;HOUR(Sync!$AH413),2)&amp;RIGHT("00"&amp;MINUTE(Sync!$AH413),2),IFERROR(RIGHT("00"&amp;VALUE(LEFT(Sync!$AH413,FIND(":",Sync!$AH413)-1)),2)&amp;RIGHT("00"&amp;VALUE(MID(Sync!$AH413,FIND(":",Sync!$AH413)+1,2)),2),"0000"))))</f>
        <v/>
      </c>
    </row>
    <row r="414">
      <c r="A414">
        <f>IF(OR(Calc!$E417="",Calc!$E417="نامعتبر",Calc!$G417="",Calc!$I417&lt;&gt;"خرید"),"",Calc!$G417)</f>
        <v/>
      </c>
      <c r="B414">
        <f>IF($A414="","",LEFT(Calc!$E417,4)&amp;MID(Calc!$E417,6,2)&amp;RIGHT(Calc!$E417,2)&amp;Calc!$R417&amp;"|"&amp;"1"&amp;RIGHT("00000"&amp;409,5))</f>
        <v/>
      </c>
      <c r="C414">
        <f>IF($B414="","",COUNTIFS(LdgPartyA,$A414,LdgKeyA,"&lt;"&amp;$B414)+COUNTIFS(LdgPartyB,$A414,LdgKeyB,"&lt;"&amp;$B414)+1)</f>
        <v/>
      </c>
      <c r="D414">
        <f>IF($C414="","",$A414&amp;"|"&amp;RIGHT("000000"&amp;$C414,6))</f>
        <v/>
      </c>
      <c r="F414">
        <f>IF(Sync!$AJ414="","",Sync!$AJ414)</f>
        <v/>
      </c>
      <c r="G414">
        <f>IF($F414="","",IF(Sync!$AG414="","",IF(ISNUMBER(Sync!$AG414),IF(AND(Sync!$AG414&gt;=10000101,Sync!$AG414&lt;=99991231),INT(Sync!$AG414/10000),""),IFERROR(VALUE(TRIM(LEFT(Sync!$AG414,FIND("/",Sync!$AG414)-1))),""))))</f>
        <v/>
      </c>
      <c r="H414">
        <f>IF(OR($F414="",$G414=""),"",IF(ISNUMBER(Sync!$AG414),INT(MOD(Sync!$AG414,10000)/100),IFERROR(VALUE(TRIM(LEFT(MID(Sync!$AG414,FIND("/",Sync!$AG414)+1,20),FIND("/",MID(Sync!$AG414,FIND("/",Sync!$AG414)+1,20))-1))),"")))</f>
        <v/>
      </c>
      <c r="I414">
        <f>IF(OR($F414="",$G414=""),"",IF(ISNUMBER(Sync!$AG414),MOD(Sync!$AG414,100),IFERROR(VALUE(TRIM(MID(MID(Sync!$AG414,FIND("/",Sync!$AG414)+1,20),FIND("/",MID(Sync!$AG414,FIND("/",Sync!$AG414)+1,20))+1,20))),"")))</f>
        <v/>
      </c>
      <c r="J414">
        <f>IF($F414="","",IF(OR($G414="",$H414="",$I414="",$G414&lt;1300,$G414&gt;1500,$H414&lt;1,$H414&gt;12,$I414&lt;1,$I414&gt;31),"نامعتبر",RIGHT("0000"&amp;$G414,4)&amp;"/"&amp;RIGHT("00"&amp;$H414,2)&amp;"/"&amp;RIGHT("00"&amp;$I414,2)))</f>
        <v/>
      </c>
      <c r="K414">
        <f>IF(OR($F414="",$J414="",$J414="نامعتبر"),"",LEFT($J414,4)&amp;MID($J414,6,2)&amp;RIGHT($J414,2)&amp;$N414&amp;"|"&amp;"2"&amp;RIGHT("00000"&amp;409,5))</f>
        <v/>
      </c>
      <c r="L414">
        <f>IF($K414="","",COUNTIFS(LdgPartyA,$F414,LdgKeyA,"&lt;"&amp;$K414)+COUNTIFS(LdgPartyB,$F414,LdgKeyB,"&lt;"&amp;$K414)+1)</f>
        <v/>
      </c>
      <c r="M414">
        <f>IF($L414="","",$F414&amp;"|"&amp;RIGHT("000000"&amp;$L414,6))</f>
        <v/>
      </c>
      <c r="N414">
        <f>IF($F414="","",IF(Sync!$AH414="","0000",IF(AND(ISNUMBER(Sync!$AH414),Sync!$AH414&gt;=0,Sync!$AH414&lt;1),RIGHT("00"&amp;HOUR(Sync!$AH414),2)&amp;RIGHT("00"&amp;MINUTE(Sync!$AH414),2),IFERROR(RIGHT("00"&amp;VALUE(LEFT(Sync!$AH414,FIND(":",Sync!$AH414)-1)),2)&amp;RIGHT("00"&amp;VALUE(MID(Sync!$AH414,FIND(":",Sync!$AH414)+1,2)),2),"0000"))))</f>
        <v/>
      </c>
    </row>
    <row r="415">
      <c r="A415">
        <f>IF(OR(Calc!$E418="",Calc!$E418="نامعتبر",Calc!$G418="",Calc!$I418&lt;&gt;"خرید"),"",Calc!$G418)</f>
        <v/>
      </c>
      <c r="B415">
        <f>IF($A415="","",LEFT(Calc!$E418,4)&amp;MID(Calc!$E418,6,2)&amp;RIGHT(Calc!$E418,2)&amp;Calc!$R418&amp;"|"&amp;"1"&amp;RIGHT("00000"&amp;410,5))</f>
        <v/>
      </c>
      <c r="C415">
        <f>IF($B415="","",COUNTIFS(LdgPartyA,$A415,LdgKeyA,"&lt;"&amp;$B415)+COUNTIFS(LdgPartyB,$A415,LdgKeyB,"&lt;"&amp;$B415)+1)</f>
        <v/>
      </c>
      <c r="D415">
        <f>IF($C415="","",$A415&amp;"|"&amp;RIGHT("000000"&amp;$C415,6))</f>
        <v/>
      </c>
      <c r="F415">
        <f>IF(Sync!$AJ415="","",Sync!$AJ415)</f>
        <v/>
      </c>
      <c r="G415">
        <f>IF($F415="","",IF(Sync!$AG415="","",IF(ISNUMBER(Sync!$AG415),IF(AND(Sync!$AG415&gt;=10000101,Sync!$AG415&lt;=99991231),INT(Sync!$AG415/10000),""),IFERROR(VALUE(TRIM(LEFT(Sync!$AG415,FIND("/",Sync!$AG415)-1))),""))))</f>
        <v/>
      </c>
      <c r="H415">
        <f>IF(OR($F415="",$G415=""),"",IF(ISNUMBER(Sync!$AG415),INT(MOD(Sync!$AG415,10000)/100),IFERROR(VALUE(TRIM(LEFT(MID(Sync!$AG415,FIND("/",Sync!$AG415)+1,20),FIND("/",MID(Sync!$AG415,FIND("/",Sync!$AG415)+1,20))-1))),"")))</f>
        <v/>
      </c>
      <c r="I415">
        <f>IF(OR($F415="",$G415=""),"",IF(ISNUMBER(Sync!$AG415),MOD(Sync!$AG415,100),IFERROR(VALUE(TRIM(MID(MID(Sync!$AG415,FIND("/",Sync!$AG415)+1,20),FIND("/",MID(Sync!$AG415,FIND("/",Sync!$AG415)+1,20))+1,20))),"")))</f>
        <v/>
      </c>
      <c r="J415">
        <f>IF($F415="","",IF(OR($G415="",$H415="",$I415="",$G415&lt;1300,$G415&gt;1500,$H415&lt;1,$H415&gt;12,$I415&lt;1,$I415&gt;31),"نامعتبر",RIGHT("0000"&amp;$G415,4)&amp;"/"&amp;RIGHT("00"&amp;$H415,2)&amp;"/"&amp;RIGHT("00"&amp;$I415,2)))</f>
        <v/>
      </c>
      <c r="K415">
        <f>IF(OR($F415="",$J415="",$J415="نامعتبر"),"",LEFT($J415,4)&amp;MID($J415,6,2)&amp;RIGHT($J415,2)&amp;$N415&amp;"|"&amp;"2"&amp;RIGHT("00000"&amp;410,5))</f>
        <v/>
      </c>
      <c r="L415">
        <f>IF($K415="","",COUNTIFS(LdgPartyA,$F415,LdgKeyA,"&lt;"&amp;$K415)+COUNTIFS(LdgPartyB,$F415,LdgKeyB,"&lt;"&amp;$K415)+1)</f>
        <v/>
      </c>
      <c r="M415">
        <f>IF($L415="","",$F415&amp;"|"&amp;RIGHT("000000"&amp;$L415,6))</f>
        <v/>
      </c>
      <c r="N415">
        <f>IF($F415="","",IF(Sync!$AH415="","0000",IF(AND(ISNUMBER(Sync!$AH415),Sync!$AH415&gt;=0,Sync!$AH415&lt;1),RIGHT("00"&amp;HOUR(Sync!$AH415),2)&amp;RIGHT("00"&amp;MINUTE(Sync!$AH415),2),IFERROR(RIGHT("00"&amp;VALUE(LEFT(Sync!$AH415,FIND(":",Sync!$AH415)-1)),2)&amp;RIGHT("00"&amp;VALUE(MID(Sync!$AH415,FIND(":",Sync!$AH415)+1,2)),2),"0000"))))</f>
        <v/>
      </c>
    </row>
    <row r="416">
      <c r="A416">
        <f>IF(OR(Calc!$E419="",Calc!$E419="نامعتبر",Calc!$G419="",Calc!$I419&lt;&gt;"خرید"),"",Calc!$G419)</f>
        <v/>
      </c>
      <c r="B416">
        <f>IF($A416="","",LEFT(Calc!$E419,4)&amp;MID(Calc!$E419,6,2)&amp;RIGHT(Calc!$E419,2)&amp;Calc!$R419&amp;"|"&amp;"1"&amp;RIGHT("00000"&amp;411,5))</f>
        <v/>
      </c>
      <c r="C416">
        <f>IF($B416="","",COUNTIFS(LdgPartyA,$A416,LdgKeyA,"&lt;"&amp;$B416)+COUNTIFS(LdgPartyB,$A416,LdgKeyB,"&lt;"&amp;$B416)+1)</f>
        <v/>
      </c>
      <c r="D416">
        <f>IF($C416="","",$A416&amp;"|"&amp;RIGHT("000000"&amp;$C416,6))</f>
        <v/>
      </c>
      <c r="F416">
        <f>IF(Sync!$AJ416="","",Sync!$AJ416)</f>
        <v/>
      </c>
      <c r="G416">
        <f>IF($F416="","",IF(Sync!$AG416="","",IF(ISNUMBER(Sync!$AG416),IF(AND(Sync!$AG416&gt;=10000101,Sync!$AG416&lt;=99991231),INT(Sync!$AG416/10000),""),IFERROR(VALUE(TRIM(LEFT(Sync!$AG416,FIND("/",Sync!$AG416)-1))),""))))</f>
        <v/>
      </c>
      <c r="H416">
        <f>IF(OR($F416="",$G416=""),"",IF(ISNUMBER(Sync!$AG416),INT(MOD(Sync!$AG416,10000)/100),IFERROR(VALUE(TRIM(LEFT(MID(Sync!$AG416,FIND("/",Sync!$AG416)+1,20),FIND("/",MID(Sync!$AG416,FIND("/",Sync!$AG416)+1,20))-1))),"")))</f>
        <v/>
      </c>
      <c r="I416">
        <f>IF(OR($F416="",$G416=""),"",IF(ISNUMBER(Sync!$AG416),MOD(Sync!$AG416,100),IFERROR(VALUE(TRIM(MID(MID(Sync!$AG416,FIND("/",Sync!$AG416)+1,20),FIND("/",MID(Sync!$AG416,FIND("/",Sync!$AG416)+1,20))+1,20))),"")))</f>
        <v/>
      </c>
      <c r="J416">
        <f>IF($F416="","",IF(OR($G416="",$H416="",$I416="",$G416&lt;1300,$G416&gt;1500,$H416&lt;1,$H416&gt;12,$I416&lt;1,$I416&gt;31),"نامعتبر",RIGHT("0000"&amp;$G416,4)&amp;"/"&amp;RIGHT("00"&amp;$H416,2)&amp;"/"&amp;RIGHT("00"&amp;$I416,2)))</f>
        <v/>
      </c>
      <c r="K416">
        <f>IF(OR($F416="",$J416="",$J416="نامعتبر"),"",LEFT($J416,4)&amp;MID($J416,6,2)&amp;RIGHT($J416,2)&amp;$N416&amp;"|"&amp;"2"&amp;RIGHT("00000"&amp;411,5))</f>
        <v/>
      </c>
      <c r="L416">
        <f>IF($K416="","",COUNTIFS(LdgPartyA,$F416,LdgKeyA,"&lt;"&amp;$K416)+COUNTIFS(LdgPartyB,$F416,LdgKeyB,"&lt;"&amp;$K416)+1)</f>
        <v/>
      </c>
      <c r="M416">
        <f>IF($L416="","",$F416&amp;"|"&amp;RIGHT("000000"&amp;$L416,6))</f>
        <v/>
      </c>
      <c r="N416">
        <f>IF($F416="","",IF(Sync!$AH416="","0000",IF(AND(ISNUMBER(Sync!$AH416),Sync!$AH416&gt;=0,Sync!$AH416&lt;1),RIGHT("00"&amp;HOUR(Sync!$AH416),2)&amp;RIGHT("00"&amp;MINUTE(Sync!$AH416),2),IFERROR(RIGHT("00"&amp;VALUE(LEFT(Sync!$AH416,FIND(":",Sync!$AH416)-1)),2)&amp;RIGHT("00"&amp;VALUE(MID(Sync!$AH416,FIND(":",Sync!$AH416)+1,2)),2),"0000"))))</f>
        <v/>
      </c>
    </row>
    <row r="417">
      <c r="A417">
        <f>IF(OR(Calc!$E420="",Calc!$E420="نامعتبر",Calc!$G420="",Calc!$I420&lt;&gt;"خرید"),"",Calc!$G420)</f>
        <v/>
      </c>
      <c r="B417">
        <f>IF($A417="","",LEFT(Calc!$E420,4)&amp;MID(Calc!$E420,6,2)&amp;RIGHT(Calc!$E420,2)&amp;Calc!$R420&amp;"|"&amp;"1"&amp;RIGHT("00000"&amp;412,5))</f>
        <v/>
      </c>
      <c r="C417">
        <f>IF($B417="","",COUNTIFS(LdgPartyA,$A417,LdgKeyA,"&lt;"&amp;$B417)+COUNTIFS(LdgPartyB,$A417,LdgKeyB,"&lt;"&amp;$B417)+1)</f>
        <v/>
      </c>
      <c r="D417">
        <f>IF($C417="","",$A417&amp;"|"&amp;RIGHT("000000"&amp;$C417,6))</f>
        <v/>
      </c>
      <c r="F417">
        <f>IF(Sync!$AJ417="","",Sync!$AJ417)</f>
        <v/>
      </c>
      <c r="G417">
        <f>IF($F417="","",IF(Sync!$AG417="","",IF(ISNUMBER(Sync!$AG417),IF(AND(Sync!$AG417&gt;=10000101,Sync!$AG417&lt;=99991231),INT(Sync!$AG417/10000),""),IFERROR(VALUE(TRIM(LEFT(Sync!$AG417,FIND("/",Sync!$AG417)-1))),""))))</f>
        <v/>
      </c>
      <c r="H417">
        <f>IF(OR($F417="",$G417=""),"",IF(ISNUMBER(Sync!$AG417),INT(MOD(Sync!$AG417,10000)/100),IFERROR(VALUE(TRIM(LEFT(MID(Sync!$AG417,FIND("/",Sync!$AG417)+1,20),FIND("/",MID(Sync!$AG417,FIND("/",Sync!$AG417)+1,20))-1))),"")))</f>
        <v/>
      </c>
      <c r="I417">
        <f>IF(OR($F417="",$G417=""),"",IF(ISNUMBER(Sync!$AG417),MOD(Sync!$AG417,100),IFERROR(VALUE(TRIM(MID(MID(Sync!$AG417,FIND("/",Sync!$AG417)+1,20),FIND("/",MID(Sync!$AG417,FIND("/",Sync!$AG417)+1,20))+1,20))),"")))</f>
        <v/>
      </c>
      <c r="J417">
        <f>IF($F417="","",IF(OR($G417="",$H417="",$I417="",$G417&lt;1300,$G417&gt;1500,$H417&lt;1,$H417&gt;12,$I417&lt;1,$I417&gt;31),"نامعتبر",RIGHT("0000"&amp;$G417,4)&amp;"/"&amp;RIGHT("00"&amp;$H417,2)&amp;"/"&amp;RIGHT("00"&amp;$I417,2)))</f>
        <v/>
      </c>
      <c r="K417">
        <f>IF(OR($F417="",$J417="",$J417="نامعتبر"),"",LEFT($J417,4)&amp;MID($J417,6,2)&amp;RIGHT($J417,2)&amp;$N417&amp;"|"&amp;"2"&amp;RIGHT("00000"&amp;412,5))</f>
        <v/>
      </c>
      <c r="L417">
        <f>IF($K417="","",COUNTIFS(LdgPartyA,$F417,LdgKeyA,"&lt;"&amp;$K417)+COUNTIFS(LdgPartyB,$F417,LdgKeyB,"&lt;"&amp;$K417)+1)</f>
        <v/>
      </c>
      <c r="M417">
        <f>IF($L417="","",$F417&amp;"|"&amp;RIGHT("000000"&amp;$L417,6))</f>
        <v/>
      </c>
      <c r="N417">
        <f>IF($F417="","",IF(Sync!$AH417="","0000",IF(AND(ISNUMBER(Sync!$AH417),Sync!$AH417&gt;=0,Sync!$AH417&lt;1),RIGHT("00"&amp;HOUR(Sync!$AH417),2)&amp;RIGHT("00"&amp;MINUTE(Sync!$AH417),2),IFERROR(RIGHT("00"&amp;VALUE(LEFT(Sync!$AH417,FIND(":",Sync!$AH417)-1)),2)&amp;RIGHT("00"&amp;VALUE(MID(Sync!$AH417,FIND(":",Sync!$AH417)+1,2)),2),"0000"))))</f>
        <v/>
      </c>
    </row>
    <row r="418">
      <c r="A418">
        <f>IF(OR(Calc!$E421="",Calc!$E421="نامعتبر",Calc!$G421="",Calc!$I421&lt;&gt;"خرید"),"",Calc!$G421)</f>
        <v/>
      </c>
      <c r="B418">
        <f>IF($A418="","",LEFT(Calc!$E421,4)&amp;MID(Calc!$E421,6,2)&amp;RIGHT(Calc!$E421,2)&amp;Calc!$R421&amp;"|"&amp;"1"&amp;RIGHT("00000"&amp;413,5))</f>
        <v/>
      </c>
      <c r="C418">
        <f>IF($B418="","",COUNTIFS(LdgPartyA,$A418,LdgKeyA,"&lt;"&amp;$B418)+COUNTIFS(LdgPartyB,$A418,LdgKeyB,"&lt;"&amp;$B418)+1)</f>
        <v/>
      </c>
      <c r="D418">
        <f>IF($C418="","",$A418&amp;"|"&amp;RIGHT("000000"&amp;$C418,6))</f>
        <v/>
      </c>
      <c r="F418">
        <f>IF(Sync!$AJ418="","",Sync!$AJ418)</f>
        <v/>
      </c>
      <c r="G418">
        <f>IF($F418="","",IF(Sync!$AG418="","",IF(ISNUMBER(Sync!$AG418),IF(AND(Sync!$AG418&gt;=10000101,Sync!$AG418&lt;=99991231),INT(Sync!$AG418/10000),""),IFERROR(VALUE(TRIM(LEFT(Sync!$AG418,FIND("/",Sync!$AG418)-1))),""))))</f>
        <v/>
      </c>
      <c r="H418">
        <f>IF(OR($F418="",$G418=""),"",IF(ISNUMBER(Sync!$AG418),INT(MOD(Sync!$AG418,10000)/100),IFERROR(VALUE(TRIM(LEFT(MID(Sync!$AG418,FIND("/",Sync!$AG418)+1,20),FIND("/",MID(Sync!$AG418,FIND("/",Sync!$AG418)+1,20))-1))),"")))</f>
        <v/>
      </c>
      <c r="I418">
        <f>IF(OR($F418="",$G418=""),"",IF(ISNUMBER(Sync!$AG418),MOD(Sync!$AG418,100),IFERROR(VALUE(TRIM(MID(MID(Sync!$AG418,FIND("/",Sync!$AG418)+1,20),FIND("/",MID(Sync!$AG418,FIND("/",Sync!$AG418)+1,20))+1,20))),"")))</f>
        <v/>
      </c>
      <c r="J418">
        <f>IF($F418="","",IF(OR($G418="",$H418="",$I418="",$G418&lt;1300,$G418&gt;1500,$H418&lt;1,$H418&gt;12,$I418&lt;1,$I418&gt;31),"نامعتبر",RIGHT("0000"&amp;$G418,4)&amp;"/"&amp;RIGHT("00"&amp;$H418,2)&amp;"/"&amp;RIGHT("00"&amp;$I418,2)))</f>
        <v/>
      </c>
      <c r="K418">
        <f>IF(OR($F418="",$J418="",$J418="نامعتبر"),"",LEFT($J418,4)&amp;MID($J418,6,2)&amp;RIGHT($J418,2)&amp;$N418&amp;"|"&amp;"2"&amp;RIGHT("00000"&amp;413,5))</f>
        <v/>
      </c>
      <c r="L418">
        <f>IF($K418="","",COUNTIFS(LdgPartyA,$F418,LdgKeyA,"&lt;"&amp;$K418)+COUNTIFS(LdgPartyB,$F418,LdgKeyB,"&lt;"&amp;$K418)+1)</f>
        <v/>
      </c>
      <c r="M418">
        <f>IF($L418="","",$F418&amp;"|"&amp;RIGHT("000000"&amp;$L418,6))</f>
        <v/>
      </c>
      <c r="N418">
        <f>IF($F418="","",IF(Sync!$AH418="","0000",IF(AND(ISNUMBER(Sync!$AH418),Sync!$AH418&gt;=0,Sync!$AH418&lt;1),RIGHT("00"&amp;HOUR(Sync!$AH418),2)&amp;RIGHT("00"&amp;MINUTE(Sync!$AH418),2),IFERROR(RIGHT("00"&amp;VALUE(LEFT(Sync!$AH418,FIND(":",Sync!$AH418)-1)),2)&amp;RIGHT("00"&amp;VALUE(MID(Sync!$AH418,FIND(":",Sync!$AH418)+1,2)),2),"0000"))))</f>
        <v/>
      </c>
    </row>
    <row r="419">
      <c r="A419">
        <f>IF(OR(Calc!$E422="",Calc!$E422="نامعتبر",Calc!$G422="",Calc!$I422&lt;&gt;"خرید"),"",Calc!$G422)</f>
        <v/>
      </c>
      <c r="B419">
        <f>IF($A419="","",LEFT(Calc!$E422,4)&amp;MID(Calc!$E422,6,2)&amp;RIGHT(Calc!$E422,2)&amp;Calc!$R422&amp;"|"&amp;"1"&amp;RIGHT("00000"&amp;414,5))</f>
        <v/>
      </c>
      <c r="C419">
        <f>IF($B419="","",COUNTIFS(LdgPartyA,$A419,LdgKeyA,"&lt;"&amp;$B419)+COUNTIFS(LdgPartyB,$A419,LdgKeyB,"&lt;"&amp;$B419)+1)</f>
        <v/>
      </c>
      <c r="D419">
        <f>IF($C419="","",$A419&amp;"|"&amp;RIGHT("000000"&amp;$C419,6))</f>
        <v/>
      </c>
      <c r="F419">
        <f>IF(Sync!$AJ419="","",Sync!$AJ419)</f>
        <v/>
      </c>
      <c r="G419">
        <f>IF($F419="","",IF(Sync!$AG419="","",IF(ISNUMBER(Sync!$AG419),IF(AND(Sync!$AG419&gt;=10000101,Sync!$AG419&lt;=99991231),INT(Sync!$AG419/10000),""),IFERROR(VALUE(TRIM(LEFT(Sync!$AG419,FIND("/",Sync!$AG419)-1))),""))))</f>
        <v/>
      </c>
      <c r="H419">
        <f>IF(OR($F419="",$G419=""),"",IF(ISNUMBER(Sync!$AG419),INT(MOD(Sync!$AG419,10000)/100),IFERROR(VALUE(TRIM(LEFT(MID(Sync!$AG419,FIND("/",Sync!$AG419)+1,20),FIND("/",MID(Sync!$AG419,FIND("/",Sync!$AG419)+1,20))-1))),"")))</f>
        <v/>
      </c>
      <c r="I419">
        <f>IF(OR($F419="",$G419=""),"",IF(ISNUMBER(Sync!$AG419),MOD(Sync!$AG419,100),IFERROR(VALUE(TRIM(MID(MID(Sync!$AG419,FIND("/",Sync!$AG419)+1,20),FIND("/",MID(Sync!$AG419,FIND("/",Sync!$AG419)+1,20))+1,20))),"")))</f>
        <v/>
      </c>
      <c r="J419">
        <f>IF($F419="","",IF(OR($G419="",$H419="",$I419="",$G419&lt;1300,$G419&gt;1500,$H419&lt;1,$H419&gt;12,$I419&lt;1,$I419&gt;31),"نامعتبر",RIGHT("0000"&amp;$G419,4)&amp;"/"&amp;RIGHT("00"&amp;$H419,2)&amp;"/"&amp;RIGHT("00"&amp;$I419,2)))</f>
        <v/>
      </c>
      <c r="K419">
        <f>IF(OR($F419="",$J419="",$J419="نامعتبر"),"",LEFT($J419,4)&amp;MID($J419,6,2)&amp;RIGHT($J419,2)&amp;$N419&amp;"|"&amp;"2"&amp;RIGHT("00000"&amp;414,5))</f>
        <v/>
      </c>
      <c r="L419">
        <f>IF($K419="","",COUNTIFS(LdgPartyA,$F419,LdgKeyA,"&lt;"&amp;$K419)+COUNTIFS(LdgPartyB,$F419,LdgKeyB,"&lt;"&amp;$K419)+1)</f>
        <v/>
      </c>
      <c r="M419">
        <f>IF($L419="","",$F419&amp;"|"&amp;RIGHT("000000"&amp;$L419,6))</f>
        <v/>
      </c>
      <c r="N419">
        <f>IF($F419="","",IF(Sync!$AH419="","0000",IF(AND(ISNUMBER(Sync!$AH419),Sync!$AH419&gt;=0,Sync!$AH419&lt;1),RIGHT("00"&amp;HOUR(Sync!$AH419),2)&amp;RIGHT("00"&amp;MINUTE(Sync!$AH419),2),IFERROR(RIGHT("00"&amp;VALUE(LEFT(Sync!$AH419,FIND(":",Sync!$AH419)-1)),2)&amp;RIGHT("00"&amp;VALUE(MID(Sync!$AH419,FIND(":",Sync!$AH419)+1,2)),2),"0000"))))</f>
        <v/>
      </c>
    </row>
    <row r="420">
      <c r="A420">
        <f>IF(OR(Calc!$E423="",Calc!$E423="نامعتبر",Calc!$G423="",Calc!$I423&lt;&gt;"خرید"),"",Calc!$G423)</f>
        <v/>
      </c>
      <c r="B420">
        <f>IF($A420="","",LEFT(Calc!$E423,4)&amp;MID(Calc!$E423,6,2)&amp;RIGHT(Calc!$E423,2)&amp;Calc!$R423&amp;"|"&amp;"1"&amp;RIGHT("00000"&amp;415,5))</f>
        <v/>
      </c>
      <c r="C420">
        <f>IF($B420="","",COUNTIFS(LdgPartyA,$A420,LdgKeyA,"&lt;"&amp;$B420)+COUNTIFS(LdgPartyB,$A420,LdgKeyB,"&lt;"&amp;$B420)+1)</f>
        <v/>
      </c>
      <c r="D420">
        <f>IF($C420="","",$A420&amp;"|"&amp;RIGHT("000000"&amp;$C420,6))</f>
        <v/>
      </c>
      <c r="F420">
        <f>IF(Sync!$AJ420="","",Sync!$AJ420)</f>
        <v/>
      </c>
      <c r="G420">
        <f>IF($F420="","",IF(Sync!$AG420="","",IF(ISNUMBER(Sync!$AG420),IF(AND(Sync!$AG420&gt;=10000101,Sync!$AG420&lt;=99991231),INT(Sync!$AG420/10000),""),IFERROR(VALUE(TRIM(LEFT(Sync!$AG420,FIND("/",Sync!$AG420)-1))),""))))</f>
        <v/>
      </c>
      <c r="H420">
        <f>IF(OR($F420="",$G420=""),"",IF(ISNUMBER(Sync!$AG420),INT(MOD(Sync!$AG420,10000)/100),IFERROR(VALUE(TRIM(LEFT(MID(Sync!$AG420,FIND("/",Sync!$AG420)+1,20),FIND("/",MID(Sync!$AG420,FIND("/",Sync!$AG420)+1,20))-1))),"")))</f>
        <v/>
      </c>
      <c r="I420">
        <f>IF(OR($F420="",$G420=""),"",IF(ISNUMBER(Sync!$AG420),MOD(Sync!$AG420,100),IFERROR(VALUE(TRIM(MID(MID(Sync!$AG420,FIND("/",Sync!$AG420)+1,20),FIND("/",MID(Sync!$AG420,FIND("/",Sync!$AG420)+1,20))+1,20))),"")))</f>
        <v/>
      </c>
      <c r="J420">
        <f>IF($F420="","",IF(OR($G420="",$H420="",$I420="",$G420&lt;1300,$G420&gt;1500,$H420&lt;1,$H420&gt;12,$I420&lt;1,$I420&gt;31),"نامعتبر",RIGHT("0000"&amp;$G420,4)&amp;"/"&amp;RIGHT("00"&amp;$H420,2)&amp;"/"&amp;RIGHT("00"&amp;$I420,2)))</f>
        <v/>
      </c>
      <c r="K420">
        <f>IF(OR($F420="",$J420="",$J420="نامعتبر"),"",LEFT($J420,4)&amp;MID($J420,6,2)&amp;RIGHT($J420,2)&amp;$N420&amp;"|"&amp;"2"&amp;RIGHT("00000"&amp;415,5))</f>
        <v/>
      </c>
      <c r="L420">
        <f>IF($K420="","",COUNTIFS(LdgPartyA,$F420,LdgKeyA,"&lt;"&amp;$K420)+COUNTIFS(LdgPartyB,$F420,LdgKeyB,"&lt;"&amp;$K420)+1)</f>
        <v/>
      </c>
      <c r="M420">
        <f>IF($L420="","",$F420&amp;"|"&amp;RIGHT("000000"&amp;$L420,6))</f>
        <v/>
      </c>
      <c r="N420">
        <f>IF($F420="","",IF(Sync!$AH420="","0000",IF(AND(ISNUMBER(Sync!$AH420),Sync!$AH420&gt;=0,Sync!$AH420&lt;1),RIGHT("00"&amp;HOUR(Sync!$AH420),2)&amp;RIGHT("00"&amp;MINUTE(Sync!$AH420),2),IFERROR(RIGHT("00"&amp;VALUE(LEFT(Sync!$AH420,FIND(":",Sync!$AH420)-1)),2)&amp;RIGHT("00"&amp;VALUE(MID(Sync!$AH420,FIND(":",Sync!$AH420)+1,2)),2),"0000"))))</f>
        <v/>
      </c>
    </row>
    <row r="421">
      <c r="A421">
        <f>IF(OR(Calc!$E424="",Calc!$E424="نامعتبر",Calc!$G424="",Calc!$I424&lt;&gt;"خرید"),"",Calc!$G424)</f>
        <v/>
      </c>
      <c r="B421">
        <f>IF($A421="","",LEFT(Calc!$E424,4)&amp;MID(Calc!$E424,6,2)&amp;RIGHT(Calc!$E424,2)&amp;Calc!$R424&amp;"|"&amp;"1"&amp;RIGHT("00000"&amp;416,5))</f>
        <v/>
      </c>
      <c r="C421">
        <f>IF($B421="","",COUNTIFS(LdgPartyA,$A421,LdgKeyA,"&lt;"&amp;$B421)+COUNTIFS(LdgPartyB,$A421,LdgKeyB,"&lt;"&amp;$B421)+1)</f>
        <v/>
      </c>
      <c r="D421">
        <f>IF($C421="","",$A421&amp;"|"&amp;RIGHT("000000"&amp;$C421,6))</f>
        <v/>
      </c>
      <c r="F421">
        <f>IF(Sync!$AJ421="","",Sync!$AJ421)</f>
        <v/>
      </c>
      <c r="G421">
        <f>IF($F421="","",IF(Sync!$AG421="","",IF(ISNUMBER(Sync!$AG421),IF(AND(Sync!$AG421&gt;=10000101,Sync!$AG421&lt;=99991231),INT(Sync!$AG421/10000),""),IFERROR(VALUE(TRIM(LEFT(Sync!$AG421,FIND("/",Sync!$AG421)-1))),""))))</f>
        <v/>
      </c>
      <c r="H421">
        <f>IF(OR($F421="",$G421=""),"",IF(ISNUMBER(Sync!$AG421),INT(MOD(Sync!$AG421,10000)/100),IFERROR(VALUE(TRIM(LEFT(MID(Sync!$AG421,FIND("/",Sync!$AG421)+1,20),FIND("/",MID(Sync!$AG421,FIND("/",Sync!$AG421)+1,20))-1))),"")))</f>
        <v/>
      </c>
      <c r="I421">
        <f>IF(OR($F421="",$G421=""),"",IF(ISNUMBER(Sync!$AG421),MOD(Sync!$AG421,100),IFERROR(VALUE(TRIM(MID(MID(Sync!$AG421,FIND("/",Sync!$AG421)+1,20),FIND("/",MID(Sync!$AG421,FIND("/",Sync!$AG421)+1,20))+1,20))),"")))</f>
        <v/>
      </c>
      <c r="J421">
        <f>IF($F421="","",IF(OR($G421="",$H421="",$I421="",$G421&lt;1300,$G421&gt;1500,$H421&lt;1,$H421&gt;12,$I421&lt;1,$I421&gt;31),"نامعتبر",RIGHT("0000"&amp;$G421,4)&amp;"/"&amp;RIGHT("00"&amp;$H421,2)&amp;"/"&amp;RIGHT("00"&amp;$I421,2)))</f>
        <v/>
      </c>
      <c r="K421">
        <f>IF(OR($F421="",$J421="",$J421="نامعتبر"),"",LEFT($J421,4)&amp;MID($J421,6,2)&amp;RIGHT($J421,2)&amp;$N421&amp;"|"&amp;"2"&amp;RIGHT("00000"&amp;416,5))</f>
        <v/>
      </c>
      <c r="L421">
        <f>IF($K421="","",COUNTIFS(LdgPartyA,$F421,LdgKeyA,"&lt;"&amp;$K421)+COUNTIFS(LdgPartyB,$F421,LdgKeyB,"&lt;"&amp;$K421)+1)</f>
        <v/>
      </c>
      <c r="M421">
        <f>IF($L421="","",$F421&amp;"|"&amp;RIGHT("000000"&amp;$L421,6))</f>
        <v/>
      </c>
      <c r="N421">
        <f>IF($F421="","",IF(Sync!$AH421="","0000",IF(AND(ISNUMBER(Sync!$AH421),Sync!$AH421&gt;=0,Sync!$AH421&lt;1),RIGHT("00"&amp;HOUR(Sync!$AH421),2)&amp;RIGHT("00"&amp;MINUTE(Sync!$AH421),2),IFERROR(RIGHT("00"&amp;VALUE(LEFT(Sync!$AH421,FIND(":",Sync!$AH421)-1)),2)&amp;RIGHT("00"&amp;VALUE(MID(Sync!$AH421,FIND(":",Sync!$AH421)+1,2)),2),"0000"))))</f>
        <v/>
      </c>
    </row>
    <row r="422">
      <c r="A422">
        <f>IF(OR(Calc!$E425="",Calc!$E425="نامعتبر",Calc!$G425="",Calc!$I425&lt;&gt;"خرید"),"",Calc!$G425)</f>
        <v/>
      </c>
      <c r="B422">
        <f>IF($A422="","",LEFT(Calc!$E425,4)&amp;MID(Calc!$E425,6,2)&amp;RIGHT(Calc!$E425,2)&amp;Calc!$R425&amp;"|"&amp;"1"&amp;RIGHT("00000"&amp;417,5))</f>
        <v/>
      </c>
      <c r="C422">
        <f>IF($B422="","",COUNTIFS(LdgPartyA,$A422,LdgKeyA,"&lt;"&amp;$B422)+COUNTIFS(LdgPartyB,$A422,LdgKeyB,"&lt;"&amp;$B422)+1)</f>
        <v/>
      </c>
      <c r="D422">
        <f>IF($C422="","",$A422&amp;"|"&amp;RIGHT("000000"&amp;$C422,6))</f>
        <v/>
      </c>
      <c r="F422">
        <f>IF(Sync!$AJ422="","",Sync!$AJ422)</f>
        <v/>
      </c>
      <c r="G422">
        <f>IF($F422="","",IF(Sync!$AG422="","",IF(ISNUMBER(Sync!$AG422),IF(AND(Sync!$AG422&gt;=10000101,Sync!$AG422&lt;=99991231),INT(Sync!$AG422/10000),""),IFERROR(VALUE(TRIM(LEFT(Sync!$AG422,FIND("/",Sync!$AG422)-1))),""))))</f>
        <v/>
      </c>
      <c r="H422">
        <f>IF(OR($F422="",$G422=""),"",IF(ISNUMBER(Sync!$AG422),INT(MOD(Sync!$AG422,10000)/100),IFERROR(VALUE(TRIM(LEFT(MID(Sync!$AG422,FIND("/",Sync!$AG422)+1,20),FIND("/",MID(Sync!$AG422,FIND("/",Sync!$AG422)+1,20))-1))),"")))</f>
        <v/>
      </c>
      <c r="I422">
        <f>IF(OR($F422="",$G422=""),"",IF(ISNUMBER(Sync!$AG422),MOD(Sync!$AG422,100),IFERROR(VALUE(TRIM(MID(MID(Sync!$AG422,FIND("/",Sync!$AG422)+1,20),FIND("/",MID(Sync!$AG422,FIND("/",Sync!$AG422)+1,20))+1,20))),"")))</f>
        <v/>
      </c>
      <c r="J422">
        <f>IF($F422="","",IF(OR($G422="",$H422="",$I422="",$G422&lt;1300,$G422&gt;1500,$H422&lt;1,$H422&gt;12,$I422&lt;1,$I422&gt;31),"نامعتبر",RIGHT("0000"&amp;$G422,4)&amp;"/"&amp;RIGHT("00"&amp;$H422,2)&amp;"/"&amp;RIGHT("00"&amp;$I422,2)))</f>
        <v/>
      </c>
      <c r="K422">
        <f>IF(OR($F422="",$J422="",$J422="نامعتبر"),"",LEFT($J422,4)&amp;MID($J422,6,2)&amp;RIGHT($J422,2)&amp;$N422&amp;"|"&amp;"2"&amp;RIGHT("00000"&amp;417,5))</f>
        <v/>
      </c>
      <c r="L422">
        <f>IF($K422="","",COUNTIFS(LdgPartyA,$F422,LdgKeyA,"&lt;"&amp;$K422)+COUNTIFS(LdgPartyB,$F422,LdgKeyB,"&lt;"&amp;$K422)+1)</f>
        <v/>
      </c>
      <c r="M422">
        <f>IF($L422="","",$F422&amp;"|"&amp;RIGHT("000000"&amp;$L422,6))</f>
        <v/>
      </c>
      <c r="N422">
        <f>IF($F422="","",IF(Sync!$AH422="","0000",IF(AND(ISNUMBER(Sync!$AH422),Sync!$AH422&gt;=0,Sync!$AH422&lt;1),RIGHT("00"&amp;HOUR(Sync!$AH422),2)&amp;RIGHT("00"&amp;MINUTE(Sync!$AH422),2),IFERROR(RIGHT("00"&amp;VALUE(LEFT(Sync!$AH422,FIND(":",Sync!$AH422)-1)),2)&amp;RIGHT("00"&amp;VALUE(MID(Sync!$AH422,FIND(":",Sync!$AH422)+1,2)),2),"0000"))))</f>
        <v/>
      </c>
    </row>
    <row r="423">
      <c r="A423">
        <f>IF(OR(Calc!$E426="",Calc!$E426="نامعتبر",Calc!$G426="",Calc!$I426&lt;&gt;"خرید"),"",Calc!$G426)</f>
        <v/>
      </c>
      <c r="B423">
        <f>IF($A423="","",LEFT(Calc!$E426,4)&amp;MID(Calc!$E426,6,2)&amp;RIGHT(Calc!$E426,2)&amp;Calc!$R426&amp;"|"&amp;"1"&amp;RIGHT("00000"&amp;418,5))</f>
        <v/>
      </c>
      <c r="C423">
        <f>IF($B423="","",COUNTIFS(LdgPartyA,$A423,LdgKeyA,"&lt;"&amp;$B423)+COUNTIFS(LdgPartyB,$A423,LdgKeyB,"&lt;"&amp;$B423)+1)</f>
        <v/>
      </c>
      <c r="D423">
        <f>IF($C423="","",$A423&amp;"|"&amp;RIGHT("000000"&amp;$C423,6))</f>
        <v/>
      </c>
      <c r="F423">
        <f>IF(Sync!$AJ423="","",Sync!$AJ423)</f>
        <v/>
      </c>
      <c r="G423">
        <f>IF($F423="","",IF(Sync!$AG423="","",IF(ISNUMBER(Sync!$AG423),IF(AND(Sync!$AG423&gt;=10000101,Sync!$AG423&lt;=99991231),INT(Sync!$AG423/10000),""),IFERROR(VALUE(TRIM(LEFT(Sync!$AG423,FIND("/",Sync!$AG423)-1))),""))))</f>
        <v/>
      </c>
      <c r="H423">
        <f>IF(OR($F423="",$G423=""),"",IF(ISNUMBER(Sync!$AG423),INT(MOD(Sync!$AG423,10000)/100),IFERROR(VALUE(TRIM(LEFT(MID(Sync!$AG423,FIND("/",Sync!$AG423)+1,20),FIND("/",MID(Sync!$AG423,FIND("/",Sync!$AG423)+1,20))-1))),"")))</f>
        <v/>
      </c>
      <c r="I423">
        <f>IF(OR($F423="",$G423=""),"",IF(ISNUMBER(Sync!$AG423),MOD(Sync!$AG423,100),IFERROR(VALUE(TRIM(MID(MID(Sync!$AG423,FIND("/",Sync!$AG423)+1,20),FIND("/",MID(Sync!$AG423,FIND("/",Sync!$AG423)+1,20))+1,20))),"")))</f>
        <v/>
      </c>
      <c r="J423">
        <f>IF($F423="","",IF(OR($G423="",$H423="",$I423="",$G423&lt;1300,$G423&gt;1500,$H423&lt;1,$H423&gt;12,$I423&lt;1,$I423&gt;31),"نامعتبر",RIGHT("0000"&amp;$G423,4)&amp;"/"&amp;RIGHT("00"&amp;$H423,2)&amp;"/"&amp;RIGHT("00"&amp;$I423,2)))</f>
        <v/>
      </c>
      <c r="K423">
        <f>IF(OR($F423="",$J423="",$J423="نامعتبر"),"",LEFT($J423,4)&amp;MID($J423,6,2)&amp;RIGHT($J423,2)&amp;$N423&amp;"|"&amp;"2"&amp;RIGHT("00000"&amp;418,5))</f>
        <v/>
      </c>
      <c r="L423">
        <f>IF($K423="","",COUNTIFS(LdgPartyA,$F423,LdgKeyA,"&lt;"&amp;$K423)+COUNTIFS(LdgPartyB,$F423,LdgKeyB,"&lt;"&amp;$K423)+1)</f>
        <v/>
      </c>
      <c r="M423">
        <f>IF($L423="","",$F423&amp;"|"&amp;RIGHT("000000"&amp;$L423,6))</f>
        <v/>
      </c>
      <c r="N423">
        <f>IF($F423="","",IF(Sync!$AH423="","0000",IF(AND(ISNUMBER(Sync!$AH423),Sync!$AH423&gt;=0,Sync!$AH423&lt;1),RIGHT("00"&amp;HOUR(Sync!$AH423),2)&amp;RIGHT("00"&amp;MINUTE(Sync!$AH423),2),IFERROR(RIGHT("00"&amp;VALUE(LEFT(Sync!$AH423,FIND(":",Sync!$AH423)-1)),2)&amp;RIGHT("00"&amp;VALUE(MID(Sync!$AH423,FIND(":",Sync!$AH423)+1,2)),2),"0000"))))</f>
        <v/>
      </c>
    </row>
    <row r="424">
      <c r="A424">
        <f>IF(OR(Calc!$E427="",Calc!$E427="نامعتبر",Calc!$G427="",Calc!$I427&lt;&gt;"خرید"),"",Calc!$G427)</f>
        <v/>
      </c>
      <c r="B424">
        <f>IF($A424="","",LEFT(Calc!$E427,4)&amp;MID(Calc!$E427,6,2)&amp;RIGHT(Calc!$E427,2)&amp;Calc!$R427&amp;"|"&amp;"1"&amp;RIGHT("00000"&amp;419,5))</f>
        <v/>
      </c>
      <c r="C424">
        <f>IF($B424="","",COUNTIFS(LdgPartyA,$A424,LdgKeyA,"&lt;"&amp;$B424)+COUNTIFS(LdgPartyB,$A424,LdgKeyB,"&lt;"&amp;$B424)+1)</f>
        <v/>
      </c>
      <c r="D424">
        <f>IF($C424="","",$A424&amp;"|"&amp;RIGHT("000000"&amp;$C424,6))</f>
        <v/>
      </c>
      <c r="F424">
        <f>IF(Sync!$AJ424="","",Sync!$AJ424)</f>
        <v/>
      </c>
      <c r="G424">
        <f>IF($F424="","",IF(Sync!$AG424="","",IF(ISNUMBER(Sync!$AG424),IF(AND(Sync!$AG424&gt;=10000101,Sync!$AG424&lt;=99991231),INT(Sync!$AG424/10000),""),IFERROR(VALUE(TRIM(LEFT(Sync!$AG424,FIND("/",Sync!$AG424)-1))),""))))</f>
        <v/>
      </c>
      <c r="H424">
        <f>IF(OR($F424="",$G424=""),"",IF(ISNUMBER(Sync!$AG424),INT(MOD(Sync!$AG424,10000)/100),IFERROR(VALUE(TRIM(LEFT(MID(Sync!$AG424,FIND("/",Sync!$AG424)+1,20),FIND("/",MID(Sync!$AG424,FIND("/",Sync!$AG424)+1,20))-1))),"")))</f>
        <v/>
      </c>
      <c r="I424">
        <f>IF(OR($F424="",$G424=""),"",IF(ISNUMBER(Sync!$AG424),MOD(Sync!$AG424,100),IFERROR(VALUE(TRIM(MID(MID(Sync!$AG424,FIND("/",Sync!$AG424)+1,20),FIND("/",MID(Sync!$AG424,FIND("/",Sync!$AG424)+1,20))+1,20))),"")))</f>
        <v/>
      </c>
      <c r="J424">
        <f>IF($F424="","",IF(OR($G424="",$H424="",$I424="",$G424&lt;1300,$G424&gt;1500,$H424&lt;1,$H424&gt;12,$I424&lt;1,$I424&gt;31),"نامعتبر",RIGHT("0000"&amp;$G424,4)&amp;"/"&amp;RIGHT("00"&amp;$H424,2)&amp;"/"&amp;RIGHT("00"&amp;$I424,2)))</f>
        <v/>
      </c>
      <c r="K424">
        <f>IF(OR($F424="",$J424="",$J424="نامعتبر"),"",LEFT($J424,4)&amp;MID($J424,6,2)&amp;RIGHT($J424,2)&amp;$N424&amp;"|"&amp;"2"&amp;RIGHT("00000"&amp;419,5))</f>
        <v/>
      </c>
      <c r="L424">
        <f>IF($K424="","",COUNTIFS(LdgPartyA,$F424,LdgKeyA,"&lt;"&amp;$K424)+COUNTIFS(LdgPartyB,$F424,LdgKeyB,"&lt;"&amp;$K424)+1)</f>
        <v/>
      </c>
      <c r="M424">
        <f>IF($L424="","",$F424&amp;"|"&amp;RIGHT("000000"&amp;$L424,6))</f>
        <v/>
      </c>
      <c r="N424">
        <f>IF($F424="","",IF(Sync!$AH424="","0000",IF(AND(ISNUMBER(Sync!$AH424),Sync!$AH424&gt;=0,Sync!$AH424&lt;1),RIGHT("00"&amp;HOUR(Sync!$AH424),2)&amp;RIGHT("00"&amp;MINUTE(Sync!$AH424),2),IFERROR(RIGHT("00"&amp;VALUE(LEFT(Sync!$AH424,FIND(":",Sync!$AH424)-1)),2)&amp;RIGHT("00"&amp;VALUE(MID(Sync!$AH424,FIND(":",Sync!$AH424)+1,2)),2),"0000"))))</f>
        <v/>
      </c>
    </row>
    <row r="425">
      <c r="A425">
        <f>IF(OR(Calc!$E428="",Calc!$E428="نامعتبر",Calc!$G428="",Calc!$I428&lt;&gt;"خرید"),"",Calc!$G428)</f>
        <v/>
      </c>
      <c r="B425">
        <f>IF($A425="","",LEFT(Calc!$E428,4)&amp;MID(Calc!$E428,6,2)&amp;RIGHT(Calc!$E428,2)&amp;Calc!$R428&amp;"|"&amp;"1"&amp;RIGHT("00000"&amp;420,5))</f>
        <v/>
      </c>
      <c r="C425">
        <f>IF($B425="","",COUNTIFS(LdgPartyA,$A425,LdgKeyA,"&lt;"&amp;$B425)+COUNTIFS(LdgPartyB,$A425,LdgKeyB,"&lt;"&amp;$B425)+1)</f>
        <v/>
      </c>
      <c r="D425">
        <f>IF($C425="","",$A425&amp;"|"&amp;RIGHT("000000"&amp;$C425,6))</f>
        <v/>
      </c>
      <c r="F425">
        <f>IF(Sync!$AJ425="","",Sync!$AJ425)</f>
        <v/>
      </c>
      <c r="G425">
        <f>IF($F425="","",IF(Sync!$AG425="","",IF(ISNUMBER(Sync!$AG425),IF(AND(Sync!$AG425&gt;=10000101,Sync!$AG425&lt;=99991231),INT(Sync!$AG425/10000),""),IFERROR(VALUE(TRIM(LEFT(Sync!$AG425,FIND("/",Sync!$AG425)-1))),""))))</f>
        <v/>
      </c>
      <c r="H425">
        <f>IF(OR($F425="",$G425=""),"",IF(ISNUMBER(Sync!$AG425),INT(MOD(Sync!$AG425,10000)/100),IFERROR(VALUE(TRIM(LEFT(MID(Sync!$AG425,FIND("/",Sync!$AG425)+1,20),FIND("/",MID(Sync!$AG425,FIND("/",Sync!$AG425)+1,20))-1))),"")))</f>
        <v/>
      </c>
      <c r="I425">
        <f>IF(OR($F425="",$G425=""),"",IF(ISNUMBER(Sync!$AG425),MOD(Sync!$AG425,100),IFERROR(VALUE(TRIM(MID(MID(Sync!$AG425,FIND("/",Sync!$AG425)+1,20),FIND("/",MID(Sync!$AG425,FIND("/",Sync!$AG425)+1,20))+1,20))),"")))</f>
        <v/>
      </c>
      <c r="J425">
        <f>IF($F425="","",IF(OR($G425="",$H425="",$I425="",$G425&lt;1300,$G425&gt;1500,$H425&lt;1,$H425&gt;12,$I425&lt;1,$I425&gt;31),"نامعتبر",RIGHT("0000"&amp;$G425,4)&amp;"/"&amp;RIGHT("00"&amp;$H425,2)&amp;"/"&amp;RIGHT("00"&amp;$I425,2)))</f>
        <v/>
      </c>
      <c r="K425">
        <f>IF(OR($F425="",$J425="",$J425="نامعتبر"),"",LEFT($J425,4)&amp;MID($J425,6,2)&amp;RIGHT($J425,2)&amp;$N425&amp;"|"&amp;"2"&amp;RIGHT("00000"&amp;420,5))</f>
        <v/>
      </c>
      <c r="L425">
        <f>IF($K425="","",COUNTIFS(LdgPartyA,$F425,LdgKeyA,"&lt;"&amp;$K425)+COUNTIFS(LdgPartyB,$F425,LdgKeyB,"&lt;"&amp;$K425)+1)</f>
        <v/>
      </c>
      <c r="M425">
        <f>IF($L425="","",$F425&amp;"|"&amp;RIGHT("000000"&amp;$L425,6))</f>
        <v/>
      </c>
      <c r="N425">
        <f>IF($F425="","",IF(Sync!$AH425="","0000",IF(AND(ISNUMBER(Sync!$AH425),Sync!$AH425&gt;=0,Sync!$AH425&lt;1),RIGHT("00"&amp;HOUR(Sync!$AH425),2)&amp;RIGHT("00"&amp;MINUTE(Sync!$AH425),2),IFERROR(RIGHT("00"&amp;VALUE(LEFT(Sync!$AH425,FIND(":",Sync!$AH425)-1)),2)&amp;RIGHT("00"&amp;VALUE(MID(Sync!$AH425,FIND(":",Sync!$AH425)+1,2)),2),"0000"))))</f>
        <v/>
      </c>
    </row>
    <row r="426">
      <c r="A426">
        <f>IF(OR(Calc!$E429="",Calc!$E429="نامعتبر",Calc!$G429="",Calc!$I429&lt;&gt;"خرید"),"",Calc!$G429)</f>
        <v/>
      </c>
      <c r="B426">
        <f>IF($A426="","",LEFT(Calc!$E429,4)&amp;MID(Calc!$E429,6,2)&amp;RIGHT(Calc!$E429,2)&amp;Calc!$R429&amp;"|"&amp;"1"&amp;RIGHT("00000"&amp;421,5))</f>
        <v/>
      </c>
      <c r="C426">
        <f>IF($B426="","",COUNTIFS(LdgPartyA,$A426,LdgKeyA,"&lt;"&amp;$B426)+COUNTIFS(LdgPartyB,$A426,LdgKeyB,"&lt;"&amp;$B426)+1)</f>
        <v/>
      </c>
      <c r="D426">
        <f>IF($C426="","",$A426&amp;"|"&amp;RIGHT("000000"&amp;$C426,6))</f>
        <v/>
      </c>
      <c r="F426">
        <f>IF(Sync!$AJ426="","",Sync!$AJ426)</f>
        <v/>
      </c>
      <c r="G426">
        <f>IF($F426="","",IF(Sync!$AG426="","",IF(ISNUMBER(Sync!$AG426),IF(AND(Sync!$AG426&gt;=10000101,Sync!$AG426&lt;=99991231),INT(Sync!$AG426/10000),""),IFERROR(VALUE(TRIM(LEFT(Sync!$AG426,FIND("/",Sync!$AG426)-1))),""))))</f>
        <v/>
      </c>
      <c r="H426">
        <f>IF(OR($F426="",$G426=""),"",IF(ISNUMBER(Sync!$AG426),INT(MOD(Sync!$AG426,10000)/100),IFERROR(VALUE(TRIM(LEFT(MID(Sync!$AG426,FIND("/",Sync!$AG426)+1,20),FIND("/",MID(Sync!$AG426,FIND("/",Sync!$AG426)+1,20))-1))),"")))</f>
        <v/>
      </c>
      <c r="I426">
        <f>IF(OR($F426="",$G426=""),"",IF(ISNUMBER(Sync!$AG426),MOD(Sync!$AG426,100),IFERROR(VALUE(TRIM(MID(MID(Sync!$AG426,FIND("/",Sync!$AG426)+1,20),FIND("/",MID(Sync!$AG426,FIND("/",Sync!$AG426)+1,20))+1,20))),"")))</f>
        <v/>
      </c>
      <c r="J426">
        <f>IF($F426="","",IF(OR($G426="",$H426="",$I426="",$G426&lt;1300,$G426&gt;1500,$H426&lt;1,$H426&gt;12,$I426&lt;1,$I426&gt;31),"نامعتبر",RIGHT("0000"&amp;$G426,4)&amp;"/"&amp;RIGHT("00"&amp;$H426,2)&amp;"/"&amp;RIGHT("00"&amp;$I426,2)))</f>
        <v/>
      </c>
      <c r="K426">
        <f>IF(OR($F426="",$J426="",$J426="نامعتبر"),"",LEFT($J426,4)&amp;MID($J426,6,2)&amp;RIGHT($J426,2)&amp;$N426&amp;"|"&amp;"2"&amp;RIGHT("00000"&amp;421,5))</f>
        <v/>
      </c>
      <c r="L426">
        <f>IF($K426="","",COUNTIFS(LdgPartyA,$F426,LdgKeyA,"&lt;"&amp;$K426)+COUNTIFS(LdgPartyB,$F426,LdgKeyB,"&lt;"&amp;$K426)+1)</f>
        <v/>
      </c>
      <c r="M426">
        <f>IF($L426="","",$F426&amp;"|"&amp;RIGHT("000000"&amp;$L426,6))</f>
        <v/>
      </c>
      <c r="N426">
        <f>IF($F426="","",IF(Sync!$AH426="","0000",IF(AND(ISNUMBER(Sync!$AH426),Sync!$AH426&gt;=0,Sync!$AH426&lt;1),RIGHT("00"&amp;HOUR(Sync!$AH426),2)&amp;RIGHT("00"&amp;MINUTE(Sync!$AH426),2),IFERROR(RIGHT("00"&amp;VALUE(LEFT(Sync!$AH426,FIND(":",Sync!$AH426)-1)),2)&amp;RIGHT("00"&amp;VALUE(MID(Sync!$AH426,FIND(":",Sync!$AH426)+1,2)),2),"0000"))))</f>
        <v/>
      </c>
    </row>
    <row r="427">
      <c r="A427">
        <f>IF(OR(Calc!$E430="",Calc!$E430="نامعتبر",Calc!$G430="",Calc!$I430&lt;&gt;"خرید"),"",Calc!$G430)</f>
        <v/>
      </c>
      <c r="B427">
        <f>IF($A427="","",LEFT(Calc!$E430,4)&amp;MID(Calc!$E430,6,2)&amp;RIGHT(Calc!$E430,2)&amp;Calc!$R430&amp;"|"&amp;"1"&amp;RIGHT("00000"&amp;422,5))</f>
        <v/>
      </c>
      <c r="C427">
        <f>IF($B427="","",COUNTIFS(LdgPartyA,$A427,LdgKeyA,"&lt;"&amp;$B427)+COUNTIFS(LdgPartyB,$A427,LdgKeyB,"&lt;"&amp;$B427)+1)</f>
        <v/>
      </c>
      <c r="D427">
        <f>IF($C427="","",$A427&amp;"|"&amp;RIGHT("000000"&amp;$C427,6))</f>
        <v/>
      </c>
      <c r="F427">
        <f>IF(Sync!$AJ427="","",Sync!$AJ427)</f>
        <v/>
      </c>
      <c r="G427">
        <f>IF($F427="","",IF(Sync!$AG427="","",IF(ISNUMBER(Sync!$AG427),IF(AND(Sync!$AG427&gt;=10000101,Sync!$AG427&lt;=99991231),INT(Sync!$AG427/10000),""),IFERROR(VALUE(TRIM(LEFT(Sync!$AG427,FIND("/",Sync!$AG427)-1))),""))))</f>
        <v/>
      </c>
      <c r="H427">
        <f>IF(OR($F427="",$G427=""),"",IF(ISNUMBER(Sync!$AG427),INT(MOD(Sync!$AG427,10000)/100),IFERROR(VALUE(TRIM(LEFT(MID(Sync!$AG427,FIND("/",Sync!$AG427)+1,20),FIND("/",MID(Sync!$AG427,FIND("/",Sync!$AG427)+1,20))-1))),"")))</f>
        <v/>
      </c>
      <c r="I427">
        <f>IF(OR($F427="",$G427=""),"",IF(ISNUMBER(Sync!$AG427),MOD(Sync!$AG427,100),IFERROR(VALUE(TRIM(MID(MID(Sync!$AG427,FIND("/",Sync!$AG427)+1,20),FIND("/",MID(Sync!$AG427,FIND("/",Sync!$AG427)+1,20))+1,20))),"")))</f>
        <v/>
      </c>
      <c r="J427">
        <f>IF($F427="","",IF(OR($G427="",$H427="",$I427="",$G427&lt;1300,$G427&gt;1500,$H427&lt;1,$H427&gt;12,$I427&lt;1,$I427&gt;31),"نامعتبر",RIGHT("0000"&amp;$G427,4)&amp;"/"&amp;RIGHT("00"&amp;$H427,2)&amp;"/"&amp;RIGHT("00"&amp;$I427,2)))</f>
        <v/>
      </c>
      <c r="K427">
        <f>IF(OR($F427="",$J427="",$J427="نامعتبر"),"",LEFT($J427,4)&amp;MID($J427,6,2)&amp;RIGHT($J427,2)&amp;$N427&amp;"|"&amp;"2"&amp;RIGHT("00000"&amp;422,5))</f>
        <v/>
      </c>
      <c r="L427">
        <f>IF($K427="","",COUNTIFS(LdgPartyA,$F427,LdgKeyA,"&lt;"&amp;$K427)+COUNTIFS(LdgPartyB,$F427,LdgKeyB,"&lt;"&amp;$K427)+1)</f>
        <v/>
      </c>
      <c r="M427">
        <f>IF($L427="","",$F427&amp;"|"&amp;RIGHT("000000"&amp;$L427,6))</f>
        <v/>
      </c>
      <c r="N427">
        <f>IF($F427="","",IF(Sync!$AH427="","0000",IF(AND(ISNUMBER(Sync!$AH427),Sync!$AH427&gt;=0,Sync!$AH427&lt;1),RIGHT("00"&amp;HOUR(Sync!$AH427),2)&amp;RIGHT("00"&amp;MINUTE(Sync!$AH427),2),IFERROR(RIGHT("00"&amp;VALUE(LEFT(Sync!$AH427,FIND(":",Sync!$AH427)-1)),2)&amp;RIGHT("00"&amp;VALUE(MID(Sync!$AH427,FIND(":",Sync!$AH427)+1,2)),2),"0000"))))</f>
        <v/>
      </c>
    </row>
    <row r="428">
      <c r="A428">
        <f>IF(OR(Calc!$E431="",Calc!$E431="نامعتبر",Calc!$G431="",Calc!$I431&lt;&gt;"خرید"),"",Calc!$G431)</f>
        <v/>
      </c>
      <c r="B428">
        <f>IF($A428="","",LEFT(Calc!$E431,4)&amp;MID(Calc!$E431,6,2)&amp;RIGHT(Calc!$E431,2)&amp;Calc!$R431&amp;"|"&amp;"1"&amp;RIGHT("00000"&amp;423,5))</f>
        <v/>
      </c>
      <c r="C428">
        <f>IF($B428="","",COUNTIFS(LdgPartyA,$A428,LdgKeyA,"&lt;"&amp;$B428)+COUNTIFS(LdgPartyB,$A428,LdgKeyB,"&lt;"&amp;$B428)+1)</f>
        <v/>
      </c>
      <c r="D428">
        <f>IF($C428="","",$A428&amp;"|"&amp;RIGHT("000000"&amp;$C428,6))</f>
        <v/>
      </c>
      <c r="F428">
        <f>IF(Sync!$AJ428="","",Sync!$AJ428)</f>
        <v/>
      </c>
      <c r="G428">
        <f>IF($F428="","",IF(Sync!$AG428="","",IF(ISNUMBER(Sync!$AG428),IF(AND(Sync!$AG428&gt;=10000101,Sync!$AG428&lt;=99991231),INT(Sync!$AG428/10000),""),IFERROR(VALUE(TRIM(LEFT(Sync!$AG428,FIND("/",Sync!$AG428)-1))),""))))</f>
        <v/>
      </c>
      <c r="H428">
        <f>IF(OR($F428="",$G428=""),"",IF(ISNUMBER(Sync!$AG428),INT(MOD(Sync!$AG428,10000)/100),IFERROR(VALUE(TRIM(LEFT(MID(Sync!$AG428,FIND("/",Sync!$AG428)+1,20),FIND("/",MID(Sync!$AG428,FIND("/",Sync!$AG428)+1,20))-1))),"")))</f>
        <v/>
      </c>
      <c r="I428">
        <f>IF(OR($F428="",$G428=""),"",IF(ISNUMBER(Sync!$AG428),MOD(Sync!$AG428,100),IFERROR(VALUE(TRIM(MID(MID(Sync!$AG428,FIND("/",Sync!$AG428)+1,20),FIND("/",MID(Sync!$AG428,FIND("/",Sync!$AG428)+1,20))+1,20))),"")))</f>
        <v/>
      </c>
      <c r="J428">
        <f>IF($F428="","",IF(OR($G428="",$H428="",$I428="",$G428&lt;1300,$G428&gt;1500,$H428&lt;1,$H428&gt;12,$I428&lt;1,$I428&gt;31),"نامعتبر",RIGHT("0000"&amp;$G428,4)&amp;"/"&amp;RIGHT("00"&amp;$H428,2)&amp;"/"&amp;RIGHT("00"&amp;$I428,2)))</f>
        <v/>
      </c>
      <c r="K428">
        <f>IF(OR($F428="",$J428="",$J428="نامعتبر"),"",LEFT($J428,4)&amp;MID($J428,6,2)&amp;RIGHT($J428,2)&amp;$N428&amp;"|"&amp;"2"&amp;RIGHT("00000"&amp;423,5))</f>
        <v/>
      </c>
      <c r="L428">
        <f>IF($K428="","",COUNTIFS(LdgPartyA,$F428,LdgKeyA,"&lt;"&amp;$K428)+COUNTIFS(LdgPartyB,$F428,LdgKeyB,"&lt;"&amp;$K428)+1)</f>
        <v/>
      </c>
      <c r="M428">
        <f>IF($L428="","",$F428&amp;"|"&amp;RIGHT("000000"&amp;$L428,6))</f>
        <v/>
      </c>
      <c r="N428">
        <f>IF($F428="","",IF(Sync!$AH428="","0000",IF(AND(ISNUMBER(Sync!$AH428),Sync!$AH428&gt;=0,Sync!$AH428&lt;1),RIGHT("00"&amp;HOUR(Sync!$AH428),2)&amp;RIGHT("00"&amp;MINUTE(Sync!$AH428),2),IFERROR(RIGHT("00"&amp;VALUE(LEFT(Sync!$AH428,FIND(":",Sync!$AH428)-1)),2)&amp;RIGHT("00"&amp;VALUE(MID(Sync!$AH428,FIND(":",Sync!$AH428)+1,2)),2),"0000"))))</f>
        <v/>
      </c>
    </row>
    <row r="429">
      <c r="A429">
        <f>IF(OR(Calc!$E432="",Calc!$E432="نامعتبر",Calc!$G432="",Calc!$I432&lt;&gt;"خرید"),"",Calc!$G432)</f>
        <v/>
      </c>
      <c r="B429">
        <f>IF($A429="","",LEFT(Calc!$E432,4)&amp;MID(Calc!$E432,6,2)&amp;RIGHT(Calc!$E432,2)&amp;Calc!$R432&amp;"|"&amp;"1"&amp;RIGHT("00000"&amp;424,5))</f>
        <v/>
      </c>
      <c r="C429">
        <f>IF($B429="","",COUNTIFS(LdgPartyA,$A429,LdgKeyA,"&lt;"&amp;$B429)+COUNTIFS(LdgPartyB,$A429,LdgKeyB,"&lt;"&amp;$B429)+1)</f>
        <v/>
      </c>
      <c r="D429">
        <f>IF($C429="","",$A429&amp;"|"&amp;RIGHT("000000"&amp;$C429,6))</f>
        <v/>
      </c>
      <c r="F429">
        <f>IF(Sync!$AJ429="","",Sync!$AJ429)</f>
        <v/>
      </c>
      <c r="G429">
        <f>IF($F429="","",IF(Sync!$AG429="","",IF(ISNUMBER(Sync!$AG429),IF(AND(Sync!$AG429&gt;=10000101,Sync!$AG429&lt;=99991231),INT(Sync!$AG429/10000),""),IFERROR(VALUE(TRIM(LEFT(Sync!$AG429,FIND("/",Sync!$AG429)-1))),""))))</f>
        <v/>
      </c>
      <c r="H429">
        <f>IF(OR($F429="",$G429=""),"",IF(ISNUMBER(Sync!$AG429),INT(MOD(Sync!$AG429,10000)/100),IFERROR(VALUE(TRIM(LEFT(MID(Sync!$AG429,FIND("/",Sync!$AG429)+1,20),FIND("/",MID(Sync!$AG429,FIND("/",Sync!$AG429)+1,20))-1))),"")))</f>
        <v/>
      </c>
      <c r="I429">
        <f>IF(OR($F429="",$G429=""),"",IF(ISNUMBER(Sync!$AG429),MOD(Sync!$AG429,100),IFERROR(VALUE(TRIM(MID(MID(Sync!$AG429,FIND("/",Sync!$AG429)+1,20),FIND("/",MID(Sync!$AG429,FIND("/",Sync!$AG429)+1,20))+1,20))),"")))</f>
        <v/>
      </c>
      <c r="J429">
        <f>IF($F429="","",IF(OR($G429="",$H429="",$I429="",$G429&lt;1300,$G429&gt;1500,$H429&lt;1,$H429&gt;12,$I429&lt;1,$I429&gt;31),"نامعتبر",RIGHT("0000"&amp;$G429,4)&amp;"/"&amp;RIGHT("00"&amp;$H429,2)&amp;"/"&amp;RIGHT("00"&amp;$I429,2)))</f>
        <v/>
      </c>
      <c r="K429">
        <f>IF(OR($F429="",$J429="",$J429="نامعتبر"),"",LEFT($J429,4)&amp;MID($J429,6,2)&amp;RIGHT($J429,2)&amp;$N429&amp;"|"&amp;"2"&amp;RIGHT("00000"&amp;424,5))</f>
        <v/>
      </c>
      <c r="L429">
        <f>IF($K429="","",COUNTIFS(LdgPartyA,$F429,LdgKeyA,"&lt;"&amp;$K429)+COUNTIFS(LdgPartyB,$F429,LdgKeyB,"&lt;"&amp;$K429)+1)</f>
        <v/>
      </c>
      <c r="M429">
        <f>IF($L429="","",$F429&amp;"|"&amp;RIGHT("000000"&amp;$L429,6))</f>
        <v/>
      </c>
      <c r="N429">
        <f>IF($F429="","",IF(Sync!$AH429="","0000",IF(AND(ISNUMBER(Sync!$AH429),Sync!$AH429&gt;=0,Sync!$AH429&lt;1),RIGHT("00"&amp;HOUR(Sync!$AH429),2)&amp;RIGHT("00"&amp;MINUTE(Sync!$AH429),2),IFERROR(RIGHT("00"&amp;VALUE(LEFT(Sync!$AH429,FIND(":",Sync!$AH429)-1)),2)&amp;RIGHT("00"&amp;VALUE(MID(Sync!$AH429,FIND(":",Sync!$AH429)+1,2)),2),"0000"))))</f>
        <v/>
      </c>
    </row>
    <row r="430">
      <c r="A430">
        <f>IF(OR(Calc!$E433="",Calc!$E433="نامعتبر",Calc!$G433="",Calc!$I433&lt;&gt;"خرید"),"",Calc!$G433)</f>
        <v/>
      </c>
      <c r="B430">
        <f>IF($A430="","",LEFT(Calc!$E433,4)&amp;MID(Calc!$E433,6,2)&amp;RIGHT(Calc!$E433,2)&amp;Calc!$R433&amp;"|"&amp;"1"&amp;RIGHT("00000"&amp;425,5))</f>
        <v/>
      </c>
      <c r="C430">
        <f>IF($B430="","",COUNTIFS(LdgPartyA,$A430,LdgKeyA,"&lt;"&amp;$B430)+COUNTIFS(LdgPartyB,$A430,LdgKeyB,"&lt;"&amp;$B430)+1)</f>
        <v/>
      </c>
      <c r="D430">
        <f>IF($C430="","",$A430&amp;"|"&amp;RIGHT("000000"&amp;$C430,6))</f>
        <v/>
      </c>
      <c r="F430">
        <f>IF(Sync!$AJ430="","",Sync!$AJ430)</f>
        <v/>
      </c>
      <c r="G430">
        <f>IF($F430="","",IF(Sync!$AG430="","",IF(ISNUMBER(Sync!$AG430),IF(AND(Sync!$AG430&gt;=10000101,Sync!$AG430&lt;=99991231),INT(Sync!$AG430/10000),""),IFERROR(VALUE(TRIM(LEFT(Sync!$AG430,FIND("/",Sync!$AG430)-1))),""))))</f>
        <v/>
      </c>
      <c r="H430">
        <f>IF(OR($F430="",$G430=""),"",IF(ISNUMBER(Sync!$AG430),INT(MOD(Sync!$AG430,10000)/100),IFERROR(VALUE(TRIM(LEFT(MID(Sync!$AG430,FIND("/",Sync!$AG430)+1,20),FIND("/",MID(Sync!$AG430,FIND("/",Sync!$AG430)+1,20))-1))),"")))</f>
        <v/>
      </c>
      <c r="I430">
        <f>IF(OR($F430="",$G430=""),"",IF(ISNUMBER(Sync!$AG430),MOD(Sync!$AG430,100),IFERROR(VALUE(TRIM(MID(MID(Sync!$AG430,FIND("/",Sync!$AG430)+1,20),FIND("/",MID(Sync!$AG430,FIND("/",Sync!$AG430)+1,20))+1,20))),"")))</f>
        <v/>
      </c>
      <c r="J430">
        <f>IF($F430="","",IF(OR($G430="",$H430="",$I430="",$G430&lt;1300,$G430&gt;1500,$H430&lt;1,$H430&gt;12,$I430&lt;1,$I430&gt;31),"نامعتبر",RIGHT("0000"&amp;$G430,4)&amp;"/"&amp;RIGHT("00"&amp;$H430,2)&amp;"/"&amp;RIGHT("00"&amp;$I430,2)))</f>
        <v/>
      </c>
      <c r="K430">
        <f>IF(OR($F430="",$J430="",$J430="نامعتبر"),"",LEFT($J430,4)&amp;MID($J430,6,2)&amp;RIGHT($J430,2)&amp;$N430&amp;"|"&amp;"2"&amp;RIGHT("00000"&amp;425,5))</f>
        <v/>
      </c>
      <c r="L430">
        <f>IF($K430="","",COUNTIFS(LdgPartyA,$F430,LdgKeyA,"&lt;"&amp;$K430)+COUNTIFS(LdgPartyB,$F430,LdgKeyB,"&lt;"&amp;$K430)+1)</f>
        <v/>
      </c>
      <c r="M430">
        <f>IF($L430="","",$F430&amp;"|"&amp;RIGHT("000000"&amp;$L430,6))</f>
        <v/>
      </c>
      <c r="N430">
        <f>IF($F430="","",IF(Sync!$AH430="","0000",IF(AND(ISNUMBER(Sync!$AH430),Sync!$AH430&gt;=0,Sync!$AH430&lt;1),RIGHT("00"&amp;HOUR(Sync!$AH430),2)&amp;RIGHT("00"&amp;MINUTE(Sync!$AH430),2),IFERROR(RIGHT("00"&amp;VALUE(LEFT(Sync!$AH430,FIND(":",Sync!$AH430)-1)),2)&amp;RIGHT("00"&amp;VALUE(MID(Sync!$AH430,FIND(":",Sync!$AH430)+1,2)),2),"0000"))))</f>
        <v/>
      </c>
    </row>
    <row r="431">
      <c r="A431">
        <f>IF(OR(Calc!$E434="",Calc!$E434="نامعتبر",Calc!$G434="",Calc!$I434&lt;&gt;"خرید"),"",Calc!$G434)</f>
        <v/>
      </c>
      <c r="B431">
        <f>IF($A431="","",LEFT(Calc!$E434,4)&amp;MID(Calc!$E434,6,2)&amp;RIGHT(Calc!$E434,2)&amp;Calc!$R434&amp;"|"&amp;"1"&amp;RIGHT("00000"&amp;426,5))</f>
        <v/>
      </c>
      <c r="C431">
        <f>IF($B431="","",COUNTIFS(LdgPartyA,$A431,LdgKeyA,"&lt;"&amp;$B431)+COUNTIFS(LdgPartyB,$A431,LdgKeyB,"&lt;"&amp;$B431)+1)</f>
        <v/>
      </c>
      <c r="D431">
        <f>IF($C431="","",$A431&amp;"|"&amp;RIGHT("000000"&amp;$C431,6))</f>
        <v/>
      </c>
      <c r="F431">
        <f>IF(Sync!$AJ431="","",Sync!$AJ431)</f>
        <v/>
      </c>
      <c r="G431">
        <f>IF($F431="","",IF(Sync!$AG431="","",IF(ISNUMBER(Sync!$AG431),IF(AND(Sync!$AG431&gt;=10000101,Sync!$AG431&lt;=99991231),INT(Sync!$AG431/10000),""),IFERROR(VALUE(TRIM(LEFT(Sync!$AG431,FIND("/",Sync!$AG431)-1))),""))))</f>
        <v/>
      </c>
      <c r="H431">
        <f>IF(OR($F431="",$G431=""),"",IF(ISNUMBER(Sync!$AG431),INT(MOD(Sync!$AG431,10000)/100),IFERROR(VALUE(TRIM(LEFT(MID(Sync!$AG431,FIND("/",Sync!$AG431)+1,20),FIND("/",MID(Sync!$AG431,FIND("/",Sync!$AG431)+1,20))-1))),"")))</f>
        <v/>
      </c>
      <c r="I431">
        <f>IF(OR($F431="",$G431=""),"",IF(ISNUMBER(Sync!$AG431),MOD(Sync!$AG431,100),IFERROR(VALUE(TRIM(MID(MID(Sync!$AG431,FIND("/",Sync!$AG431)+1,20),FIND("/",MID(Sync!$AG431,FIND("/",Sync!$AG431)+1,20))+1,20))),"")))</f>
        <v/>
      </c>
      <c r="J431">
        <f>IF($F431="","",IF(OR($G431="",$H431="",$I431="",$G431&lt;1300,$G431&gt;1500,$H431&lt;1,$H431&gt;12,$I431&lt;1,$I431&gt;31),"نامعتبر",RIGHT("0000"&amp;$G431,4)&amp;"/"&amp;RIGHT("00"&amp;$H431,2)&amp;"/"&amp;RIGHT("00"&amp;$I431,2)))</f>
        <v/>
      </c>
      <c r="K431">
        <f>IF(OR($F431="",$J431="",$J431="نامعتبر"),"",LEFT($J431,4)&amp;MID($J431,6,2)&amp;RIGHT($J431,2)&amp;$N431&amp;"|"&amp;"2"&amp;RIGHT("00000"&amp;426,5))</f>
        <v/>
      </c>
      <c r="L431">
        <f>IF($K431="","",COUNTIFS(LdgPartyA,$F431,LdgKeyA,"&lt;"&amp;$K431)+COUNTIFS(LdgPartyB,$F431,LdgKeyB,"&lt;"&amp;$K431)+1)</f>
        <v/>
      </c>
      <c r="M431">
        <f>IF($L431="","",$F431&amp;"|"&amp;RIGHT("000000"&amp;$L431,6))</f>
        <v/>
      </c>
      <c r="N431">
        <f>IF($F431="","",IF(Sync!$AH431="","0000",IF(AND(ISNUMBER(Sync!$AH431),Sync!$AH431&gt;=0,Sync!$AH431&lt;1),RIGHT("00"&amp;HOUR(Sync!$AH431),2)&amp;RIGHT("00"&amp;MINUTE(Sync!$AH431),2),IFERROR(RIGHT("00"&amp;VALUE(LEFT(Sync!$AH431,FIND(":",Sync!$AH431)-1)),2)&amp;RIGHT("00"&amp;VALUE(MID(Sync!$AH431,FIND(":",Sync!$AH431)+1,2)),2),"0000"))))</f>
        <v/>
      </c>
    </row>
    <row r="432">
      <c r="A432">
        <f>IF(OR(Calc!$E435="",Calc!$E435="نامعتبر",Calc!$G435="",Calc!$I435&lt;&gt;"خرید"),"",Calc!$G435)</f>
        <v/>
      </c>
      <c r="B432">
        <f>IF($A432="","",LEFT(Calc!$E435,4)&amp;MID(Calc!$E435,6,2)&amp;RIGHT(Calc!$E435,2)&amp;Calc!$R435&amp;"|"&amp;"1"&amp;RIGHT("00000"&amp;427,5))</f>
        <v/>
      </c>
      <c r="C432">
        <f>IF($B432="","",COUNTIFS(LdgPartyA,$A432,LdgKeyA,"&lt;"&amp;$B432)+COUNTIFS(LdgPartyB,$A432,LdgKeyB,"&lt;"&amp;$B432)+1)</f>
        <v/>
      </c>
      <c r="D432">
        <f>IF($C432="","",$A432&amp;"|"&amp;RIGHT("000000"&amp;$C432,6))</f>
        <v/>
      </c>
      <c r="F432">
        <f>IF(Sync!$AJ432="","",Sync!$AJ432)</f>
        <v/>
      </c>
      <c r="G432">
        <f>IF($F432="","",IF(Sync!$AG432="","",IF(ISNUMBER(Sync!$AG432),IF(AND(Sync!$AG432&gt;=10000101,Sync!$AG432&lt;=99991231),INT(Sync!$AG432/10000),""),IFERROR(VALUE(TRIM(LEFT(Sync!$AG432,FIND("/",Sync!$AG432)-1))),""))))</f>
        <v/>
      </c>
      <c r="H432">
        <f>IF(OR($F432="",$G432=""),"",IF(ISNUMBER(Sync!$AG432),INT(MOD(Sync!$AG432,10000)/100),IFERROR(VALUE(TRIM(LEFT(MID(Sync!$AG432,FIND("/",Sync!$AG432)+1,20),FIND("/",MID(Sync!$AG432,FIND("/",Sync!$AG432)+1,20))-1))),"")))</f>
        <v/>
      </c>
      <c r="I432">
        <f>IF(OR($F432="",$G432=""),"",IF(ISNUMBER(Sync!$AG432),MOD(Sync!$AG432,100),IFERROR(VALUE(TRIM(MID(MID(Sync!$AG432,FIND("/",Sync!$AG432)+1,20),FIND("/",MID(Sync!$AG432,FIND("/",Sync!$AG432)+1,20))+1,20))),"")))</f>
        <v/>
      </c>
      <c r="J432">
        <f>IF($F432="","",IF(OR($G432="",$H432="",$I432="",$G432&lt;1300,$G432&gt;1500,$H432&lt;1,$H432&gt;12,$I432&lt;1,$I432&gt;31),"نامعتبر",RIGHT("0000"&amp;$G432,4)&amp;"/"&amp;RIGHT("00"&amp;$H432,2)&amp;"/"&amp;RIGHT("00"&amp;$I432,2)))</f>
        <v/>
      </c>
      <c r="K432">
        <f>IF(OR($F432="",$J432="",$J432="نامعتبر"),"",LEFT($J432,4)&amp;MID($J432,6,2)&amp;RIGHT($J432,2)&amp;$N432&amp;"|"&amp;"2"&amp;RIGHT("00000"&amp;427,5))</f>
        <v/>
      </c>
      <c r="L432">
        <f>IF($K432="","",COUNTIFS(LdgPartyA,$F432,LdgKeyA,"&lt;"&amp;$K432)+COUNTIFS(LdgPartyB,$F432,LdgKeyB,"&lt;"&amp;$K432)+1)</f>
        <v/>
      </c>
      <c r="M432">
        <f>IF($L432="","",$F432&amp;"|"&amp;RIGHT("000000"&amp;$L432,6))</f>
        <v/>
      </c>
      <c r="N432">
        <f>IF($F432="","",IF(Sync!$AH432="","0000",IF(AND(ISNUMBER(Sync!$AH432),Sync!$AH432&gt;=0,Sync!$AH432&lt;1),RIGHT("00"&amp;HOUR(Sync!$AH432),2)&amp;RIGHT("00"&amp;MINUTE(Sync!$AH432),2),IFERROR(RIGHT("00"&amp;VALUE(LEFT(Sync!$AH432,FIND(":",Sync!$AH432)-1)),2)&amp;RIGHT("00"&amp;VALUE(MID(Sync!$AH432,FIND(":",Sync!$AH432)+1,2)),2),"0000"))))</f>
        <v/>
      </c>
    </row>
    <row r="433">
      <c r="A433">
        <f>IF(OR(Calc!$E436="",Calc!$E436="نامعتبر",Calc!$G436="",Calc!$I436&lt;&gt;"خرید"),"",Calc!$G436)</f>
        <v/>
      </c>
      <c r="B433">
        <f>IF($A433="","",LEFT(Calc!$E436,4)&amp;MID(Calc!$E436,6,2)&amp;RIGHT(Calc!$E436,2)&amp;Calc!$R436&amp;"|"&amp;"1"&amp;RIGHT("00000"&amp;428,5))</f>
        <v/>
      </c>
      <c r="C433">
        <f>IF($B433="","",COUNTIFS(LdgPartyA,$A433,LdgKeyA,"&lt;"&amp;$B433)+COUNTIFS(LdgPartyB,$A433,LdgKeyB,"&lt;"&amp;$B433)+1)</f>
        <v/>
      </c>
      <c r="D433">
        <f>IF($C433="","",$A433&amp;"|"&amp;RIGHT("000000"&amp;$C433,6))</f>
        <v/>
      </c>
      <c r="F433">
        <f>IF(Sync!$AJ433="","",Sync!$AJ433)</f>
        <v/>
      </c>
      <c r="G433">
        <f>IF($F433="","",IF(Sync!$AG433="","",IF(ISNUMBER(Sync!$AG433),IF(AND(Sync!$AG433&gt;=10000101,Sync!$AG433&lt;=99991231),INT(Sync!$AG433/10000),""),IFERROR(VALUE(TRIM(LEFT(Sync!$AG433,FIND("/",Sync!$AG433)-1))),""))))</f>
        <v/>
      </c>
      <c r="H433">
        <f>IF(OR($F433="",$G433=""),"",IF(ISNUMBER(Sync!$AG433),INT(MOD(Sync!$AG433,10000)/100),IFERROR(VALUE(TRIM(LEFT(MID(Sync!$AG433,FIND("/",Sync!$AG433)+1,20),FIND("/",MID(Sync!$AG433,FIND("/",Sync!$AG433)+1,20))-1))),"")))</f>
        <v/>
      </c>
      <c r="I433">
        <f>IF(OR($F433="",$G433=""),"",IF(ISNUMBER(Sync!$AG433),MOD(Sync!$AG433,100),IFERROR(VALUE(TRIM(MID(MID(Sync!$AG433,FIND("/",Sync!$AG433)+1,20),FIND("/",MID(Sync!$AG433,FIND("/",Sync!$AG433)+1,20))+1,20))),"")))</f>
        <v/>
      </c>
      <c r="J433">
        <f>IF($F433="","",IF(OR($G433="",$H433="",$I433="",$G433&lt;1300,$G433&gt;1500,$H433&lt;1,$H433&gt;12,$I433&lt;1,$I433&gt;31),"نامعتبر",RIGHT("0000"&amp;$G433,4)&amp;"/"&amp;RIGHT("00"&amp;$H433,2)&amp;"/"&amp;RIGHT("00"&amp;$I433,2)))</f>
        <v/>
      </c>
      <c r="K433">
        <f>IF(OR($F433="",$J433="",$J433="نامعتبر"),"",LEFT($J433,4)&amp;MID($J433,6,2)&amp;RIGHT($J433,2)&amp;$N433&amp;"|"&amp;"2"&amp;RIGHT("00000"&amp;428,5))</f>
        <v/>
      </c>
      <c r="L433">
        <f>IF($K433="","",COUNTIFS(LdgPartyA,$F433,LdgKeyA,"&lt;"&amp;$K433)+COUNTIFS(LdgPartyB,$F433,LdgKeyB,"&lt;"&amp;$K433)+1)</f>
        <v/>
      </c>
      <c r="M433">
        <f>IF($L433="","",$F433&amp;"|"&amp;RIGHT("000000"&amp;$L433,6))</f>
        <v/>
      </c>
      <c r="N433">
        <f>IF($F433="","",IF(Sync!$AH433="","0000",IF(AND(ISNUMBER(Sync!$AH433),Sync!$AH433&gt;=0,Sync!$AH433&lt;1),RIGHT("00"&amp;HOUR(Sync!$AH433),2)&amp;RIGHT("00"&amp;MINUTE(Sync!$AH433),2),IFERROR(RIGHT("00"&amp;VALUE(LEFT(Sync!$AH433,FIND(":",Sync!$AH433)-1)),2)&amp;RIGHT("00"&amp;VALUE(MID(Sync!$AH433,FIND(":",Sync!$AH433)+1,2)),2),"0000"))))</f>
        <v/>
      </c>
    </row>
    <row r="434">
      <c r="A434">
        <f>IF(OR(Calc!$E437="",Calc!$E437="نامعتبر",Calc!$G437="",Calc!$I437&lt;&gt;"خرید"),"",Calc!$G437)</f>
        <v/>
      </c>
      <c r="B434">
        <f>IF($A434="","",LEFT(Calc!$E437,4)&amp;MID(Calc!$E437,6,2)&amp;RIGHT(Calc!$E437,2)&amp;Calc!$R437&amp;"|"&amp;"1"&amp;RIGHT("00000"&amp;429,5))</f>
        <v/>
      </c>
      <c r="C434">
        <f>IF($B434="","",COUNTIFS(LdgPartyA,$A434,LdgKeyA,"&lt;"&amp;$B434)+COUNTIFS(LdgPartyB,$A434,LdgKeyB,"&lt;"&amp;$B434)+1)</f>
        <v/>
      </c>
      <c r="D434">
        <f>IF($C434="","",$A434&amp;"|"&amp;RIGHT("000000"&amp;$C434,6))</f>
        <v/>
      </c>
      <c r="F434">
        <f>IF(Sync!$AJ434="","",Sync!$AJ434)</f>
        <v/>
      </c>
      <c r="G434">
        <f>IF($F434="","",IF(Sync!$AG434="","",IF(ISNUMBER(Sync!$AG434),IF(AND(Sync!$AG434&gt;=10000101,Sync!$AG434&lt;=99991231),INT(Sync!$AG434/10000),""),IFERROR(VALUE(TRIM(LEFT(Sync!$AG434,FIND("/",Sync!$AG434)-1))),""))))</f>
        <v/>
      </c>
      <c r="H434">
        <f>IF(OR($F434="",$G434=""),"",IF(ISNUMBER(Sync!$AG434),INT(MOD(Sync!$AG434,10000)/100),IFERROR(VALUE(TRIM(LEFT(MID(Sync!$AG434,FIND("/",Sync!$AG434)+1,20),FIND("/",MID(Sync!$AG434,FIND("/",Sync!$AG434)+1,20))-1))),"")))</f>
        <v/>
      </c>
      <c r="I434">
        <f>IF(OR($F434="",$G434=""),"",IF(ISNUMBER(Sync!$AG434),MOD(Sync!$AG434,100),IFERROR(VALUE(TRIM(MID(MID(Sync!$AG434,FIND("/",Sync!$AG434)+1,20),FIND("/",MID(Sync!$AG434,FIND("/",Sync!$AG434)+1,20))+1,20))),"")))</f>
        <v/>
      </c>
      <c r="J434">
        <f>IF($F434="","",IF(OR($G434="",$H434="",$I434="",$G434&lt;1300,$G434&gt;1500,$H434&lt;1,$H434&gt;12,$I434&lt;1,$I434&gt;31),"نامعتبر",RIGHT("0000"&amp;$G434,4)&amp;"/"&amp;RIGHT("00"&amp;$H434,2)&amp;"/"&amp;RIGHT("00"&amp;$I434,2)))</f>
        <v/>
      </c>
      <c r="K434">
        <f>IF(OR($F434="",$J434="",$J434="نامعتبر"),"",LEFT($J434,4)&amp;MID($J434,6,2)&amp;RIGHT($J434,2)&amp;$N434&amp;"|"&amp;"2"&amp;RIGHT("00000"&amp;429,5))</f>
        <v/>
      </c>
      <c r="L434">
        <f>IF($K434="","",COUNTIFS(LdgPartyA,$F434,LdgKeyA,"&lt;"&amp;$K434)+COUNTIFS(LdgPartyB,$F434,LdgKeyB,"&lt;"&amp;$K434)+1)</f>
        <v/>
      </c>
      <c r="M434">
        <f>IF($L434="","",$F434&amp;"|"&amp;RIGHT("000000"&amp;$L434,6))</f>
        <v/>
      </c>
      <c r="N434">
        <f>IF($F434="","",IF(Sync!$AH434="","0000",IF(AND(ISNUMBER(Sync!$AH434),Sync!$AH434&gt;=0,Sync!$AH434&lt;1),RIGHT("00"&amp;HOUR(Sync!$AH434),2)&amp;RIGHT("00"&amp;MINUTE(Sync!$AH434),2),IFERROR(RIGHT("00"&amp;VALUE(LEFT(Sync!$AH434,FIND(":",Sync!$AH434)-1)),2)&amp;RIGHT("00"&amp;VALUE(MID(Sync!$AH434,FIND(":",Sync!$AH434)+1,2)),2),"0000"))))</f>
        <v/>
      </c>
    </row>
    <row r="435">
      <c r="A435">
        <f>IF(OR(Calc!$E438="",Calc!$E438="نامعتبر",Calc!$G438="",Calc!$I438&lt;&gt;"خرید"),"",Calc!$G438)</f>
        <v/>
      </c>
      <c r="B435">
        <f>IF($A435="","",LEFT(Calc!$E438,4)&amp;MID(Calc!$E438,6,2)&amp;RIGHT(Calc!$E438,2)&amp;Calc!$R438&amp;"|"&amp;"1"&amp;RIGHT("00000"&amp;430,5))</f>
        <v/>
      </c>
      <c r="C435">
        <f>IF($B435="","",COUNTIFS(LdgPartyA,$A435,LdgKeyA,"&lt;"&amp;$B435)+COUNTIFS(LdgPartyB,$A435,LdgKeyB,"&lt;"&amp;$B435)+1)</f>
        <v/>
      </c>
      <c r="D435">
        <f>IF($C435="","",$A435&amp;"|"&amp;RIGHT("000000"&amp;$C435,6))</f>
        <v/>
      </c>
      <c r="F435">
        <f>IF(Sync!$AJ435="","",Sync!$AJ435)</f>
        <v/>
      </c>
      <c r="G435">
        <f>IF($F435="","",IF(Sync!$AG435="","",IF(ISNUMBER(Sync!$AG435),IF(AND(Sync!$AG435&gt;=10000101,Sync!$AG435&lt;=99991231),INT(Sync!$AG435/10000),""),IFERROR(VALUE(TRIM(LEFT(Sync!$AG435,FIND("/",Sync!$AG435)-1))),""))))</f>
        <v/>
      </c>
      <c r="H435">
        <f>IF(OR($F435="",$G435=""),"",IF(ISNUMBER(Sync!$AG435),INT(MOD(Sync!$AG435,10000)/100),IFERROR(VALUE(TRIM(LEFT(MID(Sync!$AG435,FIND("/",Sync!$AG435)+1,20),FIND("/",MID(Sync!$AG435,FIND("/",Sync!$AG435)+1,20))-1))),"")))</f>
        <v/>
      </c>
      <c r="I435">
        <f>IF(OR($F435="",$G435=""),"",IF(ISNUMBER(Sync!$AG435),MOD(Sync!$AG435,100),IFERROR(VALUE(TRIM(MID(MID(Sync!$AG435,FIND("/",Sync!$AG435)+1,20),FIND("/",MID(Sync!$AG435,FIND("/",Sync!$AG435)+1,20))+1,20))),"")))</f>
        <v/>
      </c>
      <c r="J435">
        <f>IF($F435="","",IF(OR($G435="",$H435="",$I435="",$G435&lt;1300,$G435&gt;1500,$H435&lt;1,$H435&gt;12,$I435&lt;1,$I435&gt;31),"نامعتبر",RIGHT("0000"&amp;$G435,4)&amp;"/"&amp;RIGHT("00"&amp;$H435,2)&amp;"/"&amp;RIGHT("00"&amp;$I435,2)))</f>
        <v/>
      </c>
      <c r="K435">
        <f>IF(OR($F435="",$J435="",$J435="نامعتبر"),"",LEFT($J435,4)&amp;MID($J435,6,2)&amp;RIGHT($J435,2)&amp;$N435&amp;"|"&amp;"2"&amp;RIGHT("00000"&amp;430,5))</f>
        <v/>
      </c>
      <c r="L435">
        <f>IF($K435="","",COUNTIFS(LdgPartyA,$F435,LdgKeyA,"&lt;"&amp;$K435)+COUNTIFS(LdgPartyB,$F435,LdgKeyB,"&lt;"&amp;$K435)+1)</f>
        <v/>
      </c>
      <c r="M435">
        <f>IF($L435="","",$F435&amp;"|"&amp;RIGHT("000000"&amp;$L435,6))</f>
        <v/>
      </c>
      <c r="N435">
        <f>IF($F435="","",IF(Sync!$AH435="","0000",IF(AND(ISNUMBER(Sync!$AH435),Sync!$AH435&gt;=0,Sync!$AH435&lt;1),RIGHT("00"&amp;HOUR(Sync!$AH435),2)&amp;RIGHT("00"&amp;MINUTE(Sync!$AH435),2),IFERROR(RIGHT("00"&amp;VALUE(LEFT(Sync!$AH435,FIND(":",Sync!$AH435)-1)),2)&amp;RIGHT("00"&amp;VALUE(MID(Sync!$AH435,FIND(":",Sync!$AH435)+1,2)),2),"0000"))))</f>
        <v/>
      </c>
    </row>
    <row r="436">
      <c r="A436">
        <f>IF(OR(Calc!$E439="",Calc!$E439="نامعتبر",Calc!$G439="",Calc!$I439&lt;&gt;"خرید"),"",Calc!$G439)</f>
        <v/>
      </c>
      <c r="B436">
        <f>IF($A436="","",LEFT(Calc!$E439,4)&amp;MID(Calc!$E439,6,2)&amp;RIGHT(Calc!$E439,2)&amp;Calc!$R439&amp;"|"&amp;"1"&amp;RIGHT("00000"&amp;431,5))</f>
        <v/>
      </c>
      <c r="C436">
        <f>IF($B436="","",COUNTIFS(LdgPartyA,$A436,LdgKeyA,"&lt;"&amp;$B436)+COUNTIFS(LdgPartyB,$A436,LdgKeyB,"&lt;"&amp;$B436)+1)</f>
        <v/>
      </c>
      <c r="D436">
        <f>IF($C436="","",$A436&amp;"|"&amp;RIGHT("000000"&amp;$C436,6))</f>
        <v/>
      </c>
      <c r="F436">
        <f>IF(Sync!$AJ436="","",Sync!$AJ436)</f>
        <v/>
      </c>
      <c r="G436">
        <f>IF($F436="","",IF(Sync!$AG436="","",IF(ISNUMBER(Sync!$AG436),IF(AND(Sync!$AG436&gt;=10000101,Sync!$AG436&lt;=99991231),INT(Sync!$AG436/10000),""),IFERROR(VALUE(TRIM(LEFT(Sync!$AG436,FIND("/",Sync!$AG436)-1))),""))))</f>
        <v/>
      </c>
      <c r="H436">
        <f>IF(OR($F436="",$G436=""),"",IF(ISNUMBER(Sync!$AG436),INT(MOD(Sync!$AG436,10000)/100),IFERROR(VALUE(TRIM(LEFT(MID(Sync!$AG436,FIND("/",Sync!$AG436)+1,20),FIND("/",MID(Sync!$AG436,FIND("/",Sync!$AG436)+1,20))-1))),"")))</f>
        <v/>
      </c>
      <c r="I436">
        <f>IF(OR($F436="",$G436=""),"",IF(ISNUMBER(Sync!$AG436),MOD(Sync!$AG436,100),IFERROR(VALUE(TRIM(MID(MID(Sync!$AG436,FIND("/",Sync!$AG436)+1,20),FIND("/",MID(Sync!$AG436,FIND("/",Sync!$AG436)+1,20))+1,20))),"")))</f>
        <v/>
      </c>
      <c r="J436">
        <f>IF($F436="","",IF(OR($G436="",$H436="",$I436="",$G436&lt;1300,$G436&gt;1500,$H436&lt;1,$H436&gt;12,$I436&lt;1,$I436&gt;31),"نامعتبر",RIGHT("0000"&amp;$G436,4)&amp;"/"&amp;RIGHT("00"&amp;$H436,2)&amp;"/"&amp;RIGHT("00"&amp;$I436,2)))</f>
        <v/>
      </c>
      <c r="K436">
        <f>IF(OR($F436="",$J436="",$J436="نامعتبر"),"",LEFT($J436,4)&amp;MID($J436,6,2)&amp;RIGHT($J436,2)&amp;$N436&amp;"|"&amp;"2"&amp;RIGHT("00000"&amp;431,5))</f>
        <v/>
      </c>
      <c r="L436">
        <f>IF($K436="","",COUNTIFS(LdgPartyA,$F436,LdgKeyA,"&lt;"&amp;$K436)+COUNTIFS(LdgPartyB,$F436,LdgKeyB,"&lt;"&amp;$K436)+1)</f>
        <v/>
      </c>
      <c r="M436">
        <f>IF($L436="","",$F436&amp;"|"&amp;RIGHT("000000"&amp;$L436,6))</f>
        <v/>
      </c>
      <c r="N436">
        <f>IF($F436="","",IF(Sync!$AH436="","0000",IF(AND(ISNUMBER(Sync!$AH436),Sync!$AH436&gt;=0,Sync!$AH436&lt;1),RIGHT("00"&amp;HOUR(Sync!$AH436),2)&amp;RIGHT("00"&amp;MINUTE(Sync!$AH436),2),IFERROR(RIGHT("00"&amp;VALUE(LEFT(Sync!$AH436,FIND(":",Sync!$AH436)-1)),2)&amp;RIGHT("00"&amp;VALUE(MID(Sync!$AH436,FIND(":",Sync!$AH436)+1,2)),2),"0000"))))</f>
        <v/>
      </c>
    </row>
    <row r="437">
      <c r="A437">
        <f>IF(OR(Calc!$E440="",Calc!$E440="نامعتبر",Calc!$G440="",Calc!$I440&lt;&gt;"خرید"),"",Calc!$G440)</f>
        <v/>
      </c>
      <c r="B437">
        <f>IF($A437="","",LEFT(Calc!$E440,4)&amp;MID(Calc!$E440,6,2)&amp;RIGHT(Calc!$E440,2)&amp;Calc!$R440&amp;"|"&amp;"1"&amp;RIGHT("00000"&amp;432,5))</f>
        <v/>
      </c>
      <c r="C437">
        <f>IF($B437="","",COUNTIFS(LdgPartyA,$A437,LdgKeyA,"&lt;"&amp;$B437)+COUNTIFS(LdgPartyB,$A437,LdgKeyB,"&lt;"&amp;$B437)+1)</f>
        <v/>
      </c>
      <c r="D437">
        <f>IF($C437="","",$A437&amp;"|"&amp;RIGHT("000000"&amp;$C437,6))</f>
        <v/>
      </c>
      <c r="F437">
        <f>IF(Sync!$AJ437="","",Sync!$AJ437)</f>
        <v/>
      </c>
      <c r="G437">
        <f>IF($F437="","",IF(Sync!$AG437="","",IF(ISNUMBER(Sync!$AG437),IF(AND(Sync!$AG437&gt;=10000101,Sync!$AG437&lt;=99991231),INT(Sync!$AG437/10000),""),IFERROR(VALUE(TRIM(LEFT(Sync!$AG437,FIND("/",Sync!$AG437)-1))),""))))</f>
        <v/>
      </c>
      <c r="H437">
        <f>IF(OR($F437="",$G437=""),"",IF(ISNUMBER(Sync!$AG437),INT(MOD(Sync!$AG437,10000)/100),IFERROR(VALUE(TRIM(LEFT(MID(Sync!$AG437,FIND("/",Sync!$AG437)+1,20),FIND("/",MID(Sync!$AG437,FIND("/",Sync!$AG437)+1,20))-1))),"")))</f>
        <v/>
      </c>
      <c r="I437">
        <f>IF(OR($F437="",$G437=""),"",IF(ISNUMBER(Sync!$AG437),MOD(Sync!$AG437,100),IFERROR(VALUE(TRIM(MID(MID(Sync!$AG437,FIND("/",Sync!$AG437)+1,20),FIND("/",MID(Sync!$AG437,FIND("/",Sync!$AG437)+1,20))+1,20))),"")))</f>
        <v/>
      </c>
      <c r="J437">
        <f>IF($F437="","",IF(OR($G437="",$H437="",$I437="",$G437&lt;1300,$G437&gt;1500,$H437&lt;1,$H437&gt;12,$I437&lt;1,$I437&gt;31),"نامعتبر",RIGHT("0000"&amp;$G437,4)&amp;"/"&amp;RIGHT("00"&amp;$H437,2)&amp;"/"&amp;RIGHT("00"&amp;$I437,2)))</f>
        <v/>
      </c>
      <c r="K437">
        <f>IF(OR($F437="",$J437="",$J437="نامعتبر"),"",LEFT($J437,4)&amp;MID($J437,6,2)&amp;RIGHT($J437,2)&amp;$N437&amp;"|"&amp;"2"&amp;RIGHT("00000"&amp;432,5))</f>
        <v/>
      </c>
      <c r="L437">
        <f>IF($K437="","",COUNTIFS(LdgPartyA,$F437,LdgKeyA,"&lt;"&amp;$K437)+COUNTIFS(LdgPartyB,$F437,LdgKeyB,"&lt;"&amp;$K437)+1)</f>
        <v/>
      </c>
      <c r="M437">
        <f>IF($L437="","",$F437&amp;"|"&amp;RIGHT("000000"&amp;$L437,6))</f>
        <v/>
      </c>
      <c r="N437">
        <f>IF($F437="","",IF(Sync!$AH437="","0000",IF(AND(ISNUMBER(Sync!$AH437),Sync!$AH437&gt;=0,Sync!$AH437&lt;1),RIGHT("00"&amp;HOUR(Sync!$AH437),2)&amp;RIGHT("00"&amp;MINUTE(Sync!$AH437),2),IFERROR(RIGHT("00"&amp;VALUE(LEFT(Sync!$AH437,FIND(":",Sync!$AH437)-1)),2)&amp;RIGHT("00"&amp;VALUE(MID(Sync!$AH437,FIND(":",Sync!$AH437)+1,2)),2),"0000"))))</f>
        <v/>
      </c>
    </row>
    <row r="438">
      <c r="A438">
        <f>IF(OR(Calc!$E441="",Calc!$E441="نامعتبر",Calc!$G441="",Calc!$I441&lt;&gt;"خرید"),"",Calc!$G441)</f>
        <v/>
      </c>
      <c r="B438">
        <f>IF($A438="","",LEFT(Calc!$E441,4)&amp;MID(Calc!$E441,6,2)&amp;RIGHT(Calc!$E441,2)&amp;Calc!$R441&amp;"|"&amp;"1"&amp;RIGHT("00000"&amp;433,5))</f>
        <v/>
      </c>
      <c r="C438">
        <f>IF($B438="","",COUNTIFS(LdgPartyA,$A438,LdgKeyA,"&lt;"&amp;$B438)+COUNTIFS(LdgPartyB,$A438,LdgKeyB,"&lt;"&amp;$B438)+1)</f>
        <v/>
      </c>
      <c r="D438">
        <f>IF($C438="","",$A438&amp;"|"&amp;RIGHT("000000"&amp;$C438,6))</f>
        <v/>
      </c>
      <c r="F438">
        <f>IF(Sync!$AJ438="","",Sync!$AJ438)</f>
        <v/>
      </c>
      <c r="G438">
        <f>IF($F438="","",IF(Sync!$AG438="","",IF(ISNUMBER(Sync!$AG438),IF(AND(Sync!$AG438&gt;=10000101,Sync!$AG438&lt;=99991231),INT(Sync!$AG438/10000),""),IFERROR(VALUE(TRIM(LEFT(Sync!$AG438,FIND("/",Sync!$AG438)-1))),""))))</f>
        <v/>
      </c>
      <c r="H438">
        <f>IF(OR($F438="",$G438=""),"",IF(ISNUMBER(Sync!$AG438),INT(MOD(Sync!$AG438,10000)/100),IFERROR(VALUE(TRIM(LEFT(MID(Sync!$AG438,FIND("/",Sync!$AG438)+1,20),FIND("/",MID(Sync!$AG438,FIND("/",Sync!$AG438)+1,20))-1))),"")))</f>
        <v/>
      </c>
      <c r="I438">
        <f>IF(OR($F438="",$G438=""),"",IF(ISNUMBER(Sync!$AG438),MOD(Sync!$AG438,100),IFERROR(VALUE(TRIM(MID(MID(Sync!$AG438,FIND("/",Sync!$AG438)+1,20),FIND("/",MID(Sync!$AG438,FIND("/",Sync!$AG438)+1,20))+1,20))),"")))</f>
        <v/>
      </c>
      <c r="J438">
        <f>IF($F438="","",IF(OR($G438="",$H438="",$I438="",$G438&lt;1300,$G438&gt;1500,$H438&lt;1,$H438&gt;12,$I438&lt;1,$I438&gt;31),"نامعتبر",RIGHT("0000"&amp;$G438,4)&amp;"/"&amp;RIGHT("00"&amp;$H438,2)&amp;"/"&amp;RIGHT("00"&amp;$I438,2)))</f>
        <v/>
      </c>
      <c r="K438">
        <f>IF(OR($F438="",$J438="",$J438="نامعتبر"),"",LEFT($J438,4)&amp;MID($J438,6,2)&amp;RIGHT($J438,2)&amp;$N438&amp;"|"&amp;"2"&amp;RIGHT("00000"&amp;433,5))</f>
        <v/>
      </c>
      <c r="L438">
        <f>IF($K438="","",COUNTIFS(LdgPartyA,$F438,LdgKeyA,"&lt;"&amp;$K438)+COUNTIFS(LdgPartyB,$F438,LdgKeyB,"&lt;"&amp;$K438)+1)</f>
        <v/>
      </c>
      <c r="M438">
        <f>IF($L438="","",$F438&amp;"|"&amp;RIGHT("000000"&amp;$L438,6))</f>
        <v/>
      </c>
      <c r="N438">
        <f>IF($F438="","",IF(Sync!$AH438="","0000",IF(AND(ISNUMBER(Sync!$AH438),Sync!$AH438&gt;=0,Sync!$AH438&lt;1),RIGHT("00"&amp;HOUR(Sync!$AH438),2)&amp;RIGHT("00"&amp;MINUTE(Sync!$AH438),2),IFERROR(RIGHT("00"&amp;VALUE(LEFT(Sync!$AH438,FIND(":",Sync!$AH438)-1)),2)&amp;RIGHT("00"&amp;VALUE(MID(Sync!$AH438,FIND(":",Sync!$AH438)+1,2)),2),"0000"))))</f>
        <v/>
      </c>
    </row>
    <row r="439">
      <c r="A439">
        <f>IF(OR(Calc!$E442="",Calc!$E442="نامعتبر",Calc!$G442="",Calc!$I442&lt;&gt;"خرید"),"",Calc!$G442)</f>
        <v/>
      </c>
      <c r="B439">
        <f>IF($A439="","",LEFT(Calc!$E442,4)&amp;MID(Calc!$E442,6,2)&amp;RIGHT(Calc!$E442,2)&amp;Calc!$R442&amp;"|"&amp;"1"&amp;RIGHT("00000"&amp;434,5))</f>
        <v/>
      </c>
      <c r="C439">
        <f>IF($B439="","",COUNTIFS(LdgPartyA,$A439,LdgKeyA,"&lt;"&amp;$B439)+COUNTIFS(LdgPartyB,$A439,LdgKeyB,"&lt;"&amp;$B439)+1)</f>
        <v/>
      </c>
      <c r="D439">
        <f>IF($C439="","",$A439&amp;"|"&amp;RIGHT("000000"&amp;$C439,6))</f>
        <v/>
      </c>
      <c r="F439">
        <f>IF(Sync!$AJ439="","",Sync!$AJ439)</f>
        <v/>
      </c>
      <c r="G439">
        <f>IF($F439="","",IF(Sync!$AG439="","",IF(ISNUMBER(Sync!$AG439),IF(AND(Sync!$AG439&gt;=10000101,Sync!$AG439&lt;=99991231),INT(Sync!$AG439/10000),""),IFERROR(VALUE(TRIM(LEFT(Sync!$AG439,FIND("/",Sync!$AG439)-1))),""))))</f>
        <v/>
      </c>
      <c r="H439">
        <f>IF(OR($F439="",$G439=""),"",IF(ISNUMBER(Sync!$AG439),INT(MOD(Sync!$AG439,10000)/100),IFERROR(VALUE(TRIM(LEFT(MID(Sync!$AG439,FIND("/",Sync!$AG439)+1,20),FIND("/",MID(Sync!$AG439,FIND("/",Sync!$AG439)+1,20))-1))),"")))</f>
        <v/>
      </c>
      <c r="I439">
        <f>IF(OR($F439="",$G439=""),"",IF(ISNUMBER(Sync!$AG439),MOD(Sync!$AG439,100),IFERROR(VALUE(TRIM(MID(MID(Sync!$AG439,FIND("/",Sync!$AG439)+1,20),FIND("/",MID(Sync!$AG439,FIND("/",Sync!$AG439)+1,20))+1,20))),"")))</f>
        <v/>
      </c>
      <c r="J439">
        <f>IF($F439="","",IF(OR($G439="",$H439="",$I439="",$G439&lt;1300,$G439&gt;1500,$H439&lt;1,$H439&gt;12,$I439&lt;1,$I439&gt;31),"نامعتبر",RIGHT("0000"&amp;$G439,4)&amp;"/"&amp;RIGHT("00"&amp;$H439,2)&amp;"/"&amp;RIGHT("00"&amp;$I439,2)))</f>
        <v/>
      </c>
      <c r="K439">
        <f>IF(OR($F439="",$J439="",$J439="نامعتبر"),"",LEFT($J439,4)&amp;MID($J439,6,2)&amp;RIGHT($J439,2)&amp;$N439&amp;"|"&amp;"2"&amp;RIGHT("00000"&amp;434,5))</f>
        <v/>
      </c>
      <c r="L439">
        <f>IF($K439="","",COUNTIFS(LdgPartyA,$F439,LdgKeyA,"&lt;"&amp;$K439)+COUNTIFS(LdgPartyB,$F439,LdgKeyB,"&lt;"&amp;$K439)+1)</f>
        <v/>
      </c>
      <c r="M439">
        <f>IF($L439="","",$F439&amp;"|"&amp;RIGHT("000000"&amp;$L439,6))</f>
        <v/>
      </c>
      <c r="N439">
        <f>IF($F439="","",IF(Sync!$AH439="","0000",IF(AND(ISNUMBER(Sync!$AH439),Sync!$AH439&gt;=0,Sync!$AH439&lt;1),RIGHT("00"&amp;HOUR(Sync!$AH439),2)&amp;RIGHT("00"&amp;MINUTE(Sync!$AH439),2),IFERROR(RIGHT("00"&amp;VALUE(LEFT(Sync!$AH439,FIND(":",Sync!$AH439)-1)),2)&amp;RIGHT("00"&amp;VALUE(MID(Sync!$AH439,FIND(":",Sync!$AH439)+1,2)),2),"0000"))))</f>
        <v/>
      </c>
    </row>
    <row r="440">
      <c r="A440">
        <f>IF(OR(Calc!$E443="",Calc!$E443="نامعتبر",Calc!$G443="",Calc!$I443&lt;&gt;"خرید"),"",Calc!$G443)</f>
        <v/>
      </c>
      <c r="B440">
        <f>IF($A440="","",LEFT(Calc!$E443,4)&amp;MID(Calc!$E443,6,2)&amp;RIGHT(Calc!$E443,2)&amp;Calc!$R443&amp;"|"&amp;"1"&amp;RIGHT("00000"&amp;435,5))</f>
        <v/>
      </c>
      <c r="C440">
        <f>IF($B440="","",COUNTIFS(LdgPartyA,$A440,LdgKeyA,"&lt;"&amp;$B440)+COUNTIFS(LdgPartyB,$A440,LdgKeyB,"&lt;"&amp;$B440)+1)</f>
        <v/>
      </c>
      <c r="D440">
        <f>IF($C440="","",$A440&amp;"|"&amp;RIGHT("000000"&amp;$C440,6))</f>
        <v/>
      </c>
      <c r="F440">
        <f>IF(Sync!$AJ440="","",Sync!$AJ440)</f>
        <v/>
      </c>
      <c r="G440">
        <f>IF($F440="","",IF(Sync!$AG440="","",IF(ISNUMBER(Sync!$AG440),IF(AND(Sync!$AG440&gt;=10000101,Sync!$AG440&lt;=99991231),INT(Sync!$AG440/10000),""),IFERROR(VALUE(TRIM(LEFT(Sync!$AG440,FIND("/",Sync!$AG440)-1))),""))))</f>
        <v/>
      </c>
      <c r="H440">
        <f>IF(OR($F440="",$G440=""),"",IF(ISNUMBER(Sync!$AG440),INT(MOD(Sync!$AG440,10000)/100),IFERROR(VALUE(TRIM(LEFT(MID(Sync!$AG440,FIND("/",Sync!$AG440)+1,20),FIND("/",MID(Sync!$AG440,FIND("/",Sync!$AG440)+1,20))-1))),"")))</f>
        <v/>
      </c>
      <c r="I440">
        <f>IF(OR($F440="",$G440=""),"",IF(ISNUMBER(Sync!$AG440),MOD(Sync!$AG440,100),IFERROR(VALUE(TRIM(MID(MID(Sync!$AG440,FIND("/",Sync!$AG440)+1,20),FIND("/",MID(Sync!$AG440,FIND("/",Sync!$AG440)+1,20))+1,20))),"")))</f>
        <v/>
      </c>
      <c r="J440">
        <f>IF($F440="","",IF(OR($G440="",$H440="",$I440="",$G440&lt;1300,$G440&gt;1500,$H440&lt;1,$H440&gt;12,$I440&lt;1,$I440&gt;31),"نامعتبر",RIGHT("0000"&amp;$G440,4)&amp;"/"&amp;RIGHT("00"&amp;$H440,2)&amp;"/"&amp;RIGHT("00"&amp;$I440,2)))</f>
        <v/>
      </c>
      <c r="K440">
        <f>IF(OR($F440="",$J440="",$J440="نامعتبر"),"",LEFT($J440,4)&amp;MID($J440,6,2)&amp;RIGHT($J440,2)&amp;$N440&amp;"|"&amp;"2"&amp;RIGHT("00000"&amp;435,5))</f>
        <v/>
      </c>
      <c r="L440">
        <f>IF($K440="","",COUNTIFS(LdgPartyA,$F440,LdgKeyA,"&lt;"&amp;$K440)+COUNTIFS(LdgPartyB,$F440,LdgKeyB,"&lt;"&amp;$K440)+1)</f>
        <v/>
      </c>
      <c r="M440">
        <f>IF($L440="","",$F440&amp;"|"&amp;RIGHT("000000"&amp;$L440,6))</f>
        <v/>
      </c>
      <c r="N440">
        <f>IF($F440="","",IF(Sync!$AH440="","0000",IF(AND(ISNUMBER(Sync!$AH440),Sync!$AH440&gt;=0,Sync!$AH440&lt;1),RIGHT("00"&amp;HOUR(Sync!$AH440),2)&amp;RIGHT("00"&amp;MINUTE(Sync!$AH440),2),IFERROR(RIGHT("00"&amp;VALUE(LEFT(Sync!$AH440,FIND(":",Sync!$AH440)-1)),2)&amp;RIGHT("00"&amp;VALUE(MID(Sync!$AH440,FIND(":",Sync!$AH440)+1,2)),2),"0000"))))</f>
        <v/>
      </c>
    </row>
    <row r="441">
      <c r="A441">
        <f>IF(OR(Calc!$E444="",Calc!$E444="نامعتبر",Calc!$G444="",Calc!$I444&lt;&gt;"خرید"),"",Calc!$G444)</f>
        <v/>
      </c>
      <c r="B441">
        <f>IF($A441="","",LEFT(Calc!$E444,4)&amp;MID(Calc!$E444,6,2)&amp;RIGHT(Calc!$E444,2)&amp;Calc!$R444&amp;"|"&amp;"1"&amp;RIGHT("00000"&amp;436,5))</f>
        <v/>
      </c>
      <c r="C441">
        <f>IF($B441="","",COUNTIFS(LdgPartyA,$A441,LdgKeyA,"&lt;"&amp;$B441)+COUNTIFS(LdgPartyB,$A441,LdgKeyB,"&lt;"&amp;$B441)+1)</f>
        <v/>
      </c>
      <c r="D441">
        <f>IF($C441="","",$A441&amp;"|"&amp;RIGHT("000000"&amp;$C441,6))</f>
        <v/>
      </c>
      <c r="F441">
        <f>IF(Sync!$AJ441="","",Sync!$AJ441)</f>
        <v/>
      </c>
      <c r="G441">
        <f>IF($F441="","",IF(Sync!$AG441="","",IF(ISNUMBER(Sync!$AG441),IF(AND(Sync!$AG441&gt;=10000101,Sync!$AG441&lt;=99991231),INT(Sync!$AG441/10000),""),IFERROR(VALUE(TRIM(LEFT(Sync!$AG441,FIND("/",Sync!$AG441)-1))),""))))</f>
        <v/>
      </c>
      <c r="H441">
        <f>IF(OR($F441="",$G441=""),"",IF(ISNUMBER(Sync!$AG441),INT(MOD(Sync!$AG441,10000)/100),IFERROR(VALUE(TRIM(LEFT(MID(Sync!$AG441,FIND("/",Sync!$AG441)+1,20),FIND("/",MID(Sync!$AG441,FIND("/",Sync!$AG441)+1,20))-1))),"")))</f>
        <v/>
      </c>
      <c r="I441">
        <f>IF(OR($F441="",$G441=""),"",IF(ISNUMBER(Sync!$AG441),MOD(Sync!$AG441,100),IFERROR(VALUE(TRIM(MID(MID(Sync!$AG441,FIND("/",Sync!$AG441)+1,20),FIND("/",MID(Sync!$AG441,FIND("/",Sync!$AG441)+1,20))+1,20))),"")))</f>
        <v/>
      </c>
      <c r="J441">
        <f>IF($F441="","",IF(OR($G441="",$H441="",$I441="",$G441&lt;1300,$G441&gt;1500,$H441&lt;1,$H441&gt;12,$I441&lt;1,$I441&gt;31),"نامعتبر",RIGHT("0000"&amp;$G441,4)&amp;"/"&amp;RIGHT("00"&amp;$H441,2)&amp;"/"&amp;RIGHT("00"&amp;$I441,2)))</f>
        <v/>
      </c>
      <c r="K441">
        <f>IF(OR($F441="",$J441="",$J441="نامعتبر"),"",LEFT($J441,4)&amp;MID($J441,6,2)&amp;RIGHT($J441,2)&amp;$N441&amp;"|"&amp;"2"&amp;RIGHT("00000"&amp;436,5))</f>
        <v/>
      </c>
      <c r="L441">
        <f>IF($K441="","",COUNTIFS(LdgPartyA,$F441,LdgKeyA,"&lt;"&amp;$K441)+COUNTIFS(LdgPartyB,$F441,LdgKeyB,"&lt;"&amp;$K441)+1)</f>
        <v/>
      </c>
      <c r="M441">
        <f>IF($L441="","",$F441&amp;"|"&amp;RIGHT("000000"&amp;$L441,6))</f>
        <v/>
      </c>
      <c r="N441">
        <f>IF($F441="","",IF(Sync!$AH441="","0000",IF(AND(ISNUMBER(Sync!$AH441),Sync!$AH441&gt;=0,Sync!$AH441&lt;1),RIGHT("00"&amp;HOUR(Sync!$AH441),2)&amp;RIGHT("00"&amp;MINUTE(Sync!$AH441),2),IFERROR(RIGHT("00"&amp;VALUE(LEFT(Sync!$AH441,FIND(":",Sync!$AH441)-1)),2)&amp;RIGHT("00"&amp;VALUE(MID(Sync!$AH441,FIND(":",Sync!$AH441)+1,2)),2),"0000"))))</f>
        <v/>
      </c>
    </row>
    <row r="442">
      <c r="A442">
        <f>IF(OR(Calc!$E445="",Calc!$E445="نامعتبر",Calc!$G445="",Calc!$I445&lt;&gt;"خرید"),"",Calc!$G445)</f>
        <v/>
      </c>
      <c r="B442">
        <f>IF($A442="","",LEFT(Calc!$E445,4)&amp;MID(Calc!$E445,6,2)&amp;RIGHT(Calc!$E445,2)&amp;Calc!$R445&amp;"|"&amp;"1"&amp;RIGHT("00000"&amp;437,5))</f>
        <v/>
      </c>
      <c r="C442">
        <f>IF($B442="","",COUNTIFS(LdgPartyA,$A442,LdgKeyA,"&lt;"&amp;$B442)+COUNTIFS(LdgPartyB,$A442,LdgKeyB,"&lt;"&amp;$B442)+1)</f>
        <v/>
      </c>
      <c r="D442">
        <f>IF($C442="","",$A442&amp;"|"&amp;RIGHT("000000"&amp;$C442,6))</f>
        <v/>
      </c>
      <c r="F442">
        <f>IF(Sync!$AJ442="","",Sync!$AJ442)</f>
        <v/>
      </c>
      <c r="G442">
        <f>IF($F442="","",IF(Sync!$AG442="","",IF(ISNUMBER(Sync!$AG442),IF(AND(Sync!$AG442&gt;=10000101,Sync!$AG442&lt;=99991231),INT(Sync!$AG442/10000),""),IFERROR(VALUE(TRIM(LEFT(Sync!$AG442,FIND("/",Sync!$AG442)-1))),""))))</f>
        <v/>
      </c>
      <c r="H442">
        <f>IF(OR($F442="",$G442=""),"",IF(ISNUMBER(Sync!$AG442),INT(MOD(Sync!$AG442,10000)/100),IFERROR(VALUE(TRIM(LEFT(MID(Sync!$AG442,FIND("/",Sync!$AG442)+1,20),FIND("/",MID(Sync!$AG442,FIND("/",Sync!$AG442)+1,20))-1))),"")))</f>
        <v/>
      </c>
      <c r="I442">
        <f>IF(OR($F442="",$G442=""),"",IF(ISNUMBER(Sync!$AG442),MOD(Sync!$AG442,100),IFERROR(VALUE(TRIM(MID(MID(Sync!$AG442,FIND("/",Sync!$AG442)+1,20),FIND("/",MID(Sync!$AG442,FIND("/",Sync!$AG442)+1,20))+1,20))),"")))</f>
        <v/>
      </c>
      <c r="J442">
        <f>IF($F442="","",IF(OR($G442="",$H442="",$I442="",$G442&lt;1300,$G442&gt;1500,$H442&lt;1,$H442&gt;12,$I442&lt;1,$I442&gt;31),"نامعتبر",RIGHT("0000"&amp;$G442,4)&amp;"/"&amp;RIGHT("00"&amp;$H442,2)&amp;"/"&amp;RIGHT("00"&amp;$I442,2)))</f>
        <v/>
      </c>
      <c r="K442">
        <f>IF(OR($F442="",$J442="",$J442="نامعتبر"),"",LEFT($J442,4)&amp;MID($J442,6,2)&amp;RIGHT($J442,2)&amp;$N442&amp;"|"&amp;"2"&amp;RIGHT("00000"&amp;437,5))</f>
        <v/>
      </c>
      <c r="L442">
        <f>IF($K442="","",COUNTIFS(LdgPartyA,$F442,LdgKeyA,"&lt;"&amp;$K442)+COUNTIFS(LdgPartyB,$F442,LdgKeyB,"&lt;"&amp;$K442)+1)</f>
        <v/>
      </c>
      <c r="M442">
        <f>IF($L442="","",$F442&amp;"|"&amp;RIGHT("000000"&amp;$L442,6))</f>
        <v/>
      </c>
      <c r="N442">
        <f>IF($F442="","",IF(Sync!$AH442="","0000",IF(AND(ISNUMBER(Sync!$AH442),Sync!$AH442&gt;=0,Sync!$AH442&lt;1),RIGHT("00"&amp;HOUR(Sync!$AH442),2)&amp;RIGHT("00"&amp;MINUTE(Sync!$AH442),2),IFERROR(RIGHT("00"&amp;VALUE(LEFT(Sync!$AH442,FIND(":",Sync!$AH442)-1)),2)&amp;RIGHT("00"&amp;VALUE(MID(Sync!$AH442,FIND(":",Sync!$AH442)+1,2)),2),"0000"))))</f>
        <v/>
      </c>
    </row>
    <row r="443">
      <c r="A443">
        <f>IF(OR(Calc!$E446="",Calc!$E446="نامعتبر",Calc!$G446="",Calc!$I446&lt;&gt;"خرید"),"",Calc!$G446)</f>
        <v/>
      </c>
      <c r="B443">
        <f>IF($A443="","",LEFT(Calc!$E446,4)&amp;MID(Calc!$E446,6,2)&amp;RIGHT(Calc!$E446,2)&amp;Calc!$R446&amp;"|"&amp;"1"&amp;RIGHT("00000"&amp;438,5))</f>
        <v/>
      </c>
      <c r="C443">
        <f>IF($B443="","",COUNTIFS(LdgPartyA,$A443,LdgKeyA,"&lt;"&amp;$B443)+COUNTIFS(LdgPartyB,$A443,LdgKeyB,"&lt;"&amp;$B443)+1)</f>
        <v/>
      </c>
      <c r="D443">
        <f>IF($C443="","",$A443&amp;"|"&amp;RIGHT("000000"&amp;$C443,6))</f>
        <v/>
      </c>
      <c r="F443">
        <f>IF(Sync!$AJ443="","",Sync!$AJ443)</f>
        <v/>
      </c>
      <c r="G443">
        <f>IF($F443="","",IF(Sync!$AG443="","",IF(ISNUMBER(Sync!$AG443),IF(AND(Sync!$AG443&gt;=10000101,Sync!$AG443&lt;=99991231),INT(Sync!$AG443/10000),""),IFERROR(VALUE(TRIM(LEFT(Sync!$AG443,FIND("/",Sync!$AG443)-1))),""))))</f>
        <v/>
      </c>
      <c r="H443">
        <f>IF(OR($F443="",$G443=""),"",IF(ISNUMBER(Sync!$AG443),INT(MOD(Sync!$AG443,10000)/100),IFERROR(VALUE(TRIM(LEFT(MID(Sync!$AG443,FIND("/",Sync!$AG443)+1,20),FIND("/",MID(Sync!$AG443,FIND("/",Sync!$AG443)+1,20))-1))),"")))</f>
        <v/>
      </c>
      <c r="I443">
        <f>IF(OR($F443="",$G443=""),"",IF(ISNUMBER(Sync!$AG443),MOD(Sync!$AG443,100),IFERROR(VALUE(TRIM(MID(MID(Sync!$AG443,FIND("/",Sync!$AG443)+1,20),FIND("/",MID(Sync!$AG443,FIND("/",Sync!$AG443)+1,20))+1,20))),"")))</f>
        <v/>
      </c>
      <c r="J443">
        <f>IF($F443="","",IF(OR($G443="",$H443="",$I443="",$G443&lt;1300,$G443&gt;1500,$H443&lt;1,$H443&gt;12,$I443&lt;1,$I443&gt;31),"نامعتبر",RIGHT("0000"&amp;$G443,4)&amp;"/"&amp;RIGHT("00"&amp;$H443,2)&amp;"/"&amp;RIGHT("00"&amp;$I443,2)))</f>
        <v/>
      </c>
      <c r="K443">
        <f>IF(OR($F443="",$J443="",$J443="نامعتبر"),"",LEFT($J443,4)&amp;MID($J443,6,2)&amp;RIGHT($J443,2)&amp;$N443&amp;"|"&amp;"2"&amp;RIGHT("00000"&amp;438,5))</f>
        <v/>
      </c>
      <c r="L443">
        <f>IF($K443="","",COUNTIFS(LdgPartyA,$F443,LdgKeyA,"&lt;"&amp;$K443)+COUNTIFS(LdgPartyB,$F443,LdgKeyB,"&lt;"&amp;$K443)+1)</f>
        <v/>
      </c>
      <c r="M443">
        <f>IF($L443="","",$F443&amp;"|"&amp;RIGHT("000000"&amp;$L443,6))</f>
        <v/>
      </c>
      <c r="N443">
        <f>IF($F443="","",IF(Sync!$AH443="","0000",IF(AND(ISNUMBER(Sync!$AH443),Sync!$AH443&gt;=0,Sync!$AH443&lt;1),RIGHT("00"&amp;HOUR(Sync!$AH443),2)&amp;RIGHT("00"&amp;MINUTE(Sync!$AH443),2),IFERROR(RIGHT("00"&amp;VALUE(LEFT(Sync!$AH443,FIND(":",Sync!$AH443)-1)),2)&amp;RIGHT("00"&amp;VALUE(MID(Sync!$AH443,FIND(":",Sync!$AH443)+1,2)),2),"0000"))))</f>
        <v/>
      </c>
    </row>
    <row r="444">
      <c r="A444">
        <f>IF(OR(Calc!$E447="",Calc!$E447="نامعتبر",Calc!$G447="",Calc!$I447&lt;&gt;"خرید"),"",Calc!$G447)</f>
        <v/>
      </c>
      <c r="B444">
        <f>IF($A444="","",LEFT(Calc!$E447,4)&amp;MID(Calc!$E447,6,2)&amp;RIGHT(Calc!$E447,2)&amp;Calc!$R447&amp;"|"&amp;"1"&amp;RIGHT("00000"&amp;439,5))</f>
        <v/>
      </c>
      <c r="C444">
        <f>IF($B444="","",COUNTIFS(LdgPartyA,$A444,LdgKeyA,"&lt;"&amp;$B444)+COUNTIFS(LdgPartyB,$A444,LdgKeyB,"&lt;"&amp;$B444)+1)</f>
        <v/>
      </c>
      <c r="D444">
        <f>IF($C444="","",$A444&amp;"|"&amp;RIGHT("000000"&amp;$C444,6))</f>
        <v/>
      </c>
      <c r="F444">
        <f>IF(Sync!$AJ444="","",Sync!$AJ444)</f>
        <v/>
      </c>
      <c r="G444">
        <f>IF($F444="","",IF(Sync!$AG444="","",IF(ISNUMBER(Sync!$AG444),IF(AND(Sync!$AG444&gt;=10000101,Sync!$AG444&lt;=99991231),INT(Sync!$AG444/10000),""),IFERROR(VALUE(TRIM(LEFT(Sync!$AG444,FIND("/",Sync!$AG444)-1))),""))))</f>
        <v/>
      </c>
      <c r="H444">
        <f>IF(OR($F444="",$G444=""),"",IF(ISNUMBER(Sync!$AG444),INT(MOD(Sync!$AG444,10000)/100),IFERROR(VALUE(TRIM(LEFT(MID(Sync!$AG444,FIND("/",Sync!$AG444)+1,20),FIND("/",MID(Sync!$AG444,FIND("/",Sync!$AG444)+1,20))-1))),"")))</f>
        <v/>
      </c>
      <c r="I444">
        <f>IF(OR($F444="",$G444=""),"",IF(ISNUMBER(Sync!$AG444),MOD(Sync!$AG444,100),IFERROR(VALUE(TRIM(MID(MID(Sync!$AG444,FIND("/",Sync!$AG444)+1,20),FIND("/",MID(Sync!$AG444,FIND("/",Sync!$AG444)+1,20))+1,20))),"")))</f>
        <v/>
      </c>
      <c r="J444">
        <f>IF($F444="","",IF(OR($G444="",$H444="",$I444="",$G444&lt;1300,$G444&gt;1500,$H444&lt;1,$H444&gt;12,$I444&lt;1,$I444&gt;31),"نامعتبر",RIGHT("0000"&amp;$G444,4)&amp;"/"&amp;RIGHT("00"&amp;$H444,2)&amp;"/"&amp;RIGHT("00"&amp;$I444,2)))</f>
        <v/>
      </c>
      <c r="K444">
        <f>IF(OR($F444="",$J444="",$J444="نامعتبر"),"",LEFT($J444,4)&amp;MID($J444,6,2)&amp;RIGHT($J444,2)&amp;$N444&amp;"|"&amp;"2"&amp;RIGHT("00000"&amp;439,5))</f>
        <v/>
      </c>
      <c r="L444">
        <f>IF($K444="","",COUNTIFS(LdgPartyA,$F444,LdgKeyA,"&lt;"&amp;$K444)+COUNTIFS(LdgPartyB,$F444,LdgKeyB,"&lt;"&amp;$K444)+1)</f>
        <v/>
      </c>
      <c r="M444">
        <f>IF($L444="","",$F444&amp;"|"&amp;RIGHT("000000"&amp;$L444,6))</f>
        <v/>
      </c>
      <c r="N444">
        <f>IF($F444="","",IF(Sync!$AH444="","0000",IF(AND(ISNUMBER(Sync!$AH444),Sync!$AH444&gt;=0,Sync!$AH444&lt;1),RIGHT("00"&amp;HOUR(Sync!$AH444),2)&amp;RIGHT("00"&amp;MINUTE(Sync!$AH444),2),IFERROR(RIGHT("00"&amp;VALUE(LEFT(Sync!$AH444,FIND(":",Sync!$AH444)-1)),2)&amp;RIGHT("00"&amp;VALUE(MID(Sync!$AH444,FIND(":",Sync!$AH444)+1,2)),2),"0000"))))</f>
        <v/>
      </c>
    </row>
    <row r="445">
      <c r="A445">
        <f>IF(OR(Calc!$E448="",Calc!$E448="نامعتبر",Calc!$G448="",Calc!$I448&lt;&gt;"خرید"),"",Calc!$G448)</f>
        <v/>
      </c>
      <c r="B445">
        <f>IF($A445="","",LEFT(Calc!$E448,4)&amp;MID(Calc!$E448,6,2)&amp;RIGHT(Calc!$E448,2)&amp;Calc!$R448&amp;"|"&amp;"1"&amp;RIGHT("00000"&amp;440,5))</f>
        <v/>
      </c>
      <c r="C445">
        <f>IF($B445="","",COUNTIFS(LdgPartyA,$A445,LdgKeyA,"&lt;"&amp;$B445)+COUNTIFS(LdgPartyB,$A445,LdgKeyB,"&lt;"&amp;$B445)+1)</f>
        <v/>
      </c>
      <c r="D445">
        <f>IF($C445="","",$A445&amp;"|"&amp;RIGHT("000000"&amp;$C445,6))</f>
        <v/>
      </c>
      <c r="F445">
        <f>IF(Sync!$AJ445="","",Sync!$AJ445)</f>
        <v/>
      </c>
      <c r="G445">
        <f>IF($F445="","",IF(Sync!$AG445="","",IF(ISNUMBER(Sync!$AG445),IF(AND(Sync!$AG445&gt;=10000101,Sync!$AG445&lt;=99991231),INT(Sync!$AG445/10000),""),IFERROR(VALUE(TRIM(LEFT(Sync!$AG445,FIND("/",Sync!$AG445)-1))),""))))</f>
        <v/>
      </c>
      <c r="H445">
        <f>IF(OR($F445="",$G445=""),"",IF(ISNUMBER(Sync!$AG445),INT(MOD(Sync!$AG445,10000)/100),IFERROR(VALUE(TRIM(LEFT(MID(Sync!$AG445,FIND("/",Sync!$AG445)+1,20),FIND("/",MID(Sync!$AG445,FIND("/",Sync!$AG445)+1,20))-1))),"")))</f>
        <v/>
      </c>
      <c r="I445">
        <f>IF(OR($F445="",$G445=""),"",IF(ISNUMBER(Sync!$AG445),MOD(Sync!$AG445,100),IFERROR(VALUE(TRIM(MID(MID(Sync!$AG445,FIND("/",Sync!$AG445)+1,20),FIND("/",MID(Sync!$AG445,FIND("/",Sync!$AG445)+1,20))+1,20))),"")))</f>
        <v/>
      </c>
      <c r="J445">
        <f>IF($F445="","",IF(OR($G445="",$H445="",$I445="",$G445&lt;1300,$G445&gt;1500,$H445&lt;1,$H445&gt;12,$I445&lt;1,$I445&gt;31),"نامعتبر",RIGHT("0000"&amp;$G445,4)&amp;"/"&amp;RIGHT("00"&amp;$H445,2)&amp;"/"&amp;RIGHT("00"&amp;$I445,2)))</f>
        <v/>
      </c>
      <c r="K445">
        <f>IF(OR($F445="",$J445="",$J445="نامعتبر"),"",LEFT($J445,4)&amp;MID($J445,6,2)&amp;RIGHT($J445,2)&amp;$N445&amp;"|"&amp;"2"&amp;RIGHT("00000"&amp;440,5))</f>
        <v/>
      </c>
      <c r="L445">
        <f>IF($K445="","",COUNTIFS(LdgPartyA,$F445,LdgKeyA,"&lt;"&amp;$K445)+COUNTIFS(LdgPartyB,$F445,LdgKeyB,"&lt;"&amp;$K445)+1)</f>
        <v/>
      </c>
      <c r="M445">
        <f>IF($L445="","",$F445&amp;"|"&amp;RIGHT("000000"&amp;$L445,6))</f>
        <v/>
      </c>
      <c r="N445">
        <f>IF($F445="","",IF(Sync!$AH445="","0000",IF(AND(ISNUMBER(Sync!$AH445),Sync!$AH445&gt;=0,Sync!$AH445&lt;1),RIGHT("00"&amp;HOUR(Sync!$AH445),2)&amp;RIGHT("00"&amp;MINUTE(Sync!$AH445),2),IFERROR(RIGHT("00"&amp;VALUE(LEFT(Sync!$AH445,FIND(":",Sync!$AH445)-1)),2)&amp;RIGHT("00"&amp;VALUE(MID(Sync!$AH445,FIND(":",Sync!$AH445)+1,2)),2),"0000"))))</f>
        <v/>
      </c>
    </row>
    <row r="446">
      <c r="A446">
        <f>IF(OR(Calc!$E449="",Calc!$E449="نامعتبر",Calc!$G449="",Calc!$I449&lt;&gt;"خرید"),"",Calc!$G449)</f>
        <v/>
      </c>
      <c r="B446">
        <f>IF($A446="","",LEFT(Calc!$E449,4)&amp;MID(Calc!$E449,6,2)&amp;RIGHT(Calc!$E449,2)&amp;Calc!$R449&amp;"|"&amp;"1"&amp;RIGHT("00000"&amp;441,5))</f>
        <v/>
      </c>
      <c r="C446">
        <f>IF($B446="","",COUNTIFS(LdgPartyA,$A446,LdgKeyA,"&lt;"&amp;$B446)+COUNTIFS(LdgPartyB,$A446,LdgKeyB,"&lt;"&amp;$B446)+1)</f>
        <v/>
      </c>
      <c r="D446">
        <f>IF($C446="","",$A446&amp;"|"&amp;RIGHT("000000"&amp;$C446,6))</f>
        <v/>
      </c>
      <c r="F446">
        <f>IF(Sync!$AJ446="","",Sync!$AJ446)</f>
        <v/>
      </c>
      <c r="G446">
        <f>IF($F446="","",IF(Sync!$AG446="","",IF(ISNUMBER(Sync!$AG446),IF(AND(Sync!$AG446&gt;=10000101,Sync!$AG446&lt;=99991231),INT(Sync!$AG446/10000),""),IFERROR(VALUE(TRIM(LEFT(Sync!$AG446,FIND("/",Sync!$AG446)-1))),""))))</f>
        <v/>
      </c>
      <c r="H446">
        <f>IF(OR($F446="",$G446=""),"",IF(ISNUMBER(Sync!$AG446),INT(MOD(Sync!$AG446,10000)/100),IFERROR(VALUE(TRIM(LEFT(MID(Sync!$AG446,FIND("/",Sync!$AG446)+1,20),FIND("/",MID(Sync!$AG446,FIND("/",Sync!$AG446)+1,20))-1))),"")))</f>
        <v/>
      </c>
      <c r="I446">
        <f>IF(OR($F446="",$G446=""),"",IF(ISNUMBER(Sync!$AG446),MOD(Sync!$AG446,100),IFERROR(VALUE(TRIM(MID(MID(Sync!$AG446,FIND("/",Sync!$AG446)+1,20),FIND("/",MID(Sync!$AG446,FIND("/",Sync!$AG446)+1,20))+1,20))),"")))</f>
        <v/>
      </c>
      <c r="J446">
        <f>IF($F446="","",IF(OR($G446="",$H446="",$I446="",$G446&lt;1300,$G446&gt;1500,$H446&lt;1,$H446&gt;12,$I446&lt;1,$I446&gt;31),"نامعتبر",RIGHT("0000"&amp;$G446,4)&amp;"/"&amp;RIGHT("00"&amp;$H446,2)&amp;"/"&amp;RIGHT("00"&amp;$I446,2)))</f>
        <v/>
      </c>
      <c r="K446">
        <f>IF(OR($F446="",$J446="",$J446="نامعتبر"),"",LEFT($J446,4)&amp;MID($J446,6,2)&amp;RIGHT($J446,2)&amp;$N446&amp;"|"&amp;"2"&amp;RIGHT("00000"&amp;441,5))</f>
        <v/>
      </c>
      <c r="L446">
        <f>IF($K446="","",COUNTIFS(LdgPartyA,$F446,LdgKeyA,"&lt;"&amp;$K446)+COUNTIFS(LdgPartyB,$F446,LdgKeyB,"&lt;"&amp;$K446)+1)</f>
        <v/>
      </c>
      <c r="M446">
        <f>IF($L446="","",$F446&amp;"|"&amp;RIGHT("000000"&amp;$L446,6))</f>
        <v/>
      </c>
      <c r="N446">
        <f>IF($F446="","",IF(Sync!$AH446="","0000",IF(AND(ISNUMBER(Sync!$AH446),Sync!$AH446&gt;=0,Sync!$AH446&lt;1),RIGHT("00"&amp;HOUR(Sync!$AH446),2)&amp;RIGHT("00"&amp;MINUTE(Sync!$AH446),2),IFERROR(RIGHT("00"&amp;VALUE(LEFT(Sync!$AH446,FIND(":",Sync!$AH446)-1)),2)&amp;RIGHT("00"&amp;VALUE(MID(Sync!$AH446,FIND(":",Sync!$AH446)+1,2)),2),"0000"))))</f>
        <v/>
      </c>
    </row>
    <row r="447">
      <c r="A447">
        <f>IF(OR(Calc!$E450="",Calc!$E450="نامعتبر",Calc!$G450="",Calc!$I450&lt;&gt;"خرید"),"",Calc!$G450)</f>
        <v/>
      </c>
      <c r="B447">
        <f>IF($A447="","",LEFT(Calc!$E450,4)&amp;MID(Calc!$E450,6,2)&amp;RIGHT(Calc!$E450,2)&amp;Calc!$R450&amp;"|"&amp;"1"&amp;RIGHT("00000"&amp;442,5))</f>
        <v/>
      </c>
      <c r="C447">
        <f>IF($B447="","",COUNTIFS(LdgPartyA,$A447,LdgKeyA,"&lt;"&amp;$B447)+COUNTIFS(LdgPartyB,$A447,LdgKeyB,"&lt;"&amp;$B447)+1)</f>
        <v/>
      </c>
      <c r="D447">
        <f>IF($C447="","",$A447&amp;"|"&amp;RIGHT("000000"&amp;$C447,6))</f>
        <v/>
      </c>
      <c r="F447">
        <f>IF(Sync!$AJ447="","",Sync!$AJ447)</f>
        <v/>
      </c>
      <c r="G447">
        <f>IF($F447="","",IF(Sync!$AG447="","",IF(ISNUMBER(Sync!$AG447),IF(AND(Sync!$AG447&gt;=10000101,Sync!$AG447&lt;=99991231),INT(Sync!$AG447/10000),""),IFERROR(VALUE(TRIM(LEFT(Sync!$AG447,FIND("/",Sync!$AG447)-1))),""))))</f>
        <v/>
      </c>
      <c r="H447">
        <f>IF(OR($F447="",$G447=""),"",IF(ISNUMBER(Sync!$AG447),INT(MOD(Sync!$AG447,10000)/100),IFERROR(VALUE(TRIM(LEFT(MID(Sync!$AG447,FIND("/",Sync!$AG447)+1,20),FIND("/",MID(Sync!$AG447,FIND("/",Sync!$AG447)+1,20))-1))),"")))</f>
        <v/>
      </c>
      <c r="I447">
        <f>IF(OR($F447="",$G447=""),"",IF(ISNUMBER(Sync!$AG447),MOD(Sync!$AG447,100),IFERROR(VALUE(TRIM(MID(MID(Sync!$AG447,FIND("/",Sync!$AG447)+1,20),FIND("/",MID(Sync!$AG447,FIND("/",Sync!$AG447)+1,20))+1,20))),"")))</f>
        <v/>
      </c>
      <c r="J447">
        <f>IF($F447="","",IF(OR($G447="",$H447="",$I447="",$G447&lt;1300,$G447&gt;1500,$H447&lt;1,$H447&gt;12,$I447&lt;1,$I447&gt;31),"نامعتبر",RIGHT("0000"&amp;$G447,4)&amp;"/"&amp;RIGHT("00"&amp;$H447,2)&amp;"/"&amp;RIGHT("00"&amp;$I447,2)))</f>
        <v/>
      </c>
      <c r="K447">
        <f>IF(OR($F447="",$J447="",$J447="نامعتبر"),"",LEFT($J447,4)&amp;MID($J447,6,2)&amp;RIGHT($J447,2)&amp;$N447&amp;"|"&amp;"2"&amp;RIGHT("00000"&amp;442,5))</f>
        <v/>
      </c>
      <c r="L447">
        <f>IF($K447="","",COUNTIFS(LdgPartyA,$F447,LdgKeyA,"&lt;"&amp;$K447)+COUNTIFS(LdgPartyB,$F447,LdgKeyB,"&lt;"&amp;$K447)+1)</f>
        <v/>
      </c>
      <c r="M447">
        <f>IF($L447="","",$F447&amp;"|"&amp;RIGHT("000000"&amp;$L447,6))</f>
        <v/>
      </c>
      <c r="N447">
        <f>IF($F447="","",IF(Sync!$AH447="","0000",IF(AND(ISNUMBER(Sync!$AH447),Sync!$AH447&gt;=0,Sync!$AH447&lt;1),RIGHT("00"&amp;HOUR(Sync!$AH447),2)&amp;RIGHT("00"&amp;MINUTE(Sync!$AH447),2),IFERROR(RIGHT("00"&amp;VALUE(LEFT(Sync!$AH447,FIND(":",Sync!$AH447)-1)),2)&amp;RIGHT("00"&amp;VALUE(MID(Sync!$AH447,FIND(":",Sync!$AH447)+1,2)),2),"0000"))))</f>
        <v/>
      </c>
    </row>
    <row r="448">
      <c r="A448">
        <f>IF(OR(Calc!$E451="",Calc!$E451="نامعتبر",Calc!$G451="",Calc!$I451&lt;&gt;"خرید"),"",Calc!$G451)</f>
        <v/>
      </c>
      <c r="B448">
        <f>IF($A448="","",LEFT(Calc!$E451,4)&amp;MID(Calc!$E451,6,2)&amp;RIGHT(Calc!$E451,2)&amp;Calc!$R451&amp;"|"&amp;"1"&amp;RIGHT("00000"&amp;443,5))</f>
        <v/>
      </c>
      <c r="C448">
        <f>IF($B448="","",COUNTIFS(LdgPartyA,$A448,LdgKeyA,"&lt;"&amp;$B448)+COUNTIFS(LdgPartyB,$A448,LdgKeyB,"&lt;"&amp;$B448)+1)</f>
        <v/>
      </c>
      <c r="D448">
        <f>IF($C448="","",$A448&amp;"|"&amp;RIGHT("000000"&amp;$C448,6))</f>
        <v/>
      </c>
      <c r="F448">
        <f>IF(Sync!$AJ448="","",Sync!$AJ448)</f>
        <v/>
      </c>
      <c r="G448">
        <f>IF($F448="","",IF(Sync!$AG448="","",IF(ISNUMBER(Sync!$AG448),IF(AND(Sync!$AG448&gt;=10000101,Sync!$AG448&lt;=99991231),INT(Sync!$AG448/10000),""),IFERROR(VALUE(TRIM(LEFT(Sync!$AG448,FIND("/",Sync!$AG448)-1))),""))))</f>
        <v/>
      </c>
      <c r="H448">
        <f>IF(OR($F448="",$G448=""),"",IF(ISNUMBER(Sync!$AG448),INT(MOD(Sync!$AG448,10000)/100),IFERROR(VALUE(TRIM(LEFT(MID(Sync!$AG448,FIND("/",Sync!$AG448)+1,20),FIND("/",MID(Sync!$AG448,FIND("/",Sync!$AG448)+1,20))-1))),"")))</f>
        <v/>
      </c>
      <c r="I448">
        <f>IF(OR($F448="",$G448=""),"",IF(ISNUMBER(Sync!$AG448),MOD(Sync!$AG448,100),IFERROR(VALUE(TRIM(MID(MID(Sync!$AG448,FIND("/",Sync!$AG448)+1,20),FIND("/",MID(Sync!$AG448,FIND("/",Sync!$AG448)+1,20))+1,20))),"")))</f>
        <v/>
      </c>
      <c r="J448">
        <f>IF($F448="","",IF(OR($G448="",$H448="",$I448="",$G448&lt;1300,$G448&gt;1500,$H448&lt;1,$H448&gt;12,$I448&lt;1,$I448&gt;31),"نامعتبر",RIGHT("0000"&amp;$G448,4)&amp;"/"&amp;RIGHT("00"&amp;$H448,2)&amp;"/"&amp;RIGHT("00"&amp;$I448,2)))</f>
        <v/>
      </c>
      <c r="K448">
        <f>IF(OR($F448="",$J448="",$J448="نامعتبر"),"",LEFT($J448,4)&amp;MID($J448,6,2)&amp;RIGHT($J448,2)&amp;$N448&amp;"|"&amp;"2"&amp;RIGHT("00000"&amp;443,5))</f>
        <v/>
      </c>
      <c r="L448">
        <f>IF($K448="","",COUNTIFS(LdgPartyA,$F448,LdgKeyA,"&lt;"&amp;$K448)+COUNTIFS(LdgPartyB,$F448,LdgKeyB,"&lt;"&amp;$K448)+1)</f>
        <v/>
      </c>
      <c r="M448">
        <f>IF($L448="","",$F448&amp;"|"&amp;RIGHT("000000"&amp;$L448,6))</f>
        <v/>
      </c>
      <c r="N448">
        <f>IF($F448="","",IF(Sync!$AH448="","0000",IF(AND(ISNUMBER(Sync!$AH448),Sync!$AH448&gt;=0,Sync!$AH448&lt;1),RIGHT("00"&amp;HOUR(Sync!$AH448),2)&amp;RIGHT("00"&amp;MINUTE(Sync!$AH448),2),IFERROR(RIGHT("00"&amp;VALUE(LEFT(Sync!$AH448,FIND(":",Sync!$AH448)-1)),2)&amp;RIGHT("00"&amp;VALUE(MID(Sync!$AH448,FIND(":",Sync!$AH448)+1,2)),2),"0000"))))</f>
        <v/>
      </c>
    </row>
    <row r="449">
      <c r="A449">
        <f>IF(OR(Calc!$E452="",Calc!$E452="نامعتبر",Calc!$G452="",Calc!$I452&lt;&gt;"خرید"),"",Calc!$G452)</f>
        <v/>
      </c>
      <c r="B449">
        <f>IF($A449="","",LEFT(Calc!$E452,4)&amp;MID(Calc!$E452,6,2)&amp;RIGHT(Calc!$E452,2)&amp;Calc!$R452&amp;"|"&amp;"1"&amp;RIGHT("00000"&amp;444,5))</f>
        <v/>
      </c>
      <c r="C449">
        <f>IF($B449="","",COUNTIFS(LdgPartyA,$A449,LdgKeyA,"&lt;"&amp;$B449)+COUNTIFS(LdgPartyB,$A449,LdgKeyB,"&lt;"&amp;$B449)+1)</f>
        <v/>
      </c>
      <c r="D449">
        <f>IF($C449="","",$A449&amp;"|"&amp;RIGHT("000000"&amp;$C449,6))</f>
        <v/>
      </c>
      <c r="F449">
        <f>IF(Sync!$AJ449="","",Sync!$AJ449)</f>
        <v/>
      </c>
      <c r="G449">
        <f>IF($F449="","",IF(Sync!$AG449="","",IF(ISNUMBER(Sync!$AG449),IF(AND(Sync!$AG449&gt;=10000101,Sync!$AG449&lt;=99991231),INT(Sync!$AG449/10000),""),IFERROR(VALUE(TRIM(LEFT(Sync!$AG449,FIND("/",Sync!$AG449)-1))),""))))</f>
        <v/>
      </c>
      <c r="H449">
        <f>IF(OR($F449="",$G449=""),"",IF(ISNUMBER(Sync!$AG449),INT(MOD(Sync!$AG449,10000)/100),IFERROR(VALUE(TRIM(LEFT(MID(Sync!$AG449,FIND("/",Sync!$AG449)+1,20),FIND("/",MID(Sync!$AG449,FIND("/",Sync!$AG449)+1,20))-1))),"")))</f>
        <v/>
      </c>
      <c r="I449">
        <f>IF(OR($F449="",$G449=""),"",IF(ISNUMBER(Sync!$AG449),MOD(Sync!$AG449,100),IFERROR(VALUE(TRIM(MID(MID(Sync!$AG449,FIND("/",Sync!$AG449)+1,20),FIND("/",MID(Sync!$AG449,FIND("/",Sync!$AG449)+1,20))+1,20))),"")))</f>
        <v/>
      </c>
      <c r="J449">
        <f>IF($F449="","",IF(OR($G449="",$H449="",$I449="",$G449&lt;1300,$G449&gt;1500,$H449&lt;1,$H449&gt;12,$I449&lt;1,$I449&gt;31),"نامعتبر",RIGHT("0000"&amp;$G449,4)&amp;"/"&amp;RIGHT("00"&amp;$H449,2)&amp;"/"&amp;RIGHT("00"&amp;$I449,2)))</f>
        <v/>
      </c>
      <c r="K449">
        <f>IF(OR($F449="",$J449="",$J449="نامعتبر"),"",LEFT($J449,4)&amp;MID($J449,6,2)&amp;RIGHT($J449,2)&amp;$N449&amp;"|"&amp;"2"&amp;RIGHT("00000"&amp;444,5))</f>
        <v/>
      </c>
      <c r="L449">
        <f>IF($K449="","",COUNTIFS(LdgPartyA,$F449,LdgKeyA,"&lt;"&amp;$K449)+COUNTIFS(LdgPartyB,$F449,LdgKeyB,"&lt;"&amp;$K449)+1)</f>
        <v/>
      </c>
      <c r="M449">
        <f>IF($L449="","",$F449&amp;"|"&amp;RIGHT("000000"&amp;$L449,6))</f>
        <v/>
      </c>
      <c r="N449">
        <f>IF($F449="","",IF(Sync!$AH449="","0000",IF(AND(ISNUMBER(Sync!$AH449),Sync!$AH449&gt;=0,Sync!$AH449&lt;1),RIGHT("00"&amp;HOUR(Sync!$AH449),2)&amp;RIGHT("00"&amp;MINUTE(Sync!$AH449),2),IFERROR(RIGHT("00"&amp;VALUE(LEFT(Sync!$AH449,FIND(":",Sync!$AH449)-1)),2)&amp;RIGHT("00"&amp;VALUE(MID(Sync!$AH449,FIND(":",Sync!$AH449)+1,2)),2),"0000"))))</f>
        <v/>
      </c>
    </row>
    <row r="450">
      <c r="A450">
        <f>IF(OR(Calc!$E453="",Calc!$E453="نامعتبر",Calc!$G453="",Calc!$I453&lt;&gt;"خرید"),"",Calc!$G453)</f>
        <v/>
      </c>
      <c r="B450">
        <f>IF($A450="","",LEFT(Calc!$E453,4)&amp;MID(Calc!$E453,6,2)&amp;RIGHT(Calc!$E453,2)&amp;Calc!$R453&amp;"|"&amp;"1"&amp;RIGHT("00000"&amp;445,5))</f>
        <v/>
      </c>
      <c r="C450">
        <f>IF($B450="","",COUNTIFS(LdgPartyA,$A450,LdgKeyA,"&lt;"&amp;$B450)+COUNTIFS(LdgPartyB,$A450,LdgKeyB,"&lt;"&amp;$B450)+1)</f>
        <v/>
      </c>
      <c r="D450">
        <f>IF($C450="","",$A450&amp;"|"&amp;RIGHT("000000"&amp;$C450,6))</f>
        <v/>
      </c>
      <c r="F450">
        <f>IF(Sync!$AJ450="","",Sync!$AJ450)</f>
        <v/>
      </c>
      <c r="G450">
        <f>IF($F450="","",IF(Sync!$AG450="","",IF(ISNUMBER(Sync!$AG450),IF(AND(Sync!$AG450&gt;=10000101,Sync!$AG450&lt;=99991231),INT(Sync!$AG450/10000),""),IFERROR(VALUE(TRIM(LEFT(Sync!$AG450,FIND("/",Sync!$AG450)-1))),""))))</f>
        <v/>
      </c>
      <c r="H450">
        <f>IF(OR($F450="",$G450=""),"",IF(ISNUMBER(Sync!$AG450),INT(MOD(Sync!$AG450,10000)/100),IFERROR(VALUE(TRIM(LEFT(MID(Sync!$AG450,FIND("/",Sync!$AG450)+1,20),FIND("/",MID(Sync!$AG450,FIND("/",Sync!$AG450)+1,20))-1))),"")))</f>
        <v/>
      </c>
      <c r="I450">
        <f>IF(OR($F450="",$G450=""),"",IF(ISNUMBER(Sync!$AG450),MOD(Sync!$AG450,100),IFERROR(VALUE(TRIM(MID(MID(Sync!$AG450,FIND("/",Sync!$AG450)+1,20),FIND("/",MID(Sync!$AG450,FIND("/",Sync!$AG450)+1,20))+1,20))),"")))</f>
        <v/>
      </c>
      <c r="J450">
        <f>IF($F450="","",IF(OR($G450="",$H450="",$I450="",$G450&lt;1300,$G450&gt;1500,$H450&lt;1,$H450&gt;12,$I450&lt;1,$I450&gt;31),"نامعتبر",RIGHT("0000"&amp;$G450,4)&amp;"/"&amp;RIGHT("00"&amp;$H450,2)&amp;"/"&amp;RIGHT("00"&amp;$I450,2)))</f>
        <v/>
      </c>
      <c r="K450">
        <f>IF(OR($F450="",$J450="",$J450="نامعتبر"),"",LEFT($J450,4)&amp;MID($J450,6,2)&amp;RIGHT($J450,2)&amp;$N450&amp;"|"&amp;"2"&amp;RIGHT("00000"&amp;445,5))</f>
        <v/>
      </c>
      <c r="L450">
        <f>IF($K450="","",COUNTIFS(LdgPartyA,$F450,LdgKeyA,"&lt;"&amp;$K450)+COUNTIFS(LdgPartyB,$F450,LdgKeyB,"&lt;"&amp;$K450)+1)</f>
        <v/>
      </c>
      <c r="M450">
        <f>IF($L450="","",$F450&amp;"|"&amp;RIGHT("000000"&amp;$L450,6))</f>
        <v/>
      </c>
      <c r="N450">
        <f>IF($F450="","",IF(Sync!$AH450="","0000",IF(AND(ISNUMBER(Sync!$AH450),Sync!$AH450&gt;=0,Sync!$AH450&lt;1),RIGHT("00"&amp;HOUR(Sync!$AH450),2)&amp;RIGHT("00"&amp;MINUTE(Sync!$AH450),2),IFERROR(RIGHT("00"&amp;VALUE(LEFT(Sync!$AH450,FIND(":",Sync!$AH450)-1)),2)&amp;RIGHT("00"&amp;VALUE(MID(Sync!$AH450,FIND(":",Sync!$AH450)+1,2)),2),"0000"))))</f>
        <v/>
      </c>
    </row>
    <row r="451">
      <c r="A451">
        <f>IF(OR(Calc!$E454="",Calc!$E454="نامعتبر",Calc!$G454="",Calc!$I454&lt;&gt;"خرید"),"",Calc!$G454)</f>
        <v/>
      </c>
      <c r="B451">
        <f>IF($A451="","",LEFT(Calc!$E454,4)&amp;MID(Calc!$E454,6,2)&amp;RIGHT(Calc!$E454,2)&amp;Calc!$R454&amp;"|"&amp;"1"&amp;RIGHT("00000"&amp;446,5))</f>
        <v/>
      </c>
      <c r="C451">
        <f>IF($B451="","",COUNTIFS(LdgPartyA,$A451,LdgKeyA,"&lt;"&amp;$B451)+COUNTIFS(LdgPartyB,$A451,LdgKeyB,"&lt;"&amp;$B451)+1)</f>
        <v/>
      </c>
      <c r="D451">
        <f>IF($C451="","",$A451&amp;"|"&amp;RIGHT("000000"&amp;$C451,6))</f>
        <v/>
      </c>
      <c r="F451">
        <f>IF(Sync!$AJ451="","",Sync!$AJ451)</f>
        <v/>
      </c>
      <c r="G451">
        <f>IF($F451="","",IF(Sync!$AG451="","",IF(ISNUMBER(Sync!$AG451),IF(AND(Sync!$AG451&gt;=10000101,Sync!$AG451&lt;=99991231),INT(Sync!$AG451/10000),""),IFERROR(VALUE(TRIM(LEFT(Sync!$AG451,FIND("/",Sync!$AG451)-1))),""))))</f>
        <v/>
      </c>
      <c r="H451">
        <f>IF(OR($F451="",$G451=""),"",IF(ISNUMBER(Sync!$AG451),INT(MOD(Sync!$AG451,10000)/100),IFERROR(VALUE(TRIM(LEFT(MID(Sync!$AG451,FIND("/",Sync!$AG451)+1,20),FIND("/",MID(Sync!$AG451,FIND("/",Sync!$AG451)+1,20))-1))),"")))</f>
        <v/>
      </c>
      <c r="I451">
        <f>IF(OR($F451="",$G451=""),"",IF(ISNUMBER(Sync!$AG451),MOD(Sync!$AG451,100),IFERROR(VALUE(TRIM(MID(MID(Sync!$AG451,FIND("/",Sync!$AG451)+1,20),FIND("/",MID(Sync!$AG451,FIND("/",Sync!$AG451)+1,20))+1,20))),"")))</f>
        <v/>
      </c>
      <c r="J451">
        <f>IF($F451="","",IF(OR($G451="",$H451="",$I451="",$G451&lt;1300,$G451&gt;1500,$H451&lt;1,$H451&gt;12,$I451&lt;1,$I451&gt;31),"نامعتبر",RIGHT("0000"&amp;$G451,4)&amp;"/"&amp;RIGHT("00"&amp;$H451,2)&amp;"/"&amp;RIGHT("00"&amp;$I451,2)))</f>
        <v/>
      </c>
      <c r="K451">
        <f>IF(OR($F451="",$J451="",$J451="نامعتبر"),"",LEFT($J451,4)&amp;MID($J451,6,2)&amp;RIGHT($J451,2)&amp;$N451&amp;"|"&amp;"2"&amp;RIGHT("00000"&amp;446,5))</f>
        <v/>
      </c>
      <c r="L451">
        <f>IF($K451="","",COUNTIFS(LdgPartyA,$F451,LdgKeyA,"&lt;"&amp;$K451)+COUNTIFS(LdgPartyB,$F451,LdgKeyB,"&lt;"&amp;$K451)+1)</f>
        <v/>
      </c>
      <c r="M451">
        <f>IF($L451="","",$F451&amp;"|"&amp;RIGHT("000000"&amp;$L451,6))</f>
        <v/>
      </c>
      <c r="N451">
        <f>IF($F451="","",IF(Sync!$AH451="","0000",IF(AND(ISNUMBER(Sync!$AH451),Sync!$AH451&gt;=0,Sync!$AH451&lt;1),RIGHT("00"&amp;HOUR(Sync!$AH451),2)&amp;RIGHT("00"&amp;MINUTE(Sync!$AH451),2),IFERROR(RIGHT("00"&amp;VALUE(LEFT(Sync!$AH451,FIND(":",Sync!$AH451)-1)),2)&amp;RIGHT("00"&amp;VALUE(MID(Sync!$AH451,FIND(":",Sync!$AH451)+1,2)),2),"0000"))))</f>
        <v/>
      </c>
    </row>
    <row r="452">
      <c r="A452">
        <f>IF(OR(Calc!$E455="",Calc!$E455="نامعتبر",Calc!$G455="",Calc!$I455&lt;&gt;"خرید"),"",Calc!$G455)</f>
        <v/>
      </c>
      <c r="B452">
        <f>IF($A452="","",LEFT(Calc!$E455,4)&amp;MID(Calc!$E455,6,2)&amp;RIGHT(Calc!$E455,2)&amp;Calc!$R455&amp;"|"&amp;"1"&amp;RIGHT("00000"&amp;447,5))</f>
        <v/>
      </c>
      <c r="C452">
        <f>IF($B452="","",COUNTIFS(LdgPartyA,$A452,LdgKeyA,"&lt;"&amp;$B452)+COUNTIFS(LdgPartyB,$A452,LdgKeyB,"&lt;"&amp;$B452)+1)</f>
        <v/>
      </c>
      <c r="D452">
        <f>IF($C452="","",$A452&amp;"|"&amp;RIGHT("000000"&amp;$C452,6))</f>
        <v/>
      </c>
      <c r="F452">
        <f>IF(Sync!$AJ452="","",Sync!$AJ452)</f>
        <v/>
      </c>
      <c r="G452">
        <f>IF($F452="","",IF(Sync!$AG452="","",IF(ISNUMBER(Sync!$AG452),IF(AND(Sync!$AG452&gt;=10000101,Sync!$AG452&lt;=99991231),INT(Sync!$AG452/10000),""),IFERROR(VALUE(TRIM(LEFT(Sync!$AG452,FIND("/",Sync!$AG452)-1))),""))))</f>
        <v/>
      </c>
      <c r="H452">
        <f>IF(OR($F452="",$G452=""),"",IF(ISNUMBER(Sync!$AG452),INT(MOD(Sync!$AG452,10000)/100),IFERROR(VALUE(TRIM(LEFT(MID(Sync!$AG452,FIND("/",Sync!$AG452)+1,20),FIND("/",MID(Sync!$AG452,FIND("/",Sync!$AG452)+1,20))-1))),"")))</f>
        <v/>
      </c>
      <c r="I452">
        <f>IF(OR($F452="",$G452=""),"",IF(ISNUMBER(Sync!$AG452),MOD(Sync!$AG452,100),IFERROR(VALUE(TRIM(MID(MID(Sync!$AG452,FIND("/",Sync!$AG452)+1,20),FIND("/",MID(Sync!$AG452,FIND("/",Sync!$AG452)+1,20))+1,20))),"")))</f>
        <v/>
      </c>
      <c r="J452">
        <f>IF($F452="","",IF(OR($G452="",$H452="",$I452="",$G452&lt;1300,$G452&gt;1500,$H452&lt;1,$H452&gt;12,$I452&lt;1,$I452&gt;31),"نامعتبر",RIGHT("0000"&amp;$G452,4)&amp;"/"&amp;RIGHT("00"&amp;$H452,2)&amp;"/"&amp;RIGHT("00"&amp;$I452,2)))</f>
        <v/>
      </c>
      <c r="K452">
        <f>IF(OR($F452="",$J452="",$J452="نامعتبر"),"",LEFT($J452,4)&amp;MID($J452,6,2)&amp;RIGHT($J452,2)&amp;$N452&amp;"|"&amp;"2"&amp;RIGHT("00000"&amp;447,5))</f>
        <v/>
      </c>
      <c r="L452">
        <f>IF($K452="","",COUNTIFS(LdgPartyA,$F452,LdgKeyA,"&lt;"&amp;$K452)+COUNTIFS(LdgPartyB,$F452,LdgKeyB,"&lt;"&amp;$K452)+1)</f>
        <v/>
      </c>
      <c r="M452">
        <f>IF($L452="","",$F452&amp;"|"&amp;RIGHT("000000"&amp;$L452,6))</f>
        <v/>
      </c>
      <c r="N452">
        <f>IF($F452="","",IF(Sync!$AH452="","0000",IF(AND(ISNUMBER(Sync!$AH452),Sync!$AH452&gt;=0,Sync!$AH452&lt;1),RIGHT("00"&amp;HOUR(Sync!$AH452),2)&amp;RIGHT("00"&amp;MINUTE(Sync!$AH452),2),IFERROR(RIGHT("00"&amp;VALUE(LEFT(Sync!$AH452,FIND(":",Sync!$AH452)-1)),2)&amp;RIGHT("00"&amp;VALUE(MID(Sync!$AH452,FIND(":",Sync!$AH452)+1,2)),2),"0000"))))</f>
        <v/>
      </c>
    </row>
    <row r="453">
      <c r="A453">
        <f>IF(OR(Calc!$E456="",Calc!$E456="نامعتبر",Calc!$G456="",Calc!$I456&lt;&gt;"خرید"),"",Calc!$G456)</f>
        <v/>
      </c>
      <c r="B453">
        <f>IF($A453="","",LEFT(Calc!$E456,4)&amp;MID(Calc!$E456,6,2)&amp;RIGHT(Calc!$E456,2)&amp;Calc!$R456&amp;"|"&amp;"1"&amp;RIGHT("00000"&amp;448,5))</f>
        <v/>
      </c>
      <c r="C453">
        <f>IF($B453="","",COUNTIFS(LdgPartyA,$A453,LdgKeyA,"&lt;"&amp;$B453)+COUNTIFS(LdgPartyB,$A453,LdgKeyB,"&lt;"&amp;$B453)+1)</f>
        <v/>
      </c>
      <c r="D453">
        <f>IF($C453="","",$A453&amp;"|"&amp;RIGHT("000000"&amp;$C453,6))</f>
        <v/>
      </c>
      <c r="F453">
        <f>IF(Sync!$AJ453="","",Sync!$AJ453)</f>
        <v/>
      </c>
      <c r="G453">
        <f>IF($F453="","",IF(Sync!$AG453="","",IF(ISNUMBER(Sync!$AG453),IF(AND(Sync!$AG453&gt;=10000101,Sync!$AG453&lt;=99991231),INT(Sync!$AG453/10000),""),IFERROR(VALUE(TRIM(LEFT(Sync!$AG453,FIND("/",Sync!$AG453)-1))),""))))</f>
        <v/>
      </c>
      <c r="H453">
        <f>IF(OR($F453="",$G453=""),"",IF(ISNUMBER(Sync!$AG453),INT(MOD(Sync!$AG453,10000)/100),IFERROR(VALUE(TRIM(LEFT(MID(Sync!$AG453,FIND("/",Sync!$AG453)+1,20),FIND("/",MID(Sync!$AG453,FIND("/",Sync!$AG453)+1,20))-1))),"")))</f>
        <v/>
      </c>
      <c r="I453">
        <f>IF(OR($F453="",$G453=""),"",IF(ISNUMBER(Sync!$AG453),MOD(Sync!$AG453,100),IFERROR(VALUE(TRIM(MID(MID(Sync!$AG453,FIND("/",Sync!$AG453)+1,20),FIND("/",MID(Sync!$AG453,FIND("/",Sync!$AG453)+1,20))+1,20))),"")))</f>
        <v/>
      </c>
      <c r="J453">
        <f>IF($F453="","",IF(OR($G453="",$H453="",$I453="",$G453&lt;1300,$G453&gt;1500,$H453&lt;1,$H453&gt;12,$I453&lt;1,$I453&gt;31),"نامعتبر",RIGHT("0000"&amp;$G453,4)&amp;"/"&amp;RIGHT("00"&amp;$H453,2)&amp;"/"&amp;RIGHT("00"&amp;$I453,2)))</f>
        <v/>
      </c>
      <c r="K453">
        <f>IF(OR($F453="",$J453="",$J453="نامعتبر"),"",LEFT($J453,4)&amp;MID($J453,6,2)&amp;RIGHT($J453,2)&amp;$N453&amp;"|"&amp;"2"&amp;RIGHT("00000"&amp;448,5))</f>
        <v/>
      </c>
      <c r="L453">
        <f>IF($K453="","",COUNTIFS(LdgPartyA,$F453,LdgKeyA,"&lt;"&amp;$K453)+COUNTIFS(LdgPartyB,$F453,LdgKeyB,"&lt;"&amp;$K453)+1)</f>
        <v/>
      </c>
      <c r="M453">
        <f>IF($L453="","",$F453&amp;"|"&amp;RIGHT("000000"&amp;$L453,6))</f>
        <v/>
      </c>
      <c r="N453">
        <f>IF($F453="","",IF(Sync!$AH453="","0000",IF(AND(ISNUMBER(Sync!$AH453),Sync!$AH453&gt;=0,Sync!$AH453&lt;1),RIGHT("00"&amp;HOUR(Sync!$AH453),2)&amp;RIGHT("00"&amp;MINUTE(Sync!$AH453),2),IFERROR(RIGHT("00"&amp;VALUE(LEFT(Sync!$AH453,FIND(":",Sync!$AH453)-1)),2)&amp;RIGHT("00"&amp;VALUE(MID(Sync!$AH453,FIND(":",Sync!$AH453)+1,2)),2),"0000"))))</f>
        <v/>
      </c>
    </row>
    <row r="454">
      <c r="A454">
        <f>IF(OR(Calc!$E457="",Calc!$E457="نامعتبر",Calc!$G457="",Calc!$I457&lt;&gt;"خرید"),"",Calc!$G457)</f>
        <v/>
      </c>
      <c r="B454">
        <f>IF($A454="","",LEFT(Calc!$E457,4)&amp;MID(Calc!$E457,6,2)&amp;RIGHT(Calc!$E457,2)&amp;Calc!$R457&amp;"|"&amp;"1"&amp;RIGHT("00000"&amp;449,5))</f>
        <v/>
      </c>
      <c r="C454">
        <f>IF($B454="","",COUNTIFS(LdgPartyA,$A454,LdgKeyA,"&lt;"&amp;$B454)+COUNTIFS(LdgPartyB,$A454,LdgKeyB,"&lt;"&amp;$B454)+1)</f>
        <v/>
      </c>
      <c r="D454">
        <f>IF($C454="","",$A454&amp;"|"&amp;RIGHT("000000"&amp;$C454,6))</f>
        <v/>
      </c>
      <c r="F454">
        <f>IF(Sync!$AJ454="","",Sync!$AJ454)</f>
        <v/>
      </c>
      <c r="G454">
        <f>IF($F454="","",IF(Sync!$AG454="","",IF(ISNUMBER(Sync!$AG454),IF(AND(Sync!$AG454&gt;=10000101,Sync!$AG454&lt;=99991231),INT(Sync!$AG454/10000),""),IFERROR(VALUE(TRIM(LEFT(Sync!$AG454,FIND("/",Sync!$AG454)-1))),""))))</f>
        <v/>
      </c>
      <c r="H454">
        <f>IF(OR($F454="",$G454=""),"",IF(ISNUMBER(Sync!$AG454),INT(MOD(Sync!$AG454,10000)/100),IFERROR(VALUE(TRIM(LEFT(MID(Sync!$AG454,FIND("/",Sync!$AG454)+1,20),FIND("/",MID(Sync!$AG454,FIND("/",Sync!$AG454)+1,20))-1))),"")))</f>
        <v/>
      </c>
      <c r="I454">
        <f>IF(OR($F454="",$G454=""),"",IF(ISNUMBER(Sync!$AG454),MOD(Sync!$AG454,100),IFERROR(VALUE(TRIM(MID(MID(Sync!$AG454,FIND("/",Sync!$AG454)+1,20),FIND("/",MID(Sync!$AG454,FIND("/",Sync!$AG454)+1,20))+1,20))),"")))</f>
        <v/>
      </c>
      <c r="J454">
        <f>IF($F454="","",IF(OR($G454="",$H454="",$I454="",$G454&lt;1300,$G454&gt;1500,$H454&lt;1,$H454&gt;12,$I454&lt;1,$I454&gt;31),"نامعتبر",RIGHT("0000"&amp;$G454,4)&amp;"/"&amp;RIGHT("00"&amp;$H454,2)&amp;"/"&amp;RIGHT("00"&amp;$I454,2)))</f>
        <v/>
      </c>
      <c r="K454">
        <f>IF(OR($F454="",$J454="",$J454="نامعتبر"),"",LEFT($J454,4)&amp;MID($J454,6,2)&amp;RIGHT($J454,2)&amp;$N454&amp;"|"&amp;"2"&amp;RIGHT("00000"&amp;449,5))</f>
        <v/>
      </c>
      <c r="L454">
        <f>IF($K454="","",COUNTIFS(LdgPartyA,$F454,LdgKeyA,"&lt;"&amp;$K454)+COUNTIFS(LdgPartyB,$F454,LdgKeyB,"&lt;"&amp;$K454)+1)</f>
        <v/>
      </c>
      <c r="M454">
        <f>IF($L454="","",$F454&amp;"|"&amp;RIGHT("000000"&amp;$L454,6))</f>
        <v/>
      </c>
      <c r="N454">
        <f>IF($F454="","",IF(Sync!$AH454="","0000",IF(AND(ISNUMBER(Sync!$AH454),Sync!$AH454&gt;=0,Sync!$AH454&lt;1),RIGHT("00"&amp;HOUR(Sync!$AH454),2)&amp;RIGHT("00"&amp;MINUTE(Sync!$AH454),2),IFERROR(RIGHT("00"&amp;VALUE(LEFT(Sync!$AH454,FIND(":",Sync!$AH454)-1)),2)&amp;RIGHT("00"&amp;VALUE(MID(Sync!$AH454,FIND(":",Sync!$AH454)+1,2)),2),"0000"))))</f>
        <v/>
      </c>
    </row>
    <row r="455">
      <c r="A455">
        <f>IF(OR(Calc!$E458="",Calc!$E458="نامعتبر",Calc!$G458="",Calc!$I458&lt;&gt;"خرید"),"",Calc!$G458)</f>
        <v/>
      </c>
      <c r="B455">
        <f>IF($A455="","",LEFT(Calc!$E458,4)&amp;MID(Calc!$E458,6,2)&amp;RIGHT(Calc!$E458,2)&amp;Calc!$R458&amp;"|"&amp;"1"&amp;RIGHT("00000"&amp;450,5))</f>
        <v/>
      </c>
      <c r="C455">
        <f>IF($B455="","",COUNTIFS(LdgPartyA,$A455,LdgKeyA,"&lt;"&amp;$B455)+COUNTIFS(LdgPartyB,$A455,LdgKeyB,"&lt;"&amp;$B455)+1)</f>
        <v/>
      </c>
      <c r="D455">
        <f>IF($C455="","",$A455&amp;"|"&amp;RIGHT("000000"&amp;$C455,6))</f>
        <v/>
      </c>
      <c r="F455">
        <f>IF(Sync!$AJ455="","",Sync!$AJ455)</f>
        <v/>
      </c>
      <c r="G455">
        <f>IF($F455="","",IF(Sync!$AG455="","",IF(ISNUMBER(Sync!$AG455),IF(AND(Sync!$AG455&gt;=10000101,Sync!$AG455&lt;=99991231),INT(Sync!$AG455/10000),""),IFERROR(VALUE(TRIM(LEFT(Sync!$AG455,FIND("/",Sync!$AG455)-1))),""))))</f>
        <v/>
      </c>
      <c r="H455">
        <f>IF(OR($F455="",$G455=""),"",IF(ISNUMBER(Sync!$AG455),INT(MOD(Sync!$AG455,10000)/100),IFERROR(VALUE(TRIM(LEFT(MID(Sync!$AG455,FIND("/",Sync!$AG455)+1,20),FIND("/",MID(Sync!$AG455,FIND("/",Sync!$AG455)+1,20))-1))),"")))</f>
        <v/>
      </c>
      <c r="I455">
        <f>IF(OR($F455="",$G455=""),"",IF(ISNUMBER(Sync!$AG455),MOD(Sync!$AG455,100),IFERROR(VALUE(TRIM(MID(MID(Sync!$AG455,FIND("/",Sync!$AG455)+1,20),FIND("/",MID(Sync!$AG455,FIND("/",Sync!$AG455)+1,20))+1,20))),"")))</f>
        <v/>
      </c>
      <c r="J455">
        <f>IF($F455="","",IF(OR($G455="",$H455="",$I455="",$G455&lt;1300,$G455&gt;1500,$H455&lt;1,$H455&gt;12,$I455&lt;1,$I455&gt;31),"نامعتبر",RIGHT("0000"&amp;$G455,4)&amp;"/"&amp;RIGHT("00"&amp;$H455,2)&amp;"/"&amp;RIGHT("00"&amp;$I455,2)))</f>
        <v/>
      </c>
      <c r="K455">
        <f>IF(OR($F455="",$J455="",$J455="نامعتبر"),"",LEFT($J455,4)&amp;MID($J455,6,2)&amp;RIGHT($J455,2)&amp;$N455&amp;"|"&amp;"2"&amp;RIGHT("00000"&amp;450,5))</f>
        <v/>
      </c>
      <c r="L455">
        <f>IF($K455="","",COUNTIFS(LdgPartyA,$F455,LdgKeyA,"&lt;"&amp;$K455)+COUNTIFS(LdgPartyB,$F455,LdgKeyB,"&lt;"&amp;$K455)+1)</f>
        <v/>
      </c>
      <c r="M455">
        <f>IF($L455="","",$F455&amp;"|"&amp;RIGHT("000000"&amp;$L455,6))</f>
        <v/>
      </c>
      <c r="N455">
        <f>IF($F455="","",IF(Sync!$AH455="","0000",IF(AND(ISNUMBER(Sync!$AH455),Sync!$AH455&gt;=0,Sync!$AH455&lt;1),RIGHT("00"&amp;HOUR(Sync!$AH455),2)&amp;RIGHT("00"&amp;MINUTE(Sync!$AH455),2),IFERROR(RIGHT("00"&amp;VALUE(LEFT(Sync!$AH455,FIND(":",Sync!$AH455)-1)),2)&amp;RIGHT("00"&amp;VALUE(MID(Sync!$AH455,FIND(":",Sync!$AH455)+1,2)),2),"0000"))))</f>
        <v/>
      </c>
    </row>
    <row r="456">
      <c r="A456">
        <f>IF(OR(Calc!$E459="",Calc!$E459="نامعتبر",Calc!$G459="",Calc!$I459&lt;&gt;"خرید"),"",Calc!$G459)</f>
        <v/>
      </c>
      <c r="B456">
        <f>IF($A456="","",LEFT(Calc!$E459,4)&amp;MID(Calc!$E459,6,2)&amp;RIGHT(Calc!$E459,2)&amp;Calc!$R459&amp;"|"&amp;"1"&amp;RIGHT("00000"&amp;451,5))</f>
        <v/>
      </c>
      <c r="C456">
        <f>IF($B456="","",COUNTIFS(LdgPartyA,$A456,LdgKeyA,"&lt;"&amp;$B456)+COUNTIFS(LdgPartyB,$A456,LdgKeyB,"&lt;"&amp;$B456)+1)</f>
        <v/>
      </c>
      <c r="D456">
        <f>IF($C456="","",$A456&amp;"|"&amp;RIGHT("000000"&amp;$C456,6))</f>
        <v/>
      </c>
      <c r="F456">
        <f>IF(Sync!$AJ456="","",Sync!$AJ456)</f>
        <v/>
      </c>
      <c r="G456">
        <f>IF($F456="","",IF(Sync!$AG456="","",IF(ISNUMBER(Sync!$AG456),IF(AND(Sync!$AG456&gt;=10000101,Sync!$AG456&lt;=99991231),INT(Sync!$AG456/10000),""),IFERROR(VALUE(TRIM(LEFT(Sync!$AG456,FIND("/",Sync!$AG456)-1))),""))))</f>
        <v/>
      </c>
      <c r="H456">
        <f>IF(OR($F456="",$G456=""),"",IF(ISNUMBER(Sync!$AG456),INT(MOD(Sync!$AG456,10000)/100),IFERROR(VALUE(TRIM(LEFT(MID(Sync!$AG456,FIND("/",Sync!$AG456)+1,20),FIND("/",MID(Sync!$AG456,FIND("/",Sync!$AG456)+1,20))-1))),"")))</f>
        <v/>
      </c>
      <c r="I456">
        <f>IF(OR($F456="",$G456=""),"",IF(ISNUMBER(Sync!$AG456),MOD(Sync!$AG456,100),IFERROR(VALUE(TRIM(MID(MID(Sync!$AG456,FIND("/",Sync!$AG456)+1,20),FIND("/",MID(Sync!$AG456,FIND("/",Sync!$AG456)+1,20))+1,20))),"")))</f>
        <v/>
      </c>
      <c r="J456">
        <f>IF($F456="","",IF(OR($G456="",$H456="",$I456="",$G456&lt;1300,$G456&gt;1500,$H456&lt;1,$H456&gt;12,$I456&lt;1,$I456&gt;31),"نامعتبر",RIGHT("0000"&amp;$G456,4)&amp;"/"&amp;RIGHT("00"&amp;$H456,2)&amp;"/"&amp;RIGHT("00"&amp;$I456,2)))</f>
        <v/>
      </c>
      <c r="K456">
        <f>IF(OR($F456="",$J456="",$J456="نامعتبر"),"",LEFT($J456,4)&amp;MID($J456,6,2)&amp;RIGHT($J456,2)&amp;$N456&amp;"|"&amp;"2"&amp;RIGHT("00000"&amp;451,5))</f>
        <v/>
      </c>
      <c r="L456">
        <f>IF($K456="","",COUNTIFS(LdgPartyA,$F456,LdgKeyA,"&lt;"&amp;$K456)+COUNTIFS(LdgPartyB,$F456,LdgKeyB,"&lt;"&amp;$K456)+1)</f>
        <v/>
      </c>
      <c r="M456">
        <f>IF($L456="","",$F456&amp;"|"&amp;RIGHT("000000"&amp;$L456,6))</f>
        <v/>
      </c>
      <c r="N456">
        <f>IF($F456="","",IF(Sync!$AH456="","0000",IF(AND(ISNUMBER(Sync!$AH456),Sync!$AH456&gt;=0,Sync!$AH456&lt;1),RIGHT("00"&amp;HOUR(Sync!$AH456),2)&amp;RIGHT("00"&amp;MINUTE(Sync!$AH456),2),IFERROR(RIGHT("00"&amp;VALUE(LEFT(Sync!$AH456,FIND(":",Sync!$AH456)-1)),2)&amp;RIGHT("00"&amp;VALUE(MID(Sync!$AH456,FIND(":",Sync!$AH456)+1,2)),2),"0000"))))</f>
        <v/>
      </c>
    </row>
    <row r="457">
      <c r="A457">
        <f>IF(OR(Calc!$E460="",Calc!$E460="نامعتبر",Calc!$G460="",Calc!$I460&lt;&gt;"خرید"),"",Calc!$G460)</f>
        <v/>
      </c>
      <c r="B457">
        <f>IF($A457="","",LEFT(Calc!$E460,4)&amp;MID(Calc!$E460,6,2)&amp;RIGHT(Calc!$E460,2)&amp;Calc!$R460&amp;"|"&amp;"1"&amp;RIGHT("00000"&amp;452,5))</f>
        <v/>
      </c>
      <c r="C457">
        <f>IF($B457="","",COUNTIFS(LdgPartyA,$A457,LdgKeyA,"&lt;"&amp;$B457)+COUNTIFS(LdgPartyB,$A457,LdgKeyB,"&lt;"&amp;$B457)+1)</f>
        <v/>
      </c>
      <c r="D457">
        <f>IF($C457="","",$A457&amp;"|"&amp;RIGHT("000000"&amp;$C457,6))</f>
        <v/>
      </c>
      <c r="F457">
        <f>IF(Sync!$AJ457="","",Sync!$AJ457)</f>
        <v/>
      </c>
      <c r="G457">
        <f>IF($F457="","",IF(Sync!$AG457="","",IF(ISNUMBER(Sync!$AG457),IF(AND(Sync!$AG457&gt;=10000101,Sync!$AG457&lt;=99991231),INT(Sync!$AG457/10000),""),IFERROR(VALUE(TRIM(LEFT(Sync!$AG457,FIND("/",Sync!$AG457)-1))),""))))</f>
        <v/>
      </c>
      <c r="H457">
        <f>IF(OR($F457="",$G457=""),"",IF(ISNUMBER(Sync!$AG457),INT(MOD(Sync!$AG457,10000)/100),IFERROR(VALUE(TRIM(LEFT(MID(Sync!$AG457,FIND("/",Sync!$AG457)+1,20),FIND("/",MID(Sync!$AG457,FIND("/",Sync!$AG457)+1,20))-1))),"")))</f>
        <v/>
      </c>
      <c r="I457">
        <f>IF(OR($F457="",$G457=""),"",IF(ISNUMBER(Sync!$AG457),MOD(Sync!$AG457,100),IFERROR(VALUE(TRIM(MID(MID(Sync!$AG457,FIND("/",Sync!$AG457)+1,20),FIND("/",MID(Sync!$AG457,FIND("/",Sync!$AG457)+1,20))+1,20))),"")))</f>
        <v/>
      </c>
      <c r="J457">
        <f>IF($F457="","",IF(OR($G457="",$H457="",$I457="",$G457&lt;1300,$G457&gt;1500,$H457&lt;1,$H457&gt;12,$I457&lt;1,$I457&gt;31),"نامعتبر",RIGHT("0000"&amp;$G457,4)&amp;"/"&amp;RIGHT("00"&amp;$H457,2)&amp;"/"&amp;RIGHT("00"&amp;$I457,2)))</f>
        <v/>
      </c>
      <c r="K457">
        <f>IF(OR($F457="",$J457="",$J457="نامعتبر"),"",LEFT($J457,4)&amp;MID($J457,6,2)&amp;RIGHT($J457,2)&amp;$N457&amp;"|"&amp;"2"&amp;RIGHT("00000"&amp;452,5))</f>
        <v/>
      </c>
      <c r="L457">
        <f>IF($K457="","",COUNTIFS(LdgPartyA,$F457,LdgKeyA,"&lt;"&amp;$K457)+COUNTIFS(LdgPartyB,$F457,LdgKeyB,"&lt;"&amp;$K457)+1)</f>
        <v/>
      </c>
      <c r="M457">
        <f>IF($L457="","",$F457&amp;"|"&amp;RIGHT("000000"&amp;$L457,6))</f>
        <v/>
      </c>
      <c r="N457">
        <f>IF($F457="","",IF(Sync!$AH457="","0000",IF(AND(ISNUMBER(Sync!$AH457),Sync!$AH457&gt;=0,Sync!$AH457&lt;1),RIGHT("00"&amp;HOUR(Sync!$AH457),2)&amp;RIGHT("00"&amp;MINUTE(Sync!$AH457),2),IFERROR(RIGHT("00"&amp;VALUE(LEFT(Sync!$AH457,FIND(":",Sync!$AH457)-1)),2)&amp;RIGHT("00"&amp;VALUE(MID(Sync!$AH457,FIND(":",Sync!$AH457)+1,2)),2),"0000"))))</f>
        <v/>
      </c>
    </row>
    <row r="458">
      <c r="A458">
        <f>IF(OR(Calc!$E461="",Calc!$E461="نامعتبر",Calc!$G461="",Calc!$I461&lt;&gt;"خرید"),"",Calc!$G461)</f>
        <v/>
      </c>
      <c r="B458">
        <f>IF($A458="","",LEFT(Calc!$E461,4)&amp;MID(Calc!$E461,6,2)&amp;RIGHT(Calc!$E461,2)&amp;Calc!$R461&amp;"|"&amp;"1"&amp;RIGHT("00000"&amp;453,5))</f>
        <v/>
      </c>
      <c r="C458">
        <f>IF($B458="","",COUNTIFS(LdgPartyA,$A458,LdgKeyA,"&lt;"&amp;$B458)+COUNTIFS(LdgPartyB,$A458,LdgKeyB,"&lt;"&amp;$B458)+1)</f>
        <v/>
      </c>
      <c r="D458">
        <f>IF($C458="","",$A458&amp;"|"&amp;RIGHT("000000"&amp;$C458,6))</f>
        <v/>
      </c>
      <c r="F458">
        <f>IF(Sync!$AJ458="","",Sync!$AJ458)</f>
        <v/>
      </c>
      <c r="G458">
        <f>IF($F458="","",IF(Sync!$AG458="","",IF(ISNUMBER(Sync!$AG458),IF(AND(Sync!$AG458&gt;=10000101,Sync!$AG458&lt;=99991231),INT(Sync!$AG458/10000),""),IFERROR(VALUE(TRIM(LEFT(Sync!$AG458,FIND("/",Sync!$AG458)-1))),""))))</f>
        <v/>
      </c>
      <c r="H458">
        <f>IF(OR($F458="",$G458=""),"",IF(ISNUMBER(Sync!$AG458),INT(MOD(Sync!$AG458,10000)/100),IFERROR(VALUE(TRIM(LEFT(MID(Sync!$AG458,FIND("/",Sync!$AG458)+1,20),FIND("/",MID(Sync!$AG458,FIND("/",Sync!$AG458)+1,20))-1))),"")))</f>
        <v/>
      </c>
      <c r="I458">
        <f>IF(OR($F458="",$G458=""),"",IF(ISNUMBER(Sync!$AG458),MOD(Sync!$AG458,100),IFERROR(VALUE(TRIM(MID(MID(Sync!$AG458,FIND("/",Sync!$AG458)+1,20),FIND("/",MID(Sync!$AG458,FIND("/",Sync!$AG458)+1,20))+1,20))),"")))</f>
        <v/>
      </c>
      <c r="J458">
        <f>IF($F458="","",IF(OR($G458="",$H458="",$I458="",$G458&lt;1300,$G458&gt;1500,$H458&lt;1,$H458&gt;12,$I458&lt;1,$I458&gt;31),"نامعتبر",RIGHT("0000"&amp;$G458,4)&amp;"/"&amp;RIGHT("00"&amp;$H458,2)&amp;"/"&amp;RIGHT("00"&amp;$I458,2)))</f>
        <v/>
      </c>
      <c r="K458">
        <f>IF(OR($F458="",$J458="",$J458="نامعتبر"),"",LEFT($J458,4)&amp;MID($J458,6,2)&amp;RIGHT($J458,2)&amp;$N458&amp;"|"&amp;"2"&amp;RIGHT("00000"&amp;453,5))</f>
        <v/>
      </c>
      <c r="L458">
        <f>IF($K458="","",COUNTIFS(LdgPartyA,$F458,LdgKeyA,"&lt;"&amp;$K458)+COUNTIFS(LdgPartyB,$F458,LdgKeyB,"&lt;"&amp;$K458)+1)</f>
        <v/>
      </c>
      <c r="M458">
        <f>IF($L458="","",$F458&amp;"|"&amp;RIGHT("000000"&amp;$L458,6))</f>
        <v/>
      </c>
      <c r="N458">
        <f>IF($F458="","",IF(Sync!$AH458="","0000",IF(AND(ISNUMBER(Sync!$AH458),Sync!$AH458&gt;=0,Sync!$AH458&lt;1),RIGHT("00"&amp;HOUR(Sync!$AH458),2)&amp;RIGHT("00"&amp;MINUTE(Sync!$AH458),2),IFERROR(RIGHT("00"&amp;VALUE(LEFT(Sync!$AH458,FIND(":",Sync!$AH458)-1)),2)&amp;RIGHT("00"&amp;VALUE(MID(Sync!$AH458,FIND(":",Sync!$AH458)+1,2)),2),"0000"))))</f>
        <v/>
      </c>
    </row>
    <row r="459">
      <c r="A459">
        <f>IF(OR(Calc!$E462="",Calc!$E462="نامعتبر",Calc!$G462="",Calc!$I462&lt;&gt;"خرید"),"",Calc!$G462)</f>
        <v/>
      </c>
      <c r="B459">
        <f>IF($A459="","",LEFT(Calc!$E462,4)&amp;MID(Calc!$E462,6,2)&amp;RIGHT(Calc!$E462,2)&amp;Calc!$R462&amp;"|"&amp;"1"&amp;RIGHT("00000"&amp;454,5))</f>
        <v/>
      </c>
      <c r="C459">
        <f>IF($B459="","",COUNTIFS(LdgPartyA,$A459,LdgKeyA,"&lt;"&amp;$B459)+COUNTIFS(LdgPartyB,$A459,LdgKeyB,"&lt;"&amp;$B459)+1)</f>
        <v/>
      </c>
      <c r="D459">
        <f>IF($C459="","",$A459&amp;"|"&amp;RIGHT("000000"&amp;$C459,6))</f>
        <v/>
      </c>
      <c r="F459">
        <f>IF(Sync!$AJ459="","",Sync!$AJ459)</f>
        <v/>
      </c>
      <c r="G459">
        <f>IF($F459="","",IF(Sync!$AG459="","",IF(ISNUMBER(Sync!$AG459),IF(AND(Sync!$AG459&gt;=10000101,Sync!$AG459&lt;=99991231),INT(Sync!$AG459/10000),""),IFERROR(VALUE(TRIM(LEFT(Sync!$AG459,FIND("/",Sync!$AG459)-1))),""))))</f>
        <v/>
      </c>
      <c r="H459">
        <f>IF(OR($F459="",$G459=""),"",IF(ISNUMBER(Sync!$AG459),INT(MOD(Sync!$AG459,10000)/100),IFERROR(VALUE(TRIM(LEFT(MID(Sync!$AG459,FIND("/",Sync!$AG459)+1,20),FIND("/",MID(Sync!$AG459,FIND("/",Sync!$AG459)+1,20))-1))),"")))</f>
        <v/>
      </c>
      <c r="I459">
        <f>IF(OR($F459="",$G459=""),"",IF(ISNUMBER(Sync!$AG459),MOD(Sync!$AG459,100),IFERROR(VALUE(TRIM(MID(MID(Sync!$AG459,FIND("/",Sync!$AG459)+1,20),FIND("/",MID(Sync!$AG459,FIND("/",Sync!$AG459)+1,20))+1,20))),"")))</f>
        <v/>
      </c>
      <c r="J459">
        <f>IF($F459="","",IF(OR($G459="",$H459="",$I459="",$G459&lt;1300,$G459&gt;1500,$H459&lt;1,$H459&gt;12,$I459&lt;1,$I459&gt;31),"نامعتبر",RIGHT("0000"&amp;$G459,4)&amp;"/"&amp;RIGHT("00"&amp;$H459,2)&amp;"/"&amp;RIGHT("00"&amp;$I459,2)))</f>
        <v/>
      </c>
      <c r="K459">
        <f>IF(OR($F459="",$J459="",$J459="نامعتبر"),"",LEFT($J459,4)&amp;MID($J459,6,2)&amp;RIGHT($J459,2)&amp;$N459&amp;"|"&amp;"2"&amp;RIGHT("00000"&amp;454,5))</f>
        <v/>
      </c>
      <c r="L459">
        <f>IF($K459="","",COUNTIFS(LdgPartyA,$F459,LdgKeyA,"&lt;"&amp;$K459)+COUNTIFS(LdgPartyB,$F459,LdgKeyB,"&lt;"&amp;$K459)+1)</f>
        <v/>
      </c>
      <c r="M459">
        <f>IF($L459="","",$F459&amp;"|"&amp;RIGHT("000000"&amp;$L459,6))</f>
        <v/>
      </c>
      <c r="N459">
        <f>IF($F459="","",IF(Sync!$AH459="","0000",IF(AND(ISNUMBER(Sync!$AH459),Sync!$AH459&gt;=0,Sync!$AH459&lt;1),RIGHT("00"&amp;HOUR(Sync!$AH459),2)&amp;RIGHT("00"&amp;MINUTE(Sync!$AH459),2),IFERROR(RIGHT("00"&amp;VALUE(LEFT(Sync!$AH459,FIND(":",Sync!$AH459)-1)),2)&amp;RIGHT("00"&amp;VALUE(MID(Sync!$AH459,FIND(":",Sync!$AH459)+1,2)),2),"0000"))))</f>
        <v/>
      </c>
    </row>
    <row r="460">
      <c r="A460">
        <f>IF(OR(Calc!$E463="",Calc!$E463="نامعتبر",Calc!$G463="",Calc!$I463&lt;&gt;"خرید"),"",Calc!$G463)</f>
        <v/>
      </c>
      <c r="B460">
        <f>IF($A460="","",LEFT(Calc!$E463,4)&amp;MID(Calc!$E463,6,2)&amp;RIGHT(Calc!$E463,2)&amp;Calc!$R463&amp;"|"&amp;"1"&amp;RIGHT("00000"&amp;455,5))</f>
        <v/>
      </c>
      <c r="C460">
        <f>IF($B460="","",COUNTIFS(LdgPartyA,$A460,LdgKeyA,"&lt;"&amp;$B460)+COUNTIFS(LdgPartyB,$A460,LdgKeyB,"&lt;"&amp;$B460)+1)</f>
        <v/>
      </c>
      <c r="D460">
        <f>IF($C460="","",$A460&amp;"|"&amp;RIGHT("000000"&amp;$C460,6))</f>
        <v/>
      </c>
      <c r="F460">
        <f>IF(Sync!$AJ460="","",Sync!$AJ460)</f>
        <v/>
      </c>
      <c r="G460">
        <f>IF($F460="","",IF(Sync!$AG460="","",IF(ISNUMBER(Sync!$AG460),IF(AND(Sync!$AG460&gt;=10000101,Sync!$AG460&lt;=99991231),INT(Sync!$AG460/10000),""),IFERROR(VALUE(TRIM(LEFT(Sync!$AG460,FIND("/",Sync!$AG460)-1))),""))))</f>
        <v/>
      </c>
      <c r="H460">
        <f>IF(OR($F460="",$G460=""),"",IF(ISNUMBER(Sync!$AG460),INT(MOD(Sync!$AG460,10000)/100),IFERROR(VALUE(TRIM(LEFT(MID(Sync!$AG460,FIND("/",Sync!$AG460)+1,20),FIND("/",MID(Sync!$AG460,FIND("/",Sync!$AG460)+1,20))-1))),"")))</f>
        <v/>
      </c>
      <c r="I460">
        <f>IF(OR($F460="",$G460=""),"",IF(ISNUMBER(Sync!$AG460),MOD(Sync!$AG460,100),IFERROR(VALUE(TRIM(MID(MID(Sync!$AG460,FIND("/",Sync!$AG460)+1,20),FIND("/",MID(Sync!$AG460,FIND("/",Sync!$AG460)+1,20))+1,20))),"")))</f>
        <v/>
      </c>
      <c r="J460">
        <f>IF($F460="","",IF(OR($G460="",$H460="",$I460="",$G460&lt;1300,$G460&gt;1500,$H460&lt;1,$H460&gt;12,$I460&lt;1,$I460&gt;31),"نامعتبر",RIGHT("0000"&amp;$G460,4)&amp;"/"&amp;RIGHT("00"&amp;$H460,2)&amp;"/"&amp;RIGHT("00"&amp;$I460,2)))</f>
        <v/>
      </c>
      <c r="K460">
        <f>IF(OR($F460="",$J460="",$J460="نامعتبر"),"",LEFT($J460,4)&amp;MID($J460,6,2)&amp;RIGHT($J460,2)&amp;$N460&amp;"|"&amp;"2"&amp;RIGHT("00000"&amp;455,5))</f>
        <v/>
      </c>
      <c r="L460">
        <f>IF($K460="","",COUNTIFS(LdgPartyA,$F460,LdgKeyA,"&lt;"&amp;$K460)+COUNTIFS(LdgPartyB,$F460,LdgKeyB,"&lt;"&amp;$K460)+1)</f>
        <v/>
      </c>
      <c r="M460">
        <f>IF($L460="","",$F460&amp;"|"&amp;RIGHT("000000"&amp;$L460,6))</f>
        <v/>
      </c>
      <c r="N460">
        <f>IF($F460="","",IF(Sync!$AH460="","0000",IF(AND(ISNUMBER(Sync!$AH460),Sync!$AH460&gt;=0,Sync!$AH460&lt;1),RIGHT("00"&amp;HOUR(Sync!$AH460),2)&amp;RIGHT("00"&amp;MINUTE(Sync!$AH460),2),IFERROR(RIGHT("00"&amp;VALUE(LEFT(Sync!$AH460,FIND(":",Sync!$AH460)-1)),2)&amp;RIGHT("00"&amp;VALUE(MID(Sync!$AH460,FIND(":",Sync!$AH460)+1,2)),2),"0000"))))</f>
        <v/>
      </c>
    </row>
    <row r="461">
      <c r="A461">
        <f>IF(OR(Calc!$E464="",Calc!$E464="نامعتبر",Calc!$G464="",Calc!$I464&lt;&gt;"خرید"),"",Calc!$G464)</f>
        <v/>
      </c>
      <c r="B461">
        <f>IF($A461="","",LEFT(Calc!$E464,4)&amp;MID(Calc!$E464,6,2)&amp;RIGHT(Calc!$E464,2)&amp;Calc!$R464&amp;"|"&amp;"1"&amp;RIGHT("00000"&amp;456,5))</f>
        <v/>
      </c>
      <c r="C461">
        <f>IF($B461="","",COUNTIFS(LdgPartyA,$A461,LdgKeyA,"&lt;"&amp;$B461)+COUNTIFS(LdgPartyB,$A461,LdgKeyB,"&lt;"&amp;$B461)+1)</f>
        <v/>
      </c>
      <c r="D461">
        <f>IF($C461="","",$A461&amp;"|"&amp;RIGHT("000000"&amp;$C461,6))</f>
        <v/>
      </c>
      <c r="F461">
        <f>IF(Sync!$AJ461="","",Sync!$AJ461)</f>
        <v/>
      </c>
      <c r="G461">
        <f>IF($F461="","",IF(Sync!$AG461="","",IF(ISNUMBER(Sync!$AG461),IF(AND(Sync!$AG461&gt;=10000101,Sync!$AG461&lt;=99991231),INT(Sync!$AG461/10000),""),IFERROR(VALUE(TRIM(LEFT(Sync!$AG461,FIND("/",Sync!$AG461)-1))),""))))</f>
        <v/>
      </c>
      <c r="H461">
        <f>IF(OR($F461="",$G461=""),"",IF(ISNUMBER(Sync!$AG461),INT(MOD(Sync!$AG461,10000)/100),IFERROR(VALUE(TRIM(LEFT(MID(Sync!$AG461,FIND("/",Sync!$AG461)+1,20),FIND("/",MID(Sync!$AG461,FIND("/",Sync!$AG461)+1,20))-1))),"")))</f>
        <v/>
      </c>
      <c r="I461">
        <f>IF(OR($F461="",$G461=""),"",IF(ISNUMBER(Sync!$AG461),MOD(Sync!$AG461,100),IFERROR(VALUE(TRIM(MID(MID(Sync!$AG461,FIND("/",Sync!$AG461)+1,20),FIND("/",MID(Sync!$AG461,FIND("/",Sync!$AG461)+1,20))+1,20))),"")))</f>
        <v/>
      </c>
      <c r="J461">
        <f>IF($F461="","",IF(OR($G461="",$H461="",$I461="",$G461&lt;1300,$G461&gt;1500,$H461&lt;1,$H461&gt;12,$I461&lt;1,$I461&gt;31),"نامعتبر",RIGHT("0000"&amp;$G461,4)&amp;"/"&amp;RIGHT("00"&amp;$H461,2)&amp;"/"&amp;RIGHT("00"&amp;$I461,2)))</f>
        <v/>
      </c>
      <c r="K461">
        <f>IF(OR($F461="",$J461="",$J461="نامعتبر"),"",LEFT($J461,4)&amp;MID($J461,6,2)&amp;RIGHT($J461,2)&amp;$N461&amp;"|"&amp;"2"&amp;RIGHT("00000"&amp;456,5))</f>
        <v/>
      </c>
      <c r="L461">
        <f>IF($K461="","",COUNTIFS(LdgPartyA,$F461,LdgKeyA,"&lt;"&amp;$K461)+COUNTIFS(LdgPartyB,$F461,LdgKeyB,"&lt;"&amp;$K461)+1)</f>
        <v/>
      </c>
      <c r="M461">
        <f>IF($L461="","",$F461&amp;"|"&amp;RIGHT("000000"&amp;$L461,6))</f>
        <v/>
      </c>
      <c r="N461">
        <f>IF($F461="","",IF(Sync!$AH461="","0000",IF(AND(ISNUMBER(Sync!$AH461),Sync!$AH461&gt;=0,Sync!$AH461&lt;1),RIGHT("00"&amp;HOUR(Sync!$AH461),2)&amp;RIGHT("00"&amp;MINUTE(Sync!$AH461),2),IFERROR(RIGHT("00"&amp;VALUE(LEFT(Sync!$AH461,FIND(":",Sync!$AH461)-1)),2)&amp;RIGHT("00"&amp;VALUE(MID(Sync!$AH461,FIND(":",Sync!$AH461)+1,2)),2),"0000"))))</f>
        <v/>
      </c>
    </row>
    <row r="462">
      <c r="A462">
        <f>IF(OR(Calc!$E465="",Calc!$E465="نامعتبر",Calc!$G465="",Calc!$I465&lt;&gt;"خرید"),"",Calc!$G465)</f>
        <v/>
      </c>
      <c r="B462">
        <f>IF($A462="","",LEFT(Calc!$E465,4)&amp;MID(Calc!$E465,6,2)&amp;RIGHT(Calc!$E465,2)&amp;Calc!$R465&amp;"|"&amp;"1"&amp;RIGHT("00000"&amp;457,5))</f>
        <v/>
      </c>
      <c r="C462">
        <f>IF($B462="","",COUNTIFS(LdgPartyA,$A462,LdgKeyA,"&lt;"&amp;$B462)+COUNTIFS(LdgPartyB,$A462,LdgKeyB,"&lt;"&amp;$B462)+1)</f>
        <v/>
      </c>
      <c r="D462">
        <f>IF($C462="","",$A462&amp;"|"&amp;RIGHT("000000"&amp;$C462,6))</f>
        <v/>
      </c>
      <c r="F462">
        <f>IF(Sync!$AJ462="","",Sync!$AJ462)</f>
        <v/>
      </c>
      <c r="G462">
        <f>IF($F462="","",IF(Sync!$AG462="","",IF(ISNUMBER(Sync!$AG462),IF(AND(Sync!$AG462&gt;=10000101,Sync!$AG462&lt;=99991231),INT(Sync!$AG462/10000),""),IFERROR(VALUE(TRIM(LEFT(Sync!$AG462,FIND("/",Sync!$AG462)-1))),""))))</f>
        <v/>
      </c>
      <c r="H462">
        <f>IF(OR($F462="",$G462=""),"",IF(ISNUMBER(Sync!$AG462),INT(MOD(Sync!$AG462,10000)/100),IFERROR(VALUE(TRIM(LEFT(MID(Sync!$AG462,FIND("/",Sync!$AG462)+1,20),FIND("/",MID(Sync!$AG462,FIND("/",Sync!$AG462)+1,20))-1))),"")))</f>
        <v/>
      </c>
      <c r="I462">
        <f>IF(OR($F462="",$G462=""),"",IF(ISNUMBER(Sync!$AG462),MOD(Sync!$AG462,100),IFERROR(VALUE(TRIM(MID(MID(Sync!$AG462,FIND("/",Sync!$AG462)+1,20),FIND("/",MID(Sync!$AG462,FIND("/",Sync!$AG462)+1,20))+1,20))),"")))</f>
        <v/>
      </c>
      <c r="J462">
        <f>IF($F462="","",IF(OR($G462="",$H462="",$I462="",$G462&lt;1300,$G462&gt;1500,$H462&lt;1,$H462&gt;12,$I462&lt;1,$I462&gt;31),"نامعتبر",RIGHT("0000"&amp;$G462,4)&amp;"/"&amp;RIGHT("00"&amp;$H462,2)&amp;"/"&amp;RIGHT("00"&amp;$I462,2)))</f>
        <v/>
      </c>
      <c r="K462">
        <f>IF(OR($F462="",$J462="",$J462="نامعتبر"),"",LEFT($J462,4)&amp;MID($J462,6,2)&amp;RIGHT($J462,2)&amp;$N462&amp;"|"&amp;"2"&amp;RIGHT("00000"&amp;457,5))</f>
        <v/>
      </c>
      <c r="L462">
        <f>IF($K462="","",COUNTIFS(LdgPartyA,$F462,LdgKeyA,"&lt;"&amp;$K462)+COUNTIFS(LdgPartyB,$F462,LdgKeyB,"&lt;"&amp;$K462)+1)</f>
        <v/>
      </c>
      <c r="M462">
        <f>IF($L462="","",$F462&amp;"|"&amp;RIGHT("000000"&amp;$L462,6))</f>
        <v/>
      </c>
      <c r="N462">
        <f>IF($F462="","",IF(Sync!$AH462="","0000",IF(AND(ISNUMBER(Sync!$AH462),Sync!$AH462&gt;=0,Sync!$AH462&lt;1),RIGHT("00"&amp;HOUR(Sync!$AH462),2)&amp;RIGHT("00"&amp;MINUTE(Sync!$AH462),2),IFERROR(RIGHT("00"&amp;VALUE(LEFT(Sync!$AH462,FIND(":",Sync!$AH462)-1)),2)&amp;RIGHT("00"&amp;VALUE(MID(Sync!$AH462,FIND(":",Sync!$AH462)+1,2)),2),"0000"))))</f>
        <v/>
      </c>
    </row>
    <row r="463">
      <c r="A463">
        <f>IF(OR(Calc!$E466="",Calc!$E466="نامعتبر",Calc!$G466="",Calc!$I466&lt;&gt;"خرید"),"",Calc!$G466)</f>
        <v/>
      </c>
      <c r="B463">
        <f>IF($A463="","",LEFT(Calc!$E466,4)&amp;MID(Calc!$E466,6,2)&amp;RIGHT(Calc!$E466,2)&amp;Calc!$R466&amp;"|"&amp;"1"&amp;RIGHT("00000"&amp;458,5))</f>
        <v/>
      </c>
      <c r="C463">
        <f>IF($B463="","",COUNTIFS(LdgPartyA,$A463,LdgKeyA,"&lt;"&amp;$B463)+COUNTIFS(LdgPartyB,$A463,LdgKeyB,"&lt;"&amp;$B463)+1)</f>
        <v/>
      </c>
      <c r="D463">
        <f>IF($C463="","",$A463&amp;"|"&amp;RIGHT("000000"&amp;$C463,6))</f>
        <v/>
      </c>
      <c r="F463">
        <f>IF(Sync!$AJ463="","",Sync!$AJ463)</f>
        <v/>
      </c>
      <c r="G463">
        <f>IF($F463="","",IF(Sync!$AG463="","",IF(ISNUMBER(Sync!$AG463),IF(AND(Sync!$AG463&gt;=10000101,Sync!$AG463&lt;=99991231),INT(Sync!$AG463/10000),""),IFERROR(VALUE(TRIM(LEFT(Sync!$AG463,FIND("/",Sync!$AG463)-1))),""))))</f>
        <v/>
      </c>
      <c r="H463">
        <f>IF(OR($F463="",$G463=""),"",IF(ISNUMBER(Sync!$AG463),INT(MOD(Sync!$AG463,10000)/100),IFERROR(VALUE(TRIM(LEFT(MID(Sync!$AG463,FIND("/",Sync!$AG463)+1,20),FIND("/",MID(Sync!$AG463,FIND("/",Sync!$AG463)+1,20))-1))),"")))</f>
        <v/>
      </c>
      <c r="I463">
        <f>IF(OR($F463="",$G463=""),"",IF(ISNUMBER(Sync!$AG463),MOD(Sync!$AG463,100),IFERROR(VALUE(TRIM(MID(MID(Sync!$AG463,FIND("/",Sync!$AG463)+1,20),FIND("/",MID(Sync!$AG463,FIND("/",Sync!$AG463)+1,20))+1,20))),"")))</f>
        <v/>
      </c>
      <c r="J463">
        <f>IF($F463="","",IF(OR($G463="",$H463="",$I463="",$G463&lt;1300,$G463&gt;1500,$H463&lt;1,$H463&gt;12,$I463&lt;1,$I463&gt;31),"نامعتبر",RIGHT("0000"&amp;$G463,4)&amp;"/"&amp;RIGHT("00"&amp;$H463,2)&amp;"/"&amp;RIGHT("00"&amp;$I463,2)))</f>
        <v/>
      </c>
      <c r="K463">
        <f>IF(OR($F463="",$J463="",$J463="نامعتبر"),"",LEFT($J463,4)&amp;MID($J463,6,2)&amp;RIGHT($J463,2)&amp;$N463&amp;"|"&amp;"2"&amp;RIGHT("00000"&amp;458,5))</f>
        <v/>
      </c>
      <c r="L463">
        <f>IF($K463="","",COUNTIFS(LdgPartyA,$F463,LdgKeyA,"&lt;"&amp;$K463)+COUNTIFS(LdgPartyB,$F463,LdgKeyB,"&lt;"&amp;$K463)+1)</f>
        <v/>
      </c>
      <c r="M463">
        <f>IF($L463="","",$F463&amp;"|"&amp;RIGHT("000000"&amp;$L463,6))</f>
        <v/>
      </c>
      <c r="N463">
        <f>IF($F463="","",IF(Sync!$AH463="","0000",IF(AND(ISNUMBER(Sync!$AH463),Sync!$AH463&gt;=0,Sync!$AH463&lt;1),RIGHT("00"&amp;HOUR(Sync!$AH463),2)&amp;RIGHT("00"&amp;MINUTE(Sync!$AH463),2),IFERROR(RIGHT("00"&amp;VALUE(LEFT(Sync!$AH463,FIND(":",Sync!$AH463)-1)),2)&amp;RIGHT("00"&amp;VALUE(MID(Sync!$AH463,FIND(":",Sync!$AH463)+1,2)),2),"0000"))))</f>
        <v/>
      </c>
    </row>
    <row r="464">
      <c r="A464">
        <f>IF(OR(Calc!$E467="",Calc!$E467="نامعتبر",Calc!$G467="",Calc!$I467&lt;&gt;"خرید"),"",Calc!$G467)</f>
        <v/>
      </c>
      <c r="B464">
        <f>IF($A464="","",LEFT(Calc!$E467,4)&amp;MID(Calc!$E467,6,2)&amp;RIGHT(Calc!$E467,2)&amp;Calc!$R467&amp;"|"&amp;"1"&amp;RIGHT("00000"&amp;459,5))</f>
        <v/>
      </c>
      <c r="C464">
        <f>IF($B464="","",COUNTIFS(LdgPartyA,$A464,LdgKeyA,"&lt;"&amp;$B464)+COUNTIFS(LdgPartyB,$A464,LdgKeyB,"&lt;"&amp;$B464)+1)</f>
        <v/>
      </c>
      <c r="D464">
        <f>IF($C464="","",$A464&amp;"|"&amp;RIGHT("000000"&amp;$C464,6))</f>
        <v/>
      </c>
      <c r="F464">
        <f>IF(Sync!$AJ464="","",Sync!$AJ464)</f>
        <v/>
      </c>
      <c r="G464">
        <f>IF($F464="","",IF(Sync!$AG464="","",IF(ISNUMBER(Sync!$AG464),IF(AND(Sync!$AG464&gt;=10000101,Sync!$AG464&lt;=99991231),INT(Sync!$AG464/10000),""),IFERROR(VALUE(TRIM(LEFT(Sync!$AG464,FIND("/",Sync!$AG464)-1))),""))))</f>
        <v/>
      </c>
      <c r="H464">
        <f>IF(OR($F464="",$G464=""),"",IF(ISNUMBER(Sync!$AG464),INT(MOD(Sync!$AG464,10000)/100),IFERROR(VALUE(TRIM(LEFT(MID(Sync!$AG464,FIND("/",Sync!$AG464)+1,20),FIND("/",MID(Sync!$AG464,FIND("/",Sync!$AG464)+1,20))-1))),"")))</f>
        <v/>
      </c>
      <c r="I464">
        <f>IF(OR($F464="",$G464=""),"",IF(ISNUMBER(Sync!$AG464),MOD(Sync!$AG464,100),IFERROR(VALUE(TRIM(MID(MID(Sync!$AG464,FIND("/",Sync!$AG464)+1,20),FIND("/",MID(Sync!$AG464,FIND("/",Sync!$AG464)+1,20))+1,20))),"")))</f>
        <v/>
      </c>
      <c r="J464">
        <f>IF($F464="","",IF(OR($G464="",$H464="",$I464="",$G464&lt;1300,$G464&gt;1500,$H464&lt;1,$H464&gt;12,$I464&lt;1,$I464&gt;31),"نامعتبر",RIGHT("0000"&amp;$G464,4)&amp;"/"&amp;RIGHT("00"&amp;$H464,2)&amp;"/"&amp;RIGHT("00"&amp;$I464,2)))</f>
        <v/>
      </c>
      <c r="K464">
        <f>IF(OR($F464="",$J464="",$J464="نامعتبر"),"",LEFT($J464,4)&amp;MID($J464,6,2)&amp;RIGHT($J464,2)&amp;$N464&amp;"|"&amp;"2"&amp;RIGHT("00000"&amp;459,5))</f>
        <v/>
      </c>
      <c r="L464">
        <f>IF($K464="","",COUNTIFS(LdgPartyA,$F464,LdgKeyA,"&lt;"&amp;$K464)+COUNTIFS(LdgPartyB,$F464,LdgKeyB,"&lt;"&amp;$K464)+1)</f>
        <v/>
      </c>
      <c r="M464">
        <f>IF($L464="","",$F464&amp;"|"&amp;RIGHT("000000"&amp;$L464,6))</f>
        <v/>
      </c>
      <c r="N464">
        <f>IF($F464="","",IF(Sync!$AH464="","0000",IF(AND(ISNUMBER(Sync!$AH464),Sync!$AH464&gt;=0,Sync!$AH464&lt;1),RIGHT("00"&amp;HOUR(Sync!$AH464),2)&amp;RIGHT("00"&amp;MINUTE(Sync!$AH464),2),IFERROR(RIGHT("00"&amp;VALUE(LEFT(Sync!$AH464,FIND(":",Sync!$AH464)-1)),2)&amp;RIGHT("00"&amp;VALUE(MID(Sync!$AH464,FIND(":",Sync!$AH464)+1,2)),2),"0000"))))</f>
        <v/>
      </c>
    </row>
    <row r="465">
      <c r="A465">
        <f>IF(OR(Calc!$E468="",Calc!$E468="نامعتبر",Calc!$G468="",Calc!$I468&lt;&gt;"خرید"),"",Calc!$G468)</f>
        <v/>
      </c>
      <c r="B465">
        <f>IF($A465="","",LEFT(Calc!$E468,4)&amp;MID(Calc!$E468,6,2)&amp;RIGHT(Calc!$E468,2)&amp;Calc!$R468&amp;"|"&amp;"1"&amp;RIGHT("00000"&amp;460,5))</f>
        <v/>
      </c>
      <c r="C465">
        <f>IF($B465="","",COUNTIFS(LdgPartyA,$A465,LdgKeyA,"&lt;"&amp;$B465)+COUNTIFS(LdgPartyB,$A465,LdgKeyB,"&lt;"&amp;$B465)+1)</f>
        <v/>
      </c>
      <c r="D465">
        <f>IF($C465="","",$A465&amp;"|"&amp;RIGHT("000000"&amp;$C465,6))</f>
        <v/>
      </c>
      <c r="F465">
        <f>IF(Sync!$AJ465="","",Sync!$AJ465)</f>
        <v/>
      </c>
      <c r="G465">
        <f>IF($F465="","",IF(Sync!$AG465="","",IF(ISNUMBER(Sync!$AG465),IF(AND(Sync!$AG465&gt;=10000101,Sync!$AG465&lt;=99991231),INT(Sync!$AG465/10000),""),IFERROR(VALUE(TRIM(LEFT(Sync!$AG465,FIND("/",Sync!$AG465)-1))),""))))</f>
        <v/>
      </c>
      <c r="H465">
        <f>IF(OR($F465="",$G465=""),"",IF(ISNUMBER(Sync!$AG465),INT(MOD(Sync!$AG465,10000)/100),IFERROR(VALUE(TRIM(LEFT(MID(Sync!$AG465,FIND("/",Sync!$AG465)+1,20),FIND("/",MID(Sync!$AG465,FIND("/",Sync!$AG465)+1,20))-1))),"")))</f>
        <v/>
      </c>
      <c r="I465">
        <f>IF(OR($F465="",$G465=""),"",IF(ISNUMBER(Sync!$AG465),MOD(Sync!$AG465,100),IFERROR(VALUE(TRIM(MID(MID(Sync!$AG465,FIND("/",Sync!$AG465)+1,20),FIND("/",MID(Sync!$AG465,FIND("/",Sync!$AG465)+1,20))+1,20))),"")))</f>
        <v/>
      </c>
      <c r="J465">
        <f>IF($F465="","",IF(OR($G465="",$H465="",$I465="",$G465&lt;1300,$G465&gt;1500,$H465&lt;1,$H465&gt;12,$I465&lt;1,$I465&gt;31),"نامعتبر",RIGHT("0000"&amp;$G465,4)&amp;"/"&amp;RIGHT("00"&amp;$H465,2)&amp;"/"&amp;RIGHT("00"&amp;$I465,2)))</f>
        <v/>
      </c>
      <c r="K465">
        <f>IF(OR($F465="",$J465="",$J465="نامعتبر"),"",LEFT($J465,4)&amp;MID($J465,6,2)&amp;RIGHT($J465,2)&amp;$N465&amp;"|"&amp;"2"&amp;RIGHT("00000"&amp;460,5))</f>
        <v/>
      </c>
      <c r="L465">
        <f>IF($K465="","",COUNTIFS(LdgPartyA,$F465,LdgKeyA,"&lt;"&amp;$K465)+COUNTIFS(LdgPartyB,$F465,LdgKeyB,"&lt;"&amp;$K465)+1)</f>
        <v/>
      </c>
      <c r="M465">
        <f>IF($L465="","",$F465&amp;"|"&amp;RIGHT("000000"&amp;$L465,6))</f>
        <v/>
      </c>
      <c r="N465">
        <f>IF($F465="","",IF(Sync!$AH465="","0000",IF(AND(ISNUMBER(Sync!$AH465),Sync!$AH465&gt;=0,Sync!$AH465&lt;1),RIGHT("00"&amp;HOUR(Sync!$AH465),2)&amp;RIGHT("00"&amp;MINUTE(Sync!$AH465),2),IFERROR(RIGHT("00"&amp;VALUE(LEFT(Sync!$AH465,FIND(":",Sync!$AH465)-1)),2)&amp;RIGHT("00"&amp;VALUE(MID(Sync!$AH465,FIND(":",Sync!$AH465)+1,2)),2),"0000"))))</f>
        <v/>
      </c>
    </row>
    <row r="466">
      <c r="A466">
        <f>IF(OR(Calc!$E469="",Calc!$E469="نامعتبر",Calc!$G469="",Calc!$I469&lt;&gt;"خرید"),"",Calc!$G469)</f>
        <v/>
      </c>
      <c r="B466">
        <f>IF($A466="","",LEFT(Calc!$E469,4)&amp;MID(Calc!$E469,6,2)&amp;RIGHT(Calc!$E469,2)&amp;Calc!$R469&amp;"|"&amp;"1"&amp;RIGHT("00000"&amp;461,5))</f>
        <v/>
      </c>
      <c r="C466">
        <f>IF($B466="","",COUNTIFS(LdgPartyA,$A466,LdgKeyA,"&lt;"&amp;$B466)+COUNTIFS(LdgPartyB,$A466,LdgKeyB,"&lt;"&amp;$B466)+1)</f>
        <v/>
      </c>
      <c r="D466">
        <f>IF($C466="","",$A466&amp;"|"&amp;RIGHT("000000"&amp;$C466,6))</f>
        <v/>
      </c>
      <c r="F466">
        <f>IF(Sync!$AJ466="","",Sync!$AJ466)</f>
        <v/>
      </c>
      <c r="G466">
        <f>IF($F466="","",IF(Sync!$AG466="","",IF(ISNUMBER(Sync!$AG466),IF(AND(Sync!$AG466&gt;=10000101,Sync!$AG466&lt;=99991231),INT(Sync!$AG466/10000),""),IFERROR(VALUE(TRIM(LEFT(Sync!$AG466,FIND("/",Sync!$AG466)-1))),""))))</f>
        <v/>
      </c>
      <c r="H466">
        <f>IF(OR($F466="",$G466=""),"",IF(ISNUMBER(Sync!$AG466),INT(MOD(Sync!$AG466,10000)/100),IFERROR(VALUE(TRIM(LEFT(MID(Sync!$AG466,FIND("/",Sync!$AG466)+1,20),FIND("/",MID(Sync!$AG466,FIND("/",Sync!$AG466)+1,20))-1))),"")))</f>
        <v/>
      </c>
      <c r="I466">
        <f>IF(OR($F466="",$G466=""),"",IF(ISNUMBER(Sync!$AG466),MOD(Sync!$AG466,100),IFERROR(VALUE(TRIM(MID(MID(Sync!$AG466,FIND("/",Sync!$AG466)+1,20),FIND("/",MID(Sync!$AG466,FIND("/",Sync!$AG466)+1,20))+1,20))),"")))</f>
        <v/>
      </c>
      <c r="J466">
        <f>IF($F466="","",IF(OR($G466="",$H466="",$I466="",$G466&lt;1300,$G466&gt;1500,$H466&lt;1,$H466&gt;12,$I466&lt;1,$I466&gt;31),"نامعتبر",RIGHT("0000"&amp;$G466,4)&amp;"/"&amp;RIGHT("00"&amp;$H466,2)&amp;"/"&amp;RIGHT("00"&amp;$I466,2)))</f>
        <v/>
      </c>
      <c r="K466">
        <f>IF(OR($F466="",$J466="",$J466="نامعتبر"),"",LEFT($J466,4)&amp;MID($J466,6,2)&amp;RIGHT($J466,2)&amp;$N466&amp;"|"&amp;"2"&amp;RIGHT("00000"&amp;461,5))</f>
        <v/>
      </c>
      <c r="L466">
        <f>IF($K466="","",COUNTIFS(LdgPartyA,$F466,LdgKeyA,"&lt;"&amp;$K466)+COUNTIFS(LdgPartyB,$F466,LdgKeyB,"&lt;"&amp;$K466)+1)</f>
        <v/>
      </c>
      <c r="M466">
        <f>IF($L466="","",$F466&amp;"|"&amp;RIGHT("000000"&amp;$L466,6))</f>
        <v/>
      </c>
      <c r="N466">
        <f>IF($F466="","",IF(Sync!$AH466="","0000",IF(AND(ISNUMBER(Sync!$AH466),Sync!$AH466&gt;=0,Sync!$AH466&lt;1),RIGHT("00"&amp;HOUR(Sync!$AH466),2)&amp;RIGHT("00"&amp;MINUTE(Sync!$AH466),2),IFERROR(RIGHT("00"&amp;VALUE(LEFT(Sync!$AH466,FIND(":",Sync!$AH466)-1)),2)&amp;RIGHT("00"&amp;VALUE(MID(Sync!$AH466,FIND(":",Sync!$AH466)+1,2)),2),"0000"))))</f>
        <v/>
      </c>
    </row>
    <row r="467">
      <c r="A467">
        <f>IF(OR(Calc!$E470="",Calc!$E470="نامعتبر",Calc!$G470="",Calc!$I470&lt;&gt;"خرید"),"",Calc!$G470)</f>
        <v/>
      </c>
      <c r="B467">
        <f>IF($A467="","",LEFT(Calc!$E470,4)&amp;MID(Calc!$E470,6,2)&amp;RIGHT(Calc!$E470,2)&amp;Calc!$R470&amp;"|"&amp;"1"&amp;RIGHT("00000"&amp;462,5))</f>
        <v/>
      </c>
      <c r="C467">
        <f>IF($B467="","",COUNTIFS(LdgPartyA,$A467,LdgKeyA,"&lt;"&amp;$B467)+COUNTIFS(LdgPartyB,$A467,LdgKeyB,"&lt;"&amp;$B467)+1)</f>
        <v/>
      </c>
      <c r="D467">
        <f>IF($C467="","",$A467&amp;"|"&amp;RIGHT("000000"&amp;$C467,6))</f>
        <v/>
      </c>
      <c r="F467">
        <f>IF(Sync!$AJ467="","",Sync!$AJ467)</f>
        <v/>
      </c>
      <c r="G467">
        <f>IF($F467="","",IF(Sync!$AG467="","",IF(ISNUMBER(Sync!$AG467),IF(AND(Sync!$AG467&gt;=10000101,Sync!$AG467&lt;=99991231),INT(Sync!$AG467/10000),""),IFERROR(VALUE(TRIM(LEFT(Sync!$AG467,FIND("/",Sync!$AG467)-1))),""))))</f>
        <v/>
      </c>
      <c r="H467">
        <f>IF(OR($F467="",$G467=""),"",IF(ISNUMBER(Sync!$AG467),INT(MOD(Sync!$AG467,10000)/100),IFERROR(VALUE(TRIM(LEFT(MID(Sync!$AG467,FIND("/",Sync!$AG467)+1,20),FIND("/",MID(Sync!$AG467,FIND("/",Sync!$AG467)+1,20))-1))),"")))</f>
        <v/>
      </c>
      <c r="I467">
        <f>IF(OR($F467="",$G467=""),"",IF(ISNUMBER(Sync!$AG467),MOD(Sync!$AG467,100),IFERROR(VALUE(TRIM(MID(MID(Sync!$AG467,FIND("/",Sync!$AG467)+1,20),FIND("/",MID(Sync!$AG467,FIND("/",Sync!$AG467)+1,20))+1,20))),"")))</f>
        <v/>
      </c>
      <c r="J467">
        <f>IF($F467="","",IF(OR($G467="",$H467="",$I467="",$G467&lt;1300,$G467&gt;1500,$H467&lt;1,$H467&gt;12,$I467&lt;1,$I467&gt;31),"نامعتبر",RIGHT("0000"&amp;$G467,4)&amp;"/"&amp;RIGHT("00"&amp;$H467,2)&amp;"/"&amp;RIGHT("00"&amp;$I467,2)))</f>
        <v/>
      </c>
      <c r="K467">
        <f>IF(OR($F467="",$J467="",$J467="نامعتبر"),"",LEFT($J467,4)&amp;MID($J467,6,2)&amp;RIGHT($J467,2)&amp;$N467&amp;"|"&amp;"2"&amp;RIGHT("00000"&amp;462,5))</f>
        <v/>
      </c>
      <c r="L467">
        <f>IF($K467="","",COUNTIFS(LdgPartyA,$F467,LdgKeyA,"&lt;"&amp;$K467)+COUNTIFS(LdgPartyB,$F467,LdgKeyB,"&lt;"&amp;$K467)+1)</f>
        <v/>
      </c>
      <c r="M467">
        <f>IF($L467="","",$F467&amp;"|"&amp;RIGHT("000000"&amp;$L467,6))</f>
        <v/>
      </c>
      <c r="N467">
        <f>IF($F467="","",IF(Sync!$AH467="","0000",IF(AND(ISNUMBER(Sync!$AH467),Sync!$AH467&gt;=0,Sync!$AH467&lt;1),RIGHT("00"&amp;HOUR(Sync!$AH467),2)&amp;RIGHT("00"&amp;MINUTE(Sync!$AH467),2),IFERROR(RIGHT("00"&amp;VALUE(LEFT(Sync!$AH467,FIND(":",Sync!$AH467)-1)),2)&amp;RIGHT("00"&amp;VALUE(MID(Sync!$AH467,FIND(":",Sync!$AH467)+1,2)),2),"0000"))))</f>
        <v/>
      </c>
    </row>
    <row r="468">
      <c r="A468">
        <f>IF(OR(Calc!$E471="",Calc!$E471="نامعتبر",Calc!$G471="",Calc!$I471&lt;&gt;"خرید"),"",Calc!$G471)</f>
        <v/>
      </c>
      <c r="B468">
        <f>IF($A468="","",LEFT(Calc!$E471,4)&amp;MID(Calc!$E471,6,2)&amp;RIGHT(Calc!$E471,2)&amp;Calc!$R471&amp;"|"&amp;"1"&amp;RIGHT("00000"&amp;463,5))</f>
        <v/>
      </c>
      <c r="C468">
        <f>IF($B468="","",COUNTIFS(LdgPartyA,$A468,LdgKeyA,"&lt;"&amp;$B468)+COUNTIFS(LdgPartyB,$A468,LdgKeyB,"&lt;"&amp;$B468)+1)</f>
        <v/>
      </c>
      <c r="D468">
        <f>IF($C468="","",$A468&amp;"|"&amp;RIGHT("000000"&amp;$C468,6))</f>
        <v/>
      </c>
      <c r="F468">
        <f>IF(Sync!$AJ468="","",Sync!$AJ468)</f>
        <v/>
      </c>
      <c r="G468">
        <f>IF($F468="","",IF(Sync!$AG468="","",IF(ISNUMBER(Sync!$AG468),IF(AND(Sync!$AG468&gt;=10000101,Sync!$AG468&lt;=99991231),INT(Sync!$AG468/10000),""),IFERROR(VALUE(TRIM(LEFT(Sync!$AG468,FIND("/",Sync!$AG468)-1))),""))))</f>
        <v/>
      </c>
      <c r="H468">
        <f>IF(OR($F468="",$G468=""),"",IF(ISNUMBER(Sync!$AG468),INT(MOD(Sync!$AG468,10000)/100),IFERROR(VALUE(TRIM(LEFT(MID(Sync!$AG468,FIND("/",Sync!$AG468)+1,20),FIND("/",MID(Sync!$AG468,FIND("/",Sync!$AG468)+1,20))-1))),"")))</f>
        <v/>
      </c>
      <c r="I468">
        <f>IF(OR($F468="",$G468=""),"",IF(ISNUMBER(Sync!$AG468),MOD(Sync!$AG468,100),IFERROR(VALUE(TRIM(MID(MID(Sync!$AG468,FIND("/",Sync!$AG468)+1,20),FIND("/",MID(Sync!$AG468,FIND("/",Sync!$AG468)+1,20))+1,20))),"")))</f>
        <v/>
      </c>
      <c r="J468">
        <f>IF($F468="","",IF(OR($G468="",$H468="",$I468="",$G468&lt;1300,$G468&gt;1500,$H468&lt;1,$H468&gt;12,$I468&lt;1,$I468&gt;31),"نامعتبر",RIGHT("0000"&amp;$G468,4)&amp;"/"&amp;RIGHT("00"&amp;$H468,2)&amp;"/"&amp;RIGHT("00"&amp;$I468,2)))</f>
        <v/>
      </c>
      <c r="K468">
        <f>IF(OR($F468="",$J468="",$J468="نامعتبر"),"",LEFT($J468,4)&amp;MID($J468,6,2)&amp;RIGHT($J468,2)&amp;$N468&amp;"|"&amp;"2"&amp;RIGHT("00000"&amp;463,5))</f>
        <v/>
      </c>
      <c r="L468">
        <f>IF($K468="","",COUNTIFS(LdgPartyA,$F468,LdgKeyA,"&lt;"&amp;$K468)+COUNTIFS(LdgPartyB,$F468,LdgKeyB,"&lt;"&amp;$K468)+1)</f>
        <v/>
      </c>
      <c r="M468">
        <f>IF($L468="","",$F468&amp;"|"&amp;RIGHT("000000"&amp;$L468,6))</f>
        <v/>
      </c>
      <c r="N468">
        <f>IF($F468="","",IF(Sync!$AH468="","0000",IF(AND(ISNUMBER(Sync!$AH468),Sync!$AH468&gt;=0,Sync!$AH468&lt;1),RIGHT("00"&amp;HOUR(Sync!$AH468),2)&amp;RIGHT("00"&amp;MINUTE(Sync!$AH468),2),IFERROR(RIGHT("00"&amp;VALUE(LEFT(Sync!$AH468,FIND(":",Sync!$AH468)-1)),2)&amp;RIGHT("00"&amp;VALUE(MID(Sync!$AH468,FIND(":",Sync!$AH468)+1,2)),2),"0000"))))</f>
        <v/>
      </c>
    </row>
    <row r="469">
      <c r="A469">
        <f>IF(OR(Calc!$E472="",Calc!$E472="نامعتبر",Calc!$G472="",Calc!$I472&lt;&gt;"خرید"),"",Calc!$G472)</f>
        <v/>
      </c>
      <c r="B469">
        <f>IF($A469="","",LEFT(Calc!$E472,4)&amp;MID(Calc!$E472,6,2)&amp;RIGHT(Calc!$E472,2)&amp;Calc!$R472&amp;"|"&amp;"1"&amp;RIGHT("00000"&amp;464,5))</f>
        <v/>
      </c>
      <c r="C469">
        <f>IF($B469="","",COUNTIFS(LdgPartyA,$A469,LdgKeyA,"&lt;"&amp;$B469)+COUNTIFS(LdgPartyB,$A469,LdgKeyB,"&lt;"&amp;$B469)+1)</f>
        <v/>
      </c>
      <c r="D469">
        <f>IF($C469="","",$A469&amp;"|"&amp;RIGHT("000000"&amp;$C469,6))</f>
        <v/>
      </c>
      <c r="F469">
        <f>IF(Sync!$AJ469="","",Sync!$AJ469)</f>
        <v/>
      </c>
      <c r="G469">
        <f>IF($F469="","",IF(Sync!$AG469="","",IF(ISNUMBER(Sync!$AG469),IF(AND(Sync!$AG469&gt;=10000101,Sync!$AG469&lt;=99991231),INT(Sync!$AG469/10000),""),IFERROR(VALUE(TRIM(LEFT(Sync!$AG469,FIND("/",Sync!$AG469)-1))),""))))</f>
        <v/>
      </c>
      <c r="H469">
        <f>IF(OR($F469="",$G469=""),"",IF(ISNUMBER(Sync!$AG469),INT(MOD(Sync!$AG469,10000)/100),IFERROR(VALUE(TRIM(LEFT(MID(Sync!$AG469,FIND("/",Sync!$AG469)+1,20),FIND("/",MID(Sync!$AG469,FIND("/",Sync!$AG469)+1,20))-1))),"")))</f>
        <v/>
      </c>
      <c r="I469">
        <f>IF(OR($F469="",$G469=""),"",IF(ISNUMBER(Sync!$AG469),MOD(Sync!$AG469,100),IFERROR(VALUE(TRIM(MID(MID(Sync!$AG469,FIND("/",Sync!$AG469)+1,20),FIND("/",MID(Sync!$AG469,FIND("/",Sync!$AG469)+1,20))+1,20))),"")))</f>
        <v/>
      </c>
      <c r="J469">
        <f>IF($F469="","",IF(OR($G469="",$H469="",$I469="",$G469&lt;1300,$G469&gt;1500,$H469&lt;1,$H469&gt;12,$I469&lt;1,$I469&gt;31),"نامعتبر",RIGHT("0000"&amp;$G469,4)&amp;"/"&amp;RIGHT("00"&amp;$H469,2)&amp;"/"&amp;RIGHT("00"&amp;$I469,2)))</f>
        <v/>
      </c>
      <c r="K469">
        <f>IF(OR($F469="",$J469="",$J469="نامعتبر"),"",LEFT($J469,4)&amp;MID($J469,6,2)&amp;RIGHT($J469,2)&amp;$N469&amp;"|"&amp;"2"&amp;RIGHT("00000"&amp;464,5))</f>
        <v/>
      </c>
      <c r="L469">
        <f>IF($K469="","",COUNTIFS(LdgPartyA,$F469,LdgKeyA,"&lt;"&amp;$K469)+COUNTIFS(LdgPartyB,$F469,LdgKeyB,"&lt;"&amp;$K469)+1)</f>
        <v/>
      </c>
      <c r="M469">
        <f>IF($L469="","",$F469&amp;"|"&amp;RIGHT("000000"&amp;$L469,6))</f>
        <v/>
      </c>
      <c r="N469">
        <f>IF($F469="","",IF(Sync!$AH469="","0000",IF(AND(ISNUMBER(Sync!$AH469),Sync!$AH469&gt;=0,Sync!$AH469&lt;1),RIGHT("00"&amp;HOUR(Sync!$AH469),2)&amp;RIGHT("00"&amp;MINUTE(Sync!$AH469),2),IFERROR(RIGHT("00"&amp;VALUE(LEFT(Sync!$AH469,FIND(":",Sync!$AH469)-1)),2)&amp;RIGHT("00"&amp;VALUE(MID(Sync!$AH469,FIND(":",Sync!$AH469)+1,2)),2),"0000"))))</f>
        <v/>
      </c>
    </row>
    <row r="470">
      <c r="A470">
        <f>IF(OR(Calc!$E473="",Calc!$E473="نامعتبر",Calc!$G473="",Calc!$I473&lt;&gt;"خرید"),"",Calc!$G473)</f>
        <v/>
      </c>
      <c r="B470">
        <f>IF($A470="","",LEFT(Calc!$E473,4)&amp;MID(Calc!$E473,6,2)&amp;RIGHT(Calc!$E473,2)&amp;Calc!$R473&amp;"|"&amp;"1"&amp;RIGHT("00000"&amp;465,5))</f>
        <v/>
      </c>
      <c r="C470">
        <f>IF($B470="","",COUNTIFS(LdgPartyA,$A470,LdgKeyA,"&lt;"&amp;$B470)+COUNTIFS(LdgPartyB,$A470,LdgKeyB,"&lt;"&amp;$B470)+1)</f>
        <v/>
      </c>
      <c r="D470">
        <f>IF($C470="","",$A470&amp;"|"&amp;RIGHT("000000"&amp;$C470,6))</f>
        <v/>
      </c>
      <c r="F470">
        <f>IF(Sync!$AJ470="","",Sync!$AJ470)</f>
        <v/>
      </c>
      <c r="G470">
        <f>IF($F470="","",IF(Sync!$AG470="","",IF(ISNUMBER(Sync!$AG470),IF(AND(Sync!$AG470&gt;=10000101,Sync!$AG470&lt;=99991231),INT(Sync!$AG470/10000),""),IFERROR(VALUE(TRIM(LEFT(Sync!$AG470,FIND("/",Sync!$AG470)-1))),""))))</f>
        <v/>
      </c>
      <c r="H470">
        <f>IF(OR($F470="",$G470=""),"",IF(ISNUMBER(Sync!$AG470),INT(MOD(Sync!$AG470,10000)/100),IFERROR(VALUE(TRIM(LEFT(MID(Sync!$AG470,FIND("/",Sync!$AG470)+1,20),FIND("/",MID(Sync!$AG470,FIND("/",Sync!$AG470)+1,20))-1))),"")))</f>
        <v/>
      </c>
      <c r="I470">
        <f>IF(OR($F470="",$G470=""),"",IF(ISNUMBER(Sync!$AG470),MOD(Sync!$AG470,100),IFERROR(VALUE(TRIM(MID(MID(Sync!$AG470,FIND("/",Sync!$AG470)+1,20),FIND("/",MID(Sync!$AG470,FIND("/",Sync!$AG470)+1,20))+1,20))),"")))</f>
        <v/>
      </c>
      <c r="J470">
        <f>IF($F470="","",IF(OR($G470="",$H470="",$I470="",$G470&lt;1300,$G470&gt;1500,$H470&lt;1,$H470&gt;12,$I470&lt;1,$I470&gt;31),"نامعتبر",RIGHT("0000"&amp;$G470,4)&amp;"/"&amp;RIGHT("00"&amp;$H470,2)&amp;"/"&amp;RIGHT("00"&amp;$I470,2)))</f>
        <v/>
      </c>
      <c r="K470">
        <f>IF(OR($F470="",$J470="",$J470="نامعتبر"),"",LEFT($J470,4)&amp;MID($J470,6,2)&amp;RIGHT($J470,2)&amp;$N470&amp;"|"&amp;"2"&amp;RIGHT("00000"&amp;465,5))</f>
        <v/>
      </c>
      <c r="L470">
        <f>IF($K470="","",COUNTIFS(LdgPartyA,$F470,LdgKeyA,"&lt;"&amp;$K470)+COUNTIFS(LdgPartyB,$F470,LdgKeyB,"&lt;"&amp;$K470)+1)</f>
        <v/>
      </c>
      <c r="M470">
        <f>IF($L470="","",$F470&amp;"|"&amp;RIGHT("000000"&amp;$L470,6))</f>
        <v/>
      </c>
      <c r="N470">
        <f>IF($F470="","",IF(Sync!$AH470="","0000",IF(AND(ISNUMBER(Sync!$AH470),Sync!$AH470&gt;=0,Sync!$AH470&lt;1),RIGHT("00"&amp;HOUR(Sync!$AH470),2)&amp;RIGHT("00"&amp;MINUTE(Sync!$AH470),2),IFERROR(RIGHT("00"&amp;VALUE(LEFT(Sync!$AH470,FIND(":",Sync!$AH470)-1)),2)&amp;RIGHT("00"&amp;VALUE(MID(Sync!$AH470,FIND(":",Sync!$AH470)+1,2)),2),"0000"))))</f>
        <v/>
      </c>
    </row>
    <row r="471">
      <c r="A471">
        <f>IF(OR(Calc!$E474="",Calc!$E474="نامعتبر",Calc!$G474="",Calc!$I474&lt;&gt;"خرید"),"",Calc!$G474)</f>
        <v/>
      </c>
      <c r="B471">
        <f>IF($A471="","",LEFT(Calc!$E474,4)&amp;MID(Calc!$E474,6,2)&amp;RIGHT(Calc!$E474,2)&amp;Calc!$R474&amp;"|"&amp;"1"&amp;RIGHT("00000"&amp;466,5))</f>
        <v/>
      </c>
      <c r="C471">
        <f>IF($B471="","",COUNTIFS(LdgPartyA,$A471,LdgKeyA,"&lt;"&amp;$B471)+COUNTIFS(LdgPartyB,$A471,LdgKeyB,"&lt;"&amp;$B471)+1)</f>
        <v/>
      </c>
      <c r="D471">
        <f>IF($C471="","",$A471&amp;"|"&amp;RIGHT("000000"&amp;$C471,6))</f>
        <v/>
      </c>
      <c r="F471">
        <f>IF(Sync!$AJ471="","",Sync!$AJ471)</f>
        <v/>
      </c>
      <c r="G471">
        <f>IF($F471="","",IF(Sync!$AG471="","",IF(ISNUMBER(Sync!$AG471),IF(AND(Sync!$AG471&gt;=10000101,Sync!$AG471&lt;=99991231),INT(Sync!$AG471/10000),""),IFERROR(VALUE(TRIM(LEFT(Sync!$AG471,FIND("/",Sync!$AG471)-1))),""))))</f>
        <v/>
      </c>
      <c r="H471">
        <f>IF(OR($F471="",$G471=""),"",IF(ISNUMBER(Sync!$AG471),INT(MOD(Sync!$AG471,10000)/100),IFERROR(VALUE(TRIM(LEFT(MID(Sync!$AG471,FIND("/",Sync!$AG471)+1,20),FIND("/",MID(Sync!$AG471,FIND("/",Sync!$AG471)+1,20))-1))),"")))</f>
        <v/>
      </c>
      <c r="I471">
        <f>IF(OR($F471="",$G471=""),"",IF(ISNUMBER(Sync!$AG471),MOD(Sync!$AG471,100),IFERROR(VALUE(TRIM(MID(MID(Sync!$AG471,FIND("/",Sync!$AG471)+1,20),FIND("/",MID(Sync!$AG471,FIND("/",Sync!$AG471)+1,20))+1,20))),"")))</f>
        <v/>
      </c>
      <c r="J471">
        <f>IF($F471="","",IF(OR($G471="",$H471="",$I471="",$G471&lt;1300,$G471&gt;1500,$H471&lt;1,$H471&gt;12,$I471&lt;1,$I471&gt;31),"نامعتبر",RIGHT("0000"&amp;$G471,4)&amp;"/"&amp;RIGHT("00"&amp;$H471,2)&amp;"/"&amp;RIGHT("00"&amp;$I471,2)))</f>
        <v/>
      </c>
      <c r="K471">
        <f>IF(OR($F471="",$J471="",$J471="نامعتبر"),"",LEFT($J471,4)&amp;MID($J471,6,2)&amp;RIGHT($J471,2)&amp;$N471&amp;"|"&amp;"2"&amp;RIGHT("00000"&amp;466,5))</f>
        <v/>
      </c>
      <c r="L471">
        <f>IF($K471="","",COUNTIFS(LdgPartyA,$F471,LdgKeyA,"&lt;"&amp;$K471)+COUNTIFS(LdgPartyB,$F471,LdgKeyB,"&lt;"&amp;$K471)+1)</f>
        <v/>
      </c>
      <c r="M471">
        <f>IF($L471="","",$F471&amp;"|"&amp;RIGHT("000000"&amp;$L471,6))</f>
        <v/>
      </c>
      <c r="N471">
        <f>IF($F471="","",IF(Sync!$AH471="","0000",IF(AND(ISNUMBER(Sync!$AH471),Sync!$AH471&gt;=0,Sync!$AH471&lt;1),RIGHT("00"&amp;HOUR(Sync!$AH471),2)&amp;RIGHT("00"&amp;MINUTE(Sync!$AH471),2),IFERROR(RIGHT("00"&amp;VALUE(LEFT(Sync!$AH471,FIND(":",Sync!$AH471)-1)),2)&amp;RIGHT("00"&amp;VALUE(MID(Sync!$AH471,FIND(":",Sync!$AH471)+1,2)),2),"0000"))))</f>
        <v/>
      </c>
    </row>
    <row r="472">
      <c r="A472">
        <f>IF(OR(Calc!$E475="",Calc!$E475="نامعتبر",Calc!$G475="",Calc!$I475&lt;&gt;"خرید"),"",Calc!$G475)</f>
        <v/>
      </c>
      <c r="B472">
        <f>IF($A472="","",LEFT(Calc!$E475,4)&amp;MID(Calc!$E475,6,2)&amp;RIGHT(Calc!$E475,2)&amp;Calc!$R475&amp;"|"&amp;"1"&amp;RIGHT("00000"&amp;467,5))</f>
        <v/>
      </c>
      <c r="C472">
        <f>IF($B472="","",COUNTIFS(LdgPartyA,$A472,LdgKeyA,"&lt;"&amp;$B472)+COUNTIFS(LdgPartyB,$A472,LdgKeyB,"&lt;"&amp;$B472)+1)</f>
        <v/>
      </c>
      <c r="D472">
        <f>IF($C472="","",$A472&amp;"|"&amp;RIGHT("000000"&amp;$C472,6))</f>
        <v/>
      </c>
      <c r="F472">
        <f>IF(Sync!$AJ472="","",Sync!$AJ472)</f>
        <v/>
      </c>
      <c r="G472">
        <f>IF($F472="","",IF(Sync!$AG472="","",IF(ISNUMBER(Sync!$AG472),IF(AND(Sync!$AG472&gt;=10000101,Sync!$AG472&lt;=99991231),INT(Sync!$AG472/10000),""),IFERROR(VALUE(TRIM(LEFT(Sync!$AG472,FIND("/",Sync!$AG472)-1))),""))))</f>
        <v/>
      </c>
      <c r="H472">
        <f>IF(OR($F472="",$G472=""),"",IF(ISNUMBER(Sync!$AG472),INT(MOD(Sync!$AG472,10000)/100),IFERROR(VALUE(TRIM(LEFT(MID(Sync!$AG472,FIND("/",Sync!$AG472)+1,20),FIND("/",MID(Sync!$AG472,FIND("/",Sync!$AG472)+1,20))-1))),"")))</f>
        <v/>
      </c>
      <c r="I472">
        <f>IF(OR($F472="",$G472=""),"",IF(ISNUMBER(Sync!$AG472),MOD(Sync!$AG472,100),IFERROR(VALUE(TRIM(MID(MID(Sync!$AG472,FIND("/",Sync!$AG472)+1,20),FIND("/",MID(Sync!$AG472,FIND("/",Sync!$AG472)+1,20))+1,20))),"")))</f>
        <v/>
      </c>
      <c r="J472">
        <f>IF($F472="","",IF(OR($G472="",$H472="",$I472="",$G472&lt;1300,$G472&gt;1500,$H472&lt;1,$H472&gt;12,$I472&lt;1,$I472&gt;31),"نامعتبر",RIGHT("0000"&amp;$G472,4)&amp;"/"&amp;RIGHT("00"&amp;$H472,2)&amp;"/"&amp;RIGHT("00"&amp;$I472,2)))</f>
        <v/>
      </c>
      <c r="K472">
        <f>IF(OR($F472="",$J472="",$J472="نامعتبر"),"",LEFT($J472,4)&amp;MID($J472,6,2)&amp;RIGHT($J472,2)&amp;$N472&amp;"|"&amp;"2"&amp;RIGHT("00000"&amp;467,5))</f>
        <v/>
      </c>
      <c r="L472">
        <f>IF($K472="","",COUNTIFS(LdgPartyA,$F472,LdgKeyA,"&lt;"&amp;$K472)+COUNTIFS(LdgPartyB,$F472,LdgKeyB,"&lt;"&amp;$K472)+1)</f>
        <v/>
      </c>
      <c r="M472">
        <f>IF($L472="","",$F472&amp;"|"&amp;RIGHT("000000"&amp;$L472,6))</f>
        <v/>
      </c>
      <c r="N472">
        <f>IF($F472="","",IF(Sync!$AH472="","0000",IF(AND(ISNUMBER(Sync!$AH472),Sync!$AH472&gt;=0,Sync!$AH472&lt;1),RIGHT("00"&amp;HOUR(Sync!$AH472),2)&amp;RIGHT("00"&amp;MINUTE(Sync!$AH472),2),IFERROR(RIGHT("00"&amp;VALUE(LEFT(Sync!$AH472,FIND(":",Sync!$AH472)-1)),2)&amp;RIGHT("00"&amp;VALUE(MID(Sync!$AH472,FIND(":",Sync!$AH472)+1,2)),2),"0000"))))</f>
        <v/>
      </c>
    </row>
    <row r="473">
      <c r="A473">
        <f>IF(OR(Calc!$E476="",Calc!$E476="نامعتبر",Calc!$G476="",Calc!$I476&lt;&gt;"خرید"),"",Calc!$G476)</f>
        <v/>
      </c>
      <c r="B473">
        <f>IF($A473="","",LEFT(Calc!$E476,4)&amp;MID(Calc!$E476,6,2)&amp;RIGHT(Calc!$E476,2)&amp;Calc!$R476&amp;"|"&amp;"1"&amp;RIGHT("00000"&amp;468,5))</f>
        <v/>
      </c>
      <c r="C473">
        <f>IF($B473="","",COUNTIFS(LdgPartyA,$A473,LdgKeyA,"&lt;"&amp;$B473)+COUNTIFS(LdgPartyB,$A473,LdgKeyB,"&lt;"&amp;$B473)+1)</f>
        <v/>
      </c>
      <c r="D473">
        <f>IF($C473="","",$A473&amp;"|"&amp;RIGHT("000000"&amp;$C473,6))</f>
        <v/>
      </c>
      <c r="F473">
        <f>IF(Sync!$AJ473="","",Sync!$AJ473)</f>
        <v/>
      </c>
      <c r="G473">
        <f>IF($F473="","",IF(Sync!$AG473="","",IF(ISNUMBER(Sync!$AG473),IF(AND(Sync!$AG473&gt;=10000101,Sync!$AG473&lt;=99991231),INT(Sync!$AG473/10000),""),IFERROR(VALUE(TRIM(LEFT(Sync!$AG473,FIND("/",Sync!$AG473)-1))),""))))</f>
        <v/>
      </c>
      <c r="H473">
        <f>IF(OR($F473="",$G473=""),"",IF(ISNUMBER(Sync!$AG473),INT(MOD(Sync!$AG473,10000)/100),IFERROR(VALUE(TRIM(LEFT(MID(Sync!$AG473,FIND("/",Sync!$AG473)+1,20),FIND("/",MID(Sync!$AG473,FIND("/",Sync!$AG473)+1,20))-1))),"")))</f>
        <v/>
      </c>
      <c r="I473">
        <f>IF(OR($F473="",$G473=""),"",IF(ISNUMBER(Sync!$AG473),MOD(Sync!$AG473,100),IFERROR(VALUE(TRIM(MID(MID(Sync!$AG473,FIND("/",Sync!$AG473)+1,20),FIND("/",MID(Sync!$AG473,FIND("/",Sync!$AG473)+1,20))+1,20))),"")))</f>
        <v/>
      </c>
      <c r="J473">
        <f>IF($F473="","",IF(OR($G473="",$H473="",$I473="",$G473&lt;1300,$G473&gt;1500,$H473&lt;1,$H473&gt;12,$I473&lt;1,$I473&gt;31),"نامعتبر",RIGHT("0000"&amp;$G473,4)&amp;"/"&amp;RIGHT("00"&amp;$H473,2)&amp;"/"&amp;RIGHT("00"&amp;$I473,2)))</f>
        <v/>
      </c>
      <c r="K473">
        <f>IF(OR($F473="",$J473="",$J473="نامعتبر"),"",LEFT($J473,4)&amp;MID($J473,6,2)&amp;RIGHT($J473,2)&amp;$N473&amp;"|"&amp;"2"&amp;RIGHT("00000"&amp;468,5))</f>
        <v/>
      </c>
      <c r="L473">
        <f>IF($K473="","",COUNTIFS(LdgPartyA,$F473,LdgKeyA,"&lt;"&amp;$K473)+COUNTIFS(LdgPartyB,$F473,LdgKeyB,"&lt;"&amp;$K473)+1)</f>
        <v/>
      </c>
      <c r="M473">
        <f>IF($L473="","",$F473&amp;"|"&amp;RIGHT("000000"&amp;$L473,6))</f>
        <v/>
      </c>
      <c r="N473">
        <f>IF($F473="","",IF(Sync!$AH473="","0000",IF(AND(ISNUMBER(Sync!$AH473),Sync!$AH473&gt;=0,Sync!$AH473&lt;1),RIGHT("00"&amp;HOUR(Sync!$AH473),2)&amp;RIGHT("00"&amp;MINUTE(Sync!$AH473),2),IFERROR(RIGHT("00"&amp;VALUE(LEFT(Sync!$AH473,FIND(":",Sync!$AH473)-1)),2)&amp;RIGHT("00"&amp;VALUE(MID(Sync!$AH473,FIND(":",Sync!$AH473)+1,2)),2),"0000"))))</f>
        <v/>
      </c>
    </row>
    <row r="474">
      <c r="A474">
        <f>IF(OR(Calc!$E477="",Calc!$E477="نامعتبر",Calc!$G477="",Calc!$I477&lt;&gt;"خرید"),"",Calc!$G477)</f>
        <v/>
      </c>
      <c r="B474">
        <f>IF($A474="","",LEFT(Calc!$E477,4)&amp;MID(Calc!$E477,6,2)&amp;RIGHT(Calc!$E477,2)&amp;Calc!$R477&amp;"|"&amp;"1"&amp;RIGHT("00000"&amp;469,5))</f>
        <v/>
      </c>
      <c r="C474">
        <f>IF($B474="","",COUNTIFS(LdgPartyA,$A474,LdgKeyA,"&lt;"&amp;$B474)+COUNTIFS(LdgPartyB,$A474,LdgKeyB,"&lt;"&amp;$B474)+1)</f>
        <v/>
      </c>
      <c r="D474">
        <f>IF($C474="","",$A474&amp;"|"&amp;RIGHT("000000"&amp;$C474,6))</f>
        <v/>
      </c>
      <c r="F474">
        <f>IF(Sync!$AJ474="","",Sync!$AJ474)</f>
        <v/>
      </c>
      <c r="G474">
        <f>IF($F474="","",IF(Sync!$AG474="","",IF(ISNUMBER(Sync!$AG474),IF(AND(Sync!$AG474&gt;=10000101,Sync!$AG474&lt;=99991231),INT(Sync!$AG474/10000),""),IFERROR(VALUE(TRIM(LEFT(Sync!$AG474,FIND("/",Sync!$AG474)-1))),""))))</f>
        <v/>
      </c>
      <c r="H474">
        <f>IF(OR($F474="",$G474=""),"",IF(ISNUMBER(Sync!$AG474),INT(MOD(Sync!$AG474,10000)/100),IFERROR(VALUE(TRIM(LEFT(MID(Sync!$AG474,FIND("/",Sync!$AG474)+1,20),FIND("/",MID(Sync!$AG474,FIND("/",Sync!$AG474)+1,20))-1))),"")))</f>
        <v/>
      </c>
      <c r="I474">
        <f>IF(OR($F474="",$G474=""),"",IF(ISNUMBER(Sync!$AG474),MOD(Sync!$AG474,100),IFERROR(VALUE(TRIM(MID(MID(Sync!$AG474,FIND("/",Sync!$AG474)+1,20),FIND("/",MID(Sync!$AG474,FIND("/",Sync!$AG474)+1,20))+1,20))),"")))</f>
        <v/>
      </c>
      <c r="J474">
        <f>IF($F474="","",IF(OR($G474="",$H474="",$I474="",$G474&lt;1300,$G474&gt;1500,$H474&lt;1,$H474&gt;12,$I474&lt;1,$I474&gt;31),"نامعتبر",RIGHT("0000"&amp;$G474,4)&amp;"/"&amp;RIGHT("00"&amp;$H474,2)&amp;"/"&amp;RIGHT("00"&amp;$I474,2)))</f>
        <v/>
      </c>
      <c r="K474">
        <f>IF(OR($F474="",$J474="",$J474="نامعتبر"),"",LEFT($J474,4)&amp;MID($J474,6,2)&amp;RIGHT($J474,2)&amp;$N474&amp;"|"&amp;"2"&amp;RIGHT("00000"&amp;469,5))</f>
        <v/>
      </c>
      <c r="L474">
        <f>IF($K474="","",COUNTIFS(LdgPartyA,$F474,LdgKeyA,"&lt;"&amp;$K474)+COUNTIFS(LdgPartyB,$F474,LdgKeyB,"&lt;"&amp;$K474)+1)</f>
        <v/>
      </c>
      <c r="M474">
        <f>IF($L474="","",$F474&amp;"|"&amp;RIGHT("000000"&amp;$L474,6))</f>
        <v/>
      </c>
      <c r="N474">
        <f>IF($F474="","",IF(Sync!$AH474="","0000",IF(AND(ISNUMBER(Sync!$AH474),Sync!$AH474&gt;=0,Sync!$AH474&lt;1),RIGHT("00"&amp;HOUR(Sync!$AH474),2)&amp;RIGHT("00"&amp;MINUTE(Sync!$AH474),2),IFERROR(RIGHT("00"&amp;VALUE(LEFT(Sync!$AH474,FIND(":",Sync!$AH474)-1)),2)&amp;RIGHT("00"&amp;VALUE(MID(Sync!$AH474,FIND(":",Sync!$AH474)+1,2)),2),"0000"))))</f>
        <v/>
      </c>
    </row>
    <row r="475">
      <c r="A475">
        <f>IF(OR(Calc!$E478="",Calc!$E478="نامعتبر",Calc!$G478="",Calc!$I478&lt;&gt;"خرید"),"",Calc!$G478)</f>
        <v/>
      </c>
      <c r="B475">
        <f>IF($A475="","",LEFT(Calc!$E478,4)&amp;MID(Calc!$E478,6,2)&amp;RIGHT(Calc!$E478,2)&amp;Calc!$R478&amp;"|"&amp;"1"&amp;RIGHT("00000"&amp;470,5))</f>
        <v/>
      </c>
      <c r="C475">
        <f>IF($B475="","",COUNTIFS(LdgPartyA,$A475,LdgKeyA,"&lt;"&amp;$B475)+COUNTIFS(LdgPartyB,$A475,LdgKeyB,"&lt;"&amp;$B475)+1)</f>
        <v/>
      </c>
      <c r="D475">
        <f>IF($C475="","",$A475&amp;"|"&amp;RIGHT("000000"&amp;$C475,6))</f>
        <v/>
      </c>
      <c r="F475">
        <f>IF(Sync!$AJ475="","",Sync!$AJ475)</f>
        <v/>
      </c>
      <c r="G475">
        <f>IF($F475="","",IF(Sync!$AG475="","",IF(ISNUMBER(Sync!$AG475),IF(AND(Sync!$AG475&gt;=10000101,Sync!$AG475&lt;=99991231),INT(Sync!$AG475/10000),""),IFERROR(VALUE(TRIM(LEFT(Sync!$AG475,FIND("/",Sync!$AG475)-1))),""))))</f>
        <v/>
      </c>
      <c r="H475">
        <f>IF(OR($F475="",$G475=""),"",IF(ISNUMBER(Sync!$AG475),INT(MOD(Sync!$AG475,10000)/100),IFERROR(VALUE(TRIM(LEFT(MID(Sync!$AG475,FIND("/",Sync!$AG475)+1,20),FIND("/",MID(Sync!$AG475,FIND("/",Sync!$AG475)+1,20))-1))),"")))</f>
        <v/>
      </c>
      <c r="I475">
        <f>IF(OR($F475="",$G475=""),"",IF(ISNUMBER(Sync!$AG475),MOD(Sync!$AG475,100),IFERROR(VALUE(TRIM(MID(MID(Sync!$AG475,FIND("/",Sync!$AG475)+1,20),FIND("/",MID(Sync!$AG475,FIND("/",Sync!$AG475)+1,20))+1,20))),"")))</f>
        <v/>
      </c>
      <c r="J475">
        <f>IF($F475="","",IF(OR($G475="",$H475="",$I475="",$G475&lt;1300,$G475&gt;1500,$H475&lt;1,$H475&gt;12,$I475&lt;1,$I475&gt;31),"نامعتبر",RIGHT("0000"&amp;$G475,4)&amp;"/"&amp;RIGHT("00"&amp;$H475,2)&amp;"/"&amp;RIGHT("00"&amp;$I475,2)))</f>
        <v/>
      </c>
      <c r="K475">
        <f>IF(OR($F475="",$J475="",$J475="نامعتبر"),"",LEFT($J475,4)&amp;MID($J475,6,2)&amp;RIGHT($J475,2)&amp;$N475&amp;"|"&amp;"2"&amp;RIGHT("00000"&amp;470,5))</f>
        <v/>
      </c>
      <c r="L475">
        <f>IF($K475="","",COUNTIFS(LdgPartyA,$F475,LdgKeyA,"&lt;"&amp;$K475)+COUNTIFS(LdgPartyB,$F475,LdgKeyB,"&lt;"&amp;$K475)+1)</f>
        <v/>
      </c>
      <c r="M475">
        <f>IF($L475="","",$F475&amp;"|"&amp;RIGHT("000000"&amp;$L475,6))</f>
        <v/>
      </c>
      <c r="N475">
        <f>IF($F475="","",IF(Sync!$AH475="","0000",IF(AND(ISNUMBER(Sync!$AH475),Sync!$AH475&gt;=0,Sync!$AH475&lt;1),RIGHT("00"&amp;HOUR(Sync!$AH475),2)&amp;RIGHT("00"&amp;MINUTE(Sync!$AH475),2),IFERROR(RIGHT("00"&amp;VALUE(LEFT(Sync!$AH475,FIND(":",Sync!$AH475)-1)),2)&amp;RIGHT("00"&amp;VALUE(MID(Sync!$AH475,FIND(":",Sync!$AH475)+1,2)),2),"0000"))))</f>
        <v/>
      </c>
    </row>
    <row r="476">
      <c r="A476">
        <f>IF(OR(Calc!$E479="",Calc!$E479="نامعتبر",Calc!$G479="",Calc!$I479&lt;&gt;"خرید"),"",Calc!$G479)</f>
        <v/>
      </c>
      <c r="B476">
        <f>IF($A476="","",LEFT(Calc!$E479,4)&amp;MID(Calc!$E479,6,2)&amp;RIGHT(Calc!$E479,2)&amp;Calc!$R479&amp;"|"&amp;"1"&amp;RIGHT("00000"&amp;471,5))</f>
        <v/>
      </c>
      <c r="C476">
        <f>IF($B476="","",COUNTIFS(LdgPartyA,$A476,LdgKeyA,"&lt;"&amp;$B476)+COUNTIFS(LdgPartyB,$A476,LdgKeyB,"&lt;"&amp;$B476)+1)</f>
        <v/>
      </c>
      <c r="D476">
        <f>IF($C476="","",$A476&amp;"|"&amp;RIGHT("000000"&amp;$C476,6))</f>
        <v/>
      </c>
      <c r="F476">
        <f>IF(Sync!$AJ476="","",Sync!$AJ476)</f>
        <v/>
      </c>
      <c r="G476">
        <f>IF($F476="","",IF(Sync!$AG476="","",IF(ISNUMBER(Sync!$AG476),IF(AND(Sync!$AG476&gt;=10000101,Sync!$AG476&lt;=99991231),INT(Sync!$AG476/10000),""),IFERROR(VALUE(TRIM(LEFT(Sync!$AG476,FIND("/",Sync!$AG476)-1))),""))))</f>
        <v/>
      </c>
      <c r="H476">
        <f>IF(OR($F476="",$G476=""),"",IF(ISNUMBER(Sync!$AG476),INT(MOD(Sync!$AG476,10000)/100),IFERROR(VALUE(TRIM(LEFT(MID(Sync!$AG476,FIND("/",Sync!$AG476)+1,20),FIND("/",MID(Sync!$AG476,FIND("/",Sync!$AG476)+1,20))-1))),"")))</f>
        <v/>
      </c>
      <c r="I476">
        <f>IF(OR($F476="",$G476=""),"",IF(ISNUMBER(Sync!$AG476),MOD(Sync!$AG476,100),IFERROR(VALUE(TRIM(MID(MID(Sync!$AG476,FIND("/",Sync!$AG476)+1,20),FIND("/",MID(Sync!$AG476,FIND("/",Sync!$AG476)+1,20))+1,20))),"")))</f>
        <v/>
      </c>
      <c r="J476">
        <f>IF($F476="","",IF(OR($G476="",$H476="",$I476="",$G476&lt;1300,$G476&gt;1500,$H476&lt;1,$H476&gt;12,$I476&lt;1,$I476&gt;31),"نامعتبر",RIGHT("0000"&amp;$G476,4)&amp;"/"&amp;RIGHT("00"&amp;$H476,2)&amp;"/"&amp;RIGHT("00"&amp;$I476,2)))</f>
        <v/>
      </c>
      <c r="K476">
        <f>IF(OR($F476="",$J476="",$J476="نامعتبر"),"",LEFT($J476,4)&amp;MID($J476,6,2)&amp;RIGHT($J476,2)&amp;$N476&amp;"|"&amp;"2"&amp;RIGHT("00000"&amp;471,5))</f>
        <v/>
      </c>
      <c r="L476">
        <f>IF($K476="","",COUNTIFS(LdgPartyA,$F476,LdgKeyA,"&lt;"&amp;$K476)+COUNTIFS(LdgPartyB,$F476,LdgKeyB,"&lt;"&amp;$K476)+1)</f>
        <v/>
      </c>
      <c r="M476">
        <f>IF($L476="","",$F476&amp;"|"&amp;RIGHT("000000"&amp;$L476,6))</f>
        <v/>
      </c>
      <c r="N476">
        <f>IF($F476="","",IF(Sync!$AH476="","0000",IF(AND(ISNUMBER(Sync!$AH476),Sync!$AH476&gt;=0,Sync!$AH476&lt;1),RIGHT("00"&amp;HOUR(Sync!$AH476),2)&amp;RIGHT("00"&amp;MINUTE(Sync!$AH476),2),IFERROR(RIGHT("00"&amp;VALUE(LEFT(Sync!$AH476,FIND(":",Sync!$AH476)-1)),2)&amp;RIGHT("00"&amp;VALUE(MID(Sync!$AH476,FIND(":",Sync!$AH476)+1,2)),2),"0000"))))</f>
        <v/>
      </c>
    </row>
    <row r="477">
      <c r="A477">
        <f>IF(OR(Calc!$E480="",Calc!$E480="نامعتبر",Calc!$G480="",Calc!$I480&lt;&gt;"خرید"),"",Calc!$G480)</f>
        <v/>
      </c>
      <c r="B477">
        <f>IF($A477="","",LEFT(Calc!$E480,4)&amp;MID(Calc!$E480,6,2)&amp;RIGHT(Calc!$E480,2)&amp;Calc!$R480&amp;"|"&amp;"1"&amp;RIGHT("00000"&amp;472,5))</f>
        <v/>
      </c>
      <c r="C477">
        <f>IF($B477="","",COUNTIFS(LdgPartyA,$A477,LdgKeyA,"&lt;"&amp;$B477)+COUNTIFS(LdgPartyB,$A477,LdgKeyB,"&lt;"&amp;$B477)+1)</f>
        <v/>
      </c>
      <c r="D477">
        <f>IF($C477="","",$A477&amp;"|"&amp;RIGHT("000000"&amp;$C477,6))</f>
        <v/>
      </c>
      <c r="F477">
        <f>IF(Sync!$AJ477="","",Sync!$AJ477)</f>
        <v/>
      </c>
      <c r="G477">
        <f>IF($F477="","",IF(Sync!$AG477="","",IF(ISNUMBER(Sync!$AG477),IF(AND(Sync!$AG477&gt;=10000101,Sync!$AG477&lt;=99991231),INT(Sync!$AG477/10000),""),IFERROR(VALUE(TRIM(LEFT(Sync!$AG477,FIND("/",Sync!$AG477)-1))),""))))</f>
        <v/>
      </c>
      <c r="H477">
        <f>IF(OR($F477="",$G477=""),"",IF(ISNUMBER(Sync!$AG477),INT(MOD(Sync!$AG477,10000)/100),IFERROR(VALUE(TRIM(LEFT(MID(Sync!$AG477,FIND("/",Sync!$AG477)+1,20),FIND("/",MID(Sync!$AG477,FIND("/",Sync!$AG477)+1,20))-1))),"")))</f>
        <v/>
      </c>
      <c r="I477">
        <f>IF(OR($F477="",$G477=""),"",IF(ISNUMBER(Sync!$AG477),MOD(Sync!$AG477,100),IFERROR(VALUE(TRIM(MID(MID(Sync!$AG477,FIND("/",Sync!$AG477)+1,20),FIND("/",MID(Sync!$AG477,FIND("/",Sync!$AG477)+1,20))+1,20))),"")))</f>
        <v/>
      </c>
      <c r="J477">
        <f>IF($F477="","",IF(OR($G477="",$H477="",$I477="",$G477&lt;1300,$G477&gt;1500,$H477&lt;1,$H477&gt;12,$I477&lt;1,$I477&gt;31),"نامعتبر",RIGHT("0000"&amp;$G477,4)&amp;"/"&amp;RIGHT("00"&amp;$H477,2)&amp;"/"&amp;RIGHT("00"&amp;$I477,2)))</f>
        <v/>
      </c>
      <c r="K477">
        <f>IF(OR($F477="",$J477="",$J477="نامعتبر"),"",LEFT($J477,4)&amp;MID($J477,6,2)&amp;RIGHT($J477,2)&amp;$N477&amp;"|"&amp;"2"&amp;RIGHT("00000"&amp;472,5))</f>
        <v/>
      </c>
      <c r="L477">
        <f>IF($K477="","",COUNTIFS(LdgPartyA,$F477,LdgKeyA,"&lt;"&amp;$K477)+COUNTIFS(LdgPartyB,$F477,LdgKeyB,"&lt;"&amp;$K477)+1)</f>
        <v/>
      </c>
      <c r="M477">
        <f>IF($L477="","",$F477&amp;"|"&amp;RIGHT("000000"&amp;$L477,6))</f>
        <v/>
      </c>
      <c r="N477">
        <f>IF($F477="","",IF(Sync!$AH477="","0000",IF(AND(ISNUMBER(Sync!$AH477),Sync!$AH477&gt;=0,Sync!$AH477&lt;1),RIGHT("00"&amp;HOUR(Sync!$AH477),2)&amp;RIGHT("00"&amp;MINUTE(Sync!$AH477),2),IFERROR(RIGHT("00"&amp;VALUE(LEFT(Sync!$AH477,FIND(":",Sync!$AH477)-1)),2)&amp;RIGHT("00"&amp;VALUE(MID(Sync!$AH477,FIND(":",Sync!$AH477)+1,2)),2),"0000"))))</f>
        <v/>
      </c>
    </row>
    <row r="478">
      <c r="A478">
        <f>IF(OR(Calc!$E481="",Calc!$E481="نامعتبر",Calc!$G481="",Calc!$I481&lt;&gt;"خرید"),"",Calc!$G481)</f>
        <v/>
      </c>
      <c r="B478">
        <f>IF($A478="","",LEFT(Calc!$E481,4)&amp;MID(Calc!$E481,6,2)&amp;RIGHT(Calc!$E481,2)&amp;Calc!$R481&amp;"|"&amp;"1"&amp;RIGHT("00000"&amp;473,5))</f>
        <v/>
      </c>
      <c r="C478">
        <f>IF($B478="","",COUNTIFS(LdgPartyA,$A478,LdgKeyA,"&lt;"&amp;$B478)+COUNTIFS(LdgPartyB,$A478,LdgKeyB,"&lt;"&amp;$B478)+1)</f>
        <v/>
      </c>
      <c r="D478">
        <f>IF($C478="","",$A478&amp;"|"&amp;RIGHT("000000"&amp;$C478,6))</f>
        <v/>
      </c>
      <c r="F478">
        <f>IF(Sync!$AJ478="","",Sync!$AJ478)</f>
        <v/>
      </c>
      <c r="G478">
        <f>IF($F478="","",IF(Sync!$AG478="","",IF(ISNUMBER(Sync!$AG478),IF(AND(Sync!$AG478&gt;=10000101,Sync!$AG478&lt;=99991231),INT(Sync!$AG478/10000),""),IFERROR(VALUE(TRIM(LEFT(Sync!$AG478,FIND("/",Sync!$AG478)-1))),""))))</f>
        <v/>
      </c>
      <c r="H478">
        <f>IF(OR($F478="",$G478=""),"",IF(ISNUMBER(Sync!$AG478),INT(MOD(Sync!$AG478,10000)/100),IFERROR(VALUE(TRIM(LEFT(MID(Sync!$AG478,FIND("/",Sync!$AG478)+1,20),FIND("/",MID(Sync!$AG478,FIND("/",Sync!$AG478)+1,20))-1))),"")))</f>
        <v/>
      </c>
      <c r="I478">
        <f>IF(OR($F478="",$G478=""),"",IF(ISNUMBER(Sync!$AG478),MOD(Sync!$AG478,100),IFERROR(VALUE(TRIM(MID(MID(Sync!$AG478,FIND("/",Sync!$AG478)+1,20),FIND("/",MID(Sync!$AG478,FIND("/",Sync!$AG478)+1,20))+1,20))),"")))</f>
        <v/>
      </c>
      <c r="J478">
        <f>IF($F478="","",IF(OR($G478="",$H478="",$I478="",$G478&lt;1300,$G478&gt;1500,$H478&lt;1,$H478&gt;12,$I478&lt;1,$I478&gt;31),"نامعتبر",RIGHT("0000"&amp;$G478,4)&amp;"/"&amp;RIGHT("00"&amp;$H478,2)&amp;"/"&amp;RIGHT("00"&amp;$I478,2)))</f>
        <v/>
      </c>
      <c r="K478">
        <f>IF(OR($F478="",$J478="",$J478="نامعتبر"),"",LEFT($J478,4)&amp;MID($J478,6,2)&amp;RIGHT($J478,2)&amp;$N478&amp;"|"&amp;"2"&amp;RIGHT("00000"&amp;473,5))</f>
        <v/>
      </c>
      <c r="L478">
        <f>IF($K478="","",COUNTIFS(LdgPartyA,$F478,LdgKeyA,"&lt;"&amp;$K478)+COUNTIFS(LdgPartyB,$F478,LdgKeyB,"&lt;"&amp;$K478)+1)</f>
        <v/>
      </c>
      <c r="M478">
        <f>IF($L478="","",$F478&amp;"|"&amp;RIGHT("000000"&amp;$L478,6))</f>
        <v/>
      </c>
      <c r="N478">
        <f>IF($F478="","",IF(Sync!$AH478="","0000",IF(AND(ISNUMBER(Sync!$AH478),Sync!$AH478&gt;=0,Sync!$AH478&lt;1),RIGHT("00"&amp;HOUR(Sync!$AH478),2)&amp;RIGHT("00"&amp;MINUTE(Sync!$AH478),2),IFERROR(RIGHT("00"&amp;VALUE(LEFT(Sync!$AH478,FIND(":",Sync!$AH478)-1)),2)&amp;RIGHT("00"&amp;VALUE(MID(Sync!$AH478,FIND(":",Sync!$AH478)+1,2)),2),"0000"))))</f>
        <v/>
      </c>
    </row>
    <row r="479">
      <c r="A479">
        <f>IF(OR(Calc!$E482="",Calc!$E482="نامعتبر",Calc!$G482="",Calc!$I482&lt;&gt;"خرید"),"",Calc!$G482)</f>
        <v/>
      </c>
      <c r="B479">
        <f>IF($A479="","",LEFT(Calc!$E482,4)&amp;MID(Calc!$E482,6,2)&amp;RIGHT(Calc!$E482,2)&amp;Calc!$R482&amp;"|"&amp;"1"&amp;RIGHT("00000"&amp;474,5))</f>
        <v/>
      </c>
      <c r="C479">
        <f>IF($B479="","",COUNTIFS(LdgPartyA,$A479,LdgKeyA,"&lt;"&amp;$B479)+COUNTIFS(LdgPartyB,$A479,LdgKeyB,"&lt;"&amp;$B479)+1)</f>
        <v/>
      </c>
      <c r="D479">
        <f>IF($C479="","",$A479&amp;"|"&amp;RIGHT("000000"&amp;$C479,6))</f>
        <v/>
      </c>
      <c r="F479">
        <f>IF(Sync!$AJ479="","",Sync!$AJ479)</f>
        <v/>
      </c>
      <c r="G479">
        <f>IF($F479="","",IF(Sync!$AG479="","",IF(ISNUMBER(Sync!$AG479),IF(AND(Sync!$AG479&gt;=10000101,Sync!$AG479&lt;=99991231),INT(Sync!$AG479/10000),""),IFERROR(VALUE(TRIM(LEFT(Sync!$AG479,FIND("/",Sync!$AG479)-1))),""))))</f>
        <v/>
      </c>
      <c r="H479">
        <f>IF(OR($F479="",$G479=""),"",IF(ISNUMBER(Sync!$AG479),INT(MOD(Sync!$AG479,10000)/100),IFERROR(VALUE(TRIM(LEFT(MID(Sync!$AG479,FIND("/",Sync!$AG479)+1,20),FIND("/",MID(Sync!$AG479,FIND("/",Sync!$AG479)+1,20))-1))),"")))</f>
        <v/>
      </c>
      <c r="I479">
        <f>IF(OR($F479="",$G479=""),"",IF(ISNUMBER(Sync!$AG479),MOD(Sync!$AG479,100),IFERROR(VALUE(TRIM(MID(MID(Sync!$AG479,FIND("/",Sync!$AG479)+1,20),FIND("/",MID(Sync!$AG479,FIND("/",Sync!$AG479)+1,20))+1,20))),"")))</f>
        <v/>
      </c>
      <c r="J479">
        <f>IF($F479="","",IF(OR($G479="",$H479="",$I479="",$G479&lt;1300,$G479&gt;1500,$H479&lt;1,$H479&gt;12,$I479&lt;1,$I479&gt;31),"نامعتبر",RIGHT("0000"&amp;$G479,4)&amp;"/"&amp;RIGHT("00"&amp;$H479,2)&amp;"/"&amp;RIGHT("00"&amp;$I479,2)))</f>
        <v/>
      </c>
      <c r="K479">
        <f>IF(OR($F479="",$J479="",$J479="نامعتبر"),"",LEFT($J479,4)&amp;MID($J479,6,2)&amp;RIGHT($J479,2)&amp;$N479&amp;"|"&amp;"2"&amp;RIGHT("00000"&amp;474,5))</f>
        <v/>
      </c>
      <c r="L479">
        <f>IF($K479="","",COUNTIFS(LdgPartyA,$F479,LdgKeyA,"&lt;"&amp;$K479)+COUNTIFS(LdgPartyB,$F479,LdgKeyB,"&lt;"&amp;$K479)+1)</f>
        <v/>
      </c>
      <c r="M479">
        <f>IF($L479="","",$F479&amp;"|"&amp;RIGHT("000000"&amp;$L479,6))</f>
        <v/>
      </c>
      <c r="N479">
        <f>IF($F479="","",IF(Sync!$AH479="","0000",IF(AND(ISNUMBER(Sync!$AH479),Sync!$AH479&gt;=0,Sync!$AH479&lt;1),RIGHT("00"&amp;HOUR(Sync!$AH479),2)&amp;RIGHT("00"&amp;MINUTE(Sync!$AH479),2),IFERROR(RIGHT("00"&amp;VALUE(LEFT(Sync!$AH479,FIND(":",Sync!$AH479)-1)),2)&amp;RIGHT("00"&amp;VALUE(MID(Sync!$AH479,FIND(":",Sync!$AH479)+1,2)),2),"0000"))))</f>
        <v/>
      </c>
    </row>
    <row r="480">
      <c r="A480">
        <f>IF(OR(Calc!$E483="",Calc!$E483="نامعتبر",Calc!$G483="",Calc!$I483&lt;&gt;"خرید"),"",Calc!$G483)</f>
        <v/>
      </c>
      <c r="B480">
        <f>IF($A480="","",LEFT(Calc!$E483,4)&amp;MID(Calc!$E483,6,2)&amp;RIGHT(Calc!$E483,2)&amp;Calc!$R483&amp;"|"&amp;"1"&amp;RIGHT("00000"&amp;475,5))</f>
        <v/>
      </c>
      <c r="C480">
        <f>IF($B480="","",COUNTIFS(LdgPartyA,$A480,LdgKeyA,"&lt;"&amp;$B480)+COUNTIFS(LdgPartyB,$A480,LdgKeyB,"&lt;"&amp;$B480)+1)</f>
        <v/>
      </c>
      <c r="D480">
        <f>IF($C480="","",$A480&amp;"|"&amp;RIGHT("000000"&amp;$C480,6))</f>
        <v/>
      </c>
      <c r="F480">
        <f>IF(Sync!$AJ480="","",Sync!$AJ480)</f>
        <v/>
      </c>
      <c r="G480">
        <f>IF($F480="","",IF(Sync!$AG480="","",IF(ISNUMBER(Sync!$AG480),IF(AND(Sync!$AG480&gt;=10000101,Sync!$AG480&lt;=99991231),INT(Sync!$AG480/10000),""),IFERROR(VALUE(TRIM(LEFT(Sync!$AG480,FIND("/",Sync!$AG480)-1))),""))))</f>
        <v/>
      </c>
      <c r="H480">
        <f>IF(OR($F480="",$G480=""),"",IF(ISNUMBER(Sync!$AG480),INT(MOD(Sync!$AG480,10000)/100),IFERROR(VALUE(TRIM(LEFT(MID(Sync!$AG480,FIND("/",Sync!$AG480)+1,20),FIND("/",MID(Sync!$AG480,FIND("/",Sync!$AG480)+1,20))-1))),"")))</f>
        <v/>
      </c>
      <c r="I480">
        <f>IF(OR($F480="",$G480=""),"",IF(ISNUMBER(Sync!$AG480),MOD(Sync!$AG480,100),IFERROR(VALUE(TRIM(MID(MID(Sync!$AG480,FIND("/",Sync!$AG480)+1,20),FIND("/",MID(Sync!$AG480,FIND("/",Sync!$AG480)+1,20))+1,20))),"")))</f>
        <v/>
      </c>
      <c r="J480">
        <f>IF($F480="","",IF(OR($G480="",$H480="",$I480="",$G480&lt;1300,$G480&gt;1500,$H480&lt;1,$H480&gt;12,$I480&lt;1,$I480&gt;31),"نامعتبر",RIGHT("0000"&amp;$G480,4)&amp;"/"&amp;RIGHT("00"&amp;$H480,2)&amp;"/"&amp;RIGHT("00"&amp;$I480,2)))</f>
        <v/>
      </c>
      <c r="K480">
        <f>IF(OR($F480="",$J480="",$J480="نامعتبر"),"",LEFT($J480,4)&amp;MID($J480,6,2)&amp;RIGHT($J480,2)&amp;$N480&amp;"|"&amp;"2"&amp;RIGHT("00000"&amp;475,5))</f>
        <v/>
      </c>
      <c r="L480">
        <f>IF($K480="","",COUNTIFS(LdgPartyA,$F480,LdgKeyA,"&lt;"&amp;$K480)+COUNTIFS(LdgPartyB,$F480,LdgKeyB,"&lt;"&amp;$K480)+1)</f>
        <v/>
      </c>
      <c r="M480">
        <f>IF($L480="","",$F480&amp;"|"&amp;RIGHT("000000"&amp;$L480,6))</f>
        <v/>
      </c>
      <c r="N480">
        <f>IF($F480="","",IF(Sync!$AH480="","0000",IF(AND(ISNUMBER(Sync!$AH480),Sync!$AH480&gt;=0,Sync!$AH480&lt;1),RIGHT("00"&amp;HOUR(Sync!$AH480),2)&amp;RIGHT("00"&amp;MINUTE(Sync!$AH480),2),IFERROR(RIGHT("00"&amp;VALUE(LEFT(Sync!$AH480,FIND(":",Sync!$AH480)-1)),2)&amp;RIGHT("00"&amp;VALUE(MID(Sync!$AH480,FIND(":",Sync!$AH480)+1,2)),2),"0000"))))</f>
        <v/>
      </c>
    </row>
    <row r="481">
      <c r="A481">
        <f>IF(OR(Calc!$E484="",Calc!$E484="نامعتبر",Calc!$G484="",Calc!$I484&lt;&gt;"خرید"),"",Calc!$G484)</f>
        <v/>
      </c>
      <c r="B481">
        <f>IF($A481="","",LEFT(Calc!$E484,4)&amp;MID(Calc!$E484,6,2)&amp;RIGHT(Calc!$E484,2)&amp;Calc!$R484&amp;"|"&amp;"1"&amp;RIGHT("00000"&amp;476,5))</f>
        <v/>
      </c>
      <c r="C481">
        <f>IF($B481="","",COUNTIFS(LdgPartyA,$A481,LdgKeyA,"&lt;"&amp;$B481)+COUNTIFS(LdgPartyB,$A481,LdgKeyB,"&lt;"&amp;$B481)+1)</f>
        <v/>
      </c>
      <c r="D481">
        <f>IF($C481="","",$A481&amp;"|"&amp;RIGHT("000000"&amp;$C481,6))</f>
        <v/>
      </c>
      <c r="F481">
        <f>IF(Sync!$AJ481="","",Sync!$AJ481)</f>
        <v/>
      </c>
      <c r="G481">
        <f>IF($F481="","",IF(Sync!$AG481="","",IF(ISNUMBER(Sync!$AG481),IF(AND(Sync!$AG481&gt;=10000101,Sync!$AG481&lt;=99991231),INT(Sync!$AG481/10000),""),IFERROR(VALUE(TRIM(LEFT(Sync!$AG481,FIND("/",Sync!$AG481)-1))),""))))</f>
        <v/>
      </c>
      <c r="H481">
        <f>IF(OR($F481="",$G481=""),"",IF(ISNUMBER(Sync!$AG481),INT(MOD(Sync!$AG481,10000)/100),IFERROR(VALUE(TRIM(LEFT(MID(Sync!$AG481,FIND("/",Sync!$AG481)+1,20),FIND("/",MID(Sync!$AG481,FIND("/",Sync!$AG481)+1,20))-1))),"")))</f>
        <v/>
      </c>
      <c r="I481">
        <f>IF(OR($F481="",$G481=""),"",IF(ISNUMBER(Sync!$AG481),MOD(Sync!$AG481,100),IFERROR(VALUE(TRIM(MID(MID(Sync!$AG481,FIND("/",Sync!$AG481)+1,20),FIND("/",MID(Sync!$AG481,FIND("/",Sync!$AG481)+1,20))+1,20))),"")))</f>
        <v/>
      </c>
      <c r="J481">
        <f>IF($F481="","",IF(OR($G481="",$H481="",$I481="",$G481&lt;1300,$G481&gt;1500,$H481&lt;1,$H481&gt;12,$I481&lt;1,$I481&gt;31),"نامعتبر",RIGHT("0000"&amp;$G481,4)&amp;"/"&amp;RIGHT("00"&amp;$H481,2)&amp;"/"&amp;RIGHT("00"&amp;$I481,2)))</f>
        <v/>
      </c>
      <c r="K481">
        <f>IF(OR($F481="",$J481="",$J481="نامعتبر"),"",LEFT($J481,4)&amp;MID($J481,6,2)&amp;RIGHT($J481,2)&amp;$N481&amp;"|"&amp;"2"&amp;RIGHT("00000"&amp;476,5))</f>
        <v/>
      </c>
      <c r="L481">
        <f>IF($K481="","",COUNTIFS(LdgPartyA,$F481,LdgKeyA,"&lt;"&amp;$K481)+COUNTIFS(LdgPartyB,$F481,LdgKeyB,"&lt;"&amp;$K481)+1)</f>
        <v/>
      </c>
      <c r="M481">
        <f>IF($L481="","",$F481&amp;"|"&amp;RIGHT("000000"&amp;$L481,6))</f>
        <v/>
      </c>
      <c r="N481">
        <f>IF($F481="","",IF(Sync!$AH481="","0000",IF(AND(ISNUMBER(Sync!$AH481),Sync!$AH481&gt;=0,Sync!$AH481&lt;1),RIGHT("00"&amp;HOUR(Sync!$AH481),2)&amp;RIGHT("00"&amp;MINUTE(Sync!$AH481),2),IFERROR(RIGHT("00"&amp;VALUE(LEFT(Sync!$AH481,FIND(":",Sync!$AH481)-1)),2)&amp;RIGHT("00"&amp;VALUE(MID(Sync!$AH481,FIND(":",Sync!$AH481)+1,2)),2),"0000"))))</f>
        <v/>
      </c>
    </row>
    <row r="482">
      <c r="A482">
        <f>IF(OR(Calc!$E485="",Calc!$E485="نامعتبر",Calc!$G485="",Calc!$I485&lt;&gt;"خرید"),"",Calc!$G485)</f>
        <v/>
      </c>
      <c r="B482">
        <f>IF($A482="","",LEFT(Calc!$E485,4)&amp;MID(Calc!$E485,6,2)&amp;RIGHT(Calc!$E485,2)&amp;Calc!$R485&amp;"|"&amp;"1"&amp;RIGHT("00000"&amp;477,5))</f>
        <v/>
      </c>
      <c r="C482">
        <f>IF($B482="","",COUNTIFS(LdgPartyA,$A482,LdgKeyA,"&lt;"&amp;$B482)+COUNTIFS(LdgPartyB,$A482,LdgKeyB,"&lt;"&amp;$B482)+1)</f>
        <v/>
      </c>
      <c r="D482">
        <f>IF($C482="","",$A482&amp;"|"&amp;RIGHT("000000"&amp;$C482,6))</f>
        <v/>
      </c>
      <c r="F482">
        <f>IF(Sync!$AJ482="","",Sync!$AJ482)</f>
        <v/>
      </c>
      <c r="G482">
        <f>IF($F482="","",IF(Sync!$AG482="","",IF(ISNUMBER(Sync!$AG482),IF(AND(Sync!$AG482&gt;=10000101,Sync!$AG482&lt;=99991231),INT(Sync!$AG482/10000),""),IFERROR(VALUE(TRIM(LEFT(Sync!$AG482,FIND("/",Sync!$AG482)-1))),""))))</f>
        <v/>
      </c>
      <c r="H482">
        <f>IF(OR($F482="",$G482=""),"",IF(ISNUMBER(Sync!$AG482),INT(MOD(Sync!$AG482,10000)/100),IFERROR(VALUE(TRIM(LEFT(MID(Sync!$AG482,FIND("/",Sync!$AG482)+1,20),FIND("/",MID(Sync!$AG482,FIND("/",Sync!$AG482)+1,20))-1))),"")))</f>
        <v/>
      </c>
      <c r="I482">
        <f>IF(OR($F482="",$G482=""),"",IF(ISNUMBER(Sync!$AG482),MOD(Sync!$AG482,100),IFERROR(VALUE(TRIM(MID(MID(Sync!$AG482,FIND("/",Sync!$AG482)+1,20),FIND("/",MID(Sync!$AG482,FIND("/",Sync!$AG482)+1,20))+1,20))),"")))</f>
        <v/>
      </c>
      <c r="J482">
        <f>IF($F482="","",IF(OR($G482="",$H482="",$I482="",$G482&lt;1300,$G482&gt;1500,$H482&lt;1,$H482&gt;12,$I482&lt;1,$I482&gt;31),"نامعتبر",RIGHT("0000"&amp;$G482,4)&amp;"/"&amp;RIGHT("00"&amp;$H482,2)&amp;"/"&amp;RIGHT("00"&amp;$I482,2)))</f>
        <v/>
      </c>
      <c r="K482">
        <f>IF(OR($F482="",$J482="",$J482="نامعتبر"),"",LEFT($J482,4)&amp;MID($J482,6,2)&amp;RIGHT($J482,2)&amp;$N482&amp;"|"&amp;"2"&amp;RIGHT("00000"&amp;477,5))</f>
        <v/>
      </c>
      <c r="L482">
        <f>IF($K482="","",COUNTIFS(LdgPartyA,$F482,LdgKeyA,"&lt;"&amp;$K482)+COUNTIFS(LdgPartyB,$F482,LdgKeyB,"&lt;"&amp;$K482)+1)</f>
        <v/>
      </c>
      <c r="M482">
        <f>IF($L482="","",$F482&amp;"|"&amp;RIGHT("000000"&amp;$L482,6))</f>
        <v/>
      </c>
      <c r="N482">
        <f>IF($F482="","",IF(Sync!$AH482="","0000",IF(AND(ISNUMBER(Sync!$AH482),Sync!$AH482&gt;=0,Sync!$AH482&lt;1),RIGHT("00"&amp;HOUR(Sync!$AH482),2)&amp;RIGHT("00"&amp;MINUTE(Sync!$AH482),2),IFERROR(RIGHT("00"&amp;VALUE(LEFT(Sync!$AH482,FIND(":",Sync!$AH482)-1)),2)&amp;RIGHT("00"&amp;VALUE(MID(Sync!$AH482,FIND(":",Sync!$AH482)+1,2)),2),"0000"))))</f>
        <v/>
      </c>
    </row>
    <row r="483">
      <c r="A483">
        <f>IF(OR(Calc!$E486="",Calc!$E486="نامعتبر",Calc!$G486="",Calc!$I486&lt;&gt;"خرید"),"",Calc!$G486)</f>
        <v/>
      </c>
      <c r="B483">
        <f>IF($A483="","",LEFT(Calc!$E486,4)&amp;MID(Calc!$E486,6,2)&amp;RIGHT(Calc!$E486,2)&amp;Calc!$R486&amp;"|"&amp;"1"&amp;RIGHT("00000"&amp;478,5))</f>
        <v/>
      </c>
      <c r="C483">
        <f>IF($B483="","",COUNTIFS(LdgPartyA,$A483,LdgKeyA,"&lt;"&amp;$B483)+COUNTIFS(LdgPartyB,$A483,LdgKeyB,"&lt;"&amp;$B483)+1)</f>
        <v/>
      </c>
      <c r="D483">
        <f>IF($C483="","",$A483&amp;"|"&amp;RIGHT("000000"&amp;$C483,6))</f>
        <v/>
      </c>
      <c r="F483">
        <f>IF(Sync!$AJ483="","",Sync!$AJ483)</f>
        <v/>
      </c>
      <c r="G483">
        <f>IF($F483="","",IF(Sync!$AG483="","",IF(ISNUMBER(Sync!$AG483),IF(AND(Sync!$AG483&gt;=10000101,Sync!$AG483&lt;=99991231),INT(Sync!$AG483/10000),""),IFERROR(VALUE(TRIM(LEFT(Sync!$AG483,FIND("/",Sync!$AG483)-1))),""))))</f>
        <v/>
      </c>
      <c r="H483">
        <f>IF(OR($F483="",$G483=""),"",IF(ISNUMBER(Sync!$AG483),INT(MOD(Sync!$AG483,10000)/100),IFERROR(VALUE(TRIM(LEFT(MID(Sync!$AG483,FIND("/",Sync!$AG483)+1,20),FIND("/",MID(Sync!$AG483,FIND("/",Sync!$AG483)+1,20))-1))),"")))</f>
        <v/>
      </c>
      <c r="I483">
        <f>IF(OR($F483="",$G483=""),"",IF(ISNUMBER(Sync!$AG483),MOD(Sync!$AG483,100),IFERROR(VALUE(TRIM(MID(MID(Sync!$AG483,FIND("/",Sync!$AG483)+1,20),FIND("/",MID(Sync!$AG483,FIND("/",Sync!$AG483)+1,20))+1,20))),"")))</f>
        <v/>
      </c>
      <c r="J483">
        <f>IF($F483="","",IF(OR($G483="",$H483="",$I483="",$G483&lt;1300,$G483&gt;1500,$H483&lt;1,$H483&gt;12,$I483&lt;1,$I483&gt;31),"نامعتبر",RIGHT("0000"&amp;$G483,4)&amp;"/"&amp;RIGHT("00"&amp;$H483,2)&amp;"/"&amp;RIGHT("00"&amp;$I483,2)))</f>
        <v/>
      </c>
      <c r="K483">
        <f>IF(OR($F483="",$J483="",$J483="نامعتبر"),"",LEFT($J483,4)&amp;MID($J483,6,2)&amp;RIGHT($J483,2)&amp;$N483&amp;"|"&amp;"2"&amp;RIGHT("00000"&amp;478,5))</f>
        <v/>
      </c>
      <c r="L483">
        <f>IF($K483="","",COUNTIFS(LdgPartyA,$F483,LdgKeyA,"&lt;"&amp;$K483)+COUNTIFS(LdgPartyB,$F483,LdgKeyB,"&lt;"&amp;$K483)+1)</f>
        <v/>
      </c>
      <c r="M483">
        <f>IF($L483="","",$F483&amp;"|"&amp;RIGHT("000000"&amp;$L483,6))</f>
        <v/>
      </c>
      <c r="N483">
        <f>IF($F483="","",IF(Sync!$AH483="","0000",IF(AND(ISNUMBER(Sync!$AH483),Sync!$AH483&gt;=0,Sync!$AH483&lt;1),RIGHT("00"&amp;HOUR(Sync!$AH483),2)&amp;RIGHT("00"&amp;MINUTE(Sync!$AH483),2),IFERROR(RIGHT("00"&amp;VALUE(LEFT(Sync!$AH483,FIND(":",Sync!$AH483)-1)),2)&amp;RIGHT("00"&amp;VALUE(MID(Sync!$AH483,FIND(":",Sync!$AH483)+1,2)),2),"0000"))))</f>
        <v/>
      </c>
    </row>
    <row r="484">
      <c r="A484">
        <f>IF(OR(Calc!$E487="",Calc!$E487="نامعتبر",Calc!$G487="",Calc!$I487&lt;&gt;"خرید"),"",Calc!$G487)</f>
        <v/>
      </c>
      <c r="B484">
        <f>IF($A484="","",LEFT(Calc!$E487,4)&amp;MID(Calc!$E487,6,2)&amp;RIGHT(Calc!$E487,2)&amp;Calc!$R487&amp;"|"&amp;"1"&amp;RIGHT("00000"&amp;479,5))</f>
        <v/>
      </c>
      <c r="C484">
        <f>IF($B484="","",COUNTIFS(LdgPartyA,$A484,LdgKeyA,"&lt;"&amp;$B484)+COUNTIFS(LdgPartyB,$A484,LdgKeyB,"&lt;"&amp;$B484)+1)</f>
        <v/>
      </c>
      <c r="D484">
        <f>IF($C484="","",$A484&amp;"|"&amp;RIGHT("000000"&amp;$C484,6))</f>
        <v/>
      </c>
      <c r="F484">
        <f>IF(Sync!$AJ484="","",Sync!$AJ484)</f>
        <v/>
      </c>
      <c r="G484">
        <f>IF($F484="","",IF(Sync!$AG484="","",IF(ISNUMBER(Sync!$AG484),IF(AND(Sync!$AG484&gt;=10000101,Sync!$AG484&lt;=99991231),INT(Sync!$AG484/10000),""),IFERROR(VALUE(TRIM(LEFT(Sync!$AG484,FIND("/",Sync!$AG484)-1))),""))))</f>
        <v/>
      </c>
      <c r="H484">
        <f>IF(OR($F484="",$G484=""),"",IF(ISNUMBER(Sync!$AG484),INT(MOD(Sync!$AG484,10000)/100),IFERROR(VALUE(TRIM(LEFT(MID(Sync!$AG484,FIND("/",Sync!$AG484)+1,20),FIND("/",MID(Sync!$AG484,FIND("/",Sync!$AG484)+1,20))-1))),"")))</f>
        <v/>
      </c>
      <c r="I484">
        <f>IF(OR($F484="",$G484=""),"",IF(ISNUMBER(Sync!$AG484),MOD(Sync!$AG484,100),IFERROR(VALUE(TRIM(MID(MID(Sync!$AG484,FIND("/",Sync!$AG484)+1,20),FIND("/",MID(Sync!$AG484,FIND("/",Sync!$AG484)+1,20))+1,20))),"")))</f>
        <v/>
      </c>
      <c r="J484">
        <f>IF($F484="","",IF(OR($G484="",$H484="",$I484="",$G484&lt;1300,$G484&gt;1500,$H484&lt;1,$H484&gt;12,$I484&lt;1,$I484&gt;31),"نامعتبر",RIGHT("0000"&amp;$G484,4)&amp;"/"&amp;RIGHT("00"&amp;$H484,2)&amp;"/"&amp;RIGHT("00"&amp;$I484,2)))</f>
        <v/>
      </c>
      <c r="K484">
        <f>IF(OR($F484="",$J484="",$J484="نامعتبر"),"",LEFT($J484,4)&amp;MID($J484,6,2)&amp;RIGHT($J484,2)&amp;$N484&amp;"|"&amp;"2"&amp;RIGHT("00000"&amp;479,5))</f>
        <v/>
      </c>
      <c r="L484">
        <f>IF($K484="","",COUNTIFS(LdgPartyA,$F484,LdgKeyA,"&lt;"&amp;$K484)+COUNTIFS(LdgPartyB,$F484,LdgKeyB,"&lt;"&amp;$K484)+1)</f>
        <v/>
      </c>
      <c r="M484">
        <f>IF($L484="","",$F484&amp;"|"&amp;RIGHT("000000"&amp;$L484,6))</f>
        <v/>
      </c>
      <c r="N484">
        <f>IF($F484="","",IF(Sync!$AH484="","0000",IF(AND(ISNUMBER(Sync!$AH484),Sync!$AH484&gt;=0,Sync!$AH484&lt;1),RIGHT("00"&amp;HOUR(Sync!$AH484),2)&amp;RIGHT("00"&amp;MINUTE(Sync!$AH484),2),IFERROR(RIGHT("00"&amp;VALUE(LEFT(Sync!$AH484,FIND(":",Sync!$AH484)-1)),2)&amp;RIGHT("00"&amp;VALUE(MID(Sync!$AH484,FIND(":",Sync!$AH484)+1,2)),2),"0000"))))</f>
        <v/>
      </c>
    </row>
    <row r="485">
      <c r="A485">
        <f>IF(OR(Calc!$E488="",Calc!$E488="نامعتبر",Calc!$G488="",Calc!$I488&lt;&gt;"خرید"),"",Calc!$G488)</f>
        <v/>
      </c>
      <c r="B485">
        <f>IF($A485="","",LEFT(Calc!$E488,4)&amp;MID(Calc!$E488,6,2)&amp;RIGHT(Calc!$E488,2)&amp;Calc!$R488&amp;"|"&amp;"1"&amp;RIGHT("00000"&amp;480,5))</f>
        <v/>
      </c>
      <c r="C485">
        <f>IF($B485="","",COUNTIFS(LdgPartyA,$A485,LdgKeyA,"&lt;"&amp;$B485)+COUNTIFS(LdgPartyB,$A485,LdgKeyB,"&lt;"&amp;$B485)+1)</f>
        <v/>
      </c>
      <c r="D485">
        <f>IF($C485="","",$A485&amp;"|"&amp;RIGHT("000000"&amp;$C485,6))</f>
        <v/>
      </c>
      <c r="F485">
        <f>IF(Sync!$AJ485="","",Sync!$AJ485)</f>
        <v/>
      </c>
      <c r="G485">
        <f>IF($F485="","",IF(Sync!$AG485="","",IF(ISNUMBER(Sync!$AG485),IF(AND(Sync!$AG485&gt;=10000101,Sync!$AG485&lt;=99991231),INT(Sync!$AG485/10000),""),IFERROR(VALUE(TRIM(LEFT(Sync!$AG485,FIND("/",Sync!$AG485)-1))),""))))</f>
        <v/>
      </c>
      <c r="H485">
        <f>IF(OR($F485="",$G485=""),"",IF(ISNUMBER(Sync!$AG485),INT(MOD(Sync!$AG485,10000)/100),IFERROR(VALUE(TRIM(LEFT(MID(Sync!$AG485,FIND("/",Sync!$AG485)+1,20),FIND("/",MID(Sync!$AG485,FIND("/",Sync!$AG485)+1,20))-1))),"")))</f>
        <v/>
      </c>
      <c r="I485">
        <f>IF(OR($F485="",$G485=""),"",IF(ISNUMBER(Sync!$AG485),MOD(Sync!$AG485,100),IFERROR(VALUE(TRIM(MID(MID(Sync!$AG485,FIND("/",Sync!$AG485)+1,20),FIND("/",MID(Sync!$AG485,FIND("/",Sync!$AG485)+1,20))+1,20))),"")))</f>
        <v/>
      </c>
      <c r="J485">
        <f>IF($F485="","",IF(OR($G485="",$H485="",$I485="",$G485&lt;1300,$G485&gt;1500,$H485&lt;1,$H485&gt;12,$I485&lt;1,$I485&gt;31),"نامعتبر",RIGHT("0000"&amp;$G485,4)&amp;"/"&amp;RIGHT("00"&amp;$H485,2)&amp;"/"&amp;RIGHT("00"&amp;$I485,2)))</f>
        <v/>
      </c>
      <c r="K485">
        <f>IF(OR($F485="",$J485="",$J485="نامعتبر"),"",LEFT($J485,4)&amp;MID($J485,6,2)&amp;RIGHT($J485,2)&amp;$N485&amp;"|"&amp;"2"&amp;RIGHT("00000"&amp;480,5))</f>
        <v/>
      </c>
      <c r="L485">
        <f>IF($K485="","",COUNTIFS(LdgPartyA,$F485,LdgKeyA,"&lt;"&amp;$K485)+COUNTIFS(LdgPartyB,$F485,LdgKeyB,"&lt;"&amp;$K485)+1)</f>
        <v/>
      </c>
      <c r="M485">
        <f>IF($L485="","",$F485&amp;"|"&amp;RIGHT("000000"&amp;$L485,6))</f>
        <v/>
      </c>
      <c r="N485">
        <f>IF($F485="","",IF(Sync!$AH485="","0000",IF(AND(ISNUMBER(Sync!$AH485),Sync!$AH485&gt;=0,Sync!$AH485&lt;1),RIGHT("00"&amp;HOUR(Sync!$AH485),2)&amp;RIGHT("00"&amp;MINUTE(Sync!$AH485),2),IFERROR(RIGHT("00"&amp;VALUE(LEFT(Sync!$AH485,FIND(":",Sync!$AH485)-1)),2)&amp;RIGHT("00"&amp;VALUE(MID(Sync!$AH485,FIND(":",Sync!$AH485)+1,2)),2),"0000"))))</f>
        <v/>
      </c>
    </row>
    <row r="486">
      <c r="A486">
        <f>IF(OR(Calc!$E489="",Calc!$E489="نامعتبر",Calc!$G489="",Calc!$I489&lt;&gt;"خرید"),"",Calc!$G489)</f>
        <v/>
      </c>
      <c r="B486">
        <f>IF($A486="","",LEFT(Calc!$E489,4)&amp;MID(Calc!$E489,6,2)&amp;RIGHT(Calc!$E489,2)&amp;Calc!$R489&amp;"|"&amp;"1"&amp;RIGHT("00000"&amp;481,5))</f>
        <v/>
      </c>
      <c r="C486">
        <f>IF($B486="","",COUNTIFS(LdgPartyA,$A486,LdgKeyA,"&lt;"&amp;$B486)+COUNTIFS(LdgPartyB,$A486,LdgKeyB,"&lt;"&amp;$B486)+1)</f>
        <v/>
      </c>
      <c r="D486">
        <f>IF($C486="","",$A486&amp;"|"&amp;RIGHT("000000"&amp;$C486,6))</f>
        <v/>
      </c>
      <c r="F486">
        <f>IF(Sync!$AJ486="","",Sync!$AJ486)</f>
        <v/>
      </c>
      <c r="G486">
        <f>IF($F486="","",IF(Sync!$AG486="","",IF(ISNUMBER(Sync!$AG486),IF(AND(Sync!$AG486&gt;=10000101,Sync!$AG486&lt;=99991231),INT(Sync!$AG486/10000),""),IFERROR(VALUE(TRIM(LEFT(Sync!$AG486,FIND("/",Sync!$AG486)-1))),""))))</f>
        <v/>
      </c>
      <c r="H486">
        <f>IF(OR($F486="",$G486=""),"",IF(ISNUMBER(Sync!$AG486),INT(MOD(Sync!$AG486,10000)/100),IFERROR(VALUE(TRIM(LEFT(MID(Sync!$AG486,FIND("/",Sync!$AG486)+1,20),FIND("/",MID(Sync!$AG486,FIND("/",Sync!$AG486)+1,20))-1))),"")))</f>
        <v/>
      </c>
      <c r="I486">
        <f>IF(OR($F486="",$G486=""),"",IF(ISNUMBER(Sync!$AG486),MOD(Sync!$AG486,100),IFERROR(VALUE(TRIM(MID(MID(Sync!$AG486,FIND("/",Sync!$AG486)+1,20),FIND("/",MID(Sync!$AG486,FIND("/",Sync!$AG486)+1,20))+1,20))),"")))</f>
        <v/>
      </c>
      <c r="J486">
        <f>IF($F486="","",IF(OR($G486="",$H486="",$I486="",$G486&lt;1300,$G486&gt;1500,$H486&lt;1,$H486&gt;12,$I486&lt;1,$I486&gt;31),"نامعتبر",RIGHT("0000"&amp;$G486,4)&amp;"/"&amp;RIGHT("00"&amp;$H486,2)&amp;"/"&amp;RIGHT("00"&amp;$I486,2)))</f>
        <v/>
      </c>
      <c r="K486">
        <f>IF(OR($F486="",$J486="",$J486="نامعتبر"),"",LEFT($J486,4)&amp;MID($J486,6,2)&amp;RIGHT($J486,2)&amp;$N486&amp;"|"&amp;"2"&amp;RIGHT("00000"&amp;481,5))</f>
        <v/>
      </c>
      <c r="L486">
        <f>IF($K486="","",COUNTIFS(LdgPartyA,$F486,LdgKeyA,"&lt;"&amp;$K486)+COUNTIFS(LdgPartyB,$F486,LdgKeyB,"&lt;"&amp;$K486)+1)</f>
        <v/>
      </c>
      <c r="M486">
        <f>IF($L486="","",$F486&amp;"|"&amp;RIGHT("000000"&amp;$L486,6))</f>
        <v/>
      </c>
      <c r="N486">
        <f>IF($F486="","",IF(Sync!$AH486="","0000",IF(AND(ISNUMBER(Sync!$AH486),Sync!$AH486&gt;=0,Sync!$AH486&lt;1),RIGHT("00"&amp;HOUR(Sync!$AH486),2)&amp;RIGHT("00"&amp;MINUTE(Sync!$AH486),2),IFERROR(RIGHT("00"&amp;VALUE(LEFT(Sync!$AH486,FIND(":",Sync!$AH486)-1)),2)&amp;RIGHT("00"&amp;VALUE(MID(Sync!$AH486,FIND(":",Sync!$AH486)+1,2)),2),"0000"))))</f>
        <v/>
      </c>
    </row>
    <row r="487">
      <c r="A487">
        <f>IF(OR(Calc!$E490="",Calc!$E490="نامعتبر",Calc!$G490="",Calc!$I490&lt;&gt;"خرید"),"",Calc!$G490)</f>
        <v/>
      </c>
      <c r="B487">
        <f>IF($A487="","",LEFT(Calc!$E490,4)&amp;MID(Calc!$E490,6,2)&amp;RIGHT(Calc!$E490,2)&amp;Calc!$R490&amp;"|"&amp;"1"&amp;RIGHT("00000"&amp;482,5))</f>
        <v/>
      </c>
      <c r="C487">
        <f>IF($B487="","",COUNTIFS(LdgPartyA,$A487,LdgKeyA,"&lt;"&amp;$B487)+COUNTIFS(LdgPartyB,$A487,LdgKeyB,"&lt;"&amp;$B487)+1)</f>
        <v/>
      </c>
      <c r="D487">
        <f>IF($C487="","",$A487&amp;"|"&amp;RIGHT("000000"&amp;$C487,6))</f>
        <v/>
      </c>
      <c r="F487">
        <f>IF(Sync!$AJ487="","",Sync!$AJ487)</f>
        <v/>
      </c>
      <c r="G487">
        <f>IF($F487="","",IF(Sync!$AG487="","",IF(ISNUMBER(Sync!$AG487),IF(AND(Sync!$AG487&gt;=10000101,Sync!$AG487&lt;=99991231),INT(Sync!$AG487/10000),""),IFERROR(VALUE(TRIM(LEFT(Sync!$AG487,FIND("/",Sync!$AG487)-1))),""))))</f>
        <v/>
      </c>
      <c r="H487">
        <f>IF(OR($F487="",$G487=""),"",IF(ISNUMBER(Sync!$AG487),INT(MOD(Sync!$AG487,10000)/100),IFERROR(VALUE(TRIM(LEFT(MID(Sync!$AG487,FIND("/",Sync!$AG487)+1,20),FIND("/",MID(Sync!$AG487,FIND("/",Sync!$AG487)+1,20))-1))),"")))</f>
        <v/>
      </c>
      <c r="I487">
        <f>IF(OR($F487="",$G487=""),"",IF(ISNUMBER(Sync!$AG487),MOD(Sync!$AG487,100),IFERROR(VALUE(TRIM(MID(MID(Sync!$AG487,FIND("/",Sync!$AG487)+1,20),FIND("/",MID(Sync!$AG487,FIND("/",Sync!$AG487)+1,20))+1,20))),"")))</f>
        <v/>
      </c>
      <c r="J487">
        <f>IF($F487="","",IF(OR($G487="",$H487="",$I487="",$G487&lt;1300,$G487&gt;1500,$H487&lt;1,$H487&gt;12,$I487&lt;1,$I487&gt;31),"نامعتبر",RIGHT("0000"&amp;$G487,4)&amp;"/"&amp;RIGHT("00"&amp;$H487,2)&amp;"/"&amp;RIGHT("00"&amp;$I487,2)))</f>
        <v/>
      </c>
      <c r="K487">
        <f>IF(OR($F487="",$J487="",$J487="نامعتبر"),"",LEFT($J487,4)&amp;MID($J487,6,2)&amp;RIGHT($J487,2)&amp;$N487&amp;"|"&amp;"2"&amp;RIGHT("00000"&amp;482,5))</f>
        <v/>
      </c>
      <c r="L487">
        <f>IF($K487="","",COUNTIFS(LdgPartyA,$F487,LdgKeyA,"&lt;"&amp;$K487)+COUNTIFS(LdgPartyB,$F487,LdgKeyB,"&lt;"&amp;$K487)+1)</f>
        <v/>
      </c>
      <c r="M487">
        <f>IF($L487="","",$F487&amp;"|"&amp;RIGHT("000000"&amp;$L487,6))</f>
        <v/>
      </c>
      <c r="N487">
        <f>IF($F487="","",IF(Sync!$AH487="","0000",IF(AND(ISNUMBER(Sync!$AH487),Sync!$AH487&gt;=0,Sync!$AH487&lt;1),RIGHT("00"&amp;HOUR(Sync!$AH487),2)&amp;RIGHT("00"&amp;MINUTE(Sync!$AH487),2),IFERROR(RIGHT("00"&amp;VALUE(LEFT(Sync!$AH487,FIND(":",Sync!$AH487)-1)),2)&amp;RIGHT("00"&amp;VALUE(MID(Sync!$AH487,FIND(":",Sync!$AH487)+1,2)),2),"0000"))))</f>
        <v/>
      </c>
    </row>
    <row r="488">
      <c r="A488">
        <f>IF(OR(Calc!$E491="",Calc!$E491="نامعتبر",Calc!$G491="",Calc!$I491&lt;&gt;"خرید"),"",Calc!$G491)</f>
        <v/>
      </c>
      <c r="B488">
        <f>IF($A488="","",LEFT(Calc!$E491,4)&amp;MID(Calc!$E491,6,2)&amp;RIGHT(Calc!$E491,2)&amp;Calc!$R491&amp;"|"&amp;"1"&amp;RIGHT("00000"&amp;483,5))</f>
        <v/>
      </c>
      <c r="C488">
        <f>IF($B488="","",COUNTIFS(LdgPartyA,$A488,LdgKeyA,"&lt;"&amp;$B488)+COUNTIFS(LdgPartyB,$A488,LdgKeyB,"&lt;"&amp;$B488)+1)</f>
        <v/>
      </c>
      <c r="D488">
        <f>IF($C488="","",$A488&amp;"|"&amp;RIGHT("000000"&amp;$C488,6))</f>
        <v/>
      </c>
      <c r="F488">
        <f>IF(Sync!$AJ488="","",Sync!$AJ488)</f>
        <v/>
      </c>
      <c r="G488">
        <f>IF($F488="","",IF(Sync!$AG488="","",IF(ISNUMBER(Sync!$AG488),IF(AND(Sync!$AG488&gt;=10000101,Sync!$AG488&lt;=99991231),INT(Sync!$AG488/10000),""),IFERROR(VALUE(TRIM(LEFT(Sync!$AG488,FIND("/",Sync!$AG488)-1))),""))))</f>
        <v/>
      </c>
      <c r="H488">
        <f>IF(OR($F488="",$G488=""),"",IF(ISNUMBER(Sync!$AG488),INT(MOD(Sync!$AG488,10000)/100),IFERROR(VALUE(TRIM(LEFT(MID(Sync!$AG488,FIND("/",Sync!$AG488)+1,20),FIND("/",MID(Sync!$AG488,FIND("/",Sync!$AG488)+1,20))-1))),"")))</f>
        <v/>
      </c>
      <c r="I488">
        <f>IF(OR($F488="",$G488=""),"",IF(ISNUMBER(Sync!$AG488),MOD(Sync!$AG488,100),IFERROR(VALUE(TRIM(MID(MID(Sync!$AG488,FIND("/",Sync!$AG488)+1,20),FIND("/",MID(Sync!$AG488,FIND("/",Sync!$AG488)+1,20))+1,20))),"")))</f>
        <v/>
      </c>
      <c r="J488">
        <f>IF($F488="","",IF(OR($G488="",$H488="",$I488="",$G488&lt;1300,$G488&gt;1500,$H488&lt;1,$H488&gt;12,$I488&lt;1,$I488&gt;31),"نامعتبر",RIGHT("0000"&amp;$G488,4)&amp;"/"&amp;RIGHT("00"&amp;$H488,2)&amp;"/"&amp;RIGHT("00"&amp;$I488,2)))</f>
        <v/>
      </c>
      <c r="K488">
        <f>IF(OR($F488="",$J488="",$J488="نامعتبر"),"",LEFT($J488,4)&amp;MID($J488,6,2)&amp;RIGHT($J488,2)&amp;$N488&amp;"|"&amp;"2"&amp;RIGHT("00000"&amp;483,5))</f>
        <v/>
      </c>
      <c r="L488">
        <f>IF($K488="","",COUNTIFS(LdgPartyA,$F488,LdgKeyA,"&lt;"&amp;$K488)+COUNTIFS(LdgPartyB,$F488,LdgKeyB,"&lt;"&amp;$K488)+1)</f>
        <v/>
      </c>
      <c r="M488">
        <f>IF($L488="","",$F488&amp;"|"&amp;RIGHT("000000"&amp;$L488,6))</f>
        <v/>
      </c>
      <c r="N488">
        <f>IF($F488="","",IF(Sync!$AH488="","0000",IF(AND(ISNUMBER(Sync!$AH488),Sync!$AH488&gt;=0,Sync!$AH488&lt;1),RIGHT("00"&amp;HOUR(Sync!$AH488),2)&amp;RIGHT("00"&amp;MINUTE(Sync!$AH488),2),IFERROR(RIGHT("00"&amp;VALUE(LEFT(Sync!$AH488,FIND(":",Sync!$AH488)-1)),2)&amp;RIGHT("00"&amp;VALUE(MID(Sync!$AH488,FIND(":",Sync!$AH488)+1,2)),2),"0000"))))</f>
        <v/>
      </c>
    </row>
    <row r="489">
      <c r="A489">
        <f>IF(OR(Calc!$E492="",Calc!$E492="نامعتبر",Calc!$G492="",Calc!$I492&lt;&gt;"خرید"),"",Calc!$G492)</f>
        <v/>
      </c>
      <c r="B489">
        <f>IF($A489="","",LEFT(Calc!$E492,4)&amp;MID(Calc!$E492,6,2)&amp;RIGHT(Calc!$E492,2)&amp;Calc!$R492&amp;"|"&amp;"1"&amp;RIGHT("00000"&amp;484,5))</f>
        <v/>
      </c>
      <c r="C489">
        <f>IF($B489="","",COUNTIFS(LdgPartyA,$A489,LdgKeyA,"&lt;"&amp;$B489)+COUNTIFS(LdgPartyB,$A489,LdgKeyB,"&lt;"&amp;$B489)+1)</f>
        <v/>
      </c>
      <c r="D489">
        <f>IF($C489="","",$A489&amp;"|"&amp;RIGHT("000000"&amp;$C489,6))</f>
        <v/>
      </c>
      <c r="F489">
        <f>IF(Sync!$AJ489="","",Sync!$AJ489)</f>
        <v/>
      </c>
      <c r="G489">
        <f>IF($F489="","",IF(Sync!$AG489="","",IF(ISNUMBER(Sync!$AG489),IF(AND(Sync!$AG489&gt;=10000101,Sync!$AG489&lt;=99991231),INT(Sync!$AG489/10000),""),IFERROR(VALUE(TRIM(LEFT(Sync!$AG489,FIND("/",Sync!$AG489)-1))),""))))</f>
        <v/>
      </c>
      <c r="H489">
        <f>IF(OR($F489="",$G489=""),"",IF(ISNUMBER(Sync!$AG489),INT(MOD(Sync!$AG489,10000)/100),IFERROR(VALUE(TRIM(LEFT(MID(Sync!$AG489,FIND("/",Sync!$AG489)+1,20),FIND("/",MID(Sync!$AG489,FIND("/",Sync!$AG489)+1,20))-1))),"")))</f>
        <v/>
      </c>
      <c r="I489">
        <f>IF(OR($F489="",$G489=""),"",IF(ISNUMBER(Sync!$AG489),MOD(Sync!$AG489,100),IFERROR(VALUE(TRIM(MID(MID(Sync!$AG489,FIND("/",Sync!$AG489)+1,20),FIND("/",MID(Sync!$AG489,FIND("/",Sync!$AG489)+1,20))+1,20))),"")))</f>
        <v/>
      </c>
      <c r="J489">
        <f>IF($F489="","",IF(OR($G489="",$H489="",$I489="",$G489&lt;1300,$G489&gt;1500,$H489&lt;1,$H489&gt;12,$I489&lt;1,$I489&gt;31),"نامعتبر",RIGHT("0000"&amp;$G489,4)&amp;"/"&amp;RIGHT("00"&amp;$H489,2)&amp;"/"&amp;RIGHT("00"&amp;$I489,2)))</f>
        <v/>
      </c>
      <c r="K489">
        <f>IF(OR($F489="",$J489="",$J489="نامعتبر"),"",LEFT($J489,4)&amp;MID($J489,6,2)&amp;RIGHT($J489,2)&amp;$N489&amp;"|"&amp;"2"&amp;RIGHT("00000"&amp;484,5))</f>
        <v/>
      </c>
      <c r="L489">
        <f>IF($K489="","",COUNTIFS(LdgPartyA,$F489,LdgKeyA,"&lt;"&amp;$K489)+COUNTIFS(LdgPartyB,$F489,LdgKeyB,"&lt;"&amp;$K489)+1)</f>
        <v/>
      </c>
      <c r="M489">
        <f>IF($L489="","",$F489&amp;"|"&amp;RIGHT("000000"&amp;$L489,6))</f>
        <v/>
      </c>
      <c r="N489">
        <f>IF($F489="","",IF(Sync!$AH489="","0000",IF(AND(ISNUMBER(Sync!$AH489),Sync!$AH489&gt;=0,Sync!$AH489&lt;1),RIGHT("00"&amp;HOUR(Sync!$AH489),2)&amp;RIGHT("00"&amp;MINUTE(Sync!$AH489),2),IFERROR(RIGHT("00"&amp;VALUE(LEFT(Sync!$AH489,FIND(":",Sync!$AH489)-1)),2)&amp;RIGHT("00"&amp;VALUE(MID(Sync!$AH489,FIND(":",Sync!$AH489)+1,2)),2),"0000"))))</f>
        <v/>
      </c>
    </row>
    <row r="490">
      <c r="A490">
        <f>IF(OR(Calc!$E493="",Calc!$E493="نامعتبر",Calc!$G493="",Calc!$I493&lt;&gt;"خرید"),"",Calc!$G493)</f>
        <v/>
      </c>
      <c r="B490">
        <f>IF($A490="","",LEFT(Calc!$E493,4)&amp;MID(Calc!$E493,6,2)&amp;RIGHT(Calc!$E493,2)&amp;Calc!$R493&amp;"|"&amp;"1"&amp;RIGHT("00000"&amp;485,5))</f>
        <v/>
      </c>
      <c r="C490">
        <f>IF($B490="","",COUNTIFS(LdgPartyA,$A490,LdgKeyA,"&lt;"&amp;$B490)+COUNTIFS(LdgPartyB,$A490,LdgKeyB,"&lt;"&amp;$B490)+1)</f>
        <v/>
      </c>
      <c r="D490">
        <f>IF($C490="","",$A490&amp;"|"&amp;RIGHT("000000"&amp;$C490,6))</f>
        <v/>
      </c>
      <c r="F490">
        <f>IF(Sync!$AJ490="","",Sync!$AJ490)</f>
        <v/>
      </c>
      <c r="G490">
        <f>IF($F490="","",IF(Sync!$AG490="","",IF(ISNUMBER(Sync!$AG490),IF(AND(Sync!$AG490&gt;=10000101,Sync!$AG490&lt;=99991231),INT(Sync!$AG490/10000),""),IFERROR(VALUE(TRIM(LEFT(Sync!$AG490,FIND("/",Sync!$AG490)-1))),""))))</f>
        <v/>
      </c>
      <c r="H490">
        <f>IF(OR($F490="",$G490=""),"",IF(ISNUMBER(Sync!$AG490),INT(MOD(Sync!$AG490,10000)/100),IFERROR(VALUE(TRIM(LEFT(MID(Sync!$AG490,FIND("/",Sync!$AG490)+1,20),FIND("/",MID(Sync!$AG490,FIND("/",Sync!$AG490)+1,20))-1))),"")))</f>
        <v/>
      </c>
      <c r="I490">
        <f>IF(OR($F490="",$G490=""),"",IF(ISNUMBER(Sync!$AG490),MOD(Sync!$AG490,100),IFERROR(VALUE(TRIM(MID(MID(Sync!$AG490,FIND("/",Sync!$AG490)+1,20),FIND("/",MID(Sync!$AG490,FIND("/",Sync!$AG490)+1,20))+1,20))),"")))</f>
        <v/>
      </c>
      <c r="J490">
        <f>IF($F490="","",IF(OR($G490="",$H490="",$I490="",$G490&lt;1300,$G490&gt;1500,$H490&lt;1,$H490&gt;12,$I490&lt;1,$I490&gt;31),"نامعتبر",RIGHT("0000"&amp;$G490,4)&amp;"/"&amp;RIGHT("00"&amp;$H490,2)&amp;"/"&amp;RIGHT("00"&amp;$I490,2)))</f>
        <v/>
      </c>
      <c r="K490">
        <f>IF(OR($F490="",$J490="",$J490="نامعتبر"),"",LEFT($J490,4)&amp;MID($J490,6,2)&amp;RIGHT($J490,2)&amp;$N490&amp;"|"&amp;"2"&amp;RIGHT("00000"&amp;485,5))</f>
        <v/>
      </c>
      <c r="L490">
        <f>IF($K490="","",COUNTIFS(LdgPartyA,$F490,LdgKeyA,"&lt;"&amp;$K490)+COUNTIFS(LdgPartyB,$F490,LdgKeyB,"&lt;"&amp;$K490)+1)</f>
        <v/>
      </c>
      <c r="M490">
        <f>IF($L490="","",$F490&amp;"|"&amp;RIGHT("000000"&amp;$L490,6))</f>
        <v/>
      </c>
      <c r="N490">
        <f>IF($F490="","",IF(Sync!$AH490="","0000",IF(AND(ISNUMBER(Sync!$AH490),Sync!$AH490&gt;=0,Sync!$AH490&lt;1),RIGHT("00"&amp;HOUR(Sync!$AH490),2)&amp;RIGHT("00"&amp;MINUTE(Sync!$AH490),2),IFERROR(RIGHT("00"&amp;VALUE(LEFT(Sync!$AH490,FIND(":",Sync!$AH490)-1)),2)&amp;RIGHT("00"&amp;VALUE(MID(Sync!$AH490,FIND(":",Sync!$AH490)+1,2)),2),"0000"))))</f>
        <v/>
      </c>
    </row>
    <row r="491">
      <c r="A491">
        <f>IF(OR(Calc!$E494="",Calc!$E494="نامعتبر",Calc!$G494="",Calc!$I494&lt;&gt;"خرید"),"",Calc!$G494)</f>
        <v/>
      </c>
      <c r="B491">
        <f>IF($A491="","",LEFT(Calc!$E494,4)&amp;MID(Calc!$E494,6,2)&amp;RIGHT(Calc!$E494,2)&amp;Calc!$R494&amp;"|"&amp;"1"&amp;RIGHT("00000"&amp;486,5))</f>
        <v/>
      </c>
      <c r="C491">
        <f>IF($B491="","",COUNTIFS(LdgPartyA,$A491,LdgKeyA,"&lt;"&amp;$B491)+COUNTIFS(LdgPartyB,$A491,LdgKeyB,"&lt;"&amp;$B491)+1)</f>
        <v/>
      </c>
      <c r="D491">
        <f>IF($C491="","",$A491&amp;"|"&amp;RIGHT("000000"&amp;$C491,6))</f>
        <v/>
      </c>
      <c r="F491">
        <f>IF(Sync!$AJ491="","",Sync!$AJ491)</f>
        <v/>
      </c>
      <c r="G491">
        <f>IF($F491="","",IF(Sync!$AG491="","",IF(ISNUMBER(Sync!$AG491),IF(AND(Sync!$AG491&gt;=10000101,Sync!$AG491&lt;=99991231),INT(Sync!$AG491/10000),""),IFERROR(VALUE(TRIM(LEFT(Sync!$AG491,FIND("/",Sync!$AG491)-1))),""))))</f>
        <v/>
      </c>
      <c r="H491">
        <f>IF(OR($F491="",$G491=""),"",IF(ISNUMBER(Sync!$AG491),INT(MOD(Sync!$AG491,10000)/100),IFERROR(VALUE(TRIM(LEFT(MID(Sync!$AG491,FIND("/",Sync!$AG491)+1,20),FIND("/",MID(Sync!$AG491,FIND("/",Sync!$AG491)+1,20))-1))),"")))</f>
        <v/>
      </c>
      <c r="I491">
        <f>IF(OR($F491="",$G491=""),"",IF(ISNUMBER(Sync!$AG491),MOD(Sync!$AG491,100),IFERROR(VALUE(TRIM(MID(MID(Sync!$AG491,FIND("/",Sync!$AG491)+1,20),FIND("/",MID(Sync!$AG491,FIND("/",Sync!$AG491)+1,20))+1,20))),"")))</f>
        <v/>
      </c>
      <c r="J491">
        <f>IF($F491="","",IF(OR($G491="",$H491="",$I491="",$G491&lt;1300,$G491&gt;1500,$H491&lt;1,$H491&gt;12,$I491&lt;1,$I491&gt;31),"نامعتبر",RIGHT("0000"&amp;$G491,4)&amp;"/"&amp;RIGHT("00"&amp;$H491,2)&amp;"/"&amp;RIGHT("00"&amp;$I491,2)))</f>
        <v/>
      </c>
      <c r="K491">
        <f>IF(OR($F491="",$J491="",$J491="نامعتبر"),"",LEFT($J491,4)&amp;MID($J491,6,2)&amp;RIGHT($J491,2)&amp;$N491&amp;"|"&amp;"2"&amp;RIGHT("00000"&amp;486,5))</f>
        <v/>
      </c>
      <c r="L491">
        <f>IF($K491="","",COUNTIFS(LdgPartyA,$F491,LdgKeyA,"&lt;"&amp;$K491)+COUNTIFS(LdgPartyB,$F491,LdgKeyB,"&lt;"&amp;$K491)+1)</f>
        <v/>
      </c>
      <c r="M491">
        <f>IF($L491="","",$F491&amp;"|"&amp;RIGHT("000000"&amp;$L491,6))</f>
        <v/>
      </c>
      <c r="N491">
        <f>IF($F491="","",IF(Sync!$AH491="","0000",IF(AND(ISNUMBER(Sync!$AH491),Sync!$AH491&gt;=0,Sync!$AH491&lt;1),RIGHT("00"&amp;HOUR(Sync!$AH491),2)&amp;RIGHT("00"&amp;MINUTE(Sync!$AH491),2),IFERROR(RIGHT("00"&amp;VALUE(LEFT(Sync!$AH491,FIND(":",Sync!$AH491)-1)),2)&amp;RIGHT("00"&amp;VALUE(MID(Sync!$AH491,FIND(":",Sync!$AH491)+1,2)),2),"0000"))))</f>
        <v/>
      </c>
    </row>
    <row r="492">
      <c r="A492">
        <f>IF(OR(Calc!$E495="",Calc!$E495="نامعتبر",Calc!$G495="",Calc!$I495&lt;&gt;"خرید"),"",Calc!$G495)</f>
        <v/>
      </c>
      <c r="B492">
        <f>IF($A492="","",LEFT(Calc!$E495,4)&amp;MID(Calc!$E495,6,2)&amp;RIGHT(Calc!$E495,2)&amp;Calc!$R495&amp;"|"&amp;"1"&amp;RIGHT("00000"&amp;487,5))</f>
        <v/>
      </c>
      <c r="C492">
        <f>IF($B492="","",COUNTIFS(LdgPartyA,$A492,LdgKeyA,"&lt;"&amp;$B492)+COUNTIFS(LdgPartyB,$A492,LdgKeyB,"&lt;"&amp;$B492)+1)</f>
        <v/>
      </c>
      <c r="D492">
        <f>IF($C492="","",$A492&amp;"|"&amp;RIGHT("000000"&amp;$C492,6))</f>
        <v/>
      </c>
      <c r="F492">
        <f>IF(Sync!$AJ492="","",Sync!$AJ492)</f>
        <v/>
      </c>
      <c r="G492">
        <f>IF($F492="","",IF(Sync!$AG492="","",IF(ISNUMBER(Sync!$AG492),IF(AND(Sync!$AG492&gt;=10000101,Sync!$AG492&lt;=99991231),INT(Sync!$AG492/10000),""),IFERROR(VALUE(TRIM(LEFT(Sync!$AG492,FIND("/",Sync!$AG492)-1))),""))))</f>
        <v/>
      </c>
      <c r="H492">
        <f>IF(OR($F492="",$G492=""),"",IF(ISNUMBER(Sync!$AG492),INT(MOD(Sync!$AG492,10000)/100),IFERROR(VALUE(TRIM(LEFT(MID(Sync!$AG492,FIND("/",Sync!$AG492)+1,20),FIND("/",MID(Sync!$AG492,FIND("/",Sync!$AG492)+1,20))-1))),"")))</f>
        <v/>
      </c>
      <c r="I492">
        <f>IF(OR($F492="",$G492=""),"",IF(ISNUMBER(Sync!$AG492),MOD(Sync!$AG492,100),IFERROR(VALUE(TRIM(MID(MID(Sync!$AG492,FIND("/",Sync!$AG492)+1,20),FIND("/",MID(Sync!$AG492,FIND("/",Sync!$AG492)+1,20))+1,20))),"")))</f>
        <v/>
      </c>
      <c r="J492">
        <f>IF($F492="","",IF(OR($G492="",$H492="",$I492="",$G492&lt;1300,$G492&gt;1500,$H492&lt;1,$H492&gt;12,$I492&lt;1,$I492&gt;31),"نامعتبر",RIGHT("0000"&amp;$G492,4)&amp;"/"&amp;RIGHT("00"&amp;$H492,2)&amp;"/"&amp;RIGHT("00"&amp;$I492,2)))</f>
        <v/>
      </c>
      <c r="K492">
        <f>IF(OR($F492="",$J492="",$J492="نامعتبر"),"",LEFT($J492,4)&amp;MID($J492,6,2)&amp;RIGHT($J492,2)&amp;$N492&amp;"|"&amp;"2"&amp;RIGHT("00000"&amp;487,5))</f>
        <v/>
      </c>
      <c r="L492">
        <f>IF($K492="","",COUNTIFS(LdgPartyA,$F492,LdgKeyA,"&lt;"&amp;$K492)+COUNTIFS(LdgPartyB,$F492,LdgKeyB,"&lt;"&amp;$K492)+1)</f>
        <v/>
      </c>
      <c r="M492">
        <f>IF($L492="","",$F492&amp;"|"&amp;RIGHT("000000"&amp;$L492,6))</f>
        <v/>
      </c>
      <c r="N492">
        <f>IF($F492="","",IF(Sync!$AH492="","0000",IF(AND(ISNUMBER(Sync!$AH492),Sync!$AH492&gt;=0,Sync!$AH492&lt;1),RIGHT("00"&amp;HOUR(Sync!$AH492),2)&amp;RIGHT("00"&amp;MINUTE(Sync!$AH492),2),IFERROR(RIGHT("00"&amp;VALUE(LEFT(Sync!$AH492,FIND(":",Sync!$AH492)-1)),2)&amp;RIGHT("00"&amp;VALUE(MID(Sync!$AH492,FIND(":",Sync!$AH492)+1,2)),2),"0000"))))</f>
        <v/>
      </c>
    </row>
    <row r="493">
      <c r="A493">
        <f>IF(OR(Calc!$E496="",Calc!$E496="نامعتبر",Calc!$G496="",Calc!$I496&lt;&gt;"خرید"),"",Calc!$G496)</f>
        <v/>
      </c>
      <c r="B493">
        <f>IF($A493="","",LEFT(Calc!$E496,4)&amp;MID(Calc!$E496,6,2)&amp;RIGHT(Calc!$E496,2)&amp;Calc!$R496&amp;"|"&amp;"1"&amp;RIGHT("00000"&amp;488,5))</f>
        <v/>
      </c>
      <c r="C493">
        <f>IF($B493="","",COUNTIFS(LdgPartyA,$A493,LdgKeyA,"&lt;"&amp;$B493)+COUNTIFS(LdgPartyB,$A493,LdgKeyB,"&lt;"&amp;$B493)+1)</f>
        <v/>
      </c>
      <c r="D493">
        <f>IF($C493="","",$A493&amp;"|"&amp;RIGHT("000000"&amp;$C493,6))</f>
        <v/>
      </c>
      <c r="F493">
        <f>IF(Sync!$AJ493="","",Sync!$AJ493)</f>
        <v/>
      </c>
      <c r="G493">
        <f>IF($F493="","",IF(Sync!$AG493="","",IF(ISNUMBER(Sync!$AG493),IF(AND(Sync!$AG493&gt;=10000101,Sync!$AG493&lt;=99991231),INT(Sync!$AG493/10000),""),IFERROR(VALUE(TRIM(LEFT(Sync!$AG493,FIND("/",Sync!$AG493)-1))),""))))</f>
        <v/>
      </c>
      <c r="H493">
        <f>IF(OR($F493="",$G493=""),"",IF(ISNUMBER(Sync!$AG493),INT(MOD(Sync!$AG493,10000)/100),IFERROR(VALUE(TRIM(LEFT(MID(Sync!$AG493,FIND("/",Sync!$AG493)+1,20),FIND("/",MID(Sync!$AG493,FIND("/",Sync!$AG493)+1,20))-1))),"")))</f>
        <v/>
      </c>
      <c r="I493">
        <f>IF(OR($F493="",$G493=""),"",IF(ISNUMBER(Sync!$AG493),MOD(Sync!$AG493,100),IFERROR(VALUE(TRIM(MID(MID(Sync!$AG493,FIND("/",Sync!$AG493)+1,20),FIND("/",MID(Sync!$AG493,FIND("/",Sync!$AG493)+1,20))+1,20))),"")))</f>
        <v/>
      </c>
      <c r="J493">
        <f>IF($F493="","",IF(OR($G493="",$H493="",$I493="",$G493&lt;1300,$G493&gt;1500,$H493&lt;1,$H493&gt;12,$I493&lt;1,$I493&gt;31),"نامعتبر",RIGHT("0000"&amp;$G493,4)&amp;"/"&amp;RIGHT("00"&amp;$H493,2)&amp;"/"&amp;RIGHT("00"&amp;$I493,2)))</f>
        <v/>
      </c>
      <c r="K493">
        <f>IF(OR($F493="",$J493="",$J493="نامعتبر"),"",LEFT($J493,4)&amp;MID($J493,6,2)&amp;RIGHT($J493,2)&amp;$N493&amp;"|"&amp;"2"&amp;RIGHT("00000"&amp;488,5))</f>
        <v/>
      </c>
      <c r="L493">
        <f>IF($K493="","",COUNTIFS(LdgPartyA,$F493,LdgKeyA,"&lt;"&amp;$K493)+COUNTIFS(LdgPartyB,$F493,LdgKeyB,"&lt;"&amp;$K493)+1)</f>
        <v/>
      </c>
      <c r="M493">
        <f>IF($L493="","",$F493&amp;"|"&amp;RIGHT("000000"&amp;$L493,6))</f>
        <v/>
      </c>
      <c r="N493">
        <f>IF($F493="","",IF(Sync!$AH493="","0000",IF(AND(ISNUMBER(Sync!$AH493),Sync!$AH493&gt;=0,Sync!$AH493&lt;1),RIGHT("00"&amp;HOUR(Sync!$AH493),2)&amp;RIGHT("00"&amp;MINUTE(Sync!$AH493),2),IFERROR(RIGHT("00"&amp;VALUE(LEFT(Sync!$AH493,FIND(":",Sync!$AH493)-1)),2)&amp;RIGHT("00"&amp;VALUE(MID(Sync!$AH493,FIND(":",Sync!$AH493)+1,2)),2),"0000"))))</f>
        <v/>
      </c>
    </row>
    <row r="494">
      <c r="A494">
        <f>IF(OR(Calc!$E497="",Calc!$E497="نامعتبر",Calc!$G497="",Calc!$I497&lt;&gt;"خرید"),"",Calc!$G497)</f>
        <v/>
      </c>
      <c r="B494">
        <f>IF($A494="","",LEFT(Calc!$E497,4)&amp;MID(Calc!$E497,6,2)&amp;RIGHT(Calc!$E497,2)&amp;Calc!$R497&amp;"|"&amp;"1"&amp;RIGHT("00000"&amp;489,5))</f>
        <v/>
      </c>
      <c r="C494">
        <f>IF($B494="","",COUNTIFS(LdgPartyA,$A494,LdgKeyA,"&lt;"&amp;$B494)+COUNTIFS(LdgPartyB,$A494,LdgKeyB,"&lt;"&amp;$B494)+1)</f>
        <v/>
      </c>
      <c r="D494">
        <f>IF($C494="","",$A494&amp;"|"&amp;RIGHT("000000"&amp;$C494,6))</f>
        <v/>
      </c>
      <c r="F494">
        <f>IF(Sync!$AJ494="","",Sync!$AJ494)</f>
        <v/>
      </c>
      <c r="G494">
        <f>IF($F494="","",IF(Sync!$AG494="","",IF(ISNUMBER(Sync!$AG494),IF(AND(Sync!$AG494&gt;=10000101,Sync!$AG494&lt;=99991231),INT(Sync!$AG494/10000),""),IFERROR(VALUE(TRIM(LEFT(Sync!$AG494,FIND("/",Sync!$AG494)-1))),""))))</f>
        <v/>
      </c>
      <c r="H494">
        <f>IF(OR($F494="",$G494=""),"",IF(ISNUMBER(Sync!$AG494),INT(MOD(Sync!$AG494,10000)/100),IFERROR(VALUE(TRIM(LEFT(MID(Sync!$AG494,FIND("/",Sync!$AG494)+1,20),FIND("/",MID(Sync!$AG494,FIND("/",Sync!$AG494)+1,20))-1))),"")))</f>
        <v/>
      </c>
      <c r="I494">
        <f>IF(OR($F494="",$G494=""),"",IF(ISNUMBER(Sync!$AG494),MOD(Sync!$AG494,100),IFERROR(VALUE(TRIM(MID(MID(Sync!$AG494,FIND("/",Sync!$AG494)+1,20),FIND("/",MID(Sync!$AG494,FIND("/",Sync!$AG494)+1,20))+1,20))),"")))</f>
        <v/>
      </c>
      <c r="J494">
        <f>IF($F494="","",IF(OR($G494="",$H494="",$I494="",$G494&lt;1300,$G494&gt;1500,$H494&lt;1,$H494&gt;12,$I494&lt;1,$I494&gt;31),"نامعتبر",RIGHT("0000"&amp;$G494,4)&amp;"/"&amp;RIGHT("00"&amp;$H494,2)&amp;"/"&amp;RIGHT("00"&amp;$I494,2)))</f>
        <v/>
      </c>
      <c r="K494">
        <f>IF(OR($F494="",$J494="",$J494="نامعتبر"),"",LEFT($J494,4)&amp;MID($J494,6,2)&amp;RIGHT($J494,2)&amp;$N494&amp;"|"&amp;"2"&amp;RIGHT("00000"&amp;489,5))</f>
        <v/>
      </c>
      <c r="L494">
        <f>IF($K494="","",COUNTIFS(LdgPartyA,$F494,LdgKeyA,"&lt;"&amp;$K494)+COUNTIFS(LdgPartyB,$F494,LdgKeyB,"&lt;"&amp;$K494)+1)</f>
        <v/>
      </c>
      <c r="M494">
        <f>IF($L494="","",$F494&amp;"|"&amp;RIGHT("000000"&amp;$L494,6))</f>
        <v/>
      </c>
      <c r="N494">
        <f>IF($F494="","",IF(Sync!$AH494="","0000",IF(AND(ISNUMBER(Sync!$AH494),Sync!$AH494&gt;=0,Sync!$AH494&lt;1),RIGHT("00"&amp;HOUR(Sync!$AH494),2)&amp;RIGHT("00"&amp;MINUTE(Sync!$AH494),2),IFERROR(RIGHT("00"&amp;VALUE(LEFT(Sync!$AH494,FIND(":",Sync!$AH494)-1)),2)&amp;RIGHT("00"&amp;VALUE(MID(Sync!$AH494,FIND(":",Sync!$AH494)+1,2)),2),"0000"))))</f>
        <v/>
      </c>
    </row>
    <row r="495">
      <c r="A495">
        <f>IF(OR(Calc!$E498="",Calc!$E498="نامعتبر",Calc!$G498="",Calc!$I498&lt;&gt;"خرید"),"",Calc!$G498)</f>
        <v/>
      </c>
      <c r="B495">
        <f>IF($A495="","",LEFT(Calc!$E498,4)&amp;MID(Calc!$E498,6,2)&amp;RIGHT(Calc!$E498,2)&amp;Calc!$R498&amp;"|"&amp;"1"&amp;RIGHT("00000"&amp;490,5))</f>
        <v/>
      </c>
      <c r="C495">
        <f>IF($B495="","",COUNTIFS(LdgPartyA,$A495,LdgKeyA,"&lt;"&amp;$B495)+COUNTIFS(LdgPartyB,$A495,LdgKeyB,"&lt;"&amp;$B495)+1)</f>
        <v/>
      </c>
      <c r="D495">
        <f>IF($C495="","",$A495&amp;"|"&amp;RIGHT("000000"&amp;$C495,6))</f>
        <v/>
      </c>
      <c r="F495">
        <f>IF(Sync!$AJ495="","",Sync!$AJ495)</f>
        <v/>
      </c>
      <c r="G495">
        <f>IF($F495="","",IF(Sync!$AG495="","",IF(ISNUMBER(Sync!$AG495),IF(AND(Sync!$AG495&gt;=10000101,Sync!$AG495&lt;=99991231),INT(Sync!$AG495/10000),""),IFERROR(VALUE(TRIM(LEFT(Sync!$AG495,FIND("/",Sync!$AG495)-1))),""))))</f>
        <v/>
      </c>
      <c r="H495">
        <f>IF(OR($F495="",$G495=""),"",IF(ISNUMBER(Sync!$AG495),INT(MOD(Sync!$AG495,10000)/100),IFERROR(VALUE(TRIM(LEFT(MID(Sync!$AG495,FIND("/",Sync!$AG495)+1,20),FIND("/",MID(Sync!$AG495,FIND("/",Sync!$AG495)+1,20))-1))),"")))</f>
        <v/>
      </c>
      <c r="I495">
        <f>IF(OR($F495="",$G495=""),"",IF(ISNUMBER(Sync!$AG495),MOD(Sync!$AG495,100),IFERROR(VALUE(TRIM(MID(MID(Sync!$AG495,FIND("/",Sync!$AG495)+1,20),FIND("/",MID(Sync!$AG495,FIND("/",Sync!$AG495)+1,20))+1,20))),"")))</f>
        <v/>
      </c>
      <c r="J495">
        <f>IF($F495="","",IF(OR($G495="",$H495="",$I495="",$G495&lt;1300,$G495&gt;1500,$H495&lt;1,$H495&gt;12,$I495&lt;1,$I495&gt;31),"نامعتبر",RIGHT("0000"&amp;$G495,4)&amp;"/"&amp;RIGHT("00"&amp;$H495,2)&amp;"/"&amp;RIGHT("00"&amp;$I495,2)))</f>
        <v/>
      </c>
      <c r="K495">
        <f>IF(OR($F495="",$J495="",$J495="نامعتبر"),"",LEFT($J495,4)&amp;MID($J495,6,2)&amp;RIGHT($J495,2)&amp;$N495&amp;"|"&amp;"2"&amp;RIGHT("00000"&amp;490,5))</f>
        <v/>
      </c>
      <c r="L495">
        <f>IF($K495="","",COUNTIFS(LdgPartyA,$F495,LdgKeyA,"&lt;"&amp;$K495)+COUNTIFS(LdgPartyB,$F495,LdgKeyB,"&lt;"&amp;$K495)+1)</f>
        <v/>
      </c>
      <c r="M495">
        <f>IF($L495="","",$F495&amp;"|"&amp;RIGHT("000000"&amp;$L495,6))</f>
        <v/>
      </c>
      <c r="N495">
        <f>IF($F495="","",IF(Sync!$AH495="","0000",IF(AND(ISNUMBER(Sync!$AH495),Sync!$AH495&gt;=0,Sync!$AH495&lt;1),RIGHT("00"&amp;HOUR(Sync!$AH495),2)&amp;RIGHT("00"&amp;MINUTE(Sync!$AH495),2),IFERROR(RIGHT("00"&amp;VALUE(LEFT(Sync!$AH495,FIND(":",Sync!$AH495)-1)),2)&amp;RIGHT("00"&amp;VALUE(MID(Sync!$AH495,FIND(":",Sync!$AH495)+1,2)),2),"0000"))))</f>
        <v/>
      </c>
    </row>
    <row r="496">
      <c r="A496">
        <f>IF(OR(Calc!$E499="",Calc!$E499="نامعتبر",Calc!$G499="",Calc!$I499&lt;&gt;"خرید"),"",Calc!$G499)</f>
        <v/>
      </c>
      <c r="B496">
        <f>IF($A496="","",LEFT(Calc!$E499,4)&amp;MID(Calc!$E499,6,2)&amp;RIGHT(Calc!$E499,2)&amp;Calc!$R499&amp;"|"&amp;"1"&amp;RIGHT("00000"&amp;491,5))</f>
        <v/>
      </c>
      <c r="C496">
        <f>IF($B496="","",COUNTIFS(LdgPartyA,$A496,LdgKeyA,"&lt;"&amp;$B496)+COUNTIFS(LdgPartyB,$A496,LdgKeyB,"&lt;"&amp;$B496)+1)</f>
        <v/>
      </c>
      <c r="D496">
        <f>IF($C496="","",$A496&amp;"|"&amp;RIGHT("000000"&amp;$C496,6))</f>
        <v/>
      </c>
      <c r="F496">
        <f>IF(Sync!$AJ496="","",Sync!$AJ496)</f>
        <v/>
      </c>
      <c r="G496">
        <f>IF($F496="","",IF(Sync!$AG496="","",IF(ISNUMBER(Sync!$AG496),IF(AND(Sync!$AG496&gt;=10000101,Sync!$AG496&lt;=99991231),INT(Sync!$AG496/10000),""),IFERROR(VALUE(TRIM(LEFT(Sync!$AG496,FIND("/",Sync!$AG496)-1))),""))))</f>
        <v/>
      </c>
      <c r="H496">
        <f>IF(OR($F496="",$G496=""),"",IF(ISNUMBER(Sync!$AG496),INT(MOD(Sync!$AG496,10000)/100),IFERROR(VALUE(TRIM(LEFT(MID(Sync!$AG496,FIND("/",Sync!$AG496)+1,20),FIND("/",MID(Sync!$AG496,FIND("/",Sync!$AG496)+1,20))-1))),"")))</f>
        <v/>
      </c>
      <c r="I496">
        <f>IF(OR($F496="",$G496=""),"",IF(ISNUMBER(Sync!$AG496),MOD(Sync!$AG496,100),IFERROR(VALUE(TRIM(MID(MID(Sync!$AG496,FIND("/",Sync!$AG496)+1,20),FIND("/",MID(Sync!$AG496,FIND("/",Sync!$AG496)+1,20))+1,20))),"")))</f>
        <v/>
      </c>
      <c r="J496">
        <f>IF($F496="","",IF(OR($G496="",$H496="",$I496="",$G496&lt;1300,$G496&gt;1500,$H496&lt;1,$H496&gt;12,$I496&lt;1,$I496&gt;31),"نامعتبر",RIGHT("0000"&amp;$G496,4)&amp;"/"&amp;RIGHT("00"&amp;$H496,2)&amp;"/"&amp;RIGHT("00"&amp;$I496,2)))</f>
        <v/>
      </c>
      <c r="K496">
        <f>IF(OR($F496="",$J496="",$J496="نامعتبر"),"",LEFT($J496,4)&amp;MID($J496,6,2)&amp;RIGHT($J496,2)&amp;$N496&amp;"|"&amp;"2"&amp;RIGHT("00000"&amp;491,5))</f>
        <v/>
      </c>
      <c r="L496">
        <f>IF($K496="","",COUNTIFS(LdgPartyA,$F496,LdgKeyA,"&lt;"&amp;$K496)+COUNTIFS(LdgPartyB,$F496,LdgKeyB,"&lt;"&amp;$K496)+1)</f>
        <v/>
      </c>
      <c r="M496">
        <f>IF($L496="","",$F496&amp;"|"&amp;RIGHT("000000"&amp;$L496,6))</f>
        <v/>
      </c>
      <c r="N496">
        <f>IF($F496="","",IF(Sync!$AH496="","0000",IF(AND(ISNUMBER(Sync!$AH496),Sync!$AH496&gt;=0,Sync!$AH496&lt;1),RIGHT("00"&amp;HOUR(Sync!$AH496),2)&amp;RIGHT("00"&amp;MINUTE(Sync!$AH496),2),IFERROR(RIGHT("00"&amp;VALUE(LEFT(Sync!$AH496,FIND(":",Sync!$AH496)-1)),2)&amp;RIGHT("00"&amp;VALUE(MID(Sync!$AH496,FIND(":",Sync!$AH496)+1,2)),2),"0000"))))</f>
        <v/>
      </c>
    </row>
    <row r="497">
      <c r="A497">
        <f>IF(OR(Calc!$E500="",Calc!$E500="نامعتبر",Calc!$G500="",Calc!$I500&lt;&gt;"خرید"),"",Calc!$G500)</f>
        <v/>
      </c>
      <c r="B497">
        <f>IF($A497="","",LEFT(Calc!$E500,4)&amp;MID(Calc!$E500,6,2)&amp;RIGHT(Calc!$E500,2)&amp;Calc!$R500&amp;"|"&amp;"1"&amp;RIGHT("00000"&amp;492,5))</f>
        <v/>
      </c>
      <c r="C497">
        <f>IF($B497="","",COUNTIFS(LdgPartyA,$A497,LdgKeyA,"&lt;"&amp;$B497)+COUNTIFS(LdgPartyB,$A497,LdgKeyB,"&lt;"&amp;$B497)+1)</f>
        <v/>
      </c>
      <c r="D497">
        <f>IF($C497="","",$A497&amp;"|"&amp;RIGHT("000000"&amp;$C497,6))</f>
        <v/>
      </c>
      <c r="F497">
        <f>IF(Sync!$AJ497="","",Sync!$AJ497)</f>
        <v/>
      </c>
      <c r="G497">
        <f>IF($F497="","",IF(Sync!$AG497="","",IF(ISNUMBER(Sync!$AG497),IF(AND(Sync!$AG497&gt;=10000101,Sync!$AG497&lt;=99991231),INT(Sync!$AG497/10000),""),IFERROR(VALUE(TRIM(LEFT(Sync!$AG497,FIND("/",Sync!$AG497)-1))),""))))</f>
        <v/>
      </c>
      <c r="H497">
        <f>IF(OR($F497="",$G497=""),"",IF(ISNUMBER(Sync!$AG497),INT(MOD(Sync!$AG497,10000)/100),IFERROR(VALUE(TRIM(LEFT(MID(Sync!$AG497,FIND("/",Sync!$AG497)+1,20),FIND("/",MID(Sync!$AG497,FIND("/",Sync!$AG497)+1,20))-1))),"")))</f>
        <v/>
      </c>
      <c r="I497">
        <f>IF(OR($F497="",$G497=""),"",IF(ISNUMBER(Sync!$AG497),MOD(Sync!$AG497,100),IFERROR(VALUE(TRIM(MID(MID(Sync!$AG497,FIND("/",Sync!$AG497)+1,20),FIND("/",MID(Sync!$AG497,FIND("/",Sync!$AG497)+1,20))+1,20))),"")))</f>
        <v/>
      </c>
      <c r="J497">
        <f>IF($F497="","",IF(OR($G497="",$H497="",$I497="",$G497&lt;1300,$G497&gt;1500,$H497&lt;1,$H497&gt;12,$I497&lt;1,$I497&gt;31),"نامعتبر",RIGHT("0000"&amp;$G497,4)&amp;"/"&amp;RIGHT("00"&amp;$H497,2)&amp;"/"&amp;RIGHT("00"&amp;$I497,2)))</f>
        <v/>
      </c>
      <c r="K497">
        <f>IF(OR($F497="",$J497="",$J497="نامعتبر"),"",LEFT($J497,4)&amp;MID($J497,6,2)&amp;RIGHT($J497,2)&amp;$N497&amp;"|"&amp;"2"&amp;RIGHT("00000"&amp;492,5))</f>
        <v/>
      </c>
      <c r="L497">
        <f>IF($K497="","",COUNTIFS(LdgPartyA,$F497,LdgKeyA,"&lt;"&amp;$K497)+COUNTIFS(LdgPartyB,$F497,LdgKeyB,"&lt;"&amp;$K497)+1)</f>
        <v/>
      </c>
      <c r="M497">
        <f>IF($L497="","",$F497&amp;"|"&amp;RIGHT("000000"&amp;$L497,6))</f>
        <v/>
      </c>
      <c r="N497">
        <f>IF($F497="","",IF(Sync!$AH497="","0000",IF(AND(ISNUMBER(Sync!$AH497),Sync!$AH497&gt;=0,Sync!$AH497&lt;1),RIGHT("00"&amp;HOUR(Sync!$AH497),2)&amp;RIGHT("00"&amp;MINUTE(Sync!$AH497),2),IFERROR(RIGHT("00"&amp;VALUE(LEFT(Sync!$AH497,FIND(":",Sync!$AH497)-1)),2)&amp;RIGHT("00"&amp;VALUE(MID(Sync!$AH497,FIND(":",Sync!$AH497)+1,2)),2),"0000"))))</f>
        <v/>
      </c>
    </row>
    <row r="498">
      <c r="A498">
        <f>IF(OR(Calc!$E501="",Calc!$E501="نامعتبر",Calc!$G501="",Calc!$I501&lt;&gt;"خرید"),"",Calc!$G501)</f>
        <v/>
      </c>
      <c r="B498">
        <f>IF($A498="","",LEFT(Calc!$E501,4)&amp;MID(Calc!$E501,6,2)&amp;RIGHT(Calc!$E501,2)&amp;Calc!$R501&amp;"|"&amp;"1"&amp;RIGHT("00000"&amp;493,5))</f>
        <v/>
      </c>
      <c r="C498">
        <f>IF($B498="","",COUNTIFS(LdgPartyA,$A498,LdgKeyA,"&lt;"&amp;$B498)+COUNTIFS(LdgPartyB,$A498,LdgKeyB,"&lt;"&amp;$B498)+1)</f>
        <v/>
      </c>
      <c r="D498">
        <f>IF($C498="","",$A498&amp;"|"&amp;RIGHT("000000"&amp;$C498,6))</f>
        <v/>
      </c>
      <c r="F498">
        <f>IF(Sync!$AJ498="","",Sync!$AJ498)</f>
        <v/>
      </c>
      <c r="G498">
        <f>IF($F498="","",IF(Sync!$AG498="","",IF(ISNUMBER(Sync!$AG498),IF(AND(Sync!$AG498&gt;=10000101,Sync!$AG498&lt;=99991231),INT(Sync!$AG498/10000),""),IFERROR(VALUE(TRIM(LEFT(Sync!$AG498,FIND("/",Sync!$AG498)-1))),""))))</f>
        <v/>
      </c>
      <c r="H498">
        <f>IF(OR($F498="",$G498=""),"",IF(ISNUMBER(Sync!$AG498),INT(MOD(Sync!$AG498,10000)/100),IFERROR(VALUE(TRIM(LEFT(MID(Sync!$AG498,FIND("/",Sync!$AG498)+1,20),FIND("/",MID(Sync!$AG498,FIND("/",Sync!$AG498)+1,20))-1))),"")))</f>
        <v/>
      </c>
      <c r="I498">
        <f>IF(OR($F498="",$G498=""),"",IF(ISNUMBER(Sync!$AG498),MOD(Sync!$AG498,100),IFERROR(VALUE(TRIM(MID(MID(Sync!$AG498,FIND("/",Sync!$AG498)+1,20),FIND("/",MID(Sync!$AG498,FIND("/",Sync!$AG498)+1,20))+1,20))),"")))</f>
        <v/>
      </c>
      <c r="J498">
        <f>IF($F498="","",IF(OR($G498="",$H498="",$I498="",$G498&lt;1300,$G498&gt;1500,$H498&lt;1,$H498&gt;12,$I498&lt;1,$I498&gt;31),"نامعتبر",RIGHT("0000"&amp;$G498,4)&amp;"/"&amp;RIGHT("00"&amp;$H498,2)&amp;"/"&amp;RIGHT("00"&amp;$I498,2)))</f>
        <v/>
      </c>
      <c r="K498">
        <f>IF(OR($F498="",$J498="",$J498="نامعتبر"),"",LEFT($J498,4)&amp;MID($J498,6,2)&amp;RIGHT($J498,2)&amp;$N498&amp;"|"&amp;"2"&amp;RIGHT("00000"&amp;493,5))</f>
        <v/>
      </c>
      <c r="L498">
        <f>IF($K498="","",COUNTIFS(LdgPartyA,$F498,LdgKeyA,"&lt;"&amp;$K498)+COUNTIFS(LdgPartyB,$F498,LdgKeyB,"&lt;"&amp;$K498)+1)</f>
        <v/>
      </c>
      <c r="M498">
        <f>IF($L498="","",$F498&amp;"|"&amp;RIGHT("000000"&amp;$L498,6))</f>
        <v/>
      </c>
      <c r="N498">
        <f>IF($F498="","",IF(Sync!$AH498="","0000",IF(AND(ISNUMBER(Sync!$AH498),Sync!$AH498&gt;=0,Sync!$AH498&lt;1),RIGHT("00"&amp;HOUR(Sync!$AH498),2)&amp;RIGHT("00"&amp;MINUTE(Sync!$AH498),2),IFERROR(RIGHT("00"&amp;VALUE(LEFT(Sync!$AH498,FIND(":",Sync!$AH498)-1)),2)&amp;RIGHT("00"&amp;VALUE(MID(Sync!$AH498,FIND(":",Sync!$AH498)+1,2)),2),"0000"))))</f>
        <v/>
      </c>
    </row>
    <row r="499">
      <c r="A499">
        <f>IF(OR(Calc!$E502="",Calc!$E502="نامعتبر",Calc!$G502="",Calc!$I502&lt;&gt;"خرید"),"",Calc!$G502)</f>
        <v/>
      </c>
      <c r="B499">
        <f>IF($A499="","",LEFT(Calc!$E502,4)&amp;MID(Calc!$E502,6,2)&amp;RIGHT(Calc!$E502,2)&amp;Calc!$R502&amp;"|"&amp;"1"&amp;RIGHT("00000"&amp;494,5))</f>
        <v/>
      </c>
      <c r="C499">
        <f>IF($B499="","",COUNTIFS(LdgPartyA,$A499,LdgKeyA,"&lt;"&amp;$B499)+COUNTIFS(LdgPartyB,$A499,LdgKeyB,"&lt;"&amp;$B499)+1)</f>
        <v/>
      </c>
      <c r="D499">
        <f>IF($C499="","",$A499&amp;"|"&amp;RIGHT("000000"&amp;$C499,6))</f>
        <v/>
      </c>
      <c r="F499">
        <f>IF(Sync!$AJ499="","",Sync!$AJ499)</f>
        <v/>
      </c>
      <c r="G499">
        <f>IF($F499="","",IF(Sync!$AG499="","",IF(ISNUMBER(Sync!$AG499),IF(AND(Sync!$AG499&gt;=10000101,Sync!$AG499&lt;=99991231),INT(Sync!$AG499/10000),""),IFERROR(VALUE(TRIM(LEFT(Sync!$AG499,FIND("/",Sync!$AG499)-1))),""))))</f>
        <v/>
      </c>
      <c r="H499">
        <f>IF(OR($F499="",$G499=""),"",IF(ISNUMBER(Sync!$AG499),INT(MOD(Sync!$AG499,10000)/100),IFERROR(VALUE(TRIM(LEFT(MID(Sync!$AG499,FIND("/",Sync!$AG499)+1,20),FIND("/",MID(Sync!$AG499,FIND("/",Sync!$AG499)+1,20))-1))),"")))</f>
        <v/>
      </c>
      <c r="I499">
        <f>IF(OR($F499="",$G499=""),"",IF(ISNUMBER(Sync!$AG499),MOD(Sync!$AG499,100),IFERROR(VALUE(TRIM(MID(MID(Sync!$AG499,FIND("/",Sync!$AG499)+1,20),FIND("/",MID(Sync!$AG499,FIND("/",Sync!$AG499)+1,20))+1,20))),"")))</f>
        <v/>
      </c>
      <c r="J499">
        <f>IF($F499="","",IF(OR($G499="",$H499="",$I499="",$G499&lt;1300,$G499&gt;1500,$H499&lt;1,$H499&gt;12,$I499&lt;1,$I499&gt;31),"نامعتبر",RIGHT("0000"&amp;$G499,4)&amp;"/"&amp;RIGHT("00"&amp;$H499,2)&amp;"/"&amp;RIGHT("00"&amp;$I499,2)))</f>
        <v/>
      </c>
      <c r="K499">
        <f>IF(OR($F499="",$J499="",$J499="نامعتبر"),"",LEFT($J499,4)&amp;MID($J499,6,2)&amp;RIGHT($J499,2)&amp;$N499&amp;"|"&amp;"2"&amp;RIGHT("00000"&amp;494,5))</f>
        <v/>
      </c>
      <c r="L499">
        <f>IF($K499="","",COUNTIFS(LdgPartyA,$F499,LdgKeyA,"&lt;"&amp;$K499)+COUNTIFS(LdgPartyB,$F499,LdgKeyB,"&lt;"&amp;$K499)+1)</f>
        <v/>
      </c>
      <c r="M499">
        <f>IF($L499="","",$F499&amp;"|"&amp;RIGHT("000000"&amp;$L499,6))</f>
        <v/>
      </c>
      <c r="N499">
        <f>IF($F499="","",IF(Sync!$AH499="","0000",IF(AND(ISNUMBER(Sync!$AH499),Sync!$AH499&gt;=0,Sync!$AH499&lt;1),RIGHT("00"&amp;HOUR(Sync!$AH499),2)&amp;RIGHT("00"&amp;MINUTE(Sync!$AH499),2),IFERROR(RIGHT("00"&amp;VALUE(LEFT(Sync!$AH499,FIND(":",Sync!$AH499)-1)),2)&amp;RIGHT("00"&amp;VALUE(MID(Sync!$AH499,FIND(":",Sync!$AH499)+1,2)),2),"0000"))))</f>
        <v/>
      </c>
    </row>
    <row r="500">
      <c r="A500">
        <f>IF(OR(Calc!$E503="",Calc!$E503="نامعتبر",Calc!$G503="",Calc!$I503&lt;&gt;"خرید"),"",Calc!$G503)</f>
        <v/>
      </c>
      <c r="B500">
        <f>IF($A500="","",LEFT(Calc!$E503,4)&amp;MID(Calc!$E503,6,2)&amp;RIGHT(Calc!$E503,2)&amp;Calc!$R503&amp;"|"&amp;"1"&amp;RIGHT("00000"&amp;495,5))</f>
        <v/>
      </c>
      <c r="C500">
        <f>IF($B500="","",COUNTIFS(LdgPartyA,$A500,LdgKeyA,"&lt;"&amp;$B500)+COUNTIFS(LdgPartyB,$A500,LdgKeyB,"&lt;"&amp;$B500)+1)</f>
        <v/>
      </c>
      <c r="D500">
        <f>IF($C500="","",$A500&amp;"|"&amp;RIGHT("000000"&amp;$C500,6))</f>
        <v/>
      </c>
      <c r="F500">
        <f>IF(Sync!$AJ500="","",Sync!$AJ500)</f>
        <v/>
      </c>
      <c r="G500">
        <f>IF($F500="","",IF(Sync!$AG500="","",IF(ISNUMBER(Sync!$AG500),IF(AND(Sync!$AG500&gt;=10000101,Sync!$AG500&lt;=99991231),INT(Sync!$AG500/10000),""),IFERROR(VALUE(TRIM(LEFT(Sync!$AG500,FIND("/",Sync!$AG500)-1))),""))))</f>
        <v/>
      </c>
      <c r="H500">
        <f>IF(OR($F500="",$G500=""),"",IF(ISNUMBER(Sync!$AG500),INT(MOD(Sync!$AG500,10000)/100),IFERROR(VALUE(TRIM(LEFT(MID(Sync!$AG500,FIND("/",Sync!$AG500)+1,20),FIND("/",MID(Sync!$AG500,FIND("/",Sync!$AG500)+1,20))-1))),"")))</f>
        <v/>
      </c>
      <c r="I500">
        <f>IF(OR($F500="",$G500=""),"",IF(ISNUMBER(Sync!$AG500),MOD(Sync!$AG500,100),IFERROR(VALUE(TRIM(MID(MID(Sync!$AG500,FIND("/",Sync!$AG500)+1,20),FIND("/",MID(Sync!$AG500,FIND("/",Sync!$AG500)+1,20))+1,20))),"")))</f>
        <v/>
      </c>
      <c r="J500">
        <f>IF($F500="","",IF(OR($G500="",$H500="",$I500="",$G500&lt;1300,$G500&gt;1500,$H500&lt;1,$H500&gt;12,$I500&lt;1,$I500&gt;31),"نامعتبر",RIGHT("0000"&amp;$G500,4)&amp;"/"&amp;RIGHT("00"&amp;$H500,2)&amp;"/"&amp;RIGHT("00"&amp;$I500,2)))</f>
        <v/>
      </c>
      <c r="K500">
        <f>IF(OR($F500="",$J500="",$J500="نامعتبر"),"",LEFT($J500,4)&amp;MID($J500,6,2)&amp;RIGHT($J500,2)&amp;$N500&amp;"|"&amp;"2"&amp;RIGHT("00000"&amp;495,5))</f>
        <v/>
      </c>
      <c r="L500">
        <f>IF($K500="","",COUNTIFS(LdgPartyA,$F500,LdgKeyA,"&lt;"&amp;$K500)+COUNTIFS(LdgPartyB,$F500,LdgKeyB,"&lt;"&amp;$K500)+1)</f>
        <v/>
      </c>
      <c r="M500">
        <f>IF($L500="","",$F500&amp;"|"&amp;RIGHT("000000"&amp;$L500,6))</f>
        <v/>
      </c>
      <c r="N500">
        <f>IF($F500="","",IF(Sync!$AH500="","0000",IF(AND(ISNUMBER(Sync!$AH500),Sync!$AH500&gt;=0,Sync!$AH500&lt;1),RIGHT("00"&amp;HOUR(Sync!$AH500),2)&amp;RIGHT("00"&amp;MINUTE(Sync!$AH500),2),IFERROR(RIGHT("00"&amp;VALUE(LEFT(Sync!$AH500,FIND(":",Sync!$AH500)-1)),2)&amp;RIGHT("00"&amp;VALUE(MID(Sync!$AH500,FIND(":",Sync!$AH500)+1,2)),2),"0000"))))</f>
        <v/>
      </c>
    </row>
    <row r="501">
      <c r="A501">
        <f>IF(OR(Calc!$E504="",Calc!$E504="نامعتبر",Calc!$G504="",Calc!$I504&lt;&gt;"خرید"),"",Calc!$G504)</f>
        <v/>
      </c>
      <c r="B501">
        <f>IF($A501="","",LEFT(Calc!$E504,4)&amp;MID(Calc!$E504,6,2)&amp;RIGHT(Calc!$E504,2)&amp;Calc!$R504&amp;"|"&amp;"1"&amp;RIGHT("00000"&amp;496,5))</f>
        <v/>
      </c>
      <c r="C501">
        <f>IF($B501="","",COUNTIFS(LdgPartyA,$A501,LdgKeyA,"&lt;"&amp;$B501)+COUNTIFS(LdgPartyB,$A501,LdgKeyB,"&lt;"&amp;$B501)+1)</f>
        <v/>
      </c>
      <c r="D501">
        <f>IF($C501="","",$A501&amp;"|"&amp;RIGHT("000000"&amp;$C501,6))</f>
        <v/>
      </c>
      <c r="F501">
        <f>IF(Sync!$AJ501="","",Sync!$AJ501)</f>
        <v/>
      </c>
      <c r="G501">
        <f>IF($F501="","",IF(Sync!$AG501="","",IF(ISNUMBER(Sync!$AG501),IF(AND(Sync!$AG501&gt;=10000101,Sync!$AG501&lt;=99991231),INT(Sync!$AG501/10000),""),IFERROR(VALUE(TRIM(LEFT(Sync!$AG501,FIND("/",Sync!$AG501)-1))),""))))</f>
        <v/>
      </c>
      <c r="H501">
        <f>IF(OR($F501="",$G501=""),"",IF(ISNUMBER(Sync!$AG501),INT(MOD(Sync!$AG501,10000)/100),IFERROR(VALUE(TRIM(LEFT(MID(Sync!$AG501,FIND("/",Sync!$AG501)+1,20),FIND("/",MID(Sync!$AG501,FIND("/",Sync!$AG501)+1,20))-1))),"")))</f>
        <v/>
      </c>
      <c r="I501">
        <f>IF(OR($F501="",$G501=""),"",IF(ISNUMBER(Sync!$AG501),MOD(Sync!$AG501,100),IFERROR(VALUE(TRIM(MID(MID(Sync!$AG501,FIND("/",Sync!$AG501)+1,20),FIND("/",MID(Sync!$AG501,FIND("/",Sync!$AG501)+1,20))+1,20))),"")))</f>
        <v/>
      </c>
      <c r="J501">
        <f>IF($F501="","",IF(OR($G501="",$H501="",$I501="",$G501&lt;1300,$G501&gt;1500,$H501&lt;1,$H501&gt;12,$I501&lt;1,$I501&gt;31),"نامعتبر",RIGHT("0000"&amp;$G501,4)&amp;"/"&amp;RIGHT("00"&amp;$H501,2)&amp;"/"&amp;RIGHT("00"&amp;$I501,2)))</f>
        <v/>
      </c>
      <c r="K501">
        <f>IF(OR($F501="",$J501="",$J501="نامعتبر"),"",LEFT($J501,4)&amp;MID($J501,6,2)&amp;RIGHT($J501,2)&amp;$N501&amp;"|"&amp;"2"&amp;RIGHT("00000"&amp;496,5))</f>
        <v/>
      </c>
      <c r="L501">
        <f>IF($K501="","",COUNTIFS(LdgPartyA,$F501,LdgKeyA,"&lt;"&amp;$K501)+COUNTIFS(LdgPartyB,$F501,LdgKeyB,"&lt;"&amp;$K501)+1)</f>
        <v/>
      </c>
      <c r="M501">
        <f>IF($L501="","",$F501&amp;"|"&amp;RIGHT("000000"&amp;$L501,6))</f>
        <v/>
      </c>
      <c r="N501">
        <f>IF($F501="","",IF(Sync!$AH501="","0000",IF(AND(ISNUMBER(Sync!$AH501),Sync!$AH501&gt;=0,Sync!$AH501&lt;1),RIGHT("00"&amp;HOUR(Sync!$AH501),2)&amp;RIGHT("00"&amp;MINUTE(Sync!$AH501),2),IFERROR(RIGHT("00"&amp;VALUE(LEFT(Sync!$AH501,FIND(":",Sync!$AH501)-1)),2)&amp;RIGHT("00"&amp;VALUE(MID(Sync!$AH501,FIND(":",Sync!$AH501)+1,2)),2),"0000"))))</f>
        <v/>
      </c>
    </row>
    <row r="502">
      <c r="A502">
        <f>IF(OR(Calc!$E505="",Calc!$E505="نامعتبر",Calc!$G505="",Calc!$I505&lt;&gt;"خرید"),"",Calc!$G505)</f>
        <v/>
      </c>
      <c r="B502">
        <f>IF($A502="","",LEFT(Calc!$E505,4)&amp;MID(Calc!$E505,6,2)&amp;RIGHT(Calc!$E505,2)&amp;Calc!$R505&amp;"|"&amp;"1"&amp;RIGHT("00000"&amp;497,5))</f>
        <v/>
      </c>
      <c r="C502">
        <f>IF($B502="","",COUNTIFS(LdgPartyA,$A502,LdgKeyA,"&lt;"&amp;$B502)+COUNTIFS(LdgPartyB,$A502,LdgKeyB,"&lt;"&amp;$B502)+1)</f>
        <v/>
      </c>
      <c r="D502">
        <f>IF($C502="","",$A502&amp;"|"&amp;RIGHT("000000"&amp;$C502,6))</f>
        <v/>
      </c>
      <c r="F502">
        <f>IF(Sync!$AJ502="","",Sync!$AJ502)</f>
        <v/>
      </c>
      <c r="G502">
        <f>IF($F502="","",IF(Sync!$AG502="","",IF(ISNUMBER(Sync!$AG502),IF(AND(Sync!$AG502&gt;=10000101,Sync!$AG502&lt;=99991231),INT(Sync!$AG502/10000),""),IFERROR(VALUE(TRIM(LEFT(Sync!$AG502,FIND("/",Sync!$AG502)-1))),""))))</f>
        <v/>
      </c>
      <c r="H502">
        <f>IF(OR($F502="",$G502=""),"",IF(ISNUMBER(Sync!$AG502),INT(MOD(Sync!$AG502,10000)/100),IFERROR(VALUE(TRIM(LEFT(MID(Sync!$AG502,FIND("/",Sync!$AG502)+1,20),FIND("/",MID(Sync!$AG502,FIND("/",Sync!$AG502)+1,20))-1))),"")))</f>
        <v/>
      </c>
      <c r="I502">
        <f>IF(OR($F502="",$G502=""),"",IF(ISNUMBER(Sync!$AG502),MOD(Sync!$AG502,100),IFERROR(VALUE(TRIM(MID(MID(Sync!$AG502,FIND("/",Sync!$AG502)+1,20),FIND("/",MID(Sync!$AG502,FIND("/",Sync!$AG502)+1,20))+1,20))),"")))</f>
        <v/>
      </c>
      <c r="J502">
        <f>IF($F502="","",IF(OR($G502="",$H502="",$I502="",$G502&lt;1300,$G502&gt;1500,$H502&lt;1,$H502&gt;12,$I502&lt;1,$I502&gt;31),"نامعتبر",RIGHT("0000"&amp;$G502,4)&amp;"/"&amp;RIGHT("00"&amp;$H502,2)&amp;"/"&amp;RIGHT("00"&amp;$I502,2)))</f>
        <v/>
      </c>
      <c r="K502">
        <f>IF(OR($F502="",$J502="",$J502="نامعتبر"),"",LEFT($J502,4)&amp;MID($J502,6,2)&amp;RIGHT($J502,2)&amp;$N502&amp;"|"&amp;"2"&amp;RIGHT("00000"&amp;497,5))</f>
        <v/>
      </c>
      <c r="L502">
        <f>IF($K502="","",COUNTIFS(LdgPartyA,$F502,LdgKeyA,"&lt;"&amp;$K502)+COUNTIFS(LdgPartyB,$F502,LdgKeyB,"&lt;"&amp;$K502)+1)</f>
        <v/>
      </c>
      <c r="M502">
        <f>IF($L502="","",$F502&amp;"|"&amp;RIGHT("000000"&amp;$L502,6))</f>
        <v/>
      </c>
      <c r="N502">
        <f>IF($F502="","",IF(Sync!$AH502="","0000",IF(AND(ISNUMBER(Sync!$AH502),Sync!$AH502&gt;=0,Sync!$AH502&lt;1),RIGHT("00"&amp;HOUR(Sync!$AH502),2)&amp;RIGHT("00"&amp;MINUTE(Sync!$AH502),2),IFERROR(RIGHT("00"&amp;VALUE(LEFT(Sync!$AH502,FIND(":",Sync!$AH502)-1)),2)&amp;RIGHT("00"&amp;VALUE(MID(Sync!$AH502,FIND(":",Sync!$AH502)+1,2)),2),"0000"))))</f>
        <v/>
      </c>
    </row>
    <row r="503">
      <c r="A503">
        <f>IF(OR(Calc!$E506="",Calc!$E506="نامعتبر",Calc!$G506="",Calc!$I506&lt;&gt;"خرید"),"",Calc!$G506)</f>
        <v/>
      </c>
      <c r="B503">
        <f>IF($A503="","",LEFT(Calc!$E506,4)&amp;MID(Calc!$E506,6,2)&amp;RIGHT(Calc!$E506,2)&amp;Calc!$R506&amp;"|"&amp;"1"&amp;RIGHT("00000"&amp;498,5))</f>
        <v/>
      </c>
      <c r="C503">
        <f>IF($B503="","",COUNTIFS(LdgPartyA,$A503,LdgKeyA,"&lt;"&amp;$B503)+COUNTIFS(LdgPartyB,$A503,LdgKeyB,"&lt;"&amp;$B503)+1)</f>
        <v/>
      </c>
      <c r="D503">
        <f>IF($C503="","",$A503&amp;"|"&amp;RIGHT("000000"&amp;$C503,6))</f>
        <v/>
      </c>
      <c r="F503">
        <f>IF(Sync!$AJ503="","",Sync!$AJ503)</f>
        <v/>
      </c>
      <c r="G503">
        <f>IF($F503="","",IF(Sync!$AG503="","",IF(ISNUMBER(Sync!$AG503),IF(AND(Sync!$AG503&gt;=10000101,Sync!$AG503&lt;=99991231),INT(Sync!$AG503/10000),""),IFERROR(VALUE(TRIM(LEFT(Sync!$AG503,FIND("/",Sync!$AG503)-1))),""))))</f>
        <v/>
      </c>
      <c r="H503">
        <f>IF(OR($F503="",$G503=""),"",IF(ISNUMBER(Sync!$AG503),INT(MOD(Sync!$AG503,10000)/100),IFERROR(VALUE(TRIM(LEFT(MID(Sync!$AG503,FIND("/",Sync!$AG503)+1,20),FIND("/",MID(Sync!$AG503,FIND("/",Sync!$AG503)+1,20))-1))),"")))</f>
        <v/>
      </c>
      <c r="I503">
        <f>IF(OR($F503="",$G503=""),"",IF(ISNUMBER(Sync!$AG503),MOD(Sync!$AG503,100),IFERROR(VALUE(TRIM(MID(MID(Sync!$AG503,FIND("/",Sync!$AG503)+1,20),FIND("/",MID(Sync!$AG503,FIND("/",Sync!$AG503)+1,20))+1,20))),"")))</f>
        <v/>
      </c>
      <c r="J503">
        <f>IF($F503="","",IF(OR($G503="",$H503="",$I503="",$G503&lt;1300,$G503&gt;1500,$H503&lt;1,$H503&gt;12,$I503&lt;1,$I503&gt;31),"نامعتبر",RIGHT("0000"&amp;$G503,4)&amp;"/"&amp;RIGHT("00"&amp;$H503,2)&amp;"/"&amp;RIGHT("00"&amp;$I503,2)))</f>
        <v/>
      </c>
      <c r="K503">
        <f>IF(OR($F503="",$J503="",$J503="نامعتبر"),"",LEFT($J503,4)&amp;MID($J503,6,2)&amp;RIGHT($J503,2)&amp;$N503&amp;"|"&amp;"2"&amp;RIGHT("00000"&amp;498,5))</f>
        <v/>
      </c>
      <c r="L503">
        <f>IF($K503="","",COUNTIFS(LdgPartyA,$F503,LdgKeyA,"&lt;"&amp;$K503)+COUNTIFS(LdgPartyB,$F503,LdgKeyB,"&lt;"&amp;$K503)+1)</f>
        <v/>
      </c>
      <c r="M503">
        <f>IF($L503="","",$F503&amp;"|"&amp;RIGHT("000000"&amp;$L503,6))</f>
        <v/>
      </c>
      <c r="N503">
        <f>IF($F503="","",IF(Sync!$AH503="","0000",IF(AND(ISNUMBER(Sync!$AH503),Sync!$AH503&gt;=0,Sync!$AH503&lt;1),RIGHT("00"&amp;HOUR(Sync!$AH503),2)&amp;RIGHT("00"&amp;MINUTE(Sync!$AH503),2),IFERROR(RIGHT("00"&amp;VALUE(LEFT(Sync!$AH503,FIND(":",Sync!$AH503)-1)),2)&amp;RIGHT("00"&amp;VALUE(MID(Sync!$AH503,FIND(":",Sync!$AH503)+1,2)),2),"0000"))))</f>
        <v/>
      </c>
    </row>
    <row r="504">
      <c r="A504">
        <f>IF(OR(Calc!$E507="",Calc!$E507="نامعتبر",Calc!$G507="",Calc!$I507&lt;&gt;"خرید"),"",Calc!$G507)</f>
        <v/>
      </c>
      <c r="B504">
        <f>IF($A504="","",LEFT(Calc!$E507,4)&amp;MID(Calc!$E507,6,2)&amp;RIGHT(Calc!$E507,2)&amp;Calc!$R507&amp;"|"&amp;"1"&amp;RIGHT("00000"&amp;499,5))</f>
        <v/>
      </c>
      <c r="C504">
        <f>IF($B504="","",COUNTIFS(LdgPartyA,$A504,LdgKeyA,"&lt;"&amp;$B504)+COUNTIFS(LdgPartyB,$A504,LdgKeyB,"&lt;"&amp;$B504)+1)</f>
        <v/>
      </c>
      <c r="D504">
        <f>IF($C504="","",$A504&amp;"|"&amp;RIGHT("000000"&amp;$C504,6))</f>
        <v/>
      </c>
      <c r="F504">
        <f>IF(Sync!$AJ504="","",Sync!$AJ504)</f>
        <v/>
      </c>
      <c r="G504">
        <f>IF($F504="","",IF(Sync!$AG504="","",IF(ISNUMBER(Sync!$AG504),IF(AND(Sync!$AG504&gt;=10000101,Sync!$AG504&lt;=99991231),INT(Sync!$AG504/10000),""),IFERROR(VALUE(TRIM(LEFT(Sync!$AG504,FIND("/",Sync!$AG504)-1))),""))))</f>
        <v/>
      </c>
      <c r="H504">
        <f>IF(OR($F504="",$G504=""),"",IF(ISNUMBER(Sync!$AG504),INT(MOD(Sync!$AG504,10000)/100),IFERROR(VALUE(TRIM(LEFT(MID(Sync!$AG504,FIND("/",Sync!$AG504)+1,20),FIND("/",MID(Sync!$AG504,FIND("/",Sync!$AG504)+1,20))-1))),"")))</f>
        <v/>
      </c>
      <c r="I504">
        <f>IF(OR($F504="",$G504=""),"",IF(ISNUMBER(Sync!$AG504),MOD(Sync!$AG504,100),IFERROR(VALUE(TRIM(MID(MID(Sync!$AG504,FIND("/",Sync!$AG504)+1,20),FIND("/",MID(Sync!$AG504,FIND("/",Sync!$AG504)+1,20))+1,20))),"")))</f>
        <v/>
      </c>
      <c r="J504">
        <f>IF($F504="","",IF(OR($G504="",$H504="",$I504="",$G504&lt;1300,$G504&gt;1500,$H504&lt;1,$H504&gt;12,$I504&lt;1,$I504&gt;31),"نامعتبر",RIGHT("0000"&amp;$G504,4)&amp;"/"&amp;RIGHT("00"&amp;$H504,2)&amp;"/"&amp;RIGHT("00"&amp;$I504,2)))</f>
        <v/>
      </c>
      <c r="K504">
        <f>IF(OR($F504="",$J504="",$J504="نامعتبر"),"",LEFT($J504,4)&amp;MID($J504,6,2)&amp;RIGHT($J504,2)&amp;$N504&amp;"|"&amp;"2"&amp;RIGHT("00000"&amp;499,5))</f>
        <v/>
      </c>
      <c r="L504">
        <f>IF($K504="","",COUNTIFS(LdgPartyA,$F504,LdgKeyA,"&lt;"&amp;$K504)+COUNTIFS(LdgPartyB,$F504,LdgKeyB,"&lt;"&amp;$K504)+1)</f>
        <v/>
      </c>
      <c r="M504">
        <f>IF($L504="","",$F504&amp;"|"&amp;RIGHT("000000"&amp;$L504,6))</f>
        <v/>
      </c>
      <c r="N504">
        <f>IF($F504="","",IF(Sync!$AH504="","0000",IF(AND(ISNUMBER(Sync!$AH504),Sync!$AH504&gt;=0,Sync!$AH504&lt;1),RIGHT("00"&amp;HOUR(Sync!$AH504),2)&amp;RIGHT("00"&amp;MINUTE(Sync!$AH504),2),IFERROR(RIGHT("00"&amp;VALUE(LEFT(Sync!$AH504,FIND(":",Sync!$AH504)-1)),2)&amp;RIGHT("00"&amp;VALUE(MID(Sync!$AH504,FIND(":",Sync!$AH504)+1,2)),2),"0000"))))</f>
        <v/>
      </c>
    </row>
    <row r="505">
      <c r="A505">
        <f>IF(OR(Calc!$E508="",Calc!$E508="نامعتبر",Calc!$G508="",Calc!$I508&lt;&gt;"خرید"),"",Calc!$G508)</f>
        <v/>
      </c>
      <c r="B505">
        <f>IF($A505="","",LEFT(Calc!$E508,4)&amp;MID(Calc!$E508,6,2)&amp;RIGHT(Calc!$E508,2)&amp;Calc!$R508&amp;"|"&amp;"1"&amp;RIGHT("00000"&amp;500,5))</f>
        <v/>
      </c>
      <c r="C505">
        <f>IF($B505="","",COUNTIFS(LdgPartyA,$A505,LdgKeyA,"&lt;"&amp;$B505)+COUNTIFS(LdgPartyB,$A505,LdgKeyB,"&lt;"&amp;$B505)+1)</f>
        <v/>
      </c>
      <c r="D505">
        <f>IF($C505="","",$A505&amp;"|"&amp;RIGHT("000000"&amp;$C505,6))</f>
        <v/>
      </c>
      <c r="F505">
        <f>IF(Sync!$AJ505="","",Sync!$AJ505)</f>
        <v/>
      </c>
      <c r="G505">
        <f>IF($F505="","",IF(Sync!$AG505="","",IF(ISNUMBER(Sync!$AG505),IF(AND(Sync!$AG505&gt;=10000101,Sync!$AG505&lt;=99991231),INT(Sync!$AG505/10000),""),IFERROR(VALUE(TRIM(LEFT(Sync!$AG505,FIND("/",Sync!$AG505)-1))),""))))</f>
        <v/>
      </c>
      <c r="H505">
        <f>IF(OR($F505="",$G505=""),"",IF(ISNUMBER(Sync!$AG505),INT(MOD(Sync!$AG505,10000)/100),IFERROR(VALUE(TRIM(LEFT(MID(Sync!$AG505,FIND("/",Sync!$AG505)+1,20),FIND("/",MID(Sync!$AG505,FIND("/",Sync!$AG505)+1,20))-1))),"")))</f>
        <v/>
      </c>
      <c r="I505">
        <f>IF(OR($F505="",$G505=""),"",IF(ISNUMBER(Sync!$AG505),MOD(Sync!$AG505,100),IFERROR(VALUE(TRIM(MID(MID(Sync!$AG505,FIND("/",Sync!$AG505)+1,20),FIND("/",MID(Sync!$AG505,FIND("/",Sync!$AG505)+1,20))+1,20))),"")))</f>
        <v/>
      </c>
      <c r="J505">
        <f>IF($F505="","",IF(OR($G505="",$H505="",$I505="",$G505&lt;1300,$G505&gt;1500,$H505&lt;1,$H505&gt;12,$I505&lt;1,$I505&gt;31),"نامعتبر",RIGHT("0000"&amp;$G505,4)&amp;"/"&amp;RIGHT("00"&amp;$H505,2)&amp;"/"&amp;RIGHT("00"&amp;$I505,2)))</f>
        <v/>
      </c>
      <c r="K505">
        <f>IF(OR($F505="",$J505="",$J505="نامعتبر"),"",LEFT($J505,4)&amp;MID($J505,6,2)&amp;RIGHT($J505,2)&amp;$N505&amp;"|"&amp;"2"&amp;RIGHT("00000"&amp;500,5))</f>
        <v/>
      </c>
      <c r="L505">
        <f>IF($K505="","",COUNTIFS(LdgPartyA,$F505,LdgKeyA,"&lt;"&amp;$K505)+COUNTIFS(LdgPartyB,$F505,LdgKeyB,"&lt;"&amp;$K505)+1)</f>
        <v/>
      </c>
      <c r="M505">
        <f>IF($L505="","",$F505&amp;"|"&amp;RIGHT("000000"&amp;$L505,6))</f>
        <v/>
      </c>
      <c r="N505">
        <f>IF($F505="","",IF(Sync!$AH505="","0000",IF(AND(ISNUMBER(Sync!$AH505),Sync!$AH505&gt;=0,Sync!$AH505&lt;1),RIGHT("00"&amp;HOUR(Sync!$AH505),2)&amp;RIGHT("00"&amp;MINUTE(Sync!$AH505),2),IFERROR(RIGHT("00"&amp;VALUE(LEFT(Sync!$AH505,FIND(":",Sync!$AH505)-1)),2)&amp;RIGHT("00"&amp;VALUE(MID(Sync!$AH505,FIND(":",Sync!$AH505)+1,2)),2),"0000"))))</f>
        <v/>
      </c>
    </row>
    <row r="506">
      <c r="A506">
        <f>IF(OR(Calc!$E509="",Calc!$E509="نامعتبر",Calc!$G509="",Calc!$I509&lt;&gt;"خرید"),"",Calc!$G509)</f>
        <v/>
      </c>
      <c r="B506">
        <f>IF($A506="","",LEFT(Calc!$E509,4)&amp;MID(Calc!$E509,6,2)&amp;RIGHT(Calc!$E509,2)&amp;Calc!$R509&amp;"|"&amp;"1"&amp;RIGHT("00000"&amp;501,5))</f>
        <v/>
      </c>
      <c r="C506">
        <f>IF($B506="","",COUNTIFS(LdgPartyA,$A506,LdgKeyA,"&lt;"&amp;$B506)+COUNTIFS(LdgPartyB,$A506,LdgKeyB,"&lt;"&amp;$B506)+1)</f>
        <v/>
      </c>
      <c r="D506">
        <f>IF($C506="","",$A506&amp;"|"&amp;RIGHT("000000"&amp;$C506,6))</f>
        <v/>
      </c>
      <c r="F506">
        <f>IF(Sync!$AJ506="","",Sync!$AJ506)</f>
        <v/>
      </c>
      <c r="G506">
        <f>IF($F506="","",IF(Sync!$AG506="","",IF(ISNUMBER(Sync!$AG506),IF(AND(Sync!$AG506&gt;=10000101,Sync!$AG506&lt;=99991231),INT(Sync!$AG506/10000),""),IFERROR(VALUE(TRIM(LEFT(Sync!$AG506,FIND("/",Sync!$AG506)-1))),""))))</f>
        <v/>
      </c>
      <c r="H506">
        <f>IF(OR($F506="",$G506=""),"",IF(ISNUMBER(Sync!$AG506),INT(MOD(Sync!$AG506,10000)/100),IFERROR(VALUE(TRIM(LEFT(MID(Sync!$AG506,FIND("/",Sync!$AG506)+1,20),FIND("/",MID(Sync!$AG506,FIND("/",Sync!$AG506)+1,20))-1))),"")))</f>
        <v/>
      </c>
      <c r="I506">
        <f>IF(OR($F506="",$G506=""),"",IF(ISNUMBER(Sync!$AG506),MOD(Sync!$AG506,100),IFERROR(VALUE(TRIM(MID(MID(Sync!$AG506,FIND("/",Sync!$AG506)+1,20),FIND("/",MID(Sync!$AG506,FIND("/",Sync!$AG506)+1,20))+1,20))),"")))</f>
        <v/>
      </c>
      <c r="J506">
        <f>IF($F506="","",IF(OR($G506="",$H506="",$I506="",$G506&lt;1300,$G506&gt;1500,$H506&lt;1,$H506&gt;12,$I506&lt;1,$I506&gt;31),"نامعتبر",RIGHT("0000"&amp;$G506,4)&amp;"/"&amp;RIGHT("00"&amp;$H506,2)&amp;"/"&amp;RIGHT("00"&amp;$I506,2)))</f>
        <v/>
      </c>
      <c r="K506">
        <f>IF(OR($F506="",$J506="",$J506="نامعتبر"),"",LEFT($J506,4)&amp;MID($J506,6,2)&amp;RIGHT($J506,2)&amp;$N506&amp;"|"&amp;"2"&amp;RIGHT("00000"&amp;501,5))</f>
        <v/>
      </c>
      <c r="L506">
        <f>IF($K506="","",COUNTIFS(LdgPartyA,$F506,LdgKeyA,"&lt;"&amp;$K506)+COUNTIFS(LdgPartyB,$F506,LdgKeyB,"&lt;"&amp;$K506)+1)</f>
        <v/>
      </c>
      <c r="M506">
        <f>IF($L506="","",$F506&amp;"|"&amp;RIGHT("000000"&amp;$L506,6))</f>
        <v/>
      </c>
      <c r="N506">
        <f>IF($F506="","",IF(Sync!$AH506="","0000",IF(AND(ISNUMBER(Sync!$AH506),Sync!$AH506&gt;=0,Sync!$AH506&lt;1),RIGHT("00"&amp;HOUR(Sync!$AH506),2)&amp;RIGHT("00"&amp;MINUTE(Sync!$AH506),2),IFERROR(RIGHT("00"&amp;VALUE(LEFT(Sync!$AH506,FIND(":",Sync!$AH506)-1)),2)&amp;RIGHT("00"&amp;VALUE(MID(Sync!$AH506,FIND(":",Sync!$AH506)+1,2)),2),"0000"))))</f>
        <v/>
      </c>
    </row>
    <row r="507">
      <c r="A507">
        <f>IF(OR(Calc!$E510="",Calc!$E510="نامعتبر",Calc!$G510="",Calc!$I510&lt;&gt;"خرید"),"",Calc!$G510)</f>
        <v/>
      </c>
      <c r="B507">
        <f>IF($A507="","",LEFT(Calc!$E510,4)&amp;MID(Calc!$E510,6,2)&amp;RIGHT(Calc!$E510,2)&amp;Calc!$R510&amp;"|"&amp;"1"&amp;RIGHT("00000"&amp;502,5))</f>
        <v/>
      </c>
      <c r="C507">
        <f>IF($B507="","",COUNTIFS(LdgPartyA,$A507,LdgKeyA,"&lt;"&amp;$B507)+COUNTIFS(LdgPartyB,$A507,LdgKeyB,"&lt;"&amp;$B507)+1)</f>
        <v/>
      </c>
      <c r="D507">
        <f>IF($C507="","",$A507&amp;"|"&amp;RIGHT("000000"&amp;$C507,6))</f>
        <v/>
      </c>
      <c r="F507">
        <f>IF(Sync!$AJ507="","",Sync!$AJ507)</f>
        <v/>
      </c>
      <c r="G507">
        <f>IF($F507="","",IF(Sync!$AG507="","",IF(ISNUMBER(Sync!$AG507),IF(AND(Sync!$AG507&gt;=10000101,Sync!$AG507&lt;=99991231),INT(Sync!$AG507/10000),""),IFERROR(VALUE(TRIM(LEFT(Sync!$AG507,FIND("/",Sync!$AG507)-1))),""))))</f>
        <v/>
      </c>
      <c r="H507">
        <f>IF(OR($F507="",$G507=""),"",IF(ISNUMBER(Sync!$AG507),INT(MOD(Sync!$AG507,10000)/100),IFERROR(VALUE(TRIM(LEFT(MID(Sync!$AG507,FIND("/",Sync!$AG507)+1,20),FIND("/",MID(Sync!$AG507,FIND("/",Sync!$AG507)+1,20))-1))),"")))</f>
        <v/>
      </c>
      <c r="I507">
        <f>IF(OR($F507="",$G507=""),"",IF(ISNUMBER(Sync!$AG507),MOD(Sync!$AG507,100),IFERROR(VALUE(TRIM(MID(MID(Sync!$AG507,FIND("/",Sync!$AG507)+1,20),FIND("/",MID(Sync!$AG507,FIND("/",Sync!$AG507)+1,20))+1,20))),"")))</f>
        <v/>
      </c>
      <c r="J507">
        <f>IF($F507="","",IF(OR($G507="",$H507="",$I507="",$G507&lt;1300,$G507&gt;1500,$H507&lt;1,$H507&gt;12,$I507&lt;1,$I507&gt;31),"نامعتبر",RIGHT("0000"&amp;$G507,4)&amp;"/"&amp;RIGHT("00"&amp;$H507,2)&amp;"/"&amp;RIGHT("00"&amp;$I507,2)))</f>
        <v/>
      </c>
      <c r="K507">
        <f>IF(OR($F507="",$J507="",$J507="نامعتبر"),"",LEFT($J507,4)&amp;MID($J507,6,2)&amp;RIGHT($J507,2)&amp;$N507&amp;"|"&amp;"2"&amp;RIGHT("00000"&amp;502,5))</f>
        <v/>
      </c>
      <c r="L507">
        <f>IF($K507="","",COUNTIFS(LdgPartyA,$F507,LdgKeyA,"&lt;"&amp;$K507)+COUNTIFS(LdgPartyB,$F507,LdgKeyB,"&lt;"&amp;$K507)+1)</f>
        <v/>
      </c>
      <c r="M507">
        <f>IF($L507="","",$F507&amp;"|"&amp;RIGHT("000000"&amp;$L507,6))</f>
        <v/>
      </c>
      <c r="N507">
        <f>IF($F507="","",IF(Sync!$AH507="","0000",IF(AND(ISNUMBER(Sync!$AH507),Sync!$AH507&gt;=0,Sync!$AH507&lt;1),RIGHT("00"&amp;HOUR(Sync!$AH507),2)&amp;RIGHT("00"&amp;MINUTE(Sync!$AH507),2),IFERROR(RIGHT("00"&amp;VALUE(LEFT(Sync!$AH507,FIND(":",Sync!$AH507)-1)),2)&amp;RIGHT("00"&amp;VALUE(MID(Sync!$AH507,FIND(":",Sync!$AH507)+1,2)),2),"0000"))))</f>
        <v/>
      </c>
    </row>
    <row r="508">
      <c r="A508">
        <f>IF(OR(Calc!$E511="",Calc!$E511="نامعتبر",Calc!$G511="",Calc!$I511&lt;&gt;"خرید"),"",Calc!$G511)</f>
        <v/>
      </c>
      <c r="B508">
        <f>IF($A508="","",LEFT(Calc!$E511,4)&amp;MID(Calc!$E511,6,2)&amp;RIGHT(Calc!$E511,2)&amp;Calc!$R511&amp;"|"&amp;"1"&amp;RIGHT("00000"&amp;503,5))</f>
        <v/>
      </c>
      <c r="C508">
        <f>IF($B508="","",COUNTIFS(LdgPartyA,$A508,LdgKeyA,"&lt;"&amp;$B508)+COUNTIFS(LdgPartyB,$A508,LdgKeyB,"&lt;"&amp;$B508)+1)</f>
        <v/>
      </c>
      <c r="D508">
        <f>IF($C508="","",$A508&amp;"|"&amp;RIGHT("000000"&amp;$C508,6))</f>
        <v/>
      </c>
      <c r="F508">
        <f>IF(Sync!$AJ508="","",Sync!$AJ508)</f>
        <v/>
      </c>
      <c r="G508">
        <f>IF($F508="","",IF(Sync!$AG508="","",IF(ISNUMBER(Sync!$AG508),IF(AND(Sync!$AG508&gt;=10000101,Sync!$AG508&lt;=99991231),INT(Sync!$AG508/10000),""),IFERROR(VALUE(TRIM(LEFT(Sync!$AG508,FIND("/",Sync!$AG508)-1))),""))))</f>
        <v/>
      </c>
      <c r="H508">
        <f>IF(OR($F508="",$G508=""),"",IF(ISNUMBER(Sync!$AG508),INT(MOD(Sync!$AG508,10000)/100),IFERROR(VALUE(TRIM(LEFT(MID(Sync!$AG508,FIND("/",Sync!$AG508)+1,20),FIND("/",MID(Sync!$AG508,FIND("/",Sync!$AG508)+1,20))-1))),"")))</f>
        <v/>
      </c>
      <c r="I508">
        <f>IF(OR($F508="",$G508=""),"",IF(ISNUMBER(Sync!$AG508),MOD(Sync!$AG508,100),IFERROR(VALUE(TRIM(MID(MID(Sync!$AG508,FIND("/",Sync!$AG508)+1,20),FIND("/",MID(Sync!$AG508,FIND("/",Sync!$AG508)+1,20))+1,20))),"")))</f>
        <v/>
      </c>
      <c r="J508">
        <f>IF($F508="","",IF(OR($G508="",$H508="",$I508="",$G508&lt;1300,$G508&gt;1500,$H508&lt;1,$H508&gt;12,$I508&lt;1,$I508&gt;31),"نامعتبر",RIGHT("0000"&amp;$G508,4)&amp;"/"&amp;RIGHT("00"&amp;$H508,2)&amp;"/"&amp;RIGHT("00"&amp;$I508,2)))</f>
        <v/>
      </c>
      <c r="K508">
        <f>IF(OR($F508="",$J508="",$J508="نامعتبر"),"",LEFT($J508,4)&amp;MID($J508,6,2)&amp;RIGHT($J508,2)&amp;$N508&amp;"|"&amp;"2"&amp;RIGHT("00000"&amp;503,5))</f>
        <v/>
      </c>
      <c r="L508">
        <f>IF($K508="","",COUNTIFS(LdgPartyA,$F508,LdgKeyA,"&lt;"&amp;$K508)+COUNTIFS(LdgPartyB,$F508,LdgKeyB,"&lt;"&amp;$K508)+1)</f>
        <v/>
      </c>
      <c r="M508">
        <f>IF($L508="","",$F508&amp;"|"&amp;RIGHT("000000"&amp;$L508,6))</f>
        <v/>
      </c>
      <c r="N508">
        <f>IF($F508="","",IF(Sync!$AH508="","0000",IF(AND(ISNUMBER(Sync!$AH508),Sync!$AH508&gt;=0,Sync!$AH508&lt;1),RIGHT("00"&amp;HOUR(Sync!$AH508),2)&amp;RIGHT("00"&amp;MINUTE(Sync!$AH508),2),IFERROR(RIGHT("00"&amp;VALUE(LEFT(Sync!$AH508,FIND(":",Sync!$AH508)-1)),2)&amp;RIGHT("00"&amp;VALUE(MID(Sync!$AH508,FIND(":",Sync!$AH508)+1,2)),2),"0000"))))</f>
        <v/>
      </c>
    </row>
    <row r="509">
      <c r="A509">
        <f>IF(OR(Calc!$E512="",Calc!$E512="نامعتبر",Calc!$G512="",Calc!$I512&lt;&gt;"خرید"),"",Calc!$G512)</f>
        <v/>
      </c>
      <c r="B509">
        <f>IF($A509="","",LEFT(Calc!$E512,4)&amp;MID(Calc!$E512,6,2)&amp;RIGHT(Calc!$E512,2)&amp;Calc!$R512&amp;"|"&amp;"1"&amp;RIGHT("00000"&amp;504,5))</f>
        <v/>
      </c>
      <c r="C509">
        <f>IF($B509="","",COUNTIFS(LdgPartyA,$A509,LdgKeyA,"&lt;"&amp;$B509)+COUNTIFS(LdgPartyB,$A509,LdgKeyB,"&lt;"&amp;$B509)+1)</f>
        <v/>
      </c>
      <c r="D509">
        <f>IF($C509="","",$A509&amp;"|"&amp;RIGHT("000000"&amp;$C509,6))</f>
        <v/>
      </c>
      <c r="F509">
        <f>IF(Sync!$AJ509="","",Sync!$AJ509)</f>
        <v/>
      </c>
      <c r="G509">
        <f>IF($F509="","",IF(Sync!$AG509="","",IF(ISNUMBER(Sync!$AG509),IF(AND(Sync!$AG509&gt;=10000101,Sync!$AG509&lt;=99991231),INT(Sync!$AG509/10000),""),IFERROR(VALUE(TRIM(LEFT(Sync!$AG509,FIND("/",Sync!$AG509)-1))),""))))</f>
        <v/>
      </c>
      <c r="H509">
        <f>IF(OR($F509="",$G509=""),"",IF(ISNUMBER(Sync!$AG509),INT(MOD(Sync!$AG509,10000)/100),IFERROR(VALUE(TRIM(LEFT(MID(Sync!$AG509,FIND("/",Sync!$AG509)+1,20),FIND("/",MID(Sync!$AG509,FIND("/",Sync!$AG509)+1,20))-1))),"")))</f>
        <v/>
      </c>
      <c r="I509">
        <f>IF(OR($F509="",$G509=""),"",IF(ISNUMBER(Sync!$AG509),MOD(Sync!$AG509,100),IFERROR(VALUE(TRIM(MID(MID(Sync!$AG509,FIND("/",Sync!$AG509)+1,20),FIND("/",MID(Sync!$AG509,FIND("/",Sync!$AG509)+1,20))+1,20))),"")))</f>
        <v/>
      </c>
      <c r="J509">
        <f>IF($F509="","",IF(OR($G509="",$H509="",$I509="",$G509&lt;1300,$G509&gt;1500,$H509&lt;1,$H509&gt;12,$I509&lt;1,$I509&gt;31),"نامعتبر",RIGHT("0000"&amp;$G509,4)&amp;"/"&amp;RIGHT("00"&amp;$H509,2)&amp;"/"&amp;RIGHT("00"&amp;$I509,2)))</f>
        <v/>
      </c>
      <c r="K509">
        <f>IF(OR($F509="",$J509="",$J509="نامعتبر"),"",LEFT($J509,4)&amp;MID($J509,6,2)&amp;RIGHT($J509,2)&amp;$N509&amp;"|"&amp;"2"&amp;RIGHT("00000"&amp;504,5))</f>
        <v/>
      </c>
      <c r="L509">
        <f>IF($K509="","",COUNTIFS(LdgPartyA,$F509,LdgKeyA,"&lt;"&amp;$K509)+COUNTIFS(LdgPartyB,$F509,LdgKeyB,"&lt;"&amp;$K509)+1)</f>
        <v/>
      </c>
      <c r="M509">
        <f>IF($L509="","",$F509&amp;"|"&amp;RIGHT("000000"&amp;$L509,6))</f>
        <v/>
      </c>
      <c r="N509">
        <f>IF($F509="","",IF(Sync!$AH509="","0000",IF(AND(ISNUMBER(Sync!$AH509),Sync!$AH509&gt;=0,Sync!$AH509&lt;1),RIGHT("00"&amp;HOUR(Sync!$AH509),2)&amp;RIGHT("00"&amp;MINUTE(Sync!$AH509),2),IFERROR(RIGHT("00"&amp;VALUE(LEFT(Sync!$AH509,FIND(":",Sync!$AH509)-1)),2)&amp;RIGHT("00"&amp;VALUE(MID(Sync!$AH509,FIND(":",Sync!$AH509)+1,2)),2),"0000"))))</f>
        <v/>
      </c>
    </row>
    <row r="510">
      <c r="A510">
        <f>IF(OR(Calc!$E513="",Calc!$E513="نامعتبر",Calc!$G513="",Calc!$I513&lt;&gt;"خرید"),"",Calc!$G513)</f>
        <v/>
      </c>
      <c r="B510">
        <f>IF($A510="","",LEFT(Calc!$E513,4)&amp;MID(Calc!$E513,6,2)&amp;RIGHT(Calc!$E513,2)&amp;Calc!$R513&amp;"|"&amp;"1"&amp;RIGHT("00000"&amp;505,5))</f>
        <v/>
      </c>
      <c r="C510">
        <f>IF($B510="","",COUNTIFS(LdgPartyA,$A510,LdgKeyA,"&lt;"&amp;$B510)+COUNTIFS(LdgPartyB,$A510,LdgKeyB,"&lt;"&amp;$B510)+1)</f>
        <v/>
      </c>
      <c r="D510">
        <f>IF($C510="","",$A510&amp;"|"&amp;RIGHT("000000"&amp;$C510,6))</f>
        <v/>
      </c>
      <c r="F510">
        <f>IF(Sync!$AJ510="","",Sync!$AJ510)</f>
        <v/>
      </c>
      <c r="G510">
        <f>IF($F510="","",IF(Sync!$AG510="","",IF(ISNUMBER(Sync!$AG510),IF(AND(Sync!$AG510&gt;=10000101,Sync!$AG510&lt;=99991231),INT(Sync!$AG510/10000),""),IFERROR(VALUE(TRIM(LEFT(Sync!$AG510,FIND("/",Sync!$AG510)-1))),""))))</f>
        <v/>
      </c>
      <c r="H510">
        <f>IF(OR($F510="",$G510=""),"",IF(ISNUMBER(Sync!$AG510),INT(MOD(Sync!$AG510,10000)/100),IFERROR(VALUE(TRIM(LEFT(MID(Sync!$AG510,FIND("/",Sync!$AG510)+1,20),FIND("/",MID(Sync!$AG510,FIND("/",Sync!$AG510)+1,20))-1))),"")))</f>
        <v/>
      </c>
      <c r="I510">
        <f>IF(OR($F510="",$G510=""),"",IF(ISNUMBER(Sync!$AG510),MOD(Sync!$AG510,100),IFERROR(VALUE(TRIM(MID(MID(Sync!$AG510,FIND("/",Sync!$AG510)+1,20),FIND("/",MID(Sync!$AG510,FIND("/",Sync!$AG510)+1,20))+1,20))),"")))</f>
        <v/>
      </c>
      <c r="J510">
        <f>IF($F510="","",IF(OR($G510="",$H510="",$I510="",$G510&lt;1300,$G510&gt;1500,$H510&lt;1,$H510&gt;12,$I510&lt;1,$I510&gt;31),"نامعتبر",RIGHT("0000"&amp;$G510,4)&amp;"/"&amp;RIGHT("00"&amp;$H510,2)&amp;"/"&amp;RIGHT("00"&amp;$I510,2)))</f>
        <v/>
      </c>
      <c r="K510">
        <f>IF(OR($F510="",$J510="",$J510="نامعتبر"),"",LEFT($J510,4)&amp;MID($J510,6,2)&amp;RIGHT($J510,2)&amp;$N510&amp;"|"&amp;"2"&amp;RIGHT("00000"&amp;505,5))</f>
        <v/>
      </c>
      <c r="L510">
        <f>IF($K510="","",COUNTIFS(LdgPartyA,$F510,LdgKeyA,"&lt;"&amp;$K510)+COUNTIFS(LdgPartyB,$F510,LdgKeyB,"&lt;"&amp;$K510)+1)</f>
        <v/>
      </c>
      <c r="M510">
        <f>IF($L510="","",$F510&amp;"|"&amp;RIGHT("000000"&amp;$L510,6))</f>
        <v/>
      </c>
      <c r="N510">
        <f>IF($F510="","",IF(Sync!$AH510="","0000",IF(AND(ISNUMBER(Sync!$AH510),Sync!$AH510&gt;=0,Sync!$AH510&lt;1),RIGHT("00"&amp;HOUR(Sync!$AH510),2)&amp;RIGHT("00"&amp;MINUTE(Sync!$AH510),2),IFERROR(RIGHT("00"&amp;VALUE(LEFT(Sync!$AH510,FIND(":",Sync!$AH510)-1)),2)&amp;RIGHT("00"&amp;VALUE(MID(Sync!$AH510,FIND(":",Sync!$AH510)+1,2)),2),"0000"))))</f>
        <v/>
      </c>
    </row>
    <row r="511">
      <c r="A511">
        <f>IF(OR(Calc!$E514="",Calc!$E514="نامعتبر",Calc!$G514="",Calc!$I514&lt;&gt;"خرید"),"",Calc!$G514)</f>
        <v/>
      </c>
      <c r="B511">
        <f>IF($A511="","",LEFT(Calc!$E514,4)&amp;MID(Calc!$E514,6,2)&amp;RIGHT(Calc!$E514,2)&amp;Calc!$R514&amp;"|"&amp;"1"&amp;RIGHT("00000"&amp;506,5))</f>
        <v/>
      </c>
      <c r="C511">
        <f>IF($B511="","",COUNTIFS(LdgPartyA,$A511,LdgKeyA,"&lt;"&amp;$B511)+COUNTIFS(LdgPartyB,$A511,LdgKeyB,"&lt;"&amp;$B511)+1)</f>
        <v/>
      </c>
      <c r="D511">
        <f>IF($C511="","",$A511&amp;"|"&amp;RIGHT("000000"&amp;$C511,6))</f>
        <v/>
      </c>
      <c r="F511">
        <f>IF(Sync!$AJ511="","",Sync!$AJ511)</f>
        <v/>
      </c>
      <c r="G511">
        <f>IF($F511="","",IF(Sync!$AG511="","",IF(ISNUMBER(Sync!$AG511),IF(AND(Sync!$AG511&gt;=10000101,Sync!$AG511&lt;=99991231),INT(Sync!$AG511/10000),""),IFERROR(VALUE(TRIM(LEFT(Sync!$AG511,FIND("/",Sync!$AG511)-1))),""))))</f>
        <v/>
      </c>
      <c r="H511">
        <f>IF(OR($F511="",$G511=""),"",IF(ISNUMBER(Sync!$AG511),INT(MOD(Sync!$AG511,10000)/100),IFERROR(VALUE(TRIM(LEFT(MID(Sync!$AG511,FIND("/",Sync!$AG511)+1,20),FIND("/",MID(Sync!$AG511,FIND("/",Sync!$AG511)+1,20))-1))),"")))</f>
        <v/>
      </c>
      <c r="I511">
        <f>IF(OR($F511="",$G511=""),"",IF(ISNUMBER(Sync!$AG511),MOD(Sync!$AG511,100),IFERROR(VALUE(TRIM(MID(MID(Sync!$AG511,FIND("/",Sync!$AG511)+1,20),FIND("/",MID(Sync!$AG511,FIND("/",Sync!$AG511)+1,20))+1,20))),"")))</f>
        <v/>
      </c>
      <c r="J511">
        <f>IF($F511="","",IF(OR($G511="",$H511="",$I511="",$G511&lt;1300,$G511&gt;1500,$H511&lt;1,$H511&gt;12,$I511&lt;1,$I511&gt;31),"نامعتبر",RIGHT("0000"&amp;$G511,4)&amp;"/"&amp;RIGHT("00"&amp;$H511,2)&amp;"/"&amp;RIGHT("00"&amp;$I511,2)))</f>
        <v/>
      </c>
      <c r="K511">
        <f>IF(OR($F511="",$J511="",$J511="نامعتبر"),"",LEFT($J511,4)&amp;MID($J511,6,2)&amp;RIGHT($J511,2)&amp;$N511&amp;"|"&amp;"2"&amp;RIGHT("00000"&amp;506,5))</f>
        <v/>
      </c>
      <c r="L511">
        <f>IF($K511="","",COUNTIFS(LdgPartyA,$F511,LdgKeyA,"&lt;"&amp;$K511)+COUNTIFS(LdgPartyB,$F511,LdgKeyB,"&lt;"&amp;$K511)+1)</f>
        <v/>
      </c>
      <c r="M511">
        <f>IF($L511="","",$F511&amp;"|"&amp;RIGHT("000000"&amp;$L511,6))</f>
        <v/>
      </c>
      <c r="N511">
        <f>IF($F511="","",IF(Sync!$AH511="","0000",IF(AND(ISNUMBER(Sync!$AH511),Sync!$AH511&gt;=0,Sync!$AH511&lt;1),RIGHT("00"&amp;HOUR(Sync!$AH511),2)&amp;RIGHT("00"&amp;MINUTE(Sync!$AH511),2),IFERROR(RIGHT("00"&amp;VALUE(LEFT(Sync!$AH511,FIND(":",Sync!$AH511)-1)),2)&amp;RIGHT("00"&amp;VALUE(MID(Sync!$AH511,FIND(":",Sync!$AH511)+1,2)),2),"0000"))))</f>
        <v/>
      </c>
    </row>
    <row r="512">
      <c r="A512">
        <f>IF(OR(Calc!$E515="",Calc!$E515="نامعتبر",Calc!$G515="",Calc!$I515&lt;&gt;"خرید"),"",Calc!$G515)</f>
        <v/>
      </c>
      <c r="B512">
        <f>IF($A512="","",LEFT(Calc!$E515,4)&amp;MID(Calc!$E515,6,2)&amp;RIGHT(Calc!$E515,2)&amp;Calc!$R515&amp;"|"&amp;"1"&amp;RIGHT("00000"&amp;507,5))</f>
        <v/>
      </c>
      <c r="C512">
        <f>IF($B512="","",COUNTIFS(LdgPartyA,$A512,LdgKeyA,"&lt;"&amp;$B512)+COUNTIFS(LdgPartyB,$A512,LdgKeyB,"&lt;"&amp;$B512)+1)</f>
        <v/>
      </c>
      <c r="D512">
        <f>IF($C512="","",$A512&amp;"|"&amp;RIGHT("000000"&amp;$C512,6))</f>
        <v/>
      </c>
      <c r="F512">
        <f>IF(Sync!$AJ512="","",Sync!$AJ512)</f>
        <v/>
      </c>
      <c r="G512">
        <f>IF($F512="","",IF(Sync!$AG512="","",IF(ISNUMBER(Sync!$AG512),IF(AND(Sync!$AG512&gt;=10000101,Sync!$AG512&lt;=99991231),INT(Sync!$AG512/10000),""),IFERROR(VALUE(TRIM(LEFT(Sync!$AG512,FIND("/",Sync!$AG512)-1))),""))))</f>
        <v/>
      </c>
      <c r="H512">
        <f>IF(OR($F512="",$G512=""),"",IF(ISNUMBER(Sync!$AG512),INT(MOD(Sync!$AG512,10000)/100),IFERROR(VALUE(TRIM(LEFT(MID(Sync!$AG512,FIND("/",Sync!$AG512)+1,20),FIND("/",MID(Sync!$AG512,FIND("/",Sync!$AG512)+1,20))-1))),"")))</f>
        <v/>
      </c>
      <c r="I512">
        <f>IF(OR($F512="",$G512=""),"",IF(ISNUMBER(Sync!$AG512),MOD(Sync!$AG512,100),IFERROR(VALUE(TRIM(MID(MID(Sync!$AG512,FIND("/",Sync!$AG512)+1,20),FIND("/",MID(Sync!$AG512,FIND("/",Sync!$AG512)+1,20))+1,20))),"")))</f>
        <v/>
      </c>
      <c r="J512">
        <f>IF($F512="","",IF(OR($G512="",$H512="",$I512="",$G512&lt;1300,$G512&gt;1500,$H512&lt;1,$H512&gt;12,$I512&lt;1,$I512&gt;31),"نامعتبر",RIGHT("0000"&amp;$G512,4)&amp;"/"&amp;RIGHT("00"&amp;$H512,2)&amp;"/"&amp;RIGHT("00"&amp;$I512,2)))</f>
        <v/>
      </c>
      <c r="K512">
        <f>IF(OR($F512="",$J512="",$J512="نامعتبر"),"",LEFT($J512,4)&amp;MID($J512,6,2)&amp;RIGHT($J512,2)&amp;$N512&amp;"|"&amp;"2"&amp;RIGHT("00000"&amp;507,5))</f>
        <v/>
      </c>
      <c r="L512">
        <f>IF($K512="","",COUNTIFS(LdgPartyA,$F512,LdgKeyA,"&lt;"&amp;$K512)+COUNTIFS(LdgPartyB,$F512,LdgKeyB,"&lt;"&amp;$K512)+1)</f>
        <v/>
      </c>
      <c r="M512">
        <f>IF($L512="","",$F512&amp;"|"&amp;RIGHT("000000"&amp;$L512,6))</f>
        <v/>
      </c>
      <c r="N512">
        <f>IF($F512="","",IF(Sync!$AH512="","0000",IF(AND(ISNUMBER(Sync!$AH512),Sync!$AH512&gt;=0,Sync!$AH512&lt;1),RIGHT("00"&amp;HOUR(Sync!$AH512),2)&amp;RIGHT("00"&amp;MINUTE(Sync!$AH512),2),IFERROR(RIGHT("00"&amp;VALUE(LEFT(Sync!$AH512,FIND(":",Sync!$AH512)-1)),2)&amp;RIGHT("00"&amp;VALUE(MID(Sync!$AH512,FIND(":",Sync!$AH512)+1,2)),2),"0000"))))</f>
        <v/>
      </c>
    </row>
    <row r="513">
      <c r="A513">
        <f>IF(OR(Calc!$E516="",Calc!$E516="نامعتبر",Calc!$G516="",Calc!$I516&lt;&gt;"خرید"),"",Calc!$G516)</f>
        <v/>
      </c>
      <c r="B513">
        <f>IF($A513="","",LEFT(Calc!$E516,4)&amp;MID(Calc!$E516,6,2)&amp;RIGHT(Calc!$E516,2)&amp;Calc!$R516&amp;"|"&amp;"1"&amp;RIGHT("00000"&amp;508,5))</f>
        <v/>
      </c>
      <c r="C513">
        <f>IF($B513="","",COUNTIFS(LdgPartyA,$A513,LdgKeyA,"&lt;"&amp;$B513)+COUNTIFS(LdgPartyB,$A513,LdgKeyB,"&lt;"&amp;$B513)+1)</f>
        <v/>
      </c>
      <c r="D513">
        <f>IF($C513="","",$A513&amp;"|"&amp;RIGHT("000000"&amp;$C513,6))</f>
        <v/>
      </c>
      <c r="F513">
        <f>IF(Sync!$AJ513="","",Sync!$AJ513)</f>
        <v/>
      </c>
      <c r="G513">
        <f>IF($F513="","",IF(Sync!$AG513="","",IF(ISNUMBER(Sync!$AG513),IF(AND(Sync!$AG513&gt;=10000101,Sync!$AG513&lt;=99991231),INT(Sync!$AG513/10000),""),IFERROR(VALUE(TRIM(LEFT(Sync!$AG513,FIND("/",Sync!$AG513)-1))),""))))</f>
        <v/>
      </c>
      <c r="H513">
        <f>IF(OR($F513="",$G513=""),"",IF(ISNUMBER(Sync!$AG513),INT(MOD(Sync!$AG513,10000)/100),IFERROR(VALUE(TRIM(LEFT(MID(Sync!$AG513,FIND("/",Sync!$AG513)+1,20),FIND("/",MID(Sync!$AG513,FIND("/",Sync!$AG513)+1,20))-1))),"")))</f>
        <v/>
      </c>
      <c r="I513">
        <f>IF(OR($F513="",$G513=""),"",IF(ISNUMBER(Sync!$AG513),MOD(Sync!$AG513,100),IFERROR(VALUE(TRIM(MID(MID(Sync!$AG513,FIND("/",Sync!$AG513)+1,20),FIND("/",MID(Sync!$AG513,FIND("/",Sync!$AG513)+1,20))+1,20))),"")))</f>
        <v/>
      </c>
      <c r="J513">
        <f>IF($F513="","",IF(OR($G513="",$H513="",$I513="",$G513&lt;1300,$G513&gt;1500,$H513&lt;1,$H513&gt;12,$I513&lt;1,$I513&gt;31),"نامعتبر",RIGHT("0000"&amp;$G513,4)&amp;"/"&amp;RIGHT("00"&amp;$H513,2)&amp;"/"&amp;RIGHT("00"&amp;$I513,2)))</f>
        <v/>
      </c>
      <c r="K513">
        <f>IF(OR($F513="",$J513="",$J513="نامعتبر"),"",LEFT($J513,4)&amp;MID($J513,6,2)&amp;RIGHT($J513,2)&amp;$N513&amp;"|"&amp;"2"&amp;RIGHT("00000"&amp;508,5))</f>
        <v/>
      </c>
      <c r="L513">
        <f>IF($K513="","",COUNTIFS(LdgPartyA,$F513,LdgKeyA,"&lt;"&amp;$K513)+COUNTIFS(LdgPartyB,$F513,LdgKeyB,"&lt;"&amp;$K513)+1)</f>
        <v/>
      </c>
      <c r="M513">
        <f>IF($L513="","",$F513&amp;"|"&amp;RIGHT("000000"&amp;$L513,6))</f>
        <v/>
      </c>
      <c r="N513">
        <f>IF($F513="","",IF(Sync!$AH513="","0000",IF(AND(ISNUMBER(Sync!$AH513),Sync!$AH513&gt;=0,Sync!$AH513&lt;1),RIGHT("00"&amp;HOUR(Sync!$AH513),2)&amp;RIGHT("00"&amp;MINUTE(Sync!$AH513),2),IFERROR(RIGHT("00"&amp;VALUE(LEFT(Sync!$AH513,FIND(":",Sync!$AH513)-1)),2)&amp;RIGHT("00"&amp;VALUE(MID(Sync!$AH513,FIND(":",Sync!$AH513)+1,2)),2),"0000"))))</f>
        <v/>
      </c>
    </row>
    <row r="514">
      <c r="A514">
        <f>IF(OR(Calc!$E517="",Calc!$E517="نامعتبر",Calc!$G517="",Calc!$I517&lt;&gt;"خرید"),"",Calc!$G517)</f>
        <v/>
      </c>
      <c r="B514">
        <f>IF($A514="","",LEFT(Calc!$E517,4)&amp;MID(Calc!$E517,6,2)&amp;RIGHT(Calc!$E517,2)&amp;Calc!$R517&amp;"|"&amp;"1"&amp;RIGHT("00000"&amp;509,5))</f>
        <v/>
      </c>
      <c r="C514">
        <f>IF($B514="","",COUNTIFS(LdgPartyA,$A514,LdgKeyA,"&lt;"&amp;$B514)+COUNTIFS(LdgPartyB,$A514,LdgKeyB,"&lt;"&amp;$B514)+1)</f>
        <v/>
      </c>
      <c r="D514">
        <f>IF($C514="","",$A514&amp;"|"&amp;RIGHT("000000"&amp;$C514,6))</f>
        <v/>
      </c>
      <c r="F514">
        <f>IF(Sync!$AJ514="","",Sync!$AJ514)</f>
        <v/>
      </c>
      <c r="G514">
        <f>IF($F514="","",IF(Sync!$AG514="","",IF(ISNUMBER(Sync!$AG514),IF(AND(Sync!$AG514&gt;=10000101,Sync!$AG514&lt;=99991231),INT(Sync!$AG514/10000),""),IFERROR(VALUE(TRIM(LEFT(Sync!$AG514,FIND("/",Sync!$AG514)-1))),""))))</f>
        <v/>
      </c>
      <c r="H514">
        <f>IF(OR($F514="",$G514=""),"",IF(ISNUMBER(Sync!$AG514),INT(MOD(Sync!$AG514,10000)/100),IFERROR(VALUE(TRIM(LEFT(MID(Sync!$AG514,FIND("/",Sync!$AG514)+1,20),FIND("/",MID(Sync!$AG514,FIND("/",Sync!$AG514)+1,20))-1))),"")))</f>
        <v/>
      </c>
      <c r="I514">
        <f>IF(OR($F514="",$G514=""),"",IF(ISNUMBER(Sync!$AG514),MOD(Sync!$AG514,100),IFERROR(VALUE(TRIM(MID(MID(Sync!$AG514,FIND("/",Sync!$AG514)+1,20),FIND("/",MID(Sync!$AG514,FIND("/",Sync!$AG514)+1,20))+1,20))),"")))</f>
        <v/>
      </c>
      <c r="J514">
        <f>IF($F514="","",IF(OR($G514="",$H514="",$I514="",$G514&lt;1300,$G514&gt;1500,$H514&lt;1,$H514&gt;12,$I514&lt;1,$I514&gt;31),"نامعتبر",RIGHT("0000"&amp;$G514,4)&amp;"/"&amp;RIGHT("00"&amp;$H514,2)&amp;"/"&amp;RIGHT("00"&amp;$I514,2)))</f>
        <v/>
      </c>
      <c r="K514">
        <f>IF(OR($F514="",$J514="",$J514="نامعتبر"),"",LEFT($J514,4)&amp;MID($J514,6,2)&amp;RIGHT($J514,2)&amp;$N514&amp;"|"&amp;"2"&amp;RIGHT("00000"&amp;509,5))</f>
        <v/>
      </c>
      <c r="L514">
        <f>IF($K514="","",COUNTIFS(LdgPartyA,$F514,LdgKeyA,"&lt;"&amp;$K514)+COUNTIFS(LdgPartyB,$F514,LdgKeyB,"&lt;"&amp;$K514)+1)</f>
        <v/>
      </c>
      <c r="M514">
        <f>IF($L514="","",$F514&amp;"|"&amp;RIGHT("000000"&amp;$L514,6))</f>
        <v/>
      </c>
      <c r="N514">
        <f>IF($F514="","",IF(Sync!$AH514="","0000",IF(AND(ISNUMBER(Sync!$AH514),Sync!$AH514&gt;=0,Sync!$AH514&lt;1),RIGHT("00"&amp;HOUR(Sync!$AH514),2)&amp;RIGHT("00"&amp;MINUTE(Sync!$AH514),2),IFERROR(RIGHT("00"&amp;VALUE(LEFT(Sync!$AH514,FIND(":",Sync!$AH514)-1)),2)&amp;RIGHT("00"&amp;VALUE(MID(Sync!$AH514,FIND(":",Sync!$AH514)+1,2)),2),"0000"))))</f>
        <v/>
      </c>
    </row>
    <row r="515">
      <c r="A515">
        <f>IF(OR(Calc!$E518="",Calc!$E518="نامعتبر",Calc!$G518="",Calc!$I518&lt;&gt;"خرید"),"",Calc!$G518)</f>
        <v/>
      </c>
      <c r="B515">
        <f>IF($A515="","",LEFT(Calc!$E518,4)&amp;MID(Calc!$E518,6,2)&amp;RIGHT(Calc!$E518,2)&amp;Calc!$R518&amp;"|"&amp;"1"&amp;RIGHT("00000"&amp;510,5))</f>
        <v/>
      </c>
      <c r="C515">
        <f>IF($B515="","",COUNTIFS(LdgPartyA,$A515,LdgKeyA,"&lt;"&amp;$B515)+COUNTIFS(LdgPartyB,$A515,LdgKeyB,"&lt;"&amp;$B515)+1)</f>
        <v/>
      </c>
      <c r="D515">
        <f>IF($C515="","",$A515&amp;"|"&amp;RIGHT("000000"&amp;$C515,6))</f>
        <v/>
      </c>
      <c r="F515">
        <f>IF(Sync!$AJ515="","",Sync!$AJ515)</f>
        <v/>
      </c>
      <c r="G515">
        <f>IF($F515="","",IF(Sync!$AG515="","",IF(ISNUMBER(Sync!$AG515),IF(AND(Sync!$AG515&gt;=10000101,Sync!$AG515&lt;=99991231),INT(Sync!$AG515/10000),""),IFERROR(VALUE(TRIM(LEFT(Sync!$AG515,FIND("/",Sync!$AG515)-1))),""))))</f>
        <v/>
      </c>
      <c r="H515">
        <f>IF(OR($F515="",$G515=""),"",IF(ISNUMBER(Sync!$AG515),INT(MOD(Sync!$AG515,10000)/100),IFERROR(VALUE(TRIM(LEFT(MID(Sync!$AG515,FIND("/",Sync!$AG515)+1,20),FIND("/",MID(Sync!$AG515,FIND("/",Sync!$AG515)+1,20))-1))),"")))</f>
        <v/>
      </c>
      <c r="I515">
        <f>IF(OR($F515="",$G515=""),"",IF(ISNUMBER(Sync!$AG515),MOD(Sync!$AG515,100),IFERROR(VALUE(TRIM(MID(MID(Sync!$AG515,FIND("/",Sync!$AG515)+1,20),FIND("/",MID(Sync!$AG515,FIND("/",Sync!$AG515)+1,20))+1,20))),"")))</f>
        <v/>
      </c>
      <c r="J515">
        <f>IF($F515="","",IF(OR($G515="",$H515="",$I515="",$G515&lt;1300,$G515&gt;1500,$H515&lt;1,$H515&gt;12,$I515&lt;1,$I515&gt;31),"نامعتبر",RIGHT("0000"&amp;$G515,4)&amp;"/"&amp;RIGHT("00"&amp;$H515,2)&amp;"/"&amp;RIGHT("00"&amp;$I515,2)))</f>
        <v/>
      </c>
      <c r="K515">
        <f>IF(OR($F515="",$J515="",$J515="نامعتبر"),"",LEFT($J515,4)&amp;MID($J515,6,2)&amp;RIGHT($J515,2)&amp;$N515&amp;"|"&amp;"2"&amp;RIGHT("00000"&amp;510,5))</f>
        <v/>
      </c>
      <c r="L515">
        <f>IF($K515="","",COUNTIFS(LdgPartyA,$F515,LdgKeyA,"&lt;"&amp;$K515)+COUNTIFS(LdgPartyB,$F515,LdgKeyB,"&lt;"&amp;$K515)+1)</f>
        <v/>
      </c>
      <c r="M515">
        <f>IF($L515="","",$F515&amp;"|"&amp;RIGHT("000000"&amp;$L515,6))</f>
        <v/>
      </c>
      <c r="N515">
        <f>IF($F515="","",IF(Sync!$AH515="","0000",IF(AND(ISNUMBER(Sync!$AH515),Sync!$AH515&gt;=0,Sync!$AH515&lt;1),RIGHT("00"&amp;HOUR(Sync!$AH515),2)&amp;RIGHT("00"&amp;MINUTE(Sync!$AH515),2),IFERROR(RIGHT("00"&amp;VALUE(LEFT(Sync!$AH515,FIND(":",Sync!$AH515)-1)),2)&amp;RIGHT("00"&amp;VALUE(MID(Sync!$AH515,FIND(":",Sync!$AH515)+1,2)),2),"0000"))))</f>
        <v/>
      </c>
    </row>
    <row r="516">
      <c r="A516">
        <f>IF(OR(Calc!$E519="",Calc!$E519="نامعتبر",Calc!$G519="",Calc!$I519&lt;&gt;"خرید"),"",Calc!$G519)</f>
        <v/>
      </c>
      <c r="B516">
        <f>IF($A516="","",LEFT(Calc!$E519,4)&amp;MID(Calc!$E519,6,2)&amp;RIGHT(Calc!$E519,2)&amp;Calc!$R519&amp;"|"&amp;"1"&amp;RIGHT("00000"&amp;511,5))</f>
        <v/>
      </c>
      <c r="C516">
        <f>IF($B516="","",COUNTIFS(LdgPartyA,$A516,LdgKeyA,"&lt;"&amp;$B516)+COUNTIFS(LdgPartyB,$A516,LdgKeyB,"&lt;"&amp;$B516)+1)</f>
        <v/>
      </c>
      <c r="D516">
        <f>IF($C516="","",$A516&amp;"|"&amp;RIGHT("000000"&amp;$C516,6))</f>
        <v/>
      </c>
      <c r="F516">
        <f>IF(Sync!$AJ516="","",Sync!$AJ516)</f>
        <v/>
      </c>
      <c r="G516">
        <f>IF($F516="","",IF(Sync!$AG516="","",IF(ISNUMBER(Sync!$AG516),IF(AND(Sync!$AG516&gt;=10000101,Sync!$AG516&lt;=99991231),INT(Sync!$AG516/10000),""),IFERROR(VALUE(TRIM(LEFT(Sync!$AG516,FIND("/",Sync!$AG516)-1))),""))))</f>
        <v/>
      </c>
      <c r="H516">
        <f>IF(OR($F516="",$G516=""),"",IF(ISNUMBER(Sync!$AG516),INT(MOD(Sync!$AG516,10000)/100),IFERROR(VALUE(TRIM(LEFT(MID(Sync!$AG516,FIND("/",Sync!$AG516)+1,20),FIND("/",MID(Sync!$AG516,FIND("/",Sync!$AG516)+1,20))-1))),"")))</f>
        <v/>
      </c>
      <c r="I516">
        <f>IF(OR($F516="",$G516=""),"",IF(ISNUMBER(Sync!$AG516),MOD(Sync!$AG516,100),IFERROR(VALUE(TRIM(MID(MID(Sync!$AG516,FIND("/",Sync!$AG516)+1,20),FIND("/",MID(Sync!$AG516,FIND("/",Sync!$AG516)+1,20))+1,20))),"")))</f>
        <v/>
      </c>
      <c r="J516">
        <f>IF($F516="","",IF(OR($G516="",$H516="",$I516="",$G516&lt;1300,$G516&gt;1500,$H516&lt;1,$H516&gt;12,$I516&lt;1,$I516&gt;31),"نامعتبر",RIGHT("0000"&amp;$G516,4)&amp;"/"&amp;RIGHT("00"&amp;$H516,2)&amp;"/"&amp;RIGHT("00"&amp;$I516,2)))</f>
        <v/>
      </c>
      <c r="K516">
        <f>IF(OR($F516="",$J516="",$J516="نامعتبر"),"",LEFT($J516,4)&amp;MID($J516,6,2)&amp;RIGHT($J516,2)&amp;$N516&amp;"|"&amp;"2"&amp;RIGHT("00000"&amp;511,5))</f>
        <v/>
      </c>
      <c r="L516">
        <f>IF($K516="","",COUNTIFS(LdgPartyA,$F516,LdgKeyA,"&lt;"&amp;$K516)+COUNTIFS(LdgPartyB,$F516,LdgKeyB,"&lt;"&amp;$K516)+1)</f>
        <v/>
      </c>
      <c r="M516">
        <f>IF($L516="","",$F516&amp;"|"&amp;RIGHT("000000"&amp;$L516,6))</f>
        <v/>
      </c>
      <c r="N516">
        <f>IF($F516="","",IF(Sync!$AH516="","0000",IF(AND(ISNUMBER(Sync!$AH516),Sync!$AH516&gt;=0,Sync!$AH516&lt;1),RIGHT("00"&amp;HOUR(Sync!$AH516),2)&amp;RIGHT("00"&amp;MINUTE(Sync!$AH516),2),IFERROR(RIGHT("00"&amp;VALUE(LEFT(Sync!$AH516,FIND(":",Sync!$AH516)-1)),2)&amp;RIGHT("00"&amp;VALUE(MID(Sync!$AH516,FIND(":",Sync!$AH516)+1,2)),2),"0000"))))</f>
        <v/>
      </c>
    </row>
    <row r="517">
      <c r="A517">
        <f>IF(OR(Calc!$E520="",Calc!$E520="نامعتبر",Calc!$G520="",Calc!$I520&lt;&gt;"خرید"),"",Calc!$G520)</f>
        <v/>
      </c>
      <c r="B517">
        <f>IF($A517="","",LEFT(Calc!$E520,4)&amp;MID(Calc!$E520,6,2)&amp;RIGHT(Calc!$E520,2)&amp;Calc!$R520&amp;"|"&amp;"1"&amp;RIGHT("00000"&amp;512,5))</f>
        <v/>
      </c>
      <c r="C517">
        <f>IF($B517="","",COUNTIFS(LdgPartyA,$A517,LdgKeyA,"&lt;"&amp;$B517)+COUNTIFS(LdgPartyB,$A517,LdgKeyB,"&lt;"&amp;$B517)+1)</f>
        <v/>
      </c>
      <c r="D517">
        <f>IF($C517="","",$A517&amp;"|"&amp;RIGHT("000000"&amp;$C517,6))</f>
        <v/>
      </c>
      <c r="F517">
        <f>IF(Sync!$AJ517="","",Sync!$AJ517)</f>
        <v/>
      </c>
      <c r="G517">
        <f>IF($F517="","",IF(Sync!$AG517="","",IF(ISNUMBER(Sync!$AG517),IF(AND(Sync!$AG517&gt;=10000101,Sync!$AG517&lt;=99991231),INT(Sync!$AG517/10000),""),IFERROR(VALUE(TRIM(LEFT(Sync!$AG517,FIND("/",Sync!$AG517)-1))),""))))</f>
        <v/>
      </c>
      <c r="H517">
        <f>IF(OR($F517="",$G517=""),"",IF(ISNUMBER(Sync!$AG517),INT(MOD(Sync!$AG517,10000)/100),IFERROR(VALUE(TRIM(LEFT(MID(Sync!$AG517,FIND("/",Sync!$AG517)+1,20),FIND("/",MID(Sync!$AG517,FIND("/",Sync!$AG517)+1,20))-1))),"")))</f>
        <v/>
      </c>
      <c r="I517">
        <f>IF(OR($F517="",$G517=""),"",IF(ISNUMBER(Sync!$AG517),MOD(Sync!$AG517,100),IFERROR(VALUE(TRIM(MID(MID(Sync!$AG517,FIND("/",Sync!$AG517)+1,20),FIND("/",MID(Sync!$AG517,FIND("/",Sync!$AG517)+1,20))+1,20))),"")))</f>
        <v/>
      </c>
      <c r="J517">
        <f>IF($F517="","",IF(OR($G517="",$H517="",$I517="",$G517&lt;1300,$G517&gt;1500,$H517&lt;1,$H517&gt;12,$I517&lt;1,$I517&gt;31),"نامعتبر",RIGHT("0000"&amp;$G517,4)&amp;"/"&amp;RIGHT("00"&amp;$H517,2)&amp;"/"&amp;RIGHT("00"&amp;$I517,2)))</f>
        <v/>
      </c>
      <c r="K517">
        <f>IF(OR($F517="",$J517="",$J517="نامعتبر"),"",LEFT($J517,4)&amp;MID($J517,6,2)&amp;RIGHT($J517,2)&amp;$N517&amp;"|"&amp;"2"&amp;RIGHT("00000"&amp;512,5))</f>
        <v/>
      </c>
      <c r="L517">
        <f>IF($K517="","",COUNTIFS(LdgPartyA,$F517,LdgKeyA,"&lt;"&amp;$K517)+COUNTIFS(LdgPartyB,$F517,LdgKeyB,"&lt;"&amp;$K517)+1)</f>
        <v/>
      </c>
      <c r="M517">
        <f>IF($L517="","",$F517&amp;"|"&amp;RIGHT("000000"&amp;$L517,6))</f>
        <v/>
      </c>
      <c r="N517">
        <f>IF($F517="","",IF(Sync!$AH517="","0000",IF(AND(ISNUMBER(Sync!$AH517),Sync!$AH517&gt;=0,Sync!$AH517&lt;1),RIGHT("00"&amp;HOUR(Sync!$AH517),2)&amp;RIGHT("00"&amp;MINUTE(Sync!$AH517),2),IFERROR(RIGHT("00"&amp;VALUE(LEFT(Sync!$AH517,FIND(":",Sync!$AH517)-1)),2)&amp;RIGHT("00"&amp;VALUE(MID(Sync!$AH517,FIND(":",Sync!$AH517)+1,2)),2),"0000"))))</f>
        <v/>
      </c>
    </row>
    <row r="518">
      <c r="A518">
        <f>IF(OR(Calc!$E521="",Calc!$E521="نامعتبر",Calc!$G521="",Calc!$I521&lt;&gt;"خرید"),"",Calc!$G521)</f>
        <v/>
      </c>
      <c r="B518">
        <f>IF($A518="","",LEFT(Calc!$E521,4)&amp;MID(Calc!$E521,6,2)&amp;RIGHT(Calc!$E521,2)&amp;Calc!$R521&amp;"|"&amp;"1"&amp;RIGHT("00000"&amp;513,5))</f>
        <v/>
      </c>
      <c r="C518">
        <f>IF($B518="","",COUNTIFS(LdgPartyA,$A518,LdgKeyA,"&lt;"&amp;$B518)+COUNTIFS(LdgPartyB,$A518,LdgKeyB,"&lt;"&amp;$B518)+1)</f>
        <v/>
      </c>
      <c r="D518">
        <f>IF($C518="","",$A518&amp;"|"&amp;RIGHT("000000"&amp;$C518,6))</f>
        <v/>
      </c>
      <c r="F518">
        <f>IF(Sync!$AJ518="","",Sync!$AJ518)</f>
        <v/>
      </c>
      <c r="G518">
        <f>IF($F518="","",IF(Sync!$AG518="","",IF(ISNUMBER(Sync!$AG518),IF(AND(Sync!$AG518&gt;=10000101,Sync!$AG518&lt;=99991231),INT(Sync!$AG518/10000),""),IFERROR(VALUE(TRIM(LEFT(Sync!$AG518,FIND("/",Sync!$AG518)-1))),""))))</f>
        <v/>
      </c>
      <c r="H518">
        <f>IF(OR($F518="",$G518=""),"",IF(ISNUMBER(Sync!$AG518),INT(MOD(Sync!$AG518,10000)/100),IFERROR(VALUE(TRIM(LEFT(MID(Sync!$AG518,FIND("/",Sync!$AG518)+1,20),FIND("/",MID(Sync!$AG518,FIND("/",Sync!$AG518)+1,20))-1))),"")))</f>
        <v/>
      </c>
      <c r="I518">
        <f>IF(OR($F518="",$G518=""),"",IF(ISNUMBER(Sync!$AG518),MOD(Sync!$AG518,100),IFERROR(VALUE(TRIM(MID(MID(Sync!$AG518,FIND("/",Sync!$AG518)+1,20),FIND("/",MID(Sync!$AG518,FIND("/",Sync!$AG518)+1,20))+1,20))),"")))</f>
        <v/>
      </c>
      <c r="J518">
        <f>IF($F518="","",IF(OR($G518="",$H518="",$I518="",$G518&lt;1300,$G518&gt;1500,$H518&lt;1,$H518&gt;12,$I518&lt;1,$I518&gt;31),"نامعتبر",RIGHT("0000"&amp;$G518,4)&amp;"/"&amp;RIGHT("00"&amp;$H518,2)&amp;"/"&amp;RIGHT("00"&amp;$I518,2)))</f>
        <v/>
      </c>
      <c r="K518">
        <f>IF(OR($F518="",$J518="",$J518="نامعتبر"),"",LEFT($J518,4)&amp;MID($J518,6,2)&amp;RIGHT($J518,2)&amp;$N518&amp;"|"&amp;"2"&amp;RIGHT("00000"&amp;513,5))</f>
        <v/>
      </c>
      <c r="L518">
        <f>IF($K518="","",COUNTIFS(LdgPartyA,$F518,LdgKeyA,"&lt;"&amp;$K518)+COUNTIFS(LdgPartyB,$F518,LdgKeyB,"&lt;"&amp;$K518)+1)</f>
        <v/>
      </c>
      <c r="M518">
        <f>IF($L518="","",$F518&amp;"|"&amp;RIGHT("000000"&amp;$L518,6))</f>
        <v/>
      </c>
      <c r="N518">
        <f>IF($F518="","",IF(Sync!$AH518="","0000",IF(AND(ISNUMBER(Sync!$AH518),Sync!$AH518&gt;=0,Sync!$AH518&lt;1),RIGHT("00"&amp;HOUR(Sync!$AH518),2)&amp;RIGHT("00"&amp;MINUTE(Sync!$AH518),2),IFERROR(RIGHT("00"&amp;VALUE(LEFT(Sync!$AH518,FIND(":",Sync!$AH518)-1)),2)&amp;RIGHT("00"&amp;VALUE(MID(Sync!$AH518,FIND(":",Sync!$AH518)+1,2)),2),"0000"))))</f>
        <v/>
      </c>
    </row>
    <row r="519">
      <c r="A519">
        <f>IF(OR(Calc!$E522="",Calc!$E522="نامعتبر",Calc!$G522="",Calc!$I522&lt;&gt;"خرید"),"",Calc!$G522)</f>
        <v/>
      </c>
      <c r="B519">
        <f>IF($A519="","",LEFT(Calc!$E522,4)&amp;MID(Calc!$E522,6,2)&amp;RIGHT(Calc!$E522,2)&amp;Calc!$R522&amp;"|"&amp;"1"&amp;RIGHT("00000"&amp;514,5))</f>
        <v/>
      </c>
      <c r="C519">
        <f>IF($B519="","",COUNTIFS(LdgPartyA,$A519,LdgKeyA,"&lt;"&amp;$B519)+COUNTIFS(LdgPartyB,$A519,LdgKeyB,"&lt;"&amp;$B519)+1)</f>
        <v/>
      </c>
      <c r="D519">
        <f>IF($C519="","",$A519&amp;"|"&amp;RIGHT("000000"&amp;$C519,6))</f>
        <v/>
      </c>
      <c r="F519">
        <f>IF(Sync!$AJ519="","",Sync!$AJ519)</f>
        <v/>
      </c>
      <c r="G519">
        <f>IF($F519="","",IF(Sync!$AG519="","",IF(ISNUMBER(Sync!$AG519),IF(AND(Sync!$AG519&gt;=10000101,Sync!$AG519&lt;=99991231),INT(Sync!$AG519/10000),""),IFERROR(VALUE(TRIM(LEFT(Sync!$AG519,FIND("/",Sync!$AG519)-1))),""))))</f>
        <v/>
      </c>
      <c r="H519">
        <f>IF(OR($F519="",$G519=""),"",IF(ISNUMBER(Sync!$AG519),INT(MOD(Sync!$AG519,10000)/100),IFERROR(VALUE(TRIM(LEFT(MID(Sync!$AG519,FIND("/",Sync!$AG519)+1,20),FIND("/",MID(Sync!$AG519,FIND("/",Sync!$AG519)+1,20))-1))),"")))</f>
        <v/>
      </c>
      <c r="I519">
        <f>IF(OR($F519="",$G519=""),"",IF(ISNUMBER(Sync!$AG519),MOD(Sync!$AG519,100),IFERROR(VALUE(TRIM(MID(MID(Sync!$AG519,FIND("/",Sync!$AG519)+1,20),FIND("/",MID(Sync!$AG519,FIND("/",Sync!$AG519)+1,20))+1,20))),"")))</f>
        <v/>
      </c>
      <c r="J519">
        <f>IF($F519="","",IF(OR($G519="",$H519="",$I519="",$G519&lt;1300,$G519&gt;1500,$H519&lt;1,$H519&gt;12,$I519&lt;1,$I519&gt;31),"نامعتبر",RIGHT("0000"&amp;$G519,4)&amp;"/"&amp;RIGHT("00"&amp;$H519,2)&amp;"/"&amp;RIGHT("00"&amp;$I519,2)))</f>
        <v/>
      </c>
      <c r="K519">
        <f>IF(OR($F519="",$J519="",$J519="نامعتبر"),"",LEFT($J519,4)&amp;MID($J519,6,2)&amp;RIGHT($J519,2)&amp;$N519&amp;"|"&amp;"2"&amp;RIGHT("00000"&amp;514,5))</f>
        <v/>
      </c>
      <c r="L519">
        <f>IF($K519="","",COUNTIFS(LdgPartyA,$F519,LdgKeyA,"&lt;"&amp;$K519)+COUNTIFS(LdgPartyB,$F519,LdgKeyB,"&lt;"&amp;$K519)+1)</f>
        <v/>
      </c>
      <c r="M519">
        <f>IF($L519="","",$F519&amp;"|"&amp;RIGHT("000000"&amp;$L519,6))</f>
        <v/>
      </c>
      <c r="N519">
        <f>IF($F519="","",IF(Sync!$AH519="","0000",IF(AND(ISNUMBER(Sync!$AH519),Sync!$AH519&gt;=0,Sync!$AH519&lt;1),RIGHT("00"&amp;HOUR(Sync!$AH519),2)&amp;RIGHT("00"&amp;MINUTE(Sync!$AH519),2),IFERROR(RIGHT("00"&amp;VALUE(LEFT(Sync!$AH519,FIND(":",Sync!$AH519)-1)),2)&amp;RIGHT("00"&amp;VALUE(MID(Sync!$AH519,FIND(":",Sync!$AH519)+1,2)),2),"0000"))))</f>
        <v/>
      </c>
    </row>
    <row r="520">
      <c r="A520">
        <f>IF(OR(Calc!$E523="",Calc!$E523="نامعتبر",Calc!$G523="",Calc!$I523&lt;&gt;"خرید"),"",Calc!$G523)</f>
        <v/>
      </c>
      <c r="B520">
        <f>IF($A520="","",LEFT(Calc!$E523,4)&amp;MID(Calc!$E523,6,2)&amp;RIGHT(Calc!$E523,2)&amp;Calc!$R523&amp;"|"&amp;"1"&amp;RIGHT("00000"&amp;515,5))</f>
        <v/>
      </c>
      <c r="C520">
        <f>IF($B520="","",COUNTIFS(LdgPartyA,$A520,LdgKeyA,"&lt;"&amp;$B520)+COUNTIFS(LdgPartyB,$A520,LdgKeyB,"&lt;"&amp;$B520)+1)</f>
        <v/>
      </c>
      <c r="D520">
        <f>IF($C520="","",$A520&amp;"|"&amp;RIGHT("000000"&amp;$C520,6))</f>
        <v/>
      </c>
      <c r="F520">
        <f>IF(Sync!$AJ520="","",Sync!$AJ520)</f>
        <v/>
      </c>
      <c r="G520">
        <f>IF($F520="","",IF(Sync!$AG520="","",IF(ISNUMBER(Sync!$AG520),IF(AND(Sync!$AG520&gt;=10000101,Sync!$AG520&lt;=99991231),INT(Sync!$AG520/10000),""),IFERROR(VALUE(TRIM(LEFT(Sync!$AG520,FIND("/",Sync!$AG520)-1))),""))))</f>
        <v/>
      </c>
      <c r="H520">
        <f>IF(OR($F520="",$G520=""),"",IF(ISNUMBER(Sync!$AG520),INT(MOD(Sync!$AG520,10000)/100),IFERROR(VALUE(TRIM(LEFT(MID(Sync!$AG520,FIND("/",Sync!$AG520)+1,20),FIND("/",MID(Sync!$AG520,FIND("/",Sync!$AG520)+1,20))-1))),"")))</f>
        <v/>
      </c>
      <c r="I520">
        <f>IF(OR($F520="",$G520=""),"",IF(ISNUMBER(Sync!$AG520),MOD(Sync!$AG520,100),IFERROR(VALUE(TRIM(MID(MID(Sync!$AG520,FIND("/",Sync!$AG520)+1,20),FIND("/",MID(Sync!$AG520,FIND("/",Sync!$AG520)+1,20))+1,20))),"")))</f>
        <v/>
      </c>
      <c r="J520">
        <f>IF($F520="","",IF(OR($G520="",$H520="",$I520="",$G520&lt;1300,$G520&gt;1500,$H520&lt;1,$H520&gt;12,$I520&lt;1,$I520&gt;31),"نامعتبر",RIGHT("0000"&amp;$G520,4)&amp;"/"&amp;RIGHT("00"&amp;$H520,2)&amp;"/"&amp;RIGHT("00"&amp;$I520,2)))</f>
        <v/>
      </c>
      <c r="K520">
        <f>IF(OR($F520="",$J520="",$J520="نامعتبر"),"",LEFT($J520,4)&amp;MID($J520,6,2)&amp;RIGHT($J520,2)&amp;$N520&amp;"|"&amp;"2"&amp;RIGHT("00000"&amp;515,5))</f>
        <v/>
      </c>
      <c r="L520">
        <f>IF($K520="","",COUNTIFS(LdgPartyA,$F520,LdgKeyA,"&lt;"&amp;$K520)+COUNTIFS(LdgPartyB,$F520,LdgKeyB,"&lt;"&amp;$K520)+1)</f>
        <v/>
      </c>
      <c r="M520">
        <f>IF($L520="","",$F520&amp;"|"&amp;RIGHT("000000"&amp;$L520,6))</f>
        <v/>
      </c>
      <c r="N520">
        <f>IF($F520="","",IF(Sync!$AH520="","0000",IF(AND(ISNUMBER(Sync!$AH520),Sync!$AH520&gt;=0,Sync!$AH520&lt;1),RIGHT("00"&amp;HOUR(Sync!$AH520),2)&amp;RIGHT("00"&amp;MINUTE(Sync!$AH520),2),IFERROR(RIGHT("00"&amp;VALUE(LEFT(Sync!$AH520,FIND(":",Sync!$AH520)-1)),2)&amp;RIGHT("00"&amp;VALUE(MID(Sync!$AH520,FIND(":",Sync!$AH520)+1,2)),2),"0000"))))</f>
        <v/>
      </c>
    </row>
    <row r="521">
      <c r="A521">
        <f>IF(OR(Calc!$E524="",Calc!$E524="نامعتبر",Calc!$G524="",Calc!$I524&lt;&gt;"خرید"),"",Calc!$G524)</f>
        <v/>
      </c>
      <c r="B521">
        <f>IF($A521="","",LEFT(Calc!$E524,4)&amp;MID(Calc!$E524,6,2)&amp;RIGHT(Calc!$E524,2)&amp;Calc!$R524&amp;"|"&amp;"1"&amp;RIGHT("00000"&amp;516,5))</f>
        <v/>
      </c>
      <c r="C521">
        <f>IF($B521="","",COUNTIFS(LdgPartyA,$A521,LdgKeyA,"&lt;"&amp;$B521)+COUNTIFS(LdgPartyB,$A521,LdgKeyB,"&lt;"&amp;$B521)+1)</f>
        <v/>
      </c>
      <c r="D521">
        <f>IF($C521="","",$A521&amp;"|"&amp;RIGHT("000000"&amp;$C521,6))</f>
        <v/>
      </c>
      <c r="F521">
        <f>IF(Sync!$AJ521="","",Sync!$AJ521)</f>
        <v/>
      </c>
      <c r="G521">
        <f>IF($F521="","",IF(Sync!$AG521="","",IF(ISNUMBER(Sync!$AG521),IF(AND(Sync!$AG521&gt;=10000101,Sync!$AG521&lt;=99991231),INT(Sync!$AG521/10000),""),IFERROR(VALUE(TRIM(LEFT(Sync!$AG521,FIND("/",Sync!$AG521)-1))),""))))</f>
        <v/>
      </c>
      <c r="H521">
        <f>IF(OR($F521="",$G521=""),"",IF(ISNUMBER(Sync!$AG521),INT(MOD(Sync!$AG521,10000)/100),IFERROR(VALUE(TRIM(LEFT(MID(Sync!$AG521,FIND("/",Sync!$AG521)+1,20),FIND("/",MID(Sync!$AG521,FIND("/",Sync!$AG521)+1,20))-1))),"")))</f>
        <v/>
      </c>
      <c r="I521">
        <f>IF(OR($F521="",$G521=""),"",IF(ISNUMBER(Sync!$AG521),MOD(Sync!$AG521,100),IFERROR(VALUE(TRIM(MID(MID(Sync!$AG521,FIND("/",Sync!$AG521)+1,20),FIND("/",MID(Sync!$AG521,FIND("/",Sync!$AG521)+1,20))+1,20))),"")))</f>
        <v/>
      </c>
      <c r="J521">
        <f>IF($F521="","",IF(OR($G521="",$H521="",$I521="",$G521&lt;1300,$G521&gt;1500,$H521&lt;1,$H521&gt;12,$I521&lt;1,$I521&gt;31),"نامعتبر",RIGHT("0000"&amp;$G521,4)&amp;"/"&amp;RIGHT("00"&amp;$H521,2)&amp;"/"&amp;RIGHT("00"&amp;$I521,2)))</f>
        <v/>
      </c>
      <c r="K521">
        <f>IF(OR($F521="",$J521="",$J521="نامعتبر"),"",LEFT($J521,4)&amp;MID($J521,6,2)&amp;RIGHT($J521,2)&amp;$N521&amp;"|"&amp;"2"&amp;RIGHT("00000"&amp;516,5))</f>
        <v/>
      </c>
      <c r="L521">
        <f>IF($K521="","",COUNTIFS(LdgPartyA,$F521,LdgKeyA,"&lt;"&amp;$K521)+COUNTIFS(LdgPartyB,$F521,LdgKeyB,"&lt;"&amp;$K521)+1)</f>
        <v/>
      </c>
      <c r="M521">
        <f>IF($L521="","",$F521&amp;"|"&amp;RIGHT("000000"&amp;$L521,6))</f>
        <v/>
      </c>
      <c r="N521">
        <f>IF($F521="","",IF(Sync!$AH521="","0000",IF(AND(ISNUMBER(Sync!$AH521),Sync!$AH521&gt;=0,Sync!$AH521&lt;1),RIGHT("00"&amp;HOUR(Sync!$AH521),2)&amp;RIGHT("00"&amp;MINUTE(Sync!$AH521),2),IFERROR(RIGHT("00"&amp;VALUE(LEFT(Sync!$AH521,FIND(":",Sync!$AH521)-1)),2)&amp;RIGHT("00"&amp;VALUE(MID(Sync!$AH521,FIND(":",Sync!$AH521)+1,2)),2),"0000"))))</f>
        <v/>
      </c>
    </row>
    <row r="522">
      <c r="A522">
        <f>IF(OR(Calc!$E525="",Calc!$E525="نامعتبر",Calc!$G525="",Calc!$I525&lt;&gt;"خرید"),"",Calc!$G525)</f>
        <v/>
      </c>
      <c r="B522">
        <f>IF($A522="","",LEFT(Calc!$E525,4)&amp;MID(Calc!$E525,6,2)&amp;RIGHT(Calc!$E525,2)&amp;Calc!$R525&amp;"|"&amp;"1"&amp;RIGHT("00000"&amp;517,5))</f>
        <v/>
      </c>
      <c r="C522">
        <f>IF($B522="","",COUNTIFS(LdgPartyA,$A522,LdgKeyA,"&lt;"&amp;$B522)+COUNTIFS(LdgPartyB,$A522,LdgKeyB,"&lt;"&amp;$B522)+1)</f>
        <v/>
      </c>
      <c r="D522">
        <f>IF($C522="","",$A522&amp;"|"&amp;RIGHT("000000"&amp;$C522,6))</f>
        <v/>
      </c>
      <c r="F522">
        <f>IF(Sync!$AJ522="","",Sync!$AJ522)</f>
        <v/>
      </c>
      <c r="G522">
        <f>IF($F522="","",IF(Sync!$AG522="","",IF(ISNUMBER(Sync!$AG522),IF(AND(Sync!$AG522&gt;=10000101,Sync!$AG522&lt;=99991231),INT(Sync!$AG522/10000),""),IFERROR(VALUE(TRIM(LEFT(Sync!$AG522,FIND("/",Sync!$AG522)-1))),""))))</f>
        <v/>
      </c>
      <c r="H522">
        <f>IF(OR($F522="",$G522=""),"",IF(ISNUMBER(Sync!$AG522),INT(MOD(Sync!$AG522,10000)/100),IFERROR(VALUE(TRIM(LEFT(MID(Sync!$AG522,FIND("/",Sync!$AG522)+1,20),FIND("/",MID(Sync!$AG522,FIND("/",Sync!$AG522)+1,20))-1))),"")))</f>
        <v/>
      </c>
      <c r="I522">
        <f>IF(OR($F522="",$G522=""),"",IF(ISNUMBER(Sync!$AG522),MOD(Sync!$AG522,100),IFERROR(VALUE(TRIM(MID(MID(Sync!$AG522,FIND("/",Sync!$AG522)+1,20),FIND("/",MID(Sync!$AG522,FIND("/",Sync!$AG522)+1,20))+1,20))),"")))</f>
        <v/>
      </c>
      <c r="J522">
        <f>IF($F522="","",IF(OR($G522="",$H522="",$I522="",$G522&lt;1300,$G522&gt;1500,$H522&lt;1,$H522&gt;12,$I522&lt;1,$I522&gt;31),"نامعتبر",RIGHT("0000"&amp;$G522,4)&amp;"/"&amp;RIGHT("00"&amp;$H522,2)&amp;"/"&amp;RIGHT("00"&amp;$I522,2)))</f>
        <v/>
      </c>
      <c r="K522">
        <f>IF(OR($F522="",$J522="",$J522="نامعتبر"),"",LEFT($J522,4)&amp;MID($J522,6,2)&amp;RIGHT($J522,2)&amp;$N522&amp;"|"&amp;"2"&amp;RIGHT("00000"&amp;517,5))</f>
        <v/>
      </c>
      <c r="L522">
        <f>IF($K522="","",COUNTIFS(LdgPartyA,$F522,LdgKeyA,"&lt;"&amp;$K522)+COUNTIFS(LdgPartyB,$F522,LdgKeyB,"&lt;"&amp;$K522)+1)</f>
        <v/>
      </c>
      <c r="M522">
        <f>IF($L522="","",$F522&amp;"|"&amp;RIGHT("000000"&amp;$L522,6))</f>
        <v/>
      </c>
      <c r="N522">
        <f>IF($F522="","",IF(Sync!$AH522="","0000",IF(AND(ISNUMBER(Sync!$AH522),Sync!$AH522&gt;=0,Sync!$AH522&lt;1),RIGHT("00"&amp;HOUR(Sync!$AH522),2)&amp;RIGHT("00"&amp;MINUTE(Sync!$AH522),2),IFERROR(RIGHT("00"&amp;VALUE(LEFT(Sync!$AH522,FIND(":",Sync!$AH522)-1)),2)&amp;RIGHT("00"&amp;VALUE(MID(Sync!$AH522,FIND(":",Sync!$AH522)+1,2)),2),"0000"))))</f>
        <v/>
      </c>
    </row>
    <row r="523">
      <c r="A523">
        <f>IF(OR(Calc!$E526="",Calc!$E526="نامعتبر",Calc!$G526="",Calc!$I526&lt;&gt;"خرید"),"",Calc!$G526)</f>
        <v/>
      </c>
      <c r="B523">
        <f>IF($A523="","",LEFT(Calc!$E526,4)&amp;MID(Calc!$E526,6,2)&amp;RIGHT(Calc!$E526,2)&amp;Calc!$R526&amp;"|"&amp;"1"&amp;RIGHT("00000"&amp;518,5))</f>
        <v/>
      </c>
      <c r="C523">
        <f>IF($B523="","",COUNTIFS(LdgPartyA,$A523,LdgKeyA,"&lt;"&amp;$B523)+COUNTIFS(LdgPartyB,$A523,LdgKeyB,"&lt;"&amp;$B523)+1)</f>
        <v/>
      </c>
      <c r="D523">
        <f>IF($C523="","",$A523&amp;"|"&amp;RIGHT("000000"&amp;$C523,6))</f>
        <v/>
      </c>
      <c r="F523">
        <f>IF(Sync!$AJ523="","",Sync!$AJ523)</f>
        <v/>
      </c>
      <c r="G523">
        <f>IF($F523="","",IF(Sync!$AG523="","",IF(ISNUMBER(Sync!$AG523),IF(AND(Sync!$AG523&gt;=10000101,Sync!$AG523&lt;=99991231),INT(Sync!$AG523/10000),""),IFERROR(VALUE(TRIM(LEFT(Sync!$AG523,FIND("/",Sync!$AG523)-1))),""))))</f>
        <v/>
      </c>
      <c r="H523">
        <f>IF(OR($F523="",$G523=""),"",IF(ISNUMBER(Sync!$AG523),INT(MOD(Sync!$AG523,10000)/100),IFERROR(VALUE(TRIM(LEFT(MID(Sync!$AG523,FIND("/",Sync!$AG523)+1,20),FIND("/",MID(Sync!$AG523,FIND("/",Sync!$AG523)+1,20))-1))),"")))</f>
        <v/>
      </c>
      <c r="I523">
        <f>IF(OR($F523="",$G523=""),"",IF(ISNUMBER(Sync!$AG523),MOD(Sync!$AG523,100),IFERROR(VALUE(TRIM(MID(MID(Sync!$AG523,FIND("/",Sync!$AG523)+1,20),FIND("/",MID(Sync!$AG523,FIND("/",Sync!$AG523)+1,20))+1,20))),"")))</f>
        <v/>
      </c>
      <c r="J523">
        <f>IF($F523="","",IF(OR($G523="",$H523="",$I523="",$G523&lt;1300,$G523&gt;1500,$H523&lt;1,$H523&gt;12,$I523&lt;1,$I523&gt;31),"نامعتبر",RIGHT("0000"&amp;$G523,4)&amp;"/"&amp;RIGHT("00"&amp;$H523,2)&amp;"/"&amp;RIGHT("00"&amp;$I523,2)))</f>
        <v/>
      </c>
      <c r="K523">
        <f>IF(OR($F523="",$J523="",$J523="نامعتبر"),"",LEFT($J523,4)&amp;MID($J523,6,2)&amp;RIGHT($J523,2)&amp;$N523&amp;"|"&amp;"2"&amp;RIGHT("00000"&amp;518,5))</f>
        <v/>
      </c>
      <c r="L523">
        <f>IF($K523="","",COUNTIFS(LdgPartyA,$F523,LdgKeyA,"&lt;"&amp;$K523)+COUNTIFS(LdgPartyB,$F523,LdgKeyB,"&lt;"&amp;$K523)+1)</f>
        <v/>
      </c>
      <c r="M523">
        <f>IF($L523="","",$F523&amp;"|"&amp;RIGHT("000000"&amp;$L523,6))</f>
        <v/>
      </c>
      <c r="N523">
        <f>IF($F523="","",IF(Sync!$AH523="","0000",IF(AND(ISNUMBER(Sync!$AH523),Sync!$AH523&gt;=0,Sync!$AH523&lt;1),RIGHT("00"&amp;HOUR(Sync!$AH523),2)&amp;RIGHT("00"&amp;MINUTE(Sync!$AH523),2),IFERROR(RIGHT("00"&amp;VALUE(LEFT(Sync!$AH523,FIND(":",Sync!$AH523)-1)),2)&amp;RIGHT("00"&amp;VALUE(MID(Sync!$AH523,FIND(":",Sync!$AH523)+1,2)),2),"0000"))))</f>
        <v/>
      </c>
    </row>
    <row r="524">
      <c r="A524">
        <f>IF(OR(Calc!$E527="",Calc!$E527="نامعتبر",Calc!$G527="",Calc!$I527&lt;&gt;"خرید"),"",Calc!$G527)</f>
        <v/>
      </c>
      <c r="B524">
        <f>IF($A524="","",LEFT(Calc!$E527,4)&amp;MID(Calc!$E527,6,2)&amp;RIGHT(Calc!$E527,2)&amp;Calc!$R527&amp;"|"&amp;"1"&amp;RIGHT("00000"&amp;519,5))</f>
        <v/>
      </c>
      <c r="C524">
        <f>IF($B524="","",COUNTIFS(LdgPartyA,$A524,LdgKeyA,"&lt;"&amp;$B524)+COUNTIFS(LdgPartyB,$A524,LdgKeyB,"&lt;"&amp;$B524)+1)</f>
        <v/>
      </c>
      <c r="D524">
        <f>IF($C524="","",$A524&amp;"|"&amp;RIGHT("000000"&amp;$C524,6))</f>
        <v/>
      </c>
      <c r="F524">
        <f>IF(Sync!$AJ524="","",Sync!$AJ524)</f>
        <v/>
      </c>
      <c r="G524">
        <f>IF($F524="","",IF(Sync!$AG524="","",IF(ISNUMBER(Sync!$AG524),IF(AND(Sync!$AG524&gt;=10000101,Sync!$AG524&lt;=99991231),INT(Sync!$AG524/10000),""),IFERROR(VALUE(TRIM(LEFT(Sync!$AG524,FIND("/",Sync!$AG524)-1))),""))))</f>
        <v/>
      </c>
      <c r="H524">
        <f>IF(OR($F524="",$G524=""),"",IF(ISNUMBER(Sync!$AG524),INT(MOD(Sync!$AG524,10000)/100),IFERROR(VALUE(TRIM(LEFT(MID(Sync!$AG524,FIND("/",Sync!$AG524)+1,20),FIND("/",MID(Sync!$AG524,FIND("/",Sync!$AG524)+1,20))-1))),"")))</f>
        <v/>
      </c>
      <c r="I524">
        <f>IF(OR($F524="",$G524=""),"",IF(ISNUMBER(Sync!$AG524),MOD(Sync!$AG524,100),IFERROR(VALUE(TRIM(MID(MID(Sync!$AG524,FIND("/",Sync!$AG524)+1,20),FIND("/",MID(Sync!$AG524,FIND("/",Sync!$AG524)+1,20))+1,20))),"")))</f>
        <v/>
      </c>
      <c r="J524">
        <f>IF($F524="","",IF(OR($G524="",$H524="",$I524="",$G524&lt;1300,$G524&gt;1500,$H524&lt;1,$H524&gt;12,$I524&lt;1,$I524&gt;31),"نامعتبر",RIGHT("0000"&amp;$G524,4)&amp;"/"&amp;RIGHT("00"&amp;$H524,2)&amp;"/"&amp;RIGHT("00"&amp;$I524,2)))</f>
        <v/>
      </c>
      <c r="K524">
        <f>IF(OR($F524="",$J524="",$J524="نامعتبر"),"",LEFT($J524,4)&amp;MID($J524,6,2)&amp;RIGHT($J524,2)&amp;$N524&amp;"|"&amp;"2"&amp;RIGHT("00000"&amp;519,5))</f>
        <v/>
      </c>
      <c r="L524">
        <f>IF($K524="","",COUNTIFS(LdgPartyA,$F524,LdgKeyA,"&lt;"&amp;$K524)+COUNTIFS(LdgPartyB,$F524,LdgKeyB,"&lt;"&amp;$K524)+1)</f>
        <v/>
      </c>
      <c r="M524">
        <f>IF($L524="","",$F524&amp;"|"&amp;RIGHT("000000"&amp;$L524,6))</f>
        <v/>
      </c>
      <c r="N524">
        <f>IF($F524="","",IF(Sync!$AH524="","0000",IF(AND(ISNUMBER(Sync!$AH524),Sync!$AH524&gt;=0,Sync!$AH524&lt;1),RIGHT("00"&amp;HOUR(Sync!$AH524),2)&amp;RIGHT("00"&amp;MINUTE(Sync!$AH524),2),IFERROR(RIGHT("00"&amp;VALUE(LEFT(Sync!$AH524,FIND(":",Sync!$AH524)-1)),2)&amp;RIGHT("00"&amp;VALUE(MID(Sync!$AH524,FIND(":",Sync!$AH524)+1,2)),2),"0000"))))</f>
        <v/>
      </c>
    </row>
    <row r="525">
      <c r="A525">
        <f>IF(OR(Calc!$E528="",Calc!$E528="نامعتبر",Calc!$G528="",Calc!$I528&lt;&gt;"خرید"),"",Calc!$G528)</f>
        <v/>
      </c>
      <c r="B525">
        <f>IF($A525="","",LEFT(Calc!$E528,4)&amp;MID(Calc!$E528,6,2)&amp;RIGHT(Calc!$E528,2)&amp;Calc!$R528&amp;"|"&amp;"1"&amp;RIGHT("00000"&amp;520,5))</f>
        <v/>
      </c>
      <c r="C525">
        <f>IF($B525="","",COUNTIFS(LdgPartyA,$A525,LdgKeyA,"&lt;"&amp;$B525)+COUNTIFS(LdgPartyB,$A525,LdgKeyB,"&lt;"&amp;$B525)+1)</f>
        <v/>
      </c>
      <c r="D525">
        <f>IF($C525="","",$A525&amp;"|"&amp;RIGHT("000000"&amp;$C525,6))</f>
        <v/>
      </c>
      <c r="F525">
        <f>IF(Sync!$AJ525="","",Sync!$AJ525)</f>
        <v/>
      </c>
      <c r="G525">
        <f>IF($F525="","",IF(Sync!$AG525="","",IF(ISNUMBER(Sync!$AG525),IF(AND(Sync!$AG525&gt;=10000101,Sync!$AG525&lt;=99991231),INT(Sync!$AG525/10000),""),IFERROR(VALUE(TRIM(LEFT(Sync!$AG525,FIND("/",Sync!$AG525)-1))),""))))</f>
        <v/>
      </c>
      <c r="H525">
        <f>IF(OR($F525="",$G525=""),"",IF(ISNUMBER(Sync!$AG525),INT(MOD(Sync!$AG525,10000)/100),IFERROR(VALUE(TRIM(LEFT(MID(Sync!$AG525,FIND("/",Sync!$AG525)+1,20),FIND("/",MID(Sync!$AG525,FIND("/",Sync!$AG525)+1,20))-1))),"")))</f>
        <v/>
      </c>
      <c r="I525">
        <f>IF(OR($F525="",$G525=""),"",IF(ISNUMBER(Sync!$AG525),MOD(Sync!$AG525,100),IFERROR(VALUE(TRIM(MID(MID(Sync!$AG525,FIND("/",Sync!$AG525)+1,20),FIND("/",MID(Sync!$AG525,FIND("/",Sync!$AG525)+1,20))+1,20))),"")))</f>
        <v/>
      </c>
      <c r="J525">
        <f>IF($F525="","",IF(OR($G525="",$H525="",$I525="",$G525&lt;1300,$G525&gt;1500,$H525&lt;1,$H525&gt;12,$I525&lt;1,$I525&gt;31),"نامعتبر",RIGHT("0000"&amp;$G525,4)&amp;"/"&amp;RIGHT("00"&amp;$H525,2)&amp;"/"&amp;RIGHT("00"&amp;$I525,2)))</f>
        <v/>
      </c>
      <c r="K525">
        <f>IF(OR($F525="",$J525="",$J525="نامعتبر"),"",LEFT($J525,4)&amp;MID($J525,6,2)&amp;RIGHT($J525,2)&amp;$N525&amp;"|"&amp;"2"&amp;RIGHT("00000"&amp;520,5))</f>
        <v/>
      </c>
      <c r="L525">
        <f>IF($K525="","",COUNTIFS(LdgPartyA,$F525,LdgKeyA,"&lt;"&amp;$K525)+COUNTIFS(LdgPartyB,$F525,LdgKeyB,"&lt;"&amp;$K525)+1)</f>
        <v/>
      </c>
      <c r="M525">
        <f>IF($L525="","",$F525&amp;"|"&amp;RIGHT("000000"&amp;$L525,6))</f>
        <v/>
      </c>
      <c r="N525">
        <f>IF($F525="","",IF(Sync!$AH525="","0000",IF(AND(ISNUMBER(Sync!$AH525),Sync!$AH525&gt;=0,Sync!$AH525&lt;1),RIGHT("00"&amp;HOUR(Sync!$AH525),2)&amp;RIGHT("00"&amp;MINUTE(Sync!$AH525),2),IFERROR(RIGHT("00"&amp;VALUE(LEFT(Sync!$AH525,FIND(":",Sync!$AH525)-1)),2)&amp;RIGHT("00"&amp;VALUE(MID(Sync!$AH525,FIND(":",Sync!$AH525)+1,2)),2),"0000"))))</f>
        <v/>
      </c>
    </row>
    <row r="526">
      <c r="A526">
        <f>IF(OR(Calc!$E529="",Calc!$E529="نامعتبر",Calc!$G529="",Calc!$I529&lt;&gt;"خرید"),"",Calc!$G529)</f>
        <v/>
      </c>
      <c r="B526">
        <f>IF($A526="","",LEFT(Calc!$E529,4)&amp;MID(Calc!$E529,6,2)&amp;RIGHT(Calc!$E529,2)&amp;Calc!$R529&amp;"|"&amp;"1"&amp;RIGHT("00000"&amp;521,5))</f>
        <v/>
      </c>
      <c r="C526">
        <f>IF($B526="","",COUNTIFS(LdgPartyA,$A526,LdgKeyA,"&lt;"&amp;$B526)+COUNTIFS(LdgPartyB,$A526,LdgKeyB,"&lt;"&amp;$B526)+1)</f>
        <v/>
      </c>
      <c r="D526">
        <f>IF($C526="","",$A526&amp;"|"&amp;RIGHT("000000"&amp;$C526,6))</f>
        <v/>
      </c>
      <c r="F526">
        <f>IF(Sync!$AJ526="","",Sync!$AJ526)</f>
        <v/>
      </c>
      <c r="G526">
        <f>IF($F526="","",IF(Sync!$AG526="","",IF(ISNUMBER(Sync!$AG526),IF(AND(Sync!$AG526&gt;=10000101,Sync!$AG526&lt;=99991231),INT(Sync!$AG526/10000),""),IFERROR(VALUE(TRIM(LEFT(Sync!$AG526,FIND("/",Sync!$AG526)-1))),""))))</f>
        <v/>
      </c>
      <c r="H526">
        <f>IF(OR($F526="",$G526=""),"",IF(ISNUMBER(Sync!$AG526),INT(MOD(Sync!$AG526,10000)/100),IFERROR(VALUE(TRIM(LEFT(MID(Sync!$AG526,FIND("/",Sync!$AG526)+1,20),FIND("/",MID(Sync!$AG526,FIND("/",Sync!$AG526)+1,20))-1))),"")))</f>
        <v/>
      </c>
      <c r="I526">
        <f>IF(OR($F526="",$G526=""),"",IF(ISNUMBER(Sync!$AG526),MOD(Sync!$AG526,100),IFERROR(VALUE(TRIM(MID(MID(Sync!$AG526,FIND("/",Sync!$AG526)+1,20),FIND("/",MID(Sync!$AG526,FIND("/",Sync!$AG526)+1,20))+1,20))),"")))</f>
        <v/>
      </c>
      <c r="J526">
        <f>IF($F526="","",IF(OR($G526="",$H526="",$I526="",$G526&lt;1300,$G526&gt;1500,$H526&lt;1,$H526&gt;12,$I526&lt;1,$I526&gt;31),"نامعتبر",RIGHT("0000"&amp;$G526,4)&amp;"/"&amp;RIGHT("00"&amp;$H526,2)&amp;"/"&amp;RIGHT("00"&amp;$I526,2)))</f>
        <v/>
      </c>
      <c r="K526">
        <f>IF(OR($F526="",$J526="",$J526="نامعتبر"),"",LEFT($J526,4)&amp;MID($J526,6,2)&amp;RIGHT($J526,2)&amp;$N526&amp;"|"&amp;"2"&amp;RIGHT("00000"&amp;521,5))</f>
        <v/>
      </c>
      <c r="L526">
        <f>IF($K526="","",COUNTIFS(LdgPartyA,$F526,LdgKeyA,"&lt;"&amp;$K526)+COUNTIFS(LdgPartyB,$F526,LdgKeyB,"&lt;"&amp;$K526)+1)</f>
        <v/>
      </c>
      <c r="M526">
        <f>IF($L526="","",$F526&amp;"|"&amp;RIGHT("000000"&amp;$L526,6))</f>
        <v/>
      </c>
      <c r="N526">
        <f>IF($F526="","",IF(Sync!$AH526="","0000",IF(AND(ISNUMBER(Sync!$AH526),Sync!$AH526&gt;=0,Sync!$AH526&lt;1),RIGHT("00"&amp;HOUR(Sync!$AH526),2)&amp;RIGHT("00"&amp;MINUTE(Sync!$AH526),2),IFERROR(RIGHT("00"&amp;VALUE(LEFT(Sync!$AH526,FIND(":",Sync!$AH526)-1)),2)&amp;RIGHT("00"&amp;VALUE(MID(Sync!$AH526,FIND(":",Sync!$AH526)+1,2)),2),"0000"))))</f>
        <v/>
      </c>
    </row>
    <row r="527">
      <c r="A527">
        <f>IF(OR(Calc!$E530="",Calc!$E530="نامعتبر",Calc!$G530="",Calc!$I530&lt;&gt;"خرید"),"",Calc!$G530)</f>
        <v/>
      </c>
      <c r="B527">
        <f>IF($A527="","",LEFT(Calc!$E530,4)&amp;MID(Calc!$E530,6,2)&amp;RIGHT(Calc!$E530,2)&amp;Calc!$R530&amp;"|"&amp;"1"&amp;RIGHT("00000"&amp;522,5))</f>
        <v/>
      </c>
      <c r="C527">
        <f>IF($B527="","",COUNTIFS(LdgPartyA,$A527,LdgKeyA,"&lt;"&amp;$B527)+COUNTIFS(LdgPartyB,$A527,LdgKeyB,"&lt;"&amp;$B527)+1)</f>
        <v/>
      </c>
      <c r="D527">
        <f>IF($C527="","",$A527&amp;"|"&amp;RIGHT("000000"&amp;$C527,6))</f>
        <v/>
      </c>
      <c r="F527">
        <f>IF(Sync!$AJ527="","",Sync!$AJ527)</f>
        <v/>
      </c>
      <c r="G527">
        <f>IF($F527="","",IF(Sync!$AG527="","",IF(ISNUMBER(Sync!$AG527),IF(AND(Sync!$AG527&gt;=10000101,Sync!$AG527&lt;=99991231),INT(Sync!$AG527/10000),""),IFERROR(VALUE(TRIM(LEFT(Sync!$AG527,FIND("/",Sync!$AG527)-1))),""))))</f>
        <v/>
      </c>
      <c r="H527">
        <f>IF(OR($F527="",$G527=""),"",IF(ISNUMBER(Sync!$AG527),INT(MOD(Sync!$AG527,10000)/100),IFERROR(VALUE(TRIM(LEFT(MID(Sync!$AG527,FIND("/",Sync!$AG527)+1,20),FIND("/",MID(Sync!$AG527,FIND("/",Sync!$AG527)+1,20))-1))),"")))</f>
        <v/>
      </c>
      <c r="I527">
        <f>IF(OR($F527="",$G527=""),"",IF(ISNUMBER(Sync!$AG527),MOD(Sync!$AG527,100),IFERROR(VALUE(TRIM(MID(MID(Sync!$AG527,FIND("/",Sync!$AG527)+1,20),FIND("/",MID(Sync!$AG527,FIND("/",Sync!$AG527)+1,20))+1,20))),"")))</f>
        <v/>
      </c>
      <c r="J527">
        <f>IF($F527="","",IF(OR($G527="",$H527="",$I527="",$G527&lt;1300,$G527&gt;1500,$H527&lt;1,$H527&gt;12,$I527&lt;1,$I527&gt;31),"نامعتبر",RIGHT("0000"&amp;$G527,4)&amp;"/"&amp;RIGHT("00"&amp;$H527,2)&amp;"/"&amp;RIGHT("00"&amp;$I527,2)))</f>
        <v/>
      </c>
      <c r="K527">
        <f>IF(OR($F527="",$J527="",$J527="نامعتبر"),"",LEFT($J527,4)&amp;MID($J527,6,2)&amp;RIGHT($J527,2)&amp;$N527&amp;"|"&amp;"2"&amp;RIGHT("00000"&amp;522,5))</f>
        <v/>
      </c>
      <c r="L527">
        <f>IF($K527="","",COUNTIFS(LdgPartyA,$F527,LdgKeyA,"&lt;"&amp;$K527)+COUNTIFS(LdgPartyB,$F527,LdgKeyB,"&lt;"&amp;$K527)+1)</f>
        <v/>
      </c>
      <c r="M527">
        <f>IF($L527="","",$F527&amp;"|"&amp;RIGHT("000000"&amp;$L527,6))</f>
        <v/>
      </c>
      <c r="N527">
        <f>IF($F527="","",IF(Sync!$AH527="","0000",IF(AND(ISNUMBER(Sync!$AH527),Sync!$AH527&gt;=0,Sync!$AH527&lt;1),RIGHT("00"&amp;HOUR(Sync!$AH527),2)&amp;RIGHT("00"&amp;MINUTE(Sync!$AH527),2),IFERROR(RIGHT("00"&amp;VALUE(LEFT(Sync!$AH527,FIND(":",Sync!$AH527)-1)),2)&amp;RIGHT("00"&amp;VALUE(MID(Sync!$AH527,FIND(":",Sync!$AH527)+1,2)),2),"0000"))))</f>
        <v/>
      </c>
    </row>
    <row r="528">
      <c r="A528">
        <f>IF(OR(Calc!$E531="",Calc!$E531="نامعتبر",Calc!$G531="",Calc!$I531&lt;&gt;"خرید"),"",Calc!$G531)</f>
        <v/>
      </c>
      <c r="B528">
        <f>IF($A528="","",LEFT(Calc!$E531,4)&amp;MID(Calc!$E531,6,2)&amp;RIGHT(Calc!$E531,2)&amp;Calc!$R531&amp;"|"&amp;"1"&amp;RIGHT("00000"&amp;523,5))</f>
        <v/>
      </c>
      <c r="C528">
        <f>IF($B528="","",COUNTIFS(LdgPartyA,$A528,LdgKeyA,"&lt;"&amp;$B528)+COUNTIFS(LdgPartyB,$A528,LdgKeyB,"&lt;"&amp;$B528)+1)</f>
        <v/>
      </c>
      <c r="D528">
        <f>IF($C528="","",$A528&amp;"|"&amp;RIGHT("000000"&amp;$C528,6))</f>
        <v/>
      </c>
      <c r="F528">
        <f>IF(Sync!$AJ528="","",Sync!$AJ528)</f>
        <v/>
      </c>
      <c r="G528">
        <f>IF($F528="","",IF(Sync!$AG528="","",IF(ISNUMBER(Sync!$AG528),IF(AND(Sync!$AG528&gt;=10000101,Sync!$AG528&lt;=99991231),INT(Sync!$AG528/10000),""),IFERROR(VALUE(TRIM(LEFT(Sync!$AG528,FIND("/",Sync!$AG528)-1))),""))))</f>
        <v/>
      </c>
      <c r="H528">
        <f>IF(OR($F528="",$G528=""),"",IF(ISNUMBER(Sync!$AG528),INT(MOD(Sync!$AG528,10000)/100),IFERROR(VALUE(TRIM(LEFT(MID(Sync!$AG528,FIND("/",Sync!$AG528)+1,20),FIND("/",MID(Sync!$AG528,FIND("/",Sync!$AG528)+1,20))-1))),"")))</f>
        <v/>
      </c>
      <c r="I528">
        <f>IF(OR($F528="",$G528=""),"",IF(ISNUMBER(Sync!$AG528),MOD(Sync!$AG528,100),IFERROR(VALUE(TRIM(MID(MID(Sync!$AG528,FIND("/",Sync!$AG528)+1,20),FIND("/",MID(Sync!$AG528,FIND("/",Sync!$AG528)+1,20))+1,20))),"")))</f>
        <v/>
      </c>
      <c r="J528">
        <f>IF($F528="","",IF(OR($G528="",$H528="",$I528="",$G528&lt;1300,$G528&gt;1500,$H528&lt;1,$H528&gt;12,$I528&lt;1,$I528&gt;31),"نامعتبر",RIGHT("0000"&amp;$G528,4)&amp;"/"&amp;RIGHT("00"&amp;$H528,2)&amp;"/"&amp;RIGHT("00"&amp;$I528,2)))</f>
        <v/>
      </c>
      <c r="K528">
        <f>IF(OR($F528="",$J528="",$J528="نامعتبر"),"",LEFT($J528,4)&amp;MID($J528,6,2)&amp;RIGHT($J528,2)&amp;$N528&amp;"|"&amp;"2"&amp;RIGHT("00000"&amp;523,5))</f>
        <v/>
      </c>
      <c r="L528">
        <f>IF($K528="","",COUNTIFS(LdgPartyA,$F528,LdgKeyA,"&lt;"&amp;$K528)+COUNTIFS(LdgPartyB,$F528,LdgKeyB,"&lt;"&amp;$K528)+1)</f>
        <v/>
      </c>
      <c r="M528">
        <f>IF($L528="","",$F528&amp;"|"&amp;RIGHT("000000"&amp;$L528,6))</f>
        <v/>
      </c>
      <c r="N528">
        <f>IF($F528="","",IF(Sync!$AH528="","0000",IF(AND(ISNUMBER(Sync!$AH528),Sync!$AH528&gt;=0,Sync!$AH528&lt;1),RIGHT("00"&amp;HOUR(Sync!$AH528),2)&amp;RIGHT("00"&amp;MINUTE(Sync!$AH528),2),IFERROR(RIGHT("00"&amp;VALUE(LEFT(Sync!$AH528,FIND(":",Sync!$AH528)-1)),2)&amp;RIGHT("00"&amp;VALUE(MID(Sync!$AH528,FIND(":",Sync!$AH528)+1,2)),2),"0000"))))</f>
        <v/>
      </c>
    </row>
    <row r="529">
      <c r="A529">
        <f>IF(OR(Calc!$E532="",Calc!$E532="نامعتبر",Calc!$G532="",Calc!$I532&lt;&gt;"خرید"),"",Calc!$G532)</f>
        <v/>
      </c>
      <c r="B529">
        <f>IF($A529="","",LEFT(Calc!$E532,4)&amp;MID(Calc!$E532,6,2)&amp;RIGHT(Calc!$E532,2)&amp;Calc!$R532&amp;"|"&amp;"1"&amp;RIGHT("00000"&amp;524,5))</f>
        <v/>
      </c>
      <c r="C529">
        <f>IF($B529="","",COUNTIFS(LdgPartyA,$A529,LdgKeyA,"&lt;"&amp;$B529)+COUNTIFS(LdgPartyB,$A529,LdgKeyB,"&lt;"&amp;$B529)+1)</f>
        <v/>
      </c>
      <c r="D529">
        <f>IF($C529="","",$A529&amp;"|"&amp;RIGHT("000000"&amp;$C529,6))</f>
        <v/>
      </c>
      <c r="F529">
        <f>IF(Sync!$AJ529="","",Sync!$AJ529)</f>
        <v/>
      </c>
      <c r="G529">
        <f>IF($F529="","",IF(Sync!$AG529="","",IF(ISNUMBER(Sync!$AG529),IF(AND(Sync!$AG529&gt;=10000101,Sync!$AG529&lt;=99991231),INT(Sync!$AG529/10000),""),IFERROR(VALUE(TRIM(LEFT(Sync!$AG529,FIND("/",Sync!$AG529)-1))),""))))</f>
        <v/>
      </c>
      <c r="H529">
        <f>IF(OR($F529="",$G529=""),"",IF(ISNUMBER(Sync!$AG529),INT(MOD(Sync!$AG529,10000)/100),IFERROR(VALUE(TRIM(LEFT(MID(Sync!$AG529,FIND("/",Sync!$AG529)+1,20),FIND("/",MID(Sync!$AG529,FIND("/",Sync!$AG529)+1,20))-1))),"")))</f>
        <v/>
      </c>
      <c r="I529">
        <f>IF(OR($F529="",$G529=""),"",IF(ISNUMBER(Sync!$AG529),MOD(Sync!$AG529,100),IFERROR(VALUE(TRIM(MID(MID(Sync!$AG529,FIND("/",Sync!$AG529)+1,20),FIND("/",MID(Sync!$AG529,FIND("/",Sync!$AG529)+1,20))+1,20))),"")))</f>
        <v/>
      </c>
      <c r="J529">
        <f>IF($F529="","",IF(OR($G529="",$H529="",$I529="",$G529&lt;1300,$G529&gt;1500,$H529&lt;1,$H529&gt;12,$I529&lt;1,$I529&gt;31),"نامعتبر",RIGHT("0000"&amp;$G529,4)&amp;"/"&amp;RIGHT("00"&amp;$H529,2)&amp;"/"&amp;RIGHT("00"&amp;$I529,2)))</f>
        <v/>
      </c>
      <c r="K529">
        <f>IF(OR($F529="",$J529="",$J529="نامعتبر"),"",LEFT($J529,4)&amp;MID($J529,6,2)&amp;RIGHT($J529,2)&amp;$N529&amp;"|"&amp;"2"&amp;RIGHT("00000"&amp;524,5))</f>
        <v/>
      </c>
      <c r="L529">
        <f>IF($K529="","",COUNTIFS(LdgPartyA,$F529,LdgKeyA,"&lt;"&amp;$K529)+COUNTIFS(LdgPartyB,$F529,LdgKeyB,"&lt;"&amp;$K529)+1)</f>
        <v/>
      </c>
      <c r="M529">
        <f>IF($L529="","",$F529&amp;"|"&amp;RIGHT("000000"&amp;$L529,6))</f>
        <v/>
      </c>
      <c r="N529">
        <f>IF($F529="","",IF(Sync!$AH529="","0000",IF(AND(ISNUMBER(Sync!$AH529),Sync!$AH529&gt;=0,Sync!$AH529&lt;1),RIGHT("00"&amp;HOUR(Sync!$AH529),2)&amp;RIGHT("00"&amp;MINUTE(Sync!$AH529),2),IFERROR(RIGHT("00"&amp;VALUE(LEFT(Sync!$AH529,FIND(":",Sync!$AH529)-1)),2)&amp;RIGHT("00"&amp;VALUE(MID(Sync!$AH529,FIND(":",Sync!$AH529)+1,2)),2),"0000"))))</f>
        <v/>
      </c>
    </row>
    <row r="530">
      <c r="A530">
        <f>IF(OR(Calc!$E533="",Calc!$E533="نامعتبر",Calc!$G533="",Calc!$I533&lt;&gt;"خرید"),"",Calc!$G533)</f>
        <v/>
      </c>
      <c r="B530">
        <f>IF($A530="","",LEFT(Calc!$E533,4)&amp;MID(Calc!$E533,6,2)&amp;RIGHT(Calc!$E533,2)&amp;Calc!$R533&amp;"|"&amp;"1"&amp;RIGHT("00000"&amp;525,5))</f>
        <v/>
      </c>
      <c r="C530">
        <f>IF($B530="","",COUNTIFS(LdgPartyA,$A530,LdgKeyA,"&lt;"&amp;$B530)+COUNTIFS(LdgPartyB,$A530,LdgKeyB,"&lt;"&amp;$B530)+1)</f>
        <v/>
      </c>
      <c r="D530">
        <f>IF($C530="","",$A530&amp;"|"&amp;RIGHT("000000"&amp;$C530,6))</f>
        <v/>
      </c>
      <c r="F530">
        <f>IF(Sync!$AJ530="","",Sync!$AJ530)</f>
        <v/>
      </c>
      <c r="G530">
        <f>IF($F530="","",IF(Sync!$AG530="","",IF(ISNUMBER(Sync!$AG530),IF(AND(Sync!$AG530&gt;=10000101,Sync!$AG530&lt;=99991231),INT(Sync!$AG530/10000),""),IFERROR(VALUE(TRIM(LEFT(Sync!$AG530,FIND("/",Sync!$AG530)-1))),""))))</f>
        <v/>
      </c>
      <c r="H530">
        <f>IF(OR($F530="",$G530=""),"",IF(ISNUMBER(Sync!$AG530),INT(MOD(Sync!$AG530,10000)/100),IFERROR(VALUE(TRIM(LEFT(MID(Sync!$AG530,FIND("/",Sync!$AG530)+1,20),FIND("/",MID(Sync!$AG530,FIND("/",Sync!$AG530)+1,20))-1))),"")))</f>
        <v/>
      </c>
      <c r="I530">
        <f>IF(OR($F530="",$G530=""),"",IF(ISNUMBER(Sync!$AG530),MOD(Sync!$AG530,100),IFERROR(VALUE(TRIM(MID(MID(Sync!$AG530,FIND("/",Sync!$AG530)+1,20),FIND("/",MID(Sync!$AG530,FIND("/",Sync!$AG530)+1,20))+1,20))),"")))</f>
        <v/>
      </c>
      <c r="J530">
        <f>IF($F530="","",IF(OR($G530="",$H530="",$I530="",$G530&lt;1300,$G530&gt;1500,$H530&lt;1,$H530&gt;12,$I530&lt;1,$I530&gt;31),"نامعتبر",RIGHT("0000"&amp;$G530,4)&amp;"/"&amp;RIGHT("00"&amp;$H530,2)&amp;"/"&amp;RIGHT("00"&amp;$I530,2)))</f>
        <v/>
      </c>
      <c r="K530">
        <f>IF(OR($F530="",$J530="",$J530="نامعتبر"),"",LEFT($J530,4)&amp;MID($J530,6,2)&amp;RIGHT($J530,2)&amp;$N530&amp;"|"&amp;"2"&amp;RIGHT("00000"&amp;525,5))</f>
        <v/>
      </c>
      <c r="L530">
        <f>IF($K530="","",COUNTIFS(LdgPartyA,$F530,LdgKeyA,"&lt;"&amp;$K530)+COUNTIFS(LdgPartyB,$F530,LdgKeyB,"&lt;"&amp;$K530)+1)</f>
        <v/>
      </c>
      <c r="M530">
        <f>IF($L530="","",$F530&amp;"|"&amp;RIGHT("000000"&amp;$L530,6))</f>
        <v/>
      </c>
      <c r="N530">
        <f>IF($F530="","",IF(Sync!$AH530="","0000",IF(AND(ISNUMBER(Sync!$AH530),Sync!$AH530&gt;=0,Sync!$AH530&lt;1),RIGHT("00"&amp;HOUR(Sync!$AH530),2)&amp;RIGHT("00"&amp;MINUTE(Sync!$AH530),2),IFERROR(RIGHT("00"&amp;VALUE(LEFT(Sync!$AH530,FIND(":",Sync!$AH530)-1)),2)&amp;RIGHT("00"&amp;VALUE(MID(Sync!$AH530,FIND(":",Sync!$AH530)+1,2)),2),"0000"))))</f>
        <v/>
      </c>
    </row>
    <row r="531">
      <c r="A531">
        <f>IF(OR(Calc!$E534="",Calc!$E534="نامعتبر",Calc!$G534="",Calc!$I534&lt;&gt;"خرید"),"",Calc!$G534)</f>
        <v/>
      </c>
      <c r="B531">
        <f>IF($A531="","",LEFT(Calc!$E534,4)&amp;MID(Calc!$E534,6,2)&amp;RIGHT(Calc!$E534,2)&amp;Calc!$R534&amp;"|"&amp;"1"&amp;RIGHT("00000"&amp;526,5))</f>
        <v/>
      </c>
      <c r="C531">
        <f>IF($B531="","",COUNTIFS(LdgPartyA,$A531,LdgKeyA,"&lt;"&amp;$B531)+COUNTIFS(LdgPartyB,$A531,LdgKeyB,"&lt;"&amp;$B531)+1)</f>
        <v/>
      </c>
      <c r="D531">
        <f>IF($C531="","",$A531&amp;"|"&amp;RIGHT("000000"&amp;$C531,6))</f>
        <v/>
      </c>
      <c r="F531">
        <f>IF(Sync!$AJ531="","",Sync!$AJ531)</f>
        <v/>
      </c>
      <c r="G531">
        <f>IF($F531="","",IF(Sync!$AG531="","",IF(ISNUMBER(Sync!$AG531),IF(AND(Sync!$AG531&gt;=10000101,Sync!$AG531&lt;=99991231),INT(Sync!$AG531/10000),""),IFERROR(VALUE(TRIM(LEFT(Sync!$AG531,FIND("/",Sync!$AG531)-1))),""))))</f>
        <v/>
      </c>
      <c r="H531">
        <f>IF(OR($F531="",$G531=""),"",IF(ISNUMBER(Sync!$AG531),INT(MOD(Sync!$AG531,10000)/100),IFERROR(VALUE(TRIM(LEFT(MID(Sync!$AG531,FIND("/",Sync!$AG531)+1,20),FIND("/",MID(Sync!$AG531,FIND("/",Sync!$AG531)+1,20))-1))),"")))</f>
        <v/>
      </c>
      <c r="I531">
        <f>IF(OR($F531="",$G531=""),"",IF(ISNUMBER(Sync!$AG531),MOD(Sync!$AG531,100),IFERROR(VALUE(TRIM(MID(MID(Sync!$AG531,FIND("/",Sync!$AG531)+1,20),FIND("/",MID(Sync!$AG531,FIND("/",Sync!$AG531)+1,20))+1,20))),"")))</f>
        <v/>
      </c>
      <c r="J531">
        <f>IF($F531="","",IF(OR($G531="",$H531="",$I531="",$G531&lt;1300,$G531&gt;1500,$H531&lt;1,$H531&gt;12,$I531&lt;1,$I531&gt;31),"نامعتبر",RIGHT("0000"&amp;$G531,4)&amp;"/"&amp;RIGHT("00"&amp;$H531,2)&amp;"/"&amp;RIGHT("00"&amp;$I531,2)))</f>
        <v/>
      </c>
      <c r="K531">
        <f>IF(OR($F531="",$J531="",$J531="نامعتبر"),"",LEFT($J531,4)&amp;MID($J531,6,2)&amp;RIGHT($J531,2)&amp;$N531&amp;"|"&amp;"2"&amp;RIGHT("00000"&amp;526,5))</f>
        <v/>
      </c>
      <c r="L531">
        <f>IF($K531="","",COUNTIFS(LdgPartyA,$F531,LdgKeyA,"&lt;"&amp;$K531)+COUNTIFS(LdgPartyB,$F531,LdgKeyB,"&lt;"&amp;$K531)+1)</f>
        <v/>
      </c>
      <c r="M531">
        <f>IF($L531="","",$F531&amp;"|"&amp;RIGHT("000000"&amp;$L531,6))</f>
        <v/>
      </c>
      <c r="N531">
        <f>IF($F531="","",IF(Sync!$AH531="","0000",IF(AND(ISNUMBER(Sync!$AH531),Sync!$AH531&gt;=0,Sync!$AH531&lt;1),RIGHT("00"&amp;HOUR(Sync!$AH531),2)&amp;RIGHT("00"&amp;MINUTE(Sync!$AH531),2),IFERROR(RIGHT("00"&amp;VALUE(LEFT(Sync!$AH531,FIND(":",Sync!$AH531)-1)),2)&amp;RIGHT("00"&amp;VALUE(MID(Sync!$AH531,FIND(":",Sync!$AH531)+1,2)),2),"0000"))))</f>
        <v/>
      </c>
    </row>
    <row r="532">
      <c r="A532">
        <f>IF(OR(Calc!$E535="",Calc!$E535="نامعتبر",Calc!$G535="",Calc!$I535&lt;&gt;"خرید"),"",Calc!$G535)</f>
        <v/>
      </c>
      <c r="B532">
        <f>IF($A532="","",LEFT(Calc!$E535,4)&amp;MID(Calc!$E535,6,2)&amp;RIGHT(Calc!$E535,2)&amp;Calc!$R535&amp;"|"&amp;"1"&amp;RIGHT("00000"&amp;527,5))</f>
        <v/>
      </c>
      <c r="C532">
        <f>IF($B532="","",COUNTIFS(LdgPartyA,$A532,LdgKeyA,"&lt;"&amp;$B532)+COUNTIFS(LdgPartyB,$A532,LdgKeyB,"&lt;"&amp;$B532)+1)</f>
        <v/>
      </c>
      <c r="D532">
        <f>IF($C532="","",$A532&amp;"|"&amp;RIGHT("000000"&amp;$C532,6))</f>
        <v/>
      </c>
      <c r="F532">
        <f>IF(Sync!$AJ532="","",Sync!$AJ532)</f>
        <v/>
      </c>
      <c r="G532">
        <f>IF($F532="","",IF(Sync!$AG532="","",IF(ISNUMBER(Sync!$AG532),IF(AND(Sync!$AG532&gt;=10000101,Sync!$AG532&lt;=99991231),INT(Sync!$AG532/10000),""),IFERROR(VALUE(TRIM(LEFT(Sync!$AG532,FIND("/",Sync!$AG532)-1))),""))))</f>
        <v/>
      </c>
      <c r="H532">
        <f>IF(OR($F532="",$G532=""),"",IF(ISNUMBER(Sync!$AG532),INT(MOD(Sync!$AG532,10000)/100),IFERROR(VALUE(TRIM(LEFT(MID(Sync!$AG532,FIND("/",Sync!$AG532)+1,20),FIND("/",MID(Sync!$AG532,FIND("/",Sync!$AG532)+1,20))-1))),"")))</f>
        <v/>
      </c>
      <c r="I532">
        <f>IF(OR($F532="",$G532=""),"",IF(ISNUMBER(Sync!$AG532),MOD(Sync!$AG532,100),IFERROR(VALUE(TRIM(MID(MID(Sync!$AG532,FIND("/",Sync!$AG532)+1,20),FIND("/",MID(Sync!$AG532,FIND("/",Sync!$AG532)+1,20))+1,20))),"")))</f>
        <v/>
      </c>
      <c r="J532">
        <f>IF($F532="","",IF(OR($G532="",$H532="",$I532="",$G532&lt;1300,$G532&gt;1500,$H532&lt;1,$H532&gt;12,$I532&lt;1,$I532&gt;31),"نامعتبر",RIGHT("0000"&amp;$G532,4)&amp;"/"&amp;RIGHT("00"&amp;$H532,2)&amp;"/"&amp;RIGHT("00"&amp;$I532,2)))</f>
        <v/>
      </c>
      <c r="K532">
        <f>IF(OR($F532="",$J532="",$J532="نامعتبر"),"",LEFT($J532,4)&amp;MID($J532,6,2)&amp;RIGHT($J532,2)&amp;$N532&amp;"|"&amp;"2"&amp;RIGHT("00000"&amp;527,5))</f>
        <v/>
      </c>
      <c r="L532">
        <f>IF($K532="","",COUNTIFS(LdgPartyA,$F532,LdgKeyA,"&lt;"&amp;$K532)+COUNTIFS(LdgPartyB,$F532,LdgKeyB,"&lt;"&amp;$K532)+1)</f>
        <v/>
      </c>
      <c r="M532">
        <f>IF($L532="","",$F532&amp;"|"&amp;RIGHT("000000"&amp;$L532,6))</f>
        <v/>
      </c>
      <c r="N532">
        <f>IF($F532="","",IF(Sync!$AH532="","0000",IF(AND(ISNUMBER(Sync!$AH532),Sync!$AH532&gt;=0,Sync!$AH532&lt;1),RIGHT("00"&amp;HOUR(Sync!$AH532),2)&amp;RIGHT("00"&amp;MINUTE(Sync!$AH532),2),IFERROR(RIGHT("00"&amp;VALUE(LEFT(Sync!$AH532,FIND(":",Sync!$AH532)-1)),2)&amp;RIGHT("00"&amp;VALUE(MID(Sync!$AH532,FIND(":",Sync!$AH532)+1,2)),2),"0000"))))</f>
        <v/>
      </c>
    </row>
    <row r="533">
      <c r="A533">
        <f>IF(OR(Calc!$E536="",Calc!$E536="نامعتبر",Calc!$G536="",Calc!$I536&lt;&gt;"خرید"),"",Calc!$G536)</f>
        <v/>
      </c>
      <c r="B533">
        <f>IF($A533="","",LEFT(Calc!$E536,4)&amp;MID(Calc!$E536,6,2)&amp;RIGHT(Calc!$E536,2)&amp;Calc!$R536&amp;"|"&amp;"1"&amp;RIGHT("00000"&amp;528,5))</f>
        <v/>
      </c>
      <c r="C533">
        <f>IF($B533="","",COUNTIFS(LdgPartyA,$A533,LdgKeyA,"&lt;"&amp;$B533)+COUNTIFS(LdgPartyB,$A533,LdgKeyB,"&lt;"&amp;$B533)+1)</f>
        <v/>
      </c>
      <c r="D533">
        <f>IF($C533="","",$A533&amp;"|"&amp;RIGHT("000000"&amp;$C533,6))</f>
        <v/>
      </c>
      <c r="F533">
        <f>IF(Sync!$AJ533="","",Sync!$AJ533)</f>
        <v/>
      </c>
      <c r="G533">
        <f>IF($F533="","",IF(Sync!$AG533="","",IF(ISNUMBER(Sync!$AG533),IF(AND(Sync!$AG533&gt;=10000101,Sync!$AG533&lt;=99991231),INT(Sync!$AG533/10000),""),IFERROR(VALUE(TRIM(LEFT(Sync!$AG533,FIND("/",Sync!$AG533)-1))),""))))</f>
        <v/>
      </c>
      <c r="H533">
        <f>IF(OR($F533="",$G533=""),"",IF(ISNUMBER(Sync!$AG533),INT(MOD(Sync!$AG533,10000)/100),IFERROR(VALUE(TRIM(LEFT(MID(Sync!$AG533,FIND("/",Sync!$AG533)+1,20),FIND("/",MID(Sync!$AG533,FIND("/",Sync!$AG533)+1,20))-1))),"")))</f>
        <v/>
      </c>
      <c r="I533">
        <f>IF(OR($F533="",$G533=""),"",IF(ISNUMBER(Sync!$AG533),MOD(Sync!$AG533,100),IFERROR(VALUE(TRIM(MID(MID(Sync!$AG533,FIND("/",Sync!$AG533)+1,20),FIND("/",MID(Sync!$AG533,FIND("/",Sync!$AG533)+1,20))+1,20))),"")))</f>
        <v/>
      </c>
      <c r="J533">
        <f>IF($F533="","",IF(OR($G533="",$H533="",$I533="",$G533&lt;1300,$G533&gt;1500,$H533&lt;1,$H533&gt;12,$I533&lt;1,$I533&gt;31),"نامعتبر",RIGHT("0000"&amp;$G533,4)&amp;"/"&amp;RIGHT("00"&amp;$H533,2)&amp;"/"&amp;RIGHT("00"&amp;$I533,2)))</f>
        <v/>
      </c>
      <c r="K533">
        <f>IF(OR($F533="",$J533="",$J533="نامعتبر"),"",LEFT($J533,4)&amp;MID($J533,6,2)&amp;RIGHT($J533,2)&amp;$N533&amp;"|"&amp;"2"&amp;RIGHT("00000"&amp;528,5))</f>
        <v/>
      </c>
      <c r="L533">
        <f>IF($K533="","",COUNTIFS(LdgPartyA,$F533,LdgKeyA,"&lt;"&amp;$K533)+COUNTIFS(LdgPartyB,$F533,LdgKeyB,"&lt;"&amp;$K533)+1)</f>
        <v/>
      </c>
      <c r="M533">
        <f>IF($L533="","",$F533&amp;"|"&amp;RIGHT("000000"&amp;$L533,6))</f>
        <v/>
      </c>
      <c r="N533">
        <f>IF($F533="","",IF(Sync!$AH533="","0000",IF(AND(ISNUMBER(Sync!$AH533),Sync!$AH533&gt;=0,Sync!$AH533&lt;1),RIGHT("00"&amp;HOUR(Sync!$AH533),2)&amp;RIGHT("00"&amp;MINUTE(Sync!$AH533),2),IFERROR(RIGHT("00"&amp;VALUE(LEFT(Sync!$AH533,FIND(":",Sync!$AH533)-1)),2)&amp;RIGHT("00"&amp;VALUE(MID(Sync!$AH533,FIND(":",Sync!$AH533)+1,2)),2),"0000"))))</f>
        <v/>
      </c>
    </row>
    <row r="534">
      <c r="A534">
        <f>IF(OR(Calc!$E537="",Calc!$E537="نامعتبر",Calc!$G537="",Calc!$I537&lt;&gt;"خرید"),"",Calc!$G537)</f>
        <v/>
      </c>
      <c r="B534">
        <f>IF($A534="","",LEFT(Calc!$E537,4)&amp;MID(Calc!$E537,6,2)&amp;RIGHT(Calc!$E537,2)&amp;Calc!$R537&amp;"|"&amp;"1"&amp;RIGHT("00000"&amp;529,5))</f>
        <v/>
      </c>
      <c r="C534">
        <f>IF($B534="","",COUNTIFS(LdgPartyA,$A534,LdgKeyA,"&lt;"&amp;$B534)+COUNTIFS(LdgPartyB,$A534,LdgKeyB,"&lt;"&amp;$B534)+1)</f>
        <v/>
      </c>
      <c r="D534">
        <f>IF($C534="","",$A534&amp;"|"&amp;RIGHT("000000"&amp;$C534,6))</f>
        <v/>
      </c>
      <c r="F534">
        <f>IF(Sync!$AJ534="","",Sync!$AJ534)</f>
        <v/>
      </c>
      <c r="G534">
        <f>IF($F534="","",IF(Sync!$AG534="","",IF(ISNUMBER(Sync!$AG534),IF(AND(Sync!$AG534&gt;=10000101,Sync!$AG534&lt;=99991231),INT(Sync!$AG534/10000),""),IFERROR(VALUE(TRIM(LEFT(Sync!$AG534,FIND("/",Sync!$AG534)-1))),""))))</f>
        <v/>
      </c>
      <c r="H534">
        <f>IF(OR($F534="",$G534=""),"",IF(ISNUMBER(Sync!$AG534),INT(MOD(Sync!$AG534,10000)/100),IFERROR(VALUE(TRIM(LEFT(MID(Sync!$AG534,FIND("/",Sync!$AG534)+1,20),FIND("/",MID(Sync!$AG534,FIND("/",Sync!$AG534)+1,20))-1))),"")))</f>
        <v/>
      </c>
      <c r="I534">
        <f>IF(OR($F534="",$G534=""),"",IF(ISNUMBER(Sync!$AG534),MOD(Sync!$AG534,100),IFERROR(VALUE(TRIM(MID(MID(Sync!$AG534,FIND("/",Sync!$AG534)+1,20),FIND("/",MID(Sync!$AG534,FIND("/",Sync!$AG534)+1,20))+1,20))),"")))</f>
        <v/>
      </c>
      <c r="J534">
        <f>IF($F534="","",IF(OR($G534="",$H534="",$I534="",$G534&lt;1300,$G534&gt;1500,$H534&lt;1,$H534&gt;12,$I534&lt;1,$I534&gt;31),"نامعتبر",RIGHT("0000"&amp;$G534,4)&amp;"/"&amp;RIGHT("00"&amp;$H534,2)&amp;"/"&amp;RIGHT("00"&amp;$I534,2)))</f>
        <v/>
      </c>
      <c r="K534">
        <f>IF(OR($F534="",$J534="",$J534="نامعتبر"),"",LEFT($J534,4)&amp;MID($J534,6,2)&amp;RIGHT($J534,2)&amp;$N534&amp;"|"&amp;"2"&amp;RIGHT("00000"&amp;529,5))</f>
        <v/>
      </c>
      <c r="L534">
        <f>IF($K534="","",COUNTIFS(LdgPartyA,$F534,LdgKeyA,"&lt;"&amp;$K534)+COUNTIFS(LdgPartyB,$F534,LdgKeyB,"&lt;"&amp;$K534)+1)</f>
        <v/>
      </c>
      <c r="M534">
        <f>IF($L534="","",$F534&amp;"|"&amp;RIGHT("000000"&amp;$L534,6))</f>
        <v/>
      </c>
      <c r="N534">
        <f>IF($F534="","",IF(Sync!$AH534="","0000",IF(AND(ISNUMBER(Sync!$AH534),Sync!$AH534&gt;=0,Sync!$AH534&lt;1),RIGHT("00"&amp;HOUR(Sync!$AH534),2)&amp;RIGHT("00"&amp;MINUTE(Sync!$AH534),2),IFERROR(RIGHT("00"&amp;VALUE(LEFT(Sync!$AH534,FIND(":",Sync!$AH534)-1)),2)&amp;RIGHT("00"&amp;VALUE(MID(Sync!$AH534,FIND(":",Sync!$AH534)+1,2)),2),"0000"))))</f>
        <v/>
      </c>
    </row>
    <row r="535">
      <c r="A535">
        <f>IF(OR(Calc!$E538="",Calc!$E538="نامعتبر",Calc!$G538="",Calc!$I538&lt;&gt;"خرید"),"",Calc!$G538)</f>
        <v/>
      </c>
      <c r="B535">
        <f>IF($A535="","",LEFT(Calc!$E538,4)&amp;MID(Calc!$E538,6,2)&amp;RIGHT(Calc!$E538,2)&amp;Calc!$R538&amp;"|"&amp;"1"&amp;RIGHT("00000"&amp;530,5))</f>
        <v/>
      </c>
      <c r="C535">
        <f>IF($B535="","",COUNTIFS(LdgPartyA,$A535,LdgKeyA,"&lt;"&amp;$B535)+COUNTIFS(LdgPartyB,$A535,LdgKeyB,"&lt;"&amp;$B535)+1)</f>
        <v/>
      </c>
      <c r="D535">
        <f>IF($C535="","",$A535&amp;"|"&amp;RIGHT("000000"&amp;$C535,6))</f>
        <v/>
      </c>
      <c r="F535">
        <f>IF(Sync!$AJ535="","",Sync!$AJ535)</f>
        <v/>
      </c>
      <c r="G535">
        <f>IF($F535="","",IF(Sync!$AG535="","",IF(ISNUMBER(Sync!$AG535),IF(AND(Sync!$AG535&gt;=10000101,Sync!$AG535&lt;=99991231),INT(Sync!$AG535/10000),""),IFERROR(VALUE(TRIM(LEFT(Sync!$AG535,FIND("/",Sync!$AG535)-1))),""))))</f>
        <v/>
      </c>
      <c r="H535">
        <f>IF(OR($F535="",$G535=""),"",IF(ISNUMBER(Sync!$AG535),INT(MOD(Sync!$AG535,10000)/100),IFERROR(VALUE(TRIM(LEFT(MID(Sync!$AG535,FIND("/",Sync!$AG535)+1,20),FIND("/",MID(Sync!$AG535,FIND("/",Sync!$AG535)+1,20))-1))),"")))</f>
        <v/>
      </c>
      <c r="I535">
        <f>IF(OR($F535="",$G535=""),"",IF(ISNUMBER(Sync!$AG535),MOD(Sync!$AG535,100),IFERROR(VALUE(TRIM(MID(MID(Sync!$AG535,FIND("/",Sync!$AG535)+1,20),FIND("/",MID(Sync!$AG535,FIND("/",Sync!$AG535)+1,20))+1,20))),"")))</f>
        <v/>
      </c>
      <c r="J535">
        <f>IF($F535="","",IF(OR($G535="",$H535="",$I535="",$G535&lt;1300,$G535&gt;1500,$H535&lt;1,$H535&gt;12,$I535&lt;1,$I535&gt;31),"نامعتبر",RIGHT("0000"&amp;$G535,4)&amp;"/"&amp;RIGHT("00"&amp;$H535,2)&amp;"/"&amp;RIGHT("00"&amp;$I535,2)))</f>
        <v/>
      </c>
      <c r="K535">
        <f>IF(OR($F535="",$J535="",$J535="نامعتبر"),"",LEFT($J535,4)&amp;MID($J535,6,2)&amp;RIGHT($J535,2)&amp;$N535&amp;"|"&amp;"2"&amp;RIGHT("00000"&amp;530,5))</f>
        <v/>
      </c>
      <c r="L535">
        <f>IF($K535="","",COUNTIFS(LdgPartyA,$F535,LdgKeyA,"&lt;"&amp;$K535)+COUNTIFS(LdgPartyB,$F535,LdgKeyB,"&lt;"&amp;$K535)+1)</f>
        <v/>
      </c>
      <c r="M535">
        <f>IF($L535="","",$F535&amp;"|"&amp;RIGHT("000000"&amp;$L535,6))</f>
        <v/>
      </c>
      <c r="N535">
        <f>IF($F535="","",IF(Sync!$AH535="","0000",IF(AND(ISNUMBER(Sync!$AH535),Sync!$AH535&gt;=0,Sync!$AH535&lt;1),RIGHT("00"&amp;HOUR(Sync!$AH535),2)&amp;RIGHT("00"&amp;MINUTE(Sync!$AH535),2),IFERROR(RIGHT("00"&amp;VALUE(LEFT(Sync!$AH535,FIND(":",Sync!$AH535)-1)),2)&amp;RIGHT("00"&amp;VALUE(MID(Sync!$AH535,FIND(":",Sync!$AH535)+1,2)),2),"0000"))))</f>
        <v/>
      </c>
    </row>
    <row r="536">
      <c r="A536">
        <f>IF(OR(Calc!$E539="",Calc!$E539="نامعتبر",Calc!$G539="",Calc!$I539&lt;&gt;"خرید"),"",Calc!$G539)</f>
        <v/>
      </c>
      <c r="B536">
        <f>IF($A536="","",LEFT(Calc!$E539,4)&amp;MID(Calc!$E539,6,2)&amp;RIGHT(Calc!$E539,2)&amp;Calc!$R539&amp;"|"&amp;"1"&amp;RIGHT("00000"&amp;531,5))</f>
        <v/>
      </c>
      <c r="C536">
        <f>IF($B536="","",COUNTIFS(LdgPartyA,$A536,LdgKeyA,"&lt;"&amp;$B536)+COUNTIFS(LdgPartyB,$A536,LdgKeyB,"&lt;"&amp;$B536)+1)</f>
        <v/>
      </c>
      <c r="D536">
        <f>IF($C536="","",$A536&amp;"|"&amp;RIGHT("000000"&amp;$C536,6))</f>
        <v/>
      </c>
      <c r="F536">
        <f>IF(Sync!$AJ536="","",Sync!$AJ536)</f>
        <v/>
      </c>
      <c r="G536">
        <f>IF($F536="","",IF(Sync!$AG536="","",IF(ISNUMBER(Sync!$AG536),IF(AND(Sync!$AG536&gt;=10000101,Sync!$AG536&lt;=99991231),INT(Sync!$AG536/10000),""),IFERROR(VALUE(TRIM(LEFT(Sync!$AG536,FIND("/",Sync!$AG536)-1))),""))))</f>
        <v/>
      </c>
      <c r="H536">
        <f>IF(OR($F536="",$G536=""),"",IF(ISNUMBER(Sync!$AG536),INT(MOD(Sync!$AG536,10000)/100),IFERROR(VALUE(TRIM(LEFT(MID(Sync!$AG536,FIND("/",Sync!$AG536)+1,20),FIND("/",MID(Sync!$AG536,FIND("/",Sync!$AG536)+1,20))-1))),"")))</f>
        <v/>
      </c>
      <c r="I536">
        <f>IF(OR($F536="",$G536=""),"",IF(ISNUMBER(Sync!$AG536),MOD(Sync!$AG536,100),IFERROR(VALUE(TRIM(MID(MID(Sync!$AG536,FIND("/",Sync!$AG536)+1,20),FIND("/",MID(Sync!$AG536,FIND("/",Sync!$AG536)+1,20))+1,20))),"")))</f>
        <v/>
      </c>
      <c r="J536">
        <f>IF($F536="","",IF(OR($G536="",$H536="",$I536="",$G536&lt;1300,$G536&gt;1500,$H536&lt;1,$H536&gt;12,$I536&lt;1,$I536&gt;31),"نامعتبر",RIGHT("0000"&amp;$G536,4)&amp;"/"&amp;RIGHT("00"&amp;$H536,2)&amp;"/"&amp;RIGHT("00"&amp;$I536,2)))</f>
        <v/>
      </c>
      <c r="K536">
        <f>IF(OR($F536="",$J536="",$J536="نامعتبر"),"",LEFT($J536,4)&amp;MID($J536,6,2)&amp;RIGHT($J536,2)&amp;$N536&amp;"|"&amp;"2"&amp;RIGHT("00000"&amp;531,5))</f>
        <v/>
      </c>
      <c r="L536">
        <f>IF($K536="","",COUNTIFS(LdgPartyA,$F536,LdgKeyA,"&lt;"&amp;$K536)+COUNTIFS(LdgPartyB,$F536,LdgKeyB,"&lt;"&amp;$K536)+1)</f>
        <v/>
      </c>
      <c r="M536">
        <f>IF($L536="","",$F536&amp;"|"&amp;RIGHT("000000"&amp;$L536,6))</f>
        <v/>
      </c>
      <c r="N536">
        <f>IF($F536="","",IF(Sync!$AH536="","0000",IF(AND(ISNUMBER(Sync!$AH536),Sync!$AH536&gt;=0,Sync!$AH536&lt;1),RIGHT("00"&amp;HOUR(Sync!$AH536),2)&amp;RIGHT("00"&amp;MINUTE(Sync!$AH536),2),IFERROR(RIGHT("00"&amp;VALUE(LEFT(Sync!$AH536,FIND(":",Sync!$AH536)-1)),2)&amp;RIGHT("00"&amp;VALUE(MID(Sync!$AH536,FIND(":",Sync!$AH536)+1,2)),2),"0000"))))</f>
        <v/>
      </c>
    </row>
    <row r="537">
      <c r="A537">
        <f>IF(OR(Calc!$E540="",Calc!$E540="نامعتبر",Calc!$G540="",Calc!$I540&lt;&gt;"خرید"),"",Calc!$G540)</f>
        <v/>
      </c>
      <c r="B537">
        <f>IF($A537="","",LEFT(Calc!$E540,4)&amp;MID(Calc!$E540,6,2)&amp;RIGHT(Calc!$E540,2)&amp;Calc!$R540&amp;"|"&amp;"1"&amp;RIGHT("00000"&amp;532,5))</f>
        <v/>
      </c>
      <c r="C537">
        <f>IF($B537="","",COUNTIFS(LdgPartyA,$A537,LdgKeyA,"&lt;"&amp;$B537)+COUNTIFS(LdgPartyB,$A537,LdgKeyB,"&lt;"&amp;$B537)+1)</f>
        <v/>
      </c>
      <c r="D537">
        <f>IF($C537="","",$A537&amp;"|"&amp;RIGHT("000000"&amp;$C537,6))</f>
        <v/>
      </c>
      <c r="F537">
        <f>IF(Sync!$AJ537="","",Sync!$AJ537)</f>
        <v/>
      </c>
      <c r="G537">
        <f>IF($F537="","",IF(Sync!$AG537="","",IF(ISNUMBER(Sync!$AG537),IF(AND(Sync!$AG537&gt;=10000101,Sync!$AG537&lt;=99991231),INT(Sync!$AG537/10000),""),IFERROR(VALUE(TRIM(LEFT(Sync!$AG537,FIND("/",Sync!$AG537)-1))),""))))</f>
        <v/>
      </c>
      <c r="H537">
        <f>IF(OR($F537="",$G537=""),"",IF(ISNUMBER(Sync!$AG537),INT(MOD(Sync!$AG537,10000)/100),IFERROR(VALUE(TRIM(LEFT(MID(Sync!$AG537,FIND("/",Sync!$AG537)+1,20),FIND("/",MID(Sync!$AG537,FIND("/",Sync!$AG537)+1,20))-1))),"")))</f>
        <v/>
      </c>
      <c r="I537">
        <f>IF(OR($F537="",$G537=""),"",IF(ISNUMBER(Sync!$AG537),MOD(Sync!$AG537,100),IFERROR(VALUE(TRIM(MID(MID(Sync!$AG537,FIND("/",Sync!$AG537)+1,20),FIND("/",MID(Sync!$AG537,FIND("/",Sync!$AG537)+1,20))+1,20))),"")))</f>
        <v/>
      </c>
      <c r="J537">
        <f>IF($F537="","",IF(OR($G537="",$H537="",$I537="",$G537&lt;1300,$G537&gt;1500,$H537&lt;1,$H537&gt;12,$I537&lt;1,$I537&gt;31),"نامعتبر",RIGHT("0000"&amp;$G537,4)&amp;"/"&amp;RIGHT("00"&amp;$H537,2)&amp;"/"&amp;RIGHT("00"&amp;$I537,2)))</f>
        <v/>
      </c>
      <c r="K537">
        <f>IF(OR($F537="",$J537="",$J537="نامعتبر"),"",LEFT($J537,4)&amp;MID($J537,6,2)&amp;RIGHT($J537,2)&amp;$N537&amp;"|"&amp;"2"&amp;RIGHT("00000"&amp;532,5))</f>
        <v/>
      </c>
      <c r="L537">
        <f>IF($K537="","",COUNTIFS(LdgPartyA,$F537,LdgKeyA,"&lt;"&amp;$K537)+COUNTIFS(LdgPartyB,$F537,LdgKeyB,"&lt;"&amp;$K537)+1)</f>
        <v/>
      </c>
      <c r="M537">
        <f>IF($L537="","",$F537&amp;"|"&amp;RIGHT("000000"&amp;$L537,6))</f>
        <v/>
      </c>
      <c r="N537">
        <f>IF($F537="","",IF(Sync!$AH537="","0000",IF(AND(ISNUMBER(Sync!$AH537),Sync!$AH537&gt;=0,Sync!$AH537&lt;1),RIGHT("00"&amp;HOUR(Sync!$AH537),2)&amp;RIGHT("00"&amp;MINUTE(Sync!$AH537),2),IFERROR(RIGHT("00"&amp;VALUE(LEFT(Sync!$AH537,FIND(":",Sync!$AH537)-1)),2)&amp;RIGHT("00"&amp;VALUE(MID(Sync!$AH537,FIND(":",Sync!$AH537)+1,2)),2),"0000"))))</f>
        <v/>
      </c>
    </row>
    <row r="538">
      <c r="A538">
        <f>IF(OR(Calc!$E541="",Calc!$E541="نامعتبر",Calc!$G541="",Calc!$I541&lt;&gt;"خرید"),"",Calc!$G541)</f>
        <v/>
      </c>
      <c r="B538">
        <f>IF($A538="","",LEFT(Calc!$E541,4)&amp;MID(Calc!$E541,6,2)&amp;RIGHT(Calc!$E541,2)&amp;Calc!$R541&amp;"|"&amp;"1"&amp;RIGHT("00000"&amp;533,5))</f>
        <v/>
      </c>
      <c r="C538">
        <f>IF($B538="","",COUNTIFS(LdgPartyA,$A538,LdgKeyA,"&lt;"&amp;$B538)+COUNTIFS(LdgPartyB,$A538,LdgKeyB,"&lt;"&amp;$B538)+1)</f>
        <v/>
      </c>
      <c r="D538">
        <f>IF($C538="","",$A538&amp;"|"&amp;RIGHT("000000"&amp;$C538,6))</f>
        <v/>
      </c>
      <c r="F538">
        <f>IF(Sync!$AJ538="","",Sync!$AJ538)</f>
        <v/>
      </c>
      <c r="G538">
        <f>IF($F538="","",IF(Sync!$AG538="","",IF(ISNUMBER(Sync!$AG538),IF(AND(Sync!$AG538&gt;=10000101,Sync!$AG538&lt;=99991231),INT(Sync!$AG538/10000),""),IFERROR(VALUE(TRIM(LEFT(Sync!$AG538,FIND("/",Sync!$AG538)-1))),""))))</f>
        <v/>
      </c>
      <c r="H538">
        <f>IF(OR($F538="",$G538=""),"",IF(ISNUMBER(Sync!$AG538),INT(MOD(Sync!$AG538,10000)/100),IFERROR(VALUE(TRIM(LEFT(MID(Sync!$AG538,FIND("/",Sync!$AG538)+1,20),FIND("/",MID(Sync!$AG538,FIND("/",Sync!$AG538)+1,20))-1))),"")))</f>
        <v/>
      </c>
      <c r="I538">
        <f>IF(OR($F538="",$G538=""),"",IF(ISNUMBER(Sync!$AG538),MOD(Sync!$AG538,100),IFERROR(VALUE(TRIM(MID(MID(Sync!$AG538,FIND("/",Sync!$AG538)+1,20),FIND("/",MID(Sync!$AG538,FIND("/",Sync!$AG538)+1,20))+1,20))),"")))</f>
        <v/>
      </c>
      <c r="J538">
        <f>IF($F538="","",IF(OR($G538="",$H538="",$I538="",$G538&lt;1300,$G538&gt;1500,$H538&lt;1,$H538&gt;12,$I538&lt;1,$I538&gt;31),"نامعتبر",RIGHT("0000"&amp;$G538,4)&amp;"/"&amp;RIGHT("00"&amp;$H538,2)&amp;"/"&amp;RIGHT("00"&amp;$I538,2)))</f>
        <v/>
      </c>
      <c r="K538">
        <f>IF(OR($F538="",$J538="",$J538="نامعتبر"),"",LEFT($J538,4)&amp;MID($J538,6,2)&amp;RIGHT($J538,2)&amp;$N538&amp;"|"&amp;"2"&amp;RIGHT("00000"&amp;533,5))</f>
        <v/>
      </c>
      <c r="L538">
        <f>IF($K538="","",COUNTIFS(LdgPartyA,$F538,LdgKeyA,"&lt;"&amp;$K538)+COUNTIFS(LdgPartyB,$F538,LdgKeyB,"&lt;"&amp;$K538)+1)</f>
        <v/>
      </c>
      <c r="M538">
        <f>IF($L538="","",$F538&amp;"|"&amp;RIGHT("000000"&amp;$L538,6))</f>
        <v/>
      </c>
      <c r="N538">
        <f>IF($F538="","",IF(Sync!$AH538="","0000",IF(AND(ISNUMBER(Sync!$AH538),Sync!$AH538&gt;=0,Sync!$AH538&lt;1),RIGHT("00"&amp;HOUR(Sync!$AH538),2)&amp;RIGHT("00"&amp;MINUTE(Sync!$AH538),2),IFERROR(RIGHT("00"&amp;VALUE(LEFT(Sync!$AH538,FIND(":",Sync!$AH538)-1)),2)&amp;RIGHT("00"&amp;VALUE(MID(Sync!$AH538,FIND(":",Sync!$AH538)+1,2)),2),"0000"))))</f>
        <v/>
      </c>
    </row>
    <row r="539">
      <c r="A539">
        <f>IF(OR(Calc!$E542="",Calc!$E542="نامعتبر",Calc!$G542="",Calc!$I542&lt;&gt;"خرید"),"",Calc!$G542)</f>
        <v/>
      </c>
      <c r="B539">
        <f>IF($A539="","",LEFT(Calc!$E542,4)&amp;MID(Calc!$E542,6,2)&amp;RIGHT(Calc!$E542,2)&amp;Calc!$R542&amp;"|"&amp;"1"&amp;RIGHT("00000"&amp;534,5))</f>
        <v/>
      </c>
      <c r="C539">
        <f>IF($B539="","",COUNTIFS(LdgPartyA,$A539,LdgKeyA,"&lt;"&amp;$B539)+COUNTIFS(LdgPartyB,$A539,LdgKeyB,"&lt;"&amp;$B539)+1)</f>
        <v/>
      </c>
      <c r="D539">
        <f>IF($C539="","",$A539&amp;"|"&amp;RIGHT("000000"&amp;$C539,6))</f>
        <v/>
      </c>
      <c r="F539">
        <f>IF(Sync!$AJ539="","",Sync!$AJ539)</f>
        <v/>
      </c>
      <c r="G539">
        <f>IF($F539="","",IF(Sync!$AG539="","",IF(ISNUMBER(Sync!$AG539),IF(AND(Sync!$AG539&gt;=10000101,Sync!$AG539&lt;=99991231),INT(Sync!$AG539/10000),""),IFERROR(VALUE(TRIM(LEFT(Sync!$AG539,FIND("/",Sync!$AG539)-1))),""))))</f>
        <v/>
      </c>
      <c r="H539">
        <f>IF(OR($F539="",$G539=""),"",IF(ISNUMBER(Sync!$AG539),INT(MOD(Sync!$AG539,10000)/100),IFERROR(VALUE(TRIM(LEFT(MID(Sync!$AG539,FIND("/",Sync!$AG539)+1,20),FIND("/",MID(Sync!$AG539,FIND("/",Sync!$AG539)+1,20))-1))),"")))</f>
        <v/>
      </c>
      <c r="I539">
        <f>IF(OR($F539="",$G539=""),"",IF(ISNUMBER(Sync!$AG539),MOD(Sync!$AG539,100),IFERROR(VALUE(TRIM(MID(MID(Sync!$AG539,FIND("/",Sync!$AG539)+1,20),FIND("/",MID(Sync!$AG539,FIND("/",Sync!$AG539)+1,20))+1,20))),"")))</f>
        <v/>
      </c>
      <c r="J539">
        <f>IF($F539="","",IF(OR($G539="",$H539="",$I539="",$G539&lt;1300,$G539&gt;1500,$H539&lt;1,$H539&gt;12,$I539&lt;1,$I539&gt;31),"نامعتبر",RIGHT("0000"&amp;$G539,4)&amp;"/"&amp;RIGHT("00"&amp;$H539,2)&amp;"/"&amp;RIGHT("00"&amp;$I539,2)))</f>
        <v/>
      </c>
      <c r="K539">
        <f>IF(OR($F539="",$J539="",$J539="نامعتبر"),"",LEFT($J539,4)&amp;MID($J539,6,2)&amp;RIGHT($J539,2)&amp;$N539&amp;"|"&amp;"2"&amp;RIGHT("00000"&amp;534,5))</f>
        <v/>
      </c>
      <c r="L539">
        <f>IF($K539="","",COUNTIFS(LdgPartyA,$F539,LdgKeyA,"&lt;"&amp;$K539)+COUNTIFS(LdgPartyB,$F539,LdgKeyB,"&lt;"&amp;$K539)+1)</f>
        <v/>
      </c>
      <c r="M539">
        <f>IF($L539="","",$F539&amp;"|"&amp;RIGHT("000000"&amp;$L539,6))</f>
        <v/>
      </c>
      <c r="N539">
        <f>IF($F539="","",IF(Sync!$AH539="","0000",IF(AND(ISNUMBER(Sync!$AH539),Sync!$AH539&gt;=0,Sync!$AH539&lt;1),RIGHT("00"&amp;HOUR(Sync!$AH539),2)&amp;RIGHT("00"&amp;MINUTE(Sync!$AH539),2),IFERROR(RIGHT("00"&amp;VALUE(LEFT(Sync!$AH539,FIND(":",Sync!$AH539)-1)),2)&amp;RIGHT("00"&amp;VALUE(MID(Sync!$AH539,FIND(":",Sync!$AH539)+1,2)),2),"0000"))))</f>
        <v/>
      </c>
    </row>
    <row r="540">
      <c r="A540">
        <f>IF(OR(Calc!$E543="",Calc!$E543="نامعتبر",Calc!$G543="",Calc!$I543&lt;&gt;"خرید"),"",Calc!$G543)</f>
        <v/>
      </c>
      <c r="B540">
        <f>IF($A540="","",LEFT(Calc!$E543,4)&amp;MID(Calc!$E543,6,2)&amp;RIGHT(Calc!$E543,2)&amp;Calc!$R543&amp;"|"&amp;"1"&amp;RIGHT("00000"&amp;535,5))</f>
        <v/>
      </c>
      <c r="C540">
        <f>IF($B540="","",COUNTIFS(LdgPartyA,$A540,LdgKeyA,"&lt;"&amp;$B540)+COUNTIFS(LdgPartyB,$A540,LdgKeyB,"&lt;"&amp;$B540)+1)</f>
        <v/>
      </c>
      <c r="D540">
        <f>IF($C540="","",$A540&amp;"|"&amp;RIGHT("000000"&amp;$C540,6))</f>
        <v/>
      </c>
      <c r="F540">
        <f>IF(Sync!$AJ540="","",Sync!$AJ540)</f>
        <v/>
      </c>
      <c r="G540">
        <f>IF($F540="","",IF(Sync!$AG540="","",IF(ISNUMBER(Sync!$AG540),IF(AND(Sync!$AG540&gt;=10000101,Sync!$AG540&lt;=99991231),INT(Sync!$AG540/10000),""),IFERROR(VALUE(TRIM(LEFT(Sync!$AG540,FIND("/",Sync!$AG540)-1))),""))))</f>
        <v/>
      </c>
      <c r="H540">
        <f>IF(OR($F540="",$G540=""),"",IF(ISNUMBER(Sync!$AG540),INT(MOD(Sync!$AG540,10000)/100),IFERROR(VALUE(TRIM(LEFT(MID(Sync!$AG540,FIND("/",Sync!$AG540)+1,20),FIND("/",MID(Sync!$AG540,FIND("/",Sync!$AG540)+1,20))-1))),"")))</f>
        <v/>
      </c>
      <c r="I540">
        <f>IF(OR($F540="",$G540=""),"",IF(ISNUMBER(Sync!$AG540),MOD(Sync!$AG540,100),IFERROR(VALUE(TRIM(MID(MID(Sync!$AG540,FIND("/",Sync!$AG540)+1,20),FIND("/",MID(Sync!$AG540,FIND("/",Sync!$AG540)+1,20))+1,20))),"")))</f>
        <v/>
      </c>
      <c r="J540">
        <f>IF($F540="","",IF(OR($G540="",$H540="",$I540="",$G540&lt;1300,$G540&gt;1500,$H540&lt;1,$H540&gt;12,$I540&lt;1,$I540&gt;31),"نامعتبر",RIGHT("0000"&amp;$G540,4)&amp;"/"&amp;RIGHT("00"&amp;$H540,2)&amp;"/"&amp;RIGHT("00"&amp;$I540,2)))</f>
        <v/>
      </c>
      <c r="K540">
        <f>IF(OR($F540="",$J540="",$J540="نامعتبر"),"",LEFT($J540,4)&amp;MID($J540,6,2)&amp;RIGHT($J540,2)&amp;$N540&amp;"|"&amp;"2"&amp;RIGHT("00000"&amp;535,5))</f>
        <v/>
      </c>
      <c r="L540">
        <f>IF($K540="","",COUNTIFS(LdgPartyA,$F540,LdgKeyA,"&lt;"&amp;$K540)+COUNTIFS(LdgPartyB,$F540,LdgKeyB,"&lt;"&amp;$K540)+1)</f>
        <v/>
      </c>
      <c r="M540">
        <f>IF($L540="","",$F540&amp;"|"&amp;RIGHT("000000"&amp;$L540,6))</f>
        <v/>
      </c>
      <c r="N540">
        <f>IF($F540="","",IF(Sync!$AH540="","0000",IF(AND(ISNUMBER(Sync!$AH540),Sync!$AH540&gt;=0,Sync!$AH540&lt;1),RIGHT("00"&amp;HOUR(Sync!$AH540),2)&amp;RIGHT("00"&amp;MINUTE(Sync!$AH540),2),IFERROR(RIGHT("00"&amp;VALUE(LEFT(Sync!$AH540,FIND(":",Sync!$AH540)-1)),2)&amp;RIGHT("00"&amp;VALUE(MID(Sync!$AH540,FIND(":",Sync!$AH540)+1,2)),2),"0000"))))</f>
        <v/>
      </c>
    </row>
    <row r="541">
      <c r="A541">
        <f>IF(OR(Calc!$E544="",Calc!$E544="نامعتبر",Calc!$G544="",Calc!$I544&lt;&gt;"خرید"),"",Calc!$G544)</f>
        <v/>
      </c>
      <c r="B541">
        <f>IF($A541="","",LEFT(Calc!$E544,4)&amp;MID(Calc!$E544,6,2)&amp;RIGHT(Calc!$E544,2)&amp;Calc!$R544&amp;"|"&amp;"1"&amp;RIGHT("00000"&amp;536,5))</f>
        <v/>
      </c>
      <c r="C541">
        <f>IF($B541="","",COUNTIFS(LdgPartyA,$A541,LdgKeyA,"&lt;"&amp;$B541)+COUNTIFS(LdgPartyB,$A541,LdgKeyB,"&lt;"&amp;$B541)+1)</f>
        <v/>
      </c>
      <c r="D541">
        <f>IF($C541="","",$A541&amp;"|"&amp;RIGHT("000000"&amp;$C541,6))</f>
        <v/>
      </c>
      <c r="F541">
        <f>IF(Sync!$AJ541="","",Sync!$AJ541)</f>
        <v/>
      </c>
      <c r="G541">
        <f>IF($F541="","",IF(Sync!$AG541="","",IF(ISNUMBER(Sync!$AG541),IF(AND(Sync!$AG541&gt;=10000101,Sync!$AG541&lt;=99991231),INT(Sync!$AG541/10000),""),IFERROR(VALUE(TRIM(LEFT(Sync!$AG541,FIND("/",Sync!$AG541)-1))),""))))</f>
        <v/>
      </c>
      <c r="H541">
        <f>IF(OR($F541="",$G541=""),"",IF(ISNUMBER(Sync!$AG541),INT(MOD(Sync!$AG541,10000)/100),IFERROR(VALUE(TRIM(LEFT(MID(Sync!$AG541,FIND("/",Sync!$AG541)+1,20),FIND("/",MID(Sync!$AG541,FIND("/",Sync!$AG541)+1,20))-1))),"")))</f>
        <v/>
      </c>
      <c r="I541">
        <f>IF(OR($F541="",$G541=""),"",IF(ISNUMBER(Sync!$AG541),MOD(Sync!$AG541,100),IFERROR(VALUE(TRIM(MID(MID(Sync!$AG541,FIND("/",Sync!$AG541)+1,20),FIND("/",MID(Sync!$AG541,FIND("/",Sync!$AG541)+1,20))+1,20))),"")))</f>
        <v/>
      </c>
      <c r="J541">
        <f>IF($F541="","",IF(OR($G541="",$H541="",$I541="",$G541&lt;1300,$G541&gt;1500,$H541&lt;1,$H541&gt;12,$I541&lt;1,$I541&gt;31),"نامعتبر",RIGHT("0000"&amp;$G541,4)&amp;"/"&amp;RIGHT("00"&amp;$H541,2)&amp;"/"&amp;RIGHT("00"&amp;$I541,2)))</f>
        <v/>
      </c>
      <c r="K541">
        <f>IF(OR($F541="",$J541="",$J541="نامعتبر"),"",LEFT($J541,4)&amp;MID($J541,6,2)&amp;RIGHT($J541,2)&amp;$N541&amp;"|"&amp;"2"&amp;RIGHT("00000"&amp;536,5))</f>
        <v/>
      </c>
      <c r="L541">
        <f>IF($K541="","",COUNTIFS(LdgPartyA,$F541,LdgKeyA,"&lt;"&amp;$K541)+COUNTIFS(LdgPartyB,$F541,LdgKeyB,"&lt;"&amp;$K541)+1)</f>
        <v/>
      </c>
      <c r="M541">
        <f>IF($L541="","",$F541&amp;"|"&amp;RIGHT("000000"&amp;$L541,6))</f>
        <v/>
      </c>
      <c r="N541">
        <f>IF($F541="","",IF(Sync!$AH541="","0000",IF(AND(ISNUMBER(Sync!$AH541),Sync!$AH541&gt;=0,Sync!$AH541&lt;1),RIGHT("00"&amp;HOUR(Sync!$AH541),2)&amp;RIGHT("00"&amp;MINUTE(Sync!$AH541),2),IFERROR(RIGHT("00"&amp;VALUE(LEFT(Sync!$AH541,FIND(":",Sync!$AH541)-1)),2)&amp;RIGHT("00"&amp;VALUE(MID(Sync!$AH541,FIND(":",Sync!$AH541)+1,2)),2),"0000"))))</f>
        <v/>
      </c>
    </row>
    <row r="542">
      <c r="A542">
        <f>IF(OR(Calc!$E545="",Calc!$E545="نامعتبر",Calc!$G545="",Calc!$I545&lt;&gt;"خرید"),"",Calc!$G545)</f>
        <v/>
      </c>
      <c r="B542">
        <f>IF($A542="","",LEFT(Calc!$E545,4)&amp;MID(Calc!$E545,6,2)&amp;RIGHT(Calc!$E545,2)&amp;Calc!$R545&amp;"|"&amp;"1"&amp;RIGHT("00000"&amp;537,5))</f>
        <v/>
      </c>
      <c r="C542">
        <f>IF($B542="","",COUNTIFS(LdgPartyA,$A542,LdgKeyA,"&lt;"&amp;$B542)+COUNTIFS(LdgPartyB,$A542,LdgKeyB,"&lt;"&amp;$B542)+1)</f>
        <v/>
      </c>
      <c r="D542">
        <f>IF($C542="","",$A542&amp;"|"&amp;RIGHT("000000"&amp;$C542,6))</f>
        <v/>
      </c>
      <c r="F542">
        <f>IF(Sync!$AJ542="","",Sync!$AJ542)</f>
        <v/>
      </c>
      <c r="G542">
        <f>IF($F542="","",IF(Sync!$AG542="","",IF(ISNUMBER(Sync!$AG542),IF(AND(Sync!$AG542&gt;=10000101,Sync!$AG542&lt;=99991231),INT(Sync!$AG542/10000),""),IFERROR(VALUE(TRIM(LEFT(Sync!$AG542,FIND("/",Sync!$AG542)-1))),""))))</f>
        <v/>
      </c>
      <c r="H542">
        <f>IF(OR($F542="",$G542=""),"",IF(ISNUMBER(Sync!$AG542),INT(MOD(Sync!$AG542,10000)/100),IFERROR(VALUE(TRIM(LEFT(MID(Sync!$AG542,FIND("/",Sync!$AG542)+1,20),FIND("/",MID(Sync!$AG542,FIND("/",Sync!$AG542)+1,20))-1))),"")))</f>
        <v/>
      </c>
      <c r="I542">
        <f>IF(OR($F542="",$G542=""),"",IF(ISNUMBER(Sync!$AG542),MOD(Sync!$AG542,100),IFERROR(VALUE(TRIM(MID(MID(Sync!$AG542,FIND("/",Sync!$AG542)+1,20),FIND("/",MID(Sync!$AG542,FIND("/",Sync!$AG542)+1,20))+1,20))),"")))</f>
        <v/>
      </c>
      <c r="J542">
        <f>IF($F542="","",IF(OR($G542="",$H542="",$I542="",$G542&lt;1300,$G542&gt;1500,$H542&lt;1,$H542&gt;12,$I542&lt;1,$I542&gt;31),"نامعتبر",RIGHT("0000"&amp;$G542,4)&amp;"/"&amp;RIGHT("00"&amp;$H542,2)&amp;"/"&amp;RIGHT("00"&amp;$I542,2)))</f>
        <v/>
      </c>
      <c r="K542">
        <f>IF(OR($F542="",$J542="",$J542="نامعتبر"),"",LEFT($J542,4)&amp;MID($J542,6,2)&amp;RIGHT($J542,2)&amp;$N542&amp;"|"&amp;"2"&amp;RIGHT("00000"&amp;537,5))</f>
        <v/>
      </c>
      <c r="L542">
        <f>IF($K542="","",COUNTIFS(LdgPartyA,$F542,LdgKeyA,"&lt;"&amp;$K542)+COUNTIFS(LdgPartyB,$F542,LdgKeyB,"&lt;"&amp;$K542)+1)</f>
        <v/>
      </c>
      <c r="M542">
        <f>IF($L542="","",$F542&amp;"|"&amp;RIGHT("000000"&amp;$L542,6))</f>
        <v/>
      </c>
      <c r="N542">
        <f>IF($F542="","",IF(Sync!$AH542="","0000",IF(AND(ISNUMBER(Sync!$AH542),Sync!$AH542&gt;=0,Sync!$AH542&lt;1),RIGHT("00"&amp;HOUR(Sync!$AH542),2)&amp;RIGHT("00"&amp;MINUTE(Sync!$AH542),2),IFERROR(RIGHT("00"&amp;VALUE(LEFT(Sync!$AH542,FIND(":",Sync!$AH542)-1)),2)&amp;RIGHT("00"&amp;VALUE(MID(Sync!$AH542,FIND(":",Sync!$AH542)+1,2)),2),"0000"))))</f>
        <v/>
      </c>
    </row>
    <row r="543">
      <c r="A543">
        <f>IF(OR(Calc!$E546="",Calc!$E546="نامعتبر",Calc!$G546="",Calc!$I546&lt;&gt;"خرید"),"",Calc!$G546)</f>
        <v/>
      </c>
      <c r="B543">
        <f>IF($A543="","",LEFT(Calc!$E546,4)&amp;MID(Calc!$E546,6,2)&amp;RIGHT(Calc!$E546,2)&amp;Calc!$R546&amp;"|"&amp;"1"&amp;RIGHT("00000"&amp;538,5))</f>
        <v/>
      </c>
      <c r="C543">
        <f>IF($B543="","",COUNTIFS(LdgPartyA,$A543,LdgKeyA,"&lt;"&amp;$B543)+COUNTIFS(LdgPartyB,$A543,LdgKeyB,"&lt;"&amp;$B543)+1)</f>
        <v/>
      </c>
      <c r="D543">
        <f>IF($C543="","",$A543&amp;"|"&amp;RIGHT("000000"&amp;$C543,6))</f>
        <v/>
      </c>
      <c r="F543">
        <f>IF(Sync!$AJ543="","",Sync!$AJ543)</f>
        <v/>
      </c>
      <c r="G543">
        <f>IF($F543="","",IF(Sync!$AG543="","",IF(ISNUMBER(Sync!$AG543),IF(AND(Sync!$AG543&gt;=10000101,Sync!$AG543&lt;=99991231),INT(Sync!$AG543/10000),""),IFERROR(VALUE(TRIM(LEFT(Sync!$AG543,FIND("/",Sync!$AG543)-1))),""))))</f>
        <v/>
      </c>
      <c r="H543">
        <f>IF(OR($F543="",$G543=""),"",IF(ISNUMBER(Sync!$AG543),INT(MOD(Sync!$AG543,10000)/100),IFERROR(VALUE(TRIM(LEFT(MID(Sync!$AG543,FIND("/",Sync!$AG543)+1,20),FIND("/",MID(Sync!$AG543,FIND("/",Sync!$AG543)+1,20))-1))),"")))</f>
        <v/>
      </c>
      <c r="I543">
        <f>IF(OR($F543="",$G543=""),"",IF(ISNUMBER(Sync!$AG543),MOD(Sync!$AG543,100),IFERROR(VALUE(TRIM(MID(MID(Sync!$AG543,FIND("/",Sync!$AG543)+1,20),FIND("/",MID(Sync!$AG543,FIND("/",Sync!$AG543)+1,20))+1,20))),"")))</f>
        <v/>
      </c>
      <c r="J543">
        <f>IF($F543="","",IF(OR($G543="",$H543="",$I543="",$G543&lt;1300,$G543&gt;1500,$H543&lt;1,$H543&gt;12,$I543&lt;1,$I543&gt;31),"نامعتبر",RIGHT("0000"&amp;$G543,4)&amp;"/"&amp;RIGHT("00"&amp;$H543,2)&amp;"/"&amp;RIGHT("00"&amp;$I543,2)))</f>
        <v/>
      </c>
      <c r="K543">
        <f>IF(OR($F543="",$J543="",$J543="نامعتبر"),"",LEFT($J543,4)&amp;MID($J543,6,2)&amp;RIGHT($J543,2)&amp;$N543&amp;"|"&amp;"2"&amp;RIGHT("00000"&amp;538,5))</f>
        <v/>
      </c>
      <c r="L543">
        <f>IF($K543="","",COUNTIFS(LdgPartyA,$F543,LdgKeyA,"&lt;"&amp;$K543)+COUNTIFS(LdgPartyB,$F543,LdgKeyB,"&lt;"&amp;$K543)+1)</f>
        <v/>
      </c>
      <c r="M543">
        <f>IF($L543="","",$F543&amp;"|"&amp;RIGHT("000000"&amp;$L543,6))</f>
        <v/>
      </c>
      <c r="N543">
        <f>IF($F543="","",IF(Sync!$AH543="","0000",IF(AND(ISNUMBER(Sync!$AH543),Sync!$AH543&gt;=0,Sync!$AH543&lt;1),RIGHT("00"&amp;HOUR(Sync!$AH543),2)&amp;RIGHT("00"&amp;MINUTE(Sync!$AH543),2),IFERROR(RIGHT("00"&amp;VALUE(LEFT(Sync!$AH543,FIND(":",Sync!$AH543)-1)),2)&amp;RIGHT("00"&amp;VALUE(MID(Sync!$AH543,FIND(":",Sync!$AH543)+1,2)),2),"0000"))))</f>
        <v/>
      </c>
    </row>
    <row r="544">
      <c r="A544">
        <f>IF(OR(Calc!$E547="",Calc!$E547="نامعتبر",Calc!$G547="",Calc!$I547&lt;&gt;"خرید"),"",Calc!$G547)</f>
        <v/>
      </c>
      <c r="B544">
        <f>IF($A544="","",LEFT(Calc!$E547,4)&amp;MID(Calc!$E547,6,2)&amp;RIGHT(Calc!$E547,2)&amp;Calc!$R547&amp;"|"&amp;"1"&amp;RIGHT("00000"&amp;539,5))</f>
        <v/>
      </c>
      <c r="C544">
        <f>IF($B544="","",COUNTIFS(LdgPartyA,$A544,LdgKeyA,"&lt;"&amp;$B544)+COUNTIFS(LdgPartyB,$A544,LdgKeyB,"&lt;"&amp;$B544)+1)</f>
        <v/>
      </c>
      <c r="D544">
        <f>IF($C544="","",$A544&amp;"|"&amp;RIGHT("000000"&amp;$C544,6))</f>
        <v/>
      </c>
      <c r="F544">
        <f>IF(Sync!$AJ544="","",Sync!$AJ544)</f>
        <v/>
      </c>
      <c r="G544">
        <f>IF($F544="","",IF(Sync!$AG544="","",IF(ISNUMBER(Sync!$AG544),IF(AND(Sync!$AG544&gt;=10000101,Sync!$AG544&lt;=99991231),INT(Sync!$AG544/10000),""),IFERROR(VALUE(TRIM(LEFT(Sync!$AG544,FIND("/",Sync!$AG544)-1))),""))))</f>
        <v/>
      </c>
      <c r="H544">
        <f>IF(OR($F544="",$G544=""),"",IF(ISNUMBER(Sync!$AG544),INT(MOD(Sync!$AG544,10000)/100),IFERROR(VALUE(TRIM(LEFT(MID(Sync!$AG544,FIND("/",Sync!$AG544)+1,20),FIND("/",MID(Sync!$AG544,FIND("/",Sync!$AG544)+1,20))-1))),"")))</f>
        <v/>
      </c>
      <c r="I544">
        <f>IF(OR($F544="",$G544=""),"",IF(ISNUMBER(Sync!$AG544),MOD(Sync!$AG544,100),IFERROR(VALUE(TRIM(MID(MID(Sync!$AG544,FIND("/",Sync!$AG544)+1,20),FIND("/",MID(Sync!$AG544,FIND("/",Sync!$AG544)+1,20))+1,20))),"")))</f>
        <v/>
      </c>
      <c r="J544">
        <f>IF($F544="","",IF(OR($G544="",$H544="",$I544="",$G544&lt;1300,$G544&gt;1500,$H544&lt;1,$H544&gt;12,$I544&lt;1,$I544&gt;31),"نامعتبر",RIGHT("0000"&amp;$G544,4)&amp;"/"&amp;RIGHT("00"&amp;$H544,2)&amp;"/"&amp;RIGHT("00"&amp;$I544,2)))</f>
        <v/>
      </c>
      <c r="K544">
        <f>IF(OR($F544="",$J544="",$J544="نامعتبر"),"",LEFT($J544,4)&amp;MID($J544,6,2)&amp;RIGHT($J544,2)&amp;$N544&amp;"|"&amp;"2"&amp;RIGHT("00000"&amp;539,5))</f>
        <v/>
      </c>
      <c r="L544">
        <f>IF($K544="","",COUNTIFS(LdgPartyA,$F544,LdgKeyA,"&lt;"&amp;$K544)+COUNTIFS(LdgPartyB,$F544,LdgKeyB,"&lt;"&amp;$K544)+1)</f>
        <v/>
      </c>
      <c r="M544">
        <f>IF($L544="","",$F544&amp;"|"&amp;RIGHT("000000"&amp;$L544,6))</f>
        <v/>
      </c>
      <c r="N544">
        <f>IF($F544="","",IF(Sync!$AH544="","0000",IF(AND(ISNUMBER(Sync!$AH544),Sync!$AH544&gt;=0,Sync!$AH544&lt;1),RIGHT("00"&amp;HOUR(Sync!$AH544),2)&amp;RIGHT("00"&amp;MINUTE(Sync!$AH544),2),IFERROR(RIGHT("00"&amp;VALUE(LEFT(Sync!$AH544,FIND(":",Sync!$AH544)-1)),2)&amp;RIGHT("00"&amp;VALUE(MID(Sync!$AH544,FIND(":",Sync!$AH544)+1,2)),2),"0000"))))</f>
        <v/>
      </c>
    </row>
    <row r="545">
      <c r="A545">
        <f>IF(OR(Calc!$E548="",Calc!$E548="نامعتبر",Calc!$G548="",Calc!$I548&lt;&gt;"خرید"),"",Calc!$G548)</f>
        <v/>
      </c>
      <c r="B545">
        <f>IF($A545="","",LEFT(Calc!$E548,4)&amp;MID(Calc!$E548,6,2)&amp;RIGHT(Calc!$E548,2)&amp;Calc!$R548&amp;"|"&amp;"1"&amp;RIGHT("00000"&amp;540,5))</f>
        <v/>
      </c>
      <c r="C545">
        <f>IF($B545="","",COUNTIFS(LdgPartyA,$A545,LdgKeyA,"&lt;"&amp;$B545)+COUNTIFS(LdgPartyB,$A545,LdgKeyB,"&lt;"&amp;$B545)+1)</f>
        <v/>
      </c>
      <c r="D545">
        <f>IF($C545="","",$A545&amp;"|"&amp;RIGHT("000000"&amp;$C545,6))</f>
        <v/>
      </c>
      <c r="F545">
        <f>IF(Sync!$AJ545="","",Sync!$AJ545)</f>
        <v/>
      </c>
      <c r="G545">
        <f>IF($F545="","",IF(Sync!$AG545="","",IF(ISNUMBER(Sync!$AG545),IF(AND(Sync!$AG545&gt;=10000101,Sync!$AG545&lt;=99991231),INT(Sync!$AG545/10000),""),IFERROR(VALUE(TRIM(LEFT(Sync!$AG545,FIND("/",Sync!$AG545)-1))),""))))</f>
        <v/>
      </c>
      <c r="H545">
        <f>IF(OR($F545="",$G545=""),"",IF(ISNUMBER(Sync!$AG545),INT(MOD(Sync!$AG545,10000)/100),IFERROR(VALUE(TRIM(LEFT(MID(Sync!$AG545,FIND("/",Sync!$AG545)+1,20),FIND("/",MID(Sync!$AG545,FIND("/",Sync!$AG545)+1,20))-1))),"")))</f>
        <v/>
      </c>
      <c r="I545">
        <f>IF(OR($F545="",$G545=""),"",IF(ISNUMBER(Sync!$AG545),MOD(Sync!$AG545,100),IFERROR(VALUE(TRIM(MID(MID(Sync!$AG545,FIND("/",Sync!$AG545)+1,20),FIND("/",MID(Sync!$AG545,FIND("/",Sync!$AG545)+1,20))+1,20))),"")))</f>
        <v/>
      </c>
      <c r="J545">
        <f>IF($F545="","",IF(OR($G545="",$H545="",$I545="",$G545&lt;1300,$G545&gt;1500,$H545&lt;1,$H545&gt;12,$I545&lt;1,$I545&gt;31),"نامعتبر",RIGHT("0000"&amp;$G545,4)&amp;"/"&amp;RIGHT("00"&amp;$H545,2)&amp;"/"&amp;RIGHT("00"&amp;$I545,2)))</f>
        <v/>
      </c>
      <c r="K545">
        <f>IF(OR($F545="",$J545="",$J545="نامعتبر"),"",LEFT($J545,4)&amp;MID($J545,6,2)&amp;RIGHT($J545,2)&amp;$N545&amp;"|"&amp;"2"&amp;RIGHT("00000"&amp;540,5))</f>
        <v/>
      </c>
      <c r="L545">
        <f>IF($K545="","",COUNTIFS(LdgPartyA,$F545,LdgKeyA,"&lt;"&amp;$K545)+COUNTIFS(LdgPartyB,$F545,LdgKeyB,"&lt;"&amp;$K545)+1)</f>
        <v/>
      </c>
      <c r="M545">
        <f>IF($L545="","",$F545&amp;"|"&amp;RIGHT("000000"&amp;$L545,6))</f>
        <v/>
      </c>
      <c r="N545">
        <f>IF($F545="","",IF(Sync!$AH545="","0000",IF(AND(ISNUMBER(Sync!$AH545),Sync!$AH545&gt;=0,Sync!$AH545&lt;1),RIGHT("00"&amp;HOUR(Sync!$AH545),2)&amp;RIGHT("00"&amp;MINUTE(Sync!$AH545),2),IFERROR(RIGHT("00"&amp;VALUE(LEFT(Sync!$AH545,FIND(":",Sync!$AH545)-1)),2)&amp;RIGHT("00"&amp;VALUE(MID(Sync!$AH545,FIND(":",Sync!$AH545)+1,2)),2),"0000"))))</f>
        <v/>
      </c>
    </row>
    <row r="546">
      <c r="A546">
        <f>IF(OR(Calc!$E549="",Calc!$E549="نامعتبر",Calc!$G549="",Calc!$I549&lt;&gt;"خرید"),"",Calc!$G549)</f>
        <v/>
      </c>
      <c r="B546">
        <f>IF($A546="","",LEFT(Calc!$E549,4)&amp;MID(Calc!$E549,6,2)&amp;RIGHT(Calc!$E549,2)&amp;Calc!$R549&amp;"|"&amp;"1"&amp;RIGHT("00000"&amp;541,5))</f>
        <v/>
      </c>
      <c r="C546">
        <f>IF($B546="","",COUNTIFS(LdgPartyA,$A546,LdgKeyA,"&lt;"&amp;$B546)+COUNTIFS(LdgPartyB,$A546,LdgKeyB,"&lt;"&amp;$B546)+1)</f>
        <v/>
      </c>
      <c r="D546">
        <f>IF($C546="","",$A546&amp;"|"&amp;RIGHT("000000"&amp;$C546,6))</f>
        <v/>
      </c>
      <c r="F546">
        <f>IF(Sync!$AJ546="","",Sync!$AJ546)</f>
        <v/>
      </c>
      <c r="G546">
        <f>IF($F546="","",IF(Sync!$AG546="","",IF(ISNUMBER(Sync!$AG546),IF(AND(Sync!$AG546&gt;=10000101,Sync!$AG546&lt;=99991231),INT(Sync!$AG546/10000),""),IFERROR(VALUE(TRIM(LEFT(Sync!$AG546,FIND("/",Sync!$AG546)-1))),""))))</f>
        <v/>
      </c>
      <c r="H546">
        <f>IF(OR($F546="",$G546=""),"",IF(ISNUMBER(Sync!$AG546),INT(MOD(Sync!$AG546,10000)/100),IFERROR(VALUE(TRIM(LEFT(MID(Sync!$AG546,FIND("/",Sync!$AG546)+1,20),FIND("/",MID(Sync!$AG546,FIND("/",Sync!$AG546)+1,20))-1))),"")))</f>
        <v/>
      </c>
      <c r="I546">
        <f>IF(OR($F546="",$G546=""),"",IF(ISNUMBER(Sync!$AG546),MOD(Sync!$AG546,100),IFERROR(VALUE(TRIM(MID(MID(Sync!$AG546,FIND("/",Sync!$AG546)+1,20),FIND("/",MID(Sync!$AG546,FIND("/",Sync!$AG546)+1,20))+1,20))),"")))</f>
        <v/>
      </c>
      <c r="J546">
        <f>IF($F546="","",IF(OR($G546="",$H546="",$I546="",$G546&lt;1300,$G546&gt;1500,$H546&lt;1,$H546&gt;12,$I546&lt;1,$I546&gt;31),"نامعتبر",RIGHT("0000"&amp;$G546,4)&amp;"/"&amp;RIGHT("00"&amp;$H546,2)&amp;"/"&amp;RIGHT("00"&amp;$I546,2)))</f>
        <v/>
      </c>
      <c r="K546">
        <f>IF(OR($F546="",$J546="",$J546="نامعتبر"),"",LEFT($J546,4)&amp;MID($J546,6,2)&amp;RIGHT($J546,2)&amp;$N546&amp;"|"&amp;"2"&amp;RIGHT("00000"&amp;541,5))</f>
        <v/>
      </c>
      <c r="L546">
        <f>IF($K546="","",COUNTIFS(LdgPartyA,$F546,LdgKeyA,"&lt;"&amp;$K546)+COUNTIFS(LdgPartyB,$F546,LdgKeyB,"&lt;"&amp;$K546)+1)</f>
        <v/>
      </c>
      <c r="M546">
        <f>IF($L546="","",$F546&amp;"|"&amp;RIGHT("000000"&amp;$L546,6))</f>
        <v/>
      </c>
      <c r="N546">
        <f>IF($F546="","",IF(Sync!$AH546="","0000",IF(AND(ISNUMBER(Sync!$AH546),Sync!$AH546&gt;=0,Sync!$AH546&lt;1),RIGHT("00"&amp;HOUR(Sync!$AH546),2)&amp;RIGHT("00"&amp;MINUTE(Sync!$AH546),2),IFERROR(RIGHT("00"&amp;VALUE(LEFT(Sync!$AH546,FIND(":",Sync!$AH546)-1)),2)&amp;RIGHT("00"&amp;VALUE(MID(Sync!$AH546,FIND(":",Sync!$AH546)+1,2)),2),"0000"))))</f>
        <v/>
      </c>
    </row>
    <row r="547">
      <c r="A547">
        <f>IF(OR(Calc!$E550="",Calc!$E550="نامعتبر",Calc!$G550="",Calc!$I550&lt;&gt;"خرید"),"",Calc!$G550)</f>
        <v/>
      </c>
      <c r="B547">
        <f>IF($A547="","",LEFT(Calc!$E550,4)&amp;MID(Calc!$E550,6,2)&amp;RIGHT(Calc!$E550,2)&amp;Calc!$R550&amp;"|"&amp;"1"&amp;RIGHT("00000"&amp;542,5))</f>
        <v/>
      </c>
      <c r="C547">
        <f>IF($B547="","",COUNTIFS(LdgPartyA,$A547,LdgKeyA,"&lt;"&amp;$B547)+COUNTIFS(LdgPartyB,$A547,LdgKeyB,"&lt;"&amp;$B547)+1)</f>
        <v/>
      </c>
      <c r="D547">
        <f>IF($C547="","",$A547&amp;"|"&amp;RIGHT("000000"&amp;$C547,6))</f>
        <v/>
      </c>
      <c r="F547">
        <f>IF(Sync!$AJ547="","",Sync!$AJ547)</f>
        <v/>
      </c>
      <c r="G547">
        <f>IF($F547="","",IF(Sync!$AG547="","",IF(ISNUMBER(Sync!$AG547),IF(AND(Sync!$AG547&gt;=10000101,Sync!$AG547&lt;=99991231),INT(Sync!$AG547/10000),""),IFERROR(VALUE(TRIM(LEFT(Sync!$AG547,FIND("/",Sync!$AG547)-1))),""))))</f>
        <v/>
      </c>
      <c r="H547">
        <f>IF(OR($F547="",$G547=""),"",IF(ISNUMBER(Sync!$AG547),INT(MOD(Sync!$AG547,10000)/100),IFERROR(VALUE(TRIM(LEFT(MID(Sync!$AG547,FIND("/",Sync!$AG547)+1,20),FIND("/",MID(Sync!$AG547,FIND("/",Sync!$AG547)+1,20))-1))),"")))</f>
        <v/>
      </c>
      <c r="I547">
        <f>IF(OR($F547="",$G547=""),"",IF(ISNUMBER(Sync!$AG547),MOD(Sync!$AG547,100),IFERROR(VALUE(TRIM(MID(MID(Sync!$AG547,FIND("/",Sync!$AG547)+1,20),FIND("/",MID(Sync!$AG547,FIND("/",Sync!$AG547)+1,20))+1,20))),"")))</f>
        <v/>
      </c>
      <c r="J547">
        <f>IF($F547="","",IF(OR($G547="",$H547="",$I547="",$G547&lt;1300,$G547&gt;1500,$H547&lt;1,$H547&gt;12,$I547&lt;1,$I547&gt;31),"نامعتبر",RIGHT("0000"&amp;$G547,4)&amp;"/"&amp;RIGHT("00"&amp;$H547,2)&amp;"/"&amp;RIGHT("00"&amp;$I547,2)))</f>
        <v/>
      </c>
      <c r="K547">
        <f>IF(OR($F547="",$J547="",$J547="نامعتبر"),"",LEFT($J547,4)&amp;MID($J547,6,2)&amp;RIGHT($J547,2)&amp;$N547&amp;"|"&amp;"2"&amp;RIGHT("00000"&amp;542,5))</f>
        <v/>
      </c>
      <c r="L547">
        <f>IF($K547="","",COUNTIFS(LdgPartyA,$F547,LdgKeyA,"&lt;"&amp;$K547)+COUNTIFS(LdgPartyB,$F547,LdgKeyB,"&lt;"&amp;$K547)+1)</f>
        <v/>
      </c>
      <c r="M547">
        <f>IF($L547="","",$F547&amp;"|"&amp;RIGHT("000000"&amp;$L547,6))</f>
        <v/>
      </c>
      <c r="N547">
        <f>IF($F547="","",IF(Sync!$AH547="","0000",IF(AND(ISNUMBER(Sync!$AH547),Sync!$AH547&gt;=0,Sync!$AH547&lt;1),RIGHT("00"&amp;HOUR(Sync!$AH547),2)&amp;RIGHT("00"&amp;MINUTE(Sync!$AH547),2),IFERROR(RIGHT("00"&amp;VALUE(LEFT(Sync!$AH547,FIND(":",Sync!$AH547)-1)),2)&amp;RIGHT("00"&amp;VALUE(MID(Sync!$AH547,FIND(":",Sync!$AH547)+1,2)),2),"0000"))))</f>
        <v/>
      </c>
    </row>
    <row r="548">
      <c r="A548">
        <f>IF(OR(Calc!$E551="",Calc!$E551="نامعتبر",Calc!$G551="",Calc!$I551&lt;&gt;"خرید"),"",Calc!$G551)</f>
        <v/>
      </c>
      <c r="B548">
        <f>IF($A548="","",LEFT(Calc!$E551,4)&amp;MID(Calc!$E551,6,2)&amp;RIGHT(Calc!$E551,2)&amp;Calc!$R551&amp;"|"&amp;"1"&amp;RIGHT("00000"&amp;543,5))</f>
        <v/>
      </c>
      <c r="C548">
        <f>IF($B548="","",COUNTIFS(LdgPartyA,$A548,LdgKeyA,"&lt;"&amp;$B548)+COUNTIFS(LdgPartyB,$A548,LdgKeyB,"&lt;"&amp;$B548)+1)</f>
        <v/>
      </c>
      <c r="D548">
        <f>IF($C548="","",$A548&amp;"|"&amp;RIGHT("000000"&amp;$C548,6))</f>
        <v/>
      </c>
      <c r="F548">
        <f>IF(Sync!$AJ548="","",Sync!$AJ548)</f>
        <v/>
      </c>
      <c r="G548">
        <f>IF($F548="","",IF(Sync!$AG548="","",IF(ISNUMBER(Sync!$AG548),IF(AND(Sync!$AG548&gt;=10000101,Sync!$AG548&lt;=99991231),INT(Sync!$AG548/10000),""),IFERROR(VALUE(TRIM(LEFT(Sync!$AG548,FIND("/",Sync!$AG548)-1))),""))))</f>
        <v/>
      </c>
      <c r="H548">
        <f>IF(OR($F548="",$G548=""),"",IF(ISNUMBER(Sync!$AG548),INT(MOD(Sync!$AG548,10000)/100),IFERROR(VALUE(TRIM(LEFT(MID(Sync!$AG548,FIND("/",Sync!$AG548)+1,20),FIND("/",MID(Sync!$AG548,FIND("/",Sync!$AG548)+1,20))-1))),"")))</f>
        <v/>
      </c>
      <c r="I548">
        <f>IF(OR($F548="",$G548=""),"",IF(ISNUMBER(Sync!$AG548),MOD(Sync!$AG548,100),IFERROR(VALUE(TRIM(MID(MID(Sync!$AG548,FIND("/",Sync!$AG548)+1,20),FIND("/",MID(Sync!$AG548,FIND("/",Sync!$AG548)+1,20))+1,20))),"")))</f>
        <v/>
      </c>
      <c r="J548">
        <f>IF($F548="","",IF(OR($G548="",$H548="",$I548="",$G548&lt;1300,$G548&gt;1500,$H548&lt;1,$H548&gt;12,$I548&lt;1,$I548&gt;31),"نامعتبر",RIGHT("0000"&amp;$G548,4)&amp;"/"&amp;RIGHT("00"&amp;$H548,2)&amp;"/"&amp;RIGHT("00"&amp;$I548,2)))</f>
        <v/>
      </c>
      <c r="K548">
        <f>IF(OR($F548="",$J548="",$J548="نامعتبر"),"",LEFT($J548,4)&amp;MID($J548,6,2)&amp;RIGHT($J548,2)&amp;$N548&amp;"|"&amp;"2"&amp;RIGHT("00000"&amp;543,5))</f>
        <v/>
      </c>
      <c r="L548">
        <f>IF($K548="","",COUNTIFS(LdgPartyA,$F548,LdgKeyA,"&lt;"&amp;$K548)+COUNTIFS(LdgPartyB,$F548,LdgKeyB,"&lt;"&amp;$K548)+1)</f>
        <v/>
      </c>
      <c r="M548">
        <f>IF($L548="","",$F548&amp;"|"&amp;RIGHT("000000"&amp;$L548,6))</f>
        <v/>
      </c>
      <c r="N548">
        <f>IF($F548="","",IF(Sync!$AH548="","0000",IF(AND(ISNUMBER(Sync!$AH548),Sync!$AH548&gt;=0,Sync!$AH548&lt;1),RIGHT("00"&amp;HOUR(Sync!$AH548),2)&amp;RIGHT("00"&amp;MINUTE(Sync!$AH548),2),IFERROR(RIGHT("00"&amp;VALUE(LEFT(Sync!$AH548,FIND(":",Sync!$AH548)-1)),2)&amp;RIGHT("00"&amp;VALUE(MID(Sync!$AH548,FIND(":",Sync!$AH548)+1,2)),2),"0000"))))</f>
        <v/>
      </c>
    </row>
    <row r="549">
      <c r="A549">
        <f>IF(OR(Calc!$E552="",Calc!$E552="نامعتبر",Calc!$G552="",Calc!$I552&lt;&gt;"خرید"),"",Calc!$G552)</f>
        <v/>
      </c>
      <c r="B549">
        <f>IF($A549="","",LEFT(Calc!$E552,4)&amp;MID(Calc!$E552,6,2)&amp;RIGHT(Calc!$E552,2)&amp;Calc!$R552&amp;"|"&amp;"1"&amp;RIGHT("00000"&amp;544,5))</f>
        <v/>
      </c>
      <c r="C549">
        <f>IF($B549="","",COUNTIFS(LdgPartyA,$A549,LdgKeyA,"&lt;"&amp;$B549)+COUNTIFS(LdgPartyB,$A549,LdgKeyB,"&lt;"&amp;$B549)+1)</f>
        <v/>
      </c>
      <c r="D549">
        <f>IF($C549="","",$A549&amp;"|"&amp;RIGHT("000000"&amp;$C549,6))</f>
        <v/>
      </c>
      <c r="F549">
        <f>IF(Sync!$AJ549="","",Sync!$AJ549)</f>
        <v/>
      </c>
      <c r="G549">
        <f>IF($F549="","",IF(Sync!$AG549="","",IF(ISNUMBER(Sync!$AG549),IF(AND(Sync!$AG549&gt;=10000101,Sync!$AG549&lt;=99991231),INT(Sync!$AG549/10000),""),IFERROR(VALUE(TRIM(LEFT(Sync!$AG549,FIND("/",Sync!$AG549)-1))),""))))</f>
        <v/>
      </c>
      <c r="H549">
        <f>IF(OR($F549="",$G549=""),"",IF(ISNUMBER(Sync!$AG549),INT(MOD(Sync!$AG549,10000)/100),IFERROR(VALUE(TRIM(LEFT(MID(Sync!$AG549,FIND("/",Sync!$AG549)+1,20),FIND("/",MID(Sync!$AG549,FIND("/",Sync!$AG549)+1,20))-1))),"")))</f>
        <v/>
      </c>
      <c r="I549">
        <f>IF(OR($F549="",$G549=""),"",IF(ISNUMBER(Sync!$AG549),MOD(Sync!$AG549,100),IFERROR(VALUE(TRIM(MID(MID(Sync!$AG549,FIND("/",Sync!$AG549)+1,20),FIND("/",MID(Sync!$AG549,FIND("/",Sync!$AG549)+1,20))+1,20))),"")))</f>
        <v/>
      </c>
      <c r="J549">
        <f>IF($F549="","",IF(OR($G549="",$H549="",$I549="",$G549&lt;1300,$G549&gt;1500,$H549&lt;1,$H549&gt;12,$I549&lt;1,$I549&gt;31),"نامعتبر",RIGHT("0000"&amp;$G549,4)&amp;"/"&amp;RIGHT("00"&amp;$H549,2)&amp;"/"&amp;RIGHT("00"&amp;$I549,2)))</f>
        <v/>
      </c>
      <c r="K549">
        <f>IF(OR($F549="",$J549="",$J549="نامعتبر"),"",LEFT($J549,4)&amp;MID($J549,6,2)&amp;RIGHT($J549,2)&amp;$N549&amp;"|"&amp;"2"&amp;RIGHT("00000"&amp;544,5))</f>
        <v/>
      </c>
      <c r="L549">
        <f>IF($K549="","",COUNTIFS(LdgPartyA,$F549,LdgKeyA,"&lt;"&amp;$K549)+COUNTIFS(LdgPartyB,$F549,LdgKeyB,"&lt;"&amp;$K549)+1)</f>
        <v/>
      </c>
      <c r="M549">
        <f>IF($L549="","",$F549&amp;"|"&amp;RIGHT("000000"&amp;$L549,6))</f>
        <v/>
      </c>
      <c r="N549">
        <f>IF($F549="","",IF(Sync!$AH549="","0000",IF(AND(ISNUMBER(Sync!$AH549),Sync!$AH549&gt;=0,Sync!$AH549&lt;1),RIGHT("00"&amp;HOUR(Sync!$AH549),2)&amp;RIGHT("00"&amp;MINUTE(Sync!$AH549),2),IFERROR(RIGHT("00"&amp;VALUE(LEFT(Sync!$AH549,FIND(":",Sync!$AH549)-1)),2)&amp;RIGHT("00"&amp;VALUE(MID(Sync!$AH549,FIND(":",Sync!$AH549)+1,2)),2),"0000"))))</f>
        <v/>
      </c>
    </row>
    <row r="550">
      <c r="A550">
        <f>IF(OR(Calc!$E553="",Calc!$E553="نامعتبر",Calc!$G553="",Calc!$I553&lt;&gt;"خرید"),"",Calc!$G553)</f>
        <v/>
      </c>
      <c r="B550">
        <f>IF($A550="","",LEFT(Calc!$E553,4)&amp;MID(Calc!$E553,6,2)&amp;RIGHT(Calc!$E553,2)&amp;Calc!$R553&amp;"|"&amp;"1"&amp;RIGHT("00000"&amp;545,5))</f>
        <v/>
      </c>
      <c r="C550">
        <f>IF($B550="","",COUNTIFS(LdgPartyA,$A550,LdgKeyA,"&lt;"&amp;$B550)+COUNTIFS(LdgPartyB,$A550,LdgKeyB,"&lt;"&amp;$B550)+1)</f>
        <v/>
      </c>
      <c r="D550">
        <f>IF($C550="","",$A550&amp;"|"&amp;RIGHT("000000"&amp;$C550,6))</f>
        <v/>
      </c>
      <c r="F550">
        <f>IF(Sync!$AJ550="","",Sync!$AJ550)</f>
        <v/>
      </c>
      <c r="G550">
        <f>IF($F550="","",IF(Sync!$AG550="","",IF(ISNUMBER(Sync!$AG550),IF(AND(Sync!$AG550&gt;=10000101,Sync!$AG550&lt;=99991231),INT(Sync!$AG550/10000),""),IFERROR(VALUE(TRIM(LEFT(Sync!$AG550,FIND("/",Sync!$AG550)-1))),""))))</f>
        <v/>
      </c>
      <c r="H550">
        <f>IF(OR($F550="",$G550=""),"",IF(ISNUMBER(Sync!$AG550),INT(MOD(Sync!$AG550,10000)/100),IFERROR(VALUE(TRIM(LEFT(MID(Sync!$AG550,FIND("/",Sync!$AG550)+1,20),FIND("/",MID(Sync!$AG550,FIND("/",Sync!$AG550)+1,20))-1))),"")))</f>
        <v/>
      </c>
      <c r="I550">
        <f>IF(OR($F550="",$G550=""),"",IF(ISNUMBER(Sync!$AG550),MOD(Sync!$AG550,100),IFERROR(VALUE(TRIM(MID(MID(Sync!$AG550,FIND("/",Sync!$AG550)+1,20),FIND("/",MID(Sync!$AG550,FIND("/",Sync!$AG550)+1,20))+1,20))),"")))</f>
        <v/>
      </c>
      <c r="J550">
        <f>IF($F550="","",IF(OR($G550="",$H550="",$I550="",$G550&lt;1300,$G550&gt;1500,$H550&lt;1,$H550&gt;12,$I550&lt;1,$I550&gt;31),"نامعتبر",RIGHT("0000"&amp;$G550,4)&amp;"/"&amp;RIGHT("00"&amp;$H550,2)&amp;"/"&amp;RIGHT("00"&amp;$I550,2)))</f>
        <v/>
      </c>
      <c r="K550">
        <f>IF(OR($F550="",$J550="",$J550="نامعتبر"),"",LEFT($J550,4)&amp;MID($J550,6,2)&amp;RIGHT($J550,2)&amp;$N550&amp;"|"&amp;"2"&amp;RIGHT("00000"&amp;545,5))</f>
        <v/>
      </c>
      <c r="L550">
        <f>IF($K550="","",COUNTIFS(LdgPartyA,$F550,LdgKeyA,"&lt;"&amp;$K550)+COUNTIFS(LdgPartyB,$F550,LdgKeyB,"&lt;"&amp;$K550)+1)</f>
        <v/>
      </c>
      <c r="M550">
        <f>IF($L550="","",$F550&amp;"|"&amp;RIGHT("000000"&amp;$L550,6))</f>
        <v/>
      </c>
      <c r="N550">
        <f>IF($F550="","",IF(Sync!$AH550="","0000",IF(AND(ISNUMBER(Sync!$AH550),Sync!$AH550&gt;=0,Sync!$AH550&lt;1),RIGHT("00"&amp;HOUR(Sync!$AH550),2)&amp;RIGHT("00"&amp;MINUTE(Sync!$AH550),2),IFERROR(RIGHT("00"&amp;VALUE(LEFT(Sync!$AH550,FIND(":",Sync!$AH550)-1)),2)&amp;RIGHT("00"&amp;VALUE(MID(Sync!$AH550,FIND(":",Sync!$AH550)+1,2)),2),"0000"))))</f>
        <v/>
      </c>
    </row>
    <row r="551">
      <c r="A551">
        <f>IF(OR(Calc!$E554="",Calc!$E554="نامعتبر",Calc!$G554="",Calc!$I554&lt;&gt;"خرید"),"",Calc!$G554)</f>
        <v/>
      </c>
      <c r="B551">
        <f>IF($A551="","",LEFT(Calc!$E554,4)&amp;MID(Calc!$E554,6,2)&amp;RIGHT(Calc!$E554,2)&amp;Calc!$R554&amp;"|"&amp;"1"&amp;RIGHT("00000"&amp;546,5))</f>
        <v/>
      </c>
      <c r="C551">
        <f>IF($B551="","",COUNTIFS(LdgPartyA,$A551,LdgKeyA,"&lt;"&amp;$B551)+COUNTIFS(LdgPartyB,$A551,LdgKeyB,"&lt;"&amp;$B551)+1)</f>
        <v/>
      </c>
      <c r="D551">
        <f>IF($C551="","",$A551&amp;"|"&amp;RIGHT("000000"&amp;$C551,6))</f>
        <v/>
      </c>
      <c r="F551">
        <f>IF(Sync!$AJ551="","",Sync!$AJ551)</f>
        <v/>
      </c>
      <c r="G551">
        <f>IF($F551="","",IF(Sync!$AG551="","",IF(ISNUMBER(Sync!$AG551),IF(AND(Sync!$AG551&gt;=10000101,Sync!$AG551&lt;=99991231),INT(Sync!$AG551/10000),""),IFERROR(VALUE(TRIM(LEFT(Sync!$AG551,FIND("/",Sync!$AG551)-1))),""))))</f>
        <v/>
      </c>
      <c r="H551">
        <f>IF(OR($F551="",$G551=""),"",IF(ISNUMBER(Sync!$AG551),INT(MOD(Sync!$AG551,10000)/100),IFERROR(VALUE(TRIM(LEFT(MID(Sync!$AG551,FIND("/",Sync!$AG551)+1,20),FIND("/",MID(Sync!$AG551,FIND("/",Sync!$AG551)+1,20))-1))),"")))</f>
        <v/>
      </c>
      <c r="I551">
        <f>IF(OR($F551="",$G551=""),"",IF(ISNUMBER(Sync!$AG551),MOD(Sync!$AG551,100),IFERROR(VALUE(TRIM(MID(MID(Sync!$AG551,FIND("/",Sync!$AG551)+1,20),FIND("/",MID(Sync!$AG551,FIND("/",Sync!$AG551)+1,20))+1,20))),"")))</f>
        <v/>
      </c>
      <c r="J551">
        <f>IF($F551="","",IF(OR($G551="",$H551="",$I551="",$G551&lt;1300,$G551&gt;1500,$H551&lt;1,$H551&gt;12,$I551&lt;1,$I551&gt;31),"نامعتبر",RIGHT("0000"&amp;$G551,4)&amp;"/"&amp;RIGHT("00"&amp;$H551,2)&amp;"/"&amp;RIGHT("00"&amp;$I551,2)))</f>
        <v/>
      </c>
      <c r="K551">
        <f>IF(OR($F551="",$J551="",$J551="نامعتبر"),"",LEFT($J551,4)&amp;MID($J551,6,2)&amp;RIGHT($J551,2)&amp;$N551&amp;"|"&amp;"2"&amp;RIGHT("00000"&amp;546,5))</f>
        <v/>
      </c>
      <c r="L551">
        <f>IF($K551="","",COUNTIFS(LdgPartyA,$F551,LdgKeyA,"&lt;"&amp;$K551)+COUNTIFS(LdgPartyB,$F551,LdgKeyB,"&lt;"&amp;$K551)+1)</f>
        <v/>
      </c>
      <c r="M551">
        <f>IF($L551="","",$F551&amp;"|"&amp;RIGHT("000000"&amp;$L551,6))</f>
        <v/>
      </c>
      <c r="N551">
        <f>IF($F551="","",IF(Sync!$AH551="","0000",IF(AND(ISNUMBER(Sync!$AH551),Sync!$AH551&gt;=0,Sync!$AH551&lt;1),RIGHT("00"&amp;HOUR(Sync!$AH551),2)&amp;RIGHT("00"&amp;MINUTE(Sync!$AH551),2),IFERROR(RIGHT("00"&amp;VALUE(LEFT(Sync!$AH551,FIND(":",Sync!$AH551)-1)),2)&amp;RIGHT("00"&amp;VALUE(MID(Sync!$AH551,FIND(":",Sync!$AH551)+1,2)),2),"0000"))))</f>
        <v/>
      </c>
    </row>
    <row r="552">
      <c r="A552">
        <f>IF(OR(Calc!$E555="",Calc!$E555="نامعتبر",Calc!$G555="",Calc!$I555&lt;&gt;"خرید"),"",Calc!$G555)</f>
        <v/>
      </c>
      <c r="B552">
        <f>IF($A552="","",LEFT(Calc!$E555,4)&amp;MID(Calc!$E555,6,2)&amp;RIGHT(Calc!$E555,2)&amp;Calc!$R555&amp;"|"&amp;"1"&amp;RIGHT("00000"&amp;547,5))</f>
        <v/>
      </c>
      <c r="C552">
        <f>IF($B552="","",COUNTIFS(LdgPartyA,$A552,LdgKeyA,"&lt;"&amp;$B552)+COUNTIFS(LdgPartyB,$A552,LdgKeyB,"&lt;"&amp;$B552)+1)</f>
        <v/>
      </c>
      <c r="D552">
        <f>IF($C552="","",$A552&amp;"|"&amp;RIGHT("000000"&amp;$C552,6))</f>
        <v/>
      </c>
      <c r="F552">
        <f>IF(Sync!$AJ552="","",Sync!$AJ552)</f>
        <v/>
      </c>
      <c r="G552">
        <f>IF($F552="","",IF(Sync!$AG552="","",IF(ISNUMBER(Sync!$AG552),IF(AND(Sync!$AG552&gt;=10000101,Sync!$AG552&lt;=99991231),INT(Sync!$AG552/10000),""),IFERROR(VALUE(TRIM(LEFT(Sync!$AG552,FIND("/",Sync!$AG552)-1))),""))))</f>
        <v/>
      </c>
      <c r="H552">
        <f>IF(OR($F552="",$G552=""),"",IF(ISNUMBER(Sync!$AG552),INT(MOD(Sync!$AG552,10000)/100),IFERROR(VALUE(TRIM(LEFT(MID(Sync!$AG552,FIND("/",Sync!$AG552)+1,20),FIND("/",MID(Sync!$AG552,FIND("/",Sync!$AG552)+1,20))-1))),"")))</f>
        <v/>
      </c>
      <c r="I552">
        <f>IF(OR($F552="",$G552=""),"",IF(ISNUMBER(Sync!$AG552),MOD(Sync!$AG552,100),IFERROR(VALUE(TRIM(MID(MID(Sync!$AG552,FIND("/",Sync!$AG552)+1,20),FIND("/",MID(Sync!$AG552,FIND("/",Sync!$AG552)+1,20))+1,20))),"")))</f>
        <v/>
      </c>
      <c r="J552">
        <f>IF($F552="","",IF(OR($G552="",$H552="",$I552="",$G552&lt;1300,$G552&gt;1500,$H552&lt;1,$H552&gt;12,$I552&lt;1,$I552&gt;31),"نامعتبر",RIGHT("0000"&amp;$G552,4)&amp;"/"&amp;RIGHT("00"&amp;$H552,2)&amp;"/"&amp;RIGHT("00"&amp;$I552,2)))</f>
        <v/>
      </c>
      <c r="K552">
        <f>IF(OR($F552="",$J552="",$J552="نامعتبر"),"",LEFT($J552,4)&amp;MID($J552,6,2)&amp;RIGHT($J552,2)&amp;$N552&amp;"|"&amp;"2"&amp;RIGHT("00000"&amp;547,5))</f>
        <v/>
      </c>
      <c r="L552">
        <f>IF($K552="","",COUNTIFS(LdgPartyA,$F552,LdgKeyA,"&lt;"&amp;$K552)+COUNTIFS(LdgPartyB,$F552,LdgKeyB,"&lt;"&amp;$K552)+1)</f>
        <v/>
      </c>
      <c r="M552">
        <f>IF($L552="","",$F552&amp;"|"&amp;RIGHT("000000"&amp;$L552,6))</f>
        <v/>
      </c>
      <c r="N552">
        <f>IF($F552="","",IF(Sync!$AH552="","0000",IF(AND(ISNUMBER(Sync!$AH552),Sync!$AH552&gt;=0,Sync!$AH552&lt;1),RIGHT("00"&amp;HOUR(Sync!$AH552),2)&amp;RIGHT("00"&amp;MINUTE(Sync!$AH552),2),IFERROR(RIGHT("00"&amp;VALUE(LEFT(Sync!$AH552,FIND(":",Sync!$AH552)-1)),2)&amp;RIGHT("00"&amp;VALUE(MID(Sync!$AH552,FIND(":",Sync!$AH552)+1,2)),2),"0000"))))</f>
        <v/>
      </c>
    </row>
    <row r="553">
      <c r="A553">
        <f>IF(OR(Calc!$E556="",Calc!$E556="نامعتبر",Calc!$G556="",Calc!$I556&lt;&gt;"خرید"),"",Calc!$G556)</f>
        <v/>
      </c>
      <c r="B553">
        <f>IF($A553="","",LEFT(Calc!$E556,4)&amp;MID(Calc!$E556,6,2)&amp;RIGHT(Calc!$E556,2)&amp;Calc!$R556&amp;"|"&amp;"1"&amp;RIGHT("00000"&amp;548,5))</f>
        <v/>
      </c>
      <c r="C553">
        <f>IF($B553="","",COUNTIFS(LdgPartyA,$A553,LdgKeyA,"&lt;"&amp;$B553)+COUNTIFS(LdgPartyB,$A553,LdgKeyB,"&lt;"&amp;$B553)+1)</f>
        <v/>
      </c>
      <c r="D553">
        <f>IF($C553="","",$A553&amp;"|"&amp;RIGHT("000000"&amp;$C553,6))</f>
        <v/>
      </c>
      <c r="F553">
        <f>IF(Sync!$AJ553="","",Sync!$AJ553)</f>
        <v/>
      </c>
      <c r="G553">
        <f>IF($F553="","",IF(Sync!$AG553="","",IF(ISNUMBER(Sync!$AG553),IF(AND(Sync!$AG553&gt;=10000101,Sync!$AG553&lt;=99991231),INT(Sync!$AG553/10000),""),IFERROR(VALUE(TRIM(LEFT(Sync!$AG553,FIND("/",Sync!$AG553)-1))),""))))</f>
        <v/>
      </c>
      <c r="H553">
        <f>IF(OR($F553="",$G553=""),"",IF(ISNUMBER(Sync!$AG553),INT(MOD(Sync!$AG553,10000)/100),IFERROR(VALUE(TRIM(LEFT(MID(Sync!$AG553,FIND("/",Sync!$AG553)+1,20),FIND("/",MID(Sync!$AG553,FIND("/",Sync!$AG553)+1,20))-1))),"")))</f>
        <v/>
      </c>
      <c r="I553">
        <f>IF(OR($F553="",$G553=""),"",IF(ISNUMBER(Sync!$AG553),MOD(Sync!$AG553,100),IFERROR(VALUE(TRIM(MID(MID(Sync!$AG553,FIND("/",Sync!$AG553)+1,20),FIND("/",MID(Sync!$AG553,FIND("/",Sync!$AG553)+1,20))+1,20))),"")))</f>
        <v/>
      </c>
      <c r="J553">
        <f>IF($F553="","",IF(OR($G553="",$H553="",$I553="",$G553&lt;1300,$G553&gt;1500,$H553&lt;1,$H553&gt;12,$I553&lt;1,$I553&gt;31),"نامعتبر",RIGHT("0000"&amp;$G553,4)&amp;"/"&amp;RIGHT("00"&amp;$H553,2)&amp;"/"&amp;RIGHT("00"&amp;$I553,2)))</f>
        <v/>
      </c>
      <c r="K553">
        <f>IF(OR($F553="",$J553="",$J553="نامعتبر"),"",LEFT($J553,4)&amp;MID($J553,6,2)&amp;RIGHT($J553,2)&amp;$N553&amp;"|"&amp;"2"&amp;RIGHT("00000"&amp;548,5))</f>
        <v/>
      </c>
      <c r="L553">
        <f>IF($K553="","",COUNTIFS(LdgPartyA,$F553,LdgKeyA,"&lt;"&amp;$K553)+COUNTIFS(LdgPartyB,$F553,LdgKeyB,"&lt;"&amp;$K553)+1)</f>
        <v/>
      </c>
      <c r="M553">
        <f>IF($L553="","",$F553&amp;"|"&amp;RIGHT("000000"&amp;$L553,6))</f>
        <v/>
      </c>
      <c r="N553">
        <f>IF($F553="","",IF(Sync!$AH553="","0000",IF(AND(ISNUMBER(Sync!$AH553),Sync!$AH553&gt;=0,Sync!$AH553&lt;1),RIGHT("00"&amp;HOUR(Sync!$AH553),2)&amp;RIGHT("00"&amp;MINUTE(Sync!$AH553),2),IFERROR(RIGHT("00"&amp;VALUE(LEFT(Sync!$AH553,FIND(":",Sync!$AH553)-1)),2)&amp;RIGHT("00"&amp;VALUE(MID(Sync!$AH553,FIND(":",Sync!$AH553)+1,2)),2),"0000"))))</f>
        <v/>
      </c>
    </row>
    <row r="554">
      <c r="A554">
        <f>IF(OR(Calc!$E557="",Calc!$E557="نامعتبر",Calc!$G557="",Calc!$I557&lt;&gt;"خرید"),"",Calc!$G557)</f>
        <v/>
      </c>
      <c r="B554">
        <f>IF($A554="","",LEFT(Calc!$E557,4)&amp;MID(Calc!$E557,6,2)&amp;RIGHT(Calc!$E557,2)&amp;Calc!$R557&amp;"|"&amp;"1"&amp;RIGHT("00000"&amp;549,5))</f>
        <v/>
      </c>
      <c r="C554">
        <f>IF($B554="","",COUNTIFS(LdgPartyA,$A554,LdgKeyA,"&lt;"&amp;$B554)+COUNTIFS(LdgPartyB,$A554,LdgKeyB,"&lt;"&amp;$B554)+1)</f>
        <v/>
      </c>
      <c r="D554">
        <f>IF($C554="","",$A554&amp;"|"&amp;RIGHT("000000"&amp;$C554,6))</f>
        <v/>
      </c>
      <c r="F554">
        <f>IF(Sync!$AJ554="","",Sync!$AJ554)</f>
        <v/>
      </c>
      <c r="G554">
        <f>IF($F554="","",IF(Sync!$AG554="","",IF(ISNUMBER(Sync!$AG554),IF(AND(Sync!$AG554&gt;=10000101,Sync!$AG554&lt;=99991231),INT(Sync!$AG554/10000),""),IFERROR(VALUE(TRIM(LEFT(Sync!$AG554,FIND("/",Sync!$AG554)-1))),""))))</f>
        <v/>
      </c>
      <c r="H554">
        <f>IF(OR($F554="",$G554=""),"",IF(ISNUMBER(Sync!$AG554),INT(MOD(Sync!$AG554,10000)/100),IFERROR(VALUE(TRIM(LEFT(MID(Sync!$AG554,FIND("/",Sync!$AG554)+1,20),FIND("/",MID(Sync!$AG554,FIND("/",Sync!$AG554)+1,20))-1))),"")))</f>
        <v/>
      </c>
      <c r="I554">
        <f>IF(OR($F554="",$G554=""),"",IF(ISNUMBER(Sync!$AG554),MOD(Sync!$AG554,100),IFERROR(VALUE(TRIM(MID(MID(Sync!$AG554,FIND("/",Sync!$AG554)+1,20),FIND("/",MID(Sync!$AG554,FIND("/",Sync!$AG554)+1,20))+1,20))),"")))</f>
        <v/>
      </c>
      <c r="J554">
        <f>IF($F554="","",IF(OR($G554="",$H554="",$I554="",$G554&lt;1300,$G554&gt;1500,$H554&lt;1,$H554&gt;12,$I554&lt;1,$I554&gt;31),"نامعتبر",RIGHT("0000"&amp;$G554,4)&amp;"/"&amp;RIGHT("00"&amp;$H554,2)&amp;"/"&amp;RIGHT("00"&amp;$I554,2)))</f>
        <v/>
      </c>
      <c r="K554">
        <f>IF(OR($F554="",$J554="",$J554="نامعتبر"),"",LEFT($J554,4)&amp;MID($J554,6,2)&amp;RIGHT($J554,2)&amp;$N554&amp;"|"&amp;"2"&amp;RIGHT("00000"&amp;549,5))</f>
        <v/>
      </c>
      <c r="L554">
        <f>IF($K554="","",COUNTIFS(LdgPartyA,$F554,LdgKeyA,"&lt;"&amp;$K554)+COUNTIFS(LdgPartyB,$F554,LdgKeyB,"&lt;"&amp;$K554)+1)</f>
        <v/>
      </c>
      <c r="M554">
        <f>IF($L554="","",$F554&amp;"|"&amp;RIGHT("000000"&amp;$L554,6))</f>
        <v/>
      </c>
      <c r="N554">
        <f>IF($F554="","",IF(Sync!$AH554="","0000",IF(AND(ISNUMBER(Sync!$AH554),Sync!$AH554&gt;=0,Sync!$AH554&lt;1),RIGHT("00"&amp;HOUR(Sync!$AH554),2)&amp;RIGHT("00"&amp;MINUTE(Sync!$AH554),2),IFERROR(RIGHT("00"&amp;VALUE(LEFT(Sync!$AH554,FIND(":",Sync!$AH554)-1)),2)&amp;RIGHT("00"&amp;VALUE(MID(Sync!$AH554,FIND(":",Sync!$AH554)+1,2)),2),"0000"))))</f>
        <v/>
      </c>
    </row>
    <row r="555">
      <c r="A555">
        <f>IF(OR(Calc!$E558="",Calc!$E558="نامعتبر",Calc!$G558="",Calc!$I558&lt;&gt;"خرید"),"",Calc!$G558)</f>
        <v/>
      </c>
      <c r="B555">
        <f>IF($A555="","",LEFT(Calc!$E558,4)&amp;MID(Calc!$E558,6,2)&amp;RIGHT(Calc!$E558,2)&amp;Calc!$R558&amp;"|"&amp;"1"&amp;RIGHT("00000"&amp;550,5))</f>
        <v/>
      </c>
      <c r="C555">
        <f>IF($B555="","",COUNTIFS(LdgPartyA,$A555,LdgKeyA,"&lt;"&amp;$B555)+COUNTIFS(LdgPartyB,$A555,LdgKeyB,"&lt;"&amp;$B555)+1)</f>
        <v/>
      </c>
      <c r="D555">
        <f>IF($C555="","",$A555&amp;"|"&amp;RIGHT("000000"&amp;$C555,6))</f>
        <v/>
      </c>
      <c r="F555">
        <f>IF(Sync!$AJ555="","",Sync!$AJ555)</f>
        <v/>
      </c>
      <c r="G555">
        <f>IF($F555="","",IF(Sync!$AG555="","",IF(ISNUMBER(Sync!$AG555),IF(AND(Sync!$AG555&gt;=10000101,Sync!$AG555&lt;=99991231),INT(Sync!$AG555/10000),""),IFERROR(VALUE(TRIM(LEFT(Sync!$AG555,FIND("/",Sync!$AG555)-1))),""))))</f>
        <v/>
      </c>
      <c r="H555">
        <f>IF(OR($F555="",$G555=""),"",IF(ISNUMBER(Sync!$AG555),INT(MOD(Sync!$AG555,10000)/100),IFERROR(VALUE(TRIM(LEFT(MID(Sync!$AG555,FIND("/",Sync!$AG555)+1,20),FIND("/",MID(Sync!$AG555,FIND("/",Sync!$AG555)+1,20))-1))),"")))</f>
        <v/>
      </c>
      <c r="I555">
        <f>IF(OR($F555="",$G555=""),"",IF(ISNUMBER(Sync!$AG555),MOD(Sync!$AG555,100),IFERROR(VALUE(TRIM(MID(MID(Sync!$AG555,FIND("/",Sync!$AG555)+1,20),FIND("/",MID(Sync!$AG555,FIND("/",Sync!$AG555)+1,20))+1,20))),"")))</f>
        <v/>
      </c>
      <c r="J555">
        <f>IF($F555="","",IF(OR($G555="",$H555="",$I555="",$G555&lt;1300,$G555&gt;1500,$H555&lt;1,$H555&gt;12,$I555&lt;1,$I555&gt;31),"نامعتبر",RIGHT("0000"&amp;$G555,4)&amp;"/"&amp;RIGHT("00"&amp;$H555,2)&amp;"/"&amp;RIGHT("00"&amp;$I555,2)))</f>
        <v/>
      </c>
      <c r="K555">
        <f>IF(OR($F555="",$J555="",$J555="نامعتبر"),"",LEFT($J555,4)&amp;MID($J555,6,2)&amp;RIGHT($J555,2)&amp;$N555&amp;"|"&amp;"2"&amp;RIGHT("00000"&amp;550,5))</f>
        <v/>
      </c>
      <c r="L555">
        <f>IF($K555="","",COUNTIFS(LdgPartyA,$F555,LdgKeyA,"&lt;"&amp;$K555)+COUNTIFS(LdgPartyB,$F555,LdgKeyB,"&lt;"&amp;$K555)+1)</f>
        <v/>
      </c>
      <c r="M555">
        <f>IF($L555="","",$F555&amp;"|"&amp;RIGHT("000000"&amp;$L555,6))</f>
        <v/>
      </c>
      <c r="N555">
        <f>IF($F555="","",IF(Sync!$AH555="","0000",IF(AND(ISNUMBER(Sync!$AH555),Sync!$AH555&gt;=0,Sync!$AH555&lt;1),RIGHT("00"&amp;HOUR(Sync!$AH555),2)&amp;RIGHT("00"&amp;MINUTE(Sync!$AH555),2),IFERROR(RIGHT("00"&amp;VALUE(LEFT(Sync!$AH555,FIND(":",Sync!$AH555)-1)),2)&amp;RIGHT("00"&amp;VALUE(MID(Sync!$AH555,FIND(":",Sync!$AH555)+1,2)),2),"0000"))))</f>
        <v/>
      </c>
    </row>
    <row r="556">
      <c r="A556">
        <f>IF(OR(Calc!$E559="",Calc!$E559="نامعتبر",Calc!$G559="",Calc!$I559&lt;&gt;"خرید"),"",Calc!$G559)</f>
        <v/>
      </c>
      <c r="B556">
        <f>IF($A556="","",LEFT(Calc!$E559,4)&amp;MID(Calc!$E559,6,2)&amp;RIGHT(Calc!$E559,2)&amp;Calc!$R559&amp;"|"&amp;"1"&amp;RIGHT("00000"&amp;551,5))</f>
        <v/>
      </c>
      <c r="C556">
        <f>IF($B556="","",COUNTIFS(LdgPartyA,$A556,LdgKeyA,"&lt;"&amp;$B556)+COUNTIFS(LdgPartyB,$A556,LdgKeyB,"&lt;"&amp;$B556)+1)</f>
        <v/>
      </c>
      <c r="D556">
        <f>IF($C556="","",$A556&amp;"|"&amp;RIGHT("000000"&amp;$C556,6))</f>
        <v/>
      </c>
      <c r="F556">
        <f>IF(Sync!$AJ556="","",Sync!$AJ556)</f>
        <v/>
      </c>
      <c r="G556">
        <f>IF($F556="","",IF(Sync!$AG556="","",IF(ISNUMBER(Sync!$AG556),IF(AND(Sync!$AG556&gt;=10000101,Sync!$AG556&lt;=99991231),INT(Sync!$AG556/10000),""),IFERROR(VALUE(TRIM(LEFT(Sync!$AG556,FIND("/",Sync!$AG556)-1))),""))))</f>
        <v/>
      </c>
      <c r="H556">
        <f>IF(OR($F556="",$G556=""),"",IF(ISNUMBER(Sync!$AG556),INT(MOD(Sync!$AG556,10000)/100),IFERROR(VALUE(TRIM(LEFT(MID(Sync!$AG556,FIND("/",Sync!$AG556)+1,20),FIND("/",MID(Sync!$AG556,FIND("/",Sync!$AG556)+1,20))-1))),"")))</f>
        <v/>
      </c>
      <c r="I556">
        <f>IF(OR($F556="",$G556=""),"",IF(ISNUMBER(Sync!$AG556),MOD(Sync!$AG556,100),IFERROR(VALUE(TRIM(MID(MID(Sync!$AG556,FIND("/",Sync!$AG556)+1,20),FIND("/",MID(Sync!$AG556,FIND("/",Sync!$AG556)+1,20))+1,20))),"")))</f>
        <v/>
      </c>
      <c r="J556">
        <f>IF($F556="","",IF(OR($G556="",$H556="",$I556="",$G556&lt;1300,$G556&gt;1500,$H556&lt;1,$H556&gt;12,$I556&lt;1,$I556&gt;31),"نامعتبر",RIGHT("0000"&amp;$G556,4)&amp;"/"&amp;RIGHT("00"&amp;$H556,2)&amp;"/"&amp;RIGHT("00"&amp;$I556,2)))</f>
        <v/>
      </c>
      <c r="K556">
        <f>IF(OR($F556="",$J556="",$J556="نامعتبر"),"",LEFT($J556,4)&amp;MID($J556,6,2)&amp;RIGHT($J556,2)&amp;$N556&amp;"|"&amp;"2"&amp;RIGHT("00000"&amp;551,5))</f>
        <v/>
      </c>
      <c r="L556">
        <f>IF($K556="","",COUNTIFS(LdgPartyA,$F556,LdgKeyA,"&lt;"&amp;$K556)+COUNTIFS(LdgPartyB,$F556,LdgKeyB,"&lt;"&amp;$K556)+1)</f>
        <v/>
      </c>
      <c r="M556">
        <f>IF($L556="","",$F556&amp;"|"&amp;RIGHT("000000"&amp;$L556,6))</f>
        <v/>
      </c>
      <c r="N556">
        <f>IF($F556="","",IF(Sync!$AH556="","0000",IF(AND(ISNUMBER(Sync!$AH556),Sync!$AH556&gt;=0,Sync!$AH556&lt;1),RIGHT("00"&amp;HOUR(Sync!$AH556),2)&amp;RIGHT("00"&amp;MINUTE(Sync!$AH556),2),IFERROR(RIGHT("00"&amp;VALUE(LEFT(Sync!$AH556,FIND(":",Sync!$AH556)-1)),2)&amp;RIGHT("00"&amp;VALUE(MID(Sync!$AH556,FIND(":",Sync!$AH556)+1,2)),2),"0000"))))</f>
        <v/>
      </c>
    </row>
    <row r="557">
      <c r="A557">
        <f>IF(OR(Calc!$E560="",Calc!$E560="نامعتبر",Calc!$G560="",Calc!$I560&lt;&gt;"خرید"),"",Calc!$G560)</f>
        <v/>
      </c>
      <c r="B557">
        <f>IF($A557="","",LEFT(Calc!$E560,4)&amp;MID(Calc!$E560,6,2)&amp;RIGHT(Calc!$E560,2)&amp;Calc!$R560&amp;"|"&amp;"1"&amp;RIGHT("00000"&amp;552,5))</f>
        <v/>
      </c>
      <c r="C557">
        <f>IF($B557="","",COUNTIFS(LdgPartyA,$A557,LdgKeyA,"&lt;"&amp;$B557)+COUNTIFS(LdgPartyB,$A557,LdgKeyB,"&lt;"&amp;$B557)+1)</f>
        <v/>
      </c>
      <c r="D557">
        <f>IF($C557="","",$A557&amp;"|"&amp;RIGHT("000000"&amp;$C557,6))</f>
        <v/>
      </c>
      <c r="F557">
        <f>IF(Sync!$AJ557="","",Sync!$AJ557)</f>
        <v/>
      </c>
      <c r="G557">
        <f>IF($F557="","",IF(Sync!$AG557="","",IF(ISNUMBER(Sync!$AG557),IF(AND(Sync!$AG557&gt;=10000101,Sync!$AG557&lt;=99991231),INT(Sync!$AG557/10000),""),IFERROR(VALUE(TRIM(LEFT(Sync!$AG557,FIND("/",Sync!$AG557)-1))),""))))</f>
        <v/>
      </c>
      <c r="H557">
        <f>IF(OR($F557="",$G557=""),"",IF(ISNUMBER(Sync!$AG557),INT(MOD(Sync!$AG557,10000)/100),IFERROR(VALUE(TRIM(LEFT(MID(Sync!$AG557,FIND("/",Sync!$AG557)+1,20),FIND("/",MID(Sync!$AG557,FIND("/",Sync!$AG557)+1,20))-1))),"")))</f>
        <v/>
      </c>
      <c r="I557">
        <f>IF(OR($F557="",$G557=""),"",IF(ISNUMBER(Sync!$AG557),MOD(Sync!$AG557,100),IFERROR(VALUE(TRIM(MID(MID(Sync!$AG557,FIND("/",Sync!$AG557)+1,20),FIND("/",MID(Sync!$AG557,FIND("/",Sync!$AG557)+1,20))+1,20))),"")))</f>
        <v/>
      </c>
      <c r="J557">
        <f>IF($F557="","",IF(OR($G557="",$H557="",$I557="",$G557&lt;1300,$G557&gt;1500,$H557&lt;1,$H557&gt;12,$I557&lt;1,$I557&gt;31),"نامعتبر",RIGHT("0000"&amp;$G557,4)&amp;"/"&amp;RIGHT("00"&amp;$H557,2)&amp;"/"&amp;RIGHT("00"&amp;$I557,2)))</f>
        <v/>
      </c>
      <c r="K557">
        <f>IF(OR($F557="",$J557="",$J557="نامعتبر"),"",LEFT($J557,4)&amp;MID($J557,6,2)&amp;RIGHT($J557,2)&amp;$N557&amp;"|"&amp;"2"&amp;RIGHT("00000"&amp;552,5))</f>
        <v/>
      </c>
      <c r="L557">
        <f>IF($K557="","",COUNTIFS(LdgPartyA,$F557,LdgKeyA,"&lt;"&amp;$K557)+COUNTIFS(LdgPartyB,$F557,LdgKeyB,"&lt;"&amp;$K557)+1)</f>
        <v/>
      </c>
      <c r="M557">
        <f>IF($L557="","",$F557&amp;"|"&amp;RIGHT("000000"&amp;$L557,6))</f>
        <v/>
      </c>
      <c r="N557">
        <f>IF($F557="","",IF(Sync!$AH557="","0000",IF(AND(ISNUMBER(Sync!$AH557),Sync!$AH557&gt;=0,Sync!$AH557&lt;1),RIGHT("00"&amp;HOUR(Sync!$AH557),2)&amp;RIGHT("00"&amp;MINUTE(Sync!$AH557),2),IFERROR(RIGHT("00"&amp;VALUE(LEFT(Sync!$AH557,FIND(":",Sync!$AH557)-1)),2)&amp;RIGHT("00"&amp;VALUE(MID(Sync!$AH557,FIND(":",Sync!$AH557)+1,2)),2),"0000"))))</f>
        <v/>
      </c>
    </row>
    <row r="558">
      <c r="A558">
        <f>IF(OR(Calc!$E561="",Calc!$E561="نامعتبر",Calc!$G561="",Calc!$I561&lt;&gt;"خرید"),"",Calc!$G561)</f>
        <v/>
      </c>
      <c r="B558">
        <f>IF($A558="","",LEFT(Calc!$E561,4)&amp;MID(Calc!$E561,6,2)&amp;RIGHT(Calc!$E561,2)&amp;Calc!$R561&amp;"|"&amp;"1"&amp;RIGHT("00000"&amp;553,5))</f>
        <v/>
      </c>
      <c r="C558">
        <f>IF($B558="","",COUNTIFS(LdgPartyA,$A558,LdgKeyA,"&lt;"&amp;$B558)+COUNTIFS(LdgPartyB,$A558,LdgKeyB,"&lt;"&amp;$B558)+1)</f>
        <v/>
      </c>
      <c r="D558">
        <f>IF($C558="","",$A558&amp;"|"&amp;RIGHT("000000"&amp;$C558,6))</f>
        <v/>
      </c>
      <c r="F558">
        <f>IF(Sync!$AJ558="","",Sync!$AJ558)</f>
        <v/>
      </c>
      <c r="G558">
        <f>IF($F558="","",IF(Sync!$AG558="","",IF(ISNUMBER(Sync!$AG558),IF(AND(Sync!$AG558&gt;=10000101,Sync!$AG558&lt;=99991231),INT(Sync!$AG558/10000),""),IFERROR(VALUE(TRIM(LEFT(Sync!$AG558,FIND("/",Sync!$AG558)-1))),""))))</f>
        <v/>
      </c>
      <c r="H558">
        <f>IF(OR($F558="",$G558=""),"",IF(ISNUMBER(Sync!$AG558),INT(MOD(Sync!$AG558,10000)/100),IFERROR(VALUE(TRIM(LEFT(MID(Sync!$AG558,FIND("/",Sync!$AG558)+1,20),FIND("/",MID(Sync!$AG558,FIND("/",Sync!$AG558)+1,20))-1))),"")))</f>
        <v/>
      </c>
      <c r="I558">
        <f>IF(OR($F558="",$G558=""),"",IF(ISNUMBER(Sync!$AG558),MOD(Sync!$AG558,100),IFERROR(VALUE(TRIM(MID(MID(Sync!$AG558,FIND("/",Sync!$AG558)+1,20),FIND("/",MID(Sync!$AG558,FIND("/",Sync!$AG558)+1,20))+1,20))),"")))</f>
        <v/>
      </c>
      <c r="J558">
        <f>IF($F558="","",IF(OR($G558="",$H558="",$I558="",$G558&lt;1300,$G558&gt;1500,$H558&lt;1,$H558&gt;12,$I558&lt;1,$I558&gt;31),"نامعتبر",RIGHT("0000"&amp;$G558,4)&amp;"/"&amp;RIGHT("00"&amp;$H558,2)&amp;"/"&amp;RIGHT("00"&amp;$I558,2)))</f>
        <v/>
      </c>
      <c r="K558">
        <f>IF(OR($F558="",$J558="",$J558="نامعتبر"),"",LEFT($J558,4)&amp;MID($J558,6,2)&amp;RIGHT($J558,2)&amp;$N558&amp;"|"&amp;"2"&amp;RIGHT("00000"&amp;553,5))</f>
        <v/>
      </c>
      <c r="L558">
        <f>IF($K558="","",COUNTIFS(LdgPartyA,$F558,LdgKeyA,"&lt;"&amp;$K558)+COUNTIFS(LdgPartyB,$F558,LdgKeyB,"&lt;"&amp;$K558)+1)</f>
        <v/>
      </c>
      <c r="M558">
        <f>IF($L558="","",$F558&amp;"|"&amp;RIGHT("000000"&amp;$L558,6))</f>
        <v/>
      </c>
      <c r="N558">
        <f>IF($F558="","",IF(Sync!$AH558="","0000",IF(AND(ISNUMBER(Sync!$AH558),Sync!$AH558&gt;=0,Sync!$AH558&lt;1),RIGHT("00"&amp;HOUR(Sync!$AH558),2)&amp;RIGHT("00"&amp;MINUTE(Sync!$AH558),2),IFERROR(RIGHT("00"&amp;VALUE(LEFT(Sync!$AH558,FIND(":",Sync!$AH558)-1)),2)&amp;RIGHT("00"&amp;VALUE(MID(Sync!$AH558,FIND(":",Sync!$AH558)+1,2)),2),"0000"))))</f>
        <v/>
      </c>
    </row>
    <row r="559">
      <c r="A559">
        <f>IF(OR(Calc!$E562="",Calc!$E562="نامعتبر",Calc!$G562="",Calc!$I562&lt;&gt;"خرید"),"",Calc!$G562)</f>
        <v/>
      </c>
      <c r="B559">
        <f>IF($A559="","",LEFT(Calc!$E562,4)&amp;MID(Calc!$E562,6,2)&amp;RIGHT(Calc!$E562,2)&amp;Calc!$R562&amp;"|"&amp;"1"&amp;RIGHT("00000"&amp;554,5))</f>
        <v/>
      </c>
      <c r="C559">
        <f>IF($B559="","",COUNTIFS(LdgPartyA,$A559,LdgKeyA,"&lt;"&amp;$B559)+COUNTIFS(LdgPartyB,$A559,LdgKeyB,"&lt;"&amp;$B559)+1)</f>
        <v/>
      </c>
      <c r="D559">
        <f>IF($C559="","",$A559&amp;"|"&amp;RIGHT("000000"&amp;$C559,6))</f>
        <v/>
      </c>
      <c r="F559">
        <f>IF(Sync!$AJ559="","",Sync!$AJ559)</f>
        <v/>
      </c>
      <c r="G559">
        <f>IF($F559="","",IF(Sync!$AG559="","",IF(ISNUMBER(Sync!$AG559),IF(AND(Sync!$AG559&gt;=10000101,Sync!$AG559&lt;=99991231),INT(Sync!$AG559/10000),""),IFERROR(VALUE(TRIM(LEFT(Sync!$AG559,FIND("/",Sync!$AG559)-1))),""))))</f>
        <v/>
      </c>
      <c r="H559">
        <f>IF(OR($F559="",$G559=""),"",IF(ISNUMBER(Sync!$AG559),INT(MOD(Sync!$AG559,10000)/100),IFERROR(VALUE(TRIM(LEFT(MID(Sync!$AG559,FIND("/",Sync!$AG559)+1,20),FIND("/",MID(Sync!$AG559,FIND("/",Sync!$AG559)+1,20))-1))),"")))</f>
        <v/>
      </c>
      <c r="I559">
        <f>IF(OR($F559="",$G559=""),"",IF(ISNUMBER(Sync!$AG559),MOD(Sync!$AG559,100),IFERROR(VALUE(TRIM(MID(MID(Sync!$AG559,FIND("/",Sync!$AG559)+1,20),FIND("/",MID(Sync!$AG559,FIND("/",Sync!$AG559)+1,20))+1,20))),"")))</f>
        <v/>
      </c>
      <c r="J559">
        <f>IF($F559="","",IF(OR($G559="",$H559="",$I559="",$G559&lt;1300,$G559&gt;1500,$H559&lt;1,$H559&gt;12,$I559&lt;1,$I559&gt;31),"نامعتبر",RIGHT("0000"&amp;$G559,4)&amp;"/"&amp;RIGHT("00"&amp;$H559,2)&amp;"/"&amp;RIGHT("00"&amp;$I559,2)))</f>
        <v/>
      </c>
      <c r="K559">
        <f>IF(OR($F559="",$J559="",$J559="نامعتبر"),"",LEFT($J559,4)&amp;MID($J559,6,2)&amp;RIGHT($J559,2)&amp;$N559&amp;"|"&amp;"2"&amp;RIGHT("00000"&amp;554,5))</f>
        <v/>
      </c>
      <c r="L559">
        <f>IF($K559="","",COUNTIFS(LdgPartyA,$F559,LdgKeyA,"&lt;"&amp;$K559)+COUNTIFS(LdgPartyB,$F559,LdgKeyB,"&lt;"&amp;$K559)+1)</f>
        <v/>
      </c>
      <c r="M559">
        <f>IF($L559="","",$F559&amp;"|"&amp;RIGHT("000000"&amp;$L559,6))</f>
        <v/>
      </c>
      <c r="N559">
        <f>IF($F559="","",IF(Sync!$AH559="","0000",IF(AND(ISNUMBER(Sync!$AH559),Sync!$AH559&gt;=0,Sync!$AH559&lt;1),RIGHT("00"&amp;HOUR(Sync!$AH559),2)&amp;RIGHT("00"&amp;MINUTE(Sync!$AH559),2),IFERROR(RIGHT("00"&amp;VALUE(LEFT(Sync!$AH559,FIND(":",Sync!$AH559)-1)),2)&amp;RIGHT("00"&amp;VALUE(MID(Sync!$AH559,FIND(":",Sync!$AH559)+1,2)),2),"0000"))))</f>
        <v/>
      </c>
    </row>
    <row r="560">
      <c r="A560">
        <f>IF(OR(Calc!$E563="",Calc!$E563="نامعتبر",Calc!$G563="",Calc!$I563&lt;&gt;"خرید"),"",Calc!$G563)</f>
        <v/>
      </c>
      <c r="B560">
        <f>IF($A560="","",LEFT(Calc!$E563,4)&amp;MID(Calc!$E563,6,2)&amp;RIGHT(Calc!$E563,2)&amp;Calc!$R563&amp;"|"&amp;"1"&amp;RIGHT("00000"&amp;555,5))</f>
        <v/>
      </c>
      <c r="C560">
        <f>IF($B560="","",COUNTIFS(LdgPartyA,$A560,LdgKeyA,"&lt;"&amp;$B560)+COUNTIFS(LdgPartyB,$A560,LdgKeyB,"&lt;"&amp;$B560)+1)</f>
        <v/>
      </c>
      <c r="D560">
        <f>IF($C560="","",$A560&amp;"|"&amp;RIGHT("000000"&amp;$C560,6))</f>
        <v/>
      </c>
      <c r="F560">
        <f>IF(Sync!$AJ560="","",Sync!$AJ560)</f>
        <v/>
      </c>
      <c r="G560">
        <f>IF($F560="","",IF(Sync!$AG560="","",IF(ISNUMBER(Sync!$AG560),IF(AND(Sync!$AG560&gt;=10000101,Sync!$AG560&lt;=99991231),INT(Sync!$AG560/10000),""),IFERROR(VALUE(TRIM(LEFT(Sync!$AG560,FIND("/",Sync!$AG560)-1))),""))))</f>
        <v/>
      </c>
      <c r="H560">
        <f>IF(OR($F560="",$G560=""),"",IF(ISNUMBER(Sync!$AG560),INT(MOD(Sync!$AG560,10000)/100),IFERROR(VALUE(TRIM(LEFT(MID(Sync!$AG560,FIND("/",Sync!$AG560)+1,20),FIND("/",MID(Sync!$AG560,FIND("/",Sync!$AG560)+1,20))-1))),"")))</f>
        <v/>
      </c>
      <c r="I560">
        <f>IF(OR($F560="",$G560=""),"",IF(ISNUMBER(Sync!$AG560),MOD(Sync!$AG560,100),IFERROR(VALUE(TRIM(MID(MID(Sync!$AG560,FIND("/",Sync!$AG560)+1,20),FIND("/",MID(Sync!$AG560,FIND("/",Sync!$AG560)+1,20))+1,20))),"")))</f>
        <v/>
      </c>
      <c r="J560">
        <f>IF($F560="","",IF(OR($G560="",$H560="",$I560="",$G560&lt;1300,$G560&gt;1500,$H560&lt;1,$H560&gt;12,$I560&lt;1,$I560&gt;31),"نامعتبر",RIGHT("0000"&amp;$G560,4)&amp;"/"&amp;RIGHT("00"&amp;$H560,2)&amp;"/"&amp;RIGHT("00"&amp;$I560,2)))</f>
        <v/>
      </c>
      <c r="K560">
        <f>IF(OR($F560="",$J560="",$J560="نامعتبر"),"",LEFT($J560,4)&amp;MID($J560,6,2)&amp;RIGHT($J560,2)&amp;$N560&amp;"|"&amp;"2"&amp;RIGHT("00000"&amp;555,5))</f>
        <v/>
      </c>
      <c r="L560">
        <f>IF($K560="","",COUNTIFS(LdgPartyA,$F560,LdgKeyA,"&lt;"&amp;$K560)+COUNTIFS(LdgPartyB,$F560,LdgKeyB,"&lt;"&amp;$K560)+1)</f>
        <v/>
      </c>
      <c r="M560">
        <f>IF($L560="","",$F560&amp;"|"&amp;RIGHT("000000"&amp;$L560,6))</f>
        <v/>
      </c>
      <c r="N560">
        <f>IF($F560="","",IF(Sync!$AH560="","0000",IF(AND(ISNUMBER(Sync!$AH560),Sync!$AH560&gt;=0,Sync!$AH560&lt;1),RIGHT("00"&amp;HOUR(Sync!$AH560),2)&amp;RIGHT("00"&amp;MINUTE(Sync!$AH560),2),IFERROR(RIGHT("00"&amp;VALUE(LEFT(Sync!$AH560,FIND(":",Sync!$AH560)-1)),2)&amp;RIGHT("00"&amp;VALUE(MID(Sync!$AH560,FIND(":",Sync!$AH560)+1,2)),2),"0000"))))</f>
        <v/>
      </c>
    </row>
    <row r="561">
      <c r="A561">
        <f>IF(OR(Calc!$E564="",Calc!$E564="نامعتبر",Calc!$G564="",Calc!$I564&lt;&gt;"خرید"),"",Calc!$G564)</f>
        <v/>
      </c>
      <c r="B561">
        <f>IF($A561="","",LEFT(Calc!$E564,4)&amp;MID(Calc!$E564,6,2)&amp;RIGHT(Calc!$E564,2)&amp;Calc!$R564&amp;"|"&amp;"1"&amp;RIGHT("00000"&amp;556,5))</f>
        <v/>
      </c>
      <c r="C561">
        <f>IF($B561="","",COUNTIFS(LdgPartyA,$A561,LdgKeyA,"&lt;"&amp;$B561)+COUNTIFS(LdgPartyB,$A561,LdgKeyB,"&lt;"&amp;$B561)+1)</f>
        <v/>
      </c>
      <c r="D561">
        <f>IF($C561="","",$A561&amp;"|"&amp;RIGHT("000000"&amp;$C561,6))</f>
        <v/>
      </c>
      <c r="F561">
        <f>IF(Sync!$AJ561="","",Sync!$AJ561)</f>
        <v/>
      </c>
      <c r="G561">
        <f>IF($F561="","",IF(Sync!$AG561="","",IF(ISNUMBER(Sync!$AG561),IF(AND(Sync!$AG561&gt;=10000101,Sync!$AG561&lt;=99991231),INT(Sync!$AG561/10000),""),IFERROR(VALUE(TRIM(LEFT(Sync!$AG561,FIND("/",Sync!$AG561)-1))),""))))</f>
        <v/>
      </c>
      <c r="H561">
        <f>IF(OR($F561="",$G561=""),"",IF(ISNUMBER(Sync!$AG561),INT(MOD(Sync!$AG561,10000)/100),IFERROR(VALUE(TRIM(LEFT(MID(Sync!$AG561,FIND("/",Sync!$AG561)+1,20),FIND("/",MID(Sync!$AG561,FIND("/",Sync!$AG561)+1,20))-1))),"")))</f>
        <v/>
      </c>
      <c r="I561">
        <f>IF(OR($F561="",$G561=""),"",IF(ISNUMBER(Sync!$AG561),MOD(Sync!$AG561,100),IFERROR(VALUE(TRIM(MID(MID(Sync!$AG561,FIND("/",Sync!$AG561)+1,20),FIND("/",MID(Sync!$AG561,FIND("/",Sync!$AG561)+1,20))+1,20))),"")))</f>
        <v/>
      </c>
      <c r="J561">
        <f>IF($F561="","",IF(OR($G561="",$H561="",$I561="",$G561&lt;1300,$G561&gt;1500,$H561&lt;1,$H561&gt;12,$I561&lt;1,$I561&gt;31),"نامعتبر",RIGHT("0000"&amp;$G561,4)&amp;"/"&amp;RIGHT("00"&amp;$H561,2)&amp;"/"&amp;RIGHT("00"&amp;$I561,2)))</f>
        <v/>
      </c>
      <c r="K561">
        <f>IF(OR($F561="",$J561="",$J561="نامعتبر"),"",LEFT($J561,4)&amp;MID($J561,6,2)&amp;RIGHT($J561,2)&amp;$N561&amp;"|"&amp;"2"&amp;RIGHT("00000"&amp;556,5))</f>
        <v/>
      </c>
      <c r="L561">
        <f>IF($K561="","",COUNTIFS(LdgPartyA,$F561,LdgKeyA,"&lt;"&amp;$K561)+COUNTIFS(LdgPartyB,$F561,LdgKeyB,"&lt;"&amp;$K561)+1)</f>
        <v/>
      </c>
      <c r="M561">
        <f>IF($L561="","",$F561&amp;"|"&amp;RIGHT("000000"&amp;$L561,6))</f>
        <v/>
      </c>
      <c r="N561">
        <f>IF($F561="","",IF(Sync!$AH561="","0000",IF(AND(ISNUMBER(Sync!$AH561),Sync!$AH561&gt;=0,Sync!$AH561&lt;1),RIGHT("00"&amp;HOUR(Sync!$AH561),2)&amp;RIGHT("00"&amp;MINUTE(Sync!$AH561),2),IFERROR(RIGHT("00"&amp;VALUE(LEFT(Sync!$AH561,FIND(":",Sync!$AH561)-1)),2)&amp;RIGHT("00"&amp;VALUE(MID(Sync!$AH561,FIND(":",Sync!$AH561)+1,2)),2),"0000"))))</f>
        <v/>
      </c>
    </row>
    <row r="562">
      <c r="A562">
        <f>IF(OR(Calc!$E565="",Calc!$E565="نامعتبر",Calc!$G565="",Calc!$I565&lt;&gt;"خرید"),"",Calc!$G565)</f>
        <v/>
      </c>
      <c r="B562">
        <f>IF($A562="","",LEFT(Calc!$E565,4)&amp;MID(Calc!$E565,6,2)&amp;RIGHT(Calc!$E565,2)&amp;Calc!$R565&amp;"|"&amp;"1"&amp;RIGHT("00000"&amp;557,5))</f>
        <v/>
      </c>
      <c r="C562">
        <f>IF($B562="","",COUNTIFS(LdgPartyA,$A562,LdgKeyA,"&lt;"&amp;$B562)+COUNTIFS(LdgPartyB,$A562,LdgKeyB,"&lt;"&amp;$B562)+1)</f>
        <v/>
      </c>
      <c r="D562">
        <f>IF($C562="","",$A562&amp;"|"&amp;RIGHT("000000"&amp;$C562,6))</f>
        <v/>
      </c>
      <c r="F562">
        <f>IF(Sync!$AJ562="","",Sync!$AJ562)</f>
        <v/>
      </c>
      <c r="G562">
        <f>IF($F562="","",IF(Sync!$AG562="","",IF(ISNUMBER(Sync!$AG562),IF(AND(Sync!$AG562&gt;=10000101,Sync!$AG562&lt;=99991231),INT(Sync!$AG562/10000),""),IFERROR(VALUE(TRIM(LEFT(Sync!$AG562,FIND("/",Sync!$AG562)-1))),""))))</f>
        <v/>
      </c>
      <c r="H562">
        <f>IF(OR($F562="",$G562=""),"",IF(ISNUMBER(Sync!$AG562),INT(MOD(Sync!$AG562,10000)/100),IFERROR(VALUE(TRIM(LEFT(MID(Sync!$AG562,FIND("/",Sync!$AG562)+1,20),FIND("/",MID(Sync!$AG562,FIND("/",Sync!$AG562)+1,20))-1))),"")))</f>
        <v/>
      </c>
      <c r="I562">
        <f>IF(OR($F562="",$G562=""),"",IF(ISNUMBER(Sync!$AG562),MOD(Sync!$AG562,100),IFERROR(VALUE(TRIM(MID(MID(Sync!$AG562,FIND("/",Sync!$AG562)+1,20),FIND("/",MID(Sync!$AG562,FIND("/",Sync!$AG562)+1,20))+1,20))),"")))</f>
        <v/>
      </c>
      <c r="J562">
        <f>IF($F562="","",IF(OR($G562="",$H562="",$I562="",$G562&lt;1300,$G562&gt;1500,$H562&lt;1,$H562&gt;12,$I562&lt;1,$I562&gt;31),"نامعتبر",RIGHT("0000"&amp;$G562,4)&amp;"/"&amp;RIGHT("00"&amp;$H562,2)&amp;"/"&amp;RIGHT("00"&amp;$I562,2)))</f>
        <v/>
      </c>
      <c r="K562">
        <f>IF(OR($F562="",$J562="",$J562="نامعتبر"),"",LEFT($J562,4)&amp;MID($J562,6,2)&amp;RIGHT($J562,2)&amp;$N562&amp;"|"&amp;"2"&amp;RIGHT("00000"&amp;557,5))</f>
        <v/>
      </c>
      <c r="L562">
        <f>IF($K562="","",COUNTIFS(LdgPartyA,$F562,LdgKeyA,"&lt;"&amp;$K562)+COUNTIFS(LdgPartyB,$F562,LdgKeyB,"&lt;"&amp;$K562)+1)</f>
        <v/>
      </c>
      <c r="M562">
        <f>IF($L562="","",$F562&amp;"|"&amp;RIGHT("000000"&amp;$L562,6))</f>
        <v/>
      </c>
      <c r="N562">
        <f>IF($F562="","",IF(Sync!$AH562="","0000",IF(AND(ISNUMBER(Sync!$AH562),Sync!$AH562&gt;=0,Sync!$AH562&lt;1),RIGHT("00"&amp;HOUR(Sync!$AH562),2)&amp;RIGHT("00"&amp;MINUTE(Sync!$AH562),2),IFERROR(RIGHT("00"&amp;VALUE(LEFT(Sync!$AH562,FIND(":",Sync!$AH562)-1)),2)&amp;RIGHT("00"&amp;VALUE(MID(Sync!$AH562,FIND(":",Sync!$AH562)+1,2)),2),"0000"))))</f>
        <v/>
      </c>
    </row>
    <row r="563">
      <c r="A563">
        <f>IF(OR(Calc!$E566="",Calc!$E566="نامعتبر",Calc!$G566="",Calc!$I566&lt;&gt;"خرید"),"",Calc!$G566)</f>
        <v/>
      </c>
      <c r="B563">
        <f>IF($A563="","",LEFT(Calc!$E566,4)&amp;MID(Calc!$E566,6,2)&amp;RIGHT(Calc!$E566,2)&amp;Calc!$R566&amp;"|"&amp;"1"&amp;RIGHT("00000"&amp;558,5))</f>
        <v/>
      </c>
      <c r="C563">
        <f>IF($B563="","",COUNTIFS(LdgPartyA,$A563,LdgKeyA,"&lt;"&amp;$B563)+COUNTIFS(LdgPartyB,$A563,LdgKeyB,"&lt;"&amp;$B563)+1)</f>
        <v/>
      </c>
      <c r="D563">
        <f>IF($C563="","",$A563&amp;"|"&amp;RIGHT("000000"&amp;$C563,6))</f>
        <v/>
      </c>
      <c r="F563">
        <f>IF(Sync!$AJ563="","",Sync!$AJ563)</f>
        <v/>
      </c>
      <c r="G563">
        <f>IF($F563="","",IF(Sync!$AG563="","",IF(ISNUMBER(Sync!$AG563),IF(AND(Sync!$AG563&gt;=10000101,Sync!$AG563&lt;=99991231),INT(Sync!$AG563/10000),""),IFERROR(VALUE(TRIM(LEFT(Sync!$AG563,FIND("/",Sync!$AG563)-1))),""))))</f>
        <v/>
      </c>
      <c r="H563">
        <f>IF(OR($F563="",$G563=""),"",IF(ISNUMBER(Sync!$AG563),INT(MOD(Sync!$AG563,10000)/100),IFERROR(VALUE(TRIM(LEFT(MID(Sync!$AG563,FIND("/",Sync!$AG563)+1,20),FIND("/",MID(Sync!$AG563,FIND("/",Sync!$AG563)+1,20))-1))),"")))</f>
        <v/>
      </c>
      <c r="I563">
        <f>IF(OR($F563="",$G563=""),"",IF(ISNUMBER(Sync!$AG563),MOD(Sync!$AG563,100),IFERROR(VALUE(TRIM(MID(MID(Sync!$AG563,FIND("/",Sync!$AG563)+1,20),FIND("/",MID(Sync!$AG563,FIND("/",Sync!$AG563)+1,20))+1,20))),"")))</f>
        <v/>
      </c>
      <c r="J563">
        <f>IF($F563="","",IF(OR($G563="",$H563="",$I563="",$G563&lt;1300,$G563&gt;1500,$H563&lt;1,$H563&gt;12,$I563&lt;1,$I563&gt;31),"نامعتبر",RIGHT("0000"&amp;$G563,4)&amp;"/"&amp;RIGHT("00"&amp;$H563,2)&amp;"/"&amp;RIGHT("00"&amp;$I563,2)))</f>
        <v/>
      </c>
      <c r="K563">
        <f>IF(OR($F563="",$J563="",$J563="نامعتبر"),"",LEFT($J563,4)&amp;MID($J563,6,2)&amp;RIGHT($J563,2)&amp;$N563&amp;"|"&amp;"2"&amp;RIGHT("00000"&amp;558,5))</f>
        <v/>
      </c>
      <c r="L563">
        <f>IF($K563="","",COUNTIFS(LdgPartyA,$F563,LdgKeyA,"&lt;"&amp;$K563)+COUNTIFS(LdgPartyB,$F563,LdgKeyB,"&lt;"&amp;$K563)+1)</f>
        <v/>
      </c>
      <c r="M563">
        <f>IF($L563="","",$F563&amp;"|"&amp;RIGHT("000000"&amp;$L563,6))</f>
        <v/>
      </c>
      <c r="N563">
        <f>IF($F563="","",IF(Sync!$AH563="","0000",IF(AND(ISNUMBER(Sync!$AH563),Sync!$AH563&gt;=0,Sync!$AH563&lt;1),RIGHT("00"&amp;HOUR(Sync!$AH563),2)&amp;RIGHT("00"&amp;MINUTE(Sync!$AH563),2),IFERROR(RIGHT("00"&amp;VALUE(LEFT(Sync!$AH563,FIND(":",Sync!$AH563)-1)),2)&amp;RIGHT("00"&amp;VALUE(MID(Sync!$AH563,FIND(":",Sync!$AH563)+1,2)),2),"0000"))))</f>
        <v/>
      </c>
    </row>
    <row r="564">
      <c r="A564">
        <f>IF(OR(Calc!$E567="",Calc!$E567="نامعتبر",Calc!$G567="",Calc!$I567&lt;&gt;"خرید"),"",Calc!$G567)</f>
        <v/>
      </c>
      <c r="B564">
        <f>IF($A564="","",LEFT(Calc!$E567,4)&amp;MID(Calc!$E567,6,2)&amp;RIGHT(Calc!$E567,2)&amp;Calc!$R567&amp;"|"&amp;"1"&amp;RIGHT("00000"&amp;559,5))</f>
        <v/>
      </c>
      <c r="C564">
        <f>IF($B564="","",COUNTIFS(LdgPartyA,$A564,LdgKeyA,"&lt;"&amp;$B564)+COUNTIFS(LdgPartyB,$A564,LdgKeyB,"&lt;"&amp;$B564)+1)</f>
        <v/>
      </c>
      <c r="D564">
        <f>IF($C564="","",$A564&amp;"|"&amp;RIGHT("000000"&amp;$C564,6))</f>
        <v/>
      </c>
      <c r="F564">
        <f>IF(Sync!$AJ564="","",Sync!$AJ564)</f>
        <v/>
      </c>
      <c r="G564">
        <f>IF($F564="","",IF(Sync!$AG564="","",IF(ISNUMBER(Sync!$AG564),IF(AND(Sync!$AG564&gt;=10000101,Sync!$AG564&lt;=99991231),INT(Sync!$AG564/10000),""),IFERROR(VALUE(TRIM(LEFT(Sync!$AG564,FIND("/",Sync!$AG564)-1))),""))))</f>
        <v/>
      </c>
      <c r="H564">
        <f>IF(OR($F564="",$G564=""),"",IF(ISNUMBER(Sync!$AG564),INT(MOD(Sync!$AG564,10000)/100),IFERROR(VALUE(TRIM(LEFT(MID(Sync!$AG564,FIND("/",Sync!$AG564)+1,20),FIND("/",MID(Sync!$AG564,FIND("/",Sync!$AG564)+1,20))-1))),"")))</f>
        <v/>
      </c>
      <c r="I564">
        <f>IF(OR($F564="",$G564=""),"",IF(ISNUMBER(Sync!$AG564),MOD(Sync!$AG564,100),IFERROR(VALUE(TRIM(MID(MID(Sync!$AG564,FIND("/",Sync!$AG564)+1,20),FIND("/",MID(Sync!$AG564,FIND("/",Sync!$AG564)+1,20))+1,20))),"")))</f>
        <v/>
      </c>
      <c r="J564">
        <f>IF($F564="","",IF(OR($G564="",$H564="",$I564="",$G564&lt;1300,$G564&gt;1500,$H564&lt;1,$H564&gt;12,$I564&lt;1,$I564&gt;31),"نامعتبر",RIGHT("0000"&amp;$G564,4)&amp;"/"&amp;RIGHT("00"&amp;$H564,2)&amp;"/"&amp;RIGHT("00"&amp;$I564,2)))</f>
        <v/>
      </c>
      <c r="K564">
        <f>IF(OR($F564="",$J564="",$J564="نامعتبر"),"",LEFT($J564,4)&amp;MID($J564,6,2)&amp;RIGHT($J564,2)&amp;$N564&amp;"|"&amp;"2"&amp;RIGHT("00000"&amp;559,5))</f>
        <v/>
      </c>
      <c r="L564">
        <f>IF($K564="","",COUNTIFS(LdgPartyA,$F564,LdgKeyA,"&lt;"&amp;$K564)+COUNTIFS(LdgPartyB,$F564,LdgKeyB,"&lt;"&amp;$K564)+1)</f>
        <v/>
      </c>
      <c r="M564">
        <f>IF($L564="","",$F564&amp;"|"&amp;RIGHT("000000"&amp;$L564,6))</f>
        <v/>
      </c>
      <c r="N564">
        <f>IF($F564="","",IF(Sync!$AH564="","0000",IF(AND(ISNUMBER(Sync!$AH564),Sync!$AH564&gt;=0,Sync!$AH564&lt;1),RIGHT("00"&amp;HOUR(Sync!$AH564),2)&amp;RIGHT("00"&amp;MINUTE(Sync!$AH564),2),IFERROR(RIGHT("00"&amp;VALUE(LEFT(Sync!$AH564,FIND(":",Sync!$AH564)-1)),2)&amp;RIGHT("00"&amp;VALUE(MID(Sync!$AH564,FIND(":",Sync!$AH564)+1,2)),2),"0000"))))</f>
        <v/>
      </c>
    </row>
    <row r="565">
      <c r="A565">
        <f>IF(OR(Calc!$E568="",Calc!$E568="نامعتبر",Calc!$G568="",Calc!$I568&lt;&gt;"خرید"),"",Calc!$G568)</f>
        <v/>
      </c>
      <c r="B565">
        <f>IF($A565="","",LEFT(Calc!$E568,4)&amp;MID(Calc!$E568,6,2)&amp;RIGHT(Calc!$E568,2)&amp;Calc!$R568&amp;"|"&amp;"1"&amp;RIGHT("00000"&amp;560,5))</f>
        <v/>
      </c>
      <c r="C565">
        <f>IF($B565="","",COUNTIFS(LdgPartyA,$A565,LdgKeyA,"&lt;"&amp;$B565)+COUNTIFS(LdgPartyB,$A565,LdgKeyB,"&lt;"&amp;$B565)+1)</f>
        <v/>
      </c>
      <c r="D565">
        <f>IF($C565="","",$A565&amp;"|"&amp;RIGHT("000000"&amp;$C565,6))</f>
        <v/>
      </c>
      <c r="F565">
        <f>IF(Sync!$AJ565="","",Sync!$AJ565)</f>
        <v/>
      </c>
      <c r="G565">
        <f>IF($F565="","",IF(Sync!$AG565="","",IF(ISNUMBER(Sync!$AG565),IF(AND(Sync!$AG565&gt;=10000101,Sync!$AG565&lt;=99991231),INT(Sync!$AG565/10000),""),IFERROR(VALUE(TRIM(LEFT(Sync!$AG565,FIND("/",Sync!$AG565)-1))),""))))</f>
        <v/>
      </c>
      <c r="H565">
        <f>IF(OR($F565="",$G565=""),"",IF(ISNUMBER(Sync!$AG565),INT(MOD(Sync!$AG565,10000)/100),IFERROR(VALUE(TRIM(LEFT(MID(Sync!$AG565,FIND("/",Sync!$AG565)+1,20),FIND("/",MID(Sync!$AG565,FIND("/",Sync!$AG565)+1,20))-1))),"")))</f>
        <v/>
      </c>
      <c r="I565">
        <f>IF(OR($F565="",$G565=""),"",IF(ISNUMBER(Sync!$AG565),MOD(Sync!$AG565,100),IFERROR(VALUE(TRIM(MID(MID(Sync!$AG565,FIND("/",Sync!$AG565)+1,20),FIND("/",MID(Sync!$AG565,FIND("/",Sync!$AG565)+1,20))+1,20))),"")))</f>
        <v/>
      </c>
      <c r="J565">
        <f>IF($F565="","",IF(OR($G565="",$H565="",$I565="",$G565&lt;1300,$G565&gt;1500,$H565&lt;1,$H565&gt;12,$I565&lt;1,$I565&gt;31),"نامعتبر",RIGHT("0000"&amp;$G565,4)&amp;"/"&amp;RIGHT("00"&amp;$H565,2)&amp;"/"&amp;RIGHT("00"&amp;$I565,2)))</f>
        <v/>
      </c>
      <c r="K565">
        <f>IF(OR($F565="",$J565="",$J565="نامعتبر"),"",LEFT($J565,4)&amp;MID($J565,6,2)&amp;RIGHT($J565,2)&amp;$N565&amp;"|"&amp;"2"&amp;RIGHT("00000"&amp;560,5))</f>
        <v/>
      </c>
      <c r="L565">
        <f>IF($K565="","",COUNTIFS(LdgPartyA,$F565,LdgKeyA,"&lt;"&amp;$K565)+COUNTIFS(LdgPartyB,$F565,LdgKeyB,"&lt;"&amp;$K565)+1)</f>
        <v/>
      </c>
      <c r="M565">
        <f>IF($L565="","",$F565&amp;"|"&amp;RIGHT("000000"&amp;$L565,6))</f>
        <v/>
      </c>
      <c r="N565">
        <f>IF($F565="","",IF(Sync!$AH565="","0000",IF(AND(ISNUMBER(Sync!$AH565),Sync!$AH565&gt;=0,Sync!$AH565&lt;1),RIGHT("00"&amp;HOUR(Sync!$AH565),2)&amp;RIGHT("00"&amp;MINUTE(Sync!$AH565),2),IFERROR(RIGHT("00"&amp;VALUE(LEFT(Sync!$AH565,FIND(":",Sync!$AH565)-1)),2)&amp;RIGHT("00"&amp;VALUE(MID(Sync!$AH565,FIND(":",Sync!$AH565)+1,2)),2),"0000"))))</f>
        <v/>
      </c>
    </row>
    <row r="566">
      <c r="A566">
        <f>IF(OR(Calc!$E569="",Calc!$E569="نامعتبر",Calc!$G569="",Calc!$I569&lt;&gt;"خرید"),"",Calc!$G569)</f>
        <v/>
      </c>
      <c r="B566">
        <f>IF($A566="","",LEFT(Calc!$E569,4)&amp;MID(Calc!$E569,6,2)&amp;RIGHT(Calc!$E569,2)&amp;Calc!$R569&amp;"|"&amp;"1"&amp;RIGHT("00000"&amp;561,5))</f>
        <v/>
      </c>
      <c r="C566">
        <f>IF($B566="","",COUNTIFS(LdgPartyA,$A566,LdgKeyA,"&lt;"&amp;$B566)+COUNTIFS(LdgPartyB,$A566,LdgKeyB,"&lt;"&amp;$B566)+1)</f>
        <v/>
      </c>
      <c r="D566">
        <f>IF($C566="","",$A566&amp;"|"&amp;RIGHT("000000"&amp;$C566,6))</f>
        <v/>
      </c>
      <c r="F566">
        <f>IF(Sync!$AJ566="","",Sync!$AJ566)</f>
        <v/>
      </c>
      <c r="G566">
        <f>IF($F566="","",IF(Sync!$AG566="","",IF(ISNUMBER(Sync!$AG566),IF(AND(Sync!$AG566&gt;=10000101,Sync!$AG566&lt;=99991231),INT(Sync!$AG566/10000),""),IFERROR(VALUE(TRIM(LEFT(Sync!$AG566,FIND("/",Sync!$AG566)-1))),""))))</f>
        <v/>
      </c>
      <c r="H566">
        <f>IF(OR($F566="",$G566=""),"",IF(ISNUMBER(Sync!$AG566),INT(MOD(Sync!$AG566,10000)/100),IFERROR(VALUE(TRIM(LEFT(MID(Sync!$AG566,FIND("/",Sync!$AG566)+1,20),FIND("/",MID(Sync!$AG566,FIND("/",Sync!$AG566)+1,20))-1))),"")))</f>
        <v/>
      </c>
      <c r="I566">
        <f>IF(OR($F566="",$G566=""),"",IF(ISNUMBER(Sync!$AG566),MOD(Sync!$AG566,100),IFERROR(VALUE(TRIM(MID(MID(Sync!$AG566,FIND("/",Sync!$AG566)+1,20),FIND("/",MID(Sync!$AG566,FIND("/",Sync!$AG566)+1,20))+1,20))),"")))</f>
        <v/>
      </c>
      <c r="J566">
        <f>IF($F566="","",IF(OR($G566="",$H566="",$I566="",$G566&lt;1300,$G566&gt;1500,$H566&lt;1,$H566&gt;12,$I566&lt;1,$I566&gt;31),"نامعتبر",RIGHT("0000"&amp;$G566,4)&amp;"/"&amp;RIGHT("00"&amp;$H566,2)&amp;"/"&amp;RIGHT("00"&amp;$I566,2)))</f>
        <v/>
      </c>
      <c r="K566">
        <f>IF(OR($F566="",$J566="",$J566="نامعتبر"),"",LEFT($J566,4)&amp;MID($J566,6,2)&amp;RIGHT($J566,2)&amp;$N566&amp;"|"&amp;"2"&amp;RIGHT("00000"&amp;561,5))</f>
        <v/>
      </c>
      <c r="L566">
        <f>IF($K566="","",COUNTIFS(LdgPartyA,$F566,LdgKeyA,"&lt;"&amp;$K566)+COUNTIFS(LdgPartyB,$F566,LdgKeyB,"&lt;"&amp;$K566)+1)</f>
        <v/>
      </c>
      <c r="M566">
        <f>IF($L566="","",$F566&amp;"|"&amp;RIGHT("000000"&amp;$L566,6))</f>
        <v/>
      </c>
      <c r="N566">
        <f>IF($F566="","",IF(Sync!$AH566="","0000",IF(AND(ISNUMBER(Sync!$AH566),Sync!$AH566&gt;=0,Sync!$AH566&lt;1),RIGHT("00"&amp;HOUR(Sync!$AH566),2)&amp;RIGHT("00"&amp;MINUTE(Sync!$AH566),2),IFERROR(RIGHT("00"&amp;VALUE(LEFT(Sync!$AH566,FIND(":",Sync!$AH566)-1)),2)&amp;RIGHT("00"&amp;VALUE(MID(Sync!$AH566,FIND(":",Sync!$AH566)+1,2)),2),"0000"))))</f>
        <v/>
      </c>
    </row>
    <row r="567">
      <c r="A567">
        <f>IF(OR(Calc!$E570="",Calc!$E570="نامعتبر",Calc!$G570="",Calc!$I570&lt;&gt;"خرید"),"",Calc!$G570)</f>
        <v/>
      </c>
      <c r="B567">
        <f>IF($A567="","",LEFT(Calc!$E570,4)&amp;MID(Calc!$E570,6,2)&amp;RIGHT(Calc!$E570,2)&amp;Calc!$R570&amp;"|"&amp;"1"&amp;RIGHT("00000"&amp;562,5))</f>
        <v/>
      </c>
      <c r="C567">
        <f>IF($B567="","",COUNTIFS(LdgPartyA,$A567,LdgKeyA,"&lt;"&amp;$B567)+COUNTIFS(LdgPartyB,$A567,LdgKeyB,"&lt;"&amp;$B567)+1)</f>
        <v/>
      </c>
      <c r="D567">
        <f>IF($C567="","",$A567&amp;"|"&amp;RIGHT("000000"&amp;$C567,6))</f>
        <v/>
      </c>
      <c r="F567">
        <f>IF(Sync!$AJ567="","",Sync!$AJ567)</f>
        <v/>
      </c>
      <c r="G567">
        <f>IF($F567="","",IF(Sync!$AG567="","",IF(ISNUMBER(Sync!$AG567),IF(AND(Sync!$AG567&gt;=10000101,Sync!$AG567&lt;=99991231),INT(Sync!$AG567/10000),""),IFERROR(VALUE(TRIM(LEFT(Sync!$AG567,FIND("/",Sync!$AG567)-1))),""))))</f>
        <v/>
      </c>
      <c r="H567">
        <f>IF(OR($F567="",$G567=""),"",IF(ISNUMBER(Sync!$AG567),INT(MOD(Sync!$AG567,10000)/100),IFERROR(VALUE(TRIM(LEFT(MID(Sync!$AG567,FIND("/",Sync!$AG567)+1,20),FIND("/",MID(Sync!$AG567,FIND("/",Sync!$AG567)+1,20))-1))),"")))</f>
        <v/>
      </c>
      <c r="I567">
        <f>IF(OR($F567="",$G567=""),"",IF(ISNUMBER(Sync!$AG567),MOD(Sync!$AG567,100),IFERROR(VALUE(TRIM(MID(MID(Sync!$AG567,FIND("/",Sync!$AG567)+1,20),FIND("/",MID(Sync!$AG567,FIND("/",Sync!$AG567)+1,20))+1,20))),"")))</f>
        <v/>
      </c>
      <c r="J567">
        <f>IF($F567="","",IF(OR($G567="",$H567="",$I567="",$G567&lt;1300,$G567&gt;1500,$H567&lt;1,$H567&gt;12,$I567&lt;1,$I567&gt;31),"نامعتبر",RIGHT("0000"&amp;$G567,4)&amp;"/"&amp;RIGHT("00"&amp;$H567,2)&amp;"/"&amp;RIGHT("00"&amp;$I567,2)))</f>
        <v/>
      </c>
      <c r="K567">
        <f>IF(OR($F567="",$J567="",$J567="نامعتبر"),"",LEFT($J567,4)&amp;MID($J567,6,2)&amp;RIGHT($J567,2)&amp;$N567&amp;"|"&amp;"2"&amp;RIGHT("00000"&amp;562,5))</f>
        <v/>
      </c>
      <c r="L567">
        <f>IF($K567="","",COUNTIFS(LdgPartyA,$F567,LdgKeyA,"&lt;"&amp;$K567)+COUNTIFS(LdgPartyB,$F567,LdgKeyB,"&lt;"&amp;$K567)+1)</f>
        <v/>
      </c>
      <c r="M567">
        <f>IF($L567="","",$F567&amp;"|"&amp;RIGHT("000000"&amp;$L567,6))</f>
        <v/>
      </c>
      <c r="N567">
        <f>IF($F567="","",IF(Sync!$AH567="","0000",IF(AND(ISNUMBER(Sync!$AH567),Sync!$AH567&gt;=0,Sync!$AH567&lt;1),RIGHT("00"&amp;HOUR(Sync!$AH567),2)&amp;RIGHT("00"&amp;MINUTE(Sync!$AH567),2),IFERROR(RIGHT("00"&amp;VALUE(LEFT(Sync!$AH567,FIND(":",Sync!$AH567)-1)),2)&amp;RIGHT("00"&amp;VALUE(MID(Sync!$AH567,FIND(":",Sync!$AH567)+1,2)),2),"0000"))))</f>
        <v/>
      </c>
    </row>
    <row r="568">
      <c r="A568">
        <f>IF(OR(Calc!$E571="",Calc!$E571="نامعتبر",Calc!$G571="",Calc!$I571&lt;&gt;"خرید"),"",Calc!$G571)</f>
        <v/>
      </c>
      <c r="B568">
        <f>IF($A568="","",LEFT(Calc!$E571,4)&amp;MID(Calc!$E571,6,2)&amp;RIGHT(Calc!$E571,2)&amp;Calc!$R571&amp;"|"&amp;"1"&amp;RIGHT("00000"&amp;563,5))</f>
        <v/>
      </c>
      <c r="C568">
        <f>IF($B568="","",COUNTIFS(LdgPartyA,$A568,LdgKeyA,"&lt;"&amp;$B568)+COUNTIFS(LdgPartyB,$A568,LdgKeyB,"&lt;"&amp;$B568)+1)</f>
        <v/>
      </c>
      <c r="D568">
        <f>IF($C568="","",$A568&amp;"|"&amp;RIGHT("000000"&amp;$C568,6))</f>
        <v/>
      </c>
      <c r="F568">
        <f>IF(Sync!$AJ568="","",Sync!$AJ568)</f>
        <v/>
      </c>
      <c r="G568">
        <f>IF($F568="","",IF(Sync!$AG568="","",IF(ISNUMBER(Sync!$AG568),IF(AND(Sync!$AG568&gt;=10000101,Sync!$AG568&lt;=99991231),INT(Sync!$AG568/10000),""),IFERROR(VALUE(TRIM(LEFT(Sync!$AG568,FIND("/",Sync!$AG568)-1))),""))))</f>
        <v/>
      </c>
      <c r="H568">
        <f>IF(OR($F568="",$G568=""),"",IF(ISNUMBER(Sync!$AG568),INT(MOD(Sync!$AG568,10000)/100),IFERROR(VALUE(TRIM(LEFT(MID(Sync!$AG568,FIND("/",Sync!$AG568)+1,20),FIND("/",MID(Sync!$AG568,FIND("/",Sync!$AG568)+1,20))-1))),"")))</f>
        <v/>
      </c>
      <c r="I568">
        <f>IF(OR($F568="",$G568=""),"",IF(ISNUMBER(Sync!$AG568),MOD(Sync!$AG568,100),IFERROR(VALUE(TRIM(MID(MID(Sync!$AG568,FIND("/",Sync!$AG568)+1,20),FIND("/",MID(Sync!$AG568,FIND("/",Sync!$AG568)+1,20))+1,20))),"")))</f>
        <v/>
      </c>
      <c r="J568">
        <f>IF($F568="","",IF(OR($G568="",$H568="",$I568="",$G568&lt;1300,$G568&gt;1500,$H568&lt;1,$H568&gt;12,$I568&lt;1,$I568&gt;31),"نامعتبر",RIGHT("0000"&amp;$G568,4)&amp;"/"&amp;RIGHT("00"&amp;$H568,2)&amp;"/"&amp;RIGHT("00"&amp;$I568,2)))</f>
        <v/>
      </c>
      <c r="K568">
        <f>IF(OR($F568="",$J568="",$J568="نامعتبر"),"",LEFT($J568,4)&amp;MID($J568,6,2)&amp;RIGHT($J568,2)&amp;$N568&amp;"|"&amp;"2"&amp;RIGHT("00000"&amp;563,5))</f>
        <v/>
      </c>
      <c r="L568">
        <f>IF($K568="","",COUNTIFS(LdgPartyA,$F568,LdgKeyA,"&lt;"&amp;$K568)+COUNTIFS(LdgPartyB,$F568,LdgKeyB,"&lt;"&amp;$K568)+1)</f>
        <v/>
      </c>
      <c r="M568">
        <f>IF($L568="","",$F568&amp;"|"&amp;RIGHT("000000"&amp;$L568,6))</f>
        <v/>
      </c>
      <c r="N568">
        <f>IF($F568="","",IF(Sync!$AH568="","0000",IF(AND(ISNUMBER(Sync!$AH568),Sync!$AH568&gt;=0,Sync!$AH568&lt;1),RIGHT("00"&amp;HOUR(Sync!$AH568),2)&amp;RIGHT("00"&amp;MINUTE(Sync!$AH568),2),IFERROR(RIGHT("00"&amp;VALUE(LEFT(Sync!$AH568,FIND(":",Sync!$AH568)-1)),2)&amp;RIGHT("00"&amp;VALUE(MID(Sync!$AH568,FIND(":",Sync!$AH568)+1,2)),2),"0000"))))</f>
        <v/>
      </c>
    </row>
    <row r="569">
      <c r="A569">
        <f>IF(OR(Calc!$E572="",Calc!$E572="نامعتبر",Calc!$G572="",Calc!$I572&lt;&gt;"خرید"),"",Calc!$G572)</f>
        <v/>
      </c>
      <c r="B569">
        <f>IF($A569="","",LEFT(Calc!$E572,4)&amp;MID(Calc!$E572,6,2)&amp;RIGHT(Calc!$E572,2)&amp;Calc!$R572&amp;"|"&amp;"1"&amp;RIGHT("00000"&amp;564,5))</f>
        <v/>
      </c>
      <c r="C569">
        <f>IF($B569="","",COUNTIFS(LdgPartyA,$A569,LdgKeyA,"&lt;"&amp;$B569)+COUNTIFS(LdgPartyB,$A569,LdgKeyB,"&lt;"&amp;$B569)+1)</f>
        <v/>
      </c>
      <c r="D569">
        <f>IF($C569="","",$A569&amp;"|"&amp;RIGHT("000000"&amp;$C569,6))</f>
        <v/>
      </c>
      <c r="F569">
        <f>IF(Sync!$AJ569="","",Sync!$AJ569)</f>
        <v/>
      </c>
      <c r="G569">
        <f>IF($F569="","",IF(Sync!$AG569="","",IF(ISNUMBER(Sync!$AG569),IF(AND(Sync!$AG569&gt;=10000101,Sync!$AG569&lt;=99991231),INT(Sync!$AG569/10000),""),IFERROR(VALUE(TRIM(LEFT(Sync!$AG569,FIND("/",Sync!$AG569)-1))),""))))</f>
        <v/>
      </c>
      <c r="H569">
        <f>IF(OR($F569="",$G569=""),"",IF(ISNUMBER(Sync!$AG569),INT(MOD(Sync!$AG569,10000)/100),IFERROR(VALUE(TRIM(LEFT(MID(Sync!$AG569,FIND("/",Sync!$AG569)+1,20),FIND("/",MID(Sync!$AG569,FIND("/",Sync!$AG569)+1,20))-1))),"")))</f>
        <v/>
      </c>
      <c r="I569">
        <f>IF(OR($F569="",$G569=""),"",IF(ISNUMBER(Sync!$AG569),MOD(Sync!$AG569,100),IFERROR(VALUE(TRIM(MID(MID(Sync!$AG569,FIND("/",Sync!$AG569)+1,20),FIND("/",MID(Sync!$AG569,FIND("/",Sync!$AG569)+1,20))+1,20))),"")))</f>
        <v/>
      </c>
      <c r="J569">
        <f>IF($F569="","",IF(OR($G569="",$H569="",$I569="",$G569&lt;1300,$G569&gt;1500,$H569&lt;1,$H569&gt;12,$I569&lt;1,$I569&gt;31),"نامعتبر",RIGHT("0000"&amp;$G569,4)&amp;"/"&amp;RIGHT("00"&amp;$H569,2)&amp;"/"&amp;RIGHT("00"&amp;$I569,2)))</f>
        <v/>
      </c>
      <c r="K569">
        <f>IF(OR($F569="",$J569="",$J569="نامعتبر"),"",LEFT($J569,4)&amp;MID($J569,6,2)&amp;RIGHT($J569,2)&amp;$N569&amp;"|"&amp;"2"&amp;RIGHT("00000"&amp;564,5))</f>
        <v/>
      </c>
      <c r="L569">
        <f>IF($K569="","",COUNTIFS(LdgPartyA,$F569,LdgKeyA,"&lt;"&amp;$K569)+COUNTIFS(LdgPartyB,$F569,LdgKeyB,"&lt;"&amp;$K569)+1)</f>
        <v/>
      </c>
      <c r="M569">
        <f>IF($L569="","",$F569&amp;"|"&amp;RIGHT("000000"&amp;$L569,6))</f>
        <v/>
      </c>
      <c r="N569">
        <f>IF($F569="","",IF(Sync!$AH569="","0000",IF(AND(ISNUMBER(Sync!$AH569),Sync!$AH569&gt;=0,Sync!$AH569&lt;1),RIGHT("00"&amp;HOUR(Sync!$AH569),2)&amp;RIGHT("00"&amp;MINUTE(Sync!$AH569),2),IFERROR(RIGHT("00"&amp;VALUE(LEFT(Sync!$AH569,FIND(":",Sync!$AH569)-1)),2)&amp;RIGHT("00"&amp;VALUE(MID(Sync!$AH569,FIND(":",Sync!$AH569)+1,2)),2),"0000"))))</f>
        <v/>
      </c>
    </row>
    <row r="570">
      <c r="A570">
        <f>IF(OR(Calc!$E573="",Calc!$E573="نامعتبر",Calc!$G573="",Calc!$I573&lt;&gt;"خرید"),"",Calc!$G573)</f>
        <v/>
      </c>
      <c r="B570">
        <f>IF($A570="","",LEFT(Calc!$E573,4)&amp;MID(Calc!$E573,6,2)&amp;RIGHT(Calc!$E573,2)&amp;Calc!$R573&amp;"|"&amp;"1"&amp;RIGHT("00000"&amp;565,5))</f>
        <v/>
      </c>
      <c r="C570">
        <f>IF($B570="","",COUNTIFS(LdgPartyA,$A570,LdgKeyA,"&lt;"&amp;$B570)+COUNTIFS(LdgPartyB,$A570,LdgKeyB,"&lt;"&amp;$B570)+1)</f>
        <v/>
      </c>
      <c r="D570">
        <f>IF($C570="","",$A570&amp;"|"&amp;RIGHT("000000"&amp;$C570,6))</f>
        <v/>
      </c>
      <c r="F570">
        <f>IF(Sync!$AJ570="","",Sync!$AJ570)</f>
        <v/>
      </c>
      <c r="G570">
        <f>IF($F570="","",IF(Sync!$AG570="","",IF(ISNUMBER(Sync!$AG570),IF(AND(Sync!$AG570&gt;=10000101,Sync!$AG570&lt;=99991231),INT(Sync!$AG570/10000),""),IFERROR(VALUE(TRIM(LEFT(Sync!$AG570,FIND("/",Sync!$AG570)-1))),""))))</f>
        <v/>
      </c>
      <c r="H570">
        <f>IF(OR($F570="",$G570=""),"",IF(ISNUMBER(Sync!$AG570),INT(MOD(Sync!$AG570,10000)/100),IFERROR(VALUE(TRIM(LEFT(MID(Sync!$AG570,FIND("/",Sync!$AG570)+1,20),FIND("/",MID(Sync!$AG570,FIND("/",Sync!$AG570)+1,20))-1))),"")))</f>
        <v/>
      </c>
      <c r="I570">
        <f>IF(OR($F570="",$G570=""),"",IF(ISNUMBER(Sync!$AG570),MOD(Sync!$AG570,100),IFERROR(VALUE(TRIM(MID(MID(Sync!$AG570,FIND("/",Sync!$AG570)+1,20),FIND("/",MID(Sync!$AG570,FIND("/",Sync!$AG570)+1,20))+1,20))),"")))</f>
        <v/>
      </c>
      <c r="J570">
        <f>IF($F570="","",IF(OR($G570="",$H570="",$I570="",$G570&lt;1300,$G570&gt;1500,$H570&lt;1,$H570&gt;12,$I570&lt;1,$I570&gt;31),"نامعتبر",RIGHT("0000"&amp;$G570,4)&amp;"/"&amp;RIGHT("00"&amp;$H570,2)&amp;"/"&amp;RIGHT("00"&amp;$I570,2)))</f>
        <v/>
      </c>
      <c r="K570">
        <f>IF(OR($F570="",$J570="",$J570="نامعتبر"),"",LEFT($J570,4)&amp;MID($J570,6,2)&amp;RIGHT($J570,2)&amp;$N570&amp;"|"&amp;"2"&amp;RIGHT("00000"&amp;565,5))</f>
        <v/>
      </c>
      <c r="L570">
        <f>IF($K570="","",COUNTIFS(LdgPartyA,$F570,LdgKeyA,"&lt;"&amp;$K570)+COUNTIFS(LdgPartyB,$F570,LdgKeyB,"&lt;"&amp;$K570)+1)</f>
        <v/>
      </c>
      <c r="M570">
        <f>IF($L570="","",$F570&amp;"|"&amp;RIGHT("000000"&amp;$L570,6))</f>
        <v/>
      </c>
      <c r="N570">
        <f>IF($F570="","",IF(Sync!$AH570="","0000",IF(AND(ISNUMBER(Sync!$AH570),Sync!$AH570&gt;=0,Sync!$AH570&lt;1),RIGHT("00"&amp;HOUR(Sync!$AH570),2)&amp;RIGHT("00"&amp;MINUTE(Sync!$AH570),2),IFERROR(RIGHT("00"&amp;VALUE(LEFT(Sync!$AH570,FIND(":",Sync!$AH570)-1)),2)&amp;RIGHT("00"&amp;VALUE(MID(Sync!$AH570,FIND(":",Sync!$AH570)+1,2)),2),"0000"))))</f>
        <v/>
      </c>
    </row>
    <row r="571">
      <c r="A571">
        <f>IF(OR(Calc!$E574="",Calc!$E574="نامعتبر",Calc!$G574="",Calc!$I574&lt;&gt;"خرید"),"",Calc!$G574)</f>
        <v/>
      </c>
      <c r="B571">
        <f>IF($A571="","",LEFT(Calc!$E574,4)&amp;MID(Calc!$E574,6,2)&amp;RIGHT(Calc!$E574,2)&amp;Calc!$R574&amp;"|"&amp;"1"&amp;RIGHT("00000"&amp;566,5))</f>
        <v/>
      </c>
      <c r="C571">
        <f>IF($B571="","",COUNTIFS(LdgPartyA,$A571,LdgKeyA,"&lt;"&amp;$B571)+COUNTIFS(LdgPartyB,$A571,LdgKeyB,"&lt;"&amp;$B571)+1)</f>
        <v/>
      </c>
      <c r="D571">
        <f>IF($C571="","",$A571&amp;"|"&amp;RIGHT("000000"&amp;$C571,6))</f>
        <v/>
      </c>
      <c r="F571">
        <f>IF(Sync!$AJ571="","",Sync!$AJ571)</f>
        <v/>
      </c>
      <c r="G571">
        <f>IF($F571="","",IF(Sync!$AG571="","",IF(ISNUMBER(Sync!$AG571),IF(AND(Sync!$AG571&gt;=10000101,Sync!$AG571&lt;=99991231),INT(Sync!$AG571/10000),""),IFERROR(VALUE(TRIM(LEFT(Sync!$AG571,FIND("/",Sync!$AG571)-1))),""))))</f>
        <v/>
      </c>
      <c r="H571">
        <f>IF(OR($F571="",$G571=""),"",IF(ISNUMBER(Sync!$AG571),INT(MOD(Sync!$AG571,10000)/100),IFERROR(VALUE(TRIM(LEFT(MID(Sync!$AG571,FIND("/",Sync!$AG571)+1,20),FIND("/",MID(Sync!$AG571,FIND("/",Sync!$AG571)+1,20))-1))),"")))</f>
        <v/>
      </c>
      <c r="I571">
        <f>IF(OR($F571="",$G571=""),"",IF(ISNUMBER(Sync!$AG571),MOD(Sync!$AG571,100),IFERROR(VALUE(TRIM(MID(MID(Sync!$AG571,FIND("/",Sync!$AG571)+1,20),FIND("/",MID(Sync!$AG571,FIND("/",Sync!$AG571)+1,20))+1,20))),"")))</f>
        <v/>
      </c>
      <c r="J571">
        <f>IF($F571="","",IF(OR($G571="",$H571="",$I571="",$G571&lt;1300,$G571&gt;1500,$H571&lt;1,$H571&gt;12,$I571&lt;1,$I571&gt;31),"نامعتبر",RIGHT("0000"&amp;$G571,4)&amp;"/"&amp;RIGHT("00"&amp;$H571,2)&amp;"/"&amp;RIGHT("00"&amp;$I571,2)))</f>
        <v/>
      </c>
      <c r="K571">
        <f>IF(OR($F571="",$J571="",$J571="نامعتبر"),"",LEFT($J571,4)&amp;MID($J571,6,2)&amp;RIGHT($J571,2)&amp;$N571&amp;"|"&amp;"2"&amp;RIGHT("00000"&amp;566,5))</f>
        <v/>
      </c>
      <c r="L571">
        <f>IF($K571="","",COUNTIFS(LdgPartyA,$F571,LdgKeyA,"&lt;"&amp;$K571)+COUNTIFS(LdgPartyB,$F571,LdgKeyB,"&lt;"&amp;$K571)+1)</f>
        <v/>
      </c>
      <c r="M571">
        <f>IF($L571="","",$F571&amp;"|"&amp;RIGHT("000000"&amp;$L571,6))</f>
        <v/>
      </c>
      <c r="N571">
        <f>IF($F571="","",IF(Sync!$AH571="","0000",IF(AND(ISNUMBER(Sync!$AH571),Sync!$AH571&gt;=0,Sync!$AH571&lt;1),RIGHT("00"&amp;HOUR(Sync!$AH571),2)&amp;RIGHT("00"&amp;MINUTE(Sync!$AH571),2),IFERROR(RIGHT("00"&amp;VALUE(LEFT(Sync!$AH571,FIND(":",Sync!$AH571)-1)),2)&amp;RIGHT("00"&amp;VALUE(MID(Sync!$AH571,FIND(":",Sync!$AH571)+1,2)),2),"0000"))))</f>
        <v/>
      </c>
    </row>
    <row r="572">
      <c r="A572">
        <f>IF(OR(Calc!$E575="",Calc!$E575="نامعتبر",Calc!$G575="",Calc!$I575&lt;&gt;"خرید"),"",Calc!$G575)</f>
        <v/>
      </c>
      <c r="B572">
        <f>IF($A572="","",LEFT(Calc!$E575,4)&amp;MID(Calc!$E575,6,2)&amp;RIGHT(Calc!$E575,2)&amp;Calc!$R575&amp;"|"&amp;"1"&amp;RIGHT("00000"&amp;567,5))</f>
        <v/>
      </c>
      <c r="C572">
        <f>IF($B572="","",COUNTIFS(LdgPartyA,$A572,LdgKeyA,"&lt;"&amp;$B572)+COUNTIFS(LdgPartyB,$A572,LdgKeyB,"&lt;"&amp;$B572)+1)</f>
        <v/>
      </c>
      <c r="D572">
        <f>IF($C572="","",$A572&amp;"|"&amp;RIGHT("000000"&amp;$C572,6))</f>
        <v/>
      </c>
      <c r="F572">
        <f>IF(Sync!$AJ572="","",Sync!$AJ572)</f>
        <v/>
      </c>
      <c r="G572">
        <f>IF($F572="","",IF(Sync!$AG572="","",IF(ISNUMBER(Sync!$AG572),IF(AND(Sync!$AG572&gt;=10000101,Sync!$AG572&lt;=99991231),INT(Sync!$AG572/10000),""),IFERROR(VALUE(TRIM(LEFT(Sync!$AG572,FIND("/",Sync!$AG572)-1))),""))))</f>
        <v/>
      </c>
      <c r="H572">
        <f>IF(OR($F572="",$G572=""),"",IF(ISNUMBER(Sync!$AG572),INT(MOD(Sync!$AG572,10000)/100),IFERROR(VALUE(TRIM(LEFT(MID(Sync!$AG572,FIND("/",Sync!$AG572)+1,20),FIND("/",MID(Sync!$AG572,FIND("/",Sync!$AG572)+1,20))-1))),"")))</f>
        <v/>
      </c>
      <c r="I572">
        <f>IF(OR($F572="",$G572=""),"",IF(ISNUMBER(Sync!$AG572),MOD(Sync!$AG572,100),IFERROR(VALUE(TRIM(MID(MID(Sync!$AG572,FIND("/",Sync!$AG572)+1,20),FIND("/",MID(Sync!$AG572,FIND("/",Sync!$AG572)+1,20))+1,20))),"")))</f>
        <v/>
      </c>
      <c r="J572">
        <f>IF($F572="","",IF(OR($G572="",$H572="",$I572="",$G572&lt;1300,$G572&gt;1500,$H572&lt;1,$H572&gt;12,$I572&lt;1,$I572&gt;31),"نامعتبر",RIGHT("0000"&amp;$G572,4)&amp;"/"&amp;RIGHT("00"&amp;$H572,2)&amp;"/"&amp;RIGHT("00"&amp;$I572,2)))</f>
        <v/>
      </c>
      <c r="K572">
        <f>IF(OR($F572="",$J572="",$J572="نامعتبر"),"",LEFT($J572,4)&amp;MID($J572,6,2)&amp;RIGHT($J572,2)&amp;$N572&amp;"|"&amp;"2"&amp;RIGHT("00000"&amp;567,5))</f>
        <v/>
      </c>
      <c r="L572">
        <f>IF($K572="","",COUNTIFS(LdgPartyA,$F572,LdgKeyA,"&lt;"&amp;$K572)+COUNTIFS(LdgPartyB,$F572,LdgKeyB,"&lt;"&amp;$K572)+1)</f>
        <v/>
      </c>
      <c r="M572">
        <f>IF($L572="","",$F572&amp;"|"&amp;RIGHT("000000"&amp;$L572,6))</f>
        <v/>
      </c>
      <c r="N572">
        <f>IF($F572="","",IF(Sync!$AH572="","0000",IF(AND(ISNUMBER(Sync!$AH572),Sync!$AH572&gt;=0,Sync!$AH572&lt;1),RIGHT("00"&amp;HOUR(Sync!$AH572),2)&amp;RIGHT("00"&amp;MINUTE(Sync!$AH572),2),IFERROR(RIGHT("00"&amp;VALUE(LEFT(Sync!$AH572,FIND(":",Sync!$AH572)-1)),2)&amp;RIGHT("00"&amp;VALUE(MID(Sync!$AH572,FIND(":",Sync!$AH572)+1,2)),2),"0000"))))</f>
        <v/>
      </c>
    </row>
    <row r="573">
      <c r="A573">
        <f>IF(OR(Calc!$E576="",Calc!$E576="نامعتبر",Calc!$G576="",Calc!$I576&lt;&gt;"خرید"),"",Calc!$G576)</f>
        <v/>
      </c>
      <c r="B573">
        <f>IF($A573="","",LEFT(Calc!$E576,4)&amp;MID(Calc!$E576,6,2)&amp;RIGHT(Calc!$E576,2)&amp;Calc!$R576&amp;"|"&amp;"1"&amp;RIGHT("00000"&amp;568,5))</f>
        <v/>
      </c>
      <c r="C573">
        <f>IF($B573="","",COUNTIFS(LdgPartyA,$A573,LdgKeyA,"&lt;"&amp;$B573)+COUNTIFS(LdgPartyB,$A573,LdgKeyB,"&lt;"&amp;$B573)+1)</f>
        <v/>
      </c>
      <c r="D573">
        <f>IF($C573="","",$A573&amp;"|"&amp;RIGHT("000000"&amp;$C573,6))</f>
        <v/>
      </c>
      <c r="F573">
        <f>IF(Sync!$AJ573="","",Sync!$AJ573)</f>
        <v/>
      </c>
      <c r="G573">
        <f>IF($F573="","",IF(Sync!$AG573="","",IF(ISNUMBER(Sync!$AG573),IF(AND(Sync!$AG573&gt;=10000101,Sync!$AG573&lt;=99991231),INT(Sync!$AG573/10000),""),IFERROR(VALUE(TRIM(LEFT(Sync!$AG573,FIND("/",Sync!$AG573)-1))),""))))</f>
        <v/>
      </c>
      <c r="H573">
        <f>IF(OR($F573="",$G573=""),"",IF(ISNUMBER(Sync!$AG573),INT(MOD(Sync!$AG573,10000)/100),IFERROR(VALUE(TRIM(LEFT(MID(Sync!$AG573,FIND("/",Sync!$AG573)+1,20),FIND("/",MID(Sync!$AG573,FIND("/",Sync!$AG573)+1,20))-1))),"")))</f>
        <v/>
      </c>
      <c r="I573">
        <f>IF(OR($F573="",$G573=""),"",IF(ISNUMBER(Sync!$AG573),MOD(Sync!$AG573,100),IFERROR(VALUE(TRIM(MID(MID(Sync!$AG573,FIND("/",Sync!$AG573)+1,20),FIND("/",MID(Sync!$AG573,FIND("/",Sync!$AG573)+1,20))+1,20))),"")))</f>
        <v/>
      </c>
      <c r="J573">
        <f>IF($F573="","",IF(OR($G573="",$H573="",$I573="",$G573&lt;1300,$G573&gt;1500,$H573&lt;1,$H573&gt;12,$I573&lt;1,$I573&gt;31),"نامعتبر",RIGHT("0000"&amp;$G573,4)&amp;"/"&amp;RIGHT("00"&amp;$H573,2)&amp;"/"&amp;RIGHT("00"&amp;$I573,2)))</f>
        <v/>
      </c>
      <c r="K573">
        <f>IF(OR($F573="",$J573="",$J573="نامعتبر"),"",LEFT($J573,4)&amp;MID($J573,6,2)&amp;RIGHT($J573,2)&amp;$N573&amp;"|"&amp;"2"&amp;RIGHT("00000"&amp;568,5))</f>
        <v/>
      </c>
      <c r="L573">
        <f>IF($K573="","",COUNTIFS(LdgPartyA,$F573,LdgKeyA,"&lt;"&amp;$K573)+COUNTIFS(LdgPartyB,$F573,LdgKeyB,"&lt;"&amp;$K573)+1)</f>
        <v/>
      </c>
      <c r="M573">
        <f>IF($L573="","",$F573&amp;"|"&amp;RIGHT("000000"&amp;$L573,6))</f>
        <v/>
      </c>
      <c r="N573">
        <f>IF($F573="","",IF(Sync!$AH573="","0000",IF(AND(ISNUMBER(Sync!$AH573),Sync!$AH573&gt;=0,Sync!$AH573&lt;1),RIGHT("00"&amp;HOUR(Sync!$AH573),2)&amp;RIGHT("00"&amp;MINUTE(Sync!$AH573),2),IFERROR(RIGHT("00"&amp;VALUE(LEFT(Sync!$AH573,FIND(":",Sync!$AH573)-1)),2)&amp;RIGHT("00"&amp;VALUE(MID(Sync!$AH573,FIND(":",Sync!$AH573)+1,2)),2),"0000"))))</f>
        <v/>
      </c>
    </row>
    <row r="574">
      <c r="A574">
        <f>IF(OR(Calc!$E577="",Calc!$E577="نامعتبر",Calc!$G577="",Calc!$I577&lt;&gt;"خرید"),"",Calc!$G577)</f>
        <v/>
      </c>
      <c r="B574">
        <f>IF($A574="","",LEFT(Calc!$E577,4)&amp;MID(Calc!$E577,6,2)&amp;RIGHT(Calc!$E577,2)&amp;Calc!$R577&amp;"|"&amp;"1"&amp;RIGHT("00000"&amp;569,5))</f>
        <v/>
      </c>
      <c r="C574">
        <f>IF($B574="","",COUNTIFS(LdgPartyA,$A574,LdgKeyA,"&lt;"&amp;$B574)+COUNTIFS(LdgPartyB,$A574,LdgKeyB,"&lt;"&amp;$B574)+1)</f>
        <v/>
      </c>
      <c r="D574">
        <f>IF($C574="","",$A574&amp;"|"&amp;RIGHT("000000"&amp;$C574,6))</f>
        <v/>
      </c>
      <c r="F574">
        <f>IF(Sync!$AJ574="","",Sync!$AJ574)</f>
        <v/>
      </c>
      <c r="G574">
        <f>IF($F574="","",IF(Sync!$AG574="","",IF(ISNUMBER(Sync!$AG574),IF(AND(Sync!$AG574&gt;=10000101,Sync!$AG574&lt;=99991231),INT(Sync!$AG574/10000),""),IFERROR(VALUE(TRIM(LEFT(Sync!$AG574,FIND("/",Sync!$AG574)-1))),""))))</f>
        <v/>
      </c>
      <c r="H574">
        <f>IF(OR($F574="",$G574=""),"",IF(ISNUMBER(Sync!$AG574),INT(MOD(Sync!$AG574,10000)/100),IFERROR(VALUE(TRIM(LEFT(MID(Sync!$AG574,FIND("/",Sync!$AG574)+1,20),FIND("/",MID(Sync!$AG574,FIND("/",Sync!$AG574)+1,20))-1))),"")))</f>
        <v/>
      </c>
      <c r="I574">
        <f>IF(OR($F574="",$G574=""),"",IF(ISNUMBER(Sync!$AG574),MOD(Sync!$AG574,100),IFERROR(VALUE(TRIM(MID(MID(Sync!$AG574,FIND("/",Sync!$AG574)+1,20),FIND("/",MID(Sync!$AG574,FIND("/",Sync!$AG574)+1,20))+1,20))),"")))</f>
        <v/>
      </c>
      <c r="J574">
        <f>IF($F574="","",IF(OR($G574="",$H574="",$I574="",$G574&lt;1300,$G574&gt;1500,$H574&lt;1,$H574&gt;12,$I574&lt;1,$I574&gt;31),"نامعتبر",RIGHT("0000"&amp;$G574,4)&amp;"/"&amp;RIGHT("00"&amp;$H574,2)&amp;"/"&amp;RIGHT("00"&amp;$I574,2)))</f>
        <v/>
      </c>
      <c r="K574">
        <f>IF(OR($F574="",$J574="",$J574="نامعتبر"),"",LEFT($J574,4)&amp;MID($J574,6,2)&amp;RIGHT($J574,2)&amp;$N574&amp;"|"&amp;"2"&amp;RIGHT("00000"&amp;569,5))</f>
        <v/>
      </c>
      <c r="L574">
        <f>IF($K574="","",COUNTIFS(LdgPartyA,$F574,LdgKeyA,"&lt;"&amp;$K574)+COUNTIFS(LdgPartyB,$F574,LdgKeyB,"&lt;"&amp;$K574)+1)</f>
        <v/>
      </c>
      <c r="M574">
        <f>IF($L574="","",$F574&amp;"|"&amp;RIGHT("000000"&amp;$L574,6))</f>
        <v/>
      </c>
      <c r="N574">
        <f>IF($F574="","",IF(Sync!$AH574="","0000",IF(AND(ISNUMBER(Sync!$AH574),Sync!$AH574&gt;=0,Sync!$AH574&lt;1),RIGHT("00"&amp;HOUR(Sync!$AH574),2)&amp;RIGHT("00"&amp;MINUTE(Sync!$AH574),2),IFERROR(RIGHT("00"&amp;VALUE(LEFT(Sync!$AH574,FIND(":",Sync!$AH574)-1)),2)&amp;RIGHT("00"&amp;VALUE(MID(Sync!$AH574,FIND(":",Sync!$AH574)+1,2)),2),"0000"))))</f>
        <v/>
      </c>
    </row>
    <row r="575">
      <c r="A575">
        <f>IF(OR(Calc!$E578="",Calc!$E578="نامعتبر",Calc!$G578="",Calc!$I578&lt;&gt;"خرید"),"",Calc!$G578)</f>
        <v/>
      </c>
      <c r="B575">
        <f>IF($A575="","",LEFT(Calc!$E578,4)&amp;MID(Calc!$E578,6,2)&amp;RIGHT(Calc!$E578,2)&amp;Calc!$R578&amp;"|"&amp;"1"&amp;RIGHT("00000"&amp;570,5))</f>
        <v/>
      </c>
      <c r="C575">
        <f>IF($B575="","",COUNTIFS(LdgPartyA,$A575,LdgKeyA,"&lt;"&amp;$B575)+COUNTIFS(LdgPartyB,$A575,LdgKeyB,"&lt;"&amp;$B575)+1)</f>
        <v/>
      </c>
      <c r="D575">
        <f>IF($C575="","",$A575&amp;"|"&amp;RIGHT("000000"&amp;$C575,6))</f>
        <v/>
      </c>
      <c r="F575">
        <f>IF(Sync!$AJ575="","",Sync!$AJ575)</f>
        <v/>
      </c>
      <c r="G575">
        <f>IF($F575="","",IF(Sync!$AG575="","",IF(ISNUMBER(Sync!$AG575),IF(AND(Sync!$AG575&gt;=10000101,Sync!$AG575&lt;=99991231),INT(Sync!$AG575/10000),""),IFERROR(VALUE(TRIM(LEFT(Sync!$AG575,FIND("/",Sync!$AG575)-1))),""))))</f>
        <v/>
      </c>
      <c r="H575">
        <f>IF(OR($F575="",$G575=""),"",IF(ISNUMBER(Sync!$AG575),INT(MOD(Sync!$AG575,10000)/100),IFERROR(VALUE(TRIM(LEFT(MID(Sync!$AG575,FIND("/",Sync!$AG575)+1,20),FIND("/",MID(Sync!$AG575,FIND("/",Sync!$AG575)+1,20))-1))),"")))</f>
        <v/>
      </c>
      <c r="I575">
        <f>IF(OR($F575="",$G575=""),"",IF(ISNUMBER(Sync!$AG575),MOD(Sync!$AG575,100),IFERROR(VALUE(TRIM(MID(MID(Sync!$AG575,FIND("/",Sync!$AG575)+1,20),FIND("/",MID(Sync!$AG575,FIND("/",Sync!$AG575)+1,20))+1,20))),"")))</f>
        <v/>
      </c>
      <c r="J575">
        <f>IF($F575="","",IF(OR($G575="",$H575="",$I575="",$G575&lt;1300,$G575&gt;1500,$H575&lt;1,$H575&gt;12,$I575&lt;1,$I575&gt;31),"نامعتبر",RIGHT("0000"&amp;$G575,4)&amp;"/"&amp;RIGHT("00"&amp;$H575,2)&amp;"/"&amp;RIGHT("00"&amp;$I575,2)))</f>
        <v/>
      </c>
      <c r="K575">
        <f>IF(OR($F575="",$J575="",$J575="نامعتبر"),"",LEFT($J575,4)&amp;MID($J575,6,2)&amp;RIGHT($J575,2)&amp;$N575&amp;"|"&amp;"2"&amp;RIGHT("00000"&amp;570,5))</f>
        <v/>
      </c>
      <c r="L575">
        <f>IF($K575="","",COUNTIFS(LdgPartyA,$F575,LdgKeyA,"&lt;"&amp;$K575)+COUNTIFS(LdgPartyB,$F575,LdgKeyB,"&lt;"&amp;$K575)+1)</f>
        <v/>
      </c>
      <c r="M575">
        <f>IF($L575="","",$F575&amp;"|"&amp;RIGHT("000000"&amp;$L575,6))</f>
        <v/>
      </c>
      <c r="N575">
        <f>IF($F575="","",IF(Sync!$AH575="","0000",IF(AND(ISNUMBER(Sync!$AH575),Sync!$AH575&gt;=0,Sync!$AH575&lt;1),RIGHT("00"&amp;HOUR(Sync!$AH575),2)&amp;RIGHT("00"&amp;MINUTE(Sync!$AH575),2),IFERROR(RIGHT("00"&amp;VALUE(LEFT(Sync!$AH575,FIND(":",Sync!$AH575)-1)),2)&amp;RIGHT("00"&amp;VALUE(MID(Sync!$AH575,FIND(":",Sync!$AH575)+1,2)),2),"0000"))))</f>
        <v/>
      </c>
    </row>
    <row r="576">
      <c r="A576">
        <f>IF(OR(Calc!$E579="",Calc!$E579="نامعتبر",Calc!$G579="",Calc!$I579&lt;&gt;"خرید"),"",Calc!$G579)</f>
        <v/>
      </c>
      <c r="B576">
        <f>IF($A576="","",LEFT(Calc!$E579,4)&amp;MID(Calc!$E579,6,2)&amp;RIGHT(Calc!$E579,2)&amp;Calc!$R579&amp;"|"&amp;"1"&amp;RIGHT("00000"&amp;571,5))</f>
        <v/>
      </c>
      <c r="C576">
        <f>IF($B576="","",COUNTIFS(LdgPartyA,$A576,LdgKeyA,"&lt;"&amp;$B576)+COUNTIFS(LdgPartyB,$A576,LdgKeyB,"&lt;"&amp;$B576)+1)</f>
        <v/>
      </c>
      <c r="D576">
        <f>IF($C576="","",$A576&amp;"|"&amp;RIGHT("000000"&amp;$C576,6))</f>
        <v/>
      </c>
      <c r="F576">
        <f>IF(Sync!$AJ576="","",Sync!$AJ576)</f>
        <v/>
      </c>
      <c r="G576">
        <f>IF($F576="","",IF(Sync!$AG576="","",IF(ISNUMBER(Sync!$AG576),IF(AND(Sync!$AG576&gt;=10000101,Sync!$AG576&lt;=99991231),INT(Sync!$AG576/10000),""),IFERROR(VALUE(TRIM(LEFT(Sync!$AG576,FIND("/",Sync!$AG576)-1))),""))))</f>
        <v/>
      </c>
      <c r="H576">
        <f>IF(OR($F576="",$G576=""),"",IF(ISNUMBER(Sync!$AG576),INT(MOD(Sync!$AG576,10000)/100),IFERROR(VALUE(TRIM(LEFT(MID(Sync!$AG576,FIND("/",Sync!$AG576)+1,20),FIND("/",MID(Sync!$AG576,FIND("/",Sync!$AG576)+1,20))-1))),"")))</f>
        <v/>
      </c>
      <c r="I576">
        <f>IF(OR($F576="",$G576=""),"",IF(ISNUMBER(Sync!$AG576),MOD(Sync!$AG576,100),IFERROR(VALUE(TRIM(MID(MID(Sync!$AG576,FIND("/",Sync!$AG576)+1,20),FIND("/",MID(Sync!$AG576,FIND("/",Sync!$AG576)+1,20))+1,20))),"")))</f>
        <v/>
      </c>
      <c r="J576">
        <f>IF($F576="","",IF(OR($G576="",$H576="",$I576="",$G576&lt;1300,$G576&gt;1500,$H576&lt;1,$H576&gt;12,$I576&lt;1,$I576&gt;31),"نامعتبر",RIGHT("0000"&amp;$G576,4)&amp;"/"&amp;RIGHT("00"&amp;$H576,2)&amp;"/"&amp;RIGHT("00"&amp;$I576,2)))</f>
        <v/>
      </c>
      <c r="K576">
        <f>IF(OR($F576="",$J576="",$J576="نامعتبر"),"",LEFT($J576,4)&amp;MID($J576,6,2)&amp;RIGHT($J576,2)&amp;$N576&amp;"|"&amp;"2"&amp;RIGHT("00000"&amp;571,5))</f>
        <v/>
      </c>
      <c r="L576">
        <f>IF($K576="","",COUNTIFS(LdgPartyA,$F576,LdgKeyA,"&lt;"&amp;$K576)+COUNTIFS(LdgPartyB,$F576,LdgKeyB,"&lt;"&amp;$K576)+1)</f>
        <v/>
      </c>
      <c r="M576">
        <f>IF($L576="","",$F576&amp;"|"&amp;RIGHT("000000"&amp;$L576,6))</f>
        <v/>
      </c>
      <c r="N576">
        <f>IF($F576="","",IF(Sync!$AH576="","0000",IF(AND(ISNUMBER(Sync!$AH576),Sync!$AH576&gt;=0,Sync!$AH576&lt;1),RIGHT("00"&amp;HOUR(Sync!$AH576),2)&amp;RIGHT("00"&amp;MINUTE(Sync!$AH576),2),IFERROR(RIGHT("00"&amp;VALUE(LEFT(Sync!$AH576,FIND(":",Sync!$AH576)-1)),2)&amp;RIGHT("00"&amp;VALUE(MID(Sync!$AH576,FIND(":",Sync!$AH576)+1,2)),2),"0000"))))</f>
        <v/>
      </c>
    </row>
    <row r="577">
      <c r="A577">
        <f>IF(OR(Calc!$E580="",Calc!$E580="نامعتبر",Calc!$G580="",Calc!$I580&lt;&gt;"خرید"),"",Calc!$G580)</f>
        <v/>
      </c>
      <c r="B577">
        <f>IF($A577="","",LEFT(Calc!$E580,4)&amp;MID(Calc!$E580,6,2)&amp;RIGHT(Calc!$E580,2)&amp;Calc!$R580&amp;"|"&amp;"1"&amp;RIGHT("00000"&amp;572,5))</f>
        <v/>
      </c>
      <c r="C577">
        <f>IF($B577="","",COUNTIFS(LdgPartyA,$A577,LdgKeyA,"&lt;"&amp;$B577)+COUNTIFS(LdgPartyB,$A577,LdgKeyB,"&lt;"&amp;$B577)+1)</f>
        <v/>
      </c>
      <c r="D577">
        <f>IF($C577="","",$A577&amp;"|"&amp;RIGHT("000000"&amp;$C577,6))</f>
        <v/>
      </c>
      <c r="F577">
        <f>IF(Sync!$AJ577="","",Sync!$AJ577)</f>
        <v/>
      </c>
      <c r="G577">
        <f>IF($F577="","",IF(Sync!$AG577="","",IF(ISNUMBER(Sync!$AG577),IF(AND(Sync!$AG577&gt;=10000101,Sync!$AG577&lt;=99991231),INT(Sync!$AG577/10000),""),IFERROR(VALUE(TRIM(LEFT(Sync!$AG577,FIND("/",Sync!$AG577)-1))),""))))</f>
        <v/>
      </c>
      <c r="H577">
        <f>IF(OR($F577="",$G577=""),"",IF(ISNUMBER(Sync!$AG577),INT(MOD(Sync!$AG577,10000)/100),IFERROR(VALUE(TRIM(LEFT(MID(Sync!$AG577,FIND("/",Sync!$AG577)+1,20),FIND("/",MID(Sync!$AG577,FIND("/",Sync!$AG577)+1,20))-1))),"")))</f>
        <v/>
      </c>
      <c r="I577">
        <f>IF(OR($F577="",$G577=""),"",IF(ISNUMBER(Sync!$AG577),MOD(Sync!$AG577,100),IFERROR(VALUE(TRIM(MID(MID(Sync!$AG577,FIND("/",Sync!$AG577)+1,20),FIND("/",MID(Sync!$AG577,FIND("/",Sync!$AG577)+1,20))+1,20))),"")))</f>
        <v/>
      </c>
      <c r="J577">
        <f>IF($F577="","",IF(OR($G577="",$H577="",$I577="",$G577&lt;1300,$G577&gt;1500,$H577&lt;1,$H577&gt;12,$I577&lt;1,$I577&gt;31),"نامعتبر",RIGHT("0000"&amp;$G577,4)&amp;"/"&amp;RIGHT("00"&amp;$H577,2)&amp;"/"&amp;RIGHT("00"&amp;$I577,2)))</f>
        <v/>
      </c>
      <c r="K577">
        <f>IF(OR($F577="",$J577="",$J577="نامعتبر"),"",LEFT($J577,4)&amp;MID($J577,6,2)&amp;RIGHT($J577,2)&amp;$N577&amp;"|"&amp;"2"&amp;RIGHT("00000"&amp;572,5))</f>
        <v/>
      </c>
      <c r="L577">
        <f>IF($K577="","",COUNTIFS(LdgPartyA,$F577,LdgKeyA,"&lt;"&amp;$K577)+COUNTIFS(LdgPartyB,$F577,LdgKeyB,"&lt;"&amp;$K577)+1)</f>
        <v/>
      </c>
      <c r="M577">
        <f>IF($L577="","",$F577&amp;"|"&amp;RIGHT("000000"&amp;$L577,6))</f>
        <v/>
      </c>
      <c r="N577">
        <f>IF($F577="","",IF(Sync!$AH577="","0000",IF(AND(ISNUMBER(Sync!$AH577),Sync!$AH577&gt;=0,Sync!$AH577&lt;1),RIGHT("00"&amp;HOUR(Sync!$AH577),2)&amp;RIGHT("00"&amp;MINUTE(Sync!$AH577),2),IFERROR(RIGHT("00"&amp;VALUE(LEFT(Sync!$AH577,FIND(":",Sync!$AH577)-1)),2)&amp;RIGHT("00"&amp;VALUE(MID(Sync!$AH577,FIND(":",Sync!$AH577)+1,2)),2),"0000"))))</f>
        <v/>
      </c>
    </row>
    <row r="578">
      <c r="A578">
        <f>IF(OR(Calc!$E581="",Calc!$E581="نامعتبر",Calc!$G581="",Calc!$I581&lt;&gt;"خرید"),"",Calc!$G581)</f>
        <v/>
      </c>
      <c r="B578">
        <f>IF($A578="","",LEFT(Calc!$E581,4)&amp;MID(Calc!$E581,6,2)&amp;RIGHT(Calc!$E581,2)&amp;Calc!$R581&amp;"|"&amp;"1"&amp;RIGHT("00000"&amp;573,5))</f>
        <v/>
      </c>
      <c r="C578">
        <f>IF($B578="","",COUNTIFS(LdgPartyA,$A578,LdgKeyA,"&lt;"&amp;$B578)+COUNTIFS(LdgPartyB,$A578,LdgKeyB,"&lt;"&amp;$B578)+1)</f>
        <v/>
      </c>
      <c r="D578">
        <f>IF($C578="","",$A578&amp;"|"&amp;RIGHT("000000"&amp;$C578,6))</f>
        <v/>
      </c>
      <c r="F578">
        <f>IF(Sync!$AJ578="","",Sync!$AJ578)</f>
        <v/>
      </c>
      <c r="G578">
        <f>IF($F578="","",IF(Sync!$AG578="","",IF(ISNUMBER(Sync!$AG578),IF(AND(Sync!$AG578&gt;=10000101,Sync!$AG578&lt;=99991231),INT(Sync!$AG578/10000),""),IFERROR(VALUE(TRIM(LEFT(Sync!$AG578,FIND("/",Sync!$AG578)-1))),""))))</f>
        <v/>
      </c>
      <c r="H578">
        <f>IF(OR($F578="",$G578=""),"",IF(ISNUMBER(Sync!$AG578),INT(MOD(Sync!$AG578,10000)/100),IFERROR(VALUE(TRIM(LEFT(MID(Sync!$AG578,FIND("/",Sync!$AG578)+1,20),FIND("/",MID(Sync!$AG578,FIND("/",Sync!$AG578)+1,20))-1))),"")))</f>
        <v/>
      </c>
      <c r="I578">
        <f>IF(OR($F578="",$G578=""),"",IF(ISNUMBER(Sync!$AG578),MOD(Sync!$AG578,100),IFERROR(VALUE(TRIM(MID(MID(Sync!$AG578,FIND("/",Sync!$AG578)+1,20),FIND("/",MID(Sync!$AG578,FIND("/",Sync!$AG578)+1,20))+1,20))),"")))</f>
        <v/>
      </c>
      <c r="J578">
        <f>IF($F578="","",IF(OR($G578="",$H578="",$I578="",$G578&lt;1300,$G578&gt;1500,$H578&lt;1,$H578&gt;12,$I578&lt;1,$I578&gt;31),"نامعتبر",RIGHT("0000"&amp;$G578,4)&amp;"/"&amp;RIGHT("00"&amp;$H578,2)&amp;"/"&amp;RIGHT("00"&amp;$I578,2)))</f>
        <v/>
      </c>
      <c r="K578">
        <f>IF(OR($F578="",$J578="",$J578="نامعتبر"),"",LEFT($J578,4)&amp;MID($J578,6,2)&amp;RIGHT($J578,2)&amp;$N578&amp;"|"&amp;"2"&amp;RIGHT("00000"&amp;573,5))</f>
        <v/>
      </c>
      <c r="L578">
        <f>IF($K578="","",COUNTIFS(LdgPartyA,$F578,LdgKeyA,"&lt;"&amp;$K578)+COUNTIFS(LdgPartyB,$F578,LdgKeyB,"&lt;"&amp;$K578)+1)</f>
        <v/>
      </c>
      <c r="M578">
        <f>IF($L578="","",$F578&amp;"|"&amp;RIGHT("000000"&amp;$L578,6))</f>
        <v/>
      </c>
      <c r="N578">
        <f>IF($F578="","",IF(Sync!$AH578="","0000",IF(AND(ISNUMBER(Sync!$AH578),Sync!$AH578&gt;=0,Sync!$AH578&lt;1),RIGHT("00"&amp;HOUR(Sync!$AH578),2)&amp;RIGHT("00"&amp;MINUTE(Sync!$AH578),2),IFERROR(RIGHT("00"&amp;VALUE(LEFT(Sync!$AH578,FIND(":",Sync!$AH578)-1)),2)&amp;RIGHT("00"&amp;VALUE(MID(Sync!$AH578,FIND(":",Sync!$AH578)+1,2)),2),"0000"))))</f>
        <v/>
      </c>
    </row>
    <row r="579">
      <c r="A579">
        <f>IF(OR(Calc!$E582="",Calc!$E582="نامعتبر",Calc!$G582="",Calc!$I582&lt;&gt;"خرید"),"",Calc!$G582)</f>
        <v/>
      </c>
      <c r="B579">
        <f>IF($A579="","",LEFT(Calc!$E582,4)&amp;MID(Calc!$E582,6,2)&amp;RIGHT(Calc!$E582,2)&amp;Calc!$R582&amp;"|"&amp;"1"&amp;RIGHT("00000"&amp;574,5))</f>
        <v/>
      </c>
      <c r="C579">
        <f>IF($B579="","",COUNTIFS(LdgPartyA,$A579,LdgKeyA,"&lt;"&amp;$B579)+COUNTIFS(LdgPartyB,$A579,LdgKeyB,"&lt;"&amp;$B579)+1)</f>
        <v/>
      </c>
      <c r="D579">
        <f>IF($C579="","",$A579&amp;"|"&amp;RIGHT("000000"&amp;$C579,6))</f>
        <v/>
      </c>
      <c r="F579">
        <f>IF(Sync!$AJ579="","",Sync!$AJ579)</f>
        <v/>
      </c>
      <c r="G579">
        <f>IF($F579="","",IF(Sync!$AG579="","",IF(ISNUMBER(Sync!$AG579),IF(AND(Sync!$AG579&gt;=10000101,Sync!$AG579&lt;=99991231),INT(Sync!$AG579/10000),""),IFERROR(VALUE(TRIM(LEFT(Sync!$AG579,FIND("/",Sync!$AG579)-1))),""))))</f>
        <v/>
      </c>
      <c r="H579">
        <f>IF(OR($F579="",$G579=""),"",IF(ISNUMBER(Sync!$AG579),INT(MOD(Sync!$AG579,10000)/100),IFERROR(VALUE(TRIM(LEFT(MID(Sync!$AG579,FIND("/",Sync!$AG579)+1,20),FIND("/",MID(Sync!$AG579,FIND("/",Sync!$AG579)+1,20))-1))),"")))</f>
        <v/>
      </c>
      <c r="I579">
        <f>IF(OR($F579="",$G579=""),"",IF(ISNUMBER(Sync!$AG579),MOD(Sync!$AG579,100),IFERROR(VALUE(TRIM(MID(MID(Sync!$AG579,FIND("/",Sync!$AG579)+1,20),FIND("/",MID(Sync!$AG579,FIND("/",Sync!$AG579)+1,20))+1,20))),"")))</f>
        <v/>
      </c>
      <c r="J579">
        <f>IF($F579="","",IF(OR($G579="",$H579="",$I579="",$G579&lt;1300,$G579&gt;1500,$H579&lt;1,$H579&gt;12,$I579&lt;1,$I579&gt;31),"نامعتبر",RIGHT("0000"&amp;$G579,4)&amp;"/"&amp;RIGHT("00"&amp;$H579,2)&amp;"/"&amp;RIGHT("00"&amp;$I579,2)))</f>
        <v/>
      </c>
      <c r="K579">
        <f>IF(OR($F579="",$J579="",$J579="نامعتبر"),"",LEFT($J579,4)&amp;MID($J579,6,2)&amp;RIGHT($J579,2)&amp;$N579&amp;"|"&amp;"2"&amp;RIGHT("00000"&amp;574,5))</f>
        <v/>
      </c>
      <c r="L579">
        <f>IF($K579="","",COUNTIFS(LdgPartyA,$F579,LdgKeyA,"&lt;"&amp;$K579)+COUNTIFS(LdgPartyB,$F579,LdgKeyB,"&lt;"&amp;$K579)+1)</f>
        <v/>
      </c>
      <c r="M579">
        <f>IF($L579="","",$F579&amp;"|"&amp;RIGHT("000000"&amp;$L579,6))</f>
        <v/>
      </c>
      <c r="N579">
        <f>IF($F579="","",IF(Sync!$AH579="","0000",IF(AND(ISNUMBER(Sync!$AH579),Sync!$AH579&gt;=0,Sync!$AH579&lt;1),RIGHT("00"&amp;HOUR(Sync!$AH579),2)&amp;RIGHT("00"&amp;MINUTE(Sync!$AH579),2),IFERROR(RIGHT("00"&amp;VALUE(LEFT(Sync!$AH579,FIND(":",Sync!$AH579)-1)),2)&amp;RIGHT("00"&amp;VALUE(MID(Sync!$AH579,FIND(":",Sync!$AH579)+1,2)),2),"0000"))))</f>
        <v/>
      </c>
    </row>
    <row r="580">
      <c r="A580">
        <f>IF(OR(Calc!$E583="",Calc!$E583="نامعتبر",Calc!$G583="",Calc!$I583&lt;&gt;"خرید"),"",Calc!$G583)</f>
        <v/>
      </c>
      <c r="B580">
        <f>IF($A580="","",LEFT(Calc!$E583,4)&amp;MID(Calc!$E583,6,2)&amp;RIGHT(Calc!$E583,2)&amp;Calc!$R583&amp;"|"&amp;"1"&amp;RIGHT("00000"&amp;575,5))</f>
        <v/>
      </c>
      <c r="C580">
        <f>IF($B580="","",COUNTIFS(LdgPartyA,$A580,LdgKeyA,"&lt;"&amp;$B580)+COUNTIFS(LdgPartyB,$A580,LdgKeyB,"&lt;"&amp;$B580)+1)</f>
        <v/>
      </c>
      <c r="D580">
        <f>IF($C580="","",$A580&amp;"|"&amp;RIGHT("000000"&amp;$C580,6))</f>
        <v/>
      </c>
      <c r="F580">
        <f>IF(Sync!$AJ580="","",Sync!$AJ580)</f>
        <v/>
      </c>
      <c r="G580">
        <f>IF($F580="","",IF(Sync!$AG580="","",IF(ISNUMBER(Sync!$AG580),IF(AND(Sync!$AG580&gt;=10000101,Sync!$AG580&lt;=99991231),INT(Sync!$AG580/10000),""),IFERROR(VALUE(TRIM(LEFT(Sync!$AG580,FIND("/",Sync!$AG580)-1))),""))))</f>
        <v/>
      </c>
      <c r="H580">
        <f>IF(OR($F580="",$G580=""),"",IF(ISNUMBER(Sync!$AG580),INT(MOD(Sync!$AG580,10000)/100),IFERROR(VALUE(TRIM(LEFT(MID(Sync!$AG580,FIND("/",Sync!$AG580)+1,20),FIND("/",MID(Sync!$AG580,FIND("/",Sync!$AG580)+1,20))-1))),"")))</f>
        <v/>
      </c>
      <c r="I580">
        <f>IF(OR($F580="",$G580=""),"",IF(ISNUMBER(Sync!$AG580),MOD(Sync!$AG580,100),IFERROR(VALUE(TRIM(MID(MID(Sync!$AG580,FIND("/",Sync!$AG580)+1,20),FIND("/",MID(Sync!$AG580,FIND("/",Sync!$AG580)+1,20))+1,20))),"")))</f>
        <v/>
      </c>
      <c r="J580">
        <f>IF($F580="","",IF(OR($G580="",$H580="",$I580="",$G580&lt;1300,$G580&gt;1500,$H580&lt;1,$H580&gt;12,$I580&lt;1,$I580&gt;31),"نامعتبر",RIGHT("0000"&amp;$G580,4)&amp;"/"&amp;RIGHT("00"&amp;$H580,2)&amp;"/"&amp;RIGHT("00"&amp;$I580,2)))</f>
        <v/>
      </c>
      <c r="K580">
        <f>IF(OR($F580="",$J580="",$J580="نامعتبر"),"",LEFT($J580,4)&amp;MID($J580,6,2)&amp;RIGHT($J580,2)&amp;$N580&amp;"|"&amp;"2"&amp;RIGHT("00000"&amp;575,5))</f>
        <v/>
      </c>
      <c r="L580">
        <f>IF($K580="","",COUNTIFS(LdgPartyA,$F580,LdgKeyA,"&lt;"&amp;$K580)+COUNTIFS(LdgPartyB,$F580,LdgKeyB,"&lt;"&amp;$K580)+1)</f>
        <v/>
      </c>
      <c r="M580">
        <f>IF($L580="","",$F580&amp;"|"&amp;RIGHT("000000"&amp;$L580,6))</f>
        <v/>
      </c>
      <c r="N580">
        <f>IF($F580="","",IF(Sync!$AH580="","0000",IF(AND(ISNUMBER(Sync!$AH580),Sync!$AH580&gt;=0,Sync!$AH580&lt;1),RIGHT("00"&amp;HOUR(Sync!$AH580),2)&amp;RIGHT("00"&amp;MINUTE(Sync!$AH580),2),IFERROR(RIGHT("00"&amp;VALUE(LEFT(Sync!$AH580,FIND(":",Sync!$AH580)-1)),2)&amp;RIGHT("00"&amp;VALUE(MID(Sync!$AH580,FIND(":",Sync!$AH580)+1,2)),2),"0000"))))</f>
        <v/>
      </c>
    </row>
    <row r="581">
      <c r="A581">
        <f>IF(OR(Calc!$E584="",Calc!$E584="نامعتبر",Calc!$G584="",Calc!$I584&lt;&gt;"خرید"),"",Calc!$G584)</f>
        <v/>
      </c>
      <c r="B581">
        <f>IF($A581="","",LEFT(Calc!$E584,4)&amp;MID(Calc!$E584,6,2)&amp;RIGHT(Calc!$E584,2)&amp;Calc!$R584&amp;"|"&amp;"1"&amp;RIGHT("00000"&amp;576,5))</f>
        <v/>
      </c>
      <c r="C581">
        <f>IF($B581="","",COUNTIFS(LdgPartyA,$A581,LdgKeyA,"&lt;"&amp;$B581)+COUNTIFS(LdgPartyB,$A581,LdgKeyB,"&lt;"&amp;$B581)+1)</f>
        <v/>
      </c>
      <c r="D581">
        <f>IF($C581="","",$A581&amp;"|"&amp;RIGHT("000000"&amp;$C581,6))</f>
        <v/>
      </c>
      <c r="F581">
        <f>IF(Sync!$AJ581="","",Sync!$AJ581)</f>
        <v/>
      </c>
      <c r="G581">
        <f>IF($F581="","",IF(Sync!$AG581="","",IF(ISNUMBER(Sync!$AG581),IF(AND(Sync!$AG581&gt;=10000101,Sync!$AG581&lt;=99991231),INT(Sync!$AG581/10000),""),IFERROR(VALUE(TRIM(LEFT(Sync!$AG581,FIND("/",Sync!$AG581)-1))),""))))</f>
        <v/>
      </c>
      <c r="H581">
        <f>IF(OR($F581="",$G581=""),"",IF(ISNUMBER(Sync!$AG581),INT(MOD(Sync!$AG581,10000)/100),IFERROR(VALUE(TRIM(LEFT(MID(Sync!$AG581,FIND("/",Sync!$AG581)+1,20),FIND("/",MID(Sync!$AG581,FIND("/",Sync!$AG581)+1,20))-1))),"")))</f>
        <v/>
      </c>
      <c r="I581">
        <f>IF(OR($F581="",$G581=""),"",IF(ISNUMBER(Sync!$AG581),MOD(Sync!$AG581,100),IFERROR(VALUE(TRIM(MID(MID(Sync!$AG581,FIND("/",Sync!$AG581)+1,20),FIND("/",MID(Sync!$AG581,FIND("/",Sync!$AG581)+1,20))+1,20))),"")))</f>
        <v/>
      </c>
      <c r="J581">
        <f>IF($F581="","",IF(OR($G581="",$H581="",$I581="",$G581&lt;1300,$G581&gt;1500,$H581&lt;1,$H581&gt;12,$I581&lt;1,$I581&gt;31),"نامعتبر",RIGHT("0000"&amp;$G581,4)&amp;"/"&amp;RIGHT("00"&amp;$H581,2)&amp;"/"&amp;RIGHT("00"&amp;$I581,2)))</f>
        <v/>
      </c>
      <c r="K581">
        <f>IF(OR($F581="",$J581="",$J581="نامعتبر"),"",LEFT($J581,4)&amp;MID($J581,6,2)&amp;RIGHT($J581,2)&amp;$N581&amp;"|"&amp;"2"&amp;RIGHT("00000"&amp;576,5))</f>
        <v/>
      </c>
      <c r="L581">
        <f>IF($K581="","",COUNTIFS(LdgPartyA,$F581,LdgKeyA,"&lt;"&amp;$K581)+COUNTIFS(LdgPartyB,$F581,LdgKeyB,"&lt;"&amp;$K581)+1)</f>
        <v/>
      </c>
      <c r="M581">
        <f>IF($L581="","",$F581&amp;"|"&amp;RIGHT("000000"&amp;$L581,6))</f>
        <v/>
      </c>
      <c r="N581">
        <f>IF($F581="","",IF(Sync!$AH581="","0000",IF(AND(ISNUMBER(Sync!$AH581),Sync!$AH581&gt;=0,Sync!$AH581&lt;1),RIGHT("00"&amp;HOUR(Sync!$AH581),2)&amp;RIGHT("00"&amp;MINUTE(Sync!$AH581),2),IFERROR(RIGHT("00"&amp;VALUE(LEFT(Sync!$AH581,FIND(":",Sync!$AH581)-1)),2)&amp;RIGHT("00"&amp;VALUE(MID(Sync!$AH581,FIND(":",Sync!$AH581)+1,2)),2),"0000"))))</f>
        <v/>
      </c>
    </row>
    <row r="582">
      <c r="A582">
        <f>IF(OR(Calc!$E585="",Calc!$E585="نامعتبر",Calc!$G585="",Calc!$I585&lt;&gt;"خرید"),"",Calc!$G585)</f>
        <v/>
      </c>
      <c r="B582">
        <f>IF($A582="","",LEFT(Calc!$E585,4)&amp;MID(Calc!$E585,6,2)&amp;RIGHT(Calc!$E585,2)&amp;Calc!$R585&amp;"|"&amp;"1"&amp;RIGHT("00000"&amp;577,5))</f>
        <v/>
      </c>
      <c r="C582">
        <f>IF($B582="","",COUNTIFS(LdgPartyA,$A582,LdgKeyA,"&lt;"&amp;$B582)+COUNTIFS(LdgPartyB,$A582,LdgKeyB,"&lt;"&amp;$B582)+1)</f>
        <v/>
      </c>
      <c r="D582">
        <f>IF($C582="","",$A582&amp;"|"&amp;RIGHT("000000"&amp;$C582,6))</f>
        <v/>
      </c>
      <c r="F582">
        <f>IF(Sync!$AJ582="","",Sync!$AJ582)</f>
        <v/>
      </c>
      <c r="G582">
        <f>IF($F582="","",IF(Sync!$AG582="","",IF(ISNUMBER(Sync!$AG582),IF(AND(Sync!$AG582&gt;=10000101,Sync!$AG582&lt;=99991231),INT(Sync!$AG582/10000),""),IFERROR(VALUE(TRIM(LEFT(Sync!$AG582,FIND("/",Sync!$AG582)-1))),""))))</f>
        <v/>
      </c>
      <c r="H582">
        <f>IF(OR($F582="",$G582=""),"",IF(ISNUMBER(Sync!$AG582),INT(MOD(Sync!$AG582,10000)/100),IFERROR(VALUE(TRIM(LEFT(MID(Sync!$AG582,FIND("/",Sync!$AG582)+1,20),FIND("/",MID(Sync!$AG582,FIND("/",Sync!$AG582)+1,20))-1))),"")))</f>
        <v/>
      </c>
      <c r="I582">
        <f>IF(OR($F582="",$G582=""),"",IF(ISNUMBER(Sync!$AG582),MOD(Sync!$AG582,100),IFERROR(VALUE(TRIM(MID(MID(Sync!$AG582,FIND("/",Sync!$AG582)+1,20),FIND("/",MID(Sync!$AG582,FIND("/",Sync!$AG582)+1,20))+1,20))),"")))</f>
        <v/>
      </c>
      <c r="J582">
        <f>IF($F582="","",IF(OR($G582="",$H582="",$I582="",$G582&lt;1300,$G582&gt;1500,$H582&lt;1,$H582&gt;12,$I582&lt;1,$I582&gt;31),"نامعتبر",RIGHT("0000"&amp;$G582,4)&amp;"/"&amp;RIGHT("00"&amp;$H582,2)&amp;"/"&amp;RIGHT("00"&amp;$I582,2)))</f>
        <v/>
      </c>
      <c r="K582">
        <f>IF(OR($F582="",$J582="",$J582="نامعتبر"),"",LEFT($J582,4)&amp;MID($J582,6,2)&amp;RIGHT($J582,2)&amp;$N582&amp;"|"&amp;"2"&amp;RIGHT("00000"&amp;577,5))</f>
        <v/>
      </c>
      <c r="L582">
        <f>IF($K582="","",COUNTIFS(LdgPartyA,$F582,LdgKeyA,"&lt;"&amp;$K582)+COUNTIFS(LdgPartyB,$F582,LdgKeyB,"&lt;"&amp;$K582)+1)</f>
        <v/>
      </c>
      <c r="M582">
        <f>IF($L582="","",$F582&amp;"|"&amp;RIGHT("000000"&amp;$L582,6))</f>
        <v/>
      </c>
      <c r="N582">
        <f>IF($F582="","",IF(Sync!$AH582="","0000",IF(AND(ISNUMBER(Sync!$AH582),Sync!$AH582&gt;=0,Sync!$AH582&lt;1),RIGHT("00"&amp;HOUR(Sync!$AH582),2)&amp;RIGHT("00"&amp;MINUTE(Sync!$AH582),2),IFERROR(RIGHT("00"&amp;VALUE(LEFT(Sync!$AH582,FIND(":",Sync!$AH582)-1)),2)&amp;RIGHT("00"&amp;VALUE(MID(Sync!$AH582,FIND(":",Sync!$AH582)+1,2)),2),"0000"))))</f>
        <v/>
      </c>
    </row>
    <row r="583">
      <c r="A583">
        <f>IF(OR(Calc!$E586="",Calc!$E586="نامعتبر",Calc!$G586="",Calc!$I586&lt;&gt;"خرید"),"",Calc!$G586)</f>
        <v/>
      </c>
      <c r="B583">
        <f>IF($A583="","",LEFT(Calc!$E586,4)&amp;MID(Calc!$E586,6,2)&amp;RIGHT(Calc!$E586,2)&amp;Calc!$R586&amp;"|"&amp;"1"&amp;RIGHT("00000"&amp;578,5))</f>
        <v/>
      </c>
      <c r="C583">
        <f>IF($B583="","",COUNTIFS(LdgPartyA,$A583,LdgKeyA,"&lt;"&amp;$B583)+COUNTIFS(LdgPartyB,$A583,LdgKeyB,"&lt;"&amp;$B583)+1)</f>
        <v/>
      </c>
      <c r="D583">
        <f>IF($C583="","",$A583&amp;"|"&amp;RIGHT("000000"&amp;$C583,6))</f>
        <v/>
      </c>
      <c r="F583">
        <f>IF(Sync!$AJ583="","",Sync!$AJ583)</f>
        <v/>
      </c>
      <c r="G583">
        <f>IF($F583="","",IF(Sync!$AG583="","",IF(ISNUMBER(Sync!$AG583),IF(AND(Sync!$AG583&gt;=10000101,Sync!$AG583&lt;=99991231),INT(Sync!$AG583/10000),""),IFERROR(VALUE(TRIM(LEFT(Sync!$AG583,FIND("/",Sync!$AG583)-1))),""))))</f>
        <v/>
      </c>
      <c r="H583">
        <f>IF(OR($F583="",$G583=""),"",IF(ISNUMBER(Sync!$AG583),INT(MOD(Sync!$AG583,10000)/100),IFERROR(VALUE(TRIM(LEFT(MID(Sync!$AG583,FIND("/",Sync!$AG583)+1,20),FIND("/",MID(Sync!$AG583,FIND("/",Sync!$AG583)+1,20))-1))),"")))</f>
        <v/>
      </c>
      <c r="I583">
        <f>IF(OR($F583="",$G583=""),"",IF(ISNUMBER(Sync!$AG583),MOD(Sync!$AG583,100),IFERROR(VALUE(TRIM(MID(MID(Sync!$AG583,FIND("/",Sync!$AG583)+1,20),FIND("/",MID(Sync!$AG583,FIND("/",Sync!$AG583)+1,20))+1,20))),"")))</f>
        <v/>
      </c>
      <c r="J583">
        <f>IF($F583="","",IF(OR($G583="",$H583="",$I583="",$G583&lt;1300,$G583&gt;1500,$H583&lt;1,$H583&gt;12,$I583&lt;1,$I583&gt;31),"نامعتبر",RIGHT("0000"&amp;$G583,4)&amp;"/"&amp;RIGHT("00"&amp;$H583,2)&amp;"/"&amp;RIGHT("00"&amp;$I583,2)))</f>
        <v/>
      </c>
      <c r="K583">
        <f>IF(OR($F583="",$J583="",$J583="نامعتبر"),"",LEFT($J583,4)&amp;MID($J583,6,2)&amp;RIGHT($J583,2)&amp;$N583&amp;"|"&amp;"2"&amp;RIGHT("00000"&amp;578,5))</f>
        <v/>
      </c>
      <c r="L583">
        <f>IF($K583="","",COUNTIFS(LdgPartyA,$F583,LdgKeyA,"&lt;"&amp;$K583)+COUNTIFS(LdgPartyB,$F583,LdgKeyB,"&lt;"&amp;$K583)+1)</f>
        <v/>
      </c>
      <c r="M583">
        <f>IF($L583="","",$F583&amp;"|"&amp;RIGHT("000000"&amp;$L583,6))</f>
        <v/>
      </c>
      <c r="N583">
        <f>IF($F583="","",IF(Sync!$AH583="","0000",IF(AND(ISNUMBER(Sync!$AH583),Sync!$AH583&gt;=0,Sync!$AH583&lt;1),RIGHT("00"&amp;HOUR(Sync!$AH583),2)&amp;RIGHT("00"&amp;MINUTE(Sync!$AH583),2),IFERROR(RIGHT("00"&amp;VALUE(LEFT(Sync!$AH583,FIND(":",Sync!$AH583)-1)),2)&amp;RIGHT("00"&amp;VALUE(MID(Sync!$AH583,FIND(":",Sync!$AH583)+1,2)),2),"0000"))))</f>
        <v/>
      </c>
    </row>
    <row r="584">
      <c r="A584">
        <f>IF(OR(Calc!$E587="",Calc!$E587="نامعتبر",Calc!$G587="",Calc!$I587&lt;&gt;"خرید"),"",Calc!$G587)</f>
        <v/>
      </c>
      <c r="B584">
        <f>IF($A584="","",LEFT(Calc!$E587,4)&amp;MID(Calc!$E587,6,2)&amp;RIGHT(Calc!$E587,2)&amp;Calc!$R587&amp;"|"&amp;"1"&amp;RIGHT("00000"&amp;579,5))</f>
        <v/>
      </c>
      <c r="C584">
        <f>IF($B584="","",COUNTIFS(LdgPartyA,$A584,LdgKeyA,"&lt;"&amp;$B584)+COUNTIFS(LdgPartyB,$A584,LdgKeyB,"&lt;"&amp;$B584)+1)</f>
        <v/>
      </c>
      <c r="D584">
        <f>IF($C584="","",$A584&amp;"|"&amp;RIGHT("000000"&amp;$C584,6))</f>
        <v/>
      </c>
      <c r="F584">
        <f>IF(Sync!$AJ584="","",Sync!$AJ584)</f>
        <v/>
      </c>
      <c r="G584">
        <f>IF($F584="","",IF(Sync!$AG584="","",IF(ISNUMBER(Sync!$AG584),IF(AND(Sync!$AG584&gt;=10000101,Sync!$AG584&lt;=99991231),INT(Sync!$AG584/10000),""),IFERROR(VALUE(TRIM(LEFT(Sync!$AG584,FIND("/",Sync!$AG584)-1))),""))))</f>
        <v/>
      </c>
      <c r="H584">
        <f>IF(OR($F584="",$G584=""),"",IF(ISNUMBER(Sync!$AG584),INT(MOD(Sync!$AG584,10000)/100),IFERROR(VALUE(TRIM(LEFT(MID(Sync!$AG584,FIND("/",Sync!$AG584)+1,20),FIND("/",MID(Sync!$AG584,FIND("/",Sync!$AG584)+1,20))-1))),"")))</f>
        <v/>
      </c>
      <c r="I584">
        <f>IF(OR($F584="",$G584=""),"",IF(ISNUMBER(Sync!$AG584),MOD(Sync!$AG584,100),IFERROR(VALUE(TRIM(MID(MID(Sync!$AG584,FIND("/",Sync!$AG584)+1,20),FIND("/",MID(Sync!$AG584,FIND("/",Sync!$AG584)+1,20))+1,20))),"")))</f>
        <v/>
      </c>
      <c r="J584">
        <f>IF($F584="","",IF(OR($G584="",$H584="",$I584="",$G584&lt;1300,$G584&gt;1500,$H584&lt;1,$H584&gt;12,$I584&lt;1,$I584&gt;31),"نامعتبر",RIGHT("0000"&amp;$G584,4)&amp;"/"&amp;RIGHT("00"&amp;$H584,2)&amp;"/"&amp;RIGHT("00"&amp;$I584,2)))</f>
        <v/>
      </c>
      <c r="K584">
        <f>IF(OR($F584="",$J584="",$J584="نامعتبر"),"",LEFT($J584,4)&amp;MID($J584,6,2)&amp;RIGHT($J584,2)&amp;$N584&amp;"|"&amp;"2"&amp;RIGHT("00000"&amp;579,5))</f>
        <v/>
      </c>
      <c r="L584">
        <f>IF($K584="","",COUNTIFS(LdgPartyA,$F584,LdgKeyA,"&lt;"&amp;$K584)+COUNTIFS(LdgPartyB,$F584,LdgKeyB,"&lt;"&amp;$K584)+1)</f>
        <v/>
      </c>
      <c r="M584">
        <f>IF($L584="","",$F584&amp;"|"&amp;RIGHT("000000"&amp;$L584,6))</f>
        <v/>
      </c>
      <c r="N584">
        <f>IF($F584="","",IF(Sync!$AH584="","0000",IF(AND(ISNUMBER(Sync!$AH584),Sync!$AH584&gt;=0,Sync!$AH584&lt;1),RIGHT("00"&amp;HOUR(Sync!$AH584),2)&amp;RIGHT("00"&amp;MINUTE(Sync!$AH584),2),IFERROR(RIGHT("00"&amp;VALUE(LEFT(Sync!$AH584,FIND(":",Sync!$AH584)-1)),2)&amp;RIGHT("00"&amp;VALUE(MID(Sync!$AH584,FIND(":",Sync!$AH584)+1,2)),2),"0000"))))</f>
        <v/>
      </c>
    </row>
    <row r="585">
      <c r="A585">
        <f>IF(OR(Calc!$E588="",Calc!$E588="نامعتبر",Calc!$G588="",Calc!$I588&lt;&gt;"خرید"),"",Calc!$G588)</f>
        <v/>
      </c>
      <c r="B585">
        <f>IF($A585="","",LEFT(Calc!$E588,4)&amp;MID(Calc!$E588,6,2)&amp;RIGHT(Calc!$E588,2)&amp;Calc!$R588&amp;"|"&amp;"1"&amp;RIGHT("00000"&amp;580,5))</f>
        <v/>
      </c>
      <c r="C585">
        <f>IF($B585="","",COUNTIFS(LdgPartyA,$A585,LdgKeyA,"&lt;"&amp;$B585)+COUNTIFS(LdgPartyB,$A585,LdgKeyB,"&lt;"&amp;$B585)+1)</f>
        <v/>
      </c>
      <c r="D585">
        <f>IF($C585="","",$A585&amp;"|"&amp;RIGHT("000000"&amp;$C585,6))</f>
        <v/>
      </c>
      <c r="F585">
        <f>IF(Sync!$AJ585="","",Sync!$AJ585)</f>
        <v/>
      </c>
      <c r="G585">
        <f>IF($F585="","",IF(Sync!$AG585="","",IF(ISNUMBER(Sync!$AG585),IF(AND(Sync!$AG585&gt;=10000101,Sync!$AG585&lt;=99991231),INT(Sync!$AG585/10000),""),IFERROR(VALUE(TRIM(LEFT(Sync!$AG585,FIND("/",Sync!$AG585)-1))),""))))</f>
        <v/>
      </c>
      <c r="H585">
        <f>IF(OR($F585="",$G585=""),"",IF(ISNUMBER(Sync!$AG585),INT(MOD(Sync!$AG585,10000)/100),IFERROR(VALUE(TRIM(LEFT(MID(Sync!$AG585,FIND("/",Sync!$AG585)+1,20),FIND("/",MID(Sync!$AG585,FIND("/",Sync!$AG585)+1,20))-1))),"")))</f>
        <v/>
      </c>
      <c r="I585">
        <f>IF(OR($F585="",$G585=""),"",IF(ISNUMBER(Sync!$AG585),MOD(Sync!$AG585,100),IFERROR(VALUE(TRIM(MID(MID(Sync!$AG585,FIND("/",Sync!$AG585)+1,20),FIND("/",MID(Sync!$AG585,FIND("/",Sync!$AG585)+1,20))+1,20))),"")))</f>
        <v/>
      </c>
      <c r="J585">
        <f>IF($F585="","",IF(OR($G585="",$H585="",$I585="",$G585&lt;1300,$G585&gt;1500,$H585&lt;1,$H585&gt;12,$I585&lt;1,$I585&gt;31),"نامعتبر",RIGHT("0000"&amp;$G585,4)&amp;"/"&amp;RIGHT("00"&amp;$H585,2)&amp;"/"&amp;RIGHT("00"&amp;$I585,2)))</f>
        <v/>
      </c>
      <c r="K585">
        <f>IF(OR($F585="",$J585="",$J585="نامعتبر"),"",LEFT($J585,4)&amp;MID($J585,6,2)&amp;RIGHT($J585,2)&amp;$N585&amp;"|"&amp;"2"&amp;RIGHT("00000"&amp;580,5))</f>
        <v/>
      </c>
      <c r="L585">
        <f>IF($K585="","",COUNTIFS(LdgPartyA,$F585,LdgKeyA,"&lt;"&amp;$K585)+COUNTIFS(LdgPartyB,$F585,LdgKeyB,"&lt;"&amp;$K585)+1)</f>
        <v/>
      </c>
      <c r="M585">
        <f>IF($L585="","",$F585&amp;"|"&amp;RIGHT("000000"&amp;$L585,6))</f>
        <v/>
      </c>
      <c r="N585">
        <f>IF($F585="","",IF(Sync!$AH585="","0000",IF(AND(ISNUMBER(Sync!$AH585),Sync!$AH585&gt;=0,Sync!$AH585&lt;1),RIGHT("00"&amp;HOUR(Sync!$AH585),2)&amp;RIGHT("00"&amp;MINUTE(Sync!$AH585),2),IFERROR(RIGHT("00"&amp;VALUE(LEFT(Sync!$AH585,FIND(":",Sync!$AH585)-1)),2)&amp;RIGHT("00"&amp;VALUE(MID(Sync!$AH585,FIND(":",Sync!$AH585)+1,2)),2),"0000"))))</f>
        <v/>
      </c>
    </row>
    <row r="586">
      <c r="A586">
        <f>IF(OR(Calc!$E589="",Calc!$E589="نامعتبر",Calc!$G589="",Calc!$I589&lt;&gt;"خرید"),"",Calc!$G589)</f>
        <v/>
      </c>
      <c r="B586">
        <f>IF($A586="","",LEFT(Calc!$E589,4)&amp;MID(Calc!$E589,6,2)&amp;RIGHT(Calc!$E589,2)&amp;Calc!$R589&amp;"|"&amp;"1"&amp;RIGHT("00000"&amp;581,5))</f>
        <v/>
      </c>
      <c r="C586">
        <f>IF($B586="","",COUNTIFS(LdgPartyA,$A586,LdgKeyA,"&lt;"&amp;$B586)+COUNTIFS(LdgPartyB,$A586,LdgKeyB,"&lt;"&amp;$B586)+1)</f>
        <v/>
      </c>
      <c r="D586">
        <f>IF($C586="","",$A586&amp;"|"&amp;RIGHT("000000"&amp;$C586,6))</f>
        <v/>
      </c>
      <c r="F586">
        <f>IF(Sync!$AJ586="","",Sync!$AJ586)</f>
        <v/>
      </c>
      <c r="G586">
        <f>IF($F586="","",IF(Sync!$AG586="","",IF(ISNUMBER(Sync!$AG586),IF(AND(Sync!$AG586&gt;=10000101,Sync!$AG586&lt;=99991231),INT(Sync!$AG586/10000),""),IFERROR(VALUE(TRIM(LEFT(Sync!$AG586,FIND("/",Sync!$AG586)-1))),""))))</f>
        <v/>
      </c>
      <c r="H586">
        <f>IF(OR($F586="",$G586=""),"",IF(ISNUMBER(Sync!$AG586),INT(MOD(Sync!$AG586,10000)/100),IFERROR(VALUE(TRIM(LEFT(MID(Sync!$AG586,FIND("/",Sync!$AG586)+1,20),FIND("/",MID(Sync!$AG586,FIND("/",Sync!$AG586)+1,20))-1))),"")))</f>
        <v/>
      </c>
      <c r="I586">
        <f>IF(OR($F586="",$G586=""),"",IF(ISNUMBER(Sync!$AG586),MOD(Sync!$AG586,100),IFERROR(VALUE(TRIM(MID(MID(Sync!$AG586,FIND("/",Sync!$AG586)+1,20),FIND("/",MID(Sync!$AG586,FIND("/",Sync!$AG586)+1,20))+1,20))),"")))</f>
        <v/>
      </c>
      <c r="J586">
        <f>IF($F586="","",IF(OR($G586="",$H586="",$I586="",$G586&lt;1300,$G586&gt;1500,$H586&lt;1,$H586&gt;12,$I586&lt;1,$I586&gt;31),"نامعتبر",RIGHT("0000"&amp;$G586,4)&amp;"/"&amp;RIGHT("00"&amp;$H586,2)&amp;"/"&amp;RIGHT("00"&amp;$I586,2)))</f>
        <v/>
      </c>
      <c r="K586">
        <f>IF(OR($F586="",$J586="",$J586="نامعتبر"),"",LEFT($J586,4)&amp;MID($J586,6,2)&amp;RIGHT($J586,2)&amp;$N586&amp;"|"&amp;"2"&amp;RIGHT("00000"&amp;581,5))</f>
        <v/>
      </c>
      <c r="L586">
        <f>IF($K586="","",COUNTIFS(LdgPartyA,$F586,LdgKeyA,"&lt;"&amp;$K586)+COUNTIFS(LdgPartyB,$F586,LdgKeyB,"&lt;"&amp;$K586)+1)</f>
        <v/>
      </c>
      <c r="M586">
        <f>IF($L586="","",$F586&amp;"|"&amp;RIGHT("000000"&amp;$L586,6))</f>
        <v/>
      </c>
      <c r="N586">
        <f>IF($F586="","",IF(Sync!$AH586="","0000",IF(AND(ISNUMBER(Sync!$AH586),Sync!$AH586&gt;=0,Sync!$AH586&lt;1),RIGHT("00"&amp;HOUR(Sync!$AH586),2)&amp;RIGHT("00"&amp;MINUTE(Sync!$AH586),2),IFERROR(RIGHT("00"&amp;VALUE(LEFT(Sync!$AH586,FIND(":",Sync!$AH586)-1)),2)&amp;RIGHT("00"&amp;VALUE(MID(Sync!$AH586,FIND(":",Sync!$AH586)+1,2)),2),"0000"))))</f>
        <v/>
      </c>
    </row>
    <row r="587">
      <c r="A587">
        <f>IF(OR(Calc!$E590="",Calc!$E590="نامعتبر",Calc!$G590="",Calc!$I590&lt;&gt;"خرید"),"",Calc!$G590)</f>
        <v/>
      </c>
      <c r="B587">
        <f>IF($A587="","",LEFT(Calc!$E590,4)&amp;MID(Calc!$E590,6,2)&amp;RIGHT(Calc!$E590,2)&amp;Calc!$R590&amp;"|"&amp;"1"&amp;RIGHT("00000"&amp;582,5))</f>
        <v/>
      </c>
      <c r="C587">
        <f>IF($B587="","",COUNTIFS(LdgPartyA,$A587,LdgKeyA,"&lt;"&amp;$B587)+COUNTIFS(LdgPartyB,$A587,LdgKeyB,"&lt;"&amp;$B587)+1)</f>
        <v/>
      </c>
      <c r="D587">
        <f>IF($C587="","",$A587&amp;"|"&amp;RIGHT("000000"&amp;$C587,6))</f>
        <v/>
      </c>
      <c r="F587">
        <f>IF(Sync!$AJ587="","",Sync!$AJ587)</f>
        <v/>
      </c>
      <c r="G587">
        <f>IF($F587="","",IF(Sync!$AG587="","",IF(ISNUMBER(Sync!$AG587),IF(AND(Sync!$AG587&gt;=10000101,Sync!$AG587&lt;=99991231),INT(Sync!$AG587/10000),""),IFERROR(VALUE(TRIM(LEFT(Sync!$AG587,FIND("/",Sync!$AG587)-1))),""))))</f>
        <v/>
      </c>
      <c r="H587">
        <f>IF(OR($F587="",$G587=""),"",IF(ISNUMBER(Sync!$AG587),INT(MOD(Sync!$AG587,10000)/100),IFERROR(VALUE(TRIM(LEFT(MID(Sync!$AG587,FIND("/",Sync!$AG587)+1,20),FIND("/",MID(Sync!$AG587,FIND("/",Sync!$AG587)+1,20))-1))),"")))</f>
        <v/>
      </c>
      <c r="I587">
        <f>IF(OR($F587="",$G587=""),"",IF(ISNUMBER(Sync!$AG587),MOD(Sync!$AG587,100),IFERROR(VALUE(TRIM(MID(MID(Sync!$AG587,FIND("/",Sync!$AG587)+1,20),FIND("/",MID(Sync!$AG587,FIND("/",Sync!$AG587)+1,20))+1,20))),"")))</f>
        <v/>
      </c>
      <c r="J587">
        <f>IF($F587="","",IF(OR($G587="",$H587="",$I587="",$G587&lt;1300,$G587&gt;1500,$H587&lt;1,$H587&gt;12,$I587&lt;1,$I587&gt;31),"نامعتبر",RIGHT("0000"&amp;$G587,4)&amp;"/"&amp;RIGHT("00"&amp;$H587,2)&amp;"/"&amp;RIGHT("00"&amp;$I587,2)))</f>
        <v/>
      </c>
      <c r="K587">
        <f>IF(OR($F587="",$J587="",$J587="نامعتبر"),"",LEFT($J587,4)&amp;MID($J587,6,2)&amp;RIGHT($J587,2)&amp;$N587&amp;"|"&amp;"2"&amp;RIGHT("00000"&amp;582,5))</f>
        <v/>
      </c>
      <c r="L587">
        <f>IF($K587="","",COUNTIFS(LdgPartyA,$F587,LdgKeyA,"&lt;"&amp;$K587)+COUNTIFS(LdgPartyB,$F587,LdgKeyB,"&lt;"&amp;$K587)+1)</f>
        <v/>
      </c>
      <c r="M587">
        <f>IF($L587="","",$F587&amp;"|"&amp;RIGHT("000000"&amp;$L587,6))</f>
        <v/>
      </c>
      <c r="N587">
        <f>IF($F587="","",IF(Sync!$AH587="","0000",IF(AND(ISNUMBER(Sync!$AH587),Sync!$AH587&gt;=0,Sync!$AH587&lt;1),RIGHT("00"&amp;HOUR(Sync!$AH587),2)&amp;RIGHT("00"&amp;MINUTE(Sync!$AH587),2),IFERROR(RIGHT("00"&amp;VALUE(LEFT(Sync!$AH587,FIND(":",Sync!$AH587)-1)),2)&amp;RIGHT("00"&amp;VALUE(MID(Sync!$AH587,FIND(":",Sync!$AH587)+1,2)),2),"0000"))))</f>
        <v/>
      </c>
    </row>
    <row r="588">
      <c r="A588">
        <f>IF(OR(Calc!$E591="",Calc!$E591="نامعتبر",Calc!$G591="",Calc!$I591&lt;&gt;"خرید"),"",Calc!$G591)</f>
        <v/>
      </c>
      <c r="B588">
        <f>IF($A588="","",LEFT(Calc!$E591,4)&amp;MID(Calc!$E591,6,2)&amp;RIGHT(Calc!$E591,2)&amp;Calc!$R591&amp;"|"&amp;"1"&amp;RIGHT("00000"&amp;583,5))</f>
        <v/>
      </c>
      <c r="C588">
        <f>IF($B588="","",COUNTIFS(LdgPartyA,$A588,LdgKeyA,"&lt;"&amp;$B588)+COUNTIFS(LdgPartyB,$A588,LdgKeyB,"&lt;"&amp;$B588)+1)</f>
        <v/>
      </c>
      <c r="D588">
        <f>IF($C588="","",$A588&amp;"|"&amp;RIGHT("000000"&amp;$C588,6))</f>
        <v/>
      </c>
      <c r="F588">
        <f>IF(Sync!$AJ588="","",Sync!$AJ588)</f>
        <v/>
      </c>
      <c r="G588">
        <f>IF($F588="","",IF(Sync!$AG588="","",IF(ISNUMBER(Sync!$AG588),IF(AND(Sync!$AG588&gt;=10000101,Sync!$AG588&lt;=99991231),INT(Sync!$AG588/10000),""),IFERROR(VALUE(TRIM(LEFT(Sync!$AG588,FIND("/",Sync!$AG588)-1))),""))))</f>
        <v/>
      </c>
      <c r="H588">
        <f>IF(OR($F588="",$G588=""),"",IF(ISNUMBER(Sync!$AG588),INT(MOD(Sync!$AG588,10000)/100),IFERROR(VALUE(TRIM(LEFT(MID(Sync!$AG588,FIND("/",Sync!$AG588)+1,20),FIND("/",MID(Sync!$AG588,FIND("/",Sync!$AG588)+1,20))-1))),"")))</f>
        <v/>
      </c>
      <c r="I588">
        <f>IF(OR($F588="",$G588=""),"",IF(ISNUMBER(Sync!$AG588),MOD(Sync!$AG588,100),IFERROR(VALUE(TRIM(MID(MID(Sync!$AG588,FIND("/",Sync!$AG588)+1,20),FIND("/",MID(Sync!$AG588,FIND("/",Sync!$AG588)+1,20))+1,20))),"")))</f>
        <v/>
      </c>
      <c r="J588">
        <f>IF($F588="","",IF(OR($G588="",$H588="",$I588="",$G588&lt;1300,$G588&gt;1500,$H588&lt;1,$H588&gt;12,$I588&lt;1,$I588&gt;31),"نامعتبر",RIGHT("0000"&amp;$G588,4)&amp;"/"&amp;RIGHT("00"&amp;$H588,2)&amp;"/"&amp;RIGHT("00"&amp;$I588,2)))</f>
        <v/>
      </c>
      <c r="K588">
        <f>IF(OR($F588="",$J588="",$J588="نامعتبر"),"",LEFT($J588,4)&amp;MID($J588,6,2)&amp;RIGHT($J588,2)&amp;$N588&amp;"|"&amp;"2"&amp;RIGHT("00000"&amp;583,5))</f>
        <v/>
      </c>
      <c r="L588">
        <f>IF($K588="","",COUNTIFS(LdgPartyA,$F588,LdgKeyA,"&lt;"&amp;$K588)+COUNTIFS(LdgPartyB,$F588,LdgKeyB,"&lt;"&amp;$K588)+1)</f>
        <v/>
      </c>
      <c r="M588">
        <f>IF($L588="","",$F588&amp;"|"&amp;RIGHT("000000"&amp;$L588,6))</f>
        <v/>
      </c>
      <c r="N588">
        <f>IF($F588="","",IF(Sync!$AH588="","0000",IF(AND(ISNUMBER(Sync!$AH588),Sync!$AH588&gt;=0,Sync!$AH588&lt;1),RIGHT("00"&amp;HOUR(Sync!$AH588),2)&amp;RIGHT("00"&amp;MINUTE(Sync!$AH588),2),IFERROR(RIGHT("00"&amp;VALUE(LEFT(Sync!$AH588,FIND(":",Sync!$AH588)-1)),2)&amp;RIGHT("00"&amp;VALUE(MID(Sync!$AH588,FIND(":",Sync!$AH588)+1,2)),2),"0000"))))</f>
        <v/>
      </c>
    </row>
    <row r="589">
      <c r="A589">
        <f>IF(OR(Calc!$E592="",Calc!$E592="نامعتبر",Calc!$G592="",Calc!$I592&lt;&gt;"خرید"),"",Calc!$G592)</f>
        <v/>
      </c>
      <c r="B589">
        <f>IF($A589="","",LEFT(Calc!$E592,4)&amp;MID(Calc!$E592,6,2)&amp;RIGHT(Calc!$E592,2)&amp;Calc!$R592&amp;"|"&amp;"1"&amp;RIGHT("00000"&amp;584,5))</f>
        <v/>
      </c>
      <c r="C589">
        <f>IF($B589="","",COUNTIFS(LdgPartyA,$A589,LdgKeyA,"&lt;"&amp;$B589)+COUNTIFS(LdgPartyB,$A589,LdgKeyB,"&lt;"&amp;$B589)+1)</f>
        <v/>
      </c>
      <c r="D589">
        <f>IF($C589="","",$A589&amp;"|"&amp;RIGHT("000000"&amp;$C589,6))</f>
        <v/>
      </c>
      <c r="F589">
        <f>IF(Sync!$AJ589="","",Sync!$AJ589)</f>
        <v/>
      </c>
      <c r="G589">
        <f>IF($F589="","",IF(Sync!$AG589="","",IF(ISNUMBER(Sync!$AG589),IF(AND(Sync!$AG589&gt;=10000101,Sync!$AG589&lt;=99991231),INT(Sync!$AG589/10000),""),IFERROR(VALUE(TRIM(LEFT(Sync!$AG589,FIND("/",Sync!$AG589)-1))),""))))</f>
        <v/>
      </c>
      <c r="H589">
        <f>IF(OR($F589="",$G589=""),"",IF(ISNUMBER(Sync!$AG589),INT(MOD(Sync!$AG589,10000)/100),IFERROR(VALUE(TRIM(LEFT(MID(Sync!$AG589,FIND("/",Sync!$AG589)+1,20),FIND("/",MID(Sync!$AG589,FIND("/",Sync!$AG589)+1,20))-1))),"")))</f>
        <v/>
      </c>
      <c r="I589">
        <f>IF(OR($F589="",$G589=""),"",IF(ISNUMBER(Sync!$AG589),MOD(Sync!$AG589,100),IFERROR(VALUE(TRIM(MID(MID(Sync!$AG589,FIND("/",Sync!$AG589)+1,20),FIND("/",MID(Sync!$AG589,FIND("/",Sync!$AG589)+1,20))+1,20))),"")))</f>
        <v/>
      </c>
      <c r="J589">
        <f>IF($F589="","",IF(OR($G589="",$H589="",$I589="",$G589&lt;1300,$G589&gt;1500,$H589&lt;1,$H589&gt;12,$I589&lt;1,$I589&gt;31),"نامعتبر",RIGHT("0000"&amp;$G589,4)&amp;"/"&amp;RIGHT("00"&amp;$H589,2)&amp;"/"&amp;RIGHT("00"&amp;$I589,2)))</f>
        <v/>
      </c>
      <c r="K589">
        <f>IF(OR($F589="",$J589="",$J589="نامعتبر"),"",LEFT($J589,4)&amp;MID($J589,6,2)&amp;RIGHT($J589,2)&amp;$N589&amp;"|"&amp;"2"&amp;RIGHT("00000"&amp;584,5))</f>
        <v/>
      </c>
      <c r="L589">
        <f>IF($K589="","",COUNTIFS(LdgPartyA,$F589,LdgKeyA,"&lt;"&amp;$K589)+COUNTIFS(LdgPartyB,$F589,LdgKeyB,"&lt;"&amp;$K589)+1)</f>
        <v/>
      </c>
      <c r="M589">
        <f>IF($L589="","",$F589&amp;"|"&amp;RIGHT("000000"&amp;$L589,6))</f>
        <v/>
      </c>
      <c r="N589">
        <f>IF($F589="","",IF(Sync!$AH589="","0000",IF(AND(ISNUMBER(Sync!$AH589),Sync!$AH589&gt;=0,Sync!$AH589&lt;1),RIGHT("00"&amp;HOUR(Sync!$AH589),2)&amp;RIGHT("00"&amp;MINUTE(Sync!$AH589),2),IFERROR(RIGHT("00"&amp;VALUE(LEFT(Sync!$AH589,FIND(":",Sync!$AH589)-1)),2)&amp;RIGHT("00"&amp;VALUE(MID(Sync!$AH589,FIND(":",Sync!$AH589)+1,2)),2),"0000"))))</f>
        <v/>
      </c>
    </row>
    <row r="590">
      <c r="A590">
        <f>IF(OR(Calc!$E593="",Calc!$E593="نامعتبر",Calc!$G593="",Calc!$I593&lt;&gt;"خرید"),"",Calc!$G593)</f>
        <v/>
      </c>
      <c r="B590">
        <f>IF($A590="","",LEFT(Calc!$E593,4)&amp;MID(Calc!$E593,6,2)&amp;RIGHT(Calc!$E593,2)&amp;Calc!$R593&amp;"|"&amp;"1"&amp;RIGHT("00000"&amp;585,5))</f>
        <v/>
      </c>
      <c r="C590">
        <f>IF($B590="","",COUNTIFS(LdgPartyA,$A590,LdgKeyA,"&lt;"&amp;$B590)+COUNTIFS(LdgPartyB,$A590,LdgKeyB,"&lt;"&amp;$B590)+1)</f>
        <v/>
      </c>
      <c r="D590">
        <f>IF($C590="","",$A590&amp;"|"&amp;RIGHT("000000"&amp;$C590,6))</f>
        <v/>
      </c>
      <c r="F590">
        <f>IF(Sync!$AJ590="","",Sync!$AJ590)</f>
        <v/>
      </c>
      <c r="G590">
        <f>IF($F590="","",IF(Sync!$AG590="","",IF(ISNUMBER(Sync!$AG590),IF(AND(Sync!$AG590&gt;=10000101,Sync!$AG590&lt;=99991231),INT(Sync!$AG590/10000),""),IFERROR(VALUE(TRIM(LEFT(Sync!$AG590,FIND("/",Sync!$AG590)-1))),""))))</f>
        <v/>
      </c>
      <c r="H590">
        <f>IF(OR($F590="",$G590=""),"",IF(ISNUMBER(Sync!$AG590),INT(MOD(Sync!$AG590,10000)/100),IFERROR(VALUE(TRIM(LEFT(MID(Sync!$AG590,FIND("/",Sync!$AG590)+1,20),FIND("/",MID(Sync!$AG590,FIND("/",Sync!$AG590)+1,20))-1))),"")))</f>
        <v/>
      </c>
      <c r="I590">
        <f>IF(OR($F590="",$G590=""),"",IF(ISNUMBER(Sync!$AG590),MOD(Sync!$AG590,100),IFERROR(VALUE(TRIM(MID(MID(Sync!$AG590,FIND("/",Sync!$AG590)+1,20),FIND("/",MID(Sync!$AG590,FIND("/",Sync!$AG590)+1,20))+1,20))),"")))</f>
        <v/>
      </c>
      <c r="J590">
        <f>IF($F590="","",IF(OR($G590="",$H590="",$I590="",$G590&lt;1300,$G590&gt;1500,$H590&lt;1,$H590&gt;12,$I590&lt;1,$I590&gt;31),"نامعتبر",RIGHT("0000"&amp;$G590,4)&amp;"/"&amp;RIGHT("00"&amp;$H590,2)&amp;"/"&amp;RIGHT("00"&amp;$I590,2)))</f>
        <v/>
      </c>
      <c r="K590">
        <f>IF(OR($F590="",$J590="",$J590="نامعتبر"),"",LEFT($J590,4)&amp;MID($J590,6,2)&amp;RIGHT($J590,2)&amp;$N590&amp;"|"&amp;"2"&amp;RIGHT("00000"&amp;585,5))</f>
        <v/>
      </c>
      <c r="L590">
        <f>IF($K590="","",COUNTIFS(LdgPartyA,$F590,LdgKeyA,"&lt;"&amp;$K590)+COUNTIFS(LdgPartyB,$F590,LdgKeyB,"&lt;"&amp;$K590)+1)</f>
        <v/>
      </c>
      <c r="M590">
        <f>IF($L590="","",$F590&amp;"|"&amp;RIGHT("000000"&amp;$L590,6))</f>
        <v/>
      </c>
      <c r="N590">
        <f>IF($F590="","",IF(Sync!$AH590="","0000",IF(AND(ISNUMBER(Sync!$AH590),Sync!$AH590&gt;=0,Sync!$AH590&lt;1),RIGHT("00"&amp;HOUR(Sync!$AH590),2)&amp;RIGHT("00"&amp;MINUTE(Sync!$AH590),2),IFERROR(RIGHT("00"&amp;VALUE(LEFT(Sync!$AH590,FIND(":",Sync!$AH590)-1)),2)&amp;RIGHT("00"&amp;VALUE(MID(Sync!$AH590,FIND(":",Sync!$AH590)+1,2)),2),"0000"))))</f>
        <v/>
      </c>
    </row>
    <row r="591">
      <c r="A591">
        <f>IF(OR(Calc!$E594="",Calc!$E594="نامعتبر",Calc!$G594="",Calc!$I594&lt;&gt;"خرید"),"",Calc!$G594)</f>
        <v/>
      </c>
      <c r="B591">
        <f>IF($A591="","",LEFT(Calc!$E594,4)&amp;MID(Calc!$E594,6,2)&amp;RIGHT(Calc!$E594,2)&amp;Calc!$R594&amp;"|"&amp;"1"&amp;RIGHT("00000"&amp;586,5))</f>
        <v/>
      </c>
      <c r="C591">
        <f>IF($B591="","",COUNTIFS(LdgPartyA,$A591,LdgKeyA,"&lt;"&amp;$B591)+COUNTIFS(LdgPartyB,$A591,LdgKeyB,"&lt;"&amp;$B591)+1)</f>
        <v/>
      </c>
      <c r="D591">
        <f>IF($C591="","",$A591&amp;"|"&amp;RIGHT("000000"&amp;$C591,6))</f>
        <v/>
      </c>
      <c r="F591">
        <f>IF(Sync!$AJ591="","",Sync!$AJ591)</f>
        <v/>
      </c>
      <c r="G591">
        <f>IF($F591="","",IF(Sync!$AG591="","",IF(ISNUMBER(Sync!$AG591),IF(AND(Sync!$AG591&gt;=10000101,Sync!$AG591&lt;=99991231),INT(Sync!$AG591/10000),""),IFERROR(VALUE(TRIM(LEFT(Sync!$AG591,FIND("/",Sync!$AG591)-1))),""))))</f>
        <v/>
      </c>
      <c r="H591">
        <f>IF(OR($F591="",$G591=""),"",IF(ISNUMBER(Sync!$AG591),INT(MOD(Sync!$AG591,10000)/100),IFERROR(VALUE(TRIM(LEFT(MID(Sync!$AG591,FIND("/",Sync!$AG591)+1,20),FIND("/",MID(Sync!$AG591,FIND("/",Sync!$AG591)+1,20))-1))),"")))</f>
        <v/>
      </c>
      <c r="I591">
        <f>IF(OR($F591="",$G591=""),"",IF(ISNUMBER(Sync!$AG591),MOD(Sync!$AG591,100),IFERROR(VALUE(TRIM(MID(MID(Sync!$AG591,FIND("/",Sync!$AG591)+1,20),FIND("/",MID(Sync!$AG591,FIND("/",Sync!$AG591)+1,20))+1,20))),"")))</f>
        <v/>
      </c>
      <c r="J591">
        <f>IF($F591="","",IF(OR($G591="",$H591="",$I591="",$G591&lt;1300,$G591&gt;1500,$H591&lt;1,$H591&gt;12,$I591&lt;1,$I591&gt;31),"نامعتبر",RIGHT("0000"&amp;$G591,4)&amp;"/"&amp;RIGHT("00"&amp;$H591,2)&amp;"/"&amp;RIGHT("00"&amp;$I591,2)))</f>
        <v/>
      </c>
      <c r="K591">
        <f>IF(OR($F591="",$J591="",$J591="نامعتبر"),"",LEFT($J591,4)&amp;MID($J591,6,2)&amp;RIGHT($J591,2)&amp;$N591&amp;"|"&amp;"2"&amp;RIGHT("00000"&amp;586,5))</f>
        <v/>
      </c>
      <c r="L591">
        <f>IF($K591="","",COUNTIFS(LdgPartyA,$F591,LdgKeyA,"&lt;"&amp;$K591)+COUNTIFS(LdgPartyB,$F591,LdgKeyB,"&lt;"&amp;$K591)+1)</f>
        <v/>
      </c>
      <c r="M591">
        <f>IF($L591="","",$F591&amp;"|"&amp;RIGHT("000000"&amp;$L591,6))</f>
        <v/>
      </c>
      <c r="N591">
        <f>IF($F591="","",IF(Sync!$AH591="","0000",IF(AND(ISNUMBER(Sync!$AH591),Sync!$AH591&gt;=0,Sync!$AH591&lt;1),RIGHT("00"&amp;HOUR(Sync!$AH591),2)&amp;RIGHT("00"&amp;MINUTE(Sync!$AH591),2),IFERROR(RIGHT("00"&amp;VALUE(LEFT(Sync!$AH591,FIND(":",Sync!$AH591)-1)),2)&amp;RIGHT("00"&amp;VALUE(MID(Sync!$AH591,FIND(":",Sync!$AH591)+1,2)),2),"0000"))))</f>
        <v/>
      </c>
    </row>
    <row r="592">
      <c r="A592">
        <f>IF(OR(Calc!$E595="",Calc!$E595="نامعتبر",Calc!$G595="",Calc!$I595&lt;&gt;"خرید"),"",Calc!$G595)</f>
        <v/>
      </c>
      <c r="B592">
        <f>IF($A592="","",LEFT(Calc!$E595,4)&amp;MID(Calc!$E595,6,2)&amp;RIGHT(Calc!$E595,2)&amp;Calc!$R595&amp;"|"&amp;"1"&amp;RIGHT("00000"&amp;587,5))</f>
        <v/>
      </c>
      <c r="C592">
        <f>IF($B592="","",COUNTIFS(LdgPartyA,$A592,LdgKeyA,"&lt;"&amp;$B592)+COUNTIFS(LdgPartyB,$A592,LdgKeyB,"&lt;"&amp;$B592)+1)</f>
        <v/>
      </c>
      <c r="D592">
        <f>IF($C592="","",$A592&amp;"|"&amp;RIGHT("000000"&amp;$C592,6))</f>
        <v/>
      </c>
      <c r="F592">
        <f>IF(Sync!$AJ592="","",Sync!$AJ592)</f>
        <v/>
      </c>
      <c r="G592">
        <f>IF($F592="","",IF(Sync!$AG592="","",IF(ISNUMBER(Sync!$AG592),IF(AND(Sync!$AG592&gt;=10000101,Sync!$AG592&lt;=99991231),INT(Sync!$AG592/10000),""),IFERROR(VALUE(TRIM(LEFT(Sync!$AG592,FIND("/",Sync!$AG592)-1))),""))))</f>
        <v/>
      </c>
      <c r="H592">
        <f>IF(OR($F592="",$G592=""),"",IF(ISNUMBER(Sync!$AG592),INT(MOD(Sync!$AG592,10000)/100),IFERROR(VALUE(TRIM(LEFT(MID(Sync!$AG592,FIND("/",Sync!$AG592)+1,20),FIND("/",MID(Sync!$AG592,FIND("/",Sync!$AG592)+1,20))-1))),"")))</f>
        <v/>
      </c>
      <c r="I592">
        <f>IF(OR($F592="",$G592=""),"",IF(ISNUMBER(Sync!$AG592),MOD(Sync!$AG592,100),IFERROR(VALUE(TRIM(MID(MID(Sync!$AG592,FIND("/",Sync!$AG592)+1,20),FIND("/",MID(Sync!$AG592,FIND("/",Sync!$AG592)+1,20))+1,20))),"")))</f>
        <v/>
      </c>
      <c r="J592">
        <f>IF($F592="","",IF(OR($G592="",$H592="",$I592="",$G592&lt;1300,$G592&gt;1500,$H592&lt;1,$H592&gt;12,$I592&lt;1,$I592&gt;31),"نامعتبر",RIGHT("0000"&amp;$G592,4)&amp;"/"&amp;RIGHT("00"&amp;$H592,2)&amp;"/"&amp;RIGHT("00"&amp;$I592,2)))</f>
        <v/>
      </c>
      <c r="K592">
        <f>IF(OR($F592="",$J592="",$J592="نامعتبر"),"",LEFT($J592,4)&amp;MID($J592,6,2)&amp;RIGHT($J592,2)&amp;$N592&amp;"|"&amp;"2"&amp;RIGHT("00000"&amp;587,5))</f>
        <v/>
      </c>
      <c r="L592">
        <f>IF($K592="","",COUNTIFS(LdgPartyA,$F592,LdgKeyA,"&lt;"&amp;$K592)+COUNTIFS(LdgPartyB,$F592,LdgKeyB,"&lt;"&amp;$K592)+1)</f>
        <v/>
      </c>
      <c r="M592">
        <f>IF($L592="","",$F592&amp;"|"&amp;RIGHT("000000"&amp;$L592,6))</f>
        <v/>
      </c>
      <c r="N592">
        <f>IF($F592="","",IF(Sync!$AH592="","0000",IF(AND(ISNUMBER(Sync!$AH592),Sync!$AH592&gt;=0,Sync!$AH592&lt;1),RIGHT("00"&amp;HOUR(Sync!$AH592),2)&amp;RIGHT("00"&amp;MINUTE(Sync!$AH592),2),IFERROR(RIGHT("00"&amp;VALUE(LEFT(Sync!$AH592,FIND(":",Sync!$AH592)-1)),2)&amp;RIGHT("00"&amp;VALUE(MID(Sync!$AH592,FIND(":",Sync!$AH592)+1,2)),2),"0000"))))</f>
        <v/>
      </c>
    </row>
    <row r="593">
      <c r="A593">
        <f>IF(OR(Calc!$E596="",Calc!$E596="نامعتبر",Calc!$G596="",Calc!$I596&lt;&gt;"خرید"),"",Calc!$G596)</f>
        <v/>
      </c>
      <c r="B593">
        <f>IF($A593="","",LEFT(Calc!$E596,4)&amp;MID(Calc!$E596,6,2)&amp;RIGHT(Calc!$E596,2)&amp;Calc!$R596&amp;"|"&amp;"1"&amp;RIGHT("00000"&amp;588,5))</f>
        <v/>
      </c>
      <c r="C593">
        <f>IF($B593="","",COUNTIFS(LdgPartyA,$A593,LdgKeyA,"&lt;"&amp;$B593)+COUNTIFS(LdgPartyB,$A593,LdgKeyB,"&lt;"&amp;$B593)+1)</f>
        <v/>
      </c>
      <c r="D593">
        <f>IF($C593="","",$A593&amp;"|"&amp;RIGHT("000000"&amp;$C593,6))</f>
        <v/>
      </c>
      <c r="F593">
        <f>IF(Sync!$AJ593="","",Sync!$AJ593)</f>
        <v/>
      </c>
      <c r="G593">
        <f>IF($F593="","",IF(Sync!$AG593="","",IF(ISNUMBER(Sync!$AG593),IF(AND(Sync!$AG593&gt;=10000101,Sync!$AG593&lt;=99991231),INT(Sync!$AG593/10000),""),IFERROR(VALUE(TRIM(LEFT(Sync!$AG593,FIND("/",Sync!$AG593)-1))),""))))</f>
        <v/>
      </c>
      <c r="H593">
        <f>IF(OR($F593="",$G593=""),"",IF(ISNUMBER(Sync!$AG593),INT(MOD(Sync!$AG593,10000)/100),IFERROR(VALUE(TRIM(LEFT(MID(Sync!$AG593,FIND("/",Sync!$AG593)+1,20),FIND("/",MID(Sync!$AG593,FIND("/",Sync!$AG593)+1,20))-1))),"")))</f>
        <v/>
      </c>
      <c r="I593">
        <f>IF(OR($F593="",$G593=""),"",IF(ISNUMBER(Sync!$AG593),MOD(Sync!$AG593,100),IFERROR(VALUE(TRIM(MID(MID(Sync!$AG593,FIND("/",Sync!$AG593)+1,20),FIND("/",MID(Sync!$AG593,FIND("/",Sync!$AG593)+1,20))+1,20))),"")))</f>
        <v/>
      </c>
      <c r="J593">
        <f>IF($F593="","",IF(OR($G593="",$H593="",$I593="",$G593&lt;1300,$G593&gt;1500,$H593&lt;1,$H593&gt;12,$I593&lt;1,$I593&gt;31),"نامعتبر",RIGHT("0000"&amp;$G593,4)&amp;"/"&amp;RIGHT("00"&amp;$H593,2)&amp;"/"&amp;RIGHT("00"&amp;$I593,2)))</f>
        <v/>
      </c>
      <c r="K593">
        <f>IF(OR($F593="",$J593="",$J593="نامعتبر"),"",LEFT($J593,4)&amp;MID($J593,6,2)&amp;RIGHT($J593,2)&amp;$N593&amp;"|"&amp;"2"&amp;RIGHT("00000"&amp;588,5))</f>
        <v/>
      </c>
      <c r="L593">
        <f>IF($K593="","",COUNTIFS(LdgPartyA,$F593,LdgKeyA,"&lt;"&amp;$K593)+COUNTIFS(LdgPartyB,$F593,LdgKeyB,"&lt;"&amp;$K593)+1)</f>
        <v/>
      </c>
      <c r="M593">
        <f>IF($L593="","",$F593&amp;"|"&amp;RIGHT("000000"&amp;$L593,6))</f>
        <v/>
      </c>
      <c r="N593">
        <f>IF($F593="","",IF(Sync!$AH593="","0000",IF(AND(ISNUMBER(Sync!$AH593),Sync!$AH593&gt;=0,Sync!$AH593&lt;1),RIGHT("00"&amp;HOUR(Sync!$AH593),2)&amp;RIGHT("00"&amp;MINUTE(Sync!$AH593),2),IFERROR(RIGHT("00"&amp;VALUE(LEFT(Sync!$AH593,FIND(":",Sync!$AH593)-1)),2)&amp;RIGHT("00"&amp;VALUE(MID(Sync!$AH593,FIND(":",Sync!$AH593)+1,2)),2),"0000"))))</f>
        <v/>
      </c>
    </row>
    <row r="594">
      <c r="A594">
        <f>IF(OR(Calc!$E597="",Calc!$E597="نامعتبر",Calc!$G597="",Calc!$I597&lt;&gt;"خرید"),"",Calc!$G597)</f>
        <v/>
      </c>
      <c r="B594">
        <f>IF($A594="","",LEFT(Calc!$E597,4)&amp;MID(Calc!$E597,6,2)&amp;RIGHT(Calc!$E597,2)&amp;Calc!$R597&amp;"|"&amp;"1"&amp;RIGHT("00000"&amp;589,5))</f>
        <v/>
      </c>
      <c r="C594">
        <f>IF($B594="","",COUNTIFS(LdgPartyA,$A594,LdgKeyA,"&lt;"&amp;$B594)+COUNTIFS(LdgPartyB,$A594,LdgKeyB,"&lt;"&amp;$B594)+1)</f>
        <v/>
      </c>
      <c r="D594">
        <f>IF($C594="","",$A594&amp;"|"&amp;RIGHT("000000"&amp;$C594,6))</f>
        <v/>
      </c>
      <c r="F594">
        <f>IF(Sync!$AJ594="","",Sync!$AJ594)</f>
        <v/>
      </c>
      <c r="G594">
        <f>IF($F594="","",IF(Sync!$AG594="","",IF(ISNUMBER(Sync!$AG594),IF(AND(Sync!$AG594&gt;=10000101,Sync!$AG594&lt;=99991231),INT(Sync!$AG594/10000),""),IFERROR(VALUE(TRIM(LEFT(Sync!$AG594,FIND("/",Sync!$AG594)-1))),""))))</f>
        <v/>
      </c>
      <c r="H594">
        <f>IF(OR($F594="",$G594=""),"",IF(ISNUMBER(Sync!$AG594),INT(MOD(Sync!$AG594,10000)/100),IFERROR(VALUE(TRIM(LEFT(MID(Sync!$AG594,FIND("/",Sync!$AG594)+1,20),FIND("/",MID(Sync!$AG594,FIND("/",Sync!$AG594)+1,20))-1))),"")))</f>
        <v/>
      </c>
      <c r="I594">
        <f>IF(OR($F594="",$G594=""),"",IF(ISNUMBER(Sync!$AG594),MOD(Sync!$AG594,100),IFERROR(VALUE(TRIM(MID(MID(Sync!$AG594,FIND("/",Sync!$AG594)+1,20),FIND("/",MID(Sync!$AG594,FIND("/",Sync!$AG594)+1,20))+1,20))),"")))</f>
        <v/>
      </c>
      <c r="J594">
        <f>IF($F594="","",IF(OR($G594="",$H594="",$I594="",$G594&lt;1300,$G594&gt;1500,$H594&lt;1,$H594&gt;12,$I594&lt;1,$I594&gt;31),"نامعتبر",RIGHT("0000"&amp;$G594,4)&amp;"/"&amp;RIGHT("00"&amp;$H594,2)&amp;"/"&amp;RIGHT("00"&amp;$I594,2)))</f>
        <v/>
      </c>
      <c r="K594">
        <f>IF(OR($F594="",$J594="",$J594="نامعتبر"),"",LEFT($J594,4)&amp;MID($J594,6,2)&amp;RIGHT($J594,2)&amp;$N594&amp;"|"&amp;"2"&amp;RIGHT("00000"&amp;589,5))</f>
        <v/>
      </c>
      <c r="L594">
        <f>IF($K594="","",COUNTIFS(LdgPartyA,$F594,LdgKeyA,"&lt;"&amp;$K594)+COUNTIFS(LdgPartyB,$F594,LdgKeyB,"&lt;"&amp;$K594)+1)</f>
        <v/>
      </c>
      <c r="M594">
        <f>IF($L594="","",$F594&amp;"|"&amp;RIGHT("000000"&amp;$L594,6))</f>
        <v/>
      </c>
      <c r="N594">
        <f>IF($F594="","",IF(Sync!$AH594="","0000",IF(AND(ISNUMBER(Sync!$AH594),Sync!$AH594&gt;=0,Sync!$AH594&lt;1),RIGHT("00"&amp;HOUR(Sync!$AH594),2)&amp;RIGHT("00"&amp;MINUTE(Sync!$AH594),2),IFERROR(RIGHT("00"&amp;VALUE(LEFT(Sync!$AH594,FIND(":",Sync!$AH594)-1)),2)&amp;RIGHT("00"&amp;VALUE(MID(Sync!$AH594,FIND(":",Sync!$AH594)+1,2)),2),"0000"))))</f>
        <v/>
      </c>
    </row>
    <row r="595">
      <c r="A595">
        <f>IF(OR(Calc!$E598="",Calc!$E598="نامعتبر",Calc!$G598="",Calc!$I598&lt;&gt;"خرید"),"",Calc!$G598)</f>
        <v/>
      </c>
      <c r="B595">
        <f>IF($A595="","",LEFT(Calc!$E598,4)&amp;MID(Calc!$E598,6,2)&amp;RIGHT(Calc!$E598,2)&amp;Calc!$R598&amp;"|"&amp;"1"&amp;RIGHT("00000"&amp;590,5))</f>
        <v/>
      </c>
      <c r="C595">
        <f>IF($B595="","",COUNTIFS(LdgPartyA,$A595,LdgKeyA,"&lt;"&amp;$B595)+COUNTIFS(LdgPartyB,$A595,LdgKeyB,"&lt;"&amp;$B595)+1)</f>
        <v/>
      </c>
      <c r="D595">
        <f>IF($C595="","",$A595&amp;"|"&amp;RIGHT("000000"&amp;$C595,6))</f>
        <v/>
      </c>
      <c r="F595">
        <f>IF(Sync!$AJ595="","",Sync!$AJ595)</f>
        <v/>
      </c>
      <c r="G595">
        <f>IF($F595="","",IF(Sync!$AG595="","",IF(ISNUMBER(Sync!$AG595),IF(AND(Sync!$AG595&gt;=10000101,Sync!$AG595&lt;=99991231),INT(Sync!$AG595/10000),""),IFERROR(VALUE(TRIM(LEFT(Sync!$AG595,FIND("/",Sync!$AG595)-1))),""))))</f>
        <v/>
      </c>
      <c r="H595">
        <f>IF(OR($F595="",$G595=""),"",IF(ISNUMBER(Sync!$AG595),INT(MOD(Sync!$AG595,10000)/100),IFERROR(VALUE(TRIM(LEFT(MID(Sync!$AG595,FIND("/",Sync!$AG595)+1,20),FIND("/",MID(Sync!$AG595,FIND("/",Sync!$AG595)+1,20))-1))),"")))</f>
        <v/>
      </c>
      <c r="I595">
        <f>IF(OR($F595="",$G595=""),"",IF(ISNUMBER(Sync!$AG595),MOD(Sync!$AG595,100),IFERROR(VALUE(TRIM(MID(MID(Sync!$AG595,FIND("/",Sync!$AG595)+1,20),FIND("/",MID(Sync!$AG595,FIND("/",Sync!$AG595)+1,20))+1,20))),"")))</f>
        <v/>
      </c>
      <c r="J595">
        <f>IF($F595="","",IF(OR($G595="",$H595="",$I595="",$G595&lt;1300,$G595&gt;1500,$H595&lt;1,$H595&gt;12,$I595&lt;1,$I595&gt;31),"نامعتبر",RIGHT("0000"&amp;$G595,4)&amp;"/"&amp;RIGHT("00"&amp;$H595,2)&amp;"/"&amp;RIGHT("00"&amp;$I595,2)))</f>
        <v/>
      </c>
      <c r="K595">
        <f>IF(OR($F595="",$J595="",$J595="نامعتبر"),"",LEFT($J595,4)&amp;MID($J595,6,2)&amp;RIGHT($J595,2)&amp;$N595&amp;"|"&amp;"2"&amp;RIGHT("00000"&amp;590,5))</f>
        <v/>
      </c>
      <c r="L595">
        <f>IF($K595="","",COUNTIFS(LdgPartyA,$F595,LdgKeyA,"&lt;"&amp;$K595)+COUNTIFS(LdgPartyB,$F595,LdgKeyB,"&lt;"&amp;$K595)+1)</f>
        <v/>
      </c>
      <c r="M595">
        <f>IF($L595="","",$F595&amp;"|"&amp;RIGHT("000000"&amp;$L595,6))</f>
        <v/>
      </c>
      <c r="N595">
        <f>IF($F595="","",IF(Sync!$AH595="","0000",IF(AND(ISNUMBER(Sync!$AH595),Sync!$AH595&gt;=0,Sync!$AH595&lt;1),RIGHT("00"&amp;HOUR(Sync!$AH595),2)&amp;RIGHT("00"&amp;MINUTE(Sync!$AH595),2),IFERROR(RIGHT("00"&amp;VALUE(LEFT(Sync!$AH595,FIND(":",Sync!$AH595)-1)),2)&amp;RIGHT("00"&amp;VALUE(MID(Sync!$AH595,FIND(":",Sync!$AH595)+1,2)),2),"0000"))))</f>
        <v/>
      </c>
    </row>
    <row r="596">
      <c r="A596">
        <f>IF(OR(Calc!$E599="",Calc!$E599="نامعتبر",Calc!$G599="",Calc!$I599&lt;&gt;"خرید"),"",Calc!$G599)</f>
        <v/>
      </c>
      <c r="B596">
        <f>IF($A596="","",LEFT(Calc!$E599,4)&amp;MID(Calc!$E599,6,2)&amp;RIGHT(Calc!$E599,2)&amp;Calc!$R599&amp;"|"&amp;"1"&amp;RIGHT("00000"&amp;591,5))</f>
        <v/>
      </c>
      <c r="C596">
        <f>IF($B596="","",COUNTIFS(LdgPartyA,$A596,LdgKeyA,"&lt;"&amp;$B596)+COUNTIFS(LdgPartyB,$A596,LdgKeyB,"&lt;"&amp;$B596)+1)</f>
        <v/>
      </c>
      <c r="D596">
        <f>IF($C596="","",$A596&amp;"|"&amp;RIGHT("000000"&amp;$C596,6))</f>
        <v/>
      </c>
      <c r="F596">
        <f>IF(Sync!$AJ596="","",Sync!$AJ596)</f>
        <v/>
      </c>
      <c r="G596">
        <f>IF($F596="","",IF(Sync!$AG596="","",IF(ISNUMBER(Sync!$AG596),IF(AND(Sync!$AG596&gt;=10000101,Sync!$AG596&lt;=99991231),INT(Sync!$AG596/10000),""),IFERROR(VALUE(TRIM(LEFT(Sync!$AG596,FIND("/",Sync!$AG596)-1))),""))))</f>
        <v/>
      </c>
      <c r="H596">
        <f>IF(OR($F596="",$G596=""),"",IF(ISNUMBER(Sync!$AG596),INT(MOD(Sync!$AG596,10000)/100),IFERROR(VALUE(TRIM(LEFT(MID(Sync!$AG596,FIND("/",Sync!$AG596)+1,20),FIND("/",MID(Sync!$AG596,FIND("/",Sync!$AG596)+1,20))-1))),"")))</f>
        <v/>
      </c>
      <c r="I596">
        <f>IF(OR($F596="",$G596=""),"",IF(ISNUMBER(Sync!$AG596),MOD(Sync!$AG596,100),IFERROR(VALUE(TRIM(MID(MID(Sync!$AG596,FIND("/",Sync!$AG596)+1,20),FIND("/",MID(Sync!$AG596,FIND("/",Sync!$AG596)+1,20))+1,20))),"")))</f>
        <v/>
      </c>
      <c r="J596">
        <f>IF($F596="","",IF(OR($G596="",$H596="",$I596="",$G596&lt;1300,$G596&gt;1500,$H596&lt;1,$H596&gt;12,$I596&lt;1,$I596&gt;31),"نامعتبر",RIGHT("0000"&amp;$G596,4)&amp;"/"&amp;RIGHT("00"&amp;$H596,2)&amp;"/"&amp;RIGHT("00"&amp;$I596,2)))</f>
        <v/>
      </c>
      <c r="K596">
        <f>IF(OR($F596="",$J596="",$J596="نامعتبر"),"",LEFT($J596,4)&amp;MID($J596,6,2)&amp;RIGHT($J596,2)&amp;$N596&amp;"|"&amp;"2"&amp;RIGHT("00000"&amp;591,5))</f>
        <v/>
      </c>
      <c r="L596">
        <f>IF($K596="","",COUNTIFS(LdgPartyA,$F596,LdgKeyA,"&lt;"&amp;$K596)+COUNTIFS(LdgPartyB,$F596,LdgKeyB,"&lt;"&amp;$K596)+1)</f>
        <v/>
      </c>
      <c r="M596">
        <f>IF($L596="","",$F596&amp;"|"&amp;RIGHT("000000"&amp;$L596,6))</f>
        <v/>
      </c>
      <c r="N596">
        <f>IF($F596="","",IF(Sync!$AH596="","0000",IF(AND(ISNUMBER(Sync!$AH596),Sync!$AH596&gt;=0,Sync!$AH596&lt;1),RIGHT("00"&amp;HOUR(Sync!$AH596),2)&amp;RIGHT("00"&amp;MINUTE(Sync!$AH596),2),IFERROR(RIGHT("00"&amp;VALUE(LEFT(Sync!$AH596,FIND(":",Sync!$AH596)-1)),2)&amp;RIGHT("00"&amp;VALUE(MID(Sync!$AH596,FIND(":",Sync!$AH596)+1,2)),2),"0000"))))</f>
        <v/>
      </c>
    </row>
    <row r="597">
      <c r="A597">
        <f>IF(OR(Calc!$E600="",Calc!$E600="نامعتبر",Calc!$G600="",Calc!$I600&lt;&gt;"خرید"),"",Calc!$G600)</f>
        <v/>
      </c>
      <c r="B597">
        <f>IF($A597="","",LEFT(Calc!$E600,4)&amp;MID(Calc!$E600,6,2)&amp;RIGHT(Calc!$E600,2)&amp;Calc!$R600&amp;"|"&amp;"1"&amp;RIGHT("00000"&amp;592,5))</f>
        <v/>
      </c>
      <c r="C597">
        <f>IF($B597="","",COUNTIFS(LdgPartyA,$A597,LdgKeyA,"&lt;"&amp;$B597)+COUNTIFS(LdgPartyB,$A597,LdgKeyB,"&lt;"&amp;$B597)+1)</f>
        <v/>
      </c>
      <c r="D597">
        <f>IF($C597="","",$A597&amp;"|"&amp;RIGHT("000000"&amp;$C597,6))</f>
        <v/>
      </c>
      <c r="F597">
        <f>IF(Sync!$AJ597="","",Sync!$AJ597)</f>
        <v/>
      </c>
      <c r="G597">
        <f>IF($F597="","",IF(Sync!$AG597="","",IF(ISNUMBER(Sync!$AG597),IF(AND(Sync!$AG597&gt;=10000101,Sync!$AG597&lt;=99991231),INT(Sync!$AG597/10000),""),IFERROR(VALUE(TRIM(LEFT(Sync!$AG597,FIND("/",Sync!$AG597)-1))),""))))</f>
        <v/>
      </c>
      <c r="H597">
        <f>IF(OR($F597="",$G597=""),"",IF(ISNUMBER(Sync!$AG597),INT(MOD(Sync!$AG597,10000)/100),IFERROR(VALUE(TRIM(LEFT(MID(Sync!$AG597,FIND("/",Sync!$AG597)+1,20),FIND("/",MID(Sync!$AG597,FIND("/",Sync!$AG597)+1,20))-1))),"")))</f>
        <v/>
      </c>
      <c r="I597">
        <f>IF(OR($F597="",$G597=""),"",IF(ISNUMBER(Sync!$AG597),MOD(Sync!$AG597,100),IFERROR(VALUE(TRIM(MID(MID(Sync!$AG597,FIND("/",Sync!$AG597)+1,20),FIND("/",MID(Sync!$AG597,FIND("/",Sync!$AG597)+1,20))+1,20))),"")))</f>
        <v/>
      </c>
      <c r="J597">
        <f>IF($F597="","",IF(OR($G597="",$H597="",$I597="",$G597&lt;1300,$G597&gt;1500,$H597&lt;1,$H597&gt;12,$I597&lt;1,$I597&gt;31),"نامعتبر",RIGHT("0000"&amp;$G597,4)&amp;"/"&amp;RIGHT("00"&amp;$H597,2)&amp;"/"&amp;RIGHT("00"&amp;$I597,2)))</f>
        <v/>
      </c>
      <c r="K597">
        <f>IF(OR($F597="",$J597="",$J597="نامعتبر"),"",LEFT($J597,4)&amp;MID($J597,6,2)&amp;RIGHT($J597,2)&amp;$N597&amp;"|"&amp;"2"&amp;RIGHT("00000"&amp;592,5))</f>
        <v/>
      </c>
      <c r="L597">
        <f>IF($K597="","",COUNTIFS(LdgPartyA,$F597,LdgKeyA,"&lt;"&amp;$K597)+COUNTIFS(LdgPartyB,$F597,LdgKeyB,"&lt;"&amp;$K597)+1)</f>
        <v/>
      </c>
      <c r="M597">
        <f>IF($L597="","",$F597&amp;"|"&amp;RIGHT("000000"&amp;$L597,6))</f>
        <v/>
      </c>
      <c r="N597">
        <f>IF($F597="","",IF(Sync!$AH597="","0000",IF(AND(ISNUMBER(Sync!$AH597),Sync!$AH597&gt;=0,Sync!$AH597&lt;1),RIGHT("00"&amp;HOUR(Sync!$AH597),2)&amp;RIGHT("00"&amp;MINUTE(Sync!$AH597),2),IFERROR(RIGHT("00"&amp;VALUE(LEFT(Sync!$AH597,FIND(":",Sync!$AH597)-1)),2)&amp;RIGHT("00"&amp;VALUE(MID(Sync!$AH597,FIND(":",Sync!$AH597)+1,2)),2),"0000"))))</f>
        <v/>
      </c>
    </row>
    <row r="598">
      <c r="A598">
        <f>IF(OR(Calc!$E601="",Calc!$E601="نامعتبر",Calc!$G601="",Calc!$I601&lt;&gt;"خرید"),"",Calc!$G601)</f>
        <v/>
      </c>
      <c r="B598">
        <f>IF($A598="","",LEFT(Calc!$E601,4)&amp;MID(Calc!$E601,6,2)&amp;RIGHT(Calc!$E601,2)&amp;Calc!$R601&amp;"|"&amp;"1"&amp;RIGHT("00000"&amp;593,5))</f>
        <v/>
      </c>
      <c r="C598">
        <f>IF($B598="","",COUNTIFS(LdgPartyA,$A598,LdgKeyA,"&lt;"&amp;$B598)+COUNTIFS(LdgPartyB,$A598,LdgKeyB,"&lt;"&amp;$B598)+1)</f>
        <v/>
      </c>
      <c r="D598">
        <f>IF($C598="","",$A598&amp;"|"&amp;RIGHT("000000"&amp;$C598,6))</f>
        <v/>
      </c>
      <c r="F598">
        <f>IF(Sync!$AJ598="","",Sync!$AJ598)</f>
        <v/>
      </c>
      <c r="G598">
        <f>IF($F598="","",IF(Sync!$AG598="","",IF(ISNUMBER(Sync!$AG598),IF(AND(Sync!$AG598&gt;=10000101,Sync!$AG598&lt;=99991231),INT(Sync!$AG598/10000),""),IFERROR(VALUE(TRIM(LEFT(Sync!$AG598,FIND("/",Sync!$AG598)-1))),""))))</f>
        <v/>
      </c>
      <c r="H598">
        <f>IF(OR($F598="",$G598=""),"",IF(ISNUMBER(Sync!$AG598),INT(MOD(Sync!$AG598,10000)/100),IFERROR(VALUE(TRIM(LEFT(MID(Sync!$AG598,FIND("/",Sync!$AG598)+1,20),FIND("/",MID(Sync!$AG598,FIND("/",Sync!$AG598)+1,20))-1))),"")))</f>
        <v/>
      </c>
      <c r="I598">
        <f>IF(OR($F598="",$G598=""),"",IF(ISNUMBER(Sync!$AG598),MOD(Sync!$AG598,100),IFERROR(VALUE(TRIM(MID(MID(Sync!$AG598,FIND("/",Sync!$AG598)+1,20),FIND("/",MID(Sync!$AG598,FIND("/",Sync!$AG598)+1,20))+1,20))),"")))</f>
        <v/>
      </c>
      <c r="J598">
        <f>IF($F598="","",IF(OR($G598="",$H598="",$I598="",$G598&lt;1300,$G598&gt;1500,$H598&lt;1,$H598&gt;12,$I598&lt;1,$I598&gt;31),"نامعتبر",RIGHT("0000"&amp;$G598,4)&amp;"/"&amp;RIGHT("00"&amp;$H598,2)&amp;"/"&amp;RIGHT("00"&amp;$I598,2)))</f>
        <v/>
      </c>
      <c r="K598">
        <f>IF(OR($F598="",$J598="",$J598="نامعتبر"),"",LEFT($J598,4)&amp;MID($J598,6,2)&amp;RIGHT($J598,2)&amp;$N598&amp;"|"&amp;"2"&amp;RIGHT("00000"&amp;593,5))</f>
        <v/>
      </c>
      <c r="L598">
        <f>IF($K598="","",COUNTIFS(LdgPartyA,$F598,LdgKeyA,"&lt;"&amp;$K598)+COUNTIFS(LdgPartyB,$F598,LdgKeyB,"&lt;"&amp;$K598)+1)</f>
        <v/>
      </c>
      <c r="M598">
        <f>IF($L598="","",$F598&amp;"|"&amp;RIGHT("000000"&amp;$L598,6))</f>
        <v/>
      </c>
      <c r="N598">
        <f>IF($F598="","",IF(Sync!$AH598="","0000",IF(AND(ISNUMBER(Sync!$AH598),Sync!$AH598&gt;=0,Sync!$AH598&lt;1),RIGHT("00"&amp;HOUR(Sync!$AH598),2)&amp;RIGHT("00"&amp;MINUTE(Sync!$AH598),2),IFERROR(RIGHT("00"&amp;VALUE(LEFT(Sync!$AH598,FIND(":",Sync!$AH598)-1)),2)&amp;RIGHT("00"&amp;VALUE(MID(Sync!$AH598,FIND(":",Sync!$AH598)+1,2)),2),"0000"))))</f>
        <v/>
      </c>
    </row>
    <row r="599">
      <c r="A599">
        <f>IF(OR(Calc!$E602="",Calc!$E602="نامعتبر",Calc!$G602="",Calc!$I602&lt;&gt;"خرید"),"",Calc!$G602)</f>
        <v/>
      </c>
      <c r="B599">
        <f>IF($A599="","",LEFT(Calc!$E602,4)&amp;MID(Calc!$E602,6,2)&amp;RIGHT(Calc!$E602,2)&amp;Calc!$R602&amp;"|"&amp;"1"&amp;RIGHT("00000"&amp;594,5))</f>
        <v/>
      </c>
      <c r="C599">
        <f>IF($B599="","",COUNTIFS(LdgPartyA,$A599,LdgKeyA,"&lt;"&amp;$B599)+COUNTIFS(LdgPartyB,$A599,LdgKeyB,"&lt;"&amp;$B599)+1)</f>
        <v/>
      </c>
      <c r="D599">
        <f>IF($C599="","",$A599&amp;"|"&amp;RIGHT("000000"&amp;$C599,6))</f>
        <v/>
      </c>
      <c r="F599">
        <f>IF(Sync!$AJ599="","",Sync!$AJ599)</f>
        <v/>
      </c>
      <c r="G599">
        <f>IF($F599="","",IF(Sync!$AG599="","",IF(ISNUMBER(Sync!$AG599),IF(AND(Sync!$AG599&gt;=10000101,Sync!$AG599&lt;=99991231),INT(Sync!$AG599/10000),""),IFERROR(VALUE(TRIM(LEFT(Sync!$AG599,FIND("/",Sync!$AG599)-1))),""))))</f>
        <v/>
      </c>
      <c r="H599">
        <f>IF(OR($F599="",$G599=""),"",IF(ISNUMBER(Sync!$AG599),INT(MOD(Sync!$AG599,10000)/100),IFERROR(VALUE(TRIM(LEFT(MID(Sync!$AG599,FIND("/",Sync!$AG599)+1,20),FIND("/",MID(Sync!$AG599,FIND("/",Sync!$AG599)+1,20))-1))),"")))</f>
        <v/>
      </c>
      <c r="I599">
        <f>IF(OR($F599="",$G599=""),"",IF(ISNUMBER(Sync!$AG599),MOD(Sync!$AG599,100),IFERROR(VALUE(TRIM(MID(MID(Sync!$AG599,FIND("/",Sync!$AG599)+1,20),FIND("/",MID(Sync!$AG599,FIND("/",Sync!$AG599)+1,20))+1,20))),"")))</f>
        <v/>
      </c>
      <c r="J599">
        <f>IF($F599="","",IF(OR($G599="",$H599="",$I599="",$G599&lt;1300,$G599&gt;1500,$H599&lt;1,$H599&gt;12,$I599&lt;1,$I599&gt;31),"نامعتبر",RIGHT("0000"&amp;$G599,4)&amp;"/"&amp;RIGHT("00"&amp;$H599,2)&amp;"/"&amp;RIGHT("00"&amp;$I599,2)))</f>
        <v/>
      </c>
      <c r="K599">
        <f>IF(OR($F599="",$J599="",$J599="نامعتبر"),"",LEFT($J599,4)&amp;MID($J599,6,2)&amp;RIGHT($J599,2)&amp;$N599&amp;"|"&amp;"2"&amp;RIGHT("00000"&amp;594,5))</f>
        <v/>
      </c>
      <c r="L599">
        <f>IF($K599="","",COUNTIFS(LdgPartyA,$F599,LdgKeyA,"&lt;"&amp;$K599)+COUNTIFS(LdgPartyB,$F599,LdgKeyB,"&lt;"&amp;$K599)+1)</f>
        <v/>
      </c>
      <c r="M599">
        <f>IF($L599="","",$F599&amp;"|"&amp;RIGHT("000000"&amp;$L599,6))</f>
        <v/>
      </c>
      <c r="N599">
        <f>IF($F599="","",IF(Sync!$AH599="","0000",IF(AND(ISNUMBER(Sync!$AH599),Sync!$AH599&gt;=0,Sync!$AH599&lt;1),RIGHT("00"&amp;HOUR(Sync!$AH599),2)&amp;RIGHT("00"&amp;MINUTE(Sync!$AH599),2),IFERROR(RIGHT("00"&amp;VALUE(LEFT(Sync!$AH599,FIND(":",Sync!$AH599)-1)),2)&amp;RIGHT("00"&amp;VALUE(MID(Sync!$AH599,FIND(":",Sync!$AH599)+1,2)),2),"0000"))))</f>
        <v/>
      </c>
    </row>
    <row r="600">
      <c r="A600">
        <f>IF(OR(Calc!$E603="",Calc!$E603="نامعتبر",Calc!$G603="",Calc!$I603&lt;&gt;"خرید"),"",Calc!$G603)</f>
        <v/>
      </c>
      <c r="B600">
        <f>IF($A600="","",LEFT(Calc!$E603,4)&amp;MID(Calc!$E603,6,2)&amp;RIGHT(Calc!$E603,2)&amp;Calc!$R603&amp;"|"&amp;"1"&amp;RIGHT("00000"&amp;595,5))</f>
        <v/>
      </c>
      <c r="C600">
        <f>IF($B600="","",COUNTIFS(LdgPartyA,$A600,LdgKeyA,"&lt;"&amp;$B600)+COUNTIFS(LdgPartyB,$A600,LdgKeyB,"&lt;"&amp;$B600)+1)</f>
        <v/>
      </c>
      <c r="D600">
        <f>IF($C600="","",$A600&amp;"|"&amp;RIGHT("000000"&amp;$C600,6))</f>
        <v/>
      </c>
      <c r="F600">
        <f>IF(Sync!$AJ600="","",Sync!$AJ600)</f>
        <v/>
      </c>
      <c r="G600">
        <f>IF($F600="","",IF(Sync!$AG600="","",IF(ISNUMBER(Sync!$AG600),IF(AND(Sync!$AG600&gt;=10000101,Sync!$AG600&lt;=99991231),INT(Sync!$AG600/10000),""),IFERROR(VALUE(TRIM(LEFT(Sync!$AG600,FIND("/",Sync!$AG600)-1))),""))))</f>
        <v/>
      </c>
      <c r="H600">
        <f>IF(OR($F600="",$G600=""),"",IF(ISNUMBER(Sync!$AG600),INT(MOD(Sync!$AG600,10000)/100),IFERROR(VALUE(TRIM(LEFT(MID(Sync!$AG600,FIND("/",Sync!$AG600)+1,20),FIND("/",MID(Sync!$AG600,FIND("/",Sync!$AG600)+1,20))-1))),"")))</f>
        <v/>
      </c>
      <c r="I600">
        <f>IF(OR($F600="",$G600=""),"",IF(ISNUMBER(Sync!$AG600),MOD(Sync!$AG600,100),IFERROR(VALUE(TRIM(MID(MID(Sync!$AG600,FIND("/",Sync!$AG600)+1,20),FIND("/",MID(Sync!$AG600,FIND("/",Sync!$AG600)+1,20))+1,20))),"")))</f>
        <v/>
      </c>
      <c r="J600">
        <f>IF($F600="","",IF(OR($G600="",$H600="",$I600="",$G600&lt;1300,$G600&gt;1500,$H600&lt;1,$H600&gt;12,$I600&lt;1,$I600&gt;31),"نامعتبر",RIGHT("0000"&amp;$G600,4)&amp;"/"&amp;RIGHT("00"&amp;$H600,2)&amp;"/"&amp;RIGHT("00"&amp;$I600,2)))</f>
        <v/>
      </c>
      <c r="K600">
        <f>IF(OR($F600="",$J600="",$J600="نامعتبر"),"",LEFT($J600,4)&amp;MID($J600,6,2)&amp;RIGHT($J600,2)&amp;$N600&amp;"|"&amp;"2"&amp;RIGHT("00000"&amp;595,5))</f>
        <v/>
      </c>
      <c r="L600">
        <f>IF($K600="","",COUNTIFS(LdgPartyA,$F600,LdgKeyA,"&lt;"&amp;$K600)+COUNTIFS(LdgPartyB,$F600,LdgKeyB,"&lt;"&amp;$K600)+1)</f>
        <v/>
      </c>
      <c r="M600">
        <f>IF($L600="","",$F600&amp;"|"&amp;RIGHT("000000"&amp;$L600,6))</f>
        <v/>
      </c>
      <c r="N600">
        <f>IF($F600="","",IF(Sync!$AH600="","0000",IF(AND(ISNUMBER(Sync!$AH600),Sync!$AH600&gt;=0,Sync!$AH600&lt;1),RIGHT("00"&amp;HOUR(Sync!$AH600),2)&amp;RIGHT("00"&amp;MINUTE(Sync!$AH600),2),IFERROR(RIGHT("00"&amp;VALUE(LEFT(Sync!$AH600,FIND(":",Sync!$AH600)-1)),2)&amp;RIGHT("00"&amp;VALUE(MID(Sync!$AH600,FIND(":",Sync!$AH600)+1,2)),2),"0000"))))</f>
        <v/>
      </c>
    </row>
    <row r="601">
      <c r="A601">
        <f>IF(OR(Calc!$E604="",Calc!$E604="نامعتبر",Calc!$G604="",Calc!$I604&lt;&gt;"خرید"),"",Calc!$G604)</f>
        <v/>
      </c>
      <c r="B601">
        <f>IF($A601="","",LEFT(Calc!$E604,4)&amp;MID(Calc!$E604,6,2)&amp;RIGHT(Calc!$E604,2)&amp;Calc!$R604&amp;"|"&amp;"1"&amp;RIGHT("00000"&amp;596,5))</f>
        <v/>
      </c>
      <c r="C601">
        <f>IF($B601="","",COUNTIFS(LdgPartyA,$A601,LdgKeyA,"&lt;"&amp;$B601)+COUNTIFS(LdgPartyB,$A601,LdgKeyB,"&lt;"&amp;$B601)+1)</f>
        <v/>
      </c>
      <c r="D601">
        <f>IF($C601="","",$A601&amp;"|"&amp;RIGHT("000000"&amp;$C601,6))</f>
        <v/>
      </c>
      <c r="F601">
        <f>IF(Sync!$AJ601="","",Sync!$AJ601)</f>
        <v/>
      </c>
      <c r="G601">
        <f>IF($F601="","",IF(Sync!$AG601="","",IF(ISNUMBER(Sync!$AG601),IF(AND(Sync!$AG601&gt;=10000101,Sync!$AG601&lt;=99991231),INT(Sync!$AG601/10000),""),IFERROR(VALUE(TRIM(LEFT(Sync!$AG601,FIND("/",Sync!$AG601)-1))),""))))</f>
        <v/>
      </c>
      <c r="H601">
        <f>IF(OR($F601="",$G601=""),"",IF(ISNUMBER(Sync!$AG601),INT(MOD(Sync!$AG601,10000)/100),IFERROR(VALUE(TRIM(LEFT(MID(Sync!$AG601,FIND("/",Sync!$AG601)+1,20),FIND("/",MID(Sync!$AG601,FIND("/",Sync!$AG601)+1,20))-1))),"")))</f>
        <v/>
      </c>
      <c r="I601">
        <f>IF(OR($F601="",$G601=""),"",IF(ISNUMBER(Sync!$AG601),MOD(Sync!$AG601,100),IFERROR(VALUE(TRIM(MID(MID(Sync!$AG601,FIND("/",Sync!$AG601)+1,20),FIND("/",MID(Sync!$AG601,FIND("/",Sync!$AG601)+1,20))+1,20))),"")))</f>
        <v/>
      </c>
      <c r="J601">
        <f>IF($F601="","",IF(OR($G601="",$H601="",$I601="",$G601&lt;1300,$G601&gt;1500,$H601&lt;1,$H601&gt;12,$I601&lt;1,$I601&gt;31),"نامعتبر",RIGHT("0000"&amp;$G601,4)&amp;"/"&amp;RIGHT("00"&amp;$H601,2)&amp;"/"&amp;RIGHT("00"&amp;$I601,2)))</f>
        <v/>
      </c>
      <c r="K601">
        <f>IF(OR($F601="",$J601="",$J601="نامعتبر"),"",LEFT($J601,4)&amp;MID($J601,6,2)&amp;RIGHT($J601,2)&amp;$N601&amp;"|"&amp;"2"&amp;RIGHT("00000"&amp;596,5))</f>
        <v/>
      </c>
      <c r="L601">
        <f>IF($K601="","",COUNTIFS(LdgPartyA,$F601,LdgKeyA,"&lt;"&amp;$K601)+COUNTIFS(LdgPartyB,$F601,LdgKeyB,"&lt;"&amp;$K601)+1)</f>
        <v/>
      </c>
      <c r="M601">
        <f>IF($L601="","",$F601&amp;"|"&amp;RIGHT("000000"&amp;$L601,6))</f>
        <v/>
      </c>
      <c r="N601">
        <f>IF($F601="","",IF(Sync!$AH601="","0000",IF(AND(ISNUMBER(Sync!$AH601),Sync!$AH601&gt;=0,Sync!$AH601&lt;1),RIGHT("00"&amp;HOUR(Sync!$AH601),2)&amp;RIGHT("00"&amp;MINUTE(Sync!$AH601),2),IFERROR(RIGHT("00"&amp;VALUE(LEFT(Sync!$AH601,FIND(":",Sync!$AH601)-1)),2)&amp;RIGHT("00"&amp;VALUE(MID(Sync!$AH601,FIND(":",Sync!$AH601)+1,2)),2),"0000"))))</f>
        <v/>
      </c>
    </row>
    <row r="602">
      <c r="A602">
        <f>IF(OR(Calc!$E605="",Calc!$E605="نامعتبر",Calc!$G605="",Calc!$I605&lt;&gt;"خرید"),"",Calc!$G605)</f>
        <v/>
      </c>
      <c r="B602">
        <f>IF($A602="","",LEFT(Calc!$E605,4)&amp;MID(Calc!$E605,6,2)&amp;RIGHT(Calc!$E605,2)&amp;Calc!$R605&amp;"|"&amp;"1"&amp;RIGHT("00000"&amp;597,5))</f>
        <v/>
      </c>
      <c r="C602">
        <f>IF($B602="","",COUNTIFS(LdgPartyA,$A602,LdgKeyA,"&lt;"&amp;$B602)+COUNTIFS(LdgPartyB,$A602,LdgKeyB,"&lt;"&amp;$B602)+1)</f>
        <v/>
      </c>
      <c r="D602">
        <f>IF($C602="","",$A602&amp;"|"&amp;RIGHT("000000"&amp;$C602,6))</f>
        <v/>
      </c>
      <c r="F602">
        <f>IF(Sync!$AJ602="","",Sync!$AJ602)</f>
        <v/>
      </c>
      <c r="G602">
        <f>IF($F602="","",IF(Sync!$AG602="","",IF(ISNUMBER(Sync!$AG602),IF(AND(Sync!$AG602&gt;=10000101,Sync!$AG602&lt;=99991231),INT(Sync!$AG602/10000),""),IFERROR(VALUE(TRIM(LEFT(Sync!$AG602,FIND("/",Sync!$AG602)-1))),""))))</f>
        <v/>
      </c>
      <c r="H602">
        <f>IF(OR($F602="",$G602=""),"",IF(ISNUMBER(Sync!$AG602),INT(MOD(Sync!$AG602,10000)/100),IFERROR(VALUE(TRIM(LEFT(MID(Sync!$AG602,FIND("/",Sync!$AG602)+1,20),FIND("/",MID(Sync!$AG602,FIND("/",Sync!$AG602)+1,20))-1))),"")))</f>
        <v/>
      </c>
      <c r="I602">
        <f>IF(OR($F602="",$G602=""),"",IF(ISNUMBER(Sync!$AG602),MOD(Sync!$AG602,100),IFERROR(VALUE(TRIM(MID(MID(Sync!$AG602,FIND("/",Sync!$AG602)+1,20),FIND("/",MID(Sync!$AG602,FIND("/",Sync!$AG602)+1,20))+1,20))),"")))</f>
        <v/>
      </c>
      <c r="J602">
        <f>IF($F602="","",IF(OR($G602="",$H602="",$I602="",$G602&lt;1300,$G602&gt;1500,$H602&lt;1,$H602&gt;12,$I602&lt;1,$I602&gt;31),"نامعتبر",RIGHT("0000"&amp;$G602,4)&amp;"/"&amp;RIGHT("00"&amp;$H602,2)&amp;"/"&amp;RIGHT("00"&amp;$I602,2)))</f>
        <v/>
      </c>
      <c r="K602">
        <f>IF(OR($F602="",$J602="",$J602="نامعتبر"),"",LEFT($J602,4)&amp;MID($J602,6,2)&amp;RIGHT($J602,2)&amp;$N602&amp;"|"&amp;"2"&amp;RIGHT("00000"&amp;597,5))</f>
        <v/>
      </c>
      <c r="L602">
        <f>IF($K602="","",COUNTIFS(LdgPartyA,$F602,LdgKeyA,"&lt;"&amp;$K602)+COUNTIFS(LdgPartyB,$F602,LdgKeyB,"&lt;"&amp;$K602)+1)</f>
        <v/>
      </c>
      <c r="M602">
        <f>IF($L602="","",$F602&amp;"|"&amp;RIGHT("000000"&amp;$L602,6))</f>
        <v/>
      </c>
      <c r="N602">
        <f>IF($F602="","",IF(Sync!$AH602="","0000",IF(AND(ISNUMBER(Sync!$AH602),Sync!$AH602&gt;=0,Sync!$AH602&lt;1),RIGHT("00"&amp;HOUR(Sync!$AH602),2)&amp;RIGHT("00"&amp;MINUTE(Sync!$AH602),2),IFERROR(RIGHT("00"&amp;VALUE(LEFT(Sync!$AH602,FIND(":",Sync!$AH602)-1)),2)&amp;RIGHT("00"&amp;VALUE(MID(Sync!$AH602,FIND(":",Sync!$AH602)+1,2)),2),"0000"))))</f>
        <v/>
      </c>
    </row>
    <row r="603">
      <c r="A603">
        <f>IF(OR(Calc!$E606="",Calc!$E606="نامعتبر",Calc!$G606="",Calc!$I606&lt;&gt;"خرید"),"",Calc!$G606)</f>
        <v/>
      </c>
      <c r="B603">
        <f>IF($A603="","",LEFT(Calc!$E606,4)&amp;MID(Calc!$E606,6,2)&amp;RIGHT(Calc!$E606,2)&amp;Calc!$R606&amp;"|"&amp;"1"&amp;RIGHT("00000"&amp;598,5))</f>
        <v/>
      </c>
      <c r="C603">
        <f>IF($B603="","",COUNTIFS(LdgPartyA,$A603,LdgKeyA,"&lt;"&amp;$B603)+COUNTIFS(LdgPartyB,$A603,LdgKeyB,"&lt;"&amp;$B603)+1)</f>
        <v/>
      </c>
      <c r="D603">
        <f>IF($C603="","",$A603&amp;"|"&amp;RIGHT("000000"&amp;$C603,6))</f>
        <v/>
      </c>
      <c r="F603">
        <f>IF(Sync!$AJ603="","",Sync!$AJ603)</f>
        <v/>
      </c>
      <c r="G603">
        <f>IF($F603="","",IF(Sync!$AG603="","",IF(ISNUMBER(Sync!$AG603),IF(AND(Sync!$AG603&gt;=10000101,Sync!$AG603&lt;=99991231),INT(Sync!$AG603/10000),""),IFERROR(VALUE(TRIM(LEFT(Sync!$AG603,FIND("/",Sync!$AG603)-1))),""))))</f>
        <v/>
      </c>
      <c r="H603">
        <f>IF(OR($F603="",$G603=""),"",IF(ISNUMBER(Sync!$AG603),INT(MOD(Sync!$AG603,10000)/100),IFERROR(VALUE(TRIM(LEFT(MID(Sync!$AG603,FIND("/",Sync!$AG603)+1,20),FIND("/",MID(Sync!$AG603,FIND("/",Sync!$AG603)+1,20))-1))),"")))</f>
        <v/>
      </c>
      <c r="I603">
        <f>IF(OR($F603="",$G603=""),"",IF(ISNUMBER(Sync!$AG603),MOD(Sync!$AG603,100),IFERROR(VALUE(TRIM(MID(MID(Sync!$AG603,FIND("/",Sync!$AG603)+1,20),FIND("/",MID(Sync!$AG603,FIND("/",Sync!$AG603)+1,20))+1,20))),"")))</f>
        <v/>
      </c>
      <c r="J603">
        <f>IF($F603="","",IF(OR($G603="",$H603="",$I603="",$G603&lt;1300,$G603&gt;1500,$H603&lt;1,$H603&gt;12,$I603&lt;1,$I603&gt;31),"نامعتبر",RIGHT("0000"&amp;$G603,4)&amp;"/"&amp;RIGHT("00"&amp;$H603,2)&amp;"/"&amp;RIGHT("00"&amp;$I603,2)))</f>
        <v/>
      </c>
      <c r="K603">
        <f>IF(OR($F603="",$J603="",$J603="نامعتبر"),"",LEFT($J603,4)&amp;MID($J603,6,2)&amp;RIGHT($J603,2)&amp;$N603&amp;"|"&amp;"2"&amp;RIGHT("00000"&amp;598,5))</f>
        <v/>
      </c>
      <c r="L603">
        <f>IF($K603="","",COUNTIFS(LdgPartyA,$F603,LdgKeyA,"&lt;"&amp;$K603)+COUNTIFS(LdgPartyB,$F603,LdgKeyB,"&lt;"&amp;$K603)+1)</f>
        <v/>
      </c>
      <c r="M603">
        <f>IF($L603="","",$F603&amp;"|"&amp;RIGHT("000000"&amp;$L603,6))</f>
        <v/>
      </c>
      <c r="N603">
        <f>IF($F603="","",IF(Sync!$AH603="","0000",IF(AND(ISNUMBER(Sync!$AH603),Sync!$AH603&gt;=0,Sync!$AH603&lt;1),RIGHT("00"&amp;HOUR(Sync!$AH603),2)&amp;RIGHT("00"&amp;MINUTE(Sync!$AH603),2),IFERROR(RIGHT("00"&amp;VALUE(LEFT(Sync!$AH603,FIND(":",Sync!$AH603)-1)),2)&amp;RIGHT("00"&amp;VALUE(MID(Sync!$AH603,FIND(":",Sync!$AH603)+1,2)),2),"0000"))))</f>
        <v/>
      </c>
    </row>
    <row r="604">
      <c r="A604">
        <f>IF(OR(Calc!$E607="",Calc!$E607="نامعتبر",Calc!$G607="",Calc!$I607&lt;&gt;"خرید"),"",Calc!$G607)</f>
        <v/>
      </c>
      <c r="B604">
        <f>IF($A604="","",LEFT(Calc!$E607,4)&amp;MID(Calc!$E607,6,2)&amp;RIGHT(Calc!$E607,2)&amp;Calc!$R607&amp;"|"&amp;"1"&amp;RIGHT("00000"&amp;599,5))</f>
        <v/>
      </c>
      <c r="C604">
        <f>IF($B604="","",COUNTIFS(LdgPartyA,$A604,LdgKeyA,"&lt;"&amp;$B604)+COUNTIFS(LdgPartyB,$A604,LdgKeyB,"&lt;"&amp;$B604)+1)</f>
        <v/>
      </c>
      <c r="D604">
        <f>IF($C604="","",$A604&amp;"|"&amp;RIGHT("000000"&amp;$C604,6))</f>
        <v/>
      </c>
      <c r="F604">
        <f>IF(Sync!$AJ604="","",Sync!$AJ604)</f>
        <v/>
      </c>
      <c r="G604">
        <f>IF($F604="","",IF(Sync!$AG604="","",IF(ISNUMBER(Sync!$AG604),IF(AND(Sync!$AG604&gt;=10000101,Sync!$AG604&lt;=99991231),INT(Sync!$AG604/10000),""),IFERROR(VALUE(TRIM(LEFT(Sync!$AG604,FIND("/",Sync!$AG604)-1))),""))))</f>
        <v/>
      </c>
      <c r="H604">
        <f>IF(OR($F604="",$G604=""),"",IF(ISNUMBER(Sync!$AG604),INT(MOD(Sync!$AG604,10000)/100),IFERROR(VALUE(TRIM(LEFT(MID(Sync!$AG604,FIND("/",Sync!$AG604)+1,20),FIND("/",MID(Sync!$AG604,FIND("/",Sync!$AG604)+1,20))-1))),"")))</f>
        <v/>
      </c>
      <c r="I604">
        <f>IF(OR($F604="",$G604=""),"",IF(ISNUMBER(Sync!$AG604),MOD(Sync!$AG604,100),IFERROR(VALUE(TRIM(MID(MID(Sync!$AG604,FIND("/",Sync!$AG604)+1,20),FIND("/",MID(Sync!$AG604,FIND("/",Sync!$AG604)+1,20))+1,20))),"")))</f>
        <v/>
      </c>
      <c r="J604">
        <f>IF($F604="","",IF(OR($G604="",$H604="",$I604="",$G604&lt;1300,$G604&gt;1500,$H604&lt;1,$H604&gt;12,$I604&lt;1,$I604&gt;31),"نامعتبر",RIGHT("0000"&amp;$G604,4)&amp;"/"&amp;RIGHT("00"&amp;$H604,2)&amp;"/"&amp;RIGHT("00"&amp;$I604,2)))</f>
        <v/>
      </c>
      <c r="K604">
        <f>IF(OR($F604="",$J604="",$J604="نامعتبر"),"",LEFT($J604,4)&amp;MID($J604,6,2)&amp;RIGHT($J604,2)&amp;$N604&amp;"|"&amp;"2"&amp;RIGHT("00000"&amp;599,5))</f>
        <v/>
      </c>
      <c r="L604">
        <f>IF($K604="","",COUNTIFS(LdgPartyA,$F604,LdgKeyA,"&lt;"&amp;$K604)+COUNTIFS(LdgPartyB,$F604,LdgKeyB,"&lt;"&amp;$K604)+1)</f>
        <v/>
      </c>
      <c r="M604">
        <f>IF($L604="","",$F604&amp;"|"&amp;RIGHT("000000"&amp;$L604,6))</f>
        <v/>
      </c>
      <c r="N604">
        <f>IF($F604="","",IF(Sync!$AH604="","0000",IF(AND(ISNUMBER(Sync!$AH604),Sync!$AH604&gt;=0,Sync!$AH604&lt;1),RIGHT("00"&amp;HOUR(Sync!$AH604),2)&amp;RIGHT("00"&amp;MINUTE(Sync!$AH604),2),IFERROR(RIGHT("00"&amp;VALUE(LEFT(Sync!$AH604,FIND(":",Sync!$AH604)-1)),2)&amp;RIGHT("00"&amp;VALUE(MID(Sync!$AH604,FIND(":",Sync!$AH604)+1,2)),2),"0000"))))</f>
        <v/>
      </c>
    </row>
    <row r="605">
      <c r="A605">
        <f>IF(OR(Calc!$E608="",Calc!$E608="نامعتبر",Calc!$G608="",Calc!$I608&lt;&gt;"خرید"),"",Calc!$G608)</f>
        <v/>
      </c>
      <c r="B605">
        <f>IF($A605="","",LEFT(Calc!$E608,4)&amp;MID(Calc!$E608,6,2)&amp;RIGHT(Calc!$E608,2)&amp;Calc!$R608&amp;"|"&amp;"1"&amp;RIGHT("00000"&amp;600,5))</f>
        <v/>
      </c>
      <c r="C605">
        <f>IF($B605="","",COUNTIFS(LdgPartyA,$A605,LdgKeyA,"&lt;"&amp;$B605)+COUNTIFS(LdgPartyB,$A605,LdgKeyB,"&lt;"&amp;$B605)+1)</f>
        <v/>
      </c>
      <c r="D605">
        <f>IF($C605="","",$A605&amp;"|"&amp;RIGHT("000000"&amp;$C605,6))</f>
        <v/>
      </c>
      <c r="F605">
        <f>IF(Sync!$AJ605="","",Sync!$AJ605)</f>
        <v/>
      </c>
      <c r="G605">
        <f>IF($F605="","",IF(Sync!$AG605="","",IF(ISNUMBER(Sync!$AG605),IF(AND(Sync!$AG605&gt;=10000101,Sync!$AG605&lt;=99991231),INT(Sync!$AG605/10000),""),IFERROR(VALUE(TRIM(LEFT(Sync!$AG605,FIND("/",Sync!$AG605)-1))),""))))</f>
        <v/>
      </c>
      <c r="H605">
        <f>IF(OR($F605="",$G605=""),"",IF(ISNUMBER(Sync!$AG605),INT(MOD(Sync!$AG605,10000)/100),IFERROR(VALUE(TRIM(LEFT(MID(Sync!$AG605,FIND("/",Sync!$AG605)+1,20),FIND("/",MID(Sync!$AG605,FIND("/",Sync!$AG605)+1,20))-1))),"")))</f>
        <v/>
      </c>
      <c r="I605">
        <f>IF(OR($F605="",$G605=""),"",IF(ISNUMBER(Sync!$AG605),MOD(Sync!$AG605,100),IFERROR(VALUE(TRIM(MID(MID(Sync!$AG605,FIND("/",Sync!$AG605)+1,20),FIND("/",MID(Sync!$AG605,FIND("/",Sync!$AG605)+1,20))+1,20))),"")))</f>
        <v/>
      </c>
      <c r="J605">
        <f>IF($F605="","",IF(OR($G605="",$H605="",$I605="",$G605&lt;1300,$G605&gt;1500,$H605&lt;1,$H605&gt;12,$I605&lt;1,$I605&gt;31),"نامعتبر",RIGHT("0000"&amp;$G605,4)&amp;"/"&amp;RIGHT("00"&amp;$H605,2)&amp;"/"&amp;RIGHT("00"&amp;$I605,2)))</f>
        <v/>
      </c>
      <c r="K605">
        <f>IF(OR($F605="",$J605="",$J605="نامعتبر"),"",LEFT($J605,4)&amp;MID($J605,6,2)&amp;RIGHT($J605,2)&amp;$N605&amp;"|"&amp;"2"&amp;RIGHT("00000"&amp;600,5))</f>
        <v/>
      </c>
      <c r="L605">
        <f>IF($K605="","",COUNTIFS(LdgPartyA,$F605,LdgKeyA,"&lt;"&amp;$K605)+COUNTIFS(LdgPartyB,$F605,LdgKeyB,"&lt;"&amp;$K605)+1)</f>
        <v/>
      </c>
      <c r="M605">
        <f>IF($L605="","",$F605&amp;"|"&amp;RIGHT("000000"&amp;$L605,6))</f>
        <v/>
      </c>
      <c r="N605">
        <f>IF($F605="","",IF(Sync!$AH605="","0000",IF(AND(ISNUMBER(Sync!$AH605),Sync!$AH605&gt;=0,Sync!$AH605&lt;1),RIGHT("00"&amp;HOUR(Sync!$AH605),2)&amp;RIGHT("00"&amp;MINUTE(Sync!$AH605),2),IFERROR(RIGHT("00"&amp;VALUE(LEFT(Sync!$AH605,FIND(":",Sync!$AH605)-1)),2)&amp;RIGHT("00"&amp;VALUE(MID(Sync!$AH605,FIND(":",Sync!$AH605)+1,2)),2),"0000"))))</f>
        <v/>
      </c>
    </row>
    <row r="606">
      <c r="A606">
        <f>IF(OR(Calc!$E609="",Calc!$E609="نامعتبر",Calc!$G609="",Calc!$I609&lt;&gt;"خرید"),"",Calc!$G609)</f>
        <v/>
      </c>
      <c r="B606">
        <f>IF($A606="","",LEFT(Calc!$E609,4)&amp;MID(Calc!$E609,6,2)&amp;RIGHT(Calc!$E609,2)&amp;Calc!$R609&amp;"|"&amp;"1"&amp;RIGHT("00000"&amp;601,5))</f>
        <v/>
      </c>
      <c r="C606">
        <f>IF($B606="","",COUNTIFS(LdgPartyA,$A606,LdgKeyA,"&lt;"&amp;$B606)+COUNTIFS(LdgPartyB,$A606,LdgKeyB,"&lt;"&amp;$B606)+1)</f>
        <v/>
      </c>
      <c r="D606">
        <f>IF($C606="","",$A606&amp;"|"&amp;RIGHT("000000"&amp;$C606,6))</f>
        <v/>
      </c>
      <c r="F606">
        <f>IF(Sync!$AJ606="","",Sync!$AJ606)</f>
        <v/>
      </c>
      <c r="G606">
        <f>IF($F606="","",IF(Sync!$AG606="","",IF(ISNUMBER(Sync!$AG606),IF(AND(Sync!$AG606&gt;=10000101,Sync!$AG606&lt;=99991231),INT(Sync!$AG606/10000),""),IFERROR(VALUE(TRIM(LEFT(Sync!$AG606,FIND("/",Sync!$AG606)-1))),""))))</f>
        <v/>
      </c>
      <c r="H606">
        <f>IF(OR($F606="",$G606=""),"",IF(ISNUMBER(Sync!$AG606),INT(MOD(Sync!$AG606,10000)/100),IFERROR(VALUE(TRIM(LEFT(MID(Sync!$AG606,FIND("/",Sync!$AG606)+1,20),FIND("/",MID(Sync!$AG606,FIND("/",Sync!$AG606)+1,20))-1))),"")))</f>
        <v/>
      </c>
      <c r="I606">
        <f>IF(OR($F606="",$G606=""),"",IF(ISNUMBER(Sync!$AG606),MOD(Sync!$AG606,100),IFERROR(VALUE(TRIM(MID(MID(Sync!$AG606,FIND("/",Sync!$AG606)+1,20),FIND("/",MID(Sync!$AG606,FIND("/",Sync!$AG606)+1,20))+1,20))),"")))</f>
        <v/>
      </c>
      <c r="J606">
        <f>IF($F606="","",IF(OR($G606="",$H606="",$I606="",$G606&lt;1300,$G606&gt;1500,$H606&lt;1,$H606&gt;12,$I606&lt;1,$I606&gt;31),"نامعتبر",RIGHT("0000"&amp;$G606,4)&amp;"/"&amp;RIGHT("00"&amp;$H606,2)&amp;"/"&amp;RIGHT("00"&amp;$I606,2)))</f>
        <v/>
      </c>
      <c r="K606">
        <f>IF(OR($F606="",$J606="",$J606="نامعتبر"),"",LEFT($J606,4)&amp;MID($J606,6,2)&amp;RIGHT($J606,2)&amp;$N606&amp;"|"&amp;"2"&amp;RIGHT("00000"&amp;601,5))</f>
        <v/>
      </c>
      <c r="L606">
        <f>IF($K606="","",COUNTIFS(LdgPartyA,$F606,LdgKeyA,"&lt;"&amp;$K606)+COUNTIFS(LdgPartyB,$F606,LdgKeyB,"&lt;"&amp;$K606)+1)</f>
        <v/>
      </c>
      <c r="M606">
        <f>IF($L606="","",$F606&amp;"|"&amp;RIGHT("000000"&amp;$L606,6))</f>
        <v/>
      </c>
      <c r="N606">
        <f>IF($F606="","",IF(Sync!$AH606="","0000",IF(AND(ISNUMBER(Sync!$AH606),Sync!$AH606&gt;=0,Sync!$AH606&lt;1),RIGHT("00"&amp;HOUR(Sync!$AH606),2)&amp;RIGHT("00"&amp;MINUTE(Sync!$AH606),2),IFERROR(RIGHT("00"&amp;VALUE(LEFT(Sync!$AH606,FIND(":",Sync!$AH606)-1)),2)&amp;RIGHT("00"&amp;VALUE(MID(Sync!$AH606,FIND(":",Sync!$AH606)+1,2)),2),"0000"))))</f>
        <v/>
      </c>
    </row>
    <row r="607">
      <c r="A607">
        <f>IF(OR(Calc!$E610="",Calc!$E610="نامعتبر",Calc!$G610="",Calc!$I610&lt;&gt;"خرید"),"",Calc!$G610)</f>
        <v/>
      </c>
      <c r="B607">
        <f>IF($A607="","",LEFT(Calc!$E610,4)&amp;MID(Calc!$E610,6,2)&amp;RIGHT(Calc!$E610,2)&amp;Calc!$R610&amp;"|"&amp;"1"&amp;RIGHT("00000"&amp;602,5))</f>
        <v/>
      </c>
      <c r="C607">
        <f>IF($B607="","",COUNTIFS(LdgPartyA,$A607,LdgKeyA,"&lt;"&amp;$B607)+COUNTIFS(LdgPartyB,$A607,LdgKeyB,"&lt;"&amp;$B607)+1)</f>
        <v/>
      </c>
      <c r="D607">
        <f>IF($C607="","",$A607&amp;"|"&amp;RIGHT("000000"&amp;$C607,6))</f>
        <v/>
      </c>
      <c r="F607">
        <f>IF(Sync!$AJ607="","",Sync!$AJ607)</f>
        <v/>
      </c>
      <c r="G607">
        <f>IF($F607="","",IF(Sync!$AG607="","",IF(ISNUMBER(Sync!$AG607),IF(AND(Sync!$AG607&gt;=10000101,Sync!$AG607&lt;=99991231),INT(Sync!$AG607/10000),""),IFERROR(VALUE(TRIM(LEFT(Sync!$AG607,FIND("/",Sync!$AG607)-1))),""))))</f>
        <v/>
      </c>
      <c r="H607">
        <f>IF(OR($F607="",$G607=""),"",IF(ISNUMBER(Sync!$AG607),INT(MOD(Sync!$AG607,10000)/100),IFERROR(VALUE(TRIM(LEFT(MID(Sync!$AG607,FIND("/",Sync!$AG607)+1,20),FIND("/",MID(Sync!$AG607,FIND("/",Sync!$AG607)+1,20))-1))),"")))</f>
        <v/>
      </c>
      <c r="I607">
        <f>IF(OR($F607="",$G607=""),"",IF(ISNUMBER(Sync!$AG607),MOD(Sync!$AG607,100),IFERROR(VALUE(TRIM(MID(MID(Sync!$AG607,FIND("/",Sync!$AG607)+1,20),FIND("/",MID(Sync!$AG607,FIND("/",Sync!$AG607)+1,20))+1,20))),"")))</f>
        <v/>
      </c>
      <c r="J607">
        <f>IF($F607="","",IF(OR($G607="",$H607="",$I607="",$G607&lt;1300,$G607&gt;1500,$H607&lt;1,$H607&gt;12,$I607&lt;1,$I607&gt;31),"نامعتبر",RIGHT("0000"&amp;$G607,4)&amp;"/"&amp;RIGHT("00"&amp;$H607,2)&amp;"/"&amp;RIGHT("00"&amp;$I607,2)))</f>
        <v/>
      </c>
      <c r="K607">
        <f>IF(OR($F607="",$J607="",$J607="نامعتبر"),"",LEFT($J607,4)&amp;MID($J607,6,2)&amp;RIGHT($J607,2)&amp;$N607&amp;"|"&amp;"2"&amp;RIGHT("00000"&amp;602,5))</f>
        <v/>
      </c>
      <c r="L607">
        <f>IF($K607="","",COUNTIFS(LdgPartyA,$F607,LdgKeyA,"&lt;"&amp;$K607)+COUNTIFS(LdgPartyB,$F607,LdgKeyB,"&lt;"&amp;$K607)+1)</f>
        <v/>
      </c>
      <c r="M607">
        <f>IF($L607="","",$F607&amp;"|"&amp;RIGHT("000000"&amp;$L607,6))</f>
        <v/>
      </c>
      <c r="N607">
        <f>IF($F607="","",IF(Sync!$AH607="","0000",IF(AND(ISNUMBER(Sync!$AH607),Sync!$AH607&gt;=0,Sync!$AH607&lt;1),RIGHT("00"&amp;HOUR(Sync!$AH607),2)&amp;RIGHT("00"&amp;MINUTE(Sync!$AH607),2),IFERROR(RIGHT("00"&amp;VALUE(LEFT(Sync!$AH607,FIND(":",Sync!$AH607)-1)),2)&amp;RIGHT("00"&amp;VALUE(MID(Sync!$AH607,FIND(":",Sync!$AH607)+1,2)),2),"0000"))))</f>
        <v/>
      </c>
    </row>
    <row r="608">
      <c r="A608">
        <f>IF(OR(Calc!$E611="",Calc!$E611="نامعتبر",Calc!$G611="",Calc!$I611&lt;&gt;"خرید"),"",Calc!$G611)</f>
        <v/>
      </c>
      <c r="B608">
        <f>IF($A608="","",LEFT(Calc!$E611,4)&amp;MID(Calc!$E611,6,2)&amp;RIGHT(Calc!$E611,2)&amp;Calc!$R611&amp;"|"&amp;"1"&amp;RIGHT("00000"&amp;603,5))</f>
        <v/>
      </c>
      <c r="C608">
        <f>IF($B608="","",COUNTIFS(LdgPartyA,$A608,LdgKeyA,"&lt;"&amp;$B608)+COUNTIFS(LdgPartyB,$A608,LdgKeyB,"&lt;"&amp;$B608)+1)</f>
        <v/>
      </c>
      <c r="D608">
        <f>IF($C608="","",$A608&amp;"|"&amp;RIGHT("000000"&amp;$C608,6))</f>
        <v/>
      </c>
      <c r="F608">
        <f>IF(Sync!$AJ608="","",Sync!$AJ608)</f>
        <v/>
      </c>
      <c r="G608">
        <f>IF($F608="","",IF(Sync!$AG608="","",IF(ISNUMBER(Sync!$AG608),IF(AND(Sync!$AG608&gt;=10000101,Sync!$AG608&lt;=99991231),INT(Sync!$AG608/10000),""),IFERROR(VALUE(TRIM(LEFT(Sync!$AG608,FIND("/",Sync!$AG608)-1))),""))))</f>
        <v/>
      </c>
      <c r="H608">
        <f>IF(OR($F608="",$G608=""),"",IF(ISNUMBER(Sync!$AG608),INT(MOD(Sync!$AG608,10000)/100),IFERROR(VALUE(TRIM(LEFT(MID(Sync!$AG608,FIND("/",Sync!$AG608)+1,20),FIND("/",MID(Sync!$AG608,FIND("/",Sync!$AG608)+1,20))-1))),"")))</f>
        <v/>
      </c>
      <c r="I608">
        <f>IF(OR($F608="",$G608=""),"",IF(ISNUMBER(Sync!$AG608),MOD(Sync!$AG608,100),IFERROR(VALUE(TRIM(MID(MID(Sync!$AG608,FIND("/",Sync!$AG608)+1,20),FIND("/",MID(Sync!$AG608,FIND("/",Sync!$AG608)+1,20))+1,20))),"")))</f>
        <v/>
      </c>
      <c r="J608">
        <f>IF($F608="","",IF(OR($G608="",$H608="",$I608="",$G608&lt;1300,$G608&gt;1500,$H608&lt;1,$H608&gt;12,$I608&lt;1,$I608&gt;31),"نامعتبر",RIGHT("0000"&amp;$G608,4)&amp;"/"&amp;RIGHT("00"&amp;$H608,2)&amp;"/"&amp;RIGHT("00"&amp;$I608,2)))</f>
        <v/>
      </c>
      <c r="K608">
        <f>IF(OR($F608="",$J608="",$J608="نامعتبر"),"",LEFT($J608,4)&amp;MID($J608,6,2)&amp;RIGHT($J608,2)&amp;$N608&amp;"|"&amp;"2"&amp;RIGHT("00000"&amp;603,5))</f>
        <v/>
      </c>
      <c r="L608">
        <f>IF($K608="","",COUNTIFS(LdgPartyA,$F608,LdgKeyA,"&lt;"&amp;$K608)+COUNTIFS(LdgPartyB,$F608,LdgKeyB,"&lt;"&amp;$K608)+1)</f>
        <v/>
      </c>
      <c r="M608">
        <f>IF($L608="","",$F608&amp;"|"&amp;RIGHT("000000"&amp;$L608,6))</f>
        <v/>
      </c>
      <c r="N608">
        <f>IF($F608="","",IF(Sync!$AH608="","0000",IF(AND(ISNUMBER(Sync!$AH608),Sync!$AH608&gt;=0,Sync!$AH608&lt;1),RIGHT("00"&amp;HOUR(Sync!$AH608),2)&amp;RIGHT("00"&amp;MINUTE(Sync!$AH608),2),IFERROR(RIGHT("00"&amp;VALUE(LEFT(Sync!$AH608,FIND(":",Sync!$AH608)-1)),2)&amp;RIGHT("00"&amp;VALUE(MID(Sync!$AH608,FIND(":",Sync!$AH608)+1,2)),2),"0000"))))</f>
        <v/>
      </c>
    </row>
    <row r="609">
      <c r="A609">
        <f>IF(OR(Calc!$E612="",Calc!$E612="نامعتبر",Calc!$G612="",Calc!$I612&lt;&gt;"خرید"),"",Calc!$G612)</f>
        <v/>
      </c>
      <c r="B609">
        <f>IF($A609="","",LEFT(Calc!$E612,4)&amp;MID(Calc!$E612,6,2)&amp;RIGHT(Calc!$E612,2)&amp;Calc!$R612&amp;"|"&amp;"1"&amp;RIGHT("00000"&amp;604,5))</f>
        <v/>
      </c>
      <c r="C609">
        <f>IF($B609="","",COUNTIFS(LdgPartyA,$A609,LdgKeyA,"&lt;"&amp;$B609)+COUNTIFS(LdgPartyB,$A609,LdgKeyB,"&lt;"&amp;$B609)+1)</f>
        <v/>
      </c>
      <c r="D609">
        <f>IF($C609="","",$A609&amp;"|"&amp;RIGHT("000000"&amp;$C609,6))</f>
        <v/>
      </c>
      <c r="F609">
        <f>IF(Sync!$AJ609="","",Sync!$AJ609)</f>
        <v/>
      </c>
      <c r="G609">
        <f>IF($F609="","",IF(Sync!$AG609="","",IF(ISNUMBER(Sync!$AG609),IF(AND(Sync!$AG609&gt;=10000101,Sync!$AG609&lt;=99991231),INT(Sync!$AG609/10000),""),IFERROR(VALUE(TRIM(LEFT(Sync!$AG609,FIND("/",Sync!$AG609)-1))),""))))</f>
        <v/>
      </c>
      <c r="H609">
        <f>IF(OR($F609="",$G609=""),"",IF(ISNUMBER(Sync!$AG609),INT(MOD(Sync!$AG609,10000)/100),IFERROR(VALUE(TRIM(LEFT(MID(Sync!$AG609,FIND("/",Sync!$AG609)+1,20),FIND("/",MID(Sync!$AG609,FIND("/",Sync!$AG609)+1,20))-1))),"")))</f>
        <v/>
      </c>
      <c r="I609">
        <f>IF(OR($F609="",$G609=""),"",IF(ISNUMBER(Sync!$AG609),MOD(Sync!$AG609,100),IFERROR(VALUE(TRIM(MID(MID(Sync!$AG609,FIND("/",Sync!$AG609)+1,20),FIND("/",MID(Sync!$AG609,FIND("/",Sync!$AG609)+1,20))+1,20))),"")))</f>
        <v/>
      </c>
      <c r="J609">
        <f>IF($F609="","",IF(OR($G609="",$H609="",$I609="",$G609&lt;1300,$G609&gt;1500,$H609&lt;1,$H609&gt;12,$I609&lt;1,$I609&gt;31),"نامعتبر",RIGHT("0000"&amp;$G609,4)&amp;"/"&amp;RIGHT("00"&amp;$H609,2)&amp;"/"&amp;RIGHT("00"&amp;$I609,2)))</f>
        <v/>
      </c>
      <c r="K609">
        <f>IF(OR($F609="",$J609="",$J609="نامعتبر"),"",LEFT($J609,4)&amp;MID($J609,6,2)&amp;RIGHT($J609,2)&amp;$N609&amp;"|"&amp;"2"&amp;RIGHT("00000"&amp;604,5))</f>
        <v/>
      </c>
      <c r="L609">
        <f>IF($K609="","",COUNTIFS(LdgPartyA,$F609,LdgKeyA,"&lt;"&amp;$K609)+COUNTIFS(LdgPartyB,$F609,LdgKeyB,"&lt;"&amp;$K609)+1)</f>
        <v/>
      </c>
      <c r="M609">
        <f>IF($L609="","",$F609&amp;"|"&amp;RIGHT("000000"&amp;$L609,6))</f>
        <v/>
      </c>
      <c r="N609">
        <f>IF($F609="","",IF(Sync!$AH609="","0000",IF(AND(ISNUMBER(Sync!$AH609),Sync!$AH609&gt;=0,Sync!$AH609&lt;1),RIGHT("00"&amp;HOUR(Sync!$AH609),2)&amp;RIGHT("00"&amp;MINUTE(Sync!$AH609),2),IFERROR(RIGHT("00"&amp;VALUE(LEFT(Sync!$AH609,FIND(":",Sync!$AH609)-1)),2)&amp;RIGHT("00"&amp;VALUE(MID(Sync!$AH609,FIND(":",Sync!$AH609)+1,2)),2),"0000"))))</f>
        <v/>
      </c>
    </row>
    <row r="610">
      <c r="A610">
        <f>IF(OR(Calc!$E613="",Calc!$E613="نامعتبر",Calc!$G613="",Calc!$I613&lt;&gt;"خرید"),"",Calc!$G613)</f>
        <v/>
      </c>
      <c r="B610">
        <f>IF($A610="","",LEFT(Calc!$E613,4)&amp;MID(Calc!$E613,6,2)&amp;RIGHT(Calc!$E613,2)&amp;Calc!$R613&amp;"|"&amp;"1"&amp;RIGHT("00000"&amp;605,5))</f>
        <v/>
      </c>
      <c r="C610">
        <f>IF($B610="","",COUNTIFS(LdgPartyA,$A610,LdgKeyA,"&lt;"&amp;$B610)+COUNTIFS(LdgPartyB,$A610,LdgKeyB,"&lt;"&amp;$B610)+1)</f>
        <v/>
      </c>
      <c r="D610">
        <f>IF($C610="","",$A610&amp;"|"&amp;RIGHT("000000"&amp;$C610,6))</f>
        <v/>
      </c>
      <c r="F610">
        <f>IF(Sync!$AJ610="","",Sync!$AJ610)</f>
        <v/>
      </c>
      <c r="G610">
        <f>IF($F610="","",IF(Sync!$AG610="","",IF(ISNUMBER(Sync!$AG610),IF(AND(Sync!$AG610&gt;=10000101,Sync!$AG610&lt;=99991231),INT(Sync!$AG610/10000),""),IFERROR(VALUE(TRIM(LEFT(Sync!$AG610,FIND("/",Sync!$AG610)-1))),""))))</f>
        <v/>
      </c>
      <c r="H610">
        <f>IF(OR($F610="",$G610=""),"",IF(ISNUMBER(Sync!$AG610),INT(MOD(Sync!$AG610,10000)/100),IFERROR(VALUE(TRIM(LEFT(MID(Sync!$AG610,FIND("/",Sync!$AG610)+1,20),FIND("/",MID(Sync!$AG610,FIND("/",Sync!$AG610)+1,20))-1))),"")))</f>
        <v/>
      </c>
      <c r="I610">
        <f>IF(OR($F610="",$G610=""),"",IF(ISNUMBER(Sync!$AG610),MOD(Sync!$AG610,100),IFERROR(VALUE(TRIM(MID(MID(Sync!$AG610,FIND("/",Sync!$AG610)+1,20),FIND("/",MID(Sync!$AG610,FIND("/",Sync!$AG610)+1,20))+1,20))),"")))</f>
        <v/>
      </c>
      <c r="J610">
        <f>IF($F610="","",IF(OR($G610="",$H610="",$I610="",$G610&lt;1300,$G610&gt;1500,$H610&lt;1,$H610&gt;12,$I610&lt;1,$I610&gt;31),"نامعتبر",RIGHT("0000"&amp;$G610,4)&amp;"/"&amp;RIGHT("00"&amp;$H610,2)&amp;"/"&amp;RIGHT("00"&amp;$I610,2)))</f>
        <v/>
      </c>
      <c r="K610">
        <f>IF(OR($F610="",$J610="",$J610="نامعتبر"),"",LEFT($J610,4)&amp;MID($J610,6,2)&amp;RIGHT($J610,2)&amp;$N610&amp;"|"&amp;"2"&amp;RIGHT("00000"&amp;605,5))</f>
        <v/>
      </c>
      <c r="L610">
        <f>IF($K610="","",COUNTIFS(LdgPartyA,$F610,LdgKeyA,"&lt;"&amp;$K610)+COUNTIFS(LdgPartyB,$F610,LdgKeyB,"&lt;"&amp;$K610)+1)</f>
        <v/>
      </c>
      <c r="M610">
        <f>IF($L610="","",$F610&amp;"|"&amp;RIGHT("000000"&amp;$L610,6))</f>
        <v/>
      </c>
      <c r="N610">
        <f>IF($F610="","",IF(Sync!$AH610="","0000",IF(AND(ISNUMBER(Sync!$AH610),Sync!$AH610&gt;=0,Sync!$AH610&lt;1),RIGHT("00"&amp;HOUR(Sync!$AH610),2)&amp;RIGHT("00"&amp;MINUTE(Sync!$AH610),2),IFERROR(RIGHT("00"&amp;VALUE(LEFT(Sync!$AH610,FIND(":",Sync!$AH610)-1)),2)&amp;RIGHT("00"&amp;VALUE(MID(Sync!$AH610,FIND(":",Sync!$AH610)+1,2)),2),"0000"))))</f>
        <v/>
      </c>
    </row>
    <row r="611">
      <c r="A611">
        <f>IF(OR(Calc!$E614="",Calc!$E614="نامعتبر",Calc!$G614="",Calc!$I614&lt;&gt;"خرید"),"",Calc!$G614)</f>
        <v/>
      </c>
      <c r="B611">
        <f>IF($A611="","",LEFT(Calc!$E614,4)&amp;MID(Calc!$E614,6,2)&amp;RIGHT(Calc!$E614,2)&amp;Calc!$R614&amp;"|"&amp;"1"&amp;RIGHT("00000"&amp;606,5))</f>
        <v/>
      </c>
      <c r="C611">
        <f>IF($B611="","",COUNTIFS(LdgPartyA,$A611,LdgKeyA,"&lt;"&amp;$B611)+COUNTIFS(LdgPartyB,$A611,LdgKeyB,"&lt;"&amp;$B611)+1)</f>
        <v/>
      </c>
      <c r="D611">
        <f>IF($C611="","",$A611&amp;"|"&amp;RIGHT("000000"&amp;$C611,6))</f>
        <v/>
      </c>
      <c r="F611">
        <f>IF(Sync!$AJ611="","",Sync!$AJ611)</f>
        <v/>
      </c>
      <c r="G611">
        <f>IF($F611="","",IF(Sync!$AG611="","",IF(ISNUMBER(Sync!$AG611),IF(AND(Sync!$AG611&gt;=10000101,Sync!$AG611&lt;=99991231),INT(Sync!$AG611/10000),""),IFERROR(VALUE(TRIM(LEFT(Sync!$AG611,FIND("/",Sync!$AG611)-1))),""))))</f>
        <v/>
      </c>
      <c r="H611">
        <f>IF(OR($F611="",$G611=""),"",IF(ISNUMBER(Sync!$AG611),INT(MOD(Sync!$AG611,10000)/100),IFERROR(VALUE(TRIM(LEFT(MID(Sync!$AG611,FIND("/",Sync!$AG611)+1,20),FIND("/",MID(Sync!$AG611,FIND("/",Sync!$AG611)+1,20))-1))),"")))</f>
        <v/>
      </c>
      <c r="I611">
        <f>IF(OR($F611="",$G611=""),"",IF(ISNUMBER(Sync!$AG611),MOD(Sync!$AG611,100),IFERROR(VALUE(TRIM(MID(MID(Sync!$AG611,FIND("/",Sync!$AG611)+1,20),FIND("/",MID(Sync!$AG611,FIND("/",Sync!$AG611)+1,20))+1,20))),"")))</f>
        <v/>
      </c>
      <c r="J611">
        <f>IF($F611="","",IF(OR($G611="",$H611="",$I611="",$G611&lt;1300,$G611&gt;1500,$H611&lt;1,$H611&gt;12,$I611&lt;1,$I611&gt;31),"نامعتبر",RIGHT("0000"&amp;$G611,4)&amp;"/"&amp;RIGHT("00"&amp;$H611,2)&amp;"/"&amp;RIGHT("00"&amp;$I611,2)))</f>
        <v/>
      </c>
      <c r="K611">
        <f>IF(OR($F611="",$J611="",$J611="نامعتبر"),"",LEFT($J611,4)&amp;MID($J611,6,2)&amp;RIGHT($J611,2)&amp;$N611&amp;"|"&amp;"2"&amp;RIGHT("00000"&amp;606,5))</f>
        <v/>
      </c>
      <c r="L611">
        <f>IF($K611="","",COUNTIFS(LdgPartyA,$F611,LdgKeyA,"&lt;"&amp;$K611)+COUNTIFS(LdgPartyB,$F611,LdgKeyB,"&lt;"&amp;$K611)+1)</f>
        <v/>
      </c>
      <c r="M611">
        <f>IF($L611="","",$F611&amp;"|"&amp;RIGHT("000000"&amp;$L611,6))</f>
        <v/>
      </c>
      <c r="N611">
        <f>IF($F611="","",IF(Sync!$AH611="","0000",IF(AND(ISNUMBER(Sync!$AH611),Sync!$AH611&gt;=0,Sync!$AH611&lt;1),RIGHT("00"&amp;HOUR(Sync!$AH611),2)&amp;RIGHT("00"&amp;MINUTE(Sync!$AH611),2),IFERROR(RIGHT("00"&amp;VALUE(LEFT(Sync!$AH611,FIND(":",Sync!$AH611)-1)),2)&amp;RIGHT("00"&amp;VALUE(MID(Sync!$AH611,FIND(":",Sync!$AH611)+1,2)),2),"0000"))))</f>
        <v/>
      </c>
    </row>
    <row r="612">
      <c r="A612">
        <f>IF(OR(Calc!$E615="",Calc!$E615="نامعتبر",Calc!$G615="",Calc!$I615&lt;&gt;"خرید"),"",Calc!$G615)</f>
        <v/>
      </c>
      <c r="B612">
        <f>IF($A612="","",LEFT(Calc!$E615,4)&amp;MID(Calc!$E615,6,2)&amp;RIGHT(Calc!$E615,2)&amp;Calc!$R615&amp;"|"&amp;"1"&amp;RIGHT("00000"&amp;607,5))</f>
        <v/>
      </c>
      <c r="C612">
        <f>IF($B612="","",COUNTIFS(LdgPartyA,$A612,LdgKeyA,"&lt;"&amp;$B612)+COUNTIFS(LdgPartyB,$A612,LdgKeyB,"&lt;"&amp;$B612)+1)</f>
        <v/>
      </c>
      <c r="D612">
        <f>IF($C612="","",$A612&amp;"|"&amp;RIGHT("000000"&amp;$C612,6))</f>
        <v/>
      </c>
      <c r="F612">
        <f>IF(Sync!$AJ612="","",Sync!$AJ612)</f>
        <v/>
      </c>
      <c r="G612">
        <f>IF($F612="","",IF(Sync!$AG612="","",IF(ISNUMBER(Sync!$AG612),IF(AND(Sync!$AG612&gt;=10000101,Sync!$AG612&lt;=99991231),INT(Sync!$AG612/10000),""),IFERROR(VALUE(TRIM(LEFT(Sync!$AG612,FIND("/",Sync!$AG612)-1))),""))))</f>
        <v/>
      </c>
      <c r="H612">
        <f>IF(OR($F612="",$G612=""),"",IF(ISNUMBER(Sync!$AG612),INT(MOD(Sync!$AG612,10000)/100),IFERROR(VALUE(TRIM(LEFT(MID(Sync!$AG612,FIND("/",Sync!$AG612)+1,20),FIND("/",MID(Sync!$AG612,FIND("/",Sync!$AG612)+1,20))-1))),"")))</f>
        <v/>
      </c>
      <c r="I612">
        <f>IF(OR($F612="",$G612=""),"",IF(ISNUMBER(Sync!$AG612),MOD(Sync!$AG612,100),IFERROR(VALUE(TRIM(MID(MID(Sync!$AG612,FIND("/",Sync!$AG612)+1,20),FIND("/",MID(Sync!$AG612,FIND("/",Sync!$AG612)+1,20))+1,20))),"")))</f>
        <v/>
      </c>
      <c r="J612">
        <f>IF($F612="","",IF(OR($G612="",$H612="",$I612="",$G612&lt;1300,$G612&gt;1500,$H612&lt;1,$H612&gt;12,$I612&lt;1,$I612&gt;31),"نامعتبر",RIGHT("0000"&amp;$G612,4)&amp;"/"&amp;RIGHT("00"&amp;$H612,2)&amp;"/"&amp;RIGHT("00"&amp;$I612,2)))</f>
        <v/>
      </c>
      <c r="K612">
        <f>IF(OR($F612="",$J612="",$J612="نامعتبر"),"",LEFT($J612,4)&amp;MID($J612,6,2)&amp;RIGHT($J612,2)&amp;$N612&amp;"|"&amp;"2"&amp;RIGHT("00000"&amp;607,5))</f>
        <v/>
      </c>
      <c r="L612">
        <f>IF($K612="","",COUNTIFS(LdgPartyA,$F612,LdgKeyA,"&lt;"&amp;$K612)+COUNTIFS(LdgPartyB,$F612,LdgKeyB,"&lt;"&amp;$K612)+1)</f>
        <v/>
      </c>
      <c r="M612">
        <f>IF($L612="","",$F612&amp;"|"&amp;RIGHT("000000"&amp;$L612,6))</f>
        <v/>
      </c>
      <c r="N612">
        <f>IF($F612="","",IF(Sync!$AH612="","0000",IF(AND(ISNUMBER(Sync!$AH612),Sync!$AH612&gt;=0,Sync!$AH612&lt;1),RIGHT("00"&amp;HOUR(Sync!$AH612),2)&amp;RIGHT("00"&amp;MINUTE(Sync!$AH612),2),IFERROR(RIGHT("00"&amp;VALUE(LEFT(Sync!$AH612,FIND(":",Sync!$AH612)-1)),2)&amp;RIGHT("00"&amp;VALUE(MID(Sync!$AH612,FIND(":",Sync!$AH612)+1,2)),2),"0000"))))</f>
        <v/>
      </c>
    </row>
    <row r="613">
      <c r="A613">
        <f>IF(OR(Calc!$E616="",Calc!$E616="نامعتبر",Calc!$G616="",Calc!$I616&lt;&gt;"خرید"),"",Calc!$G616)</f>
        <v/>
      </c>
      <c r="B613">
        <f>IF($A613="","",LEFT(Calc!$E616,4)&amp;MID(Calc!$E616,6,2)&amp;RIGHT(Calc!$E616,2)&amp;Calc!$R616&amp;"|"&amp;"1"&amp;RIGHT("00000"&amp;608,5))</f>
        <v/>
      </c>
      <c r="C613">
        <f>IF($B613="","",COUNTIFS(LdgPartyA,$A613,LdgKeyA,"&lt;"&amp;$B613)+COUNTIFS(LdgPartyB,$A613,LdgKeyB,"&lt;"&amp;$B613)+1)</f>
        <v/>
      </c>
      <c r="D613">
        <f>IF($C613="","",$A613&amp;"|"&amp;RIGHT("000000"&amp;$C613,6))</f>
        <v/>
      </c>
      <c r="F613">
        <f>IF(Sync!$AJ613="","",Sync!$AJ613)</f>
        <v/>
      </c>
      <c r="G613">
        <f>IF($F613="","",IF(Sync!$AG613="","",IF(ISNUMBER(Sync!$AG613),IF(AND(Sync!$AG613&gt;=10000101,Sync!$AG613&lt;=99991231),INT(Sync!$AG613/10000),""),IFERROR(VALUE(TRIM(LEFT(Sync!$AG613,FIND("/",Sync!$AG613)-1))),""))))</f>
        <v/>
      </c>
      <c r="H613">
        <f>IF(OR($F613="",$G613=""),"",IF(ISNUMBER(Sync!$AG613),INT(MOD(Sync!$AG613,10000)/100),IFERROR(VALUE(TRIM(LEFT(MID(Sync!$AG613,FIND("/",Sync!$AG613)+1,20),FIND("/",MID(Sync!$AG613,FIND("/",Sync!$AG613)+1,20))-1))),"")))</f>
        <v/>
      </c>
      <c r="I613">
        <f>IF(OR($F613="",$G613=""),"",IF(ISNUMBER(Sync!$AG613),MOD(Sync!$AG613,100),IFERROR(VALUE(TRIM(MID(MID(Sync!$AG613,FIND("/",Sync!$AG613)+1,20),FIND("/",MID(Sync!$AG613,FIND("/",Sync!$AG613)+1,20))+1,20))),"")))</f>
        <v/>
      </c>
      <c r="J613">
        <f>IF($F613="","",IF(OR($G613="",$H613="",$I613="",$G613&lt;1300,$G613&gt;1500,$H613&lt;1,$H613&gt;12,$I613&lt;1,$I613&gt;31),"نامعتبر",RIGHT("0000"&amp;$G613,4)&amp;"/"&amp;RIGHT("00"&amp;$H613,2)&amp;"/"&amp;RIGHT("00"&amp;$I613,2)))</f>
        <v/>
      </c>
      <c r="K613">
        <f>IF(OR($F613="",$J613="",$J613="نامعتبر"),"",LEFT($J613,4)&amp;MID($J613,6,2)&amp;RIGHT($J613,2)&amp;$N613&amp;"|"&amp;"2"&amp;RIGHT("00000"&amp;608,5))</f>
        <v/>
      </c>
      <c r="L613">
        <f>IF($K613="","",COUNTIFS(LdgPartyA,$F613,LdgKeyA,"&lt;"&amp;$K613)+COUNTIFS(LdgPartyB,$F613,LdgKeyB,"&lt;"&amp;$K613)+1)</f>
        <v/>
      </c>
      <c r="M613">
        <f>IF($L613="","",$F613&amp;"|"&amp;RIGHT("000000"&amp;$L613,6))</f>
        <v/>
      </c>
      <c r="N613">
        <f>IF($F613="","",IF(Sync!$AH613="","0000",IF(AND(ISNUMBER(Sync!$AH613),Sync!$AH613&gt;=0,Sync!$AH613&lt;1),RIGHT("00"&amp;HOUR(Sync!$AH613),2)&amp;RIGHT("00"&amp;MINUTE(Sync!$AH613),2),IFERROR(RIGHT("00"&amp;VALUE(LEFT(Sync!$AH613,FIND(":",Sync!$AH613)-1)),2)&amp;RIGHT("00"&amp;VALUE(MID(Sync!$AH613,FIND(":",Sync!$AH613)+1,2)),2),"0000"))))</f>
        <v/>
      </c>
    </row>
    <row r="614">
      <c r="A614">
        <f>IF(OR(Calc!$E617="",Calc!$E617="نامعتبر",Calc!$G617="",Calc!$I617&lt;&gt;"خرید"),"",Calc!$G617)</f>
        <v/>
      </c>
      <c r="B614">
        <f>IF($A614="","",LEFT(Calc!$E617,4)&amp;MID(Calc!$E617,6,2)&amp;RIGHT(Calc!$E617,2)&amp;Calc!$R617&amp;"|"&amp;"1"&amp;RIGHT("00000"&amp;609,5))</f>
        <v/>
      </c>
      <c r="C614">
        <f>IF($B614="","",COUNTIFS(LdgPartyA,$A614,LdgKeyA,"&lt;"&amp;$B614)+COUNTIFS(LdgPartyB,$A614,LdgKeyB,"&lt;"&amp;$B614)+1)</f>
        <v/>
      </c>
      <c r="D614">
        <f>IF($C614="","",$A614&amp;"|"&amp;RIGHT("000000"&amp;$C614,6))</f>
        <v/>
      </c>
      <c r="F614">
        <f>IF(Sync!$AJ614="","",Sync!$AJ614)</f>
        <v/>
      </c>
      <c r="G614">
        <f>IF($F614="","",IF(Sync!$AG614="","",IF(ISNUMBER(Sync!$AG614),IF(AND(Sync!$AG614&gt;=10000101,Sync!$AG614&lt;=99991231),INT(Sync!$AG614/10000),""),IFERROR(VALUE(TRIM(LEFT(Sync!$AG614,FIND("/",Sync!$AG614)-1))),""))))</f>
        <v/>
      </c>
      <c r="H614">
        <f>IF(OR($F614="",$G614=""),"",IF(ISNUMBER(Sync!$AG614),INT(MOD(Sync!$AG614,10000)/100),IFERROR(VALUE(TRIM(LEFT(MID(Sync!$AG614,FIND("/",Sync!$AG614)+1,20),FIND("/",MID(Sync!$AG614,FIND("/",Sync!$AG614)+1,20))-1))),"")))</f>
        <v/>
      </c>
      <c r="I614">
        <f>IF(OR($F614="",$G614=""),"",IF(ISNUMBER(Sync!$AG614),MOD(Sync!$AG614,100),IFERROR(VALUE(TRIM(MID(MID(Sync!$AG614,FIND("/",Sync!$AG614)+1,20),FIND("/",MID(Sync!$AG614,FIND("/",Sync!$AG614)+1,20))+1,20))),"")))</f>
        <v/>
      </c>
      <c r="J614">
        <f>IF($F614="","",IF(OR($G614="",$H614="",$I614="",$G614&lt;1300,$G614&gt;1500,$H614&lt;1,$H614&gt;12,$I614&lt;1,$I614&gt;31),"نامعتبر",RIGHT("0000"&amp;$G614,4)&amp;"/"&amp;RIGHT("00"&amp;$H614,2)&amp;"/"&amp;RIGHT("00"&amp;$I614,2)))</f>
        <v/>
      </c>
      <c r="K614">
        <f>IF(OR($F614="",$J614="",$J614="نامعتبر"),"",LEFT($J614,4)&amp;MID($J614,6,2)&amp;RIGHT($J614,2)&amp;$N614&amp;"|"&amp;"2"&amp;RIGHT("00000"&amp;609,5))</f>
        <v/>
      </c>
      <c r="L614">
        <f>IF($K614="","",COUNTIFS(LdgPartyA,$F614,LdgKeyA,"&lt;"&amp;$K614)+COUNTIFS(LdgPartyB,$F614,LdgKeyB,"&lt;"&amp;$K614)+1)</f>
        <v/>
      </c>
      <c r="M614">
        <f>IF($L614="","",$F614&amp;"|"&amp;RIGHT("000000"&amp;$L614,6))</f>
        <v/>
      </c>
      <c r="N614">
        <f>IF($F614="","",IF(Sync!$AH614="","0000",IF(AND(ISNUMBER(Sync!$AH614),Sync!$AH614&gt;=0,Sync!$AH614&lt;1),RIGHT("00"&amp;HOUR(Sync!$AH614),2)&amp;RIGHT("00"&amp;MINUTE(Sync!$AH614),2),IFERROR(RIGHT("00"&amp;VALUE(LEFT(Sync!$AH614,FIND(":",Sync!$AH614)-1)),2)&amp;RIGHT("00"&amp;VALUE(MID(Sync!$AH614,FIND(":",Sync!$AH614)+1,2)),2),"0000"))))</f>
        <v/>
      </c>
    </row>
    <row r="615">
      <c r="A615">
        <f>IF(OR(Calc!$E618="",Calc!$E618="نامعتبر",Calc!$G618="",Calc!$I618&lt;&gt;"خرید"),"",Calc!$G618)</f>
        <v/>
      </c>
      <c r="B615">
        <f>IF($A615="","",LEFT(Calc!$E618,4)&amp;MID(Calc!$E618,6,2)&amp;RIGHT(Calc!$E618,2)&amp;Calc!$R618&amp;"|"&amp;"1"&amp;RIGHT("00000"&amp;610,5))</f>
        <v/>
      </c>
      <c r="C615">
        <f>IF($B615="","",COUNTIFS(LdgPartyA,$A615,LdgKeyA,"&lt;"&amp;$B615)+COUNTIFS(LdgPartyB,$A615,LdgKeyB,"&lt;"&amp;$B615)+1)</f>
        <v/>
      </c>
      <c r="D615">
        <f>IF($C615="","",$A615&amp;"|"&amp;RIGHT("000000"&amp;$C615,6))</f>
        <v/>
      </c>
      <c r="F615">
        <f>IF(Sync!$AJ615="","",Sync!$AJ615)</f>
        <v/>
      </c>
      <c r="G615">
        <f>IF($F615="","",IF(Sync!$AG615="","",IF(ISNUMBER(Sync!$AG615),IF(AND(Sync!$AG615&gt;=10000101,Sync!$AG615&lt;=99991231),INT(Sync!$AG615/10000),""),IFERROR(VALUE(TRIM(LEFT(Sync!$AG615,FIND("/",Sync!$AG615)-1))),""))))</f>
        <v/>
      </c>
      <c r="H615">
        <f>IF(OR($F615="",$G615=""),"",IF(ISNUMBER(Sync!$AG615),INT(MOD(Sync!$AG615,10000)/100),IFERROR(VALUE(TRIM(LEFT(MID(Sync!$AG615,FIND("/",Sync!$AG615)+1,20),FIND("/",MID(Sync!$AG615,FIND("/",Sync!$AG615)+1,20))-1))),"")))</f>
        <v/>
      </c>
      <c r="I615">
        <f>IF(OR($F615="",$G615=""),"",IF(ISNUMBER(Sync!$AG615),MOD(Sync!$AG615,100),IFERROR(VALUE(TRIM(MID(MID(Sync!$AG615,FIND("/",Sync!$AG615)+1,20),FIND("/",MID(Sync!$AG615,FIND("/",Sync!$AG615)+1,20))+1,20))),"")))</f>
        <v/>
      </c>
      <c r="J615">
        <f>IF($F615="","",IF(OR($G615="",$H615="",$I615="",$G615&lt;1300,$G615&gt;1500,$H615&lt;1,$H615&gt;12,$I615&lt;1,$I615&gt;31),"نامعتبر",RIGHT("0000"&amp;$G615,4)&amp;"/"&amp;RIGHT("00"&amp;$H615,2)&amp;"/"&amp;RIGHT("00"&amp;$I615,2)))</f>
        <v/>
      </c>
      <c r="K615">
        <f>IF(OR($F615="",$J615="",$J615="نامعتبر"),"",LEFT($J615,4)&amp;MID($J615,6,2)&amp;RIGHT($J615,2)&amp;$N615&amp;"|"&amp;"2"&amp;RIGHT("00000"&amp;610,5))</f>
        <v/>
      </c>
      <c r="L615">
        <f>IF($K615="","",COUNTIFS(LdgPartyA,$F615,LdgKeyA,"&lt;"&amp;$K615)+COUNTIFS(LdgPartyB,$F615,LdgKeyB,"&lt;"&amp;$K615)+1)</f>
        <v/>
      </c>
      <c r="M615">
        <f>IF($L615="","",$F615&amp;"|"&amp;RIGHT("000000"&amp;$L615,6))</f>
        <v/>
      </c>
      <c r="N615">
        <f>IF($F615="","",IF(Sync!$AH615="","0000",IF(AND(ISNUMBER(Sync!$AH615),Sync!$AH615&gt;=0,Sync!$AH615&lt;1),RIGHT("00"&amp;HOUR(Sync!$AH615),2)&amp;RIGHT("00"&amp;MINUTE(Sync!$AH615),2),IFERROR(RIGHT("00"&amp;VALUE(LEFT(Sync!$AH615,FIND(":",Sync!$AH615)-1)),2)&amp;RIGHT("00"&amp;VALUE(MID(Sync!$AH615,FIND(":",Sync!$AH615)+1,2)),2),"0000"))))</f>
        <v/>
      </c>
    </row>
    <row r="616">
      <c r="A616">
        <f>IF(OR(Calc!$E619="",Calc!$E619="نامعتبر",Calc!$G619="",Calc!$I619&lt;&gt;"خرید"),"",Calc!$G619)</f>
        <v/>
      </c>
      <c r="B616">
        <f>IF($A616="","",LEFT(Calc!$E619,4)&amp;MID(Calc!$E619,6,2)&amp;RIGHT(Calc!$E619,2)&amp;Calc!$R619&amp;"|"&amp;"1"&amp;RIGHT("00000"&amp;611,5))</f>
        <v/>
      </c>
      <c r="C616">
        <f>IF($B616="","",COUNTIFS(LdgPartyA,$A616,LdgKeyA,"&lt;"&amp;$B616)+COUNTIFS(LdgPartyB,$A616,LdgKeyB,"&lt;"&amp;$B616)+1)</f>
        <v/>
      </c>
      <c r="D616">
        <f>IF($C616="","",$A616&amp;"|"&amp;RIGHT("000000"&amp;$C616,6))</f>
        <v/>
      </c>
      <c r="F616">
        <f>IF(Sync!$AJ616="","",Sync!$AJ616)</f>
        <v/>
      </c>
      <c r="G616">
        <f>IF($F616="","",IF(Sync!$AG616="","",IF(ISNUMBER(Sync!$AG616),IF(AND(Sync!$AG616&gt;=10000101,Sync!$AG616&lt;=99991231),INT(Sync!$AG616/10000),""),IFERROR(VALUE(TRIM(LEFT(Sync!$AG616,FIND("/",Sync!$AG616)-1))),""))))</f>
        <v/>
      </c>
      <c r="H616">
        <f>IF(OR($F616="",$G616=""),"",IF(ISNUMBER(Sync!$AG616),INT(MOD(Sync!$AG616,10000)/100),IFERROR(VALUE(TRIM(LEFT(MID(Sync!$AG616,FIND("/",Sync!$AG616)+1,20),FIND("/",MID(Sync!$AG616,FIND("/",Sync!$AG616)+1,20))-1))),"")))</f>
        <v/>
      </c>
      <c r="I616">
        <f>IF(OR($F616="",$G616=""),"",IF(ISNUMBER(Sync!$AG616),MOD(Sync!$AG616,100),IFERROR(VALUE(TRIM(MID(MID(Sync!$AG616,FIND("/",Sync!$AG616)+1,20),FIND("/",MID(Sync!$AG616,FIND("/",Sync!$AG616)+1,20))+1,20))),"")))</f>
        <v/>
      </c>
      <c r="J616">
        <f>IF($F616="","",IF(OR($G616="",$H616="",$I616="",$G616&lt;1300,$G616&gt;1500,$H616&lt;1,$H616&gt;12,$I616&lt;1,$I616&gt;31),"نامعتبر",RIGHT("0000"&amp;$G616,4)&amp;"/"&amp;RIGHT("00"&amp;$H616,2)&amp;"/"&amp;RIGHT("00"&amp;$I616,2)))</f>
        <v/>
      </c>
      <c r="K616">
        <f>IF(OR($F616="",$J616="",$J616="نامعتبر"),"",LEFT($J616,4)&amp;MID($J616,6,2)&amp;RIGHT($J616,2)&amp;$N616&amp;"|"&amp;"2"&amp;RIGHT("00000"&amp;611,5))</f>
        <v/>
      </c>
      <c r="L616">
        <f>IF($K616="","",COUNTIFS(LdgPartyA,$F616,LdgKeyA,"&lt;"&amp;$K616)+COUNTIFS(LdgPartyB,$F616,LdgKeyB,"&lt;"&amp;$K616)+1)</f>
        <v/>
      </c>
      <c r="M616">
        <f>IF($L616="","",$F616&amp;"|"&amp;RIGHT("000000"&amp;$L616,6))</f>
        <v/>
      </c>
      <c r="N616">
        <f>IF($F616="","",IF(Sync!$AH616="","0000",IF(AND(ISNUMBER(Sync!$AH616),Sync!$AH616&gt;=0,Sync!$AH616&lt;1),RIGHT("00"&amp;HOUR(Sync!$AH616),2)&amp;RIGHT("00"&amp;MINUTE(Sync!$AH616),2),IFERROR(RIGHT("00"&amp;VALUE(LEFT(Sync!$AH616,FIND(":",Sync!$AH616)-1)),2)&amp;RIGHT("00"&amp;VALUE(MID(Sync!$AH616,FIND(":",Sync!$AH616)+1,2)),2),"0000"))))</f>
        <v/>
      </c>
    </row>
    <row r="617">
      <c r="A617">
        <f>IF(OR(Calc!$E620="",Calc!$E620="نامعتبر",Calc!$G620="",Calc!$I620&lt;&gt;"خرید"),"",Calc!$G620)</f>
        <v/>
      </c>
      <c r="B617">
        <f>IF($A617="","",LEFT(Calc!$E620,4)&amp;MID(Calc!$E620,6,2)&amp;RIGHT(Calc!$E620,2)&amp;Calc!$R620&amp;"|"&amp;"1"&amp;RIGHT("00000"&amp;612,5))</f>
        <v/>
      </c>
      <c r="C617">
        <f>IF($B617="","",COUNTIFS(LdgPartyA,$A617,LdgKeyA,"&lt;"&amp;$B617)+COUNTIFS(LdgPartyB,$A617,LdgKeyB,"&lt;"&amp;$B617)+1)</f>
        <v/>
      </c>
      <c r="D617">
        <f>IF($C617="","",$A617&amp;"|"&amp;RIGHT("000000"&amp;$C617,6))</f>
        <v/>
      </c>
      <c r="F617">
        <f>IF(Sync!$AJ617="","",Sync!$AJ617)</f>
        <v/>
      </c>
      <c r="G617">
        <f>IF($F617="","",IF(Sync!$AG617="","",IF(ISNUMBER(Sync!$AG617),IF(AND(Sync!$AG617&gt;=10000101,Sync!$AG617&lt;=99991231),INT(Sync!$AG617/10000),""),IFERROR(VALUE(TRIM(LEFT(Sync!$AG617,FIND("/",Sync!$AG617)-1))),""))))</f>
        <v/>
      </c>
      <c r="H617">
        <f>IF(OR($F617="",$G617=""),"",IF(ISNUMBER(Sync!$AG617),INT(MOD(Sync!$AG617,10000)/100),IFERROR(VALUE(TRIM(LEFT(MID(Sync!$AG617,FIND("/",Sync!$AG617)+1,20),FIND("/",MID(Sync!$AG617,FIND("/",Sync!$AG617)+1,20))-1))),"")))</f>
        <v/>
      </c>
      <c r="I617">
        <f>IF(OR($F617="",$G617=""),"",IF(ISNUMBER(Sync!$AG617),MOD(Sync!$AG617,100),IFERROR(VALUE(TRIM(MID(MID(Sync!$AG617,FIND("/",Sync!$AG617)+1,20),FIND("/",MID(Sync!$AG617,FIND("/",Sync!$AG617)+1,20))+1,20))),"")))</f>
        <v/>
      </c>
      <c r="J617">
        <f>IF($F617="","",IF(OR($G617="",$H617="",$I617="",$G617&lt;1300,$G617&gt;1500,$H617&lt;1,$H617&gt;12,$I617&lt;1,$I617&gt;31),"نامعتبر",RIGHT("0000"&amp;$G617,4)&amp;"/"&amp;RIGHT("00"&amp;$H617,2)&amp;"/"&amp;RIGHT("00"&amp;$I617,2)))</f>
        <v/>
      </c>
      <c r="K617">
        <f>IF(OR($F617="",$J617="",$J617="نامعتبر"),"",LEFT($J617,4)&amp;MID($J617,6,2)&amp;RIGHT($J617,2)&amp;$N617&amp;"|"&amp;"2"&amp;RIGHT("00000"&amp;612,5))</f>
        <v/>
      </c>
      <c r="L617">
        <f>IF($K617="","",COUNTIFS(LdgPartyA,$F617,LdgKeyA,"&lt;"&amp;$K617)+COUNTIFS(LdgPartyB,$F617,LdgKeyB,"&lt;"&amp;$K617)+1)</f>
        <v/>
      </c>
      <c r="M617">
        <f>IF($L617="","",$F617&amp;"|"&amp;RIGHT("000000"&amp;$L617,6))</f>
        <v/>
      </c>
      <c r="N617">
        <f>IF($F617="","",IF(Sync!$AH617="","0000",IF(AND(ISNUMBER(Sync!$AH617),Sync!$AH617&gt;=0,Sync!$AH617&lt;1),RIGHT("00"&amp;HOUR(Sync!$AH617),2)&amp;RIGHT("00"&amp;MINUTE(Sync!$AH617),2),IFERROR(RIGHT("00"&amp;VALUE(LEFT(Sync!$AH617,FIND(":",Sync!$AH617)-1)),2)&amp;RIGHT("00"&amp;VALUE(MID(Sync!$AH617,FIND(":",Sync!$AH617)+1,2)),2),"0000"))))</f>
        <v/>
      </c>
    </row>
    <row r="618">
      <c r="A618">
        <f>IF(OR(Calc!$E621="",Calc!$E621="نامعتبر",Calc!$G621="",Calc!$I621&lt;&gt;"خرید"),"",Calc!$G621)</f>
        <v/>
      </c>
      <c r="B618">
        <f>IF($A618="","",LEFT(Calc!$E621,4)&amp;MID(Calc!$E621,6,2)&amp;RIGHT(Calc!$E621,2)&amp;Calc!$R621&amp;"|"&amp;"1"&amp;RIGHT("00000"&amp;613,5))</f>
        <v/>
      </c>
      <c r="C618">
        <f>IF($B618="","",COUNTIFS(LdgPartyA,$A618,LdgKeyA,"&lt;"&amp;$B618)+COUNTIFS(LdgPartyB,$A618,LdgKeyB,"&lt;"&amp;$B618)+1)</f>
        <v/>
      </c>
      <c r="D618">
        <f>IF($C618="","",$A618&amp;"|"&amp;RIGHT("000000"&amp;$C618,6))</f>
        <v/>
      </c>
      <c r="F618">
        <f>IF(Sync!$AJ618="","",Sync!$AJ618)</f>
        <v/>
      </c>
      <c r="G618">
        <f>IF($F618="","",IF(Sync!$AG618="","",IF(ISNUMBER(Sync!$AG618),IF(AND(Sync!$AG618&gt;=10000101,Sync!$AG618&lt;=99991231),INT(Sync!$AG618/10000),""),IFERROR(VALUE(TRIM(LEFT(Sync!$AG618,FIND("/",Sync!$AG618)-1))),""))))</f>
        <v/>
      </c>
      <c r="H618">
        <f>IF(OR($F618="",$G618=""),"",IF(ISNUMBER(Sync!$AG618),INT(MOD(Sync!$AG618,10000)/100),IFERROR(VALUE(TRIM(LEFT(MID(Sync!$AG618,FIND("/",Sync!$AG618)+1,20),FIND("/",MID(Sync!$AG618,FIND("/",Sync!$AG618)+1,20))-1))),"")))</f>
        <v/>
      </c>
      <c r="I618">
        <f>IF(OR($F618="",$G618=""),"",IF(ISNUMBER(Sync!$AG618),MOD(Sync!$AG618,100),IFERROR(VALUE(TRIM(MID(MID(Sync!$AG618,FIND("/",Sync!$AG618)+1,20),FIND("/",MID(Sync!$AG618,FIND("/",Sync!$AG618)+1,20))+1,20))),"")))</f>
        <v/>
      </c>
      <c r="J618">
        <f>IF($F618="","",IF(OR($G618="",$H618="",$I618="",$G618&lt;1300,$G618&gt;1500,$H618&lt;1,$H618&gt;12,$I618&lt;1,$I618&gt;31),"نامعتبر",RIGHT("0000"&amp;$G618,4)&amp;"/"&amp;RIGHT("00"&amp;$H618,2)&amp;"/"&amp;RIGHT("00"&amp;$I618,2)))</f>
        <v/>
      </c>
      <c r="K618">
        <f>IF(OR($F618="",$J618="",$J618="نامعتبر"),"",LEFT($J618,4)&amp;MID($J618,6,2)&amp;RIGHT($J618,2)&amp;$N618&amp;"|"&amp;"2"&amp;RIGHT("00000"&amp;613,5))</f>
        <v/>
      </c>
      <c r="L618">
        <f>IF($K618="","",COUNTIFS(LdgPartyA,$F618,LdgKeyA,"&lt;"&amp;$K618)+COUNTIFS(LdgPartyB,$F618,LdgKeyB,"&lt;"&amp;$K618)+1)</f>
        <v/>
      </c>
      <c r="M618">
        <f>IF($L618="","",$F618&amp;"|"&amp;RIGHT("000000"&amp;$L618,6))</f>
        <v/>
      </c>
      <c r="N618">
        <f>IF($F618="","",IF(Sync!$AH618="","0000",IF(AND(ISNUMBER(Sync!$AH618),Sync!$AH618&gt;=0,Sync!$AH618&lt;1),RIGHT("00"&amp;HOUR(Sync!$AH618),2)&amp;RIGHT("00"&amp;MINUTE(Sync!$AH618),2),IFERROR(RIGHT("00"&amp;VALUE(LEFT(Sync!$AH618,FIND(":",Sync!$AH618)-1)),2)&amp;RIGHT("00"&amp;VALUE(MID(Sync!$AH618,FIND(":",Sync!$AH618)+1,2)),2),"0000"))))</f>
        <v/>
      </c>
    </row>
    <row r="619">
      <c r="A619">
        <f>IF(OR(Calc!$E622="",Calc!$E622="نامعتبر",Calc!$G622="",Calc!$I622&lt;&gt;"خرید"),"",Calc!$G622)</f>
        <v/>
      </c>
      <c r="B619">
        <f>IF($A619="","",LEFT(Calc!$E622,4)&amp;MID(Calc!$E622,6,2)&amp;RIGHT(Calc!$E622,2)&amp;Calc!$R622&amp;"|"&amp;"1"&amp;RIGHT("00000"&amp;614,5))</f>
        <v/>
      </c>
      <c r="C619">
        <f>IF($B619="","",COUNTIFS(LdgPartyA,$A619,LdgKeyA,"&lt;"&amp;$B619)+COUNTIFS(LdgPartyB,$A619,LdgKeyB,"&lt;"&amp;$B619)+1)</f>
        <v/>
      </c>
      <c r="D619">
        <f>IF($C619="","",$A619&amp;"|"&amp;RIGHT("000000"&amp;$C619,6))</f>
        <v/>
      </c>
      <c r="F619">
        <f>IF(Sync!$AJ619="","",Sync!$AJ619)</f>
        <v/>
      </c>
      <c r="G619">
        <f>IF($F619="","",IF(Sync!$AG619="","",IF(ISNUMBER(Sync!$AG619),IF(AND(Sync!$AG619&gt;=10000101,Sync!$AG619&lt;=99991231),INT(Sync!$AG619/10000),""),IFERROR(VALUE(TRIM(LEFT(Sync!$AG619,FIND("/",Sync!$AG619)-1))),""))))</f>
        <v/>
      </c>
      <c r="H619">
        <f>IF(OR($F619="",$G619=""),"",IF(ISNUMBER(Sync!$AG619),INT(MOD(Sync!$AG619,10000)/100),IFERROR(VALUE(TRIM(LEFT(MID(Sync!$AG619,FIND("/",Sync!$AG619)+1,20),FIND("/",MID(Sync!$AG619,FIND("/",Sync!$AG619)+1,20))-1))),"")))</f>
        <v/>
      </c>
      <c r="I619">
        <f>IF(OR($F619="",$G619=""),"",IF(ISNUMBER(Sync!$AG619),MOD(Sync!$AG619,100),IFERROR(VALUE(TRIM(MID(MID(Sync!$AG619,FIND("/",Sync!$AG619)+1,20),FIND("/",MID(Sync!$AG619,FIND("/",Sync!$AG619)+1,20))+1,20))),"")))</f>
        <v/>
      </c>
      <c r="J619">
        <f>IF($F619="","",IF(OR($G619="",$H619="",$I619="",$G619&lt;1300,$G619&gt;1500,$H619&lt;1,$H619&gt;12,$I619&lt;1,$I619&gt;31),"نامعتبر",RIGHT("0000"&amp;$G619,4)&amp;"/"&amp;RIGHT("00"&amp;$H619,2)&amp;"/"&amp;RIGHT("00"&amp;$I619,2)))</f>
        <v/>
      </c>
      <c r="K619">
        <f>IF(OR($F619="",$J619="",$J619="نامعتبر"),"",LEFT($J619,4)&amp;MID($J619,6,2)&amp;RIGHT($J619,2)&amp;$N619&amp;"|"&amp;"2"&amp;RIGHT("00000"&amp;614,5))</f>
        <v/>
      </c>
      <c r="L619">
        <f>IF($K619="","",COUNTIFS(LdgPartyA,$F619,LdgKeyA,"&lt;"&amp;$K619)+COUNTIFS(LdgPartyB,$F619,LdgKeyB,"&lt;"&amp;$K619)+1)</f>
        <v/>
      </c>
      <c r="M619">
        <f>IF($L619="","",$F619&amp;"|"&amp;RIGHT("000000"&amp;$L619,6))</f>
        <v/>
      </c>
      <c r="N619">
        <f>IF($F619="","",IF(Sync!$AH619="","0000",IF(AND(ISNUMBER(Sync!$AH619),Sync!$AH619&gt;=0,Sync!$AH619&lt;1),RIGHT("00"&amp;HOUR(Sync!$AH619),2)&amp;RIGHT("00"&amp;MINUTE(Sync!$AH619),2),IFERROR(RIGHT("00"&amp;VALUE(LEFT(Sync!$AH619,FIND(":",Sync!$AH619)-1)),2)&amp;RIGHT("00"&amp;VALUE(MID(Sync!$AH619,FIND(":",Sync!$AH619)+1,2)),2),"0000"))))</f>
        <v/>
      </c>
    </row>
    <row r="620">
      <c r="A620">
        <f>IF(OR(Calc!$E623="",Calc!$E623="نامعتبر",Calc!$G623="",Calc!$I623&lt;&gt;"خرید"),"",Calc!$G623)</f>
        <v/>
      </c>
      <c r="B620">
        <f>IF($A620="","",LEFT(Calc!$E623,4)&amp;MID(Calc!$E623,6,2)&amp;RIGHT(Calc!$E623,2)&amp;Calc!$R623&amp;"|"&amp;"1"&amp;RIGHT("00000"&amp;615,5))</f>
        <v/>
      </c>
      <c r="C620">
        <f>IF($B620="","",COUNTIFS(LdgPartyA,$A620,LdgKeyA,"&lt;"&amp;$B620)+COUNTIFS(LdgPartyB,$A620,LdgKeyB,"&lt;"&amp;$B620)+1)</f>
        <v/>
      </c>
      <c r="D620">
        <f>IF($C620="","",$A620&amp;"|"&amp;RIGHT("000000"&amp;$C620,6))</f>
        <v/>
      </c>
      <c r="F620">
        <f>IF(Sync!$AJ620="","",Sync!$AJ620)</f>
        <v/>
      </c>
      <c r="G620">
        <f>IF($F620="","",IF(Sync!$AG620="","",IF(ISNUMBER(Sync!$AG620),IF(AND(Sync!$AG620&gt;=10000101,Sync!$AG620&lt;=99991231),INT(Sync!$AG620/10000),""),IFERROR(VALUE(TRIM(LEFT(Sync!$AG620,FIND("/",Sync!$AG620)-1))),""))))</f>
        <v/>
      </c>
      <c r="H620">
        <f>IF(OR($F620="",$G620=""),"",IF(ISNUMBER(Sync!$AG620),INT(MOD(Sync!$AG620,10000)/100),IFERROR(VALUE(TRIM(LEFT(MID(Sync!$AG620,FIND("/",Sync!$AG620)+1,20),FIND("/",MID(Sync!$AG620,FIND("/",Sync!$AG620)+1,20))-1))),"")))</f>
        <v/>
      </c>
      <c r="I620">
        <f>IF(OR($F620="",$G620=""),"",IF(ISNUMBER(Sync!$AG620),MOD(Sync!$AG620,100),IFERROR(VALUE(TRIM(MID(MID(Sync!$AG620,FIND("/",Sync!$AG620)+1,20),FIND("/",MID(Sync!$AG620,FIND("/",Sync!$AG620)+1,20))+1,20))),"")))</f>
        <v/>
      </c>
      <c r="J620">
        <f>IF($F620="","",IF(OR($G620="",$H620="",$I620="",$G620&lt;1300,$G620&gt;1500,$H620&lt;1,$H620&gt;12,$I620&lt;1,$I620&gt;31),"نامعتبر",RIGHT("0000"&amp;$G620,4)&amp;"/"&amp;RIGHT("00"&amp;$H620,2)&amp;"/"&amp;RIGHT("00"&amp;$I620,2)))</f>
        <v/>
      </c>
      <c r="K620">
        <f>IF(OR($F620="",$J620="",$J620="نامعتبر"),"",LEFT($J620,4)&amp;MID($J620,6,2)&amp;RIGHT($J620,2)&amp;$N620&amp;"|"&amp;"2"&amp;RIGHT("00000"&amp;615,5))</f>
        <v/>
      </c>
      <c r="L620">
        <f>IF($K620="","",COUNTIFS(LdgPartyA,$F620,LdgKeyA,"&lt;"&amp;$K620)+COUNTIFS(LdgPartyB,$F620,LdgKeyB,"&lt;"&amp;$K620)+1)</f>
        <v/>
      </c>
      <c r="M620">
        <f>IF($L620="","",$F620&amp;"|"&amp;RIGHT("000000"&amp;$L620,6))</f>
        <v/>
      </c>
      <c r="N620">
        <f>IF($F620="","",IF(Sync!$AH620="","0000",IF(AND(ISNUMBER(Sync!$AH620),Sync!$AH620&gt;=0,Sync!$AH620&lt;1),RIGHT("00"&amp;HOUR(Sync!$AH620),2)&amp;RIGHT("00"&amp;MINUTE(Sync!$AH620),2),IFERROR(RIGHT("00"&amp;VALUE(LEFT(Sync!$AH620,FIND(":",Sync!$AH620)-1)),2)&amp;RIGHT("00"&amp;VALUE(MID(Sync!$AH620,FIND(":",Sync!$AH620)+1,2)),2),"0000"))))</f>
        <v/>
      </c>
    </row>
    <row r="621">
      <c r="A621">
        <f>IF(OR(Calc!$E624="",Calc!$E624="نامعتبر",Calc!$G624="",Calc!$I624&lt;&gt;"خرید"),"",Calc!$G624)</f>
        <v/>
      </c>
      <c r="B621">
        <f>IF($A621="","",LEFT(Calc!$E624,4)&amp;MID(Calc!$E624,6,2)&amp;RIGHT(Calc!$E624,2)&amp;Calc!$R624&amp;"|"&amp;"1"&amp;RIGHT("00000"&amp;616,5))</f>
        <v/>
      </c>
      <c r="C621">
        <f>IF($B621="","",COUNTIFS(LdgPartyA,$A621,LdgKeyA,"&lt;"&amp;$B621)+COUNTIFS(LdgPartyB,$A621,LdgKeyB,"&lt;"&amp;$B621)+1)</f>
        <v/>
      </c>
      <c r="D621">
        <f>IF($C621="","",$A621&amp;"|"&amp;RIGHT("000000"&amp;$C621,6))</f>
        <v/>
      </c>
      <c r="F621">
        <f>IF(Sync!$AJ621="","",Sync!$AJ621)</f>
        <v/>
      </c>
      <c r="G621">
        <f>IF($F621="","",IF(Sync!$AG621="","",IF(ISNUMBER(Sync!$AG621),IF(AND(Sync!$AG621&gt;=10000101,Sync!$AG621&lt;=99991231),INT(Sync!$AG621/10000),""),IFERROR(VALUE(TRIM(LEFT(Sync!$AG621,FIND("/",Sync!$AG621)-1))),""))))</f>
        <v/>
      </c>
      <c r="H621">
        <f>IF(OR($F621="",$G621=""),"",IF(ISNUMBER(Sync!$AG621),INT(MOD(Sync!$AG621,10000)/100),IFERROR(VALUE(TRIM(LEFT(MID(Sync!$AG621,FIND("/",Sync!$AG621)+1,20),FIND("/",MID(Sync!$AG621,FIND("/",Sync!$AG621)+1,20))-1))),"")))</f>
        <v/>
      </c>
      <c r="I621">
        <f>IF(OR($F621="",$G621=""),"",IF(ISNUMBER(Sync!$AG621),MOD(Sync!$AG621,100),IFERROR(VALUE(TRIM(MID(MID(Sync!$AG621,FIND("/",Sync!$AG621)+1,20),FIND("/",MID(Sync!$AG621,FIND("/",Sync!$AG621)+1,20))+1,20))),"")))</f>
        <v/>
      </c>
      <c r="J621">
        <f>IF($F621="","",IF(OR($G621="",$H621="",$I621="",$G621&lt;1300,$G621&gt;1500,$H621&lt;1,$H621&gt;12,$I621&lt;1,$I621&gt;31),"نامعتبر",RIGHT("0000"&amp;$G621,4)&amp;"/"&amp;RIGHT("00"&amp;$H621,2)&amp;"/"&amp;RIGHT("00"&amp;$I621,2)))</f>
        <v/>
      </c>
      <c r="K621">
        <f>IF(OR($F621="",$J621="",$J621="نامعتبر"),"",LEFT($J621,4)&amp;MID($J621,6,2)&amp;RIGHT($J621,2)&amp;$N621&amp;"|"&amp;"2"&amp;RIGHT("00000"&amp;616,5))</f>
        <v/>
      </c>
      <c r="L621">
        <f>IF($K621="","",COUNTIFS(LdgPartyA,$F621,LdgKeyA,"&lt;"&amp;$K621)+COUNTIFS(LdgPartyB,$F621,LdgKeyB,"&lt;"&amp;$K621)+1)</f>
        <v/>
      </c>
      <c r="M621">
        <f>IF($L621="","",$F621&amp;"|"&amp;RIGHT("000000"&amp;$L621,6))</f>
        <v/>
      </c>
      <c r="N621">
        <f>IF($F621="","",IF(Sync!$AH621="","0000",IF(AND(ISNUMBER(Sync!$AH621),Sync!$AH621&gt;=0,Sync!$AH621&lt;1),RIGHT("00"&amp;HOUR(Sync!$AH621),2)&amp;RIGHT("00"&amp;MINUTE(Sync!$AH621),2),IFERROR(RIGHT("00"&amp;VALUE(LEFT(Sync!$AH621,FIND(":",Sync!$AH621)-1)),2)&amp;RIGHT("00"&amp;VALUE(MID(Sync!$AH621,FIND(":",Sync!$AH621)+1,2)),2),"0000"))))</f>
        <v/>
      </c>
    </row>
    <row r="622">
      <c r="A622">
        <f>IF(OR(Calc!$E625="",Calc!$E625="نامعتبر",Calc!$G625="",Calc!$I625&lt;&gt;"خرید"),"",Calc!$G625)</f>
        <v/>
      </c>
      <c r="B622">
        <f>IF($A622="","",LEFT(Calc!$E625,4)&amp;MID(Calc!$E625,6,2)&amp;RIGHT(Calc!$E625,2)&amp;Calc!$R625&amp;"|"&amp;"1"&amp;RIGHT("00000"&amp;617,5))</f>
        <v/>
      </c>
      <c r="C622">
        <f>IF($B622="","",COUNTIFS(LdgPartyA,$A622,LdgKeyA,"&lt;"&amp;$B622)+COUNTIFS(LdgPartyB,$A622,LdgKeyB,"&lt;"&amp;$B622)+1)</f>
        <v/>
      </c>
      <c r="D622">
        <f>IF($C622="","",$A622&amp;"|"&amp;RIGHT("000000"&amp;$C622,6))</f>
        <v/>
      </c>
      <c r="F622">
        <f>IF(Sync!$AJ622="","",Sync!$AJ622)</f>
        <v/>
      </c>
      <c r="G622">
        <f>IF($F622="","",IF(Sync!$AG622="","",IF(ISNUMBER(Sync!$AG622),IF(AND(Sync!$AG622&gt;=10000101,Sync!$AG622&lt;=99991231),INT(Sync!$AG622/10000),""),IFERROR(VALUE(TRIM(LEFT(Sync!$AG622,FIND("/",Sync!$AG622)-1))),""))))</f>
        <v/>
      </c>
      <c r="H622">
        <f>IF(OR($F622="",$G622=""),"",IF(ISNUMBER(Sync!$AG622),INT(MOD(Sync!$AG622,10000)/100),IFERROR(VALUE(TRIM(LEFT(MID(Sync!$AG622,FIND("/",Sync!$AG622)+1,20),FIND("/",MID(Sync!$AG622,FIND("/",Sync!$AG622)+1,20))-1))),"")))</f>
        <v/>
      </c>
      <c r="I622">
        <f>IF(OR($F622="",$G622=""),"",IF(ISNUMBER(Sync!$AG622),MOD(Sync!$AG622,100),IFERROR(VALUE(TRIM(MID(MID(Sync!$AG622,FIND("/",Sync!$AG622)+1,20),FIND("/",MID(Sync!$AG622,FIND("/",Sync!$AG622)+1,20))+1,20))),"")))</f>
        <v/>
      </c>
      <c r="J622">
        <f>IF($F622="","",IF(OR($G622="",$H622="",$I622="",$G622&lt;1300,$G622&gt;1500,$H622&lt;1,$H622&gt;12,$I622&lt;1,$I622&gt;31),"نامعتبر",RIGHT("0000"&amp;$G622,4)&amp;"/"&amp;RIGHT("00"&amp;$H622,2)&amp;"/"&amp;RIGHT("00"&amp;$I622,2)))</f>
        <v/>
      </c>
      <c r="K622">
        <f>IF(OR($F622="",$J622="",$J622="نامعتبر"),"",LEFT($J622,4)&amp;MID($J622,6,2)&amp;RIGHT($J622,2)&amp;$N622&amp;"|"&amp;"2"&amp;RIGHT("00000"&amp;617,5))</f>
        <v/>
      </c>
      <c r="L622">
        <f>IF($K622="","",COUNTIFS(LdgPartyA,$F622,LdgKeyA,"&lt;"&amp;$K622)+COUNTIFS(LdgPartyB,$F622,LdgKeyB,"&lt;"&amp;$K622)+1)</f>
        <v/>
      </c>
      <c r="M622">
        <f>IF($L622="","",$F622&amp;"|"&amp;RIGHT("000000"&amp;$L622,6))</f>
        <v/>
      </c>
      <c r="N622">
        <f>IF($F622="","",IF(Sync!$AH622="","0000",IF(AND(ISNUMBER(Sync!$AH622),Sync!$AH622&gt;=0,Sync!$AH622&lt;1),RIGHT("00"&amp;HOUR(Sync!$AH622),2)&amp;RIGHT("00"&amp;MINUTE(Sync!$AH622),2),IFERROR(RIGHT("00"&amp;VALUE(LEFT(Sync!$AH622,FIND(":",Sync!$AH622)-1)),2)&amp;RIGHT("00"&amp;VALUE(MID(Sync!$AH622,FIND(":",Sync!$AH622)+1,2)),2),"0000"))))</f>
        <v/>
      </c>
    </row>
    <row r="623">
      <c r="A623">
        <f>IF(OR(Calc!$E626="",Calc!$E626="نامعتبر",Calc!$G626="",Calc!$I626&lt;&gt;"خرید"),"",Calc!$G626)</f>
        <v/>
      </c>
      <c r="B623">
        <f>IF($A623="","",LEFT(Calc!$E626,4)&amp;MID(Calc!$E626,6,2)&amp;RIGHT(Calc!$E626,2)&amp;Calc!$R626&amp;"|"&amp;"1"&amp;RIGHT("00000"&amp;618,5))</f>
        <v/>
      </c>
      <c r="C623">
        <f>IF($B623="","",COUNTIFS(LdgPartyA,$A623,LdgKeyA,"&lt;"&amp;$B623)+COUNTIFS(LdgPartyB,$A623,LdgKeyB,"&lt;"&amp;$B623)+1)</f>
        <v/>
      </c>
      <c r="D623">
        <f>IF($C623="","",$A623&amp;"|"&amp;RIGHT("000000"&amp;$C623,6))</f>
        <v/>
      </c>
      <c r="F623">
        <f>IF(Sync!$AJ623="","",Sync!$AJ623)</f>
        <v/>
      </c>
      <c r="G623">
        <f>IF($F623="","",IF(Sync!$AG623="","",IF(ISNUMBER(Sync!$AG623),IF(AND(Sync!$AG623&gt;=10000101,Sync!$AG623&lt;=99991231),INT(Sync!$AG623/10000),""),IFERROR(VALUE(TRIM(LEFT(Sync!$AG623,FIND("/",Sync!$AG623)-1))),""))))</f>
        <v/>
      </c>
      <c r="H623">
        <f>IF(OR($F623="",$G623=""),"",IF(ISNUMBER(Sync!$AG623),INT(MOD(Sync!$AG623,10000)/100),IFERROR(VALUE(TRIM(LEFT(MID(Sync!$AG623,FIND("/",Sync!$AG623)+1,20),FIND("/",MID(Sync!$AG623,FIND("/",Sync!$AG623)+1,20))-1))),"")))</f>
        <v/>
      </c>
      <c r="I623">
        <f>IF(OR($F623="",$G623=""),"",IF(ISNUMBER(Sync!$AG623),MOD(Sync!$AG623,100),IFERROR(VALUE(TRIM(MID(MID(Sync!$AG623,FIND("/",Sync!$AG623)+1,20),FIND("/",MID(Sync!$AG623,FIND("/",Sync!$AG623)+1,20))+1,20))),"")))</f>
        <v/>
      </c>
      <c r="J623">
        <f>IF($F623="","",IF(OR($G623="",$H623="",$I623="",$G623&lt;1300,$G623&gt;1500,$H623&lt;1,$H623&gt;12,$I623&lt;1,$I623&gt;31),"نامعتبر",RIGHT("0000"&amp;$G623,4)&amp;"/"&amp;RIGHT("00"&amp;$H623,2)&amp;"/"&amp;RIGHT("00"&amp;$I623,2)))</f>
        <v/>
      </c>
      <c r="K623">
        <f>IF(OR($F623="",$J623="",$J623="نامعتبر"),"",LEFT($J623,4)&amp;MID($J623,6,2)&amp;RIGHT($J623,2)&amp;$N623&amp;"|"&amp;"2"&amp;RIGHT("00000"&amp;618,5))</f>
        <v/>
      </c>
      <c r="L623">
        <f>IF($K623="","",COUNTIFS(LdgPartyA,$F623,LdgKeyA,"&lt;"&amp;$K623)+COUNTIFS(LdgPartyB,$F623,LdgKeyB,"&lt;"&amp;$K623)+1)</f>
        <v/>
      </c>
      <c r="M623">
        <f>IF($L623="","",$F623&amp;"|"&amp;RIGHT("000000"&amp;$L623,6))</f>
        <v/>
      </c>
      <c r="N623">
        <f>IF($F623="","",IF(Sync!$AH623="","0000",IF(AND(ISNUMBER(Sync!$AH623),Sync!$AH623&gt;=0,Sync!$AH623&lt;1),RIGHT("00"&amp;HOUR(Sync!$AH623),2)&amp;RIGHT("00"&amp;MINUTE(Sync!$AH623),2),IFERROR(RIGHT("00"&amp;VALUE(LEFT(Sync!$AH623,FIND(":",Sync!$AH623)-1)),2)&amp;RIGHT("00"&amp;VALUE(MID(Sync!$AH623,FIND(":",Sync!$AH623)+1,2)),2),"0000"))))</f>
        <v/>
      </c>
    </row>
    <row r="624">
      <c r="A624">
        <f>IF(OR(Calc!$E627="",Calc!$E627="نامعتبر",Calc!$G627="",Calc!$I627&lt;&gt;"خرید"),"",Calc!$G627)</f>
        <v/>
      </c>
      <c r="B624">
        <f>IF($A624="","",LEFT(Calc!$E627,4)&amp;MID(Calc!$E627,6,2)&amp;RIGHT(Calc!$E627,2)&amp;Calc!$R627&amp;"|"&amp;"1"&amp;RIGHT("00000"&amp;619,5))</f>
        <v/>
      </c>
      <c r="C624">
        <f>IF($B624="","",COUNTIFS(LdgPartyA,$A624,LdgKeyA,"&lt;"&amp;$B624)+COUNTIFS(LdgPartyB,$A624,LdgKeyB,"&lt;"&amp;$B624)+1)</f>
        <v/>
      </c>
      <c r="D624">
        <f>IF($C624="","",$A624&amp;"|"&amp;RIGHT("000000"&amp;$C624,6))</f>
        <v/>
      </c>
      <c r="F624">
        <f>IF(Sync!$AJ624="","",Sync!$AJ624)</f>
        <v/>
      </c>
      <c r="G624">
        <f>IF($F624="","",IF(Sync!$AG624="","",IF(ISNUMBER(Sync!$AG624),IF(AND(Sync!$AG624&gt;=10000101,Sync!$AG624&lt;=99991231),INT(Sync!$AG624/10000),""),IFERROR(VALUE(TRIM(LEFT(Sync!$AG624,FIND("/",Sync!$AG624)-1))),""))))</f>
        <v/>
      </c>
      <c r="H624">
        <f>IF(OR($F624="",$G624=""),"",IF(ISNUMBER(Sync!$AG624),INT(MOD(Sync!$AG624,10000)/100),IFERROR(VALUE(TRIM(LEFT(MID(Sync!$AG624,FIND("/",Sync!$AG624)+1,20),FIND("/",MID(Sync!$AG624,FIND("/",Sync!$AG624)+1,20))-1))),"")))</f>
        <v/>
      </c>
      <c r="I624">
        <f>IF(OR($F624="",$G624=""),"",IF(ISNUMBER(Sync!$AG624),MOD(Sync!$AG624,100),IFERROR(VALUE(TRIM(MID(MID(Sync!$AG624,FIND("/",Sync!$AG624)+1,20),FIND("/",MID(Sync!$AG624,FIND("/",Sync!$AG624)+1,20))+1,20))),"")))</f>
        <v/>
      </c>
      <c r="J624">
        <f>IF($F624="","",IF(OR($G624="",$H624="",$I624="",$G624&lt;1300,$G624&gt;1500,$H624&lt;1,$H624&gt;12,$I624&lt;1,$I624&gt;31),"نامعتبر",RIGHT("0000"&amp;$G624,4)&amp;"/"&amp;RIGHT("00"&amp;$H624,2)&amp;"/"&amp;RIGHT("00"&amp;$I624,2)))</f>
        <v/>
      </c>
      <c r="K624">
        <f>IF(OR($F624="",$J624="",$J624="نامعتبر"),"",LEFT($J624,4)&amp;MID($J624,6,2)&amp;RIGHT($J624,2)&amp;$N624&amp;"|"&amp;"2"&amp;RIGHT("00000"&amp;619,5))</f>
        <v/>
      </c>
      <c r="L624">
        <f>IF($K624="","",COUNTIFS(LdgPartyA,$F624,LdgKeyA,"&lt;"&amp;$K624)+COUNTIFS(LdgPartyB,$F624,LdgKeyB,"&lt;"&amp;$K624)+1)</f>
        <v/>
      </c>
      <c r="M624">
        <f>IF($L624="","",$F624&amp;"|"&amp;RIGHT("000000"&amp;$L624,6))</f>
        <v/>
      </c>
      <c r="N624">
        <f>IF($F624="","",IF(Sync!$AH624="","0000",IF(AND(ISNUMBER(Sync!$AH624),Sync!$AH624&gt;=0,Sync!$AH624&lt;1),RIGHT("00"&amp;HOUR(Sync!$AH624),2)&amp;RIGHT("00"&amp;MINUTE(Sync!$AH624),2),IFERROR(RIGHT("00"&amp;VALUE(LEFT(Sync!$AH624,FIND(":",Sync!$AH624)-1)),2)&amp;RIGHT("00"&amp;VALUE(MID(Sync!$AH624,FIND(":",Sync!$AH624)+1,2)),2),"0000"))))</f>
        <v/>
      </c>
    </row>
    <row r="625">
      <c r="A625">
        <f>IF(OR(Calc!$E628="",Calc!$E628="نامعتبر",Calc!$G628="",Calc!$I628&lt;&gt;"خرید"),"",Calc!$G628)</f>
        <v/>
      </c>
      <c r="B625">
        <f>IF($A625="","",LEFT(Calc!$E628,4)&amp;MID(Calc!$E628,6,2)&amp;RIGHT(Calc!$E628,2)&amp;Calc!$R628&amp;"|"&amp;"1"&amp;RIGHT("00000"&amp;620,5))</f>
        <v/>
      </c>
      <c r="C625">
        <f>IF($B625="","",COUNTIFS(LdgPartyA,$A625,LdgKeyA,"&lt;"&amp;$B625)+COUNTIFS(LdgPartyB,$A625,LdgKeyB,"&lt;"&amp;$B625)+1)</f>
        <v/>
      </c>
      <c r="D625">
        <f>IF($C625="","",$A625&amp;"|"&amp;RIGHT("000000"&amp;$C625,6))</f>
        <v/>
      </c>
      <c r="F625">
        <f>IF(Sync!$AJ625="","",Sync!$AJ625)</f>
        <v/>
      </c>
      <c r="G625">
        <f>IF($F625="","",IF(Sync!$AG625="","",IF(ISNUMBER(Sync!$AG625),IF(AND(Sync!$AG625&gt;=10000101,Sync!$AG625&lt;=99991231),INT(Sync!$AG625/10000),""),IFERROR(VALUE(TRIM(LEFT(Sync!$AG625,FIND("/",Sync!$AG625)-1))),""))))</f>
        <v/>
      </c>
      <c r="H625">
        <f>IF(OR($F625="",$G625=""),"",IF(ISNUMBER(Sync!$AG625),INT(MOD(Sync!$AG625,10000)/100),IFERROR(VALUE(TRIM(LEFT(MID(Sync!$AG625,FIND("/",Sync!$AG625)+1,20),FIND("/",MID(Sync!$AG625,FIND("/",Sync!$AG625)+1,20))-1))),"")))</f>
        <v/>
      </c>
      <c r="I625">
        <f>IF(OR($F625="",$G625=""),"",IF(ISNUMBER(Sync!$AG625),MOD(Sync!$AG625,100),IFERROR(VALUE(TRIM(MID(MID(Sync!$AG625,FIND("/",Sync!$AG625)+1,20),FIND("/",MID(Sync!$AG625,FIND("/",Sync!$AG625)+1,20))+1,20))),"")))</f>
        <v/>
      </c>
      <c r="J625">
        <f>IF($F625="","",IF(OR($G625="",$H625="",$I625="",$G625&lt;1300,$G625&gt;1500,$H625&lt;1,$H625&gt;12,$I625&lt;1,$I625&gt;31),"نامعتبر",RIGHT("0000"&amp;$G625,4)&amp;"/"&amp;RIGHT("00"&amp;$H625,2)&amp;"/"&amp;RIGHT("00"&amp;$I625,2)))</f>
        <v/>
      </c>
      <c r="K625">
        <f>IF(OR($F625="",$J625="",$J625="نامعتبر"),"",LEFT($J625,4)&amp;MID($J625,6,2)&amp;RIGHT($J625,2)&amp;$N625&amp;"|"&amp;"2"&amp;RIGHT("00000"&amp;620,5))</f>
        <v/>
      </c>
      <c r="L625">
        <f>IF($K625="","",COUNTIFS(LdgPartyA,$F625,LdgKeyA,"&lt;"&amp;$K625)+COUNTIFS(LdgPartyB,$F625,LdgKeyB,"&lt;"&amp;$K625)+1)</f>
        <v/>
      </c>
      <c r="M625">
        <f>IF($L625="","",$F625&amp;"|"&amp;RIGHT("000000"&amp;$L625,6))</f>
        <v/>
      </c>
      <c r="N625">
        <f>IF($F625="","",IF(Sync!$AH625="","0000",IF(AND(ISNUMBER(Sync!$AH625),Sync!$AH625&gt;=0,Sync!$AH625&lt;1),RIGHT("00"&amp;HOUR(Sync!$AH625),2)&amp;RIGHT("00"&amp;MINUTE(Sync!$AH625),2),IFERROR(RIGHT("00"&amp;VALUE(LEFT(Sync!$AH625,FIND(":",Sync!$AH625)-1)),2)&amp;RIGHT("00"&amp;VALUE(MID(Sync!$AH625,FIND(":",Sync!$AH625)+1,2)),2),"0000"))))</f>
        <v/>
      </c>
    </row>
    <row r="626">
      <c r="A626">
        <f>IF(OR(Calc!$E629="",Calc!$E629="نامعتبر",Calc!$G629="",Calc!$I629&lt;&gt;"خرید"),"",Calc!$G629)</f>
        <v/>
      </c>
      <c r="B626">
        <f>IF($A626="","",LEFT(Calc!$E629,4)&amp;MID(Calc!$E629,6,2)&amp;RIGHT(Calc!$E629,2)&amp;Calc!$R629&amp;"|"&amp;"1"&amp;RIGHT("00000"&amp;621,5))</f>
        <v/>
      </c>
      <c r="C626">
        <f>IF($B626="","",COUNTIFS(LdgPartyA,$A626,LdgKeyA,"&lt;"&amp;$B626)+COUNTIFS(LdgPartyB,$A626,LdgKeyB,"&lt;"&amp;$B626)+1)</f>
        <v/>
      </c>
      <c r="D626">
        <f>IF($C626="","",$A626&amp;"|"&amp;RIGHT("000000"&amp;$C626,6))</f>
        <v/>
      </c>
      <c r="F626">
        <f>IF(Sync!$AJ626="","",Sync!$AJ626)</f>
        <v/>
      </c>
      <c r="G626">
        <f>IF($F626="","",IF(Sync!$AG626="","",IF(ISNUMBER(Sync!$AG626),IF(AND(Sync!$AG626&gt;=10000101,Sync!$AG626&lt;=99991231),INT(Sync!$AG626/10000),""),IFERROR(VALUE(TRIM(LEFT(Sync!$AG626,FIND("/",Sync!$AG626)-1))),""))))</f>
        <v/>
      </c>
      <c r="H626">
        <f>IF(OR($F626="",$G626=""),"",IF(ISNUMBER(Sync!$AG626),INT(MOD(Sync!$AG626,10000)/100),IFERROR(VALUE(TRIM(LEFT(MID(Sync!$AG626,FIND("/",Sync!$AG626)+1,20),FIND("/",MID(Sync!$AG626,FIND("/",Sync!$AG626)+1,20))-1))),"")))</f>
        <v/>
      </c>
      <c r="I626">
        <f>IF(OR($F626="",$G626=""),"",IF(ISNUMBER(Sync!$AG626),MOD(Sync!$AG626,100),IFERROR(VALUE(TRIM(MID(MID(Sync!$AG626,FIND("/",Sync!$AG626)+1,20),FIND("/",MID(Sync!$AG626,FIND("/",Sync!$AG626)+1,20))+1,20))),"")))</f>
        <v/>
      </c>
      <c r="J626">
        <f>IF($F626="","",IF(OR($G626="",$H626="",$I626="",$G626&lt;1300,$G626&gt;1500,$H626&lt;1,$H626&gt;12,$I626&lt;1,$I626&gt;31),"نامعتبر",RIGHT("0000"&amp;$G626,4)&amp;"/"&amp;RIGHT("00"&amp;$H626,2)&amp;"/"&amp;RIGHT("00"&amp;$I626,2)))</f>
        <v/>
      </c>
      <c r="K626">
        <f>IF(OR($F626="",$J626="",$J626="نامعتبر"),"",LEFT($J626,4)&amp;MID($J626,6,2)&amp;RIGHT($J626,2)&amp;$N626&amp;"|"&amp;"2"&amp;RIGHT("00000"&amp;621,5))</f>
        <v/>
      </c>
      <c r="L626">
        <f>IF($K626="","",COUNTIFS(LdgPartyA,$F626,LdgKeyA,"&lt;"&amp;$K626)+COUNTIFS(LdgPartyB,$F626,LdgKeyB,"&lt;"&amp;$K626)+1)</f>
        <v/>
      </c>
      <c r="M626">
        <f>IF($L626="","",$F626&amp;"|"&amp;RIGHT("000000"&amp;$L626,6))</f>
        <v/>
      </c>
      <c r="N626">
        <f>IF($F626="","",IF(Sync!$AH626="","0000",IF(AND(ISNUMBER(Sync!$AH626),Sync!$AH626&gt;=0,Sync!$AH626&lt;1),RIGHT("00"&amp;HOUR(Sync!$AH626),2)&amp;RIGHT("00"&amp;MINUTE(Sync!$AH626),2),IFERROR(RIGHT("00"&amp;VALUE(LEFT(Sync!$AH626,FIND(":",Sync!$AH626)-1)),2)&amp;RIGHT("00"&amp;VALUE(MID(Sync!$AH626,FIND(":",Sync!$AH626)+1,2)),2),"0000"))))</f>
        <v/>
      </c>
    </row>
    <row r="627">
      <c r="A627">
        <f>IF(OR(Calc!$E630="",Calc!$E630="نامعتبر",Calc!$G630="",Calc!$I630&lt;&gt;"خرید"),"",Calc!$G630)</f>
        <v/>
      </c>
      <c r="B627">
        <f>IF($A627="","",LEFT(Calc!$E630,4)&amp;MID(Calc!$E630,6,2)&amp;RIGHT(Calc!$E630,2)&amp;Calc!$R630&amp;"|"&amp;"1"&amp;RIGHT("00000"&amp;622,5))</f>
        <v/>
      </c>
      <c r="C627">
        <f>IF($B627="","",COUNTIFS(LdgPartyA,$A627,LdgKeyA,"&lt;"&amp;$B627)+COUNTIFS(LdgPartyB,$A627,LdgKeyB,"&lt;"&amp;$B627)+1)</f>
        <v/>
      </c>
      <c r="D627">
        <f>IF($C627="","",$A627&amp;"|"&amp;RIGHT("000000"&amp;$C627,6))</f>
        <v/>
      </c>
      <c r="F627">
        <f>IF(Sync!$AJ627="","",Sync!$AJ627)</f>
        <v/>
      </c>
      <c r="G627">
        <f>IF($F627="","",IF(Sync!$AG627="","",IF(ISNUMBER(Sync!$AG627),IF(AND(Sync!$AG627&gt;=10000101,Sync!$AG627&lt;=99991231),INT(Sync!$AG627/10000),""),IFERROR(VALUE(TRIM(LEFT(Sync!$AG627,FIND("/",Sync!$AG627)-1))),""))))</f>
        <v/>
      </c>
      <c r="H627">
        <f>IF(OR($F627="",$G627=""),"",IF(ISNUMBER(Sync!$AG627),INT(MOD(Sync!$AG627,10000)/100),IFERROR(VALUE(TRIM(LEFT(MID(Sync!$AG627,FIND("/",Sync!$AG627)+1,20),FIND("/",MID(Sync!$AG627,FIND("/",Sync!$AG627)+1,20))-1))),"")))</f>
        <v/>
      </c>
      <c r="I627">
        <f>IF(OR($F627="",$G627=""),"",IF(ISNUMBER(Sync!$AG627),MOD(Sync!$AG627,100),IFERROR(VALUE(TRIM(MID(MID(Sync!$AG627,FIND("/",Sync!$AG627)+1,20),FIND("/",MID(Sync!$AG627,FIND("/",Sync!$AG627)+1,20))+1,20))),"")))</f>
        <v/>
      </c>
      <c r="J627">
        <f>IF($F627="","",IF(OR($G627="",$H627="",$I627="",$G627&lt;1300,$G627&gt;1500,$H627&lt;1,$H627&gt;12,$I627&lt;1,$I627&gt;31),"نامعتبر",RIGHT("0000"&amp;$G627,4)&amp;"/"&amp;RIGHT("00"&amp;$H627,2)&amp;"/"&amp;RIGHT("00"&amp;$I627,2)))</f>
        <v/>
      </c>
      <c r="K627">
        <f>IF(OR($F627="",$J627="",$J627="نامعتبر"),"",LEFT($J627,4)&amp;MID($J627,6,2)&amp;RIGHT($J627,2)&amp;$N627&amp;"|"&amp;"2"&amp;RIGHT("00000"&amp;622,5))</f>
        <v/>
      </c>
      <c r="L627">
        <f>IF($K627="","",COUNTIFS(LdgPartyA,$F627,LdgKeyA,"&lt;"&amp;$K627)+COUNTIFS(LdgPartyB,$F627,LdgKeyB,"&lt;"&amp;$K627)+1)</f>
        <v/>
      </c>
      <c r="M627">
        <f>IF($L627="","",$F627&amp;"|"&amp;RIGHT("000000"&amp;$L627,6))</f>
        <v/>
      </c>
      <c r="N627">
        <f>IF($F627="","",IF(Sync!$AH627="","0000",IF(AND(ISNUMBER(Sync!$AH627),Sync!$AH627&gt;=0,Sync!$AH627&lt;1),RIGHT("00"&amp;HOUR(Sync!$AH627),2)&amp;RIGHT("00"&amp;MINUTE(Sync!$AH627),2),IFERROR(RIGHT("00"&amp;VALUE(LEFT(Sync!$AH627,FIND(":",Sync!$AH627)-1)),2)&amp;RIGHT("00"&amp;VALUE(MID(Sync!$AH627,FIND(":",Sync!$AH627)+1,2)),2),"0000"))))</f>
        <v/>
      </c>
    </row>
    <row r="628">
      <c r="A628">
        <f>IF(OR(Calc!$E631="",Calc!$E631="نامعتبر",Calc!$G631="",Calc!$I631&lt;&gt;"خرید"),"",Calc!$G631)</f>
        <v/>
      </c>
      <c r="B628">
        <f>IF($A628="","",LEFT(Calc!$E631,4)&amp;MID(Calc!$E631,6,2)&amp;RIGHT(Calc!$E631,2)&amp;Calc!$R631&amp;"|"&amp;"1"&amp;RIGHT("00000"&amp;623,5))</f>
        <v/>
      </c>
      <c r="C628">
        <f>IF($B628="","",COUNTIFS(LdgPartyA,$A628,LdgKeyA,"&lt;"&amp;$B628)+COUNTIFS(LdgPartyB,$A628,LdgKeyB,"&lt;"&amp;$B628)+1)</f>
        <v/>
      </c>
      <c r="D628">
        <f>IF($C628="","",$A628&amp;"|"&amp;RIGHT("000000"&amp;$C628,6))</f>
        <v/>
      </c>
      <c r="F628">
        <f>IF(Sync!$AJ628="","",Sync!$AJ628)</f>
        <v/>
      </c>
      <c r="G628">
        <f>IF($F628="","",IF(Sync!$AG628="","",IF(ISNUMBER(Sync!$AG628),IF(AND(Sync!$AG628&gt;=10000101,Sync!$AG628&lt;=99991231),INT(Sync!$AG628/10000),""),IFERROR(VALUE(TRIM(LEFT(Sync!$AG628,FIND("/",Sync!$AG628)-1))),""))))</f>
        <v/>
      </c>
      <c r="H628">
        <f>IF(OR($F628="",$G628=""),"",IF(ISNUMBER(Sync!$AG628),INT(MOD(Sync!$AG628,10000)/100),IFERROR(VALUE(TRIM(LEFT(MID(Sync!$AG628,FIND("/",Sync!$AG628)+1,20),FIND("/",MID(Sync!$AG628,FIND("/",Sync!$AG628)+1,20))-1))),"")))</f>
        <v/>
      </c>
      <c r="I628">
        <f>IF(OR($F628="",$G628=""),"",IF(ISNUMBER(Sync!$AG628),MOD(Sync!$AG628,100),IFERROR(VALUE(TRIM(MID(MID(Sync!$AG628,FIND("/",Sync!$AG628)+1,20),FIND("/",MID(Sync!$AG628,FIND("/",Sync!$AG628)+1,20))+1,20))),"")))</f>
        <v/>
      </c>
      <c r="J628">
        <f>IF($F628="","",IF(OR($G628="",$H628="",$I628="",$G628&lt;1300,$G628&gt;1500,$H628&lt;1,$H628&gt;12,$I628&lt;1,$I628&gt;31),"نامعتبر",RIGHT("0000"&amp;$G628,4)&amp;"/"&amp;RIGHT("00"&amp;$H628,2)&amp;"/"&amp;RIGHT("00"&amp;$I628,2)))</f>
        <v/>
      </c>
      <c r="K628">
        <f>IF(OR($F628="",$J628="",$J628="نامعتبر"),"",LEFT($J628,4)&amp;MID($J628,6,2)&amp;RIGHT($J628,2)&amp;$N628&amp;"|"&amp;"2"&amp;RIGHT("00000"&amp;623,5))</f>
        <v/>
      </c>
      <c r="L628">
        <f>IF($K628="","",COUNTIFS(LdgPartyA,$F628,LdgKeyA,"&lt;"&amp;$K628)+COUNTIFS(LdgPartyB,$F628,LdgKeyB,"&lt;"&amp;$K628)+1)</f>
        <v/>
      </c>
      <c r="M628">
        <f>IF($L628="","",$F628&amp;"|"&amp;RIGHT("000000"&amp;$L628,6))</f>
        <v/>
      </c>
      <c r="N628">
        <f>IF($F628="","",IF(Sync!$AH628="","0000",IF(AND(ISNUMBER(Sync!$AH628),Sync!$AH628&gt;=0,Sync!$AH628&lt;1),RIGHT("00"&amp;HOUR(Sync!$AH628),2)&amp;RIGHT("00"&amp;MINUTE(Sync!$AH628),2),IFERROR(RIGHT("00"&amp;VALUE(LEFT(Sync!$AH628,FIND(":",Sync!$AH628)-1)),2)&amp;RIGHT("00"&amp;VALUE(MID(Sync!$AH628,FIND(":",Sync!$AH628)+1,2)),2),"0000"))))</f>
        <v/>
      </c>
    </row>
    <row r="629">
      <c r="A629">
        <f>IF(OR(Calc!$E632="",Calc!$E632="نامعتبر",Calc!$G632="",Calc!$I632&lt;&gt;"خرید"),"",Calc!$G632)</f>
        <v/>
      </c>
      <c r="B629">
        <f>IF($A629="","",LEFT(Calc!$E632,4)&amp;MID(Calc!$E632,6,2)&amp;RIGHT(Calc!$E632,2)&amp;Calc!$R632&amp;"|"&amp;"1"&amp;RIGHT("00000"&amp;624,5))</f>
        <v/>
      </c>
      <c r="C629">
        <f>IF($B629="","",COUNTIFS(LdgPartyA,$A629,LdgKeyA,"&lt;"&amp;$B629)+COUNTIFS(LdgPartyB,$A629,LdgKeyB,"&lt;"&amp;$B629)+1)</f>
        <v/>
      </c>
      <c r="D629">
        <f>IF($C629="","",$A629&amp;"|"&amp;RIGHT("000000"&amp;$C629,6))</f>
        <v/>
      </c>
      <c r="F629">
        <f>IF(Sync!$AJ629="","",Sync!$AJ629)</f>
        <v/>
      </c>
      <c r="G629">
        <f>IF($F629="","",IF(Sync!$AG629="","",IF(ISNUMBER(Sync!$AG629),IF(AND(Sync!$AG629&gt;=10000101,Sync!$AG629&lt;=99991231),INT(Sync!$AG629/10000),""),IFERROR(VALUE(TRIM(LEFT(Sync!$AG629,FIND("/",Sync!$AG629)-1))),""))))</f>
        <v/>
      </c>
      <c r="H629">
        <f>IF(OR($F629="",$G629=""),"",IF(ISNUMBER(Sync!$AG629),INT(MOD(Sync!$AG629,10000)/100),IFERROR(VALUE(TRIM(LEFT(MID(Sync!$AG629,FIND("/",Sync!$AG629)+1,20),FIND("/",MID(Sync!$AG629,FIND("/",Sync!$AG629)+1,20))-1))),"")))</f>
        <v/>
      </c>
      <c r="I629">
        <f>IF(OR($F629="",$G629=""),"",IF(ISNUMBER(Sync!$AG629),MOD(Sync!$AG629,100),IFERROR(VALUE(TRIM(MID(MID(Sync!$AG629,FIND("/",Sync!$AG629)+1,20),FIND("/",MID(Sync!$AG629,FIND("/",Sync!$AG629)+1,20))+1,20))),"")))</f>
        <v/>
      </c>
      <c r="J629">
        <f>IF($F629="","",IF(OR($G629="",$H629="",$I629="",$G629&lt;1300,$G629&gt;1500,$H629&lt;1,$H629&gt;12,$I629&lt;1,$I629&gt;31),"نامعتبر",RIGHT("0000"&amp;$G629,4)&amp;"/"&amp;RIGHT("00"&amp;$H629,2)&amp;"/"&amp;RIGHT("00"&amp;$I629,2)))</f>
        <v/>
      </c>
      <c r="K629">
        <f>IF(OR($F629="",$J629="",$J629="نامعتبر"),"",LEFT($J629,4)&amp;MID($J629,6,2)&amp;RIGHT($J629,2)&amp;$N629&amp;"|"&amp;"2"&amp;RIGHT("00000"&amp;624,5))</f>
        <v/>
      </c>
      <c r="L629">
        <f>IF($K629="","",COUNTIFS(LdgPartyA,$F629,LdgKeyA,"&lt;"&amp;$K629)+COUNTIFS(LdgPartyB,$F629,LdgKeyB,"&lt;"&amp;$K629)+1)</f>
        <v/>
      </c>
      <c r="M629">
        <f>IF($L629="","",$F629&amp;"|"&amp;RIGHT("000000"&amp;$L629,6))</f>
        <v/>
      </c>
      <c r="N629">
        <f>IF($F629="","",IF(Sync!$AH629="","0000",IF(AND(ISNUMBER(Sync!$AH629),Sync!$AH629&gt;=0,Sync!$AH629&lt;1),RIGHT("00"&amp;HOUR(Sync!$AH629),2)&amp;RIGHT("00"&amp;MINUTE(Sync!$AH629),2),IFERROR(RIGHT("00"&amp;VALUE(LEFT(Sync!$AH629,FIND(":",Sync!$AH629)-1)),2)&amp;RIGHT("00"&amp;VALUE(MID(Sync!$AH629,FIND(":",Sync!$AH629)+1,2)),2),"0000"))))</f>
        <v/>
      </c>
    </row>
    <row r="630">
      <c r="A630">
        <f>IF(OR(Calc!$E633="",Calc!$E633="نامعتبر",Calc!$G633="",Calc!$I633&lt;&gt;"خرید"),"",Calc!$G633)</f>
        <v/>
      </c>
      <c r="B630">
        <f>IF($A630="","",LEFT(Calc!$E633,4)&amp;MID(Calc!$E633,6,2)&amp;RIGHT(Calc!$E633,2)&amp;Calc!$R633&amp;"|"&amp;"1"&amp;RIGHT("00000"&amp;625,5))</f>
        <v/>
      </c>
      <c r="C630">
        <f>IF($B630="","",COUNTIFS(LdgPartyA,$A630,LdgKeyA,"&lt;"&amp;$B630)+COUNTIFS(LdgPartyB,$A630,LdgKeyB,"&lt;"&amp;$B630)+1)</f>
        <v/>
      </c>
      <c r="D630">
        <f>IF($C630="","",$A630&amp;"|"&amp;RIGHT("000000"&amp;$C630,6))</f>
        <v/>
      </c>
      <c r="F630">
        <f>IF(Sync!$AJ630="","",Sync!$AJ630)</f>
        <v/>
      </c>
      <c r="G630">
        <f>IF($F630="","",IF(Sync!$AG630="","",IF(ISNUMBER(Sync!$AG630),IF(AND(Sync!$AG630&gt;=10000101,Sync!$AG630&lt;=99991231),INT(Sync!$AG630/10000),""),IFERROR(VALUE(TRIM(LEFT(Sync!$AG630,FIND("/",Sync!$AG630)-1))),""))))</f>
        <v/>
      </c>
      <c r="H630">
        <f>IF(OR($F630="",$G630=""),"",IF(ISNUMBER(Sync!$AG630),INT(MOD(Sync!$AG630,10000)/100),IFERROR(VALUE(TRIM(LEFT(MID(Sync!$AG630,FIND("/",Sync!$AG630)+1,20),FIND("/",MID(Sync!$AG630,FIND("/",Sync!$AG630)+1,20))-1))),"")))</f>
        <v/>
      </c>
      <c r="I630">
        <f>IF(OR($F630="",$G630=""),"",IF(ISNUMBER(Sync!$AG630),MOD(Sync!$AG630,100),IFERROR(VALUE(TRIM(MID(MID(Sync!$AG630,FIND("/",Sync!$AG630)+1,20),FIND("/",MID(Sync!$AG630,FIND("/",Sync!$AG630)+1,20))+1,20))),"")))</f>
        <v/>
      </c>
      <c r="J630">
        <f>IF($F630="","",IF(OR($G630="",$H630="",$I630="",$G630&lt;1300,$G630&gt;1500,$H630&lt;1,$H630&gt;12,$I630&lt;1,$I630&gt;31),"نامعتبر",RIGHT("0000"&amp;$G630,4)&amp;"/"&amp;RIGHT("00"&amp;$H630,2)&amp;"/"&amp;RIGHT("00"&amp;$I630,2)))</f>
        <v/>
      </c>
      <c r="K630">
        <f>IF(OR($F630="",$J630="",$J630="نامعتبر"),"",LEFT($J630,4)&amp;MID($J630,6,2)&amp;RIGHT($J630,2)&amp;$N630&amp;"|"&amp;"2"&amp;RIGHT("00000"&amp;625,5))</f>
        <v/>
      </c>
      <c r="L630">
        <f>IF($K630="","",COUNTIFS(LdgPartyA,$F630,LdgKeyA,"&lt;"&amp;$K630)+COUNTIFS(LdgPartyB,$F630,LdgKeyB,"&lt;"&amp;$K630)+1)</f>
        <v/>
      </c>
      <c r="M630">
        <f>IF($L630="","",$F630&amp;"|"&amp;RIGHT("000000"&amp;$L630,6))</f>
        <v/>
      </c>
      <c r="N630">
        <f>IF($F630="","",IF(Sync!$AH630="","0000",IF(AND(ISNUMBER(Sync!$AH630),Sync!$AH630&gt;=0,Sync!$AH630&lt;1),RIGHT("00"&amp;HOUR(Sync!$AH630),2)&amp;RIGHT("00"&amp;MINUTE(Sync!$AH630),2),IFERROR(RIGHT("00"&amp;VALUE(LEFT(Sync!$AH630,FIND(":",Sync!$AH630)-1)),2)&amp;RIGHT("00"&amp;VALUE(MID(Sync!$AH630,FIND(":",Sync!$AH630)+1,2)),2),"0000"))))</f>
        <v/>
      </c>
    </row>
    <row r="631">
      <c r="A631">
        <f>IF(OR(Calc!$E634="",Calc!$E634="نامعتبر",Calc!$G634="",Calc!$I634&lt;&gt;"خرید"),"",Calc!$G634)</f>
        <v/>
      </c>
      <c r="B631">
        <f>IF($A631="","",LEFT(Calc!$E634,4)&amp;MID(Calc!$E634,6,2)&amp;RIGHT(Calc!$E634,2)&amp;Calc!$R634&amp;"|"&amp;"1"&amp;RIGHT("00000"&amp;626,5))</f>
        <v/>
      </c>
      <c r="C631">
        <f>IF($B631="","",COUNTIFS(LdgPartyA,$A631,LdgKeyA,"&lt;"&amp;$B631)+COUNTIFS(LdgPartyB,$A631,LdgKeyB,"&lt;"&amp;$B631)+1)</f>
        <v/>
      </c>
      <c r="D631">
        <f>IF($C631="","",$A631&amp;"|"&amp;RIGHT("000000"&amp;$C631,6))</f>
        <v/>
      </c>
      <c r="F631">
        <f>IF(Sync!$AJ631="","",Sync!$AJ631)</f>
        <v/>
      </c>
      <c r="G631">
        <f>IF($F631="","",IF(Sync!$AG631="","",IF(ISNUMBER(Sync!$AG631),IF(AND(Sync!$AG631&gt;=10000101,Sync!$AG631&lt;=99991231),INT(Sync!$AG631/10000),""),IFERROR(VALUE(TRIM(LEFT(Sync!$AG631,FIND("/",Sync!$AG631)-1))),""))))</f>
        <v/>
      </c>
      <c r="H631">
        <f>IF(OR($F631="",$G631=""),"",IF(ISNUMBER(Sync!$AG631),INT(MOD(Sync!$AG631,10000)/100),IFERROR(VALUE(TRIM(LEFT(MID(Sync!$AG631,FIND("/",Sync!$AG631)+1,20),FIND("/",MID(Sync!$AG631,FIND("/",Sync!$AG631)+1,20))-1))),"")))</f>
        <v/>
      </c>
      <c r="I631">
        <f>IF(OR($F631="",$G631=""),"",IF(ISNUMBER(Sync!$AG631),MOD(Sync!$AG631,100),IFERROR(VALUE(TRIM(MID(MID(Sync!$AG631,FIND("/",Sync!$AG631)+1,20),FIND("/",MID(Sync!$AG631,FIND("/",Sync!$AG631)+1,20))+1,20))),"")))</f>
        <v/>
      </c>
      <c r="J631">
        <f>IF($F631="","",IF(OR($G631="",$H631="",$I631="",$G631&lt;1300,$G631&gt;1500,$H631&lt;1,$H631&gt;12,$I631&lt;1,$I631&gt;31),"نامعتبر",RIGHT("0000"&amp;$G631,4)&amp;"/"&amp;RIGHT("00"&amp;$H631,2)&amp;"/"&amp;RIGHT("00"&amp;$I631,2)))</f>
        <v/>
      </c>
      <c r="K631">
        <f>IF(OR($F631="",$J631="",$J631="نامعتبر"),"",LEFT($J631,4)&amp;MID($J631,6,2)&amp;RIGHT($J631,2)&amp;$N631&amp;"|"&amp;"2"&amp;RIGHT("00000"&amp;626,5))</f>
        <v/>
      </c>
      <c r="L631">
        <f>IF($K631="","",COUNTIFS(LdgPartyA,$F631,LdgKeyA,"&lt;"&amp;$K631)+COUNTIFS(LdgPartyB,$F631,LdgKeyB,"&lt;"&amp;$K631)+1)</f>
        <v/>
      </c>
      <c r="M631">
        <f>IF($L631="","",$F631&amp;"|"&amp;RIGHT("000000"&amp;$L631,6))</f>
        <v/>
      </c>
      <c r="N631">
        <f>IF($F631="","",IF(Sync!$AH631="","0000",IF(AND(ISNUMBER(Sync!$AH631),Sync!$AH631&gt;=0,Sync!$AH631&lt;1),RIGHT("00"&amp;HOUR(Sync!$AH631),2)&amp;RIGHT("00"&amp;MINUTE(Sync!$AH631),2),IFERROR(RIGHT("00"&amp;VALUE(LEFT(Sync!$AH631,FIND(":",Sync!$AH631)-1)),2)&amp;RIGHT("00"&amp;VALUE(MID(Sync!$AH631,FIND(":",Sync!$AH631)+1,2)),2),"0000"))))</f>
        <v/>
      </c>
    </row>
    <row r="632">
      <c r="A632">
        <f>IF(OR(Calc!$E635="",Calc!$E635="نامعتبر",Calc!$G635="",Calc!$I635&lt;&gt;"خرید"),"",Calc!$G635)</f>
        <v/>
      </c>
      <c r="B632">
        <f>IF($A632="","",LEFT(Calc!$E635,4)&amp;MID(Calc!$E635,6,2)&amp;RIGHT(Calc!$E635,2)&amp;Calc!$R635&amp;"|"&amp;"1"&amp;RIGHT("00000"&amp;627,5))</f>
        <v/>
      </c>
      <c r="C632">
        <f>IF($B632="","",COUNTIFS(LdgPartyA,$A632,LdgKeyA,"&lt;"&amp;$B632)+COUNTIFS(LdgPartyB,$A632,LdgKeyB,"&lt;"&amp;$B632)+1)</f>
        <v/>
      </c>
      <c r="D632">
        <f>IF($C632="","",$A632&amp;"|"&amp;RIGHT("000000"&amp;$C632,6))</f>
        <v/>
      </c>
      <c r="F632">
        <f>IF(Sync!$AJ632="","",Sync!$AJ632)</f>
        <v/>
      </c>
      <c r="G632">
        <f>IF($F632="","",IF(Sync!$AG632="","",IF(ISNUMBER(Sync!$AG632),IF(AND(Sync!$AG632&gt;=10000101,Sync!$AG632&lt;=99991231),INT(Sync!$AG632/10000),""),IFERROR(VALUE(TRIM(LEFT(Sync!$AG632,FIND("/",Sync!$AG632)-1))),""))))</f>
        <v/>
      </c>
      <c r="H632">
        <f>IF(OR($F632="",$G632=""),"",IF(ISNUMBER(Sync!$AG632),INT(MOD(Sync!$AG632,10000)/100),IFERROR(VALUE(TRIM(LEFT(MID(Sync!$AG632,FIND("/",Sync!$AG632)+1,20),FIND("/",MID(Sync!$AG632,FIND("/",Sync!$AG632)+1,20))-1))),"")))</f>
        <v/>
      </c>
      <c r="I632">
        <f>IF(OR($F632="",$G632=""),"",IF(ISNUMBER(Sync!$AG632),MOD(Sync!$AG632,100),IFERROR(VALUE(TRIM(MID(MID(Sync!$AG632,FIND("/",Sync!$AG632)+1,20),FIND("/",MID(Sync!$AG632,FIND("/",Sync!$AG632)+1,20))+1,20))),"")))</f>
        <v/>
      </c>
      <c r="J632">
        <f>IF($F632="","",IF(OR($G632="",$H632="",$I632="",$G632&lt;1300,$G632&gt;1500,$H632&lt;1,$H632&gt;12,$I632&lt;1,$I632&gt;31),"نامعتبر",RIGHT("0000"&amp;$G632,4)&amp;"/"&amp;RIGHT("00"&amp;$H632,2)&amp;"/"&amp;RIGHT("00"&amp;$I632,2)))</f>
        <v/>
      </c>
      <c r="K632">
        <f>IF(OR($F632="",$J632="",$J632="نامعتبر"),"",LEFT($J632,4)&amp;MID($J632,6,2)&amp;RIGHT($J632,2)&amp;$N632&amp;"|"&amp;"2"&amp;RIGHT("00000"&amp;627,5))</f>
        <v/>
      </c>
      <c r="L632">
        <f>IF($K632="","",COUNTIFS(LdgPartyA,$F632,LdgKeyA,"&lt;"&amp;$K632)+COUNTIFS(LdgPartyB,$F632,LdgKeyB,"&lt;"&amp;$K632)+1)</f>
        <v/>
      </c>
      <c r="M632">
        <f>IF($L632="","",$F632&amp;"|"&amp;RIGHT("000000"&amp;$L632,6))</f>
        <v/>
      </c>
      <c r="N632">
        <f>IF($F632="","",IF(Sync!$AH632="","0000",IF(AND(ISNUMBER(Sync!$AH632),Sync!$AH632&gt;=0,Sync!$AH632&lt;1),RIGHT("00"&amp;HOUR(Sync!$AH632),2)&amp;RIGHT("00"&amp;MINUTE(Sync!$AH632),2),IFERROR(RIGHT("00"&amp;VALUE(LEFT(Sync!$AH632,FIND(":",Sync!$AH632)-1)),2)&amp;RIGHT("00"&amp;VALUE(MID(Sync!$AH632,FIND(":",Sync!$AH632)+1,2)),2),"0000"))))</f>
        <v/>
      </c>
    </row>
    <row r="633">
      <c r="A633">
        <f>IF(OR(Calc!$E636="",Calc!$E636="نامعتبر",Calc!$G636="",Calc!$I636&lt;&gt;"خرید"),"",Calc!$G636)</f>
        <v/>
      </c>
      <c r="B633">
        <f>IF($A633="","",LEFT(Calc!$E636,4)&amp;MID(Calc!$E636,6,2)&amp;RIGHT(Calc!$E636,2)&amp;Calc!$R636&amp;"|"&amp;"1"&amp;RIGHT("00000"&amp;628,5))</f>
        <v/>
      </c>
      <c r="C633">
        <f>IF($B633="","",COUNTIFS(LdgPartyA,$A633,LdgKeyA,"&lt;"&amp;$B633)+COUNTIFS(LdgPartyB,$A633,LdgKeyB,"&lt;"&amp;$B633)+1)</f>
        <v/>
      </c>
      <c r="D633">
        <f>IF($C633="","",$A633&amp;"|"&amp;RIGHT("000000"&amp;$C633,6))</f>
        <v/>
      </c>
      <c r="F633">
        <f>IF(Sync!$AJ633="","",Sync!$AJ633)</f>
        <v/>
      </c>
      <c r="G633">
        <f>IF($F633="","",IF(Sync!$AG633="","",IF(ISNUMBER(Sync!$AG633),IF(AND(Sync!$AG633&gt;=10000101,Sync!$AG633&lt;=99991231),INT(Sync!$AG633/10000),""),IFERROR(VALUE(TRIM(LEFT(Sync!$AG633,FIND("/",Sync!$AG633)-1))),""))))</f>
        <v/>
      </c>
      <c r="H633">
        <f>IF(OR($F633="",$G633=""),"",IF(ISNUMBER(Sync!$AG633),INT(MOD(Sync!$AG633,10000)/100),IFERROR(VALUE(TRIM(LEFT(MID(Sync!$AG633,FIND("/",Sync!$AG633)+1,20),FIND("/",MID(Sync!$AG633,FIND("/",Sync!$AG633)+1,20))-1))),"")))</f>
        <v/>
      </c>
      <c r="I633">
        <f>IF(OR($F633="",$G633=""),"",IF(ISNUMBER(Sync!$AG633),MOD(Sync!$AG633,100),IFERROR(VALUE(TRIM(MID(MID(Sync!$AG633,FIND("/",Sync!$AG633)+1,20),FIND("/",MID(Sync!$AG633,FIND("/",Sync!$AG633)+1,20))+1,20))),"")))</f>
        <v/>
      </c>
      <c r="J633">
        <f>IF($F633="","",IF(OR($G633="",$H633="",$I633="",$G633&lt;1300,$G633&gt;1500,$H633&lt;1,$H633&gt;12,$I633&lt;1,$I633&gt;31),"نامعتبر",RIGHT("0000"&amp;$G633,4)&amp;"/"&amp;RIGHT("00"&amp;$H633,2)&amp;"/"&amp;RIGHT("00"&amp;$I633,2)))</f>
        <v/>
      </c>
      <c r="K633">
        <f>IF(OR($F633="",$J633="",$J633="نامعتبر"),"",LEFT($J633,4)&amp;MID($J633,6,2)&amp;RIGHT($J633,2)&amp;$N633&amp;"|"&amp;"2"&amp;RIGHT("00000"&amp;628,5))</f>
        <v/>
      </c>
      <c r="L633">
        <f>IF($K633="","",COUNTIFS(LdgPartyA,$F633,LdgKeyA,"&lt;"&amp;$K633)+COUNTIFS(LdgPartyB,$F633,LdgKeyB,"&lt;"&amp;$K633)+1)</f>
        <v/>
      </c>
      <c r="M633">
        <f>IF($L633="","",$F633&amp;"|"&amp;RIGHT("000000"&amp;$L633,6))</f>
        <v/>
      </c>
      <c r="N633">
        <f>IF($F633="","",IF(Sync!$AH633="","0000",IF(AND(ISNUMBER(Sync!$AH633),Sync!$AH633&gt;=0,Sync!$AH633&lt;1),RIGHT("00"&amp;HOUR(Sync!$AH633),2)&amp;RIGHT("00"&amp;MINUTE(Sync!$AH633),2),IFERROR(RIGHT("00"&amp;VALUE(LEFT(Sync!$AH633,FIND(":",Sync!$AH633)-1)),2)&amp;RIGHT("00"&amp;VALUE(MID(Sync!$AH633,FIND(":",Sync!$AH633)+1,2)),2),"0000"))))</f>
        <v/>
      </c>
    </row>
    <row r="634">
      <c r="A634">
        <f>IF(OR(Calc!$E637="",Calc!$E637="نامعتبر",Calc!$G637="",Calc!$I637&lt;&gt;"خرید"),"",Calc!$G637)</f>
        <v/>
      </c>
      <c r="B634">
        <f>IF($A634="","",LEFT(Calc!$E637,4)&amp;MID(Calc!$E637,6,2)&amp;RIGHT(Calc!$E637,2)&amp;Calc!$R637&amp;"|"&amp;"1"&amp;RIGHT("00000"&amp;629,5))</f>
        <v/>
      </c>
      <c r="C634">
        <f>IF($B634="","",COUNTIFS(LdgPartyA,$A634,LdgKeyA,"&lt;"&amp;$B634)+COUNTIFS(LdgPartyB,$A634,LdgKeyB,"&lt;"&amp;$B634)+1)</f>
        <v/>
      </c>
      <c r="D634">
        <f>IF($C634="","",$A634&amp;"|"&amp;RIGHT("000000"&amp;$C634,6))</f>
        <v/>
      </c>
      <c r="F634">
        <f>IF(Sync!$AJ634="","",Sync!$AJ634)</f>
        <v/>
      </c>
      <c r="G634">
        <f>IF($F634="","",IF(Sync!$AG634="","",IF(ISNUMBER(Sync!$AG634),IF(AND(Sync!$AG634&gt;=10000101,Sync!$AG634&lt;=99991231),INT(Sync!$AG634/10000),""),IFERROR(VALUE(TRIM(LEFT(Sync!$AG634,FIND("/",Sync!$AG634)-1))),""))))</f>
        <v/>
      </c>
      <c r="H634">
        <f>IF(OR($F634="",$G634=""),"",IF(ISNUMBER(Sync!$AG634),INT(MOD(Sync!$AG634,10000)/100),IFERROR(VALUE(TRIM(LEFT(MID(Sync!$AG634,FIND("/",Sync!$AG634)+1,20),FIND("/",MID(Sync!$AG634,FIND("/",Sync!$AG634)+1,20))-1))),"")))</f>
        <v/>
      </c>
      <c r="I634">
        <f>IF(OR($F634="",$G634=""),"",IF(ISNUMBER(Sync!$AG634),MOD(Sync!$AG634,100),IFERROR(VALUE(TRIM(MID(MID(Sync!$AG634,FIND("/",Sync!$AG634)+1,20),FIND("/",MID(Sync!$AG634,FIND("/",Sync!$AG634)+1,20))+1,20))),"")))</f>
        <v/>
      </c>
      <c r="J634">
        <f>IF($F634="","",IF(OR($G634="",$H634="",$I634="",$G634&lt;1300,$G634&gt;1500,$H634&lt;1,$H634&gt;12,$I634&lt;1,$I634&gt;31),"نامعتبر",RIGHT("0000"&amp;$G634,4)&amp;"/"&amp;RIGHT("00"&amp;$H634,2)&amp;"/"&amp;RIGHT("00"&amp;$I634,2)))</f>
        <v/>
      </c>
      <c r="K634">
        <f>IF(OR($F634="",$J634="",$J634="نامعتبر"),"",LEFT($J634,4)&amp;MID($J634,6,2)&amp;RIGHT($J634,2)&amp;$N634&amp;"|"&amp;"2"&amp;RIGHT("00000"&amp;629,5))</f>
        <v/>
      </c>
      <c r="L634">
        <f>IF($K634="","",COUNTIFS(LdgPartyA,$F634,LdgKeyA,"&lt;"&amp;$K634)+COUNTIFS(LdgPartyB,$F634,LdgKeyB,"&lt;"&amp;$K634)+1)</f>
        <v/>
      </c>
      <c r="M634">
        <f>IF($L634="","",$F634&amp;"|"&amp;RIGHT("000000"&amp;$L634,6))</f>
        <v/>
      </c>
      <c r="N634">
        <f>IF($F634="","",IF(Sync!$AH634="","0000",IF(AND(ISNUMBER(Sync!$AH634),Sync!$AH634&gt;=0,Sync!$AH634&lt;1),RIGHT("00"&amp;HOUR(Sync!$AH634),2)&amp;RIGHT("00"&amp;MINUTE(Sync!$AH634),2),IFERROR(RIGHT("00"&amp;VALUE(LEFT(Sync!$AH634,FIND(":",Sync!$AH634)-1)),2)&amp;RIGHT("00"&amp;VALUE(MID(Sync!$AH634,FIND(":",Sync!$AH634)+1,2)),2),"0000"))))</f>
        <v/>
      </c>
    </row>
    <row r="635">
      <c r="A635">
        <f>IF(OR(Calc!$E638="",Calc!$E638="نامعتبر",Calc!$G638="",Calc!$I638&lt;&gt;"خرید"),"",Calc!$G638)</f>
        <v/>
      </c>
      <c r="B635">
        <f>IF($A635="","",LEFT(Calc!$E638,4)&amp;MID(Calc!$E638,6,2)&amp;RIGHT(Calc!$E638,2)&amp;Calc!$R638&amp;"|"&amp;"1"&amp;RIGHT("00000"&amp;630,5))</f>
        <v/>
      </c>
      <c r="C635">
        <f>IF($B635="","",COUNTIFS(LdgPartyA,$A635,LdgKeyA,"&lt;"&amp;$B635)+COUNTIFS(LdgPartyB,$A635,LdgKeyB,"&lt;"&amp;$B635)+1)</f>
        <v/>
      </c>
      <c r="D635">
        <f>IF($C635="","",$A635&amp;"|"&amp;RIGHT("000000"&amp;$C635,6))</f>
        <v/>
      </c>
      <c r="F635">
        <f>IF(Sync!$AJ635="","",Sync!$AJ635)</f>
        <v/>
      </c>
      <c r="G635">
        <f>IF($F635="","",IF(Sync!$AG635="","",IF(ISNUMBER(Sync!$AG635),IF(AND(Sync!$AG635&gt;=10000101,Sync!$AG635&lt;=99991231),INT(Sync!$AG635/10000),""),IFERROR(VALUE(TRIM(LEFT(Sync!$AG635,FIND("/",Sync!$AG635)-1))),""))))</f>
        <v/>
      </c>
      <c r="H635">
        <f>IF(OR($F635="",$G635=""),"",IF(ISNUMBER(Sync!$AG635),INT(MOD(Sync!$AG635,10000)/100),IFERROR(VALUE(TRIM(LEFT(MID(Sync!$AG635,FIND("/",Sync!$AG635)+1,20),FIND("/",MID(Sync!$AG635,FIND("/",Sync!$AG635)+1,20))-1))),"")))</f>
        <v/>
      </c>
      <c r="I635">
        <f>IF(OR($F635="",$G635=""),"",IF(ISNUMBER(Sync!$AG635),MOD(Sync!$AG635,100),IFERROR(VALUE(TRIM(MID(MID(Sync!$AG635,FIND("/",Sync!$AG635)+1,20),FIND("/",MID(Sync!$AG635,FIND("/",Sync!$AG635)+1,20))+1,20))),"")))</f>
        <v/>
      </c>
      <c r="J635">
        <f>IF($F635="","",IF(OR($G635="",$H635="",$I635="",$G635&lt;1300,$G635&gt;1500,$H635&lt;1,$H635&gt;12,$I635&lt;1,$I635&gt;31),"نامعتبر",RIGHT("0000"&amp;$G635,4)&amp;"/"&amp;RIGHT("00"&amp;$H635,2)&amp;"/"&amp;RIGHT("00"&amp;$I635,2)))</f>
        <v/>
      </c>
      <c r="K635">
        <f>IF(OR($F635="",$J635="",$J635="نامعتبر"),"",LEFT($J635,4)&amp;MID($J635,6,2)&amp;RIGHT($J635,2)&amp;$N635&amp;"|"&amp;"2"&amp;RIGHT("00000"&amp;630,5))</f>
        <v/>
      </c>
      <c r="L635">
        <f>IF($K635="","",COUNTIFS(LdgPartyA,$F635,LdgKeyA,"&lt;"&amp;$K635)+COUNTIFS(LdgPartyB,$F635,LdgKeyB,"&lt;"&amp;$K635)+1)</f>
        <v/>
      </c>
      <c r="M635">
        <f>IF($L635="","",$F635&amp;"|"&amp;RIGHT("000000"&amp;$L635,6))</f>
        <v/>
      </c>
      <c r="N635">
        <f>IF($F635="","",IF(Sync!$AH635="","0000",IF(AND(ISNUMBER(Sync!$AH635),Sync!$AH635&gt;=0,Sync!$AH635&lt;1),RIGHT("00"&amp;HOUR(Sync!$AH635),2)&amp;RIGHT("00"&amp;MINUTE(Sync!$AH635),2),IFERROR(RIGHT("00"&amp;VALUE(LEFT(Sync!$AH635,FIND(":",Sync!$AH635)-1)),2)&amp;RIGHT("00"&amp;VALUE(MID(Sync!$AH635,FIND(":",Sync!$AH635)+1,2)),2),"0000"))))</f>
        <v/>
      </c>
    </row>
    <row r="636">
      <c r="A636">
        <f>IF(OR(Calc!$E639="",Calc!$E639="نامعتبر",Calc!$G639="",Calc!$I639&lt;&gt;"خرید"),"",Calc!$G639)</f>
        <v/>
      </c>
      <c r="B636">
        <f>IF($A636="","",LEFT(Calc!$E639,4)&amp;MID(Calc!$E639,6,2)&amp;RIGHT(Calc!$E639,2)&amp;Calc!$R639&amp;"|"&amp;"1"&amp;RIGHT("00000"&amp;631,5))</f>
        <v/>
      </c>
      <c r="C636">
        <f>IF($B636="","",COUNTIFS(LdgPartyA,$A636,LdgKeyA,"&lt;"&amp;$B636)+COUNTIFS(LdgPartyB,$A636,LdgKeyB,"&lt;"&amp;$B636)+1)</f>
        <v/>
      </c>
      <c r="D636">
        <f>IF($C636="","",$A636&amp;"|"&amp;RIGHT("000000"&amp;$C636,6))</f>
        <v/>
      </c>
      <c r="F636">
        <f>IF(Sync!$AJ636="","",Sync!$AJ636)</f>
        <v/>
      </c>
      <c r="G636">
        <f>IF($F636="","",IF(Sync!$AG636="","",IF(ISNUMBER(Sync!$AG636),IF(AND(Sync!$AG636&gt;=10000101,Sync!$AG636&lt;=99991231),INT(Sync!$AG636/10000),""),IFERROR(VALUE(TRIM(LEFT(Sync!$AG636,FIND("/",Sync!$AG636)-1))),""))))</f>
        <v/>
      </c>
      <c r="H636">
        <f>IF(OR($F636="",$G636=""),"",IF(ISNUMBER(Sync!$AG636),INT(MOD(Sync!$AG636,10000)/100),IFERROR(VALUE(TRIM(LEFT(MID(Sync!$AG636,FIND("/",Sync!$AG636)+1,20),FIND("/",MID(Sync!$AG636,FIND("/",Sync!$AG636)+1,20))-1))),"")))</f>
        <v/>
      </c>
      <c r="I636">
        <f>IF(OR($F636="",$G636=""),"",IF(ISNUMBER(Sync!$AG636),MOD(Sync!$AG636,100),IFERROR(VALUE(TRIM(MID(MID(Sync!$AG636,FIND("/",Sync!$AG636)+1,20),FIND("/",MID(Sync!$AG636,FIND("/",Sync!$AG636)+1,20))+1,20))),"")))</f>
        <v/>
      </c>
      <c r="J636">
        <f>IF($F636="","",IF(OR($G636="",$H636="",$I636="",$G636&lt;1300,$G636&gt;1500,$H636&lt;1,$H636&gt;12,$I636&lt;1,$I636&gt;31),"نامعتبر",RIGHT("0000"&amp;$G636,4)&amp;"/"&amp;RIGHT("00"&amp;$H636,2)&amp;"/"&amp;RIGHT("00"&amp;$I636,2)))</f>
        <v/>
      </c>
      <c r="K636">
        <f>IF(OR($F636="",$J636="",$J636="نامعتبر"),"",LEFT($J636,4)&amp;MID($J636,6,2)&amp;RIGHT($J636,2)&amp;$N636&amp;"|"&amp;"2"&amp;RIGHT("00000"&amp;631,5))</f>
        <v/>
      </c>
      <c r="L636">
        <f>IF($K636="","",COUNTIFS(LdgPartyA,$F636,LdgKeyA,"&lt;"&amp;$K636)+COUNTIFS(LdgPartyB,$F636,LdgKeyB,"&lt;"&amp;$K636)+1)</f>
        <v/>
      </c>
      <c r="M636">
        <f>IF($L636="","",$F636&amp;"|"&amp;RIGHT("000000"&amp;$L636,6))</f>
        <v/>
      </c>
      <c r="N636">
        <f>IF($F636="","",IF(Sync!$AH636="","0000",IF(AND(ISNUMBER(Sync!$AH636),Sync!$AH636&gt;=0,Sync!$AH636&lt;1),RIGHT("00"&amp;HOUR(Sync!$AH636),2)&amp;RIGHT("00"&amp;MINUTE(Sync!$AH636),2),IFERROR(RIGHT("00"&amp;VALUE(LEFT(Sync!$AH636,FIND(":",Sync!$AH636)-1)),2)&amp;RIGHT("00"&amp;VALUE(MID(Sync!$AH636,FIND(":",Sync!$AH636)+1,2)),2),"0000"))))</f>
        <v/>
      </c>
    </row>
    <row r="637">
      <c r="A637">
        <f>IF(OR(Calc!$E640="",Calc!$E640="نامعتبر",Calc!$G640="",Calc!$I640&lt;&gt;"خرید"),"",Calc!$G640)</f>
        <v/>
      </c>
      <c r="B637">
        <f>IF($A637="","",LEFT(Calc!$E640,4)&amp;MID(Calc!$E640,6,2)&amp;RIGHT(Calc!$E640,2)&amp;Calc!$R640&amp;"|"&amp;"1"&amp;RIGHT("00000"&amp;632,5))</f>
        <v/>
      </c>
      <c r="C637">
        <f>IF($B637="","",COUNTIFS(LdgPartyA,$A637,LdgKeyA,"&lt;"&amp;$B637)+COUNTIFS(LdgPartyB,$A637,LdgKeyB,"&lt;"&amp;$B637)+1)</f>
        <v/>
      </c>
      <c r="D637">
        <f>IF($C637="","",$A637&amp;"|"&amp;RIGHT("000000"&amp;$C637,6))</f>
        <v/>
      </c>
      <c r="F637">
        <f>IF(Sync!$AJ637="","",Sync!$AJ637)</f>
        <v/>
      </c>
      <c r="G637">
        <f>IF($F637="","",IF(Sync!$AG637="","",IF(ISNUMBER(Sync!$AG637),IF(AND(Sync!$AG637&gt;=10000101,Sync!$AG637&lt;=99991231),INT(Sync!$AG637/10000),""),IFERROR(VALUE(TRIM(LEFT(Sync!$AG637,FIND("/",Sync!$AG637)-1))),""))))</f>
        <v/>
      </c>
      <c r="H637">
        <f>IF(OR($F637="",$G637=""),"",IF(ISNUMBER(Sync!$AG637),INT(MOD(Sync!$AG637,10000)/100),IFERROR(VALUE(TRIM(LEFT(MID(Sync!$AG637,FIND("/",Sync!$AG637)+1,20),FIND("/",MID(Sync!$AG637,FIND("/",Sync!$AG637)+1,20))-1))),"")))</f>
        <v/>
      </c>
      <c r="I637">
        <f>IF(OR($F637="",$G637=""),"",IF(ISNUMBER(Sync!$AG637),MOD(Sync!$AG637,100),IFERROR(VALUE(TRIM(MID(MID(Sync!$AG637,FIND("/",Sync!$AG637)+1,20),FIND("/",MID(Sync!$AG637,FIND("/",Sync!$AG637)+1,20))+1,20))),"")))</f>
        <v/>
      </c>
      <c r="J637">
        <f>IF($F637="","",IF(OR($G637="",$H637="",$I637="",$G637&lt;1300,$G637&gt;1500,$H637&lt;1,$H637&gt;12,$I637&lt;1,$I637&gt;31),"نامعتبر",RIGHT("0000"&amp;$G637,4)&amp;"/"&amp;RIGHT("00"&amp;$H637,2)&amp;"/"&amp;RIGHT("00"&amp;$I637,2)))</f>
        <v/>
      </c>
      <c r="K637">
        <f>IF(OR($F637="",$J637="",$J637="نامعتبر"),"",LEFT($J637,4)&amp;MID($J637,6,2)&amp;RIGHT($J637,2)&amp;$N637&amp;"|"&amp;"2"&amp;RIGHT("00000"&amp;632,5))</f>
        <v/>
      </c>
      <c r="L637">
        <f>IF($K637="","",COUNTIFS(LdgPartyA,$F637,LdgKeyA,"&lt;"&amp;$K637)+COUNTIFS(LdgPartyB,$F637,LdgKeyB,"&lt;"&amp;$K637)+1)</f>
        <v/>
      </c>
      <c r="M637">
        <f>IF($L637="","",$F637&amp;"|"&amp;RIGHT("000000"&amp;$L637,6))</f>
        <v/>
      </c>
      <c r="N637">
        <f>IF($F637="","",IF(Sync!$AH637="","0000",IF(AND(ISNUMBER(Sync!$AH637),Sync!$AH637&gt;=0,Sync!$AH637&lt;1),RIGHT("00"&amp;HOUR(Sync!$AH637),2)&amp;RIGHT("00"&amp;MINUTE(Sync!$AH637),2),IFERROR(RIGHT("00"&amp;VALUE(LEFT(Sync!$AH637,FIND(":",Sync!$AH637)-1)),2)&amp;RIGHT("00"&amp;VALUE(MID(Sync!$AH637,FIND(":",Sync!$AH637)+1,2)),2),"0000"))))</f>
        <v/>
      </c>
    </row>
    <row r="638">
      <c r="A638">
        <f>IF(OR(Calc!$E641="",Calc!$E641="نامعتبر",Calc!$G641="",Calc!$I641&lt;&gt;"خرید"),"",Calc!$G641)</f>
        <v/>
      </c>
      <c r="B638">
        <f>IF($A638="","",LEFT(Calc!$E641,4)&amp;MID(Calc!$E641,6,2)&amp;RIGHT(Calc!$E641,2)&amp;Calc!$R641&amp;"|"&amp;"1"&amp;RIGHT("00000"&amp;633,5))</f>
        <v/>
      </c>
      <c r="C638">
        <f>IF($B638="","",COUNTIFS(LdgPartyA,$A638,LdgKeyA,"&lt;"&amp;$B638)+COUNTIFS(LdgPartyB,$A638,LdgKeyB,"&lt;"&amp;$B638)+1)</f>
        <v/>
      </c>
      <c r="D638">
        <f>IF($C638="","",$A638&amp;"|"&amp;RIGHT("000000"&amp;$C638,6))</f>
        <v/>
      </c>
      <c r="F638">
        <f>IF(Sync!$AJ638="","",Sync!$AJ638)</f>
        <v/>
      </c>
      <c r="G638">
        <f>IF($F638="","",IF(Sync!$AG638="","",IF(ISNUMBER(Sync!$AG638),IF(AND(Sync!$AG638&gt;=10000101,Sync!$AG638&lt;=99991231),INT(Sync!$AG638/10000),""),IFERROR(VALUE(TRIM(LEFT(Sync!$AG638,FIND("/",Sync!$AG638)-1))),""))))</f>
        <v/>
      </c>
      <c r="H638">
        <f>IF(OR($F638="",$G638=""),"",IF(ISNUMBER(Sync!$AG638),INT(MOD(Sync!$AG638,10000)/100),IFERROR(VALUE(TRIM(LEFT(MID(Sync!$AG638,FIND("/",Sync!$AG638)+1,20),FIND("/",MID(Sync!$AG638,FIND("/",Sync!$AG638)+1,20))-1))),"")))</f>
        <v/>
      </c>
      <c r="I638">
        <f>IF(OR($F638="",$G638=""),"",IF(ISNUMBER(Sync!$AG638),MOD(Sync!$AG638,100),IFERROR(VALUE(TRIM(MID(MID(Sync!$AG638,FIND("/",Sync!$AG638)+1,20),FIND("/",MID(Sync!$AG638,FIND("/",Sync!$AG638)+1,20))+1,20))),"")))</f>
        <v/>
      </c>
      <c r="J638">
        <f>IF($F638="","",IF(OR($G638="",$H638="",$I638="",$G638&lt;1300,$G638&gt;1500,$H638&lt;1,$H638&gt;12,$I638&lt;1,$I638&gt;31),"نامعتبر",RIGHT("0000"&amp;$G638,4)&amp;"/"&amp;RIGHT("00"&amp;$H638,2)&amp;"/"&amp;RIGHT("00"&amp;$I638,2)))</f>
        <v/>
      </c>
      <c r="K638">
        <f>IF(OR($F638="",$J638="",$J638="نامعتبر"),"",LEFT($J638,4)&amp;MID($J638,6,2)&amp;RIGHT($J638,2)&amp;$N638&amp;"|"&amp;"2"&amp;RIGHT("00000"&amp;633,5))</f>
        <v/>
      </c>
      <c r="L638">
        <f>IF($K638="","",COUNTIFS(LdgPartyA,$F638,LdgKeyA,"&lt;"&amp;$K638)+COUNTIFS(LdgPartyB,$F638,LdgKeyB,"&lt;"&amp;$K638)+1)</f>
        <v/>
      </c>
      <c r="M638">
        <f>IF($L638="","",$F638&amp;"|"&amp;RIGHT("000000"&amp;$L638,6))</f>
        <v/>
      </c>
      <c r="N638">
        <f>IF($F638="","",IF(Sync!$AH638="","0000",IF(AND(ISNUMBER(Sync!$AH638),Sync!$AH638&gt;=0,Sync!$AH638&lt;1),RIGHT("00"&amp;HOUR(Sync!$AH638),2)&amp;RIGHT("00"&amp;MINUTE(Sync!$AH638),2),IFERROR(RIGHT("00"&amp;VALUE(LEFT(Sync!$AH638,FIND(":",Sync!$AH638)-1)),2)&amp;RIGHT("00"&amp;VALUE(MID(Sync!$AH638,FIND(":",Sync!$AH638)+1,2)),2),"0000"))))</f>
        <v/>
      </c>
    </row>
    <row r="639">
      <c r="A639">
        <f>IF(OR(Calc!$E642="",Calc!$E642="نامعتبر",Calc!$G642="",Calc!$I642&lt;&gt;"خرید"),"",Calc!$G642)</f>
        <v/>
      </c>
      <c r="B639">
        <f>IF($A639="","",LEFT(Calc!$E642,4)&amp;MID(Calc!$E642,6,2)&amp;RIGHT(Calc!$E642,2)&amp;Calc!$R642&amp;"|"&amp;"1"&amp;RIGHT("00000"&amp;634,5))</f>
        <v/>
      </c>
      <c r="C639">
        <f>IF($B639="","",COUNTIFS(LdgPartyA,$A639,LdgKeyA,"&lt;"&amp;$B639)+COUNTIFS(LdgPartyB,$A639,LdgKeyB,"&lt;"&amp;$B639)+1)</f>
        <v/>
      </c>
      <c r="D639">
        <f>IF($C639="","",$A639&amp;"|"&amp;RIGHT("000000"&amp;$C639,6))</f>
        <v/>
      </c>
      <c r="F639">
        <f>IF(Sync!$AJ639="","",Sync!$AJ639)</f>
        <v/>
      </c>
      <c r="G639">
        <f>IF($F639="","",IF(Sync!$AG639="","",IF(ISNUMBER(Sync!$AG639),IF(AND(Sync!$AG639&gt;=10000101,Sync!$AG639&lt;=99991231),INT(Sync!$AG639/10000),""),IFERROR(VALUE(TRIM(LEFT(Sync!$AG639,FIND("/",Sync!$AG639)-1))),""))))</f>
        <v/>
      </c>
      <c r="H639">
        <f>IF(OR($F639="",$G639=""),"",IF(ISNUMBER(Sync!$AG639),INT(MOD(Sync!$AG639,10000)/100),IFERROR(VALUE(TRIM(LEFT(MID(Sync!$AG639,FIND("/",Sync!$AG639)+1,20),FIND("/",MID(Sync!$AG639,FIND("/",Sync!$AG639)+1,20))-1))),"")))</f>
        <v/>
      </c>
      <c r="I639">
        <f>IF(OR($F639="",$G639=""),"",IF(ISNUMBER(Sync!$AG639),MOD(Sync!$AG639,100),IFERROR(VALUE(TRIM(MID(MID(Sync!$AG639,FIND("/",Sync!$AG639)+1,20),FIND("/",MID(Sync!$AG639,FIND("/",Sync!$AG639)+1,20))+1,20))),"")))</f>
        <v/>
      </c>
      <c r="J639">
        <f>IF($F639="","",IF(OR($G639="",$H639="",$I639="",$G639&lt;1300,$G639&gt;1500,$H639&lt;1,$H639&gt;12,$I639&lt;1,$I639&gt;31),"نامعتبر",RIGHT("0000"&amp;$G639,4)&amp;"/"&amp;RIGHT("00"&amp;$H639,2)&amp;"/"&amp;RIGHT("00"&amp;$I639,2)))</f>
        <v/>
      </c>
      <c r="K639">
        <f>IF(OR($F639="",$J639="",$J639="نامعتبر"),"",LEFT($J639,4)&amp;MID($J639,6,2)&amp;RIGHT($J639,2)&amp;$N639&amp;"|"&amp;"2"&amp;RIGHT("00000"&amp;634,5))</f>
        <v/>
      </c>
      <c r="L639">
        <f>IF($K639="","",COUNTIFS(LdgPartyA,$F639,LdgKeyA,"&lt;"&amp;$K639)+COUNTIFS(LdgPartyB,$F639,LdgKeyB,"&lt;"&amp;$K639)+1)</f>
        <v/>
      </c>
      <c r="M639">
        <f>IF($L639="","",$F639&amp;"|"&amp;RIGHT("000000"&amp;$L639,6))</f>
        <v/>
      </c>
      <c r="N639">
        <f>IF($F639="","",IF(Sync!$AH639="","0000",IF(AND(ISNUMBER(Sync!$AH639),Sync!$AH639&gt;=0,Sync!$AH639&lt;1),RIGHT("00"&amp;HOUR(Sync!$AH639),2)&amp;RIGHT("00"&amp;MINUTE(Sync!$AH639),2),IFERROR(RIGHT("00"&amp;VALUE(LEFT(Sync!$AH639,FIND(":",Sync!$AH639)-1)),2)&amp;RIGHT("00"&amp;VALUE(MID(Sync!$AH639,FIND(":",Sync!$AH639)+1,2)),2),"0000"))))</f>
        <v/>
      </c>
    </row>
    <row r="640">
      <c r="A640">
        <f>IF(OR(Calc!$E643="",Calc!$E643="نامعتبر",Calc!$G643="",Calc!$I643&lt;&gt;"خرید"),"",Calc!$G643)</f>
        <v/>
      </c>
      <c r="B640">
        <f>IF($A640="","",LEFT(Calc!$E643,4)&amp;MID(Calc!$E643,6,2)&amp;RIGHT(Calc!$E643,2)&amp;Calc!$R643&amp;"|"&amp;"1"&amp;RIGHT("00000"&amp;635,5))</f>
        <v/>
      </c>
      <c r="C640">
        <f>IF($B640="","",COUNTIFS(LdgPartyA,$A640,LdgKeyA,"&lt;"&amp;$B640)+COUNTIFS(LdgPartyB,$A640,LdgKeyB,"&lt;"&amp;$B640)+1)</f>
        <v/>
      </c>
      <c r="D640">
        <f>IF($C640="","",$A640&amp;"|"&amp;RIGHT("000000"&amp;$C640,6))</f>
        <v/>
      </c>
      <c r="F640">
        <f>IF(Sync!$AJ640="","",Sync!$AJ640)</f>
        <v/>
      </c>
      <c r="G640">
        <f>IF($F640="","",IF(Sync!$AG640="","",IF(ISNUMBER(Sync!$AG640),IF(AND(Sync!$AG640&gt;=10000101,Sync!$AG640&lt;=99991231),INT(Sync!$AG640/10000),""),IFERROR(VALUE(TRIM(LEFT(Sync!$AG640,FIND("/",Sync!$AG640)-1))),""))))</f>
        <v/>
      </c>
      <c r="H640">
        <f>IF(OR($F640="",$G640=""),"",IF(ISNUMBER(Sync!$AG640),INT(MOD(Sync!$AG640,10000)/100),IFERROR(VALUE(TRIM(LEFT(MID(Sync!$AG640,FIND("/",Sync!$AG640)+1,20),FIND("/",MID(Sync!$AG640,FIND("/",Sync!$AG640)+1,20))-1))),"")))</f>
        <v/>
      </c>
      <c r="I640">
        <f>IF(OR($F640="",$G640=""),"",IF(ISNUMBER(Sync!$AG640),MOD(Sync!$AG640,100),IFERROR(VALUE(TRIM(MID(MID(Sync!$AG640,FIND("/",Sync!$AG640)+1,20),FIND("/",MID(Sync!$AG640,FIND("/",Sync!$AG640)+1,20))+1,20))),"")))</f>
        <v/>
      </c>
      <c r="J640">
        <f>IF($F640="","",IF(OR($G640="",$H640="",$I640="",$G640&lt;1300,$G640&gt;1500,$H640&lt;1,$H640&gt;12,$I640&lt;1,$I640&gt;31),"نامعتبر",RIGHT("0000"&amp;$G640,4)&amp;"/"&amp;RIGHT("00"&amp;$H640,2)&amp;"/"&amp;RIGHT("00"&amp;$I640,2)))</f>
        <v/>
      </c>
      <c r="K640">
        <f>IF(OR($F640="",$J640="",$J640="نامعتبر"),"",LEFT($J640,4)&amp;MID($J640,6,2)&amp;RIGHT($J640,2)&amp;$N640&amp;"|"&amp;"2"&amp;RIGHT("00000"&amp;635,5))</f>
        <v/>
      </c>
      <c r="L640">
        <f>IF($K640="","",COUNTIFS(LdgPartyA,$F640,LdgKeyA,"&lt;"&amp;$K640)+COUNTIFS(LdgPartyB,$F640,LdgKeyB,"&lt;"&amp;$K640)+1)</f>
        <v/>
      </c>
      <c r="M640">
        <f>IF($L640="","",$F640&amp;"|"&amp;RIGHT("000000"&amp;$L640,6))</f>
        <v/>
      </c>
      <c r="N640">
        <f>IF($F640="","",IF(Sync!$AH640="","0000",IF(AND(ISNUMBER(Sync!$AH640),Sync!$AH640&gt;=0,Sync!$AH640&lt;1),RIGHT("00"&amp;HOUR(Sync!$AH640),2)&amp;RIGHT("00"&amp;MINUTE(Sync!$AH640),2),IFERROR(RIGHT("00"&amp;VALUE(LEFT(Sync!$AH640,FIND(":",Sync!$AH640)-1)),2)&amp;RIGHT("00"&amp;VALUE(MID(Sync!$AH640,FIND(":",Sync!$AH640)+1,2)),2),"0000"))))</f>
        <v/>
      </c>
    </row>
    <row r="641">
      <c r="A641">
        <f>IF(OR(Calc!$E644="",Calc!$E644="نامعتبر",Calc!$G644="",Calc!$I644&lt;&gt;"خرید"),"",Calc!$G644)</f>
        <v/>
      </c>
      <c r="B641">
        <f>IF($A641="","",LEFT(Calc!$E644,4)&amp;MID(Calc!$E644,6,2)&amp;RIGHT(Calc!$E644,2)&amp;Calc!$R644&amp;"|"&amp;"1"&amp;RIGHT("00000"&amp;636,5))</f>
        <v/>
      </c>
      <c r="C641">
        <f>IF($B641="","",COUNTIFS(LdgPartyA,$A641,LdgKeyA,"&lt;"&amp;$B641)+COUNTIFS(LdgPartyB,$A641,LdgKeyB,"&lt;"&amp;$B641)+1)</f>
        <v/>
      </c>
      <c r="D641">
        <f>IF($C641="","",$A641&amp;"|"&amp;RIGHT("000000"&amp;$C641,6))</f>
        <v/>
      </c>
      <c r="F641">
        <f>IF(Sync!$AJ641="","",Sync!$AJ641)</f>
        <v/>
      </c>
      <c r="G641">
        <f>IF($F641="","",IF(Sync!$AG641="","",IF(ISNUMBER(Sync!$AG641),IF(AND(Sync!$AG641&gt;=10000101,Sync!$AG641&lt;=99991231),INT(Sync!$AG641/10000),""),IFERROR(VALUE(TRIM(LEFT(Sync!$AG641,FIND("/",Sync!$AG641)-1))),""))))</f>
        <v/>
      </c>
      <c r="H641">
        <f>IF(OR($F641="",$G641=""),"",IF(ISNUMBER(Sync!$AG641),INT(MOD(Sync!$AG641,10000)/100),IFERROR(VALUE(TRIM(LEFT(MID(Sync!$AG641,FIND("/",Sync!$AG641)+1,20),FIND("/",MID(Sync!$AG641,FIND("/",Sync!$AG641)+1,20))-1))),"")))</f>
        <v/>
      </c>
      <c r="I641">
        <f>IF(OR($F641="",$G641=""),"",IF(ISNUMBER(Sync!$AG641),MOD(Sync!$AG641,100),IFERROR(VALUE(TRIM(MID(MID(Sync!$AG641,FIND("/",Sync!$AG641)+1,20),FIND("/",MID(Sync!$AG641,FIND("/",Sync!$AG641)+1,20))+1,20))),"")))</f>
        <v/>
      </c>
      <c r="J641">
        <f>IF($F641="","",IF(OR($G641="",$H641="",$I641="",$G641&lt;1300,$G641&gt;1500,$H641&lt;1,$H641&gt;12,$I641&lt;1,$I641&gt;31),"نامعتبر",RIGHT("0000"&amp;$G641,4)&amp;"/"&amp;RIGHT("00"&amp;$H641,2)&amp;"/"&amp;RIGHT("00"&amp;$I641,2)))</f>
        <v/>
      </c>
      <c r="K641">
        <f>IF(OR($F641="",$J641="",$J641="نامعتبر"),"",LEFT($J641,4)&amp;MID($J641,6,2)&amp;RIGHT($J641,2)&amp;$N641&amp;"|"&amp;"2"&amp;RIGHT("00000"&amp;636,5))</f>
        <v/>
      </c>
      <c r="L641">
        <f>IF($K641="","",COUNTIFS(LdgPartyA,$F641,LdgKeyA,"&lt;"&amp;$K641)+COUNTIFS(LdgPartyB,$F641,LdgKeyB,"&lt;"&amp;$K641)+1)</f>
        <v/>
      </c>
      <c r="M641">
        <f>IF($L641="","",$F641&amp;"|"&amp;RIGHT("000000"&amp;$L641,6))</f>
        <v/>
      </c>
      <c r="N641">
        <f>IF($F641="","",IF(Sync!$AH641="","0000",IF(AND(ISNUMBER(Sync!$AH641),Sync!$AH641&gt;=0,Sync!$AH641&lt;1),RIGHT("00"&amp;HOUR(Sync!$AH641),2)&amp;RIGHT("00"&amp;MINUTE(Sync!$AH641),2),IFERROR(RIGHT("00"&amp;VALUE(LEFT(Sync!$AH641,FIND(":",Sync!$AH641)-1)),2)&amp;RIGHT("00"&amp;VALUE(MID(Sync!$AH641,FIND(":",Sync!$AH641)+1,2)),2),"0000"))))</f>
        <v/>
      </c>
    </row>
    <row r="642">
      <c r="A642">
        <f>IF(OR(Calc!$E645="",Calc!$E645="نامعتبر",Calc!$G645="",Calc!$I645&lt;&gt;"خرید"),"",Calc!$G645)</f>
        <v/>
      </c>
      <c r="B642">
        <f>IF($A642="","",LEFT(Calc!$E645,4)&amp;MID(Calc!$E645,6,2)&amp;RIGHT(Calc!$E645,2)&amp;Calc!$R645&amp;"|"&amp;"1"&amp;RIGHT("00000"&amp;637,5))</f>
        <v/>
      </c>
      <c r="C642">
        <f>IF($B642="","",COUNTIFS(LdgPartyA,$A642,LdgKeyA,"&lt;"&amp;$B642)+COUNTIFS(LdgPartyB,$A642,LdgKeyB,"&lt;"&amp;$B642)+1)</f>
        <v/>
      </c>
      <c r="D642">
        <f>IF($C642="","",$A642&amp;"|"&amp;RIGHT("000000"&amp;$C642,6))</f>
        <v/>
      </c>
      <c r="F642">
        <f>IF(Sync!$AJ642="","",Sync!$AJ642)</f>
        <v/>
      </c>
      <c r="G642">
        <f>IF($F642="","",IF(Sync!$AG642="","",IF(ISNUMBER(Sync!$AG642),IF(AND(Sync!$AG642&gt;=10000101,Sync!$AG642&lt;=99991231),INT(Sync!$AG642/10000),""),IFERROR(VALUE(TRIM(LEFT(Sync!$AG642,FIND("/",Sync!$AG642)-1))),""))))</f>
        <v/>
      </c>
      <c r="H642">
        <f>IF(OR($F642="",$G642=""),"",IF(ISNUMBER(Sync!$AG642),INT(MOD(Sync!$AG642,10000)/100),IFERROR(VALUE(TRIM(LEFT(MID(Sync!$AG642,FIND("/",Sync!$AG642)+1,20),FIND("/",MID(Sync!$AG642,FIND("/",Sync!$AG642)+1,20))-1))),"")))</f>
        <v/>
      </c>
      <c r="I642">
        <f>IF(OR($F642="",$G642=""),"",IF(ISNUMBER(Sync!$AG642),MOD(Sync!$AG642,100),IFERROR(VALUE(TRIM(MID(MID(Sync!$AG642,FIND("/",Sync!$AG642)+1,20),FIND("/",MID(Sync!$AG642,FIND("/",Sync!$AG642)+1,20))+1,20))),"")))</f>
        <v/>
      </c>
      <c r="J642">
        <f>IF($F642="","",IF(OR($G642="",$H642="",$I642="",$G642&lt;1300,$G642&gt;1500,$H642&lt;1,$H642&gt;12,$I642&lt;1,$I642&gt;31),"نامعتبر",RIGHT("0000"&amp;$G642,4)&amp;"/"&amp;RIGHT("00"&amp;$H642,2)&amp;"/"&amp;RIGHT("00"&amp;$I642,2)))</f>
        <v/>
      </c>
      <c r="K642">
        <f>IF(OR($F642="",$J642="",$J642="نامعتبر"),"",LEFT($J642,4)&amp;MID($J642,6,2)&amp;RIGHT($J642,2)&amp;$N642&amp;"|"&amp;"2"&amp;RIGHT("00000"&amp;637,5))</f>
        <v/>
      </c>
      <c r="L642">
        <f>IF($K642="","",COUNTIFS(LdgPartyA,$F642,LdgKeyA,"&lt;"&amp;$K642)+COUNTIFS(LdgPartyB,$F642,LdgKeyB,"&lt;"&amp;$K642)+1)</f>
        <v/>
      </c>
      <c r="M642">
        <f>IF($L642="","",$F642&amp;"|"&amp;RIGHT("000000"&amp;$L642,6))</f>
        <v/>
      </c>
      <c r="N642">
        <f>IF($F642="","",IF(Sync!$AH642="","0000",IF(AND(ISNUMBER(Sync!$AH642),Sync!$AH642&gt;=0,Sync!$AH642&lt;1),RIGHT("00"&amp;HOUR(Sync!$AH642),2)&amp;RIGHT("00"&amp;MINUTE(Sync!$AH642),2),IFERROR(RIGHT("00"&amp;VALUE(LEFT(Sync!$AH642,FIND(":",Sync!$AH642)-1)),2)&amp;RIGHT("00"&amp;VALUE(MID(Sync!$AH642,FIND(":",Sync!$AH642)+1,2)),2),"0000"))))</f>
        <v/>
      </c>
    </row>
    <row r="643">
      <c r="A643">
        <f>IF(OR(Calc!$E646="",Calc!$E646="نامعتبر",Calc!$G646="",Calc!$I646&lt;&gt;"خرید"),"",Calc!$G646)</f>
        <v/>
      </c>
      <c r="B643">
        <f>IF($A643="","",LEFT(Calc!$E646,4)&amp;MID(Calc!$E646,6,2)&amp;RIGHT(Calc!$E646,2)&amp;Calc!$R646&amp;"|"&amp;"1"&amp;RIGHT("00000"&amp;638,5))</f>
        <v/>
      </c>
      <c r="C643">
        <f>IF($B643="","",COUNTIFS(LdgPartyA,$A643,LdgKeyA,"&lt;"&amp;$B643)+COUNTIFS(LdgPartyB,$A643,LdgKeyB,"&lt;"&amp;$B643)+1)</f>
        <v/>
      </c>
      <c r="D643">
        <f>IF($C643="","",$A643&amp;"|"&amp;RIGHT("000000"&amp;$C643,6))</f>
        <v/>
      </c>
      <c r="F643">
        <f>IF(Sync!$AJ643="","",Sync!$AJ643)</f>
        <v/>
      </c>
      <c r="G643">
        <f>IF($F643="","",IF(Sync!$AG643="","",IF(ISNUMBER(Sync!$AG643),IF(AND(Sync!$AG643&gt;=10000101,Sync!$AG643&lt;=99991231),INT(Sync!$AG643/10000),""),IFERROR(VALUE(TRIM(LEFT(Sync!$AG643,FIND("/",Sync!$AG643)-1))),""))))</f>
        <v/>
      </c>
      <c r="H643">
        <f>IF(OR($F643="",$G643=""),"",IF(ISNUMBER(Sync!$AG643),INT(MOD(Sync!$AG643,10000)/100),IFERROR(VALUE(TRIM(LEFT(MID(Sync!$AG643,FIND("/",Sync!$AG643)+1,20),FIND("/",MID(Sync!$AG643,FIND("/",Sync!$AG643)+1,20))-1))),"")))</f>
        <v/>
      </c>
      <c r="I643">
        <f>IF(OR($F643="",$G643=""),"",IF(ISNUMBER(Sync!$AG643),MOD(Sync!$AG643,100),IFERROR(VALUE(TRIM(MID(MID(Sync!$AG643,FIND("/",Sync!$AG643)+1,20),FIND("/",MID(Sync!$AG643,FIND("/",Sync!$AG643)+1,20))+1,20))),"")))</f>
        <v/>
      </c>
      <c r="J643">
        <f>IF($F643="","",IF(OR($G643="",$H643="",$I643="",$G643&lt;1300,$G643&gt;1500,$H643&lt;1,$H643&gt;12,$I643&lt;1,$I643&gt;31),"نامعتبر",RIGHT("0000"&amp;$G643,4)&amp;"/"&amp;RIGHT("00"&amp;$H643,2)&amp;"/"&amp;RIGHT("00"&amp;$I643,2)))</f>
        <v/>
      </c>
      <c r="K643">
        <f>IF(OR($F643="",$J643="",$J643="نامعتبر"),"",LEFT($J643,4)&amp;MID($J643,6,2)&amp;RIGHT($J643,2)&amp;$N643&amp;"|"&amp;"2"&amp;RIGHT("00000"&amp;638,5))</f>
        <v/>
      </c>
      <c r="L643">
        <f>IF($K643="","",COUNTIFS(LdgPartyA,$F643,LdgKeyA,"&lt;"&amp;$K643)+COUNTIFS(LdgPartyB,$F643,LdgKeyB,"&lt;"&amp;$K643)+1)</f>
        <v/>
      </c>
      <c r="M643">
        <f>IF($L643="","",$F643&amp;"|"&amp;RIGHT("000000"&amp;$L643,6))</f>
        <v/>
      </c>
      <c r="N643">
        <f>IF($F643="","",IF(Sync!$AH643="","0000",IF(AND(ISNUMBER(Sync!$AH643),Sync!$AH643&gt;=0,Sync!$AH643&lt;1),RIGHT("00"&amp;HOUR(Sync!$AH643),2)&amp;RIGHT("00"&amp;MINUTE(Sync!$AH643),2),IFERROR(RIGHT("00"&amp;VALUE(LEFT(Sync!$AH643,FIND(":",Sync!$AH643)-1)),2)&amp;RIGHT("00"&amp;VALUE(MID(Sync!$AH643,FIND(":",Sync!$AH643)+1,2)),2),"0000"))))</f>
        <v/>
      </c>
    </row>
    <row r="644">
      <c r="A644">
        <f>IF(OR(Calc!$E647="",Calc!$E647="نامعتبر",Calc!$G647="",Calc!$I647&lt;&gt;"خرید"),"",Calc!$G647)</f>
        <v/>
      </c>
      <c r="B644">
        <f>IF($A644="","",LEFT(Calc!$E647,4)&amp;MID(Calc!$E647,6,2)&amp;RIGHT(Calc!$E647,2)&amp;Calc!$R647&amp;"|"&amp;"1"&amp;RIGHT("00000"&amp;639,5))</f>
        <v/>
      </c>
      <c r="C644">
        <f>IF($B644="","",COUNTIFS(LdgPartyA,$A644,LdgKeyA,"&lt;"&amp;$B644)+COUNTIFS(LdgPartyB,$A644,LdgKeyB,"&lt;"&amp;$B644)+1)</f>
        <v/>
      </c>
      <c r="D644">
        <f>IF($C644="","",$A644&amp;"|"&amp;RIGHT("000000"&amp;$C644,6))</f>
        <v/>
      </c>
      <c r="F644">
        <f>IF(Sync!$AJ644="","",Sync!$AJ644)</f>
        <v/>
      </c>
      <c r="G644">
        <f>IF($F644="","",IF(Sync!$AG644="","",IF(ISNUMBER(Sync!$AG644),IF(AND(Sync!$AG644&gt;=10000101,Sync!$AG644&lt;=99991231),INT(Sync!$AG644/10000),""),IFERROR(VALUE(TRIM(LEFT(Sync!$AG644,FIND("/",Sync!$AG644)-1))),""))))</f>
        <v/>
      </c>
      <c r="H644">
        <f>IF(OR($F644="",$G644=""),"",IF(ISNUMBER(Sync!$AG644),INT(MOD(Sync!$AG644,10000)/100),IFERROR(VALUE(TRIM(LEFT(MID(Sync!$AG644,FIND("/",Sync!$AG644)+1,20),FIND("/",MID(Sync!$AG644,FIND("/",Sync!$AG644)+1,20))-1))),"")))</f>
        <v/>
      </c>
      <c r="I644">
        <f>IF(OR($F644="",$G644=""),"",IF(ISNUMBER(Sync!$AG644),MOD(Sync!$AG644,100),IFERROR(VALUE(TRIM(MID(MID(Sync!$AG644,FIND("/",Sync!$AG644)+1,20),FIND("/",MID(Sync!$AG644,FIND("/",Sync!$AG644)+1,20))+1,20))),"")))</f>
        <v/>
      </c>
      <c r="J644">
        <f>IF($F644="","",IF(OR($G644="",$H644="",$I644="",$G644&lt;1300,$G644&gt;1500,$H644&lt;1,$H644&gt;12,$I644&lt;1,$I644&gt;31),"نامعتبر",RIGHT("0000"&amp;$G644,4)&amp;"/"&amp;RIGHT("00"&amp;$H644,2)&amp;"/"&amp;RIGHT("00"&amp;$I644,2)))</f>
        <v/>
      </c>
      <c r="K644">
        <f>IF(OR($F644="",$J644="",$J644="نامعتبر"),"",LEFT($J644,4)&amp;MID($J644,6,2)&amp;RIGHT($J644,2)&amp;$N644&amp;"|"&amp;"2"&amp;RIGHT("00000"&amp;639,5))</f>
        <v/>
      </c>
      <c r="L644">
        <f>IF($K644="","",COUNTIFS(LdgPartyA,$F644,LdgKeyA,"&lt;"&amp;$K644)+COUNTIFS(LdgPartyB,$F644,LdgKeyB,"&lt;"&amp;$K644)+1)</f>
        <v/>
      </c>
      <c r="M644">
        <f>IF($L644="","",$F644&amp;"|"&amp;RIGHT("000000"&amp;$L644,6))</f>
        <v/>
      </c>
      <c r="N644">
        <f>IF($F644="","",IF(Sync!$AH644="","0000",IF(AND(ISNUMBER(Sync!$AH644),Sync!$AH644&gt;=0,Sync!$AH644&lt;1),RIGHT("00"&amp;HOUR(Sync!$AH644),2)&amp;RIGHT("00"&amp;MINUTE(Sync!$AH644),2),IFERROR(RIGHT("00"&amp;VALUE(LEFT(Sync!$AH644,FIND(":",Sync!$AH644)-1)),2)&amp;RIGHT("00"&amp;VALUE(MID(Sync!$AH644,FIND(":",Sync!$AH644)+1,2)),2),"0000"))))</f>
        <v/>
      </c>
    </row>
    <row r="645">
      <c r="A645">
        <f>IF(OR(Calc!$E648="",Calc!$E648="نامعتبر",Calc!$G648="",Calc!$I648&lt;&gt;"خرید"),"",Calc!$G648)</f>
        <v/>
      </c>
      <c r="B645">
        <f>IF($A645="","",LEFT(Calc!$E648,4)&amp;MID(Calc!$E648,6,2)&amp;RIGHT(Calc!$E648,2)&amp;Calc!$R648&amp;"|"&amp;"1"&amp;RIGHT("00000"&amp;640,5))</f>
        <v/>
      </c>
      <c r="C645">
        <f>IF($B645="","",COUNTIFS(LdgPartyA,$A645,LdgKeyA,"&lt;"&amp;$B645)+COUNTIFS(LdgPartyB,$A645,LdgKeyB,"&lt;"&amp;$B645)+1)</f>
        <v/>
      </c>
      <c r="D645">
        <f>IF($C645="","",$A645&amp;"|"&amp;RIGHT("000000"&amp;$C645,6))</f>
        <v/>
      </c>
      <c r="F645">
        <f>IF(Sync!$AJ645="","",Sync!$AJ645)</f>
        <v/>
      </c>
      <c r="G645">
        <f>IF($F645="","",IF(Sync!$AG645="","",IF(ISNUMBER(Sync!$AG645),IF(AND(Sync!$AG645&gt;=10000101,Sync!$AG645&lt;=99991231),INT(Sync!$AG645/10000),""),IFERROR(VALUE(TRIM(LEFT(Sync!$AG645,FIND("/",Sync!$AG645)-1))),""))))</f>
        <v/>
      </c>
      <c r="H645">
        <f>IF(OR($F645="",$G645=""),"",IF(ISNUMBER(Sync!$AG645),INT(MOD(Sync!$AG645,10000)/100),IFERROR(VALUE(TRIM(LEFT(MID(Sync!$AG645,FIND("/",Sync!$AG645)+1,20),FIND("/",MID(Sync!$AG645,FIND("/",Sync!$AG645)+1,20))-1))),"")))</f>
        <v/>
      </c>
      <c r="I645">
        <f>IF(OR($F645="",$G645=""),"",IF(ISNUMBER(Sync!$AG645),MOD(Sync!$AG645,100),IFERROR(VALUE(TRIM(MID(MID(Sync!$AG645,FIND("/",Sync!$AG645)+1,20),FIND("/",MID(Sync!$AG645,FIND("/",Sync!$AG645)+1,20))+1,20))),"")))</f>
        <v/>
      </c>
      <c r="J645">
        <f>IF($F645="","",IF(OR($G645="",$H645="",$I645="",$G645&lt;1300,$G645&gt;1500,$H645&lt;1,$H645&gt;12,$I645&lt;1,$I645&gt;31),"نامعتبر",RIGHT("0000"&amp;$G645,4)&amp;"/"&amp;RIGHT("00"&amp;$H645,2)&amp;"/"&amp;RIGHT("00"&amp;$I645,2)))</f>
        <v/>
      </c>
      <c r="K645">
        <f>IF(OR($F645="",$J645="",$J645="نامعتبر"),"",LEFT($J645,4)&amp;MID($J645,6,2)&amp;RIGHT($J645,2)&amp;$N645&amp;"|"&amp;"2"&amp;RIGHT("00000"&amp;640,5))</f>
        <v/>
      </c>
      <c r="L645">
        <f>IF($K645="","",COUNTIFS(LdgPartyA,$F645,LdgKeyA,"&lt;"&amp;$K645)+COUNTIFS(LdgPartyB,$F645,LdgKeyB,"&lt;"&amp;$K645)+1)</f>
        <v/>
      </c>
      <c r="M645">
        <f>IF($L645="","",$F645&amp;"|"&amp;RIGHT("000000"&amp;$L645,6))</f>
        <v/>
      </c>
      <c r="N645">
        <f>IF($F645="","",IF(Sync!$AH645="","0000",IF(AND(ISNUMBER(Sync!$AH645),Sync!$AH645&gt;=0,Sync!$AH645&lt;1),RIGHT("00"&amp;HOUR(Sync!$AH645),2)&amp;RIGHT("00"&amp;MINUTE(Sync!$AH645),2),IFERROR(RIGHT("00"&amp;VALUE(LEFT(Sync!$AH645,FIND(":",Sync!$AH645)-1)),2)&amp;RIGHT("00"&amp;VALUE(MID(Sync!$AH645,FIND(":",Sync!$AH645)+1,2)),2),"0000"))))</f>
        <v/>
      </c>
    </row>
    <row r="646">
      <c r="A646">
        <f>IF(OR(Calc!$E649="",Calc!$E649="نامعتبر",Calc!$G649="",Calc!$I649&lt;&gt;"خرید"),"",Calc!$G649)</f>
        <v/>
      </c>
      <c r="B646">
        <f>IF($A646="","",LEFT(Calc!$E649,4)&amp;MID(Calc!$E649,6,2)&amp;RIGHT(Calc!$E649,2)&amp;Calc!$R649&amp;"|"&amp;"1"&amp;RIGHT("00000"&amp;641,5))</f>
        <v/>
      </c>
      <c r="C646">
        <f>IF($B646="","",COUNTIFS(LdgPartyA,$A646,LdgKeyA,"&lt;"&amp;$B646)+COUNTIFS(LdgPartyB,$A646,LdgKeyB,"&lt;"&amp;$B646)+1)</f>
        <v/>
      </c>
      <c r="D646">
        <f>IF($C646="","",$A646&amp;"|"&amp;RIGHT("000000"&amp;$C646,6))</f>
        <v/>
      </c>
      <c r="F646">
        <f>IF(Sync!$AJ646="","",Sync!$AJ646)</f>
        <v/>
      </c>
      <c r="G646">
        <f>IF($F646="","",IF(Sync!$AG646="","",IF(ISNUMBER(Sync!$AG646),IF(AND(Sync!$AG646&gt;=10000101,Sync!$AG646&lt;=99991231),INT(Sync!$AG646/10000),""),IFERROR(VALUE(TRIM(LEFT(Sync!$AG646,FIND("/",Sync!$AG646)-1))),""))))</f>
        <v/>
      </c>
      <c r="H646">
        <f>IF(OR($F646="",$G646=""),"",IF(ISNUMBER(Sync!$AG646),INT(MOD(Sync!$AG646,10000)/100),IFERROR(VALUE(TRIM(LEFT(MID(Sync!$AG646,FIND("/",Sync!$AG646)+1,20),FIND("/",MID(Sync!$AG646,FIND("/",Sync!$AG646)+1,20))-1))),"")))</f>
        <v/>
      </c>
      <c r="I646">
        <f>IF(OR($F646="",$G646=""),"",IF(ISNUMBER(Sync!$AG646),MOD(Sync!$AG646,100),IFERROR(VALUE(TRIM(MID(MID(Sync!$AG646,FIND("/",Sync!$AG646)+1,20),FIND("/",MID(Sync!$AG646,FIND("/",Sync!$AG646)+1,20))+1,20))),"")))</f>
        <v/>
      </c>
      <c r="J646">
        <f>IF($F646="","",IF(OR($G646="",$H646="",$I646="",$G646&lt;1300,$G646&gt;1500,$H646&lt;1,$H646&gt;12,$I646&lt;1,$I646&gt;31),"نامعتبر",RIGHT("0000"&amp;$G646,4)&amp;"/"&amp;RIGHT("00"&amp;$H646,2)&amp;"/"&amp;RIGHT("00"&amp;$I646,2)))</f>
        <v/>
      </c>
      <c r="K646">
        <f>IF(OR($F646="",$J646="",$J646="نامعتبر"),"",LEFT($J646,4)&amp;MID($J646,6,2)&amp;RIGHT($J646,2)&amp;$N646&amp;"|"&amp;"2"&amp;RIGHT("00000"&amp;641,5))</f>
        <v/>
      </c>
      <c r="L646">
        <f>IF($K646="","",COUNTIFS(LdgPartyA,$F646,LdgKeyA,"&lt;"&amp;$K646)+COUNTIFS(LdgPartyB,$F646,LdgKeyB,"&lt;"&amp;$K646)+1)</f>
        <v/>
      </c>
      <c r="M646">
        <f>IF($L646="","",$F646&amp;"|"&amp;RIGHT("000000"&amp;$L646,6))</f>
        <v/>
      </c>
      <c r="N646">
        <f>IF($F646="","",IF(Sync!$AH646="","0000",IF(AND(ISNUMBER(Sync!$AH646),Sync!$AH646&gt;=0,Sync!$AH646&lt;1),RIGHT("00"&amp;HOUR(Sync!$AH646),2)&amp;RIGHT("00"&amp;MINUTE(Sync!$AH646),2),IFERROR(RIGHT("00"&amp;VALUE(LEFT(Sync!$AH646,FIND(":",Sync!$AH646)-1)),2)&amp;RIGHT("00"&amp;VALUE(MID(Sync!$AH646,FIND(":",Sync!$AH646)+1,2)),2),"0000"))))</f>
        <v/>
      </c>
    </row>
    <row r="647">
      <c r="A647">
        <f>IF(OR(Calc!$E650="",Calc!$E650="نامعتبر",Calc!$G650="",Calc!$I650&lt;&gt;"خرید"),"",Calc!$G650)</f>
        <v/>
      </c>
      <c r="B647">
        <f>IF($A647="","",LEFT(Calc!$E650,4)&amp;MID(Calc!$E650,6,2)&amp;RIGHT(Calc!$E650,2)&amp;Calc!$R650&amp;"|"&amp;"1"&amp;RIGHT("00000"&amp;642,5))</f>
        <v/>
      </c>
      <c r="C647">
        <f>IF($B647="","",COUNTIFS(LdgPartyA,$A647,LdgKeyA,"&lt;"&amp;$B647)+COUNTIFS(LdgPartyB,$A647,LdgKeyB,"&lt;"&amp;$B647)+1)</f>
        <v/>
      </c>
      <c r="D647">
        <f>IF($C647="","",$A647&amp;"|"&amp;RIGHT("000000"&amp;$C647,6))</f>
        <v/>
      </c>
      <c r="F647">
        <f>IF(Sync!$AJ647="","",Sync!$AJ647)</f>
        <v/>
      </c>
      <c r="G647">
        <f>IF($F647="","",IF(Sync!$AG647="","",IF(ISNUMBER(Sync!$AG647),IF(AND(Sync!$AG647&gt;=10000101,Sync!$AG647&lt;=99991231),INT(Sync!$AG647/10000),""),IFERROR(VALUE(TRIM(LEFT(Sync!$AG647,FIND("/",Sync!$AG647)-1))),""))))</f>
        <v/>
      </c>
      <c r="H647">
        <f>IF(OR($F647="",$G647=""),"",IF(ISNUMBER(Sync!$AG647),INT(MOD(Sync!$AG647,10000)/100),IFERROR(VALUE(TRIM(LEFT(MID(Sync!$AG647,FIND("/",Sync!$AG647)+1,20),FIND("/",MID(Sync!$AG647,FIND("/",Sync!$AG647)+1,20))-1))),"")))</f>
        <v/>
      </c>
      <c r="I647">
        <f>IF(OR($F647="",$G647=""),"",IF(ISNUMBER(Sync!$AG647),MOD(Sync!$AG647,100),IFERROR(VALUE(TRIM(MID(MID(Sync!$AG647,FIND("/",Sync!$AG647)+1,20),FIND("/",MID(Sync!$AG647,FIND("/",Sync!$AG647)+1,20))+1,20))),"")))</f>
        <v/>
      </c>
      <c r="J647">
        <f>IF($F647="","",IF(OR($G647="",$H647="",$I647="",$G647&lt;1300,$G647&gt;1500,$H647&lt;1,$H647&gt;12,$I647&lt;1,$I647&gt;31),"نامعتبر",RIGHT("0000"&amp;$G647,4)&amp;"/"&amp;RIGHT("00"&amp;$H647,2)&amp;"/"&amp;RIGHT("00"&amp;$I647,2)))</f>
        <v/>
      </c>
      <c r="K647">
        <f>IF(OR($F647="",$J647="",$J647="نامعتبر"),"",LEFT($J647,4)&amp;MID($J647,6,2)&amp;RIGHT($J647,2)&amp;$N647&amp;"|"&amp;"2"&amp;RIGHT("00000"&amp;642,5))</f>
        <v/>
      </c>
      <c r="L647">
        <f>IF($K647="","",COUNTIFS(LdgPartyA,$F647,LdgKeyA,"&lt;"&amp;$K647)+COUNTIFS(LdgPartyB,$F647,LdgKeyB,"&lt;"&amp;$K647)+1)</f>
        <v/>
      </c>
      <c r="M647">
        <f>IF($L647="","",$F647&amp;"|"&amp;RIGHT("000000"&amp;$L647,6))</f>
        <v/>
      </c>
      <c r="N647">
        <f>IF($F647="","",IF(Sync!$AH647="","0000",IF(AND(ISNUMBER(Sync!$AH647),Sync!$AH647&gt;=0,Sync!$AH647&lt;1),RIGHT("00"&amp;HOUR(Sync!$AH647),2)&amp;RIGHT("00"&amp;MINUTE(Sync!$AH647),2),IFERROR(RIGHT("00"&amp;VALUE(LEFT(Sync!$AH647,FIND(":",Sync!$AH647)-1)),2)&amp;RIGHT("00"&amp;VALUE(MID(Sync!$AH647,FIND(":",Sync!$AH647)+1,2)),2),"0000"))))</f>
        <v/>
      </c>
    </row>
    <row r="648">
      <c r="A648">
        <f>IF(OR(Calc!$E651="",Calc!$E651="نامعتبر",Calc!$G651="",Calc!$I651&lt;&gt;"خرید"),"",Calc!$G651)</f>
        <v/>
      </c>
      <c r="B648">
        <f>IF($A648="","",LEFT(Calc!$E651,4)&amp;MID(Calc!$E651,6,2)&amp;RIGHT(Calc!$E651,2)&amp;Calc!$R651&amp;"|"&amp;"1"&amp;RIGHT("00000"&amp;643,5))</f>
        <v/>
      </c>
      <c r="C648">
        <f>IF($B648="","",COUNTIFS(LdgPartyA,$A648,LdgKeyA,"&lt;"&amp;$B648)+COUNTIFS(LdgPartyB,$A648,LdgKeyB,"&lt;"&amp;$B648)+1)</f>
        <v/>
      </c>
      <c r="D648">
        <f>IF($C648="","",$A648&amp;"|"&amp;RIGHT("000000"&amp;$C648,6))</f>
        <v/>
      </c>
      <c r="F648">
        <f>IF(Sync!$AJ648="","",Sync!$AJ648)</f>
        <v/>
      </c>
      <c r="G648">
        <f>IF($F648="","",IF(Sync!$AG648="","",IF(ISNUMBER(Sync!$AG648),IF(AND(Sync!$AG648&gt;=10000101,Sync!$AG648&lt;=99991231),INT(Sync!$AG648/10000),""),IFERROR(VALUE(TRIM(LEFT(Sync!$AG648,FIND("/",Sync!$AG648)-1))),""))))</f>
        <v/>
      </c>
      <c r="H648">
        <f>IF(OR($F648="",$G648=""),"",IF(ISNUMBER(Sync!$AG648),INT(MOD(Sync!$AG648,10000)/100),IFERROR(VALUE(TRIM(LEFT(MID(Sync!$AG648,FIND("/",Sync!$AG648)+1,20),FIND("/",MID(Sync!$AG648,FIND("/",Sync!$AG648)+1,20))-1))),"")))</f>
        <v/>
      </c>
      <c r="I648">
        <f>IF(OR($F648="",$G648=""),"",IF(ISNUMBER(Sync!$AG648),MOD(Sync!$AG648,100),IFERROR(VALUE(TRIM(MID(MID(Sync!$AG648,FIND("/",Sync!$AG648)+1,20),FIND("/",MID(Sync!$AG648,FIND("/",Sync!$AG648)+1,20))+1,20))),"")))</f>
        <v/>
      </c>
      <c r="J648">
        <f>IF($F648="","",IF(OR($G648="",$H648="",$I648="",$G648&lt;1300,$G648&gt;1500,$H648&lt;1,$H648&gt;12,$I648&lt;1,$I648&gt;31),"نامعتبر",RIGHT("0000"&amp;$G648,4)&amp;"/"&amp;RIGHT("00"&amp;$H648,2)&amp;"/"&amp;RIGHT("00"&amp;$I648,2)))</f>
        <v/>
      </c>
      <c r="K648">
        <f>IF(OR($F648="",$J648="",$J648="نامعتبر"),"",LEFT($J648,4)&amp;MID($J648,6,2)&amp;RIGHT($J648,2)&amp;$N648&amp;"|"&amp;"2"&amp;RIGHT("00000"&amp;643,5))</f>
        <v/>
      </c>
      <c r="L648">
        <f>IF($K648="","",COUNTIFS(LdgPartyA,$F648,LdgKeyA,"&lt;"&amp;$K648)+COUNTIFS(LdgPartyB,$F648,LdgKeyB,"&lt;"&amp;$K648)+1)</f>
        <v/>
      </c>
      <c r="M648">
        <f>IF($L648="","",$F648&amp;"|"&amp;RIGHT("000000"&amp;$L648,6))</f>
        <v/>
      </c>
      <c r="N648">
        <f>IF($F648="","",IF(Sync!$AH648="","0000",IF(AND(ISNUMBER(Sync!$AH648),Sync!$AH648&gt;=0,Sync!$AH648&lt;1),RIGHT("00"&amp;HOUR(Sync!$AH648),2)&amp;RIGHT("00"&amp;MINUTE(Sync!$AH648),2),IFERROR(RIGHT("00"&amp;VALUE(LEFT(Sync!$AH648,FIND(":",Sync!$AH648)-1)),2)&amp;RIGHT("00"&amp;VALUE(MID(Sync!$AH648,FIND(":",Sync!$AH648)+1,2)),2),"0000"))))</f>
        <v/>
      </c>
    </row>
    <row r="649">
      <c r="A649">
        <f>IF(OR(Calc!$E652="",Calc!$E652="نامعتبر",Calc!$G652="",Calc!$I652&lt;&gt;"خرید"),"",Calc!$G652)</f>
        <v/>
      </c>
      <c r="B649">
        <f>IF($A649="","",LEFT(Calc!$E652,4)&amp;MID(Calc!$E652,6,2)&amp;RIGHT(Calc!$E652,2)&amp;Calc!$R652&amp;"|"&amp;"1"&amp;RIGHT("00000"&amp;644,5))</f>
        <v/>
      </c>
      <c r="C649">
        <f>IF($B649="","",COUNTIFS(LdgPartyA,$A649,LdgKeyA,"&lt;"&amp;$B649)+COUNTIFS(LdgPartyB,$A649,LdgKeyB,"&lt;"&amp;$B649)+1)</f>
        <v/>
      </c>
      <c r="D649">
        <f>IF($C649="","",$A649&amp;"|"&amp;RIGHT("000000"&amp;$C649,6))</f>
        <v/>
      </c>
      <c r="F649">
        <f>IF(Sync!$AJ649="","",Sync!$AJ649)</f>
        <v/>
      </c>
      <c r="G649">
        <f>IF($F649="","",IF(Sync!$AG649="","",IF(ISNUMBER(Sync!$AG649),IF(AND(Sync!$AG649&gt;=10000101,Sync!$AG649&lt;=99991231),INT(Sync!$AG649/10000),""),IFERROR(VALUE(TRIM(LEFT(Sync!$AG649,FIND("/",Sync!$AG649)-1))),""))))</f>
        <v/>
      </c>
      <c r="H649">
        <f>IF(OR($F649="",$G649=""),"",IF(ISNUMBER(Sync!$AG649),INT(MOD(Sync!$AG649,10000)/100),IFERROR(VALUE(TRIM(LEFT(MID(Sync!$AG649,FIND("/",Sync!$AG649)+1,20),FIND("/",MID(Sync!$AG649,FIND("/",Sync!$AG649)+1,20))-1))),"")))</f>
        <v/>
      </c>
      <c r="I649">
        <f>IF(OR($F649="",$G649=""),"",IF(ISNUMBER(Sync!$AG649),MOD(Sync!$AG649,100),IFERROR(VALUE(TRIM(MID(MID(Sync!$AG649,FIND("/",Sync!$AG649)+1,20),FIND("/",MID(Sync!$AG649,FIND("/",Sync!$AG649)+1,20))+1,20))),"")))</f>
        <v/>
      </c>
      <c r="J649">
        <f>IF($F649="","",IF(OR($G649="",$H649="",$I649="",$G649&lt;1300,$G649&gt;1500,$H649&lt;1,$H649&gt;12,$I649&lt;1,$I649&gt;31),"نامعتبر",RIGHT("0000"&amp;$G649,4)&amp;"/"&amp;RIGHT("00"&amp;$H649,2)&amp;"/"&amp;RIGHT("00"&amp;$I649,2)))</f>
        <v/>
      </c>
      <c r="K649">
        <f>IF(OR($F649="",$J649="",$J649="نامعتبر"),"",LEFT($J649,4)&amp;MID($J649,6,2)&amp;RIGHT($J649,2)&amp;$N649&amp;"|"&amp;"2"&amp;RIGHT("00000"&amp;644,5))</f>
        <v/>
      </c>
      <c r="L649">
        <f>IF($K649="","",COUNTIFS(LdgPartyA,$F649,LdgKeyA,"&lt;"&amp;$K649)+COUNTIFS(LdgPartyB,$F649,LdgKeyB,"&lt;"&amp;$K649)+1)</f>
        <v/>
      </c>
      <c r="M649">
        <f>IF($L649="","",$F649&amp;"|"&amp;RIGHT("000000"&amp;$L649,6))</f>
        <v/>
      </c>
      <c r="N649">
        <f>IF($F649="","",IF(Sync!$AH649="","0000",IF(AND(ISNUMBER(Sync!$AH649),Sync!$AH649&gt;=0,Sync!$AH649&lt;1),RIGHT("00"&amp;HOUR(Sync!$AH649),2)&amp;RIGHT("00"&amp;MINUTE(Sync!$AH649),2),IFERROR(RIGHT("00"&amp;VALUE(LEFT(Sync!$AH649,FIND(":",Sync!$AH649)-1)),2)&amp;RIGHT("00"&amp;VALUE(MID(Sync!$AH649,FIND(":",Sync!$AH649)+1,2)),2),"0000"))))</f>
        <v/>
      </c>
    </row>
    <row r="650">
      <c r="A650">
        <f>IF(OR(Calc!$E653="",Calc!$E653="نامعتبر",Calc!$G653="",Calc!$I653&lt;&gt;"خرید"),"",Calc!$G653)</f>
        <v/>
      </c>
      <c r="B650">
        <f>IF($A650="","",LEFT(Calc!$E653,4)&amp;MID(Calc!$E653,6,2)&amp;RIGHT(Calc!$E653,2)&amp;Calc!$R653&amp;"|"&amp;"1"&amp;RIGHT("00000"&amp;645,5))</f>
        <v/>
      </c>
      <c r="C650">
        <f>IF($B650="","",COUNTIFS(LdgPartyA,$A650,LdgKeyA,"&lt;"&amp;$B650)+COUNTIFS(LdgPartyB,$A650,LdgKeyB,"&lt;"&amp;$B650)+1)</f>
        <v/>
      </c>
      <c r="D650">
        <f>IF($C650="","",$A650&amp;"|"&amp;RIGHT("000000"&amp;$C650,6))</f>
        <v/>
      </c>
      <c r="F650">
        <f>IF(Sync!$AJ650="","",Sync!$AJ650)</f>
        <v/>
      </c>
      <c r="G650">
        <f>IF($F650="","",IF(Sync!$AG650="","",IF(ISNUMBER(Sync!$AG650),IF(AND(Sync!$AG650&gt;=10000101,Sync!$AG650&lt;=99991231),INT(Sync!$AG650/10000),""),IFERROR(VALUE(TRIM(LEFT(Sync!$AG650,FIND("/",Sync!$AG650)-1))),""))))</f>
        <v/>
      </c>
      <c r="H650">
        <f>IF(OR($F650="",$G650=""),"",IF(ISNUMBER(Sync!$AG650),INT(MOD(Sync!$AG650,10000)/100),IFERROR(VALUE(TRIM(LEFT(MID(Sync!$AG650,FIND("/",Sync!$AG650)+1,20),FIND("/",MID(Sync!$AG650,FIND("/",Sync!$AG650)+1,20))-1))),"")))</f>
        <v/>
      </c>
      <c r="I650">
        <f>IF(OR($F650="",$G650=""),"",IF(ISNUMBER(Sync!$AG650),MOD(Sync!$AG650,100),IFERROR(VALUE(TRIM(MID(MID(Sync!$AG650,FIND("/",Sync!$AG650)+1,20),FIND("/",MID(Sync!$AG650,FIND("/",Sync!$AG650)+1,20))+1,20))),"")))</f>
        <v/>
      </c>
      <c r="J650">
        <f>IF($F650="","",IF(OR($G650="",$H650="",$I650="",$G650&lt;1300,$G650&gt;1500,$H650&lt;1,$H650&gt;12,$I650&lt;1,$I650&gt;31),"نامعتبر",RIGHT("0000"&amp;$G650,4)&amp;"/"&amp;RIGHT("00"&amp;$H650,2)&amp;"/"&amp;RIGHT("00"&amp;$I650,2)))</f>
        <v/>
      </c>
      <c r="K650">
        <f>IF(OR($F650="",$J650="",$J650="نامعتبر"),"",LEFT($J650,4)&amp;MID($J650,6,2)&amp;RIGHT($J650,2)&amp;$N650&amp;"|"&amp;"2"&amp;RIGHT("00000"&amp;645,5))</f>
        <v/>
      </c>
      <c r="L650">
        <f>IF($K650="","",COUNTIFS(LdgPartyA,$F650,LdgKeyA,"&lt;"&amp;$K650)+COUNTIFS(LdgPartyB,$F650,LdgKeyB,"&lt;"&amp;$K650)+1)</f>
        <v/>
      </c>
      <c r="M650">
        <f>IF($L650="","",$F650&amp;"|"&amp;RIGHT("000000"&amp;$L650,6))</f>
        <v/>
      </c>
      <c r="N650">
        <f>IF($F650="","",IF(Sync!$AH650="","0000",IF(AND(ISNUMBER(Sync!$AH650),Sync!$AH650&gt;=0,Sync!$AH650&lt;1),RIGHT("00"&amp;HOUR(Sync!$AH650),2)&amp;RIGHT("00"&amp;MINUTE(Sync!$AH650),2),IFERROR(RIGHT("00"&amp;VALUE(LEFT(Sync!$AH650,FIND(":",Sync!$AH650)-1)),2)&amp;RIGHT("00"&amp;VALUE(MID(Sync!$AH650,FIND(":",Sync!$AH650)+1,2)),2),"0000"))))</f>
        <v/>
      </c>
    </row>
    <row r="651">
      <c r="A651">
        <f>IF(OR(Calc!$E654="",Calc!$E654="نامعتبر",Calc!$G654="",Calc!$I654&lt;&gt;"خرید"),"",Calc!$G654)</f>
        <v/>
      </c>
      <c r="B651">
        <f>IF($A651="","",LEFT(Calc!$E654,4)&amp;MID(Calc!$E654,6,2)&amp;RIGHT(Calc!$E654,2)&amp;Calc!$R654&amp;"|"&amp;"1"&amp;RIGHT("00000"&amp;646,5))</f>
        <v/>
      </c>
      <c r="C651">
        <f>IF($B651="","",COUNTIFS(LdgPartyA,$A651,LdgKeyA,"&lt;"&amp;$B651)+COUNTIFS(LdgPartyB,$A651,LdgKeyB,"&lt;"&amp;$B651)+1)</f>
        <v/>
      </c>
      <c r="D651">
        <f>IF($C651="","",$A651&amp;"|"&amp;RIGHT("000000"&amp;$C651,6))</f>
        <v/>
      </c>
      <c r="F651">
        <f>IF(Sync!$AJ651="","",Sync!$AJ651)</f>
        <v/>
      </c>
      <c r="G651">
        <f>IF($F651="","",IF(Sync!$AG651="","",IF(ISNUMBER(Sync!$AG651),IF(AND(Sync!$AG651&gt;=10000101,Sync!$AG651&lt;=99991231),INT(Sync!$AG651/10000),""),IFERROR(VALUE(TRIM(LEFT(Sync!$AG651,FIND("/",Sync!$AG651)-1))),""))))</f>
        <v/>
      </c>
      <c r="H651">
        <f>IF(OR($F651="",$G651=""),"",IF(ISNUMBER(Sync!$AG651),INT(MOD(Sync!$AG651,10000)/100),IFERROR(VALUE(TRIM(LEFT(MID(Sync!$AG651,FIND("/",Sync!$AG651)+1,20),FIND("/",MID(Sync!$AG651,FIND("/",Sync!$AG651)+1,20))-1))),"")))</f>
        <v/>
      </c>
      <c r="I651">
        <f>IF(OR($F651="",$G651=""),"",IF(ISNUMBER(Sync!$AG651),MOD(Sync!$AG651,100),IFERROR(VALUE(TRIM(MID(MID(Sync!$AG651,FIND("/",Sync!$AG651)+1,20),FIND("/",MID(Sync!$AG651,FIND("/",Sync!$AG651)+1,20))+1,20))),"")))</f>
        <v/>
      </c>
      <c r="J651">
        <f>IF($F651="","",IF(OR($G651="",$H651="",$I651="",$G651&lt;1300,$G651&gt;1500,$H651&lt;1,$H651&gt;12,$I651&lt;1,$I651&gt;31),"نامعتبر",RIGHT("0000"&amp;$G651,4)&amp;"/"&amp;RIGHT("00"&amp;$H651,2)&amp;"/"&amp;RIGHT("00"&amp;$I651,2)))</f>
        <v/>
      </c>
      <c r="K651">
        <f>IF(OR($F651="",$J651="",$J651="نامعتبر"),"",LEFT($J651,4)&amp;MID($J651,6,2)&amp;RIGHT($J651,2)&amp;$N651&amp;"|"&amp;"2"&amp;RIGHT("00000"&amp;646,5))</f>
        <v/>
      </c>
      <c r="L651">
        <f>IF($K651="","",COUNTIFS(LdgPartyA,$F651,LdgKeyA,"&lt;"&amp;$K651)+COUNTIFS(LdgPartyB,$F651,LdgKeyB,"&lt;"&amp;$K651)+1)</f>
        <v/>
      </c>
      <c r="M651">
        <f>IF($L651="","",$F651&amp;"|"&amp;RIGHT("000000"&amp;$L651,6))</f>
        <v/>
      </c>
      <c r="N651">
        <f>IF($F651="","",IF(Sync!$AH651="","0000",IF(AND(ISNUMBER(Sync!$AH651),Sync!$AH651&gt;=0,Sync!$AH651&lt;1),RIGHT("00"&amp;HOUR(Sync!$AH651),2)&amp;RIGHT("00"&amp;MINUTE(Sync!$AH651),2),IFERROR(RIGHT("00"&amp;VALUE(LEFT(Sync!$AH651,FIND(":",Sync!$AH651)-1)),2)&amp;RIGHT("00"&amp;VALUE(MID(Sync!$AH651,FIND(":",Sync!$AH651)+1,2)),2),"0000"))))</f>
        <v/>
      </c>
    </row>
    <row r="652">
      <c r="A652">
        <f>IF(OR(Calc!$E655="",Calc!$E655="نامعتبر",Calc!$G655="",Calc!$I655&lt;&gt;"خرید"),"",Calc!$G655)</f>
        <v/>
      </c>
      <c r="B652">
        <f>IF($A652="","",LEFT(Calc!$E655,4)&amp;MID(Calc!$E655,6,2)&amp;RIGHT(Calc!$E655,2)&amp;Calc!$R655&amp;"|"&amp;"1"&amp;RIGHT("00000"&amp;647,5))</f>
        <v/>
      </c>
      <c r="C652">
        <f>IF($B652="","",COUNTIFS(LdgPartyA,$A652,LdgKeyA,"&lt;"&amp;$B652)+COUNTIFS(LdgPartyB,$A652,LdgKeyB,"&lt;"&amp;$B652)+1)</f>
        <v/>
      </c>
      <c r="D652">
        <f>IF($C652="","",$A652&amp;"|"&amp;RIGHT("000000"&amp;$C652,6))</f>
        <v/>
      </c>
      <c r="F652">
        <f>IF(Sync!$AJ652="","",Sync!$AJ652)</f>
        <v/>
      </c>
      <c r="G652">
        <f>IF($F652="","",IF(Sync!$AG652="","",IF(ISNUMBER(Sync!$AG652),IF(AND(Sync!$AG652&gt;=10000101,Sync!$AG652&lt;=99991231),INT(Sync!$AG652/10000),""),IFERROR(VALUE(TRIM(LEFT(Sync!$AG652,FIND("/",Sync!$AG652)-1))),""))))</f>
        <v/>
      </c>
      <c r="H652">
        <f>IF(OR($F652="",$G652=""),"",IF(ISNUMBER(Sync!$AG652),INT(MOD(Sync!$AG652,10000)/100),IFERROR(VALUE(TRIM(LEFT(MID(Sync!$AG652,FIND("/",Sync!$AG652)+1,20),FIND("/",MID(Sync!$AG652,FIND("/",Sync!$AG652)+1,20))-1))),"")))</f>
        <v/>
      </c>
      <c r="I652">
        <f>IF(OR($F652="",$G652=""),"",IF(ISNUMBER(Sync!$AG652),MOD(Sync!$AG652,100),IFERROR(VALUE(TRIM(MID(MID(Sync!$AG652,FIND("/",Sync!$AG652)+1,20),FIND("/",MID(Sync!$AG652,FIND("/",Sync!$AG652)+1,20))+1,20))),"")))</f>
        <v/>
      </c>
      <c r="J652">
        <f>IF($F652="","",IF(OR($G652="",$H652="",$I652="",$G652&lt;1300,$G652&gt;1500,$H652&lt;1,$H652&gt;12,$I652&lt;1,$I652&gt;31),"نامعتبر",RIGHT("0000"&amp;$G652,4)&amp;"/"&amp;RIGHT("00"&amp;$H652,2)&amp;"/"&amp;RIGHT("00"&amp;$I652,2)))</f>
        <v/>
      </c>
      <c r="K652">
        <f>IF(OR($F652="",$J652="",$J652="نامعتبر"),"",LEFT($J652,4)&amp;MID($J652,6,2)&amp;RIGHT($J652,2)&amp;$N652&amp;"|"&amp;"2"&amp;RIGHT("00000"&amp;647,5))</f>
        <v/>
      </c>
      <c r="L652">
        <f>IF($K652="","",COUNTIFS(LdgPartyA,$F652,LdgKeyA,"&lt;"&amp;$K652)+COUNTIFS(LdgPartyB,$F652,LdgKeyB,"&lt;"&amp;$K652)+1)</f>
        <v/>
      </c>
      <c r="M652">
        <f>IF($L652="","",$F652&amp;"|"&amp;RIGHT("000000"&amp;$L652,6))</f>
        <v/>
      </c>
      <c r="N652">
        <f>IF($F652="","",IF(Sync!$AH652="","0000",IF(AND(ISNUMBER(Sync!$AH652),Sync!$AH652&gt;=0,Sync!$AH652&lt;1),RIGHT("00"&amp;HOUR(Sync!$AH652),2)&amp;RIGHT("00"&amp;MINUTE(Sync!$AH652),2),IFERROR(RIGHT("00"&amp;VALUE(LEFT(Sync!$AH652,FIND(":",Sync!$AH652)-1)),2)&amp;RIGHT("00"&amp;VALUE(MID(Sync!$AH652,FIND(":",Sync!$AH652)+1,2)),2),"0000"))))</f>
        <v/>
      </c>
    </row>
    <row r="653">
      <c r="A653">
        <f>IF(OR(Calc!$E656="",Calc!$E656="نامعتبر",Calc!$G656="",Calc!$I656&lt;&gt;"خرید"),"",Calc!$G656)</f>
        <v/>
      </c>
      <c r="B653">
        <f>IF($A653="","",LEFT(Calc!$E656,4)&amp;MID(Calc!$E656,6,2)&amp;RIGHT(Calc!$E656,2)&amp;Calc!$R656&amp;"|"&amp;"1"&amp;RIGHT("00000"&amp;648,5))</f>
        <v/>
      </c>
      <c r="C653">
        <f>IF($B653="","",COUNTIFS(LdgPartyA,$A653,LdgKeyA,"&lt;"&amp;$B653)+COUNTIFS(LdgPartyB,$A653,LdgKeyB,"&lt;"&amp;$B653)+1)</f>
        <v/>
      </c>
      <c r="D653">
        <f>IF($C653="","",$A653&amp;"|"&amp;RIGHT("000000"&amp;$C653,6))</f>
        <v/>
      </c>
      <c r="F653">
        <f>IF(Sync!$AJ653="","",Sync!$AJ653)</f>
        <v/>
      </c>
      <c r="G653">
        <f>IF($F653="","",IF(Sync!$AG653="","",IF(ISNUMBER(Sync!$AG653),IF(AND(Sync!$AG653&gt;=10000101,Sync!$AG653&lt;=99991231),INT(Sync!$AG653/10000),""),IFERROR(VALUE(TRIM(LEFT(Sync!$AG653,FIND("/",Sync!$AG653)-1))),""))))</f>
        <v/>
      </c>
      <c r="H653">
        <f>IF(OR($F653="",$G653=""),"",IF(ISNUMBER(Sync!$AG653),INT(MOD(Sync!$AG653,10000)/100),IFERROR(VALUE(TRIM(LEFT(MID(Sync!$AG653,FIND("/",Sync!$AG653)+1,20),FIND("/",MID(Sync!$AG653,FIND("/",Sync!$AG653)+1,20))-1))),"")))</f>
        <v/>
      </c>
      <c r="I653">
        <f>IF(OR($F653="",$G653=""),"",IF(ISNUMBER(Sync!$AG653),MOD(Sync!$AG653,100),IFERROR(VALUE(TRIM(MID(MID(Sync!$AG653,FIND("/",Sync!$AG653)+1,20),FIND("/",MID(Sync!$AG653,FIND("/",Sync!$AG653)+1,20))+1,20))),"")))</f>
        <v/>
      </c>
      <c r="J653">
        <f>IF($F653="","",IF(OR($G653="",$H653="",$I653="",$G653&lt;1300,$G653&gt;1500,$H653&lt;1,$H653&gt;12,$I653&lt;1,$I653&gt;31),"نامعتبر",RIGHT("0000"&amp;$G653,4)&amp;"/"&amp;RIGHT("00"&amp;$H653,2)&amp;"/"&amp;RIGHT("00"&amp;$I653,2)))</f>
        <v/>
      </c>
      <c r="K653">
        <f>IF(OR($F653="",$J653="",$J653="نامعتبر"),"",LEFT($J653,4)&amp;MID($J653,6,2)&amp;RIGHT($J653,2)&amp;$N653&amp;"|"&amp;"2"&amp;RIGHT("00000"&amp;648,5))</f>
        <v/>
      </c>
      <c r="L653">
        <f>IF($K653="","",COUNTIFS(LdgPartyA,$F653,LdgKeyA,"&lt;"&amp;$K653)+COUNTIFS(LdgPartyB,$F653,LdgKeyB,"&lt;"&amp;$K653)+1)</f>
        <v/>
      </c>
      <c r="M653">
        <f>IF($L653="","",$F653&amp;"|"&amp;RIGHT("000000"&amp;$L653,6))</f>
        <v/>
      </c>
      <c r="N653">
        <f>IF($F653="","",IF(Sync!$AH653="","0000",IF(AND(ISNUMBER(Sync!$AH653),Sync!$AH653&gt;=0,Sync!$AH653&lt;1),RIGHT("00"&amp;HOUR(Sync!$AH653),2)&amp;RIGHT("00"&amp;MINUTE(Sync!$AH653),2),IFERROR(RIGHT("00"&amp;VALUE(LEFT(Sync!$AH653,FIND(":",Sync!$AH653)-1)),2)&amp;RIGHT("00"&amp;VALUE(MID(Sync!$AH653,FIND(":",Sync!$AH653)+1,2)),2),"0000"))))</f>
        <v/>
      </c>
    </row>
    <row r="654">
      <c r="A654">
        <f>IF(OR(Calc!$E657="",Calc!$E657="نامعتبر",Calc!$G657="",Calc!$I657&lt;&gt;"خرید"),"",Calc!$G657)</f>
        <v/>
      </c>
      <c r="B654">
        <f>IF($A654="","",LEFT(Calc!$E657,4)&amp;MID(Calc!$E657,6,2)&amp;RIGHT(Calc!$E657,2)&amp;Calc!$R657&amp;"|"&amp;"1"&amp;RIGHT("00000"&amp;649,5))</f>
        <v/>
      </c>
      <c r="C654">
        <f>IF($B654="","",COUNTIFS(LdgPartyA,$A654,LdgKeyA,"&lt;"&amp;$B654)+COUNTIFS(LdgPartyB,$A654,LdgKeyB,"&lt;"&amp;$B654)+1)</f>
        <v/>
      </c>
      <c r="D654">
        <f>IF($C654="","",$A654&amp;"|"&amp;RIGHT("000000"&amp;$C654,6))</f>
        <v/>
      </c>
      <c r="F654">
        <f>IF(Sync!$AJ654="","",Sync!$AJ654)</f>
        <v/>
      </c>
      <c r="G654">
        <f>IF($F654="","",IF(Sync!$AG654="","",IF(ISNUMBER(Sync!$AG654),IF(AND(Sync!$AG654&gt;=10000101,Sync!$AG654&lt;=99991231),INT(Sync!$AG654/10000),""),IFERROR(VALUE(TRIM(LEFT(Sync!$AG654,FIND("/",Sync!$AG654)-1))),""))))</f>
        <v/>
      </c>
      <c r="H654">
        <f>IF(OR($F654="",$G654=""),"",IF(ISNUMBER(Sync!$AG654),INT(MOD(Sync!$AG654,10000)/100),IFERROR(VALUE(TRIM(LEFT(MID(Sync!$AG654,FIND("/",Sync!$AG654)+1,20),FIND("/",MID(Sync!$AG654,FIND("/",Sync!$AG654)+1,20))-1))),"")))</f>
        <v/>
      </c>
      <c r="I654">
        <f>IF(OR($F654="",$G654=""),"",IF(ISNUMBER(Sync!$AG654),MOD(Sync!$AG654,100),IFERROR(VALUE(TRIM(MID(MID(Sync!$AG654,FIND("/",Sync!$AG654)+1,20),FIND("/",MID(Sync!$AG654,FIND("/",Sync!$AG654)+1,20))+1,20))),"")))</f>
        <v/>
      </c>
      <c r="J654">
        <f>IF($F654="","",IF(OR($G654="",$H654="",$I654="",$G654&lt;1300,$G654&gt;1500,$H654&lt;1,$H654&gt;12,$I654&lt;1,$I654&gt;31),"نامعتبر",RIGHT("0000"&amp;$G654,4)&amp;"/"&amp;RIGHT("00"&amp;$H654,2)&amp;"/"&amp;RIGHT("00"&amp;$I654,2)))</f>
        <v/>
      </c>
      <c r="K654">
        <f>IF(OR($F654="",$J654="",$J654="نامعتبر"),"",LEFT($J654,4)&amp;MID($J654,6,2)&amp;RIGHT($J654,2)&amp;$N654&amp;"|"&amp;"2"&amp;RIGHT("00000"&amp;649,5))</f>
        <v/>
      </c>
      <c r="L654">
        <f>IF($K654="","",COUNTIFS(LdgPartyA,$F654,LdgKeyA,"&lt;"&amp;$K654)+COUNTIFS(LdgPartyB,$F654,LdgKeyB,"&lt;"&amp;$K654)+1)</f>
        <v/>
      </c>
      <c r="M654">
        <f>IF($L654="","",$F654&amp;"|"&amp;RIGHT("000000"&amp;$L654,6))</f>
        <v/>
      </c>
      <c r="N654">
        <f>IF($F654="","",IF(Sync!$AH654="","0000",IF(AND(ISNUMBER(Sync!$AH654),Sync!$AH654&gt;=0,Sync!$AH654&lt;1),RIGHT("00"&amp;HOUR(Sync!$AH654),2)&amp;RIGHT("00"&amp;MINUTE(Sync!$AH654),2),IFERROR(RIGHT("00"&amp;VALUE(LEFT(Sync!$AH654,FIND(":",Sync!$AH654)-1)),2)&amp;RIGHT("00"&amp;VALUE(MID(Sync!$AH654,FIND(":",Sync!$AH654)+1,2)),2),"0000"))))</f>
        <v/>
      </c>
    </row>
    <row r="655">
      <c r="A655">
        <f>IF(OR(Calc!$E658="",Calc!$E658="نامعتبر",Calc!$G658="",Calc!$I658&lt;&gt;"خرید"),"",Calc!$G658)</f>
        <v/>
      </c>
      <c r="B655">
        <f>IF($A655="","",LEFT(Calc!$E658,4)&amp;MID(Calc!$E658,6,2)&amp;RIGHT(Calc!$E658,2)&amp;Calc!$R658&amp;"|"&amp;"1"&amp;RIGHT("00000"&amp;650,5))</f>
        <v/>
      </c>
      <c r="C655">
        <f>IF($B655="","",COUNTIFS(LdgPartyA,$A655,LdgKeyA,"&lt;"&amp;$B655)+COUNTIFS(LdgPartyB,$A655,LdgKeyB,"&lt;"&amp;$B655)+1)</f>
        <v/>
      </c>
      <c r="D655">
        <f>IF($C655="","",$A655&amp;"|"&amp;RIGHT("000000"&amp;$C655,6))</f>
        <v/>
      </c>
      <c r="F655">
        <f>IF(Sync!$AJ655="","",Sync!$AJ655)</f>
        <v/>
      </c>
      <c r="G655">
        <f>IF($F655="","",IF(Sync!$AG655="","",IF(ISNUMBER(Sync!$AG655),IF(AND(Sync!$AG655&gt;=10000101,Sync!$AG655&lt;=99991231),INT(Sync!$AG655/10000),""),IFERROR(VALUE(TRIM(LEFT(Sync!$AG655,FIND("/",Sync!$AG655)-1))),""))))</f>
        <v/>
      </c>
      <c r="H655">
        <f>IF(OR($F655="",$G655=""),"",IF(ISNUMBER(Sync!$AG655),INT(MOD(Sync!$AG655,10000)/100),IFERROR(VALUE(TRIM(LEFT(MID(Sync!$AG655,FIND("/",Sync!$AG655)+1,20),FIND("/",MID(Sync!$AG655,FIND("/",Sync!$AG655)+1,20))-1))),"")))</f>
        <v/>
      </c>
      <c r="I655">
        <f>IF(OR($F655="",$G655=""),"",IF(ISNUMBER(Sync!$AG655),MOD(Sync!$AG655,100),IFERROR(VALUE(TRIM(MID(MID(Sync!$AG655,FIND("/",Sync!$AG655)+1,20),FIND("/",MID(Sync!$AG655,FIND("/",Sync!$AG655)+1,20))+1,20))),"")))</f>
        <v/>
      </c>
      <c r="J655">
        <f>IF($F655="","",IF(OR($G655="",$H655="",$I655="",$G655&lt;1300,$G655&gt;1500,$H655&lt;1,$H655&gt;12,$I655&lt;1,$I655&gt;31),"نامعتبر",RIGHT("0000"&amp;$G655,4)&amp;"/"&amp;RIGHT("00"&amp;$H655,2)&amp;"/"&amp;RIGHT("00"&amp;$I655,2)))</f>
        <v/>
      </c>
      <c r="K655">
        <f>IF(OR($F655="",$J655="",$J655="نامعتبر"),"",LEFT($J655,4)&amp;MID($J655,6,2)&amp;RIGHT($J655,2)&amp;$N655&amp;"|"&amp;"2"&amp;RIGHT("00000"&amp;650,5))</f>
        <v/>
      </c>
      <c r="L655">
        <f>IF($K655="","",COUNTIFS(LdgPartyA,$F655,LdgKeyA,"&lt;"&amp;$K655)+COUNTIFS(LdgPartyB,$F655,LdgKeyB,"&lt;"&amp;$K655)+1)</f>
        <v/>
      </c>
      <c r="M655">
        <f>IF($L655="","",$F655&amp;"|"&amp;RIGHT("000000"&amp;$L655,6))</f>
        <v/>
      </c>
      <c r="N655">
        <f>IF($F655="","",IF(Sync!$AH655="","0000",IF(AND(ISNUMBER(Sync!$AH655),Sync!$AH655&gt;=0,Sync!$AH655&lt;1),RIGHT("00"&amp;HOUR(Sync!$AH655),2)&amp;RIGHT("00"&amp;MINUTE(Sync!$AH655),2),IFERROR(RIGHT("00"&amp;VALUE(LEFT(Sync!$AH655,FIND(":",Sync!$AH655)-1)),2)&amp;RIGHT("00"&amp;VALUE(MID(Sync!$AH655,FIND(":",Sync!$AH655)+1,2)),2),"0000"))))</f>
        <v/>
      </c>
    </row>
    <row r="656">
      <c r="A656">
        <f>IF(OR(Calc!$E659="",Calc!$E659="نامعتبر",Calc!$G659="",Calc!$I659&lt;&gt;"خرید"),"",Calc!$G659)</f>
        <v/>
      </c>
      <c r="B656">
        <f>IF($A656="","",LEFT(Calc!$E659,4)&amp;MID(Calc!$E659,6,2)&amp;RIGHT(Calc!$E659,2)&amp;Calc!$R659&amp;"|"&amp;"1"&amp;RIGHT("00000"&amp;651,5))</f>
        <v/>
      </c>
      <c r="C656">
        <f>IF($B656="","",COUNTIFS(LdgPartyA,$A656,LdgKeyA,"&lt;"&amp;$B656)+COUNTIFS(LdgPartyB,$A656,LdgKeyB,"&lt;"&amp;$B656)+1)</f>
        <v/>
      </c>
      <c r="D656">
        <f>IF($C656="","",$A656&amp;"|"&amp;RIGHT("000000"&amp;$C656,6))</f>
        <v/>
      </c>
      <c r="F656">
        <f>IF(Sync!$AJ656="","",Sync!$AJ656)</f>
        <v/>
      </c>
      <c r="G656">
        <f>IF($F656="","",IF(Sync!$AG656="","",IF(ISNUMBER(Sync!$AG656),IF(AND(Sync!$AG656&gt;=10000101,Sync!$AG656&lt;=99991231),INT(Sync!$AG656/10000),""),IFERROR(VALUE(TRIM(LEFT(Sync!$AG656,FIND("/",Sync!$AG656)-1))),""))))</f>
        <v/>
      </c>
      <c r="H656">
        <f>IF(OR($F656="",$G656=""),"",IF(ISNUMBER(Sync!$AG656),INT(MOD(Sync!$AG656,10000)/100),IFERROR(VALUE(TRIM(LEFT(MID(Sync!$AG656,FIND("/",Sync!$AG656)+1,20),FIND("/",MID(Sync!$AG656,FIND("/",Sync!$AG656)+1,20))-1))),"")))</f>
        <v/>
      </c>
      <c r="I656">
        <f>IF(OR($F656="",$G656=""),"",IF(ISNUMBER(Sync!$AG656),MOD(Sync!$AG656,100),IFERROR(VALUE(TRIM(MID(MID(Sync!$AG656,FIND("/",Sync!$AG656)+1,20),FIND("/",MID(Sync!$AG656,FIND("/",Sync!$AG656)+1,20))+1,20))),"")))</f>
        <v/>
      </c>
      <c r="J656">
        <f>IF($F656="","",IF(OR($G656="",$H656="",$I656="",$G656&lt;1300,$G656&gt;1500,$H656&lt;1,$H656&gt;12,$I656&lt;1,$I656&gt;31),"نامعتبر",RIGHT("0000"&amp;$G656,4)&amp;"/"&amp;RIGHT("00"&amp;$H656,2)&amp;"/"&amp;RIGHT("00"&amp;$I656,2)))</f>
        <v/>
      </c>
      <c r="K656">
        <f>IF(OR($F656="",$J656="",$J656="نامعتبر"),"",LEFT($J656,4)&amp;MID($J656,6,2)&amp;RIGHT($J656,2)&amp;$N656&amp;"|"&amp;"2"&amp;RIGHT("00000"&amp;651,5))</f>
        <v/>
      </c>
      <c r="L656">
        <f>IF($K656="","",COUNTIFS(LdgPartyA,$F656,LdgKeyA,"&lt;"&amp;$K656)+COUNTIFS(LdgPartyB,$F656,LdgKeyB,"&lt;"&amp;$K656)+1)</f>
        <v/>
      </c>
      <c r="M656">
        <f>IF($L656="","",$F656&amp;"|"&amp;RIGHT("000000"&amp;$L656,6))</f>
        <v/>
      </c>
      <c r="N656">
        <f>IF($F656="","",IF(Sync!$AH656="","0000",IF(AND(ISNUMBER(Sync!$AH656),Sync!$AH656&gt;=0,Sync!$AH656&lt;1),RIGHT("00"&amp;HOUR(Sync!$AH656),2)&amp;RIGHT("00"&amp;MINUTE(Sync!$AH656),2),IFERROR(RIGHT("00"&amp;VALUE(LEFT(Sync!$AH656,FIND(":",Sync!$AH656)-1)),2)&amp;RIGHT("00"&amp;VALUE(MID(Sync!$AH656,FIND(":",Sync!$AH656)+1,2)),2),"0000"))))</f>
        <v/>
      </c>
    </row>
    <row r="657">
      <c r="A657">
        <f>IF(OR(Calc!$E660="",Calc!$E660="نامعتبر",Calc!$G660="",Calc!$I660&lt;&gt;"خرید"),"",Calc!$G660)</f>
        <v/>
      </c>
      <c r="B657">
        <f>IF($A657="","",LEFT(Calc!$E660,4)&amp;MID(Calc!$E660,6,2)&amp;RIGHT(Calc!$E660,2)&amp;Calc!$R660&amp;"|"&amp;"1"&amp;RIGHT("00000"&amp;652,5))</f>
        <v/>
      </c>
      <c r="C657">
        <f>IF($B657="","",COUNTIFS(LdgPartyA,$A657,LdgKeyA,"&lt;"&amp;$B657)+COUNTIFS(LdgPartyB,$A657,LdgKeyB,"&lt;"&amp;$B657)+1)</f>
        <v/>
      </c>
      <c r="D657">
        <f>IF($C657="","",$A657&amp;"|"&amp;RIGHT("000000"&amp;$C657,6))</f>
        <v/>
      </c>
      <c r="F657">
        <f>IF(Sync!$AJ657="","",Sync!$AJ657)</f>
        <v/>
      </c>
      <c r="G657">
        <f>IF($F657="","",IF(Sync!$AG657="","",IF(ISNUMBER(Sync!$AG657),IF(AND(Sync!$AG657&gt;=10000101,Sync!$AG657&lt;=99991231),INT(Sync!$AG657/10000),""),IFERROR(VALUE(TRIM(LEFT(Sync!$AG657,FIND("/",Sync!$AG657)-1))),""))))</f>
        <v/>
      </c>
      <c r="H657">
        <f>IF(OR($F657="",$G657=""),"",IF(ISNUMBER(Sync!$AG657),INT(MOD(Sync!$AG657,10000)/100),IFERROR(VALUE(TRIM(LEFT(MID(Sync!$AG657,FIND("/",Sync!$AG657)+1,20),FIND("/",MID(Sync!$AG657,FIND("/",Sync!$AG657)+1,20))-1))),"")))</f>
        <v/>
      </c>
      <c r="I657">
        <f>IF(OR($F657="",$G657=""),"",IF(ISNUMBER(Sync!$AG657),MOD(Sync!$AG657,100),IFERROR(VALUE(TRIM(MID(MID(Sync!$AG657,FIND("/",Sync!$AG657)+1,20),FIND("/",MID(Sync!$AG657,FIND("/",Sync!$AG657)+1,20))+1,20))),"")))</f>
        <v/>
      </c>
      <c r="J657">
        <f>IF($F657="","",IF(OR($G657="",$H657="",$I657="",$G657&lt;1300,$G657&gt;1500,$H657&lt;1,$H657&gt;12,$I657&lt;1,$I657&gt;31),"نامعتبر",RIGHT("0000"&amp;$G657,4)&amp;"/"&amp;RIGHT("00"&amp;$H657,2)&amp;"/"&amp;RIGHT("00"&amp;$I657,2)))</f>
        <v/>
      </c>
      <c r="K657">
        <f>IF(OR($F657="",$J657="",$J657="نامعتبر"),"",LEFT($J657,4)&amp;MID($J657,6,2)&amp;RIGHT($J657,2)&amp;$N657&amp;"|"&amp;"2"&amp;RIGHT("00000"&amp;652,5))</f>
        <v/>
      </c>
      <c r="L657">
        <f>IF($K657="","",COUNTIFS(LdgPartyA,$F657,LdgKeyA,"&lt;"&amp;$K657)+COUNTIFS(LdgPartyB,$F657,LdgKeyB,"&lt;"&amp;$K657)+1)</f>
        <v/>
      </c>
      <c r="M657">
        <f>IF($L657="","",$F657&amp;"|"&amp;RIGHT("000000"&amp;$L657,6))</f>
        <v/>
      </c>
      <c r="N657">
        <f>IF($F657="","",IF(Sync!$AH657="","0000",IF(AND(ISNUMBER(Sync!$AH657),Sync!$AH657&gt;=0,Sync!$AH657&lt;1),RIGHT("00"&amp;HOUR(Sync!$AH657),2)&amp;RIGHT("00"&amp;MINUTE(Sync!$AH657),2),IFERROR(RIGHT("00"&amp;VALUE(LEFT(Sync!$AH657,FIND(":",Sync!$AH657)-1)),2)&amp;RIGHT("00"&amp;VALUE(MID(Sync!$AH657,FIND(":",Sync!$AH657)+1,2)),2),"0000"))))</f>
        <v/>
      </c>
    </row>
    <row r="658">
      <c r="A658">
        <f>IF(OR(Calc!$E661="",Calc!$E661="نامعتبر",Calc!$G661="",Calc!$I661&lt;&gt;"خرید"),"",Calc!$G661)</f>
        <v/>
      </c>
      <c r="B658">
        <f>IF($A658="","",LEFT(Calc!$E661,4)&amp;MID(Calc!$E661,6,2)&amp;RIGHT(Calc!$E661,2)&amp;Calc!$R661&amp;"|"&amp;"1"&amp;RIGHT("00000"&amp;653,5))</f>
        <v/>
      </c>
      <c r="C658">
        <f>IF($B658="","",COUNTIFS(LdgPartyA,$A658,LdgKeyA,"&lt;"&amp;$B658)+COUNTIFS(LdgPartyB,$A658,LdgKeyB,"&lt;"&amp;$B658)+1)</f>
        <v/>
      </c>
      <c r="D658">
        <f>IF($C658="","",$A658&amp;"|"&amp;RIGHT("000000"&amp;$C658,6))</f>
        <v/>
      </c>
      <c r="F658">
        <f>IF(Sync!$AJ658="","",Sync!$AJ658)</f>
        <v/>
      </c>
      <c r="G658">
        <f>IF($F658="","",IF(Sync!$AG658="","",IF(ISNUMBER(Sync!$AG658),IF(AND(Sync!$AG658&gt;=10000101,Sync!$AG658&lt;=99991231),INT(Sync!$AG658/10000),""),IFERROR(VALUE(TRIM(LEFT(Sync!$AG658,FIND("/",Sync!$AG658)-1))),""))))</f>
        <v/>
      </c>
      <c r="H658">
        <f>IF(OR($F658="",$G658=""),"",IF(ISNUMBER(Sync!$AG658),INT(MOD(Sync!$AG658,10000)/100),IFERROR(VALUE(TRIM(LEFT(MID(Sync!$AG658,FIND("/",Sync!$AG658)+1,20),FIND("/",MID(Sync!$AG658,FIND("/",Sync!$AG658)+1,20))-1))),"")))</f>
        <v/>
      </c>
      <c r="I658">
        <f>IF(OR($F658="",$G658=""),"",IF(ISNUMBER(Sync!$AG658),MOD(Sync!$AG658,100),IFERROR(VALUE(TRIM(MID(MID(Sync!$AG658,FIND("/",Sync!$AG658)+1,20),FIND("/",MID(Sync!$AG658,FIND("/",Sync!$AG658)+1,20))+1,20))),"")))</f>
        <v/>
      </c>
      <c r="J658">
        <f>IF($F658="","",IF(OR($G658="",$H658="",$I658="",$G658&lt;1300,$G658&gt;1500,$H658&lt;1,$H658&gt;12,$I658&lt;1,$I658&gt;31),"نامعتبر",RIGHT("0000"&amp;$G658,4)&amp;"/"&amp;RIGHT("00"&amp;$H658,2)&amp;"/"&amp;RIGHT("00"&amp;$I658,2)))</f>
        <v/>
      </c>
      <c r="K658">
        <f>IF(OR($F658="",$J658="",$J658="نامعتبر"),"",LEFT($J658,4)&amp;MID($J658,6,2)&amp;RIGHT($J658,2)&amp;$N658&amp;"|"&amp;"2"&amp;RIGHT("00000"&amp;653,5))</f>
        <v/>
      </c>
      <c r="L658">
        <f>IF($K658="","",COUNTIFS(LdgPartyA,$F658,LdgKeyA,"&lt;"&amp;$K658)+COUNTIFS(LdgPartyB,$F658,LdgKeyB,"&lt;"&amp;$K658)+1)</f>
        <v/>
      </c>
      <c r="M658">
        <f>IF($L658="","",$F658&amp;"|"&amp;RIGHT("000000"&amp;$L658,6))</f>
        <v/>
      </c>
      <c r="N658">
        <f>IF($F658="","",IF(Sync!$AH658="","0000",IF(AND(ISNUMBER(Sync!$AH658),Sync!$AH658&gt;=0,Sync!$AH658&lt;1),RIGHT("00"&amp;HOUR(Sync!$AH658),2)&amp;RIGHT("00"&amp;MINUTE(Sync!$AH658),2),IFERROR(RIGHT("00"&amp;VALUE(LEFT(Sync!$AH658,FIND(":",Sync!$AH658)-1)),2)&amp;RIGHT("00"&amp;VALUE(MID(Sync!$AH658,FIND(":",Sync!$AH658)+1,2)),2),"0000"))))</f>
        <v/>
      </c>
    </row>
    <row r="659">
      <c r="A659">
        <f>IF(OR(Calc!$E662="",Calc!$E662="نامعتبر",Calc!$G662="",Calc!$I662&lt;&gt;"خرید"),"",Calc!$G662)</f>
        <v/>
      </c>
      <c r="B659">
        <f>IF($A659="","",LEFT(Calc!$E662,4)&amp;MID(Calc!$E662,6,2)&amp;RIGHT(Calc!$E662,2)&amp;Calc!$R662&amp;"|"&amp;"1"&amp;RIGHT("00000"&amp;654,5))</f>
        <v/>
      </c>
      <c r="C659">
        <f>IF($B659="","",COUNTIFS(LdgPartyA,$A659,LdgKeyA,"&lt;"&amp;$B659)+COUNTIFS(LdgPartyB,$A659,LdgKeyB,"&lt;"&amp;$B659)+1)</f>
        <v/>
      </c>
      <c r="D659">
        <f>IF($C659="","",$A659&amp;"|"&amp;RIGHT("000000"&amp;$C659,6))</f>
        <v/>
      </c>
      <c r="F659">
        <f>IF(Sync!$AJ659="","",Sync!$AJ659)</f>
        <v/>
      </c>
      <c r="G659">
        <f>IF($F659="","",IF(Sync!$AG659="","",IF(ISNUMBER(Sync!$AG659),IF(AND(Sync!$AG659&gt;=10000101,Sync!$AG659&lt;=99991231),INT(Sync!$AG659/10000),""),IFERROR(VALUE(TRIM(LEFT(Sync!$AG659,FIND("/",Sync!$AG659)-1))),""))))</f>
        <v/>
      </c>
      <c r="H659">
        <f>IF(OR($F659="",$G659=""),"",IF(ISNUMBER(Sync!$AG659),INT(MOD(Sync!$AG659,10000)/100),IFERROR(VALUE(TRIM(LEFT(MID(Sync!$AG659,FIND("/",Sync!$AG659)+1,20),FIND("/",MID(Sync!$AG659,FIND("/",Sync!$AG659)+1,20))-1))),"")))</f>
        <v/>
      </c>
      <c r="I659">
        <f>IF(OR($F659="",$G659=""),"",IF(ISNUMBER(Sync!$AG659),MOD(Sync!$AG659,100),IFERROR(VALUE(TRIM(MID(MID(Sync!$AG659,FIND("/",Sync!$AG659)+1,20),FIND("/",MID(Sync!$AG659,FIND("/",Sync!$AG659)+1,20))+1,20))),"")))</f>
        <v/>
      </c>
      <c r="J659">
        <f>IF($F659="","",IF(OR($G659="",$H659="",$I659="",$G659&lt;1300,$G659&gt;1500,$H659&lt;1,$H659&gt;12,$I659&lt;1,$I659&gt;31),"نامعتبر",RIGHT("0000"&amp;$G659,4)&amp;"/"&amp;RIGHT("00"&amp;$H659,2)&amp;"/"&amp;RIGHT("00"&amp;$I659,2)))</f>
        <v/>
      </c>
      <c r="K659">
        <f>IF(OR($F659="",$J659="",$J659="نامعتبر"),"",LEFT($J659,4)&amp;MID($J659,6,2)&amp;RIGHT($J659,2)&amp;$N659&amp;"|"&amp;"2"&amp;RIGHT("00000"&amp;654,5))</f>
        <v/>
      </c>
      <c r="L659">
        <f>IF($K659="","",COUNTIFS(LdgPartyA,$F659,LdgKeyA,"&lt;"&amp;$K659)+COUNTIFS(LdgPartyB,$F659,LdgKeyB,"&lt;"&amp;$K659)+1)</f>
        <v/>
      </c>
      <c r="M659">
        <f>IF($L659="","",$F659&amp;"|"&amp;RIGHT("000000"&amp;$L659,6))</f>
        <v/>
      </c>
      <c r="N659">
        <f>IF($F659="","",IF(Sync!$AH659="","0000",IF(AND(ISNUMBER(Sync!$AH659),Sync!$AH659&gt;=0,Sync!$AH659&lt;1),RIGHT("00"&amp;HOUR(Sync!$AH659),2)&amp;RIGHT("00"&amp;MINUTE(Sync!$AH659),2),IFERROR(RIGHT("00"&amp;VALUE(LEFT(Sync!$AH659,FIND(":",Sync!$AH659)-1)),2)&amp;RIGHT("00"&amp;VALUE(MID(Sync!$AH659,FIND(":",Sync!$AH659)+1,2)),2),"0000"))))</f>
        <v/>
      </c>
    </row>
    <row r="660">
      <c r="A660">
        <f>IF(OR(Calc!$E663="",Calc!$E663="نامعتبر",Calc!$G663="",Calc!$I663&lt;&gt;"خرید"),"",Calc!$G663)</f>
        <v/>
      </c>
      <c r="B660">
        <f>IF($A660="","",LEFT(Calc!$E663,4)&amp;MID(Calc!$E663,6,2)&amp;RIGHT(Calc!$E663,2)&amp;Calc!$R663&amp;"|"&amp;"1"&amp;RIGHT("00000"&amp;655,5))</f>
        <v/>
      </c>
      <c r="C660">
        <f>IF($B660="","",COUNTIFS(LdgPartyA,$A660,LdgKeyA,"&lt;"&amp;$B660)+COUNTIFS(LdgPartyB,$A660,LdgKeyB,"&lt;"&amp;$B660)+1)</f>
        <v/>
      </c>
      <c r="D660">
        <f>IF($C660="","",$A660&amp;"|"&amp;RIGHT("000000"&amp;$C660,6))</f>
        <v/>
      </c>
      <c r="F660">
        <f>IF(Sync!$AJ660="","",Sync!$AJ660)</f>
        <v/>
      </c>
      <c r="G660">
        <f>IF($F660="","",IF(Sync!$AG660="","",IF(ISNUMBER(Sync!$AG660),IF(AND(Sync!$AG660&gt;=10000101,Sync!$AG660&lt;=99991231),INT(Sync!$AG660/10000),""),IFERROR(VALUE(TRIM(LEFT(Sync!$AG660,FIND("/",Sync!$AG660)-1))),""))))</f>
        <v/>
      </c>
      <c r="H660">
        <f>IF(OR($F660="",$G660=""),"",IF(ISNUMBER(Sync!$AG660),INT(MOD(Sync!$AG660,10000)/100),IFERROR(VALUE(TRIM(LEFT(MID(Sync!$AG660,FIND("/",Sync!$AG660)+1,20),FIND("/",MID(Sync!$AG660,FIND("/",Sync!$AG660)+1,20))-1))),"")))</f>
        <v/>
      </c>
      <c r="I660">
        <f>IF(OR($F660="",$G660=""),"",IF(ISNUMBER(Sync!$AG660),MOD(Sync!$AG660,100),IFERROR(VALUE(TRIM(MID(MID(Sync!$AG660,FIND("/",Sync!$AG660)+1,20),FIND("/",MID(Sync!$AG660,FIND("/",Sync!$AG660)+1,20))+1,20))),"")))</f>
        <v/>
      </c>
      <c r="J660">
        <f>IF($F660="","",IF(OR($G660="",$H660="",$I660="",$G660&lt;1300,$G660&gt;1500,$H660&lt;1,$H660&gt;12,$I660&lt;1,$I660&gt;31),"نامعتبر",RIGHT("0000"&amp;$G660,4)&amp;"/"&amp;RIGHT("00"&amp;$H660,2)&amp;"/"&amp;RIGHT("00"&amp;$I660,2)))</f>
        <v/>
      </c>
      <c r="K660">
        <f>IF(OR($F660="",$J660="",$J660="نامعتبر"),"",LEFT($J660,4)&amp;MID($J660,6,2)&amp;RIGHT($J660,2)&amp;$N660&amp;"|"&amp;"2"&amp;RIGHT("00000"&amp;655,5))</f>
        <v/>
      </c>
      <c r="L660">
        <f>IF($K660="","",COUNTIFS(LdgPartyA,$F660,LdgKeyA,"&lt;"&amp;$K660)+COUNTIFS(LdgPartyB,$F660,LdgKeyB,"&lt;"&amp;$K660)+1)</f>
        <v/>
      </c>
      <c r="M660">
        <f>IF($L660="","",$F660&amp;"|"&amp;RIGHT("000000"&amp;$L660,6))</f>
        <v/>
      </c>
      <c r="N660">
        <f>IF($F660="","",IF(Sync!$AH660="","0000",IF(AND(ISNUMBER(Sync!$AH660),Sync!$AH660&gt;=0,Sync!$AH660&lt;1),RIGHT("00"&amp;HOUR(Sync!$AH660),2)&amp;RIGHT("00"&amp;MINUTE(Sync!$AH660),2),IFERROR(RIGHT("00"&amp;VALUE(LEFT(Sync!$AH660,FIND(":",Sync!$AH660)-1)),2)&amp;RIGHT("00"&amp;VALUE(MID(Sync!$AH660,FIND(":",Sync!$AH660)+1,2)),2),"0000"))))</f>
        <v/>
      </c>
    </row>
    <row r="661">
      <c r="A661">
        <f>IF(OR(Calc!$E664="",Calc!$E664="نامعتبر",Calc!$G664="",Calc!$I664&lt;&gt;"خرید"),"",Calc!$G664)</f>
        <v/>
      </c>
      <c r="B661">
        <f>IF($A661="","",LEFT(Calc!$E664,4)&amp;MID(Calc!$E664,6,2)&amp;RIGHT(Calc!$E664,2)&amp;Calc!$R664&amp;"|"&amp;"1"&amp;RIGHT("00000"&amp;656,5))</f>
        <v/>
      </c>
      <c r="C661">
        <f>IF($B661="","",COUNTIFS(LdgPartyA,$A661,LdgKeyA,"&lt;"&amp;$B661)+COUNTIFS(LdgPartyB,$A661,LdgKeyB,"&lt;"&amp;$B661)+1)</f>
        <v/>
      </c>
      <c r="D661">
        <f>IF($C661="","",$A661&amp;"|"&amp;RIGHT("000000"&amp;$C661,6))</f>
        <v/>
      </c>
      <c r="F661">
        <f>IF(Sync!$AJ661="","",Sync!$AJ661)</f>
        <v/>
      </c>
      <c r="G661">
        <f>IF($F661="","",IF(Sync!$AG661="","",IF(ISNUMBER(Sync!$AG661),IF(AND(Sync!$AG661&gt;=10000101,Sync!$AG661&lt;=99991231),INT(Sync!$AG661/10000),""),IFERROR(VALUE(TRIM(LEFT(Sync!$AG661,FIND("/",Sync!$AG661)-1))),""))))</f>
        <v/>
      </c>
      <c r="H661">
        <f>IF(OR($F661="",$G661=""),"",IF(ISNUMBER(Sync!$AG661),INT(MOD(Sync!$AG661,10000)/100),IFERROR(VALUE(TRIM(LEFT(MID(Sync!$AG661,FIND("/",Sync!$AG661)+1,20),FIND("/",MID(Sync!$AG661,FIND("/",Sync!$AG661)+1,20))-1))),"")))</f>
        <v/>
      </c>
      <c r="I661">
        <f>IF(OR($F661="",$G661=""),"",IF(ISNUMBER(Sync!$AG661),MOD(Sync!$AG661,100),IFERROR(VALUE(TRIM(MID(MID(Sync!$AG661,FIND("/",Sync!$AG661)+1,20),FIND("/",MID(Sync!$AG661,FIND("/",Sync!$AG661)+1,20))+1,20))),"")))</f>
        <v/>
      </c>
      <c r="J661">
        <f>IF($F661="","",IF(OR($G661="",$H661="",$I661="",$G661&lt;1300,$G661&gt;1500,$H661&lt;1,$H661&gt;12,$I661&lt;1,$I661&gt;31),"نامعتبر",RIGHT("0000"&amp;$G661,4)&amp;"/"&amp;RIGHT("00"&amp;$H661,2)&amp;"/"&amp;RIGHT("00"&amp;$I661,2)))</f>
        <v/>
      </c>
      <c r="K661">
        <f>IF(OR($F661="",$J661="",$J661="نامعتبر"),"",LEFT($J661,4)&amp;MID($J661,6,2)&amp;RIGHT($J661,2)&amp;$N661&amp;"|"&amp;"2"&amp;RIGHT("00000"&amp;656,5))</f>
        <v/>
      </c>
      <c r="L661">
        <f>IF($K661="","",COUNTIFS(LdgPartyA,$F661,LdgKeyA,"&lt;"&amp;$K661)+COUNTIFS(LdgPartyB,$F661,LdgKeyB,"&lt;"&amp;$K661)+1)</f>
        <v/>
      </c>
      <c r="M661">
        <f>IF($L661="","",$F661&amp;"|"&amp;RIGHT("000000"&amp;$L661,6))</f>
        <v/>
      </c>
      <c r="N661">
        <f>IF($F661="","",IF(Sync!$AH661="","0000",IF(AND(ISNUMBER(Sync!$AH661),Sync!$AH661&gt;=0,Sync!$AH661&lt;1),RIGHT("00"&amp;HOUR(Sync!$AH661),2)&amp;RIGHT("00"&amp;MINUTE(Sync!$AH661),2),IFERROR(RIGHT("00"&amp;VALUE(LEFT(Sync!$AH661,FIND(":",Sync!$AH661)-1)),2)&amp;RIGHT("00"&amp;VALUE(MID(Sync!$AH661,FIND(":",Sync!$AH661)+1,2)),2),"0000"))))</f>
        <v/>
      </c>
    </row>
    <row r="662">
      <c r="A662">
        <f>IF(OR(Calc!$E665="",Calc!$E665="نامعتبر",Calc!$G665="",Calc!$I665&lt;&gt;"خرید"),"",Calc!$G665)</f>
        <v/>
      </c>
      <c r="B662">
        <f>IF($A662="","",LEFT(Calc!$E665,4)&amp;MID(Calc!$E665,6,2)&amp;RIGHT(Calc!$E665,2)&amp;Calc!$R665&amp;"|"&amp;"1"&amp;RIGHT("00000"&amp;657,5))</f>
        <v/>
      </c>
      <c r="C662">
        <f>IF($B662="","",COUNTIFS(LdgPartyA,$A662,LdgKeyA,"&lt;"&amp;$B662)+COUNTIFS(LdgPartyB,$A662,LdgKeyB,"&lt;"&amp;$B662)+1)</f>
        <v/>
      </c>
      <c r="D662">
        <f>IF($C662="","",$A662&amp;"|"&amp;RIGHT("000000"&amp;$C662,6))</f>
        <v/>
      </c>
      <c r="F662">
        <f>IF(Sync!$AJ662="","",Sync!$AJ662)</f>
        <v/>
      </c>
      <c r="G662">
        <f>IF($F662="","",IF(Sync!$AG662="","",IF(ISNUMBER(Sync!$AG662),IF(AND(Sync!$AG662&gt;=10000101,Sync!$AG662&lt;=99991231),INT(Sync!$AG662/10000),""),IFERROR(VALUE(TRIM(LEFT(Sync!$AG662,FIND("/",Sync!$AG662)-1))),""))))</f>
        <v/>
      </c>
      <c r="H662">
        <f>IF(OR($F662="",$G662=""),"",IF(ISNUMBER(Sync!$AG662),INT(MOD(Sync!$AG662,10000)/100),IFERROR(VALUE(TRIM(LEFT(MID(Sync!$AG662,FIND("/",Sync!$AG662)+1,20),FIND("/",MID(Sync!$AG662,FIND("/",Sync!$AG662)+1,20))-1))),"")))</f>
        <v/>
      </c>
      <c r="I662">
        <f>IF(OR($F662="",$G662=""),"",IF(ISNUMBER(Sync!$AG662),MOD(Sync!$AG662,100),IFERROR(VALUE(TRIM(MID(MID(Sync!$AG662,FIND("/",Sync!$AG662)+1,20),FIND("/",MID(Sync!$AG662,FIND("/",Sync!$AG662)+1,20))+1,20))),"")))</f>
        <v/>
      </c>
      <c r="J662">
        <f>IF($F662="","",IF(OR($G662="",$H662="",$I662="",$G662&lt;1300,$G662&gt;1500,$H662&lt;1,$H662&gt;12,$I662&lt;1,$I662&gt;31),"نامعتبر",RIGHT("0000"&amp;$G662,4)&amp;"/"&amp;RIGHT("00"&amp;$H662,2)&amp;"/"&amp;RIGHT("00"&amp;$I662,2)))</f>
        <v/>
      </c>
      <c r="K662">
        <f>IF(OR($F662="",$J662="",$J662="نامعتبر"),"",LEFT($J662,4)&amp;MID($J662,6,2)&amp;RIGHT($J662,2)&amp;$N662&amp;"|"&amp;"2"&amp;RIGHT("00000"&amp;657,5))</f>
        <v/>
      </c>
      <c r="L662">
        <f>IF($K662="","",COUNTIFS(LdgPartyA,$F662,LdgKeyA,"&lt;"&amp;$K662)+COUNTIFS(LdgPartyB,$F662,LdgKeyB,"&lt;"&amp;$K662)+1)</f>
        <v/>
      </c>
      <c r="M662">
        <f>IF($L662="","",$F662&amp;"|"&amp;RIGHT("000000"&amp;$L662,6))</f>
        <v/>
      </c>
      <c r="N662">
        <f>IF($F662="","",IF(Sync!$AH662="","0000",IF(AND(ISNUMBER(Sync!$AH662),Sync!$AH662&gt;=0,Sync!$AH662&lt;1),RIGHT("00"&amp;HOUR(Sync!$AH662),2)&amp;RIGHT("00"&amp;MINUTE(Sync!$AH662),2),IFERROR(RIGHT("00"&amp;VALUE(LEFT(Sync!$AH662,FIND(":",Sync!$AH662)-1)),2)&amp;RIGHT("00"&amp;VALUE(MID(Sync!$AH662,FIND(":",Sync!$AH662)+1,2)),2),"0000"))))</f>
        <v/>
      </c>
    </row>
    <row r="663">
      <c r="A663">
        <f>IF(OR(Calc!$E666="",Calc!$E666="نامعتبر",Calc!$G666="",Calc!$I666&lt;&gt;"خرید"),"",Calc!$G666)</f>
        <v/>
      </c>
      <c r="B663">
        <f>IF($A663="","",LEFT(Calc!$E666,4)&amp;MID(Calc!$E666,6,2)&amp;RIGHT(Calc!$E666,2)&amp;Calc!$R666&amp;"|"&amp;"1"&amp;RIGHT("00000"&amp;658,5))</f>
        <v/>
      </c>
      <c r="C663">
        <f>IF($B663="","",COUNTIFS(LdgPartyA,$A663,LdgKeyA,"&lt;"&amp;$B663)+COUNTIFS(LdgPartyB,$A663,LdgKeyB,"&lt;"&amp;$B663)+1)</f>
        <v/>
      </c>
      <c r="D663">
        <f>IF($C663="","",$A663&amp;"|"&amp;RIGHT("000000"&amp;$C663,6))</f>
        <v/>
      </c>
      <c r="F663">
        <f>IF(Sync!$AJ663="","",Sync!$AJ663)</f>
        <v/>
      </c>
      <c r="G663">
        <f>IF($F663="","",IF(Sync!$AG663="","",IF(ISNUMBER(Sync!$AG663),IF(AND(Sync!$AG663&gt;=10000101,Sync!$AG663&lt;=99991231),INT(Sync!$AG663/10000),""),IFERROR(VALUE(TRIM(LEFT(Sync!$AG663,FIND("/",Sync!$AG663)-1))),""))))</f>
        <v/>
      </c>
      <c r="H663">
        <f>IF(OR($F663="",$G663=""),"",IF(ISNUMBER(Sync!$AG663),INT(MOD(Sync!$AG663,10000)/100),IFERROR(VALUE(TRIM(LEFT(MID(Sync!$AG663,FIND("/",Sync!$AG663)+1,20),FIND("/",MID(Sync!$AG663,FIND("/",Sync!$AG663)+1,20))-1))),"")))</f>
        <v/>
      </c>
      <c r="I663">
        <f>IF(OR($F663="",$G663=""),"",IF(ISNUMBER(Sync!$AG663),MOD(Sync!$AG663,100),IFERROR(VALUE(TRIM(MID(MID(Sync!$AG663,FIND("/",Sync!$AG663)+1,20),FIND("/",MID(Sync!$AG663,FIND("/",Sync!$AG663)+1,20))+1,20))),"")))</f>
        <v/>
      </c>
      <c r="J663">
        <f>IF($F663="","",IF(OR($G663="",$H663="",$I663="",$G663&lt;1300,$G663&gt;1500,$H663&lt;1,$H663&gt;12,$I663&lt;1,$I663&gt;31),"نامعتبر",RIGHT("0000"&amp;$G663,4)&amp;"/"&amp;RIGHT("00"&amp;$H663,2)&amp;"/"&amp;RIGHT("00"&amp;$I663,2)))</f>
        <v/>
      </c>
      <c r="K663">
        <f>IF(OR($F663="",$J663="",$J663="نامعتبر"),"",LEFT($J663,4)&amp;MID($J663,6,2)&amp;RIGHT($J663,2)&amp;$N663&amp;"|"&amp;"2"&amp;RIGHT("00000"&amp;658,5))</f>
        <v/>
      </c>
      <c r="L663">
        <f>IF($K663="","",COUNTIFS(LdgPartyA,$F663,LdgKeyA,"&lt;"&amp;$K663)+COUNTIFS(LdgPartyB,$F663,LdgKeyB,"&lt;"&amp;$K663)+1)</f>
        <v/>
      </c>
      <c r="M663">
        <f>IF($L663="","",$F663&amp;"|"&amp;RIGHT("000000"&amp;$L663,6))</f>
        <v/>
      </c>
      <c r="N663">
        <f>IF($F663="","",IF(Sync!$AH663="","0000",IF(AND(ISNUMBER(Sync!$AH663),Sync!$AH663&gt;=0,Sync!$AH663&lt;1),RIGHT("00"&amp;HOUR(Sync!$AH663),2)&amp;RIGHT("00"&amp;MINUTE(Sync!$AH663),2),IFERROR(RIGHT("00"&amp;VALUE(LEFT(Sync!$AH663,FIND(":",Sync!$AH663)-1)),2)&amp;RIGHT("00"&amp;VALUE(MID(Sync!$AH663,FIND(":",Sync!$AH663)+1,2)),2),"0000"))))</f>
        <v/>
      </c>
    </row>
    <row r="664">
      <c r="A664">
        <f>IF(OR(Calc!$E667="",Calc!$E667="نامعتبر",Calc!$G667="",Calc!$I667&lt;&gt;"خرید"),"",Calc!$G667)</f>
        <v/>
      </c>
      <c r="B664">
        <f>IF($A664="","",LEFT(Calc!$E667,4)&amp;MID(Calc!$E667,6,2)&amp;RIGHT(Calc!$E667,2)&amp;Calc!$R667&amp;"|"&amp;"1"&amp;RIGHT("00000"&amp;659,5))</f>
        <v/>
      </c>
      <c r="C664">
        <f>IF($B664="","",COUNTIFS(LdgPartyA,$A664,LdgKeyA,"&lt;"&amp;$B664)+COUNTIFS(LdgPartyB,$A664,LdgKeyB,"&lt;"&amp;$B664)+1)</f>
        <v/>
      </c>
      <c r="D664">
        <f>IF($C664="","",$A664&amp;"|"&amp;RIGHT("000000"&amp;$C664,6))</f>
        <v/>
      </c>
      <c r="F664">
        <f>IF(Sync!$AJ664="","",Sync!$AJ664)</f>
        <v/>
      </c>
      <c r="G664">
        <f>IF($F664="","",IF(Sync!$AG664="","",IF(ISNUMBER(Sync!$AG664),IF(AND(Sync!$AG664&gt;=10000101,Sync!$AG664&lt;=99991231),INT(Sync!$AG664/10000),""),IFERROR(VALUE(TRIM(LEFT(Sync!$AG664,FIND("/",Sync!$AG664)-1))),""))))</f>
        <v/>
      </c>
      <c r="H664">
        <f>IF(OR($F664="",$G664=""),"",IF(ISNUMBER(Sync!$AG664),INT(MOD(Sync!$AG664,10000)/100),IFERROR(VALUE(TRIM(LEFT(MID(Sync!$AG664,FIND("/",Sync!$AG664)+1,20),FIND("/",MID(Sync!$AG664,FIND("/",Sync!$AG664)+1,20))-1))),"")))</f>
        <v/>
      </c>
      <c r="I664">
        <f>IF(OR($F664="",$G664=""),"",IF(ISNUMBER(Sync!$AG664),MOD(Sync!$AG664,100),IFERROR(VALUE(TRIM(MID(MID(Sync!$AG664,FIND("/",Sync!$AG664)+1,20),FIND("/",MID(Sync!$AG664,FIND("/",Sync!$AG664)+1,20))+1,20))),"")))</f>
        <v/>
      </c>
      <c r="J664">
        <f>IF($F664="","",IF(OR($G664="",$H664="",$I664="",$G664&lt;1300,$G664&gt;1500,$H664&lt;1,$H664&gt;12,$I664&lt;1,$I664&gt;31),"نامعتبر",RIGHT("0000"&amp;$G664,4)&amp;"/"&amp;RIGHT("00"&amp;$H664,2)&amp;"/"&amp;RIGHT("00"&amp;$I664,2)))</f>
        <v/>
      </c>
      <c r="K664">
        <f>IF(OR($F664="",$J664="",$J664="نامعتبر"),"",LEFT($J664,4)&amp;MID($J664,6,2)&amp;RIGHT($J664,2)&amp;$N664&amp;"|"&amp;"2"&amp;RIGHT("00000"&amp;659,5))</f>
        <v/>
      </c>
      <c r="L664">
        <f>IF($K664="","",COUNTIFS(LdgPartyA,$F664,LdgKeyA,"&lt;"&amp;$K664)+COUNTIFS(LdgPartyB,$F664,LdgKeyB,"&lt;"&amp;$K664)+1)</f>
        <v/>
      </c>
      <c r="M664">
        <f>IF($L664="","",$F664&amp;"|"&amp;RIGHT("000000"&amp;$L664,6))</f>
        <v/>
      </c>
      <c r="N664">
        <f>IF($F664="","",IF(Sync!$AH664="","0000",IF(AND(ISNUMBER(Sync!$AH664),Sync!$AH664&gt;=0,Sync!$AH664&lt;1),RIGHT("00"&amp;HOUR(Sync!$AH664),2)&amp;RIGHT("00"&amp;MINUTE(Sync!$AH664),2),IFERROR(RIGHT("00"&amp;VALUE(LEFT(Sync!$AH664,FIND(":",Sync!$AH664)-1)),2)&amp;RIGHT("00"&amp;VALUE(MID(Sync!$AH664,FIND(":",Sync!$AH664)+1,2)),2),"0000"))))</f>
        <v/>
      </c>
    </row>
    <row r="665">
      <c r="A665">
        <f>IF(OR(Calc!$E668="",Calc!$E668="نامعتبر",Calc!$G668="",Calc!$I668&lt;&gt;"خرید"),"",Calc!$G668)</f>
        <v/>
      </c>
      <c r="B665">
        <f>IF($A665="","",LEFT(Calc!$E668,4)&amp;MID(Calc!$E668,6,2)&amp;RIGHT(Calc!$E668,2)&amp;Calc!$R668&amp;"|"&amp;"1"&amp;RIGHT("00000"&amp;660,5))</f>
        <v/>
      </c>
      <c r="C665">
        <f>IF($B665="","",COUNTIFS(LdgPartyA,$A665,LdgKeyA,"&lt;"&amp;$B665)+COUNTIFS(LdgPartyB,$A665,LdgKeyB,"&lt;"&amp;$B665)+1)</f>
        <v/>
      </c>
      <c r="D665">
        <f>IF($C665="","",$A665&amp;"|"&amp;RIGHT("000000"&amp;$C665,6))</f>
        <v/>
      </c>
      <c r="F665">
        <f>IF(Sync!$AJ665="","",Sync!$AJ665)</f>
        <v/>
      </c>
      <c r="G665">
        <f>IF($F665="","",IF(Sync!$AG665="","",IF(ISNUMBER(Sync!$AG665),IF(AND(Sync!$AG665&gt;=10000101,Sync!$AG665&lt;=99991231),INT(Sync!$AG665/10000),""),IFERROR(VALUE(TRIM(LEFT(Sync!$AG665,FIND("/",Sync!$AG665)-1))),""))))</f>
        <v/>
      </c>
      <c r="H665">
        <f>IF(OR($F665="",$G665=""),"",IF(ISNUMBER(Sync!$AG665),INT(MOD(Sync!$AG665,10000)/100),IFERROR(VALUE(TRIM(LEFT(MID(Sync!$AG665,FIND("/",Sync!$AG665)+1,20),FIND("/",MID(Sync!$AG665,FIND("/",Sync!$AG665)+1,20))-1))),"")))</f>
        <v/>
      </c>
      <c r="I665">
        <f>IF(OR($F665="",$G665=""),"",IF(ISNUMBER(Sync!$AG665),MOD(Sync!$AG665,100),IFERROR(VALUE(TRIM(MID(MID(Sync!$AG665,FIND("/",Sync!$AG665)+1,20),FIND("/",MID(Sync!$AG665,FIND("/",Sync!$AG665)+1,20))+1,20))),"")))</f>
        <v/>
      </c>
      <c r="J665">
        <f>IF($F665="","",IF(OR($G665="",$H665="",$I665="",$G665&lt;1300,$G665&gt;1500,$H665&lt;1,$H665&gt;12,$I665&lt;1,$I665&gt;31),"نامعتبر",RIGHT("0000"&amp;$G665,4)&amp;"/"&amp;RIGHT("00"&amp;$H665,2)&amp;"/"&amp;RIGHT("00"&amp;$I665,2)))</f>
        <v/>
      </c>
      <c r="K665">
        <f>IF(OR($F665="",$J665="",$J665="نامعتبر"),"",LEFT($J665,4)&amp;MID($J665,6,2)&amp;RIGHT($J665,2)&amp;$N665&amp;"|"&amp;"2"&amp;RIGHT("00000"&amp;660,5))</f>
        <v/>
      </c>
      <c r="L665">
        <f>IF($K665="","",COUNTIFS(LdgPartyA,$F665,LdgKeyA,"&lt;"&amp;$K665)+COUNTIFS(LdgPartyB,$F665,LdgKeyB,"&lt;"&amp;$K665)+1)</f>
        <v/>
      </c>
      <c r="M665">
        <f>IF($L665="","",$F665&amp;"|"&amp;RIGHT("000000"&amp;$L665,6))</f>
        <v/>
      </c>
      <c r="N665">
        <f>IF($F665="","",IF(Sync!$AH665="","0000",IF(AND(ISNUMBER(Sync!$AH665),Sync!$AH665&gt;=0,Sync!$AH665&lt;1),RIGHT("00"&amp;HOUR(Sync!$AH665),2)&amp;RIGHT("00"&amp;MINUTE(Sync!$AH665),2),IFERROR(RIGHT("00"&amp;VALUE(LEFT(Sync!$AH665,FIND(":",Sync!$AH665)-1)),2)&amp;RIGHT("00"&amp;VALUE(MID(Sync!$AH665,FIND(":",Sync!$AH665)+1,2)),2),"0000"))))</f>
        <v/>
      </c>
    </row>
    <row r="666">
      <c r="A666">
        <f>IF(OR(Calc!$E669="",Calc!$E669="نامعتبر",Calc!$G669="",Calc!$I669&lt;&gt;"خرید"),"",Calc!$G669)</f>
        <v/>
      </c>
      <c r="B666">
        <f>IF($A666="","",LEFT(Calc!$E669,4)&amp;MID(Calc!$E669,6,2)&amp;RIGHT(Calc!$E669,2)&amp;Calc!$R669&amp;"|"&amp;"1"&amp;RIGHT("00000"&amp;661,5))</f>
        <v/>
      </c>
      <c r="C666">
        <f>IF($B666="","",COUNTIFS(LdgPartyA,$A666,LdgKeyA,"&lt;"&amp;$B666)+COUNTIFS(LdgPartyB,$A666,LdgKeyB,"&lt;"&amp;$B666)+1)</f>
        <v/>
      </c>
      <c r="D666">
        <f>IF($C666="","",$A666&amp;"|"&amp;RIGHT("000000"&amp;$C666,6))</f>
        <v/>
      </c>
      <c r="F666">
        <f>IF(Sync!$AJ666="","",Sync!$AJ666)</f>
        <v/>
      </c>
      <c r="G666">
        <f>IF($F666="","",IF(Sync!$AG666="","",IF(ISNUMBER(Sync!$AG666),IF(AND(Sync!$AG666&gt;=10000101,Sync!$AG666&lt;=99991231),INT(Sync!$AG666/10000),""),IFERROR(VALUE(TRIM(LEFT(Sync!$AG666,FIND("/",Sync!$AG666)-1))),""))))</f>
        <v/>
      </c>
      <c r="H666">
        <f>IF(OR($F666="",$G666=""),"",IF(ISNUMBER(Sync!$AG666),INT(MOD(Sync!$AG666,10000)/100),IFERROR(VALUE(TRIM(LEFT(MID(Sync!$AG666,FIND("/",Sync!$AG666)+1,20),FIND("/",MID(Sync!$AG666,FIND("/",Sync!$AG666)+1,20))-1))),"")))</f>
        <v/>
      </c>
      <c r="I666">
        <f>IF(OR($F666="",$G666=""),"",IF(ISNUMBER(Sync!$AG666),MOD(Sync!$AG666,100),IFERROR(VALUE(TRIM(MID(MID(Sync!$AG666,FIND("/",Sync!$AG666)+1,20),FIND("/",MID(Sync!$AG666,FIND("/",Sync!$AG666)+1,20))+1,20))),"")))</f>
        <v/>
      </c>
      <c r="J666">
        <f>IF($F666="","",IF(OR($G666="",$H666="",$I666="",$G666&lt;1300,$G666&gt;1500,$H666&lt;1,$H666&gt;12,$I666&lt;1,$I666&gt;31),"نامعتبر",RIGHT("0000"&amp;$G666,4)&amp;"/"&amp;RIGHT("00"&amp;$H666,2)&amp;"/"&amp;RIGHT("00"&amp;$I666,2)))</f>
        <v/>
      </c>
      <c r="K666">
        <f>IF(OR($F666="",$J666="",$J666="نامعتبر"),"",LEFT($J666,4)&amp;MID($J666,6,2)&amp;RIGHT($J666,2)&amp;$N666&amp;"|"&amp;"2"&amp;RIGHT("00000"&amp;661,5))</f>
        <v/>
      </c>
      <c r="L666">
        <f>IF($K666="","",COUNTIFS(LdgPartyA,$F666,LdgKeyA,"&lt;"&amp;$K666)+COUNTIFS(LdgPartyB,$F666,LdgKeyB,"&lt;"&amp;$K666)+1)</f>
        <v/>
      </c>
      <c r="M666">
        <f>IF($L666="","",$F666&amp;"|"&amp;RIGHT("000000"&amp;$L666,6))</f>
        <v/>
      </c>
      <c r="N666">
        <f>IF($F666="","",IF(Sync!$AH666="","0000",IF(AND(ISNUMBER(Sync!$AH666),Sync!$AH666&gt;=0,Sync!$AH666&lt;1),RIGHT("00"&amp;HOUR(Sync!$AH666),2)&amp;RIGHT("00"&amp;MINUTE(Sync!$AH666),2),IFERROR(RIGHT("00"&amp;VALUE(LEFT(Sync!$AH666,FIND(":",Sync!$AH666)-1)),2)&amp;RIGHT("00"&amp;VALUE(MID(Sync!$AH666,FIND(":",Sync!$AH666)+1,2)),2),"0000"))))</f>
        <v/>
      </c>
    </row>
    <row r="667">
      <c r="A667">
        <f>IF(OR(Calc!$E670="",Calc!$E670="نامعتبر",Calc!$G670="",Calc!$I670&lt;&gt;"خرید"),"",Calc!$G670)</f>
        <v/>
      </c>
      <c r="B667">
        <f>IF($A667="","",LEFT(Calc!$E670,4)&amp;MID(Calc!$E670,6,2)&amp;RIGHT(Calc!$E670,2)&amp;Calc!$R670&amp;"|"&amp;"1"&amp;RIGHT("00000"&amp;662,5))</f>
        <v/>
      </c>
      <c r="C667">
        <f>IF($B667="","",COUNTIFS(LdgPartyA,$A667,LdgKeyA,"&lt;"&amp;$B667)+COUNTIFS(LdgPartyB,$A667,LdgKeyB,"&lt;"&amp;$B667)+1)</f>
        <v/>
      </c>
      <c r="D667">
        <f>IF($C667="","",$A667&amp;"|"&amp;RIGHT("000000"&amp;$C667,6))</f>
        <v/>
      </c>
      <c r="F667">
        <f>IF(Sync!$AJ667="","",Sync!$AJ667)</f>
        <v/>
      </c>
      <c r="G667">
        <f>IF($F667="","",IF(Sync!$AG667="","",IF(ISNUMBER(Sync!$AG667),IF(AND(Sync!$AG667&gt;=10000101,Sync!$AG667&lt;=99991231),INT(Sync!$AG667/10000),""),IFERROR(VALUE(TRIM(LEFT(Sync!$AG667,FIND("/",Sync!$AG667)-1))),""))))</f>
        <v/>
      </c>
      <c r="H667">
        <f>IF(OR($F667="",$G667=""),"",IF(ISNUMBER(Sync!$AG667),INT(MOD(Sync!$AG667,10000)/100),IFERROR(VALUE(TRIM(LEFT(MID(Sync!$AG667,FIND("/",Sync!$AG667)+1,20),FIND("/",MID(Sync!$AG667,FIND("/",Sync!$AG667)+1,20))-1))),"")))</f>
        <v/>
      </c>
      <c r="I667">
        <f>IF(OR($F667="",$G667=""),"",IF(ISNUMBER(Sync!$AG667),MOD(Sync!$AG667,100),IFERROR(VALUE(TRIM(MID(MID(Sync!$AG667,FIND("/",Sync!$AG667)+1,20),FIND("/",MID(Sync!$AG667,FIND("/",Sync!$AG667)+1,20))+1,20))),"")))</f>
        <v/>
      </c>
      <c r="J667">
        <f>IF($F667="","",IF(OR($G667="",$H667="",$I667="",$G667&lt;1300,$G667&gt;1500,$H667&lt;1,$H667&gt;12,$I667&lt;1,$I667&gt;31),"نامعتبر",RIGHT("0000"&amp;$G667,4)&amp;"/"&amp;RIGHT("00"&amp;$H667,2)&amp;"/"&amp;RIGHT("00"&amp;$I667,2)))</f>
        <v/>
      </c>
      <c r="K667">
        <f>IF(OR($F667="",$J667="",$J667="نامعتبر"),"",LEFT($J667,4)&amp;MID($J667,6,2)&amp;RIGHT($J667,2)&amp;$N667&amp;"|"&amp;"2"&amp;RIGHT("00000"&amp;662,5))</f>
        <v/>
      </c>
      <c r="L667">
        <f>IF($K667="","",COUNTIFS(LdgPartyA,$F667,LdgKeyA,"&lt;"&amp;$K667)+COUNTIFS(LdgPartyB,$F667,LdgKeyB,"&lt;"&amp;$K667)+1)</f>
        <v/>
      </c>
      <c r="M667">
        <f>IF($L667="","",$F667&amp;"|"&amp;RIGHT("000000"&amp;$L667,6))</f>
        <v/>
      </c>
      <c r="N667">
        <f>IF($F667="","",IF(Sync!$AH667="","0000",IF(AND(ISNUMBER(Sync!$AH667),Sync!$AH667&gt;=0,Sync!$AH667&lt;1),RIGHT("00"&amp;HOUR(Sync!$AH667),2)&amp;RIGHT("00"&amp;MINUTE(Sync!$AH667),2),IFERROR(RIGHT("00"&amp;VALUE(LEFT(Sync!$AH667,FIND(":",Sync!$AH667)-1)),2)&amp;RIGHT("00"&amp;VALUE(MID(Sync!$AH667,FIND(":",Sync!$AH667)+1,2)),2),"0000"))))</f>
        <v/>
      </c>
    </row>
    <row r="668">
      <c r="A668">
        <f>IF(OR(Calc!$E671="",Calc!$E671="نامعتبر",Calc!$G671="",Calc!$I671&lt;&gt;"خرید"),"",Calc!$G671)</f>
        <v/>
      </c>
      <c r="B668">
        <f>IF($A668="","",LEFT(Calc!$E671,4)&amp;MID(Calc!$E671,6,2)&amp;RIGHT(Calc!$E671,2)&amp;Calc!$R671&amp;"|"&amp;"1"&amp;RIGHT("00000"&amp;663,5))</f>
        <v/>
      </c>
      <c r="C668">
        <f>IF($B668="","",COUNTIFS(LdgPartyA,$A668,LdgKeyA,"&lt;"&amp;$B668)+COUNTIFS(LdgPartyB,$A668,LdgKeyB,"&lt;"&amp;$B668)+1)</f>
        <v/>
      </c>
      <c r="D668">
        <f>IF($C668="","",$A668&amp;"|"&amp;RIGHT("000000"&amp;$C668,6))</f>
        <v/>
      </c>
      <c r="F668">
        <f>IF(Sync!$AJ668="","",Sync!$AJ668)</f>
        <v/>
      </c>
      <c r="G668">
        <f>IF($F668="","",IF(Sync!$AG668="","",IF(ISNUMBER(Sync!$AG668),IF(AND(Sync!$AG668&gt;=10000101,Sync!$AG668&lt;=99991231),INT(Sync!$AG668/10000),""),IFERROR(VALUE(TRIM(LEFT(Sync!$AG668,FIND("/",Sync!$AG668)-1))),""))))</f>
        <v/>
      </c>
      <c r="H668">
        <f>IF(OR($F668="",$G668=""),"",IF(ISNUMBER(Sync!$AG668),INT(MOD(Sync!$AG668,10000)/100),IFERROR(VALUE(TRIM(LEFT(MID(Sync!$AG668,FIND("/",Sync!$AG668)+1,20),FIND("/",MID(Sync!$AG668,FIND("/",Sync!$AG668)+1,20))-1))),"")))</f>
        <v/>
      </c>
      <c r="I668">
        <f>IF(OR($F668="",$G668=""),"",IF(ISNUMBER(Sync!$AG668),MOD(Sync!$AG668,100),IFERROR(VALUE(TRIM(MID(MID(Sync!$AG668,FIND("/",Sync!$AG668)+1,20),FIND("/",MID(Sync!$AG668,FIND("/",Sync!$AG668)+1,20))+1,20))),"")))</f>
        <v/>
      </c>
      <c r="J668">
        <f>IF($F668="","",IF(OR($G668="",$H668="",$I668="",$G668&lt;1300,$G668&gt;1500,$H668&lt;1,$H668&gt;12,$I668&lt;1,$I668&gt;31),"نامعتبر",RIGHT("0000"&amp;$G668,4)&amp;"/"&amp;RIGHT("00"&amp;$H668,2)&amp;"/"&amp;RIGHT("00"&amp;$I668,2)))</f>
        <v/>
      </c>
      <c r="K668">
        <f>IF(OR($F668="",$J668="",$J668="نامعتبر"),"",LEFT($J668,4)&amp;MID($J668,6,2)&amp;RIGHT($J668,2)&amp;$N668&amp;"|"&amp;"2"&amp;RIGHT("00000"&amp;663,5))</f>
        <v/>
      </c>
      <c r="L668">
        <f>IF($K668="","",COUNTIFS(LdgPartyA,$F668,LdgKeyA,"&lt;"&amp;$K668)+COUNTIFS(LdgPartyB,$F668,LdgKeyB,"&lt;"&amp;$K668)+1)</f>
        <v/>
      </c>
      <c r="M668">
        <f>IF($L668="","",$F668&amp;"|"&amp;RIGHT("000000"&amp;$L668,6))</f>
        <v/>
      </c>
      <c r="N668">
        <f>IF($F668="","",IF(Sync!$AH668="","0000",IF(AND(ISNUMBER(Sync!$AH668),Sync!$AH668&gt;=0,Sync!$AH668&lt;1),RIGHT("00"&amp;HOUR(Sync!$AH668),2)&amp;RIGHT("00"&amp;MINUTE(Sync!$AH668),2),IFERROR(RIGHT("00"&amp;VALUE(LEFT(Sync!$AH668,FIND(":",Sync!$AH668)-1)),2)&amp;RIGHT("00"&amp;VALUE(MID(Sync!$AH668,FIND(":",Sync!$AH668)+1,2)),2),"0000"))))</f>
        <v/>
      </c>
    </row>
    <row r="669">
      <c r="A669">
        <f>IF(OR(Calc!$E672="",Calc!$E672="نامعتبر",Calc!$G672="",Calc!$I672&lt;&gt;"خرید"),"",Calc!$G672)</f>
        <v/>
      </c>
      <c r="B669">
        <f>IF($A669="","",LEFT(Calc!$E672,4)&amp;MID(Calc!$E672,6,2)&amp;RIGHT(Calc!$E672,2)&amp;Calc!$R672&amp;"|"&amp;"1"&amp;RIGHT("00000"&amp;664,5))</f>
        <v/>
      </c>
      <c r="C669">
        <f>IF($B669="","",COUNTIFS(LdgPartyA,$A669,LdgKeyA,"&lt;"&amp;$B669)+COUNTIFS(LdgPartyB,$A669,LdgKeyB,"&lt;"&amp;$B669)+1)</f>
        <v/>
      </c>
      <c r="D669">
        <f>IF($C669="","",$A669&amp;"|"&amp;RIGHT("000000"&amp;$C669,6))</f>
        <v/>
      </c>
      <c r="F669">
        <f>IF(Sync!$AJ669="","",Sync!$AJ669)</f>
        <v/>
      </c>
      <c r="G669">
        <f>IF($F669="","",IF(Sync!$AG669="","",IF(ISNUMBER(Sync!$AG669),IF(AND(Sync!$AG669&gt;=10000101,Sync!$AG669&lt;=99991231),INT(Sync!$AG669/10000),""),IFERROR(VALUE(TRIM(LEFT(Sync!$AG669,FIND("/",Sync!$AG669)-1))),""))))</f>
        <v/>
      </c>
      <c r="H669">
        <f>IF(OR($F669="",$G669=""),"",IF(ISNUMBER(Sync!$AG669),INT(MOD(Sync!$AG669,10000)/100),IFERROR(VALUE(TRIM(LEFT(MID(Sync!$AG669,FIND("/",Sync!$AG669)+1,20),FIND("/",MID(Sync!$AG669,FIND("/",Sync!$AG669)+1,20))-1))),"")))</f>
        <v/>
      </c>
      <c r="I669">
        <f>IF(OR($F669="",$G669=""),"",IF(ISNUMBER(Sync!$AG669),MOD(Sync!$AG669,100),IFERROR(VALUE(TRIM(MID(MID(Sync!$AG669,FIND("/",Sync!$AG669)+1,20),FIND("/",MID(Sync!$AG669,FIND("/",Sync!$AG669)+1,20))+1,20))),"")))</f>
        <v/>
      </c>
      <c r="J669">
        <f>IF($F669="","",IF(OR($G669="",$H669="",$I669="",$G669&lt;1300,$G669&gt;1500,$H669&lt;1,$H669&gt;12,$I669&lt;1,$I669&gt;31),"نامعتبر",RIGHT("0000"&amp;$G669,4)&amp;"/"&amp;RIGHT("00"&amp;$H669,2)&amp;"/"&amp;RIGHT("00"&amp;$I669,2)))</f>
        <v/>
      </c>
      <c r="K669">
        <f>IF(OR($F669="",$J669="",$J669="نامعتبر"),"",LEFT($J669,4)&amp;MID($J669,6,2)&amp;RIGHT($J669,2)&amp;$N669&amp;"|"&amp;"2"&amp;RIGHT("00000"&amp;664,5))</f>
        <v/>
      </c>
      <c r="L669">
        <f>IF($K669="","",COUNTIFS(LdgPartyA,$F669,LdgKeyA,"&lt;"&amp;$K669)+COUNTIFS(LdgPartyB,$F669,LdgKeyB,"&lt;"&amp;$K669)+1)</f>
        <v/>
      </c>
      <c r="M669">
        <f>IF($L669="","",$F669&amp;"|"&amp;RIGHT("000000"&amp;$L669,6))</f>
        <v/>
      </c>
      <c r="N669">
        <f>IF($F669="","",IF(Sync!$AH669="","0000",IF(AND(ISNUMBER(Sync!$AH669),Sync!$AH669&gt;=0,Sync!$AH669&lt;1),RIGHT("00"&amp;HOUR(Sync!$AH669),2)&amp;RIGHT("00"&amp;MINUTE(Sync!$AH669),2),IFERROR(RIGHT("00"&amp;VALUE(LEFT(Sync!$AH669,FIND(":",Sync!$AH669)-1)),2)&amp;RIGHT("00"&amp;VALUE(MID(Sync!$AH669,FIND(":",Sync!$AH669)+1,2)),2),"0000"))))</f>
        <v/>
      </c>
    </row>
    <row r="670">
      <c r="A670">
        <f>IF(OR(Calc!$E673="",Calc!$E673="نامعتبر",Calc!$G673="",Calc!$I673&lt;&gt;"خرید"),"",Calc!$G673)</f>
        <v/>
      </c>
      <c r="B670">
        <f>IF($A670="","",LEFT(Calc!$E673,4)&amp;MID(Calc!$E673,6,2)&amp;RIGHT(Calc!$E673,2)&amp;Calc!$R673&amp;"|"&amp;"1"&amp;RIGHT("00000"&amp;665,5))</f>
        <v/>
      </c>
      <c r="C670">
        <f>IF($B670="","",COUNTIFS(LdgPartyA,$A670,LdgKeyA,"&lt;"&amp;$B670)+COUNTIFS(LdgPartyB,$A670,LdgKeyB,"&lt;"&amp;$B670)+1)</f>
        <v/>
      </c>
      <c r="D670">
        <f>IF($C670="","",$A670&amp;"|"&amp;RIGHT("000000"&amp;$C670,6))</f>
        <v/>
      </c>
      <c r="F670">
        <f>IF(Sync!$AJ670="","",Sync!$AJ670)</f>
        <v/>
      </c>
      <c r="G670">
        <f>IF($F670="","",IF(Sync!$AG670="","",IF(ISNUMBER(Sync!$AG670),IF(AND(Sync!$AG670&gt;=10000101,Sync!$AG670&lt;=99991231),INT(Sync!$AG670/10000),""),IFERROR(VALUE(TRIM(LEFT(Sync!$AG670,FIND("/",Sync!$AG670)-1))),""))))</f>
        <v/>
      </c>
      <c r="H670">
        <f>IF(OR($F670="",$G670=""),"",IF(ISNUMBER(Sync!$AG670),INT(MOD(Sync!$AG670,10000)/100),IFERROR(VALUE(TRIM(LEFT(MID(Sync!$AG670,FIND("/",Sync!$AG670)+1,20),FIND("/",MID(Sync!$AG670,FIND("/",Sync!$AG670)+1,20))-1))),"")))</f>
        <v/>
      </c>
      <c r="I670">
        <f>IF(OR($F670="",$G670=""),"",IF(ISNUMBER(Sync!$AG670),MOD(Sync!$AG670,100),IFERROR(VALUE(TRIM(MID(MID(Sync!$AG670,FIND("/",Sync!$AG670)+1,20),FIND("/",MID(Sync!$AG670,FIND("/",Sync!$AG670)+1,20))+1,20))),"")))</f>
        <v/>
      </c>
      <c r="J670">
        <f>IF($F670="","",IF(OR($G670="",$H670="",$I670="",$G670&lt;1300,$G670&gt;1500,$H670&lt;1,$H670&gt;12,$I670&lt;1,$I670&gt;31),"نامعتبر",RIGHT("0000"&amp;$G670,4)&amp;"/"&amp;RIGHT("00"&amp;$H670,2)&amp;"/"&amp;RIGHT("00"&amp;$I670,2)))</f>
        <v/>
      </c>
      <c r="K670">
        <f>IF(OR($F670="",$J670="",$J670="نامعتبر"),"",LEFT($J670,4)&amp;MID($J670,6,2)&amp;RIGHT($J670,2)&amp;$N670&amp;"|"&amp;"2"&amp;RIGHT("00000"&amp;665,5))</f>
        <v/>
      </c>
      <c r="L670">
        <f>IF($K670="","",COUNTIFS(LdgPartyA,$F670,LdgKeyA,"&lt;"&amp;$K670)+COUNTIFS(LdgPartyB,$F670,LdgKeyB,"&lt;"&amp;$K670)+1)</f>
        <v/>
      </c>
      <c r="M670">
        <f>IF($L670="","",$F670&amp;"|"&amp;RIGHT("000000"&amp;$L670,6))</f>
        <v/>
      </c>
      <c r="N670">
        <f>IF($F670="","",IF(Sync!$AH670="","0000",IF(AND(ISNUMBER(Sync!$AH670),Sync!$AH670&gt;=0,Sync!$AH670&lt;1),RIGHT("00"&amp;HOUR(Sync!$AH670),2)&amp;RIGHT("00"&amp;MINUTE(Sync!$AH670),2),IFERROR(RIGHT("00"&amp;VALUE(LEFT(Sync!$AH670,FIND(":",Sync!$AH670)-1)),2)&amp;RIGHT("00"&amp;VALUE(MID(Sync!$AH670,FIND(":",Sync!$AH670)+1,2)),2),"0000"))))</f>
        <v/>
      </c>
    </row>
    <row r="671">
      <c r="A671">
        <f>IF(OR(Calc!$E674="",Calc!$E674="نامعتبر",Calc!$G674="",Calc!$I674&lt;&gt;"خرید"),"",Calc!$G674)</f>
        <v/>
      </c>
      <c r="B671">
        <f>IF($A671="","",LEFT(Calc!$E674,4)&amp;MID(Calc!$E674,6,2)&amp;RIGHT(Calc!$E674,2)&amp;Calc!$R674&amp;"|"&amp;"1"&amp;RIGHT("00000"&amp;666,5))</f>
        <v/>
      </c>
      <c r="C671">
        <f>IF($B671="","",COUNTIFS(LdgPartyA,$A671,LdgKeyA,"&lt;"&amp;$B671)+COUNTIFS(LdgPartyB,$A671,LdgKeyB,"&lt;"&amp;$B671)+1)</f>
        <v/>
      </c>
      <c r="D671">
        <f>IF($C671="","",$A671&amp;"|"&amp;RIGHT("000000"&amp;$C671,6))</f>
        <v/>
      </c>
      <c r="F671">
        <f>IF(Sync!$AJ671="","",Sync!$AJ671)</f>
        <v/>
      </c>
      <c r="G671">
        <f>IF($F671="","",IF(Sync!$AG671="","",IF(ISNUMBER(Sync!$AG671),IF(AND(Sync!$AG671&gt;=10000101,Sync!$AG671&lt;=99991231),INT(Sync!$AG671/10000),""),IFERROR(VALUE(TRIM(LEFT(Sync!$AG671,FIND("/",Sync!$AG671)-1))),""))))</f>
        <v/>
      </c>
      <c r="H671">
        <f>IF(OR($F671="",$G671=""),"",IF(ISNUMBER(Sync!$AG671),INT(MOD(Sync!$AG671,10000)/100),IFERROR(VALUE(TRIM(LEFT(MID(Sync!$AG671,FIND("/",Sync!$AG671)+1,20),FIND("/",MID(Sync!$AG671,FIND("/",Sync!$AG671)+1,20))-1))),"")))</f>
        <v/>
      </c>
      <c r="I671">
        <f>IF(OR($F671="",$G671=""),"",IF(ISNUMBER(Sync!$AG671),MOD(Sync!$AG671,100),IFERROR(VALUE(TRIM(MID(MID(Sync!$AG671,FIND("/",Sync!$AG671)+1,20),FIND("/",MID(Sync!$AG671,FIND("/",Sync!$AG671)+1,20))+1,20))),"")))</f>
        <v/>
      </c>
      <c r="J671">
        <f>IF($F671="","",IF(OR($G671="",$H671="",$I671="",$G671&lt;1300,$G671&gt;1500,$H671&lt;1,$H671&gt;12,$I671&lt;1,$I671&gt;31),"نامعتبر",RIGHT("0000"&amp;$G671,4)&amp;"/"&amp;RIGHT("00"&amp;$H671,2)&amp;"/"&amp;RIGHT("00"&amp;$I671,2)))</f>
        <v/>
      </c>
      <c r="K671">
        <f>IF(OR($F671="",$J671="",$J671="نامعتبر"),"",LEFT($J671,4)&amp;MID($J671,6,2)&amp;RIGHT($J671,2)&amp;$N671&amp;"|"&amp;"2"&amp;RIGHT("00000"&amp;666,5))</f>
        <v/>
      </c>
      <c r="L671">
        <f>IF($K671="","",COUNTIFS(LdgPartyA,$F671,LdgKeyA,"&lt;"&amp;$K671)+COUNTIFS(LdgPartyB,$F671,LdgKeyB,"&lt;"&amp;$K671)+1)</f>
        <v/>
      </c>
      <c r="M671">
        <f>IF($L671="","",$F671&amp;"|"&amp;RIGHT("000000"&amp;$L671,6))</f>
        <v/>
      </c>
      <c r="N671">
        <f>IF($F671="","",IF(Sync!$AH671="","0000",IF(AND(ISNUMBER(Sync!$AH671),Sync!$AH671&gt;=0,Sync!$AH671&lt;1),RIGHT("00"&amp;HOUR(Sync!$AH671),2)&amp;RIGHT("00"&amp;MINUTE(Sync!$AH671),2),IFERROR(RIGHT("00"&amp;VALUE(LEFT(Sync!$AH671,FIND(":",Sync!$AH671)-1)),2)&amp;RIGHT("00"&amp;VALUE(MID(Sync!$AH671,FIND(":",Sync!$AH671)+1,2)),2),"0000"))))</f>
        <v/>
      </c>
    </row>
    <row r="672">
      <c r="A672">
        <f>IF(OR(Calc!$E675="",Calc!$E675="نامعتبر",Calc!$G675="",Calc!$I675&lt;&gt;"خرید"),"",Calc!$G675)</f>
        <v/>
      </c>
      <c r="B672">
        <f>IF($A672="","",LEFT(Calc!$E675,4)&amp;MID(Calc!$E675,6,2)&amp;RIGHT(Calc!$E675,2)&amp;Calc!$R675&amp;"|"&amp;"1"&amp;RIGHT("00000"&amp;667,5))</f>
        <v/>
      </c>
      <c r="C672">
        <f>IF($B672="","",COUNTIFS(LdgPartyA,$A672,LdgKeyA,"&lt;"&amp;$B672)+COUNTIFS(LdgPartyB,$A672,LdgKeyB,"&lt;"&amp;$B672)+1)</f>
        <v/>
      </c>
      <c r="D672">
        <f>IF($C672="","",$A672&amp;"|"&amp;RIGHT("000000"&amp;$C672,6))</f>
        <v/>
      </c>
      <c r="F672">
        <f>IF(Sync!$AJ672="","",Sync!$AJ672)</f>
        <v/>
      </c>
      <c r="G672">
        <f>IF($F672="","",IF(Sync!$AG672="","",IF(ISNUMBER(Sync!$AG672),IF(AND(Sync!$AG672&gt;=10000101,Sync!$AG672&lt;=99991231),INT(Sync!$AG672/10000),""),IFERROR(VALUE(TRIM(LEFT(Sync!$AG672,FIND("/",Sync!$AG672)-1))),""))))</f>
        <v/>
      </c>
      <c r="H672">
        <f>IF(OR($F672="",$G672=""),"",IF(ISNUMBER(Sync!$AG672),INT(MOD(Sync!$AG672,10000)/100),IFERROR(VALUE(TRIM(LEFT(MID(Sync!$AG672,FIND("/",Sync!$AG672)+1,20),FIND("/",MID(Sync!$AG672,FIND("/",Sync!$AG672)+1,20))-1))),"")))</f>
        <v/>
      </c>
      <c r="I672">
        <f>IF(OR($F672="",$G672=""),"",IF(ISNUMBER(Sync!$AG672),MOD(Sync!$AG672,100),IFERROR(VALUE(TRIM(MID(MID(Sync!$AG672,FIND("/",Sync!$AG672)+1,20),FIND("/",MID(Sync!$AG672,FIND("/",Sync!$AG672)+1,20))+1,20))),"")))</f>
        <v/>
      </c>
      <c r="J672">
        <f>IF($F672="","",IF(OR($G672="",$H672="",$I672="",$G672&lt;1300,$G672&gt;1500,$H672&lt;1,$H672&gt;12,$I672&lt;1,$I672&gt;31),"نامعتبر",RIGHT("0000"&amp;$G672,4)&amp;"/"&amp;RIGHT("00"&amp;$H672,2)&amp;"/"&amp;RIGHT("00"&amp;$I672,2)))</f>
        <v/>
      </c>
      <c r="K672">
        <f>IF(OR($F672="",$J672="",$J672="نامعتبر"),"",LEFT($J672,4)&amp;MID($J672,6,2)&amp;RIGHT($J672,2)&amp;$N672&amp;"|"&amp;"2"&amp;RIGHT("00000"&amp;667,5))</f>
        <v/>
      </c>
      <c r="L672">
        <f>IF($K672="","",COUNTIFS(LdgPartyA,$F672,LdgKeyA,"&lt;"&amp;$K672)+COUNTIFS(LdgPartyB,$F672,LdgKeyB,"&lt;"&amp;$K672)+1)</f>
        <v/>
      </c>
      <c r="M672">
        <f>IF($L672="","",$F672&amp;"|"&amp;RIGHT("000000"&amp;$L672,6))</f>
        <v/>
      </c>
      <c r="N672">
        <f>IF($F672="","",IF(Sync!$AH672="","0000",IF(AND(ISNUMBER(Sync!$AH672),Sync!$AH672&gt;=0,Sync!$AH672&lt;1),RIGHT("00"&amp;HOUR(Sync!$AH672),2)&amp;RIGHT("00"&amp;MINUTE(Sync!$AH672),2),IFERROR(RIGHT("00"&amp;VALUE(LEFT(Sync!$AH672,FIND(":",Sync!$AH672)-1)),2)&amp;RIGHT("00"&amp;VALUE(MID(Sync!$AH672,FIND(":",Sync!$AH672)+1,2)),2),"0000"))))</f>
        <v/>
      </c>
    </row>
    <row r="673">
      <c r="A673">
        <f>IF(OR(Calc!$E676="",Calc!$E676="نامعتبر",Calc!$G676="",Calc!$I676&lt;&gt;"خرید"),"",Calc!$G676)</f>
        <v/>
      </c>
      <c r="B673">
        <f>IF($A673="","",LEFT(Calc!$E676,4)&amp;MID(Calc!$E676,6,2)&amp;RIGHT(Calc!$E676,2)&amp;Calc!$R676&amp;"|"&amp;"1"&amp;RIGHT("00000"&amp;668,5))</f>
        <v/>
      </c>
      <c r="C673">
        <f>IF($B673="","",COUNTIFS(LdgPartyA,$A673,LdgKeyA,"&lt;"&amp;$B673)+COUNTIFS(LdgPartyB,$A673,LdgKeyB,"&lt;"&amp;$B673)+1)</f>
        <v/>
      </c>
      <c r="D673">
        <f>IF($C673="","",$A673&amp;"|"&amp;RIGHT("000000"&amp;$C673,6))</f>
        <v/>
      </c>
      <c r="F673">
        <f>IF(Sync!$AJ673="","",Sync!$AJ673)</f>
        <v/>
      </c>
      <c r="G673">
        <f>IF($F673="","",IF(Sync!$AG673="","",IF(ISNUMBER(Sync!$AG673),IF(AND(Sync!$AG673&gt;=10000101,Sync!$AG673&lt;=99991231),INT(Sync!$AG673/10000),""),IFERROR(VALUE(TRIM(LEFT(Sync!$AG673,FIND("/",Sync!$AG673)-1))),""))))</f>
        <v/>
      </c>
      <c r="H673">
        <f>IF(OR($F673="",$G673=""),"",IF(ISNUMBER(Sync!$AG673),INT(MOD(Sync!$AG673,10000)/100),IFERROR(VALUE(TRIM(LEFT(MID(Sync!$AG673,FIND("/",Sync!$AG673)+1,20),FIND("/",MID(Sync!$AG673,FIND("/",Sync!$AG673)+1,20))-1))),"")))</f>
        <v/>
      </c>
      <c r="I673">
        <f>IF(OR($F673="",$G673=""),"",IF(ISNUMBER(Sync!$AG673),MOD(Sync!$AG673,100),IFERROR(VALUE(TRIM(MID(MID(Sync!$AG673,FIND("/",Sync!$AG673)+1,20),FIND("/",MID(Sync!$AG673,FIND("/",Sync!$AG673)+1,20))+1,20))),"")))</f>
        <v/>
      </c>
      <c r="J673">
        <f>IF($F673="","",IF(OR($G673="",$H673="",$I673="",$G673&lt;1300,$G673&gt;1500,$H673&lt;1,$H673&gt;12,$I673&lt;1,$I673&gt;31),"نامعتبر",RIGHT("0000"&amp;$G673,4)&amp;"/"&amp;RIGHT("00"&amp;$H673,2)&amp;"/"&amp;RIGHT("00"&amp;$I673,2)))</f>
        <v/>
      </c>
      <c r="K673">
        <f>IF(OR($F673="",$J673="",$J673="نامعتبر"),"",LEFT($J673,4)&amp;MID($J673,6,2)&amp;RIGHT($J673,2)&amp;$N673&amp;"|"&amp;"2"&amp;RIGHT("00000"&amp;668,5))</f>
        <v/>
      </c>
      <c r="L673">
        <f>IF($K673="","",COUNTIFS(LdgPartyA,$F673,LdgKeyA,"&lt;"&amp;$K673)+COUNTIFS(LdgPartyB,$F673,LdgKeyB,"&lt;"&amp;$K673)+1)</f>
        <v/>
      </c>
      <c r="M673">
        <f>IF($L673="","",$F673&amp;"|"&amp;RIGHT("000000"&amp;$L673,6))</f>
        <v/>
      </c>
      <c r="N673">
        <f>IF($F673="","",IF(Sync!$AH673="","0000",IF(AND(ISNUMBER(Sync!$AH673),Sync!$AH673&gt;=0,Sync!$AH673&lt;1),RIGHT("00"&amp;HOUR(Sync!$AH673),2)&amp;RIGHT("00"&amp;MINUTE(Sync!$AH673),2),IFERROR(RIGHT("00"&amp;VALUE(LEFT(Sync!$AH673,FIND(":",Sync!$AH673)-1)),2)&amp;RIGHT("00"&amp;VALUE(MID(Sync!$AH673,FIND(":",Sync!$AH673)+1,2)),2),"0000"))))</f>
        <v/>
      </c>
    </row>
    <row r="674">
      <c r="A674">
        <f>IF(OR(Calc!$E677="",Calc!$E677="نامعتبر",Calc!$G677="",Calc!$I677&lt;&gt;"خرید"),"",Calc!$G677)</f>
        <v/>
      </c>
      <c r="B674">
        <f>IF($A674="","",LEFT(Calc!$E677,4)&amp;MID(Calc!$E677,6,2)&amp;RIGHT(Calc!$E677,2)&amp;Calc!$R677&amp;"|"&amp;"1"&amp;RIGHT("00000"&amp;669,5))</f>
        <v/>
      </c>
      <c r="C674">
        <f>IF($B674="","",COUNTIFS(LdgPartyA,$A674,LdgKeyA,"&lt;"&amp;$B674)+COUNTIFS(LdgPartyB,$A674,LdgKeyB,"&lt;"&amp;$B674)+1)</f>
        <v/>
      </c>
      <c r="D674">
        <f>IF($C674="","",$A674&amp;"|"&amp;RIGHT("000000"&amp;$C674,6))</f>
        <v/>
      </c>
      <c r="F674">
        <f>IF(Sync!$AJ674="","",Sync!$AJ674)</f>
        <v/>
      </c>
      <c r="G674">
        <f>IF($F674="","",IF(Sync!$AG674="","",IF(ISNUMBER(Sync!$AG674),IF(AND(Sync!$AG674&gt;=10000101,Sync!$AG674&lt;=99991231),INT(Sync!$AG674/10000),""),IFERROR(VALUE(TRIM(LEFT(Sync!$AG674,FIND("/",Sync!$AG674)-1))),""))))</f>
        <v/>
      </c>
      <c r="H674">
        <f>IF(OR($F674="",$G674=""),"",IF(ISNUMBER(Sync!$AG674),INT(MOD(Sync!$AG674,10000)/100),IFERROR(VALUE(TRIM(LEFT(MID(Sync!$AG674,FIND("/",Sync!$AG674)+1,20),FIND("/",MID(Sync!$AG674,FIND("/",Sync!$AG674)+1,20))-1))),"")))</f>
        <v/>
      </c>
      <c r="I674">
        <f>IF(OR($F674="",$G674=""),"",IF(ISNUMBER(Sync!$AG674),MOD(Sync!$AG674,100),IFERROR(VALUE(TRIM(MID(MID(Sync!$AG674,FIND("/",Sync!$AG674)+1,20),FIND("/",MID(Sync!$AG674,FIND("/",Sync!$AG674)+1,20))+1,20))),"")))</f>
        <v/>
      </c>
      <c r="J674">
        <f>IF($F674="","",IF(OR($G674="",$H674="",$I674="",$G674&lt;1300,$G674&gt;1500,$H674&lt;1,$H674&gt;12,$I674&lt;1,$I674&gt;31),"نامعتبر",RIGHT("0000"&amp;$G674,4)&amp;"/"&amp;RIGHT("00"&amp;$H674,2)&amp;"/"&amp;RIGHT("00"&amp;$I674,2)))</f>
        <v/>
      </c>
      <c r="K674">
        <f>IF(OR($F674="",$J674="",$J674="نامعتبر"),"",LEFT($J674,4)&amp;MID($J674,6,2)&amp;RIGHT($J674,2)&amp;$N674&amp;"|"&amp;"2"&amp;RIGHT("00000"&amp;669,5))</f>
        <v/>
      </c>
      <c r="L674">
        <f>IF($K674="","",COUNTIFS(LdgPartyA,$F674,LdgKeyA,"&lt;"&amp;$K674)+COUNTIFS(LdgPartyB,$F674,LdgKeyB,"&lt;"&amp;$K674)+1)</f>
        <v/>
      </c>
      <c r="M674">
        <f>IF($L674="","",$F674&amp;"|"&amp;RIGHT("000000"&amp;$L674,6))</f>
        <v/>
      </c>
      <c r="N674">
        <f>IF($F674="","",IF(Sync!$AH674="","0000",IF(AND(ISNUMBER(Sync!$AH674),Sync!$AH674&gt;=0,Sync!$AH674&lt;1),RIGHT("00"&amp;HOUR(Sync!$AH674),2)&amp;RIGHT("00"&amp;MINUTE(Sync!$AH674),2),IFERROR(RIGHT("00"&amp;VALUE(LEFT(Sync!$AH674,FIND(":",Sync!$AH674)-1)),2)&amp;RIGHT("00"&amp;VALUE(MID(Sync!$AH674,FIND(":",Sync!$AH674)+1,2)),2),"0000"))))</f>
        <v/>
      </c>
    </row>
    <row r="675">
      <c r="A675">
        <f>IF(OR(Calc!$E678="",Calc!$E678="نامعتبر",Calc!$G678="",Calc!$I678&lt;&gt;"خرید"),"",Calc!$G678)</f>
        <v/>
      </c>
      <c r="B675">
        <f>IF($A675="","",LEFT(Calc!$E678,4)&amp;MID(Calc!$E678,6,2)&amp;RIGHT(Calc!$E678,2)&amp;Calc!$R678&amp;"|"&amp;"1"&amp;RIGHT("00000"&amp;670,5))</f>
        <v/>
      </c>
      <c r="C675">
        <f>IF($B675="","",COUNTIFS(LdgPartyA,$A675,LdgKeyA,"&lt;"&amp;$B675)+COUNTIFS(LdgPartyB,$A675,LdgKeyB,"&lt;"&amp;$B675)+1)</f>
        <v/>
      </c>
      <c r="D675">
        <f>IF($C675="","",$A675&amp;"|"&amp;RIGHT("000000"&amp;$C675,6))</f>
        <v/>
      </c>
      <c r="F675">
        <f>IF(Sync!$AJ675="","",Sync!$AJ675)</f>
        <v/>
      </c>
      <c r="G675">
        <f>IF($F675="","",IF(Sync!$AG675="","",IF(ISNUMBER(Sync!$AG675),IF(AND(Sync!$AG675&gt;=10000101,Sync!$AG675&lt;=99991231),INT(Sync!$AG675/10000),""),IFERROR(VALUE(TRIM(LEFT(Sync!$AG675,FIND("/",Sync!$AG675)-1))),""))))</f>
        <v/>
      </c>
      <c r="H675">
        <f>IF(OR($F675="",$G675=""),"",IF(ISNUMBER(Sync!$AG675),INT(MOD(Sync!$AG675,10000)/100),IFERROR(VALUE(TRIM(LEFT(MID(Sync!$AG675,FIND("/",Sync!$AG675)+1,20),FIND("/",MID(Sync!$AG675,FIND("/",Sync!$AG675)+1,20))-1))),"")))</f>
        <v/>
      </c>
      <c r="I675">
        <f>IF(OR($F675="",$G675=""),"",IF(ISNUMBER(Sync!$AG675),MOD(Sync!$AG675,100),IFERROR(VALUE(TRIM(MID(MID(Sync!$AG675,FIND("/",Sync!$AG675)+1,20),FIND("/",MID(Sync!$AG675,FIND("/",Sync!$AG675)+1,20))+1,20))),"")))</f>
        <v/>
      </c>
      <c r="J675">
        <f>IF($F675="","",IF(OR($G675="",$H675="",$I675="",$G675&lt;1300,$G675&gt;1500,$H675&lt;1,$H675&gt;12,$I675&lt;1,$I675&gt;31),"نامعتبر",RIGHT("0000"&amp;$G675,4)&amp;"/"&amp;RIGHT("00"&amp;$H675,2)&amp;"/"&amp;RIGHT("00"&amp;$I675,2)))</f>
        <v/>
      </c>
      <c r="K675">
        <f>IF(OR($F675="",$J675="",$J675="نامعتبر"),"",LEFT($J675,4)&amp;MID($J675,6,2)&amp;RIGHT($J675,2)&amp;$N675&amp;"|"&amp;"2"&amp;RIGHT("00000"&amp;670,5))</f>
        <v/>
      </c>
      <c r="L675">
        <f>IF($K675="","",COUNTIFS(LdgPartyA,$F675,LdgKeyA,"&lt;"&amp;$K675)+COUNTIFS(LdgPartyB,$F675,LdgKeyB,"&lt;"&amp;$K675)+1)</f>
        <v/>
      </c>
      <c r="M675">
        <f>IF($L675="","",$F675&amp;"|"&amp;RIGHT("000000"&amp;$L675,6))</f>
        <v/>
      </c>
      <c r="N675">
        <f>IF($F675="","",IF(Sync!$AH675="","0000",IF(AND(ISNUMBER(Sync!$AH675),Sync!$AH675&gt;=0,Sync!$AH675&lt;1),RIGHT("00"&amp;HOUR(Sync!$AH675),2)&amp;RIGHT("00"&amp;MINUTE(Sync!$AH675),2),IFERROR(RIGHT("00"&amp;VALUE(LEFT(Sync!$AH675,FIND(":",Sync!$AH675)-1)),2)&amp;RIGHT("00"&amp;VALUE(MID(Sync!$AH675,FIND(":",Sync!$AH675)+1,2)),2),"0000"))))</f>
        <v/>
      </c>
    </row>
    <row r="676">
      <c r="A676">
        <f>IF(OR(Calc!$E679="",Calc!$E679="نامعتبر",Calc!$G679="",Calc!$I679&lt;&gt;"خرید"),"",Calc!$G679)</f>
        <v/>
      </c>
      <c r="B676">
        <f>IF($A676="","",LEFT(Calc!$E679,4)&amp;MID(Calc!$E679,6,2)&amp;RIGHT(Calc!$E679,2)&amp;Calc!$R679&amp;"|"&amp;"1"&amp;RIGHT("00000"&amp;671,5))</f>
        <v/>
      </c>
      <c r="C676">
        <f>IF($B676="","",COUNTIFS(LdgPartyA,$A676,LdgKeyA,"&lt;"&amp;$B676)+COUNTIFS(LdgPartyB,$A676,LdgKeyB,"&lt;"&amp;$B676)+1)</f>
        <v/>
      </c>
      <c r="D676">
        <f>IF($C676="","",$A676&amp;"|"&amp;RIGHT("000000"&amp;$C676,6))</f>
        <v/>
      </c>
      <c r="F676">
        <f>IF(Sync!$AJ676="","",Sync!$AJ676)</f>
        <v/>
      </c>
      <c r="G676">
        <f>IF($F676="","",IF(Sync!$AG676="","",IF(ISNUMBER(Sync!$AG676),IF(AND(Sync!$AG676&gt;=10000101,Sync!$AG676&lt;=99991231),INT(Sync!$AG676/10000),""),IFERROR(VALUE(TRIM(LEFT(Sync!$AG676,FIND("/",Sync!$AG676)-1))),""))))</f>
        <v/>
      </c>
      <c r="H676">
        <f>IF(OR($F676="",$G676=""),"",IF(ISNUMBER(Sync!$AG676),INT(MOD(Sync!$AG676,10000)/100),IFERROR(VALUE(TRIM(LEFT(MID(Sync!$AG676,FIND("/",Sync!$AG676)+1,20),FIND("/",MID(Sync!$AG676,FIND("/",Sync!$AG676)+1,20))-1))),"")))</f>
        <v/>
      </c>
      <c r="I676">
        <f>IF(OR($F676="",$G676=""),"",IF(ISNUMBER(Sync!$AG676),MOD(Sync!$AG676,100),IFERROR(VALUE(TRIM(MID(MID(Sync!$AG676,FIND("/",Sync!$AG676)+1,20),FIND("/",MID(Sync!$AG676,FIND("/",Sync!$AG676)+1,20))+1,20))),"")))</f>
        <v/>
      </c>
      <c r="J676">
        <f>IF($F676="","",IF(OR($G676="",$H676="",$I676="",$G676&lt;1300,$G676&gt;1500,$H676&lt;1,$H676&gt;12,$I676&lt;1,$I676&gt;31),"نامعتبر",RIGHT("0000"&amp;$G676,4)&amp;"/"&amp;RIGHT("00"&amp;$H676,2)&amp;"/"&amp;RIGHT("00"&amp;$I676,2)))</f>
        <v/>
      </c>
      <c r="K676">
        <f>IF(OR($F676="",$J676="",$J676="نامعتبر"),"",LEFT($J676,4)&amp;MID($J676,6,2)&amp;RIGHT($J676,2)&amp;$N676&amp;"|"&amp;"2"&amp;RIGHT("00000"&amp;671,5))</f>
        <v/>
      </c>
      <c r="L676">
        <f>IF($K676="","",COUNTIFS(LdgPartyA,$F676,LdgKeyA,"&lt;"&amp;$K676)+COUNTIFS(LdgPartyB,$F676,LdgKeyB,"&lt;"&amp;$K676)+1)</f>
        <v/>
      </c>
      <c r="M676">
        <f>IF($L676="","",$F676&amp;"|"&amp;RIGHT("000000"&amp;$L676,6))</f>
        <v/>
      </c>
      <c r="N676">
        <f>IF($F676="","",IF(Sync!$AH676="","0000",IF(AND(ISNUMBER(Sync!$AH676),Sync!$AH676&gt;=0,Sync!$AH676&lt;1),RIGHT("00"&amp;HOUR(Sync!$AH676),2)&amp;RIGHT("00"&amp;MINUTE(Sync!$AH676),2),IFERROR(RIGHT("00"&amp;VALUE(LEFT(Sync!$AH676,FIND(":",Sync!$AH676)-1)),2)&amp;RIGHT("00"&amp;VALUE(MID(Sync!$AH676,FIND(":",Sync!$AH676)+1,2)),2),"0000"))))</f>
        <v/>
      </c>
    </row>
    <row r="677">
      <c r="A677">
        <f>IF(OR(Calc!$E680="",Calc!$E680="نامعتبر",Calc!$G680="",Calc!$I680&lt;&gt;"خرید"),"",Calc!$G680)</f>
        <v/>
      </c>
      <c r="B677">
        <f>IF($A677="","",LEFT(Calc!$E680,4)&amp;MID(Calc!$E680,6,2)&amp;RIGHT(Calc!$E680,2)&amp;Calc!$R680&amp;"|"&amp;"1"&amp;RIGHT("00000"&amp;672,5))</f>
        <v/>
      </c>
      <c r="C677">
        <f>IF($B677="","",COUNTIFS(LdgPartyA,$A677,LdgKeyA,"&lt;"&amp;$B677)+COUNTIFS(LdgPartyB,$A677,LdgKeyB,"&lt;"&amp;$B677)+1)</f>
        <v/>
      </c>
      <c r="D677">
        <f>IF($C677="","",$A677&amp;"|"&amp;RIGHT("000000"&amp;$C677,6))</f>
        <v/>
      </c>
      <c r="F677">
        <f>IF(Sync!$AJ677="","",Sync!$AJ677)</f>
        <v/>
      </c>
      <c r="G677">
        <f>IF($F677="","",IF(Sync!$AG677="","",IF(ISNUMBER(Sync!$AG677),IF(AND(Sync!$AG677&gt;=10000101,Sync!$AG677&lt;=99991231),INT(Sync!$AG677/10000),""),IFERROR(VALUE(TRIM(LEFT(Sync!$AG677,FIND("/",Sync!$AG677)-1))),""))))</f>
        <v/>
      </c>
      <c r="H677">
        <f>IF(OR($F677="",$G677=""),"",IF(ISNUMBER(Sync!$AG677),INT(MOD(Sync!$AG677,10000)/100),IFERROR(VALUE(TRIM(LEFT(MID(Sync!$AG677,FIND("/",Sync!$AG677)+1,20),FIND("/",MID(Sync!$AG677,FIND("/",Sync!$AG677)+1,20))-1))),"")))</f>
        <v/>
      </c>
      <c r="I677">
        <f>IF(OR($F677="",$G677=""),"",IF(ISNUMBER(Sync!$AG677),MOD(Sync!$AG677,100),IFERROR(VALUE(TRIM(MID(MID(Sync!$AG677,FIND("/",Sync!$AG677)+1,20),FIND("/",MID(Sync!$AG677,FIND("/",Sync!$AG677)+1,20))+1,20))),"")))</f>
        <v/>
      </c>
      <c r="J677">
        <f>IF($F677="","",IF(OR($G677="",$H677="",$I677="",$G677&lt;1300,$G677&gt;1500,$H677&lt;1,$H677&gt;12,$I677&lt;1,$I677&gt;31),"نامعتبر",RIGHT("0000"&amp;$G677,4)&amp;"/"&amp;RIGHT("00"&amp;$H677,2)&amp;"/"&amp;RIGHT("00"&amp;$I677,2)))</f>
        <v/>
      </c>
      <c r="K677">
        <f>IF(OR($F677="",$J677="",$J677="نامعتبر"),"",LEFT($J677,4)&amp;MID($J677,6,2)&amp;RIGHT($J677,2)&amp;$N677&amp;"|"&amp;"2"&amp;RIGHT("00000"&amp;672,5))</f>
        <v/>
      </c>
      <c r="L677">
        <f>IF($K677="","",COUNTIFS(LdgPartyA,$F677,LdgKeyA,"&lt;"&amp;$K677)+COUNTIFS(LdgPartyB,$F677,LdgKeyB,"&lt;"&amp;$K677)+1)</f>
        <v/>
      </c>
      <c r="M677">
        <f>IF($L677="","",$F677&amp;"|"&amp;RIGHT("000000"&amp;$L677,6))</f>
        <v/>
      </c>
      <c r="N677">
        <f>IF($F677="","",IF(Sync!$AH677="","0000",IF(AND(ISNUMBER(Sync!$AH677),Sync!$AH677&gt;=0,Sync!$AH677&lt;1),RIGHT("00"&amp;HOUR(Sync!$AH677),2)&amp;RIGHT("00"&amp;MINUTE(Sync!$AH677),2),IFERROR(RIGHT("00"&amp;VALUE(LEFT(Sync!$AH677,FIND(":",Sync!$AH677)-1)),2)&amp;RIGHT("00"&amp;VALUE(MID(Sync!$AH677,FIND(":",Sync!$AH677)+1,2)),2),"0000"))))</f>
        <v/>
      </c>
    </row>
    <row r="678">
      <c r="A678">
        <f>IF(OR(Calc!$E681="",Calc!$E681="نامعتبر",Calc!$G681="",Calc!$I681&lt;&gt;"خرید"),"",Calc!$G681)</f>
        <v/>
      </c>
      <c r="B678">
        <f>IF($A678="","",LEFT(Calc!$E681,4)&amp;MID(Calc!$E681,6,2)&amp;RIGHT(Calc!$E681,2)&amp;Calc!$R681&amp;"|"&amp;"1"&amp;RIGHT("00000"&amp;673,5))</f>
        <v/>
      </c>
      <c r="C678">
        <f>IF($B678="","",COUNTIFS(LdgPartyA,$A678,LdgKeyA,"&lt;"&amp;$B678)+COUNTIFS(LdgPartyB,$A678,LdgKeyB,"&lt;"&amp;$B678)+1)</f>
        <v/>
      </c>
      <c r="D678">
        <f>IF($C678="","",$A678&amp;"|"&amp;RIGHT("000000"&amp;$C678,6))</f>
        <v/>
      </c>
      <c r="F678">
        <f>IF(Sync!$AJ678="","",Sync!$AJ678)</f>
        <v/>
      </c>
      <c r="G678">
        <f>IF($F678="","",IF(Sync!$AG678="","",IF(ISNUMBER(Sync!$AG678),IF(AND(Sync!$AG678&gt;=10000101,Sync!$AG678&lt;=99991231),INT(Sync!$AG678/10000),""),IFERROR(VALUE(TRIM(LEFT(Sync!$AG678,FIND("/",Sync!$AG678)-1))),""))))</f>
        <v/>
      </c>
      <c r="H678">
        <f>IF(OR($F678="",$G678=""),"",IF(ISNUMBER(Sync!$AG678),INT(MOD(Sync!$AG678,10000)/100),IFERROR(VALUE(TRIM(LEFT(MID(Sync!$AG678,FIND("/",Sync!$AG678)+1,20),FIND("/",MID(Sync!$AG678,FIND("/",Sync!$AG678)+1,20))-1))),"")))</f>
        <v/>
      </c>
      <c r="I678">
        <f>IF(OR($F678="",$G678=""),"",IF(ISNUMBER(Sync!$AG678),MOD(Sync!$AG678,100),IFERROR(VALUE(TRIM(MID(MID(Sync!$AG678,FIND("/",Sync!$AG678)+1,20),FIND("/",MID(Sync!$AG678,FIND("/",Sync!$AG678)+1,20))+1,20))),"")))</f>
        <v/>
      </c>
      <c r="J678">
        <f>IF($F678="","",IF(OR($G678="",$H678="",$I678="",$G678&lt;1300,$G678&gt;1500,$H678&lt;1,$H678&gt;12,$I678&lt;1,$I678&gt;31),"نامعتبر",RIGHT("0000"&amp;$G678,4)&amp;"/"&amp;RIGHT("00"&amp;$H678,2)&amp;"/"&amp;RIGHT("00"&amp;$I678,2)))</f>
        <v/>
      </c>
      <c r="K678">
        <f>IF(OR($F678="",$J678="",$J678="نامعتبر"),"",LEFT($J678,4)&amp;MID($J678,6,2)&amp;RIGHT($J678,2)&amp;$N678&amp;"|"&amp;"2"&amp;RIGHT("00000"&amp;673,5))</f>
        <v/>
      </c>
      <c r="L678">
        <f>IF($K678="","",COUNTIFS(LdgPartyA,$F678,LdgKeyA,"&lt;"&amp;$K678)+COUNTIFS(LdgPartyB,$F678,LdgKeyB,"&lt;"&amp;$K678)+1)</f>
        <v/>
      </c>
      <c r="M678">
        <f>IF($L678="","",$F678&amp;"|"&amp;RIGHT("000000"&amp;$L678,6))</f>
        <v/>
      </c>
      <c r="N678">
        <f>IF($F678="","",IF(Sync!$AH678="","0000",IF(AND(ISNUMBER(Sync!$AH678),Sync!$AH678&gt;=0,Sync!$AH678&lt;1),RIGHT("00"&amp;HOUR(Sync!$AH678),2)&amp;RIGHT("00"&amp;MINUTE(Sync!$AH678),2),IFERROR(RIGHT("00"&amp;VALUE(LEFT(Sync!$AH678,FIND(":",Sync!$AH678)-1)),2)&amp;RIGHT("00"&amp;VALUE(MID(Sync!$AH678,FIND(":",Sync!$AH678)+1,2)),2),"0000"))))</f>
        <v/>
      </c>
    </row>
    <row r="679">
      <c r="A679">
        <f>IF(OR(Calc!$E682="",Calc!$E682="نامعتبر",Calc!$G682="",Calc!$I682&lt;&gt;"خرید"),"",Calc!$G682)</f>
        <v/>
      </c>
      <c r="B679">
        <f>IF($A679="","",LEFT(Calc!$E682,4)&amp;MID(Calc!$E682,6,2)&amp;RIGHT(Calc!$E682,2)&amp;Calc!$R682&amp;"|"&amp;"1"&amp;RIGHT("00000"&amp;674,5))</f>
        <v/>
      </c>
      <c r="C679">
        <f>IF($B679="","",COUNTIFS(LdgPartyA,$A679,LdgKeyA,"&lt;"&amp;$B679)+COUNTIFS(LdgPartyB,$A679,LdgKeyB,"&lt;"&amp;$B679)+1)</f>
        <v/>
      </c>
      <c r="D679">
        <f>IF($C679="","",$A679&amp;"|"&amp;RIGHT("000000"&amp;$C679,6))</f>
        <v/>
      </c>
      <c r="F679">
        <f>IF(Sync!$AJ679="","",Sync!$AJ679)</f>
        <v/>
      </c>
      <c r="G679">
        <f>IF($F679="","",IF(Sync!$AG679="","",IF(ISNUMBER(Sync!$AG679),IF(AND(Sync!$AG679&gt;=10000101,Sync!$AG679&lt;=99991231),INT(Sync!$AG679/10000),""),IFERROR(VALUE(TRIM(LEFT(Sync!$AG679,FIND("/",Sync!$AG679)-1))),""))))</f>
        <v/>
      </c>
      <c r="H679">
        <f>IF(OR($F679="",$G679=""),"",IF(ISNUMBER(Sync!$AG679),INT(MOD(Sync!$AG679,10000)/100),IFERROR(VALUE(TRIM(LEFT(MID(Sync!$AG679,FIND("/",Sync!$AG679)+1,20),FIND("/",MID(Sync!$AG679,FIND("/",Sync!$AG679)+1,20))-1))),"")))</f>
        <v/>
      </c>
      <c r="I679">
        <f>IF(OR($F679="",$G679=""),"",IF(ISNUMBER(Sync!$AG679),MOD(Sync!$AG679,100),IFERROR(VALUE(TRIM(MID(MID(Sync!$AG679,FIND("/",Sync!$AG679)+1,20),FIND("/",MID(Sync!$AG679,FIND("/",Sync!$AG679)+1,20))+1,20))),"")))</f>
        <v/>
      </c>
      <c r="J679">
        <f>IF($F679="","",IF(OR($G679="",$H679="",$I679="",$G679&lt;1300,$G679&gt;1500,$H679&lt;1,$H679&gt;12,$I679&lt;1,$I679&gt;31),"نامعتبر",RIGHT("0000"&amp;$G679,4)&amp;"/"&amp;RIGHT("00"&amp;$H679,2)&amp;"/"&amp;RIGHT("00"&amp;$I679,2)))</f>
        <v/>
      </c>
      <c r="K679">
        <f>IF(OR($F679="",$J679="",$J679="نامعتبر"),"",LEFT($J679,4)&amp;MID($J679,6,2)&amp;RIGHT($J679,2)&amp;$N679&amp;"|"&amp;"2"&amp;RIGHT("00000"&amp;674,5))</f>
        <v/>
      </c>
      <c r="L679">
        <f>IF($K679="","",COUNTIFS(LdgPartyA,$F679,LdgKeyA,"&lt;"&amp;$K679)+COUNTIFS(LdgPartyB,$F679,LdgKeyB,"&lt;"&amp;$K679)+1)</f>
        <v/>
      </c>
      <c r="M679">
        <f>IF($L679="","",$F679&amp;"|"&amp;RIGHT("000000"&amp;$L679,6))</f>
        <v/>
      </c>
      <c r="N679">
        <f>IF($F679="","",IF(Sync!$AH679="","0000",IF(AND(ISNUMBER(Sync!$AH679),Sync!$AH679&gt;=0,Sync!$AH679&lt;1),RIGHT("00"&amp;HOUR(Sync!$AH679),2)&amp;RIGHT("00"&amp;MINUTE(Sync!$AH679),2),IFERROR(RIGHT("00"&amp;VALUE(LEFT(Sync!$AH679,FIND(":",Sync!$AH679)-1)),2)&amp;RIGHT("00"&amp;VALUE(MID(Sync!$AH679,FIND(":",Sync!$AH679)+1,2)),2),"0000"))))</f>
        <v/>
      </c>
    </row>
    <row r="680">
      <c r="A680">
        <f>IF(OR(Calc!$E683="",Calc!$E683="نامعتبر",Calc!$G683="",Calc!$I683&lt;&gt;"خرید"),"",Calc!$G683)</f>
        <v/>
      </c>
      <c r="B680">
        <f>IF($A680="","",LEFT(Calc!$E683,4)&amp;MID(Calc!$E683,6,2)&amp;RIGHT(Calc!$E683,2)&amp;Calc!$R683&amp;"|"&amp;"1"&amp;RIGHT("00000"&amp;675,5))</f>
        <v/>
      </c>
      <c r="C680">
        <f>IF($B680="","",COUNTIFS(LdgPartyA,$A680,LdgKeyA,"&lt;"&amp;$B680)+COUNTIFS(LdgPartyB,$A680,LdgKeyB,"&lt;"&amp;$B680)+1)</f>
        <v/>
      </c>
      <c r="D680">
        <f>IF($C680="","",$A680&amp;"|"&amp;RIGHT("000000"&amp;$C680,6))</f>
        <v/>
      </c>
      <c r="F680">
        <f>IF(Sync!$AJ680="","",Sync!$AJ680)</f>
        <v/>
      </c>
      <c r="G680">
        <f>IF($F680="","",IF(Sync!$AG680="","",IF(ISNUMBER(Sync!$AG680),IF(AND(Sync!$AG680&gt;=10000101,Sync!$AG680&lt;=99991231),INT(Sync!$AG680/10000),""),IFERROR(VALUE(TRIM(LEFT(Sync!$AG680,FIND("/",Sync!$AG680)-1))),""))))</f>
        <v/>
      </c>
      <c r="H680">
        <f>IF(OR($F680="",$G680=""),"",IF(ISNUMBER(Sync!$AG680),INT(MOD(Sync!$AG680,10000)/100),IFERROR(VALUE(TRIM(LEFT(MID(Sync!$AG680,FIND("/",Sync!$AG680)+1,20),FIND("/",MID(Sync!$AG680,FIND("/",Sync!$AG680)+1,20))-1))),"")))</f>
        <v/>
      </c>
      <c r="I680">
        <f>IF(OR($F680="",$G680=""),"",IF(ISNUMBER(Sync!$AG680),MOD(Sync!$AG680,100),IFERROR(VALUE(TRIM(MID(MID(Sync!$AG680,FIND("/",Sync!$AG680)+1,20),FIND("/",MID(Sync!$AG680,FIND("/",Sync!$AG680)+1,20))+1,20))),"")))</f>
        <v/>
      </c>
      <c r="J680">
        <f>IF($F680="","",IF(OR($G680="",$H680="",$I680="",$G680&lt;1300,$G680&gt;1500,$H680&lt;1,$H680&gt;12,$I680&lt;1,$I680&gt;31),"نامعتبر",RIGHT("0000"&amp;$G680,4)&amp;"/"&amp;RIGHT("00"&amp;$H680,2)&amp;"/"&amp;RIGHT("00"&amp;$I680,2)))</f>
        <v/>
      </c>
      <c r="K680">
        <f>IF(OR($F680="",$J680="",$J680="نامعتبر"),"",LEFT($J680,4)&amp;MID($J680,6,2)&amp;RIGHT($J680,2)&amp;$N680&amp;"|"&amp;"2"&amp;RIGHT("00000"&amp;675,5))</f>
        <v/>
      </c>
      <c r="L680">
        <f>IF($K680="","",COUNTIFS(LdgPartyA,$F680,LdgKeyA,"&lt;"&amp;$K680)+COUNTIFS(LdgPartyB,$F680,LdgKeyB,"&lt;"&amp;$K680)+1)</f>
        <v/>
      </c>
      <c r="M680">
        <f>IF($L680="","",$F680&amp;"|"&amp;RIGHT("000000"&amp;$L680,6))</f>
        <v/>
      </c>
      <c r="N680">
        <f>IF($F680="","",IF(Sync!$AH680="","0000",IF(AND(ISNUMBER(Sync!$AH680),Sync!$AH680&gt;=0,Sync!$AH680&lt;1),RIGHT("00"&amp;HOUR(Sync!$AH680),2)&amp;RIGHT("00"&amp;MINUTE(Sync!$AH680),2),IFERROR(RIGHT("00"&amp;VALUE(LEFT(Sync!$AH680,FIND(":",Sync!$AH680)-1)),2)&amp;RIGHT("00"&amp;VALUE(MID(Sync!$AH680,FIND(":",Sync!$AH680)+1,2)),2),"0000"))))</f>
        <v/>
      </c>
    </row>
    <row r="681">
      <c r="A681">
        <f>IF(OR(Calc!$E684="",Calc!$E684="نامعتبر",Calc!$G684="",Calc!$I684&lt;&gt;"خرید"),"",Calc!$G684)</f>
        <v/>
      </c>
      <c r="B681">
        <f>IF($A681="","",LEFT(Calc!$E684,4)&amp;MID(Calc!$E684,6,2)&amp;RIGHT(Calc!$E684,2)&amp;Calc!$R684&amp;"|"&amp;"1"&amp;RIGHT("00000"&amp;676,5))</f>
        <v/>
      </c>
      <c r="C681">
        <f>IF($B681="","",COUNTIFS(LdgPartyA,$A681,LdgKeyA,"&lt;"&amp;$B681)+COUNTIFS(LdgPartyB,$A681,LdgKeyB,"&lt;"&amp;$B681)+1)</f>
        <v/>
      </c>
      <c r="D681">
        <f>IF($C681="","",$A681&amp;"|"&amp;RIGHT("000000"&amp;$C681,6))</f>
        <v/>
      </c>
      <c r="F681">
        <f>IF(Sync!$AJ681="","",Sync!$AJ681)</f>
        <v/>
      </c>
      <c r="G681">
        <f>IF($F681="","",IF(Sync!$AG681="","",IF(ISNUMBER(Sync!$AG681),IF(AND(Sync!$AG681&gt;=10000101,Sync!$AG681&lt;=99991231),INT(Sync!$AG681/10000),""),IFERROR(VALUE(TRIM(LEFT(Sync!$AG681,FIND("/",Sync!$AG681)-1))),""))))</f>
        <v/>
      </c>
      <c r="H681">
        <f>IF(OR($F681="",$G681=""),"",IF(ISNUMBER(Sync!$AG681),INT(MOD(Sync!$AG681,10000)/100),IFERROR(VALUE(TRIM(LEFT(MID(Sync!$AG681,FIND("/",Sync!$AG681)+1,20),FIND("/",MID(Sync!$AG681,FIND("/",Sync!$AG681)+1,20))-1))),"")))</f>
        <v/>
      </c>
      <c r="I681">
        <f>IF(OR($F681="",$G681=""),"",IF(ISNUMBER(Sync!$AG681),MOD(Sync!$AG681,100),IFERROR(VALUE(TRIM(MID(MID(Sync!$AG681,FIND("/",Sync!$AG681)+1,20),FIND("/",MID(Sync!$AG681,FIND("/",Sync!$AG681)+1,20))+1,20))),"")))</f>
        <v/>
      </c>
      <c r="J681">
        <f>IF($F681="","",IF(OR($G681="",$H681="",$I681="",$G681&lt;1300,$G681&gt;1500,$H681&lt;1,$H681&gt;12,$I681&lt;1,$I681&gt;31),"نامعتبر",RIGHT("0000"&amp;$G681,4)&amp;"/"&amp;RIGHT("00"&amp;$H681,2)&amp;"/"&amp;RIGHT("00"&amp;$I681,2)))</f>
        <v/>
      </c>
      <c r="K681">
        <f>IF(OR($F681="",$J681="",$J681="نامعتبر"),"",LEFT($J681,4)&amp;MID($J681,6,2)&amp;RIGHT($J681,2)&amp;$N681&amp;"|"&amp;"2"&amp;RIGHT("00000"&amp;676,5))</f>
        <v/>
      </c>
      <c r="L681">
        <f>IF($K681="","",COUNTIFS(LdgPartyA,$F681,LdgKeyA,"&lt;"&amp;$K681)+COUNTIFS(LdgPartyB,$F681,LdgKeyB,"&lt;"&amp;$K681)+1)</f>
        <v/>
      </c>
      <c r="M681">
        <f>IF($L681="","",$F681&amp;"|"&amp;RIGHT("000000"&amp;$L681,6))</f>
        <v/>
      </c>
      <c r="N681">
        <f>IF($F681="","",IF(Sync!$AH681="","0000",IF(AND(ISNUMBER(Sync!$AH681),Sync!$AH681&gt;=0,Sync!$AH681&lt;1),RIGHT("00"&amp;HOUR(Sync!$AH681),2)&amp;RIGHT("00"&amp;MINUTE(Sync!$AH681),2),IFERROR(RIGHT("00"&amp;VALUE(LEFT(Sync!$AH681,FIND(":",Sync!$AH681)-1)),2)&amp;RIGHT("00"&amp;VALUE(MID(Sync!$AH681,FIND(":",Sync!$AH681)+1,2)),2),"0000"))))</f>
        <v/>
      </c>
    </row>
    <row r="682">
      <c r="A682">
        <f>IF(OR(Calc!$E685="",Calc!$E685="نامعتبر",Calc!$G685="",Calc!$I685&lt;&gt;"خرید"),"",Calc!$G685)</f>
        <v/>
      </c>
      <c r="B682">
        <f>IF($A682="","",LEFT(Calc!$E685,4)&amp;MID(Calc!$E685,6,2)&amp;RIGHT(Calc!$E685,2)&amp;Calc!$R685&amp;"|"&amp;"1"&amp;RIGHT("00000"&amp;677,5))</f>
        <v/>
      </c>
      <c r="C682">
        <f>IF($B682="","",COUNTIFS(LdgPartyA,$A682,LdgKeyA,"&lt;"&amp;$B682)+COUNTIFS(LdgPartyB,$A682,LdgKeyB,"&lt;"&amp;$B682)+1)</f>
        <v/>
      </c>
      <c r="D682">
        <f>IF($C682="","",$A682&amp;"|"&amp;RIGHT("000000"&amp;$C682,6))</f>
        <v/>
      </c>
      <c r="F682">
        <f>IF(Sync!$AJ682="","",Sync!$AJ682)</f>
        <v/>
      </c>
      <c r="G682">
        <f>IF($F682="","",IF(Sync!$AG682="","",IF(ISNUMBER(Sync!$AG682),IF(AND(Sync!$AG682&gt;=10000101,Sync!$AG682&lt;=99991231),INT(Sync!$AG682/10000),""),IFERROR(VALUE(TRIM(LEFT(Sync!$AG682,FIND("/",Sync!$AG682)-1))),""))))</f>
        <v/>
      </c>
      <c r="H682">
        <f>IF(OR($F682="",$G682=""),"",IF(ISNUMBER(Sync!$AG682),INT(MOD(Sync!$AG682,10000)/100),IFERROR(VALUE(TRIM(LEFT(MID(Sync!$AG682,FIND("/",Sync!$AG682)+1,20),FIND("/",MID(Sync!$AG682,FIND("/",Sync!$AG682)+1,20))-1))),"")))</f>
        <v/>
      </c>
      <c r="I682">
        <f>IF(OR($F682="",$G682=""),"",IF(ISNUMBER(Sync!$AG682),MOD(Sync!$AG682,100),IFERROR(VALUE(TRIM(MID(MID(Sync!$AG682,FIND("/",Sync!$AG682)+1,20),FIND("/",MID(Sync!$AG682,FIND("/",Sync!$AG682)+1,20))+1,20))),"")))</f>
        <v/>
      </c>
      <c r="J682">
        <f>IF($F682="","",IF(OR($G682="",$H682="",$I682="",$G682&lt;1300,$G682&gt;1500,$H682&lt;1,$H682&gt;12,$I682&lt;1,$I682&gt;31),"نامعتبر",RIGHT("0000"&amp;$G682,4)&amp;"/"&amp;RIGHT("00"&amp;$H682,2)&amp;"/"&amp;RIGHT("00"&amp;$I682,2)))</f>
        <v/>
      </c>
      <c r="K682">
        <f>IF(OR($F682="",$J682="",$J682="نامعتبر"),"",LEFT($J682,4)&amp;MID($J682,6,2)&amp;RIGHT($J682,2)&amp;$N682&amp;"|"&amp;"2"&amp;RIGHT("00000"&amp;677,5))</f>
        <v/>
      </c>
      <c r="L682">
        <f>IF($K682="","",COUNTIFS(LdgPartyA,$F682,LdgKeyA,"&lt;"&amp;$K682)+COUNTIFS(LdgPartyB,$F682,LdgKeyB,"&lt;"&amp;$K682)+1)</f>
        <v/>
      </c>
      <c r="M682">
        <f>IF($L682="","",$F682&amp;"|"&amp;RIGHT("000000"&amp;$L682,6))</f>
        <v/>
      </c>
      <c r="N682">
        <f>IF($F682="","",IF(Sync!$AH682="","0000",IF(AND(ISNUMBER(Sync!$AH682),Sync!$AH682&gt;=0,Sync!$AH682&lt;1),RIGHT("00"&amp;HOUR(Sync!$AH682),2)&amp;RIGHT("00"&amp;MINUTE(Sync!$AH682),2),IFERROR(RIGHT("00"&amp;VALUE(LEFT(Sync!$AH682,FIND(":",Sync!$AH682)-1)),2)&amp;RIGHT("00"&amp;VALUE(MID(Sync!$AH682,FIND(":",Sync!$AH682)+1,2)),2),"0000"))))</f>
        <v/>
      </c>
    </row>
    <row r="683">
      <c r="A683">
        <f>IF(OR(Calc!$E686="",Calc!$E686="نامعتبر",Calc!$G686="",Calc!$I686&lt;&gt;"خرید"),"",Calc!$G686)</f>
        <v/>
      </c>
      <c r="B683">
        <f>IF($A683="","",LEFT(Calc!$E686,4)&amp;MID(Calc!$E686,6,2)&amp;RIGHT(Calc!$E686,2)&amp;Calc!$R686&amp;"|"&amp;"1"&amp;RIGHT("00000"&amp;678,5))</f>
        <v/>
      </c>
      <c r="C683">
        <f>IF($B683="","",COUNTIFS(LdgPartyA,$A683,LdgKeyA,"&lt;"&amp;$B683)+COUNTIFS(LdgPartyB,$A683,LdgKeyB,"&lt;"&amp;$B683)+1)</f>
        <v/>
      </c>
      <c r="D683">
        <f>IF($C683="","",$A683&amp;"|"&amp;RIGHT("000000"&amp;$C683,6))</f>
        <v/>
      </c>
      <c r="F683">
        <f>IF(Sync!$AJ683="","",Sync!$AJ683)</f>
        <v/>
      </c>
      <c r="G683">
        <f>IF($F683="","",IF(Sync!$AG683="","",IF(ISNUMBER(Sync!$AG683),IF(AND(Sync!$AG683&gt;=10000101,Sync!$AG683&lt;=99991231),INT(Sync!$AG683/10000),""),IFERROR(VALUE(TRIM(LEFT(Sync!$AG683,FIND("/",Sync!$AG683)-1))),""))))</f>
        <v/>
      </c>
      <c r="H683">
        <f>IF(OR($F683="",$G683=""),"",IF(ISNUMBER(Sync!$AG683),INT(MOD(Sync!$AG683,10000)/100),IFERROR(VALUE(TRIM(LEFT(MID(Sync!$AG683,FIND("/",Sync!$AG683)+1,20),FIND("/",MID(Sync!$AG683,FIND("/",Sync!$AG683)+1,20))-1))),"")))</f>
        <v/>
      </c>
      <c r="I683">
        <f>IF(OR($F683="",$G683=""),"",IF(ISNUMBER(Sync!$AG683),MOD(Sync!$AG683,100),IFERROR(VALUE(TRIM(MID(MID(Sync!$AG683,FIND("/",Sync!$AG683)+1,20),FIND("/",MID(Sync!$AG683,FIND("/",Sync!$AG683)+1,20))+1,20))),"")))</f>
        <v/>
      </c>
      <c r="J683">
        <f>IF($F683="","",IF(OR($G683="",$H683="",$I683="",$G683&lt;1300,$G683&gt;1500,$H683&lt;1,$H683&gt;12,$I683&lt;1,$I683&gt;31),"نامعتبر",RIGHT("0000"&amp;$G683,4)&amp;"/"&amp;RIGHT("00"&amp;$H683,2)&amp;"/"&amp;RIGHT("00"&amp;$I683,2)))</f>
        <v/>
      </c>
      <c r="K683">
        <f>IF(OR($F683="",$J683="",$J683="نامعتبر"),"",LEFT($J683,4)&amp;MID($J683,6,2)&amp;RIGHT($J683,2)&amp;$N683&amp;"|"&amp;"2"&amp;RIGHT("00000"&amp;678,5))</f>
        <v/>
      </c>
      <c r="L683">
        <f>IF($K683="","",COUNTIFS(LdgPartyA,$F683,LdgKeyA,"&lt;"&amp;$K683)+COUNTIFS(LdgPartyB,$F683,LdgKeyB,"&lt;"&amp;$K683)+1)</f>
        <v/>
      </c>
      <c r="M683">
        <f>IF($L683="","",$F683&amp;"|"&amp;RIGHT("000000"&amp;$L683,6))</f>
        <v/>
      </c>
      <c r="N683">
        <f>IF($F683="","",IF(Sync!$AH683="","0000",IF(AND(ISNUMBER(Sync!$AH683),Sync!$AH683&gt;=0,Sync!$AH683&lt;1),RIGHT("00"&amp;HOUR(Sync!$AH683),2)&amp;RIGHT("00"&amp;MINUTE(Sync!$AH683),2),IFERROR(RIGHT("00"&amp;VALUE(LEFT(Sync!$AH683,FIND(":",Sync!$AH683)-1)),2)&amp;RIGHT("00"&amp;VALUE(MID(Sync!$AH683,FIND(":",Sync!$AH683)+1,2)),2),"0000"))))</f>
        <v/>
      </c>
    </row>
    <row r="684">
      <c r="A684">
        <f>IF(OR(Calc!$E687="",Calc!$E687="نامعتبر",Calc!$G687="",Calc!$I687&lt;&gt;"خرید"),"",Calc!$G687)</f>
        <v/>
      </c>
      <c r="B684">
        <f>IF($A684="","",LEFT(Calc!$E687,4)&amp;MID(Calc!$E687,6,2)&amp;RIGHT(Calc!$E687,2)&amp;Calc!$R687&amp;"|"&amp;"1"&amp;RIGHT("00000"&amp;679,5))</f>
        <v/>
      </c>
      <c r="C684">
        <f>IF($B684="","",COUNTIFS(LdgPartyA,$A684,LdgKeyA,"&lt;"&amp;$B684)+COUNTIFS(LdgPartyB,$A684,LdgKeyB,"&lt;"&amp;$B684)+1)</f>
        <v/>
      </c>
      <c r="D684">
        <f>IF($C684="","",$A684&amp;"|"&amp;RIGHT("000000"&amp;$C684,6))</f>
        <v/>
      </c>
      <c r="F684">
        <f>IF(Sync!$AJ684="","",Sync!$AJ684)</f>
        <v/>
      </c>
      <c r="G684">
        <f>IF($F684="","",IF(Sync!$AG684="","",IF(ISNUMBER(Sync!$AG684),IF(AND(Sync!$AG684&gt;=10000101,Sync!$AG684&lt;=99991231),INT(Sync!$AG684/10000),""),IFERROR(VALUE(TRIM(LEFT(Sync!$AG684,FIND("/",Sync!$AG684)-1))),""))))</f>
        <v/>
      </c>
      <c r="H684">
        <f>IF(OR($F684="",$G684=""),"",IF(ISNUMBER(Sync!$AG684),INT(MOD(Sync!$AG684,10000)/100),IFERROR(VALUE(TRIM(LEFT(MID(Sync!$AG684,FIND("/",Sync!$AG684)+1,20),FIND("/",MID(Sync!$AG684,FIND("/",Sync!$AG684)+1,20))-1))),"")))</f>
        <v/>
      </c>
      <c r="I684">
        <f>IF(OR($F684="",$G684=""),"",IF(ISNUMBER(Sync!$AG684),MOD(Sync!$AG684,100),IFERROR(VALUE(TRIM(MID(MID(Sync!$AG684,FIND("/",Sync!$AG684)+1,20),FIND("/",MID(Sync!$AG684,FIND("/",Sync!$AG684)+1,20))+1,20))),"")))</f>
        <v/>
      </c>
      <c r="J684">
        <f>IF($F684="","",IF(OR($G684="",$H684="",$I684="",$G684&lt;1300,$G684&gt;1500,$H684&lt;1,$H684&gt;12,$I684&lt;1,$I684&gt;31),"نامعتبر",RIGHT("0000"&amp;$G684,4)&amp;"/"&amp;RIGHT("00"&amp;$H684,2)&amp;"/"&amp;RIGHT("00"&amp;$I684,2)))</f>
        <v/>
      </c>
      <c r="K684">
        <f>IF(OR($F684="",$J684="",$J684="نامعتبر"),"",LEFT($J684,4)&amp;MID($J684,6,2)&amp;RIGHT($J684,2)&amp;$N684&amp;"|"&amp;"2"&amp;RIGHT("00000"&amp;679,5))</f>
        <v/>
      </c>
      <c r="L684">
        <f>IF($K684="","",COUNTIFS(LdgPartyA,$F684,LdgKeyA,"&lt;"&amp;$K684)+COUNTIFS(LdgPartyB,$F684,LdgKeyB,"&lt;"&amp;$K684)+1)</f>
        <v/>
      </c>
      <c r="M684">
        <f>IF($L684="","",$F684&amp;"|"&amp;RIGHT("000000"&amp;$L684,6))</f>
        <v/>
      </c>
      <c r="N684">
        <f>IF($F684="","",IF(Sync!$AH684="","0000",IF(AND(ISNUMBER(Sync!$AH684),Sync!$AH684&gt;=0,Sync!$AH684&lt;1),RIGHT("00"&amp;HOUR(Sync!$AH684),2)&amp;RIGHT("00"&amp;MINUTE(Sync!$AH684),2),IFERROR(RIGHT("00"&amp;VALUE(LEFT(Sync!$AH684,FIND(":",Sync!$AH684)-1)),2)&amp;RIGHT("00"&amp;VALUE(MID(Sync!$AH684,FIND(":",Sync!$AH684)+1,2)),2),"0000"))))</f>
        <v/>
      </c>
    </row>
    <row r="685">
      <c r="A685">
        <f>IF(OR(Calc!$E688="",Calc!$E688="نامعتبر",Calc!$G688="",Calc!$I688&lt;&gt;"خرید"),"",Calc!$G688)</f>
        <v/>
      </c>
      <c r="B685">
        <f>IF($A685="","",LEFT(Calc!$E688,4)&amp;MID(Calc!$E688,6,2)&amp;RIGHT(Calc!$E688,2)&amp;Calc!$R688&amp;"|"&amp;"1"&amp;RIGHT("00000"&amp;680,5))</f>
        <v/>
      </c>
      <c r="C685">
        <f>IF($B685="","",COUNTIFS(LdgPartyA,$A685,LdgKeyA,"&lt;"&amp;$B685)+COUNTIFS(LdgPartyB,$A685,LdgKeyB,"&lt;"&amp;$B685)+1)</f>
        <v/>
      </c>
      <c r="D685">
        <f>IF($C685="","",$A685&amp;"|"&amp;RIGHT("000000"&amp;$C685,6))</f>
        <v/>
      </c>
      <c r="F685">
        <f>IF(Sync!$AJ685="","",Sync!$AJ685)</f>
        <v/>
      </c>
      <c r="G685">
        <f>IF($F685="","",IF(Sync!$AG685="","",IF(ISNUMBER(Sync!$AG685),IF(AND(Sync!$AG685&gt;=10000101,Sync!$AG685&lt;=99991231),INT(Sync!$AG685/10000),""),IFERROR(VALUE(TRIM(LEFT(Sync!$AG685,FIND("/",Sync!$AG685)-1))),""))))</f>
        <v/>
      </c>
      <c r="H685">
        <f>IF(OR($F685="",$G685=""),"",IF(ISNUMBER(Sync!$AG685),INT(MOD(Sync!$AG685,10000)/100),IFERROR(VALUE(TRIM(LEFT(MID(Sync!$AG685,FIND("/",Sync!$AG685)+1,20),FIND("/",MID(Sync!$AG685,FIND("/",Sync!$AG685)+1,20))-1))),"")))</f>
        <v/>
      </c>
      <c r="I685">
        <f>IF(OR($F685="",$G685=""),"",IF(ISNUMBER(Sync!$AG685),MOD(Sync!$AG685,100),IFERROR(VALUE(TRIM(MID(MID(Sync!$AG685,FIND("/",Sync!$AG685)+1,20),FIND("/",MID(Sync!$AG685,FIND("/",Sync!$AG685)+1,20))+1,20))),"")))</f>
        <v/>
      </c>
      <c r="J685">
        <f>IF($F685="","",IF(OR($G685="",$H685="",$I685="",$G685&lt;1300,$G685&gt;1500,$H685&lt;1,$H685&gt;12,$I685&lt;1,$I685&gt;31),"نامعتبر",RIGHT("0000"&amp;$G685,4)&amp;"/"&amp;RIGHT("00"&amp;$H685,2)&amp;"/"&amp;RIGHT("00"&amp;$I685,2)))</f>
        <v/>
      </c>
      <c r="K685">
        <f>IF(OR($F685="",$J685="",$J685="نامعتبر"),"",LEFT($J685,4)&amp;MID($J685,6,2)&amp;RIGHT($J685,2)&amp;$N685&amp;"|"&amp;"2"&amp;RIGHT("00000"&amp;680,5))</f>
        <v/>
      </c>
      <c r="L685">
        <f>IF($K685="","",COUNTIFS(LdgPartyA,$F685,LdgKeyA,"&lt;"&amp;$K685)+COUNTIFS(LdgPartyB,$F685,LdgKeyB,"&lt;"&amp;$K685)+1)</f>
        <v/>
      </c>
      <c r="M685">
        <f>IF($L685="","",$F685&amp;"|"&amp;RIGHT("000000"&amp;$L685,6))</f>
        <v/>
      </c>
      <c r="N685">
        <f>IF($F685="","",IF(Sync!$AH685="","0000",IF(AND(ISNUMBER(Sync!$AH685),Sync!$AH685&gt;=0,Sync!$AH685&lt;1),RIGHT("00"&amp;HOUR(Sync!$AH685),2)&amp;RIGHT("00"&amp;MINUTE(Sync!$AH685),2),IFERROR(RIGHT("00"&amp;VALUE(LEFT(Sync!$AH685,FIND(":",Sync!$AH685)-1)),2)&amp;RIGHT("00"&amp;VALUE(MID(Sync!$AH685,FIND(":",Sync!$AH685)+1,2)),2),"0000"))))</f>
        <v/>
      </c>
    </row>
    <row r="686">
      <c r="A686">
        <f>IF(OR(Calc!$E689="",Calc!$E689="نامعتبر",Calc!$G689="",Calc!$I689&lt;&gt;"خرید"),"",Calc!$G689)</f>
        <v/>
      </c>
      <c r="B686">
        <f>IF($A686="","",LEFT(Calc!$E689,4)&amp;MID(Calc!$E689,6,2)&amp;RIGHT(Calc!$E689,2)&amp;Calc!$R689&amp;"|"&amp;"1"&amp;RIGHT("00000"&amp;681,5))</f>
        <v/>
      </c>
      <c r="C686">
        <f>IF($B686="","",COUNTIFS(LdgPartyA,$A686,LdgKeyA,"&lt;"&amp;$B686)+COUNTIFS(LdgPartyB,$A686,LdgKeyB,"&lt;"&amp;$B686)+1)</f>
        <v/>
      </c>
      <c r="D686">
        <f>IF($C686="","",$A686&amp;"|"&amp;RIGHT("000000"&amp;$C686,6))</f>
        <v/>
      </c>
      <c r="F686">
        <f>IF(Sync!$AJ686="","",Sync!$AJ686)</f>
        <v/>
      </c>
      <c r="G686">
        <f>IF($F686="","",IF(Sync!$AG686="","",IF(ISNUMBER(Sync!$AG686),IF(AND(Sync!$AG686&gt;=10000101,Sync!$AG686&lt;=99991231),INT(Sync!$AG686/10000),""),IFERROR(VALUE(TRIM(LEFT(Sync!$AG686,FIND("/",Sync!$AG686)-1))),""))))</f>
        <v/>
      </c>
      <c r="H686">
        <f>IF(OR($F686="",$G686=""),"",IF(ISNUMBER(Sync!$AG686),INT(MOD(Sync!$AG686,10000)/100),IFERROR(VALUE(TRIM(LEFT(MID(Sync!$AG686,FIND("/",Sync!$AG686)+1,20),FIND("/",MID(Sync!$AG686,FIND("/",Sync!$AG686)+1,20))-1))),"")))</f>
        <v/>
      </c>
      <c r="I686">
        <f>IF(OR($F686="",$G686=""),"",IF(ISNUMBER(Sync!$AG686),MOD(Sync!$AG686,100),IFERROR(VALUE(TRIM(MID(MID(Sync!$AG686,FIND("/",Sync!$AG686)+1,20),FIND("/",MID(Sync!$AG686,FIND("/",Sync!$AG686)+1,20))+1,20))),"")))</f>
        <v/>
      </c>
      <c r="J686">
        <f>IF($F686="","",IF(OR($G686="",$H686="",$I686="",$G686&lt;1300,$G686&gt;1500,$H686&lt;1,$H686&gt;12,$I686&lt;1,$I686&gt;31),"نامعتبر",RIGHT("0000"&amp;$G686,4)&amp;"/"&amp;RIGHT("00"&amp;$H686,2)&amp;"/"&amp;RIGHT("00"&amp;$I686,2)))</f>
        <v/>
      </c>
      <c r="K686">
        <f>IF(OR($F686="",$J686="",$J686="نامعتبر"),"",LEFT($J686,4)&amp;MID($J686,6,2)&amp;RIGHT($J686,2)&amp;$N686&amp;"|"&amp;"2"&amp;RIGHT("00000"&amp;681,5))</f>
        <v/>
      </c>
      <c r="L686">
        <f>IF($K686="","",COUNTIFS(LdgPartyA,$F686,LdgKeyA,"&lt;"&amp;$K686)+COUNTIFS(LdgPartyB,$F686,LdgKeyB,"&lt;"&amp;$K686)+1)</f>
        <v/>
      </c>
      <c r="M686">
        <f>IF($L686="","",$F686&amp;"|"&amp;RIGHT("000000"&amp;$L686,6))</f>
        <v/>
      </c>
      <c r="N686">
        <f>IF($F686="","",IF(Sync!$AH686="","0000",IF(AND(ISNUMBER(Sync!$AH686),Sync!$AH686&gt;=0,Sync!$AH686&lt;1),RIGHT("00"&amp;HOUR(Sync!$AH686),2)&amp;RIGHT("00"&amp;MINUTE(Sync!$AH686),2),IFERROR(RIGHT("00"&amp;VALUE(LEFT(Sync!$AH686,FIND(":",Sync!$AH686)-1)),2)&amp;RIGHT("00"&amp;VALUE(MID(Sync!$AH686,FIND(":",Sync!$AH686)+1,2)),2),"0000"))))</f>
        <v/>
      </c>
    </row>
    <row r="687">
      <c r="A687">
        <f>IF(OR(Calc!$E690="",Calc!$E690="نامعتبر",Calc!$G690="",Calc!$I690&lt;&gt;"خرید"),"",Calc!$G690)</f>
        <v/>
      </c>
      <c r="B687">
        <f>IF($A687="","",LEFT(Calc!$E690,4)&amp;MID(Calc!$E690,6,2)&amp;RIGHT(Calc!$E690,2)&amp;Calc!$R690&amp;"|"&amp;"1"&amp;RIGHT("00000"&amp;682,5))</f>
        <v/>
      </c>
      <c r="C687">
        <f>IF($B687="","",COUNTIFS(LdgPartyA,$A687,LdgKeyA,"&lt;"&amp;$B687)+COUNTIFS(LdgPartyB,$A687,LdgKeyB,"&lt;"&amp;$B687)+1)</f>
        <v/>
      </c>
      <c r="D687">
        <f>IF($C687="","",$A687&amp;"|"&amp;RIGHT("000000"&amp;$C687,6))</f>
        <v/>
      </c>
      <c r="F687">
        <f>IF(Sync!$AJ687="","",Sync!$AJ687)</f>
        <v/>
      </c>
      <c r="G687">
        <f>IF($F687="","",IF(Sync!$AG687="","",IF(ISNUMBER(Sync!$AG687),IF(AND(Sync!$AG687&gt;=10000101,Sync!$AG687&lt;=99991231),INT(Sync!$AG687/10000),""),IFERROR(VALUE(TRIM(LEFT(Sync!$AG687,FIND("/",Sync!$AG687)-1))),""))))</f>
        <v/>
      </c>
      <c r="H687">
        <f>IF(OR($F687="",$G687=""),"",IF(ISNUMBER(Sync!$AG687),INT(MOD(Sync!$AG687,10000)/100),IFERROR(VALUE(TRIM(LEFT(MID(Sync!$AG687,FIND("/",Sync!$AG687)+1,20),FIND("/",MID(Sync!$AG687,FIND("/",Sync!$AG687)+1,20))-1))),"")))</f>
        <v/>
      </c>
      <c r="I687">
        <f>IF(OR($F687="",$G687=""),"",IF(ISNUMBER(Sync!$AG687),MOD(Sync!$AG687,100),IFERROR(VALUE(TRIM(MID(MID(Sync!$AG687,FIND("/",Sync!$AG687)+1,20),FIND("/",MID(Sync!$AG687,FIND("/",Sync!$AG687)+1,20))+1,20))),"")))</f>
        <v/>
      </c>
      <c r="J687">
        <f>IF($F687="","",IF(OR($G687="",$H687="",$I687="",$G687&lt;1300,$G687&gt;1500,$H687&lt;1,$H687&gt;12,$I687&lt;1,$I687&gt;31),"نامعتبر",RIGHT("0000"&amp;$G687,4)&amp;"/"&amp;RIGHT("00"&amp;$H687,2)&amp;"/"&amp;RIGHT("00"&amp;$I687,2)))</f>
        <v/>
      </c>
      <c r="K687">
        <f>IF(OR($F687="",$J687="",$J687="نامعتبر"),"",LEFT($J687,4)&amp;MID($J687,6,2)&amp;RIGHT($J687,2)&amp;$N687&amp;"|"&amp;"2"&amp;RIGHT("00000"&amp;682,5))</f>
        <v/>
      </c>
      <c r="L687">
        <f>IF($K687="","",COUNTIFS(LdgPartyA,$F687,LdgKeyA,"&lt;"&amp;$K687)+COUNTIFS(LdgPartyB,$F687,LdgKeyB,"&lt;"&amp;$K687)+1)</f>
        <v/>
      </c>
      <c r="M687">
        <f>IF($L687="","",$F687&amp;"|"&amp;RIGHT("000000"&amp;$L687,6))</f>
        <v/>
      </c>
      <c r="N687">
        <f>IF($F687="","",IF(Sync!$AH687="","0000",IF(AND(ISNUMBER(Sync!$AH687),Sync!$AH687&gt;=0,Sync!$AH687&lt;1),RIGHT("00"&amp;HOUR(Sync!$AH687),2)&amp;RIGHT("00"&amp;MINUTE(Sync!$AH687),2),IFERROR(RIGHT("00"&amp;VALUE(LEFT(Sync!$AH687,FIND(":",Sync!$AH687)-1)),2)&amp;RIGHT("00"&amp;VALUE(MID(Sync!$AH687,FIND(":",Sync!$AH687)+1,2)),2),"0000"))))</f>
        <v/>
      </c>
    </row>
    <row r="688">
      <c r="A688">
        <f>IF(OR(Calc!$E691="",Calc!$E691="نامعتبر",Calc!$G691="",Calc!$I691&lt;&gt;"خرید"),"",Calc!$G691)</f>
        <v/>
      </c>
      <c r="B688">
        <f>IF($A688="","",LEFT(Calc!$E691,4)&amp;MID(Calc!$E691,6,2)&amp;RIGHT(Calc!$E691,2)&amp;Calc!$R691&amp;"|"&amp;"1"&amp;RIGHT("00000"&amp;683,5))</f>
        <v/>
      </c>
      <c r="C688">
        <f>IF($B688="","",COUNTIFS(LdgPartyA,$A688,LdgKeyA,"&lt;"&amp;$B688)+COUNTIFS(LdgPartyB,$A688,LdgKeyB,"&lt;"&amp;$B688)+1)</f>
        <v/>
      </c>
      <c r="D688">
        <f>IF($C688="","",$A688&amp;"|"&amp;RIGHT("000000"&amp;$C688,6))</f>
        <v/>
      </c>
      <c r="F688">
        <f>IF(Sync!$AJ688="","",Sync!$AJ688)</f>
        <v/>
      </c>
      <c r="G688">
        <f>IF($F688="","",IF(Sync!$AG688="","",IF(ISNUMBER(Sync!$AG688),IF(AND(Sync!$AG688&gt;=10000101,Sync!$AG688&lt;=99991231),INT(Sync!$AG688/10000),""),IFERROR(VALUE(TRIM(LEFT(Sync!$AG688,FIND("/",Sync!$AG688)-1))),""))))</f>
        <v/>
      </c>
      <c r="H688">
        <f>IF(OR($F688="",$G688=""),"",IF(ISNUMBER(Sync!$AG688),INT(MOD(Sync!$AG688,10000)/100),IFERROR(VALUE(TRIM(LEFT(MID(Sync!$AG688,FIND("/",Sync!$AG688)+1,20),FIND("/",MID(Sync!$AG688,FIND("/",Sync!$AG688)+1,20))-1))),"")))</f>
        <v/>
      </c>
      <c r="I688">
        <f>IF(OR($F688="",$G688=""),"",IF(ISNUMBER(Sync!$AG688),MOD(Sync!$AG688,100),IFERROR(VALUE(TRIM(MID(MID(Sync!$AG688,FIND("/",Sync!$AG688)+1,20),FIND("/",MID(Sync!$AG688,FIND("/",Sync!$AG688)+1,20))+1,20))),"")))</f>
        <v/>
      </c>
      <c r="J688">
        <f>IF($F688="","",IF(OR($G688="",$H688="",$I688="",$G688&lt;1300,$G688&gt;1500,$H688&lt;1,$H688&gt;12,$I688&lt;1,$I688&gt;31),"نامعتبر",RIGHT("0000"&amp;$G688,4)&amp;"/"&amp;RIGHT("00"&amp;$H688,2)&amp;"/"&amp;RIGHT("00"&amp;$I688,2)))</f>
        <v/>
      </c>
      <c r="K688">
        <f>IF(OR($F688="",$J688="",$J688="نامعتبر"),"",LEFT($J688,4)&amp;MID($J688,6,2)&amp;RIGHT($J688,2)&amp;$N688&amp;"|"&amp;"2"&amp;RIGHT("00000"&amp;683,5))</f>
        <v/>
      </c>
      <c r="L688">
        <f>IF($K688="","",COUNTIFS(LdgPartyA,$F688,LdgKeyA,"&lt;"&amp;$K688)+COUNTIFS(LdgPartyB,$F688,LdgKeyB,"&lt;"&amp;$K688)+1)</f>
        <v/>
      </c>
      <c r="M688">
        <f>IF($L688="","",$F688&amp;"|"&amp;RIGHT("000000"&amp;$L688,6))</f>
        <v/>
      </c>
      <c r="N688">
        <f>IF($F688="","",IF(Sync!$AH688="","0000",IF(AND(ISNUMBER(Sync!$AH688),Sync!$AH688&gt;=0,Sync!$AH688&lt;1),RIGHT("00"&amp;HOUR(Sync!$AH688),2)&amp;RIGHT("00"&amp;MINUTE(Sync!$AH688),2),IFERROR(RIGHT("00"&amp;VALUE(LEFT(Sync!$AH688,FIND(":",Sync!$AH688)-1)),2)&amp;RIGHT("00"&amp;VALUE(MID(Sync!$AH688,FIND(":",Sync!$AH688)+1,2)),2),"0000"))))</f>
        <v/>
      </c>
    </row>
    <row r="689">
      <c r="A689">
        <f>IF(OR(Calc!$E692="",Calc!$E692="نامعتبر",Calc!$G692="",Calc!$I692&lt;&gt;"خرید"),"",Calc!$G692)</f>
        <v/>
      </c>
      <c r="B689">
        <f>IF($A689="","",LEFT(Calc!$E692,4)&amp;MID(Calc!$E692,6,2)&amp;RIGHT(Calc!$E692,2)&amp;Calc!$R692&amp;"|"&amp;"1"&amp;RIGHT("00000"&amp;684,5))</f>
        <v/>
      </c>
      <c r="C689">
        <f>IF($B689="","",COUNTIFS(LdgPartyA,$A689,LdgKeyA,"&lt;"&amp;$B689)+COUNTIFS(LdgPartyB,$A689,LdgKeyB,"&lt;"&amp;$B689)+1)</f>
        <v/>
      </c>
      <c r="D689">
        <f>IF($C689="","",$A689&amp;"|"&amp;RIGHT("000000"&amp;$C689,6))</f>
        <v/>
      </c>
      <c r="F689">
        <f>IF(Sync!$AJ689="","",Sync!$AJ689)</f>
        <v/>
      </c>
      <c r="G689">
        <f>IF($F689="","",IF(Sync!$AG689="","",IF(ISNUMBER(Sync!$AG689),IF(AND(Sync!$AG689&gt;=10000101,Sync!$AG689&lt;=99991231),INT(Sync!$AG689/10000),""),IFERROR(VALUE(TRIM(LEFT(Sync!$AG689,FIND("/",Sync!$AG689)-1))),""))))</f>
        <v/>
      </c>
      <c r="H689">
        <f>IF(OR($F689="",$G689=""),"",IF(ISNUMBER(Sync!$AG689),INT(MOD(Sync!$AG689,10000)/100),IFERROR(VALUE(TRIM(LEFT(MID(Sync!$AG689,FIND("/",Sync!$AG689)+1,20),FIND("/",MID(Sync!$AG689,FIND("/",Sync!$AG689)+1,20))-1))),"")))</f>
        <v/>
      </c>
      <c r="I689">
        <f>IF(OR($F689="",$G689=""),"",IF(ISNUMBER(Sync!$AG689),MOD(Sync!$AG689,100),IFERROR(VALUE(TRIM(MID(MID(Sync!$AG689,FIND("/",Sync!$AG689)+1,20),FIND("/",MID(Sync!$AG689,FIND("/",Sync!$AG689)+1,20))+1,20))),"")))</f>
        <v/>
      </c>
      <c r="J689">
        <f>IF($F689="","",IF(OR($G689="",$H689="",$I689="",$G689&lt;1300,$G689&gt;1500,$H689&lt;1,$H689&gt;12,$I689&lt;1,$I689&gt;31),"نامعتبر",RIGHT("0000"&amp;$G689,4)&amp;"/"&amp;RIGHT("00"&amp;$H689,2)&amp;"/"&amp;RIGHT("00"&amp;$I689,2)))</f>
        <v/>
      </c>
      <c r="K689">
        <f>IF(OR($F689="",$J689="",$J689="نامعتبر"),"",LEFT($J689,4)&amp;MID($J689,6,2)&amp;RIGHT($J689,2)&amp;$N689&amp;"|"&amp;"2"&amp;RIGHT("00000"&amp;684,5))</f>
        <v/>
      </c>
      <c r="L689">
        <f>IF($K689="","",COUNTIFS(LdgPartyA,$F689,LdgKeyA,"&lt;"&amp;$K689)+COUNTIFS(LdgPartyB,$F689,LdgKeyB,"&lt;"&amp;$K689)+1)</f>
        <v/>
      </c>
      <c r="M689">
        <f>IF($L689="","",$F689&amp;"|"&amp;RIGHT("000000"&amp;$L689,6))</f>
        <v/>
      </c>
      <c r="N689">
        <f>IF($F689="","",IF(Sync!$AH689="","0000",IF(AND(ISNUMBER(Sync!$AH689),Sync!$AH689&gt;=0,Sync!$AH689&lt;1),RIGHT("00"&amp;HOUR(Sync!$AH689),2)&amp;RIGHT("00"&amp;MINUTE(Sync!$AH689),2),IFERROR(RIGHT("00"&amp;VALUE(LEFT(Sync!$AH689,FIND(":",Sync!$AH689)-1)),2)&amp;RIGHT("00"&amp;VALUE(MID(Sync!$AH689,FIND(":",Sync!$AH689)+1,2)),2),"0000"))))</f>
        <v/>
      </c>
    </row>
    <row r="690">
      <c r="A690">
        <f>IF(OR(Calc!$E693="",Calc!$E693="نامعتبر",Calc!$G693="",Calc!$I693&lt;&gt;"خرید"),"",Calc!$G693)</f>
        <v/>
      </c>
      <c r="B690">
        <f>IF($A690="","",LEFT(Calc!$E693,4)&amp;MID(Calc!$E693,6,2)&amp;RIGHT(Calc!$E693,2)&amp;Calc!$R693&amp;"|"&amp;"1"&amp;RIGHT("00000"&amp;685,5))</f>
        <v/>
      </c>
      <c r="C690">
        <f>IF($B690="","",COUNTIFS(LdgPartyA,$A690,LdgKeyA,"&lt;"&amp;$B690)+COUNTIFS(LdgPartyB,$A690,LdgKeyB,"&lt;"&amp;$B690)+1)</f>
        <v/>
      </c>
      <c r="D690">
        <f>IF($C690="","",$A690&amp;"|"&amp;RIGHT("000000"&amp;$C690,6))</f>
        <v/>
      </c>
      <c r="F690">
        <f>IF(Sync!$AJ690="","",Sync!$AJ690)</f>
        <v/>
      </c>
      <c r="G690">
        <f>IF($F690="","",IF(Sync!$AG690="","",IF(ISNUMBER(Sync!$AG690),IF(AND(Sync!$AG690&gt;=10000101,Sync!$AG690&lt;=99991231),INT(Sync!$AG690/10000),""),IFERROR(VALUE(TRIM(LEFT(Sync!$AG690,FIND("/",Sync!$AG690)-1))),""))))</f>
        <v/>
      </c>
      <c r="H690">
        <f>IF(OR($F690="",$G690=""),"",IF(ISNUMBER(Sync!$AG690),INT(MOD(Sync!$AG690,10000)/100),IFERROR(VALUE(TRIM(LEFT(MID(Sync!$AG690,FIND("/",Sync!$AG690)+1,20),FIND("/",MID(Sync!$AG690,FIND("/",Sync!$AG690)+1,20))-1))),"")))</f>
        <v/>
      </c>
      <c r="I690">
        <f>IF(OR($F690="",$G690=""),"",IF(ISNUMBER(Sync!$AG690),MOD(Sync!$AG690,100),IFERROR(VALUE(TRIM(MID(MID(Sync!$AG690,FIND("/",Sync!$AG690)+1,20),FIND("/",MID(Sync!$AG690,FIND("/",Sync!$AG690)+1,20))+1,20))),"")))</f>
        <v/>
      </c>
      <c r="J690">
        <f>IF($F690="","",IF(OR($G690="",$H690="",$I690="",$G690&lt;1300,$G690&gt;1500,$H690&lt;1,$H690&gt;12,$I690&lt;1,$I690&gt;31),"نامعتبر",RIGHT("0000"&amp;$G690,4)&amp;"/"&amp;RIGHT("00"&amp;$H690,2)&amp;"/"&amp;RIGHT("00"&amp;$I690,2)))</f>
        <v/>
      </c>
      <c r="K690">
        <f>IF(OR($F690="",$J690="",$J690="نامعتبر"),"",LEFT($J690,4)&amp;MID($J690,6,2)&amp;RIGHT($J690,2)&amp;$N690&amp;"|"&amp;"2"&amp;RIGHT("00000"&amp;685,5))</f>
        <v/>
      </c>
      <c r="L690">
        <f>IF($K690="","",COUNTIFS(LdgPartyA,$F690,LdgKeyA,"&lt;"&amp;$K690)+COUNTIFS(LdgPartyB,$F690,LdgKeyB,"&lt;"&amp;$K690)+1)</f>
        <v/>
      </c>
      <c r="M690">
        <f>IF($L690="","",$F690&amp;"|"&amp;RIGHT("000000"&amp;$L690,6))</f>
        <v/>
      </c>
      <c r="N690">
        <f>IF($F690="","",IF(Sync!$AH690="","0000",IF(AND(ISNUMBER(Sync!$AH690),Sync!$AH690&gt;=0,Sync!$AH690&lt;1),RIGHT("00"&amp;HOUR(Sync!$AH690),2)&amp;RIGHT("00"&amp;MINUTE(Sync!$AH690),2),IFERROR(RIGHT("00"&amp;VALUE(LEFT(Sync!$AH690,FIND(":",Sync!$AH690)-1)),2)&amp;RIGHT("00"&amp;VALUE(MID(Sync!$AH690,FIND(":",Sync!$AH690)+1,2)),2),"0000"))))</f>
        <v/>
      </c>
    </row>
    <row r="691">
      <c r="A691">
        <f>IF(OR(Calc!$E694="",Calc!$E694="نامعتبر",Calc!$G694="",Calc!$I694&lt;&gt;"خرید"),"",Calc!$G694)</f>
        <v/>
      </c>
      <c r="B691">
        <f>IF($A691="","",LEFT(Calc!$E694,4)&amp;MID(Calc!$E694,6,2)&amp;RIGHT(Calc!$E694,2)&amp;Calc!$R694&amp;"|"&amp;"1"&amp;RIGHT("00000"&amp;686,5))</f>
        <v/>
      </c>
      <c r="C691">
        <f>IF($B691="","",COUNTIFS(LdgPartyA,$A691,LdgKeyA,"&lt;"&amp;$B691)+COUNTIFS(LdgPartyB,$A691,LdgKeyB,"&lt;"&amp;$B691)+1)</f>
        <v/>
      </c>
      <c r="D691">
        <f>IF($C691="","",$A691&amp;"|"&amp;RIGHT("000000"&amp;$C691,6))</f>
        <v/>
      </c>
      <c r="F691">
        <f>IF(Sync!$AJ691="","",Sync!$AJ691)</f>
        <v/>
      </c>
      <c r="G691">
        <f>IF($F691="","",IF(Sync!$AG691="","",IF(ISNUMBER(Sync!$AG691),IF(AND(Sync!$AG691&gt;=10000101,Sync!$AG691&lt;=99991231),INT(Sync!$AG691/10000),""),IFERROR(VALUE(TRIM(LEFT(Sync!$AG691,FIND("/",Sync!$AG691)-1))),""))))</f>
        <v/>
      </c>
      <c r="H691">
        <f>IF(OR($F691="",$G691=""),"",IF(ISNUMBER(Sync!$AG691),INT(MOD(Sync!$AG691,10000)/100),IFERROR(VALUE(TRIM(LEFT(MID(Sync!$AG691,FIND("/",Sync!$AG691)+1,20),FIND("/",MID(Sync!$AG691,FIND("/",Sync!$AG691)+1,20))-1))),"")))</f>
        <v/>
      </c>
      <c r="I691">
        <f>IF(OR($F691="",$G691=""),"",IF(ISNUMBER(Sync!$AG691),MOD(Sync!$AG691,100),IFERROR(VALUE(TRIM(MID(MID(Sync!$AG691,FIND("/",Sync!$AG691)+1,20),FIND("/",MID(Sync!$AG691,FIND("/",Sync!$AG691)+1,20))+1,20))),"")))</f>
        <v/>
      </c>
      <c r="J691">
        <f>IF($F691="","",IF(OR($G691="",$H691="",$I691="",$G691&lt;1300,$G691&gt;1500,$H691&lt;1,$H691&gt;12,$I691&lt;1,$I691&gt;31),"نامعتبر",RIGHT("0000"&amp;$G691,4)&amp;"/"&amp;RIGHT("00"&amp;$H691,2)&amp;"/"&amp;RIGHT("00"&amp;$I691,2)))</f>
        <v/>
      </c>
      <c r="K691">
        <f>IF(OR($F691="",$J691="",$J691="نامعتبر"),"",LEFT($J691,4)&amp;MID($J691,6,2)&amp;RIGHT($J691,2)&amp;$N691&amp;"|"&amp;"2"&amp;RIGHT("00000"&amp;686,5))</f>
        <v/>
      </c>
      <c r="L691">
        <f>IF($K691="","",COUNTIFS(LdgPartyA,$F691,LdgKeyA,"&lt;"&amp;$K691)+COUNTIFS(LdgPartyB,$F691,LdgKeyB,"&lt;"&amp;$K691)+1)</f>
        <v/>
      </c>
      <c r="M691">
        <f>IF($L691="","",$F691&amp;"|"&amp;RIGHT("000000"&amp;$L691,6))</f>
        <v/>
      </c>
      <c r="N691">
        <f>IF($F691="","",IF(Sync!$AH691="","0000",IF(AND(ISNUMBER(Sync!$AH691),Sync!$AH691&gt;=0,Sync!$AH691&lt;1),RIGHT("00"&amp;HOUR(Sync!$AH691),2)&amp;RIGHT("00"&amp;MINUTE(Sync!$AH691),2),IFERROR(RIGHT("00"&amp;VALUE(LEFT(Sync!$AH691,FIND(":",Sync!$AH691)-1)),2)&amp;RIGHT("00"&amp;VALUE(MID(Sync!$AH691,FIND(":",Sync!$AH691)+1,2)),2),"0000"))))</f>
        <v/>
      </c>
    </row>
    <row r="692">
      <c r="A692">
        <f>IF(OR(Calc!$E695="",Calc!$E695="نامعتبر",Calc!$G695="",Calc!$I695&lt;&gt;"خرید"),"",Calc!$G695)</f>
        <v/>
      </c>
      <c r="B692">
        <f>IF($A692="","",LEFT(Calc!$E695,4)&amp;MID(Calc!$E695,6,2)&amp;RIGHT(Calc!$E695,2)&amp;Calc!$R695&amp;"|"&amp;"1"&amp;RIGHT("00000"&amp;687,5))</f>
        <v/>
      </c>
      <c r="C692">
        <f>IF($B692="","",COUNTIFS(LdgPartyA,$A692,LdgKeyA,"&lt;"&amp;$B692)+COUNTIFS(LdgPartyB,$A692,LdgKeyB,"&lt;"&amp;$B692)+1)</f>
        <v/>
      </c>
      <c r="D692">
        <f>IF($C692="","",$A692&amp;"|"&amp;RIGHT("000000"&amp;$C692,6))</f>
        <v/>
      </c>
      <c r="F692">
        <f>IF(Sync!$AJ692="","",Sync!$AJ692)</f>
        <v/>
      </c>
      <c r="G692">
        <f>IF($F692="","",IF(Sync!$AG692="","",IF(ISNUMBER(Sync!$AG692),IF(AND(Sync!$AG692&gt;=10000101,Sync!$AG692&lt;=99991231),INT(Sync!$AG692/10000),""),IFERROR(VALUE(TRIM(LEFT(Sync!$AG692,FIND("/",Sync!$AG692)-1))),""))))</f>
        <v/>
      </c>
      <c r="H692">
        <f>IF(OR($F692="",$G692=""),"",IF(ISNUMBER(Sync!$AG692),INT(MOD(Sync!$AG692,10000)/100),IFERROR(VALUE(TRIM(LEFT(MID(Sync!$AG692,FIND("/",Sync!$AG692)+1,20),FIND("/",MID(Sync!$AG692,FIND("/",Sync!$AG692)+1,20))-1))),"")))</f>
        <v/>
      </c>
      <c r="I692">
        <f>IF(OR($F692="",$G692=""),"",IF(ISNUMBER(Sync!$AG692),MOD(Sync!$AG692,100),IFERROR(VALUE(TRIM(MID(MID(Sync!$AG692,FIND("/",Sync!$AG692)+1,20),FIND("/",MID(Sync!$AG692,FIND("/",Sync!$AG692)+1,20))+1,20))),"")))</f>
        <v/>
      </c>
      <c r="J692">
        <f>IF($F692="","",IF(OR($G692="",$H692="",$I692="",$G692&lt;1300,$G692&gt;1500,$H692&lt;1,$H692&gt;12,$I692&lt;1,$I692&gt;31),"نامعتبر",RIGHT("0000"&amp;$G692,4)&amp;"/"&amp;RIGHT("00"&amp;$H692,2)&amp;"/"&amp;RIGHT("00"&amp;$I692,2)))</f>
        <v/>
      </c>
      <c r="K692">
        <f>IF(OR($F692="",$J692="",$J692="نامعتبر"),"",LEFT($J692,4)&amp;MID($J692,6,2)&amp;RIGHT($J692,2)&amp;$N692&amp;"|"&amp;"2"&amp;RIGHT("00000"&amp;687,5))</f>
        <v/>
      </c>
      <c r="L692">
        <f>IF($K692="","",COUNTIFS(LdgPartyA,$F692,LdgKeyA,"&lt;"&amp;$K692)+COUNTIFS(LdgPartyB,$F692,LdgKeyB,"&lt;"&amp;$K692)+1)</f>
        <v/>
      </c>
      <c r="M692">
        <f>IF($L692="","",$F692&amp;"|"&amp;RIGHT("000000"&amp;$L692,6))</f>
        <v/>
      </c>
      <c r="N692">
        <f>IF($F692="","",IF(Sync!$AH692="","0000",IF(AND(ISNUMBER(Sync!$AH692),Sync!$AH692&gt;=0,Sync!$AH692&lt;1),RIGHT("00"&amp;HOUR(Sync!$AH692),2)&amp;RIGHT("00"&amp;MINUTE(Sync!$AH692),2),IFERROR(RIGHT("00"&amp;VALUE(LEFT(Sync!$AH692,FIND(":",Sync!$AH692)-1)),2)&amp;RIGHT("00"&amp;VALUE(MID(Sync!$AH692,FIND(":",Sync!$AH692)+1,2)),2),"0000"))))</f>
        <v/>
      </c>
    </row>
    <row r="693">
      <c r="A693">
        <f>IF(OR(Calc!$E696="",Calc!$E696="نامعتبر",Calc!$G696="",Calc!$I696&lt;&gt;"خرید"),"",Calc!$G696)</f>
        <v/>
      </c>
      <c r="B693">
        <f>IF($A693="","",LEFT(Calc!$E696,4)&amp;MID(Calc!$E696,6,2)&amp;RIGHT(Calc!$E696,2)&amp;Calc!$R696&amp;"|"&amp;"1"&amp;RIGHT("00000"&amp;688,5))</f>
        <v/>
      </c>
      <c r="C693">
        <f>IF($B693="","",COUNTIFS(LdgPartyA,$A693,LdgKeyA,"&lt;"&amp;$B693)+COUNTIFS(LdgPartyB,$A693,LdgKeyB,"&lt;"&amp;$B693)+1)</f>
        <v/>
      </c>
      <c r="D693">
        <f>IF($C693="","",$A693&amp;"|"&amp;RIGHT("000000"&amp;$C693,6))</f>
        <v/>
      </c>
      <c r="F693">
        <f>IF(Sync!$AJ693="","",Sync!$AJ693)</f>
        <v/>
      </c>
      <c r="G693">
        <f>IF($F693="","",IF(Sync!$AG693="","",IF(ISNUMBER(Sync!$AG693),IF(AND(Sync!$AG693&gt;=10000101,Sync!$AG693&lt;=99991231),INT(Sync!$AG693/10000),""),IFERROR(VALUE(TRIM(LEFT(Sync!$AG693,FIND("/",Sync!$AG693)-1))),""))))</f>
        <v/>
      </c>
      <c r="H693">
        <f>IF(OR($F693="",$G693=""),"",IF(ISNUMBER(Sync!$AG693),INT(MOD(Sync!$AG693,10000)/100),IFERROR(VALUE(TRIM(LEFT(MID(Sync!$AG693,FIND("/",Sync!$AG693)+1,20),FIND("/",MID(Sync!$AG693,FIND("/",Sync!$AG693)+1,20))-1))),"")))</f>
        <v/>
      </c>
      <c r="I693">
        <f>IF(OR($F693="",$G693=""),"",IF(ISNUMBER(Sync!$AG693),MOD(Sync!$AG693,100),IFERROR(VALUE(TRIM(MID(MID(Sync!$AG693,FIND("/",Sync!$AG693)+1,20),FIND("/",MID(Sync!$AG693,FIND("/",Sync!$AG693)+1,20))+1,20))),"")))</f>
        <v/>
      </c>
      <c r="J693">
        <f>IF($F693="","",IF(OR($G693="",$H693="",$I693="",$G693&lt;1300,$G693&gt;1500,$H693&lt;1,$H693&gt;12,$I693&lt;1,$I693&gt;31),"نامعتبر",RIGHT("0000"&amp;$G693,4)&amp;"/"&amp;RIGHT("00"&amp;$H693,2)&amp;"/"&amp;RIGHT("00"&amp;$I693,2)))</f>
        <v/>
      </c>
      <c r="K693">
        <f>IF(OR($F693="",$J693="",$J693="نامعتبر"),"",LEFT($J693,4)&amp;MID($J693,6,2)&amp;RIGHT($J693,2)&amp;$N693&amp;"|"&amp;"2"&amp;RIGHT("00000"&amp;688,5))</f>
        <v/>
      </c>
      <c r="L693">
        <f>IF($K693="","",COUNTIFS(LdgPartyA,$F693,LdgKeyA,"&lt;"&amp;$K693)+COUNTIFS(LdgPartyB,$F693,LdgKeyB,"&lt;"&amp;$K693)+1)</f>
        <v/>
      </c>
      <c r="M693">
        <f>IF($L693="","",$F693&amp;"|"&amp;RIGHT("000000"&amp;$L693,6))</f>
        <v/>
      </c>
      <c r="N693">
        <f>IF($F693="","",IF(Sync!$AH693="","0000",IF(AND(ISNUMBER(Sync!$AH693),Sync!$AH693&gt;=0,Sync!$AH693&lt;1),RIGHT("00"&amp;HOUR(Sync!$AH693),2)&amp;RIGHT("00"&amp;MINUTE(Sync!$AH693),2),IFERROR(RIGHT("00"&amp;VALUE(LEFT(Sync!$AH693,FIND(":",Sync!$AH693)-1)),2)&amp;RIGHT("00"&amp;VALUE(MID(Sync!$AH693,FIND(":",Sync!$AH693)+1,2)),2),"0000"))))</f>
        <v/>
      </c>
    </row>
    <row r="694">
      <c r="A694">
        <f>IF(OR(Calc!$E697="",Calc!$E697="نامعتبر",Calc!$G697="",Calc!$I697&lt;&gt;"خرید"),"",Calc!$G697)</f>
        <v/>
      </c>
      <c r="B694">
        <f>IF($A694="","",LEFT(Calc!$E697,4)&amp;MID(Calc!$E697,6,2)&amp;RIGHT(Calc!$E697,2)&amp;Calc!$R697&amp;"|"&amp;"1"&amp;RIGHT("00000"&amp;689,5))</f>
        <v/>
      </c>
      <c r="C694">
        <f>IF($B694="","",COUNTIFS(LdgPartyA,$A694,LdgKeyA,"&lt;"&amp;$B694)+COUNTIFS(LdgPartyB,$A694,LdgKeyB,"&lt;"&amp;$B694)+1)</f>
        <v/>
      </c>
      <c r="D694">
        <f>IF($C694="","",$A694&amp;"|"&amp;RIGHT("000000"&amp;$C694,6))</f>
        <v/>
      </c>
      <c r="F694">
        <f>IF(Sync!$AJ694="","",Sync!$AJ694)</f>
        <v/>
      </c>
      <c r="G694">
        <f>IF($F694="","",IF(Sync!$AG694="","",IF(ISNUMBER(Sync!$AG694),IF(AND(Sync!$AG694&gt;=10000101,Sync!$AG694&lt;=99991231),INT(Sync!$AG694/10000),""),IFERROR(VALUE(TRIM(LEFT(Sync!$AG694,FIND("/",Sync!$AG694)-1))),""))))</f>
        <v/>
      </c>
      <c r="H694">
        <f>IF(OR($F694="",$G694=""),"",IF(ISNUMBER(Sync!$AG694),INT(MOD(Sync!$AG694,10000)/100),IFERROR(VALUE(TRIM(LEFT(MID(Sync!$AG694,FIND("/",Sync!$AG694)+1,20),FIND("/",MID(Sync!$AG694,FIND("/",Sync!$AG694)+1,20))-1))),"")))</f>
        <v/>
      </c>
      <c r="I694">
        <f>IF(OR($F694="",$G694=""),"",IF(ISNUMBER(Sync!$AG694),MOD(Sync!$AG694,100),IFERROR(VALUE(TRIM(MID(MID(Sync!$AG694,FIND("/",Sync!$AG694)+1,20),FIND("/",MID(Sync!$AG694,FIND("/",Sync!$AG694)+1,20))+1,20))),"")))</f>
        <v/>
      </c>
      <c r="J694">
        <f>IF($F694="","",IF(OR($G694="",$H694="",$I694="",$G694&lt;1300,$G694&gt;1500,$H694&lt;1,$H694&gt;12,$I694&lt;1,$I694&gt;31),"نامعتبر",RIGHT("0000"&amp;$G694,4)&amp;"/"&amp;RIGHT("00"&amp;$H694,2)&amp;"/"&amp;RIGHT("00"&amp;$I694,2)))</f>
        <v/>
      </c>
      <c r="K694">
        <f>IF(OR($F694="",$J694="",$J694="نامعتبر"),"",LEFT($J694,4)&amp;MID($J694,6,2)&amp;RIGHT($J694,2)&amp;$N694&amp;"|"&amp;"2"&amp;RIGHT("00000"&amp;689,5))</f>
        <v/>
      </c>
      <c r="L694">
        <f>IF($K694="","",COUNTIFS(LdgPartyA,$F694,LdgKeyA,"&lt;"&amp;$K694)+COUNTIFS(LdgPartyB,$F694,LdgKeyB,"&lt;"&amp;$K694)+1)</f>
        <v/>
      </c>
      <c r="M694">
        <f>IF($L694="","",$F694&amp;"|"&amp;RIGHT("000000"&amp;$L694,6))</f>
        <v/>
      </c>
      <c r="N694">
        <f>IF($F694="","",IF(Sync!$AH694="","0000",IF(AND(ISNUMBER(Sync!$AH694),Sync!$AH694&gt;=0,Sync!$AH694&lt;1),RIGHT("00"&amp;HOUR(Sync!$AH694),2)&amp;RIGHT("00"&amp;MINUTE(Sync!$AH694),2),IFERROR(RIGHT("00"&amp;VALUE(LEFT(Sync!$AH694,FIND(":",Sync!$AH694)-1)),2)&amp;RIGHT("00"&amp;VALUE(MID(Sync!$AH694,FIND(":",Sync!$AH694)+1,2)),2),"0000"))))</f>
        <v/>
      </c>
    </row>
    <row r="695">
      <c r="A695">
        <f>IF(OR(Calc!$E698="",Calc!$E698="نامعتبر",Calc!$G698="",Calc!$I698&lt;&gt;"خرید"),"",Calc!$G698)</f>
        <v/>
      </c>
      <c r="B695">
        <f>IF($A695="","",LEFT(Calc!$E698,4)&amp;MID(Calc!$E698,6,2)&amp;RIGHT(Calc!$E698,2)&amp;Calc!$R698&amp;"|"&amp;"1"&amp;RIGHT("00000"&amp;690,5))</f>
        <v/>
      </c>
      <c r="C695">
        <f>IF($B695="","",COUNTIFS(LdgPartyA,$A695,LdgKeyA,"&lt;"&amp;$B695)+COUNTIFS(LdgPartyB,$A695,LdgKeyB,"&lt;"&amp;$B695)+1)</f>
        <v/>
      </c>
      <c r="D695">
        <f>IF($C695="","",$A695&amp;"|"&amp;RIGHT("000000"&amp;$C695,6))</f>
        <v/>
      </c>
      <c r="F695">
        <f>IF(Sync!$AJ695="","",Sync!$AJ695)</f>
        <v/>
      </c>
      <c r="G695">
        <f>IF($F695="","",IF(Sync!$AG695="","",IF(ISNUMBER(Sync!$AG695),IF(AND(Sync!$AG695&gt;=10000101,Sync!$AG695&lt;=99991231),INT(Sync!$AG695/10000),""),IFERROR(VALUE(TRIM(LEFT(Sync!$AG695,FIND("/",Sync!$AG695)-1))),""))))</f>
        <v/>
      </c>
      <c r="H695">
        <f>IF(OR($F695="",$G695=""),"",IF(ISNUMBER(Sync!$AG695),INT(MOD(Sync!$AG695,10000)/100),IFERROR(VALUE(TRIM(LEFT(MID(Sync!$AG695,FIND("/",Sync!$AG695)+1,20),FIND("/",MID(Sync!$AG695,FIND("/",Sync!$AG695)+1,20))-1))),"")))</f>
        <v/>
      </c>
      <c r="I695">
        <f>IF(OR($F695="",$G695=""),"",IF(ISNUMBER(Sync!$AG695),MOD(Sync!$AG695,100),IFERROR(VALUE(TRIM(MID(MID(Sync!$AG695,FIND("/",Sync!$AG695)+1,20),FIND("/",MID(Sync!$AG695,FIND("/",Sync!$AG695)+1,20))+1,20))),"")))</f>
        <v/>
      </c>
      <c r="J695">
        <f>IF($F695="","",IF(OR($G695="",$H695="",$I695="",$G695&lt;1300,$G695&gt;1500,$H695&lt;1,$H695&gt;12,$I695&lt;1,$I695&gt;31),"نامعتبر",RIGHT("0000"&amp;$G695,4)&amp;"/"&amp;RIGHT("00"&amp;$H695,2)&amp;"/"&amp;RIGHT("00"&amp;$I695,2)))</f>
        <v/>
      </c>
      <c r="K695">
        <f>IF(OR($F695="",$J695="",$J695="نامعتبر"),"",LEFT($J695,4)&amp;MID($J695,6,2)&amp;RIGHT($J695,2)&amp;$N695&amp;"|"&amp;"2"&amp;RIGHT("00000"&amp;690,5))</f>
        <v/>
      </c>
      <c r="L695">
        <f>IF($K695="","",COUNTIFS(LdgPartyA,$F695,LdgKeyA,"&lt;"&amp;$K695)+COUNTIFS(LdgPartyB,$F695,LdgKeyB,"&lt;"&amp;$K695)+1)</f>
        <v/>
      </c>
      <c r="M695">
        <f>IF($L695="","",$F695&amp;"|"&amp;RIGHT("000000"&amp;$L695,6))</f>
        <v/>
      </c>
      <c r="N695">
        <f>IF($F695="","",IF(Sync!$AH695="","0000",IF(AND(ISNUMBER(Sync!$AH695),Sync!$AH695&gt;=0,Sync!$AH695&lt;1),RIGHT("00"&amp;HOUR(Sync!$AH695),2)&amp;RIGHT("00"&amp;MINUTE(Sync!$AH695),2),IFERROR(RIGHT("00"&amp;VALUE(LEFT(Sync!$AH695,FIND(":",Sync!$AH695)-1)),2)&amp;RIGHT("00"&amp;VALUE(MID(Sync!$AH695,FIND(":",Sync!$AH695)+1,2)),2),"0000"))))</f>
        <v/>
      </c>
    </row>
    <row r="696">
      <c r="A696">
        <f>IF(OR(Calc!$E699="",Calc!$E699="نامعتبر",Calc!$G699="",Calc!$I699&lt;&gt;"خرید"),"",Calc!$G699)</f>
        <v/>
      </c>
      <c r="B696">
        <f>IF($A696="","",LEFT(Calc!$E699,4)&amp;MID(Calc!$E699,6,2)&amp;RIGHT(Calc!$E699,2)&amp;Calc!$R699&amp;"|"&amp;"1"&amp;RIGHT("00000"&amp;691,5))</f>
        <v/>
      </c>
      <c r="C696">
        <f>IF($B696="","",COUNTIFS(LdgPartyA,$A696,LdgKeyA,"&lt;"&amp;$B696)+COUNTIFS(LdgPartyB,$A696,LdgKeyB,"&lt;"&amp;$B696)+1)</f>
        <v/>
      </c>
      <c r="D696">
        <f>IF($C696="","",$A696&amp;"|"&amp;RIGHT("000000"&amp;$C696,6))</f>
        <v/>
      </c>
      <c r="F696">
        <f>IF(Sync!$AJ696="","",Sync!$AJ696)</f>
        <v/>
      </c>
      <c r="G696">
        <f>IF($F696="","",IF(Sync!$AG696="","",IF(ISNUMBER(Sync!$AG696),IF(AND(Sync!$AG696&gt;=10000101,Sync!$AG696&lt;=99991231),INT(Sync!$AG696/10000),""),IFERROR(VALUE(TRIM(LEFT(Sync!$AG696,FIND("/",Sync!$AG696)-1))),""))))</f>
        <v/>
      </c>
      <c r="H696">
        <f>IF(OR($F696="",$G696=""),"",IF(ISNUMBER(Sync!$AG696),INT(MOD(Sync!$AG696,10000)/100),IFERROR(VALUE(TRIM(LEFT(MID(Sync!$AG696,FIND("/",Sync!$AG696)+1,20),FIND("/",MID(Sync!$AG696,FIND("/",Sync!$AG696)+1,20))-1))),"")))</f>
        <v/>
      </c>
      <c r="I696">
        <f>IF(OR($F696="",$G696=""),"",IF(ISNUMBER(Sync!$AG696),MOD(Sync!$AG696,100),IFERROR(VALUE(TRIM(MID(MID(Sync!$AG696,FIND("/",Sync!$AG696)+1,20),FIND("/",MID(Sync!$AG696,FIND("/",Sync!$AG696)+1,20))+1,20))),"")))</f>
        <v/>
      </c>
      <c r="J696">
        <f>IF($F696="","",IF(OR($G696="",$H696="",$I696="",$G696&lt;1300,$G696&gt;1500,$H696&lt;1,$H696&gt;12,$I696&lt;1,$I696&gt;31),"نامعتبر",RIGHT("0000"&amp;$G696,4)&amp;"/"&amp;RIGHT("00"&amp;$H696,2)&amp;"/"&amp;RIGHT("00"&amp;$I696,2)))</f>
        <v/>
      </c>
      <c r="K696">
        <f>IF(OR($F696="",$J696="",$J696="نامعتبر"),"",LEFT($J696,4)&amp;MID($J696,6,2)&amp;RIGHT($J696,2)&amp;$N696&amp;"|"&amp;"2"&amp;RIGHT("00000"&amp;691,5))</f>
        <v/>
      </c>
      <c r="L696">
        <f>IF($K696="","",COUNTIFS(LdgPartyA,$F696,LdgKeyA,"&lt;"&amp;$K696)+COUNTIFS(LdgPartyB,$F696,LdgKeyB,"&lt;"&amp;$K696)+1)</f>
        <v/>
      </c>
      <c r="M696">
        <f>IF($L696="","",$F696&amp;"|"&amp;RIGHT("000000"&amp;$L696,6))</f>
        <v/>
      </c>
      <c r="N696">
        <f>IF($F696="","",IF(Sync!$AH696="","0000",IF(AND(ISNUMBER(Sync!$AH696),Sync!$AH696&gt;=0,Sync!$AH696&lt;1),RIGHT("00"&amp;HOUR(Sync!$AH696),2)&amp;RIGHT("00"&amp;MINUTE(Sync!$AH696),2),IFERROR(RIGHT("00"&amp;VALUE(LEFT(Sync!$AH696,FIND(":",Sync!$AH696)-1)),2)&amp;RIGHT("00"&amp;VALUE(MID(Sync!$AH696,FIND(":",Sync!$AH696)+1,2)),2),"0000"))))</f>
        <v/>
      </c>
    </row>
    <row r="697">
      <c r="A697">
        <f>IF(OR(Calc!$E700="",Calc!$E700="نامعتبر",Calc!$G700="",Calc!$I700&lt;&gt;"خرید"),"",Calc!$G700)</f>
        <v/>
      </c>
      <c r="B697">
        <f>IF($A697="","",LEFT(Calc!$E700,4)&amp;MID(Calc!$E700,6,2)&amp;RIGHT(Calc!$E700,2)&amp;Calc!$R700&amp;"|"&amp;"1"&amp;RIGHT("00000"&amp;692,5))</f>
        <v/>
      </c>
      <c r="C697">
        <f>IF($B697="","",COUNTIFS(LdgPartyA,$A697,LdgKeyA,"&lt;"&amp;$B697)+COUNTIFS(LdgPartyB,$A697,LdgKeyB,"&lt;"&amp;$B697)+1)</f>
        <v/>
      </c>
      <c r="D697">
        <f>IF($C697="","",$A697&amp;"|"&amp;RIGHT("000000"&amp;$C697,6))</f>
        <v/>
      </c>
      <c r="F697">
        <f>IF(Sync!$AJ697="","",Sync!$AJ697)</f>
        <v/>
      </c>
      <c r="G697">
        <f>IF($F697="","",IF(Sync!$AG697="","",IF(ISNUMBER(Sync!$AG697),IF(AND(Sync!$AG697&gt;=10000101,Sync!$AG697&lt;=99991231),INT(Sync!$AG697/10000),""),IFERROR(VALUE(TRIM(LEFT(Sync!$AG697,FIND("/",Sync!$AG697)-1))),""))))</f>
        <v/>
      </c>
      <c r="H697">
        <f>IF(OR($F697="",$G697=""),"",IF(ISNUMBER(Sync!$AG697),INT(MOD(Sync!$AG697,10000)/100),IFERROR(VALUE(TRIM(LEFT(MID(Sync!$AG697,FIND("/",Sync!$AG697)+1,20),FIND("/",MID(Sync!$AG697,FIND("/",Sync!$AG697)+1,20))-1))),"")))</f>
        <v/>
      </c>
      <c r="I697">
        <f>IF(OR($F697="",$G697=""),"",IF(ISNUMBER(Sync!$AG697),MOD(Sync!$AG697,100),IFERROR(VALUE(TRIM(MID(MID(Sync!$AG697,FIND("/",Sync!$AG697)+1,20),FIND("/",MID(Sync!$AG697,FIND("/",Sync!$AG697)+1,20))+1,20))),"")))</f>
        <v/>
      </c>
      <c r="J697">
        <f>IF($F697="","",IF(OR($G697="",$H697="",$I697="",$G697&lt;1300,$G697&gt;1500,$H697&lt;1,$H697&gt;12,$I697&lt;1,$I697&gt;31),"نامعتبر",RIGHT("0000"&amp;$G697,4)&amp;"/"&amp;RIGHT("00"&amp;$H697,2)&amp;"/"&amp;RIGHT("00"&amp;$I697,2)))</f>
        <v/>
      </c>
      <c r="K697">
        <f>IF(OR($F697="",$J697="",$J697="نامعتبر"),"",LEFT($J697,4)&amp;MID($J697,6,2)&amp;RIGHT($J697,2)&amp;$N697&amp;"|"&amp;"2"&amp;RIGHT("00000"&amp;692,5))</f>
        <v/>
      </c>
      <c r="L697">
        <f>IF($K697="","",COUNTIFS(LdgPartyA,$F697,LdgKeyA,"&lt;"&amp;$K697)+COUNTIFS(LdgPartyB,$F697,LdgKeyB,"&lt;"&amp;$K697)+1)</f>
        <v/>
      </c>
      <c r="M697">
        <f>IF($L697="","",$F697&amp;"|"&amp;RIGHT("000000"&amp;$L697,6))</f>
        <v/>
      </c>
      <c r="N697">
        <f>IF($F697="","",IF(Sync!$AH697="","0000",IF(AND(ISNUMBER(Sync!$AH697),Sync!$AH697&gt;=0,Sync!$AH697&lt;1),RIGHT("00"&amp;HOUR(Sync!$AH697),2)&amp;RIGHT("00"&amp;MINUTE(Sync!$AH697),2),IFERROR(RIGHT("00"&amp;VALUE(LEFT(Sync!$AH697,FIND(":",Sync!$AH697)-1)),2)&amp;RIGHT("00"&amp;VALUE(MID(Sync!$AH697,FIND(":",Sync!$AH697)+1,2)),2),"0000"))))</f>
        <v/>
      </c>
    </row>
    <row r="698">
      <c r="A698">
        <f>IF(OR(Calc!$E701="",Calc!$E701="نامعتبر",Calc!$G701="",Calc!$I701&lt;&gt;"خرید"),"",Calc!$G701)</f>
        <v/>
      </c>
      <c r="B698">
        <f>IF($A698="","",LEFT(Calc!$E701,4)&amp;MID(Calc!$E701,6,2)&amp;RIGHT(Calc!$E701,2)&amp;Calc!$R701&amp;"|"&amp;"1"&amp;RIGHT("00000"&amp;693,5))</f>
        <v/>
      </c>
      <c r="C698">
        <f>IF($B698="","",COUNTIFS(LdgPartyA,$A698,LdgKeyA,"&lt;"&amp;$B698)+COUNTIFS(LdgPartyB,$A698,LdgKeyB,"&lt;"&amp;$B698)+1)</f>
        <v/>
      </c>
      <c r="D698">
        <f>IF($C698="","",$A698&amp;"|"&amp;RIGHT("000000"&amp;$C698,6))</f>
        <v/>
      </c>
      <c r="F698">
        <f>IF(Sync!$AJ698="","",Sync!$AJ698)</f>
        <v/>
      </c>
      <c r="G698">
        <f>IF($F698="","",IF(Sync!$AG698="","",IF(ISNUMBER(Sync!$AG698),IF(AND(Sync!$AG698&gt;=10000101,Sync!$AG698&lt;=99991231),INT(Sync!$AG698/10000),""),IFERROR(VALUE(TRIM(LEFT(Sync!$AG698,FIND("/",Sync!$AG698)-1))),""))))</f>
        <v/>
      </c>
      <c r="H698">
        <f>IF(OR($F698="",$G698=""),"",IF(ISNUMBER(Sync!$AG698),INT(MOD(Sync!$AG698,10000)/100),IFERROR(VALUE(TRIM(LEFT(MID(Sync!$AG698,FIND("/",Sync!$AG698)+1,20),FIND("/",MID(Sync!$AG698,FIND("/",Sync!$AG698)+1,20))-1))),"")))</f>
        <v/>
      </c>
      <c r="I698">
        <f>IF(OR($F698="",$G698=""),"",IF(ISNUMBER(Sync!$AG698),MOD(Sync!$AG698,100),IFERROR(VALUE(TRIM(MID(MID(Sync!$AG698,FIND("/",Sync!$AG698)+1,20),FIND("/",MID(Sync!$AG698,FIND("/",Sync!$AG698)+1,20))+1,20))),"")))</f>
        <v/>
      </c>
      <c r="J698">
        <f>IF($F698="","",IF(OR($G698="",$H698="",$I698="",$G698&lt;1300,$G698&gt;1500,$H698&lt;1,$H698&gt;12,$I698&lt;1,$I698&gt;31),"نامعتبر",RIGHT("0000"&amp;$G698,4)&amp;"/"&amp;RIGHT("00"&amp;$H698,2)&amp;"/"&amp;RIGHT("00"&amp;$I698,2)))</f>
        <v/>
      </c>
      <c r="K698">
        <f>IF(OR($F698="",$J698="",$J698="نامعتبر"),"",LEFT($J698,4)&amp;MID($J698,6,2)&amp;RIGHT($J698,2)&amp;$N698&amp;"|"&amp;"2"&amp;RIGHT("00000"&amp;693,5))</f>
        <v/>
      </c>
      <c r="L698">
        <f>IF($K698="","",COUNTIFS(LdgPartyA,$F698,LdgKeyA,"&lt;"&amp;$K698)+COUNTIFS(LdgPartyB,$F698,LdgKeyB,"&lt;"&amp;$K698)+1)</f>
        <v/>
      </c>
      <c r="M698">
        <f>IF($L698="","",$F698&amp;"|"&amp;RIGHT("000000"&amp;$L698,6))</f>
        <v/>
      </c>
      <c r="N698">
        <f>IF($F698="","",IF(Sync!$AH698="","0000",IF(AND(ISNUMBER(Sync!$AH698),Sync!$AH698&gt;=0,Sync!$AH698&lt;1),RIGHT("00"&amp;HOUR(Sync!$AH698),2)&amp;RIGHT("00"&amp;MINUTE(Sync!$AH698),2),IFERROR(RIGHT("00"&amp;VALUE(LEFT(Sync!$AH698,FIND(":",Sync!$AH698)-1)),2)&amp;RIGHT("00"&amp;VALUE(MID(Sync!$AH698,FIND(":",Sync!$AH698)+1,2)),2),"0000"))))</f>
        <v/>
      </c>
    </row>
    <row r="699">
      <c r="A699">
        <f>IF(OR(Calc!$E702="",Calc!$E702="نامعتبر",Calc!$G702="",Calc!$I702&lt;&gt;"خرید"),"",Calc!$G702)</f>
        <v/>
      </c>
      <c r="B699">
        <f>IF($A699="","",LEFT(Calc!$E702,4)&amp;MID(Calc!$E702,6,2)&amp;RIGHT(Calc!$E702,2)&amp;Calc!$R702&amp;"|"&amp;"1"&amp;RIGHT("00000"&amp;694,5))</f>
        <v/>
      </c>
      <c r="C699">
        <f>IF($B699="","",COUNTIFS(LdgPartyA,$A699,LdgKeyA,"&lt;"&amp;$B699)+COUNTIFS(LdgPartyB,$A699,LdgKeyB,"&lt;"&amp;$B699)+1)</f>
        <v/>
      </c>
      <c r="D699">
        <f>IF($C699="","",$A699&amp;"|"&amp;RIGHT("000000"&amp;$C699,6))</f>
        <v/>
      </c>
      <c r="F699">
        <f>IF(Sync!$AJ699="","",Sync!$AJ699)</f>
        <v/>
      </c>
      <c r="G699">
        <f>IF($F699="","",IF(Sync!$AG699="","",IF(ISNUMBER(Sync!$AG699),IF(AND(Sync!$AG699&gt;=10000101,Sync!$AG699&lt;=99991231),INT(Sync!$AG699/10000),""),IFERROR(VALUE(TRIM(LEFT(Sync!$AG699,FIND("/",Sync!$AG699)-1))),""))))</f>
        <v/>
      </c>
      <c r="H699">
        <f>IF(OR($F699="",$G699=""),"",IF(ISNUMBER(Sync!$AG699),INT(MOD(Sync!$AG699,10000)/100),IFERROR(VALUE(TRIM(LEFT(MID(Sync!$AG699,FIND("/",Sync!$AG699)+1,20),FIND("/",MID(Sync!$AG699,FIND("/",Sync!$AG699)+1,20))-1))),"")))</f>
        <v/>
      </c>
      <c r="I699">
        <f>IF(OR($F699="",$G699=""),"",IF(ISNUMBER(Sync!$AG699),MOD(Sync!$AG699,100),IFERROR(VALUE(TRIM(MID(MID(Sync!$AG699,FIND("/",Sync!$AG699)+1,20),FIND("/",MID(Sync!$AG699,FIND("/",Sync!$AG699)+1,20))+1,20))),"")))</f>
        <v/>
      </c>
      <c r="J699">
        <f>IF($F699="","",IF(OR($G699="",$H699="",$I699="",$G699&lt;1300,$G699&gt;1500,$H699&lt;1,$H699&gt;12,$I699&lt;1,$I699&gt;31),"نامعتبر",RIGHT("0000"&amp;$G699,4)&amp;"/"&amp;RIGHT("00"&amp;$H699,2)&amp;"/"&amp;RIGHT("00"&amp;$I699,2)))</f>
        <v/>
      </c>
      <c r="K699">
        <f>IF(OR($F699="",$J699="",$J699="نامعتبر"),"",LEFT($J699,4)&amp;MID($J699,6,2)&amp;RIGHT($J699,2)&amp;$N699&amp;"|"&amp;"2"&amp;RIGHT("00000"&amp;694,5))</f>
        <v/>
      </c>
      <c r="L699">
        <f>IF($K699="","",COUNTIFS(LdgPartyA,$F699,LdgKeyA,"&lt;"&amp;$K699)+COUNTIFS(LdgPartyB,$F699,LdgKeyB,"&lt;"&amp;$K699)+1)</f>
        <v/>
      </c>
      <c r="M699">
        <f>IF($L699="","",$F699&amp;"|"&amp;RIGHT("000000"&amp;$L699,6))</f>
        <v/>
      </c>
      <c r="N699">
        <f>IF($F699="","",IF(Sync!$AH699="","0000",IF(AND(ISNUMBER(Sync!$AH699),Sync!$AH699&gt;=0,Sync!$AH699&lt;1),RIGHT("00"&amp;HOUR(Sync!$AH699),2)&amp;RIGHT("00"&amp;MINUTE(Sync!$AH699),2),IFERROR(RIGHT("00"&amp;VALUE(LEFT(Sync!$AH699,FIND(":",Sync!$AH699)-1)),2)&amp;RIGHT("00"&amp;VALUE(MID(Sync!$AH699,FIND(":",Sync!$AH699)+1,2)),2),"0000"))))</f>
        <v/>
      </c>
    </row>
    <row r="700">
      <c r="A700">
        <f>IF(OR(Calc!$E703="",Calc!$E703="نامعتبر",Calc!$G703="",Calc!$I703&lt;&gt;"خرید"),"",Calc!$G703)</f>
        <v/>
      </c>
      <c r="B700">
        <f>IF($A700="","",LEFT(Calc!$E703,4)&amp;MID(Calc!$E703,6,2)&amp;RIGHT(Calc!$E703,2)&amp;Calc!$R703&amp;"|"&amp;"1"&amp;RIGHT("00000"&amp;695,5))</f>
        <v/>
      </c>
      <c r="C700">
        <f>IF($B700="","",COUNTIFS(LdgPartyA,$A700,LdgKeyA,"&lt;"&amp;$B700)+COUNTIFS(LdgPartyB,$A700,LdgKeyB,"&lt;"&amp;$B700)+1)</f>
        <v/>
      </c>
      <c r="D700">
        <f>IF($C700="","",$A700&amp;"|"&amp;RIGHT("000000"&amp;$C700,6))</f>
        <v/>
      </c>
      <c r="F700">
        <f>IF(Sync!$AJ700="","",Sync!$AJ700)</f>
        <v/>
      </c>
      <c r="G700">
        <f>IF($F700="","",IF(Sync!$AG700="","",IF(ISNUMBER(Sync!$AG700),IF(AND(Sync!$AG700&gt;=10000101,Sync!$AG700&lt;=99991231),INT(Sync!$AG700/10000),""),IFERROR(VALUE(TRIM(LEFT(Sync!$AG700,FIND("/",Sync!$AG700)-1))),""))))</f>
        <v/>
      </c>
      <c r="H700">
        <f>IF(OR($F700="",$G700=""),"",IF(ISNUMBER(Sync!$AG700),INT(MOD(Sync!$AG700,10000)/100),IFERROR(VALUE(TRIM(LEFT(MID(Sync!$AG700,FIND("/",Sync!$AG700)+1,20),FIND("/",MID(Sync!$AG700,FIND("/",Sync!$AG700)+1,20))-1))),"")))</f>
        <v/>
      </c>
      <c r="I700">
        <f>IF(OR($F700="",$G700=""),"",IF(ISNUMBER(Sync!$AG700),MOD(Sync!$AG700,100),IFERROR(VALUE(TRIM(MID(MID(Sync!$AG700,FIND("/",Sync!$AG700)+1,20),FIND("/",MID(Sync!$AG700,FIND("/",Sync!$AG700)+1,20))+1,20))),"")))</f>
        <v/>
      </c>
      <c r="J700">
        <f>IF($F700="","",IF(OR($G700="",$H700="",$I700="",$G700&lt;1300,$G700&gt;1500,$H700&lt;1,$H700&gt;12,$I700&lt;1,$I700&gt;31),"نامعتبر",RIGHT("0000"&amp;$G700,4)&amp;"/"&amp;RIGHT("00"&amp;$H700,2)&amp;"/"&amp;RIGHT("00"&amp;$I700,2)))</f>
        <v/>
      </c>
      <c r="K700">
        <f>IF(OR($F700="",$J700="",$J700="نامعتبر"),"",LEFT($J700,4)&amp;MID($J700,6,2)&amp;RIGHT($J700,2)&amp;$N700&amp;"|"&amp;"2"&amp;RIGHT("00000"&amp;695,5))</f>
        <v/>
      </c>
      <c r="L700">
        <f>IF($K700="","",COUNTIFS(LdgPartyA,$F700,LdgKeyA,"&lt;"&amp;$K700)+COUNTIFS(LdgPartyB,$F700,LdgKeyB,"&lt;"&amp;$K700)+1)</f>
        <v/>
      </c>
      <c r="M700">
        <f>IF($L700="","",$F700&amp;"|"&amp;RIGHT("000000"&amp;$L700,6))</f>
        <v/>
      </c>
      <c r="N700">
        <f>IF($F700="","",IF(Sync!$AH700="","0000",IF(AND(ISNUMBER(Sync!$AH700),Sync!$AH700&gt;=0,Sync!$AH700&lt;1),RIGHT("00"&amp;HOUR(Sync!$AH700),2)&amp;RIGHT("00"&amp;MINUTE(Sync!$AH700),2),IFERROR(RIGHT("00"&amp;VALUE(LEFT(Sync!$AH700,FIND(":",Sync!$AH700)-1)),2)&amp;RIGHT("00"&amp;VALUE(MID(Sync!$AH700,FIND(":",Sync!$AH700)+1,2)),2),"0000"))))</f>
        <v/>
      </c>
    </row>
    <row r="701">
      <c r="A701">
        <f>IF(OR(Calc!$E704="",Calc!$E704="نامعتبر",Calc!$G704="",Calc!$I704&lt;&gt;"خرید"),"",Calc!$G704)</f>
        <v/>
      </c>
      <c r="B701">
        <f>IF($A701="","",LEFT(Calc!$E704,4)&amp;MID(Calc!$E704,6,2)&amp;RIGHT(Calc!$E704,2)&amp;Calc!$R704&amp;"|"&amp;"1"&amp;RIGHT("00000"&amp;696,5))</f>
        <v/>
      </c>
      <c r="C701">
        <f>IF($B701="","",COUNTIFS(LdgPartyA,$A701,LdgKeyA,"&lt;"&amp;$B701)+COUNTIFS(LdgPartyB,$A701,LdgKeyB,"&lt;"&amp;$B701)+1)</f>
        <v/>
      </c>
      <c r="D701">
        <f>IF($C701="","",$A701&amp;"|"&amp;RIGHT("000000"&amp;$C701,6))</f>
        <v/>
      </c>
      <c r="F701">
        <f>IF(Sync!$AJ701="","",Sync!$AJ701)</f>
        <v/>
      </c>
      <c r="G701">
        <f>IF($F701="","",IF(Sync!$AG701="","",IF(ISNUMBER(Sync!$AG701),IF(AND(Sync!$AG701&gt;=10000101,Sync!$AG701&lt;=99991231),INT(Sync!$AG701/10000),""),IFERROR(VALUE(TRIM(LEFT(Sync!$AG701,FIND("/",Sync!$AG701)-1))),""))))</f>
        <v/>
      </c>
      <c r="H701">
        <f>IF(OR($F701="",$G701=""),"",IF(ISNUMBER(Sync!$AG701),INT(MOD(Sync!$AG701,10000)/100),IFERROR(VALUE(TRIM(LEFT(MID(Sync!$AG701,FIND("/",Sync!$AG701)+1,20),FIND("/",MID(Sync!$AG701,FIND("/",Sync!$AG701)+1,20))-1))),"")))</f>
        <v/>
      </c>
      <c r="I701">
        <f>IF(OR($F701="",$G701=""),"",IF(ISNUMBER(Sync!$AG701),MOD(Sync!$AG701,100),IFERROR(VALUE(TRIM(MID(MID(Sync!$AG701,FIND("/",Sync!$AG701)+1,20),FIND("/",MID(Sync!$AG701,FIND("/",Sync!$AG701)+1,20))+1,20))),"")))</f>
        <v/>
      </c>
      <c r="J701">
        <f>IF($F701="","",IF(OR($G701="",$H701="",$I701="",$G701&lt;1300,$G701&gt;1500,$H701&lt;1,$H701&gt;12,$I701&lt;1,$I701&gt;31),"نامعتبر",RIGHT("0000"&amp;$G701,4)&amp;"/"&amp;RIGHT("00"&amp;$H701,2)&amp;"/"&amp;RIGHT("00"&amp;$I701,2)))</f>
        <v/>
      </c>
      <c r="K701">
        <f>IF(OR($F701="",$J701="",$J701="نامعتبر"),"",LEFT($J701,4)&amp;MID($J701,6,2)&amp;RIGHT($J701,2)&amp;$N701&amp;"|"&amp;"2"&amp;RIGHT("00000"&amp;696,5))</f>
        <v/>
      </c>
      <c r="L701">
        <f>IF($K701="","",COUNTIFS(LdgPartyA,$F701,LdgKeyA,"&lt;"&amp;$K701)+COUNTIFS(LdgPartyB,$F701,LdgKeyB,"&lt;"&amp;$K701)+1)</f>
        <v/>
      </c>
      <c r="M701">
        <f>IF($L701="","",$F701&amp;"|"&amp;RIGHT("000000"&amp;$L701,6))</f>
        <v/>
      </c>
      <c r="N701">
        <f>IF($F701="","",IF(Sync!$AH701="","0000",IF(AND(ISNUMBER(Sync!$AH701),Sync!$AH701&gt;=0,Sync!$AH701&lt;1),RIGHT("00"&amp;HOUR(Sync!$AH701),2)&amp;RIGHT("00"&amp;MINUTE(Sync!$AH701),2),IFERROR(RIGHT("00"&amp;VALUE(LEFT(Sync!$AH701,FIND(":",Sync!$AH701)-1)),2)&amp;RIGHT("00"&amp;VALUE(MID(Sync!$AH701,FIND(":",Sync!$AH701)+1,2)),2),"0000"))))</f>
        <v/>
      </c>
    </row>
    <row r="702">
      <c r="A702">
        <f>IF(OR(Calc!$E705="",Calc!$E705="نامعتبر",Calc!$G705="",Calc!$I705&lt;&gt;"خرید"),"",Calc!$G705)</f>
        <v/>
      </c>
      <c r="B702">
        <f>IF($A702="","",LEFT(Calc!$E705,4)&amp;MID(Calc!$E705,6,2)&amp;RIGHT(Calc!$E705,2)&amp;Calc!$R705&amp;"|"&amp;"1"&amp;RIGHT("00000"&amp;697,5))</f>
        <v/>
      </c>
      <c r="C702">
        <f>IF($B702="","",COUNTIFS(LdgPartyA,$A702,LdgKeyA,"&lt;"&amp;$B702)+COUNTIFS(LdgPartyB,$A702,LdgKeyB,"&lt;"&amp;$B702)+1)</f>
        <v/>
      </c>
      <c r="D702">
        <f>IF($C702="","",$A702&amp;"|"&amp;RIGHT("000000"&amp;$C702,6))</f>
        <v/>
      </c>
      <c r="F702">
        <f>IF(Sync!$AJ702="","",Sync!$AJ702)</f>
        <v/>
      </c>
      <c r="G702">
        <f>IF($F702="","",IF(Sync!$AG702="","",IF(ISNUMBER(Sync!$AG702),IF(AND(Sync!$AG702&gt;=10000101,Sync!$AG702&lt;=99991231),INT(Sync!$AG702/10000),""),IFERROR(VALUE(TRIM(LEFT(Sync!$AG702,FIND("/",Sync!$AG702)-1))),""))))</f>
        <v/>
      </c>
      <c r="H702">
        <f>IF(OR($F702="",$G702=""),"",IF(ISNUMBER(Sync!$AG702),INT(MOD(Sync!$AG702,10000)/100),IFERROR(VALUE(TRIM(LEFT(MID(Sync!$AG702,FIND("/",Sync!$AG702)+1,20),FIND("/",MID(Sync!$AG702,FIND("/",Sync!$AG702)+1,20))-1))),"")))</f>
        <v/>
      </c>
      <c r="I702">
        <f>IF(OR($F702="",$G702=""),"",IF(ISNUMBER(Sync!$AG702),MOD(Sync!$AG702,100),IFERROR(VALUE(TRIM(MID(MID(Sync!$AG702,FIND("/",Sync!$AG702)+1,20),FIND("/",MID(Sync!$AG702,FIND("/",Sync!$AG702)+1,20))+1,20))),"")))</f>
        <v/>
      </c>
      <c r="J702">
        <f>IF($F702="","",IF(OR($G702="",$H702="",$I702="",$G702&lt;1300,$G702&gt;1500,$H702&lt;1,$H702&gt;12,$I702&lt;1,$I702&gt;31),"نامعتبر",RIGHT("0000"&amp;$G702,4)&amp;"/"&amp;RIGHT("00"&amp;$H702,2)&amp;"/"&amp;RIGHT("00"&amp;$I702,2)))</f>
        <v/>
      </c>
      <c r="K702">
        <f>IF(OR($F702="",$J702="",$J702="نامعتبر"),"",LEFT($J702,4)&amp;MID($J702,6,2)&amp;RIGHT($J702,2)&amp;$N702&amp;"|"&amp;"2"&amp;RIGHT("00000"&amp;697,5))</f>
        <v/>
      </c>
      <c r="L702">
        <f>IF($K702="","",COUNTIFS(LdgPartyA,$F702,LdgKeyA,"&lt;"&amp;$K702)+COUNTIFS(LdgPartyB,$F702,LdgKeyB,"&lt;"&amp;$K702)+1)</f>
        <v/>
      </c>
      <c r="M702">
        <f>IF($L702="","",$F702&amp;"|"&amp;RIGHT("000000"&amp;$L702,6))</f>
        <v/>
      </c>
      <c r="N702">
        <f>IF($F702="","",IF(Sync!$AH702="","0000",IF(AND(ISNUMBER(Sync!$AH702),Sync!$AH702&gt;=0,Sync!$AH702&lt;1),RIGHT("00"&amp;HOUR(Sync!$AH702),2)&amp;RIGHT("00"&amp;MINUTE(Sync!$AH702),2),IFERROR(RIGHT("00"&amp;VALUE(LEFT(Sync!$AH702,FIND(":",Sync!$AH702)-1)),2)&amp;RIGHT("00"&amp;VALUE(MID(Sync!$AH702,FIND(":",Sync!$AH702)+1,2)),2),"0000"))))</f>
        <v/>
      </c>
    </row>
    <row r="703">
      <c r="A703">
        <f>IF(OR(Calc!$E706="",Calc!$E706="نامعتبر",Calc!$G706="",Calc!$I706&lt;&gt;"خرید"),"",Calc!$G706)</f>
        <v/>
      </c>
      <c r="B703">
        <f>IF($A703="","",LEFT(Calc!$E706,4)&amp;MID(Calc!$E706,6,2)&amp;RIGHT(Calc!$E706,2)&amp;Calc!$R706&amp;"|"&amp;"1"&amp;RIGHT("00000"&amp;698,5))</f>
        <v/>
      </c>
      <c r="C703">
        <f>IF($B703="","",COUNTIFS(LdgPartyA,$A703,LdgKeyA,"&lt;"&amp;$B703)+COUNTIFS(LdgPartyB,$A703,LdgKeyB,"&lt;"&amp;$B703)+1)</f>
        <v/>
      </c>
      <c r="D703">
        <f>IF($C703="","",$A703&amp;"|"&amp;RIGHT("000000"&amp;$C703,6))</f>
        <v/>
      </c>
      <c r="F703">
        <f>IF(Sync!$AJ703="","",Sync!$AJ703)</f>
        <v/>
      </c>
      <c r="G703">
        <f>IF($F703="","",IF(Sync!$AG703="","",IF(ISNUMBER(Sync!$AG703),IF(AND(Sync!$AG703&gt;=10000101,Sync!$AG703&lt;=99991231),INT(Sync!$AG703/10000),""),IFERROR(VALUE(TRIM(LEFT(Sync!$AG703,FIND("/",Sync!$AG703)-1))),""))))</f>
        <v/>
      </c>
      <c r="H703">
        <f>IF(OR($F703="",$G703=""),"",IF(ISNUMBER(Sync!$AG703),INT(MOD(Sync!$AG703,10000)/100),IFERROR(VALUE(TRIM(LEFT(MID(Sync!$AG703,FIND("/",Sync!$AG703)+1,20),FIND("/",MID(Sync!$AG703,FIND("/",Sync!$AG703)+1,20))-1))),"")))</f>
        <v/>
      </c>
      <c r="I703">
        <f>IF(OR($F703="",$G703=""),"",IF(ISNUMBER(Sync!$AG703),MOD(Sync!$AG703,100),IFERROR(VALUE(TRIM(MID(MID(Sync!$AG703,FIND("/",Sync!$AG703)+1,20),FIND("/",MID(Sync!$AG703,FIND("/",Sync!$AG703)+1,20))+1,20))),"")))</f>
        <v/>
      </c>
      <c r="J703">
        <f>IF($F703="","",IF(OR($G703="",$H703="",$I703="",$G703&lt;1300,$G703&gt;1500,$H703&lt;1,$H703&gt;12,$I703&lt;1,$I703&gt;31),"نامعتبر",RIGHT("0000"&amp;$G703,4)&amp;"/"&amp;RIGHT("00"&amp;$H703,2)&amp;"/"&amp;RIGHT("00"&amp;$I703,2)))</f>
        <v/>
      </c>
      <c r="K703">
        <f>IF(OR($F703="",$J703="",$J703="نامعتبر"),"",LEFT($J703,4)&amp;MID($J703,6,2)&amp;RIGHT($J703,2)&amp;$N703&amp;"|"&amp;"2"&amp;RIGHT("00000"&amp;698,5))</f>
        <v/>
      </c>
      <c r="L703">
        <f>IF($K703="","",COUNTIFS(LdgPartyA,$F703,LdgKeyA,"&lt;"&amp;$K703)+COUNTIFS(LdgPartyB,$F703,LdgKeyB,"&lt;"&amp;$K703)+1)</f>
        <v/>
      </c>
      <c r="M703">
        <f>IF($L703="","",$F703&amp;"|"&amp;RIGHT("000000"&amp;$L703,6))</f>
        <v/>
      </c>
      <c r="N703">
        <f>IF($F703="","",IF(Sync!$AH703="","0000",IF(AND(ISNUMBER(Sync!$AH703),Sync!$AH703&gt;=0,Sync!$AH703&lt;1),RIGHT("00"&amp;HOUR(Sync!$AH703),2)&amp;RIGHT("00"&amp;MINUTE(Sync!$AH703),2),IFERROR(RIGHT("00"&amp;VALUE(LEFT(Sync!$AH703,FIND(":",Sync!$AH703)-1)),2)&amp;RIGHT("00"&amp;VALUE(MID(Sync!$AH703,FIND(":",Sync!$AH703)+1,2)),2),"0000"))))</f>
        <v/>
      </c>
    </row>
    <row r="704">
      <c r="A704">
        <f>IF(OR(Calc!$E707="",Calc!$E707="نامعتبر",Calc!$G707="",Calc!$I707&lt;&gt;"خرید"),"",Calc!$G707)</f>
        <v/>
      </c>
      <c r="B704">
        <f>IF($A704="","",LEFT(Calc!$E707,4)&amp;MID(Calc!$E707,6,2)&amp;RIGHT(Calc!$E707,2)&amp;Calc!$R707&amp;"|"&amp;"1"&amp;RIGHT("00000"&amp;699,5))</f>
        <v/>
      </c>
      <c r="C704">
        <f>IF($B704="","",COUNTIFS(LdgPartyA,$A704,LdgKeyA,"&lt;"&amp;$B704)+COUNTIFS(LdgPartyB,$A704,LdgKeyB,"&lt;"&amp;$B704)+1)</f>
        <v/>
      </c>
      <c r="D704">
        <f>IF($C704="","",$A704&amp;"|"&amp;RIGHT("000000"&amp;$C704,6))</f>
        <v/>
      </c>
      <c r="F704">
        <f>IF(Sync!$AJ704="","",Sync!$AJ704)</f>
        <v/>
      </c>
      <c r="G704">
        <f>IF($F704="","",IF(Sync!$AG704="","",IF(ISNUMBER(Sync!$AG704),IF(AND(Sync!$AG704&gt;=10000101,Sync!$AG704&lt;=99991231),INT(Sync!$AG704/10000),""),IFERROR(VALUE(TRIM(LEFT(Sync!$AG704,FIND("/",Sync!$AG704)-1))),""))))</f>
        <v/>
      </c>
      <c r="H704">
        <f>IF(OR($F704="",$G704=""),"",IF(ISNUMBER(Sync!$AG704),INT(MOD(Sync!$AG704,10000)/100),IFERROR(VALUE(TRIM(LEFT(MID(Sync!$AG704,FIND("/",Sync!$AG704)+1,20),FIND("/",MID(Sync!$AG704,FIND("/",Sync!$AG704)+1,20))-1))),"")))</f>
        <v/>
      </c>
      <c r="I704">
        <f>IF(OR($F704="",$G704=""),"",IF(ISNUMBER(Sync!$AG704),MOD(Sync!$AG704,100),IFERROR(VALUE(TRIM(MID(MID(Sync!$AG704,FIND("/",Sync!$AG704)+1,20),FIND("/",MID(Sync!$AG704,FIND("/",Sync!$AG704)+1,20))+1,20))),"")))</f>
        <v/>
      </c>
      <c r="J704">
        <f>IF($F704="","",IF(OR($G704="",$H704="",$I704="",$G704&lt;1300,$G704&gt;1500,$H704&lt;1,$H704&gt;12,$I704&lt;1,$I704&gt;31),"نامعتبر",RIGHT("0000"&amp;$G704,4)&amp;"/"&amp;RIGHT("00"&amp;$H704,2)&amp;"/"&amp;RIGHT("00"&amp;$I704,2)))</f>
        <v/>
      </c>
      <c r="K704">
        <f>IF(OR($F704="",$J704="",$J704="نامعتبر"),"",LEFT($J704,4)&amp;MID($J704,6,2)&amp;RIGHT($J704,2)&amp;$N704&amp;"|"&amp;"2"&amp;RIGHT("00000"&amp;699,5))</f>
        <v/>
      </c>
      <c r="L704">
        <f>IF($K704="","",COUNTIFS(LdgPartyA,$F704,LdgKeyA,"&lt;"&amp;$K704)+COUNTIFS(LdgPartyB,$F704,LdgKeyB,"&lt;"&amp;$K704)+1)</f>
        <v/>
      </c>
      <c r="M704">
        <f>IF($L704="","",$F704&amp;"|"&amp;RIGHT("000000"&amp;$L704,6))</f>
        <v/>
      </c>
      <c r="N704">
        <f>IF($F704="","",IF(Sync!$AH704="","0000",IF(AND(ISNUMBER(Sync!$AH704),Sync!$AH704&gt;=0,Sync!$AH704&lt;1),RIGHT("00"&amp;HOUR(Sync!$AH704),2)&amp;RIGHT("00"&amp;MINUTE(Sync!$AH704),2),IFERROR(RIGHT("00"&amp;VALUE(LEFT(Sync!$AH704,FIND(":",Sync!$AH704)-1)),2)&amp;RIGHT("00"&amp;VALUE(MID(Sync!$AH704,FIND(":",Sync!$AH704)+1,2)),2),"0000"))))</f>
        <v/>
      </c>
    </row>
    <row r="705">
      <c r="A705">
        <f>IF(OR(Calc!$E708="",Calc!$E708="نامعتبر",Calc!$G708="",Calc!$I708&lt;&gt;"خرید"),"",Calc!$G708)</f>
        <v/>
      </c>
      <c r="B705">
        <f>IF($A705="","",LEFT(Calc!$E708,4)&amp;MID(Calc!$E708,6,2)&amp;RIGHT(Calc!$E708,2)&amp;Calc!$R708&amp;"|"&amp;"1"&amp;RIGHT("00000"&amp;700,5))</f>
        <v/>
      </c>
      <c r="C705">
        <f>IF($B705="","",COUNTIFS(LdgPartyA,$A705,LdgKeyA,"&lt;"&amp;$B705)+COUNTIFS(LdgPartyB,$A705,LdgKeyB,"&lt;"&amp;$B705)+1)</f>
        <v/>
      </c>
      <c r="D705">
        <f>IF($C705="","",$A705&amp;"|"&amp;RIGHT("000000"&amp;$C705,6))</f>
        <v/>
      </c>
      <c r="F705">
        <f>IF(Sync!$AJ705="","",Sync!$AJ705)</f>
        <v/>
      </c>
      <c r="G705">
        <f>IF($F705="","",IF(Sync!$AG705="","",IF(ISNUMBER(Sync!$AG705),IF(AND(Sync!$AG705&gt;=10000101,Sync!$AG705&lt;=99991231),INT(Sync!$AG705/10000),""),IFERROR(VALUE(TRIM(LEFT(Sync!$AG705,FIND("/",Sync!$AG705)-1))),""))))</f>
        <v/>
      </c>
      <c r="H705">
        <f>IF(OR($F705="",$G705=""),"",IF(ISNUMBER(Sync!$AG705),INT(MOD(Sync!$AG705,10000)/100),IFERROR(VALUE(TRIM(LEFT(MID(Sync!$AG705,FIND("/",Sync!$AG705)+1,20),FIND("/",MID(Sync!$AG705,FIND("/",Sync!$AG705)+1,20))-1))),"")))</f>
        <v/>
      </c>
      <c r="I705">
        <f>IF(OR($F705="",$G705=""),"",IF(ISNUMBER(Sync!$AG705),MOD(Sync!$AG705,100),IFERROR(VALUE(TRIM(MID(MID(Sync!$AG705,FIND("/",Sync!$AG705)+1,20),FIND("/",MID(Sync!$AG705,FIND("/",Sync!$AG705)+1,20))+1,20))),"")))</f>
        <v/>
      </c>
      <c r="J705">
        <f>IF($F705="","",IF(OR($G705="",$H705="",$I705="",$G705&lt;1300,$G705&gt;1500,$H705&lt;1,$H705&gt;12,$I705&lt;1,$I705&gt;31),"نامعتبر",RIGHT("0000"&amp;$G705,4)&amp;"/"&amp;RIGHT("00"&amp;$H705,2)&amp;"/"&amp;RIGHT("00"&amp;$I705,2)))</f>
        <v/>
      </c>
      <c r="K705">
        <f>IF(OR($F705="",$J705="",$J705="نامعتبر"),"",LEFT($J705,4)&amp;MID($J705,6,2)&amp;RIGHT($J705,2)&amp;$N705&amp;"|"&amp;"2"&amp;RIGHT("00000"&amp;700,5))</f>
        <v/>
      </c>
      <c r="L705">
        <f>IF($K705="","",COUNTIFS(LdgPartyA,$F705,LdgKeyA,"&lt;"&amp;$K705)+COUNTIFS(LdgPartyB,$F705,LdgKeyB,"&lt;"&amp;$K705)+1)</f>
        <v/>
      </c>
      <c r="M705">
        <f>IF($L705="","",$F705&amp;"|"&amp;RIGHT("000000"&amp;$L705,6))</f>
        <v/>
      </c>
      <c r="N705">
        <f>IF($F705="","",IF(Sync!$AH705="","0000",IF(AND(ISNUMBER(Sync!$AH705),Sync!$AH705&gt;=0,Sync!$AH705&lt;1),RIGHT("00"&amp;HOUR(Sync!$AH705),2)&amp;RIGHT("00"&amp;MINUTE(Sync!$AH705),2),IFERROR(RIGHT("00"&amp;VALUE(LEFT(Sync!$AH705,FIND(":",Sync!$AH705)-1)),2)&amp;RIGHT("00"&amp;VALUE(MID(Sync!$AH705,FIND(":",Sync!$AH705)+1,2)),2),"0000"))))</f>
        <v/>
      </c>
    </row>
    <row r="706">
      <c r="A706">
        <f>IF(OR(Calc!$E709="",Calc!$E709="نامعتبر",Calc!$G709="",Calc!$I709&lt;&gt;"خرید"),"",Calc!$G709)</f>
        <v/>
      </c>
      <c r="B706">
        <f>IF($A706="","",LEFT(Calc!$E709,4)&amp;MID(Calc!$E709,6,2)&amp;RIGHT(Calc!$E709,2)&amp;Calc!$R709&amp;"|"&amp;"1"&amp;RIGHT("00000"&amp;701,5))</f>
        <v/>
      </c>
      <c r="C706">
        <f>IF($B706="","",COUNTIFS(LdgPartyA,$A706,LdgKeyA,"&lt;"&amp;$B706)+COUNTIFS(LdgPartyB,$A706,LdgKeyB,"&lt;"&amp;$B706)+1)</f>
        <v/>
      </c>
      <c r="D706">
        <f>IF($C706="","",$A706&amp;"|"&amp;RIGHT("000000"&amp;$C706,6))</f>
        <v/>
      </c>
      <c r="F706">
        <f>IF(Sync!$AJ706="","",Sync!$AJ706)</f>
        <v/>
      </c>
      <c r="G706">
        <f>IF($F706="","",IF(Sync!$AG706="","",IF(ISNUMBER(Sync!$AG706),IF(AND(Sync!$AG706&gt;=10000101,Sync!$AG706&lt;=99991231),INT(Sync!$AG706/10000),""),IFERROR(VALUE(TRIM(LEFT(Sync!$AG706,FIND("/",Sync!$AG706)-1))),""))))</f>
        <v/>
      </c>
      <c r="H706">
        <f>IF(OR($F706="",$G706=""),"",IF(ISNUMBER(Sync!$AG706),INT(MOD(Sync!$AG706,10000)/100),IFERROR(VALUE(TRIM(LEFT(MID(Sync!$AG706,FIND("/",Sync!$AG706)+1,20),FIND("/",MID(Sync!$AG706,FIND("/",Sync!$AG706)+1,20))-1))),"")))</f>
        <v/>
      </c>
      <c r="I706">
        <f>IF(OR($F706="",$G706=""),"",IF(ISNUMBER(Sync!$AG706),MOD(Sync!$AG706,100),IFERROR(VALUE(TRIM(MID(MID(Sync!$AG706,FIND("/",Sync!$AG706)+1,20),FIND("/",MID(Sync!$AG706,FIND("/",Sync!$AG706)+1,20))+1,20))),"")))</f>
        <v/>
      </c>
      <c r="J706">
        <f>IF($F706="","",IF(OR($G706="",$H706="",$I706="",$G706&lt;1300,$G706&gt;1500,$H706&lt;1,$H706&gt;12,$I706&lt;1,$I706&gt;31),"نامعتبر",RIGHT("0000"&amp;$G706,4)&amp;"/"&amp;RIGHT("00"&amp;$H706,2)&amp;"/"&amp;RIGHT("00"&amp;$I706,2)))</f>
        <v/>
      </c>
      <c r="K706">
        <f>IF(OR($F706="",$J706="",$J706="نامعتبر"),"",LEFT($J706,4)&amp;MID($J706,6,2)&amp;RIGHT($J706,2)&amp;$N706&amp;"|"&amp;"2"&amp;RIGHT("00000"&amp;701,5))</f>
        <v/>
      </c>
      <c r="L706">
        <f>IF($K706="","",COUNTIFS(LdgPartyA,$F706,LdgKeyA,"&lt;"&amp;$K706)+COUNTIFS(LdgPartyB,$F706,LdgKeyB,"&lt;"&amp;$K706)+1)</f>
        <v/>
      </c>
      <c r="M706">
        <f>IF($L706="","",$F706&amp;"|"&amp;RIGHT("000000"&amp;$L706,6))</f>
        <v/>
      </c>
      <c r="N706">
        <f>IF($F706="","",IF(Sync!$AH706="","0000",IF(AND(ISNUMBER(Sync!$AH706),Sync!$AH706&gt;=0,Sync!$AH706&lt;1),RIGHT("00"&amp;HOUR(Sync!$AH706),2)&amp;RIGHT("00"&amp;MINUTE(Sync!$AH706),2),IFERROR(RIGHT("00"&amp;VALUE(LEFT(Sync!$AH706,FIND(":",Sync!$AH706)-1)),2)&amp;RIGHT("00"&amp;VALUE(MID(Sync!$AH706,FIND(":",Sync!$AH706)+1,2)),2),"0000"))))</f>
        <v/>
      </c>
    </row>
    <row r="707">
      <c r="A707">
        <f>IF(OR(Calc!$E710="",Calc!$E710="نامعتبر",Calc!$G710="",Calc!$I710&lt;&gt;"خرید"),"",Calc!$G710)</f>
        <v/>
      </c>
      <c r="B707">
        <f>IF($A707="","",LEFT(Calc!$E710,4)&amp;MID(Calc!$E710,6,2)&amp;RIGHT(Calc!$E710,2)&amp;Calc!$R710&amp;"|"&amp;"1"&amp;RIGHT("00000"&amp;702,5))</f>
        <v/>
      </c>
      <c r="C707">
        <f>IF($B707="","",COUNTIFS(LdgPartyA,$A707,LdgKeyA,"&lt;"&amp;$B707)+COUNTIFS(LdgPartyB,$A707,LdgKeyB,"&lt;"&amp;$B707)+1)</f>
        <v/>
      </c>
      <c r="D707">
        <f>IF($C707="","",$A707&amp;"|"&amp;RIGHT("000000"&amp;$C707,6))</f>
        <v/>
      </c>
      <c r="F707">
        <f>IF(Sync!$AJ707="","",Sync!$AJ707)</f>
        <v/>
      </c>
      <c r="G707">
        <f>IF($F707="","",IF(Sync!$AG707="","",IF(ISNUMBER(Sync!$AG707),IF(AND(Sync!$AG707&gt;=10000101,Sync!$AG707&lt;=99991231),INT(Sync!$AG707/10000),""),IFERROR(VALUE(TRIM(LEFT(Sync!$AG707,FIND("/",Sync!$AG707)-1))),""))))</f>
        <v/>
      </c>
      <c r="H707">
        <f>IF(OR($F707="",$G707=""),"",IF(ISNUMBER(Sync!$AG707),INT(MOD(Sync!$AG707,10000)/100),IFERROR(VALUE(TRIM(LEFT(MID(Sync!$AG707,FIND("/",Sync!$AG707)+1,20),FIND("/",MID(Sync!$AG707,FIND("/",Sync!$AG707)+1,20))-1))),"")))</f>
        <v/>
      </c>
      <c r="I707">
        <f>IF(OR($F707="",$G707=""),"",IF(ISNUMBER(Sync!$AG707),MOD(Sync!$AG707,100),IFERROR(VALUE(TRIM(MID(MID(Sync!$AG707,FIND("/",Sync!$AG707)+1,20),FIND("/",MID(Sync!$AG707,FIND("/",Sync!$AG707)+1,20))+1,20))),"")))</f>
        <v/>
      </c>
      <c r="J707">
        <f>IF($F707="","",IF(OR($G707="",$H707="",$I707="",$G707&lt;1300,$G707&gt;1500,$H707&lt;1,$H707&gt;12,$I707&lt;1,$I707&gt;31),"نامعتبر",RIGHT("0000"&amp;$G707,4)&amp;"/"&amp;RIGHT("00"&amp;$H707,2)&amp;"/"&amp;RIGHT("00"&amp;$I707,2)))</f>
        <v/>
      </c>
      <c r="K707">
        <f>IF(OR($F707="",$J707="",$J707="نامعتبر"),"",LEFT($J707,4)&amp;MID($J707,6,2)&amp;RIGHT($J707,2)&amp;$N707&amp;"|"&amp;"2"&amp;RIGHT("00000"&amp;702,5))</f>
        <v/>
      </c>
      <c r="L707">
        <f>IF($K707="","",COUNTIFS(LdgPartyA,$F707,LdgKeyA,"&lt;"&amp;$K707)+COUNTIFS(LdgPartyB,$F707,LdgKeyB,"&lt;"&amp;$K707)+1)</f>
        <v/>
      </c>
      <c r="M707">
        <f>IF($L707="","",$F707&amp;"|"&amp;RIGHT("000000"&amp;$L707,6))</f>
        <v/>
      </c>
      <c r="N707">
        <f>IF($F707="","",IF(Sync!$AH707="","0000",IF(AND(ISNUMBER(Sync!$AH707),Sync!$AH707&gt;=0,Sync!$AH707&lt;1),RIGHT("00"&amp;HOUR(Sync!$AH707),2)&amp;RIGHT("00"&amp;MINUTE(Sync!$AH707),2),IFERROR(RIGHT("00"&amp;VALUE(LEFT(Sync!$AH707,FIND(":",Sync!$AH707)-1)),2)&amp;RIGHT("00"&amp;VALUE(MID(Sync!$AH707,FIND(":",Sync!$AH707)+1,2)),2),"0000"))))</f>
        <v/>
      </c>
    </row>
    <row r="708">
      <c r="A708">
        <f>IF(OR(Calc!$E711="",Calc!$E711="نامعتبر",Calc!$G711="",Calc!$I711&lt;&gt;"خرید"),"",Calc!$G711)</f>
        <v/>
      </c>
      <c r="B708">
        <f>IF($A708="","",LEFT(Calc!$E711,4)&amp;MID(Calc!$E711,6,2)&amp;RIGHT(Calc!$E711,2)&amp;Calc!$R711&amp;"|"&amp;"1"&amp;RIGHT("00000"&amp;703,5))</f>
        <v/>
      </c>
      <c r="C708">
        <f>IF($B708="","",COUNTIFS(LdgPartyA,$A708,LdgKeyA,"&lt;"&amp;$B708)+COUNTIFS(LdgPartyB,$A708,LdgKeyB,"&lt;"&amp;$B708)+1)</f>
        <v/>
      </c>
      <c r="D708">
        <f>IF($C708="","",$A708&amp;"|"&amp;RIGHT("000000"&amp;$C708,6))</f>
        <v/>
      </c>
      <c r="F708">
        <f>IF(Sync!$AJ708="","",Sync!$AJ708)</f>
        <v/>
      </c>
      <c r="G708">
        <f>IF($F708="","",IF(Sync!$AG708="","",IF(ISNUMBER(Sync!$AG708),IF(AND(Sync!$AG708&gt;=10000101,Sync!$AG708&lt;=99991231),INT(Sync!$AG708/10000),""),IFERROR(VALUE(TRIM(LEFT(Sync!$AG708,FIND("/",Sync!$AG708)-1))),""))))</f>
        <v/>
      </c>
      <c r="H708">
        <f>IF(OR($F708="",$G708=""),"",IF(ISNUMBER(Sync!$AG708),INT(MOD(Sync!$AG708,10000)/100),IFERROR(VALUE(TRIM(LEFT(MID(Sync!$AG708,FIND("/",Sync!$AG708)+1,20),FIND("/",MID(Sync!$AG708,FIND("/",Sync!$AG708)+1,20))-1))),"")))</f>
        <v/>
      </c>
      <c r="I708">
        <f>IF(OR($F708="",$G708=""),"",IF(ISNUMBER(Sync!$AG708),MOD(Sync!$AG708,100),IFERROR(VALUE(TRIM(MID(MID(Sync!$AG708,FIND("/",Sync!$AG708)+1,20),FIND("/",MID(Sync!$AG708,FIND("/",Sync!$AG708)+1,20))+1,20))),"")))</f>
        <v/>
      </c>
      <c r="J708">
        <f>IF($F708="","",IF(OR($G708="",$H708="",$I708="",$G708&lt;1300,$G708&gt;1500,$H708&lt;1,$H708&gt;12,$I708&lt;1,$I708&gt;31),"نامعتبر",RIGHT("0000"&amp;$G708,4)&amp;"/"&amp;RIGHT("00"&amp;$H708,2)&amp;"/"&amp;RIGHT("00"&amp;$I708,2)))</f>
        <v/>
      </c>
      <c r="K708">
        <f>IF(OR($F708="",$J708="",$J708="نامعتبر"),"",LEFT($J708,4)&amp;MID($J708,6,2)&amp;RIGHT($J708,2)&amp;$N708&amp;"|"&amp;"2"&amp;RIGHT("00000"&amp;703,5))</f>
        <v/>
      </c>
      <c r="L708">
        <f>IF($K708="","",COUNTIFS(LdgPartyA,$F708,LdgKeyA,"&lt;"&amp;$K708)+COUNTIFS(LdgPartyB,$F708,LdgKeyB,"&lt;"&amp;$K708)+1)</f>
        <v/>
      </c>
      <c r="M708">
        <f>IF($L708="","",$F708&amp;"|"&amp;RIGHT("000000"&amp;$L708,6))</f>
        <v/>
      </c>
      <c r="N708">
        <f>IF($F708="","",IF(Sync!$AH708="","0000",IF(AND(ISNUMBER(Sync!$AH708),Sync!$AH708&gt;=0,Sync!$AH708&lt;1),RIGHT("00"&amp;HOUR(Sync!$AH708),2)&amp;RIGHT("00"&amp;MINUTE(Sync!$AH708),2),IFERROR(RIGHT("00"&amp;VALUE(LEFT(Sync!$AH708,FIND(":",Sync!$AH708)-1)),2)&amp;RIGHT("00"&amp;VALUE(MID(Sync!$AH708,FIND(":",Sync!$AH708)+1,2)),2),"0000"))))</f>
        <v/>
      </c>
    </row>
    <row r="709">
      <c r="A709">
        <f>IF(OR(Calc!$E712="",Calc!$E712="نامعتبر",Calc!$G712="",Calc!$I712&lt;&gt;"خرید"),"",Calc!$G712)</f>
        <v/>
      </c>
      <c r="B709">
        <f>IF($A709="","",LEFT(Calc!$E712,4)&amp;MID(Calc!$E712,6,2)&amp;RIGHT(Calc!$E712,2)&amp;Calc!$R712&amp;"|"&amp;"1"&amp;RIGHT("00000"&amp;704,5))</f>
        <v/>
      </c>
      <c r="C709">
        <f>IF($B709="","",COUNTIFS(LdgPartyA,$A709,LdgKeyA,"&lt;"&amp;$B709)+COUNTIFS(LdgPartyB,$A709,LdgKeyB,"&lt;"&amp;$B709)+1)</f>
        <v/>
      </c>
      <c r="D709">
        <f>IF($C709="","",$A709&amp;"|"&amp;RIGHT("000000"&amp;$C709,6))</f>
        <v/>
      </c>
      <c r="F709">
        <f>IF(Sync!$AJ709="","",Sync!$AJ709)</f>
        <v/>
      </c>
      <c r="G709">
        <f>IF($F709="","",IF(Sync!$AG709="","",IF(ISNUMBER(Sync!$AG709),IF(AND(Sync!$AG709&gt;=10000101,Sync!$AG709&lt;=99991231),INT(Sync!$AG709/10000),""),IFERROR(VALUE(TRIM(LEFT(Sync!$AG709,FIND("/",Sync!$AG709)-1))),""))))</f>
        <v/>
      </c>
      <c r="H709">
        <f>IF(OR($F709="",$G709=""),"",IF(ISNUMBER(Sync!$AG709),INT(MOD(Sync!$AG709,10000)/100),IFERROR(VALUE(TRIM(LEFT(MID(Sync!$AG709,FIND("/",Sync!$AG709)+1,20),FIND("/",MID(Sync!$AG709,FIND("/",Sync!$AG709)+1,20))-1))),"")))</f>
        <v/>
      </c>
      <c r="I709">
        <f>IF(OR($F709="",$G709=""),"",IF(ISNUMBER(Sync!$AG709),MOD(Sync!$AG709,100),IFERROR(VALUE(TRIM(MID(MID(Sync!$AG709,FIND("/",Sync!$AG709)+1,20),FIND("/",MID(Sync!$AG709,FIND("/",Sync!$AG709)+1,20))+1,20))),"")))</f>
        <v/>
      </c>
      <c r="J709">
        <f>IF($F709="","",IF(OR($G709="",$H709="",$I709="",$G709&lt;1300,$G709&gt;1500,$H709&lt;1,$H709&gt;12,$I709&lt;1,$I709&gt;31),"نامعتبر",RIGHT("0000"&amp;$G709,4)&amp;"/"&amp;RIGHT("00"&amp;$H709,2)&amp;"/"&amp;RIGHT("00"&amp;$I709,2)))</f>
        <v/>
      </c>
      <c r="K709">
        <f>IF(OR($F709="",$J709="",$J709="نامعتبر"),"",LEFT($J709,4)&amp;MID($J709,6,2)&amp;RIGHT($J709,2)&amp;$N709&amp;"|"&amp;"2"&amp;RIGHT("00000"&amp;704,5))</f>
        <v/>
      </c>
      <c r="L709">
        <f>IF($K709="","",COUNTIFS(LdgPartyA,$F709,LdgKeyA,"&lt;"&amp;$K709)+COUNTIFS(LdgPartyB,$F709,LdgKeyB,"&lt;"&amp;$K709)+1)</f>
        <v/>
      </c>
      <c r="M709">
        <f>IF($L709="","",$F709&amp;"|"&amp;RIGHT("000000"&amp;$L709,6))</f>
        <v/>
      </c>
      <c r="N709">
        <f>IF($F709="","",IF(Sync!$AH709="","0000",IF(AND(ISNUMBER(Sync!$AH709),Sync!$AH709&gt;=0,Sync!$AH709&lt;1),RIGHT("00"&amp;HOUR(Sync!$AH709),2)&amp;RIGHT("00"&amp;MINUTE(Sync!$AH709),2),IFERROR(RIGHT("00"&amp;VALUE(LEFT(Sync!$AH709,FIND(":",Sync!$AH709)-1)),2)&amp;RIGHT("00"&amp;VALUE(MID(Sync!$AH709,FIND(":",Sync!$AH709)+1,2)),2),"0000"))))</f>
        <v/>
      </c>
    </row>
    <row r="710">
      <c r="A710">
        <f>IF(OR(Calc!$E713="",Calc!$E713="نامعتبر",Calc!$G713="",Calc!$I713&lt;&gt;"خرید"),"",Calc!$G713)</f>
        <v/>
      </c>
      <c r="B710">
        <f>IF($A710="","",LEFT(Calc!$E713,4)&amp;MID(Calc!$E713,6,2)&amp;RIGHT(Calc!$E713,2)&amp;Calc!$R713&amp;"|"&amp;"1"&amp;RIGHT("00000"&amp;705,5))</f>
        <v/>
      </c>
      <c r="C710">
        <f>IF($B710="","",COUNTIFS(LdgPartyA,$A710,LdgKeyA,"&lt;"&amp;$B710)+COUNTIFS(LdgPartyB,$A710,LdgKeyB,"&lt;"&amp;$B710)+1)</f>
        <v/>
      </c>
      <c r="D710">
        <f>IF($C710="","",$A710&amp;"|"&amp;RIGHT("000000"&amp;$C710,6))</f>
        <v/>
      </c>
      <c r="F710">
        <f>IF(Sync!$AJ710="","",Sync!$AJ710)</f>
        <v/>
      </c>
      <c r="G710">
        <f>IF($F710="","",IF(Sync!$AG710="","",IF(ISNUMBER(Sync!$AG710),IF(AND(Sync!$AG710&gt;=10000101,Sync!$AG710&lt;=99991231),INT(Sync!$AG710/10000),""),IFERROR(VALUE(TRIM(LEFT(Sync!$AG710,FIND("/",Sync!$AG710)-1))),""))))</f>
        <v/>
      </c>
      <c r="H710">
        <f>IF(OR($F710="",$G710=""),"",IF(ISNUMBER(Sync!$AG710),INT(MOD(Sync!$AG710,10000)/100),IFERROR(VALUE(TRIM(LEFT(MID(Sync!$AG710,FIND("/",Sync!$AG710)+1,20),FIND("/",MID(Sync!$AG710,FIND("/",Sync!$AG710)+1,20))-1))),"")))</f>
        <v/>
      </c>
      <c r="I710">
        <f>IF(OR($F710="",$G710=""),"",IF(ISNUMBER(Sync!$AG710),MOD(Sync!$AG710,100),IFERROR(VALUE(TRIM(MID(MID(Sync!$AG710,FIND("/",Sync!$AG710)+1,20),FIND("/",MID(Sync!$AG710,FIND("/",Sync!$AG710)+1,20))+1,20))),"")))</f>
        <v/>
      </c>
      <c r="J710">
        <f>IF($F710="","",IF(OR($G710="",$H710="",$I710="",$G710&lt;1300,$G710&gt;1500,$H710&lt;1,$H710&gt;12,$I710&lt;1,$I710&gt;31),"نامعتبر",RIGHT("0000"&amp;$G710,4)&amp;"/"&amp;RIGHT("00"&amp;$H710,2)&amp;"/"&amp;RIGHT("00"&amp;$I710,2)))</f>
        <v/>
      </c>
      <c r="K710">
        <f>IF(OR($F710="",$J710="",$J710="نامعتبر"),"",LEFT($J710,4)&amp;MID($J710,6,2)&amp;RIGHT($J710,2)&amp;$N710&amp;"|"&amp;"2"&amp;RIGHT("00000"&amp;705,5))</f>
        <v/>
      </c>
      <c r="L710">
        <f>IF($K710="","",COUNTIFS(LdgPartyA,$F710,LdgKeyA,"&lt;"&amp;$K710)+COUNTIFS(LdgPartyB,$F710,LdgKeyB,"&lt;"&amp;$K710)+1)</f>
        <v/>
      </c>
      <c r="M710">
        <f>IF($L710="","",$F710&amp;"|"&amp;RIGHT("000000"&amp;$L710,6))</f>
        <v/>
      </c>
      <c r="N710">
        <f>IF($F710="","",IF(Sync!$AH710="","0000",IF(AND(ISNUMBER(Sync!$AH710),Sync!$AH710&gt;=0,Sync!$AH710&lt;1),RIGHT("00"&amp;HOUR(Sync!$AH710),2)&amp;RIGHT("00"&amp;MINUTE(Sync!$AH710),2),IFERROR(RIGHT("00"&amp;VALUE(LEFT(Sync!$AH710,FIND(":",Sync!$AH710)-1)),2)&amp;RIGHT("00"&amp;VALUE(MID(Sync!$AH710,FIND(":",Sync!$AH710)+1,2)),2),"0000"))))</f>
        <v/>
      </c>
    </row>
    <row r="711">
      <c r="A711">
        <f>IF(OR(Calc!$E714="",Calc!$E714="نامعتبر",Calc!$G714="",Calc!$I714&lt;&gt;"خرید"),"",Calc!$G714)</f>
        <v/>
      </c>
      <c r="B711">
        <f>IF($A711="","",LEFT(Calc!$E714,4)&amp;MID(Calc!$E714,6,2)&amp;RIGHT(Calc!$E714,2)&amp;Calc!$R714&amp;"|"&amp;"1"&amp;RIGHT("00000"&amp;706,5))</f>
        <v/>
      </c>
      <c r="C711">
        <f>IF($B711="","",COUNTIFS(LdgPartyA,$A711,LdgKeyA,"&lt;"&amp;$B711)+COUNTIFS(LdgPartyB,$A711,LdgKeyB,"&lt;"&amp;$B711)+1)</f>
        <v/>
      </c>
      <c r="D711">
        <f>IF($C711="","",$A711&amp;"|"&amp;RIGHT("000000"&amp;$C711,6))</f>
        <v/>
      </c>
      <c r="F711">
        <f>IF(Sync!$AJ711="","",Sync!$AJ711)</f>
        <v/>
      </c>
      <c r="G711">
        <f>IF($F711="","",IF(Sync!$AG711="","",IF(ISNUMBER(Sync!$AG711),IF(AND(Sync!$AG711&gt;=10000101,Sync!$AG711&lt;=99991231),INT(Sync!$AG711/10000),""),IFERROR(VALUE(TRIM(LEFT(Sync!$AG711,FIND("/",Sync!$AG711)-1))),""))))</f>
        <v/>
      </c>
      <c r="H711">
        <f>IF(OR($F711="",$G711=""),"",IF(ISNUMBER(Sync!$AG711),INT(MOD(Sync!$AG711,10000)/100),IFERROR(VALUE(TRIM(LEFT(MID(Sync!$AG711,FIND("/",Sync!$AG711)+1,20),FIND("/",MID(Sync!$AG711,FIND("/",Sync!$AG711)+1,20))-1))),"")))</f>
        <v/>
      </c>
      <c r="I711">
        <f>IF(OR($F711="",$G711=""),"",IF(ISNUMBER(Sync!$AG711),MOD(Sync!$AG711,100),IFERROR(VALUE(TRIM(MID(MID(Sync!$AG711,FIND("/",Sync!$AG711)+1,20),FIND("/",MID(Sync!$AG711,FIND("/",Sync!$AG711)+1,20))+1,20))),"")))</f>
        <v/>
      </c>
      <c r="J711">
        <f>IF($F711="","",IF(OR($G711="",$H711="",$I711="",$G711&lt;1300,$G711&gt;1500,$H711&lt;1,$H711&gt;12,$I711&lt;1,$I711&gt;31),"نامعتبر",RIGHT("0000"&amp;$G711,4)&amp;"/"&amp;RIGHT("00"&amp;$H711,2)&amp;"/"&amp;RIGHT("00"&amp;$I711,2)))</f>
        <v/>
      </c>
      <c r="K711">
        <f>IF(OR($F711="",$J711="",$J711="نامعتبر"),"",LEFT($J711,4)&amp;MID($J711,6,2)&amp;RIGHT($J711,2)&amp;$N711&amp;"|"&amp;"2"&amp;RIGHT("00000"&amp;706,5))</f>
        <v/>
      </c>
      <c r="L711">
        <f>IF($K711="","",COUNTIFS(LdgPartyA,$F711,LdgKeyA,"&lt;"&amp;$K711)+COUNTIFS(LdgPartyB,$F711,LdgKeyB,"&lt;"&amp;$K711)+1)</f>
        <v/>
      </c>
      <c r="M711">
        <f>IF($L711="","",$F711&amp;"|"&amp;RIGHT("000000"&amp;$L711,6))</f>
        <v/>
      </c>
      <c r="N711">
        <f>IF($F711="","",IF(Sync!$AH711="","0000",IF(AND(ISNUMBER(Sync!$AH711),Sync!$AH711&gt;=0,Sync!$AH711&lt;1),RIGHT("00"&amp;HOUR(Sync!$AH711),2)&amp;RIGHT("00"&amp;MINUTE(Sync!$AH711),2),IFERROR(RIGHT("00"&amp;VALUE(LEFT(Sync!$AH711,FIND(":",Sync!$AH711)-1)),2)&amp;RIGHT("00"&amp;VALUE(MID(Sync!$AH711,FIND(":",Sync!$AH711)+1,2)),2),"0000"))))</f>
        <v/>
      </c>
    </row>
    <row r="712">
      <c r="A712">
        <f>IF(OR(Calc!$E715="",Calc!$E715="نامعتبر",Calc!$G715="",Calc!$I715&lt;&gt;"خرید"),"",Calc!$G715)</f>
        <v/>
      </c>
      <c r="B712">
        <f>IF($A712="","",LEFT(Calc!$E715,4)&amp;MID(Calc!$E715,6,2)&amp;RIGHT(Calc!$E715,2)&amp;Calc!$R715&amp;"|"&amp;"1"&amp;RIGHT("00000"&amp;707,5))</f>
        <v/>
      </c>
      <c r="C712">
        <f>IF($B712="","",COUNTIFS(LdgPartyA,$A712,LdgKeyA,"&lt;"&amp;$B712)+COUNTIFS(LdgPartyB,$A712,LdgKeyB,"&lt;"&amp;$B712)+1)</f>
        <v/>
      </c>
      <c r="D712">
        <f>IF($C712="","",$A712&amp;"|"&amp;RIGHT("000000"&amp;$C712,6))</f>
        <v/>
      </c>
      <c r="F712">
        <f>IF(Sync!$AJ712="","",Sync!$AJ712)</f>
        <v/>
      </c>
      <c r="G712">
        <f>IF($F712="","",IF(Sync!$AG712="","",IF(ISNUMBER(Sync!$AG712),IF(AND(Sync!$AG712&gt;=10000101,Sync!$AG712&lt;=99991231),INT(Sync!$AG712/10000),""),IFERROR(VALUE(TRIM(LEFT(Sync!$AG712,FIND("/",Sync!$AG712)-1))),""))))</f>
        <v/>
      </c>
      <c r="H712">
        <f>IF(OR($F712="",$G712=""),"",IF(ISNUMBER(Sync!$AG712),INT(MOD(Sync!$AG712,10000)/100),IFERROR(VALUE(TRIM(LEFT(MID(Sync!$AG712,FIND("/",Sync!$AG712)+1,20),FIND("/",MID(Sync!$AG712,FIND("/",Sync!$AG712)+1,20))-1))),"")))</f>
        <v/>
      </c>
      <c r="I712">
        <f>IF(OR($F712="",$G712=""),"",IF(ISNUMBER(Sync!$AG712),MOD(Sync!$AG712,100),IFERROR(VALUE(TRIM(MID(MID(Sync!$AG712,FIND("/",Sync!$AG712)+1,20),FIND("/",MID(Sync!$AG712,FIND("/",Sync!$AG712)+1,20))+1,20))),"")))</f>
        <v/>
      </c>
      <c r="J712">
        <f>IF($F712="","",IF(OR($G712="",$H712="",$I712="",$G712&lt;1300,$G712&gt;1500,$H712&lt;1,$H712&gt;12,$I712&lt;1,$I712&gt;31),"نامعتبر",RIGHT("0000"&amp;$G712,4)&amp;"/"&amp;RIGHT("00"&amp;$H712,2)&amp;"/"&amp;RIGHT("00"&amp;$I712,2)))</f>
        <v/>
      </c>
      <c r="K712">
        <f>IF(OR($F712="",$J712="",$J712="نامعتبر"),"",LEFT($J712,4)&amp;MID($J712,6,2)&amp;RIGHT($J712,2)&amp;$N712&amp;"|"&amp;"2"&amp;RIGHT("00000"&amp;707,5))</f>
        <v/>
      </c>
      <c r="L712">
        <f>IF($K712="","",COUNTIFS(LdgPartyA,$F712,LdgKeyA,"&lt;"&amp;$K712)+COUNTIFS(LdgPartyB,$F712,LdgKeyB,"&lt;"&amp;$K712)+1)</f>
        <v/>
      </c>
      <c r="M712">
        <f>IF($L712="","",$F712&amp;"|"&amp;RIGHT("000000"&amp;$L712,6))</f>
        <v/>
      </c>
      <c r="N712">
        <f>IF($F712="","",IF(Sync!$AH712="","0000",IF(AND(ISNUMBER(Sync!$AH712),Sync!$AH712&gt;=0,Sync!$AH712&lt;1),RIGHT("00"&amp;HOUR(Sync!$AH712),2)&amp;RIGHT("00"&amp;MINUTE(Sync!$AH712),2),IFERROR(RIGHT("00"&amp;VALUE(LEFT(Sync!$AH712,FIND(":",Sync!$AH712)-1)),2)&amp;RIGHT("00"&amp;VALUE(MID(Sync!$AH712,FIND(":",Sync!$AH712)+1,2)),2),"0000"))))</f>
        <v/>
      </c>
    </row>
    <row r="713">
      <c r="A713">
        <f>IF(OR(Calc!$E716="",Calc!$E716="نامعتبر",Calc!$G716="",Calc!$I716&lt;&gt;"خرید"),"",Calc!$G716)</f>
        <v/>
      </c>
      <c r="B713">
        <f>IF($A713="","",LEFT(Calc!$E716,4)&amp;MID(Calc!$E716,6,2)&amp;RIGHT(Calc!$E716,2)&amp;Calc!$R716&amp;"|"&amp;"1"&amp;RIGHT("00000"&amp;708,5))</f>
        <v/>
      </c>
      <c r="C713">
        <f>IF($B713="","",COUNTIFS(LdgPartyA,$A713,LdgKeyA,"&lt;"&amp;$B713)+COUNTIFS(LdgPartyB,$A713,LdgKeyB,"&lt;"&amp;$B713)+1)</f>
        <v/>
      </c>
      <c r="D713">
        <f>IF($C713="","",$A713&amp;"|"&amp;RIGHT("000000"&amp;$C713,6))</f>
        <v/>
      </c>
      <c r="F713">
        <f>IF(Sync!$AJ713="","",Sync!$AJ713)</f>
        <v/>
      </c>
      <c r="G713">
        <f>IF($F713="","",IF(Sync!$AG713="","",IF(ISNUMBER(Sync!$AG713),IF(AND(Sync!$AG713&gt;=10000101,Sync!$AG713&lt;=99991231),INT(Sync!$AG713/10000),""),IFERROR(VALUE(TRIM(LEFT(Sync!$AG713,FIND("/",Sync!$AG713)-1))),""))))</f>
        <v/>
      </c>
      <c r="H713">
        <f>IF(OR($F713="",$G713=""),"",IF(ISNUMBER(Sync!$AG713),INT(MOD(Sync!$AG713,10000)/100),IFERROR(VALUE(TRIM(LEFT(MID(Sync!$AG713,FIND("/",Sync!$AG713)+1,20),FIND("/",MID(Sync!$AG713,FIND("/",Sync!$AG713)+1,20))-1))),"")))</f>
        <v/>
      </c>
      <c r="I713">
        <f>IF(OR($F713="",$G713=""),"",IF(ISNUMBER(Sync!$AG713),MOD(Sync!$AG713,100),IFERROR(VALUE(TRIM(MID(MID(Sync!$AG713,FIND("/",Sync!$AG713)+1,20),FIND("/",MID(Sync!$AG713,FIND("/",Sync!$AG713)+1,20))+1,20))),"")))</f>
        <v/>
      </c>
      <c r="J713">
        <f>IF($F713="","",IF(OR($G713="",$H713="",$I713="",$G713&lt;1300,$G713&gt;1500,$H713&lt;1,$H713&gt;12,$I713&lt;1,$I713&gt;31),"نامعتبر",RIGHT("0000"&amp;$G713,4)&amp;"/"&amp;RIGHT("00"&amp;$H713,2)&amp;"/"&amp;RIGHT("00"&amp;$I713,2)))</f>
        <v/>
      </c>
      <c r="K713">
        <f>IF(OR($F713="",$J713="",$J713="نامعتبر"),"",LEFT($J713,4)&amp;MID($J713,6,2)&amp;RIGHT($J713,2)&amp;$N713&amp;"|"&amp;"2"&amp;RIGHT("00000"&amp;708,5))</f>
        <v/>
      </c>
      <c r="L713">
        <f>IF($K713="","",COUNTIFS(LdgPartyA,$F713,LdgKeyA,"&lt;"&amp;$K713)+COUNTIFS(LdgPartyB,$F713,LdgKeyB,"&lt;"&amp;$K713)+1)</f>
        <v/>
      </c>
      <c r="M713">
        <f>IF($L713="","",$F713&amp;"|"&amp;RIGHT("000000"&amp;$L713,6))</f>
        <v/>
      </c>
      <c r="N713">
        <f>IF($F713="","",IF(Sync!$AH713="","0000",IF(AND(ISNUMBER(Sync!$AH713),Sync!$AH713&gt;=0,Sync!$AH713&lt;1),RIGHT("00"&amp;HOUR(Sync!$AH713),2)&amp;RIGHT("00"&amp;MINUTE(Sync!$AH713),2),IFERROR(RIGHT("00"&amp;VALUE(LEFT(Sync!$AH713,FIND(":",Sync!$AH713)-1)),2)&amp;RIGHT("00"&amp;VALUE(MID(Sync!$AH713,FIND(":",Sync!$AH713)+1,2)),2),"0000"))))</f>
        <v/>
      </c>
    </row>
    <row r="714">
      <c r="A714">
        <f>IF(OR(Calc!$E717="",Calc!$E717="نامعتبر",Calc!$G717="",Calc!$I717&lt;&gt;"خرید"),"",Calc!$G717)</f>
        <v/>
      </c>
      <c r="B714">
        <f>IF($A714="","",LEFT(Calc!$E717,4)&amp;MID(Calc!$E717,6,2)&amp;RIGHT(Calc!$E717,2)&amp;Calc!$R717&amp;"|"&amp;"1"&amp;RIGHT("00000"&amp;709,5))</f>
        <v/>
      </c>
      <c r="C714">
        <f>IF($B714="","",COUNTIFS(LdgPartyA,$A714,LdgKeyA,"&lt;"&amp;$B714)+COUNTIFS(LdgPartyB,$A714,LdgKeyB,"&lt;"&amp;$B714)+1)</f>
        <v/>
      </c>
      <c r="D714">
        <f>IF($C714="","",$A714&amp;"|"&amp;RIGHT("000000"&amp;$C714,6))</f>
        <v/>
      </c>
      <c r="F714">
        <f>IF(Sync!$AJ714="","",Sync!$AJ714)</f>
        <v/>
      </c>
      <c r="G714">
        <f>IF($F714="","",IF(Sync!$AG714="","",IF(ISNUMBER(Sync!$AG714),IF(AND(Sync!$AG714&gt;=10000101,Sync!$AG714&lt;=99991231),INT(Sync!$AG714/10000),""),IFERROR(VALUE(TRIM(LEFT(Sync!$AG714,FIND("/",Sync!$AG714)-1))),""))))</f>
        <v/>
      </c>
      <c r="H714">
        <f>IF(OR($F714="",$G714=""),"",IF(ISNUMBER(Sync!$AG714),INT(MOD(Sync!$AG714,10000)/100),IFERROR(VALUE(TRIM(LEFT(MID(Sync!$AG714,FIND("/",Sync!$AG714)+1,20),FIND("/",MID(Sync!$AG714,FIND("/",Sync!$AG714)+1,20))-1))),"")))</f>
        <v/>
      </c>
      <c r="I714">
        <f>IF(OR($F714="",$G714=""),"",IF(ISNUMBER(Sync!$AG714),MOD(Sync!$AG714,100),IFERROR(VALUE(TRIM(MID(MID(Sync!$AG714,FIND("/",Sync!$AG714)+1,20),FIND("/",MID(Sync!$AG714,FIND("/",Sync!$AG714)+1,20))+1,20))),"")))</f>
        <v/>
      </c>
      <c r="J714">
        <f>IF($F714="","",IF(OR($G714="",$H714="",$I714="",$G714&lt;1300,$G714&gt;1500,$H714&lt;1,$H714&gt;12,$I714&lt;1,$I714&gt;31),"نامعتبر",RIGHT("0000"&amp;$G714,4)&amp;"/"&amp;RIGHT("00"&amp;$H714,2)&amp;"/"&amp;RIGHT("00"&amp;$I714,2)))</f>
        <v/>
      </c>
      <c r="K714">
        <f>IF(OR($F714="",$J714="",$J714="نامعتبر"),"",LEFT($J714,4)&amp;MID($J714,6,2)&amp;RIGHT($J714,2)&amp;$N714&amp;"|"&amp;"2"&amp;RIGHT("00000"&amp;709,5))</f>
        <v/>
      </c>
      <c r="L714">
        <f>IF($K714="","",COUNTIFS(LdgPartyA,$F714,LdgKeyA,"&lt;"&amp;$K714)+COUNTIFS(LdgPartyB,$F714,LdgKeyB,"&lt;"&amp;$K714)+1)</f>
        <v/>
      </c>
      <c r="M714">
        <f>IF($L714="","",$F714&amp;"|"&amp;RIGHT("000000"&amp;$L714,6))</f>
        <v/>
      </c>
      <c r="N714">
        <f>IF($F714="","",IF(Sync!$AH714="","0000",IF(AND(ISNUMBER(Sync!$AH714),Sync!$AH714&gt;=0,Sync!$AH714&lt;1),RIGHT("00"&amp;HOUR(Sync!$AH714),2)&amp;RIGHT("00"&amp;MINUTE(Sync!$AH714),2),IFERROR(RIGHT("00"&amp;VALUE(LEFT(Sync!$AH714,FIND(":",Sync!$AH714)-1)),2)&amp;RIGHT("00"&amp;VALUE(MID(Sync!$AH714,FIND(":",Sync!$AH714)+1,2)),2),"0000"))))</f>
        <v/>
      </c>
    </row>
    <row r="715">
      <c r="A715">
        <f>IF(OR(Calc!$E718="",Calc!$E718="نامعتبر",Calc!$G718="",Calc!$I718&lt;&gt;"خرید"),"",Calc!$G718)</f>
        <v/>
      </c>
      <c r="B715">
        <f>IF($A715="","",LEFT(Calc!$E718,4)&amp;MID(Calc!$E718,6,2)&amp;RIGHT(Calc!$E718,2)&amp;Calc!$R718&amp;"|"&amp;"1"&amp;RIGHT("00000"&amp;710,5))</f>
        <v/>
      </c>
      <c r="C715">
        <f>IF($B715="","",COUNTIFS(LdgPartyA,$A715,LdgKeyA,"&lt;"&amp;$B715)+COUNTIFS(LdgPartyB,$A715,LdgKeyB,"&lt;"&amp;$B715)+1)</f>
        <v/>
      </c>
      <c r="D715">
        <f>IF($C715="","",$A715&amp;"|"&amp;RIGHT("000000"&amp;$C715,6))</f>
        <v/>
      </c>
      <c r="F715">
        <f>IF(Sync!$AJ715="","",Sync!$AJ715)</f>
        <v/>
      </c>
      <c r="G715">
        <f>IF($F715="","",IF(Sync!$AG715="","",IF(ISNUMBER(Sync!$AG715),IF(AND(Sync!$AG715&gt;=10000101,Sync!$AG715&lt;=99991231),INT(Sync!$AG715/10000),""),IFERROR(VALUE(TRIM(LEFT(Sync!$AG715,FIND("/",Sync!$AG715)-1))),""))))</f>
        <v/>
      </c>
      <c r="H715">
        <f>IF(OR($F715="",$G715=""),"",IF(ISNUMBER(Sync!$AG715),INT(MOD(Sync!$AG715,10000)/100),IFERROR(VALUE(TRIM(LEFT(MID(Sync!$AG715,FIND("/",Sync!$AG715)+1,20),FIND("/",MID(Sync!$AG715,FIND("/",Sync!$AG715)+1,20))-1))),"")))</f>
        <v/>
      </c>
      <c r="I715">
        <f>IF(OR($F715="",$G715=""),"",IF(ISNUMBER(Sync!$AG715),MOD(Sync!$AG715,100),IFERROR(VALUE(TRIM(MID(MID(Sync!$AG715,FIND("/",Sync!$AG715)+1,20),FIND("/",MID(Sync!$AG715,FIND("/",Sync!$AG715)+1,20))+1,20))),"")))</f>
        <v/>
      </c>
      <c r="J715">
        <f>IF($F715="","",IF(OR($G715="",$H715="",$I715="",$G715&lt;1300,$G715&gt;1500,$H715&lt;1,$H715&gt;12,$I715&lt;1,$I715&gt;31),"نامعتبر",RIGHT("0000"&amp;$G715,4)&amp;"/"&amp;RIGHT("00"&amp;$H715,2)&amp;"/"&amp;RIGHT("00"&amp;$I715,2)))</f>
        <v/>
      </c>
      <c r="K715">
        <f>IF(OR($F715="",$J715="",$J715="نامعتبر"),"",LEFT($J715,4)&amp;MID($J715,6,2)&amp;RIGHT($J715,2)&amp;$N715&amp;"|"&amp;"2"&amp;RIGHT("00000"&amp;710,5))</f>
        <v/>
      </c>
      <c r="L715">
        <f>IF($K715="","",COUNTIFS(LdgPartyA,$F715,LdgKeyA,"&lt;"&amp;$K715)+COUNTIFS(LdgPartyB,$F715,LdgKeyB,"&lt;"&amp;$K715)+1)</f>
        <v/>
      </c>
      <c r="M715">
        <f>IF($L715="","",$F715&amp;"|"&amp;RIGHT("000000"&amp;$L715,6))</f>
        <v/>
      </c>
      <c r="N715">
        <f>IF($F715="","",IF(Sync!$AH715="","0000",IF(AND(ISNUMBER(Sync!$AH715),Sync!$AH715&gt;=0,Sync!$AH715&lt;1),RIGHT("00"&amp;HOUR(Sync!$AH715),2)&amp;RIGHT("00"&amp;MINUTE(Sync!$AH715),2),IFERROR(RIGHT("00"&amp;VALUE(LEFT(Sync!$AH715,FIND(":",Sync!$AH715)-1)),2)&amp;RIGHT("00"&amp;VALUE(MID(Sync!$AH715,FIND(":",Sync!$AH715)+1,2)),2),"0000"))))</f>
        <v/>
      </c>
    </row>
    <row r="716">
      <c r="A716">
        <f>IF(OR(Calc!$E719="",Calc!$E719="نامعتبر",Calc!$G719="",Calc!$I719&lt;&gt;"خرید"),"",Calc!$G719)</f>
        <v/>
      </c>
      <c r="B716">
        <f>IF($A716="","",LEFT(Calc!$E719,4)&amp;MID(Calc!$E719,6,2)&amp;RIGHT(Calc!$E719,2)&amp;Calc!$R719&amp;"|"&amp;"1"&amp;RIGHT("00000"&amp;711,5))</f>
        <v/>
      </c>
      <c r="C716">
        <f>IF($B716="","",COUNTIFS(LdgPartyA,$A716,LdgKeyA,"&lt;"&amp;$B716)+COUNTIFS(LdgPartyB,$A716,LdgKeyB,"&lt;"&amp;$B716)+1)</f>
        <v/>
      </c>
      <c r="D716">
        <f>IF($C716="","",$A716&amp;"|"&amp;RIGHT("000000"&amp;$C716,6))</f>
        <v/>
      </c>
      <c r="F716">
        <f>IF(Sync!$AJ716="","",Sync!$AJ716)</f>
        <v/>
      </c>
      <c r="G716">
        <f>IF($F716="","",IF(Sync!$AG716="","",IF(ISNUMBER(Sync!$AG716),IF(AND(Sync!$AG716&gt;=10000101,Sync!$AG716&lt;=99991231),INT(Sync!$AG716/10000),""),IFERROR(VALUE(TRIM(LEFT(Sync!$AG716,FIND("/",Sync!$AG716)-1))),""))))</f>
        <v/>
      </c>
      <c r="H716">
        <f>IF(OR($F716="",$G716=""),"",IF(ISNUMBER(Sync!$AG716),INT(MOD(Sync!$AG716,10000)/100),IFERROR(VALUE(TRIM(LEFT(MID(Sync!$AG716,FIND("/",Sync!$AG716)+1,20),FIND("/",MID(Sync!$AG716,FIND("/",Sync!$AG716)+1,20))-1))),"")))</f>
        <v/>
      </c>
      <c r="I716">
        <f>IF(OR($F716="",$G716=""),"",IF(ISNUMBER(Sync!$AG716),MOD(Sync!$AG716,100),IFERROR(VALUE(TRIM(MID(MID(Sync!$AG716,FIND("/",Sync!$AG716)+1,20),FIND("/",MID(Sync!$AG716,FIND("/",Sync!$AG716)+1,20))+1,20))),"")))</f>
        <v/>
      </c>
      <c r="J716">
        <f>IF($F716="","",IF(OR($G716="",$H716="",$I716="",$G716&lt;1300,$G716&gt;1500,$H716&lt;1,$H716&gt;12,$I716&lt;1,$I716&gt;31),"نامعتبر",RIGHT("0000"&amp;$G716,4)&amp;"/"&amp;RIGHT("00"&amp;$H716,2)&amp;"/"&amp;RIGHT("00"&amp;$I716,2)))</f>
        <v/>
      </c>
      <c r="K716">
        <f>IF(OR($F716="",$J716="",$J716="نامعتبر"),"",LEFT($J716,4)&amp;MID($J716,6,2)&amp;RIGHT($J716,2)&amp;$N716&amp;"|"&amp;"2"&amp;RIGHT("00000"&amp;711,5))</f>
        <v/>
      </c>
      <c r="L716">
        <f>IF($K716="","",COUNTIFS(LdgPartyA,$F716,LdgKeyA,"&lt;"&amp;$K716)+COUNTIFS(LdgPartyB,$F716,LdgKeyB,"&lt;"&amp;$K716)+1)</f>
        <v/>
      </c>
      <c r="M716">
        <f>IF($L716="","",$F716&amp;"|"&amp;RIGHT("000000"&amp;$L716,6))</f>
        <v/>
      </c>
      <c r="N716">
        <f>IF($F716="","",IF(Sync!$AH716="","0000",IF(AND(ISNUMBER(Sync!$AH716),Sync!$AH716&gt;=0,Sync!$AH716&lt;1),RIGHT("00"&amp;HOUR(Sync!$AH716),2)&amp;RIGHT("00"&amp;MINUTE(Sync!$AH716),2),IFERROR(RIGHT("00"&amp;VALUE(LEFT(Sync!$AH716,FIND(":",Sync!$AH716)-1)),2)&amp;RIGHT("00"&amp;VALUE(MID(Sync!$AH716,FIND(":",Sync!$AH716)+1,2)),2),"0000"))))</f>
        <v/>
      </c>
    </row>
    <row r="717">
      <c r="A717">
        <f>IF(OR(Calc!$E720="",Calc!$E720="نامعتبر",Calc!$G720="",Calc!$I720&lt;&gt;"خرید"),"",Calc!$G720)</f>
        <v/>
      </c>
      <c r="B717">
        <f>IF($A717="","",LEFT(Calc!$E720,4)&amp;MID(Calc!$E720,6,2)&amp;RIGHT(Calc!$E720,2)&amp;Calc!$R720&amp;"|"&amp;"1"&amp;RIGHT("00000"&amp;712,5))</f>
        <v/>
      </c>
      <c r="C717">
        <f>IF($B717="","",COUNTIFS(LdgPartyA,$A717,LdgKeyA,"&lt;"&amp;$B717)+COUNTIFS(LdgPartyB,$A717,LdgKeyB,"&lt;"&amp;$B717)+1)</f>
        <v/>
      </c>
      <c r="D717">
        <f>IF($C717="","",$A717&amp;"|"&amp;RIGHT("000000"&amp;$C717,6))</f>
        <v/>
      </c>
      <c r="F717">
        <f>IF(Sync!$AJ717="","",Sync!$AJ717)</f>
        <v/>
      </c>
      <c r="G717">
        <f>IF($F717="","",IF(Sync!$AG717="","",IF(ISNUMBER(Sync!$AG717),IF(AND(Sync!$AG717&gt;=10000101,Sync!$AG717&lt;=99991231),INT(Sync!$AG717/10000),""),IFERROR(VALUE(TRIM(LEFT(Sync!$AG717,FIND("/",Sync!$AG717)-1))),""))))</f>
        <v/>
      </c>
      <c r="H717">
        <f>IF(OR($F717="",$G717=""),"",IF(ISNUMBER(Sync!$AG717),INT(MOD(Sync!$AG717,10000)/100),IFERROR(VALUE(TRIM(LEFT(MID(Sync!$AG717,FIND("/",Sync!$AG717)+1,20),FIND("/",MID(Sync!$AG717,FIND("/",Sync!$AG717)+1,20))-1))),"")))</f>
        <v/>
      </c>
      <c r="I717">
        <f>IF(OR($F717="",$G717=""),"",IF(ISNUMBER(Sync!$AG717),MOD(Sync!$AG717,100),IFERROR(VALUE(TRIM(MID(MID(Sync!$AG717,FIND("/",Sync!$AG717)+1,20),FIND("/",MID(Sync!$AG717,FIND("/",Sync!$AG717)+1,20))+1,20))),"")))</f>
        <v/>
      </c>
      <c r="J717">
        <f>IF($F717="","",IF(OR($G717="",$H717="",$I717="",$G717&lt;1300,$G717&gt;1500,$H717&lt;1,$H717&gt;12,$I717&lt;1,$I717&gt;31),"نامعتبر",RIGHT("0000"&amp;$G717,4)&amp;"/"&amp;RIGHT("00"&amp;$H717,2)&amp;"/"&amp;RIGHT("00"&amp;$I717,2)))</f>
        <v/>
      </c>
      <c r="K717">
        <f>IF(OR($F717="",$J717="",$J717="نامعتبر"),"",LEFT($J717,4)&amp;MID($J717,6,2)&amp;RIGHT($J717,2)&amp;$N717&amp;"|"&amp;"2"&amp;RIGHT("00000"&amp;712,5))</f>
        <v/>
      </c>
      <c r="L717">
        <f>IF($K717="","",COUNTIFS(LdgPartyA,$F717,LdgKeyA,"&lt;"&amp;$K717)+COUNTIFS(LdgPartyB,$F717,LdgKeyB,"&lt;"&amp;$K717)+1)</f>
        <v/>
      </c>
      <c r="M717">
        <f>IF($L717="","",$F717&amp;"|"&amp;RIGHT("000000"&amp;$L717,6))</f>
        <v/>
      </c>
      <c r="N717">
        <f>IF($F717="","",IF(Sync!$AH717="","0000",IF(AND(ISNUMBER(Sync!$AH717),Sync!$AH717&gt;=0,Sync!$AH717&lt;1),RIGHT("00"&amp;HOUR(Sync!$AH717),2)&amp;RIGHT("00"&amp;MINUTE(Sync!$AH717),2),IFERROR(RIGHT("00"&amp;VALUE(LEFT(Sync!$AH717,FIND(":",Sync!$AH717)-1)),2)&amp;RIGHT("00"&amp;VALUE(MID(Sync!$AH717,FIND(":",Sync!$AH717)+1,2)),2),"0000"))))</f>
        <v/>
      </c>
    </row>
    <row r="718">
      <c r="A718">
        <f>IF(OR(Calc!$E721="",Calc!$E721="نامعتبر",Calc!$G721="",Calc!$I721&lt;&gt;"خرید"),"",Calc!$G721)</f>
        <v/>
      </c>
      <c r="B718">
        <f>IF($A718="","",LEFT(Calc!$E721,4)&amp;MID(Calc!$E721,6,2)&amp;RIGHT(Calc!$E721,2)&amp;Calc!$R721&amp;"|"&amp;"1"&amp;RIGHT("00000"&amp;713,5))</f>
        <v/>
      </c>
      <c r="C718">
        <f>IF($B718="","",COUNTIFS(LdgPartyA,$A718,LdgKeyA,"&lt;"&amp;$B718)+COUNTIFS(LdgPartyB,$A718,LdgKeyB,"&lt;"&amp;$B718)+1)</f>
        <v/>
      </c>
      <c r="D718">
        <f>IF($C718="","",$A718&amp;"|"&amp;RIGHT("000000"&amp;$C718,6))</f>
        <v/>
      </c>
      <c r="F718">
        <f>IF(Sync!$AJ718="","",Sync!$AJ718)</f>
        <v/>
      </c>
      <c r="G718">
        <f>IF($F718="","",IF(Sync!$AG718="","",IF(ISNUMBER(Sync!$AG718),IF(AND(Sync!$AG718&gt;=10000101,Sync!$AG718&lt;=99991231),INT(Sync!$AG718/10000),""),IFERROR(VALUE(TRIM(LEFT(Sync!$AG718,FIND("/",Sync!$AG718)-1))),""))))</f>
        <v/>
      </c>
      <c r="H718">
        <f>IF(OR($F718="",$G718=""),"",IF(ISNUMBER(Sync!$AG718),INT(MOD(Sync!$AG718,10000)/100),IFERROR(VALUE(TRIM(LEFT(MID(Sync!$AG718,FIND("/",Sync!$AG718)+1,20),FIND("/",MID(Sync!$AG718,FIND("/",Sync!$AG718)+1,20))-1))),"")))</f>
        <v/>
      </c>
      <c r="I718">
        <f>IF(OR($F718="",$G718=""),"",IF(ISNUMBER(Sync!$AG718),MOD(Sync!$AG718,100),IFERROR(VALUE(TRIM(MID(MID(Sync!$AG718,FIND("/",Sync!$AG718)+1,20),FIND("/",MID(Sync!$AG718,FIND("/",Sync!$AG718)+1,20))+1,20))),"")))</f>
        <v/>
      </c>
      <c r="J718">
        <f>IF($F718="","",IF(OR($G718="",$H718="",$I718="",$G718&lt;1300,$G718&gt;1500,$H718&lt;1,$H718&gt;12,$I718&lt;1,$I718&gt;31),"نامعتبر",RIGHT("0000"&amp;$G718,4)&amp;"/"&amp;RIGHT("00"&amp;$H718,2)&amp;"/"&amp;RIGHT("00"&amp;$I718,2)))</f>
        <v/>
      </c>
      <c r="K718">
        <f>IF(OR($F718="",$J718="",$J718="نامعتبر"),"",LEFT($J718,4)&amp;MID($J718,6,2)&amp;RIGHT($J718,2)&amp;$N718&amp;"|"&amp;"2"&amp;RIGHT("00000"&amp;713,5))</f>
        <v/>
      </c>
      <c r="L718">
        <f>IF($K718="","",COUNTIFS(LdgPartyA,$F718,LdgKeyA,"&lt;"&amp;$K718)+COUNTIFS(LdgPartyB,$F718,LdgKeyB,"&lt;"&amp;$K718)+1)</f>
        <v/>
      </c>
      <c r="M718">
        <f>IF($L718="","",$F718&amp;"|"&amp;RIGHT("000000"&amp;$L718,6))</f>
        <v/>
      </c>
      <c r="N718">
        <f>IF($F718="","",IF(Sync!$AH718="","0000",IF(AND(ISNUMBER(Sync!$AH718),Sync!$AH718&gt;=0,Sync!$AH718&lt;1),RIGHT("00"&amp;HOUR(Sync!$AH718),2)&amp;RIGHT("00"&amp;MINUTE(Sync!$AH718),2),IFERROR(RIGHT("00"&amp;VALUE(LEFT(Sync!$AH718,FIND(":",Sync!$AH718)-1)),2)&amp;RIGHT("00"&amp;VALUE(MID(Sync!$AH718,FIND(":",Sync!$AH718)+1,2)),2),"0000"))))</f>
        <v/>
      </c>
    </row>
    <row r="719">
      <c r="A719">
        <f>IF(OR(Calc!$E722="",Calc!$E722="نامعتبر",Calc!$G722="",Calc!$I722&lt;&gt;"خرید"),"",Calc!$G722)</f>
        <v/>
      </c>
      <c r="B719">
        <f>IF($A719="","",LEFT(Calc!$E722,4)&amp;MID(Calc!$E722,6,2)&amp;RIGHT(Calc!$E722,2)&amp;Calc!$R722&amp;"|"&amp;"1"&amp;RIGHT("00000"&amp;714,5))</f>
        <v/>
      </c>
      <c r="C719">
        <f>IF($B719="","",COUNTIFS(LdgPartyA,$A719,LdgKeyA,"&lt;"&amp;$B719)+COUNTIFS(LdgPartyB,$A719,LdgKeyB,"&lt;"&amp;$B719)+1)</f>
        <v/>
      </c>
      <c r="D719">
        <f>IF($C719="","",$A719&amp;"|"&amp;RIGHT("000000"&amp;$C719,6))</f>
        <v/>
      </c>
      <c r="F719">
        <f>IF(Sync!$AJ719="","",Sync!$AJ719)</f>
        <v/>
      </c>
      <c r="G719">
        <f>IF($F719="","",IF(Sync!$AG719="","",IF(ISNUMBER(Sync!$AG719),IF(AND(Sync!$AG719&gt;=10000101,Sync!$AG719&lt;=99991231),INT(Sync!$AG719/10000),""),IFERROR(VALUE(TRIM(LEFT(Sync!$AG719,FIND("/",Sync!$AG719)-1))),""))))</f>
        <v/>
      </c>
      <c r="H719">
        <f>IF(OR($F719="",$G719=""),"",IF(ISNUMBER(Sync!$AG719),INT(MOD(Sync!$AG719,10000)/100),IFERROR(VALUE(TRIM(LEFT(MID(Sync!$AG719,FIND("/",Sync!$AG719)+1,20),FIND("/",MID(Sync!$AG719,FIND("/",Sync!$AG719)+1,20))-1))),"")))</f>
        <v/>
      </c>
      <c r="I719">
        <f>IF(OR($F719="",$G719=""),"",IF(ISNUMBER(Sync!$AG719),MOD(Sync!$AG719,100),IFERROR(VALUE(TRIM(MID(MID(Sync!$AG719,FIND("/",Sync!$AG719)+1,20),FIND("/",MID(Sync!$AG719,FIND("/",Sync!$AG719)+1,20))+1,20))),"")))</f>
        <v/>
      </c>
      <c r="J719">
        <f>IF($F719="","",IF(OR($G719="",$H719="",$I719="",$G719&lt;1300,$G719&gt;1500,$H719&lt;1,$H719&gt;12,$I719&lt;1,$I719&gt;31),"نامعتبر",RIGHT("0000"&amp;$G719,4)&amp;"/"&amp;RIGHT("00"&amp;$H719,2)&amp;"/"&amp;RIGHT("00"&amp;$I719,2)))</f>
        <v/>
      </c>
      <c r="K719">
        <f>IF(OR($F719="",$J719="",$J719="نامعتبر"),"",LEFT($J719,4)&amp;MID($J719,6,2)&amp;RIGHT($J719,2)&amp;$N719&amp;"|"&amp;"2"&amp;RIGHT("00000"&amp;714,5))</f>
        <v/>
      </c>
      <c r="L719">
        <f>IF($K719="","",COUNTIFS(LdgPartyA,$F719,LdgKeyA,"&lt;"&amp;$K719)+COUNTIFS(LdgPartyB,$F719,LdgKeyB,"&lt;"&amp;$K719)+1)</f>
        <v/>
      </c>
      <c r="M719">
        <f>IF($L719="","",$F719&amp;"|"&amp;RIGHT("000000"&amp;$L719,6))</f>
        <v/>
      </c>
      <c r="N719">
        <f>IF($F719="","",IF(Sync!$AH719="","0000",IF(AND(ISNUMBER(Sync!$AH719),Sync!$AH719&gt;=0,Sync!$AH719&lt;1),RIGHT("00"&amp;HOUR(Sync!$AH719),2)&amp;RIGHT("00"&amp;MINUTE(Sync!$AH719),2),IFERROR(RIGHT("00"&amp;VALUE(LEFT(Sync!$AH719,FIND(":",Sync!$AH719)-1)),2)&amp;RIGHT("00"&amp;VALUE(MID(Sync!$AH719,FIND(":",Sync!$AH719)+1,2)),2),"0000"))))</f>
        <v/>
      </c>
    </row>
    <row r="720">
      <c r="A720">
        <f>IF(OR(Calc!$E723="",Calc!$E723="نامعتبر",Calc!$G723="",Calc!$I723&lt;&gt;"خرید"),"",Calc!$G723)</f>
        <v/>
      </c>
      <c r="B720">
        <f>IF($A720="","",LEFT(Calc!$E723,4)&amp;MID(Calc!$E723,6,2)&amp;RIGHT(Calc!$E723,2)&amp;Calc!$R723&amp;"|"&amp;"1"&amp;RIGHT("00000"&amp;715,5))</f>
        <v/>
      </c>
      <c r="C720">
        <f>IF($B720="","",COUNTIFS(LdgPartyA,$A720,LdgKeyA,"&lt;"&amp;$B720)+COUNTIFS(LdgPartyB,$A720,LdgKeyB,"&lt;"&amp;$B720)+1)</f>
        <v/>
      </c>
      <c r="D720">
        <f>IF($C720="","",$A720&amp;"|"&amp;RIGHT("000000"&amp;$C720,6))</f>
        <v/>
      </c>
      <c r="F720">
        <f>IF(Sync!$AJ720="","",Sync!$AJ720)</f>
        <v/>
      </c>
      <c r="G720">
        <f>IF($F720="","",IF(Sync!$AG720="","",IF(ISNUMBER(Sync!$AG720),IF(AND(Sync!$AG720&gt;=10000101,Sync!$AG720&lt;=99991231),INT(Sync!$AG720/10000),""),IFERROR(VALUE(TRIM(LEFT(Sync!$AG720,FIND("/",Sync!$AG720)-1))),""))))</f>
        <v/>
      </c>
      <c r="H720">
        <f>IF(OR($F720="",$G720=""),"",IF(ISNUMBER(Sync!$AG720),INT(MOD(Sync!$AG720,10000)/100),IFERROR(VALUE(TRIM(LEFT(MID(Sync!$AG720,FIND("/",Sync!$AG720)+1,20),FIND("/",MID(Sync!$AG720,FIND("/",Sync!$AG720)+1,20))-1))),"")))</f>
        <v/>
      </c>
      <c r="I720">
        <f>IF(OR($F720="",$G720=""),"",IF(ISNUMBER(Sync!$AG720),MOD(Sync!$AG720,100),IFERROR(VALUE(TRIM(MID(MID(Sync!$AG720,FIND("/",Sync!$AG720)+1,20),FIND("/",MID(Sync!$AG720,FIND("/",Sync!$AG720)+1,20))+1,20))),"")))</f>
        <v/>
      </c>
      <c r="J720">
        <f>IF($F720="","",IF(OR($G720="",$H720="",$I720="",$G720&lt;1300,$G720&gt;1500,$H720&lt;1,$H720&gt;12,$I720&lt;1,$I720&gt;31),"نامعتبر",RIGHT("0000"&amp;$G720,4)&amp;"/"&amp;RIGHT("00"&amp;$H720,2)&amp;"/"&amp;RIGHT("00"&amp;$I720,2)))</f>
        <v/>
      </c>
      <c r="K720">
        <f>IF(OR($F720="",$J720="",$J720="نامعتبر"),"",LEFT($J720,4)&amp;MID($J720,6,2)&amp;RIGHT($J720,2)&amp;$N720&amp;"|"&amp;"2"&amp;RIGHT("00000"&amp;715,5))</f>
        <v/>
      </c>
      <c r="L720">
        <f>IF($K720="","",COUNTIFS(LdgPartyA,$F720,LdgKeyA,"&lt;"&amp;$K720)+COUNTIFS(LdgPartyB,$F720,LdgKeyB,"&lt;"&amp;$K720)+1)</f>
        <v/>
      </c>
      <c r="M720">
        <f>IF($L720="","",$F720&amp;"|"&amp;RIGHT("000000"&amp;$L720,6))</f>
        <v/>
      </c>
      <c r="N720">
        <f>IF($F720="","",IF(Sync!$AH720="","0000",IF(AND(ISNUMBER(Sync!$AH720),Sync!$AH720&gt;=0,Sync!$AH720&lt;1),RIGHT("00"&amp;HOUR(Sync!$AH720),2)&amp;RIGHT("00"&amp;MINUTE(Sync!$AH720),2),IFERROR(RIGHT("00"&amp;VALUE(LEFT(Sync!$AH720,FIND(":",Sync!$AH720)-1)),2)&amp;RIGHT("00"&amp;VALUE(MID(Sync!$AH720,FIND(":",Sync!$AH720)+1,2)),2),"0000"))))</f>
        <v/>
      </c>
    </row>
    <row r="721">
      <c r="A721">
        <f>IF(OR(Calc!$E724="",Calc!$E724="نامعتبر",Calc!$G724="",Calc!$I724&lt;&gt;"خرید"),"",Calc!$G724)</f>
        <v/>
      </c>
      <c r="B721">
        <f>IF($A721="","",LEFT(Calc!$E724,4)&amp;MID(Calc!$E724,6,2)&amp;RIGHT(Calc!$E724,2)&amp;Calc!$R724&amp;"|"&amp;"1"&amp;RIGHT("00000"&amp;716,5))</f>
        <v/>
      </c>
      <c r="C721">
        <f>IF($B721="","",COUNTIFS(LdgPartyA,$A721,LdgKeyA,"&lt;"&amp;$B721)+COUNTIFS(LdgPartyB,$A721,LdgKeyB,"&lt;"&amp;$B721)+1)</f>
        <v/>
      </c>
      <c r="D721">
        <f>IF($C721="","",$A721&amp;"|"&amp;RIGHT("000000"&amp;$C721,6))</f>
        <v/>
      </c>
      <c r="F721">
        <f>IF(Sync!$AJ721="","",Sync!$AJ721)</f>
        <v/>
      </c>
      <c r="G721">
        <f>IF($F721="","",IF(Sync!$AG721="","",IF(ISNUMBER(Sync!$AG721),IF(AND(Sync!$AG721&gt;=10000101,Sync!$AG721&lt;=99991231),INT(Sync!$AG721/10000),""),IFERROR(VALUE(TRIM(LEFT(Sync!$AG721,FIND("/",Sync!$AG721)-1))),""))))</f>
        <v/>
      </c>
      <c r="H721">
        <f>IF(OR($F721="",$G721=""),"",IF(ISNUMBER(Sync!$AG721),INT(MOD(Sync!$AG721,10000)/100),IFERROR(VALUE(TRIM(LEFT(MID(Sync!$AG721,FIND("/",Sync!$AG721)+1,20),FIND("/",MID(Sync!$AG721,FIND("/",Sync!$AG721)+1,20))-1))),"")))</f>
        <v/>
      </c>
      <c r="I721">
        <f>IF(OR($F721="",$G721=""),"",IF(ISNUMBER(Sync!$AG721),MOD(Sync!$AG721,100),IFERROR(VALUE(TRIM(MID(MID(Sync!$AG721,FIND("/",Sync!$AG721)+1,20),FIND("/",MID(Sync!$AG721,FIND("/",Sync!$AG721)+1,20))+1,20))),"")))</f>
        <v/>
      </c>
      <c r="J721">
        <f>IF($F721="","",IF(OR($G721="",$H721="",$I721="",$G721&lt;1300,$G721&gt;1500,$H721&lt;1,$H721&gt;12,$I721&lt;1,$I721&gt;31),"نامعتبر",RIGHT("0000"&amp;$G721,4)&amp;"/"&amp;RIGHT("00"&amp;$H721,2)&amp;"/"&amp;RIGHT("00"&amp;$I721,2)))</f>
        <v/>
      </c>
      <c r="K721">
        <f>IF(OR($F721="",$J721="",$J721="نامعتبر"),"",LEFT($J721,4)&amp;MID($J721,6,2)&amp;RIGHT($J721,2)&amp;$N721&amp;"|"&amp;"2"&amp;RIGHT("00000"&amp;716,5))</f>
        <v/>
      </c>
      <c r="L721">
        <f>IF($K721="","",COUNTIFS(LdgPartyA,$F721,LdgKeyA,"&lt;"&amp;$K721)+COUNTIFS(LdgPartyB,$F721,LdgKeyB,"&lt;"&amp;$K721)+1)</f>
        <v/>
      </c>
      <c r="M721">
        <f>IF($L721="","",$F721&amp;"|"&amp;RIGHT("000000"&amp;$L721,6))</f>
        <v/>
      </c>
      <c r="N721">
        <f>IF($F721="","",IF(Sync!$AH721="","0000",IF(AND(ISNUMBER(Sync!$AH721),Sync!$AH721&gt;=0,Sync!$AH721&lt;1),RIGHT("00"&amp;HOUR(Sync!$AH721),2)&amp;RIGHT("00"&amp;MINUTE(Sync!$AH721),2),IFERROR(RIGHT("00"&amp;VALUE(LEFT(Sync!$AH721,FIND(":",Sync!$AH721)-1)),2)&amp;RIGHT("00"&amp;VALUE(MID(Sync!$AH721,FIND(":",Sync!$AH721)+1,2)),2),"0000"))))</f>
        <v/>
      </c>
    </row>
    <row r="722">
      <c r="A722">
        <f>IF(OR(Calc!$E725="",Calc!$E725="نامعتبر",Calc!$G725="",Calc!$I725&lt;&gt;"خرید"),"",Calc!$G725)</f>
        <v/>
      </c>
      <c r="B722">
        <f>IF($A722="","",LEFT(Calc!$E725,4)&amp;MID(Calc!$E725,6,2)&amp;RIGHT(Calc!$E725,2)&amp;Calc!$R725&amp;"|"&amp;"1"&amp;RIGHT("00000"&amp;717,5))</f>
        <v/>
      </c>
      <c r="C722">
        <f>IF($B722="","",COUNTIFS(LdgPartyA,$A722,LdgKeyA,"&lt;"&amp;$B722)+COUNTIFS(LdgPartyB,$A722,LdgKeyB,"&lt;"&amp;$B722)+1)</f>
        <v/>
      </c>
      <c r="D722">
        <f>IF($C722="","",$A722&amp;"|"&amp;RIGHT("000000"&amp;$C722,6))</f>
        <v/>
      </c>
      <c r="F722">
        <f>IF(Sync!$AJ722="","",Sync!$AJ722)</f>
        <v/>
      </c>
      <c r="G722">
        <f>IF($F722="","",IF(Sync!$AG722="","",IF(ISNUMBER(Sync!$AG722),IF(AND(Sync!$AG722&gt;=10000101,Sync!$AG722&lt;=99991231),INT(Sync!$AG722/10000),""),IFERROR(VALUE(TRIM(LEFT(Sync!$AG722,FIND("/",Sync!$AG722)-1))),""))))</f>
        <v/>
      </c>
      <c r="H722">
        <f>IF(OR($F722="",$G722=""),"",IF(ISNUMBER(Sync!$AG722),INT(MOD(Sync!$AG722,10000)/100),IFERROR(VALUE(TRIM(LEFT(MID(Sync!$AG722,FIND("/",Sync!$AG722)+1,20),FIND("/",MID(Sync!$AG722,FIND("/",Sync!$AG722)+1,20))-1))),"")))</f>
        <v/>
      </c>
      <c r="I722">
        <f>IF(OR($F722="",$G722=""),"",IF(ISNUMBER(Sync!$AG722),MOD(Sync!$AG722,100),IFERROR(VALUE(TRIM(MID(MID(Sync!$AG722,FIND("/",Sync!$AG722)+1,20),FIND("/",MID(Sync!$AG722,FIND("/",Sync!$AG722)+1,20))+1,20))),"")))</f>
        <v/>
      </c>
      <c r="J722">
        <f>IF($F722="","",IF(OR($G722="",$H722="",$I722="",$G722&lt;1300,$G722&gt;1500,$H722&lt;1,$H722&gt;12,$I722&lt;1,$I722&gt;31),"نامعتبر",RIGHT("0000"&amp;$G722,4)&amp;"/"&amp;RIGHT("00"&amp;$H722,2)&amp;"/"&amp;RIGHT("00"&amp;$I722,2)))</f>
        <v/>
      </c>
      <c r="K722">
        <f>IF(OR($F722="",$J722="",$J722="نامعتبر"),"",LEFT($J722,4)&amp;MID($J722,6,2)&amp;RIGHT($J722,2)&amp;$N722&amp;"|"&amp;"2"&amp;RIGHT("00000"&amp;717,5))</f>
        <v/>
      </c>
      <c r="L722">
        <f>IF($K722="","",COUNTIFS(LdgPartyA,$F722,LdgKeyA,"&lt;"&amp;$K722)+COUNTIFS(LdgPartyB,$F722,LdgKeyB,"&lt;"&amp;$K722)+1)</f>
        <v/>
      </c>
      <c r="M722">
        <f>IF($L722="","",$F722&amp;"|"&amp;RIGHT("000000"&amp;$L722,6))</f>
        <v/>
      </c>
      <c r="N722">
        <f>IF($F722="","",IF(Sync!$AH722="","0000",IF(AND(ISNUMBER(Sync!$AH722),Sync!$AH722&gt;=0,Sync!$AH722&lt;1),RIGHT("00"&amp;HOUR(Sync!$AH722),2)&amp;RIGHT("00"&amp;MINUTE(Sync!$AH722),2),IFERROR(RIGHT("00"&amp;VALUE(LEFT(Sync!$AH722,FIND(":",Sync!$AH722)-1)),2)&amp;RIGHT("00"&amp;VALUE(MID(Sync!$AH722,FIND(":",Sync!$AH722)+1,2)),2),"0000"))))</f>
        <v/>
      </c>
    </row>
    <row r="723">
      <c r="A723">
        <f>IF(OR(Calc!$E726="",Calc!$E726="نامعتبر",Calc!$G726="",Calc!$I726&lt;&gt;"خرید"),"",Calc!$G726)</f>
        <v/>
      </c>
      <c r="B723">
        <f>IF($A723="","",LEFT(Calc!$E726,4)&amp;MID(Calc!$E726,6,2)&amp;RIGHT(Calc!$E726,2)&amp;Calc!$R726&amp;"|"&amp;"1"&amp;RIGHT("00000"&amp;718,5))</f>
        <v/>
      </c>
      <c r="C723">
        <f>IF($B723="","",COUNTIFS(LdgPartyA,$A723,LdgKeyA,"&lt;"&amp;$B723)+COUNTIFS(LdgPartyB,$A723,LdgKeyB,"&lt;"&amp;$B723)+1)</f>
        <v/>
      </c>
      <c r="D723">
        <f>IF($C723="","",$A723&amp;"|"&amp;RIGHT("000000"&amp;$C723,6))</f>
        <v/>
      </c>
      <c r="F723">
        <f>IF(Sync!$AJ723="","",Sync!$AJ723)</f>
        <v/>
      </c>
      <c r="G723">
        <f>IF($F723="","",IF(Sync!$AG723="","",IF(ISNUMBER(Sync!$AG723),IF(AND(Sync!$AG723&gt;=10000101,Sync!$AG723&lt;=99991231),INT(Sync!$AG723/10000),""),IFERROR(VALUE(TRIM(LEFT(Sync!$AG723,FIND("/",Sync!$AG723)-1))),""))))</f>
        <v/>
      </c>
      <c r="H723">
        <f>IF(OR($F723="",$G723=""),"",IF(ISNUMBER(Sync!$AG723),INT(MOD(Sync!$AG723,10000)/100),IFERROR(VALUE(TRIM(LEFT(MID(Sync!$AG723,FIND("/",Sync!$AG723)+1,20),FIND("/",MID(Sync!$AG723,FIND("/",Sync!$AG723)+1,20))-1))),"")))</f>
        <v/>
      </c>
      <c r="I723">
        <f>IF(OR($F723="",$G723=""),"",IF(ISNUMBER(Sync!$AG723),MOD(Sync!$AG723,100),IFERROR(VALUE(TRIM(MID(MID(Sync!$AG723,FIND("/",Sync!$AG723)+1,20),FIND("/",MID(Sync!$AG723,FIND("/",Sync!$AG723)+1,20))+1,20))),"")))</f>
        <v/>
      </c>
      <c r="J723">
        <f>IF($F723="","",IF(OR($G723="",$H723="",$I723="",$G723&lt;1300,$G723&gt;1500,$H723&lt;1,$H723&gt;12,$I723&lt;1,$I723&gt;31),"نامعتبر",RIGHT("0000"&amp;$G723,4)&amp;"/"&amp;RIGHT("00"&amp;$H723,2)&amp;"/"&amp;RIGHT("00"&amp;$I723,2)))</f>
        <v/>
      </c>
      <c r="K723">
        <f>IF(OR($F723="",$J723="",$J723="نامعتبر"),"",LEFT($J723,4)&amp;MID($J723,6,2)&amp;RIGHT($J723,2)&amp;$N723&amp;"|"&amp;"2"&amp;RIGHT("00000"&amp;718,5))</f>
        <v/>
      </c>
      <c r="L723">
        <f>IF($K723="","",COUNTIFS(LdgPartyA,$F723,LdgKeyA,"&lt;"&amp;$K723)+COUNTIFS(LdgPartyB,$F723,LdgKeyB,"&lt;"&amp;$K723)+1)</f>
        <v/>
      </c>
      <c r="M723">
        <f>IF($L723="","",$F723&amp;"|"&amp;RIGHT("000000"&amp;$L723,6))</f>
        <v/>
      </c>
      <c r="N723">
        <f>IF($F723="","",IF(Sync!$AH723="","0000",IF(AND(ISNUMBER(Sync!$AH723),Sync!$AH723&gt;=0,Sync!$AH723&lt;1),RIGHT("00"&amp;HOUR(Sync!$AH723),2)&amp;RIGHT("00"&amp;MINUTE(Sync!$AH723),2),IFERROR(RIGHT("00"&amp;VALUE(LEFT(Sync!$AH723,FIND(":",Sync!$AH723)-1)),2)&amp;RIGHT("00"&amp;VALUE(MID(Sync!$AH723,FIND(":",Sync!$AH723)+1,2)),2),"0000"))))</f>
        <v/>
      </c>
    </row>
    <row r="724">
      <c r="A724">
        <f>IF(OR(Calc!$E727="",Calc!$E727="نامعتبر",Calc!$G727="",Calc!$I727&lt;&gt;"خرید"),"",Calc!$G727)</f>
        <v/>
      </c>
      <c r="B724">
        <f>IF($A724="","",LEFT(Calc!$E727,4)&amp;MID(Calc!$E727,6,2)&amp;RIGHT(Calc!$E727,2)&amp;Calc!$R727&amp;"|"&amp;"1"&amp;RIGHT("00000"&amp;719,5))</f>
        <v/>
      </c>
      <c r="C724">
        <f>IF($B724="","",COUNTIFS(LdgPartyA,$A724,LdgKeyA,"&lt;"&amp;$B724)+COUNTIFS(LdgPartyB,$A724,LdgKeyB,"&lt;"&amp;$B724)+1)</f>
        <v/>
      </c>
      <c r="D724">
        <f>IF($C724="","",$A724&amp;"|"&amp;RIGHT("000000"&amp;$C724,6))</f>
        <v/>
      </c>
      <c r="F724">
        <f>IF(Sync!$AJ724="","",Sync!$AJ724)</f>
        <v/>
      </c>
      <c r="G724">
        <f>IF($F724="","",IF(Sync!$AG724="","",IF(ISNUMBER(Sync!$AG724),IF(AND(Sync!$AG724&gt;=10000101,Sync!$AG724&lt;=99991231),INT(Sync!$AG724/10000),""),IFERROR(VALUE(TRIM(LEFT(Sync!$AG724,FIND("/",Sync!$AG724)-1))),""))))</f>
        <v/>
      </c>
      <c r="H724">
        <f>IF(OR($F724="",$G724=""),"",IF(ISNUMBER(Sync!$AG724),INT(MOD(Sync!$AG724,10000)/100),IFERROR(VALUE(TRIM(LEFT(MID(Sync!$AG724,FIND("/",Sync!$AG724)+1,20),FIND("/",MID(Sync!$AG724,FIND("/",Sync!$AG724)+1,20))-1))),"")))</f>
        <v/>
      </c>
      <c r="I724">
        <f>IF(OR($F724="",$G724=""),"",IF(ISNUMBER(Sync!$AG724),MOD(Sync!$AG724,100),IFERROR(VALUE(TRIM(MID(MID(Sync!$AG724,FIND("/",Sync!$AG724)+1,20),FIND("/",MID(Sync!$AG724,FIND("/",Sync!$AG724)+1,20))+1,20))),"")))</f>
        <v/>
      </c>
      <c r="J724">
        <f>IF($F724="","",IF(OR($G724="",$H724="",$I724="",$G724&lt;1300,$G724&gt;1500,$H724&lt;1,$H724&gt;12,$I724&lt;1,$I724&gt;31),"نامعتبر",RIGHT("0000"&amp;$G724,4)&amp;"/"&amp;RIGHT("00"&amp;$H724,2)&amp;"/"&amp;RIGHT("00"&amp;$I724,2)))</f>
        <v/>
      </c>
      <c r="K724">
        <f>IF(OR($F724="",$J724="",$J724="نامعتبر"),"",LEFT($J724,4)&amp;MID($J724,6,2)&amp;RIGHT($J724,2)&amp;$N724&amp;"|"&amp;"2"&amp;RIGHT("00000"&amp;719,5))</f>
        <v/>
      </c>
      <c r="L724">
        <f>IF($K724="","",COUNTIFS(LdgPartyA,$F724,LdgKeyA,"&lt;"&amp;$K724)+COUNTIFS(LdgPartyB,$F724,LdgKeyB,"&lt;"&amp;$K724)+1)</f>
        <v/>
      </c>
      <c r="M724">
        <f>IF($L724="","",$F724&amp;"|"&amp;RIGHT("000000"&amp;$L724,6))</f>
        <v/>
      </c>
      <c r="N724">
        <f>IF($F724="","",IF(Sync!$AH724="","0000",IF(AND(ISNUMBER(Sync!$AH724),Sync!$AH724&gt;=0,Sync!$AH724&lt;1),RIGHT("00"&amp;HOUR(Sync!$AH724),2)&amp;RIGHT("00"&amp;MINUTE(Sync!$AH724),2),IFERROR(RIGHT("00"&amp;VALUE(LEFT(Sync!$AH724,FIND(":",Sync!$AH724)-1)),2)&amp;RIGHT("00"&amp;VALUE(MID(Sync!$AH724,FIND(":",Sync!$AH724)+1,2)),2),"0000"))))</f>
        <v/>
      </c>
    </row>
    <row r="725">
      <c r="A725">
        <f>IF(OR(Calc!$E728="",Calc!$E728="نامعتبر",Calc!$G728="",Calc!$I728&lt;&gt;"خرید"),"",Calc!$G728)</f>
        <v/>
      </c>
      <c r="B725">
        <f>IF($A725="","",LEFT(Calc!$E728,4)&amp;MID(Calc!$E728,6,2)&amp;RIGHT(Calc!$E728,2)&amp;Calc!$R728&amp;"|"&amp;"1"&amp;RIGHT("00000"&amp;720,5))</f>
        <v/>
      </c>
      <c r="C725">
        <f>IF($B725="","",COUNTIFS(LdgPartyA,$A725,LdgKeyA,"&lt;"&amp;$B725)+COUNTIFS(LdgPartyB,$A725,LdgKeyB,"&lt;"&amp;$B725)+1)</f>
        <v/>
      </c>
      <c r="D725">
        <f>IF($C725="","",$A725&amp;"|"&amp;RIGHT("000000"&amp;$C725,6))</f>
        <v/>
      </c>
      <c r="F725">
        <f>IF(Sync!$AJ725="","",Sync!$AJ725)</f>
        <v/>
      </c>
      <c r="G725">
        <f>IF($F725="","",IF(Sync!$AG725="","",IF(ISNUMBER(Sync!$AG725),IF(AND(Sync!$AG725&gt;=10000101,Sync!$AG725&lt;=99991231),INT(Sync!$AG725/10000),""),IFERROR(VALUE(TRIM(LEFT(Sync!$AG725,FIND("/",Sync!$AG725)-1))),""))))</f>
        <v/>
      </c>
      <c r="H725">
        <f>IF(OR($F725="",$G725=""),"",IF(ISNUMBER(Sync!$AG725),INT(MOD(Sync!$AG725,10000)/100),IFERROR(VALUE(TRIM(LEFT(MID(Sync!$AG725,FIND("/",Sync!$AG725)+1,20),FIND("/",MID(Sync!$AG725,FIND("/",Sync!$AG725)+1,20))-1))),"")))</f>
        <v/>
      </c>
      <c r="I725">
        <f>IF(OR($F725="",$G725=""),"",IF(ISNUMBER(Sync!$AG725),MOD(Sync!$AG725,100),IFERROR(VALUE(TRIM(MID(MID(Sync!$AG725,FIND("/",Sync!$AG725)+1,20),FIND("/",MID(Sync!$AG725,FIND("/",Sync!$AG725)+1,20))+1,20))),"")))</f>
        <v/>
      </c>
      <c r="J725">
        <f>IF($F725="","",IF(OR($G725="",$H725="",$I725="",$G725&lt;1300,$G725&gt;1500,$H725&lt;1,$H725&gt;12,$I725&lt;1,$I725&gt;31),"نامعتبر",RIGHT("0000"&amp;$G725,4)&amp;"/"&amp;RIGHT("00"&amp;$H725,2)&amp;"/"&amp;RIGHT("00"&amp;$I725,2)))</f>
        <v/>
      </c>
      <c r="K725">
        <f>IF(OR($F725="",$J725="",$J725="نامعتبر"),"",LEFT($J725,4)&amp;MID($J725,6,2)&amp;RIGHT($J725,2)&amp;$N725&amp;"|"&amp;"2"&amp;RIGHT("00000"&amp;720,5))</f>
        <v/>
      </c>
      <c r="L725">
        <f>IF($K725="","",COUNTIFS(LdgPartyA,$F725,LdgKeyA,"&lt;"&amp;$K725)+COUNTIFS(LdgPartyB,$F725,LdgKeyB,"&lt;"&amp;$K725)+1)</f>
        <v/>
      </c>
      <c r="M725">
        <f>IF($L725="","",$F725&amp;"|"&amp;RIGHT("000000"&amp;$L725,6))</f>
        <v/>
      </c>
      <c r="N725">
        <f>IF($F725="","",IF(Sync!$AH725="","0000",IF(AND(ISNUMBER(Sync!$AH725),Sync!$AH725&gt;=0,Sync!$AH725&lt;1),RIGHT("00"&amp;HOUR(Sync!$AH725),2)&amp;RIGHT("00"&amp;MINUTE(Sync!$AH725),2),IFERROR(RIGHT("00"&amp;VALUE(LEFT(Sync!$AH725,FIND(":",Sync!$AH725)-1)),2)&amp;RIGHT("00"&amp;VALUE(MID(Sync!$AH725,FIND(":",Sync!$AH725)+1,2)),2),"0000"))))</f>
        <v/>
      </c>
    </row>
    <row r="726">
      <c r="A726">
        <f>IF(OR(Calc!$E729="",Calc!$E729="نامعتبر",Calc!$G729="",Calc!$I729&lt;&gt;"خرید"),"",Calc!$G729)</f>
        <v/>
      </c>
      <c r="B726">
        <f>IF($A726="","",LEFT(Calc!$E729,4)&amp;MID(Calc!$E729,6,2)&amp;RIGHT(Calc!$E729,2)&amp;Calc!$R729&amp;"|"&amp;"1"&amp;RIGHT("00000"&amp;721,5))</f>
        <v/>
      </c>
      <c r="C726">
        <f>IF($B726="","",COUNTIFS(LdgPartyA,$A726,LdgKeyA,"&lt;"&amp;$B726)+COUNTIFS(LdgPartyB,$A726,LdgKeyB,"&lt;"&amp;$B726)+1)</f>
        <v/>
      </c>
      <c r="D726">
        <f>IF($C726="","",$A726&amp;"|"&amp;RIGHT("000000"&amp;$C726,6))</f>
        <v/>
      </c>
      <c r="F726">
        <f>IF(Sync!$AJ726="","",Sync!$AJ726)</f>
        <v/>
      </c>
      <c r="G726">
        <f>IF($F726="","",IF(Sync!$AG726="","",IF(ISNUMBER(Sync!$AG726),IF(AND(Sync!$AG726&gt;=10000101,Sync!$AG726&lt;=99991231),INT(Sync!$AG726/10000),""),IFERROR(VALUE(TRIM(LEFT(Sync!$AG726,FIND("/",Sync!$AG726)-1))),""))))</f>
        <v/>
      </c>
      <c r="H726">
        <f>IF(OR($F726="",$G726=""),"",IF(ISNUMBER(Sync!$AG726),INT(MOD(Sync!$AG726,10000)/100),IFERROR(VALUE(TRIM(LEFT(MID(Sync!$AG726,FIND("/",Sync!$AG726)+1,20),FIND("/",MID(Sync!$AG726,FIND("/",Sync!$AG726)+1,20))-1))),"")))</f>
        <v/>
      </c>
      <c r="I726">
        <f>IF(OR($F726="",$G726=""),"",IF(ISNUMBER(Sync!$AG726),MOD(Sync!$AG726,100),IFERROR(VALUE(TRIM(MID(MID(Sync!$AG726,FIND("/",Sync!$AG726)+1,20),FIND("/",MID(Sync!$AG726,FIND("/",Sync!$AG726)+1,20))+1,20))),"")))</f>
        <v/>
      </c>
      <c r="J726">
        <f>IF($F726="","",IF(OR($G726="",$H726="",$I726="",$G726&lt;1300,$G726&gt;1500,$H726&lt;1,$H726&gt;12,$I726&lt;1,$I726&gt;31),"نامعتبر",RIGHT("0000"&amp;$G726,4)&amp;"/"&amp;RIGHT("00"&amp;$H726,2)&amp;"/"&amp;RIGHT("00"&amp;$I726,2)))</f>
        <v/>
      </c>
      <c r="K726">
        <f>IF(OR($F726="",$J726="",$J726="نامعتبر"),"",LEFT($J726,4)&amp;MID($J726,6,2)&amp;RIGHT($J726,2)&amp;$N726&amp;"|"&amp;"2"&amp;RIGHT("00000"&amp;721,5))</f>
        <v/>
      </c>
      <c r="L726">
        <f>IF($K726="","",COUNTIFS(LdgPartyA,$F726,LdgKeyA,"&lt;"&amp;$K726)+COUNTIFS(LdgPartyB,$F726,LdgKeyB,"&lt;"&amp;$K726)+1)</f>
        <v/>
      </c>
      <c r="M726">
        <f>IF($L726="","",$F726&amp;"|"&amp;RIGHT("000000"&amp;$L726,6))</f>
        <v/>
      </c>
      <c r="N726">
        <f>IF($F726="","",IF(Sync!$AH726="","0000",IF(AND(ISNUMBER(Sync!$AH726),Sync!$AH726&gt;=0,Sync!$AH726&lt;1),RIGHT("00"&amp;HOUR(Sync!$AH726),2)&amp;RIGHT("00"&amp;MINUTE(Sync!$AH726),2),IFERROR(RIGHT("00"&amp;VALUE(LEFT(Sync!$AH726,FIND(":",Sync!$AH726)-1)),2)&amp;RIGHT("00"&amp;VALUE(MID(Sync!$AH726,FIND(":",Sync!$AH726)+1,2)),2),"0000"))))</f>
        <v/>
      </c>
    </row>
    <row r="727">
      <c r="A727">
        <f>IF(OR(Calc!$E730="",Calc!$E730="نامعتبر",Calc!$G730="",Calc!$I730&lt;&gt;"خرید"),"",Calc!$G730)</f>
        <v/>
      </c>
      <c r="B727">
        <f>IF($A727="","",LEFT(Calc!$E730,4)&amp;MID(Calc!$E730,6,2)&amp;RIGHT(Calc!$E730,2)&amp;Calc!$R730&amp;"|"&amp;"1"&amp;RIGHT("00000"&amp;722,5))</f>
        <v/>
      </c>
      <c r="C727">
        <f>IF($B727="","",COUNTIFS(LdgPartyA,$A727,LdgKeyA,"&lt;"&amp;$B727)+COUNTIFS(LdgPartyB,$A727,LdgKeyB,"&lt;"&amp;$B727)+1)</f>
        <v/>
      </c>
      <c r="D727">
        <f>IF($C727="","",$A727&amp;"|"&amp;RIGHT("000000"&amp;$C727,6))</f>
        <v/>
      </c>
      <c r="F727">
        <f>IF(Sync!$AJ727="","",Sync!$AJ727)</f>
        <v/>
      </c>
      <c r="G727">
        <f>IF($F727="","",IF(Sync!$AG727="","",IF(ISNUMBER(Sync!$AG727),IF(AND(Sync!$AG727&gt;=10000101,Sync!$AG727&lt;=99991231),INT(Sync!$AG727/10000),""),IFERROR(VALUE(TRIM(LEFT(Sync!$AG727,FIND("/",Sync!$AG727)-1))),""))))</f>
        <v/>
      </c>
      <c r="H727">
        <f>IF(OR($F727="",$G727=""),"",IF(ISNUMBER(Sync!$AG727),INT(MOD(Sync!$AG727,10000)/100),IFERROR(VALUE(TRIM(LEFT(MID(Sync!$AG727,FIND("/",Sync!$AG727)+1,20),FIND("/",MID(Sync!$AG727,FIND("/",Sync!$AG727)+1,20))-1))),"")))</f>
        <v/>
      </c>
      <c r="I727">
        <f>IF(OR($F727="",$G727=""),"",IF(ISNUMBER(Sync!$AG727),MOD(Sync!$AG727,100),IFERROR(VALUE(TRIM(MID(MID(Sync!$AG727,FIND("/",Sync!$AG727)+1,20),FIND("/",MID(Sync!$AG727,FIND("/",Sync!$AG727)+1,20))+1,20))),"")))</f>
        <v/>
      </c>
      <c r="J727">
        <f>IF($F727="","",IF(OR($G727="",$H727="",$I727="",$G727&lt;1300,$G727&gt;1500,$H727&lt;1,$H727&gt;12,$I727&lt;1,$I727&gt;31),"نامعتبر",RIGHT("0000"&amp;$G727,4)&amp;"/"&amp;RIGHT("00"&amp;$H727,2)&amp;"/"&amp;RIGHT("00"&amp;$I727,2)))</f>
        <v/>
      </c>
      <c r="K727">
        <f>IF(OR($F727="",$J727="",$J727="نامعتبر"),"",LEFT($J727,4)&amp;MID($J727,6,2)&amp;RIGHT($J727,2)&amp;$N727&amp;"|"&amp;"2"&amp;RIGHT("00000"&amp;722,5))</f>
        <v/>
      </c>
      <c r="L727">
        <f>IF($K727="","",COUNTIFS(LdgPartyA,$F727,LdgKeyA,"&lt;"&amp;$K727)+COUNTIFS(LdgPartyB,$F727,LdgKeyB,"&lt;"&amp;$K727)+1)</f>
        <v/>
      </c>
      <c r="M727">
        <f>IF($L727="","",$F727&amp;"|"&amp;RIGHT("000000"&amp;$L727,6))</f>
        <v/>
      </c>
      <c r="N727">
        <f>IF($F727="","",IF(Sync!$AH727="","0000",IF(AND(ISNUMBER(Sync!$AH727),Sync!$AH727&gt;=0,Sync!$AH727&lt;1),RIGHT("00"&amp;HOUR(Sync!$AH727),2)&amp;RIGHT("00"&amp;MINUTE(Sync!$AH727),2),IFERROR(RIGHT("00"&amp;VALUE(LEFT(Sync!$AH727,FIND(":",Sync!$AH727)-1)),2)&amp;RIGHT("00"&amp;VALUE(MID(Sync!$AH727,FIND(":",Sync!$AH727)+1,2)),2),"0000"))))</f>
        <v/>
      </c>
    </row>
    <row r="728">
      <c r="A728">
        <f>IF(OR(Calc!$E731="",Calc!$E731="نامعتبر",Calc!$G731="",Calc!$I731&lt;&gt;"خرید"),"",Calc!$G731)</f>
        <v/>
      </c>
      <c r="B728">
        <f>IF($A728="","",LEFT(Calc!$E731,4)&amp;MID(Calc!$E731,6,2)&amp;RIGHT(Calc!$E731,2)&amp;Calc!$R731&amp;"|"&amp;"1"&amp;RIGHT("00000"&amp;723,5))</f>
        <v/>
      </c>
      <c r="C728">
        <f>IF($B728="","",COUNTIFS(LdgPartyA,$A728,LdgKeyA,"&lt;"&amp;$B728)+COUNTIFS(LdgPartyB,$A728,LdgKeyB,"&lt;"&amp;$B728)+1)</f>
        <v/>
      </c>
      <c r="D728">
        <f>IF($C728="","",$A728&amp;"|"&amp;RIGHT("000000"&amp;$C728,6))</f>
        <v/>
      </c>
      <c r="F728">
        <f>IF(Sync!$AJ728="","",Sync!$AJ728)</f>
        <v/>
      </c>
      <c r="G728">
        <f>IF($F728="","",IF(Sync!$AG728="","",IF(ISNUMBER(Sync!$AG728),IF(AND(Sync!$AG728&gt;=10000101,Sync!$AG728&lt;=99991231),INT(Sync!$AG728/10000),""),IFERROR(VALUE(TRIM(LEFT(Sync!$AG728,FIND("/",Sync!$AG728)-1))),""))))</f>
        <v/>
      </c>
      <c r="H728">
        <f>IF(OR($F728="",$G728=""),"",IF(ISNUMBER(Sync!$AG728),INT(MOD(Sync!$AG728,10000)/100),IFERROR(VALUE(TRIM(LEFT(MID(Sync!$AG728,FIND("/",Sync!$AG728)+1,20),FIND("/",MID(Sync!$AG728,FIND("/",Sync!$AG728)+1,20))-1))),"")))</f>
        <v/>
      </c>
      <c r="I728">
        <f>IF(OR($F728="",$G728=""),"",IF(ISNUMBER(Sync!$AG728),MOD(Sync!$AG728,100),IFERROR(VALUE(TRIM(MID(MID(Sync!$AG728,FIND("/",Sync!$AG728)+1,20),FIND("/",MID(Sync!$AG728,FIND("/",Sync!$AG728)+1,20))+1,20))),"")))</f>
        <v/>
      </c>
      <c r="J728">
        <f>IF($F728="","",IF(OR($G728="",$H728="",$I728="",$G728&lt;1300,$G728&gt;1500,$H728&lt;1,$H728&gt;12,$I728&lt;1,$I728&gt;31),"نامعتبر",RIGHT("0000"&amp;$G728,4)&amp;"/"&amp;RIGHT("00"&amp;$H728,2)&amp;"/"&amp;RIGHT("00"&amp;$I728,2)))</f>
        <v/>
      </c>
      <c r="K728">
        <f>IF(OR($F728="",$J728="",$J728="نامعتبر"),"",LEFT($J728,4)&amp;MID($J728,6,2)&amp;RIGHT($J728,2)&amp;$N728&amp;"|"&amp;"2"&amp;RIGHT("00000"&amp;723,5))</f>
        <v/>
      </c>
      <c r="L728">
        <f>IF($K728="","",COUNTIFS(LdgPartyA,$F728,LdgKeyA,"&lt;"&amp;$K728)+COUNTIFS(LdgPartyB,$F728,LdgKeyB,"&lt;"&amp;$K728)+1)</f>
        <v/>
      </c>
      <c r="M728">
        <f>IF($L728="","",$F728&amp;"|"&amp;RIGHT("000000"&amp;$L728,6))</f>
        <v/>
      </c>
      <c r="N728">
        <f>IF($F728="","",IF(Sync!$AH728="","0000",IF(AND(ISNUMBER(Sync!$AH728),Sync!$AH728&gt;=0,Sync!$AH728&lt;1),RIGHT("00"&amp;HOUR(Sync!$AH728),2)&amp;RIGHT("00"&amp;MINUTE(Sync!$AH728),2),IFERROR(RIGHT("00"&amp;VALUE(LEFT(Sync!$AH728,FIND(":",Sync!$AH728)-1)),2)&amp;RIGHT("00"&amp;VALUE(MID(Sync!$AH728,FIND(":",Sync!$AH728)+1,2)),2),"0000"))))</f>
        <v/>
      </c>
    </row>
    <row r="729">
      <c r="A729">
        <f>IF(OR(Calc!$E732="",Calc!$E732="نامعتبر",Calc!$G732="",Calc!$I732&lt;&gt;"خرید"),"",Calc!$G732)</f>
        <v/>
      </c>
      <c r="B729">
        <f>IF($A729="","",LEFT(Calc!$E732,4)&amp;MID(Calc!$E732,6,2)&amp;RIGHT(Calc!$E732,2)&amp;Calc!$R732&amp;"|"&amp;"1"&amp;RIGHT("00000"&amp;724,5))</f>
        <v/>
      </c>
      <c r="C729">
        <f>IF($B729="","",COUNTIFS(LdgPartyA,$A729,LdgKeyA,"&lt;"&amp;$B729)+COUNTIFS(LdgPartyB,$A729,LdgKeyB,"&lt;"&amp;$B729)+1)</f>
        <v/>
      </c>
      <c r="D729">
        <f>IF($C729="","",$A729&amp;"|"&amp;RIGHT("000000"&amp;$C729,6))</f>
        <v/>
      </c>
      <c r="F729">
        <f>IF(Sync!$AJ729="","",Sync!$AJ729)</f>
        <v/>
      </c>
      <c r="G729">
        <f>IF($F729="","",IF(Sync!$AG729="","",IF(ISNUMBER(Sync!$AG729),IF(AND(Sync!$AG729&gt;=10000101,Sync!$AG729&lt;=99991231),INT(Sync!$AG729/10000),""),IFERROR(VALUE(TRIM(LEFT(Sync!$AG729,FIND("/",Sync!$AG729)-1))),""))))</f>
        <v/>
      </c>
      <c r="H729">
        <f>IF(OR($F729="",$G729=""),"",IF(ISNUMBER(Sync!$AG729),INT(MOD(Sync!$AG729,10000)/100),IFERROR(VALUE(TRIM(LEFT(MID(Sync!$AG729,FIND("/",Sync!$AG729)+1,20),FIND("/",MID(Sync!$AG729,FIND("/",Sync!$AG729)+1,20))-1))),"")))</f>
        <v/>
      </c>
      <c r="I729">
        <f>IF(OR($F729="",$G729=""),"",IF(ISNUMBER(Sync!$AG729),MOD(Sync!$AG729,100),IFERROR(VALUE(TRIM(MID(MID(Sync!$AG729,FIND("/",Sync!$AG729)+1,20),FIND("/",MID(Sync!$AG729,FIND("/",Sync!$AG729)+1,20))+1,20))),"")))</f>
        <v/>
      </c>
      <c r="J729">
        <f>IF($F729="","",IF(OR($G729="",$H729="",$I729="",$G729&lt;1300,$G729&gt;1500,$H729&lt;1,$H729&gt;12,$I729&lt;1,$I729&gt;31),"نامعتبر",RIGHT("0000"&amp;$G729,4)&amp;"/"&amp;RIGHT("00"&amp;$H729,2)&amp;"/"&amp;RIGHT("00"&amp;$I729,2)))</f>
        <v/>
      </c>
      <c r="K729">
        <f>IF(OR($F729="",$J729="",$J729="نامعتبر"),"",LEFT($J729,4)&amp;MID($J729,6,2)&amp;RIGHT($J729,2)&amp;$N729&amp;"|"&amp;"2"&amp;RIGHT("00000"&amp;724,5))</f>
        <v/>
      </c>
      <c r="L729">
        <f>IF($K729="","",COUNTIFS(LdgPartyA,$F729,LdgKeyA,"&lt;"&amp;$K729)+COUNTIFS(LdgPartyB,$F729,LdgKeyB,"&lt;"&amp;$K729)+1)</f>
        <v/>
      </c>
      <c r="M729">
        <f>IF($L729="","",$F729&amp;"|"&amp;RIGHT("000000"&amp;$L729,6))</f>
        <v/>
      </c>
      <c r="N729">
        <f>IF($F729="","",IF(Sync!$AH729="","0000",IF(AND(ISNUMBER(Sync!$AH729),Sync!$AH729&gt;=0,Sync!$AH729&lt;1),RIGHT("00"&amp;HOUR(Sync!$AH729),2)&amp;RIGHT("00"&amp;MINUTE(Sync!$AH729),2),IFERROR(RIGHT("00"&amp;VALUE(LEFT(Sync!$AH729,FIND(":",Sync!$AH729)-1)),2)&amp;RIGHT("00"&amp;VALUE(MID(Sync!$AH729,FIND(":",Sync!$AH729)+1,2)),2),"0000"))))</f>
        <v/>
      </c>
    </row>
    <row r="730">
      <c r="A730">
        <f>IF(OR(Calc!$E733="",Calc!$E733="نامعتبر",Calc!$G733="",Calc!$I733&lt;&gt;"خرید"),"",Calc!$G733)</f>
        <v/>
      </c>
      <c r="B730">
        <f>IF($A730="","",LEFT(Calc!$E733,4)&amp;MID(Calc!$E733,6,2)&amp;RIGHT(Calc!$E733,2)&amp;Calc!$R733&amp;"|"&amp;"1"&amp;RIGHT("00000"&amp;725,5))</f>
        <v/>
      </c>
      <c r="C730">
        <f>IF($B730="","",COUNTIFS(LdgPartyA,$A730,LdgKeyA,"&lt;"&amp;$B730)+COUNTIFS(LdgPartyB,$A730,LdgKeyB,"&lt;"&amp;$B730)+1)</f>
        <v/>
      </c>
      <c r="D730">
        <f>IF($C730="","",$A730&amp;"|"&amp;RIGHT("000000"&amp;$C730,6))</f>
        <v/>
      </c>
      <c r="F730">
        <f>IF(Sync!$AJ730="","",Sync!$AJ730)</f>
        <v/>
      </c>
      <c r="G730">
        <f>IF($F730="","",IF(Sync!$AG730="","",IF(ISNUMBER(Sync!$AG730),IF(AND(Sync!$AG730&gt;=10000101,Sync!$AG730&lt;=99991231),INT(Sync!$AG730/10000),""),IFERROR(VALUE(TRIM(LEFT(Sync!$AG730,FIND("/",Sync!$AG730)-1))),""))))</f>
        <v/>
      </c>
      <c r="H730">
        <f>IF(OR($F730="",$G730=""),"",IF(ISNUMBER(Sync!$AG730),INT(MOD(Sync!$AG730,10000)/100),IFERROR(VALUE(TRIM(LEFT(MID(Sync!$AG730,FIND("/",Sync!$AG730)+1,20),FIND("/",MID(Sync!$AG730,FIND("/",Sync!$AG730)+1,20))-1))),"")))</f>
        <v/>
      </c>
      <c r="I730">
        <f>IF(OR($F730="",$G730=""),"",IF(ISNUMBER(Sync!$AG730),MOD(Sync!$AG730,100),IFERROR(VALUE(TRIM(MID(MID(Sync!$AG730,FIND("/",Sync!$AG730)+1,20),FIND("/",MID(Sync!$AG730,FIND("/",Sync!$AG730)+1,20))+1,20))),"")))</f>
        <v/>
      </c>
      <c r="J730">
        <f>IF($F730="","",IF(OR($G730="",$H730="",$I730="",$G730&lt;1300,$G730&gt;1500,$H730&lt;1,$H730&gt;12,$I730&lt;1,$I730&gt;31),"نامعتبر",RIGHT("0000"&amp;$G730,4)&amp;"/"&amp;RIGHT("00"&amp;$H730,2)&amp;"/"&amp;RIGHT("00"&amp;$I730,2)))</f>
        <v/>
      </c>
      <c r="K730">
        <f>IF(OR($F730="",$J730="",$J730="نامعتبر"),"",LEFT($J730,4)&amp;MID($J730,6,2)&amp;RIGHT($J730,2)&amp;$N730&amp;"|"&amp;"2"&amp;RIGHT("00000"&amp;725,5))</f>
        <v/>
      </c>
      <c r="L730">
        <f>IF($K730="","",COUNTIFS(LdgPartyA,$F730,LdgKeyA,"&lt;"&amp;$K730)+COUNTIFS(LdgPartyB,$F730,LdgKeyB,"&lt;"&amp;$K730)+1)</f>
        <v/>
      </c>
      <c r="M730">
        <f>IF($L730="","",$F730&amp;"|"&amp;RIGHT("000000"&amp;$L730,6))</f>
        <v/>
      </c>
      <c r="N730">
        <f>IF($F730="","",IF(Sync!$AH730="","0000",IF(AND(ISNUMBER(Sync!$AH730),Sync!$AH730&gt;=0,Sync!$AH730&lt;1),RIGHT("00"&amp;HOUR(Sync!$AH730),2)&amp;RIGHT("00"&amp;MINUTE(Sync!$AH730),2),IFERROR(RIGHT("00"&amp;VALUE(LEFT(Sync!$AH730,FIND(":",Sync!$AH730)-1)),2)&amp;RIGHT("00"&amp;VALUE(MID(Sync!$AH730,FIND(":",Sync!$AH730)+1,2)),2),"0000"))))</f>
        <v/>
      </c>
    </row>
    <row r="731">
      <c r="A731">
        <f>IF(OR(Calc!$E734="",Calc!$E734="نامعتبر",Calc!$G734="",Calc!$I734&lt;&gt;"خرید"),"",Calc!$G734)</f>
        <v/>
      </c>
      <c r="B731">
        <f>IF($A731="","",LEFT(Calc!$E734,4)&amp;MID(Calc!$E734,6,2)&amp;RIGHT(Calc!$E734,2)&amp;Calc!$R734&amp;"|"&amp;"1"&amp;RIGHT("00000"&amp;726,5))</f>
        <v/>
      </c>
      <c r="C731">
        <f>IF($B731="","",COUNTIFS(LdgPartyA,$A731,LdgKeyA,"&lt;"&amp;$B731)+COUNTIFS(LdgPartyB,$A731,LdgKeyB,"&lt;"&amp;$B731)+1)</f>
        <v/>
      </c>
      <c r="D731">
        <f>IF($C731="","",$A731&amp;"|"&amp;RIGHT("000000"&amp;$C731,6))</f>
        <v/>
      </c>
      <c r="F731">
        <f>IF(Sync!$AJ731="","",Sync!$AJ731)</f>
        <v/>
      </c>
      <c r="G731">
        <f>IF($F731="","",IF(Sync!$AG731="","",IF(ISNUMBER(Sync!$AG731),IF(AND(Sync!$AG731&gt;=10000101,Sync!$AG731&lt;=99991231),INT(Sync!$AG731/10000),""),IFERROR(VALUE(TRIM(LEFT(Sync!$AG731,FIND("/",Sync!$AG731)-1))),""))))</f>
        <v/>
      </c>
      <c r="H731">
        <f>IF(OR($F731="",$G731=""),"",IF(ISNUMBER(Sync!$AG731),INT(MOD(Sync!$AG731,10000)/100),IFERROR(VALUE(TRIM(LEFT(MID(Sync!$AG731,FIND("/",Sync!$AG731)+1,20),FIND("/",MID(Sync!$AG731,FIND("/",Sync!$AG731)+1,20))-1))),"")))</f>
        <v/>
      </c>
      <c r="I731">
        <f>IF(OR($F731="",$G731=""),"",IF(ISNUMBER(Sync!$AG731),MOD(Sync!$AG731,100),IFERROR(VALUE(TRIM(MID(MID(Sync!$AG731,FIND("/",Sync!$AG731)+1,20),FIND("/",MID(Sync!$AG731,FIND("/",Sync!$AG731)+1,20))+1,20))),"")))</f>
        <v/>
      </c>
      <c r="J731">
        <f>IF($F731="","",IF(OR($G731="",$H731="",$I731="",$G731&lt;1300,$G731&gt;1500,$H731&lt;1,$H731&gt;12,$I731&lt;1,$I731&gt;31),"نامعتبر",RIGHT("0000"&amp;$G731,4)&amp;"/"&amp;RIGHT("00"&amp;$H731,2)&amp;"/"&amp;RIGHT("00"&amp;$I731,2)))</f>
        <v/>
      </c>
      <c r="K731">
        <f>IF(OR($F731="",$J731="",$J731="نامعتبر"),"",LEFT($J731,4)&amp;MID($J731,6,2)&amp;RIGHT($J731,2)&amp;$N731&amp;"|"&amp;"2"&amp;RIGHT("00000"&amp;726,5))</f>
        <v/>
      </c>
      <c r="L731">
        <f>IF($K731="","",COUNTIFS(LdgPartyA,$F731,LdgKeyA,"&lt;"&amp;$K731)+COUNTIFS(LdgPartyB,$F731,LdgKeyB,"&lt;"&amp;$K731)+1)</f>
        <v/>
      </c>
      <c r="M731">
        <f>IF($L731="","",$F731&amp;"|"&amp;RIGHT("000000"&amp;$L731,6))</f>
        <v/>
      </c>
      <c r="N731">
        <f>IF($F731="","",IF(Sync!$AH731="","0000",IF(AND(ISNUMBER(Sync!$AH731),Sync!$AH731&gt;=0,Sync!$AH731&lt;1),RIGHT("00"&amp;HOUR(Sync!$AH731),2)&amp;RIGHT("00"&amp;MINUTE(Sync!$AH731),2),IFERROR(RIGHT("00"&amp;VALUE(LEFT(Sync!$AH731,FIND(":",Sync!$AH731)-1)),2)&amp;RIGHT("00"&amp;VALUE(MID(Sync!$AH731,FIND(":",Sync!$AH731)+1,2)),2),"0000"))))</f>
        <v/>
      </c>
    </row>
    <row r="732">
      <c r="A732">
        <f>IF(OR(Calc!$E735="",Calc!$E735="نامعتبر",Calc!$G735="",Calc!$I735&lt;&gt;"خرید"),"",Calc!$G735)</f>
        <v/>
      </c>
      <c r="B732">
        <f>IF($A732="","",LEFT(Calc!$E735,4)&amp;MID(Calc!$E735,6,2)&amp;RIGHT(Calc!$E735,2)&amp;Calc!$R735&amp;"|"&amp;"1"&amp;RIGHT("00000"&amp;727,5))</f>
        <v/>
      </c>
      <c r="C732">
        <f>IF($B732="","",COUNTIFS(LdgPartyA,$A732,LdgKeyA,"&lt;"&amp;$B732)+COUNTIFS(LdgPartyB,$A732,LdgKeyB,"&lt;"&amp;$B732)+1)</f>
        <v/>
      </c>
      <c r="D732">
        <f>IF($C732="","",$A732&amp;"|"&amp;RIGHT("000000"&amp;$C732,6))</f>
        <v/>
      </c>
      <c r="F732">
        <f>IF(Sync!$AJ732="","",Sync!$AJ732)</f>
        <v/>
      </c>
      <c r="G732">
        <f>IF($F732="","",IF(Sync!$AG732="","",IF(ISNUMBER(Sync!$AG732),IF(AND(Sync!$AG732&gt;=10000101,Sync!$AG732&lt;=99991231),INT(Sync!$AG732/10000),""),IFERROR(VALUE(TRIM(LEFT(Sync!$AG732,FIND("/",Sync!$AG732)-1))),""))))</f>
        <v/>
      </c>
      <c r="H732">
        <f>IF(OR($F732="",$G732=""),"",IF(ISNUMBER(Sync!$AG732),INT(MOD(Sync!$AG732,10000)/100),IFERROR(VALUE(TRIM(LEFT(MID(Sync!$AG732,FIND("/",Sync!$AG732)+1,20),FIND("/",MID(Sync!$AG732,FIND("/",Sync!$AG732)+1,20))-1))),"")))</f>
        <v/>
      </c>
      <c r="I732">
        <f>IF(OR($F732="",$G732=""),"",IF(ISNUMBER(Sync!$AG732),MOD(Sync!$AG732,100),IFERROR(VALUE(TRIM(MID(MID(Sync!$AG732,FIND("/",Sync!$AG732)+1,20),FIND("/",MID(Sync!$AG732,FIND("/",Sync!$AG732)+1,20))+1,20))),"")))</f>
        <v/>
      </c>
      <c r="J732">
        <f>IF($F732="","",IF(OR($G732="",$H732="",$I732="",$G732&lt;1300,$G732&gt;1500,$H732&lt;1,$H732&gt;12,$I732&lt;1,$I732&gt;31),"نامعتبر",RIGHT("0000"&amp;$G732,4)&amp;"/"&amp;RIGHT("00"&amp;$H732,2)&amp;"/"&amp;RIGHT("00"&amp;$I732,2)))</f>
        <v/>
      </c>
      <c r="K732">
        <f>IF(OR($F732="",$J732="",$J732="نامعتبر"),"",LEFT($J732,4)&amp;MID($J732,6,2)&amp;RIGHT($J732,2)&amp;$N732&amp;"|"&amp;"2"&amp;RIGHT("00000"&amp;727,5))</f>
        <v/>
      </c>
      <c r="L732">
        <f>IF($K732="","",COUNTIFS(LdgPartyA,$F732,LdgKeyA,"&lt;"&amp;$K732)+COUNTIFS(LdgPartyB,$F732,LdgKeyB,"&lt;"&amp;$K732)+1)</f>
        <v/>
      </c>
      <c r="M732">
        <f>IF($L732="","",$F732&amp;"|"&amp;RIGHT("000000"&amp;$L732,6))</f>
        <v/>
      </c>
      <c r="N732">
        <f>IF($F732="","",IF(Sync!$AH732="","0000",IF(AND(ISNUMBER(Sync!$AH732),Sync!$AH732&gt;=0,Sync!$AH732&lt;1),RIGHT("00"&amp;HOUR(Sync!$AH732),2)&amp;RIGHT("00"&amp;MINUTE(Sync!$AH732),2),IFERROR(RIGHT("00"&amp;VALUE(LEFT(Sync!$AH732,FIND(":",Sync!$AH732)-1)),2)&amp;RIGHT("00"&amp;VALUE(MID(Sync!$AH732,FIND(":",Sync!$AH732)+1,2)),2),"0000"))))</f>
        <v/>
      </c>
    </row>
    <row r="733">
      <c r="A733">
        <f>IF(OR(Calc!$E736="",Calc!$E736="نامعتبر",Calc!$G736="",Calc!$I736&lt;&gt;"خرید"),"",Calc!$G736)</f>
        <v/>
      </c>
      <c r="B733">
        <f>IF($A733="","",LEFT(Calc!$E736,4)&amp;MID(Calc!$E736,6,2)&amp;RIGHT(Calc!$E736,2)&amp;Calc!$R736&amp;"|"&amp;"1"&amp;RIGHT("00000"&amp;728,5))</f>
        <v/>
      </c>
      <c r="C733">
        <f>IF($B733="","",COUNTIFS(LdgPartyA,$A733,LdgKeyA,"&lt;"&amp;$B733)+COUNTIFS(LdgPartyB,$A733,LdgKeyB,"&lt;"&amp;$B733)+1)</f>
        <v/>
      </c>
      <c r="D733">
        <f>IF($C733="","",$A733&amp;"|"&amp;RIGHT("000000"&amp;$C733,6))</f>
        <v/>
      </c>
      <c r="F733">
        <f>IF(Sync!$AJ733="","",Sync!$AJ733)</f>
        <v/>
      </c>
      <c r="G733">
        <f>IF($F733="","",IF(Sync!$AG733="","",IF(ISNUMBER(Sync!$AG733),IF(AND(Sync!$AG733&gt;=10000101,Sync!$AG733&lt;=99991231),INT(Sync!$AG733/10000),""),IFERROR(VALUE(TRIM(LEFT(Sync!$AG733,FIND("/",Sync!$AG733)-1))),""))))</f>
        <v/>
      </c>
      <c r="H733">
        <f>IF(OR($F733="",$G733=""),"",IF(ISNUMBER(Sync!$AG733),INT(MOD(Sync!$AG733,10000)/100),IFERROR(VALUE(TRIM(LEFT(MID(Sync!$AG733,FIND("/",Sync!$AG733)+1,20),FIND("/",MID(Sync!$AG733,FIND("/",Sync!$AG733)+1,20))-1))),"")))</f>
        <v/>
      </c>
      <c r="I733">
        <f>IF(OR($F733="",$G733=""),"",IF(ISNUMBER(Sync!$AG733),MOD(Sync!$AG733,100),IFERROR(VALUE(TRIM(MID(MID(Sync!$AG733,FIND("/",Sync!$AG733)+1,20),FIND("/",MID(Sync!$AG733,FIND("/",Sync!$AG733)+1,20))+1,20))),"")))</f>
        <v/>
      </c>
      <c r="J733">
        <f>IF($F733="","",IF(OR($G733="",$H733="",$I733="",$G733&lt;1300,$G733&gt;1500,$H733&lt;1,$H733&gt;12,$I733&lt;1,$I733&gt;31),"نامعتبر",RIGHT("0000"&amp;$G733,4)&amp;"/"&amp;RIGHT("00"&amp;$H733,2)&amp;"/"&amp;RIGHT("00"&amp;$I733,2)))</f>
        <v/>
      </c>
      <c r="K733">
        <f>IF(OR($F733="",$J733="",$J733="نامعتبر"),"",LEFT($J733,4)&amp;MID($J733,6,2)&amp;RIGHT($J733,2)&amp;$N733&amp;"|"&amp;"2"&amp;RIGHT("00000"&amp;728,5))</f>
        <v/>
      </c>
      <c r="L733">
        <f>IF($K733="","",COUNTIFS(LdgPartyA,$F733,LdgKeyA,"&lt;"&amp;$K733)+COUNTIFS(LdgPartyB,$F733,LdgKeyB,"&lt;"&amp;$K733)+1)</f>
        <v/>
      </c>
      <c r="M733">
        <f>IF($L733="","",$F733&amp;"|"&amp;RIGHT("000000"&amp;$L733,6))</f>
        <v/>
      </c>
      <c r="N733">
        <f>IF($F733="","",IF(Sync!$AH733="","0000",IF(AND(ISNUMBER(Sync!$AH733),Sync!$AH733&gt;=0,Sync!$AH733&lt;1),RIGHT("00"&amp;HOUR(Sync!$AH733),2)&amp;RIGHT("00"&amp;MINUTE(Sync!$AH733),2),IFERROR(RIGHT("00"&amp;VALUE(LEFT(Sync!$AH733,FIND(":",Sync!$AH733)-1)),2)&amp;RIGHT("00"&amp;VALUE(MID(Sync!$AH733,FIND(":",Sync!$AH733)+1,2)),2),"0000"))))</f>
        <v/>
      </c>
    </row>
    <row r="734">
      <c r="A734">
        <f>IF(OR(Calc!$E737="",Calc!$E737="نامعتبر",Calc!$G737="",Calc!$I737&lt;&gt;"خرید"),"",Calc!$G737)</f>
        <v/>
      </c>
      <c r="B734">
        <f>IF($A734="","",LEFT(Calc!$E737,4)&amp;MID(Calc!$E737,6,2)&amp;RIGHT(Calc!$E737,2)&amp;Calc!$R737&amp;"|"&amp;"1"&amp;RIGHT("00000"&amp;729,5))</f>
        <v/>
      </c>
      <c r="C734">
        <f>IF($B734="","",COUNTIFS(LdgPartyA,$A734,LdgKeyA,"&lt;"&amp;$B734)+COUNTIFS(LdgPartyB,$A734,LdgKeyB,"&lt;"&amp;$B734)+1)</f>
        <v/>
      </c>
      <c r="D734">
        <f>IF($C734="","",$A734&amp;"|"&amp;RIGHT("000000"&amp;$C734,6))</f>
        <v/>
      </c>
      <c r="F734">
        <f>IF(Sync!$AJ734="","",Sync!$AJ734)</f>
        <v/>
      </c>
      <c r="G734">
        <f>IF($F734="","",IF(Sync!$AG734="","",IF(ISNUMBER(Sync!$AG734),IF(AND(Sync!$AG734&gt;=10000101,Sync!$AG734&lt;=99991231),INT(Sync!$AG734/10000),""),IFERROR(VALUE(TRIM(LEFT(Sync!$AG734,FIND("/",Sync!$AG734)-1))),""))))</f>
        <v/>
      </c>
      <c r="H734">
        <f>IF(OR($F734="",$G734=""),"",IF(ISNUMBER(Sync!$AG734),INT(MOD(Sync!$AG734,10000)/100),IFERROR(VALUE(TRIM(LEFT(MID(Sync!$AG734,FIND("/",Sync!$AG734)+1,20),FIND("/",MID(Sync!$AG734,FIND("/",Sync!$AG734)+1,20))-1))),"")))</f>
        <v/>
      </c>
      <c r="I734">
        <f>IF(OR($F734="",$G734=""),"",IF(ISNUMBER(Sync!$AG734),MOD(Sync!$AG734,100),IFERROR(VALUE(TRIM(MID(MID(Sync!$AG734,FIND("/",Sync!$AG734)+1,20),FIND("/",MID(Sync!$AG734,FIND("/",Sync!$AG734)+1,20))+1,20))),"")))</f>
        <v/>
      </c>
      <c r="J734">
        <f>IF($F734="","",IF(OR($G734="",$H734="",$I734="",$G734&lt;1300,$G734&gt;1500,$H734&lt;1,$H734&gt;12,$I734&lt;1,$I734&gt;31),"نامعتبر",RIGHT("0000"&amp;$G734,4)&amp;"/"&amp;RIGHT("00"&amp;$H734,2)&amp;"/"&amp;RIGHT("00"&amp;$I734,2)))</f>
        <v/>
      </c>
      <c r="K734">
        <f>IF(OR($F734="",$J734="",$J734="نامعتبر"),"",LEFT($J734,4)&amp;MID($J734,6,2)&amp;RIGHT($J734,2)&amp;$N734&amp;"|"&amp;"2"&amp;RIGHT("00000"&amp;729,5))</f>
        <v/>
      </c>
      <c r="L734">
        <f>IF($K734="","",COUNTIFS(LdgPartyA,$F734,LdgKeyA,"&lt;"&amp;$K734)+COUNTIFS(LdgPartyB,$F734,LdgKeyB,"&lt;"&amp;$K734)+1)</f>
        <v/>
      </c>
      <c r="M734">
        <f>IF($L734="","",$F734&amp;"|"&amp;RIGHT("000000"&amp;$L734,6))</f>
        <v/>
      </c>
      <c r="N734">
        <f>IF($F734="","",IF(Sync!$AH734="","0000",IF(AND(ISNUMBER(Sync!$AH734),Sync!$AH734&gt;=0,Sync!$AH734&lt;1),RIGHT("00"&amp;HOUR(Sync!$AH734),2)&amp;RIGHT("00"&amp;MINUTE(Sync!$AH734),2),IFERROR(RIGHT("00"&amp;VALUE(LEFT(Sync!$AH734,FIND(":",Sync!$AH734)-1)),2)&amp;RIGHT("00"&amp;VALUE(MID(Sync!$AH734,FIND(":",Sync!$AH734)+1,2)),2),"0000"))))</f>
        <v/>
      </c>
    </row>
    <row r="735">
      <c r="A735">
        <f>IF(OR(Calc!$E738="",Calc!$E738="نامعتبر",Calc!$G738="",Calc!$I738&lt;&gt;"خرید"),"",Calc!$G738)</f>
        <v/>
      </c>
      <c r="B735">
        <f>IF($A735="","",LEFT(Calc!$E738,4)&amp;MID(Calc!$E738,6,2)&amp;RIGHT(Calc!$E738,2)&amp;Calc!$R738&amp;"|"&amp;"1"&amp;RIGHT("00000"&amp;730,5))</f>
        <v/>
      </c>
      <c r="C735">
        <f>IF($B735="","",COUNTIFS(LdgPartyA,$A735,LdgKeyA,"&lt;"&amp;$B735)+COUNTIFS(LdgPartyB,$A735,LdgKeyB,"&lt;"&amp;$B735)+1)</f>
        <v/>
      </c>
      <c r="D735">
        <f>IF($C735="","",$A735&amp;"|"&amp;RIGHT("000000"&amp;$C735,6))</f>
        <v/>
      </c>
      <c r="F735">
        <f>IF(Sync!$AJ735="","",Sync!$AJ735)</f>
        <v/>
      </c>
      <c r="G735">
        <f>IF($F735="","",IF(Sync!$AG735="","",IF(ISNUMBER(Sync!$AG735),IF(AND(Sync!$AG735&gt;=10000101,Sync!$AG735&lt;=99991231),INT(Sync!$AG735/10000),""),IFERROR(VALUE(TRIM(LEFT(Sync!$AG735,FIND("/",Sync!$AG735)-1))),""))))</f>
        <v/>
      </c>
      <c r="H735">
        <f>IF(OR($F735="",$G735=""),"",IF(ISNUMBER(Sync!$AG735),INT(MOD(Sync!$AG735,10000)/100),IFERROR(VALUE(TRIM(LEFT(MID(Sync!$AG735,FIND("/",Sync!$AG735)+1,20),FIND("/",MID(Sync!$AG735,FIND("/",Sync!$AG735)+1,20))-1))),"")))</f>
        <v/>
      </c>
      <c r="I735">
        <f>IF(OR($F735="",$G735=""),"",IF(ISNUMBER(Sync!$AG735),MOD(Sync!$AG735,100),IFERROR(VALUE(TRIM(MID(MID(Sync!$AG735,FIND("/",Sync!$AG735)+1,20),FIND("/",MID(Sync!$AG735,FIND("/",Sync!$AG735)+1,20))+1,20))),"")))</f>
        <v/>
      </c>
      <c r="J735">
        <f>IF($F735="","",IF(OR($G735="",$H735="",$I735="",$G735&lt;1300,$G735&gt;1500,$H735&lt;1,$H735&gt;12,$I735&lt;1,$I735&gt;31),"نامعتبر",RIGHT("0000"&amp;$G735,4)&amp;"/"&amp;RIGHT("00"&amp;$H735,2)&amp;"/"&amp;RIGHT("00"&amp;$I735,2)))</f>
        <v/>
      </c>
      <c r="K735">
        <f>IF(OR($F735="",$J735="",$J735="نامعتبر"),"",LEFT($J735,4)&amp;MID($J735,6,2)&amp;RIGHT($J735,2)&amp;$N735&amp;"|"&amp;"2"&amp;RIGHT("00000"&amp;730,5))</f>
        <v/>
      </c>
      <c r="L735">
        <f>IF($K735="","",COUNTIFS(LdgPartyA,$F735,LdgKeyA,"&lt;"&amp;$K735)+COUNTIFS(LdgPartyB,$F735,LdgKeyB,"&lt;"&amp;$K735)+1)</f>
        <v/>
      </c>
      <c r="M735">
        <f>IF($L735="","",$F735&amp;"|"&amp;RIGHT("000000"&amp;$L735,6))</f>
        <v/>
      </c>
      <c r="N735">
        <f>IF($F735="","",IF(Sync!$AH735="","0000",IF(AND(ISNUMBER(Sync!$AH735),Sync!$AH735&gt;=0,Sync!$AH735&lt;1),RIGHT("00"&amp;HOUR(Sync!$AH735),2)&amp;RIGHT("00"&amp;MINUTE(Sync!$AH735),2),IFERROR(RIGHT("00"&amp;VALUE(LEFT(Sync!$AH735,FIND(":",Sync!$AH735)-1)),2)&amp;RIGHT("00"&amp;VALUE(MID(Sync!$AH735,FIND(":",Sync!$AH735)+1,2)),2),"0000"))))</f>
        <v/>
      </c>
    </row>
    <row r="736">
      <c r="A736">
        <f>IF(OR(Calc!$E739="",Calc!$E739="نامعتبر",Calc!$G739="",Calc!$I739&lt;&gt;"خرید"),"",Calc!$G739)</f>
        <v/>
      </c>
      <c r="B736">
        <f>IF($A736="","",LEFT(Calc!$E739,4)&amp;MID(Calc!$E739,6,2)&amp;RIGHT(Calc!$E739,2)&amp;Calc!$R739&amp;"|"&amp;"1"&amp;RIGHT("00000"&amp;731,5))</f>
        <v/>
      </c>
      <c r="C736">
        <f>IF($B736="","",COUNTIFS(LdgPartyA,$A736,LdgKeyA,"&lt;"&amp;$B736)+COUNTIFS(LdgPartyB,$A736,LdgKeyB,"&lt;"&amp;$B736)+1)</f>
        <v/>
      </c>
      <c r="D736">
        <f>IF($C736="","",$A736&amp;"|"&amp;RIGHT("000000"&amp;$C736,6))</f>
        <v/>
      </c>
      <c r="F736">
        <f>IF(Sync!$AJ736="","",Sync!$AJ736)</f>
        <v/>
      </c>
      <c r="G736">
        <f>IF($F736="","",IF(Sync!$AG736="","",IF(ISNUMBER(Sync!$AG736),IF(AND(Sync!$AG736&gt;=10000101,Sync!$AG736&lt;=99991231),INT(Sync!$AG736/10000),""),IFERROR(VALUE(TRIM(LEFT(Sync!$AG736,FIND("/",Sync!$AG736)-1))),""))))</f>
        <v/>
      </c>
      <c r="H736">
        <f>IF(OR($F736="",$G736=""),"",IF(ISNUMBER(Sync!$AG736),INT(MOD(Sync!$AG736,10000)/100),IFERROR(VALUE(TRIM(LEFT(MID(Sync!$AG736,FIND("/",Sync!$AG736)+1,20),FIND("/",MID(Sync!$AG736,FIND("/",Sync!$AG736)+1,20))-1))),"")))</f>
        <v/>
      </c>
      <c r="I736">
        <f>IF(OR($F736="",$G736=""),"",IF(ISNUMBER(Sync!$AG736),MOD(Sync!$AG736,100),IFERROR(VALUE(TRIM(MID(MID(Sync!$AG736,FIND("/",Sync!$AG736)+1,20),FIND("/",MID(Sync!$AG736,FIND("/",Sync!$AG736)+1,20))+1,20))),"")))</f>
        <v/>
      </c>
      <c r="J736">
        <f>IF($F736="","",IF(OR($G736="",$H736="",$I736="",$G736&lt;1300,$G736&gt;1500,$H736&lt;1,$H736&gt;12,$I736&lt;1,$I736&gt;31),"نامعتبر",RIGHT("0000"&amp;$G736,4)&amp;"/"&amp;RIGHT("00"&amp;$H736,2)&amp;"/"&amp;RIGHT("00"&amp;$I736,2)))</f>
        <v/>
      </c>
      <c r="K736">
        <f>IF(OR($F736="",$J736="",$J736="نامعتبر"),"",LEFT($J736,4)&amp;MID($J736,6,2)&amp;RIGHT($J736,2)&amp;$N736&amp;"|"&amp;"2"&amp;RIGHT("00000"&amp;731,5))</f>
        <v/>
      </c>
      <c r="L736">
        <f>IF($K736="","",COUNTIFS(LdgPartyA,$F736,LdgKeyA,"&lt;"&amp;$K736)+COUNTIFS(LdgPartyB,$F736,LdgKeyB,"&lt;"&amp;$K736)+1)</f>
        <v/>
      </c>
      <c r="M736">
        <f>IF($L736="","",$F736&amp;"|"&amp;RIGHT("000000"&amp;$L736,6))</f>
        <v/>
      </c>
      <c r="N736">
        <f>IF($F736="","",IF(Sync!$AH736="","0000",IF(AND(ISNUMBER(Sync!$AH736),Sync!$AH736&gt;=0,Sync!$AH736&lt;1),RIGHT("00"&amp;HOUR(Sync!$AH736),2)&amp;RIGHT("00"&amp;MINUTE(Sync!$AH736),2),IFERROR(RIGHT("00"&amp;VALUE(LEFT(Sync!$AH736,FIND(":",Sync!$AH736)-1)),2)&amp;RIGHT("00"&amp;VALUE(MID(Sync!$AH736,FIND(":",Sync!$AH736)+1,2)),2),"0000"))))</f>
        <v/>
      </c>
    </row>
    <row r="737">
      <c r="A737">
        <f>IF(OR(Calc!$E740="",Calc!$E740="نامعتبر",Calc!$G740="",Calc!$I740&lt;&gt;"خرید"),"",Calc!$G740)</f>
        <v/>
      </c>
      <c r="B737">
        <f>IF($A737="","",LEFT(Calc!$E740,4)&amp;MID(Calc!$E740,6,2)&amp;RIGHT(Calc!$E740,2)&amp;Calc!$R740&amp;"|"&amp;"1"&amp;RIGHT("00000"&amp;732,5))</f>
        <v/>
      </c>
      <c r="C737">
        <f>IF($B737="","",COUNTIFS(LdgPartyA,$A737,LdgKeyA,"&lt;"&amp;$B737)+COUNTIFS(LdgPartyB,$A737,LdgKeyB,"&lt;"&amp;$B737)+1)</f>
        <v/>
      </c>
      <c r="D737">
        <f>IF($C737="","",$A737&amp;"|"&amp;RIGHT("000000"&amp;$C737,6))</f>
        <v/>
      </c>
      <c r="F737">
        <f>IF(Sync!$AJ737="","",Sync!$AJ737)</f>
        <v/>
      </c>
      <c r="G737">
        <f>IF($F737="","",IF(Sync!$AG737="","",IF(ISNUMBER(Sync!$AG737),IF(AND(Sync!$AG737&gt;=10000101,Sync!$AG737&lt;=99991231),INT(Sync!$AG737/10000),""),IFERROR(VALUE(TRIM(LEFT(Sync!$AG737,FIND("/",Sync!$AG737)-1))),""))))</f>
        <v/>
      </c>
      <c r="H737">
        <f>IF(OR($F737="",$G737=""),"",IF(ISNUMBER(Sync!$AG737),INT(MOD(Sync!$AG737,10000)/100),IFERROR(VALUE(TRIM(LEFT(MID(Sync!$AG737,FIND("/",Sync!$AG737)+1,20),FIND("/",MID(Sync!$AG737,FIND("/",Sync!$AG737)+1,20))-1))),"")))</f>
        <v/>
      </c>
      <c r="I737">
        <f>IF(OR($F737="",$G737=""),"",IF(ISNUMBER(Sync!$AG737),MOD(Sync!$AG737,100),IFERROR(VALUE(TRIM(MID(MID(Sync!$AG737,FIND("/",Sync!$AG737)+1,20),FIND("/",MID(Sync!$AG737,FIND("/",Sync!$AG737)+1,20))+1,20))),"")))</f>
        <v/>
      </c>
      <c r="J737">
        <f>IF($F737="","",IF(OR($G737="",$H737="",$I737="",$G737&lt;1300,$G737&gt;1500,$H737&lt;1,$H737&gt;12,$I737&lt;1,$I737&gt;31),"نامعتبر",RIGHT("0000"&amp;$G737,4)&amp;"/"&amp;RIGHT("00"&amp;$H737,2)&amp;"/"&amp;RIGHT("00"&amp;$I737,2)))</f>
        <v/>
      </c>
      <c r="K737">
        <f>IF(OR($F737="",$J737="",$J737="نامعتبر"),"",LEFT($J737,4)&amp;MID($J737,6,2)&amp;RIGHT($J737,2)&amp;$N737&amp;"|"&amp;"2"&amp;RIGHT("00000"&amp;732,5))</f>
        <v/>
      </c>
      <c r="L737">
        <f>IF($K737="","",COUNTIFS(LdgPartyA,$F737,LdgKeyA,"&lt;"&amp;$K737)+COUNTIFS(LdgPartyB,$F737,LdgKeyB,"&lt;"&amp;$K737)+1)</f>
        <v/>
      </c>
      <c r="M737">
        <f>IF($L737="","",$F737&amp;"|"&amp;RIGHT("000000"&amp;$L737,6))</f>
        <v/>
      </c>
      <c r="N737">
        <f>IF($F737="","",IF(Sync!$AH737="","0000",IF(AND(ISNUMBER(Sync!$AH737),Sync!$AH737&gt;=0,Sync!$AH737&lt;1),RIGHT("00"&amp;HOUR(Sync!$AH737),2)&amp;RIGHT("00"&amp;MINUTE(Sync!$AH737),2),IFERROR(RIGHT("00"&amp;VALUE(LEFT(Sync!$AH737,FIND(":",Sync!$AH737)-1)),2)&amp;RIGHT("00"&amp;VALUE(MID(Sync!$AH737,FIND(":",Sync!$AH737)+1,2)),2),"0000"))))</f>
        <v/>
      </c>
    </row>
    <row r="738">
      <c r="A738">
        <f>IF(OR(Calc!$E741="",Calc!$E741="نامعتبر",Calc!$G741="",Calc!$I741&lt;&gt;"خرید"),"",Calc!$G741)</f>
        <v/>
      </c>
      <c r="B738">
        <f>IF($A738="","",LEFT(Calc!$E741,4)&amp;MID(Calc!$E741,6,2)&amp;RIGHT(Calc!$E741,2)&amp;Calc!$R741&amp;"|"&amp;"1"&amp;RIGHT("00000"&amp;733,5))</f>
        <v/>
      </c>
      <c r="C738">
        <f>IF($B738="","",COUNTIFS(LdgPartyA,$A738,LdgKeyA,"&lt;"&amp;$B738)+COUNTIFS(LdgPartyB,$A738,LdgKeyB,"&lt;"&amp;$B738)+1)</f>
        <v/>
      </c>
      <c r="D738">
        <f>IF($C738="","",$A738&amp;"|"&amp;RIGHT("000000"&amp;$C738,6))</f>
        <v/>
      </c>
      <c r="F738">
        <f>IF(Sync!$AJ738="","",Sync!$AJ738)</f>
        <v/>
      </c>
      <c r="G738">
        <f>IF($F738="","",IF(Sync!$AG738="","",IF(ISNUMBER(Sync!$AG738),IF(AND(Sync!$AG738&gt;=10000101,Sync!$AG738&lt;=99991231),INT(Sync!$AG738/10000),""),IFERROR(VALUE(TRIM(LEFT(Sync!$AG738,FIND("/",Sync!$AG738)-1))),""))))</f>
        <v/>
      </c>
      <c r="H738">
        <f>IF(OR($F738="",$G738=""),"",IF(ISNUMBER(Sync!$AG738),INT(MOD(Sync!$AG738,10000)/100),IFERROR(VALUE(TRIM(LEFT(MID(Sync!$AG738,FIND("/",Sync!$AG738)+1,20),FIND("/",MID(Sync!$AG738,FIND("/",Sync!$AG738)+1,20))-1))),"")))</f>
        <v/>
      </c>
      <c r="I738">
        <f>IF(OR($F738="",$G738=""),"",IF(ISNUMBER(Sync!$AG738),MOD(Sync!$AG738,100),IFERROR(VALUE(TRIM(MID(MID(Sync!$AG738,FIND("/",Sync!$AG738)+1,20),FIND("/",MID(Sync!$AG738,FIND("/",Sync!$AG738)+1,20))+1,20))),"")))</f>
        <v/>
      </c>
      <c r="J738">
        <f>IF($F738="","",IF(OR($G738="",$H738="",$I738="",$G738&lt;1300,$G738&gt;1500,$H738&lt;1,$H738&gt;12,$I738&lt;1,$I738&gt;31),"نامعتبر",RIGHT("0000"&amp;$G738,4)&amp;"/"&amp;RIGHT("00"&amp;$H738,2)&amp;"/"&amp;RIGHT("00"&amp;$I738,2)))</f>
        <v/>
      </c>
      <c r="K738">
        <f>IF(OR($F738="",$J738="",$J738="نامعتبر"),"",LEFT($J738,4)&amp;MID($J738,6,2)&amp;RIGHT($J738,2)&amp;$N738&amp;"|"&amp;"2"&amp;RIGHT("00000"&amp;733,5))</f>
        <v/>
      </c>
      <c r="L738">
        <f>IF($K738="","",COUNTIFS(LdgPartyA,$F738,LdgKeyA,"&lt;"&amp;$K738)+COUNTIFS(LdgPartyB,$F738,LdgKeyB,"&lt;"&amp;$K738)+1)</f>
        <v/>
      </c>
      <c r="M738">
        <f>IF($L738="","",$F738&amp;"|"&amp;RIGHT("000000"&amp;$L738,6))</f>
        <v/>
      </c>
      <c r="N738">
        <f>IF($F738="","",IF(Sync!$AH738="","0000",IF(AND(ISNUMBER(Sync!$AH738),Sync!$AH738&gt;=0,Sync!$AH738&lt;1),RIGHT("00"&amp;HOUR(Sync!$AH738),2)&amp;RIGHT("00"&amp;MINUTE(Sync!$AH738),2),IFERROR(RIGHT("00"&amp;VALUE(LEFT(Sync!$AH738,FIND(":",Sync!$AH738)-1)),2)&amp;RIGHT("00"&amp;VALUE(MID(Sync!$AH738,FIND(":",Sync!$AH738)+1,2)),2),"0000"))))</f>
        <v/>
      </c>
    </row>
    <row r="739">
      <c r="A739">
        <f>IF(OR(Calc!$E742="",Calc!$E742="نامعتبر",Calc!$G742="",Calc!$I742&lt;&gt;"خرید"),"",Calc!$G742)</f>
        <v/>
      </c>
      <c r="B739">
        <f>IF($A739="","",LEFT(Calc!$E742,4)&amp;MID(Calc!$E742,6,2)&amp;RIGHT(Calc!$E742,2)&amp;Calc!$R742&amp;"|"&amp;"1"&amp;RIGHT("00000"&amp;734,5))</f>
        <v/>
      </c>
      <c r="C739">
        <f>IF($B739="","",COUNTIFS(LdgPartyA,$A739,LdgKeyA,"&lt;"&amp;$B739)+COUNTIFS(LdgPartyB,$A739,LdgKeyB,"&lt;"&amp;$B739)+1)</f>
        <v/>
      </c>
      <c r="D739">
        <f>IF($C739="","",$A739&amp;"|"&amp;RIGHT("000000"&amp;$C739,6))</f>
        <v/>
      </c>
      <c r="F739">
        <f>IF(Sync!$AJ739="","",Sync!$AJ739)</f>
        <v/>
      </c>
      <c r="G739">
        <f>IF($F739="","",IF(Sync!$AG739="","",IF(ISNUMBER(Sync!$AG739),IF(AND(Sync!$AG739&gt;=10000101,Sync!$AG739&lt;=99991231),INT(Sync!$AG739/10000),""),IFERROR(VALUE(TRIM(LEFT(Sync!$AG739,FIND("/",Sync!$AG739)-1))),""))))</f>
        <v/>
      </c>
      <c r="H739">
        <f>IF(OR($F739="",$G739=""),"",IF(ISNUMBER(Sync!$AG739),INT(MOD(Sync!$AG739,10000)/100),IFERROR(VALUE(TRIM(LEFT(MID(Sync!$AG739,FIND("/",Sync!$AG739)+1,20),FIND("/",MID(Sync!$AG739,FIND("/",Sync!$AG739)+1,20))-1))),"")))</f>
        <v/>
      </c>
      <c r="I739">
        <f>IF(OR($F739="",$G739=""),"",IF(ISNUMBER(Sync!$AG739),MOD(Sync!$AG739,100),IFERROR(VALUE(TRIM(MID(MID(Sync!$AG739,FIND("/",Sync!$AG739)+1,20),FIND("/",MID(Sync!$AG739,FIND("/",Sync!$AG739)+1,20))+1,20))),"")))</f>
        <v/>
      </c>
      <c r="J739">
        <f>IF($F739="","",IF(OR($G739="",$H739="",$I739="",$G739&lt;1300,$G739&gt;1500,$H739&lt;1,$H739&gt;12,$I739&lt;1,$I739&gt;31),"نامعتبر",RIGHT("0000"&amp;$G739,4)&amp;"/"&amp;RIGHT("00"&amp;$H739,2)&amp;"/"&amp;RIGHT("00"&amp;$I739,2)))</f>
        <v/>
      </c>
      <c r="K739">
        <f>IF(OR($F739="",$J739="",$J739="نامعتبر"),"",LEFT($J739,4)&amp;MID($J739,6,2)&amp;RIGHT($J739,2)&amp;$N739&amp;"|"&amp;"2"&amp;RIGHT("00000"&amp;734,5))</f>
        <v/>
      </c>
      <c r="L739">
        <f>IF($K739="","",COUNTIFS(LdgPartyA,$F739,LdgKeyA,"&lt;"&amp;$K739)+COUNTIFS(LdgPartyB,$F739,LdgKeyB,"&lt;"&amp;$K739)+1)</f>
        <v/>
      </c>
      <c r="M739">
        <f>IF($L739="","",$F739&amp;"|"&amp;RIGHT("000000"&amp;$L739,6))</f>
        <v/>
      </c>
      <c r="N739">
        <f>IF($F739="","",IF(Sync!$AH739="","0000",IF(AND(ISNUMBER(Sync!$AH739),Sync!$AH739&gt;=0,Sync!$AH739&lt;1),RIGHT("00"&amp;HOUR(Sync!$AH739),2)&amp;RIGHT("00"&amp;MINUTE(Sync!$AH739),2),IFERROR(RIGHT("00"&amp;VALUE(LEFT(Sync!$AH739,FIND(":",Sync!$AH739)-1)),2)&amp;RIGHT("00"&amp;VALUE(MID(Sync!$AH739,FIND(":",Sync!$AH739)+1,2)),2),"0000"))))</f>
        <v/>
      </c>
    </row>
    <row r="740">
      <c r="A740">
        <f>IF(OR(Calc!$E743="",Calc!$E743="نامعتبر",Calc!$G743="",Calc!$I743&lt;&gt;"خرید"),"",Calc!$G743)</f>
        <v/>
      </c>
      <c r="B740">
        <f>IF($A740="","",LEFT(Calc!$E743,4)&amp;MID(Calc!$E743,6,2)&amp;RIGHT(Calc!$E743,2)&amp;Calc!$R743&amp;"|"&amp;"1"&amp;RIGHT("00000"&amp;735,5))</f>
        <v/>
      </c>
      <c r="C740">
        <f>IF($B740="","",COUNTIFS(LdgPartyA,$A740,LdgKeyA,"&lt;"&amp;$B740)+COUNTIFS(LdgPartyB,$A740,LdgKeyB,"&lt;"&amp;$B740)+1)</f>
        <v/>
      </c>
      <c r="D740">
        <f>IF($C740="","",$A740&amp;"|"&amp;RIGHT("000000"&amp;$C740,6))</f>
        <v/>
      </c>
      <c r="F740">
        <f>IF(Sync!$AJ740="","",Sync!$AJ740)</f>
        <v/>
      </c>
      <c r="G740">
        <f>IF($F740="","",IF(Sync!$AG740="","",IF(ISNUMBER(Sync!$AG740),IF(AND(Sync!$AG740&gt;=10000101,Sync!$AG740&lt;=99991231),INT(Sync!$AG740/10000),""),IFERROR(VALUE(TRIM(LEFT(Sync!$AG740,FIND("/",Sync!$AG740)-1))),""))))</f>
        <v/>
      </c>
      <c r="H740">
        <f>IF(OR($F740="",$G740=""),"",IF(ISNUMBER(Sync!$AG740),INT(MOD(Sync!$AG740,10000)/100),IFERROR(VALUE(TRIM(LEFT(MID(Sync!$AG740,FIND("/",Sync!$AG740)+1,20),FIND("/",MID(Sync!$AG740,FIND("/",Sync!$AG740)+1,20))-1))),"")))</f>
        <v/>
      </c>
      <c r="I740">
        <f>IF(OR($F740="",$G740=""),"",IF(ISNUMBER(Sync!$AG740),MOD(Sync!$AG740,100),IFERROR(VALUE(TRIM(MID(MID(Sync!$AG740,FIND("/",Sync!$AG740)+1,20),FIND("/",MID(Sync!$AG740,FIND("/",Sync!$AG740)+1,20))+1,20))),"")))</f>
        <v/>
      </c>
      <c r="J740">
        <f>IF($F740="","",IF(OR($G740="",$H740="",$I740="",$G740&lt;1300,$G740&gt;1500,$H740&lt;1,$H740&gt;12,$I740&lt;1,$I740&gt;31),"نامعتبر",RIGHT("0000"&amp;$G740,4)&amp;"/"&amp;RIGHT("00"&amp;$H740,2)&amp;"/"&amp;RIGHT("00"&amp;$I740,2)))</f>
        <v/>
      </c>
      <c r="K740">
        <f>IF(OR($F740="",$J740="",$J740="نامعتبر"),"",LEFT($J740,4)&amp;MID($J740,6,2)&amp;RIGHT($J740,2)&amp;$N740&amp;"|"&amp;"2"&amp;RIGHT("00000"&amp;735,5))</f>
        <v/>
      </c>
      <c r="L740">
        <f>IF($K740="","",COUNTIFS(LdgPartyA,$F740,LdgKeyA,"&lt;"&amp;$K740)+COUNTIFS(LdgPartyB,$F740,LdgKeyB,"&lt;"&amp;$K740)+1)</f>
        <v/>
      </c>
      <c r="M740">
        <f>IF($L740="","",$F740&amp;"|"&amp;RIGHT("000000"&amp;$L740,6))</f>
        <v/>
      </c>
      <c r="N740">
        <f>IF($F740="","",IF(Sync!$AH740="","0000",IF(AND(ISNUMBER(Sync!$AH740),Sync!$AH740&gt;=0,Sync!$AH740&lt;1),RIGHT("00"&amp;HOUR(Sync!$AH740),2)&amp;RIGHT("00"&amp;MINUTE(Sync!$AH740),2),IFERROR(RIGHT("00"&amp;VALUE(LEFT(Sync!$AH740,FIND(":",Sync!$AH740)-1)),2)&amp;RIGHT("00"&amp;VALUE(MID(Sync!$AH740,FIND(":",Sync!$AH740)+1,2)),2),"0000"))))</f>
        <v/>
      </c>
    </row>
    <row r="741">
      <c r="A741">
        <f>IF(OR(Calc!$E744="",Calc!$E744="نامعتبر",Calc!$G744="",Calc!$I744&lt;&gt;"خرید"),"",Calc!$G744)</f>
        <v/>
      </c>
      <c r="B741">
        <f>IF($A741="","",LEFT(Calc!$E744,4)&amp;MID(Calc!$E744,6,2)&amp;RIGHT(Calc!$E744,2)&amp;Calc!$R744&amp;"|"&amp;"1"&amp;RIGHT("00000"&amp;736,5))</f>
        <v/>
      </c>
      <c r="C741">
        <f>IF($B741="","",COUNTIFS(LdgPartyA,$A741,LdgKeyA,"&lt;"&amp;$B741)+COUNTIFS(LdgPartyB,$A741,LdgKeyB,"&lt;"&amp;$B741)+1)</f>
        <v/>
      </c>
      <c r="D741">
        <f>IF($C741="","",$A741&amp;"|"&amp;RIGHT("000000"&amp;$C741,6))</f>
        <v/>
      </c>
      <c r="F741">
        <f>IF(Sync!$AJ741="","",Sync!$AJ741)</f>
        <v/>
      </c>
      <c r="G741">
        <f>IF($F741="","",IF(Sync!$AG741="","",IF(ISNUMBER(Sync!$AG741),IF(AND(Sync!$AG741&gt;=10000101,Sync!$AG741&lt;=99991231),INT(Sync!$AG741/10000),""),IFERROR(VALUE(TRIM(LEFT(Sync!$AG741,FIND("/",Sync!$AG741)-1))),""))))</f>
        <v/>
      </c>
      <c r="H741">
        <f>IF(OR($F741="",$G741=""),"",IF(ISNUMBER(Sync!$AG741),INT(MOD(Sync!$AG741,10000)/100),IFERROR(VALUE(TRIM(LEFT(MID(Sync!$AG741,FIND("/",Sync!$AG741)+1,20),FIND("/",MID(Sync!$AG741,FIND("/",Sync!$AG741)+1,20))-1))),"")))</f>
        <v/>
      </c>
      <c r="I741">
        <f>IF(OR($F741="",$G741=""),"",IF(ISNUMBER(Sync!$AG741),MOD(Sync!$AG741,100),IFERROR(VALUE(TRIM(MID(MID(Sync!$AG741,FIND("/",Sync!$AG741)+1,20),FIND("/",MID(Sync!$AG741,FIND("/",Sync!$AG741)+1,20))+1,20))),"")))</f>
        <v/>
      </c>
      <c r="J741">
        <f>IF($F741="","",IF(OR($G741="",$H741="",$I741="",$G741&lt;1300,$G741&gt;1500,$H741&lt;1,$H741&gt;12,$I741&lt;1,$I741&gt;31),"نامعتبر",RIGHT("0000"&amp;$G741,4)&amp;"/"&amp;RIGHT("00"&amp;$H741,2)&amp;"/"&amp;RIGHT("00"&amp;$I741,2)))</f>
        <v/>
      </c>
      <c r="K741">
        <f>IF(OR($F741="",$J741="",$J741="نامعتبر"),"",LEFT($J741,4)&amp;MID($J741,6,2)&amp;RIGHT($J741,2)&amp;$N741&amp;"|"&amp;"2"&amp;RIGHT("00000"&amp;736,5))</f>
        <v/>
      </c>
      <c r="L741">
        <f>IF($K741="","",COUNTIFS(LdgPartyA,$F741,LdgKeyA,"&lt;"&amp;$K741)+COUNTIFS(LdgPartyB,$F741,LdgKeyB,"&lt;"&amp;$K741)+1)</f>
        <v/>
      </c>
      <c r="M741">
        <f>IF($L741="","",$F741&amp;"|"&amp;RIGHT("000000"&amp;$L741,6))</f>
        <v/>
      </c>
      <c r="N741">
        <f>IF($F741="","",IF(Sync!$AH741="","0000",IF(AND(ISNUMBER(Sync!$AH741),Sync!$AH741&gt;=0,Sync!$AH741&lt;1),RIGHT("00"&amp;HOUR(Sync!$AH741),2)&amp;RIGHT("00"&amp;MINUTE(Sync!$AH741),2),IFERROR(RIGHT("00"&amp;VALUE(LEFT(Sync!$AH741,FIND(":",Sync!$AH741)-1)),2)&amp;RIGHT("00"&amp;VALUE(MID(Sync!$AH741,FIND(":",Sync!$AH741)+1,2)),2),"0000"))))</f>
        <v/>
      </c>
    </row>
    <row r="742">
      <c r="A742">
        <f>IF(OR(Calc!$E745="",Calc!$E745="نامعتبر",Calc!$G745="",Calc!$I745&lt;&gt;"خرید"),"",Calc!$G745)</f>
        <v/>
      </c>
      <c r="B742">
        <f>IF($A742="","",LEFT(Calc!$E745,4)&amp;MID(Calc!$E745,6,2)&amp;RIGHT(Calc!$E745,2)&amp;Calc!$R745&amp;"|"&amp;"1"&amp;RIGHT("00000"&amp;737,5))</f>
        <v/>
      </c>
      <c r="C742">
        <f>IF($B742="","",COUNTIFS(LdgPartyA,$A742,LdgKeyA,"&lt;"&amp;$B742)+COUNTIFS(LdgPartyB,$A742,LdgKeyB,"&lt;"&amp;$B742)+1)</f>
        <v/>
      </c>
      <c r="D742">
        <f>IF($C742="","",$A742&amp;"|"&amp;RIGHT("000000"&amp;$C742,6))</f>
        <v/>
      </c>
      <c r="F742">
        <f>IF(Sync!$AJ742="","",Sync!$AJ742)</f>
        <v/>
      </c>
      <c r="G742">
        <f>IF($F742="","",IF(Sync!$AG742="","",IF(ISNUMBER(Sync!$AG742),IF(AND(Sync!$AG742&gt;=10000101,Sync!$AG742&lt;=99991231),INT(Sync!$AG742/10000),""),IFERROR(VALUE(TRIM(LEFT(Sync!$AG742,FIND("/",Sync!$AG742)-1))),""))))</f>
        <v/>
      </c>
      <c r="H742">
        <f>IF(OR($F742="",$G742=""),"",IF(ISNUMBER(Sync!$AG742),INT(MOD(Sync!$AG742,10000)/100),IFERROR(VALUE(TRIM(LEFT(MID(Sync!$AG742,FIND("/",Sync!$AG742)+1,20),FIND("/",MID(Sync!$AG742,FIND("/",Sync!$AG742)+1,20))-1))),"")))</f>
        <v/>
      </c>
      <c r="I742">
        <f>IF(OR($F742="",$G742=""),"",IF(ISNUMBER(Sync!$AG742),MOD(Sync!$AG742,100),IFERROR(VALUE(TRIM(MID(MID(Sync!$AG742,FIND("/",Sync!$AG742)+1,20),FIND("/",MID(Sync!$AG742,FIND("/",Sync!$AG742)+1,20))+1,20))),"")))</f>
        <v/>
      </c>
      <c r="J742">
        <f>IF($F742="","",IF(OR($G742="",$H742="",$I742="",$G742&lt;1300,$G742&gt;1500,$H742&lt;1,$H742&gt;12,$I742&lt;1,$I742&gt;31),"نامعتبر",RIGHT("0000"&amp;$G742,4)&amp;"/"&amp;RIGHT("00"&amp;$H742,2)&amp;"/"&amp;RIGHT("00"&amp;$I742,2)))</f>
        <v/>
      </c>
      <c r="K742">
        <f>IF(OR($F742="",$J742="",$J742="نامعتبر"),"",LEFT($J742,4)&amp;MID($J742,6,2)&amp;RIGHT($J742,2)&amp;$N742&amp;"|"&amp;"2"&amp;RIGHT("00000"&amp;737,5))</f>
        <v/>
      </c>
      <c r="L742">
        <f>IF($K742="","",COUNTIFS(LdgPartyA,$F742,LdgKeyA,"&lt;"&amp;$K742)+COUNTIFS(LdgPartyB,$F742,LdgKeyB,"&lt;"&amp;$K742)+1)</f>
        <v/>
      </c>
      <c r="M742">
        <f>IF($L742="","",$F742&amp;"|"&amp;RIGHT("000000"&amp;$L742,6))</f>
        <v/>
      </c>
      <c r="N742">
        <f>IF($F742="","",IF(Sync!$AH742="","0000",IF(AND(ISNUMBER(Sync!$AH742),Sync!$AH742&gt;=0,Sync!$AH742&lt;1),RIGHT("00"&amp;HOUR(Sync!$AH742),2)&amp;RIGHT("00"&amp;MINUTE(Sync!$AH742),2),IFERROR(RIGHT("00"&amp;VALUE(LEFT(Sync!$AH742,FIND(":",Sync!$AH742)-1)),2)&amp;RIGHT("00"&amp;VALUE(MID(Sync!$AH742,FIND(":",Sync!$AH742)+1,2)),2),"0000"))))</f>
        <v/>
      </c>
    </row>
    <row r="743">
      <c r="A743">
        <f>IF(OR(Calc!$E746="",Calc!$E746="نامعتبر",Calc!$G746="",Calc!$I746&lt;&gt;"خرید"),"",Calc!$G746)</f>
        <v/>
      </c>
      <c r="B743">
        <f>IF($A743="","",LEFT(Calc!$E746,4)&amp;MID(Calc!$E746,6,2)&amp;RIGHT(Calc!$E746,2)&amp;Calc!$R746&amp;"|"&amp;"1"&amp;RIGHT("00000"&amp;738,5))</f>
        <v/>
      </c>
      <c r="C743">
        <f>IF($B743="","",COUNTIFS(LdgPartyA,$A743,LdgKeyA,"&lt;"&amp;$B743)+COUNTIFS(LdgPartyB,$A743,LdgKeyB,"&lt;"&amp;$B743)+1)</f>
        <v/>
      </c>
      <c r="D743">
        <f>IF($C743="","",$A743&amp;"|"&amp;RIGHT("000000"&amp;$C743,6))</f>
        <v/>
      </c>
      <c r="F743">
        <f>IF(Sync!$AJ743="","",Sync!$AJ743)</f>
        <v/>
      </c>
      <c r="G743">
        <f>IF($F743="","",IF(Sync!$AG743="","",IF(ISNUMBER(Sync!$AG743),IF(AND(Sync!$AG743&gt;=10000101,Sync!$AG743&lt;=99991231),INT(Sync!$AG743/10000),""),IFERROR(VALUE(TRIM(LEFT(Sync!$AG743,FIND("/",Sync!$AG743)-1))),""))))</f>
        <v/>
      </c>
      <c r="H743">
        <f>IF(OR($F743="",$G743=""),"",IF(ISNUMBER(Sync!$AG743),INT(MOD(Sync!$AG743,10000)/100),IFERROR(VALUE(TRIM(LEFT(MID(Sync!$AG743,FIND("/",Sync!$AG743)+1,20),FIND("/",MID(Sync!$AG743,FIND("/",Sync!$AG743)+1,20))-1))),"")))</f>
        <v/>
      </c>
      <c r="I743">
        <f>IF(OR($F743="",$G743=""),"",IF(ISNUMBER(Sync!$AG743),MOD(Sync!$AG743,100),IFERROR(VALUE(TRIM(MID(MID(Sync!$AG743,FIND("/",Sync!$AG743)+1,20),FIND("/",MID(Sync!$AG743,FIND("/",Sync!$AG743)+1,20))+1,20))),"")))</f>
        <v/>
      </c>
      <c r="J743">
        <f>IF($F743="","",IF(OR($G743="",$H743="",$I743="",$G743&lt;1300,$G743&gt;1500,$H743&lt;1,$H743&gt;12,$I743&lt;1,$I743&gt;31),"نامعتبر",RIGHT("0000"&amp;$G743,4)&amp;"/"&amp;RIGHT("00"&amp;$H743,2)&amp;"/"&amp;RIGHT("00"&amp;$I743,2)))</f>
        <v/>
      </c>
      <c r="K743">
        <f>IF(OR($F743="",$J743="",$J743="نامعتبر"),"",LEFT($J743,4)&amp;MID($J743,6,2)&amp;RIGHT($J743,2)&amp;$N743&amp;"|"&amp;"2"&amp;RIGHT("00000"&amp;738,5))</f>
        <v/>
      </c>
      <c r="L743">
        <f>IF($K743="","",COUNTIFS(LdgPartyA,$F743,LdgKeyA,"&lt;"&amp;$K743)+COUNTIFS(LdgPartyB,$F743,LdgKeyB,"&lt;"&amp;$K743)+1)</f>
        <v/>
      </c>
      <c r="M743">
        <f>IF($L743="","",$F743&amp;"|"&amp;RIGHT("000000"&amp;$L743,6))</f>
        <v/>
      </c>
      <c r="N743">
        <f>IF($F743="","",IF(Sync!$AH743="","0000",IF(AND(ISNUMBER(Sync!$AH743),Sync!$AH743&gt;=0,Sync!$AH743&lt;1),RIGHT("00"&amp;HOUR(Sync!$AH743),2)&amp;RIGHT("00"&amp;MINUTE(Sync!$AH743),2),IFERROR(RIGHT("00"&amp;VALUE(LEFT(Sync!$AH743,FIND(":",Sync!$AH743)-1)),2)&amp;RIGHT("00"&amp;VALUE(MID(Sync!$AH743,FIND(":",Sync!$AH743)+1,2)),2),"0000"))))</f>
        <v/>
      </c>
    </row>
    <row r="744">
      <c r="A744">
        <f>IF(OR(Calc!$E747="",Calc!$E747="نامعتبر",Calc!$G747="",Calc!$I747&lt;&gt;"خرید"),"",Calc!$G747)</f>
        <v/>
      </c>
      <c r="B744">
        <f>IF($A744="","",LEFT(Calc!$E747,4)&amp;MID(Calc!$E747,6,2)&amp;RIGHT(Calc!$E747,2)&amp;Calc!$R747&amp;"|"&amp;"1"&amp;RIGHT("00000"&amp;739,5))</f>
        <v/>
      </c>
      <c r="C744">
        <f>IF($B744="","",COUNTIFS(LdgPartyA,$A744,LdgKeyA,"&lt;"&amp;$B744)+COUNTIFS(LdgPartyB,$A744,LdgKeyB,"&lt;"&amp;$B744)+1)</f>
        <v/>
      </c>
      <c r="D744">
        <f>IF($C744="","",$A744&amp;"|"&amp;RIGHT("000000"&amp;$C744,6))</f>
        <v/>
      </c>
      <c r="F744">
        <f>IF(Sync!$AJ744="","",Sync!$AJ744)</f>
        <v/>
      </c>
      <c r="G744">
        <f>IF($F744="","",IF(Sync!$AG744="","",IF(ISNUMBER(Sync!$AG744),IF(AND(Sync!$AG744&gt;=10000101,Sync!$AG744&lt;=99991231),INT(Sync!$AG744/10000),""),IFERROR(VALUE(TRIM(LEFT(Sync!$AG744,FIND("/",Sync!$AG744)-1))),""))))</f>
        <v/>
      </c>
      <c r="H744">
        <f>IF(OR($F744="",$G744=""),"",IF(ISNUMBER(Sync!$AG744),INT(MOD(Sync!$AG744,10000)/100),IFERROR(VALUE(TRIM(LEFT(MID(Sync!$AG744,FIND("/",Sync!$AG744)+1,20),FIND("/",MID(Sync!$AG744,FIND("/",Sync!$AG744)+1,20))-1))),"")))</f>
        <v/>
      </c>
      <c r="I744">
        <f>IF(OR($F744="",$G744=""),"",IF(ISNUMBER(Sync!$AG744),MOD(Sync!$AG744,100),IFERROR(VALUE(TRIM(MID(MID(Sync!$AG744,FIND("/",Sync!$AG744)+1,20),FIND("/",MID(Sync!$AG744,FIND("/",Sync!$AG744)+1,20))+1,20))),"")))</f>
        <v/>
      </c>
      <c r="J744">
        <f>IF($F744="","",IF(OR($G744="",$H744="",$I744="",$G744&lt;1300,$G744&gt;1500,$H744&lt;1,$H744&gt;12,$I744&lt;1,$I744&gt;31),"نامعتبر",RIGHT("0000"&amp;$G744,4)&amp;"/"&amp;RIGHT("00"&amp;$H744,2)&amp;"/"&amp;RIGHT("00"&amp;$I744,2)))</f>
        <v/>
      </c>
      <c r="K744">
        <f>IF(OR($F744="",$J744="",$J744="نامعتبر"),"",LEFT($J744,4)&amp;MID($J744,6,2)&amp;RIGHT($J744,2)&amp;$N744&amp;"|"&amp;"2"&amp;RIGHT("00000"&amp;739,5))</f>
        <v/>
      </c>
      <c r="L744">
        <f>IF($K744="","",COUNTIFS(LdgPartyA,$F744,LdgKeyA,"&lt;"&amp;$K744)+COUNTIFS(LdgPartyB,$F744,LdgKeyB,"&lt;"&amp;$K744)+1)</f>
        <v/>
      </c>
      <c r="M744">
        <f>IF($L744="","",$F744&amp;"|"&amp;RIGHT("000000"&amp;$L744,6))</f>
        <v/>
      </c>
      <c r="N744">
        <f>IF($F744="","",IF(Sync!$AH744="","0000",IF(AND(ISNUMBER(Sync!$AH744),Sync!$AH744&gt;=0,Sync!$AH744&lt;1),RIGHT("00"&amp;HOUR(Sync!$AH744),2)&amp;RIGHT("00"&amp;MINUTE(Sync!$AH744),2),IFERROR(RIGHT("00"&amp;VALUE(LEFT(Sync!$AH744,FIND(":",Sync!$AH744)-1)),2)&amp;RIGHT("00"&amp;VALUE(MID(Sync!$AH744,FIND(":",Sync!$AH744)+1,2)),2),"0000"))))</f>
        <v/>
      </c>
    </row>
    <row r="745">
      <c r="A745">
        <f>IF(OR(Calc!$E748="",Calc!$E748="نامعتبر",Calc!$G748="",Calc!$I748&lt;&gt;"خرید"),"",Calc!$G748)</f>
        <v/>
      </c>
      <c r="B745">
        <f>IF($A745="","",LEFT(Calc!$E748,4)&amp;MID(Calc!$E748,6,2)&amp;RIGHT(Calc!$E748,2)&amp;Calc!$R748&amp;"|"&amp;"1"&amp;RIGHT("00000"&amp;740,5))</f>
        <v/>
      </c>
      <c r="C745">
        <f>IF($B745="","",COUNTIFS(LdgPartyA,$A745,LdgKeyA,"&lt;"&amp;$B745)+COUNTIFS(LdgPartyB,$A745,LdgKeyB,"&lt;"&amp;$B745)+1)</f>
        <v/>
      </c>
      <c r="D745">
        <f>IF($C745="","",$A745&amp;"|"&amp;RIGHT("000000"&amp;$C745,6))</f>
        <v/>
      </c>
      <c r="F745">
        <f>IF(Sync!$AJ745="","",Sync!$AJ745)</f>
        <v/>
      </c>
      <c r="G745">
        <f>IF($F745="","",IF(Sync!$AG745="","",IF(ISNUMBER(Sync!$AG745),IF(AND(Sync!$AG745&gt;=10000101,Sync!$AG745&lt;=99991231),INT(Sync!$AG745/10000),""),IFERROR(VALUE(TRIM(LEFT(Sync!$AG745,FIND("/",Sync!$AG745)-1))),""))))</f>
        <v/>
      </c>
      <c r="H745">
        <f>IF(OR($F745="",$G745=""),"",IF(ISNUMBER(Sync!$AG745),INT(MOD(Sync!$AG745,10000)/100),IFERROR(VALUE(TRIM(LEFT(MID(Sync!$AG745,FIND("/",Sync!$AG745)+1,20),FIND("/",MID(Sync!$AG745,FIND("/",Sync!$AG745)+1,20))-1))),"")))</f>
        <v/>
      </c>
      <c r="I745">
        <f>IF(OR($F745="",$G745=""),"",IF(ISNUMBER(Sync!$AG745),MOD(Sync!$AG745,100),IFERROR(VALUE(TRIM(MID(MID(Sync!$AG745,FIND("/",Sync!$AG745)+1,20),FIND("/",MID(Sync!$AG745,FIND("/",Sync!$AG745)+1,20))+1,20))),"")))</f>
        <v/>
      </c>
      <c r="J745">
        <f>IF($F745="","",IF(OR($G745="",$H745="",$I745="",$G745&lt;1300,$G745&gt;1500,$H745&lt;1,$H745&gt;12,$I745&lt;1,$I745&gt;31),"نامعتبر",RIGHT("0000"&amp;$G745,4)&amp;"/"&amp;RIGHT("00"&amp;$H745,2)&amp;"/"&amp;RIGHT("00"&amp;$I745,2)))</f>
        <v/>
      </c>
      <c r="K745">
        <f>IF(OR($F745="",$J745="",$J745="نامعتبر"),"",LEFT($J745,4)&amp;MID($J745,6,2)&amp;RIGHT($J745,2)&amp;$N745&amp;"|"&amp;"2"&amp;RIGHT("00000"&amp;740,5))</f>
        <v/>
      </c>
      <c r="L745">
        <f>IF($K745="","",COUNTIFS(LdgPartyA,$F745,LdgKeyA,"&lt;"&amp;$K745)+COUNTIFS(LdgPartyB,$F745,LdgKeyB,"&lt;"&amp;$K745)+1)</f>
        <v/>
      </c>
      <c r="M745">
        <f>IF($L745="","",$F745&amp;"|"&amp;RIGHT("000000"&amp;$L745,6))</f>
        <v/>
      </c>
      <c r="N745">
        <f>IF($F745="","",IF(Sync!$AH745="","0000",IF(AND(ISNUMBER(Sync!$AH745),Sync!$AH745&gt;=0,Sync!$AH745&lt;1),RIGHT("00"&amp;HOUR(Sync!$AH745),2)&amp;RIGHT("00"&amp;MINUTE(Sync!$AH745),2),IFERROR(RIGHT("00"&amp;VALUE(LEFT(Sync!$AH745,FIND(":",Sync!$AH745)-1)),2)&amp;RIGHT("00"&amp;VALUE(MID(Sync!$AH745,FIND(":",Sync!$AH745)+1,2)),2),"0000"))))</f>
        <v/>
      </c>
    </row>
    <row r="746">
      <c r="A746">
        <f>IF(OR(Calc!$E749="",Calc!$E749="نامعتبر",Calc!$G749="",Calc!$I749&lt;&gt;"خرید"),"",Calc!$G749)</f>
        <v/>
      </c>
      <c r="B746">
        <f>IF($A746="","",LEFT(Calc!$E749,4)&amp;MID(Calc!$E749,6,2)&amp;RIGHT(Calc!$E749,2)&amp;Calc!$R749&amp;"|"&amp;"1"&amp;RIGHT("00000"&amp;741,5))</f>
        <v/>
      </c>
      <c r="C746">
        <f>IF($B746="","",COUNTIFS(LdgPartyA,$A746,LdgKeyA,"&lt;"&amp;$B746)+COUNTIFS(LdgPartyB,$A746,LdgKeyB,"&lt;"&amp;$B746)+1)</f>
        <v/>
      </c>
      <c r="D746">
        <f>IF($C746="","",$A746&amp;"|"&amp;RIGHT("000000"&amp;$C746,6))</f>
        <v/>
      </c>
      <c r="F746">
        <f>IF(Sync!$AJ746="","",Sync!$AJ746)</f>
        <v/>
      </c>
      <c r="G746">
        <f>IF($F746="","",IF(Sync!$AG746="","",IF(ISNUMBER(Sync!$AG746),IF(AND(Sync!$AG746&gt;=10000101,Sync!$AG746&lt;=99991231),INT(Sync!$AG746/10000),""),IFERROR(VALUE(TRIM(LEFT(Sync!$AG746,FIND("/",Sync!$AG746)-1))),""))))</f>
        <v/>
      </c>
      <c r="H746">
        <f>IF(OR($F746="",$G746=""),"",IF(ISNUMBER(Sync!$AG746),INT(MOD(Sync!$AG746,10000)/100),IFERROR(VALUE(TRIM(LEFT(MID(Sync!$AG746,FIND("/",Sync!$AG746)+1,20),FIND("/",MID(Sync!$AG746,FIND("/",Sync!$AG746)+1,20))-1))),"")))</f>
        <v/>
      </c>
      <c r="I746">
        <f>IF(OR($F746="",$G746=""),"",IF(ISNUMBER(Sync!$AG746),MOD(Sync!$AG746,100),IFERROR(VALUE(TRIM(MID(MID(Sync!$AG746,FIND("/",Sync!$AG746)+1,20),FIND("/",MID(Sync!$AG746,FIND("/",Sync!$AG746)+1,20))+1,20))),"")))</f>
        <v/>
      </c>
      <c r="J746">
        <f>IF($F746="","",IF(OR($G746="",$H746="",$I746="",$G746&lt;1300,$G746&gt;1500,$H746&lt;1,$H746&gt;12,$I746&lt;1,$I746&gt;31),"نامعتبر",RIGHT("0000"&amp;$G746,4)&amp;"/"&amp;RIGHT("00"&amp;$H746,2)&amp;"/"&amp;RIGHT("00"&amp;$I746,2)))</f>
        <v/>
      </c>
      <c r="K746">
        <f>IF(OR($F746="",$J746="",$J746="نامعتبر"),"",LEFT($J746,4)&amp;MID($J746,6,2)&amp;RIGHT($J746,2)&amp;$N746&amp;"|"&amp;"2"&amp;RIGHT("00000"&amp;741,5))</f>
        <v/>
      </c>
      <c r="L746">
        <f>IF($K746="","",COUNTIFS(LdgPartyA,$F746,LdgKeyA,"&lt;"&amp;$K746)+COUNTIFS(LdgPartyB,$F746,LdgKeyB,"&lt;"&amp;$K746)+1)</f>
        <v/>
      </c>
      <c r="M746">
        <f>IF($L746="","",$F746&amp;"|"&amp;RIGHT("000000"&amp;$L746,6))</f>
        <v/>
      </c>
      <c r="N746">
        <f>IF($F746="","",IF(Sync!$AH746="","0000",IF(AND(ISNUMBER(Sync!$AH746),Sync!$AH746&gt;=0,Sync!$AH746&lt;1),RIGHT("00"&amp;HOUR(Sync!$AH746),2)&amp;RIGHT("00"&amp;MINUTE(Sync!$AH746),2),IFERROR(RIGHT("00"&amp;VALUE(LEFT(Sync!$AH746,FIND(":",Sync!$AH746)-1)),2)&amp;RIGHT("00"&amp;VALUE(MID(Sync!$AH746,FIND(":",Sync!$AH746)+1,2)),2),"0000"))))</f>
        <v/>
      </c>
    </row>
    <row r="747">
      <c r="A747">
        <f>IF(OR(Calc!$E750="",Calc!$E750="نامعتبر",Calc!$G750="",Calc!$I750&lt;&gt;"خرید"),"",Calc!$G750)</f>
        <v/>
      </c>
      <c r="B747">
        <f>IF($A747="","",LEFT(Calc!$E750,4)&amp;MID(Calc!$E750,6,2)&amp;RIGHT(Calc!$E750,2)&amp;Calc!$R750&amp;"|"&amp;"1"&amp;RIGHT("00000"&amp;742,5))</f>
        <v/>
      </c>
      <c r="C747">
        <f>IF($B747="","",COUNTIFS(LdgPartyA,$A747,LdgKeyA,"&lt;"&amp;$B747)+COUNTIFS(LdgPartyB,$A747,LdgKeyB,"&lt;"&amp;$B747)+1)</f>
        <v/>
      </c>
      <c r="D747">
        <f>IF($C747="","",$A747&amp;"|"&amp;RIGHT("000000"&amp;$C747,6))</f>
        <v/>
      </c>
      <c r="F747">
        <f>IF(Sync!$AJ747="","",Sync!$AJ747)</f>
        <v/>
      </c>
      <c r="G747">
        <f>IF($F747="","",IF(Sync!$AG747="","",IF(ISNUMBER(Sync!$AG747),IF(AND(Sync!$AG747&gt;=10000101,Sync!$AG747&lt;=99991231),INT(Sync!$AG747/10000),""),IFERROR(VALUE(TRIM(LEFT(Sync!$AG747,FIND("/",Sync!$AG747)-1))),""))))</f>
        <v/>
      </c>
      <c r="H747">
        <f>IF(OR($F747="",$G747=""),"",IF(ISNUMBER(Sync!$AG747),INT(MOD(Sync!$AG747,10000)/100),IFERROR(VALUE(TRIM(LEFT(MID(Sync!$AG747,FIND("/",Sync!$AG747)+1,20),FIND("/",MID(Sync!$AG747,FIND("/",Sync!$AG747)+1,20))-1))),"")))</f>
        <v/>
      </c>
      <c r="I747">
        <f>IF(OR($F747="",$G747=""),"",IF(ISNUMBER(Sync!$AG747),MOD(Sync!$AG747,100),IFERROR(VALUE(TRIM(MID(MID(Sync!$AG747,FIND("/",Sync!$AG747)+1,20),FIND("/",MID(Sync!$AG747,FIND("/",Sync!$AG747)+1,20))+1,20))),"")))</f>
        <v/>
      </c>
      <c r="J747">
        <f>IF($F747="","",IF(OR($G747="",$H747="",$I747="",$G747&lt;1300,$G747&gt;1500,$H747&lt;1,$H747&gt;12,$I747&lt;1,$I747&gt;31),"نامعتبر",RIGHT("0000"&amp;$G747,4)&amp;"/"&amp;RIGHT("00"&amp;$H747,2)&amp;"/"&amp;RIGHT("00"&amp;$I747,2)))</f>
        <v/>
      </c>
      <c r="K747">
        <f>IF(OR($F747="",$J747="",$J747="نامعتبر"),"",LEFT($J747,4)&amp;MID($J747,6,2)&amp;RIGHT($J747,2)&amp;$N747&amp;"|"&amp;"2"&amp;RIGHT("00000"&amp;742,5))</f>
        <v/>
      </c>
      <c r="L747">
        <f>IF($K747="","",COUNTIFS(LdgPartyA,$F747,LdgKeyA,"&lt;"&amp;$K747)+COUNTIFS(LdgPartyB,$F747,LdgKeyB,"&lt;"&amp;$K747)+1)</f>
        <v/>
      </c>
      <c r="M747">
        <f>IF($L747="","",$F747&amp;"|"&amp;RIGHT("000000"&amp;$L747,6))</f>
        <v/>
      </c>
      <c r="N747">
        <f>IF($F747="","",IF(Sync!$AH747="","0000",IF(AND(ISNUMBER(Sync!$AH747),Sync!$AH747&gt;=0,Sync!$AH747&lt;1),RIGHT("00"&amp;HOUR(Sync!$AH747),2)&amp;RIGHT("00"&amp;MINUTE(Sync!$AH747),2),IFERROR(RIGHT("00"&amp;VALUE(LEFT(Sync!$AH747,FIND(":",Sync!$AH747)-1)),2)&amp;RIGHT("00"&amp;VALUE(MID(Sync!$AH747,FIND(":",Sync!$AH747)+1,2)),2),"0000"))))</f>
        <v/>
      </c>
    </row>
    <row r="748">
      <c r="A748">
        <f>IF(OR(Calc!$E751="",Calc!$E751="نامعتبر",Calc!$G751="",Calc!$I751&lt;&gt;"خرید"),"",Calc!$G751)</f>
        <v/>
      </c>
      <c r="B748">
        <f>IF($A748="","",LEFT(Calc!$E751,4)&amp;MID(Calc!$E751,6,2)&amp;RIGHT(Calc!$E751,2)&amp;Calc!$R751&amp;"|"&amp;"1"&amp;RIGHT("00000"&amp;743,5))</f>
        <v/>
      </c>
      <c r="C748">
        <f>IF($B748="","",COUNTIFS(LdgPartyA,$A748,LdgKeyA,"&lt;"&amp;$B748)+COUNTIFS(LdgPartyB,$A748,LdgKeyB,"&lt;"&amp;$B748)+1)</f>
        <v/>
      </c>
      <c r="D748">
        <f>IF($C748="","",$A748&amp;"|"&amp;RIGHT("000000"&amp;$C748,6))</f>
        <v/>
      </c>
      <c r="F748">
        <f>IF(Sync!$AJ748="","",Sync!$AJ748)</f>
        <v/>
      </c>
      <c r="G748">
        <f>IF($F748="","",IF(Sync!$AG748="","",IF(ISNUMBER(Sync!$AG748),IF(AND(Sync!$AG748&gt;=10000101,Sync!$AG748&lt;=99991231),INT(Sync!$AG748/10000),""),IFERROR(VALUE(TRIM(LEFT(Sync!$AG748,FIND("/",Sync!$AG748)-1))),""))))</f>
        <v/>
      </c>
      <c r="H748">
        <f>IF(OR($F748="",$G748=""),"",IF(ISNUMBER(Sync!$AG748),INT(MOD(Sync!$AG748,10000)/100),IFERROR(VALUE(TRIM(LEFT(MID(Sync!$AG748,FIND("/",Sync!$AG748)+1,20),FIND("/",MID(Sync!$AG748,FIND("/",Sync!$AG748)+1,20))-1))),"")))</f>
        <v/>
      </c>
      <c r="I748">
        <f>IF(OR($F748="",$G748=""),"",IF(ISNUMBER(Sync!$AG748),MOD(Sync!$AG748,100),IFERROR(VALUE(TRIM(MID(MID(Sync!$AG748,FIND("/",Sync!$AG748)+1,20),FIND("/",MID(Sync!$AG748,FIND("/",Sync!$AG748)+1,20))+1,20))),"")))</f>
        <v/>
      </c>
      <c r="J748">
        <f>IF($F748="","",IF(OR($G748="",$H748="",$I748="",$G748&lt;1300,$G748&gt;1500,$H748&lt;1,$H748&gt;12,$I748&lt;1,$I748&gt;31),"نامعتبر",RIGHT("0000"&amp;$G748,4)&amp;"/"&amp;RIGHT("00"&amp;$H748,2)&amp;"/"&amp;RIGHT("00"&amp;$I748,2)))</f>
        <v/>
      </c>
      <c r="K748">
        <f>IF(OR($F748="",$J748="",$J748="نامعتبر"),"",LEFT($J748,4)&amp;MID($J748,6,2)&amp;RIGHT($J748,2)&amp;$N748&amp;"|"&amp;"2"&amp;RIGHT("00000"&amp;743,5))</f>
        <v/>
      </c>
      <c r="L748">
        <f>IF($K748="","",COUNTIFS(LdgPartyA,$F748,LdgKeyA,"&lt;"&amp;$K748)+COUNTIFS(LdgPartyB,$F748,LdgKeyB,"&lt;"&amp;$K748)+1)</f>
        <v/>
      </c>
      <c r="M748">
        <f>IF($L748="","",$F748&amp;"|"&amp;RIGHT("000000"&amp;$L748,6))</f>
        <v/>
      </c>
      <c r="N748">
        <f>IF($F748="","",IF(Sync!$AH748="","0000",IF(AND(ISNUMBER(Sync!$AH748),Sync!$AH748&gt;=0,Sync!$AH748&lt;1),RIGHT("00"&amp;HOUR(Sync!$AH748),2)&amp;RIGHT("00"&amp;MINUTE(Sync!$AH748),2),IFERROR(RIGHT("00"&amp;VALUE(LEFT(Sync!$AH748,FIND(":",Sync!$AH748)-1)),2)&amp;RIGHT("00"&amp;VALUE(MID(Sync!$AH748,FIND(":",Sync!$AH748)+1,2)),2),"0000"))))</f>
        <v/>
      </c>
    </row>
    <row r="749">
      <c r="A749">
        <f>IF(OR(Calc!$E752="",Calc!$E752="نامعتبر",Calc!$G752="",Calc!$I752&lt;&gt;"خرید"),"",Calc!$G752)</f>
        <v/>
      </c>
      <c r="B749">
        <f>IF($A749="","",LEFT(Calc!$E752,4)&amp;MID(Calc!$E752,6,2)&amp;RIGHT(Calc!$E752,2)&amp;Calc!$R752&amp;"|"&amp;"1"&amp;RIGHT("00000"&amp;744,5))</f>
        <v/>
      </c>
      <c r="C749">
        <f>IF($B749="","",COUNTIFS(LdgPartyA,$A749,LdgKeyA,"&lt;"&amp;$B749)+COUNTIFS(LdgPartyB,$A749,LdgKeyB,"&lt;"&amp;$B749)+1)</f>
        <v/>
      </c>
      <c r="D749">
        <f>IF($C749="","",$A749&amp;"|"&amp;RIGHT("000000"&amp;$C749,6))</f>
        <v/>
      </c>
      <c r="F749">
        <f>IF(Sync!$AJ749="","",Sync!$AJ749)</f>
        <v/>
      </c>
      <c r="G749">
        <f>IF($F749="","",IF(Sync!$AG749="","",IF(ISNUMBER(Sync!$AG749),IF(AND(Sync!$AG749&gt;=10000101,Sync!$AG749&lt;=99991231),INT(Sync!$AG749/10000),""),IFERROR(VALUE(TRIM(LEFT(Sync!$AG749,FIND("/",Sync!$AG749)-1))),""))))</f>
        <v/>
      </c>
      <c r="H749">
        <f>IF(OR($F749="",$G749=""),"",IF(ISNUMBER(Sync!$AG749),INT(MOD(Sync!$AG749,10000)/100),IFERROR(VALUE(TRIM(LEFT(MID(Sync!$AG749,FIND("/",Sync!$AG749)+1,20),FIND("/",MID(Sync!$AG749,FIND("/",Sync!$AG749)+1,20))-1))),"")))</f>
        <v/>
      </c>
      <c r="I749">
        <f>IF(OR($F749="",$G749=""),"",IF(ISNUMBER(Sync!$AG749),MOD(Sync!$AG749,100),IFERROR(VALUE(TRIM(MID(MID(Sync!$AG749,FIND("/",Sync!$AG749)+1,20),FIND("/",MID(Sync!$AG749,FIND("/",Sync!$AG749)+1,20))+1,20))),"")))</f>
        <v/>
      </c>
      <c r="J749">
        <f>IF($F749="","",IF(OR($G749="",$H749="",$I749="",$G749&lt;1300,$G749&gt;1500,$H749&lt;1,$H749&gt;12,$I749&lt;1,$I749&gt;31),"نامعتبر",RIGHT("0000"&amp;$G749,4)&amp;"/"&amp;RIGHT("00"&amp;$H749,2)&amp;"/"&amp;RIGHT("00"&amp;$I749,2)))</f>
        <v/>
      </c>
      <c r="K749">
        <f>IF(OR($F749="",$J749="",$J749="نامعتبر"),"",LEFT($J749,4)&amp;MID($J749,6,2)&amp;RIGHT($J749,2)&amp;$N749&amp;"|"&amp;"2"&amp;RIGHT("00000"&amp;744,5))</f>
        <v/>
      </c>
      <c r="L749">
        <f>IF($K749="","",COUNTIFS(LdgPartyA,$F749,LdgKeyA,"&lt;"&amp;$K749)+COUNTIFS(LdgPartyB,$F749,LdgKeyB,"&lt;"&amp;$K749)+1)</f>
        <v/>
      </c>
      <c r="M749">
        <f>IF($L749="","",$F749&amp;"|"&amp;RIGHT("000000"&amp;$L749,6))</f>
        <v/>
      </c>
      <c r="N749">
        <f>IF($F749="","",IF(Sync!$AH749="","0000",IF(AND(ISNUMBER(Sync!$AH749),Sync!$AH749&gt;=0,Sync!$AH749&lt;1),RIGHT("00"&amp;HOUR(Sync!$AH749),2)&amp;RIGHT("00"&amp;MINUTE(Sync!$AH749),2),IFERROR(RIGHT("00"&amp;VALUE(LEFT(Sync!$AH749,FIND(":",Sync!$AH749)-1)),2)&amp;RIGHT("00"&amp;VALUE(MID(Sync!$AH749,FIND(":",Sync!$AH749)+1,2)),2),"0000"))))</f>
        <v/>
      </c>
    </row>
    <row r="750">
      <c r="A750">
        <f>IF(OR(Calc!$E753="",Calc!$E753="نامعتبر",Calc!$G753="",Calc!$I753&lt;&gt;"خرید"),"",Calc!$G753)</f>
        <v/>
      </c>
      <c r="B750">
        <f>IF($A750="","",LEFT(Calc!$E753,4)&amp;MID(Calc!$E753,6,2)&amp;RIGHT(Calc!$E753,2)&amp;Calc!$R753&amp;"|"&amp;"1"&amp;RIGHT("00000"&amp;745,5))</f>
        <v/>
      </c>
      <c r="C750">
        <f>IF($B750="","",COUNTIFS(LdgPartyA,$A750,LdgKeyA,"&lt;"&amp;$B750)+COUNTIFS(LdgPartyB,$A750,LdgKeyB,"&lt;"&amp;$B750)+1)</f>
        <v/>
      </c>
      <c r="D750">
        <f>IF($C750="","",$A750&amp;"|"&amp;RIGHT("000000"&amp;$C750,6))</f>
        <v/>
      </c>
      <c r="F750">
        <f>IF(Sync!$AJ750="","",Sync!$AJ750)</f>
        <v/>
      </c>
      <c r="G750">
        <f>IF($F750="","",IF(Sync!$AG750="","",IF(ISNUMBER(Sync!$AG750),IF(AND(Sync!$AG750&gt;=10000101,Sync!$AG750&lt;=99991231),INT(Sync!$AG750/10000),""),IFERROR(VALUE(TRIM(LEFT(Sync!$AG750,FIND("/",Sync!$AG750)-1))),""))))</f>
        <v/>
      </c>
      <c r="H750">
        <f>IF(OR($F750="",$G750=""),"",IF(ISNUMBER(Sync!$AG750),INT(MOD(Sync!$AG750,10000)/100),IFERROR(VALUE(TRIM(LEFT(MID(Sync!$AG750,FIND("/",Sync!$AG750)+1,20),FIND("/",MID(Sync!$AG750,FIND("/",Sync!$AG750)+1,20))-1))),"")))</f>
        <v/>
      </c>
      <c r="I750">
        <f>IF(OR($F750="",$G750=""),"",IF(ISNUMBER(Sync!$AG750),MOD(Sync!$AG750,100),IFERROR(VALUE(TRIM(MID(MID(Sync!$AG750,FIND("/",Sync!$AG750)+1,20),FIND("/",MID(Sync!$AG750,FIND("/",Sync!$AG750)+1,20))+1,20))),"")))</f>
        <v/>
      </c>
      <c r="J750">
        <f>IF($F750="","",IF(OR($G750="",$H750="",$I750="",$G750&lt;1300,$G750&gt;1500,$H750&lt;1,$H750&gt;12,$I750&lt;1,$I750&gt;31),"نامعتبر",RIGHT("0000"&amp;$G750,4)&amp;"/"&amp;RIGHT("00"&amp;$H750,2)&amp;"/"&amp;RIGHT("00"&amp;$I750,2)))</f>
        <v/>
      </c>
      <c r="K750">
        <f>IF(OR($F750="",$J750="",$J750="نامعتبر"),"",LEFT($J750,4)&amp;MID($J750,6,2)&amp;RIGHT($J750,2)&amp;$N750&amp;"|"&amp;"2"&amp;RIGHT("00000"&amp;745,5))</f>
        <v/>
      </c>
      <c r="L750">
        <f>IF($K750="","",COUNTIFS(LdgPartyA,$F750,LdgKeyA,"&lt;"&amp;$K750)+COUNTIFS(LdgPartyB,$F750,LdgKeyB,"&lt;"&amp;$K750)+1)</f>
        <v/>
      </c>
      <c r="M750">
        <f>IF($L750="","",$F750&amp;"|"&amp;RIGHT("000000"&amp;$L750,6))</f>
        <v/>
      </c>
      <c r="N750">
        <f>IF($F750="","",IF(Sync!$AH750="","0000",IF(AND(ISNUMBER(Sync!$AH750),Sync!$AH750&gt;=0,Sync!$AH750&lt;1),RIGHT("00"&amp;HOUR(Sync!$AH750),2)&amp;RIGHT("00"&amp;MINUTE(Sync!$AH750),2),IFERROR(RIGHT("00"&amp;VALUE(LEFT(Sync!$AH750,FIND(":",Sync!$AH750)-1)),2)&amp;RIGHT("00"&amp;VALUE(MID(Sync!$AH750,FIND(":",Sync!$AH750)+1,2)),2),"0000"))))</f>
        <v/>
      </c>
    </row>
    <row r="751">
      <c r="A751">
        <f>IF(OR(Calc!$E754="",Calc!$E754="نامعتبر",Calc!$G754="",Calc!$I754&lt;&gt;"خرید"),"",Calc!$G754)</f>
        <v/>
      </c>
      <c r="B751">
        <f>IF($A751="","",LEFT(Calc!$E754,4)&amp;MID(Calc!$E754,6,2)&amp;RIGHT(Calc!$E754,2)&amp;Calc!$R754&amp;"|"&amp;"1"&amp;RIGHT("00000"&amp;746,5))</f>
        <v/>
      </c>
      <c r="C751">
        <f>IF($B751="","",COUNTIFS(LdgPartyA,$A751,LdgKeyA,"&lt;"&amp;$B751)+COUNTIFS(LdgPartyB,$A751,LdgKeyB,"&lt;"&amp;$B751)+1)</f>
        <v/>
      </c>
      <c r="D751">
        <f>IF($C751="","",$A751&amp;"|"&amp;RIGHT("000000"&amp;$C751,6))</f>
        <v/>
      </c>
      <c r="F751">
        <f>IF(Sync!$AJ751="","",Sync!$AJ751)</f>
        <v/>
      </c>
      <c r="G751">
        <f>IF($F751="","",IF(Sync!$AG751="","",IF(ISNUMBER(Sync!$AG751),IF(AND(Sync!$AG751&gt;=10000101,Sync!$AG751&lt;=99991231),INT(Sync!$AG751/10000),""),IFERROR(VALUE(TRIM(LEFT(Sync!$AG751,FIND("/",Sync!$AG751)-1))),""))))</f>
        <v/>
      </c>
      <c r="H751">
        <f>IF(OR($F751="",$G751=""),"",IF(ISNUMBER(Sync!$AG751),INT(MOD(Sync!$AG751,10000)/100),IFERROR(VALUE(TRIM(LEFT(MID(Sync!$AG751,FIND("/",Sync!$AG751)+1,20),FIND("/",MID(Sync!$AG751,FIND("/",Sync!$AG751)+1,20))-1))),"")))</f>
        <v/>
      </c>
      <c r="I751">
        <f>IF(OR($F751="",$G751=""),"",IF(ISNUMBER(Sync!$AG751),MOD(Sync!$AG751,100),IFERROR(VALUE(TRIM(MID(MID(Sync!$AG751,FIND("/",Sync!$AG751)+1,20),FIND("/",MID(Sync!$AG751,FIND("/",Sync!$AG751)+1,20))+1,20))),"")))</f>
        <v/>
      </c>
      <c r="J751">
        <f>IF($F751="","",IF(OR($G751="",$H751="",$I751="",$G751&lt;1300,$G751&gt;1500,$H751&lt;1,$H751&gt;12,$I751&lt;1,$I751&gt;31),"نامعتبر",RIGHT("0000"&amp;$G751,4)&amp;"/"&amp;RIGHT("00"&amp;$H751,2)&amp;"/"&amp;RIGHT("00"&amp;$I751,2)))</f>
        <v/>
      </c>
      <c r="K751">
        <f>IF(OR($F751="",$J751="",$J751="نامعتبر"),"",LEFT($J751,4)&amp;MID($J751,6,2)&amp;RIGHT($J751,2)&amp;$N751&amp;"|"&amp;"2"&amp;RIGHT("00000"&amp;746,5))</f>
        <v/>
      </c>
      <c r="L751">
        <f>IF($K751="","",COUNTIFS(LdgPartyA,$F751,LdgKeyA,"&lt;"&amp;$K751)+COUNTIFS(LdgPartyB,$F751,LdgKeyB,"&lt;"&amp;$K751)+1)</f>
        <v/>
      </c>
      <c r="M751">
        <f>IF($L751="","",$F751&amp;"|"&amp;RIGHT("000000"&amp;$L751,6))</f>
        <v/>
      </c>
      <c r="N751">
        <f>IF($F751="","",IF(Sync!$AH751="","0000",IF(AND(ISNUMBER(Sync!$AH751),Sync!$AH751&gt;=0,Sync!$AH751&lt;1),RIGHT("00"&amp;HOUR(Sync!$AH751),2)&amp;RIGHT("00"&amp;MINUTE(Sync!$AH751),2),IFERROR(RIGHT("00"&amp;VALUE(LEFT(Sync!$AH751,FIND(":",Sync!$AH751)-1)),2)&amp;RIGHT("00"&amp;VALUE(MID(Sync!$AH751,FIND(":",Sync!$AH751)+1,2)),2),"0000"))))</f>
        <v/>
      </c>
    </row>
    <row r="752">
      <c r="A752">
        <f>IF(OR(Calc!$E755="",Calc!$E755="نامعتبر",Calc!$G755="",Calc!$I755&lt;&gt;"خرید"),"",Calc!$G755)</f>
        <v/>
      </c>
      <c r="B752">
        <f>IF($A752="","",LEFT(Calc!$E755,4)&amp;MID(Calc!$E755,6,2)&amp;RIGHT(Calc!$E755,2)&amp;Calc!$R755&amp;"|"&amp;"1"&amp;RIGHT("00000"&amp;747,5))</f>
        <v/>
      </c>
      <c r="C752">
        <f>IF($B752="","",COUNTIFS(LdgPartyA,$A752,LdgKeyA,"&lt;"&amp;$B752)+COUNTIFS(LdgPartyB,$A752,LdgKeyB,"&lt;"&amp;$B752)+1)</f>
        <v/>
      </c>
      <c r="D752">
        <f>IF($C752="","",$A752&amp;"|"&amp;RIGHT("000000"&amp;$C752,6))</f>
        <v/>
      </c>
      <c r="F752">
        <f>IF(Sync!$AJ752="","",Sync!$AJ752)</f>
        <v/>
      </c>
      <c r="G752">
        <f>IF($F752="","",IF(Sync!$AG752="","",IF(ISNUMBER(Sync!$AG752),IF(AND(Sync!$AG752&gt;=10000101,Sync!$AG752&lt;=99991231),INT(Sync!$AG752/10000),""),IFERROR(VALUE(TRIM(LEFT(Sync!$AG752,FIND("/",Sync!$AG752)-1))),""))))</f>
        <v/>
      </c>
      <c r="H752">
        <f>IF(OR($F752="",$G752=""),"",IF(ISNUMBER(Sync!$AG752),INT(MOD(Sync!$AG752,10000)/100),IFERROR(VALUE(TRIM(LEFT(MID(Sync!$AG752,FIND("/",Sync!$AG752)+1,20),FIND("/",MID(Sync!$AG752,FIND("/",Sync!$AG752)+1,20))-1))),"")))</f>
        <v/>
      </c>
      <c r="I752">
        <f>IF(OR($F752="",$G752=""),"",IF(ISNUMBER(Sync!$AG752),MOD(Sync!$AG752,100),IFERROR(VALUE(TRIM(MID(MID(Sync!$AG752,FIND("/",Sync!$AG752)+1,20),FIND("/",MID(Sync!$AG752,FIND("/",Sync!$AG752)+1,20))+1,20))),"")))</f>
        <v/>
      </c>
      <c r="J752">
        <f>IF($F752="","",IF(OR($G752="",$H752="",$I752="",$G752&lt;1300,$G752&gt;1500,$H752&lt;1,$H752&gt;12,$I752&lt;1,$I752&gt;31),"نامعتبر",RIGHT("0000"&amp;$G752,4)&amp;"/"&amp;RIGHT("00"&amp;$H752,2)&amp;"/"&amp;RIGHT("00"&amp;$I752,2)))</f>
        <v/>
      </c>
      <c r="K752">
        <f>IF(OR($F752="",$J752="",$J752="نامعتبر"),"",LEFT($J752,4)&amp;MID($J752,6,2)&amp;RIGHT($J752,2)&amp;$N752&amp;"|"&amp;"2"&amp;RIGHT("00000"&amp;747,5))</f>
        <v/>
      </c>
      <c r="L752">
        <f>IF($K752="","",COUNTIFS(LdgPartyA,$F752,LdgKeyA,"&lt;"&amp;$K752)+COUNTIFS(LdgPartyB,$F752,LdgKeyB,"&lt;"&amp;$K752)+1)</f>
        <v/>
      </c>
      <c r="M752">
        <f>IF($L752="","",$F752&amp;"|"&amp;RIGHT("000000"&amp;$L752,6))</f>
        <v/>
      </c>
      <c r="N752">
        <f>IF($F752="","",IF(Sync!$AH752="","0000",IF(AND(ISNUMBER(Sync!$AH752),Sync!$AH752&gt;=0,Sync!$AH752&lt;1),RIGHT("00"&amp;HOUR(Sync!$AH752),2)&amp;RIGHT("00"&amp;MINUTE(Sync!$AH752),2),IFERROR(RIGHT("00"&amp;VALUE(LEFT(Sync!$AH752,FIND(":",Sync!$AH752)-1)),2)&amp;RIGHT("00"&amp;VALUE(MID(Sync!$AH752,FIND(":",Sync!$AH752)+1,2)),2),"0000"))))</f>
        <v/>
      </c>
    </row>
    <row r="753">
      <c r="A753">
        <f>IF(OR(Calc!$E756="",Calc!$E756="نامعتبر",Calc!$G756="",Calc!$I756&lt;&gt;"خرید"),"",Calc!$G756)</f>
        <v/>
      </c>
      <c r="B753">
        <f>IF($A753="","",LEFT(Calc!$E756,4)&amp;MID(Calc!$E756,6,2)&amp;RIGHT(Calc!$E756,2)&amp;Calc!$R756&amp;"|"&amp;"1"&amp;RIGHT("00000"&amp;748,5))</f>
        <v/>
      </c>
      <c r="C753">
        <f>IF($B753="","",COUNTIFS(LdgPartyA,$A753,LdgKeyA,"&lt;"&amp;$B753)+COUNTIFS(LdgPartyB,$A753,LdgKeyB,"&lt;"&amp;$B753)+1)</f>
        <v/>
      </c>
      <c r="D753">
        <f>IF($C753="","",$A753&amp;"|"&amp;RIGHT("000000"&amp;$C753,6))</f>
        <v/>
      </c>
      <c r="F753">
        <f>IF(Sync!$AJ753="","",Sync!$AJ753)</f>
        <v/>
      </c>
      <c r="G753">
        <f>IF($F753="","",IF(Sync!$AG753="","",IF(ISNUMBER(Sync!$AG753),IF(AND(Sync!$AG753&gt;=10000101,Sync!$AG753&lt;=99991231),INT(Sync!$AG753/10000),""),IFERROR(VALUE(TRIM(LEFT(Sync!$AG753,FIND("/",Sync!$AG753)-1))),""))))</f>
        <v/>
      </c>
      <c r="H753">
        <f>IF(OR($F753="",$G753=""),"",IF(ISNUMBER(Sync!$AG753),INT(MOD(Sync!$AG753,10000)/100),IFERROR(VALUE(TRIM(LEFT(MID(Sync!$AG753,FIND("/",Sync!$AG753)+1,20),FIND("/",MID(Sync!$AG753,FIND("/",Sync!$AG753)+1,20))-1))),"")))</f>
        <v/>
      </c>
      <c r="I753">
        <f>IF(OR($F753="",$G753=""),"",IF(ISNUMBER(Sync!$AG753),MOD(Sync!$AG753,100),IFERROR(VALUE(TRIM(MID(MID(Sync!$AG753,FIND("/",Sync!$AG753)+1,20),FIND("/",MID(Sync!$AG753,FIND("/",Sync!$AG753)+1,20))+1,20))),"")))</f>
        <v/>
      </c>
      <c r="J753">
        <f>IF($F753="","",IF(OR($G753="",$H753="",$I753="",$G753&lt;1300,$G753&gt;1500,$H753&lt;1,$H753&gt;12,$I753&lt;1,$I753&gt;31),"نامعتبر",RIGHT("0000"&amp;$G753,4)&amp;"/"&amp;RIGHT("00"&amp;$H753,2)&amp;"/"&amp;RIGHT("00"&amp;$I753,2)))</f>
        <v/>
      </c>
      <c r="K753">
        <f>IF(OR($F753="",$J753="",$J753="نامعتبر"),"",LEFT($J753,4)&amp;MID($J753,6,2)&amp;RIGHT($J753,2)&amp;$N753&amp;"|"&amp;"2"&amp;RIGHT("00000"&amp;748,5))</f>
        <v/>
      </c>
      <c r="L753">
        <f>IF($K753="","",COUNTIFS(LdgPartyA,$F753,LdgKeyA,"&lt;"&amp;$K753)+COUNTIFS(LdgPartyB,$F753,LdgKeyB,"&lt;"&amp;$K753)+1)</f>
        <v/>
      </c>
      <c r="M753">
        <f>IF($L753="","",$F753&amp;"|"&amp;RIGHT("000000"&amp;$L753,6))</f>
        <v/>
      </c>
      <c r="N753">
        <f>IF($F753="","",IF(Sync!$AH753="","0000",IF(AND(ISNUMBER(Sync!$AH753),Sync!$AH753&gt;=0,Sync!$AH753&lt;1),RIGHT("00"&amp;HOUR(Sync!$AH753),2)&amp;RIGHT("00"&amp;MINUTE(Sync!$AH753),2),IFERROR(RIGHT("00"&amp;VALUE(LEFT(Sync!$AH753,FIND(":",Sync!$AH753)-1)),2)&amp;RIGHT("00"&amp;VALUE(MID(Sync!$AH753,FIND(":",Sync!$AH753)+1,2)),2),"0000"))))</f>
        <v/>
      </c>
    </row>
    <row r="754">
      <c r="A754">
        <f>IF(OR(Calc!$E757="",Calc!$E757="نامعتبر",Calc!$G757="",Calc!$I757&lt;&gt;"خرید"),"",Calc!$G757)</f>
        <v/>
      </c>
      <c r="B754">
        <f>IF($A754="","",LEFT(Calc!$E757,4)&amp;MID(Calc!$E757,6,2)&amp;RIGHT(Calc!$E757,2)&amp;Calc!$R757&amp;"|"&amp;"1"&amp;RIGHT("00000"&amp;749,5))</f>
        <v/>
      </c>
      <c r="C754">
        <f>IF($B754="","",COUNTIFS(LdgPartyA,$A754,LdgKeyA,"&lt;"&amp;$B754)+COUNTIFS(LdgPartyB,$A754,LdgKeyB,"&lt;"&amp;$B754)+1)</f>
        <v/>
      </c>
      <c r="D754">
        <f>IF($C754="","",$A754&amp;"|"&amp;RIGHT("000000"&amp;$C754,6))</f>
        <v/>
      </c>
      <c r="F754">
        <f>IF(Sync!$AJ754="","",Sync!$AJ754)</f>
        <v/>
      </c>
      <c r="G754">
        <f>IF($F754="","",IF(Sync!$AG754="","",IF(ISNUMBER(Sync!$AG754),IF(AND(Sync!$AG754&gt;=10000101,Sync!$AG754&lt;=99991231),INT(Sync!$AG754/10000),""),IFERROR(VALUE(TRIM(LEFT(Sync!$AG754,FIND("/",Sync!$AG754)-1))),""))))</f>
        <v/>
      </c>
      <c r="H754">
        <f>IF(OR($F754="",$G754=""),"",IF(ISNUMBER(Sync!$AG754),INT(MOD(Sync!$AG754,10000)/100),IFERROR(VALUE(TRIM(LEFT(MID(Sync!$AG754,FIND("/",Sync!$AG754)+1,20),FIND("/",MID(Sync!$AG754,FIND("/",Sync!$AG754)+1,20))-1))),"")))</f>
        <v/>
      </c>
      <c r="I754">
        <f>IF(OR($F754="",$G754=""),"",IF(ISNUMBER(Sync!$AG754),MOD(Sync!$AG754,100),IFERROR(VALUE(TRIM(MID(MID(Sync!$AG754,FIND("/",Sync!$AG754)+1,20),FIND("/",MID(Sync!$AG754,FIND("/",Sync!$AG754)+1,20))+1,20))),"")))</f>
        <v/>
      </c>
      <c r="J754">
        <f>IF($F754="","",IF(OR($G754="",$H754="",$I754="",$G754&lt;1300,$G754&gt;1500,$H754&lt;1,$H754&gt;12,$I754&lt;1,$I754&gt;31),"نامعتبر",RIGHT("0000"&amp;$G754,4)&amp;"/"&amp;RIGHT("00"&amp;$H754,2)&amp;"/"&amp;RIGHT("00"&amp;$I754,2)))</f>
        <v/>
      </c>
      <c r="K754">
        <f>IF(OR($F754="",$J754="",$J754="نامعتبر"),"",LEFT($J754,4)&amp;MID($J754,6,2)&amp;RIGHT($J754,2)&amp;$N754&amp;"|"&amp;"2"&amp;RIGHT("00000"&amp;749,5))</f>
        <v/>
      </c>
      <c r="L754">
        <f>IF($K754="","",COUNTIFS(LdgPartyA,$F754,LdgKeyA,"&lt;"&amp;$K754)+COUNTIFS(LdgPartyB,$F754,LdgKeyB,"&lt;"&amp;$K754)+1)</f>
        <v/>
      </c>
      <c r="M754">
        <f>IF($L754="","",$F754&amp;"|"&amp;RIGHT("000000"&amp;$L754,6))</f>
        <v/>
      </c>
      <c r="N754">
        <f>IF($F754="","",IF(Sync!$AH754="","0000",IF(AND(ISNUMBER(Sync!$AH754),Sync!$AH754&gt;=0,Sync!$AH754&lt;1),RIGHT("00"&amp;HOUR(Sync!$AH754),2)&amp;RIGHT("00"&amp;MINUTE(Sync!$AH754),2),IFERROR(RIGHT("00"&amp;VALUE(LEFT(Sync!$AH754,FIND(":",Sync!$AH754)-1)),2)&amp;RIGHT("00"&amp;VALUE(MID(Sync!$AH754,FIND(":",Sync!$AH754)+1,2)),2),"0000"))))</f>
        <v/>
      </c>
    </row>
    <row r="755">
      <c r="A755">
        <f>IF(OR(Calc!$E758="",Calc!$E758="نامعتبر",Calc!$G758="",Calc!$I758&lt;&gt;"خرید"),"",Calc!$G758)</f>
        <v/>
      </c>
      <c r="B755">
        <f>IF($A755="","",LEFT(Calc!$E758,4)&amp;MID(Calc!$E758,6,2)&amp;RIGHT(Calc!$E758,2)&amp;Calc!$R758&amp;"|"&amp;"1"&amp;RIGHT("00000"&amp;750,5))</f>
        <v/>
      </c>
      <c r="C755">
        <f>IF($B755="","",COUNTIFS(LdgPartyA,$A755,LdgKeyA,"&lt;"&amp;$B755)+COUNTIFS(LdgPartyB,$A755,LdgKeyB,"&lt;"&amp;$B755)+1)</f>
        <v/>
      </c>
      <c r="D755">
        <f>IF($C755="","",$A755&amp;"|"&amp;RIGHT("000000"&amp;$C755,6))</f>
        <v/>
      </c>
      <c r="F755">
        <f>IF(Sync!$AJ755="","",Sync!$AJ755)</f>
        <v/>
      </c>
      <c r="G755">
        <f>IF($F755="","",IF(Sync!$AG755="","",IF(ISNUMBER(Sync!$AG755),IF(AND(Sync!$AG755&gt;=10000101,Sync!$AG755&lt;=99991231),INT(Sync!$AG755/10000),""),IFERROR(VALUE(TRIM(LEFT(Sync!$AG755,FIND("/",Sync!$AG755)-1))),""))))</f>
        <v/>
      </c>
      <c r="H755">
        <f>IF(OR($F755="",$G755=""),"",IF(ISNUMBER(Sync!$AG755),INT(MOD(Sync!$AG755,10000)/100),IFERROR(VALUE(TRIM(LEFT(MID(Sync!$AG755,FIND("/",Sync!$AG755)+1,20),FIND("/",MID(Sync!$AG755,FIND("/",Sync!$AG755)+1,20))-1))),"")))</f>
        <v/>
      </c>
      <c r="I755">
        <f>IF(OR($F755="",$G755=""),"",IF(ISNUMBER(Sync!$AG755),MOD(Sync!$AG755,100),IFERROR(VALUE(TRIM(MID(MID(Sync!$AG755,FIND("/",Sync!$AG755)+1,20),FIND("/",MID(Sync!$AG755,FIND("/",Sync!$AG755)+1,20))+1,20))),"")))</f>
        <v/>
      </c>
      <c r="J755">
        <f>IF($F755="","",IF(OR($G755="",$H755="",$I755="",$G755&lt;1300,$G755&gt;1500,$H755&lt;1,$H755&gt;12,$I755&lt;1,$I755&gt;31),"نامعتبر",RIGHT("0000"&amp;$G755,4)&amp;"/"&amp;RIGHT("00"&amp;$H755,2)&amp;"/"&amp;RIGHT("00"&amp;$I755,2)))</f>
        <v/>
      </c>
      <c r="K755">
        <f>IF(OR($F755="",$J755="",$J755="نامعتبر"),"",LEFT($J755,4)&amp;MID($J755,6,2)&amp;RIGHT($J755,2)&amp;$N755&amp;"|"&amp;"2"&amp;RIGHT("00000"&amp;750,5))</f>
        <v/>
      </c>
      <c r="L755">
        <f>IF($K755="","",COUNTIFS(LdgPartyA,$F755,LdgKeyA,"&lt;"&amp;$K755)+COUNTIFS(LdgPartyB,$F755,LdgKeyB,"&lt;"&amp;$K755)+1)</f>
        <v/>
      </c>
      <c r="M755">
        <f>IF($L755="","",$F755&amp;"|"&amp;RIGHT("000000"&amp;$L755,6))</f>
        <v/>
      </c>
      <c r="N755">
        <f>IF($F755="","",IF(Sync!$AH755="","0000",IF(AND(ISNUMBER(Sync!$AH755),Sync!$AH755&gt;=0,Sync!$AH755&lt;1),RIGHT("00"&amp;HOUR(Sync!$AH755),2)&amp;RIGHT("00"&amp;MINUTE(Sync!$AH755),2),IFERROR(RIGHT("00"&amp;VALUE(LEFT(Sync!$AH755,FIND(":",Sync!$AH755)-1)),2)&amp;RIGHT("00"&amp;VALUE(MID(Sync!$AH755,FIND(":",Sync!$AH755)+1,2)),2),"0000"))))</f>
        <v/>
      </c>
    </row>
    <row r="756">
      <c r="A756">
        <f>IF(OR(Calc!$E759="",Calc!$E759="نامعتبر",Calc!$G759="",Calc!$I759&lt;&gt;"خرید"),"",Calc!$G759)</f>
        <v/>
      </c>
      <c r="B756">
        <f>IF($A756="","",LEFT(Calc!$E759,4)&amp;MID(Calc!$E759,6,2)&amp;RIGHT(Calc!$E759,2)&amp;Calc!$R759&amp;"|"&amp;"1"&amp;RIGHT("00000"&amp;751,5))</f>
        <v/>
      </c>
      <c r="C756">
        <f>IF($B756="","",COUNTIFS(LdgPartyA,$A756,LdgKeyA,"&lt;"&amp;$B756)+COUNTIFS(LdgPartyB,$A756,LdgKeyB,"&lt;"&amp;$B756)+1)</f>
        <v/>
      </c>
      <c r="D756">
        <f>IF($C756="","",$A756&amp;"|"&amp;RIGHT("000000"&amp;$C756,6))</f>
        <v/>
      </c>
      <c r="F756">
        <f>IF(Sync!$AJ756="","",Sync!$AJ756)</f>
        <v/>
      </c>
      <c r="G756">
        <f>IF($F756="","",IF(Sync!$AG756="","",IF(ISNUMBER(Sync!$AG756),IF(AND(Sync!$AG756&gt;=10000101,Sync!$AG756&lt;=99991231),INT(Sync!$AG756/10000),""),IFERROR(VALUE(TRIM(LEFT(Sync!$AG756,FIND("/",Sync!$AG756)-1))),""))))</f>
        <v/>
      </c>
      <c r="H756">
        <f>IF(OR($F756="",$G756=""),"",IF(ISNUMBER(Sync!$AG756),INT(MOD(Sync!$AG756,10000)/100),IFERROR(VALUE(TRIM(LEFT(MID(Sync!$AG756,FIND("/",Sync!$AG756)+1,20),FIND("/",MID(Sync!$AG756,FIND("/",Sync!$AG756)+1,20))-1))),"")))</f>
        <v/>
      </c>
      <c r="I756">
        <f>IF(OR($F756="",$G756=""),"",IF(ISNUMBER(Sync!$AG756),MOD(Sync!$AG756,100),IFERROR(VALUE(TRIM(MID(MID(Sync!$AG756,FIND("/",Sync!$AG756)+1,20),FIND("/",MID(Sync!$AG756,FIND("/",Sync!$AG756)+1,20))+1,20))),"")))</f>
        <v/>
      </c>
      <c r="J756">
        <f>IF($F756="","",IF(OR($G756="",$H756="",$I756="",$G756&lt;1300,$G756&gt;1500,$H756&lt;1,$H756&gt;12,$I756&lt;1,$I756&gt;31),"نامعتبر",RIGHT("0000"&amp;$G756,4)&amp;"/"&amp;RIGHT("00"&amp;$H756,2)&amp;"/"&amp;RIGHT("00"&amp;$I756,2)))</f>
        <v/>
      </c>
      <c r="K756">
        <f>IF(OR($F756="",$J756="",$J756="نامعتبر"),"",LEFT($J756,4)&amp;MID($J756,6,2)&amp;RIGHT($J756,2)&amp;$N756&amp;"|"&amp;"2"&amp;RIGHT("00000"&amp;751,5))</f>
        <v/>
      </c>
      <c r="L756">
        <f>IF($K756="","",COUNTIFS(LdgPartyA,$F756,LdgKeyA,"&lt;"&amp;$K756)+COUNTIFS(LdgPartyB,$F756,LdgKeyB,"&lt;"&amp;$K756)+1)</f>
        <v/>
      </c>
      <c r="M756">
        <f>IF($L756="","",$F756&amp;"|"&amp;RIGHT("000000"&amp;$L756,6))</f>
        <v/>
      </c>
      <c r="N756">
        <f>IF($F756="","",IF(Sync!$AH756="","0000",IF(AND(ISNUMBER(Sync!$AH756),Sync!$AH756&gt;=0,Sync!$AH756&lt;1),RIGHT("00"&amp;HOUR(Sync!$AH756),2)&amp;RIGHT("00"&amp;MINUTE(Sync!$AH756),2),IFERROR(RIGHT("00"&amp;VALUE(LEFT(Sync!$AH756,FIND(":",Sync!$AH756)-1)),2)&amp;RIGHT("00"&amp;VALUE(MID(Sync!$AH756,FIND(":",Sync!$AH756)+1,2)),2),"0000"))))</f>
        <v/>
      </c>
    </row>
    <row r="757">
      <c r="A757">
        <f>IF(OR(Calc!$E760="",Calc!$E760="نامعتبر",Calc!$G760="",Calc!$I760&lt;&gt;"خرید"),"",Calc!$G760)</f>
        <v/>
      </c>
      <c r="B757">
        <f>IF($A757="","",LEFT(Calc!$E760,4)&amp;MID(Calc!$E760,6,2)&amp;RIGHT(Calc!$E760,2)&amp;Calc!$R760&amp;"|"&amp;"1"&amp;RIGHT("00000"&amp;752,5))</f>
        <v/>
      </c>
      <c r="C757">
        <f>IF($B757="","",COUNTIFS(LdgPartyA,$A757,LdgKeyA,"&lt;"&amp;$B757)+COUNTIFS(LdgPartyB,$A757,LdgKeyB,"&lt;"&amp;$B757)+1)</f>
        <v/>
      </c>
      <c r="D757">
        <f>IF($C757="","",$A757&amp;"|"&amp;RIGHT("000000"&amp;$C757,6))</f>
        <v/>
      </c>
      <c r="F757">
        <f>IF(Sync!$AJ757="","",Sync!$AJ757)</f>
        <v/>
      </c>
      <c r="G757">
        <f>IF($F757="","",IF(Sync!$AG757="","",IF(ISNUMBER(Sync!$AG757),IF(AND(Sync!$AG757&gt;=10000101,Sync!$AG757&lt;=99991231),INT(Sync!$AG757/10000),""),IFERROR(VALUE(TRIM(LEFT(Sync!$AG757,FIND("/",Sync!$AG757)-1))),""))))</f>
        <v/>
      </c>
      <c r="H757">
        <f>IF(OR($F757="",$G757=""),"",IF(ISNUMBER(Sync!$AG757),INT(MOD(Sync!$AG757,10000)/100),IFERROR(VALUE(TRIM(LEFT(MID(Sync!$AG757,FIND("/",Sync!$AG757)+1,20),FIND("/",MID(Sync!$AG757,FIND("/",Sync!$AG757)+1,20))-1))),"")))</f>
        <v/>
      </c>
      <c r="I757">
        <f>IF(OR($F757="",$G757=""),"",IF(ISNUMBER(Sync!$AG757),MOD(Sync!$AG757,100),IFERROR(VALUE(TRIM(MID(MID(Sync!$AG757,FIND("/",Sync!$AG757)+1,20),FIND("/",MID(Sync!$AG757,FIND("/",Sync!$AG757)+1,20))+1,20))),"")))</f>
        <v/>
      </c>
      <c r="J757">
        <f>IF($F757="","",IF(OR($G757="",$H757="",$I757="",$G757&lt;1300,$G757&gt;1500,$H757&lt;1,$H757&gt;12,$I757&lt;1,$I757&gt;31),"نامعتبر",RIGHT("0000"&amp;$G757,4)&amp;"/"&amp;RIGHT("00"&amp;$H757,2)&amp;"/"&amp;RIGHT("00"&amp;$I757,2)))</f>
        <v/>
      </c>
      <c r="K757">
        <f>IF(OR($F757="",$J757="",$J757="نامعتبر"),"",LEFT($J757,4)&amp;MID($J757,6,2)&amp;RIGHT($J757,2)&amp;$N757&amp;"|"&amp;"2"&amp;RIGHT("00000"&amp;752,5))</f>
        <v/>
      </c>
      <c r="L757">
        <f>IF($K757="","",COUNTIFS(LdgPartyA,$F757,LdgKeyA,"&lt;"&amp;$K757)+COUNTIFS(LdgPartyB,$F757,LdgKeyB,"&lt;"&amp;$K757)+1)</f>
        <v/>
      </c>
      <c r="M757">
        <f>IF($L757="","",$F757&amp;"|"&amp;RIGHT("000000"&amp;$L757,6))</f>
        <v/>
      </c>
      <c r="N757">
        <f>IF($F757="","",IF(Sync!$AH757="","0000",IF(AND(ISNUMBER(Sync!$AH757),Sync!$AH757&gt;=0,Sync!$AH757&lt;1),RIGHT("00"&amp;HOUR(Sync!$AH757),2)&amp;RIGHT("00"&amp;MINUTE(Sync!$AH757),2),IFERROR(RIGHT("00"&amp;VALUE(LEFT(Sync!$AH757,FIND(":",Sync!$AH757)-1)),2)&amp;RIGHT("00"&amp;VALUE(MID(Sync!$AH757,FIND(":",Sync!$AH757)+1,2)),2),"0000"))))</f>
        <v/>
      </c>
    </row>
    <row r="758">
      <c r="A758">
        <f>IF(OR(Calc!$E761="",Calc!$E761="نامعتبر",Calc!$G761="",Calc!$I761&lt;&gt;"خرید"),"",Calc!$G761)</f>
        <v/>
      </c>
      <c r="B758">
        <f>IF($A758="","",LEFT(Calc!$E761,4)&amp;MID(Calc!$E761,6,2)&amp;RIGHT(Calc!$E761,2)&amp;Calc!$R761&amp;"|"&amp;"1"&amp;RIGHT("00000"&amp;753,5))</f>
        <v/>
      </c>
      <c r="C758">
        <f>IF($B758="","",COUNTIFS(LdgPartyA,$A758,LdgKeyA,"&lt;"&amp;$B758)+COUNTIFS(LdgPartyB,$A758,LdgKeyB,"&lt;"&amp;$B758)+1)</f>
        <v/>
      </c>
      <c r="D758">
        <f>IF($C758="","",$A758&amp;"|"&amp;RIGHT("000000"&amp;$C758,6))</f>
        <v/>
      </c>
      <c r="F758">
        <f>IF(Sync!$AJ758="","",Sync!$AJ758)</f>
        <v/>
      </c>
      <c r="G758">
        <f>IF($F758="","",IF(Sync!$AG758="","",IF(ISNUMBER(Sync!$AG758),IF(AND(Sync!$AG758&gt;=10000101,Sync!$AG758&lt;=99991231),INT(Sync!$AG758/10000),""),IFERROR(VALUE(TRIM(LEFT(Sync!$AG758,FIND("/",Sync!$AG758)-1))),""))))</f>
        <v/>
      </c>
      <c r="H758">
        <f>IF(OR($F758="",$G758=""),"",IF(ISNUMBER(Sync!$AG758),INT(MOD(Sync!$AG758,10000)/100),IFERROR(VALUE(TRIM(LEFT(MID(Sync!$AG758,FIND("/",Sync!$AG758)+1,20),FIND("/",MID(Sync!$AG758,FIND("/",Sync!$AG758)+1,20))-1))),"")))</f>
        <v/>
      </c>
      <c r="I758">
        <f>IF(OR($F758="",$G758=""),"",IF(ISNUMBER(Sync!$AG758),MOD(Sync!$AG758,100),IFERROR(VALUE(TRIM(MID(MID(Sync!$AG758,FIND("/",Sync!$AG758)+1,20),FIND("/",MID(Sync!$AG758,FIND("/",Sync!$AG758)+1,20))+1,20))),"")))</f>
        <v/>
      </c>
      <c r="J758">
        <f>IF($F758="","",IF(OR($G758="",$H758="",$I758="",$G758&lt;1300,$G758&gt;1500,$H758&lt;1,$H758&gt;12,$I758&lt;1,$I758&gt;31),"نامعتبر",RIGHT("0000"&amp;$G758,4)&amp;"/"&amp;RIGHT("00"&amp;$H758,2)&amp;"/"&amp;RIGHT("00"&amp;$I758,2)))</f>
        <v/>
      </c>
      <c r="K758">
        <f>IF(OR($F758="",$J758="",$J758="نامعتبر"),"",LEFT($J758,4)&amp;MID($J758,6,2)&amp;RIGHT($J758,2)&amp;$N758&amp;"|"&amp;"2"&amp;RIGHT("00000"&amp;753,5))</f>
        <v/>
      </c>
      <c r="L758">
        <f>IF($K758="","",COUNTIFS(LdgPartyA,$F758,LdgKeyA,"&lt;"&amp;$K758)+COUNTIFS(LdgPartyB,$F758,LdgKeyB,"&lt;"&amp;$K758)+1)</f>
        <v/>
      </c>
      <c r="M758">
        <f>IF($L758="","",$F758&amp;"|"&amp;RIGHT("000000"&amp;$L758,6))</f>
        <v/>
      </c>
      <c r="N758">
        <f>IF($F758="","",IF(Sync!$AH758="","0000",IF(AND(ISNUMBER(Sync!$AH758),Sync!$AH758&gt;=0,Sync!$AH758&lt;1),RIGHT("00"&amp;HOUR(Sync!$AH758),2)&amp;RIGHT("00"&amp;MINUTE(Sync!$AH758),2),IFERROR(RIGHT("00"&amp;VALUE(LEFT(Sync!$AH758,FIND(":",Sync!$AH758)-1)),2)&amp;RIGHT("00"&amp;VALUE(MID(Sync!$AH758,FIND(":",Sync!$AH758)+1,2)),2),"0000"))))</f>
        <v/>
      </c>
    </row>
    <row r="759">
      <c r="A759">
        <f>IF(OR(Calc!$E762="",Calc!$E762="نامعتبر",Calc!$G762="",Calc!$I762&lt;&gt;"خرید"),"",Calc!$G762)</f>
        <v/>
      </c>
      <c r="B759">
        <f>IF($A759="","",LEFT(Calc!$E762,4)&amp;MID(Calc!$E762,6,2)&amp;RIGHT(Calc!$E762,2)&amp;Calc!$R762&amp;"|"&amp;"1"&amp;RIGHT("00000"&amp;754,5))</f>
        <v/>
      </c>
      <c r="C759">
        <f>IF($B759="","",COUNTIFS(LdgPartyA,$A759,LdgKeyA,"&lt;"&amp;$B759)+COUNTIFS(LdgPartyB,$A759,LdgKeyB,"&lt;"&amp;$B759)+1)</f>
        <v/>
      </c>
      <c r="D759">
        <f>IF($C759="","",$A759&amp;"|"&amp;RIGHT("000000"&amp;$C759,6))</f>
        <v/>
      </c>
      <c r="F759">
        <f>IF(Sync!$AJ759="","",Sync!$AJ759)</f>
        <v/>
      </c>
      <c r="G759">
        <f>IF($F759="","",IF(Sync!$AG759="","",IF(ISNUMBER(Sync!$AG759),IF(AND(Sync!$AG759&gt;=10000101,Sync!$AG759&lt;=99991231),INT(Sync!$AG759/10000),""),IFERROR(VALUE(TRIM(LEFT(Sync!$AG759,FIND("/",Sync!$AG759)-1))),""))))</f>
        <v/>
      </c>
      <c r="H759">
        <f>IF(OR($F759="",$G759=""),"",IF(ISNUMBER(Sync!$AG759),INT(MOD(Sync!$AG759,10000)/100),IFERROR(VALUE(TRIM(LEFT(MID(Sync!$AG759,FIND("/",Sync!$AG759)+1,20),FIND("/",MID(Sync!$AG759,FIND("/",Sync!$AG759)+1,20))-1))),"")))</f>
        <v/>
      </c>
      <c r="I759">
        <f>IF(OR($F759="",$G759=""),"",IF(ISNUMBER(Sync!$AG759),MOD(Sync!$AG759,100),IFERROR(VALUE(TRIM(MID(MID(Sync!$AG759,FIND("/",Sync!$AG759)+1,20),FIND("/",MID(Sync!$AG759,FIND("/",Sync!$AG759)+1,20))+1,20))),"")))</f>
        <v/>
      </c>
      <c r="J759">
        <f>IF($F759="","",IF(OR($G759="",$H759="",$I759="",$G759&lt;1300,$G759&gt;1500,$H759&lt;1,$H759&gt;12,$I759&lt;1,$I759&gt;31),"نامعتبر",RIGHT("0000"&amp;$G759,4)&amp;"/"&amp;RIGHT("00"&amp;$H759,2)&amp;"/"&amp;RIGHT("00"&amp;$I759,2)))</f>
        <v/>
      </c>
      <c r="K759">
        <f>IF(OR($F759="",$J759="",$J759="نامعتبر"),"",LEFT($J759,4)&amp;MID($J759,6,2)&amp;RIGHT($J759,2)&amp;$N759&amp;"|"&amp;"2"&amp;RIGHT("00000"&amp;754,5))</f>
        <v/>
      </c>
      <c r="L759">
        <f>IF($K759="","",COUNTIFS(LdgPartyA,$F759,LdgKeyA,"&lt;"&amp;$K759)+COUNTIFS(LdgPartyB,$F759,LdgKeyB,"&lt;"&amp;$K759)+1)</f>
        <v/>
      </c>
      <c r="M759">
        <f>IF($L759="","",$F759&amp;"|"&amp;RIGHT("000000"&amp;$L759,6))</f>
        <v/>
      </c>
      <c r="N759">
        <f>IF($F759="","",IF(Sync!$AH759="","0000",IF(AND(ISNUMBER(Sync!$AH759),Sync!$AH759&gt;=0,Sync!$AH759&lt;1),RIGHT("00"&amp;HOUR(Sync!$AH759),2)&amp;RIGHT("00"&amp;MINUTE(Sync!$AH759),2),IFERROR(RIGHT("00"&amp;VALUE(LEFT(Sync!$AH759,FIND(":",Sync!$AH759)-1)),2)&amp;RIGHT("00"&amp;VALUE(MID(Sync!$AH759,FIND(":",Sync!$AH759)+1,2)),2),"0000"))))</f>
        <v/>
      </c>
    </row>
    <row r="760">
      <c r="A760">
        <f>IF(OR(Calc!$E763="",Calc!$E763="نامعتبر",Calc!$G763="",Calc!$I763&lt;&gt;"خرید"),"",Calc!$G763)</f>
        <v/>
      </c>
      <c r="B760">
        <f>IF($A760="","",LEFT(Calc!$E763,4)&amp;MID(Calc!$E763,6,2)&amp;RIGHT(Calc!$E763,2)&amp;Calc!$R763&amp;"|"&amp;"1"&amp;RIGHT("00000"&amp;755,5))</f>
        <v/>
      </c>
      <c r="C760">
        <f>IF($B760="","",COUNTIFS(LdgPartyA,$A760,LdgKeyA,"&lt;"&amp;$B760)+COUNTIFS(LdgPartyB,$A760,LdgKeyB,"&lt;"&amp;$B760)+1)</f>
        <v/>
      </c>
      <c r="D760">
        <f>IF($C760="","",$A760&amp;"|"&amp;RIGHT("000000"&amp;$C760,6))</f>
        <v/>
      </c>
      <c r="F760">
        <f>IF(Sync!$AJ760="","",Sync!$AJ760)</f>
        <v/>
      </c>
      <c r="G760">
        <f>IF($F760="","",IF(Sync!$AG760="","",IF(ISNUMBER(Sync!$AG760),IF(AND(Sync!$AG760&gt;=10000101,Sync!$AG760&lt;=99991231),INT(Sync!$AG760/10000),""),IFERROR(VALUE(TRIM(LEFT(Sync!$AG760,FIND("/",Sync!$AG760)-1))),""))))</f>
        <v/>
      </c>
      <c r="H760">
        <f>IF(OR($F760="",$G760=""),"",IF(ISNUMBER(Sync!$AG760),INT(MOD(Sync!$AG760,10000)/100),IFERROR(VALUE(TRIM(LEFT(MID(Sync!$AG760,FIND("/",Sync!$AG760)+1,20),FIND("/",MID(Sync!$AG760,FIND("/",Sync!$AG760)+1,20))-1))),"")))</f>
        <v/>
      </c>
      <c r="I760">
        <f>IF(OR($F760="",$G760=""),"",IF(ISNUMBER(Sync!$AG760),MOD(Sync!$AG760,100),IFERROR(VALUE(TRIM(MID(MID(Sync!$AG760,FIND("/",Sync!$AG760)+1,20),FIND("/",MID(Sync!$AG760,FIND("/",Sync!$AG760)+1,20))+1,20))),"")))</f>
        <v/>
      </c>
      <c r="J760">
        <f>IF($F760="","",IF(OR($G760="",$H760="",$I760="",$G760&lt;1300,$G760&gt;1500,$H760&lt;1,$H760&gt;12,$I760&lt;1,$I760&gt;31),"نامعتبر",RIGHT("0000"&amp;$G760,4)&amp;"/"&amp;RIGHT("00"&amp;$H760,2)&amp;"/"&amp;RIGHT("00"&amp;$I760,2)))</f>
        <v/>
      </c>
      <c r="K760">
        <f>IF(OR($F760="",$J760="",$J760="نامعتبر"),"",LEFT($J760,4)&amp;MID($J760,6,2)&amp;RIGHT($J760,2)&amp;$N760&amp;"|"&amp;"2"&amp;RIGHT("00000"&amp;755,5))</f>
        <v/>
      </c>
      <c r="L760">
        <f>IF($K760="","",COUNTIFS(LdgPartyA,$F760,LdgKeyA,"&lt;"&amp;$K760)+COUNTIFS(LdgPartyB,$F760,LdgKeyB,"&lt;"&amp;$K760)+1)</f>
        <v/>
      </c>
      <c r="M760">
        <f>IF($L760="","",$F760&amp;"|"&amp;RIGHT("000000"&amp;$L760,6))</f>
        <v/>
      </c>
      <c r="N760">
        <f>IF($F760="","",IF(Sync!$AH760="","0000",IF(AND(ISNUMBER(Sync!$AH760),Sync!$AH760&gt;=0,Sync!$AH760&lt;1),RIGHT("00"&amp;HOUR(Sync!$AH760),2)&amp;RIGHT("00"&amp;MINUTE(Sync!$AH760),2),IFERROR(RIGHT("00"&amp;VALUE(LEFT(Sync!$AH760,FIND(":",Sync!$AH760)-1)),2)&amp;RIGHT("00"&amp;VALUE(MID(Sync!$AH760,FIND(":",Sync!$AH760)+1,2)),2),"0000"))))</f>
        <v/>
      </c>
    </row>
    <row r="761">
      <c r="A761">
        <f>IF(OR(Calc!$E764="",Calc!$E764="نامعتبر",Calc!$G764="",Calc!$I764&lt;&gt;"خرید"),"",Calc!$G764)</f>
        <v/>
      </c>
      <c r="B761">
        <f>IF($A761="","",LEFT(Calc!$E764,4)&amp;MID(Calc!$E764,6,2)&amp;RIGHT(Calc!$E764,2)&amp;Calc!$R764&amp;"|"&amp;"1"&amp;RIGHT("00000"&amp;756,5))</f>
        <v/>
      </c>
      <c r="C761">
        <f>IF($B761="","",COUNTIFS(LdgPartyA,$A761,LdgKeyA,"&lt;"&amp;$B761)+COUNTIFS(LdgPartyB,$A761,LdgKeyB,"&lt;"&amp;$B761)+1)</f>
        <v/>
      </c>
      <c r="D761">
        <f>IF($C761="","",$A761&amp;"|"&amp;RIGHT("000000"&amp;$C761,6))</f>
        <v/>
      </c>
      <c r="F761">
        <f>IF(Sync!$AJ761="","",Sync!$AJ761)</f>
        <v/>
      </c>
      <c r="G761">
        <f>IF($F761="","",IF(Sync!$AG761="","",IF(ISNUMBER(Sync!$AG761),IF(AND(Sync!$AG761&gt;=10000101,Sync!$AG761&lt;=99991231),INT(Sync!$AG761/10000),""),IFERROR(VALUE(TRIM(LEFT(Sync!$AG761,FIND("/",Sync!$AG761)-1))),""))))</f>
        <v/>
      </c>
      <c r="H761">
        <f>IF(OR($F761="",$G761=""),"",IF(ISNUMBER(Sync!$AG761),INT(MOD(Sync!$AG761,10000)/100),IFERROR(VALUE(TRIM(LEFT(MID(Sync!$AG761,FIND("/",Sync!$AG761)+1,20),FIND("/",MID(Sync!$AG761,FIND("/",Sync!$AG761)+1,20))-1))),"")))</f>
        <v/>
      </c>
      <c r="I761">
        <f>IF(OR($F761="",$G761=""),"",IF(ISNUMBER(Sync!$AG761),MOD(Sync!$AG761,100),IFERROR(VALUE(TRIM(MID(MID(Sync!$AG761,FIND("/",Sync!$AG761)+1,20),FIND("/",MID(Sync!$AG761,FIND("/",Sync!$AG761)+1,20))+1,20))),"")))</f>
        <v/>
      </c>
      <c r="J761">
        <f>IF($F761="","",IF(OR($G761="",$H761="",$I761="",$G761&lt;1300,$G761&gt;1500,$H761&lt;1,$H761&gt;12,$I761&lt;1,$I761&gt;31),"نامعتبر",RIGHT("0000"&amp;$G761,4)&amp;"/"&amp;RIGHT("00"&amp;$H761,2)&amp;"/"&amp;RIGHT("00"&amp;$I761,2)))</f>
        <v/>
      </c>
      <c r="K761">
        <f>IF(OR($F761="",$J761="",$J761="نامعتبر"),"",LEFT($J761,4)&amp;MID($J761,6,2)&amp;RIGHT($J761,2)&amp;$N761&amp;"|"&amp;"2"&amp;RIGHT("00000"&amp;756,5))</f>
        <v/>
      </c>
      <c r="L761">
        <f>IF($K761="","",COUNTIFS(LdgPartyA,$F761,LdgKeyA,"&lt;"&amp;$K761)+COUNTIFS(LdgPartyB,$F761,LdgKeyB,"&lt;"&amp;$K761)+1)</f>
        <v/>
      </c>
      <c r="M761">
        <f>IF($L761="","",$F761&amp;"|"&amp;RIGHT("000000"&amp;$L761,6))</f>
        <v/>
      </c>
      <c r="N761">
        <f>IF($F761="","",IF(Sync!$AH761="","0000",IF(AND(ISNUMBER(Sync!$AH761),Sync!$AH761&gt;=0,Sync!$AH761&lt;1),RIGHT("00"&amp;HOUR(Sync!$AH761),2)&amp;RIGHT("00"&amp;MINUTE(Sync!$AH761),2),IFERROR(RIGHT("00"&amp;VALUE(LEFT(Sync!$AH761,FIND(":",Sync!$AH761)-1)),2)&amp;RIGHT("00"&amp;VALUE(MID(Sync!$AH761,FIND(":",Sync!$AH761)+1,2)),2),"0000"))))</f>
        <v/>
      </c>
    </row>
    <row r="762">
      <c r="A762">
        <f>IF(OR(Calc!$E765="",Calc!$E765="نامعتبر",Calc!$G765="",Calc!$I765&lt;&gt;"خرید"),"",Calc!$G765)</f>
        <v/>
      </c>
      <c r="B762">
        <f>IF($A762="","",LEFT(Calc!$E765,4)&amp;MID(Calc!$E765,6,2)&amp;RIGHT(Calc!$E765,2)&amp;Calc!$R765&amp;"|"&amp;"1"&amp;RIGHT("00000"&amp;757,5))</f>
        <v/>
      </c>
      <c r="C762">
        <f>IF($B762="","",COUNTIFS(LdgPartyA,$A762,LdgKeyA,"&lt;"&amp;$B762)+COUNTIFS(LdgPartyB,$A762,LdgKeyB,"&lt;"&amp;$B762)+1)</f>
        <v/>
      </c>
      <c r="D762">
        <f>IF($C762="","",$A762&amp;"|"&amp;RIGHT("000000"&amp;$C762,6))</f>
        <v/>
      </c>
      <c r="F762">
        <f>IF(Sync!$AJ762="","",Sync!$AJ762)</f>
        <v/>
      </c>
      <c r="G762">
        <f>IF($F762="","",IF(Sync!$AG762="","",IF(ISNUMBER(Sync!$AG762),IF(AND(Sync!$AG762&gt;=10000101,Sync!$AG762&lt;=99991231),INT(Sync!$AG762/10000),""),IFERROR(VALUE(TRIM(LEFT(Sync!$AG762,FIND("/",Sync!$AG762)-1))),""))))</f>
        <v/>
      </c>
      <c r="H762">
        <f>IF(OR($F762="",$G762=""),"",IF(ISNUMBER(Sync!$AG762),INT(MOD(Sync!$AG762,10000)/100),IFERROR(VALUE(TRIM(LEFT(MID(Sync!$AG762,FIND("/",Sync!$AG762)+1,20),FIND("/",MID(Sync!$AG762,FIND("/",Sync!$AG762)+1,20))-1))),"")))</f>
        <v/>
      </c>
      <c r="I762">
        <f>IF(OR($F762="",$G762=""),"",IF(ISNUMBER(Sync!$AG762),MOD(Sync!$AG762,100),IFERROR(VALUE(TRIM(MID(MID(Sync!$AG762,FIND("/",Sync!$AG762)+1,20),FIND("/",MID(Sync!$AG762,FIND("/",Sync!$AG762)+1,20))+1,20))),"")))</f>
        <v/>
      </c>
      <c r="J762">
        <f>IF($F762="","",IF(OR($G762="",$H762="",$I762="",$G762&lt;1300,$G762&gt;1500,$H762&lt;1,$H762&gt;12,$I762&lt;1,$I762&gt;31),"نامعتبر",RIGHT("0000"&amp;$G762,4)&amp;"/"&amp;RIGHT("00"&amp;$H762,2)&amp;"/"&amp;RIGHT("00"&amp;$I762,2)))</f>
        <v/>
      </c>
      <c r="K762">
        <f>IF(OR($F762="",$J762="",$J762="نامعتبر"),"",LEFT($J762,4)&amp;MID($J762,6,2)&amp;RIGHT($J762,2)&amp;$N762&amp;"|"&amp;"2"&amp;RIGHT("00000"&amp;757,5))</f>
        <v/>
      </c>
      <c r="L762">
        <f>IF($K762="","",COUNTIFS(LdgPartyA,$F762,LdgKeyA,"&lt;"&amp;$K762)+COUNTIFS(LdgPartyB,$F762,LdgKeyB,"&lt;"&amp;$K762)+1)</f>
        <v/>
      </c>
      <c r="M762">
        <f>IF($L762="","",$F762&amp;"|"&amp;RIGHT("000000"&amp;$L762,6))</f>
        <v/>
      </c>
      <c r="N762">
        <f>IF($F762="","",IF(Sync!$AH762="","0000",IF(AND(ISNUMBER(Sync!$AH762),Sync!$AH762&gt;=0,Sync!$AH762&lt;1),RIGHT("00"&amp;HOUR(Sync!$AH762),2)&amp;RIGHT("00"&amp;MINUTE(Sync!$AH762),2),IFERROR(RIGHT("00"&amp;VALUE(LEFT(Sync!$AH762,FIND(":",Sync!$AH762)-1)),2)&amp;RIGHT("00"&amp;VALUE(MID(Sync!$AH762,FIND(":",Sync!$AH762)+1,2)),2),"0000"))))</f>
        <v/>
      </c>
    </row>
    <row r="763">
      <c r="A763">
        <f>IF(OR(Calc!$E766="",Calc!$E766="نامعتبر",Calc!$G766="",Calc!$I766&lt;&gt;"خرید"),"",Calc!$G766)</f>
        <v/>
      </c>
      <c r="B763">
        <f>IF($A763="","",LEFT(Calc!$E766,4)&amp;MID(Calc!$E766,6,2)&amp;RIGHT(Calc!$E766,2)&amp;Calc!$R766&amp;"|"&amp;"1"&amp;RIGHT("00000"&amp;758,5))</f>
        <v/>
      </c>
      <c r="C763">
        <f>IF($B763="","",COUNTIFS(LdgPartyA,$A763,LdgKeyA,"&lt;"&amp;$B763)+COUNTIFS(LdgPartyB,$A763,LdgKeyB,"&lt;"&amp;$B763)+1)</f>
        <v/>
      </c>
      <c r="D763">
        <f>IF($C763="","",$A763&amp;"|"&amp;RIGHT("000000"&amp;$C763,6))</f>
        <v/>
      </c>
      <c r="F763">
        <f>IF(Sync!$AJ763="","",Sync!$AJ763)</f>
        <v/>
      </c>
      <c r="G763">
        <f>IF($F763="","",IF(Sync!$AG763="","",IF(ISNUMBER(Sync!$AG763),IF(AND(Sync!$AG763&gt;=10000101,Sync!$AG763&lt;=99991231),INT(Sync!$AG763/10000),""),IFERROR(VALUE(TRIM(LEFT(Sync!$AG763,FIND("/",Sync!$AG763)-1))),""))))</f>
        <v/>
      </c>
      <c r="H763">
        <f>IF(OR($F763="",$G763=""),"",IF(ISNUMBER(Sync!$AG763),INT(MOD(Sync!$AG763,10000)/100),IFERROR(VALUE(TRIM(LEFT(MID(Sync!$AG763,FIND("/",Sync!$AG763)+1,20),FIND("/",MID(Sync!$AG763,FIND("/",Sync!$AG763)+1,20))-1))),"")))</f>
        <v/>
      </c>
      <c r="I763">
        <f>IF(OR($F763="",$G763=""),"",IF(ISNUMBER(Sync!$AG763),MOD(Sync!$AG763,100),IFERROR(VALUE(TRIM(MID(MID(Sync!$AG763,FIND("/",Sync!$AG763)+1,20),FIND("/",MID(Sync!$AG763,FIND("/",Sync!$AG763)+1,20))+1,20))),"")))</f>
        <v/>
      </c>
      <c r="J763">
        <f>IF($F763="","",IF(OR($G763="",$H763="",$I763="",$G763&lt;1300,$G763&gt;1500,$H763&lt;1,$H763&gt;12,$I763&lt;1,$I763&gt;31),"نامعتبر",RIGHT("0000"&amp;$G763,4)&amp;"/"&amp;RIGHT("00"&amp;$H763,2)&amp;"/"&amp;RIGHT("00"&amp;$I763,2)))</f>
        <v/>
      </c>
      <c r="K763">
        <f>IF(OR($F763="",$J763="",$J763="نامعتبر"),"",LEFT($J763,4)&amp;MID($J763,6,2)&amp;RIGHT($J763,2)&amp;$N763&amp;"|"&amp;"2"&amp;RIGHT("00000"&amp;758,5))</f>
        <v/>
      </c>
      <c r="L763">
        <f>IF($K763="","",COUNTIFS(LdgPartyA,$F763,LdgKeyA,"&lt;"&amp;$K763)+COUNTIFS(LdgPartyB,$F763,LdgKeyB,"&lt;"&amp;$K763)+1)</f>
        <v/>
      </c>
      <c r="M763">
        <f>IF($L763="","",$F763&amp;"|"&amp;RIGHT("000000"&amp;$L763,6))</f>
        <v/>
      </c>
      <c r="N763">
        <f>IF($F763="","",IF(Sync!$AH763="","0000",IF(AND(ISNUMBER(Sync!$AH763),Sync!$AH763&gt;=0,Sync!$AH763&lt;1),RIGHT("00"&amp;HOUR(Sync!$AH763),2)&amp;RIGHT("00"&amp;MINUTE(Sync!$AH763),2),IFERROR(RIGHT("00"&amp;VALUE(LEFT(Sync!$AH763,FIND(":",Sync!$AH763)-1)),2)&amp;RIGHT("00"&amp;VALUE(MID(Sync!$AH763,FIND(":",Sync!$AH763)+1,2)),2),"0000"))))</f>
        <v/>
      </c>
    </row>
    <row r="764">
      <c r="A764">
        <f>IF(OR(Calc!$E767="",Calc!$E767="نامعتبر",Calc!$G767="",Calc!$I767&lt;&gt;"خرید"),"",Calc!$G767)</f>
        <v/>
      </c>
      <c r="B764">
        <f>IF($A764="","",LEFT(Calc!$E767,4)&amp;MID(Calc!$E767,6,2)&amp;RIGHT(Calc!$E767,2)&amp;Calc!$R767&amp;"|"&amp;"1"&amp;RIGHT("00000"&amp;759,5))</f>
        <v/>
      </c>
      <c r="C764">
        <f>IF($B764="","",COUNTIFS(LdgPartyA,$A764,LdgKeyA,"&lt;"&amp;$B764)+COUNTIFS(LdgPartyB,$A764,LdgKeyB,"&lt;"&amp;$B764)+1)</f>
        <v/>
      </c>
      <c r="D764">
        <f>IF($C764="","",$A764&amp;"|"&amp;RIGHT("000000"&amp;$C764,6))</f>
        <v/>
      </c>
      <c r="F764">
        <f>IF(Sync!$AJ764="","",Sync!$AJ764)</f>
        <v/>
      </c>
      <c r="G764">
        <f>IF($F764="","",IF(Sync!$AG764="","",IF(ISNUMBER(Sync!$AG764),IF(AND(Sync!$AG764&gt;=10000101,Sync!$AG764&lt;=99991231),INT(Sync!$AG764/10000),""),IFERROR(VALUE(TRIM(LEFT(Sync!$AG764,FIND("/",Sync!$AG764)-1))),""))))</f>
        <v/>
      </c>
      <c r="H764">
        <f>IF(OR($F764="",$G764=""),"",IF(ISNUMBER(Sync!$AG764),INT(MOD(Sync!$AG764,10000)/100),IFERROR(VALUE(TRIM(LEFT(MID(Sync!$AG764,FIND("/",Sync!$AG764)+1,20),FIND("/",MID(Sync!$AG764,FIND("/",Sync!$AG764)+1,20))-1))),"")))</f>
        <v/>
      </c>
      <c r="I764">
        <f>IF(OR($F764="",$G764=""),"",IF(ISNUMBER(Sync!$AG764),MOD(Sync!$AG764,100),IFERROR(VALUE(TRIM(MID(MID(Sync!$AG764,FIND("/",Sync!$AG764)+1,20),FIND("/",MID(Sync!$AG764,FIND("/",Sync!$AG764)+1,20))+1,20))),"")))</f>
        <v/>
      </c>
      <c r="J764">
        <f>IF($F764="","",IF(OR($G764="",$H764="",$I764="",$G764&lt;1300,$G764&gt;1500,$H764&lt;1,$H764&gt;12,$I764&lt;1,$I764&gt;31),"نامعتبر",RIGHT("0000"&amp;$G764,4)&amp;"/"&amp;RIGHT("00"&amp;$H764,2)&amp;"/"&amp;RIGHT("00"&amp;$I764,2)))</f>
        <v/>
      </c>
      <c r="K764">
        <f>IF(OR($F764="",$J764="",$J764="نامعتبر"),"",LEFT($J764,4)&amp;MID($J764,6,2)&amp;RIGHT($J764,2)&amp;$N764&amp;"|"&amp;"2"&amp;RIGHT("00000"&amp;759,5))</f>
        <v/>
      </c>
      <c r="L764">
        <f>IF($K764="","",COUNTIFS(LdgPartyA,$F764,LdgKeyA,"&lt;"&amp;$K764)+COUNTIFS(LdgPartyB,$F764,LdgKeyB,"&lt;"&amp;$K764)+1)</f>
        <v/>
      </c>
      <c r="M764">
        <f>IF($L764="","",$F764&amp;"|"&amp;RIGHT("000000"&amp;$L764,6))</f>
        <v/>
      </c>
      <c r="N764">
        <f>IF($F764="","",IF(Sync!$AH764="","0000",IF(AND(ISNUMBER(Sync!$AH764),Sync!$AH764&gt;=0,Sync!$AH764&lt;1),RIGHT("00"&amp;HOUR(Sync!$AH764),2)&amp;RIGHT("00"&amp;MINUTE(Sync!$AH764),2),IFERROR(RIGHT("00"&amp;VALUE(LEFT(Sync!$AH764,FIND(":",Sync!$AH764)-1)),2)&amp;RIGHT("00"&amp;VALUE(MID(Sync!$AH764,FIND(":",Sync!$AH764)+1,2)),2),"0000"))))</f>
        <v/>
      </c>
    </row>
    <row r="765">
      <c r="A765">
        <f>IF(OR(Calc!$E768="",Calc!$E768="نامعتبر",Calc!$G768="",Calc!$I768&lt;&gt;"خرید"),"",Calc!$G768)</f>
        <v/>
      </c>
      <c r="B765">
        <f>IF($A765="","",LEFT(Calc!$E768,4)&amp;MID(Calc!$E768,6,2)&amp;RIGHT(Calc!$E768,2)&amp;Calc!$R768&amp;"|"&amp;"1"&amp;RIGHT("00000"&amp;760,5))</f>
        <v/>
      </c>
      <c r="C765">
        <f>IF($B765="","",COUNTIFS(LdgPartyA,$A765,LdgKeyA,"&lt;"&amp;$B765)+COUNTIFS(LdgPartyB,$A765,LdgKeyB,"&lt;"&amp;$B765)+1)</f>
        <v/>
      </c>
      <c r="D765">
        <f>IF($C765="","",$A765&amp;"|"&amp;RIGHT("000000"&amp;$C765,6))</f>
        <v/>
      </c>
      <c r="F765">
        <f>IF(Sync!$AJ765="","",Sync!$AJ765)</f>
        <v/>
      </c>
      <c r="G765">
        <f>IF($F765="","",IF(Sync!$AG765="","",IF(ISNUMBER(Sync!$AG765),IF(AND(Sync!$AG765&gt;=10000101,Sync!$AG765&lt;=99991231),INT(Sync!$AG765/10000),""),IFERROR(VALUE(TRIM(LEFT(Sync!$AG765,FIND("/",Sync!$AG765)-1))),""))))</f>
        <v/>
      </c>
      <c r="H765">
        <f>IF(OR($F765="",$G765=""),"",IF(ISNUMBER(Sync!$AG765),INT(MOD(Sync!$AG765,10000)/100),IFERROR(VALUE(TRIM(LEFT(MID(Sync!$AG765,FIND("/",Sync!$AG765)+1,20),FIND("/",MID(Sync!$AG765,FIND("/",Sync!$AG765)+1,20))-1))),"")))</f>
        <v/>
      </c>
      <c r="I765">
        <f>IF(OR($F765="",$G765=""),"",IF(ISNUMBER(Sync!$AG765),MOD(Sync!$AG765,100),IFERROR(VALUE(TRIM(MID(MID(Sync!$AG765,FIND("/",Sync!$AG765)+1,20),FIND("/",MID(Sync!$AG765,FIND("/",Sync!$AG765)+1,20))+1,20))),"")))</f>
        <v/>
      </c>
      <c r="J765">
        <f>IF($F765="","",IF(OR($G765="",$H765="",$I765="",$G765&lt;1300,$G765&gt;1500,$H765&lt;1,$H765&gt;12,$I765&lt;1,$I765&gt;31),"نامعتبر",RIGHT("0000"&amp;$G765,4)&amp;"/"&amp;RIGHT("00"&amp;$H765,2)&amp;"/"&amp;RIGHT("00"&amp;$I765,2)))</f>
        <v/>
      </c>
      <c r="K765">
        <f>IF(OR($F765="",$J765="",$J765="نامعتبر"),"",LEFT($J765,4)&amp;MID($J765,6,2)&amp;RIGHT($J765,2)&amp;$N765&amp;"|"&amp;"2"&amp;RIGHT("00000"&amp;760,5))</f>
        <v/>
      </c>
      <c r="L765">
        <f>IF($K765="","",COUNTIFS(LdgPartyA,$F765,LdgKeyA,"&lt;"&amp;$K765)+COUNTIFS(LdgPartyB,$F765,LdgKeyB,"&lt;"&amp;$K765)+1)</f>
        <v/>
      </c>
      <c r="M765">
        <f>IF($L765="","",$F765&amp;"|"&amp;RIGHT("000000"&amp;$L765,6))</f>
        <v/>
      </c>
      <c r="N765">
        <f>IF($F765="","",IF(Sync!$AH765="","0000",IF(AND(ISNUMBER(Sync!$AH765),Sync!$AH765&gt;=0,Sync!$AH765&lt;1),RIGHT("00"&amp;HOUR(Sync!$AH765),2)&amp;RIGHT("00"&amp;MINUTE(Sync!$AH765),2),IFERROR(RIGHT("00"&amp;VALUE(LEFT(Sync!$AH765,FIND(":",Sync!$AH765)-1)),2)&amp;RIGHT("00"&amp;VALUE(MID(Sync!$AH765,FIND(":",Sync!$AH765)+1,2)),2),"0000"))))</f>
        <v/>
      </c>
    </row>
    <row r="766">
      <c r="A766">
        <f>IF(OR(Calc!$E769="",Calc!$E769="نامعتبر",Calc!$G769="",Calc!$I769&lt;&gt;"خرید"),"",Calc!$G769)</f>
        <v/>
      </c>
      <c r="B766">
        <f>IF($A766="","",LEFT(Calc!$E769,4)&amp;MID(Calc!$E769,6,2)&amp;RIGHT(Calc!$E769,2)&amp;Calc!$R769&amp;"|"&amp;"1"&amp;RIGHT("00000"&amp;761,5))</f>
        <v/>
      </c>
      <c r="C766">
        <f>IF($B766="","",COUNTIFS(LdgPartyA,$A766,LdgKeyA,"&lt;"&amp;$B766)+COUNTIFS(LdgPartyB,$A766,LdgKeyB,"&lt;"&amp;$B766)+1)</f>
        <v/>
      </c>
      <c r="D766">
        <f>IF($C766="","",$A766&amp;"|"&amp;RIGHT("000000"&amp;$C766,6))</f>
        <v/>
      </c>
      <c r="F766">
        <f>IF(Sync!$AJ766="","",Sync!$AJ766)</f>
        <v/>
      </c>
      <c r="G766">
        <f>IF($F766="","",IF(Sync!$AG766="","",IF(ISNUMBER(Sync!$AG766),IF(AND(Sync!$AG766&gt;=10000101,Sync!$AG766&lt;=99991231),INT(Sync!$AG766/10000),""),IFERROR(VALUE(TRIM(LEFT(Sync!$AG766,FIND("/",Sync!$AG766)-1))),""))))</f>
        <v/>
      </c>
      <c r="H766">
        <f>IF(OR($F766="",$G766=""),"",IF(ISNUMBER(Sync!$AG766),INT(MOD(Sync!$AG766,10000)/100),IFERROR(VALUE(TRIM(LEFT(MID(Sync!$AG766,FIND("/",Sync!$AG766)+1,20),FIND("/",MID(Sync!$AG766,FIND("/",Sync!$AG766)+1,20))-1))),"")))</f>
        <v/>
      </c>
      <c r="I766">
        <f>IF(OR($F766="",$G766=""),"",IF(ISNUMBER(Sync!$AG766),MOD(Sync!$AG766,100),IFERROR(VALUE(TRIM(MID(MID(Sync!$AG766,FIND("/",Sync!$AG766)+1,20),FIND("/",MID(Sync!$AG766,FIND("/",Sync!$AG766)+1,20))+1,20))),"")))</f>
        <v/>
      </c>
      <c r="J766">
        <f>IF($F766="","",IF(OR($G766="",$H766="",$I766="",$G766&lt;1300,$G766&gt;1500,$H766&lt;1,$H766&gt;12,$I766&lt;1,$I766&gt;31),"نامعتبر",RIGHT("0000"&amp;$G766,4)&amp;"/"&amp;RIGHT("00"&amp;$H766,2)&amp;"/"&amp;RIGHT("00"&amp;$I766,2)))</f>
        <v/>
      </c>
      <c r="K766">
        <f>IF(OR($F766="",$J766="",$J766="نامعتبر"),"",LEFT($J766,4)&amp;MID($J766,6,2)&amp;RIGHT($J766,2)&amp;$N766&amp;"|"&amp;"2"&amp;RIGHT("00000"&amp;761,5))</f>
        <v/>
      </c>
      <c r="L766">
        <f>IF($K766="","",COUNTIFS(LdgPartyA,$F766,LdgKeyA,"&lt;"&amp;$K766)+COUNTIFS(LdgPartyB,$F766,LdgKeyB,"&lt;"&amp;$K766)+1)</f>
        <v/>
      </c>
      <c r="M766">
        <f>IF($L766="","",$F766&amp;"|"&amp;RIGHT("000000"&amp;$L766,6))</f>
        <v/>
      </c>
      <c r="N766">
        <f>IF($F766="","",IF(Sync!$AH766="","0000",IF(AND(ISNUMBER(Sync!$AH766),Sync!$AH766&gt;=0,Sync!$AH766&lt;1),RIGHT("00"&amp;HOUR(Sync!$AH766),2)&amp;RIGHT("00"&amp;MINUTE(Sync!$AH766),2),IFERROR(RIGHT("00"&amp;VALUE(LEFT(Sync!$AH766,FIND(":",Sync!$AH766)-1)),2)&amp;RIGHT("00"&amp;VALUE(MID(Sync!$AH766,FIND(":",Sync!$AH766)+1,2)),2),"0000"))))</f>
        <v/>
      </c>
    </row>
    <row r="767">
      <c r="A767">
        <f>IF(OR(Calc!$E770="",Calc!$E770="نامعتبر",Calc!$G770="",Calc!$I770&lt;&gt;"خرید"),"",Calc!$G770)</f>
        <v/>
      </c>
      <c r="B767">
        <f>IF($A767="","",LEFT(Calc!$E770,4)&amp;MID(Calc!$E770,6,2)&amp;RIGHT(Calc!$E770,2)&amp;Calc!$R770&amp;"|"&amp;"1"&amp;RIGHT("00000"&amp;762,5))</f>
        <v/>
      </c>
      <c r="C767">
        <f>IF($B767="","",COUNTIFS(LdgPartyA,$A767,LdgKeyA,"&lt;"&amp;$B767)+COUNTIFS(LdgPartyB,$A767,LdgKeyB,"&lt;"&amp;$B767)+1)</f>
        <v/>
      </c>
      <c r="D767">
        <f>IF($C767="","",$A767&amp;"|"&amp;RIGHT("000000"&amp;$C767,6))</f>
        <v/>
      </c>
      <c r="F767">
        <f>IF(Sync!$AJ767="","",Sync!$AJ767)</f>
        <v/>
      </c>
      <c r="G767">
        <f>IF($F767="","",IF(Sync!$AG767="","",IF(ISNUMBER(Sync!$AG767),IF(AND(Sync!$AG767&gt;=10000101,Sync!$AG767&lt;=99991231),INT(Sync!$AG767/10000),""),IFERROR(VALUE(TRIM(LEFT(Sync!$AG767,FIND("/",Sync!$AG767)-1))),""))))</f>
        <v/>
      </c>
      <c r="H767">
        <f>IF(OR($F767="",$G767=""),"",IF(ISNUMBER(Sync!$AG767),INT(MOD(Sync!$AG767,10000)/100),IFERROR(VALUE(TRIM(LEFT(MID(Sync!$AG767,FIND("/",Sync!$AG767)+1,20),FIND("/",MID(Sync!$AG767,FIND("/",Sync!$AG767)+1,20))-1))),"")))</f>
        <v/>
      </c>
      <c r="I767">
        <f>IF(OR($F767="",$G767=""),"",IF(ISNUMBER(Sync!$AG767),MOD(Sync!$AG767,100),IFERROR(VALUE(TRIM(MID(MID(Sync!$AG767,FIND("/",Sync!$AG767)+1,20),FIND("/",MID(Sync!$AG767,FIND("/",Sync!$AG767)+1,20))+1,20))),"")))</f>
        <v/>
      </c>
      <c r="J767">
        <f>IF($F767="","",IF(OR($G767="",$H767="",$I767="",$G767&lt;1300,$G767&gt;1500,$H767&lt;1,$H767&gt;12,$I767&lt;1,$I767&gt;31),"نامعتبر",RIGHT("0000"&amp;$G767,4)&amp;"/"&amp;RIGHT("00"&amp;$H767,2)&amp;"/"&amp;RIGHT("00"&amp;$I767,2)))</f>
        <v/>
      </c>
      <c r="K767">
        <f>IF(OR($F767="",$J767="",$J767="نامعتبر"),"",LEFT($J767,4)&amp;MID($J767,6,2)&amp;RIGHT($J767,2)&amp;$N767&amp;"|"&amp;"2"&amp;RIGHT("00000"&amp;762,5))</f>
        <v/>
      </c>
      <c r="L767">
        <f>IF($K767="","",COUNTIFS(LdgPartyA,$F767,LdgKeyA,"&lt;"&amp;$K767)+COUNTIFS(LdgPartyB,$F767,LdgKeyB,"&lt;"&amp;$K767)+1)</f>
        <v/>
      </c>
      <c r="M767">
        <f>IF($L767="","",$F767&amp;"|"&amp;RIGHT("000000"&amp;$L767,6))</f>
        <v/>
      </c>
      <c r="N767">
        <f>IF($F767="","",IF(Sync!$AH767="","0000",IF(AND(ISNUMBER(Sync!$AH767),Sync!$AH767&gt;=0,Sync!$AH767&lt;1),RIGHT("00"&amp;HOUR(Sync!$AH767),2)&amp;RIGHT("00"&amp;MINUTE(Sync!$AH767),2),IFERROR(RIGHT("00"&amp;VALUE(LEFT(Sync!$AH767,FIND(":",Sync!$AH767)-1)),2)&amp;RIGHT("00"&amp;VALUE(MID(Sync!$AH767,FIND(":",Sync!$AH767)+1,2)),2),"0000"))))</f>
        <v/>
      </c>
    </row>
    <row r="768">
      <c r="A768">
        <f>IF(OR(Calc!$E771="",Calc!$E771="نامعتبر",Calc!$G771="",Calc!$I771&lt;&gt;"خرید"),"",Calc!$G771)</f>
        <v/>
      </c>
      <c r="B768">
        <f>IF($A768="","",LEFT(Calc!$E771,4)&amp;MID(Calc!$E771,6,2)&amp;RIGHT(Calc!$E771,2)&amp;Calc!$R771&amp;"|"&amp;"1"&amp;RIGHT("00000"&amp;763,5))</f>
        <v/>
      </c>
      <c r="C768">
        <f>IF($B768="","",COUNTIFS(LdgPartyA,$A768,LdgKeyA,"&lt;"&amp;$B768)+COUNTIFS(LdgPartyB,$A768,LdgKeyB,"&lt;"&amp;$B768)+1)</f>
        <v/>
      </c>
      <c r="D768">
        <f>IF($C768="","",$A768&amp;"|"&amp;RIGHT("000000"&amp;$C768,6))</f>
        <v/>
      </c>
      <c r="F768">
        <f>IF(Sync!$AJ768="","",Sync!$AJ768)</f>
        <v/>
      </c>
      <c r="G768">
        <f>IF($F768="","",IF(Sync!$AG768="","",IF(ISNUMBER(Sync!$AG768),IF(AND(Sync!$AG768&gt;=10000101,Sync!$AG768&lt;=99991231),INT(Sync!$AG768/10000),""),IFERROR(VALUE(TRIM(LEFT(Sync!$AG768,FIND("/",Sync!$AG768)-1))),""))))</f>
        <v/>
      </c>
      <c r="H768">
        <f>IF(OR($F768="",$G768=""),"",IF(ISNUMBER(Sync!$AG768),INT(MOD(Sync!$AG768,10000)/100),IFERROR(VALUE(TRIM(LEFT(MID(Sync!$AG768,FIND("/",Sync!$AG768)+1,20),FIND("/",MID(Sync!$AG768,FIND("/",Sync!$AG768)+1,20))-1))),"")))</f>
        <v/>
      </c>
      <c r="I768">
        <f>IF(OR($F768="",$G768=""),"",IF(ISNUMBER(Sync!$AG768),MOD(Sync!$AG768,100),IFERROR(VALUE(TRIM(MID(MID(Sync!$AG768,FIND("/",Sync!$AG768)+1,20),FIND("/",MID(Sync!$AG768,FIND("/",Sync!$AG768)+1,20))+1,20))),"")))</f>
        <v/>
      </c>
      <c r="J768">
        <f>IF($F768="","",IF(OR($G768="",$H768="",$I768="",$G768&lt;1300,$G768&gt;1500,$H768&lt;1,$H768&gt;12,$I768&lt;1,$I768&gt;31),"نامعتبر",RIGHT("0000"&amp;$G768,4)&amp;"/"&amp;RIGHT("00"&amp;$H768,2)&amp;"/"&amp;RIGHT("00"&amp;$I768,2)))</f>
        <v/>
      </c>
      <c r="K768">
        <f>IF(OR($F768="",$J768="",$J768="نامعتبر"),"",LEFT($J768,4)&amp;MID($J768,6,2)&amp;RIGHT($J768,2)&amp;$N768&amp;"|"&amp;"2"&amp;RIGHT("00000"&amp;763,5))</f>
        <v/>
      </c>
      <c r="L768">
        <f>IF($K768="","",COUNTIFS(LdgPartyA,$F768,LdgKeyA,"&lt;"&amp;$K768)+COUNTIFS(LdgPartyB,$F768,LdgKeyB,"&lt;"&amp;$K768)+1)</f>
        <v/>
      </c>
      <c r="M768">
        <f>IF($L768="","",$F768&amp;"|"&amp;RIGHT("000000"&amp;$L768,6))</f>
        <v/>
      </c>
      <c r="N768">
        <f>IF($F768="","",IF(Sync!$AH768="","0000",IF(AND(ISNUMBER(Sync!$AH768),Sync!$AH768&gt;=0,Sync!$AH768&lt;1),RIGHT("00"&amp;HOUR(Sync!$AH768),2)&amp;RIGHT("00"&amp;MINUTE(Sync!$AH768),2),IFERROR(RIGHT("00"&amp;VALUE(LEFT(Sync!$AH768,FIND(":",Sync!$AH768)-1)),2)&amp;RIGHT("00"&amp;VALUE(MID(Sync!$AH768,FIND(":",Sync!$AH768)+1,2)),2),"0000"))))</f>
        <v/>
      </c>
    </row>
    <row r="769">
      <c r="A769">
        <f>IF(OR(Calc!$E772="",Calc!$E772="نامعتبر",Calc!$G772="",Calc!$I772&lt;&gt;"خرید"),"",Calc!$G772)</f>
        <v/>
      </c>
      <c r="B769">
        <f>IF($A769="","",LEFT(Calc!$E772,4)&amp;MID(Calc!$E772,6,2)&amp;RIGHT(Calc!$E772,2)&amp;Calc!$R772&amp;"|"&amp;"1"&amp;RIGHT("00000"&amp;764,5))</f>
        <v/>
      </c>
      <c r="C769">
        <f>IF($B769="","",COUNTIFS(LdgPartyA,$A769,LdgKeyA,"&lt;"&amp;$B769)+COUNTIFS(LdgPartyB,$A769,LdgKeyB,"&lt;"&amp;$B769)+1)</f>
        <v/>
      </c>
      <c r="D769">
        <f>IF($C769="","",$A769&amp;"|"&amp;RIGHT("000000"&amp;$C769,6))</f>
        <v/>
      </c>
      <c r="F769">
        <f>IF(Sync!$AJ769="","",Sync!$AJ769)</f>
        <v/>
      </c>
      <c r="G769">
        <f>IF($F769="","",IF(Sync!$AG769="","",IF(ISNUMBER(Sync!$AG769),IF(AND(Sync!$AG769&gt;=10000101,Sync!$AG769&lt;=99991231),INT(Sync!$AG769/10000),""),IFERROR(VALUE(TRIM(LEFT(Sync!$AG769,FIND("/",Sync!$AG769)-1))),""))))</f>
        <v/>
      </c>
      <c r="H769">
        <f>IF(OR($F769="",$G769=""),"",IF(ISNUMBER(Sync!$AG769),INT(MOD(Sync!$AG769,10000)/100),IFERROR(VALUE(TRIM(LEFT(MID(Sync!$AG769,FIND("/",Sync!$AG769)+1,20),FIND("/",MID(Sync!$AG769,FIND("/",Sync!$AG769)+1,20))-1))),"")))</f>
        <v/>
      </c>
      <c r="I769">
        <f>IF(OR($F769="",$G769=""),"",IF(ISNUMBER(Sync!$AG769),MOD(Sync!$AG769,100),IFERROR(VALUE(TRIM(MID(MID(Sync!$AG769,FIND("/",Sync!$AG769)+1,20),FIND("/",MID(Sync!$AG769,FIND("/",Sync!$AG769)+1,20))+1,20))),"")))</f>
        <v/>
      </c>
      <c r="J769">
        <f>IF($F769="","",IF(OR($G769="",$H769="",$I769="",$G769&lt;1300,$G769&gt;1500,$H769&lt;1,$H769&gt;12,$I769&lt;1,$I769&gt;31),"نامعتبر",RIGHT("0000"&amp;$G769,4)&amp;"/"&amp;RIGHT("00"&amp;$H769,2)&amp;"/"&amp;RIGHT("00"&amp;$I769,2)))</f>
        <v/>
      </c>
      <c r="K769">
        <f>IF(OR($F769="",$J769="",$J769="نامعتبر"),"",LEFT($J769,4)&amp;MID($J769,6,2)&amp;RIGHT($J769,2)&amp;$N769&amp;"|"&amp;"2"&amp;RIGHT("00000"&amp;764,5))</f>
        <v/>
      </c>
      <c r="L769">
        <f>IF($K769="","",COUNTIFS(LdgPartyA,$F769,LdgKeyA,"&lt;"&amp;$K769)+COUNTIFS(LdgPartyB,$F769,LdgKeyB,"&lt;"&amp;$K769)+1)</f>
        <v/>
      </c>
      <c r="M769">
        <f>IF($L769="","",$F769&amp;"|"&amp;RIGHT("000000"&amp;$L769,6))</f>
        <v/>
      </c>
      <c r="N769">
        <f>IF($F769="","",IF(Sync!$AH769="","0000",IF(AND(ISNUMBER(Sync!$AH769),Sync!$AH769&gt;=0,Sync!$AH769&lt;1),RIGHT("00"&amp;HOUR(Sync!$AH769),2)&amp;RIGHT("00"&amp;MINUTE(Sync!$AH769),2),IFERROR(RIGHT("00"&amp;VALUE(LEFT(Sync!$AH769,FIND(":",Sync!$AH769)-1)),2)&amp;RIGHT("00"&amp;VALUE(MID(Sync!$AH769,FIND(":",Sync!$AH769)+1,2)),2),"0000"))))</f>
        <v/>
      </c>
    </row>
    <row r="770">
      <c r="A770">
        <f>IF(OR(Calc!$E773="",Calc!$E773="نامعتبر",Calc!$G773="",Calc!$I773&lt;&gt;"خرید"),"",Calc!$G773)</f>
        <v/>
      </c>
      <c r="B770">
        <f>IF($A770="","",LEFT(Calc!$E773,4)&amp;MID(Calc!$E773,6,2)&amp;RIGHT(Calc!$E773,2)&amp;Calc!$R773&amp;"|"&amp;"1"&amp;RIGHT("00000"&amp;765,5))</f>
        <v/>
      </c>
      <c r="C770">
        <f>IF($B770="","",COUNTIFS(LdgPartyA,$A770,LdgKeyA,"&lt;"&amp;$B770)+COUNTIFS(LdgPartyB,$A770,LdgKeyB,"&lt;"&amp;$B770)+1)</f>
        <v/>
      </c>
      <c r="D770">
        <f>IF($C770="","",$A770&amp;"|"&amp;RIGHT("000000"&amp;$C770,6))</f>
        <v/>
      </c>
      <c r="F770">
        <f>IF(Sync!$AJ770="","",Sync!$AJ770)</f>
        <v/>
      </c>
      <c r="G770">
        <f>IF($F770="","",IF(Sync!$AG770="","",IF(ISNUMBER(Sync!$AG770),IF(AND(Sync!$AG770&gt;=10000101,Sync!$AG770&lt;=99991231),INT(Sync!$AG770/10000),""),IFERROR(VALUE(TRIM(LEFT(Sync!$AG770,FIND("/",Sync!$AG770)-1))),""))))</f>
        <v/>
      </c>
      <c r="H770">
        <f>IF(OR($F770="",$G770=""),"",IF(ISNUMBER(Sync!$AG770),INT(MOD(Sync!$AG770,10000)/100),IFERROR(VALUE(TRIM(LEFT(MID(Sync!$AG770,FIND("/",Sync!$AG770)+1,20),FIND("/",MID(Sync!$AG770,FIND("/",Sync!$AG770)+1,20))-1))),"")))</f>
        <v/>
      </c>
      <c r="I770">
        <f>IF(OR($F770="",$G770=""),"",IF(ISNUMBER(Sync!$AG770),MOD(Sync!$AG770,100),IFERROR(VALUE(TRIM(MID(MID(Sync!$AG770,FIND("/",Sync!$AG770)+1,20),FIND("/",MID(Sync!$AG770,FIND("/",Sync!$AG770)+1,20))+1,20))),"")))</f>
        <v/>
      </c>
      <c r="J770">
        <f>IF($F770="","",IF(OR($G770="",$H770="",$I770="",$G770&lt;1300,$G770&gt;1500,$H770&lt;1,$H770&gt;12,$I770&lt;1,$I770&gt;31),"نامعتبر",RIGHT("0000"&amp;$G770,4)&amp;"/"&amp;RIGHT("00"&amp;$H770,2)&amp;"/"&amp;RIGHT("00"&amp;$I770,2)))</f>
        <v/>
      </c>
      <c r="K770">
        <f>IF(OR($F770="",$J770="",$J770="نامعتبر"),"",LEFT($J770,4)&amp;MID($J770,6,2)&amp;RIGHT($J770,2)&amp;$N770&amp;"|"&amp;"2"&amp;RIGHT("00000"&amp;765,5))</f>
        <v/>
      </c>
      <c r="L770">
        <f>IF($K770="","",COUNTIFS(LdgPartyA,$F770,LdgKeyA,"&lt;"&amp;$K770)+COUNTIFS(LdgPartyB,$F770,LdgKeyB,"&lt;"&amp;$K770)+1)</f>
        <v/>
      </c>
      <c r="M770">
        <f>IF($L770="","",$F770&amp;"|"&amp;RIGHT("000000"&amp;$L770,6))</f>
        <v/>
      </c>
      <c r="N770">
        <f>IF($F770="","",IF(Sync!$AH770="","0000",IF(AND(ISNUMBER(Sync!$AH770),Sync!$AH770&gt;=0,Sync!$AH770&lt;1),RIGHT("00"&amp;HOUR(Sync!$AH770),2)&amp;RIGHT("00"&amp;MINUTE(Sync!$AH770),2),IFERROR(RIGHT("00"&amp;VALUE(LEFT(Sync!$AH770,FIND(":",Sync!$AH770)-1)),2)&amp;RIGHT("00"&amp;VALUE(MID(Sync!$AH770,FIND(":",Sync!$AH770)+1,2)),2),"0000"))))</f>
        <v/>
      </c>
    </row>
    <row r="771">
      <c r="A771">
        <f>IF(OR(Calc!$E774="",Calc!$E774="نامعتبر",Calc!$G774="",Calc!$I774&lt;&gt;"خرید"),"",Calc!$G774)</f>
        <v/>
      </c>
      <c r="B771">
        <f>IF($A771="","",LEFT(Calc!$E774,4)&amp;MID(Calc!$E774,6,2)&amp;RIGHT(Calc!$E774,2)&amp;Calc!$R774&amp;"|"&amp;"1"&amp;RIGHT("00000"&amp;766,5))</f>
        <v/>
      </c>
      <c r="C771">
        <f>IF($B771="","",COUNTIFS(LdgPartyA,$A771,LdgKeyA,"&lt;"&amp;$B771)+COUNTIFS(LdgPartyB,$A771,LdgKeyB,"&lt;"&amp;$B771)+1)</f>
        <v/>
      </c>
      <c r="D771">
        <f>IF($C771="","",$A771&amp;"|"&amp;RIGHT("000000"&amp;$C771,6))</f>
        <v/>
      </c>
      <c r="F771">
        <f>IF(Sync!$AJ771="","",Sync!$AJ771)</f>
        <v/>
      </c>
      <c r="G771">
        <f>IF($F771="","",IF(Sync!$AG771="","",IF(ISNUMBER(Sync!$AG771),IF(AND(Sync!$AG771&gt;=10000101,Sync!$AG771&lt;=99991231),INT(Sync!$AG771/10000),""),IFERROR(VALUE(TRIM(LEFT(Sync!$AG771,FIND("/",Sync!$AG771)-1))),""))))</f>
        <v/>
      </c>
      <c r="H771">
        <f>IF(OR($F771="",$G771=""),"",IF(ISNUMBER(Sync!$AG771),INT(MOD(Sync!$AG771,10000)/100),IFERROR(VALUE(TRIM(LEFT(MID(Sync!$AG771,FIND("/",Sync!$AG771)+1,20),FIND("/",MID(Sync!$AG771,FIND("/",Sync!$AG771)+1,20))-1))),"")))</f>
        <v/>
      </c>
      <c r="I771">
        <f>IF(OR($F771="",$G771=""),"",IF(ISNUMBER(Sync!$AG771),MOD(Sync!$AG771,100),IFERROR(VALUE(TRIM(MID(MID(Sync!$AG771,FIND("/",Sync!$AG771)+1,20),FIND("/",MID(Sync!$AG771,FIND("/",Sync!$AG771)+1,20))+1,20))),"")))</f>
        <v/>
      </c>
      <c r="J771">
        <f>IF($F771="","",IF(OR($G771="",$H771="",$I771="",$G771&lt;1300,$G771&gt;1500,$H771&lt;1,$H771&gt;12,$I771&lt;1,$I771&gt;31),"نامعتبر",RIGHT("0000"&amp;$G771,4)&amp;"/"&amp;RIGHT("00"&amp;$H771,2)&amp;"/"&amp;RIGHT("00"&amp;$I771,2)))</f>
        <v/>
      </c>
      <c r="K771">
        <f>IF(OR($F771="",$J771="",$J771="نامعتبر"),"",LEFT($J771,4)&amp;MID($J771,6,2)&amp;RIGHT($J771,2)&amp;$N771&amp;"|"&amp;"2"&amp;RIGHT("00000"&amp;766,5))</f>
        <v/>
      </c>
      <c r="L771">
        <f>IF($K771="","",COUNTIFS(LdgPartyA,$F771,LdgKeyA,"&lt;"&amp;$K771)+COUNTIFS(LdgPartyB,$F771,LdgKeyB,"&lt;"&amp;$K771)+1)</f>
        <v/>
      </c>
      <c r="M771">
        <f>IF($L771="","",$F771&amp;"|"&amp;RIGHT("000000"&amp;$L771,6))</f>
        <v/>
      </c>
      <c r="N771">
        <f>IF($F771="","",IF(Sync!$AH771="","0000",IF(AND(ISNUMBER(Sync!$AH771),Sync!$AH771&gt;=0,Sync!$AH771&lt;1),RIGHT("00"&amp;HOUR(Sync!$AH771),2)&amp;RIGHT("00"&amp;MINUTE(Sync!$AH771),2),IFERROR(RIGHT("00"&amp;VALUE(LEFT(Sync!$AH771,FIND(":",Sync!$AH771)-1)),2)&amp;RIGHT("00"&amp;VALUE(MID(Sync!$AH771,FIND(":",Sync!$AH771)+1,2)),2),"0000"))))</f>
        <v/>
      </c>
    </row>
    <row r="772">
      <c r="A772">
        <f>IF(OR(Calc!$E775="",Calc!$E775="نامعتبر",Calc!$G775="",Calc!$I775&lt;&gt;"خرید"),"",Calc!$G775)</f>
        <v/>
      </c>
      <c r="B772">
        <f>IF($A772="","",LEFT(Calc!$E775,4)&amp;MID(Calc!$E775,6,2)&amp;RIGHT(Calc!$E775,2)&amp;Calc!$R775&amp;"|"&amp;"1"&amp;RIGHT("00000"&amp;767,5))</f>
        <v/>
      </c>
      <c r="C772">
        <f>IF($B772="","",COUNTIFS(LdgPartyA,$A772,LdgKeyA,"&lt;"&amp;$B772)+COUNTIFS(LdgPartyB,$A772,LdgKeyB,"&lt;"&amp;$B772)+1)</f>
        <v/>
      </c>
      <c r="D772">
        <f>IF($C772="","",$A772&amp;"|"&amp;RIGHT("000000"&amp;$C772,6))</f>
        <v/>
      </c>
      <c r="F772">
        <f>IF(Sync!$AJ772="","",Sync!$AJ772)</f>
        <v/>
      </c>
      <c r="G772">
        <f>IF($F772="","",IF(Sync!$AG772="","",IF(ISNUMBER(Sync!$AG772),IF(AND(Sync!$AG772&gt;=10000101,Sync!$AG772&lt;=99991231),INT(Sync!$AG772/10000),""),IFERROR(VALUE(TRIM(LEFT(Sync!$AG772,FIND("/",Sync!$AG772)-1))),""))))</f>
        <v/>
      </c>
      <c r="H772">
        <f>IF(OR($F772="",$G772=""),"",IF(ISNUMBER(Sync!$AG772),INT(MOD(Sync!$AG772,10000)/100),IFERROR(VALUE(TRIM(LEFT(MID(Sync!$AG772,FIND("/",Sync!$AG772)+1,20),FIND("/",MID(Sync!$AG772,FIND("/",Sync!$AG772)+1,20))-1))),"")))</f>
        <v/>
      </c>
      <c r="I772">
        <f>IF(OR($F772="",$G772=""),"",IF(ISNUMBER(Sync!$AG772),MOD(Sync!$AG772,100),IFERROR(VALUE(TRIM(MID(MID(Sync!$AG772,FIND("/",Sync!$AG772)+1,20),FIND("/",MID(Sync!$AG772,FIND("/",Sync!$AG772)+1,20))+1,20))),"")))</f>
        <v/>
      </c>
      <c r="J772">
        <f>IF($F772="","",IF(OR($G772="",$H772="",$I772="",$G772&lt;1300,$G772&gt;1500,$H772&lt;1,$H772&gt;12,$I772&lt;1,$I772&gt;31),"نامعتبر",RIGHT("0000"&amp;$G772,4)&amp;"/"&amp;RIGHT("00"&amp;$H772,2)&amp;"/"&amp;RIGHT("00"&amp;$I772,2)))</f>
        <v/>
      </c>
      <c r="K772">
        <f>IF(OR($F772="",$J772="",$J772="نامعتبر"),"",LEFT($J772,4)&amp;MID($J772,6,2)&amp;RIGHT($J772,2)&amp;$N772&amp;"|"&amp;"2"&amp;RIGHT("00000"&amp;767,5))</f>
        <v/>
      </c>
      <c r="L772">
        <f>IF($K772="","",COUNTIFS(LdgPartyA,$F772,LdgKeyA,"&lt;"&amp;$K772)+COUNTIFS(LdgPartyB,$F772,LdgKeyB,"&lt;"&amp;$K772)+1)</f>
        <v/>
      </c>
      <c r="M772">
        <f>IF($L772="","",$F772&amp;"|"&amp;RIGHT("000000"&amp;$L772,6))</f>
        <v/>
      </c>
      <c r="N772">
        <f>IF($F772="","",IF(Sync!$AH772="","0000",IF(AND(ISNUMBER(Sync!$AH772),Sync!$AH772&gt;=0,Sync!$AH772&lt;1),RIGHT("00"&amp;HOUR(Sync!$AH772),2)&amp;RIGHT("00"&amp;MINUTE(Sync!$AH772),2),IFERROR(RIGHT("00"&amp;VALUE(LEFT(Sync!$AH772,FIND(":",Sync!$AH772)-1)),2)&amp;RIGHT("00"&amp;VALUE(MID(Sync!$AH772,FIND(":",Sync!$AH772)+1,2)),2),"0000"))))</f>
        <v/>
      </c>
    </row>
    <row r="773">
      <c r="A773">
        <f>IF(OR(Calc!$E776="",Calc!$E776="نامعتبر",Calc!$G776="",Calc!$I776&lt;&gt;"خرید"),"",Calc!$G776)</f>
        <v/>
      </c>
      <c r="B773">
        <f>IF($A773="","",LEFT(Calc!$E776,4)&amp;MID(Calc!$E776,6,2)&amp;RIGHT(Calc!$E776,2)&amp;Calc!$R776&amp;"|"&amp;"1"&amp;RIGHT("00000"&amp;768,5))</f>
        <v/>
      </c>
      <c r="C773">
        <f>IF($B773="","",COUNTIFS(LdgPartyA,$A773,LdgKeyA,"&lt;"&amp;$B773)+COUNTIFS(LdgPartyB,$A773,LdgKeyB,"&lt;"&amp;$B773)+1)</f>
        <v/>
      </c>
      <c r="D773">
        <f>IF($C773="","",$A773&amp;"|"&amp;RIGHT("000000"&amp;$C773,6))</f>
        <v/>
      </c>
      <c r="F773">
        <f>IF(Sync!$AJ773="","",Sync!$AJ773)</f>
        <v/>
      </c>
      <c r="G773">
        <f>IF($F773="","",IF(Sync!$AG773="","",IF(ISNUMBER(Sync!$AG773),IF(AND(Sync!$AG773&gt;=10000101,Sync!$AG773&lt;=99991231),INT(Sync!$AG773/10000),""),IFERROR(VALUE(TRIM(LEFT(Sync!$AG773,FIND("/",Sync!$AG773)-1))),""))))</f>
        <v/>
      </c>
      <c r="H773">
        <f>IF(OR($F773="",$G773=""),"",IF(ISNUMBER(Sync!$AG773),INT(MOD(Sync!$AG773,10000)/100),IFERROR(VALUE(TRIM(LEFT(MID(Sync!$AG773,FIND("/",Sync!$AG773)+1,20),FIND("/",MID(Sync!$AG773,FIND("/",Sync!$AG773)+1,20))-1))),"")))</f>
        <v/>
      </c>
      <c r="I773">
        <f>IF(OR($F773="",$G773=""),"",IF(ISNUMBER(Sync!$AG773),MOD(Sync!$AG773,100),IFERROR(VALUE(TRIM(MID(MID(Sync!$AG773,FIND("/",Sync!$AG773)+1,20),FIND("/",MID(Sync!$AG773,FIND("/",Sync!$AG773)+1,20))+1,20))),"")))</f>
        <v/>
      </c>
      <c r="J773">
        <f>IF($F773="","",IF(OR($G773="",$H773="",$I773="",$G773&lt;1300,$G773&gt;1500,$H773&lt;1,$H773&gt;12,$I773&lt;1,$I773&gt;31),"نامعتبر",RIGHT("0000"&amp;$G773,4)&amp;"/"&amp;RIGHT("00"&amp;$H773,2)&amp;"/"&amp;RIGHT("00"&amp;$I773,2)))</f>
        <v/>
      </c>
      <c r="K773">
        <f>IF(OR($F773="",$J773="",$J773="نامعتبر"),"",LEFT($J773,4)&amp;MID($J773,6,2)&amp;RIGHT($J773,2)&amp;$N773&amp;"|"&amp;"2"&amp;RIGHT("00000"&amp;768,5))</f>
        <v/>
      </c>
      <c r="L773">
        <f>IF($K773="","",COUNTIFS(LdgPartyA,$F773,LdgKeyA,"&lt;"&amp;$K773)+COUNTIFS(LdgPartyB,$F773,LdgKeyB,"&lt;"&amp;$K773)+1)</f>
        <v/>
      </c>
      <c r="M773">
        <f>IF($L773="","",$F773&amp;"|"&amp;RIGHT("000000"&amp;$L773,6))</f>
        <v/>
      </c>
      <c r="N773">
        <f>IF($F773="","",IF(Sync!$AH773="","0000",IF(AND(ISNUMBER(Sync!$AH773),Sync!$AH773&gt;=0,Sync!$AH773&lt;1),RIGHT("00"&amp;HOUR(Sync!$AH773),2)&amp;RIGHT("00"&amp;MINUTE(Sync!$AH773),2),IFERROR(RIGHT("00"&amp;VALUE(LEFT(Sync!$AH773,FIND(":",Sync!$AH773)-1)),2)&amp;RIGHT("00"&amp;VALUE(MID(Sync!$AH773,FIND(":",Sync!$AH773)+1,2)),2),"0000"))))</f>
        <v/>
      </c>
    </row>
    <row r="774">
      <c r="A774">
        <f>IF(OR(Calc!$E777="",Calc!$E777="نامعتبر",Calc!$G777="",Calc!$I777&lt;&gt;"خرید"),"",Calc!$G777)</f>
        <v/>
      </c>
      <c r="B774">
        <f>IF($A774="","",LEFT(Calc!$E777,4)&amp;MID(Calc!$E777,6,2)&amp;RIGHT(Calc!$E777,2)&amp;Calc!$R777&amp;"|"&amp;"1"&amp;RIGHT("00000"&amp;769,5))</f>
        <v/>
      </c>
      <c r="C774">
        <f>IF($B774="","",COUNTIFS(LdgPartyA,$A774,LdgKeyA,"&lt;"&amp;$B774)+COUNTIFS(LdgPartyB,$A774,LdgKeyB,"&lt;"&amp;$B774)+1)</f>
        <v/>
      </c>
      <c r="D774">
        <f>IF($C774="","",$A774&amp;"|"&amp;RIGHT("000000"&amp;$C774,6))</f>
        <v/>
      </c>
      <c r="F774">
        <f>IF(Sync!$AJ774="","",Sync!$AJ774)</f>
        <v/>
      </c>
      <c r="G774">
        <f>IF($F774="","",IF(Sync!$AG774="","",IF(ISNUMBER(Sync!$AG774),IF(AND(Sync!$AG774&gt;=10000101,Sync!$AG774&lt;=99991231),INT(Sync!$AG774/10000),""),IFERROR(VALUE(TRIM(LEFT(Sync!$AG774,FIND("/",Sync!$AG774)-1))),""))))</f>
        <v/>
      </c>
      <c r="H774">
        <f>IF(OR($F774="",$G774=""),"",IF(ISNUMBER(Sync!$AG774),INT(MOD(Sync!$AG774,10000)/100),IFERROR(VALUE(TRIM(LEFT(MID(Sync!$AG774,FIND("/",Sync!$AG774)+1,20),FIND("/",MID(Sync!$AG774,FIND("/",Sync!$AG774)+1,20))-1))),"")))</f>
        <v/>
      </c>
      <c r="I774">
        <f>IF(OR($F774="",$G774=""),"",IF(ISNUMBER(Sync!$AG774),MOD(Sync!$AG774,100),IFERROR(VALUE(TRIM(MID(MID(Sync!$AG774,FIND("/",Sync!$AG774)+1,20),FIND("/",MID(Sync!$AG774,FIND("/",Sync!$AG774)+1,20))+1,20))),"")))</f>
        <v/>
      </c>
      <c r="J774">
        <f>IF($F774="","",IF(OR($G774="",$H774="",$I774="",$G774&lt;1300,$G774&gt;1500,$H774&lt;1,$H774&gt;12,$I774&lt;1,$I774&gt;31),"نامعتبر",RIGHT("0000"&amp;$G774,4)&amp;"/"&amp;RIGHT("00"&amp;$H774,2)&amp;"/"&amp;RIGHT("00"&amp;$I774,2)))</f>
        <v/>
      </c>
      <c r="K774">
        <f>IF(OR($F774="",$J774="",$J774="نامعتبر"),"",LEFT($J774,4)&amp;MID($J774,6,2)&amp;RIGHT($J774,2)&amp;$N774&amp;"|"&amp;"2"&amp;RIGHT("00000"&amp;769,5))</f>
        <v/>
      </c>
      <c r="L774">
        <f>IF($K774="","",COUNTIFS(LdgPartyA,$F774,LdgKeyA,"&lt;"&amp;$K774)+COUNTIFS(LdgPartyB,$F774,LdgKeyB,"&lt;"&amp;$K774)+1)</f>
        <v/>
      </c>
      <c r="M774">
        <f>IF($L774="","",$F774&amp;"|"&amp;RIGHT("000000"&amp;$L774,6))</f>
        <v/>
      </c>
      <c r="N774">
        <f>IF($F774="","",IF(Sync!$AH774="","0000",IF(AND(ISNUMBER(Sync!$AH774),Sync!$AH774&gt;=0,Sync!$AH774&lt;1),RIGHT("00"&amp;HOUR(Sync!$AH774),2)&amp;RIGHT("00"&amp;MINUTE(Sync!$AH774),2),IFERROR(RIGHT("00"&amp;VALUE(LEFT(Sync!$AH774,FIND(":",Sync!$AH774)-1)),2)&amp;RIGHT("00"&amp;VALUE(MID(Sync!$AH774,FIND(":",Sync!$AH774)+1,2)),2),"0000"))))</f>
        <v/>
      </c>
    </row>
    <row r="775">
      <c r="A775">
        <f>IF(OR(Calc!$E778="",Calc!$E778="نامعتبر",Calc!$G778="",Calc!$I778&lt;&gt;"خرید"),"",Calc!$G778)</f>
        <v/>
      </c>
      <c r="B775">
        <f>IF($A775="","",LEFT(Calc!$E778,4)&amp;MID(Calc!$E778,6,2)&amp;RIGHT(Calc!$E778,2)&amp;Calc!$R778&amp;"|"&amp;"1"&amp;RIGHT("00000"&amp;770,5))</f>
        <v/>
      </c>
      <c r="C775">
        <f>IF($B775="","",COUNTIFS(LdgPartyA,$A775,LdgKeyA,"&lt;"&amp;$B775)+COUNTIFS(LdgPartyB,$A775,LdgKeyB,"&lt;"&amp;$B775)+1)</f>
        <v/>
      </c>
      <c r="D775">
        <f>IF($C775="","",$A775&amp;"|"&amp;RIGHT("000000"&amp;$C775,6))</f>
        <v/>
      </c>
      <c r="F775">
        <f>IF(Sync!$AJ775="","",Sync!$AJ775)</f>
        <v/>
      </c>
      <c r="G775">
        <f>IF($F775="","",IF(Sync!$AG775="","",IF(ISNUMBER(Sync!$AG775),IF(AND(Sync!$AG775&gt;=10000101,Sync!$AG775&lt;=99991231),INT(Sync!$AG775/10000),""),IFERROR(VALUE(TRIM(LEFT(Sync!$AG775,FIND("/",Sync!$AG775)-1))),""))))</f>
        <v/>
      </c>
      <c r="H775">
        <f>IF(OR($F775="",$G775=""),"",IF(ISNUMBER(Sync!$AG775),INT(MOD(Sync!$AG775,10000)/100),IFERROR(VALUE(TRIM(LEFT(MID(Sync!$AG775,FIND("/",Sync!$AG775)+1,20),FIND("/",MID(Sync!$AG775,FIND("/",Sync!$AG775)+1,20))-1))),"")))</f>
        <v/>
      </c>
      <c r="I775">
        <f>IF(OR($F775="",$G775=""),"",IF(ISNUMBER(Sync!$AG775),MOD(Sync!$AG775,100),IFERROR(VALUE(TRIM(MID(MID(Sync!$AG775,FIND("/",Sync!$AG775)+1,20),FIND("/",MID(Sync!$AG775,FIND("/",Sync!$AG775)+1,20))+1,20))),"")))</f>
        <v/>
      </c>
      <c r="J775">
        <f>IF($F775="","",IF(OR($G775="",$H775="",$I775="",$G775&lt;1300,$G775&gt;1500,$H775&lt;1,$H775&gt;12,$I775&lt;1,$I775&gt;31),"نامعتبر",RIGHT("0000"&amp;$G775,4)&amp;"/"&amp;RIGHT("00"&amp;$H775,2)&amp;"/"&amp;RIGHT("00"&amp;$I775,2)))</f>
        <v/>
      </c>
      <c r="K775">
        <f>IF(OR($F775="",$J775="",$J775="نامعتبر"),"",LEFT($J775,4)&amp;MID($J775,6,2)&amp;RIGHT($J775,2)&amp;$N775&amp;"|"&amp;"2"&amp;RIGHT("00000"&amp;770,5))</f>
        <v/>
      </c>
      <c r="L775">
        <f>IF($K775="","",COUNTIFS(LdgPartyA,$F775,LdgKeyA,"&lt;"&amp;$K775)+COUNTIFS(LdgPartyB,$F775,LdgKeyB,"&lt;"&amp;$K775)+1)</f>
        <v/>
      </c>
      <c r="M775">
        <f>IF($L775="","",$F775&amp;"|"&amp;RIGHT("000000"&amp;$L775,6))</f>
        <v/>
      </c>
      <c r="N775">
        <f>IF($F775="","",IF(Sync!$AH775="","0000",IF(AND(ISNUMBER(Sync!$AH775),Sync!$AH775&gt;=0,Sync!$AH775&lt;1),RIGHT("00"&amp;HOUR(Sync!$AH775),2)&amp;RIGHT("00"&amp;MINUTE(Sync!$AH775),2),IFERROR(RIGHT("00"&amp;VALUE(LEFT(Sync!$AH775,FIND(":",Sync!$AH775)-1)),2)&amp;RIGHT("00"&amp;VALUE(MID(Sync!$AH775,FIND(":",Sync!$AH775)+1,2)),2),"0000"))))</f>
        <v/>
      </c>
    </row>
    <row r="776">
      <c r="A776">
        <f>IF(OR(Calc!$E779="",Calc!$E779="نامعتبر",Calc!$G779="",Calc!$I779&lt;&gt;"خرید"),"",Calc!$G779)</f>
        <v/>
      </c>
      <c r="B776">
        <f>IF($A776="","",LEFT(Calc!$E779,4)&amp;MID(Calc!$E779,6,2)&amp;RIGHT(Calc!$E779,2)&amp;Calc!$R779&amp;"|"&amp;"1"&amp;RIGHT("00000"&amp;771,5))</f>
        <v/>
      </c>
      <c r="C776">
        <f>IF($B776="","",COUNTIFS(LdgPartyA,$A776,LdgKeyA,"&lt;"&amp;$B776)+COUNTIFS(LdgPartyB,$A776,LdgKeyB,"&lt;"&amp;$B776)+1)</f>
        <v/>
      </c>
      <c r="D776">
        <f>IF($C776="","",$A776&amp;"|"&amp;RIGHT("000000"&amp;$C776,6))</f>
        <v/>
      </c>
      <c r="F776">
        <f>IF(Sync!$AJ776="","",Sync!$AJ776)</f>
        <v/>
      </c>
      <c r="G776">
        <f>IF($F776="","",IF(Sync!$AG776="","",IF(ISNUMBER(Sync!$AG776),IF(AND(Sync!$AG776&gt;=10000101,Sync!$AG776&lt;=99991231),INT(Sync!$AG776/10000),""),IFERROR(VALUE(TRIM(LEFT(Sync!$AG776,FIND("/",Sync!$AG776)-1))),""))))</f>
        <v/>
      </c>
      <c r="H776">
        <f>IF(OR($F776="",$G776=""),"",IF(ISNUMBER(Sync!$AG776),INT(MOD(Sync!$AG776,10000)/100),IFERROR(VALUE(TRIM(LEFT(MID(Sync!$AG776,FIND("/",Sync!$AG776)+1,20),FIND("/",MID(Sync!$AG776,FIND("/",Sync!$AG776)+1,20))-1))),"")))</f>
        <v/>
      </c>
      <c r="I776">
        <f>IF(OR($F776="",$G776=""),"",IF(ISNUMBER(Sync!$AG776),MOD(Sync!$AG776,100),IFERROR(VALUE(TRIM(MID(MID(Sync!$AG776,FIND("/",Sync!$AG776)+1,20),FIND("/",MID(Sync!$AG776,FIND("/",Sync!$AG776)+1,20))+1,20))),"")))</f>
        <v/>
      </c>
      <c r="J776">
        <f>IF($F776="","",IF(OR($G776="",$H776="",$I776="",$G776&lt;1300,$G776&gt;1500,$H776&lt;1,$H776&gt;12,$I776&lt;1,$I776&gt;31),"نامعتبر",RIGHT("0000"&amp;$G776,4)&amp;"/"&amp;RIGHT("00"&amp;$H776,2)&amp;"/"&amp;RIGHT("00"&amp;$I776,2)))</f>
        <v/>
      </c>
      <c r="K776">
        <f>IF(OR($F776="",$J776="",$J776="نامعتبر"),"",LEFT($J776,4)&amp;MID($J776,6,2)&amp;RIGHT($J776,2)&amp;$N776&amp;"|"&amp;"2"&amp;RIGHT("00000"&amp;771,5))</f>
        <v/>
      </c>
      <c r="L776">
        <f>IF($K776="","",COUNTIFS(LdgPartyA,$F776,LdgKeyA,"&lt;"&amp;$K776)+COUNTIFS(LdgPartyB,$F776,LdgKeyB,"&lt;"&amp;$K776)+1)</f>
        <v/>
      </c>
      <c r="M776">
        <f>IF($L776="","",$F776&amp;"|"&amp;RIGHT("000000"&amp;$L776,6))</f>
        <v/>
      </c>
      <c r="N776">
        <f>IF($F776="","",IF(Sync!$AH776="","0000",IF(AND(ISNUMBER(Sync!$AH776),Sync!$AH776&gt;=0,Sync!$AH776&lt;1),RIGHT("00"&amp;HOUR(Sync!$AH776),2)&amp;RIGHT("00"&amp;MINUTE(Sync!$AH776),2),IFERROR(RIGHT("00"&amp;VALUE(LEFT(Sync!$AH776,FIND(":",Sync!$AH776)-1)),2)&amp;RIGHT("00"&amp;VALUE(MID(Sync!$AH776,FIND(":",Sync!$AH776)+1,2)),2),"0000"))))</f>
        <v/>
      </c>
    </row>
    <row r="777">
      <c r="A777">
        <f>IF(OR(Calc!$E780="",Calc!$E780="نامعتبر",Calc!$G780="",Calc!$I780&lt;&gt;"خرید"),"",Calc!$G780)</f>
        <v/>
      </c>
      <c r="B777">
        <f>IF($A777="","",LEFT(Calc!$E780,4)&amp;MID(Calc!$E780,6,2)&amp;RIGHT(Calc!$E780,2)&amp;Calc!$R780&amp;"|"&amp;"1"&amp;RIGHT("00000"&amp;772,5))</f>
        <v/>
      </c>
      <c r="C777">
        <f>IF($B777="","",COUNTIFS(LdgPartyA,$A777,LdgKeyA,"&lt;"&amp;$B777)+COUNTIFS(LdgPartyB,$A777,LdgKeyB,"&lt;"&amp;$B777)+1)</f>
        <v/>
      </c>
      <c r="D777">
        <f>IF($C777="","",$A777&amp;"|"&amp;RIGHT("000000"&amp;$C777,6))</f>
        <v/>
      </c>
      <c r="F777">
        <f>IF(Sync!$AJ777="","",Sync!$AJ777)</f>
        <v/>
      </c>
      <c r="G777">
        <f>IF($F777="","",IF(Sync!$AG777="","",IF(ISNUMBER(Sync!$AG777),IF(AND(Sync!$AG777&gt;=10000101,Sync!$AG777&lt;=99991231),INT(Sync!$AG777/10000),""),IFERROR(VALUE(TRIM(LEFT(Sync!$AG777,FIND("/",Sync!$AG777)-1))),""))))</f>
        <v/>
      </c>
      <c r="H777">
        <f>IF(OR($F777="",$G777=""),"",IF(ISNUMBER(Sync!$AG777),INT(MOD(Sync!$AG777,10000)/100),IFERROR(VALUE(TRIM(LEFT(MID(Sync!$AG777,FIND("/",Sync!$AG777)+1,20),FIND("/",MID(Sync!$AG777,FIND("/",Sync!$AG777)+1,20))-1))),"")))</f>
        <v/>
      </c>
      <c r="I777">
        <f>IF(OR($F777="",$G777=""),"",IF(ISNUMBER(Sync!$AG777),MOD(Sync!$AG777,100),IFERROR(VALUE(TRIM(MID(MID(Sync!$AG777,FIND("/",Sync!$AG777)+1,20),FIND("/",MID(Sync!$AG777,FIND("/",Sync!$AG777)+1,20))+1,20))),"")))</f>
        <v/>
      </c>
      <c r="J777">
        <f>IF($F777="","",IF(OR($G777="",$H777="",$I777="",$G777&lt;1300,$G777&gt;1500,$H777&lt;1,$H777&gt;12,$I777&lt;1,$I777&gt;31),"نامعتبر",RIGHT("0000"&amp;$G777,4)&amp;"/"&amp;RIGHT("00"&amp;$H777,2)&amp;"/"&amp;RIGHT("00"&amp;$I777,2)))</f>
        <v/>
      </c>
      <c r="K777">
        <f>IF(OR($F777="",$J777="",$J777="نامعتبر"),"",LEFT($J777,4)&amp;MID($J777,6,2)&amp;RIGHT($J777,2)&amp;$N777&amp;"|"&amp;"2"&amp;RIGHT("00000"&amp;772,5))</f>
        <v/>
      </c>
      <c r="L777">
        <f>IF($K777="","",COUNTIFS(LdgPartyA,$F777,LdgKeyA,"&lt;"&amp;$K777)+COUNTIFS(LdgPartyB,$F777,LdgKeyB,"&lt;"&amp;$K777)+1)</f>
        <v/>
      </c>
      <c r="M777">
        <f>IF($L777="","",$F777&amp;"|"&amp;RIGHT("000000"&amp;$L777,6))</f>
        <v/>
      </c>
      <c r="N777">
        <f>IF($F777="","",IF(Sync!$AH777="","0000",IF(AND(ISNUMBER(Sync!$AH777),Sync!$AH777&gt;=0,Sync!$AH777&lt;1),RIGHT("00"&amp;HOUR(Sync!$AH777),2)&amp;RIGHT("00"&amp;MINUTE(Sync!$AH777),2),IFERROR(RIGHT("00"&amp;VALUE(LEFT(Sync!$AH777,FIND(":",Sync!$AH777)-1)),2)&amp;RIGHT("00"&amp;VALUE(MID(Sync!$AH777,FIND(":",Sync!$AH777)+1,2)),2),"0000"))))</f>
        <v/>
      </c>
    </row>
    <row r="778">
      <c r="A778">
        <f>IF(OR(Calc!$E781="",Calc!$E781="نامعتبر",Calc!$G781="",Calc!$I781&lt;&gt;"خرید"),"",Calc!$G781)</f>
        <v/>
      </c>
      <c r="B778">
        <f>IF($A778="","",LEFT(Calc!$E781,4)&amp;MID(Calc!$E781,6,2)&amp;RIGHT(Calc!$E781,2)&amp;Calc!$R781&amp;"|"&amp;"1"&amp;RIGHT("00000"&amp;773,5))</f>
        <v/>
      </c>
      <c r="C778">
        <f>IF($B778="","",COUNTIFS(LdgPartyA,$A778,LdgKeyA,"&lt;"&amp;$B778)+COUNTIFS(LdgPartyB,$A778,LdgKeyB,"&lt;"&amp;$B778)+1)</f>
        <v/>
      </c>
      <c r="D778">
        <f>IF($C778="","",$A778&amp;"|"&amp;RIGHT("000000"&amp;$C778,6))</f>
        <v/>
      </c>
      <c r="F778">
        <f>IF(Sync!$AJ778="","",Sync!$AJ778)</f>
        <v/>
      </c>
      <c r="G778">
        <f>IF($F778="","",IF(Sync!$AG778="","",IF(ISNUMBER(Sync!$AG778),IF(AND(Sync!$AG778&gt;=10000101,Sync!$AG778&lt;=99991231),INT(Sync!$AG778/10000),""),IFERROR(VALUE(TRIM(LEFT(Sync!$AG778,FIND("/",Sync!$AG778)-1))),""))))</f>
        <v/>
      </c>
      <c r="H778">
        <f>IF(OR($F778="",$G778=""),"",IF(ISNUMBER(Sync!$AG778),INT(MOD(Sync!$AG778,10000)/100),IFERROR(VALUE(TRIM(LEFT(MID(Sync!$AG778,FIND("/",Sync!$AG778)+1,20),FIND("/",MID(Sync!$AG778,FIND("/",Sync!$AG778)+1,20))-1))),"")))</f>
        <v/>
      </c>
      <c r="I778">
        <f>IF(OR($F778="",$G778=""),"",IF(ISNUMBER(Sync!$AG778),MOD(Sync!$AG778,100),IFERROR(VALUE(TRIM(MID(MID(Sync!$AG778,FIND("/",Sync!$AG778)+1,20),FIND("/",MID(Sync!$AG778,FIND("/",Sync!$AG778)+1,20))+1,20))),"")))</f>
        <v/>
      </c>
      <c r="J778">
        <f>IF($F778="","",IF(OR($G778="",$H778="",$I778="",$G778&lt;1300,$G778&gt;1500,$H778&lt;1,$H778&gt;12,$I778&lt;1,$I778&gt;31),"نامعتبر",RIGHT("0000"&amp;$G778,4)&amp;"/"&amp;RIGHT("00"&amp;$H778,2)&amp;"/"&amp;RIGHT("00"&amp;$I778,2)))</f>
        <v/>
      </c>
      <c r="K778">
        <f>IF(OR($F778="",$J778="",$J778="نامعتبر"),"",LEFT($J778,4)&amp;MID($J778,6,2)&amp;RIGHT($J778,2)&amp;$N778&amp;"|"&amp;"2"&amp;RIGHT("00000"&amp;773,5))</f>
        <v/>
      </c>
      <c r="L778">
        <f>IF($K778="","",COUNTIFS(LdgPartyA,$F778,LdgKeyA,"&lt;"&amp;$K778)+COUNTIFS(LdgPartyB,$F778,LdgKeyB,"&lt;"&amp;$K778)+1)</f>
        <v/>
      </c>
      <c r="M778">
        <f>IF($L778="","",$F778&amp;"|"&amp;RIGHT("000000"&amp;$L778,6))</f>
        <v/>
      </c>
      <c r="N778">
        <f>IF($F778="","",IF(Sync!$AH778="","0000",IF(AND(ISNUMBER(Sync!$AH778),Sync!$AH778&gt;=0,Sync!$AH778&lt;1),RIGHT("00"&amp;HOUR(Sync!$AH778),2)&amp;RIGHT("00"&amp;MINUTE(Sync!$AH778),2),IFERROR(RIGHT("00"&amp;VALUE(LEFT(Sync!$AH778,FIND(":",Sync!$AH778)-1)),2)&amp;RIGHT("00"&amp;VALUE(MID(Sync!$AH778,FIND(":",Sync!$AH778)+1,2)),2),"0000"))))</f>
        <v/>
      </c>
    </row>
    <row r="779">
      <c r="A779">
        <f>IF(OR(Calc!$E782="",Calc!$E782="نامعتبر",Calc!$G782="",Calc!$I782&lt;&gt;"خرید"),"",Calc!$G782)</f>
        <v/>
      </c>
      <c r="B779">
        <f>IF($A779="","",LEFT(Calc!$E782,4)&amp;MID(Calc!$E782,6,2)&amp;RIGHT(Calc!$E782,2)&amp;Calc!$R782&amp;"|"&amp;"1"&amp;RIGHT("00000"&amp;774,5))</f>
        <v/>
      </c>
      <c r="C779">
        <f>IF($B779="","",COUNTIFS(LdgPartyA,$A779,LdgKeyA,"&lt;"&amp;$B779)+COUNTIFS(LdgPartyB,$A779,LdgKeyB,"&lt;"&amp;$B779)+1)</f>
        <v/>
      </c>
      <c r="D779">
        <f>IF($C779="","",$A779&amp;"|"&amp;RIGHT("000000"&amp;$C779,6))</f>
        <v/>
      </c>
      <c r="F779">
        <f>IF(Sync!$AJ779="","",Sync!$AJ779)</f>
        <v/>
      </c>
      <c r="G779">
        <f>IF($F779="","",IF(Sync!$AG779="","",IF(ISNUMBER(Sync!$AG779),IF(AND(Sync!$AG779&gt;=10000101,Sync!$AG779&lt;=99991231),INT(Sync!$AG779/10000),""),IFERROR(VALUE(TRIM(LEFT(Sync!$AG779,FIND("/",Sync!$AG779)-1))),""))))</f>
        <v/>
      </c>
      <c r="H779">
        <f>IF(OR($F779="",$G779=""),"",IF(ISNUMBER(Sync!$AG779),INT(MOD(Sync!$AG779,10000)/100),IFERROR(VALUE(TRIM(LEFT(MID(Sync!$AG779,FIND("/",Sync!$AG779)+1,20),FIND("/",MID(Sync!$AG779,FIND("/",Sync!$AG779)+1,20))-1))),"")))</f>
        <v/>
      </c>
      <c r="I779">
        <f>IF(OR($F779="",$G779=""),"",IF(ISNUMBER(Sync!$AG779),MOD(Sync!$AG779,100),IFERROR(VALUE(TRIM(MID(MID(Sync!$AG779,FIND("/",Sync!$AG779)+1,20),FIND("/",MID(Sync!$AG779,FIND("/",Sync!$AG779)+1,20))+1,20))),"")))</f>
        <v/>
      </c>
      <c r="J779">
        <f>IF($F779="","",IF(OR($G779="",$H779="",$I779="",$G779&lt;1300,$G779&gt;1500,$H779&lt;1,$H779&gt;12,$I779&lt;1,$I779&gt;31),"نامعتبر",RIGHT("0000"&amp;$G779,4)&amp;"/"&amp;RIGHT("00"&amp;$H779,2)&amp;"/"&amp;RIGHT("00"&amp;$I779,2)))</f>
        <v/>
      </c>
      <c r="K779">
        <f>IF(OR($F779="",$J779="",$J779="نامعتبر"),"",LEFT($J779,4)&amp;MID($J779,6,2)&amp;RIGHT($J779,2)&amp;$N779&amp;"|"&amp;"2"&amp;RIGHT("00000"&amp;774,5))</f>
        <v/>
      </c>
      <c r="L779">
        <f>IF($K779="","",COUNTIFS(LdgPartyA,$F779,LdgKeyA,"&lt;"&amp;$K779)+COUNTIFS(LdgPartyB,$F779,LdgKeyB,"&lt;"&amp;$K779)+1)</f>
        <v/>
      </c>
      <c r="M779">
        <f>IF($L779="","",$F779&amp;"|"&amp;RIGHT("000000"&amp;$L779,6))</f>
        <v/>
      </c>
      <c r="N779">
        <f>IF($F779="","",IF(Sync!$AH779="","0000",IF(AND(ISNUMBER(Sync!$AH779),Sync!$AH779&gt;=0,Sync!$AH779&lt;1),RIGHT("00"&amp;HOUR(Sync!$AH779),2)&amp;RIGHT("00"&amp;MINUTE(Sync!$AH779),2),IFERROR(RIGHT("00"&amp;VALUE(LEFT(Sync!$AH779,FIND(":",Sync!$AH779)-1)),2)&amp;RIGHT("00"&amp;VALUE(MID(Sync!$AH779,FIND(":",Sync!$AH779)+1,2)),2),"0000"))))</f>
        <v/>
      </c>
    </row>
    <row r="780">
      <c r="A780">
        <f>IF(OR(Calc!$E783="",Calc!$E783="نامعتبر",Calc!$G783="",Calc!$I783&lt;&gt;"خرید"),"",Calc!$G783)</f>
        <v/>
      </c>
      <c r="B780">
        <f>IF($A780="","",LEFT(Calc!$E783,4)&amp;MID(Calc!$E783,6,2)&amp;RIGHT(Calc!$E783,2)&amp;Calc!$R783&amp;"|"&amp;"1"&amp;RIGHT("00000"&amp;775,5))</f>
        <v/>
      </c>
      <c r="C780">
        <f>IF($B780="","",COUNTIFS(LdgPartyA,$A780,LdgKeyA,"&lt;"&amp;$B780)+COUNTIFS(LdgPartyB,$A780,LdgKeyB,"&lt;"&amp;$B780)+1)</f>
        <v/>
      </c>
      <c r="D780">
        <f>IF($C780="","",$A780&amp;"|"&amp;RIGHT("000000"&amp;$C780,6))</f>
        <v/>
      </c>
      <c r="F780">
        <f>IF(Sync!$AJ780="","",Sync!$AJ780)</f>
        <v/>
      </c>
      <c r="G780">
        <f>IF($F780="","",IF(Sync!$AG780="","",IF(ISNUMBER(Sync!$AG780),IF(AND(Sync!$AG780&gt;=10000101,Sync!$AG780&lt;=99991231),INT(Sync!$AG780/10000),""),IFERROR(VALUE(TRIM(LEFT(Sync!$AG780,FIND("/",Sync!$AG780)-1))),""))))</f>
        <v/>
      </c>
      <c r="H780">
        <f>IF(OR($F780="",$G780=""),"",IF(ISNUMBER(Sync!$AG780),INT(MOD(Sync!$AG780,10000)/100),IFERROR(VALUE(TRIM(LEFT(MID(Sync!$AG780,FIND("/",Sync!$AG780)+1,20),FIND("/",MID(Sync!$AG780,FIND("/",Sync!$AG780)+1,20))-1))),"")))</f>
        <v/>
      </c>
      <c r="I780">
        <f>IF(OR($F780="",$G780=""),"",IF(ISNUMBER(Sync!$AG780),MOD(Sync!$AG780,100),IFERROR(VALUE(TRIM(MID(MID(Sync!$AG780,FIND("/",Sync!$AG780)+1,20),FIND("/",MID(Sync!$AG780,FIND("/",Sync!$AG780)+1,20))+1,20))),"")))</f>
        <v/>
      </c>
      <c r="J780">
        <f>IF($F780="","",IF(OR($G780="",$H780="",$I780="",$G780&lt;1300,$G780&gt;1500,$H780&lt;1,$H780&gt;12,$I780&lt;1,$I780&gt;31),"نامعتبر",RIGHT("0000"&amp;$G780,4)&amp;"/"&amp;RIGHT("00"&amp;$H780,2)&amp;"/"&amp;RIGHT("00"&amp;$I780,2)))</f>
        <v/>
      </c>
      <c r="K780">
        <f>IF(OR($F780="",$J780="",$J780="نامعتبر"),"",LEFT($J780,4)&amp;MID($J780,6,2)&amp;RIGHT($J780,2)&amp;$N780&amp;"|"&amp;"2"&amp;RIGHT("00000"&amp;775,5))</f>
        <v/>
      </c>
      <c r="L780">
        <f>IF($K780="","",COUNTIFS(LdgPartyA,$F780,LdgKeyA,"&lt;"&amp;$K780)+COUNTIFS(LdgPartyB,$F780,LdgKeyB,"&lt;"&amp;$K780)+1)</f>
        <v/>
      </c>
      <c r="M780">
        <f>IF($L780="","",$F780&amp;"|"&amp;RIGHT("000000"&amp;$L780,6))</f>
        <v/>
      </c>
      <c r="N780">
        <f>IF($F780="","",IF(Sync!$AH780="","0000",IF(AND(ISNUMBER(Sync!$AH780),Sync!$AH780&gt;=0,Sync!$AH780&lt;1),RIGHT("00"&amp;HOUR(Sync!$AH780),2)&amp;RIGHT("00"&amp;MINUTE(Sync!$AH780),2),IFERROR(RIGHT("00"&amp;VALUE(LEFT(Sync!$AH780,FIND(":",Sync!$AH780)-1)),2)&amp;RIGHT("00"&amp;VALUE(MID(Sync!$AH780,FIND(":",Sync!$AH780)+1,2)),2),"0000"))))</f>
        <v/>
      </c>
    </row>
    <row r="781">
      <c r="A781">
        <f>IF(OR(Calc!$E784="",Calc!$E784="نامعتبر",Calc!$G784="",Calc!$I784&lt;&gt;"خرید"),"",Calc!$G784)</f>
        <v/>
      </c>
      <c r="B781">
        <f>IF($A781="","",LEFT(Calc!$E784,4)&amp;MID(Calc!$E784,6,2)&amp;RIGHT(Calc!$E784,2)&amp;Calc!$R784&amp;"|"&amp;"1"&amp;RIGHT("00000"&amp;776,5))</f>
        <v/>
      </c>
      <c r="C781">
        <f>IF($B781="","",COUNTIFS(LdgPartyA,$A781,LdgKeyA,"&lt;"&amp;$B781)+COUNTIFS(LdgPartyB,$A781,LdgKeyB,"&lt;"&amp;$B781)+1)</f>
        <v/>
      </c>
      <c r="D781">
        <f>IF($C781="","",$A781&amp;"|"&amp;RIGHT("000000"&amp;$C781,6))</f>
        <v/>
      </c>
      <c r="F781">
        <f>IF(Sync!$AJ781="","",Sync!$AJ781)</f>
        <v/>
      </c>
      <c r="G781">
        <f>IF($F781="","",IF(Sync!$AG781="","",IF(ISNUMBER(Sync!$AG781),IF(AND(Sync!$AG781&gt;=10000101,Sync!$AG781&lt;=99991231),INT(Sync!$AG781/10000),""),IFERROR(VALUE(TRIM(LEFT(Sync!$AG781,FIND("/",Sync!$AG781)-1))),""))))</f>
        <v/>
      </c>
      <c r="H781">
        <f>IF(OR($F781="",$G781=""),"",IF(ISNUMBER(Sync!$AG781),INT(MOD(Sync!$AG781,10000)/100),IFERROR(VALUE(TRIM(LEFT(MID(Sync!$AG781,FIND("/",Sync!$AG781)+1,20),FIND("/",MID(Sync!$AG781,FIND("/",Sync!$AG781)+1,20))-1))),"")))</f>
        <v/>
      </c>
      <c r="I781">
        <f>IF(OR($F781="",$G781=""),"",IF(ISNUMBER(Sync!$AG781),MOD(Sync!$AG781,100),IFERROR(VALUE(TRIM(MID(MID(Sync!$AG781,FIND("/",Sync!$AG781)+1,20),FIND("/",MID(Sync!$AG781,FIND("/",Sync!$AG781)+1,20))+1,20))),"")))</f>
        <v/>
      </c>
      <c r="J781">
        <f>IF($F781="","",IF(OR($G781="",$H781="",$I781="",$G781&lt;1300,$G781&gt;1500,$H781&lt;1,$H781&gt;12,$I781&lt;1,$I781&gt;31),"نامعتبر",RIGHT("0000"&amp;$G781,4)&amp;"/"&amp;RIGHT("00"&amp;$H781,2)&amp;"/"&amp;RIGHT("00"&amp;$I781,2)))</f>
        <v/>
      </c>
      <c r="K781">
        <f>IF(OR($F781="",$J781="",$J781="نامعتبر"),"",LEFT($J781,4)&amp;MID($J781,6,2)&amp;RIGHT($J781,2)&amp;$N781&amp;"|"&amp;"2"&amp;RIGHT("00000"&amp;776,5))</f>
        <v/>
      </c>
      <c r="L781">
        <f>IF($K781="","",COUNTIFS(LdgPartyA,$F781,LdgKeyA,"&lt;"&amp;$K781)+COUNTIFS(LdgPartyB,$F781,LdgKeyB,"&lt;"&amp;$K781)+1)</f>
        <v/>
      </c>
      <c r="M781">
        <f>IF($L781="","",$F781&amp;"|"&amp;RIGHT("000000"&amp;$L781,6))</f>
        <v/>
      </c>
      <c r="N781">
        <f>IF($F781="","",IF(Sync!$AH781="","0000",IF(AND(ISNUMBER(Sync!$AH781),Sync!$AH781&gt;=0,Sync!$AH781&lt;1),RIGHT("00"&amp;HOUR(Sync!$AH781),2)&amp;RIGHT("00"&amp;MINUTE(Sync!$AH781),2),IFERROR(RIGHT("00"&amp;VALUE(LEFT(Sync!$AH781,FIND(":",Sync!$AH781)-1)),2)&amp;RIGHT("00"&amp;VALUE(MID(Sync!$AH781,FIND(":",Sync!$AH781)+1,2)),2),"0000"))))</f>
        <v/>
      </c>
    </row>
    <row r="782">
      <c r="A782">
        <f>IF(OR(Calc!$E785="",Calc!$E785="نامعتبر",Calc!$G785="",Calc!$I785&lt;&gt;"خرید"),"",Calc!$G785)</f>
        <v/>
      </c>
      <c r="B782">
        <f>IF($A782="","",LEFT(Calc!$E785,4)&amp;MID(Calc!$E785,6,2)&amp;RIGHT(Calc!$E785,2)&amp;Calc!$R785&amp;"|"&amp;"1"&amp;RIGHT("00000"&amp;777,5))</f>
        <v/>
      </c>
      <c r="C782">
        <f>IF($B782="","",COUNTIFS(LdgPartyA,$A782,LdgKeyA,"&lt;"&amp;$B782)+COUNTIFS(LdgPartyB,$A782,LdgKeyB,"&lt;"&amp;$B782)+1)</f>
        <v/>
      </c>
      <c r="D782">
        <f>IF($C782="","",$A782&amp;"|"&amp;RIGHT("000000"&amp;$C782,6))</f>
        <v/>
      </c>
      <c r="F782">
        <f>IF(Sync!$AJ782="","",Sync!$AJ782)</f>
        <v/>
      </c>
      <c r="G782">
        <f>IF($F782="","",IF(Sync!$AG782="","",IF(ISNUMBER(Sync!$AG782),IF(AND(Sync!$AG782&gt;=10000101,Sync!$AG782&lt;=99991231),INT(Sync!$AG782/10000),""),IFERROR(VALUE(TRIM(LEFT(Sync!$AG782,FIND("/",Sync!$AG782)-1))),""))))</f>
        <v/>
      </c>
      <c r="H782">
        <f>IF(OR($F782="",$G782=""),"",IF(ISNUMBER(Sync!$AG782),INT(MOD(Sync!$AG782,10000)/100),IFERROR(VALUE(TRIM(LEFT(MID(Sync!$AG782,FIND("/",Sync!$AG782)+1,20),FIND("/",MID(Sync!$AG782,FIND("/",Sync!$AG782)+1,20))-1))),"")))</f>
        <v/>
      </c>
      <c r="I782">
        <f>IF(OR($F782="",$G782=""),"",IF(ISNUMBER(Sync!$AG782),MOD(Sync!$AG782,100),IFERROR(VALUE(TRIM(MID(MID(Sync!$AG782,FIND("/",Sync!$AG782)+1,20),FIND("/",MID(Sync!$AG782,FIND("/",Sync!$AG782)+1,20))+1,20))),"")))</f>
        <v/>
      </c>
      <c r="J782">
        <f>IF($F782="","",IF(OR($G782="",$H782="",$I782="",$G782&lt;1300,$G782&gt;1500,$H782&lt;1,$H782&gt;12,$I782&lt;1,$I782&gt;31),"نامعتبر",RIGHT("0000"&amp;$G782,4)&amp;"/"&amp;RIGHT("00"&amp;$H782,2)&amp;"/"&amp;RIGHT("00"&amp;$I782,2)))</f>
        <v/>
      </c>
      <c r="K782">
        <f>IF(OR($F782="",$J782="",$J782="نامعتبر"),"",LEFT($J782,4)&amp;MID($J782,6,2)&amp;RIGHT($J782,2)&amp;$N782&amp;"|"&amp;"2"&amp;RIGHT("00000"&amp;777,5))</f>
        <v/>
      </c>
      <c r="L782">
        <f>IF($K782="","",COUNTIFS(LdgPartyA,$F782,LdgKeyA,"&lt;"&amp;$K782)+COUNTIFS(LdgPartyB,$F782,LdgKeyB,"&lt;"&amp;$K782)+1)</f>
        <v/>
      </c>
      <c r="M782">
        <f>IF($L782="","",$F782&amp;"|"&amp;RIGHT("000000"&amp;$L782,6))</f>
        <v/>
      </c>
      <c r="N782">
        <f>IF($F782="","",IF(Sync!$AH782="","0000",IF(AND(ISNUMBER(Sync!$AH782),Sync!$AH782&gt;=0,Sync!$AH782&lt;1),RIGHT("00"&amp;HOUR(Sync!$AH782),2)&amp;RIGHT("00"&amp;MINUTE(Sync!$AH782),2),IFERROR(RIGHT("00"&amp;VALUE(LEFT(Sync!$AH782,FIND(":",Sync!$AH782)-1)),2)&amp;RIGHT("00"&amp;VALUE(MID(Sync!$AH782,FIND(":",Sync!$AH782)+1,2)),2),"0000"))))</f>
        <v/>
      </c>
    </row>
    <row r="783">
      <c r="A783">
        <f>IF(OR(Calc!$E786="",Calc!$E786="نامعتبر",Calc!$G786="",Calc!$I786&lt;&gt;"خرید"),"",Calc!$G786)</f>
        <v/>
      </c>
      <c r="B783">
        <f>IF($A783="","",LEFT(Calc!$E786,4)&amp;MID(Calc!$E786,6,2)&amp;RIGHT(Calc!$E786,2)&amp;Calc!$R786&amp;"|"&amp;"1"&amp;RIGHT("00000"&amp;778,5))</f>
        <v/>
      </c>
      <c r="C783">
        <f>IF($B783="","",COUNTIFS(LdgPartyA,$A783,LdgKeyA,"&lt;"&amp;$B783)+COUNTIFS(LdgPartyB,$A783,LdgKeyB,"&lt;"&amp;$B783)+1)</f>
        <v/>
      </c>
      <c r="D783">
        <f>IF($C783="","",$A783&amp;"|"&amp;RIGHT("000000"&amp;$C783,6))</f>
        <v/>
      </c>
      <c r="F783">
        <f>IF(Sync!$AJ783="","",Sync!$AJ783)</f>
        <v/>
      </c>
      <c r="G783">
        <f>IF($F783="","",IF(Sync!$AG783="","",IF(ISNUMBER(Sync!$AG783),IF(AND(Sync!$AG783&gt;=10000101,Sync!$AG783&lt;=99991231),INT(Sync!$AG783/10000),""),IFERROR(VALUE(TRIM(LEFT(Sync!$AG783,FIND("/",Sync!$AG783)-1))),""))))</f>
        <v/>
      </c>
      <c r="H783">
        <f>IF(OR($F783="",$G783=""),"",IF(ISNUMBER(Sync!$AG783),INT(MOD(Sync!$AG783,10000)/100),IFERROR(VALUE(TRIM(LEFT(MID(Sync!$AG783,FIND("/",Sync!$AG783)+1,20),FIND("/",MID(Sync!$AG783,FIND("/",Sync!$AG783)+1,20))-1))),"")))</f>
        <v/>
      </c>
      <c r="I783">
        <f>IF(OR($F783="",$G783=""),"",IF(ISNUMBER(Sync!$AG783),MOD(Sync!$AG783,100),IFERROR(VALUE(TRIM(MID(MID(Sync!$AG783,FIND("/",Sync!$AG783)+1,20),FIND("/",MID(Sync!$AG783,FIND("/",Sync!$AG783)+1,20))+1,20))),"")))</f>
        <v/>
      </c>
      <c r="J783">
        <f>IF($F783="","",IF(OR($G783="",$H783="",$I783="",$G783&lt;1300,$G783&gt;1500,$H783&lt;1,$H783&gt;12,$I783&lt;1,$I783&gt;31),"نامعتبر",RIGHT("0000"&amp;$G783,4)&amp;"/"&amp;RIGHT("00"&amp;$H783,2)&amp;"/"&amp;RIGHT("00"&amp;$I783,2)))</f>
        <v/>
      </c>
      <c r="K783">
        <f>IF(OR($F783="",$J783="",$J783="نامعتبر"),"",LEFT($J783,4)&amp;MID($J783,6,2)&amp;RIGHT($J783,2)&amp;$N783&amp;"|"&amp;"2"&amp;RIGHT("00000"&amp;778,5))</f>
        <v/>
      </c>
      <c r="L783">
        <f>IF($K783="","",COUNTIFS(LdgPartyA,$F783,LdgKeyA,"&lt;"&amp;$K783)+COUNTIFS(LdgPartyB,$F783,LdgKeyB,"&lt;"&amp;$K783)+1)</f>
        <v/>
      </c>
      <c r="M783">
        <f>IF($L783="","",$F783&amp;"|"&amp;RIGHT("000000"&amp;$L783,6))</f>
        <v/>
      </c>
      <c r="N783">
        <f>IF($F783="","",IF(Sync!$AH783="","0000",IF(AND(ISNUMBER(Sync!$AH783),Sync!$AH783&gt;=0,Sync!$AH783&lt;1),RIGHT("00"&amp;HOUR(Sync!$AH783),2)&amp;RIGHT("00"&amp;MINUTE(Sync!$AH783),2),IFERROR(RIGHT("00"&amp;VALUE(LEFT(Sync!$AH783,FIND(":",Sync!$AH783)-1)),2)&amp;RIGHT("00"&amp;VALUE(MID(Sync!$AH783,FIND(":",Sync!$AH783)+1,2)),2),"0000"))))</f>
        <v/>
      </c>
    </row>
    <row r="784">
      <c r="A784">
        <f>IF(OR(Calc!$E787="",Calc!$E787="نامعتبر",Calc!$G787="",Calc!$I787&lt;&gt;"خرید"),"",Calc!$G787)</f>
        <v/>
      </c>
      <c r="B784">
        <f>IF($A784="","",LEFT(Calc!$E787,4)&amp;MID(Calc!$E787,6,2)&amp;RIGHT(Calc!$E787,2)&amp;Calc!$R787&amp;"|"&amp;"1"&amp;RIGHT("00000"&amp;779,5))</f>
        <v/>
      </c>
      <c r="C784">
        <f>IF($B784="","",COUNTIFS(LdgPartyA,$A784,LdgKeyA,"&lt;"&amp;$B784)+COUNTIFS(LdgPartyB,$A784,LdgKeyB,"&lt;"&amp;$B784)+1)</f>
        <v/>
      </c>
      <c r="D784">
        <f>IF($C784="","",$A784&amp;"|"&amp;RIGHT("000000"&amp;$C784,6))</f>
        <v/>
      </c>
      <c r="F784">
        <f>IF(Sync!$AJ784="","",Sync!$AJ784)</f>
        <v/>
      </c>
      <c r="G784">
        <f>IF($F784="","",IF(Sync!$AG784="","",IF(ISNUMBER(Sync!$AG784),IF(AND(Sync!$AG784&gt;=10000101,Sync!$AG784&lt;=99991231),INT(Sync!$AG784/10000),""),IFERROR(VALUE(TRIM(LEFT(Sync!$AG784,FIND("/",Sync!$AG784)-1))),""))))</f>
        <v/>
      </c>
      <c r="H784">
        <f>IF(OR($F784="",$G784=""),"",IF(ISNUMBER(Sync!$AG784),INT(MOD(Sync!$AG784,10000)/100),IFERROR(VALUE(TRIM(LEFT(MID(Sync!$AG784,FIND("/",Sync!$AG784)+1,20),FIND("/",MID(Sync!$AG784,FIND("/",Sync!$AG784)+1,20))-1))),"")))</f>
        <v/>
      </c>
      <c r="I784">
        <f>IF(OR($F784="",$G784=""),"",IF(ISNUMBER(Sync!$AG784),MOD(Sync!$AG784,100),IFERROR(VALUE(TRIM(MID(MID(Sync!$AG784,FIND("/",Sync!$AG784)+1,20),FIND("/",MID(Sync!$AG784,FIND("/",Sync!$AG784)+1,20))+1,20))),"")))</f>
        <v/>
      </c>
      <c r="J784">
        <f>IF($F784="","",IF(OR($G784="",$H784="",$I784="",$G784&lt;1300,$G784&gt;1500,$H784&lt;1,$H784&gt;12,$I784&lt;1,$I784&gt;31),"نامعتبر",RIGHT("0000"&amp;$G784,4)&amp;"/"&amp;RIGHT("00"&amp;$H784,2)&amp;"/"&amp;RIGHT("00"&amp;$I784,2)))</f>
        <v/>
      </c>
      <c r="K784">
        <f>IF(OR($F784="",$J784="",$J784="نامعتبر"),"",LEFT($J784,4)&amp;MID($J784,6,2)&amp;RIGHT($J784,2)&amp;$N784&amp;"|"&amp;"2"&amp;RIGHT("00000"&amp;779,5))</f>
        <v/>
      </c>
      <c r="L784">
        <f>IF($K784="","",COUNTIFS(LdgPartyA,$F784,LdgKeyA,"&lt;"&amp;$K784)+COUNTIFS(LdgPartyB,$F784,LdgKeyB,"&lt;"&amp;$K784)+1)</f>
        <v/>
      </c>
      <c r="M784">
        <f>IF($L784="","",$F784&amp;"|"&amp;RIGHT("000000"&amp;$L784,6))</f>
        <v/>
      </c>
      <c r="N784">
        <f>IF($F784="","",IF(Sync!$AH784="","0000",IF(AND(ISNUMBER(Sync!$AH784),Sync!$AH784&gt;=0,Sync!$AH784&lt;1),RIGHT("00"&amp;HOUR(Sync!$AH784),2)&amp;RIGHT("00"&amp;MINUTE(Sync!$AH784),2),IFERROR(RIGHT("00"&amp;VALUE(LEFT(Sync!$AH784,FIND(":",Sync!$AH784)-1)),2)&amp;RIGHT("00"&amp;VALUE(MID(Sync!$AH784,FIND(":",Sync!$AH784)+1,2)),2),"0000"))))</f>
        <v/>
      </c>
    </row>
    <row r="785">
      <c r="A785">
        <f>IF(OR(Calc!$E788="",Calc!$E788="نامعتبر",Calc!$G788="",Calc!$I788&lt;&gt;"خرید"),"",Calc!$G788)</f>
        <v/>
      </c>
      <c r="B785">
        <f>IF($A785="","",LEFT(Calc!$E788,4)&amp;MID(Calc!$E788,6,2)&amp;RIGHT(Calc!$E788,2)&amp;Calc!$R788&amp;"|"&amp;"1"&amp;RIGHT("00000"&amp;780,5))</f>
        <v/>
      </c>
      <c r="C785">
        <f>IF($B785="","",COUNTIFS(LdgPartyA,$A785,LdgKeyA,"&lt;"&amp;$B785)+COUNTIFS(LdgPartyB,$A785,LdgKeyB,"&lt;"&amp;$B785)+1)</f>
        <v/>
      </c>
      <c r="D785">
        <f>IF($C785="","",$A785&amp;"|"&amp;RIGHT("000000"&amp;$C785,6))</f>
        <v/>
      </c>
      <c r="F785">
        <f>IF(Sync!$AJ785="","",Sync!$AJ785)</f>
        <v/>
      </c>
      <c r="G785">
        <f>IF($F785="","",IF(Sync!$AG785="","",IF(ISNUMBER(Sync!$AG785),IF(AND(Sync!$AG785&gt;=10000101,Sync!$AG785&lt;=99991231),INT(Sync!$AG785/10000),""),IFERROR(VALUE(TRIM(LEFT(Sync!$AG785,FIND("/",Sync!$AG785)-1))),""))))</f>
        <v/>
      </c>
      <c r="H785">
        <f>IF(OR($F785="",$G785=""),"",IF(ISNUMBER(Sync!$AG785),INT(MOD(Sync!$AG785,10000)/100),IFERROR(VALUE(TRIM(LEFT(MID(Sync!$AG785,FIND("/",Sync!$AG785)+1,20),FIND("/",MID(Sync!$AG785,FIND("/",Sync!$AG785)+1,20))-1))),"")))</f>
        <v/>
      </c>
      <c r="I785">
        <f>IF(OR($F785="",$G785=""),"",IF(ISNUMBER(Sync!$AG785),MOD(Sync!$AG785,100),IFERROR(VALUE(TRIM(MID(MID(Sync!$AG785,FIND("/",Sync!$AG785)+1,20),FIND("/",MID(Sync!$AG785,FIND("/",Sync!$AG785)+1,20))+1,20))),"")))</f>
        <v/>
      </c>
      <c r="J785">
        <f>IF($F785="","",IF(OR($G785="",$H785="",$I785="",$G785&lt;1300,$G785&gt;1500,$H785&lt;1,$H785&gt;12,$I785&lt;1,$I785&gt;31),"نامعتبر",RIGHT("0000"&amp;$G785,4)&amp;"/"&amp;RIGHT("00"&amp;$H785,2)&amp;"/"&amp;RIGHT("00"&amp;$I785,2)))</f>
        <v/>
      </c>
      <c r="K785">
        <f>IF(OR($F785="",$J785="",$J785="نامعتبر"),"",LEFT($J785,4)&amp;MID($J785,6,2)&amp;RIGHT($J785,2)&amp;$N785&amp;"|"&amp;"2"&amp;RIGHT("00000"&amp;780,5))</f>
        <v/>
      </c>
      <c r="L785">
        <f>IF($K785="","",COUNTIFS(LdgPartyA,$F785,LdgKeyA,"&lt;"&amp;$K785)+COUNTIFS(LdgPartyB,$F785,LdgKeyB,"&lt;"&amp;$K785)+1)</f>
        <v/>
      </c>
      <c r="M785">
        <f>IF($L785="","",$F785&amp;"|"&amp;RIGHT("000000"&amp;$L785,6))</f>
        <v/>
      </c>
      <c r="N785">
        <f>IF($F785="","",IF(Sync!$AH785="","0000",IF(AND(ISNUMBER(Sync!$AH785),Sync!$AH785&gt;=0,Sync!$AH785&lt;1),RIGHT("00"&amp;HOUR(Sync!$AH785),2)&amp;RIGHT("00"&amp;MINUTE(Sync!$AH785),2),IFERROR(RIGHT("00"&amp;VALUE(LEFT(Sync!$AH785,FIND(":",Sync!$AH785)-1)),2)&amp;RIGHT("00"&amp;VALUE(MID(Sync!$AH785,FIND(":",Sync!$AH785)+1,2)),2),"0000"))))</f>
        <v/>
      </c>
    </row>
    <row r="786">
      <c r="A786">
        <f>IF(OR(Calc!$E789="",Calc!$E789="نامعتبر",Calc!$G789="",Calc!$I789&lt;&gt;"خرید"),"",Calc!$G789)</f>
        <v/>
      </c>
      <c r="B786">
        <f>IF($A786="","",LEFT(Calc!$E789,4)&amp;MID(Calc!$E789,6,2)&amp;RIGHT(Calc!$E789,2)&amp;Calc!$R789&amp;"|"&amp;"1"&amp;RIGHT("00000"&amp;781,5))</f>
        <v/>
      </c>
      <c r="C786">
        <f>IF($B786="","",COUNTIFS(LdgPartyA,$A786,LdgKeyA,"&lt;"&amp;$B786)+COUNTIFS(LdgPartyB,$A786,LdgKeyB,"&lt;"&amp;$B786)+1)</f>
        <v/>
      </c>
      <c r="D786">
        <f>IF($C786="","",$A786&amp;"|"&amp;RIGHT("000000"&amp;$C786,6))</f>
        <v/>
      </c>
      <c r="F786">
        <f>IF(Sync!$AJ786="","",Sync!$AJ786)</f>
        <v/>
      </c>
      <c r="G786">
        <f>IF($F786="","",IF(Sync!$AG786="","",IF(ISNUMBER(Sync!$AG786),IF(AND(Sync!$AG786&gt;=10000101,Sync!$AG786&lt;=99991231),INT(Sync!$AG786/10000),""),IFERROR(VALUE(TRIM(LEFT(Sync!$AG786,FIND("/",Sync!$AG786)-1))),""))))</f>
        <v/>
      </c>
      <c r="H786">
        <f>IF(OR($F786="",$G786=""),"",IF(ISNUMBER(Sync!$AG786),INT(MOD(Sync!$AG786,10000)/100),IFERROR(VALUE(TRIM(LEFT(MID(Sync!$AG786,FIND("/",Sync!$AG786)+1,20),FIND("/",MID(Sync!$AG786,FIND("/",Sync!$AG786)+1,20))-1))),"")))</f>
        <v/>
      </c>
      <c r="I786">
        <f>IF(OR($F786="",$G786=""),"",IF(ISNUMBER(Sync!$AG786),MOD(Sync!$AG786,100),IFERROR(VALUE(TRIM(MID(MID(Sync!$AG786,FIND("/",Sync!$AG786)+1,20),FIND("/",MID(Sync!$AG786,FIND("/",Sync!$AG786)+1,20))+1,20))),"")))</f>
        <v/>
      </c>
      <c r="J786">
        <f>IF($F786="","",IF(OR($G786="",$H786="",$I786="",$G786&lt;1300,$G786&gt;1500,$H786&lt;1,$H786&gt;12,$I786&lt;1,$I786&gt;31),"نامعتبر",RIGHT("0000"&amp;$G786,4)&amp;"/"&amp;RIGHT("00"&amp;$H786,2)&amp;"/"&amp;RIGHT("00"&amp;$I786,2)))</f>
        <v/>
      </c>
      <c r="K786">
        <f>IF(OR($F786="",$J786="",$J786="نامعتبر"),"",LEFT($J786,4)&amp;MID($J786,6,2)&amp;RIGHT($J786,2)&amp;$N786&amp;"|"&amp;"2"&amp;RIGHT("00000"&amp;781,5))</f>
        <v/>
      </c>
      <c r="L786">
        <f>IF($K786="","",COUNTIFS(LdgPartyA,$F786,LdgKeyA,"&lt;"&amp;$K786)+COUNTIFS(LdgPartyB,$F786,LdgKeyB,"&lt;"&amp;$K786)+1)</f>
        <v/>
      </c>
      <c r="M786">
        <f>IF($L786="","",$F786&amp;"|"&amp;RIGHT("000000"&amp;$L786,6))</f>
        <v/>
      </c>
      <c r="N786">
        <f>IF($F786="","",IF(Sync!$AH786="","0000",IF(AND(ISNUMBER(Sync!$AH786),Sync!$AH786&gt;=0,Sync!$AH786&lt;1),RIGHT("00"&amp;HOUR(Sync!$AH786),2)&amp;RIGHT("00"&amp;MINUTE(Sync!$AH786),2),IFERROR(RIGHT("00"&amp;VALUE(LEFT(Sync!$AH786,FIND(":",Sync!$AH786)-1)),2)&amp;RIGHT("00"&amp;VALUE(MID(Sync!$AH786,FIND(":",Sync!$AH786)+1,2)),2),"0000"))))</f>
        <v/>
      </c>
    </row>
    <row r="787">
      <c r="A787">
        <f>IF(OR(Calc!$E790="",Calc!$E790="نامعتبر",Calc!$G790="",Calc!$I790&lt;&gt;"خرید"),"",Calc!$G790)</f>
        <v/>
      </c>
      <c r="B787">
        <f>IF($A787="","",LEFT(Calc!$E790,4)&amp;MID(Calc!$E790,6,2)&amp;RIGHT(Calc!$E790,2)&amp;Calc!$R790&amp;"|"&amp;"1"&amp;RIGHT("00000"&amp;782,5))</f>
        <v/>
      </c>
      <c r="C787">
        <f>IF($B787="","",COUNTIFS(LdgPartyA,$A787,LdgKeyA,"&lt;"&amp;$B787)+COUNTIFS(LdgPartyB,$A787,LdgKeyB,"&lt;"&amp;$B787)+1)</f>
        <v/>
      </c>
      <c r="D787">
        <f>IF($C787="","",$A787&amp;"|"&amp;RIGHT("000000"&amp;$C787,6))</f>
        <v/>
      </c>
      <c r="F787">
        <f>IF(Sync!$AJ787="","",Sync!$AJ787)</f>
        <v/>
      </c>
      <c r="G787">
        <f>IF($F787="","",IF(Sync!$AG787="","",IF(ISNUMBER(Sync!$AG787),IF(AND(Sync!$AG787&gt;=10000101,Sync!$AG787&lt;=99991231),INT(Sync!$AG787/10000),""),IFERROR(VALUE(TRIM(LEFT(Sync!$AG787,FIND("/",Sync!$AG787)-1))),""))))</f>
        <v/>
      </c>
      <c r="H787">
        <f>IF(OR($F787="",$G787=""),"",IF(ISNUMBER(Sync!$AG787),INT(MOD(Sync!$AG787,10000)/100),IFERROR(VALUE(TRIM(LEFT(MID(Sync!$AG787,FIND("/",Sync!$AG787)+1,20),FIND("/",MID(Sync!$AG787,FIND("/",Sync!$AG787)+1,20))-1))),"")))</f>
        <v/>
      </c>
      <c r="I787">
        <f>IF(OR($F787="",$G787=""),"",IF(ISNUMBER(Sync!$AG787),MOD(Sync!$AG787,100),IFERROR(VALUE(TRIM(MID(MID(Sync!$AG787,FIND("/",Sync!$AG787)+1,20),FIND("/",MID(Sync!$AG787,FIND("/",Sync!$AG787)+1,20))+1,20))),"")))</f>
        <v/>
      </c>
      <c r="J787">
        <f>IF($F787="","",IF(OR($G787="",$H787="",$I787="",$G787&lt;1300,$G787&gt;1500,$H787&lt;1,$H787&gt;12,$I787&lt;1,$I787&gt;31),"نامعتبر",RIGHT("0000"&amp;$G787,4)&amp;"/"&amp;RIGHT("00"&amp;$H787,2)&amp;"/"&amp;RIGHT("00"&amp;$I787,2)))</f>
        <v/>
      </c>
      <c r="K787">
        <f>IF(OR($F787="",$J787="",$J787="نامعتبر"),"",LEFT($J787,4)&amp;MID($J787,6,2)&amp;RIGHT($J787,2)&amp;$N787&amp;"|"&amp;"2"&amp;RIGHT("00000"&amp;782,5))</f>
        <v/>
      </c>
      <c r="L787">
        <f>IF($K787="","",COUNTIFS(LdgPartyA,$F787,LdgKeyA,"&lt;"&amp;$K787)+COUNTIFS(LdgPartyB,$F787,LdgKeyB,"&lt;"&amp;$K787)+1)</f>
        <v/>
      </c>
      <c r="M787">
        <f>IF($L787="","",$F787&amp;"|"&amp;RIGHT("000000"&amp;$L787,6))</f>
        <v/>
      </c>
      <c r="N787">
        <f>IF($F787="","",IF(Sync!$AH787="","0000",IF(AND(ISNUMBER(Sync!$AH787),Sync!$AH787&gt;=0,Sync!$AH787&lt;1),RIGHT("00"&amp;HOUR(Sync!$AH787),2)&amp;RIGHT("00"&amp;MINUTE(Sync!$AH787),2),IFERROR(RIGHT("00"&amp;VALUE(LEFT(Sync!$AH787,FIND(":",Sync!$AH787)-1)),2)&amp;RIGHT("00"&amp;VALUE(MID(Sync!$AH787,FIND(":",Sync!$AH787)+1,2)),2),"0000"))))</f>
        <v/>
      </c>
    </row>
    <row r="788">
      <c r="A788">
        <f>IF(OR(Calc!$E791="",Calc!$E791="نامعتبر",Calc!$G791="",Calc!$I791&lt;&gt;"خرید"),"",Calc!$G791)</f>
        <v/>
      </c>
      <c r="B788">
        <f>IF($A788="","",LEFT(Calc!$E791,4)&amp;MID(Calc!$E791,6,2)&amp;RIGHT(Calc!$E791,2)&amp;Calc!$R791&amp;"|"&amp;"1"&amp;RIGHT("00000"&amp;783,5))</f>
        <v/>
      </c>
      <c r="C788">
        <f>IF($B788="","",COUNTIFS(LdgPartyA,$A788,LdgKeyA,"&lt;"&amp;$B788)+COUNTIFS(LdgPartyB,$A788,LdgKeyB,"&lt;"&amp;$B788)+1)</f>
        <v/>
      </c>
      <c r="D788">
        <f>IF($C788="","",$A788&amp;"|"&amp;RIGHT("000000"&amp;$C788,6))</f>
        <v/>
      </c>
      <c r="F788">
        <f>IF(Sync!$AJ788="","",Sync!$AJ788)</f>
        <v/>
      </c>
      <c r="G788">
        <f>IF($F788="","",IF(Sync!$AG788="","",IF(ISNUMBER(Sync!$AG788),IF(AND(Sync!$AG788&gt;=10000101,Sync!$AG788&lt;=99991231),INT(Sync!$AG788/10000),""),IFERROR(VALUE(TRIM(LEFT(Sync!$AG788,FIND("/",Sync!$AG788)-1))),""))))</f>
        <v/>
      </c>
      <c r="H788">
        <f>IF(OR($F788="",$G788=""),"",IF(ISNUMBER(Sync!$AG788),INT(MOD(Sync!$AG788,10000)/100),IFERROR(VALUE(TRIM(LEFT(MID(Sync!$AG788,FIND("/",Sync!$AG788)+1,20),FIND("/",MID(Sync!$AG788,FIND("/",Sync!$AG788)+1,20))-1))),"")))</f>
        <v/>
      </c>
      <c r="I788">
        <f>IF(OR($F788="",$G788=""),"",IF(ISNUMBER(Sync!$AG788),MOD(Sync!$AG788,100),IFERROR(VALUE(TRIM(MID(MID(Sync!$AG788,FIND("/",Sync!$AG788)+1,20),FIND("/",MID(Sync!$AG788,FIND("/",Sync!$AG788)+1,20))+1,20))),"")))</f>
        <v/>
      </c>
      <c r="J788">
        <f>IF($F788="","",IF(OR($G788="",$H788="",$I788="",$G788&lt;1300,$G788&gt;1500,$H788&lt;1,$H788&gt;12,$I788&lt;1,$I788&gt;31),"نامعتبر",RIGHT("0000"&amp;$G788,4)&amp;"/"&amp;RIGHT("00"&amp;$H788,2)&amp;"/"&amp;RIGHT("00"&amp;$I788,2)))</f>
        <v/>
      </c>
      <c r="K788">
        <f>IF(OR($F788="",$J788="",$J788="نامعتبر"),"",LEFT($J788,4)&amp;MID($J788,6,2)&amp;RIGHT($J788,2)&amp;$N788&amp;"|"&amp;"2"&amp;RIGHT("00000"&amp;783,5))</f>
        <v/>
      </c>
      <c r="L788">
        <f>IF($K788="","",COUNTIFS(LdgPartyA,$F788,LdgKeyA,"&lt;"&amp;$K788)+COUNTIFS(LdgPartyB,$F788,LdgKeyB,"&lt;"&amp;$K788)+1)</f>
        <v/>
      </c>
      <c r="M788">
        <f>IF($L788="","",$F788&amp;"|"&amp;RIGHT("000000"&amp;$L788,6))</f>
        <v/>
      </c>
      <c r="N788">
        <f>IF($F788="","",IF(Sync!$AH788="","0000",IF(AND(ISNUMBER(Sync!$AH788),Sync!$AH788&gt;=0,Sync!$AH788&lt;1),RIGHT("00"&amp;HOUR(Sync!$AH788),2)&amp;RIGHT("00"&amp;MINUTE(Sync!$AH788),2),IFERROR(RIGHT("00"&amp;VALUE(LEFT(Sync!$AH788,FIND(":",Sync!$AH788)-1)),2)&amp;RIGHT("00"&amp;VALUE(MID(Sync!$AH788,FIND(":",Sync!$AH788)+1,2)),2),"0000"))))</f>
        <v/>
      </c>
    </row>
    <row r="789">
      <c r="A789">
        <f>IF(OR(Calc!$E792="",Calc!$E792="نامعتبر",Calc!$G792="",Calc!$I792&lt;&gt;"خرید"),"",Calc!$G792)</f>
        <v/>
      </c>
      <c r="B789">
        <f>IF($A789="","",LEFT(Calc!$E792,4)&amp;MID(Calc!$E792,6,2)&amp;RIGHT(Calc!$E792,2)&amp;Calc!$R792&amp;"|"&amp;"1"&amp;RIGHT("00000"&amp;784,5))</f>
        <v/>
      </c>
      <c r="C789">
        <f>IF($B789="","",COUNTIFS(LdgPartyA,$A789,LdgKeyA,"&lt;"&amp;$B789)+COUNTIFS(LdgPartyB,$A789,LdgKeyB,"&lt;"&amp;$B789)+1)</f>
        <v/>
      </c>
      <c r="D789">
        <f>IF($C789="","",$A789&amp;"|"&amp;RIGHT("000000"&amp;$C789,6))</f>
        <v/>
      </c>
      <c r="F789">
        <f>IF(Sync!$AJ789="","",Sync!$AJ789)</f>
        <v/>
      </c>
      <c r="G789">
        <f>IF($F789="","",IF(Sync!$AG789="","",IF(ISNUMBER(Sync!$AG789),IF(AND(Sync!$AG789&gt;=10000101,Sync!$AG789&lt;=99991231),INT(Sync!$AG789/10000),""),IFERROR(VALUE(TRIM(LEFT(Sync!$AG789,FIND("/",Sync!$AG789)-1))),""))))</f>
        <v/>
      </c>
      <c r="H789">
        <f>IF(OR($F789="",$G789=""),"",IF(ISNUMBER(Sync!$AG789),INT(MOD(Sync!$AG789,10000)/100),IFERROR(VALUE(TRIM(LEFT(MID(Sync!$AG789,FIND("/",Sync!$AG789)+1,20),FIND("/",MID(Sync!$AG789,FIND("/",Sync!$AG789)+1,20))-1))),"")))</f>
        <v/>
      </c>
      <c r="I789">
        <f>IF(OR($F789="",$G789=""),"",IF(ISNUMBER(Sync!$AG789),MOD(Sync!$AG789,100),IFERROR(VALUE(TRIM(MID(MID(Sync!$AG789,FIND("/",Sync!$AG789)+1,20),FIND("/",MID(Sync!$AG789,FIND("/",Sync!$AG789)+1,20))+1,20))),"")))</f>
        <v/>
      </c>
      <c r="J789">
        <f>IF($F789="","",IF(OR($G789="",$H789="",$I789="",$G789&lt;1300,$G789&gt;1500,$H789&lt;1,$H789&gt;12,$I789&lt;1,$I789&gt;31),"نامعتبر",RIGHT("0000"&amp;$G789,4)&amp;"/"&amp;RIGHT("00"&amp;$H789,2)&amp;"/"&amp;RIGHT("00"&amp;$I789,2)))</f>
        <v/>
      </c>
      <c r="K789">
        <f>IF(OR($F789="",$J789="",$J789="نامعتبر"),"",LEFT($J789,4)&amp;MID($J789,6,2)&amp;RIGHT($J789,2)&amp;$N789&amp;"|"&amp;"2"&amp;RIGHT("00000"&amp;784,5))</f>
        <v/>
      </c>
      <c r="L789">
        <f>IF($K789="","",COUNTIFS(LdgPartyA,$F789,LdgKeyA,"&lt;"&amp;$K789)+COUNTIFS(LdgPartyB,$F789,LdgKeyB,"&lt;"&amp;$K789)+1)</f>
        <v/>
      </c>
      <c r="M789">
        <f>IF($L789="","",$F789&amp;"|"&amp;RIGHT("000000"&amp;$L789,6))</f>
        <v/>
      </c>
      <c r="N789">
        <f>IF($F789="","",IF(Sync!$AH789="","0000",IF(AND(ISNUMBER(Sync!$AH789),Sync!$AH789&gt;=0,Sync!$AH789&lt;1),RIGHT("00"&amp;HOUR(Sync!$AH789),2)&amp;RIGHT("00"&amp;MINUTE(Sync!$AH789),2),IFERROR(RIGHT("00"&amp;VALUE(LEFT(Sync!$AH789,FIND(":",Sync!$AH789)-1)),2)&amp;RIGHT("00"&amp;VALUE(MID(Sync!$AH789,FIND(":",Sync!$AH789)+1,2)),2),"0000"))))</f>
        <v/>
      </c>
    </row>
    <row r="790">
      <c r="A790">
        <f>IF(OR(Calc!$E793="",Calc!$E793="نامعتبر",Calc!$G793="",Calc!$I793&lt;&gt;"خرید"),"",Calc!$G793)</f>
        <v/>
      </c>
      <c r="B790">
        <f>IF($A790="","",LEFT(Calc!$E793,4)&amp;MID(Calc!$E793,6,2)&amp;RIGHT(Calc!$E793,2)&amp;Calc!$R793&amp;"|"&amp;"1"&amp;RIGHT("00000"&amp;785,5))</f>
        <v/>
      </c>
      <c r="C790">
        <f>IF($B790="","",COUNTIFS(LdgPartyA,$A790,LdgKeyA,"&lt;"&amp;$B790)+COUNTIFS(LdgPartyB,$A790,LdgKeyB,"&lt;"&amp;$B790)+1)</f>
        <v/>
      </c>
      <c r="D790">
        <f>IF($C790="","",$A790&amp;"|"&amp;RIGHT("000000"&amp;$C790,6))</f>
        <v/>
      </c>
      <c r="F790">
        <f>IF(Sync!$AJ790="","",Sync!$AJ790)</f>
        <v/>
      </c>
      <c r="G790">
        <f>IF($F790="","",IF(Sync!$AG790="","",IF(ISNUMBER(Sync!$AG790),IF(AND(Sync!$AG790&gt;=10000101,Sync!$AG790&lt;=99991231),INT(Sync!$AG790/10000),""),IFERROR(VALUE(TRIM(LEFT(Sync!$AG790,FIND("/",Sync!$AG790)-1))),""))))</f>
        <v/>
      </c>
      <c r="H790">
        <f>IF(OR($F790="",$G790=""),"",IF(ISNUMBER(Sync!$AG790),INT(MOD(Sync!$AG790,10000)/100),IFERROR(VALUE(TRIM(LEFT(MID(Sync!$AG790,FIND("/",Sync!$AG790)+1,20),FIND("/",MID(Sync!$AG790,FIND("/",Sync!$AG790)+1,20))-1))),"")))</f>
        <v/>
      </c>
      <c r="I790">
        <f>IF(OR($F790="",$G790=""),"",IF(ISNUMBER(Sync!$AG790),MOD(Sync!$AG790,100),IFERROR(VALUE(TRIM(MID(MID(Sync!$AG790,FIND("/",Sync!$AG790)+1,20),FIND("/",MID(Sync!$AG790,FIND("/",Sync!$AG790)+1,20))+1,20))),"")))</f>
        <v/>
      </c>
      <c r="J790">
        <f>IF($F790="","",IF(OR($G790="",$H790="",$I790="",$G790&lt;1300,$G790&gt;1500,$H790&lt;1,$H790&gt;12,$I790&lt;1,$I790&gt;31),"نامعتبر",RIGHT("0000"&amp;$G790,4)&amp;"/"&amp;RIGHT("00"&amp;$H790,2)&amp;"/"&amp;RIGHT("00"&amp;$I790,2)))</f>
        <v/>
      </c>
      <c r="K790">
        <f>IF(OR($F790="",$J790="",$J790="نامعتبر"),"",LEFT($J790,4)&amp;MID($J790,6,2)&amp;RIGHT($J790,2)&amp;$N790&amp;"|"&amp;"2"&amp;RIGHT("00000"&amp;785,5))</f>
        <v/>
      </c>
      <c r="L790">
        <f>IF($K790="","",COUNTIFS(LdgPartyA,$F790,LdgKeyA,"&lt;"&amp;$K790)+COUNTIFS(LdgPartyB,$F790,LdgKeyB,"&lt;"&amp;$K790)+1)</f>
        <v/>
      </c>
      <c r="M790">
        <f>IF($L790="","",$F790&amp;"|"&amp;RIGHT("000000"&amp;$L790,6))</f>
        <v/>
      </c>
      <c r="N790">
        <f>IF($F790="","",IF(Sync!$AH790="","0000",IF(AND(ISNUMBER(Sync!$AH790),Sync!$AH790&gt;=0,Sync!$AH790&lt;1),RIGHT("00"&amp;HOUR(Sync!$AH790),2)&amp;RIGHT("00"&amp;MINUTE(Sync!$AH790),2),IFERROR(RIGHT("00"&amp;VALUE(LEFT(Sync!$AH790,FIND(":",Sync!$AH790)-1)),2)&amp;RIGHT("00"&amp;VALUE(MID(Sync!$AH790,FIND(":",Sync!$AH790)+1,2)),2),"0000"))))</f>
        <v/>
      </c>
    </row>
    <row r="791">
      <c r="A791">
        <f>IF(OR(Calc!$E794="",Calc!$E794="نامعتبر",Calc!$G794="",Calc!$I794&lt;&gt;"خرید"),"",Calc!$G794)</f>
        <v/>
      </c>
      <c r="B791">
        <f>IF($A791="","",LEFT(Calc!$E794,4)&amp;MID(Calc!$E794,6,2)&amp;RIGHT(Calc!$E794,2)&amp;Calc!$R794&amp;"|"&amp;"1"&amp;RIGHT("00000"&amp;786,5))</f>
        <v/>
      </c>
      <c r="C791">
        <f>IF($B791="","",COUNTIFS(LdgPartyA,$A791,LdgKeyA,"&lt;"&amp;$B791)+COUNTIFS(LdgPartyB,$A791,LdgKeyB,"&lt;"&amp;$B791)+1)</f>
        <v/>
      </c>
      <c r="D791">
        <f>IF($C791="","",$A791&amp;"|"&amp;RIGHT("000000"&amp;$C791,6))</f>
        <v/>
      </c>
      <c r="F791">
        <f>IF(Sync!$AJ791="","",Sync!$AJ791)</f>
        <v/>
      </c>
      <c r="G791">
        <f>IF($F791="","",IF(Sync!$AG791="","",IF(ISNUMBER(Sync!$AG791),IF(AND(Sync!$AG791&gt;=10000101,Sync!$AG791&lt;=99991231),INT(Sync!$AG791/10000),""),IFERROR(VALUE(TRIM(LEFT(Sync!$AG791,FIND("/",Sync!$AG791)-1))),""))))</f>
        <v/>
      </c>
      <c r="H791">
        <f>IF(OR($F791="",$G791=""),"",IF(ISNUMBER(Sync!$AG791),INT(MOD(Sync!$AG791,10000)/100),IFERROR(VALUE(TRIM(LEFT(MID(Sync!$AG791,FIND("/",Sync!$AG791)+1,20),FIND("/",MID(Sync!$AG791,FIND("/",Sync!$AG791)+1,20))-1))),"")))</f>
        <v/>
      </c>
      <c r="I791">
        <f>IF(OR($F791="",$G791=""),"",IF(ISNUMBER(Sync!$AG791),MOD(Sync!$AG791,100),IFERROR(VALUE(TRIM(MID(MID(Sync!$AG791,FIND("/",Sync!$AG791)+1,20),FIND("/",MID(Sync!$AG791,FIND("/",Sync!$AG791)+1,20))+1,20))),"")))</f>
        <v/>
      </c>
      <c r="J791">
        <f>IF($F791="","",IF(OR($G791="",$H791="",$I791="",$G791&lt;1300,$G791&gt;1500,$H791&lt;1,$H791&gt;12,$I791&lt;1,$I791&gt;31),"نامعتبر",RIGHT("0000"&amp;$G791,4)&amp;"/"&amp;RIGHT("00"&amp;$H791,2)&amp;"/"&amp;RIGHT("00"&amp;$I791,2)))</f>
        <v/>
      </c>
      <c r="K791">
        <f>IF(OR($F791="",$J791="",$J791="نامعتبر"),"",LEFT($J791,4)&amp;MID($J791,6,2)&amp;RIGHT($J791,2)&amp;$N791&amp;"|"&amp;"2"&amp;RIGHT("00000"&amp;786,5))</f>
        <v/>
      </c>
      <c r="L791">
        <f>IF($K791="","",COUNTIFS(LdgPartyA,$F791,LdgKeyA,"&lt;"&amp;$K791)+COUNTIFS(LdgPartyB,$F791,LdgKeyB,"&lt;"&amp;$K791)+1)</f>
        <v/>
      </c>
      <c r="M791">
        <f>IF($L791="","",$F791&amp;"|"&amp;RIGHT("000000"&amp;$L791,6))</f>
        <v/>
      </c>
      <c r="N791">
        <f>IF($F791="","",IF(Sync!$AH791="","0000",IF(AND(ISNUMBER(Sync!$AH791),Sync!$AH791&gt;=0,Sync!$AH791&lt;1),RIGHT("00"&amp;HOUR(Sync!$AH791),2)&amp;RIGHT("00"&amp;MINUTE(Sync!$AH791),2),IFERROR(RIGHT("00"&amp;VALUE(LEFT(Sync!$AH791,FIND(":",Sync!$AH791)-1)),2)&amp;RIGHT("00"&amp;VALUE(MID(Sync!$AH791,FIND(":",Sync!$AH791)+1,2)),2),"0000"))))</f>
        <v/>
      </c>
    </row>
    <row r="792">
      <c r="A792">
        <f>IF(OR(Calc!$E795="",Calc!$E795="نامعتبر",Calc!$G795="",Calc!$I795&lt;&gt;"خرید"),"",Calc!$G795)</f>
        <v/>
      </c>
      <c r="B792">
        <f>IF($A792="","",LEFT(Calc!$E795,4)&amp;MID(Calc!$E795,6,2)&amp;RIGHT(Calc!$E795,2)&amp;Calc!$R795&amp;"|"&amp;"1"&amp;RIGHT("00000"&amp;787,5))</f>
        <v/>
      </c>
      <c r="C792">
        <f>IF($B792="","",COUNTIFS(LdgPartyA,$A792,LdgKeyA,"&lt;"&amp;$B792)+COUNTIFS(LdgPartyB,$A792,LdgKeyB,"&lt;"&amp;$B792)+1)</f>
        <v/>
      </c>
      <c r="D792">
        <f>IF($C792="","",$A792&amp;"|"&amp;RIGHT("000000"&amp;$C792,6))</f>
        <v/>
      </c>
      <c r="F792">
        <f>IF(Sync!$AJ792="","",Sync!$AJ792)</f>
        <v/>
      </c>
      <c r="G792">
        <f>IF($F792="","",IF(Sync!$AG792="","",IF(ISNUMBER(Sync!$AG792),IF(AND(Sync!$AG792&gt;=10000101,Sync!$AG792&lt;=99991231),INT(Sync!$AG792/10000),""),IFERROR(VALUE(TRIM(LEFT(Sync!$AG792,FIND("/",Sync!$AG792)-1))),""))))</f>
        <v/>
      </c>
      <c r="H792">
        <f>IF(OR($F792="",$G792=""),"",IF(ISNUMBER(Sync!$AG792),INT(MOD(Sync!$AG792,10000)/100),IFERROR(VALUE(TRIM(LEFT(MID(Sync!$AG792,FIND("/",Sync!$AG792)+1,20),FIND("/",MID(Sync!$AG792,FIND("/",Sync!$AG792)+1,20))-1))),"")))</f>
        <v/>
      </c>
      <c r="I792">
        <f>IF(OR($F792="",$G792=""),"",IF(ISNUMBER(Sync!$AG792),MOD(Sync!$AG792,100),IFERROR(VALUE(TRIM(MID(MID(Sync!$AG792,FIND("/",Sync!$AG792)+1,20),FIND("/",MID(Sync!$AG792,FIND("/",Sync!$AG792)+1,20))+1,20))),"")))</f>
        <v/>
      </c>
      <c r="J792">
        <f>IF($F792="","",IF(OR($G792="",$H792="",$I792="",$G792&lt;1300,$G792&gt;1500,$H792&lt;1,$H792&gt;12,$I792&lt;1,$I792&gt;31),"نامعتبر",RIGHT("0000"&amp;$G792,4)&amp;"/"&amp;RIGHT("00"&amp;$H792,2)&amp;"/"&amp;RIGHT("00"&amp;$I792,2)))</f>
        <v/>
      </c>
      <c r="K792">
        <f>IF(OR($F792="",$J792="",$J792="نامعتبر"),"",LEFT($J792,4)&amp;MID($J792,6,2)&amp;RIGHT($J792,2)&amp;$N792&amp;"|"&amp;"2"&amp;RIGHT("00000"&amp;787,5))</f>
        <v/>
      </c>
      <c r="L792">
        <f>IF($K792="","",COUNTIFS(LdgPartyA,$F792,LdgKeyA,"&lt;"&amp;$K792)+COUNTIFS(LdgPartyB,$F792,LdgKeyB,"&lt;"&amp;$K792)+1)</f>
        <v/>
      </c>
      <c r="M792">
        <f>IF($L792="","",$F792&amp;"|"&amp;RIGHT("000000"&amp;$L792,6))</f>
        <v/>
      </c>
      <c r="N792">
        <f>IF($F792="","",IF(Sync!$AH792="","0000",IF(AND(ISNUMBER(Sync!$AH792),Sync!$AH792&gt;=0,Sync!$AH792&lt;1),RIGHT("00"&amp;HOUR(Sync!$AH792),2)&amp;RIGHT("00"&amp;MINUTE(Sync!$AH792),2),IFERROR(RIGHT("00"&amp;VALUE(LEFT(Sync!$AH792,FIND(":",Sync!$AH792)-1)),2)&amp;RIGHT("00"&amp;VALUE(MID(Sync!$AH792,FIND(":",Sync!$AH792)+1,2)),2),"0000"))))</f>
        <v/>
      </c>
    </row>
    <row r="793">
      <c r="A793">
        <f>IF(OR(Calc!$E796="",Calc!$E796="نامعتبر",Calc!$G796="",Calc!$I796&lt;&gt;"خرید"),"",Calc!$G796)</f>
        <v/>
      </c>
      <c r="B793">
        <f>IF($A793="","",LEFT(Calc!$E796,4)&amp;MID(Calc!$E796,6,2)&amp;RIGHT(Calc!$E796,2)&amp;Calc!$R796&amp;"|"&amp;"1"&amp;RIGHT("00000"&amp;788,5))</f>
        <v/>
      </c>
      <c r="C793">
        <f>IF($B793="","",COUNTIFS(LdgPartyA,$A793,LdgKeyA,"&lt;"&amp;$B793)+COUNTIFS(LdgPartyB,$A793,LdgKeyB,"&lt;"&amp;$B793)+1)</f>
        <v/>
      </c>
      <c r="D793">
        <f>IF($C793="","",$A793&amp;"|"&amp;RIGHT("000000"&amp;$C793,6))</f>
        <v/>
      </c>
      <c r="F793">
        <f>IF(Sync!$AJ793="","",Sync!$AJ793)</f>
        <v/>
      </c>
      <c r="G793">
        <f>IF($F793="","",IF(Sync!$AG793="","",IF(ISNUMBER(Sync!$AG793),IF(AND(Sync!$AG793&gt;=10000101,Sync!$AG793&lt;=99991231),INT(Sync!$AG793/10000),""),IFERROR(VALUE(TRIM(LEFT(Sync!$AG793,FIND("/",Sync!$AG793)-1))),""))))</f>
        <v/>
      </c>
      <c r="H793">
        <f>IF(OR($F793="",$G793=""),"",IF(ISNUMBER(Sync!$AG793),INT(MOD(Sync!$AG793,10000)/100),IFERROR(VALUE(TRIM(LEFT(MID(Sync!$AG793,FIND("/",Sync!$AG793)+1,20),FIND("/",MID(Sync!$AG793,FIND("/",Sync!$AG793)+1,20))-1))),"")))</f>
        <v/>
      </c>
      <c r="I793">
        <f>IF(OR($F793="",$G793=""),"",IF(ISNUMBER(Sync!$AG793),MOD(Sync!$AG793,100),IFERROR(VALUE(TRIM(MID(MID(Sync!$AG793,FIND("/",Sync!$AG793)+1,20),FIND("/",MID(Sync!$AG793,FIND("/",Sync!$AG793)+1,20))+1,20))),"")))</f>
        <v/>
      </c>
      <c r="J793">
        <f>IF($F793="","",IF(OR($G793="",$H793="",$I793="",$G793&lt;1300,$G793&gt;1500,$H793&lt;1,$H793&gt;12,$I793&lt;1,$I793&gt;31),"نامعتبر",RIGHT("0000"&amp;$G793,4)&amp;"/"&amp;RIGHT("00"&amp;$H793,2)&amp;"/"&amp;RIGHT("00"&amp;$I793,2)))</f>
        <v/>
      </c>
      <c r="K793">
        <f>IF(OR($F793="",$J793="",$J793="نامعتبر"),"",LEFT($J793,4)&amp;MID($J793,6,2)&amp;RIGHT($J793,2)&amp;$N793&amp;"|"&amp;"2"&amp;RIGHT("00000"&amp;788,5))</f>
        <v/>
      </c>
      <c r="L793">
        <f>IF($K793="","",COUNTIFS(LdgPartyA,$F793,LdgKeyA,"&lt;"&amp;$K793)+COUNTIFS(LdgPartyB,$F793,LdgKeyB,"&lt;"&amp;$K793)+1)</f>
        <v/>
      </c>
      <c r="M793">
        <f>IF($L793="","",$F793&amp;"|"&amp;RIGHT("000000"&amp;$L793,6))</f>
        <v/>
      </c>
      <c r="N793">
        <f>IF($F793="","",IF(Sync!$AH793="","0000",IF(AND(ISNUMBER(Sync!$AH793),Sync!$AH793&gt;=0,Sync!$AH793&lt;1),RIGHT("00"&amp;HOUR(Sync!$AH793),2)&amp;RIGHT("00"&amp;MINUTE(Sync!$AH793),2),IFERROR(RIGHT("00"&amp;VALUE(LEFT(Sync!$AH793,FIND(":",Sync!$AH793)-1)),2)&amp;RIGHT("00"&amp;VALUE(MID(Sync!$AH793,FIND(":",Sync!$AH793)+1,2)),2),"0000"))))</f>
        <v/>
      </c>
    </row>
    <row r="794">
      <c r="A794">
        <f>IF(OR(Calc!$E797="",Calc!$E797="نامعتبر",Calc!$G797="",Calc!$I797&lt;&gt;"خرید"),"",Calc!$G797)</f>
        <v/>
      </c>
      <c r="B794">
        <f>IF($A794="","",LEFT(Calc!$E797,4)&amp;MID(Calc!$E797,6,2)&amp;RIGHT(Calc!$E797,2)&amp;Calc!$R797&amp;"|"&amp;"1"&amp;RIGHT("00000"&amp;789,5))</f>
        <v/>
      </c>
      <c r="C794">
        <f>IF($B794="","",COUNTIFS(LdgPartyA,$A794,LdgKeyA,"&lt;"&amp;$B794)+COUNTIFS(LdgPartyB,$A794,LdgKeyB,"&lt;"&amp;$B794)+1)</f>
        <v/>
      </c>
      <c r="D794">
        <f>IF($C794="","",$A794&amp;"|"&amp;RIGHT("000000"&amp;$C794,6))</f>
        <v/>
      </c>
      <c r="F794">
        <f>IF(Sync!$AJ794="","",Sync!$AJ794)</f>
        <v/>
      </c>
      <c r="G794">
        <f>IF($F794="","",IF(Sync!$AG794="","",IF(ISNUMBER(Sync!$AG794),IF(AND(Sync!$AG794&gt;=10000101,Sync!$AG794&lt;=99991231),INT(Sync!$AG794/10000),""),IFERROR(VALUE(TRIM(LEFT(Sync!$AG794,FIND("/",Sync!$AG794)-1))),""))))</f>
        <v/>
      </c>
      <c r="H794">
        <f>IF(OR($F794="",$G794=""),"",IF(ISNUMBER(Sync!$AG794),INT(MOD(Sync!$AG794,10000)/100),IFERROR(VALUE(TRIM(LEFT(MID(Sync!$AG794,FIND("/",Sync!$AG794)+1,20),FIND("/",MID(Sync!$AG794,FIND("/",Sync!$AG794)+1,20))-1))),"")))</f>
        <v/>
      </c>
      <c r="I794">
        <f>IF(OR($F794="",$G794=""),"",IF(ISNUMBER(Sync!$AG794),MOD(Sync!$AG794,100),IFERROR(VALUE(TRIM(MID(MID(Sync!$AG794,FIND("/",Sync!$AG794)+1,20),FIND("/",MID(Sync!$AG794,FIND("/",Sync!$AG794)+1,20))+1,20))),"")))</f>
        <v/>
      </c>
      <c r="J794">
        <f>IF($F794="","",IF(OR($G794="",$H794="",$I794="",$G794&lt;1300,$G794&gt;1500,$H794&lt;1,$H794&gt;12,$I794&lt;1,$I794&gt;31),"نامعتبر",RIGHT("0000"&amp;$G794,4)&amp;"/"&amp;RIGHT("00"&amp;$H794,2)&amp;"/"&amp;RIGHT("00"&amp;$I794,2)))</f>
        <v/>
      </c>
      <c r="K794">
        <f>IF(OR($F794="",$J794="",$J794="نامعتبر"),"",LEFT($J794,4)&amp;MID($J794,6,2)&amp;RIGHT($J794,2)&amp;$N794&amp;"|"&amp;"2"&amp;RIGHT("00000"&amp;789,5))</f>
        <v/>
      </c>
      <c r="L794">
        <f>IF($K794="","",COUNTIFS(LdgPartyA,$F794,LdgKeyA,"&lt;"&amp;$K794)+COUNTIFS(LdgPartyB,$F794,LdgKeyB,"&lt;"&amp;$K794)+1)</f>
        <v/>
      </c>
      <c r="M794">
        <f>IF($L794="","",$F794&amp;"|"&amp;RIGHT("000000"&amp;$L794,6))</f>
        <v/>
      </c>
      <c r="N794">
        <f>IF($F794="","",IF(Sync!$AH794="","0000",IF(AND(ISNUMBER(Sync!$AH794),Sync!$AH794&gt;=0,Sync!$AH794&lt;1),RIGHT("00"&amp;HOUR(Sync!$AH794),2)&amp;RIGHT("00"&amp;MINUTE(Sync!$AH794),2),IFERROR(RIGHT("00"&amp;VALUE(LEFT(Sync!$AH794,FIND(":",Sync!$AH794)-1)),2)&amp;RIGHT("00"&amp;VALUE(MID(Sync!$AH794,FIND(":",Sync!$AH794)+1,2)),2),"0000"))))</f>
        <v/>
      </c>
    </row>
    <row r="795">
      <c r="A795">
        <f>IF(OR(Calc!$E798="",Calc!$E798="نامعتبر",Calc!$G798="",Calc!$I798&lt;&gt;"خرید"),"",Calc!$G798)</f>
        <v/>
      </c>
      <c r="B795">
        <f>IF($A795="","",LEFT(Calc!$E798,4)&amp;MID(Calc!$E798,6,2)&amp;RIGHT(Calc!$E798,2)&amp;Calc!$R798&amp;"|"&amp;"1"&amp;RIGHT("00000"&amp;790,5))</f>
        <v/>
      </c>
      <c r="C795">
        <f>IF($B795="","",COUNTIFS(LdgPartyA,$A795,LdgKeyA,"&lt;"&amp;$B795)+COUNTIFS(LdgPartyB,$A795,LdgKeyB,"&lt;"&amp;$B795)+1)</f>
        <v/>
      </c>
      <c r="D795">
        <f>IF($C795="","",$A795&amp;"|"&amp;RIGHT("000000"&amp;$C795,6))</f>
        <v/>
      </c>
      <c r="F795">
        <f>IF(Sync!$AJ795="","",Sync!$AJ795)</f>
        <v/>
      </c>
      <c r="G795">
        <f>IF($F795="","",IF(Sync!$AG795="","",IF(ISNUMBER(Sync!$AG795),IF(AND(Sync!$AG795&gt;=10000101,Sync!$AG795&lt;=99991231),INT(Sync!$AG795/10000),""),IFERROR(VALUE(TRIM(LEFT(Sync!$AG795,FIND("/",Sync!$AG795)-1))),""))))</f>
        <v/>
      </c>
      <c r="H795">
        <f>IF(OR($F795="",$G795=""),"",IF(ISNUMBER(Sync!$AG795),INT(MOD(Sync!$AG795,10000)/100),IFERROR(VALUE(TRIM(LEFT(MID(Sync!$AG795,FIND("/",Sync!$AG795)+1,20),FIND("/",MID(Sync!$AG795,FIND("/",Sync!$AG795)+1,20))-1))),"")))</f>
        <v/>
      </c>
      <c r="I795">
        <f>IF(OR($F795="",$G795=""),"",IF(ISNUMBER(Sync!$AG795),MOD(Sync!$AG795,100),IFERROR(VALUE(TRIM(MID(MID(Sync!$AG795,FIND("/",Sync!$AG795)+1,20),FIND("/",MID(Sync!$AG795,FIND("/",Sync!$AG795)+1,20))+1,20))),"")))</f>
        <v/>
      </c>
      <c r="J795">
        <f>IF($F795="","",IF(OR($G795="",$H795="",$I795="",$G795&lt;1300,$G795&gt;1500,$H795&lt;1,$H795&gt;12,$I795&lt;1,$I795&gt;31),"نامعتبر",RIGHT("0000"&amp;$G795,4)&amp;"/"&amp;RIGHT("00"&amp;$H795,2)&amp;"/"&amp;RIGHT("00"&amp;$I795,2)))</f>
        <v/>
      </c>
      <c r="K795">
        <f>IF(OR($F795="",$J795="",$J795="نامعتبر"),"",LEFT($J795,4)&amp;MID($J795,6,2)&amp;RIGHT($J795,2)&amp;$N795&amp;"|"&amp;"2"&amp;RIGHT("00000"&amp;790,5))</f>
        <v/>
      </c>
      <c r="L795">
        <f>IF($K795="","",COUNTIFS(LdgPartyA,$F795,LdgKeyA,"&lt;"&amp;$K795)+COUNTIFS(LdgPartyB,$F795,LdgKeyB,"&lt;"&amp;$K795)+1)</f>
        <v/>
      </c>
      <c r="M795">
        <f>IF($L795="","",$F795&amp;"|"&amp;RIGHT("000000"&amp;$L795,6))</f>
        <v/>
      </c>
      <c r="N795">
        <f>IF($F795="","",IF(Sync!$AH795="","0000",IF(AND(ISNUMBER(Sync!$AH795),Sync!$AH795&gt;=0,Sync!$AH795&lt;1),RIGHT("00"&amp;HOUR(Sync!$AH795),2)&amp;RIGHT("00"&amp;MINUTE(Sync!$AH795),2),IFERROR(RIGHT("00"&amp;VALUE(LEFT(Sync!$AH795,FIND(":",Sync!$AH795)-1)),2)&amp;RIGHT("00"&amp;VALUE(MID(Sync!$AH795,FIND(":",Sync!$AH795)+1,2)),2),"0000"))))</f>
        <v/>
      </c>
    </row>
    <row r="796">
      <c r="A796">
        <f>IF(OR(Calc!$E799="",Calc!$E799="نامعتبر",Calc!$G799="",Calc!$I799&lt;&gt;"خرید"),"",Calc!$G799)</f>
        <v/>
      </c>
      <c r="B796">
        <f>IF($A796="","",LEFT(Calc!$E799,4)&amp;MID(Calc!$E799,6,2)&amp;RIGHT(Calc!$E799,2)&amp;Calc!$R799&amp;"|"&amp;"1"&amp;RIGHT("00000"&amp;791,5))</f>
        <v/>
      </c>
      <c r="C796">
        <f>IF($B796="","",COUNTIFS(LdgPartyA,$A796,LdgKeyA,"&lt;"&amp;$B796)+COUNTIFS(LdgPartyB,$A796,LdgKeyB,"&lt;"&amp;$B796)+1)</f>
        <v/>
      </c>
      <c r="D796">
        <f>IF($C796="","",$A796&amp;"|"&amp;RIGHT("000000"&amp;$C796,6))</f>
        <v/>
      </c>
      <c r="F796">
        <f>IF(Sync!$AJ796="","",Sync!$AJ796)</f>
        <v/>
      </c>
      <c r="G796">
        <f>IF($F796="","",IF(Sync!$AG796="","",IF(ISNUMBER(Sync!$AG796),IF(AND(Sync!$AG796&gt;=10000101,Sync!$AG796&lt;=99991231),INT(Sync!$AG796/10000),""),IFERROR(VALUE(TRIM(LEFT(Sync!$AG796,FIND("/",Sync!$AG796)-1))),""))))</f>
        <v/>
      </c>
      <c r="H796">
        <f>IF(OR($F796="",$G796=""),"",IF(ISNUMBER(Sync!$AG796),INT(MOD(Sync!$AG796,10000)/100),IFERROR(VALUE(TRIM(LEFT(MID(Sync!$AG796,FIND("/",Sync!$AG796)+1,20),FIND("/",MID(Sync!$AG796,FIND("/",Sync!$AG796)+1,20))-1))),"")))</f>
        <v/>
      </c>
      <c r="I796">
        <f>IF(OR($F796="",$G796=""),"",IF(ISNUMBER(Sync!$AG796),MOD(Sync!$AG796,100),IFERROR(VALUE(TRIM(MID(MID(Sync!$AG796,FIND("/",Sync!$AG796)+1,20),FIND("/",MID(Sync!$AG796,FIND("/",Sync!$AG796)+1,20))+1,20))),"")))</f>
        <v/>
      </c>
      <c r="J796">
        <f>IF($F796="","",IF(OR($G796="",$H796="",$I796="",$G796&lt;1300,$G796&gt;1500,$H796&lt;1,$H796&gt;12,$I796&lt;1,$I796&gt;31),"نامعتبر",RIGHT("0000"&amp;$G796,4)&amp;"/"&amp;RIGHT("00"&amp;$H796,2)&amp;"/"&amp;RIGHT("00"&amp;$I796,2)))</f>
        <v/>
      </c>
      <c r="K796">
        <f>IF(OR($F796="",$J796="",$J796="نامعتبر"),"",LEFT($J796,4)&amp;MID($J796,6,2)&amp;RIGHT($J796,2)&amp;$N796&amp;"|"&amp;"2"&amp;RIGHT("00000"&amp;791,5))</f>
        <v/>
      </c>
      <c r="L796">
        <f>IF($K796="","",COUNTIFS(LdgPartyA,$F796,LdgKeyA,"&lt;"&amp;$K796)+COUNTIFS(LdgPartyB,$F796,LdgKeyB,"&lt;"&amp;$K796)+1)</f>
        <v/>
      </c>
      <c r="M796">
        <f>IF($L796="","",$F796&amp;"|"&amp;RIGHT("000000"&amp;$L796,6))</f>
        <v/>
      </c>
      <c r="N796">
        <f>IF($F796="","",IF(Sync!$AH796="","0000",IF(AND(ISNUMBER(Sync!$AH796),Sync!$AH796&gt;=0,Sync!$AH796&lt;1),RIGHT("00"&amp;HOUR(Sync!$AH796),2)&amp;RIGHT("00"&amp;MINUTE(Sync!$AH796),2),IFERROR(RIGHT("00"&amp;VALUE(LEFT(Sync!$AH796,FIND(":",Sync!$AH796)-1)),2)&amp;RIGHT("00"&amp;VALUE(MID(Sync!$AH796,FIND(":",Sync!$AH796)+1,2)),2),"0000"))))</f>
        <v/>
      </c>
    </row>
    <row r="797">
      <c r="A797">
        <f>IF(OR(Calc!$E800="",Calc!$E800="نامعتبر",Calc!$G800="",Calc!$I800&lt;&gt;"خرید"),"",Calc!$G800)</f>
        <v/>
      </c>
      <c r="B797">
        <f>IF($A797="","",LEFT(Calc!$E800,4)&amp;MID(Calc!$E800,6,2)&amp;RIGHT(Calc!$E800,2)&amp;Calc!$R800&amp;"|"&amp;"1"&amp;RIGHT("00000"&amp;792,5))</f>
        <v/>
      </c>
      <c r="C797">
        <f>IF($B797="","",COUNTIFS(LdgPartyA,$A797,LdgKeyA,"&lt;"&amp;$B797)+COUNTIFS(LdgPartyB,$A797,LdgKeyB,"&lt;"&amp;$B797)+1)</f>
        <v/>
      </c>
      <c r="D797">
        <f>IF($C797="","",$A797&amp;"|"&amp;RIGHT("000000"&amp;$C797,6))</f>
        <v/>
      </c>
      <c r="F797">
        <f>IF(Sync!$AJ797="","",Sync!$AJ797)</f>
        <v/>
      </c>
      <c r="G797">
        <f>IF($F797="","",IF(Sync!$AG797="","",IF(ISNUMBER(Sync!$AG797),IF(AND(Sync!$AG797&gt;=10000101,Sync!$AG797&lt;=99991231),INT(Sync!$AG797/10000),""),IFERROR(VALUE(TRIM(LEFT(Sync!$AG797,FIND("/",Sync!$AG797)-1))),""))))</f>
        <v/>
      </c>
      <c r="H797">
        <f>IF(OR($F797="",$G797=""),"",IF(ISNUMBER(Sync!$AG797),INT(MOD(Sync!$AG797,10000)/100),IFERROR(VALUE(TRIM(LEFT(MID(Sync!$AG797,FIND("/",Sync!$AG797)+1,20),FIND("/",MID(Sync!$AG797,FIND("/",Sync!$AG797)+1,20))-1))),"")))</f>
        <v/>
      </c>
      <c r="I797">
        <f>IF(OR($F797="",$G797=""),"",IF(ISNUMBER(Sync!$AG797),MOD(Sync!$AG797,100),IFERROR(VALUE(TRIM(MID(MID(Sync!$AG797,FIND("/",Sync!$AG797)+1,20),FIND("/",MID(Sync!$AG797,FIND("/",Sync!$AG797)+1,20))+1,20))),"")))</f>
        <v/>
      </c>
      <c r="J797">
        <f>IF($F797="","",IF(OR($G797="",$H797="",$I797="",$G797&lt;1300,$G797&gt;1500,$H797&lt;1,$H797&gt;12,$I797&lt;1,$I797&gt;31),"نامعتبر",RIGHT("0000"&amp;$G797,4)&amp;"/"&amp;RIGHT("00"&amp;$H797,2)&amp;"/"&amp;RIGHT("00"&amp;$I797,2)))</f>
        <v/>
      </c>
      <c r="K797">
        <f>IF(OR($F797="",$J797="",$J797="نامعتبر"),"",LEFT($J797,4)&amp;MID($J797,6,2)&amp;RIGHT($J797,2)&amp;$N797&amp;"|"&amp;"2"&amp;RIGHT("00000"&amp;792,5))</f>
        <v/>
      </c>
      <c r="L797">
        <f>IF($K797="","",COUNTIFS(LdgPartyA,$F797,LdgKeyA,"&lt;"&amp;$K797)+COUNTIFS(LdgPartyB,$F797,LdgKeyB,"&lt;"&amp;$K797)+1)</f>
        <v/>
      </c>
      <c r="M797">
        <f>IF($L797="","",$F797&amp;"|"&amp;RIGHT("000000"&amp;$L797,6))</f>
        <v/>
      </c>
      <c r="N797">
        <f>IF($F797="","",IF(Sync!$AH797="","0000",IF(AND(ISNUMBER(Sync!$AH797),Sync!$AH797&gt;=0,Sync!$AH797&lt;1),RIGHT("00"&amp;HOUR(Sync!$AH797),2)&amp;RIGHT("00"&amp;MINUTE(Sync!$AH797),2),IFERROR(RIGHT("00"&amp;VALUE(LEFT(Sync!$AH797,FIND(":",Sync!$AH797)-1)),2)&amp;RIGHT("00"&amp;VALUE(MID(Sync!$AH797,FIND(":",Sync!$AH797)+1,2)),2),"0000"))))</f>
        <v/>
      </c>
    </row>
    <row r="798">
      <c r="A798">
        <f>IF(OR(Calc!$E801="",Calc!$E801="نامعتبر",Calc!$G801="",Calc!$I801&lt;&gt;"خرید"),"",Calc!$G801)</f>
        <v/>
      </c>
      <c r="B798">
        <f>IF($A798="","",LEFT(Calc!$E801,4)&amp;MID(Calc!$E801,6,2)&amp;RIGHT(Calc!$E801,2)&amp;Calc!$R801&amp;"|"&amp;"1"&amp;RIGHT("00000"&amp;793,5))</f>
        <v/>
      </c>
      <c r="C798">
        <f>IF($B798="","",COUNTIFS(LdgPartyA,$A798,LdgKeyA,"&lt;"&amp;$B798)+COUNTIFS(LdgPartyB,$A798,LdgKeyB,"&lt;"&amp;$B798)+1)</f>
        <v/>
      </c>
      <c r="D798">
        <f>IF($C798="","",$A798&amp;"|"&amp;RIGHT("000000"&amp;$C798,6))</f>
        <v/>
      </c>
      <c r="F798">
        <f>IF(Sync!$AJ798="","",Sync!$AJ798)</f>
        <v/>
      </c>
      <c r="G798">
        <f>IF($F798="","",IF(Sync!$AG798="","",IF(ISNUMBER(Sync!$AG798),IF(AND(Sync!$AG798&gt;=10000101,Sync!$AG798&lt;=99991231),INT(Sync!$AG798/10000),""),IFERROR(VALUE(TRIM(LEFT(Sync!$AG798,FIND("/",Sync!$AG798)-1))),""))))</f>
        <v/>
      </c>
      <c r="H798">
        <f>IF(OR($F798="",$G798=""),"",IF(ISNUMBER(Sync!$AG798),INT(MOD(Sync!$AG798,10000)/100),IFERROR(VALUE(TRIM(LEFT(MID(Sync!$AG798,FIND("/",Sync!$AG798)+1,20),FIND("/",MID(Sync!$AG798,FIND("/",Sync!$AG798)+1,20))-1))),"")))</f>
        <v/>
      </c>
      <c r="I798">
        <f>IF(OR($F798="",$G798=""),"",IF(ISNUMBER(Sync!$AG798),MOD(Sync!$AG798,100),IFERROR(VALUE(TRIM(MID(MID(Sync!$AG798,FIND("/",Sync!$AG798)+1,20),FIND("/",MID(Sync!$AG798,FIND("/",Sync!$AG798)+1,20))+1,20))),"")))</f>
        <v/>
      </c>
      <c r="J798">
        <f>IF($F798="","",IF(OR($G798="",$H798="",$I798="",$G798&lt;1300,$G798&gt;1500,$H798&lt;1,$H798&gt;12,$I798&lt;1,$I798&gt;31),"نامعتبر",RIGHT("0000"&amp;$G798,4)&amp;"/"&amp;RIGHT("00"&amp;$H798,2)&amp;"/"&amp;RIGHT("00"&amp;$I798,2)))</f>
        <v/>
      </c>
      <c r="K798">
        <f>IF(OR($F798="",$J798="",$J798="نامعتبر"),"",LEFT($J798,4)&amp;MID($J798,6,2)&amp;RIGHT($J798,2)&amp;$N798&amp;"|"&amp;"2"&amp;RIGHT("00000"&amp;793,5))</f>
        <v/>
      </c>
      <c r="L798">
        <f>IF($K798="","",COUNTIFS(LdgPartyA,$F798,LdgKeyA,"&lt;"&amp;$K798)+COUNTIFS(LdgPartyB,$F798,LdgKeyB,"&lt;"&amp;$K798)+1)</f>
        <v/>
      </c>
      <c r="M798">
        <f>IF($L798="","",$F798&amp;"|"&amp;RIGHT("000000"&amp;$L798,6))</f>
        <v/>
      </c>
      <c r="N798">
        <f>IF($F798="","",IF(Sync!$AH798="","0000",IF(AND(ISNUMBER(Sync!$AH798),Sync!$AH798&gt;=0,Sync!$AH798&lt;1),RIGHT("00"&amp;HOUR(Sync!$AH798),2)&amp;RIGHT("00"&amp;MINUTE(Sync!$AH798),2),IFERROR(RIGHT("00"&amp;VALUE(LEFT(Sync!$AH798,FIND(":",Sync!$AH798)-1)),2)&amp;RIGHT("00"&amp;VALUE(MID(Sync!$AH798,FIND(":",Sync!$AH798)+1,2)),2),"0000"))))</f>
        <v/>
      </c>
    </row>
    <row r="799">
      <c r="A799">
        <f>IF(OR(Calc!$E802="",Calc!$E802="نامعتبر",Calc!$G802="",Calc!$I802&lt;&gt;"خرید"),"",Calc!$G802)</f>
        <v/>
      </c>
      <c r="B799">
        <f>IF($A799="","",LEFT(Calc!$E802,4)&amp;MID(Calc!$E802,6,2)&amp;RIGHT(Calc!$E802,2)&amp;Calc!$R802&amp;"|"&amp;"1"&amp;RIGHT("00000"&amp;794,5))</f>
        <v/>
      </c>
      <c r="C799">
        <f>IF($B799="","",COUNTIFS(LdgPartyA,$A799,LdgKeyA,"&lt;"&amp;$B799)+COUNTIFS(LdgPartyB,$A799,LdgKeyB,"&lt;"&amp;$B799)+1)</f>
        <v/>
      </c>
      <c r="D799">
        <f>IF($C799="","",$A799&amp;"|"&amp;RIGHT("000000"&amp;$C799,6))</f>
        <v/>
      </c>
      <c r="F799">
        <f>IF(Sync!$AJ799="","",Sync!$AJ799)</f>
        <v/>
      </c>
      <c r="G799">
        <f>IF($F799="","",IF(Sync!$AG799="","",IF(ISNUMBER(Sync!$AG799),IF(AND(Sync!$AG799&gt;=10000101,Sync!$AG799&lt;=99991231),INT(Sync!$AG799/10000),""),IFERROR(VALUE(TRIM(LEFT(Sync!$AG799,FIND("/",Sync!$AG799)-1))),""))))</f>
        <v/>
      </c>
      <c r="H799">
        <f>IF(OR($F799="",$G799=""),"",IF(ISNUMBER(Sync!$AG799),INT(MOD(Sync!$AG799,10000)/100),IFERROR(VALUE(TRIM(LEFT(MID(Sync!$AG799,FIND("/",Sync!$AG799)+1,20),FIND("/",MID(Sync!$AG799,FIND("/",Sync!$AG799)+1,20))-1))),"")))</f>
        <v/>
      </c>
      <c r="I799">
        <f>IF(OR($F799="",$G799=""),"",IF(ISNUMBER(Sync!$AG799),MOD(Sync!$AG799,100),IFERROR(VALUE(TRIM(MID(MID(Sync!$AG799,FIND("/",Sync!$AG799)+1,20),FIND("/",MID(Sync!$AG799,FIND("/",Sync!$AG799)+1,20))+1,20))),"")))</f>
        <v/>
      </c>
      <c r="J799">
        <f>IF($F799="","",IF(OR($G799="",$H799="",$I799="",$G799&lt;1300,$G799&gt;1500,$H799&lt;1,$H799&gt;12,$I799&lt;1,$I799&gt;31),"نامعتبر",RIGHT("0000"&amp;$G799,4)&amp;"/"&amp;RIGHT("00"&amp;$H799,2)&amp;"/"&amp;RIGHT("00"&amp;$I799,2)))</f>
        <v/>
      </c>
      <c r="K799">
        <f>IF(OR($F799="",$J799="",$J799="نامعتبر"),"",LEFT($J799,4)&amp;MID($J799,6,2)&amp;RIGHT($J799,2)&amp;$N799&amp;"|"&amp;"2"&amp;RIGHT("00000"&amp;794,5))</f>
        <v/>
      </c>
      <c r="L799">
        <f>IF($K799="","",COUNTIFS(LdgPartyA,$F799,LdgKeyA,"&lt;"&amp;$K799)+COUNTIFS(LdgPartyB,$F799,LdgKeyB,"&lt;"&amp;$K799)+1)</f>
        <v/>
      </c>
      <c r="M799">
        <f>IF($L799="","",$F799&amp;"|"&amp;RIGHT("000000"&amp;$L799,6))</f>
        <v/>
      </c>
      <c r="N799">
        <f>IF($F799="","",IF(Sync!$AH799="","0000",IF(AND(ISNUMBER(Sync!$AH799),Sync!$AH799&gt;=0,Sync!$AH799&lt;1),RIGHT("00"&amp;HOUR(Sync!$AH799),2)&amp;RIGHT("00"&amp;MINUTE(Sync!$AH799),2),IFERROR(RIGHT("00"&amp;VALUE(LEFT(Sync!$AH799,FIND(":",Sync!$AH799)-1)),2)&amp;RIGHT("00"&amp;VALUE(MID(Sync!$AH799,FIND(":",Sync!$AH799)+1,2)),2),"0000"))))</f>
        <v/>
      </c>
    </row>
    <row r="800">
      <c r="A800">
        <f>IF(OR(Calc!$E803="",Calc!$E803="نامعتبر",Calc!$G803="",Calc!$I803&lt;&gt;"خرید"),"",Calc!$G803)</f>
        <v/>
      </c>
      <c r="B800">
        <f>IF($A800="","",LEFT(Calc!$E803,4)&amp;MID(Calc!$E803,6,2)&amp;RIGHT(Calc!$E803,2)&amp;Calc!$R803&amp;"|"&amp;"1"&amp;RIGHT("00000"&amp;795,5))</f>
        <v/>
      </c>
      <c r="C800">
        <f>IF($B800="","",COUNTIFS(LdgPartyA,$A800,LdgKeyA,"&lt;"&amp;$B800)+COUNTIFS(LdgPartyB,$A800,LdgKeyB,"&lt;"&amp;$B800)+1)</f>
        <v/>
      </c>
      <c r="D800">
        <f>IF($C800="","",$A800&amp;"|"&amp;RIGHT("000000"&amp;$C800,6))</f>
        <v/>
      </c>
      <c r="F800">
        <f>IF(Sync!$AJ800="","",Sync!$AJ800)</f>
        <v/>
      </c>
      <c r="G800">
        <f>IF($F800="","",IF(Sync!$AG800="","",IF(ISNUMBER(Sync!$AG800),IF(AND(Sync!$AG800&gt;=10000101,Sync!$AG800&lt;=99991231),INT(Sync!$AG800/10000),""),IFERROR(VALUE(TRIM(LEFT(Sync!$AG800,FIND("/",Sync!$AG800)-1))),""))))</f>
        <v/>
      </c>
      <c r="H800">
        <f>IF(OR($F800="",$G800=""),"",IF(ISNUMBER(Sync!$AG800),INT(MOD(Sync!$AG800,10000)/100),IFERROR(VALUE(TRIM(LEFT(MID(Sync!$AG800,FIND("/",Sync!$AG800)+1,20),FIND("/",MID(Sync!$AG800,FIND("/",Sync!$AG800)+1,20))-1))),"")))</f>
        <v/>
      </c>
      <c r="I800">
        <f>IF(OR($F800="",$G800=""),"",IF(ISNUMBER(Sync!$AG800),MOD(Sync!$AG800,100),IFERROR(VALUE(TRIM(MID(MID(Sync!$AG800,FIND("/",Sync!$AG800)+1,20),FIND("/",MID(Sync!$AG800,FIND("/",Sync!$AG800)+1,20))+1,20))),"")))</f>
        <v/>
      </c>
      <c r="J800">
        <f>IF($F800="","",IF(OR($G800="",$H800="",$I800="",$G800&lt;1300,$G800&gt;1500,$H800&lt;1,$H800&gt;12,$I800&lt;1,$I800&gt;31),"نامعتبر",RIGHT("0000"&amp;$G800,4)&amp;"/"&amp;RIGHT("00"&amp;$H800,2)&amp;"/"&amp;RIGHT("00"&amp;$I800,2)))</f>
        <v/>
      </c>
      <c r="K800">
        <f>IF(OR($F800="",$J800="",$J800="نامعتبر"),"",LEFT($J800,4)&amp;MID($J800,6,2)&amp;RIGHT($J800,2)&amp;$N800&amp;"|"&amp;"2"&amp;RIGHT("00000"&amp;795,5))</f>
        <v/>
      </c>
      <c r="L800">
        <f>IF($K800="","",COUNTIFS(LdgPartyA,$F800,LdgKeyA,"&lt;"&amp;$K800)+COUNTIFS(LdgPartyB,$F800,LdgKeyB,"&lt;"&amp;$K800)+1)</f>
        <v/>
      </c>
      <c r="M800">
        <f>IF($L800="","",$F800&amp;"|"&amp;RIGHT("000000"&amp;$L800,6))</f>
        <v/>
      </c>
      <c r="N800">
        <f>IF($F800="","",IF(Sync!$AH800="","0000",IF(AND(ISNUMBER(Sync!$AH800),Sync!$AH800&gt;=0,Sync!$AH800&lt;1),RIGHT("00"&amp;HOUR(Sync!$AH800),2)&amp;RIGHT("00"&amp;MINUTE(Sync!$AH800),2),IFERROR(RIGHT("00"&amp;VALUE(LEFT(Sync!$AH800,FIND(":",Sync!$AH800)-1)),2)&amp;RIGHT("00"&amp;VALUE(MID(Sync!$AH800,FIND(":",Sync!$AH800)+1,2)),2),"0000"))))</f>
        <v/>
      </c>
    </row>
    <row r="801">
      <c r="A801">
        <f>IF(OR(Calc!$E804="",Calc!$E804="نامعتبر",Calc!$G804="",Calc!$I804&lt;&gt;"خرید"),"",Calc!$G804)</f>
        <v/>
      </c>
      <c r="B801">
        <f>IF($A801="","",LEFT(Calc!$E804,4)&amp;MID(Calc!$E804,6,2)&amp;RIGHT(Calc!$E804,2)&amp;Calc!$R804&amp;"|"&amp;"1"&amp;RIGHT("00000"&amp;796,5))</f>
        <v/>
      </c>
      <c r="C801">
        <f>IF($B801="","",COUNTIFS(LdgPartyA,$A801,LdgKeyA,"&lt;"&amp;$B801)+COUNTIFS(LdgPartyB,$A801,LdgKeyB,"&lt;"&amp;$B801)+1)</f>
        <v/>
      </c>
      <c r="D801">
        <f>IF($C801="","",$A801&amp;"|"&amp;RIGHT("000000"&amp;$C801,6))</f>
        <v/>
      </c>
      <c r="F801">
        <f>IF(Sync!$AJ801="","",Sync!$AJ801)</f>
        <v/>
      </c>
      <c r="G801">
        <f>IF($F801="","",IF(Sync!$AG801="","",IF(ISNUMBER(Sync!$AG801),IF(AND(Sync!$AG801&gt;=10000101,Sync!$AG801&lt;=99991231),INT(Sync!$AG801/10000),""),IFERROR(VALUE(TRIM(LEFT(Sync!$AG801,FIND("/",Sync!$AG801)-1))),""))))</f>
        <v/>
      </c>
      <c r="H801">
        <f>IF(OR($F801="",$G801=""),"",IF(ISNUMBER(Sync!$AG801),INT(MOD(Sync!$AG801,10000)/100),IFERROR(VALUE(TRIM(LEFT(MID(Sync!$AG801,FIND("/",Sync!$AG801)+1,20),FIND("/",MID(Sync!$AG801,FIND("/",Sync!$AG801)+1,20))-1))),"")))</f>
        <v/>
      </c>
      <c r="I801">
        <f>IF(OR($F801="",$G801=""),"",IF(ISNUMBER(Sync!$AG801),MOD(Sync!$AG801,100),IFERROR(VALUE(TRIM(MID(MID(Sync!$AG801,FIND("/",Sync!$AG801)+1,20),FIND("/",MID(Sync!$AG801,FIND("/",Sync!$AG801)+1,20))+1,20))),"")))</f>
        <v/>
      </c>
      <c r="J801">
        <f>IF($F801="","",IF(OR($G801="",$H801="",$I801="",$G801&lt;1300,$G801&gt;1500,$H801&lt;1,$H801&gt;12,$I801&lt;1,$I801&gt;31),"نامعتبر",RIGHT("0000"&amp;$G801,4)&amp;"/"&amp;RIGHT("00"&amp;$H801,2)&amp;"/"&amp;RIGHT("00"&amp;$I801,2)))</f>
        <v/>
      </c>
      <c r="K801">
        <f>IF(OR($F801="",$J801="",$J801="نامعتبر"),"",LEFT($J801,4)&amp;MID($J801,6,2)&amp;RIGHT($J801,2)&amp;$N801&amp;"|"&amp;"2"&amp;RIGHT("00000"&amp;796,5))</f>
        <v/>
      </c>
      <c r="L801">
        <f>IF($K801="","",COUNTIFS(LdgPartyA,$F801,LdgKeyA,"&lt;"&amp;$K801)+COUNTIFS(LdgPartyB,$F801,LdgKeyB,"&lt;"&amp;$K801)+1)</f>
        <v/>
      </c>
      <c r="M801">
        <f>IF($L801="","",$F801&amp;"|"&amp;RIGHT("000000"&amp;$L801,6))</f>
        <v/>
      </c>
      <c r="N801">
        <f>IF($F801="","",IF(Sync!$AH801="","0000",IF(AND(ISNUMBER(Sync!$AH801),Sync!$AH801&gt;=0,Sync!$AH801&lt;1),RIGHT("00"&amp;HOUR(Sync!$AH801),2)&amp;RIGHT("00"&amp;MINUTE(Sync!$AH801),2),IFERROR(RIGHT("00"&amp;VALUE(LEFT(Sync!$AH801,FIND(":",Sync!$AH801)-1)),2)&amp;RIGHT("00"&amp;VALUE(MID(Sync!$AH801,FIND(":",Sync!$AH801)+1,2)),2),"0000"))))</f>
        <v/>
      </c>
    </row>
    <row r="802">
      <c r="A802">
        <f>IF(OR(Calc!$E805="",Calc!$E805="نامعتبر",Calc!$G805="",Calc!$I805&lt;&gt;"خرید"),"",Calc!$G805)</f>
        <v/>
      </c>
      <c r="B802">
        <f>IF($A802="","",LEFT(Calc!$E805,4)&amp;MID(Calc!$E805,6,2)&amp;RIGHT(Calc!$E805,2)&amp;Calc!$R805&amp;"|"&amp;"1"&amp;RIGHT("00000"&amp;797,5))</f>
        <v/>
      </c>
      <c r="C802">
        <f>IF($B802="","",COUNTIFS(LdgPartyA,$A802,LdgKeyA,"&lt;"&amp;$B802)+COUNTIFS(LdgPartyB,$A802,LdgKeyB,"&lt;"&amp;$B802)+1)</f>
        <v/>
      </c>
      <c r="D802">
        <f>IF($C802="","",$A802&amp;"|"&amp;RIGHT("000000"&amp;$C802,6))</f>
        <v/>
      </c>
      <c r="F802">
        <f>IF(Sync!$AJ802="","",Sync!$AJ802)</f>
        <v/>
      </c>
      <c r="G802">
        <f>IF($F802="","",IF(Sync!$AG802="","",IF(ISNUMBER(Sync!$AG802),IF(AND(Sync!$AG802&gt;=10000101,Sync!$AG802&lt;=99991231),INT(Sync!$AG802/10000),""),IFERROR(VALUE(TRIM(LEFT(Sync!$AG802,FIND("/",Sync!$AG802)-1))),""))))</f>
        <v/>
      </c>
      <c r="H802">
        <f>IF(OR($F802="",$G802=""),"",IF(ISNUMBER(Sync!$AG802),INT(MOD(Sync!$AG802,10000)/100),IFERROR(VALUE(TRIM(LEFT(MID(Sync!$AG802,FIND("/",Sync!$AG802)+1,20),FIND("/",MID(Sync!$AG802,FIND("/",Sync!$AG802)+1,20))-1))),"")))</f>
        <v/>
      </c>
      <c r="I802">
        <f>IF(OR($F802="",$G802=""),"",IF(ISNUMBER(Sync!$AG802),MOD(Sync!$AG802,100),IFERROR(VALUE(TRIM(MID(MID(Sync!$AG802,FIND("/",Sync!$AG802)+1,20),FIND("/",MID(Sync!$AG802,FIND("/",Sync!$AG802)+1,20))+1,20))),"")))</f>
        <v/>
      </c>
      <c r="J802">
        <f>IF($F802="","",IF(OR($G802="",$H802="",$I802="",$G802&lt;1300,$G802&gt;1500,$H802&lt;1,$H802&gt;12,$I802&lt;1,$I802&gt;31),"نامعتبر",RIGHT("0000"&amp;$G802,4)&amp;"/"&amp;RIGHT("00"&amp;$H802,2)&amp;"/"&amp;RIGHT("00"&amp;$I802,2)))</f>
        <v/>
      </c>
      <c r="K802">
        <f>IF(OR($F802="",$J802="",$J802="نامعتبر"),"",LEFT($J802,4)&amp;MID($J802,6,2)&amp;RIGHT($J802,2)&amp;$N802&amp;"|"&amp;"2"&amp;RIGHT("00000"&amp;797,5))</f>
        <v/>
      </c>
      <c r="L802">
        <f>IF($K802="","",COUNTIFS(LdgPartyA,$F802,LdgKeyA,"&lt;"&amp;$K802)+COUNTIFS(LdgPartyB,$F802,LdgKeyB,"&lt;"&amp;$K802)+1)</f>
        <v/>
      </c>
      <c r="M802">
        <f>IF($L802="","",$F802&amp;"|"&amp;RIGHT("000000"&amp;$L802,6))</f>
        <v/>
      </c>
      <c r="N802">
        <f>IF($F802="","",IF(Sync!$AH802="","0000",IF(AND(ISNUMBER(Sync!$AH802),Sync!$AH802&gt;=0,Sync!$AH802&lt;1),RIGHT("00"&amp;HOUR(Sync!$AH802),2)&amp;RIGHT("00"&amp;MINUTE(Sync!$AH802),2),IFERROR(RIGHT("00"&amp;VALUE(LEFT(Sync!$AH802,FIND(":",Sync!$AH802)-1)),2)&amp;RIGHT("00"&amp;VALUE(MID(Sync!$AH802,FIND(":",Sync!$AH802)+1,2)),2),"0000"))))</f>
        <v/>
      </c>
    </row>
    <row r="803">
      <c r="A803">
        <f>IF(OR(Calc!$E806="",Calc!$E806="نامعتبر",Calc!$G806="",Calc!$I806&lt;&gt;"خرید"),"",Calc!$G806)</f>
        <v/>
      </c>
      <c r="B803">
        <f>IF($A803="","",LEFT(Calc!$E806,4)&amp;MID(Calc!$E806,6,2)&amp;RIGHT(Calc!$E806,2)&amp;Calc!$R806&amp;"|"&amp;"1"&amp;RIGHT("00000"&amp;798,5))</f>
        <v/>
      </c>
      <c r="C803">
        <f>IF($B803="","",COUNTIFS(LdgPartyA,$A803,LdgKeyA,"&lt;"&amp;$B803)+COUNTIFS(LdgPartyB,$A803,LdgKeyB,"&lt;"&amp;$B803)+1)</f>
        <v/>
      </c>
      <c r="D803">
        <f>IF($C803="","",$A803&amp;"|"&amp;RIGHT("000000"&amp;$C803,6))</f>
        <v/>
      </c>
      <c r="F803">
        <f>IF(Sync!$AJ803="","",Sync!$AJ803)</f>
        <v/>
      </c>
      <c r="G803">
        <f>IF($F803="","",IF(Sync!$AG803="","",IF(ISNUMBER(Sync!$AG803),IF(AND(Sync!$AG803&gt;=10000101,Sync!$AG803&lt;=99991231),INT(Sync!$AG803/10000),""),IFERROR(VALUE(TRIM(LEFT(Sync!$AG803,FIND("/",Sync!$AG803)-1))),""))))</f>
        <v/>
      </c>
      <c r="H803">
        <f>IF(OR($F803="",$G803=""),"",IF(ISNUMBER(Sync!$AG803),INT(MOD(Sync!$AG803,10000)/100),IFERROR(VALUE(TRIM(LEFT(MID(Sync!$AG803,FIND("/",Sync!$AG803)+1,20),FIND("/",MID(Sync!$AG803,FIND("/",Sync!$AG803)+1,20))-1))),"")))</f>
        <v/>
      </c>
      <c r="I803">
        <f>IF(OR($F803="",$G803=""),"",IF(ISNUMBER(Sync!$AG803),MOD(Sync!$AG803,100),IFERROR(VALUE(TRIM(MID(MID(Sync!$AG803,FIND("/",Sync!$AG803)+1,20),FIND("/",MID(Sync!$AG803,FIND("/",Sync!$AG803)+1,20))+1,20))),"")))</f>
        <v/>
      </c>
      <c r="J803">
        <f>IF($F803="","",IF(OR($G803="",$H803="",$I803="",$G803&lt;1300,$G803&gt;1500,$H803&lt;1,$H803&gt;12,$I803&lt;1,$I803&gt;31),"نامعتبر",RIGHT("0000"&amp;$G803,4)&amp;"/"&amp;RIGHT("00"&amp;$H803,2)&amp;"/"&amp;RIGHT("00"&amp;$I803,2)))</f>
        <v/>
      </c>
      <c r="K803">
        <f>IF(OR($F803="",$J803="",$J803="نامعتبر"),"",LEFT($J803,4)&amp;MID($J803,6,2)&amp;RIGHT($J803,2)&amp;$N803&amp;"|"&amp;"2"&amp;RIGHT("00000"&amp;798,5))</f>
        <v/>
      </c>
      <c r="L803">
        <f>IF($K803="","",COUNTIFS(LdgPartyA,$F803,LdgKeyA,"&lt;"&amp;$K803)+COUNTIFS(LdgPartyB,$F803,LdgKeyB,"&lt;"&amp;$K803)+1)</f>
        <v/>
      </c>
      <c r="M803">
        <f>IF($L803="","",$F803&amp;"|"&amp;RIGHT("000000"&amp;$L803,6))</f>
        <v/>
      </c>
      <c r="N803">
        <f>IF($F803="","",IF(Sync!$AH803="","0000",IF(AND(ISNUMBER(Sync!$AH803),Sync!$AH803&gt;=0,Sync!$AH803&lt;1),RIGHT("00"&amp;HOUR(Sync!$AH803),2)&amp;RIGHT("00"&amp;MINUTE(Sync!$AH803),2),IFERROR(RIGHT("00"&amp;VALUE(LEFT(Sync!$AH803,FIND(":",Sync!$AH803)-1)),2)&amp;RIGHT("00"&amp;VALUE(MID(Sync!$AH803,FIND(":",Sync!$AH803)+1,2)),2),"0000"))))</f>
        <v/>
      </c>
    </row>
    <row r="804">
      <c r="A804">
        <f>IF(OR(Calc!$E807="",Calc!$E807="نامعتبر",Calc!$G807="",Calc!$I807&lt;&gt;"خرید"),"",Calc!$G807)</f>
        <v/>
      </c>
      <c r="B804">
        <f>IF($A804="","",LEFT(Calc!$E807,4)&amp;MID(Calc!$E807,6,2)&amp;RIGHT(Calc!$E807,2)&amp;Calc!$R807&amp;"|"&amp;"1"&amp;RIGHT("00000"&amp;799,5))</f>
        <v/>
      </c>
      <c r="C804">
        <f>IF($B804="","",COUNTIFS(LdgPartyA,$A804,LdgKeyA,"&lt;"&amp;$B804)+COUNTIFS(LdgPartyB,$A804,LdgKeyB,"&lt;"&amp;$B804)+1)</f>
        <v/>
      </c>
      <c r="D804">
        <f>IF($C804="","",$A804&amp;"|"&amp;RIGHT("000000"&amp;$C804,6))</f>
        <v/>
      </c>
      <c r="F804">
        <f>IF(Sync!$AJ804="","",Sync!$AJ804)</f>
        <v/>
      </c>
      <c r="G804">
        <f>IF($F804="","",IF(Sync!$AG804="","",IF(ISNUMBER(Sync!$AG804),IF(AND(Sync!$AG804&gt;=10000101,Sync!$AG804&lt;=99991231),INT(Sync!$AG804/10000),""),IFERROR(VALUE(TRIM(LEFT(Sync!$AG804,FIND("/",Sync!$AG804)-1))),""))))</f>
        <v/>
      </c>
      <c r="H804">
        <f>IF(OR($F804="",$G804=""),"",IF(ISNUMBER(Sync!$AG804),INT(MOD(Sync!$AG804,10000)/100),IFERROR(VALUE(TRIM(LEFT(MID(Sync!$AG804,FIND("/",Sync!$AG804)+1,20),FIND("/",MID(Sync!$AG804,FIND("/",Sync!$AG804)+1,20))-1))),"")))</f>
        <v/>
      </c>
      <c r="I804">
        <f>IF(OR($F804="",$G804=""),"",IF(ISNUMBER(Sync!$AG804),MOD(Sync!$AG804,100),IFERROR(VALUE(TRIM(MID(MID(Sync!$AG804,FIND("/",Sync!$AG804)+1,20),FIND("/",MID(Sync!$AG804,FIND("/",Sync!$AG804)+1,20))+1,20))),"")))</f>
        <v/>
      </c>
      <c r="J804">
        <f>IF($F804="","",IF(OR($G804="",$H804="",$I804="",$G804&lt;1300,$G804&gt;1500,$H804&lt;1,$H804&gt;12,$I804&lt;1,$I804&gt;31),"نامعتبر",RIGHT("0000"&amp;$G804,4)&amp;"/"&amp;RIGHT("00"&amp;$H804,2)&amp;"/"&amp;RIGHT("00"&amp;$I804,2)))</f>
        <v/>
      </c>
      <c r="K804">
        <f>IF(OR($F804="",$J804="",$J804="نامعتبر"),"",LEFT($J804,4)&amp;MID($J804,6,2)&amp;RIGHT($J804,2)&amp;$N804&amp;"|"&amp;"2"&amp;RIGHT("00000"&amp;799,5))</f>
        <v/>
      </c>
      <c r="L804">
        <f>IF($K804="","",COUNTIFS(LdgPartyA,$F804,LdgKeyA,"&lt;"&amp;$K804)+COUNTIFS(LdgPartyB,$F804,LdgKeyB,"&lt;"&amp;$K804)+1)</f>
        <v/>
      </c>
      <c r="M804">
        <f>IF($L804="","",$F804&amp;"|"&amp;RIGHT("000000"&amp;$L804,6))</f>
        <v/>
      </c>
      <c r="N804">
        <f>IF($F804="","",IF(Sync!$AH804="","0000",IF(AND(ISNUMBER(Sync!$AH804),Sync!$AH804&gt;=0,Sync!$AH804&lt;1),RIGHT("00"&amp;HOUR(Sync!$AH804),2)&amp;RIGHT("00"&amp;MINUTE(Sync!$AH804),2),IFERROR(RIGHT("00"&amp;VALUE(LEFT(Sync!$AH804,FIND(":",Sync!$AH804)-1)),2)&amp;RIGHT("00"&amp;VALUE(MID(Sync!$AH804,FIND(":",Sync!$AH804)+1,2)),2),"0000"))))</f>
        <v/>
      </c>
    </row>
    <row r="805">
      <c r="A805">
        <f>IF(OR(Calc!$E808="",Calc!$E808="نامعتبر",Calc!$G808="",Calc!$I808&lt;&gt;"خرید"),"",Calc!$G808)</f>
        <v/>
      </c>
      <c r="B805">
        <f>IF($A805="","",LEFT(Calc!$E808,4)&amp;MID(Calc!$E808,6,2)&amp;RIGHT(Calc!$E808,2)&amp;Calc!$R808&amp;"|"&amp;"1"&amp;RIGHT("00000"&amp;800,5))</f>
        <v/>
      </c>
      <c r="C805">
        <f>IF($B805="","",COUNTIFS(LdgPartyA,$A805,LdgKeyA,"&lt;"&amp;$B805)+COUNTIFS(LdgPartyB,$A805,LdgKeyB,"&lt;"&amp;$B805)+1)</f>
        <v/>
      </c>
      <c r="D805">
        <f>IF($C805="","",$A805&amp;"|"&amp;RIGHT("000000"&amp;$C805,6))</f>
        <v/>
      </c>
      <c r="F805">
        <f>IF(Sync!$AJ805="","",Sync!$AJ805)</f>
        <v/>
      </c>
      <c r="G805">
        <f>IF($F805="","",IF(Sync!$AG805="","",IF(ISNUMBER(Sync!$AG805),IF(AND(Sync!$AG805&gt;=10000101,Sync!$AG805&lt;=99991231),INT(Sync!$AG805/10000),""),IFERROR(VALUE(TRIM(LEFT(Sync!$AG805,FIND("/",Sync!$AG805)-1))),""))))</f>
        <v/>
      </c>
      <c r="H805">
        <f>IF(OR($F805="",$G805=""),"",IF(ISNUMBER(Sync!$AG805),INT(MOD(Sync!$AG805,10000)/100),IFERROR(VALUE(TRIM(LEFT(MID(Sync!$AG805,FIND("/",Sync!$AG805)+1,20),FIND("/",MID(Sync!$AG805,FIND("/",Sync!$AG805)+1,20))-1))),"")))</f>
        <v/>
      </c>
      <c r="I805">
        <f>IF(OR($F805="",$G805=""),"",IF(ISNUMBER(Sync!$AG805),MOD(Sync!$AG805,100),IFERROR(VALUE(TRIM(MID(MID(Sync!$AG805,FIND("/",Sync!$AG805)+1,20),FIND("/",MID(Sync!$AG805,FIND("/",Sync!$AG805)+1,20))+1,20))),"")))</f>
        <v/>
      </c>
      <c r="J805">
        <f>IF($F805="","",IF(OR($G805="",$H805="",$I805="",$G805&lt;1300,$G805&gt;1500,$H805&lt;1,$H805&gt;12,$I805&lt;1,$I805&gt;31),"نامعتبر",RIGHT("0000"&amp;$G805,4)&amp;"/"&amp;RIGHT("00"&amp;$H805,2)&amp;"/"&amp;RIGHT("00"&amp;$I805,2)))</f>
        <v/>
      </c>
      <c r="K805">
        <f>IF(OR($F805="",$J805="",$J805="نامعتبر"),"",LEFT($J805,4)&amp;MID($J805,6,2)&amp;RIGHT($J805,2)&amp;$N805&amp;"|"&amp;"2"&amp;RIGHT("00000"&amp;800,5))</f>
        <v/>
      </c>
      <c r="L805">
        <f>IF($K805="","",COUNTIFS(LdgPartyA,$F805,LdgKeyA,"&lt;"&amp;$K805)+COUNTIFS(LdgPartyB,$F805,LdgKeyB,"&lt;"&amp;$K805)+1)</f>
        <v/>
      </c>
      <c r="M805">
        <f>IF($L805="","",$F805&amp;"|"&amp;RIGHT("000000"&amp;$L805,6))</f>
        <v/>
      </c>
      <c r="N805">
        <f>IF($F805="","",IF(Sync!$AH805="","0000",IF(AND(ISNUMBER(Sync!$AH805),Sync!$AH805&gt;=0,Sync!$AH805&lt;1),RIGHT("00"&amp;HOUR(Sync!$AH805),2)&amp;RIGHT("00"&amp;MINUTE(Sync!$AH805),2),IFERROR(RIGHT("00"&amp;VALUE(LEFT(Sync!$AH805,FIND(":",Sync!$AH805)-1)),2)&amp;RIGHT("00"&amp;VALUE(MID(Sync!$AH805,FIND(":",Sync!$AH805)+1,2)),2),"0000"))))</f>
        <v/>
      </c>
    </row>
    <row r="806">
      <c r="A806">
        <f>IF(OR(Calc!$E809="",Calc!$E809="نامعتبر",Calc!$G809="",Calc!$I809&lt;&gt;"خرید"),"",Calc!$G809)</f>
        <v/>
      </c>
      <c r="B806">
        <f>IF($A806="","",LEFT(Calc!$E809,4)&amp;MID(Calc!$E809,6,2)&amp;RIGHT(Calc!$E809,2)&amp;Calc!$R809&amp;"|"&amp;"1"&amp;RIGHT("00000"&amp;801,5))</f>
        <v/>
      </c>
      <c r="C806">
        <f>IF($B806="","",COUNTIFS(LdgPartyA,$A806,LdgKeyA,"&lt;"&amp;$B806)+COUNTIFS(LdgPartyB,$A806,LdgKeyB,"&lt;"&amp;$B806)+1)</f>
        <v/>
      </c>
      <c r="D806">
        <f>IF($C806="","",$A806&amp;"|"&amp;RIGHT("000000"&amp;$C806,6))</f>
        <v/>
      </c>
      <c r="F806">
        <f>IF(Sync!$AJ806="","",Sync!$AJ806)</f>
        <v/>
      </c>
      <c r="G806">
        <f>IF($F806="","",IF(Sync!$AG806="","",IF(ISNUMBER(Sync!$AG806),IF(AND(Sync!$AG806&gt;=10000101,Sync!$AG806&lt;=99991231),INT(Sync!$AG806/10000),""),IFERROR(VALUE(TRIM(LEFT(Sync!$AG806,FIND("/",Sync!$AG806)-1))),""))))</f>
        <v/>
      </c>
      <c r="H806">
        <f>IF(OR($F806="",$G806=""),"",IF(ISNUMBER(Sync!$AG806),INT(MOD(Sync!$AG806,10000)/100),IFERROR(VALUE(TRIM(LEFT(MID(Sync!$AG806,FIND("/",Sync!$AG806)+1,20),FIND("/",MID(Sync!$AG806,FIND("/",Sync!$AG806)+1,20))-1))),"")))</f>
        <v/>
      </c>
      <c r="I806">
        <f>IF(OR($F806="",$G806=""),"",IF(ISNUMBER(Sync!$AG806),MOD(Sync!$AG806,100),IFERROR(VALUE(TRIM(MID(MID(Sync!$AG806,FIND("/",Sync!$AG806)+1,20),FIND("/",MID(Sync!$AG806,FIND("/",Sync!$AG806)+1,20))+1,20))),"")))</f>
        <v/>
      </c>
      <c r="J806">
        <f>IF($F806="","",IF(OR($G806="",$H806="",$I806="",$G806&lt;1300,$G806&gt;1500,$H806&lt;1,$H806&gt;12,$I806&lt;1,$I806&gt;31),"نامعتبر",RIGHT("0000"&amp;$G806,4)&amp;"/"&amp;RIGHT("00"&amp;$H806,2)&amp;"/"&amp;RIGHT("00"&amp;$I806,2)))</f>
        <v/>
      </c>
      <c r="K806">
        <f>IF(OR($F806="",$J806="",$J806="نامعتبر"),"",LEFT($J806,4)&amp;MID($J806,6,2)&amp;RIGHT($J806,2)&amp;$N806&amp;"|"&amp;"2"&amp;RIGHT("00000"&amp;801,5))</f>
        <v/>
      </c>
      <c r="L806">
        <f>IF($K806="","",COUNTIFS(LdgPartyA,$F806,LdgKeyA,"&lt;"&amp;$K806)+COUNTIFS(LdgPartyB,$F806,LdgKeyB,"&lt;"&amp;$K806)+1)</f>
        <v/>
      </c>
      <c r="M806">
        <f>IF($L806="","",$F806&amp;"|"&amp;RIGHT("000000"&amp;$L806,6))</f>
        <v/>
      </c>
      <c r="N806">
        <f>IF($F806="","",IF(Sync!$AH806="","0000",IF(AND(ISNUMBER(Sync!$AH806),Sync!$AH806&gt;=0,Sync!$AH806&lt;1),RIGHT("00"&amp;HOUR(Sync!$AH806),2)&amp;RIGHT("00"&amp;MINUTE(Sync!$AH806),2),IFERROR(RIGHT("00"&amp;VALUE(LEFT(Sync!$AH806,FIND(":",Sync!$AH806)-1)),2)&amp;RIGHT("00"&amp;VALUE(MID(Sync!$AH806,FIND(":",Sync!$AH806)+1,2)),2),"0000"))))</f>
        <v/>
      </c>
    </row>
    <row r="807">
      <c r="A807">
        <f>IF(OR(Calc!$E810="",Calc!$E810="نامعتبر",Calc!$G810="",Calc!$I810&lt;&gt;"خرید"),"",Calc!$G810)</f>
        <v/>
      </c>
      <c r="B807">
        <f>IF($A807="","",LEFT(Calc!$E810,4)&amp;MID(Calc!$E810,6,2)&amp;RIGHT(Calc!$E810,2)&amp;Calc!$R810&amp;"|"&amp;"1"&amp;RIGHT("00000"&amp;802,5))</f>
        <v/>
      </c>
      <c r="C807">
        <f>IF($B807="","",COUNTIFS(LdgPartyA,$A807,LdgKeyA,"&lt;"&amp;$B807)+COUNTIFS(LdgPartyB,$A807,LdgKeyB,"&lt;"&amp;$B807)+1)</f>
        <v/>
      </c>
      <c r="D807">
        <f>IF($C807="","",$A807&amp;"|"&amp;RIGHT("000000"&amp;$C807,6))</f>
        <v/>
      </c>
      <c r="F807">
        <f>IF(Sync!$AJ807="","",Sync!$AJ807)</f>
        <v/>
      </c>
      <c r="G807">
        <f>IF($F807="","",IF(Sync!$AG807="","",IF(ISNUMBER(Sync!$AG807),IF(AND(Sync!$AG807&gt;=10000101,Sync!$AG807&lt;=99991231),INT(Sync!$AG807/10000),""),IFERROR(VALUE(TRIM(LEFT(Sync!$AG807,FIND("/",Sync!$AG807)-1))),""))))</f>
        <v/>
      </c>
      <c r="H807">
        <f>IF(OR($F807="",$G807=""),"",IF(ISNUMBER(Sync!$AG807),INT(MOD(Sync!$AG807,10000)/100),IFERROR(VALUE(TRIM(LEFT(MID(Sync!$AG807,FIND("/",Sync!$AG807)+1,20),FIND("/",MID(Sync!$AG807,FIND("/",Sync!$AG807)+1,20))-1))),"")))</f>
        <v/>
      </c>
      <c r="I807">
        <f>IF(OR($F807="",$G807=""),"",IF(ISNUMBER(Sync!$AG807),MOD(Sync!$AG807,100),IFERROR(VALUE(TRIM(MID(MID(Sync!$AG807,FIND("/",Sync!$AG807)+1,20),FIND("/",MID(Sync!$AG807,FIND("/",Sync!$AG807)+1,20))+1,20))),"")))</f>
        <v/>
      </c>
      <c r="J807">
        <f>IF($F807="","",IF(OR($G807="",$H807="",$I807="",$G807&lt;1300,$G807&gt;1500,$H807&lt;1,$H807&gt;12,$I807&lt;1,$I807&gt;31),"نامعتبر",RIGHT("0000"&amp;$G807,4)&amp;"/"&amp;RIGHT("00"&amp;$H807,2)&amp;"/"&amp;RIGHT("00"&amp;$I807,2)))</f>
        <v/>
      </c>
      <c r="K807">
        <f>IF(OR($F807="",$J807="",$J807="نامعتبر"),"",LEFT($J807,4)&amp;MID($J807,6,2)&amp;RIGHT($J807,2)&amp;$N807&amp;"|"&amp;"2"&amp;RIGHT("00000"&amp;802,5))</f>
        <v/>
      </c>
      <c r="L807">
        <f>IF($K807="","",COUNTIFS(LdgPartyA,$F807,LdgKeyA,"&lt;"&amp;$K807)+COUNTIFS(LdgPartyB,$F807,LdgKeyB,"&lt;"&amp;$K807)+1)</f>
        <v/>
      </c>
      <c r="M807">
        <f>IF($L807="","",$F807&amp;"|"&amp;RIGHT("000000"&amp;$L807,6))</f>
        <v/>
      </c>
      <c r="N807">
        <f>IF($F807="","",IF(Sync!$AH807="","0000",IF(AND(ISNUMBER(Sync!$AH807),Sync!$AH807&gt;=0,Sync!$AH807&lt;1),RIGHT("00"&amp;HOUR(Sync!$AH807),2)&amp;RIGHT("00"&amp;MINUTE(Sync!$AH807),2),IFERROR(RIGHT("00"&amp;VALUE(LEFT(Sync!$AH807,FIND(":",Sync!$AH807)-1)),2)&amp;RIGHT("00"&amp;VALUE(MID(Sync!$AH807,FIND(":",Sync!$AH807)+1,2)),2),"0000"))))</f>
        <v/>
      </c>
    </row>
    <row r="808">
      <c r="A808">
        <f>IF(OR(Calc!$E811="",Calc!$E811="نامعتبر",Calc!$G811="",Calc!$I811&lt;&gt;"خرید"),"",Calc!$G811)</f>
        <v/>
      </c>
      <c r="B808">
        <f>IF($A808="","",LEFT(Calc!$E811,4)&amp;MID(Calc!$E811,6,2)&amp;RIGHT(Calc!$E811,2)&amp;Calc!$R811&amp;"|"&amp;"1"&amp;RIGHT("00000"&amp;803,5))</f>
        <v/>
      </c>
      <c r="C808">
        <f>IF($B808="","",COUNTIFS(LdgPartyA,$A808,LdgKeyA,"&lt;"&amp;$B808)+COUNTIFS(LdgPartyB,$A808,LdgKeyB,"&lt;"&amp;$B808)+1)</f>
        <v/>
      </c>
      <c r="D808">
        <f>IF($C808="","",$A808&amp;"|"&amp;RIGHT("000000"&amp;$C808,6))</f>
        <v/>
      </c>
      <c r="F808">
        <f>IF(Sync!$AJ808="","",Sync!$AJ808)</f>
        <v/>
      </c>
      <c r="G808">
        <f>IF($F808="","",IF(Sync!$AG808="","",IF(ISNUMBER(Sync!$AG808),IF(AND(Sync!$AG808&gt;=10000101,Sync!$AG808&lt;=99991231),INT(Sync!$AG808/10000),""),IFERROR(VALUE(TRIM(LEFT(Sync!$AG808,FIND("/",Sync!$AG808)-1))),""))))</f>
        <v/>
      </c>
      <c r="H808">
        <f>IF(OR($F808="",$G808=""),"",IF(ISNUMBER(Sync!$AG808),INT(MOD(Sync!$AG808,10000)/100),IFERROR(VALUE(TRIM(LEFT(MID(Sync!$AG808,FIND("/",Sync!$AG808)+1,20),FIND("/",MID(Sync!$AG808,FIND("/",Sync!$AG808)+1,20))-1))),"")))</f>
        <v/>
      </c>
      <c r="I808">
        <f>IF(OR($F808="",$G808=""),"",IF(ISNUMBER(Sync!$AG808),MOD(Sync!$AG808,100),IFERROR(VALUE(TRIM(MID(MID(Sync!$AG808,FIND("/",Sync!$AG808)+1,20),FIND("/",MID(Sync!$AG808,FIND("/",Sync!$AG808)+1,20))+1,20))),"")))</f>
        <v/>
      </c>
      <c r="J808">
        <f>IF($F808="","",IF(OR($G808="",$H808="",$I808="",$G808&lt;1300,$G808&gt;1500,$H808&lt;1,$H808&gt;12,$I808&lt;1,$I808&gt;31),"نامعتبر",RIGHT("0000"&amp;$G808,4)&amp;"/"&amp;RIGHT("00"&amp;$H808,2)&amp;"/"&amp;RIGHT("00"&amp;$I808,2)))</f>
        <v/>
      </c>
      <c r="K808">
        <f>IF(OR($F808="",$J808="",$J808="نامعتبر"),"",LEFT($J808,4)&amp;MID($J808,6,2)&amp;RIGHT($J808,2)&amp;$N808&amp;"|"&amp;"2"&amp;RIGHT("00000"&amp;803,5))</f>
        <v/>
      </c>
      <c r="L808">
        <f>IF($K808="","",COUNTIFS(LdgPartyA,$F808,LdgKeyA,"&lt;"&amp;$K808)+COUNTIFS(LdgPartyB,$F808,LdgKeyB,"&lt;"&amp;$K808)+1)</f>
        <v/>
      </c>
      <c r="M808">
        <f>IF($L808="","",$F808&amp;"|"&amp;RIGHT("000000"&amp;$L808,6))</f>
        <v/>
      </c>
      <c r="N808">
        <f>IF($F808="","",IF(Sync!$AH808="","0000",IF(AND(ISNUMBER(Sync!$AH808),Sync!$AH808&gt;=0,Sync!$AH808&lt;1),RIGHT("00"&amp;HOUR(Sync!$AH808),2)&amp;RIGHT("00"&amp;MINUTE(Sync!$AH808),2),IFERROR(RIGHT("00"&amp;VALUE(LEFT(Sync!$AH808,FIND(":",Sync!$AH808)-1)),2)&amp;RIGHT("00"&amp;VALUE(MID(Sync!$AH808,FIND(":",Sync!$AH808)+1,2)),2),"0000"))))</f>
        <v/>
      </c>
    </row>
    <row r="809">
      <c r="A809">
        <f>IF(OR(Calc!$E812="",Calc!$E812="نامعتبر",Calc!$G812="",Calc!$I812&lt;&gt;"خرید"),"",Calc!$G812)</f>
        <v/>
      </c>
      <c r="B809">
        <f>IF($A809="","",LEFT(Calc!$E812,4)&amp;MID(Calc!$E812,6,2)&amp;RIGHT(Calc!$E812,2)&amp;Calc!$R812&amp;"|"&amp;"1"&amp;RIGHT("00000"&amp;804,5))</f>
        <v/>
      </c>
      <c r="C809">
        <f>IF($B809="","",COUNTIFS(LdgPartyA,$A809,LdgKeyA,"&lt;"&amp;$B809)+COUNTIFS(LdgPartyB,$A809,LdgKeyB,"&lt;"&amp;$B809)+1)</f>
        <v/>
      </c>
      <c r="D809">
        <f>IF($C809="","",$A809&amp;"|"&amp;RIGHT("000000"&amp;$C809,6))</f>
        <v/>
      </c>
      <c r="F809">
        <f>IF(Sync!$AJ809="","",Sync!$AJ809)</f>
        <v/>
      </c>
      <c r="G809">
        <f>IF($F809="","",IF(Sync!$AG809="","",IF(ISNUMBER(Sync!$AG809),IF(AND(Sync!$AG809&gt;=10000101,Sync!$AG809&lt;=99991231),INT(Sync!$AG809/10000),""),IFERROR(VALUE(TRIM(LEFT(Sync!$AG809,FIND("/",Sync!$AG809)-1))),""))))</f>
        <v/>
      </c>
      <c r="H809">
        <f>IF(OR($F809="",$G809=""),"",IF(ISNUMBER(Sync!$AG809),INT(MOD(Sync!$AG809,10000)/100),IFERROR(VALUE(TRIM(LEFT(MID(Sync!$AG809,FIND("/",Sync!$AG809)+1,20),FIND("/",MID(Sync!$AG809,FIND("/",Sync!$AG809)+1,20))-1))),"")))</f>
        <v/>
      </c>
      <c r="I809">
        <f>IF(OR($F809="",$G809=""),"",IF(ISNUMBER(Sync!$AG809),MOD(Sync!$AG809,100),IFERROR(VALUE(TRIM(MID(MID(Sync!$AG809,FIND("/",Sync!$AG809)+1,20),FIND("/",MID(Sync!$AG809,FIND("/",Sync!$AG809)+1,20))+1,20))),"")))</f>
        <v/>
      </c>
      <c r="J809">
        <f>IF($F809="","",IF(OR($G809="",$H809="",$I809="",$G809&lt;1300,$G809&gt;1500,$H809&lt;1,$H809&gt;12,$I809&lt;1,$I809&gt;31),"نامعتبر",RIGHT("0000"&amp;$G809,4)&amp;"/"&amp;RIGHT("00"&amp;$H809,2)&amp;"/"&amp;RIGHT("00"&amp;$I809,2)))</f>
        <v/>
      </c>
      <c r="K809">
        <f>IF(OR($F809="",$J809="",$J809="نامعتبر"),"",LEFT($J809,4)&amp;MID($J809,6,2)&amp;RIGHT($J809,2)&amp;$N809&amp;"|"&amp;"2"&amp;RIGHT("00000"&amp;804,5))</f>
        <v/>
      </c>
      <c r="L809">
        <f>IF($K809="","",COUNTIFS(LdgPartyA,$F809,LdgKeyA,"&lt;"&amp;$K809)+COUNTIFS(LdgPartyB,$F809,LdgKeyB,"&lt;"&amp;$K809)+1)</f>
        <v/>
      </c>
      <c r="M809">
        <f>IF($L809="","",$F809&amp;"|"&amp;RIGHT("000000"&amp;$L809,6))</f>
        <v/>
      </c>
      <c r="N809">
        <f>IF($F809="","",IF(Sync!$AH809="","0000",IF(AND(ISNUMBER(Sync!$AH809),Sync!$AH809&gt;=0,Sync!$AH809&lt;1),RIGHT("00"&amp;HOUR(Sync!$AH809),2)&amp;RIGHT("00"&amp;MINUTE(Sync!$AH809),2),IFERROR(RIGHT("00"&amp;VALUE(LEFT(Sync!$AH809,FIND(":",Sync!$AH809)-1)),2)&amp;RIGHT("00"&amp;VALUE(MID(Sync!$AH809,FIND(":",Sync!$AH809)+1,2)),2),"0000"))))</f>
        <v/>
      </c>
    </row>
    <row r="810">
      <c r="A810">
        <f>IF(OR(Calc!$E813="",Calc!$E813="نامعتبر",Calc!$G813="",Calc!$I813&lt;&gt;"خرید"),"",Calc!$G813)</f>
        <v/>
      </c>
      <c r="B810">
        <f>IF($A810="","",LEFT(Calc!$E813,4)&amp;MID(Calc!$E813,6,2)&amp;RIGHT(Calc!$E813,2)&amp;Calc!$R813&amp;"|"&amp;"1"&amp;RIGHT("00000"&amp;805,5))</f>
        <v/>
      </c>
      <c r="C810">
        <f>IF($B810="","",COUNTIFS(LdgPartyA,$A810,LdgKeyA,"&lt;"&amp;$B810)+COUNTIFS(LdgPartyB,$A810,LdgKeyB,"&lt;"&amp;$B810)+1)</f>
        <v/>
      </c>
      <c r="D810">
        <f>IF($C810="","",$A810&amp;"|"&amp;RIGHT("000000"&amp;$C810,6))</f>
        <v/>
      </c>
      <c r="F810">
        <f>IF(Sync!$AJ810="","",Sync!$AJ810)</f>
        <v/>
      </c>
      <c r="G810">
        <f>IF($F810="","",IF(Sync!$AG810="","",IF(ISNUMBER(Sync!$AG810),IF(AND(Sync!$AG810&gt;=10000101,Sync!$AG810&lt;=99991231),INT(Sync!$AG810/10000),""),IFERROR(VALUE(TRIM(LEFT(Sync!$AG810,FIND("/",Sync!$AG810)-1))),""))))</f>
        <v/>
      </c>
      <c r="H810">
        <f>IF(OR($F810="",$G810=""),"",IF(ISNUMBER(Sync!$AG810),INT(MOD(Sync!$AG810,10000)/100),IFERROR(VALUE(TRIM(LEFT(MID(Sync!$AG810,FIND("/",Sync!$AG810)+1,20),FIND("/",MID(Sync!$AG810,FIND("/",Sync!$AG810)+1,20))-1))),"")))</f>
        <v/>
      </c>
      <c r="I810">
        <f>IF(OR($F810="",$G810=""),"",IF(ISNUMBER(Sync!$AG810),MOD(Sync!$AG810,100),IFERROR(VALUE(TRIM(MID(MID(Sync!$AG810,FIND("/",Sync!$AG810)+1,20),FIND("/",MID(Sync!$AG810,FIND("/",Sync!$AG810)+1,20))+1,20))),"")))</f>
        <v/>
      </c>
      <c r="J810">
        <f>IF($F810="","",IF(OR($G810="",$H810="",$I810="",$G810&lt;1300,$G810&gt;1500,$H810&lt;1,$H810&gt;12,$I810&lt;1,$I810&gt;31),"نامعتبر",RIGHT("0000"&amp;$G810,4)&amp;"/"&amp;RIGHT("00"&amp;$H810,2)&amp;"/"&amp;RIGHT("00"&amp;$I810,2)))</f>
        <v/>
      </c>
      <c r="K810">
        <f>IF(OR($F810="",$J810="",$J810="نامعتبر"),"",LEFT($J810,4)&amp;MID($J810,6,2)&amp;RIGHT($J810,2)&amp;$N810&amp;"|"&amp;"2"&amp;RIGHT("00000"&amp;805,5))</f>
        <v/>
      </c>
      <c r="L810">
        <f>IF($K810="","",COUNTIFS(LdgPartyA,$F810,LdgKeyA,"&lt;"&amp;$K810)+COUNTIFS(LdgPartyB,$F810,LdgKeyB,"&lt;"&amp;$K810)+1)</f>
        <v/>
      </c>
      <c r="M810">
        <f>IF($L810="","",$F810&amp;"|"&amp;RIGHT("000000"&amp;$L810,6))</f>
        <v/>
      </c>
      <c r="N810">
        <f>IF($F810="","",IF(Sync!$AH810="","0000",IF(AND(ISNUMBER(Sync!$AH810),Sync!$AH810&gt;=0,Sync!$AH810&lt;1),RIGHT("00"&amp;HOUR(Sync!$AH810),2)&amp;RIGHT("00"&amp;MINUTE(Sync!$AH810),2),IFERROR(RIGHT("00"&amp;VALUE(LEFT(Sync!$AH810,FIND(":",Sync!$AH810)-1)),2)&amp;RIGHT("00"&amp;VALUE(MID(Sync!$AH810,FIND(":",Sync!$AH810)+1,2)),2),"0000"))))</f>
        <v/>
      </c>
    </row>
    <row r="811">
      <c r="A811">
        <f>IF(OR(Calc!$E814="",Calc!$E814="نامعتبر",Calc!$G814="",Calc!$I814&lt;&gt;"خرید"),"",Calc!$G814)</f>
        <v/>
      </c>
      <c r="B811">
        <f>IF($A811="","",LEFT(Calc!$E814,4)&amp;MID(Calc!$E814,6,2)&amp;RIGHT(Calc!$E814,2)&amp;Calc!$R814&amp;"|"&amp;"1"&amp;RIGHT("00000"&amp;806,5))</f>
        <v/>
      </c>
      <c r="C811">
        <f>IF($B811="","",COUNTIFS(LdgPartyA,$A811,LdgKeyA,"&lt;"&amp;$B811)+COUNTIFS(LdgPartyB,$A811,LdgKeyB,"&lt;"&amp;$B811)+1)</f>
        <v/>
      </c>
      <c r="D811">
        <f>IF($C811="","",$A811&amp;"|"&amp;RIGHT("000000"&amp;$C811,6))</f>
        <v/>
      </c>
      <c r="F811">
        <f>IF(Sync!$AJ811="","",Sync!$AJ811)</f>
        <v/>
      </c>
      <c r="G811">
        <f>IF($F811="","",IF(Sync!$AG811="","",IF(ISNUMBER(Sync!$AG811),IF(AND(Sync!$AG811&gt;=10000101,Sync!$AG811&lt;=99991231),INT(Sync!$AG811/10000),""),IFERROR(VALUE(TRIM(LEFT(Sync!$AG811,FIND("/",Sync!$AG811)-1))),""))))</f>
        <v/>
      </c>
      <c r="H811">
        <f>IF(OR($F811="",$G811=""),"",IF(ISNUMBER(Sync!$AG811),INT(MOD(Sync!$AG811,10000)/100),IFERROR(VALUE(TRIM(LEFT(MID(Sync!$AG811,FIND("/",Sync!$AG811)+1,20),FIND("/",MID(Sync!$AG811,FIND("/",Sync!$AG811)+1,20))-1))),"")))</f>
        <v/>
      </c>
      <c r="I811">
        <f>IF(OR($F811="",$G811=""),"",IF(ISNUMBER(Sync!$AG811),MOD(Sync!$AG811,100),IFERROR(VALUE(TRIM(MID(MID(Sync!$AG811,FIND("/",Sync!$AG811)+1,20),FIND("/",MID(Sync!$AG811,FIND("/",Sync!$AG811)+1,20))+1,20))),"")))</f>
        <v/>
      </c>
      <c r="J811">
        <f>IF($F811="","",IF(OR($G811="",$H811="",$I811="",$G811&lt;1300,$G811&gt;1500,$H811&lt;1,$H811&gt;12,$I811&lt;1,$I811&gt;31),"نامعتبر",RIGHT("0000"&amp;$G811,4)&amp;"/"&amp;RIGHT("00"&amp;$H811,2)&amp;"/"&amp;RIGHT("00"&amp;$I811,2)))</f>
        <v/>
      </c>
      <c r="K811">
        <f>IF(OR($F811="",$J811="",$J811="نامعتبر"),"",LEFT($J811,4)&amp;MID($J811,6,2)&amp;RIGHT($J811,2)&amp;$N811&amp;"|"&amp;"2"&amp;RIGHT("00000"&amp;806,5))</f>
        <v/>
      </c>
      <c r="L811">
        <f>IF($K811="","",COUNTIFS(LdgPartyA,$F811,LdgKeyA,"&lt;"&amp;$K811)+COUNTIFS(LdgPartyB,$F811,LdgKeyB,"&lt;"&amp;$K811)+1)</f>
        <v/>
      </c>
      <c r="M811">
        <f>IF($L811="","",$F811&amp;"|"&amp;RIGHT("000000"&amp;$L811,6))</f>
        <v/>
      </c>
      <c r="N811">
        <f>IF($F811="","",IF(Sync!$AH811="","0000",IF(AND(ISNUMBER(Sync!$AH811),Sync!$AH811&gt;=0,Sync!$AH811&lt;1),RIGHT("00"&amp;HOUR(Sync!$AH811),2)&amp;RIGHT("00"&amp;MINUTE(Sync!$AH811),2),IFERROR(RIGHT("00"&amp;VALUE(LEFT(Sync!$AH811,FIND(":",Sync!$AH811)-1)),2)&amp;RIGHT("00"&amp;VALUE(MID(Sync!$AH811,FIND(":",Sync!$AH811)+1,2)),2),"0000"))))</f>
        <v/>
      </c>
    </row>
    <row r="812">
      <c r="A812">
        <f>IF(OR(Calc!$E815="",Calc!$E815="نامعتبر",Calc!$G815="",Calc!$I815&lt;&gt;"خرید"),"",Calc!$G815)</f>
        <v/>
      </c>
      <c r="B812">
        <f>IF($A812="","",LEFT(Calc!$E815,4)&amp;MID(Calc!$E815,6,2)&amp;RIGHT(Calc!$E815,2)&amp;Calc!$R815&amp;"|"&amp;"1"&amp;RIGHT("00000"&amp;807,5))</f>
        <v/>
      </c>
      <c r="C812">
        <f>IF($B812="","",COUNTIFS(LdgPartyA,$A812,LdgKeyA,"&lt;"&amp;$B812)+COUNTIFS(LdgPartyB,$A812,LdgKeyB,"&lt;"&amp;$B812)+1)</f>
        <v/>
      </c>
      <c r="D812">
        <f>IF($C812="","",$A812&amp;"|"&amp;RIGHT("000000"&amp;$C812,6))</f>
        <v/>
      </c>
      <c r="F812">
        <f>IF(Sync!$AJ812="","",Sync!$AJ812)</f>
        <v/>
      </c>
      <c r="G812">
        <f>IF($F812="","",IF(Sync!$AG812="","",IF(ISNUMBER(Sync!$AG812),IF(AND(Sync!$AG812&gt;=10000101,Sync!$AG812&lt;=99991231),INT(Sync!$AG812/10000),""),IFERROR(VALUE(TRIM(LEFT(Sync!$AG812,FIND("/",Sync!$AG812)-1))),""))))</f>
        <v/>
      </c>
      <c r="H812">
        <f>IF(OR($F812="",$G812=""),"",IF(ISNUMBER(Sync!$AG812),INT(MOD(Sync!$AG812,10000)/100),IFERROR(VALUE(TRIM(LEFT(MID(Sync!$AG812,FIND("/",Sync!$AG812)+1,20),FIND("/",MID(Sync!$AG812,FIND("/",Sync!$AG812)+1,20))-1))),"")))</f>
        <v/>
      </c>
      <c r="I812">
        <f>IF(OR($F812="",$G812=""),"",IF(ISNUMBER(Sync!$AG812),MOD(Sync!$AG812,100),IFERROR(VALUE(TRIM(MID(MID(Sync!$AG812,FIND("/",Sync!$AG812)+1,20),FIND("/",MID(Sync!$AG812,FIND("/",Sync!$AG812)+1,20))+1,20))),"")))</f>
        <v/>
      </c>
      <c r="J812">
        <f>IF($F812="","",IF(OR($G812="",$H812="",$I812="",$G812&lt;1300,$G812&gt;1500,$H812&lt;1,$H812&gt;12,$I812&lt;1,$I812&gt;31),"نامعتبر",RIGHT("0000"&amp;$G812,4)&amp;"/"&amp;RIGHT("00"&amp;$H812,2)&amp;"/"&amp;RIGHT("00"&amp;$I812,2)))</f>
        <v/>
      </c>
      <c r="K812">
        <f>IF(OR($F812="",$J812="",$J812="نامعتبر"),"",LEFT($J812,4)&amp;MID($J812,6,2)&amp;RIGHT($J812,2)&amp;$N812&amp;"|"&amp;"2"&amp;RIGHT("00000"&amp;807,5))</f>
        <v/>
      </c>
      <c r="L812">
        <f>IF($K812="","",COUNTIFS(LdgPartyA,$F812,LdgKeyA,"&lt;"&amp;$K812)+COUNTIFS(LdgPartyB,$F812,LdgKeyB,"&lt;"&amp;$K812)+1)</f>
        <v/>
      </c>
      <c r="M812">
        <f>IF($L812="","",$F812&amp;"|"&amp;RIGHT("000000"&amp;$L812,6))</f>
        <v/>
      </c>
      <c r="N812">
        <f>IF($F812="","",IF(Sync!$AH812="","0000",IF(AND(ISNUMBER(Sync!$AH812),Sync!$AH812&gt;=0,Sync!$AH812&lt;1),RIGHT("00"&amp;HOUR(Sync!$AH812),2)&amp;RIGHT("00"&amp;MINUTE(Sync!$AH812),2),IFERROR(RIGHT("00"&amp;VALUE(LEFT(Sync!$AH812,FIND(":",Sync!$AH812)-1)),2)&amp;RIGHT("00"&amp;VALUE(MID(Sync!$AH812,FIND(":",Sync!$AH812)+1,2)),2),"0000"))))</f>
        <v/>
      </c>
    </row>
    <row r="813">
      <c r="A813">
        <f>IF(OR(Calc!$E816="",Calc!$E816="نامعتبر",Calc!$G816="",Calc!$I816&lt;&gt;"خرید"),"",Calc!$G816)</f>
        <v/>
      </c>
      <c r="B813">
        <f>IF($A813="","",LEFT(Calc!$E816,4)&amp;MID(Calc!$E816,6,2)&amp;RIGHT(Calc!$E816,2)&amp;Calc!$R816&amp;"|"&amp;"1"&amp;RIGHT("00000"&amp;808,5))</f>
        <v/>
      </c>
      <c r="C813">
        <f>IF($B813="","",COUNTIFS(LdgPartyA,$A813,LdgKeyA,"&lt;"&amp;$B813)+COUNTIFS(LdgPartyB,$A813,LdgKeyB,"&lt;"&amp;$B813)+1)</f>
        <v/>
      </c>
      <c r="D813">
        <f>IF($C813="","",$A813&amp;"|"&amp;RIGHT("000000"&amp;$C813,6))</f>
        <v/>
      </c>
      <c r="F813">
        <f>IF(Sync!$AJ813="","",Sync!$AJ813)</f>
        <v/>
      </c>
      <c r="G813">
        <f>IF($F813="","",IF(Sync!$AG813="","",IF(ISNUMBER(Sync!$AG813),IF(AND(Sync!$AG813&gt;=10000101,Sync!$AG813&lt;=99991231),INT(Sync!$AG813/10000),""),IFERROR(VALUE(TRIM(LEFT(Sync!$AG813,FIND("/",Sync!$AG813)-1))),""))))</f>
        <v/>
      </c>
      <c r="H813">
        <f>IF(OR($F813="",$G813=""),"",IF(ISNUMBER(Sync!$AG813),INT(MOD(Sync!$AG813,10000)/100),IFERROR(VALUE(TRIM(LEFT(MID(Sync!$AG813,FIND("/",Sync!$AG813)+1,20),FIND("/",MID(Sync!$AG813,FIND("/",Sync!$AG813)+1,20))-1))),"")))</f>
        <v/>
      </c>
      <c r="I813">
        <f>IF(OR($F813="",$G813=""),"",IF(ISNUMBER(Sync!$AG813),MOD(Sync!$AG813,100),IFERROR(VALUE(TRIM(MID(MID(Sync!$AG813,FIND("/",Sync!$AG813)+1,20),FIND("/",MID(Sync!$AG813,FIND("/",Sync!$AG813)+1,20))+1,20))),"")))</f>
        <v/>
      </c>
      <c r="J813">
        <f>IF($F813="","",IF(OR($G813="",$H813="",$I813="",$G813&lt;1300,$G813&gt;1500,$H813&lt;1,$H813&gt;12,$I813&lt;1,$I813&gt;31),"نامعتبر",RIGHT("0000"&amp;$G813,4)&amp;"/"&amp;RIGHT("00"&amp;$H813,2)&amp;"/"&amp;RIGHT("00"&amp;$I813,2)))</f>
        <v/>
      </c>
      <c r="K813">
        <f>IF(OR($F813="",$J813="",$J813="نامعتبر"),"",LEFT($J813,4)&amp;MID($J813,6,2)&amp;RIGHT($J813,2)&amp;$N813&amp;"|"&amp;"2"&amp;RIGHT("00000"&amp;808,5))</f>
        <v/>
      </c>
      <c r="L813">
        <f>IF($K813="","",COUNTIFS(LdgPartyA,$F813,LdgKeyA,"&lt;"&amp;$K813)+COUNTIFS(LdgPartyB,$F813,LdgKeyB,"&lt;"&amp;$K813)+1)</f>
        <v/>
      </c>
      <c r="M813">
        <f>IF($L813="","",$F813&amp;"|"&amp;RIGHT("000000"&amp;$L813,6))</f>
        <v/>
      </c>
      <c r="N813">
        <f>IF($F813="","",IF(Sync!$AH813="","0000",IF(AND(ISNUMBER(Sync!$AH813),Sync!$AH813&gt;=0,Sync!$AH813&lt;1),RIGHT("00"&amp;HOUR(Sync!$AH813),2)&amp;RIGHT("00"&amp;MINUTE(Sync!$AH813),2),IFERROR(RIGHT("00"&amp;VALUE(LEFT(Sync!$AH813,FIND(":",Sync!$AH813)-1)),2)&amp;RIGHT("00"&amp;VALUE(MID(Sync!$AH813,FIND(":",Sync!$AH813)+1,2)),2),"0000"))))</f>
        <v/>
      </c>
    </row>
    <row r="814">
      <c r="A814">
        <f>IF(OR(Calc!$E817="",Calc!$E817="نامعتبر",Calc!$G817="",Calc!$I817&lt;&gt;"خرید"),"",Calc!$G817)</f>
        <v/>
      </c>
      <c r="B814">
        <f>IF($A814="","",LEFT(Calc!$E817,4)&amp;MID(Calc!$E817,6,2)&amp;RIGHT(Calc!$E817,2)&amp;Calc!$R817&amp;"|"&amp;"1"&amp;RIGHT("00000"&amp;809,5))</f>
        <v/>
      </c>
      <c r="C814">
        <f>IF($B814="","",COUNTIFS(LdgPartyA,$A814,LdgKeyA,"&lt;"&amp;$B814)+COUNTIFS(LdgPartyB,$A814,LdgKeyB,"&lt;"&amp;$B814)+1)</f>
        <v/>
      </c>
      <c r="D814">
        <f>IF($C814="","",$A814&amp;"|"&amp;RIGHT("000000"&amp;$C814,6))</f>
        <v/>
      </c>
      <c r="F814">
        <f>IF(Sync!$AJ814="","",Sync!$AJ814)</f>
        <v/>
      </c>
      <c r="G814">
        <f>IF($F814="","",IF(Sync!$AG814="","",IF(ISNUMBER(Sync!$AG814),IF(AND(Sync!$AG814&gt;=10000101,Sync!$AG814&lt;=99991231),INT(Sync!$AG814/10000),""),IFERROR(VALUE(TRIM(LEFT(Sync!$AG814,FIND("/",Sync!$AG814)-1))),""))))</f>
        <v/>
      </c>
      <c r="H814">
        <f>IF(OR($F814="",$G814=""),"",IF(ISNUMBER(Sync!$AG814),INT(MOD(Sync!$AG814,10000)/100),IFERROR(VALUE(TRIM(LEFT(MID(Sync!$AG814,FIND("/",Sync!$AG814)+1,20),FIND("/",MID(Sync!$AG814,FIND("/",Sync!$AG814)+1,20))-1))),"")))</f>
        <v/>
      </c>
      <c r="I814">
        <f>IF(OR($F814="",$G814=""),"",IF(ISNUMBER(Sync!$AG814),MOD(Sync!$AG814,100),IFERROR(VALUE(TRIM(MID(MID(Sync!$AG814,FIND("/",Sync!$AG814)+1,20),FIND("/",MID(Sync!$AG814,FIND("/",Sync!$AG814)+1,20))+1,20))),"")))</f>
        <v/>
      </c>
      <c r="J814">
        <f>IF($F814="","",IF(OR($G814="",$H814="",$I814="",$G814&lt;1300,$G814&gt;1500,$H814&lt;1,$H814&gt;12,$I814&lt;1,$I814&gt;31),"نامعتبر",RIGHT("0000"&amp;$G814,4)&amp;"/"&amp;RIGHT("00"&amp;$H814,2)&amp;"/"&amp;RIGHT("00"&amp;$I814,2)))</f>
        <v/>
      </c>
      <c r="K814">
        <f>IF(OR($F814="",$J814="",$J814="نامعتبر"),"",LEFT($J814,4)&amp;MID($J814,6,2)&amp;RIGHT($J814,2)&amp;$N814&amp;"|"&amp;"2"&amp;RIGHT("00000"&amp;809,5))</f>
        <v/>
      </c>
      <c r="L814">
        <f>IF($K814="","",COUNTIFS(LdgPartyA,$F814,LdgKeyA,"&lt;"&amp;$K814)+COUNTIFS(LdgPartyB,$F814,LdgKeyB,"&lt;"&amp;$K814)+1)</f>
        <v/>
      </c>
      <c r="M814">
        <f>IF($L814="","",$F814&amp;"|"&amp;RIGHT("000000"&amp;$L814,6))</f>
        <v/>
      </c>
      <c r="N814">
        <f>IF($F814="","",IF(Sync!$AH814="","0000",IF(AND(ISNUMBER(Sync!$AH814),Sync!$AH814&gt;=0,Sync!$AH814&lt;1),RIGHT("00"&amp;HOUR(Sync!$AH814),2)&amp;RIGHT("00"&amp;MINUTE(Sync!$AH814),2),IFERROR(RIGHT("00"&amp;VALUE(LEFT(Sync!$AH814,FIND(":",Sync!$AH814)-1)),2)&amp;RIGHT("00"&amp;VALUE(MID(Sync!$AH814,FIND(":",Sync!$AH814)+1,2)),2),"0000"))))</f>
        <v/>
      </c>
    </row>
    <row r="815">
      <c r="A815">
        <f>IF(OR(Calc!$E818="",Calc!$E818="نامعتبر",Calc!$G818="",Calc!$I818&lt;&gt;"خرید"),"",Calc!$G818)</f>
        <v/>
      </c>
      <c r="B815">
        <f>IF($A815="","",LEFT(Calc!$E818,4)&amp;MID(Calc!$E818,6,2)&amp;RIGHT(Calc!$E818,2)&amp;Calc!$R818&amp;"|"&amp;"1"&amp;RIGHT("00000"&amp;810,5))</f>
        <v/>
      </c>
      <c r="C815">
        <f>IF($B815="","",COUNTIFS(LdgPartyA,$A815,LdgKeyA,"&lt;"&amp;$B815)+COUNTIFS(LdgPartyB,$A815,LdgKeyB,"&lt;"&amp;$B815)+1)</f>
        <v/>
      </c>
      <c r="D815">
        <f>IF($C815="","",$A815&amp;"|"&amp;RIGHT("000000"&amp;$C815,6))</f>
        <v/>
      </c>
      <c r="F815">
        <f>IF(Sync!$AJ815="","",Sync!$AJ815)</f>
        <v/>
      </c>
      <c r="G815">
        <f>IF($F815="","",IF(Sync!$AG815="","",IF(ISNUMBER(Sync!$AG815),IF(AND(Sync!$AG815&gt;=10000101,Sync!$AG815&lt;=99991231),INT(Sync!$AG815/10000),""),IFERROR(VALUE(TRIM(LEFT(Sync!$AG815,FIND("/",Sync!$AG815)-1))),""))))</f>
        <v/>
      </c>
      <c r="H815">
        <f>IF(OR($F815="",$G815=""),"",IF(ISNUMBER(Sync!$AG815),INT(MOD(Sync!$AG815,10000)/100),IFERROR(VALUE(TRIM(LEFT(MID(Sync!$AG815,FIND("/",Sync!$AG815)+1,20),FIND("/",MID(Sync!$AG815,FIND("/",Sync!$AG815)+1,20))-1))),"")))</f>
        <v/>
      </c>
      <c r="I815">
        <f>IF(OR($F815="",$G815=""),"",IF(ISNUMBER(Sync!$AG815),MOD(Sync!$AG815,100),IFERROR(VALUE(TRIM(MID(MID(Sync!$AG815,FIND("/",Sync!$AG815)+1,20),FIND("/",MID(Sync!$AG815,FIND("/",Sync!$AG815)+1,20))+1,20))),"")))</f>
        <v/>
      </c>
      <c r="J815">
        <f>IF($F815="","",IF(OR($G815="",$H815="",$I815="",$G815&lt;1300,$G815&gt;1500,$H815&lt;1,$H815&gt;12,$I815&lt;1,$I815&gt;31),"نامعتبر",RIGHT("0000"&amp;$G815,4)&amp;"/"&amp;RIGHT("00"&amp;$H815,2)&amp;"/"&amp;RIGHT("00"&amp;$I815,2)))</f>
        <v/>
      </c>
      <c r="K815">
        <f>IF(OR($F815="",$J815="",$J815="نامعتبر"),"",LEFT($J815,4)&amp;MID($J815,6,2)&amp;RIGHT($J815,2)&amp;$N815&amp;"|"&amp;"2"&amp;RIGHT("00000"&amp;810,5))</f>
        <v/>
      </c>
      <c r="L815">
        <f>IF($K815="","",COUNTIFS(LdgPartyA,$F815,LdgKeyA,"&lt;"&amp;$K815)+COUNTIFS(LdgPartyB,$F815,LdgKeyB,"&lt;"&amp;$K815)+1)</f>
        <v/>
      </c>
      <c r="M815">
        <f>IF($L815="","",$F815&amp;"|"&amp;RIGHT("000000"&amp;$L815,6))</f>
        <v/>
      </c>
      <c r="N815">
        <f>IF($F815="","",IF(Sync!$AH815="","0000",IF(AND(ISNUMBER(Sync!$AH815),Sync!$AH815&gt;=0,Sync!$AH815&lt;1),RIGHT("00"&amp;HOUR(Sync!$AH815),2)&amp;RIGHT("00"&amp;MINUTE(Sync!$AH815),2),IFERROR(RIGHT("00"&amp;VALUE(LEFT(Sync!$AH815,FIND(":",Sync!$AH815)-1)),2)&amp;RIGHT("00"&amp;VALUE(MID(Sync!$AH815,FIND(":",Sync!$AH815)+1,2)),2),"0000"))))</f>
        <v/>
      </c>
    </row>
    <row r="816">
      <c r="A816">
        <f>IF(OR(Calc!$E819="",Calc!$E819="نامعتبر",Calc!$G819="",Calc!$I819&lt;&gt;"خرید"),"",Calc!$G819)</f>
        <v/>
      </c>
      <c r="B816">
        <f>IF($A816="","",LEFT(Calc!$E819,4)&amp;MID(Calc!$E819,6,2)&amp;RIGHT(Calc!$E819,2)&amp;Calc!$R819&amp;"|"&amp;"1"&amp;RIGHT("00000"&amp;811,5))</f>
        <v/>
      </c>
      <c r="C816">
        <f>IF($B816="","",COUNTIFS(LdgPartyA,$A816,LdgKeyA,"&lt;"&amp;$B816)+COUNTIFS(LdgPartyB,$A816,LdgKeyB,"&lt;"&amp;$B816)+1)</f>
        <v/>
      </c>
      <c r="D816">
        <f>IF($C816="","",$A816&amp;"|"&amp;RIGHT("000000"&amp;$C816,6))</f>
        <v/>
      </c>
      <c r="F816">
        <f>IF(Sync!$AJ816="","",Sync!$AJ816)</f>
        <v/>
      </c>
      <c r="G816">
        <f>IF($F816="","",IF(Sync!$AG816="","",IF(ISNUMBER(Sync!$AG816),IF(AND(Sync!$AG816&gt;=10000101,Sync!$AG816&lt;=99991231),INT(Sync!$AG816/10000),""),IFERROR(VALUE(TRIM(LEFT(Sync!$AG816,FIND("/",Sync!$AG816)-1))),""))))</f>
        <v/>
      </c>
      <c r="H816">
        <f>IF(OR($F816="",$G816=""),"",IF(ISNUMBER(Sync!$AG816),INT(MOD(Sync!$AG816,10000)/100),IFERROR(VALUE(TRIM(LEFT(MID(Sync!$AG816,FIND("/",Sync!$AG816)+1,20),FIND("/",MID(Sync!$AG816,FIND("/",Sync!$AG816)+1,20))-1))),"")))</f>
        <v/>
      </c>
      <c r="I816">
        <f>IF(OR($F816="",$G816=""),"",IF(ISNUMBER(Sync!$AG816),MOD(Sync!$AG816,100),IFERROR(VALUE(TRIM(MID(MID(Sync!$AG816,FIND("/",Sync!$AG816)+1,20),FIND("/",MID(Sync!$AG816,FIND("/",Sync!$AG816)+1,20))+1,20))),"")))</f>
        <v/>
      </c>
      <c r="J816">
        <f>IF($F816="","",IF(OR($G816="",$H816="",$I816="",$G816&lt;1300,$G816&gt;1500,$H816&lt;1,$H816&gt;12,$I816&lt;1,$I816&gt;31),"نامعتبر",RIGHT("0000"&amp;$G816,4)&amp;"/"&amp;RIGHT("00"&amp;$H816,2)&amp;"/"&amp;RIGHT("00"&amp;$I816,2)))</f>
        <v/>
      </c>
      <c r="K816">
        <f>IF(OR($F816="",$J816="",$J816="نامعتبر"),"",LEFT($J816,4)&amp;MID($J816,6,2)&amp;RIGHT($J816,2)&amp;$N816&amp;"|"&amp;"2"&amp;RIGHT("00000"&amp;811,5))</f>
        <v/>
      </c>
      <c r="L816">
        <f>IF($K816="","",COUNTIFS(LdgPartyA,$F816,LdgKeyA,"&lt;"&amp;$K816)+COUNTIFS(LdgPartyB,$F816,LdgKeyB,"&lt;"&amp;$K816)+1)</f>
        <v/>
      </c>
      <c r="M816">
        <f>IF($L816="","",$F816&amp;"|"&amp;RIGHT("000000"&amp;$L816,6))</f>
        <v/>
      </c>
      <c r="N816">
        <f>IF($F816="","",IF(Sync!$AH816="","0000",IF(AND(ISNUMBER(Sync!$AH816),Sync!$AH816&gt;=0,Sync!$AH816&lt;1),RIGHT("00"&amp;HOUR(Sync!$AH816),2)&amp;RIGHT("00"&amp;MINUTE(Sync!$AH816),2),IFERROR(RIGHT("00"&amp;VALUE(LEFT(Sync!$AH816,FIND(":",Sync!$AH816)-1)),2)&amp;RIGHT("00"&amp;VALUE(MID(Sync!$AH816,FIND(":",Sync!$AH816)+1,2)),2),"0000"))))</f>
        <v/>
      </c>
    </row>
    <row r="817">
      <c r="A817">
        <f>IF(OR(Calc!$E820="",Calc!$E820="نامعتبر",Calc!$G820="",Calc!$I820&lt;&gt;"خرید"),"",Calc!$G820)</f>
        <v/>
      </c>
      <c r="B817">
        <f>IF($A817="","",LEFT(Calc!$E820,4)&amp;MID(Calc!$E820,6,2)&amp;RIGHT(Calc!$E820,2)&amp;Calc!$R820&amp;"|"&amp;"1"&amp;RIGHT("00000"&amp;812,5))</f>
        <v/>
      </c>
      <c r="C817">
        <f>IF($B817="","",COUNTIFS(LdgPartyA,$A817,LdgKeyA,"&lt;"&amp;$B817)+COUNTIFS(LdgPartyB,$A817,LdgKeyB,"&lt;"&amp;$B817)+1)</f>
        <v/>
      </c>
      <c r="D817">
        <f>IF($C817="","",$A817&amp;"|"&amp;RIGHT("000000"&amp;$C817,6))</f>
        <v/>
      </c>
      <c r="F817">
        <f>IF(Sync!$AJ817="","",Sync!$AJ817)</f>
        <v/>
      </c>
      <c r="G817">
        <f>IF($F817="","",IF(Sync!$AG817="","",IF(ISNUMBER(Sync!$AG817),IF(AND(Sync!$AG817&gt;=10000101,Sync!$AG817&lt;=99991231),INT(Sync!$AG817/10000),""),IFERROR(VALUE(TRIM(LEFT(Sync!$AG817,FIND("/",Sync!$AG817)-1))),""))))</f>
        <v/>
      </c>
      <c r="H817">
        <f>IF(OR($F817="",$G817=""),"",IF(ISNUMBER(Sync!$AG817),INT(MOD(Sync!$AG817,10000)/100),IFERROR(VALUE(TRIM(LEFT(MID(Sync!$AG817,FIND("/",Sync!$AG817)+1,20),FIND("/",MID(Sync!$AG817,FIND("/",Sync!$AG817)+1,20))-1))),"")))</f>
        <v/>
      </c>
      <c r="I817">
        <f>IF(OR($F817="",$G817=""),"",IF(ISNUMBER(Sync!$AG817),MOD(Sync!$AG817,100),IFERROR(VALUE(TRIM(MID(MID(Sync!$AG817,FIND("/",Sync!$AG817)+1,20),FIND("/",MID(Sync!$AG817,FIND("/",Sync!$AG817)+1,20))+1,20))),"")))</f>
        <v/>
      </c>
      <c r="J817">
        <f>IF($F817="","",IF(OR($G817="",$H817="",$I817="",$G817&lt;1300,$G817&gt;1500,$H817&lt;1,$H817&gt;12,$I817&lt;1,$I817&gt;31),"نامعتبر",RIGHT("0000"&amp;$G817,4)&amp;"/"&amp;RIGHT("00"&amp;$H817,2)&amp;"/"&amp;RIGHT("00"&amp;$I817,2)))</f>
        <v/>
      </c>
      <c r="K817">
        <f>IF(OR($F817="",$J817="",$J817="نامعتبر"),"",LEFT($J817,4)&amp;MID($J817,6,2)&amp;RIGHT($J817,2)&amp;$N817&amp;"|"&amp;"2"&amp;RIGHT("00000"&amp;812,5))</f>
        <v/>
      </c>
      <c r="L817">
        <f>IF($K817="","",COUNTIFS(LdgPartyA,$F817,LdgKeyA,"&lt;"&amp;$K817)+COUNTIFS(LdgPartyB,$F817,LdgKeyB,"&lt;"&amp;$K817)+1)</f>
        <v/>
      </c>
      <c r="M817">
        <f>IF($L817="","",$F817&amp;"|"&amp;RIGHT("000000"&amp;$L817,6))</f>
        <v/>
      </c>
      <c r="N817">
        <f>IF($F817="","",IF(Sync!$AH817="","0000",IF(AND(ISNUMBER(Sync!$AH817),Sync!$AH817&gt;=0,Sync!$AH817&lt;1),RIGHT("00"&amp;HOUR(Sync!$AH817),2)&amp;RIGHT("00"&amp;MINUTE(Sync!$AH817),2),IFERROR(RIGHT("00"&amp;VALUE(LEFT(Sync!$AH817,FIND(":",Sync!$AH817)-1)),2)&amp;RIGHT("00"&amp;VALUE(MID(Sync!$AH817,FIND(":",Sync!$AH817)+1,2)),2),"0000"))))</f>
        <v/>
      </c>
    </row>
    <row r="818">
      <c r="A818">
        <f>IF(OR(Calc!$E821="",Calc!$E821="نامعتبر",Calc!$G821="",Calc!$I821&lt;&gt;"خرید"),"",Calc!$G821)</f>
        <v/>
      </c>
      <c r="B818">
        <f>IF($A818="","",LEFT(Calc!$E821,4)&amp;MID(Calc!$E821,6,2)&amp;RIGHT(Calc!$E821,2)&amp;Calc!$R821&amp;"|"&amp;"1"&amp;RIGHT("00000"&amp;813,5))</f>
        <v/>
      </c>
      <c r="C818">
        <f>IF($B818="","",COUNTIFS(LdgPartyA,$A818,LdgKeyA,"&lt;"&amp;$B818)+COUNTIFS(LdgPartyB,$A818,LdgKeyB,"&lt;"&amp;$B818)+1)</f>
        <v/>
      </c>
      <c r="D818">
        <f>IF($C818="","",$A818&amp;"|"&amp;RIGHT("000000"&amp;$C818,6))</f>
        <v/>
      </c>
      <c r="F818">
        <f>IF(Sync!$AJ818="","",Sync!$AJ818)</f>
        <v/>
      </c>
      <c r="G818">
        <f>IF($F818="","",IF(Sync!$AG818="","",IF(ISNUMBER(Sync!$AG818),IF(AND(Sync!$AG818&gt;=10000101,Sync!$AG818&lt;=99991231),INT(Sync!$AG818/10000),""),IFERROR(VALUE(TRIM(LEFT(Sync!$AG818,FIND("/",Sync!$AG818)-1))),""))))</f>
        <v/>
      </c>
      <c r="H818">
        <f>IF(OR($F818="",$G818=""),"",IF(ISNUMBER(Sync!$AG818),INT(MOD(Sync!$AG818,10000)/100),IFERROR(VALUE(TRIM(LEFT(MID(Sync!$AG818,FIND("/",Sync!$AG818)+1,20),FIND("/",MID(Sync!$AG818,FIND("/",Sync!$AG818)+1,20))-1))),"")))</f>
        <v/>
      </c>
      <c r="I818">
        <f>IF(OR($F818="",$G818=""),"",IF(ISNUMBER(Sync!$AG818),MOD(Sync!$AG818,100),IFERROR(VALUE(TRIM(MID(MID(Sync!$AG818,FIND("/",Sync!$AG818)+1,20),FIND("/",MID(Sync!$AG818,FIND("/",Sync!$AG818)+1,20))+1,20))),"")))</f>
        <v/>
      </c>
      <c r="J818">
        <f>IF($F818="","",IF(OR($G818="",$H818="",$I818="",$G818&lt;1300,$G818&gt;1500,$H818&lt;1,$H818&gt;12,$I818&lt;1,$I818&gt;31),"نامعتبر",RIGHT("0000"&amp;$G818,4)&amp;"/"&amp;RIGHT("00"&amp;$H818,2)&amp;"/"&amp;RIGHT("00"&amp;$I818,2)))</f>
        <v/>
      </c>
      <c r="K818">
        <f>IF(OR($F818="",$J818="",$J818="نامعتبر"),"",LEFT($J818,4)&amp;MID($J818,6,2)&amp;RIGHT($J818,2)&amp;$N818&amp;"|"&amp;"2"&amp;RIGHT("00000"&amp;813,5))</f>
        <v/>
      </c>
      <c r="L818">
        <f>IF($K818="","",COUNTIFS(LdgPartyA,$F818,LdgKeyA,"&lt;"&amp;$K818)+COUNTIFS(LdgPartyB,$F818,LdgKeyB,"&lt;"&amp;$K818)+1)</f>
        <v/>
      </c>
      <c r="M818">
        <f>IF($L818="","",$F818&amp;"|"&amp;RIGHT("000000"&amp;$L818,6))</f>
        <v/>
      </c>
      <c r="N818">
        <f>IF($F818="","",IF(Sync!$AH818="","0000",IF(AND(ISNUMBER(Sync!$AH818),Sync!$AH818&gt;=0,Sync!$AH818&lt;1),RIGHT("00"&amp;HOUR(Sync!$AH818),2)&amp;RIGHT("00"&amp;MINUTE(Sync!$AH818),2),IFERROR(RIGHT("00"&amp;VALUE(LEFT(Sync!$AH818,FIND(":",Sync!$AH818)-1)),2)&amp;RIGHT("00"&amp;VALUE(MID(Sync!$AH818,FIND(":",Sync!$AH818)+1,2)),2),"0000"))))</f>
        <v/>
      </c>
    </row>
    <row r="819">
      <c r="A819">
        <f>IF(OR(Calc!$E822="",Calc!$E822="نامعتبر",Calc!$G822="",Calc!$I822&lt;&gt;"خرید"),"",Calc!$G822)</f>
        <v/>
      </c>
      <c r="B819">
        <f>IF($A819="","",LEFT(Calc!$E822,4)&amp;MID(Calc!$E822,6,2)&amp;RIGHT(Calc!$E822,2)&amp;Calc!$R822&amp;"|"&amp;"1"&amp;RIGHT("00000"&amp;814,5))</f>
        <v/>
      </c>
      <c r="C819">
        <f>IF($B819="","",COUNTIFS(LdgPartyA,$A819,LdgKeyA,"&lt;"&amp;$B819)+COUNTIFS(LdgPartyB,$A819,LdgKeyB,"&lt;"&amp;$B819)+1)</f>
        <v/>
      </c>
      <c r="D819">
        <f>IF($C819="","",$A819&amp;"|"&amp;RIGHT("000000"&amp;$C819,6))</f>
        <v/>
      </c>
      <c r="F819">
        <f>IF(Sync!$AJ819="","",Sync!$AJ819)</f>
        <v/>
      </c>
      <c r="G819">
        <f>IF($F819="","",IF(Sync!$AG819="","",IF(ISNUMBER(Sync!$AG819),IF(AND(Sync!$AG819&gt;=10000101,Sync!$AG819&lt;=99991231),INT(Sync!$AG819/10000),""),IFERROR(VALUE(TRIM(LEFT(Sync!$AG819,FIND("/",Sync!$AG819)-1))),""))))</f>
        <v/>
      </c>
      <c r="H819">
        <f>IF(OR($F819="",$G819=""),"",IF(ISNUMBER(Sync!$AG819),INT(MOD(Sync!$AG819,10000)/100),IFERROR(VALUE(TRIM(LEFT(MID(Sync!$AG819,FIND("/",Sync!$AG819)+1,20),FIND("/",MID(Sync!$AG819,FIND("/",Sync!$AG819)+1,20))-1))),"")))</f>
        <v/>
      </c>
      <c r="I819">
        <f>IF(OR($F819="",$G819=""),"",IF(ISNUMBER(Sync!$AG819),MOD(Sync!$AG819,100),IFERROR(VALUE(TRIM(MID(MID(Sync!$AG819,FIND("/",Sync!$AG819)+1,20),FIND("/",MID(Sync!$AG819,FIND("/",Sync!$AG819)+1,20))+1,20))),"")))</f>
        <v/>
      </c>
      <c r="J819">
        <f>IF($F819="","",IF(OR($G819="",$H819="",$I819="",$G819&lt;1300,$G819&gt;1500,$H819&lt;1,$H819&gt;12,$I819&lt;1,$I819&gt;31),"نامعتبر",RIGHT("0000"&amp;$G819,4)&amp;"/"&amp;RIGHT("00"&amp;$H819,2)&amp;"/"&amp;RIGHT("00"&amp;$I819,2)))</f>
        <v/>
      </c>
      <c r="K819">
        <f>IF(OR($F819="",$J819="",$J819="نامعتبر"),"",LEFT($J819,4)&amp;MID($J819,6,2)&amp;RIGHT($J819,2)&amp;$N819&amp;"|"&amp;"2"&amp;RIGHT("00000"&amp;814,5))</f>
        <v/>
      </c>
      <c r="L819">
        <f>IF($K819="","",COUNTIFS(LdgPartyA,$F819,LdgKeyA,"&lt;"&amp;$K819)+COUNTIFS(LdgPartyB,$F819,LdgKeyB,"&lt;"&amp;$K819)+1)</f>
        <v/>
      </c>
      <c r="M819">
        <f>IF($L819="","",$F819&amp;"|"&amp;RIGHT("000000"&amp;$L819,6))</f>
        <v/>
      </c>
      <c r="N819">
        <f>IF($F819="","",IF(Sync!$AH819="","0000",IF(AND(ISNUMBER(Sync!$AH819),Sync!$AH819&gt;=0,Sync!$AH819&lt;1),RIGHT("00"&amp;HOUR(Sync!$AH819),2)&amp;RIGHT("00"&amp;MINUTE(Sync!$AH819),2),IFERROR(RIGHT("00"&amp;VALUE(LEFT(Sync!$AH819,FIND(":",Sync!$AH819)-1)),2)&amp;RIGHT("00"&amp;VALUE(MID(Sync!$AH819,FIND(":",Sync!$AH819)+1,2)),2),"0000"))))</f>
        <v/>
      </c>
    </row>
    <row r="820">
      <c r="A820">
        <f>IF(OR(Calc!$E823="",Calc!$E823="نامعتبر",Calc!$G823="",Calc!$I823&lt;&gt;"خرید"),"",Calc!$G823)</f>
        <v/>
      </c>
      <c r="B820">
        <f>IF($A820="","",LEFT(Calc!$E823,4)&amp;MID(Calc!$E823,6,2)&amp;RIGHT(Calc!$E823,2)&amp;Calc!$R823&amp;"|"&amp;"1"&amp;RIGHT("00000"&amp;815,5))</f>
        <v/>
      </c>
      <c r="C820">
        <f>IF($B820="","",COUNTIFS(LdgPartyA,$A820,LdgKeyA,"&lt;"&amp;$B820)+COUNTIFS(LdgPartyB,$A820,LdgKeyB,"&lt;"&amp;$B820)+1)</f>
        <v/>
      </c>
      <c r="D820">
        <f>IF($C820="","",$A820&amp;"|"&amp;RIGHT("000000"&amp;$C820,6))</f>
        <v/>
      </c>
      <c r="F820">
        <f>IF(Sync!$AJ820="","",Sync!$AJ820)</f>
        <v/>
      </c>
      <c r="G820">
        <f>IF($F820="","",IF(Sync!$AG820="","",IF(ISNUMBER(Sync!$AG820),IF(AND(Sync!$AG820&gt;=10000101,Sync!$AG820&lt;=99991231),INT(Sync!$AG820/10000),""),IFERROR(VALUE(TRIM(LEFT(Sync!$AG820,FIND("/",Sync!$AG820)-1))),""))))</f>
        <v/>
      </c>
      <c r="H820">
        <f>IF(OR($F820="",$G820=""),"",IF(ISNUMBER(Sync!$AG820),INT(MOD(Sync!$AG820,10000)/100),IFERROR(VALUE(TRIM(LEFT(MID(Sync!$AG820,FIND("/",Sync!$AG820)+1,20),FIND("/",MID(Sync!$AG820,FIND("/",Sync!$AG820)+1,20))-1))),"")))</f>
        <v/>
      </c>
      <c r="I820">
        <f>IF(OR($F820="",$G820=""),"",IF(ISNUMBER(Sync!$AG820),MOD(Sync!$AG820,100),IFERROR(VALUE(TRIM(MID(MID(Sync!$AG820,FIND("/",Sync!$AG820)+1,20),FIND("/",MID(Sync!$AG820,FIND("/",Sync!$AG820)+1,20))+1,20))),"")))</f>
        <v/>
      </c>
      <c r="J820">
        <f>IF($F820="","",IF(OR($G820="",$H820="",$I820="",$G820&lt;1300,$G820&gt;1500,$H820&lt;1,$H820&gt;12,$I820&lt;1,$I820&gt;31),"نامعتبر",RIGHT("0000"&amp;$G820,4)&amp;"/"&amp;RIGHT("00"&amp;$H820,2)&amp;"/"&amp;RIGHT("00"&amp;$I820,2)))</f>
        <v/>
      </c>
      <c r="K820">
        <f>IF(OR($F820="",$J820="",$J820="نامعتبر"),"",LEFT($J820,4)&amp;MID($J820,6,2)&amp;RIGHT($J820,2)&amp;$N820&amp;"|"&amp;"2"&amp;RIGHT("00000"&amp;815,5))</f>
        <v/>
      </c>
      <c r="L820">
        <f>IF($K820="","",COUNTIFS(LdgPartyA,$F820,LdgKeyA,"&lt;"&amp;$K820)+COUNTIFS(LdgPartyB,$F820,LdgKeyB,"&lt;"&amp;$K820)+1)</f>
        <v/>
      </c>
      <c r="M820">
        <f>IF($L820="","",$F820&amp;"|"&amp;RIGHT("000000"&amp;$L820,6))</f>
        <v/>
      </c>
      <c r="N820">
        <f>IF($F820="","",IF(Sync!$AH820="","0000",IF(AND(ISNUMBER(Sync!$AH820),Sync!$AH820&gt;=0,Sync!$AH820&lt;1),RIGHT("00"&amp;HOUR(Sync!$AH820),2)&amp;RIGHT("00"&amp;MINUTE(Sync!$AH820),2),IFERROR(RIGHT("00"&amp;VALUE(LEFT(Sync!$AH820,FIND(":",Sync!$AH820)-1)),2)&amp;RIGHT("00"&amp;VALUE(MID(Sync!$AH820,FIND(":",Sync!$AH820)+1,2)),2),"0000"))))</f>
        <v/>
      </c>
    </row>
    <row r="821">
      <c r="A821">
        <f>IF(OR(Calc!$E824="",Calc!$E824="نامعتبر",Calc!$G824="",Calc!$I824&lt;&gt;"خرید"),"",Calc!$G824)</f>
        <v/>
      </c>
      <c r="B821">
        <f>IF($A821="","",LEFT(Calc!$E824,4)&amp;MID(Calc!$E824,6,2)&amp;RIGHT(Calc!$E824,2)&amp;Calc!$R824&amp;"|"&amp;"1"&amp;RIGHT("00000"&amp;816,5))</f>
        <v/>
      </c>
      <c r="C821">
        <f>IF($B821="","",COUNTIFS(LdgPartyA,$A821,LdgKeyA,"&lt;"&amp;$B821)+COUNTIFS(LdgPartyB,$A821,LdgKeyB,"&lt;"&amp;$B821)+1)</f>
        <v/>
      </c>
      <c r="D821">
        <f>IF($C821="","",$A821&amp;"|"&amp;RIGHT("000000"&amp;$C821,6))</f>
        <v/>
      </c>
      <c r="F821">
        <f>IF(Sync!$AJ821="","",Sync!$AJ821)</f>
        <v/>
      </c>
      <c r="G821">
        <f>IF($F821="","",IF(Sync!$AG821="","",IF(ISNUMBER(Sync!$AG821),IF(AND(Sync!$AG821&gt;=10000101,Sync!$AG821&lt;=99991231),INT(Sync!$AG821/10000),""),IFERROR(VALUE(TRIM(LEFT(Sync!$AG821,FIND("/",Sync!$AG821)-1))),""))))</f>
        <v/>
      </c>
      <c r="H821">
        <f>IF(OR($F821="",$G821=""),"",IF(ISNUMBER(Sync!$AG821),INT(MOD(Sync!$AG821,10000)/100),IFERROR(VALUE(TRIM(LEFT(MID(Sync!$AG821,FIND("/",Sync!$AG821)+1,20),FIND("/",MID(Sync!$AG821,FIND("/",Sync!$AG821)+1,20))-1))),"")))</f>
        <v/>
      </c>
      <c r="I821">
        <f>IF(OR($F821="",$G821=""),"",IF(ISNUMBER(Sync!$AG821),MOD(Sync!$AG821,100),IFERROR(VALUE(TRIM(MID(MID(Sync!$AG821,FIND("/",Sync!$AG821)+1,20),FIND("/",MID(Sync!$AG821,FIND("/",Sync!$AG821)+1,20))+1,20))),"")))</f>
        <v/>
      </c>
      <c r="J821">
        <f>IF($F821="","",IF(OR($G821="",$H821="",$I821="",$G821&lt;1300,$G821&gt;1500,$H821&lt;1,$H821&gt;12,$I821&lt;1,$I821&gt;31),"نامعتبر",RIGHT("0000"&amp;$G821,4)&amp;"/"&amp;RIGHT("00"&amp;$H821,2)&amp;"/"&amp;RIGHT("00"&amp;$I821,2)))</f>
        <v/>
      </c>
      <c r="K821">
        <f>IF(OR($F821="",$J821="",$J821="نامعتبر"),"",LEFT($J821,4)&amp;MID($J821,6,2)&amp;RIGHT($J821,2)&amp;$N821&amp;"|"&amp;"2"&amp;RIGHT("00000"&amp;816,5))</f>
        <v/>
      </c>
      <c r="L821">
        <f>IF($K821="","",COUNTIFS(LdgPartyA,$F821,LdgKeyA,"&lt;"&amp;$K821)+COUNTIFS(LdgPartyB,$F821,LdgKeyB,"&lt;"&amp;$K821)+1)</f>
        <v/>
      </c>
      <c r="M821">
        <f>IF($L821="","",$F821&amp;"|"&amp;RIGHT("000000"&amp;$L821,6))</f>
        <v/>
      </c>
      <c r="N821">
        <f>IF($F821="","",IF(Sync!$AH821="","0000",IF(AND(ISNUMBER(Sync!$AH821),Sync!$AH821&gt;=0,Sync!$AH821&lt;1),RIGHT("00"&amp;HOUR(Sync!$AH821),2)&amp;RIGHT("00"&amp;MINUTE(Sync!$AH821),2),IFERROR(RIGHT("00"&amp;VALUE(LEFT(Sync!$AH821,FIND(":",Sync!$AH821)-1)),2)&amp;RIGHT("00"&amp;VALUE(MID(Sync!$AH821,FIND(":",Sync!$AH821)+1,2)),2),"0000"))))</f>
        <v/>
      </c>
    </row>
    <row r="822">
      <c r="A822">
        <f>IF(OR(Calc!$E825="",Calc!$E825="نامعتبر",Calc!$G825="",Calc!$I825&lt;&gt;"خرید"),"",Calc!$G825)</f>
        <v/>
      </c>
      <c r="B822">
        <f>IF($A822="","",LEFT(Calc!$E825,4)&amp;MID(Calc!$E825,6,2)&amp;RIGHT(Calc!$E825,2)&amp;Calc!$R825&amp;"|"&amp;"1"&amp;RIGHT("00000"&amp;817,5))</f>
        <v/>
      </c>
      <c r="C822">
        <f>IF($B822="","",COUNTIFS(LdgPartyA,$A822,LdgKeyA,"&lt;"&amp;$B822)+COUNTIFS(LdgPartyB,$A822,LdgKeyB,"&lt;"&amp;$B822)+1)</f>
        <v/>
      </c>
      <c r="D822">
        <f>IF($C822="","",$A822&amp;"|"&amp;RIGHT("000000"&amp;$C822,6))</f>
        <v/>
      </c>
      <c r="F822">
        <f>IF(Sync!$AJ822="","",Sync!$AJ822)</f>
        <v/>
      </c>
      <c r="G822">
        <f>IF($F822="","",IF(Sync!$AG822="","",IF(ISNUMBER(Sync!$AG822),IF(AND(Sync!$AG822&gt;=10000101,Sync!$AG822&lt;=99991231),INT(Sync!$AG822/10000),""),IFERROR(VALUE(TRIM(LEFT(Sync!$AG822,FIND("/",Sync!$AG822)-1))),""))))</f>
        <v/>
      </c>
      <c r="H822">
        <f>IF(OR($F822="",$G822=""),"",IF(ISNUMBER(Sync!$AG822),INT(MOD(Sync!$AG822,10000)/100),IFERROR(VALUE(TRIM(LEFT(MID(Sync!$AG822,FIND("/",Sync!$AG822)+1,20),FIND("/",MID(Sync!$AG822,FIND("/",Sync!$AG822)+1,20))-1))),"")))</f>
        <v/>
      </c>
      <c r="I822">
        <f>IF(OR($F822="",$G822=""),"",IF(ISNUMBER(Sync!$AG822),MOD(Sync!$AG822,100),IFERROR(VALUE(TRIM(MID(MID(Sync!$AG822,FIND("/",Sync!$AG822)+1,20),FIND("/",MID(Sync!$AG822,FIND("/",Sync!$AG822)+1,20))+1,20))),"")))</f>
        <v/>
      </c>
      <c r="J822">
        <f>IF($F822="","",IF(OR($G822="",$H822="",$I822="",$G822&lt;1300,$G822&gt;1500,$H822&lt;1,$H822&gt;12,$I822&lt;1,$I822&gt;31),"نامعتبر",RIGHT("0000"&amp;$G822,4)&amp;"/"&amp;RIGHT("00"&amp;$H822,2)&amp;"/"&amp;RIGHT("00"&amp;$I822,2)))</f>
        <v/>
      </c>
      <c r="K822">
        <f>IF(OR($F822="",$J822="",$J822="نامعتبر"),"",LEFT($J822,4)&amp;MID($J822,6,2)&amp;RIGHT($J822,2)&amp;$N822&amp;"|"&amp;"2"&amp;RIGHT("00000"&amp;817,5))</f>
        <v/>
      </c>
      <c r="L822">
        <f>IF($K822="","",COUNTIFS(LdgPartyA,$F822,LdgKeyA,"&lt;"&amp;$K822)+COUNTIFS(LdgPartyB,$F822,LdgKeyB,"&lt;"&amp;$K822)+1)</f>
        <v/>
      </c>
      <c r="M822">
        <f>IF($L822="","",$F822&amp;"|"&amp;RIGHT("000000"&amp;$L822,6))</f>
        <v/>
      </c>
      <c r="N822">
        <f>IF($F822="","",IF(Sync!$AH822="","0000",IF(AND(ISNUMBER(Sync!$AH822),Sync!$AH822&gt;=0,Sync!$AH822&lt;1),RIGHT("00"&amp;HOUR(Sync!$AH822),2)&amp;RIGHT("00"&amp;MINUTE(Sync!$AH822),2),IFERROR(RIGHT("00"&amp;VALUE(LEFT(Sync!$AH822,FIND(":",Sync!$AH822)-1)),2)&amp;RIGHT("00"&amp;VALUE(MID(Sync!$AH822,FIND(":",Sync!$AH822)+1,2)),2),"0000"))))</f>
        <v/>
      </c>
    </row>
    <row r="823">
      <c r="A823">
        <f>IF(OR(Calc!$E826="",Calc!$E826="نامعتبر",Calc!$G826="",Calc!$I826&lt;&gt;"خرید"),"",Calc!$G826)</f>
        <v/>
      </c>
      <c r="B823">
        <f>IF($A823="","",LEFT(Calc!$E826,4)&amp;MID(Calc!$E826,6,2)&amp;RIGHT(Calc!$E826,2)&amp;Calc!$R826&amp;"|"&amp;"1"&amp;RIGHT("00000"&amp;818,5))</f>
        <v/>
      </c>
      <c r="C823">
        <f>IF($B823="","",COUNTIFS(LdgPartyA,$A823,LdgKeyA,"&lt;"&amp;$B823)+COUNTIFS(LdgPartyB,$A823,LdgKeyB,"&lt;"&amp;$B823)+1)</f>
        <v/>
      </c>
      <c r="D823">
        <f>IF($C823="","",$A823&amp;"|"&amp;RIGHT("000000"&amp;$C823,6))</f>
        <v/>
      </c>
      <c r="F823">
        <f>IF(Sync!$AJ823="","",Sync!$AJ823)</f>
        <v/>
      </c>
      <c r="G823">
        <f>IF($F823="","",IF(Sync!$AG823="","",IF(ISNUMBER(Sync!$AG823),IF(AND(Sync!$AG823&gt;=10000101,Sync!$AG823&lt;=99991231),INT(Sync!$AG823/10000),""),IFERROR(VALUE(TRIM(LEFT(Sync!$AG823,FIND("/",Sync!$AG823)-1))),""))))</f>
        <v/>
      </c>
      <c r="H823">
        <f>IF(OR($F823="",$G823=""),"",IF(ISNUMBER(Sync!$AG823),INT(MOD(Sync!$AG823,10000)/100),IFERROR(VALUE(TRIM(LEFT(MID(Sync!$AG823,FIND("/",Sync!$AG823)+1,20),FIND("/",MID(Sync!$AG823,FIND("/",Sync!$AG823)+1,20))-1))),"")))</f>
        <v/>
      </c>
      <c r="I823">
        <f>IF(OR($F823="",$G823=""),"",IF(ISNUMBER(Sync!$AG823),MOD(Sync!$AG823,100),IFERROR(VALUE(TRIM(MID(MID(Sync!$AG823,FIND("/",Sync!$AG823)+1,20),FIND("/",MID(Sync!$AG823,FIND("/",Sync!$AG823)+1,20))+1,20))),"")))</f>
        <v/>
      </c>
      <c r="J823">
        <f>IF($F823="","",IF(OR($G823="",$H823="",$I823="",$G823&lt;1300,$G823&gt;1500,$H823&lt;1,$H823&gt;12,$I823&lt;1,$I823&gt;31),"نامعتبر",RIGHT("0000"&amp;$G823,4)&amp;"/"&amp;RIGHT("00"&amp;$H823,2)&amp;"/"&amp;RIGHT("00"&amp;$I823,2)))</f>
        <v/>
      </c>
      <c r="K823">
        <f>IF(OR($F823="",$J823="",$J823="نامعتبر"),"",LEFT($J823,4)&amp;MID($J823,6,2)&amp;RIGHT($J823,2)&amp;$N823&amp;"|"&amp;"2"&amp;RIGHT("00000"&amp;818,5))</f>
        <v/>
      </c>
      <c r="L823">
        <f>IF($K823="","",COUNTIFS(LdgPartyA,$F823,LdgKeyA,"&lt;"&amp;$K823)+COUNTIFS(LdgPartyB,$F823,LdgKeyB,"&lt;"&amp;$K823)+1)</f>
        <v/>
      </c>
      <c r="M823">
        <f>IF($L823="","",$F823&amp;"|"&amp;RIGHT("000000"&amp;$L823,6))</f>
        <v/>
      </c>
      <c r="N823">
        <f>IF($F823="","",IF(Sync!$AH823="","0000",IF(AND(ISNUMBER(Sync!$AH823),Sync!$AH823&gt;=0,Sync!$AH823&lt;1),RIGHT("00"&amp;HOUR(Sync!$AH823),2)&amp;RIGHT("00"&amp;MINUTE(Sync!$AH823),2),IFERROR(RIGHT("00"&amp;VALUE(LEFT(Sync!$AH823,FIND(":",Sync!$AH823)-1)),2)&amp;RIGHT("00"&amp;VALUE(MID(Sync!$AH823,FIND(":",Sync!$AH823)+1,2)),2),"0000"))))</f>
        <v/>
      </c>
    </row>
    <row r="824">
      <c r="A824">
        <f>IF(OR(Calc!$E827="",Calc!$E827="نامعتبر",Calc!$G827="",Calc!$I827&lt;&gt;"خرید"),"",Calc!$G827)</f>
        <v/>
      </c>
      <c r="B824">
        <f>IF($A824="","",LEFT(Calc!$E827,4)&amp;MID(Calc!$E827,6,2)&amp;RIGHT(Calc!$E827,2)&amp;Calc!$R827&amp;"|"&amp;"1"&amp;RIGHT("00000"&amp;819,5))</f>
        <v/>
      </c>
      <c r="C824">
        <f>IF($B824="","",COUNTIFS(LdgPartyA,$A824,LdgKeyA,"&lt;"&amp;$B824)+COUNTIFS(LdgPartyB,$A824,LdgKeyB,"&lt;"&amp;$B824)+1)</f>
        <v/>
      </c>
      <c r="D824">
        <f>IF($C824="","",$A824&amp;"|"&amp;RIGHT("000000"&amp;$C824,6))</f>
        <v/>
      </c>
      <c r="F824">
        <f>IF(Sync!$AJ824="","",Sync!$AJ824)</f>
        <v/>
      </c>
      <c r="G824">
        <f>IF($F824="","",IF(Sync!$AG824="","",IF(ISNUMBER(Sync!$AG824),IF(AND(Sync!$AG824&gt;=10000101,Sync!$AG824&lt;=99991231),INT(Sync!$AG824/10000),""),IFERROR(VALUE(TRIM(LEFT(Sync!$AG824,FIND("/",Sync!$AG824)-1))),""))))</f>
        <v/>
      </c>
      <c r="H824">
        <f>IF(OR($F824="",$G824=""),"",IF(ISNUMBER(Sync!$AG824),INT(MOD(Sync!$AG824,10000)/100),IFERROR(VALUE(TRIM(LEFT(MID(Sync!$AG824,FIND("/",Sync!$AG824)+1,20),FIND("/",MID(Sync!$AG824,FIND("/",Sync!$AG824)+1,20))-1))),"")))</f>
        <v/>
      </c>
      <c r="I824">
        <f>IF(OR($F824="",$G824=""),"",IF(ISNUMBER(Sync!$AG824),MOD(Sync!$AG824,100),IFERROR(VALUE(TRIM(MID(MID(Sync!$AG824,FIND("/",Sync!$AG824)+1,20),FIND("/",MID(Sync!$AG824,FIND("/",Sync!$AG824)+1,20))+1,20))),"")))</f>
        <v/>
      </c>
      <c r="J824">
        <f>IF($F824="","",IF(OR($G824="",$H824="",$I824="",$G824&lt;1300,$G824&gt;1500,$H824&lt;1,$H824&gt;12,$I824&lt;1,$I824&gt;31),"نامعتبر",RIGHT("0000"&amp;$G824,4)&amp;"/"&amp;RIGHT("00"&amp;$H824,2)&amp;"/"&amp;RIGHT("00"&amp;$I824,2)))</f>
        <v/>
      </c>
      <c r="K824">
        <f>IF(OR($F824="",$J824="",$J824="نامعتبر"),"",LEFT($J824,4)&amp;MID($J824,6,2)&amp;RIGHT($J824,2)&amp;$N824&amp;"|"&amp;"2"&amp;RIGHT("00000"&amp;819,5))</f>
        <v/>
      </c>
      <c r="L824">
        <f>IF($K824="","",COUNTIFS(LdgPartyA,$F824,LdgKeyA,"&lt;"&amp;$K824)+COUNTIFS(LdgPartyB,$F824,LdgKeyB,"&lt;"&amp;$K824)+1)</f>
        <v/>
      </c>
      <c r="M824">
        <f>IF($L824="","",$F824&amp;"|"&amp;RIGHT("000000"&amp;$L824,6))</f>
        <v/>
      </c>
      <c r="N824">
        <f>IF($F824="","",IF(Sync!$AH824="","0000",IF(AND(ISNUMBER(Sync!$AH824),Sync!$AH824&gt;=0,Sync!$AH824&lt;1),RIGHT("00"&amp;HOUR(Sync!$AH824),2)&amp;RIGHT("00"&amp;MINUTE(Sync!$AH824),2),IFERROR(RIGHT("00"&amp;VALUE(LEFT(Sync!$AH824,FIND(":",Sync!$AH824)-1)),2)&amp;RIGHT("00"&amp;VALUE(MID(Sync!$AH824,FIND(":",Sync!$AH824)+1,2)),2),"0000"))))</f>
        <v/>
      </c>
    </row>
    <row r="825">
      <c r="A825">
        <f>IF(OR(Calc!$E828="",Calc!$E828="نامعتبر",Calc!$G828="",Calc!$I828&lt;&gt;"خرید"),"",Calc!$G828)</f>
        <v/>
      </c>
      <c r="B825">
        <f>IF($A825="","",LEFT(Calc!$E828,4)&amp;MID(Calc!$E828,6,2)&amp;RIGHT(Calc!$E828,2)&amp;Calc!$R828&amp;"|"&amp;"1"&amp;RIGHT("00000"&amp;820,5))</f>
        <v/>
      </c>
      <c r="C825">
        <f>IF($B825="","",COUNTIFS(LdgPartyA,$A825,LdgKeyA,"&lt;"&amp;$B825)+COUNTIFS(LdgPartyB,$A825,LdgKeyB,"&lt;"&amp;$B825)+1)</f>
        <v/>
      </c>
      <c r="D825">
        <f>IF($C825="","",$A825&amp;"|"&amp;RIGHT("000000"&amp;$C825,6))</f>
        <v/>
      </c>
      <c r="F825">
        <f>IF(Sync!$AJ825="","",Sync!$AJ825)</f>
        <v/>
      </c>
      <c r="G825">
        <f>IF($F825="","",IF(Sync!$AG825="","",IF(ISNUMBER(Sync!$AG825),IF(AND(Sync!$AG825&gt;=10000101,Sync!$AG825&lt;=99991231),INT(Sync!$AG825/10000),""),IFERROR(VALUE(TRIM(LEFT(Sync!$AG825,FIND("/",Sync!$AG825)-1))),""))))</f>
        <v/>
      </c>
      <c r="H825">
        <f>IF(OR($F825="",$G825=""),"",IF(ISNUMBER(Sync!$AG825),INT(MOD(Sync!$AG825,10000)/100),IFERROR(VALUE(TRIM(LEFT(MID(Sync!$AG825,FIND("/",Sync!$AG825)+1,20),FIND("/",MID(Sync!$AG825,FIND("/",Sync!$AG825)+1,20))-1))),"")))</f>
        <v/>
      </c>
      <c r="I825">
        <f>IF(OR($F825="",$G825=""),"",IF(ISNUMBER(Sync!$AG825),MOD(Sync!$AG825,100),IFERROR(VALUE(TRIM(MID(MID(Sync!$AG825,FIND("/",Sync!$AG825)+1,20),FIND("/",MID(Sync!$AG825,FIND("/",Sync!$AG825)+1,20))+1,20))),"")))</f>
        <v/>
      </c>
      <c r="J825">
        <f>IF($F825="","",IF(OR($G825="",$H825="",$I825="",$G825&lt;1300,$G825&gt;1500,$H825&lt;1,$H825&gt;12,$I825&lt;1,$I825&gt;31),"نامعتبر",RIGHT("0000"&amp;$G825,4)&amp;"/"&amp;RIGHT("00"&amp;$H825,2)&amp;"/"&amp;RIGHT("00"&amp;$I825,2)))</f>
        <v/>
      </c>
      <c r="K825">
        <f>IF(OR($F825="",$J825="",$J825="نامعتبر"),"",LEFT($J825,4)&amp;MID($J825,6,2)&amp;RIGHT($J825,2)&amp;$N825&amp;"|"&amp;"2"&amp;RIGHT("00000"&amp;820,5))</f>
        <v/>
      </c>
      <c r="L825">
        <f>IF($K825="","",COUNTIFS(LdgPartyA,$F825,LdgKeyA,"&lt;"&amp;$K825)+COUNTIFS(LdgPartyB,$F825,LdgKeyB,"&lt;"&amp;$K825)+1)</f>
        <v/>
      </c>
      <c r="M825">
        <f>IF($L825="","",$F825&amp;"|"&amp;RIGHT("000000"&amp;$L825,6))</f>
        <v/>
      </c>
      <c r="N825">
        <f>IF($F825="","",IF(Sync!$AH825="","0000",IF(AND(ISNUMBER(Sync!$AH825),Sync!$AH825&gt;=0,Sync!$AH825&lt;1),RIGHT("00"&amp;HOUR(Sync!$AH825),2)&amp;RIGHT("00"&amp;MINUTE(Sync!$AH825),2),IFERROR(RIGHT("00"&amp;VALUE(LEFT(Sync!$AH825,FIND(":",Sync!$AH825)-1)),2)&amp;RIGHT("00"&amp;VALUE(MID(Sync!$AH825,FIND(":",Sync!$AH825)+1,2)),2),"0000"))))</f>
        <v/>
      </c>
    </row>
    <row r="826">
      <c r="A826">
        <f>IF(OR(Calc!$E829="",Calc!$E829="نامعتبر",Calc!$G829="",Calc!$I829&lt;&gt;"خرید"),"",Calc!$G829)</f>
        <v/>
      </c>
      <c r="B826">
        <f>IF($A826="","",LEFT(Calc!$E829,4)&amp;MID(Calc!$E829,6,2)&amp;RIGHT(Calc!$E829,2)&amp;Calc!$R829&amp;"|"&amp;"1"&amp;RIGHT("00000"&amp;821,5))</f>
        <v/>
      </c>
      <c r="C826">
        <f>IF($B826="","",COUNTIFS(LdgPartyA,$A826,LdgKeyA,"&lt;"&amp;$B826)+COUNTIFS(LdgPartyB,$A826,LdgKeyB,"&lt;"&amp;$B826)+1)</f>
        <v/>
      </c>
      <c r="D826">
        <f>IF($C826="","",$A826&amp;"|"&amp;RIGHT("000000"&amp;$C826,6))</f>
        <v/>
      </c>
      <c r="F826">
        <f>IF(Sync!$AJ826="","",Sync!$AJ826)</f>
        <v/>
      </c>
      <c r="G826">
        <f>IF($F826="","",IF(Sync!$AG826="","",IF(ISNUMBER(Sync!$AG826),IF(AND(Sync!$AG826&gt;=10000101,Sync!$AG826&lt;=99991231),INT(Sync!$AG826/10000),""),IFERROR(VALUE(TRIM(LEFT(Sync!$AG826,FIND("/",Sync!$AG826)-1))),""))))</f>
        <v/>
      </c>
      <c r="H826">
        <f>IF(OR($F826="",$G826=""),"",IF(ISNUMBER(Sync!$AG826),INT(MOD(Sync!$AG826,10000)/100),IFERROR(VALUE(TRIM(LEFT(MID(Sync!$AG826,FIND("/",Sync!$AG826)+1,20),FIND("/",MID(Sync!$AG826,FIND("/",Sync!$AG826)+1,20))-1))),"")))</f>
        <v/>
      </c>
      <c r="I826">
        <f>IF(OR($F826="",$G826=""),"",IF(ISNUMBER(Sync!$AG826),MOD(Sync!$AG826,100),IFERROR(VALUE(TRIM(MID(MID(Sync!$AG826,FIND("/",Sync!$AG826)+1,20),FIND("/",MID(Sync!$AG826,FIND("/",Sync!$AG826)+1,20))+1,20))),"")))</f>
        <v/>
      </c>
      <c r="J826">
        <f>IF($F826="","",IF(OR($G826="",$H826="",$I826="",$G826&lt;1300,$G826&gt;1500,$H826&lt;1,$H826&gt;12,$I826&lt;1,$I826&gt;31),"نامعتبر",RIGHT("0000"&amp;$G826,4)&amp;"/"&amp;RIGHT("00"&amp;$H826,2)&amp;"/"&amp;RIGHT("00"&amp;$I826,2)))</f>
        <v/>
      </c>
      <c r="K826">
        <f>IF(OR($F826="",$J826="",$J826="نامعتبر"),"",LEFT($J826,4)&amp;MID($J826,6,2)&amp;RIGHT($J826,2)&amp;$N826&amp;"|"&amp;"2"&amp;RIGHT("00000"&amp;821,5))</f>
        <v/>
      </c>
      <c r="L826">
        <f>IF($K826="","",COUNTIFS(LdgPartyA,$F826,LdgKeyA,"&lt;"&amp;$K826)+COUNTIFS(LdgPartyB,$F826,LdgKeyB,"&lt;"&amp;$K826)+1)</f>
        <v/>
      </c>
      <c r="M826">
        <f>IF($L826="","",$F826&amp;"|"&amp;RIGHT("000000"&amp;$L826,6))</f>
        <v/>
      </c>
      <c r="N826">
        <f>IF($F826="","",IF(Sync!$AH826="","0000",IF(AND(ISNUMBER(Sync!$AH826),Sync!$AH826&gt;=0,Sync!$AH826&lt;1),RIGHT("00"&amp;HOUR(Sync!$AH826),2)&amp;RIGHT("00"&amp;MINUTE(Sync!$AH826),2),IFERROR(RIGHT("00"&amp;VALUE(LEFT(Sync!$AH826,FIND(":",Sync!$AH826)-1)),2)&amp;RIGHT("00"&amp;VALUE(MID(Sync!$AH826,FIND(":",Sync!$AH826)+1,2)),2),"0000"))))</f>
        <v/>
      </c>
    </row>
    <row r="827">
      <c r="A827">
        <f>IF(OR(Calc!$E830="",Calc!$E830="نامعتبر",Calc!$G830="",Calc!$I830&lt;&gt;"خرید"),"",Calc!$G830)</f>
        <v/>
      </c>
      <c r="B827">
        <f>IF($A827="","",LEFT(Calc!$E830,4)&amp;MID(Calc!$E830,6,2)&amp;RIGHT(Calc!$E830,2)&amp;Calc!$R830&amp;"|"&amp;"1"&amp;RIGHT("00000"&amp;822,5))</f>
        <v/>
      </c>
      <c r="C827">
        <f>IF($B827="","",COUNTIFS(LdgPartyA,$A827,LdgKeyA,"&lt;"&amp;$B827)+COUNTIFS(LdgPartyB,$A827,LdgKeyB,"&lt;"&amp;$B827)+1)</f>
        <v/>
      </c>
      <c r="D827">
        <f>IF($C827="","",$A827&amp;"|"&amp;RIGHT("000000"&amp;$C827,6))</f>
        <v/>
      </c>
      <c r="F827">
        <f>IF(Sync!$AJ827="","",Sync!$AJ827)</f>
        <v/>
      </c>
      <c r="G827">
        <f>IF($F827="","",IF(Sync!$AG827="","",IF(ISNUMBER(Sync!$AG827),IF(AND(Sync!$AG827&gt;=10000101,Sync!$AG827&lt;=99991231),INT(Sync!$AG827/10000),""),IFERROR(VALUE(TRIM(LEFT(Sync!$AG827,FIND("/",Sync!$AG827)-1))),""))))</f>
        <v/>
      </c>
      <c r="H827">
        <f>IF(OR($F827="",$G827=""),"",IF(ISNUMBER(Sync!$AG827),INT(MOD(Sync!$AG827,10000)/100),IFERROR(VALUE(TRIM(LEFT(MID(Sync!$AG827,FIND("/",Sync!$AG827)+1,20),FIND("/",MID(Sync!$AG827,FIND("/",Sync!$AG827)+1,20))-1))),"")))</f>
        <v/>
      </c>
      <c r="I827">
        <f>IF(OR($F827="",$G827=""),"",IF(ISNUMBER(Sync!$AG827),MOD(Sync!$AG827,100),IFERROR(VALUE(TRIM(MID(MID(Sync!$AG827,FIND("/",Sync!$AG827)+1,20),FIND("/",MID(Sync!$AG827,FIND("/",Sync!$AG827)+1,20))+1,20))),"")))</f>
        <v/>
      </c>
      <c r="J827">
        <f>IF($F827="","",IF(OR($G827="",$H827="",$I827="",$G827&lt;1300,$G827&gt;1500,$H827&lt;1,$H827&gt;12,$I827&lt;1,$I827&gt;31),"نامعتبر",RIGHT("0000"&amp;$G827,4)&amp;"/"&amp;RIGHT("00"&amp;$H827,2)&amp;"/"&amp;RIGHT("00"&amp;$I827,2)))</f>
        <v/>
      </c>
      <c r="K827">
        <f>IF(OR($F827="",$J827="",$J827="نامعتبر"),"",LEFT($J827,4)&amp;MID($J827,6,2)&amp;RIGHT($J827,2)&amp;$N827&amp;"|"&amp;"2"&amp;RIGHT("00000"&amp;822,5))</f>
        <v/>
      </c>
      <c r="L827">
        <f>IF($K827="","",COUNTIFS(LdgPartyA,$F827,LdgKeyA,"&lt;"&amp;$K827)+COUNTIFS(LdgPartyB,$F827,LdgKeyB,"&lt;"&amp;$K827)+1)</f>
        <v/>
      </c>
      <c r="M827">
        <f>IF($L827="","",$F827&amp;"|"&amp;RIGHT("000000"&amp;$L827,6))</f>
        <v/>
      </c>
      <c r="N827">
        <f>IF($F827="","",IF(Sync!$AH827="","0000",IF(AND(ISNUMBER(Sync!$AH827),Sync!$AH827&gt;=0,Sync!$AH827&lt;1),RIGHT("00"&amp;HOUR(Sync!$AH827),2)&amp;RIGHT("00"&amp;MINUTE(Sync!$AH827),2),IFERROR(RIGHT("00"&amp;VALUE(LEFT(Sync!$AH827,FIND(":",Sync!$AH827)-1)),2)&amp;RIGHT("00"&amp;VALUE(MID(Sync!$AH827,FIND(":",Sync!$AH827)+1,2)),2),"0000"))))</f>
        <v/>
      </c>
    </row>
    <row r="828">
      <c r="A828">
        <f>IF(OR(Calc!$E831="",Calc!$E831="نامعتبر",Calc!$G831="",Calc!$I831&lt;&gt;"خرید"),"",Calc!$G831)</f>
        <v/>
      </c>
      <c r="B828">
        <f>IF($A828="","",LEFT(Calc!$E831,4)&amp;MID(Calc!$E831,6,2)&amp;RIGHT(Calc!$E831,2)&amp;Calc!$R831&amp;"|"&amp;"1"&amp;RIGHT("00000"&amp;823,5))</f>
        <v/>
      </c>
      <c r="C828">
        <f>IF($B828="","",COUNTIFS(LdgPartyA,$A828,LdgKeyA,"&lt;"&amp;$B828)+COUNTIFS(LdgPartyB,$A828,LdgKeyB,"&lt;"&amp;$B828)+1)</f>
        <v/>
      </c>
      <c r="D828">
        <f>IF($C828="","",$A828&amp;"|"&amp;RIGHT("000000"&amp;$C828,6))</f>
        <v/>
      </c>
      <c r="F828">
        <f>IF(Sync!$AJ828="","",Sync!$AJ828)</f>
        <v/>
      </c>
      <c r="G828">
        <f>IF($F828="","",IF(Sync!$AG828="","",IF(ISNUMBER(Sync!$AG828),IF(AND(Sync!$AG828&gt;=10000101,Sync!$AG828&lt;=99991231),INT(Sync!$AG828/10000),""),IFERROR(VALUE(TRIM(LEFT(Sync!$AG828,FIND("/",Sync!$AG828)-1))),""))))</f>
        <v/>
      </c>
      <c r="H828">
        <f>IF(OR($F828="",$G828=""),"",IF(ISNUMBER(Sync!$AG828),INT(MOD(Sync!$AG828,10000)/100),IFERROR(VALUE(TRIM(LEFT(MID(Sync!$AG828,FIND("/",Sync!$AG828)+1,20),FIND("/",MID(Sync!$AG828,FIND("/",Sync!$AG828)+1,20))-1))),"")))</f>
        <v/>
      </c>
      <c r="I828">
        <f>IF(OR($F828="",$G828=""),"",IF(ISNUMBER(Sync!$AG828),MOD(Sync!$AG828,100),IFERROR(VALUE(TRIM(MID(MID(Sync!$AG828,FIND("/",Sync!$AG828)+1,20),FIND("/",MID(Sync!$AG828,FIND("/",Sync!$AG828)+1,20))+1,20))),"")))</f>
        <v/>
      </c>
      <c r="J828">
        <f>IF($F828="","",IF(OR($G828="",$H828="",$I828="",$G828&lt;1300,$G828&gt;1500,$H828&lt;1,$H828&gt;12,$I828&lt;1,$I828&gt;31),"نامعتبر",RIGHT("0000"&amp;$G828,4)&amp;"/"&amp;RIGHT("00"&amp;$H828,2)&amp;"/"&amp;RIGHT("00"&amp;$I828,2)))</f>
        <v/>
      </c>
      <c r="K828">
        <f>IF(OR($F828="",$J828="",$J828="نامعتبر"),"",LEFT($J828,4)&amp;MID($J828,6,2)&amp;RIGHT($J828,2)&amp;$N828&amp;"|"&amp;"2"&amp;RIGHT("00000"&amp;823,5))</f>
        <v/>
      </c>
      <c r="L828">
        <f>IF($K828="","",COUNTIFS(LdgPartyA,$F828,LdgKeyA,"&lt;"&amp;$K828)+COUNTIFS(LdgPartyB,$F828,LdgKeyB,"&lt;"&amp;$K828)+1)</f>
        <v/>
      </c>
      <c r="M828">
        <f>IF($L828="","",$F828&amp;"|"&amp;RIGHT("000000"&amp;$L828,6))</f>
        <v/>
      </c>
      <c r="N828">
        <f>IF($F828="","",IF(Sync!$AH828="","0000",IF(AND(ISNUMBER(Sync!$AH828),Sync!$AH828&gt;=0,Sync!$AH828&lt;1),RIGHT("00"&amp;HOUR(Sync!$AH828),2)&amp;RIGHT("00"&amp;MINUTE(Sync!$AH828),2),IFERROR(RIGHT("00"&amp;VALUE(LEFT(Sync!$AH828,FIND(":",Sync!$AH828)-1)),2)&amp;RIGHT("00"&amp;VALUE(MID(Sync!$AH828,FIND(":",Sync!$AH828)+1,2)),2),"0000"))))</f>
        <v/>
      </c>
    </row>
    <row r="829">
      <c r="A829">
        <f>IF(OR(Calc!$E832="",Calc!$E832="نامعتبر",Calc!$G832="",Calc!$I832&lt;&gt;"خرید"),"",Calc!$G832)</f>
        <v/>
      </c>
      <c r="B829">
        <f>IF($A829="","",LEFT(Calc!$E832,4)&amp;MID(Calc!$E832,6,2)&amp;RIGHT(Calc!$E832,2)&amp;Calc!$R832&amp;"|"&amp;"1"&amp;RIGHT("00000"&amp;824,5))</f>
        <v/>
      </c>
      <c r="C829">
        <f>IF($B829="","",COUNTIFS(LdgPartyA,$A829,LdgKeyA,"&lt;"&amp;$B829)+COUNTIFS(LdgPartyB,$A829,LdgKeyB,"&lt;"&amp;$B829)+1)</f>
        <v/>
      </c>
      <c r="D829">
        <f>IF($C829="","",$A829&amp;"|"&amp;RIGHT("000000"&amp;$C829,6))</f>
        <v/>
      </c>
      <c r="F829">
        <f>IF(Sync!$AJ829="","",Sync!$AJ829)</f>
        <v/>
      </c>
      <c r="G829">
        <f>IF($F829="","",IF(Sync!$AG829="","",IF(ISNUMBER(Sync!$AG829),IF(AND(Sync!$AG829&gt;=10000101,Sync!$AG829&lt;=99991231),INT(Sync!$AG829/10000),""),IFERROR(VALUE(TRIM(LEFT(Sync!$AG829,FIND("/",Sync!$AG829)-1))),""))))</f>
        <v/>
      </c>
      <c r="H829">
        <f>IF(OR($F829="",$G829=""),"",IF(ISNUMBER(Sync!$AG829),INT(MOD(Sync!$AG829,10000)/100),IFERROR(VALUE(TRIM(LEFT(MID(Sync!$AG829,FIND("/",Sync!$AG829)+1,20),FIND("/",MID(Sync!$AG829,FIND("/",Sync!$AG829)+1,20))-1))),"")))</f>
        <v/>
      </c>
      <c r="I829">
        <f>IF(OR($F829="",$G829=""),"",IF(ISNUMBER(Sync!$AG829),MOD(Sync!$AG829,100),IFERROR(VALUE(TRIM(MID(MID(Sync!$AG829,FIND("/",Sync!$AG829)+1,20),FIND("/",MID(Sync!$AG829,FIND("/",Sync!$AG829)+1,20))+1,20))),"")))</f>
        <v/>
      </c>
      <c r="J829">
        <f>IF($F829="","",IF(OR($G829="",$H829="",$I829="",$G829&lt;1300,$G829&gt;1500,$H829&lt;1,$H829&gt;12,$I829&lt;1,$I829&gt;31),"نامعتبر",RIGHT("0000"&amp;$G829,4)&amp;"/"&amp;RIGHT("00"&amp;$H829,2)&amp;"/"&amp;RIGHT("00"&amp;$I829,2)))</f>
        <v/>
      </c>
      <c r="K829">
        <f>IF(OR($F829="",$J829="",$J829="نامعتبر"),"",LEFT($J829,4)&amp;MID($J829,6,2)&amp;RIGHT($J829,2)&amp;$N829&amp;"|"&amp;"2"&amp;RIGHT("00000"&amp;824,5))</f>
        <v/>
      </c>
      <c r="L829">
        <f>IF($K829="","",COUNTIFS(LdgPartyA,$F829,LdgKeyA,"&lt;"&amp;$K829)+COUNTIFS(LdgPartyB,$F829,LdgKeyB,"&lt;"&amp;$K829)+1)</f>
        <v/>
      </c>
      <c r="M829">
        <f>IF($L829="","",$F829&amp;"|"&amp;RIGHT("000000"&amp;$L829,6))</f>
        <v/>
      </c>
      <c r="N829">
        <f>IF($F829="","",IF(Sync!$AH829="","0000",IF(AND(ISNUMBER(Sync!$AH829),Sync!$AH829&gt;=0,Sync!$AH829&lt;1),RIGHT("00"&amp;HOUR(Sync!$AH829),2)&amp;RIGHT("00"&amp;MINUTE(Sync!$AH829),2),IFERROR(RIGHT("00"&amp;VALUE(LEFT(Sync!$AH829,FIND(":",Sync!$AH829)-1)),2)&amp;RIGHT("00"&amp;VALUE(MID(Sync!$AH829,FIND(":",Sync!$AH829)+1,2)),2),"0000"))))</f>
        <v/>
      </c>
    </row>
    <row r="830">
      <c r="A830">
        <f>IF(OR(Calc!$E833="",Calc!$E833="نامعتبر",Calc!$G833="",Calc!$I833&lt;&gt;"خرید"),"",Calc!$G833)</f>
        <v/>
      </c>
      <c r="B830">
        <f>IF($A830="","",LEFT(Calc!$E833,4)&amp;MID(Calc!$E833,6,2)&amp;RIGHT(Calc!$E833,2)&amp;Calc!$R833&amp;"|"&amp;"1"&amp;RIGHT("00000"&amp;825,5))</f>
        <v/>
      </c>
      <c r="C830">
        <f>IF($B830="","",COUNTIFS(LdgPartyA,$A830,LdgKeyA,"&lt;"&amp;$B830)+COUNTIFS(LdgPartyB,$A830,LdgKeyB,"&lt;"&amp;$B830)+1)</f>
        <v/>
      </c>
      <c r="D830">
        <f>IF($C830="","",$A830&amp;"|"&amp;RIGHT("000000"&amp;$C830,6))</f>
        <v/>
      </c>
      <c r="F830">
        <f>IF(Sync!$AJ830="","",Sync!$AJ830)</f>
        <v/>
      </c>
      <c r="G830">
        <f>IF($F830="","",IF(Sync!$AG830="","",IF(ISNUMBER(Sync!$AG830),IF(AND(Sync!$AG830&gt;=10000101,Sync!$AG830&lt;=99991231),INT(Sync!$AG830/10000),""),IFERROR(VALUE(TRIM(LEFT(Sync!$AG830,FIND("/",Sync!$AG830)-1))),""))))</f>
        <v/>
      </c>
      <c r="H830">
        <f>IF(OR($F830="",$G830=""),"",IF(ISNUMBER(Sync!$AG830),INT(MOD(Sync!$AG830,10000)/100),IFERROR(VALUE(TRIM(LEFT(MID(Sync!$AG830,FIND("/",Sync!$AG830)+1,20),FIND("/",MID(Sync!$AG830,FIND("/",Sync!$AG830)+1,20))-1))),"")))</f>
        <v/>
      </c>
      <c r="I830">
        <f>IF(OR($F830="",$G830=""),"",IF(ISNUMBER(Sync!$AG830),MOD(Sync!$AG830,100),IFERROR(VALUE(TRIM(MID(MID(Sync!$AG830,FIND("/",Sync!$AG830)+1,20),FIND("/",MID(Sync!$AG830,FIND("/",Sync!$AG830)+1,20))+1,20))),"")))</f>
        <v/>
      </c>
      <c r="J830">
        <f>IF($F830="","",IF(OR($G830="",$H830="",$I830="",$G830&lt;1300,$G830&gt;1500,$H830&lt;1,$H830&gt;12,$I830&lt;1,$I830&gt;31),"نامعتبر",RIGHT("0000"&amp;$G830,4)&amp;"/"&amp;RIGHT("00"&amp;$H830,2)&amp;"/"&amp;RIGHT("00"&amp;$I830,2)))</f>
        <v/>
      </c>
      <c r="K830">
        <f>IF(OR($F830="",$J830="",$J830="نامعتبر"),"",LEFT($J830,4)&amp;MID($J830,6,2)&amp;RIGHT($J830,2)&amp;$N830&amp;"|"&amp;"2"&amp;RIGHT("00000"&amp;825,5))</f>
        <v/>
      </c>
      <c r="L830">
        <f>IF($K830="","",COUNTIFS(LdgPartyA,$F830,LdgKeyA,"&lt;"&amp;$K830)+COUNTIFS(LdgPartyB,$F830,LdgKeyB,"&lt;"&amp;$K830)+1)</f>
        <v/>
      </c>
      <c r="M830">
        <f>IF($L830="","",$F830&amp;"|"&amp;RIGHT("000000"&amp;$L830,6))</f>
        <v/>
      </c>
      <c r="N830">
        <f>IF($F830="","",IF(Sync!$AH830="","0000",IF(AND(ISNUMBER(Sync!$AH830),Sync!$AH830&gt;=0,Sync!$AH830&lt;1),RIGHT("00"&amp;HOUR(Sync!$AH830),2)&amp;RIGHT("00"&amp;MINUTE(Sync!$AH830),2),IFERROR(RIGHT("00"&amp;VALUE(LEFT(Sync!$AH830,FIND(":",Sync!$AH830)-1)),2)&amp;RIGHT("00"&amp;VALUE(MID(Sync!$AH830,FIND(":",Sync!$AH830)+1,2)),2),"0000"))))</f>
        <v/>
      </c>
    </row>
    <row r="831">
      <c r="A831">
        <f>IF(OR(Calc!$E834="",Calc!$E834="نامعتبر",Calc!$G834="",Calc!$I834&lt;&gt;"خرید"),"",Calc!$G834)</f>
        <v/>
      </c>
      <c r="B831">
        <f>IF($A831="","",LEFT(Calc!$E834,4)&amp;MID(Calc!$E834,6,2)&amp;RIGHT(Calc!$E834,2)&amp;Calc!$R834&amp;"|"&amp;"1"&amp;RIGHT("00000"&amp;826,5))</f>
        <v/>
      </c>
      <c r="C831">
        <f>IF($B831="","",COUNTIFS(LdgPartyA,$A831,LdgKeyA,"&lt;"&amp;$B831)+COUNTIFS(LdgPartyB,$A831,LdgKeyB,"&lt;"&amp;$B831)+1)</f>
        <v/>
      </c>
      <c r="D831">
        <f>IF($C831="","",$A831&amp;"|"&amp;RIGHT("000000"&amp;$C831,6))</f>
        <v/>
      </c>
      <c r="F831">
        <f>IF(Sync!$AJ831="","",Sync!$AJ831)</f>
        <v/>
      </c>
      <c r="G831">
        <f>IF($F831="","",IF(Sync!$AG831="","",IF(ISNUMBER(Sync!$AG831),IF(AND(Sync!$AG831&gt;=10000101,Sync!$AG831&lt;=99991231),INT(Sync!$AG831/10000),""),IFERROR(VALUE(TRIM(LEFT(Sync!$AG831,FIND("/",Sync!$AG831)-1))),""))))</f>
        <v/>
      </c>
      <c r="H831">
        <f>IF(OR($F831="",$G831=""),"",IF(ISNUMBER(Sync!$AG831),INT(MOD(Sync!$AG831,10000)/100),IFERROR(VALUE(TRIM(LEFT(MID(Sync!$AG831,FIND("/",Sync!$AG831)+1,20),FIND("/",MID(Sync!$AG831,FIND("/",Sync!$AG831)+1,20))-1))),"")))</f>
        <v/>
      </c>
      <c r="I831">
        <f>IF(OR($F831="",$G831=""),"",IF(ISNUMBER(Sync!$AG831),MOD(Sync!$AG831,100),IFERROR(VALUE(TRIM(MID(MID(Sync!$AG831,FIND("/",Sync!$AG831)+1,20),FIND("/",MID(Sync!$AG831,FIND("/",Sync!$AG831)+1,20))+1,20))),"")))</f>
        <v/>
      </c>
      <c r="J831">
        <f>IF($F831="","",IF(OR($G831="",$H831="",$I831="",$G831&lt;1300,$G831&gt;1500,$H831&lt;1,$H831&gt;12,$I831&lt;1,$I831&gt;31),"نامعتبر",RIGHT("0000"&amp;$G831,4)&amp;"/"&amp;RIGHT("00"&amp;$H831,2)&amp;"/"&amp;RIGHT("00"&amp;$I831,2)))</f>
        <v/>
      </c>
      <c r="K831">
        <f>IF(OR($F831="",$J831="",$J831="نامعتبر"),"",LEFT($J831,4)&amp;MID($J831,6,2)&amp;RIGHT($J831,2)&amp;$N831&amp;"|"&amp;"2"&amp;RIGHT("00000"&amp;826,5))</f>
        <v/>
      </c>
      <c r="L831">
        <f>IF($K831="","",COUNTIFS(LdgPartyA,$F831,LdgKeyA,"&lt;"&amp;$K831)+COUNTIFS(LdgPartyB,$F831,LdgKeyB,"&lt;"&amp;$K831)+1)</f>
        <v/>
      </c>
      <c r="M831">
        <f>IF($L831="","",$F831&amp;"|"&amp;RIGHT("000000"&amp;$L831,6))</f>
        <v/>
      </c>
      <c r="N831">
        <f>IF($F831="","",IF(Sync!$AH831="","0000",IF(AND(ISNUMBER(Sync!$AH831),Sync!$AH831&gt;=0,Sync!$AH831&lt;1),RIGHT("00"&amp;HOUR(Sync!$AH831),2)&amp;RIGHT("00"&amp;MINUTE(Sync!$AH831),2),IFERROR(RIGHT("00"&amp;VALUE(LEFT(Sync!$AH831,FIND(":",Sync!$AH831)-1)),2)&amp;RIGHT("00"&amp;VALUE(MID(Sync!$AH831,FIND(":",Sync!$AH831)+1,2)),2),"0000"))))</f>
        <v/>
      </c>
    </row>
    <row r="832">
      <c r="A832">
        <f>IF(OR(Calc!$E835="",Calc!$E835="نامعتبر",Calc!$G835="",Calc!$I835&lt;&gt;"خرید"),"",Calc!$G835)</f>
        <v/>
      </c>
      <c r="B832">
        <f>IF($A832="","",LEFT(Calc!$E835,4)&amp;MID(Calc!$E835,6,2)&amp;RIGHT(Calc!$E835,2)&amp;Calc!$R835&amp;"|"&amp;"1"&amp;RIGHT("00000"&amp;827,5))</f>
        <v/>
      </c>
      <c r="C832">
        <f>IF($B832="","",COUNTIFS(LdgPartyA,$A832,LdgKeyA,"&lt;"&amp;$B832)+COUNTIFS(LdgPartyB,$A832,LdgKeyB,"&lt;"&amp;$B832)+1)</f>
        <v/>
      </c>
      <c r="D832">
        <f>IF($C832="","",$A832&amp;"|"&amp;RIGHT("000000"&amp;$C832,6))</f>
        <v/>
      </c>
      <c r="F832">
        <f>IF(Sync!$AJ832="","",Sync!$AJ832)</f>
        <v/>
      </c>
      <c r="G832">
        <f>IF($F832="","",IF(Sync!$AG832="","",IF(ISNUMBER(Sync!$AG832),IF(AND(Sync!$AG832&gt;=10000101,Sync!$AG832&lt;=99991231),INT(Sync!$AG832/10000),""),IFERROR(VALUE(TRIM(LEFT(Sync!$AG832,FIND("/",Sync!$AG832)-1))),""))))</f>
        <v/>
      </c>
      <c r="H832">
        <f>IF(OR($F832="",$G832=""),"",IF(ISNUMBER(Sync!$AG832),INT(MOD(Sync!$AG832,10000)/100),IFERROR(VALUE(TRIM(LEFT(MID(Sync!$AG832,FIND("/",Sync!$AG832)+1,20),FIND("/",MID(Sync!$AG832,FIND("/",Sync!$AG832)+1,20))-1))),"")))</f>
        <v/>
      </c>
      <c r="I832">
        <f>IF(OR($F832="",$G832=""),"",IF(ISNUMBER(Sync!$AG832),MOD(Sync!$AG832,100),IFERROR(VALUE(TRIM(MID(MID(Sync!$AG832,FIND("/",Sync!$AG832)+1,20),FIND("/",MID(Sync!$AG832,FIND("/",Sync!$AG832)+1,20))+1,20))),"")))</f>
        <v/>
      </c>
      <c r="J832">
        <f>IF($F832="","",IF(OR($G832="",$H832="",$I832="",$G832&lt;1300,$G832&gt;1500,$H832&lt;1,$H832&gt;12,$I832&lt;1,$I832&gt;31),"نامعتبر",RIGHT("0000"&amp;$G832,4)&amp;"/"&amp;RIGHT("00"&amp;$H832,2)&amp;"/"&amp;RIGHT("00"&amp;$I832,2)))</f>
        <v/>
      </c>
      <c r="K832">
        <f>IF(OR($F832="",$J832="",$J832="نامعتبر"),"",LEFT($J832,4)&amp;MID($J832,6,2)&amp;RIGHT($J832,2)&amp;$N832&amp;"|"&amp;"2"&amp;RIGHT("00000"&amp;827,5))</f>
        <v/>
      </c>
      <c r="L832">
        <f>IF($K832="","",COUNTIFS(LdgPartyA,$F832,LdgKeyA,"&lt;"&amp;$K832)+COUNTIFS(LdgPartyB,$F832,LdgKeyB,"&lt;"&amp;$K832)+1)</f>
        <v/>
      </c>
      <c r="M832">
        <f>IF($L832="","",$F832&amp;"|"&amp;RIGHT("000000"&amp;$L832,6))</f>
        <v/>
      </c>
      <c r="N832">
        <f>IF($F832="","",IF(Sync!$AH832="","0000",IF(AND(ISNUMBER(Sync!$AH832),Sync!$AH832&gt;=0,Sync!$AH832&lt;1),RIGHT("00"&amp;HOUR(Sync!$AH832),2)&amp;RIGHT("00"&amp;MINUTE(Sync!$AH832),2),IFERROR(RIGHT("00"&amp;VALUE(LEFT(Sync!$AH832,FIND(":",Sync!$AH832)-1)),2)&amp;RIGHT("00"&amp;VALUE(MID(Sync!$AH832,FIND(":",Sync!$AH832)+1,2)),2),"0000"))))</f>
        <v/>
      </c>
    </row>
    <row r="833">
      <c r="A833">
        <f>IF(OR(Calc!$E836="",Calc!$E836="نامعتبر",Calc!$G836="",Calc!$I836&lt;&gt;"خرید"),"",Calc!$G836)</f>
        <v/>
      </c>
      <c r="B833">
        <f>IF($A833="","",LEFT(Calc!$E836,4)&amp;MID(Calc!$E836,6,2)&amp;RIGHT(Calc!$E836,2)&amp;Calc!$R836&amp;"|"&amp;"1"&amp;RIGHT("00000"&amp;828,5))</f>
        <v/>
      </c>
      <c r="C833">
        <f>IF($B833="","",COUNTIFS(LdgPartyA,$A833,LdgKeyA,"&lt;"&amp;$B833)+COUNTIFS(LdgPartyB,$A833,LdgKeyB,"&lt;"&amp;$B833)+1)</f>
        <v/>
      </c>
      <c r="D833">
        <f>IF($C833="","",$A833&amp;"|"&amp;RIGHT("000000"&amp;$C833,6))</f>
        <v/>
      </c>
      <c r="F833">
        <f>IF(Sync!$AJ833="","",Sync!$AJ833)</f>
        <v/>
      </c>
      <c r="G833">
        <f>IF($F833="","",IF(Sync!$AG833="","",IF(ISNUMBER(Sync!$AG833),IF(AND(Sync!$AG833&gt;=10000101,Sync!$AG833&lt;=99991231),INT(Sync!$AG833/10000),""),IFERROR(VALUE(TRIM(LEFT(Sync!$AG833,FIND("/",Sync!$AG833)-1))),""))))</f>
        <v/>
      </c>
      <c r="H833">
        <f>IF(OR($F833="",$G833=""),"",IF(ISNUMBER(Sync!$AG833),INT(MOD(Sync!$AG833,10000)/100),IFERROR(VALUE(TRIM(LEFT(MID(Sync!$AG833,FIND("/",Sync!$AG833)+1,20),FIND("/",MID(Sync!$AG833,FIND("/",Sync!$AG833)+1,20))-1))),"")))</f>
        <v/>
      </c>
      <c r="I833">
        <f>IF(OR($F833="",$G833=""),"",IF(ISNUMBER(Sync!$AG833),MOD(Sync!$AG833,100),IFERROR(VALUE(TRIM(MID(MID(Sync!$AG833,FIND("/",Sync!$AG833)+1,20),FIND("/",MID(Sync!$AG833,FIND("/",Sync!$AG833)+1,20))+1,20))),"")))</f>
        <v/>
      </c>
      <c r="J833">
        <f>IF($F833="","",IF(OR($G833="",$H833="",$I833="",$G833&lt;1300,$G833&gt;1500,$H833&lt;1,$H833&gt;12,$I833&lt;1,$I833&gt;31),"نامعتبر",RIGHT("0000"&amp;$G833,4)&amp;"/"&amp;RIGHT("00"&amp;$H833,2)&amp;"/"&amp;RIGHT("00"&amp;$I833,2)))</f>
        <v/>
      </c>
      <c r="K833">
        <f>IF(OR($F833="",$J833="",$J833="نامعتبر"),"",LEFT($J833,4)&amp;MID($J833,6,2)&amp;RIGHT($J833,2)&amp;$N833&amp;"|"&amp;"2"&amp;RIGHT("00000"&amp;828,5))</f>
        <v/>
      </c>
      <c r="L833">
        <f>IF($K833="","",COUNTIFS(LdgPartyA,$F833,LdgKeyA,"&lt;"&amp;$K833)+COUNTIFS(LdgPartyB,$F833,LdgKeyB,"&lt;"&amp;$K833)+1)</f>
        <v/>
      </c>
      <c r="M833">
        <f>IF($L833="","",$F833&amp;"|"&amp;RIGHT("000000"&amp;$L833,6))</f>
        <v/>
      </c>
      <c r="N833">
        <f>IF($F833="","",IF(Sync!$AH833="","0000",IF(AND(ISNUMBER(Sync!$AH833),Sync!$AH833&gt;=0,Sync!$AH833&lt;1),RIGHT("00"&amp;HOUR(Sync!$AH833),2)&amp;RIGHT("00"&amp;MINUTE(Sync!$AH833),2),IFERROR(RIGHT("00"&amp;VALUE(LEFT(Sync!$AH833,FIND(":",Sync!$AH833)-1)),2)&amp;RIGHT("00"&amp;VALUE(MID(Sync!$AH833,FIND(":",Sync!$AH833)+1,2)),2),"0000"))))</f>
        <v/>
      </c>
    </row>
    <row r="834">
      <c r="A834">
        <f>IF(OR(Calc!$E837="",Calc!$E837="نامعتبر",Calc!$G837="",Calc!$I837&lt;&gt;"خرید"),"",Calc!$G837)</f>
        <v/>
      </c>
      <c r="B834">
        <f>IF($A834="","",LEFT(Calc!$E837,4)&amp;MID(Calc!$E837,6,2)&amp;RIGHT(Calc!$E837,2)&amp;Calc!$R837&amp;"|"&amp;"1"&amp;RIGHT("00000"&amp;829,5))</f>
        <v/>
      </c>
      <c r="C834">
        <f>IF($B834="","",COUNTIFS(LdgPartyA,$A834,LdgKeyA,"&lt;"&amp;$B834)+COUNTIFS(LdgPartyB,$A834,LdgKeyB,"&lt;"&amp;$B834)+1)</f>
        <v/>
      </c>
      <c r="D834">
        <f>IF($C834="","",$A834&amp;"|"&amp;RIGHT("000000"&amp;$C834,6))</f>
        <v/>
      </c>
      <c r="F834">
        <f>IF(Sync!$AJ834="","",Sync!$AJ834)</f>
        <v/>
      </c>
      <c r="G834">
        <f>IF($F834="","",IF(Sync!$AG834="","",IF(ISNUMBER(Sync!$AG834),IF(AND(Sync!$AG834&gt;=10000101,Sync!$AG834&lt;=99991231),INT(Sync!$AG834/10000),""),IFERROR(VALUE(TRIM(LEFT(Sync!$AG834,FIND("/",Sync!$AG834)-1))),""))))</f>
        <v/>
      </c>
      <c r="H834">
        <f>IF(OR($F834="",$G834=""),"",IF(ISNUMBER(Sync!$AG834),INT(MOD(Sync!$AG834,10000)/100),IFERROR(VALUE(TRIM(LEFT(MID(Sync!$AG834,FIND("/",Sync!$AG834)+1,20),FIND("/",MID(Sync!$AG834,FIND("/",Sync!$AG834)+1,20))-1))),"")))</f>
        <v/>
      </c>
      <c r="I834">
        <f>IF(OR($F834="",$G834=""),"",IF(ISNUMBER(Sync!$AG834),MOD(Sync!$AG834,100),IFERROR(VALUE(TRIM(MID(MID(Sync!$AG834,FIND("/",Sync!$AG834)+1,20),FIND("/",MID(Sync!$AG834,FIND("/",Sync!$AG834)+1,20))+1,20))),"")))</f>
        <v/>
      </c>
      <c r="J834">
        <f>IF($F834="","",IF(OR($G834="",$H834="",$I834="",$G834&lt;1300,$G834&gt;1500,$H834&lt;1,$H834&gt;12,$I834&lt;1,$I834&gt;31),"نامعتبر",RIGHT("0000"&amp;$G834,4)&amp;"/"&amp;RIGHT("00"&amp;$H834,2)&amp;"/"&amp;RIGHT("00"&amp;$I834,2)))</f>
        <v/>
      </c>
      <c r="K834">
        <f>IF(OR($F834="",$J834="",$J834="نامعتبر"),"",LEFT($J834,4)&amp;MID($J834,6,2)&amp;RIGHT($J834,2)&amp;$N834&amp;"|"&amp;"2"&amp;RIGHT("00000"&amp;829,5))</f>
        <v/>
      </c>
      <c r="L834">
        <f>IF($K834="","",COUNTIFS(LdgPartyA,$F834,LdgKeyA,"&lt;"&amp;$K834)+COUNTIFS(LdgPartyB,$F834,LdgKeyB,"&lt;"&amp;$K834)+1)</f>
        <v/>
      </c>
      <c r="M834">
        <f>IF($L834="","",$F834&amp;"|"&amp;RIGHT("000000"&amp;$L834,6))</f>
        <v/>
      </c>
      <c r="N834">
        <f>IF($F834="","",IF(Sync!$AH834="","0000",IF(AND(ISNUMBER(Sync!$AH834),Sync!$AH834&gt;=0,Sync!$AH834&lt;1),RIGHT("00"&amp;HOUR(Sync!$AH834),2)&amp;RIGHT("00"&amp;MINUTE(Sync!$AH834),2),IFERROR(RIGHT("00"&amp;VALUE(LEFT(Sync!$AH834,FIND(":",Sync!$AH834)-1)),2)&amp;RIGHT("00"&amp;VALUE(MID(Sync!$AH834,FIND(":",Sync!$AH834)+1,2)),2),"0000"))))</f>
        <v/>
      </c>
    </row>
    <row r="835">
      <c r="A835">
        <f>IF(OR(Calc!$E838="",Calc!$E838="نامعتبر",Calc!$G838="",Calc!$I838&lt;&gt;"خرید"),"",Calc!$G838)</f>
        <v/>
      </c>
      <c r="B835">
        <f>IF($A835="","",LEFT(Calc!$E838,4)&amp;MID(Calc!$E838,6,2)&amp;RIGHT(Calc!$E838,2)&amp;Calc!$R838&amp;"|"&amp;"1"&amp;RIGHT("00000"&amp;830,5))</f>
        <v/>
      </c>
      <c r="C835">
        <f>IF($B835="","",COUNTIFS(LdgPartyA,$A835,LdgKeyA,"&lt;"&amp;$B835)+COUNTIFS(LdgPartyB,$A835,LdgKeyB,"&lt;"&amp;$B835)+1)</f>
        <v/>
      </c>
      <c r="D835">
        <f>IF($C835="","",$A835&amp;"|"&amp;RIGHT("000000"&amp;$C835,6))</f>
        <v/>
      </c>
      <c r="F835">
        <f>IF(Sync!$AJ835="","",Sync!$AJ835)</f>
        <v/>
      </c>
      <c r="G835">
        <f>IF($F835="","",IF(Sync!$AG835="","",IF(ISNUMBER(Sync!$AG835),IF(AND(Sync!$AG835&gt;=10000101,Sync!$AG835&lt;=99991231),INT(Sync!$AG835/10000),""),IFERROR(VALUE(TRIM(LEFT(Sync!$AG835,FIND("/",Sync!$AG835)-1))),""))))</f>
        <v/>
      </c>
      <c r="H835">
        <f>IF(OR($F835="",$G835=""),"",IF(ISNUMBER(Sync!$AG835),INT(MOD(Sync!$AG835,10000)/100),IFERROR(VALUE(TRIM(LEFT(MID(Sync!$AG835,FIND("/",Sync!$AG835)+1,20),FIND("/",MID(Sync!$AG835,FIND("/",Sync!$AG835)+1,20))-1))),"")))</f>
        <v/>
      </c>
      <c r="I835">
        <f>IF(OR($F835="",$G835=""),"",IF(ISNUMBER(Sync!$AG835),MOD(Sync!$AG835,100),IFERROR(VALUE(TRIM(MID(MID(Sync!$AG835,FIND("/",Sync!$AG835)+1,20),FIND("/",MID(Sync!$AG835,FIND("/",Sync!$AG835)+1,20))+1,20))),"")))</f>
        <v/>
      </c>
      <c r="J835">
        <f>IF($F835="","",IF(OR($G835="",$H835="",$I835="",$G835&lt;1300,$G835&gt;1500,$H835&lt;1,$H835&gt;12,$I835&lt;1,$I835&gt;31),"نامعتبر",RIGHT("0000"&amp;$G835,4)&amp;"/"&amp;RIGHT("00"&amp;$H835,2)&amp;"/"&amp;RIGHT("00"&amp;$I835,2)))</f>
        <v/>
      </c>
      <c r="K835">
        <f>IF(OR($F835="",$J835="",$J835="نامعتبر"),"",LEFT($J835,4)&amp;MID($J835,6,2)&amp;RIGHT($J835,2)&amp;$N835&amp;"|"&amp;"2"&amp;RIGHT("00000"&amp;830,5))</f>
        <v/>
      </c>
      <c r="L835">
        <f>IF($K835="","",COUNTIFS(LdgPartyA,$F835,LdgKeyA,"&lt;"&amp;$K835)+COUNTIFS(LdgPartyB,$F835,LdgKeyB,"&lt;"&amp;$K835)+1)</f>
        <v/>
      </c>
      <c r="M835">
        <f>IF($L835="","",$F835&amp;"|"&amp;RIGHT("000000"&amp;$L835,6))</f>
        <v/>
      </c>
      <c r="N835">
        <f>IF($F835="","",IF(Sync!$AH835="","0000",IF(AND(ISNUMBER(Sync!$AH835),Sync!$AH835&gt;=0,Sync!$AH835&lt;1),RIGHT("00"&amp;HOUR(Sync!$AH835),2)&amp;RIGHT("00"&amp;MINUTE(Sync!$AH835),2),IFERROR(RIGHT("00"&amp;VALUE(LEFT(Sync!$AH835,FIND(":",Sync!$AH835)-1)),2)&amp;RIGHT("00"&amp;VALUE(MID(Sync!$AH835,FIND(":",Sync!$AH835)+1,2)),2),"0000"))))</f>
        <v/>
      </c>
    </row>
    <row r="836">
      <c r="A836">
        <f>IF(OR(Calc!$E839="",Calc!$E839="نامعتبر",Calc!$G839="",Calc!$I839&lt;&gt;"خرید"),"",Calc!$G839)</f>
        <v/>
      </c>
      <c r="B836">
        <f>IF($A836="","",LEFT(Calc!$E839,4)&amp;MID(Calc!$E839,6,2)&amp;RIGHT(Calc!$E839,2)&amp;Calc!$R839&amp;"|"&amp;"1"&amp;RIGHT("00000"&amp;831,5))</f>
        <v/>
      </c>
      <c r="C836">
        <f>IF($B836="","",COUNTIFS(LdgPartyA,$A836,LdgKeyA,"&lt;"&amp;$B836)+COUNTIFS(LdgPartyB,$A836,LdgKeyB,"&lt;"&amp;$B836)+1)</f>
        <v/>
      </c>
      <c r="D836">
        <f>IF($C836="","",$A836&amp;"|"&amp;RIGHT("000000"&amp;$C836,6))</f>
        <v/>
      </c>
      <c r="F836">
        <f>IF(Sync!$AJ836="","",Sync!$AJ836)</f>
        <v/>
      </c>
      <c r="G836">
        <f>IF($F836="","",IF(Sync!$AG836="","",IF(ISNUMBER(Sync!$AG836),IF(AND(Sync!$AG836&gt;=10000101,Sync!$AG836&lt;=99991231),INT(Sync!$AG836/10000),""),IFERROR(VALUE(TRIM(LEFT(Sync!$AG836,FIND("/",Sync!$AG836)-1))),""))))</f>
        <v/>
      </c>
      <c r="H836">
        <f>IF(OR($F836="",$G836=""),"",IF(ISNUMBER(Sync!$AG836),INT(MOD(Sync!$AG836,10000)/100),IFERROR(VALUE(TRIM(LEFT(MID(Sync!$AG836,FIND("/",Sync!$AG836)+1,20),FIND("/",MID(Sync!$AG836,FIND("/",Sync!$AG836)+1,20))-1))),"")))</f>
        <v/>
      </c>
      <c r="I836">
        <f>IF(OR($F836="",$G836=""),"",IF(ISNUMBER(Sync!$AG836),MOD(Sync!$AG836,100),IFERROR(VALUE(TRIM(MID(MID(Sync!$AG836,FIND("/",Sync!$AG836)+1,20),FIND("/",MID(Sync!$AG836,FIND("/",Sync!$AG836)+1,20))+1,20))),"")))</f>
        <v/>
      </c>
      <c r="J836">
        <f>IF($F836="","",IF(OR($G836="",$H836="",$I836="",$G836&lt;1300,$G836&gt;1500,$H836&lt;1,$H836&gt;12,$I836&lt;1,$I836&gt;31),"نامعتبر",RIGHT("0000"&amp;$G836,4)&amp;"/"&amp;RIGHT("00"&amp;$H836,2)&amp;"/"&amp;RIGHT("00"&amp;$I836,2)))</f>
        <v/>
      </c>
      <c r="K836">
        <f>IF(OR($F836="",$J836="",$J836="نامعتبر"),"",LEFT($J836,4)&amp;MID($J836,6,2)&amp;RIGHT($J836,2)&amp;$N836&amp;"|"&amp;"2"&amp;RIGHT("00000"&amp;831,5))</f>
        <v/>
      </c>
      <c r="L836">
        <f>IF($K836="","",COUNTIFS(LdgPartyA,$F836,LdgKeyA,"&lt;"&amp;$K836)+COUNTIFS(LdgPartyB,$F836,LdgKeyB,"&lt;"&amp;$K836)+1)</f>
        <v/>
      </c>
      <c r="M836">
        <f>IF($L836="","",$F836&amp;"|"&amp;RIGHT("000000"&amp;$L836,6))</f>
        <v/>
      </c>
      <c r="N836">
        <f>IF($F836="","",IF(Sync!$AH836="","0000",IF(AND(ISNUMBER(Sync!$AH836),Sync!$AH836&gt;=0,Sync!$AH836&lt;1),RIGHT("00"&amp;HOUR(Sync!$AH836),2)&amp;RIGHT("00"&amp;MINUTE(Sync!$AH836),2),IFERROR(RIGHT("00"&amp;VALUE(LEFT(Sync!$AH836,FIND(":",Sync!$AH836)-1)),2)&amp;RIGHT("00"&amp;VALUE(MID(Sync!$AH836,FIND(":",Sync!$AH836)+1,2)),2),"0000"))))</f>
        <v/>
      </c>
    </row>
    <row r="837">
      <c r="A837">
        <f>IF(OR(Calc!$E840="",Calc!$E840="نامعتبر",Calc!$G840="",Calc!$I840&lt;&gt;"خرید"),"",Calc!$G840)</f>
        <v/>
      </c>
      <c r="B837">
        <f>IF($A837="","",LEFT(Calc!$E840,4)&amp;MID(Calc!$E840,6,2)&amp;RIGHT(Calc!$E840,2)&amp;Calc!$R840&amp;"|"&amp;"1"&amp;RIGHT("00000"&amp;832,5))</f>
        <v/>
      </c>
      <c r="C837">
        <f>IF($B837="","",COUNTIFS(LdgPartyA,$A837,LdgKeyA,"&lt;"&amp;$B837)+COUNTIFS(LdgPartyB,$A837,LdgKeyB,"&lt;"&amp;$B837)+1)</f>
        <v/>
      </c>
      <c r="D837">
        <f>IF($C837="","",$A837&amp;"|"&amp;RIGHT("000000"&amp;$C837,6))</f>
        <v/>
      </c>
      <c r="F837">
        <f>IF(Sync!$AJ837="","",Sync!$AJ837)</f>
        <v/>
      </c>
      <c r="G837">
        <f>IF($F837="","",IF(Sync!$AG837="","",IF(ISNUMBER(Sync!$AG837),IF(AND(Sync!$AG837&gt;=10000101,Sync!$AG837&lt;=99991231),INT(Sync!$AG837/10000),""),IFERROR(VALUE(TRIM(LEFT(Sync!$AG837,FIND("/",Sync!$AG837)-1))),""))))</f>
        <v/>
      </c>
      <c r="H837">
        <f>IF(OR($F837="",$G837=""),"",IF(ISNUMBER(Sync!$AG837),INT(MOD(Sync!$AG837,10000)/100),IFERROR(VALUE(TRIM(LEFT(MID(Sync!$AG837,FIND("/",Sync!$AG837)+1,20),FIND("/",MID(Sync!$AG837,FIND("/",Sync!$AG837)+1,20))-1))),"")))</f>
        <v/>
      </c>
      <c r="I837">
        <f>IF(OR($F837="",$G837=""),"",IF(ISNUMBER(Sync!$AG837),MOD(Sync!$AG837,100),IFERROR(VALUE(TRIM(MID(MID(Sync!$AG837,FIND("/",Sync!$AG837)+1,20),FIND("/",MID(Sync!$AG837,FIND("/",Sync!$AG837)+1,20))+1,20))),"")))</f>
        <v/>
      </c>
      <c r="J837">
        <f>IF($F837="","",IF(OR($G837="",$H837="",$I837="",$G837&lt;1300,$G837&gt;1500,$H837&lt;1,$H837&gt;12,$I837&lt;1,$I837&gt;31),"نامعتبر",RIGHT("0000"&amp;$G837,4)&amp;"/"&amp;RIGHT("00"&amp;$H837,2)&amp;"/"&amp;RIGHT("00"&amp;$I837,2)))</f>
        <v/>
      </c>
      <c r="K837">
        <f>IF(OR($F837="",$J837="",$J837="نامعتبر"),"",LEFT($J837,4)&amp;MID($J837,6,2)&amp;RIGHT($J837,2)&amp;$N837&amp;"|"&amp;"2"&amp;RIGHT("00000"&amp;832,5))</f>
        <v/>
      </c>
      <c r="L837">
        <f>IF($K837="","",COUNTIFS(LdgPartyA,$F837,LdgKeyA,"&lt;"&amp;$K837)+COUNTIFS(LdgPartyB,$F837,LdgKeyB,"&lt;"&amp;$K837)+1)</f>
        <v/>
      </c>
      <c r="M837">
        <f>IF($L837="","",$F837&amp;"|"&amp;RIGHT("000000"&amp;$L837,6))</f>
        <v/>
      </c>
      <c r="N837">
        <f>IF($F837="","",IF(Sync!$AH837="","0000",IF(AND(ISNUMBER(Sync!$AH837),Sync!$AH837&gt;=0,Sync!$AH837&lt;1),RIGHT("00"&amp;HOUR(Sync!$AH837),2)&amp;RIGHT("00"&amp;MINUTE(Sync!$AH837),2),IFERROR(RIGHT("00"&amp;VALUE(LEFT(Sync!$AH837,FIND(":",Sync!$AH837)-1)),2)&amp;RIGHT("00"&amp;VALUE(MID(Sync!$AH837,FIND(":",Sync!$AH837)+1,2)),2),"0000"))))</f>
        <v/>
      </c>
    </row>
    <row r="838">
      <c r="A838">
        <f>IF(OR(Calc!$E841="",Calc!$E841="نامعتبر",Calc!$G841="",Calc!$I841&lt;&gt;"خرید"),"",Calc!$G841)</f>
        <v/>
      </c>
      <c r="B838">
        <f>IF($A838="","",LEFT(Calc!$E841,4)&amp;MID(Calc!$E841,6,2)&amp;RIGHT(Calc!$E841,2)&amp;Calc!$R841&amp;"|"&amp;"1"&amp;RIGHT("00000"&amp;833,5))</f>
        <v/>
      </c>
      <c r="C838">
        <f>IF($B838="","",COUNTIFS(LdgPartyA,$A838,LdgKeyA,"&lt;"&amp;$B838)+COUNTIFS(LdgPartyB,$A838,LdgKeyB,"&lt;"&amp;$B838)+1)</f>
        <v/>
      </c>
      <c r="D838">
        <f>IF($C838="","",$A838&amp;"|"&amp;RIGHT("000000"&amp;$C838,6))</f>
        <v/>
      </c>
      <c r="F838">
        <f>IF(Sync!$AJ838="","",Sync!$AJ838)</f>
        <v/>
      </c>
      <c r="G838">
        <f>IF($F838="","",IF(Sync!$AG838="","",IF(ISNUMBER(Sync!$AG838),IF(AND(Sync!$AG838&gt;=10000101,Sync!$AG838&lt;=99991231),INT(Sync!$AG838/10000),""),IFERROR(VALUE(TRIM(LEFT(Sync!$AG838,FIND("/",Sync!$AG838)-1))),""))))</f>
        <v/>
      </c>
      <c r="H838">
        <f>IF(OR($F838="",$G838=""),"",IF(ISNUMBER(Sync!$AG838),INT(MOD(Sync!$AG838,10000)/100),IFERROR(VALUE(TRIM(LEFT(MID(Sync!$AG838,FIND("/",Sync!$AG838)+1,20),FIND("/",MID(Sync!$AG838,FIND("/",Sync!$AG838)+1,20))-1))),"")))</f>
        <v/>
      </c>
      <c r="I838">
        <f>IF(OR($F838="",$G838=""),"",IF(ISNUMBER(Sync!$AG838),MOD(Sync!$AG838,100),IFERROR(VALUE(TRIM(MID(MID(Sync!$AG838,FIND("/",Sync!$AG838)+1,20),FIND("/",MID(Sync!$AG838,FIND("/",Sync!$AG838)+1,20))+1,20))),"")))</f>
        <v/>
      </c>
      <c r="J838">
        <f>IF($F838="","",IF(OR($G838="",$H838="",$I838="",$G838&lt;1300,$G838&gt;1500,$H838&lt;1,$H838&gt;12,$I838&lt;1,$I838&gt;31),"نامعتبر",RIGHT("0000"&amp;$G838,4)&amp;"/"&amp;RIGHT("00"&amp;$H838,2)&amp;"/"&amp;RIGHT("00"&amp;$I838,2)))</f>
        <v/>
      </c>
      <c r="K838">
        <f>IF(OR($F838="",$J838="",$J838="نامعتبر"),"",LEFT($J838,4)&amp;MID($J838,6,2)&amp;RIGHT($J838,2)&amp;$N838&amp;"|"&amp;"2"&amp;RIGHT("00000"&amp;833,5))</f>
        <v/>
      </c>
      <c r="L838">
        <f>IF($K838="","",COUNTIFS(LdgPartyA,$F838,LdgKeyA,"&lt;"&amp;$K838)+COUNTIFS(LdgPartyB,$F838,LdgKeyB,"&lt;"&amp;$K838)+1)</f>
        <v/>
      </c>
      <c r="M838">
        <f>IF($L838="","",$F838&amp;"|"&amp;RIGHT("000000"&amp;$L838,6))</f>
        <v/>
      </c>
      <c r="N838">
        <f>IF($F838="","",IF(Sync!$AH838="","0000",IF(AND(ISNUMBER(Sync!$AH838),Sync!$AH838&gt;=0,Sync!$AH838&lt;1),RIGHT("00"&amp;HOUR(Sync!$AH838),2)&amp;RIGHT("00"&amp;MINUTE(Sync!$AH838),2),IFERROR(RIGHT("00"&amp;VALUE(LEFT(Sync!$AH838,FIND(":",Sync!$AH838)-1)),2)&amp;RIGHT("00"&amp;VALUE(MID(Sync!$AH838,FIND(":",Sync!$AH838)+1,2)),2),"0000"))))</f>
        <v/>
      </c>
    </row>
    <row r="839">
      <c r="A839">
        <f>IF(OR(Calc!$E842="",Calc!$E842="نامعتبر",Calc!$G842="",Calc!$I842&lt;&gt;"خرید"),"",Calc!$G842)</f>
        <v/>
      </c>
      <c r="B839">
        <f>IF($A839="","",LEFT(Calc!$E842,4)&amp;MID(Calc!$E842,6,2)&amp;RIGHT(Calc!$E842,2)&amp;Calc!$R842&amp;"|"&amp;"1"&amp;RIGHT("00000"&amp;834,5))</f>
        <v/>
      </c>
      <c r="C839">
        <f>IF($B839="","",COUNTIFS(LdgPartyA,$A839,LdgKeyA,"&lt;"&amp;$B839)+COUNTIFS(LdgPartyB,$A839,LdgKeyB,"&lt;"&amp;$B839)+1)</f>
        <v/>
      </c>
      <c r="D839">
        <f>IF($C839="","",$A839&amp;"|"&amp;RIGHT("000000"&amp;$C839,6))</f>
        <v/>
      </c>
      <c r="F839">
        <f>IF(Sync!$AJ839="","",Sync!$AJ839)</f>
        <v/>
      </c>
      <c r="G839">
        <f>IF($F839="","",IF(Sync!$AG839="","",IF(ISNUMBER(Sync!$AG839),IF(AND(Sync!$AG839&gt;=10000101,Sync!$AG839&lt;=99991231),INT(Sync!$AG839/10000),""),IFERROR(VALUE(TRIM(LEFT(Sync!$AG839,FIND("/",Sync!$AG839)-1))),""))))</f>
        <v/>
      </c>
      <c r="H839">
        <f>IF(OR($F839="",$G839=""),"",IF(ISNUMBER(Sync!$AG839),INT(MOD(Sync!$AG839,10000)/100),IFERROR(VALUE(TRIM(LEFT(MID(Sync!$AG839,FIND("/",Sync!$AG839)+1,20),FIND("/",MID(Sync!$AG839,FIND("/",Sync!$AG839)+1,20))-1))),"")))</f>
        <v/>
      </c>
      <c r="I839">
        <f>IF(OR($F839="",$G839=""),"",IF(ISNUMBER(Sync!$AG839),MOD(Sync!$AG839,100),IFERROR(VALUE(TRIM(MID(MID(Sync!$AG839,FIND("/",Sync!$AG839)+1,20),FIND("/",MID(Sync!$AG839,FIND("/",Sync!$AG839)+1,20))+1,20))),"")))</f>
        <v/>
      </c>
      <c r="J839">
        <f>IF($F839="","",IF(OR($G839="",$H839="",$I839="",$G839&lt;1300,$G839&gt;1500,$H839&lt;1,$H839&gt;12,$I839&lt;1,$I839&gt;31),"نامعتبر",RIGHT("0000"&amp;$G839,4)&amp;"/"&amp;RIGHT("00"&amp;$H839,2)&amp;"/"&amp;RIGHT("00"&amp;$I839,2)))</f>
        <v/>
      </c>
      <c r="K839">
        <f>IF(OR($F839="",$J839="",$J839="نامعتبر"),"",LEFT($J839,4)&amp;MID($J839,6,2)&amp;RIGHT($J839,2)&amp;$N839&amp;"|"&amp;"2"&amp;RIGHT("00000"&amp;834,5))</f>
        <v/>
      </c>
      <c r="L839">
        <f>IF($K839="","",COUNTIFS(LdgPartyA,$F839,LdgKeyA,"&lt;"&amp;$K839)+COUNTIFS(LdgPartyB,$F839,LdgKeyB,"&lt;"&amp;$K839)+1)</f>
        <v/>
      </c>
      <c r="M839">
        <f>IF($L839="","",$F839&amp;"|"&amp;RIGHT("000000"&amp;$L839,6))</f>
        <v/>
      </c>
      <c r="N839">
        <f>IF($F839="","",IF(Sync!$AH839="","0000",IF(AND(ISNUMBER(Sync!$AH839),Sync!$AH839&gt;=0,Sync!$AH839&lt;1),RIGHT("00"&amp;HOUR(Sync!$AH839),2)&amp;RIGHT("00"&amp;MINUTE(Sync!$AH839),2),IFERROR(RIGHT("00"&amp;VALUE(LEFT(Sync!$AH839,FIND(":",Sync!$AH839)-1)),2)&amp;RIGHT("00"&amp;VALUE(MID(Sync!$AH839,FIND(":",Sync!$AH839)+1,2)),2),"0000"))))</f>
        <v/>
      </c>
    </row>
    <row r="840">
      <c r="A840">
        <f>IF(OR(Calc!$E843="",Calc!$E843="نامعتبر",Calc!$G843="",Calc!$I843&lt;&gt;"خرید"),"",Calc!$G843)</f>
        <v/>
      </c>
      <c r="B840">
        <f>IF($A840="","",LEFT(Calc!$E843,4)&amp;MID(Calc!$E843,6,2)&amp;RIGHT(Calc!$E843,2)&amp;Calc!$R843&amp;"|"&amp;"1"&amp;RIGHT("00000"&amp;835,5))</f>
        <v/>
      </c>
      <c r="C840">
        <f>IF($B840="","",COUNTIFS(LdgPartyA,$A840,LdgKeyA,"&lt;"&amp;$B840)+COUNTIFS(LdgPartyB,$A840,LdgKeyB,"&lt;"&amp;$B840)+1)</f>
        <v/>
      </c>
      <c r="D840">
        <f>IF($C840="","",$A840&amp;"|"&amp;RIGHT("000000"&amp;$C840,6))</f>
        <v/>
      </c>
      <c r="F840">
        <f>IF(Sync!$AJ840="","",Sync!$AJ840)</f>
        <v/>
      </c>
      <c r="G840">
        <f>IF($F840="","",IF(Sync!$AG840="","",IF(ISNUMBER(Sync!$AG840),IF(AND(Sync!$AG840&gt;=10000101,Sync!$AG840&lt;=99991231),INT(Sync!$AG840/10000),""),IFERROR(VALUE(TRIM(LEFT(Sync!$AG840,FIND("/",Sync!$AG840)-1))),""))))</f>
        <v/>
      </c>
      <c r="H840">
        <f>IF(OR($F840="",$G840=""),"",IF(ISNUMBER(Sync!$AG840),INT(MOD(Sync!$AG840,10000)/100),IFERROR(VALUE(TRIM(LEFT(MID(Sync!$AG840,FIND("/",Sync!$AG840)+1,20),FIND("/",MID(Sync!$AG840,FIND("/",Sync!$AG840)+1,20))-1))),"")))</f>
        <v/>
      </c>
      <c r="I840">
        <f>IF(OR($F840="",$G840=""),"",IF(ISNUMBER(Sync!$AG840),MOD(Sync!$AG840,100),IFERROR(VALUE(TRIM(MID(MID(Sync!$AG840,FIND("/",Sync!$AG840)+1,20),FIND("/",MID(Sync!$AG840,FIND("/",Sync!$AG840)+1,20))+1,20))),"")))</f>
        <v/>
      </c>
      <c r="J840">
        <f>IF($F840="","",IF(OR($G840="",$H840="",$I840="",$G840&lt;1300,$G840&gt;1500,$H840&lt;1,$H840&gt;12,$I840&lt;1,$I840&gt;31),"نامعتبر",RIGHT("0000"&amp;$G840,4)&amp;"/"&amp;RIGHT("00"&amp;$H840,2)&amp;"/"&amp;RIGHT("00"&amp;$I840,2)))</f>
        <v/>
      </c>
      <c r="K840">
        <f>IF(OR($F840="",$J840="",$J840="نامعتبر"),"",LEFT($J840,4)&amp;MID($J840,6,2)&amp;RIGHT($J840,2)&amp;$N840&amp;"|"&amp;"2"&amp;RIGHT("00000"&amp;835,5))</f>
        <v/>
      </c>
      <c r="L840">
        <f>IF($K840="","",COUNTIFS(LdgPartyA,$F840,LdgKeyA,"&lt;"&amp;$K840)+COUNTIFS(LdgPartyB,$F840,LdgKeyB,"&lt;"&amp;$K840)+1)</f>
        <v/>
      </c>
      <c r="M840">
        <f>IF($L840="","",$F840&amp;"|"&amp;RIGHT("000000"&amp;$L840,6))</f>
        <v/>
      </c>
      <c r="N840">
        <f>IF($F840="","",IF(Sync!$AH840="","0000",IF(AND(ISNUMBER(Sync!$AH840),Sync!$AH840&gt;=0,Sync!$AH840&lt;1),RIGHT("00"&amp;HOUR(Sync!$AH840),2)&amp;RIGHT("00"&amp;MINUTE(Sync!$AH840),2),IFERROR(RIGHT("00"&amp;VALUE(LEFT(Sync!$AH840,FIND(":",Sync!$AH840)-1)),2)&amp;RIGHT("00"&amp;VALUE(MID(Sync!$AH840,FIND(":",Sync!$AH840)+1,2)),2),"0000"))))</f>
        <v/>
      </c>
    </row>
    <row r="841">
      <c r="A841">
        <f>IF(OR(Calc!$E844="",Calc!$E844="نامعتبر",Calc!$G844="",Calc!$I844&lt;&gt;"خرید"),"",Calc!$G844)</f>
        <v/>
      </c>
      <c r="B841">
        <f>IF($A841="","",LEFT(Calc!$E844,4)&amp;MID(Calc!$E844,6,2)&amp;RIGHT(Calc!$E844,2)&amp;Calc!$R844&amp;"|"&amp;"1"&amp;RIGHT("00000"&amp;836,5))</f>
        <v/>
      </c>
      <c r="C841">
        <f>IF($B841="","",COUNTIFS(LdgPartyA,$A841,LdgKeyA,"&lt;"&amp;$B841)+COUNTIFS(LdgPartyB,$A841,LdgKeyB,"&lt;"&amp;$B841)+1)</f>
        <v/>
      </c>
      <c r="D841">
        <f>IF($C841="","",$A841&amp;"|"&amp;RIGHT("000000"&amp;$C841,6))</f>
        <v/>
      </c>
      <c r="F841">
        <f>IF(Sync!$AJ841="","",Sync!$AJ841)</f>
        <v/>
      </c>
      <c r="G841">
        <f>IF($F841="","",IF(Sync!$AG841="","",IF(ISNUMBER(Sync!$AG841),IF(AND(Sync!$AG841&gt;=10000101,Sync!$AG841&lt;=99991231),INT(Sync!$AG841/10000),""),IFERROR(VALUE(TRIM(LEFT(Sync!$AG841,FIND("/",Sync!$AG841)-1))),""))))</f>
        <v/>
      </c>
      <c r="H841">
        <f>IF(OR($F841="",$G841=""),"",IF(ISNUMBER(Sync!$AG841),INT(MOD(Sync!$AG841,10000)/100),IFERROR(VALUE(TRIM(LEFT(MID(Sync!$AG841,FIND("/",Sync!$AG841)+1,20),FIND("/",MID(Sync!$AG841,FIND("/",Sync!$AG841)+1,20))-1))),"")))</f>
        <v/>
      </c>
      <c r="I841">
        <f>IF(OR($F841="",$G841=""),"",IF(ISNUMBER(Sync!$AG841),MOD(Sync!$AG841,100),IFERROR(VALUE(TRIM(MID(MID(Sync!$AG841,FIND("/",Sync!$AG841)+1,20),FIND("/",MID(Sync!$AG841,FIND("/",Sync!$AG841)+1,20))+1,20))),"")))</f>
        <v/>
      </c>
      <c r="J841">
        <f>IF($F841="","",IF(OR($G841="",$H841="",$I841="",$G841&lt;1300,$G841&gt;1500,$H841&lt;1,$H841&gt;12,$I841&lt;1,$I841&gt;31),"نامعتبر",RIGHT("0000"&amp;$G841,4)&amp;"/"&amp;RIGHT("00"&amp;$H841,2)&amp;"/"&amp;RIGHT("00"&amp;$I841,2)))</f>
        <v/>
      </c>
      <c r="K841">
        <f>IF(OR($F841="",$J841="",$J841="نامعتبر"),"",LEFT($J841,4)&amp;MID($J841,6,2)&amp;RIGHT($J841,2)&amp;$N841&amp;"|"&amp;"2"&amp;RIGHT("00000"&amp;836,5))</f>
        <v/>
      </c>
      <c r="L841">
        <f>IF($K841="","",COUNTIFS(LdgPartyA,$F841,LdgKeyA,"&lt;"&amp;$K841)+COUNTIFS(LdgPartyB,$F841,LdgKeyB,"&lt;"&amp;$K841)+1)</f>
        <v/>
      </c>
      <c r="M841">
        <f>IF($L841="","",$F841&amp;"|"&amp;RIGHT("000000"&amp;$L841,6))</f>
        <v/>
      </c>
      <c r="N841">
        <f>IF($F841="","",IF(Sync!$AH841="","0000",IF(AND(ISNUMBER(Sync!$AH841),Sync!$AH841&gt;=0,Sync!$AH841&lt;1),RIGHT("00"&amp;HOUR(Sync!$AH841),2)&amp;RIGHT("00"&amp;MINUTE(Sync!$AH841),2),IFERROR(RIGHT("00"&amp;VALUE(LEFT(Sync!$AH841,FIND(":",Sync!$AH841)-1)),2)&amp;RIGHT("00"&amp;VALUE(MID(Sync!$AH841,FIND(":",Sync!$AH841)+1,2)),2),"0000"))))</f>
        <v/>
      </c>
    </row>
    <row r="842">
      <c r="A842">
        <f>IF(OR(Calc!$E845="",Calc!$E845="نامعتبر",Calc!$G845="",Calc!$I845&lt;&gt;"خرید"),"",Calc!$G845)</f>
        <v/>
      </c>
      <c r="B842">
        <f>IF($A842="","",LEFT(Calc!$E845,4)&amp;MID(Calc!$E845,6,2)&amp;RIGHT(Calc!$E845,2)&amp;Calc!$R845&amp;"|"&amp;"1"&amp;RIGHT("00000"&amp;837,5))</f>
        <v/>
      </c>
      <c r="C842">
        <f>IF($B842="","",COUNTIFS(LdgPartyA,$A842,LdgKeyA,"&lt;"&amp;$B842)+COUNTIFS(LdgPartyB,$A842,LdgKeyB,"&lt;"&amp;$B842)+1)</f>
        <v/>
      </c>
      <c r="D842">
        <f>IF($C842="","",$A842&amp;"|"&amp;RIGHT("000000"&amp;$C842,6))</f>
        <v/>
      </c>
      <c r="F842">
        <f>IF(Sync!$AJ842="","",Sync!$AJ842)</f>
        <v/>
      </c>
      <c r="G842">
        <f>IF($F842="","",IF(Sync!$AG842="","",IF(ISNUMBER(Sync!$AG842),IF(AND(Sync!$AG842&gt;=10000101,Sync!$AG842&lt;=99991231),INT(Sync!$AG842/10000),""),IFERROR(VALUE(TRIM(LEFT(Sync!$AG842,FIND("/",Sync!$AG842)-1))),""))))</f>
        <v/>
      </c>
      <c r="H842">
        <f>IF(OR($F842="",$G842=""),"",IF(ISNUMBER(Sync!$AG842),INT(MOD(Sync!$AG842,10000)/100),IFERROR(VALUE(TRIM(LEFT(MID(Sync!$AG842,FIND("/",Sync!$AG842)+1,20),FIND("/",MID(Sync!$AG842,FIND("/",Sync!$AG842)+1,20))-1))),"")))</f>
        <v/>
      </c>
      <c r="I842">
        <f>IF(OR($F842="",$G842=""),"",IF(ISNUMBER(Sync!$AG842),MOD(Sync!$AG842,100),IFERROR(VALUE(TRIM(MID(MID(Sync!$AG842,FIND("/",Sync!$AG842)+1,20),FIND("/",MID(Sync!$AG842,FIND("/",Sync!$AG842)+1,20))+1,20))),"")))</f>
        <v/>
      </c>
      <c r="J842">
        <f>IF($F842="","",IF(OR($G842="",$H842="",$I842="",$G842&lt;1300,$G842&gt;1500,$H842&lt;1,$H842&gt;12,$I842&lt;1,$I842&gt;31),"نامعتبر",RIGHT("0000"&amp;$G842,4)&amp;"/"&amp;RIGHT("00"&amp;$H842,2)&amp;"/"&amp;RIGHT("00"&amp;$I842,2)))</f>
        <v/>
      </c>
      <c r="K842">
        <f>IF(OR($F842="",$J842="",$J842="نامعتبر"),"",LEFT($J842,4)&amp;MID($J842,6,2)&amp;RIGHT($J842,2)&amp;$N842&amp;"|"&amp;"2"&amp;RIGHT("00000"&amp;837,5))</f>
        <v/>
      </c>
      <c r="L842">
        <f>IF($K842="","",COUNTIFS(LdgPartyA,$F842,LdgKeyA,"&lt;"&amp;$K842)+COUNTIFS(LdgPartyB,$F842,LdgKeyB,"&lt;"&amp;$K842)+1)</f>
        <v/>
      </c>
      <c r="M842">
        <f>IF($L842="","",$F842&amp;"|"&amp;RIGHT("000000"&amp;$L842,6))</f>
        <v/>
      </c>
      <c r="N842">
        <f>IF($F842="","",IF(Sync!$AH842="","0000",IF(AND(ISNUMBER(Sync!$AH842),Sync!$AH842&gt;=0,Sync!$AH842&lt;1),RIGHT("00"&amp;HOUR(Sync!$AH842),2)&amp;RIGHT("00"&amp;MINUTE(Sync!$AH842),2),IFERROR(RIGHT("00"&amp;VALUE(LEFT(Sync!$AH842,FIND(":",Sync!$AH842)-1)),2)&amp;RIGHT("00"&amp;VALUE(MID(Sync!$AH842,FIND(":",Sync!$AH842)+1,2)),2),"0000"))))</f>
        <v/>
      </c>
    </row>
    <row r="843">
      <c r="A843">
        <f>IF(OR(Calc!$E846="",Calc!$E846="نامعتبر",Calc!$G846="",Calc!$I846&lt;&gt;"خرید"),"",Calc!$G846)</f>
        <v/>
      </c>
      <c r="B843">
        <f>IF($A843="","",LEFT(Calc!$E846,4)&amp;MID(Calc!$E846,6,2)&amp;RIGHT(Calc!$E846,2)&amp;Calc!$R846&amp;"|"&amp;"1"&amp;RIGHT("00000"&amp;838,5))</f>
        <v/>
      </c>
      <c r="C843">
        <f>IF($B843="","",COUNTIFS(LdgPartyA,$A843,LdgKeyA,"&lt;"&amp;$B843)+COUNTIFS(LdgPartyB,$A843,LdgKeyB,"&lt;"&amp;$B843)+1)</f>
        <v/>
      </c>
      <c r="D843">
        <f>IF($C843="","",$A843&amp;"|"&amp;RIGHT("000000"&amp;$C843,6))</f>
        <v/>
      </c>
      <c r="F843">
        <f>IF(Sync!$AJ843="","",Sync!$AJ843)</f>
        <v/>
      </c>
      <c r="G843">
        <f>IF($F843="","",IF(Sync!$AG843="","",IF(ISNUMBER(Sync!$AG843),IF(AND(Sync!$AG843&gt;=10000101,Sync!$AG843&lt;=99991231),INT(Sync!$AG843/10000),""),IFERROR(VALUE(TRIM(LEFT(Sync!$AG843,FIND("/",Sync!$AG843)-1))),""))))</f>
        <v/>
      </c>
      <c r="H843">
        <f>IF(OR($F843="",$G843=""),"",IF(ISNUMBER(Sync!$AG843),INT(MOD(Sync!$AG843,10000)/100),IFERROR(VALUE(TRIM(LEFT(MID(Sync!$AG843,FIND("/",Sync!$AG843)+1,20),FIND("/",MID(Sync!$AG843,FIND("/",Sync!$AG843)+1,20))-1))),"")))</f>
        <v/>
      </c>
      <c r="I843">
        <f>IF(OR($F843="",$G843=""),"",IF(ISNUMBER(Sync!$AG843),MOD(Sync!$AG843,100),IFERROR(VALUE(TRIM(MID(MID(Sync!$AG843,FIND("/",Sync!$AG843)+1,20),FIND("/",MID(Sync!$AG843,FIND("/",Sync!$AG843)+1,20))+1,20))),"")))</f>
        <v/>
      </c>
      <c r="J843">
        <f>IF($F843="","",IF(OR($G843="",$H843="",$I843="",$G843&lt;1300,$G843&gt;1500,$H843&lt;1,$H843&gt;12,$I843&lt;1,$I843&gt;31),"نامعتبر",RIGHT("0000"&amp;$G843,4)&amp;"/"&amp;RIGHT("00"&amp;$H843,2)&amp;"/"&amp;RIGHT("00"&amp;$I843,2)))</f>
        <v/>
      </c>
      <c r="K843">
        <f>IF(OR($F843="",$J843="",$J843="نامعتبر"),"",LEFT($J843,4)&amp;MID($J843,6,2)&amp;RIGHT($J843,2)&amp;$N843&amp;"|"&amp;"2"&amp;RIGHT("00000"&amp;838,5))</f>
        <v/>
      </c>
      <c r="L843">
        <f>IF($K843="","",COUNTIFS(LdgPartyA,$F843,LdgKeyA,"&lt;"&amp;$K843)+COUNTIFS(LdgPartyB,$F843,LdgKeyB,"&lt;"&amp;$K843)+1)</f>
        <v/>
      </c>
      <c r="M843">
        <f>IF($L843="","",$F843&amp;"|"&amp;RIGHT("000000"&amp;$L843,6))</f>
        <v/>
      </c>
      <c r="N843">
        <f>IF($F843="","",IF(Sync!$AH843="","0000",IF(AND(ISNUMBER(Sync!$AH843),Sync!$AH843&gt;=0,Sync!$AH843&lt;1),RIGHT("00"&amp;HOUR(Sync!$AH843),2)&amp;RIGHT("00"&amp;MINUTE(Sync!$AH843),2),IFERROR(RIGHT("00"&amp;VALUE(LEFT(Sync!$AH843,FIND(":",Sync!$AH843)-1)),2)&amp;RIGHT("00"&amp;VALUE(MID(Sync!$AH843,FIND(":",Sync!$AH843)+1,2)),2),"0000"))))</f>
        <v/>
      </c>
    </row>
    <row r="844">
      <c r="A844">
        <f>IF(OR(Calc!$E847="",Calc!$E847="نامعتبر",Calc!$G847="",Calc!$I847&lt;&gt;"خرید"),"",Calc!$G847)</f>
        <v/>
      </c>
      <c r="B844">
        <f>IF($A844="","",LEFT(Calc!$E847,4)&amp;MID(Calc!$E847,6,2)&amp;RIGHT(Calc!$E847,2)&amp;Calc!$R847&amp;"|"&amp;"1"&amp;RIGHT("00000"&amp;839,5))</f>
        <v/>
      </c>
      <c r="C844">
        <f>IF($B844="","",COUNTIFS(LdgPartyA,$A844,LdgKeyA,"&lt;"&amp;$B844)+COUNTIFS(LdgPartyB,$A844,LdgKeyB,"&lt;"&amp;$B844)+1)</f>
        <v/>
      </c>
      <c r="D844">
        <f>IF($C844="","",$A844&amp;"|"&amp;RIGHT("000000"&amp;$C844,6))</f>
        <v/>
      </c>
      <c r="F844">
        <f>IF(Sync!$AJ844="","",Sync!$AJ844)</f>
        <v/>
      </c>
      <c r="G844">
        <f>IF($F844="","",IF(Sync!$AG844="","",IF(ISNUMBER(Sync!$AG844),IF(AND(Sync!$AG844&gt;=10000101,Sync!$AG844&lt;=99991231),INT(Sync!$AG844/10000),""),IFERROR(VALUE(TRIM(LEFT(Sync!$AG844,FIND("/",Sync!$AG844)-1))),""))))</f>
        <v/>
      </c>
      <c r="H844">
        <f>IF(OR($F844="",$G844=""),"",IF(ISNUMBER(Sync!$AG844),INT(MOD(Sync!$AG844,10000)/100),IFERROR(VALUE(TRIM(LEFT(MID(Sync!$AG844,FIND("/",Sync!$AG844)+1,20),FIND("/",MID(Sync!$AG844,FIND("/",Sync!$AG844)+1,20))-1))),"")))</f>
        <v/>
      </c>
      <c r="I844">
        <f>IF(OR($F844="",$G844=""),"",IF(ISNUMBER(Sync!$AG844),MOD(Sync!$AG844,100),IFERROR(VALUE(TRIM(MID(MID(Sync!$AG844,FIND("/",Sync!$AG844)+1,20),FIND("/",MID(Sync!$AG844,FIND("/",Sync!$AG844)+1,20))+1,20))),"")))</f>
        <v/>
      </c>
      <c r="J844">
        <f>IF($F844="","",IF(OR($G844="",$H844="",$I844="",$G844&lt;1300,$G844&gt;1500,$H844&lt;1,$H844&gt;12,$I844&lt;1,$I844&gt;31),"نامعتبر",RIGHT("0000"&amp;$G844,4)&amp;"/"&amp;RIGHT("00"&amp;$H844,2)&amp;"/"&amp;RIGHT("00"&amp;$I844,2)))</f>
        <v/>
      </c>
      <c r="K844">
        <f>IF(OR($F844="",$J844="",$J844="نامعتبر"),"",LEFT($J844,4)&amp;MID($J844,6,2)&amp;RIGHT($J844,2)&amp;$N844&amp;"|"&amp;"2"&amp;RIGHT("00000"&amp;839,5))</f>
        <v/>
      </c>
      <c r="L844">
        <f>IF($K844="","",COUNTIFS(LdgPartyA,$F844,LdgKeyA,"&lt;"&amp;$K844)+COUNTIFS(LdgPartyB,$F844,LdgKeyB,"&lt;"&amp;$K844)+1)</f>
        <v/>
      </c>
      <c r="M844">
        <f>IF($L844="","",$F844&amp;"|"&amp;RIGHT("000000"&amp;$L844,6))</f>
        <v/>
      </c>
      <c r="N844">
        <f>IF($F844="","",IF(Sync!$AH844="","0000",IF(AND(ISNUMBER(Sync!$AH844),Sync!$AH844&gt;=0,Sync!$AH844&lt;1),RIGHT("00"&amp;HOUR(Sync!$AH844),2)&amp;RIGHT("00"&amp;MINUTE(Sync!$AH844),2),IFERROR(RIGHT("00"&amp;VALUE(LEFT(Sync!$AH844,FIND(":",Sync!$AH844)-1)),2)&amp;RIGHT("00"&amp;VALUE(MID(Sync!$AH844,FIND(":",Sync!$AH844)+1,2)),2),"0000"))))</f>
        <v/>
      </c>
    </row>
    <row r="845">
      <c r="A845">
        <f>IF(OR(Calc!$E848="",Calc!$E848="نامعتبر",Calc!$G848="",Calc!$I848&lt;&gt;"خرید"),"",Calc!$G848)</f>
        <v/>
      </c>
      <c r="B845">
        <f>IF($A845="","",LEFT(Calc!$E848,4)&amp;MID(Calc!$E848,6,2)&amp;RIGHT(Calc!$E848,2)&amp;Calc!$R848&amp;"|"&amp;"1"&amp;RIGHT("00000"&amp;840,5))</f>
        <v/>
      </c>
      <c r="C845">
        <f>IF($B845="","",COUNTIFS(LdgPartyA,$A845,LdgKeyA,"&lt;"&amp;$B845)+COUNTIFS(LdgPartyB,$A845,LdgKeyB,"&lt;"&amp;$B845)+1)</f>
        <v/>
      </c>
      <c r="D845">
        <f>IF($C845="","",$A845&amp;"|"&amp;RIGHT("000000"&amp;$C845,6))</f>
        <v/>
      </c>
      <c r="F845">
        <f>IF(Sync!$AJ845="","",Sync!$AJ845)</f>
        <v/>
      </c>
      <c r="G845">
        <f>IF($F845="","",IF(Sync!$AG845="","",IF(ISNUMBER(Sync!$AG845),IF(AND(Sync!$AG845&gt;=10000101,Sync!$AG845&lt;=99991231),INT(Sync!$AG845/10000),""),IFERROR(VALUE(TRIM(LEFT(Sync!$AG845,FIND("/",Sync!$AG845)-1))),""))))</f>
        <v/>
      </c>
      <c r="H845">
        <f>IF(OR($F845="",$G845=""),"",IF(ISNUMBER(Sync!$AG845),INT(MOD(Sync!$AG845,10000)/100),IFERROR(VALUE(TRIM(LEFT(MID(Sync!$AG845,FIND("/",Sync!$AG845)+1,20),FIND("/",MID(Sync!$AG845,FIND("/",Sync!$AG845)+1,20))-1))),"")))</f>
        <v/>
      </c>
      <c r="I845">
        <f>IF(OR($F845="",$G845=""),"",IF(ISNUMBER(Sync!$AG845),MOD(Sync!$AG845,100),IFERROR(VALUE(TRIM(MID(MID(Sync!$AG845,FIND("/",Sync!$AG845)+1,20),FIND("/",MID(Sync!$AG845,FIND("/",Sync!$AG845)+1,20))+1,20))),"")))</f>
        <v/>
      </c>
      <c r="J845">
        <f>IF($F845="","",IF(OR($G845="",$H845="",$I845="",$G845&lt;1300,$G845&gt;1500,$H845&lt;1,$H845&gt;12,$I845&lt;1,$I845&gt;31),"نامعتبر",RIGHT("0000"&amp;$G845,4)&amp;"/"&amp;RIGHT("00"&amp;$H845,2)&amp;"/"&amp;RIGHT("00"&amp;$I845,2)))</f>
        <v/>
      </c>
      <c r="K845">
        <f>IF(OR($F845="",$J845="",$J845="نامعتبر"),"",LEFT($J845,4)&amp;MID($J845,6,2)&amp;RIGHT($J845,2)&amp;$N845&amp;"|"&amp;"2"&amp;RIGHT("00000"&amp;840,5))</f>
        <v/>
      </c>
      <c r="L845">
        <f>IF($K845="","",COUNTIFS(LdgPartyA,$F845,LdgKeyA,"&lt;"&amp;$K845)+COUNTIFS(LdgPartyB,$F845,LdgKeyB,"&lt;"&amp;$K845)+1)</f>
        <v/>
      </c>
      <c r="M845">
        <f>IF($L845="","",$F845&amp;"|"&amp;RIGHT("000000"&amp;$L845,6))</f>
        <v/>
      </c>
      <c r="N845">
        <f>IF($F845="","",IF(Sync!$AH845="","0000",IF(AND(ISNUMBER(Sync!$AH845),Sync!$AH845&gt;=0,Sync!$AH845&lt;1),RIGHT("00"&amp;HOUR(Sync!$AH845),2)&amp;RIGHT("00"&amp;MINUTE(Sync!$AH845),2),IFERROR(RIGHT("00"&amp;VALUE(LEFT(Sync!$AH845,FIND(":",Sync!$AH845)-1)),2)&amp;RIGHT("00"&amp;VALUE(MID(Sync!$AH845,FIND(":",Sync!$AH845)+1,2)),2),"0000"))))</f>
        <v/>
      </c>
    </row>
    <row r="846">
      <c r="A846">
        <f>IF(OR(Calc!$E849="",Calc!$E849="نامعتبر",Calc!$G849="",Calc!$I849&lt;&gt;"خرید"),"",Calc!$G849)</f>
        <v/>
      </c>
      <c r="B846">
        <f>IF($A846="","",LEFT(Calc!$E849,4)&amp;MID(Calc!$E849,6,2)&amp;RIGHT(Calc!$E849,2)&amp;Calc!$R849&amp;"|"&amp;"1"&amp;RIGHT("00000"&amp;841,5))</f>
        <v/>
      </c>
      <c r="C846">
        <f>IF($B846="","",COUNTIFS(LdgPartyA,$A846,LdgKeyA,"&lt;"&amp;$B846)+COUNTIFS(LdgPartyB,$A846,LdgKeyB,"&lt;"&amp;$B846)+1)</f>
        <v/>
      </c>
      <c r="D846">
        <f>IF($C846="","",$A846&amp;"|"&amp;RIGHT("000000"&amp;$C846,6))</f>
        <v/>
      </c>
      <c r="F846">
        <f>IF(Sync!$AJ846="","",Sync!$AJ846)</f>
        <v/>
      </c>
      <c r="G846">
        <f>IF($F846="","",IF(Sync!$AG846="","",IF(ISNUMBER(Sync!$AG846),IF(AND(Sync!$AG846&gt;=10000101,Sync!$AG846&lt;=99991231),INT(Sync!$AG846/10000),""),IFERROR(VALUE(TRIM(LEFT(Sync!$AG846,FIND("/",Sync!$AG846)-1))),""))))</f>
        <v/>
      </c>
      <c r="H846">
        <f>IF(OR($F846="",$G846=""),"",IF(ISNUMBER(Sync!$AG846),INT(MOD(Sync!$AG846,10000)/100),IFERROR(VALUE(TRIM(LEFT(MID(Sync!$AG846,FIND("/",Sync!$AG846)+1,20),FIND("/",MID(Sync!$AG846,FIND("/",Sync!$AG846)+1,20))-1))),"")))</f>
        <v/>
      </c>
      <c r="I846">
        <f>IF(OR($F846="",$G846=""),"",IF(ISNUMBER(Sync!$AG846),MOD(Sync!$AG846,100),IFERROR(VALUE(TRIM(MID(MID(Sync!$AG846,FIND("/",Sync!$AG846)+1,20),FIND("/",MID(Sync!$AG846,FIND("/",Sync!$AG846)+1,20))+1,20))),"")))</f>
        <v/>
      </c>
      <c r="J846">
        <f>IF($F846="","",IF(OR($G846="",$H846="",$I846="",$G846&lt;1300,$G846&gt;1500,$H846&lt;1,$H846&gt;12,$I846&lt;1,$I846&gt;31),"نامعتبر",RIGHT("0000"&amp;$G846,4)&amp;"/"&amp;RIGHT("00"&amp;$H846,2)&amp;"/"&amp;RIGHT("00"&amp;$I846,2)))</f>
        <v/>
      </c>
      <c r="K846">
        <f>IF(OR($F846="",$J846="",$J846="نامعتبر"),"",LEFT($J846,4)&amp;MID($J846,6,2)&amp;RIGHT($J846,2)&amp;$N846&amp;"|"&amp;"2"&amp;RIGHT("00000"&amp;841,5))</f>
        <v/>
      </c>
      <c r="L846">
        <f>IF($K846="","",COUNTIFS(LdgPartyA,$F846,LdgKeyA,"&lt;"&amp;$K846)+COUNTIFS(LdgPartyB,$F846,LdgKeyB,"&lt;"&amp;$K846)+1)</f>
        <v/>
      </c>
      <c r="M846">
        <f>IF($L846="","",$F846&amp;"|"&amp;RIGHT("000000"&amp;$L846,6))</f>
        <v/>
      </c>
      <c r="N846">
        <f>IF($F846="","",IF(Sync!$AH846="","0000",IF(AND(ISNUMBER(Sync!$AH846),Sync!$AH846&gt;=0,Sync!$AH846&lt;1),RIGHT("00"&amp;HOUR(Sync!$AH846),2)&amp;RIGHT("00"&amp;MINUTE(Sync!$AH846),2),IFERROR(RIGHT("00"&amp;VALUE(LEFT(Sync!$AH846,FIND(":",Sync!$AH846)-1)),2)&amp;RIGHT("00"&amp;VALUE(MID(Sync!$AH846,FIND(":",Sync!$AH846)+1,2)),2),"0000"))))</f>
        <v/>
      </c>
    </row>
    <row r="847">
      <c r="A847">
        <f>IF(OR(Calc!$E850="",Calc!$E850="نامعتبر",Calc!$G850="",Calc!$I850&lt;&gt;"خرید"),"",Calc!$G850)</f>
        <v/>
      </c>
      <c r="B847">
        <f>IF($A847="","",LEFT(Calc!$E850,4)&amp;MID(Calc!$E850,6,2)&amp;RIGHT(Calc!$E850,2)&amp;Calc!$R850&amp;"|"&amp;"1"&amp;RIGHT("00000"&amp;842,5))</f>
        <v/>
      </c>
      <c r="C847">
        <f>IF($B847="","",COUNTIFS(LdgPartyA,$A847,LdgKeyA,"&lt;"&amp;$B847)+COUNTIFS(LdgPartyB,$A847,LdgKeyB,"&lt;"&amp;$B847)+1)</f>
        <v/>
      </c>
      <c r="D847">
        <f>IF($C847="","",$A847&amp;"|"&amp;RIGHT("000000"&amp;$C847,6))</f>
        <v/>
      </c>
      <c r="F847">
        <f>IF(Sync!$AJ847="","",Sync!$AJ847)</f>
        <v/>
      </c>
      <c r="G847">
        <f>IF($F847="","",IF(Sync!$AG847="","",IF(ISNUMBER(Sync!$AG847),IF(AND(Sync!$AG847&gt;=10000101,Sync!$AG847&lt;=99991231),INT(Sync!$AG847/10000),""),IFERROR(VALUE(TRIM(LEFT(Sync!$AG847,FIND("/",Sync!$AG847)-1))),""))))</f>
        <v/>
      </c>
      <c r="H847">
        <f>IF(OR($F847="",$G847=""),"",IF(ISNUMBER(Sync!$AG847),INT(MOD(Sync!$AG847,10000)/100),IFERROR(VALUE(TRIM(LEFT(MID(Sync!$AG847,FIND("/",Sync!$AG847)+1,20),FIND("/",MID(Sync!$AG847,FIND("/",Sync!$AG847)+1,20))-1))),"")))</f>
        <v/>
      </c>
      <c r="I847">
        <f>IF(OR($F847="",$G847=""),"",IF(ISNUMBER(Sync!$AG847),MOD(Sync!$AG847,100),IFERROR(VALUE(TRIM(MID(MID(Sync!$AG847,FIND("/",Sync!$AG847)+1,20),FIND("/",MID(Sync!$AG847,FIND("/",Sync!$AG847)+1,20))+1,20))),"")))</f>
        <v/>
      </c>
      <c r="J847">
        <f>IF($F847="","",IF(OR($G847="",$H847="",$I847="",$G847&lt;1300,$G847&gt;1500,$H847&lt;1,$H847&gt;12,$I847&lt;1,$I847&gt;31),"نامعتبر",RIGHT("0000"&amp;$G847,4)&amp;"/"&amp;RIGHT("00"&amp;$H847,2)&amp;"/"&amp;RIGHT("00"&amp;$I847,2)))</f>
        <v/>
      </c>
      <c r="K847">
        <f>IF(OR($F847="",$J847="",$J847="نامعتبر"),"",LEFT($J847,4)&amp;MID($J847,6,2)&amp;RIGHT($J847,2)&amp;$N847&amp;"|"&amp;"2"&amp;RIGHT("00000"&amp;842,5))</f>
        <v/>
      </c>
      <c r="L847">
        <f>IF($K847="","",COUNTIFS(LdgPartyA,$F847,LdgKeyA,"&lt;"&amp;$K847)+COUNTIFS(LdgPartyB,$F847,LdgKeyB,"&lt;"&amp;$K847)+1)</f>
        <v/>
      </c>
      <c r="M847">
        <f>IF($L847="","",$F847&amp;"|"&amp;RIGHT("000000"&amp;$L847,6))</f>
        <v/>
      </c>
      <c r="N847">
        <f>IF($F847="","",IF(Sync!$AH847="","0000",IF(AND(ISNUMBER(Sync!$AH847),Sync!$AH847&gt;=0,Sync!$AH847&lt;1),RIGHT("00"&amp;HOUR(Sync!$AH847),2)&amp;RIGHT("00"&amp;MINUTE(Sync!$AH847),2),IFERROR(RIGHT("00"&amp;VALUE(LEFT(Sync!$AH847,FIND(":",Sync!$AH847)-1)),2)&amp;RIGHT("00"&amp;VALUE(MID(Sync!$AH847,FIND(":",Sync!$AH847)+1,2)),2),"0000"))))</f>
        <v/>
      </c>
    </row>
    <row r="848">
      <c r="A848">
        <f>IF(OR(Calc!$E851="",Calc!$E851="نامعتبر",Calc!$G851="",Calc!$I851&lt;&gt;"خرید"),"",Calc!$G851)</f>
        <v/>
      </c>
      <c r="B848">
        <f>IF($A848="","",LEFT(Calc!$E851,4)&amp;MID(Calc!$E851,6,2)&amp;RIGHT(Calc!$E851,2)&amp;Calc!$R851&amp;"|"&amp;"1"&amp;RIGHT("00000"&amp;843,5))</f>
        <v/>
      </c>
      <c r="C848">
        <f>IF($B848="","",COUNTIFS(LdgPartyA,$A848,LdgKeyA,"&lt;"&amp;$B848)+COUNTIFS(LdgPartyB,$A848,LdgKeyB,"&lt;"&amp;$B848)+1)</f>
        <v/>
      </c>
      <c r="D848">
        <f>IF($C848="","",$A848&amp;"|"&amp;RIGHT("000000"&amp;$C848,6))</f>
        <v/>
      </c>
      <c r="F848">
        <f>IF(Sync!$AJ848="","",Sync!$AJ848)</f>
        <v/>
      </c>
      <c r="G848">
        <f>IF($F848="","",IF(Sync!$AG848="","",IF(ISNUMBER(Sync!$AG848),IF(AND(Sync!$AG848&gt;=10000101,Sync!$AG848&lt;=99991231),INT(Sync!$AG848/10000),""),IFERROR(VALUE(TRIM(LEFT(Sync!$AG848,FIND("/",Sync!$AG848)-1))),""))))</f>
        <v/>
      </c>
      <c r="H848">
        <f>IF(OR($F848="",$G848=""),"",IF(ISNUMBER(Sync!$AG848),INT(MOD(Sync!$AG848,10000)/100),IFERROR(VALUE(TRIM(LEFT(MID(Sync!$AG848,FIND("/",Sync!$AG848)+1,20),FIND("/",MID(Sync!$AG848,FIND("/",Sync!$AG848)+1,20))-1))),"")))</f>
        <v/>
      </c>
      <c r="I848">
        <f>IF(OR($F848="",$G848=""),"",IF(ISNUMBER(Sync!$AG848),MOD(Sync!$AG848,100),IFERROR(VALUE(TRIM(MID(MID(Sync!$AG848,FIND("/",Sync!$AG848)+1,20),FIND("/",MID(Sync!$AG848,FIND("/",Sync!$AG848)+1,20))+1,20))),"")))</f>
        <v/>
      </c>
      <c r="J848">
        <f>IF($F848="","",IF(OR($G848="",$H848="",$I848="",$G848&lt;1300,$G848&gt;1500,$H848&lt;1,$H848&gt;12,$I848&lt;1,$I848&gt;31),"نامعتبر",RIGHT("0000"&amp;$G848,4)&amp;"/"&amp;RIGHT("00"&amp;$H848,2)&amp;"/"&amp;RIGHT("00"&amp;$I848,2)))</f>
        <v/>
      </c>
      <c r="K848">
        <f>IF(OR($F848="",$J848="",$J848="نامعتبر"),"",LEFT($J848,4)&amp;MID($J848,6,2)&amp;RIGHT($J848,2)&amp;$N848&amp;"|"&amp;"2"&amp;RIGHT("00000"&amp;843,5))</f>
        <v/>
      </c>
      <c r="L848">
        <f>IF($K848="","",COUNTIFS(LdgPartyA,$F848,LdgKeyA,"&lt;"&amp;$K848)+COUNTIFS(LdgPartyB,$F848,LdgKeyB,"&lt;"&amp;$K848)+1)</f>
        <v/>
      </c>
      <c r="M848">
        <f>IF($L848="","",$F848&amp;"|"&amp;RIGHT("000000"&amp;$L848,6))</f>
        <v/>
      </c>
      <c r="N848">
        <f>IF($F848="","",IF(Sync!$AH848="","0000",IF(AND(ISNUMBER(Sync!$AH848),Sync!$AH848&gt;=0,Sync!$AH848&lt;1),RIGHT("00"&amp;HOUR(Sync!$AH848),2)&amp;RIGHT("00"&amp;MINUTE(Sync!$AH848),2),IFERROR(RIGHT("00"&amp;VALUE(LEFT(Sync!$AH848,FIND(":",Sync!$AH848)-1)),2)&amp;RIGHT("00"&amp;VALUE(MID(Sync!$AH848,FIND(":",Sync!$AH848)+1,2)),2),"0000"))))</f>
        <v/>
      </c>
    </row>
    <row r="849">
      <c r="A849">
        <f>IF(OR(Calc!$E852="",Calc!$E852="نامعتبر",Calc!$G852="",Calc!$I852&lt;&gt;"خرید"),"",Calc!$G852)</f>
        <v/>
      </c>
      <c r="B849">
        <f>IF($A849="","",LEFT(Calc!$E852,4)&amp;MID(Calc!$E852,6,2)&amp;RIGHT(Calc!$E852,2)&amp;Calc!$R852&amp;"|"&amp;"1"&amp;RIGHT("00000"&amp;844,5))</f>
        <v/>
      </c>
      <c r="C849">
        <f>IF($B849="","",COUNTIFS(LdgPartyA,$A849,LdgKeyA,"&lt;"&amp;$B849)+COUNTIFS(LdgPartyB,$A849,LdgKeyB,"&lt;"&amp;$B849)+1)</f>
        <v/>
      </c>
      <c r="D849">
        <f>IF($C849="","",$A849&amp;"|"&amp;RIGHT("000000"&amp;$C849,6))</f>
        <v/>
      </c>
      <c r="F849">
        <f>IF(Sync!$AJ849="","",Sync!$AJ849)</f>
        <v/>
      </c>
      <c r="G849">
        <f>IF($F849="","",IF(Sync!$AG849="","",IF(ISNUMBER(Sync!$AG849),IF(AND(Sync!$AG849&gt;=10000101,Sync!$AG849&lt;=99991231),INT(Sync!$AG849/10000),""),IFERROR(VALUE(TRIM(LEFT(Sync!$AG849,FIND("/",Sync!$AG849)-1))),""))))</f>
        <v/>
      </c>
      <c r="H849">
        <f>IF(OR($F849="",$G849=""),"",IF(ISNUMBER(Sync!$AG849),INT(MOD(Sync!$AG849,10000)/100),IFERROR(VALUE(TRIM(LEFT(MID(Sync!$AG849,FIND("/",Sync!$AG849)+1,20),FIND("/",MID(Sync!$AG849,FIND("/",Sync!$AG849)+1,20))-1))),"")))</f>
        <v/>
      </c>
      <c r="I849">
        <f>IF(OR($F849="",$G849=""),"",IF(ISNUMBER(Sync!$AG849),MOD(Sync!$AG849,100),IFERROR(VALUE(TRIM(MID(MID(Sync!$AG849,FIND("/",Sync!$AG849)+1,20),FIND("/",MID(Sync!$AG849,FIND("/",Sync!$AG849)+1,20))+1,20))),"")))</f>
        <v/>
      </c>
      <c r="J849">
        <f>IF($F849="","",IF(OR($G849="",$H849="",$I849="",$G849&lt;1300,$G849&gt;1500,$H849&lt;1,$H849&gt;12,$I849&lt;1,$I849&gt;31),"نامعتبر",RIGHT("0000"&amp;$G849,4)&amp;"/"&amp;RIGHT("00"&amp;$H849,2)&amp;"/"&amp;RIGHT("00"&amp;$I849,2)))</f>
        <v/>
      </c>
      <c r="K849">
        <f>IF(OR($F849="",$J849="",$J849="نامعتبر"),"",LEFT($J849,4)&amp;MID($J849,6,2)&amp;RIGHT($J849,2)&amp;$N849&amp;"|"&amp;"2"&amp;RIGHT("00000"&amp;844,5))</f>
        <v/>
      </c>
      <c r="L849">
        <f>IF($K849="","",COUNTIFS(LdgPartyA,$F849,LdgKeyA,"&lt;"&amp;$K849)+COUNTIFS(LdgPartyB,$F849,LdgKeyB,"&lt;"&amp;$K849)+1)</f>
        <v/>
      </c>
      <c r="M849">
        <f>IF($L849="","",$F849&amp;"|"&amp;RIGHT("000000"&amp;$L849,6))</f>
        <v/>
      </c>
      <c r="N849">
        <f>IF($F849="","",IF(Sync!$AH849="","0000",IF(AND(ISNUMBER(Sync!$AH849),Sync!$AH849&gt;=0,Sync!$AH849&lt;1),RIGHT("00"&amp;HOUR(Sync!$AH849),2)&amp;RIGHT("00"&amp;MINUTE(Sync!$AH849),2),IFERROR(RIGHT("00"&amp;VALUE(LEFT(Sync!$AH849,FIND(":",Sync!$AH849)-1)),2)&amp;RIGHT("00"&amp;VALUE(MID(Sync!$AH849,FIND(":",Sync!$AH849)+1,2)),2),"0000"))))</f>
        <v/>
      </c>
    </row>
    <row r="850">
      <c r="A850">
        <f>IF(OR(Calc!$E853="",Calc!$E853="نامعتبر",Calc!$G853="",Calc!$I853&lt;&gt;"خرید"),"",Calc!$G853)</f>
        <v/>
      </c>
      <c r="B850">
        <f>IF($A850="","",LEFT(Calc!$E853,4)&amp;MID(Calc!$E853,6,2)&amp;RIGHT(Calc!$E853,2)&amp;Calc!$R853&amp;"|"&amp;"1"&amp;RIGHT("00000"&amp;845,5))</f>
        <v/>
      </c>
      <c r="C850">
        <f>IF($B850="","",COUNTIFS(LdgPartyA,$A850,LdgKeyA,"&lt;"&amp;$B850)+COUNTIFS(LdgPartyB,$A850,LdgKeyB,"&lt;"&amp;$B850)+1)</f>
        <v/>
      </c>
      <c r="D850">
        <f>IF($C850="","",$A850&amp;"|"&amp;RIGHT("000000"&amp;$C850,6))</f>
        <v/>
      </c>
      <c r="F850">
        <f>IF(Sync!$AJ850="","",Sync!$AJ850)</f>
        <v/>
      </c>
      <c r="G850">
        <f>IF($F850="","",IF(Sync!$AG850="","",IF(ISNUMBER(Sync!$AG850),IF(AND(Sync!$AG850&gt;=10000101,Sync!$AG850&lt;=99991231),INT(Sync!$AG850/10000),""),IFERROR(VALUE(TRIM(LEFT(Sync!$AG850,FIND("/",Sync!$AG850)-1))),""))))</f>
        <v/>
      </c>
      <c r="H850">
        <f>IF(OR($F850="",$G850=""),"",IF(ISNUMBER(Sync!$AG850),INT(MOD(Sync!$AG850,10000)/100),IFERROR(VALUE(TRIM(LEFT(MID(Sync!$AG850,FIND("/",Sync!$AG850)+1,20),FIND("/",MID(Sync!$AG850,FIND("/",Sync!$AG850)+1,20))-1))),"")))</f>
        <v/>
      </c>
      <c r="I850">
        <f>IF(OR($F850="",$G850=""),"",IF(ISNUMBER(Sync!$AG850),MOD(Sync!$AG850,100),IFERROR(VALUE(TRIM(MID(MID(Sync!$AG850,FIND("/",Sync!$AG850)+1,20),FIND("/",MID(Sync!$AG850,FIND("/",Sync!$AG850)+1,20))+1,20))),"")))</f>
        <v/>
      </c>
      <c r="J850">
        <f>IF($F850="","",IF(OR($G850="",$H850="",$I850="",$G850&lt;1300,$G850&gt;1500,$H850&lt;1,$H850&gt;12,$I850&lt;1,$I850&gt;31),"نامعتبر",RIGHT("0000"&amp;$G850,4)&amp;"/"&amp;RIGHT("00"&amp;$H850,2)&amp;"/"&amp;RIGHT("00"&amp;$I850,2)))</f>
        <v/>
      </c>
      <c r="K850">
        <f>IF(OR($F850="",$J850="",$J850="نامعتبر"),"",LEFT($J850,4)&amp;MID($J850,6,2)&amp;RIGHT($J850,2)&amp;$N850&amp;"|"&amp;"2"&amp;RIGHT("00000"&amp;845,5))</f>
        <v/>
      </c>
      <c r="L850">
        <f>IF($K850="","",COUNTIFS(LdgPartyA,$F850,LdgKeyA,"&lt;"&amp;$K850)+COUNTIFS(LdgPartyB,$F850,LdgKeyB,"&lt;"&amp;$K850)+1)</f>
        <v/>
      </c>
      <c r="M850">
        <f>IF($L850="","",$F850&amp;"|"&amp;RIGHT("000000"&amp;$L850,6))</f>
        <v/>
      </c>
      <c r="N850">
        <f>IF($F850="","",IF(Sync!$AH850="","0000",IF(AND(ISNUMBER(Sync!$AH850),Sync!$AH850&gt;=0,Sync!$AH850&lt;1),RIGHT("00"&amp;HOUR(Sync!$AH850),2)&amp;RIGHT("00"&amp;MINUTE(Sync!$AH850),2),IFERROR(RIGHT("00"&amp;VALUE(LEFT(Sync!$AH850,FIND(":",Sync!$AH850)-1)),2)&amp;RIGHT("00"&amp;VALUE(MID(Sync!$AH850,FIND(":",Sync!$AH850)+1,2)),2),"0000"))))</f>
        <v/>
      </c>
    </row>
    <row r="851">
      <c r="A851">
        <f>IF(OR(Calc!$E854="",Calc!$E854="نامعتبر",Calc!$G854="",Calc!$I854&lt;&gt;"خرید"),"",Calc!$G854)</f>
        <v/>
      </c>
      <c r="B851">
        <f>IF($A851="","",LEFT(Calc!$E854,4)&amp;MID(Calc!$E854,6,2)&amp;RIGHT(Calc!$E854,2)&amp;Calc!$R854&amp;"|"&amp;"1"&amp;RIGHT("00000"&amp;846,5))</f>
        <v/>
      </c>
      <c r="C851">
        <f>IF($B851="","",COUNTIFS(LdgPartyA,$A851,LdgKeyA,"&lt;"&amp;$B851)+COUNTIFS(LdgPartyB,$A851,LdgKeyB,"&lt;"&amp;$B851)+1)</f>
        <v/>
      </c>
      <c r="D851">
        <f>IF($C851="","",$A851&amp;"|"&amp;RIGHT("000000"&amp;$C851,6))</f>
        <v/>
      </c>
      <c r="F851">
        <f>IF(Sync!$AJ851="","",Sync!$AJ851)</f>
        <v/>
      </c>
      <c r="G851">
        <f>IF($F851="","",IF(Sync!$AG851="","",IF(ISNUMBER(Sync!$AG851),IF(AND(Sync!$AG851&gt;=10000101,Sync!$AG851&lt;=99991231),INT(Sync!$AG851/10000),""),IFERROR(VALUE(TRIM(LEFT(Sync!$AG851,FIND("/",Sync!$AG851)-1))),""))))</f>
        <v/>
      </c>
      <c r="H851">
        <f>IF(OR($F851="",$G851=""),"",IF(ISNUMBER(Sync!$AG851),INT(MOD(Sync!$AG851,10000)/100),IFERROR(VALUE(TRIM(LEFT(MID(Sync!$AG851,FIND("/",Sync!$AG851)+1,20),FIND("/",MID(Sync!$AG851,FIND("/",Sync!$AG851)+1,20))-1))),"")))</f>
        <v/>
      </c>
      <c r="I851">
        <f>IF(OR($F851="",$G851=""),"",IF(ISNUMBER(Sync!$AG851),MOD(Sync!$AG851,100),IFERROR(VALUE(TRIM(MID(MID(Sync!$AG851,FIND("/",Sync!$AG851)+1,20),FIND("/",MID(Sync!$AG851,FIND("/",Sync!$AG851)+1,20))+1,20))),"")))</f>
        <v/>
      </c>
      <c r="J851">
        <f>IF($F851="","",IF(OR($G851="",$H851="",$I851="",$G851&lt;1300,$G851&gt;1500,$H851&lt;1,$H851&gt;12,$I851&lt;1,$I851&gt;31),"نامعتبر",RIGHT("0000"&amp;$G851,4)&amp;"/"&amp;RIGHT("00"&amp;$H851,2)&amp;"/"&amp;RIGHT("00"&amp;$I851,2)))</f>
        <v/>
      </c>
      <c r="K851">
        <f>IF(OR($F851="",$J851="",$J851="نامعتبر"),"",LEFT($J851,4)&amp;MID($J851,6,2)&amp;RIGHT($J851,2)&amp;$N851&amp;"|"&amp;"2"&amp;RIGHT("00000"&amp;846,5))</f>
        <v/>
      </c>
      <c r="L851">
        <f>IF($K851="","",COUNTIFS(LdgPartyA,$F851,LdgKeyA,"&lt;"&amp;$K851)+COUNTIFS(LdgPartyB,$F851,LdgKeyB,"&lt;"&amp;$K851)+1)</f>
        <v/>
      </c>
      <c r="M851">
        <f>IF($L851="","",$F851&amp;"|"&amp;RIGHT("000000"&amp;$L851,6))</f>
        <v/>
      </c>
      <c r="N851">
        <f>IF($F851="","",IF(Sync!$AH851="","0000",IF(AND(ISNUMBER(Sync!$AH851),Sync!$AH851&gt;=0,Sync!$AH851&lt;1),RIGHT("00"&amp;HOUR(Sync!$AH851),2)&amp;RIGHT("00"&amp;MINUTE(Sync!$AH851),2),IFERROR(RIGHT("00"&amp;VALUE(LEFT(Sync!$AH851,FIND(":",Sync!$AH851)-1)),2)&amp;RIGHT("00"&amp;VALUE(MID(Sync!$AH851,FIND(":",Sync!$AH851)+1,2)),2),"0000"))))</f>
        <v/>
      </c>
    </row>
    <row r="852">
      <c r="A852">
        <f>IF(OR(Calc!$E855="",Calc!$E855="نامعتبر",Calc!$G855="",Calc!$I855&lt;&gt;"خرید"),"",Calc!$G855)</f>
        <v/>
      </c>
      <c r="B852">
        <f>IF($A852="","",LEFT(Calc!$E855,4)&amp;MID(Calc!$E855,6,2)&amp;RIGHT(Calc!$E855,2)&amp;Calc!$R855&amp;"|"&amp;"1"&amp;RIGHT("00000"&amp;847,5))</f>
        <v/>
      </c>
      <c r="C852">
        <f>IF($B852="","",COUNTIFS(LdgPartyA,$A852,LdgKeyA,"&lt;"&amp;$B852)+COUNTIFS(LdgPartyB,$A852,LdgKeyB,"&lt;"&amp;$B852)+1)</f>
        <v/>
      </c>
      <c r="D852">
        <f>IF($C852="","",$A852&amp;"|"&amp;RIGHT("000000"&amp;$C852,6))</f>
        <v/>
      </c>
      <c r="F852">
        <f>IF(Sync!$AJ852="","",Sync!$AJ852)</f>
        <v/>
      </c>
      <c r="G852">
        <f>IF($F852="","",IF(Sync!$AG852="","",IF(ISNUMBER(Sync!$AG852),IF(AND(Sync!$AG852&gt;=10000101,Sync!$AG852&lt;=99991231),INT(Sync!$AG852/10000),""),IFERROR(VALUE(TRIM(LEFT(Sync!$AG852,FIND("/",Sync!$AG852)-1))),""))))</f>
        <v/>
      </c>
      <c r="H852">
        <f>IF(OR($F852="",$G852=""),"",IF(ISNUMBER(Sync!$AG852),INT(MOD(Sync!$AG852,10000)/100),IFERROR(VALUE(TRIM(LEFT(MID(Sync!$AG852,FIND("/",Sync!$AG852)+1,20),FIND("/",MID(Sync!$AG852,FIND("/",Sync!$AG852)+1,20))-1))),"")))</f>
        <v/>
      </c>
      <c r="I852">
        <f>IF(OR($F852="",$G852=""),"",IF(ISNUMBER(Sync!$AG852),MOD(Sync!$AG852,100),IFERROR(VALUE(TRIM(MID(MID(Sync!$AG852,FIND("/",Sync!$AG852)+1,20),FIND("/",MID(Sync!$AG852,FIND("/",Sync!$AG852)+1,20))+1,20))),"")))</f>
        <v/>
      </c>
      <c r="J852">
        <f>IF($F852="","",IF(OR($G852="",$H852="",$I852="",$G852&lt;1300,$G852&gt;1500,$H852&lt;1,$H852&gt;12,$I852&lt;1,$I852&gt;31),"نامعتبر",RIGHT("0000"&amp;$G852,4)&amp;"/"&amp;RIGHT("00"&amp;$H852,2)&amp;"/"&amp;RIGHT("00"&amp;$I852,2)))</f>
        <v/>
      </c>
      <c r="K852">
        <f>IF(OR($F852="",$J852="",$J852="نامعتبر"),"",LEFT($J852,4)&amp;MID($J852,6,2)&amp;RIGHT($J852,2)&amp;$N852&amp;"|"&amp;"2"&amp;RIGHT("00000"&amp;847,5))</f>
        <v/>
      </c>
      <c r="L852">
        <f>IF($K852="","",COUNTIFS(LdgPartyA,$F852,LdgKeyA,"&lt;"&amp;$K852)+COUNTIFS(LdgPartyB,$F852,LdgKeyB,"&lt;"&amp;$K852)+1)</f>
        <v/>
      </c>
      <c r="M852">
        <f>IF($L852="","",$F852&amp;"|"&amp;RIGHT("000000"&amp;$L852,6))</f>
        <v/>
      </c>
      <c r="N852">
        <f>IF($F852="","",IF(Sync!$AH852="","0000",IF(AND(ISNUMBER(Sync!$AH852),Sync!$AH852&gt;=0,Sync!$AH852&lt;1),RIGHT("00"&amp;HOUR(Sync!$AH852),2)&amp;RIGHT("00"&amp;MINUTE(Sync!$AH852),2),IFERROR(RIGHT("00"&amp;VALUE(LEFT(Sync!$AH852,FIND(":",Sync!$AH852)-1)),2)&amp;RIGHT("00"&amp;VALUE(MID(Sync!$AH852,FIND(":",Sync!$AH852)+1,2)),2),"0000"))))</f>
        <v/>
      </c>
    </row>
    <row r="853">
      <c r="A853">
        <f>IF(OR(Calc!$E856="",Calc!$E856="نامعتبر",Calc!$G856="",Calc!$I856&lt;&gt;"خرید"),"",Calc!$G856)</f>
        <v/>
      </c>
      <c r="B853">
        <f>IF($A853="","",LEFT(Calc!$E856,4)&amp;MID(Calc!$E856,6,2)&amp;RIGHT(Calc!$E856,2)&amp;Calc!$R856&amp;"|"&amp;"1"&amp;RIGHT("00000"&amp;848,5))</f>
        <v/>
      </c>
      <c r="C853">
        <f>IF($B853="","",COUNTIFS(LdgPartyA,$A853,LdgKeyA,"&lt;"&amp;$B853)+COUNTIFS(LdgPartyB,$A853,LdgKeyB,"&lt;"&amp;$B853)+1)</f>
        <v/>
      </c>
      <c r="D853">
        <f>IF($C853="","",$A853&amp;"|"&amp;RIGHT("000000"&amp;$C853,6))</f>
        <v/>
      </c>
      <c r="F853">
        <f>IF(Sync!$AJ853="","",Sync!$AJ853)</f>
        <v/>
      </c>
      <c r="G853">
        <f>IF($F853="","",IF(Sync!$AG853="","",IF(ISNUMBER(Sync!$AG853),IF(AND(Sync!$AG853&gt;=10000101,Sync!$AG853&lt;=99991231),INT(Sync!$AG853/10000),""),IFERROR(VALUE(TRIM(LEFT(Sync!$AG853,FIND("/",Sync!$AG853)-1))),""))))</f>
        <v/>
      </c>
      <c r="H853">
        <f>IF(OR($F853="",$G853=""),"",IF(ISNUMBER(Sync!$AG853),INT(MOD(Sync!$AG853,10000)/100),IFERROR(VALUE(TRIM(LEFT(MID(Sync!$AG853,FIND("/",Sync!$AG853)+1,20),FIND("/",MID(Sync!$AG853,FIND("/",Sync!$AG853)+1,20))-1))),"")))</f>
        <v/>
      </c>
      <c r="I853">
        <f>IF(OR($F853="",$G853=""),"",IF(ISNUMBER(Sync!$AG853),MOD(Sync!$AG853,100),IFERROR(VALUE(TRIM(MID(MID(Sync!$AG853,FIND("/",Sync!$AG853)+1,20),FIND("/",MID(Sync!$AG853,FIND("/",Sync!$AG853)+1,20))+1,20))),"")))</f>
        <v/>
      </c>
      <c r="J853">
        <f>IF($F853="","",IF(OR($G853="",$H853="",$I853="",$G853&lt;1300,$G853&gt;1500,$H853&lt;1,$H853&gt;12,$I853&lt;1,$I853&gt;31),"نامعتبر",RIGHT("0000"&amp;$G853,4)&amp;"/"&amp;RIGHT("00"&amp;$H853,2)&amp;"/"&amp;RIGHT("00"&amp;$I853,2)))</f>
        <v/>
      </c>
      <c r="K853">
        <f>IF(OR($F853="",$J853="",$J853="نامعتبر"),"",LEFT($J853,4)&amp;MID($J853,6,2)&amp;RIGHT($J853,2)&amp;$N853&amp;"|"&amp;"2"&amp;RIGHT("00000"&amp;848,5))</f>
        <v/>
      </c>
      <c r="L853">
        <f>IF($K853="","",COUNTIFS(LdgPartyA,$F853,LdgKeyA,"&lt;"&amp;$K853)+COUNTIFS(LdgPartyB,$F853,LdgKeyB,"&lt;"&amp;$K853)+1)</f>
        <v/>
      </c>
      <c r="M853">
        <f>IF($L853="","",$F853&amp;"|"&amp;RIGHT("000000"&amp;$L853,6))</f>
        <v/>
      </c>
      <c r="N853">
        <f>IF($F853="","",IF(Sync!$AH853="","0000",IF(AND(ISNUMBER(Sync!$AH853),Sync!$AH853&gt;=0,Sync!$AH853&lt;1),RIGHT("00"&amp;HOUR(Sync!$AH853),2)&amp;RIGHT("00"&amp;MINUTE(Sync!$AH853),2),IFERROR(RIGHT("00"&amp;VALUE(LEFT(Sync!$AH853,FIND(":",Sync!$AH853)-1)),2)&amp;RIGHT("00"&amp;VALUE(MID(Sync!$AH853,FIND(":",Sync!$AH853)+1,2)),2),"0000"))))</f>
        <v/>
      </c>
    </row>
    <row r="854">
      <c r="A854">
        <f>IF(OR(Calc!$E857="",Calc!$E857="نامعتبر",Calc!$G857="",Calc!$I857&lt;&gt;"خرید"),"",Calc!$G857)</f>
        <v/>
      </c>
      <c r="B854">
        <f>IF($A854="","",LEFT(Calc!$E857,4)&amp;MID(Calc!$E857,6,2)&amp;RIGHT(Calc!$E857,2)&amp;Calc!$R857&amp;"|"&amp;"1"&amp;RIGHT("00000"&amp;849,5))</f>
        <v/>
      </c>
      <c r="C854">
        <f>IF($B854="","",COUNTIFS(LdgPartyA,$A854,LdgKeyA,"&lt;"&amp;$B854)+COUNTIFS(LdgPartyB,$A854,LdgKeyB,"&lt;"&amp;$B854)+1)</f>
        <v/>
      </c>
      <c r="D854">
        <f>IF($C854="","",$A854&amp;"|"&amp;RIGHT("000000"&amp;$C854,6))</f>
        <v/>
      </c>
      <c r="F854">
        <f>IF(Sync!$AJ854="","",Sync!$AJ854)</f>
        <v/>
      </c>
      <c r="G854">
        <f>IF($F854="","",IF(Sync!$AG854="","",IF(ISNUMBER(Sync!$AG854),IF(AND(Sync!$AG854&gt;=10000101,Sync!$AG854&lt;=99991231),INT(Sync!$AG854/10000),""),IFERROR(VALUE(TRIM(LEFT(Sync!$AG854,FIND("/",Sync!$AG854)-1))),""))))</f>
        <v/>
      </c>
      <c r="H854">
        <f>IF(OR($F854="",$G854=""),"",IF(ISNUMBER(Sync!$AG854),INT(MOD(Sync!$AG854,10000)/100),IFERROR(VALUE(TRIM(LEFT(MID(Sync!$AG854,FIND("/",Sync!$AG854)+1,20),FIND("/",MID(Sync!$AG854,FIND("/",Sync!$AG854)+1,20))-1))),"")))</f>
        <v/>
      </c>
      <c r="I854">
        <f>IF(OR($F854="",$G854=""),"",IF(ISNUMBER(Sync!$AG854),MOD(Sync!$AG854,100),IFERROR(VALUE(TRIM(MID(MID(Sync!$AG854,FIND("/",Sync!$AG854)+1,20),FIND("/",MID(Sync!$AG854,FIND("/",Sync!$AG854)+1,20))+1,20))),"")))</f>
        <v/>
      </c>
      <c r="J854">
        <f>IF($F854="","",IF(OR($G854="",$H854="",$I854="",$G854&lt;1300,$G854&gt;1500,$H854&lt;1,$H854&gt;12,$I854&lt;1,$I854&gt;31),"نامعتبر",RIGHT("0000"&amp;$G854,4)&amp;"/"&amp;RIGHT("00"&amp;$H854,2)&amp;"/"&amp;RIGHT("00"&amp;$I854,2)))</f>
        <v/>
      </c>
      <c r="K854">
        <f>IF(OR($F854="",$J854="",$J854="نامعتبر"),"",LEFT($J854,4)&amp;MID($J854,6,2)&amp;RIGHT($J854,2)&amp;$N854&amp;"|"&amp;"2"&amp;RIGHT("00000"&amp;849,5))</f>
        <v/>
      </c>
      <c r="L854">
        <f>IF($K854="","",COUNTIFS(LdgPartyA,$F854,LdgKeyA,"&lt;"&amp;$K854)+COUNTIFS(LdgPartyB,$F854,LdgKeyB,"&lt;"&amp;$K854)+1)</f>
        <v/>
      </c>
      <c r="M854">
        <f>IF($L854="","",$F854&amp;"|"&amp;RIGHT("000000"&amp;$L854,6))</f>
        <v/>
      </c>
      <c r="N854">
        <f>IF($F854="","",IF(Sync!$AH854="","0000",IF(AND(ISNUMBER(Sync!$AH854),Sync!$AH854&gt;=0,Sync!$AH854&lt;1),RIGHT("00"&amp;HOUR(Sync!$AH854),2)&amp;RIGHT("00"&amp;MINUTE(Sync!$AH854),2),IFERROR(RIGHT("00"&amp;VALUE(LEFT(Sync!$AH854,FIND(":",Sync!$AH854)-1)),2)&amp;RIGHT("00"&amp;VALUE(MID(Sync!$AH854,FIND(":",Sync!$AH854)+1,2)),2),"0000"))))</f>
        <v/>
      </c>
    </row>
    <row r="855">
      <c r="A855">
        <f>IF(OR(Calc!$E858="",Calc!$E858="نامعتبر",Calc!$G858="",Calc!$I858&lt;&gt;"خرید"),"",Calc!$G858)</f>
        <v/>
      </c>
      <c r="B855">
        <f>IF($A855="","",LEFT(Calc!$E858,4)&amp;MID(Calc!$E858,6,2)&amp;RIGHT(Calc!$E858,2)&amp;Calc!$R858&amp;"|"&amp;"1"&amp;RIGHT("00000"&amp;850,5))</f>
        <v/>
      </c>
      <c r="C855">
        <f>IF($B855="","",COUNTIFS(LdgPartyA,$A855,LdgKeyA,"&lt;"&amp;$B855)+COUNTIFS(LdgPartyB,$A855,LdgKeyB,"&lt;"&amp;$B855)+1)</f>
        <v/>
      </c>
      <c r="D855">
        <f>IF($C855="","",$A855&amp;"|"&amp;RIGHT("000000"&amp;$C855,6))</f>
        <v/>
      </c>
      <c r="F855">
        <f>IF(Sync!$AJ855="","",Sync!$AJ855)</f>
        <v/>
      </c>
      <c r="G855">
        <f>IF($F855="","",IF(Sync!$AG855="","",IF(ISNUMBER(Sync!$AG855),IF(AND(Sync!$AG855&gt;=10000101,Sync!$AG855&lt;=99991231),INT(Sync!$AG855/10000),""),IFERROR(VALUE(TRIM(LEFT(Sync!$AG855,FIND("/",Sync!$AG855)-1))),""))))</f>
        <v/>
      </c>
      <c r="H855">
        <f>IF(OR($F855="",$G855=""),"",IF(ISNUMBER(Sync!$AG855),INT(MOD(Sync!$AG855,10000)/100),IFERROR(VALUE(TRIM(LEFT(MID(Sync!$AG855,FIND("/",Sync!$AG855)+1,20),FIND("/",MID(Sync!$AG855,FIND("/",Sync!$AG855)+1,20))-1))),"")))</f>
        <v/>
      </c>
      <c r="I855">
        <f>IF(OR($F855="",$G855=""),"",IF(ISNUMBER(Sync!$AG855),MOD(Sync!$AG855,100),IFERROR(VALUE(TRIM(MID(MID(Sync!$AG855,FIND("/",Sync!$AG855)+1,20),FIND("/",MID(Sync!$AG855,FIND("/",Sync!$AG855)+1,20))+1,20))),"")))</f>
        <v/>
      </c>
      <c r="J855">
        <f>IF($F855="","",IF(OR($G855="",$H855="",$I855="",$G855&lt;1300,$G855&gt;1500,$H855&lt;1,$H855&gt;12,$I855&lt;1,$I855&gt;31),"نامعتبر",RIGHT("0000"&amp;$G855,4)&amp;"/"&amp;RIGHT("00"&amp;$H855,2)&amp;"/"&amp;RIGHT("00"&amp;$I855,2)))</f>
        <v/>
      </c>
      <c r="K855">
        <f>IF(OR($F855="",$J855="",$J855="نامعتبر"),"",LEFT($J855,4)&amp;MID($J855,6,2)&amp;RIGHT($J855,2)&amp;$N855&amp;"|"&amp;"2"&amp;RIGHT("00000"&amp;850,5))</f>
        <v/>
      </c>
      <c r="L855">
        <f>IF($K855="","",COUNTIFS(LdgPartyA,$F855,LdgKeyA,"&lt;"&amp;$K855)+COUNTIFS(LdgPartyB,$F855,LdgKeyB,"&lt;"&amp;$K855)+1)</f>
        <v/>
      </c>
      <c r="M855">
        <f>IF($L855="","",$F855&amp;"|"&amp;RIGHT("000000"&amp;$L855,6))</f>
        <v/>
      </c>
      <c r="N855">
        <f>IF($F855="","",IF(Sync!$AH855="","0000",IF(AND(ISNUMBER(Sync!$AH855),Sync!$AH855&gt;=0,Sync!$AH855&lt;1),RIGHT("00"&amp;HOUR(Sync!$AH855),2)&amp;RIGHT("00"&amp;MINUTE(Sync!$AH855),2),IFERROR(RIGHT("00"&amp;VALUE(LEFT(Sync!$AH855,FIND(":",Sync!$AH855)-1)),2)&amp;RIGHT("00"&amp;VALUE(MID(Sync!$AH855,FIND(":",Sync!$AH855)+1,2)),2),"0000"))))</f>
        <v/>
      </c>
    </row>
    <row r="856">
      <c r="A856">
        <f>IF(OR(Calc!$E859="",Calc!$E859="نامعتبر",Calc!$G859="",Calc!$I859&lt;&gt;"خرید"),"",Calc!$G859)</f>
        <v/>
      </c>
      <c r="B856">
        <f>IF($A856="","",LEFT(Calc!$E859,4)&amp;MID(Calc!$E859,6,2)&amp;RIGHT(Calc!$E859,2)&amp;Calc!$R859&amp;"|"&amp;"1"&amp;RIGHT("00000"&amp;851,5))</f>
        <v/>
      </c>
      <c r="C856">
        <f>IF($B856="","",COUNTIFS(LdgPartyA,$A856,LdgKeyA,"&lt;"&amp;$B856)+COUNTIFS(LdgPartyB,$A856,LdgKeyB,"&lt;"&amp;$B856)+1)</f>
        <v/>
      </c>
      <c r="D856">
        <f>IF($C856="","",$A856&amp;"|"&amp;RIGHT("000000"&amp;$C856,6))</f>
        <v/>
      </c>
      <c r="F856">
        <f>IF(Sync!$AJ856="","",Sync!$AJ856)</f>
        <v/>
      </c>
      <c r="G856">
        <f>IF($F856="","",IF(Sync!$AG856="","",IF(ISNUMBER(Sync!$AG856),IF(AND(Sync!$AG856&gt;=10000101,Sync!$AG856&lt;=99991231),INT(Sync!$AG856/10000),""),IFERROR(VALUE(TRIM(LEFT(Sync!$AG856,FIND("/",Sync!$AG856)-1))),""))))</f>
        <v/>
      </c>
      <c r="H856">
        <f>IF(OR($F856="",$G856=""),"",IF(ISNUMBER(Sync!$AG856),INT(MOD(Sync!$AG856,10000)/100),IFERROR(VALUE(TRIM(LEFT(MID(Sync!$AG856,FIND("/",Sync!$AG856)+1,20),FIND("/",MID(Sync!$AG856,FIND("/",Sync!$AG856)+1,20))-1))),"")))</f>
        <v/>
      </c>
      <c r="I856">
        <f>IF(OR($F856="",$G856=""),"",IF(ISNUMBER(Sync!$AG856),MOD(Sync!$AG856,100),IFERROR(VALUE(TRIM(MID(MID(Sync!$AG856,FIND("/",Sync!$AG856)+1,20),FIND("/",MID(Sync!$AG856,FIND("/",Sync!$AG856)+1,20))+1,20))),"")))</f>
        <v/>
      </c>
      <c r="J856">
        <f>IF($F856="","",IF(OR($G856="",$H856="",$I856="",$G856&lt;1300,$G856&gt;1500,$H856&lt;1,$H856&gt;12,$I856&lt;1,$I856&gt;31),"نامعتبر",RIGHT("0000"&amp;$G856,4)&amp;"/"&amp;RIGHT("00"&amp;$H856,2)&amp;"/"&amp;RIGHT("00"&amp;$I856,2)))</f>
        <v/>
      </c>
      <c r="K856">
        <f>IF(OR($F856="",$J856="",$J856="نامعتبر"),"",LEFT($J856,4)&amp;MID($J856,6,2)&amp;RIGHT($J856,2)&amp;$N856&amp;"|"&amp;"2"&amp;RIGHT("00000"&amp;851,5))</f>
        <v/>
      </c>
      <c r="L856">
        <f>IF($K856="","",COUNTIFS(LdgPartyA,$F856,LdgKeyA,"&lt;"&amp;$K856)+COUNTIFS(LdgPartyB,$F856,LdgKeyB,"&lt;"&amp;$K856)+1)</f>
        <v/>
      </c>
      <c r="M856">
        <f>IF($L856="","",$F856&amp;"|"&amp;RIGHT("000000"&amp;$L856,6))</f>
        <v/>
      </c>
      <c r="N856">
        <f>IF($F856="","",IF(Sync!$AH856="","0000",IF(AND(ISNUMBER(Sync!$AH856),Sync!$AH856&gt;=0,Sync!$AH856&lt;1),RIGHT("00"&amp;HOUR(Sync!$AH856),2)&amp;RIGHT("00"&amp;MINUTE(Sync!$AH856),2),IFERROR(RIGHT("00"&amp;VALUE(LEFT(Sync!$AH856,FIND(":",Sync!$AH856)-1)),2)&amp;RIGHT("00"&amp;VALUE(MID(Sync!$AH856,FIND(":",Sync!$AH856)+1,2)),2),"0000"))))</f>
        <v/>
      </c>
    </row>
    <row r="857">
      <c r="A857">
        <f>IF(OR(Calc!$E860="",Calc!$E860="نامعتبر",Calc!$G860="",Calc!$I860&lt;&gt;"خرید"),"",Calc!$G860)</f>
        <v/>
      </c>
      <c r="B857">
        <f>IF($A857="","",LEFT(Calc!$E860,4)&amp;MID(Calc!$E860,6,2)&amp;RIGHT(Calc!$E860,2)&amp;Calc!$R860&amp;"|"&amp;"1"&amp;RIGHT("00000"&amp;852,5))</f>
        <v/>
      </c>
      <c r="C857">
        <f>IF($B857="","",COUNTIFS(LdgPartyA,$A857,LdgKeyA,"&lt;"&amp;$B857)+COUNTIFS(LdgPartyB,$A857,LdgKeyB,"&lt;"&amp;$B857)+1)</f>
        <v/>
      </c>
      <c r="D857">
        <f>IF($C857="","",$A857&amp;"|"&amp;RIGHT("000000"&amp;$C857,6))</f>
        <v/>
      </c>
      <c r="F857">
        <f>IF(Sync!$AJ857="","",Sync!$AJ857)</f>
        <v/>
      </c>
      <c r="G857">
        <f>IF($F857="","",IF(Sync!$AG857="","",IF(ISNUMBER(Sync!$AG857),IF(AND(Sync!$AG857&gt;=10000101,Sync!$AG857&lt;=99991231),INT(Sync!$AG857/10000),""),IFERROR(VALUE(TRIM(LEFT(Sync!$AG857,FIND("/",Sync!$AG857)-1))),""))))</f>
        <v/>
      </c>
      <c r="H857">
        <f>IF(OR($F857="",$G857=""),"",IF(ISNUMBER(Sync!$AG857),INT(MOD(Sync!$AG857,10000)/100),IFERROR(VALUE(TRIM(LEFT(MID(Sync!$AG857,FIND("/",Sync!$AG857)+1,20),FIND("/",MID(Sync!$AG857,FIND("/",Sync!$AG857)+1,20))-1))),"")))</f>
        <v/>
      </c>
      <c r="I857">
        <f>IF(OR($F857="",$G857=""),"",IF(ISNUMBER(Sync!$AG857),MOD(Sync!$AG857,100),IFERROR(VALUE(TRIM(MID(MID(Sync!$AG857,FIND("/",Sync!$AG857)+1,20),FIND("/",MID(Sync!$AG857,FIND("/",Sync!$AG857)+1,20))+1,20))),"")))</f>
        <v/>
      </c>
      <c r="J857">
        <f>IF($F857="","",IF(OR($G857="",$H857="",$I857="",$G857&lt;1300,$G857&gt;1500,$H857&lt;1,$H857&gt;12,$I857&lt;1,$I857&gt;31),"نامعتبر",RIGHT("0000"&amp;$G857,4)&amp;"/"&amp;RIGHT("00"&amp;$H857,2)&amp;"/"&amp;RIGHT("00"&amp;$I857,2)))</f>
        <v/>
      </c>
      <c r="K857">
        <f>IF(OR($F857="",$J857="",$J857="نامعتبر"),"",LEFT($J857,4)&amp;MID($J857,6,2)&amp;RIGHT($J857,2)&amp;$N857&amp;"|"&amp;"2"&amp;RIGHT("00000"&amp;852,5))</f>
        <v/>
      </c>
      <c r="L857">
        <f>IF($K857="","",COUNTIFS(LdgPartyA,$F857,LdgKeyA,"&lt;"&amp;$K857)+COUNTIFS(LdgPartyB,$F857,LdgKeyB,"&lt;"&amp;$K857)+1)</f>
        <v/>
      </c>
      <c r="M857">
        <f>IF($L857="","",$F857&amp;"|"&amp;RIGHT("000000"&amp;$L857,6))</f>
        <v/>
      </c>
      <c r="N857">
        <f>IF($F857="","",IF(Sync!$AH857="","0000",IF(AND(ISNUMBER(Sync!$AH857),Sync!$AH857&gt;=0,Sync!$AH857&lt;1),RIGHT("00"&amp;HOUR(Sync!$AH857),2)&amp;RIGHT("00"&amp;MINUTE(Sync!$AH857),2),IFERROR(RIGHT("00"&amp;VALUE(LEFT(Sync!$AH857,FIND(":",Sync!$AH857)-1)),2)&amp;RIGHT("00"&amp;VALUE(MID(Sync!$AH857,FIND(":",Sync!$AH857)+1,2)),2),"0000"))))</f>
        <v/>
      </c>
    </row>
    <row r="858">
      <c r="A858">
        <f>IF(OR(Calc!$E861="",Calc!$E861="نامعتبر",Calc!$G861="",Calc!$I861&lt;&gt;"خرید"),"",Calc!$G861)</f>
        <v/>
      </c>
      <c r="B858">
        <f>IF($A858="","",LEFT(Calc!$E861,4)&amp;MID(Calc!$E861,6,2)&amp;RIGHT(Calc!$E861,2)&amp;Calc!$R861&amp;"|"&amp;"1"&amp;RIGHT("00000"&amp;853,5))</f>
        <v/>
      </c>
      <c r="C858">
        <f>IF($B858="","",COUNTIFS(LdgPartyA,$A858,LdgKeyA,"&lt;"&amp;$B858)+COUNTIFS(LdgPartyB,$A858,LdgKeyB,"&lt;"&amp;$B858)+1)</f>
        <v/>
      </c>
      <c r="D858">
        <f>IF($C858="","",$A858&amp;"|"&amp;RIGHT("000000"&amp;$C858,6))</f>
        <v/>
      </c>
      <c r="F858">
        <f>IF(Sync!$AJ858="","",Sync!$AJ858)</f>
        <v/>
      </c>
      <c r="G858">
        <f>IF($F858="","",IF(Sync!$AG858="","",IF(ISNUMBER(Sync!$AG858),IF(AND(Sync!$AG858&gt;=10000101,Sync!$AG858&lt;=99991231),INT(Sync!$AG858/10000),""),IFERROR(VALUE(TRIM(LEFT(Sync!$AG858,FIND("/",Sync!$AG858)-1))),""))))</f>
        <v/>
      </c>
      <c r="H858">
        <f>IF(OR($F858="",$G858=""),"",IF(ISNUMBER(Sync!$AG858),INT(MOD(Sync!$AG858,10000)/100),IFERROR(VALUE(TRIM(LEFT(MID(Sync!$AG858,FIND("/",Sync!$AG858)+1,20),FIND("/",MID(Sync!$AG858,FIND("/",Sync!$AG858)+1,20))-1))),"")))</f>
        <v/>
      </c>
      <c r="I858">
        <f>IF(OR($F858="",$G858=""),"",IF(ISNUMBER(Sync!$AG858),MOD(Sync!$AG858,100),IFERROR(VALUE(TRIM(MID(MID(Sync!$AG858,FIND("/",Sync!$AG858)+1,20),FIND("/",MID(Sync!$AG858,FIND("/",Sync!$AG858)+1,20))+1,20))),"")))</f>
        <v/>
      </c>
      <c r="J858">
        <f>IF($F858="","",IF(OR($G858="",$H858="",$I858="",$G858&lt;1300,$G858&gt;1500,$H858&lt;1,$H858&gt;12,$I858&lt;1,$I858&gt;31),"نامعتبر",RIGHT("0000"&amp;$G858,4)&amp;"/"&amp;RIGHT("00"&amp;$H858,2)&amp;"/"&amp;RIGHT("00"&amp;$I858,2)))</f>
        <v/>
      </c>
      <c r="K858">
        <f>IF(OR($F858="",$J858="",$J858="نامعتبر"),"",LEFT($J858,4)&amp;MID($J858,6,2)&amp;RIGHT($J858,2)&amp;$N858&amp;"|"&amp;"2"&amp;RIGHT("00000"&amp;853,5))</f>
        <v/>
      </c>
      <c r="L858">
        <f>IF($K858="","",COUNTIFS(LdgPartyA,$F858,LdgKeyA,"&lt;"&amp;$K858)+COUNTIFS(LdgPartyB,$F858,LdgKeyB,"&lt;"&amp;$K858)+1)</f>
        <v/>
      </c>
      <c r="M858">
        <f>IF($L858="","",$F858&amp;"|"&amp;RIGHT("000000"&amp;$L858,6))</f>
        <v/>
      </c>
      <c r="N858">
        <f>IF($F858="","",IF(Sync!$AH858="","0000",IF(AND(ISNUMBER(Sync!$AH858),Sync!$AH858&gt;=0,Sync!$AH858&lt;1),RIGHT("00"&amp;HOUR(Sync!$AH858),2)&amp;RIGHT("00"&amp;MINUTE(Sync!$AH858),2),IFERROR(RIGHT("00"&amp;VALUE(LEFT(Sync!$AH858,FIND(":",Sync!$AH858)-1)),2)&amp;RIGHT("00"&amp;VALUE(MID(Sync!$AH858,FIND(":",Sync!$AH858)+1,2)),2),"0000"))))</f>
        <v/>
      </c>
    </row>
    <row r="859">
      <c r="A859">
        <f>IF(OR(Calc!$E862="",Calc!$E862="نامعتبر",Calc!$G862="",Calc!$I862&lt;&gt;"خرید"),"",Calc!$G862)</f>
        <v/>
      </c>
      <c r="B859">
        <f>IF($A859="","",LEFT(Calc!$E862,4)&amp;MID(Calc!$E862,6,2)&amp;RIGHT(Calc!$E862,2)&amp;Calc!$R862&amp;"|"&amp;"1"&amp;RIGHT("00000"&amp;854,5))</f>
        <v/>
      </c>
      <c r="C859">
        <f>IF($B859="","",COUNTIFS(LdgPartyA,$A859,LdgKeyA,"&lt;"&amp;$B859)+COUNTIFS(LdgPartyB,$A859,LdgKeyB,"&lt;"&amp;$B859)+1)</f>
        <v/>
      </c>
      <c r="D859">
        <f>IF($C859="","",$A859&amp;"|"&amp;RIGHT("000000"&amp;$C859,6))</f>
        <v/>
      </c>
      <c r="F859">
        <f>IF(Sync!$AJ859="","",Sync!$AJ859)</f>
        <v/>
      </c>
      <c r="G859">
        <f>IF($F859="","",IF(Sync!$AG859="","",IF(ISNUMBER(Sync!$AG859),IF(AND(Sync!$AG859&gt;=10000101,Sync!$AG859&lt;=99991231),INT(Sync!$AG859/10000),""),IFERROR(VALUE(TRIM(LEFT(Sync!$AG859,FIND("/",Sync!$AG859)-1))),""))))</f>
        <v/>
      </c>
      <c r="H859">
        <f>IF(OR($F859="",$G859=""),"",IF(ISNUMBER(Sync!$AG859),INT(MOD(Sync!$AG859,10000)/100),IFERROR(VALUE(TRIM(LEFT(MID(Sync!$AG859,FIND("/",Sync!$AG859)+1,20),FIND("/",MID(Sync!$AG859,FIND("/",Sync!$AG859)+1,20))-1))),"")))</f>
        <v/>
      </c>
      <c r="I859">
        <f>IF(OR($F859="",$G859=""),"",IF(ISNUMBER(Sync!$AG859),MOD(Sync!$AG859,100),IFERROR(VALUE(TRIM(MID(MID(Sync!$AG859,FIND("/",Sync!$AG859)+1,20),FIND("/",MID(Sync!$AG859,FIND("/",Sync!$AG859)+1,20))+1,20))),"")))</f>
        <v/>
      </c>
      <c r="J859">
        <f>IF($F859="","",IF(OR($G859="",$H859="",$I859="",$G859&lt;1300,$G859&gt;1500,$H859&lt;1,$H859&gt;12,$I859&lt;1,$I859&gt;31),"نامعتبر",RIGHT("0000"&amp;$G859,4)&amp;"/"&amp;RIGHT("00"&amp;$H859,2)&amp;"/"&amp;RIGHT("00"&amp;$I859,2)))</f>
        <v/>
      </c>
      <c r="K859">
        <f>IF(OR($F859="",$J859="",$J859="نامعتبر"),"",LEFT($J859,4)&amp;MID($J859,6,2)&amp;RIGHT($J859,2)&amp;$N859&amp;"|"&amp;"2"&amp;RIGHT("00000"&amp;854,5))</f>
        <v/>
      </c>
      <c r="L859">
        <f>IF($K859="","",COUNTIFS(LdgPartyA,$F859,LdgKeyA,"&lt;"&amp;$K859)+COUNTIFS(LdgPartyB,$F859,LdgKeyB,"&lt;"&amp;$K859)+1)</f>
        <v/>
      </c>
      <c r="M859">
        <f>IF($L859="","",$F859&amp;"|"&amp;RIGHT("000000"&amp;$L859,6))</f>
        <v/>
      </c>
      <c r="N859">
        <f>IF($F859="","",IF(Sync!$AH859="","0000",IF(AND(ISNUMBER(Sync!$AH859),Sync!$AH859&gt;=0,Sync!$AH859&lt;1),RIGHT("00"&amp;HOUR(Sync!$AH859),2)&amp;RIGHT("00"&amp;MINUTE(Sync!$AH859),2),IFERROR(RIGHT("00"&amp;VALUE(LEFT(Sync!$AH859,FIND(":",Sync!$AH859)-1)),2)&amp;RIGHT("00"&amp;VALUE(MID(Sync!$AH859,FIND(":",Sync!$AH859)+1,2)),2),"0000"))))</f>
        <v/>
      </c>
    </row>
    <row r="860">
      <c r="A860">
        <f>IF(OR(Calc!$E863="",Calc!$E863="نامعتبر",Calc!$G863="",Calc!$I863&lt;&gt;"خرید"),"",Calc!$G863)</f>
        <v/>
      </c>
      <c r="B860">
        <f>IF($A860="","",LEFT(Calc!$E863,4)&amp;MID(Calc!$E863,6,2)&amp;RIGHT(Calc!$E863,2)&amp;Calc!$R863&amp;"|"&amp;"1"&amp;RIGHT("00000"&amp;855,5))</f>
        <v/>
      </c>
      <c r="C860">
        <f>IF($B860="","",COUNTIFS(LdgPartyA,$A860,LdgKeyA,"&lt;"&amp;$B860)+COUNTIFS(LdgPartyB,$A860,LdgKeyB,"&lt;"&amp;$B860)+1)</f>
        <v/>
      </c>
      <c r="D860">
        <f>IF($C860="","",$A860&amp;"|"&amp;RIGHT("000000"&amp;$C860,6))</f>
        <v/>
      </c>
      <c r="F860">
        <f>IF(Sync!$AJ860="","",Sync!$AJ860)</f>
        <v/>
      </c>
      <c r="G860">
        <f>IF($F860="","",IF(Sync!$AG860="","",IF(ISNUMBER(Sync!$AG860),IF(AND(Sync!$AG860&gt;=10000101,Sync!$AG860&lt;=99991231),INT(Sync!$AG860/10000),""),IFERROR(VALUE(TRIM(LEFT(Sync!$AG860,FIND("/",Sync!$AG860)-1))),""))))</f>
        <v/>
      </c>
      <c r="H860">
        <f>IF(OR($F860="",$G860=""),"",IF(ISNUMBER(Sync!$AG860),INT(MOD(Sync!$AG860,10000)/100),IFERROR(VALUE(TRIM(LEFT(MID(Sync!$AG860,FIND("/",Sync!$AG860)+1,20),FIND("/",MID(Sync!$AG860,FIND("/",Sync!$AG860)+1,20))-1))),"")))</f>
        <v/>
      </c>
      <c r="I860">
        <f>IF(OR($F860="",$G860=""),"",IF(ISNUMBER(Sync!$AG860),MOD(Sync!$AG860,100),IFERROR(VALUE(TRIM(MID(MID(Sync!$AG860,FIND("/",Sync!$AG860)+1,20),FIND("/",MID(Sync!$AG860,FIND("/",Sync!$AG860)+1,20))+1,20))),"")))</f>
        <v/>
      </c>
      <c r="J860">
        <f>IF($F860="","",IF(OR($G860="",$H860="",$I860="",$G860&lt;1300,$G860&gt;1500,$H860&lt;1,$H860&gt;12,$I860&lt;1,$I860&gt;31),"نامعتبر",RIGHT("0000"&amp;$G860,4)&amp;"/"&amp;RIGHT("00"&amp;$H860,2)&amp;"/"&amp;RIGHT("00"&amp;$I860,2)))</f>
        <v/>
      </c>
      <c r="K860">
        <f>IF(OR($F860="",$J860="",$J860="نامعتبر"),"",LEFT($J860,4)&amp;MID($J860,6,2)&amp;RIGHT($J860,2)&amp;$N860&amp;"|"&amp;"2"&amp;RIGHT("00000"&amp;855,5))</f>
        <v/>
      </c>
      <c r="L860">
        <f>IF($K860="","",COUNTIFS(LdgPartyA,$F860,LdgKeyA,"&lt;"&amp;$K860)+COUNTIFS(LdgPartyB,$F860,LdgKeyB,"&lt;"&amp;$K860)+1)</f>
        <v/>
      </c>
      <c r="M860">
        <f>IF($L860="","",$F860&amp;"|"&amp;RIGHT("000000"&amp;$L860,6))</f>
        <v/>
      </c>
      <c r="N860">
        <f>IF($F860="","",IF(Sync!$AH860="","0000",IF(AND(ISNUMBER(Sync!$AH860),Sync!$AH860&gt;=0,Sync!$AH860&lt;1),RIGHT("00"&amp;HOUR(Sync!$AH860),2)&amp;RIGHT("00"&amp;MINUTE(Sync!$AH860),2),IFERROR(RIGHT("00"&amp;VALUE(LEFT(Sync!$AH860,FIND(":",Sync!$AH860)-1)),2)&amp;RIGHT("00"&amp;VALUE(MID(Sync!$AH860,FIND(":",Sync!$AH860)+1,2)),2),"0000"))))</f>
        <v/>
      </c>
    </row>
    <row r="861">
      <c r="A861">
        <f>IF(OR(Calc!$E864="",Calc!$E864="نامعتبر",Calc!$G864="",Calc!$I864&lt;&gt;"خرید"),"",Calc!$G864)</f>
        <v/>
      </c>
      <c r="B861">
        <f>IF($A861="","",LEFT(Calc!$E864,4)&amp;MID(Calc!$E864,6,2)&amp;RIGHT(Calc!$E864,2)&amp;Calc!$R864&amp;"|"&amp;"1"&amp;RIGHT("00000"&amp;856,5))</f>
        <v/>
      </c>
      <c r="C861">
        <f>IF($B861="","",COUNTIFS(LdgPartyA,$A861,LdgKeyA,"&lt;"&amp;$B861)+COUNTIFS(LdgPartyB,$A861,LdgKeyB,"&lt;"&amp;$B861)+1)</f>
        <v/>
      </c>
      <c r="D861">
        <f>IF($C861="","",$A861&amp;"|"&amp;RIGHT("000000"&amp;$C861,6))</f>
        <v/>
      </c>
      <c r="F861">
        <f>IF(Sync!$AJ861="","",Sync!$AJ861)</f>
        <v/>
      </c>
      <c r="G861">
        <f>IF($F861="","",IF(Sync!$AG861="","",IF(ISNUMBER(Sync!$AG861),IF(AND(Sync!$AG861&gt;=10000101,Sync!$AG861&lt;=99991231),INT(Sync!$AG861/10000),""),IFERROR(VALUE(TRIM(LEFT(Sync!$AG861,FIND("/",Sync!$AG861)-1))),""))))</f>
        <v/>
      </c>
      <c r="H861">
        <f>IF(OR($F861="",$G861=""),"",IF(ISNUMBER(Sync!$AG861),INT(MOD(Sync!$AG861,10000)/100),IFERROR(VALUE(TRIM(LEFT(MID(Sync!$AG861,FIND("/",Sync!$AG861)+1,20),FIND("/",MID(Sync!$AG861,FIND("/",Sync!$AG861)+1,20))-1))),"")))</f>
        <v/>
      </c>
      <c r="I861">
        <f>IF(OR($F861="",$G861=""),"",IF(ISNUMBER(Sync!$AG861),MOD(Sync!$AG861,100),IFERROR(VALUE(TRIM(MID(MID(Sync!$AG861,FIND("/",Sync!$AG861)+1,20),FIND("/",MID(Sync!$AG861,FIND("/",Sync!$AG861)+1,20))+1,20))),"")))</f>
        <v/>
      </c>
      <c r="J861">
        <f>IF($F861="","",IF(OR($G861="",$H861="",$I861="",$G861&lt;1300,$G861&gt;1500,$H861&lt;1,$H861&gt;12,$I861&lt;1,$I861&gt;31),"نامعتبر",RIGHT("0000"&amp;$G861,4)&amp;"/"&amp;RIGHT("00"&amp;$H861,2)&amp;"/"&amp;RIGHT("00"&amp;$I861,2)))</f>
        <v/>
      </c>
      <c r="K861">
        <f>IF(OR($F861="",$J861="",$J861="نامعتبر"),"",LEFT($J861,4)&amp;MID($J861,6,2)&amp;RIGHT($J861,2)&amp;$N861&amp;"|"&amp;"2"&amp;RIGHT("00000"&amp;856,5))</f>
        <v/>
      </c>
      <c r="L861">
        <f>IF($K861="","",COUNTIFS(LdgPartyA,$F861,LdgKeyA,"&lt;"&amp;$K861)+COUNTIFS(LdgPartyB,$F861,LdgKeyB,"&lt;"&amp;$K861)+1)</f>
        <v/>
      </c>
      <c r="M861">
        <f>IF($L861="","",$F861&amp;"|"&amp;RIGHT("000000"&amp;$L861,6))</f>
        <v/>
      </c>
      <c r="N861">
        <f>IF($F861="","",IF(Sync!$AH861="","0000",IF(AND(ISNUMBER(Sync!$AH861),Sync!$AH861&gt;=0,Sync!$AH861&lt;1),RIGHT("00"&amp;HOUR(Sync!$AH861),2)&amp;RIGHT("00"&amp;MINUTE(Sync!$AH861),2),IFERROR(RIGHT("00"&amp;VALUE(LEFT(Sync!$AH861,FIND(":",Sync!$AH861)-1)),2)&amp;RIGHT("00"&amp;VALUE(MID(Sync!$AH861,FIND(":",Sync!$AH861)+1,2)),2),"0000"))))</f>
        <v/>
      </c>
    </row>
    <row r="862">
      <c r="A862">
        <f>IF(OR(Calc!$E865="",Calc!$E865="نامعتبر",Calc!$G865="",Calc!$I865&lt;&gt;"خرید"),"",Calc!$G865)</f>
        <v/>
      </c>
      <c r="B862">
        <f>IF($A862="","",LEFT(Calc!$E865,4)&amp;MID(Calc!$E865,6,2)&amp;RIGHT(Calc!$E865,2)&amp;Calc!$R865&amp;"|"&amp;"1"&amp;RIGHT("00000"&amp;857,5))</f>
        <v/>
      </c>
      <c r="C862">
        <f>IF($B862="","",COUNTIFS(LdgPartyA,$A862,LdgKeyA,"&lt;"&amp;$B862)+COUNTIFS(LdgPartyB,$A862,LdgKeyB,"&lt;"&amp;$B862)+1)</f>
        <v/>
      </c>
      <c r="D862">
        <f>IF($C862="","",$A862&amp;"|"&amp;RIGHT("000000"&amp;$C862,6))</f>
        <v/>
      </c>
      <c r="F862">
        <f>IF(Sync!$AJ862="","",Sync!$AJ862)</f>
        <v/>
      </c>
      <c r="G862">
        <f>IF($F862="","",IF(Sync!$AG862="","",IF(ISNUMBER(Sync!$AG862),IF(AND(Sync!$AG862&gt;=10000101,Sync!$AG862&lt;=99991231),INT(Sync!$AG862/10000),""),IFERROR(VALUE(TRIM(LEFT(Sync!$AG862,FIND("/",Sync!$AG862)-1))),""))))</f>
        <v/>
      </c>
      <c r="H862">
        <f>IF(OR($F862="",$G862=""),"",IF(ISNUMBER(Sync!$AG862),INT(MOD(Sync!$AG862,10000)/100),IFERROR(VALUE(TRIM(LEFT(MID(Sync!$AG862,FIND("/",Sync!$AG862)+1,20),FIND("/",MID(Sync!$AG862,FIND("/",Sync!$AG862)+1,20))-1))),"")))</f>
        <v/>
      </c>
      <c r="I862">
        <f>IF(OR($F862="",$G862=""),"",IF(ISNUMBER(Sync!$AG862),MOD(Sync!$AG862,100),IFERROR(VALUE(TRIM(MID(MID(Sync!$AG862,FIND("/",Sync!$AG862)+1,20),FIND("/",MID(Sync!$AG862,FIND("/",Sync!$AG862)+1,20))+1,20))),"")))</f>
        <v/>
      </c>
      <c r="J862">
        <f>IF($F862="","",IF(OR($G862="",$H862="",$I862="",$G862&lt;1300,$G862&gt;1500,$H862&lt;1,$H862&gt;12,$I862&lt;1,$I862&gt;31),"نامعتبر",RIGHT("0000"&amp;$G862,4)&amp;"/"&amp;RIGHT("00"&amp;$H862,2)&amp;"/"&amp;RIGHT("00"&amp;$I862,2)))</f>
        <v/>
      </c>
      <c r="K862">
        <f>IF(OR($F862="",$J862="",$J862="نامعتبر"),"",LEFT($J862,4)&amp;MID($J862,6,2)&amp;RIGHT($J862,2)&amp;$N862&amp;"|"&amp;"2"&amp;RIGHT("00000"&amp;857,5))</f>
        <v/>
      </c>
      <c r="L862">
        <f>IF($K862="","",COUNTIFS(LdgPartyA,$F862,LdgKeyA,"&lt;"&amp;$K862)+COUNTIFS(LdgPartyB,$F862,LdgKeyB,"&lt;"&amp;$K862)+1)</f>
        <v/>
      </c>
      <c r="M862">
        <f>IF($L862="","",$F862&amp;"|"&amp;RIGHT("000000"&amp;$L862,6))</f>
        <v/>
      </c>
      <c r="N862">
        <f>IF($F862="","",IF(Sync!$AH862="","0000",IF(AND(ISNUMBER(Sync!$AH862),Sync!$AH862&gt;=0,Sync!$AH862&lt;1),RIGHT("00"&amp;HOUR(Sync!$AH862),2)&amp;RIGHT("00"&amp;MINUTE(Sync!$AH862),2),IFERROR(RIGHT("00"&amp;VALUE(LEFT(Sync!$AH862,FIND(":",Sync!$AH862)-1)),2)&amp;RIGHT("00"&amp;VALUE(MID(Sync!$AH862,FIND(":",Sync!$AH862)+1,2)),2),"0000"))))</f>
        <v/>
      </c>
    </row>
    <row r="863">
      <c r="A863">
        <f>IF(OR(Calc!$E866="",Calc!$E866="نامعتبر",Calc!$G866="",Calc!$I866&lt;&gt;"خرید"),"",Calc!$G866)</f>
        <v/>
      </c>
      <c r="B863">
        <f>IF($A863="","",LEFT(Calc!$E866,4)&amp;MID(Calc!$E866,6,2)&amp;RIGHT(Calc!$E866,2)&amp;Calc!$R866&amp;"|"&amp;"1"&amp;RIGHT("00000"&amp;858,5))</f>
        <v/>
      </c>
      <c r="C863">
        <f>IF($B863="","",COUNTIFS(LdgPartyA,$A863,LdgKeyA,"&lt;"&amp;$B863)+COUNTIFS(LdgPartyB,$A863,LdgKeyB,"&lt;"&amp;$B863)+1)</f>
        <v/>
      </c>
      <c r="D863">
        <f>IF($C863="","",$A863&amp;"|"&amp;RIGHT("000000"&amp;$C863,6))</f>
        <v/>
      </c>
      <c r="F863">
        <f>IF(Sync!$AJ863="","",Sync!$AJ863)</f>
        <v/>
      </c>
      <c r="G863">
        <f>IF($F863="","",IF(Sync!$AG863="","",IF(ISNUMBER(Sync!$AG863),IF(AND(Sync!$AG863&gt;=10000101,Sync!$AG863&lt;=99991231),INT(Sync!$AG863/10000),""),IFERROR(VALUE(TRIM(LEFT(Sync!$AG863,FIND("/",Sync!$AG863)-1))),""))))</f>
        <v/>
      </c>
      <c r="H863">
        <f>IF(OR($F863="",$G863=""),"",IF(ISNUMBER(Sync!$AG863),INT(MOD(Sync!$AG863,10000)/100),IFERROR(VALUE(TRIM(LEFT(MID(Sync!$AG863,FIND("/",Sync!$AG863)+1,20),FIND("/",MID(Sync!$AG863,FIND("/",Sync!$AG863)+1,20))-1))),"")))</f>
        <v/>
      </c>
      <c r="I863">
        <f>IF(OR($F863="",$G863=""),"",IF(ISNUMBER(Sync!$AG863),MOD(Sync!$AG863,100),IFERROR(VALUE(TRIM(MID(MID(Sync!$AG863,FIND("/",Sync!$AG863)+1,20),FIND("/",MID(Sync!$AG863,FIND("/",Sync!$AG863)+1,20))+1,20))),"")))</f>
        <v/>
      </c>
      <c r="J863">
        <f>IF($F863="","",IF(OR($G863="",$H863="",$I863="",$G863&lt;1300,$G863&gt;1500,$H863&lt;1,$H863&gt;12,$I863&lt;1,$I863&gt;31),"نامعتبر",RIGHT("0000"&amp;$G863,4)&amp;"/"&amp;RIGHT("00"&amp;$H863,2)&amp;"/"&amp;RIGHT("00"&amp;$I863,2)))</f>
        <v/>
      </c>
      <c r="K863">
        <f>IF(OR($F863="",$J863="",$J863="نامعتبر"),"",LEFT($J863,4)&amp;MID($J863,6,2)&amp;RIGHT($J863,2)&amp;$N863&amp;"|"&amp;"2"&amp;RIGHT("00000"&amp;858,5))</f>
        <v/>
      </c>
      <c r="L863">
        <f>IF($K863="","",COUNTIFS(LdgPartyA,$F863,LdgKeyA,"&lt;"&amp;$K863)+COUNTIFS(LdgPartyB,$F863,LdgKeyB,"&lt;"&amp;$K863)+1)</f>
        <v/>
      </c>
      <c r="M863">
        <f>IF($L863="","",$F863&amp;"|"&amp;RIGHT("000000"&amp;$L863,6))</f>
        <v/>
      </c>
      <c r="N863">
        <f>IF($F863="","",IF(Sync!$AH863="","0000",IF(AND(ISNUMBER(Sync!$AH863),Sync!$AH863&gt;=0,Sync!$AH863&lt;1),RIGHT("00"&amp;HOUR(Sync!$AH863),2)&amp;RIGHT("00"&amp;MINUTE(Sync!$AH863),2),IFERROR(RIGHT("00"&amp;VALUE(LEFT(Sync!$AH863,FIND(":",Sync!$AH863)-1)),2)&amp;RIGHT("00"&amp;VALUE(MID(Sync!$AH863,FIND(":",Sync!$AH863)+1,2)),2),"0000"))))</f>
        <v/>
      </c>
    </row>
    <row r="864">
      <c r="A864">
        <f>IF(OR(Calc!$E867="",Calc!$E867="نامعتبر",Calc!$G867="",Calc!$I867&lt;&gt;"خرید"),"",Calc!$G867)</f>
        <v/>
      </c>
      <c r="B864">
        <f>IF($A864="","",LEFT(Calc!$E867,4)&amp;MID(Calc!$E867,6,2)&amp;RIGHT(Calc!$E867,2)&amp;Calc!$R867&amp;"|"&amp;"1"&amp;RIGHT("00000"&amp;859,5))</f>
        <v/>
      </c>
      <c r="C864">
        <f>IF($B864="","",COUNTIFS(LdgPartyA,$A864,LdgKeyA,"&lt;"&amp;$B864)+COUNTIFS(LdgPartyB,$A864,LdgKeyB,"&lt;"&amp;$B864)+1)</f>
        <v/>
      </c>
      <c r="D864">
        <f>IF($C864="","",$A864&amp;"|"&amp;RIGHT("000000"&amp;$C864,6))</f>
        <v/>
      </c>
      <c r="F864">
        <f>IF(Sync!$AJ864="","",Sync!$AJ864)</f>
        <v/>
      </c>
      <c r="G864">
        <f>IF($F864="","",IF(Sync!$AG864="","",IF(ISNUMBER(Sync!$AG864),IF(AND(Sync!$AG864&gt;=10000101,Sync!$AG864&lt;=99991231),INT(Sync!$AG864/10000),""),IFERROR(VALUE(TRIM(LEFT(Sync!$AG864,FIND("/",Sync!$AG864)-1))),""))))</f>
        <v/>
      </c>
      <c r="H864">
        <f>IF(OR($F864="",$G864=""),"",IF(ISNUMBER(Sync!$AG864),INT(MOD(Sync!$AG864,10000)/100),IFERROR(VALUE(TRIM(LEFT(MID(Sync!$AG864,FIND("/",Sync!$AG864)+1,20),FIND("/",MID(Sync!$AG864,FIND("/",Sync!$AG864)+1,20))-1))),"")))</f>
        <v/>
      </c>
      <c r="I864">
        <f>IF(OR($F864="",$G864=""),"",IF(ISNUMBER(Sync!$AG864),MOD(Sync!$AG864,100),IFERROR(VALUE(TRIM(MID(MID(Sync!$AG864,FIND("/",Sync!$AG864)+1,20),FIND("/",MID(Sync!$AG864,FIND("/",Sync!$AG864)+1,20))+1,20))),"")))</f>
        <v/>
      </c>
      <c r="J864">
        <f>IF($F864="","",IF(OR($G864="",$H864="",$I864="",$G864&lt;1300,$G864&gt;1500,$H864&lt;1,$H864&gt;12,$I864&lt;1,$I864&gt;31),"نامعتبر",RIGHT("0000"&amp;$G864,4)&amp;"/"&amp;RIGHT("00"&amp;$H864,2)&amp;"/"&amp;RIGHT("00"&amp;$I864,2)))</f>
        <v/>
      </c>
      <c r="K864">
        <f>IF(OR($F864="",$J864="",$J864="نامعتبر"),"",LEFT($J864,4)&amp;MID($J864,6,2)&amp;RIGHT($J864,2)&amp;$N864&amp;"|"&amp;"2"&amp;RIGHT("00000"&amp;859,5))</f>
        <v/>
      </c>
      <c r="L864">
        <f>IF($K864="","",COUNTIFS(LdgPartyA,$F864,LdgKeyA,"&lt;"&amp;$K864)+COUNTIFS(LdgPartyB,$F864,LdgKeyB,"&lt;"&amp;$K864)+1)</f>
        <v/>
      </c>
      <c r="M864">
        <f>IF($L864="","",$F864&amp;"|"&amp;RIGHT("000000"&amp;$L864,6))</f>
        <v/>
      </c>
      <c r="N864">
        <f>IF($F864="","",IF(Sync!$AH864="","0000",IF(AND(ISNUMBER(Sync!$AH864),Sync!$AH864&gt;=0,Sync!$AH864&lt;1),RIGHT("00"&amp;HOUR(Sync!$AH864),2)&amp;RIGHT("00"&amp;MINUTE(Sync!$AH864),2),IFERROR(RIGHT("00"&amp;VALUE(LEFT(Sync!$AH864,FIND(":",Sync!$AH864)-1)),2)&amp;RIGHT("00"&amp;VALUE(MID(Sync!$AH864,FIND(":",Sync!$AH864)+1,2)),2),"0000"))))</f>
        <v/>
      </c>
    </row>
    <row r="865">
      <c r="A865">
        <f>IF(OR(Calc!$E868="",Calc!$E868="نامعتبر",Calc!$G868="",Calc!$I868&lt;&gt;"خرید"),"",Calc!$G868)</f>
        <v/>
      </c>
      <c r="B865">
        <f>IF($A865="","",LEFT(Calc!$E868,4)&amp;MID(Calc!$E868,6,2)&amp;RIGHT(Calc!$E868,2)&amp;Calc!$R868&amp;"|"&amp;"1"&amp;RIGHT("00000"&amp;860,5))</f>
        <v/>
      </c>
      <c r="C865">
        <f>IF($B865="","",COUNTIFS(LdgPartyA,$A865,LdgKeyA,"&lt;"&amp;$B865)+COUNTIFS(LdgPartyB,$A865,LdgKeyB,"&lt;"&amp;$B865)+1)</f>
        <v/>
      </c>
      <c r="D865">
        <f>IF($C865="","",$A865&amp;"|"&amp;RIGHT("000000"&amp;$C865,6))</f>
        <v/>
      </c>
      <c r="F865">
        <f>IF(Sync!$AJ865="","",Sync!$AJ865)</f>
        <v/>
      </c>
      <c r="G865">
        <f>IF($F865="","",IF(Sync!$AG865="","",IF(ISNUMBER(Sync!$AG865),IF(AND(Sync!$AG865&gt;=10000101,Sync!$AG865&lt;=99991231),INT(Sync!$AG865/10000),""),IFERROR(VALUE(TRIM(LEFT(Sync!$AG865,FIND("/",Sync!$AG865)-1))),""))))</f>
        <v/>
      </c>
      <c r="H865">
        <f>IF(OR($F865="",$G865=""),"",IF(ISNUMBER(Sync!$AG865),INT(MOD(Sync!$AG865,10000)/100),IFERROR(VALUE(TRIM(LEFT(MID(Sync!$AG865,FIND("/",Sync!$AG865)+1,20),FIND("/",MID(Sync!$AG865,FIND("/",Sync!$AG865)+1,20))-1))),"")))</f>
        <v/>
      </c>
      <c r="I865">
        <f>IF(OR($F865="",$G865=""),"",IF(ISNUMBER(Sync!$AG865),MOD(Sync!$AG865,100),IFERROR(VALUE(TRIM(MID(MID(Sync!$AG865,FIND("/",Sync!$AG865)+1,20),FIND("/",MID(Sync!$AG865,FIND("/",Sync!$AG865)+1,20))+1,20))),"")))</f>
        <v/>
      </c>
      <c r="J865">
        <f>IF($F865="","",IF(OR($G865="",$H865="",$I865="",$G865&lt;1300,$G865&gt;1500,$H865&lt;1,$H865&gt;12,$I865&lt;1,$I865&gt;31),"نامعتبر",RIGHT("0000"&amp;$G865,4)&amp;"/"&amp;RIGHT("00"&amp;$H865,2)&amp;"/"&amp;RIGHT("00"&amp;$I865,2)))</f>
        <v/>
      </c>
      <c r="K865">
        <f>IF(OR($F865="",$J865="",$J865="نامعتبر"),"",LEFT($J865,4)&amp;MID($J865,6,2)&amp;RIGHT($J865,2)&amp;$N865&amp;"|"&amp;"2"&amp;RIGHT("00000"&amp;860,5))</f>
        <v/>
      </c>
      <c r="L865">
        <f>IF($K865="","",COUNTIFS(LdgPartyA,$F865,LdgKeyA,"&lt;"&amp;$K865)+COUNTIFS(LdgPartyB,$F865,LdgKeyB,"&lt;"&amp;$K865)+1)</f>
        <v/>
      </c>
      <c r="M865">
        <f>IF($L865="","",$F865&amp;"|"&amp;RIGHT("000000"&amp;$L865,6))</f>
        <v/>
      </c>
      <c r="N865">
        <f>IF($F865="","",IF(Sync!$AH865="","0000",IF(AND(ISNUMBER(Sync!$AH865),Sync!$AH865&gt;=0,Sync!$AH865&lt;1),RIGHT("00"&amp;HOUR(Sync!$AH865),2)&amp;RIGHT("00"&amp;MINUTE(Sync!$AH865),2),IFERROR(RIGHT("00"&amp;VALUE(LEFT(Sync!$AH865,FIND(":",Sync!$AH865)-1)),2)&amp;RIGHT("00"&amp;VALUE(MID(Sync!$AH865,FIND(":",Sync!$AH865)+1,2)),2),"0000"))))</f>
        <v/>
      </c>
    </row>
    <row r="866">
      <c r="A866">
        <f>IF(OR(Calc!$E869="",Calc!$E869="نامعتبر",Calc!$G869="",Calc!$I869&lt;&gt;"خرید"),"",Calc!$G869)</f>
        <v/>
      </c>
      <c r="B866">
        <f>IF($A866="","",LEFT(Calc!$E869,4)&amp;MID(Calc!$E869,6,2)&amp;RIGHT(Calc!$E869,2)&amp;Calc!$R869&amp;"|"&amp;"1"&amp;RIGHT("00000"&amp;861,5))</f>
        <v/>
      </c>
      <c r="C866">
        <f>IF($B866="","",COUNTIFS(LdgPartyA,$A866,LdgKeyA,"&lt;"&amp;$B866)+COUNTIFS(LdgPartyB,$A866,LdgKeyB,"&lt;"&amp;$B866)+1)</f>
        <v/>
      </c>
      <c r="D866">
        <f>IF($C866="","",$A866&amp;"|"&amp;RIGHT("000000"&amp;$C866,6))</f>
        <v/>
      </c>
      <c r="F866">
        <f>IF(Sync!$AJ866="","",Sync!$AJ866)</f>
        <v/>
      </c>
      <c r="G866">
        <f>IF($F866="","",IF(Sync!$AG866="","",IF(ISNUMBER(Sync!$AG866),IF(AND(Sync!$AG866&gt;=10000101,Sync!$AG866&lt;=99991231),INT(Sync!$AG866/10000),""),IFERROR(VALUE(TRIM(LEFT(Sync!$AG866,FIND("/",Sync!$AG866)-1))),""))))</f>
        <v/>
      </c>
      <c r="H866">
        <f>IF(OR($F866="",$G866=""),"",IF(ISNUMBER(Sync!$AG866),INT(MOD(Sync!$AG866,10000)/100),IFERROR(VALUE(TRIM(LEFT(MID(Sync!$AG866,FIND("/",Sync!$AG866)+1,20),FIND("/",MID(Sync!$AG866,FIND("/",Sync!$AG866)+1,20))-1))),"")))</f>
        <v/>
      </c>
      <c r="I866">
        <f>IF(OR($F866="",$G866=""),"",IF(ISNUMBER(Sync!$AG866),MOD(Sync!$AG866,100),IFERROR(VALUE(TRIM(MID(MID(Sync!$AG866,FIND("/",Sync!$AG866)+1,20),FIND("/",MID(Sync!$AG866,FIND("/",Sync!$AG866)+1,20))+1,20))),"")))</f>
        <v/>
      </c>
      <c r="J866">
        <f>IF($F866="","",IF(OR($G866="",$H866="",$I866="",$G866&lt;1300,$G866&gt;1500,$H866&lt;1,$H866&gt;12,$I866&lt;1,$I866&gt;31),"نامعتبر",RIGHT("0000"&amp;$G866,4)&amp;"/"&amp;RIGHT("00"&amp;$H866,2)&amp;"/"&amp;RIGHT("00"&amp;$I866,2)))</f>
        <v/>
      </c>
      <c r="K866">
        <f>IF(OR($F866="",$J866="",$J866="نامعتبر"),"",LEFT($J866,4)&amp;MID($J866,6,2)&amp;RIGHT($J866,2)&amp;$N866&amp;"|"&amp;"2"&amp;RIGHT("00000"&amp;861,5))</f>
        <v/>
      </c>
      <c r="L866">
        <f>IF($K866="","",COUNTIFS(LdgPartyA,$F866,LdgKeyA,"&lt;"&amp;$K866)+COUNTIFS(LdgPartyB,$F866,LdgKeyB,"&lt;"&amp;$K866)+1)</f>
        <v/>
      </c>
      <c r="M866">
        <f>IF($L866="","",$F866&amp;"|"&amp;RIGHT("000000"&amp;$L866,6))</f>
        <v/>
      </c>
      <c r="N866">
        <f>IF($F866="","",IF(Sync!$AH866="","0000",IF(AND(ISNUMBER(Sync!$AH866),Sync!$AH866&gt;=0,Sync!$AH866&lt;1),RIGHT("00"&amp;HOUR(Sync!$AH866),2)&amp;RIGHT("00"&amp;MINUTE(Sync!$AH866),2),IFERROR(RIGHT("00"&amp;VALUE(LEFT(Sync!$AH866,FIND(":",Sync!$AH866)-1)),2)&amp;RIGHT("00"&amp;VALUE(MID(Sync!$AH866,FIND(":",Sync!$AH866)+1,2)),2),"0000"))))</f>
        <v/>
      </c>
    </row>
    <row r="867">
      <c r="A867">
        <f>IF(OR(Calc!$E870="",Calc!$E870="نامعتبر",Calc!$G870="",Calc!$I870&lt;&gt;"خرید"),"",Calc!$G870)</f>
        <v/>
      </c>
      <c r="B867">
        <f>IF($A867="","",LEFT(Calc!$E870,4)&amp;MID(Calc!$E870,6,2)&amp;RIGHT(Calc!$E870,2)&amp;Calc!$R870&amp;"|"&amp;"1"&amp;RIGHT("00000"&amp;862,5))</f>
        <v/>
      </c>
      <c r="C867">
        <f>IF($B867="","",COUNTIFS(LdgPartyA,$A867,LdgKeyA,"&lt;"&amp;$B867)+COUNTIFS(LdgPartyB,$A867,LdgKeyB,"&lt;"&amp;$B867)+1)</f>
        <v/>
      </c>
      <c r="D867">
        <f>IF($C867="","",$A867&amp;"|"&amp;RIGHT("000000"&amp;$C867,6))</f>
        <v/>
      </c>
      <c r="F867">
        <f>IF(Sync!$AJ867="","",Sync!$AJ867)</f>
        <v/>
      </c>
      <c r="G867">
        <f>IF($F867="","",IF(Sync!$AG867="","",IF(ISNUMBER(Sync!$AG867),IF(AND(Sync!$AG867&gt;=10000101,Sync!$AG867&lt;=99991231),INT(Sync!$AG867/10000),""),IFERROR(VALUE(TRIM(LEFT(Sync!$AG867,FIND("/",Sync!$AG867)-1))),""))))</f>
        <v/>
      </c>
      <c r="H867">
        <f>IF(OR($F867="",$G867=""),"",IF(ISNUMBER(Sync!$AG867),INT(MOD(Sync!$AG867,10000)/100),IFERROR(VALUE(TRIM(LEFT(MID(Sync!$AG867,FIND("/",Sync!$AG867)+1,20),FIND("/",MID(Sync!$AG867,FIND("/",Sync!$AG867)+1,20))-1))),"")))</f>
        <v/>
      </c>
      <c r="I867">
        <f>IF(OR($F867="",$G867=""),"",IF(ISNUMBER(Sync!$AG867),MOD(Sync!$AG867,100),IFERROR(VALUE(TRIM(MID(MID(Sync!$AG867,FIND("/",Sync!$AG867)+1,20),FIND("/",MID(Sync!$AG867,FIND("/",Sync!$AG867)+1,20))+1,20))),"")))</f>
        <v/>
      </c>
      <c r="J867">
        <f>IF($F867="","",IF(OR($G867="",$H867="",$I867="",$G867&lt;1300,$G867&gt;1500,$H867&lt;1,$H867&gt;12,$I867&lt;1,$I867&gt;31),"نامعتبر",RIGHT("0000"&amp;$G867,4)&amp;"/"&amp;RIGHT("00"&amp;$H867,2)&amp;"/"&amp;RIGHT("00"&amp;$I867,2)))</f>
        <v/>
      </c>
      <c r="K867">
        <f>IF(OR($F867="",$J867="",$J867="نامعتبر"),"",LEFT($J867,4)&amp;MID($J867,6,2)&amp;RIGHT($J867,2)&amp;$N867&amp;"|"&amp;"2"&amp;RIGHT("00000"&amp;862,5))</f>
        <v/>
      </c>
      <c r="L867">
        <f>IF($K867="","",COUNTIFS(LdgPartyA,$F867,LdgKeyA,"&lt;"&amp;$K867)+COUNTIFS(LdgPartyB,$F867,LdgKeyB,"&lt;"&amp;$K867)+1)</f>
        <v/>
      </c>
      <c r="M867">
        <f>IF($L867="","",$F867&amp;"|"&amp;RIGHT("000000"&amp;$L867,6))</f>
        <v/>
      </c>
      <c r="N867">
        <f>IF($F867="","",IF(Sync!$AH867="","0000",IF(AND(ISNUMBER(Sync!$AH867),Sync!$AH867&gt;=0,Sync!$AH867&lt;1),RIGHT("00"&amp;HOUR(Sync!$AH867),2)&amp;RIGHT("00"&amp;MINUTE(Sync!$AH867),2),IFERROR(RIGHT("00"&amp;VALUE(LEFT(Sync!$AH867,FIND(":",Sync!$AH867)-1)),2)&amp;RIGHT("00"&amp;VALUE(MID(Sync!$AH867,FIND(":",Sync!$AH867)+1,2)),2),"0000"))))</f>
        <v/>
      </c>
    </row>
    <row r="868">
      <c r="A868">
        <f>IF(OR(Calc!$E871="",Calc!$E871="نامعتبر",Calc!$G871="",Calc!$I871&lt;&gt;"خرید"),"",Calc!$G871)</f>
        <v/>
      </c>
      <c r="B868">
        <f>IF($A868="","",LEFT(Calc!$E871,4)&amp;MID(Calc!$E871,6,2)&amp;RIGHT(Calc!$E871,2)&amp;Calc!$R871&amp;"|"&amp;"1"&amp;RIGHT("00000"&amp;863,5))</f>
        <v/>
      </c>
      <c r="C868">
        <f>IF($B868="","",COUNTIFS(LdgPartyA,$A868,LdgKeyA,"&lt;"&amp;$B868)+COUNTIFS(LdgPartyB,$A868,LdgKeyB,"&lt;"&amp;$B868)+1)</f>
        <v/>
      </c>
      <c r="D868">
        <f>IF($C868="","",$A868&amp;"|"&amp;RIGHT("000000"&amp;$C868,6))</f>
        <v/>
      </c>
      <c r="F868">
        <f>IF(Sync!$AJ868="","",Sync!$AJ868)</f>
        <v/>
      </c>
      <c r="G868">
        <f>IF($F868="","",IF(Sync!$AG868="","",IF(ISNUMBER(Sync!$AG868),IF(AND(Sync!$AG868&gt;=10000101,Sync!$AG868&lt;=99991231),INT(Sync!$AG868/10000),""),IFERROR(VALUE(TRIM(LEFT(Sync!$AG868,FIND("/",Sync!$AG868)-1))),""))))</f>
        <v/>
      </c>
      <c r="H868">
        <f>IF(OR($F868="",$G868=""),"",IF(ISNUMBER(Sync!$AG868),INT(MOD(Sync!$AG868,10000)/100),IFERROR(VALUE(TRIM(LEFT(MID(Sync!$AG868,FIND("/",Sync!$AG868)+1,20),FIND("/",MID(Sync!$AG868,FIND("/",Sync!$AG868)+1,20))-1))),"")))</f>
        <v/>
      </c>
      <c r="I868">
        <f>IF(OR($F868="",$G868=""),"",IF(ISNUMBER(Sync!$AG868),MOD(Sync!$AG868,100),IFERROR(VALUE(TRIM(MID(MID(Sync!$AG868,FIND("/",Sync!$AG868)+1,20),FIND("/",MID(Sync!$AG868,FIND("/",Sync!$AG868)+1,20))+1,20))),"")))</f>
        <v/>
      </c>
      <c r="J868">
        <f>IF($F868="","",IF(OR($G868="",$H868="",$I868="",$G868&lt;1300,$G868&gt;1500,$H868&lt;1,$H868&gt;12,$I868&lt;1,$I868&gt;31),"نامعتبر",RIGHT("0000"&amp;$G868,4)&amp;"/"&amp;RIGHT("00"&amp;$H868,2)&amp;"/"&amp;RIGHT("00"&amp;$I868,2)))</f>
        <v/>
      </c>
      <c r="K868">
        <f>IF(OR($F868="",$J868="",$J868="نامعتبر"),"",LEFT($J868,4)&amp;MID($J868,6,2)&amp;RIGHT($J868,2)&amp;$N868&amp;"|"&amp;"2"&amp;RIGHT("00000"&amp;863,5))</f>
        <v/>
      </c>
      <c r="L868">
        <f>IF($K868="","",COUNTIFS(LdgPartyA,$F868,LdgKeyA,"&lt;"&amp;$K868)+COUNTIFS(LdgPartyB,$F868,LdgKeyB,"&lt;"&amp;$K868)+1)</f>
        <v/>
      </c>
      <c r="M868">
        <f>IF($L868="","",$F868&amp;"|"&amp;RIGHT("000000"&amp;$L868,6))</f>
        <v/>
      </c>
      <c r="N868">
        <f>IF($F868="","",IF(Sync!$AH868="","0000",IF(AND(ISNUMBER(Sync!$AH868),Sync!$AH868&gt;=0,Sync!$AH868&lt;1),RIGHT("00"&amp;HOUR(Sync!$AH868),2)&amp;RIGHT("00"&amp;MINUTE(Sync!$AH868),2),IFERROR(RIGHT("00"&amp;VALUE(LEFT(Sync!$AH868,FIND(":",Sync!$AH868)-1)),2)&amp;RIGHT("00"&amp;VALUE(MID(Sync!$AH868,FIND(":",Sync!$AH868)+1,2)),2),"0000"))))</f>
        <v/>
      </c>
    </row>
    <row r="869">
      <c r="A869">
        <f>IF(OR(Calc!$E872="",Calc!$E872="نامعتبر",Calc!$G872="",Calc!$I872&lt;&gt;"خرید"),"",Calc!$G872)</f>
        <v/>
      </c>
      <c r="B869">
        <f>IF($A869="","",LEFT(Calc!$E872,4)&amp;MID(Calc!$E872,6,2)&amp;RIGHT(Calc!$E872,2)&amp;Calc!$R872&amp;"|"&amp;"1"&amp;RIGHT("00000"&amp;864,5))</f>
        <v/>
      </c>
      <c r="C869">
        <f>IF($B869="","",COUNTIFS(LdgPartyA,$A869,LdgKeyA,"&lt;"&amp;$B869)+COUNTIFS(LdgPartyB,$A869,LdgKeyB,"&lt;"&amp;$B869)+1)</f>
        <v/>
      </c>
      <c r="D869">
        <f>IF($C869="","",$A869&amp;"|"&amp;RIGHT("000000"&amp;$C869,6))</f>
        <v/>
      </c>
      <c r="F869">
        <f>IF(Sync!$AJ869="","",Sync!$AJ869)</f>
        <v/>
      </c>
      <c r="G869">
        <f>IF($F869="","",IF(Sync!$AG869="","",IF(ISNUMBER(Sync!$AG869),IF(AND(Sync!$AG869&gt;=10000101,Sync!$AG869&lt;=99991231),INT(Sync!$AG869/10000),""),IFERROR(VALUE(TRIM(LEFT(Sync!$AG869,FIND("/",Sync!$AG869)-1))),""))))</f>
        <v/>
      </c>
      <c r="H869">
        <f>IF(OR($F869="",$G869=""),"",IF(ISNUMBER(Sync!$AG869),INT(MOD(Sync!$AG869,10000)/100),IFERROR(VALUE(TRIM(LEFT(MID(Sync!$AG869,FIND("/",Sync!$AG869)+1,20),FIND("/",MID(Sync!$AG869,FIND("/",Sync!$AG869)+1,20))-1))),"")))</f>
        <v/>
      </c>
      <c r="I869">
        <f>IF(OR($F869="",$G869=""),"",IF(ISNUMBER(Sync!$AG869),MOD(Sync!$AG869,100),IFERROR(VALUE(TRIM(MID(MID(Sync!$AG869,FIND("/",Sync!$AG869)+1,20),FIND("/",MID(Sync!$AG869,FIND("/",Sync!$AG869)+1,20))+1,20))),"")))</f>
        <v/>
      </c>
      <c r="J869">
        <f>IF($F869="","",IF(OR($G869="",$H869="",$I869="",$G869&lt;1300,$G869&gt;1500,$H869&lt;1,$H869&gt;12,$I869&lt;1,$I869&gt;31),"نامعتبر",RIGHT("0000"&amp;$G869,4)&amp;"/"&amp;RIGHT("00"&amp;$H869,2)&amp;"/"&amp;RIGHT("00"&amp;$I869,2)))</f>
        <v/>
      </c>
      <c r="K869">
        <f>IF(OR($F869="",$J869="",$J869="نامعتبر"),"",LEFT($J869,4)&amp;MID($J869,6,2)&amp;RIGHT($J869,2)&amp;$N869&amp;"|"&amp;"2"&amp;RIGHT("00000"&amp;864,5))</f>
        <v/>
      </c>
      <c r="L869">
        <f>IF($K869="","",COUNTIFS(LdgPartyA,$F869,LdgKeyA,"&lt;"&amp;$K869)+COUNTIFS(LdgPartyB,$F869,LdgKeyB,"&lt;"&amp;$K869)+1)</f>
        <v/>
      </c>
      <c r="M869">
        <f>IF($L869="","",$F869&amp;"|"&amp;RIGHT("000000"&amp;$L869,6))</f>
        <v/>
      </c>
      <c r="N869">
        <f>IF($F869="","",IF(Sync!$AH869="","0000",IF(AND(ISNUMBER(Sync!$AH869),Sync!$AH869&gt;=0,Sync!$AH869&lt;1),RIGHT("00"&amp;HOUR(Sync!$AH869),2)&amp;RIGHT("00"&amp;MINUTE(Sync!$AH869),2),IFERROR(RIGHT("00"&amp;VALUE(LEFT(Sync!$AH869,FIND(":",Sync!$AH869)-1)),2)&amp;RIGHT("00"&amp;VALUE(MID(Sync!$AH869,FIND(":",Sync!$AH869)+1,2)),2),"0000"))))</f>
        <v/>
      </c>
    </row>
    <row r="870">
      <c r="A870">
        <f>IF(OR(Calc!$E873="",Calc!$E873="نامعتبر",Calc!$G873="",Calc!$I873&lt;&gt;"خرید"),"",Calc!$G873)</f>
        <v/>
      </c>
      <c r="B870">
        <f>IF($A870="","",LEFT(Calc!$E873,4)&amp;MID(Calc!$E873,6,2)&amp;RIGHT(Calc!$E873,2)&amp;Calc!$R873&amp;"|"&amp;"1"&amp;RIGHT("00000"&amp;865,5))</f>
        <v/>
      </c>
      <c r="C870">
        <f>IF($B870="","",COUNTIFS(LdgPartyA,$A870,LdgKeyA,"&lt;"&amp;$B870)+COUNTIFS(LdgPartyB,$A870,LdgKeyB,"&lt;"&amp;$B870)+1)</f>
        <v/>
      </c>
      <c r="D870">
        <f>IF($C870="","",$A870&amp;"|"&amp;RIGHT("000000"&amp;$C870,6))</f>
        <v/>
      </c>
      <c r="F870">
        <f>IF(Sync!$AJ870="","",Sync!$AJ870)</f>
        <v/>
      </c>
      <c r="G870">
        <f>IF($F870="","",IF(Sync!$AG870="","",IF(ISNUMBER(Sync!$AG870),IF(AND(Sync!$AG870&gt;=10000101,Sync!$AG870&lt;=99991231),INT(Sync!$AG870/10000),""),IFERROR(VALUE(TRIM(LEFT(Sync!$AG870,FIND("/",Sync!$AG870)-1))),""))))</f>
        <v/>
      </c>
      <c r="H870">
        <f>IF(OR($F870="",$G870=""),"",IF(ISNUMBER(Sync!$AG870),INT(MOD(Sync!$AG870,10000)/100),IFERROR(VALUE(TRIM(LEFT(MID(Sync!$AG870,FIND("/",Sync!$AG870)+1,20),FIND("/",MID(Sync!$AG870,FIND("/",Sync!$AG870)+1,20))-1))),"")))</f>
        <v/>
      </c>
      <c r="I870">
        <f>IF(OR($F870="",$G870=""),"",IF(ISNUMBER(Sync!$AG870),MOD(Sync!$AG870,100),IFERROR(VALUE(TRIM(MID(MID(Sync!$AG870,FIND("/",Sync!$AG870)+1,20),FIND("/",MID(Sync!$AG870,FIND("/",Sync!$AG870)+1,20))+1,20))),"")))</f>
        <v/>
      </c>
      <c r="J870">
        <f>IF($F870="","",IF(OR($G870="",$H870="",$I870="",$G870&lt;1300,$G870&gt;1500,$H870&lt;1,$H870&gt;12,$I870&lt;1,$I870&gt;31),"نامعتبر",RIGHT("0000"&amp;$G870,4)&amp;"/"&amp;RIGHT("00"&amp;$H870,2)&amp;"/"&amp;RIGHT("00"&amp;$I870,2)))</f>
        <v/>
      </c>
      <c r="K870">
        <f>IF(OR($F870="",$J870="",$J870="نامعتبر"),"",LEFT($J870,4)&amp;MID($J870,6,2)&amp;RIGHT($J870,2)&amp;$N870&amp;"|"&amp;"2"&amp;RIGHT("00000"&amp;865,5))</f>
        <v/>
      </c>
      <c r="L870">
        <f>IF($K870="","",COUNTIFS(LdgPartyA,$F870,LdgKeyA,"&lt;"&amp;$K870)+COUNTIFS(LdgPartyB,$F870,LdgKeyB,"&lt;"&amp;$K870)+1)</f>
        <v/>
      </c>
      <c r="M870">
        <f>IF($L870="","",$F870&amp;"|"&amp;RIGHT("000000"&amp;$L870,6))</f>
        <v/>
      </c>
      <c r="N870">
        <f>IF($F870="","",IF(Sync!$AH870="","0000",IF(AND(ISNUMBER(Sync!$AH870),Sync!$AH870&gt;=0,Sync!$AH870&lt;1),RIGHT("00"&amp;HOUR(Sync!$AH870),2)&amp;RIGHT("00"&amp;MINUTE(Sync!$AH870),2),IFERROR(RIGHT("00"&amp;VALUE(LEFT(Sync!$AH870,FIND(":",Sync!$AH870)-1)),2)&amp;RIGHT("00"&amp;VALUE(MID(Sync!$AH870,FIND(":",Sync!$AH870)+1,2)),2),"0000"))))</f>
        <v/>
      </c>
    </row>
    <row r="871">
      <c r="A871">
        <f>IF(OR(Calc!$E874="",Calc!$E874="نامعتبر",Calc!$G874="",Calc!$I874&lt;&gt;"خرید"),"",Calc!$G874)</f>
        <v/>
      </c>
      <c r="B871">
        <f>IF($A871="","",LEFT(Calc!$E874,4)&amp;MID(Calc!$E874,6,2)&amp;RIGHT(Calc!$E874,2)&amp;Calc!$R874&amp;"|"&amp;"1"&amp;RIGHT("00000"&amp;866,5))</f>
        <v/>
      </c>
      <c r="C871">
        <f>IF($B871="","",COUNTIFS(LdgPartyA,$A871,LdgKeyA,"&lt;"&amp;$B871)+COUNTIFS(LdgPartyB,$A871,LdgKeyB,"&lt;"&amp;$B871)+1)</f>
        <v/>
      </c>
      <c r="D871">
        <f>IF($C871="","",$A871&amp;"|"&amp;RIGHT("000000"&amp;$C871,6))</f>
        <v/>
      </c>
      <c r="F871">
        <f>IF(Sync!$AJ871="","",Sync!$AJ871)</f>
        <v/>
      </c>
      <c r="G871">
        <f>IF($F871="","",IF(Sync!$AG871="","",IF(ISNUMBER(Sync!$AG871),IF(AND(Sync!$AG871&gt;=10000101,Sync!$AG871&lt;=99991231),INT(Sync!$AG871/10000),""),IFERROR(VALUE(TRIM(LEFT(Sync!$AG871,FIND("/",Sync!$AG871)-1))),""))))</f>
        <v/>
      </c>
      <c r="H871">
        <f>IF(OR($F871="",$G871=""),"",IF(ISNUMBER(Sync!$AG871),INT(MOD(Sync!$AG871,10000)/100),IFERROR(VALUE(TRIM(LEFT(MID(Sync!$AG871,FIND("/",Sync!$AG871)+1,20),FIND("/",MID(Sync!$AG871,FIND("/",Sync!$AG871)+1,20))-1))),"")))</f>
        <v/>
      </c>
      <c r="I871">
        <f>IF(OR($F871="",$G871=""),"",IF(ISNUMBER(Sync!$AG871),MOD(Sync!$AG871,100),IFERROR(VALUE(TRIM(MID(MID(Sync!$AG871,FIND("/",Sync!$AG871)+1,20),FIND("/",MID(Sync!$AG871,FIND("/",Sync!$AG871)+1,20))+1,20))),"")))</f>
        <v/>
      </c>
      <c r="J871">
        <f>IF($F871="","",IF(OR($G871="",$H871="",$I871="",$G871&lt;1300,$G871&gt;1500,$H871&lt;1,$H871&gt;12,$I871&lt;1,$I871&gt;31),"نامعتبر",RIGHT("0000"&amp;$G871,4)&amp;"/"&amp;RIGHT("00"&amp;$H871,2)&amp;"/"&amp;RIGHT("00"&amp;$I871,2)))</f>
        <v/>
      </c>
      <c r="K871">
        <f>IF(OR($F871="",$J871="",$J871="نامعتبر"),"",LEFT($J871,4)&amp;MID($J871,6,2)&amp;RIGHT($J871,2)&amp;$N871&amp;"|"&amp;"2"&amp;RIGHT("00000"&amp;866,5))</f>
        <v/>
      </c>
      <c r="L871">
        <f>IF($K871="","",COUNTIFS(LdgPartyA,$F871,LdgKeyA,"&lt;"&amp;$K871)+COUNTIFS(LdgPartyB,$F871,LdgKeyB,"&lt;"&amp;$K871)+1)</f>
        <v/>
      </c>
      <c r="M871">
        <f>IF($L871="","",$F871&amp;"|"&amp;RIGHT("000000"&amp;$L871,6))</f>
        <v/>
      </c>
      <c r="N871">
        <f>IF($F871="","",IF(Sync!$AH871="","0000",IF(AND(ISNUMBER(Sync!$AH871),Sync!$AH871&gt;=0,Sync!$AH871&lt;1),RIGHT("00"&amp;HOUR(Sync!$AH871),2)&amp;RIGHT("00"&amp;MINUTE(Sync!$AH871),2),IFERROR(RIGHT("00"&amp;VALUE(LEFT(Sync!$AH871,FIND(":",Sync!$AH871)-1)),2)&amp;RIGHT("00"&amp;VALUE(MID(Sync!$AH871,FIND(":",Sync!$AH871)+1,2)),2),"0000"))))</f>
        <v/>
      </c>
    </row>
    <row r="872">
      <c r="A872">
        <f>IF(OR(Calc!$E875="",Calc!$E875="نامعتبر",Calc!$G875="",Calc!$I875&lt;&gt;"خرید"),"",Calc!$G875)</f>
        <v/>
      </c>
      <c r="B872">
        <f>IF($A872="","",LEFT(Calc!$E875,4)&amp;MID(Calc!$E875,6,2)&amp;RIGHT(Calc!$E875,2)&amp;Calc!$R875&amp;"|"&amp;"1"&amp;RIGHT("00000"&amp;867,5))</f>
        <v/>
      </c>
      <c r="C872">
        <f>IF($B872="","",COUNTIFS(LdgPartyA,$A872,LdgKeyA,"&lt;"&amp;$B872)+COUNTIFS(LdgPartyB,$A872,LdgKeyB,"&lt;"&amp;$B872)+1)</f>
        <v/>
      </c>
      <c r="D872">
        <f>IF($C872="","",$A872&amp;"|"&amp;RIGHT("000000"&amp;$C872,6))</f>
        <v/>
      </c>
      <c r="F872">
        <f>IF(Sync!$AJ872="","",Sync!$AJ872)</f>
        <v/>
      </c>
      <c r="G872">
        <f>IF($F872="","",IF(Sync!$AG872="","",IF(ISNUMBER(Sync!$AG872),IF(AND(Sync!$AG872&gt;=10000101,Sync!$AG872&lt;=99991231),INT(Sync!$AG872/10000),""),IFERROR(VALUE(TRIM(LEFT(Sync!$AG872,FIND("/",Sync!$AG872)-1))),""))))</f>
        <v/>
      </c>
      <c r="H872">
        <f>IF(OR($F872="",$G872=""),"",IF(ISNUMBER(Sync!$AG872),INT(MOD(Sync!$AG872,10000)/100),IFERROR(VALUE(TRIM(LEFT(MID(Sync!$AG872,FIND("/",Sync!$AG872)+1,20),FIND("/",MID(Sync!$AG872,FIND("/",Sync!$AG872)+1,20))-1))),"")))</f>
        <v/>
      </c>
      <c r="I872">
        <f>IF(OR($F872="",$G872=""),"",IF(ISNUMBER(Sync!$AG872),MOD(Sync!$AG872,100),IFERROR(VALUE(TRIM(MID(MID(Sync!$AG872,FIND("/",Sync!$AG872)+1,20),FIND("/",MID(Sync!$AG872,FIND("/",Sync!$AG872)+1,20))+1,20))),"")))</f>
        <v/>
      </c>
      <c r="J872">
        <f>IF($F872="","",IF(OR($G872="",$H872="",$I872="",$G872&lt;1300,$G872&gt;1500,$H872&lt;1,$H872&gt;12,$I872&lt;1,$I872&gt;31),"نامعتبر",RIGHT("0000"&amp;$G872,4)&amp;"/"&amp;RIGHT("00"&amp;$H872,2)&amp;"/"&amp;RIGHT("00"&amp;$I872,2)))</f>
        <v/>
      </c>
      <c r="K872">
        <f>IF(OR($F872="",$J872="",$J872="نامعتبر"),"",LEFT($J872,4)&amp;MID($J872,6,2)&amp;RIGHT($J872,2)&amp;$N872&amp;"|"&amp;"2"&amp;RIGHT("00000"&amp;867,5))</f>
        <v/>
      </c>
      <c r="L872">
        <f>IF($K872="","",COUNTIFS(LdgPartyA,$F872,LdgKeyA,"&lt;"&amp;$K872)+COUNTIFS(LdgPartyB,$F872,LdgKeyB,"&lt;"&amp;$K872)+1)</f>
        <v/>
      </c>
      <c r="M872">
        <f>IF($L872="","",$F872&amp;"|"&amp;RIGHT("000000"&amp;$L872,6))</f>
        <v/>
      </c>
      <c r="N872">
        <f>IF($F872="","",IF(Sync!$AH872="","0000",IF(AND(ISNUMBER(Sync!$AH872),Sync!$AH872&gt;=0,Sync!$AH872&lt;1),RIGHT("00"&amp;HOUR(Sync!$AH872),2)&amp;RIGHT("00"&amp;MINUTE(Sync!$AH872),2),IFERROR(RIGHT("00"&amp;VALUE(LEFT(Sync!$AH872,FIND(":",Sync!$AH872)-1)),2)&amp;RIGHT("00"&amp;VALUE(MID(Sync!$AH872,FIND(":",Sync!$AH872)+1,2)),2),"0000"))))</f>
        <v/>
      </c>
    </row>
    <row r="873">
      <c r="A873">
        <f>IF(OR(Calc!$E876="",Calc!$E876="نامعتبر",Calc!$G876="",Calc!$I876&lt;&gt;"خرید"),"",Calc!$G876)</f>
        <v/>
      </c>
      <c r="B873">
        <f>IF($A873="","",LEFT(Calc!$E876,4)&amp;MID(Calc!$E876,6,2)&amp;RIGHT(Calc!$E876,2)&amp;Calc!$R876&amp;"|"&amp;"1"&amp;RIGHT("00000"&amp;868,5))</f>
        <v/>
      </c>
      <c r="C873">
        <f>IF($B873="","",COUNTIFS(LdgPartyA,$A873,LdgKeyA,"&lt;"&amp;$B873)+COUNTIFS(LdgPartyB,$A873,LdgKeyB,"&lt;"&amp;$B873)+1)</f>
        <v/>
      </c>
      <c r="D873">
        <f>IF($C873="","",$A873&amp;"|"&amp;RIGHT("000000"&amp;$C873,6))</f>
        <v/>
      </c>
      <c r="F873">
        <f>IF(Sync!$AJ873="","",Sync!$AJ873)</f>
        <v/>
      </c>
      <c r="G873">
        <f>IF($F873="","",IF(Sync!$AG873="","",IF(ISNUMBER(Sync!$AG873),IF(AND(Sync!$AG873&gt;=10000101,Sync!$AG873&lt;=99991231),INT(Sync!$AG873/10000),""),IFERROR(VALUE(TRIM(LEFT(Sync!$AG873,FIND("/",Sync!$AG873)-1))),""))))</f>
        <v/>
      </c>
      <c r="H873">
        <f>IF(OR($F873="",$G873=""),"",IF(ISNUMBER(Sync!$AG873),INT(MOD(Sync!$AG873,10000)/100),IFERROR(VALUE(TRIM(LEFT(MID(Sync!$AG873,FIND("/",Sync!$AG873)+1,20),FIND("/",MID(Sync!$AG873,FIND("/",Sync!$AG873)+1,20))-1))),"")))</f>
        <v/>
      </c>
      <c r="I873">
        <f>IF(OR($F873="",$G873=""),"",IF(ISNUMBER(Sync!$AG873),MOD(Sync!$AG873,100),IFERROR(VALUE(TRIM(MID(MID(Sync!$AG873,FIND("/",Sync!$AG873)+1,20),FIND("/",MID(Sync!$AG873,FIND("/",Sync!$AG873)+1,20))+1,20))),"")))</f>
        <v/>
      </c>
      <c r="J873">
        <f>IF($F873="","",IF(OR($G873="",$H873="",$I873="",$G873&lt;1300,$G873&gt;1500,$H873&lt;1,$H873&gt;12,$I873&lt;1,$I873&gt;31),"نامعتبر",RIGHT("0000"&amp;$G873,4)&amp;"/"&amp;RIGHT("00"&amp;$H873,2)&amp;"/"&amp;RIGHT("00"&amp;$I873,2)))</f>
        <v/>
      </c>
      <c r="K873">
        <f>IF(OR($F873="",$J873="",$J873="نامعتبر"),"",LEFT($J873,4)&amp;MID($J873,6,2)&amp;RIGHT($J873,2)&amp;$N873&amp;"|"&amp;"2"&amp;RIGHT("00000"&amp;868,5))</f>
        <v/>
      </c>
      <c r="L873">
        <f>IF($K873="","",COUNTIFS(LdgPartyA,$F873,LdgKeyA,"&lt;"&amp;$K873)+COUNTIFS(LdgPartyB,$F873,LdgKeyB,"&lt;"&amp;$K873)+1)</f>
        <v/>
      </c>
      <c r="M873">
        <f>IF($L873="","",$F873&amp;"|"&amp;RIGHT("000000"&amp;$L873,6))</f>
        <v/>
      </c>
      <c r="N873">
        <f>IF($F873="","",IF(Sync!$AH873="","0000",IF(AND(ISNUMBER(Sync!$AH873),Sync!$AH873&gt;=0,Sync!$AH873&lt;1),RIGHT("00"&amp;HOUR(Sync!$AH873),2)&amp;RIGHT("00"&amp;MINUTE(Sync!$AH873),2),IFERROR(RIGHT("00"&amp;VALUE(LEFT(Sync!$AH873,FIND(":",Sync!$AH873)-1)),2)&amp;RIGHT("00"&amp;VALUE(MID(Sync!$AH873,FIND(":",Sync!$AH873)+1,2)),2),"0000"))))</f>
        <v/>
      </c>
    </row>
    <row r="874">
      <c r="A874">
        <f>IF(OR(Calc!$E877="",Calc!$E877="نامعتبر",Calc!$G877="",Calc!$I877&lt;&gt;"خرید"),"",Calc!$G877)</f>
        <v/>
      </c>
      <c r="B874">
        <f>IF($A874="","",LEFT(Calc!$E877,4)&amp;MID(Calc!$E877,6,2)&amp;RIGHT(Calc!$E877,2)&amp;Calc!$R877&amp;"|"&amp;"1"&amp;RIGHT("00000"&amp;869,5))</f>
        <v/>
      </c>
      <c r="C874">
        <f>IF($B874="","",COUNTIFS(LdgPartyA,$A874,LdgKeyA,"&lt;"&amp;$B874)+COUNTIFS(LdgPartyB,$A874,LdgKeyB,"&lt;"&amp;$B874)+1)</f>
        <v/>
      </c>
      <c r="D874">
        <f>IF($C874="","",$A874&amp;"|"&amp;RIGHT("000000"&amp;$C874,6))</f>
        <v/>
      </c>
      <c r="F874">
        <f>IF(Sync!$AJ874="","",Sync!$AJ874)</f>
        <v/>
      </c>
      <c r="G874">
        <f>IF($F874="","",IF(Sync!$AG874="","",IF(ISNUMBER(Sync!$AG874),IF(AND(Sync!$AG874&gt;=10000101,Sync!$AG874&lt;=99991231),INT(Sync!$AG874/10000),""),IFERROR(VALUE(TRIM(LEFT(Sync!$AG874,FIND("/",Sync!$AG874)-1))),""))))</f>
        <v/>
      </c>
      <c r="H874">
        <f>IF(OR($F874="",$G874=""),"",IF(ISNUMBER(Sync!$AG874),INT(MOD(Sync!$AG874,10000)/100),IFERROR(VALUE(TRIM(LEFT(MID(Sync!$AG874,FIND("/",Sync!$AG874)+1,20),FIND("/",MID(Sync!$AG874,FIND("/",Sync!$AG874)+1,20))-1))),"")))</f>
        <v/>
      </c>
      <c r="I874">
        <f>IF(OR($F874="",$G874=""),"",IF(ISNUMBER(Sync!$AG874),MOD(Sync!$AG874,100),IFERROR(VALUE(TRIM(MID(MID(Sync!$AG874,FIND("/",Sync!$AG874)+1,20),FIND("/",MID(Sync!$AG874,FIND("/",Sync!$AG874)+1,20))+1,20))),"")))</f>
        <v/>
      </c>
      <c r="J874">
        <f>IF($F874="","",IF(OR($G874="",$H874="",$I874="",$G874&lt;1300,$G874&gt;1500,$H874&lt;1,$H874&gt;12,$I874&lt;1,$I874&gt;31),"نامعتبر",RIGHT("0000"&amp;$G874,4)&amp;"/"&amp;RIGHT("00"&amp;$H874,2)&amp;"/"&amp;RIGHT("00"&amp;$I874,2)))</f>
        <v/>
      </c>
      <c r="K874">
        <f>IF(OR($F874="",$J874="",$J874="نامعتبر"),"",LEFT($J874,4)&amp;MID($J874,6,2)&amp;RIGHT($J874,2)&amp;$N874&amp;"|"&amp;"2"&amp;RIGHT("00000"&amp;869,5))</f>
        <v/>
      </c>
      <c r="L874">
        <f>IF($K874="","",COUNTIFS(LdgPartyA,$F874,LdgKeyA,"&lt;"&amp;$K874)+COUNTIFS(LdgPartyB,$F874,LdgKeyB,"&lt;"&amp;$K874)+1)</f>
        <v/>
      </c>
      <c r="M874">
        <f>IF($L874="","",$F874&amp;"|"&amp;RIGHT("000000"&amp;$L874,6))</f>
        <v/>
      </c>
      <c r="N874">
        <f>IF($F874="","",IF(Sync!$AH874="","0000",IF(AND(ISNUMBER(Sync!$AH874),Sync!$AH874&gt;=0,Sync!$AH874&lt;1),RIGHT("00"&amp;HOUR(Sync!$AH874),2)&amp;RIGHT("00"&amp;MINUTE(Sync!$AH874),2),IFERROR(RIGHT("00"&amp;VALUE(LEFT(Sync!$AH874,FIND(":",Sync!$AH874)-1)),2)&amp;RIGHT("00"&amp;VALUE(MID(Sync!$AH874,FIND(":",Sync!$AH874)+1,2)),2),"0000"))))</f>
        <v/>
      </c>
    </row>
    <row r="875">
      <c r="A875">
        <f>IF(OR(Calc!$E878="",Calc!$E878="نامعتبر",Calc!$G878="",Calc!$I878&lt;&gt;"خرید"),"",Calc!$G878)</f>
        <v/>
      </c>
      <c r="B875">
        <f>IF($A875="","",LEFT(Calc!$E878,4)&amp;MID(Calc!$E878,6,2)&amp;RIGHT(Calc!$E878,2)&amp;Calc!$R878&amp;"|"&amp;"1"&amp;RIGHT("00000"&amp;870,5))</f>
        <v/>
      </c>
      <c r="C875">
        <f>IF($B875="","",COUNTIFS(LdgPartyA,$A875,LdgKeyA,"&lt;"&amp;$B875)+COUNTIFS(LdgPartyB,$A875,LdgKeyB,"&lt;"&amp;$B875)+1)</f>
        <v/>
      </c>
      <c r="D875">
        <f>IF($C875="","",$A875&amp;"|"&amp;RIGHT("000000"&amp;$C875,6))</f>
        <v/>
      </c>
      <c r="F875">
        <f>IF(Sync!$AJ875="","",Sync!$AJ875)</f>
        <v/>
      </c>
      <c r="G875">
        <f>IF($F875="","",IF(Sync!$AG875="","",IF(ISNUMBER(Sync!$AG875),IF(AND(Sync!$AG875&gt;=10000101,Sync!$AG875&lt;=99991231),INT(Sync!$AG875/10000),""),IFERROR(VALUE(TRIM(LEFT(Sync!$AG875,FIND("/",Sync!$AG875)-1))),""))))</f>
        <v/>
      </c>
      <c r="H875">
        <f>IF(OR($F875="",$G875=""),"",IF(ISNUMBER(Sync!$AG875),INT(MOD(Sync!$AG875,10000)/100),IFERROR(VALUE(TRIM(LEFT(MID(Sync!$AG875,FIND("/",Sync!$AG875)+1,20),FIND("/",MID(Sync!$AG875,FIND("/",Sync!$AG875)+1,20))-1))),"")))</f>
        <v/>
      </c>
      <c r="I875">
        <f>IF(OR($F875="",$G875=""),"",IF(ISNUMBER(Sync!$AG875),MOD(Sync!$AG875,100),IFERROR(VALUE(TRIM(MID(MID(Sync!$AG875,FIND("/",Sync!$AG875)+1,20),FIND("/",MID(Sync!$AG875,FIND("/",Sync!$AG875)+1,20))+1,20))),"")))</f>
        <v/>
      </c>
      <c r="J875">
        <f>IF($F875="","",IF(OR($G875="",$H875="",$I875="",$G875&lt;1300,$G875&gt;1500,$H875&lt;1,$H875&gt;12,$I875&lt;1,$I875&gt;31),"نامعتبر",RIGHT("0000"&amp;$G875,4)&amp;"/"&amp;RIGHT("00"&amp;$H875,2)&amp;"/"&amp;RIGHT("00"&amp;$I875,2)))</f>
        <v/>
      </c>
      <c r="K875">
        <f>IF(OR($F875="",$J875="",$J875="نامعتبر"),"",LEFT($J875,4)&amp;MID($J875,6,2)&amp;RIGHT($J875,2)&amp;$N875&amp;"|"&amp;"2"&amp;RIGHT("00000"&amp;870,5))</f>
        <v/>
      </c>
      <c r="L875">
        <f>IF($K875="","",COUNTIFS(LdgPartyA,$F875,LdgKeyA,"&lt;"&amp;$K875)+COUNTIFS(LdgPartyB,$F875,LdgKeyB,"&lt;"&amp;$K875)+1)</f>
        <v/>
      </c>
      <c r="M875">
        <f>IF($L875="","",$F875&amp;"|"&amp;RIGHT("000000"&amp;$L875,6))</f>
        <v/>
      </c>
      <c r="N875">
        <f>IF($F875="","",IF(Sync!$AH875="","0000",IF(AND(ISNUMBER(Sync!$AH875),Sync!$AH875&gt;=0,Sync!$AH875&lt;1),RIGHT("00"&amp;HOUR(Sync!$AH875),2)&amp;RIGHT("00"&amp;MINUTE(Sync!$AH875),2),IFERROR(RIGHT("00"&amp;VALUE(LEFT(Sync!$AH875,FIND(":",Sync!$AH875)-1)),2)&amp;RIGHT("00"&amp;VALUE(MID(Sync!$AH875,FIND(":",Sync!$AH875)+1,2)),2),"0000"))))</f>
        <v/>
      </c>
    </row>
    <row r="876">
      <c r="A876">
        <f>IF(OR(Calc!$E879="",Calc!$E879="نامعتبر",Calc!$G879="",Calc!$I879&lt;&gt;"خرید"),"",Calc!$G879)</f>
        <v/>
      </c>
      <c r="B876">
        <f>IF($A876="","",LEFT(Calc!$E879,4)&amp;MID(Calc!$E879,6,2)&amp;RIGHT(Calc!$E879,2)&amp;Calc!$R879&amp;"|"&amp;"1"&amp;RIGHT("00000"&amp;871,5))</f>
        <v/>
      </c>
      <c r="C876">
        <f>IF($B876="","",COUNTIFS(LdgPartyA,$A876,LdgKeyA,"&lt;"&amp;$B876)+COUNTIFS(LdgPartyB,$A876,LdgKeyB,"&lt;"&amp;$B876)+1)</f>
        <v/>
      </c>
      <c r="D876">
        <f>IF($C876="","",$A876&amp;"|"&amp;RIGHT("000000"&amp;$C876,6))</f>
        <v/>
      </c>
      <c r="F876">
        <f>IF(Sync!$AJ876="","",Sync!$AJ876)</f>
        <v/>
      </c>
      <c r="G876">
        <f>IF($F876="","",IF(Sync!$AG876="","",IF(ISNUMBER(Sync!$AG876),IF(AND(Sync!$AG876&gt;=10000101,Sync!$AG876&lt;=99991231),INT(Sync!$AG876/10000),""),IFERROR(VALUE(TRIM(LEFT(Sync!$AG876,FIND("/",Sync!$AG876)-1))),""))))</f>
        <v/>
      </c>
      <c r="H876">
        <f>IF(OR($F876="",$G876=""),"",IF(ISNUMBER(Sync!$AG876),INT(MOD(Sync!$AG876,10000)/100),IFERROR(VALUE(TRIM(LEFT(MID(Sync!$AG876,FIND("/",Sync!$AG876)+1,20),FIND("/",MID(Sync!$AG876,FIND("/",Sync!$AG876)+1,20))-1))),"")))</f>
        <v/>
      </c>
      <c r="I876">
        <f>IF(OR($F876="",$G876=""),"",IF(ISNUMBER(Sync!$AG876),MOD(Sync!$AG876,100),IFERROR(VALUE(TRIM(MID(MID(Sync!$AG876,FIND("/",Sync!$AG876)+1,20),FIND("/",MID(Sync!$AG876,FIND("/",Sync!$AG876)+1,20))+1,20))),"")))</f>
        <v/>
      </c>
      <c r="J876">
        <f>IF($F876="","",IF(OR($G876="",$H876="",$I876="",$G876&lt;1300,$G876&gt;1500,$H876&lt;1,$H876&gt;12,$I876&lt;1,$I876&gt;31),"نامعتبر",RIGHT("0000"&amp;$G876,4)&amp;"/"&amp;RIGHT("00"&amp;$H876,2)&amp;"/"&amp;RIGHT("00"&amp;$I876,2)))</f>
        <v/>
      </c>
      <c r="K876">
        <f>IF(OR($F876="",$J876="",$J876="نامعتبر"),"",LEFT($J876,4)&amp;MID($J876,6,2)&amp;RIGHT($J876,2)&amp;$N876&amp;"|"&amp;"2"&amp;RIGHT("00000"&amp;871,5))</f>
        <v/>
      </c>
      <c r="L876">
        <f>IF($K876="","",COUNTIFS(LdgPartyA,$F876,LdgKeyA,"&lt;"&amp;$K876)+COUNTIFS(LdgPartyB,$F876,LdgKeyB,"&lt;"&amp;$K876)+1)</f>
        <v/>
      </c>
      <c r="M876">
        <f>IF($L876="","",$F876&amp;"|"&amp;RIGHT("000000"&amp;$L876,6))</f>
        <v/>
      </c>
      <c r="N876">
        <f>IF($F876="","",IF(Sync!$AH876="","0000",IF(AND(ISNUMBER(Sync!$AH876),Sync!$AH876&gt;=0,Sync!$AH876&lt;1),RIGHT("00"&amp;HOUR(Sync!$AH876),2)&amp;RIGHT("00"&amp;MINUTE(Sync!$AH876),2),IFERROR(RIGHT("00"&amp;VALUE(LEFT(Sync!$AH876,FIND(":",Sync!$AH876)-1)),2)&amp;RIGHT("00"&amp;VALUE(MID(Sync!$AH876,FIND(":",Sync!$AH876)+1,2)),2),"0000"))))</f>
        <v/>
      </c>
    </row>
    <row r="877">
      <c r="A877">
        <f>IF(OR(Calc!$E880="",Calc!$E880="نامعتبر",Calc!$G880="",Calc!$I880&lt;&gt;"خرید"),"",Calc!$G880)</f>
        <v/>
      </c>
      <c r="B877">
        <f>IF($A877="","",LEFT(Calc!$E880,4)&amp;MID(Calc!$E880,6,2)&amp;RIGHT(Calc!$E880,2)&amp;Calc!$R880&amp;"|"&amp;"1"&amp;RIGHT("00000"&amp;872,5))</f>
        <v/>
      </c>
      <c r="C877">
        <f>IF($B877="","",COUNTIFS(LdgPartyA,$A877,LdgKeyA,"&lt;"&amp;$B877)+COUNTIFS(LdgPartyB,$A877,LdgKeyB,"&lt;"&amp;$B877)+1)</f>
        <v/>
      </c>
      <c r="D877">
        <f>IF($C877="","",$A877&amp;"|"&amp;RIGHT("000000"&amp;$C877,6))</f>
        <v/>
      </c>
      <c r="F877">
        <f>IF(Sync!$AJ877="","",Sync!$AJ877)</f>
        <v/>
      </c>
      <c r="G877">
        <f>IF($F877="","",IF(Sync!$AG877="","",IF(ISNUMBER(Sync!$AG877),IF(AND(Sync!$AG877&gt;=10000101,Sync!$AG877&lt;=99991231),INT(Sync!$AG877/10000),""),IFERROR(VALUE(TRIM(LEFT(Sync!$AG877,FIND("/",Sync!$AG877)-1))),""))))</f>
        <v/>
      </c>
      <c r="H877">
        <f>IF(OR($F877="",$G877=""),"",IF(ISNUMBER(Sync!$AG877),INT(MOD(Sync!$AG877,10000)/100),IFERROR(VALUE(TRIM(LEFT(MID(Sync!$AG877,FIND("/",Sync!$AG877)+1,20),FIND("/",MID(Sync!$AG877,FIND("/",Sync!$AG877)+1,20))-1))),"")))</f>
        <v/>
      </c>
      <c r="I877">
        <f>IF(OR($F877="",$G877=""),"",IF(ISNUMBER(Sync!$AG877),MOD(Sync!$AG877,100),IFERROR(VALUE(TRIM(MID(MID(Sync!$AG877,FIND("/",Sync!$AG877)+1,20),FIND("/",MID(Sync!$AG877,FIND("/",Sync!$AG877)+1,20))+1,20))),"")))</f>
        <v/>
      </c>
      <c r="J877">
        <f>IF($F877="","",IF(OR($G877="",$H877="",$I877="",$G877&lt;1300,$G877&gt;1500,$H877&lt;1,$H877&gt;12,$I877&lt;1,$I877&gt;31),"نامعتبر",RIGHT("0000"&amp;$G877,4)&amp;"/"&amp;RIGHT("00"&amp;$H877,2)&amp;"/"&amp;RIGHT("00"&amp;$I877,2)))</f>
        <v/>
      </c>
      <c r="K877">
        <f>IF(OR($F877="",$J877="",$J877="نامعتبر"),"",LEFT($J877,4)&amp;MID($J877,6,2)&amp;RIGHT($J877,2)&amp;$N877&amp;"|"&amp;"2"&amp;RIGHT("00000"&amp;872,5))</f>
        <v/>
      </c>
      <c r="L877">
        <f>IF($K877="","",COUNTIFS(LdgPartyA,$F877,LdgKeyA,"&lt;"&amp;$K877)+COUNTIFS(LdgPartyB,$F877,LdgKeyB,"&lt;"&amp;$K877)+1)</f>
        <v/>
      </c>
      <c r="M877">
        <f>IF($L877="","",$F877&amp;"|"&amp;RIGHT("000000"&amp;$L877,6))</f>
        <v/>
      </c>
      <c r="N877">
        <f>IF($F877="","",IF(Sync!$AH877="","0000",IF(AND(ISNUMBER(Sync!$AH877),Sync!$AH877&gt;=0,Sync!$AH877&lt;1),RIGHT("00"&amp;HOUR(Sync!$AH877),2)&amp;RIGHT("00"&amp;MINUTE(Sync!$AH877),2),IFERROR(RIGHT("00"&amp;VALUE(LEFT(Sync!$AH877,FIND(":",Sync!$AH877)-1)),2)&amp;RIGHT("00"&amp;VALUE(MID(Sync!$AH877,FIND(":",Sync!$AH877)+1,2)),2),"0000"))))</f>
        <v/>
      </c>
    </row>
    <row r="878">
      <c r="A878">
        <f>IF(OR(Calc!$E881="",Calc!$E881="نامعتبر",Calc!$G881="",Calc!$I881&lt;&gt;"خرید"),"",Calc!$G881)</f>
        <v/>
      </c>
      <c r="B878">
        <f>IF($A878="","",LEFT(Calc!$E881,4)&amp;MID(Calc!$E881,6,2)&amp;RIGHT(Calc!$E881,2)&amp;Calc!$R881&amp;"|"&amp;"1"&amp;RIGHT("00000"&amp;873,5))</f>
        <v/>
      </c>
      <c r="C878">
        <f>IF($B878="","",COUNTIFS(LdgPartyA,$A878,LdgKeyA,"&lt;"&amp;$B878)+COUNTIFS(LdgPartyB,$A878,LdgKeyB,"&lt;"&amp;$B878)+1)</f>
        <v/>
      </c>
      <c r="D878">
        <f>IF($C878="","",$A878&amp;"|"&amp;RIGHT("000000"&amp;$C878,6))</f>
        <v/>
      </c>
      <c r="F878">
        <f>IF(Sync!$AJ878="","",Sync!$AJ878)</f>
        <v/>
      </c>
      <c r="G878">
        <f>IF($F878="","",IF(Sync!$AG878="","",IF(ISNUMBER(Sync!$AG878),IF(AND(Sync!$AG878&gt;=10000101,Sync!$AG878&lt;=99991231),INT(Sync!$AG878/10000),""),IFERROR(VALUE(TRIM(LEFT(Sync!$AG878,FIND("/",Sync!$AG878)-1))),""))))</f>
        <v/>
      </c>
      <c r="H878">
        <f>IF(OR($F878="",$G878=""),"",IF(ISNUMBER(Sync!$AG878),INT(MOD(Sync!$AG878,10000)/100),IFERROR(VALUE(TRIM(LEFT(MID(Sync!$AG878,FIND("/",Sync!$AG878)+1,20),FIND("/",MID(Sync!$AG878,FIND("/",Sync!$AG878)+1,20))-1))),"")))</f>
        <v/>
      </c>
      <c r="I878">
        <f>IF(OR($F878="",$G878=""),"",IF(ISNUMBER(Sync!$AG878),MOD(Sync!$AG878,100),IFERROR(VALUE(TRIM(MID(MID(Sync!$AG878,FIND("/",Sync!$AG878)+1,20),FIND("/",MID(Sync!$AG878,FIND("/",Sync!$AG878)+1,20))+1,20))),"")))</f>
        <v/>
      </c>
      <c r="J878">
        <f>IF($F878="","",IF(OR($G878="",$H878="",$I878="",$G878&lt;1300,$G878&gt;1500,$H878&lt;1,$H878&gt;12,$I878&lt;1,$I878&gt;31),"نامعتبر",RIGHT("0000"&amp;$G878,4)&amp;"/"&amp;RIGHT("00"&amp;$H878,2)&amp;"/"&amp;RIGHT("00"&amp;$I878,2)))</f>
        <v/>
      </c>
      <c r="K878">
        <f>IF(OR($F878="",$J878="",$J878="نامعتبر"),"",LEFT($J878,4)&amp;MID($J878,6,2)&amp;RIGHT($J878,2)&amp;$N878&amp;"|"&amp;"2"&amp;RIGHT("00000"&amp;873,5))</f>
        <v/>
      </c>
      <c r="L878">
        <f>IF($K878="","",COUNTIFS(LdgPartyA,$F878,LdgKeyA,"&lt;"&amp;$K878)+COUNTIFS(LdgPartyB,$F878,LdgKeyB,"&lt;"&amp;$K878)+1)</f>
        <v/>
      </c>
      <c r="M878">
        <f>IF($L878="","",$F878&amp;"|"&amp;RIGHT("000000"&amp;$L878,6))</f>
        <v/>
      </c>
      <c r="N878">
        <f>IF($F878="","",IF(Sync!$AH878="","0000",IF(AND(ISNUMBER(Sync!$AH878),Sync!$AH878&gt;=0,Sync!$AH878&lt;1),RIGHT("00"&amp;HOUR(Sync!$AH878),2)&amp;RIGHT("00"&amp;MINUTE(Sync!$AH878),2),IFERROR(RIGHT("00"&amp;VALUE(LEFT(Sync!$AH878,FIND(":",Sync!$AH878)-1)),2)&amp;RIGHT("00"&amp;VALUE(MID(Sync!$AH878,FIND(":",Sync!$AH878)+1,2)),2),"0000"))))</f>
        <v/>
      </c>
    </row>
    <row r="879">
      <c r="A879">
        <f>IF(OR(Calc!$E882="",Calc!$E882="نامعتبر",Calc!$G882="",Calc!$I882&lt;&gt;"خرید"),"",Calc!$G882)</f>
        <v/>
      </c>
      <c r="B879">
        <f>IF($A879="","",LEFT(Calc!$E882,4)&amp;MID(Calc!$E882,6,2)&amp;RIGHT(Calc!$E882,2)&amp;Calc!$R882&amp;"|"&amp;"1"&amp;RIGHT("00000"&amp;874,5))</f>
        <v/>
      </c>
      <c r="C879">
        <f>IF($B879="","",COUNTIFS(LdgPartyA,$A879,LdgKeyA,"&lt;"&amp;$B879)+COUNTIFS(LdgPartyB,$A879,LdgKeyB,"&lt;"&amp;$B879)+1)</f>
        <v/>
      </c>
      <c r="D879">
        <f>IF($C879="","",$A879&amp;"|"&amp;RIGHT("000000"&amp;$C879,6))</f>
        <v/>
      </c>
      <c r="F879">
        <f>IF(Sync!$AJ879="","",Sync!$AJ879)</f>
        <v/>
      </c>
      <c r="G879">
        <f>IF($F879="","",IF(Sync!$AG879="","",IF(ISNUMBER(Sync!$AG879),IF(AND(Sync!$AG879&gt;=10000101,Sync!$AG879&lt;=99991231),INT(Sync!$AG879/10000),""),IFERROR(VALUE(TRIM(LEFT(Sync!$AG879,FIND("/",Sync!$AG879)-1))),""))))</f>
        <v/>
      </c>
      <c r="H879">
        <f>IF(OR($F879="",$G879=""),"",IF(ISNUMBER(Sync!$AG879),INT(MOD(Sync!$AG879,10000)/100),IFERROR(VALUE(TRIM(LEFT(MID(Sync!$AG879,FIND("/",Sync!$AG879)+1,20),FIND("/",MID(Sync!$AG879,FIND("/",Sync!$AG879)+1,20))-1))),"")))</f>
        <v/>
      </c>
      <c r="I879">
        <f>IF(OR($F879="",$G879=""),"",IF(ISNUMBER(Sync!$AG879),MOD(Sync!$AG879,100),IFERROR(VALUE(TRIM(MID(MID(Sync!$AG879,FIND("/",Sync!$AG879)+1,20),FIND("/",MID(Sync!$AG879,FIND("/",Sync!$AG879)+1,20))+1,20))),"")))</f>
        <v/>
      </c>
      <c r="J879">
        <f>IF($F879="","",IF(OR($G879="",$H879="",$I879="",$G879&lt;1300,$G879&gt;1500,$H879&lt;1,$H879&gt;12,$I879&lt;1,$I879&gt;31),"نامعتبر",RIGHT("0000"&amp;$G879,4)&amp;"/"&amp;RIGHT("00"&amp;$H879,2)&amp;"/"&amp;RIGHT("00"&amp;$I879,2)))</f>
        <v/>
      </c>
      <c r="K879">
        <f>IF(OR($F879="",$J879="",$J879="نامعتبر"),"",LEFT($J879,4)&amp;MID($J879,6,2)&amp;RIGHT($J879,2)&amp;$N879&amp;"|"&amp;"2"&amp;RIGHT("00000"&amp;874,5))</f>
        <v/>
      </c>
      <c r="L879">
        <f>IF($K879="","",COUNTIFS(LdgPartyA,$F879,LdgKeyA,"&lt;"&amp;$K879)+COUNTIFS(LdgPartyB,$F879,LdgKeyB,"&lt;"&amp;$K879)+1)</f>
        <v/>
      </c>
      <c r="M879">
        <f>IF($L879="","",$F879&amp;"|"&amp;RIGHT("000000"&amp;$L879,6))</f>
        <v/>
      </c>
      <c r="N879">
        <f>IF($F879="","",IF(Sync!$AH879="","0000",IF(AND(ISNUMBER(Sync!$AH879),Sync!$AH879&gt;=0,Sync!$AH879&lt;1),RIGHT("00"&amp;HOUR(Sync!$AH879),2)&amp;RIGHT("00"&amp;MINUTE(Sync!$AH879),2),IFERROR(RIGHT("00"&amp;VALUE(LEFT(Sync!$AH879,FIND(":",Sync!$AH879)-1)),2)&amp;RIGHT("00"&amp;VALUE(MID(Sync!$AH879,FIND(":",Sync!$AH879)+1,2)),2),"0000"))))</f>
        <v/>
      </c>
    </row>
    <row r="880">
      <c r="A880">
        <f>IF(OR(Calc!$E883="",Calc!$E883="نامعتبر",Calc!$G883="",Calc!$I883&lt;&gt;"خرید"),"",Calc!$G883)</f>
        <v/>
      </c>
      <c r="B880">
        <f>IF($A880="","",LEFT(Calc!$E883,4)&amp;MID(Calc!$E883,6,2)&amp;RIGHT(Calc!$E883,2)&amp;Calc!$R883&amp;"|"&amp;"1"&amp;RIGHT("00000"&amp;875,5))</f>
        <v/>
      </c>
      <c r="C880">
        <f>IF($B880="","",COUNTIFS(LdgPartyA,$A880,LdgKeyA,"&lt;"&amp;$B880)+COUNTIFS(LdgPartyB,$A880,LdgKeyB,"&lt;"&amp;$B880)+1)</f>
        <v/>
      </c>
      <c r="D880">
        <f>IF($C880="","",$A880&amp;"|"&amp;RIGHT("000000"&amp;$C880,6))</f>
        <v/>
      </c>
      <c r="F880">
        <f>IF(Sync!$AJ880="","",Sync!$AJ880)</f>
        <v/>
      </c>
      <c r="G880">
        <f>IF($F880="","",IF(Sync!$AG880="","",IF(ISNUMBER(Sync!$AG880),IF(AND(Sync!$AG880&gt;=10000101,Sync!$AG880&lt;=99991231),INT(Sync!$AG880/10000),""),IFERROR(VALUE(TRIM(LEFT(Sync!$AG880,FIND("/",Sync!$AG880)-1))),""))))</f>
        <v/>
      </c>
      <c r="H880">
        <f>IF(OR($F880="",$G880=""),"",IF(ISNUMBER(Sync!$AG880),INT(MOD(Sync!$AG880,10000)/100),IFERROR(VALUE(TRIM(LEFT(MID(Sync!$AG880,FIND("/",Sync!$AG880)+1,20),FIND("/",MID(Sync!$AG880,FIND("/",Sync!$AG880)+1,20))-1))),"")))</f>
        <v/>
      </c>
      <c r="I880">
        <f>IF(OR($F880="",$G880=""),"",IF(ISNUMBER(Sync!$AG880),MOD(Sync!$AG880,100),IFERROR(VALUE(TRIM(MID(MID(Sync!$AG880,FIND("/",Sync!$AG880)+1,20),FIND("/",MID(Sync!$AG880,FIND("/",Sync!$AG880)+1,20))+1,20))),"")))</f>
        <v/>
      </c>
      <c r="J880">
        <f>IF($F880="","",IF(OR($G880="",$H880="",$I880="",$G880&lt;1300,$G880&gt;1500,$H880&lt;1,$H880&gt;12,$I880&lt;1,$I880&gt;31),"نامعتبر",RIGHT("0000"&amp;$G880,4)&amp;"/"&amp;RIGHT("00"&amp;$H880,2)&amp;"/"&amp;RIGHT("00"&amp;$I880,2)))</f>
        <v/>
      </c>
      <c r="K880">
        <f>IF(OR($F880="",$J880="",$J880="نامعتبر"),"",LEFT($J880,4)&amp;MID($J880,6,2)&amp;RIGHT($J880,2)&amp;$N880&amp;"|"&amp;"2"&amp;RIGHT("00000"&amp;875,5))</f>
        <v/>
      </c>
      <c r="L880">
        <f>IF($K880="","",COUNTIFS(LdgPartyA,$F880,LdgKeyA,"&lt;"&amp;$K880)+COUNTIFS(LdgPartyB,$F880,LdgKeyB,"&lt;"&amp;$K880)+1)</f>
        <v/>
      </c>
      <c r="M880">
        <f>IF($L880="","",$F880&amp;"|"&amp;RIGHT("000000"&amp;$L880,6))</f>
        <v/>
      </c>
      <c r="N880">
        <f>IF($F880="","",IF(Sync!$AH880="","0000",IF(AND(ISNUMBER(Sync!$AH880),Sync!$AH880&gt;=0,Sync!$AH880&lt;1),RIGHT("00"&amp;HOUR(Sync!$AH880),2)&amp;RIGHT("00"&amp;MINUTE(Sync!$AH880),2),IFERROR(RIGHT("00"&amp;VALUE(LEFT(Sync!$AH880,FIND(":",Sync!$AH880)-1)),2)&amp;RIGHT("00"&amp;VALUE(MID(Sync!$AH880,FIND(":",Sync!$AH880)+1,2)),2),"0000"))))</f>
        <v/>
      </c>
    </row>
    <row r="881">
      <c r="A881">
        <f>IF(OR(Calc!$E884="",Calc!$E884="نامعتبر",Calc!$G884="",Calc!$I884&lt;&gt;"خرید"),"",Calc!$G884)</f>
        <v/>
      </c>
      <c r="B881">
        <f>IF($A881="","",LEFT(Calc!$E884,4)&amp;MID(Calc!$E884,6,2)&amp;RIGHT(Calc!$E884,2)&amp;Calc!$R884&amp;"|"&amp;"1"&amp;RIGHT("00000"&amp;876,5))</f>
        <v/>
      </c>
      <c r="C881">
        <f>IF($B881="","",COUNTIFS(LdgPartyA,$A881,LdgKeyA,"&lt;"&amp;$B881)+COUNTIFS(LdgPartyB,$A881,LdgKeyB,"&lt;"&amp;$B881)+1)</f>
        <v/>
      </c>
      <c r="D881">
        <f>IF($C881="","",$A881&amp;"|"&amp;RIGHT("000000"&amp;$C881,6))</f>
        <v/>
      </c>
      <c r="F881">
        <f>IF(Sync!$AJ881="","",Sync!$AJ881)</f>
        <v/>
      </c>
      <c r="G881">
        <f>IF($F881="","",IF(Sync!$AG881="","",IF(ISNUMBER(Sync!$AG881),IF(AND(Sync!$AG881&gt;=10000101,Sync!$AG881&lt;=99991231),INT(Sync!$AG881/10000),""),IFERROR(VALUE(TRIM(LEFT(Sync!$AG881,FIND("/",Sync!$AG881)-1))),""))))</f>
        <v/>
      </c>
      <c r="H881">
        <f>IF(OR($F881="",$G881=""),"",IF(ISNUMBER(Sync!$AG881),INT(MOD(Sync!$AG881,10000)/100),IFERROR(VALUE(TRIM(LEFT(MID(Sync!$AG881,FIND("/",Sync!$AG881)+1,20),FIND("/",MID(Sync!$AG881,FIND("/",Sync!$AG881)+1,20))-1))),"")))</f>
        <v/>
      </c>
      <c r="I881">
        <f>IF(OR($F881="",$G881=""),"",IF(ISNUMBER(Sync!$AG881),MOD(Sync!$AG881,100),IFERROR(VALUE(TRIM(MID(MID(Sync!$AG881,FIND("/",Sync!$AG881)+1,20),FIND("/",MID(Sync!$AG881,FIND("/",Sync!$AG881)+1,20))+1,20))),"")))</f>
        <v/>
      </c>
      <c r="J881">
        <f>IF($F881="","",IF(OR($G881="",$H881="",$I881="",$G881&lt;1300,$G881&gt;1500,$H881&lt;1,$H881&gt;12,$I881&lt;1,$I881&gt;31),"نامعتبر",RIGHT("0000"&amp;$G881,4)&amp;"/"&amp;RIGHT("00"&amp;$H881,2)&amp;"/"&amp;RIGHT("00"&amp;$I881,2)))</f>
        <v/>
      </c>
      <c r="K881">
        <f>IF(OR($F881="",$J881="",$J881="نامعتبر"),"",LEFT($J881,4)&amp;MID($J881,6,2)&amp;RIGHT($J881,2)&amp;$N881&amp;"|"&amp;"2"&amp;RIGHT("00000"&amp;876,5))</f>
        <v/>
      </c>
      <c r="L881">
        <f>IF($K881="","",COUNTIFS(LdgPartyA,$F881,LdgKeyA,"&lt;"&amp;$K881)+COUNTIFS(LdgPartyB,$F881,LdgKeyB,"&lt;"&amp;$K881)+1)</f>
        <v/>
      </c>
      <c r="M881">
        <f>IF($L881="","",$F881&amp;"|"&amp;RIGHT("000000"&amp;$L881,6))</f>
        <v/>
      </c>
      <c r="N881">
        <f>IF($F881="","",IF(Sync!$AH881="","0000",IF(AND(ISNUMBER(Sync!$AH881),Sync!$AH881&gt;=0,Sync!$AH881&lt;1),RIGHT("00"&amp;HOUR(Sync!$AH881),2)&amp;RIGHT("00"&amp;MINUTE(Sync!$AH881),2),IFERROR(RIGHT("00"&amp;VALUE(LEFT(Sync!$AH881,FIND(":",Sync!$AH881)-1)),2)&amp;RIGHT("00"&amp;VALUE(MID(Sync!$AH881,FIND(":",Sync!$AH881)+1,2)),2),"0000"))))</f>
        <v/>
      </c>
    </row>
    <row r="882">
      <c r="A882">
        <f>IF(OR(Calc!$E885="",Calc!$E885="نامعتبر",Calc!$G885="",Calc!$I885&lt;&gt;"خرید"),"",Calc!$G885)</f>
        <v/>
      </c>
      <c r="B882">
        <f>IF($A882="","",LEFT(Calc!$E885,4)&amp;MID(Calc!$E885,6,2)&amp;RIGHT(Calc!$E885,2)&amp;Calc!$R885&amp;"|"&amp;"1"&amp;RIGHT("00000"&amp;877,5))</f>
        <v/>
      </c>
      <c r="C882">
        <f>IF($B882="","",COUNTIFS(LdgPartyA,$A882,LdgKeyA,"&lt;"&amp;$B882)+COUNTIFS(LdgPartyB,$A882,LdgKeyB,"&lt;"&amp;$B882)+1)</f>
        <v/>
      </c>
      <c r="D882">
        <f>IF($C882="","",$A882&amp;"|"&amp;RIGHT("000000"&amp;$C882,6))</f>
        <v/>
      </c>
      <c r="F882">
        <f>IF(Sync!$AJ882="","",Sync!$AJ882)</f>
        <v/>
      </c>
      <c r="G882">
        <f>IF($F882="","",IF(Sync!$AG882="","",IF(ISNUMBER(Sync!$AG882),IF(AND(Sync!$AG882&gt;=10000101,Sync!$AG882&lt;=99991231),INT(Sync!$AG882/10000),""),IFERROR(VALUE(TRIM(LEFT(Sync!$AG882,FIND("/",Sync!$AG882)-1))),""))))</f>
        <v/>
      </c>
      <c r="H882">
        <f>IF(OR($F882="",$G882=""),"",IF(ISNUMBER(Sync!$AG882),INT(MOD(Sync!$AG882,10000)/100),IFERROR(VALUE(TRIM(LEFT(MID(Sync!$AG882,FIND("/",Sync!$AG882)+1,20),FIND("/",MID(Sync!$AG882,FIND("/",Sync!$AG882)+1,20))-1))),"")))</f>
        <v/>
      </c>
      <c r="I882">
        <f>IF(OR($F882="",$G882=""),"",IF(ISNUMBER(Sync!$AG882),MOD(Sync!$AG882,100),IFERROR(VALUE(TRIM(MID(MID(Sync!$AG882,FIND("/",Sync!$AG882)+1,20),FIND("/",MID(Sync!$AG882,FIND("/",Sync!$AG882)+1,20))+1,20))),"")))</f>
        <v/>
      </c>
      <c r="J882">
        <f>IF($F882="","",IF(OR($G882="",$H882="",$I882="",$G882&lt;1300,$G882&gt;1500,$H882&lt;1,$H882&gt;12,$I882&lt;1,$I882&gt;31),"نامعتبر",RIGHT("0000"&amp;$G882,4)&amp;"/"&amp;RIGHT("00"&amp;$H882,2)&amp;"/"&amp;RIGHT("00"&amp;$I882,2)))</f>
        <v/>
      </c>
      <c r="K882">
        <f>IF(OR($F882="",$J882="",$J882="نامعتبر"),"",LEFT($J882,4)&amp;MID($J882,6,2)&amp;RIGHT($J882,2)&amp;$N882&amp;"|"&amp;"2"&amp;RIGHT("00000"&amp;877,5))</f>
        <v/>
      </c>
      <c r="L882">
        <f>IF($K882="","",COUNTIFS(LdgPartyA,$F882,LdgKeyA,"&lt;"&amp;$K882)+COUNTIFS(LdgPartyB,$F882,LdgKeyB,"&lt;"&amp;$K882)+1)</f>
        <v/>
      </c>
      <c r="M882">
        <f>IF($L882="","",$F882&amp;"|"&amp;RIGHT("000000"&amp;$L882,6))</f>
        <v/>
      </c>
      <c r="N882">
        <f>IF($F882="","",IF(Sync!$AH882="","0000",IF(AND(ISNUMBER(Sync!$AH882),Sync!$AH882&gt;=0,Sync!$AH882&lt;1),RIGHT("00"&amp;HOUR(Sync!$AH882),2)&amp;RIGHT("00"&amp;MINUTE(Sync!$AH882),2),IFERROR(RIGHT("00"&amp;VALUE(LEFT(Sync!$AH882,FIND(":",Sync!$AH882)-1)),2)&amp;RIGHT("00"&amp;VALUE(MID(Sync!$AH882,FIND(":",Sync!$AH882)+1,2)),2),"0000"))))</f>
        <v/>
      </c>
    </row>
    <row r="883">
      <c r="A883">
        <f>IF(OR(Calc!$E886="",Calc!$E886="نامعتبر",Calc!$G886="",Calc!$I886&lt;&gt;"خرید"),"",Calc!$G886)</f>
        <v/>
      </c>
      <c r="B883">
        <f>IF($A883="","",LEFT(Calc!$E886,4)&amp;MID(Calc!$E886,6,2)&amp;RIGHT(Calc!$E886,2)&amp;Calc!$R886&amp;"|"&amp;"1"&amp;RIGHT("00000"&amp;878,5))</f>
        <v/>
      </c>
      <c r="C883">
        <f>IF($B883="","",COUNTIFS(LdgPartyA,$A883,LdgKeyA,"&lt;"&amp;$B883)+COUNTIFS(LdgPartyB,$A883,LdgKeyB,"&lt;"&amp;$B883)+1)</f>
        <v/>
      </c>
      <c r="D883">
        <f>IF($C883="","",$A883&amp;"|"&amp;RIGHT("000000"&amp;$C883,6))</f>
        <v/>
      </c>
      <c r="F883">
        <f>IF(Sync!$AJ883="","",Sync!$AJ883)</f>
        <v/>
      </c>
      <c r="G883">
        <f>IF($F883="","",IF(Sync!$AG883="","",IF(ISNUMBER(Sync!$AG883),IF(AND(Sync!$AG883&gt;=10000101,Sync!$AG883&lt;=99991231),INT(Sync!$AG883/10000),""),IFERROR(VALUE(TRIM(LEFT(Sync!$AG883,FIND("/",Sync!$AG883)-1))),""))))</f>
        <v/>
      </c>
      <c r="H883">
        <f>IF(OR($F883="",$G883=""),"",IF(ISNUMBER(Sync!$AG883),INT(MOD(Sync!$AG883,10000)/100),IFERROR(VALUE(TRIM(LEFT(MID(Sync!$AG883,FIND("/",Sync!$AG883)+1,20),FIND("/",MID(Sync!$AG883,FIND("/",Sync!$AG883)+1,20))-1))),"")))</f>
        <v/>
      </c>
      <c r="I883">
        <f>IF(OR($F883="",$G883=""),"",IF(ISNUMBER(Sync!$AG883),MOD(Sync!$AG883,100),IFERROR(VALUE(TRIM(MID(MID(Sync!$AG883,FIND("/",Sync!$AG883)+1,20),FIND("/",MID(Sync!$AG883,FIND("/",Sync!$AG883)+1,20))+1,20))),"")))</f>
        <v/>
      </c>
      <c r="J883">
        <f>IF($F883="","",IF(OR($G883="",$H883="",$I883="",$G883&lt;1300,$G883&gt;1500,$H883&lt;1,$H883&gt;12,$I883&lt;1,$I883&gt;31),"نامعتبر",RIGHT("0000"&amp;$G883,4)&amp;"/"&amp;RIGHT("00"&amp;$H883,2)&amp;"/"&amp;RIGHT("00"&amp;$I883,2)))</f>
        <v/>
      </c>
      <c r="K883">
        <f>IF(OR($F883="",$J883="",$J883="نامعتبر"),"",LEFT($J883,4)&amp;MID($J883,6,2)&amp;RIGHT($J883,2)&amp;$N883&amp;"|"&amp;"2"&amp;RIGHT("00000"&amp;878,5))</f>
        <v/>
      </c>
      <c r="L883">
        <f>IF($K883="","",COUNTIFS(LdgPartyA,$F883,LdgKeyA,"&lt;"&amp;$K883)+COUNTIFS(LdgPartyB,$F883,LdgKeyB,"&lt;"&amp;$K883)+1)</f>
        <v/>
      </c>
      <c r="M883">
        <f>IF($L883="","",$F883&amp;"|"&amp;RIGHT("000000"&amp;$L883,6))</f>
        <v/>
      </c>
      <c r="N883">
        <f>IF($F883="","",IF(Sync!$AH883="","0000",IF(AND(ISNUMBER(Sync!$AH883),Sync!$AH883&gt;=0,Sync!$AH883&lt;1),RIGHT("00"&amp;HOUR(Sync!$AH883),2)&amp;RIGHT("00"&amp;MINUTE(Sync!$AH883),2),IFERROR(RIGHT("00"&amp;VALUE(LEFT(Sync!$AH883,FIND(":",Sync!$AH883)-1)),2)&amp;RIGHT("00"&amp;VALUE(MID(Sync!$AH883,FIND(":",Sync!$AH883)+1,2)),2),"0000"))))</f>
        <v/>
      </c>
    </row>
    <row r="884">
      <c r="A884">
        <f>IF(OR(Calc!$E887="",Calc!$E887="نامعتبر",Calc!$G887="",Calc!$I887&lt;&gt;"خرید"),"",Calc!$G887)</f>
        <v/>
      </c>
      <c r="B884">
        <f>IF($A884="","",LEFT(Calc!$E887,4)&amp;MID(Calc!$E887,6,2)&amp;RIGHT(Calc!$E887,2)&amp;Calc!$R887&amp;"|"&amp;"1"&amp;RIGHT("00000"&amp;879,5))</f>
        <v/>
      </c>
      <c r="C884">
        <f>IF($B884="","",COUNTIFS(LdgPartyA,$A884,LdgKeyA,"&lt;"&amp;$B884)+COUNTIFS(LdgPartyB,$A884,LdgKeyB,"&lt;"&amp;$B884)+1)</f>
        <v/>
      </c>
      <c r="D884">
        <f>IF($C884="","",$A884&amp;"|"&amp;RIGHT("000000"&amp;$C884,6))</f>
        <v/>
      </c>
      <c r="F884">
        <f>IF(Sync!$AJ884="","",Sync!$AJ884)</f>
        <v/>
      </c>
      <c r="G884">
        <f>IF($F884="","",IF(Sync!$AG884="","",IF(ISNUMBER(Sync!$AG884),IF(AND(Sync!$AG884&gt;=10000101,Sync!$AG884&lt;=99991231),INT(Sync!$AG884/10000),""),IFERROR(VALUE(TRIM(LEFT(Sync!$AG884,FIND("/",Sync!$AG884)-1))),""))))</f>
        <v/>
      </c>
      <c r="H884">
        <f>IF(OR($F884="",$G884=""),"",IF(ISNUMBER(Sync!$AG884),INT(MOD(Sync!$AG884,10000)/100),IFERROR(VALUE(TRIM(LEFT(MID(Sync!$AG884,FIND("/",Sync!$AG884)+1,20),FIND("/",MID(Sync!$AG884,FIND("/",Sync!$AG884)+1,20))-1))),"")))</f>
        <v/>
      </c>
      <c r="I884">
        <f>IF(OR($F884="",$G884=""),"",IF(ISNUMBER(Sync!$AG884),MOD(Sync!$AG884,100),IFERROR(VALUE(TRIM(MID(MID(Sync!$AG884,FIND("/",Sync!$AG884)+1,20),FIND("/",MID(Sync!$AG884,FIND("/",Sync!$AG884)+1,20))+1,20))),"")))</f>
        <v/>
      </c>
      <c r="J884">
        <f>IF($F884="","",IF(OR($G884="",$H884="",$I884="",$G884&lt;1300,$G884&gt;1500,$H884&lt;1,$H884&gt;12,$I884&lt;1,$I884&gt;31),"نامعتبر",RIGHT("0000"&amp;$G884,4)&amp;"/"&amp;RIGHT("00"&amp;$H884,2)&amp;"/"&amp;RIGHT("00"&amp;$I884,2)))</f>
        <v/>
      </c>
      <c r="K884">
        <f>IF(OR($F884="",$J884="",$J884="نامعتبر"),"",LEFT($J884,4)&amp;MID($J884,6,2)&amp;RIGHT($J884,2)&amp;$N884&amp;"|"&amp;"2"&amp;RIGHT("00000"&amp;879,5))</f>
        <v/>
      </c>
      <c r="L884">
        <f>IF($K884="","",COUNTIFS(LdgPartyA,$F884,LdgKeyA,"&lt;"&amp;$K884)+COUNTIFS(LdgPartyB,$F884,LdgKeyB,"&lt;"&amp;$K884)+1)</f>
        <v/>
      </c>
      <c r="M884">
        <f>IF($L884="","",$F884&amp;"|"&amp;RIGHT("000000"&amp;$L884,6))</f>
        <v/>
      </c>
      <c r="N884">
        <f>IF($F884="","",IF(Sync!$AH884="","0000",IF(AND(ISNUMBER(Sync!$AH884),Sync!$AH884&gt;=0,Sync!$AH884&lt;1),RIGHT("00"&amp;HOUR(Sync!$AH884),2)&amp;RIGHT("00"&amp;MINUTE(Sync!$AH884),2),IFERROR(RIGHT("00"&amp;VALUE(LEFT(Sync!$AH884,FIND(":",Sync!$AH884)-1)),2)&amp;RIGHT("00"&amp;VALUE(MID(Sync!$AH884,FIND(":",Sync!$AH884)+1,2)),2),"0000"))))</f>
        <v/>
      </c>
    </row>
    <row r="885">
      <c r="A885">
        <f>IF(OR(Calc!$E888="",Calc!$E888="نامعتبر",Calc!$G888="",Calc!$I888&lt;&gt;"خرید"),"",Calc!$G888)</f>
        <v/>
      </c>
      <c r="B885">
        <f>IF($A885="","",LEFT(Calc!$E888,4)&amp;MID(Calc!$E888,6,2)&amp;RIGHT(Calc!$E888,2)&amp;Calc!$R888&amp;"|"&amp;"1"&amp;RIGHT("00000"&amp;880,5))</f>
        <v/>
      </c>
      <c r="C885">
        <f>IF($B885="","",COUNTIFS(LdgPartyA,$A885,LdgKeyA,"&lt;"&amp;$B885)+COUNTIFS(LdgPartyB,$A885,LdgKeyB,"&lt;"&amp;$B885)+1)</f>
        <v/>
      </c>
      <c r="D885">
        <f>IF($C885="","",$A885&amp;"|"&amp;RIGHT("000000"&amp;$C885,6))</f>
        <v/>
      </c>
      <c r="F885">
        <f>IF(Sync!$AJ885="","",Sync!$AJ885)</f>
        <v/>
      </c>
      <c r="G885">
        <f>IF($F885="","",IF(Sync!$AG885="","",IF(ISNUMBER(Sync!$AG885),IF(AND(Sync!$AG885&gt;=10000101,Sync!$AG885&lt;=99991231),INT(Sync!$AG885/10000),""),IFERROR(VALUE(TRIM(LEFT(Sync!$AG885,FIND("/",Sync!$AG885)-1))),""))))</f>
        <v/>
      </c>
      <c r="H885">
        <f>IF(OR($F885="",$G885=""),"",IF(ISNUMBER(Sync!$AG885),INT(MOD(Sync!$AG885,10000)/100),IFERROR(VALUE(TRIM(LEFT(MID(Sync!$AG885,FIND("/",Sync!$AG885)+1,20),FIND("/",MID(Sync!$AG885,FIND("/",Sync!$AG885)+1,20))-1))),"")))</f>
        <v/>
      </c>
      <c r="I885">
        <f>IF(OR($F885="",$G885=""),"",IF(ISNUMBER(Sync!$AG885),MOD(Sync!$AG885,100),IFERROR(VALUE(TRIM(MID(MID(Sync!$AG885,FIND("/",Sync!$AG885)+1,20),FIND("/",MID(Sync!$AG885,FIND("/",Sync!$AG885)+1,20))+1,20))),"")))</f>
        <v/>
      </c>
      <c r="J885">
        <f>IF($F885="","",IF(OR($G885="",$H885="",$I885="",$G885&lt;1300,$G885&gt;1500,$H885&lt;1,$H885&gt;12,$I885&lt;1,$I885&gt;31),"نامعتبر",RIGHT("0000"&amp;$G885,4)&amp;"/"&amp;RIGHT("00"&amp;$H885,2)&amp;"/"&amp;RIGHT("00"&amp;$I885,2)))</f>
        <v/>
      </c>
      <c r="K885">
        <f>IF(OR($F885="",$J885="",$J885="نامعتبر"),"",LEFT($J885,4)&amp;MID($J885,6,2)&amp;RIGHT($J885,2)&amp;$N885&amp;"|"&amp;"2"&amp;RIGHT("00000"&amp;880,5))</f>
        <v/>
      </c>
      <c r="L885">
        <f>IF($K885="","",COUNTIFS(LdgPartyA,$F885,LdgKeyA,"&lt;"&amp;$K885)+COUNTIFS(LdgPartyB,$F885,LdgKeyB,"&lt;"&amp;$K885)+1)</f>
        <v/>
      </c>
      <c r="M885">
        <f>IF($L885="","",$F885&amp;"|"&amp;RIGHT("000000"&amp;$L885,6))</f>
        <v/>
      </c>
      <c r="N885">
        <f>IF($F885="","",IF(Sync!$AH885="","0000",IF(AND(ISNUMBER(Sync!$AH885),Sync!$AH885&gt;=0,Sync!$AH885&lt;1),RIGHT("00"&amp;HOUR(Sync!$AH885),2)&amp;RIGHT("00"&amp;MINUTE(Sync!$AH885),2),IFERROR(RIGHT("00"&amp;VALUE(LEFT(Sync!$AH885,FIND(":",Sync!$AH885)-1)),2)&amp;RIGHT("00"&amp;VALUE(MID(Sync!$AH885,FIND(":",Sync!$AH885)+1,2)),2),"0000"))))</f>
        <v/>
      </c>
    </row>
    <row r="886">
      <c r="A886">
        <f>IF(OR(Calc!$E889="",Calc!$E889="نامعتبر",Calc!$G889="",Calc!$I889&lt;&gt;"خرید"),"",Calc!$G889)</f>
        <v/>
      </c>
      <c r="B886">
        <f>IF($A886="","",LEFT(Calc!$E889,4)&amp;MID(Calc!$E889,6,2)&amp;RIGHT(Calc!$E889,2)&amp;Calc!$R889&amp;"|"&amp;"1"&amp;RIGHT("00000"&amp;881,5))</f>
        <v/>
      </c>
      <c r="C886">
        <f>IF($B886="","",COUNTIFS(LdgPartyA,$A886,LdgKeyA,"&lt;"&amp;$B886)+COUNTIFS(LdgPartyB,$A886,LdgKeyB,"&lt;"&amp;$B886)+1)</f>
        <v/>
      </c>
      <c r="D886">
        <f>IF($C886="","",$A886&amp;"|"&amp;RIGHT("000000"&amp;$C886,6))</f>
        <v/>
      </c>
      <c r="F886">
        <f>IF(Sync!$AJ886="","",Sync!$AJ886)</f>
        <v/>
      </c>
      <c r="G886">
        <f>IF($F886="","",IF(Sync!$AG886="","",IF(ISNUMBER(Sync!$AG886),IF(AND(Sync!$AG886&gt;=10000101,Sync!$AG886&lt;=99991231),INT(Sync!$AG886/10000),""),IFERROR(VALUE(TRIM(LEFT(Sync!$AG886,FIND("/",Sync!$AG886)-1))),""))))</f>
        <v/>
      </c>
      <c r="H886">
        <f>IF(OR($F886="",$G886=""),"",IF(ISNUMBER(Sync!$AG886),INT(MOD(Sync!$AG886,10000)/100),IFERROR(VALUE(TRIM(LEFT(MID(Sync!$AG886,FIND("/",Sync!$AG886)+1,20),FIND("/",MID(Sync!$AG886,FIND("/",Sync!$AG886)+1,20))-1))),"")))</f>
        <v/>
      </c>
      <c r="I886">
        <f>IF(OR($F886="",$G886=""),"",IF(ISNUMBER(Sync!$AG886),MOD(Sync!$AG886,100),IFERROR(VALUE(TRIM(MID(MID(Sync!$AG886,FIND("/",Sync!$AG886)+1,20),FIND("/",MID(Sync!$AG886,FIND("/",Sync!$AG886)+1,20))+1,20))),"")))</f>
        <v/>
      </c>
      <c r="J886">
        <f>IF($F886="","",IF(OR($G886="",$H886="",$I886="",$G886&lt;1300,$G886&gt;1500,$H886&lt;1,$H886&gt;12,$I886&lt;1,$I886&gt;31),"نامعتبر",RIGHT("0000"&amp;$G886,4)&amp;"/"&amp;RIGHT("00"&amp;$H886,2)&amp;"/"&amp;RIGHT("00"&amp;$I886,2)))</f>
        <v/>
      </c>
      <c r="K886">
        <f>IF(OR($F886="",$J886="",$J886="نامعتبر"),"",LEFT($J886,4)&amp;MID($J886,6,2)&amp;RIGHT($J886,2)&amp;$N886&amp;"|"&amp;"2"&amp;RIGHT("00000"&amp;881,5))</f>
        <v/>
      </c>
      <c r="L886">
        <f>IF($K886="","",COUNTIFS(LdgPartyA,$F886,LdgKeyA,"&lt;"&amp;$K886)+COUNTIFS(LdgPartyB,$F886,LdgKeyB,"&lt;"&amp;$K886)+1)</f>
        <v/>
      </c>
      <c r="M886">
        <f>IF($L886="","",$F886&amp;"|"&amp;RIGHT("000000"&amp;$L886,6))</f>
        <v/>
      </c>
      <c r="N886">
        <f>IF($F886="","",IF(Sync!$AH886="","0000",IF(AND(ISNUMBER(Sync!$AH886),Sync!$AH886&gt;=0,Sync!$AH886&lt;1),RIGHT("00"&amp;HOUR(Sync!$AH886),2)&amp;RIGHT("00"&amp;MINUTE(Sync!$AH886),2),IFERROR(RIGHT("00"&amp;VALUE(LEFT(Sync!$AH886,FIND(":",Sync!$AH886)-1)),2)&amp;RIGHT("00"&amp;VALUE(MID(Sync!$AH886,FIND(":",Sync!$AH886)+1,2)),2),"0000"))))</f>
        <v/>
      </c>
    </row>
    <row r="887">
      <c r="A887">
        <f>IF(OR(Calc!$E890="",Calc!$E890="نامعتبر",Calc!$G890="",Calc!$I890&lt;&gt;"خرید"),"",Calc!$G890)</f>
        <v/>
      </c>
      <c r="B887">
        <f>IF($A887="","",LEFT(Calc!$E890,4)&amp;MID(Calc!$E890,6,2)&amp;RIGHT(Calc!$E890,2)&amp;Calc!$R890&amp;"|"&amp;"1"&amp;RIGHT("00000"&amp;882,5))</f>
        <v/>
      </c>
      <c r="C887">
        <f>IF($B887="","",COUNTIFS(LdgPartyA,$A887,LdgKeyA,"&lt;"&amp;$B887)+COUNTIFS(LdgPartyB,$A887,LdgKeyB,"&lt;"&amp;$B887)+1)</f>
        <v/>
      </c>
      <c r="D887">
        <f>IF($C887="","",$A887&amp;"|"&amp;RIGHT("000000"&amp;$C887,6))</f>
        <v/>
      </c>
      <c r="F887">
        <f>IF(Sync!$AJ887="","",Sync!$AJ887)</f>
        <v/>
      </c>
      <c r="G887">
        <f>IF($F887="","",IF(Sync!$AG887="","",IF(ISNUMBER(Sync!$AG887),IF(AND(Sync!$AG887&gt;=10000101,Sync!$AG887&lt;=99991231),INT(Sync!$AG887/10000),""),IFERROR(VALUE(TRIM(LEFT(Sync!$AG887,FIND("/",Sync!$AG887)-1))),""))))</f>
        <v/>
      </c>
      <c r="H887">
        <f>IF(OR($F887="",$G887=""),"",IF(ISNUMBER(Sync!$AG887),INT(MOD(Sync!$AG887,10000)/100),IFERROR(VALUE(TRIM(LEFT(MID(Sync!$AG887,FIND("/",Sync!$AG887)+1,20),FIND("/",MID(Sync!$AG887,FIND("/",Sync!$AG887)+1,20))-1))),"")))</f>
        <v/>
      </c>
      <c r="I887">
        <f>IF(OR($F887="",$G887=""),"",IF(ISNUMBER(Sync!$AG887),MOD(Sync!$AG887,100),IFERROR(VALUE(TRIM(MID(MID(Sync!$AG887,FIND("/",Sync!$AG887)+1,20),FIND("/",MID(Sync!$AG887,FIND("/",Sync!$AG887)+1,20))+1,20))),"")))</f>
        <v/>
      </c>
      <c r="J887">
        <f>IF($F887="","",IF(OR($G887="",$H887="",$I887="",$G887&lt;1300,$G887&gt;1500,$H887&lt;1,$H887&gt;12,$I887&lt;1,$I887&gt;31),"نامعتبر",RIGHT("0000"&amp;$G887,4)&amp;"/"&amp;RIGHT("00"&amp;$H887,2)&amp;"/"&amp;RIGHT("00"&amp;$I887,2)))</f>
        <v/>
      </c>
      <c r="K887">
        <f>IF(OR($F887="",$J887="",$J887="نامعتبر"),"",LEFT($J887,4)&amp;MID($J887,6,2)&amp;RIGHT($J887,2)&amp;$N887&amp;"|"&amp;"2"&amp;RIGHT("00000"&amp;882,5))</f>
        <v/>
      </c>
      <c r="L887">
        <f>IF($K887="","",COUNTIFS(LdgPartyA,$F887,LdgKeyA,"&lt;"&amp;$K887)+COUNTIFS(LdgPartyB,$F887,LdgKeyB,"&lt;"&amp;$K887)+1)</f>
        <v/>
      </c>
      <c r="M887">
        <f>IF($L887="","",$F887&amp;"|"&amp;RIGHT("000000"&amp;$L887,6))</f>
        <v/>
      </c>
      <c r="N887">
        <f>IF($F887="","",IF(Sync!$AH887="","0000",IF(AND(ISNUMBER(Sync!$AH887),Sync!$AH887&gt;=0,Sync!$AH887&lt;1),RIGHT("00"&amp;HOUR(Sync!$AH887),2)&amp;RIGHT("00"&amp;MINUTE(Sync!$AH887),2),IFERROR(RIGHT("00"&amp;VALUE(LEFT(Sync!$AH887,FIND(":",Sync!$AH887)-1)),2)&amp;RIGHT("00"&amp;VALUE(MID(Sync!$AH887,FIND(":",Sync!$AH887)+1,2)),2),"0000"))))</f>
        <v/>
      </c>
    </row>
    <row r="888">
      <c r="A888">
        <f>IF(OR(Calc!$E891="",Calc!$E891="نامعتبر",Calc!$G891="",Calc!$I891&lt;&gt;"خرید"),"",Calc!$G891)</f>
        <v/>
      </c>
      <c r="B888">
        <f>IF($A888="","",LEFT(Calc!$E891,4)&amp;MID(Calc!$E891,6,2)&amp;RIGHT(Calc!$E891,2)&amp;Calc!$R891&amp;"|"&amp;"1"&amp;RIGHT("00000"&amp;883,5))</f>
        <v/>
      </c>
      <c r="C888">
        <f>IF($B888="","",COUNTIFS(LdgPartyA,$A888,LdgKeyA,"&lt;"&amp;$B888)+COUNTIFS(LdgPartyB,$A888,LdgKeyB,"&lt;"&amp;$B888)+1)</f>
        <v/>
      </c>
      <c r="D888">
        <f>IF($C888="","",$A888&amp;"|"&amp;RIGHT("000000"&amp;$C888,6))</f>
        <v/>
      </c>
      <c r="F888">
        <f>IF(Sync!$AJ888="","",Sync!$AJ888)</f>
        <v/>
      </c>
      <c r="G888">
        <f>IF($F888="","",IF(Sync!$AG888="","",IF(ISNUMBER(Sync!$AG888),IF(AND(Sync!$AG888&gt;=10000101,Sync!$AG888&lt;=99991231),INT(Sync!$AG888/10000),""),IFERROR(VALUE(TRIM(LEFT(Sync!$AG888,FIND("/",Sync!$AG888)-1))),""))))</f>
        <v/>
      </c>
      <c r="H888">
        <f>IF(OR($F888="",$G888=""),"",IF(ISNUMBER(Sync!$AG888),INT(MOD(Sync!$AG888,10000)/100),IFERROR(VALUE(TRIM(LEFT(MID(Sync!$AG888,FIND("/",Sync!$AG888)+1,20),FIND("/",MID(Sync!$AG888,FIND("/",Sync!$AG888)+1,20))-1))),"")))</f>
        <v/>
      </c>
      <c r="I888">
        <f>IF(OR($F888="",$G888=""),"",IF(ISNUMBER(Sync!$AG888),MOD(Sync!$AG888,100),IFERROR(VALUE(TRIM(MID(MID(Sync!$AG888,FIND("/",Sync!$AG888)+1,20),FIND("/",MID(Sync!$AG888,FIND("/",Sync!$AG888)+1,20))+1,20))),"")))</f>
        <v/>
      </c>
      <c r="J888">
        <f>IF($F888="","",IF(OR($G888="",$H888="",$I888="",$G888&lt;1300,$G888&gt;1500,$H888&lt;1,$H888&gt;12,$I888&lt;1,$I888&gt;31),"نامعتبر",RIGHT("0000"&amp;$G888,4)&amp;"/"&amp;RIGHT("00"&amp;$H888,2)&amp;"/"&amp;RIGHT("00"&amp;$I888,2)))</f>
        <v/>
      </c>
      <c r="K888">
        <f>IF(OR($F888="",$J888="",$J888="نامعتبر"),"",LEFT($J888,4)&amp;MID($J888,6,2)&amp;RIGHT($J888,2)&amp;$N888&amp;"|"&amp;"2"&amp;RIGHT("00000"&amp;883,5))</f>
        <v/>
      </c>
      <c r="L888">
        <f>IF($K888="","",COUNTIFS(LdgPartyA,$F888,LdgKeyA,"&lt;"&amp;$K888)+COUNTIFS(LdgPartyB,$F888,LdgKeyB,"&lt;"&amp;$K888)+1)</f>
        <v/>
      </c>
      <c r="M888">
        <f>IF($L888="","",$F888&amp;"|"&amp;RIGHT("000000"&amp;$L888,6))</f>
        <v/>
      </c>
      <c r="N888">
        <f>IF($F888="","",IF(Sync!$AH888="","0000",IF(AND(ISNUMBER(Sync!$AH888),Sync!$AH888&gt;=0,Sync!$AH888&lt;1),RIGHT("00"&amp;HOUR(Sync!$AH888),2)&amp;RIGHT("00"&amp;MINUTE(Sync!$AH888),2),IFERROR(RIGHT("00"&amp;VALUE(LEFT(Sync!$AH888,FIND(":",Sync!$AH888)-1)),2)&amp;RIGHT("00"&amp;VALUE(MID(Sync!$AH888,FIND(":",Sync!$AH888)+1,2)),2),"0000"))))</f>
        <v/>
      </c>
    </row>
    <row r="889">
      <c r="A889">
        <f>IF(OR(Calc!$E892="",Calc!$E892="نامعتبر",Calc!$G892="",Calc!$I892&lt;&gt;"خرید"),"",Calc!$G892)</f>
        <v/>
      </c>
      <c r="B889">
        <f>IF($A889="","",LEFT(Calc!$E892,4)&amp;MID(Calc!$E892,6,2)&amp;RIGHT(Calc!$E892,2)&amp;Calc!$R892&amp;"|"&amp;"1"&amp;RIGHT("00000"&amp;884,5))</f>
        <v/>
      </c>
      <c r="C889">
        <f>IF($B889="","",COUNTIFS(LdgPartyA,$A889,LdgKeyA,"&lt;"&amp;$B889)+COUNTIFS(LdgPartyB,$A889,LdgKeyB,"&lt;"&amp;$B889)+1)</f>
        <v/>
      </c>
      <c r="D889">
        <f>IF($C889="","",$A889&amp;"|"&amp;RIGHT("000000"&amp;$C889,6))</f>
        <v/>
      </c>
      <c r="F889">
        <f>IF(Sync!$AJ889="","",Sync!$AJ889)</f>
        <v/>
      </c>
      <c r="G889">
        <f>IF($F889="","",IF(Sync!$AG889="","",IF(ISNUMBER(Sync!$AG889),IF(AND(Sync!$AG889&gt;=10000101,Sync!$AG889&lt;=99991231),INT(Sync!$AG889/10000),""),IFERROR(VALUE(TRIM(LEFT(Sync!$AG889,FIND("/",Sync!$AG889)-1))),""))))</f>
        <v/>
      </c>
      <c r="H889">
        <f>IF(OR($F889="",$G889=""),"",IF(ISNUMBER(Sync!$AG889),INT(MOD(Sync!$AG889,10000)/100),IFERROR(VALUE(TRIM(LEFT(MID(Sync!$AG889,FIND("/",Sync!$AG889)+1,20),FIND("/",MID(Sync!$AG889,FIND("/",Sync!$AG889)+1,20))-1))),"")))</f>
        <v/>
      </c>
      <c r="I889">
        <f>IF(OR($F889="",$G889=""),"",IF(ISNUMBER(Sync!$AG889),MOD(Sync!$AG889,100),IFERROR(VALUE(TRIM(MID(MID(Sync!$AG889,FIND("/",Sync!$AG889)+1,20),FIND("/",MID(Sync!$AG889,FIND("/",Sync!$AG889)+1,20))+1,20))),"")))</f>
        <v/>
      </c>
      <c r="J889">
        <f>IF($F889="","",IF(OR($G889="",$H889="",$I889="",$G889&lt;1300,$G889&gt;1500,$H889&lt;1,$H889&gt;12,$I889&lt;1,$I889&gt;31),"نامعتبر",RIGHT("0000"&amp;$G889,4)&amp;"/"&amp;RIGHT("00"&amp;$H889,2)&amp;"/"&amp;RIGHT("00"&amp;$I889,2)))</f>
        <v/>
      </c>
      <c r="K889">
        <f>IF(OR($F889="",$J889="",$J889="نامعتبر"),"",LEFT($J889,4)&amp;MID($J889,6,2)&amp;RIGHT($J889,2)&amp;$N889&amp;"|"&amp;"2"&amp;RIGHT("00000"&amp;884,5))</f>
        <v/>
      </c>
      <c r="L889">
        <f>IF($K889="","",COUNTIFS(LdgPartyA,$F889,LdgKeyA,"&lt;"&amp;$K889)+COUNTIFS(LdgPartyB,$F889,LdgKeyB,"&lt;"&amp;$K889)+1)</f>
        <v/>
      </c>
      <c r="M889">
        <f>IF($L889="","",$F889&amp;"|"&amp;RIGHT("000000"&amp;$L889,6))</f>
        <v/>
      </c>
      <c r="N889">
        <f>IF($F889="","",IF(Sync!$AH889="","0000",IF(AND(ISNUMBER(Sync!$AH889),Sync!$AH889&gt;=0,Sync!$AH889&lt;1),RIGHT("00"&amp;HOUR(Sync!$AH889),2)&amp;RIGHT("00"&amp;MINUTE(Sync!$AH889),2),IFERROR(RIGHT("00"&amp;VALUE(LEFT(Sync!$AH889,FIND(":",Sync!$AH889)-1)),2)&amp;RIGHT("00"&amp;VALUE(MID(Sync!$AH889,FIND(":",Sync!$AH889)+1,2)),2),"0000"))))</f>
        <v/>
      </c>
    </row>
    <row r="890">
      <c r="A890">
        <f>IF(OR(Calc!$E893="",Calc!$E893="نامعتبر",Calc!$G893="",Calc!$I893&lt;&gt;"خرید"),"",Calc!$G893)</f>
        <v/>
      </c>
      <c r="B890">
        <f>IF($A890="","",LEFT(Calc!$E893,4)&amp;MID(Calc!$E893,6,2)&amp;RIGHT(Calc!$E893,2)&amp;Calc!$R893&amp;"|"&amp;"1"&amp;RIGHT("00000"&amp;885,5))</f>
        <v/>
      </c>
      <c r="C890">
        <f>IF($B890="","",COUNTIFS(LdgPartyA,$A890,LdgKeyA,"&lt;"&amp;$B890)+COUNTIFS(LdgPartyB,$A890,LdgKeyB,"&lt;"&amp;$B890)+1)</f>
        <v/>
      </c>
      <c r="D890">
        <f>IF($C890="","",$A890&amp;"|"&amp;RIGHT("000000"&amp;$C890,6))</f>
        <v/>
      </c>
      <c r="F890">
        <f>IF(Sync!$AJ890="","",Sync!$AJ890)</f>
        <v/>
      </c>
      <c r="G890">
        <f>IF($F890="","",IF(Sync!$AG890="","",IF(ISNUMBER(Sync!$AG890),IF(AND(Sync!$AG890&gt;=10000101,Sync!$AG890&lt;=99991231),INT(Sync!$AG890/10000),""),IFERROR(VALUE(TRIM(LEFT(Sync!$AG890,FIND("/",Sync!$AG890)-1))),""))))</f>
        <v/>
      </c>
      <c r="H890">
        <f>IF(OR($F890="",$G890=""),"",IF(ISNUMBER(Sync!$AG890),INT(MOD(Sync!$AG890,10000)/100),IFERROR(VALUE(TRIM(LEFT(MID(Sync!$AG890,FIND("/",Sync!$AG890)+1,20),FIND("/",MID(Sync!$AG890,FIND("/",Sync!$AG890)+1,20))-1))),"")))</f>
        <v/>
      </c>
      <c r="I890">
        <f>IF(OR($F890="",$G890=""),"",IF(ISNUMBER(Sync!$AG890),MOD(Sync!$AG890,100),IFERROR(VALUE(TRIM(MID(MID(Sync!$AG890,FIND("/",Sync!$AG890)+1,20),FIND("/",MID(Sync!$AG890,FIND("/",Sync!$AG890)+1,20))+1,20))),"")))</f>
        <v/>
      </c>
      <c r="J890">
        <f>IF($F890="","",IF(OR($G890="",$H890="",$I890="",$G890&lt;1300,$G890&gt;1500,$H890&lt;1,$H890&gt;12,$I890&lt;1,$I890&gt;31),"نامعتبر",RIGHT("0000"&amp;$G890,4)&amp;"/"&amp;RIGHT("00"&amp;$H890,2)&amp;"/"&amp;RIGHT("00"&amp;$I890,2)))</f>
        <v/>
      </c>
      <c r="K890">
        <f>IF(OR($F890="",$J890="",$J890="نامعتبر"),"",LEFT($J890,4)&amp;MID($J890,6,2)&amp;RIGHT($J890,2)&amp;$N890&amp;"|"&amp;"2"&amp;RIGHT("00000"&amp;885,5))</f>
        <v/>
      </c>
      <c r="L890">
        <f>IF($K890="","",COUNTIFS(LdgPartyA,$F890,LdgKeyA,"&lt;"&amp;$K890)+COUNTIFS(LdgPartyB,$F890,LdgKeyB,"&lt;"&amp;$K890)+1)</f>
        <v/>
      </c>
      <c r="M890">
        <f>IF($L890="","",$F890&amp;"|"&amp;RIGHT("000000"&amp;$L890,6))</f>
        <v/>
      </c>
      <c r="N890">
        <f>IF($F890="","",IF(Sync!$AH890="","0000",IF(AND(ISNUMBER(Sync!$AH890),Sync!$AH890&gt;=0,Sync!$AH890&lt;1),RIGHT("00"&amp;HOUR(Sync!$AH890),2)&amp;RIGHT("00"&amp;MINUTE(Sync!$AH890),2),IFERROR(RIGHT("00"&amp;VALUE(LEFT(Sync!$AH890,FIND(":",Sync!$AH890)-1)),2)&amp;RIGHT("00"&amp;VALUE(MID(Sync!$AH890,FIND(":",Sync!$AH890)+1,2)),2),"0000"))))</f>
        <v/>
      </c>
    </row>
    <row r="891">
      <c r="A891">
        <f>IF(OR(Calc!$E894="",Calc!$E894="نامعتبر",Calc!$G894="",Calc!$I894&lt;&gt;"خرید"),"",Calc!$G894)</f>
        <v/>
      </c>
      <c r="B891">
        <f>IF($A891="","",LEFT(Calc!$E894,4)&amp;MID(Calc!$E894,6,2)&amp;RIGHT(Calc!$E894,2)&amp;Calc!$R894&amp;"|"&amp;"1"&amp;RIGHT("00000"&amp;886,5))</f>
        <v/>
      </c>
      <c r="C891">
        <f>IF($B891="","",COUNTIFS(LdgPartyA,$A891,LdgKeyA,"&lt;"&amp;$B891)+COUNTIFS(LdgPartyB,$A891,LdgKeyB,"&lt;"&amp;$B891)+1)</f>
        <v/>
      </c>
      <c r="D891">
        <f>IF($C891="","",$A891&amp;"|"&amp;RIGHT("000000"&amp;$C891,6))</f>
        <v/>
      </c>
      <c r="F891">
        <f>IF(Sync!$AJ891="","",Sync!$AJ891)</f>
        <v/>
      </c>
      <c r="G891">
        <f>IF($F891="","",IF(Sync!$AG891="","",IF(ISNUMBER(Sync!$AG891),IF(AND(Sync!$AG891&gt;=10000101,Sync!$AG891&lt;=99991231),INT(Sync!$AG891/10000),""),IFERROR(VALUE(TRIM(LEFT(Sync!$AG891,FIND("/",Sync!$AG891)-1))),""))))</f>
        <v/>
      </c>
      <c r="H891">
        <f>IF(OR($F891="",$G891=""),"",IF(ISNUMBER(Sync!$AG891),INT(MOD(Sync!$AG891,10000)/100),IFERROR(VALUE(TRIM(LEFT(MID(Sync!$AG891,FIND("/",Sync!$AG891)+1,20),FIND("/",MID(Sync!$AG891,FIND("/",Sync!$AG891)+1,20))-1))),"")))</f>
        <v/>
      </c>
      <c r="I891">
        <f>IF(OR($F891="",$G891=""),"",IF(ISNUMBER(Sync!$AG891),MOD(Sync!$AG891,100),IFERROR(VALUE(TRIM(MID(MID(Sync!$AG891,FIND("/",Sync!$AG891)+1,20),FIND("/",MID(Sync!$AG891,FIND("/",Sync!$AG891)+1,20))+1,20))),"")))</f>
        <v/>
      </c>
      <c r="J891">
        <f>IF($F891="","",IF(OR($G891="",$H891="",$I891="",$G891&lt;1300,$G891&gt;1500,$H891&lt;1,$H891&gt;12,$I891&lt;1,$I891&gt;31),"نامعتبر",RIGHT("0000"&amp;$G891,4)&amp;"/"&amp;RIGHT("00"&amp;$H891,2)&amp;"/"&amp;RIGHT("00"&amp;$I891,2)))</f>
        <v/>
      </c>
      <c r="K891">
        <f>IF(OR($F891="",$J891="",$J891="نامعتبر"),"",LEFT($J891,4)&amp;MID($J891,6,2)&amp;RIGHT($J891,2)&amp;$N891&amp;"|"&amp;"2"&amp;RIGHT("00000"&amp;886,5))</f>
        <v/>
      </c>
      <c r="L891">
        <f>IF($K891="","",COUNTIFS(LdgPartyA,$F891,LdgKeyA,"&lt;"&amp;$K891)+COUNTIFS(LdgPartyB,$F891,LdgKeyB,"&lt;"&amp;$K891)+1)</f>
        <v/>
      </c>
      <c r="M891">
        <f>IF($L891="","",$F891&amp;"|"&amp;RIGHT("000000"&amp;$L891,6))</f>
        <v/>
      </c>
      <c r="N891">
        <f>IF($F891="","",IF(Sync!$AH891="","0000",IF(AND(ISNUMBER(Sync!$AH891),Sync!$AH891&gt;=0,Sync!$AH891&lt;1),RIGHT("00"&amp;HOUR(Sync!$AH891),2)&amp;RIGHT("00"&amp;MINUTE(Sync!$AH891),2),IFERROR(RIGHT("00"&amp;VALUE(LEFT(Sync!$AH891,FIND(":",Sync!$AH891)-1)),2)&amp;RIGHT("00"&amp;VALUE(MID(Sync!$AH891,FIND(":",Sync!$AH891)+1,2)),2),"0000"))))</f>
        <v/>
      </c>
    </row>
    <row r="892">
      <c r="A892">
        <f>IF(OR(Calc!$E895="",Calc!$E895="نامعتبر",Calc!$G895="",Calc!$I895&lt;&gt;"خرید"),"",Calc!$G895)</f>
        <v/>
      </c>
      <c r="B892">
        <f>IF($A892="","",LEFT(Calc!$E895,4)&amp;MID(Calc!$E895,6,2)&amp;RIGHT(Calc!$E895,2)&amp;Calc!$R895&amp;"|"&amp;"1"&amp;RIGHT("00000"&amp;887,5))</f>
        <v/>
      </c>
      <c r="C892">
        <f>IF($B892="","",COUNTIFS(LdgPartyA,$A892,LdgKeyA,"&lt;"&amp;$B892)+COUNTIFS(LdgPartyB,$A892,LdgKeyB,"&lt;"&amp;$B892)+1)</f>
        <v/>
      </c>
      <c r="D892">
        <f>IF($C892="","",$A892&amp;"|"&amp;RIGHT("000000"&amp;$C892,6))</f>
        <v/>
      </c>
      <c r="F892">
        <f>IF(Sync!$AJ892="","",Sync!$AJ892)</f>
        <v/>
      </c>
      <c r="G892">
        <f>IF($F892="","",IF(Sync!$AG892="","",IF(ISNUMBER(Sync!$AG892),IF(AND(Sync!$AG892&gt;=10000101,Sync!$AG892&lt;=99991231),INT(Sync!$AG892/10000),""),IFERROR(VALUE(TRIM(LEFT(Sync!$AG892,FIND("/",Sync!$AG892)-1))),""))))</f>
        <v/>
      </c>
      <c r="H892">
        <f>IF(OR($F892="",$G892=""),"",IF(ISNUMBER(Sync!$AG892),INT(MOD(Sync!$AG892,10000)/100),IFERROR(VALUE(TRIM(LEFT(MID(Sync!$AG892,FIND("/",Sync!$AG892)+1,20),FIND("/",MID(Sync!$AG892,FIND("/",Sync!$AG892)+1,20))-1))),"")))</f>
        <v/>
      </c>
      <c r="I892">
        <f>IF(OR($F892="",$G892=""),"",IF(ISNUMBER(Sync!$AG892),MOD(Sync!$AG892,100),IFERROR(VALUE(TRIM(MID(MID(Sync!$AG892,FIND("/",Sync!$AG892)+1,20),FIND("/",MID(Sync!$AG892,FIND("/",Sync!$AG892)+1,20))+1,20))),"")))</f>
        <v/>
      </c>
      <c r="J892">
        <f>IF($F892="","",IF(OR($G892="",$H892="",$I892="",$G892&lt;1300,$G892&gt;1500,$H892&lt;1,$H892&gt;12,$I892&lt;1,$I892&gt;31),"نامعتبر",RIGHT("0000"&amp;$G892,4)&amp;"/"&amp;RIGHT("00"&amp;$H892,2)&amp;"/"&amp;RIGHT("00"&amp;$I892,2)))</f>
        <v/>
      </c>
      <c r="K892">
        <f>IF(OR($F892="",$J892="",$J892="نامعتبر"),"",LEFT($J892,4)&amp;MID($J892,6,2)&amp;RIGHT($J892,2)&amp;$N892&amp;"|"&amp;"2"&amp;RIGHT("00000"&amp;887,5))</f>
        <v/>
      </c>
      <c r="L892">
        <f>IF($K892="","",COUNTIFS(LdgPartyA,$F892,LdgKeyA,"&lt;"&amp;$K892)+COUNTIFS(LdgPartyB,$F892,LdgKeyB,"&lt;"&amp;$K892)+1)</f>
        <v/>
      </c>
      <c r="M892">
        <f>IF($L892="","",$F892&amp;"|"&amp;RIGHT("000000"&amp;$L892,6))</f>
        <v/>
      </c>
      <c r="N892">
        <f>IF($F892="","",IF(Sync!$AH892="","0000",IF(AND(ISNUMBER(Sync!$AH892),Sync!$AH892&gt;=0,Sync!$AH892&lt;1),RIGHT("00"&amp;HOUR(Sync!$AH892),2)&amp;RIGHT("00"&amp;MINUTE(Sync!$AH892),2),IFERROR(RIGHT("00"&amp;VALUE(LEFT(Sync!$AH892,FIND(":",Sync!$AH892)-1)),2)&amp;RIGHT("00"&amp;VALUE(MID(Sync!$AH892,FIND(":",Sync!$AH892)+1,2)),2),"0000"))))</f>
        <v/>
      </c>
    </row>
    <row r="893">
      <c r="A893">
        <f>IF(OR(Calc!$E896="",Calc!$E896="نامعتبر",Calc!$G896="",Calc!$I896&lt;&gt;"خرید"),"",Calc!$G896)</f>
        <v/>
      </c>
      <c r="B893">
        <f>IF($A893="","",LEFT(Calc!$E896,4)&amp;MID(Calc!$E896,6,2)&amp;RIGHT(Calc!$E896,2)&amp;Calc!$R896&amp;"|"&amp;"1"&amp;RIGHT("00000"&amp;888,5))</f>
        <v/>
      </c>
      <c r="C893">
        <f>IF($B893="","",COUNTIFS(LdgPartyA,$A893,LdgKeyA,"&lt;"&amp;$B893)+COUNTIFS(LdgPartyB,$A893,LdgKeyB,"&lt;"&amp;$B893)+1)</f>
        <v/>
      </c>
      <c r="D893">
        <f>IF($C893="","",$A893&amp;"|"&amp;RIGHT("000000"&amp;$C893,6))</f>
        <v/>
      </c>
      <c r="F893">
        <f>IF(Sync!$AJ893="","",Sync!$AJ893)</f>
        <v/>
      </c>
      <c r="G893">
        <f>IF($F893="","",IF(Sync!$AG893="","",IF(ISNUMBER(Sync!$AG893),IF(AND(Sync!$AG893&gt;=10000101,Sync!$AG893&lt;=99991231),INT(Sync!$AG893/10000),""),IFERROR(VALUE(TRIM(LEFT(Sync!$AG893,FIND("/",Sync!$AG893)-1))),""))))</f>
        <v/>
      </c>
      <c r="H893">
        <f>IF(OR($F893="",$G893=""),"",IF(ISNUMBER(Sync!$AG893),INT(MOD(Sync!$AG893,10000)/100),IFERROR(VALUE(TRIM(LEFT(MID(Sync!$AG893,FIND("/",Sync!$AG893)+1,20),FIND("/",MID(Sync!$AG893,FIND("/",Sync!$AG893)+1,20))-1))),"")))</f>
        <v/>
      </c>
      <c r="I893">
        <f>IF(OR($F893="",$G893=""),"",IF(ISNUMBER(Sync!$AG893),MOD(Sync!$AG893,100),IFERROR(VALUE(TRIM(MID(MID(Sync!$AG893,FIND("/",Sync!$AG893)+1,20),FIND("/",MID(Sync!$AG893,FIND("/",Sync!$AG893)+1,20))+1,20))),"")))</f>
        <v/>
      </c>
      <c r="J893">
        <f>IF($F893="","",IF(OR($G893="",$H893="",$I893="",$G893&lt;1300,$G893&gt;1500,$H893&lt;1,$H893&gt;12,$I893&lt;1,$I893&gt;31),"نامعتبر",RIGHT("0000"&amp;$G893,4)&amp;"/"&amp;RIGHT("00"&amp;$H893,2)&amp;"/"&amp;RIGHT("00"&amp;$I893,2)))</f>
        <v/>
      </c>
      <c r="K893">
        <f>IF(OR($F893="",$J893="",$J893="نامعتبر"),"",LEFT($J893,4)&amp;MID($J893,6,2)&amp;RIGHT($J893,2)&amp;$N893&amp;"|"&amp;"2"&amp;RIGHT("00000"&amp;888,5))</f>
        <v/>
      </c>
      <c r="L893">
        <f>IF($K893="","",COUNTIFS(LdgPartyA,$F893,LdgKeyA,"&lt;"&amp;$K893)+COUNTIFS(LdgPartyB,$F893,LdgKeyB,"&lt;"&amp;$K893)+1)</f>
        <v/>
      </c>
      <c r="M893">
        <f>IF($L893="","",$F893&amp;"|"&amp;RIGHT("000000"&amp;$L893,6))</f>
        <v/>
      </c>
      <c r="N893">
        <f>IF($F893="","",IF(Sync!$AH893="","0000",IF(AND(ISNUMBER(Sync!$AH893),Sync!$AH893&gt;=0,Sync!$AH893&lt;1),RIGHT("00"&amp;HOUR(Sync!$AH893),2)&amp;RIGHT("00"&amp;MINUTE(Sync!$AH893),2),IFERROR(RIGHT("00"&amp;VALUE(LEFT(Sync!$AH893,FIND(":",Sync!$AH893)-1)),2)&amp;RIGHT("00"&amp;VALUE(MID(Sync!$AH893,FIND(":",Sync!$AH893)+1,2)),2),"0000"))))</f>
        <v/>
      </c>
    </row>
    <row r="894">
      <c r="A894">
        <f>IF(OR(Calc!$E897="",Calc!$E897="نامعتبر",Calc!$G897="",Calc!$I897&lt;&gt;"خرید"),"",Calc!$G897)</f>
        <v/>
      </c>
      <c r="B894">
        <f>IF($A894="","",LEFT(Calc!$E897,4)&amp;MID(Calc!$E897,6,2)&amp;RIGHT(Calc!$E897,2)&amp;Calc!$R897&amp;"|"&amp;"1"&amp;RIGHT("00000"&amp;889,5))</f>
        <v/>
      </c>
      <c r="C894">
        <f>IF($B894="","",COUNTIFS(LdgPartyA,$A894,LdgKeyA,"&lt;"&amp;$B894)+COUNTIFS(LdgPartyB,$A894,LdgKeyB,"&lt;"&amp;$B894)+1)</f>
        <v/>
      </c>
      <c r="D894">
        <f>IF($C894="","",$A894&amp;"|"&amp;RIGHT("000000"&amp;$C894,6))</f>
        <v/>
      </c>
      <c r="F894">
        <f>IF(Sync!$AJ894="","",Sync!$AJ894)</f>
        <v/>
      </c>
      <c r="G894">
        <f>IF($F894="","",IF(Sync!$AG894="","",IF(ISNUMBER(Sync!$AG894),IF(AND(Sync!$AG894&gt;=10000101,Sync!$AG894&lt;=99991231),INT(Sync!$AG894/10000),""),IFERROR(VALUE(TRIM(LEFT(Sync!$AG894,FIND("/",Sync!$AG894)-1))),""))))</f>
        <v/>
      </c>
      <c r="H894">
        <f>IF(OR($F894="",$G894=""),"",IF(ISNUMBER(Sync!$AG894),INT(MOD(Sync!$AG894,10000)/100),IFERROR(VALUE(TRIM(LEFT(MID(Sync!$AG894,FIND("/",Sync!$AG894)+1,20),FIND("/",MID(Sync!$AG894,FIND("/",Sync!$AG894)+1,20))-1))),"")))</f>
        <v/>
      </c>
      <c r="I894">
        <f>IF(OR($F894="",$G894=""),"",IF(ISNUMBER(Sync!$AG894),MOD(Sync!$AG894,100),IFERROR(VALUE(TRIM(MID(MID(Sync!$AG894,FIND("/",Sync!$AG894)+1,20),FIND("/",MID(Sync!$AG894,FIND("/",Sync!$AG894)+1,20))+1,20))),"")))</f>
        <v/>
      </c>
      <c r="J894">
        <f>IF($F894="","",IF(OR($G894="",$H894="",$I894="",$G894&lt;1300,$G894&gt;1500,$H894&lt;1,$H894&gt;12,$I894&lt;1,$I894&gt;31),"نامعتبر",RIGHT("0000"&amp;$G894,4)&amp;"/"&amp;RIGHT("00"&amp;$H894,2)&amp;"/"&amp;RIGHT("00"&amp;$I894,2)))</f>
        <v/>
      </c>
      <c r="K894">
        <f>IF(OR($F894="",$J894="",$J894="نامعتبر"),"",LEFT($J894,4)&amp;MID($J894,6,2)&amp;RIGHT($J894,2)&amp;$N894&amp;"|"&amp;"2"&amp;RIGHT("00000"&amp;889,5))</f>
        <v/>
      </c>
      <c r="L894">
        <f>IF($K894="","",COUNTIFS(LdgPartyA,$F894,LdgKeyA,"&lt;"&amp;$K894)+COUNTIFS(LdgPartyB,$F894,LdgKeyB,"&lt;"&amp;$K894)+1)</f>
        <v/>
      </c>
      <c r="M894">
        <f>IF($L894="","",$F894&amp;"|"&amp;RIGHT("000000"&amp;$L894,6))</f>
        <v/>
      </c>
      <c r="N894">
        <f>IF($F894="","",IF(Sync!$AH894="","0000",IF(AND(ISNUMBER(Sync!$AH894),Sync!$AH894&gt;=0,Sync!$AH894&lt;1),RIGHT("00"&amp;HOUR(Sync!$AH894),2)&amp;RIGHT("00"&amp;MINUTE(Sync!$AH894),2),IFERROR(RIGHT("00"&amp;VALUE(LEFT(Sync!$AH894,FIND(":",Sync!$AH894)-1)),2)&amp;RIGHT("00"&amp;VALUE(MID(Sync!$AH894,FIND(":",Sync!$AH894)+1,2)),2),"0000"))))</f>
        <v/>
      </c>
    </row>
    <row r="895">
      <c r="A895">
        <f>IF(OR(Calc!$E898="",Calc!$E898="نامعتبر",Calc!$G898="",Calc!$I898&lt;&gt;"خرید"),"",Calc!$G898)</f>
        <v/>
      </c>
      <c r="B895">
        <f>IF($A895="","",LEFT(Calc!$E898,4)&amp;MID(Calc!$E898,6,2)&amp;RIGHT(Calc!$E898,2)&amp;Calc!$R898&amp;"|"&amp;"1"&amp;RIGHT("00000"&amp;890,5))</f>
        <v/>
      </c>
      <c r="C895">
        <f>IF($B895="","",COUNTIFS(LdgPartyA,$A895,LdgKeyA,"&lt;"&amp;$B895)+COUNTIFS(LdgPartyB,$A895,LdgKeyB,"&lt;"&amp;$B895)+1)</f>
        <v/>
      </c>
      <c r="D895">
        <f>IF($C895="","",$A895&amp;"|"&amp;RIGHT("000000"&amp;$C895,6))</f>
        <v/>
      </c>
      <c r="F895">
        <f>IF(Sync!$AJ895="","",Sync!$AJ895)</f>
        <v/>
      </c>
      <c r="G895">
        <f>IF($F895="","",IF(Sync!$AG895="","",IF(ISNUMBER(Sync!$AG895),IF(AND(Sync!$AG895&gt;=10000101,Sync!$AG895&lt;=99991231),INT(Sync!$AG895/10000),""),IFERROR(VALUE(TRIM(LEFT(Sync!$AG895,FIND("/",Sync!$AG895)-1))),""))))</f>
        <v/>
      </c>
      <c r="H895">
        <f>IF(OR($F895="",$G895=""),"",IF(ISNUMBER(Sync!$AG895),INT(MOD(Sync!$AG895,10000)/100),IFERROR(VALUE(TRIM(LEFT(MID(Sync!$AG895,FIND("/",Sync!$AG895)+1,20),FIND("/",MID(Sync!$AG895,FIND("/",Sync!$AG895)+1,20))-1))),"")))</f>
        <v/>
      </c>
      <c r="I895">
        <f>IF(OR($F895="",$G895=""),"",IF(ISNUMBER(Sync!$AG895),MOD(Sync!$AG895,100),IFERROR(VALUE(TRIM(MID(MID(Sync!$AG895,FIND("/",Sync!$AG895)+1,20),FIND("/",MID(Sync!$AG895,FIND("/",Sync!$AG895)+1,20))+1,20))),"")))</f>
        <v/>
      </c>
      <c r="J895">
        <f>IF($F895="","",IF(OR($G895="",$H895="",$I895="",$G895&lt;1300,$G895&gt;1500,$H895&lt;1,$H895&gt;12,$I895&lt;1,$I895&gt;31),"نامعتبر",RIGHT("0000"&amp;$G895,4)&amp;"/"&amp;RIGHT("00"&amp;$H895,2)&amp;"/"&amp;RIGHT("00"&amp;$I895,2)))</f>
        <v/>
      </c>
      <c r="K895">
        <f>IF(OR($F895="",$J895="",$J895="نامعتبر"),"",LEFT($J895,4)&amp;MID($J895,6,2)&amp;RIGHT($J895,2)&amp;$N895&amp;"|"&amp;"2"&amp;RIGHT("00000"&amp;890,5))</f>
        <v/>
      </c>
      <c r="L895">
        <f>IF($K895="","",COUNTIFS(LdgPartyA,$F895,LdgKeyA,"&lt;"&amp;$K895)+COUNTIFS(LdgPartyB,$F895,LdgKeyB,"&lt;"&amp;$K895)+1)</f>
        <v/>
      </c>
      <c r="M895">
        <f>IF($L895="","",$F895&amp;"|"&amp;RIGHT("000000"&amp;$L895,6))</f>
        <v/>
      </c>
      <c r="N895">
        <f>IF($F895="","",IF(Sync!$AH895="","0000",IF(AND(ISNUMBER(Sync!$AH895),Sync!$AH895&gt;=0,Sync!$AH895&lt;1),RIGHT("00"&amp;HOUR(Sync!$AH895),2)&amp;RIGHT("00"&amp;MINUTE(Sync!$AH895),2),IFERROR(RIGHT("00"&amp;VALUE(LEFT(Sync!$AH895,FIND(":",Sync!$AH895)-1)),2)&amp;RIGHT("00"&amp;VALUE(MID(Sync!$AH895,FIND(":",Sync!$AH895)+1,2)),2),"0000"))))</f>
        <v/>
      </c>
    </row>
    <row r="896">
      <c r="A896">
        <f>IF(OR(Calc!$E899="",Calc!$E899="نامعتبر",Calc!$G899="",Calc!$I899&lt;&gt;"خرید"),"",Calc!$G899)</f>
        <v/>
      </c>
      <c r="B896">
        <f>IF($A896="","",LEFT(Calc!$E899,4)&amp;MID(Calc!$E899,6,2)&amp;RIGHT(Calc!$E899,2)&amp;Calc!$R899&amp;"|"&amp;"1"&amp;RIGHT("00000"&amp;891,5))</f>
        <v/>
      </c>
      <c r="C896">
        <f>IF($B896="","",COUNTIFS(LdgPartyA,$A896,LdgKeyA,"&lt;"&amp;$B896)+COUNTIFS(LdgPartyB,$A896,LdgKeyB,"&lt;"&amp;$B896)+1)</f>
        <v/>
      </c>
      <c r="D896">
        <f>IF($C896="","",$A896&amp;"|"&amp;RIGHT("000000"&amp;$C896,6))</f>
        <v/>
      </c>
      <c r="F896">
        <f>IF(Sync!$AJ896="","",Sync!$AJ896)</f>
        <v/>
      </c>
      <c r="G896">
        <f>IF($F896="","",IF(Sync!$AG896="","",IF(ISNUMBER(Sync!$AG896),IF(AND(Sync!$AG896&gt;=10000101,Sync!$AG896&lt;=99991231),INT(Sync!$AG896/10000),""),IFERROR(VALUE(TRIM(LEFT(Sync!$AG896,FIND("/",Sync!$AG896)-1))),""))))</f>
        <v/>
      </c>
      <c r="H896">
        <f>IF(OR($F896="",$G896=""),"",IF(ISNUMBER(Sync!$AG896),INT(MOD(Sync!$AG896,10000)/100),IFERROR(VALUE(TRIM(LEFT(MID(Sync!$AG896,FIND("/",Sync!$AG896)+1,20),FIND("/",MID(Sync!$AG896,FIND("/",Sync!$AG896)+1,20))-1))),"")))</f>
        <v/>
      </c>
      <c r="I896">
        <f>IF(OR($F896="",$G896=""),"",IF(ISNUMBER(Sync!$AG896),MOD(Sync!$AG896,100),IFERROR(VALUE(TRIM(MID(MID(Sync!$AG896,FIND("/",Sync!$AG896)+1,20),FIND("/",MID(Sync!$AG896,FIND("/",Sync!$AG896)+1,20))+1,20))),"")))</f>
        <v/>
      </c>
      <c r="J896">
        <f>IF($F896="","",IF(OR($G896="",$H896="",$I896="",$G896&lt;1300,$G896&gt;1500,$H896&lt;1,$H896&gt;12,$I896&lt;1,$I896&gt;31),"نامعتبر",RIGHT("0000"&amp;$G896,4)&amp;"/"&amp;RIGHT("00"&amp;$H896,2)&amp;"/"&amp;RIGHT("00"&amp;$I896,2)))</f>
        <v/>
      </c>
      <c r="K896">
        <f>IF(OR($F896="",$J896="",$J896="نامعتبر"),"",LEFT($J896,4)&amp;MID($J896,6,2)&amp;RIGHT($J896,2)&amp;$N896&amp;"|"&amp;"2"&amp;RIGHT("00000"&amp;891,5))</f>
        <v/>
      </c>
      <c r="L896">
        <f>IF($K896="","",COUNTIFS(LdgPartyA,$F896,LdgKeyA,"&lt;"&amp;$K896)+COUNTIFS(LdgPartyB,$F896,LdgKeyB,"&lt;"&amp;$K896)+1)</f>
        <v/>
      </c>
      <c r="M896">
        <f>IF($L896="","",$F896&amp;"|"&amp;RIGHT("000000"&amp;$L896,6))</f>
        <v/>
      </c>
      <c r="N896">
        <f>IF($F896="","",IF(Sync!$AH896="","0000",IF(AND(ISNUMBER(Sync!$AH896),Sync!$AH896&gt;=0,Sync!$AH896&lt;1),RIGHT("00"&amp;HOUR(Sync!$AH896),2)&amp;RIGHT("00"&amp;MINUTE(Sync!$AH896),2),IFERROR(RIGHT("00"&amp;VALUE(LEFT(Sync!$AH896,FIND(":",Sync!$AH896)-1)),2)&amp;RIGHT("00"&amp;VALUE(MID(Sync!$AH896,FIND(":",Sync!$AH896)+1,2)),2),"0000"))))</f>
        <v/>
      </c>
    </row>
    <row r="897">
      <c r="A897">
        <f>IF(OR(Calc!$E900="",Calc!$E900="نامعتبر",Calc!$G900="",Calc!$I900&lt;&gt;"خرید"),"",Calc!$G900)</f>
        <v/>
      </c>
      <c r="B897">
        <f>IF($A897="","",LEFT(Calc!$E900,4)&amp;MID(Calc!$E900,6,2)&amp;RIGHT(Calc!$E900,2)&amp;Calc!$R900&amp;"|"&amp;"1"&amp;RIGHT("00000"&amp;892,5))</f>
        <v/>
      </c>
      <c r="C897">
        <f>IF($B897="","",COUNTIFS(LdgPartyA,$A897,LdgKeyA,"&lt;"&amp;$B897)+COUNTIFS(LdgPartyB,$A897,LdgKeyB,"&lt;"&amp;$B897)+1)</f>
        <v/>
      </c>
      <c r="D897">
        <f>IF($C897="","",$A897&amp;"|"&amp;RIGHT("000000"&amp;$C897,6))</f>
        <v/>
      </c>
      <c r="F897">
        <f>IF(Sync!$AJ897="","",Sync!$AJ897)</f>
        <v/>
      </c>
      <c r="G897">
        <f>IF($F897="","",IF(Sync!$AG897="","",IF(ISNUMBER(Sync!$AG897),IF(AND(Sync!$AG897&gt;=10000101,Sync!$AG897&lt;=99991231),INT(Sync!$AG897/10000),""),IFERROR(VALUE(TRIM(LEFT(Sync!$AG897,FIND("/",Sync!$AG897)-1))),""))))</f>
        <v/>
      </c>
      <c r="H897">
        <f>IF(OR($F897="",$G897=""),"",IF(ISNUMBER(Sync!$AG897),INT(MOD(Sync!$AG897,10000)/100),IFERROR(VALUE(TRIM(LEFT(MID(Sync!$AG897,FIND("/",Sync!$AG897)+1,20),FIND("/",MID(Sync!$AG897,FIND("/",Sync!$AG897)+1,20))-1))),"")))</f>
        <v/>
      </c>
      <c r="I897">
        <f>IF(OR($F897="",$G897=""),"",IF(ISNUMBER(Sync!$AG897),MOD(Sync!$AG897,100),IFERROR(VALUE(TRIM(MID(MID(Sync!$AG897,FIND("/",Sync!$AG897)+1,20),FIND("/",MID(Sync!$AG897,FIND("/",Sync!$AG897)+1,20))+1,20))),"")))</f>
        <v/>
      </c>
      <c r="J897">
        <f>IF($F897="","",IF(OR($G897="",$H897="",$I897="",$G897&lt;1300,$G897&gt;1500,$H897&lt;1,$H897&gt;12,$I897&lt;1,$I897&gt;31),"نامعتبر",RIGHT("0000"&amp;$G897,4)&amp;"/"&amp;RIGHT("00"&amp;$H897,2)&amp;"/"&amp;RIGHT("00"&amp;$I897,2)))</f>
        <v/>
      </c>
      <c r="K897">
        <f>IF(OR($F897="",$J897="",$J897="نامعتبر"),"",LEFT($J897,4)&amp;MID($J897,6,2)&amp;RIGHT($J897,2)&amp;$N897&amp;"|"&amp;"2"&amp;RIGHT("00000"&amp;892,5))</f>
        <v/>
      </c>
      <c r="L897">
        <f>IF($K897="","",COUNTIFS(LdgPartyA,$F897,LdgKeyA,"&lt;"&amp;$K897)+COUNTIFS(LdgPartyB,$F897,LdgKeyB,"&lt;"&amp;$K897)+1)</f>
        <v/>
      </c>
      <c r="M897">
        <f>IF($L897="","",$F897&amp;"|"&amp;RIGHT("000000"&amp;$L897,6))</f>
        <v/>
      </c>
      <c r="N897">
        <f>IF($F897="","",IF(Sync!$AH897="","0000",IF(AND(ISNUMBER(Sync!$AH897),Sync!$AH897&gt;=0,Sync!$AH897&lt;1),RIGHT("00"&amp;HOUR(Sync!$AH897),2)&amp;RIGHT("00"&amp;MINUTE(Sync!$AH897),2),IFERROR(RIGHT("00"&amp;VALUE(LEFT(Sync!$AH897,FIND(":",Sync!$AH897)-1)),2)&amp;RIGHT("00"&amp;VALUE(MID(Sync!$AH897,FIND(":",Sync!$AH897)+1,2)),2),"0000"))))</f>
        <v/>
      </c>
    </row>
    <row r="898">
      <c r="A898">
        <f>IF(OR(Calc!$E901="",Calc!$E901="نامعتبر",Calc!$G901="",Calc!$I901&lt;&gt;"خرید"),"",Calc!$G901)</f>
        <v/>
      </c>
      <c r="B898">
        <f>IF($A898="","",LEFT(Calc!$E901,4)&amp;MID(Calc!$E901,6,2)&amp;RIGHT(Calc!$E901,2)&amp;Calc!$R901&amp;"|"&amp;"1"&amp;RIGHT("00000"&amp;893,5))</f>
        <v/>
      </c>
      <c r="C898">
        <f>IF($B898="","",COUNTIFS(LdgPartyA,$A898,LdgKeyA,"&lt;"&amp;$B898)+COUNTIFS(LdgPartyB,$A898,LdgKeyB,"&lt;"&amp;$B898)+1)</f>
        <v/>
      </c>
      <c r="D898">
        <f>IF($C898="","",$A898&amp;"|"&amp;RIGHT("000000"&amp;$C898,6))</f>
        <v/>
      </c>
      <c r="F898">
        <f>IF(Sync!$AJ898="","",Sync!$AJ898)</f>
        <v/>
      </c>
      <c r="G898">
        <f>IF($F898="","",IF(Sync!$AG898="","",IF(ISNUMBER(Sync!$AG898),IF(AND(Sync!$AG898&gt;=10000101,Sync!$AG898&lt;=99991231),INT(Sync!$AG898/10000),""),IFERROR(VALUE(TRIM(LEFT(Sync!$AG898,FIND("/",Sync!$AG898)-1))),""))))</f>
        <v/>
      </c>
      <c r="H898">
        <f>IF(OR($F898="",$G898=""),"",IF(ISNUMBER(Sync!$AG898),INT(MOD(Sync!$AG898,10000)/100),IFERROR(VALUE(TRIM(LEFT(MID(Sync!$AG898,FIND("/",Sync!$AG898)+1,20),FIND("/",MID(Sync!$AG898,FIND("/",Sync!$AG898)+1,20))-1))),"")))</f>
        <v/>
      </c>
      <c r="I898">
        <f>IF(OR($F898="",$G898=""),"",IF(ISNUMBER(Sync!$AG898),MOD(Sync!$AG898,100),IFERROR(VALUE(TRIM(MID(MID(Sync!$AG898,FIND("/",Sync!$AG898)+1,20),FIND("/",MID(Sync!$AG898,FIND("/",Sync!$AG898)+1,20))+1,20))),"")))</f>
        <v/>
      </c>
      <c r="J898">
        <f>IF($F898="","",IF(OR($G898="",$H898="",$I898="",$G898&lt;1300,$G898&gt;1500,$H898&lt;1,$H898&gt;12,$I898&lt;1,$I898&gt;31),"نامعتبر",RIGHT("0000"&amp;$G898,4)&amp;"/"&amp;RIGHT("00"&amp;$H898,2)&amp;"/"&amp;RIGHT("00"&amp;$I898,2)))</f>
        <v/>
      </c>
      <c r="K898">
        <f>IF(OR($F898="",$J898="",$J898="نامعتبر"),"",LEFT($J898,4)&amp;MID($J898,6,2)&amp;RIGHT($J898,2)&amp;$N898&amp;"|"&amp;"2"&amp;RIGHT("00000"&amp;893,5))</f>
        <v/>
      </c>
      <c r="L898">
        <f>IF($K898="","",COUNTIFS(LdgPartyA,$F898,LdgKeyA,"&lt;"&amp;$K898)+COUNTIFS(LdgPartyB,$F898,LdgKeyB,"&lt;"&amp;$K898)+1)</f>
        <v/>
      </c>
      <c r="M898">
        <f>IF($L898="","",$F898&amp;"|"&amp;RIGHT("000000"&amp;$L898,6))</f>
        <v/>
      </c>
      <c r="N898">
        <f>IF($F898="","",IF(Sync!$AH898="","0000",IF(AND(ISNUMBER(Sync!$AH898),Sync!$AH898&gt;=0,Sync!$AH898&lt;1),RIGHT("00"&amp;HOUR(Sync!$AH898),2)&amp;RIGHT("00"&amp;MINUTE(Sync!$AH898),2),IFERROR(RIGHT("00"&amp;VALUE(LEFT(Sync!$AH898,FIND(":",Sync!$AH898)-1)),2)&amp;RIGHT("00"&amp;VALUE(MID(Sync!$AH898,FIND(":",Sync!$AH898)+1,2)),2),"0000"))))</f>
        <v/>
      </c>
    </row>
    <row r="899">
      <c r="A899">
        <f>IF(OR(Calc!$E902="",Calc!$E902="نامعتبر",Calc!$G902="",Calc!$I902&lt;&gt;"خرید"),"",Calc!$G902)</f>
        <v/>
      </c>
      <c r="B899">
        <f>IF($A899="","",LEFT(Calc!$E902,4)&amp;MID(Calc!$E902,6,2)&amp;RIGHT(Calc!$E902,2)&amp;Calc!$R902&amp;"|"&amp;"1"&amp;RIGHT("00000"&amp;894,5))</f>
        <v/>
      </c>
      <c r="C899">
        <f>IF($B899="","",COUNTIFS(LdgPartyA,$A899,LdgKeyA,"&lt;"&amp;$B899)+COUNTIFS(LdgPartyB,$A899,LdgKeyB,"&lt;"&amp;$B899)+1)</f>
        <v/>
      </c>
      <c r="D899">
        <f>IF($C899="","",$A899&amp;"|"&amp;RIGHT("000000"&amp;$C899,6))</f>
        <v/>
      </c>
      <c r="F899">
        <f>IF(Sync!$AJ899="","",Sync!$AJ899)</f>
        <v/>
      </c>
      <c r="G899">
        <f>IF($F899="","",IF(Sync!$AG899="","",IF(ISNUMBER(Sync!$AG899),IF(AND(Sync!$AG899&gt;=10000101,Sync!$AG899&lt;=99991231),INT(Sync!$AG899/10000),""),IFERROR(VALUE(TRIM(LEFT(Sync!$AG899,FIND("/",Sync!$AG899)-1))),""))))</f>
        <v/>
      </c>
      <c r="H899">
        <f>IF(OR($F899="",$G899=""),"",IF(ISNUMBER(Sync!$AG899),INT(MOD(Sync!$AG899,10000)/100),IFERROR(VALUE(TRIM(LEFT(MID(Sync!$AG899,FIND("/",Sync!$AG899)+1,20),FIND("/",MID(Sync!$AG899,FIND("/",Sync!$AG899)+1,20))-1))),"")))</f>
        <v/>
      </c>
      <c r="I899">
        <f>IF(OR($F899="",$G899=""),"",IF(ISNUMBER(Sync!$AG899),MOD(Sync!$AG899,100),IFERROR(VALUE(TRIM(MID(MID(Sync!$AG899,FIND("/",Sync!$AG899)+1,20),FIND("/",MID(Sync!$AG899,FIND("/",Sync!$AG899)+1,20))+1,20))),"")))</f>
        <v/>
      </c>
      <c r="J899">
        <f>IF($F899="","",IF(OR($G899="",$H899="",$I899="",$G899&lt;1300,$G899&gt;1500,$H899&lt;1,$H899&gt;12,$I899&lt;1,$I899&gt;31),"نامعتبر",RIGHT("0000"&amp;$G899,4)&amp;"/"&amp;RIGHT("00"&amp;$H899,2)&amp;"/"&amp;RIGHT("00"&amp;$I899,2)))</f>
        <v/>
      </c>
      <c r="K899">
        <f>IF(OR($F899="",$J899="",$J899="نامعتبر"),"",LEFT($J899,4)&amp;MID($J899,6,2)&amp;RIGHT($J899,2)&amp;$N899&amp;"|"&amp;"2"&amp;RIGHT("00000"&amp;894,5))</f>
        <v/>
      </c>
      <c r="L899">
        <f>IF($K899="","",COUNTIFS(LdgPartyA,$F899,LdgKeyA,"&lt;"&amp;$K899)+COUNTIFS(LdgPartyB,$F899,LdgKeyB,"&lt;"&amp;$K899)+1)</f>
        <v/>
      </c>
      <c r="M899">
        <f>IF($L899="","",$F899&amp;"|"&amp;RIGHT("000000"&amp;$L899,6))</f>
        <v/>
      </c>
      <c r="N899">
        <f>IF($F899="","",IF(Sync!$AH899="","0000",IF(AND(ISNUMBER(Sync!$AH899),Sync!$AH899&gt;=0,Sync!$AH899&lt;1),RIGHT("00"&amp;HOUR(Sync!$AH899),2)&amp;RIGHT("00"&amp;MINUTE(Sync!$AH899),2),IFERROR(RIGHT("00"&amp;VALUE(LEFT(Sync!$AH899,FIND(":",Sync!$AH899)-1)),2)&amp;RIGHT("00"&amp;VALUE(MID(Sync!$AH899,FIND(":",Sync!$AH899)+1,2)),2),"0000"))))</f>
        <v/>
      </c>
    </row>
    <row r="900">
      <c r="A900">
        <f>IF(OR(Calc!$E903="",Calc!$E903="نامعتبر",Calc!$G903="",Calc!$I903&lt;&gt;"خرید"),"",Calc!$G903)</f>
        <v/>
      </c>
      <c r="B900">
        <f>IF($A900="","",LEFT(Calc!$E903,4)&amp;MID(Calc!$E903,6,2)&amp;RIGHT(Calc!$E903,2)&amp;Calc!$R903&amp;"|"&amp;"1"&amp;RIGHT("00000"&amp;895,5))</f>
        <v/>
      </c>
      <c r="C900">
        <f>IF($B900="","",COUNTIFS(LdgPartyA,$A900,LdgKeyA,"&lt;"&amp;$B900)+COUNTIFS(LdgPartyB,$A900,LdgKeyB,"&lt;"&amp;$B900)+1)</f>
        <v/>
      </c>
      <c r="D900">
        <f>IF($C900="","",$A900&amp;"|"&amp;RIGHT("000000"&amp;$C900,6))</f>
        <v/>
      </c>
      <c r="F900">
        <f>IF(Sync!$AJ900="","",Sync!$AJ900)</f>
        <v/>
      </c>
      <c r="G900">
        <f>IF($F900="","",IF(Sync!$AG900="","",IF(ISNUMBER(Sync!$AG900),IF(AND(Sync!$AG900&gt;=10000101,Sync!$AG900&lt;=99991231),INT(Sync!$AG900/10000),""),IFERROR(VALUE(TRIM(LEFT(Sync!$AG900,FIND("/",Sync!$AG900)-1))),""))))</f>
        <v/>
      </c>
      <c r="H900">
        <f>IF(OR($F900="",$G900=""),"",IF(ISNUMBER(Sync!$AG900),INT(MOD(Sync!$AG900,10000)/100),IFERROR(VALUE(TRIM(LEFT(MID(Sync!$AG900,FIND("/",Sync!$AG900)+1,20),FIND("/",MID(Sync!$AG900,FIND("/",Sync!$AG900)+1,20))-1))),"")))</f>
        <v/>
      </c>
      <c r="I900">
        <f>IF(OR($F900="",$G900=""),"",IF(ISNUMBER(Sync!$AG900),MOD(Sync!$AG900,100),IFERROR(VALUE(TRIM(MID(MID(Sync!$AG900,FIND("/",Sync!$AG900)+1,20),FIND("/",MID(Sync!$AG900,FIND("/",Sync!$AG900)+1,20))+1,20))),"")))</f>
        <v/>
      </c>
      <c r="J900">
        <f>IF($F900="","",IF(OR($G900="",$H900="",$I900="",$G900&lt;1300,$G900&gt;1500,$H900&lt;1,$H900&gt;12,$I900&lt;1,$I900&gt;31),"نامعتبر",RIGHT("0000"&amp;$G900,4)&amp;"/"&amp;RIGHT("00"&amp;$H900,2)&amp;"/"&amp;RIGHT("00"&amp;$I900,2)))</f>
        <v/>
      </c>
      <c r="K900">
        <f>IF(OR($F900="",$J900="",$J900="نامعتبر"),"",LEFT($J900,4)&amp;MID($J900,6,2)&amp;RIGHT($J900,2)&amp;$N900&amp;"|"&amp;"2"&amp;RIGHT("00000"&amp;895,5))</f>
        <v/>
      </c>
      <c r="L900">
        <f>IF($K900="","",COUNTIFS(LdgPartyA,$F900,LdgKeyA,"&lt;"&amp;$K900)+COUNTIFS(LdgPartyB,$F900,LdgKeyB,"&lt;"&amp;$K900)+1)</f>
        <v/>
      </c>
      <c r="M900">
        <f>IF($L900="","",$F900&amp;"|"&amp;RIGHT("000000"&amp;$L900,6))</f>
        <v/>
      </c>
      <c r="N900">
        <f>IF($F900="","",IF(Sync!$AH900="","0000",IF(AND(ISNUMBER(Sync!$AH900),Sync!$AH900&gt;=0,Sync!$AH900&lt;1),RIGHT("00"&amp;HOUR(Sync!$AH900),2)&amp;RIGHT("00"&amp;MINUTE(Sync!$AH900),2),IFERROR(RIGHT("00"&amp;VALUE(LEFT(Sync!$AH900,FIND(":",Sync!$AH900)-1)),2)&amp;RIGHT("00"&amp;VALUE(MID(Sync!$AH900,FIND(":",Sync!$AH900)+1,2)),2),"0000"))))</f>
        <v/>
      </c>
    </row>
    <row r="901">
      <c r="A901">
        <f>IF(OR(Calc!$E904="",Calc!$E904="نامعتبر",Calc!$G904="",Calc!$I904&lt;&gt;"خرید"),"",Calc!$G904)</f>
        <v/>
      </c>
      <c r="B901">
        <f>IF($A901="","",LEFT(Calc!$E904,4)&amp;MID(Calc!$E904,6,2)&amp;RIGHT(Calc!$E904,2)&amp;Calc!$R904&amp;"|"&amp;"1"&amp;RIGHT("00000"&amp;896,5))</f>
        <v/>
      </c>
      <c r="C901">
        <f>IF($B901="","",COUNTIFS(LdgPartyA,$A901,LdgKeyA,"&lt;"&amp;$B901)+COUNTIFS(LdgPartyB,$A901,LdgKeyB,"&lt;"&amp;$B901)+1)</f>
        <v/>
      </c>
      <c r="D901">
        <f>IF($C901="","",$A901&amp;"|"&amp;RIGHT("000000"&amp;$C901,6))</f>
        <v/>
      </c>
      <c r="F901">
        <f>IF(Sync!$AJ901="","",Sync!$AJ901)</f>
        <v/>
      </c>
      <c r="G901">
        <f>IF($F901="","",IF(Sync!$AG901="","",IF(ISNUMBER(Sync!$AG901),IF(AND(Sync!$AG901&gt;=10000101,Sync!$AG901&lt;=99991231),INT(Sync!$AG901/10000),""),IFERROR(VALUE(TRIM(LEFT(Sync!$AG901,FIND("/",Sync!$AG901)-1))),""))))</f>
        <v/>
      </c>
      <c r="H901">
        <f>IF(OR($F901="",$G901=""),"",IF(ISNUMBER(Sync!$AG901),INT(MOD(Sync!$AG901,10000)/100),IFERROR(VALUE(TRIM(LEFT(MID(Sync!$AG901,FIND("/",Sync!$AG901)+1,20),FIND("/",MID(Sync!$AG901,FIND("/",Sync!$AG901)+1,20))-1))),"")))</f>
        <v/>
      </c>
      <c r="I901">
        <f>IF(OR($F901="",$G901=""),"",IF(ISNUMBER(Sync!$AG901),MOD(Sync!$AG901,100),IFERROR(VALUE(TRIM(MID(MID(Sync!$AG901,FIND("/",Sync!$AG901)+1,20),FIND("/",MID(Sync!$AG901,FIND("/",Sync!$AG901)+1,20))+1,20))),"")))</f>
        <v/>
      </c>
      <c r="J901">
        <f>IF($F901="","",IF(OR($G901="",$H901="",$I901="",$G901&lt;1300,$G901&gt;1500,$H901&lt;1,$H901&gt;12,$I901&lt;1,$I901&gt;31),"نامعتبر",RIGHT("0000"&amp;$G901,4)&amp;"/"&amp;RIGHT("00"&amp;$H901,2)&amp;"/"&amp;RIGHT("00"&amp;$I901,2)))</f>
        <v/>
      </c>
      <c r="K901">
        <f>IF(OR($F901="",$J901="",$J901="نامعتبر"),"",LEFT($J901,4)&amp;MID($J901,6,2)&amp;RIGHT($J901,2)&amp;$N901&amp;"|"&amp;"2"&amp;RIGHT("00000"&amp;896,5))</f>
        <v/>
      </c>
      <c r="L901">
        <f>IF($K901="","",COUNTIFS(LdgPartyA,$F901,LdgKeyA,"&lt;"&amp;$K901)+COUNTIFS(LdgPartyB,$F901,LdgKeyB,"&lt;"&amp;$K901)+1)</f>
        <v/>
      </c>
      <c r="M901">
        <f>IF($L901="","",$F901&amp;"|"&amp;RIGHT("000000"&amp;$L901,6))</f>
        <v/>
      </c>
      <c r="N901">
        <f>IF($F901="","",IF(Sync!$AH901="","0000",IF(AND(ISNUMBER(Sync!$AH901),Sync!$AH901&gt;=0,Sync!$AH901&lt;1),RIGHT("00"&amp;HOUR(Sync!$AH901),2)&amp;RIGHT("00"&amp;MINUTE(Sync!$AH901),2),IFERROR(RIGHT("00"&amp;VALUE(LEFT(Sync!$AH901,FIND(":",Sync!$AH901)-1)),2)&amp;RIGHT("00"&amp;VALUE(MID(Sync!$AH901,FIND(":",Sync!$AH901)+1,2)),2),"0000"))))</f>
        <v/>
      </c>
    </row>
    <row r="902">
      <c r="A902">
        <f>IF(OR(Calc!$E905="",Calc!$E905="نامعتبر",Calc!$G905="",Calc!$I905&lt;&gt;"خرید"),"",Calc!$G905)</f>
        <v/>
      </c>
      <c r="B902">
        <f>IF($A902="","",LEFT(Calc!$E905,4)&amp;MID(Calc!$E905,6,2)&amp;RIGHT(Calc!$E905,2)&amp;Calc!$R905&amp;"|"&amp;"1"&amp;RIGHT("00000"&amp;897,5))</f>
        <v/>
      </c>
      <c r="C902">
        <f>IF($B902="","",COUNTIFS(LdgPartyA,$A902,LdgKeyA,"&lt;"&amp;$B902)+COUNTIFS(LdgPartyB,$A902,LdgKeyB,"&lt;"&amp;$B902)+1)</f>
        <v/>
      </c>
      <c r="D902">
        <f>IF($C902="","",$A902&amp;"|"&amp;RIGHT("000000"&amp;$C902,6))</f>
        <v/>
      </c>
      <c r="F902">
        <f>IF(Sync!$AJ902="","",Sync!$AJ902)</f>
        <v/>
      </c>
      <c r="G902">
        <f>IF($F902="","",IF(Sync!$AG902="","",IF(ISNUMBER(Sync!$AG902),IF(AND(Sync!$AG902&gt;=10000101,Sync!$AG902&lt;=99991231),INT(Sync!$AG902/10000),""),IFERROR(VALUE(TRIM(LEFT(Sync!$AG902,FIND("/",Sync!$AG902)-1))),""))))</f>
        <v/>
      </c>
      <c r="H902">
        <f>IF(OR($F902="",$G902=""),"",IF(ISNUMBER(Sync!$AG902),INT(MOD(Sync!$AG902,10000)/100),IFERROR(VALUE(TRIM(LEFT(MID(Sync!$AG902,FIND("/",Sync!$AG902)+1,20),FIND("/",MID(Sync!$AG902,FIND("/",Sync!$AG902)+1,20))-1))),"")))</f>
        <v/>
      </c>
      <c r="I902">
        <f>IF(OR($F902="",$G902=""),"",IF(ISNUMBER(Sync!$AG902),MOD(Sync!$AG902,100),IFERROR(VALUE(TRIM(MID(MID(Sync!$AG902,FIND("/",Sync!$AG902)+1,20),FIND("/",MID(Sync!$AG902,FIND("/",Sync!$AG902)+1,20))+1,20))),"")))</f>
        <v/>
      </c>
      <c r="J902">
        <f>IF($F902="","",IF(OR($G902="",$H902="",$I902="",$G902&lt;1300,$G902&gt;1500,$H902&lt;1,$H902&gt;12,$I902&lt;1,$I902&gt;31),"نامعتبر",RIGHT("0000"&amp;$G902,4)&amp;"/"&amp;RIGHT("00"&amp;$H902,2)&amp;"/"&amp;RIGHT("00"&amp;$I902,2)))</f>
        <v/>
      </c>
      <c r="K902">
        <f>IF(OR($F902="",$J902="",$J902="نامعتبر"),"",LEFT($J902,4)&amp;MID($J902,6,2)&amp;RIGHT($J902,2)&amp;$N902&amp;"|"&amp;"2"&amp;RIGHT("00000"&amp;897,5))</f>
        <v/>
      </c>
      <c r="L902">
        <f>IF($K902="","",COUNTIFS(LdgPartyA,$F902,LdgKeyA,"&lt;"&amp;$K902)+COUNTIFS(LdgPartyB,$F902,LdgKeyB,"&lt;"&amp;$K902)+1)</f>
        <v/>
      </c>
      <c r="M902">
        <f>IF($L902="","",$F902&amp;"|"&amp;RIGHT("000000"&amp;$L902,6))</f>
        <v/>
      </c>
      <c r="N902">
        <f>IF($F902="","",IF(Sync!$AH902="","0000",IF(AND(ISNUMBER(Sync!$AH902),Sync!$AH902&gt;=0,Sync!$AH902&lt;1),RIGHT("00"&amp;HOUR(Sync!$AH902),2)&amp;RIGHT("00"&amp;MINUTE(Sync!$AH902),2),IFERROR(RIGHT("00"&amp;VALUE(LEFT(Sync!$AH902,FIND(":",Sync!$AH902)-1)),2)&amp;RIGHT("00"&amp;VALUE(MID(Sync!$AH902,FIND(":",Sync!$AH902)+1,2)),2),"0000"))))</f>
        <v/>
      </c>
    </row>
    <row r="903">
      <c r="A903">
        <f>IF(OR(Calc!$E906="",Calc!$E906="نامعتبر",Calc!$G906="",Calc!$I906&lt;&gt;"خرید"),"",Calc!$G906)</f>
        <v/>
      </c>
      <c r="B903">
        <f>IF($A903="","",LEFT(Calc!$E906,4)&amp;MID(Calc!$E906,6,2)&amp;RIGHT(Calc!$E906,2)&amp;Calc!$R906&amp;"|"&amp;"1"&amp;RIGHT("00000"&amp;898,5))</f>
        <v/>
      </c>
      <c r="C903">
        <f>IF($B903="","",COUNTIFS(LdgPartyA,$A903,LdgKeyA,"&lt;"&amp;$B903)+COUNTIFS(LdgPartyB,$A903,LdgKeyB,"&lt;"&amp;$B903)+1)</f>
        <v/>
      </c>
      <c r="D903">
        <f>IF($C903="","",$A903&amp;"|"&amp;RIGHT("000000"&amp;$C903,6))</f>
        <v/>
      </c>
      <c r="F903">
        <f>IF(Sync!$AJ903="","",Sync!$AJ903)</f>
        <v/>
      </c>
      <c r="G903">
        <f>IF($F903="","",IF(Sync!$AG903="","",IF(ISNUMBER(Sync!$AG903),IF(AND(Sync!$AG903&gt;=10000101,Sync!$AG903&lt;=99991231),INT(Sync!$AG903/10000),""),IFERROR(VALUE(TRIM(LEFT(Sync!$AG903,FIND("/",Sync!$AG903)-1))),""))))</f>
        <v/>
      </c>
      <c r="H903">
        <f>IF(OR($F903="",$G903=""),"",IF(ISNUMBER(Sync!$AG903),INT(MOD(Sync!$AG903,10000)/100),IFERROR(VALUE(TRIM(LEFT(MID(Sync!$AG903,FIND("/",Sync!$AG903)+1,20),FIND("/",MID(Sync!$AG903,FIND("/",Sync!$AG903)+1,20))-1))),"")))</f>
        <v/>
      </c>
      <c r="I903">
        <f>IF(OR($F903="",$G903=""),"",IF(ISNUMBER(Sync!$AG903),MOD(Sync!$AG903,100),IFERROR(VALUE(TRIM(MID(MID(Sync!$AG903,FIND("/",Sync!$AG903)+1,20),FIND("/",MID(Sync!$AG903,FIND("/",Sync!$AG903)+1,20))+1,20))),"")))</f>
        <v/>
      </c>
      <c r="J903">
        <f>IF($F903="","",IF(OR($G903="",$H903="",$I903="",$G903&lt;1300,$G903&gt;1500,$H903&lt;1,$H903&gt;12,$I903&lt;1,$I903&gt;31),"نامعتبر",RIGHT("0000"&amp;$G903,4)&amp;"/"&amp;RIGHT("00"&amp;$H903,2)&amp;"/"&amp;RIGHT("00"&amp;$I903,2)))</f>
        <v/>
      </c>
      <c r="K903">
        <f>IF(OR($F903="",$J903="",$J903="نامعتبر"),"",LEFT($J903,4)&amp;MID($J903,6,2)&amp;RIGHT($J903,2)&amp;$N903&amp;"|"&amp;"2"&amp;RIGHT("00000"&amp;898,5))</f>
        <v/>
      </c>
      <c r="L903">
        <f>IF($K903="","",COUNTIFS(LdgPartyA,$F903,LdgKeyA,"&lt;"&amp;$K903)+COUNTIFS(LdgPartyB,$F903,LdgKeyB,"&lt;"&amp;$K903)+1)</f>
        <v/>
      </c>
      <c r="M903">
        <f>IF($L903="","",$F903&amp;"|"&amp;RIGHT("000000"&amp;$L903,6))</f>
        <v/>
      </c>
      <c r="N903">
        <f>IF($F903="","",IF(Sync!$AH903="","0000",IF(AND(ISNUMBER(Sync!$AH903),Sync!$AH903&gt;=0,Sync!$AH903&lt;1),RIGHT("00"&amp;HOUR(Sync!$AH903),2)&amp;RIGHT("00"&amp;MINUTE(Sync!$AH903),2),IFERROR(RIGHT("00"&amp;VALUE(LEFT(Sync!$AH903,FIND(":",Sync!$AH903)-1)),2)&amp;RIGHT("00"&amp;VALUE(MID(Sync!$AH903,FIND(":",Sync!$AH903)+1,2)),2),"0000"))))</f>
        <v/>
      </c>
    </row>
    <row r="904">
      <c r="A904">
        <f>IF(OR(Calc!$E907="",Calc!$E907="نامعتبر",Calc!$G907="",Calc!$I907&lt;&gt;"خرید"),"",Calc!$G907)</f>
        <v/>
      </c>
      <c r="B904">
        <f>IF($A904="","",LEFT(Calc!$E907,4)&amp;MID(Calc!$E907,6,2)&amp;RIGHT(Calc!$E907,2)&amp;Calc!$R907&amp;"|"&amp;"1"&amp;RIGHT("00000"&amp;899,5))</f>
        <v/>
      </c>
      <c r="C904">
        <f>IF($B904="","",COUNTIFS(LdgPartyA,$A904,LdgKeyA,"&lt;"&amp;$B904)+COUNTIFS(LdgPartyB,$A904,LdgKeyB,"&lt;"&amp;$B904)+1)</f>
        <v/>
      </c>
      <c r="D904">
        <f>IF($C904="","",$A904&amp;"|"&amp;RIGHT("000000"&amp;$C904,6))</f>
        <v/>
      </c>
      <c r="F904">
        <f>IF(Sync!$AJ904="","",Sync!$AJ904)</f>
        <v/>
      </c>
      <c r="G904">
        <f>IF($F904="","",IF(Sync!$AG904="","",IF(ISNUMBER(Sync!$AG904),IF(AND(Sync!$AG904&gt;=10000101,Sync!$AG904&lt;=99991231),INT(Sync!$AG904/10000),""),IFERROR(VALUE(TRIM(LEFT(Sync!$AG904,FIND("/",Sync!$AG904)-1))),""))))</f>
        <v/>
      </c>
      <c r="H904">
        <f>IF(OR($F904="",$G904=""),"",IF(ISNUMBER(Sync!$AG904),INT(MOD(Sync!$AG904,10000)/100),IFERROR(VALUE(TRIM(LEFT(MID(Sync!$AG904,FIND("/",Sync!$AG904)+1,20),FIND("/",MID(Sync!$AG904,FIND("/",Sync!$AG904)+1,20))-1))),"")))</f>
        <v/>
      </c>
      <c r="I904">
        <f>IF(OR($F904="",$G904=""),"",IF(ISNUMBER(Sync!$AG904),MOD(Sync!$AG904,100),IFERROR(VALUE(TRIM(MID(MID(Sync!$AG904,FIND("/",Sync!$AG904)+1,20),FIND("/",MID(Sync!$AG904,FIND("/",Sync!$AG904)+1,20))+1,20))),"")))</f>
        <v/>
      </c>
      <c r="J904">
        <f>IF($F904="","",IF(OR($G904="",$H904="",$I904="",$G904&lt;1300,$G904&gt;1500,$H904&lt;1,$H904&gt;12,$I904&lt;1,$I904&gt;31),"نامعتبر",RIGHT("0000"&amp;$G904,4)&amp;"/"&amp;RIGHT("00"&amp;$H904,2)&amp;"/"&amp;RIGHT("00"&amp;$I904,2)))</f>
        <v/>
      </c>
      <c r="K904">
        <f>IF(OR($F904="",$J904="",$J904="نامعتبر"),"",LEFT($J904,4)&amp;MID($J904,6,2)&amp;RIGHT($J904,2)&amp;$N904&amp;"|"&amp;"2"&amp;RIGHT("00000"&amp;899,5))</f>
        <v/>
      </c>
      <c r="L904">
        <f>IF($K904="","",COUNTIFS(LdgPartyA,$F904,LdgKeyA,"&lt;"&amp;$K904)+COUNTIFS(LdgPartyB,$F904,LdgKeyB,"&lt;"&amp;$K904)+1)</f>
        <v/>
      </c>
      <c r="M904">
        <f>IF($L904="","",$F904&amp;"|"&amp;RIGHT("000000"&amp;$L904,6))</f>
        <v/>
      </c>
      <c r="N904">
        <f>IF($F904="","",IF(Sync!$AH904="","0000",IF(AND(ISNUMBER(Sync!$AH904),Sync!$AH904&gt;=0,Sync!$AH904&lt;1),RIGHT("00"&amp;HOUR(Sync!$AH904),2)&amp;RIGHT("00"&amp;MINUTE(Sync!$AH904),2),IFERROR(RIGHT("00"&amp;VALUE(LEFT(Sync!$AH904,FIND(":",Sync!$AH904)-1)),2)&amp;RIGHT("00"&amp;VALUE(MID(Sync!$AH904,FIND(":",Sync!$AH904)+1,2)),2),"0000"))))</f>
        <v/>
      </c>
    </row>
    <row r="905">
      <c r="A905">
        <f>IF(OR(Calc!$E908="",Calc!$E908="نامعتبر",Calc!$G908="",Calc!$I908&lt;&gt;"خرید"),"",Calc!$G908)</f>
        <v/>
      </c>
      <c r="B905">
        <f>IF($A905="","",LEFT(Calc!$E908,4)&amp;MID(Calc!$E908,6,2)&amp;RIGHT(Calc!$E908,2)&amp;Calc!$R908&amp;"|"&amp;"1"&amp;RIGHT("00000"&amp;900,5))</f>
        <v/>
      </c>
      <c r="C905">
        <f>IF($B905="","",COUNTIFS(LdgPartyA,$A905,LdgKeyA,"&lt;"&amp;$B905)+COUNTIFS(LdgPartyB,$A905,LdgKeyB,"&lt;"&amp;$B905)+1)</f>
        <v/>
      </c>
      <c r="D905">
        <f>IF($C905="","",$A905&amp;"|"&amp;RIGHT("000000"&amp;$C905,6))</f>
        <v/>
      </c>
      <c r="F905">
        <f>IF(Sync!$AJ905="","",Sync!$AJ905)</f>
        <v/>
      </c>
      <c r="G905">
        <f>IF($F905="","",IF(Sync!$AG905="","",IF(ISNUMBER(Sync!$AG905),IF(AND(Sync!$AG905&gt;=10000101,Sync!$AG905&lt;=99991231),INT(Sync!$AG905/10000),""),IFERROR(VALUE(TRIM(LEFT(Sync!$AG905,FIND("/",Sync!$AG905)-1))),""))))</f>
        <v/>
      </c>
      <c r="H905">
        <f>IF(OR($F905="",$G905=""),"",IF(ISNUMBER(Sync!$AG905),INT(MOD(Sync!$AG905,10000)/100),IFERROR(VALUE(TRIM(LEFT(MID(Sync!$AG905,FIND("/",Sync!$AG905)+1,20),FIND("/",MID(Sync!$AG905,FIND("/",Sync!$AG905)+1,20))-1))),"")))</f>
        <v/>
      </c>
      <c r="I905">
        <f>IF(OR($F905="",$G905=""),"",IF(ISNUMBER(Sync!$AG905),MOD(Sync!$AG905,100),IFERROR(VALUE(TRIM(MID(MID(Sync!$AG905,FIND("/",Sync!$AG905)+1,20),FIND("/",MID(Sync!$AG905,FIND("/",Sync!$AG905)+1,20))+1,20))),"")))</f>
        <v/>
      </c>
      <c r="J905">
        <f>IF($F905="","",IF(OR($G905="",$H905="",$I905="",$G905&lt;1300,$G905&gt;1500,$H905&lt;1,$H905&gt;12,$I905&lt;1,$I905&gt;31),"نامعتبر",RIGHT("0000"&amp;$G905,4)&amp;"/"&amp;RIGHT("00"&amp;$H905,2)&amp;"/"&amp;RIGHT("00"&amp;$I905,2)))</f>
        <v/>
      </c>
      <c r="K905">
        <f>IF(OR($F905="",$J905="",$J905="نامعتبر"),"",LEFT($J905,4)&amp;MID($J905,6,2)&amp;RIGHT($J905,2)&amp;$N905&amp;"|"&amp;"2"&amp;RIGHT("00000"&amp;900,5))</f>
        <v/>
      </c>
      <c r="L905">
        <f>IF($K905="","",COUNTIFS(LdgPartyA,$F905,LdgKeyA,"&lt;"&amp;$K905)+COUNTIFS(LdgPartyB,$F905,LdgKeyB,"&lt;"&amp;$K905)+1)</f>
        <v/>
      </c>
      <c r="M905">
        <f>IF($L905="","",$F905&amp;"|"&amp;RIGHT("000000"&amp;$L905,6))</f>
        <v/>
      </c>
      <c r="N905">
        <f>IF($F905="","",IF(Sync!$AH905="","0000",IF(AND(ISNUMBER(Sync!$AH905),Sync!$AH905&gt;=0,Sync!$AH905&lt;1),RIGHT("00"&amp;HOUR(Sync!$AH905),2)&amp;RIGHT("00"&amp;MINUTE(Sync!$AH905),2),IFERROR(RIGHT("00"&amp;VALUE(LEFT(Sync!$AH905,FIND(":",Sync!$AH905)-1)),2)&amp;RIGHT("00"&amp;VALUE(MID(Sync!$AH905,FIND(":",Sync!$AH905)+1,2)),2),"0000"))))</f>
        <v/>
      </c>
    </row>
    <row r="906">
      <c r="A906">
        <f>IF(OR(Calc!$E909="",Calc!$E909="نامعتبر",Calc!$G909="",Calc!$I909&lt;&gt;"خرید"),"",Calc!$G909)</f>
        <v/>
      </c>
      <c r="B906">
        <f>IF($A906="","",LEFT(Calc!$E909,4)&amp;MID(Calc!$E909,6,2)&amp;RIGHT(Calc!$E909,2)&amp;Calc!$R909&amp;"|"&amp;"1"&amp;RIGHT("00000"&amp;901,5))</f>
        <v/>
      </c>
      <c r="C906">
        <f>IF($B906="","",COUNTIFS(LdgPartyA,$A906,LdgKeyA,"&lt;"&amp;$B906)+COUNTIFS(LdgPartyB,$A906,LdgKeyB,"&lt;"&amp;$B906)+1)</f>
        <v/>
      </c>
      <c r="D906">
        <f>IF($C906="","",$A906&amp;"|"&amp;RIGHT("000000"&amp;$C906,6))</f>
        <v/>
      </c>
      <c r="F906">
        <f>IF(Sync!$AJ906="","",Sync!$AJ906)</f>
        <v/>
      </c>
      <c r="G906">
        <f>IF($F906="","",IF(Sync!$AG906="","",IF(ISNUMBER(Sync!$AG906),IF(AND(Sync!$AG906&gt;=10000101,Sync!$AG906&lt;=99991231),INT(Sync!$AG906/10000),""),IFERROR(VALUE(TRIM(LEFT(Sync!$AG906,FIND("/",Sync!$AG906)-1))),""))))</f>
        <v/>
      </c>
      <c r="H906">
        <f>IF(OR($F906="",$G906=""),"",IF(ISNUMBER(Sync!$AG906),INT(MOD(Sync!$AG906,10000)/100),IFERROR(VALUE(TRIM(LEFT(MID(Sync!$AG906,FIND("/",Sync!$AG906)+1,20),FIND("/",MID(Sync!$AG906,FIND("/",Sync!$AG906)+1,20))-1))),"")))</f>
        <v/>
      </c>
      <c r="I906">
        <f>IF(OR($F906="",$G906=""),"",IF(ISNUMBER(Sync!$AG906),MOD(Sync!$AG906,100),IFERROR(VALUE(TRIM(MID(MID(Sync!$AG906,FIND("/",Sync!$AG906)+1,20),FIND("/",MID(Sync!$AG906,FIND("/",Sync!$AG906)+1,20))+1,20))),"")))</f>
        <v/>
      </c>
      <c r="J906">
        <f>IF($F906="","",IF(OR($G906="",$H906="",$I906="",$G906&lt;1300,$G906&gt;1500,$H906&lt;1,$H906&gt;12,$I906&lt;1,$I906&gt;31),"نامعتبر",RIGHT("0000"&amp;$G906,4)&amp;"/"&amp;RIGHT("00"&amp;$H906,2)&amp;"/"&amp;RIGHT("00"&amp;$I906,2)))</f>
        <v/>
      </c>
      <c r="K906">
        <f>IF(OR($F906="",$J906="",$J906="نامعتبر"),"",LEFT($J906,4)&amp;MID($J906,6,2)&amp;RIGHT($J906,2)&amp;$N906&amp;"|"&amp;"2"&amp;RIGHT("00000"&amp;901,5))</f>
        <v/>
      </c>
      <c r="L906">
        <f>IF($K906="","",COUNTIFS(LdgPartyA,$F906,LdgKeyA,"&lt;"&amp;$K906)+COUNTIFS(LdgPartyB,$F906,LdgKeyB,"&lt;"&amp;$K906)+1)</f>
        <v/>
      </c>
      <c r="M906">
        <f>IF($L906="","",$F906&amp;"|"&amp;RIGHT("000000"&amp;$L906,6))</f>
        <v/>
      </c>
      <c r="N906">
        <f>IF($F906="","",IF(Sync!$AH906="","0000",IF(AND(ISNUMBER(Sync!$AH906),Sync!$AH906&gt;=0,Sync!$AH906&lt;1),RIGHT("00"&amp;HOUR(Sync!$AH906),2)&amp;RIGHT("00"&amp;MINUTE(Sync!$AH906),2),IFERROR(RIGHT("00"&amp;VALUE(LEFT(Sync!$AH906,FIND(":",Sync!$AH906)-1)),2)&amp;RIGHT("00"&amp;VALUE(MID(Sync!$AH906,FIND(":",Sync!$AH906)+1,2)),2),"0000"))))</f>
        <v/>
      </c>
    </row>
    <row r="907">
      <c r="A907">
        <f>IF(OR(Calc!$E910="",Calc!$E910="نامعتبر",Calc!$G910="",Calc!$I910&lt;&gt;"خرید"),"",Calc!$G910)</f>
        <v/>
      </c>
      <c r="B907">
        <f>IF($A907="","",LEFT(Calc!$E910,4)&amp;MID(Calc!$E910,6,2)&amp;RIGHT(Calc!$E910,2)&amp;Calc!$R910&amp;"|"&amp;"1"&amp;RIGHT("00000"&amp;902,5))</f>
        <v/>
      </c>
      <c r="C907">
        <f>IF($B907="","",COUNTIFS(LdgPartyA,$A907,LdgKeyA,"&lt;"&amp;$B907)+COUNTIFS(LdgPartyB,$A907,LdgKeyB,"&lt;"&amp;$B907)+1)</f>
        <v/>
      </c>
      <c r="D907">
        <f>IF($C907="","",$A907&amp;"|"&amp;RIGHT("000000"&amp;$C907,6))</f>
        <v/>
      </c>
      <c r="F907">
        <f>IF(Sync!$AJ907="","",Sync!$AJ907)</f>
        <v/>
      </c>
      <c r="G907">
        <f>IF($F907="","",IF(Sync!$AG907="","",IF(ISNUMBER(Sync!$AG907),IF(AND(Sync!$AG907&gt;=10000101,Sync!$AG907&lt;=99991231),INT(Sync!$AG907/10000),""),IFERROR(VALUE(TRIM(LEFT(Sync!$AG907,FIND("/",Sync!$AG907)-1))),""))))</f>
        <v/>
      </c>
      <c r="H907">
        <f>IF(OR($F907="",$G907=""),"",IF(ISNUMBER(Sync!$AG907),INT(MOD(Sync!$AG907,10000)/100),IFERROR(VALUE(TRIM(LEFT(MID(Sync!$AG907,FIND("/",Sync!$AG907)+1,20),FIND("/",MID(Sync!$AG907,FIND("/",Sync!$AG907)+1,20))-1))),"")))</f>
        <v/>
      </c>
      <c r="I907">
        <f>IF(OR($F907="",$G907=""),"",IF(ISNUMBER(Sync!$AG907),MOD(Sync!$AG907,100),IFERROR(VALUE(TRIM(MID(MID(Sync!$AG907,FIND("/",Sync!$AG907)+1,20),FIND("/",MID(Sync!$AG907,FIND("/",Sync!$AG907)+1,20))+1,20))),"")))</f>
        <v/>
      </c>
      <c r="J907">
        <f>IF($F907="","",IF(OR($G907="",$H907="",$I907="",$G907&lt;1300,$G907&gt;1500,$H907&lt;1,$H907&gt;12,$I907&lt;1,$I907&gt;31),"نامعتبر",RIGHT("0000"&amp;$G907,4)&amp;"/"&amp;RIGHT("00"&amp;$H907,2)&amp;"/"&amp;RIGHT("00"&amp;$I907,2)))</f>
        <v/>
      </c>
      <c r="K907">
        <f>IF(OR($F907="",$J907="",$J907="نامعتبر"),"",LEFT($J907,4)&amp;MID($J907,6,2)&amp;RIGHT($J907,2)&amp;$N907&amp;"|"&amp;"2"&amp;RIGHT("00000"&amp;902,5))</f>
        <v/>
      </c>
      <c r="L907">
        <f>IF($K907="","",COUNTIFS(LdgPartyA,$F907,LdgKeyA,"&lt;"&amp;$K907)+COUNTIFS(LdgPartyB,$F907,LdgKeyB,"&lt;"&amp;$K907)+1)</f>
        <v/>
      </c>
      <c r="M907">
        <f>IF($L907="","",$F907&amp;"|"&amp;RIGHT("000000"&amp;$L907,6))</f>
        <v/>
      </c>
      <c r="N907">
        <f>IF($F907="","",IF(Sync!$AH907="","0000",IF(AND(ISNUMBER(Sync!$AH907),Sync!$AH907&gt;=0,Sync!$AH907&lt;1),RIGHT("00"&amp;HOUR(Sync!$AH907),2)&amp;RIGHT("00"&amp;MINUTE(Sync!$AH907),2),IFERROR(RIGHT("00"&amp;VALUE(LEFT(Sync!$AH907,FIND(":",Sync!$AH907)-1)),2)&amp;RIGHT("00"&amp;VALUE(MID(Sync!$AH907,FIND(":",Sync!$AH907)+1,2)),2),"0000"))))</f>
        <v/>
      </c>
    </row>
    <row r="908">
      <c r="A908">
        <f>IF(OR(Calc!$E911="",Calc!$E911="نامعتبر",Calc!$G911="",Calc!$I911&lt;&gt;"خرید"),"",Calc!$G911)</f>
        <v/>
      </c>
      <c r="B908">
        <f>IF($A908="","",LEFT(Calc!$E911,4)&amp;MID(Calc!$E911,6,2)&amp;RIGHT(Calc!$E911,2)&amp;Calc!$R911&amp;"|"&amp;"1"&amp;RIGHT("00000"&amp;903,5))</f>
        <v/>
      </c>
      <c r="C908">
        <f>IF($B908="","",COUNTIFS(LdgPartyA,$A908,LdgKeyA,"&lt;"&amp;$B908)+COUNTIFS(LdgPartyB,$A908,LdgKeyB,"&lt;"&amp;$B908)+1)</f>
        <v/>
      </c>
      <c r="D908">
        <f>IF($C908="","",$A908&amp;"|"&amp;RIGHT("000000"&amp;$C908,6))</f>
        <v/>
      </c>
      <c r="F908">
        <f>IF(Sync!$AJ908="","",Sync!$AJ908)</f>
        <v/>
      </c>
      <c r="G908">
        <f>IF($F908="","",IF(Sync!$AG908="","",IF(ISNUMBER(Sync!$AG908),IF(AND(Sync!$AG908&gt;=10000101,Sync!$AG908&lt;=99991231),INT(Sync!$AG908/10000),""),IFERROR(VALUE(TRIM(LEFT(Sync!$AG908,FIND("/",Sync!$AG908)-1))),""))))</f>
        <v/>
      </c>
      <c r="H908">
        <f>IF(OR($F908="",$G908=""),"",IF(ISNUMBER(Sync!$AG908),INT(MOD(Sync!$AG908,10000)/100),IFERROR(VALUE(TRIM(LEFT(MID(Sync!$AG908,FIND("/",Sync!$AG908)+1,20),FIND("/",MID(Sync!$AG908,FIND("/",Sync!$AG908)+1,20))-1))),"")))</f>
        <v/>
      </c>
      <c r="I908">
        <f>IF(OR($F908="",$G908=""),"",IF(ISNUMBER(Sync!$AG908),MOD(Sync!$AG908,100),IFERROR(VALUE(TRIM(MID(MID(Sync!$AG908,FIND("/",Sync!$AG908)+1,20),FIND("/",MID(Sync!$AG908,FIND("/",Sync!$AG908)+1,20))+1,20))),"")))</f>
        <v/>
      </c>
      <c r="J908">
        <f>IF($F908="","",IF(OR($G908="",$H908="",$I908="",$G908&lt;1300,$G908&gt;1500,$H908&lt;1,$H908&gt;12,$I908&lt;1,$I908&gt;31),"نامعتبر",RIGHT("0000"&amp;$G908,4)&amp;"/"&amp;RIGHT("00"&amp;$H908,2)&amp;"/"&amp;RIGHT("00"&amp;$I908,2)))</f>
        <v/>
      </c>
      <c r="K908">
        <f>IF(OR($F908="",$J908="",$J908="نامعتبر"),"",LEFT($J908,4)&amp;MID($J908,6,2)&amp;RIGHT($J908,2)&amp;$N908&amp;"|"&amp;"2"&amp;RIGHT("00000"&amp;903,5))</f>
        <v/>
      </c>
      <c r="L908">
        <f>IF($K908="","",COUNTIFS(LdgPartyA,$F908,LdgKeyA,"&lt;"&amp;$K908)+COUNTIFS(LdgPartyB,$F908,LdgKeyB,"&lt;"&amp;$K908)+1)</f>
        <v/>
      </c>
      <c r="M908">
        <f>IF($L908="","",$F908&amp;"|"&amp;RIGHT("000000"&amp;$L908,6))</f>
        <v/>
      </c>
      <c r="N908">
        <f>IF($F908="","",IF(Sync!$AH908="","0000",IF(AND(ISNUMBER(Sync!$AH908),Sync!$AH908&gt;=0,Sync!$AH908&lt;1),RIGHT("00"&amp;HOUR(Sync!$AH908),2)&amp;RIGHT("00"&amp;MINUTE(Sync!$AH908),2),IFERROR(RIGHT("00"&amp;VALUE(LEFT(Sync!$AH908,FIND(":",Sync!$AH908)-1)),2)&amp;RIGHT("00"&amp;VALUE(MID(Sync!$AH908,FIND(":",Sync!$AH908)+1,2)),2),"0000"))))</f>
        <v/>
      </c>
    </row>
    <row r="909">
      <c r="A909">
        <f>IF(OR(Calc!$E912="",Calc!$E912="نامعتبر",Calc!$G912="",Calc!$I912&lt;&gt;"خرید"),"",Calc!$G912)</f>
        <v/>
      </c>
      <c r="B909">
        <f>IF($A909="","",LEFT(Calc!$E912,4)&amp;MID(Calc!$E912,6,2)&amp;RIGHT(Calc!$E912,2)&amp;Calc!$R912&amp;"|"&amp;"1"&amp;RIGHT("00000"&amp;904,5))</f>
        <v/>
      </c>
      <c r="C909">
        <f>IF($B909="","",COUNTIFS(LdgPartyA,$A909,LdgKeyA,"&lt;"&amp;$B909)+COUNTIFS(LdgPartyB,$A909,LdgKeyB,"&lt;"&amp;$B909)+1)</f>
        <v/>
      </c>
      <c r="D909">
        <f>IF($C909="","",$A909&amp;"|"&amp;RIGHT("000000"&amp;$C909,6))</f>
        <v/>
      </c>
      <c r="F909">
        <f>IF(Sync!$AJ909="","",Sync!$AJ909)</f>
        <v/>
      </c>
      <c r="G909">
        <f>IF($F909="","",IF(Sync!$AG909="","",IF(ISNUMBER(Sync!$AG909),IF(AND(Sync!$AG909&gt;=10000101,Sync!$AG909&lt;=99991231),INT(Sync!$AG909/10000),""),IFERROR(VALUE(TRIM(LEFT(Sync!$AG909,FIND("/",Sync!$AG909)-1))),""))))</f>
        <v/>
      </c>
      <c r="H909">
        <f>IF(OR($F909="",$G909=""),"",IF(ISNUMBER(Sync!$AG909),INT(MOD(Sync!$AG909,10000)/100),IFERROR(VALUE(TRIM(LEFT(MID(Sync!$AG909,FIND("/",Sync!$AG909)+1,20),FIND("/",MID(Sync!$AG909,FIND("/",Sync!$AG909)+1,20))-1))),"")))</f>
        <v/>
      </c>
      <c r="I909">
        <f>IF(OR($F909="",$G909=""),"",IF(ISNUMBER(Sync!$AG909),MOD(Sync!$AG909,100),IFERROR(VALUE(TRIM(MID(MID(Sync!$AG909,FIND("/",Sync!$AG909)+1,20),FIND("/",MID(Sync!$AG909,FIND("/",Sync!$AG909)+1,20))+1,20))),"")))</f>
        <v/>
      </c>
      <c r="J909">
        <f>IF($F909="","",IF(OR($G909="",$H909="",$I909="",$G909&lt;1300,$G909&gt;1500,$H909&lt;1,$H909&gt;12,$I909&lt;1,$I909&gt;31),"نامعتبر",RIGHT("0000"&amp;$G909,4)&amp;"/"&amp;RIGHT("00"&amp;$H909,2)&amp;"/"&amp;RIGHT("00"&amp;$I909,2)))</f>
        <v/>
      </c>
      <c r="K909">
        <f>IF(OR($F909="",$J909="",$J909="نامعتبر"),"",LEFT($J909,4)&amp;MID($J909,6,2)&amp;RIGHT($J909,2)&amp;$N909&amp;"|"&amp;"2"&amp;RIGHT("00000"&amp;904,5))</f>
        <v/>
      </c>
      <c r="L909">
        <f>IF($K909="","",COUNTIFS(LdgPartyA,$F909,LdgKeyA,"&lt;"&amp;$K909)+COUNTIFS(LdgPartyB,$F909,LdgKeyB,"&lt;"&amp;$K909)+1)</f>
        <v/>
      </c>
      <c r="M909">
        <f>IF($L909="","",$F909&amp;"|"&amp;RIGHT("000000"&amp;$L909,6))</f>
        <v/>
      </c>
      <c r="N909">
        <f>IF($F909="","",IF(Sync!$AH909="","0000",IF(AND(ISNUMBER(Sync!$AH909),Sync!$AH909&gt;=0,Sync!$AH909&lt;1),RIGHT("00"&amp;HOUR(Sync!$AH909),2)&amp;RIGHT("00"&amp;MINUTE(Sync!$AH909),2),IFERROR(RIGHT("00"&amp;VALUE(LEFT(Sync!$AH909,FIND(":",Sync!$AH909)-1)),2)&amp;RIGHT("00"&amp;VALUE(MID(Sync!$AH909,FIND(":",Sync!$AH909)+1,2)),2),"0000"))))</f>
        <v/>
      </c>
    </row>
    <row r="910">
      <c r="A910">
        <f>IF(OR(Calc!$E913="",Calc!$E913="نامعتبر",Calc!$G913="",Calc!$I913&lt;&gt;"خرید"),"",Calc!$G913)</f>
        <v/>
      </c>
      <c r="B910">
        <f>IF($A910="","",LEFT(Calc!$E913,4)&amp;MID(Calc!$E913,6,2)&amp;RIGHT(Calc!$E913,2)&amp;Calc!$R913&amp;"|"&amp;"1"&amp;RIGHT("00000"&amp;905,5))</f>
        <v/>
      </c>
      <c r="C910">
        <f>IF($B910="","",COUNTIFS(LdgPartyA,$A910,LdgKeyA,"&lt;"&amp;$B910)+COUNTIFS(LdgPartyB,$A910,LdgKeyB,"&lt;"&amp;$B910)+1)</f>
        <v/>
      </c>
      <c r="D910">
        <f>IF($C910="","",$A910&amp;"|"&amp;RIGHT("000000"&amp;$C910,6))</f>
        <v/>
      </c>
      <c r="F910">
        <f>IF(Sync!$AJ910="","",Sync!$AJ910)</f>
        <v/>
      </c>
      <c r="G910">
        <f>IF($F910="","",IF(Sync!$AG910="","",IF(ISNUMBER(Sync!$AG910),IF(AND(Sync!$AG910&gt;=10000101,Sync!$AG910&lt;=99991231),INT(Sync!$AG910/10000),""),IFERROR(VALUE(TRIM(LEFT(Sync!$AG910,FIND("/",Sync!$AG910)-1))),""))))</f>
        <v/>
      </c>
      <c r="H910">
        <f>IF(OR($F910="",$G910=""),"",IF(ISNUMBER(Sync!$AG910),INT(MOD(Sync!$AG910,10000)/100),IFERROR(VALUE(TRIM(LEFT(MID(Sync!$AG910,FIND("/",Sync!$AG910)+1,20),FIND("/",MID(Sync!$AG910,FIND("/",Sync!$AG910)+1,20))-1))),"")))</f>
        <v/>
      </c>
      <c r="I910">
        <f>IF(OR($F910="",$G910=""),"",IF(ISNUMBER(Sync!$AG910),MOD(Sync!$AG910,100),IFERROR(VALUE(TRIM(MID(MID(Sync!$AG910,FIND("/",Sync!$AG910)+1,20),FIND("/",MID(Sync!$AG910,FIND("/",Sync!$AG910)+1,20))+1,20))),"")))</f>
        <v/>
      </c>
      <c r="J910">
        <f>IF($F910="","",IF(OR($G910="",$H910="",$I910="",$G910&lt;1300,$G910&gt;1500,$H910&lt;1,$H910&gt;12,$I910&lt;1,$I910&gt;31),"نامعتبر",RIGHT("0000"&amp;$G910,4)&amp;"/"&amp;RIGHT("00"&amp;$H910,2)&amp;"/"&amp;RIGHT("00"&amp;$I910,2)))</f>
        <v/>
      </c>
      <c r="K910">
        <f>IF(OR($F910="",$J910="",$J910="نامعتبر"),"",LEFT($J910,4)&amp;MID($J910,6,2)&amp;RIGHT($J910,2)&amp;$N910&amp;"|"&amp;"2"&amp;RIGHT("00000"&amp;905,5))</f>
        <v/>
      </c>
      <c r="L910">
        <f>IF($K910="","",COUNTIFS(LdgPartyA,$F910,LdgKeyA,"&lt;"&amp;$K910)+COUNTIFS(LdgPartyB,$F910,LdgKeyB,"&lt;"&amp;$K910)+1)</f>
        <v/>
      </c>
      <c r="M910">
        <f>IF($L910="","",$F910&amp;"|"&amp;RIGHT("000000"&amp;$L910,6))</f>
        <v/>
      </c>
      <c r="N910">
        <f>IF($F910="","",IF(Sync!$AH910="","0000",IF(AND(ISNUMBER(Sync!$AH910),Sync!$AH910&gt;=0,Sync!$AH910&lt;1),RIGHT("00"&amp;HOUR(Sync!$AH910),2)&amp;RIGHT("00"&amp;MINUTE(Sync!$AH910),2),IFERROR(RIGHT("00"&amp;VALUE(LEFT(Sync!$AH910,FIND(":",Sync!$AH910)-1)),2)&amp;RIGHT("00"&amp;VALUE(MID(Sync!$AH910,FIND(":",Sync!$AH910)+1,2)),2),"0000"))))</f>
        <v/>
      </c>
    </row>
    <row r="911">
      <c r="A911">
        <f>IF(OR(Calc!$E914="",Calc!$E914="نامعتبر",Calc!$G914="",Calc!$I914&lt;&gt;"خرید"),"",Calc!$G914)</f>
        <v/>
      </c>
      <c r="B911">
        <f>IF($A911="","",LEFT(Calc!$E914,4)&amp;MID(Calc!$E914,6,2)&amp;RIGHT(Calc!$E914,2)&amp;Calc!$R914&amp;"|"&amp;"1"&amp;RIGHT("00000"&amp;906,5))</f>
        <v/>
      </c>
      <c r="C911">
        <f>IF($B911="","",COUNTIFS(LdgPartyA,$A911,LdgKeyA,"&lt;"&amp;$B911)+COUNTIFS(LdgPartyB,$A911,LdgKeyB,"&lt;"&amp;$B911)+1)</f>
        <v/>
      </c>
      <c r="D911">
        <f>IF($C911="","",$A911&amp;"|"&amp;RIGHT("000000"&amp;$C911,6))</f>
        <v/>
      </c>
      <c r="F911">
        <f>IF(Sync!$AJ911="","",Sync!$AJ911)</f>
        <v/>
      </c>
      <c r="G911">
        <f>IF($F911="","",IF(Sync!$AG911="","",IF(ISNUMBER(Sync!$AG911),IF(AND(Sync!$AG911&gt;=10000101,Sync!$AG911&lt;=99991231),INT(Sync!$AG911/10000),""),IFERROR(VALUE(TRIM(LEFT(Sync!$AG911,FIND("/",Sync!$AG911)-1))),""))))</f>
        <v/>
      </c>
      <c r="H911">
        <f>IF(OR($F911="",$G911=""),"",IF(ISNUMBER(Sync!$AG911),INT(MOD(Sync!$AG911,10000)/100),IFERROR(VALUE(TRIM(LEFT(MID(Sync!$AG911,FIND("/",Sync!$AG911)+1,20),FIND("/",MID(Sync!$AG911,FIND("/",Sync!$AG911)+1,20))-1))),"")))</f>
        <v/>
      </c>
      <c r="I911">
        <f>IF(OR($F911="",$G911=""),"",IF(ISNUMBER(Sync!$AG911),MOD(Sync!$AG911,100),IFERROR(VALUE(TRIM(MID(MID(Sync!$AG911,FIND("/",Sync!$AG911)+1,20),FIND("/",MID(Sync!$AG911,FIND("/",Sync!$AG911)+1,20))+1,20))),"")))</f>
        <v/>
      </c>
      <c r="J911">
        <f>IF($F911="","",IF(OR($G911="",$H911="",$I911="",$G911&lt;1300,$G911&gt;1500,$H911&lt;1,$H911&gt;12,$I911&lt;1,$I911&gt;31),"نامعتبر",RIGHT("0000"&amp;$G911,4)&amp;"/"&amp;RIGHT("00"&amp;$H911,2)&amp;"/"&amp;RIGHT("00"&amp;$I911,2)))</f>
        <v/>
      </c>
      <c r="K911">
        <f>IF(OR($F911="",$J911="",$J911="نامعتبر"),"",LEFT($J911,4)&amp;MID($J911,6,2)&amp;RIGHT($J911,2)&amp;$N911&amp;"|"&amp;"2"&amp;RIGHT("00000"&amp;906,5))</f>
        <v/>
      </c>
      <c r="L911">
        <f>IF($K911="","",COUNTIFS(LdgPartyA,$F911,LdgKeyA,"&lt;"&amp;$K911)+COUNTIFS(LdgPartyB,$F911,LdgKeyB,"&lt;"&amp;$K911)+1)</f>
        <v/>
      </c>
      <c r="M911">
        <f>IF($L911="","",$F911&amp;"|"&amp;RIGHT("000000"&amp;$L911,6))</f>
        <v/>
      </c>
      <c r="N911">
        <f>IF($F911="","",IF(Sync!$AH911="","0000",IF(AND(ISNUMBER(Sync!$AH911),Sync!$AH911&gt;=0,Sync!$AH911&lt;1),RIGHT("00"&amp;HOUR(Sync!$AH911),2)&amp;RIGHT("00"&amp;MINUTE(Sync!$AH911),2),IFERROR(RIGHT("00"&amp;VALUE(LEFT(Sync!$AH911,FIND(":",Sync!$AH911)-1)),2)&amp;RIGHT("00"&amp;VALUE(MID(Sync!$AH911,FIND(":",Sync!$AH911)+1,2)),2),"0000"))))</f>
        <v/>
      </c>
    </row>
    <row r="912">
      <c r="A912">
        <f>IF(OR(Calc!$E915="",Calc!$E915="نامعتبر",Calc!$G915="",Calc!$I915&lt;&gt;"خرید"),"",Calc!$G915)</f>
        <v/>
      </c>
      <c r="B912">
        <f>IF($A912="","",LEFT(Calc!$E915,4)&amp;MID(Calc!$E915,6,2)&amp;RIGHT(Calc!$E915,2)&amp;Calc!$R915&amp;"|"&amp;"1"&amp;RIGHT("00000"&amp;907,5))</f>
        <v/>
      </c>
      <c r="C912">
        <f>IF($B912="","",COUNTIFS(LdgPartyA,$A912,LdgKeyA,"&lt;"&amp;$B912)+COUNTIFS(LdgPartyB,$A912,LdgKeyB,"&lt;"&amp;$B912)+1)</f>
        <v/>
      </c>
      <c r="D912">
        <f>IF($C912="","",$A912&amp;"|"&amp;RIGHT("000000"&amp;$C912,6))</f>
        <v/>
      </c>
      <c r="F912">
        <f>IF(Sync!$AJ912="","",Sync!$AJ912)</f>
        <v/>
      </c>
      <c r="G912">
        <f>IF($F912="","",IF(Sync!$AG912="","",IF(ISNUMBER(Sync!$AG912),IF(AND(Sync!$AG912&gt;=10000101,Sync!$AG912&lt;=99991231),INT(Sync!$AG912/10000),""),IFERROR(VALUE(TRIM(LEFT(Sync!$AG912,FIND("/",Sync!$AG912)-1))),""))))</f>
        <v/>
      </c>
      <c r="H912">
        <f>IF(OR($F912="",$G912=""),"",IF(ISNUMBER(Sync!$AG912),INT(MOD(Sync!$AG912,10000)/100),IFERROR(VALUE(TRIM(LEFT(MID(Sync!$AG912,FIND("/",Sync!$AG912)+1,20),FIND("/",MID(Sync!$AG912,FIND("/",Sync!$AG912)+1,20))-1))),"")))</f>
        <v/>
      </c>
      <c r="I912">
        <f>IF(OR($F912="",$G912=""),"",IF(ISNUMBER(Sync!$AG912),MOD(Sync!$AG912,100),IFERROR(VALUE(TRIM(MID(MID(Sync!$AG912,FIND("/",Sync!$AG912)+1,20),FIND("/",MID(Sync!$AG912,FIND("/",Sync!$AG912)+1,20))+1,20))),"")))</f>
        <v/>
      </c>
      <c r="J912">
        <f>IF($F912="","",IF(OR($G912="",$H912="",$I912="",$G912&lt;1300,$G912&gt;1500,$H912&lt;1,$H912&gt;12,$I912&lt;1,$I912&gt;31),"نامعتبر",RIGHT("0000"&amp;$G912,4)&amp;"/"&amp;RIGHT("00"&amp;$H912,2)&amp;"/"&amp;RIGHT("00"&amp;$I912,2)))</f>
        <v/>
      </c>
      <c r="K912">
        <f>IF(OR($F912="",$J912="",$J912="نامعتبر"),"",LEFT($J912,4)&amp;MID($J912,6,2)&amp;RIGHT($J912,2)&amp;$N912&amp;"|"&amp;"2"&amp;RIGHT("00000"&amp;907,5))</f>
        <v/>
      </c>
      <c r="L912">
        <f>IF($K912="","",COUNTIFS(LdgPartyA,$F912,LdgKeyA,"&lt;"&amp;$K912)+COUNTIFS(LdgPartyB,$F912,LdgKeyB,"&lt;"&amp;$K912)+1)</f>
        <v/>
      </c>
      <c r="M912">
        <f>IF($L912="","",$F912&amp;"|"&amp;RIGHT("000000"&amp;$L912,6))</f>
        <v/>
      </c>
      <c r="N912">
        <f>IF($F912="","",IF(Sync!$AH912="","0000",IF(AND(ISNUMBER(Sync!$AH912),Sync!$AH912&gt;=0,Sync!$AH912&lt;1),RIGHT("00"&amp;HOUR(Sync!$AH912),2)&amp;RIGHT("00"&amp;MINUTE(Sync!$AH912),2),IFERROR(RIGHT("00"&amp;VALUE(LEFT(Sync!$AH912,FIND(":",Sync!$AH912)-1)),2)&amp;RIGHT("00"&amp;VALUE(MID(Sync!$AH912,FIND(":",Sync!$AH912)+1,2)),2),"0000"))))</f>
        <v/>
      </c>
    </row>
    <row r="913">
      <c r="A913">
        <f>IF(OR(Calc!$E916="",Calc!$E916="نامعتبر",Calc!$G916="",Calc!$I916&lt;&gt;"خرید"),"",Calc!$G916)</f>
        <v/>
      </c>
      <c r="B913">
        <f>IF($A913="","",LEFT(Calc!$E916,4)&amp;MID(Calc!$E916,6,2)&amp;RIGHT(Calc!$E916,2)&amp;Calc!$R916&amp;"|"&amp;"1"&amp;RIGHT("00000"&amp;908,5))</f>
        <v/>
      </c>
      <c r="C913">
        <f>IF($B913="","",COUNTIFS(LdgPartyA,$A913,LdgKeyA,"&lt;"&amp;$B913)+COUNTIFS(LdgPartyB,$A913,LdgKeyB,"&lt;"&amp;$B913)+1)</f>
        <v/>
      </c>
      <c r="D913">
        <f>IF($C913="","",$A913&amp;"|"&amp;RIGHT("000000"&amp;$C913,6))</f>
        <v/>
      </c>
      <c r="F913">
        <f>IF(Sync!$AJ913="","",Sync!$AJ913)</f>
        <v/>
      </c>
      <c r="G913">
        <f>IF($F913="","",IF(Sync!$AG913="","",IF(ISNUMBER(Sync!$AG913),IF(AND(Sync!$AG913&gt;=10000101,Sync!$AG913&lt;=99991231),INT(Sync!$AG913/10000),""),IFERROR(VALUE(TRIM(LEFT(Sync!$AG913,FIND("/",Sync!$AG913)-1))),""))))</f>
        <v/>
      </c>
      <c r="H913">
        <f>IF(OR($F913="",$G913=""),"",IF(ISNUMBER(Sync!$AG913),INT(MOD(Sync!$AG913,10000)/100),IFERROR(VALUE(TRIM(LEFT(MID(Sync!$AG913,FIND("/",Sync!$AG913)+1,20),FIND("/",MID(Sync!$AG913,FIND("/",Sync!$AG913)+1,20))-1))),"")))</f>
        <v/>
      </c>
      <c r="I913">
        <f>IF(OR($F913="",$G913=""),"",IF(ISNUMBER(Sync!$AG913),MOD(Sync!$AG913,100),IFERROR(VALUE(TRIM(MID(MID(Sync!$AG913,FIND("/",Sync!$AG913)+1,20),FIND("/",MID(Sync!$AG913,FIND("/",Sync!$AG913)+1,20))+1,20))),"")))</f>
        <v/>
      </c>
      <c r="J913">
        <f>IF($F913="","",IF(OR($G913="",$H913="",$I913="",$G913&lt;1300,$G913&gt;1500,$H913&lt;1,$H913&gt;12,$I913&lt;1,$I913&gt;31),"نامعتبر",RIGHT("0000"&amp;$G913,4)&amp;"/"&amp;RIGHT("00"&amp;$H913,2)&amp;"/"&amp;RIGHT("00"&amp;$I913,2)))</f>
        <v/>
      </c>
      <c r="K913">
        <f>IF(OR($F913="",$J913="",$J913="نامعتبر"),"",LEFT($J913,4)&amp;MID($J913,6,2)&amp;RIGHT($J913,2)&amp;$N913&amp;"|"&amp;"2"&amp;RIGHT("00000"&amp;908,5))</f>
        <v/>
      </c>
      <c r="L913">
        <f>IF($K913="","",COUNTIFS(LdgPartyA,$F913,LdgKeyA,"&lt;"&amp;$K913)+COUNTIFS(LdgPartyB,$F913,LdgKeyB,"&lt;"&amp;$K913)+1)</f>
        <v/>
      </c>
      <c r="M913">
        <f>IF($L913="","",$F913&amp;"|"&amp;RIGHT("000000"&amp;$L913,6))</f>
        <v/>
      </c>
      <c r="N913">
        <f>IF($F913="","",IF(Sync!$AH913="","0000",IF(AND(ISNUMBER(Sync!$AH913),Sync!$AH913&gt;=0,Sync!$AH913&lt;1),RIGHT("00"&amp;HOUR(Sync!$AH913),2)&amp;RIGHT("00"&amp;MINUTE(Sync!$AH913),2),IFERROR(RIGHT("00"&amp;VALUE(LEFT(Sync!$AH913,FIND(":",Sync!$AH913)-1)),2)&amp;RIGHT("00"&amp;VALUE(MID(Sync!$AH913,FIND(":",Sync!$AH913)+1,2)),2),"0000"))))</f>
        <v/>
      </c>
    </row>
    <row r="914">
      <c r="A914">
        <f>IF(OR(Calc!$E917="",Calc!$E917="نامعتبر",Calc!$G917="",Calc!$I917&lt;&gt;"خرید"),"",Calc!$G917)</f>
        <v/>
      </c>
      <c r="B914">
        <f>IF($A914="","",LEFT(Calc!$E917,4)&amp;MID(Calc!$E917,6,2)&amp;RIGHT(Calc!$E917,2)&amp;Calc!$R917&amp;"|"&amp;"1"&amp;RIGHT("00000"&amp;909,5))</f>
        <v/>
      </c>
      <c r="C914">
        <f>IF($B914="","",COUNTIFS(LdgPartyA,$A914,LdgKeyA,"&lt;"&amp;$B914)+COUNTIFS(LdgPartyB,$A914,LdgKeyB,"&lt;"&amp;$B914)+1)</f>
        <v/>
      </c>
      <c r="D914">
        <f>IF($C914="","",$A914&amp;"|"&amp;RIGHT("000000"&amp;$C914,6))</f>
        <v/>
      </c>
      <c r="F914">
        <f>IF(Sync!$AJ914="","",Sync!$AJ914)</f>
        <v/>
      </c>
      <c r="G914">
        <f>IF($F914="","",IF(Sync!$AG914="","",IF(ISNUMBER(Sync!$AG914),IF(AND(Sync!$AG914&gt;=10000101,Sync!$AG914&lt;=99991231),INT(Sync!$AG914/10000),""),IFERROR(VALUE(TRIM(LEFT(Sync!$AG914,FIND("/",Sync!$AG914)-1))),""))))</f>
        <v/>
      </c>
      <c r="H914">
        <f>IF(OR($F914="",$G914=""),"",IF(ISNUMBER(Sync!$AG914),INT(MOD(Sync!$AG914,10000)/100),IFERROR(VALUE(TRIM(LEFT(MID(Sync!$AG914,FIND("/",Sync!$AG914)+1,20),FIND("/",MID(Sync!$AG914,FIND("/",Sync!$AG914)+1,20))-1))),"")))</f>
        <v/>
      </c>
      <c r="I914">
        <f>IF(OR($F914="",$G914=""),"",IF(ISNUMBER(Sync!$AG914),MOD(Sync!$AG914,100),IFERROR(VALUE(TRIM(MID(MID(Sync!$AG914,FIND("/",Sync!$AG914)+1,20),FIND("/",MID(Sync!$AG914,FIND("/",Sync!$AG914)+1,20))+1,20))),"")))</f>
        <v/>
      </c>
      <c r="J914">
        <f>IF($F914="","",IF(OR($G914="",$H914="",$I914="",$G914&lt;1300,$G914&gt;1500,$H914&lt;1,$H914&gt;12,$I914&lt;1,$I914&gt;31),"نامعتبر",RIGHT("0000"&amp;$G914,4)&amp;"/"&amp;RIGHT("00"&amp;$H914,2)&amp;"/"&amp;RIGHT("00"&amp;$I914,2)))</f>
        <v/>
      </c>
      <c r="K914">
        <f>IF(OR($F914="",$J914="",$J914="نامعتبر"),"",LEFT($J914,4)&amp;MID($J914,6,2)&amp;RIGHT($J914,2)&amp;$N914&amp;"|"&amp;"2"&amp;RIGHT("00000"&amp;909,5))</f>
        <v/>
      </c>
      <c r="L914">
        <f>IF($K914="","",COUNTIFS(LdgPartyA,$F914,LdgKeyA,"&lt;"&amp;$K914)+COUNTIFS(LdgPartyB,$F914,LdgKeyB,"&lt;"&amp;$K914)+1)</f>
        <v/>
      </c>
      <c r="M914">
        <f>IF($L914="","",$F914&amp;"|"&amp;RIGHT("000000"&amp;$L914,6))</f>
        <v/>
      </c>
      <c r="N914">
        <f>IF($F914="","",IF(Sync!$AH914="","0000",IF(AND(ISNUMBER(Sync!$AH914),Sync!$AH914&gt;=0,Sync!$AH914&lt;1),RIGHT("00"&amp;HOUR(Sync!$AH914),2)&amp;RIGHT("00"&amp;MINUTE(Sync!$AH914),2),IFERROR(RIGHT("00"&amp;VALUE(LEFT(Sync!$AH914,FIND(":",Sync!$AH914)-1)),2)&amp;RIGHT("00"&amp;VALUE(MID(Sync!$AH914,FIND(":",Sync!$AH914)+1,2)),2),"0000"))))</f>
        <v/>
      </c>
    </row>
    <row r="915">
      <c r="A915">
        <f>IF(OR(Calc!$E918="",Calc!$E918="نامعتبر",Calc!$G918="",Calc!$I918&lt;&gt;"خرید"),"",Calc!$G918)</f>
        <v/>
      </c>
      <c r="B915">
        <f>IF($A915="","",LEFT(Calc!$E918,4)&amp;MID(Calc!$E918,6,2)&amp;RIGHT(Calc!$E918,2)&amp;Calc!$R918&amp;"|"&amp;"1"&amp;RIGHT("00000"&amp;910,5))</f>
        <v/>
      </c>
      <c r="C915">
        <f>IF($B915="","",COUNTIFS(LdgPartyA,$A915,LdgKeyA,"&lt;"&amp;$B915)+COUNTIFS(LdgPartyB,$A915,LdgKeyB,"&lt;"&amp;$B915)+1)</f>
        <v/>
      </c>
      <c r="D915">
        <f>IF($C915="","",$A915&amp;"|"&amp;RIGHT("000000"&amp;$C915,6))</f>
        <v/>
      </c>
      <c r="F915">
        <f>IF(Sync!$AJ915="","",Sync!$AJ915)</f>
        <v/>
      </c>
      <c r="G915">
        <f>IF($F915="","",IF(Sync!$AG915="","",IF(ISNUMBER(Sync!$AG915),IF(AND(Sync!$AG915&gt;=10000101,Sync!$AG915&lt;=99991231),INT(Sync!$AG915/10000),""),IFERROR(VALUE(TRIM(LEFT(Sync!$AG915,FIND("/",Sync!$AG915)-1))),""))))</f>
        <v/>
      </c>
      <c r="H915">
        <f>IF(OR($F915="",$G915=""),"",IF(ISNUMBER(Sync!$AG915),INT(MOD(Sync!$AG915,10000)/100),IFERROR(VALUE(TRIM(LEFT(MID(Sync!$AG915,FIND("/",Sync!$AG915)+1,20),FIND("/",MID(Sync!$AG915,FIND("/",Sync!$AG915)+1,20))-1))),"")))</f>
        <v/>
      </c>
      <c r="I915">
        <f>IF(OR($F915="",$G915=""),"",IF(ISNUMBER(Sync!$AG915),MOD(Sync!$AG915,100),IFERROR(VALUE(TRIM(MID(MID(Sync!$AG915,FIND("/",Sync!$AG915)+1,20),FIND("/",MID(Sync!$AG915,FIND("/",Sync!$AG915)+1,20))+1,20))),"")))</f>
        <v/>
      </c>
      <c r="J915">
        <f>IF($F915="","",IF(OR($G915="",$H915="",$I915="",$G915&lt;1300,$G915&gt;1500,$H915&lt;1,$H915&gt;12,$I915&lt;1,$I915&gt;31),"نامعتبر",RIGHT("0000"&amp;$G915,4)&amp;"/"&amp;RIGHT("00"&amp;$H915,2)&amp;"/"&amp;RIGHT("00"&amp;$I915,2)))</f>
        <v/>
      </c>
      <c r="K915">
        <f>IF(OR($F915="",$J915="",$J915="نامعتبر"),"",LEFT($J915,4)&amp;MID($J915,6,2)&amp;RIGHT($J915,2)&amp;$N915&amp;"|"&amp;"2"&amp;RIGHT("00000"&amp;910,5))</f>
        <v/>
      </c>
      <c r="L915">
        <f>IF($K915="","",COUNTIFS(LdgPartyA,$F915,LdgKeyA,"&lt;"&amp;$K915)+COUNTIFS(LdgPartyB,$F915,LdgKeyB,"&lt;"&amp;$K915)+1)</f>
        <v/>
      </c>
      <c r="M915">
        <f>IF($L915="","",$F915&amp;"|"&amp;RIGHT("000000"&amp;$L915,6))</f>
        <v/>
      </c>
      <c r="N915">
        <f>IF($F915="","",IF(Sync!$AH915="","0000",IF(AND(ISNUMBER(Sync!$AH915),Sync!$AH915&gt;=0,Sync!$AH915&lt;1),RIGHT("00"&amp;HOUR(Sync!$AH915),2)&amp;RIGHT("00"&amp;MINUTE(Sync!$AH915),2),IFERROR(RIGHT("00"&amp;VALUE(LEFT(Sync!$AH915,FIND(":",Sync!$AH915)-1)),2)&amp;RIGHT("00"&amp;VALUE(MID(Sync!$AH915,FIND(":",Sync!$AH915)+1,2)),2),"0000"))))</f>
        <v/>
      </c>
    </row>
    <row r="916">
      <c r="A916">
        <f>IF(OR(Calc!$E919="",Calc!$E919="نامعتبر",Calc!$G919="",Calc!$I919&lt;&gt;"خرید"),"",Calc!$G919)</f>
        <v/>
      </c>
      <c r="B916">
        <f>IF($A916="","",LEFT(Calc!$E919,4)&amp;MID(Calc!$E919,6,2)&amp;RIGHT(Calc!$E919,2)&amp;Calc!$R919&amp;"|"&amp;"1"&amp;RIGHT("00000"&amp;911,5))</f>
        <v/>
      </c>
      <c r="C916">
        <f>IF($B916="","",COUNTIFS(LdgPartyA,$A916,LdgKeyA,"&lt;"&amp;$B916)+COUNTIFS(LdgPartyB,$A916,LdgKeyB,"&lt;"&amp;$B916)+1)</f>
        <v/>
      </c>
      <c r="D916">
        <f>IF($C916="","",$A916&amp;"|"&amp;RIGHT("000000"&amp;$C916,6))</f>
        <v/>
      </c>
      <c r="F916">
        <f>IF(Sync!$AJ916="","",Sync!$AJ916)</f>
        <v/>
      </c>
      <c r="G916">
        <f>IF($F916="","",IF(Sync!$AG916="","",IF(ISNUMBER(Sync!$AG916),IF(AND(Sync!$AG916&gt;=10000101,Sync!$AG916&lt;=99991231),INT(Sync!$AG916/10000),""),IFERROR(VALUE(TRIM(LEFT(Sync!$AG916,FIND("/",Sync!$AG916)-1))),""))))</f>
        <v/>
      </c>
      <c r="H916">
        <f>IF(OR($F916="",$G916=""),"",IF(ISNUMBER(Sync!$AG916),INT(MOD(Sync!$AG916,10000)/100),IFERROR(VALUE(TRIM(LEFT(MID(Sync!$AG916,FIND("/",Sync!$AG916)+1,20),FIND("/",MID(Sync!$AG916,FIND("/",Sync!$AG916)+1,20))-1))),"")))</f>
        <v/>
      </c>
      <c r="I916">
        <f>IF(OR($F916="",$G916=""),"",IF(ISNUMBER(Sync!$AG916),MOD(Sync!$AG916,100),IFERROR(VALUE(TRIM(MID(MID(Sync!$AG916,FIND("/",Sync!$AG916)+1,20),FIND("/",MID(Sync!$AG916,FIND("/",Sync!$AG916)+1,20))+1,20))),"")))</f>
        <v/>
      </c>
      <c r="J916">
        <f>IF($F916="","",IF(OR($G916="",$H916="",$I916="",$G916&lt;1300,$G916&gt;1500,$H916&lt;1,$H916&gt;12,$I916&lt;1,$I916&gt;31),"نامعتبر",RIGHT("0000"&amp;$G916,4)&amp;"/"&amp;RIGHT("00"&amp;$H916,2)&amp;"/"&amp;RIGHT("00"&amp;$I916,2)))</f>
        <v/>
      </c>
      <c r="K916">
        <f>IF(OR($F916="",$J916="",$J916="نامعتبر"),"",LEFT($J916,4)&amp;MID($J916,6,2)&amp;RIGHT($J916,2)&amp;$N916&amp;"|"&amp;"2"&amp;RIGHT("00000"&amp;911,5))</f>
        <v/>
      </c>
      <c r="L916">
        <f>IF($K916="","",COUNTIFS(LdgPartyA,$F916,LdgKeyA,"&lt;"&amp;$K916)+COUNTIFS(LdgPartyB,$F916,LdgKeyB,"&lt;"&amp;$K916)+1)</f>
        <v/>
      </c>
      <c r="M916">
        <f>IF($L916="","",$F916&amp;"|"&amp;RIGHT("000000"&amp;$L916,6))</f>
        <v/>
      </c>
      <c r="N916">
        <f>IF($F916="","",IF(Sync!$AH916="","0000",IF(AND(ISNUMBER(Sync!$AH916),Sync!$AH916&gt;=0,Sync!$AH916&lt;1),RIGHT("00"&amp;HOUR(Sync!$AH916),2)&amp;RIGHT("00"&amp;MINUTE(Sync!$AH916),2),IFERROR(RIGHT("00"&amp;VALUE(LEFT(Sync!$AH916,FIND(":",Sync!$AH916)-1)),2)&amp;RIGHT("00"&amp;VALUE(MID(Sync!$AH916,FIND(":",Sync!$AH916)+1,2)),2),"0000"))))</f>
        <v/>
      </c>
    </row>
    <row r="917">
      <c r="A917">
        <f>IF(OR(Calc!$E920="",Calc!$E920="نامعتبر",Calc!$G920="",Calc!$I920&lt;&gt;"خرید"),"",Calc!$G920)</f>
        <v/>
      </c>
      <c r="B917">
        <f>IF($A917="","",LEFT(Calc!$E920,4)&amp;MID(Calc!$E920,6,2)&amp;RIGHT(Calc!$E920,2)&amp;Calc!$R920&amp;"|"&amp;"1"&amp;RIGHT("00000"&amp;912,5))</f>
        <v/>
      </c>
      <c r="C917">
        <f>IF($B917="","",COUNTIFS(LdgPartyA,$A917,LdgKeyA,"&lt;"&amp;$B917)+COUNTIFS(LdgPartyB,$A917,LdgKeyB,"&lt;"&amp;$B917)+1)</f>
        <v/>
      </c>
      <c r="D917">
        <f>IF($C917="","",$A917&amp;"|"&amp;RIGHT("000000"&amp;$C917,6))</f>
        <v/>
      </c>
      <c r="F917">
        <f>IF(Sync!$AJ917="","",Sync!$AJ917)</f>
        <v/>
      </c>
      <c r="G917">
        <f>IF($F917="","",IF(Sync!$AG917="","",IF(ISNUMBER(Sync!$AG917),IF(AND(Sync!$AG917&gt;=10000101,Sync!$AG917&lt;=99991231),INT(Sync!$AG917/10000),""),IFERROR(VALUE(TRIM(LEFT(Sync!$AG917,FIND("/",Sync!$AG917)-1))),""))))</f>
        <v/>
      </c>
      <c r="H917">
        <f>IF(OR($F917="",$G917=""),"",IF(ISNUMBER(Sync!$AG917),INT(MOD(Sync!$AG917,10000)/100),IFERROR(VALUE(TRIM(LEFT(MID(Sync!$AG917,FIND("/",Sync!$AG917)+1,20),FIND("/",MID(Sync!$AG917,FIND("/",Sync!$AG917)+1,20))-1))),"")))</f>
        <v/>
      </c>
      <c r="I917">
        <f>IF(OR($F917="",$G917=""),"",IF(ISNUMBER(Sync!$AG917),MOD(Sync!$AG917,100),IFERROR(VALUE(TRIM(MID(MID(Sync!$AG917,FIND("/",Sync!$AG917)+1,20),FIND("/",MID(Sync!$AG917,FIND("/",Sync!$AG917)+1,20))+1,20))),"")))</f>
        <v/>
      </c>
      <c r="J917">
        <f>IF($F917="","",IF(OR($G917="",$H917="",$I917="",$G917&lt;1300,$G917&gt;1500,$H917&lt;1,$H917&gt;12,$I917&lt;1,$I917&gt;31),"نامعتبر",RIGHT("0000"&amp;$G917,4)&amp;"/"&amp;RIGHT("00"&amp;$H917,2)&amp;"/"&amp;RIGHT("00"&amp;$I917,2)))</f>
        <v/>
      </c>
      <c r="K917">
        <f>IF(OR($F917="",$J917="",$J917="نامعتبر"),"",LEFT($J917,4)&amp;MID($J917,6,2)&amp;RIGHT($J917,2)&amp;$N917&amp;"|"&amp;"2"&amp;RIGHT("00000"&amp;912,5))</f>
        <v/>
      </c>
      <c r="L917">
        <f>IF($K917="","",COUNTIFS(LdgPartyA,$F917,LdgKeyA,"&lt;"&amp;$K917)+COUNTIFS(LdgPartyB,$F917,LdgKeyB,"&lt;"&amp;$K917)+1)</f>
        <v/>
      </c>
      <c r="M917">
        <f>IF($L917="","",$F917&amp;"|"&amp;RIGHT("000000"&amp;$L917,6))</f>
        <v/>
      </c>
      <c r="N917">
        <f>IF($F917="","",IF(Sync!$AH917="","0000",IF(AND(ISNUMBER(Sync!$AH917),Sync!$AH917&gt;=0,Sync!$AH917&lt;1),RIGHT("00"&amp;HOUR(Sync!$AH917),2)&amp;RIGHT("00"&amp;MINUTE(Sync!$AH917),2),IFERROR(RIGHT("00"&amp;VALUE(LEFT(Sync!$AH917,FIND(":",Sync!$AH917)-1)),2)&amp;RIGHT("00"&amp;VALUE(MID(Sync!$AH917,FIND(":",Sync!$AH917)+1,2)),2),"0000"))))</f>
        <v/>
      </c>
    </row>
    <row r="918">
      <c r="A918">
        <f>IF(OR(Calc!$E921="",Calc!$E921="نامعتبر",Calc!$G921="",Calc!$I921&lt;&gt;"خرید"),"",Calc!$G921)</f>
        <v/>
      </c>
      <c r="B918">
        <f>IF($A918="","",LEFT(Calc!$E921,4)&amp;MID(Calc!$E921,6,2)&amp;RIGHT(Calc!$E921,2)&amp;Calc!$R921&amp;"|"&amp;"1"&amp;RIGHT("00000"&amp;913,5))</f>
        <v/>
      </c>
      <c r="C918">
        <f>IF($B918="","",COUNTIFS(LdgPartyA,$A918,LdgKeyA,"&lt;"&amp;$B918)+COUNTIFS(LdgPartyB,$A918,LdgKeyB,"&lt;"&amp;$B918)+1)</f>
        <v/>
      </c>
      <c r="D918">
        <f>IF($C918="","",$A918&amp;"|"&amp;RIGHT("000000"&amp;$C918,6))</f>
        <v/>
      </c>
      <c r="F918">
        <f>IF(Sync!$AJ918="","",Sync!$AJ918)</f>
        <v/>
      </c>
      <c r="G918">
        <f>IF($F918="","",IF(Sync!$AG918="","",IF(ISNUMBER(Sync!$AG918),IF(AND(Sync!$AG918&gt;=10000101,Sync!$AG918&lt;=99991231),INT(Sync!$AG918/10000),""),IFERROR(VALUE(TRIM(LEFT(Sync!$AG918,FIND("/",Sync!$AG918)-1))),""))))</f>
        <v/>
      </c>
      <c r="H918">
        <f>IF(OR($F918="",$G918=""),"",IF(ISNUMBER(Sync!$AG918),INT(MOD(Sync!$AG918,10000)/100),IFERROR(VALUE(TRIM(LEFT(MID(Sync!$AG918,FIND("/",Sync!$AG918)+1,20),FIND("/",MID(Sync!$AG918,FIND("/",Sync!$AG918)+1,20))-1))),"")))</f>
        <v/>
      </c>
      <c r="I918">
        <f>IF(OR($F918="",$G918=""),"",IF(ISNUMBER(Sync!$AG918),MOD(Sync!$AG918,100),IFERROR(VALUE(TRIM(MID(MID(Sync!$AG918,FIND("/",Sync!$AG918)+1,20),FIND("/",MID(Sync!$AG918,FIND("/",Sync!$AG918)+1,20))+1,20))),"")))</f>
        <v/>
      </c>
      <c r="J918">
        <f>IF($F918="","",IF(OR($G918="",$H918="",$I918="",$G918&lt;1300,$G918&gt;1500,$H918&lt;1,$H918&gt;12,$I918&lt;1,$I918&gt;31),"نامعتبر",RIGHT("0000"&amp;$G918,4)&amp;"/"&amp;RIGHT("00"&amp;$H918,2)&amp;"/"&amp;RIGHT("00"&amp;$I918,2)))</f>
        <v/>
      </c>
      <c r="K918">
        <f>IF(OR($F918="",$J918="",$J918="نامعتبر"),"",LEFT($J918,4)&amp;MID($J918,6,2)&amp;RIGHT($J918,2)&amp;$N918&amp;"|"&amp;"2"&amp;RIGHT("00000"&amp;913,5))</f>
        <v/>
      </c>
      <c r="L918">
        <f>IF($K918="","",COUNTIFS(LdgPartyA,$F918,LdgKeyA,"&lt;"&amp;$K918)+COUNTIFS(LdgPartyB,$F918,LdgKeyB,"&lt;"&amp;$K918)+1)</f>
        <v/>
      </c>
      <c r="M918">
        <f>IF($L918="","",$F918&amp;"|"&amp;RIGHT("000000"&amp;$L918,6))</f>
        <v/>
      </c>
      <c r="N918">
        <f>IF($F918="","",IF(Sync!$AH918="","0000",IF(AND(ISNUMBER(Sync!$AH918),Sync!$AH918&gt;=0,Sync!$AH918&lt;1),RIGHT("00"&amp;HOUR(Sync!$AH918),2)&amp;RIGHT("00"&amp;MINUTE(Sync!$AH918),2),IFERROR(RIGHT("00"&amp;VALUE(LEFT(Sync!$AH918,FIND(":",Sync!$AH918)-1)),2)&amp;RIGHT("00"&amp;VALUE(MID(Sync!$AH918,FIND(":",Sync!$AH918)+1,2)),2),"0000"))))</f>
        <v/>
      </c>
    </row>
    <row r="919">
      <c r="A919">
        <f>IF(OR(Calc!$E922="",Calc!$E922="نامعتبر",Calc!$G922="",Calc!$I922&lt;&gt;"خرید"),"",Calc!$G922)</f>
        <v/>
      </c>
      <c r="B919">
        <f>IF($A919="","",LEFT(Calc!$E922,4)&amp;MID(Calc!$E922,6,2)&amp;RIGHT(Calc!$E922,2)&amp;Calc!$R922&amp;"|"&amp;"1"&amp;RIGHT("00000"&amp;914,5))</f>
        <v/>
      </c>
      <c r="C919">
        <f>IF($B919="","",COUNTIFS(LdgPartyA,$A919,LdgKeyA,"&lt;"&amp;$B919)+COUNTIFS(LdgPartyB,$A919,LdgKeyB,"&lt;"&amp;$B919)+1)</f>
        <v/>
      </c>
      <c r="D919">
        <f>IF($C919="","",$A919&amp;"|"&amp;RIGHT("000000"&amp;$C919,6))</f>
        <v/>
      </c>
      <c r="F919">
        <f>IF(Sync!$AJ919="","",Sync!$AJ919)</f>
        <v/>
      </c>
      <c r="G919">
        <f>IF($F919="","",IF(Sync!$AG919="","",IF(ISNUMBER(Sync!$AG919),IF(AND(Sync!$AG919&gt;=10000101,Sync!$AG919&lt;=99991231),INT(Sync!$AG919/10000),""),IFERROR(VALUE(TRIM(LEFT(Sync!$AG919,FIND("/",Sync!$AG919)-1))),""))))</f>
        <v/>
      </c>
      <c r="H919">
        <f>IF(OR($F919="",$G919=""),"",IF(ISNUMBER(Sync!$AG919),INT(MOD(Sync!$AG919,10000)/100),IFERROR(VALUE(TRIM(LEFT(MID(Sync!$AG919,FIND("/",Sync!$AG919)+1,20),FIND("/",MID(Sync!$AG919,FIND("/",Sync!$AG919)+1,20))-1))),"")))</f>
        <v/>
      </c>
      <c r="I919">
        <f>IF(OR($F919="",$G919=""),"",IF(ISNUMBER(Sync!$AG919),MOD(Sync!$AG919,100),IFERROR(VALUE(TRIM(MID(MID(Sync!$AG919,FIND("/",Sync!$AG919)+1,20),FIND("/",MID(Sync!$AG919,FIND("/",Sync!$AG919)+1,20))+1,20))),"")))</f>
        <v/>
      </c>
      <c r="J919">
        <f>IF($F919="","",IF(OR($G919="",$H919="",$I919="",$G919&lt;1300,$G919&gt;1500,$H919&lt;1,$H919&gt;12,$I919&lt;1,$I919&gt;31),"نامعتبر",RIGHT("0000"&amp;$G919,4)&amp;"/"&amp;RIGHT("00"&amp;$H919,2)&amp;"/"&amp;RIGHT("00"&amp;$I919,2)))</f>
        <v/>
      </c>
      <c r="K919">
        <f>IF(OR($F919="",$J919="",$J919="نامعتبر"),"",LEFT($J919,4)&amp;MID($J919,6,2)&amp;RIGHT($J919,2)&amp;$N919&amp;"|"&amp;"2"&amp;RIGHT("00000"&amp;914,5))</f>
        <v/>
      </c>
      <c r="L919">
        <f>IF($K919="","",COUNTIFS(LdgPartyA,$F919,LdgKeyA,"&lt;"&amp;$K919)+COUNTIFS(LdgPartyB,$F919,LdgKeyB,"&lt;"&amp;$K919)+1)</f>
        <v/>
      </c>
      <c r="M919">
        <f>IF($L919="","",$F919&amp;"|"&amp;RIGHT("000000"&amp;$L919,6))</f>
        <v/>
      </c>
      <c r="N919">
        <f>IF($F919="","",IF(Sync!$AH919="","0000",IF(AND(ISNUMBER(Sync!$AH919),Sync!$AH919&gt;=0,Sync!$AH919&lt;1),RIGHT("00"&amp;HOUR(Sync!$AH919),2)&amp;RIGHT("00"&amp;MINUTE(Sync!$AH919),2),IFERROR(RIGHT("00"&amp;VALUE(LEFT(Sync!$AH919,FIND(":",Sync!$AH919)-1)),2)&amp;RIGHT("00"&amp;VALUE(MID(Sync!$AH919,FIND(":",Sync!$AH919)+1,2)),2),"0000"))))</f>
        <v/>
      </c>
    </row>
    <row r="920">
      <c r="A920">
        <f>IF(OR(Calc!$E923="",Calc!$E923="نامعتبر",Calc!$G923="",Calc!$I923&lt;&gt;"خرید"),"",Calc!$G923)</f>
        <v/>
      </c>
      <c r="B920">
        <f>IF($A920="","",LEFT(Calc!$E923,4)&amp;MID(Calc!$E923,6,2)&amp;RIGHT(Calc!$E923,2)&amp;Calc!$R923&amp;"|"&amp;"1"&amp;RIGHT("00000"&amp;915,5))</f>
        <v/>
      </c>
      <c r="C920">
        <f>IF($B920="","",COUNTIFS(LdgPartyA,$A920,LdgKeyA,"&lt;"&amp;$B920)+COUNTIFS(LdgPartyB,$A920,LdgKeyB,"&lt;"&amp;$B920)+1)</f>
        <v/>
      </c>
      <c r="D920">
        <f>IF($C920="","",$A920&amp;"|"&amp;RIGHT("000000"&amp;$C920,6))</f>
        <v/>
      </c>
      <c r="F920">
        <f>IF(Sync!$AJ920="","",Sync!$AJ920)</f>
        <v/>
      </c>
      <c r="G920">
        <f>IF($F920="","",IF(Sync!$AG920="","",IF(ISNUMBER(Sync!$AG920),IF(AND(Sync!$AG920&gt;=10000101,Sync!$AG920&lt;=99991231),INT(Sync!$AG920/10000),""),IFERROR(VALUE(TRIM(LEFT(Sync!$AG920,FIND("/",Sync!$AG920)-1))),""))))</f>
        <v/>
      </c>
      <c r="H920">
        <f>IF(OR($F920="",$G920=""),"",IF(ISNUMBER(Sync!$AG920),INT(MOD(Sync!$AG920,10000)/100),IFERROR(VALUE(TRIM(LEFT(MID(Sync!$AG920,FIND("/",Sync!$AG920)+1,20),FIND("/",MID(Sync!$AG920,FIND("/",Sync!$AG920)+1,20))-1))),"")))</f>
        <v/>
      </c>
      <c r="I920">
        <f>IF(OR($F920="",$G920=""),"",IF(ISNUMBER(Sync!$AG920),MOD(Sync!$AG920,100),IFERROR(VALUE(TRIM(MID(MID(Sync!$AG920,FIND("/",Sync!$AG920)+1,20),FIND("/",MID(Sync!$AG920,FIND("/",Sync!$AG920)+1,20))+1,20))),"")))</f>
        <v/>
      </c>
      <c r="J920">
        <f>IF($F920="","",IF(OR($G920="",$H920="",$I920="",$G920&lt;1300,$G920&gt;1500,$H920&lt;1,$H920&gt;12,$I920&lt;1,$I920&gt;31),"نامعتبر",RIGHT("0000"&amp;$G920,4)&amp;"/"&amp;RIGHT("00"&amp;$H920,2)&amp;"/"&amp;RIGHT("00"&amp;$I920,2)))</f>
        <v/>
      </c>
      <c r="K920">
        <f>IF(OR($F920="",$J920="",$J920="نامعتبر"),"",LEFT($J920,4)&amp;MID($J920,6,2)&amp;RIGHT($J920,2)&amp;$N920&amp;"|"&amp;"2"&amp;RIGHT("00000"&amp;915,5))</f>
        <v/>
      </c>
      <c r="L920">
        <f>IF($K920="","",COUNTIFS(LdgPartyA,$F920,LdgKeyA,"&lt;"&amp;$K920)+COUNTIFS(LdgPartyB,$F920,LdgKeyB,"&lt;"&amp;$K920)+1)</f>
        <v/>
      </c>
      <c r="M920">
        <f>IF($L920="","",$F920&amp;"|"&amp;RIGHT("000000"&amp;$L920,6))</f>
        <v/>
      </c>
      <c r="N920">
        <f>IF($F920="","",IF(Sync!$AH920="","0000",IF(AND(ISNUMBER(Sync!$AH920),Sync!$AH920&gt;=0,Sync!$AH920&lt;1),RIGHT("00"&amp;HOUR(Sync!$AH920),2)&amp;RIGHT("00"&amp;MINUTE(Sync!$AH920),2),IFERROR(RIGHT("00"&amp;VALUE(LEFT(Sync!$AH920,FIND(":",Sync!$AH920)-1)),2)&amp;RIGHT("00"&amp;VALUE(MID(Sync!$AH920,FIND(":",Sync!$AH920)+1,2)),2),"0000"))))</f>
        <v/>
      </c>
    </row>
    <row r="921">
      <c r="A921">
        <f>IF(OR(Calc!$E924="",Calc!$E924="نامعتبر",Calc!$G924="",Calc!$I924&lt;&gt;"خرید"),"",Calc!$G924)</f>
        <v/>
      </c>
      <c r="B921">
        <f>IF($A921="","",LEFT(Calc!$E924,4)&amp;MID(Calc!$E924,6,2)&amp;RIGHT(Calc!$E924,2)&amp;Calc!$R924&amp;"|"&amp;"1"&amp;RIGHT("00000"&amp;916,5))</f>
        <v/>
      </c>
      <c r="C921">
        <f>IF($B921="","",COUNTIFS(LdgPartyA,$A921,LdgKeyA,"&lt;"&amp;$B921)+COUNTIFS(LdgPartyB,$A921,LdgKeyB,"&lt;"&amp;$B921)+1)</f>
        <v/>
      </c>
      <c r="D921">
        <f>IF($C921="","",$A921&amp;"|"&amp;RIGHT("000000"&amp;$C921,6))</f>
        <v/>
      </c>
      <c r="F921">
        <f>IF(Sync!$AJ921="","",Sync!$AJ921)</f>
        <v/>
      </c>
      <c r="G921">
        <f>IF($F921="","",IF(Sync!$AG921="","",IF(ISNUMBER(Sync!$AG921),IF(AND(Sync!$AG921&gt;=10000101,Sync!$AG921&lt;=99991231),INT(Sync!$AG921/10000),""),IFERROR(VALUE(TRIM(LEFT(Sync!$AG921,FIND("/",Sync!$AG921)-1))),""))))</f>
        <v/>
      </c>
      <c r="H921">
        <f>IF(OR($F921="",$G921=""),"",IF(ISNUMBER(Sync!$AG921),INT(MOD(Sync!$AG921,10000)/100),IFERROR(VALUE(TRIM(LEFT(MID(Sync!$AG921,FIND("/",Sync!$AG921)+1,20),FIND("/",MID(Sync!$AG921,FIND("/",Sync!$AG921)+1,20))-1))),"")))</f>
        <v/>
      </c>
      <c r="I921">
        <f>IF(OR($F921="",$G921=""),"",IF(ISNUMBER(Sync!$AG921),MOD(Sync!$AG921,100),IFERROR(VALUE(TRIM(MID(MID(Sync!$AG921,FIND("/",Sync!$AG921)+1,20),FIND("/",MID(Sync!$AG921,FIND("/",Sync!$AG921)+1,20))+1,20))),"")))</f>
        <v/>
      </c>
      <c r="J921">
        <f>IF($F921="","",IF(OR($G921="",$H921="",$I921="",$G921&lt;1300,$G921&gt;1500,$H921&lt;1,$H921&gt;12,$I921&lt;1,$I921&gt;31),"نامعتبر",RIGHT("0000"&amp;$G921,4)&amp;"/"&amp;RIGHT("00"&amp;$H921,2)&amp;"/"&amp;RIGHT("00"&amp;$I921,2)))</f>
        <v/>
      </c>
      <c r="K921">
        <f>IF(OR($F921="",$J921="",$J921="نامعتبر"),"",LEFT($J921,4)&amp;MID($J921,6,2)&amp;RIGHT($J921,2)&amp;$N921&amp;"|"&amp;"2"&amp;RIGHT("00000"&amp;916,5))</f>
        <v/>
      </c>
      <c r="L921">
        <f>IF($K921="","",COUNTIFS(LdgPartyA,$F921,LdgKeyA,"&lt;"&amp;$K921)+COUNTIFS(LdgPartyB,$F921,LdgKeyB,"&lt;"&amp;$K921)+1)</f>
        <v/>
      </c>
      <c r="M921">
        <f>IF($L921="","",$F921&amp;"|"&amp;RIGHT("000000"&amp;$L921,6))</f>
        <v/>
      </c>
      <c r="N921">
        <f>IF($F921="","",IF(Sync!$AH921="","0000",IF(AND(ISNUMBER(Sync!$AH921),Sync!$AH921&gt;=0,Sync!$AH921&lt;1),RIGHT("00"&amp;HOUR(Sync!$AH921),2)&amp;RIGHT("00"&amp;MINUTE(Sync!$AH921),2),IFERROR(RIGHT("00"&amp;VALUE(LEFT(Sync!$AH921,FIND(":",Sync!$AH921)-1)),2)&amp;RIGHT("00"&amp;VALUE(MID(Sync!$AH921,FIND(":",Sync!$AH921)+1,2)),2),"0000"))))</f>
        <v/>
      </c>
    </row>
    <row r="922">
      <c r="A922">
        <f>IF(OR(Calc!$E925="",Calc!$E925="نامعتبر",Calc!$G925="",Calc!$I925&lt;&gt;"خرید"),"",Calc!$G925)</f>
        <v/>
      </c>
      <c r="B922">
        <f>IF($A922="","",LEFT(Calc!$E925,4)&amp;MID(Calc!$E925,6,2)&amp;RIGHT(Calc!$E925,2)&amp;Calc!$R925&amp;"|"&amp;"1"&amp;RIGHT("00000"&amp;917,5))</f>
        <v/>
      </c>
      <c r="C922">
        <f>IF($B922="","",COUNTIFS(LdgPartyA,$A922,LdgKeyA,"&lt;"&amp;$B922)+COUNTIFS(LdgPartyB,$A922,LdgKeyB,"&lt;"&amp;$B922)+1)</f>
        <v/>
      </c>
      <c r="D922">
        <f>IF($C922="","",$A922&amp;"|"&amp;RIGHT("000000"&amp;$C922,6))</f>
        <v/>
      </c>
      <c r="F922">
        <f>IF(Sync!$AJ922="","",Sync!$AJ922)</f>
        <v/>
      </c>
      <c r="G922">
        <f>IF($F922="","",IF(Sync!$AG922="","",IF(ISNUMBER(Sync!$AG922),IF(AND(Sync!$AG922&gt;=10000101,Sync!$AG922&lt;=99991231),INT(Sync!$AG922/10000),""),IFERROR(VALUE(TRIM(LEFT(Sync!$AG922,FIND("/",Sync!$AG922)-1))),""))))</f>
        <v/>
      </c>
      <c r="H922">
        <f>IF(OR($F922="",$G922=""),"",IF(ISNUMBER(Sync!$AG922),INT(MOD(Sync!$AG922,10000)/100),IFERROR(VALUE(TRIM(LEFT(MID(Sync!$AG922,FIND("/",Sync!$AG922)+1,20),FIND("/",MID(Sync!$AG922,FIND("/",Sync!$AG922)+1,20))-1))),"")))</f>
        <v/>
      </c>
      <c r="I922">
        <f>IF(OR($F922="",$G922=""),"",IF(ISNUMBER(Sync!$AG922),MOD(Sync!$AG922,100),IFERROR(VALUE(TRIM(MID(MID(Sync!$AG922,FIND("/",Sync!$AG922)+1,20),FIND("/",MID(Sync!$AG922,FIND("/",Sync!$AG922)+1,20))+1,20))),"")))</f>
        <v/>
      </c>
      <c r="J922">
        <f>IF($F922="","",IF(OR($G922="",$H922="",$I922="",$G922&lt;1300,$G922&gt;1500,$H922&lt;1,$H922&gt;12,$I922&lt;1,$I922&gt;31),"نامعتبر",RIGHT("0000"&amp;$G922,4)&amp;"/"&amp;RIGHT("00"&amp;$H922,2)&amp;"/"&amp;RIGHT("00"&amp;$I922,2)))</f>
        <v/>
      </c>
      <c r="K922">
        <f>IF(OR($F922="",$J922="",$J922="نامعتبر"),"",LEFT($J922,4)&amp;MID($J922,6,2)&amp;RIGHT($J922,2)&amp;$N922&amp;"|"&amp;"2"&amp;RIGHT("00000"&amp;917,5))</f>
        <v/>
      </c>
      <c r="L922">
        <f>IF($K922="","",COUNTIFS(LdgPartyA,$F922,LdgKeyA,"&lt;"&amp;$K922)+COUNTIFS(LdgPartyB,$F922,LdgKeyB,"&lt;"&amp;$K922)+1)</f>
        <v/>
      </c>
      <c r="M922">
        <f>IF($L922="","",$F922&amp;"|"&amp;RIGHT("000000"&amp;$L922,6))</f>
        <v/>
      </c>
      <c r="N922">
        <f>IF($F922="","",IF(Sync!$AH922="","0000",IF(AND(ISNUMBER(Sync!$AH922),Sync!$AH922&gt;=0,Sync!$AH922&lt;1),RIGHT("00"&amp;HOUR(Sync!$AH922),2)&amp;RIGHT("00"&amp;MINUTE(Sync!$AH922),2),IFERROR(RIGHT("00"&amp;VALUE(LEFT(Sync!$AH922,FIND(":",Sync!$AH922)-1)),2)&amp;RIGHT("00"&amp;VALUE(MID(Sync!$AH922,FIND(":",Sync!$AH922)+1,2)),2),"0000"))))</f>
        <v/>
      </c>
    </row>
    <row r="923">
      <c r="A923">
        <f>IF(OR(Calc!$E926="",Calc!$E926="نامعتبر",Calc!$G926="",Calc!$I926&lt;&gt;"خرید"),"",Calc!$G926)</f>
        <v/>
      </c>
      <c r="B923">
        <f>IF($A923="","",LEFT(Calc!$E926,4)&amp;MID(Calc!$E926,6,2)&amp;RIGHT(Calc!$E926,2)&amp;Calc!$R926&amp;"|"&amp;"1"&amp;RIGHT("00000"&amp;918,5))</f>
        <v/>
      </c>
      <c r="C923">
        <f>IF($B923="","",COUNTIFS(LdgPartyA,$A923,LdgKeyA,"&lt;"&amp;$B923)+COUNTIFS(LdgPartyB,$A923,LdgKeyB,"&lt;"&amp;$B923)+1)</f>
        <v/>
      </c>
      <c r="D923">
        <f>IF($C923="","",$A923&amp;"|"&amp;RIGHT("000000"&amp;$C923,6))</f>
        <v/>
      </c>
      <c r="F923">
        <f>IF(Sync!$AJ923="","",Sync!$AJ923)</f>
        <v/>
      </c>
      <c r="G923">
        <f>IF($F923="","",IF(Sync!$AG923="","",IF(ISNUMBER(Sync!$AG923),IF(AND(Sync!$AG923&gt;=10000101,Sync!$AG923&lt;=99991231),INT(Sync!$AG923/10000),""),IFERROR(VALUE(TRIM(LEFT(Sync!$AG923,FIND("/",Sync!$AG923)-1))),""))))</f>
        <v/>
      </c>
      <c r="H923">
        <f>IF(OR($F923="",$G923=""),"",IF(ISNUMBER(Sync!$AG923),INT(MOD(Sync!$AG923,10000)/100),IFERROR(VALUE(TRIM(LEFT(MID(Sync!$AG923,FIND("/",Sync!$AG923)+1,20),FIND("/",MID(Sync!$AG923,FIND("/",Sync!$AG923)+1,20))-1))),"")))</f>
        <v/>
      </c>
      <c r="I923">
        <f>IF(OR($F923="",$G923=""),"",IF(ISNUMBER(Sync!$AG923),MOD(Sync!$AG923,100),IFERROR(VALUE(TRIM(MID(MID(Sync!$AG923,FIND("/",Sync!$AG923)+1,20),FIND("/",MID(Sync!$AG923,FIND("/",Sync!$AG923)+1,20))+1,20))),"")))</f>
        <v/>
      </c>
      <c r="J923">
        <f>IF($F923="","",IF(OR($G923="",$H923="",$I923="",$G923&lt;1300,$G923&gt;1500,$H923&lt;1,$H923&gt;12,$I923&lt;1,$I923&gt;31),"نامعتبر",RIGHT("0000"&amp;$G923,4)&amp;"/"&amp;RIGHT("00"&amp;$H923,2)&amp;"/"&amp;RIGHT("00"&amp;$I923,2)))</f>
        <v/>
      </c>
      <c r="K923">
        <f>IF(OR($F923="",$J923="",$J923="نامعتبر"),"",LEFT($J923,4)&amp;MID($J923,6,2)&amp;RIGHT($J923,2)&amp;$N923&amp;"|"&amp;"2"&amp;RIGHT("00000"&amp;918,5))</f>
        <v/>
      </c>
      <c r="L923">
        <f>IF($K923="","",COUNTIFS(LdgPartyA,$F923,LdgKeyA,"&lt;"&amp;$K923)+COUNTIFS(LdgPartyB,$F923,LdgKeyB,"&lt;"&amp;$K923)+1)</f>
        <v/>
      </c>
      <c r="M923">
        <f>IF($L923="","",$F923&amp;"|"&amp;RIGHT("000000"&amp;$L923,6))</f>
        <v/>
      </c>
      <c r="N923">
        <f>IF($F923="","",IF(Sync!$AH923="","0000",IF(AND(ISNUMBER(Sync!$AH923),Sync!$AH923&gt;=0,Sync!$AH923&lt;1),RIGHT("00"&amp;HOUR(Sync!$AH923),2)&amp;RIGHT("00"&amp;MINUTE(Sync!$AH923),2),IFERROR(RIGHT("00"&amp;VALUE(LEFT(Sync!$AH923,FIND(":",Sync!$AH923)-1)),2)&amp;RIGHT("00"&amp;VALUE(MID(Sync!$AH923,FIND(":",Sync!$AH923)+1,2)),2),"0000"))))</f>
        <v/>
      </c>
    </row>
    <row r="924">
      <c r="A924">
        <f>IF(OR(Calc!$E927="",Calc!$E927="نامعتبر",Calc!$G927="",Calc!$I927&lt;&gt;"خرید"),"",Calc!$G927)</f>
        <v/>
      </c>
      <c r="B924">
        <f>IF($A924="","",LEFT(Calc!$E927,4)&amp;MID(Calc!$E927,6,2)&amp;RIGHT(Calc!$E927,2)&amp;Calc!$R927&amp;"|"&amp;"1"&amp;RIGHT("00000"&amp;919,5))</f>
        <v/>
      </c>
      <c r="C924">
        <f>IF($B924="","",COUNTIFS(LdgPartyA,$A924,LdgKeyA,"&lt;"&amp;$B924)+COUNTIFS(LdgPartyB,$A924,LdgKeyB,"&lt;"&amp;$B924)+1)</f>
        <v/>
      </c>
      <c r="D924">
        <f>IF($C924="","",$A924&amp;"|"&amp;RIGHT("000000"&amp;$C924,6))</f>
        <v/>
      </c>
      <c r="F924">
        <f>IF(Sync!$AJ924="","",Sync!$AJ924)</f>
        <v/>
      </c>
      <c r="G924">
        <f>IF($F924="","",IF(Sync!$AG924="","",IF(ISNUMBER(Sync!$AG924),IF(AND(Sync!$AG924&gt;=10000101,Sync!$AG924&lt;=99991231),INT(Sync!$AG924/10000),""),IFERROR(VALUE(TRIM(LEFT(Sync!$AG924,FIND("/",Sync!$AG924)-1))),""))))</f>
        <v/>
      </c>
      <c r="H924">
        <f>IF(OR($F924="",$G924=""),"",IF(ISNUMBER(Sync!$AG924),INT(MOD(Sync!$AG924,10000)/100),IFERROR(VALUE(TRIM(LEFT(MID(Sync!$AG924,FIND("/",Sync!$AG924)+1,20),FIND("/",MID(Sync!$AG924,FIND("/",Sync!$AG924)+1,20))-1))),"")))</f>
        <v/>
      </c>
      <c r="I924">
        <f>IF(OR($F924="",$G924=""),"",IF(ISNUMBER(Sync!$AG924),MOD(Sync!$AG924,100),IFERROR(VALUE(TRIM(MID(MID(Sync!$AG924,FIND("/",Sync!$AG924)+1,20),FIND("/",MID(Sync!$AG924,FIND("/",Sync!$AG924)+1,20))+1,20))),"")))</f>
        <v/>
      </c>
      <c r="J924">
        <f>IF($F924="","",IF(OR($G924="",$H924="",$I924="",$G924&lt;1300,$G924&gt;1500,$H924&lt;1,$H924&gt;12,$I924&lt;1,$I924&gt;31),"نامعتبر",RIGHT("0000"&amp;$G924,4)&amp;"/"&amp;RIGHT("00"&amp;$H924,2)&amp;"/"&amp;RIGHT("00"&amp;$I924,2)))</f>
        <v/>
      </c>
      <c r="K924">
        <f>IF(OR($F924="",$J924="",$J924="نامعتبر"),"",LEFT($J924,4)&amp;MID($J924,6,2)&amp;RIGHT($J924,2)&amp;$N924&amp;"|"&amp;"2"&amp;RIGHT("00000"&amp;919,5))</f>
        <v/>
      </c>
      <c r="L924">
        <f>IF($K924="","",COUNTIFS(LdgPartyA,$F924,LdgKeyA,"&lt;"&amp;$K924)+COUNTIFS(LdgPartyB,$F924,LdgKeyB,"&lt;"&amp;$K924)+1)</f>
        <v/>
      </c>
      <c r="M924">
        <f>IF($L924="","",$F924&amp;"|"&amp;RIGHT("000000"&amp;$L924,6))</f>
        <v/>
      </c>
      <c r="N924">
        <f>IF($F924="","",IF(Sync!$AH924="","0000",IF(AND(ISNUMBER(Sync!$AH924),Sync!$AH924&gt;=0,Sync!$AH924&lt;1),RIGHT("00"&amp;HOUR(Sync!$AH924),2)&amp;RIGHT("00"&amp;MINUTE(Sync!$AH924),2),IFERROR(RIGHT("00"&amp;VALUE(LEFT(Sync!$AH924,FIND(":",Sync!$AH924)-1)),2)&amp;RIGHT("00"&amp;VALUE(MID(Sync!$AH924,FIND(":",Sync!$AH924)+1,2)),2),"0000"))))</f>
        <v/>
      </c>
    </row>
    <row r="925">
      <c r="A925">
        <f>IF(OR(Calc!$E928="",Calc!$E928="نامعتبر",Calc!$G928="",Calc!$I928&lt;&gt;"خرید"),"",Calc!$G928)</f>
        <v/>
      </c>
      <c r="B925">
        <f>IF($A925="","",LEFT(Calc!$E928,4)&amp;MID(Calc!$E928,6,2)&amp;RIGHT(Calc!$E928,2)&amp;Calc!$R928&amp;"|"&amp;"1"&amp;RIGHT("00000"&amp;920,5))</f>
        <v/>
      </c>
      <c r="C925">
        <f>IF($B925="","",COUNTIFS(LdgPartyA,$A925,LdgKeyA,"&lt;"&amp;$B925)+COUNTIFS(LdgPartyB,$A925,LdgKeyB,"&lt;"&amp;$B925)+1)</f>
        <v/>
      </c>
      <c r="D925">
        <f>IF($C925="","",$A925&amp;"|"&amp;RIGHT("000000"&amp;$C925,6))</f>
        <v/>
      </c>
      <c r="F925">
        <f>IF(Sync!$AJ925="","",Sync!$AJ925)</f>
        <v/>
      </c>
      <c r="G925">
        <f>IF($F925="","",IF(Sync!$AG925="","",IF(ISNUMBER(Sync!$AG925),IF(AND(Sync!$AG925&gt;=10000101,Sync!$AG925&lt;=99991231),INT(Sync!$AG925/10000),""),IFERROR(VALUE(TRIM(LEFT(Sync!$AG925,FIND("/",Sync!$AG925)-1))),""))))</f>
        <v/>
      </c>
      <c r="H925">
        <f>IF(OR($F925="",$G925=""),"",IF(ISNUMBER(Sync!$AG925),INT(MOD(Sync!$AG925,10000)/100),IFERROR(VALUE(TRIM(LEFT(MID(Sync!$AG925,FIND("/",Sync!$AG925)+1,20),FIND("/",MID(Sync!$AG925,FIND("/",Sync!$AG925)+1,20))-1))),"")))</f>
        <v/>
      </c>
      <c r="I925">
        <f>IF(OR($F925="",$G925=""),"",IF(ISNUMBER(Sync!$AG925),MOD(Sync!$AG925,100),IFERROR(VALUE(TRIM(MID(MID(Sync!$AG925,FIND("/",Sync!$AG925)+1,20),FIND("/",MID(Sync!$AG925,FIND("/",Sync!$AG925)+1,20))+1,20))),"")))</f>
        <v/>
      </c>
      <c r="J925">
        <f>IF($F925="","",IF(OR($G925="",$H925="",$I925="",$G925&lt;1300,$G925&gt;1500,$H925&lt;1,$H925&gt;12,$I925&lt;1,$I925&gt;31),"نامعتبر",RIGHT("0000"&amp;$G925,4)&amp;"/"&amp;RIGHT("00"&amp;$H925,2)&amp;"/"&amp;RIGHT("00"&amp;$I925,2)))</f>
        <v/>
      </c>
      <c r="K925">
        <f>IF(OR($F925="",$J925="",$J925="نامعتبر"),"",LEFT($J925,4)&amp;MID($J925,6,2)&amp;RIGHT($J925,2)&amp;$N925&amp;"|"&amp;"2"&amp;RIGHT("00000"&amp;920,5))</f>
        <v/>
      </c>
      <c r="L925">
        <f>IF($K925="","",COUNTIFS(LdgPartyA,$F925,LdgKeyA,"&lt;"&amp;$K925)+COUNTIFS(LdgPartyB,$F925,LdgKeyB,"&lt;"&amp;$K925)+1)</f>
        <v/>
      </c>
      <c r="M925">
        <f>IF($L925="","",$F925&amp;"|"&amp;RIGHT("000000"&amp;$L925,6))</f>
        <v/>
      </c>
      <c r="N925">
        <f>IF($F925="","",IF(Sync!$AH925="","0000",IF(AND(ISNUMBER(Sync!$AH925),Sync!$AH925&gt;=0,Sync!$AH925&lt;1),RIGHT("00"&amp;HOUR(Sync!$AH925),2)&amp;RIGHT("00"&amp;MINUTE(Sync!$AH925),2),IFERROR(RIGHT("00"&amp;VALUE(LEFT(Sync!$AH925,FIND(":",Sync!$AH925)-1)),2)&amp;RIGHT("00"&amp;VALUE(MID(Sync!$AH925,FIND(":",Sync!$AH925)+1,2)),2),"0000"))))</f>
        <v/>
      </c>
    </row>
    <row r="926">
      <c r="A926">
        <f>IF(OR(Calc!$E929="",Calc!$E929="نامعتبر",Calc!$G929="",Calc!$I929&lt;&gt;"خرید"),"",Calc!$G929)</f>
        <v/>
      </c>
      <c r="B926">
        <f>IF($A926="","",LEFT(Calc!$E929,4)&amp;MID(Calc!$E929,6,2)&amp;RIGHT(Calc!$E929,2)&amp;Calc!$R929&amp;"|"&amp;"1"&amp;RIGHT("00000"&amp;921,5))</f>
        <v/>
      </c>
      <c r="C926">
        <f>IF($B926="","",COUNTIFS(LdgPartyA,$A926,LdgKeyA,"&lt;"&amp;$B926)+COUNTIFS(LdgPartyB,$A926,LdgKeyB,"&lt;"&amp;$B926)+1)</f>
        <v/>
      </c>
      <c r="D926">
        <f>IF($C926="","",$A926&amp;"|"&amp;RIGHT("000000"&amp;$C926,6))</f>
        <v/>
      </c>
      <c r="F926">
        <f>IF(Sync!$AJ926="","",Sync!$AJ926)</f>
        <v/>
      </c>
      <c r="G926">
        <f>IF($F926="","",IF(Sync!$AG926="","",IF(ISNUMBER(Sync!$AG926),IF(AND(Sync!$AG926&gt;=10000101,Sync!$AG926&lt;=99991231),INT(Sync!$AG926/10000),""),IFERROR(VALUE(TRIM(LEFT(Sync!$AG926,FIND("/",Sync!$AG926)-1))),""))))</f>
        <v/>
      </c>
      <c r="H926">
        <f>IF(OR($F926="",$G926=""),"",IF(ISNUMBER(Sync!$AG926),INT(MOD(Sync!$AG926,10000)/100),IFERROR(VALUE(TRIM(LEFT(MID(Sync!$AG926,FIND("/",Sync!$AG926)+1,20),FIND("/",MID(Sync!$AG926,FIND("/",Sync!$AG926)+1,20))-1))),"")))</f>
        <v/>
      </c>
      <c r="I926">
        <f>IF(OR($F926="",$G926=""),"",IF(ISNUMBER(Sync!$AG926),MOD(Sync!$AG926,100),IFERROR(VALUE(TRIM(MID(MID(Sync!$AG926,FIND("/",Sync!$AG926)+1,20),FIND("/",MID(Sync!$AG926,FIND("/",Sync!$AG926)+1,20))+1,20))),"")))</f>
        <v/>
      </c>
      <c r="J926">
        <f>IF($F926="","",IF(OR($G926="",$H926="",$I926="",$G926&lt;1300,$G926&gt;1500,$H926&lt;1,$H926&gt;12,$I926&lt;1,$I926&gt;31),"نامعتبر",RIGHT("0000"&amp;$G926,4)&amp;"/"&amp;RIGHT("00"&amp;$H926,2)&amp;"/"&amp;RIGHT("00"&amp;$I926,2)))</f>
        <v/>
      </c>
      <c r="K926">
        <f>IF(OR($F926="",$J926="",$J926="نامعتبر"),"",LEFT($J926,4)&amp;MID($J926,6,2)&amp;RIGHT($J926,2)&amp;$N926&amp;"|"&amp;"2"&amp;RIGHT("00000"&amp;921,5))</f>
        <v/>
      </c>
      <c r="L926">
        <f>IF($K926="","",COUNTIFS(LdgPartyA,$F926,LdgKeyA,"&lt;"&amp;$K926)+COUNTIFS(LdgPartyB,$F926,LdgKeyB,"&lt;"&amp;$K926)+1)</f>
        <v/>
      </c>
      <c r="M926">
        <f>IF($L926="","",$F926&amp;"|"&amp;RIGHT("000000"&amp;$L926,6))</f>
        <v/>
      </c>
      <c r="N926">
        <f>IF($F926="","",IF(Sync!$AH926="","0000",IF(AND(ISNUMBER(Sync!$AH926),Sync!$AH926&gt;=0,Sync!$AH926&lt;1),RIGHT("00"&amp;HOUR(Sync!$AH926),2)&amp;RIGHT("00"&amp;MINUTE(Sync!$AH926),2),IFERROR(RIGHT("00"&amp;VALUE(LEFT(Sync!$AH926,FIND(":",Sync!$AH926)-1)),2)&amp;RIGHT("00"&amp;VALUE(MID(Sync!$AH926,FIND(":",Sync!$AH926)+1,2)),2),"0000"))))</f>
        <v/>
      </c>
    </row>
    <row r="927">
      <c r="A927">
        <f>IF(OR(Calc!$E930="",Calc!$E930="نامعتبر",Calc!$G930="",Calc!$I930&lt;&gt;"خرید"),"",Calc!$G930)</f>
        <v/>
      </c>
      <c r="B927">
        <f>IF($A927="","",LEFT(Calc!$E930,4)&amp;MID(Calc!$E930,6,2)&amp;RIGHT(Calc!$E930,2)&amp;Calc!$R930&amp;"|"&amp;"1"&amp;RIGHT("00000"&amp;922,5))</f>
        <v/>
      </c>
      <c r="C927">
        <f>IF($B927="","",COUNTIFS(LdgPartyA,$A927,LdgKeyA,"&lt;"&amp;$B927)+COUNTIFS(LdgPartyB,$A927,LdgKeyB,"&lt;"&amp;$B927)+1)</f>
        <v/>
      </c>
      <c r="D927">
        <f>IF($C927="","",$A927&amp;"|"&amp;RIGHT("000000"&amp;$C927,6))</f>
        <v/>
      </c>
      <c r="F927">
        <f>IF(Sync!$AJ927="","",Sync!$AJ927)</f>
        <v/>
      </c>
      <c r="G927">
        <f>IF($F927="","",IF(Sync!$AG927="","",IF(ISNUMBER(Sync!$AG927),IF(AND(Sync!$AG927&gt;=10000101,Sync!$AG927&lt;=99991231),INT(Sync!$AG927/10000),""),IFERROR(VALUE(TRIM(LEFT(Sync!$AG927,FIND("/",Sync!$AG927)-1))),""))))</f>
        <v/>
      </c>
      <c r="H927">
        <f>IF(OR($F927="",$G927=""),"",IF(ISNUMBER(Sync!$AG927),INT(MOD(Sync!$AG927,10000)/100),IFERROR(VALUE(TRIM(LEFT(MID(Sync!$AG927,FIND("/",Sync!$AG927)+1,20),FIND("/",MID(Sync!$AG927,FIND("/",Sync!$AG927)+1,20))-1))),"")))</f>
        <v/>
      </c>
      <c r="I927">
        <f>IF(OR($F927="",$G927=""),"",IF(ISNUMBER(Sync!$AG927),MOD(Sync!$AG927,100),IFERROR(VALUE(TRIM(MID(MID(Sync!$AG927,FIND("/",Sync!$AG927)+1,20),FIND("/",MID(Sync!$AG927,FIND("/",Sync!$AG927)+1,20))+1,20))),"")))</f>
        <v/>
      </c>
      <c r="J927">
        <f>IF($F927="","",IF(OR($G927="",$H927="",$I927="",$G927&lt;1300,$G927&gt;1500,$H927&lt;1,$H927&gt;12,$I927&lt;1,$I927&gt;31),"نامعتبر",RIGHT("0000"&amp;$G927,4)&amp;"/"&amp;RIGHT("00"&amp;$H927,2)&amp;"/"&amp;RIGHT("00"&amp;$I927,2)))</f>
        <v/>
      </c>
      <c r="K927">
        <f>IF(OR($F927="",$J927="",$J927="نامعتبر"),"",LEFT($J927,4)&amp;MID($J927,6,2)&amp;RIGHT($J927,2)&amp;$N927&amp;"|"&amp;"2"&amp;RIGHT("00000"&amp;922,5))</f>
        <v/>
      </c>
      <c r="L927">
        <f>IF($K927="","",COUNTIFS(LdgPartyA,$F927,LdgKeyA,"&lt;"&amp;$K927)+COUNTIFS(LdgPartyB,$F927,LdgKeyB,"&lt;"&amp;$K927)+1)</f>
        <v/>
      </c>
      <c r="M927">
        <f>IF($L927="","",$F927&amp;"|"&amp;RIGHT("000000"&amp;$L927,6))</f>
        <v/>
      </c>
      <c r="N927">
        <f>IF($F927="","",IF(Sync!$AH927="","0000",IF(AND(ISNUMBER(Sync!$AH927),Sync!$AH927&gt;=0,Sync!$AH927&lt;1),RIGHT("00"&amp;HOUR(Sync!$AH927),2)&amp;RIGHT("00"&amp;MINUTE(Sync!$AH927),2),IFERROR(RIGHT("00"&amp;VALUE(LEFT(Sync!$AH927,FIND(":",Sync!$AH927)-1)),2)&amp;RIGHT("00"&amp;VALUE(MID(Sync!$AH927,FIND(":",Sync!$AH927)+1,2)),2),"0000"))))</f>
        <v/>
      </c>
    </row>
    <row r="928">
      <c r="A928">
        <f>IF(OR(Calc!$E931="",Calc!$E931="نامعتبر",Calc!$G931="",Calc!$I931&lt;&gt;"خرید"),"",Calc!$G931)</f>
        <v/>
      </c>
      <c r="B928">
        <f>IF($A928="","",LEFT(Calc!$E931,4)&amp;MID(Calc!$E931,6,2)&amp;RIGHT(Calc!$E931,2)&amp;Calc!$R931&amp;"|"&amp;"1"&amp;RIGHT("00000"&amp;923,5))</f>
        <v/>
      </c>
      <c r="C928">
        <f>IF($B928="","",COUNTIFS(LdgPartyA,$A928,LdgKeyA,"&lt;"&amp;$B928)+COUNTIFS(LdgPartyB,$A928,LdgKeyB,"&lt;"&amp;$B928)+1)</f>
        <v/>
      </c>
      <c r="D928">
        <f>IF($C928="","",$A928&amp;"|"&amp;RIGHT("000000"&amp;$C928,6))</f>
        <v/>
      </c>
      <c r="F928">
        <f>IF(Sync!$AJ928="","",Sync!$AJ928)</f>
        <v/>
      </c>
      <c r="G928">
        <f>IF($F928="","",IF(Sync!$AG928="","",IF(ISNUMBER(Sync!$AG928),IF(AND(Sync!$AG928&gt;=10000101,Sync!$AG928&lt;=99991231),INT(Sync!$AG928/10000),""),IFERROR(VALUE(TRIM(LEFT(Sync!$AG928,FIND("/",Sync!$AG928)-1))),""))))</f>
        <v/>
      </c>
      <c r="H928">
        <f>IF(OR($F928="",$G928=""),"",IF(ISNUMBER(Sync!$AG928),INT(MOD(Sync!$AG928,10000)/100),IFERROR(VALUE(TRIM(LEFT(MID(Sync!$AG928,FIND("/",Sync!$AG928)+1,20),FIND("/",MID(Sync!$AG928,FIND("/",Sync!$AG928)+1,20))-1))),"")))</f>
        <v/>
      </c>
      <c r="I928">
        <f>IF(OR($F928="",$G928=""),"",IF(ISNUMBER(Sync!$AG928),MOD(Sync!$AG928,100),IFERROR(VALUE(TRIM(MID(MID(Sync!$AG928,FIND("/",Sync!$AG928)+1,20),FIND("/",MID(Sync!$AG928,FIND("/",Sync!$AG928)+1,20))+1,20))),"")))</f>
        <v/>
      </c>
      <c r="J928">
        <f>IF($F928="","",IF(OR($G928="",$H928="",$I928="",$G928&lt;1300,$G928&gt;1500,$H928&lt;1,$H928&gt;12,$I928&lt;1,$I928&gt;31),"نامعتبر",RIGHT("0000"&amp;$G928,4)&amp;"/"&amp;RIGHT("00"&amp;$H928,2)&amp;"/"&amp;RIGHT("00"&amp;$I928,2)))</f>
        <v/>
      </c>
      <c r="K928">
        <f>IF(OR($F928="",$J928="",$J928="نامعتبر"),"",LEFT($J928,4)&amp;MID($J928,6,2)&amp;RIGHT($J928,2)&amp;$N928&amp;"|"&amp;"2"&amp;RIGHT("00000"&amp;923,5))</f>
        <v/>
      </c>
      <c r="L928">
        <f>IF($K928="","",COUNTIFS(LdgPartyA,$F928,LdgKeyA,"&lt;"&amp;$K928)+COUNTIFS(LdgPartyB,$F928,LdgKeyB,"&lt;"&amp;$K928)+1)</f>
        <v/>
      </c>
      <c r="M928">
        <f>IF($L928="","",$F928&amp;"|"&amp;RIGHT("000000"&amp;$L928,6))</f>
        <v/>
      </c>
      <c r="N928">
        <f>IF($F928="","",IF(Sync!$AH928="","0000",IF(AND(ISNUMBER(Sync!$AH928),Sync!$AH928&gt;=0,Sync!$AH928&lt;1),RIGHT("00"&amp;HOUR(Sync!$AH928),2)&amp;RIGHT("00"&amp;MINUTE(Sync!$AH928),2),IFERROR(RIGHT("00"&amp;VALUE(LEFT(Sync!$AH928,FIND(":",Sync!$AH928)-1)),2)&amp;RIGHT("00"&amp;VALUE(MID(Sync!$AH928,FIND(":",Sync!$AH928)+1,2)),2),"0000"))))</f>
        <v/>
      </c>
    </row>
    <row r="929">
      <c r="A929">
        <f>IF(OR(Calc!$E932="",Calc!$E932="نامعتبر",Calc!$G932="",Calc!$I932&lt;&gt;"خرید"),"",Calc!$G932)</f>
        <v/>
      </c>
      <c r="B929">
        <f>IF($A929="","",LEFT(Calc!$E932,4)&amp;MID(Calc!$E932,6,2)&amp;RIGHT(Calc!$E932,2)&amp;Calc!$R932&amp;"|"&amp;"1"&amp;RIGHT("00000"&amp;924,5))</f>
        <v/>
      </c>
      <c r="C929">
        <f>IF($B929="","",COUNTIFS(LdgPartyA,$A929,LdgKeyA,"&lt;"&amp;$B929)+COUNTIFS(LdgPartyB,$A929,LdgKeyB,"&lt;"&amp;$B929)+1)</f>
        <v/>
      </c>
      <c r="D929">
        <f>IF($C929="","",$A929&amp;"|"&amp;RIGHT("000000"&amp;$C929,6))</f>
        <v/>
      </c>
      <c r="F929">
        <f>IF(Sync!$AJ929="","",Sync!$AJ929)</f>
        <v/>
      </c>
      <c r="G929">
        <f>IF($F929="","",IF(Sync!$AG929="","",IF(ISNUMBER(Sync!$AG929),IF(AND(Sync!$AG929&gt;=10000101,Sync!$AG929&lt;=99991231),INT(Sync!$AG929/10000),""),IFERROR(VALUE(TRIM(LEFT(Sync!$AG929,FIND("/",Sync!$AG929)-1))),""))))</f>
        <v/>
      </c>
      <c r="H929">
        <f>IF(OR($F929="",$G929=""),"",IF(ISNUMBER(Sync!$AG929),INT(MOD(Sync!$AG929,10000)/100),IFERROR(VALUE(TRIM(LEFT(MID(Sync!$AG929,FIND("/",Sync!$AG929)+1,20),FIND("/",MID(Sync!$AG929,FIND("/",Sync!$AG929)+1,20))-1))),"")))</f>
        <v/>
      </c>
      <c r="I929">
        <f>IF(OR($F929="",$G929=""),"",IF(ISNUMBER(Sync!$AG929),MOD(Sync!$AG929,100),IFERROR(VALUE(TRIM(MID(MID(Sync!$AG929,FIND("/",Sync!$AG929)+1,20),FIND("/",MID(Sync!$AG929,FIND("/",Sync!$AG929)+1,20))+1,20))),"")))</f>
        <v/>
      </c>
      <c r="J929">
        <f>IF($F929="","",IF(OR($G929="",$H929="",$I929="",$G929&lt;1300,$G929&gt;1500,$H929&lt;1,$H929&gt;12,$I929&lt;1,$I929&gt;31),"نامعتبر",RIGHT("0000"&amp;$G929,4)&amp;"/"&amp;RIGHT("00"&amp;$H929,2)&amp;"/"&amp;RIGHT("00"&amp;$I929,2)))</f>
        <v/>
      </c>
      <c r="K929">
        <f>IF(OR($F929="",$J929="",$J929="نامعتبر"),"",LEFT($J929,4)&amp;MID($J929,6,2)&amp;RIGHT($J929,2)&amp;$N929&amp;"|"&amp;"2"&amp;RIGHT("00000"&amp;924,5))</f>
        <v/>
      </c>
      <c r="L929">
        <f>IF($K929="","",COUNTIFS(LdgPartyA,$F929,LdgKeyA,"&lt;"&amp;$K929)+COUNTIFS(LdgPartyB,$F929,LdgKeyB,"&lt;"&amp;$K929)+1)</f>
        <v/>
      </c>
      <c r="M929">
        <f>IF($L929="","",$F929&amp;"|"&amp;RIGHT("000000"&amp;$L929,6))</f>
        <v/>
      </c>
      <c r="N929">
        <f>IF($F929="","",IF(Sync!$AH929="","0000",IF(AND(ISNUMBER(Sync!$AH929),Sync!$AH929&gt;=0,Sync!$AH929&lt;1),RIGHT("00"&amp;HOUR(Sync!$AH929),2)&amp;RIGHT("00"&amp;MINUTE(Sync!$AH929),2),IFERROR(RIGHT("00"&amp;VALUE(LEFT(Sync!$AH929,FIND(":",Sync!$AH929)-1)),2)&amp;RIGHT("00"&amp;VALUE(MID(Sync!$AH929,FIND(":",Sync!$AH929)+1,2)),2),"0000"))))</f>
        <v/>
      </c>
    </row>
    <row r="930">
      <c r="A930">
        <f>IF(OR(Calc!$E933="",Calc!$E933="نامعتبر",Calc!$G933="",Calc!$I933&lt;&gt;"خرید"),"",Calc!$G933)</f>
        <v/>
      </c>
      <c r="B930">
        <f>IF($A930="","",LEFT(Calc!$E933,4)&amp;MID(Calc!$E933,6,2)&amp;RIGHT(Calc!$E933,2)&amp;Calc!$R933&amp;"|"&amp;"1"&amp;RIGHT("00000"&amp;925,5))</f>
        <v/>
      </c>
      <c r="C930">
        <f>IF($B930="","",COUNTIFS(LdgPartyA,$A930,LdgKeyA,"&lt;"&amp;$B930)+COUNTIFS(LdgPartyB,$A930,LdgKeyB,"&lt;"&amp;$B930)+1)</f>
        <v/>
      </c>
      <c r="D930">
        <f>IF($C930="","",$A930&amp;"|"&amp;RIGHT("000000"&amp;$C930,6))</f>
        <v/>
      </c>
      <c r="F930">
        <f>IF(Sync!$AJ930="","",Sync!$AJ930)</f>
        <v/>
      </c>
      <c r="G930">
        <f>IF($F930="","",IF(Sync!$AG930="","",IF(ISNUMBER(Sync!$AG930),IF(AND(Sync!$AG930&gt;=10000101,Sync!$AG930&lt;=99991231),INT(Sync!$AG930/10000),""),IFERROR(VALUE(TRIM(LEFT(Sync!$AG930,FIND("/",Sync!$AG930)-1))),""))))</f>
        <v/>
      </c>
      <c r="H930">
        <f>IF(OR($F930="",$G930=""),"",IF(ISNUMBER(Sync!$AG930),INT(MOD(Sync!$AG930,10000)/100),IFERROR(VALUE(TRIM(LEFT(MID(Sync!$AG930,FIND("/",Sync!$AG930)+1,20),FIND("/",MID(Sync!$AG930,FIND("/",Sync!$AG930)+1,20))-1))),"")))</f>
        <v/>
      </c>
      <c r="I930">
        <f>IF(OR($F930="",$G930=""),"",IF(ISNUMBER(Sync!$AG930),MOD(Sync!$AG930,100),IFERROR(VALUE(TRIM(MID(MID(Sync!$AG930,FIND("/",Sync!$AG930)+1,20),FIND("/",MID(Sync!$AG930,FIND("/",Sync!$AG930)+1,20))+1,20))),"")))</f>
        <v/>
      </c>
      <c r="J930">
        <f>IF($F930="","",IF(OR($G930="",$H930="",$I930="",$G930&lt;1300,$G930&gt;1500,$H930&lt;1,$H930&gt;12,$I930&lt;1,$I930&gt;31),"نامعتبر",RIGHT("0000"&amp;$G930,4)&amp;"/"&amp;RIGHT("00"&amp;$H930,2)&amp;"/"&amp;RIGHT("00"&amp;$I930,2)))</f>
        <v/>
      </c>
      <c r="K930">
        <f>IF(OR($F930="",$J930="",$J930="نامعتبر"),"",LEFT($J930,4)&amp;MID($J930,6,2)&amp;RIGHT($J930,2)&amp;$N930&amp;"|"&amp;"2"&amp;RIGHT("00000"&amp;925,5))</f>
        <v/>
      </c>
      <c r="L930">
        <f>IF($K930="","",COUNTIFS(LdgPartyA,$F930,LdgKeyA,"&lt;"&amp;$K930)+COUNTIFS(LdgPartyB,$F930,LdgKeyB,"&lt;"&amp;$K930)+1)</f>
        <v/>
      </c>
      <c r="M930">
        <f>IF($L930="","",$F930&amp;"|"&amp;RIGHT("000000"&amp;$L930,6))</f>
        <v/>
      </c>
      <c r="N930">
        <f>IF($F930="","",IF(Sync!$AH930="","0000",IF(AND(ISNUMBER(Sync!$AH930),Sync!$AH930&gt;=0,Sync!$AH930&lt;1),RIGHT("00"&amp;HOUR(Sync!$AH930),2)&amp;RIGHT("00"&amp;MINUTE(Sync!$AH930),2),IFERROR(RIGHT("00"&amp;VALUE(LEFT(Sync!$AH930,FIND(":",Sync!$AH930)-1)),2)&amp;RIGHT("00"&amp;VALUE(MID(Sync!$AH930,FIND(":",Sync!$AH930)+1,2)),2),"0000"))))</f>
        <v/>
      </c>
    </row>
    <row r="931">
      <c r="A931">
        <f>IF(OR(Calc!$E934="",Calc!$E934="نامعتبر",Calc!$G934="",Calc!$I934&lt;&gt;"خرید"),"",Calc!$G934)</f>
        <v/>
      </c>
      <c r="B931">
        <f>IF($A931="","",LEFT(Calc!$E934,4)&amp;MID(Calc!$E934,6,2)&amp;RIGHT(Calc!$E934,2)&amp;Calc!$R934&amp;"|"&amp;"1"&amp;RIGHT("00000"&amp;926,5))</f>
        <v/>
      </c>
      <c r="C931">
        <f>IF($B931="","",COUNTIFS(LdgPartyA,$A931,LdgKeyA,"&lt;"&amp;$B931)+COUNTIFS(LdgPartyB,$A931,LdgKeyB,"&lt;"&amp;$B931)+1)</f>
        <v/>
      </c>
      <c r="D931">
        <f>IF($C931="","",$A931&amp;"|"&amp;RIGHT("000000"&amp;$C931,6))</f>
        <v/>
      </c>
      <c r="F931">
        <f>IF(Sync!$AJ931="","",Sync!$AJ931)</f>
        <v/>
      </c>
      <c r="G931">
        <f>IF($F931="","",IF(Sync!$AG931="","",IF(ISNUMBER(Sync!$AG931),IF(AND(Sync!$AG931&gt;=10000101,Sync!$AG931&lt;=99991231),INT(Sync!$AG931/10000),""),IFERROR(VALUE(TRIM(LEFT(Sync!$AG931,FIND("/",Sync!$AG931)-1))),""))))</f>
        <v/>
      </c>
      <c r="H931">
        <f>IF(OR($F931="",$G931=""),"",IF(ISNUMBER(Sync!$AG931),INT(MOD(Sync!$AG931,10000)/100),IFERROR(VALUE(TRIM(LEFT(MID(Sync!$AG931,FIND("/",Sync!$AG931)+1,20),FIND("/",MID(Sync!$AG931,FIND("/",Sync!$AG931)+1,20))-1))),"")))</f>
        <v/>
      </c>
      <c r="I931">
        <f>IF(OR($F931="",$G931=""),"",IF(ISNUMBER(Sync!$AG931),MOD(Sync!$AG931,100),IFERROR(VALUE(TRIM(MID(MID(Sync!$AG931,FIND("/",Sync!$AG931)+1,20),FIND("/",MID(Sync!$AG931,FIND("/",Sync!$AG931)+1,20))+1,20))),"")))</f>
        <v/>
      </c>
      <c r="J931">
        <f>IF($F931="","",IF(OR($G931="",$H931="",$I931="",$G931&lt;1300,$G931&gt;1500,$H931&lt;1,$H931&gt;12,$I931&lt;1,$I931&gt;31),"نامعتبر",RIGHT("0000"&amp;$G931,4)&amp;"/"&amp;RIGHT("00"&amp;$H931,2)&amp;"/"&amp;RIGHT("00"&amp;$I931,2)))</f>
        <v/>
      </c>
      <c r="K931">
        <f>IF(OR($F931="",$J931="",$J931="نامعتبر"),"",LEFT($J931,4)&amp;MID($J931,6,2)&amp;RIGHT($J931,2)&amp;$N931&amp;"|"&amp;"2"&amp;RIGHT("00000"&amp;926,5))</f>
        <v/>
      </c>
      <c r="L931">
        <f>IF($K931="","",COUNTIFS(LdgPartyA,$F931,LdgKeyA,"&lt;"&amp;$K931)+COUNTIFS(LdgPartyB,$F931,LdgKeyB,"&lt;"&amp;$K931)+1)</f>
        <v/>
      </c>
      <c r="M931">
        <f>IF($L931="","",$F931&amp;"|"&amp;RIGHT("000000"&amp;$L931,6))</f>
        <v/>
      </c>
      <c r="N931">
        <f>IF($F931="","",IF(Sync!$AH931="","0000",IF(AND(ISNUMBER(Sync!$AH931),Sync!$AH931&gt;=0,Sync!$AH931&lt;1),RIGHT("00"&amp;HOUR(Sync!$AH931),2)&amp;RIGHT("00"&amp;MINUTE(Sync!$AH931),2),IFERROR(RIGHT("00"&amp;VALUE(LEFT(Sync!$AH931,FIND(":",Sync!$AH931)-1)),2)&amp;RIGHT("00"&amp;VALUE(MID(Sync!$AH931,FIND(":",Sync!$AH931)+1,2)),2),"0000"))))</f>
        <v/>
      </c>
    </row>
    <row r="932">
      <c r="A932">
        <f>IF(OR(Calc!$E935="",Calc!$E935="نامعتبر",Calc!$G935="",Calc!$I935&lt;&gt;"خرید"),"",Calc!$G935)</f>
        <v/>
      </c>
      <c r="B932">
        <f>IF($A932="","",LEFT(Calc!$E935,4)&amp;MID(Calc!$E935,6,2)&amp;RIGHT(Calc!$E935,2)&amp;Calc!$R935&amp;"|"&amp;"1"&amp;RIGHT("00000"&amp;927,5))</f>
        <v/>
      </c>
      <c r="C932">
        <f>IF($B932="","",COUNTIFS(LdgPartyA,$A932,LdgKeyA,"&lt;"&amp;$B932)+COUNTIFS(LdgPartyB,$A932,LdgKeyB,"&lt;"&amp;$B932)+1)</f>
        <v/>
      </c>
      <c r="D932">
        <f>IF($C932="","",$A932&amp;"|"&amp;RIGHT("000000"&amp;$C932,6))</f>
        <v/>
      </c>
      <c r="F932">
        <f>IF(Sync!$AJ932="","",Sync!$AJ932)</f>
        <v/>
      </c>
      <c r="G932">
        <f>IF($F932="","",IF(Sync!$AG932="","",IF(ISNUMBER(Sync!$AG932),IF(AND(Sync!$AG932&gt;=10000101,Sync!$AG932&lt;=99991231),INT(Sync!$AG932/10000),""),IFERROR(VALUE(TRIM(LEFT(Sync!$AG932,FIND("/",Sync!$AG932)-1))),""))))</f>
        <v/>
      </c>
      <c r="H932">
        <f>IF(OR($F932="",$G932=""),"",IF(ISNUMBER(Sync!$AG932),INT(MOD(Sync!$AG932,10000)/100),IFERROR(VALUE(TRIM(LEFT(MID(Sync!$AG932,FIND("/",Sync!$AG932)+1,20),FIND("/",MID(Sync!$AG932,FIND("/",Sync!$AG932)+1,20))-1))),"")))</f>
        <v/>
      </c>
      <c r="I932">
        <f>IF(OR($F932="",$G932=""),"",IF(ISNUMBER(Sync!$AG932),MOD(Sync!$AG932,100),IFERROR(VALUE(TRIM(MID(MID(Sync!$AG932,FIND("/",Sync!$AG932)+1,20),FIND("/",MID(Sync!$AG932,FIND("/",Sync!$AG932)+1,20))+1,20))),"")))</f>
        <v/>
      </c>
      <c r="J932">
        <f>IF($F932="","",IF(OR($G932="",$H932="",$I932="",$G932&lt;1300,$G932&gt;1500,$H932&lt;1,$H932&gt;12,$I932&lt;1,$I932&gt;31),"نامعتبر",RIGHT("0000"&amp;$G932,4)&amp;"/"&amp;RIGHT("00"&amp;$H932,2)&amp;"/"&amp;RIGHT("00"&amp;$I932,2)))</f>
        <v/>
      </c>
      <c r="K932">
        <f>IF(OR($F932="",$J932="",$J932="نامعتبر"),"",LEFT($J932,4)&amp;MID($J932,6,2)&amp;RIGHT($J932,2)&amp;$N932&amp;"|"&amp;"2"&amp;RIGHT("00000"&amp;927,5))</f>
        <v/>
      </c>
      <c r="L932">
        <f>IF($K932="","",COUNTIFS(LdgPartyA,$F932,LdgKeyA,"&lt;"&amp;$K932)+COUNTIFS(LdgPartyB,$F932,LdgKeyB,"&lt;"&amp;$K932)+1)</f>
        <v/>
      </c>
      <c r="M932">
        <f>IF($L932="","",$F932&amp;"|"&amp;RIGHT("000000"&amp;$L932,6))</f>
        <v/>
      </c>
      <c r="N932">
        <f>IF($F932="","",IF(Sync!$AH932="","0000",IF(AND(ISNUMBER(Sync!$AH932),Sync!$AH932&gt;=0,Sync!$AH932&lt;1),RIGHT("00"&amp;HOUR(Sync!$AH932),2)&amp;RIGHT("00"&amp;MINUTE(Sync!$AH932),2),IFERROR(RIGHT("00"&amp;VALUE(LEFT(Sync!$AH932,FIND(":",Sync!$AH932)-1)),2)&amp;RIGHT("00"&amp;VALUE(MID(Sync!$AH932,FIND(":",Sync!$AH932)+1,2)),2),"0000"))))</f>
        <v/>
      </c>
    </row>
    <row r="933">
      <c r="A933">
        <f>IF(OR(Calc!$E936="",Calc!$E936="نامعتبر",Calc!$G936="",Calc!$I936&lt;&gt;"خرید"),"",Calc!$G936)</f>
        <v/>
      </c>
      <c r="B933">
        <f>IF($A933="","",LEFT(Calc!$E936,4)&amp;MID(Calc!$E936,6,2)&amp;RIGHT(Calc!$E936,2)&amp;Calc!$R936&amp;"|"&amp;"1"&amp;RIGHT("00000"&amp;928,5))</f>
        <v/>
      </c>
      <c r="C933">
        <f>IF($B933="","",COUNTIFS(LdgPartyA,$A933,LdgKeyA,"&lt;"&amp;$B933)+COUNTIFS(LdgPartyB,$A933,LdgKeyB,"&lt;"&amp;$B933)+1)</f>
        <v/>
      </c>
      <c r="D933">
        <f>IF($C933="","",$A933&amp;"|"&amp;RIGHT("000000"&amp;$C933,6))</f>
        <v/>
      </c>
      <c r="F933">
        <f>IF(Sync!$AJ933="","",Sync!$AJ933)</f>
        <v/>
      </c>
      <c r="G933">
        <f>IF($F933="","",IF(Sync!$AG933="","",IF(ISNUMBER(Sync!$AG933),IF(AND(Sync!$AG933&gt;=10000101,Sync!$AG933&lt;=99991231),INT(Sync!$AG933/10000),""),IFERROR(VALUE(TRIM(LEFT(Sync!$AG933,FIND("/",Sync!$AG933)-1))),""))))</f>
        <v/>
      </c>
      <c r="H933">
        <f>IF(OR($F933="",$G933=""),"",IF(ISNUMBER(Sync!$AG933),INT(MOD(Sync!$AG933,10000)/100),IFERROR(VALUE(TRIM(LEFT(MID(Sync!$AG933,FIND("/",Sync!$AG933)+1,20),FIND("/",MID(Sync!$AG933,FIND("/",Sync!$AG933)+1,20))-1))),"")))</f>
        <v/>
      </c>
      <c r="I933">
        <f>IF(OR($F933="",$G933=""),"",IF(ISNUMBER(Sync!$AG933),MOD(Sync!$AG933,100),IFERROR(VALUE(TRIM(MID(MID(Sync!$AG933,FIND("/",Sync!$AG933)+1,20),FIND("/",MID(Sync!$AG933,FIND("/",Sync!$AG933)+1,20))+1,20))),"")))</f>
        <v/>
      </c>
      <c r="J933">
        <f>IF($F933="","",IF(OR($G933="",$H933="",$I933="",$G933&lt;1300,$G933&gt;1500,$H933&lt;1,$H933&gt;12,$I933&lt;1,$I933&gt;31),"نامعتبر",RIGHT("0000"&amp;$G933,4)&amp;"/"&amp;RIGHT("00"&amp;$H933,2)&amp;"/"&amp;RIGHT("00"&amp;$I933,2)))</f>
        <v/>
      </c>
      <c r="K933">
        <f>IF(OR($F933="",$J933="",$J933="نامعتبر"),"",LEFT($J933,4)&amp;MID($J933,6,2)&amp;RIGHT($J933,2)&amp;$N933&amp;"|"&amp;"2"&amp;RIGHT("00000"&amp;928,5))</f>
        <v/>
      </c>
      <c r="L933">
        <f>IF($K933="","",COUNTIFS(LdgPartyA,$F933,LdgKeyA,"&lt;"&amp;$K933)+COUNTIFS(LdgPartyB,$F933,LdgKeyB,"&lt;"&amp;$K933)+1)</f>
        <v/>
      </c>
      <c r="M933">
        <f>IF($L933="","",$F933&amp;"|"&amp;RIGHT("000000"&amp;$L933,6))</f>
        <v/>
      </c>
      <c r="N933">
        <f>IF($F933="","",IF(Sync!$AH933="","0000",IF(AND(ISNUMBER(Sync!$AH933),Sync!$AH933&gt;=0,Sync!$AH933&lt;1),RIGHT("00"&amp;HOUR(Sync!$AH933),2)&amp;RIGHT("00"&amp;MINUTE(Sync!$AH933),2),IFERROR(RIGHT("00"&amp;VALUE(LEFT(Sync!$AH933,FIND(":",Sync!$AH933)-1)),2)&amp;RIGHT("00"&amp;VALUE(MID(Sync!$AH933,FIND(":",Sync!$AH933)+1,2)),2),"0000"))))</f>
        <v/>
      </c>
    </row>
    <row r="934">
      <c r="A934">
        <f>IF(OR(Calc!$E937="",Calc!$E937="نامعتبر",Calc!$G937="",Calc!$I937&lt;&gt;"خرید"),"",Calc!$G937)</f>
        <v/>
      </c>
      <c r="B934">
        <f>IF($A934="","",LEFT(Calc!$E937,4)&amp;MID(Calc!$E937,6,2)&amp;RIGHT(Calc!$E937,2)&amp;Calc!$R937&amp;"|"&amp;"1"&amp;RIGHT("00000"&amp;929,5))</f>
        <v/>
      </c>
      <c r="C934">
        <f>IF($B934="","",COUNTIFS(LdgPartyA,$A934,LdgKeyA,"&lt;"&amp;$B934)+COUNTIFS(LdgPartyB,$A934,LdgKeyB,"&lt;"&amp;$B934)+1)</f>
        <v/>
      </c>
      <c r="D934">
        <f>IF($C934="","",$A934&amp;"|"&amp;RIGHT("000000"&amp;$C934,6))</f>
        <v/>
      </c>
      <c r="F934">
        <f>IF(Sync!$AJ934="","",Sync!$AJ934)</f>
        <v/>
      </c>
      <c r="G934">
        <f>IF($F934="","",IF(Sync!$AG934="","",IF(ISNUMBER(Sync!$AG934),IF(AND(Sync!$AG934&gt;=10000101,Sync!$AG934&lt;=99991231),INT(Sync!$AG934/10000),""),IFERROR(VALUE(TRIM(LEFT(Sync!$AG934,FIND("/",Sync!$AG934)-1))),""))))</f>
        <v/>
      </c>
      <c r="H934">
        <f>IF(OR($F934="",$G934=""),"",IF(ISNUMBER(Sync!$AG934),INT(MOD(Sync!$AG934,10000)/100),IFERROR(VALUE(TRIM(LEFT(MID(Sync!$AG934,FIND("/",Sync!$AG934)+1,20),FIND("/",MID(Sync!$AG934,FIND("/",Sync!$AG934)+1,20))-1))),"")))</f>
        <v/>
      </c>
      <c r="I934">
        <f>IF(OR($F934="",$G934=""),"",IF(ISNUMBER(Sync!$AG934),MOD(Sync!$AG934,100),IFERROR(VALUE(TRIM(MID(MID(Sync!$AG934,FIND("/",Sync!$AG934)+1,20),FIND("/",MID(Sync!$AG934,FIND("/",Sync!$AG934)+1,20))+1,20))),"")))</f>
        <v/>
      </c>
      <c r="J934">
        <f>IF($F934="","",IF(OR($G934="",$H934="",$I934="",$G934&lt;1300,$G934&gt;1500,$H934&lt;1,$H934&gt;12,$I934&lt;1,$I934&gt;31),"نامعتبر",RIGHT("0000"&amp;$G934,4)&amp;"/"&amp;RIGHT("00"&amp;$H934,2)&amp;"/"&amp;RIGHT("00"&amp;$I934,2)))</f>
        <v/>
      </c>
      <c r="K934">
        <f>IF(OR($F934="",$J934="",$J934="نامعتبر"),"",LEFT($J934,4)&amp;MID($J934,6,2)&amp;RIGHT($J934,2)&amp;$N934&amp;"|"&amp;"2"&amp;RIGHT("00000"&amp;929,5))</f>
        <v/>
      </c>
      <c r="L934">
        <f>IF($K934="","",COUNTIFS(LdgPartyA,$F934,LdgKeyA,"&lt;"&amp;$K934)+COUNTIFS(LdgPartyB,$F934,LdgKeyB,"&lt;"&amp;$K934)+1)</f>
        <v/>
      </c>
      <c r="M934">
        <f>IF($L934="","",$F934&amp;"|"&amp;RIGHT("000000"&amp;$L934,6))</f>
        <v/>
      </c>
      <c r="N934">
        <f>IF($F934="","",IF(Sync!$AH934="","0000",IF(AND(ISNUMBER(Sync!$AH934),Sync!$AH934&gt;=0,Sync!$AH934&lt;1),RIGHT("00"&amp;HOUR(Sync!$AH934),2)&amp;RIGHT("00"&amp;MINUTE(Sync!$AH934),2),IFERROR(RIGHT("00"&amp;VALUE(LEFT(Sync!$AH934,FIND(":",Sync!$AH934)-1)),2)&amp;RIGHT("00"&amp;VALUE(MID(Sync!$AH934,FIND(":",Sync!$AH934)+1,2)),2),"0000"))))</f>
        <v/>
      </c>
    </row>
    <row r="935">
      <c r="A935">
        <f>IF(OR(Calc!$E938="",Calc!$E938="نامعتبر",Calc!$G938="",Calc!$I938&lt;&gt;"خرید"),"",Calc!$G938)</f>
        <v/>
      </c>
      <c r="B935">
        <f>IF($A935="","",LEFT(Calc!$E938,4)&amp;MID(Calc!$E938,6,2)&amp;RIGHT(Calc!$E938,2)&amp;Calc!$R938&amp;"|"&amp;"1"&amp;RIGHT("00000"&amp;930,5))</f>
        <v/>
      </c>
      <c r="C935">
        <f>IF($B935="","",COUNTIFS(LdgPartyA,$A935,LdgKeyA,"&lt;"&amp;$B935)+COUNTIFS(LdgPartyB,$A935,LdgKeyB,"&lt;"&amp;$B935)+1)</f>
        <v/>
      </c>
      <c r="D935">
        <f>IF($C935="","",$A935&amp;"|"&amp;RIGHT("000000"&amp;$C935,6))</f>
        <v/>
      </c>
      <c r="F935">
        <f>IF(Sync!$AJ935="","",Sync!$AJ935)</f>
        <v/>
      </c>
      <c r="G935">
        <f>IF($F935="","",IF(Sync!$AG935="","",IF(ISNUMBER(Sync!$AG935),IF(AND(Sync!$AG935&gt;=10000101,Sync!$AG935&lt;=99991231),INT(Sync!$AG935/10000),""),IFERROR(VALUE(TRIM(LEFT(Sync!$AG935,FIND("/",Sync!$AG935)-1))),""))))</f>
        <v/>
      </c>
      <c r="H935">
        <f>IF(OR($F935="",$G935=""),"",IF(ISNUMBER(Sync!$AG935),INT(MOD(Sync!$AG935,10000)/100),IFERROR(VALUE(TRIM(LEFT(MID(Sync!$AG935,FIND("/",Sync!$AG935)+1,20),FIND("/",MID(Sync!$AG935,FIND("/",Sync!$AG935)+1,20))-1))),"")))</f>
        <v/>
      </c>
      <c r="I935">
        <f>IF(OR($F935="",$G935=""),"",IF(ISNUMBER(Sync!$AG935),MOD(Sync!$AG935,100),IFERROR(VALUE(TRIM(MID(MID(Sync!$AG935,FIND("/",Sync!$AG935)+1,20),FIND("/",MID(Sync!$AG935,FIND("/",Sync!$AG935)+1,20))+1,20))),"")))</f>
        <v/>
      </c>
      <c r="J935">
        <f>IF($F935="","",IF(OR($G935="",$H935="",$I935="",$G935&lt;1300,$G935&gt;1500,$H935&lt;1,$H935&gt;12,$I935&lt;1,$I935&gt;31),"نامعتبر",RIGHT("0000"&amp;$G935,4)&amp;"/"&amp;RIGHT("00"&amp;$H935,2)&amp;"/"&amp;RIGHT("00"&amp;$I935,2)))</f>
        <v/>
      </c>
      <c r="K935">
        <f>IF(OR($F935="",$J935="",$J935="نامعتبر"),"",LEFT($J935,4)&amp;MID($J935,6,2)&amp;RIGHT($J935,2)&amp;$N935&amp;"|"&amp;"2"&amp;RIGHT("00000"&amp;930,5))</f>
        <v/>
      </c>
      <c r="L935">
        <f>IF($K935="","",COUNTIFS(LdgPartyA,$F935,LdgKeyA,"&lt;"&amp;$K935)+COUNTIFS(LdgPartyB,$F935,LdgKeyB,"&lt;"&amp;$K935)+1)</f>
        <v/>
      </c>
      <c r="M935">
        <f>IF($L935="","",$F935&amp;"|"&amp;RIGHT("000000"&amp;$L935,6))</f>
        <v/>
      </c>
      <c r="N935">
        <f>IF($F935="","",IF(Sync!$AH935="","0000",IF(AND(ISNUMBER(Sync!$AH935),Sync!$AH935&gt;=0,Sync!$AH935&lt;1),RIGHT("00"&amp;HOUR(Sync!$AH935),2)&amp;RIGHT("00"&amp;MINUTE(Sync!$AH935),2),IFERROR(RIGHT("00"&amp;VALUE(LEFT(Sync!$AH935,FIND(":",Sync!$AH935)-1)),2)&amp;RIGHT("00"&amp;VALUE(MID(Sync!$AH935,FIND(":",Sync!$AH935)+1,2)),2),"0000"))))</f>
        <v/>
      </c>
    </row>
    <row r="936">
      <c r="A936">
        <f>IF(OR(Calc!$E939="",Calc!$E939="نامعتبر",Calc!$G939="",Calc!$I939&lt;&gt;"خرید"),"",Calc!$G939)</f>
        <v/>
      </c>
      <c r="B936">
        <f>IF($A936="","",LEFT(Calc!$E939,4)&amp;MID(Calc!$E939,6,2)&amp;RIGHT(Calc!$E939,2)&amp;Calc!$R939&amp;"|"&amp;"1"&amp;RIGHT("00000"&amp;931,5))</f>
        <v/>
      </c>
      <c r="C936">
        <f>IF($B936="","",COUNTIFS(LdgPartyA,$A936,LdgKeyA,"&lt;"&amp;$B936)+COUNTIFS(LdgPartyB,$A936,LdgKeyB,"&lt;"&amp;$B936)+1)</f>
        <v/>
      </c>
      <c r="D936">
        <f>IF($C936="","",$A936&amp;"|"&amp;RIGHT("000000"&amp;$C936,6))</f>
        <v/>
      </c>
      <c r="F936">
        <f>IF(Sync!$AJ936="","",Sync!$AJ936)</f>
        <v/>
      </c>
      <c r="G936">
        <f>IF($F936="","",IF(Sync!$AG936="","",IF(ISNUMBER(Sync!$AG936),IF(AND(Sync!$AG936&gt;=10000101,Sync!$AG936&lt;=99991231),INT(Sync!$AG936/10000),""),IFERROR(VALUE(TRIM(LEFT(Sync!$AG936,FIND("/",Sync!$AG936)-1))),""))))</f>
        <v/>
      </c>
      <c r="H936">
        <f>IF(OR($F936="",$G936=""),"",IF(ISNUMBER(Sync!$AG936),INT(MOD(Sync!$AG936,10000)/100),IFERROR(VALUE(TRIM(LEFT(MID(Sync!$AG936,FIND("/",Sync!$AG936)+1,20),FIND("/",MID(Sync!$AG936,FIND("/",Sync!$AG936)+1,20))-1))),"")))</f>
        <v/>
      </c>
      <c r="I936">
        <f>IF(OR($F936="",$G936=""),"",IF(ISNUMBER(Sync!$AG936),MOD(Sync!$AG936,100),IFERROR(VALUE(TRIM(MID(MID(Sync!$AG936,FIND("/",Sync!$AG936)+1,20),FIND("/",MID(Sync!$AG936,FIND("/",Sync!$AG936)+1,20))+1,20))),"")))</f>
        <v/>
      </c>
      <c r="J936">
        <f>IF($F936="","",IF(OR($G936="",$H936="",$I936="",$G936&lt;1300,$G936&gt;1500,$H936&lt;1,$H936&gt;12,$I936&lt;1,$I936&gt;31),"نامعتبر",RIGHT("0000"&amp;$G936,4)&amp;"/"&amp;RIGHT("00"&amp;$H936,2)&amp;"/"&amp;RIGHT("00"&amp;$I936,2)))</f>
        <v/>
      </c>
      <c r="K936">
        <f>IF(OR($F936="",$J936="",$J936="نامعتبر"),"",LEFT($J936,4)&amp;MID($J936,6,2)&amp;RIGHT($J936,2)&amp;$N936&amp;"|"&amp;"2"&amp;RIGHT("00000"&amp;931,5))</f>
        <v/>
      </c>
      <c r="L936">
        <f>IF($K936="","",COUNTIFS(LdgPartyA,$F936,LdgKeyA,"&lt;"&amp;$K936)+COUNTIFS(LdgPartyB,$F936,LdgKeyB,"&lt;"&amp;$K936)+1)</f>
        <v/>
      </c>
      <c r="M936">
        <f>IF($L936="","",$F936&amp;"|"&amp;RIGHT("000000"&amp;$L936,6))</f>
        <v/>
      </c>
      <c r="N936">
        <f>IF($F936="","",IF(Sync!$AH936="","0000",IF(AND(ISNUMBER(Sync!$AH936),Sync!$AH936&gt;=0,Sync!$AH936&lt;1),RIGHT("00"&amp;HOUR(Sync!$AH936),2)&amp;RIGHT("00"&amp;MINUTE(Sync!$AH936),2),IFERROR(RIGHT("00"&amp;VALUE(LEFT(Sync!$AH936,FIND(":",Sync!$AH936)-1)),2)&amp;RIGHT("00"&amp;VALUE(MID(Sync!$AH936,FIND(":",Sync!$AH936)+1,2)),2),"0000"))))</f>
        <v/>
      </c>
    </row>
    <row r="937">
      <c r="A937">
        <f>IF(OR(Calc!$E940="",Calc!$E940="نامعتبر",Calc!$G940="",Calc!$I940&lt;&gt;"خرید"),"",Calc!$G940)</f>
        <v/>
      </c>
      <c r="B937">
        <f>IF($A937="","",LEFT(Calc!$E940,4)&amp;MID(Calc!$E940,6,2)&amp;RIGHT(Calc!$E940,2)&amp;Calc!$R940&amp;"|"&amp;"1"&amp;RIGHT("00000"&amp;932,5))</f>
        <v/>
      </c>
      <c r="C937">
        <f>IF($B937="","",COUNTIFS(LdgPartyA,$A937,LdgKeyA,"&lt;"&amp;$B937)+COUNTIFS(LdgPartyB,$A937,LdgKeyB,"&lt;"&amp;$B937)+1)</f>
        <v/>
      </c>
      <c r="D937">
        <f>IF($C937="","",$A937&amp;"|"&amp;RIGHT("000000"&amp;$C937,6))</f>
        <v/>
      </c>
      <c r="F937">
        <f>IF(Sync!$AJ937="","",Sync!$AJ937)</f>
        <v/>
      </c>
      <c r="G937">
        <f>IF($F937="","",IF(Sync!$AG937="","",IF(ISNUMBER(Sync!$AG937),IF(AND(Sync!$AG937&gt;=10000101,Sync!$AG937&lt;=99991231),INT(Sync!$AG937/10000),""),IFERROR(VALUE(TRIM(LEFT(Sync!$AG937,FIND("/",Sync!$AG937)-1))),""))))</f>
        <v/>
      </c>
      <c r="H937">
        <f>IF(OR($F937="",$G937=""),"",IF(ISNUMBER(Sync!$AG937),INT(MOD(Sync!$AG937,10000)/100),IFERROR(VALUE(TRIM(LEFT(MID(Sync!$AG937,FIND("/",Sync!$AG937)+1,20),FIND("/",MID(Sync!$AG937,FIND("/",Sync!$AG937)+1,20))-1))),"")))</f>
        <v/>
      </c>
      <c r="I937">
        <f>IF(OR($F937="",$G937=""),"",IF(ISNUMBER(Sync!$AG937),MOD(Sync!$AG937,100),IFERROR(VALUE(TRIM(MID(MID(Sync!$AG937,FIND("/",Sync!$AG937)+1,20),FIND("/",MID(Sync!$AG937,FIND("/",Sync!$AG937)+1,20))+1,20))),"")))</f>
        <v/>
      </c>
      <c r="J937">
        <f>IF($F937="","",IF(OR($G937="",$H937="",$I937="",$G937&lt;1300,$G937&gt;1500,$H937&lt;1,$H937&gt;12,$I937&lt;1,$I937&gt;31),"نامعتبر",RIGHT("0000"&amp;$G937,4)&amp;"/"&amp;RIGHT("00"&amp;$H937,2)&amp;"/"&amp;RIGHT("00"&amp;$I937,2)))</f>
        <v/>
      </c>
      <c r="K937">
        <f>IF(OR($F937="",$J937="",$J937="نامعتبر"),"",LEFT($J937,4)&amp;MID($J937,6,2)&amp;RIGHT($J937,2)&amp;$N937&amp;"|"&amp;"2"&amp;RIGHT("00000"&amp;932,5))</f>
        <v/>
      </c>
      <c r="L937">
        <f>IF($K937="","",COUNTIFS(LdgPartyA,$F937,LdgKeyA,"&lt;"&amp;$K937)+COUNTIFS(LdgPartyB,$F937,LdgKeyB,"&lt;"&amp;$K937)+1)</f>
        <v/>
      </c>
      <c r="M937">
        <f>IF($L937="","",$F937&amp;"|"&amp;RIGHT("000000"&amp;$L937,6))</f>
        <v/>
      </c>
      <c r="N937">
        <f>IF($F937="","",IF(Sync!$AH937="","0000",IF(AND(ISNUMBER(Sync!$AH937),Sync!$AH937&gt;=0,Sync!$AH937&lt;1),RIGHT("00"&amp;HOUR(Sync!$AH937),2)&amp;RIGHT("00"&amp;MINUTE(Sync!$AH937),2),IFERROR(RIGHT("00"&amp;VALUE(LEFT(Sync!$AH937,FIND(":",Sync!$AH937)-1)),2)&amp;RIGHT("00"&amp;VALUE(MID(Sync!$AH937,FIND(":",Sync!$AH937)+1,2)),2),"0000"))))</f>
        <v/>
      </c>
    </row>
    <row r="938">
      <c r="A938">
        <f>IF(OR(Calc!$E941="",Calc!$E941="نامعتبر",Calc!$G941="",Calc!$I941&lt;&gt;"خرید"),"",Calc!$G941)</f>
        <v/>
      </c>
      <c r="B938">
        <f>IF($A938="","",LEFT(Calc!$E941,4)&amp;MID(Calc!$E941,6,2)&amp;RIGHT(Calc!$E941,2)&amp;Calc!$R941&amp;"|"&amp;"1"&amp;RIGHT("00000"&amp;933,5))</f>
        <v/>
      </c>
      <c r="C938">
        <f>IF($B938="","",COUNTIFS(LdgPartyA,$A938,LdgKeyA,"&lt;"&amp;$B938)+COUNTIFS(LdgPartyB,$A938,LdgKeyB,"&lt;"&amp;$B938)+1)</f>
        <v/>
      </c>
      <c r="D938">
        <f>IF($C938="","",$A938&amp;"|"&amp;RIGHT("000000"&amp;$C938,6))</f>
        <v/>
      </c>
      <c r="F938">
        <f>IF(Sync!$AJ938="","",Sync!$AJ938)</f>
        <v/>
      </c>
      <c r="G938">
        <f>IF($F938="","",IF(Sync!$AG938="","",IF(ISNUMBER(Sync!$AG938),IF(AND(Sync!$AG938&gt;=10000101,Sync!$AG938&lt;=99991231),INT(Sync!$AG938/10000),""),IFERROR(VALUE(TRIM(LEFT(Sync!$AG938,FIND("/",Sync!$AG938)-1))),""))))</f>
        <v/>
      </c>
      <c r="H938">
        <f>IF(OR($F938="",$G938=""),"",IF(ISNUMBER(Sync!$AG938),INT(MOD(Sync!$AG938,10000)/100),IFERROR(VALUE(TRIM(LEFT(MID(Sync!$AG938,FIND("/",Sync!$AG938)+1,20),FIND("/",MID(Sync!$AG938,FIND("/",Sync!$AG938)+1,20))-1))),"")))</f>
        <v/>
      </c>
      <c r="I938">
        <f>IF(OR($F938="",$G938=""),"",IF(ISNUMBER(Sync!$AG938),MOD(Sync!$AG938,100),IFERROR(VALUE(TRIM(MID(MID(Sync!$AG938,FIND("/",Sync!$AG938)+1,20),FIND("/",MID(Sync!$AG938,FIND("/",Sync!$AG938)+1,20))+1,20))),"")))</f>
        <v/>
      </c>
      <c r="J938">
        <f>IF($F938="","",IF(OR($G938="",$H938="",$I938="",$G938&lt;1300,$G938&gt;1500,$H938&lt;1,$H938&gt;12,$I938&lt;1,$I938&gt;31),"نامعتبر",RIGHT("0000"&amp;$G938,4)&amp;"/"&amp;RIGHT("00"&amp;$H938,2)&amp;"/"&amp;RIGHT("00"&amp;$I938,2)))</f>
        <v/>
      </c>
      <c r="K938">
        <f>IF(OR($F938="",$J938="",$J938="نامعتبر"),"",LEFT($J938,4)&amp;MID($J938,6,2)&amp;RIGHT($J938,2)&amp;$N938&amp;"|"&amp;"2"&amp;RIGHT("00000"&amp;933,5))</f>
        <v/>
      </c>
      <c r="L938">
        <f>IF($K938="","",COUNTIFS(LdgPartyA,$F938,LdgKeyA,"&lt;"&amp;$K938)+COUNTIFS(LdgPartyB,$F938,LdgKeyB,"&lt;"&amp;$K938)+1)</f>
        <v/>
      </c>
      <c r="M938">
        <f>IF($L938="","",$F938&amp;"|"&amp;RIGHT("000000"&amp;$L938,6))</f>
        <v/>
      </c>
      <c r="N938">
        <f>IF($F938="","",IF(Sync!$AH938="","0000",IF(AND(ISNUMBER(Sync!$AH938),Sync!$AH938&gt;=0,Sync!$AH938&lt;1),RIGHT("00"&amp;HOUR(Sync!$AH938),2)&amp;RIGHT("00"&amp;MINUTE(Sync!$AH938),2),IFERROR(RIGHT("00"&amp;VALUE(LEFT(Sync!$AH938,FIND(":",Sync!$AH938)-1)),2)&amp;RIGHT("00"&amp;VALUE(MID(Sync!$AH938,FIND(":",Sync!$AH938)+1,2)),2),"0000"))))</f>
        <v/>
      </c>
    </row>
    <row r="939">
      <c r="A939">
        <f>IF(OR(Calc!$E942="",Calc!$E942="نامعتبر",Calc!$G942="",Calc!$I942&lt;&gt;"خرید"),"",Calc!$G942)</f>
        <v/>
      </c>
      <c r="B939">
        <f>IF($A939="","",LEFT(Calc!$E942,4)&amp;MID(Calc!$E942,6,2)&amp;RIGHT(Calc!$E942,2)&amp;Calc!$R942&amp;"|"&amp;"1"&amp;RIGHT("00000"&amp;934,5))</f>
        <v/>
      </c>
      <c r="C939">
        <f>IF($B939="","",COUNTIFS(LdgPartyA,$A939,LdgKeyA,"&lt;"&amp;$B939)+COUNTIFS(LdgPartyB,$A939,LdgKeyB,"&lt;"&amp;$B939)+1)</f>
        <v/>
      </c>
      <c r="D939">
        <f>IF($C939="","",$A939&amp;"|"&amp;RIGHT("000000"&amp;$C939,6))</f>
        <v/>
      </c>
      <c r="F939">
        <f>IF(Sync!$AJ939="","",Sync!$AJ939)</f>
        <v/>
      </c>
      <c r="G939">
        <f>IF($F939="","",IF(Sync!$AG939="","",IF(ISNUMBER(Sync!$AG939),IF(AND(Sync!$AG939&gt;=10000101,Sync!$AG939&lt;=99991231),INT(Sync!$AG939/10000),""),IFERROR(VALUE(TRIM(LEFT(Sync!$AG939,FIND("/",Sync!$AG939)-1))),""))))</f>
        <v/>
      </c>
      <c r="H939">
        <f>IF(OR($F939="",$G939=""),"",IF(ISNUMBER(Sync!$AG939),INT(MOD(Sync!$AG939,10000)/100),IFERROR(VALUE(TRIM(LEFT(MID(Sync!$AG939,FIND("/",Sync!$AG939)+1,20),FIND("/",MID(Sync!$AG939,FIND("/",Sync!$AG939)+1,20))-1))),"")))</f>
        <v/>
      </c>
      <c r="I939">
        <f>IF(OR($F939="",$G939=""),"",IF(ISNUMBER(Sync!$AG939),MOD(Sync!$AG939,100),IFERROR(VALUE(TRIM(MID(MID(Sync!$AG939,FIND("/",Sync!$AG939)+1,20),FIND("/",MID(Sync!$AG939,FIND("/",Sync!$AG939)+1,20))+1,20))),"")))</f>
        <v/>
      </c>
      <c r="J939">
        <f>IF($F939="","",IF(OR($G939="",$H939="",$I939="",$G939&lt;1300,$G939&gt;1500,$H939&lt;1,$H939&gt;12,$I939&lt;1,$I939&gt;31),"نامعتبر",RIGHT("0000"&amp;$G939,4)&amp;"/"&amp;RIGHT("00"&amp;$H939,2)&amp;"/"&amp;RIGHT("00"&amp;$I939,2)))</f>
        <v/>
      </c>
      <c r="K939">
        <f>IF(OR($F939="",$J939="",$J939="نامعتبر"),"",LEFT($J939,4)&amp;MID($J939,6,2)&amp;RIGHT($J939,2)&amp;$N939&amp;"|"&amp;"2"&amp;RIGHT("00000"&amp;934,5))</f>
        <v/>
      </c>
      <c r="L939">
        <f>IF($K939="","",COUNTIFS(LdgPartyA,$F939,LdgKeyA,"&lt;"&amp;$K939)+COUNTIFS(LdgPartyB,$F939,LdgKeyB,"&lt;"&amp;$K939)+1)</f>
        <v/>
      </c>
      <c r="M939">
        <f>IF($L939="","",$F939&amp;"|"&amp;RIGHT("000000"&amp;$L939,6))</f>
        <v/>
      </c>
      <c r="N939">
        <f>IF($F939="","",IF(Sync!$AH939="","0000",IF(AND(ISNUMBER(Sync!$AH939),Sync!$AH939&gt;=0,Sync!$AH939&lt;1),RIGHT("00"&amp;HOUR(Sync!$AH939),2)&amp;RIGHT("00"&amp;MINUTE(Sync!$AH939),2),IFERROR(RIGHT("00"&amp;VALUE(LEFT(Sync!$AH939,FIND(":",Sync!$AH939)-1)),2)&amp;RIGHT("00"&amp;VALUE(MID(Sync!$AH939,FIND(":",Sync!$AH939)+1,2)),2),"0000"))))</f>
        <v/>
      </c>
    </row>
    <row r="940">
      <c r="A940">
        <f>IF(OR(Calc!$E943="",Calc!$E943="نامعتبر",Calc!$G943="",Calc!$I943&lt;&gt;"خرید"),"",Calc!$G943)</f>
        <v/>
      </c>
      <c r="B940">
        <f>IF($A940="","",LEFT(Calc!$E943,4)&amp;MID(Calc!$E943,6,2)&amp;RIGHT(Calc!$E943,2)&amp;Calc!$R943&amp;"|"&amp;"1"&amp;RIGHT("00000"&amp;935,5))</f>
        <v/>
      </c>
      <c r="C940">
        <f>IF($B940="","",COUNTIFS(LdgPartyA,$A940,LdgKeyA,"&lt;"&amp;$B940)+COUNTIFS(LdgPartyB,$A940,LdgKeyB,"&lt;"&amp;$B940)+1)</f>
        <v/>
      </c>
      <c r="D940">
        <f>IF($C940="","",$A940&amp;"|"&amp;RIGHT("000000"&amp;$C940,6))</f>
        <v/>
      </c>
      <c r="F940">
        <f>IF(Sync!$AJ940="","",Sync!$AJ940)</f>
        <v/>
      </c>
      <c r="G940">
        <f>IF($F940="","",IF(Sync!$AG940="","",IF(ISNUMBER(Sync!$AG940),IF(AND(Sync!$AG940&gt;=10000101,Sync!$AG940&lt;=99991231),INT(Sync!$AG940/10000),""),IFERROR(VALUE(TRIM(LEFT(Sync!$AG940,FIND("/",Sync!$AG940)-1))),""))))</f>
        <v/>
      </c>
      <c r="H940">
        <f>IF(OR($F940="",$G940=""),"",IF(ISNUMBER(Sync!$AG940),INT(MOD(Sync!$AG940,10000)/100),IFERROR(VALUE(TRIM(LEFT(MID(Sync!$AG940,FIND("/",Sync!$AG940)+1,20),FIND("/",MID(Sync!$AG940,FIND("/",Sync!$AG940)+1,20))-1))),"")))</f>
        <v/>
      </c>
      <c r="I940">
        <f>IF(OR($F940="",$G940=""),"",IF(ISNUMBER(Sync!$AG940),MOD(Sync!$AG940,100),IFERROR(VALUE(TRIM(MID(MID(Sync!$AG940,FIND("/",Sync!$AG940)+1,20),FIND("/",MID(Sync!$AG940,FIND("/",Sync!$AG940)+1,20))+1,20))),"")))</f>
        <v/>
      </c>
      <c r="J940">
        <f>IF($F940="","",IF(OR($G940="",$H940="",$I940="",$G940&lt;1300,$G940&gt;1500,$H940&lt;1,$H940&gt;12,$I940&lt;1,$I940&gt;31),"نامعتبر",RIGHT("0000"&amp;$G940,4)&amp;"/"&amp;RIGHT("00"&amp;$H940,2)&amp;"/"&amp;RIGHT("00"&amp;$I940,2)))</f>
        <v/>
      </c>
      <c r="K940">
        <f>IF(OR($F940="",$J940="",$J940="نامعتبر"),"",LEFT($J940,4)&amp;MID($J940,6,2)&amp;RIGHT($J940,2)&amp;$N940&amp;"|"&amp;"2"&amp;RIGHT("00000"&amp;935,5))</f>
        <v/>
      </c>
      <c r="L940">
        <f>IF($K940="","",COUNTIFS(LdgPartyA,$F940,LdgKeyA,"&lt;"&amp;$K940)+COUNTIFS(LdgPartyB,$F940,LdgKeyB,"&lt;"&amp;$K940)+1)</f>
        <v/>
      </c>
      <c r="M940">
        <f>IF($L940="","",$F940&amp;"|"&amp;RIGHT("000000"&amp;$L940,6))</f>
        <v/>
      </c>
      <c r="N940">
        <f>IF($F940="","",IF(Sync!$AH940="","0000",IF(AND(ISNUMBER(Sync!$AH940),Sync!$AH940&gt;=0,Sync!$AH940&lt;1),RIGHT("00"&amp;HOUR(Sync!$AH940),2)&amp;RIGHT("00"&amp;MINUTE(Sync!$AH940),2),IFERROR(RIGHT("00"&amp;VALUE(LEFT(Sync!$AH940,FIND(":",Sync!$AH940)-1)),2)&amp;RIGHT("00"&amp;VALUE(MID(Sync!$AH940,FIND(":",Sync!$AH940)+1,2)),2),"0000"))))</f>
        <v/>
      </c>
    </row>
    <row r="941">
      <c r="A941">
        <f>IF(OR(Calc!$E944="",Calc!$E944="نامعتبر",Calc!$G944="",Calc!$I944&lt;&gt;"خرید"),"",Calc!$G944)</f>
        <v/>
      </c>
      <c r="B941">
        <f>IF($A941="","",LEFT(Calc!$E944,4)&amp;MID(Calc!$E944,6,2)&amp;RIGHT(Calc!$E944,2)&amp;Calc!$R944&amp;"|"&amp;"1"&amp;RIGHT("00000"&amp;936,5))</f>
        <v/>
      </c>
      <c r="C941">
        <f>IF($B941="","",COUNTIFS(LdgPartyA,$A941,LdgKeyA,"&lt;"&amp;$B941)+COUNTIFS(LdgPartyB,$A941,LdgKeyB,"&lt;"&amp;$B941)+1)</f>
        <v/>
      </c>
      <c r="D941">
        <f>IF($C941="","",$A941&amp;"|"&amp;RIGHT("000000"&amp;$C941,6))</f>
        <v/>
      </c>
      <c r="F941">
        <f>IF(Sync!$AJ941="","",Sync!$AJ941)</f>
        <v/>
      </c>
      <c r="G941">
        <f>IF($F941="","",IF(Sync!$AG941="","",IF(ISNUMBER(Sync!$AG941),IF(AND(Sync!$AG941&gt;=10000101,Sync!$AG941&lt;=99991231),INT(Sync!$AG941/10000),""),IFERROR(VALUE(TRIM(LEFT(Sync!$AG941,FIND("/",Sync!$AG941)-1))),""))))</f>
        <v/>
      </c>
      <c r="H941">
        <f>IF(OR($F941="",$G941=""),"",IF(ISNUMBER(Sync!$AG941),INT(MOD(Sync!$AG941,10000)/100),IFERROR(VALUE(TRIM(LEFT(MID(Sync!$AG941,FIND("/",Sync!$AG941)+1,20),FIND("/",MID(Sync!$AG941,FIND("/",Sync!$AG941)+1,20))-1))),"")))</f>
        <v/>
      </c>
      <c r="I941">
        <f>IF(OR($F941="",$G941=""),"",IF(ISNUMBER(Sync!$AG941),MOD(Sync!$AG941,100),IFERROR(VALUE(TRIM(MID(MID(Sync!$AG941,FIND("/",Sync!$AG941)+1,20),FIND("/",MID(Sync!$AG941,FIND("/",Sync!$AG941)+1,20))+1,20))),"")))</f>
        <v/>
      </c>
      <c r="J941">
        <f>IF($F941="","",IF(OR($G941="",$H941="",$I941="",$G941&lt;1300,$G941&gt;1500,$H941&lt;1,$H941&gt;12,$I941&lt;1,$I941&gt;31),"نامعتبر",RIGHT("0000"&amp;$G941,4)&amp;"/"&amp;RIGHT("00"&amp;$H941,2)&amp;"/"&amp;RIGHT("00"&amp;$I941,2)))</f>
        <v/>
      </c>
      <c r="K941">
        <f>IF(OR($F941="",$J941="",$J941="نامعتبر"),"",LEFT($J941,4)&amp;MID($J941,6,2)&amp;RIGHT($J941,2)&amp;$N941&amp;"|"&amp;"2"&amp;RIGHT("00000"&amp;936,5))</f>
        <v/>
      </c>
      <c r="L941">
        <f>IF($K941="","",COUNTIFS(LdgPartyA,$F941,LdgKeyA,"&lt;"&amp;$K941)+COUNTIFS(LdgPartyB,$F941,LdgKeyB,"&lt;"&amp;$K941)+1)</f>
        <v/>
      </c>
      <c r="M941">
        <f>IF($L941="","",$F941&amp;"|"&amp;RIGHT("000000"&amp;$L941,6))</f>
        <v/>
      </c>
      <c r="N941">
        <f>IF($F941="","",IF(Sync!$AH941="","0000",IF(AND(ISNUMBER(Sync!$AH941),Sync!$AH941&gt;=0,Sync!$AH941&lt;1),RIGHT("00"&amp;HOUR(Sync!$AH941),2)&amp;RIGHT("00"&amp;MINUTE(Sync!$AH941),2),IFERROR(RIGHT("00"&amp;VALUE(LEFT(Sync!$AH941,FIND(":",Sync!$AH941)-1)),2)&amp;RIGHT("00"&amp;VALUE(MID(Sync!$AH941,FIND(":",Sync!$AH941)+1,2)),2),"0000"))))</f>
        <v/>
      </c>
    </row>
    <row r="942">
      <c r="A942">
        <f>IF(OR(Calc!$E945="",Calc!$E945="نامعتبر",Calc!$G945="",Calc!$I945&lt;&gt;"خرید"),"",Calc!$G945)</f>
        <v/>
      </c>
      <c r="B942">
        <f>IF($A942="","",LEFT(Calc!$E945,4)&amp;MID(Calc!$E945,6,2)&amp;RIGHT(Calc!$E945,2)&amp;Calc!$R945&amp;"|"&amp;"1"&amp;RIGHT("00000"&amp;937,5))</f>
        <v/>
      </c>
      <c r="C942">
        <f>IF($B942="","",COUNTIFS(LdgPartyA,$A942,LdgKeyA,"&lt;"&amp;$B942)+COUNTIFS(LdgPartyB,$A942,LdgKeyB,"&lt;"&amp;$B942)+1)</f>
        <v/>
      </c>
      <c r="D942">
        <f>IF($C942="","",$A942&amp;"|"&amp;RIGHT("000000"&amp;$C942,6))</f>
        <v/>
      </c>
      <c r="F942">
        <f>IF(Sync!$AJ942="","",Sync!$AJ942)</f>
        <v/>
      </c>
      <c r="G942">
        <f>IF($F942="","",IF(Sync!$AG942="","",IF(ISNUMBER(Sync!$AG942),IF(AND(Sync!$AG942&gt;=10000101,Sync!$AG942&lt;=99991231),INT(Sync!$AG942/10000),""),IFERROR(VALUE(TRIM(LEFT(Sync!$AG942,FIND("/",Sync!$AG942)-1))),""))))</f>
        <v/>
      </c>
      <c r="H942">
        <f>IF(OR($F942="",$G942=""),"",IF(ISNUMBER(Sync!$AG942),INT(MOD(Sync!$AG942,10000)/100),IFERROR(VALUE(TRIM(LEFT(MID(Sync!$AG942,FIND("/",Sync!$AG942)+1,20),FIND("/",MID(Sync!$AG942,FIND("/",Sync!$AG942)+1,20))-1))),"")))</f>
        <v/>
      </c>
      <c r="I942">
        <f>IF(OR($F942="",$G942=""),"",IF(ISNUMBER(Sync!$AG942),MOD(Sync!$AG942,100),IFERROR(VALUE(TRIM(MID(MID(Sync!$AG942,FIND("/",Sync!$AG942)+1,20),FIND("/",MID(Sync!$AG942,FIND("/",Sync!$AG942)+1,20))+1,20))),"")))</f>
        <v/>
      </c>
      <c r="J942">
        <f>IF($F942="","",IF(OR($G942="",$H942="",$I942="",$G942&lt;1300,$G942&gt;1500,$H942&lt;1,$H942&gt;12,$I942&lt;1,$I942&gt;31),"نامعتبر",RIGHT("0000"&amp;$G942,4)&amp;"/"&amp;RIGHT("00"&amp;$H942,2)&amp;"/"&amp;RIGHT("00"&amp;$I942,2)))</f>
        <v/>
      </c>
      <c r="K942">
        <f>IF(OR($F942="",$J942="",$J942="نامعتبر"),"",LEFT($J942,4)&amp;MID($J942,6,2)&amp;RIGHT($J942,2)&amp;$N942&amp;"|"&amp;"2"&amp;RIGHT("00000"&amp;937,5))</f>
        <v/>
      </c>
      <c r="L942">
        <f>IF($K942="","",COUNTIFS(LdgPartyA,$F942,LdgKeyA,"&lt;"&amp;$K942)+COUNTIFS(LdgPartyB,$F942,LdgKeyB,"&lt;"&amp;$K942)+1)</f>
        <v/>
      </c>
      <c r="M942">
        <f>IF($L942="","",$F942&amp;"|"&amp;RIGHT("000000"&amp;$L942,6))</f>
        <v/>
      </c>
      <c r="N942">
        <f>IF($F942="","",IF(Sync!$AH942="","0000",IF(AND(ISNUMBER(Sync!$AH942),Sync!$AH942&gt;=0,Sync!$AH942&lt;1),RIGHT("00"&amp;HOUR(Sync!$AH942),2)&amp;RIGHT("00"&amp;MINUTE(Sync!$AH942),2),IFERROR(RIGHT("00"&amp;VALUE(LEFT(Sync!$AH942,FIND(":",Sync!$AH942)-1)),2)&amp;RIGHT("00"&amp;VALUE(MID(Sync!$AH942,FIND(":",Sync!$AH942)+1,2)),2),"0000"))))</f>
        <v/>
      </c>
    </row>
    <row r="943">
      <c r="A943">
        <f>IF(OR(Calc!$E946="",Calc!$E946="نامعتبر",Calc!$G946="",Calc!$I946&lt;&gt;"خرید"),"",Calc!$G946)</f>
        <v/>
      </c>
      <c r="B943">
        <f>IF($A943="","",LEFT(Calc!$E946,4)&amp;MID(Calc!$E946,6,2)&amp;RIGHT(Calc!$E946,2)&amp;Calc!$R946&amp;"|"&amp;"1"&amp;RIGHT("00000"&amp;938,5))</f>
        <v/>
      </c>
      <c r="C943">
        <f>IF($B943="","",COUNTIFS(LdgPartyA,$A943,LdgKeyA,"&lt;"&amp;$B943)+COUNTIFS(LdgPartyB,$A943,LdgKeyB,"&lt;"&amp;$B943)+1)</f>
        <v/>
      </c>
      <c r="D943">
        <f>IF($C943="","",$A943&amp;"|"&amp;RIGHT("000000"&amp;$C943,6))</f>
        <v/>
      </c>
      <c r="F943">
        <f>IF(Sync!$AJ943="","",Sync!$AJ943)</f>
        <v/>
      </c>
      <c r="G943">
        <f>IF($F943="","",IF(Sync!$AG943="","",IF(ISNUMBER(Sync!$AG943),IF(AND(Sync!$AG943&gt;=10000101,Sync!$AG943&lt;=99991231),INT(Sync!$AG943/10000),""),IFERROR(VALUE(TRIM(LEFT(Sync!$AG943,FIND("/",Sync!$AG943)-1))),""))))</f>
        <v/>
      </c>
      <c r="H943">
        <f>IF(OR($F943="",$G943=""),"",IF(ISNUMBER(Sync!$AG943),INT(MOD(Sync!$AG943,10000)/100),IFERROR(VALUE(TRIM(LEFT(MID(Sync!$AG943,FIND("/",Sync!$AG943)+1,20),FIND("/",MID(Sync!$AG943,FIND("/",Sync!$AG943)+1,20))-1))),"")))</f>
        <v/>
      </c>
      <c r="I943">
        <f>IF(OR($F943="",$G943=""),"",IF(ISNUMBER(Sync!$AG943),MOD(Sync!$AG943,100),IFERROR(VALUE(TRIM(MID(MID(Sync!$AG943,FIND("/",Sync!$AG943)+1,20),FIND("/",MID(Sync!$AG943,FIND("/",Sync!$AG943)+1,20))+1,20))),"")))</f>
        <v/>
      </c>
      <c r="J943">
        <f>IF($F943="","",IF(OR($G943="",$H943="",$I943="",$G943&lt;1300,$G943&gt;1500,$H943&lt;1,$H943&gt;12,$I943&lt;1,$I943&gt;31),"نامعتبر",RIGHT("0000"&amp;$G943,4)&amp;"/"&amp;RIGHT("00"&amp;$H943,2)&amp;"/"&amp;RIGHT("00"&amp;$I943,2)))</f>
        <v/>
      </c>
      <c r="K943">
        <f>IF(OR($F943="",$J943="",$J943="نامعتبر"),"",LEFT($J943,4)&amp;MID($J943,6,2)&amp;RIGHT($J943,2)&amp;$N943&amp;"|"&amp;"2"&amp;RIGHT("00000"&amp;938,5))</f>
        <v/>
      </c>
      <c r="L943">
        <f>IF($K943="","",COUNTIFS(LdgPartyA,$F943,LdgKeyA,"&lt;"&amp;$K943)+COUNTIFS(LdgPartyB,$F943,LdgKeyB,"&lt;"&amp;$K943)+1)</f>
        <v/>
      </c>
      <c r="M943">
        <f>IF($L943="","",$F943&amp;"|"&amp;RIGHT("000000"&amp;$L943,6))</f>
        <v/>
      </c>
      <c r="N943">
        <f>IF($F943="","",IF(Sync!$AH943="","0000",IF(AND(ISNUMBER(Sync!$AH943),Sync!$AH943&gt;=0,Sync!$AH943&lt;1),RIGHT("00"&amp;HOUR(Sync!$AH943),2)&amp;RIGHT("00"&amp;MINUTE(Sync!$AH943),2),IFERROR(RIGHT("00"&amp;VALUE(LEFT(Sync!$AH943,FIND(":",Sync!$AH943)-1)),2)&amp;RIGHT("00"&amp;VALUE(MID(Sync!$AH943,FIND(":",Sync!$AH943)+1,2)),2),"0000"))))</f>
        <v/>
      </c>
    </row>
    <row r="944">
      <c r="A944">
        <f>IF(OR(Calc!$E947="",Calc!$E947="نامعتبر",Calc!$G947="",Calc!$I947&lt;&gt;"خرید"),"",Calc!$G947)</f>
        <v/>
      </c>
      <c r="B944">
        <f>IF($A944="","",LEFT(Calc!$E947,4)&amp;MID(Calc!$E947,6,2)&amp;RIGHT(Calc!$E947,2)&amp;Calc!$R947&amp;"|"&amp;"1"&amp;RIGHT("00000"&amp;939,5))</f>
        <v/>
      </c>
      <c r="C944">
        <f>IF($B944="","",COUNTIFS(LdgPartyA,$A944,LdgKeyA,"&lt;"&amp;$B944)+COUNTIFS(LdgPartyB,$A944,LdgKeyB,"&lt;"&amp;$B944)+1)</f>
        <v/>
      </c>
      <c r="D944">
        <f>IF($C944="","",$A944&amp;"|"&amp;RIGHT("000000"&amp;$C944,6))</f>
        <v/>
      </c>
      <c r="F944">
        <f>IF(Sync!$AJ944="","",Sync!$AJ944)</f>
        <v/>
      </c>
      <c r="G944">
        <f>IF($F944="","",IF(Sync!$AG944="","",IF(ISNUMBER(Sync!$AG944),IF(AND(Sync!$AG944&gt;=10000101,Sync!$AG944&lt;=99991231),INT(Sync!$AG944/10000),""),IFERROR(VALUE(TRIM(LEFT(Sync!$AG944,FIND("/",Sync!$AG944)-1))),""))))</f>
        <v/>
      </c>
      <c r="H944">
        <f>IF(OR($F944="",$G944=""),"",IF(ISNUMBER(Sync!$AG944),INT(MOD(Sync!$AG944,10000)/100),IFERROR(VALUE(TRIM(LEFT(MID(Sync!$AG944,FIND("/",Sync!$AG944)+1,20),FIND("/",MID(Sync!$AG944,FIND("/",Sync!$AG944)+1,20))-1))),"")))</f>
        <v/>
      </c>
      <c r="I944">
        <f>IF(OR($F944="",$G944=""),"",IF(ISNUMBER(Sync!$AG944),MOD(Sync!$AG944,100),IFERROR(VALUE(TRIM(MID(MID(Sync!$AG944,FIND("/",Sync!$AG944)+1,20),FIND("/",MID(Sync!$AG944,FIND("/",Sync!$AG944)+1,20))+1,20))),"")))</f>
        <v/>
      </c>
      <c r="J944">
        <f>IF($F944="","",IF(OR($G944="",$H944="",$I944="",$G944&lt;1300,$G944&gt;1500,$H944&lt;1,$H944&gt;12,$I944&lt;1,$I944&gt;31),"نامعتبر",RIGHT("0000"&amp;$G944,4)&amp;"/"&amp;RIGHT("00"&amp;$H944,2)&amp;"/"&amp;RIGHT("00"&amp;$I944,2)))</f>
        <v/>
      </c>
      <c r="K944">
        <f>IF(OR($F944="",$J944="",$J944="نامعتبر"),"",LEFT($J944,4)&amp;MID($J944,6,2)&amp;RIGHT($J944,2)&amp;$N944&amp;"|"&amp;"2"&amp;RIGHT("00000"&amp;939,5))</f>
        <v/>
      </c>
      <c r="L944">
        <f>IF($K944="","",COUNTIFS(LdgPartyA,$F944,LdgKeyA,"&lt;"&amp;$K944)+COUNTIFS(LdgPartyB,$F944,LdgKeyB,"&lt;"&amp;$K944)+1)</f>
        <v/>
      </c>
      <c r="M944">
        <f>IF($L944="","",$F944&amp;"|"&amp;RIGHT("000000"&amp;$L944,6))</f>
        <v/>
      </c>
      <c r="N944">
        <f>IF($F944="","",IF(Sync!$AH944="","0000",IF(AND(ISNUMBER(Sync!$AH944),Sync!$AH944&gt;=0,Sync!$AH944&lt;1),RIGHT("00"&amp;HOUR(Sync!$AH944),2)&amp;RIGHT("00"&amp;MINUTE(Sync!$AH944),2),IFERROR(RIGHT("00"&amp;VALUE(LEFT(Sync!$AH944,FIND(":",Sync!$AH944)-1)),2)&amp;RIGHT("00"&amp;VALUE(MID(Sync!$AH944,FIND(":",Sync!$AH944)+1,2)),2),"0000"))))</f>
        <v/>
      </c>
    </row>
    <row r="945">
      <c r="A945">
        <f>IF(OR(Calc!$E948="",Calc!$E948="نامعتبر",Calc!$G948="",Calc!$I948&lt;&gt;"خرید"),"",Calc!$G948)</f>
        <v/>
      </c>
      <c r="B945">
        <f>IF($A945="","",LEFT(Calc!$E948,4)&amp;MID(Calc!$E948,6,2)&amp;RIGHT(Calc!$E948,2)&amp;Calc!$R948&amp;"|"&amp;"1"&amp;RIGHT("00000"&amp;940,5))</f>
        <v/>
      </c>
      <c r="C945">
        <f>IF($B945="","",COUNTIFS(LdgPartyA,$A945,LdgKeyA,"&lt;"&amp;$B945)+COUNTIFS(LdgPartyB,$A945,LdgKeyB,"&lt;"&amp;$B945)+1)</f>
        <v/>
      </c>
      <c r="D945">
        <f>IF($C945="","",$A945&amp;"|"&amp;RIGHT("000000"&amp;$C945,6))</f>
        <v/>
      </c>
      <c r="F945">
        <f>IF(Sync!$AJ945="","",Sync!$AJ945)</f>
        <v/>
      </c>
      <c r="G945">
        <f>IF($F945="","",IF(Sync!$AG945="","",IF(ISNUMBER(Sync!$AG945),IF(AND(Sync!$AG945&gt;=10000101,Sync!$AG945&lt;=99991231),INT(Sync!$AG945/10000),""),IFERROR(VALUE(TRIM(LEFT(Sync!$AG945,FIND("/",Sync!$AG945)-1))),""))))</f>
        <v/>
      </c>
      <c r="H945">
        <f>IF(OR($F945="",$G945=""),"",IF(ISNUMBER(Sync!$AG945),INT(MOD(Sync!$AG945,10000)/100),IFERROR(VALUE(TRIM(LEFT(MID(Sync!$AG945,FIND("/",Sync!$AG945)+1,20),FIND("/",MID(Sync!$AG945,FIND("/",Sync!$AG945)+1,20))-1))),"")))</f>
        <v/>
      </c>
      <c r="I945">
        <f>IF(OR($F945="",$G945=""),"",IF(ISNUMBER(Sync!$AG945),MOD(Sync!$AG945,100),IFERROR(VALUE(TRIM(MID(MID(Sync!$AG945,FIND("/",Sync!$AG945)+1,20),FIND("/",MID(Sync!$AG945,FIND("/",Sync!$AG945)+1,20))+1,20))),"")))</f>
        <v/>
      </c>
      <c r="J945">
        <f>IF($F945="","",IF(OR($G945="",$H945="",$I945="",$G945&lt;1300,$G945&gt;1500,$H945&lt;1,$H945&gt;12,$I945&lt;1,$I945&gt;31),"نامعتبر",RIGHT("0000"&amp;$G945,4)&amp;"/"&amp;RIGHT("00"&amp;$H945,2)&amp;"/"&amp;RIGHT("00"&amp;$I945,2)))</f>
        <v/>
      </c>
      <c r="K945">
        <f>IF(OR($F945="",$J945="",$J945="نامعتبر"),"",LEFT($J945,4)&amp;MID($J945,6,2)&amp;RIGHT($J945,2)&amp;$N945&amp;"|"&amp;"2"&amp;RIGHT("00000"&amp;940,5))</f>
        <v/>
      </c>
      <c r="L945">
        <f>IF($K945="","",COUNTIFS(LdgPartyA,$F945,LdgKeyA,"&lt;"&amp;$K945)+COUNTIFS(LdgPartyB,$F945,LdgKeyB,"&lt;"&amp;$K945)+1)</f>
        <v/>
      </c>
      <c r="M945">
        <f>IF($L945="","",$F945&amp;"|"&amp;RIGHT("000000"&amp;$L945,6))</f>
        <v/>
      </c>
      <c r="N945">
        <f>IF($F945="","",IF(Sync!$AH945="","0000",IF(AND(ISNUMBER(Sync!$AH945),Sync!$AH945&gt;=0,Sync!$AH945&lt;1),RIGHT("00"&amp;HOUR(Sync!$AH945),2)&amp;RIGHT("00"&amp;MINUTE(Sync!$AH945),2),IFERROR(RIGHT("00"&amp;VALUE(LEFT(Sync!$AH945,FIND(":",Sync!$AH945)-1)),2)&amp;RIGHT("00"&amp;VALUE(MID(Sync!$AH945,FIND(":",Sync!$AH945)+1,2)),2),"0000"))))</f>
        <v/>
      </c>
    </row>
    <row r="946">
      <c r="A946">
        <f>IF(OR(Calc!$E949="",Calc!$E949="نامعتبر",Calc!$G949="",Calc!$I949&lt;&gt;"خرید"),"",Calc!$G949)</f>
        <v/>
      </c>
      <c r="B946">
        <f>IF($A946="","",LEFT(Calc!$E949,4)&amp;MID(Calc!$E949,6,2)&amp;RIGHT(Calc!$E949,2)&amp;Calc!$R949&amp;"|"&amp;"1"&amp;RIGHT("00000"&amp;941,5))</f>
        <v/>
      </c>
      <c r="C946">
        <f>IF($B946="","",COUNTIFS(LdgPartyA,$A946,LdgKeyA,"&lt;"&amp;$B946)+COUNTIFS(LdgPartyB,$A946,LdgKeyB,"&lt;"&amp;$B946)+1)</f>
        <v/>
      </c>
      <c r="D946">
        <f>IF($C946="","",$A946&amp;"|"&amp;RIGHT("000000"&amp;$C946,6))</f>
        <v/>
      </c>
      <c r="F946">
        <f>IF(Sync!$AJ946="","",Sync!$AJ946)</f>
        <v/>
      </c>
      <c r="G946">
        <f>IF($F946="","",IF(Sync!$AG946="","",IF(ISNUMBER(Sync!$AG946),IF(AND(Sync!$AG946&gt;=10000101,Sync!$AG946&lt;=99991231),INT(Sync!$AG946/10000),""),IFERROR(VALUE(TRIM(LEFT(Sync!$AG946,FIND("/",Sync!$AG946)-1))),""))))</f>
        <v/>
      </c>
      <c r="H946">
        <f>IF(OR($F946="",$G946=""),"",IF(ISNUMBER(Sync!$AG946),INT(MOD(Sync!$AG946,10000)/100),IFERROR(VALUE(TRIM(LEFT(MID(Sync!$AG946,FIND("/",Sync!$AG946)+1,20),FIND("/",MID(Sync!$AG946,FIND("/",Sync!$AG946)+1,20))-1))),"")))</f>
        <v/>
      </c>
      <c r="I946">
        <f>IF(OR($F946="",$G946=""),"",IF(ISNUMBER(Sync!$AG946),MOD(Sync!$AG946,100),IFERROR(VALUE(TRIM(MID(MID(Sync!$AG946,FIND("/",Sync!$AG946)+1,20),FIND("/",MID(Sync!$AG946,FIND("/",Sync!$AG946)+1,20))+1,20))),"")))</f>
        <v/>
      </c>
      <c r="J946">
        <f>IF($F946="","",IF(OR($G946="",$H946="",$I946="",$G946&lt;1300,$G946&gt;1500,$H946&lt;1,$H946&gt;12,$I946&lt;1,$I946&gt;31),"نامعتبر",RIGHT("0000"&amp;$G946,4)&amp;"/"&amp;RIGHT("00"&amp;$H946,2)&amp;"/"&amp;RIGHT("00"&amp;$I946,2)))</f>
        <v/>
      </c>
      <c r="K946">
        <f>IF(OR($F946="",$J946="",$J946="نامعتبر"),"",LEFT($J946,4)&amp;MID($J946,6,2)&amp;RIGHT($J946,2)&amp;$N946&amp;"|"&amp;"2"&amp;RIGHT("00000"&amp;941,5))</f>
        <v/>
      </c>
      <c r="L946">
        <f>IF($K946="","",COUNTIFS(LdgPartyA,$F946,LdgKeyA,"&lt;"&amp;$K946)+COUNTIFS(LdgPartyB,$F946,LdgKeyB,"&lt;"&amp;$K946)+1)</f>
        <v/>
      </c>
      <c r="M946">
        <f>IF($L946="","",$F946&amp;"|"&amp;RIGHT("000000"&amp;$L946,6))</f>
        <v/>
      </c>
      <c r="N946">
        <f>IF($F946="","",IF(Sync!$AH946="","0000",IF(AND(ISNUMBER(Sync!$AH946),Sync!$AH946&gt;=0,Sync!$AH946&lt;1),RIGHT("00"&amp;HOUR(Sync!$AH946),2)&amp;RIGHT("00"&amp;MINUTE(Sync!$AH946),2),IFERROR(RIGHT("00"&amp;VALUE(LEFT(Sync!$AH946,FIND(":",Sync!$AH946)-1)),2)&amp;RIGHT("00"&amp;VALUE(MID(Sync!$AH946,FIND(":",Sync!$AH946)+1,2)),2),"0000"))))</f>
        <v/>
      </c>
    </row>
    <row r="947">
      <c r="A947">
        <f>IF(OR(Calc!$E950="",Calc!$E950="نامعتبر",Calc!$G950="",Calc!$I950&lt;&gt;"خرید"),"",Calc!$G950)</f>
        <v/>
      </c>
      <c r="B947">
        <f>IF($A947="","",LEFT(Calc!$E950,4)&amp;MID(Calc!$E950,6,2)&amp;RIGHT(Calc!$E950,2)&amp;Calc!$R950&amp;"|"&amp;"1"&amp;RIGHT("00000"&amp;942,5))</f>
        <v/>
      </c>
      <c r="C947">
        <f>IF($B947="","",COUNTIFS(LdgPartyA,$A947,LdgKeyA,"&lt;"&amp;$B947)+COUNTIFS(LdgPartyB,$A947,LdgKeyB,"&lt;"&amp;$B947)+1)</f>
        <v/>
      </c>
      <c r="D947">
        <f>IF($C947="","",$A947&amp;"|"&amp;RIGHT("000000"&amp;$C947,6))</f>
        <v/>
      </c>
      <c r="F947">
        <f>IF(Sync!$AJ947="","",Sync!$AJ947)</f>
        <v/>
      </c>
      <c r="G947">
        <f>IF($F947="","",IF(Sync!$AG947="","",IF(ISNUMBER(Sync!$AG947),IF(AND(Sync!$AG947&gt;=10000101,Sync!$AG947&lt;=99991231),INT(Sync!$AG947/10000),""),IFERROR(VALUE(TRIM(LEFT(Sync!$AG947,FIND("/",Sync!$AG947)-1))),""))))</f>
        <v/>
      </c>
      <c r="H947">
        <f>IF(OR($F947="",$G947=""),"",IF(ISNUMBER(Sync!$AG947),INT(MOD(Sync!$AG947,10000)/100),IFERROR(VALUE(TRIM(LEFT(MID(Sync!$AG947,FIND("/",Sync!$AG947)+1,20),FIND("/",MID(Sync!$AG947,FIND("/",Sync!$AG947)+1,20))-1))),"")))</f>
        <v/>
      </c>
      <c r="I947">
        <f>IF(OR($F947="",$G947=""),"",IF(ISNUMBER(Sync!$AG947),MOD(Sync!$AG947,100),IFERROR(VALUE(TRIM(MID(MID(Sync!$AG947,FIND("/",Sync!$AG947)+1,20),FIND("/",MID(Sync!$AG947,FIND("/",Sync!$AG947)+1,20))+1,20))),"")))</f>
        <v/>
      </c>
      <c r="J947">
        <f>IF($F947="","",IF(OR($G947="",$H947="",$I947="",$G947&lt;1300,$G947&gt;1500,$H947&lt;1,$H947&gt;12,$I947&lt;1,$I947&gt;31),"نامعتبر",RIGHT("0000"&amp;$G947,4)&amp;"/"&amp;RIGHT("00"&amp;$H947,2)&amp;"/"&amp;RIGHT("00"&amp;$I947,2)))</f>
        <v/>
      </c>
      <c r="K947">
        <f>IF(OR($F947="",$J947="",$J947="نامعتبر"),"",LEFT($J947,4)&amp;MID($J947,6,2)&amp;RIGHT($J947,2)&amp;$N947&amp;"|"&amp;"2"&amp;RIGHT("00000"&amp;942,5))</f>
        <v/>
      </c>
      <c r="L947">
        <f>IF($K947="","",COUNTIFS(LdgPartyA,$F947,LdgKeyA,"&lt;"&amp;$K947)+COUNTIFS(LdgPartyB,$F947,LdgKeyB,"&lt;"&amp;$K947)+1)</f>
        <v/>
      </c>
      <c r="M947">
        <f>IF($L947="","",$F947&amp;"|"&amp;RIGHT("000000"&amp;$L947,6))</f>
        <v/>
      </c>
      <c r="N947">
        <f>IF($F947="","",IF(Sync!$AH947="","0000",IF(AND(ISNUMBER(Sync!$AH947),Sync!$AH947&gt;=0,Sync!$AH947&lt;1),RIGHT("00"&amp;HOUR(Sync!$AH947),2)&amp;RIGHT("00"&amp;MINUTE(Sync!$AH947),2),IFERROR(RIGHT("00"&amp;VALUE(LEFT(Sync!$AH947,FIND(":",Sync!$AH947)-1)),2)&amp;RIGHT("00"&amp;VALUE(MID(Sync!$AH947,FIND(":",Sync!$AH947)+1,2)),2),"0000"))))</f>
        <v/>
      </c>
    </row>
    <row r="948">
      <c r="A948">
        <f>IF(OR(Calc!$E951="",Calc!$E951="نامعتبر",Calc!$G951="",Calc!$I951&lt;&gt;"خرید"),"",Calc!$G951)</f>
        <v/>
      </c>
      <c r="B948">
        <f>IF($A948="","",LEFT(Calc!$E951,4)&amp;MID(Calc!$E951,6,2)&amp;RIGHT(Calc!$E951,2)&amp;Calc!$R951&amp;"|"&amp;"1"&amp;RIGHT("00000"&amp;943,5))</f>
        <v/>
      </c>
      <c r="C948">
        <f>IF($B948="","",COUNTIFS(LdgPartyA,$A948,LdgKeyA,"&lt;"&amp;$B948)+COUNTIFS(LdgPartyB,$A948,LdgKeyB,"&lt;"&amp;$B948)+1)</f>
        <v/>
      </c>
      <c r="D948">
        <f>IF($C948="","",$A948&amp;"|"&amp;RIGHT("000000"&amp;$C948,6))</f>
        <v/>
      </c>
      <c r="F948">
        <f>IF(Sync!$AJ948="","",Sync!$AJ948)</f>
        <v/>
      </c>
      <c r="G948">
        <f>IF($F948="","",IF(Sync!$AG948="","",IF(ISNUMBER(Sync!$AG948),IF(AND(Sync!$AG948&gt;=10000101,Sync!$AG948&lt;=99991231),INT(Sync!$AG948/10000),""),IFERROR(VALUE(TRIM(LEFT(Sync!$AG948,FIND("/",Sync!$AG948)-1))),""))))</f>
        <v/>
      </c>
      <c r="H948">
        <f>IF(OR($F948="",$G948=""),"",IF(ISNUMBER(Sync!$AG948),INT(MOD(Sync!$AG948,10000)/100),IFERROR(VALUE(TRIM(LEFT(MID(Sync!$AG948,FIND("/",Sync!$AG948)+1,20),FIND("/",MID(Sync!$AG948,FIND("/",Sync!$AG948)+1,20))-1))),"")))</f>
        <v/>
      </c>
      <c r="I948">
        <f>IF(OR($F948="",$G948=""),"",IF(ISNUMBER(Sync!$AG948),MOD(Sync!$AG948,100),IFERROR(VALUE(TRIM(MID(MID(Sync!$AG948,FIND("/",Sync!$AG948)+1,20),FIND("/",MID(Sync!$AG948,FIND("/",Sync!$AG948)+1,20))+1,20))),"")))</f>
        <v/>
      </c>
      <c r="J948">
        <f>IF($F948="","",IF(OR($G948="",$H948="",$I948="",$G948&lt;1300,$G948&gt;1500,$H948&lt;1,$H948&gt;12,$I948&lt;1,$I948&gt;31),"نامعتبر",RIGHT("0000"&amp;$G948,4)&amp;"/"&amp;RIGHT("00"&amp;$H948,2)&amp;"/"&amp;RIGHT("00"&amp;$I948,2)))</f>
        <v/>
      </c>
      <c r="K948">
        <f>IF(OR($F948="",$J948="",$J948="نامعتبر"),"",LEFT($J948,4)&amp;MID($J948,6,2)&amp;RIGHT($J948,2)&amp;$N948&amp;"|"&amp;"2"&amp;RIGHT("00000"&amp;943,5))</f>
        <v/>
      </c>
      <c r="L948">
        <f>IF($K948="","",COUNTIFS(LdgPartyA,$F948,LdgKeyA,"&lt;"&amp;$K948)+COUNTIFS(LdgPartyB,$F948,LdgKeyB,"&lt;"&amp;$K948)+1)</f>
        <v/>
      </c>
      <c r="M948">
        <f>IF($L948="","",$F948&amp;"|"&amp;RIGHT("000000"&amp;$L948,6))</f>
        <v/>
      </c>
      <c r="N948">
        <f>IF($F948="","",IF(Sync!$AH948="","0000",IF(AND(ISNUMBER(Sync!$AH948),Sync!$AH948&gt;=0,Sync!$AH948&lt;1),RIGHT("00"&amp;HOUR(Sync!$AH948),2)&amp;RIGHT("00"&amp;MINUTE(Sync!$AH948),2),IFERROR(RIGHT("00"&amp;VALUE(LEFT(Sync!$AH948,FIND(":",Sync!$AH948)-1)),2)&amp;RIGHT("00"&amp;VALUE(MID(Sync!$AH948,FIND(":",Sync!$AH948)+1,2)),2),"0000"))))</f>
        <v/>
      </c>
    </row>
    <row r="949">
      <c r="A949">
        <f>IF(OR(Calc!$E952="",Calc!$E952="نامعتبر",Calc!$G952="",Calc!$I952&lt;&gt;"خرید"),"",Calc!$G952)</f>
        <v/>
      </c>
      <c r="B949">
        <f>IF($A949="","",LEFT(Calc!$E952,4)&amp;MID(Calc!$E952,6,2)&amp;RIGHT(Calc!$E952,2)&amp;Calc!$R952&amp;"|"&amp;"1"&amp;RIGHT("00000"&amp;944,5))</f>
        <v/>
      </c>
      <c r="C949">
        <f>IF($B949="","",COUNTIFS(LdgPartyA,$A949,LdgKeyA,"&lt;"&amp;$B949)+COUNTIFS(LdgPartyB,$A949,LdgKeyB,"&lt;"&amp;$B949)+1)</f>
        <v/>
      </c>
      <c r="D949">
        <f>IF($C949="","",$A949&amp;"|"&amp;RIGHT("000000"&amp;$C949,6))</f>
        <v/>
      </c>
      <c r="F949">
        <f>IF(Sync!$AJ949="","",Sync!$AJ949)</f>
        <v/>
      </c>
      <c r="G949">
        <f>IF($F949="","",IF(Sync!$AG949="","",IF(ISNUMBER(Sync!$AG949),IF(AND(Sync!$AG949&gt;=10000101,Sync!$AG949&lt;=99991231),INT(Sync!$AG949/10000),""),IFERROR(VALUE(TRIM(LEFT(Sync!$AG949,FIND("/",Sync!$AG949)-1))),""))))</f>
        <v/>
      </c>
      <c r="H949">
        <f>IF(OR($F949="",$G949=""),"",IF(ISNUMBER(Sync!$AG949),INT(MOD(Sync!$AG949,10000)/100),IFERROR(VALUE(TRIM(LEFT(MID(Sync!$AG949,FIND("/",Sync!$AG949)+1,20),FIND("/",MID(Sync!$AG949,FIND("/",Sync!$AG949)+1,20))-1))),"")))</f>
        <v/>
      </c>
      <c r="I949">
        <f>IF(OR($F949="",$G949=""),"",IF(ISNUMBER(Sync!$AG949),MOD(Sync!$AG949,100),IFERROR(VALUE(TRIM(MID(MID(Sync!$AG949,FIND("/",Sync!$AG949)+1,20),FIND("/",MID(Sync!$AG949,FIND("/",Sync!$AG949)+1,20))+1,20))),"")))</f>
        <v/>
      </c>
      <c r="J949">
        <f>IF($F949="","",IF(OR($G949="",$H949="",$I949="",$G949&lt;1300,$G949&gt;1500,$H949&lt;1,$H949&gt;12,$I949&lt;1,$I949&gt;31),"نامعتبر",RIGHT("0000"&amp;$G949,4)&amp;"/"&amp;RIGHT("00"&amp;$H949,2)&amp;"/"&amp;RIGHT("00"&amp;$I949,2)))</f>
        <v/>
      </c>
      <c r="K949">
        <f>IF(OR($F949="",$J949="",$J949="نامعتبر"),"",LEFT($J949,4)&amp;MID($J949,6,2)&amp;RIGHT($J949,2)&amp;$N949&amp;"|"&amp;"2"&amp;RIGHT("00000"&amp;944,5))</f>
        <v/>
      </c>
      <c r="L949">
        <f>IF($K949="","",COUNTIFS(LdgPartyA,$F949,LdgKeyA,"&lt;"&amp;$K949)+COUNTIFS(LdgPartyB,$F949,LdgKeyB,"&lt;"&amp;$K949)+1)</f>
        <v/>
      </c>
      <c r="M949">
        <f>IF($L949="","",$F949&amp;"|"&amp;RIGHT("000000"&amp;$L949,6))</f>
        <v/>
      </c>
      <c r="N949">
        <f>IF($F949="","",IF(Sync!$AH949="","0000",IF(AND(ISNUMBER(Sync!$AH949),Sync!$AH949&gt;=0,Sync!$AH949&lt;1),RIGHT("00"&amp;HOUR(Sync!$AH949),2)&amp;RIGHT("00"&amp;MINUTE(Sync!$AH949),2),IFERROR(RIGHT("00"&amp;VALUE(LEFT(Sync!$AH949,FIND(":",Sync!$AH949)-1)),2)&amp;RIGHT("00"&amp;VALUE(MID(Sync!$AH949,FIND(":",Sync!$AH949)+1,2)),2),"0000"))))</f>
        <v/>
      </c>
    </row>
    <row r="950">
      <c r="A950">
        <f>IF(OR(Calc!$E953="",Calc!$E953="نامعتبر",Calc!$G953="",Calc!$I953&lt;&gt;"خرید"),"",Calc!$G953)</f>
        <v/>
      </c>
      <c r="B950">
        <f>IF($A950="","",LEFT(Calc!$E953,4)&amp;MID(Calc!$E953,6,2)&amp;RIGHT(Calc!$E953,2)&amp;Calc!$R953&amp;"|"&amp;"1"&amp;RIGHT("00000"&amp;945,5))</f>
        <v/>
      </c>
      <c r="C950">
        <f>IF($B950="","",COUNTIFS(LdgPartyA,$A950,LdgKeyA,"&lt;"&amp;$B950)+COUNTIFS(LdgPartyB,$A950,LdgKeyB,"&lt;"&amp;$B950)+1)</f>
        <v/>
      </c>
      <c r="D950">
        <f>IF($C950="","",$A950&amp;"|"&amp;RIGHT("000000"&amp;$C950,6))</f>
        <v/>
      </c>
      <c r="F950">
        <f>IF(Sync!$AJ950="","",Sync!$AJ950)</f>
        <v/>
      </c>
      <c r="G950">
        <f>IF($F950="","",IF(Sync!$AG950="","",IF(ISNUMBER(Sync!$AG950),IF(AND(Sync!$AG950&gt;=10000101,Sync!$AG950&lt;=99991231),INT(Sync!$AG950/10000),""),IFERROR(VALUE(TRIM(LEFT(Sync!$AG950,FIND("/",Sync!$AG950)-1))),""))))</f>
        <v/>
      </c>
      <c r="H950">
        <f>IF(OR($F950="",$G950=""),"",IF(ISNUMBER(Sync!$AG950),INT(MOD(Sync!$AG950,10000)/100),IFERROR(VALUE(TRIM(LEFT(MID(Sync!$AG950,FIND("/",Sync!$AG950)+1,20),FIND("/",MID(Sync!$AG950,FIND("/",Sync!$AG950)+1,20))-1))),"")))</f>
        <v/>
      </c>
      <c r="I950">
        <f>IF(OR($F950="",$G950=""),"",IF(ISNUMBER(Sync!$AG950),MOD(Sync!$AG950,100),IFERROR(VALUE(TRIM(MID(MID(Sync!$AG950,FIND("/",Sync!$AG950)+1,20),FIND("/",MID(Sync!$AG950,FIND("/",Sync!$AG950)+1,20))+1,20))),"")))</f>
        <v/>
      </c>
      <c r="J950">
        <f>IF($F950="","",IF(OR($G950="",$H950="",$I950="",$G950&lt;1300,$G950&gt;1500,$H950&lt;1,$H950&gt;12,$I950&lt;1,$I950&gt;31),"نامعتبر",RIGHT("0000"&amp;$G950,4)&amp;"/"&amp;RIGHT("00"&amp;$H950,2)&amp;"/"&amp;RIGHT("00"&amp;$I950,2)))</f>
        <v/>
      </c>
      <c r="K950">
        <f>IF(OR($F950="",$J950="",$J950="نامعتبر"),"",LEFT($J950,4)&amp;MID($J950,6,2)&amp;RIGHT($J950,2)&amp;$N950&amp;"|"&amp;"2"&amp;RIGHT("00000"&amp;945,5))</f>
        <v/>
      </c>
      <c r="L950">
        <f>IF($K950="","",COUNTIFS(LdgPartyA,$F950,LdgKeyA,"&lt;"&amp;$K950)+COUNTIFS(LdgPartyB,$F950,LdgKeyB,"&lt;"&amp;$K950)+1)</f>
        <v/>
      </c>
      <c r="M950">
        <f>IF($L950="","",$F950&amp;"|"&amp;RIGHT("000000"&amp;$L950,6))</f>
        <v/>
      </c>
      <c r="N950">
        <f>IF($F950="","",IF(Sync!$AH950="","0000",IF(AND(ISNUMBER(Sync!$AH950),Sync!$AH950&gt;=0,Sync!$AH950&lt;1),RIGHT("00"&amp;HOUR(Sync!$AH950),2)&amp;RIGHT("00"&amp;MINUTE(Sync!$AH950),2),IFERROR(RIGHT("00"&amp;VALUE(LEFT(Sync!$AH950,FIND(":",Sync!$AH950)-1)),2)&amp;RIGHT("00"&amp;VALUE(MID(Sync!$AH950,FIND(":",Sync!$AH950)+1,2)),2),"0000"))))</f>
        <v/>
      </c>
    </row>
    <row r="951">
      <c r="A951">
        <f>IF(OR(Calc!$E954="",Calc!$E954="نامعتبر",Calc!$G954="",Calc!$I954&lt;&gt;"خرید"),"",Calc!$G954)</f>
        <v/>
      </c>
      <c r="B951">
        <f>IF($A951="","",LEFT(Calc!$E954,4)&amp;MID(Calc!$E954,6,2)&amp;RIGHT(Calc!$E954,2)&amp;Calc!$R954&amp;"|"&amp;"1"&amp;RIGHT("00000"&amp;946,5))</f>
        <v/>
      </c>
      <c r="C951">
        <f>IF($B951="","",COUNTIFS(LdgPartyA,$A951,LdgKeyA,"&lt;"&amp;$B951)+COUNTIFS(LdgPartyB,$A951,LdgKeyB,"&lt;"&amp;$B951)+1)</f>
        <v/>
      </c>
      <c r="D951">
        <f>IF($C951="","",$A951&amp;"|"&amp;RIGHT("000000"&amp;$C951,6))</f>
        <v/>
      </c>
      <c r="F951">
        <f>IF(Sync!$AJ951="","",Sync!$AJ951)</f>
        <v/>
      </c>
      <c r="G951">
        <f>IF($F951="","",IF(Sync!$AG951="","",IF(ISNUMBER(Sync!$AG951),IF(AND(Sync!$AG951&gt;=10000101,Sync!$AG951&lt;=99991231),INT(Sync!$AG951/10000),""),IFERROR(VALUE(TRIM(LEFT(Sync!$AG951,FIND("/",Sync!$AG951)-1))),""))))</f>
        <v/>
      </c>
      <c r="H951">
        <f>IF(OR($F951="",$G951=""),"",IF(ISNUMBER(Sync!$AG951),INT(MOD(Sync!$AG951,10000)/100),IFERROR(VALUE(TRIM(LEFT(MID(Sync!$AG951,FIND("/",Sync!$AG951)+1,20),FIND("/",MID(Sync!$AG951,FIND("/",Sync!$AG951)+1,20))-1))),"")))</f>
        <v/>
      </c>
      <c r="I951">
        <f>IF(OR($F951="",$G951=""),"",IF(ISNUMBER(Sync!$AG951),MOD(Sync!$AG951,100),IFERROR(VALUE(TRIM(MID(MID(Sync!$AG951,FIND("/",Sync!$AG951)+1,20),FIND("/",MID(Sync!$AG951,FIND("/",Sync!$AG951)+1,20))+1,20))),"")))</f>
        <v/>
      </c>
      <c r="J951">
        <f>IF($F951="","",IF(OR($G951="",$H951="",$I951="",$G951&lt;1300,$G951&gt;1500,$H951&lt;1,$H951&gt;12,$I951&lt;1,$I951&gt;31),"نامعتبر",RIGHT("0000"&amp;$G951,4)&amp;"/"&amp;RIGHT("00"&amp;$H951,2)&amp;"/"&amp;RIGHT("00"&amp;$I951,2)))</f>
        <v/>
      </c>
      <c r="K951">
        <f>IF(OR($F951="",$J951="",$J951="نامعتبر"),"",LEFT($J951,4)&amp;MID($J951,6,2)&amp;RIGHT($J951,2)&amp;$N951&amp;"|"&amp;"2"&amp;RIGHT("00000"&amp;946,5))</f>
        <v/>
      </c>
      <c r="L951">
        <f>IF($K951="","",COUNTIFS(LdgPartyA,$F951,LdgKeyA,"&lt;"&amp;$K951)+COUNTIFS(LdgPartyB,$F951,LdgKeyB,"&lt;"&amp;$K951)+1)</f>
        <v/>
      </c>
      <c r="M951">
        <f>IF($L951="","",$F951&amp;"|"&amp;RIGHT("000000"&amp;$L951,6))</f>
        <v/>
      </c>
      <c r="N951">
        <f>IF($F951="","",IF(Sync!$AH951="","0000",IF(AND(ISNUMBER(Sync!$AH951),Sync!$AH951&gt;=0,Sync!$AH951&lt;1),RIGHT("00"&amp;HOUR(Sync!$AH951),2)&amp;RIGHT("00"&amp;MINUTE(Sync!$AH951),2),IFERROR(RIGHT("00"&amp;VALUE(LEFT(Sync!$AH951,FIND(":",Sync!$AH951)-1)),2)&amp;RIGHT("00"&amp;VALUE(MID(Sync!$AH951,FIND(":",Sync!$AH951)+1,2)),2),"0000"))))</f>
        <v/>
      </c>
    </row>
    <row r="952">
      <c r="A952">
        <f>IF(OR(Calc!$E955="",Calc!$E955="نامعتبر",Calc!$G955="",Calc!$I955&lt;&gt;"خرید"),"",Calc!$G955)</f>
        <v/>
      </c>
      <c r="B952">
        <f>IF($A952="","",LEFT(Calc!$E955,4)&amp;MID(Calc!$E955,6,2)&amp;RIGHT(Calc!$E955,2)&amp;Calc!$R955&amp;"|"&amp;"1"&amp;RIGHT("00000"&amp;947,5))</f>
        <v/>
      </c>
      <c r="C952">
        <f>IF($B952="","",COUNTIFS(LdgPartyA,$A952,LdgKeyA,"&lt;"&amp;$B952)+COUNTIFS(LdgPartyB,$A952,LdgKeyB,"&lt;"&amp;$B952)+1)</f>
        <v/>
      </c>
      <c r="D952">
        <f>IF($C952="","",$A952&amp;"|"&amp;RIGHT("000000"&amp;$C952,6))</f>
        <v/>
      </c>
      <c r="F952">
        <f>IF(Sync!$AJ952="","",Sync!$AJ952)</f>
        <v/>
      </c>
      <c r="G952">
        <f>IF($F952="","",IF(Sync!$AG952="","",IF(ISNUMBER(Sync!$AG952),IF(AND(Sync!$AG952&gt;=10000101,Sync!$AG952&lt;=99991231),INT(Sync!$AG952/10000),""),IFERROR(VALUE(TRIM(LEFT(Sync!$AG952,FIND("/",Sync!$AG952)-1))),""))))</f>
        <v/>
      </c>
      <c r="H952">
        <f>IF(OR($F952="",$G952=""),"",IF(ISNUMBER(Sync!$AG952),INT(MOD(Sync!$AG952,10000)/100),IFERROR(VALUE(TRIM(LEFT(MID(Sync!$AG952,FIND("/",Sync!$AG952)+1,20),FIND("/",MID(Sync!$AG952,FIND("/",Sync!$AG952)+1,20))-1))),"")))</f>
        <v/>
      </c>
      <c r="I952">
        <f>IF(OR($F952="",$G952=""),"",IF(ISNUMBER(Sync!$AG952),MOD(Sync!$AG952,100),IFERROR(VALUE(TRIM(MID(MID(Sync!$AG952,FIND("/",Sync!$AG952)+1,20),FIND("/",MID(Sync!$AG952,FIND("/",Sync!$AG952)+1,20))+1,20))),"")))</f>
        <v/>
      </c>
      <c r="J952">
        <f>IF($F952="","",IF(OR($G952="",$H952="",$I952="",$G952&lt;1300,$G952&gt;1500,$H952&lt;1,$H952&gt;12,$I952&lt;1,$I952&gt;31),"نامعتبر",RIGHT("0000"&amp;$G952,4)&amp;"/"&amp;RIGHT("00"&amp;$H952,2)&amp;"/"&amp;RIGHT("00"&amp;$I952,2)))</f>
        <v/>
      </c>
      <c r="K952">
        <f>IF(OR($F952="",$J952="",$J952="نامعتبر"),"",LEFT($J952,4)&amp;MID($J952,6,2)&amp;RIGHT($J952,2)&amp;$N952&amp;"|"&amp;"2"&amp;RIGHT("00000"&amp;947,5))</f>
        <v/>
      </c>
      <c r="L952">
        <f>IF($K952="","",COUNTIFS(LdgPartyA,$F952,LdgKeyA,"&lt;"&amp;$K952)+COUNTIFS(LdgPartyB,$F952,LdgKeyB,"&lt;"&amp;$K952)+1)</f>
        <v/>
      </c>
      <c r="M952">
        <f>IF($L952="","",$F952&amp;"|"&amp;RIGHT("000000"&amp;$L952,6))</f>
        <v/>
      </c>
      <c r="N952">
        <f>IF($F952="","",IF(Sync!$AH952="","0000",IF(AND(ISNUMBER(Sync!$AH952),Sync!$AH952&gt;=0,Sync!$AH952&lt;1),RIGHT("00"&amp;HOUR(Sync!$AH952),2)&amp;RIGHT("00"&amp;MINUTE(Sync!$AH952),2),IFERROR(RIGHT("00"&amp;VALUE(LEFT(Sync!$AH952,FIND(":",Sync!$AH952)-1)),2)&amp;RIGHT("00"&amp;VALUE(MID(Sync!$AH952,FIND(":",Sync!$AH952)+1,2)),2),"0000"))))</f>
        <v/>
      </c>
    </row>
    <row r="953">
      <c r="A953">
        <f>IF(OR(Calc!$E956="",Calc!$E956="نامعتبر",Calc!$G956="",Calc!$I956&lt;&gt;"خرید"),"",Calc!$G956)</f>
        <v/>
      </c>
      <c r="B953">
        <f>IF($A953="","",LEFT(Calc!$E956,4)&amp;MID(Calc!$E956,6,2)&amp;RIGHT(Calc!$E956,2)&amp;Calc!$R956&amp;"|"&amp;"1"&amp;RIGHT("00000"&amp;948,5))</f>
        <v/>
      </c>
      <c r="C953">
        <f>IF($B953="","",COUNTIFS(LdgPartyA,$A953,LdgKeyA,"&lt;"&amp;$B953)+COUNTIFS(LdgPartyB,$A953,LdgKeyB,"&lt;"&amp;$B953)+1)</f>
        <v/>
      </c>
      <c r="D953">
        <f>IF($C953="","",$A953&amp;"|"&amp;RIGHT("000000"&amp;$C953,6))</f>
        <v/>
      </c>
      <c r="F953">
        <f>IF(Sync!$AJ953="","",Sync!$AJ953)</f>
        <v/>
      </c>
      <c r="G953">
        <f>IF($F953="","",IF(Sync!$AG953="","",IF(ISNUMBER(Sync!$AG953),IF(AND(Sync!$AG953&gt;=10000101,Sync!$AG953&lt;=99991231),INT(Sync!$AG953/10000),""),IFERROR(VALUE(TRIM(LEFT(Sync!$AG953,FIND("/",Sync!$AG953)-1))),""))))</f>
        <v/>
      </c>
      <c r="H953">
        <f>IF(OR($F953="",$G953=""),"",IF(ISNUMBER(Sync!$AG953),INT(MOD(Sync!$AG953,10000)/100),IFERROR(VALUE(TRIM(LEFT(MID(Sync!$AG953,FIND("/",Sync!$AG953)+1,20),FIND("/",MID(Sync!$AG953,FIND("/",Sync!$AG953)+1,20))-1))),"")))</f>
        <v/>
      </c>
      <c r="I953">
        <f>IF(OR($F953="",$G953=""),"",IF(ISNUMBER(Sync!$AG953),MOD(Sync!$AG953,100),IFERROR(VALUE(TRIM(MID(MID(Sync!$AG953,FIND("/",Sync!$AG953)+1,20),FIND("/",MID(Sync!$AG953,FIND("/",Sync!$AG953)+1,20))+1,20))),"")))</f>
        <v/>
      </c>
      <c r="J953">
        <f>IF($F953="","",IF(OR($G953="",$H953="",$I953="",$G953&lt;1300,$G953&gt;1500,$H953&lt;1,$H953&gt;12,$I953&lt;1,$I953&gt;31),"نامعتبر",RIGHT("0000"&amp;$G953,4)&amp;"/"&amp;RIGHT("00"&amp;$H953,2)&amp;"/"&amp;RIGHT("00"&amp;$I953,2)))</f>
        <v/>
      </c>
      <c r="K953">
        <f>IF(OR($F953="",$J953="",$J953="نامعتبر"),"",LEFT($J953,4)&amp;MID($J953,6,2)&amp;RIGHT($J953,2)&amp;$N953&amp;"|"&amp;"2"&amp;RIGHT("00000"&amp;948,5))</f>
        <v/>
      </c>
      <c r="L953">
        <f>IF($K953="","",COUNTIFS(LdgPartyA,$F953,LdgKeyA,"&lt;"&amp;$K953)+COUNTIFS(LdgPartyB,$F953,LdgKeyB,"&lt;"&amp;$K953)+1)</f>
        <v/>
      </c>
      <c r="M953">
        <f>IF($L953="","",$F953&amp;"|"&amp;RIGHT("000000"&amp;$L953,6))</f>
        <v/>
      </c>
      <c r="N953">
        <f>IF($F953="","",IF(Sync!$AH953="","0000",IF(AND(ISNUMBER(Sync!$AH953),Sync!$AH953&gt;=0,Sync!$AH953&lt;1),RIGHT("00"&amp;HOUR(Sync!$AH953),2)&amp;RIGHT("00"&amp;MINUTE(Sync!$AH953),2),IFERROR(RIGHT("00"&amp;VALUE(LEFT(Sync!$AH953,FIND(":",Sync!$AH953)-1)),2)&amp;RIGHT("00"&amp;VALUE(MID(Sync!$AH953,FIND(":",Sync!$AH953)+1,2)),2),"0000"))))</f>
        <v/>
      </c>
    </row>
    <row r="954">
      <c r="A954">
        <f>IF(OR(Calc!$E957="",Calc!$E957="نامعتبر",Calc!$G957="",Calc!$I957&lt;&gt;"خرید"),"",Calc!$G957)</f>
        <v/>
      </c>
      <c r="B954">
        <f>IF($A954="","",LEFT(Calc!$E957,4)&amp;MID(Calc!$E957,6,2)&amp;RIGHT(Calc!$E957,2)&amp;Calc!$R957&amp;"|"&amp;"1"&amp;RIGHT("00000"&amp;949,5))</f>
        <v/>
      </c>
      <c r="C954">
        <f>IF($B954="","",COUNTIFS(LdgPartyA,$A954,LdgKeyA,"&lt;"&amp;$B954)+COUNTIFS(LdgPartyB,$A954,LdgKeyB,"&lt;"&amp;$B954)+1)</f>
        <v/>
      </c>
      <c r="D954">
        <f>IF($C954="","",$A954&amp;"|"&amp;RIGHT("000000"&amp;$C954,6))</f>
        <v/>
      </c>
      <c r="F954">
        <f>IF(Sync!$AJ954="","",Sync!$AJ954)</f>
        <v/>
      </c>
      <c r="G954">
        <f>IF($F954="","",IF(Sync!$AG954="","",IF(ISNUMBER(Sync!$AG954),IF(AND(Sync!$AG954&gt;=10000101,Sync!$AG954&lt;=99991231),INT(Sync!$AG954/10000),""),IFERROR(VALUE(TRIM(LEFT(Sync!$AG954,FIND("/",Sync!$AG954)-1))),""))))</f>
        <v/>
      </c>
      <c r="H954">
        <f>IF(OR($F954="",$G954=""),"",IF(ISNUMBER(Sync!$AG954),INT(MOD(Sync!$AG954,10000)/100),IFERROR(VALUE(TRIM(LEFT(MID(Sync!$AG954,FIND("/",Sync!$AG954)+1,20),FIND("/",MID(Sync!$AG954,FIND("/",Sync!$AG954)+1,20))-1))),"")))</f>
        <v/>
      </c>
      <c r="I954">
        <f>IF(OR($F954="",$G954=""),"",IF(ISNUMBER(Sync!$AG954),MOD(Sync!$AG954,100),IFERROR(VALUE(TRIM(MID(MID(Sync!$AG954,FIND("/",Sync!$AG954)+1,20),FIND("/",MID(Sync!$AG954,FIND("/",Sync!$AG954)+1,20))+1,20))),"")))</f>
        <v/>
      </c>
      <c r="J954">
        <f>IF($F954="","",IF(OR($G954="",$H954="",$I954="",$G954&lt;1300,$G954&gt;1500,$H954&lt;1,$H954&gt;12,$I954&lt;1,$I954&gt;31),"نامعتبر",RIGHT("0000"&amp;$G954,4)&amp;"/"&amp;RIGHT("00"&amp;$H954,2)&amp;"/"&amp;RIGHT("00"&amp;$I954,2)))</f>
        <v/>
      </c>
      <c r="K954">
        <f>IF(OR($F954="",$J954="",$J954="نامعتبر"),"",LEFT($J954,4)&amp;MID($J954,6,2)&amp;RIGHT($J954,2)&amp;$N954&amp;"|"&amp;"2"&amp;RIGHT("00000"&amp;949,5))</f>
        <v/>
      </c>
      <c r="L954">
        <f>IF($K954="","",COUNTIFS(LdgPartyA,$F954,LdgKeyA,"&lt;"&amp;$K954)+COUNTIFS(LdgPartyB,$F954,LdgKeyB,"&lt;"&amp;$K954)+1)</f>
        <v/>
      </c>
      <c r="M954">
        <f>IF($L954="","",$F954&amp;"|"&amp;RIGHT("000000"&amp;$L954,6))</f>
        <v/>
      </c>
      <c r="N954">
        <f>IF($F954="","",IF(Sync!$AH954="","0000",IF(AND(ISNUMBER(Sync!$AH954),Sync!$AH954&gt;=0,Sync!$AH954&lt;1),RIGHT("00"&amp;HOUR(Sync!$AH954),2)&amp;RIGHT("00"&amp;MINUTE(Sync!$AH954),2),IFERROR(RIGHT("00"&amp;VALUE(LEFT(Sync!$AH954,FIND(":",Sync!$AH954)-1)),2)&amp;RIGHT("00"&amp;VALUE(MID(Sync!$AH954,FIND(":",Sync!$AH954)+1,2)),2),"0000"))))</f>
        <v/>
      </c>
    </row>
    <row r="955">
      <c r="A955">
        <f>IF(OR(Calc!$E958="",Calc!$E958="نامعتبر",Calc!$G958="",Calc!$I958&lt;&gt;"خرید"),"",Calc!$G958)</f>
        <v/>
      </c>
      <c r="B955">
        <f>IF($A955="","",LEFT(Calc!$E958,4)&amp;MID(Calc!$E958,6,2)&amp;RIGHT(Calc!$E958,2)&amp;Calc!$R958&amp;"|"&amp;"1"&amp;RIGHT("00000"&amp;950,5))</f>
        <v/>
      </c>
      <c r="C955">
        <f>IF($B955="","",COUNTIFS(LdgPartyA,$A955,LdgKeyA,"&lt;"&amp;$B955)+COUNTIFS(LdgPartyB,$A955,LdgKeyB,"&lt;"&amp;$B955)+1)</f>
        <v/>
      </c>
      <c r="D955">
        <f>IF($C955="","",$A955&amp;"|"&amp;RIGHT("000000"&amp;$C955,6))</f>
        <v/>
      </c>
      <c r="F955">
        <f>IF(Sync!$AJ955="","",Sync!$AJ955)</f>
        <v/>
      </c>
      <c r="G955">
        <f>IF($F955="","",IF(Sync!$AG955="","",IF(ISNUMBER(Sync!$AG955),IF(AND(Sync!$AG955&gt;=10000101,Sync!$AG955&lt;=99991231),INT(Sync!$AG955/10000),""),IFERROR(VALUE(TRIM(LEFT(Sync!$AG955,FIND("/",Sync!$AG955)-1))),""))))</f>
        <v/>
      </c>
      <c r="H955">
        <f>IF(OR($F955="",$G955=""),"",IF(ISNUMBER(Sync!$AG955),INT(MOD(Sync!$AG955,10000)/100),IFERROR(VALUE(TRIM(LEFT(MID(Sync!$AG955,FIND("/",Sync!$AG955)+1,20),FIND("/",MID(Sync!$AG955,FIND("/",Sync!$AG955)+1,20))-1))),"")))</f>
        <v/>
      </c>
      <c r="I955">
        <f>IF(OR($F955="",$G955=""),"",IF(ISNUMBER(Sync!$AG955),MOD(Sync!$AG955,100),IFERROR(VALUE(TRIM(MID(MID(Sync!$AG955,FIND("/",Sync!$AG955)+1,20),FIND("/",MID(Sync!$AG955,FIND("/",Sync!$AG955)+1,20))+1,20))),"")))</f>
        <v/>
      </c>
      <c r="J955">
        <f>IF($F955="","",IF(OR($G955="",$H955="",$I955="",$G955&lt;1300,$G955&gt;1500,$H955&lt;1,$H955&gt;12,$I955&lt;1,$I955&gt;31),"نامعتبر",RIGHT("0000"&amp;$G955,4)&amp;"/"&amp;RIGHT("00"&amp;$H955,2)&amp;"/"&amp;RIGHT("00"&amp;$I955,2)))</f>
        <v/>
      </c>
      <c r="K955">
        <f>IF(OR($F955="",$J955="",$J955="نامعتبر"),"",LEFT($J955,4)&amp;MID($J955,6,2)&amp;RIGHT($J955,2)&amp;$N955&amp;"|"&amp;"2"&amp;RIGHT("00000"&amp;950,5))</f>
        <v/>
      </c>
      <c r="L955">
        <f>IF($K955="","",COUNTIFS(LdgPartyA,$F955,LdgKeyA,"&lt;"&amp;$K955)+COUNTIFS(LdgPartyB,$F955,LdgKeyB,"&lt;"&amp;$K955)+1)</f>
        <v/>
      </c>
      <c r="M955">
        <f>IF($L955="","",$F955&amp;"|"&amp;RIGHT("000000"&amp;$L955,6))</f>
        <v/>
      </c>
      <c r="N955">
        <f>IF($F955="","",IF(Sync!$AH955="","0000",IF(AND(ISNUMBER(Sync!$AH955),Sync!$AH955&gt;=0,Sync!$AH955&lt;1),RIGHT("00"&amp;HOUR(Sync!$AH955),2)&amp;RIGHT("00"&amp;MINUTE(Sync!$AH955),2),IFERROR(RIGHT("00"&amp;VALUE(LEFT(Sync!$AH955,FIND(":",Sync!$AH955)-1)),2)&amp;RIGHT("00"&amp;VALUE(MID(Sync!$AH955,FIND(":",Sync!$AH955)+1,2)),2),"0000"))))</f>
        <v/>
      </c>
    </row>
    <row r="956">
      <c r="A956">
        <f>IF(OR(Calc!$E959="",Calc!$E959="نامعتبر",Calc!$G959="",Calc!$I959&lt;&gt;"خرید"),"",Calc!$G959)</f>
        <v/>
      </c>
      <c r="B956">
        <f>IF($A956="","",LEFT(Calc!$E959,4)&amp;MID(Calc!$E959,6,2)&amp;RIGHT(Calc!$E959,2)&amp;Calc!$R959&amp;"|"&amp;"1"&amp;RIGHT("00000"&amp;951,5))</f>
        <v/>
      </c>
      <c r="C956">
        <f>IF($B956="","",COUNTIFS(LdgPartyA,$A956,LdgKeyA,"&lt;"&amp;$B956)+COUNTIFS(LdgPartyB,$A956,LdgKeyB,"&lt;"&amp;$B956)+1)</f>
        <v/>
      </c>
      <c r="D956">
        <f>IF($C956="","",$A956&amp;"|"&amp;RIGHT("000000"&amp;$C956,6))</f>
        <v/>
      </c>
      <c r="F956">
        <f>IF(Sync!$AJ956="","",Sync!$AJ956)</f>
        <v/>
      </c>
      <c r="G956">
        <f>IF($F956="","",IF(Sync!$AG956="","",IF(ISNUMBER(Sync!$AG956),IF(AND(Sync!$AG956&gt;=10000101,Sync!$AG956&lt;=99991231),INT(Sync!$AG956/10000),""),IFERROR(VALUE(TRIM(LEFT(Sync!$AG956,FIND("/",Sync!$AG956)-1))),""))))</f>
        <v/>
      </c>
      <c r="H956">
        <f>IF(OR($F956="",$G956=""),"",IF(ISNUMBER(Sync!$AG956),INT(MOD(Sync!$AG956,10000)/100),IFERROR(VALUE(TRIM(LEFT(MID(Sync!$AG956,FIND("/",Sync!$AG956)+1,20),FIND("/",MID(Sync!$AG956,FIND("/",Sync!$AG956)+1,20))-1))),"")))</f>
        <v/>
      </c>
      <c r="I956">
        <f>IF(OR($F956="",$G956=""),"",IF(ISNUMBER(Sync!$AG956),MOD(Sync!$AG956,100),IFERROR(VALUE(TRIM(MID(MID(Sync!$AG956,FIND("/",Sync!$AG956)+1,20),FIND("/",MID(Sync!$AG956,FIND("/",Sync!$AG956)+1,20))+1,20))),"")))</f>
        <v/>
      </c>
      <c r="J956">
        <f>IF($F956="","",IF(OR($G956="",$H956="",$I956="",$G956&lt;1300,$G956&gt;1500,$H956&lt;1,$H956&gt;12,$I956&lt;1,$I956&gt;31),"نامعتبر",RIGHT("0000"&amp;$G956,4)&amp;"/"&amp;RIGHT("00"&amp;$H956,2)&amp;"/"&amp;RIGHT("00"&amp;$I956,2)))</f>
        <v/>
      </c>
      <c r="K956">
        <f>IF(OR($F956="",$J956="",$J956="نامعتبر"),"",LEFT($J956,4)&amp;MID($J956,6,2)&amp;RIGHT($J956,2)&amp;$N956&amp;"|"&amp;"2"&amp;RIGHT("00000"&amp;951,5))</f>
        <v/>
      </c>
      <c r="L956">
        <f>IF($K956="","",COUNTIFS(LdgPartyA,$F956,LdgKeyA,"&lt;"&amp;$K956)+COUNTIFS(LdgPartyB,$F956,LdgKeyB,"&lt;"&amp;$K956)+1)</f>
        <v/>
      </c>
      <c r="M956">
        <f>IF($L956="","",$F956&amp;"|"&amp;RIGHT("000000"&amp;$L956,6))</f>
        <v/>
      </c>
      <c r="N956">
        <f>IF($F956="","",IF(Sync!$AH956="","0000",IF(AND(ISNUMBER(Sync!$AH956),Sync!$AH956&gt;=0,Sync!$AH956&lt;1),RIGHT("00"&amp;HOUR(Sync!$AH956),2)&amp;RIGHT("00"&amp;MINUTE(Sync!$AH956),2),IFERROR(RIGHT("00"&amp;VALUE(LEFT(Sync!$AH956,FIND(":",Sync!$AH956)-1)),2)&amp;RIGHT("00"&amp;VALUE(MID(Sync!$AH956,FIND(":",Sync!$AH956)+1,2)),2),"0000"))))</f>
        <v/>
      </c>
    </row>
    <row r="957">
      <c r="A957">
        <f>IF(OR(Calc!$E960="",Calc!$E960="نامعتبر",Calc!$G960="",Calc!$I960&lt;&gt;"خرید"),"",Calc!$G960)</f>
        <v/>
      </c>
      <c r="B957">
        <f>IF($A957="","",LEFT(Calc!$E960,4)&amp;MID(Calc!$E960,6,2)&amp;RIGHT(Calc!$E960,2)&amp;Calc!$R960&amp;"|"&amp;"1"&amp;RIGHT("00000"&amp;952,5))</f>
        <v/>
      </c>
      <c r="C957">
        <f>IF($B957="","",COUNTIFS(LdgPartyA,$A957,LdgKeyA,"&lt;"&amp;$B957)+COUNTIFS(LdgPartyB,$A957,LdgKeyB,"&lt;"&amp;$B957)+1)</f>
        <v/>
      </c>
      <c r="D957">
        <f>IF($C957="","",$A957&amp;"|"&amp;RIGHT("000000"&amp;$C957,6))</f>
        <v/>
      </c>
      <c r="F957">
        <f>IF(Sync!$AJ957="","",Sync!$AJ957)</f>
        <v/>
      </c>
      <c r="G957">
        <f>IF($F957="","",IF(Sync!$AG957="","",IF(ISNUMBER(Sync!$AG957),IF(AND(Sync!$AG957&gt;=10000101,Sync!$AG957&lt;=99991231),INT(Sync!$AG957/10000),""),IFERROR(VALUE(TRIM(LEFT(Sync!$AG957,FIND("/",Sync!$AG957)-1))),""))))</f>
        <v/>
      </c>
      <c r="H957">
        <f>IF(OR($F957="",$G957=""),"",IF(ISNUMBER(Sync!$AG957),INT(MOD(Sync!$AG957,10000)/100),IFERROR(VALUE(TRIM(LEFT(MID(Sync!$AG957,FIND("/",Sync!$AG957)+1,20),FIND("/",MID(Sync!$AG957,FIND("/",Sync!$AG957)+1,20))-1))),"")))</f>
        <v/>
      </c>
      <c r="I957">
        <f>IF(OR($F957="",$G957=""),"",IF(ISNUMBER(Sync!$AG957),MOD(Sync!$AG957,100),IFERROR(VALUE(TRIM(MID(MID(Sync!$AG957,FIND("/",Sync!$AG957)+1,20),FIND("/",MID(Sync!$AG957,FIND("/",Sync!$AG957)+1,20))+1,20))),"")))</f>
        <v/>
      </c>
      <c r="J957">
        <f>IF($F957="","",IF(OR($G957="",$H957="",$I957="",$G957&lt;1300,$G957&gt;1500,$H957&lt;1,$H957&gt;12,$I957&lt;1,$I957&gt;31),"نامعتبر",RIGHT("0000"&amp;$G957,4)&amp;"/"&amp;RIGHT("00"&amp;$H957,2)&amp;"/"&amp;RIGHT("00"&amp;$I957,2)))</f>
        <v/>
      </c>
      <c r="K957">
        <f>IF(OR($F957="",$J957="",$J957="نامعتبر"),"",LEFT($J957,4)&amp;MID($J957,6,2)&amp;RIGHT($J957,2)&amp;$N957&amp;"|"&amp;"2"&amp;RIGHT("00000"&amp;952,5))</f>
        <v/>
      </c>
      <c r="L957">
        <f>IF($K957="","",COUNTIFS(LdgPartyA,$F957,LdgKeyA,"&lt;"&amp;$K957)+COUNTIFS(LdgPartyB,$F957,LdgKeyB,"&lt;"&amp;$K957)+1)</f>
        <v/>
      </c>
      <c r="M957">
        <f>IF($L957="","",$F957&amp;"|"&amp;RIGHT("000000"&amp;$L957,6))</f>
        <v/>
      </c>
      <c r="N957">
        <f>IF($F957="","",IF(Sync!$AH957="","0000",IF(AND(ISNUMBER(Sync!$AH957),Sync!$AH957&gt;=0,Sync!$AH957&lt;1),RIGHT("00"&amp;HOUR(Sync!$AH957),2)&amp;RIGHT("00"&amp;MINUTE(Sync!$AH957),2),IFERROR(RIGHT("00"&amp;VALUE(LEFT(Sync!$AH957,FIND(":",Sync!$AH957)-1)),2)&amp;RIGHT("00"&amp;VALUE(MID(Sync!$AH957,FIND(":",Sync!$AH957)+1,2)),2),"0000"))))</f>
        <v/>
      </c>
    </row>
    <row r="958">
      <c r="A958">
        <f>IF(OR(Calc!$E961="",Calc!$E961="نامعتبر",Calc!$G961="",Calc!$I961&lt;&gt;"خرید"),"",Calc!$G961)</f>
        <v/>
      </c>
      <c r="B958">
        <f>IF($A958="","",LEFT(Calc!$E961,4)&amp;MID(Calc!$E961,6,2)&amp;RIGHT(Calc!$E961,2)&amp;Calc!$R961&amp;"|"&amp;"1"&amp;RIGHT("00000"&amp;953,5))</f>
        <v/>
      </c>
      <c r="C958">
        <f>IF($B958="","",COUNTIFS(LdgPartyA,$A958,LdgKeyA,"&lt;"&amp;$B958)+COUNTIFS(LdgPartyB,$A958,LdgKeyB,"&lt;"&amp;$B958)+1)</f>
        <v/>
      </c>
      <c r="D958">
        <f>IF($C958="","",$A958&amp;"|"&amp;RIGHT("000000"&amp;$C958,6))</f>
        <v/>
      </c>
      <c r="F958">
        <f>IF(Sync!$AJ958="","",Sync!$AJ958)</f>
        <v/>
      </c>
      <c r="G958">
        <f>IF($F958="","",IF(Sync!$AG958="","",IF(ISNUMBER(Sync!$AG958),IF(AND(Sync!$AG958&gt;=10000101,Sync!$AG958&lt;=99991231),INT(Sync!$AG958/10000),""),IFERROR(VALUE(TRIM(LEFT(Sync!$AG958,FIND("/",Sync!$AG958)-1))),""))))</f>
        <v/>
      </c>
      <c r="H958">
        <f>IF(OR($F958="",$G958=""),"",IF(ISNUMBER(Sync!$AG958),INT(MOD(Sync!$AG958,10000)/100),IFERROR(VALUE(TRIM(LEFT(MID(Sync!$AG958,FIND("/",Sync!$AG958)+1,20),FIND("/",MID(Sync!$AG958,FIND("/",Sync!$AG958)+1,20))-1))),"")))</f>
        <v/>
      </c>
      <c r="I958">
        <f>IF(OR($F958="",$G958=""),"",IF(ISNUMBER(Sync!$AG958),MOD(Sync!$AG958,100),IFERROR(VALUE(TRIM(MID(MID(Sync!$AG958,FIND("/",Sync!$AG958)+1,20),FIND("/",MID(Sync!$AG958,FIND("/",Sync!$AG958)+1,20))+1,20))),"")))</f>
        <v/>
      </c>
      <c r="J958">
        <f>IF($F958="","",IF(OR($G958="",$H958="",$I958="",$G958&lt;1300,$G958&gt;1500,$H958&lt;1,$H958&gt;12,$I958&lt;1,$I958&gt;31),"نامعتبر",RIGHT("0000"&amp;$G958,4)&amp;"/"&amp;RIGHT("00"&amp;$H958,2)&amp;"/"&amp;RIGHT("00"&amp;$I958,2)))</f>
        <v/>
      </c>
      <c r="K958">
        <f>IF(OR($F958="",$J958="",$J958="نامعتبر"),"",LEFT($J958,4)&amp;MID($J958,6,2)&amp;RIGHT($J958,2)&amp;$N958&amp;"|"&amp;"2"&amp;RIGHT("00000"&amp;953,5))</f>
        <v/>
      </c>
      <c r="L958">
        <f>IF($K958="","",COUNTIFS(LdgPartyA,$F958,LdgKeyA,"&lt;"&amp;$K958)+COUNTIFS(LdgPartyB,$F958,LdgKeyB,"&lt;"&amp;$K958)+1)</f>
        <v/>
      </c>
      <c r="M958">
        <f>IF($L958="","",$F958&amp;"|"&amp;RIGHT("000000"&amp;$L958,6))</f>
        <v/>
      </c>
      <c r="N958">
        <f>IF($F958="","",IF(Sync!$AH958="","0000",IF(AND(ISNUMBER(Sync!$AH958),Sync!$AH958&gt;=0,Sync!$AH958&lt;1),RIGHT("00"&amp;HOUR(Sync!$AH958),2)&amp;RIGHT("00"&amp;MINUTE(Sync!$AH958),2),IFERROR(RIGHT("00"&amp;VALUE(LEFT(Sync!$AH958,FIND(":",Sync!$AH958)-1)),2)&amp;RIGHT("00"&amp;VALUE(MID(Sync!$AH958,FIND(":",Sync!$AH958)+1,2)),2),"0000"))))</f>
        <v/>
      </c>
    </row>
    <row r="959">
      <c r="A959">
        <f>IF(OR(Calc!$E962="",Calc!$E962="نامعتبر",Calc!$G962="",Calc!$I962&lt;&gt;"خرید"),"",Calc!$G962)</f>
        <v/>
      </c>
      <c r="B959">
        <f>IF($A959="","",LEFT(Calc!$E962,4)&amp;MID(Calc!$E962,6,2)&amp;RIGHT(Calc!$E962,2)&amp;Calc!$R962&amp;"|"&amp;"1"&amp;RIGHT("00000"&amp;954,5))</f>
        <v/>
      </c>
      <c r="C959">
        <f>IF($B959="","",COUNTIFS(LdgPartyA,$A959,LdgKeyA,"&lt;"&amp;$B959)+COUNTIFS(LdgPartyB,$A959,LdgKeyB,"&lt;"&amp;$B959)+1)</f>
        <v/>
      </c>
      <c r="D959">
        <f>IF($C959="","",$A959&amp;"|"&amp;RIGHT("000000"&amp;$C959,6))</f>
        <v/>
      </c>
      <c r="F959">
        <f>IF(Sync!$AJ959="","",Sync!$AJ959)</f>
        <v/>
      </c>
      <c r="G959">
        <f>IF($F959="","",IF(Sync!$AG959="","",IF(ISNUMBER(Sync!$AG959),IF(AND(Sync!$AG959&gt;=10000101,Sync!$AG959&lt;=99991231),INT(Sync!$AG959/10000),""),IFERROR(VALUE(TRIM(LEFT(Sync!$AG959,FIND("/",Sync!$AG959)-1))),""))))</f>
        <v/>
      </c>
      <c r="H959">
        <f>IF(OR($F959="",$G959=""),"",IF(ISNUMBER(Sync!$AG959),INT(MOD(Sync!$AG959,10000)/100),IFERROR(VALUE(TRIM(LEFT(MID(Sync!$AG959,FIND("/",Sync!$AG959)+1,20),FIND("/",MID(Sync!$AG959,FIND("/",Sync!$AG959)+1,20))-1))),"")))</f>
        <v/>
      </c>
      <c r="I959">
        <f>IF(OR($F959="",$G959=""),"",IF(ISNUMBER(Sync!$AG959),MOD(Sync!$AG959,100),IFERROR(VALUE(TRIM(MID(MID(Sync!$AG959,FIND("/",Sync!$AG959)+1,20),FIND("/",MID(Sync!$AG959,FIND("/",Sync!$AG959)+1,20))+1,20))),"")))</f>
        <v/>
      </c>
      <c r="J959">
        <f>IF($F959="","",IF(OR($G959="",$H959="",$I959="",$G959&lt;1300,$G959&gt;1500,$H959&lt;1,$H959&gt;12,$I959&lt;1,$I959&gt;31),"نامعتبر",RIGHT("0000"&amp;$G959,4)&amp;"/"&amp;RIGHT("00"&amp;$H959,2)&amp;"/"&amp;RIGHT("00"&amp;$I959,2)))</f>
        <v/>
      </c>
      <c r="K959">
        <f>IF(OR($F959="",$J959="",$J959="نامعتبر"),"",LEFT($J959,4)&amp;MID($J959,6,2)&amp;RIGHT($J959,2)&amp;$N959&amp;"|"&amp;"2"&amp;RIGHT("00000"&amp;954,5))</f>
        <v/>
      </c>
      <c r="L959">
        <f>IF($K959="","",COUNTIFS(LdgPartyA,$F959,LdgKeyA,"&lt;"&amp;$K959)+COUNTIFS(LdgPartyB,$F959,LdgKeyB,"&lt;"&amp;$K959)+1)</f>
        <v/>
      </c>
      <c r="M959">
        <f>IF($L959="","",$F959&amp;"|"&amp;RIGHT("000000"&amp;$L959,6))</f>
        <v/>
      </c>
      <c r="N959">
        <f>IF($F959="","",IF(Sync!$AH959="","0000",IF(AND(ISNUMBER(Sync!$AH959),Sync!$AH959&gt;=0,Sync!$AH959&lt;1),RIGHT("00"&amp;HOUR(Sync!$AH959),2)&amp;RIGHT("00"&amp;MINUTE(Sync!$AH959),2),IFERROR(RIGHT("00"&amp;VALUE(LEFT(Sync!$AH959,FIND(":",Sync!$AH959)-1)),2)&amp;RIGHT("00"&amp;VALUE(MID(Sync!$AH959,FIND(":",Sync!$AH959)+1,2)),2),"0000"))))</f>
        <v/>
      </c>
    </row>
    <row r="960">
      <c r="A960">
        <f>IF(OR(Calc!$E963="",Calc!$E963="نامعتبر",Calc!$G963="",Calc!$I963&lt;&gt;"خرید"),"",Calc!$G963)</f>
        <v/>
      </c>
      <c r="B960">
        <f>IF($A960="","",LEFT(Calc!$E963,4)&amp;MID(Calc!$E963,6,2)&amp;RIGHT(Calc!$E963,2)&amp;Calc!$R963&amp;"|"&amp;"1"&amp;RIGHT("00000"&amp;955,5))</f>
        <v/>
      </c>
      <c r="C960">
        <f>IF($B960="","",COUNTIFS(LdgPartyA,$A960,LdgKeyA,"&lt;"&amp;$B960)+COUNTIFS(LdgPartyB,$A960,LdgKeyB,"&lt;"&amp;$B960)+1)</f>
        <v/>
      </c>
      <c r="D960">
        <f>IF($C960="","",$A960&amp;"|"&amp;RIGHT("000000"&amp;$C960,6))</f>
        <v/>
      </c>
      <c r="F960">
        <f>IF(Sync!$AJ960="","",Sync!$AJ960)</f>
        <v/>
      </c>
      <c r="G960">
        <f>IF($F960="","",IF(Sync!$AG960="","",IF(ISNUMBER(Sync!$AG960),IF(AND(Sync!$AG960&gt;=10000101,Sync!$AG960&lt;=99991231),INT(Sync!$AG960/10000),""),IFERROR(VALUE(TRIM(LEFT(Sync!$AG960,FIND("/",Sync!$AG960)-1))),""))))</f>
        <v/>
      </c>
      <c r="H960">
        <f>IF(OR($F960="",$G960=""),"",IF(ISNUMBER(Sync!$AG960),INT(MOD(Sync!$AG960,10000)/100),IFERROR(VALUE(TRIM(LEFT(MID(Sync!$AG960,FIND("/",Sync!$AG960)+1,20),FIND("/",MID(Sync!$AG960,FIND("/",Sync!$AG960)+1,20))-1))),"")))</f>
        <v/>
      </c>
      <c r="I960">
        <f>IF(OR($F960="",$G960=""),"",IF(ISNUMBER(Sync!$AG960),MOD(Sync!$AG960,100),IFERROR(VALUE(TRIM(MID(MID(Sync!$AG960,FIND("/",Sync!$AG960)+1,20),FIND("/",MID(Sync!$AG960,FIND("/",Sync!$AG960)+1,20))+1,20))),"")))</f>
        <v/>
      </c>
      <c r="J960">
        <f>IF($F960="","",IF(OR($G960="",$H960="",$I960="",$G960&lt;1300,$G960&gt;1500,$H960&lt;1,$H960&gt;12,$I960&lt;1,$I960&gt;31),"نامعتبر",RIGHT("0000"&amp;$G960,4)&amp;"/"&amp;RIGHT("00"&amp;$H960,2)&amp;"/"&amp;RIGHT("00"&amp;$I960,2)))</f>
        <v/>
      </c>
      <c r="K960">
        <f>IF(OR($F960="",$J960="",$J960="نامعتبر"),"",LEFT($J960,4)&amp;MID($J960,6,2)&amp;RIGHT($J960,2)&amp;$N960&amp;"|"&amp;"2"&amp;RIGHT("00000"&amp;955,5))</f>
        <v/>
      </c>
      <c r="L960">
        <f>IF($K960="","",COUNTIFS(LdgPartyA,$F960,LdgKeyA,"&lt;"&amp;$K960)+COUNTIFS(LdgPartyB,$F960,LdgKeyB,"&lt;"&amp;$K960)+1)</f>
        <v/>
      </c>
      <c r="M960">
        <f>IF($L960="","",$F960&amp;"|"&amp;RIGHT("000000"&amp;$L960,6))</f>
        <v/>
      </c>
      <c r="N960">
        <f>IF($F960="","",IF(Sync!$AH960="","0000",IF(AND(ISNUMBER(Sync!$AH960),Sync!$AH960&gt;=0,Sync!$AH960&lt;1),RIGHT("00"&amp;HOUR(Sync!$AH960),2)&amp;RIGHT("00"&amp;MINUTE(Sync!$AH960),2),IFERROR(RIGHT("00"&amp;VALUE(LEFT(Sync!$AH960,FIND(":",Sync!$AH960)-1)),2)&amp;RIGHT("00"&amp;VALUE(MID(Sync!$AH960,FIND(":",Sync!$AH960)+1,2)),2),"0000"))))</f>
        <v/>
      </c>
    </row>
    <row r="961">
      <c r="A961">
        <f>IF(OR(Calc!$E964="",Calc!$E964="نامعتبر",Calc!$G964="",Calc!$I964&lt;&gt;"خرید"),"",Calc!$G964)</f>
        <v/>
      </c>
      <c r="B961">
        <f>IF($A961="","",LEFT(Calc!$E964,4)&amp;MID(Calc!$E964,6,2)&amp;RIGHT(Calc!$E964,2)&amp;Calc!$R964&amp;"|"&amp;"1"&amp;RIGHT("00000"&amp;956,5))</f>
        <v/>
      </c>
      <c r="C961">
        <f>IF($B961="","",COUNTIFS(LdgPartyA,$A961,LdgKeyA,"&lt;"&amp;$B961)+COUNTIFS(LdgPartyB,$A961,LdgKeyB,"&lt;"&amp;$B961)+1)</f>
        <v/>
      </c>
      <c r="D961">
        <f>IF($C961="","",$A961&amp;"|"&amp;RIGHT("000000"&amp;$C961,6))</f>
        <v/>
      </c>
      <c r="F961">
        <f>IF(Sync!$AJ961="","",Sync!$AJ961)</f>
        <v/>
      </c>
      <c r="G961">
        <f>IF($F961="","",IF(Sync!$AG961="","",IF(ISNUMBER(Sync!$AG961),IF(AND(Sync!$AG961&gt;=10000101,Sync!$AG961&lt;=99991231),INT(Sync!$AG961/10000),""),IFERROR(VALUE(TRIM(LEFT(Sync!$AG961,FIND("/",Sync!$AG961)-1))),""))))</f>
        <v/>
      </c>
      <c r="H961">
        <f>IF(OR($F961="",$G961=""),"",IF(ISNUMBER(Sync!$AG961),INT(MOD(Sync!$AG961,10000)/100),IFERROR(VALUE(TRIM(LEFT(MID(Sync!$AG961,FIND("/",Sync!$AG961)+1,20),FIND("/",MID(Sync!$AG961,FIND("/",Sync!$AG961)+1,20))-1))),"")))</f>
        <v/>
      </c>
      <c r="I961">
        <f>IF(OR($F961="",$G961=""),"",IF(ISNUMBER(Sync!$AG961),MOD(Sync!$AG961,100),IFERROR(VALUE(TRIM(MID(MID(Sync!$AG961,FIND("/",Sync!$AG961)+1,20),FIND("/",MID(Sync!$AG961,FIND("/",Sync!$AG961)+1,20))+1,20))),"")))</f>
        <v/>
      </c>
      <c r="J961">
        <f>IF($F961="","",IF(OR($G961="",$H961="",$I961="",$G961&lt;1300,$G961&gt;1500,$H961&lt;1,$H961&gt;12,$I961&lt;1,$I961&gt;31),"نامعتبر",RIGHT("0000"&amp;$G961,4)&amp;"/"&amp;RIGHT("00"&amp;$H961,2)&amp;"/"&amp;RIGHT("00"&amp;$I961,2)))</f>
        <v/>
      </c>
      <c r="K961">
        <f>IF(OR($F961="",$J961="",$J961="نامعتبر"),"",LEFT($J961,4)&amp;MID($J961,6,2)&amp;RIGHT($J961,2)&amp;$N961&amp;"|"&amp;"2"&amp;RIGHT("00000"&amp;956,5))</f>
        <v/>
      </c>
      <c r="L961">
        <f>IF($K961="","",COUNTIFS(LdgPartyA,$F961,LdgKeyA,"&lt;"&amp;$K961)+COUNTIFS(LdgPartyB,$F961,LdgKeyB,"&lt;"&amp;$K961)+1)</f>
        <v/>
      </c>
      <c r="M961">
        <f>IF($L961="","",$F961&amp;"|"&amp;RIGHT("000000"&amp;$L961,6))</f>
        <v/>
      </c>
      <c r="N961">
        <f>IF($F961="","",IF(Sync!$AH961="","0000",IF(AND(ISNUMBER(Sync!$AH961),Sync!$AH961&gt;=0,Sync!$AH961&lt;1),RIGHT("00"&amp;HOUR(Sync!$AH961),2)&amp;RIGHT("00"&amp;MINUTE(Sync!$AH961),2),IFERROR(RIGHT("00"&amp;VALUE(LEFT(Sync!$AH961,FIND(":",Sync!$AH961)-1)),2)&amp;RIGHT("00"&amp;VALUE(MID(Sync!$AH961,FIND(":",Sync!$AH961)+1,2)),2),"0000"))))</f>
        <v/>
      </c>
    </row>
    <row r="962">
      <c r="A962">
        <f>IF(OR(Calc!$E965="",Calc!$E965="نامعتبر",Calc!$G965="",Calc!$I965&lt;&gt;"خرید"),"",Calc!$G965)</f>
        <v/>
      </c>
      <c r="B962">
        <f>IF($A962="","",LEFT(Calc!$E965,4)&amp;MID(Calc!$E965,6,2)&amp;RIGHT(Calc!$E965,2)&amp;Calc!$R965&amp;"|"&amp;"1"&amp;RIGHT("00000"&amp;957,5))</f>
        <v/>
      </c>
      <c r="C962">
        <f>IF($B962="","",COUNTIFS(LdgPartyA,$A962,LdgKeyA,"&lt;"&amp;$B962)+COUNTIFS(LdgPartyB,$A962,LdgKeyB,"&lt;"&amp;$B962)+1)</f>
        <v/>
      </c>
      <c r="D962">
        <f>IF($C962="","",$A962&amp;"|"&amp;RIGHT("000000"&amp;$C962,6))</f>
        <v/>
      </c>
      <c r="F962">
        <f>IF(Sync!$AJ962="","",Sync!$AJ962)</f>
        <v/>
      </c>
      <c r="G962">
        <f>IF($F962="","",IF(Sync!$AG962="","",IF(ISNUMBER(Sync!$AG962),IF(AND(Sync!$AG962&gt;=10000101,Sync!$AG962&lt;=99991231),INT(Sync!$AG962/10000),""),IFERROR(VALUE(TRIM(LEFT(Sync!$AG962,FIND("/",Sync!$AG962)-1))),""))))</f>
        <v/>
      </c>
      <c r="H962">
        <f>IF(OR($F962="",$G962=""),"",IF(ISNUMBER(Sync!$AG962),INT(MOD(Sync!$AG962,10000)/100),IFERROR(VALUE(TRIM(LEFT(MID(Sync!$AG962,FIND("/",Sync!$AG962)+1,20),FIND("/",MID(Sync!$AG962,FIND("/",Sync!$AG962)+1,20))-1))),"")))</f>
        <v/>
      </c>
      <c r="I962">
        <f>IF(OR($F962="",$G962=""),"",IF(ISNUMBER(Sync!$AG962),MOD(Sync!$AG962,100),IFERROR(VALUE(TRIM(MID(MID(Sync!$AG962,FIND("/",Sync!$AG962)+1,20),FIND("/",MID(Sync!$AG962,FIND("/",Sync!$AG962)+1,20))+1,20))),"")))</f>
        <v/>
      </c>
      <c r="J962">
        <f>IF($F962="","",IF(OR($G962="",$H962="",$I962="",$G962&lt;1300,$G962&gt;1500,$H962&lt;1,$H962&gt;12,$I962&lt;1,$I962&gt;31),"نامعتبر",RIGHT("0000"&amp;$G962,4)&amp;"/"&amp;RIGHT("00"&amp;$H962,2)&amp;"/"&amp;RIGHT("00"&amp;$I962,2)))</f>
        <v/>
      </c>
      <c r="K962">
        <f>IF(OR($F962="",$J962="",$J962="نامعتبر"),"",LEFT($J962,4)&amp;MID($J962,6,2)&amp;RIGHT($J962,2)&amp;$N962&amp;"|"&amp;"2"&amp;RIGHT("00000"&amp;957,5))</f>
        <v/>
      </c>
      <c r="L962">
        <f>IF($K962="","",COUNTIFS(LdgPartyA,$F962,LdgKeyA,"&lt;"&amp;$K962)+COUNTIFS(LdgPartyB,$F962,LdgKeyB,"&lt;"&amp;$K962)+1)</f>
        <v/>
      </c>
      <c r="M962">
        <f>IF($L962="","",$F962&amp;"|"&amp;RIGHT("000000"&amp;$L962,6))</f>
        <v/>
      </c>
      <c r="N962">
        <f>IF($F962="","",IF(Sync!$AH962="","0000",IF(AND(ISNUMBER(Sync!$AH962),Sync!$AH962&gt;=0,Sync!$AH962&lt;1),RIGHT("00"&amp;HOUR(Sync!$AH962),2)&amp;RIGHT("00"&amp;MINUTE(Sync!$AH962),2),IFERROR(RIGHT("00"&amp;VALUE(LEFT(Sync!$AH962,FIND(":",Sync!$AH962)-1)),2)&amp;RIGHT("00"&amp;VALUE(MID(Sync!$AH962,FIND(":",Sync!$AH962)+1,2)),2),"0000"))))</f>
        <v/>
      </c>
    </row>
    <row r="963">
      <c r="A963">
        <f>IF(OR(Calc!$E966="",Calc!$E966="نامعتبر",Calc!$G966="",Calc!$I966&lt;&gt;"خرید"),"",Calc!$G966)</f>
        <v/>
      </c>
      <c r="B963">
        <f>IF($A963="","",LEFT(Calc!$E966,4)&amp;MID(Calc!$E966,6,2)&amp;RIGHT(Calc!$E966,2)&amp;Calc!$R966&amp;"|"&amp;"1"&amp;RIGHT("00000"&amp;958,5))</f>
        <v/>
      </c>
      <c r="C963">
        <f>IF($B963="","",COUNTIFS(LdgPartyA,$A963,LdgKeyA,"&lt;"&amp;$B963)+COUNTIFS(LdgPartyB,$A963,LdgKeyB,"&lt;"&amp;$B963)+1)</f>
        <v/>
      </c>
      <c r="D963">
        <f>IF($C963="","",$A963&amp;"|"&amp;RIGHT("000000"&amp;$C963,6))</f>
        <v/>
      </c>
      <c r="F963">
        <f>IF(Sync!$AJ963="","",Sync!$AJ963)</f>
        <v/>
      </c>
      <c r="G963">
        <f>IF($F963="","",IF(Sync!$AG963="","",IF(ISNUMBER(Sync!$AG963),IF(AND(Sync!$AG963&gt;=10000101,Sync!$AG963&lt;=99991231),INT(Sync!$AG963/10000),""),IFERROR(VALUE(TRIM(LEFT(Sync!$AG963,FIND("/",Sync!$AG963)-1))),""))))</f>
        <v/>
      </c>
      <c r="H963">
        <f>IF(OR($F963="",$G963=""),"",IF(ISNUMBER(Sync!$AG963),INT(MOD(Sync!$AG963,10000)/100),IFERROR(VALUE(TRIM(LEFT(MID(Sync!$AG963,FIND("/",Sync!$AG963)+1,20),FIND("/",MID(Sync!$AG963,FIND("/",Sync!$AG963)+1,20))-1))),"")))</f>
        <v/>
      </c>
      <c r="I963">
        <f>IF(OR($F963="",$G963=""),"",IF(ISNUMBER(Sync!$AG963),MOD(Sync!$AG963,100),IFERROR(VALUE(TRIM(MID(MID(Sync!$AG963,FIND("/",Sync!$AG963)+1,20),FIND("/",MID(Sync!$AG963,FIND("/",Sync!$AG963)+1,20))+1,20))),"")))</f>
        <v/>
      </c>
      <c r="J963">
        <f>IF($F963="","",IF(OR($G963="",$H963="",$I963="",$G963&lt;1300,$G963&gt;1500,$H963&lt;1,$H963&gt;12,$I963&lt;1,$I963&gt;31),"نامعتبر",RIGHT("0000"&amp;$G963,4)&amp;"/"&amp;RIGHT("00"&amp;$H963,2)&amp;"/"&amp;RIGHT("00"&amp;$I963,2)))</f>
        <v/>
      </c>
      <c r="K963">
        <f>IF(OR($F963="",$J963="",$J963="نامعتبر"),"",LEFT($J963,4)&amp;MID($J963,6,2)&amp;RIGHT($J963,2)&amp;$N963&amp;"|"&amp;"2"&amp;RIGHT("00000"&amp;958,5))</f>
        <v/>
      </c>
      <c r="L963">
        <f>IF($K963="","",COUNTIFS(LdgPartyA,$F963,LdgKeyA,"&lt;"&amp;$K963)+COUNTIFS(LdgPartyB,$F963,LdgKeyB,"&lt;"&amp;$K963)+1)</f>
        <v/>
      </c>
      <c r="M963">
        <f>IF($L963="","",$F963&amp;"|"&amp;RIGHT("000000"&amp;$L963,6))</f>
        <v/>
      </c>
      <c r="N963">
        <f>IF($F963="","",IF(Sync!$AH963="","0000",IF(AND(ISNUMBER(Sync!$AH963),Sync!$AH963&gt;=0,Sync!$AH963&lt;1),RIGHT("00"&amp;HOUR(Sync!$AH963),2)&amp;RIGHT("00"&amp;MINUTE(Sync!$AH963),2),IFERROR(RIGHT("00"&amp;VALUE(LEFT(Sync!$AH963,FIND(":",Sync!$AH963)-1)),2)&amp;RIGHT("00"&amp;VALUE(MID(Sync!$AH963,FIND(":",Sync!$AH963)+1,2)),2),"0000"))))</f>
        <v/>
      </c>
    </row>
    <row r="964">
      <c r="A964">
        <f>IF(OR(Calc!$E967="",Calc!$E967="نامعتبر",Calc!$G967="",Calc!$I967&lt;&gt;"خرید"),"",Calc!$G967)</f>
        <v/>
      </c>
      <c r="B964">
        <f>IF($A964="","",LEFT(Calc!$E967,4)&amp;MID(Calc!$E967,6,2)&amp;RIGHT(Calc!$E967,2)&amp;Calc!$R967&amp;"|"&amp;"1"&amp;RIGHT("00000"&amp;959,5))</f>
        <v/>
      </c>
      <c r="C964">
        <f>IF($B964="","",COUNTIFS(LdgPartyA,$A964,LdgKeyA,"&lt;"&amp;$B964)+COUNTIFS(LdgPartyB,$A964,LdgKeyB,"&lt;"&amp;$B964)+1)</f>
        <v/>
      </c>
      <c r="D964">
        <f>IF($C964="","",$A964&amp;"|"&amp;RIGHT("000000"&amp;$C964,6))</f>
        <v/>
      </c>
      <c r="F964">
        <f>IF(Sync!$AJ964="","",Sync!$AJ964)</f>
        <v/>
      </c>
      <c r="G964">
        <f>IF($F964="","",IF(Sync!$AG964="","",IF(ISNUMBER(Sync!$AG964),IF(AND(Sync!$AG964&gt;=10000101,Sync!$AG964&lt;=99991231),INT(Sync!$AG964/10000),""),IFERROR(VALUE(TRIM(LEFT(Sync!$AG964,FIND("/",Sync!$AG964)-1))),""))))</f>
        <v/>
      </c>
      <c r="H964">
        <f>IF(OR($F964="",$G964=""),"",IF(ISNUMBER(Sync!$AG964),INT(MOD(Sync!$AG964,10000)/100),IFERROR(VALUE(TRIM(LEFT(MID(Sync!$AG964,FIND("/",Sync!$AG964)+1,20),FIND("/",MID(Sync!$AG964,FIND("/",Sync!$AG964)+1,20))-1))),"")))</f>
        <v/>
      </c>
      <c r="I964">
        <f>IF(OR($F964="",$G964=""),"",IF(ISNUMBER(Sync!$AG964),MOD(Sync!$AG964,100),IFERROR(VALUE(TRIM(MID(MID(Sync!$AG964,FIND("/",Sync!$AG964)+1,20),FIND("/",MID(Sync!$AG964,FIND("/",Sync!$AG964)+1,20))+1,20))),"")))</f>
        <v/>
      </c>
      <c r="J964">
        <f>IF($F964="","",IF(OR($G964="",$H964="",$I964="",$G964&lt;1300,$G964&gt;1500,$H964&lt;1,$H964&gt;12,$I964&lt;1,$I964&gt;31),"نامعتبر",RIGHT("0000"&amp;$G964,4)&amp;"/"&amp;RIGHT("00"&amp;$H964,2)&amp;"/"&amp;RIGHT("00"&amp;$I964,2)))</f>
        <v/>
      </c>
      <c r="K964">
        <f>IF(OR($F964="",$J964="",$J964="نامعتبر"),"",LEFT($J964,4)&amp;MID($J964,6,2)&amp;RIGHT($J964,2)&amp;$N964&amp;"|"&amp;"2"&amp;RIGHT("00000"&amp;959,5))</f>
        <v/>
      </c>
      <c r="L964">
        <f>IF($K964="","",COUNTIFS(LdgPartyA,$F964,LdgKeyA,"&lt;"&amp;$K964)+COUNTIFS(LdgPartyB,$F964,LdgKeyB,"&lt;"&amp;$K964)+1)</f>
        <v/>
      </c>
      <c r="M964">
        <f>IF($L964="","",$F964&amp;"|"&amp;RIGHT("000000"&amp;$L964,6))</f>
        <v/>
      </c>
      <c r="N964">
        <f>IF($F964="","",IF(Sync!$AH964="","0000",IF(AND(ISNUMBER(Sync!$AH964),Sync!$AH964&gt;=0,Sync!$AH964&lt;1),RIGHT("00"&amp;HOUR(Sync!$AH964),2)&amp;RIGHT("00"&amp;MINUTE(Sync!$AH964),2),IFERROR(RIGHT("00"&amp;VALUE(LEFT(Sync!$AH964,FIND(":",Sync!$AH964)-1)),2)&amp;RIGHT("00"&amp;VALUE(MID(Sync!$AH964,FIND(":",Sync!$AH964)+1,2)),2),"0000"))))</f>
        <v/>
      </c>
    </row>
    <row r="965">
      <c r="A965">
        <f>IF(OR(Calc!$E968="",Calc!$E968="نامعتبر",Calc!$G968="",Calc!$I968&lt;&gt;"خرید"),"",Calc!$G968)</f>
        <v/>
      </c>
      <c r="B965">
        <f>IF($A965="","",LEFT(Calc!$E968,4)&amp;MID(Calc!$E968,6,2)&amp;RIGHT(Calc!$E968,2)&amp;Calc!$R968&amp;"|"&amp;"1"&amp;RIGHT("00000"&amp;960,5))</f>
        <v/>
      </c>
      <c r="C965">
        <f>IF($B965="","",COUNTIFS(LdgPartyA,$A965,LdgKeyA,"&lt;"&amp;$B965)+COUNTIFS(LdgPartyB,$A965,LdgKeyB,"&lt;"&amp;$B965)+1)</f>
        <v/>
      </c>
      <c r="D965">
        <f>IF($C965="","",$A965&amp;"|"&amp;RIGHT("000000"&amp;$C965,6))</f>
        <v/>
      </c>
      <c r="F965">
        <f>IF(Sync!$AJ965="","",Sync!$AJ965)</f>
        <v/>
      </c>
      <c r="G965">
        <f>IF($F965="","",IF(Sync!$AG965="","",IF(ISNUMBER(Sync!$AG965),IF(AND(Sync!$AG965&gt;=10000101,Sync!$AG965&lt;=99991231),INT(Sync!$AG965/10000),""),IFERROR(VALUE(TRIM(LEFT(Sync!$AG965,FIND("/",Sync!$AG965)-1))),""))))</f>
        <v/>
      </c>
      <c r="H965">
        <f>IF(OR($F965="",$G965=""),"",IF(ISNUMBER(Sync!$AG965),INT(MOD(Sync!$AG965,10000)/100),IFERROR(VALUE(TRIM(LEFT(MID(Sync!$AG965,FIND("/",Sync!$AG965)+1,20),FIND("/",MID(Sync!$AG965,FIND("/",Sync!$AG965)+1,20))-1))),"")))</f>
        <v/>
      </c>
      <c r="I965">
        <f>IF(OR($F965="",$G965=""),"",IF(ISNUMBER(Sync!$AG965),MOD(Sync!$AG965,100),IFERROR(VALUE(TRIM(MID(MID(Sync!$AG965,FIND("/",Sync!$AG965)+1,20),FIND("/",MID(Sync!$AG965,FIND("/",Sync!$AG965)+1,20))+1,20))),"")))</f>
        <v/>
      </c>
      <c r="J965">
        <f>IF($F965="","",IF(OR($G965="",$H965="",$I965="",$G965&lt;1300,$G965&gt;1500,$H965&lt;1,$H965&gt;12,$I965&lt;1,$I965&gt;31),"نامعتبر",RIGHT("0000"&amp;$G965,4)&amp;"/"&amp;RIGHT("00"&amp;$H965,2)&amp;"/"&amp;RIGHT("00"&amp;$I965,2)))</f>
        <v/>
      </c>
      <c r="K965">
        <f>IF(OR($F965="",$J965="",$J965="نامعتبر"),"",LEFT($J965,4)&amp;MID($J965,6,2)&amp;RIGHT($J965,2)&amp;$N965&amp;"|"&amp;"2"&amp;RIGHT("00000"&amp;960,5))</f>
        <v/>
      </c>
      <c r="L965">
        <f>IF($K965="","",COUNTIFS(LdgPartyA,$F965,LdgKeyA,"&lt;"&amp;$K965)+COUNTIFS(LdgPartyB,$F965,LdgKeyB,"&lt;"&amp;$K965)+1)</f>
        <v/>
      </c>
      <c r="M965">
        <f>IF($L965="","",$F965&amp;"|"&amp;RIGHT("000000"&amp;$L965,6))</f>
        <v/>
      </c>
      <c r="N965">
        <f>IF($F965="","",IF(Sync!$AH965="","0000",IF(AND(ISNUMBER(Sync!$AH965),Sync!$AH965&gt;=0,Sync!$AH965&lt;1),RIGHT("00"&amp;HOUR(Sync!$AH965),2)&amp;RIGHT("00"&amp;MINUTE(Sync!$AH965),2),IFERROR(RIGHT("00"&amp;VALUE(LEFT(Sync!$AH965,FIND(":",Sync!$AH965)-1)),2)&amp;RIGHT("00"&amp;VALUE(MID(Sync!$AH965,FIND(":",Sync!$AH965)+1,2)),2),"0000"))))</f>
        <v/>
      </c>
    </row>
    <row r="966">
      <c r="A966">
        <f>IF(OR(Calc!$E969="",Calc!$E969="نامعتبر",Calc!$G969="",Calc!$I969&lt;&gt;"خرید"),"",Calc!$G969)</f>
        <v/>
      </c>
      <c r="B966">
        <f>IF($A966="","",LEFT(Calc!$E969,4)&amp;MID(Calc!$E969,6,2)&amp;RIGHT(Calc!$E969,2)&amp;Calc!$R969&amp;"|"&amp;"1"&amp;RIGHT("00000"&amp;961,5))</f>
        <v/>
      </c>
      <c r="C966">
        <f>IF($B966="","",COUNTIFS(LdgPartyA,$A966,LdgKeyA,"&lt;"&amp;$B966)+COUNTIFS(LdgPartyB,$A966,LdgKeyB,"&lt;"&amp;$B966)+1)</f>
        <v/>
      </c>
      <c r="D966">
        <f>IF($C966="","",$A966&amp;"|"&amp;RIGHT("000000"&amp;$C966,6))</f>
        <v/>
      </c>
      <c r="F966">
        <f>IF(Sync!$AJ966="","",Sync!$AJ966)</f>
        <v/>
      </c>
      <c r="G966">
        <f>IF($F966="","",IF(Sync!$AG966="","",IF(ISNUMBER(Sync!$AG966),IF(AND(Sync!$AG966&gt;=10000101,Sync!$AG966&lt;=99991231),INT(Sync!$AG966/10000),""),IFERROR(VALUE(TRIM(LEFT(Sync!$AG966,FIND("/",Sync!$AG966)-1))),""))))</f>
        <v/>
      </c>
      <c r="H966">
        <f>IF(OR($F966="",$G966=""),"",IF(ISNUMBER(Sync!$AG966),INT(MOD(Sync!$AG966,10000)/100),IFERROR(VALUE(TRIM(LEFT(MID(Sync!$AG966,FIND("/",Sync!$AG966)+1,20),FIND("/",MID(Sync!$AG966,FIND("/",Sync!$AG966)+1,20))-1))),"")))</f>
        <v/>
      </c>
      <c r="I966">
        <f>IF(OR($F966="",$G966=""),"",IF(ISNUMBER(Sync!$AG966),MOD(Sync!$AG966,100),IFERROR(VALUE(TRIM(MID(MID(Sync!$AG966,FIND("/",Sync!$AG966)+1,20),FIND("/",MID(Sync!$AG966,FIND("/",Sync!$AG966)+1,20))+1,20))),"")))</f>
        <v/>
      </c>
      <c r="J966">
        <f>IF($F966="","",IF(OR($G966="",$H966="",$I966="",$G966&lt;1300,$G966&gt;1500,$H966&lt;1,$H966&gt;12,$I966&lt;1,$I966&gt;31),"نامعتبر",RIGHT("0000"&amp;$G966,4)&amp;"/"&amp;RIGHT("00"&amp;$H966,2)&amp;"/"&amp;RIGHT("00"&amp;$I966,2)))</f>
        <v/>
      </c>
      <c r="K966">
        <f>IF(OR($F966="",$J966="",$J966="نامعتبر"),"",LEFT($J966,4)&amp;MID($J966,6,2)&amp;RIGHT($J966,2)&amp;$N966&amp;"|"&amp;"2"&amp;RIGHT("00000"&amp;961,5))</f>
        <v/>
      </c>
      <c r="L966">
        <f>IF($K966="","",COUNTIFS(LdgPartyA,$F966,LdgKeyA,"&lt;"&amp;$K966)+COUNTIFS(LdgPartyB,$F966,LdgKeyB,"&lt;"&amp;$K966)+1)</f>
        <v/>
      </c>
      <c r="M966">
        <f>IF($L966="","",$F966&amp;"|"&amp;RIGHT("000000"&amp;$L966,6))</f>
        <v/>
      </c>
      <c r="N966">
        <f>IF($F966="","",IF(Sync!$AH966="","0000",IF(AND(ISNUMBER(Sync!$AH966),Sync!$AH966&gt;=0,Sync!$AH966&lt;1),RIGHT("00"&amp;HOUR(Sync!$AH966),2)&amp;RIGHT("00"&amp;MINUTE(Sync!$AH966),2),IFERROR(RIGHT("00"&amp;VALUE(LEFT(Sync!$AH966,FIND(":",Sync!$AH966)-1)),2)&amp;RIGHT("00"&amp;VALUE(MID(Sync!$AH966,FIND(":",Sync!$AH966)+1,2)),2),"0000"))))</f>
        <v/>
      </c>
    </row>
    <row r="967">
      <c r="A967">
        <f>IF(OR(Calc!$E970="",Calc!$E970="نامعتبر",Calc!$G970="",Calc!$I970&lt;&gt;"خرید"),"",Calc!$G970)</f>
        <v/>
      </c>
      <c r="B967">
        <f>IF($A967="","",LEFT(Calc!$E970,4)&amp;MID(Calc!$E970,6,2)&amp;RIGHT(Calc!$E970,2)&amp;Calc!$R970&amp;"|"&amp;"1"&amp;RIGHT("00000"&amp;962,5))</f>
        <v/>
      </c>
      <c r="C967">
        <f>IF($B967="","",COUNTIFS(LdgPartyA,$A967,LdgKeyA,"&lt;"&amp;$B967)+COUNTIFS(LdgPartyB,$A967,LdgKeyB,"&lt;"&amp;$B967)+1)</f>
        <v/>
      </c>
      <c r="D967">
        <f>IF($C967="","",$A967&amp;"|"&amp;RIGHT("000000"&amp;$C967,6))</f>
        <v/>
      </c>
      <c r="F967">
        <f>IF(Sync!$AJ967="","",Sync!$AJ967)</f>
        <v/>
      </c>
      <c r="G967">
        <f>IF($F967="","",IF(Sync!$AG967="","",IF(ISNUMBER(Sync!$AG967),IF(AND(Sync!$AG967&gt;=10000101,Sync!$AG967&lt;=99991231),INT(Sync!$AG967/10000),""),IFERROR(VALUE(TRIM(LEFT(Sync!$AG967,FIND("/",Sync!$AG967)-1))),""))))</f>
        <v/>
      </c>
      <c r="H967">
        <f>IF(OR($F967="",$G967=""),"",IF(ISNUMBER(Sync!$AG967),INT(MOD(Sync!$AG967,10000)/100),IFERROR(VALUE(TRIM(LEFT(MID(Sync!$AG967,FIND("/",Sync!$AG967)+1,20),FIND("/",MID(Sync!$AG967,FIND("/",Sync!$AG967)+1,20))-1))),"")))</f>
        <v/>
      </c>
      <c r="I967">
        <f>IF(OR($F967="",$G967=""),"",IF(ISNUMBER(Sync!$AG967),MOD(Sync!$AG967,100),IFERROR(VALUE(TRIM(MID(MID(Sync!$AG967,FIND("/",Sync!$AG967)+1,20),FIND("/",MID(Sync!$AG967,FIND("/",Sync!$AG967)+1,20))+1,20))),"")))</f>
        <v/>
      </c>
      <c r="J967">
        <f>IF($F967="","",IF(OR($G967="",$H967="",$I967="",$G967&lt;1300,$G967&gt;1500,$H967&lt;1,$H967&gt;12,$I967&lt;1,$I967&gt;31),"نامعتبر",RIGHT("0000"&amp;$G967,4)&amp;"/"&amp;RIGHT("00"&amp;$H967,2)&amp;"/"&amp;RIGHT("00"&amp;$I967,2)))</f>
        <v/>
      </c>
      <c r="K967">
        <f>IF(OR($F967="",$J967="",$J967="نامعتبر"),"",LEFT($J967,4)&amp;MID($J967,6,2)&amp;RIGHT($J967,2)&amp;$N967&amp;"|"&amp;"2"&amp;RIGHT("00000"&amp;962,5))</f>
        <v/>
      </c>
      <c r="L967">
        <f>IF($K967="","",COUNTIFS(LdgPartyA,$F967,LdgKeyA,"&lt;"&amp;$K967)+COUNTIFS(LdgPartyB,$F967,LdgKeyB,"&lt;"&amp;$K967)+1)</f>
        <v/>
      </c>
      <c r="M967">
        <f>IF($L967="","",$F967&amp;"|"&amp;RIGHT("000000"&amp;$L967,6))</f>
        <v/>
      </c>
      <c r="N967">
        <f>IF($F967="","",IF(Sync!$AH967="","0000",IF(AND(ISNUMBER(Sync!$AH967),Sync!$AH967&gt;=0,Sync!$AH967&lt;1),RIGHT("00"&amp;HOUR(Sync!$AH967),2)&amp;RIGHT("00"&amp;MINUTE(Sync!$AH967),2),IFERROR(RIGHT("00"&amp;VALUE(LEFT(Sync!$AH967,FIND(":",Sync!$AH967)-1)),2)&amp;RIGHT("00"&amp;VALUE(MID(Sync!$AH967,FIND(":",Sync!$AH967)+1,2)),2),"0000"))))</f>
        <v/>
      </c>
    </row>
    <row r="968">
      <c r="A968">
        <f>IF(OR(Calc!$E971="",Calc!$E971="نامعتبر",Calc!$G971="",Calc!$I971&lt;&gt;"خرید"),"",Calc!$G971)</f>
        <v/>
      </c>
      <c r="B968">
        <f>IF($A968="","",LEFT(Calc!$E971,4)&amp;MID(Calc!$E971,6,2)&amp;RIGHT(Calc!$E971,2)&amp;Calc!$R971&amp;"|"&amp;"1"&amp;RIGHT("00000"&amp;963,5))</f>
        <v/>
      </c>
      <c r="C968">
        <f>IF($B968="","",COUNTIFS(LdgPartyA,$A968,LdgKeyA,"&lt;"&amp;$B968)+COUNTIFS(LdgPartyB,$A968,LdgKeyB,"&lt;"&amp;$B968)+1)</f>
        <v/>
      </c>
      <c r="D968">
        <f>IF($C968="","",$A968&amp;"|"&amp;RIGHT("000000"&amp;$C968,6))</f>
        <v/>
      </c>
      <c r="F968">
        <f>IF(Sync!$AJ968="","",Sync!$AJ968)</f>
        <v/>
      </c>
      <c r="G968">
        <f>IF($F968="","",IF(Sync!$AG968="","",IF(ISNUMBER(Sync!$AG968),IF(AND(Sync!$AG968&gt;=10000101,Sync!$AG968&lt;=99991231),INT(Sync!$AG968/10000),""),IFERROR(VALUE(TRIM(LEFT(Sync!$AG968,FIND("/",Sync!$AG968)-1))),""))))</f>
        <v/>
      </c>
      <c r="H968">
        <f>IF(OR($F968="",$G968=""),"",IF(ISNUMBER(Sync!$AG968),INT(MOD(Sync!$AG968,10000)/100),IFERROR(VALUE(TRIM(LEFT(MID(Sync!$AG968,FIND("/",Sync!$AG968)+1,20),FIND("/",MID(Sync!$AG968,FIND("/",Sync!$AG968)+1,20))-1))),"")))</f>
        <v/>
      </c>
      <c r="I968">
        <f>IF(OR($F968="",$G968=""),"",IF(ISNUMBER(Sync!$AG968),MOD(Sync!$AG968,100),IFERROR(VALUE(TRIM(MID(MID(Sync!$AG968,FIND("/",Sync!$AG968)+1,20),FIND("/",MID(Sync!$AG968,FIND("/",Sync!$AG968)+1,20))+1,20))),"")))</f>
        <v/>
      </c>
      <c r="J968">
        <f>IF($F968="","",IF(OR($G968="",$H968="",$I968="",$G968&lt;1300,$G968&gt;1500,$H968&lt;1,$H968&gt;12,$I968&lt;1,$I968&gt;31),"نامعتبر",RIGHT("0000"&amp;$G968,4)&amp;"/"&amp;RIGHT("00"&amp;$H968,2)&amp;"/"&amp;RIGHT("00"&amp;$I968,2)))</f>
        <v/>
      </c>
      <c r="K968">
        <f>IF(OR($F968="",$J968="",$J968="نامعتبر"),"",LEFT($J968,4)&amp;MID($J968,6,2)&amp;RIGHT($J968,2)&amp;$N968&amp;"|"&amp;"2"&amp;RIGHT("00000"&amp;963,5))</f>
        <v/>
      </c>
      <c r="L968">
        <f>IF($K968="","",COUNTIFS(LdgPartyA,$F968,LdgKeyA,"&lt;"&amp;$K968)+COUNTIFS(LdgPartyB,$F968,LdgKeyB,"&lt;"&amp;$K968)+1)</f>
        <v/>
      </c>
      <c r="M968">
        <f>IF($L968="","",$F968&amp;"|"&amp;RIGHT("000000"&amp;$L968,6))</f>
        <v/>
      </c>
      <c r="N968">
        <f>IF($F968="","",IF(Sync!$AH968="","0000",IF(AND(ISNUMBER(Sync!$AH968),Sync!$AH968&gt;=0,Sync!$AH968&lt;1),RIGHT("00"&amp;HOUR(Sync!$AH968),2)&amp;RIGHT("00"&amp;MINUTE(Sync!$AH968),2),IFERROR(RIGHT("00"&amp;VALUE(LEFT(Sync!$AH968,FIND(":",Sync!$AH968)-1)),2)&amp;RIGHT("00"&amp;VALUE(MID(Sync!$AH968,FIND(":",Sync!$AH968)+1,2)),2),"0000"))))</f>
        <v/>
      </c>
    </row>
    <row r="969">
      <c r="A969">
        <f>IF(OR(Calc!$E972="",Calc!$E972="نامعتبر",Calc!$G972="",Calc!$I972&lt;&gt;"خرید"),"",Calc!$G972)</f>
        <v/>
      </c>
      <c r="B969">
        <f>IF($A969="","",LEFT(Calc!$E972,4)&amp;MID(Calc!$E972,6,2)&amp;RIGHT(Calc!$E972,2)&amp;Calc!$R972&amp;"|"&amp;"1"&amp;RIGHT("00000"&amp;964,5))</f>
        <v/>
      </c>
      <c r="C969">
        <f>IF($B969="","",COUNTIFS(LdgPartyA,$A969,LdgKeyA,"&lt;"&amp;$B969)+COUNTIFS(LdgPartyB,$A969,LdgKeyB,"&lt;"&amp;$B969)+1)</f>
        <v/>
      </c>
      <c r="D969">
        <f>IF($C969="","",$A969&amp;"|"&amp;RIGHT("000000"&amp;$C969,6))</f>
        <v/>
      </c>
      <c r="F969">
        <f>IF(Sync!$AJ969="","",Sync!$AJ969)</f>
        <v/>
      </c>
      <c r="G969">
        <f>IF($F969="","",IF(Sync!$AG969="","",IF(ISNUMBER(Sync!$AG969),IF(AND(Sync!$AG969&gt;=10000101,Sync!$AG969&lt;=99991231),INT(Sync!$AG969/10000),""),IFERROR(VALUE(TRIM(LEFT(Sync!$AG969,FIND("/",Sync!$AG969)-1))),""))))</f>
        <v/>
      </c>
      <c r="H969">
        <f>IF(OR($F969="",$G969=""),"",IF(ISNUMBER(Sync!$AG969),INT(MOD(Sync!$AG969,10000)/100),IFERROR(VALUE(TRIM(LEFT(MID(Sync!$AG969,FIND("/",Sync!$AG969)+1,20),FIND("/",MID(Sync!$AG969,FIND("/",Sync!$AG969)+1,20))-1))),"")))</f>
        <v/>
      </c>
      <c r="I969">
        <f>IF(OR($F969="",$G969=""),"",IF(ISNUMBER(Sync!$AG969),MOD(Sync!$AG969,100),IFERROR(VALUE(TRIM(MID(MID(Sync!$AG969,FIND("/",Sync!$AG969)+1,20),FIND("/",MID(Sync!$AG969,FIND("/",Sync!$AG969)+1,20))+1,20))),"")))</f>
        <v/>
      </c>
      <c r="J969">
        <f>IF($F969="","",IF(OR($G969="",$H969="",$I969="",$G969&lt;1300,$G969&gt;1500,$H969&lt;1,$H969&gt;12,$I969&lt;1,$I969&gt;31),"نامعتبر",RIGHT("0000"&amp;$G969,4)&amp;"/"&amp;RIGHT("00"&amp;$H969,2)&amp;"/"&amp;RIGHT("00"&amp;$I969,2)))</f>
        <v/>
      </c>
      <c r="K969">
        <f>IF(OR($F969="",$J969="",$J969="نامعتبر"),"",LEFT($J969,4)&amp;MID($J969,6,2)&amp;RIGHT($J969,2)&amp;$N969&amp;"|"&amp;"2"&amp;RIGHT("00000"&amp;964,5))</f>
        <v/>
      </c>
      <c r="L969">
        <f>IF($K969="","",COUNTIFS(LdgPartyA,$F969,LdgKeyA,"&lt;"&amp;$K969)+COUNTIFS(LdgPartyB,$F969,LdgKeyB,"&lt;"&amp;$K969)+1)</f>
        <v/>
      </c>
      <c r="M969">
        <f>IF($L969="","",$F969&amp;"|"&amp;RIGHT("000000"&amp;$L969,6))</f>
        <v/>
      </c>
      <c r="N969">
        <f>IF($F969="","",IF(Sync!$AH969="","0000",IF(AND(ISNUMBER(Sync!$AH969),Sync!$AH969&gt;=0,Sync!$AH969&lt;1),RIGHT("00"&amp;HOUR(Sync!$AH969),2)&amp;RIGHT("00"&amp;MINUTE(Sync!$AH969),2),IFERROR(RIGHT("00"&amp;VALUE(LEFT(Sync!$AH969,FIND(":",Sync!$AH969)-1)),2)&amp;RIGHT("00"&amp;VALUE(MID(Sync!$AH969,FIND(":",Sync!$AH969)+1,2)),2),"0000"))))</f>
        <v/>
      </c>
    </row>
    <row r="970">
      <c r="A970">
        <f>IF(OR(Calc!$E973="",Calc!$E973="نامعتبر",Calc!$G973="",Calc!$I973&lt;&gt;"خرید"),"",Calc!$G973)</f>
        <v/>
      </c>
      <c r="B970">
        <f>IF($A970="","",LEFT(Calc!$E973,4)&amp;MID(Calc!$E973,6,2)&amp;RIGHT(Calc!$E973,2)&amp;Calc!$R973&amp;"|"&amp;"1"&amp;RIGHT("00000"&amp;965,5))</f>
        <v/>
      </c>
      <c r="C970">
        <f>IF($B970="","",COUNTIFS(LdgPartyA,$A970,LdgKeyA,"&lt;"&amp;$B970)+COUNTIFS(LdgPartyB,$A970,LdgKeyB,"&lt;"&amp;$B970)+1)</f>
        <v/>
      </c>
      <c r="D970">
        <f>IF($C970="","",$A970&amp;"|"&amp;RIGHT("000000"&amp;$C970,6))</f>
        <v/>
      </c>
      <c r="F970">
        <f>IF(Sync!$AJ970="","",Sync!$AJ970)</f>
        <v/>
      </c>
      <c r="G970">
        <f>IF($F970="","",IF(Sync!$AG970="","",IF(ISNUMBER(Sync!$AG970),IF(AND(Sync!$AG970&gt;=10000101,Sync!$AG970&lt;=99991231),INT(Sync!$AG970/10000),""),IFERROR(VALUE(TRIM(LEFT(Sync!$AG970,FIND("/",Sync!$AG970)-1))),""))))</f>
        <v/>
      </c>
      <c r="H970">
        <f>IF(OR($F970="",$G970=""),"",IF(ISNUMBER(Sync!$AG970),INT(MOD(Sync!$AG970,10000)/100),IFERROR(VALUE(TRIM(LEFT(MID(Sync!$AG970,FIND("/",Sync!$AG970)+1,20),FIND("/",MID(Sync!$AG970,FIND("/",Sync!$AG970)+1,20))-1))),"")))</f>
        <v/>
      </c>
      <c r="I970">
        <f>IF(OR($F970="",$G970=""),"",IF(ISNUMBER(Sync!$AG970),MOD(Sync!$AG970,100),IFERROR(VALUE(TRIM(MID(MID(Sync!$AG970,FIND("/",Sync!$AG970)+1,20),FIND("/",MID(Sync!$AG970,FIND("/",Sync!$AG970)+1,20))+1,20))),"")))</f>
        <v/>
      </c>
      <c r="J970">
        <f>IF($F970="","",IF(OR($G970="",$H970="",$I970="",$G970&lt;1300,$G970&gt;1500,$H970&lt;1,$H970&gt;12,$I970&lt;1,$I970&gt;31),"نامعتبر",RIGHT("0000"&amp;$G970,4)&amp;"/"&amp;RIGHT("00"&amp;$H970,2)&amp;"/"&amp;RIGHT("00"&amp;$I970,2)))</f>
        <v/>
      </c>
      <c r="K970">
        <f>IF(OR($F970="",$J970="",$J970="نامعتبر"),"",LEFT($J970,4)&amp;MID($J970,6,2)&amp;RIGHT($J970,2)&amp;$N970&amp;"|"&amp;"2"&amp;RIGHT("00000"&amp;965,5))</f>
        <v/>
      </c>
      <c r="L970">
        <f>IF($K970="","",COUNTIFS(LdgPartyA,$F970,LdgKeyA,"&lt;"&amp;$K970)+COUNTIFS(LdgPartyB,$F970,LdgKeyB,"&lt;"&amp;$K970)+1)</f>
        <v/>
      </c>
      <c r="M970">
        <f>IF($L970="","",$F970&amp;"|"&amp;RIGHT("000000"&amp;$L970,6))</f>
        <v/>
      </c>
      <c r="N970">
        <f>IF($F970="","",IF(Sync!$AH970="","0000",IF(AND(ISNUMBER(Sync!$AH970),Sync!$AH970&gt;=0,Sync!$AH970&lt;1),RIGHT("00"&amp;HOUR(Sync!$AH970),2)&amp;RIGHT("00"&amp;MINUTE(Sync!$AH970),2),IFERROR(RIGHT("00"&amp;VALUE(LEFT(Sync!$AH970,FIND(":",Sync!$AH970)-1)),2)&amp;RIGHT("00"&amp;VALUE(MID(Sync!$AH970,FIND(":",Sync!$AH970)+1,2)),2),"0000"))))</f>
        <v/>
      </c>
    </row>
    <row r="971">
      <c r="A971">
        <f>IF(OR(Calc!$E974="",Calc!$E974="نامعتبر",Calc!$G974="",Calc!$I974&lt;&gt;"خرید"),"",Calc!$G974)</f>
        <v/>
      </c>
      <c r="B971">
        <f>IF($A971="","",LEFT(Calc!$E974,4)&amp;MID(Calc!$E974,6,2)&amp;RIGHT(Calc!$E974,2)&amp;Calc!$R974&amp;"|"&amp;"1"&amp;RIGHT("00000"&amp;966,5))</f>
        <v/>
      </c>
      <c r="C971">
        <f>IF($B971="","",COUNTIFS(LdgPartyA,$A971,LdgKeyA,"&lt;"&amp;$B971)+COUNTIFS(LdgPartyB,$A971,LdgKeyB,"&lt;"&amp;$B971)+1)</f>
        <v/>
      </c>
      <c r="D971">
        <f>IF($C971="","",$A971&amp;"|"&amp;RIGHT("000000"&amp;$C971,6))</f>
        <v/>
      </c>
      <c r="F971">
        <f>IF(Sync!$AJ971="","",Sync!$AJ971)</f>
        <v/>
      </c>
      <c r="G971">
        <f>IF($F971="","",IF(Sync!$AG971="","",IF(ISNUMBER(Sync!$AG971),IF(AND(Sync!$AG971&gt;=10000101,Sync!$AG971&lt;=99991231),INT(Sync!$AG971/10000),""),IFERROR(VALUE(TRIM(LEFT(Sync!$AG971,FIND("/",Sync!$AG971)-1))),""))))</f>
        <v/>
      </c>
      <c r="H971">
        <f>IF(OR($F971="",$G971=""),"",IF(ISNUMBER(Sync!$AG971),INT(MOD(Sync!$AG971,10000)/100),IFERROR(VALUE(TRIM(LEFT(MID(Sync!$AG971,FIND("/",Sync!$AG971)+1,20),FIND("/",MID(Sync!$AG971,FIND("/",Sync!$AG971)+1,20))-1))),"")))</f>
        <v/>
      </c>
      <c r="I971">
        <f>IF(OR($F971="",$G971=""),"",IF(ISNUMBER(Sync!$AG971),MOD(Sync!$AG971,100),IFERROR(VALUE(TRIM(MID(MID(Sync!$AG971,FIND("/",Sync!$AG971)+1,20),FIND("/",MID(Sync!$AG971,FIND("/",Sync!$AG971)+1,20))+1,20))),"")))</f>
        <v/>
      </c>
      <c r="J971">
        <f>IF($F971="","",IF(OR($G971="",$H971="",$I971="",$G971&lt;1300,$G971&gt;1500,$H971&lt;1,$H971&gt;12,$I971&lt;1,$I971&gt;31),"نامعتبر",RIGHT("0000"&amp;$G971,4)&amp;"/"&amp;RIGHT("00"&amp;$H971,2)&amp;"/"&amp;RIGHT("00"&amp;$I971,2)))</f>
        <v/>
      </c>
      <c r="K971">
        <f>IF(OR($F971="",$J971="",$J971="نامعتبر"),"",LEFT($J971,4)&amp;MID($J971,6,2)&amp;RIGHT($J971,2)&amp;$N971&amp;"|"&amp;"2"&amp;RIGHT("00000"&amp;966,5))</f>
        <v/>
      </c>
      <c r="L971">
        <f>IF($K971="","",COUNTIFS(LdgPartyA,$F971,LdgKeyA,"&lt;"&amp;$K971)+COUNTIFS(LdgPartyB,$F971,LdgKeyB,"&lt;"&amp;$K971)+1)</f>
        <v/>
      </c>
      <c r="M971">
        <f>IF($L971="","",$F971&amp;"|"&amp;RIGHT("000000"&amp;$L971,6))</f>
        <v/>
      </c>
      <c r="N971">
        <f>IF($F971="","",IF(Sync!$AH971="","0000",IF(AND(ISNUMBER(Sync!$AH971),Sync!$AH971&gt;=0,Sync!$AH971&lt;1),RIGHT("00"&amp;HOUR(Sync!$AH971),2)&amp;RIGHT("00"&amp;MINUTE(Sync!$AH971),2),IFERROR(RIGHT("00"&amp;VALUE(LEFT(Sync!$AH971,FIND(":",Sync!$AH971)-1)),2)&amp;RIGHT("00"&amp;VALUE(MID(Sync!$AH971,FIND(":",Sync!$AH971)+1,2)),2),"0000"))))</f>
        <v/>
      </c>
    </row>
    <row r="972">
      <c r="A972">
        <f>IF(OR(Calc!$E975="",Calc!$E975="نامعتبر",Calc!$G975="",Calc!$I975&lt;&gt;"خرید"),"",Calc!$G975)</f>
        <v/>
      </c>
      <c r="B972">
        <f>IF($A972="","",LEFT(Calc!$E975,4)&amp;MID(Calc!$E975,6,2)&amp;RIGHT(Calc!$E975,2)&amp;Calc!$R975&amp;"|"&amp;"1"&amp;RIGHT("00000"&amp;967,5))</f>
        <v/>
      </c>
      <c r="C972">
        <f>IF($B972="","",COUNTIFS(LdgPartyA,$A972,LdgKeyA,"&lt;"&amp;$B972)+COUNTIFS(LdgPartyB,$A972,LdgKeyB,"&lt;"&amp;$B972)+1)</f>
        <v/>
      </c>
      <c r="D972">
        <f>IF($C972="","",$A972&amp;"|"&amp;RIGHT("000000"&amp;$C972,6))</f>
        <v/>
      </c>
      <c r="F972">
        <f>IF(Sync!$AJ972="","",Sync!$AJ972)</f>
        <v/>
      </c>
      <c r="G972">
        <f>IF($F972="","",IF(Sync!$AG972="","",IF(ISNUMBER(Sync!$AG972),IF(AND(Sync!$AG972&gt;=10000101,Sync!$AG972&lt;=99991231),INT(Sync!$AG972/10000),""),IFERROR(VALUE(TRIM(LEFT(Sync!$AG972,FIND("/",Sync!$AG972)-1))),""))))</f>
        <v/>
      </c>
      <c r="H972">
        <f>IF(OR($F972="",$G972=""),"",IF(ISNUMBER(Sync!$AG972),INT(MOD(Sync!$AG972,10000)/100),IFERROR(VALUE(TRIM(LEFT(MID(Sync!$AG972,FIND("/",Sync!$AG972)+1,20),FIND("/",MID(Sync!$AG972,FIND("/",Sync!$AG972)+1,20))-1))),"")))</f>
        <v/>
      </c>
      <c r="I972">
        <f>IF(OR($F972="",$G972=""),"",IF(ISNUMBER(Sync!$AG972),MOD(Sync!$AG972,100),IFERROR(VALUE(TRIM(MID(MID(Sync!$AG972,FIND("/",Sync!$AG972)+1,20),FIND("/",MID(Sync!$AG972,FIND("/",Sync!$AG972)+1,20))+1,20))),"")))</f>
        <v/>
      </c>
      <c r="J972">
        <f>IF($F972="","",IF(OR($G972="",$H972="",$I972="",$G972&lt;1300,$G972&gt;1500,$H972&lt;1,$H972&gt;12,$I972&lt;1,$I972&gt;31),"نامعتبر",RIGHT("0000"&amp;$G972,4)&amp;"/"&amp;RIGHT("00"&amp;$H972,2)&amp;"/"&amp;RIGHT("00"&amp;$I972,2)))</f>
        <v/>
      </c>
      <c r="K972">
        <f>IF(OR($F972="",$J972="",$J972="نامعتبر"),"",LEFT($J972,4)&amp;MID($J972,6,2)&amp;RIGHT($J972,2)&amp;$N972&amp;"|"&amp;"2"&amp;RIGHT("00000"&amp;967,5))</f>
        <v/>
      </c>
      <c r="L972">
        <f>IF($K972="","",COUNTIFS(LdgPartyA,$F972,LdgKeyA,"&lt;"&amp;$K972)+COUNTIFS(LdgPartyB,$F972,LdgKeyB,"&lt;"&amp;$K972)+1)</f>
        <v/>
      </c>
      <c r="M972">
        <f>IF($L972="","",$F972&amp;"|"&amp;RIGHT("000000"&amp;$L972,6))</f>
        <v/>
      </c>
      <c r="N972">
        <f>IF($F972="","",IF(Sync!$AH972="","0000",IF(AND(ISNUMBER(Sync!$AH972),Sync!$AH972&gt;=0,Sync!$AH972&lt;1),RIGHT("00"&amp;HOUR(Sync!$AH972),2)&amp;RIGHT("00"&amp;MINUTE(Sync!$AH972),2),IFERROR(RIGHT("00"&amp;VALUE(LEFT(Sync!$AH972,FIND(":",Sync!$AH972)-1)),2)&amp;RIGHT("00"&amp;VALUE(MID(Sync!$AH972,FIND(":",Sync!$AH972)+1,2)),2),"0000"))))</f>
        <v/>
      </c>
    </row>
    <row r="973">
      <c r="A973">
        <f>IF(OR(Calc!$E976="",Calc!$E976="نامعتبر",Calc!$G976="",Calc!$I976&lt;&gt;"خرید"),"",Calc!$G976)</f>
        <v/>
      </c>
      <c r="B973">
        <f>IF($A973="","",LEFT(Calc!$E976,4)&amp;MID(Calc!$E976,6,2)&amp;RIGHT(Calc!$E976,2)&amp;Calc!$R976&amp;"|"&amp;"1"&amp;RIGHT("00000"&amp;968,5))</f>
        <v/>
      </c>
      <c r="C973">
        <f>IF($B973="","",COUNTIFS(LdgPartyA,$A973,LdgKeyA,"&lt;"&amp;$B973)+COUNTIFS(LdgPartyB,$A973,LdgKeyB,"&lt;"&amp;$B973)+1)</f>
        <v/>
      </c>
      <c r="D973">
        <f>IF($C973="","",$A973&amp;"|"&amp;RIGHT("000000"&amp;$C973,6))</f>
        <v/>
      </c>
      <c r="F973">
        <f>IF(Sync!$AJ973="","",Sync!$AJ973)</f>
        <v/>
      </c>
      <c r="G973">
        <f>IF($F973="","",IF(Sync!$AG973="","",IF(ISNUMBER(Sync!$AG973),IF(AND(Sync!$AG973&gt;=10000101,Sync!$AG973&lt;=99991231),INT(Sync!$AG973/10000),""),IFERROR(VALUE(TRIM(LEFT(Sync!$AG973,FIND("/",Sync!$AG973)-1))),""))))</f>
        <v/>
      </c>
      <c r="H973">
        <f>IF(OR($F973="",$G973=""),"",IF(ISNUMBER(Sync!$AG973),INT(MOD(Sync!$AG973,10000)/100),IFERROR(VALUE(TRIM(LEFT(MID(Sync!$AG973,FIND("/",Sync!$AG973)+1,20),FIND("/",MID(Sync!$AG973,FIND("/",Sync!$AG973)+1,20))-1))),"")))</f>
        <v/>
      </c>
      <c r="I973">
        <f>IF(OR($F973="",$G973=""),"",IF(ISNUMBER(Sync!$AG973),MOD(Sync!$AG973,100),IFERROR(VALUE(TRIM(MID(MID(Sync!$AG973,FIND("/",Sync!$AG973)+1,20),FIND("/",MID(Sync!$AG973,FIND("/",Sync!$AG973)+1,20))+1,20))),"")))</f>
        <v/>
      </c>
      <c r="J973">
        <f>IF($F973="","",IF(OR($G973="",$H973="",$I973="",$G973&lt;1300,$G973&gt;1500,$H973&lt;1,$H973&gt;12,$I973&lt;1,$I973&gt;31),"نامعتبر",RIGHT("0000"&amp;$G973,4)&amp;"/"&amp;RIGHT("00"&amp;$H973,2)&amp;"/"&amp;RIGHT("00"&amp;$I973,2)))</f>
        <v/>
      </c>
      <c r="K973">
        <f>IF(OR($F973="",$J973="",$J973="نامعتبر"),"",LEFT($J973,4)&amp;MID($J973,6,2)&amp;RIGHT($J973,2)&amp;$N973&amp;"|"&amp;"2"&amp;RIGHT("00000"&amp;968,5))</f>
        <v/>
      </c>
      <c r="L973">
        <f>IF($K973="","",COUNTIFS(LdgPartyA,$F973,LdgKeyA,"&lt;"&amp;$K973)+COUNTIFS(LdgPartyB,$F973,LdgKeyB,"&lt;"&amp;$K973)+1)</f>
        <v/>
      </c>
      <c r="M973">
        <f>IF($L973="","",$F973&amp;"|"&amp;RIGHT("000000"&amp;$L973,6))</f>
        <v/>
      </c>
      <c r="N973">
        <f>IF($F973="","",IF(Sync!$AH973="","0000",IF(AND(ISNUMBER(Sync!$AH973),Sync!$AH973&gt;=0,Sync!$AH973&lt;1),RIGHT("00"&amp;HOUR(Sync!$AH973),2)&amp;RIGHT("00"&amp;MINUTE(Sync!$AH973),2),IFERROR(RIGHT("00"&amp;VALUE(LEFT(Sync!$AH973,FIND(":",Sync!$AH973)-1)),2)&amp;RIGHT("00"&amp;VALUE(MID(Sync!$AH973,FIND(":",Sync!$AH973)+1,2)),2),"0000"))))</f>
        <v/>
      </c>
    </row>
    <row r="974">
      <c r="A974">
        <f>IF(OR(Calc!$E977="",Calc!$E977="نامعتبر",Calc!$G977="",Calc!$I977&lt;&gt;"خرید"),"",Calc!$G977)</f>
        <v/>
      </c>
      <c r="B974">
        <f>IF($A974="","",LEFT(Calc!$E977,4)&amp;MID(Calc!$E977,6,2)&amp;RIGHT(Calc!$E977,2)&amp;Calc!$R977&amp;"|"&amp;"1"&amp;RIGHT("00000"&amp;969,5))</f>
        <v/>
      </c>
      <c r="C974">
        <f>IF($B974="","",COUNTIFS(LdgPartyA,$A974,LdgKeyA,"&lt;"&amp;$B974)+COUNTIFS(LdgPartyB,$A974,LdgKeyB,"&lt;"&amp;$B974)+1)</f>
        <v/>
      </c>
      <c r="D974">
        <f>IF($C974="","",$A974&amp;"|"&amp;RIGHT("000000"&amp;$C974,6))</f>
        <v/>
      </c>
      <c r="F974">
        <f>IF(Sync!$AJ974="","",Sync!$AJ974)</f>
        <v/>
      </c>
      <c r="G974">
        <f>IF($F974="","",IF(Sync!$AG974="","",IF(ISNUMBER(Sync!$AG974),IF(AND(Sync!$AG974&gt;=10000101,Sync!$AG974&lt;=99991231),INT(Sync!$AG974/10000),""),IFERROR(VALUE(TRIM(LEFT(Sync!$AG974,FIND("/",Sync!$AG974)-1))),""))))</f>
        <v/>
      </c>
      <c r="H974">
        <f>IF(OR($F974="",$G974=""),"",IF(ISNUMBER(Sync!$AG974),INT(MOD(Sync!$AG974,10000)/100),IFERROR(VALUE(TRIM(LEFT(MID(Sync!$AG974,FIND("/",Sync!$AG974)+1,20),FIND("/",MID(Sync!$AG974,FIND("/",Sync!$AG974)+1,20))-1))),"")))</f>
        <v/>
      </c>
      <c r="I974">
        <f>IF(OR($F974="",$G974=""),"",IF(ISNUMBER(Sync!$AG974),MOD(Sync!$AG974,100),IFERROR(VALUE(TRIM(MID(MID(Sync!$AG974,FIND("/",Sync!$AG974)+1,20),FIND("/",MID(Sync!$AG974,FIND("/",Sync!$AG974)+1,20))+1,20))),"")))</f>
        <v/>
      </c>
      <c r="J974">
        <f>IF($F974="","",IF(OR($G974="",$H974="",$I974="",$G974&lt;1300,$G974&gt;1500,$H974&lt;1,$H974&gt;12,$I974&lt;1,$I974&gt;31),"نامعتبر",RIGHT("0000"&amp;$G974,4)&amp;"/"&amp;RIGHT("00"&amp;$H974,2)&amp;"/"&amp;RIGHT("00"&amp;$I974,2)))</f>
        <v/>
      </c>
      <c r="K974">
        <f>IF(OR($F974="",$J974="",$J974="نامعتبر"),"",LEFT($J974,4)&amp;MID($J974,6,2)&amp;RIGHT($J974,2)&amp;$N974&amp;"|"&amp;"2"&amp;RIGHT("00000"&amp;969,5))</f>
        <v/>
      </c>
      <c r="L974">
        <f>IF($K974="","",COUNTIFS(LdgPartyA,$F974,LdgKeyA,"&lt;"&amp;$K974)+COUNTIFS(LdgPartyB,$F974,LdgKeyB,"&lt;"&amp;$K974)+1)</f>
        <v/>
      </c>
      <c r="M974">
        <f>IF($L974="","",$F974&amp;"|"&amp;RIGHT("000000"&amp;$L974,6))</f>
        <v/>
      </c>
      <c r="N974">
        <f>IF($F974="","",IF(Sync!$AH974="","0000",IF(AND(ISNUMBER(Sync!$AH974),Sync!$AH974&gt;=0,Sync!$AH974&lt;1),RIGHT("00"&amp;HOUR(Sync!$AH974),2)&amp;RIGHT("00"&amp;MINUTE(Sync!$AH974),2),IFERROR(RIGHT("00"&amp;VALUE(LEFT(Sync!$AH974,FIND(":",Sync!$AH974)-1)),2)&amp;RIGHT("00"&amp;VALUE(MID(Sync!$AH974,FIND(":",Sync!$AH974)+1,2)),2),"0000"))))</f>
        <v/>
      </c>
    </row>
    <row r="975">
      <c r="A975">
        <f>IF(OR(Calc!$E978="",Calc!$E978="نامعتبر",Calc!$G978="",Calc!$I978&lt;&gt;"خرید"),"",Calc!$G978)</f>
        <v/>
      </c>
      <c r="B975">
        <f>IF($A975="","",LEFT(Calc!$E978,4)&amp;MID(Calc!$E978,6,2)&amp;RIGHT(Calc!$E978,2)&amp;Calc!$R978&amp;"|"&amp;"1"&amp;RIGHT("00000"&amp;970,5))</f>
        <v/>
      </c>
      <c r="C975">
        <f>IF($B975="","",COUNTIFS(LdgPartyA,$A975,LdgKeyA,"&lt;"&amp;$B975)+COUNTIFS(LdgPartyB,$A975,LdgKeyB,"&lt;"&amp;$B975)+1)</f>
        <v/>
      </c>
      <c r="D975">
        <f>IF($C975="","",$A975&amp;"|"&amp;RIGHT("000000"&amp;$C975,6))</f>
        <v/>
      </c>
      <c r="F975">
        <f>IF(Sync!$AJ975="","",Sync!$AJ975)</f>
        <v/>
      </c>
      <c r="G975">
        <f>IF($F975="","",IF(Sync!$AG975="","",IF(ISNUMBER(Sync!$AG975),IF(AND(Sync!$AG975&gt;=10000101,Sync!$AG975&lt;=99991231),INT(Sync!$AG975/10000),""),IFERROR(VALUE(TRIM(LEFT(Sync!$AG975,FIND("/",Sync!$AG975)-1))),""))))</f>
        <v/>
      </c>
      <c r="H975">
        <f>IF(OR($F975="",$G975=""),"",IF(ISNUMBER(Sync!$AG975),INT(MOD(Sync!$AG975,10000)/100),IFERROR(VALUE(TRIM(LEFT(MID(Sync!$AG975,FIND("/",Sync!$AG975)+1,20),FIND("/",MID(Sync!$AG975,FIND("/",Sync!$AG975)+1,20))-1))),"")))</f>
        <v/>
      </c>
      <c r="I975">
        <f>IF(OR($F975="",$G975=""),"",IF(ISNUMBER(Sync!$AG975),MOD(Sync!$AG975,100),IFERROR(VALUE(TRIM(MID(MID(Sync!$AG975,FIND("/",Sync!$AG975)+1,20),FIND("/",MID(Sync!$AG975,FIND("/",Sync!$AG975)+1,20))+1,20))),"")))</f>
        <v/>
      </c>
      <c r="J975">
        <f>IF($F975="","",IF(OR($G975="",$H975="",$I975="",$G975&lt;1300,$G975&gt;1500,$H975&lt;1,$H975&gt;12,$I975&lt;1,$I975&gt;31),"نامعتبر",RIGHT("0000"&amp;$G975,4)&amp;"/"&amp;RIGHT("00"&amp;$H975,2)&amp;"/"&amp;RIGHT("00"&amp;$I975,2)))</f>
        <v/>
      </c>
      <c r="K975">
        <f>IF(OR($F975="",$J975="",$J975="نامعتبر"),"",LEFT($J975,4)&amp;MID($J975,6,2)&amp;RIGHT($J975,2)&amp;$N975&amp;"|"&amp;"2"&amp;RIGHT("00000"&amp;970,5))</f>
        <v/>
      </c>
      <c r="L975">
        <f>IF($K975="","",COUNTIFS(LdgPartyA,$F975,LdgKeyA,"&lt;"&amp;$K975)+COUNTIFS(LdgPartyB,$F975,LdgKeyB,"&lt;"&amp;$K975)+1)</f>
        <v/>
      </c>
      <c r="M975">
        <f>IF($L975="","",$F975&amp;"|"&amp;RIGHT("000000"&amp;$L975,6))</f>
        <v/>
      </c>
      <c r="N975">
        <f>IF($F975="","",IF(Sync!$AH975="","0000",IF(AND(ISNUMBER(Sync!$AH975),Sync!$AH975&gt;=0,Sync!$AH975&lt;1),RIGHT("00"&amp;HOUR(Sync!$AH975),2)&amp;RIGHT("00"&amp;MINUTE(Sync!$AH975),2),IFERROR(RIGHT("00"&amp;VALUE(LEFT(Sync!$AH975,FIND(":",Sync!$AH975)-1)),2)&amp;RIGHT("00"&amp;VALUE(MID(Sync!$AH975,FIND(":",Sync!$AH975)+1,2)),2),"0000"))))</f>
        <v/>
      </c>
    </row>
    <row r="976">
      <c r="A976">
        <f>IF(OR(Calc!$E979="",Calc!$E979="نامعتبر",Calc!$G979="",Calc!$I979&lt;&gt;"خرید"),"",Calc!$G979)</f>
        <v/>
      </c>
      <c r="B976">
        <f>IF($A976="","",LEFT(Calc!$E979,4)&amp;MID(Calc!$E979,6,2)&amp;RIGHT(Calc!$E979,2)&amp;Calc!$R979&amp;"|"&amp;"1"&amp;RIGHT("00000"&amp;971,5))</f>
        <v/>
      </c>
      <c r="C976">
        <f>IF($B976="","",COUNTIFS(LdgPartyA,$A976,LdgKeyA,"&lt;"&amp;$B976)+COUNTIFS(LdgPartyB,$A976,LdgKeyB,"&lt;"&amp;$B976)+1)</f>
        <v/>
      </c>
      <c r="D976">
        <f>IF($C976="","",$A976&amp;"|"&amp;RIGHT("000000"&amp;$C976,6))</f>
        <v/>
      </c>
      <c r="F976">
        <f>IF(Sync!$AJ976="","",Sync!$AJ976)</f>
        <v/>
      </c>
      <c r="G976">
        <f>IF($F976="","",IF(Sync!$AG976="","",IF(ISNUMBER(Sync!$AG976),IF(AND(Sync!$AG976&gt;=10000101,Sync!$AG976&lt;=99991231),INT(Sync!$AG976/10000),""),IFERROR(VALUE(TRIM(LEFT(Sync!$AG976,FIND("/",Sync!$AG976)-1))),""))))</f>
        <v/>
      </c>
      <c r="H976">
        <f>IF(OR($F976="",$G976=""),"",IF(ISNUMBER(Sync!$AG976),INT(MOD(Sync!$AG976,10000)/100),IFERROR(VALUE(TRIM(LEFT(MID(Sync!$AG976,FIND("/",Sync!$AG976)+1,20),FIND("/",MID(Sync!$AG976,FIND("/",Sync!$AG976)+1,20))-1))),"")))</f>
        <v/>
      </c>
      <c r="I976">
        <f>IF(OR($F976="",$G976=""),"",IF(ISNUMBER(Sync!$AG976),MOD(Sync!$AG976,100),IFERROR(VALUE(TRIM(MID(MID(Sync!$AG976,FIND("/",Sync!$AG976)+1,20),FIND("/",MID(Sync!$AG976,FIND("/",Sync!$AG976)+1,20))+1,20))),"")))</f>
        <v/>
      </c>
      <c r="J976">
        <f>IF($F976="","",IF(OR($G976="",$H976="",$I976="",$G976&lt;1300,$G976&gt;1500,$H976&lt;1,$H976&gt;12,$I976&lt;1,$I976&gt;31),"نامعتبر",RIGHT("0000"&amp;$G976,4)&amp;"/"&amp;RIGHT("00"&amp;$H976,2)&amp;"/"&amp;RIGHT("00"&amp;$I976,2)))</f>
        <v/>
      </c>
      <c r="K976">
        <f>IF(OR($F976="",$J976="",$J976="نامعتبر"),"",LEFT($J976,4)&amp;MID($J976,6,2)&amp;RIGHT($J976,2)&amp;$N976&amp;"|"&amp;"2"&amp;RIGHT("00000"&amp;971,5))</f>
        <v/>
      </c>
      <c r="L976">
        <f>IF($K976="","",COUNTIFS(LdgPartyA,$F976,LdgKeyA,"&lt;"&amp;$K976)+COUNTIFS(LdgPartyB,$F976,LdgKeyB,"&lt;"&amp;$K976)+1)</f>
        <v/>
      </c>
      <c r="M976">
        <f>IF($L976="","",$F976&amp;"|"&amp;RIGHT("000000"&amp;$L976,6))</f>
        <v/>
      </c>
      <c r="N976">
        <f>IF($F976="","",IF(Sync!$AH976="","0000",IF(AND(ISNUMBER(Sync!$AH976),Sync!$AH976&gt;=0,Sync!$AH976&lt;1),RIGHT("00"&amp;HOUR(Sync!$AH976),2)&amp;RIGHT("00"&amp;MINUTE(Sync!$AH976),2),IFERROR(RIGHT("00"&amp;VALUE(LEFT(Sync!$AH976,FIND(":",Sync!$AH976)-1)),2)&amp;RIGHT("00"&amp;VALUE(MID(Sync!$AH976,FIND(":",Sync!$AH976)+1,2)),2),"0000"))))</f>
        <v/>
      </c>
    </row>
    <row r="977">
      <c r="A977">
        <f>IF(OR(Calc!$E980="",Calc!$E980="نامعتبر",Calc!$G980="",Calc!$I980&lt;&gt;"خرید"),"",Calc!$G980)</f>
        <v/>
      </c>
      <c r="B977">
        <f>IF($A977="","",LEFT(Calc!$E980,4)&amp;MID(Calc!$E980,6,2)&amp;RIGHT(Calc!$E980,2)&amp;Calc!$R980&amp;"|"&amp;"1"&amp;RIGHT("00000"&amp;972,5))</f>
        <v/>
      </c>
      <c r="C977">
        <f>IF($B977="","",COUNTIFS(LdgPartyA,$A977,LdgKeyA,"&lt;"&amp;$B977)+COUNTIFS(LdgPartyB,$A977,LdgKeyB,"&lt;"&amp;$B977)+1)</f>
        <v/>
      </c>
      <c r="D977">
        <f>IF($C977="","",$A977&amp;"|"&amp;RIGHT("000000"&amp;$C977,6))</f>
        <v/>
      </c>
      <c r="F977">
        <f>IF(Sync!$AJ977="","",Sync!$AJ977)</f>
        <v/>
      </c>
      <c r="G977">
        <f>IF($F977="","",IF(Sync!$AG977="","",IF(ISNUMBER(Sync!$AG977),IF(AND(Sync!$AG977&gt;=10000101,Sync!$AG977&lt;=99991231),INT(Sync!$AG977/10000),""),IFERROR(VALUE(TRIM(LEFT(Sync!$AG977,FIND("/",Sync!$AG977)-1))),""))))</f>
        <v/>
      </c>
      <c r="H977">
        <f>IF(OR($F977="",$G977=""),"",IF(ISNUMBER(Sync!$AG977),INT(MOD(Sync!$AG977,10000)/100),IFERROR(VALUE(TRIM(LEFT(MID(Sync!$AG977,FIND("/",Sync!$AG977)+1,20),FIND("/",MID(Sync!$AG977,FIND("/",Sync!$AG977)+1,20))-1))),"")))</f>
        <v/>
      </c>
      <c r="I977">
        <f>IF(OR($F977="",$G977=""),"",IF(ISNUMBER(Sync!$AG977),MOD(Sync!$AG977,100),IFERROR(VALUE(TRIM(MID(MID(Sync!$AG977,FIND("/",Sync!$AG977)+1,20),FIND("/",MID(Sync!$AG977,FIND("/",Sync!$AG977)+1,20))+1,20))),"")))</f>
        <v/>
      </c>
      <c r="J977">
        <f>IF($F977="","",IF(OR($G977="",$H977="",$I977="",$G977&lt;1300,$G977&gt;1500,$H977&lt;1,$H977&gt;12,$I977&lt;1,$I977&gt;31),"نامعتبر",RIGHT("0000"&amp;$G977,4)&amp;"/"&amp;RIGHT("00"&amp;$H977,2)&amp;"/"&amp;RIGHT("00"&amp;$I977,2)))</f>
        <v/>
      </c>
      <c r="K977">
        <f>IF(OR($F977="",$J977="",$J977="نامعتبر"),"",LEFT($J977,4)&amp;MID($J977,6,2)&amp;RIGHT($J977,2)&amp;$N977&amp;"|"&amp;"2"&amp;RIGHT("00000"&amp;972,5))</f>
        <v/>
      </c>
      <c r="L977">
        <f>IF($K977="","",COUNTIFS(LdgPartyA,$F977,LdgKeyA,"&lt;"&amp;$K977)+COUNTIFS(LdgPartyB,$F977,LdgKeyB,"&lt;"&amp;$K977)+1)</f>
        <v/>
      </c>
      <c r="M977">
        <f>IF($L977="","",$F977&amp;"|"&amp;RIGHT("000000"&amp;$L977,6))</f>
        <v/>
      </c>
      <c r="N977">
        <f>IF($F977="","",IF(Sync!$AH977="","0000",IF(AND(ISNUMBER(Sync!$AH977),Sync!$AH977&gt;=0,Sync!$AH977&lt;1),RIGHT("00"&amp;HOUR(Sync!$AH977),2)&amp;RIGHT("00"&amp;MINUTE(Sync!$AH977),2),IFERROR(RIGHT("00"&amp;VALUE(LEFT(Sync!$AH977,FIND(":",Sync!$AH977)-1)),2)&amp;RIGHT("00"&amp;VALUE(MID(Sync!$AH977,FIND(":",Sync!$AH977)+1,2)),2),"0000"))))</f>
        <v/>
      </c>
    </row>
    <row r="978">
      <c r="A978">
        <f>IF(OR(Calc!$E981="",Calc!$E981="نامعتبر",Calc!$G981="",Calc!$I981&lt;&gt;"خرید"),"",Calc!$G981)</f>
        <v/>
      </c>
      <c r="B978">
        <f>IF($A978="","",LEFT(Calc!$E981,4)&amp;MID(Calc!$E981,6,2)&amp;RIGHT(Calc!$E981,2)&amp;Calc!$R981&amp;"|"&amp;"1"&amp;RIGHT("00000"&amp;973,5))</f>
        <v/>
      </c>
      <c r="C978">
        <f>IF($B978="","",COUNTIFS(LdgPartyA,$A978,LdgKeyA,"&lt;"&amp;$B978)+COUNTIFS(LdgPartyB,$A978,LdgKeyB,"&lt;"&amp;$B978)+1)</f>
        <v/>
      </c>
      <c r="D978">
        <f>IF($C978="","",$A978&amp;"|"&amp;RIGHT("000000"&amp;$C978,6))</f>
        <v/>
      </c>
      <c r="F978">
        <f>IF(Sync!$AJ978="","",Sync!$AJ978)</f>
        <v/>
      </c>
      <c r="G978">
        <f>IF($F978="","",IF(Sync!$AG978="","",IF(ISNUMBER(Sync!$AG978),IF(AND(Sync!$AG978&gt;=10000101,Sync!$AG978&lt;=99991231),INT(Sync!$AG978/10000),""),IFERROR(VALUE(TRIM(LEFT(Sync!$AG978,FIND("/",Sync!$AG978)-1))),""))))</f>
        <v/>
      </c>
      <c r="H978">
        <f>IF(OR($F978="",$G978=""),"",IF(ISNUMBER(Sync!$AG978),INT(MOD(Sync!$AG978,10000)/100),IFERROR(VALUE(TRIM(LEFT(MID(Sync!$AG978,FIND("/",Sync!$AG978)+1,20),FIND("/",MID(Sync!$AG978,FIND("/",Sync!$AG978)+1,20))-1))),"")))</f>
        <v/>
      </c>
      <c r="I978">
        <f>IF(OR($F978="",$G978=""),"",IF(ISNUMBER(Sync!$AG978),MOD(Sync!$AG978,100),IFERROR(VALUE(TRIM(MID(MID(Sync!$AG978,FIND("/",Sync!$AG978)+1,20),FIND("/",MID(Sync!$AG978,FIND("/",Sync!$AG978)+1,20))+1,20))),"")))</f>
        <v/>
      </c>
      <c r="J978">
        <f>IF($F978="","",IF(OR($G978="",$H978="",$I978="",$G978&lt;1300,$G978&gt;1500,$H978&lt;1,$H978&gt;12,$I978&lt;1,$I978&gt;31),"نامعتبر",RIGHT("0000"&amp;$G978,4)&amp;"/"&amp;RIGHT("00"&amp;$H978,2)&amp;"/"&amp;RIGHT("00"&amp;$I978,2)))</f>
        <v/>
      </c>
      <c r="K978">
        <f>IF(OR($F978="",$J978="",$J978="نامعتبر"),"",LEFT($J978,4)&amp;MID($J978,6,2)&amp;RIGHT($J978,2)&amp;$N978&amp;"|"&amp;"2"&amp;RIGHT("00000"&amp;973,5))</f>
        <v/>
      </c>
      <c r="L978">
        <f>IF($K978="","",COUNTIFS(LdgPartyA,$F978,LdgKeyA,"&lt;"&amp;$K978)+COUNTIFS(LdgPartyB,$F978,LdgKeyB,"&lt;"&amp;$K978)+1)</f>
        <v/>
      </c>
      <c r="M978">
        <f>IF($L978="","",$F978&amp;"|"&amp;RIGHT("000000"&amp;$L978,6))</f>
        <v/>
      </c>
      <c r="N978">
        <f>IF($F978="","",IF(Sync!$AH978="","0000",IF(AND(ISNUMBER(Sync!$AH978),Sync!$AH978&gt;=0,Sync!$AH978&lt;1),RIGHT("00"&amp;HOUR(Sync!$AH978),2)&amp;RIGHT("00"&amp;MINUTE(Sync!$AH978),2),IFERROR(RIGHT("00"&amp;VALUE(LEFT(Sync!$AH978,FIND(":",Sync!$AH978)-1)),2)&amp;RIGHT("00"&amp;VALUE(MID(Sync!$AH978,FIND(":",Sync!$AH978)+1,2)),2),"0000"))))</f>
        <v/>
      </c>
    </row>
    <row r="979">
      <c r="A979">
        <f>IF(OR(Calc!$E982="",Calc!$E982="نامعتبر",Calc!$G982="",Calc!$I982&lt;&gt;"خرید"),"",Calc!$G982)</f>
        <v/>
      </c>
      <c r="B979">
        <f>IF($A979="","",LEFT(Calc!$E982,4)&amp;MID(Calc!$E982,6,2)&amp;RIGHT(Calc!$E982,2)&amp;Calc!$R982&amp;"|"&amp;"1"&amp;RIGHT("00000"&amp;974,5))</f>
        <v/>
      </c>
      <c r="C979">
        <f>IF($B979="","",COUNTIFS(LdgPartyA,$A979,LdgKeyA,"&lt;"&amp;$B979)+COUNTIFS(LdgPartyB,$A979,LdgKeyB,"&lt;"&amp;$B979)+1)</f>
        <v/>
      </c>
      <c r="D979">
        <f>IF($C979="","",$A979&amp;"|"&amp;RIGHT("000000"&amp;$C979,6))</f>
        <v/>
      </c>
      <c r="F979">
        <f>IF(Sync!$AJ979="","",Sync!$AJ979)</f>
        <v/>
      </c>
      <c r="G979">
        <f>IF($F979="","",IF(Sync!$AG979="","",IF(ISNUMBER(Sync!$AG979),IF(AND(Sync!$AG979&gt;=10000101,Sync!$AG979&lt;=99991231),INT(Sync!$AG979/10000),""),IFERROR(VALUE(TRIM(LEFT(Sync!$AG979,FIND("/",Sync!$AG979)-1))),""))))</f>
        <v/>
      </c>
      <c r="H979">
        <f>IF(OR($F979="",$G979=""),"",IF(ISNUMBER(Sync!$AG979),INT(MOD(Sync!$AG979,10000)/100),IFERROR(VALUE(TRIM(LEFT(MID(Sync!$AG979,FIND("/",Sync!$AG979)+1,20),FIND("/",MID(Sync!$AG979,FIND("/",Sync!$AG979)+1,20))-1))),"")))</f>
        <v/>
      </c>
      <c r="I979">
        <f>IF(OR($F979="",$G979=""),"",IF(ISNUMBER(Sync!$AG979),MOD(Sync!$AG979,100),IFERROR(VALUE(TRIM(MID(MID(Sync!$AG979,FIND("/",Sync!$AG979)+1,20),FIND("/",MID(Sync!$AG979,FIND("/",Sync!$AG979)+1,20))+1,20))),"")))</f>
        <v/>
      </c>
      <c r="J979">
        <f>IF($F979="","",IF(OR($G979="",$H979="",$I979="",$G979&lt;1300,$G979&gt;1500,$H979&lt;1,$H979&gt;12,$I979&lt;1,$I979&gt;31),"نامعتبر",RIGHT("0000"&amp;$G979,4)&amp;"/"&amp;RIGHT("00"&amp;$H979,2)&amp;"/"&amp;RIGHT("00"&amp;$I979,2)))</f>
        <v/>
      </c>
      <c r="K979">
        <f>IF(OR($F979="",$J979="",$J979="نامعتبر"),"",LEFT($J979,4)&amp;MID($J979,6,2)&amp;RIGHT($J979,2)&amp;$N979&amp;"|"&amp;"2"&amp;RIGHT("00000"&amp;974,5))</f>
        <v/>
      </c>
      <c r="L979">
        <f>IF($K979="","",COUNTIFS(LdgPartyA,$F979,LdgKeyA,"&lt;"&amp;$K979)+COUNTIFS(LdgPartyB,$F979,LdgKeyB,"&lt;"&amp;$K979)+1)</f>
        <v/>
      </c>
      <c r="M979">
        <f>IF($L979="","",$F979&amp;"|"&amp;RIGHT("000000"&amp;$L979,6))</f>
        <v/>
      </c>
      <c r="N979">
        <f>IF($F979="","",IF(Sync!$AH979="","0000",IF(AND(ISNUMBER(Sync!$AH979),Sync!$AH979&gt;=0,Sync!$AH979&lt;1),RIGHT("00"&amp;HOUR(Sync!$AH979),2)&amp;RIGHT("00"&amp;MINUTE(Sync!$AH979),2),IFERROR(RIGHT("00"&amp;VALUE(LEFT(Sync!$AH979,FIND(":",Sync!$AH979)-1)),2)&amp;RIGHT("00"&amp;VALUE(MID(Sync!$AH979,FIND(":",Sync!$AH979)+1,2)),2),"0000"))))</f>
        <v/>
      </c>
    </row>
    <row r="980">
      <c r="A980">
        <f>IF(OR(Calc!$E983="",Calc!$E983="نامعتبر",Calc!$G983="",Calc!$I983&lt;&gt;"خرید"),"",Calc!$G983)</f>
        <v/>
      </c>
      <c r="B980">
        <f>IF($A980="","",LEFT(Calc!$E983,4)&amp;MID(Calc!$E983,6,2)&amp;RIGHT(Calc!$E983,2)&amp;Calc!$R983&amp;"|"&amp;"1"&amp;RIGHT("00000"&amp;975,5))</f>
        <v/>
      </c>
      <c r="C980">
        <f>IF($B980="","",COUNTIFS(LdgPartyA,$A980,LdgKeyA,"&lt;"&amp;$B980)+COUNTIFS(LdgPartyB,$A980,LdgKeyB,"&lt;"&amp;$B980)+1)</f>
        <v/>
      </c>
      <c r="D980">
        <f>IF($C980="","",$A980&amp;"|"&amp;RIGHT("000000"&amp;$C980,6))</f>
        <v/>
      </c>
      <c r="F980">
        <f>IF(Sync!$AJ980="","",Sync!$AJ980)</f>
        <v/>
      </c>
      <c r="G980">
        <f>IF($F980="","",IF(Sync!$AG980="","",IF(ISNUMBER(Sync!$AG980),IF(AND(Sync!$AG980&gt;=10000101,Sync!$AG980&lt;=99991231),INT(Sync!$AG980/10000),""),IFERROR(VALUE(TRIM(LEFT(Sync!$AG980,FIND("/",Sync!$AG980)-1))),""))))</f>
        <v/>
      </c>
      <c r="H980">
        <f>IF(OR($F980="",$G980=""),"",IF(ISNUMBER(Sync!$AG980),INT(MOD(Sync!$AG980,10000)/100),IFERROR(VALUE(TRIM(LEFT(MID(Sync!$AG980,FIND("/",Sync!$AG980)+1,20),FIND("/",MID(Sync!$AG980,FIND("/",Sync!$AG980)+1,20))-1))),"")))</f>
        <v/>
      </c>
      <c r="I980">
        <f>IF(OR($F980="",$G980=""),"",IF(ISNUMBER(Sync!$AG980),MOD(Sync!$AG980,100),IFERROR(VALUE(TRIM(MID(MID(Sync!$AG980,FIND("/",Sync!$AG980)+1,20),FIND("/",MID(Sync!$AG980,FIND("/",Sync!$AG980)+1,20))+1,20))),"")))</f>
        <v/>
      </c>
      <c r="J980">
        <f>IF($F980="","",IF(OR($G980="",$H980="",$I980="",$G980&lt;1300,$G980&gt;1500,$H980&lt;1,$H980&gt;12,$I980&lt;1,$I980&gt;31),"نامعتبر",RIGHT("0000"&amp;$G980,4)&amp;"/"&amp;RIGHT("00"&amp;$H980,2)&amp;"/"&amp;RIGHT("00"&amp;$I980,2)))</f>
        <v/>
      </c>
      <c r="K980">
        <f>IF(OR($F980="",$J980="",$J980="نامعتبر"),"",LEFT($J980,4)&amp;MID($J980,6,2)&amp;RIGHT($J980,2)&amp;$N980&amp;"|"&amp;"2"&amp;RIGHT("00000"&amp;975,5))</f>
        <v/>
      </c>
      <c r="L980">
        <f>IF($K980="","",COUNTIFS(LdgPartyA,$F980,LdgKeyA,"&lt;"&amp;$K980)+COUNTIFS(LdgPartyB,$F980,LdgKeyB,"&lt;"&amp;$K980)+1)</f>
        <v/>
      </c>
      <c r="M980">
        <f>IF($L980="","",$F980&amp;"|"&amp;RIGHT("000000"&amp;$L980,6))</f>
        <v/>
      </c>
      <c r="N980">
        <f>IF($F980="","",IF(Sync!$AH980="","0000",IF(AND(ISNUMBER(Sync!$AH980),Sync!$AH980&gt;=0,Sync!$AH980&lt;1),RIGHT("00"&amp;HOUR(Sync!$AH980),2)&amp;RIGHT("00"&amp;MINUTE(Sync!$AH980),2),IFERROR(RIGHT("00"&amp;VALUE(LEFT(Sync!$AH980,FIND(":",Sync!$AH980)-1)),2)&amp;RIGHT("00"&amp;VALUE(MID(Sync!$AH980,FIND(":",Sync!$AH980)+1,2)),2),"0000"))))</f>
        <v/>
      </c>
    </row>
    <row r="981">
      <c r="A981">
        <f>IF(OR(Calc!$E984="",Calc!$E984="نامعتبر",Calc!$G984="",Calc!$I984&lt;&gt;"خرید"),"",Calc!$G984)</f>
        <v/>
      </c>
      <c r="B981">
        <f>IF($A981="","",LEFT(Calc!$E984,4)&amp;MID(Calc!$E984,6,2)&amp;RIGHT(Calc!$E984,2)&amp;Calc!$R984&amp;"|"&amp;"1"&amp;RIGHT("00000"&amp;976,5))</f>
        <v/>
      </c>
      <c r="C981">
        <f>IF($B981="","",COUNTIFS(LdgPartyA,$A981,LdgKeyA,"&lt;"&amp;$B981)+COUNTIFS(LdgPartyB,$A981,LdgKeyB,"&lt;"&amp;$B981)+1)</f>
        <v/>
      </c>
      <c r="D981">
        <f>IF($C981="","",$A981&amp;"|"&amp;RIGHT("000000"&amp;$C981,6))</f>
        <v/>
      </c>
      <c r="F981">
        <f>IF(Sync!$AJ981="","",Sync!$AJ981)</f>
        <v/>
      </c>
      <c r="G981">
        <f>IF($F981="","",IF(Sync!$AG981="","",IF(ISNUMBER(Sync!$AG981),IF(AND(Sync!$AG981&gt;=10000101,Sync!$AG981&lt;=99991231),INT(Sync!$AG981/10000),""),IFERROR(VALUE(TRIM(LEFT(Sync!$AG981,FIND("/",Sync!$AG981)-1))),""))))</f>
        <v/>
      </c>
      <c r="H981">
        <f>IF(OR($F981="",$G981=""),"",IF(ISNUMBER(Sync!$AG981),INT(MOD(Sync!$AG981,10000)/100),IFERROR(VALUE(TRIM(LEFT(MID(Sync!$AG981,FIND("/",Sync!$AG981)+1,20),FIND("/",MID(Sync!$AG981,FIND("/",Sync!$AG981)+1,20))-1))),"")))</f>
        <v/>
      </c>
      <c r="I981">
        <f>IF(OR($F981="",$G981=""),"",IF(ISNUMBER(Sync!$AG981),MOD(Sync!$AG981,100),IFERROR(VALUE(TRIM(MID(MID(Sync!$AG981,FIND("/",Sync!$AG981)+1,20),FIND("/",MID(Sync!$AG981,FIND("/",Sync!$AG981)+1,20))+1,20))),"")))</f>
        <v/>
      </c>
      <c r="J981">
        <f>IF($F981="","",IF(OR($G981="",$H981="",$I981="",$G981&lt;1300,$G981&gt;1500,$H981&lt;1,$H981&gt;12,$I981&lt;1,$I981&gt;31),"نامعتبر",RIGHT("0000"&amp;$G981,4)&amp;"/"&amp;RIGHT("00"&amp;$H981,2)&amp;"/"&amp;RIGHT("00"&amp;$I981,2)))</f>
        <v/>
      </c>
      <c r="K981">
        <f>IF(OR($F981="",$J981="",$J981="نامعتبر"),"",LEFT($J981,4)&amp;MID($J981,6,2)&amp;RIGHT($J981,2)&amp;$N981&amp;"|"&amp;"2"&amp;RIGHT("00000"&amp;976,5))</f>
        <v/>
      </c>
      <c r="L981">
        <f>IF($K981="","",COUNTIFS(LdgPartyA,$F981,LdgKeyA,"&lt;"&amp;$K981)+COUNTIFS(LdgPartyB,$F981,LdgKeyB,"&lt;"&amp;$K981)+1)</f>
        <v/>
      </c>
      <c r="M981">
        <f>IF($L981="","",$F981&amp;"|"&amp;RIGHT("000000"&amp;$L981,6))</f>
        <v/>
      </c>
      <c r="N981">
        <f>IF($F981="","",IF(Sync!$AH981="","0000",IF(AND(ISNUMBER(Sync!$AH981),Sync!$AH981&gt;=0,Sync!$AH981&lt;1),RIGHT("00"&amp;HOUR(Sync!$AH981),2)&amp;RIGHT("00"&amp;MINUTE(Sync!$AH981),2),IFERROR(RIGHT("00"&amp;VALUE(LEFT(Sync!$AH981,FIND(":",Sync!$AH981)-1)),2)&amp;RIGHT("00"&amp;VALUE(MID(Sync!$AH981,FIND(":",Sync!$AH981)+1,2)),2),"0000"))))</f>
        <v/>
      </c>
    </row>
    <row r="982">
      <c r="A982">
        <f>IF(OR(Calc!$E985="",Calc!$E985="نامعتبر",Calc!$G985="",Calc!$I985&lt;&gt;"خرید"),"",Calc!$G985)</f>
        <v/>
      </c>
      <c r="B982">
        <f>IF($A982="","",LEFT(Calc!$E985,4)&amp;MID(Calc!$E985,6,2)&amp;RIGHT(Calc!$E985,2)&amp;Calc!$R985&amp;"|"&amp;"1"&amp;RIGHT("00000"&amp;977,5))</f>
        <v/>
      </c>
      <c r="C982">
        <f>IF($B982="","",COUNTIFS(LdgPartyA,$A982,LdgKeyA,"&lt;"&amp;$B982)+COUNTIFS(LdgPartyB,$A982,LdgKeyB,"&lt;"&amp;$B982)+1)</f>
        <v/>
      </c>
      <c r="D982">
        <f>IF($C982="","",$A982&amp;"|"&amp;RIGHT("000000"&amp;$C982,6))</f>
        <v/>
      </c>
      <c r="F982">
        <f>IF(Sync!$AJ982="","",Sync!$AJ982)</f>
        <v/>
      </c>
      <c r="G982">
        <f>IF($F982="","",IF(Sync!$AG982="","",IF(ISNUMBER(Sync!$AG982),IF(AND(Sync!$AG982&gt;=10000101,Sync!$AG982&lt;=99991231),INT(Sync!$AG982/10000),""),IFERROR(VALUE(TRIM(LEFT(Sync!$AG982,FIND("/",Sync!$AG982)-1))),""))))</f>
        <v/>
      </c>
      <c r="H982">
        <f>IF(OR($F982="",$G982=""),"",IF(ISNUMBER(Sync!$AG982),INT(MOD(Sync!$AG982,10000)/100),IFERROR(VALUE(TRIM(LEFT(MID(Sync!$AG982,FIND("/",Sync!$AG982)+1,20),FIND("/",MID(Sync!$AG982,FIND("/",Sync!$AG982)+1,20))-1))),"")))</f>
        <v/>
      </c>
      <c r="I982">
        <f>IF(OR($F982="",$G982=""),"",IF(ISNUMBER(Sync!$AG982),MOD(Sync!$AG982,100),IFERROR(VALUE(TRIM(MID(MID(Sync!$AG982,FIND("/",Sync!$AG982)+1,20),FIND("/",MID(Sync!$AG982,FIND("/",Sync!$AG982)+1,20))+1,20))),"")))</f>
        <v/>
      </c>
      <c r="J982">
        <f>IF($F982="","",IF(OR($G982="",$H982="",$I982="",$G982&lt;1300,$G982&gt;1500,$H982&lt;1,$H982&gt;12,$I982&lt;1,$I982&gt;31),"نامعتبر",RIGHT("0000"&amp;$G982,4)&amp;"/"&amp;RIGHT("00"&amp;$H982,2)&amp;"/"&amp;RIGHT("00"&amp;$I982,2)))</f>
        <v/>
      </c>
      <c r="K982">
        <f>IF(OR($F982="",$J982="",$J982="نامعتبر"),"",LEFT($J982,4)&amp;MID($J982,6,2)&amp;RIGHT($J982,2)&amp;$N982&amp;"|"&amp;"2"&amp;RIGHT("00000"&amp;977,5))</f>
        <v/>
      </c>
      <c r="L982">
        <f>IF($K982="","",COUNTIFS(LdgPartyA,$F982,LdgKeyA,"&lt;"&amp;$K982)+COUNTIFS(LdgPartyB,$F982,LdgKeyB,"&lt;"&amp;$K982)+1)</f>
        <v/>
      </c>
      <c r="M982">
        <f>IF($L982="","",$F982&amp;"|"&amp;RIGHT("000000"&amp;$L982,6))</f>
        <v/>
      </c>
      <c r="N982">
        <f>IF($F982="","",IF(Sync!$AH982="","0000",IF(AND(ISNUMBER(Sync!$AH982),Sync!$AH982&gt;=0,Sync!$AH982&lt;1),RIGHT("00"&amp;HOUR(Sync!$AH982),2)&amp;RIGHT("00"&amp;MINUTE(Sync!$AH982),2),IFERROR(RIGHT("00"&amp;VALUE(LEFT(Sync!$AH982,FIND(":",Sync!$AH982)-1)),2)&amp;RIGHT("00"&amp;VALUE(MID(Sync!$AH982,FIND(":",Sync!$AH982)+1,2)),2),"0000"))))</f>
        <v/>
      </c>
    </row>
    <row r="983">
      <c r="A983">
        <f>IF(OR(Calc!$E986="",Calc!$E986="نامعتبر",Calc!$G986="",Calc!$I986&lt;&gt;"خرید"),"",Calc!$G986)</f>
        <v/>
      </c>
      <c r="B983">
        <f>IF($A983="","",LEFT(Calc!$E986,4)&amp;MID(Calc!$E986,6,2)&amp;RIGHT(Calc!$E986,2)&amp;Calc!$R986&amp;"|"&amp;"1"&amp;RIGHT("00000"&amp;978,5))</f>
        <v/>
      </c>
      <c r="C983">
        <f>IF($B983="","",COUNTIFS(LdgPartyA,$A983,LdgKeyA,"&lt;"&amp;$B983)+COUNTIFS(LdgPartyB,$A983,LdgKeyB,"&lt;"&amp;$B983)+1)</f>
        <v/>
      </c>
      <c r="D983">
        <f>IF($C983="","",$A983&amp;"|"&amp;RIGHT("000000"&amp;$C983,6))</f>
        <v/>
      </c>
      <c r="F983">
        <f>IF(Sync!$AJ983="","",Sync!$AJ983)</f>
        <v/>
      </c>
      <c r="G983">
        <f>IF($F983="","",IF(Sync!$AG983="","",IF(ISNUMBER(Sync!$AG983),IF(AND(Sync!$AG983&gt;=10000101,Sync!$AG983&lt;=99991231),INT(Sync!$AG983/10000),""),IFERROR(VALUE(TRIM(LEFT(Sync!$AG983,FIND("/",Sync!$AG983)-1))),""))))</f>
        <v/>
      </c>
      <c r="H983">
        <f>IF(OR($F983="",$G983=""),"",IF(ISNUMBER(Sync!$AG983),INT(MOD(Sync!$AG983,10000)/100),IFERROR(VALUE(TRIM(LEFT(MID(Sync!$AG983,FIND("/",Sync!$AG983)+1,20),FIND("/",MID(Sync!$AG983,FIND("/",Sync!$AG983)+1,20))-1))),"")))</f>
        <v/>
      </c>
      <c r="I983">
        <f>IF(OR($F983="",$G983=""),"",IF(ISNUMBER(Sync!$AG983),MOD(Sync!$AG983,100),IFERROR(VALUE(TRIM(MID(MID(Sync!$AG983,FIND("/",Sync!$AG983)+1,20),FIND("/",MID(Sync!$AG983,FIND("/",Sync!$AG983)+1,20))+1,20))),"")))</f>
        <v/>
      </c>
      <c r="J983">
        <f>IF($F983="","",IF(OR($G983="",$H983="",$I983="",$G983&lt;1300,$G983&gt;1500,$H983&lt;1,$H983&gt;12,$I983&lt;1,$I983&gt;31),"نامعتبر",RIGHT("0000"&amp;$G983,4)&amp;"/"&amp;RIGHT("00"&amp;$H983,2)&amp;"/"&amp;RIGHT("00"&amp;$I983,2)))</f>
        <v/>
      </c>
      <c r="K983">
        <f>IF(OR($F983="",$J983="",$J983="نامعتبر"),"",LEFT($J983,4)&amp;MID($J983,6,2)&amp;RIGHT($J983,2)&amp;$N983&amp;"|"&amp;"2"&amp;RIGHT("00000"&amp;978,5))</f>
        <v/>
      </c>
      <c r="L983">
        <f>IF($K983="","",COUNTIFS(LdgPartyA,$F983,LdgKeyA,"&lt;"&amp;$K983)+COUNTIFS(LdgPartyB,$F983,LdgKeyB,"&lt;"&amp;$K983)+1)</f>
        <v/>
      </c>
      <c r="M983">
        <f>IF($L983="","",$F983&amp;"|"&amp;RIGHT("000000"&amp;$L983,6))</f>
        <v/>
      </c>
      <c r="N983">
        <f>IF($F983="","",IF(Sync!$AH983="","0000",IF(AND(ISNUMBER(Sync!$AH983),Sync!$AH983&gt;=0,Sync!$AH983&lt;1),RIGHT("00"&amp;HOUR(Sync!$AH983),2)&amp;RIGHT("00"&amp;MINUTE(Sync!$AH983),2),IFERROR(RIGHT("00"&amp;VALUE(LEFT(Sync!$AH983,FIND(":",Sync!$AH983)-1)),2)&amp;RIGHT("00"&amp;VALUE(MID(Sync!$AH983,FIND(":",Sync!$AH983)+1,2)),2),"0000"))))</f>
        <v/>
      </c>
    </row>
    <row r="984">
      <c r="A984">
        <f>IF(OR(Calc!$E987="",Calc!$E987="نامعتبر",Calc!$G987="",Calc!$I987&lt;&gt;"خرید"),"",Calc!$G987)</f>
        <v/>
      </c>
      <c r="B984">
        <f>IF($A984="","",LEFT(Calc!$E987,4)&amp;MID(Calc!$E987,6,2)&amp;RIGHT(Calc!$E987,2)&amp;Calc!$R987&amp;"|"&amp;"1"&amp;RIGHT("00000"&amp;979,5))</f>
        <v/>
      </c>
      <c r="C984">
        <f>IF($B984="","",COUNTIFS(LdgPartyA,$A984,LdgKeyA,"&lt;"&amp;$B984)+COUNTIFS(LdgPartyB,$A984,LdgKeyB,"&lt;"&amp;$B984)+1)</f>
        <v/>
      </c>
      <c r="D984">
        <f>IF($C984="","",$A984&amp;"|"&amp;RIGHT("000000"&amp;$C984,6))</f>
        <v/>
      </c>
      <c r="F984">
        <f>IF(Sync!$AJ984="","",Sync!$AJ984)</f>
        <v/>
      </c>
      <c r="G984">
        <f>IF($F984="","",IF(Sync!$AG984="","",IF(ISNUMBER(Sync!$AG984),IF(AND(Sync!$AG984&gt;=10000101,Sync!$AG984&lt;=99991231),INT(Sync!$AG984/10000),""),IFERROR(VALUE(TRIM(LEFT(Sync!$AG984,FIND("/",Sync!$AG984)-1))),""))))</f>
        <v/>
      </c>
      <c r="H984">
        <f>IF(OR($F984="",$G984=""),"",IF(ISNUMBER(Sync!$AG984),INT(MOD(Sync!$AG984,10000)/100),IFERROR(VALUE(TRIM(LEFT(MID(Sync!$AG984,FIND("/",Sync!$AG984)+1,20),FIND("/",MID(Sync!$AG984,FIND("/",Sync!$AG984)+1,20))-1))),"")))</f>
        <v/>
      </c>
      <c r="I984">
        <f>IF(OR($F984="",$G984=""),"",IF(ISNUMBER(Sync!$AG984),MOD(Sync!$AG984,100),IFERROR(VALUE(TRIM(MID(MID(Sync!$AG984,FIND("/",Sync!$AG984)+1,20),FIND("/",MID(Sync!$AG984,FIND("/",Sync!$AG984)+1,20))+1,20))),"")))</f>
        <v/>
      </c>
      <c r="J984">
        <f>IF($F984="","",IF(OR($G984="",$H984="",$I984="",$G984&lt;1300,$G984&gt;1500,$H984&lt;1,$H984&gt;12,$I984&lt;1,$I984&gt;31),"نامعتبر",RIGHT("0000"&amp;$G984,4)&amp;"/"&amp;RIGHT("00"&amp;$H984,2)&amp;"/"&amp;RIGHT("00"&amp;$I984,2)))</f>
        <v/>
      </c>
      <c r="K984">
        <f>IF(OR($F984="",$J984="",$J984="نامعتبر"),"",LEFT($J984,4)&amp;MID($J984,6,2)&amp;RIGHT($J984,2)&amp;$N984&amp;"|"&amp;"2"&amp;RIGHT("00000"&amp;979,5))</f>
        <v/>
      </c>
      <c r="L984">
        <f>IF($K984="","",COUNTIFS(LdgPartyA,$F984,LdgKeyA,"&lt;"&amp;$K984)+COUNTIFS(LdgPartyB,$F984,LdgKeyB,"&lt;"&amp;$K984)+1)</f>
        <v/>
      </c>
      <c r="M984">
        <f>IF($L984="","",$F984&amp;"|"&amp;RIGHT("000000"&amp;$L984,6))</f>
        <v/>
      </c>
      <c r="N984">
        <f>IF($F984="","",IF(Sync!$AH984="","0000",IF(AND(ISNUMBER(Sync!$AH984),Sync!$AH984&gt;=0,Sync!$AH984&lt;1),RIGHT("00"&amp;HOUR(Sync!$AH984),2)&amp;RIGHT("00"&amp;MINUTE(Sync!$AH984),2),IFERROR(RIGHT("00"&amp;VALUE(LEFT(Sync!$AH984,FIND(":",Sync!$AH984)-1)),2)&amp;RIGHT("00"&amp;VALUE(MID(Sync!$AH984,FIND(":",Sync!$AH984)+1,2)),2),"0000"))))</f>
        <v/>
      </c>
    </row>
    <row r="985">
      <c r="A985">
        <f>IF(OR(Calc!$E988="",Calc!$E988="نامعتبر",Calc!$G988="",Calc!$I988&lt;&gt;"خرید"),"",Calc!$G988)</f>
        <v/>
      </c>
      <c r="B985">
        <f>IF($A985="","",LEFT(Calc!$E988,4)&amp;MID(Calc!$E988,6,2)&amp;RIGHT(Calc!$E988,2)&amp;Calc!$R988&amp;"|"&amp;"1"&amp;RIGHT("00000"&amp;980,5))</f>
        <v/>
      </c>
      <c r="C985">
        <f>IF($B985="","",COUNTIFS(LdgPartyA,$A985,LdgKeyA,"&lt;"&amp;$B985)+COUNTIFS(LdgPartyB,$A985,LdgKeyB,"&lt;"&amp;$B985)+1)</f>
        <v/>
      </c>
      <c r="D985">
        <f>IF($C985="","",$A985&amp;"|"&amp;RIGHT("000000"&amp;$C985,6))</f>
        <v/>
      </c>
      <c r="F985">
        <f>IF(Sync!$AJ985="","",Sync!$AJ985)</f>
        <v/>
      </c>
      <c r="G985">
        <f>IF($F985="","",IF(Sync!$AG985="","",IF(ISNUMBER(Sync!$AG985),IF(AND(Sync!$AG985&gt;=10000101,Sync!$AG985&lt;=99991231),INT(Sync!$AG985/10000),""),IFERROR(VALUE(TRIM(LEFT(Sync!$AG985,FIND("/",Sync!$AG985)-1))),""))))</f>
        <v/>
      </c>
      <c r="H985">
        <f>IF(OR($F985="",$G985=""),"",IF(ISNUMBER(Sync!$AG985),INT(MOD(Sync!$AG985,10000)/100),IFERROR(VALUE(TRIM(LEFT(MID(Sync!$AG985,FIND("/",Sync!$AG985)+1,20),FIND("/",MID(Sync!$AG985,FIND("/",Sync!$AG985)+1,20))-1))),"")))</f>
        <v/>
      </c>
      <c r="I985">
        <f>IF(OR($F985="",$G985=""),"",IF(ISNUMBER(Sync!$AG985),MOD(Sync!$AG985,100),IFERROR(VALUE(TRIM(MID(MID(Sync!$AG985,FIND("/",Sync!$AG985)+1,20),FIND("/",MID(Sync!$AG985,FIND("/",Sync!$AG985)+1,20))+1,20))),"")))</f>
        <v/>
      </c>
      <c r="J985">
        <f>IF($F985="","",IF(OR($G985="",$H985="",$I985="",$G985&lt;1300,$G985&gt;1500,$H985&lt;1,$H985&gt;12,$I985&lt;1,$I985&gt;31),"نامعتبر",RIGHT("0000"&amp;$G985,4)&amp;"/"&amp;RIGHT("00"&amp;$H985,2)&amp;"/"&amp;RIGHT("00"&amp;$I985,2)))</f>
        <v/>
      </c>
      <c r="K985">
        <f>IF(OR($F985="",$J985="",$J985="نامعتبر"),"",LEFT($J985,4)&amp;MID($J985,6,2)&amp;RIGHT($J985,2)&amp;$N985&amp;"|"&amp;"2"&amp;RIGHT("00000"&amp;980,5))</f>
        <v/>
      </c>
      <c r="L985">
        <f>IF($K985="","",COUNTIFS(LdgPartyA,$F985,LdgKeyA,"&lt;"&amp;$K985)+COUNTIFS(LdgPartyB,$F985,LdgKeyB,"&lt;"&amp;$K985)+1)</f>
        <v/>
      </c>
      <c r="M985">
        <f>IF($L985="","",$F985&amp;"|"&amp;RIGHT("000000"&amp;$L985,6))</f>
        <v/>
      </c>
      <c r="N985">
        <f>IF($F985="","",IF(Sync!$AH985="","0000",IF(AND(ISNUMBER(Sync!$AH985),Sync!$AH985&gt;=0,Sync!$AH985&lt;1),RIGHT("00"&amp;HOUR(Sync!$AH985),2)&amp;RIGHT("00"&amp;MINUTE(Sync!$AH985),2),IFERROR(RIGHT("00"&amp;VALUE(LEFT(Sync!$AH985,FIND(":",Sync!$AH985)-1)),2)&amp;RIGHT("00"&amp;VALUE(MID(Sync!$AH985,FIND(":",Sync!$AH985)+1,2)),2),"0000"))))</f>
        <v/>
      </c>
    </row>
    <row r="986">
      <c r="A986">
        <f>IF(OR(Calc!$E989="",Calc!$E989="نامعتبر",Calc!$G989="",Calc!$I989&lt;&gt;"خرید"),"",Calc!$G989)</f>
        <v/>
      </c>
      <c r="B986">
        <f>IF($A986="","",LEFT(Calc!$E989,4)&amp;MID(Calc!$E989,6,2)&amp;RIGHT(Calc!$E989,2)&amp;Calc!$R989&amp;"|"&amp;"1"&amp;RIGHT("00000"&amp;981,5))</f>
        <v/>
      </c>
      <c r="C986">
        <f>IF($B986="","",COUNTIFS(LdgPartyA,$A986,LdgKeyA,"&lt;"&amp;$B986)+COUNTIFS(LdgPartyB,$A986,LdgKeyB,"&lt;"&amp;$B986)+1)</f>
        <v/>
      </c>
      <c r="D986">
        <f>IF($C986="","",$A986&amp;"|"&amp;RIGHT("000000"&amp;$C986,6))</f>
        <v/>
      </c>
      <c r="F986">
        <f>IF(Sync!$AJ986="","",Sync!$AJ986)</f>
        <v/>
      </c>
      <c r="G986">
        <f>IF($F986="","",IF(Sync!$AG986="","",IF(ISNUMBER(Sync!$AG986),IF(AND(Sync!$AG986&gt;=10000101,Sync!$AG986&lt;=99991231),INT(Sync!$AG986/10000),""),IFERROR(VALUE(TRIM(LEFT(Sync!$AG986,FIND("/",Sync!$AG986)-1))),""))))</f>
        <v/>
      </c>
      <c r="H986">
        <f>IF(OR($F986="",$G986=""),"",IF(ISNUMBER(Sync!$AG986),INT(MOD(Sync!$AG986,10000)/100),IFERROR(VALUE(TRIM(LEFT(MID(Sync!$AG986,FIND("/",Sync!$AG986)+1,20),FIND("/",MID(Sync!$AG986,FIND("/",Sync!$AG986)+1,20))-1))),"")))</f>
        <v/>
      </c>
      <c r="I986">
        <f>IF(OR($F986="",$G986=""),"",IF(ISNUMBER(Sync!$AG986),MOD(Sync!$AG986,100),IFERROR(VALUE(TRIM(MID(MID(Sync!$AG986,FIND("/",Sync!$AG986)+1,20),FIND("/",MID(Sync!$AG986,FIND("/",Sync!$AG986)+1,20))+1,20))),"")))</f>
        <v/>
      </c>
      <c r="J986">
        <f>IF($F986="","",IF(OR($G986="",$H986="",$I986="",$G986&lt;1300,$G986&gt;1500,$H986&lt;1,$H986&gt;12,$I986&lt;1,$I986&gt;31),"نامعتبر",RIGHT("0000"&amp;$G986,4)&amp;"/"&amp;RIGHT("00"&amp;$H986,2)&amp;"/"&amp;RIGHT("00"&amp;$I986,2)))</f>
        <v/>
      </c>
      <c r="K986">
        <f>IF(OR($F986="",$J986="",$J986="نامعتبر"),"",LEFT($J986,4)&amp;MID($J986,6,2)&amp;RIGHT($J986,2)&amp;$N986&amp;"|"&amp;"2"&amp;RIGHT("00000"&amp;981,5))</f>
        <v/>
      </c>
      <c r="L986">
        <f>IF($K986="","",COUNTIFS(LdgPartyA,$F986,LdgKeyA,"&lt;"&amp;$K986)+COUNTIFS(LdgPartyB,$F986,LdgKeyB,"&lt;"&amp;$K986)+1)</f>
        <v/>
      </c>
      <c r="M986">
        <f>IF($L986="","",$F986&amp;"|"&amp;RIGHT("000000"&amp;$L986,6))</f>
        <v/>
      </c>
      <c r="N986">
        <f>IF($F986="","",IF(Sync!$AH986="","0000",IF(AND(ISNUMBER(Sync!$AH986),Sync!$AH986&gt;=0,Sync!$AH986&lt;1),RIGHT("00"&amp;HOUR(Sync!$AH986),2)&amp;RIGHT("00"&amp;MINUTE(Sync!$AH986),2),IFERROR(RIGHT("00"&amp;VALUE(LEFT(Sync!$AH986,FIND(":",Sync!$AH986)-1)),2)&amp;RIGHT("00"&amp;VALUE(MID(Sync!$AH986,FIND(":",Sync!$AH986)+1,2)),2),"0000"))))</f>
        <v/>
      </c>
    </row>
    <row r="987">
      <c r="A987">
        <f>IF(OR(Calc!$E990="",Calc!$E990="نامعتبر",Calc!$G990="",Calc!$I990&lt;&gt;"خرید"),"",Calc!$G990)</f>
        <v/>
      </c>
      <c r="B987">
        <f>IF($A987="","",LEFT(Calc!$E990,4)&amp;MID(Calc!$E990,6,2)&amp;RIGHT(Calc!$E990,2)&amp;Calc!$R990&amp;"|"&amp;"1"&amp;RIGHT("00000"&amp;982,5))</f>
        <v/>
      </c>
      <c r="C987">
        <f>IF($B987="","",COUNTIFS(LdgPartyA,$A987,LdgKeyA,"&lt;"&amp;$B987)+COUNTIFS(LdgPartyB,$A987,LdgKeyB,"&lt;"&amp;$B987)+1)</f>
        <v/>
      </c>
      <c r="D987">
        <f>IF($C987="","",$A987&amp;"|"&amp;RIGHT("000000"&amp;$C987,6))</f>
        <v/>
      </c>
      <c r="F987">
        <f>IF(Sync!$AJ987="","",Sync!$AJ987)</f>
        <v/>
      </c>
      <c r="G987">
        <f>IF($F987="","",IF(Sync!$AG987="","",IF(ISNUMBER(Sync!$AG987),IF(AND(Sync!$AG987&gt;=10000101,Sync!$AG987&lt;=99991231),INT(Sync!$AG987/10000),""),IFERROR(VALUE(TRIM(LEFT(Sync!$AG987,FIND("/",Sync!$AG987)-1))),""))))</f>
        <v/>
      </c>
      <c r="H987">
        <f>IF(OR($F987="",$G987=""),"",IF(ISNUMBER(Sync!$AG987),INT(MOD(Sync!$AG987,10000)/100),IFERROR(VALUE(TRIM(LEFT(MID(Sync!$AG987,FIND("/",Sync!$AG987)+1,20),FIND("/",MID(Sync!$AG987,FIND("/",Sync!$AG987)+1,20))-1))),"")))</f>
        <v/>
      </c>
      <c r="I987">
        <f>IF(OR($F987="",$G987=""),"",IF(ISNUMBER(Sync!$AG987),MOD(Sync!$AG987,100),IFERROR(VALUE(TRIM(MID(MID(Sync!$AG987,FIND("/",Sync!$AG987)+1,20),FIND("/",MID(Sync!$AG987,FIND("/",Sync!$AG987)+1,20))+1,20))),"")))</f>
        <v/>
      </c>
      <c r="J987">
        <f>IF($F987="","",IF(OR($G987="",$H987="",$I987="",$G987&lt;1300,$G987&gt;1500,$H987&lt;1,$H987&gt;12,$I987&lt;1,$I987&gt;31),"نامعتبر",RIGHT("0000"&amp;$G987,4)&amp;"/"&amp;RIGHT("00"&amp;$H987,2)&amp;"/"&amp;RIGHT("00"&amp;$I987,2)))</f>
        <v/>
      </c>
      <c r="K987">
        <f>IF(OR($F987="",$J987="",$J987="نامعتبر"),"",LEFT($J987,4)&amp;MID($J987,6,2)&amp;RIGHT($J987,2)&amp;$N987&amp;"|"&amp;"2"&amp;RIGHT("00000"&amp;982,5))</f>
        <v/>
      </c>
      <c r="L987">
        <f>IF($K987="","",COUNTIFS(LdgPartyA,$F987,LdgKeyA,"&lt;"&amp;$K987)+COUNTIFS(LdgPartyB,$F987,LdgKeyB,"&lt;"&amp;$K987)+1)</f>
        <v/>
      </c>
      <c r="M987">
        <f>IF($L987="","",$F987&amp;"|"&amp;RIGHT("000000"&amp;$L987,6))</f>
        <v/>
      </c>
      <c r="N987">
        <f>IF($F987="","",IF(Sync!$AH987="","0000",IF(AND(ISNUMBER(Sync!$AH987),Sync!$AH987&gt;=0,Sync!$AH987&lt;1),RIGHT("00"&amp;HOUR(Sync!$AH987),2)&amp;RIGHT("00"&amp;MINUTE(Sync!$AH987),2),IFERROR(RIGHT("00"&amp;VALUE(LEFT(Sync!$AH987,FIND(":",Sync!$AH987)-1)),2)&amp;RIGHT("00"&amp;VALUE(MID(Sync!$AH987,FIND(":",Sync!$AH987)+1,2)),2),"0000"))))</f>
        <v/>
      </c>
    </row>
    <row r="988">
      <c r="A988">
        <f>IF(OR(Calc!$E991="",Calc!$E991="نامعتبر",Calc!$G991="",Calc!$I991&lt;&gt;"خرید"),"",Calc!$G991)</f>
        <v/>
      </c>
      <c r="B988">
        <f>IF($A988="","",LEFT(Calc!$E991,4)&amp;MID(Calc!$E991,6,2)&amp;RIGHT(Calc!$E991,2)&amp;Calc!$R991&amp;"|"&amp;"1"&amp;RIGHT("00000"&amp;983,5))</f>
        <v/>
      </c>
      <c r="C988">
        <f>IF($B988="","",COUNTIFS(LdgPartyA,$A988,LdgKeyA,"&lt;"&amp;$B988)+COUNTIFS(LdgPartyB,$A988,LdgKeyB,"&lt;"&amp;$B988)+1)</f>
        <v/>
      </c>
      <c r="D988">
        <f>IF($C988="","",$A988&amp;"|"&amp;RIGHT("000000"&amp;$C988,6))</f>
        <v/>
      </c>
      <c r="F988">
        <f>IF(Sync!$AJ988="","",Sync!$AJ988)</f>
        <v/>
      </c>
      <c r="G988">
        <f>IF($F988="","",IF(Sync!$AG988="","",IF(ISNUMBER(Sync!$AG988),IF(AND(Sync!$AG988&gt;=10000101,Sync!$AG988&lt;=99991231),INT(Sync!$AG988/10000),""),IFERROR(VALUE(TRIM(LEFT(Sync!$AG988,FIND("/",Sync!$AG988)-1))),""))))</f>
        <v/>
      </c>
      <c r="H988">
        <f>IF(OR($F988="",$G988=""),"",IF(ISNUMBER(Sync!$AG988),INT(MOD(Sync!$AG988,10000)/100),IFERROR(VALUE(TRIM(LEFT(MID(Sync!$AG988,FIND("/",Sync!$AG988)+1,20),FIND("/",MID(Sync!$AG988,FIND("/",Sync!$AG988)+1,20))-1))),"")))</f>
        <v/>
      </c>
      <c r="I988">
        <f>IF(OR($F988="",$G988=""),"",IF(ISNUMBER(Sync!$AG988),MOD(Sync!$AG988,100),IFERROR(VALUE(TRIM(MID(MID(Sync!$AG988,FIND("/",Sync!$AG988)+1,20),FIND("/",MID(Sync!$AG988,FIND("/",Sync!$AG988)+1,20))+1,20))),"")))</f>
        <v/>
      </c>
      <c r="J988">
        <f>IF($F988="","",IF(OR($G988="",$H988="",$I988="",$G988&lt;1300,$G988&gt;1500,$H988&lt;1,$H988&gt;12,$I988&lt;1,$I988&gt;31),"نامعتبر",RIGHT("0000"&amp;$G988,4)&amp;"/"&amp;RIGHT("00"&amp;$H988,2)&amp;"/"&amp;RIGHT("00"&amp;$I988,2)))</f>
        <v/>
      </c>
      <c r="K988">
        <f>IF(OR($F988="",$J988="",$J988="نامعتبر"),"",LEFT($J988,4)&amp;MID($J988,6,2)&amp;RIGHT($J988,2)&amp;$N988&amp;"|"&amp;"2"&amp;RIGHT("00000"&amp;983,5))</f>
        <v/>
      </c>
      <c r="L988">
        <f>IF($K988="","",COUNTIFS(LdgPartyA,$F988,LdgKeyA,"&lt;"&amp;$K988)+COUNTIFS(LdgPartyB,$F988,LdgKeyB,"&lt;"&amp;$K988)+1)</f>
        <v/>
      </c>
      <c r="M988">
        <f>IF($L988="","",$F988&amp;"|"&amp;RIGHT("000000"&amp;$L988,6))</f>
        <v/>
      </c>
      <c r="N988">
        <f>IF($F988="","",IF(Sync!$AH988="","0000",IF(AND(ISNUMBER(Sync!$AH988),Sync!$AH988&gt;=0,Sync!$AH988&lt;1),RIGHT("00"&amp;HOUR(Sync!$AH988),2)&amp;RIGHT("00"&amp;MINUTE(Sync!$AH988),2),IFERROR(RIGHT("00"&amp;VALUE(LEFT(Sync!$AH988,FIND(":",Sync!$AH988)-1)),2)&amp;RIGHT("00"&amp;VALUE(MID(Sync!$AH988,FIND(":",Sync!$AH988)+1,2)),2),"0000"))))</f>
        <v/>
      </c>
    </row>
    <row r="989">
      <c r="A989">
        <f>IF(OR(Calc!$E992="",Calc!$E992="نامعتبر",Calc!$G992="",Calc!$I992&lt;&gt;"خرید"),"",Calc!$G992)</f>
        <v/>
      </c>
      <c r="B989">
        <f>IF($A989="","",LEFT(Calc!$E992,4)&amp;MID(Calc!$E992,6,2)&amp;RIGHT(Calc!$E992,2)&amp;Calc!$R992&amp;"|"&amp;"1"&amp;RIGHT("00000"&amp;984,5))</f>
        <v/>
      </c>
      <c r="C989">
        <f>IF($B989="","",COUNTIFS(LdgPartyA,$A989,LdgKeyA,"&lt;"&amp;$B989)+COUNTIFS(LdgPartyB,$A989,LdgKeyB,"&lt;"&amp;$B989)+1)</f>
        <v/>
      </c>
      <c r="D989">
        <f>IF($C989="","",$A989&amp;"|"&amp;RIGHT("000000"&amp;$C989,6))</f>
        <v/>
      </c>
      <c r="F989">
        <f>IF(Sync!$AJ989="","",Sync!$AJ989)</f>
        <v/>
      </c>
      <c r="G989">
        <f>IF($F989="","",IF(Sync!$AG989="","",IF(ISNUMBER(Sync!$AG989),IF(AND(Sync!$AG989&gt;=10000101,Sync!$AG989&lt;=99991231),INT(Sync!$AG989/10000),""),IFERROR(VALUE(TRIM(LEFT(Sync!$AG989,FIND("/",Sync!$AG989)-1))),""))))</f>
        <v/>
      </c>
      <c r="H989">
        <f>IF(OR($F989="",$G989=""),"",IF(ISNUMBER(Sync!$AG989),INT(MOD(Sync!$AG989,10000)/100),IFERROR(VALUE(TRIM(LEFT(MID(Sync!$AG989,FIND("/",Sync!$AG989)+1,20),FIND("/",MID(Sync!$AG989,FIND("/",Sync!$AG989)+1,20))-1))),"")))</f>
        <v/>
      </c>
      <c r="I989">
        <f>IF(OR($F989="",$G989=""),"",IF(ISNUMBER(Sync!$AG989),MOD(Sync!$AG989,100),IFERROR(VALUE(TRIM(MID(MID(Sync!$AG989,FIND("/",Sync!$AG989)+1,20),FIND("/",MID(Sync!$AG989,FIND("/",Sync!$AG989)+1,20))+1,20))),"")))</f>
        <v/>
      </c>
      <c r="J989">
        <f>IF($F989="","",IF(OR($G989="",$H989="",$I989="",$G989&lt;1300,$G989&gt;1500,$H989&lt;1,$H989&gt;12,$I989&lt;1,$I989&gt;31),"نامعتبر",RIGHT("0000"&amp;$G989,4)&amp;"/"&amp;RIGHT("00"&amp;$H989,2)&amp;"/"&amp;RIGHT("00"&amp;$I989,2)))</f>
        <v/>
      </c>
      <c r="K989">
        <f>IF(OR($F989="",$J989="",$J989="نامعتبر"),"",LEFT($J989,4)&amp;MID($J989,6,2)&amp;RIGHT($J989,2)&amp;$N989&amp;"|"&amp;"2"&amp;RIGHT("00000"&amp;984,5))</f>
        <v/>
      </c>
      <c r="L989">
        <f>IF($K989="","",COUNTIFS(LdgPartyA,$F989,LdgKeyA,"&lt;"&amp;$K989)+COUNTIFS(LdgPartyB,$F989,LdgKeyB,"&lt;"&amp;$K989)+1)</f>
        <v/>
      </c>
      <c r="M989">
        <f>IF($L989="","",$F989&amp;"|"&amp;RIGHT("000000"&amp;$L989,6))</f>
        <v/>
      </c>
      <c r="N989">
        <f>IF($F989="","",IF(Sync!$AH989="","0000",IF(AND(ISNUMBER(Sync!$AH989),Sync!$AH989&gt;=0,Sync!$AH989&lt;1),RIGHT("00"&amp;HOUR(Sync!$AH989),2)&amp;RIGHT("00"&amp;MINUTE(Sync!$AH989),2),IFERROR(RIGHT("00"&amp;VALUE(LEFT(Sync!$AH989,FIND(":",Sync!$AH989)-1)),2)&amp;RIGHT("00"&amp;VALUE(MID(Sync!$AH989,FIND(":",Sync!$AH989)+1,2)),2),"0000"))))</f>
        <v/>
      </c>
    </row>
    <row r="990">
      <c r="A990">
        <f>IF(OR(Calc!$E993="",Calc!$E993="نامعتبر",Calc!$G993="",Calc!$I993&lt;&gt;"خرید"),"",Calc!$G993)</f>
        <v/>
      </c>
      <c r="B990">
        <f>IF($A990="","",LEFT(Calc!$E993,4)&amp;MID(Calc!$E993,6,2)&amp;RIGHT(Calc!$E993,2)&amp;Calc!$R993&amp;"|"&amp;"1"&amp;RIGHT("00000"&amp;985,5))</f>
        <v/>
      </c>
      <c r="C990">
        <f>IF($B990="","",COUNTIFS(LdgPartyA,$A990,LdgKeyA,"&lt;"&amp;$B990)+COUNTIFS(LdgPartyB,$A990,LdgKeyB,"&lt;"&amp;$B990)+1)</f>
        <v/>
      </c>
      <c r="D990">
        <f>IF($C990="","",$A990&amp;"|"&amp;RIGHT("000000"&amp;$C990,6))</f>
        <v/>
      </c>
      <c r="F990">
        <f>IF(Sync!$AJ990="","",Sync!$AJ990)</f>
        <v/>
      </c>
      <c r="G990">
        <f>IF($F990="","",IF(Sync!$AG990="","",IF(ISNUMBER(Sync!$AG990),IF(AND(Sync!$AG990&gt;=10000101,Sync!$AG990&lt;=99991231),INT(Sync!$AG990/10000),""),IFERROR(VALUE(TRIM(LEFT(Sync!$AG990,FIND("/",Sync!$AG990)-1))),""))))</f>
        <v/>
      </c>
      <c r="H990">
        <f>IF(OR($F990="",$G990=""),"",IF(ISNUMBER(Sync!$AG990),INT(MOD(Sync!$AG990,10000)/100),IFERROR(VALUE(TRIM(LEFT(MID(Sync!$AG990,FIND("/",Sync!$AG990)+1,20),FIND("/",MID(Sync!$AG990,FIND("/",Sync!$AG990)+1,20))-1))),"")))</f>
        <v/>
      </c>
      <c r="I990">
        <f>IF(OR($F990="",$G990=""),"",IF(ISNUMBER(Sync!$AG990),MOD(Sync!$AG990,100),IFERROR(VALUE(TRIM(MID(MID(Sync!$AG990,FIND("/",Sync!$AG990)+1,20),FIND("/",MID(Sync!$AG990,FIND("/",Sync!$AG990)+1,20))+1,20))),"")))</f>
        <v/>
      </c>
      <c r="J990">
        <f>IF($F990="","",IF(OR($G990="",$H990="",$I990="",$G990&lt;1300,$G990&gt;1500,$H990&lt;1,$H990&gt;12,$I990&lt;1,$I990&gt;31),"نامعتبر",RIGHT("0000"&amp;$G990,4)&amp;"/"&amp;RIGHT("00"&amp;$H990,2)&amp;"/"&amp;RIGHT("00"&amp;$I990,2)))</f>
        <v/>
      </c>
      <c r="K990">
        <f>IF(OR($F990="",$J990="",$J990="نامعتبر"),"",LEFT($J990,4)&amp;MID($J990,6,2)&amp;RIGHT($J990,2)&amp;$N990&amp;"|"&amp;"2"&amp;RIGHT("00000"&amp;985,5))</f>
        <v/>
      </c>
      <c r="L990">
        <f>IF($K990="","",COUNTIFS(LdgPartyA,$F990,LdgKeyA,"&lt;"&amp;$K990)+COUNTIFS(LdgPartyB,$F990,LdgKeyB,"&lt;"&amp;$K990)+1)</f>
        <v/>
      </c>
      <c r="M990">
        <f>IF($L990="","",$F990&amp;"|"&amp;RIGHT("000000"&amp;$L990,6))</f>
        <v/>
      </c>
      <c r="N990">
        <f>IF($F990="","",IF(Sync!$AH990="","0000",IF(AND(ISNUMBER(Sync!$AH990),Sync!$AH990&gt;=0,Sync!$AH990&lt;1),RIGHT("00"&amp;HOUR(Sync!$AH990),2)&amp;RIGHT("00"&amp;MINUTE(Sync!$AH990),2),IFERROR(RIGHT("00"&amp;VALUE(LEFT(Sync!$AH990,FIND(":",Sync!$AH990)-1)),2)&amp;RIGHT("00"&amp;VALUE(MID(Sync!$AH990,FIND(":",Sync!$AH990)+1,2)),2),"0000"))))</f>
        <v/>
      </c>
    </row>
    <row r="991">
      <c r="A991">
        <f>IF(OR(Calc!$E994="",Calc!$E994="نامعتبر",Calc!$G994="",Calc!$I994&lt;&gt;"خرید"),"",Calc!$G994)</f>
        <v/>
      </c>
      <c r="B991">
        <f>IF($A991="","",LEFT(Calc!$E994,4)&amp;MID(Calc!$E994,6,2)&amp;RIGHT(Calc!$E994,2)&amp;Calc!$R994&amp;"|"&amp;"1"&amp;RIGHT("00000"&amp;986,5))</f>
        <v/>
      </c>
      <c r="C991">
        <f>IF($B991="","",COUNTIFS(LdgPartyA,$A991,LdgKeyA,"&lt;"&amp;$B991)+COUNTIFS(LdgPartyB,$A991,LdgKeyB,"&lt;"&amp;$B991)+1)</f>
        <v/>
      </c>
      <c r="D991">
        <f>IF($C991="","",$A991&amp;"|"&amp;RIGHT("000000"&amp;$C991,6))</f>
        <v/>
      </c>
      <c r="F991">
        <f>IF(Sync!$AJ991="","",Sync!$AJ991)</f>
        <v/>
      </c>
      <c r="G991">
        <f>IF($F991="","",IF(Sync!$AG991="","",IF(ISNUMBER(Sync!$AG991),IF(AND(Sync!$AG991&gt;=10000101,Sync!$AG991&lt;=99991231),INT(Sync!$AG991/10000),""),IFERROR(VALUE(TRIM(LEFT(Sync!$AG991,FIND("/",Sync!$AG991)-1))),""))))</f>
        <v/>
      </c>
      <c r="H991">
        <f>IF(OR($F991="",$G991=""),"",IF(ISNUMBER(Sync!$AG991),INT(MOD(Sync!$AG991,10000)/100),IFERROR(VALUE(TRIM(LEFT(MID(Sync!$AG991,FIND("/",Sync!$AG991)+1,20),FIND("/",MID(Sync!$AG991,FIND("/",Sync!$AG991)+1,20))-1))),"")))</f>
        <v/>
      </c>
      <c r="I991">
        <f>IF(OR($F991="",$G991=""),"",IF(ISNUMBER(Sync!$AG991),MOD(Sync!$AG991,100),IFERROR(VALUE(TRIM(MID(MID(Sync!$AG991,FIND("/",Sync!$AG991)+1,20),FIND("/",MID(Sync!$AG991,FIND("/",Sync!$AG991)+1,20))+1,20))),"")))</f>
        <v/>
      </c>
      <c r="J991">
        <f>IF($F991="","",IF(OR($G991="",$H991="",$I991="",$G991&lt;1300,$G991&gt;1500,$H991&lt;1,$H991&gt;12,$I991&lt;1,$I991&gt;31),"نامعتبر",RIGHT("0000"&amp;$G991,4)&amp;"/"&amp;RIGHT("00"&amp;$H991,2)&amp;"/"&amp;RIGHT("00"&amp;$I991,2)))</f>
        <v/>
      </c>
      <c r="K991">
        <f>IF(OR($F991="",$J991="",$J991="نامعتبر"),"",LEFT($J991,4)&amp;MID($J991,6,2)&amp;RIGHT($J991,2)&amp;$N991&amp;"|"&amp;"2"&amp;RIGHT("00000"&amp;986,5))</f>
        <v/>
      </c>
      <c r="L991">
        <f>IF($K991="","",COUNTIFS(LdgPartyA,$F991,LdgKeyA,"&lt;"&amp;$K991)+COUNTIFS(LdgPartyB,$F991,LdgKeyB,"&lt;"&amp;$K991)+1)</f>
        <v/>
      </c>
      <c r="M991">
        <f>IF($L991="","",$F991&amp;"|"&amp;RIGHT("000000"&amp;$L991,6))</f>
        <v/>
      </c>
      <c r="N991">
        <f>IF($F991="","",IF(Sync!$AH991="","0000",IF(AND(ISNUMBER(Sync!$AH991),Sync!$AH991&gt;=0,Sync!$AH991&lt;1),RIGHT("00"&amp;HOUR(Sync!$AH991),2)&amp;RIGHT("00"&amp;MINUTE(Sync!$AH991),2),IFERROR(RIGHT("00"&amp;VALUE(LEFT(Sync!$AH991,FIND(":",Sync!$AH991)-1)),2)&amp;RIGHT("00"&amp;VALUE(MID(Sync!$AH991,FIND(":",Sync!$AH991)+1,2)),2),"0000"))))</f>
        <v/>
      </c>
    </row>
    <row r="992">
      <c r="A992">
        <f>IF(OR(Calc!$E995="",Calc!$E995="نامعتبر",Calc!$G995="",Calc!$I995&lt;&gt;"خرید"),"",Calc!$G995)</f>
        <v/>
      </c>
      <c r="B992">
        <f>IF($A992="","",LEFT(Calc!$E995,4)&amp;MID(Calc!$E995,6,2)&amp;RIGHT(Calc!$E995,2)&amp;Calc!$R995&amp;"|"&amp;"1"&amp;RIGHT("00000"&amp;987,5))</f>
        <v/>
      </c>
      <c r="C992">
        <f>IF($B992="","",COUNTIFS(LdgPartyA,$A992,LdgKeyA,"&lt;"&amp;$B992)+COUNTIFS(LdgPartyB,$A992,LdgKeyB,"&lt;"&amp;$B992)+1)</f>
        <v/>
      </c>
      <c r="D992">
        <f>IF($C992="","",$A992&amp;"|"&amp;RIGHT("000000"&amp;$C992,6))</f>
        <v/>
      </c>
      <c r="F992">
        <f>IF(Sync!$AJ992="","",Sync!$AJ992)</f>
        <v/>
      </c>
      <c r="G992">
        <f>IF($F992="","",IF(Sync!$AG992="","",IF(ISNUMBER(Sync!$AG992),IF(AND(Sync!$AG992&gt;=10000101,Sync!$AG992&lt;=99991231),INT(Sync!$AG992/10000),""),IFERROR(VALUE(TRIM(LEFT(Sync!$AG992,FIND("/",Sync!$AG992)-1))),""))))</f>
        <v/>
      </c>
      <c r="H992">
        <f>IF(OR($F992="",$G992=""),"",IF(ISNUMBER(Sync!$AG992),INT(MOD(Sync!$AG992,10000)/100),IFERROR(VALUE(TRIM(LEFT(MID(Sync!$AG992,FIND("/",Sync!$AG992)+1,20),FIND("/",MID(Sync!$AG992,FIND("/",Sync!$AG992)+1,20))-1))),"")))</f>
        <v/>
      </c>
      <c r="I992">
        <f>IF(OR($F992="",$G992=""),"",IF(ISNUMBER(Sync!$AG992),MOD(Sync!$AG992,100),IFERROR(VALUE(TRIM(MID(MID(Sync!$AG992,FIND("/",Sync!$AG992)+1,20),FIND("/",MID(Sync!$AG992,FIND("/",Sync!$AG992)+1,20))+1,20))),"")))</f>
        <v/>
      </c>
      <c r="J992">
        <f>IF($F992="","",IF(OR($G992="",$H992="",$I992="",$G992&lt;1300,$G992&gt;1500,$H992&lt;1,$H992&gt;12,$I992&lt;1,$I992&gt;31),"نامعتبر",RIGHT("0000"&amp;$G992,4)&amp;"/"&amp;RIGHT("00"&amp;$H992,2)&amp;"/"&amp;RIGHT("00"&amp;$I992,2)))</f>
        <v/>
      </c>
      <c r="K992">
        <f>IF(OR($F992="",$J992="",$J992="نامعتبر"),"",LEFT($J992,4)&amp;MID($J992,6,2)&amp;RIGHT($J992,2)&amp;$N992&amp;"|"&amp;"2"&amp;RIGHT("00000"&amp;987,5))</f>
        <v/>
      </c>
      <c r="L992">
        <f>IF($K992="","",COUNTIFS(LdgPartyA,$F992,LdgKeyA,"&lt;"&amp;$K992)+COUNTIFS(LdgPartyB,$F992,LdgKeyB,"&lt;"&amp;$K992)+1)</f>
        <v/>
      </c>
      <c r="M992">
        <f>IF($L992="","",$F992&amp;"|"&amp;RIGHT("000000"&amp;$L992,6))</f>
        <v/>
      </c>
      <c r="N992">
        <f>IF($F992="","",IF(Sync!$AH992="","0000",IF(AND(ISNUMBER(Sync!$AH992),Sync!$AH992&gt;=0,Sync!$AH992&lt;1),RIGHT("00"&amp;HOUR(Sync!$AH992),2)&amp;RIGHT("00"&amp;MINUTE(Sync!$AH992),2),IFERROR(RIGHT("00"&amp;VALUE(LEFT(Sync!$AH992,FIND(":",Sync!$AH992)-1)),2)&amp;RIGHT("00"&amp;VALUE(MID(Sync!$AH992,FIND(":",Sync!$AH992)+1,2)),2),"0000"))))</f>
        <v/>
      </c>
    </row>
    <row r="993">
      <c r="A993">
        <f>IF(OR(Calc!$E996="",Calc!$E996="نامعتبر",Calc!$G996="",Calc!$I996&lt;&gt;"خرید"),"",Calc!$G996)</f>
        <v/>
      </c>
      <c r="B993">
        <f>IF($A993="","",LEFT(Calc!$E996,4)&amp;MID(Calc!$E996,6,2)&amp;RIGHT(Calc!$E996,2)&amp;Calc!$R996&amp;"|"&amp;"1"&amp;RIGHT("00000"&amp;988,5))</f>
        <v/>
      </c>
      <c r="C993">
        <f>IF($B993="","",COUNTIFS(LdgPartyA,$A993,LdgKeyA,"&lt;"&amp;$B993)+COUNTIFS(LdgPartyB,$A993,LdgKeyB,"&lt;"&amp;$B993)+1)</f>
        <v/>
      </c>
      <c r="D993">
        <f>IF($C993="","",$A993&amp;"|"&amp;RIGHT("000000"&amp;$C993,6))</f>
        <v/>
      </c>
      <c r="F993">
        <f>IF(Sync!$AJ993="","",Sync!$AJ993)</f>
        <v/>
      </c>
      <c r="G993">
        <f>IF($F993="","",IF(Sync!$AG993="","",IF(ISNUMBER(Sync!$AG993),IF(AND(Sync!$AG993&gt;=10000101,Sync!$AG993&lt;=99991231),INT(Sync!$AG993/10000),""),IFERROR(VALUE(TRIM(LEFT(Sync!$AG993,FIND("/",Sync!$AG993)-1))),""))))</f>
        <v/>
      </c>
      <c r="H993">
        <f>IF(OR($F993="",$G993=""),"",IF(ISNUMBER(Sync!$AG993),INT(MOD(Sync!$AG993,10000)/100),IFERROR(VALUE(TRIM(LEFT(MID(Sync!$AG993,FIND("/",Sync!$AG993)+1,20),FIND("/",MID(Sync!$AG993,FIND("/",Sync!$AG993)+1,20))-1))),"")))</f>
        <v/>
      </c>
      <c r="I993">
        <f>IF(OR($F993="",$G993=""),"",IF(ISNUMBER(Sync!$AG993),MOD(Sync!$AG993,100),IFERROR(VALUE(TRIM(MID(MID(Sync!$AG993,FIND("/",Sync!$AG993)+1,20),FIND("/",MID(Sync!$AG993,FIND("/",Sync!$AG993)+1,20))+1,20))),"")))</f>
        <v/>
      </c>
      <c r="J993">
        <f>IF($F993="","",IF(OR($G993="",$H993="",$I993="",$G993&lt;1300,$G993&gt;1500,$H993&lt;1,$H993&gt;12,$I993&lt;1,$I993&gt;31),"نامعتبر",RIGHT("0000"&amp;$G993,4)&amp;"/"&amp;RIGHT("00"&amp;$H993,2)&amp;"/"&amp;RIGHT("00"&amp;$I993,2)))</f>
        <v/>
      </c>
      <c r="K993">
        <f>IF(OR($F993="",$J993="",$J993="نامعتبر"),"",LEFT($J993,4)&amp;MID($J993,6,2)&amp;RIGHT($J993,2)&amp;$N993&amp;"|"&amp;"2"&amp;RIGHT("00000"&amp;988,5))</f>
        <v/>
      </c>
      <c r="L993">
        <f>IF($K993="","",COUNTIFS(LdgPartyA,$F993,LdgKeyA,"&lt;"&amp;$K993)+COUNTIFS(LdgPartyB,$F993,LdgKeyB,"&lt;"&amp;$K993)+1)</f>
        <v/>
      </c>
      <c r="M993">
        <f>IF($L993="","",$F993&amp;"|"&amp;RIGHT("000000"&amp;$L993,6))</f>
        <v/>
      </c>
      <c r="N993">
        <f>IF($F993="","",IF(Sync!$AH993="","0000",IF(AND(ISNUMBER(Sync!$AH993),Sync!$AH993&gt;=0,Sync!$AH993&lt;1),RIGHT("00"&amp;HOUR(Sync!$AH993),2)&amp;RIGHT("00"&amp;MINUTE(Sync!$AH993),2),IFERROR(RIGHT("00"&amp;VALUE(LEFT(Sync!$AH993,FIND(":",Sync!$AH993)-1)),2)&amp;RIGHT("00"&amp;VALUE(MID(Sync!$AH993,FIND(":",Sync!$AH993)+1,2)),2),"0000"))))</f>
        <v/>
      </c>
    </row>
    <row r="994">
      <c r="A994">
        <f>IF(OR(Calc!$E997="",Calc!$E997="نامعتبر",Calc!$G997="",Calc!$I997&lt;&gt;"خرید"),"",Calc!$G997)</f>
        <v/>
      </c>
      <c r="B994">
        <f>IF($A994="","",LEFT(Calc!$E997,4)&amp;MID(Calc!$E997,6,2)&amp;RIGHT(Calc!$E997,2)&amp;Calc!$R997&amp;"|"&amp;"1"&amp;RIGHT("00000"&amp;989,5))</f>
        <v/>
      </c>
      <c r="C994">
        <f>IF($B994="","",COUNTIFS(LdgPartyA,$A994,LdgKeyA,"&lt;"&amp;$B994)+COUNTIFS(LdgPartyB,$A994,LdgKeyB,"&lt;"&amp;$B994)+1)</f>
        <v/>
      </c>
      <c r="D994">
        <f>IF($C994="","",$A994&amp;"|"&amp;RIGHT("000000"&amp;$C994,6))</f>
        <v/>
      </c>
      <c r="F994">
        <f>IF(Sync!$AJ994="","",Sync!$AJ994)</f>
        <v/>
      </c>
      <c r="G994">
        <f>IF($F994="","",IF(Sync!$AG994="","",IF(ISNUMBER(Sync!$AG994),IF(AND(Sync!$AG994&gt;=10000101,Sync!$AG994&lt;=99991231),INT(Sync!$AG994/10000),""),IFERROR(VALUE(TRIM(LEFT(Sync!$AG994,FIND("/",Sync!$AG994)-1))),""))))</f>
        <v/>
      </c>
      <c r="H994">
        <f>IF(OR($F994="",$G994=""),"",IF(ISNUMBER(Sync!$AG994),INT(MOD(Sync!$AG994,10000)/100),IFERROR(VALUE(TRIM(LEFT(MID(Sync!$AG994,FIND("/",Sync!$AG994)+1,20),FIND("/",MID(Sync!$AG994,FIND("/",Sync!$AG994)+1,20))-1))),"")))</f>
        <v/>
      </c>
      <c r="I994">
        <f>IF(OR($F994="",$G994=""),"",IF(ISNUMBER(Sync!$AG994),MOD(Sync!$AG994,100),IFERROR(VALUE(TRIM(MID(MID(Sync!$AG994,FIND("/",Sync!$AG994)+1,20),FIND("/",MID(Sync!$AG994,FIND("/",Sync!$AG994)+1,20))+1,20))),"")))</f>
        <v/>
      </c>
      <c r="J994">
        <f>IF($F994="","",IF(OR($G994="",$H994="",$I994="",$G994&lt;1300,$G994&gt;1500,$H994&lt;1,$H994&gt;12,$I994&lt;1,$I994&gt;31),"نامعتبر",RIGHT("0000"&amp;$G994,4)&amp;"/"&amp;RIGHT("00"&amp;$H994,2)&amp;"/"&amp;RIGHT("00"&amp;$I994,2)))</f>
        <v/>
      </c>
      <c r="K994">
        <f>IF(OR($F994="",$J994="",$J994="نامعتبر"),"",LEFT($J994,4)&amp;MID($J994,6,2)&amp;RIGHT($J994,2)&amp;$N994&amp;"|"&amp;"2"&amp;RIGHT("00000"&amp;989,5))</f>
        <v/>
      </c>
      <c r="L994">
        <f>IF($K994="","",COUNTIFS(LdgPartyA,$F994,LdgKeyA,"&lt;"&amp;$K994)+COUNTIFS(LdgPartyB,$F994,LdgKeyB,"&lt;"&amp;$K994)+1)</f>
        <v/>
      </c>
      <c r="M994">
        <f>IF($L994="","",$F994&amp;"|"&amp;RIGHT("000000"&amp;$L994,6))</f>
        <v/>
      </c>
      <c r="N994">
        <f>IF($F994="","",IF(Sync!$AH994="","0000",IF(AND(ISNUMBER(Sync!$AH994),Sync!$AH994&gt;=0,Sync!$AH994&lt;1),RIGHT("00"&amp;HOUR(Sync!$AH994),2)&amp;RIGHT("00"&amp;MINUTE(Sync!$AH994),2),IFERROR(RIGHT("00"&amp;VALUE(LEFT(Sync!$AH994,FIND(":",Sync!$AH994)-1)),2)&amp;RIGHT("00"&amp;VALUE(MID(Sync!$AH994,FIND(":",Sync!$AH994)+1,2)),2),"0000"))))</f>
        <v/>
      </c>
    </row>
    <row r="995">
      <c r="A995">
        <f>IF(OR(Calc!$E998="",Calc!$E998="نامعتبر",Calc!$G998="",Calc!$I998&lt;&gt;"خرید"),"",Calc!$G998)</f>
        <v/>
      </c>
      <c r="B995">
        <f>IF($A995="","",LEFT(Calc!$E998,4)&amp;MID(Calc!$E998,6,2)&amp;RIGHT(Calc!$E998,2)&amp;Calc!$R998&amp;"|"&amp;"1"&amp;RIGHT("00000"&amp;990,5))</f>
        <v/>
      </c>
      <c r="C995">
        <f>IF($B995="","",COUNTIFS(LdgPartyA,$A995,LdgKeyA,"&lt;"&amp;$B995)+COUNTIFS(LdgPartyB,$A995,LdgKeyB,"&lt;"&amp;$B995)+1)</f>
        <v/>
      </c>
      <c r="D995">
        <f>IF($C995="","",$A995&amp;"|"&amp;RIGHT("000000"&amp;$C995,6))</f>
        <v/>
      </c>
      <c r="F995">
        <f>IF(Sync!$AJ995="","",Sync!$AJ995)</f>
        <v/>
      </c>
      <c r="G995">
        <f>IF($F995="","",IF(Sync!$AG995="","",IF(ISNUMBER(Sync!$AG995),IF(AND(Sync!$AG995&gt;=10000101,Sync!$AG995&lt;=99991231),INT(Sync!$AG995/10000),""),IFERROR(VALUE(TRIM(LEFT(Sync!$AG995,FIND("/",Sync!$AG995)-1))),""))))</f>
        <v/>
      </c>
      <c r="H995">
        <f>IF(OR($F995="",$G995=""),"",IF(ISNUMBER(Sync!$AG995),INT(MOD(Sync!$AG995,10000)/100),IFERROR(VALUE(TRIM(LEFT(MID(Sync!$AG995,FIND("/",Sync!$AG995)+1,20),FIND("/",MID(Sync!$AG995,FIND("/",Sync!$AG995)+1,20))-1))),"")))</f>
        <v/>
      </c>
      <c r="I995">
        <f>IF(OR($F995="",$G995=""),"",IF(ISNUMBER(Sync!$AG995),MOD(Sync!$AG995,100),IFERROR(VALUE(TRIM(MID(MID(Sync!$AG995,FIND("/",Sync!$AG995)+1,20),FIND("/",MID(Sync!$AG995,FIND("/",Sync!$AG995)+1,20))+1,20))),"")))</f>
        <v/>
      </c>
      <c r="J995">
        <f>IF($F995="","",IF(OR($G995="",$H995="",$I995="",$G995&lt;1300,$G995&gt;1500,$H995&lt;1,$H995&gt;12,$I995&lt;1,$I995&gt;31),"نامعتبر",RIGHT("0000"&amp;$G995,4)&amp;"/"&amp;RIGHT("00"&amp;$H995,2)&amp;"/"&amp;RIGHT("00"&amp;$I995,2)))</f>
        <v/>
      </c>
      <c r="K995">
        <f>IF(OR($F995="",$J995="",$J995="نامعتبر"),"",LEFT($J995,4)&amp;MID($J995,6,2)&amp;RIGHT($J995,2)&amp;$N995&amp;"|"&amp;"2"&amp;RIGHT("00000"&amp;990,5))</f>
        <v/>
      </c>
      <c r="L995">
        <f>IF($K995="","",COUNTIFS(LdgPartyA,$F995,LdgKeyA,"&lt;"&amp;$K995)+COUNTIFS(LdgPartyB,$F995,LdgKeyB,"&lt;"&amp;$K995)+1)</f>
        <v/>
      </c>
      <c r="M995">
        <f>IF($L995="","",$F995&amp;"|"&amp;RIGHT("000000"&amp;$L995,6))</f>
        <v/>
      </c>
      <c r="N995">
        <f>IF($F995="","",IF(Sync!$AH995="","0000",IF(AND(ISNUMBER(Sync!$AH995),Sync!$AH995&gt;=0,Sync!$AH995&lt;1),RIGHT("00"&amp;HOUR(Sync!$AH995),2)&amp;RIGHT("00"&amp;MINUTE(Sync!$AH995),2),IFERROR(RIGHT("00"&amp;VALUE(LEFT(Sync!$AH995,FIND(":",Sync!$AH995)-1)),2)&amp;RIGHT("00"&amp;VALUE(MID(Sync!$AH995,FIND(":",Sync!$AH995)+1,2)),2),"0000"))))</f>
        <v/>
      </c>
    </row>
    <row r="996">
      <c r="A996">
        <f>IF(OR(Calc!$E999="",Calc!$E999="نامعتبر",Calc!$G999="",Calc!$I999&lt;&gt;"خرید"),"",Calc!$G999)</f>
        <v/>
      </c>
      <c r="B996">
        <f>IF($A996="","",LEFT(Calc!$E999,4)&amp;MID(Calc!$E999,6,2)&amp;RIGHT(Calc!$E999,2)&amp;Calc!$R999&amp;"|"&amp;"1"&amp;RIGHT("00000"&amp;991,5))</f>
        <v/>
      </c>
      <c r="C996">
        <f>IF($B996="","",COUNTIFS(LdgPartyA,$A996,LdgKeyA,"&lt;"&amp;$B996)+COUNTIFS(LdgPartyB,$A996,LdgKeyB,"&lt;"&amp;$B996)+1)</f>
        <v/>
      </c>
      <c r="D996">
        <f>IF($C996="","",$A996&amp;"|"&amp;RIGHT("000000"&amp;$C996,6))</f>
        <v/>
      </c>
      <c r="F996">
        <f>IF(Sync!$AJ996="","",Sync!$AJ996)</f>
        <v/>
      </c>
      <c r="G996">
        <f>IF($F996="","",IF(Sync!$AG996="","",IF(ISNUMBER(Sync!$AG996),IF(AND(Sync!$AG996&gt;=10000101,Sync!$AG996&lt;=99991231),INT(Sync!$AG996/10000),""),IFERROR(VALUE(TRIM(LEFT(Sync!$AG996,FIND("/",Sync!$AG996)-1))),""))))</f>
        <v/>
      </c>
      <c r="H996">
        <f>IF(OR($F996="",$G996=""),"",IF(ISNUMBER(Sync!$AG996),INT(MOD(Sync!$AG996,10000)/100),IFERROR(VALUE(TRIM(LEFT(MID(Sync!$AG996,FIND("/",Sync!$AG996)+1,20),FIND("/",MID(Sync!$AG996,FIND("/",Sync!$AG996)+1,20))-1))),"")))</f>
        <v/>
      </c>
      <c r="I996">
        <f>IF(OR($F996="",$G996=""),"",IF(ISNUMBER(Sync!$AG996),MOD(Sync!$AG996,100),IFERROR(VALUE(TRIM(MID(MID(Sync!$AG996,FIND("/",Sync!$AG996)+1,20),FIND("/",MID(Sync!$AG996,FIND("/",Sync!$AG996)+1,20))+1,20))),"")))</f>
        <v/>
      </c>
      <c r="J996">
        <f>IF($F996="","",IF(OR($G996="",$H996="",$I996="",$G996&lt;1300,$G996&gt;1500,$H996&lt;1,$H996&gt;12,$I996&lt;1,$I996&gt;31),"نامعتبر",RIGHT("0000"&amp;$G996,4)&amp;"/"&amp;RIGHT("00"&amp;$H996,2)&amp;"/"&amp;RIGHT("00"&amp;$I996,2)))</f>
        <v/>
      </c>
      <c r="K996">
        <f>IF(OR($F996="",$J996="",$J996="نامعتبر"),"",LEFT($J996,4)&amp;MID($J996,6,2)&amp;RIGHT($J996,2)&amp;$N996&amp;"|"&amp;"2"&amp;RIGHT("00000"&amp;991,5))</f>
        <v/>
      </c>
      <c r="L996">
        <f>IF($K996="","",COUNTIFS(LdgPartyA,$F996,LdgKeyA,"&lt;"&amp;$K996)+COUNTIFS(LdgPartyB,$F996,LdgKeyB,"&lt;"&amp;$K996)+1)</f>
        <v/>
      </c>
      <c r="M996">
        <f>IF($L996="","",$F996&amp;"|"&amp;RIGHT("000000"&amp;$L996,6))</f>
        <v/>
      </c>
      <c r="N996">
        <f>IF($F996="","",IF(Sync!$AH996="","0000",IF(AND(ISNUMBER(Sync!$AH996),Sync!$AH996&gt;=0,Sync!$AH996&lt;1),RIGHT("00"&amp;HOUR(Sync!$AH996),2)&amp;RIGHT("00"&amp;MINUTE(Sync!$AH996),2),IFERROR(RIGHT("00"&amp;VALUE(LEFT(Sync!$AH996,FIND(":",Sync!$AH996)-1)),2)&amp;RIGHT("00"&amp;VALUE(MID(Sync!$AH996,FIND(":",Sync!$AH996)+1,2)),2),"0000"))))</f>
        <v/>
      </c>
    </row>
    <row r="997">
      <c r="A997">
        <f>IF(OR(Calc!$E1000="",Calc!$E1000="نامعتبر",Calc!$G1000="",Calc!$I1000&lt;&gt;"خرید"),"",Calc!$G1000)</f>
        <v/>
      </c>
      <c r="B997">
        <f>IF($A997="","",LEFT(Calc!$E1000,4)&amp;MID(Calc!$E1000,6,2)&amp;RIGHT(Calc!$E1000,2)&amp;Calc!$R1000&amp;"|"&amp;"1"&amp;RIGHT("00000"&amp;992,5))</f>
        <v/>
      </c>
      <c r="C997">
        <f>IF($B997="","",COUNTIFS(LdgPartyA,$A997,LdgKeyA,"&lt;"&amp;$B997)+COUNTIFS(LdgPartyB,$A997,LdgKeyB,"&lt;"&amp;$B997)+1)</f>
        <v/>
      </c>
      <c r="D997">
        <f>IF($C997="","",$A997&amp;"|"&amp;RIGHT("000000"&amp;$C997,6))</f>
        <v/>
      </c>
      <c r="F997">
        <f>IF(Sync!$AJ997="","",Sync!$AJ997)</f>
        <v/>
      </c>
      <c r="G997">
        <f>IF($F997="","",IF(Sync!$AG997="","",IF(ISNUMBER(Sync!$AG997),IF(AND(Sync!$AG997&gt;=10000101,Sync!$AG997&lt;=99991231),INT(Sync!$AG997/10000),""),IFERROR(VALUE(TRIM(LEFT(Sync!$AG997,FIND("/",Sync!$AG997)-1))),""))))</f>
        <v/>
      </c>
      <c r="H997">
        <f>IF(OR($F997="",$G997=""),"",IF(ISNUMBER(Sync!$AG997),INT(MOD(Sync!$AG997,10000)/100),IFERROR(VALUE(TRIM(LEFT(MID(Sync!$AG997,FIND("/",Sync!$AG997)+1,20),FIND("/",MID(Sync!$AG997,FIND("/",Sync!$AG997)+1,20))-1))),"")))</f>
        <v/>
      </c>
      <c r="I997">
        <f>IF(OR($F997="",$G997=""),"",IF(ISNUMBER(Sync!$AG997),MOD(Sync!$AG997,100),IFERROR(VALUE(TRIM(MID(MID(Sync!$AG997,FIND("/",Sync!$AG997)+1,20),FIND("/",MID(Sync!$AG997,FIND("/",Sync!$AG997)+1,20))+1,20))),"")))</f>
        <v/>
      </c>
      <c r="J997">
        <f>IF($F997="","",IF(OR($G997="",$H997="",$I997="",$G997&lt;1300,$G997&gt;1500,$H997&lt;1,$H997&gt;12,$I997&lt;1,$I997&gt;31),"نامعتبر",RIGHT("0000"&amp;$G997,4)&amp;"/"&amp;RIGHT("00"&amp;$H997,2)&amp;"/"&amp;RIGHT("00"&amp;$I997,2)))</f>
        <v/>
      </c>
      <c r="K997">
        <f>IF(OR($F997="",$J997="",$J997="نامعتبر"),"",LEFT($J997,4)&amp;MID($J997,6,2)&amp;RIGHT($J997,2)&amp;$N997&amp;"|"&amp;"2"&amp;RIGHT("00000"&amp;992,5))</f>
        <v/>
      </c>
      <c r="L997">
        <f>IF($K997="","",COUNTIFS(LdgPartyA,$F997,LdgKeyA,"&lt;"&amp;$K997)+COUNTIFS(LdgPartyB,$F997,LdgKeyB,"&lt;"&amp;$K997)+1)</f>
        <v/>
      </c>
      <c r="M997">
        <f>IF($L997="","",$F997&amp;"|"&amp;RIGHT("000000"&amp;$L997,6))</f>
        <v/>
      </c>
      <c r="N997">
        <f>IF($F997="","",IF(Sync!$AH997="","0000",IF(AND(ISNUMBER(Sync!$AH997),Sync!$AH997&gt;=0,Sync!$AH997&lt;1),RIGHT("00"&amp;HOUR(Sync!$AH997),2)&amp;RIGHT("00"&amp;MINUTE(Sync!$AH997),2),IFERROR(RIGHT("00"&amp;VALUE(LEFT(Sync!$AH997,FIND(":",Sync!$AH997)-1)),2)&amp;RIGHT("00"&amp;VALUE(MID(Sync!$AH997,FIND(":",Sync!$AH997)+1,2)),2),"0000"))))</f>
        <v/>
      </c>
    </row>
    <row r="998">
      <c r="A998">
        <f>IF(OR(Calc!$E1001="",Calc!$E1001="نامعتبر",Calc!$G1001="",Calc!$I1001&lt;&gt;"خرید"),"",Calc!$G1001)</f>
        <v/>
      </c>
      <c r="B998">
        <f>IF($A998="","",LEFT(Calc!$E1001,4)&amp;MID(Calc!$E1001,6,2)&amp;RIGHT(Calc!$E1001,2)&amp;Calc!$R1001&amp;"|"&amp;"1"&amp;RIGHT("00000"&amp;993,5))</f>
        <v/>
      </c>
      <c r="C998">
        <f>IF($B998="","",COUNTIFS(LdgPartyA,$A998,LdgKeyA,"&lt;"&amp;$B998)+COUNTIFS(LdgPartyB,$A998,LdgKeyB,"&lt;"&amp;$B998)+1)</f>
        <v/>
      </c>
      <c r="D998">
        <f>IF($C998="","",$A998&amp;"|"&amp;RIGHT("000000"&amp;$C998,6))</f>
        <v/>
      </c>
      <c r="F998">
        <f>IF(Sync!$AJ998="","",Sync!$AJ998)</f>
        <v/>
      </c>
      <c r="G998">
        <f>IF($F998="","",IF(Sync!$AG998="","",IF(ISNUMBER(Sync!$AG998),IF(AND(Sync!$AG998&gt;=10000101,Sync!$AG998&lt;=99991231),INT(Sync!$AG998/10000),""),IFERROR(VALUE(TRIM(LEFT(Sync!$AG998,FIND("/",Sync!$AG998)-1))),""))))</f>
        <v/>
      </c>
      <c r="H998">
        <f>IF(OR($F998="",$G998=""),"",IF(ISNUMBER(Sync!$AG998),INT(MOD(Sync!$AG998,10000)/100),IFERROR(VALUE(TRIM(LEFT(MID(Sync!$AG998,FIND("/",Sync!$AG998)+1,20),FIND("/",MID(Sync!$AG998,FIND("/",Sync!$AG998)+1,20))-1))),"")))</f>
        <v/>
      </c>
      <c r="I998">
        <f>IF(OR($F998="",$G998=""),"",IF(ISNUMBER(Sync!$AG998),MOD(Sync!$AG998,100),IFERROR(VALUE(TRIM(MID(MID(Sync!$AG998,FIND("/",Sync!$AG998)+1,20),FIND("/",MID(Sync!$AG998,FIND("/",Sync!$AG998)+1,20))+1,20))),"")))</f>
        <v/>
      </c>
      <c r="J998">
        <f>IF($F998="","",IF(OR($G998="",$H998="",$I998="",$G998&lt;1300,$G998&gt;1500,$H998&lt;1,$H998&gt;12,$I998&lt;1,$I998&gt;31),"نامعتبر",RIGHT("0000"&amp;$G998,4)&amp;"/"&amp;RIGHT("00"&amp;$H998,2)&amp;"/"&amp;RIGHT("00"&amp;$I998,2)))</f>
        <v/>
      </c>
      <c r="K998">
        <f>IF(OR($F998="",$J998="",$J998="نامعتبر"),"",LEFT($J998,4)&amp;MID($J998,6,2)&amp;RIGHT($J998,2)&amp;$N998&amp;"|"&amp;"2"&amp;RIGHT("00000"&amp;993,5))</f>
        <v/>
      </c>
      <c r="L998">
        <f>IF($K998="","",COUNTIFS(LdgPartyA,$F998,LdgKeyA,"&lt;"&amp;$K998)+COUNTIFS(LdgPartyB,$F998,LdgKeyB,"&lt;"&amp;$K998)+1)</f>
        <v/>
      </c>
      <c r="M998">
        <f>IF($L998="","",$F998&amp;"|"&amp;RIGHT("000000"&amp;$L998,6))</f>
        <v/>
      </c>
      <c r="N998">
        <f>IF($F998="","",IF(Sync!$AH998="","0000",IF(AND(ISNUMBER(Sync!$AH998),Sync!$AH998&gt;=0,Sync!$AH998&lt;1),RIGHT("00"&amp;HOUR(Sync!$AH998),2)&amp;RIGHT("00"&amp;MINUTE(Sync!$AH998),2),IFERROR(RIGHT("00"&amp;VALUE(LEFT(Sync!$AH998,FIND(":",Sync!$AH998)-1)),2)&amp;RIGHT("00"&amp;VALUE(MID(Sync!$AH998,FIND(":",Sync!$AH998)+1,2)),2),"0000"))))</f>
        <v/>
      </c>
    </row>
    <row r="999">
      <c r="A999">
        <f>IF(OR(Calc!$E1002="",Calc!$E1002="نامعتبر",Calc!$G1002="",Calc!$I1002&lt;&gt;"خرید"),"",Calc!$G1002)</f>
        <v/>
      </c>
      <c r="B999">
        <f>IF($A999="","",LEFT(Calc!$E1002,4)&amp;MID(Calc!$E1002,6,2)&amp;RIGHT(Calc!$E1002,2)&amp;Calc!$R1002&amp;"|"&amp;"1"&amp;RIGHT("00000"&amp;994,5))</f>
        <v/>
      </c>
      <c r="C999">
        <f>IF($B999="","",COUNTIFS(LdgPartyA,$A999,LdgKeyA,"&lt;"&amp;$B999)+COUNTIFS(LdgPartyB,$A999,LdgKeyB,"&lt;"&amp;$B999)+1)</f>
        <v/>
      </c>
      <c r="D999">
        <f>IF($C999="","",$A999&amp;"|"&amp;RIGHT("000000"&amp;$C999,6))</f>
        <v/>
      </c>
      <c r="F999">
        <f>IF(Sync!$AJ999="","",Sync!$AJ999)</f>
        <v/>
      </c>
      <c r="G999">
        <f>IF($F999="","",IF(Sync!$AG999="","",IF(ISNUMBER(Sync!$AG999),IF(AND(Sync!$AG999&gt;=10000101,Sync!$AG999&lt;=99991231),INT(Sync!$AG999/10000),""),IFERROR(VALUE(TRIM(LEFT(Sync!$AG999,FIND("/",Sync!$AG999)-1))),""))))</f>
        <v/>
      </c>
      <c r="H999">
        <f>IF(OR($F999="",$G999=""),"",IF(ISNUMBER(Sync!$AG999),INT(MOD(Sync!$AG999,10000)/100),IFERROR(VALUE(TRIM(LEFT(MID(Sync!$AG999,FIND("/",Sync!$AG999)+1,20),FIND("/",MID(Sync!$AG999,FIND("/",Sync!$AG999)+1,20))-1))),"")))</f>
        <v/>
      </c>
      <c r="I999">
        <f>IF(OR($F999="",$G999=""),"",IF(ISNUMBER(Sync!$AG999),MOD(Sync!$AG999,100),IFERROR(VALUE(TRIM(MID(MID(Sync!$AG999,FIND("/",Sync!$AG999)+1,20),FIND("/",MID(Sync!$AG999,FIND("/",Sync!$AG999)+1,20))+1,20))),"")))</f>
        <v/>
      </c>
      <c r="J999">
        <f>IF($F999="","",IF(OR($G999="",$H999="",$I999="",$G999&lt;1300,$G999&gt;1500,$H999&lt;1,$H999&gt;12,$I999&lt;1,$I999&gt;31),"نامعتبر",RIGHT("0000"&amp;$G999,4)&amp;"/"&amp;RIGHT("00"&amp;$H999,2)&amp;"/"&amp;RIGHT("00"&amp;$I999,2)))</f>
        <v/>
      </c>
      <c r="K999">
        <f>IF(OR($F999="",$J999="",$J999="نامعتبر"),"",LEFT($J999,4)&amp;MID($J999,6,2)&amp;RIGHT($J999,2)&amp;$N999&amp;"|"&amp;"2"&amp;RIGHT("00000"&amp;994,5))</f>
        <v/>
      </c>
      <c r="L999">
        <f>IF($K999="","",COUNTIFS(LdgPartyA,$F999,LdgKeyA,"&lt;"&amp;$K999)+COUNTIFS(LdgPartyB,$F999,LdgKeyB,"&lt;"&amp;$K999)+1)</f>
        <v/>
      </c>
      <c r="M999">
        <f>IF($L999="","",$F999&amp;"|"&amp;RIGHT("000000"&amp;$L999,6))</f>
        <v/>
      </c>
      <c r="N999">
        <f>IF($F999="","",IF(Sync!$AH999="","0000",IF(AND(ISNUMBER(Sync!$AH999),Sync!$AH999&gt;=0,Sync!$AH999&lt;1),RIGHT("00"&amp;HOUR(Sync!$AH999),2)&amp;RIGHT("00"&amp;MINUTE(Sync!$AH999),2),IFERROR(RIGHT("00"&amp;VALUE(LEFT(Sync!$AH999,FIND(":",Sync!$AH999)-1)),2)&amp;RIGHT("00"&amp;VALUE(MID(Sync!$AH999,FIND(":",Sync!$AH999)+1,2)),2),"0000"))))</f>
        <v/>
      </c>
    </row>
    <row r="1000">
      <c r="A1000">
        <f>IF(OR(Calc!$E1003="",Calc!$E1003="نامعتبر",Calc!$G1003="",Calc!$I1003&lt;&gt;"خرید"),"",Calc!$G1003)</f>
        <v/>
      </c>
      <c r="B1000">
        <f>IF($A1000="","",LEFT(Calc!$E1003,4)&amp;MID(Calc!$E1003,6,2)&amp;RIGHT(Calc!$E1003,2)&amp;Calc!$R1003&amp;"|"&amp;"1"&amp;RIGHT("00000"&amp;995,5))</f>
        <v/>
      </c>
      <c r="C1000">
        <f>IF($B1000="","",COUNTIFS(LdgPartyA,$A1000,LdgKeyA,"&lt;"&amp;$B1000)+COUNTIFS(LdgPartyB,$A1000,LdgKeyB,"&lt;"&amp;$B1000)+1)</f>
        <v/>
      </c>
      <c r="D1000">
        <f>IF($C1000="","",$A1000&amp;"|"&amp;RIGHT("000000"&amp;$C1000,6))</f>
        <v/>
      </c>
      <c r="F1000">
        <f>IF(Sync!$AJ1000="","",Sync!$AJ1000)</f>
        <v/>
      </c>
      <c r="G1000">
        <f>IF($F1000="","",IF(Sync!$AG1000="","",IF(ISNUMBER(Sync!$AG1000),IF(AND(Sync!$AG1000&gt;=10000101,Sync!$AG1000&lt;=99991231),INT(Sync!$AG1000/10000),""),IFERROR(VALUE(TRIM(LEFT(Sync!$AG1000,FIND("/",Sync!$AG1000)-1))),""))))</f>
        <v/>
      </c>
      <c r="H1000">
        <f>IF(OR($F1000="",$G1000=""),"",IF(ISNUMBER(Sync!$AG1000),INT(MOD(Sync!$AG1000,10000)/100),IFERROR(VALUE(TRIM(LEFT(MID(Sync!$AG1000,FIND("/",Sync!$AG1000)+1,20),FIND("/",MID(Sync!$AG1000,FIND("/",Sync!$AG1000)+1,20))-1))),"")))</f>
        <v/>
      </c>
      <c r="I1000">
        <f>IF(OR($F1000="",$G1000=""),"",IF(ISNUMBER(Sync!$AG1000),MOD(Sync!$AG1000,100),IFERROR(VALUE(TRIM(MID(MID(Sync!$AG1000,FIND("/",Sync!$AG1000)+1,20),FIND("/",MID(Sync!$AG1000,FIND("/",Sync!$AG1000)+1,20))+1,20))),"")))</f>
        <v/>
      </c>
      <c r="J1000">
        <f>IF($F1000="","",IF(OR($G1000="",$H1000="",$I1000="",$G1000&lt;1300,$G1000&gt;1500,$H1000&lt;1,$H1000&gt;12,$I1000&lt;1,$I1000&gt;31),"نامعتبر",RIGHT("0000"&amp;$G1000,4)&amp;"/"&amp;RIGHT("00"&amp;$H1000,2)&amp;"/"&amp;RIGHT("00"&amp;$I1000,2)))</f>
        <v/>
      </c>
      <c r="K1000">
        <f>IF(OR($F1000="",$J1000="",$J1000="نامعتبر"),"",LEFT($J1000,4)&amp;MID($J1000,6,2)&amp;RIGHT($J1000,2)&amp;$N1000&amp;"|"&amp;"2"&amp;RIGHT("00000"&amp;995,5))</f>
        <v/>
      </c>
      <c r="L1000">
        <f>IF($K1000="","",COUNTIFS(LdgPartyA,$F1000,LdgKeyA,"&lt;"&amp;$K1000)+COUNTIFS(LdgPartyB,$F1000,LdgKeyB,"&lt;"&amp;$K1000)+1)</f>
        <v/>
      </c>
      <c r="M1000">
        <f>IF($L1000="","",$F1000&amp;"|"&amp;RIGHT("000000"&amp;$L1000,6))</f>
        <v/>
      </c>
      <c r="N1000">
        <f>IF($F1000="","",IF(Sync!$AH1000="","0000",IF(AND(ISNUMBER(Sync!$AH1000),Sync!$AH1000&gt;=0,Sync!$AH1000&lt;1),RIGHT("00"&amp;HOUR(Sync!$AH1000),2)&amp;RIGHT("00"&amp;MINUTE(Sync!$AH1000),2),IFERROR(RIGHT("00"&amp;VALUE(LEFT(Sync!$AH1000,FIND(":",Sync!$AH1000)-1)),2)&amp;RIGHT("00"&amp;VALUE(MID(Sync!$AH1000,FIND(":",Sync!$AH1000)+1,2)),2),"0000"))))</f>
        <v/>
      </c>
    </row>
    <row r="1001">
      <c r="A1001">
        <f>IF(OR(Calc!$E1004="",Calc!$E1004="نامعتبر",Calc!$G1004="",Calc!$I1004&lt;&gt;"خرید"),"",Calc!$G1004)</f>
        <v/>
      </c>
      <c r="B1001">
        <f>IF($A1001="","",LEFT(Calc!$E1004,4)&amp;MID(Calc!$E1004,6,2)&amp;RIGHT(Calc!$E1004,2)&amp;Calc!$R1004&amp;"|"&amp;"1"&amp;RIGHT("00000"&amp;996,5))</f>
        <v/>
      </c>
      <c r="C1001">
        <f>IF($B1001="","",COUNTIFS(LdgPartyA,$A1001,LdgKeyA,"&lt;"&amp;$B1001)+COUNTIFS(LdgPartyB,$A1001,LdgKeyB,"&lt;"&amp;$B1001)+1)</f>
        <v/>
      </c>
      <c r="D1001">
        <f>IF($C1001="","",$A1001&amp;"|"&amp;RIGHT("000000"&amp;$C1001,6))</f>
        <v/>
      </c>
      <c r="F1001">
        <f>IF(Sync!$AJ1001="","",Sync!$AJ1001)</f>
        <v/>
      </c>
      <c r="G1001">
        <f>IF($F1001="","",IF(Sync!$AG1001="","",IF(ISNUMBER(Sync!$AG1001),IF(AND(Sync!$AG1001&gt;=10000101,Sync!$AG1001&lt;=99991231),INT(Sync!$AG1001/10000),""),IFERROR(VALUE(TRIM(LEFT(Sync!$AG1001,FIND("/",Sync!$AG1001)-1))),""))))</f>
        <v/>
      </c>
      <c r="H1001">
        <f>IF(OR($F1001="",$G1001=""),"",IF(ISNUMBER(Sync!$AG1001),INT(MOD(Sync!$AG1001,10000)/100),IFERROR(VALUE(TRIM(LEFT(MID(Sync!$AG1001,FIND("/",Sync!$AG1001)+1,20),FIND("/",MID(Sync!$AG1001,FIND("/",Sync!$AG1001)+1,20))-1))),"")))</f>
        <v/>
      </c>
      <c r="I1001">
        <f>IF(OR($F1001="",$G1001=""),"",IF(ISNUMBER(Sync!$AG1001),MOD(Sync!$AG1001,100),IFERROR(VALUE(TRIM(MID(MID(Sync!$AG1001,FIND("/",Sync!$AG1001)+1,20),FIND("/",MID(Sync!$AG1001,FIND("/",Sync!$AG1001)+1,20))+1,20))),"")))</f>
        <v/>
      </c>
      <c r="J1001">
        <f>IF($F1001="","",IF(OR($G1001="",$H1001="",$I1001="",$G1001&lt;1300,$G1001&gt;1500,$H1001&lt;1,$H1001&gt;12,$I1001&lt;1,$I1001&gt;31),"نامعتبر",RIGHT("0000"&amp;$G1001,4)&amp;"/"&amp;RIGHT("00"&amp;$H1001,2)&amp;"/"&amp;RIGHT("00"&amp;$I1001,2)))</f>
        <v/>
      </c>
      <c r="K1001">
        <f>IF(OR($F1001="",$J1001="",$J1001="نامعتبر"),"",LEFT($J1001,4)&amp;MID($J1001,6,2)&amp;RIGHT($J1001,2)&amp;$N1001&amp;"|"&amp;"2"&amp;RIGHT("00000"&amp;996,5))</f>
        <v/>
      </c>
      <c r="L1001">
        <f>IF($K1001="","",COUNTIFS(LdgPartyA,$F1001,LdgKeyA,"&lt;"&amp;$K1001)+COUNTIFS(LdgPartyB,$F1001,LdgKeyB,"&lt;"&amp;$K1001)+1)</f>
        <v/>
      </c>
      <c r="M1001">
        <f>IF($L1001="","",$F1001&amp;"|"&amp;RIGHT("000000"&amp;$L1001,6))</f>
        <v/>
      </c>
      <c r="N1001">
        <f>IF($F1001="","",IF(Sync!$AH1001="","0000",IF(AND(ISNUMBER(Sync!$AH1001),Sync!$AH1001&gt;=0,Sync!$AH1001&lt;1),RIGHT("00"&amp;HOUR(Sync!$AH1001),2)&amp;RIGHT("00"&amp;MINUTE(Sync!$AH1001),2),IFERROR(RIGHT("00"&amp;VALUE(LEFT(Sync!$AH1001,FIND(":",Sync!$AH1001)-1)),2)&amp;RIGHT("00"&amp;VALUE(MID(Sync!$AH1001,FIND(":",Sync!$AH1001)+1,2)),2),"0000"))))</f>
        <v/>
      </c>
    </row>
    <row r="1002">
      <c r="A1002">
        <f>IF(OR(Calc!$E1005="",Calc!$E1005="نامعتبر",Calc!$G1005="",Calc!$I1005&lt;&gt;"خرید"),"",Calc!$G1005)</f>
        <v/>
      </c>
      <c r="B1002">
        <f>IF($A1002="","",LEFT(Calc!$E1005,4)&amp;MID(Calc!$E1005,6,2)&amp;RIGHT(Calc!$E1005,2)&amp;Calc!$R1005&amp;"|"&amp;"1"&amp;RIGHT("00000"&amp;997,5))</f>
        <v/>
      </c>
      <c r="C1002">
        <f>IF($B1002="","",COUNTIFS(LdgPartyA,$A1002,LdgKeyA,"&lt;"&amp;$B1002)+COUNTIFS(LdgPartyB,$A1002,LdgKeyB,"&lt;"&amp;$B1002)+1)</f>
        <v/>
      </c>
      <c r="D1002">
        <f>IF($C1002="","",$A1002&amp;"|"&amp;RIGHT("000000"&amp;$C1002,6))</f>
        <v/>
      </c>
      <c r="F1002">
        <f>IF(Sync!$AJ1002="","",Sync!$AJ1002)</f>
        <v/>
      </c>
      <c r="G1002">
        <f>IF($F1002="","",IF(Sync!$AG1002="","",IF(ISNUMBER(Sync!$AG1002),IF(AND(Sync!$AG1002&gt;=10000101,Sync!$AG1002&lt;=99991231),INT(Sync!$AG1002/10000),""),IFERROR(VALUE(TRIM(LEFT(Sync!$AG1002,FIND("/",Sync!$AG1002)-1))),""))))</f>
        <v/>
      </c>
      <c r="H1002">
        <f>IF(OR($F1002="",$G1002=""),"",IF(ISNUMBER(Sync!$AG1002),INT(MOD(Sync!$AG1002,10000)/100),IFERROR(VALUE(TRIM(LEFT(MID(Sync!$AG1002,FIND("/",Sync!$AG1002)+1,20),FIND("/",MID(Sync!$AG1002,FIND("/",Sync!$AG1002)+1,20))-1))),"")))</f>
        <v/>
      </c>
      <c r="I1002">
        <f>IF(OR($F1002="",$G1002=""),"",IF(ISNUMBER(Sync!$AG1002),MOD(Sync!$AG1002,100),IFERROR(VALUE(TRIM(MID(MID(Sync!$AG1002,FIND("/",Sync!$AG1002)+1,20),FIND("/",MID(Sync!$AG1002,FIND("/",Sync!$AG1002)+1,20))+1,20))),"")))</f>
        <v/>
      </c>
      <c r="J1002">
        <f>IF($F1002="","",IF(OR($G1002="",$H1002="",$I1002="",$G1002&lt;1300,$G1002&gt;1500,$H1002&lt;1,$H1002&gt;12,$I1002&lt;1,$I1002&gt;31),"نامعتبر",RIGHT("0000"&amp;$G1002,4)&amp;"/"&amp;RIGHT("00"&amp;$H1002,2)&amp;"/"&amp;RIGHT("00"&amp;$I1002,2)))</f>
        <v/>
      </c>
      <c r="K1002">
        <f>IF(OR($F1002="",$J1002="",$J1002="نامعتبر"),"",LEFT($J1002,4)&amp;MID($J1002,6,2)&amp;RIGHT($J1002,2)&amp;$N1002&amp;"|"&amp;"2"&amp;RIGHT("00000"&amp;997,5))</f>
        <v/>
      </c>
      <c r="L1002">
        <f>IF($K1002="","",COUNTIFS(LdgPartyA,$F1002,LdgKeyA,"&lt;"&amp;$K1002)+COUNTIFS(LdgPartyB,$F1002,LdgKeyB,"&lt;"&amp;$K1002)+1)</f>
        <v/>
      </c>
      <c r="M1002">
        <f>IF($L1002="","",$F1002&amp;"|"&amp;RIGHT("000000"&amp;$L1002,6))</f>
        <v/>
      </c>
      <c r="N1002">
        <f>IF($F1002="","",IF(Sync!$AH1002="","0000",IF(AND(ISNUMBER(Sync!$AH1002),Sync!$AH1002&gt;=0,Sync!$AH1002&lt;1),RIGHT("00"&amp;HOUR(Sync!$AH1002),2)&amp;RIGHT("00"&amp;MINUTE(Sync!$AH1002),2),IFERROR(RIGHT("00"&amp;VALUE(LEFT(Sync!$AH1002,FIND(":",Sync!$AH1002)-1)),2)&amp;RIGHT("00"&amp;VALUE(MID(Sync!$AH1002,FIND(":",Sync!$AH1002)+1,2)),2),"0000"))))</f>
        <v/>
      </c>
    </row>
    <row r="1003">
      <c r="A1003">
        <f>IF(OR(Calc!$E1006="",Calc!$E1006="نامعتبر",Calc!$G1006="",Calc!$I1006&lt;&gt;"خرید"),"",Calc!$G1006)</f>
        <v/>
      </c>
      <c r="B1003">
        <f>IF($A1003="","",LEFT(Calc!$E1006,4)&amp;MID(Calc!$E1006,6,2)&amp;RIGHT(Calc!$E1006,2)&amp;Calc!$R1006&amp;"|"&amp;"1"&amp;RIGHT("00000"&amp;998,5))</f>
        <v/>
      </c>
      <c r="C1003">
        <f>IF($B1003="","",COUNTIFS(LdgPartyA,$A1003,LdgKeyA,"&lt;"&amp;$B1003)+COUNTIFS(LdgPartyB,$A1003,LdgKeyB,"&lt;"&amp;$B1003)+1)</f>
        <v/>
      </c>
      <c r="D1003">
        <f>IF($C1003="","",$A1003&amp;"|"&amp;RIGHT("000000"&amp;$C1003,6))</f>
        <v/>
      </c>
      <c r="F1003">
        <f>IF(Sync!$AJ1003="","",Sync!$AJ1003)</f>
        <v/>
      </c>
      <c r="G1003">
        <f>IF($F1003="","",IF(Sync!$AG1003="","",IF(ISNUMBER(Sync!$AG1003),IF(AND(Sync!$AG1003&gt;=10000101,Sync!$AG1003&lt;=99991231),INT(Sync!$AG1003/10000),""),IFERROR(VALUE(TRIM(LEFT(Sync!$AG1003,FIND("/",Sync!$AG1003)-1))),""))))</f>
        <v/>
      </c>
      <c r="H1003">
        <f>IF(OR($F1003="",$G1003=""),"",IF(ISNUMBER(Sync!$AG1003),INT(MOD(Sync!$AG1003,10000)/100),IFERROR(VALUE(TRIM(LEFT(MID(Sync!$AG1003,FIND("/",Sync!$AG1003)+1,20),FIND("/",MID(Sync!$AG1003,FIND("/",Sync!$AG1003)+1,20))-1))),"")))</f>
        <v/>
      </c>
      <c r="I1003">
        <f>IF(OR($F1003="",$G1003=""),"",IF(ISNUMBER(Sync!$AG1003),MOD(Sync!$AG1003,100),IFERROR(VALUE(TRIM(MID(MID(Sync!$AG1003,FIND("/",Sync!$AG1003)+1,20),FIND("/",MID(Sync!$AG1003,FIND("/",Sync!$AG1003)+1,20))+1,20))),"")))</f>
        <v/>
      </c>
      <c r="J1003">
        <f>IF($F1003="","",IF(OR($G1003="",$H1003="",$I1003="",$G1003&lt;1300,$G1003&gt;1500,$H1003&lt;1,$H1003&gt;12,$I1003&lt;1,$I1003&gt;31),"نامعتبر",RIGHT("0000"&amp;$G1003,4)&amp;"/"&amp;RIGHT("00"&amp;$H1003,2)&amp;"/"&amp;RIGHT("00"&amp;$I1003,2)))</f>
        <v/>
      </c>
      <c r="K1003">
        <f>IF(OR($F1003="",$J1003="",$J1003="نامعتبر"),"",LEFT($J1003,4)&amp;MID($J1003,6,2)&amp;RIGHT($J1003,2)&amp;$N1003&amp;"|"&amp;"2"&amp;RIGHT("00000"&amp;998,5))</f>
        <v/>
      </c>
      <c r="L1003">
        <f>IF($K1003="","",COUNTIFS(LdgPartyA,$F1003,LdgKeyA,"&lt;"&amp;$K1003)+COUNTIFS(LdgPartyB,$F1003,LdgKeyB,"&lt;"&amp;$K1003)+1)</f>
        <v/>
      </c>
      <c r="M1003">
        <f>IF($L1003="","",$F1003&amp;"|"&amp;RIGHT("000000"&amp;$L1003,6))</f>
        <v/>
      </c>
      <c r="N1003">
        <f>IF($F1003="","",IF(Sync!$AH1003="","0000",IF(AND(ISNUMBER(Sync!$AH1003),Sync!$AH1003&gt;=0,Sync!$AH1003&lt;1),RIGHT("00"&amp;HOUR(Sync!$AH1003),2)&amp;RIGHT("00"&amp;MINUTE(Sync!$AH1003),2),IFERROR(RIGHT("00"&amp;VALUE(LEFT(Sync!$AH1003,FIND(":",Sync!$AH1003)-1)),2)&amp;RIGHT("00"&amp;VALUE(MID(Sync!$AH1003,FIND(":",Sync!$AH1003)+1,2)),2),"0000"))))</f>
        <v/>
      </c>
    </row>
    <row r="1004">
      <c r="A1004">
        <f>IF(OR(Calc!$E1007="",Calc!$E1007="نامعتبر",Calc!$G1007="",Calc!$I1007&lt;&gt;"خرید"),"",Calc!$G1007)</f>
        <v/>
      </c>
      <c r="B1004">
        <f>IF($A1004="","",LEFT(Calc!$E1007,4)&amp;MID(Calc!$E1007,6,2)&amp;RIGHT(Calc!$E1007,2)&amp;Calc!$R1007&amp;"|"&amp;"1"&amp;RIGHT("00000"&amp;999,5))</f>
        <v/>
      </c>
      <c r="C1004">
        <f>IF($B1004="","",COUNTIFS(LdgPartyA,$A1004,LdgKeyA,"&lt;"&amp;$B1004)+COUNTIFS(LdgPartyB,$A1004,LdgKeyB,"&lt;"&amp;$B1004)+1)</f>
        <v/>
      </c>
      <c r="D1004">
        <f>IF($C1004="","",$A1004&amp;"|"&amp;RIGHT("000000"&amp;$C1004,6))</f>
        <v/>
      </c>
      <c r="F1004">
        <f>IF(Sync!$AJ1004="","",Sync!$AJ1004)</f>
        <v/>
      </c>
      <c r="G1004">
        <f>IF($F1004="","",IF(Sync!$AG1004="","",IF(ISNUMBER(Sync!$AG1004),IF(AND(Sync!$AG1004&gt;=10000101,Sync!$AG1004&lt;=99991231),INT(Sync!$AG1004/10000),""),IFERROR(VALUE(TRIM(LEFT(Sync!$AG1004,FIND("/",Sync!$AG1004)-1))),""))))</f>
        <v/>
      </c>
      <c r="H1004">
        <f>IF(OR($F1004="",$G1004=""),"",IF(ISNUMBER(Sync!$AG1004),INT(MOD(Sync!$AG1004,10000)/100),IFERROR(VALUE(TRIM(LEFT(MID(Sync!$AG1004,FIND("/",Sync!$AG1004)+1,20),FIND("/",MID(Sync!$AG1004,FIND("/",Sync!$AG1004)+1,20))-1))),"")))</f>
        <v/>
      </c>
      <c r="I1004">
        <f>IF(OR($F1004="",$G1004=""),"",IF(ISNUMBER(Sync!$AG1004),MOD(Sync!$AG1004,100),IFERROR(VALUE(TRIM(MID(MID(Sync!$AG1004,FIND("/",Sync!$AG1004)+1,20),FIND("/",MID(Sync!$AG1004,FIND("/",Sync!$AG1004)+1,20))+1,20))),"")))</f>
        <v/>
      </c>
      <c r="J1004">
        <f>IF($F1004="","",IF(OR($G1004="",$H1004="",$I1004="",$G1004&lt;1300,$G1004&gt;1500,$H1004&lt;1,$H1004&gt;12,$I1004&lt;1,$I1004&gt;31),"نامعتبر",RIGHT("0000"&amp;$G1004,4)&amp;"/"&amp;RIGHT("00"&amp;$H1004,2)&amp;"/"&amp;RIGHT("00"&amp;$I1004,2)))</f>
        <v/>
      </c>
      <c r="K1004">
        <f>IF(OR($F1004="",$J1004="",$J1004="نامعتبر"),"",LEFT($J1004,4)&amp;MID($J1004,6,2)&amp;RIGHT($J1004,2)&amp;$N1004&amp;"|"&amp;"2"&amp;RIGHT("00000"&amp;999,5))</f>
        <v/>
      </c>
      <c r="L1004">
        <f>IF($K1004="","",COUNTIFS(LdgPartyA,$F1004,LdgKeyA,"&lt;"&amp;$K1004)+COUNTIFS(LdgPartyB,$F1004,LdgKeyB,"&lt;"&amp;$K1004)+1)</f>
        <v/>
      </c>
      <c r="M1004">
        <f>IF($L1004="","",$F1004&amp;"|"&amp;RIGHT("000000"&amp;$L1004,6))</f>
        <v/>
      </c>
      <c r="N1004">
        <f>IF($F1004="","",IF(Sync!$AH1004="","0000",IF(AND(ISNUMBER(Sync!$AH1004),Sync!$AH1004&gt;=0,Sync!$AH1004&lt;1),RIGHT("00"&amp;HOUR(Sync!$AH1004),2)&amp;RIGHT("00"&amp;MINUTE(Sync!$AH1004),2),IFERROR(RIGHT("00"&amp;VALUE(LEFT(Sync!$AH1004,FIND(":",Sync!$AH1004)-1)),2)&amp;RIGHT("00"&amp;VALUE(MID(Sync!$AH1004,FIND(":",Sync!$AH1004)+1,2)),2),"0000"))))</f>
        <v/>
      </c>
    </row>
    <row r="1005">
      <c r="A1005">
        <f>IF(OR(Calc!$E1008="",Calc!$E1008="نامعتبر",Calc!$G1008="",Calc!$I1008&lt;&gt;"خرید"),"",Calc!$G1008)</f>
        <v/>
      </c>
      <c r="B1005">
        <f>IF($A1005="","",LEFT(Calc!$E1008,4)&amp;MID(Calc!$E1008,6,2)&amp;RIGHT(Calc!$E1008,2)&amp;Calc!$R1008&amp;"|"&amp;"1"&amp;RIGHT("00000"&amp;1000,5))</f>
        <v/>
      </c>
      <c r="C1005">
        <f>IF($B1005="","",COUNTIFS(LdgPartyA,$A1005,LdgKeyA,"&lt;"&amp;$B1005)+COUNTIFS(LdgPartyB,$A1005,LdgKeyB,"&lt;"&amp;$B1005)+1)</f>
        <v/>
      </c>
      <c r="D1005">
        <f>IF($C1005="","",$A1005&amp;"|"&amp;RIGHT("000000"&amp;$C1005,6))</f>
        <v/>
      </c>
      <c r="F1005">
        <f>IF(Sync!$AJ1005="","",Sync!$AJ1005)</f>
        <v/>
      </c>
      <c r="G1005">
        <f>IF($F1005="","",IF(Sync!$AG1005="","",IF(ISNUMBER(Sync!$AG1005),IF(AND(Sync!$AG1005&gt;=10000101,Sync!$AG1005&lt;=99991231),INT(Sync!$AG1005/10000),""),IFERROR(VALUE(TRIM(LEFT(Sync!$AG1005,FIND("/",Sync!$AG1005)-1))),""))))</f>
        <v/>
      </c>
      <c r="H1005">
        <f>IF(OR($F1005="",$G1005=""),"",IF(ISNUMBER(Sync!$AG1005),INT(MOD(Sync!$AG1005,10000)/100),IFERROR(VALUE(TRIM(LEFT(MID(Sync!$AG1005,FIND("/",Sync!$AG1005)+1,20),FIND("/",MID(Sync!$AG1005,FIND("/",Sync!$AG1005)+1,20))-1))),"")))</f>
        <v/>
      </c>
      <c r="I1005">
        <f>IF(OR($F1005="",$G1005=""),"",IF(ISNUMBER(Sync!$AG1005),MOD(Sync!$AG1005,100),IFERROR(VALUE(TRIM(MID(MID(Sync!$AG1005,FIND("/",Sync!$AG1005)+1,20),FIND("/",MID(Sync!$AG1005,FIND("/",Sync!$AG1005)+1,20))+1,20))),"")))</f>
        <v/>
      </c>
      <c r="J1005">
        <f>IF($F1005="","",IF(OR($G1005="",$H1005="",$I1005="",$G1005&lt;1300,$G1005&gt;1500,$H1005&lt;1,$H1005&gt;12,$I1005&lt;1,$I1005&gt;31),"نامعتبر",RIGHT("0000"&amp;$G1005,4)&amp;"/"&amp;RIGHT("00"&amp;$H1005,2)&amp;"/"&amp;RIGHT("00"&amp;$I1005,2)))</f>
        <v/>
      </c>
      <c r="K1005">
        <f>IF(OR($F1005="",$J1005="",$J1005="نامعتبر"),"",LEFT($J1005,4)&amp;MID($J1005,6,2)&amp;RIGHT($J1005,2)&amp;$N1005&amp;"|"&amp;"2"&amp;RIGHT("00000"&amp;1000,5))</f>
        <v/>
      </c>
      <c r="L1005">
        <f>IF($K1005="","",COUNTIFS(LdgPartyA,$F1005,LdgKeyA,"&lt;"&amp;$K1005)+COUNTIFS(LdgPartyB,$F1005,LdgKeyB,"&lt;"&amp;$K1005)+1)</f>
        <v/>
      </c>
      <c r="M1005">
        <f>IF($L1005="","",$F1005&amp;"|"&amp;RIGHT("000000"&amp;$L1005,6))</f>
        <v/>
      </c>
      <c r="N1005">
        <f>IF($F1005="","",IF(Sync!$AH1005="","0000",IF(AND(ISNUMBER(Sync!$AH1005),Sync!$AH1005&gt;=0,Sync!$AH1005&lt;1),RIGHT("00"&amp;HOUR(Sync!$AH1005),2)&amp;RIGHT("00"&amp;MINUTE(Sync!$AH1005),2),IFERROR(RIGHT("00"&amp;VALUE(LEFT(Sync!$AH1005,FIND(":",Sync!$AH1005)-1)),2)&amp;RIGHT("00"&amp;VALUE(MID(Sync!$AH1005,FIND(":",Sync!$AH1005)+1,2)),2),"0000"))))</f>
        <v/>
      </c>
    </row>
    <row r="1006">
      <c r="A1006">
        <f>IF(OR(Calc!$E1009="",Calc!$E1009="نامعتبر",Calc!$G1009="",Calc!$I1009&lt;&gt;"خرید"),"",Calc!$G1009)</f>
        <v/>
      </c>
      <c r="B1006">
        <f>IF($A1006="","",LEFT(Calc!$E1009,4)&amp;MID(Calc!$E1009,6,2)&amp;RIGHT(Calc!$E1009,2)&amp;Calc!$R1009&amp;"|"&amp;"1"&amp;RIGHT("00000"&amp;1001,5))</f>
        <v/>
      </c>
      <c r="C1006">
        <f>IF($B1006="","",COUNTIFS(LdgPartyA,$A1006,LdgKeyA,"&lt;"&amp;$B1006)+COUNTIFS(LdgPartyB,$A1006,LdgKeyB,"&lt;"&amp;$B1006)+1)</f>
        <v/>
      </c>
      <c r="D1006">
        <f>IF($C1006="","",$A1006&amp;"|"&amp;RIGHT("000000"&amp;$C1006,6))</f>
        <v/>
      </c>
      <c r="F1006">
        <f>IF(Sync!$AJ1006="","",Sync!$AJ1006)</f>
        <v/>
      </c>
      <c r="G1006">
        <f>IF($F1006="","",IF(Sync!$AG1006="","",IF(ISNUMBER(Sync!$AG1006),IF(AND(Sync!$AG1006&gt;=10000101,Sync!$AG1006&lt;=99991231),INT(Sync!$AG1006/10000),""),IFERROR(VALUE(TRIM(LEFT(Sync!$AG1006,FIND("/",Sync!$AG1006)-1))),""))))</f>
        <v/>
      </c>
      <c r="H1006">
        <f>IF(OR($F1006="",$G1006=""),"",IF(ISNUMBER(Sync!$AG1006),INT(MOD(Sync!$AG1006,10000)/100),IFERROR(VALUE(TRIM(LEFT(MID(Sync!$AG1006,FIND("/",Sync!$AG1006)+1,20),FIND("/",MID(Sync!$AG1006,FIND("/",Sync!$AG1006)+1,20))-1))),"")))</f>
        <v/>
      </c>
      <c r="I1006">
        <f>IF(OR($F1006="",$G1006=""),"",IF(ISNUMBER(Sync!$AG1006),MOD(Sync!$AG1006,100),IFERROR(VALUE(TRIM(MID(MID(Sync!$AG1006,FIND("/",Sync!$AG1006)+1,20),FIND("/",MID(Sync!$AG1006,FIND("/",Sync!$AG1006)+1,20))+1,20))),"")))</f>
        <v/>
      </c>
      <c r="J1006">
        <f>IF($F1006="","",IF(OR($G1006="",$H1006="",$I1006="",$G1006&lt;1300,$G1006&gt;1500,$H1006&lt;1,$H1006&gt;12,$I1006&lt;1,$I1006&gt;31),"نامعتبر",RIGHT("0000"&amp;$G1006,4)&amp;"/"&amp;RIGHT("00"&amp;$H1006,2)&amp;"/"&amp;RIGHT("00"&amp;$I1006,2)))</f>
        <v/>
      </c>
      <c r="K1006">
        <f>IF(OR($F1006="",$J1006="",$J1006="نامعتبر"),"",LEFT($J1006,4)&amp;MID($J1006,6,2)&amp;RIGHT($J1006,2)&amp;$N1006&amp;"|"&amp;"2"&amp;RIGHT("00000"&amp;1001,5))</f>
        <v/>
      </c>
      <c r="L1006">
        <f>IF($K1006="","",COUNTIFS(LdgPartyA,$F1006,LdgKeyA,"&lt;"&amp;$K1006)+COUNTIFS(LdgPartyB,$F1006,LdgKeyB,"&lt;"&amp;$K1006)+1)</f>
        <v/>
      </c>
      <c r="M1006">
        <f>IF($L1006="","",$F1006&amp;"|"&amp;RIGHT("000000"&amp;$L1006,6))</f>
        <v/>
      </c>
      <c r="N1006">
        <f>IF($F1006="","",IF(Sync!$AH1006="","0000",IF(AND(ISNUMBER(Sync!$AH1006),Sync!$AH1006&gt;=0,Sync!$AH1006&lt;1),RIGHT("00"&amp;HOUR(Sync!$AH1006),2)&amp;RIGHT("00"&amp;MINUTE(Sync!$AH1006),2),IFERROR(RIGHT("00"&amp;VALUE(LEFT(Sync!$AH1006,FIND(":",Sync!$AH1006)-1)),2)&amp;RIGHT("00"&amp;VALUE(MID(Sync!$AH1006,FIND(":",Sync!$AH1006)+1,2)),2),"0000"))))</f>
        <v/>
      </c>
    </row>
    <row r="1007">
      <c r="A1007">
        <f>IF(OR(Calc!$E1010="",Calc!$E1010="نامعتبر",Calc!$G1010="",Calc!$I1010&lt;&gt;"خرید"),"",Calc!$G1010)</f>
        <v/>
      </c>
      <c r="B1007">
        <f>IF($A1007="","",LEFT(Calc!$E1010,4)&amp;MID(Calc!$E1010,6,2)&amp;RIGHT(Calc!$E1010,2)&amp;Calc!$R1010&amp;"|"&amp;"1"&amp;RIGHT("00000"&amp;1002,5))</f>
        <v/>
      </c>
      <c r="C1007">
        <f>IF($B1007="","",COUNTIFS(LdgPartyA,$A1007,LdgKeyA,"&lt;"&amp;$B1007)+COUNTIFS(LdgPartyB,$A1007,LdgKeyB,"&lt;"&amp;$B1007)+1)</f>
        <v/>
      </c>
      <c r="D1007">
        <f>IF($C1007="","",$A1007&amp;"|"&amp;RIGHT("000000"&amp;$C1007,6))</f>
        <v/>
      </c>
      <c r="F1007">
        <f>IF(Sync!$AJ1007="","",Sync!$AJ1007)</f>
        <v/>
      </c>
      <c r="G1007">
        <f>IF($F1007="","",IF(Sync!$AG1007="","",IF(ISNUMBER(Sync!$AG1007),IF(AND(Sync!$AG1007&gt;=10000101,Sync!$AG1007&lt;=99991231),INT(Sync!$AG1007/10000),""),IFERROR(VALUE(TRIM(LEFT(Sync!$AG1007,FIND("/",Sync!$AG1007)-1))),""))))</f>
        <v/>
      </c>
      <c r="H1007">
        <f>IF(OR($F1007="",$G1007=""),"",IF(ISNUMBER(Sync!$AG1007),INT(MOD(Sync!$AG1007,10000)/100),IFERROR(VALUE(TRIM(LEFT(MID(Sync!$AG1007,FIND("/",Sync!$AG1007)+1,20),FIND("/",MID(Sync!$AG1007,FIND("/",Sync!$AG1007)+1,20))-1))),"")))</f>
        <v/>
      </c>
      <c r="I1007">
        <f>IF(OR($F1007="",$G1007=""),"",IF(ISNUMBER(Sync!$AG1007),MOD(Sync!$AG1007,100),IFERROR(VALUE(TRIM(MID(MID(Sync!$AG1007,FIND("/",Sync!$AG1007)+1,20),FIND("/",MID(Sync!$AG1007,FIND("/",Sync!$AG1007)+1,20))+1,20))),"")))</f>
        <v/>
      </c>
      <c r="J1007">
        <f>IF($F1007="","",IF(OR($G1007="",$H1007="",$I1007="",$G1007&lt;1300,$G1007&gt;1500,$H1007&lt;1,$H1007&gt;12,$I1007&lt;1,$I1007&gt;31),"نامعتبر",RIGHT("0000"&amp;$G1007,4)&amp;"/"&amp;RIGHT("00"&amp;$H1007,2)&amp;"/"&amp;RIGHT("00"&amp;$I1007,2)))</f>
        <v/>
      </c>
      <c r="K1007">
        <f>IF(OR($F1007="",$J1007="",$J1007="نامعتبر"),"",LEFT($J1007,4)&amp;MID($J1007,6,2)&amp;RIGHT($J1007,2)&amp;$N1007&amp;"|"&amp;"2"&amp;RIGHT("00000"&amp;1002,5))</f>
        <v/>
      </c>
      <c r="L1007">
        <f>IF($K1007="","",COUNTIFS(LdgPartyA,$F1007,LdgKeyA,"&lt;"&amp;$K1007)+COUNTIFS(LdgPartyB,$F1007,LdgKeyB,"&lt;"&amp;$K1007)+1)</f>
        <v/>
      </c>
      <c r="M1007">
        <f>IF($L1007="","",$F1007&amp;"|"&amp;RIGHT("000000"&amp;$L1007,6))</f>
        <v/>
      </c>
      <c r="N1007">
        <f>IF($F1007="","",IF(Sync!$AH1007="","0000",IF(AND(ISNUMBER(Sync!$AH1007),Sync!$AH1007&gt;=0,Sync!$AH1007&lt;1),RIGHT("00"&amp;HOUR(Sync!$AH1007),2)&amp;RIGHT("00"&amp;MINUTE(Sync!$AH1007),2),IFERROR(RIGHT("00"&amp;VALUE(LEFT(Sync!$AH1007,FIND(":",Sync!$AH1007)-1)),2)&amp;RIGHT("00"&amp;VALUE(MID(Sync!$AH1007,FIND(":",Sync!$AH1007)+1,2)),2),"0000"))))</f>
        <v/>
      </c>
    </row>
    <row r="1008">
      <c r="A1008">
        <f>IF(OR(Calc!$E1011="",Calc!$E1011="نامعتبر",Calc!$G1011="",Calc!$I1011&lt;&gt;"خرید"),"",Calc!$G1011)</f>
        <v/>
      </c>
      <c r="B1008">
        <f>IF($A1008="","",LEFT(Calc!$E1011,4)&amp;MID(Calc!$E1011,6,2)&amp;RIGHT(Calc!$E1011,2)&amp;Calc!$R1011&amp;"|"&amp;"1"&amp;RIGHT("00000"&amp;1003,5))</f>
        <v/>
      </c>
      <c r="C1008">
        <f>IF($B1008="","",COUNTIFS(LdgPartyA,$A1008,LdgKeyA,"&lt;"&amp;$B1008)+COUNTIFS(LdgPartyB,$A1008,LdgKeyB,"&lt;"&amp;$B1008)+1)</f>
        <v/>
      </c>
      <c r="D1008">
        <f>IF($C1008="","",$A1008&amp;"|"&amp;RIGHT("000000"&amp;$C1008,6))</f>
        <v/>
      </c>
      <c r="F1008">
        <f>IF(Sync!$AJ1008="","",Sync!$AJ1008)</f>
        <v/>
      </c>
      <c r="G1008">
        <f>IF($F1008="","",IF(Sync!$AG1008="","",IF(ISNUMBER(Sync!$AG1008),IF(AND(Sync!$AG1008&gt;=10000101,Sync!$AG1008&lt;=99991231),INT(Sync!$AG1008/10000),""),IFERROR(VALUE(TRIM(LEFT(Sync!$AG1008,FIND("/",Sync!$AG1008)-1))),""))))</f>
        <v/>
      </c>
      <c r="H1008">
        <f>IF(OR($F1008="",$G1008=""),"",IF(ISNUMBER(Sync!$AG1008),INT(MOD(Sync!$AG1008,10000)/100),IFERROR(VALUE(TRIM(LEFT(MID(Sync!$AG1008,FIND("/",Sync!$AG1008)+1,20),FIND("/",MID(Sync!$AG1008,FIND("/",Sync!$AG1008)+1,20))-1))),"")))</f>
        <v/>
      </c>
      <c r="I1008">
        <f>IF(OR($F1008="",$G1008=""),"",IF(ISNUMBER(Sync!$AG1008),MOD(Sync!$AG1008,100),IFERROR(VALUE(TRIM(MID(MID(Sync!$AG1008,FIND("/",Sync!$AG1008)+1,20),FIND("/",MID(Sync!$AG1008,FIND("/",Sync!$AG1008)+1,20))+1,20))),"")))</f>
        <v/>
      </c>
      <c r="J1008">
        <f>IF($F1008="","",IF(OR($G1008="",$H1008="",$I1008="",$G1008&lt;1300,$G1008&gt;1500,$H1008&lt;1,$H1008&gt;12,$I1008&lt;1,$I1008&gt;31),"نامعتبر",RIGHT("0000"&amp;$G1008,4)&amp;"/"&amp;RIGHT("00"&amp;$H1008,2)&amp;"/"&amp;RIGHT("00"&amp;$I1008,2)))</f>
        <v/>
      </c>
      <c r="K1008">
        <f>IF(OR($F1008="",$J1008="",$J1008="نامعتبر"),"",LEFT($J1008,4)&amp;MID($J1008,6,2)&amp;RIGHT($J1008,2)&amp;$N1008&amp;"|"&amp;"2"&amp;RIGHT("00000"&amp;1003,5))</f>
        <v/>
      </c>
      <c r="L1008">
        <f>IF($K1008="","",COUNTIFS(LdgPartyA,$F1008,LdgKeyA,"&lt;"&amp;$K1008)+COUNTIFS(LdgPartyB,$F1008,LdgKeyB,"&lt;"&amp;$K1008)+1)</f>
        <v/>
      </c>
      <c r="M1008">
        <f>IF($L1008="","",$F1008&amp;"|"&amp;RIGHT("000000"&amp;$L1008,6))</f>
        <v/>
      </c>
      <c r="N1008">
        <f>IF($F1008="","",IF(Sync!$AH1008="","0000",IF(AND(ISNUMBER(Sync!$AH1008),Sync!$AH1008&gt;=0,Sync!$AH1008&lt;1),RIGHT("00"&amp;HOUR(Sync!$AH1008),2)&amp;RIGHT("00"&amp;MINUTE(Sync!$AH1008),2),IFERROR(RIGHT("00"&amp;VALUE(LEFT(Sync!$AH1008,FIND(":",Sync!$AH1008)-1)),2)&amp;RIGHT("00"&amp;VALUE(MID(Sync!$AH1008,FIND(":",Sync!$AH1008)+1,2)),2),"0000"))))</f>
        <v/>
      </c>
    </row>
    <row r="1009">
      <c r="A1009">
        <f>IF(OR(Calc!$E1012="",Calc!$E1012="نامعتبر",Calc!$G1012="",Calc!$I1012&lt;&gt;"خرید"),"",Calc!$G1012)</f>
        <v/>
      </c>
      <c r="B1009">
        <f>IF($A1009="","",LEFT(Calc!$E1012,4)&amp;MID(Calc!$E1012,6,2)&amp;RIGHT(Calc!$E1012,2)&amp;Calc!$R1012&amp;"|"&amp;"1"&amp;RIGHT("00000"&amp;1004,5))</f>
        <v/>
      </c>
      <c r="C1009">
        <f>IF($B1009="","",COUNTIFS(LdgPartyA,$A1009,LdgKeyA,"&lt;"&amp;$B1009)+COUNTIFS(LdgPartyB,$A1009,LdgKeyB,"&lt;"&amp;$B1009)+1)</f>
        <v/>
      </c>
      <c r="D1009">
        <f>IF($C1009="","",$A1009&amp;"|"&amp;RIGHT("000000"&amp;$C1009,6))</f>
        <v/>
      </c>
      <c r="F1009">
        <f>IF(Sync!$AJ1009="","",Sync!$AJ1009)</f>
        <v/>
      </c>
      <c r="G1009">
        <f>IF($F1009="","",IF(Sync!$AG1009="","",IF(ISNUMBER(Sync!$AG1009),IF(AND(Sync!$AG1009&gt;=10000101,Sync!$AG1009&lt;=99991231),INT(Sync!$AG1009/10000),""),IFERROR(VALUE(TRIM(LEFT(Sync!$AG1009,FIND("/",Sync!$AG1009)-1))),""))))</f>
        <v/>
      </c>
      <c r="H1009">
        <f>IF(OR($F1009="",$G1009=""),"",IF(ISNUMBER(Sync!$AG1009),INT(MOD(Sync!$AG1009,10000)/100),IFERROR(VALUE(TRIM(LEFT(MID(Sync!$AG1009,FIND("/",Sync!$AG1009)+1,20),FIND("/",MID(Sync!$AG1009,FIND("/",Sync!$AG1009)+1,20))-1))),"")))</f>
        <v/>
      </c>
      <c r="I1009">
        <f>IF(OR($F1009="",$G1009=""),"",IF(ISNUMBER(Sync!$AG1009),MOD(Sync!$AG1009,100),IFERROR(VALUE(TRIM(MID(MID(Sync!$AG1009,FIND("/",Sync!$AG1009)+1,20),FIND("/",MID(Sync!$AG1009,FIND("/",Sync!$AG1009)+1,20))+1,20))),"")))</f>
        <v/>
      </c>
      <c r="J1009">
        <f>IF($F1009="","",IF(OR($G1009="",$H1009="",$I1009="",$G1009&lt;1300,$G1009&gt;1500,$H1009&lt;1,$H1009&gt;12,$I1009&lt;1,$I1009&gt;31),"نامعتبر",RIGHT("0000"&amp;$G1009,4)&amp;"/"&amp;RIGHT("00"&amp;$H1009,2)&amp;"/"&amp;RIGHT("00"&amp;$I1009,2)))</f>
        <v/>
      </c>
      <c r="K1009">
        <f>IF(OR($F1009="",$J1009="",$J1009="نامعتبر"),"",LEFT($J1009,4)&amp;MID($J1009,6,2)&amp;RIGHT($J1009,2)&amp;$N1009&amp;"|"&amp;"2"&amp;RIGHT("00000"&amp;1004,5))</f>
        <v/>
      </c>
      <c r="L1009">
        <f>IF($K1009="","",COUNTIFS(LdgPartyA,$F1009,LdgKeyA,"&lt;"&amp;$K1009)+COUNTIFS(LdgPartyB,$F1009,LdgKeyB,"&lt;"&amp;$K1009)+1)</f>
        <v/>
      </c>
      <c r="M1009">
        <f>IF($L1009="","",$F1009&amp;"|"&amp;RIGHT("000000"&amp;$L1009,6))</f>
        <v/>
      </c>
      <c r="N1009">
        <f>IF($F1009="","",IF(Sync!$AH1009="","0000",IF(AND(ISNUMBER(Sync!$AH1009),Sync!$AH1009&gt;=0,Sync!$AH1009&lt;1),RIGHT("00"&amp;HOUR(Sync!$AH1009),2)&amp;RIGHT("00"&amp;MINUTE(Sync!$AH1009),2),IFERROR(RIGHT("00"&amp;VALUE(LEFT(Sync!$AH1009,FIND(":",Sync!$AH1009)-1)),2)&amp;RIGHT("00"&amp;VALUE(MID(Sync!$AH1009,FIND(":",Sync!$AH1009)+1,2)),2),"0000"))))</f>
        <v/>
      </c>
    </row>
    <row r="1010">
      <c r="A1010">
        <f>IF(OR(Calc!$E1013="",Calc!$E1013="نامعتبر",Calc!$G1013="",Calc!$I1013&lt;&gt;"خرید"),"",Calc!$G1013)</f>
        <v/>
      </c>
      <c r="B1010">
        <f>IF($A1010="","",LEFT(Calc!$E1013,4)&amp;MID(Calc!$E1013,6,2)&amp;RIGHT(Calc!$E1013,2)&amp;Calc!$R1013&amp;"|"&amp;"1"&amp;RIGHT("00000"&amp;1005,5))</f>
        <v/>
      </c>
      <c r="C1010">
        <f>IF($B1010="","",COUNTIFS(LdgPartyA,$A1010,LdgKeyA,"&lt;"&amp;$B1010)+COUNTIFS(LdgPartyB,$A1010,LdgKeyB,"&lt;"&amp;$B1010)+1)</f>
        <v/>
      </c>
      <c r="D1010">
        <f>IF($C1010="","",$A1010&amp;"|"&amp;RIGHT("000000"&amp;$C1010,6))</f>
        <v/>
      </c>
      <c r="F1010">
        <f>IF(Sync!$AJ1010="","",Sync!$AJ1010)</f>
        <v/>
      </c>
      <c r="G1010">
        <f>IF($F1010="","",IF(Sync!$AG1010="","",IF(ISNUMBER(Sync!$AG1010),IF(AND(Sync!$AG1010&gt;=10000101,Sync!$AG1010&lt;=99991231),INT(Sync!$AG1010/10000),""),IFERROR(VALUE(TRIM(LEFT(Sync!$AG1010,FIND("/",Sync!$AG1010)-1))),""))))</f>
        <v/>
      </c>
      <c r="H1010">
        <f>IF(OR($F1010="",$G1010=""),"",IF(ISNUMBER(Sync!$AG1010),INT(MOD(Sync!$AG1010,10000)/100),IFERROR(VALUE(TRIM(LEFT(MID(Sync!$AG1010,FIND("/",Sync!$AG1010)+1,20),FIND("/",MID(Sync!$AG1010,FIND("/",Sync!$AG1010)+1,20))-1))),"")))</f>
        <v/>
      </c>
      <c r="I1010">
        <f>IF(OR($F1010="",$G1010=""),"",IF(ISNUMBER(Sync!$AG1010),MOD(Sync!$AG1010,100),IFERROR(VALUE(TRIM(MID(MID(Sync!$AG1010,FIND("/",Sync!$AG1010)+1,20),FIND("/",MID(Sync!$AG1010,FIND("/",Sync!$AG1010)+1,20))+1,20))),"")))</f>
        <v/>
      </c>
      <c r="J1010">
        <f>IF($F1010="","",IF(OR($G1010="",$H1010="",$I1010="",$G1010&lt;1300,$G1010&gt;1500,$H1010&lt;1,$H1010&gt;12,$I1010&lt;1,$I1010&gt;31),"نامعتبر",RIGHT("0000"&amp;$G1010,4)&amp;"/"&amp;RIGHT("00"&amp;$H1010,2)&amp;"/"&amp;RIGHT("00"&amp;$I1010,2)))</f>
        <v/>
      </c>
      <c r="K1010">
        <f>IF(OR($F1010="",$J1010="",$J1010="نامعتبر"),"",LEFT($J1010,4)&amp;MID($J1010,6,2)&amp;RIGHT($J1010,2)&amp;$N1010&amp;"|"&amp;"2"&amp;RIGHT("00000"&amp;1005,5))</f>
        <v/>
      </c>
      <c r="L1010">
        <f>IF($K1010="","",COUNTIFS(LdgPartyA,$F1010,LdgKeyA,"&lt;"&amp;$K1010)+COUNTIFS(LdgPartyB,$F1010,LdgKeyB,"&lt;"&amp;$K1010)+1)</f>
        <v/>
      </c>
      <c r="M1010">
        <f>IF($L1010="","",$F1010&amp;"|"&amp;RIGHT("000000"&amp;$L1010,6))</f>
        <v/>
      </c>
      <c r="N1010">
        <f>IF($F1010="","",IF(Sync!$AH1010="","0000",IF(AND(ISNUMBER(Sync!$AH1010),Sync!$AH1010&gt;=0,Sync!$AH1010&lt;1),RIGHT("00"&amp;HOUR(Sync!$AH1010),2)&amp;RIGHT("00"&amp;MINUTE(Sync!$AH1010),2),IFERROR(RIGHT("00"&amp;VALUE(LEFT(Sync!$AH1010,FIND(":",Sync!$AH1010)-1)),2)&amp;RIGHT("00"&amp;VALUE(MID(Sync!$AH1010,FIND(":",Sync!$AH1010)+1,2)),2),"0000"))))</f>
        <v/>
      </c>
    </row>
    <row r="1011">
      <c r="A1011">
        <f>IF(OR(Calc!$E1014="",Calc!$E1014="نامعتبر",Calc!$G1014="",Calc!$I1014&lt;&gt;"خرید"),"",Calc!$G1014)</f>
        <v/>
      </c>
      <c r="B1011">
        <f>IF($A1011="","",LEFT(Calc!$E1014,4)&amp;MID(Calc!$E1014,6,2)&amp;RIGHT(Calc!$E1014,2)&amp;Calc!$R1014&amp;"|"&amp;"1"&amp;RIGHT("00000"&amp;1006,5))</f>
        <v/>
      </c>
      <c r="C1011">
        <f>IF($B1011="","",COUNTIFS(LdgPartyA,$A1011,LdgKeyA,"&lt;"&amp;$B1011)+COUNTIFS(LdgPartyB,$A1011,LdgKeyB,"&lt;"&amp;$B1011)+1)</f>
        <v/>
      </c>
      <c r="D1011">
        <f>IF($C1011="","",$A1011&amp;"|"&amp;RIGHT("000000"&amp;$C1011,6))</f>
        <v/>
      </c>
      <c r="F1011">
        <f>IF(Sync!$AJ1011="","",Sync!$AJ1011)</f>
        <v/>
      </c>
      <c r="G1011">
        <f>IF($F1011="","",IF(Sync!$AG1011="","",IF(ISNUMBER(Sync!$AG1011),IF(AND(Sync!$AG1011&gt;=10000101,Sync!$AG1011&lt;=99991231),INT(Sync!$AG1011/10000),""),IFERROR(VALUE(TRIM(LEFT(Sync!$AG1011,FIND("/",Sync!$AG1011)-1))),""))))</f>
        <v/>
      </c>
      <c r="H1011">
        <f>IF(OR($F1011="",$G1011=""),"",IF(ISNUMBER(Sync!$AG1011),INT(MOD(Sync!$AG1011,10000)/100),IFERROR(VALUE(TRIM(LEFT(MID(Sync!$AG1011,FIND("/",Sync!$AG1011)+1,20),FIND("/",MID(Sync!$AG1011,FIND("/",Sync!$AG1011)+1,20))-1))),"")))</f>
        <v/>
      </c>
      <c r="I1011">
        <f>IF(OR($F1011="",$G1011=""),"",IF(ISNUMBER(Sync!$AG1011),MOD(Sync!$AG1011,100),IFERROR(VALUE(TRIM(MID(MID(Sync!$AG1011,FIND("/",Sync!$AG1011)+1,20),FIND("/",MID(Sync!$AG1011,FIND("/",Sync!$AG1011)+1,20))+1,20))),"")))</f>
        <v/>
      </c>
      <c r="J1011">
        <f>IF($F1011="","",IF(OR($G1011="",$H1011="",$I1011="",$G1011&lt;1300,$G1011&gt;1500,$H1011&lt;1,$H1011&gt;12,$I1011&lt;1,$I1011&gt;31),"نامعتبر",RIGHT("0000"&amp;$G1011,4)&amp;"/"&amp;RIGHT("00"&amp;$H1011,2)&amp;"/"&amp;RIGHT("00"&amp;$I1011,2)))</f>
        <v/>
      </c>
      <c r="K1011">
        <f>IF(OR($F1011="",$J1011="",$J1011="نامعتبر"),"",LEFT($J1011,4)&amp;MID($J1011,6,2)&amp;RIGHT($J1011,2)&amp;$N1011&amp;"|"&amp;"2"&amp;RIGHT("00000"&amp;1006,5))</f>
        <v/>
      </c>
      <c r="L1011">
        <f>IF($K1011="","",COUNTIFS(LdgPartyA,$F1011,LdgKeyA,"&lt;"&amp;$K1011)+COUNTIFS(LdgPartyB,$F1011,LdgKeyB,"&lt;"&amp;$K1011)+1)</f>
        <v/>
      </c>
      <c r="M1011">
        <f>IF($L1011="","",$F1011&amp;"|"&amp;RIGHT("000000"&amp;$L1011,6))</f>
        <v/>
      </c>
      <c r="N1011">
        <f>IF($F1011="","",IF(Sync!$AH1011="","0000",IF(AND(ISNUMBER(Sync!$AH1011),Sync!$AH1011&gt;=0,Sync!$AH1011&lt;1),RIGHT("00"&amp;HOUR(Sync!$AH1011),2)&amp;RIGHT("00"&amp;MINUTE(Sync!$AH1011),2),IFERROR(RIGHT("00"&amp;VALUE(LEFT(Sync!$AH1011,FIND(":",Sync!$AH1011)-1)),2)&amp;RIGHT("00"&amp;VALUE(MID(Sync!$AH1011,FIND(":",Sync!$AH1011)+1,2)),2),"0000"))))</f>
        <v/>
      </c>
    </row>
    <row r="1012">
      <c r="A1012">
        <f>IF(OR(Calc!$E1015="",Calc!$E1015="نامعتبر",Calc!$G1015="",Calc!$I1015&lt;&gt;"خرید"),"",Calc!$G1015)</f>
        <v/>
      </c>
      <c r="B1012">
        <f>IF($A1012="","",LEFT(Calc!$E1015,4)&amp;MID(Calc!$E1015,6,2)&amp;RIGHT(Calc!$E1015,2)&amp;Calc!$R1015&amp;"|"&amp;"1"&amp;RIGHT("00000"&amp;1007,5))</f>
        <v/>
      </c>
      <c r="C1012">
        <f>IF($B1012="","",COUNTIFS(LdgPartyA,$A1012,LdgKeyA,"&lt;"&amp;$B1012)+COUNTIFS(LdgPartyB,$A1012,LdgKeyB,"&lt;"&amp;$B1012)+1)</f>
        <v/>
      </c>
      <c r="D1012">
        <f>IF($C1012="","",$A1012&amp;"|"&amp;RIGHT("000000"&amp;$C1012,6))</f>
        <v/>
      </c>
      <c r="F1012">
        <f>IF(Sync!$AJ1012="","",Sync!$AJ1012)</f>
        <v/>
      </c>
      <c r="G1012">
        <f>IF($F1012="","",IF(Sync!$AG1012="","",IF(ISNUMBER(Sync!$AG1012),IF(AND(Sync!$AG1012&gt;=10000101,Sync!$AG1012&lt;=99991231),INT(Sync!$AG1012/10000),""),IFERROR(VALUE(TRIM(LEFT(Sync!$AG1012,FIND("/",Sync!$AG1012)-1))),""))))</f>
        <v/>
      </c>
      <c r="H1012">
        <f>IF(OR($F1012="",$G1012=""),"",IF(ISNUMBER(Sync!$AG1012),INT(MOD(Sync!$AG1012,10000)/100),IFERROR(VALUE(TRIM(LEFT(MID(Sync!$AG1012,FIND("/",Sync!$AG1012)+1,20),FIND("/",MID(Sync!$AG1012,FIND("/",Sync!$AG1012)+1,20))-1))),"")))</f>
        <v/>
      </c>
      <c r="I1012">
        <f>IF(OR($F1012="",$G1012=""),"",IF(ISNUMBER(Sync!$AG1012),MOD(Sync!$AG1012,100),IFERROR(VALUE(TRIM(MID(MID(Sync!$AG1012,FIND("/",Sync!$AG1012)+1,20),FIND("/",MID(Sync!$AG1012,FIND("/",Sync!$AG1012)+1,20))+1,20))),"")))</f>
        <v/>
      </c>
      <c r="J1012">
        <f>IF($F1012="","",IF(OR($G1012="",$H1012="",$I1012="",$G1012&lt;1300,$G1012&gt;1500,$H1012&lt;1,$H1012&gt;12,$I1012&lt;1,$I1012&gt;31),"نامعتبر",RIGHT("0000"&amp;$G1012,4)&amp;"/"&amp;RIGHT("00"&amp;$H1012,2)&amp;"/"&amp;RIGHT("00"&amp;$I1012,2)))</f>
        <v/>
      </c>
      <c r="K1012">
        <f>IF(OR($F1012="",$J1012="",$J1012="نامعتبر"),"",LEFT($J1012,4)&amp;MID($J1012,6,2)&amp;RIGHT($J1012,2)&amp;$N1012&amp;"|"&amp;"2"&amp;RIGHT("00000"&amp;1007,5))</f>
        <v/>
      </c>
      <c r="L1012">
        <f>IF($K1012="","",COUNTIFS(LdgPartyA,$F1012,LdgKeyA,"&lt;"&amp;$K1012)+COUNTIFS(LdgPartyB,$F1012,LdgKeyB,"&lt;"&amp;$K1012)+1)</f>
        <v/>
      </c>
      <c r="M1012">
        <f>IF($L1012="","",$F1012&amp;"|"&amp;RIGHT("000000"&amp;$L1012,6))</f>
        <v/>
      </c>
      <c r="N1012">
        <f>IF($F1012="","",IF(Sync!$AH1012="","0000",IF(AND(ISNUMBER(Sync!$AH1012),Sync!$AH1012&gt;=0,Sync!$AH1012&lt;1),RIGHT("00"&amp;HOUR(Sync!$AH1012),2)&amp;RIGHT("00"&amp;MINUTE(Sync!$AH1012),2),IFERROR(RIGHT("00"&amp;VALUE(LEFT(Sync!$AH1012,FIND(":",Sync!$AH1012)-1)),2)&amp;RIGHT("00"&amp;VALUE(MID(Sync!$AH1012,FIND(":",Sync!$AH1012)+1,2)),2),"0000"))))</f>
        <v/>
      </c>
    </row>
    <row r="1013">
      <c r="A1013">
        <f>IF(OR(Calc!$E1016="",Calc!$E1016="نامعتبر",Calc!$G1016="",Calc!$I1016&lt;&gt;"خرید"),"",Calc!$G1016)</f>
        <v/>
      </c>
      <c r="B1013">
        <f>IF($A1013="","",LEFT(Calc!$E1016,4)&amp;MID(Calc!$E1016,6,2)&amp;RIGHT(Calc!$E1016,2)&amp;Calc!$R1016&amp;"|"&amp;"1"&amp;RIGHT("00000"&amp;1008,5))</f>
        <v/>
      </c>
      <c r="C1013">
        <f>IF($B1013="","",COUNTIFS(LdgPartyA,$A1013,LdgKeyA,"&lt;"&amp;$B1013)+COUNTIFS(LdgPartyB,$A1013,LdgKeyB,"&lt;"&amp;$B1013)+1)</f>
        <v/>
      </c>
      <c r="D1013">
        <f>IF($C1013="","",$A1013&amp;"|"&amp;RIGHT("000000"&amp;$C1013,6))</f>
        <v/>
      </c>
      <c r="F1013">
        <f>IF(Sync!$AJ1013="","",Sync!$AJ1013)</f>
        <v/>
      </c>
      <c r="G1013">
        <f>IF($F1013="","",IF(Sync!$AG1013="","",IF(ISNUMBER(Sync!$AG1013),IF(AND(Sync!$AG1013&gt;=10000101,Sync!$AG1013&lt;=99991231),INT(Sync!$AG1013/10000),""),IFERROR(VALUE(TRIM(LEFT(Sync!$AG1013,FIND("/",Sync!$AG1013)-1))),""))))</f>
        <v/>
      </c>
      <c r="H1013">
        <f>IF(OR($F1013="",$G1013=""),"",IF(ISNUMBER(Sync!$AG1013),INT(MOD(Sync!$AG1013,10000)/100),IFERROR(VALUE(TRIM(LEFT(MID(Sync!$AG1013,FIND("/",Sync!$AG1013)+1,20),FIND("/",MID(Sync!$AG1013,FIND("/",Sync!$AG1013)+1,20))-1))),"")))</f>
        <v/>
      </c>
      <c r="I1013">
        <f>IF(OR($F1013="",$G1013=""),"",IF(ISNUMBER(Sync!$AG1013),MOD(Sync!$AG1013,100),IFERROR(VALUE(TRIM(MID(MID(Sync!$AG1013,FIND("/",Sync!$AG1013)+1,20),FIND("/",MID(Sync!$AG1013,FIND("/",Sync!$AG1013)+1,20))+1,20))),"")))</f>
        <v/>
      </c>
      <c r="J1013">
        <f>IF($F1013="","",IF(OR($G1013="",$H1013="",$I1013="",$G1013&lt;1300,$G1013&gt;1500,$H1013&lt;1,$H1013&gt;12,$I1013&lt;1,$I1013&gt;31),"نامعتبر",RIGHT("0000"&amp;$G1013,4)&amp;"/"&amp;RIGHT("00"&amp;$H1013,2)&amp;"/"&amp;RIGHT("00"&amp;$I1013,2)))</f>
        <v/>
      </c>
      <c r="K1013">
        <f>IF(OR($F1013="",$J1013="",$J1013="نامعتبر"),"",LEFT($J1013,4)&amp;MID($J1013,6,2)&amp;RIGHT($J1013,2)&amp;$N1013&amp;"|"&amp;"2"&amp;RIGHT("00000"&amp;1008,5))</f>
        <v/>
      </c>
      <c r="L1013">
        <f>IF($K1013="","",COUNTIFS(LdgPartyA,$F1013,LdgKeyA,"&lt;"&amp;$K1013)+COUNTIFS(LdgPartyB,$F1013,LdgKeyB,"&lt;"&amp;$K1013)+1)</f>
        <v/>
      </c>
      <c r="M1013">
        <f>IF($L1013="","",$F1013&amp;"|"&amp;RIGHT("000000"&amp;$L1013,6))</f>
        <v/>
      </c>
      <c r="N1013">
        <f>IF($F1013="","",IF(Sync!$AH1013="","0000",IF(AND(ISNUMBER(Sync!$AH1013),Sync!$AH1013&gt;=0,Sync!$AH1013&lt;1),RIGHT("00"&amp;HOUR(Sync!$AH1013),2)&amp;RIGHT("00"&amp;MINUTE(Sync!$AH1013),2),IFERROR(RIGHT("00"&amp;VALUE(LEFT(Sync!$AH1013,FIND(":",Sync!$AH1013)-1)),2)&amp;RIGHT("00"&amp;VALUE(MID(Sync!$AH1013,FIND(":",Sync!$AH1013)+1,2)),2),"0000"))))</f>
        <v/>
      </c>
    </row>
    <row r="1014">
      <c r="A1014">
        <f>IF(OR(Calc!$E1017="",Calc!$E1017="نامعتبر",Calc!$G1017="",Calc!$I1017&lt;&gt;"خرید"),"",Calc!$G1017)</f>
        <v/>
      </c>
      <c r="B1014">
        <f>IF($A1014="","",LEFT(Calc!$E1017,4)&amp;MID(Calc!$E1017,6,2)&amp;RIGHT(Calc!$E1017,2)&amp;Calc!$R1017&amp;"|"&amp;"1"&amp;RIGHT("00000"&amp;1009,5))</f>
        <v/>
      </c>
      <c r="C1014">
        <f>IF($B1014="","",COUNTIFS(LdgPartyA,$A1014,LdgKeyA,"&lt;"&amp;$B1014)+COUNTIFS(LdgPartyB,$A1014,LdgKeyB,"&lt;"&amp;$B1014)+1)</f>
        <v/>
      </c>
      <c r="D1014">
        <f>IF($C1014="","",$A1014&amp;"|"&amp;RIGHT("000000"&amp;$C1014,6))</f>
        <v/>
      </c>
      <c r="F1014">
        <f>IF(Sync!$AJ1014="","",Sync!$AJ1014)</f>
        <v/>
      </c>
      <c r="G1014">
        <f>IF($F1014="","",IF(Sync!$AG1014="","",IF(ISNUMBER(Sync!$AG1014),IF(AND(Sync!$AG1014&gt;=10000101,Sync!$AG1014&lt;=99991231),INT(Sync!$AG1014/10000),""),IFERROR(VALUE(TRIM(LEFT(Sync!$AG1014,FIND("/",Sync!$AG1014)-1))),""))))</f>
        <v/>
      </c>
      <c r="H1014">
        <f>IF(OR($F1014="",$G1014=""),"",IF(ISNUMBER(Sync!$AG1014),INT(MOD(Sync!$AG1014,10000)/100),IFERROR(VALUE(TRIM(LEFT(MID(Sync!$AG1014,FIND("/",Sync!$AG1014)+1,20),FIND("/",MID(Sync!$AG1014,FIND("/",Sync!$AG1014)+1,20))-1))),"")))</f>
        <v/>
      </c>
      <c r="I1014">
        <f>IF(OR($F1014="",$G1014=""),"",IF(ISNUMBER(Sync!$AG1014),MOD(Sync!$AG1014,100),IFERROR(VALUE(TRIM(MID(MID(Sync!$AG1014,FIND("/",Sync!$AG1014)+1,20),FIND("/",MID(Sync!$AG1014,FIND("/",Sync!$AG1014)+1,20))+1,20))),"")))</f>
        <v/>
      </c>
      <c r="J1014">
        <f>IF($F1014="","",IF(OR($G1014="",$H1014="",$I1014="",$G1014&lt;1300,$G1014&gt;1500,$H1014&lt;1,$H1014&gt;12,$I1014&lt;1,$I1014&gt;31),"نامعتبر",RIGHT("0000"&amp;$G1014,4)&amp;"/"&amp;RIGHT("00"&amp;$H1014,2)&amp;"/"&amp;RIGHT("00"&amp;$I1014,2)))</f>
        <v/>
      </c>
      <c r="K1014">
        <f>IF(OR($F1014="",$J1014="",$J1014="نامعتبر"),"",LEFT($J1014,4)&amp;MID($J1014,6,2)&amp;RIGHT($J1014,2)&amp;$N1014&amp;"|"&amp;"2"&amp;RIGHT("00000"&amp;1009,5))</f>
        <v/>
      </c>
      <c r="L1014">
        <f>IF($K1014="","",COUNTIFS(LdgPartyA,$F1014,LdgKeyA,"&lt;"&amp;$K1014)+COUNTIFS(LdgPartyB,$F1014,LdgKeyB,"&lt;"&amp;$K1014)+1)</f>
        <v/>
      </c>
      <c r="M1014">
        <f>IF($L1014="","",$F1014&amp;"|"&amp;RIGHT("000000"&amp;$L1014,6))</f>
        <v/>
      </c>
      <c r="N1014">
        <f>IF($F1014="","",IF(Sync!$AH1014="","0000",IF(AND(ISNUMBER(Sync!$AH1014),Sync!$AH1014&gt;=0,Sync!$AH1014&lt;1),RIGHT("00"&amp;HOUR(Sync!$AH1014),2)&amp;RIGHT("00"&amp;MINUTE(Sync!$AH1014),2),IFERROR(RIGHT("00"&amp;VALUE(LEFT(Sync!$AH1014,FIND(":",Sync!$AH1014)-1)),2)&amp;RIGHT("00"&amp;VALUE(MID(Sync!$AH1014,FIND(":",Sync!$AH1014)+1,2)),2),"0000"))))</f>
        <v/>
      </c>
    </row>
    <row r="1015">
      <c r="A1015">
        <f>IF(OR(Calc!$E1018="",Calc!$E1018="نامعتبر",Calc!$G1018="",Calc!$I1018&lt;&gt;"خرید"),"",Calc!$G1018)</f>
        <v/>
      </c>
      <c r="B1015">
        <f>IF($A1015="","",LEFT(Calc!$E1018,4)&amp;MID(Calc!$E1018,6,2)&amp;RIGHT(Calc!$E1018,2)&amp;Calc!$R1018&amp;"|"&amp;"1"&amp;RIGHT("00000"&amp;1010,5))</f>
        <v/>
      </c>
      <c r="C1015">
        <f>IF($B1015="","",COUNTIFS(LdgPartyA,$A1015,LdgKeyA,"&lt;"&amp;$B1015)+COUNTIFS(LdgPartyB,$A1015,LdgKeyB,"&lt;"&amp;$B1015)+1)</f>
        <v/>
      </c>
      <c r="D1015">
        <f>IF($C1015="","",$A1015&amp;"|"&amp;RIGHT("000000"&amp;$C1015,6))</f>
        <v/>
      </c>
      <c r="F1015">
        <f>IF(Sync!$AJ1015="","",Sync!$AJ1015)</f>
        <v/>
      </c>
      <c r="G1015">
        <f>IF($F1015="","",IF(Sync!$AG1015="","",IF(ISNUMBER(Sync!$AG1015),IF(AND(Sync!$AG1015&gt;=10000101,Sync!$AG1015&lt;=99991231),INT(Sync!$AG1015/10000),""),IFERROR(VALUE(TRIM(LEFT(Sync!$AG1015,FIND("/",Sync!$AG1015)-1))),""))))</f>
        <v/>
      </c>
      <c r="H1015">
        <f>IF(OR($F1015="",$G1015=""),"",IF(ISNUMBER(Sync!$AG1015),INT(MOD(Sync!$AG1015,10000)/100),IFERROR(VALUE(TRIM(LEFT(MID(Sync!$AG1015,FIND("/",Sync!$AG1015)+1,20),FIND("/",MID(Sync!$AG1015,FIND("/",Sync!$AG1015)+1,20))-1))),"")))</f>
        <v/>
      </c>
      <c r="I1015">
        <f>IF(OR($F1015="",$G1015=""),"",IF(ISNUMBER(Sync!$AG1015),MOD(Sync!$AG1015,100),IFERROR(VALUE(TRIM(MID(MID(Sync!$AG1015,FIND("/",Sync!$AG1015)+1,20),FIND("/",MID(Sync!$AG1015,FIND("/",Sync!$AG1015)+1,20))+1,20))),"")))</f>
        <v/>
      </c>
      <c r="J1015">
        <f>IF($F1015="","",IF(OR($G1015="",$H1015="",$I1015="",$G1015&lt;1300,$G1015&gt;1500,$H1015&lt;1,$H1015&gt;12,$I1015&lt;1,$I1015&gt;31),"نامعتبر",RIGHT("0000"&amp;$G1015,4)&amp;"/"&amp;RIGHT("00"&amp;$H1015,2)&amp;"/"&amp;RIGHT("00"&amp;$I1015,2)))</f>
        <v/>
      </c>
      <c r="K1015">
        <f>IF(OR($F1015="",$J1015="",$J1015="نامعتبر"),"",LEFT($J1015,4)&amp;MID($J1015,6,2)&amp;RIGHT($J1015,2)&amp;$N1015&amp;"|"&amp;"2"&amp;RIGHT("00000"&amp;1010,5))</f>
        <v/>
      </c>
      <c r="L1015">
        <f>IF($K1015="","",COUNTIFS(LdgPartyA,$F1015,LdgKeyA,"&lt;"&amp;$K1015)+COUNTIFS(LdgPartyB,$F1015,LdgKeyB,"&lt;"&amp;$K1015)+1)</f>
        <v/>
      </c>
      <c r="M1015">
        <f>IF($L1015="","",$F1015&amp;"|"&amp;RIGHT("000000"&amp;$L1015,6))</f>
        <v/>
      </c>
      <c r="N1015">
        <f>IF($F1015="","",IF(Sync!$AH1015="","0000",IF(AND(ISNUMBER(Sync!$AH1015),Sync!$AH1015&gt;=0,Sync!$AH1015&lt;1),RIGHT("00"&amp;HOUR(Sync!$AH1015),2)&amp;RIGHT("00"&amp;MINUTE(Sync!$AH1015),2),IFERROR(RIGHT("00"&amp;VALUE(LEFT(Sync!$AH1015,FIND(":",Sync!$AH1015)-1)),2)&amp;RIGHT("00"&amp;VALUE(MID(Sync!$AH1015,FIND(":",Sync!$AH1015)+1,2)),2),"0000"))))</f>
        <v/>
      </c>
    </row>
    <row r="1016">
      <c r="A1016">
        <f>IF(OR(Calc!$E1019="",Calc!$E1019="نامعتبر",Calc!$G1019="",Calc!$I1019&lt;&gt;"خرید"),"",Calc!$G1019)</f>
        <v/>
      </c>
      <c r="B1016">
        <f>IF($A1016="","",LEFT(Calc!$E1019,4)&amp;MID(Calc!$E1019,6,2)&amp;RIGHT(Calc!$E1019,2)&amp;Calc!$R1019&amp;"|"&amp;"1"&amp;RIGHT("00000"&amp;1011,5))</f>
        <v/>
      </c>
      <c r="C1016">
        <f>IF($B1016="","",COUNTIFS(LdgPartyA,$A1016,LdgKeyA,"&lt;"&amp;$B1016)+COUNTIFS(LdgPartyB,$A1016,LdgKeyB,"&lt;"&amp;$B1016)+1)</f>
        <v/>
      </c>
      <c r="D1016">
        <f>IF($C1016="","",$A1016&amp;"|"&amp;RIGHT("000000"&amp;$C1016,6))</f>
        <v/>
      </c>
      <c r="F1016">
        <f>IF(Sync!$AJ1016="","",Sync!$AJ1016)</f>
        <v/>
      </c>
      <c r="G1016">
        <f>IF($F1016="","",IF(Sync!$AG1016="","",IF(ISNUMBER(Sync!$AG1016),IF(AND(Sync!$AG1016&gt;=10000101,Sync!$AG1016&lt;=99991231),INT(Sync!$AG1016/10000),""),IFERROR(VALUE(TRIM(LEFT(Sync!$AG1016,FIND("/",Sync!$AG1016)-1))),""))))</f>
        <v/>
      </c>
      <c r="H1016">
        <f>IF(OR($F1016="",$G1016=""),"",IF(ISNUMBER(Sync!$AG1016),INT(MOD(Sync!$AG1016,10000)/100),IFERROR(VALUE(TRIM(LEFT(MID(Sync!$AG1016,FIND("/",Sync!$AG1016)+1,20),FIND("/",MID(Sync!$AG1016,FIND("/",Sync!$AG1016)+1,20))-1))),"")))</f>
        <v/>
      </c>
      <c r="I1016">
        <f>IF(OR($F1016="",$G1016=""),"",IF(ISNUMBER(Sync!$AG1016),MOD(Sync!$AG1016,100),IFERROR(VALUE(TRIM(MID(MID(Sync!$AG1016,FIND("/",Sync!$AG1016)+1,20),FIND("/",MID(Sync!$AG1016,FIND("/",Sync!$AG1016)+1,20))+1,20))),"")))</f>
        <v/>
      </c>
      <c r="J1016">
        <f>IF($F1016="","",IF(OR($G1016="",$H1016="",$I1016="",$G1016&lt;1300,$G1016&gt;1500,$H1016&lt;1,$H1016&gt;12,$I1016&lt;1,$I1016&gt;31),"نامعتبر",RIGHT("0000"&amp;$G1016,4)&amp;"/"&amp;RIGHT("00"&amp;$H1016,2)&amp;"/"&amp;RIGHT("00"&amp;$I1016,2)))</f>
        <v/>
      </c>
      <c r="K1016">
        <f>IF(OR($F1016="",$J1016="",$J1016="نامعتبر"),"",LEFT($J1016,4)&amp;MID($J1016,6,2)&amp;RIGHT($J1016,2)&amp;$N1016&amp;"|"&amp;"2"&amp;RIGHT("00000"&amp;1011,5))</f>
        <v/>
      </c>
      <c r="L1016">
        <f>IF($K1016="","",COUNTIFS(LdgPartyA,$F1016,LdgKeyA,"&lt;"&amp;$K1016)+COUNTIFS(LdgPartyB,$F1016,LdgKeyB,"&lt;"&amp;$K1016)+1)</f>
        <v/>
      </c>
      <c r="M1016">
        <f>IF($L1016="","",$F1016&amp;"|"&amp;RIGHT("000000"&amp;$L1016,6))</f>
        <v/>
      </c>
      <c r="N1016">
        <f>IF($F1016="","",IF(Sync!$AH1016="","0000",IF(AND(ISNUMBER(Sync!$AH1016),Sync!$AH1016&gt;=0,Sync!$AH1016&lt;1),RIGHT("00"&amp;HOUR(Sync!$AH1016),2)&amp;RIGHT("00"&amp;MINUTE(Sync!$AH1016),2),IFERROR(RIGHT("00"&amp;VALUE(LEFT(Sync!$AH1016,FIND(":",Sync!$AH1016)-1)),2)&amp;RIGHT("00"&amp;VALUE(MID(Sync!$AH1016,FIND(":",Sync!$AH1016)+1,2)),2),"0000"))))</f>
        <v/>
      </c>
    </row>
    <row r="1017">
      <c r="A1017">
        <f>IF(OR(Calc!$E1020="",Calc!$E1020="نامعتبر",Calc!$G1020="",Calc!$I1020&lt;&gt;"خرید"),"",Calc!$G1020)</f>
        <v/>
      </c>
      <c r="B1017">
        <f>IF($A1017="","",LEFT(Calc!$E1020,4)&amp;MID(Calc!$E1020,6,2)&amp;RIGHT(Calc!$E1020,2)&amp;Calc!$R1020&amp;"|"&amp;"1"&amp;RIGHT("00000"&amp;1012,5))</f>
        <v/>
      </c>
      <c r="C1017">
        <f>IF($B1017="","",COUNTIFS(LdgPartyA,$A1017,LdgKeyA,"&lt;"&amp;$B1017)+COUNTIFS(LdgPartyB,$A1017,LdgKeyB,"&lt;"&amp;$B1017)+1)</f>
        <v/>
      </c>
      <c r="D1017">
        <f>IF($C1017="","",$A1017&amp;"|"&amp;RIGHT("000000"&amp;$C1017,6))</f>
        <v/>
      </c>
      <c r="F1017">
        <f>IF(Sync!$AJ1017="","",Sync!$AJ1017)</f>
        <v/>
      </c>
      <c r="G1017">
        <f>IF($F1017="","",IF(Sync!$AG1017="","",IF(ISNUMBER(Sync!$AG1017),IF(AND(Sync!$AG1017&gt;=10000101,Sync!$AG1017&lt;=99991231),INT(Sync!$AG1017/10000),""),IFERROR(VALUE(TRIM(LEFT(Sync!$AG1017,FIND("/",Sync!$AG1017)-1))),""))))</f>
        <v/>
      </c>
      <c r="H1017">
        <f>IF(OR($F1017="",$G1017=""),"",IF(ISNUMBER(Sync!$AG1017),INT(MOD(Sync!$AG1017,10000)/100),IFERROR(VALUE(TRIM(LEFT(MID(Sync!$AG1017,FIND("/",Sync!$AG1017)+1,20),FIND("/",MID(Sync!$AG1017,FIND("/",Sync!$AG1017)+1,20))-1))),"")))</f>
        <v/>
      </c>
      <c r="I1017">
        <f>IF(OR($F1017="",$G1017=""),"",IF(ISNUMBER(Sync!$AG1017),MOD(Sync!$AG1017,100),IFERROR(VALUE(TRIM(MID(MID(Sync!$AG1017,FIND("/",Sync!$AG1017)+1,20),FIND("/",MID(Sync!$AG1017,FIND("/",Sync!$AG1017)+1,20))+1,20))),"")))</f>
        <v/>
      </c>
      <c r="J1017">
        <f>IF($F1017="","",IF(OR($G1017="",$H1017="",$I1017="",$G1017&lt;1300,$G1017&gt;1500,$H1017&lt;1,$H1017&gt;12,$I1017&lt;1,$I1017&gt;31),"نامعتبر",RIGHT("0000"&amp;$G1017,4)&amp;"/"&amp;RIGHT("00"&amp;$H1017,2)&amp;"/"&amp;RIGHT("00"&amp;$I1017,2)))</f>
        <v/>
      </c>
      <c r="K1017">
        <f>IF(OR($F1017="",$J1017="",$J1017="نامعتبر"),"",LEFT($J1017,4)&amp;MID($J1017,6,2)&amp;RIGHT($J1017,2)&amp;$N1017&amp;"|"&amp;"2"&amp;RIGHT("00000"&amp;1012,5))</f>
        <v/>
      </c>
      <c r="L1017">
        <f>IF($K1017="","",COUNTIFS(LdgPartyA,$F1017,LdgKeyA,"&lt;"&amp;$K1017)+COUNTIFS(LdgPartyB,$F1017,LdgKeyB,"&lt;"&amp;$K1017)+1)</f>
        <v/>
      </c>
      <c r="M1017">
        <f>IF($L1017="","",$F1017&amp;"|"&amp;RIGHT("000000"&amp;$L1017,6))</f>
        <v/>
      </c>
      <c r="N1017">
        <f>IF($F1017="","",IF(Sync!$AH1017="","0000",IF(AND(ISNUMBER(Sync!$AH1017),Sync!$AH1017&gt;=0,Sync!$AH1017&lt;1),RIGHT("00"&amp;HOUR(Sync!$AH1017),2)&amp;RIGHT("00"&amp;MINUTE(Sync!$AH1017),2),IFERROR(RIGHT("00"&amp;VALUE(LEFT(Sync!$AH1017,FIND(":",Sync!$AH1017)-1)),2)&amp;RIGHT("00"&amp;VALUE(MID(Sync!$AH1017,FIND(":",Sync!$AH1017)+1,2)),2),"0000"))))</f>
        <v/>
      </c>
    </row>
    <row r="1018">
      <c r="A1018">
        <f>IF(OR(Calc!$E1021="",Calc!$E1021="نامعتبر",Calc!$G1021="",Calc!$I1021&lt;&gt;"خرید"),"",Calc!$G1021)</f>
        <v/>
      </c>
      <c r="B1018">
        <f>IF($A1018="","",LEFT(Calc!$E1021,4)&amp;MID(Calc!$E1021,6,2)&amp;RIGHT(Calc!$E1021,2)&amp;Calc!$R1021&amp;"|"&amp;"1"&amp;RIGHT("00000"&amp;1013,5))</f>
        <v/>
      </c>
      <c r="C1018">
        <f>IF($B1018="","",COUNTIFS(LdgPartyA,$A1018,LdgKeyA,"&lt;"&amp;$B1018)+COUNTIFS(LdgPartyB,$A1018,LdgKeyB,"&lt;"&amp;$B1018)+1)</f>
        <v/>
      </c>
      <c r="D1018">
        <f>IF($C1018="","",$A1018&amp;"|"&amp;RIGHT("000000"&amp;$C1018,6))</f>
        <v/>
      </c>
      <c r="F1018">
        <f>IF(Sync!$AJ1018="","",Sync!$AJ1018)</f>
        <v/>
      </c>
      <c r="G1018">
        <f>IF($F1018="","",IF(Sync!$AG1018="","",IF(ISNUMBER(Sync!$AG1018),IF(AND(Sync!$AG1018&gt;=10000101,Sync!$AG1018&lt;=99991231),INT(Sync!$AG1018/10000),""),IFERROR(VALUE(TRIM(LEFT(Sync!$AG1018,FIND("/",Sync!$AG1018)-1))),""))))</f>
        <v/>
      </c>
      <c r="H1018">
        <f>IF(OR($F1018="",$G1018=""),"",IF(ISNUMBER(Sync!$AG1018),INT(MOD(Sync!$AG1018,10000)/100),IFERROR(VALUE(TRIM(LEFT(MID(Sync!$AG1018,FIND("/",Sync!$AG1018)+1,20),FIND("/",MID(Sync!$AG1018,FIND("/",Sync!$AG1018)+1,20))-1))),"")))</f>
        <v/>
      </c>
      <c r="I1018">
        <f>IF(OR($F1018="",$G1018=""),"",IF(ISNUMBER(Sync!$AG1018),MOD(Sync!$AG1018,100),IFERROR(VALUE(TRIM(MID(MID(Sync!$AG1018,FIND("/",Sync!$AG1018)+1,20),FIND("/",MID(Sync!$AG1018,FIND("/",Sync!$AG1018)+1,20))+1,20))),"")))</f>
        <v/>
      </c>
      <c r="J1018">
        <f>IF($F1018="","",IF(OR($G1018="",$H1018="",$I1018="",$G1018&lt;1300,$G1018&gt;1500,$H1018&lt;1,$H1018&gt;12,$I1018&lt;1,$I1018&gt;31),"نامعتبر",RIGHT("0000"&amp;$G1018,4)&amp;"/"&amp;RIGHT("00"&amp;$H1018,2)&amp;"/"&amp;RIGHT("00"&amp;$I1018,2)))</f>
        <v/>
      </c>
      <c r="K1018">
        <f>IF(OR($F1018="",$J1018="",$J1018="نامعتبر"),"",LEFT($J1018,4)&amp;MID($J1018,6,2)&amp;RIGHT($J1018,2)&amp;$N1018&amp;"|"&amp;"2"&amp;RIGHT("00000"&amp;1013,5))</f>
        <v/>
      </c>
      <c r="L1018">
        <f>IF($K1018="","",COUNTIFS(LdgPartyA,$F1018,LdgKeyA,"&lt;"&amp;$K1018)+COUNTIFS(LdgPartyB,$F1018,LdgKeyB,"&lt;"&amp;$K1018)+1)</f>
        <v/>
      </c>
      <c r="M1018">
        <f>IF($L1018="","",$F1018&amp;"|"&amp;RIGHT("000000"&amp;$L1018,6))</f>
        <v/>
      </c>
      <c r="N1018">
        <f>IF($F1018="","",IF(Sync!$AH1018="","0000",IF(AND(ISNUMBER(Sync!$AH1018),Sync!$AH1018&gt;=0,Sync!$AH1018&lt;1),RIGHT("00"&amp;HOUR(Sync!$AH1018),2)&amp;RIGHT("00"&amp;MINUTE(Sync!$AH1018),2),IFERROR(RIGHT("00"&amp;VALUE(LEFT(Sync!$AH1018,FIND(":",Sync!$AH1018)-1)),2)&amp;RIGHT("00"&amp;VALUE(MID(Sync!$AH1018,FIND(":",Sync!$AH1018)+1,2)),2),"0000"))))</f>
        <v/>
      </c>
    </row>
    <row r="1019">
      <c r="A1019">
        <f>IF(OR(Calc!$E1022="",Calc!$E1022="نامعتبر",Calc!$G1022="",Calc!$I1022&lt;&gt;"خرید"),"",Calc!$G1022)</f>
        <v/>
      </c>
      <c r="B1019">
        <f>IF($A1019="","",LEFT(Calc!$E1022,4)&amp;MID(Calc!$E1022,6,2)&amp;RIGHT(Calc!$E1022,2)&amp;Calc!$R1022&amp;"|"&amp;"1"&amp;RIGHT("00000"&amp;1014,5))</f>
        <v/>
      </c>
      <c r="C1019">
        <f>IF($B1019="","",COUNTIFS(LdgPartyA,$A1019,LdgKeyA,"&lt;"&amp;$B1019)+COUNTIFS(LdgPartyB,$A1019,LdgKeyB,"&lt;"&amp;$B1019)+1)</f>
        <v/>
      </c>
      <c r="D1019">
        <f>IF($C1019="","",$A1019&amp;"|"&amp;RIGHT("000000"&amp;$C1019,6))</f>
        <v/>
      </c>
      <c r="F1019">
        <f>IF(Sync!$AJ1019="","",Sync!$AJ1019)</f>
        <v/>
      </c>
      <c r="G1019">
        <f>IF($F1019="","",IF(Sync!$AG1019="","",IF(ISNUMBER(Sync!$AG1019),IF(AND(Sync!$AG1019&gt;=10000101,Sync!$AG1019&lt;=99991231),INT(Sync!$AG1019/10000),""),IFERROR(VALUE(TRIM(LEFT(Sync!$AG1019,FIND("/",Sync!$AG1019)-1))),""))))</f>
        <v/>
      </c>
      <c r="H1019">
        <f>IF(OR($F1019="",$G1019=""),"",IF(ISNUMBER(Sync!$AG1019),INT(MOD(Sync!$AG1019,10000)/100),IFERROR(VALUE(TRIM(LEFT(MID(Sync!$AG1019,FIND("/",Sync!$AG1019)+1,20),FIND("/",MID(Sync!$AG1019,FIND("/",Sync!$AG1019)+1,20))-1))),"")))</f>
        <v/>
      </c>
      <c r="I1019">
        <f>IF(OR($F1019="",$G1019=""),"",IF(ISNUMBER(Sync!$AG1019),MOD(Sync!$AG1019,100),IFERROR(VALUE(TRIM(MID(MID(Sync!$AG1019,FIND("/",Sync!$AG1019)+1,20),FIND("/",MID(Sync!$AG1019,FIND("/",Sync!$AG1019)+1,20))+1,20))),"")))</f>
        <v/>
      </c>
      <c r="J1019">
        <f>IF($F1019="","",IF(OR($G1019="",$H1019="",$I1019="",$G1019&lt;1300,$G1019&gt;1500,$H1019&lt;1,$H1019&gt;12,$I1019&lt;1,$I1019&gt;31),"نامعتبر",RIGHT("0000"&amp;$G1019,4)&amp;"/"&amp;RIGHT("00"&amp;$H1019,2)&amp;"/"&amp;RIGHT("00"&amp;$I1019,2)))</f>
        <v/>
      </c>
      <c r="K1019">
        <f>IF(OR($F1019="",$J1019="",$J1019="نامعتبر"),"",LEFT($J1019,4)&amp;MID($J1019,6,2)&amp;RIGHT($J1019,2)&amp;$N1019&amp;"|"&amp;"2"&amp;RIGHT("00000"&amp;1014,5))</f>
        <v/>
      </c>
      <c r="L1019">
        <f>IF($K1019="","",COUNTIFS(LdgPartyA,$F1019,LdgKeyA,"&lt;"&amp;$K1019)+COUNTIFS(LdgPartyB,$F1019,LdgKeyB,"&lt;"&amp;$K1019)+1)</f>
        <v/>
      </c>
      <c r="M1019">
        <f>IF($L1019="","",$F1019&amp;"|"&amp;RIGHT("000000"&amp;$L1019,6))</f>
        <v/>
      </c>
      <c r="N1019">
        <f>IF($F1019="","",IF(Sync!$AH1019="","0000",IF(AND(ISNUMBER(Sync!$AH1019),Sync!$AH1019&gt;=0,Sync!$AH1019&lt;1),RIGHT("00"&amp;HOUR(Sync!$AH1019),2)&amp;RIGHT("00"&amp;MINUTE(Sync!$AH1019),2),IFERROR(RIGHT("00"&amp;VALUE(LEFT(Sync!$AH1019,FIND(":",Sync!$AH1019)-1)),2)&amp;RIGHT("00"&amp;VALUE(MID(Sync!$AH1019,FIND(":",Sync!$AH1019)+1,2)),2),"0000"))))</f>
        <v/>
      </c>
    </row>
    <row r="1020">
      <c r="A1020">
        <f>IF(OR(Calc!$E1023="",Calc!$E1023="نامعتبر",Calc!$G1023="",Calc!$I1023&lt;&gt;"خرید"),"",Calc!$G1023)</f>
        <v/>
      </c>
      <c r="B1020">
        <f>IF($A1020="","",LEFT(Calc!$E1023,4)&amp;MID(Calc!$E1023,6,2)&amp;RIGHT(Calc!$E1023,2)&amp;Calc!$R1023&amp;"|"&amp;"1"&amp;RIGHT("00000"&amp;1015,5))</f>
        <v/>
      </c>
      <c r="C1020">
        <f>IF($B1020="","",COUNTIFS(LdgPartyA,$A1020,LdgKeyA,"&lt;"&amp;$B1020)+COUNTIFS(LdgPartyB,$A1020,LdgKeyB,"&lt;"&amp;$B1020)+1)</f>
        <v/>
      </c>
      <c r="D1020">
        <f>IF($C1020="","",$A1020&amp;"|"&amp;RIGHT("000000"&amp;$C1020,6))</f>
        <v/>
      </c>
      <c r="F1020">
        <f>IF(Sync!$AJ1020="","",Sync!$AJ1020)</f>
        <v/>
      </c>
      <c r="G1020">
        <f>IF($F1020="","",IF(Sync!$AG1020="","",IF(ISNUMBER(Sync!$AG1020),IF(AND(Sync!$AG1020&gt;=10000101,Sync!$AG1020&lt;=99991231),INT(Sync!$AG1020/10000),""),IFERROR(VALUE(TRIM(LEFT(Sync!$AG1020,FIND("/",Sync!$AG1020)-1))),""))))</f>
        <v/>
      </c>
      <c r="H1020">
        <f>IF(OR($F1020="",$G1020=""),"",IF(ISNUMBER(Sync!$AG1020),INT(MOD(Sync!$AG1020,10000)/100),IFERROR(VALUE(TRIM(LEFT(MID(Sync!$AG1020,FIND("/",Sync!$AG1020)+1,20),FIND("/",MID(Sync!$AG1020,FIND("/",Sync!$AG1020)+1,20))-1))),"")))</f>
        <v/>
      </c>
      <c r="I1020">
        <f>IF(OR($F1020="",$G1020=""),"",IF(ISNUMBER(Sync!$AG1020),MOD(Sync!$AG1020,100),IFERROR(VALUE(TRIM(MID(MID(Sync!$AG1020,FIND("/",Sync!$AG1020)+1,20),FIND("/",MID(Sync!$AG1020,FIND("/",Sync!$AG1020)+1,20))+1,20))),"")))</f>
        <v/>
      </c>
      <c r="J1020">
        <f>IF($F1020="","",IF(OR($G1020="",$H1020="",$I1020="",$G1020&lt;1300,$G1020&gt;1500,$H1020&lt;1,$H1020&gt;12,$I1020&lt;1,$I1020&gt;31),"نامعتبر",RIGHT("0000"&amp;$G1020,4)&amp;"/"&amp;RIGHT("00"&amp;$H1020,2)&amp;"/"&amp;RIGHT("00"&amp;$I1020,2)))</f>
        <v/>
      </c>
      <c r="K1020">
        <f>IF(OR($F1020="",$J1020="",$J1020="نامعتبر"),"",LEFT($J1020,4)&amp;MID($J1020,6,2)&amp;RIGHT($J1020,2)&amp;$N1020&amp;"|"&amp;"2"&amp;RIGHT("00000"&amp;1015,5))</f>
        <v/>
      </c>
      <c r="L1020">
        <f>IF($K1020="","",COUNTIFS(LdgPartyA,$F1020,LdgKeyA,"&lt;"&amp;$K1020)+COUNTIFS(LdgPartyB,$F1020,LdgKeyB,"&lt;"&amp;$K1020)+1)</f>
        <v/>
      </c>
      <c r="M1020">
        <f>IF($L1020="","",$F1020&amp;"|"&amp;RIGHT("000000"&amp;$L1020,6))</f>
        <v/>
      </c>
      <c r="N1020">
        <f>IF($F1020="","",IF(Sync!$AH1020="","0000",IF(AND(ISNUMBER(Sync!$AH1020),Sync!$AH1020&gt;=0,Sync!$AH1020&lt;1),RIGHT("00"&amp;HOUR(Sync!$AH1020),2)&amp;RIGHT("00"&amp;MINUTE(Sync!$AH1020),2),IFERROR(RIGHT("00"&amp;VALUE(LEFT(Sync!$AH1020,FIND(":",Sync!$AH1020)-1)),2)&amp;RIGHT("00"&amp;VALUE(MID(Sync!$AH1020,FIND(":",Sync!$AH1020)+1,2)),2),"0000"))))</f>
        <v/>
      </c>
    </row>
    <row r="1021">
      <c r="A1021">
        <f>IF(OR(Calc!$E1024="",Calc!$E1024="نامعتبر",Calc!$G1024="",Calc!$I1024&lt;&gt;"خرید"),"",Calc!$G1024)</f>
        <v/>
      </c>
      <c r="B1021">
        <f>IF($A1021="","",LEFT(Calc!$E1024,4)&amp;MID(Calc!$E1024,6,2)&amp;RIGHT(Calc!$E1024,2)&amp;Calc!$R1024&amp;"|"&amp;"1"&amp;RIGHT("00000"&amp;1016,5))</f>
        <v/>
      </c>
      <c r="C1021">
        <f>IF($B1021="","",COUNTIFS(LdgPartyA,$A1021,LdgKeyA,"&lt;"&amp;$B1021)+COUNTIFS(LdgPartyB,$A1021,LdgKeyB,"&lt;"&amp;$B1021)+1)</f>
        <v/>
      </c>
      <c r="D1021">
        <f>IF($C1021="","",$A1021&amp;"|"&amp;RIGHT("000000"&amp;$C1021,6))</f>
        <v/>
      </c>
      <c r="F1021">
        <f>IF(Sync!$AJ1021="","",Sync!$AJ1021)</f>
        <v/>
      </c>
      <c r="G1021">
        <f>IF($F1021="","",IF(Sync!$AG1021="","",IF(ISNUMBER(Sync!$AG1021),IF(AND(Sync!$AG1021&gt;=10000101,Sync!$AG1021&lt;=99991231),INT(Sync!$AG1021/10000),""),IFERROR(VALUE(TRIM(LEFT(Sync!$AG1021,FIND("/",Sync!$AG1021)-1))),""))))</f>
        <v/>
      </c>
      <c r="H1021">
        <f>IF(OR($F1021="",$G1021=""),"",IF(ISNUMBER(Sync!$AG1021),INT(MOD(Sync!$AG1021,10000)/100),IFERROR(VALUE(TRIM(LEFT(MID(Sync!$AG1021,FIND("/",Sync!$AG1021)+1,20),FIND("/",MID(Sync!$AG1021,FIND("/",Sync!$AG1021)+1,20))-1))),"")))</f>
        <v/>
      </c>
      <c r="I1021">
        <f>IF(OR($F1021="",$G1021=""),"",IF(ISNUMBER(Sync!$AG1021),MOD(Sync!$AG1021,100),IFERROR(VALUE(TRIM(MID(MID(Sync!$AG1021,FIND("/",Sync!$AG1021)+1,20),FIND("/",MID(Sync!$AG1021,FIND("/",Sync!$AG1021)+1,20))+1,20))),"")))</f>
        <v/>
      </c>
      <c r="J1021">
        <f>IF($F1021="","",IF(OR($G1021="",$H1021="",$I1021="",$G1021&lt;1300,$G1021&gt;1500,$H1021&lt;1,$H1021&gt;12,$I1021&lt;1,$I1021&gt;31),"نامعتبر",RIGHT("0000"&amp;$G1021,4)&amp;"/"&amp;RIGHT("00"&amp;$H1021,2)&amp;"/"&amp;RIGHT("00"&amp;$I1021,2)))</f>
        <v/>
      </c>
      <c r="K1021">
        <f>IF(OR($F1021="",$J1021="",$J1021="نامعتبر"),"",LEFT($J1021,4)&amp;MID($J1021,6,2)&amp;RIGHT($J1021,2)&amp;$N1021&amp;"|"&amp;"2"&amp;RIGHT("00000"&amp;1016,5))</f>
        <v/>
      </c>
      <c r="L1021">
        <f>IF($K1021="","",COUNTIFS(LdgPartyA,$F1021,LdgKeyA,"&lt;"&amp;$K1021)+COUNTIFS(LdgPartyB,$F1021,LdgKeyB,"&lt;"&amp;$K1021)+1)</f>
        <v/>
      </c>
      <c r="M1021">
        <f>IF($L1021="","",$F1021&amp;"|"&amp;RIGHT("000000"&amp;$L1021,6))</f>
        <v/>
      </c>
      <c r="N1021">
        <f>IF($F1021="","",IF(Sync!$AH1021="","0000",IF(AND(ISNUMBER(Sync!$AH1021),Sync!$AH1021&gt;=0,Sync!$AH1021&lt;1),RIGHT("00"&amp;HOUR(Sync!$AH1021),2)&amp;RIGHT("00"&amp;MINUTE(Sync!$AH1021),2),IFERROR(RIGHT("00"&amp;VALUE(LEFT(Sync!$AH1021,FIND(":",Sync!$AH1021)-1)),2)&amp;RIGHT("00"&amp;VALUE(MID(Sync!$AH1021,FIND(":",Sync!$AH1021)+1,2)),2),"0000"))))</f>
        <v/>
      </c>
    </row>
    <row r="1022">
      <c r="A1022">
        <f>IF(OR(Calc!$E1025="",Calc!$E1025="نامعتبر",Calc!$G1025="",Calc!$I1025&lt;&gt;"خرید"),"",Calc!$G1025)</f>
        <v/>
      </c>
      <c r="B1022">
        <f>IF($A1022="","",LEFT(Calc!$E1025,4)&amp;MID(Calc!$E1025,6,2)&amp;RIGHT(Calc!$E1025,2)&amp;Calc!$R1025&amp;"|"&amp;"1"&amp;RIGHT("00000"&amp;1017,5))</f>
        <v/>
      </c>
      <c r="C1022">
        <f>IF($B1022="","",COUNTIFS(LdgPartyA,$A1022,LdgKeyA,"&lt;"&amp;$B1022)+COUNTIFS(LdgPartyB,$A1022,LdgKeyB,"&lt;"&amp;$B1022)+1)</f>
        <v/>
      </c>
      <c r="D1022">
        <f>IF($C1022="","",$A1022&amp;"|"&amp;RIGHT("000000"&amp;$C1022,6))</f>
        <v/>
      </c>
      <c r="F1022">
        <f>IF(Sync!$AJ1022="","",Sync!$AJ1022)</f>
        <v/>
      </c>
      <c r="G1022">
        <f>IF($F1022="","",IF(Sync!$AG1022="","",IF(ISNUMBER(Sync!$AG1022),IF(AND(Sync!$AG1022&gt;=10000101,Sync!$AG1022&lt;=99991231),INT(Sync!$AG1022/10000),""),IFERROR(VALUE(TRIM(LEFT(Sync!$AG1022,FIND("/",Sync!$AG1022)-1))),""))))</f>
        <v/>
      </c>
      <c r="H1022">
        <f>IF(OR($F1022="",$G1022=""),"",IF(ISNUMBER(Sync!$AG1022),INT(MOD(Sync!$AG1022,10000)/100),IFERROR(VALUE(TRIM(LEFT(MID(Sync!$AG1022,FIND("/",Sync!$AG1022)+1,20),FIND("/",MID(Sync!$AG1022,FIND("/",Sync!$AG1022)+1,20))-1))),"")))</f>
        <v/>
      </c>
      <c r="I1022">
        <f>IF(OR($F1022="",$G1022=""),"",IF(ISNUMBER(Sync!$AG1022),MOD(Sync!$AG1022,100),IFERROR(VALUE(TRIM(MID(MID(Sync!$AG1022,FIND("/",Sync!$AG1022)+1,20),FIND("/",MID(Sync!$AG1022,FIND("/",Sync!$AG1022)+1,20))+1,20))),"")))</f>
        <v/>
      </c>
      <c r="J1022">
        <f>IF($F1022="","",IF(OR($G1022="",$H1022="",$I1022="",$G1022&lt;1300,$G1022&gt;1500,$H1022&lt;1,$H1022&gt;12,$I1022&lt;1,$I1022&gt;31),"نامعتبر",RIGHT("0000"&amp;$G1022,4)&amp;"/"&amp;RIGHT("00"&amp;$H1022,2)&amp;"/"&amp;RIGHT("00"&amp;$I1022,2)))</f>
        <v/>
      </c>
      <c r="K1022">
        <f>IF(OR($F1022="",$J1022="",$J1022="نامعتبر"),"",LEFT($J1022,4)&amp;MID($J1022,6,2)&amp;RIGHT($J1022,2)&amp;$N1022&amp;"|"&amp;"2"&amp;RIGHT("00000"&amp;1017,5))</f>
        <v/>
      </c>
      <c r="L1022">
        <f>IF($K1022="","",COUNTIFS(LdgPartyA,$F1022,LdgKeyA,"&lt;"&amp;$K1022)+COUNTIFS(LdgPartyB,$F1022,LdgKeyB,"&lt;"&amp;$K1022)+1)</f>
        <v/>
      </c>
      <c r="M1022">
        <f>IF($L1022="","",$F1022&amp;"|"&amp;RIGHT("000000"&amp;$L1022,6))</f>
        <v/>
      </c>
      <c r="N1022">
        <f>IF($F1022="","",IF(Sync!$AH1022="","0000",IF(AND(ISNUMBER(Sync!$AH1022),Sync!$AH1022&gt;=0,Sync!$AH1022&lt;1),RIGHT("00"&amp;HOUR(Sync!$AH1022),2)&amp;RIGHT("00"&amp;MINUTE(Sync!$AH1022),2),IFERROR(RIGHT("00"&amp;VALUE(LEFT(Sync!$AH1022,FIND(":",Sync!$AH1022)-1)),2)&amp;RIGHT("00"&amp;VALUE(MID(Sync!$AH1022,FIND(":",Sync!$AH1022)+1,2)),2),"0000"))))</f>
        <v/>
      </c>
    </row>
    <row r="1023">
      <c r="A1023">
        <f>IF(OR(Calc!$E1026="",Calc!$E1026="نامعتبر",Calc!$G1026="",Calc!$I1026&lt;&gt;"خرید"),"",Calc!$G1026)</f>
        <v/>
      </c>
      <c r="B1023">
        <f>IF($A1023="","",LEFT(Calc!$E1026,4)&amp;MID(Calc!$E1026,6,2)&amp;RIGHT(Calc!$E1026,2)&amp;Calc!$R1026&amp;"|"&amp;"1"&amp;RIGHT("00000"&amp;1018,5))</f>
        <v/>
      </c>
      <c r="C1023">
        <f>IF($B1023="","",COUNTIFS(LdgPartyA,$A1023,LdgKeyA,"&lt;"&amp;$B1023)+COUNTIFS(LdgPartyB,$A1023,LdgKeyB,"&lt;"&amp;$B1023)+1)</f>
        <v/>
      </c>
      <c r="D1023">
        <f>IF($C1023="","",$A1023&amp;"|"&amp;RIGHT("000000"&amp;$C1023,6))</f>
        <v/>
      </c>
      <c r="F1023">
        <f>IF(Sync!$AJ1023="","",Sync!$AJ1023)</f>
        <v/>
      </c>
      <c r="G1023">
        <f>IF($F1023="","",IF(Sync!$AG1023="","",IF(ISNUMBER(Sync!$AG1023),IF(AND(Sync!$AG1023&gt;=10000101,Sync!$AG1023&lt;=99991231),INT(Sync!$AG1023/10000),""),IFERROR(VALUE(TRIM(LEFT(Sync!$AG1023,FIND("/",Sync!$AG1023)-1))),""))))</f>
        <v/>
      </c>
      <c r="H1023">
        <f>IF(OR($F1023="",$G1023=""),"",IF(ISNUMBER(Sync!$AG1023),INT(MOD(Sync!$AG1023,10000)/100),IFERROR(VALUE(TRIM(LEFT(MID(Sync!$AG1023,FIND("/",Sync!$AG1023)+1,20),FIND("/",MID(Sync!$AG1023,FIND("/",Sync!$AG1023)+1,20))-1))),"")))</f>
        <v/>
      </c>
      <c r="I1023">
        <f>IF(OR($F1023="",$G1023=""),"",IF(ISNUMBER(Sync!$AG1023),MOD(Sync!$AG1023,100),IFERROR(VALUE(TRIM(MID(MID(Sync!$AG1023,FIND("/",Sync!$AG1023)+1,20),FIND("/",MID(Sync!$AG1023,FIND("/",Sync!$AG1023)+1,20))+1,20))),"")))</f>
        <v/>
      </c>
      <c r="J1023">
        <f>IF($F1023="","",IF(OR($G1023="",$H1023="",$I1023="",$G1023&lt;1300,$G1023&gt;1500,$H1023&lt;1,$H1023&gt;12,$I1023&lt;1,$I1023&gt;31),"نامعتبر",RIGHT("0000"&amp;$G1023,4)&amp;"/"&amp;RIGHT("00"&amp;$H1023,2)&amp;"/"&amp;RIGHT("00"&amp;$I1023,2)))</f>
        <v/>
      </c>
      <c r="K1023">
        <f>IF(OR($F1023="",$J1023="",$J1023="نامعتبر"),"",LEFT($J1023,4)&amp;MID($J1023,6,2)&amp;RIGHT($J1023,2)&amp;$N1023&amp;"|"&amp;"2"&amp;RIGHT("00000"&amp;1018,5))</f>
        <v/>
      </c>
      <c r="L1023">
        <f>IF($K1023="","",COUNTIFS(LdgPartyA,$F1023,LdgKeyA,"&lt;"&amp;$K1023)+COUNTIFS(LdgPartyB,$F1023,LdgKeyB,"&lt;"&amp;$K1023)+1)</f>
        <v/>
      </c>
      <c r="M1023">
        <f>IF($L1023="","",$F1023&amp;"|"&amp;RIGHT("000000"&amp;$L1023,6))</f>
        <v/>
      </c>
      <c r="N1023">
        <f>IF($F1023="","",IF(Sync!$AH1023="","0000",IF(AND(ISNUMBER(Sync!$AH1023),Sync!$AH1023&gt;=0,Sync!$AH1023&lt;1),RIGHT("00"&amp;HOUR(Sync!$AH1023),2)&amp;RIGHT("00"&amp;MINUTE(Sync!$AH1023),2),IFERROR(RIGHT("00"&amp;VALUE(LEFT(Sync!$AH1023,FIND(":",Sync!$AH1023)-1)),2)&amp;RIGHT("00"&amp;VALUE(MID(Sync!$AH1023,FIND(":",Sync!$AH1023)+1,2)),2),"0000"))))</f>
        <v/>
      </c>
    </row>
    <row r="1024">
      <c r="A1024">
        <f>IF(OR(Calc!$E1027="",Calc!$E1027="نامعتبر",Calc!$G1027="",Calc!$I1027&lt;&gt;"خرید"),"",Calc!$G1027)</f>
        <v/>
      </c>
      <c r="B1024">
        <f>IF($A1024="","",LEFT(Calc!$E1027,4)&amp;MID(Calc!$E1027,6,2)&amp;RIGHT(Calc!$E1027,2)&amp;Calc!$R1027&amp;"|"&amp;"1"&amp;RIGHT("00000"&amp;1019,5))</f>
        <v/>
      </c>
      <c r="C1024">
        <f>IF($B1024="","",COUNTIFS(LdgPartyA,$A1024,LdgKeyA,"&lt;"&amp;$B1024)+COUNTIFS(LdgPartyB,$A1024,LdgKeyB,"&lt;"&amp;$B1024)+1)</f>
        <v/>
      </c>
      <c r="D1024">
        <f>IF($C1024="","",$A1024&amp;"|"&amp;RIGHT("000000"&amp;$C1024,6))</f>
        <v/>
      </c>
      <c r="F1024">
        <f>IF(Sync!$AJ1024="","",Sync!$AJ1024)</f>
        <v/>
      </c>
      <c r="G1024">
        <f>IF($F1024="","",IF(Sync!$AG1024="","",IF(ISNUMBER(Sync!$AG1024),IF(AND(Sync!$AG1024&gt;=10000101,Sync!$AG1024&lt;=99991231),INT(Sync!$AG1024/10000),""),IFERROR(VALUE(TRIM(LEFT(Sync!$AG1024,FIND("/",Sync!$AG1024)-1))),""))))</f>
        <v/>
      </c>
      <c r="H1024">
        <f>IF(OR($F1024="",$G1024=""),"",IF(ISNUMBER(Sync!$AG1024),INT(MOD(Sync!$AG1024,10000)/100),IFERROR(VALUE(TRIM(LEFT(MID(Sync!$AG1024,FIND("/",Sync!$AG1024)+1,20),FIND("/",MID(Sync!$AG1024,FIND("/",Sync!$AG1024)+1,20))-1))),"")))</f>
        <v/>
      </c>
      <c r="I1024">
        <f>IF(OR($F1024="",$G1024=""),"",IF(ISNUMBER(Sync!$AG1024),MOD(Sync!$AG1024,100),IFERROR(VALUE(TRIM(MID(MID(Sync!$AG1024,FIND("/",Sync!$AG1024)+1,20),FIND("/",MID(Sync!$AG1024,FIND("/",Sync!$AG1024)+1,20))+1,20))),"")))</f>
        <v/>
      </c>
      <c r="J1024">
        <f>IF($F1024="","",IF(OR($G1024="",$H1024="",$I1024="",$G1024&lt;1300,$G1024&gt;1500,$H1024&lt;1,$H1024&gt;12,$I1024&lt;1,$I1024&gt;31),"نامعتبر",RIGHT("0000"&amp;$G1024,4)&amp;"/"&amp;RIGHT("00"&amp;$H1024,2)&amp;"/"&amp;RIGHT("00"&amp;$I1024,2)))</f>
        <v/>
      </c>
      <c r="K1024">
        <f>IF(OR($F1024="",$J1024="",$J1024="نامعتبر"),"",LEFT($J1024,4)&amp;MID($J1024,6,2)&amp;RIGHT($J1024,2)&amp;$N1024&amp;"|"&amp;"2"&amp;RIGHT("00000"&amp;1019,5))</f>
        <v/>
      </c>
      <c r="L1024">
        <f>IF($K1024="","",COUNTIFS(LdgPartyA,$F1024,LdgKeyA,"&lt;"&amp;$K1024)+COUNTIFS(LdgPartyB,$F1024,LdgKeyB,"&lt;"&amp;$K1024)+1)</f>
        <v/>
      </c>
      <c r="M1024">
        <f>IF($L1024="","",$F1024&amp;"|"&amp;RIGHT("000000"&amp;$L1024,6))</f>
        <v/>
      </c>
      <c r="N1024">
        <f>IF($F1024="","",IF(Sync!$AH1024="","0000",IF(AND(ISNUMBER(Sync!$AH1024),Sync!$AH1024&gt;=0,Sync!$AH1024&lt;1),RIGHT("00"&amp;HOUR(Sync!$AH1024),2)&amp;RIGHT("00"&amp;MINUTE(Sync!$AH1024),2),IFERROR(RIGHT("00"&amp;VALUE(LEFT(Sync!$AH1024,FIND(":",Sync!$AH1024)-1)),2)&amp;RIGHT("00"&amp;VALUE(MID(Sync!$AH1024,FIND(":",Sync!$AH1024)+1,2)),2),"0000"))))</f>
        <v/>
      </c>
    </row>
    <row r="1025">
      <c r="A1025">
        <f>IF(OR(Calc!$E1028="",Calc!$E1028="نامعتبر",Calc!$G1028="",Calc!$I1028&lt;&gt;"خرید"),"",Calc!$G1028)</f>
        <v/>
      </c>
      <c r="B1025">
        <f>IF($A1025="","",LEFT(Calc!$E1028,4)&amp;MID(Calc!$E1028,6,2)&amp;RIGHT(Calc!$E1028,2)&amp;Calc!$R1028&amp;"|"&amp;"1"&amp;RIGHT("00000"&amp;1020,5))</f>
        <v/>
      </c>
      <c r="C1025">
        <f>IF($B1025="","",COUNTIFS(LdgPartyA,$A1025,LdgKeyA,"&lt;"&amp;$B1025)+COUNTIFS(LdgPartyB,$A1025,LdgKeyB,"&lt;"&amp;$B1025)+1)</f>
        <v/>
      </c>
      <c r="D1025">
        <f>IF($C1025="","",$A1025&amp;"|"&amp;RIGHT("000000"&amp;$C1025,6))</f>
        <v/>
      </c>
      <c r="F1025">
        <f>IF(Sync!$AJ1025="","",Sync!$AJ1025)</f>
        <v/>
      </c>
      <c r="G1025">
        <f>IF($F1025="","",IF(Sync!$AG1025="","",IF(ISNUMBER(Sync!$AG1025),IF(AND(Sync!$AG1025&gt;=10000101,Sync!$AG1025&lt;=99991231),INT(Sync!$AG1025/10000),""),IFERROR(VALUE(TRIM(LEFT(Sync!$AG1025,FIND("/",Sync!$AG1025)-1))),""))))</f>
        <v/>
      </c>
      <c r="H1025">
        <f>IF(OR($F1025="",$G1025=""),"",IF(ISNUMBER(Sync!$AG1025),INT(MOD(Sync!$AG1025,10000)/100),IFERROR(VALUE(TRIM(LEFT(MID(Sync!$AG1025,FIND("/",Sync!$AG1025)+1,20),FIND("/",MID(Sync!$AG1025,FIND("/",Sync!$AG1025)+1,20))-1))),"")))</f>
        <v/>
      </c>
      <c r="I1025">
        <f>IF(OR($F1025="",$G1025=""),"",IF(ISNUMBER(Sync!$AG1025),MOD(Sync!$AG1025,100),IFERROR(VALUE(TRIM(MID(MID(Sync!$AG1025,FIND("/",Sync!$AG1025)+1,20),FIND("/",MID(Sync!$AG1025,FIND("/",Sync!$AG1025)+1,20))+1,20))),"")))</f>
        <v/>
      </c>
      <c r="J1025">
        <f>IF($F1025="","",IF(OR($G1025="",$H1025="",$I1025="",$G1025&lt;1300,$G1025&gt;1500,$H1025&lt;1,$H1025&gt;12,$I1025&lt;1,$I1025&gt;31),"نامعتبر",RIGHT("0000"&amp;$G1025,4)&amp;"/"&amp;RIGHT("00"&amp;$H1025,2)&amp;"/"&amp;RIGHT("00"&amp;$I1025,2)))</f>
        <v/>
      </c>
      <c r="K1025">
        <f>IF(OR($F1025="",$J1025="",$J1025="نامعتبر"),"",LEFT($J1025,4)&amp;MID($J1025,6,2)&amp;RIGHT($J1025,2)&amp;$N1025&amp;"|"&amp;"2"&amp;RIGHT("00000"&amp;1020,5))</f>
        <v/>
      </c>
      <c r="L1025">
        <f>IF($K1025="","",COUNTIFS(LdgPartyA,$F1025,LdgKeyA,"&lt;"&amp;$K1025)+COUNTIFS(LdgPartyB,$F1025,LdgKeyB,"&lt;"&amp;$K1025)+1)</f>
        <v/>
      </c>
      <c r="M1025">
        <f>IF($L1025="","",$F1025&amp;"|"&amp;RIGHT("000000"&amp;$L1025,6))</f>
        <v/>
      </c>
      <c r="N1025">
        <f>IF($F1025="","",IF(Sync!$AH1025="","0000",IF(AND(ISNUMBER(Sync!$AH1025),Sync!$AH1025&gt;=0,Sync!$AH1025&lt;1),RIGHT("00"&amp;HOUR(Sync!$AH1025),2)&amp;RIGHT("00"&amp;MINUTE(Sync!$AH1025),2),IFERROR(RIGHT("00"&amp;VALUE(LEFT(Sync!$AH1025,FIND(":",Sync!$AH1025)-1)),2)&amp;RIGHT("00"&amp;VALUE(MID(Sync!$AH1025,FIND(":",Sync!$AH1025)+1,2)),2),"0000"))))</f>
        <v/>
      </c>
    </row>
    <row r="1026">
      <c r="A1026">
        <f>IF(OR(Calc!$E1029="",Calc!$E1029="نامعتبر",Calc!$G1029="",Calc!$I1029&lt;&gt;"خرید"),"",Calc!$G1029)</f>
        <v/>
      </c>
      <c r="B1026">
        <f>IF($A1026="","",LEFT(Calc!$E1029,4)&amp;MID(Calc!$E1029,6,2)&amp;RIGHT(Calc!$E1029,2)&amp;Calc!$R1029&amp;"|"&amp;"1"&amp;RIGHT("00000"&amp;1021,5))</f>
        <v/>
      </c>
      <c r="C1026">
        <f>IF($B1026="","",COUNTIFS(LdgPartyA,$A1026,LdgKeyA,"&lt;"&amp;$B1026)+COUNTIFS(LdgPartyB,$A1026,LdgKeyB,"&lt;"&amp;$B1026)+1)</f>
        <v/>
      </c>
      <c r="D1026">
        <f>IF($C1026="","",$A1026&amp;"|"&amp;RIGHT("000000"&amp;$C1026,6))</f>
        <v/>
      </c>
      <c r="F1026">
        <f>IF(Sync!$AJ1026="","",Sync!$AJ1026)</f>
        <v/>
      </c>
      <c r="G1026">
        <f>IF($F1026="","",IF(Sync!$AG1026="","",IF(ISNUMBER(Sync!$AG1026),IF(AND(Sync!$AG1026&gt;=10000101,Sync!$AG1026&lt;=99991231),INT(Sync!$AG1026/10000),""),IFERROR(VALUE(TRIM(LEFT(Sync!$AG1026,FIND("/",Sync!$AG1026)-1))),""))))</f>
        <v/>
      </c>
      <c r="H1026">
        <f>IF(OR($F1026="",$G1026=""),"",IF(ISNUMBER(Sync!$AG1026),INT(MOD(Sync!$AG1026,10000)/100),IFERROR(VALUE(TRIM(LEFT(MID(Sync!$AG1026,FIND("/",Sync!$AG1026)+1,20),FIND("/",MID(Sync!$AG1026,FIND("/",Sync!$AG1026)+1,20))-1))),"")))</f>
        <v/>
      </c>
      <c r="I1026">
        <f>IF(OR($F1026="",$G1026=""),"",IF(ISNUMBER(Sync!$AG1026),MOD(Sync!$AG1026,100),IFERROR(VALUE(TRIM(MID(MID(Sync!$AG1026,FIND("/",Sync!$AG1026)+1,20),FIND("/",MID(Sync!$AG1026,FIND("/",Sync!$AG1026)+1,20))+1,20))),"")))</f>
        <v/>
      </c>
      <c r="J1026">
        <f>IF($F1026="","",IF(OR($G1026="",$H1026="",$I1026="",$G1026&lt;1300,$G1026&gt;1500,$H1026&lt;1,$H1026&gt;12,$I1026&lt;1,$I1026&gt;31),"نامعتبر",RIGHT("0000"&amp;$G1026,4)&amp;"/"&amp;RIGHT("00"&amp;$H1026,2)&amp;"/"&amp;RIGHT("00"&amp;$I1026,2)))</f>
        <v/>
      </c>
      <c r="K1026">
        <f>IF(OR($F1026="",$J1026="",$J1026="نامعتبر"),"",LEFT($J1026,4)&amp;MID($J1026,6,2)&amp;RIGHT($J1026,2)&amp;$N1026&amp;"|"&amp;"2"&amp;RIGHT("00000"&amp;1021,5))</f>
        <v/>
      </c>
      <c r="L1026">
        <f>IF($K1026="","",COUNTIFS(LdgPartyA,$F1026,LdgKeyA,"&lt;"&amp;$K1026)+COUNTIFS(LdgPartyB,$F1026,LdgKeyB,"&lt;"&amp;$K1026)+1)</f>
        <v/>
      </c>
      <c r="M1026">
        <f>IF($L1026="","",$F1026&amp;"|"&amp;RIGHT("000000"&amp;$L1026,6))</f>
        <v/>
      </c>
      <c r="N1026">
        <f>IF($F1026="","",IF(Sync!$AH1026="","0000",IF(AND(ISNUMBER(Sync!$AH1026),Sync!$AH1026&gt;=0,Sync!$AH1026&lt;1),RIGHT("00"&amp;HOUR(Sync!$AH1026),2)&amp;RIGHT("00"&amp;MINUTE(Sync!$AH1026),2),IFERROR(RIGHT("00"&amp;VALUE(LEFT(Sync!$AH1026,FIND(":",Sync!$AH1026)-1)),2)&amp;RIGHT("00"&amp;VALUE(MID(Sync!$AH1026,FIND(":",Sync!$AH1026)+1,2)),2),"0000"))))</f>
        <v/>
      </c>
    </row>
    <row r="1027">
      <c r="A1027">
        <f>IF(OR(Calc!$E1030="",Calc!$E1030="نامعتبر",Calc!$G1030="",Calc!$I1030&lt;&gt;"خرید"),"",Calc!$G1030)</f>
        <v/>
      </c>
      <c r="B1027">
        <f>IF($A1027="","",LEFT(Calc!$E1030,4)&amp;MID(Calc!$E1030,6,2)&amp;RIGHT(Calc!$E1030,2)&amp;Calc!$R1030&amp;"|"&amp;"1"&amp;RIGHT("00000"&amp;1022,5))</f>
        <v/>
      </c>
      <c r="C1027">
        <f>IF($B1027="","",COUNTIFS(LdgPartyA,$A1027,LdgKeyA,"&lt;"&amp;$B1027)+COUNTIFS(LdgPartyB,$A1027,LdgKeyB,"&lt;"&amp;$B1027)+1)</f>
        <v/>
      </c>
      <c r="D1027">
        <f>IF($C1027="","",$A1027&amp;"|"&amp;RIGHT("000000"&amp;$C1027,6))</f>
        <v/>
      </c>
      <c r="F1027">
        <f>IF(Sync!$AJ1027="","",Sync!$AJ1027)</f>
        <v/>
      </c>
      <c r="G1027">
        <f>IF($F1027="","",IF(Sync!$AG1027="","",IF(ISNUMBER(Sync!$AG1027),IF(AND(Sync!$AG1027&gt;=10000101,Sync!$AG1027&lt;=99991231),INT(Sync!$AG1027/10000),""),IFERROR(VALUE(TRIM(LEFT(Sync!$AG1027,FIND("/",Sync!$AG1027)-1))),""))))</f>
        <v/>
      </c>
      <c r="H1027">
        <f>IF(OR($F1027="",$G1027=""),"",IF(ISNUMBER(Sync!$AG1027),INT(MOD(Sync!$AG1027,10000)/100),IFERROR(VALUE(TRIM(LEFT(MID(Sync!$AG1027,FIND("/",Sync!$AG1027)+1,20),FIND("/",MID(Sync!$AG1027,FIND("/",Sync!$AG1027)+1,20))-1))),"")))</f>
        <v/>
      </c>
      <c r="I1027">
        <f>IF(OR($F1027="",$G1027=""),"",IF(ISNUMBER(Sync!$AG1027),MOD(Sync!$AG1027,100),IFERROR(VALUE(TRIM(MID(MID(Sync!$AG1027,FIND("/",Sync!$AG1027)+1,20),FIND("/",MID(Sync!$AG1027,FIND("/",Sync!$AG1027)+1,20))+1,20))),"")))</f>
        <v/>
      </c>
      <c r="J1027">
        <f>IF($F1027="","",IF(OR($G1027="",$H1027="",$I1027="",$G1027&lt;1300,$G1027&gt;1500,$H1027&lt;1,$H1027&gt;12,$I1027&lt;1,$I1027&gt;31),"نامعتبر",RIGHT("0000"&amp;$G1027,4)&amp;"/"&amp;RIGHT("00"&amp;$H1027,2)&amp;"/"&amp;RIGHT("00"&amp;$I1027,2)))</f>
        <v/>
      </c>
      <c r="K1027">
        <f>IF(OR($F1027="",$J1027="",$J1027="نامعتبر"),"",LEFT($J1027,4)&amp;MID($J1027,6,2)&amp;RIGHT($J1027,2)&amp;$N1027&amp;"|"&amp;"2"&amp;RIGHT("00000"&amp;1022,5))</f>
        <v/>
      </c>
      <c r="L1027">
        <f>IF($K1027="","",COUNTIFS(LdgPartyA,$F1027,LdgKeyA,"&lt;"&amp;$K1027)+COUNTIFS(LdgPartyB,$F1027,LdgKeyB,"&lt;"&amp;$K1027)+1)</f>
        <v/>
      </c>
      <c r="M1027">
        <f>IF($L1027="","",$F1027&amp;"|"&amp;RIGHT("000000"&amp;$L1027,6))</f>
        <v/>
      </c>
      <c r="N1027">
        <f>IF($F1027="","",IF(Sync!$AH1027="","0000",IF(AND(ISNUMBER(Sync!$AH1027),Sync!$AH1027&gt;=0,Sync!$AH1027&lt;1),RIGHT("00"&amp;HOUR(Sync!$AH1027),2)&amp;RIGHT("00"&amp;MINUTE(Sync!$AH1027),2),IFERROR(RIGHT("00"&amp;VALUE(LEFT(Sync!$AH1027,FIND(":",Sync!$AH1027)-1)),2)&amp;RIGHT("00"&amp;VALUE(MID(Sync!$AH1027,FIND(":",Sync!$AH1027)+1,2)),2),"0000"))))</f>
        <v/>
      </c>
    </row>
    <row r="1028">
      <c r="A1028">
        <f>IF(OR(Calc!$E1031="",Calc!$E1031="نامعتبر",Calc!$G1031="",Calc!$I1031&lt;&gt;"خرید"),"",Calc!$G1031)</f>
        <v/>
      </c>
      <c r="B1028">
        <f>IF($A1028="","",LEFT(Calc!$E1031,4)&amp;MID(Calc!$E1031,6,2)&amp;RIGHT(Calc!$E1031,2)&amp;Calc!$R1031&amp;"|"&amp;"1"&amp;RIGHT("00000"&amp;1023,5))</f>
        <v/>
      </c>
      <c r="C1028">
        <f>IF($B1028="","",COUNTIFS(LdgPartyA,$A1028,LdgKeyA,"&lt;"&amp;$B1028)+COUNTIFS(LdgPartyB,$A1028,LdgKeyB,"&lt;"&amp;$B1028)+1)</f>
        <v/>
      </c>
      <c r="D1028">
        <f>IF($C1028="","",$A1028&amp;"|"&amp;RIGHT("000000"&amp;$C1028,6))</f>
        <v/>
      </c>
      <c r="F1028">
        <f>IF(Sync!$AJ1028="","",Sync!$AJ1028)</f>
        <v/>
      </c>
      <c r="G1028">
        <f>IF($F1028="","",IF(Sync!$AG1028="","",IF(ISNUMBER(Sync!$AG1028),IF(AND(Sync!$AG1028&gt;=10000101,Sync!$AG1028&lt;=99991231),INT(Sync!$AG1028/10000),""),IFERROR(VALUE(TRIM(LEFT(Sync!$AG1028,FIND("/",Sync!$AG1028)-1))),""))))</f>
        <v/>
      </c>
      <c r="H1028">
        <f>IF(OR($F1028="",$G1028=""),"",IF(ISNUMBER(Sync!$AG1028),INT(MOD(Sync!$AG1028,10000)/100),IFERROR(VALUE(TRIM(LEFT(MID(Sync!$AG1028,FIND("/",Sync!$AG1028)+1,20),FIND("/",MID(Sync!$AG1028,FIND("/",Sync!$AG1028)+1,20))-1))),"")))</f>
        <v/>
      </c>
      <c r="I1028">
        <f>IF(OR($F1028="",$G1028=""),"",IF(ISNUMBER(Sync!$AG1028),MOD(Sync!$AG1028,100),IFERROR(VALUE(TRIM(MID(MID(Sync!$AG1028,FIND("/",Sync!$AG1028)+1,20),FIND("/",MID(Sync!$AG1028,FIND("/",Sync!$AG1028)+1,20))+1,20))),"")))</f>
        <v/>
      </c>
      <c r="J1028">
        <f>IF($F1028="","",IF(OR($G1028="",$H1028="",$I1028="",$G1028&lt;1300,$G1028&gt;1500,$H1028&lt;1,$H1028&gt;12,$I1028&lt;1,$I1028&gt;31),"نامعتبر",RIGHT("0000"&amp;$G1028,4)&amp;"/"&amp;RIGHT("00"&amp;$H1028,2)&amp;"/"&amp;RIGHT("00"&amp;$I1028,2)))</f>
        <v/>
      </c>
      <c r="K1028">
        <f>IF(OR($F1028="",$J1028="",$J1028="نامعتبر"),"",LEFT($J1028,4)&amp;MID($J1028,6,2)&amp;RIGHT($J1028,2)&amp;$N1028&amp;"|"&amp;"2"&amp;RIGHT("00000"&amp;1023,5))</f>
        <v/>
      </c>
      <c r="L1028">
        <f>IF($K1028="","",COUNTIFS(LdgPartyA,$F1028,LdgKeyA,"&lt;"&amp;$K1028)+COUNTIFS(LdgPartyB,$F1028,LdgKeyB,"&lt;"&amp;$K1028)+1)</f>
        <v/>
      </c>
      <c r="M1028">
        <f>IF($L1028="","",$F1028&amp;"|"&amp;RIGHT("000000"&amp;$L1028,6))</f>
        <v/>
      </c>
      <c r="N1028">
        <f>IF($F1028="","",IF(Sync!$AH1028="","0000",IF(AND(ISNUMBER(Sync!$AH1028),Sync!$AH1028&gt;=0,Sync!$AH1028&lt;1),RIGHT("00"&amp;HOUR(Sync!$AH1028),2)&amp;RIGHT("00"&amp;MINUTE(Sync!$AH1028),2),IFERROR(RIGHT("00"&amp;VALUE(LEFT(Sync!$AH1028,FIND(":",Sync!$AH1028)-1)),2)&amp;RIGHT("00"&amp;VALUE(MID(Sync!$AH1028,FIND(":",Sync!$AH1028)+1,2)),2),"0000"))))</f>
        <v/>
      </c>
    </row>
    <row r="1029">
      <c r="A1029">
        <f>IF(OR(Calc!$E1032="",Calc!$E1032="نامعتبر",Calc!$G1032="",Calc!$I1032&lt;&gt;"خرید"),"",Calc!$G1032)</f>
        <v/>
      </c>
      <c r="B1029">
        <f>IF($A1029="","",LEFT(Calc!$E1032,4)&amp;MID(Calc!$E1032,6,2)&amp;RIGHT(Calc!$E1032,2)&amp;Calc!$R1032&amp;"|"&amp;"1"&amp;RIGHT("00000"&amp;1024,5))</f>
        <v/>
      </c>
      <c r="C1029">
        <f>IF($B1029="","",COUNTIFS(LdgPartyA,$A1029,LdgKeyA,"&lt;"&amp;$B1029)+COUNTIFS(LdgPartyB,$A1029,LdgKeyB,"&lt;"&amp;$B1029)+1)</f>
        <v/>
      </c>
      <c r="D1029">
        <f>IF($C1029="","",$A1029&amp;"|"&amp;RIGHT("000000"&amp;$C1029,6))</f>
        <v/>
      </c>
      <c r="F1029">
        <f>IF(Sync!$AJ1029="","",Sync!$AJ1029)</f>
        <v/>
      </c>
      <c r="G1029">
        <f>IF($F1029="","",IF(Sync!$AG1029="","",IF(ISNUMBER(Sync!$AG1029),IF(AND(Sync!$AG1029&gt;=10000101,Sync!$AG1029&lt;=99991231),INT(Sync!$AG1029/10000),""),IFERROR(VALUE(TRIM(LEFT(Sync!$AG1029,FIND("/",Sync!$AG1029)-1))),""))))</f>
        <v/>
      </c>
      <c r="H1029">
        <f>IF(OR($F1029="",$G1029=""),"",IF(ISNUMBER(Sync!$AG1029),INT(MOD(Sync!$AG1029,10000)/100),IFERROR(VALUE(TRIM(LEFT(MID(Sync!$AG1029,FIND("/",Sync!$AG1029)+1,20),FIND("/",MID(Sync!$AG1029,FIND("/",Sync!$AG1029)+1,20))-1))),"")))</f>
        <v/>
      </c>
      <c r="I1029">
        <f>IF(OR($F1029="",$G1029=""),"",IF(ISNUMBER(Sync!$AG1029),MOD(Sync!$AG1029,100),IFERROR(VALUE(TRIM(MID(MID(Sync!$AG1029,FIND("/",Sync!$AG1029)+1,20),FIND("/",MID(Sync!$AG1029,FIND("/",Sync!$AG1029)+1,20))+1,20))),"")))</f>
        <v/>
      </c>
      <c r="J1029">
        <f>IF($F1029="","",IF(OR($G1029="",$H1029="",$I1029="",$G1029&lt;1300,$G1029&gt;1500,$H1029&lt;1,$H1029&gt;12,$I1029&lt;1,$I1029&gt;31),"نامعتبر",RIGHT("0000"&amp;$G1029,4)&amp;"/"&amp;RIGHT("00"&amp;$H1029,2)&amp;"/"&amp;RIGHT("00"&amp;$I1029,2)))</f>
        <v/>
      </c>
      <c r="K1029">
        <f>IF(OR($F1029="",$J1029="",$J1029="نامعتبر"),"",LEFT($J1029,4)&amp;MID($J1029,6,2)&amp;RIGHT($J1029,2)&amp;$N1029&amp;"|"&amp;"2"&amp;RIGHT("00000"&amp;1024,5))</f>
        <v/>
      </c>
      <c r="L1029">
        <f>IF($K1029="","",COUNTIFS(LdgPartyA,$F1029,LdgKeyA,"&lt;"&amp;$K1029)+COUNTIFS(LdgPartyB,$F1029,LdgKeyB,"&lt;"&amp;$K1029)+1)</f>
        <v/>
      </c>
      <c r="M1029">
        <f>IF($L1029="","",$F1029&amp;"|"&amp;RIGHT("000000"&amp;$L1029,6))</f>
        <v/>
      </c>
      <c r="N1029">
        <f>IF($F1029="","",IF(Sync!$AH1029="","0000",IF(AND(ISNUMBER(Sync!$AH1029),Sync!$AH1029&gt;=0,Sync!$AH1029&lt;1),RIGHT("00"&amp;HOUR(Sync!$AH1029),2)&amp;RIGHT("00"&amp;MINUTE(Sync!$AH1029),2),IFERROR(RIGHT("00"&amp;VALUE(LEFT(Sync!$AH1029,FIND(":",Sync!$AH1029)-1)),2)&amp;RIGHT("00"&amp;VALUE(MID(Sync!$AH1029,FIND(":",Sync!$AH1029)+1,2)),2),"0000"))))</f>
        <v/>
      </c>
    </row>
    <row r="1030">
      <c r="A1030">
        <f>IF(OR(Calc!$E1033="",Calc!$E1033="نامعتبر",Calc!$G1033="",Calc!$I1033&lt;&gt;"خرید"),"",Calc!$G1033)</f>
        <v/>
      </c>
      <c r="B1030">
        <f>IF($A1030="","",LEFT(Calc!$E1033,4)&amp;MID(Calc!$E1033,6,2)&amp;RIGHT(Calc!$E1033,2)&amp;Calc!$R1033&amp;"|"&amp;"1"&amp;RIGHT("00000"&amp;1025,5))</f>
        <v/>
      </c>
      <c r="C1030">
        <f>IF($B1030="","",COUNTIFS(LdgPartyA,$A1030,LdgKeyA,"&lt;"&amp;$B1030)+COUNTIFS(LdgPartyB,$A1030,LdgKeyB,"&lt;"&amp;$B1030)+1)</f>
        <v/>
      </c>
      <c r="D1030">
        <f>IF($C1030="","",$A1030&amp;"|"&amp;RIGHT("000000"&amp;$C1030,6))</f>
        <v/>
      </c>
      <c r="F1030">
        <f>IF(Sync!$AJ1030="","",Sync!$AJ1030)</f>
        <v/>
      </c>
      <c r="G1030">
        <f>IF($F1030="","",IF(Sync!$AG1030="","",IF(ISNUMBER(Sync!$AG1030),IF(AND(Sync!$AG1030&gt;=10000101,Sync!$AG1030&lt;=99991231),INT(Sync!$AG1030/10000),""),IFERROR(VALUE(TRIM(LEFT(Sync!$AG1030,FIND("/",Sync!$AG1030)-1))),""))))</f>
        <v/>
      </c>
      <c r="H1030">
        <f>IF(OR($F1030="",$G1030=""),"",IF(ISNUMBER(Sync!$AG1030),INT(MOD(Sync!$AG1030,10000)/100),IFERROR(VALUE(TRIM(LEFT(MID(Sync!$AG1030,FIND("/",Sync!$AG1030)+1,20),FIND("/",MID(Sync!$AG1030,FIND("/",Sync!$AG1030)+1,20))-1))),"")))</f>
        <v/>
      </c>
      <c r="I1030">
        <f>IF(OR($F1030="",$G1030=""),"",IF(ISNUMBER(Sync!$AG1030),MOD(Sync!$AG1030,100),IFERROR(VALUE(TRIM(MID(MID(Sync!$AG1030,FIND("/",Sync!$AG1030)+1,20),FIND("/",MID(Sync!$AG1030,FIND("/",Sync!$AG1030)+1,20))+1,20))),"")))</f>
        <v/>
      </c>
      <c r="J1030">
        <f>IF($F1030="","",IF(OR($G1030="",$H1030="",$I1030="",$G1030&lt;1300,$G1030&gt;1500,$H1030&lt;1,$H1030&gt;12,$I1030&lt;1,$I1030&gt;31),"نامعتبر",RIGHT("0000"&amp;$G1030,4)&amp;"/"&amp;RIGHT("00"&amp;$H1030,2)&amp;"/"&amp;RIGHT("00"&amp;$I1030,2)))</f>
        <v/>
      </c>
      <c r="K1030">
        <f>IF(OR($F1030="",$J1030="",$J1030="نامعتبر"),"",LEFT($J1030,4)&amp;MID($J1030,6,2)&amp;RIGHT($J1030,2)&amp;$N1030&amp;"|"&amp;"2"&amp;RIGHT("00000"&amp;1025,5))</f>
        <v/>
      </c>
      <c r="L1030">
        <f>IF($K1030="","",COUNTIFS(LdgPartyA,$F1030,LdgKeyA,"&lt;"&amp;$K1030)+COUNTIFS(LdgPartyB,$F1030,LdgKeyB,"&lt;"&amp;$K1030)+1)</f>
        <v/>
      </c>
      <c r="M1030">
        <f>IF($L1030="","",$F1030&amp;"|"&amp;RIGHT("000000"&amp;$L1030,6))</f>
        <v/>
      </c>
      <c r="N1030">
        <f>IF($F1030="","",IF(Sync!$AH1030="","0000",IF(AND(ISNUMBER(Sync!$AH1030),Sync!$AH1030&gt;=0,Sync!$AH1030&lt;1),RIGHT("00"&amp;HOUR(Sync!$AH1030),2)&amp;RIGHT("00"&amp;MINUTE(Sync!$AH1030),2),IFERROR(RIGHT("00"&amp;VALUE(LEFT(Sync!$AH1030,FIND(":",Sync!$AH1030)-1)),2)&amp;RIGHT("00"&amp;VALUE(MID(Sync!$AH1030,FIND(":",Sync!$AH1030)+1,2)),2),"0000"))))</f>
        <v/>
      </c>
    </row>
    <row r="1031">
      <c r="A1031">
        <f>IF(OR(Calc!$E1034="",Calc!$E1034="نامعتبر",Calc!$G1034="",Calc!$I1034&lt;&gt;"خرید"),"",Calc!$G1034)</f>
        <v/>
      </c>
      <c r="B1031">
        <f>IF($A1031="","",LEFT(Calc!$E1034,4)&amp;MID(Calc!$E1034,6,2)&amp;RIGHT(Calc!$E1034,2)&amp;Calc!$R1034&amp;"|"&amp;"1"&amp;RIGHT("00000"&amp;1026,5))</f>
        <v/>
      </c>
      <c r="C1031">
        <f>IF($B1031="","",COUNTIFS(LdgPartyA,$A1031,LdgKeyA,"&lt;"&amp;$B1031)+COUNTIFS(LdgPartyB,$A1031,LdgKeyB,"&lt;"&amp;$B1031)+1)</f>
        <v/>
      </c>
      <c r="D1031">
        <f>IF($C1031="","",$A1031&amp;"|"&amp;RIGHT("000000"&amp;$C1031,6))</f>
        <v/>
      </c>
      <c r="F1031">
        <f>IF(Sync!$AJ1031="","",Sync!$AJ1031)</f>
        <v/>
      </c>
      <c r="G1031">
        <f>IF($F1031="","",IF(Sync!$AG1031="","",IF(ISNUMBER(Sync!$AG1031),IF(AND(Sync!$AG1031&gt;=10000101,Sync!$AG1031&lt;=99991231),INT(Sync!$AG1031/10000),""),IFERROR(VALUE(TRIM(LEFT(Sync!$AG1031,FIND("/",Sync!$AG1031)-1))),""))))</f>
        <v/>
      </c>
      <c r="H1031">
        <f>IF(OR($F1031="",$G1031=""),"",IF(ISNUMBER(Sync!$AG1031),INT(MOD(Sync!$AG1031,10000)/100),IFERROR(VALUE(TRIM(LEFT(MID(Sync!$AG1031,FIND("/",Sync!$AG1031)+1,20),FIND("/",MID(Sync!$AG1031,FIND("/",Sync!$AG1031)+1,20))-1))),"")))</f>
        <v/>
      </c>
      <c r="I1031">
        <f>IF(OR($F1031="",$G1031=""),"",IF(ISNUMBER(Sync!$AG1031),MOD(Sync!$AG1031,100),IFERROR(VALUE(TRIM(MID(MID(Sync!$AG1031,FIND("/",Sync!$AG1031)+1,20),FIND("/",MID(Sync!$AG1031,FIND("/",Sync!$AG1031)+1,20))+1,20))),"")))</f>
        <v/>
      </c>
      <c r="J1031">
        <f>IF($F1031="","",IF(OR($G1031="",$H1031="",$I1031="",$G1031&lt;1300,$G1031&gt;1500,$H1031&lt;1,$H1031&gt;12,$I1031&lt;1,$I1031&gt;31),"نامعتبر",RIGHT("0000"&amp;$G1031,4)&amp;"/"&amp;RIGHT("00"&amp;$H1031,2)&amp;"/"&amp;RIGHT("00"&amp;$I1031,2)))</f>
        <v/>
      </c>
      <c r="K1031">
        <f>IF(OR($F1031="",$J1031="",$J1031="نامعتبر"),"",LEFT($J1031,4)&amp;MID($J1031,6,2)&amp;RIGHT($J1031,2)&amp;$N1031&amp;"|"&amp;"2"&amp;RIGHT("00000"&amp;1026,5))</f>
        <v/>
      </c>
      <c r="L1031">
        <f>IF($K1031="","",COUNTIFS(LdgPartyA,$F1031,LdgKeyA,"&lt;"&amp;$K1031)+COUNTIFS(LdgPartyB,$F1031,LdgKeyB,"&lt;"&amp;$K1031)+1)</f>
        <v/>
      </c>
      <c r="M1031">
        <f>IF($L1031="","",$F1031&amp;"|"&amp;RIGHT("000000"&amp;$L1031,6))</f>
        <v/>
      </c>
      <c r="N1031">
        <f>IF($F1031="","",IF(Sync!$AH1031="","0000",IF(AND(ISNUMBER(Sync!$AH1031),Sync!$AH1031&gt;=0,Sync!$AH1031&lt;1),RIGHT("00"&amp;HOUR(Sync!$AH1031),2)&amp;RIGHT("00"&amp;MINUTE(Sync!$AH1031),2),IFERROR(RIGHT("00"&amp;VALUE(LEFT(Sync!$AH1031,FIND(":",Sync!$AH1031)-1)),2)&amp;RIGHT("00"&amp;VALUE(MID(Sync!$AH1031,FIND(":",Sync!$AH1031)+1,2)),2),"0000"))))</f>
        <v/>
      </c>
    </row>
    <row r="1032">
      <c r="A1032">
        <f>IF(OR(Calc!$E1035="",Calc!$E1035="نامعتبر",Calc!$G1035="",Calc!$I1035&lt;&gt;"خرید"),"",Calc!$G1035)</f>
        <v/>
      </c>
      <c r="B1032">
        <f>IF($A1032="","",LEFT(Calc!$E1035,4)&amp;MID(Calc!$E1035,6,2)&amp;RIGHT(Calc!$E1035,2)&amp;Calc!$R1035&amp;"|"&amp;"1"&amp;RIGHT("00000"&amp;1027,5))</f>
        <v/>
      </c>
      <c r="C1032">
        <f>IF($B1032="","",COUNTIFS(LdgPartyA,$A1032,LdgKeyA,"&lt;"&amp;$B1032)+COUNTIFS(LdgPartyB,$A1032,LdgKeyB,"&lt;"&amp;$B1032)+1)</f>
        <v/>
      </c>
      <c r="D1032">
        <f>IF($C1032="","",$A1032&amp;"|"&amp;RIGHT("000000"&amp;$C1032,6))</f>
        <v/>
      </c>
      <c r="F1032">
        <f>IF(Sync!$AJ1032="","",Sync!$AJ1032)</f>
        <v/>
      </c>
      <c r="G1032">
        <f>IF($F1032="","",IF(Sync!$AG1032="","",IF(ISNUMBER(Sync!$AG1032),IF(AND(Sync!$AG1032&gt;=10000101,Sync!$AG1032&lt;=99991231),INT(Sync!$AG1032/10000),""),IFERROR(VALUE(TRIM(LEFT(Sync!$AG1032,FIND("/",Sync!$AG1032)-1))),""))))</f>
        <v/>
      </c>
      <c r="H1032">
        <f>IF(OR($F1032="",$G1032=""),"",IF(ISNUMBER(Sync!$AG1032),INT(MOD(Sync!$AG1032,10000)/100),IFERROR(VALUE(TRIM(LEFT(MID(Sync!$AG1032,FIND("/",Sync!$AG1032)+1,20),FIND("/",MID(Sync!$AG1032,FIND("/",Sync!$AG1032)+1,20))-1))),"")))</f>
        <v/>
      </c>
      <c r="I1032">
        <f>IF(OR($F1032="",$G1032=""),"",IF(ISNUMBER(Sync!$AG1032),MOD(Sync!$AG1032,100),IFERROR(VALUE(TRIM(MID(MID(Sync!$AG1032,FIND("/",Sync!$AG1032)+1,20),FIND("/",MID(Sync!$AG1032,FIND("/",Sync!$AG1032)+1,20))+1,20))),"")))</f>
        <v/>
      </c>
      <c r="J1032">
        <f>IF($F1032="","",IF(OR($G1032="",$H1032="",$I1032="",$G1032&lt;1300,$G1032&gt;1500,$H1032&lt;1,$H1032&gt;12,$I1032&lt;1,$I1032&gt;31),"نامعتبر",RIGHT("0000"&amp;$G1032,4)&amp;"/"&amp;RIGHT("00"&amp;$H1032,2)&amp;"/"&amp;RIGHT("00"&amp;$I1032,2)))</f>
        <v/>
      </c>
      <c r="K1032">
        <f>IF(OR($F1032="",$J1032="",$J1032="نامعتبر"),"",LEFT($J1032,4)&amp;MID($J1032,6,2)&amp;RIGHT($J1032,2)&amp;$N1032&amp;"|"&amp;"2"&amp;RIGHT("00000"&amp;1027,5))</f>
        <v/>
      </c>
      <c r="L1032">
        <f>IF($K1032="","",COUNTIFS(LdgPartyA,$F1032,LdgKeyA,"&lt;"&amp;$K1032)+COUNTIFS(LdgPartyB,$F1032,LdgKeyB,"&lt;"&amp;$K1032)+1)</f>
        <v/>
      </c>
      <c r="M1032">
        <f>IF($L1032="","",$F1032&amp;"|"&amp;RIGHT("000000"&amp;$L1032,6))</f>
        <v/>
      </c>
      <c r="N1032">
        <f>IF($F1032="","",IF(Sync!$AH1032="","0000",IF(AND(ISNUMBER(Sync!$AH1032),Sync!$AH1032&gt;=0,Sync!$AH1032&lt;1),RIGHT("00"&amp;HOUR(Sync!$AH1032),2)&amp;RIGHT("00"&amp;MINUTE(Sync!$AH1032),2),IFERROR(RIGHT("00"&amp;VALUE(LEFT(Sync!$AH1032,FIND(":",Sync!$AH1032)-1)),2)&amp;RIGHT("00"&amp;VALUE(MID(Sync!$AH1032,FIND(":",Sync!$AH1032)+1,2)),2),"0000"))))</f>
        <v/>
      </c>
    </row>
    <row r="1033">
      <c r="A1033">
        <f>IF(OR(Calc!$E1036="",Calc!$E1036="نامعتبر",Calc!$G1036="",Calc!$I1036&lt;&gt;"خرید"),"",Calc!$G1036)</f>
        <v/>
      </c>
      <c r="B1033">
        <f>IF($A1033="","",LEFT(Calc!$E1036,4)&amp;MID(Calc!$E1036,6,2)&amp;RIGHT(Calc!$E1036,2)&amp;Calc!$R1036&amp;"|"&amp;"1"&amp;RIGHT("00000"&amp;1028,5))</f>
        <v/>
      </c>
      <c r="C1033">
        <f>IF($B1033="","",COUNTIFS(LdgPartyA,$A1033,LdgKeyA,"&lt;"&amp;$B1033)+COUNTIFS(LdgPartyB,$A1033,LdgKeyB,"&lt;"&amp;$B1033)+1)</f>
        <v/>
      </c>
      <c r="D1033">
        <f>IF($C1033="","",$A1033&amp;"|"&amp;RIGHT("000000"&amp;$C1033,6))</f>
        <v/>
      </c>
      <c r="F1033">
        <f>IF(Sync!$AJ1033="","",Sync!$AJ1033)</f>
        <v/>
      </c>
      <c r="G1033">
        <f>IF($F1033="","",IF(Sync!$AG1033="","",IF(ISNUMBER(Sync!$AG1033),IF(AND(Sync!$AG1033&gt;=10000101,Sync!$AG1033&lt;=99991231),INT(Sync!$AG1033/10000),""),IFERROR(VALUE(TRIM(LEFT(Sync!$AG1033,FIND("/",Sync!$AG1033)-1))),""))))</f>
        <v/>
      </c>
      <c r="H1033">
        <f>IF(OR($F1033="",$G1033=""),"",IF(ISNUMBER(Sync!$AG1033),INT(MOD(Sync!$AG1033,10000)/100),IFERROR(VALUE(TRIM(LEFT(MID(Sync!$AG1033,FIND("/",Sync!$AG1033)+1,20),FIND("/",MID(Sync!$AG1033,FIND("/",Sync!$AG1033)+1,20))-1))),"")))</f>
        <v/>
      </c>
      <c r="I1033">
        <f>IF(OR($F1033="",$G1033=""),"",IF(ISNUMBER(Sync!$AG1033),MOD(Sync!$AG1033,100),IFERROR(VALUE(TRIM(MID(MID(Sync!$AG1033,FIND("/",Sync!$AG1033)+1,20),FIND("/",MID(Sync!$AG1033,FIND("/",Sync!$AG1033)+1,20))+1,20))),"")))</f>
        <v/>
      </c>
      <c r="J1033">
        <f>IF($F1033="","",IF(OR($G1033="",$H1033="",$I1033="",$G1033&lt;1300,$G1033&gt;1500,$H1033&lt;1,$H1033&gt;12,$I1033&lt;1,$I1033&gt;31),"نامعتبر",RIGHT("0000"&amp;$G1033,4)&amp;"/"&amp;RIGHT("00"&amp;$H1033,2)&amp;"/"&amp;RIGHT("00"&amp;$I1033,2)))</f>
        <v/>
      </c>
      <c r="K1033">
        <f>IF(OR($F1033="",$J1033="",$J1033="نامعتبر"),"",LEFT($J1033,4)&amp;MID($J1033,6,2)&amp;RIGHT($J1033,2)&amp;$N1033&amp;"|"&amp;"2"&amp;RIGHT("00000"&amp;1028,5))</f>
        <v/>
      </c>
      <c r="L1033">
        <f>IF($K1033="","",COUNTIFS(LdgPartyA,$F1033,LdgKeyA,"&lt;"&amp;$K1033)+COUNTIFS(LdgPartyB,$F1033,LdgKeyB,"&lt;"&amp;$K1033)+1)</f>
        <v/>
      </c>
      <c r="M1033">
        <f>IF($L1033="","",$F1033&amp;"|"&amp;RIGHT("000000"&amp;$L1033,6))</f>
        <v/>
      </c>
      <c r="N1033">
        <f>IF($F1033="","",IF(Sync!$AH1033="","0000",IF(AND(ISNUMBER(Sync!$AH1033),Sync!$AH1033&gt;=0,Sync!$AH1033&lt;1),RIGHT("00"&amp;HOUR(Sync!$AH1033),2)&amp;RIGHT("00"&amp;MINUTE(Sync!$AH1033),2),IFERROR(RIGHT("00"&amp;VALUE(LEFT(Sync!$AH1033,FIND(":",Sync!$AH1033)-1)),2)&amp;RIGHT("00"&amp;VALUE(MID(Sync!$AH1033,FIND(":",Sync!$AH1033)+1,2)),2),"0000"))))</f>
        <v/>
      </c>
    </row>
    <row r="1034">
      <c r="A1034">
        <f>IF(OR(Calc!$E1037="",Calc!$E1037="نامعتبر",Calc!$G1037="",Calc!$I1037&lt;&gt;"خرید"),"",Calc!$G1037)</f>
        <v/>
      </c>
      <c r="B1034">
        <f>IF($A1034="","",LEFT(Calc!$E1037,4)&amp;MID(Calc!$E1037,6,2)&amp;RIGHT(Calc!$E1037,2)&amp;Calc!$R1037&amp;"|"&amp;"1"&amp;RIGHT("00000"&amp;1029,5))</f>
        <v/>
      </c>
      <c r="C1034">
        <f>IF($B1034="","",COUNTIFS(LdgPartyA,$A1034,LdgKeyA,"&lt;"&amp;$B1034)+COUNTIFS(LdgPartyB,$A1034,LdgKeyB,"&lt;"&amp;$B1034)+1)</f>
        <v/>
      </c>
      <c r="D1034">
        <f>IF($C1034="","",$A1034&amp;"|"&amp;RIGHT("000000"&amp;$C1034,6))</f>
        <v/>
      </c>
      <c r="F1034">
        <f>IF(Sync!$AJ1034="","",Sync!$AJ1034)</f>
        <v/>
      </c>
      <c r="G1034">
        <f>IF($F1034="","",IF(Sync!$AG1034="","",IF(ISNUMBER(Sync!$AG1034),IF(AND(Sync!$AG1034&gt;=10000101,Sync!$AG1034&lt;=99991231),INT(Sync!$AG1034/10000),""),IFERROR(VALUE(TRIM(LEFT(Sync!$AG1034,FIND("/",Sync!$AG1034)-1))),""))))</f>
        <v/>
      </c>
      <c r="H1034">
        <f>IF(OR($F1034="",$G1034=""),"",IF(ISNUMBER(Sync!$AG1034),INT(MOD(Sync!$AG1034,10000)/100),IFERROR(VALUE(TRIM(LEFT(MID(Sync!$AG1034,FIND("/",Sync!$AG1034)+1,20),FIND("/",MID(Sync!$AG1034,FIND("/",Sync!$AG1034)+1,20))-1))),"")))</f>
        <v/>
      </c>
      <c r="I1034">
        <f>IF(OR($F1034="",$G1034=""),"",IF(ISNUMBER(Sync!$AG1034),MOD(Sync!$AG1034,100),IFERROR(VALUE(TRIM(MID(MID(Sync!$AG1034,FIND("/",Sync!$AG1034)+1,20),FIND("/",MID(Sync!$AG1034,FIND("/",Sync!$AG1034)+1,20))+1,20))),"")))</f>
        <v/>
      </c>
      <c r="J1034">
        <f>IF($F1034="","",IF(OR($G1034="",$H1034="",$I1034="",$G1034&lt;1300,$G1034&gt;1500,$H1034&lt;1,$H1034&gt;12,$I1034&lt;1,$I1034&gt;31),"نامعتبر",RIGHT("0000"&amp;$G1034,4)&amp;"/"&amp;RIGHT("00"&amp;$H1034,2)&amp;"/"&amp;RIGHT("00"&amp;$I1034,2)))</f>
        <v/>
      </c>
      <c r="K1034">
        <f>IF(OR($F1034="",$J1034="",$J1034="نامعتبر"),"",LEFT($J1034,4)&amp;MID($J1034,6,2)&amp;RIGHT($J1034,2)&amp;$N1034&amp;"|"&amp;"2"&amp;RIGHT("00000"&amp;1029,5))</f>
        <v/>
      </c>
      <c r="L1034">
        <f>IF($K1034="","",COUNTIFS(LdgPartyA,$F1034,LdgKeyA,"&lt;"&amp;$K1034)+COUNTIFS(LdgPartyB,$F1034,LdgKeyB,"&lt;"&amp;$K1034)+1)</f>
        <v/>
      </c>
      <c r="M1034">
        <f>IF($L1034="","",$F1034&amp;"|"&amp;RIGHT("000000"&amp;$L1034,6))</f>
        <v/>
      </c>
      <c r="N1034">
        <f>IF($F1034="","",IF(Sync!$AH1034="","0000",IF(AND(ISNUMBER(Sync!$AH1034),Sync!$AH1034&gt;=0,Sync!$AH1034&lt;1),RIGHT("00"&amp;HOUR(Sync!$AH1034),2)&amp;RIGHT("00"&amp;MINUTE(Sync!$AH1034),2),IFERROR(RIGHT("00"&amp;VALUE(LEFT(Sync!$AH1034,FIND(":",Sync!$AH1034)-1)),2)&amp;RIGHT("00"&amp;VALUE(MID(Sync!$AH1034,FIND(":",Sync!$AH1034)+1,2)),2),"0000"))))</f>
        <v/>
      </c>
    </row>
    <row r="1035">
      <c r="A1035">
        <f>IF(OR(Calc!$E1038="",Calc!$E1038="نامعتبر",Calc!$G1038="",Calc!$I1038&lt;&gt;"خرید"),"",Calc!$G1038)</f>
        <v/>
      </c>
      <c r="B1035">
        <f>IF($A1035="","",LEFT(Calc!$E1038,4)&amp;MID(Calc!$E1038,6,2)&amp;RIGHT(Calc!$E1038,2)&amp;Calc!$R1038&amp;"|"&amp;"1"&amp;RIGHT("00000"&amp;1030,5))</f>
        <v/>
      </c>
      <c r="C1035">
        <f>IF($B1035="","",COUNTIFS(LdgPartyA,$A1035,LdgKeyA,"&lt;"&amp;$B1035)+COUNTIFS(LdgPartyB,$A1035,LdgKeyB,"&lt;"&amp;$B1035)+1)</f>
        <v/>
      </c>
      <c r="D1035">
        <f>IF($C1035="","",$A1035&amp;"|"&amp;RIGHT("000000"&amp;$C1035,6))</f>
        <v/>
      </c>
      <c r="F1035">
        <f>IF(Sync!$AJ1035="","",Sync!$AJ1035)</f>
        <v/>
      </c>
      <c r="G1035">
        <f>IF($F1035="","",IF(Sync!$AG1035="","",IF(ISNUMBER(Sync!$AG1035),IF(AND(Sync!$AG1035&gt;=10000101,Sync!$AG1035&lt;=99991231),INT(Sync!$AG1035/10000),""),IFERROR(VALUE(TRIM(LEFT(Sync!$AG1035,FIND("/",Sync!$AG1035)-1))),""))))</f>
        <v/>
      </c>
      <c r="H1035">
        <f>IF(OR($F1035="",$G1035=""),"",IF(ISNUMBER(Sync!$AG1035),INT(MOD(Sync!$AG1035,10000)/100),IFERROR(VALUE(TRIM(LEFT(MID(Sync!$AG1035,FIND("/",Sync!$AG1035)+1,20),FIND("/",MID(Sync!$AG1035,FIND("/",Sync!$AG1035)+1,20))-1))),"")))</f>
        <v/>
      </c>
      <c r="I1035">
        <f>IF(OR($F1035="",$G1035=""),"",IF(ISNUMBER(Sync!$AG1035),MOD(Sync!$AG1035,100),IFERROR(VALUE(TRIM(MID(MID(Sync!$AG1035,FIND("/",Sync!$AG1035)+1,20),FIND("/",MID(Sync!$AG1035,FIND("/",Sync!$AG1035)+1,20))+1,20))),"")))</f>
        <v/>
      </c>
      <c r="J1035">
        <f>IF($F1035="","",IF(OR($G1035="",$H1035="",$I1035="",$G1035&lt;1300,$G1035&gt;1500,$H1035&lt;1,$H1035&gt;12,$I1035&lt;1,$I1035&gt;31),"نامعتبر",RIGHT("0000"&amp;$G1035,4)&amp;"/"&amp;RIGHT("00"&amp;$H1035,2)&amp;"/"&amp;RIGHT("00"&amp;$I1035,2)))</f>
        <v/>
      </c>
      <c r="K1035">
        <f>IF(OR($F1035="",$J1035="",$J1035="نامعتبر"),"",LEFT($J1035,4)&amp;MID($J1035,6,2)&amp;RIGHT($J1035,2)&amp;$N1035&amp;"|"&amp;"2"&amp;RIGHT("00000"&amp;1030,5))</f>
        <v/>
      </c>
      <c r="L1035">
        <f>IF($K1035="","",COUNTIFS(LdgPartyA,$F1035,LdgKeyA,"&lt;"&amp;$K1035)+COUNTIFS(LdgPartyB,$F1035,LdgKeyB,"&lt;"&amp;$K1035)+1)</f>
        <v/>
      </c>
      <c r="M1035">
        <f>IF($L1035="","",$F1035&amp;"|"&amp;RIGHT("000000"&amp;$L1035,6))</f>
        <v/>
      </c>
      <c r="N1035">
        <f>IF($F1035="","",IF(Sync!$AH1035="","0000",IF(AND(ISNUMBER(Sync!$AH1035),Sync!$AH1035&gt;=0,Sync!$AH1035&lt;1),RIGHT("00"&amp;HOUR(Sync!$AH1035),2)&amp;RIGHT("00"&amp;MINUTE(Sync!$AH1035),2),IFERROR(RIGHT("00"&amp;VALUE(LEFT(Sync!$AH1035,FIND(":",Sync!$AH1035)-1)),2)&amp;RIGHT("00"&amp;VALUE(MID(Sync!$AH1035,FIND(":",Sync!$AH1035)+1,2)),2),"0000"))))</f>
        <v/>
      </c>
    </row>
    <row r="1036">
      <c r="A1036">
        <f>IF(OR(Calc!$E1039="",Calc!$E1039="نامعتبر",Calc!$G1039="",Calc!$I1039&lt;&gt;"خرید"),"",Calc!$G1039)</f>
        <v/>
      </c>
      <c r="B1036">
        <f>IF($A1036="","",LEFT(Calc!$E1039,4)&amp;MID(Calc!$E1039,6,2)&amp;RIGHT(Calc!$E1039,2)&amp;Calc!$R1039&amp;"|"&amp;"1"&amp;RIGHT("00000"&amp;1031,5))</f>
        <v/>
      </c>
      <c r="C1036">
        <f>IF($B1036="","",COUNTIFS(LdgPartyA,$A1036,LdgKeyA,"&lt;"&amp;$B1036)+COUNTIFS(LdgPartyB,$A1036,LdgKeyB,"&lt;"&amp;$B1036)+1)</f>
        <v/>
      </c>
      <c r="D1036">
        <f>IF($C1036="","",$A1036&amp;"|"&amp;RIGHT("000000"&amp;$C1036,6))</f>
        <v/>
      </c>
      <c r="F1036">
        <f>IF(Sync!$AJ1036="","",Sync!$AJ1036)</f>
        <v/>
      </c>
      <c r="G1036">
        <f>IF($F1036="","",IF(Sync!$AG1036="","",IF(ISNUMBER(Sync!$AG1036),IF(AND(Sync!$AG1036&gt;=10000101,Sync!$AG1036&lt;=99991231),INT(Sync!$AG1036/10000),""),IFERROR(VALUE(TRIM(LEFT(Sync!$AG1036,FIND("/",Sync!$AG1036)-1))),""))))</f>
        <v/>
      </c>
      <c r="H1036">
        <f>IF(OR($F1036="",$G1036=""),"",IF(ISNUMBER(Sync!$AG1036),INT(MOD(Sync!$AG1036,10000)/100),IFERROR(VALUE(TRIM(LEFT(MID(Sync!$AG1036,FIND("/",Sync!$AG1036)+1,20),FIND("/",MID(Sync!$AG1036,FIND("/",Sync!$AG1036)+1,20))-1))),"")))</f>
        <v/>
      </c>
      <c r="I1036">
        <f>IF(OR($F1036="",$G1036=""),"",IF(ISNUMBER(Sync!$AG1036),MOD(Sync!$AG1036,100),IFERROR(VALUE(TRIM(MID(MID(Sync!$AG1036,FIND("/",Sync!$AG1036)+1,20),FIND("/",MID(Sync!$AG1036,FIND("/",Sync!$AG1036)+1,20))+1,20))),"")))</f>
        <v/>
      </c>
      <c r="J1036">
        <f>IF($F1036="","",IF(OR($G1036="",$H1036="",$I1036="",$G1036&lt;1300,$G1036&gt;1500,$H1036&lt;1,$H1036&gt;12,$I1036&lt;1,$I1036&gt;31),"نامعتبر",RIGHT("0000"&amp;$G1036,4)&amp;"/"&amp;RIGHT("00"&amp;$H1036,2)&amp;"/"&amp;RIGHT("00"&amp;$I1036,2)))</f>
        <v/>
      </c>
      <c r="K1036">
        <f>IF(OR($F1036="",$J1036="",$J1036="نامعتبر"),"",LEFT($J1036,4)&amp;MID($J1036,6,2)&amp;RIGHT($J1036,2)&amp;$N1036&amp;"|"&amp;"2"&amp;RIGHT("00000"&amp;1031,5))</f>
        <v/>
      </c>
      <c r="L1036">
        <f>IF($K1036="","",COUNTIFS(LdgPartyA,$F1036,LdgKeyA,"&lt;"&amp;$K1036)+COUNTIFS(LdgPartyB,$F1036,LdgKeyB,"&lt;"&amp;$K1036)+1)</f>
        <v/>
      </c>
      <c r="M1036">
        <f>IF($L1036="","",$F1036&amp;"|"&amp;RIGHT("000000"&amp;$L1036,6))</f>
        <v/>
      </c>
      <c r="N1036">
        <f>IF($F1036="","",IF(Sync!$AH1036="","0000",IF(AND(ISNUMBER(Sync!$AH1036),Sync!$AH1036&gt;=0,Sync!$AH1036&lt;1),RIGHT("00"&amp;HOUR(Sync!$AH1036),2)&amp;RIGHT("00"&amp;MINUTE(Sync!$AH1036),2),IFERROR(RIGHT("00"&amp;VALUE(LEFT(Sync!$AH1036,FIND(":",Sync!$AH1036)-1)),2)&amp;RIGHT("00"&amp;VALUE(MID(Sync!$AH1036,FIND(":",Sync!$AH1036)+1,2)),2),"0000"))))</f>
        <v/>
      </c>
    </row>
    <row r="1037">
      <c r="A1037">
        <f>IF(OR(Calc!$E1040="",Calc!$E1040="نامعتبر",Calc!$G1040="",Calc!$I1040&lt;&gt;"خرید"),"",Calc!$G1040)</f>
        <v/>
      </c>
      <c r="B1037">
        <f>IF($A1037="","",LEFT(Calc!$E1040,4)&amp;MID(Calc!$E1040,6,2)&amp;RIGHT(Calc!$E1040,2)&amp;Calc!$R1040&amp;"|"&amp;"1"&amp;RIGHT("00000"&amp;1032,5))</f>
        <v/>
      </c>
      <c r="C1037">
        <f>IF($B1037="","",COUNTIFS(LdgPartyA,$A1037,LdgKeyA,"&lt;"&amp;$B1037)+COUNTIFS(LdgPartyB,$A1037,LdgKeyB,"&lt;"&amp;$B1037)+1)</f>
        <v/>
      </c>
      <c r="D1037">
        <f>IF($C1037="","",$A1037&amp;"|"&amp;RIGHT("000000"&amp;$C1037,6))</f>
        <v/>
      </c>
      <c r="F1037">
        <f>IF(Sync!$AJ1037="","",Sync!$AJ1037)</f>
        <v/>
      </c>
      <c r="G1037">
        <f>IF($F1037="","",IF(Sync!$AG1037="","",IF(ISNUMBER(Sync!$AG1037),IF(AND(Sync!$AG1037&gt;=10000101,Sync!$AG1037&lt;=99991231),INT(Sync!$AG1037/10000),""),IFERROR(VALUE(TRIM(LEFT(Sync!$AG1037,FIND("/",Sync!$AG1037)-1))),""))))</f>
        <v/>
      </c>
      <c r="H1037">
        <f>IF(OR($F1037="",$G1037=""),"",IF(ISNUMBER(Sync!$AG1037),INT(MOD(Sync!$AG1037,10000)/100),IFERROR(VALUE(TRIM(LEFT(MID(Sync!$AG1037,FIND("/",Sync!$AG1037)+1,20),FIND("/",MID(Sync!$AG1037,FIND("/",Sync!$AG1037)+1,20))-1))),"")))</f>
        <v/>
      </c>
      <c r="I1037">
        <f>IF(OR($F1037="",$G1037=""),"",IF(ISNUMBER(Sync!$AG1037),MOD(Sync!$AG1037,100),IFERROR(VALUE(TRIM(MID(MID(Sync!$AG1037,FIND("/",Sync!$AG1037)+1,20),FIND("/",MID(Sync!$AG1037,FIND("/",Sync!$AG1037)+1,20))+1,20))),"")))</f>
        <v/>
      </c>
      <c r="J1037">
        <f>IF($F1037="","",IF(OR($G1037="",$H1037="",$I1037="",$G1037&lt;1300,$G1037&gt;1500,$H1037&lt;1,$H1037&gt;12,$I1037&lt;1,$I1037&gt;31),"نامعتبر",RIGHT("0000"&amp;$G1037,4)&amp;"/"&amp;RIGHT("00"&amp;$H1037,2)&amp;"/"&amp;RIGHT("00"&amp;$I1037,2)))</f>
        <v/>
      </c>
      <c r="K1037">
        <f>IF(OR($F1037="",$J1037="",$J1037="نامعتبر"),"",LEFT($J1037,4)&amp;MID($J1037,6,2)&amp;RIGHT($J1037,2)&amp;$N1037&amp;"|"&amp;"2"&amp;RIGHT("00000"&amp;1032,5))</f>
        <v/>
      </c>
      <c r="L1037">
        <f>IF($K1037="","",COUNTIFS(LdgPartyA,$F1037,LdgKeyA,"&lt;"&amp;$K1037)+COUNTIFS(LdgPartyB,$F1037,LdgKeyB,"&lt;"&amp;$K1037)+1)</f>
        <v/>
      </c>
      <c r="M1037">
        <f>IF($L1037="","",$F1037&amp;"|"&amp;RIGHT("000000"&amp;$L1037,6))</f>
        <v/>
      </c>
      <c r="N1037">
        <f>IF($F1037="","",IF(Sync!$AH1037="","0000",IF(AND(ISNUMBER(Sync!$AH1037),Sync!$AH1037&gt;=0,Sync!$AH1037&lt;1),RIGHT("00"&amp;HOUR(Sync!$AH1037),2)&amp;RIGHT("00"&amp;MINUTE(Sync!$AH1037),2),IFERROR(RIGHT("00"&amp;VALUE(LEFT(Sync!$AH1037,FIND(":",Sync!$AH1037)-1)),2)&amp;RIGHT("00"&amp;VALUE(MID(Sync!$AH1037,FIND(":",Sync!$AH1037)+1,2)),2),"0000"))))</f>
        <v/>
      </c>
    </row>
    <row r="1038">
      <c r="A1038">
        <f>IF(OR(Calc!$E1041="",Calc!$E1041="نامعتبر",Calc!$G1041="",Calc!$I1041&lt;&gt;"خرید"),"",Calc!$G1041)</f>
        <v/>
      </c>
      <c r="B1038">
        <f>IF($A1038="","",LEFT(Calc!$E1041,4)&amp;MID(Calc!$E1041,6,2)&amp;RIGHT(Calc!$E1041,2)&amp;Calc!$R1041&amp;"|"&amp;"1"&amp;RIGHT("00000"&amp;1033,5))</f>
        <v/>
      </c>
      <c r="C1038">
        <f>IF($B1038="","",COUNTIFS(LdgPartyA,$A1038,LdgKeyA,"&lt;"&amp;$B1038)+COUNTIFS(LdgPartyB,$A1038,LdgKeyB,"&lt;"&amp;$B1038)+1)</f>
        <v/>
      </c>
      <c r="D1038">
        <f>IF($C1038="","",$A1038&amp;"|"&amp;RIGHT("000000"&amp;$C1038,6))</f>
        <v/>
      </c>
      <c r="F1038">
        <f>IF(Sync!$AJ1038="","",Sync!$AJ1038)</f>
        <v/>
      </c>
      <c r="G1038">
        <f>IF($F1038="","",IF(Sync!$AG1038="","",IF(ISNUMBER(Sync!$AG1038),IF(AND(Sync!$AG1038&gt;=10000101,Sync!$AG1038&lt;=99991231),INT(Sync!$AG1038/10000),""),IFERROR(VALUE(TRIM(LEFT(Sync!$AG1038,FIND("/",Sync!$AG1038)-1))),""))))</f>
        <v/>
      </c>
      <c r="H1038">
        <f>IF(OR($F1038="",$G1038=""),"",IF(ISNUMBER(Sync!$AG1038),INT(MOD(Sync!$AG1038,10000)/100),IFERROR(VALUE(TRIM(LEFT(MID(Sync!$AG1038,FIND("/",Sync!$AG1038)+1,20),FIND("/",MID(Sync!$AG1038,FIND("/",Sync!$AG1038)+1,20))-1))),"")))</f>
        <v/>
      </c>
      <c r="I1038">
        <f>IF(OR($F1038="",$G1038=""),"",IF(ISNUMBER(Sync!$AG1038),MOD(Sync!$AG1038,100),IFERROR(VALUE(TRIM(MID(MID(Sync!$AG1038,FIND("/",Sync!$AG1038)+1,20),FIND("/",MID(Sync!$AG1038,FIND("/",Sync!$AG1038)+1,20))+1,20))),"")))</f>
        <v/>
      </c>
      <c r="J1038">
        <f>IF($F1038="","",IF(OR($G1038="",$H1038="",$I1038="",$G1038&lt;1300,$G1038&gt;1500,$H1038&lt;1,$H1038&gt;12,$I1038&lt;1,$I1038&gt;31),"نامعتبر",RIGHT("0000"&amp;$G1038,4)&amp;"/"&amp;RIGHT("00"&amp;$H1038,2)&amp;"/"&amp;RIGHT("00"&amp;$I1038,2)))</f>
        <v/>
      </c>
      <c r="K1038">
        <f>IF(OR($F1038="",$J1038="",$J1038="نامعتبر"),"",LEFT($J1038,4)&amp;MID($J1038,6,2)&amp;RIGHT($J1038,2)&amp;$N1038&amp;"|"&amp;"2"&amp;RIGHT("00000"&amp;1033,5))</f>
        <v/>
      </c>
      <c r="L1038">
        <f>IF($K1038="","",COUNTIFS(LdgPartyA,$F1038,LdgKeyA,"&lt;"&amp;$K1038)+COUNTIFS(LdgPartyB,$F1038,LdgKeyB,"&lt;"&amp;$K1038)+1)</f>
        <v/>
      </c>
      <c r="M1038">
        <f>IF($L1038="","",$F1038&amp;"|"&amp;RIGHT("000000"&amp;$L1038,6))</f>
        <v/>
      </c>
      <c r="N1038">
        <f>IF($F1038="","",IF(Sync!$AH1038="","0000",IF(AND(ISNUMBER(Sync!$AH1038),Sync!$AH1038&gt;=0,Sync!$AH1038&lt;1),RIGHT("00"&amp;HOUR(Sync!$AH1038),2)&amp;RIGHT("00"&amp;MINUTE(Sync!$AH1038),2),IFERROR(RIGHT("00"&amp;VALUE(LEFT(Sync!$AH1038,FIND(":",Sync!$AH1038)-1)),2)&amp;RIGHT("00"&amp;VALUE(MID(Sync!$AH1038,FIND(":",Sync!$AH1038)+1,2)),2),"0000"))))</f>
        <v/>
      </c>
    </row>
    <row r="1039">
      <c r="A1039">
        <f>IF(OR(Calc!$E1042="",Calc!$E1042="نامعتبر",Calc!$G1042="",Calc!$I1042&lt;&gt;"خرید"),"",Calc!$G1042)</f>
        <v/>
      </c>
      <c r="B1039">
        <f>IF($A1039="","",LEFT(Calc!$E1042,4)&amp;MID(Calc!$E1042,6,2)&amp;RIGHT(Calc!$E1042,2)&amp;Calc!$R1042&amp;"|"&amp;"1"&amp;RIGHT("00000"&amp;1034,5))</f>
        <v/>
      </c>
      <c r="C1039">
        <f>IF($B1039="","",COUNTIFS(LdgPartyA,$A1039,LdgKeyA,"&lt;"&amp;$B1039)+COUNTIFS(LdgPartyB,$A1039,LdgKeyB,"&lt;"&amp;$B1039)+1)</f>
        <v/>
      </c>
      <c r="D1039">
        <f>IF($C1039="","",$A1039&amp;"|"&amp;RIGHT("000000"&amp;$C1039,6))</f>
        <v/>
      </c>
      <c r="F1039">
        <f>IF(Sync!$AJ1039="","",Sync!$AJ1039)</f>
        <v/>
      </c>
      <c r="G1039">
        <f>IF($F1039="","",IF(Sync!$AG1039="","",IF(ISNUMBER(Sync!$AG1039),IF(AND(Sync!$AG1039&gt;=10000101,Sync!$AG1039&lt;=99991231),INT(Sync!$AG1039/10000),""),IFERROR(VALUE(TRIM(LEFT(Sync!$AG1039,FIND("/",Sync!$AG1039)-1))),""))))</f>
        <v/>
      </c>
      <c r="H1039">
        <f>IF(OR($F1039="",$G1039=""),"",IF(ISNUMBER(Sync!$AG1039),INT(MOD(Sync!$AG1039,10000)/100),IFERROR(VALUE(TRIM(LEFT(MID(Sync!$AG1039,FIND("/",Sync!$AG1039)+1,20),FIND("/",MID(Sync!$AG1039,FIND("/",Sync!$AG1039)+1,20))-1))),"")))</f>
        <v/>
      </c>
      <c r="I1039">
        <f>IF(OR($F1039="",$G1039=""),"",IF(ISNUMBER(Sync!$AG1039),MOD(Sync!$AG1039,100),IFERROR(VALUE(TRIM(MID(MID(Sync!$AG1039,FIND("/",Sync!$AG1039)+1,20),FIND("/",MID(Sync!$AG1039,FIND("/",Sync!$AG1039)+1,20))+1,20))),"")))</f>
        <v/>
      </c>
      <c r="J1039">
        <f>IF($F1039="","",IF(OR($G1039="",$H1039="",$I1039="",$G1039&lt;1300,$G1039&gt;1500,$H1039&lt;1,$H1039&gt;12,$I1039&lt;1,$I1039&gt;31),"نامعتبر",RIGHT("0000"&amp;$G1039,4)&amp;"/"&amp;RIGHT("00"&amp;$H1039,2)&amp;"/"&amp;RIGHT("00"&amp;$I1039,2)))</f>
        <v/>
      </c>
      <c r="K1039">
        <f>IF(OR($F1039="",$J1039="",$J1039="نامعتبر"),"",LEFT($J1039,4)&amp;MID($J1039,6,2)&amp;RIGHT($J1039,2)&amp;$N1039&amp;"|"&amp;"2"&amp;RIGHT("00000"&amp;1034,5))</f>
        <v/>
      </c>
      <c r="L1039">
        <f>IF($K1039="","",COUNTIFS(LdgPartyA,$F1039,LdgKeyA,"&lt;"&amp;$K1039)+COUNTIFS(LdgPartyB,$F1039,LdgKeyB,"&lt;"&amp;$K1039)+1)</f>
        <v/>
      </c>
      <c r="M1039">
        <f>IF($L1039="","",$F1039&amp;"|"&amp;RIGHT("000000"&amp;$L1039,6))</f>
        <v/>
      </c>
      <c r="N1039">
        <f>IF($F1039="","",IF(Sync!$AH1039="","0000",IF(AND(ISNUMBER(Sync!$AH1039),Sync!$AH1039&gt;=0,Sync!$AH1039&lt;1),RIGHT("00"&amp;HOUR(Sync!$AH1039),2)&amp;RIGHT("00"&amp;MINUTE(Sync!$AH1039),2),IFERROR(RIGHT("00"&amp;VALUE(LEFT(Sync!$AH1039,FIND(":",Sync!$AH1039)-1)),2)&amp;RIGHT("00"&amp;VALUE(MID(Sync!$AH1039,FIND(":",Sync!$AH1039)+1,2)),2),"0000"))))</f>
        <v/>
      </c>
    </row>
    <row r="1040">
      <c r="A1040">
        <f>IF(OR(Calc!$E1043="",Calc!$E1043="نامعتبر",Calc!$G1043="",Calc!$I1043&lt;&gt;"خرید"),"",Calc!$G1043)</f>
        <v/>
      </c>
      <c r="B1040">
        <f>IF($A1040="","",LEFT(Calc!$E1043,4)&amp;MID(Calc!$E1043,6,2)&amp;RIGHT(Calc!$E1043,2)&amp;Calc!$R1043&amp;"|"&amp;"1"&amp;RIGHT("00000"&amp;1035,5))</f>
        <v/>
      </c>
      <c r="C1040">
        <f>IF($B1040="","",COUNTIFS(LdgPartyA,$A1040,LdgKeyA,"&lt;"&amp;$B1040)+COUNTIFS(LdgPartyB,$A1040,LdgKeyB,"&lt;"&amp;$B1040)+1)</f>
        <v/>
      </c>
      <c r="D1040">
        <f>IF($C1040="","",$A1040&amp;"|"&amp;RIGHT("000000"&amp;$C1040,6))</f>
        <v/>
      </c>
      <c r="F1040">
        <f>IF(Sync!$AJ1040="","",Sync!$AJ1040)</f>
        <v/>
      </c>
      <c r="G1040">
        <f>IF($F1040="","",IF(Sync!$AG1040="","",IF(ISNUMBER(Sync!$AG1040),IF(AND(Sync!$AG1040&gt;=10000101,Sync!$AG1040&lt;=99991231),INT(Sync!$AG1040/10000),""),IFERROR(VALUE(TRIM(LEFT(Sync!$AG1040,FIND("/",Sync!$AG1040)-1))),""))))</f>
        <v/>
      </c>
      <c r="H1040">
        <f>IF(OR($F1040="",$G1040=""),"",IF(ISNUMBER(Sync!$AG1040),INT(MOD(Sync!$AG1040,10000)/100),IFERROR(VALUE(TRIM(LEFT(MID(Sync!$AG1040,FIND("/",Sync!$AG1040)+1,20),FIND("/",MID(Sync!$AG1040,FIND("/",Sync!$AG1040)+1,20))-1))),"")))</f>
        <v/>
      </c>
      <c r="I1040">
        <f>IF(OR($F1040="",$G1040=""),"",IF(ISNUMBER(Sync!$AG1040),MOD(Sync!$AG1040,100),IFERROR(VALUE(TRIM(MID(MID(Sync!$AG1040,FIND("/",Sync!$AG1040)+1,20),FIND("/",MID(Sync!$AG1040,FIND("/",Sync!$AG1040)+1,20))+1,20))),"")))</f>
        <v/>
      </c>
      <c r="J1040">
        <f>IF($F1040="","",IF(OR($G1040="",$H1040="",$I1040="",$G1040&lt;1300,$G1040&gt;1500,$H1040&lt;1,$H1040&gt;12,$I1040&lt;1,$I1040&gt;31),"نامعتبر",RIGHT("0000"&amp;$G1040,4)&amp;"/"&amp;RIGHT("00"&amp;$H1040,2)&amp;"/"&amp;RIGHT("00"&amp;$I1040,2)))</f>
        <v/>
      </c>
      <c r="K1040">
        <f>IF(OR($F1040="",$J1040="",$J1040="نامعتبر"),"",LEFT($J1040,4)&amp;MID($J1040,6,2)&amp;RIGHT($J1040,2)&amp;$N1040&amp;"|"&amp;"2"&amp;RIGHT("00000"&amp;1035,5))</f>
        <v/>
      </c>
      <c r="L1040">
        <f>IF($K1040="","",COUNTIFS(LdgPartyA,$F1040,LdgKeyA,"&lt;"&amp;$K1040)+COUNTIFS(LdgPartyB,$F1040,LdgKeyB,"&lt;"&amp;$K1040)+1)</f>
        <v/>
      </c>
      <c r="M1040">
        <f>IF($L1040="","",$F1040&amp;"|"&amp;RIGHT("000000"&amp;$L1040,6))</f>
        <v/>
      </c>
      <c r="N1040">
        <f>IF($F1040="","",IF(Sync!$AH1040="","0000",IF(AND(ISNUMBER(Sync!$AH1040),Sync!$AH1040&gt;=0,Sync!$AH1040&lt;1),RIGHT("00"&amp;HOUR(Sync!$AH1040),2)&amp;RIGHT("00"&amp;MINUTE(Sync!$AH1040),2),IFERROR(RIGHT("00"&amp;VALUE(LEFT(Sync!$AH1040,FIND(":",Sync!$AH1040)-1)),2)&amp;RIGHT("00"&amp;VALUE(MID(Sync!$AH1040,FIND(":",Sync!$AH1040)+1,2)),2),"0000"))))</f>
        <v/>
      </c>
    </row>
    <row r="1041">
      <c r="A1041">
        <f>IF(OR(Calc!$E1044="",Calc!$E1044="نامعتبر",Calc!$G1044="",Calc!$I1044&lt;&gt;"خرید"),"",Calc!$G1044)</f>
        <v/>
      </c>
      <c r="B1041">
        <f>IF($A1041="","",LEFT(Calc!$E1044,4)&amp;MID(Calc!$E1044,6,2)&amp;RIGHT(Calc!$E1044,2)&amp;Calc!$R1044&amp;"|"&amp;"1"&amp;RIGHT("00000"&amp;1036,5))</f>
        <v/>
      </c>
      <c r="C1041">
        <f>IF($B1041="","",COUNTIFS(LdgPartyA,$A1041,LdgKeyA,"&lt;"&amp;$B1041)+COUNTIFS(LdgPartyB,$A1041,LdgKeyB,"&lt;"&amp;$B1041)+1)</f>
        <v/>
      </c>
      <c r="D1041">
        <f>IF($C1041="","",$A1041&amp;"|"&amp;RIGHT("000000"&amp;$C1041,6))</f>
        <v/>
      </c>
      <c r="F1041">
        <f>IF(Sync!$AJ1041="","",Sync!$AJ1041)</f>
        <v/>
      </c>
      <c r="G1041">
        <f>IF($F1041="","",IF(Sync!$AG1041="","",IF(ISNUMBER(Sync!$AG1041),IF(AND(Sync!$AG1041&gt;=10000101,Sync!$AG1041&lt;=99991231),INT(Sync!$AG1041/10000),""),IFERROR(VALUE(TRIM(LEFT(Sync!$AG1041,FIND("/",Sync!$AG1041)-1))),""))))</f>
        <v/>
      </c>
      <c r="H1041">
        <f>IF(OR($F1041="",$G1041=""),"",IF(ISNUMBER(Sync!$AG1041),INT(MOD(Sync!$AG1041,10000)/100),IFERROR(VALUE(TRIM(LEFT(MID(Sync!$AG1041,FIND("/",Sync!$AG1041)+1,20),FIND("/",MID(Sync!$AG1041,FIND("/",Sync!$AG1041)+1,20))-1))),"")))</f>
        <v/>
      </c>
      <c r="I1041">
        <f>IF(OR($F1041="",$G1041=""),"",IF(ISNUMBER(Sync!$AG1041),MOD(Sync!$AG1041,100),IFERROR(VALUE(TRIM(MID(MID(Sync!$AG1041,FIND("/",Sync!$AG1041)+1,20),FIND("/",MID(Sync!$AG1041,FIND("/",Sync!$AG1041)+1,20))+1,20))),"")))</f>
        <v/>
      </c>
      <c r="J1041">
        <f>IF($F1041="","",IF(OR($G1041="",$H1041="",$I1041="",$G1041&lt;1300,$G1041&gt;1500,$H1041&lt;1,$H1041&gt;12,$I1041&lt;1,$I1041&gt;31),"نامعتبر",RIGHT("0000"&amp;$G1041,4)&amp;"/"&amp;RIGHT("00"&amp;$H1041,2)&amp;"/"&amp;RIGHT("00"&amp;$I1041,2)))</f>
        <v/>
      </c>
      <c r="K1041">
        <f>IF(OR($F1041="",$J1041="",$J1041="نامعتبر"),"",LEFT($J1041,4)&amp;MID($J1041,6,2)&amp;RIGHT($J1041,2)&amp;$N1041&amp;"|"&amp;"2"&amp;RIGHT("00000"&amp;1036,5))</f>
        <v/>
      </c>
      <c r="L1041">
        <f>IF($K1041="","",COUNTIFS(LdgPartyA,$F1041,LdgKeyA,"&lt;"&amp;$K1041)+COUNTIFS(LdgPartyB,$F1041,LdgKeyB,"&lt;"&amp;$K1041)+1)</f>
        <v/>
      </c>
      <c r="M1041">
        <f>IF($L1041="","",$F1041&amp;"|"&amp;RIGHT("000000"&amp;$L1041,6))</f>
        <v/>
      </c>
      <c r="N1041">
        <f>IF($F1041="","",IF(Sync!$AH1041="","0000",IF(AND(ISNUMBER(Sync!$AH1041),Sync!$AH1041&gt;=0,Sync!$AH1041&lt;1),RIGHT("00"&amp;HOUR(Sync!$AH1041),2)&amp;RIGHT("00"&amp;MINUTE(Sync!$AH1041),2),IFERROR(RIGHT("00"&amp;VALUE(LEFT(Sync!$AH1041,FIND(":",Sync!$AH1041)-1)),2)&amp;RIGHT("00"&amp;VALUE(MID(Sync!$AH1041,FIND(":",Sync!$AH1041)+1,2)),2),"0000"))))</f>
        <v/>
      </c>
    </row>
    <row r="1042">
      <c r="A1042">
        <f>IF(OR(Calc!$E1045="",Calc!$E1045="نامعتبر",Calc!$G1045="",Calc!$I1045&lt;&gt;"خرید"),"",Calc!$G1045)</f>
        <v/>
      </c>
      <c r="B1042">
        <f>IF($A1042="","",LEFT(Calc!$E1045,4)&amp;MID(Calc!$E1045,6,2)&amp;RIGHT(Calc!$E1045,2)&amp;Calc!$R1045&amp;"|"&amp;"1"&amp;RIGHT("00000"&amp;1037,5))</f>
        <v/>
      </c>
      <c r="C1042">
        <f>IF($B1042="","",COUNTIFS(LdgPartyA,$A1042,LdgKeyA,"&lt;"&amp;$B1042)+COUNTIFS(LdgPartyB,$A1042,LdgKeyB,"&lt;"&amp;$B1042)+1)</f>
        <v/>
      </c>
      <c r="D1042">
        <f>IF($C1042="","",$A1042&amp;"|"&amp;RIGHT("000000"&amp;$C1042,6))</f>
        <v/>
      </c>
      <c r="F1042">
        <f>IF(Sync!$AJ1042="","",Sync!$AJ1042)</f>
        <v/>
      </c>
      <c r="G1042">
        <f>IF($F1042="","",IF(Sync!$AG1042="","",IF(ISNUMBER(Sync!$AG1042),IF(AND(Sync!$AG1042&gt;=10000101,Sync!$AG1042&lt;=99991231),INT(Sync!$AG1042/10000),""),IFERROR(VALUE(TRIM(LEFT(Sync!$AG1042,FIND("/",Sync!$AG1042)-1))),""))))</f>
        <v/>
      </c>
      <c r="H1042">
        <f>IF(OR($F1042="",$G1042=""),"",IF(ISNUMBER(Sync!$AG1042),INT(MOD(Sync!$AG1042,10000)/100),IFERROR(VALUE(TRIM(LEFT(MID(Sync!$AG1042,FIND("/",Sync!$AG1042)+1,20),FIND("/",MID(Sync!$AG1042,FIND("/",Sync!$AG1042)+1,20))-1))),"")))</f>
        <v/>
      </c>
      <c r="I1042">
        <f>IF(OR($F1042="",$G1042=""),"",IF(ISNUMBER(Sync!$AG1042),MOD(Sync!$AG1042,100),IFERROR(VALUE(TRIM(MID(MID(Sync!$AG1042,FIND("/",Sync!$AG1042)+1,20),FIND("/",MID(Sync!$AG1042,FIND("/",Sync!$AG1042)+1,20))+1,20))),"")))</f>
        <v/>
      </c>
      <c r="J1042">
        <f>IF($F1042="","",IF(OR($G1042="",$H1042="",$I1042="",$G1042&lt;1300,$G1042&gt;1500,$H1042&lt;1,$H1042&gt;12,$I1042&lt;1,$I1042&gt;31),"نامعتبر",RIGHT("0000"&amp;$G1042,4)&amp;"/"&amp;RIGHT("00"&amp;$H1042,2)&amp;"/"&amp;RIGHT("00"&amp;$I1042,2)))</f>
        <v/>
      </c>
      <c r="K1042">
        <f>IF(OR($F1042="",$J1042="",$J1042="نامعتبر"),"",LEFT($J1042,4)&amp;MID($J1042,6,2)&amp;RIGHT($J1042,2)&amp;$N1042&amp;"|"&amp;"2"&amp;RIGHT("00000"&amp;1037,5))</f>
        <v/>
      </c>
      <c r="L1042">
        <f>IF($K1042="","",COUNTIFS(LdgPartyA,$F1042,LdgKeyA,"&lt;"&amp;$K1042)+COUNTIFS(LdgPartyB,$F1042,LdgKeyB,"&lt;"&amp;$K1042)+1)</f>
        <v/>
      </c>
      <c r="M1042">
        <f>IF($L1042="","",$F1042&amp;"|"&amp;RIGHT("000000"&amp;$L1042,6))</f>
        <v/>
      </c>
      <c r="N1042">
        <f>IF($F1042="","",IF(Sync!$AH1042="","0000",IF(AND(ISNUMBER(Sync!$AH1042),Sync!$AH1042&gt;=0,Sync!$AH1042&lt;1),RIGHT("00"&amp;HOUR(Sync!$AH1042),2)&amp;RIGHT("00"&amp;MINUTE(Sync!$AH1042),2),IFERROR(RIGHT("00"&amp;VALUE(LEFT(Sync!$AH1042,FIND(":",Sync!$AH1042)-1)),2)&amp;RIGHT("00"&amp;VALUE(MID(Sync!$AH1042,FIND(":",Sync!$AH1042)+1,2)),2),"0000"))))</f>
        <v/>
      </c>
    </row>
    <row r="1043">
      <c r="A1043">
        <f>IF(OR(Calc!$E1046="",Calc!$E1046="نامعتبر",Calc!$G1046="",Calc!$I1046&lt;&gt;"خرید"),"",Calc!$G1046)</f>
        <v/>
      </c>
      <c r="B1043">
        <f>IF($A1043="","",LEFT(Calc!$E1046,4)&amp;MID(Calc!$E1046,6,2)&amp;RIGHT(Calc!$E1046,2)&amp;Calc!$R1046&amp;"|"&amp;"1"&amp;RIGHT("00000"&amp;1038,5))</f>
        <v/>
      </c>
      <c r="C1043">
        <f>IF($B1043="","",COUNTIFS(LdgPartyA,$A1043,LdgKeyA,"&lt;"&amp;$B1043)+COUNTIFS(LdgPartyB,$A1043,LdgKeyB,"&lt;"&amp;$B1043)+1)</f>
        <v/>
      </c>
      <c r="D1043">
        <f>IF($C1043="","",$A1043&amp;"|"&amp;RIGHT("000000"&amp;$C1043,6))</f>
        <v/>
      </c>
      <c r="F1043">
        <f>IF(Sync!$AJ1043="","",Sync!$AJ1043)</f>
        <v/>
      </c>
      <c r="G1043">
        <f>IF($F1043="","",IF(Sync!$AG1043="","",IF(ISNUMBER(Sync!$AG1043),IF(AND(Sync!$AG1043&gt;=10000101,Sync!$AG1043&lt;=99991231),INT(Sync!$AG1043/10000),""),IFERROR(VALUE(TRIM(LEFT(Sync!$AG1043,FIND("/",Sync!$AG1043)-1))),""))))</f>
        <v/>
      </c>
      <c r="H1043">
        <f>IF(OR($F1043="",$G1043=""),"",IF(ISNUMBER(Sync!$AG1043),INT(MOD(Sync!$AG1043,10000)/100),IFERROR(VALUE(TRIM(LEFT(MID(Sync!$AG1043,FIND("/",Sync!$AG1043)+1,20),FIND("/",MID(Sync!$AG1043,FIND("/",Sync!$AG1043)+1,20))-1))),"")))</f>
        <v/>
      </c>
      <c r="I1043">
        <f>IF(OR($F1043="",$G1043=""),"",IF(ISNUMBER(Sync!$AG1043),MOD(Sync!$AG1043,100),IFERROR(VALUE(TRIM(MID(MID(Sync!$AG1043,FIND("/",Sync!$AG1043)+1,20),FIND("/",MID(Sync!$AG1043,FIND("/",Sync!$AG1043)+1,20))+1,20))),"")))</f>
        <v/>
      </c>
      <c r="J1043">
        <f>IF($F1043="","",IF(OR($G1043="",$H1043="",$I1043="",$G1043&lt;1300,$G1043&gt;1500,$H1043&lt;1,$H1043&gt;12,$I1043&lt;1,$I1043&gt;31),"نامعتبر",RIGHT("0000"&amp;$G1043,4)&amp;"/"&amp;RIGHT("00"&amp;$H1043,2)&amp;"/"&amp;RIGHT("00"&amp;$I1043,2)))</f>
        <v/>
      </c>
      <c r="K1043">
        <f>IF(OR($F1043="",$J1043="",$J1043="نامعتبر"),"",LEFT($J1043,4)&amp;MID($J1043,6,2)&amp;RIGHT($J1043,2)&amp;$N1043&amp;"|"&amp;"2"&amp;RIGHT("00000"&amp;1038,5))</f>
        <v/>
      </c>
      <c r="L1043">
        <f>IF($K1043="","",COUNTIFS(LdgPartyA,$F1043,LdgKeyA,"&lt;"&amp;$K1043)+COUNTIFS(LdgPartyB,$F1043,LdgKeyB,"&lt;"&amp;$K1043)+1)</f>
        <v/>
      </c>
      <c r="M1043">
        <f>IF($L1043="","",$F1043&amp;"|"&amp;RIGHT("000000"&amp;$L1043,6))</f>
        <v/>
      </c>
      <c r="N1043">
        <f>IF($F1043="","",IF(Sync!$AH1043="","0000",IF(AND(ISNUMBER(Sync!$AH1043),Sync!$AH1043&gt;=0,Sync!$AH1043&lt;1),RIGHT("00"&amp;HOUR(Sync!$AH1043),2)&amp;RIGHT("00"&amp;MINUTE(Sync!$AH1043),2),IFERROR(RIGHT("00"&amp;VALUE(LEFT(Sync!$AH1043,FIND(":",Sync!$AH1043)-1)),2)&amp;RIGHT("00"&amp;VALUE(MID(Sync!$AH1043,FIND(":",Sync!$AH1043)+1,2)),2),"0000"))))</f>
        <v/>
      </c>
    </row>
    <row r="1044">
      <c r="A1044">
        <f>IF(OR(Calc!$E1047="",Calc!$E1047="نامعتبر",Calc!$G1047="",Calc!$I1047&lt;&gt;"خرید"),"",Calc!$G1047)</f>
        <v/>
      </c>
      <c r="B1044">
        <f>IF($A1044="","",LEFT(Calc!$E1047,4)&amp;MID(Calc!$E1047,6,2)&amp;RIGHT(Calc!$E1047,2)&amp;Calc!$R1047&amp;"|"&amp;"1"&amp;RIGHT("00000"&amp;1039,5))</f>
        <v/>
      </c>
      <c r="C1044">
        <f>IF($B1044="","",COUNTIFS(LdgPartyA,$A1044,LdgKeyA,"&lt;"&amp;$B1044)+COUNTIFS(LdgPartyB,$A1044,LdgKeyB,"&lt;"&amp;$B1044)+1)</f>
        <v/>
      </c>
      <c r="D1044">
        <f>IF($C1044="","",$A1044&amp;"|"&amp;RIGHT("000000"&amp;$C1044,6))</f>
        <v/>
      </c>
      <c r="F1044">
        <f>IF(Sync!$AJ1044="","",Sync!$AJ1044)</f>
        <v/>
      </c>
      <c r="G1044">
        <f>IF($F1044="","",IF(Sync!$AG1044="","",IF(ISNUMBER(Sync!$AG1044),IF(AND(Sync!$AG1044&gt;=10000101,Sync!$AG1044&lt;=99991231),INT(Sync!$AG1044/10000),""),IFERROR(VALUE(TRIM(LEFT(Sync!$AG1044,FIND("/",Sync!$AG1044)-1))),""))))</f>
        <v/>
      </c>
      <c r="H1044">
        <f>IF(OR($F1044="",$G1044=""),"",IF(ISNUMBER(Sync!$AG1044),INT(MOD(Sync!$AG1044,10000)/100),IFERROR(VALUE(TRIM(LEFT(MID(Sync!$AG1044,FIND("/",Sync!$AG1044)+1,20),FIND("/",MID(Sync!$AG1044,FIND("/",Sync!$AG1044)+1,20))-1))),"")))</f>
        <v/>
      </c>
      <c r="I1044">
        <f>IF(OR($F1044="",$G1044=""),"",IF(ISNUMBER(Sync!$AG1044),MOD(Sync!$AG1044,100),IFERROR(VALUE(TRIM(MID(MID(Sync!$AG1044,FIND("/",Sync!$AG1044)+1,20),FIND("/",MID(Sync!$AG1044,FIND("/",Sync!$AG1044)+1,20))+1,20))),"")))</f>
        <v/>
      </c>
      <c r="J1044">
        <f>IF($F1044="","",IF(OR($G1044="",$H1044="",$I1044="",$G1044&lt;1300,$G1044&gt;1500,$H1044&lt;1,$H1044&gt;12,$I1044&lt;1,$I1044&gt;31),"نامعتبر",RIGHT("0000"&amp;$G1044,4)&amp;"/"&amp;RIGHT("00"&amp;$H1044,2)&amp;"/"&amp;RIGHT("00"&amp;$I1044,2)))</f>
        <v/>
      </c>
      <c r="K1044">
        <f>IF(OR($F1044="",$J1044="",$J1044="نامعتبر"),"",LEFT($J1044,4)&amp;MID($J1044,6,2)&amp;RIGHT($J1044,2)&amp;$N1044&amp;"|"&amp;"2"&amp;RIGHT("00000"&amp;1039,5))</f>
        <v/>
      </c>
      <c r="L1044">
        <f>IF($K1044="","",COUNTIFS(LdgPartyA,$F1044,LdgKeyA,"&lt;"&amp;$K1044)+COUNTIFS(LdgPartyB,$F1044,LdgKeyB,"&lt;"&amp;$K1044)+1)</f>
        <v/>
      </c>
      <c r="M1044">
        <f>IF($L1044="","",$F1044&amp;"|"&amp;RIGHT("000000"&amp;$L1044,6))</f>
        <v/>
      </c>
      <c r="N1044">
        <f>IF($F1044="","",IF(Sync!$AH1044="","0000",IF(AND(ISNUMBER(Sync!$AH1044),Sync!$AH1044&gt;=0,Sync!$AH1044&lt;1),RIGHT("00"&amp;HOUR(Sync!$AH1044),2)&amp;RIGHT("00"&amp;MINUTE(Sync!$AH1044),2),IFERROR(RIGHT("00"&amp;VALUE(LEFT(Sync!$AH1044,FIND(":",Sync!$AH1044)-1)),2)&amp;RIGHT("00"&amp;VALUE(MID(Sync!$AH1044,FIND(":",Sync!$AH1044)+1,2)),2),"0000"))))</f>
        <v/>
      </c>
    </row>
    <row r="1045">
      <c r="A1045">
        <f>IF(OR(Calc!$E1048="",Calc!$E1048="نامعتبر",Calc!$G1048="",Calc!$I1048&lt;&gt;"خرید"),"",Calc!$G1048)</f>
        <v/>
      </c>
      <c r="B1045">
        <f>IF($A1045="","",LEFT(Calc!$E1048,4)&amp;MID(Calc!$E1048,6,2)&amp;RIGHT(Calc!$E1048,2)&amp;Calc!$R1048&amp;"|"&amp;"1"&amp;RIGHT("00000"&amp;1040,5))</f>
        <v/>
      </c>
      <c r="C1045">
        <f>IF($B1045="","",COUNTIFS(LdgPartyA,$A1045,LdgKeyA,"&lt;"&amp;$B1045)+COUNTIFS(LdgPartyB,$A1045,LdgKeyB,"&lt;"&amp;$B1045)+1)</f>
        <v/>
      </c>
      <c r="D1045">
        <f>IF($C1045="","",$A1045&amp;"|"&amp;RIGHT("000000"&amp;$C1045,6))</f>
        <v/>
      </c>
      <c r="F1045">
        <f>IF(Sync!$AJ1045="","",Sync!$AJ1045)</f>
        <v/>
      </c>
      <c r="G1045">
        <f>IF($F1045="","",IF(Sync!$AG1045="","",IF(ISNUMBER(Sync!$AG1045),IF(AND(Sync!$AG1045&gt;=10000101,Sync!$AG1045&lt;=99991231),INT(Sync!$AG1045/10000),""),IFERROR(VALUE(TRIM(LEFT(Sync!$AG1045,FIND("/",Sync!$AG1045)-1))),""))))</f>
        <v/>
      </c>
      <c r="H1045">
        <f>IF(OR($F1045="",$G1045=""),"",IF(ISNUMBER(Sync!$AG1045),INT(MOD(Sync!$AG1045,10000)/100),IFERROR(VALUE(TRIM(LEFT(MID(Sync!$AG1045,FIND("/",Sync!$AG1045)+1,20),FIND("/",MID(Sync!$AG1045,FIND("/",Sync!$AG1045)+1,20))-1))),"")))</f>
        <v/>
      </c>
      <c r="I1045">
        <f>IF(OR($F1045="",$G1045=""),"",IF(ISNUMBER(Sync!$AG1045),MOD(Sync!$AG1045,100),IFERROR(VALUE(TRIM(MID(MID(Sync!$AG1045,FIND("/",Sync!$AG1045)+1,20),FIND("/",MID(Sync!$AG1045,FIND("/",Sync!$AG1045)+1,20))+1,20))),"")))</f>
        <v/>
      </c>
      <c r="J1045">
        <f>IF($F1045="","",IF(OR($G1045="",$H1045="",$I1045="",$G1045&lt;1300,$G1045&gt;1500,$H1045&lt;1,$H1045&gt;12,$I1045&lt;1,$I1045&gt;31),"نامعتبر",RIGHT("0000"&amp;$G1045,4)&amp;"/"&amp;RIGHT("00"&amp;$H1045,2)&amp;"/"&amp;RIGHT("00"&amp;$I1045,2)))</f>
        <v/>
      </c>
      <c r="K1045">
        <f>IF(OR($F1045="",$J1045="",$J1045="نامعتبر"),"",LEFT($J1045,4)&amp;MID($J1045,6,2)&amp;RIGHT($J1045,2)&amp;$N1045&amp;"|"&amp;"2"&amp;RIGHT("00000"&amp;1040,5))</f>
        <v/>
      </c>
      <c r="L1045">
        <f>IF($K1045="","",COUNTIFS(LdgPartyA,$F1045,LdgKeyA,"&lt;"&amp;$K1045)+COUNTIFS(LdgPartyB,$F1045,LdgKeyB,"&lt;"&amp;$K1045)+1)</f>
        <v/>
      </c>
      <c r="M1045">
        <f>IF($L1045="","",$F1045&amp;"|"&amp;RIGHT("000000"&amp;$L1045,6))</f>
        <v/>
      </c>
      <c r="N1045">
        <f>IF($F1045="","",IF(Sync!$AH1045="","0000",IF(AND(ISNUMBER(Sync!$AH1045),Sync!$AH1045&gt;=0,Sync!$AH1045&lt;1),RIGHT("00"&amp;HOUR(Sync!$AH1045),2)&amp;RIGHT("00"&amp;MINUTE(Sync!$AH1045),2),IFERROR(RIGHT("00"&amp;VALUE(LEFT(Sync!$AH1045,FIND(":",Sync!$AH1045)-1)),2)&amp;RIGHT("00"&amp;VALUE(MID(Sync!$AH1045,FIND(":",Sync!$AH1045)+1,2)),2),"0000"))))</f>
        <v/>
      </c>
    </row>
    <row r="1046">
      <c r="A1046">
        <f>IF(OR(Calc!$E1049="",Calc!$E1049="نامعتبر",Calc!$G1049="",Calc!$I1049&lt;&gt;"خرید"),"",Calc!$G1049)</f>
        <v/>
      </c>
      <c r="B1046">
        <f>IF($A1046="","",LEFT(Calc!$E1049,4)&amp;MID(Calc!$E1049,6,2)&amp;RIGHT(Calc!$E1049,2)&amp;Calc!$R1049&amp;"|"&amp;"1"&amp;RIGHT("00000"&amp;1041,5))</f>
        <v/>
      </c>
      <c r="C1046">
        <f>IF($B1046="","",COUNTIFS(LdgPartyA,$A1046,LdgKeyA,"&lt;"&amp;$B1046)+COUNTIFS(LdgPartyB,$A1046,LdgKeyB,"&lt;"&amp;$B1046)+1)</f>
        <v/>
      </c>
      <c r="D1046">
        <f>IF($C1046="","",$A1046&amp;"|"&amp;RIGHT("000000"&amp;$C1046,6))</f>
        <v/>
      </c>
      <c r="F1046">
        <f>IF(Sync!$AJ1046="","",Sync!$AJ1046)</f>
        <v/>
      </c>
      <c r="G1046">
        <f>IF($F1046="","",IF(Sync!$AG1046="","",IF(ISNUMBER(Sync!$AG1046),IF(AND(Sync!$AG1046&gt;=10000101,Sync!$AG1046&lt;=99991231),INT(Sync!$AG1046/10000),""),IFERROR(VALUE(TRIM(LEFT(Sync!$AG1046,FIND("/",Sync!$AG1046)-1))),""))))</f>
        <v/>
      </c>
      <c r="H1046">
        <f>IF(OR($F1046="",$G1046=""),"",IF(ISNUMBER(Sync!$AG1046),INT(MOD(Sync!$AG1046,10000)/100),IFERROR(VALUE(TRIM(LEFT(MID(Sync!$AG1046,FIND("/",Sync!$AG1046)+1,20),FIND("/",MID(Sync!$AG1046,FIND("/",Sync!$AG1046)+1,20))-1))),"")))</f>
        <v/>
      </c>
      <c r="I1046">
        <f>IF(OR($F1046="",$G1046=""),"",IF(ISNUMBER(Sync!$AG1046),MOD(Sync!$AG1046,100),IFERROR(VALUE(TRIM(MID(MID(Sync!$AG1046,FIND("/",Sync!$AG1046)+1,20),FIND("/",MID(Sync!$AG1046,FIND("/",Sync!$AG1046)+1,20))+1,20))),"")))</f>
        <v/>
      </c>
      <c r="J1046">
        <f>IF($F1046="","",IF(OR($G1046="",$H1046="",$I1046="",$G1046&lt;1300,$G1046&gt;1500,$H1046&lt;1,$H1046&gt;12,$I1046&lt;1,$I1046&gt;31),"نامعتبر",RIGHT("0000"&amp;$G1046,4)&amp;"/"&amp;RIGHT("00"&amp;$H1046,2)&amp;"/"&amp;RIGHT("00"&amp;$I1046,2)))</f>
        <v/>
      </c>
      <c r="K1046">
        <f>IF(OR($F1046="",$J1046="",$J1046="نامعتبر"),"",LEFT($J1046,4)&amp;MID($J1046,6,2)&amp;RIGHT($J1046,2)&amp;$N1046&amp;"|"&amp;"2"&amp;RIGHT("00000"&amp;1041,5))</f>
        <v/>
      </c>
      <c r="L1046">
        <f>IF($K1046="","",COUNTIFS(LdgPartyA,$F1046,LdgKeyA,"&lt;"&amp;$K1046)+COUNTIFS(LdgPartyB,$F1046,LdgKeyB,"&lt;"&amp;$K1046)+1)</f>
        <v/>
      </c>
      <c r="M1046">
        <f>IF($L1046="","",$F1046&amp;"|"&amp;RIGHT("000000"&amp;$L1046,6))</f>
        <v/>
      </c>
      <c r="N1046">
        <f>IF($F1046="","",IF(Sync!$AH1046="","0000",IF(AND(ISNUMBER(Sync!$AH1046),Sync!$AH1046&gt;=0,Sync!$AH1046&lt;1),RIGHT("00"&amp;HOUR(Sync!$AH1046),2)&amp;RIGHT("00"&amp;MINUTE(Sync!$AH1046),2),IFERROR(RIGHT("00"&amp;VALUE(LEFT(Sync!$AH1046,FIND(":",Sync!$AH1046)-1)),2)&amp;RIGHT("00"&amp;VALUE(MID(Sync!$AH1046,FIND(":",Sync!$AH1046)+1,2)),2),"0000"))))</f>
        <v/>
      </c>
    </row>
    <row r="1047">
      <c r="A1047">
        <f>IF(OR(Calc!$E1050="",Calc!$E1050="نامعتبر",Calc!$G1050="",Calc!$I1050&lt;&gt;"خرید"),"",Calc!$G1050)</f>
        <v/>
      </c>
      <c r="B1047">
        <f>IF($A1047="","",LEFT(Calc!$E1050,4)&amp;MID(Calc!$E1050,6,2)&amp;RIGHT(Calc!$E1050,2)&amp;Calc!$R1050&amp;"|"&amp;"1"&amp;RIGHT("00000"&amp;1042,5))</f>
        <v/>
      </c>
      <c r="C1047">
        <f>IF($B1047="","",COUNTIFS(LdgPartyA,$A1047,LdgKeyA,"&lt;"&amp;$B1047)+COUNTIFS(LdgPartyB,$A1047,LdgKeyB,"&lt;"&amp;$B1047)+1)</f>
        <v/>
      </c>
      <c r="D1047">
        <f>IF($C1047="","",$A1047&amp;"|"&amp;RIGHT("000000"&amp;$C1047,6))</f>
        <v/>
      </c>
      <c r="F1047">
        <f>IF(Sync!$AJ1047="","",Sync!$AJ1047)</f>
        <v/>
      </c>
      <c r="G1047">
        <f>IF($F1047="","",IF(Sync!$AG1047="","",IF(ISNUMBER(Sync!$AG1047),IF(AND(Sync!$AG1047&gt;=10000101,Sync!$AG1047&lt;=99991231),INT(Sync!$AG1047/10000),""),IFERROR(VALUE(TRIM(LEFT(Sync!$AG1047,FIND("/",Sync!$AG1047)-1))),""))))</f>
        <v/>
      </c>
      <c r="H1047">
        <f>IF(OR($F1047="",$G1047=""),"",IF(ISNUMBER(Sync!$AG1047),INT(MOD(Sync!$AG1047,10000)/100),IFERROR(VALUE(TRIM(LEFT(MID(Sync!$AG1047,FIND("/",Sync!$AG1047)+1,20),FIND("/",MID(Sync!$AG1047,FIND("/",Sync!$AG1047)+1,20))-1))),"")))</f>
        <v/>
      </c>
      <c r="I1047">
        <f>IF(OR($F1047="",$G1047=""),"",IF(ISNUMBER(Sync!$AG1047),MOD(Sync!$AG1047,100),IFERROR(VALUE(TRIM(MID(MID(Sync!$AG1047,FIND("/",Sync!$AG1047)+1,20),FIND("/",MID(Sync!$AG1047,FIND("/",Sync!$AG1047)+1,20))+1,20))),"")))</f>
        <v/>
      </c>
      <c r="J1047">
        <f>IF($F1047="","",IF(OR($G1047="",$H1047="",$I1047="",$G1047&lt;1300,$G1047&gt;1500,$H1047&lt;1,$H1047&gt;12,$I1047&lt;1,$I1047&gt;31),"نامعتبر",RIGHT("0000"&amp;$G1047,4)&amp;"/"&amp;RIGHT("00"&amp;$H1047,2)&amp;"/"&amp;RIGHT("00"&amp;$I1047,2)))</f>
        <v/>
      </c>
      <c r="K1047">
        <f>IF(OR($F1047="",$J1047="",$J1047="نامعتبر"),"",LEFT($J1047,4)&amp;MID($J1047,6,2)&amp;RIGHT($J1047,2)&amp;$N1047&amp;"|"&amp;"2"&amp;RIGHT("00000"&amp;1042,5))</f>
        <v/>
      </c>
      <c r="L1047">
        <f>IF($K1047="","",COUNTIFS(LdgPartyA,$F1047,LdgKeyA,"&lt;"&amp;$K1047)+COUNTIFS(LdgPartyB,$F1047,LdgKeyB,"&lt;"&amp;$K1047)+1)</f>
        <v/>
      </c>
      <c r="M1047">
        <f>IF($L1047="","",$F1047&amp;"|"&amp;RIGHT("000000"&amp;$L1047,6))</f>
        <v/>
      </c>
      <c r="N1047">
        <f>IF($F1047="","",IF(Sync!$AH1047="","0000",IF(AND(ISNUMBER(Sync!$AH1047),Sync!$AH1047&gt;=0,Sync!$AH1047&lt;1),RIGHT("00"&amp;HOUR(Sync!$AH1047),2)&amp;RIGHT("00"&amp;MINUTE(Sync!$AH1047),2),IFERROR(RIGHT("00"&amp;VALUE(LEFT(Sync!$AH1047,FIND(":",Sync!$AH1047)-1)),2)&amp;RIGHT("00"&amp;VALUE(MID(Sync!$AH1047,FIND(":",Sync!$AH1047)+1,2)),2),"0000"))))</f>
        <v/>
      </c>
    </row>
    <row r="1048">
      <c r="A1048">
        <f>IF(OR(Calc!$E1051="",Calc!$E1051="نامعتبر",Calc!$G1051="",Calc!$I1051&lt;&gt;"خرید"),"",Calc!$G1051)</f>
        <v/>
      </c>
      <c r="B1048">
        <f>IF($A1048="","",LEFT(Calc!$E1051,4)&amp;MID(Calc!$E1051,6,2)&amp;RIGHT(Calc!$E1051,2)&amp;Calc!$R1051&amp;"|"&amp;"1"&amp;RIGHT("00000"&amp;1043,5))</f>
        <v/>
      </c>
      <c r="C1048">
        <f>IF($B1048="","",COUNTIFS(LdgPartyA,$A1048,LdgKeyA,"&lt;"&amp;$B1048)+COUNTIFS(LdgPartyB,$A1048,LdgKeyB,"&lt;"&amp;$B1048)+1)</f>
        <v/>
      </c>
      <c r="D1048">
        <f>IF($C1048="","",$A1048&amp;"|"&amp;RIGHT("000000"&amp;$C1048,6))</f>
        <v/>
      </c>
      <c r="F1048">
        <f>IF(Sync!$AJ1048="","",Sync!$AJ1048)</f>
        <v/>
      </c>
      <c r="G1048">
        <f>IF($F1048="","",IF(Sync!$AG1048="","",IF(ISNUMBER(Sync!$AG1048),IF(AND(Sync!$AG1048&gt;=10000101,Sync!$AG1048&lt;=99991231),INT(Sync!$AG1048/10000),""),IFERROR(VALUE(TRIM(LEFT(Sync!$AG1048,FIND("/",Sync!$AG1048)-1))),""))))</f>
        <v/>
      </c>
      <c r="H1048">
        <f>IF(OR($F1048="",$G1048=""),"",IF(ISNUMBER(Sync!$AG1048),INT(MOD(Sync!$AG1048,10000)/100),IFERROR(VALUE(TRIM(LEFT(MID(Sync!$AG1048,FIND("/",Sync!$AG1048)+1,20),FIND("/",MID(Sync!$AG1048,FIND("/",Sync!$AG1048)+1,20))-1))),"")))</f>
        <v/>
      </c>
      <c r="I1048">
        <f>IF(OR($F1048="",$G1048=""),"",IF(ISNUMBER(Sync!$AG1048),MOD(Sync!$AG1048,100),IFERROR(VALUE(TRIM(MID(MID(Sync!$AG1048,FIND("/",Sync!$AG1048)+1,20),FIND("/",MID(Sync!$AG1048,FIND("/",Sync!$AG1048)+1,20))+1,20))),"")))</f>
        <v/>
      </c>
      <c r="J1048">
        <f>IF($F1048="","",IF(OR($G1048="",$H1048="",$I1048="",$G1048&lt;1300,$G1048&gt;1500,$H1048&lt;1,$H1048&gt;12,$I1048&lt;1,$I1048&gt;31),"نامعتبر",RIGHT("0000"&amp;$G1048,4)&amp;"/"&amp;RIGHT("00"&amp;$H1048,2)&amp;"/"&amp;RIGHT("00"&amp;$I1048,2)))</f>
        <v/>
      </c>
      <c r="K1048">
        <f>IF(OR($F1048="",$J1048="",$J1048="نامعتبر"),"",LEFT($J1048,4)&amp;MID($J1048,6,2)&amp;RIGHT($J1048,2)&amp;$N1048&amp;"|"&amp;"2"&amp;RIGHT("00000"&amp;1043,5))</f>
        <v/>
      </c>
      <c r="L1048">
        <f>IF($K1048="","",COUNTIFS(LdgPartyA,$F1048,LdgKeyA,"&lt;"&amp;$K1048)+COUNTIFS(LdgPartyB,$F1048,LdgKeyB,"&lt;"&amp;$K1048)+1)</f>
        <v/>
      </c>
      <c r="M1048">
        <f>IF($L1048="","",$F1048&amp;"|"&amp;RIGHT("000000"&amp;$L1048,6))</f>
        <v/>
      </c>
      <c r="N1048">
        <f>IF($F1048="","",IF(Sync!$AH1048="","0000",IF(AND(ISNUMBER(Sync!$AH1048),Sync!$AH1048&gt;=0,Sync!$AH1048&lt;1),RIGHT("00"&amp;HOUR(Sync!$AH1048),2)&amp;RIGHT("00"&amp;MINUTE(Sync!$AH1048),2),IFERROR(RIGHT("00"&amp;VALUE(LEFT(Sync!$AH1048,FIND(":",Sync!$AH1048)-1)),2)&amp;RIGHT("00"&amp;VALUE(MID(Sync!$AH1048,FIND(":",Sync!$AH1048)+1,2)),2),"0000"))))</f>
        <v/>
      </c>
    </row>
    <row r="1049">
      <c r="A1049">
        <f>IF(OR(Calc!$E1052="",Calc!$E1052="نامعتبر",Calc!$G1052="",Calc!$I1052&lt;&gt;"خرید"),"",Calc!$G1052)</f>
        <v/>
      </c>
      <c r="B1049">
        <f>IF($A1049="","",LEFT(Calc!$E1052,4)&amp;MID(Calc!$E1052,6,2)&amp;RIGHT(Calc!$E1052,2)&amp;Calc!$R1052&amp;"|"&amp;"1"&amp;RIGHT("00000"&amp;1044,5))</f>
        <v/>
      </c>
      <c r="C1049">
        <f>IF($B1049="","",COUNTIFS(LdgPartyA,$A1049,LdgKeyA,"&lt;"&amp;$B1049)+COUNTIFS(LdgPartyB,$A1049,LdgKeyB,"&lt;"&amp;$B1049)+1)</f>
        <v/>
      </c>
      <c r="D1049">
        <f>IF($C1049="","",$A1049&amp;"|"&amp;RIGHT("000000"&amp;$C1049,6))</f>
        <v/>
      </c>
      <c r="F1049">
        <f>IF(Sync!$AJ1049="","",Sync!$AJ1049)</f>
        <v/>
      </c>
      <c r="G1049">
        <f>IF($F1049="","",IF(Sync!$AG1049="","",IF(ISNUMBER(Sync!$AG1049),IF(AND(Sync!$AG1049&gt;=10000101,Sync!$AG1049&lt;=99991231),INT(Sync!$AG1049/10000),""),IFERROR(VALUE(TRIM(LEFT(Sync!$AG1049,FIND("/",Sync!$AG1049)-1))),""))))</f>
        <v/>
      </c>
      <c r="H1049">
        <f>IF(OR($F1049="",$G1049=""),"",IF(ISNUMBER(Sync!$AG1049),INT(MOD(Sync!$AG1049,10000)/100),IFERROR(VALUE(TRIM(LEFT(MID(Sync!$AG1049,FIND("/",Sync!$AG1049)+1,20),FIND("/",MID(Sync!$AG1049,FIND("/",Sync!$AG1049)+1,20))-1))),"")))</f>
        <v/>
      </c>
      <c r="I1049">
        <f>IF(OR($F1049="",$G1049=""),"",IF(ISNUMBER(Sync!$AG1049),MOD(Sync!$AG1049,100),IFERROR(VALUE(TRIM(MID(MID(Sync!$AG1049,FIND("/",Sync!$AG1049)+1,20),FIND("/",MID(Sync!$AG1049,FIND("/",Sync!$AG1049)+1,20))+1,20))),"")))</f>
        <v/>
      </c>
      <c r="J1049">
        <f>IF($F1049="","",IF(OR($G1049="",$H1049="",$I1049="",$G1049&lt;1300,$G1049&gt;1500,$H1049&lt;1,$H1049&gt;12,$I1049&lt;1,$I1049&gt;31),"نامعتبر",RIGHT("0000"&amp;$G1049,4)&amp;"/"&amp;RIGHT("00"&amp;$H1049,2)&amp;"/"&amp;RIGHT("00"&amp;$I1049,2)))</f>
        <v/>
      </c>
      <c r="K1049">
        <f>IF(OR($F1049="",$J1049="",$J1049="نامعتبر"),"",LEFT($J1049,4)&amp;MID($J1049,6,2)&amp;RIGHT($J1049,2)&amp;$N1049&amp;"|"&amp;"2"&amp;RIGHT("00000"&amp;1044,5))</f>
        <v/>
      </c>
      <c r="L1049">
        <f>IF($K1049="","",COUNTIFS(LdgPartyA,$F1049,LdgKeyA,"&lt;"&amp;$K1049)+COUNTIFS(LdgPartyB,$F1049,LdgKeyB,"&lt;"&amp;$K1049)+1)</f>
        <v/>
      </c>
      <c r="M1049">
        <f>IF($L1049="","",$F1049&amp;"|"&amp;RIGHT("000000"&amp;$L1049,6))</f>
        <v/>
      </c>
      <c r="N1049">
        <f>IF($F1049="","",IF(Sync!$AH1049="","0000",IF(AND(ISNUMBER(Sync!$AH1049),Sync!$AH1049&gt;=0,Sync!$AH1049&lt;1),RIGHT("00"&amp;HOUR(Sync!$AH1049),2)&amp;RIGHT("00"&amp;MINUTE(Sync!$AH1049),2),IFERROR(RIGHT("00"&amp;VALUE(LEFT(Sync!$AH1049,FIND(":",Sync!$AH1049)-1)),2)&amp;RIGHT("00"&amp;VALUE(MID(Sync!$AH1049,FIND(":",Sync!$AH1049)+1,2)),2),"0000"))))</f>
        <v/>
      </c>
    </row>
    <row r="1050">
      <c r="A1050">
        <f>IF(OR(Calc!$E1053="",Calc!$E1053="نامعتبر",Calc!$G1053="",Calc!$I1053&lt;&gt;"خرید"),"",Calc!$G1053)</f>
        <v/>
      </c>
      <c r="B1050">
        <f>IF($A1050="","",LEFT(Calc!$E1053,4)&amp;MID(Calc!$E1053,6,2)&amp;RIGHT(Calc!$E1053,2)&amp;Calc!$R1053&amp;"|"&amp;"1"&amp;RIGHT("00000"&amp;1045,5))</f>
        <v/>
      </c>
      <c r="C1050">
        <f>IF($B1050="","",COUNTIFS(LdgPartyA,$A1050,LdgKeyA,"&lt;"&amp;$B1050)+COUNTIFS(LdgPartyB,$A1050,LdgKeyB,"&lt;"&amp;$B1050)+1)</f>
        <v/>
      </c>
      <c r="D1050">
        <f>IF($C1050="","",$A1050&amp;"|"&amp;RIGHT("000000"&amp;$C1050,6))</f>
        <v/>
      </c>
      <c r="F1050">
        <f>IF(Sync!$AJ1050="","",Sync!$AJ1050)</f>
        <v/>
      </c>
      <c r="G1050">
        <f>IF($F1050="","",IF(Sync!$AG1050="","",IF(ISNUMBER(Sync!$AG1050),IF(AND(Sync!$AG1050&gt;=10000101,Sync!$AG1050&lt;=99991231),INT(Sync!$AG1050/10000),""),IFERROR(VALUE(TRIM(LEFT(Sync!$AG1050,FIND("/",Sync!$AG1050)-1))),""))))</f>
        <v/>
      </c>
      <c r="H1050">
        <f>IF(OR($F1050="",$G1050=""),"",IF(ISNUMBER(Sync!$AG1050),INT(MOD(Sync!$AG1050,10000)/100),IFERROR(VALUE(TRIM(LEFT(MID(Sync!$AG1050,FIND("/",Sync!$AG1050)+1,20),FIND("/",MID(Sync!$AG1050,FIND("/",Sync!$AG1050)+1,20))-1))),"")))</f>
        <v/>
      </c>
      <c r="I1050">
        <f>IF(OR($F1050="",$G1050=""),"",IF(ISNUMBER(Sync!$AG1050),MOD(Sync!$AG1050,100),IFERROR(VALUE(TRIM(MID(MID(Sync!$AG1050,FIND("/",Sync!$AG1050)+1,20),FIND("/",MID(Sync!$AG1050,FIND("/",Sync!$AG1050)+1,20))+1,20))),"")))</f>
        <v/>
      </c>
      <c r="J1050">
        <f>IF($F1050="","",IF(OR($G1050="",$H1050="",$I1050="",$G1050&lt;1300,$G1050&gt;1500,$H1050&lt;1,$H1050&gt;12,$I1050&lt;1,$I1050&gt;31),"نامعتبر",RIGHT("0000"&amp;$G1050,4)&amp;"/"&amp;RIGHT("00"&amp;$H1050,2)&amp;"/"&amp;RIGHT("00"&amp;$I1050,2)))</f>
        <v/>
      </c>
      <c r="K1050">
        <f>IF(OR($F1050="",$J1050="",$J1050="نامعتبر"),"",LEFT($J1050,4)&amp;MID($J1050,6,2)&amp;RIGHT($J1050,2)&amp;$N1050&amp;"|"&amp;"2"&amp;RIGHT("00000"&amp;1045,5))</f>
        <v/>
      </c>
      <c r="L1050">
        <f>IF($K1050="","",COUNTIFS(LdgPartyA,$F1050,LdgKeyA,"&lt;"&amp;$K1050)+COUNTIFS(LdgPartyB,$F1050,LdgKeyB,"&lt;"&amp;$K1050)+1)</f>
        <v/>
      </c>
      <c r="M1050">
        <f>IF($L1050="","",$F1050&amp;"|"&amp;RIGHT("000000"&amp;$L1050,6))</f>
        <v/>
      </c>
      <c r="N1050">
        <f>IF($F1050="","",IF(Sync!$AH1050="","0000",IF(AND(ISNUMBER(Sync!$AH1050),Sync!$AH1050&gt;=0,Sync!$AH1050&lt;1),RIGHT("00"&amp;HOUR(Sync!$AH1050),2)&amp;RIGHT("00"&amp;MINUTE(Sync!$AH1050),2),IFERROR(RIGHT("00"&amp;VALUE(LEFT(Sync!$AH1050,FIND(":",Sync!$AH1050)-1)),2)&amp;RIGHT("00"&amp;VALUE(MID(Sync!$AH1050,FIND(":",Sync!$AH1050)+1,2)),2),"0000"))))</f>
        <v/>
      </c>
    </row>
    <row r="1051">
      <c r="A1051">
        <f>IF(OR(Calc!$E1054="",Calc!$E1054="نامعتبر",Calc!$G1054="",Calc!$I1054&lt;&gt;"خرید"),"",Calc!$G1054)</f>
        <v/>
      </c>
      <c r="B1051">
        <f>IF($A1051="","",LEFT(Calc!$E1054,4)&amp;MID(Calc!$E1054,6,2)&amp;RIGHT(Calc!$E1054,2)&amp;Calc!$R1054&amp;"|"&amp;"1"&amp;RIGHT("00000"&amp;1046,5))</f>
        <v/>
      </c>
      <c r="C1051">
        <f>IF($B1051="","",COUNTIFS(LdgPartyA,$A1051,LdgKeyA,"&lt;"&amp;$B1051)+COUNTIFS(LdgPartyB,$A1051,LdgKeyB,"&lt;"&amp;$B1051)+1)</f>
        <v/>
      </c>
      <c r="D1051">
        <f>IF($C1051="","",$A1051&amp;"|"&amp;RIGHT("000000"&amp;$C1051,6))</f>
        <v/>
      </c>
      <c r="F1051">
        <f>IF(Sync!$AJ1051="","",Sync!$AJ1051)</f>
        <v/>
      </c>
      <c r="G1051">
        <f>IF($F1051="","",IF(Sync!$AG1051="","",IF(ISNUMBER(Sync!$AG1051),IF(AND(Sync!$AG1051&gt;=10000101,Sync!$AG1051&lt;=99991231),INT(Sync!$AG1051/10000),""),IFERROR(VALUE(TRIM(LEFT(Sync!$AG1051,FIND("/",Sync!$AG1051)-1))),""))))</f>
        <v/>
      </c>
      <c r="H1051">
        <f>IF(OR($F1051="",$G1051=""),"",IF(ISNUMBER(Sync!$AG1051),INT(MOD(Sync!$AG1051,10000)/100),IFERROR(VALUE(TRIM(LEFT(MID(Sync!$AG1051,FIND("/",Sync!$AG1051)+1,20),FIND("/",MID(Sync!$AG1051,FIND("/",Sync!$AG1051)+1,20))-1))),"")))</f>
        <v/>
      </c>
      <c r="I1051">
        <f>IF(OR($F1051="",$G1051=""),"",IF(ISNUMBER(Sync!$AG1051),MOD(Sync!$AG1051,100),IFERROR(VALUE(TRIM(MID(MID(Sync!$AG1051,FIND("/",Sync!$AG1051)+1,20),FIND("/",MID(Sync!$AG1051,FIND("/",Sync!$AG1051)+1,20))+1,20))),"")))</f>
        <v/>
      </c>
      <c r="J1051">
        <f>IF($F1051="","",IF(OR($G1051="",$H1051="",$I1051="",$G1051&lt;1300,$G1051&gt;1500,$H1051&lt;1,$H1051&gt;12,$I1051&lt;1,$I1051&gt;31),"نامعتبر",RIGHT("0000"&amp;$G1051,4)&amp;"/"&amp;RIGHT("00"&amp;$H1051,2)&amp;"/"&amp;RIGHT("00"&amp;$I1051,2)))</f>
        <v/>
      </c>
      <c r="K1051">
        <f>IF(OR($F1051="",$J1051="",$J1051="نامعتبر"),"",LEFT($J1051,4)&amp;MID($J1051,6,2)&amp;RIGHT($J1051,2)&amp;$N1051&amp;"|"&amp;"2"&amp;RIGHT("00000"&amp;1046,5))</f>
        <v/>
      </c>
      <c r="L1051">
        <f>IF($K1051="","",COUNTIFS(LdgPartyA,$F1051,LdgKeyA,"&lt;"&amp;$K1051)+COUNTIFS(LdgPartyB,$F1051,LdgKeyB,"&lt;"&amp;$K1051)+1)</f>
        <v/>
      </c>
      <c r="M1051">
        <f>IF($L1051="","",$F1051&amp;"|"&amp;RIGHT("000000"&amp;$L1051,6))</f>
        <v/>
      </c>
      <c r="N1051">
        <f>IF($F1051="","",IF(Sync!$AH1051="","0000",IF(AND(ISNUMBER(Sync!$AH1051),Sync!$AH1051&gt;=0,Sync!$AH1051&lt;1),RIGHT("00"&amp;HOUR(Sync!$AH1051),2)&amp;RIGHT("00"&amp;MINUTE(Sync!$AH1051),2),IFERROR(RIGHT("00"&amp;VALUE(LEFT(Sync!$AH1051,FIND(":",Sync!$AH1051)-1)),2)&amp;RIGHT("00"&amp;VALUE(MID(Sync!$AH1051,FIND(":",Sync!$AH1051)+1,2)),2),"0000"))))</f>
        <v/>
      </c>
    </row>
    <row r="1052">
      <c r="A1052">
        <f>IF(OR(Calc!$E1055="",Calc!$E1055="نامعتبر",Calc!$G1055="",Calc!$I1055&lt;&gt;"خرید"),"",Calc!$G1055)</f>
        <v/>
      </c>
      <c r="B1052">
        <f>IF($A1052="","",LEFT(Calc!$E1055,4)&amp;MID(Calc!$E1055,6,2)&amp;RIGHT(Calc!$E1055,2)&amp;Calc!$R1055&amp;"|"&amp;"1"&amp;RIGHT("00000"&amp;1047,5))</f>
        <v/>
      </c>
      <c r="C1052">
        <f>IF($B1052="","",COUNTIFS(LdgPartyA,$A1052,LdgKeyA,"&lt;"&amp;$B1052)+COUNTIFS(LdgPartyB,$A1052,LdgKeyB,"&lt;"&amp;$B1052)+1)</f>
        <v/>
      </c>
      <c r="D1052">
        <f>IF($C1052="","",$A1052&amp;"|"&amp;RIGHT("000000"&amp;$C1052,6))</f>
        <v/>
      </c>
      <c r="F1052">
        <f>IF(Sync!$AJ1052="","",Sync!$AJ1052)</f>
        <v/>
      </c>
      <c r="G1052">
        <f>IF($F1052="","",IF(Sync!$AG1052="","",IF(ISNUMBER(Sync!$AG1052),IF(AND(Sync!$AG1052&gt;=10000101,Sync!$AG1052&lt;=99991231),INT(Sync!$AG1052/10000),""),IFERROR(VALUE(TRIM(LEFT(Sync!$AG1052,FIND("/",Sync!$AG1052)-1))),""))))</f>
        <v/>
      </c>
      <c r="H1052">
        <f>IF(OR($F1052="",$G1052=""),"",IF(ISNUMBER(Sync!$AG1052),INT(MOD(Sync!$AG1052,10000)/100),IFERROR(VALUE(TRIM(LEFT(MID(Sync!$AG1052,FIND("/",Sync!$AG1052)+1,20),FIND("/",MID(Sync!$AG1052,FIND("/",Sync!$AG1052)+1,20))-1))),"")))</f>
        <v/>
      </c>
      <c r="I1052">
        <f>IF(OR($F1052="",$G1052=""),"",IF(ISNUMBER(Sync!$AG1052),MOD(Sync!$AG1052,100),IFERROR(VALUE(TRIM(MID(MID(Sync!$AG1052,FIND("/",Sync!$AG1052)+1,20),FIND("/",MID(Sync!$AG1052,FIND("/",Sync!$AG1052)+1,20))+1,20))),"")))</f>
        <v/>
      </c>
      <c r="J1052">
        <f>IF($F1052="","",IF(OR($G1052="",$H1052="",$I1052="",$G1052&lt;1300,$G1052&gt;1500,$H1052&lt;1,$H1052&gt;12,$I1052&lt;1,$I1052&gt;31),"نامعتبر",RIGHT("0000"&amp;$G1052,4)&amp;"/"&amp;RIGHT("00"&amp;$H1052,2)&amp;"/"&amp;RIGHT("00"&amp;$I1052,2)))</f>
        <v/>
      </c>
      <c r="K1052">
        <f>IF(OR($F1052="",$J1052="",$J1052="نامعتبر"),"",LEFT($J1052,4)&amp;MID($J1052,6,2)&amp;RIGHT($J1052,2)&amp;$N1052&amp;"|"&amp;"2"&amp;RIGHT("00000"&amp;1047,5))</f>
        <v/>
      </c>
      <c r="L1052">
        <f>IF($K1052="","",COUNTIFS(LdgPartyA,$F1052,LdgKeyA,"&lt;"&amp;$K1052)+COUNTIFS(LdgPartyB,$F1052,LdgKeyB,"&lt;"&amp;$K1052)+1)</f>
        <v/>
      </c>
      <c r="M1052">
        <f>IF($L1052="","",$F1052&amp;"|"&amp;RIGHT("000000"&amp;$L1052,6))</f>
        <v/>
      </c>
      <c r="N1052">
        <f>IF($F1052="","",IF(Sync!$AH1052="","0000",IF(AND(ISNUMBER(Sync!$AH1052),Sync!$AH1052&gt;=0,Sync!$AH1052&lt;1),RIGHT("00"&amp;HOUR(Sync!$AH1052),2)&amp;RIGHT("00"&amp;MINUTE(Sync!$AH1052),2),IFERROR(RIGHT("00"&amp;VALUE(LEFT(Sync!$AH1052,FIND(":",Sync!$AH1052)-1)),2)&amp;RIGHT("00"&amp;VALUE(MID(Sync!$AH1052,FIND(":",Sync!$AH1052)+1,2)),2),"0000"))))</f>
        <v/>
      </c>
    </row>
    <row r="1053">
      <c r="A1053">
        <f>IF(OR(Calc!$E1056="",Calc!$E1056="نامعتبر",Calc!$G1056="",Calc!$I1056&lt;&gt;"خرید"),"",Calc!$G1056)</f>
        <v/>
      </c>
      <c r="B1053">
        <f>IF($A1053="","",LEFT(Calc!$E1056,4)&amp;MID(Calc!$E1056,6,2)&amp;RIGHT(Calc!$E1056,2)&amp;Calc!$R1056&amp;"|"&amp;"1"&amp;RIGHT("00000"&amp;1048,5))</f>
        <v/>
      </c>
      <c r="C1053">
        <f>IF($B1053="","",COUNTIFS(LdgPartyA,$A1053,LdgKeyA,"&lt;"&amp;$B1053)+COUNTIFS(LdgPartyB,$A1053,LdgKeyB,"&lt;"&amp;$B1053)+1)</f>
        <v/>
      </c>
      <c r="D1053">
        <f>IF($C1053="","",$A1053&amp;"|"&amp;RIGHT("000000"&amp;$C1053,6))</f>
        <v/>
      </c>
      <c r="F1053">
        <f>IF(Sync!$AJ1053="","",Sync!$AJ1053)</f>
        <v/>
      </c>
      <c r="G1053">
        <f>IF($F1053="","",IF(Sync!$AG1053="","",IF(ISNUMBER(Sync!$AG1053),IF(AND(Sync!$AG1053&gt;=10000101,Sync!$AG1053&lt;=99991231),INT(Sync!$AG1053/10000),""),IFERROR(VALUE(TRIM(LEFT(Sync!$AG1053,FIND("/",Sync!$AG1053)-1))),""))))</f>
        <v/>
      </c>
      <c r="H1053">
        <f>IF(OR($F1053="",$G1053=""),"",IF(ISNUMBER(Sync!$AG1053),INT(MOD(Sync!$AG1053,10000)/100),IFERROR(VALUE(TRIM(LEFT(MID(Sync!$AG1053,FIND("/",Sync!$AG1053)+1,20),FIND("/",MID(Sync!$AG1053,FIND("/",Sync!$AG1053)+1,20))-1))),"")))</f>
        <v/>
      </c>
      <c r="I1053">
        <f>IF(OR($F1053="",$G1053=""),"",IF(ISNUMBER(Sync!$AG1053),MOD(Sync!$AG1053,100),IFERROR(VALUE(TRIM(MID(MID(Sync!$AG1053,FIND("/",Sync!$AG1053)+1,20),FIND("/",MID(Sync!$AG1053,FIND("/",Sync!$AG1053)+1,20))+1,20))),"")))</f>
        <v/>
      </c>
      <c r="J1053">
        <f>IF($F1053="","",IF(OR($G1053="",$H1053="",$I1053="",$G1053&lt;1300,$G1053&gt;1500,$H1053&lt;1,$H1053&gt;12,$I1053&lt;1,$I1053&gt;31),"نامعتبر",RIGHT("0000"&amp;$G1053,4)&amp;"/"&amp;RIGHT("00"&amp;$H1053,2)&amp;"/"&amp;RIGHT("00"&amp;$I1053,2)))</f>
        <v/>
      </c>
      <c r="K1053">
        <f>IF(OR($F1053="",$J1053="",$J1053="نامعتبر"),"",LEFT($J1053,4)&amp;MID($J1053,6,2)&amp;RIGHT($J1053,2)&amp;$N1053&amp;"|"&amp;"2"&amp;RIGHT("00000"&amp;1048,5))</f>
        <v/>
      </c>
      <c r="L1053">
        <f>IF($K1053="","",COUNTIFS(LdgPartyA,$F1053,LdgKeyA,"&lt;"&amp;$K1053)+COUNTIFS(LdgPartyB,$F1053,LdgKeyB,"&lt;"&amp;$K1053)+1)</f>
        <v/>
      </c>
      <c r="M1053">
        <f>IF($L1053="","",$F1053&amp;"|"&amp;RIGHT("000000"&amp;$L1053,6))</f>
        <v/>
      </c>
      <c r="N1053">
        <f>IF($F1053="","",IF(Sync!$AH1053="","0000",IF(AND(ISNUMBER(Sync!$AH1053),Sync!$AH1053&gt;=0,Sync!$AH1053&lt;1),RIGHT("00"&amp;HOUR(Sync!$AH1053),2)&amp;RIGHT("00"&amp;MINUTE(Sync!$AH1053),2),IFERROR(RIGHT("00"&amp;VALUE(LEFT(Sync!$AH1053,FIND(":",Sync!$AH1053)-1)),2)&amp;RIGHT("00"&amp;VALUE(MID(Sync!$AH1053,FIND(":",Sync!$AH1053)+1,2)),2),"0000"))))</f>
        <v/>
      </c>
    </row>
    <row r="1054">
      <c r="A1054">
        <f>IF(OR(Calc!$E1057="",Calc!$E1057="نامعتبر",Calc!$G1057="",Calc!$I1057&lt;&gt;"خرید"),"",Calc!$G1057)</f>
        <v/>
      </c>
      <c r="B1054">
        <f>IF($A1054="","",LEFT(Calc!$E1057,4)&amp;MID(Calc!$E1057,6,2)&amp;RIGHT(Calc!$E1057,2)&amp;Calc!$R1057&amp;"|"&amp;"1"&amp;RIGHT("00000"&amp;1049,5))</f>
        <v/>
      </c>
      <c r="C1054">
        <f>IF($B1054="","",COUNTIFS(LdgPartyA,$A1054,LdgKeyA,"&lt;"&amp;$B1054)+COUNTIFS(LdgPartyB,$A1054,LdgKeyB,"&lt;"&amp;$B1054)+1)</f>
        <v/>
      </c>
      <c r="D1054">
        <f>IF($C1054="","",$A1054&amp;"|"&amp;RIGHT("000000"&amp;$C1054,6))</f>
        <v/>
      </c>
      <c r="F1054">
        <f>IF(Sync!$AJ1054="","",Sync!$AJ1054)</f>
        <v/>
      </c>
      <c r="G1054">
        <f>IF($F1054="","",IF(Sync!$AG1054="","",IF(ISNUMBER(Sync!$AG1054),IF(AND(Sync!$AG1054&gt;=10000101,Sync!$AG1054&lt;=99991231),INT(Sync!$AG1054/10000),""),IFERROR(VALUE(TRIM(LEFT(Sync!$AG1054,FIND("/",Sync!$AG1054)-1))),""))))</f>
        <v/>
      </c>
      <c r="H1054">
        <f>IF(OR($F1054="",$G1054=""),"",IF(ISNUMBER(Sync!$AG1054),INT(MOD(Sync!$AG1054,10000)/100),IFERROR(VALUE(TRIM(LEFT(MID(Sync!$AG1054,FIND("/",Sync!$AG1054)+1,20),FIND("/",MID(Sync!$AG1054,FIND("/",Sync!$AG1054)+1,20))-1))),"")))</f>
        <v/>
      </c>
      <c r="I1054">
        <f>IF(OR($F1054="",$G1054=""),"",IF(ISNUMBER(Sync!$AG1054),MOD(Sync!$AG1054,100),IFERROR(VALUE(TRIM(MID(MID(Sync!$AG1054,FIND("/",Sync!$AG1054)+1,20),FIND("/",MID(Sync!$AG1054,FIND("/",Sync!$AG1054)+1,20))+1,20))),"")))</f>
        <v/>
      </c>
      <c r="J1054">
        <f>IF($F1054="","",IF(OR($G1054="",$H1054="",$I1054="",$G1054&lt;1300,$G1054&gt;1500,$H1054&lt;1,$H1054&gt;12,$I1054&lt;1,$I1054&gt;31),"نامعتبر",RIGHT("0000"&amp;$G1054,4)&amp;"/"&amp;RIGHT("00"&amp;$H1054,2)&amp;"/"&amp;RIGHT("00"&amp;$I1054,2)))</f>
        <v/>
      </c>
      <c r="K1054">
        <f>IF(OR($F1054="",$J1054="",$J1054="نامعتبر"),"",LEFT($J1054,4)&amp;MID($J1054,6,2)&amp;RIGHT($J1054,2)&amp;$N1054&amp;"|"&amp;"2"&amp;RIGHT("00000"&amp;1049,5))</f>
        <v/>
      </c>
      <c r="L1054">
        <f>IF($K1054="","",COUNTIFS(LdgPartyA,$F1054,LdgKeyA,"&lt;"&amp;$K1054)+COUNTIFS(LdgPartyB,$F1054,LdgKeyB,"&lt;"&amp;$K1054)+1)</f>
        <v/>
      </c>
      <c r="M1054">
        <f>IF($L1054="","",$F1054&amp;"|"&amp;RIGHT("000000"&amp;$L1054,6))</f>
        <v/>
      </c>
      <c r="N1054">
        <f>IF($F1054="","",IF(Sync!$AH1054="","0000",IF(AND(ISNUMBER(Sync!$AH1054),Sync!$AH1054&gt;=0,Sync!$AH1054&lt;1),RIGHT("00"&amp;HOUR(Sync!$AH1054),2)&amp;RIGHT("00"&amp;MINUTE(Sync!$AH1054),2),IFERROR(RIGHT("00"&amp;VALUE(LEFT(Sync!$AH1054,FIND(":",Sync!$AH1054)-1)),2)&amp;RIGHT("00"&amp;VALUE(MID(Sync!$AH1054,FIND(":",Sync!$AH1054)+1,2)),2),"0000"))))</f>
        <v/>
      </c>
    </row>
    <row r="1055">
      <c r="A1055">
        <f>IF(OR(Calc!$E1058="",Calc!$E1058="نامعتبر",Calc!$G1058="",Calc!$I1058&lt;&gt;"خرید"),"",Calc!$G1058)</f>
        <v/>
      </c>
      <c r="B1055">
        <f>IF($A1055="","",LEFT(Calc!$E1058,4)&amp;MID(Calc!$E1058,6,2)&amp;RIGHT(Calc!$E1058,2)&amp;Calc!$R1058&amp;"|"&amp;"1"&amp;RIGHT("00000"&amp;1050,5))</f>
        <v/>
      </c>
      <c r="C1055">
        <f>IF($B1055="","",COUNTIFS(LdgPartyA,$A1055,LdgKeyA,"&lt;"&amp;$B1055)+COUNTIFS(LdgPartyB,$A1055,LdgKeyB,"&lt;"&amp;$B1055)+1)</f>
        <v/>
      </c>
      <c r="D1055">
        <f>IF($C1055="","",$A1055&amp;"|"&amp;RIGHT("000000"&amp;$C1055,6))</f>
        <v/>
      </c>
      <c r="F1055">
        <f>IF(Sync!$AJ1055="","",Sync!$AJ1055)</f>
        <v/>
      </c>
      <c r="G1055">
        <f>IF($F1055="","",IF(Sync!$AG1055="","",IF(ISNUMBER(Sync!$AG1055),IF(AND(Sync!$AG1055&gt;=10000101,Sync!$AG1055&lt;=99991231),INT(Sync!$AG1055/10000),""),IFERROR(VALUE(TRIM(LEFT(Sync!$AG1055,FIND("/",Sync!$AG1055)-1))),""))))</f>
        <v/>
      </c>
      <c r="H1055">
        <f>IF(OR($F1055="",$G1055=""),"",IF(ISNUMBER(Sync!$AG1055),INT(MOD(Sync!$AG1055,10000)/100),IFERROR(VALUE(TRIM(LEFT(MID(Sync!$AG1055,FIND("/",Sync!$AG1055)+1,20),FIND("/",MID(Sync!$AG1055,FIND("/",Sync!$AG1055)+1,20))-1))),"")))</f>
        <v/>
      </c>
      <c r="I1055">
        <f>IF(OR($F1055="",$G1055=""),"",IF(ISNUMBER(Sync!$AG1055),MOD(Sync!$AG1055,100),IFERROR(VALUE(TRIM(MID(MID(Sync!$AG1055,FIND("/",Sync!$AG1055)+1,20),FIND("/",MID(Sync!$AG1055,FIND("/",Sync!$AG1055)+1,20))+1,20))),"")))</f>
        <v/>
      </c>
      <c r="J1055">
        <f>IF($F1055="","",IF(OR($G1055="",$H1055="",$I1055="",$G1055&lt;1300,$G1055&gt;1500,$H1055&lt;1,$H1055&gt;12,$I1055&lt;1,$I1055&gt;31),"نامعتبر",RIGHT("0000"&amp;$G1055,4)&amp;"/"&amp;RIGHT("00"&amp;$H1055,2)&amp;"/"&amp;RIGHT("00"&amp;$I1055,2)))</f>
        <v/>
      </c>
      <c r="K1055">
        <f>IF(OR($F1055="",$J1055="",$J1055="نامعتبر"),"",LEFT($J1055,4)&amp;MID($J1055,6,2)&amp;RIGHT($J1055,2)&amp;$N1055&amp;"|"&amp;"2"&amp;RIGHT("00000"&amp;1050,5))</f>
        <v/>
      </c>
      <c r="L1055">
        <f>IF($K1055="","",COUNTIFS(LdgPartyA,$F1055,LdgKeyA,"&lt;"&amp;$K1055)+COUNTIFS(LdgPartyB,$F1055,LdgKeyB,"&lt;"&amp;$K1055)+1)</f>
        <v/>
      </c>
      <c r="M1055">
        <f>IF($L1055="","",$F1055&amp;"|"&amp;RIGHT("000000"&amp;$L1055,6))</f>
        <v/>
      </c>
      <c r="N1055">
        <f>IF($F1055="","",IF(Sync!$AH1055="","0000",IF(AND(ISNUMBER(Sync!$AH1055),Sync!$AH1055&gt;=0,Sync!$AH1055&lt;1),RIGHT("00"&amp;HOUR(Sync!$AH1055),2)&amp;RIGHT("00"&amp;MINUTE(Sync!$AH1055),2),IFERROR(RIGHT("00"&amp;VALUE(LEFT(Sync!$AH1055,FIND(":",Sync!$AH1055)-1)),2)&amp;RIGHT("00"&amp;VALUE(MID(Sync!$AH1055,FIND(":",Sync!$AH1055)+1,2)),2),"0000"))))</f>
        <v/>
      </c>
    </row>
    <row r="1056">
      <c r="A1056">
        <f>IF(OR(Calc!$E1059="",Calc!$E1059="نامعتبر",Calc!$G1059="",Calc!$I1059&lt;&gt;"خرید"),"",Calc!$G1059)</f>
        <v/>
      </c>
      <c r="B1056">
        <f>IF($A1056="","",LEFT(Calc!$E1059,4)&amp;MID(Calc!$E1059,6,2)&amp;RIGHT(Calc!$E1059,2)&amp;Calc!$R1059&amp;"|"&amp;"1"&amp;RIGHT("00000"&amp;1051,5))</f>
        <v/>
      </c>
      <c r="C1056">
        <f>IF($B1056="","",COUNTIFS(LdgPartyA,$A1056,LdgKeyA,"&lt;"&amp;$B1056)+COUNTIFS(LdgPartyB,$A1056,LdgKeyB,"&lt;"&amp;$B1056)+1)</f>
        <v/>
      </c>
      <c r="D1056">
        <f>IF($C1056="","",$A1056&amp;"|"&amp;RIGHT("000000"&amp;$C1056,6))</f>
        <v/>
      </c>
      <c r="F1056">
        <f>IF(Sync!$AJ1056="","",Sync!$AJ1056)</f>
        <v/>
      </c>
      <c r="G1056">
        <f>IF($F1056="","",IF(Sync!$AG1056="","",IF(ISNUMBER(Sync!$AG1056),IF(AND(Sync!$AG1056&gt;=10000101,Sync!$AG1056&lt;=99991231),INT(Sync!$AG1056/10000),""),IFERROR(VALUE(TRIM(LEFT(Sync!$AG1056,FIND("/",Sync!$AG1056)-1))),""))))</f>
        <v/>
      </c>
      <c r="H1056">
        <f>IF(OR($F1056="",$G1056=""),"",IF(ISNUMBER(Sync!$AG1056),INT(MOD(Sync!$AG1056,10000)/100),IFERROR(VALUE(TRIM(LEFT(MID(Sync!$AG1056,FIND("/",Sync!$AG1056)+1,20),FIND("/",MID(Sync!$AG1056,FIND("/",Sync!$AG1056)+1,20))-1))),"")))</f>
        <v/>
      </c>
      <c r="I1056">
        <f>IF(OR($F1056="",$G1056=""),"",IF(ISNUMBER(Sync!$AG1056),MOD(Sync!$AG1056,100),IFERROR(VALUE(TRIM(MID(MID(Sync!$AG1056,FIND("/",Sync!$AG1056)+1,20),FIND("/",MID(Sync!$AG1056,FIND("/",Sync!$AG1056)+1,20))+1,20))),"")))</f>
        <v/>
      </c>
      <c r="J1056">
        <f>IF($F1056="","",IF(OR($G1056="",$H1056="",$I1056="",$G1056&lt;1300,$G1056&gt;1500,$H1056&lt;1,$H1056&gt;12,$I1056&lt;1,$I1056&gt;31),"نامعتبر",RIGHT("0000"&amp;$G1056,4)&amp;"/"&amp;RIGHT("00"&amp;$H1056,2)&amp;"/"&amp;RIGHT("00"&amp;$I1056,2)))</f>
        <v/>
      </c>
      <c r="K1056">
        <f>IF(OR($F1056="",$J1056="",$J1056="نامعتبر"),"",LEFT($J1056,4)&amp;MID($J1056,6,2)&amp;RIGHT($J1056,2)&amp;$N1056&amp;"|"&amp;"2"&amp;RIGHT("00000"&amp;1051,5))</f>
        <v/>
      </c>
      <c r="L1056">
        <f>IF($K1056="","",COUNTIFS(LdgPartyA,$F1056,LdgKeyA,"&lt;"&amp;$K1056)+COUNTIFS(LdgPartyB,$F1056,LdgKeyB,"&lt;"&amp;$K1056)+1)</f>
        <v/>
      </c>
      <c r="M1056">
        <f>IF($L1056="","",$F1056&amp;"|"&amp;RIGHT("000000"&amp;$L1056,6))</f>
        <v/>
      </c>
      <c r="N1056">
        <f>IF($F1056="","",IF(Sync!$AH1056="","0000",IF(AND(ISNUMBER(Sync!$AH1056),Sync!$AH1056&gt;=0,Sync!$AH1056&lt;1),RIGHT("00"&amp;HOUR(Sync!$AH1056),2)&amp;RIGHT("00"&amp;MINUTE(Sync!$AH1056),2),IFERROR(RIGHT("00"&amp;VALUE(LEFT(Sync!$AH1056,FIND(":",Sync!$AH1056)-1)),2)&amp;RIGHT("00"&amp;VALUE(MID(Sync!$AH1056,FIND(":",Sync!$AH1056)+1,2)),2),"0000"))))</f>
        <v/>
      </c>
    </row>
    <row r="1057">
      <c r="A1057">
        <f>IF(OR(Calc!$E1060="",Calc!$E1060="نامعتبر",Calc!$G1060="",Calc!$I1060&lt;&gt;"خرید"),"",Calc!$G1060)</f>
        <v/>
      </c>
      <c r="B1057">
        <f>IF($A1057="","",LEFT(Calc!$E1060,4)&amp;MID(Calc!$E1060,6,2)&amp;RIGHT(Calc!$E1060,2)&amp;Calc!$R1060&amp;"|"&amp;"1"&amp;RIGHT("00000"&amp;1052,5))</f>
        <v/>
      </c>
      <c r="C1057">
        <f>IF($B1057="","",COUNTIFS(LdgPartyA,$A1057,LdgKeyA,"&lt;"&amp;$B1057)+COUNTIFS(LdgPartyB,$A1057,LdgKeyB,"&lt;"&amp;$B1057)+1)</f>
        <v/>
      </c>
      <c r="D1057">
        <f>IF($C1057="","",$A1057&amp;"|"&amp;RIGHT("000000"&amp;$C1057,6))</f>
        <v/>
      </c>
      <c r="F1057">
        <f>IF(Sync!$AJ1057="","",Sync!$AJ1057)</f>
        <v/>
      </c>
      <c r="G1057">
        <f>IF($F1057="","",IF(Sync!$AG1057="","",IF(ISNUMBER(Sync!$AG1057),IF(AND(Sync!$AG1057&gt;=10000101,Sync!$AG1057&lt;=99991231),INT(Sync!$AG1057/10000),""),IFERROR(VALUE(TRIM(LEFT(Sync!$AG1057,FIND("/",Sync!$AG1057)-1))),""))))</f>
        <v/>
      </c>
      <c r="H1057">
        <f>IF(OR($F1057="",$G1057=""),"",IF(ISNUMBER(Sync!$AG1057),INT(MOD(Sync!$AG1057,10000)/100),IFERROR(VALUE(TRIM(LEFT(MID(Sync!$AG1057,FIND("/",Sync!$AG1057)+1,20),FIND("/",MID(Sync!$AG1057,FIND("/",Sync!$AG1057)+1,20))-1))),"")))</f>
        <v/>
      </c>
      <c r="I1057">
        <f>IF(OR($F1057="",$G1057=""),"",IF(ISNUMBER(Sync!$AG1057),MOD(Sync!$AG1057,100),IFERROR(VALUE(TRIM(MID(MID(Sync!$AG1057,FIND("/",Sync!$AG1057)+1,20),FIND("/",MID(Sync!$AG1057,FIND("/",Sync!$AG1057)+1,20))+1,20))),"")))</f>
        <v/>
      </c>
      <c r="J1057">
        <f>IF($F1057="","",IF(OR($G1057="",$H1057="",$I1057="",$G1057&lt;1300,$G1057&gt;1500,$H1057&lt;1,$H1057&gt;12,$I1057&lt;1,$I1057&gt;31),"نامعتبر",RIGHT("0000"&amp;$G1057,4)&amp;"/"&amp;RIGHT("00"&amp;$H1057,2)&amp;"/"&amp;RIGHT("00"&amp;$I1057,2)))</f>
        <v/>
      </c>
      <c r="K1057">
        <f>IF(OR($F1057="",$J1057="",$J1057="نامعتبر"),"",LEFT($J1057,4)&amp;MID($J1057,6,2)&amp;RIGHT($J1057,2)&amp;$N1057&amp;"|"&amp;"2"&amp;RIGHT("00000"&amp;1052,5))</f>
        <v/>
      </c>
      <c r="L1057">
        <f>IF($K1057="","",COUNTIFS(LdgPartyA,$F1057,LdgKeyA,"&lt;"&amp;$K1057)+COUNTIFS(LdgPartyB,$F1057,LdgKeyB,"&lt;"&amp;$K1057)+1)</f>
        <v/>
      </c>
      <c r="M1057">
        <f>IF($L1057="","",$F1057&amp;"|"&amp;RIGHT("000000"&amp;$L1057,6))</f>
        <v/>
      </c>
      <c r="N1057">
        <f>IF($F1057="","",IF(Sync!$AH1057="","0000",IF(AND(ISNUMBER(Sync!$AH1057),Sync!$AH1057&gt;=0,Sync!$AH1057&lt;1),RIGHT("00"&amp;HOUR(Sync!$AH1057),2)&amp;RIGHT("00"&amp;MINUTE(Sync!$AH1057),2),IFERROR(RIGHT("00"&amp;VALUE(LEFT(Sync!$AH1057,FIND(":",Sync!$AH1057)-1)),2)&amp;RIGHT("00"&amp;VALUE(MID(Sync!$AH1057,FIND(":",Sync!$AH1057)+1,2)),2),"0000"))))</f>
        <v/>
      </c>
    </row>
    <row r="1058">
      <c r="A1058">
        <f>IF(OR(Calc!$E1061="",Calc!$E1061="نامعتبر",Calc!$G1061="",Calc!$I1061&lt;&gt;"خرید"),"",Calc!$G1061)</f>
        <v/>
      </c>
      <c r="B1058">
        <f>IF($A1058="","",LEFT(Calc!$E1061,4)&amp;MID(Calc!$E1061,6,2)&amp;RIGHT(Calc!$E1061,2)&amp;Calc!$R1061&amp;"|"&amp;"1"&amp;RIGHT("00000"&amp;1053,5))</f>
        <v/>
      </c>
      <c r="C1058">
        <f>IF($B1058="","",COUNTIFS(LdgPartyA,$A1058,LdgKeyA,"&lt;"&amp;$B1058)+COUNTIFS(LdgPartyB,$A1058,LdgKeyB,"&lt;"&amp;$B1058)+1)</f>
        <v/>
      </c>
      <c r="D1058">
        <f>IF($C1058="","",$A1058&amp;"|"&amp;RIGHT("000000"&amp;$C1058,6))</f>
        <v/>
      </c>
      <c r="F1058">
        <f>IF(Sync!$AJ1058="","",Sync!$AJ1058)</f>
        <v/>
      </c>
      <c r="G1058">
        <f>IF($F1058="","",IF(Sync!$AG1058="","",IF(ISNUMBER(Sync!$AG1058),IF(AND(Sync!$AG1058&gt;=10000101,Sync!$AG1058&lt;=99991231),INT(Sync!$AG1058/10000),""),IFERROR(VALUE(TRIM(LEFT(Sync!$AG1058,FIND("/",Sync!$AG1058)-1))),""))))</f>
        <v/>
      </c>
      <c r="H1058">
        <f>IF(OR($F1058="",$G1058=""),"",IF(ISNUMBER(Sync!$AG1058),INT(MOD(Sync!$AG1058,10000)/100),IFERROR(VALUE(TRIM(LEFT(MID(Sync!$AG1058,FIND("/",Sync!$AG1058)+1,20),FIND("/",MID(Sync!$AG1058,FIND("/",Sync!$AG1058)+1,20))-1))),"")))</f>
        <v/>
      </c>
      <c r="I1058">
        <f>IF(OR($F1058="",$G1058=""),"",IF(ISNUMBER(Sync!$AG1058),MOD(Sync!$AG1058,100),IFERROR(VALUE(TRIM(MID(MID(Sync!$AG1058,FIND("/",Sync!$AG1058)+1,20),FIND("/",MID(Sync!$AG1058,FIND("/",Sync!$AG1058)+1,20))+1,20))),"")))</f>
        <v/>
      </c>
      <c r="J1058">
        <f>IF($F1058="","",IF(OR($G1058="",$H1058="",$I1058="",$G1058&lt;1300,$G1058&gt;1500,$H1058&lt;1,$H1058&gt;12,$I1058&lt;1,$I1058&gt;31),"نامعتبر",RIGHT("0000"&amp;$G1058,4)&amp;"/"&amp;RIGHT("00"&amp;$H1058,2)&amp;"/"&amp;RIGHT("00"&amp;$I1058,2)))</f>
        <v/>
      </c>
      <c r="K1058">
        <f>IF(OR($F1058="",$J1058="",$J1058="نامعتبر"),"",LEFT($J1058,4)&amp;MID($J1058,6,2)&amp;RIGHT($J1058,2)&amp;$N1058&amp;"|"&amp;"2"&amp;RIGHT("00000"&amp;1053,5))</f>
        <v/>
      </c>
      <c r="L1058">
        <f>IF($K1058="","",COUNTIFS(LdgPartyA,$F1058,LdgKeyA,"&lt;"&amp;$K1058)+COUNTIFS(LdgPartyB,$F1058,LdgKeyB,"&lt;"&amp;$K1058)+1)</f>
        <v/>
      </c>
      <c r="M1058">
        <f>IF($L1058="","",$F1058&amp;"|"&amp;RIGHT("000000"&amp;$L1058,6))</f>
        <v/>
      </c>
      <c r="N1058">
        <f>IF($F1058="","",IF(Sync!$AH1058="","0000",IF(AND(ISNUMBER(Sync!$AH1058),Sync!$AH1058&gt;=0,Sync!$AH1058&lt;1),RIGHT("00"&amp;HOUR(Sync!$AH1058),2)&amp;RIGHT("00"&amp;MINUTE(Sync!$AH1058),2),IFERROR(RIGHT("00"&amp;VALUE(LEFT(Sync!$AH1058,FIND(":",Sync!$AH1058)-1)),2)&amp;RIGHT("00"&amp;VALUE(MID(Sync!$AH1058,FIND(":",Sync!$AH1058)+1,2)),2),"0000"))))</f>
        <v/>
      </c>
    </row>
    <row r="1059">
      <c r="A1059">
        <f>IF(OR(Calc!$E1062="",Calc!$E1062="نامعتبر",Calc!$G1062="",Calc!$I1062&lt;&gt;"خرید"),"",Calc!$G1062)</f>
        <v/>
      </c>
      <c r="B1059">
        <f>IF($A1059="","",LEFT(Calc!$E1062,4)&amp;MID(Calc!$E1062,6,2)&amp;RIGHT(Calc!$E1062,2)&amp;Calc!$R1062&amp;"|"&amp;"1"&amp;RIGHT("00000"&amp;1054,5))</f>
        <v/>
      </c>
      <c r="C1059">
        <f>IF($B1059="","",COUNTIFS(LdgPartyA,$A1059,LdgKeyA,"&lt;"&amp;$B1059)+COUNTIFS(LdgPartyB,$A1059,LdgKeyB,"&lt;"&amp;$B1059)+1)</f>
        <v/>
      </c>
      <c r="D1059">
        <f>IF($C1059="","",$A1059&amp;"|"&amp;RIGHT("000000"&amp;$C1059,6))</f>
        <v/>
      </c>
      <c r="F1059">
        <f>IF(Sync!$AJ1059="","",Sync!$AJ1059)</f>
        <v/>
      </c>
      <c r="G1059">
        <f>IF($F1059="","",IF(Sync!$AG1059="","",IF(ISNUMBER(Sync!$AG1059),IF(AND(Sync!$AG1059&gt;=10000101,Sync!$AG1059&lt;=99991231),INT(Sync!$AG1059/10000),""),IFERROR(VALUE(TRIM(LEFT(Sync!$AG1059,FIND("/",Sync!$AG1059)-1))),""))))</f>
        <v/>
      </c>
      <c r="H1059">
        <f>IF(OR($F1059="",$G1059=""),"",IF(ISNUMBER(Sync!$AG1059),INT(MOD(Sync!$AG1059,10000)/100),IFERROR(VALUE(TRIM(LEFT(MID(Sync!$AG1059,FIND("/",Sync!$AG1059)+1,20),FIND("/",MID(Sync!$AG1059,FIND("/",Sync!$AG1059)+1,20))-1))),"")))</f>
        <v/>
      </c>
      <c r="I1059">
        <f>IF(OR($F1059="",$G1059=""),"",IF(ISNUMBER(Sync!$AG1059),MOD(Sync!$AG1059,100),IFERROR(VALUE(TRIM(MID(MID(Sync!$AG1059,FIND("/",Sync!$AG1059)+1,20),FIND("/",MID(Sync!$AG1059,FIND("/",Sync!$AG1059)+1,20))+1,20))),"")))</f>
        <v/>
      </c>
      <c r="J1059">
        <f>IF($F1059="","",IF(OR($G1059="",$H1059="",$I1059="",$G1059&lt;1300,$G1059&gt;1500,$H1059&lt;1,$H1059&gt;12,$I1059&lt;1,$I1059&gt;31),"نامعتبر",RIGHT("0000"&amp;$G1059,4)&amp;"/"&amp;RIGHT("00"&amp;$H1059,2)&amp;"/"&amp;RIGHT("00"&amp;$I1059,2)))</f>
        <v/>
      </c>
      <c r="K1059">
        <f>IF(OR($F1059="",$J1059="",$J1059="نامعتبر"),"",LEFT($J1059,4)&amp;MID($J1059,6,2)&amp;RIGHT($J1059,2)&amp;$N1059&amp;"|"&amp;"2"&amp;RIGHT("00000"&amp;1054,5))</f>
        <v/>
      </c>
      <c r="L1059">
        <f>IF($K1059="","",COUNTIFS(LdgPartyA,$F1059,LdgKeyA,"&lt;"&amp;$K1059)+COUNTIFS(LdgPartyB,$F1059,LdgKeyB,"&lt;"&amp;$K1059)+1)</f>
        <v/>
      </c>
      <c r="M1059">
        <f>IF($L1059="","",$F1059&amp;"|"&amp;RIGHT("000000"&amp;$L1059,6))</f>
        <v/>
      </c>
      <c r="N1059">
        <f>IF($F1059="","",IF(Sync!$AH1059="","0000",IF(AND(ISNUMBER(Sync!$AH1059),Sync!$AH1059&gt;=0,Sync!$AH1059&lt;1),RIGHT("00"&amp;HOUR(Sync!$AH1059),2)&amp;RIGHT("00"&amp;MINUTE(Sync!$AH1059),2),IFERROR(RIGHT("00"&amp;VALUE(LEFT(Sync!$AH1059,FIND(":",Sync!$AH1059)-1)),2)&amp;RIGHT("00"&amp;VALUE(MID(Sync!$AH1059,FIND(":",Sync!$AH1059)+1,2)),2),"0000"))))</f>
        <v/>
      </c>
    </row>
    <row r="1060">
      <c r="A1060">
        <f>IF(OR(Calc!$E1063="",Calc!$E1063="نامعتبر",Calc!$G1063="",Calc!$I1063&lt;&gt;"خرید"),"",Calc!$G1063)</f>
        <v/>
      </c>
      <c r="B1060">
        <f>IF($A1060="","",LEFT(Calc!$E1063,4)&amp;MID(Calc!$E1063,6,2)&amp;RIGHT(Calc!$E1063,2)&amp;Calc!$R1063&amp;"|"&amp;"1"&amp;RIGHT("00000"&amp;1055,5))</f>
        <v/>
      </c>
      <c r="C1060">
        <f>IF($B1060="","",COUNTIFS(LdgPartyA,$A1060,LdgKeyA,"&lt;"&amp;$B1060)+COUNTIFS(LdgPartyB,$A1060,LdgKeyB,"&lt;"&amp;$B1060)+1)</f>
        <v/>
      </c>
      <c r="D1060">
        <f>IF($C1060="","",$A1060&amp;"|"&amp;RIGHT("000000"&amp;$C1060,6))</f>
        <v/>
      </c>
      <c r="F1060">
        <f>IF(Sync!$AJ1060="","",Sync!$AJ1060)</f>
        <v/>
      </c>
      <c r="G1060">
        <f>IF($F1060="","",IF(Sync!$AG1060="","",IF(ISNUMBER(Sync!$AG1060),IF(AND(Sync!$AG1060&gt;=10000101,Sync!$AG1060&lt;=99991231),INT(Sync!$AG1060/10000),""),IFERROR(VALUE(TRIM(LEFT(Sync!$AG1060,FIND("/",Sync!$AG1060)-1))),""))))</f>
        <v/>
      </c>
      <c r="H1060">
        <f>IF(OR($F1060="",$G1060=""),"",IF(ISNUMBER(Sync!$AG1060),INT(MOD(Sync!$AG1060,10000)/100),IFERROR(VALUE(TRIM(LEFT(MID(Sync!$AG1060,FIND("/",Sync!$AG1060)+1,20),FIND("/",MID(Sync!$AG1060,FIND("/",Sync!$AG1060)+1,20))-1))),"")))</f>
        <v/>
      </c>
      <c r="I1060">
        <f>IF(OR($F1060="",$G1060=""),"",IF(ISNUMBER(Sync!$AG1060),MOD(Sync!$AG1060,100),IFERROR(VALUE(TRIM(MID(MID(Sync!$AG1060,FIND("/",Sync!$AG1060)+1,20),FIND("/",MID(Sync!$AG1060,FIND("/",Sync!$AG1060)+1,20))+1,20))),"")))</f>
        <v/>
      </c>
      <c r="J1060">
        <f>IF($F1060="","",IF(OR($G1060="",$H1060="",$I1060="",$G1060&lt;1300,$G1060&gt;1500,$H1060&lt;1,$H1060&gt;12,$I1060&lt;1,$I1060&gt;31),"نامعتبر",RIGHT("0000"&amp;$G1060,4)&amp;"/"&amp;RIGHT("00"&amp;$H1060,2)&amp;"/"&amp;RIGHT("00"&amp;$I1060,2)))</f>
        <v/>
      </c>
      <c r="K1060">
        <f>IF(OR($F1060="",$J1060="",$J1060="نامعتبر"),"",LEFT($J1060,4)&amp;MID($J1060,6,2)&amp;RIGHT($J1060,2)&amp;$N1060&amp;"|"&amp;"2"&amp;RIGHT("00000"&amp;1055,5))</f>
        <v/>
      </c>
      <c r="L1060">
        <f>IF($K1060="","",COUNTIFS(LdgPartyA,$F1060,LdgKeyA,"&lt;"&amp;$K1060)+COUNTIFS(LdgPartyB,$F1060,LdgKeyB,"&lt;"&amp;$K1060)+1)</f>
        <v/>
      </c>
      <c r="M1060">
        <f>IF($L1060="","",$F1060&amp;"|"&amp;RIGHT("000000"&amp;$L1060,6))</f>
        <v/>
      </c>
      <c r="N1060">
        <f>IF($F1060="","",IF(Sync!$AH1060="","0000",IF(AND(ISNUMBER(Sync!$AH1060),Sync!$AH1060&gt;=0,Sync!$AH1060&lt;1),RIGHT("00"&amp;HOUR(Sync!$AH1060),2)&amp;RIGHT("00"&amp;MINUTE(Sync!$AH1060),2),IFERROR(RIGHT("00"&amp;VALUE(LEFT(Sync!$AH1060,FIND(":",Sync!$AH1060)-1)),2)&amp;RIGHT("00"&amp;VALUE(MID(Sync!$AH1060,FIND(":",Sync!$AH1060)+1,2)),2),"0000"))))</f>
        <v/>
      </c>
    </row>
    <row r="1061">
      <c r="A1061">
        <f>IF(OR(Calc!$E1064="",Calc!$E1064="نامعتبر",Calc!$G1064="",Calc!$I1064&lt;&gt;"خرید"),"",Calc!$G1064)</f>
        <v/>
      </c>
      <c r="B1061">
        <f>IF($A1061="","",LEFT(Calc!$E1064,4)&amp;MID(Calc!$E1064,6,2)&amp;RIGHT(Calc!$E1064,2)&amp;Calc!$R1064&amp;"|"&amp;"1"&amp;RIGHT("00000"&amp;1056,5))</f>
        <v/>
      </c>
      <c r="C1061">
        <f>IF($B1061="","",COUNTIFS(LdgPartyA,$A1061,LdgKeyA,"&lt;"&amp;$B1061)+COUNTIFS(LdgPartyB,$A1061,LdgKeyB,"&lt;"&amp;$B1061)+1)</f>
        <v/>
      </c>
      <c r="D1061">
        <f>IF($C1061="","",$A1061&amp;"|"&amp;RIGHT("000000"&amp;$C1061,6))</f>
        <v/>
      </c>
      <c r="F1061">
        <f>IF(Sync!$AJ1061="","",Sync!$AJ1061)</f>
        <v/>
      </c>
      <c r="G1061">
        <f>IF($F1061="","",IF(Sync!$AG1061="","",IF(ISNUMBER(Sync!$AG1061),IF(AND(Sync!$AG1061&gt;=10000101,Sync!$AG1061&lt;=99991231),INT(Sync!$AG1061/10000),""),IFERROR(VALUE(TRIM(LEFT(Sync!$AG1061,FIND("/",Sync!$AG1061)-1))),""))))</f>
        <v/>
      </c>
      <c r="H1061">
        <f>IF(OR($F1061="",$G1061=""),"",IF(ISNUMBER(Sync!$AG1061),INT(MOD(Sync!$AG1061,10000)/100),IFERROR(VALUE(TRIM(LEFT(MID(Sync!$AG1061,FIND("/",Sync!$AG1061)+1,20),FIND("/",MID(Sync!$AG1061,FIND("/",Sync!$AG1061)+1,20))-1))),"")))</f>
        <v/>
      </c>
      <c r="I1061">
        <f>IF(OR($F1061="",$G1061=""),"",IF(ISNUMBER(Sync!$AG1061),MOD(Sync!$AG1061,100),IFERROR(VALUE(TRIM(MID(MID(Sync!$AG1061,FIND("/",Sync!$AG1061)+1,20),FIND("/",MID(Sync!$AG1061,FIND("/",Sync!$AG1061)+1,20))+1,20))),"")))</f>
        <v/>
      </c>
      <c r="J1061">
        <f>IF($F1061="","",IF(OR($G1061="",$H1061="",$I1061="",$G1061&lt;1300,$G1061&gt;1500,$H1061&lt;1,$H1061&gt;12,$I1061&lt;1,$I1061&gt;31),"نامعتبر",RIGHT("0000"&amp;$G1061,4)&amp;"/"&amp;RIGHT("00"&amp;$H1061,2)&amp;"/"&amp;RIGHT("00"&amp;$I1061,2)))</f>
        <v/>
      </c>
      <c r="K1061">
        <f>IF(OR($F1061="",$J1061="",$J1061="نامعتبر"),"",LEFT($J1061,4)&amp;MID($J1061,6,2)&amp;RIGHT($J1061,2)&amp;$N1061&amp;"|"&amp;"2"&amp;RIGHT("00000"&amp;1056,5))</f>
        <v/>
      </c>
      <c r="L1061">
        <f>IF($K1061="","",COUNTIFS(LdgPartyA,$F1061,LdgKeyA,"&lt;"&amp;$K1061)+COUNTIFS(LdgPartyB,$F1061,LdgKeyB,"&lt;"&amp;$K1061)+1)</f>
        <v/>
      </c>
      <c r="M1061">
        <f>IF($L1061="","",$F1061&amp;"|"&amp;RIGHT("000000"&amp;$L1061,6))</f>
        <v/>
      </c>
      <c r="N1061">
        <f>IF($F1061="","",IF(Sync!$AH1061="","0000",IF(AND(ISNUMBER(Sync!$AH1061),Sync!$AH1061&gt;=0,Sync!$AH1061&lt;1),RIGHT("00"&amp;HOUR(Sync!$AH1061),2)&amp;RIGHT("00"&amp;MINUTE(Sync!$AH1061),2),IFERROR(RIGHT("00"&amp;VALUE(LEFT(Sync!$AH1061,FIND(":",Sync!$AH1061)-1)),2)&amp;RIGHT("00"&amp;VALUE(MID(Sync!$AH1061,FIND(":",Sync!$AH1061)+1,2)),2),"0000"))))</f>
        <v/>
      </c>
    </row>
    <row r="1062">
      <c r="A1062">
        <f>IF(OR(Calc!$E1065="",Calc!$E1065="نامعتبر",Calc!$G1065="",Calc!$I1065&lt;&gt;"خرید"),"",Calc!$G1065)</f>
        <v/>
      </c>
      <c r="B1062">
        <f>IF($A1062="","",LEFT(Calc!$E1065,4)&amp;MID(Calc!$E1065,6,2)&amp;RIGHT(Calc!$E1065,2)&amp;Calc!$R1065&amp;"|"&amp;"1"&amp;RIGHT("00000"&amp;1057,5))</f>
        <v/>
      </c>
      <c r="C1062">
        <f>IF($B1062="","",COUNTIFS(LdgPartyA,$A1062,LdgKeyA,"&lt;"&amp;$B1062)+COUNTIFS(LdgPartyB,$A1062,LdgKeyB,"&lt;"&amp;$B1062)+1)</f>
        <v/>
      </c>
      <c r="D1062">
        <f>IF($C1062="","",$A1062&amp;"|"&amp;RIGHT("000000"&amp;$C1062,6))</f>
        <v/>
      </c>
      <c r="F1062">
        <f>IF(Sync!$AJ1062="","",Sync!$AJ1062)</f>
        <v/>
      </c>
      <c r="G1062">
        <f>IF($F1062="","",IF(Sync!$AG1062="","",IF(ISNUMBER(Sync!$AG1062),IF(AND(Sync!$AG1062&gt;=10000101,Sync!$AG1062&lt;=99991231),INT(Sync!$AG1062/10000),""),IFERROR(VALUE(TRIM(LEFT(Sync!$AG1062,FIND("/",Sync!$AG1062)-1))),""))))</f>
        <v/>
      </c>
      <c r="H1062">
        <f>IF(OR($F1062="",$G1062=""),"",IF(ISNUMBER(Sync!$AG1062),INT(MOD(Sync!$AG1062,10000)/100),IFERROR(VALUE(TRIM(LEFT(MID(Sync!$AG1062,FIND("/",Sync!$AG1062)+1,20),FIND("/",MID(Sync!$AG1062,FIND("/",Sync!$AG1062)+1,20))-1))),"")))</f>
        <v/>
      </c>
      <c r="I1062">
        <f>IF(OR($F1062="",$G1062=""),"",IF(ISNUMBER(Sync!$AG1062),MOD(Sync!$AG1062,100),IFERROR(VALUE(TRIM(MID(MID(Sync!$AG1062,FIND("/",Sync!$AG1062)+1,20),FIND("/",MID(Sync!$AG1062,FIND("/",Sync!$AG1062)+1,20))+1,20))),"")))</f>
        <v/>
      </c>
      <c r="J1062">
        <f>IF($F1062="","",IF(OR($G1062="",$H1062="",$I1062="",$G1062&lt;1300,$G1062&gt;1500,$H1062&lt;1,$H1062&gt;12,$I1062&lt;1,$I1062&gt;31),"نامعتبر",RIGHT("0000"&amp;$G1062,4)&amp;"/"&amp;RIGHT("00"&amp;$H1062,2)&amp;"/"&amp;RIGHT("00"&amp;$I1062,2)))</f>
        <v/>
      </c>
      <c r="K1062">
        <f>IF(OR($F1062="",$J1062="",$J1062="نامعتبر"),"",LEFT($J1062,4)&amp;MID($J1062,6,2)&amp;RIGHT($J1062,2)&amp;$N1062&amp;"|"&amp;"2"&amp;RIGHT("00000"&amp;1057,5))</f>
        <v/>
      </c>
      <c r="L1062">
        <f>IF($K1062="","",COUNTIFS(LdgPartyA,$F1062,LdgKeyA,"&lt;"&amp;$K1062)+COUNTIFS(LdgPartyB,$F1062,LdgKeyB,"&lt;"&amp;$K1062)+1)</f>
        <v/>
      </c>
      <c r="M1062">
        <f>IF($L1062="","",$F1062&amp;"|"&amp;RIGHT("000000"&amp;$L1062,6))</f>
        <v/>
      </c>
      <c r="N1062">
        <f>IF($F1062="","",IF(Sync!$AH1062="","0000",IF(AND(ISNUMBER(Sync!$AH1062),Sync!$AH1062&gt;=0,Sync!$AH1062&lt;1),RIGHT("00"&amp;HOUR(Sync!$AH1062),2)&amp;RIGHT("00"&amp;MINUTE(Sync!$AH1062),2),IFERROR(RIGHT("00"&amp;VALUE(LEFT(Sync!$AH1062,FIND(":",Sync!$AH1062)-1)),2)&amp;RIGHT("00"&amp;VALUE(MID(Sync!$AH1062,FIND(":",Sync!$AH1062)+1,2)),2),"0000"))))</f>
        <v/>
      </c>
    </row>
    <row r="1063">
      <c r="A1063">
        <f>IF(OR(Calc!$E1066="",Calc!$E1066="نامعتبر",Calc!$G1066="",Calc!$I1066&lt;&gt;"خرید"),"",Calc!$G1066)</f>
        <v/>
      </c>
      <c r="B1063">
        <f>IF($A1063="","",LEFT(Calc!$E1066,4)&amp;MID(Calc!$E1066,6,2)&amp;RIGHT(Calc!$E1066,2)&amp;Calc!$R1066&amp;"|"&amp;"1"&amp;RIGHT("00000"&amp;1058,5))</f>
        <v/>
      </c>
      <c r="C1063">
        <f>IF($B1063="","",COUNTIFS(LdgPartyA,$A1063,LdgKeyA,"&lt;"&amp;$B1063)+COUNTIFS(LdgPartyB,$A1063,LdgKeyB,"&lt;"&amp;$B1063)+1)</f>
        <v/>
      </c>
      <c r="D1063">
        <f>IF($C1063="","",$A1063&amp;"|"&amp;RIGHT("000000"&amp;$C1063,6))</f>
        <v/>
      </c>
      <c r="F1063">
        <f>IF(Sync!$AJ1063="","",Sync!$AJ1063)</f>
        <v/>
      </c>
      <c r="G1063">
        <f>IF($F1063="","",IF(Sync!$AG1063="","",IF(ISNUMBER(Sync!$AG1063),IF(AND(Sync!$AG1063&gt;=10000101,Sync!$AG1063&lt;=99991231),INT(Sync!$AG1063/10000),""),IFERROR(VALUE(TRIM(LEFT(Sync!$AG1063,FIND("/",Sync!$AG1063)-1))),""))))</f>
        <v/>
      </c>
      <c r="H1063">
        <f>IF(OR($F1063="",$G1063=""),"",IF(ISNUMBER(Sync!$AG1063),INT(MOD(Sync!$AG1063,10000)/100),IFERROR(VALUE(TRIM(LEFT(MID(Sync!$AG1063,FIND("/",Sync!$AG1063)+1,20),FIND("/",MID(Sync!$AG1063,FIND("/",Sync!$AG1063)+1,20))-1))),"")))</f>
        <v/>
      </c>
      <c r="I1063">
        <f>IF(OR($F1063="",$G1063=""),"",IF(ISNUMBER(Sync!$AG1063),MOD(Sync!$AG1063,100),IFERROR(VALUE(TRIM(MID(MID(Sync!$AG1063,FIND("/",Sync!$AG1063)+1,20),FIND("/",MID(Sync!$AG1063,FIND("/",Sync!$AG1063)+1,20))+1,20))),"")))</f>
        <v/>
      </c>
      <c r="J1063">
        <f>IF($F1063="","",IF(OR($G1063="",$H1063="",$I1063="",$G1063&lt;1300,$G1063&gt;1500,$H1063&lt;1,$H1063&gt;12,$I1063&lt;1,$I1063&gt;31),"نامعتبر",RIGHT("0000"&amp;$G1063,4)&amp;"/"&amp;RIGHT("00"&amp;$H1063,2)&amp;"/"&amp;RIGHT("00"&amp;$I1063,2)))</f>
        <v/>
      </c>
      <c r="K1063">
        <f>IF(OR($F1063="",$J1063="",$J1063="نامعتبر"),"",LEFT($J1063,4)&amp;MID($J1063,6,2)&amp;RIGHT($J1063,2)&amp;$N1063&amp;"|"&amp;"2"&amp;RIGHT("00000"&amp;1058,5))</f>
        <v/>
      </c>
      <c r="L1063">
        <f>IF($K1063="","",COUNTIFS(LdgPartyA,$F1063,LdgKeyA,"&lt;"&amp;$K1063)+COUNTIFS(LdgPartyB,$F1063,LdgKeyB,"&lt;"&amp;$K1063)+1)</f>
        <v/>
      </c>
      <c r="M1063">
        <f>IF($L1063="","",$F1063&amp;"|"&amp;RIGHT("000000"&amp;$L1063,6))</f>
        <v/>
      </c>
      <c r="N1063">
        <f>IF($F1063="","",IF(Sync!$AH1063="","0000",IF(AND(ISNUMBER(Sync!$AH1063),Sync!$AH1063&gt;=0,Sync!$AH1063&lt;1),RIGHT("00"&amp;HOUR(Sync!$AH1063),2)&amp;RIGHT("00"&amp;MINUTE(Sync!$AH1063),2),IFERROR(RIGHT("00"&amp;VALUE(LEFT(Sync!$AH1063,FIND(":",Sync!$AH1063)-1)),2)&amp;RIGHT("00"&amp;VALUE(MID(Sync!$AH1063,FIND(":",Sync!$AH1063)+1,2)),2),"0000"))))</f>
        <v/>
      </c>
    </row>
    <row r="1064">
      <c r="A1064">
        <f>IF(OR(Calc!$E1067="",Calc!$E1067="نامعتبر",Calc!$G1067="",Calc!$I1067&lt;&gt;"خرید"),"",Calc!$G1067)</f>
        <v/>
      </c>
      <c r="B1064">
        <f>IF($A1064="","",LEFT(Calc!$E1067,4)&amp;MID(Calc!$E1067,6,2)&amp;RIGHT(Calc!$E1067,2)&amp;Calc!$R1067&amp;"|"&amp;"1"&amp;RIGHT("00000"&amp;1059,5))</f>
        <v/>
      </c>
      <c r="C1064">
        <f>IF($B1064="","",COUNTIFS(LdgPartyA,$A1064,LdgKeyA,"&lt;"&amp;$B1064)+COUNTIFS(LdgPartyB,$A1064,LdgKeyB,"&lt;"&amp;$B1064)+1)</f>
        <v/>
      </c>
      <c r="D1064">
        <f>IF($C1064="","",$A1064&amp;"|"&amp;RIGHT("000000"&amp;$C1064,6))</f>
        <v/>
      </c>
      <c r="F1064">
        <f>IF(Sync!$AJ1064="","",Sync!$AJ1064)</f>
        <v/>
      </c>
      <c r="G1064">
        <f>IF($F1064="","",IF(Sync!$AG1064="","",IF(ISNUMBER(Sync!$AG1064),IF(AND(Sync!$AG1064&gt;=10000101,Sync!$AG1064&lt;=99991231),INT(Sync!$AG1064/10000),""),IFERROR(VALUE(TRIM(LEFT(Sync!$AG1064,FIND("/",Sync!$AG1064)-1))),""))))</f>
        <v/>
      </c>
      <c r="H1064">
        <f>IF(OR($F1064="",$G1064=""),"",IF(ISNUMBER(Sync!$AG1064),INT(MOD(Sync!$AG1064,10000)/100),IFERROR(VALUE(TRIM(LEFT(MID(Sync!$AG1064,FIND("/",Sync!$AG1064)+1,20),FIND("/",MID(Sync!$AG1064,FIND("/",Sync!$AG1064)+1,20))-1))),"")))</f>
        <v/>
      </c>
      <c r="I1064">
        <f>IF(OR($F1064="",$G1064=""),"",IF(ISNUMBER(Sync!$AG1064),MOD(Sync!$AG1064,100),IFERROR(VALUE(TRIM(MID(MID(Sync!$AG1064,FIND("/",Sync!$AG1064)+1,20),FIND("/",MID(Sync!$AG1064,FIND("/",Sync!$AG1064)+1,20))+1,20))),"")))</f>
        <v/>
      </c>
      <c r="J1064">
        <f>IF($F1064="","",IF(OR($G1064="",$H1064="",$I1064="",$G1064&lt;1300,$G1064&gt;1500,$H1064&lt;1,$H1064&gt;12,$I1064&lt;1,$I1064&gt;31),"نامعتبر",RIGHT("0000"&amp;$G1064,4)&amp;"/"&amp;RIGHT("00"&amp;$H1064,2)&amp;"/"&amp;RIGHT("00"&amp;$I1064,2)))</f>
        <v/>
      </c>
      <c r="K1064">
        <f>IF(OR($F1064="",$J1064="",$J1064="نامعتبر"),"",LEFT($J1064,4)&amp;MID($J1064,6,2)&amp;RIGHT($J1064,2)&amp;$N1064&amp;"|"&amp;"2"&amp;RIGHT("00000"&amp;1059,5))</f>
        <v/>
      </c>
      <c r="L1064">
        <f>IF($K1064="","",COUNTIFS(LdgPartyA,$F1064,LdgKeyA,"&lt;"&amp;$K1064)+COUNTIFS(LdgPartyB,$F1064,LdgKeyB,"&lt;"&amp;$K1064)+1)</f>
        <v/>
      </c>
      <c r="M1064">
        <f>IF($L1064="","",$F1064&amp;"|"&amp;RIGHT("000000"&amp;$L1064,6))</f>
        <v/>
      </c>
      <c r="N1064">
        <f>IF($F1064="","",IF(Sync!$AH1064="","0000",IF(AND(ISNUMBER(Sync!$AH1064),Sync!$AH1064&gt;=0,Sync!$AH1064&lt;1),RIGHT("00"&amp;HOUR(Sync!$AH1064),2)&amp;RIGHT("00"&amp;MINUTE(Sync!$AH1064),2),IFERROR(RIGHT("00"&amp;VALUE(LEFT(Sync!$AH1064,FIND(":",Sync!$AH1064)-1)),2)&amp;RIGHT("00"&amp;VALUE(MID(Sync!$AH1064,FIND(":",Sync!$AH1064)+1,2)),2),"0000"))))</f>
        <v/>
      </c>
    </row>
    <row r="1065">
      <c r="A1065">
        <f>IF(OR(Calc!$E1068="",Calc!$E1068="نامعتبر",Calc!$G1068="",Calc!$I1068&lt;&gt;"خرید"),"",Calc!$G1068)</f>
        <v/>
      </c>
      <c r="B1065">
        <f>IF($A1065="","",LEFT(Calc!$E1068,4)&amp;MID(Calc!$E1068,6,2)&amp;RIGHT(Calc!$E1068,2)&amp;Calc!$R1068&amp;"|"&amp;"1"&amp;RIGHT("00000"&amp;1060,5))</f>
        <v/>
      </c>
      <c r="C1065">
        <f>IF($B1065="","",COUNTIFS(LdgPartyA,$A1065,LdgKeyA,"&lt;"&amp;$B1065)+COUNTIFS(LdgPartyB,$A1065,LdgKeyB,"&lt;"&amp;$B1065)+1)</f>
        <v/>
      </c>
      <c r="D1065">
        <f>IF($C1065="","",$A1065&amp;"|"&amp;RIGHT("000000"&amp;$C1065,6))</f>
        <v/>
      </c>
      <c r="F1065">
        <f>IF(Sync!$AJ1065="","",Sync!$AJ1065)</f>
        <v/>
      </c>
      <c r="G1065">
        <f>IF($F1065="","",IF(Sync!$AG1065="","",IF(ISNUMBER(Sync!$AG1065),IF(AND(Sync!$AG1065&gt;=10000101,Sync!$AG1065&lt;=99991231),INT(Sync!$AG1065/10000),""),IFERROR(VALUE(TRIM(LEFT(Sync!$AG1065,FIND("/",Sync!$AG1065)-1))),""))))</f>
        <v/>
      </c>
      <c r="H1065">
        <f>IF(OR($F1065="",$G1065=""),"",IF(ISNUMBER(Sync!$AG1065),INT(MOD(Sync!$AG1065,10000)/100),IFERROR(VALUE(TRIM(LEFT(MID(Sync!$AG1065,FIND("/",Sync!$AG1065)+1,20),FIND("/",MID(Sync!$AG1065,FIND("/",Sync!$AG1065)+1,20))-1))),"")))</f>
        <v/>
      </c>
      <c r="I1065">
        <f>IF(OR($F1065="",$G1065=""),"",IF(ISNUMBER(Sync!$AG1065),MOD(Sync!$AG1065,100),IFERROR(VALUE(TRIM(MID(MID(Sync!$AG1065,FIND("/",Sync!$AG1065)+1,20),FIND("/",MID(Sync!$AG1065,FIND("/",Sync!$AG1065)+1,20))+1,20))),"")))</f>
        <v/>
      </c>
      <c r="J1065">
        <f>IF($F1065="","",IF(OR($G1065="",$H1065="",$I1065="",$G1065&lt;1300,$G1065&gt;1500,$H1065&lt;1,$H1065&gt;12,$I1065&lt;1,$I1065&gt;31),"نامعتبر",RIGHT("0000"&amp;$G1065,4)&amp;"/"&amp;RIGHT("00"&amp;$H1065,2)&amp;"/"&amp;RIGHT("00"&amp;$I1065,2)))</f>
        <v/>
      </c>
      <c r="K1065">
        <f>IF(OR($F1065="",$J1065="",$J1065="نامعتبر"),"",LEFT($J1065,4)&amp;MID($J1065,6,2)&amp;RIGHT($J1065,2)&amp;$N1065&amp;"|"&amp;"2"&amp;RIGHT("00000"&amp;1060,5))</f>
        <v/>
      </c>
      <c r="L1065">
        <f>IF($K1065="","",COUNTIFS(LdgPartyA,$F1065,LdgKeyA,"&lt;"&amp;$K1065)+COUNTIFS(LdgPartyB,$F1065,LdgKeyB,"&lt;"&amp;$K1065)+1)</f>
        <v/>
      </c>
      <c r="M1065">
        <f>IF($L1065="","",$F1065&amp;"|"&amp;RIGHT("000000"&amp;$L1065,6))</f>
        <v/>
      </c>
      <c r="N1065">
        <f>IF($F1065="","",IF(Sync!$AH1065="","0000",IF(AND(ISNUMBER(Sync!$AH1065),Sync!$AH1065&gt;=0,Sync!$AH1065&lt;1),RIGHT("00"&amp;HOUR(Sync!$AH1065),2)&amp;RIGHT("00"&amp;MINUTE(Sync!$AH1065),2),IFERROR(RIGHT("00"&amp;VALUE(LEFT(Sync!$AH1065,FIND(":",Sync!$AH1065)-1)),2)&amp;RIGHT("00"&amp;VALUE(MID(Sync!$AH1065,FIND(":",Sync!$AH1065)+1,2)),2),"0000"))))</f>
        <v/>
      </c>
    </row>
    <row r="1066">
      <c r="A1066">
        <f>IF(OR(Calc!$E1069="",Calc!$E1069="نامعتبر",Calc!$G1069="",Calc!$I1069&lt;&gt;"خرید"),"",Calc!$G1069)</f>
        <v/>
      </c>
      <c r="B1066">
        <f>IF($A1066="","",LEFT(Calc!$E1069,4)&amp;MID(Calc!$E1069,6,2)&amp;RIGHT(Calc!$E1069,2)&amp;Calc!$R1069&amp;"|"&amp;"1"&amp;RIGHT("00000"&amp;1061,5))</f>
        <v/>
      </c>
      <c r="C1066">
        <f>IF($B1066="","",COUNTIFS(LdgPartyA,$A1066,LdgKeyA,"&lt;"&amp;$B1066)+COUNTIFS(LdgPartyB,$A1066,LdgKeyB,"&lt;"&amp;$B1066)+1)</f>
        <v/>
      </c>
      <c r="D1066">
        <f>IF($C1066="","",$A1066&amp;"|"&amp;RIGHT("000000"&amp;$C1066,6))</f>
        <v/>
      </c>
      <c r="F1066">
        <f>IF(Sync!$AJ1066="","",Sync!$AJ1066)</f>
        <v/>
      </c>
      <c r="G1066">
        <f>IF($F1066="","",IF(Sync!$AG1066="","",IF(ISNUMBER(Sync!$AG1066),IF(AND(Sync!$AG1066&gt;=10000101,Sync!$AG1066&lt;=99991231),INT(Sync!$AG1066/10000),""),IFERROR(VALUE(TRIM(LEFT(Sync!$AG1066,FIND("/",Sync!$AG1066)-1))),""))))</f>
        <v/>
      </c>
      <c r="H1066">
        <f>IF(OR($F1066="",$G1066=""),"",IF(ISNUMBER(Sync!$AG1066),INT(MOD(Sync!$AG1066,10000)/100),IFERROR(VALUE(TRIM(LEFT(MID(Sync!$AG1066,FIND("/",Sync!$AG1066)+1,20),FIND("/",MID(Sync!$AG1066,FIND("/",Sync!$AG1066)+1,20))-1))),"")))</f>
        <v/>
      </c>
      <c r="I1066">
        <f>IF(OR($F1066="",$G1066=""),"",IF(ISNUMBER(Sync!$AG1066),MOD(Sync!$AG1066,100),IFERROR(VALUE(TRIM(MID(MID(Sync!$AG1066,FIND("/",Sync!$AG1066)+1,20),FIND("/",MID(Sync!$AG1066,FIND("/",Sync!$AG1066)+1,20))+1,20))),"")))</f>
        <v/>
      </c>
      <c r="J1066">
        <f>IF($F1066="","",IF(OR($G1066="",$H1066="",$I1066="",$G1066&lt;1300,$G1066&gt;1500,$H1066&lt;1,$H1066&gt;12,$I1066&lt;1,$I1066&gt;31),"نامعتبر",RIGHT("0000"&amp;$G1066,4)&amp;"/"&amp;RIGHT("00"&amp;$H1066,2)&amp;"/"&amp;RIGHT("00"&amp;$I1066,2)))</f>
        <v/>
      </c>
      <c r="K1066">
        <f>IF(OR($F1066="",$J1066="",$J1066="نامعتبر"),"",LEFT($J1066,4)&amp;MID($J1066,6,2)&amp;RIGHT($J1066,2)&amp;$N1066&amp;"|"&amp;"2"&amp;RIGHT("00000"&amp;1061,5))</f>
        <v/>
      </c>
      <c r="L1066">
        <f>IF($K1066="","",COUNTIFS(LdgPartyA,$F1066,LdgKeyA,"&lt;"&amp;$K1066)+COUNTIFS(LdgPartyB,$F1066,LdgKeyB,"&lt;"&amp;$K1066)+1)</f>
        <v/>
      </c>
      <c r="M1066">
        <f>IF($L1066="","",$F1066&amp;"|"&amp;RIGHT("000000"&amp;$L1066,6))</f>
        <v/>
      </c>
      <c r="N1066">
        <f>IF($F1066="","",IF(Sync!$AH1066="","0000",IF(AND(ISNUMBER(Sync!$AH1066),Sync!$AH1066&gt;=0,Sync!$AH1066&lt;1),RIGHT("00"&amp;HOUR(Sync!$AH1066),2)&amp;RIGHT("00"&amp;MINUTE(Sync!$AH1066),2),IFERROR(RIGHT("00"&amp;VALUE(LEFT(Sync!$AH1066,FIND(":",Sync!$AH1066)-1)),2)&amp;RIGHT("00"&amp;VALUE(MID(Sync!$AH1066,FIND(":",Sync!$AH1066)+1,2)),2),"0000"))))</f>
        <v/>
      </c>
    </row>
    <row r="1067">
      <c r="A1067">
        <f>IF(OR(Calc!$E1070="",Calc!$E1070="نامعتبر",Calc!$G1070="",Calc!$I1070&lt;&gt;"خرید"),"",Calc!$G1070)</f>
        <v/>
      </c>
      <c r="B1067">
        <f>IF($A1067="","",LEFT(Calc!$E1070,4)&amp;MID(Calc!$E1070,6,2)&amp;RIGHT(Calc!$E1070,2)&amp;Calc!$R1070&amp;"|"&amp;"1"&amp;RIGHT("00000"&amp;1062,5))</f>
        <v/>
      </c>
      <c r="C1067">
        <f>IF($B1067="","",COUNTIFS(LdgPartyA,$A1067,LdgKeyA,"&lt;"&amp;$B1067)+COUNTIFS(LdgPartyB,$A1067,LdgKeyB,"&lt;"&amp;$B1067)+1)</f>
        <v/>
      </c>
      <c r="D1067">
        <f>IF($C1067="","",$A1067&amp;"|"&amp;RIGHT("000000"&amp;$C1067,6))</f>
        <v/>
      </c>
      <c r="F1067">
        <f>IF(Sync!$AJ1067="","",Sync!$AJ1067)</f>
        <v/>
      </c>
      <c r="G1067">
        <f>IF($F1067="","",IF(Sync!$AG1067="","",IF(ISNUMBER(Sync!$AG1067),IF(AND(Sync!$AG1067&gt;=10000101,Sync!$AG1067&lt;=99991231),INT(Sync!$AG1067/10000),""),IFERROR(VALUE(TRIM(LEFT(Sync!$AG1067,FIND("/",Sync!$AG1067)-1))),""))))</f>
        <v/>
      </c>
      <c r="H1067">
        <f>IF(OR($F1067="",$G1067=""),"",IF(ISNUMBER(Sync!$AG1067),INT(MOD(Sync!$AG1067,10000)/100),IFERROR(VALUE(TRIM(LEFT(MID(Sync!$AG1067,FIND("/",Sync!$AG1067)+1,20),FIND("/",MID(Sync!$AG1067,FIND("/",Sync!$AG1067)+1,20))-1))),"")))</f>
        <v/>
      </c>
      <c r="I1067">
        <f>IF(OR($F1067="",$G1067=""),"",IF(ISNUMBER(Sync!$AG1067),MOD(Sync!$AG1067,100),IFERROR(VALUE(TRIM(MID(MID(Sync!$AG1067,FIND("/",Sync!$AG1067)+1,20),FIND("/",MID(Sync!$AG1067,FIND("/",Sync!$AG1067)+1,20))+1,20))),"")))</f>
        <v/>
      </c>
      <c r="J1067">
        <f>IF($F1067="","",IF(OR($G1067="",$H1067="",$I1067="",$G1067&lt;1300,$G1067&gt;1500,$H1067&lt;1,$H1067&gt;12,$I1067&lt;1,$I1067&gt;31),"نامعتبر",RIGHT("0000"&amp;$G1067,4)&amp;"/"&amp;RIGHT("00"&amp;$H1067,2)&amp;"/"&amp;RIGHT("00"&amp;$I1067,2)))</f>
        <v/>
      </c>
      <c r="K1067">
        <f>IF(OR($F1067="",$J1067="",$J1067="نامعتبر"),"",LEFT($J1067,4)&amp;MID($J1067,6,2)&amp;RIGHT($J1067,2)&amp;$N1067&amp;"|"&amp;"2"&amp;RIGHT("00000"&amp;1062,5))</f>
        <v/>
      </c>
      <c r="L1067">
        <f>IF($K1067="","",COUNTIFS(LdgPartyA,$F1067,LdgKeyA,"&lt;"&amp;$K1067)+COUNTIFS(LdgPartyB,$F1067,LdgKeyB,"&lt;"&amp;$K1067)+1)</f>
        <v/>
      </c>
      <c r="M1067">
        <f>IF($L1067="","",$F1067&amp;"|"&amp;RIGHT("000000"&amp;$L1067,6))</f>
        <v/>
      </c>
      <c r="N1067">
        <f>IF($F1067="","",IF(Sync!$AH1067="","0000",IF(AND(ISNUMBER(Sync!$AH1067),Sync!$AH1067&gt;=0,Sync!$AH1067&lt;1),RIGHT("00"&amp;HOUR(Sync!$AH1067),2)&amp;RIGHT("00"&amp;MINUTE(Sync!$AH1067),2),IFERROR(RIGHT("00"&amp;VALUE(LEFT(Sync!$AH1067,FIND(":",Sync!$AH1067)-1)),2)&amp;RIGHT("00"&amp;VALUE(MID(Sync!$AH1067,FIND(":",Sync!$AH1067)+1,2)),2),"0000"))))</f>
        <v/>
      </c>
    </row>
    <row r="1068">
      <c r="A1068">
        <f>IF(OR(Calc!$E1071="",Calc!$E1071="نامعتبر",Calc!$G1071="",Calc!$I1071&lt;&gt;"خرید"),"",Calc!$G1071)</f>
        <v/>
      </c>
      <c r="B1068">
        <f>IF($A1068="","",LEFT(Calc!$E1071,4)&amp;MID(Calc!$E1071,6,2)&amp;RIGHT(Calc!$E1071,2)&amp;Calc!$R1071&amp;"|"&amp;"1"&amp;RIGHT("00000"&amp;1063,5))</f>
        <v/>
      </c>
      <c r="C1068">
        <f>IF($B1068="","",COUNTIFS(LdgPartyA,$A1068,LdgKeyA,"&lt;"&amp;$B1068)+COUNTIFS(LdgPartyB,$A1068,LdgKeyB,"&lt;"&amp;$B1068)+1)</f>
        <v/>
      </c>
      <c r="D1068">
        <f>IF($C1068="","",$A1068&amp;"|"&amp;RIGHT("000000"&amp;$C1068,6))</f>
        <v/>
      </c>
      <c r="F1068">
        <f>IF(Sync!$AJ1068="","",Sync!$AJ1068)</f>
        <v/>
      </c>
      <c r="G1068">
        <f>IF($F1068="","",IF(Sync!$AG1068="","",IF(ISNUMBER(Sync!$AG1068),IF(AND(Sync!$AG1068&gt;=10000101,Sync!$AG1068&lt;=99991231),INT(Sync!$AG1068/10000),""),IFERROR(VALUE(TRIM(LEFT(Sync!$AG1068,FIND("/",Sync!$AG1068)-1))),""))))</f>
        <v/>
      </c>
      <c r="H1068">
        <f>IF(OR($F1068="",$G1068=""),"",IF(ISNUMBER(Sync!$AG1068),INT(MOD(Sync!$AG1068,10000)/100),IFERROR(VALUE(TRIM(LEFT(MID(Sync!$AG1068,FIND("/",Sync!$AG1068)+1,20),FIND("/",MID(Sync!$AG1068,FIND("/",Sync!$AG1068)+1,20))-1))),"")))</f>
        <v/>
      </c>
      <c r="I1068">
        <f>IF(OR($F1068="",$G1068=""),"",IF(ISNUMBER(Sync!$AG1068),MOD(Sync!$AG1068,100),IFERROR(VALUE(TRIM(MID(MID(Sync!$AG1068,FIND("/",Sync!$AG1068)+1,20),FIND("/",MID(Sync!$AG1068,FIND("/",Sync!$AG1068)+1,20))+1,20))),"")))</f>
        <v/>
      </c>
      <c r="J1068">
        <f>IF($F1068="","",IF(OR($G1068="",$H1068="",$I1068="",$G1068&lt;1300,$G1068&gt;1500,$H1068&lt;1,$H1068&gt;12,$I1068&lt;1,$I1068&gt;31),"نامعتبر",RIGHT("0000"&amp;$G1068,4)&amp;"/"&amp;RIGHT("00"&amp;$H1068,2)&amp;"/"&amp;RIGHT("00"&amp;$I1068,2)))</f>
        <v/>
      </c>
      <c r="K1068">
        <f>IF(OR($F1068="",$J1068="",$J1068="نامعتبر"),"",LEFT($J1068,4)&amp;MID($J1068,6,2)&amp;RIGHT($J1068,2)&amp;$N1068&amp;"|"&amp;"2"&amp;RIGHT("00000"&amp;1063,5))</f>
        <v/>
      </c>
      <c r="L1068">
        <f>IF($K1068="","",COUNTIFS(LdgPartyA,$F1068,LdgKeyA,"&lt;"&amp;$K1068)+COUNTIFS(LdgPartyB,$F1068,LdgKeyB,"&lt;"&amp;$K1068)+1)</f>
        <v/>
      </c>
      <c r="M1068">
        <f>IF($L1068="","",$F1068&amp;"|"&amp;RIGHT("000000"&amp;$L1068,6))</f>
        <v/>
      </c>
      <c r="N1068">
        <f>IF($F1068="","",IF(Sync!$AH1068="","0000",IF(AND(ISNUMBER(Sync!$AH1068),Sync!$AH1068&gt;=0,Sync!$AH1068&lt;1),RIGHT("00"&amp;HOUR(Sync!$AH1068),2)&amp;RIGHT("00"&amp;MINUTE(Sync!$AH1068),2),IFERROR(RIGHT("00"&amp;VALUE(LEFT(Sync!$AH1068,FIND(":",Sync!$AH1068)-1)),2)&amp;RIGHT("00"&amp;VALUE(MID(Sync!$AH1068,FIND(":",Sync!$AH1068)+1,2)),2),"0000"))))</f>
        <v/>
      </c>
    </row>
    <row r="1069">
      <c r="A1069">
        <f>IF(OR(Calc!$E1072="",Calc!$E1072="نامعتبر",Calc!$G1072="",Calc!$I1072&lt;&gt;"خرید"),"",Calc!$G1072)</f>
        <v/>
      </c>
      <c r="B1069">
        <f>IF($A1069="","",LEFT(Calc!$E1072,4)&amp;MID(Calc!$E1072,6,2)&amp;RIGHT(Calc!$E1072,2)&amp;Calc!$R1072&amp;"|"&amp;"1"&amp;RIGHT("00000"&amp;1064,5))</f>
        <v/>
      </c>
      <c r="C1069">
        <f>IF($B1069="","",COUNTIFS(LdgPartyA,$A1069,LdgKeyA,"&lt;"&amp;$B1069)+COUNTIFS(LdgPartyB,$A1069,LdgKeyB,"&lt;"&amp;$B1069)+1)</f>
        <v/>
      </c>
      <c r="D1069">
        <f>IF($C1069="","",$A1069&amp;"|"&amp;RIGHT("000000"&amp;$C1069,6))</f>
        <v/>
      </c>
      <c r="F1069">
        <f>IF(Sync!$AJ1069="","",Sync!$AJ1069)</f>
        <v/>
      </c>
      <c r="G1069">
        <f>IF($F1069="","",IF(Sync!$AG1069="","",IF(ISNUMBER(Sync!$AG1069),IF(AND(Sync!$AG1069&gt;=10000101,Sync!$AG1069&lt;=99991231),INT(Sync!$AG1069/10000),""),IFERROR(VALUE(TRIM(LEFT(Sync!$AG1069,FIND("/",Sync!$AG1069)-1))),""))))</f>
        <v/>
      </c>
      <c r="H1069">
        <f>IF(OR($F1069="",$G1069=""),"",IF(ISNUMBER(Sync!$AG1069),INT(MOD(Sync!$AG1069,10000)/100),IFERROR(VALUE(TRIM(LEFT(MID(Sync!$AG1069,FIND("/",Sync!$AG1069)+1,20),FIND("/",MID(Sync!$AG1069,FIND("/",Sync!$AG1069)+1,20))-1))),"")))</f>
        <v/>
      </c>
      <c r="I1069">
        <f>IF(OR($F1069="",$G1069=""),"",IF(ISNUMBER(Sync!$AG1069),MOD(Sync!$AG1069,100),IFERROR(VALUE(TRIM(MID(MID(Sync!$AG1069,FIND("/",Sync!$AG1069)+1,20),FIND("/",MID(Sync!$AG1069,FIND("/",Sync!$AG1069)+1,20))+1,20))),"")))</f>
        <v/>
      </c>
      <c r="J1069">
        <f>IF($F1069="","",IF(OR($G1069="",$H1069="",$I1069="",$G1069&lt;1300,$G1069&gt;1500,$H1069&lt;1,$H1069&gt;12,$I1069&lt;1,$I1069&gt;31),"نامعتبر",RIGHT("0000"&amp;$G1069,4)&amp;"/"&amp;RIGHT("00"&amp;$H1069,2)&amp;"/"&amp;RIGHT("00"&amp;$I1069,2)))</f>
        <v/>
      </c>
      <c r="K1069">
        <f>IF(OR($F1069="",$J1069="",$J1069="نامعتبر"),"",LEFT($J1069,4)&amp;MID($J1069,6,2)&amp;RIGHT($J1069,2)&amp;$N1069&amp;"|"&amp;"2"&amp;RIGHT("00000"&amp;1064,5))</f>
        <v/>
      </c>
      <c r="L1069">
        <f>IF($K1069="","",COUNTIFS(LdgPartyA,$F1069,LdgKeyA,"&lt;"&amp;$K1069)+COUNTIFS(LdgPartyB,$F1069,LdgKeyB,"&lt;"&amp;$K1069)+1)</f>
        <v/>
      </c>
      <c r="M1069">
        <f>IF($L1069="","",$F1069&amp;"|"&amp;RIGHT("000000"&amp;$L1069,6))</f>
        <v/>
      </c>
      <c r="N1069">
        <f>IF($F1069="","",IF(Sync!$AH1069="","0000",IF(AND(ISNUMBER(Sync!$AH1069),Sync!$AH1069&gt;=0,Sync!$AH1069&lt;1),RIGHT("00"&amp;HOUR(Sync!$AH1069),2)&amp;RIGHT("00"&amp;MINUTE(Sync!$AH1069),2),IFERROR(RIGHT("00"&amp;VALUE(LEFT(Sync!$AH1069,FIND(":",Sync!$AH1069)-1)),2)&amp;RIGHT("00"&amp;VALUE(MID(Sync!$AH1069,FIND(":",Sync!$AH1069)+1,2)),2),"0000"))))</f>
        <v/>
      </c>
    </row>
    <row r="1070">
      <c r="A1070">
        <f>IF(OR(Calc!$E1073="",Calc!$E1073="نامعتبر",Calc!$G1073="",Calc!$I1073&lt;&gt;"خرید"),"",Calc!$G1073)</f>
        <v/>
      </c>
      <c r="B1070">
        <f>IF($A1070="","",LEFT(Calc!$E1073,4)&amp;MID(Calc!$E1073,6,2)&amp;RIGHT(Calc!$E1073,2)&amp;Calc!$R1073&amp;"|"&amp;"1"&amp;RIGHT("00000"&amp;1065,5))</f>
        <v/>
      </c>
      <c r="C1070">
        <f>IF($B1070="","",COUNTIFS(LdgPartyA,$A1070,LdgKeyA,"&lt;"&amp;$B1070)+COUNTIFS(LdgPartyB,$A1070,LdgKeyB,"&lt;"&amp;$B1070)+1)</f>
        <v/>
      </c>
      <c r="D1070">
        <f>IF($C1070="","",$A1070&amp;"|"&amp;RIGHT("000000"&amp;$C1070,6))</f>
        <v/>
      </c>
      <c r="F1070">
        <f>IF(Sync!$AJ1070="","",Sync!$AJ1070)</f>
        <v/>
      </c>
      <c r="G1070">
        <f>IF($F1070="","",IF(Sync!$AG1070="","",IF(ISNUMBER(Sync!$AG1070),IF(AND(Sync!$AG1070&gt;=10000101,Sync!$AG1070&lt;=99991231),INT(Sync!$AG1070/10000),""),IFERROR(VALUE(TRIM(LEFT(Sync!$AG1070,FIND("/",Sync!$AG1070)-1))),""))))</f>
        <v/>
      </c>
      <c r="H1070">
        <f>IF(OR($F1070="",$G1070=""),"",IF(ISNUMBER(Sync!$AG1070),INT(MOD(Sync!$AG1070,10000)/100),IFERROR(VALUE(TRIM(LEFT(MID(Sync!$AG1070,FIND("/",Sync!$AG1070)+1,20),FIND("/",MID(Sync!$AG1070,FIND("/",Sync!$AG1070)+1,20))-1))),"")))</f>
        <v/>
      </c>
      <c r="I1070">
        <f>IF(OR($F1070="",$G1070=""),"",IF(ISNUMBER(Sync!$AG1070),MOD(Sync!$AG1070,100),IFERROR(VALUE(TRIM(MID(MID(Sync!$AG1070,FIND("/",Sync!$AG1070)+1,20),FIND("/",MID(Sync!$AG1070,FIND("/",Sync!$AG1070)+1,20))+1,20))),"")))</f>
        <v/>
      </c>
      <c r="J1070">
        <f>IF($F1070="","",IF(OR($G1070="",$H1070="",$I1070="",$G1070&lt;1300,$G1070&gt;1500,$H1070&lt;1,$H1070&gt;12,$I1070&lt;1,$I1070&gt;31),"نامعتبر",RIGHT("0000"&amp;$G1070,4)&amp;"/"&amp;RIGHT("00"&amp;$H1070,2)&amp;"/"&amp;RIGHT("00"&amp;$I1070,2)))</f>
        <v/>
      </c>
      <c r="K1070">
        <f>IF(OR($F1070="",$J1070="",$J1070="نامعتبر"),"",LEFT($J1070,4)&amp;MID($J1070,6,2)&amp;RIGHT($J1070,2)&amp;$N1070&amp;"|"&amp;"2"&amp;RIGHT("00000"&amp;1065,5))</f>
        <v/>
      </c>
      <c r="L1070">
        <f>IF($K1070="","",COUNTIFS(LdgPartyA,$F1070,LdgKeyA,"&lt;"&amp;$K1070)+COUNTIFS(LdgPartyB,$F1070,LdgKeyB,"&lt;"&amp;$K1070)+1)</f>
        <v/>
      </c>
      <c r="M1070">
        <f>IF($L1070="","",$F1070&amp;"|"&amp;RIGHT("000000"&amp;$L1070,6))</f>
        <v/>
      </c>
      <c r="N1070">
        <f>IF($F1070="","",IF(Sync!$AH1070="","0000",IF(AND(ISNUMBER(Sync!$AH1070),Sync!$AH1070&gt;=0,Sync!$AH1070&lt;1),RIGHT("00"&amp;HOUR(Sync!$AH1070),2)&amp;RIGHT("00"&amp;MINUTE(Sync!$AH1070),2),IFERROR(RIGHT("00"&amp;VALUE(LEFT(Sync!$AH1070,FIND(":",Sync!$AH1070)-1)),2)&amp;RIGHT("00"&amp;VALUE(MID(Sync!$AH1070,FIND(":",Sync!$AH1070)+1,2)),2),"0000"))))</f>
        <v/>
      </c>
    </row>
    <row r="1071">
      <c r="A1071">
        <f>IF(OR(Calc!$E1074="",Calc!$E1074="نامعتبر",Calc!$G1074="",Calc!$I1074&lt;&gt;"خرید"),"",Calc!$G1074)</f>
        <v/>
      </c>
      <c r="B1071">
        <f>IF($A1071="","",LEFT(Calc!$E1074,4)&amp;MID(Calc!$E1074,6,2)&amp;RIGHT(Calc!$E1074,2)&amp;Calc!$R1074&amp;"|"&amp;"1"&amp;RIGHT("00000"&amp;1066,5))</f>
        <v/>
      </c>
      <c r="C1071">
        <f>IF($B1071="","",COUNTIFS(LdgPartyA,$A1071,LdgKeyA,"&lt;"&amp;$B1071)+COUNTIFS(LdgPartyB,$A1071,LdgKeyB,"&lt;"&amp;$B1071)+1)</f>
        <v/>
      </c>
      <c r="D1071">
        <f>IF($C1071="","",$A1071&amp;"|"&amp;RIGHT("000000"&amp;$C1071,6))</f>
        <v/>
      </c>
      <c r="F1071">
        <f>IF(Sync!$AJ1071="","",Sync!$AJ1071)</f>
        <v/>
      </c>
      <c r="G1071">
        <f>IF($F1071="","",IF(Sync!$AG1071="","",IF(ISNUMBER(Sync!$AG1071),IF(AND(Sync!$AG1071&gt;=10000101,Sync!$AG1071&lt;=99991231),INT(Sync!$AG1071/10000),""),IFERROR(VALUE(TRIM(LEFT(Sync!$AG1071,FIND("/",Sync!$AG1071)-1))),""))))</f>
        <v/>
      </c>
      <c r="H1071">
        <f>IF(OR($F1071="",$G1071=""),"",IF(ISNUMBER(Sync!$AG1071),INT(MOD(Sync!$AG1071,10000)/100),IFERROR(VALUE(TRIM(LEFT(MID(Sync!$AG1071,FIND("/",Sync!$AG1071)+1,20),FIND("/",MID(Sync!$AG1071,FIND("/",Sync!$AG1071)+1,20))-1))),"")))</f>
        <v/>
      </c>
      <c r="I1071">
        <f>IF(OR($F1071="",$G1071=""),"",IF(ISNUMBER(Sync!$AG1071),MOD(Sync!$AG1071,100),IFERROR(VALUE(TRIM(MID(MID(Sync!$AG1071,FIND("/",Sync!$AG1071)+1,20),FIND("/",MID(Sync!$AG1071,FIND("/",Sync!$AG1071)+1,20))+1,20))),"")))</f>
        <v/>
      </c>
      <c r="J1071">
        <f>IF($F1071="","",IF(OR($G1071="",$H1071="",$I1071="",$G1071&lt;1300,$G1071&gt;1500,$H1071&lt;1,$H1071&gt;12,$I1071&lt;1,$I1071&gt;31),"نامعتبر",RIGHT("0000"&amp;$G1071,4)&amp;"/"&amp;RIGHT("00"&amp;$H1071,2)&amp;"/"&amp;RIGHT("00"&amp;$I1071,2)))</f>
        <v/>
      </c>
      <c r="K1071">
        <f>IF(OR($F1071="",$J1071="",$J1071="نامعتبر"),"",LEFT($J1071,4)&amp;MID($J1071,6,2)&amp;RIGHT($J1071,2)&amp;$N1071&amp;"|"&amp;"2"&amp;RIGHT("00000"&amp;1066,5))</f>
        <v/>
      </c>
      <c r="L1071">
        <f>IF($K1071="","",COUNTIFS(LdgPartyA,$F1071,LdgKeyA,"&lt;"&amp;$K1071)+COUNTIFS(LdgPartyB,$F1071,LdgKeyB,"&lt;"&amp;$K1071)+1)</f>
        <v/>
      </c>
      <c r="M1071">
        <f>IF($L1071="","",$F1071&amp;"|"&amp;RIGHT("000000"&amp;$L1071,6))</f>
        <v/>
      </c>
      <c r="N1071">
        <f>IF($F1071="","",IF(Sync!$AH1071="","0000",IF(AND(ISNUMBER(Sync!$AH1071),Sync!$AH1071&gt;=0,Sync!$AH1071&lt;1),RIGHT("00"&amp;HOUR(Sync!$AH1071),2)&amp;RIGHT("00"&amp;MINUTE(Sync!$AH1071),2),IFERROR(RIGHT("00"&amp;VALUE(LEFT(Sync!$AH1071,FIND(":",Sync!$AH1071)-1)),2)&amp;RIGHT("00"&amp;VALUE(MID(Sync!$AH1071,FIND(":",Sync!$AH1071)+1,2)),2),"0000"))))</f>
        <v/>
      </c>
    </row>
    <row r="1072">
      <c r="A1072">
        <f>IF(OR(Calc!$E1075="",Calc!$E1075="نامعتبر",Calc!$G1075="",Calc!$I1075&lt;&gt;"خرید"),"",Calc!$G1075)</f>
        <v/>
      </c>
      <c r="B1072">
        <f>IF($A1072="","",LEFT(Calc!$E1075,4)&amp;MID(Calc!$E1075,6,2)&amp;RIGHT(Calc!$E1075,2)&amp;Calc!$R1075&amp;"|"&amp;"1"&amp;RIGHT("00000"&amp;1067,5))</f>
        <v/>
      </c>
      <c r="C1072">
        <f>IF($B1072="","",COUNTIFS(LdgPartyA,$A1072,LdgKeyA,"&lt;"&amp;$B1072)+COUNTIFS(LdgPartyB,$A1072,LdgKeyB,"&lt;"&amp;$B1072)+1)</f>
        <v/>
      </c>
      <c r="D1072">
        <f>IF($C1072="","",$A1072&amp;"|"&amp;RIGHT("000000"&amp;$C1072,6))</f>
        <v/>
      </c>
      <c r="F1072">
        <f>IF(Sync!$AJ1072="","",Sync!$AJ1072)</f>
        <v/>
      </c>
      <c r="G1072">
        <f>IF($F1072="","",IF(Sync!$AG1072="","",IF(ISNUMBER(Sync!$AG1072),IF(AND(Sync!$AG1072&gt;=10000101,Sync!$AG1072&lt;=99991231),INT(Sync!$AG1072/10000),""),IFERROR(VALUE(TRIM(LEFT(Sync!$AG1072,FIND("/",Sync!$AG1072)-1))),""))))</f>
        <v/>
      </c>
      <c r="H1072">
        <f>IF(OR($F1072="",$G1072=""),"",IF(ISNUMBER(Sync!$AG1072),INT(MOD(Sync!$AG1072,10000)/100),IFERROR(VALUE(TRIM(LEFT(MID(Sync!$AG1072,FIND("/",Sync!$AG1072)+1,20),FIND("/",MID(Sync!$AG1072,FIND("/",Sync!$AG1072)+1,20))-1))),"")))</f>
        <v/>
      </c>
      <c r="I1072">
        <f>IF(OR($F1072="",$G1072=""),"",IF(ISNUMBER(Sync!$AG1072),MOD(Sync!$AG1072,100),IFERROR(VALUE(TRIM(MID(MID(Sync!$AG1072,FIND("/",Sync!$AG1072)+1,20),FIND("/",MID(Sync!$AG1072,FIND("/",Sync!$AG1072)+1,20))+1,20))),"")))</f>
        <v/>
      </c>
      <c r="J1072">
        <f>IF($F1072="","",IF(OR($G1072="",$H1072="",$I1072="",$G1072&lt;1300,$G1072&gt;1500,$H1072&lt;1,$H1072&gt;12,$I1072&lt;1,$I1072&gt;31),"نامعتبر",RIGHT("0000"&amp;$G1072,4)&amp;"/"&amp;RIGHT("00"&amp;$H1072,2)&amp;"/"&amp;RIGHT("00"&amp;$I1072,2)))</f>
        <v/>
      </c>
      <c r="K1072">
        <f>IF(OR($F1072="",$J1072="",$J1072="نامعتبر"),"",LEFT($J1072,4)&amp;MID($J1072,6,2)&amp;RIGHT($J1072,2)&amp;$N1072&amp;"|"&amp;"2"&amp;RIGHT("00000"&amp;1067,5))</f>
        <v/>
      </c>
      <c r="L1072">
        <f>IF($K1072="","",COUNTIFS(LdgPartyA,$F1072,LdgKeyA,"&lt;"&amp;$K1072)+COUNTIFS(LdgPartyB,$F1072,LdgKeyB,"&lt;"&amp;$K1072)+1)</f>
        <v/>
      </c>
      <c r="M1072">
        <f>IF($L1072="","",$F1072&amp;"|"&amp;RIGHT("000000"&amp;$L1072,6))</f>
        <v/>
      </c>
      <c r="N1072">
        <f>IF($F1072="","",IF(Sync!$AH1072="","0000",IF(AND(ISNUMBER(Sync!$AH1072),Sync!$AH1072&gt;=0,Sync!$AH1072&lt;1),RIGHT("00"&amp;HOUR(Sync!$AH1072),2)&amp;RIGHT("00"&amp;MINUTE(Sync!$AH1072),2),IFERROR(RIGHT("00"&amp;VALUE(LEFT(Sync!$AH1072,FIND(":",Sync!$AH1072)-1)),2)&amp;RIGHT("00"&amp;VALUE(MID(Sync!$AH1072,FIND(":",Sync!$AH1072)+1,2)),2),"0000"))))</f>
        <v/>
      </c>
    </row>
    <row r="1073">
      <c r="A1073">
        <f>IF(OR(Calc!$E1076="",Calc!$E1076="نامعتبر",Calc!$G1076="",Calc!$I1076&lt;&gt;"خرید"),"",Calc!$G1076)</f>
        <v/>
      </c>
      <c r="B1073">
        <f>IF($A1073="","",LEFT(Calc!$E1076,4)&amp;MID(Calc!$E1076,6,2)&amp;RIGHT(Calc!$E1076,2)&amp;Calc!$R1076&amp;"|"&amp;"1"&amp;RIGHT("00000"&amp;1068,5))</f>
        <v/>
      </c>
      <c r="C1073">
        <f>IF($B1073="","",COUNTIFS(LdgPartyA,$A1073,LdgKeyA,"&lt;"&amp;$B1073)+COUNTIFS(LdgPartyB,$A1073,LdgKeyB,"&lt;"&amp;$B1073)+1)</f>
        <v/>
      </c>
      <c r="D1073">
        <f>IF($C1073="","",$A1073&amp;"|"&amp;RIGHT("000000"&amp;$C1073,6))</f>
        <v/>
      </c>
      <c r="F1073">
        <f>IF(Sync!$AJ1073="","",Sync!$AJ1073)</f>
        <v/>
      </c>
      <c r="G1073">
        <f>IF($F1073="","",IF(Sync!$AG1073="","",IF(ISNUMBER(Sync!$AG1073),IF(AND(Sync!$AG1073&gt;=10000101,Sync!$AG1073&lt;=99991231),INT(Sync!$AG1073/10000),""),IFERROR(VALUE(TRIM(LEFT(Sync!$AG1073,FIND("/",Sync!$AG1073)-1))),""))))</f>
        <v/>
      </c>
      <c r="H1073">
        <f>IF(OR($F1073="",$G1073=""),"",IF(ISNUMBER(Sync!$AG1073),INT(MOD(Sync!$AG1073,10000)/100),IFERROR(VALUE(TRIM(LEFT(MID(Sync!$AG1073,FIND("/",Sync!$AG1073)+1,20),FIND("/",MID(Sync!$AG1073,FIND("/",Sync!$AG1073)+1,20))-1))),"")))</f>
        <v/>
      </c>
      <c r="I1073">
        <f>IF(OR($F1073="",$G1073=""),"",IF(ISNUMBER(Sync!$AG1073),MOD(Sync!$AG1073,100),IFERROR(VALUE(TRIM(MID(MID(Sync!$AG1073,FIND("/",Sync!$AG1073)+1,20),FIND("/",MID(Sync!$AG1073,FIND("/",Sync!$AG1073)+1,20))+1,20))),"")))</f>
        <v/>
      </c>
      <c r="J1073">
        <f>IF($F1073="","",IF(OR($G1073="",$H1073="",$I1073="",$G1073&lt;1300,$G1073&gt;1500,$H1073&lt;1,$H1073&gt;12,$I1073&lt;1,$I1073&gt;31),"نامعتبر",RIGHT("0000"&amp;$G1073,4)&amp;"/"&amp;RIGHT("00"&amp;$H1073,2)&amp;"/"&amp;RIGHT("00"&amp;$I1073,2)))</f>
        <v/>
      </c>
      <c r="K1073">
        <f>IF(OR($F1073="",$J1073="",$J1073="نامعتبر"),"",LEFT($J1073,4)&amp;MID($J1073,6,2)&amp;RIGHT($J1073,2)&amp;$N1073&amp;"|"&amp;"2"&amp;RIGHT("00000"&amp;1068,5))</f>
        <v/>
      </c>
      <c r="L1073">
        <f>IF($K1073="","",COUNTIFS(LdgPartyA,$F1073,LdgKeyA,"&lt;"&amp;$K1073)+COUNTIFS(LdgPartyB,$F1073,LdgKeyB,"&lt;"&amp;$K1073)+1)</f>
        <v/>
      </c>
      <c r="M1073">
        <f>IF($L1073="","",$F1073&amp;"|"&amp;RIGHT("000000"&amp;$L1073,6))</f>
        <v/>
      </c>
      <c r="N1073">
        <f>IF($F1073="","",IF(Sync!$AH1073="","0000",IF(AND(ISNUMBER(Sync!$AH1073),Sync!$AH1073&gt;=0,Sync!$AH1073&lt;1),RIGHT("00"&amp;HOUR(Sync!$AH1073),2)&amp;RIGHT("00"&amp;MINUTE(Sync!$AH1073),2),IFERROR(RIGHT("00"&amp;VALUE(LEFT(Sync!$AH1073,FIND(":",Sync!$AH1073)-1)),2)&amp;RIGHT("00"&amp;VALUE(MID(Sync!$AH1073,FIND(":",Sync!$AH1073)+1,2)),2),"0000"))))</f>
        <v/>
      </c>
    </row>
    <row r="1074">
      <c r="A1074">
        <f>IF(OR(Calc!$E1077="",Calc!$E1077="نامعتبر",Calc!$G1077="",Calc!$I1077&lt;&gt;"خرید"),"",Calc!$G1077)</f>
        <v/>
      </c>
      <c r="B1074">
        <f>IF($A1074="","",LEFT(Calc!$E1077,4)&amp;MID(Calc!$E1077,6,2)&amp;RIGHT(Calc!$E1077,2)&amp;Calc!$R1077&amp;"|"&amp;"1"&amp;RIGHT("00000"&amp;1069,5))</f>
        <v/>
      </c>
      <c r="C1074">
        <f>IF($B1074="","",COUNTIFS(LdgPartyA,$A1074,LdgKeyA,"&lt;"&amp;$B1074)+COUNTIFS(LdgPartyB,$A1074,LdgKeyB,"&lt;"&amp;$B1074)+1)</f>
        <v/>
      </c>
      <c r="D1074">
        <f>IF($C1074="","",$A1074&amp;"|"&amp;RIGHT("000000"&amp;$C1074,6))</f>
        <v/>
      </c>
      <c r="F1074">
        <f>IF(Sync!$AJ1074="","",Sync!$AJ1074)</f>
        <v/>
      </c>
      <c r="G1074">
        <f>IF($F1074="","",IF(Sync!$AG1074="","",IF(ISNUMBER(Sync!$AG1074),IF(AND(Sync!$AG1074&gt;=10000101,Sync!$AG1074&lt;=99991231),INT(Sync!$AG1074/10000),""),IFERROR(VALUE(TRIM(LEFT(Sync!$AG1074,FIND("/",Sync!$AG1074)-1))),""))))</f>
        <v/>
      </c>
      <c r="H1074">
        <f>IF(OR($F1074="",$G1074=""),"",IF(ISNUMBER(Sync!$AG1074),INT(MOD(Sync!$AG1074,10000)/100),IFERROR(VALUE(TRIM(LEFT(MID(Sync!$AG1074,FIND("/",Sync!$AG1074)+1,20),FIND("/",MID(Sync!$AG1074,FIND("/",Sync!$AG1074)+1,20))-1))),"")))</f>
        <v/>
      </c>
      <c r="I1074">
        <f>IF(OR($F1074="",$G1074=""),"",IF(ISNUMBER(Sync!$AG1074),MOD(Sync!$AG1074,100),IFERROR(VALUE(TRIM(MID(MID(Sync!$AG1074,FIND("/",Sync!$AG1074)+1,20),FIND("/",MID(Sync!$AG1074,FIND("/",Sync!$AG1074)+1,20))+1,20))),"")))</f>
        <v/>
      </c>
      <c r="J1074">
        <f>IF($F1074="","",IF(OR($G1074="",$H1074="",$I1074="",$G1074&lt;1300,$G1074&gt;1500,$H1074&lt;1,$H1074&gt;12,$I1074&lt;1,$I1074&gt;31),"نامعتبر",RIGHT("0000"&amp;$G1074,4)&amp;"/"&amp;RIGHT("00"&amp;$H1074,2)&amp;"/"&amp;RIGHT("00"&amp;$I1074,2)))</f>
        <v/>
      </c>
      <c r="K1074">
        <f>IF(OR($F1074="",$J1074="",$J1074="نامعتبر"),"",LEFT($J1074,4)&amp;MID($J1074,6,2)&amp;RIGHT($J1074,2)&amp;$N1074&amp;"|"&amp;"2"&amp;RIGHT("00000"&amp;1069,5))</f>
        <v/>
      </c>
      <c r="L1074">
        <f>IF($K1074="","",COUNTIFS(LdgPartyA,$F1074,LdgKeyA,"&lt;"&amp;$K1074)+COUNTIFS(LdgPartyB,$F1074,LdgKeyB,"&lt;"&amp;$K1074)+1)</f>
        <v/>
      </c>
      <c r="M1074">
        <f>IF($L1074="","",$F1074&amp;"|"&amp;RIGHT("000000"&amp;$L1074,6))</f>
        <v/>
      </c>
      <c r="N1074">
        <f>IF($F1074="","",IF(Sync!$AH1074="","0000",IF(AND(ISNUMBER(Sync!$AH1074),Sync!$AH1074&gt;=0,Sync!$AH1074&lt;1),RIGHT("00"&amp;HOUR(Sync!$AH1074),2)&amp;RIGHT("00"&amp;MINUTE(Sync!$AH1074),2),IFERROR(RIGHT("00"&amp;VALUE(LEFT(Sync!$AH1074,FIND(":",Sync!$AH1074)-1)),2)&amp;RIGHT("00"&amp;VALUE(MID(Sync!$AH1074,FIND(":",Sync!$AH1074)+1,2)),2),"0000"))))</f>
        <v/>
      </c>
    </row>
    <row r="1075">
      <c r="A1075">
        <f>IF(OR(Calc!$E1078="",Calc!$E1078="نامعتبر",Calc!$G1078="",Calc!$I1078&lt;&gt;"خرید"),"",Calc!$G1078)</f>
        <v/>
      </c>
      <c r="B1075">
        <f>IF($A1075="","",LEFT(Calc!$E1078,4)&amp;MID(Calc!$E1078,6,2)&amp;RIGHT(Calc!$E1078,2)&amp;Calc!$R1078&amp;"|"&amp;"1"&amp;RIGHT("00000"&amp;1070,5))</f>
        <v/>
      </c>
      <c r="C1075">
        <f>IF($B1075="","",COUNTIFS(LdgPartyA,$A1075,LdgKeyA,"&lt;"&amp;$B1075)+COUNTIFS(LdgPartyB,$A1075,LdgKeyB,"&lt;"&amp;$B1075)+1)</f>
        <v/>
      </c>
      <c r="D1075">
        <f>IF($C1075="","",$A1075&amp;"|"&amp;RIGHT("000000"&amp;$C1075,6))</f>
        <v/>
      </c>
      <c r="F1075">
        <f>IF(Sync!$AJ1075="","",Sync!$AJ1075)</f>
        <v/>
      </c>
      <c r="G1075">
        <f>IF($F1075="","",IF(Sync!$AG1075="","",IF(ISNUMBER(Sync!$AG1075),IF(AND(Sync!$AG1075&gt;=10000101,Sync!$AG1075&lt;=99991231),INT(Sync!$AG1075/10000),""),IFERROR(VALUE(TRIM(LEFT(Sync!$AG1075,FIND("/",Sync!$AG1075)-1))),""))))</f>
        <v/>
      </c>
      <c r="H1075">
        <f>IF(OR($F1075="",$G1075=""),"",IF(ISNUMBER(Sync!$AG1075),INT(MOD(Sync!$AG1075,10000)/100),IFERROR(VALUE(TRIM(LEFT(MID(Sync!$AG1075,FIND("/",Sync!$AG1075)+1,20),FIND("/",MID(Sync!$AG1075,FIND("/",Sync!$AG1075)+1,20))-1))),"")))</f>
        <v/>
      </c>
      <c r="I1075">
        <f>IF(OR($F1075="",$G1075=""),"",IF(ISNUMBER(Sync!$AG1075),MOD(Sync!$AG1075,100),IFERROR(VALUE(TRIM(MID(MID(Sync!$AG1075,FIND("/",Sync!$AG1075)+1,20),FIND("/",MID(Sync!$AG1075,FIND("/",Sync!$AG1075)+1,20))+1,20))),"")))</f>
        <v/>
      </c>
      <c r="J1075">
        <f>IF($F1075="","",IF(OR($G1075="",$H1075="",$I1075="",$G1075&lt;1300,$G1075&gt;1500,$H1075&lt;1,$H1075&gt;12,$I1075&lt;1,$I1075&gt;31),"نامعتبر",RIGHT("0000"&amp;$G1075,4)&amp;"/"&amp;RIGHT("00"&amp;$H1075,2)&amp;"/"&amp;RIGHT("00"&amp;$I1075,2)))</f>
        <v/>
      </c>
      <c r="K1075">
        <f>IF(OR($F1075="",$J1075="",$J1075="نامعتبر"),"",LEFT($J1075,4)&amp;MID($J1075,6,2)&amp;RIGHT($J1075,2)&amp;$N1075&amp;"|"&amp;"2"&amp;RIGHT("00000"&amp;1070,5))</f>
        <v/>
      </c>
      <c r="L1075">
        <f>IF($K1075="","",COUNTIFS(LdgPartyA,$F1075,LdgKeyA,"&lt;"&amp;$K1075)+COUNTIFS(LdgPartyB,$F1075,LdgKeyB,"&lt;"&amp;$K1075)+1)</f>
        <v/>
      </c>
      <c r="M1075">
        <f>IF($L1075="","",$F1075&amp;"|"&amp;RIGHT("000000"&amp;$L1075,6))</f>
        <v/>
      </c>
      <c r="N1075">
        <f>IF($F1075="","",IF(Sync!$AH1075="","0000",IF(AND(ISNUMBER(Sync!$AH1075),Sync!$AH1075&gt;=0,Sync!$AH1075&lt;1),RIGHT("00"&amp;HOUR(Sync!$AH1075),2)&amp;RIGHT("00"&amp;MINUTE(Sync!$AH1075),2),IFERROR(RIGHT("00"&amp;VALUE(LEFT(Sync!$AH1075,FIND(":",Sync!$AH1075)-1)),2)&amp;RIGHT("00"&amp;VALUE(MID(Sync!$AH1075,FIND(":",Sync!$AH1075)+1,2)),2),"0000"))))</f>
        <v/>
      </c>
    </row>
    <row r="1076">
      <c r="A1076">
        <f>IF(OR(Calc!$E1079="",Calc!$E1079="نامعتبر",Calc!$G1079="",Calc!$I1079&lt;&gt;"خرید"),"",Calc!$G1079)</f>
        <v/>
      </c>
      <c r="B1076">
        <f>IF($A1076="","",LEFT(Calc!$E1079,4)&amp;MID(Calc!$E1079,6,2)&amp;RIGHT(Calc!$E1079,2)&amp;Calc!$R1079&amp;"|"&amp;"1"&amp;RIGHT("00000"&amp;1071,5))</f>
        <v/>
      </c>
      <c r="C1076">
        <f>IF($B1076="","",COUNTIFS(LdgPartyA,$A1076,LdgKeyA,"&lt;"&amp;$B1076)+COUNTIFS(LdgPartyB,$A1076,LdgKeyB,"&lt;"&amp;$B1076)+1)</f>
        <v/>
      </c>
      <c r="D1076">
        <f>IF($C1076="","",$A1076&amp;"|"&amp;RIGHT("000000"&amp;$C1076,6))</f>
        <v/>
      </c>
      <c r="F1076">
        <f>IF(Sync!$AJ1076="","",Sync!$AJ1076)</f>
        <v/>
      </c>
      <c r="G1076">
        <f>IF($F1076="","",IF(Sync!$AG1076="","",IF(ISNUMBER(Sync!$AG1076),IF(AND(Sync!$AG1076&gt;=10000101,Sync!$AG1076&lt;=99991231),INT(Sync!$AG1076/10000),""),IFERROR(VALUE(TRIM(LEFT(Sync!$AG1076,FIND("/",Sync!$AG1076)-1))),""))))</f>
        <v/>
      </c>
      <c r="H1076">
        <f>IF(OR($F1076="",$G1076=""),"",IF(ISNUMBER(Sync!$AG1076),INT(MOD(Sync!$AG1076,10000)/100),IFERROR(VALUE(TRIM(LEFT(MID(Sync!$AG1076,FIND("/",Sync!$AG1076)+1,20),FIND("/",MID(Sync!$AG1076,FIND("/",Sync!$AG1076)+1,20))-1))),"")))</f>
        <v/>
      </c>
      <c r="I1076">
        <f>IF(OR($F1076="",$G1076=""),"",IF(ISNUMBER(Sync!$AG1076),MOD(Sync!$AG1076,100),IFERROR(VALUE(TRIM(MID(MID(Sync!$AG1076,FIND("/",Sync!$AG1076)+1,20),FIND("/",MID(Sync!$AG1076,FIND("/",Sync!$AG1076)+1,20))+1,20))),"")))</f>
        <v/>
      </c>
      <c r="J1076">
        <f>IF($F1076="","",IF(OR($G1076="",$H1076="",$I1076="",$G1076&lt;1300,$G1076&gt;1500,$H1076&lt;1,$H1076&gt;12,$I1076&lt;1,$I1076&gt;31),"نامعتبر",RIGHT("0000"&amp;$G1076,4)&amp;"/"&amp;RIGHT("00"&amp;$H1076,2)&amp;"/"&amp;RIGHT("00"&amp;$I1076,2)))</f>
        <v/>
      </c>
      <c r="K1076">
        <f>IF(OR($F1076="",$J1076="",$J1076="نامعتبر"),"",LEFT($J1076,4)&amp;MID($J1076,6,2)&amp;RIGHT($J1076,2)&amp;$N1076&amp;"|"&amp;"2"&amp;RIGHT("00000"&amp;1071,5))</f>
        <v/>
      </c>
      <c r="L1076">
        <f>IF($K1076="","",COUNTIFS(LdgPartyA,$F1076,LdgKeyA,"&lt;"&amp;$K1076)+COUNTIFS(LdgPartyB,$F1076,LdgKeyB,"&lt;"&amp;$K1076)+1)</f>
        <v/>
      </c>
      <c r="M1076">
        <f>IF($L1076="","",$F1076&amp;"|"&amp;RIGHT("000000"&amp;$L1076,6))</f>
        <v/>
      </c>
      <c r="N1076">
        <f>IF($F1076="","",IF(Sync!$AH1076="","0000",IF(AND(ISNUMBER(Sync!$AH1076),Sync!$AH1076&gt;=0,Sync!$AH1076&lt;1),RIGHT("00"&amp;HOUR(Sync!$AH1076),2)&amp;RIGHT("00"&amp;MINUTE(Sync!$AH1076),2),IFERROR(RIGHT("00"&amp;VALUE(LEFT(Sync!$AH1076,FIND(":",Sync!$AH1076)-1)),2)&amp;RIGHT("00"&amp;VALUE(MID(Sync!$AH1076,FIND(":",Sync!$AH1076)+1,2)),2),"0000"))))</f>
        <v/>
      </c>
    </row>
    <row r="1077">
      <c r="A1077">
        <f>IF(OR(Calc!$E1080="",Calc!$E1080="نامعتبر",Calc!$G1080="",Calc!$I1080&lt;&gt;"خرید"),"",Calc!$G1080)</f>
        <v/>
      </c>
      <c r="B1077">
        <f>IF($A1077="","",LEFT(Calc!$E1080,4)&amp;MID(Calc!$E1080,6,2)&amp;RIGHT(Calc!$E1080,2)&amp;Calc!$R1080&amp;"|"&amp;"1"&amp;RIGHT("00000"&amp;1072,5))</f>
        <v/>
      </c>
      <c r="C1077">
        <f>IF($B1077="","",COUNTIFS(LdgPartyA,$A1077,LdgKeyA,"&lt;"&amp;$B1077)+COUNTIFS(LdgPartyB,$A1077,LdgKeyB,"&lt;"&amp;$B1077)+1)</f>
        <v/>
      </c>
      <c r="D1077">
        <f>IF($C1077="","",$A1077&amp;"|"&amp;RIGHT("000000"&amp;$C1077,6))</f>
        <v/>
      </c>
      <c r="F1077">
        <f>IF(Sync!$AJ1077="","",Sync!$AJ1077)</f>
        <v/>
      </c>
      <c r="G1077">
        <f>IF($F1077="","",IF(Sync!$AG1077="","",IF(ISNUMBER(Sync!$AG1077),IF(AND(Sync!$AG1077&gt;=10000101,Sync!$AG1077&lt;=99991231),INT(Sync!$AG1077/10000),""),IFERROR(VALUE(TRIM(LEFT(Sync!$AG1077,FIND("/",Sync!$AG1077)-1))),""))))</f>
        <v/>
      </c>
      <c r="H1077">
        <f>IF(OR($F1077="",$G1077=""),"",IF(ISNUMBER(Sync!$AG1077),INT(MOD(Sync!$AG1077,10000)/100),IFERROR(VALUE(TRIM(LEFT(MID(Sync!$AG1077,FIND("/",Sync!$AG1077)+1,20),FIND("/",MID(Sync!$AG1077,FIND("/",Sync!$AG1077)+1,20))-1))),"")))</f>
        <v/>
      </c>
      <c r="I1077">
        <f>IF(OR($F1077="",$G1077=""),"",IF(ISNUMBER(Sync!$AG1077),MOD(Sync!$AG1077,100),IFERROR(VALUE(TRIM(MID(MID(Sync!$AG1077,FIND("/",Sync!$AG1077)+1,20),FIND("/",MID(Sync!$AG1077,FIND("/",Sync!$AG1077)+1,20))+1,20))),"")))</f>
        <v/>
      </c>
      <c r="J1077">
        <f>IF($F1077="","",IF(OR($G1077="",$H1077="",$I1077="",$G1077&lt;1300,$G1077&gt;1500,$H1077&lt;1,$H1077&gt;12,$I1077&lt;1,$I1077&gt;31),"نامعتبر",RIGHT("0000"&amp;$G1077,4)&amp;"/"&amp;RIGHT("00"&amp;$H1077,2)&amp;"/"&amp;RIGHT("00"&amp;$I1077,2)))</f>
        <v/>
      </c>
      <c r="K1077">
        <f>IF(OR($F1077="",$J1077="",$J1077="نامعتبر"),"",LEFT($J1077,4)&amp;MID($J1077,6,2)&amp;RIGHT($J1077,2)&amp;$N1077&amp;"|"&amp;"2"&amp;RIGHT("00000"&amp;1072,5))</f>
        <v/>
      </c>
      <c r="L1077">
        <f>IF($K1077="","",COUNTIFS(LdgPartyA,$F1077,LdgKeyA,"&lt;"&amp;$K1077)+COUNTIFS(LdgPartyB,$F1077,LdgKeyB,"&lt;"&amp;$K1077)+1)</f>
        <v/>
      </c>
      <c r="M1077">
        <f>IF($L1077="","",$F1077&amp;"|"&amp;RIGHT("000000"&amp;$L1077,6))</f>
        <v/>
      </c>
      <c r="N1077">
        <f>IF($F1077="","",IF(Sync!$AH1077="","0000",IF(AND(ISNUMBER(Sync!$AH1077),Sync!$AH1077&gt;=0,Sync!$AH1077&lt;1),RIGHT("00"&amp;HOUR(Sync!$AH1077),2)&amp;RIGHT("00"&amp;MINUTE(Sync!$AH1077),2),IFERROR(RIGHT("00"&amp;VALUE(LEFT(Sync!$AH1077,FIND(":",Sync!$AH1077)-1)),2)&amp;RIGHT("00"&amp;VALUE(MID(Sync!$AH1077,FIND(":",Sync!$AH1077)+1,2)),2),"0000"))))</f>
        <v/>
      </c>
    </row>
    <row r="1078">
      <c r="A1078">
        <f>IF(OR(Calc!$E1081="",Calc!$E1081="نامعتبر",Calc!$G1081="",Calc!$I1081&lt;&gt;"خرید"),"",Calc!$G1081)</f>
        <v/>
      </c>
      <c r="B1078">
        <f>IF($A1078="","",LEFT(Calc!$E1081,4)&amp;MID(Calc!$E1081,6,2)&amp;RIGHT(Calc!$E1081,2)&amp;Calc!$R1081&amp;"|"&amp;"1"&amp;RIGHT("00000"&amp;1073,5))</f>
        <v/>
      </c>
      <c r="C1078">
        <f>IF($B1078="","",COUNTIFS(LdgPartyA,$A1078,LdgKeyA,"&lt;"&amp;$B1078)+COUNTIFS(LdgPartyB,$A1078,LdgKeyB,"&lt;"&amp;$B1078)+1)</f>
        <v/>
      </c>
      <c r="D1078">
        <f>IF($C1078="","",$A1078&amp;"|"&amp;RIGHT("000000"&amp;$C1078,6))</f>
        <v/>
      </c>
      <c r="F1078">
        <f>IF(Sync!$AJ1078="","",Sync!$AJ1078)</f>
        <v/>
      </c>
      <c r="G1078">
        <f>IF($F1078="","",IF(Sync!$AG1078="","",IF(ISNUMBER(Sync!$AG1078),IF(AND(Sync!$AG1078&gt;=10000101,Sync!$AG1078&lt;=99991231),INT(Sync!$AG1078/10000),""),IFERROR(VALUE(TRIM(LEFT(Sync!$AG1078,FIND("/",Sync!$AG1078)-1))),""))))</f>
        <v/>
      </c>
      <c r="H1078">
        <f>IF(OR($F1078="",$G1078=""),"",IF(ISNUMBER(Sync!$AG1078),INT(MOD(Sync!$AG1078,10000)/100),IFERROR(VALUE(TRIM(LEFT(MID(Sync!$AG1078,FIND("/",Sync!$AG1078)+1,20),FIND("/",MID(Sync!$AG1078,FIND("/",Sync!$AG1078)+1,20))-1))),"")))</f>
        <v/>
      </c>
      <c r="I1078">
        <f>IF(OR($F1078="",$G1078=""),"",IF(ISNUMBER(Sync!$AG1078),MOD(Sync!$AG1078,100),IFERROR(VALUE(TRIM(MID(MID(Sync!$AG1078,FIND("/",Sync!$AG1078)+1,20),FIND("/",MID(Sync!$AG1078,FIND("/",Sync!$AG1078)+1,20))+1,20))),"")))</f>
        <v/>
      </c>
      <c r="J1078">
        <f>IF($F1078="","",IF(OR($G1078="",$H1078="",$I1078="",$G1078&lt;1300,$G1078&gt;1500,$H1078&lt;1,$H1078&gt;12,$I1078&lt;1,$I1078&gt;31),"نامعتبر",RIGHT("0000"&amp;$G1078,4)&amp;"/"&amp;RIGHT("00"&amp;$H1078,2)&amp;"/"&amp;RIGHT("00"&amp;$I1078,2)))</f>
        <v/>
      </c>
      <c r="K1078">
        <f>IF(OR($F1078="",$J1078="",$J1078="نامعتبر"),"",LEFT($J1078,4)&amp;MID($J1078,6,2)&amp;RIGHT($J1078,2)&amp;$N1078&amp;"|"&amp;"2"&amp;RIGHT("00000"&amp;1073,5))</f>
        <v/>
      </c>
      <c r="L1078">
        <f>IF($K1078="","",COUNTIFS(LdgPartyA,$F1078,LdgKeyA,"&lt;"&amp;$K1078)+COUNTIFS(LdgPartyB,$F1078,LdgKeyB,"&lt;"&amp;$K1078)+1)</f>
        <v/>
      </c>
      <c r="M1078">
        <f>IF($L1078="","",$F1078&amp;"|"&amp;RIGHT("000000"&amp;$L1078,6))</f>
        <v/>
      </c>
      <c r="N1078">
        <f>IF($F1078="","",IF(Sync!$AH1078="","0000",IF(AND(ISNUMBER(Sync!$AH1078),Sync!$AH1078&gt;=0,Sync!$AH1078&lt;1),RIGHT("00"&amp;HOUR(Sync!$AH1078),2)&amp;RIGHT("00"&amp;MINUTE(Sync!$AH1078),2),IFERROR(RIGHT("00"&amp;VALUE(LEFT(Sync!$AH1078,FIND(":",Sync!$AH1078)-1)),2)&amp;RIGHT("00"&amp;VALUE(MID(Sync!$AH1078,FIND(":",Sync!$AH1078)+1,2)),2),"0000"))))</f>
        <v/>
      </c>
    </row>
    <row r="1079">
      <c r="A1079">
        <f>IF(OR(Calc!$E1082="",Calc!$E1082="نامعتبر",Calc!$G1082="",Calc!$I1082&lt;&gt;"خرید"),"",Calc!$G1082)</f>
        <v/>
      </c>
      <c r="B1079">
        <f>IF($A1079="","",LEFT(Calc!$E1082,4)&amp;MID(Calc!$E1082,6,2)&amp;RIGHT(Calc!$E1082,2)&amp;Calc!$R1082&amp;"|"&amp;"1"&amp;RIGHT("00000"&amp;1074,5))</f>
        <v/>
      </c>
      <c r="C1079">
        <f>IF($B1079="","",COUNTIFS(LdgPartyA,$A1079,LdgKeyA,"&lt;"&amp;$B1079)+COUNTIFS(LdgPartyB,$A1079,LdgKeyB,"&lt;"&amp;$B1079)+1)</f>
        <v/>
      </c>
      <c r="D1079">
        <f>IF($C1079="","",$A1079&amp;"|"&amp;RIGHT("000000"&amp;$C1079,6))</f>
        <v/>
      </c>
      <c r="F1079">
        <f>IF(Sync!$AJ1079="","",Sync!$AJ1079)</f>
        <v/>
      </c>
      <c r="G1079">
        <f>IF($F1079="","",IF(Sync!$AG1079="","",IF(ISNUMBER(Sync!$AG1079),IF(AND(Sync!$AG1079&gt;=10000101,Sync!$AG1079&lt;=99991231),INT(Sync!$AG1079/10000),""),IFERROR(VALUE(TRIM(LEFT(Sync!$AG1079,FIND("/",Sync!$AG1079)-1))),""))))</f>
        <v/>
      </c>
      <c r="H1079">
        <f>IF(OR($F1079="",$G1079=""),"",IF(ISNUMBER(Sync!$AG1079),INT(MOD(Sync!$AG1079,10000)/100),IFERROR(VALUE(TRIM(LEFT(MID(Sync!$AG1079,FIND("/",Sync!$AG1079)+1,20),FIND("/",MID(Sync!$AG1079,FIND("/",Sync!$AG1079)+1,20))-1))),"")))</f>
        <v/>
      </c>
      <c r="I1079">
        <f>IF(OR($F1079="",$G1079=""),"",IF(ISNUMBER(Sync!$AG1079),MOD(Sync!$AG1079,100),IFERROR(VALUE(TRIM(MID(MID(Sync!$AG1079,FIND("/",Sync!$AG1079)+1,20),FIND("/",MID(Sync!$AG1079,FIND("/",Sync!$AG1079)+1,20))+1,20))),"")))</f>
        <v/>
      </c>
      <c r="J1079">
        <f>IF($F1079="","",IF(OR($G1079="",$H1079="",$I1079="",$G1079&lt;1300,$G1079&gt;1500,$H1079&lt;1,$H1079&gt;12,$I1079&lt;1,$I1079&gt;31),"نامعتبر",RIGHT("0000"&amp;$G1079,4)&amp;"/"&amp;RIGHT("00"&amp;$H1079,2)&amp;"/"&amp;RIGHT("00"&amp;$I1079,2)))</f>
        <v/>
      </c>
      <c r="K1079">
        <f>IF(OR($F1079="",$J1079="",$J1079="نامعتبر"),"",LEFT($J1079,4)&amp;MID($J1079,6,2)&amp;RIGHT($J1079,2)&amp;$N1079&amp;"|"&amp;"2"&amp;RIGHT("00000"&amp;1074,5))</f>
        <v/>
      </c>
      <c r="L1079">
        <f>IF($K1079="","",COUNTIFS(LdgPartyA,$F1079,LdgKeyA,"&lt;"&amp;$K1079)+COUNTIFS(LdgPartyB,$F1079,LdgKeyB,"&lt;"&amp;$K1079)+1)</f>
        <v/>
      </c>
      <c r="M1079">
        <f>IF($L1079="","",$F1079&amp;"|"&amp;RIGHT("000000"&amp;$L1079,6))</f>
        <v/>
      </c>
      <c r="N1079">
        <f>IF($F1079="","",IF(Sync!$AH1079="","0000",IF(AND(ISNUMBER(Sync!$AH1079),Sync!$AH1079&gt;=0,Sync!$AH1079&lt;1),RIGHT("00"&amp;HOUR(Sync!$AH1079),2)&amp;RIGHT("00"&amp;MINUTE(Sync!$AH1079),2),IFERROR(RIGHT("00"&amp;VALUE(LEFT(Sync!$AH1079,FIND(":",Sync!$AH1079)-1)),2)&amp;RIGHT("00"&amp;VALUE(MID(Sync!$AH1079,FIND(":",Sync!$AH1079)+1,2)),2),"0000"))))</f>
        <v/>
      </c>
    </row>
    <row r="1080">
      <c r="A1080">
        <f>IF(OR(Calc!$E1083="",Calc!$E1083="نامعتبر",Calc!$G1083="",Calc!$I1083&lt;&gt;"خرید"),"",Calc!$G1083)</f>
        <v/>
      </c>
      <c r="B1080">
        <f>IF($A1080="","",LEFT(Calc!$E1083,4)&amp;MID(Calc!$E1083,6,2)&amp;RIGHT(Calc!$E1083,2)&amp;Calc!$R1083&amp;"|"&amp;"1"&amp;RIGHT("00000"&amp;1075,5))</f>
        <v/>
      </c>
      <c r="C1080">
        <f>IF($B1080="","",COUNTIFS(LdgPartyA,$A1080,LdgKeyA,"&lt;"&amp;$B1080)+COUNTIFS(LdgPartyB,$A1080,LdgKeyB,"&lt;"&amp;$B1080)+1)</f>
        <v/>
      </c>
      <c r="D1080">
        <f>IF($C1080="","",$A1080&amp;"|"&amp;RIGHT("000000"&amp;$C1080,6))</f>
        <v/>
      </c>
      <c r="F1080">
        <f>IF(Sync!$AJ1080="","",Sync!$AJ1080)</f>
        <v/>
      </c>
      <c r="G1080">
        <f>IF($F1080="","",IF(Sync!$AG1080="","",IF(ISNUMBER(Sync!$AG1080),IF(AND(Sync!$AG1080&gt;=10000101,Sync!$AG1080&lt;=99991231),INT(Sync!$AG1080/10000),""),IFERROR(VALUE(TRIM(LEFT(Sync!$AG1080,FIND("/",Sync!$AG1080)-1))),""))))</f>
        <v/>
      </c>
      <c r="H1080">
        <f>IF(OR($F1080="",$G1080=""),"",IF(ISNUMBER(Sync!$AG1080),INT(MOD(Sync!$AG1080,10000)/100),IFERROR(VALUE(TRIM(LEFT(MID(Sync!$AG1080,FIND("/",Sync!$AG1080)+1,20),FIND("/",MID(Sync!$AG1080,FIND("/",Sync!$AG1080)+1,20))-1))),"")))</f>
        <v/>
      </c>
      <c r="I1080">
        <f>IF(OR($F1080="",$G1080=""),"",IF(ISNUMBER(Sync!$AG1080),MOD(Sync!$AG1080,100),IFERROR(VALUE(TRIM(MID(MID(Sync!$AG1080,FIND("/",Sync!$AG1080)+1,20),FIND("/",MID(Sync!$AG1080,FIND("/",Sync!$AG1080)+1,20))+1,20))),"")))</f>
        <v/>
      </c>
      <c r="J1080">
        <f>IF($F1080="","",IF(OR($G1080="",$H1080="",$I1080="",$G1080&lt;1300,$G1080&gt;1500,$H1080&lt;1,$H1080&gt;12,$I1080&lt;1,$I1080&gt;31),"نامعتبر",RIGHT("0000"&amp;$G1080,4)&amp;"/"&amp;RIGHT("00"&amp;$H1080,2)&amp;"/"&amp;RIGHT("00"&amp;$I1080,2)))</f>
        <v/>
      </c>
      <c r="K1080">
        <f>IF(OR($F1080="",$J1080="",$J1080="نامعتبر"),"",LEFT($J1080,4)&amp;MID($J1080,6,2)&amp;RIGHT($J1080,2)&amp;$N1080&amp;"|"&amp;"2"&amp;RIGHT("00000"&amp;1075,5))</f>
        <v/>
      </c>
      <c r="L1080">
        <f>IF($K1080="","",COUNTIFS(LdgPartyA,$F1080,LdgKeyA,"&lt;"&amp;$K1080)+COUNTIFS(LdgPartyB,$F1080,LdgKeyB,"&lt;"&amp;$K1080)+1)</f>
        <v/>
      </c>
      <c r="M1080">
        <f>IF($L1080="","",$F1080&amp;"|"&amp;RIGHT("000000"&amp;$L1080,6))</f>
        <v/>
      </c>
      <c r="N1080">
        <f>IF($F1080="","",IF(Sync!$AH1080="","0000",IF(AND(ISNUMBER(Sync!$AH1080),Sync!$AH1080&gt;=0,Sync!$AH1080&lt;1),RIGHT("00"&amp;HOUR(Sync!$AH1080),2)&amp;RIGHT("00"&amp;MINUTE(Sync!$AH1080),2),IFERROR(RIGHT("00"&amp;VALUE(LEFT(Sync!$AH1080,FIND(":",Sync!$AH1080)-1)),2)&amp;RIGHT("00"&amp;VALUE(MID(Sync!$AH1080,FIND(":",Sync!$AH1080)+1,2)),2),"0000"))))</f>
        <v/>
      </c>
    </row>
    <row r="1081">
      <c r="A1081">
        <f>IF(OR(Calc!$E1084="",Calc!$E1084="نامعتبر",Calc!$G1084="",Calc!$I1084&lt;&gt;"خرید"),"",Calc!$G1084)</f>
        <v/>
      </c>
      <c r="B1081">
        <f>IF($A1081="","",LEFT(Calc!$E1084,4)&amp;MID(Calc!$E1084,6,2)&amp;RIGHT(Calc!$E1084,2)&amp;Calc!$R1084&amp;"|"&amp;"1"&amp;RIGHT("00000"&amp;1076,5))</f>
        <v/>
      </c>
      <c r="C1081">
        <f>IF($B1081="","",COUNTIFS(LdgPartyA,$A1081,LdgKeyA,"&lt;"&amp;$B1081)+COUNTIFS(LdgPartyB,$A1081,LdgKeyB,"&lt;"&amp;$B1081)+1)</f>
        <v/>
      </c>
      <c r="D1081">
        <f>IF($C1081="","",$A1081&amp;"|"&amp;RIGHT("000000"&amp;$C1081,6))</f>
        <v/>
      </c>
      <c r="F1081">
        <f>IF(Sync!$AJ1081="","",Sync!$AJ1081)</f>
        <v/>
      </c>
      <c r="G1081">
        <f>IF($F1081="","",IF(Sync!$AG1081="","",IF(ISNUMBER(Sync!$AG1081),IF(AND(Sync!$AG1081&gt;=10000101,Sync!$AG1081&lt;=99991231),INT(Sync!$AG1081/10000),""),IFERROR(VALUE(TRIM(LEFT(Sync!$AG1081,FIND("/",Sync!$AG1081)-1))),""))))</f>
        <v/>
      </c>
      <c r="H1081">
        <f>IF(OR($F1081="",$G1081=""),"",IF(ISNUMBER(Sync!$AG1081),INT(MOD(Sync!$AG1081,10000)/100),IFERROR(VALUE(TRIM(LEFT(MID(Sync!$AG1081,FIND("/",Sync!$AG1081)+1,20),FIND("/",MID(Sync!$AG1081,FIND("/",Sync!$AG1081)+1,20))-1))),"")))</f>
        <v/>
      </c>
      <c r="I1081">
        <f>IF(OR($F1081="",$G1081=""),"",IF(ISNUMBER(Sync!$AG1081),MOD(Sync!$AG1081,100),IFERROR(VALUE(TRIM(MID(MID(Sync!$AG1081,FIND("/",Sync!$AG1081)+1,20),FIND("/",MID(Sync!$AG1081,FIND("/",Sync!$AG1081)+1,20))+1,20))),"")))</f>
        <v/>
      </c>
      <c r="J1081">
        <f>IF($F1081="","",IF(OR($G1081="",$H1081="",$I1081="",$G1081&lt;1300,$G1081&gt;1500,$H1081&lt;1,$H1081&gt;12,$I1081&lt;1,$I1081&gt;31),"نامعتبر",RIGHT("0000"&amp;$G1081,4)&amp;"/"&amp;RIGHT("00"&amp;$H1081,2)&amp;"/"&amp;RIGHT("00"&amp;$I1081,2)))</f>
        <v/>
      </c>
      <c r="K1081">
        <f>IF(OR($F1081="",$J1081="",$J1081="نامعتبر"),"",LEFT($J1081,4)&amp;MID($J1081,6,2)&amp;RIGHT($J1081,2)&amp;$N1081&amp;"|"&amp;"2"&amp;RIGHT("00000"&amp;1076,5))</f>
        <v/>
      </c>
      <c r="L1081">
        <f>IF($K1081="","",COUNTIFS(LdgPartyA,$F1081,LdgKeyA,"&lt;"&amp;$K1081)+COUNTIFS(LdgPartyB,$F1081,LdgKeyB,"&lt;"&amp;$K1081)+1)</f>
        <v/>
      </c>
      <c r="M1081">
        <f>IF($L1081="","",$F1081&amp;"|"&amp;RIGHT("000000"&amp;$L1081,6))</f>
        <v/>
      </c>
      <c r="N1081">
        <f>IF($F1081="","",IF(Sync!$AH1081="","0000",IF(AND(ISNUMBER(Sync!$AH1081),Sync!$AH1081&gt;=0,Sync!$AH1081&lt;1),RIGHT("00"&amp;HOUR(Sync!$AH1081),2)&amp;RIGHT("00"&amp;MINUTE(Sync!$AH1081),2),IFERROR(RIGHT("00"&amp;VALUE(LEFT(Sync!$AH1081,FIND(":",Sync!$AH1081)-1)),2)&amp;RIGHT("00"&amp;VALUE(MID(Sync!$AH1081,FIND(":",Sync!$AH1081)+1,2)),2),"0000"))))</f>
        <v/>
      </c>
    </row>
    <row r="1082">
      <c r="A1082">
        <f>IF(OR(Calc!$E1085="",Calc!$E1085="نامعتبر",Calc!$G1085="",Calc!$I1085&lt;&gt;"خرید"),"",Calc!$G1085)</f>
        <v/>
      </c>
      <c r="B1082">
        <f>IF($A1082="","",LEFT(Calc!$E1085,4)&amp;MID(Calc!$E1085,6,2)&amp;RIGHT(Calc!$E1085,2)&amp;Calc!$R1085&amp;"|"&amp;"1"&amp;RIGHT("00000"&amp;1077,5))</f>
        <v/>
      </c>
      <c r="C1082">
        <f>IF($B1082="","",COUNTIFS(LdgPartyA,$A1082,LdgKeyA,"&lt;"&amp;$B1082)+COUNTIFS(LdgPartyB,$A1082,LdgKeyB,"&lt;"&amp;$B1082)+1)</f>
        <v/>
      </c>
      <c r="D1082">
        <f>IF($C1082="","",$A1082&amp;"|"&amp;RIGHT("000000"&amp;$C1082,6))</f>
        <v/>
      </c>
      <c r="F1082">
        <f>IF(Sync!$AJ1082="","",Sync!$AJ1082)</f>
        <v/>
      </c>
      <c r="G1082">
        <f>IF($F1082="","",IF(Sync!$AG1082="","",IF(ISNUMBER(Sync!$AG1082),IF(AND(Sync!$AG1082&gt;=10000101,Sync!$AG1082&lt;=99991231),INT(Sync!$AG1082/10000),""),IFERROR(VALUE(TRIM(LEFT(Sync!$AG1082,FIND("/",Sync!$AG1082)-1))),""))))</f>
        <v/>
      </c>
      <c r="H1082">
        <f>IF(OR($F1082="",$G1082=""),"",IF(ISNUMBER(Sync!$AG1082),INT(MOD(Sync!$AG1082,10000)/100),IFERROR(VALUE(TRIM(LEFT(MID(Sync!$AG1082,FIND("/",Sync!$AG1082)+1,20),FIND("/",MID(Sync!$AG1082,FIND("/",Sync!$AG1082)+1,20))-1))),"")))</f>
        <v/>
      </c>
      <c r="I1082">
        <f>IF(OR($F1082="",$G1082=""),"",IF(ISNUMBER(Sync!$AG1082),MOD(Sync!$AG1082,100),IFERROR(VALUE(TRIM(MID(MID(Sync!$AG1082,FIND("/",Sync!$AG1082)+1,20),FIND("/",MID(Sync!$AG1082,FIND("/",Sync!$AG1082)+1,20))+1,20))),"")))</f>
        <v/>
      </c>
      <c r="J1082">
        <f>IF($F1082="","",IF(OR($G1082="",$H1082="",$I1082="",$G1082&lt;1300,$G1082&gt;1500,$H1082&lt;1,$H1082&gt;12,$I1082&lt;1,$I1082&gt;31),"نامعتبر",RIGHT("0000"&amp;$G1082,4)&amp;"/"&amp;RIGHT("00"&amp;$H1082,2)&amp;"/"&amp;RIGHT("00"&amp;$I1082,2)))</f>
        <v/>
      </c>
      <c r="K1082">
        <f>IF(OR($F1082="",$J1082="",$J1082="نامعتبر"),"",LEFT($J1082,4)&amp;MID($J1082,6,2)&amp;RIGHT($J1082,2)&amp;$N1082&amp;"|"&amp;"2"&amp;RIGHT("00000"&amp;1077,5))</f>
        <v/>
      </c>
      <c r="L1082">
        <f>IF($K1082="","",COUNTIFS(LdgPartyA,$F1082,LdgKeyA,"&lt;"&amp;$K1082)+COUNTIFS(LdgPartyB,$F1082,LdgKeyB,"&lt;"&amp;$K1082)+1)</f>
        <v/>
      </c>
      <c r="M1082">
        <f>IF($L1082="","",$F1082&amp;"|"&amp;RIGHT("000000"&amp;$L1082,6))</f>
        <v/>
      </c>
      <c r="N1082">
        <f>IF($F1082="","",IF(Sync!$AH1082="","0000",IF(AND(ISNUMBER(Sync!$AH1082),Sync!$AH1082&gt;=0,Sync!$AH1082&lt;1),RIGHT("00"&amp;HOUR(Sync!$AH1082),2)&amp;RIGHT("00"&amp;MINUTE(Sync!$AH1082),2),IFERROR(RIGHT("00"&amp;VALUE(LEFT(Sync!$AH1082,FIND(":",Sync!$AH1082)-1)),2)&amp;RIGHT("00"&amp;VALUE(MID(Sync!$AH1082,FIND(":",Sync!$AH1082)+1,2)),2),"0000"))))</f>
        <v/>
      </c>
    </row>
    <row r="1083">
      <c r="A1083">
        <f>IF(OR(Calc!$E1086="",Calc!$E1086="نامعتبر",Calc!$G1086="",Calc!$I1086&lt;&gt;"خرید"),"",Calc!$G1086)</f>
        <v/>
      </c>
      <c r="B1083">
        <f>IF($A1083="","",LEFT(Calc!$E1086,4)&amp;MID(Calc!$E1086,6,2)&amp;RIGHT(Calc!$E1086,2)&amp;Calc!$R1086&amp;"|"&amp;"1"&amp;RIGHT("00000"&amp;1078,5))</f>
        <v/>
      </c>
      <c r="C1083">
        <f>IF($B1083="","",COUNTIFS(LdgPartyA,$A1083,LdgKeyA,"&lt;"&amp;$B1083)+COUNTIFS(LdgPartyB,$A1083,LdgKeyB,"&lt;"&amp;$B1083)+1)</f>
        <v/>
      </c>
      <c r="D1083">
        <f>IF($C1083="","",$A1083&amp;"|"&amp;RIGHT("000000"&amp;$C1083,6))</f>
        <v/>
      </c>
      <c r="F1083">
        <f>IF(Sync!$AJ1083="","",Sync!$AJ1083)</f>
        <v/>
      </c>
      <c r="G1083">
        <f>IF($F1083="","",IF(Sync!$AG1083="","",IF(ISNUMBER(Sync!$AG1083),IF(AND(Sync!$AG1083&gt;=10000101,Sync!$AG1083&lt;=99991231),INT(Sync!$AG1083/10000),""),IFERROR(VALUE(TRIM(LEFT(Sync!$AG1083,FIND("/",Sync!$AG1083)-1))),""))))</f>
        <v/>
      </c>
      <c r="H1083">
        <f>IF(OR($F1083="",$G1083=""),"",IF(ISNUMBER(Sync!$AG1083),INT(MOD(Sync!$AG1083,10000)/100),IFERROR(VALUE(TRIM(LEFT(MID(Sync!$AG1083,FIND("/",Sync!$AG1083)+1,20),FIND("/",MID(Sync!$AG1083,FIND("/",Sync!$AG1083)+1,20))-1))),"")))</f>
        <v/>
      </c>
      <c r="I1083">
        <f>IF(OR($F1083="",$G1083=""),"",IF(ISNUMBER(Sync!$AG1083),MOD(Sync!$AG1083,100),IFERROR(VALUE(TRIM(MID(MID(Sync!$AG1083,FIND("/",Sync!$AG1083)+1,20),FIND("/",MID(Sync!$AG1083,FIND("/",Sync!$AG1083)+1,20))+1,20))),"")))</f>
        <v/>
      </c>
      <c r="J1083">
        <f>IF($F1083="","",IF(OR($G1083="",$H1083="",$I1083="",$G1083&lt;1300,$G1083&gt;1500,$H1083&lt;1,$H1083&gt;12,$I1083&lt;1,$I1083&gt;31),"نامعتبر",RIGHT("0000"&amp;$G1083,4)&amp;"/"&amp;RIGHT("00"&amp;$H1083,2)&amp;"/"&amp;RIGHT("00"&amp;$I1083,2)))</f>
        <v/>
      </c>
      <c r="K1083">
        <f>IF(OR($F1083="",$J1083="",$J1083="نامعتبر"),"",LEFT($J1083,4)&amp;MID($J1083,6,2)&amp;RIGHT($J1083,2)&amp;$N1083&amp;"|"&amp;"2"&amp;RIGHT("00000"&amp;1078,5))</f>
        <v/>
      </c>
      <c r="L1083">
        <f>IF($K1083="","",COUNTIFS(LdgPartyA,$F1083,LdgKeyA,"&lt;"&amp;$K1083)+COUNTIFS(LdgPartyB,$F1083,LdgKeyB,"&lt;"&amp;$K1083)+1)</f>
        <v/>
      </c>
      <c r="M1083">
        <f>IF($L1083="","",$F1083&amp;"|"&amp;RIGHT("000000"&amp;$L1083,6))</f>
        <v/>
      </c>
      <c r="N1083">
        <f>IF($F1083="","",IF(Sync!$AH1083="","0000",IF(AND(ISNUMBER(Sync!$AH1083),Sync!$AH1083&gt;=0,Sync!$AH1083&lt;1),RIGHT("00"&amp;HOUR(Sync!$AH1083),2)&amp;RIGHT("00"&amp;MINUTE(Sync!$AH1083),2),IFERROR(RIGHT("00"&amp;VALUE(LEFT(Sync!$AH1083,FIND(":",Sync!$AH1083)-1)),2)&amp;RIGHT("00"&amp;VALUE(MID(Sync!$AH1083,FIND(":",Sync!$AH1083)+1,2)),2),"0000"))))</f>
        <v/>
      </c>
    </row>
    <row r="1084">
      <c r="A1084">
        <f>IF(OR(Calc!$E1087="",Calc!$E1087="نامعتبر",Calc!$G1087="",Calc!$I1087&lt;&gt;"خرید"),"",Calc!$G1087)</f>
        <v/>
      </c>
      <c r="B1084">
        <f>IF($A1084="","",LEFT(Calc!$E1087,4)&amp;MID(Calc!$E1087,6,2)&amp;RIGHT(Calc!$E1087,2)&amp;Calc!$R1087&amp;"|"&amp;"1"&amp;RIGHT("00000"&amp;1079,5))</f>
        <v/>
      </c>
      <c r="C1084">
        <f>IF($B1084="","",COUNTIFS(LdgPartyA,$A1084,LdgKeyA,"&lt;"&amp;$B1084)+COUNTIFS(LdgPartyB,$A1084,LdgKeyB,"&lt;"&amp;$B1084)+1)</f>
        <v/>
      </c>
      <c r="D1084">
        <f>IF($C1084="","",$A1084&amp;"|"&amp;RIGHT("000000"&amp;$C1084,6))</f>
        <v/>
      </c>
      <c r="F1084">
        <f>IF(Sync!$AJ1084="","",Sync!$AJ1084)</f>
        <v/>
      </c>
      <c r="G1084">
        <f>IF($F1084="","",IF(Sync!$AG1084="","",IF(ISNUMBER(Sync!$AG1084),IF(AND(Sync!$AG1084&gt;=10000101,Sync!$AG1084&lt;=99991231),INT(Sync!$AG1084/10000),""),IFERROR(VALUE(TRIM(LEFT(Sync!$AG1084,FIND("/",Sync!$AG1084)-1))),""))))</f>
        <v/>
      </c>
      <c r="H1084">
        <f>IF(OR($F1084="",$G1084=""),"",IF(ISNUMBER(Sync!$AG1084),INT(MOD(Sync!$AG1084,10000)/100),IFERROR(VALUE(TRIM(LEFT(MID(Sync!$AG1084,FIND("/",Sync!$AG1084)+1,20),FIND("/",MID(Sync!$AG1084,FIND("/",Sync!$AG1084)+1,20))-1))),"")))</f>
        <v/>
      </c>
      <c r="I1084">
        <f>IF(OR($F1084="",$G1084=""),"",IF(ISNUMBER(Sync!$AG1084),MOD(Sync!$AG1084,100),IFERROR(VALUE(TRIM(MID(MID(Sync!$AG1084,FIND("/",Sync!$AG1084)+1,20),FIND("/",MID(Sync!$AG1084,FIND("/",Sync!$AG1084)+1,20))+1,20))),"")))</f>
        <v/>
      </c>
      <c r="J1084">
        <f>IF($F1084="","",IF(OR($G1084="",$H1084="",$I1084="",$G1084&lt;1300,$G1084&gt;1500,$H1084&lt;1,$H1084&gt;12,$I1084&lt;1,$I1084&gt;31),"نامعتبر",RIGHT("0000"&amp;$G1084,4)&amp;"/"&amp;RIGHT("00"&amp;$H1084,2)&amp;"/"&amp;RIGHT("00"&amp;$I1084,2)))</f>
        <v/>
      </c>
      <c r="K1084">
        <f>IF(OR($F1084="",$J1084="",$J1084="نامعتبر"),"",LEFT($J1084,4)&amp;MID($J1084,6,2)&amp;RIGHT($J1084,2)&amp;$N1084&amp;"|"&amp;"2"&amp;RIGHT("00000"&amp;1079,5))</f>
        <v/>
      </c>
      <c r="L1084">
        <f>IF($K1084="","",COUNTIFS(LdgPartyA,$F1084,LdgKeyA,"&lt;"&amp;$K1084)+COUNTIFS(LdgPartyB,$F1084,LdgKeyB,"&lt;"&amp;$K1084)+1)</f>
        <v/>
      </c>
      <c r="M1084">
        <f>IF($L1084="","",$F1084&amp;"|"&amp;RIGHT("000000"&amp;$L1084,6))</f>
        <v/>
      </c>
      <c r="N1084">
        <f>IF($F1084="","",IF(Sync!$AH1084="","0000",IF(AND(ISNUMBER(Sync!$AH1084),Sync!$AH1084&gt;=0,Sync!$AH1084&lt;1),RIGHT("00"&amp;HOUR(Sync!$AH1084),2)&amp;RIGHT("00"&amp;MINUTE(Sync!$AH1084),2),IFERROR(RIGHT("00"&amp;VALUE(LEFT(Sync!$AH1084,FIND(":",Sync!$AH1084)-1)),2)&amp;RIGHT("00"&amp;VALUE(MID(Sync!$AH1084,FIND(":",Sync!$AH1084)+1,2)),2),"0000"))))</f>
        <v/>
      </c>
    </row>
    <row r="1085">
      <c r="A1085">
        <f>IF(OR(Calc!$E1088="",Calc!$E1088="نامعتبر",Calc!$G1088="",Calc!$I1088&lt;&gt;"خرید"),"",Calc!$G1088)</f>
        <v/>
      </c>
      <c r="B1085">
        <f>IF($A1085="","",LEFT(Calc!$E1088,4)&amp;MID(Calc!$E1088,6,2)&amp;RIGHT(Calc!$E1088,2)&amp;Calc!$R1088&amp;"|"&amp;"1"&amp;RIGHT("00000"&amp;1080,5))</f>
        <v/>
      </c>
      <c r="C1085">
        <f>IF($B1085="","",COUNTIFS(LdgPartyA,$A1085,LdgKeyA,"&lt;"&amp;$B1085)+COUNTIFS(LdgPartyB,$A1085,LdgKeyB,"&lt;"&amp;$B1085)+1)</f>
        <v/>
      </c>
      <c r="D1085">
        <f>IF($C1085="","",$A1085&amp;"|"&amp;RIGHT("000000"&amp;$C1085,6))</f>
        <v/>
      </c>
      <c r="F1085">
        <f>IF(Sync!$AJ1085="","",Sync!$AJ1085)</f>
        <v/>
      </c>
      <c r="G1085">
        <f>IF($F1085="","",IF(Sync!$AG1085="","",IF(ISNUMBER(Sync!$AG1085),IF(AND(Sync!$AG1085&gt;=10000101,Sync!$AG1085&lt;=99991231),INT(Sync!$AG1085/10000),""),IFERROR(VALUE(TRIM(LEFT(Sync!$AG1085,FIND("/",Sync!$AG1085)-1))),""))))</f>
        <v/>
      </c>
      <c r="H1085">
        <f>IF(OR($F1085="",$G1085=""),"",IF(ISNUMBER(Sync!$AG1085),INT(MOD(Sync!$AG1085,10000)/100),IFERROR(VALUE(TRIM(LEFT(MID(Sync!$AG1085,FIND("/",Sync!$AG1085)+1,20),FIND("/",MID(Sync!$AG1085,FIND("/",Sync!$AG1085)+1,20))-1))),"")))</f>
        <v/>
      </c>
      <c r="I1085">
        <f>IF(OR($F1085="",$G1085=""),"",IF(ISNUMBER(Sync!$AG1085),MOD(Sync!$AG1085,100),IFERROR(VALUE(TRIM(MID(MID(Sync!$AG1085,FIND("/",Sync!$AG1085)+1,20),FIND("/",MID(Sync!$AG1085,FIND("/",Sync!$AG1085)+1,20))+1,20))),"")))</f>
        <v/>
      </c>
      <c r="J1085">
        <f>IF($F1085="","",IF(OR($G1085="",$H1085="",$I1085="",$G1085&lt;1300,$G1085&gt;1500,$H1085&lt;1,$H1085&gt;12,$I1085&lt;1,$I1085&gt;31),"نامعتبر",RIGHT("0000"&amp;$G1085,4)&amp;"/"&amp;RIGHT("00"&amp;$H1085,2)&amp;"/"&amp;RIGHT("00"&amp;$I1085,2)))</f>
        <v/>
      </c>
      <c r="K1085">
        <f>IF(OR($F1085="",$J1085="",$J1085="نامعتبر"),"",LEFT($J1085,4)&amp;MID($J1085,6,2)&amp;RIGHT($J1085,2)&amp;$N1085&amp;"|"&amp;"2"&amp;RIGHT("00000"&amp;1080,5))</f>
        <v/>
      </c>
      <c r="L1085">
        <f>IF($K1085="","",COUNTIFS(LdgPartyA,$F1085,LdgKeyA,"&lt;"&amp;$K1085)+COUNTIFS(LdgPartyB,$F1085,LdgKeyB,"&lt;"&amp;$K1085)+1)</f>
        <v/>
      </c>
      <c r="M1085">
        <f>IF($L1085="","",$F1085&amp;"|"&amp;RIGHT("000000"&amp;$L1085,6))</f>
        <v/>
      </c>
      <c r="N1085">
        <f>IF($F1085="","",IF(Sync!$AH1085="","0000",IF(AND(ISNUMBER(Sync!$AH1085),Sync!$AH1085&gt;=0,Sync!$AH1085&lt;1),RIGHT("00"&amp;HOUR(Sync!$AH1085),2)&amp;RIGHT("00"&amp;MINUTE(Sync!$AH1085),2),IFERROR(RIGHT("00"&amp;VALUE(LEFT(Sync!$AH1085,FIND(":",Sync!$AH1085)-1)),2)&amp;RIGHT("00"&amp;VALUE(MID(Sync!$AH1085,FIND(":",Sync!$AH1085)+1,2)),2),"0000"))))</f>
        <v/>
      </c>
    </row>
    <row r="1086">
      <c r="A1086">
        <f>IF(OR(Calc!$E1089="",Calc!$E1089="نامعتبر",Calc!$G1089="",Calc!$I1089&lt;&gt;"خرید"),"",Calc!$G1089)</f>
        <v/>
      </c>
      <c r="B1086">
        <f>IF($A1086="","",LEFT(Calc!$E1089,4)&amp;MID(Calc!$E1089,6,2)&amp;RIGHT(Calc!$E1089,2)&amp;Calc!$R1089&amp;"|"&amp;"1"&amp;RIGHT("00000"&amp;1081,5))</f>
        <v/>
      </c>
      <c r="C1086">
        <f>IF($B1086="","",COUNTIFS(LdgPartyA,$A1086,LdgKeyA,"&lt;"&amp;$B1086)+COUNTIFS(LdgPartyB,$A1086,LdgKeyB,"&lt;"&amp;$B1086)+1)</f>
        <v/>
      </c>
      <c r="D1086">
        <f>IF($C1086="","",$A1086&amp;"|"&amp;RIGHT("000000"&amp;$C1086,6))</f>
        <v/>
      </c>
      <c r="F1086">
        <f>IF(Sync!$AJ1086="","",Sync!$AJ1086)</f>
        <v/>
      </c>
      <c r="G1086">
        <f>IF($F1086="","",IF(Sync!$AG1086="","",IF(ISNUMBER(Sync!$AG1086),IF(AND(Sync!$AG1086&gt;=10000101,Sync!$AG1086&lt;=99991231),INT(Sync!$AG1086/10000),""),IFERROR(VALUE(TRIM(LEFT(Sync!$AG1086,FIND("/",Sync!$AG1086)-1))),""))))</f>
        <v/>
      </c>
      <c r="H1086">
        <f>IF(OR($F1086="",$G1086=""),"",IF(ISNUMBER(Sync!$AG1086),INT(MOD(Sync!$AG1086,10000)/100),IFERROR(VALUE(TRIM(LEFT(MID(Sync!$AG1086,FIND("/",Sync!$AG1086)+1,20),FIND("/",MID(Sync!$AG1086,FIND("/",Sync!$AG1086)+1,20))-1))),"")))</f>
        <v/>
      </c>
      <c r="I1086">
        <f>IF(OR($F1086="",$G1086=""),"",IF(ISNUMBER(Sync!$AG1086),MOD(Sync!$AG1086,100),IFERROR(VALUE(TRIM(MID(MID(Sync!$AG1086,FIND("/",Sync!$AG1086)+1,20),FIND("/",MID(Sync!$AG1086,FIND("/",Sync!$AG1086)+1,20))+1,20))),"")))</f>
        <v/>
      </c>
      <c r="J1086">
        <f>IF($F1086="","",IF(OR($G1086="",$H1086="",$I1086="",$G1086&lt;1300,$G1086&gt;1500,$H1086&lt;1,$H1086&gt;12,$I1086&lt;1,$I1086&gt;31),"نامعتبر",RIGHT("0000"&amp;$G1086,4)&amp;"/"&amp;RIGHT("00"&amp;$H1086,2)&amp;"/"&amp;RIGHT("00"&amp;$I1086,2)))</f>
        <v/>
      </c>
      <c r="K1086">
        <f>IF(OR($F1086="",$J1086="",$J1086="نامعتبر"),"",LEFT($J1086,4)&amp;MID($J1086,6,2)&amp;RIGHT($J1086,2)&amp;$N1086&amp;"|"&amp;"2"&amp;RIGHT("00000"&amp;1081,5))</f>
        <v/>
      </c>
      <c r="L1086">
        <f>IF($K1086="","",COUNTIFS(LdgPartyA,$F1086,LdgKeyA,"&lt;"&amp;$K1086)+COUNTIFS(LdgPartyB,$F1086,LdgKeyB,"&lt;"&amp;$K1086)+1)</f>
        <v/>
      </c>
      <c r="M1086">
        <f>IF($L1086="","",$F1086&amp;"|"&amp;RIGHT("000000"&amp;$L1086,6))</f>
        <v/>
      </c>
      <c r="N1086">
        <f>IF($F1086="","",IF(Sync!$AH1086="","0000",IF(AND(ISNUMBER(Sync!$AH1086),Sync!$AH1086&gt;=0,Sync!$AH1086&lt;1),RIGHT("00"&amp;HOUR(Sync!$AH1086),2)&amp;RIGHT("00"&amp;MINUTE(Sync!$AH1086),2),IFERROR(RIGHT("00"&amp;VALUE(LEFT(Sync!$AH1086,FIND(":",Sync!$AH1086)-1)),2)&amp;RIGHT("00"&amp;VALUE(MID(Sync!$AH1086,FIND(":",Sync!$AH1086)+1,2)),2),"0000"))))</f>
        <v/>
      </c>
    </row>
    <row r="1087">
      <c r="A1087">
        <f>IF(OR(Calc!$E1090="",Calc!$E1090="نامعتبر",Calc!$G1090="",Calc!$I1090&lt;&gt;"خرید"),"",Calc!$G1090)</f>
        <v/>
      </c>
      <c r="B1087">
        <f>IF($A1087="","",LEFT(Calc!$E1090,4)&amp;MID(Calc!$E1090,6,2)&amp;RIGHT(Calc!$E1090,2)&amp;Calc!$R1090&amp;"|"&amp;"1"&amp;RIGHT("00000"&amp;1082,5))</f>
        <v/>
      </c>
      <c r="C1087">
        <f>IF($B1087="","",COUNTIFS(LdgPartyA,$A1087,LdgKeyA,"&lt;"&amp;$B1087)+COUNTIFS(LdgPartyB,$A1087,LdgKeyB,"&lt;"&amp;$B1087)+1)</f>
        <v/>
      </c>
      <c r="D1087">
        <f>IF($C1087="","",$A1087&amp;"|"&amp;RIGHT("000000"&amp;$C1087,6))</f>
        <v/>
      </c>
      <c r="F1087">
        <f>IF(Sync!$AJ1087="","",Sync!$AJ1087)</f>
        <v/>
      </c>
      <c r="G1087">
        <f>IF($F1087="","",IF(Sync!$AG1087="","",IF(ISNUMBER(Sync!$AG1087),IF(AND(Sync!$AG1087&gt;=10000101,Sync!$AG1087&lt;=99991231),INT(Sync!$AG1087/10000),""),IFERROR(VALUE(TRIM(LEFT(Sync!$AG1087,FIND("/",Sync!$AG1087)-1))),""))))</f>
        <v/>
      </c>
      <c r="H1087">
        <f>IF(OR($F1087="",$G1087=""),"",IF(ISNUMBER(Sync!$AG1087),INT(MOD(Sync!$AG1087,10000)/100),IFERROR(VALUE(TRIM(LEFT(MID(Sync!$AG1087,FIND("/",Sync!$AG1087)+1,20),FIND("/",MID(Sync!$AG1087,FIND("/",Sync!$AG1087)+1,20))-1))),"")))</f>
        <v/>
      </c>
      <c r="I1087">
        <f>IF(OR($F1087="",$G1087=""),"",IF(ISNUMBER(Sync!$AG1087),MOD(Sync!$AG1087,100),IFERROR(VALUE(TRIM(MID(MID(Sync!$AG1087,FIND("/",Sync!$AG1087)+1,20),FIND("/",MID(Sync!$AG1087,FIND("/",Sync!$AG1087)+1,20))+1,20))),"")))</f>
        <v/>
      </c>
      <c r="J1087">
        <f>IF($F1087="","",IF(OR($G1087="",$H1087="",$I1087="",$G1087&lt;1300,$G1087&gt;1500,$H1087&lt;1,$H1087&gt;12,$I1087&lt;1,$I1087&gt;31),"نامعتبر",RIGHT("0000"&amp;$G1087,4)&amp;"/"&amp;RIGHT("00"&amp;$H1087,2)&amp;"/"&amp;RIGHT("00"&amp;$I1087,2)))</f>
        <v/>
      </c>
      <c r="K1087">
        <f>IF(OR($F1087="",$J1087="",$J1087="نامعتبر"),"",LEFT($J1087,4)&amp;MID($J1087,6,2)&amp;RIGHT($J1087,2)&amp;$N1087&amp;"|"&amp;"2"&amp;RIGHT("00000"&amp;1082,5))</f>
        <v/>
      </c>
      <c r="L1087">
        <f>IF($K1087="","",COUNTIFS(LdgPartyA,$F1087,LdgKeyA,"&lt;"&amp;$K1087)+COUNTIFS(LdgPartyB,$F1087,LdgKeyB,"&lt;"&amp;$K1087)+1)</f>
        <v/>
      </c>
      <c r="M1087">
        <f>IF($L1087="","",$F1087&amp;"|"&amp;RIGHT("000000"&amp;$L1087,6))</f>
        <v/>
      </c>
      <c r="N1087">
        <f>IF($F1087="","",IF(Sync!$AH1087="","0000",IF(AND(ISNUMBER(Sync!$AH1087),Sync!$AH1087&gt;=0,Sync!$AH1087&lt;1),RIGHT("00"&amp;HOUR(Sync!$AH1087),2)&amp;RIGHT("00"&amp;MINUTE(Sync!$AH1087),2),IFERROR(RIGHT("00"&amp;VALUE(LEFT(Sync!$AH1087,FIND(":",Sync!$AH1087)-1)),2)&amp;RIGHT("00"&amp;VALUE(MID(Sync!$AH1087,FIND(":",Sync!$AH1087)+1,2)),2),"0000"))))</f>
        <v/>
      </c>
    </row>
    <row r="1088">
      <c r="A1088">
        <f>IF(OR(Calc!$E1091="",Calc!$E1091="نامعتبر",Calc!$G1091="",Calc!$I1091&lt;&gt;"خرید"),"",Calc!$G1091)</f>
        <v/>
      </c>
      <c r="B1088">
        <f>IF($A1088="","",LEFT(Calc!$E1091,4)&amp;MID(Calc!$E1091,6,2)&amp;RIGHT(Calc!$E1091,2)&amp;Calc!$R1091&amp;"|"&amp;"1"&amp;RIGHT("00000"&amp;1083,5))</f>
        <v/>
      </c>
      <c r="C1088">
        <f>IF($B1088="","",COUNTIFS(LdgPartyA,$A1088,LdgKeyA,"&lt;"&amp;$B1088)+COUNTIFS(LdgPartyB,$A1088,LdgKeyB,"&lt;"&amp;$B1088)+1)</f>
        <v/>
      </c>
      <c r="D1088">
        <f>IF($C1088="","",$A1088&amp;"|"&amp;RIGHT("000000"&amp;$C1088,6))</f>
        <v/>
      </c>
      <c r="F1088">
        <f>IF(Sync!$AJ1088="","",Sync!$AJ1088)</f>
        <v/>
      </c>
      <c r="G1088">
        <f>IF($F1088="","",IF(Sync!$AG1088="","",IF(ISNUMBER(Sync!$AG1088),IF(AND(Sync!$AG1088&gt;=10000101,Sync!$AG1088&lt;=99991231),INT(Sync!$AG1088/10000),""),IFERROR(VALUE(TRIM(LEFT(Sync!$AG1088,FIND("/",Sync!$AG1088)-1))),""))))</f>
        <v/>
      </c>
      <c r="H1088">
        <f>IF(OR($F1088="",$G1088=""),"",IF(ISNUMBER(Sync!$AG1088),INT(MOD(Sync!$AG1088,10000)/100),IFERROR(VALUE(TRIM(LEFT(MID(Sync!$AG1088,FIND("/",Sync!$AG1088)+1,20),FIND("/",MID(Sync!$AG1088,FIND("/",Sync!$AG1088)+1,20))-1))),"")))</f>
        <v/>
      </c>
      <c r="I1088">
        <f>IF(OR($F1088="",$G1088=""),"",IF(ISNUMBER(Sync!$AG1088),MOD(Sync!$AG1088,100),IFERROR(VALUE(TRIM(MID(MID(Sync!$AG1088,FIND("/",Sync!$AG1088)+1,20),FIND("/",MID(Sync!$AG1088,FIND("/",Sync!$AG1088)+1,20))+1,20))),"")))</f>
        <v/>
      </c>
      <c r="J1088">
        <f>IF($F1088="","",IF(OR($G1088="",$H1088="",$I1088="",$G1088&lt;1300,$G1088&gt;1500,$H1088&lt;1,$H1088&gt;12,$I1088&lt;1,$I1088&gt;31),"نامعتبر",RIGHT("0000"&amp;$G1088,4)&amp;"/"&amp;RIGHT("00"&amp;$H1088,2)&amp;"/"&amp;RIGHT("00"&amp;$I1088,2)))</f>
        <v/>
      </c>
      <c r="K1088">
        <f>IF(OR($F1088="",$J1088="",$J1088="نامعتبر"),"",LEFT($J1088,4)&amp;MID($J1088,6,2)&amp;RIGHT($J1088,2)&amp;$N1088&amp;"|"&amp;"2"&amp;RIGHT("00000"&amp;1083,5))</f>
        <v/>
      </c>
      <c r="L1088">
        <f>IF($K1088="","",COUNTIFS(LdgPartyA,$F1088,LdgKeyA,"&lt;"&amp;$K1088)+COUNTIFS(LdgPartyB,$F1088,LdgKeyB,"&lt;"&amp;$K1088)+1)</f>
        <v/>
      </c>
      <c r="M1088">
        <f>IF($L1088="","",$F1088&amp;"|"&amp;RIGHT("000000"&amp;$L1088,6))</f>
        <v/>
      </c>
      <c r="N1088">
        <f>IF($F1088="","",IF(Sync!$AH1088="","0000",IF(AND(ISNUMBER(Sync!$AH1088),Sync!$AH1088&gt;=0,Sync!$AH1088&lt;1),RIGHT("00"&amp;HOUR(Sync!$AH1088),2)&amp;RIGHT("00"&amp;MINUTE(Sync!$AH1088),2),IFERROR(RIGHT("00"&amp;VALUE(LEFT(Sync!$AH1088,FIND(":",Sync!$AH1088)-1)),2)&amp;RIGHT("00"&amp;VALUE(MID(Sync!$AH1088,FIND(":",Sync!$AH1088)+1,2)),2),"0000"))))</f>
        <v/>
      </c>
    </row>
    <row r="1089">
      <c r="A1089">
        <f>IF(OR(Calc!$E1092="",Calc!$E1092="نامعتبر",Calc!$G1092="",Calc!$I1092&lt;&gt;"خرید"),"",Calc!$G1092)</f>
        <v/>
      </c>
      <c r="B1089">
        <f>IF($A1089="","",LEFT(Calc!$E1092,4)&amp;MID(Calc!$E1092,6,2)&amp;RIGHT(Calc!$E1092,2)&amp;Calc!$R1092&amp;"|"&amp;"1"&amp;RIGHT("00000"&amp;1084,5))</f>
        <v/>
      </c>
      <c r="C1089">
        <f>IF($B1089="","",COUNTIFS(LdgPartyA,$A1089,LdgKeyA,"&lt;"&amp;$B1089)+COUNTIFS(LdgPartyB,$A1089,LdgKeyB,"&lt;"&amp;$B1089)+1)</f>
        <v/>
      </c>
      <c r="D1089">
        <f>IF($C1089="","",$A1089&amp;"|"&amp;RIGHT("000000"&amp;$C1089,6))</f>
        <v/>
      </c>
      <c r="F1089">
        <f>IF(Sync!$AJ1089="","",Sync!$AJ1089)</f>
        <v/>
      </c>
      <c r="G1089">
        <f>IF($F1089="","",IF(Sync!$AG1089="","",IF(ISNUMBER(Sync!$AG1089),IF(AND(Sync!$AG1089&gt;=10000101,Sync!$AG1089&lt;=99991231),INT(Sync!$AG1089/10000),""),IFERROR(VALUE(TRIM(LEFT(Sync!$AG1089,FIND("/",Sync!$AG1089)-1))),""))))</f>
        <v/>
      </c>
      <c r="H1089">
        <f>IF(OR($F1089="",$G1089=""),"",IF(ISNUMBER(Sync!$AG1089),INT(MOD(Sync!$AG1089,10000)/100),IFERROR(VALUE(TRIM(LEFT(MID(Sync!$AG1089,FIND("/",Sync!$AG1089)+1,20),FIND("/",MID(Sync!$AG1089,FIND("/",Sync!$AG1089)+1,20))-1))),"")))</f>
        <v/>
      </c>
      <c r="I1089">
        <f>IF(OR($F1089="",$G1089=""),"",IF(ISNUMBER(Sync!$AG1089),MOD(Sync!$AG1089,100),IFERROR(VALUE(TRIM(MID(MID(Sync!$AG1089,FIND("/",Sync!$AG1089)+1,20),FIND("/",MID(Sync!$AG1089,FIND("/",Sync!$AG1089)+1,20))+1,20))),"")))</f>
        <v/>
      </c>
      <c r="J1089">
        <f>IF($F1089="","",IF(OR($G1089="",$H1089="",$I1089="",$G1089&lt;1300,$G1089&gt;1500,$H1089&lt;1,$H1089&gt;12,$I1089&lt;1,$I1089&gt;31),"نامعتبر",RIGHT("0000"&amp;$G1089,4)&amp;"/"&amp;RIGHT("00"&amp;$H1089,2)&amp;"/"&amp;RIGHT("00"&amp;$I1089,2)))</f>
        <v/>
      </c>
      <c r="K1089">
        <f>IF(OR($F1089="",$J1089="",$J1089="نامعتبر"),"",LEFT($J1089,4)&amp;MID($J1089,6,2)&amp;RIGHT($J1089,2)&amp;$N1089&amp;"|"&amp;"2"&amp;RIGHT("00000"&amp;1084,5))</f>
        <v/>
      </c>
      <c r="L1089">
        <f>IF($K1089="","",COUNTIFS(LdgPartyA,$F1089,LdgKeyA,"&lt;"&amp;$K1089)+COUNTIFS(LdgPartyB,$F1089,LdgKeyB,"&lt;"&amp;$K1089)+1)</f>
        <v/>
      </c>
      <c r="M1089">
        <f>IF($L1089="","",$F1089&amp;"|"&amp;RIGHT("000000"&amp;$L1089,6))</f>
        <v/>
      </c>
      <c r="N1089">
        <f>IF($F1089="","",IF(Sync!$AH1089="","0000",IF(AND(ISNUMBER(Sync!$AH1089),Sync!$AH1089&gt;=0,Sync!$AH1089&lt;1),RIGHT("00"&amp;HOUR(Sync!$AH1089),2)&amp;RIGHT("00"&amp;MINUTE(Sync!$AH1089),2),IFERROR(RIGHT("00"&amp;VALUE(LEFT(Sync!$AH1089,FIND(":",Sync!$AH1089)-1)),2)&amp;RIGHT("00"&amp;VALUE(MID(Sync!$AH1089,FIND(":",Sync!$AH1089)+1,2)),2),"0000"))))</f>
        <v/>
      </c>
    </row>
    <row r="1090">
      <c r="A1090">
        <f>IF(OR(Calc!$E1093="",Calc!$E1093="نامعتبر",Calc!$G1093="",Calc!$I1093&lt;&gt;"خرید"),"",Calc!$G1093)</f>
        <v/>
      </c>
      <c r="B1090">
        <f>IF($A1090="","",LEFT(Calc!$E1093,4)&amp;MID(Calc!$E1093,6,2)&amp;RIGHT(Calc!$E1093,2)&amp;Calc!$R1093&amp;"|"&amp;"1"&amp;RIGHT("00000"&amp;1085,5))</f>
        <v/>
      </c>
      <c r="C1090">
        <f>IF($B1090="","",COUNTIFS(LdgPartyA,$A1090,LdgKeyA,"&lt;"&amp;$B1090)+COUNTIFS(LdgPartyB,$A1090,LdgKeyB,"&lt;"&amp;$B1090)+1)</f>
        <v/>
      </c>
      <c r="D1090">
        <f>IF($C1090="","",$A1090&amp;"|"&amp;RIGHT("000000"&amp;$C1090,6))</f>
        <v/>
      </c>
      <c r="F1090">
        <f>IF(Sync!$AJ1090="","",Sync!$AJ1090)</f>
        <v/>
      </c>
      <c r="G1090">
        <f>IF($F1090="","",IF(Sync!$AG1090="","",IF(ISNUMBER(Sync!$AG1090),IF(AND(Sync!$AG1090&gt;=10000101,Sync!$AG1090&lt;=99991231),INT(Sync!$AG1090/10000),""),IFERROR(VALUE(TRIM(LEFT(Sync!$AG1090,FIND("/",Sync!$AG1090)-1))),""))))</f>
        <v/>
      </c>
      <c r="H1090">
        <f>IF(OR($F1090="",$G1090=""),"",IF(ISNUMBER(Sync!$AG1090),INT(MOD(Sync!$AG1090,10000)/100),IFERROR(VALUE(TRIM(LEFT(MID(Sync!$AG1090,FIND("/",Sync!$AG1090)+1,20),FIND("/",MID(Sync!$AG1090,FIND("/",Sync!$AG1090)+1,20))-1))),"")))</f>
        <v/>
      </c>
      <c r="I1090">
        <f>IF(OR($F1090="",$G1090=""),"",IF(ISNUMBER(Sync!$AG1090),MOD(Sync!$AG1090,100),IFERROR(VALUE(TRIM(MID(MID(Sync!$AG1090,FIND("/",Sync!$AG1090)+1,20),FIND("/",MID(Sync!$AG1090,FIND("/",Sync!$AG1090)+1,20))+1,20))),"")))</f>
        <v/>
      </c>
      <c r="J1090">
        <f>IF($F1090="","",IF(OR($G1090="",$H1090="",$I1090="",$G1090&lt;1300,$G1090&gt;1500,$H1090&lt;1,$H1090&gt;12,$I1090&lt;1,$I1090&gt;31),"نامعتبر",RIGHT("0000"&amp;$G1090,4)&amp;"/"&amp;RIGHT("00"&amp;$H1090,2)&amp;"/"&amp;RIGHT("00"&amp;$I1090,2)))</f>
        <v/>
      </c>
      <c r="K1090">
        <f>IF(OR($F1090="",$J1090="",$J1090="نامعتبر"),"",LEFT($J1090,4)&amp;MID($J1090,6,2)&amp;RIGHT($J1090,2)&amp;$N1090&amp;"|"&amp;"2"&amp;RIGHT("00000"&amp;1085,5))</f>
        <v/>
      </c>
      <c r="L1090">
        <f>IF($K1090="","",COUNTIFS(LdgPartyA,$F1090,LdgKeyA,"&lt;"&amp;$K1090)+COUNTIFS(LdgPartyB,$F1090,LdgKeyB,"&lt;"&amp;$K1090)+1)</f>
        <v/>
      </c>
      <c r="M1090">
        <f>IF($L1090="","",$F1090&amp;"|"&amp;RIGHT("000000"&amp;$L1090,6))</f>
        <v/>
      </c>
      <c r="N1090">
        <f>IF($F1090="","",IF(Sync!$AH1090="","0000",IF(AND(ISNUMBER(Sync!$AH1090),Sync!$AH1090&gt;=0,Sync!$AH1090&lt;1),RIGHT("00"&amp;HOUR(Sync!$AH1090),2)&amp;RIGHT("00"&amp;MINUTE(Sync!$AH1090),2),IFERROR(RIGHT("00"&amp;VALUE(LEFT(Sync!$AH1090,FIND(":",Sync!$AH1090)-1)),2)&amp;RIGHT("00"&amp;VALUE(MID(Sync!$AH1090,FIND(":",Sync!$AH1090)+1,2)),2),"0000"))))</f>
        <v/>
      </c>
    </row>
    <row r="1091">
      <c r="A1091">
        <f>IF(OR(Calc!$E1094="",Calc!$E1094="نامعتبر",Calc!$G1094="",Calc!$I1094&lt;&gt;"خرید"),"",Calc!$G1094)</f>
        <v/>
      </c>
      <c r="B1091">
        <f>IF($A1091="","",LEFT(Calc!$E1094,4)&amp;MID(Calc!$E1094,6,2)&amp;RIGHT(Calc!$E1094,2)&amp;Calc!$R1094&amp;"|"&amp;"1"&amp;RIGHT("00000"&amp;1086,5))</f>
        <v/>
      </c>
      <c r="C1091">
        <f>IF($B1091="","",COUNTIFS(LdgPartyA,$A1091,LdgKeyA,"&lt;"&amp;$B1091)+COUNTIFS(LdgPartyB,$A1091,LdgKeyB,"&lt;"&amp;$B1091)+1)</f>
        <v/>
      </c>
      <c r="D1091">
        <f>IF($C1091="","",$A1091&amp;"|"&amp;RIGHT("000000"&amp;$C1091,6))</f>
        <v/>
      </c>
      <c r="F1091">
        <f>IF(Sync!$AJ1091="","",Sync!$AJ1091)</f>
        <v/>
      </c>
      <c r="G1091">
        <f>IF($F1091="","",IF(Sync!$AG1091="","",IF(ISNUMBER(Sync!$AG1091),IF(AND(Sync!$AG1091&gt;=10000101,Sync!$AG1091&lt;=99991231),INT(Sync!$AG1091/10000),""),IFERROR(VALUE(TRIM(LEFT(Sync!$AG1091,FIND("/",Sync!$AG1091)-1))),""))))</f>
        <v/>
      </c>
      <c r="H1091">
        <f>IF(OR($F1091="",$G1091=""),"",IF(ISNUMBER(Sync!$AG1091),INT(MOD(Sync!$AG1091,10000)/100),IFERROR(VALUE(TRIM(LEFT(MID(Sync!$AG1091,FIND("/",Sync!$AG1091)+1,20),FIND("/",MID(Sync!$AG1091,FIND("/",Sync!$AG1091)+1,20))-1))),"")))</f>
        <v/>
      </c>
      <c r="I1091">
        <f>IF(OR($F1091="",$G1091=""),"",IF(ISNUMBER(Sync!$AG1091),MOD(Sync!$AG1091,100),IFERROR(VALUE(TRIM(MID(MID(Sync!$AG1091,FIND("/",Sync!$AG1091)+1,20),FIND("/",MID(Sync!$AG1091,FIND("/",Sync!$AG1091)+1,20))+1,20))),"")))</f>
        <v/>
      </c>
      <c r="J1091">
        <f>IF($F1091="","",IF(OR($G1091="",$H1091="",$I1091="",$G1091&lt;1300,$G1091&gt;1500,$H1091&lt;1,$H1091&gt;12,$I1091&lt;1,$I1091&gt;31),"نامعتبر",RIGHT("0000"&amp;$G1091,4)&amp;"/"&amp;RIGHT("00"&amp;$H1091,2)&amp;"/"&amp;RIGHT("00"&amp;$I1091,2)))</f>
        <v/>
      </c>
      <c r="K1091">
        <f>IF(OR($F1091="",$J1091="",$J1091="نامعتبر"),"",LEFT($J1091,4)&amp;MID($J1091,6,2)&amp;RIGHT($J1091,2)&amp;$N1091&amp;"|"&amp;"2"&amp;RIGHT("00000"&amp;1086,5))</f>
        <v/>
      </c>
      <c r="L1091">
        <f>IF($K1091="","",COUNTIFS(LdgPartyA,$F1091,LdgKeyA,"&lt;"&amp;$K1091)+COUNTIFS(LdgPartyB,$F1091,LdgKeyB,"&lt;"&amp;$K1091)+1)</f>
        <v/>
      </c>
      <c r="M1091">
        <f>IF($L1091="","",$F1091&amp;"|"&amp;RIGHT("000000"&amp;$L1091,6))</f>
        <v/>
      </c>
      <c r="N1091">
        <f>IF($F1091="","",IF(Sync!$AH1091="","0000",IF(AND(ISNUMBER(Sync!$AH1091),Sync!$AH1091&gt;=0,Sync!$AH1091&lt;1),RIGHT("00"&amp;HOUR(Sync!$AH1091),2)&amp;RIGHT("00"&amp;MINUTE(Sync!$AH1091),2),IFERROR(RIGHT("00"&amp;VALUE(LEFT(Sync!$AH1091,FIND(":",Sync!$AH1091)-1)),2)&amp;RIGHT("00"&amp;VALUE(MID(Sync!$AH1091,FIND(":",Sync!$AH1091)+1,2)),2),"0000"))))</f>
        <v/>
      </c>
    </row>
    <row r="1092">
      <c r="A1092">
        <f>IF(OR(Calc!$E1095="",Calc!$E1095="نامعتبر",Calc!$G1095="",Calc!$I1095&lt;&gt;"خرید"),"",Calc!$G1095)</f>
        <v/>
      </c>
      <c r="B1092">
        <f>IF($A1092="","",LEFT(Calc!$E1095,4)&amp;MID(Calc!$E1095,6,2)&amp;RIGHT(Calc!$E1095,2)&amp;Calc!$R1095&amp;"|"&amp;"1"&amp;RIGHT("00000"&amp;1087,5))</f>
        <v/>
      </c>
      <c r="C1092">
        <f>IF($B1092="","",COUNTIFS(LdgPartyA,$A1092,LdgKeyA,"&lt;"&amp;$B1092)+COUNTIFS(LdgPartyB,$A1092,LdgKeyB,"&lt;"&amp;$B1092)+1)</f>
        <v/>
      </c>
      <c r="D1092">
        <f>IF($C1092="","",$A1092&amp;"|"&amp;RIGHT("000000"&amp;$C1092,6))</f>
        <v/>
      </c>
      <c r="F1092">
        <f>IF(Sync!$AJ1092="","",Sync!$AJ1092)</f>
        <v/>
      </c>
      <c r="G1092">
        <f>IF($F1092="","",IF(Sync!$AG1092="","",IF(ISNUMBER(Sync!$AG1092),IF(AND(Sync!$AG1092&gt;=10000101,Sync!$AG1092&lt;=99991231),INT(Sync!$AG1092/10000),""),IFERROR(VALUE(TRIM(LEFT(Sync!$AG1092,FIND("/",Sync!$AG1092)-1))),""))))</f>
        <v/>
      </c>
      <c r="H1092">
        <f>IF(OR($F1092="",$G1092=""),"",IF(ISNUMBER(Sync!$AG1092),INT(MOD(Sync!$AG1092,10000)/100),IFERROR(VALUE(TRIM(LEFT(MID(Sync!$AG1092,FIND("/",Sync!$AG1092)+1,20),FIND("/",MID(Sync!$AG1092,FIND("/",Sync!$AG1092)+1,20))-1))),"")))</f>
        <v/>
      </c>
      <c r="I1092">
        <f>IF(OR($F1092="",$G1092=""),"",IF(ISNUMBER(Sync!$AG1092),MOD(Sync!$AG1092,100),IFERROR(VALUE(TRIM(MID(MID(Sync!$AG1092,FIND("/",Sync!$AG1092)+1,20),FIND("/",MID(Sync!$AG1092,FIND("/",Sync!$AG1092)+1,20))+1,20))),"")))</f>
        <v/>
      </c>
      <c r="J1092">
        <f>IF($F1092="","",IF(OR($G1092="",$H1092="",$I1092="",$G1092&lt;1300,$G1092&gt;1500,$H1092&lt;1,$H1092&gt;12,$I1092&lt;1,$I1092&gt;31),"نامعتبر",RIGHT("0000"&amp;$G1092,4)&amp;"/"&amp;RIGHT("00"&amp;$H1092,2)&amp;"/"&amp;RIGHT("00"&amp;$I1092,2)))</f>
        <v/>
      </c>
      <c r="K1092">
        <f>IF(OR($F1092="",$J1092="",$J1092="نامعتبر"),"",LEFT($J1092,4)&amp;MID($J1092,6,2)&amp;RIGHT($J1092,2)&amp;$N1092&amp;"|"&amp;"2"&amp;RIGHT("00000"&amp;1087,5))</f>
        <v/>
      </c>
      <c r="L1092">
        <f>IF($K1092="","",COUNTIFS(LdgPartyA,$F1092,LdgKeyA,"&lt;"&amp;$K1092)+COUNTIFS(LdgPartyB,$F1092,LdgKeyB,"&lt;"&amp;$K1092)+1)</f>
        <v/>
      </c>
      <c r="M1092">
        <f>IF($L1092="","",$F1092&amp;"|"&amp;RIGHT("000000"&amp;$L1092,6))</f>
        <v/>
      </c>
      <c r="N1092">
        <f>IF($F1092="","",IF(Sync!$AH1092="","0000",IF(AND(ISNUMBER(Sync!$AH1092),Sync!$AH1092&gt;=0,Sync!$AH1092&lt;1),RIGHT("00"&amp;HOUR(Sync!$AH1092),2)&amp;RIGHT("00"&amp;MINUTE(Sync!$AH1092),2),IFERROR(RIGHT("00"&amp;VALUE(LEFT(Sync!$AH1092,FIND(":",Sync!$AH1092)-1)),2)&amp;RIGHT("00"&amp;VALUE(MID(Sync!$AH1092,FIND(":",Sync!$AH1092)+1,2)),2),"0000"))))</f>
        <v/>
      </c>
    </row>
    <row r="1093">
      <c r="A1093">
        <f>IF(OR(Calc!$E1096="",Calc!$E1096="نامعتبر",Calc!$G1096="",Calc!$I1096&lt;&gt;"خرید"),"",Calc!$G1096)</f>
        <v/>
      </c>
      <c r="B1093">
        <f>IF($A1093="","",LEFT(Calc!$E1096,4)&amp;MID(Calc!$E1096,6,2)&amp;RIGHT(Calc!$E1096,2)&amp;Calc!$R1096&amp;"|"&amp;"1"&amp;RIGHT("00000"&amp;1088,5))</f>
        <v/>
      </c>
      <c r="C1093">
        <f>IF($B1093="","",COUNTIFS(LdgPartyA,$A1093,LdgKeyA,"&lt;"&amp;$B1093)+COUNTIFS(LdgPartyB,$A1093,LdgKeyB,"&lt;"&amp;$B1093)+1)</f>
        <v/>
      </c>
      <c r="D1093">
        <f>IF($C1093="","",$A1093&amp;"|"&amp;RIGHT("000000"&amp;$C1093,6))</f>
        <v/>
      </c>
      <c r="F1093">
        <f>IF(Sync!$AJ1093="","",Sync!$AJ1093)</f>
        <v/>
      </c>
      <c r="G1093">
        <f>IF($F1093="","",IF(Sync!$AG1093="","",IF(ISNUMBER(Sync!$AG1093),IF(AND(Sync!$AG1093&gt;=10000101,Sync!$AG1093&lt;=99991231),INT(Sync!$AG1093/10000),""),IFERROR(VALUE(TRIM(LEFT(Sync!$AG1093,FIND("/",Sync!$AG1093)-1))),""))))</f>
        <v/>
      </c>
      <c r="H1093">
        <f>IF(OR($F1093="",$G1093=""),"",IF(ISNUMBER(Sync!$AG1093),INT(MOD(Sync!$AG1093,10000)/100),IFERROR(VALUE(TRIM(LEFT(MID(Sync!$AG1093,FIND("/",Sync!$AG1093)+1,20),FIND("/",MID(Sync!$AG1093,FIND("/",Sync!$AG1093)+1,20))-1))),"")))</f>
        <v/>
      </c>
      <c r="I1093">
        <f>IF(OR($F1093="",$G1093=""),"",IF(ISNUMBER(Sync!$AG1093),MOD(Sync!$AG1093,100),IFERROR(VALUE(TRIM(MID(MID(Sync!$AG1093,FIND("/",Sync!$AG1093)+1,20),FIND("/",MID(Sync!$AG1093,FIND("/",Sync!$AG1093)+1,20))+1,20))),"")))</f>
        <v/>
      </c>
      <c r="J1093">
        <f>IF($F1093="","",IF(OR($G1093="",$H1093="",$I1093="",$G1093&lt;1300,$G1093&gt;1500,$H1093&lt;1,$H1093&gt;12,$I1093&lt;1,$I1093&gt;31),"نامعتبر",RIGHT("0000"&amp;$G1093,4)&amp;"/"&amp;RIGHT("00"&amp;$H1093,2)&amp;"/"&amp;RIGHT("00"&amp;$I1093,2)))</f>
        <v/>
      </c>
      <c r="K1093">
        <f>IF(OR($F1093="",$J1093="",$J1093="نامعتبر"),"",LEFT($J1093,4)&amp;MID($J1093,6,2)&amp;RIGHT($J1093,2)&amp;$N1093&amp;"|"&amp;"2"&amp;RIGHT("00000"&amp;1088,5))</f>
        <v/>
      </c>
      <c r="L1093">
        <f>IF($K1093="","",COUNTIFS(LdgPartyA,$F1093,LdgKeyA,"&lt;"&amp;$K1093)+COUNTIFS(LdgPartyB,$F1093,LdgKeyB,"&lt;"&amp;$K1093)+1)</f>
        <v/>
      </c>
      <c r="M1093">
        <f>IF($L1093="","",$F1093&amp;"|"&amp;RIGHT("000000"&amp;$L1093,6))</f>
        <v/>
      </c>
      <c r="N1093">
        <f>IF($F1093="","",IF(Sync!$AH1093="","0000",IF(AND(ISNUMBER(Sync!$AH1093),Sync!$AH1093&gt;=0,Sync!$AH1093&lt;1),RIGHT("00"&amp;HOUR(Sync!$AH1093),2)&amp;RIGHT("00"&amp;MINUTE(Sync!$AH1093),2),IFERROR(RIGHT("00"&amp;VALUE(LEFT(Sync!$AH1093,FIND(":",Sync!$AH1093)-1)),2)&amp;RIGHT("00"&amp;VALUE(MID(Sync!$AH1093,FIND(":",Sync!$AH1093)+1,2)),2),"0000"))))</f>
        <v/>
      </c>
    </row>
    <row r="1094">
      <c r="A1094">
        <f>IF(OR(Calc!$E1097="",Calc!$E1097="نامعتبر",Calc!$G1097="",Calc!$I1097&lt;&gt;"خرید"),"",Calc!$G1097)</f>
        <v/>
      </c>
      <c r="B1094">
        <f>IF($A1094="","",LEFT(Calc!$E1097,4)&amp;MID(Calc!$E1097,6,2)&amp;RIGHT(Calc!$E1097,2)&amp;Calc!$R1097&amp;"|"&amp;"1"&amp;RIGHT("00000"&amp;1089,5))</f>
        <v/>
      </c>
      <c r="C1094">
        <f>IF($B1094="","",COUNTIFS(LdgPartyA,$A1094,LdgKeyA,"&lt;"&amp;$B1094)+COUNTIFS(LdgPartyB,$A1094,LdgKeyB,"&lt;"&amp;$B1094)+1)</f>
        <v/>
      </c>
      <c r="D1094">
        <f>IF($C1094="","",$A1094&amp;"|"&amp;RIGHT("000000"&amp;$C1094,6))</f>
        <v/>
      </c>
      <c r="F1094">
        <f>IF(Sync!$AJ1094="","",Sync!$AJ1094)</f>
        <v/>
      </c>
      <c r="G1094">
        <f>IF($F1094="","",IF(Sync!$AG1094="","",IF(ISNUMBER(Sync!$AG1094),IF(AND(Sync!$AG1094&gt;=10000101,Sync!$AG1094&lt;=99991231),INT(Sync!$AG1094/10000),""),IFERROR(VALUE(TRIM(LEFT(Sync!$AG1094,FIND("/",Sync!$AG1094)-1))),""))))</f>
        <v/>
      </c>
      <c r="H1094">
        <f>IF(OR($F1094="",$G1094=""),"",IF(ISNUMBER(Sync!$AG1094),INT(MOD(Sync!$AG1094,10000)/100),IFERROR(VALUE(TRIM(LEFT(MID(Sync!$AG1094,FIND("/",Sync!$AG1094)+1,20),FIND("/",MID(Sync!$AG1094,FIND("/",Sync!$AG1094)+1,20))-1))),"")))</f>
        <v/>
      </c>
      <c r="I1094">
        <f>IF(OR($F1094="",$G1094=""),"",IF(ISNUMBER(Sync!$AG1094),MOD(Sync!$AG1094,100),IFERROR(VALUE(TRIM(MID(MID(Sync!$AG1094,FIND("/",Sync!$AG1094)+1,20),FIND("/",MID(Sync!$AG1094,FIND("/",Sync!$AG1094)+1,20))+1,20))),"")))</f>
        <v/>
      </c>
      <c r="J1094">
        <f>IF($F1094="","",IF(OR($G1094="",$H1094="",$I1094="",$G1094&lt;1300,$G1094&gt;1500,$H1094&lt;1,$H1094&gt;12,$I1094&lt;1,$I1094&gt;31),"نامعتبر",RIGHT("0000"&amp;$G1094,4)&amp;"/"&amp;RIGHT("00"&amp;$H1094,2)&amp;"/"&amp;RIGHT("00"&amp;$I1094,2)))</f>
        <v/>
      </c>
      <c r="K1094">
        <f>IF(OR($F1094="",$J1094="",$J1094="نامعتبر"),"",LEFT($J1094,4)&amp;MID($J1094,6,2)&amp;RIGHT($J1094,2)&amp;$N1094&amp;"|"&amp;"2"&amp;RIGHT("00000"&amp;1089,5))</f>
        <v/>
      </c>
      <c r="L1094">
        <f>IF($K1094="","",COUNTIFS(LdgPartyA,$F1094,LdgKeyA,"&lt;"&amp;$K1094)+COUNTIFS(LdgPartyB,$F1094,LdgKeyB,"&lt;"&amp;$K1094)+1)</f>
        <v/>
      </c>
      <c r="M1094">
        <f>IF($L1094="","",$F1094&amp;"|"&amp;RIGHT("000000"&amp;$L1094,6))</f>
        <v/>
      </c>
      <c r="N1094">
        <f>IF($F1094="","",IF(Sync!$AH1094="","0000",IF(AND(ISNUMBER(Sync!$AH1094),Sync!$AH1094&gt;=0,Sync!$AH1094&lt;1),RIGHT("00"&amp;HOUR(Sync!$AH1094),2)&amp;RIGHT("00"&amp;MINUTE(Sync!$AH1094),2),IFERROR(RIGHT("00"&amp;VALUE(LEFT(Sync!$AH1094,FIND(":",Sync!$AH1094)-1)),2)&amp;RIGHT("00"&amp;VALUE(MID(Sync!$AH1094,FIND(":",Sync!$AH1094)+1,2)),2),"0000"))))</f>
        <v/>
      </c>
    </row>
    <row r="1095">
      <c r="A1095">
        <f>IF(OR(Calc!$E1098="",Calc!$E1098="نامعتبر",Calc!$G1098="",Calc!$I1098&lt;&gt;"خرید"),"",Calc!$G1098)</f>
        <v/>
      </c>
      <c r="B1095">
        <f>IF($A1095="","",LEFT(Calc!$E1098,4)&amp;MID(Calc!$E1098,6,2)&amp;RIGHT(Calc!$E1098,2)&amp;Calc!$R1098&amp;"|"&amp;"1"&amp;RIGHT("00000"&amp;1090,5))</f>
        <v/>
      </c>
      <c r="C1095">
        <f>IF($B1095="","",COUNTIFS(LdgPartyA,$A1095,LdgKeyA,"&lt;"&amp;$B1095)+COUNTIFS(LdgPartyB,$A1095,LdgKeyB,"&lt;"&amp;$B1095)+1)</f>
        <v/>
      </c>
      <c r="D1095">
        <f>IF($C1095="","",$A1095&amp;"|"&amp;RIGHT("000000"&amp;$C1095,6))</f>
        <v/>
      </c>
      <c r="F1095">
        <f>IF(Sync!$AJ1095="","",Sync!$AJ1095)</f>
        <v/>
      </c>
      <c r="G1095">
        <f>IF($F1095="","",IF(Sync!$AG1095="","",IF(ISNUMBER(Sync!$AG1095),IF(AND(Sync!$AG1095&gt;=10000101,Sync!$AG1095&lt;=99991231),INT(Sync!$AG1095/10000),""),IFERROR(VALUE(TRIM(LEFT(Sync!$AG1095,FIND("/",Sync!$AG1095)-1))),""))))</f>
        <v/>
      </c>
      <c r="H1095">
        <f>IF(OR($F1095="",$G1095=""),"",IF(ISNUMBER(Sync!$AG1095),INT(MOD(Sync!$AG1095,10000)/100),IFERROR(VALUE(TRIM(LEFT(MID(Sync!$AG1095,FIND("/",Sync!$AG1095)+1,20),FIND("/",MID(Sync!$AG1095,FIND("/",Sync!$AG1095)+1,20))-1))),"")))</f>
        <v/>
      </c>
      <c r="I1095">
        <f>IF(OR($F1095="",$G1095=""),"",IF(ISNUMBER(Sync!$AG1095),MOD(Sync!$AG1095,100),IFERROR(VALUE(TRIM(MID(MID(Sync!$AG1095,FIND("/",Sync!$AG1095)+1,20),FIND("/",MID(Sync!$AG1095,FIND("/",Sync!$AG1095)+1,20))+1,20))),"")))</f>
        <v/>
      </c>
      <c r="J1095">
        <f>IF($F1095="","",IF(OR($G1095="",$H1095="",$I1095="",$G1095&lt;1300,$G1095&gt;1500,$H1095&lt;1,$H1095&gt;12,$I1095&lt;1,$I1095&gt;31),"نامعتبر",RIGHT("0000"&amp;$G1095,4)&amp;"/"&amp;RIGHT("00"&amp;$H1095,2)&amp;"/"&amp;RIGHT("00"&amp;$I1095,2)))</f>
        <v/>
      </c>
      <c r="K1095">
        <f>IF(OR($F1095="",$J1095="",$J1095="نامعتبر"),"",LEFT($J1095,4)&amp;MID($J1095,6,2)&amp;RIGHT($J1095,2)&amp;$N1095&amp;"|"&amp;"2"&amp;RIGHT("00000"&amp;1090,5))</f>
        <v/>
      </c>
      <c r="L1095">
        <f>IF($K1095="","",COUNTIFS(LdgPartyA,$F1095,LdgKeyA,"&lt;"&amp;$K1095)+COUNTIFS(LdgPartyB,$F1095,LdgKeyB,"&lt;"&amp;$K1095)+1)</f>
        <v/>
      </c>
      <c r="M1095">
        <f>IF($L1095="","",$F1095&amp;"|"&amp;RIGHT("000000"&amp;$L1095,6))</f>
        <v/>
      </c>
      <c r="N1095">
        <f>IF($F1095="","",IF(Sync!$AH1095="","0000",IF(AND(ISNUMBER(Sync!$AH1095),Sync!$AH1095&gt;=0,Sync!$AH1095&lt;1),RIGHT("00"&amp;HOUR(Sync!$AH1095),2)&amp;RIGHT("00"&amp;MINUTE(Sync!$AH1095),2),IFERROR(RIGHT("00"&amp;VALUE(LEFT(Sync!$AH1095,FIND(":",Sync!$AH1095)-1)),2)&amp;RIGHT("00"&amp;VALUE(MID(Sync!$AH1095,FIND(":",Sync!$AH1095)+1,2)),2),"0000"))))</f>
        <v/>
      </c>
    </row>
    <row r="1096">
      <c r="A1096">
        <f>IF(OR(Calc!$E1099="",Calc!$E1099="نامعتبر",Calc!$G1099="",Calc!$I1099&lt;&gt;"خرید"),"",Calc!$G1099)</f>
        <v/>
      </c>
      <c r="B1096">
        <f>IF($A1096="","",LEFT(Calc!$E1099,4)&amp;MID(Calc!$E1099,6,2)&amp;RIGHT(Calc!$E1099,2)&amp;Calc!$R1099&amp;"|"&amp;"1"&amp;RIGHT("00000"&amp;1091,5))</f>
        <v/>
      </c>
      <c r="C1096">
        <f>IF($B1096="","",COUNTIFS(LdgPartyA,$A1096,LdgKeyA,"&lt;"&amp;$B1096)+COUNTIFS(LdgPartyB,$A1096,LdgKeyB,"&lt;"&amp;$B1096)+1)</f>
        <v/>
      </c>
      <c r="D1096">
        <f>IF($C1096="","",$A1096&amp;"|"&amp;RIGHT("000000"&amp;$C1096,6))</f>
        <v/>
      </c>
      <c r="F1096">
        <f>IF(Sync!$AJ1096="","",Sync!$AJ1096)</f>
        <v/>
      </c>
      <c r="G1096">
        <f>IF($F1096="","",IF(Sync!$AG1096="","",IF(ISNUMBER(Sync!$AG1096),IF(AND(Sync!$AG1096&gt;=10000101,Sync!$AG1096&lt;=99991231),INT(Sync!$AG1096/10000),""),IFERROR(VALUE(TRIM(LEFT(Sync!$AG1096,FIND("/",Sync!$AG1096)-1))),""))))</f>
        <v/>
      </c>
      <c r="H1096">
        <f>IF(OR($F1096="",$G1096=""),"",IF(ISNUMBER(Sync!$AG1096),INT(MOD(Sync!$AG1096,10000)/100),IFERROR(VALUE(TRIM(LEFT(MID(Sync!$AG1096,FIND("/",Sync!$AG1096)+1,20),FIND("/",MID(Sync!$AG1096,FIND("/",Sync!$AG1096)+1,20))-1))),"")))</f>
        <v/>
      </c>
      <c r="I1096">
        <f>IF(OR($F1096="",$G1096=""),"",IF(ISNUMBER(Sync!$AG1096),MOD(Sync!$AG1096,100),IFERROR(VALUE(TRIM(MID(MID(Sync!$AG1096,FIND("/",Sync!$AG1096)+1,20),FIND("/",MID(Sync!$AG1096,FIND("/",Sync!$AG1096)+1,20))+1,20))),"")))</f>
        <v/>
      </c>
      <c r="J1096">
        <f>IF($F1096="","",IF(OR($G1096="",$H1096="",$I1096="",$G1096&lt;1300,$G1096&gt;1500,$H1096&lt;1,$H1096&gt;12,$I1096&lt;1,$I1096&gt;31),"نامعتبر",RIGHT("0000"&amp;$G1096,4)&amp;"/"&amp;RIGHT("00"&amp;$H1096,2)&amp;"/"&amp;RIGHT("00"&amp;$I1096,2)))</f>
        <v/>
      </c>
      <c r="K1096">
        <f>IF(OR($F1096="",$J1096="",$J1096="نامعتبر"),"",LEFT($J1096,4)&amp;MID($J1096,6,2)&amp;RIGHT($J1096,2)&amp;$N1096&amp;"|"&amp;"2"&amp;RIGHT("00000"&amp;1091,5))</f>
        <v/>
      </c>
      <c r="L1096">
        <f>IF($K1096="","",COUNTIFS(LdgPartyA,$F1096,LdgKeyA,"&lt;"&amp;$K1096)+COUNTIFS(LdgPartyB,$F1096,LdgKeyB,"&lt;"&amp;$K1096)+1)</f>
        <v/>
      </c>
      <c r="M1096">
        <f>IF($L1096="","",$F1096&amp;"|"&amp;RIGHT("000000"&amp;$L1096,6))</f>
        <v/>
      </c>
      <c r="N1096">
        <f>IF($F1096="","",IF(Sync!$AH1096="","0000",IF(AND(ISNUMBER(Sync!$AH1096),Sync!$AH1096&gt;=0,Sync!$AH1096&lt;1),RIGHT("00"&amp;HOUR(Sync!$AH1096),2)&amp;RIGHT("00"&amp;MINUTE(Sync!$AH1096),2),IFERROR(RIGHT("00"&amp;VALUE(LEFT(Sync!$AH1096,FIND(":",Sync!$AH1096)-1)),2)&amp;RIGHT("00"&amp;VALUE(MID(Sync!$AH1096,FIND(":",Sync!$AH1096)+1,2)),2),"0000"))))</f>
        <v/>
      </c>
    </row>
    <row r="1097">
      <c r="A1097">
        <f>IF(OR(Calc!$E1100="",Calc!$E1100="نامعتبر",Calc!$G1100="",Calc!$I1100&lt;&gt;"خرید"),"",Calc!$G1100)</f>
        <v/>
      </c>
      <c r="B1097">
        <f>IF($A1097="","",LEFT(Calc!$E1100,4)&amp;MID(Calc!$E1100,6,2)&amp;RIGHT(Calc!$E1100,2)&amp;Calc!$R1100&amp;"|"&amp;"1"&amp;RIGHT("00000"&amp;1092,5))</f>
        <v/>
      </c>
      <c r="C1097">
        <f>IF($B1097="","",COUNTIFS(LdgPartyA,$A1097,LdgKeyA,"&lt;"&amp;$B1097)+COUNTIFS(LdgPartyB,$A1097,LdgKeyB,"&lt;"&amp;$B1097)+1)</f>
        <v/>
      </c>
      <c r="D1097">
        <f>IF($C1097="","",$A1097&amp;"|"&amp;RIGHT("000000"&amp;$C1097,6))</f>
        <v/>
      </c>
      <c r="F1097">
        <f>IF(Sync!$AJ1097="","",Sync!$AJ1097)</f>
        <v/>
      </c>
      <c r="G1097">
        <f>IF($F1097="","",IF(Sync!$AG1097="","",IF(ISNUMBER(Sync!$AG1097),IF(AND(Sync!$AG1097&gt;=10000101,Sync!$AG1097&lt;=99991231),INT(Sync!$AG1097/10000),""),IFERROR(VALUE(TRIM(LEFT(Sync!$AG1097,FIND("/",Sync!$AG1097)-1))),""))))</f>
        <v/>
      </c>
      <c r="H1097">
        <f>IF(OR($F1097="",$G1097=""),"",IF(ISNUMBER(Sync!$AG1097),INT(MOD(Sync!$AG1097,10000)/100),IFERROR(VALUE(TRIM(LEFT(MID(Sync!$AG1097,FIND("/",Sync!$AG1097)+1,20),FIND("/",MID(Sync!$AG1097,FIND("/",Sync!$AG1097)+1,20))-1))),"")))</f>
        <v/>
      </c>
      <c r="I1097">
        <f>IF(OR($F1097="",$G1097=""),"",IF(ISNUMBER(Sync!$AG1097),MOD(Sync!$AG1097,100),IFERROR(VALUE(TRIM(MID(MID(Sync!$AG1097,FIND("/",Sync!$AG1097)+1,20),FIND("/",MID(Sync!$AG1097,FIND("/",Sync!$AG1097)+1,20))+1,20))),"")))</f>
        <v/>
      </c>
      <c r="J1097">
        <f>IF($F1097="","",IF(OR($G1097="",$H1097="",$I1097="",$G1097&lt;1300,$G1097&gt;1500,$H1097&lt;1,$H1097&gt;12,$I1097&lt;1,$I1097&gt;31),"نامعتبر",RIGHT("0000"&amp;$G1097,4)&amp;"/"&amp;RIGHT("00"&amp;$H1097,2)&amp;"/"&amp;RIGHT("00"&amp;$I1097,2)))</f>
        <v/>
      </c>
      <c r="K1097">
        <f>IF(OR($F1097="",$J1097="",$J1097="نامعتبر"),"",LEFT($J1097,4)&amp;MID($J1097,6,2)&amp;RIGHT($J1097,2)&amp;$N1097&amp;"|"&amp;"2"&amp;RIGHT("00000"&amp;1092,5))</f>
        <v/>
      </c>
      <c r="L1097">
        <f>IF($K1097="","",COUNTIFS(LdgPartyA,$F1097,LdgKeyA,"&lt;"&amp;$K1097)+COUNTIFS(LdgPartyB,$F1097,LdgKeyB,"&lt;"&amp;$K1097)+1)</f>
        <v/>
      </c>
      <c r="M1097">
        <f>IF($L1097="","",$F1097&amp;"|"&amp;RIGHT("000000"&amp;$L1097,6))</f>
        <v/>
      </c>
      <c r="N1097">
        <f>IF($F1097="","",IF(Sync!$AH1097="","0000",IF(AND(ISNUMBER(Sync!$AH1097),Sync!$AH1097&gt;=0,Sync!$AH1097&lt;1),RIGHT("00"&amp;HOUR(Sync!$AH1097),2)&amp;RIGHT("00"&amp;MINUTE(Sync!$AH1097),2),IFERROR(RIGHT("00"&amp;VALUE(LEFT(Sync!$AH1097,FIND(":",Sync!$AH1097)-1)),2)&amp;RIGHT("00"&amp;VALUE(MID(Sync!$AH1097,FIND(":",Sync!$AH1097)+1,2)),2),"0000"))))</f>
        <v/>
      </c>
    </row>
    <row r="1098">
      <c r="A1098">
        <f>IF(OR(Calc!$E1101="",Calc!$E1101="نامعتبر",Calc!$G1101="",Calc!$I1101&lt;&gt;"خرید"),"",Calc!$G1101)</f>
        <v/>
      </c>
      <c r="B1098">
        <f>IF($A1098="","",LEFT(Calc!$E1101,4)&amp;MID(Calc!$E1101,6,2)&amp;RIGHT(Calc!$E1101,2)&amp;Calc!$R1101&amp;"|"&amp;"1"&amp;RIGHT("00000"&amp;1093,5))</f>
        <v/>
      </c>
      <c r="C1098">
        <f>IF($B1098="","",COUNTIFS(LdgPartyA,$A1098,LdgKeyA,"&lt;"&amp;$B1098)+COUNTIFS(LdgPartyB,$A1098,LdgKeyB,"&lt;"&amp;$B1098)+1)</f>
        <v/>
      </c>
      <c r="D1098">
        <f>IF($C1098="","",$A1098&amp;"|"&amp;RIGHT("000000"&amp;$C1098,6))</f>
        <v/>
      </c>
      <c r="F1098">
        <f>IF(Sync!$AJ1098="","",Sync!$AJ1098)</f>
        <v/>
      </c>
      <c r="G1098">
        <f>IF($F1098="","",IF(Sync!$AG1098="","",IF(ISNUMBER(Sync!$AG1098),IF(AND(Sync!$AG1098&gt;=10000101,Sync!$AG1098&lt;=99991231),INT(Sync!$AG1098/10000),""),IFERROR(VALUE(TRIM(LEFT(Sync!$AG1098,FIND("/",Sync!$AG1098)-1))),""))))</f>
        <v/>
      </c>
      <c r="H1098">
        <f>IF(OR($F1098="",$G1098=""),"",IF(ISNUMBER(Sync!$AG1098),INT(MOD(Sync!$AG1098,10000)/100),IFERROR(VALUE(TRIM(LEFT(MID(Sync!$AG1098,FIND("/",Sync!$AG1098)+1,20),FIND("/",MID(Sync!$AG1098,FIND("/",Sync!$AG1098)+1,20))-1))),"")))</f>
        <v/>
      </c>
      <c r="I1098">
        <f>IF(OR($F1098="",$G1098=""),"",IF(ISNUMBER(Sync!$AG1098),MOD(Sync!$AG1098,100),IFERROR(VALUE(TRIM(MID(MID(Sync!$AG1098,FIND("/",Sync!$AG1098)+1,20),FIND("/",MID(Sync!$AG1098,FIND("/",Sync!$AG1098)+1,20))+1,20))),"")))</f>
        <v/>
      </c>
      <c r="J1098">
        <f>IF($F1098="","",IF(OR($G1098="",$H1098="",$I1098="",$G1098&lt;1300,$G1098&gt;1500,$H1098&lt;1,$H1098&gt;12,$I1098&lt;1,$I1098&gt;31),"نامعتبر",RIGHT("0000"&amp;$G1098,4)&amp;"/"&amp;RIGHT("00"&amp;$H1098,2)&amp;"/"&amp;RIGHT("00"&amp;$I1098,2)))</f>
        <v/>
      </c>
      <c r="K1098">
        <f>IF(OR($F1098="",$J1098="",$J1098="نامعتبر"),"",LEFT($J1098,4)&amp;MID($J1098,6,2)&amp;RIGHT($J1098,2)&amp;$N1098&amp;"|"&amp;"2"&amp;RIGHT("00000"&amp;1093,5))</f>
        <v/>
      </c>
      <c r="L1098">
        <f>IF($K1098="","",COUNTIFS(LdgPartyA,$F1098,LdgKeyA,"&lt;"&amp;$K1098)+COUNTIFS(LdgPartyB,$F1098,LdgKeyB,"&lt;"&amp;$K1098)+1)</f>
        <v/>
      </c>
      <c r="M1098">
        <f>IF($L1098="","",$F1098&amp;"|"&amp;RIGHT("000000"&amp;$L1098,6))</f>
        <v/>
      </c>
      <c r="N1098">
        <f>IF($F1098="","",IF(Sync!$AH1098="","0000",IF(AND(ISNUMBER(Sync!$AH1098),Sync!$AH1098&gt;=0,Sync!$AH1098&lt;1),RIGHT("00"&amp;HOUR(Sync!$AH1098),2)&amp;RIGHT("00"&amp;MINUTE(Sync!$AH1098),2),IFERROR(RIGHT("00"&amp;VALUE(LEFT(Sync!$AH1098,FIND(":",Sync!$AH1098)-1)),2)&amp;RIGHT("00"&amp;VALUE(MID(Sync!$AH1098,FIND(":",Sync!$AH1098)+1,2)),2),"0000"))))</f>
        <v/>
      </c>
    </row>
    <row r="1099">
      <c r="A1099">
        <f>IF(OR(Calc!$E1102="",Calc!$E1102="نامعتبر",Calc!$G1102="",Calc!$I1102&lt;&gt;"خرید"),"",Calc!$G1102)</f>
        <v/>
      </c>
      <c r="B1099">
        <f>IF($A1099="","",LEFT(Calc!$E1102,4)&amp;MID(Calc!$E1102,6,2)&amp;RIGHT(Calc!$E1102,2)&amp;Calc!$R1102&amp;"|"&amp;"1"&amp;RIGHT("00000"&amp;1094,5))</f>
        <v/>
      </c>
      <c r="C1099">
        <f>IF($B1099="","",COUNTIFS(LdgPartyA,$A1099,LdgKeyA,"&lt;"&amp;$B1099)+COUNTIFS(LdgPartyB,$A1099,LdgKeyB,"&lt;"&amp;$B1099)+1)</f>
        <v/>
      </c>
      <c r="D1099">
        <f>IF($C1099="","",$A1099&amp;"|"&amp;RIGHT("000000"&amp;$C1099,6))</f>
        <v/>
      </c>
      <c r="F1099">
        <f>IF(Sync!$AJ1099="","",Sync!$AJ1099)</f>
        <v/>
      </c>
      <c r="G1099">
        <f>IF($F1099="","",IF(Sync!$AG1099="","",IF(ISNUMBER(Sync!$AG1099),IF(AND(Sync!$AG1099&gt;=10000101,Sync!$AG1099&lt;=99991231),INT(Sync!$AG1099/10000),""),IFERROR(VALUE(TRIM(LEFT(Sync!$AG1099,FIND("/",Sync!$AG1099)-1))),""))))</f>
        <v/>
      </c>
      <c r="H1099">
        <f>IF(OR($F1099="",$G1099=""),"",IF(ISNUMBER(Sync!$AG1099),INT(MOD(Sync!$AG1099,10000)/100),IFERROR(VALUE(TRIM(LEFT(MID(Sync!$AG1099,FIND("/",Sync!$AG1099)+1,20),FIND("/",MID(Sync!$AG1099,FIND("/",Sync!$AG1099)+1,20))-1))),"")))</f>
        <v/>
      </c>
      <c r="I1099">
        <f>IF(OR($F1099="",$G1099=""),"",IF(ISNUMBER(Sync!$AG1099),MOD(Sync!$AG1099,100),IFERROR(VALUE(TRIM(MID(MID(Sync!$AG1099,FIND("/",Sync!$AG1099)+1,20),FIND("/",MID(Sync!$AG1099,FIND("/",Sync!$AG1099)+1,20))+1,20))),"")))</f>
        <v/>
      </c>
      <c r="J1099">
        <f>IF($F1099="","",IF(OR($G1099="",$H1099="",$I1099="",$G1099&lt;1300,$G1099&gt;1500,$H1099&lt;1,$H1099&gt;12,$I1099&lt;1,$I1099&gt;31),"نامعتبر",RIGHT("0000"&amp;$G1099,4)&amp;"/"&amp;RIGHT("00"&amp;$H1099,2)&amp;"/"&amp;RIGHT("00"&amp;$I1099,2)))</f>
        <v/>
      </c>
      <c r="K1099">
        <f>IF(OR($F1099="",$J1099="",$J1099="نامعتبر"),"",LEFT($J1099,4)&amp;MID($J1099,6,2)&amp;RIGHT($J1099,2)&amp;$N1099&amp;"|"&amp;"2"&amp;RIGHT("00000"&amp;1094,5))</f>
        <v/>
      </c>
      <c r="L1099">
        <f>IF($K1099="","",COUNTIFS(LdgPartyA,$F1099,LdgKeyA,"&lt;"&amp;$K1099)+COUNTIFS(LdgPartyB,$F1099,LdgKeyB,"&lt;"&amp;$K1099)+1)</f>
        <v/>
      </c>
      <c r="M1099">
        <f>IF($L1099="","",$F1099&amp;"|"&amp;RIGHT("000000"&amp;$L1099,6))</f>
        <v/>
      </c>
      <c r="N1099">
        <f>IF($F1099="","",IF(Sync!$AH1099="","0000",IF(AND(ISNUMBER(Sync!$AH1099),Sync!$AH1099&gt;=0,Sync!$AH1099&lt;1),RIGHT("00"&amp;HOUR(Sync!$AH1099),2)&amp;RIGHT("00"&amp;MINUTE(Sync!$AH1099),2),IFERROR(RIGHT("00"&amp;VALUE(LEFT(Sync!$AH1099,FIND(":",Sync!$AH1099)-1)),2)&amp;RIGHT("00"&amp;VALUE(MID(Sync!$AH1099,FIND(":",Sync!$AH1099)+1,2)),2),"0000"))))</f>
        <v/>
      </c>
    </row>
    <row r="1100">
      <c r="A1100">
        <f>IF(OR(Calc!$E1103="",Calc!$E1103="نامعتبر",Calc!$G1103="",Calc!$I1103&lt;&gt;"خرید"),"",Calc!$G1103)</f>
        <v/>
      </c>
      <c r="B1100">
        <f>IF($A1100="","",LEFT(Calc!$E1103,4)&amp;MID(Calc!$E1103,6,2)&amp;RIGHT(Calc!$E1103,2)&amp;Calc!$R1103&amp;"|"&amp;"1"&amp;RIGHT("00000"&amp;1095,5))</f>
        <v/>
      </c>
      <c r="C1100">
        <f>IF($B1100="","",COUNTIFS(LdgPartyA,$A1100,LdgKeyA,"&lt;"&amp;$B1100)+COUNTIFS(LdgPartyB,$A1100,LdgKeyB,"&lt;"&amp;$B1100)+1)</f>
        <v/>
      </c>
      <c r="D1100">
        <f>IF($C1100="","",$A1100&amp;"|"&amp;RIGHT("000000"&amp;$C1100,6))</f>
        <v/>
      </c>
      <c r="F1100">
        <f>IF(Sync!$AJ1100="","",Sync!$AJ1100)</f>
        <v/>
      </c>
      <c r="G1100">
        <f>IF($F1100="","",IF(Sync!$AG1100="","",IF(ISNUMBER(Sync!$AG1100),IF(AND(Sync!$AG1100&gt;=10000101,Sync!$AG1100&lt;=99991231),INT(Sync!$AG1100/10000),""),IFERROR(VALUE(TRIM(LEFT(Sync!$AG1100,FIND("/",Sync!$AG1100)-1))),""))))</f>
        <v/>
      </c>
      <c r="H1100">
        <f>IF(OR($F1100="",$G1100=""),"",IF(ISNUMBER(Sync!$AG1100),INT(MOD(Sync!$AG1100,10000)/100),IFERROR(VALUE(TRIM(LEFT(MID(Sync!$AG1100,FIND("/",Sync!$AG1100)+1,20),FIND("/",MID(Sync!$AG1100,FIND("/",Sync!$AG1100)+1,20))-1))),"")))</f>
        <v/>
      </c>
      <c r="I1100">
        <f>IF(OR($F1100="",$G1100=""),"",IF(ISNUMBER(Sync!$AG1100),MOD(Sync!$AG1100,100),IFERROR(VALUE(TRIM(MID(MID(Sync!$AG1100,FIND("/",Sync!$AG1100)+1,20),FIND("/",MID(Sync!$AG1100,FIND("/",Sync!$AG1100)+1,20))+1,20))),"")))</f>
        <v/>
      </c>
      <c r="J1100">
        <f>IF($F1100="","",IF(OR($G1100="",$H1100="",$I1100="",$G1100&lt;1300,$G1100&gt;1500,$H1100&lt;1,$H1100&gt;12,$I1100&lt;1,$I1100&gt;31),"نامعتبر",RIGHT("0000"&amp;$G1100,4)&amp;"/"&amp;RIGHT("00"&amp;$H1100,2)&amp;"/"&amp;RIGHT("00"&amp;$I1100,2)))</f>
        <v/>
      </c>
      <c r="K1100">
        <f>IF(OR($F1100="",$J1100="",$J1100="نامعتبر"),"",LEFT($J1100,4)&amp;MID($J1100,6,2)&amp;RIGHT($J1100,2)&amp;$N1100&amp;"|"&amp;"2"&amp;RIGHT("00000"&amp;1095,5))</f>
        <v/>
      </c>
      <c r="L1100">
        <f>IF($K1100="","",COUNTIFS(LdgPartyA,$F1100,LdgKeyA,"&lt;"&amp;$K1100)+COUNTIFS(LdgPartyB,$F1100,LdgKeyB,"&lt;"&amp;$K1100)+1)</f>
        <v/>
      </c>
      <c r="M1100">
        <f>IF($L1100="","",$F1100&amp;"|"&amp;RIGHT("000000"&amp;$L1100,6))</f>
        <v/>
      </c>
      <c r="N1100">
        <f>IF($F1100="","",IF(Sync!$AH1100="","0000",IF(AND(ISNUMBER(Sync!$AH1100),Sync!$AH1100&gt;=0,Sync!$AH1100&lt;1),RIGHT("00"&amp;HOUR(Sync!$AH1100),2)&amp;RIGHT("00"&amp;MINUTE(Sync!$AH1100),2),IFERROR(RIGHT("00"&amp;VALUE(LEFT(Sync!$AH1100,FIND(":",Sync!$AH1100)-1)),2)&amp;RIGHT("00"&amp;VALUE(MID(Sync!$AH1100,FIND(":",Sync!$AH1100)+1,2)),2),"0000"))))</f>
        <v/>
      </c>
    </row>
    <row r="1101">
      <c r="A1101">
        <f>IF(OR(Calc!$E1104="",Calc!$E1104="نامعتبر",Calc!$G1104="",Calc!$I1104&lt;&gt;"خرید"),"",Calc!$G1104)</f>
        <v/>
      </c>
      <c r="B1101">
        <f>IF($A1101="","",LEFT(Calc!$E1104,4)&amp;MID(Calc!$E1104,6,2)&amp;RIGHT(Calc!$E1104,2)&amp;Calc!$R1104&amp;"|"&amp;"1"&amp;RIGHT("00000"&amp;1096,5))</f>
        <v/>
      </c>
      <c r="C1101">
        <f>IF($B1101="","",COUNTIFS(LdgPartyA,$A1101,LdgKeyA,"&lt;"&amp;$B1101)+COUNTIFS(LdgPartyB,$A1101,LdgKeyB,"&lt;"&amp;$B1101)+1)</f>
        <v/>
      </c>
      <c r="D1101">
        <f>IF($C1101="","",$A1101&amp;"|"&amp;RIGHT("000000"&amp;$C1101,6))</f>
        <v/>
      </c>
      <c r="F1101">
        <f>IF(Sync!$AJ1101="","",Sync!$AJ1101)</f>
        <v/>
      </c>
      <c r="G1101">
        <f>IF($F1101="","",IF(Sync!$AG1101="","",IF(ISNUMBER(Sync!$AG1101),IF(AND(Sync!$AG1101&gt;=10000101,Sync!$AG1101&lt;=99991231),INT(Sync!$AG1101/10000),""),IFERROR(VALUE(TRIM(LEFT(Sync!$AG1101,FIND("/",Sync!$AG1101)-1))),""))))</f>
        <v/>
      </c>
      <c r="H1101">
        <f>IF(OR($F1101="",$G1101=""),"",IF(ISNUMBER(Sync!$AG1101),INT(MOD(Sync!$AG1101,10000)/100),IFERROR(VALUE(TRIM(LEFT(MID(Sync!$AG1101,FIND("/",Sync!$AG1101)+1,20),FIND("/",MID(Sync!$AG1101,FIND("/",Sync!$AG1101)+1,20))-1))),"")))</f>
        <v/>
      </c>
      <c r="I1101">
        <f>IF(OR($F1101="",$G1101=""),"",IF(ISNUMBER(Sync!$AG1101),MOD(Sync!$AG1101,100),IFERROR(VALUE(TRIM(MID(MID(Sync!$AG1101,FIND("/",Sync!$AG1101)+1,20),FIND("/",MID(Sync!$AG1101,FIND("/",Sync!$AG1101)+1,20))+1,20))),"")))</f>
        <v/>
      </c>
      <c r="J1101">
        <f>IF($F1101="","",IF(OR($G1101="",$H1101="",$I1101="",$G1101&lt;1300,$G1101&gt;1500,$H1101&lt;1,$H1101&gt;12,$I1101&lt;1,$I1101&gt;31),"نامعتبر",RIGHT("0000"&amp;$G1101,4)&amp;"/"&amp;RIGHT("00"&amp;$H1101,2)&amp;"/"&amp;RIGHT("00"&amp;$I1101,2)))</f>
        <v/>
      </c>
      <c r="K1101">
        <f>IF(OR($F1101="",$J1101="",$J1101="نامعتبر"),"",LEFT($J1101,4)&amp;MID($J1101,6,2)&amp;RIGHT($J1101,2)&amp;$N1101&amp;"|"&amp;"2"&amp;RIGHT("00000"&amp;1096,5))</f>
        <v/>
      </c>
      <c r="L1101">
        <f>IF($K1101="","",COUNTIFS(LdgPartyA,$F1101,LdgKeyA,"&lt;"&amp;$K1101)+COUNTIFS(LdgPartyB,$F1101,LdgKeyB,"&lt;"&amp;$K1101)+1)</f>
        <v/>
      </c>
      <c r="M1101">
        <f>IF($L1101="","",$F1101&amp;"|"&amp;RIGHT("000000"&amp;$L1101,6))</f>
        <v/>
      </c>
      <c r="N1101">
        <f>IF($F1101="","",IF(Sync!$AH1101="","0000",IF(AND(ISNUMBER(Sync!$AH1101),Sync!$AH1101&gt;=0,Sync!$AH1101&lt;1),RIGHT("00"&amp;HOUR(Sync!$AH1101),2)&amp;RIGHT("00"&amp;MINUTE(Sync!$AH1101),2),IFERROR(RIGHT("00"&amp;VALUE(LEFT(Sync!$AH1101,FIND(":",Sync!$AH1101)-1)),2)&amp;RIGHT("00"&amp;VALUE(MID(Sync!$AH1101,FIND(":",Sync!$AH1101)+1,2)),2),"0000"))))</f>
        <v/>
      </c>
    </row>
    <row r="1102">
      <c r="A1102">
        <f>IF(OR(Calc!$E1105="",Calc!$E1105="نامعتبر",Calc!$G1105="",Calc!$I1105&lt;&gt;"خرید"),"",Calc!$G1105)</f>
        <v/>
      </c>
      <c r="B1102">
        <f>IF($A1102="","",LEFT(Calc!$E1105,4)&amp;MID(Calc!$E1105,6,2)&amp;RIGHT(Calc!$E1105,2)&amp;Calc!$R1105&amp;"|"&amp;"1"&amp;RIGHT("00000"&amp;1097,5))</f>
        <v/>
      </c>
      <c r="C1102">
        <f>IF($B1102="","",COUNTIFS(LdgPartyA,$A1102,LdgKeyA,"&lt;"&amp;$B1102)+COUNTIFS(LdgPartyB,$A1102,LdgKeyB,"&lt;"&amp;$B1102)+1)</f>
        <v/>
      </c>
      <c r="D1102">
        <f>IF($C1102="","",$A1102&amp;"|"&amp;RIGHT("000000"&amp;$C1102,6))</f>
        <v/>
      </c>
      <c r="F1102">
        <f>IF(Sync!$AJ1102="","",Sync!$AJ1102)</f>
        <v/>
      </c>
      <c r="G1102">
        <f>IF($F1102="","",IF(Sync!$AG1102="","",IF(ISNUMBER(Sync!$AG1102),IF(AND(Sync!$AG1102&gt;=10000101,Sync!$AG1102&lt;=99991231),INT(Sync!$AG1102/10000),""),IFERROR(VALUE(TRIM(LEFT(Sync!$AG1102,FIND("/",Sync!$AG1102)-1))),""))))</f>
        <v/>
      </c>
      <c r="H1102">
        <f>IF(OR($F1102="",$G1102=""),"",IF(ISNUMBER(Sync!$AG1102),INT(MOD(Sync!$AG1102,10000)/100),IFERROR(VALUE(TRIM(LEFT(MID(Sync!$AG1102,FIND("/",Sync!$AG1102)+1,20),FIND("/",MID(Sync!$AG1102,FIND("/",Sync!$AG1102)+1,20))-1))),"")))</f>
        <v/>
      </c>
      <c r="I1102">
        <f>IF(OR($F1102="",$G1102=""),"",IF(ISNUMBER(Sync!$AG1102),MOD(Sync!$AG1102,100),IFERROR(VALUE(TRIM(MID(MID(Sync!$AG1102,FIND("/",Sync!$AG1102)+1,20),FIND("/",MID(Sync!$AG1102,FIND("/",Sync!$AG1102)+1,20))+1,20))),"")))</f>
        <v/>
      </c>
      <c r="J1102">
        <f>IF($F1102="","",IF(OR($G1102="",$H1102="",$I1102="",$G1102&lt;1300,$G1102&gt;1500,$H1102&lt;1,$H1102&gt;12,$I1102&lt;1,$I1102&gt;31),"نامعتبر",RIGHT("0000"&amp;$G1102,4)&amp;"/"&amp;RIGHT("00"&amp;$H1102,2)&amp;"/"&amp;RIGHT("00"&amp;$I1102,2)))</f>
        <v/>
      </c>
      <c r="K1102">
        <f>IF(OR($F1102="",$J1102="",$J1102="نامعتبر"),"",LEFT($J1102,4)&amp;MID($J1102,6,2)&amp;RIGHT($J1102,2)&amp;$N1102&amp;"|"&amp;"2"&amp;RIGHT("00000"&amp;1097,5))</f>
        <v/>
      </c>
      <c r="L1102">
        <f>IF($K1102="","",COUNTIFS(LdgPartyA,$F1102,LdgKeyA,"&lt;"&amp;$K1102)+COUNTIFS(LdgPartyB,$F1102,LdgKeyB,"&lt;"&amp;$K1102)+1)</f>
        <v/>
      </c>
      <c r="M1102">
        <f>IF($L1102="","",$F1102&amp;"|"&amp;RIGHT("000000"&amp;$L1102,6))</f>
        <v/>
      </c>
      <c r="N1102">
        <f>IF($F1102="","",IF(Sync!$AH1102="","0000",IF(AND(ISNUMBER(Sync!$AH1102),Sync!$AH1102&gt;=0,Sync!$AH1102&lt;1),RIGHT("00"&amp;HOUR(Sync!$AH1102),2)&amp;RIGHT("00"&amp;MINUTE(Sync!$AH1102),2),IFERROR(RIGHT("00"&amp;VALUE(LEFT(Sync!$AH1102,FIND(":",Sync!$AH1102)-1)),2)&amp;RIGHT("00"&amp;VALUE(MID(Sync!$AH1102,FIND(":",Sync!$AH1102)+1,2)),2),"0000"))))</f>
        <v/>
      </c>
    </row>
    <row r="1103">
      <c r="A1103">
        <f>IF(OR(Calc!$E1106="",Calc!$E1106="نامعتبر",Calc!$G1106="",Calc!$I1106&lt;&gt;"خرید"),"",Calc!$G1106)</f>
        <v/>
      </c>
      <c r="B1103">
        <f>IF($A1103="","",LEFT(Calc!$E1106,4)&amp;MID(Calc!$E1106,6,2)&amp;RIGHT(Calc!$E1106,2)&amp;Calc!$R1106&amp;"|"&amp;"1"&amp;RIGHT("00000"&amp;1098,5))</f>
        <v/>
      </c>
      <c r="C1103">
        <f>IF($B1103="","",COUNTIFS(LdgPartyA,$A1103,LdgKeyA,"&lt;"&amp;$B1103)+COUNTIFS(LdgPartyB,$A1103,LdgKeyB,"&lt;"&amp;$B1103)+1)</f>
        <v/>
      </c>
      <c r="D1103">
        <f>IF($C1103="","",$A1103&amp;"|"&amp;RIGHT("000000"&amp;$C1103,6))</f>
        <v/>
      </c>
      <c r="F1103">
        <f>IF(Sync!$AJ1103="","",Sync!$AJ1103)</f>
        <v/>
      </c>
      <c r="G1103">
        <f>IF($F1103="","",IF(Sync!$AG1103="","",IF(ISNUMBER(Sync!$AG1103),IF(AND(Sync!$AG1103&gt;=10000101,Sync!$AG1103&lt;=99991231),INT(Sync!$AG1103/10000),""),IFERROR(VALUE(TRIM(LEFT(Sync!$AG1103,FIND("/",Sync!$AG1103)-1))),""))))</f>
        <v/>
      </c>
      <c r="H1103">
        <f>IF(OR($F1103="",$G1103=""),"",IF(ISNUMBER(Sync!$AG1103),INT(MOD(Sync!$AG1103,10000)/100),IFERROR(VALUE(TRIM(LEFT(MID(Sync!$AG1103,FIND("/",Sync!$AG1103)+1,20),FIND("/",MID(Sync!$AG1103,FIND("/",Sync!$AG1103)+1,20))-1))),"")))</f>
        <v/>
      </c>
      <c r="I1103">
        <f>IF(OR($F1103="",$G1103=""),"",IF(ISNUMBER(Sync!$AG1103),MOD(Sync!$AG1103,100),IFERROR(VALUE(TRIM(MID(MID(Sync!$AG1103,FIND("/",Sync!$AG1103)+1,20),FIND("/",MID(Sync!$AG1103,FIND("/",Sync!$AG1103)+1,20))+1,20))),"")))</f>
        <v/>
      </c>
      <c r="J1103">
        <f>IF($F1103="","",IF(OR($G1103="",$H1103="",$I1103="",$G1103&lt;1300,$G1103&gt;1500,$H1103&lt;1,$H1103&gt;12,$I1103&lt;1,$I1103&gt;31),"نامعتبر",RIGHT("0000"&amp;$G1103,4)&amp;"/"&amp;RIGHT("00"&amp;$H1103,2)&amp;"/"&amp;RIGHT("00"&amp;$I1103,2)))</f>
        <v/>
      </c>
      <c r="K1103">
        <f>IF(OR($F1103="",$J1103="",$J1103="نامعتبر"),"",LEFT($J1103,4)&amp;MID($J1103,6,2)&amp;RIGHT($J1103,2)&amp;$N1103&amp;"|"&amp;"2"&amp;RIGHT("00000"&amp;1098,5))</f>
        <v/>
      </c>
      <c r="L1103">
        <f>IF($K1103="","",COUNTIFS(LdgPartyA,$F1103,LdgKeyA,"&lt;"&amp;$K1103)+COUNTIFS(LdgPartyB,$F1103,LdgKeyB,"&lt;"&amp;$K1103)+1)</f>
        <v/>
      </c>
      <c r="M1103">
        <f>IF($L1103="","",$F1103&amp;"|"&amp;RIGHT("000000"&amp;$L1103,6))</f>
        <v/>
      </c>
      <c r="N1103">
        <f>IF($F1103="","",IF(Sync!$AH1103="","0000",IF(AND(ISNUMBER(Sync!$AH1103),Sync!$AH1103&gt;=0,Sync!$AH1103&lt;1),RIGHT("00"&amp;HOUR(Sync!$AH1103),2)&amp;RIGHT("00"&amp;MINUTE(Sync!$AH1103),2),IFERROR(RIGHT("00"&amp;VALUE(LEFT(Sync!$AH1103,FIND(":",Sync!$AH1103)-1)),2)&amp;RIGHT("00"&amp;VALUE(MID(Sync!$AH1103,FIND(":",Sync!$AH1103)+1,2)),2),"0000"))))</f>
        <v/>
      </c>
    </row>
    <row r="1104">
      <c r="A1104">
        <f>IF(OR(Calc!$E1107="",Calc!$E1107="نامعتبر",Calc!$G1107="",Calc!$I1107&lt;&gt;"خرید"),"",Calc!$G1107)</f>
        <v/>
      </c>
      <c r="B1104">
        <f>IF($A1104="","",LEFT(Calc!$E1107,4)&amp;MID(Calc!$E1107,6,2)&amp;RIGHT(Calc!$E1107,2)&amp;Calc!$R1107&amp;"|"&amp;"1"&amp;RIGHT("00000"&amp;1099,5))</f>
        <v/>
      </c>
      <c r="C1104">
        <f>IF($B1104="","",COUNTIFS(LdgPartyA,$A1104,LdgKeyA,"&lt;"&amp;$B1104)+COUNTIFS(LdgPartyB,$A1104,LdgKeyB,"&lt;"&amp;$B1104)+1)</f>
        <v/>
      </c>
      <c r="D1104">
        <f>IF($C1104="","",$A1104&amp;"|"&amp;RIGHT("000000"&amp;$C1104,6))</f>
        <v/>
      </c>
      <c r="F1104">
        <f>IF(Sync!$AJ1104="","",Sync!$AJ1104)</f>
        <v/>
      </c>
      <c r="G1104">
        <f>IF($F1104="","",IF(Sync!$AG1104="","",IF(ISNUMBER(Sync!$AG1104),IF(AND(Sync!$AG1104&gt;=10000101,Sync!$AG1104&lt;=99991231),INT(Sync!$AG1104/10000),""),IFERROR(VALUE(TRIM(LEFT(Sync!$AG1104,FIND("/",Sync!$AG1104)-1))),""))))</f>
        <v/>
      </c>
      <c r="H1104">
        <f>IF(OR($F1104="",$G1104=""),"",IF(ISNUMBER(Sync!$AG1104),INT(MOD(Sync!$AG1104,10000)/100),IFERROR(VALUE(TRIM(LEFT(MID(Sync!$AG1104,FIND("/",Sync!$AG1104)+1,20),FIND("/",MID(Sync!$AG1104,FIND("/",Sync!$AG1104)+1,20))-1))),"")))</f>
        <v/>
      </c>
      <c r="I1104">
        <f>IF(OR($F1104="",$G1104=""),"",IF(ISNUMBER(Sync!$AG1104),MOD(Sync!$AG1104,100),IFERROR(VALUE(TRIM(MID(MID(Sync!$AG1104,FIND("/",Sync!$AG1104)+1,20),FIND("/",MID(Sync!$AG1104,FIND("/",Sync!$AG1104)+1,20))+1,20))),"")))</f>
        <v/>
      </c>
      <c r="J1104">
        <f>IF($F1104="","",IF(OR($G1104="",$H1104="",$I1104="",$G1104&lt;1300,$G1104&gt;1500,$H1104&lt;1,$H1104&gt;12,$I1104&lt;1,$I1104&gt;31),"نامعتبر",RIGHT("0000"&amp;$G1104,4)&amp;"/"&amp;RIGHT("00"&amp;$H1104,2)&amp;"/"&amp;RIGHT("00"&amp;$I1104,2)))</f>
        <v/>
      </c>
      <c r="K1104">
        <f>IF(OR($F1104="",$J1104="",$J1104="نامعتبر"),"",LEFT($J1104,4)&amp;MID($J1104,6,2)&amp;RIGHT($J1104,2)&amp;$N1104&amp;"|"&amp;"2"&amp;RIGHT("00000"&amp;1099,5))</f>
        <v/>
      </c>
      <c r="L1104">
        <f>IF($K1104="","",COUNTIFS(LdgPartyA,$F1104,LdgKeyA,"&lt;"&amp;$K1104)+COUNTIFS(LdgPartyB,$F1104,LdgKeyB,"&lt;"&amp;$K1104)+1)</f>
        <v/>
      </c>
      <c r="M1104">
        <f>IF($L1104="","",$F1104&amp;"|"&amp;RIGHT("000000"&amp;$L1104,6))</f>
        <v/>
      </c>
      <c r="N1104">
        <f>IF($F1104="","",IF(Sync!$AH1104="","0000",IF(AND(ISNUMBER(Sync!$AH1104),Sync!$AH1104&gt;=0,Sync!$AH1104&lt;1),RIGHT("00"&amp;HOUR(Sync!$AH1104),2)&amp;RIGHT("00"&amp;MINUTE(Sync!$AH1104),2),IFERROR(RIGHT("00"&amp;VALUE(LEFT(Sync!$AH1104,FIND(":",Sync!$AH1104)-1)),2)&amp;RIGHT("00"&amp;VALUE(MID(Sync!$AH1104,FIND(":",Sync!$AH1104)+1,2)),2),"0000"))))</f>
        <v/>
      </c>
    </row>
    <row r="1105">
      <c r="A1105">
        <f>IF(OR(Calc!$E1108="",Calc!$E1108="نامعتبر",Calc!$G1108="",Calc!$I1108&lt;&gt;"خرید"),"",Calc!$G1108)</f>
        <v/>
      </c>
      <c r="B1105">
        <f>IF($A1105="","",LEFT(Calc!$E1108,4)&amp;MID(Calc!$E1108,6,2)&amp;RIGHT(Calc!$E1108,2)&amp;Calc!$R1108&amp;"|"&amp;"1"&amp;RIGHT("00000"&amp;1100,5))</f>
        <v/>
      </c>
      <c r="C1105">
        <f>IF($B1105="","",COUNTIFS(LdgPartyA,$A1105,LdgKeyA,"&lt;"&amp;$B1105)+COUNTIFS(LdgPartyB,$A1105,LdgKeyB,"&lt;"&amp;$B1105)+1)</f>
        <v/>
      </c>
      <c r="D1105">
        <f>IF($C1105="","",$A1105&amp;"|"&amp;RIGHT("000000"&amp;$C1105,6))</f>
        <v/>
      </c>
      <c r="F1105">
        <f>IF(Sync!$AJ1105="","",Sync!$AJ1105)</f>
        <v/>
      </c>
      <c r="G1105">
        <f>IF($F1105="","",IF(Sync!$AG1105="","",IF(ISNUMBER(Sync!$AG1105),IF(AND(Sync!$AG1105&gt;=10000101,Sync!$AG1105&lt;=99991231),INT(Sync!$AG1105/10000),""),IFERROR(VALUE(TRIM(LEFT(Sync!$AG1105,FIND("/",Sync!$AG1105)-1))),""))))</f>
        <v/>
      </c>
      <c r="H1105">
        <f>IF(OR($F1105="",$G1105=""),"",IF(ISNUMBER(Sync!$AG1105),INT(MOD(Sync!$AG1105,10000)/100),IFERROR(VALUE(TRIM(LEFT(MID(Sync!$AG1105,FIND("/",Sync!$AG1105)+1,20),FIND("/",MID(Sync!$AG1105,FIND("/",Sync!$AG1105)+1,20))-1))),"")))</f>
        <v/>
      </c>
      <c r="I1105">
        <f>IF(OR($F1105="",$G1105=""),"",IF(ISNUMBER(Sync!$AG1105),MOD(Sync!$AG1105,100),IFERROR(VALUE(TRIM(MID(MID(Sync!$AG1105,FIND("/",Sync!$AG1105)+1,20),FIND("/",MID(Sync!$AG1105,FIND("/",Sync!$AG1105)+1,20))+1,20))),"")))</f>
        <v/>
      </c>
      <c r="J1105">
        <f>IF($F1105="","",IF(OR($G1105="",$H1105="",$I1105="",$G1105&lt;1300,$G1105&gt;1500,$H1105&lt;1,$H1105&gt;12,$I1105&lt;1,$I1105&gt;31),"نامعتبر",RIGHT("0000"&amp;$G1105,4)&amp;"/"&amp;RIGHT("00"&amp;$H1105,2)&amp;"/"&amp;RIGHT("00"&amp;$I1105,2)))</f>
        <v/>
      </c>
      <c r="K1105">
        <f>IF(OR($F1105="",$J1105="",$J1105="نامعتبر"),"",LEFT($J1105,4)&amp;MID($J1105,6,2)&amp;RIGHT($J1105,2)&amp;$N1105&amp;"|"&amp;"2"&amp;RIGHT("00000"&amp;1100,5))</f>
        <v/>
      </c>
      <c r="L1105">
        <f>IF($K1105="","",COUNTIFS(LdgPartyA,$F1105,LdgKeyA,"&lt;"&amp;$K1105)+COUNTIFS(LdgPartyB,$F1105,LdgKeyB,"&lt;"&amp;$K1105)+1)</f>
        <v/>
      </c>
      <c r="M1105">
        <f>IF($L1105="","",$F1105&amp;"|"&amp;RIGHT("000000"&amp;$L1105,6))</f>
        <v/>
      </c>
      <c r="N1105">
        <f>IF($F1105="","",IF(Sync!$AH1105="","0000",IF(AND(ISNUMBER(Sync!$AH1105),Sync!$AH1105&gt;=0,Sync!$AH1105&lt;1),RIGHT("00"&amp;HOUR(Sync!$AH1105),2)&amp;RIGHT("00"&amp;MINUTE(Sync!$AH1105),2),IFERROR(RIGHT("00"&amp;VALUE(LEFT(Sync!$AH1105,FIND(":",Sync!$AH1105)-1)),2)&amp;RIGHT("00"&amp;VALUE(MID(Sync!$AH1105,FIND(":",Sync!$AH1105)+1,2)),2),"0000"))))</f>
        <v/>
      </c>
    </row>
    <row r="1106">
      <c r="A1106">
        <f>IF(OR(Calc!$E1109="",Calc!$E1109="نامعتبر",Calc!$G1109="",Calc!$I1109&lt;&gt;"خرید"),"",Calc!$G1109)</f>
        <v/>
      </c>
      <c r="B1106">
        <f>IF($A1106="","",LEFT(Calc!$E1109,4)&amp;MID(Calc!$E1109,6,2)&amp;RIGHT(Calc!$E1109,2)&amp;Calc!$R1109&amp;"|"&amp;"1"&amp;RIGHT("00000"&amp;1101,5))</f>
        <v/>
      </c>
      <c r="C1106">
        <f>IF($B1106="","",COUNTIFS(LdgPartyA,$A1106,LdgKeyA,"&lt;"&amp;$B1106)+COUNTIFS(LdgPartyB,$A1106,LdgKeyB,"&lt;"&amp;$B1106)+1)</f>
        <v/>
      </c>
      <c r="D1106">
        <f>IF($C1106="","",$A1106&amp;"|"&amp;RIGHT("000000"&amp;$C1106,6))</f>
        <v/>
      </c>
      <c r="F1106">
        <f>IF(Sync!$AJ1106="","",Sync!$AJ1106)</f>
        <v/>
      </c>
      <c r="G1106">
        <f>IF($F1106="","",IF(Sync!$AG1106="","",IF(ISNUMBER(Sync!$AG1106),IF(AND(Sync!$AG1106&gt;=10000101,Sync!$AG1106&lt;=99991231),INT(Sync!$AG1106/10000),""),IFERROR(VALUE(TRIM(LEFT(Sync!$AG1106,FIND("/",Sync!$AG1106)-1))),""))))</f>
        <v/>
      </c>
      <c r="H1106">
        <f>IF(OR($F1106="",$G1106=""),"",IF(ISNUMBER(Sync!$AG1106),INT(MOD(Sync!$AG1106,10000)/100),IFERROR(VALUE(TRIM(LEFT(MID(Sync!$AG1106,FIND("/",Sync!$AG1106)+1,20),FIND("/",MID(Sync!$AG1106,FIND("/",Sync!$AG1106)+1,20))-1))),"")))</f>
        <v/>
      </c>
      <c r="I1106">
        <f>IF(OR($F1106="",$G1106=""),"",IF(ISNUMBER(Sync!$AG1106),MOD(Sync!$AG1106,100),IFERROR(VALUE(TRIM(MID(MID(Sync!$AG1106,FIND("/",Sync!$AG1106)+1,20),FIND("/",MID(Sync!$AG1106,FIND("/",Sync!$AG1106)+1,20))+1,20))),"")))</f>
        <v/>
      </c>
      <c r="J1106">
        <f>IF($F1106="","",IF(OR($G1106="",$H1106="",$I1106="",$G1106&lt;1300,$G1106&gt;1500,$H1106&lt;1,$H1106&gt;12,$I1106&lt;1,$I1106&gt;31),"نامعتبر",RIGHT("0000"&amp;$G1106,4)&amp;"/"&amp;RIGHT("00"&amp;$H1106,2)&amp;"/"&amp;RIGHT("00"&amp;$I1106,2)))</f>
        <v/>
      </c>
      <c r="K1106">
        <f>IF(OR($F1106="",$J1106="",$J1106="نامعتبر"),"",LEFT($J1106,4)&amp;MID($J1106,6,2)&amp;RIGHT($J1106,2)&amp;$N1106&amp;"|"&amp;"2"&amp;RIGHT("00000"&amp;1101,5))</f>
        <v/>
      </c>
      <c r="L1106">
        <f>IF($K1106="","",COUNTIFS(LdgPartyA,$F1106,LdgKeyA,"&lt;"&amp;$K1106)+COUNTIFS(LdgPartyB,$F1106,LdgKeyB,"&lt;"&amp;$K1106)+1)</f>
        <v/>
      </c>
      <c r="M1106">
        <f>IF($L1106="","",$F1106&amp;"|"&amp;RIGHT("000000"&amp;$L1106,6))</f>
        <v/>
      </c>
      <c r="N1106">
        <f>IF($F1106="","",IF(Sync!$AH1106="","0000",IF(AND(ISNUMBER(Sync!$AH1106),Sync!$AH1106&gt;=0,Sync!$AH1106&lt;1),RIGHT("00"&amp;HOUR(Sync!$AH1106),2)&amp;RIGHT("00"&amp;MINUTE(Sync!$AH1106),2),IFERROR(RIGHT("00"&amp;VALUE(LEFT(Sync!$AH1106,FIND(":",Sync!$AH1106)-1)),2)&amp;RIGHT("00"&amp;VALUE(MID(Sync!$AH1106,FIND(":",Sync!$AH1106)+1,2)),2),"0000"))))</f>
        <v/>
      </c>
    </row>
    <row r="1107">
      <c r="A1107">
        <f>IF(OR(Calc!$E1110="",Calc!$E1110="نامعتبر",Calc!$G1110="",Calc!$I1110&lt;&gt;"خرید"),"",Calc!$G1110)</f>
        <v/>
      </c>
      <c r="B1107">
        <f>IF($A1107="","",LEFT(Calc!$E1110,4)&amp;MID(Calc!$E1110,6,2)&amp;RIGHT(Calc!$E1110,2)&amp;Calc!$R1110&amp;"|"&amp;"1"&amp;RIGHT("00000"&amp;1102,5))</f>
        <v/>
      </c>
      <c r="C1107">
        <f>IF($B1107="","",COUNTIFS(LdgPartyA,$A1107,LdgKeyA,"&lt;"&amp;$B1107)+COUNTIFS(LdgPartyB,$A1107,LdgKeyB,"&lt;"&amp;$B1107)+1)</f>
        <v/>
      </c>
      <c r="D1107">
        <f>IF($C1107="","",$A1107&amp;"|"&amp;RIGHT("000000"&amp;$C1107,6))</f>
        <v/>
      </c>
      <c r="F1107">
        <f>IF(Sync!$AJ1107="","",Sync!$AJ1107)</f>
        <v/>
      </c>
      <c r="G1107">
        <f>IF($F1107="","",IF(Sync!$AG1107="","",IF(ISNUMBER(Sync!$AG1107),IF(AND(Sync!$AG1107&gt;=10000101,Sync!$AG1107&lt;=99991231),INT(Sync!$AG1107/10000),""),IFERROR(VALUE(TRIM(LEFT(Sync!$AG1107,FIND("/",Sync!$AG1107)-1))),""))))</f>
        <v/>
      </c>
      <c r="H1107">
        <f>IF(OR($F1107="",$G1107=""),"",IF(ISNUMBER(Sync!$AG1107),INT(MOD(Sync!$AG1107,10000)/100),IFERROR(VALUE(TRIM(LEFT(MID(Sync!$AG1107,FIND("/",Sync!$AG1107)+1,20),FIND("/",MID(Sync!$AG1107,FIND("/",Sync!$AG1107)+1,20))-1))),"")))</f>
        <v/>
      </c>
      <c r="I1107">
        <f>IF(OR($F1107="",$G1107=""),"",IF(ISNUMBER(Sync!$AG1107),MOD(Sync!$AG1107,100),IFERROR(VALUE(TRIM(MID(MID(Sync!$AG1107,FIND("/",Sync!$AG1107)+1,20),FIND("/",MID(Sync!$AG1107,FIND("/",Sync!$AG1107)+1,20))+1,20))),"")))</f>
        <v/>
      </c>
      <c r="J1107">
        <f>IF($F1107="","",IF(OR($G1107="",$H1107="",$I1107="",$G1107&lt;1300,$G1107&gt;1500,$H1107&lt;1,$H1107&gt;12,$I1107&lt;1,$I1107&gt;31),"نامعتبر",RIGHT("0000"&amp;$G1107,4)&amp;"/"&amp;RIGHT("00"&amp;$H1107,2)&amp;"/"&amp;RIGHT("00"&amp;$I1107,2)))</f>
        <v/>
      </c>
      <c r="K1107">
        <f>IF(OR($F1107="",$J1107="",$J1107="نامعتبر"),"",LEFT($J1107,4)&amp;MID($J1107,6,2)&amp;RIGHT($J1107,2)&amp;$N1107&amp;"|"&amp;"2"&amp;RIGHT("00000"&amp;1102,5))</f>
        <v/>
      </c>
      <c r="L1107">
        <f>IF($K1107="","",COUNTIFS(LdgPartyA,$F1107,LdgKeyA,"&lt;"&amp;$K1107)+COUNTIFS(LdgPartyB,$F1107,LdgKeyB,"&lt;"&amp;$K1107)+1)</f>
        <v/>
      </c>
      <c r="M1107">
        <f>IF($L1107="","",$F1107&amp;"|"&amp;RIGHT("000000"&amp;$L1107,6))</f>
        <v/>
      </c>
      <c r="N1107">
        <f>IF($F1107="","",IF(Sync!$AH1107="","0000",IF(AND(ISNUMBER(Sync!$AH1107),Sync!$AH1107&gt;=0,Sync!$AH1107&lt;1),RIGHT("00"&amp;HOUR(Sync!$AH1107),2)&amp;RIGHT("00"&amp;MINUTE(Sync!$AH1107),2),IFERROR(RIGHT("00"&amp;VALUE(LEFT(Sync!$AH1107,FIND(":",Sync!$AH1107)-1)),2)&amp;RIGHT("00"&amp;VALUE(MID(Sync!$AH1107,FIND(":",Sync!$AH1107)+1,2)),2),"0000"))))</f>
        <v/>
      </c>
    </row>
    <row r="1108">
      <c r="A1108">
        <f>IF(OR(Calc!$E1111="",Calc!$E1111="نامعتبر",Calc!$G1111="",Calc!$I1111&lt;&gt;"خرید"),"",Calc!$G1111)</f>
        <v/>
      </c>
      <c r="B1108">
        <f>IF($A1108="","",LEFT(Calc!$E1111,4)&amp;MID(Calc!$E1111,6,2)&amp;RIGHT(Calc!$E1111,2)&amp;Calc!$R1111&amp;"|"&amp;"1"&amp;RIGHT("00000"&amp;1103,5))</f>
        <v/>
      </c>
      <c r="C1108">
        <f>IF($B1108="","",COUNTIFS(LdgPartyA,$A1108,LdgKeyA,"&lt;"&amp;$B1108)+COUNTIFS(LdgPartyB,$A1108,LdgKeyB,"&lt;"&amp;$B1108)+1)</f>
        <v/>
      </c>
      <c r="D1108">
        <f>IF($C1108="","",$A1108&amp;"|"&amp;RIGHT("000000"&amp;$C1108,6))</f>
        <v/>
      </c>
      <c r="F1108">
        <f>IF(Sync!$AJ1108="","",Sync!$AJ1108)</f>
        <v/>
      </c>
      <c r="G1108">
        <f>IF($F1108="","",IF(Sync!$AG1108="","",IF(ISNUMBER(Sync!$AG1108),IF(AND(Sync!$AG1108&gt;=10000101,Sync!$AG1108&lt;=99991231),INT(Sync!$AG1108/10000),""),IFERROR(VALUE(TRIM(LEFT(Sync!$AG1108,FIND("/",Sync!$AG1108)-1))),""))))</f>
        <v/>
      </c>
      <c r="H1108">
        <f>IF(OR($F1108="",$G1108=""),"",IF(ISNUMBER(Sync!$AG1108),INT(MOD(Sync!$AG1108,10000)/100),IFERROR(VALUE(TRIM(LEFT(MID(Sync!$AG1108,FIND("/",Sync!$AG1108)+1,20),FIND("/",MID(Sync!$AG1108,FIND("/",Sync!$AG1108)+1,20))-1))),"")))</f>
        <v/>
      </c>
      <c r="I1108">
        <f>IF(OR($F1108="",$G1108=""),"",IF(ISNUMBER(Sync!$AG1108),MOD(Sync!$AG1108,100),IFERROR(VALUE(TRIM(MID(MID(Sync!$AG1108,FIND("/",Sync!$AG1108)+1,20),FIND("/",MID(Sync!$AG1108,FIND("/",Sync!$AG1108)+1,20))+1,20))),"")))</f>
        <v/>
      </c>
      <c r="J1108">
        <f>IF($F1108="","",IF(OR($G1108="",$H1108="",$I1108="",$G1108&lt;1300,$G1108&gt;1500,$H1108&lt;1,$H1108&gt;12,$I1108&lt;1,$I1108&gt;31),"نامعتبر",RIGHT("0000"&amp;$G1108,4)&amp;"/"&amp;RIGHT("00"&amp;$H1108,2)&amp;"/"&amp;RIGHT("00"&amp;$I1108,2)))</f>
        <v/>
      </c>
      <c r="K1108">
        <f>IF(OR($F1108="",$J1108="",$J1108="نامعتبر"),"",LEFT($J1108,4)&amp;MID($J1108,6,2)&amp;RIGHT($J1108,2)&amp;$N1108&amp;"|"&amp;"2"&amp;RIGHT("00000"&amp;1103,5))</f>
        <v/>
      </c>
      <c r="L1108">
        <f>IF($K1108="","",COUNTIFS(LdgPartyA,$F1108,LdgKeyA,"&lt;"&amp;$K1108)+COUNTIFS(LdgPartyB,$F1108,LdgKeyB,"&lt;"&amp;$K1108)+1)</f>
        <v/>
      </c>
      <c r="M1108">
        <f>IF($L1108="","",$F1108&amp;"|"&amp;RIGHT("000000"&amp;$L1108,6))</f>
        <v/>
      </c>
      <c r="N1108">
        <f>IF($F1108="","",IF(Sync!$AH1108="","0000",IF(AND(ISNUMBER(Sync!$AH1108),Sync!$AH1108&gt;=0,Sync!$AH1108&lt;1),RIGHT("00"&amp;HOUR(Sync!$AH1108),2)&amp;RIGHT("00"&amp;MINUTE(Sync!$AH1108),2),IFERROR(RIGHT("00"&amp;VALUE(LEFT(Sync!$AH1108,FIND(":",Sync!$AH1108)-1)),2)&amp;RIGHT("00"&amp;VALUE(MID(Sync!$AH1108,FIND(":",Sync!$AH1108)+1,2)),2),"0000"))))</f>
        <v/>
      </c>
    </row>
    <row r="1109">
      <c r="A1109">
        <f>IF(OR(Calc!$E1112="",Calc!$E1112="نامعتبر",Calc!$G1112="",Calc!$I1112&lt;&gt;"خرید"),"",Calc!$G1112)</f>
        <v/>
      </c>
      <c r="B1109">
        <f>IF($A1109="","",LEFT(Calc!$E1112,4)&amp;MID(Calc!$E1112,6,2)&amp;RIGHT(Calc!$E1112,2)&amp;Calc!$R1112&amp;"|"&amp;"1"&amp;RIGHT("00000"&amp;1104,5))</f>
        <v/>
      </c>
      <c r="C1109">
        <f>IF($B1109="","",COUNTIFS(LdgPartyA,$A1109,LdgKeyA,"&lt;"&amp;$B1109)+COUNTIFS(LdgPartyB,$A1109,LdgKeyB,"&lt;"&amp;$B1109)+1)</f>
        <v/>
      </c>
      <c r="D1109">
        <f>IF($C1109="","",$A1109&amp;"|"&amp;RIGHT("000000"&amp;$C1109,6))</f>
        <v/>
      </c>
      <c r="F1109">
        <f>IF(Sync!$AJ1109="","",Sync!$AJ1109)</f>
        <v/>
      </c>
      <c r="G1109">
        <f>IF($F1109="","",IF(Sync!$AG1109="","",IF(ISNUMBER(Sync!$AG1109),IF(AND(Sync!$AG1109&gt;=10000101,Sync!$AG1109&lt;=99991231),INT(Sync!$AG1109/10000),""),IFERROR(VALUE(TRIM(LEFT(Sync!$AG1109,FIND("/",Sync!$AG1109)-1))),""))))</f>
        <v/>
      </c>
      <c r="H1109">
        <f>IF(OR($F1109="",$G1109=""),"",IF(ISNUMBER(Sync!$AG1109),INT(MOD(Sync!$AG1109,10000)/100),IFERROR(VALUE(TRIM(LEFT(MID(Sync!$AG1109,FIND("/",Sync!$AG1109)+1,20),FIND("/",MID(Sync!$AG1109,FIND("/",Sync!$AG1109)+1,20))-1))),"")))</f>
        <v/>
      </c>
      <c r="I1109">
        <f>IF(OR($F1109="",$G1109=""),"",IF(ISNUMBER(Sync!$AG1109),MOD(Sync!$AG1109,100),IFERROR(VALUE(TRIM(MID(MID(Sync!$AG1109,FIND("/",Sync!$AG1109)+1,20),FIND("/",MID(Sync!$AG1109,FIND("/",Sync!$AG1109)+1,20))+1,20))),"")))</f>
        <v/>
      </c>
      <c r="J1109">
        <f>IF($F1109="","",IF(OR($G1109="",$H1109="",$I1109="",$G1109&lt;1300,$G1109&gt;1500,$H1109&lt;1,$H1109&gt;12,$I1109&lt;1,$I1109&gt;31),"نامعتبر",RIGHT("0000"&amp;$G1109,4)&amp;"/"&amp;RIGHT("00"&amp;$H1109,2)&amp;"/"&amp;RIGHT("00"&amp;$I1109,2)))</f>
        <v/>
      </c>
      <c r="K1109">
        <f>IF(OR($F1109="",$J1109="",$J1109="نامعتبر"),"",LEFT($J1109,4)&amp;MID($J1109,6,2)&amp;RIGHT($J1109,2)&amp;$N1109&amp;"|"&amp;"2"&amp;RIGHT("00000"&amp;1104,5))</f>
        <v/>
      </c>
      <c r="L1109">
        <f>IF($K1109="","",COUNTIFS(LdgPartyA,$F1109,LdgKeyA,"&lt;"&amp;$K1109)+COUNTIFS(LdgPartyB,$F1109,LdgKeyB,"&lt;"&amp;$K1109)+1)</f>
        <v/>
      </c>
      <c r="M1109">
        <f>IF($L1109="","",$F1109&amp;"|"&amp;RIGHT("000000"&amp;$L1109,6))</f>
        <v/>
      </c>
      <c r="N1109">
        <f>IF($F1109="","",IF(Sync!$AH1109="","0000",IF(AND(ISNUMBER(Sync!$AH1109),Sync!$AH1109&gt;=0,Sync!$AH1109&lt;1),RIGHT("00"&amp;HOUR(Sync!$AH1109),2)&amp;RIGHT("00"&amp;MINUTE(Sync!$AH1109),2),IFERROR(RIGHT("00"&amp;VALUE(LEFT(Sync!$AH1109,FIND(":",Sync!$AH1109)-1)),2)&amp;RIGHT("00"&amp;VALUE(MID(Sync!$AH1109,FIND(":",Sync!$AH1109)+1,2)),2),"0000"))))</f>
        <v/>
      </c>
    </row>
    <row r="1110">
      <c r="A1110">
        <f>IF(OR(Calc!$E1113="",Calc!$E1113="نامعتبر",Calc!$G1113="",Calc!$I1113&lt;&gt;"خرید"),"",Calc!$G1113)</f>
        <v/>
      </c>
      <c r="B1110">
        <f>IF($A1110="","",LEFT(Calc!$E1113,4)&amp;MID(Calc!$E1113,6,2)&amp;RIGHT(Calc!$E1113,2)&amp;Calc!$R1113&amp;"|"&amp;"1"&amp;RIGHT("00000"&amp;1105,5))</f>
        <v/>
      </c>
      <c r="C1110">
        <f>IF($B1110="","",COUNTIFS(LdgPartyA,$A1110,LdgKeyA,"&lt;"&amp;$B1110)+COUNTIFS(LdgPartyB,$A1110,LdgKeyB,"&lt;"&amp;$B1110)+1)</f>
        <v/>
      </c>
      <c r="D1110">
        <f>IF($C1110="","",$A1110&amp;"|"&amp;RIGHT("000000"&amp;$C1110,6))</f>
        <v/>
      </c>
      <c r="F1110">
        <f>IF(Sync!$AJ1110="","",Sync!$AJ1110)</f>
        <v/>
      </c>
      <c r="G1110">
        <f>IF($F1110="","",IF(Sync!$AG1110="","",IF(ISNUMBER(Sync!$AG1110),IF(AND(Sync!$AG1110&gt;=10000101,Sync!$AG1110&lt;=99991231),INT(Sync!$AG1110/10000),""),IFERROR(VALUE(TRIM(LEFT(Sync!$AG1110,FIND("/",Sync!$AG1110)-1))),""))))</f>
        <v/>
      </c>
      <c r="H1110">
        <f>IF(OR($F1110="",$G1110=""),"",IF(ISNUMBER(Sync!$AG1110),INT(MOD(Sync!$AG1110,10000)/100),IFERROR(VALUE(TRIM(LEFT(MID(Sync!$AG1110,FIND("/",Sync!$AG1110)+1,20),FIND("/",MID(Sync!$AG1110,FIND("/",Sync!$AG1110)+1,20))-1))),"")))</f>
        <v/>
      </c>
      <c r="I1110">
        <f>IF(OR($F1110="",$G1110=""),"",IF(ISNUMBER(Sync!$AG1110),MOD(Sync!$AG1110,100),IFERROR(VALUE(TRIM(MID(MID(Sync!$AG1110,FIND("/",Sync!$AG1110)+1,20),FIND("/",MID(Sync!$AG1110,FIND("/",Sync!$AG1110)+1,20))+1,20))),"")))</f>
        <v/>
      </c>
      <c r="J1110">
        <f>IF($F1110="","",IF(OR($G1110="",$H1110="",$I1110="",$G1110&lt;1300,$G1110&gt;1500,$H1110&lt;1,$H1110&gt;12,$I1110&lt;1,$I1110&gt;31),"نامعتبر",RIGHT("0000"&amp;$G1110,4)&amp;"/"&amp;RIGHT("00"&amp;$H1110,2)&amp;"/"&amp;RIGHT("00"&amp;$I1110,2)))</f>
        <v/>
      </c>
      <c r="K1110">
        <f>IF(OR($F1110="",$J1110="",$J1110="نامعتبر"),"",LEFT($J1110,4)&amp;MID($J1110,6,2)&amp;RIGHT($J1110,2)&amp;$N1110&amp;"|"&amp;"2"&amp;RIGHT("00000"&amp;1105,5))</f>
        <v/>
      </c>
      <c r="L1110">
        <f>IF($K1110="","",COUNTIFS(LdgPartyA,$F1110,LdgKeyA,"&lt;"&amp;$K1110)+COUNTIFS(LdgPartyB,$F1110,LdgKeyB,"&lt;"&amp;$K1110)+1)</f>
        <v/>
      </c>
      <c r="M1110">
        <f>IF($L1110="","",$F1110&amp;"|"&amp;RIGHT("000000"&amp;$L1110,6))</f>
        <v/>
      </c>
      <c r="N1110">
        <f>IF($F1110="","",IF(Sync!$AH1110="","0000",IF(AND(ISNUMBER(Sync!$AH1110),Sync!$AH1110&gt;=0,Sync!$AH1110&lt;1),RIGHT("00"&amp;HOUR(Sync!$AH1110),2)&amp;RIGHT("00"&amp;MINUTE(Sync!$AH1110),2),IFERROR(RIGHT("00"&amp;VALUE(LEFT(Sync!$AH1110,FIND(":",Sync!$AH1110)-1)),2)&amp;RIGHT("00"&amp;VALUE(MID(Sync!$AH1110,FIND(":",Sync!$AH1110)+1,2)),2),"0000"))))</f>
        <v/>
      </c>
    </row>
    <row r="1111">
      <c r="A1111">
        <f>IF(OR(Calc!$E1114="",Calc!$E1114="نامعتبر",Calc!$G1114="",Calc!$I1114&lt;&gt;"خرید"),"",Calc!$G1114)</f>
        <v/>
      </c>
      <c r="B1111">
        <f>IF($A1111="","",LEFT(Calc!$E1114,4)&amp;MID(Calc!$E1114,6,2)&amp;RIGHT(Calc!$E1114,2)&amp;Calc!$R1114&amp;"|"&amp;"1"&amp;RIGHT("00000"&amp;1106,5))</f>
        <v/>
      </c>
      <c r="C1111">
        <f>IF($B1111="","",COUNTIFS(LdgPartyA,$A1111,LdgKeyA,"&lt;"&amp;$B1111)+COUNTIFS(LdgPartyB,$A1111,LdgKeyB,"&lt;"&amp;$B1111)+1)</f>
        <v/>
      </c>
      <c r="D1111">
        <f>IF($C1111="","",$A1111&amp;"|"&amp;RIGHT("000000"&amp;$C1111,6))</f>
        <v/>
      </c>
      <c r="F1111">
        <f>IF(Sync!$AJ1111="","",Sync!$AJ1111)</f>
        <v/>
      </c>
      <c r="G1111">
        <f>IF($F1111="","",IF(Sync!$AG1111="","",IF(ISNUMBER(Sync!$AG1111),IF(AND(Sync!$AG1111&gt;=10000101,Sync!$AG1111&lt;=99991231),INT(Sync!$AG1111/10000),""),IFERROR(VALUE(TRIM(LEFT(Sync!$AG1111,FIND("/",Sync!$AG1111)-1))),""))))</f>
        <v/>
      </c>
      <c r="H1111">
        <f>IF(OR($F1111="",$G1111=""),"",IF(ISNUMBER(Sync!$AG1111),INT(MOD(Sync!$AG1111,10000)/100),IFERROR(VALUE(TRIM(LEFT(MID(Sync!$AG1111,FIND("/",Sync!$AG1111)+1,20),FIND("/",MID(Sync!$AG1111,FIND("/",Sync!$AG1111)+1,20))-1))),"")))</f>
        <v/>
      </c>
      <c r="I1111">
        <f>IF(OR($F1111="",$G1111=""),"",IF(ISNUMBER(Sync!$AG1111),MOD(Sync!$AG1111,100),IFERROR(VALUE(TRIM(MID(MID(Sync!$AG1111,FIND("/",Sync!$AG1111)+1,20),FIND("/",MID(Sync!$AG1111,FIND("/",Sync!$AG1111)+1,20))+1,20))),"")))</f>
        <v/>
      </c>
      <c r="J1111">
        <f>IF($F1111="","",IF(OR($G1111="",$H1111="",$I1111="",$G1111&lt;1300,$G1111&gt;1500,$H1111&lt;1,$H1111&gt;12,$I1111&lt;1,$I1111&gt;31),"نامعتبر",RIGHT("0000"&amp;$G1111,4)&amp;"/"&amp;RIGHT("00"&amp;$H1111,2)&amp;"/"&amp;RIGHT("00"&amp;$I1111,2)))</f>
        <v/>
      </c>
      <c r="K1111">
        <f>IF(OR($F1111="",$J1111="",$J1111="نامعتبر"),"",LEFT($J1111,4)&amp;MID($J1111,6,2)&amp;RIGHT($J1111,2)&amp;$N1111&amp;"|"&amp;"2"&amp;RIGHT("00000"&amp;1106,5))</f>
        <v/>
      </c>
      <c r="L1111">
        <f>IF($K1111="","",COUNTIFS(LdgPartyA,$F1111,LdgKeyA,"&lt;"&amp;$K1111)+COUNTIFS(LdgPartyB,$F1111,LdgKeyB,"&lt;"&amp;$K1111)+1)</f>
        <v/>
      </c>
      <c r="M1111">
        <f>IF($L1111="","",$F1111&amp;"|"&amp;RIGHT("000000"&amp;$L1111,6))</f>
        <v/>
      </c>
      <c r="N1111">
        <f>IF($F1111="","",IF(Sync!$AH1111="","0000",IF(AND(ISNUMBER(Sync!$AH1111),Sync!$AH1111&gt;=0,Sync!$AH1111&lt;1),RIGHT("00"&amp;HOUR(Sync!$AH1111),2)&amp;RIGHT("00"&amp;MINUTE(Sync!$AH1111),2),IFERROR(RIGHT("00"&amp;VALUE(LEFT(Sync!$AH1111,FIND(":",Sync!$AH1111)-1)),2)&amp;RIGHT("00"&amp;VALUE(MID(Sync!$AH1111,FIND(":",Sync!$AH1111)+1,2)),2),"0000"))))</f>
        <v/>
      </c>
    </row>
    <row r="1112">
      <c r="A1112">
        <f>IF(OR(Calc!$E1115="",Calc!$E1115="نامعتبر",Calc!$G1115="",Calc!$I1115&lt;&gt;"خرید"),"",Calc!$G1115)</f>
        <v/>
      </c>
      <c r="B1112">
        <f>IF($A1112="","",LEFT(Calc!$E1115,4)&amp;MID(Calc!$E1115,6,2)&amp;RIGHT(Calc!$E1115,2)&amp;Calc!$R1115&amp;"|"&amp;"1"&amp;RIGHT("00000"&amp;1107,5))</f>
        <v/>
      </c>
      <c r="C1112">
        <f>IF($B1112="","",COUNTIFS(LdgPartyA,$A1112,LdgKeyA,"&lt;"&amp;$B1112)+COUNTIFS(LdgPartyB,$A1112,LdgKeyB,"&lt;"&amp;$B1112)+1)</f>
        <v/>
      </c>
      <c r="D1112">
        <f>IF($C1112="","",$A1112&amp;"|"&amp;RIGHT("000000"&amp;$C1112,6))</f>
        <v/>
      </c>
      <c r="F1112">
        <f>IF(Sync!$AJ1112="","",Sync!$AJ1112)</f>
        <v/>
      </c>
      <c r="G1112">
        <f>IF($F1112="","",IF(Sync!$AG1112="","",IF(ISNUMBER(Sync!$AG1112),IF(AND(Sync!$AG1112&gt;=10000101,Sync!$AG1112&lt;=99991231),INT(Sync!$AG1112/10000),""),IFERROR(VALUE(TRIM(LEFT(Sync!$AG1112,FIND("/",Sync!$AG1112)-1))),""))))</f>
        <v/>
      </c>
      <c r="H1112">
        <f>IF(OR($F1112="",$G1112=""),"",IF(ISNUMBER(Sync!$AG1112),INT(MOD(Sync!$AG1112,10000)/100),IFERROR(VALUE(TRIM(LEFT(MID(Sync!$AG1112,FIND("/",Sync!$AG1112)+1,20),FIND("/",MID(Sync!$AG1112,FIND("/",Sync!$AG1112)+1,20))-1))),"")))</f>
        <v/>
      </c>
      <c r="I1112">
        <f>IF(OR($F1112="",$G1112=""),"",IF(ISNUMBER(Sync!$AG1112),MOD(Sync!$AG1112,100),IFERROR(VALUE(TRIM(MID(MID(Sync!$AG1112,FIND("/",Sync!$AG1112)+1,20),FIND("/",MID(Sync!$AG1112,FIND("/",Sync!$AG1112)+1,20))+1,20))),"")))</f>
        <v/>
      </c>
      <c r="J1112">
        <f>IF($F1112="","",IF(OR($G1112="",$H1112="",$I1112="",$G1112&lt;1300,$G1112&gt;1500,$H1112&lt;1,$H1112&gt;12,$I1112&lt;1,$I1112&gt;31),"نامعتبر",RIGHT("0000"&amp;$G1112,4)&amp;"/"&amp;RIGHT("00"&amp;$H1112,2)&amp;"/"&amp;RIGHT("00"&amp;$I1112,2)))</f>
        <v/>
      </c>
      <c r="K1112">
        <f>IF(OR($F1112="",$J1112="",$J1112="نامعتبر"),"",LEFT($J1112,4)&amp;MID($J1112,6,2)&amp;RIGHT($J1112,2)&amp;$N1112&amp;"|"&amp;"2"&amp;RIGHT("00000"&amp;1107,5))</f>
        <v/>
      </c>
      <c r="L1112">
        <f>IF($K1112="","",COUNTIFS(LdgPartyA,$F1112,LdgKeyA,"&lt;"&amp;$K1112)+COUNTIFS(LdgPartyB,$F1112,LdgKeyB,"&lt;"&amp;$K1112)+1)</f>
        <v/>
      </c>
      <c r="M1112">
        <f>IF($L1112="","",$F1112&amp;"|"&amp;RIGHT("000000"&amp;$L1112,6))</f>
        <v/>
      </c>
      <c r="N1112">
        <f>IF($F1112="","",IF(Sync!$AH1112="","0000",IF(AND(ISNUMBER(Sync!$AH1112),Sync!$AH1112&gt;=0,Sync!$AH1112&lt;1),RIGHT("00"&amp;HOUR(Sync!$AH1112),2)&amp;RIGHT("00"&amp;MINUTE(Sync!$AH1112),2),IFERROR(RIGHT("00"&amp;VALUE(LEFT(Sync!$AH1112,FIND(":",Sync!$AH1112)-1)),2)&amp;RIGHT("00"&amp;VALUE(MID(Sync!$AH1112,FIND(":",Sync!$AH1112)+1,2)),2),"0000"))))</f>
        <v/>
      </c>
    </row>
    <row r="1113">
      <c r="A1113">
        <f>IF(OR(Calc!$E1116="",Calc!$E1116="نامعتبر",Calc!$G1116="",Calc!$I1116&lt;&gt;"خرید"),"",Calc!$G1116)</f>
        <v/>
      </c>
      <c r="B1113">
        <f>IF($A1113="","",LEFT(Calc!$E1116,4)&amp;MID(Calc!$E1116,6,2)&amp;RIGHT(Calc!$E1116,2)&amp;Calc!$R1116&amp;"|"&amp;"1"&amp;RIGHT("00000"&amp;1108,5))</f>
        <v/>
      </c>
      <c r="C1113">
        <f>IF($B1113="","",COUNTIFS(LdgPartyA,$A1113,LdgKeyA,"&lt;"&amp;$B1113)+COUNTIFS(LdgPartyB,$A1113,LdgKeyB,"&lt;"&amp;$B1113)+1)</f>
        <v/>
      </c>
      <c r="D1113">
        <f>IF($C1113="","",$A1113&amp;"|"&amp;RIGHT("000000"&amp;$C1113,6))</f>
        <v/>
      </c>
      <c r="F1113">
        <f>IF(Sync!$AJ1113="","",Sync!$AJ1113)</f>
        <v/>
      </c>
      <c r="G1113">
        <f>IF($F1113="","",IF(Sync!$AG1113="","",IF(ISNUMBER(Sync!$AG1113),IF(AND(Sync!$AG1113&gt;=10000101,Sync!$AG1113&lt;=99991231),INT(Sync!$AG1113/10000),""),IFERROR(VALUE(TRIM(LEFT(Sync!$AG1113,FIND("/",Sync!$AG1113)-1))),""))))</f>
        <v/>
      </c>
      <c r="H1113">
        <f>IF(OR($F1113="",$G1113=""),"",IF(ISNUMBER(Sync!$AG1113),INT(MOD(Sync!$AG1113,10000)/100),IFERROR(VALUE(TRIM(LEFT(MID(Sync!$AG1113,FIND("/",Sync!$AG1113)+1,20),FIND("/",MID(Sync!$AG1113,FIND("/",Sync!$AG1113)+1,20))-1))),"")))</f>
        <v/>
      </c>
      <c r="I1113">
        <f>IF(OR($F1113="",$G1113=""),"",IF(ISNUMBER(Sync!$AG1113),MOD(Sync!$AG1113,100),IFERROR(VALUE(TRIM(MID(MID(Sync!$AG1113,FIND("/",Sync!$AG1113)+1,20),FIND("/",MID(Sync!$AG1113,FIND("/",Sync!$AG1113)+1,20))+1,20))),"")))</f>
        <v/>
      </c>
      <c r="J1113">
        <f>IF($F1113="","",IF(OR($G1113="",$H1113="",$I1113="",$G1113&lt;1300,$G1113&gt;1500,$H1113&lt;1,$H1113&gt;12,$I1113&lt;1,$I1113&gt;31),"نامعتبر",RIGHT("0000"&amp;$G1113,4)&amp;"/"&amp;RIGHT("00"&amp;$H1113,2)&amp;"/"&amp;RIGHT("00"&amp;$I1113,2)))</f>
        <v/>
      </c>
      <c r="K1113">
        <f>IF(OR($F1113="",$J1113="",$J1113="نامعتبر"),"",LEFT($J1113,4)&amp;MID($J1113,6,2)&amp;RIGHT($J1113,2)&amp;$N1113&amp;"|"&amp;"2"&amp;RIGHT("00000"&amp;1108,5))</f>
        <v/>
      </c>
      <c r="L1113">
        <f>IF($K1113="","",COUNTIFS(LdgPartyA,$F1113,LdgKeyA,"&lt;"&amp;$K1113)+COUNTIFS(LdgPartyB,$F1113,LdgKeyB,"&lt;"&amp;$K1113)+1)</f>
        <v/>
      </c>
      <c r="M1113">
        <f>IF($L1113="","",$F1113&amp;"|"&amp;RIGHT("000000"&amp;$L1113,6))</f>
        <v/>
      </c>
      <c r="N1113">
        <f>IF($F1113="","",IF(Sync!$AH1113="","0000",IF(AND(ISNUMBER(Sync!$AH1113),Sync!$AH1113&gt;=0,Sync!$AH1113&lt;1),RIGHT("00"&amp;HOUR(Sync!$AH1113),2)&amp;RIGHT("00"&amp;MINUTE(Sync!$AH1113),2),IFERROR(RIGHT("00"&amp;VALUE(LEFT(Sync!$AH1113,FIND(":",Sync!$AH1113)-1)),2)&amp;RIGHT("00"&amp;VALUE(MID(Sync!$AH1113,FIND(":",Sync!$AH1113)+1,2)),2),"0000"))))</f>
        <v/>
      </c>
    </row>
    <row r="1114">
      <c r="A1114">
        <f>IF(OR(Calc!$E1117="",Calc!$E1117="نامعتبر",Calc!$G1117="",Calc!$I1117&lt;&gt;"خرید"),"",Calc!$G1117)</f>
        <v/>
      </c>
      <c r="B1114">
        <f>IF($A1114="","",LEFT(Calc!$E1117,4)&amp;MID(Calc!$E1117,6,2)&amp;RIGHT(Calc!$E1117,2)&amp;Calc!$R1117&amp;"|"&amp;"1"&amp;RIGHT("00000"&amp;1109,5))</f>
        <v/>
      </c>
      <c r="C1114">
        <f>IF($B1114="","",COUNTIFS(LdgPartyA,$A1114,LdgKeyA,"&lt;"&amp;$B1114)+COUNTIFS(LdgPartyB,$A1114,LdgKeyB,"&lt;"&amp;$B1114)+1)</f>
        <v/>
      </c>
      <c r="D1114">
        <f>IF($C1114="","",$A1114&amp;"|"&amp;RIGHT("000000"&amp;$C1114,6))</f>
        <v/>
      </c>
      <c r="F1114">
        <f>IF(Sync!$AJ1114="","",Sync!$AJ1114)</f>
        <v/>
      </c>
      <c r="G1114">
        <f>IF($F1114="","",IF(Sync!$AG1114="","",IF(ISNUMBER(Sync!$AG1114),IF(AND(Sync!$AG1114&gt;=10000101,Sync!$AG1114&lt;=99991231),INT(Sync!$AG1114/10000),""),IFERROR(VALUE(TRIM(LEFT(Sync!$AG1114,FIND("/",Sync!$AG1114)-1))),""))))</f>
        <v/>
      </c>
      <c r="H1114">
        <f>IF(OR($F1114="",$G1114=""),"",IF(ISNUMBER(Sync!$AG1114),INT(MOD(Sync!$AG1114,10000)/100),IFERROR(VALUE(TRIM(LEFT(MID(Sync!$AG1114,FIND("/",Sync!$AG1114)+1,20),FIND("/",MID(Sync!$AG1114,FIND("/",Sync!$AG1114)+1,20))-1))),"")))</f>
        <v/>
      </c>
      <c r="I1114">
        <f>IF(OR($F1114="",$G1114=""),"",IF(ISNUMBER(Sync!$AG1114),MOD(Sync!$AG1114,100),IFERROR(VALUE(TRIM(MID(MID(Sync!$AG1114,FIND("/",Sync!$AG1114)+1,20),FIND("/",MID(Sync!$AG1114,FIND("/",Sync!$AG1114)+1,20))+1,20))),"")))</f>
        <v/>
      </c>
      <c r="J1114">
        <f>IF($F1114="","",IF(OR($G1114="",$H1114="",$I1114="",$G1114&lt;1300,$G1114&gt;1500,$H1114&lt;1,$H1114&gt;12,$I1114&lt;1,$I1114&gt;31),"نامعتبر",RIGHT("0000"&amp;$G1114,4)&amp;"/"&amp;RIGHT("00"&amp;$H1114,2)&amp;"/"&amp;RIGHT("00"&amp;$I1114,2)))</f>
        <v/>
      </c>
      <c r="K1114">
        <f>IF(OR($F1114="",$J1114="",$J1114="نامعتبر"),"",LEFT($J1114,4)&amp;MID($J1114,6,2)&amp;RIGHT($J1114,2)&amp;$N1114&amp;"|"&amp;"2"&amp;RIGHT("00000"&amp;1109,5))</f>
        <v/>
      </c>
      <c r="L1114">
        <f>IF($K1114="","",COUNTIFS(LdgPartyA,$F1114,LdgKeyA,"&lt;"&amp;$K1114)+COUNTIFS(LdgPartyB,$F1114,LdgKeyB,"&lt;"&amp;$K1114)+1)</f>
        <v/>
      </c>
      <c r="M1114">
        <f>IF($L1114="","",$F1114&amp;"|"&amp;RIGHT("000000"&amp;$L1114,6))</f>
        <v/>
      </c>
      <c r="N1114">
        <f>IF($F1114="","",IF(Sync!$AH1114="","0000",IF(AND(ISNUMBER(Sync!$AH1114),Sync!$AH1114&gt;=0,Sync!$AH1114&lt;1),RIGHT("00"&amp;HOUR(Sync!$AH1114),2)&amp;RIGHT("00"&amp;MINUTE(Sync!$AH1114),2),IFERROR(RIGHT("00"&amp;VALUE(LEFT(Sync!$AH1114,FIND(":",Sync!$AH1114)-1)),2)&amp;RIGHT("00"&amp;VALUE(MID(Sync!$AH1114,FIND(":",Sync!$AH1114)+1,2)),2),"0000"))))</f>
        <v/>
      </c>
    </row>
    <row r="1115">
      <c r="A1115">
        <f>IF(OR(Calc!$E1118="",Calc!$E1118="نامعتبر",Calc!$G1118="",Calc!$I1118&lt;&gt;"خرید"),"",Calc!$G1118)</f>
        <v/>
      </c>
      <c r="B1115">
        <f>IF($A1115="","",LEFT(Calc!$E1118,4)&amp;MID(Calc!$E1118,6,2)&amp;RIGHT(Calc!$E1118,2)&amp;Calc!$R1118&amp;"|"&amp;"1"&amp;RIGHT("00000"&amp;1110,5))</f>
        <v/>
      </c>
      <c r="C1115">
        <f>IF($B1115="","",COUNTIFS(LdgPartyA,$A1115,LdgKeyA,"&lt;"&amp;$B1115)+COUNTIFS(LdgPartyB,$A1115,LdgKeyB,"&lt;"&amp;$B1115)+1)</f>
        <v/>
      </c>
      <c r="D1115">
        <f>IF($C1115="","",$A1115&amp;"|"&amp;RIGHT("000000"&amp;$C1115,6))</f>
        <v/>
      </c>
      <c r="F1115">
        <f>IF(Sync!$AJ1115="","",Sync!$AJ1115)</f>
        <v/>
      </c>
      <c r="G1115">
        <f>IF($F1115="","",IF(Sync!$AG1115="","",IF(ISNUMBER(Sync!$AG1115),IF(AND(Sync!$AG1115&gt;=10000101,Sync!$AG1115&lt;=99991231),INT(Sync!$AG1115/10000),""),IFERROR(VALUE(TRIM(LEFT(Sync!$AG1115,FIND("/",Sync!$AG1115)-1))),""))))</f>
        <v/>
      </c>
      <c r="H1115">
        <f>IF(OR($F1115="",$G1115=""),"",IF(ISNUMBER(Sync!$AG1115),INT(MOD(Sync!$AG1115,10000)/100),IFERROR(VALUE(TRIM(LEFT(MID(Sync!$AG1115,FIND("/",Sync!$AG1115)+1,20),FIND("/",MID(Sync!$AG1115,FIND("/",Sync!$AG1115)+1,20))-1))),"")))</f>
        <v/>
      </c>
      <c r="I1115">
        <f>IF(OR($F1115="",$G1115=""),"",IF(ISNUMBER(Sync!$AG1115),MOD(Sync!$AG1115,100),IFERROR(VALUE(TRIM(MID(MID(Sync!$AG1115,FIND("/",Sync!$AG1115)+1,20),FIND("/",MID(Sync!$AG1115,FIND("/",Sync!$AG1115)+1,20))+1,20))),"")))</f>
        <v/>
      </c>
      <c r="J1115">
        <f>IF($F1115="","",IF(OR($G1115="",$H1115="",$I1115="",$G1115&lt;1300,$G1115&gt;1500,$H1115&lt;1,$H1115&gt;12,$I1115&lt;1,$I1115&gt;31),"نامعتبر",RIGHT("0000"&amp;$G1115,4)&amp;"/"&amp;RIGHT("00"&amp;$H1115,2)&amp;"/"&amp;RIGHT("00"&amp;$I1115,2)))</f>
        <v/>
      </c>
      <c r="K1115">
        <f>IF(OR($F1115="",$J1115="",$J1115="نامعتبر"),"",LEFT($J1115,4)&amp;MID($J1115,6,2)&amp;RIGHT($J1115,2)&amp;$N1115&amp;"|"&amp;"2"&amp;RIGHT("00000"&amp;1110,5))</f>
        <v/>
      </c>
      <c r="L1115">
        <f>IF($K1115="","",COUNTIFS(LdgPartyA,$F1115,LdgKeyA,"&lt;"&amp;$K1115)+COUNTIFS(LdgPartyB,$F1115,LdgKeyB,"&lt;"&amp;$K1115)+1)</f>
        <v/>
      </c>
      <c r="M1115">
        <f>IF($L1115="","",$F1115&amp;"|"&amp;RIGHT("000000"&amp;$L1115,6))</f>
        <v/>
      </c>
      <c r="N1115">
        <f>IF($F1115="","",IF(Sync!$AH1115="","0000",IF(AND(ISNUMBER(Sync!$AH1115),Sync!$AH1115&gt;=0,Sync!$AH1115&lt;1),RIGHT("00"&amp;HOUR(Sync!$AH1115),2)&amp;RIGHT("00"&amp;MINUTE(Sync!$AH1115),2),IFERROR(RIGHT("00"&amp;VALUE(LEFT(Sync!$AH1115,FIND(":",Sync!$AH1115)-1)),2)&amp;RIGHT("00"&amp;VALUE(MID(Sync!$AH1115,FIND(":",Sync!$AH1115)+1,2)),2),"0000"))))</f>
        <v/>
      </c>
    </row>
    <row r="1116">
      <c r="A1116">
        <f>IF(OR(Calc!$E1119="",Calc!$E1119="نامعتبر",Calc!$G1119="",Calc!$I1119&lt;&gt;"خرید"),"",Calc!$G1119)</f>
        <v/>
      </c>
      <c r="B1116">
        <f>IF($A1116="","",LEFT(Calc!$E1119,4)&amp;MID(Calc!$E1119,6,2)&amp;RIGHT(Calc!$E1119,2)&amp;Calc!$R1119&amp;"|"&amp;"1"&amp;RIGHT("00000"&amp;1111,5))</f>
        <v/>
      </c>
      <c r="C1116">
        <f>IF($B1116="","",COUNTIFS(LdgPartyA,$A1116,LdgKeyA,"&lt;"&amp;$B1116)+COUNTIFS(LdgPartyB,$A1116,LdgKeyB,"&lt;"&amp;$B1116)+1)</f>
        <v/>
      </c>
      <c r="D1116">
        <f>IF($C1116="","",$A1116&amp;"|"&amp;RIGHT("000000"&amp;$C1116,6))</f>
        <v/>
      </c>
      <c r="F1116">
        <f>IF(Sync!$AJ1116="","",Sync!$AJ1116)</f>
        <v/>
      </c>
      <c r="G1116">
        <f>IF($F1116="","",IF(Sync!$AG1116="","",IF(ISNUMBER(Sync!$AG1116),IF(AND(Sync!$AG1116&gt;=10000101,Sync!$AG1116&lt;=99991231),INT(Sync!$AG1116/10000),""),IFERROR(VALUE(TRIM(LEFT(Sync!$AG1116,FIND("/",Sync!$AG1116)-1))),""))))</f>
        <v/>
      </c>
      <c r="H1116">
        <f>IF(OR($F1116="",$G1116=""),"",IF(ISNUMBER(Sync!$AG1116),INT(MOD(Sync!$AG1116,10000)/100),IFERROR(VALUE(TRIM(LEFT(MID(Sync!$AG1116,FIND("/",Sync!$AG1116)+1,20),FIND("/",MID(Sync!$AG1116,FIND("/",Sync!$AG1116)+1,20))-1))),"")))</f>
        <v/>
      </c>
      <c r="I1116">
        <f>IF(OR($F1116="",$G1116=""),"",IF(ISNUMBER(Sync!$AG1116),MOD(Sync!$AG1116,100),IFERROR(VALUE(TRIM(MID(MID(Sync!$AG1116,FIND("/",Sync!$AG1116)+1,20),FIND("/",MID(Sync!$AG1116,FIND("/",Sync!$AG1116)+1,20))+1,20))),"")))</f>
        <v/>
      </c>
      <c r="J1116">
        <f>IF($F1116="","",IF(OR($G1116="",$H1116="",$I1116="",$G1116&lt;1300,$G1116&gt;1500,$H1116&lt;1,$H1116&gt;12,$I1116&lt;1,$I1116&gt;31),"نامعتبر",RIGHT("0000"&amp;$G1116,4)&amp;"/"&amp;RIGHT("00"&amp;$H1116,2)&amp;"/"&amp;RIGHT("00"&amp;$I1116,2)))</f>
        <v/>
      </c>
      <c r="K1116">
        <f>IF(OR($F1116="",$J1116="",$J1116="نامعتبر"),"",LEFT($J1116,4)&amp;MID($J1116,6,2)&amp;RIGHT($J1116,2)&amp;$N1116&amp;"|"&amp;"2"&amp;RIGHT("00000"&amp;1111,5))</f>
        <v/>
      </c>
      <c r="L1116">
        <f>IF($K1116="","",COUNTIFS(LdgPartyA,$F1116,LdgKeyA,"&lt;"&amp;$K1116)+COUNTIFS(LdgPartyB,$F1116,LdgKeyB,"&lt;"&amp;$K1116)+1)</f>
        <v/>
      </c>
      <c r="M1116">
        <f>IF($L1116="","",$F1116&amp;"|"&amp;RIGHT("000000"&amp;$L1116,6))</f>
        <v/>
      </c>
      <c r="N1116">
        <f>IF($F1116="","",IF(Sync!$AH1116="","0000",IF(AND(ISNUMBER(Sync!$AH1116),Sync!$AH1116&gt;=0,Sync!$AH1116&lt;1),RIGHT("00"&amp;HOUR(Sync!$AH1116),2)&amp;RIGHT("00"&amp;MINUTE(Sync!$AH1116),2),IFERROR(RIGHT("00"&amp;VALUE(LEFT(Sync!$AH1116,FIND(":",Sync!$AH1116)-1)),2)&amp;RIGHT("00"&amp;VALUE(MID(Sync!$AH1116,FIND(":",Sync!$AH1116)+1,2)),2),"0000"))))</f>
        <v/>
      </c>
    </row>
    <row r="1117">
      <c r="A1117">
        <f>IF(OR(Calc!$E1120="",Calc!$E1120="نامعتبر",Calc!$G1120="",Calc!$I1120&lt;&gt;"خرید"),"",Calc!$G1120)</f>
        <v/>
      </c>
      <c r="B1117">
        <f>IF($A1117="","",LEFT(Calc!$E1120,4)&amp;MID(Calc!$E1120,6,2)&amp;RIGHT(Calc!$E1120,2)&amp;Calc!$R1120&amp;"|"&amp;"1"&amp;RIGHT("00000"&amp;1112,5))</f>
        <v/>
      </c>
      <c r="C1117">
        <f>IF($B1117="","",COUNTIFS(LdgPartyA,$A1117,LdgKeyA,"&lt;"&amp;$B1117)+COUNTIFS(LdgPartyB,$A1117,LdgKeyB,"&lt;"&amp;$B1117)+1)</f>
        <v/>
      </c>
      <c r="D1117">
        <f>IF($C1117="","",$A1117&amp;"|"&amp;RIGHT("000000"&amp;$C1117,6))</f>
        <v/>
      </c>
      <c r="F1117">
        <f>IF(Sync!$AJ1117="","",Sync!$AJ1117)</f>
        <v/>
      </c>
      <c r="G1117">
        <f>IF($F1117="","",IF(Sync!$AG1117="","",IF(ISNUMBER(Sync!$AG1117),IF(AND(Sync!$AG1117&gt;=10000101,Sync!$AG1117&lt;=99991231),INT(Sync!$AG1117/10000),""),IFERROR(VALUE(TRIM(LEFT(Sync!$AG1117,FIND("/",Sync!$AG1117)-1))),""))))</f>
        <v/>
      </c>
      <c r="H1117">
        <f>IF(OR($F1117="",$G1117=""),"",IF(ISNUMBER(Sync!$AG1117),INT(MOD(Sync!$AG1117,10000)/100),IFERROR(VALUE(TRIM(LEFT(MID(Sync!$AG1117,FIND("/",Sync!$AG1117)+1,20),FIND("/",MID(Sync!$AG1117,FIND("/",Sync!$AG1117)+1,20))-1))),"")))</f>
        <v/>
      </c>
      <c r="I1117">
        <f>IF(OR($F1117="",$G1117=""),"",IF(ISNUMBER(Sync!$AG1117),MOD(Sync!$AG1117,100),IFERROR(VALUE(TRIM(MID(MID(Sync!$AG1117,FIND("/",Sync!$AG1117)+1,20),FIND("/",MID(Sync!$AG1117,FIND("/",Sync!$AG1117)+1,20))+1,20))),"")))</f>
        <v/>
      </c>
      <c r="J1117">
        <f>IF($F1117="","",IF(OR($G1117="",$H1117="",$I1117="",$G1117&lt;1300,$G1117&gt;1500,$H1117&lt;1,$H1117&gt;12,$I1117&lt;1,$I1117&gt;31),"نامعتبر",RIGHT("0000"&amp;$G1117,4)&amp;"/"&amp;RIGHT("00"&amp;$H1117,2)&amp;"/"&amp;RIGHT("00"&amp;$I1117,2)))</f>
        <v/>
      </c>
      <c r="K1117">
        <f>IF(OR($F1117="",$J1117="",$J1117="نامعتبر"),"",LEFT($J1117,4)&amp;MID($J1117,6,2)&amp;RIGHT($J1117,2)&amp;$N1117&amp;"|"&amp;"2"&amp;RIGHT("00000"&amp;1112,5))</f>
        <v/>
      </c>
      <c r="L1117">
        <f>IF($K1117="","",COUNTIFS(LdgPartyA,$F1117,LdgKeyA,"&lt;"&amp;$K1117)+COUNTIFS(LdgPartyB,$F1117,LdgKeyB,"&lt;"&amp;$K1117)+1)</f>
        <v/>
      </c>
      <c r="M1117">
        <f>IF($L1117="","",$F1117&amp;"|"&amp;RIGHT("000000"&amp;$L1117,6))</f>
        <v/>
      </c>
      <c r="N1117">
        <f>IF($F1117="","",IF(Sync!$AH1117="","0000",IF(AND(ISNUMBER(Sync!$AH1117),Sync!$AH1117&gt;=0,Sync!$AH1117&lt;1),RIGHT("00"&amp;HOUR(Sync!$AH1117),2)&amp;RIGHT("00"&amp;MINUTE(Sync!$AH1117),2),IFERROR(RIGHT("00"&amp;VALUE(LEFT(Sync!$AH1117,FIND(":",Sync!$AH1117)-1)),2)&amp;RIGHT("00"&amp;VALUE(MID(Sync!$AH1117,FIND(":",Sync!$AH1117)+1,2)),2),"0000"))))</f>
        <v/>
      </c>
    </row>
    <row r="1118">
      <c r="A1118">
        <f>IF(OR(Calc!$E1121="",Calc!$E1121="نامعتبر",Calc!$G1121="",Calc!$I1121&lt;&gt;"خرید"),"",Calc!$G1121)</f>
        <v/>
      </c>
      <c r="B1118">
        <f>IF($A1118="","",LEFT(Calc!$E1121,4)&amp;MID(Calc!$E1121,6,2)&amp;RIGHT(Calc!$E1121,2)&amp;Calc!$R1121&amp;"|"&amp;"1"&amp;RIGHT("00000"&amp;1113,5))</f>
        <v/>
      </c>
      <c r="C1118">
        <f>IF($B1118="","",COUNTIFS(LdgPartyA,$A1118,LdgKeyA,"&lt;"&amp;$B1118)+COUNTIFS(LdgPartyB,$A1118,LdgKeyB,"&lt;"&amp;$B1118)+1)</f>
        <v/>
      </c>
      <c r="D1118">
        <f>IF($C1118="","",$A1118&amp;"|"&amp;RIGHT("000000"&amp;$C1118,6))</f>
        <v/>
      </c>
      <c r="F1118">
        <f>IF(Sync!$AJ1118="","",Sync!$AJ1118)</f>
        <v/>
      </c>
      <c r="G1118">
        <f>IF($F1118="","",IF(Sync!$AG1118="","",IF(ISNUMBER(Sync!$AG1118),IF(AND(Sync!$AG1118&gt;=10000101,Sync!$AG1118&lt;=99991231),INT(Sync!$AG1118/10000),""),IFERROR(VALUE(TRIM(LEFT(Sync!$AG1118,FIND("/",Sync!$AG1118)-1))),""))))</f>
        <v/>
      </c>
      <c r="H1118">
        <f>IF(OR($F1118="",$G1118=""),"",IF(ISNUMBER(Sync!$AG1118),INT(MOD(Sync!$AG1118,10000)/100),IFERROR(VALUE(TRIM(LEFT(MID(Sync!$AG1118,FIND("/",Sync!$AG1118)+1,20),FIND("/",MID(Sync!$AG1118,FIND("/",Sync!$AG1118)+1,20))-1))),"")))</f>
        <v/>
      </c>
      <c r="I1118">
        <f>IF(OR($F1118="",$G1118=""),"",IF(ISNUMBER(Sync!$AG1118),MOD(Sync!$AG1118,100),IFERROR(VALUE(TRIM(MID(MID(Sync!$AG1118,FIND("/",Sync!$AG1118)+1,20),FIND("/",MID(Sync!$AG1118,FIND("/",Sync!$AG1118)+1,20))+1,20))),"")))</f>
        <v/>
      </c>
      <c r="J1118">
        <f>IF($F1118="","",IF(OR($G1118="",$H1118="",$I1118="",$G1118&lt;1300,$G1118&gt;1500,$H1118&lt;1,$H1118&gt;12,$I1118&lt;1,$I1118&gt;31),"نامعتبر",RIGHT("0000"&amp;$G1118,4)&amp;"/"&amp;RIGHT("00"&amp;$H1118,2)&amp;"/"&amp;RIGHT("00"&amp;$I1118,2)))</f>
        <v/>
      </c>
      <c r="K1118">
        <f>IF(OR($F1118="",$J1118="",$J1118="نامعتبر"),"",LEFT($J1118,4)&amp;MID($J1118,6,2)&amp;RIGHT($J1118,2)&amp;$N1118&amp;"|"&amp;"2"&amp;RIGHT("00000"&amp;1113,5))</f>
        <v/>
      </c>
      <c r="L1118">
        <f>IF($K1118="","",COUNTIFS(LdgPartyA,$F1118,LdgKeyA,"&lt;"&amp;$K1118)+COUNTIFS(LdgPartyB,$F1118,LdgKeyB,"&lt;"&amp;$K1118)+1)</f>
        <v/>
      </c>
      <c r="M1118">
        <f>IF($L1118="","",$F1118&amp;"|"&amp;RIGHT("000000"&amp;$L1118,6))</f>
        <v/>
      </c>
      <c r="N1118">
        <f>IF($F1118="","",IF(Sync!$AH1118="","0000",IF(AND(ISNUMBER(Sync!$AH1118),Sync!$AH1118&gt;=0,Sync!$AH1118&lt;1),RIGHT("00"&amp;HOUR(Sync!$AH1118),2)&amp;RIGHT("00"&amp;MINUTE(Sync!$AH1118),2),IFERROR(RIGHT("00"&amp;VALUE(LEFT(Sync!$AH1118,FIND(":",Sync!$AH1118)-1)),2)&amp;RIGHT("00"&amp;VALUE(MID(Sync!$AH1118,FIND(":",Sync!$AH1118)+1,2)),2),"0000"))))</f>
        <v/>
      </c>
    </row>
    <row r="1119">
      <c r="A1119">
        <f>IF(OR(Calc!$E1122="",Calc!$E1122="نامعتبر",Calc!$G1122="",Calc!$I1122&lt;&gt;"خرید"),"",Calc!$G1122)</f>
        <v/>
      </c>
      <c r="B1119">
        <f>IF($A1119="","",LEFT(Calc!$E1122,4)&amp;MID(Calc!$E1122,6,2)&amp;RIGHT(Calc!$E1122,2)&amp;Calc!$R1122&amp;"|"&amp;"1"&amp;RIGHT("00000"&amp;1114,5))</f>
        <v/>
      </c>
      <c r="C1119">
        <f>IF($B1119="","",COUNTIFS(LdgPartyA,$A1119,LdgKeyA,"&lt;"&amp;$B1119)+COUNTIFS(LdgPartyB,$A1119,LdgKeyB,"&lt;"&amp;$B1119)+1)</f>
        <v/>
      </c>
      <c r="D1119">
        <f>IF($C1119="","",$A1119&amp;"|"&amp;RIGHT("000000"&amp;$C1119,6))</f>
        <v/>
      </c>
      <c r="F1119">
        <f>IF(Sync!$AJ1119="","",Sync!$AJ1119)</f>
        <v/>
      </c>
      <c r="G1119">
        <f>IF($F1119="","",IF(Sync!$AG1119="","",IF(ISNUMBER(Sync!$AG1119),IF(AND(Sync!$AG1119&gt;=10000101,Sync!$AG1119&lt;=99991231),INT(Sync!$AG1119/10000),""),IFERROR(VALUE(TRIM(LEFT(Sync!$AG1119,FIND("/",Sync!$AG1119)-1))),""))))</f>
        <v/>
      </c>
      <c r="H1119">
        <f>IF(OR($F1119="",$G1119=""),"",IF(ISNUMBER(Sync!$AG1119),INT(MOD(Sync!$AG1119,10000)/100),IFERROR(VALUE(TRIM(LEFT(MID(Sync!$AG1119,FIND("/",Sync!$AG1119)+1,20),FIND("/",MID(Sync!$AG1119,FIND("/",Sync!$AG1119)+1,20))-1))),"")))</f>
        <v/>
      </c>
      <c r="I1119">
        <f>IF(OR($F1119="",$G1119=""),"",IF(ISNUMBER(Sync!$AG1119),MOD(Sync!$AG1119,100),IFERROR(VALUE(TRIM(MID(MID(Sync!$AG1119,FIND("/",Sync!$AG1119)+1,20),FIND("/",MID(Sync!$AG1119,FIND("/",Sync!$AG1119)+1,20))+1,20))),"")))</f>
        <v/>
      </c>
      <c r="J1119">
        <f>IF($F1119="","",IF(OR($G1119="",$H1119="",$I1119="",$G1119&lt;1300,$G1119&gt;1500,$H1119&lt;1,$H1119&gt;12,$I1119&lt;1,$I1119&gt;31),"نامعتبر",RIGHT("0000"&amp;$G1119,4)&amp;"/"&amp;RIGHT("00"&amp;$H1119,2)&amp;"/"&amp;RIGHT("00"&amp;$I1119,2)))</f>
        <v/>
      </c>
      <c r="K1119">
        <f>IF(OR($F1119="",$J1119="",$J1119="نامعتبر"),"",LEFT($J1119,4)&amp;MID($J1119,6,2)&amp;RIGHT($J1119,2)&amp;$N1119&amp;"|"&amp;"2"&amp;RIGHT("00000"&amp;1114,5))</f>
        <v/>
      </c>
      <c r="L1119">
        <f>IF($K1119="","",COUNTIFS(LdgPartyA,$F1119,LdgKeyA,"&lt;"&amp;$K1119)+COUNTIFS(LdgPartyB,$F1119,LdgKeyB,"&lt;"&amp;$K1119)+1)</f>
        <v/>
      </c>
      <c r="M1119">
        <f>IF($L1119="","",$F1119&amp;"|"&amp;RIGHT("000000"&amp;$L1119,6))</f>
        <v/>
      </c>
      <c r="N1119">
        <f>IF($F1119="","",IF(Sync!$AH1119="","0000",IF(AND(ISNUMBER(Sync!$AH1119),Sync!$AH1119&gt;=0,Sync!$AH1119&lt;1),RIGHT("00"&amp;HOUR(Sync!$AH1119),2)&amp;RIGHT("00"&amp;MINUTE(Sync!$AH1119),2),IFERROR(RIGHT("00"&amp;VALUE(LEFT(Sync!$AH1119,FIND(":",Sync!$AH1119)-1)),2)&amp;RIGHT("00"&amp;VALUE(MID(Sync!$AH1119,FIND(":",Sync!$AH1119)+1,2)),2),"0000"))))</f>
        <v/>
      </c>
    </row>
    <row r="1120">
      <c r="A1120">
        <f>IF(OR(Calc!$E1123="",Calc!$E1123="نامعتبر",Calc!$G1123="",Calc!$I1123&lt;&gt;"خرید"),"",Calc!$G1123)</f>
        <v/>
      </c>
      <c r="B1120">
        <f>IF($A1120="","",LEFT(Calc!$E1123,4)&amp;MID(Calc!$E1123,6,2)&amp;RIGHT(Calc!$E1123,2)&amp;Calc!$R1123&amp;"|"&amp;"1"&amp;RIGHT("00000"&amp;1115,5))</f>
        <v/>
      </c>
      <c r="C1120">
        <f>IF($B1120="","",COUNTIFS(LdgPartyA,$A1120,LdgKeyA,"&lt;"&amp;$B1120)+COUNTIFS(LdgPartyB,$A1120,LdgKeyB,"&lt;"&amp;$B1120)+1)</f>
        <v/>
      </c>
      <c r="D1120">
        <f>IF($C1120="","",$A1120&amp;"|"&amp;RIGHT("000000"&amp;$C1120,6))</f>
        <v/>
      </c>
      <c r="F1120">
        <f>IF(Sync!$AJ1120="","",Sync!$AJ1120)</f>
        <v/>
      </c>
      <c r="G1120">
        <f>IF($F1120="","",IF(Sync!$AG1120="","",IF(ISNUMBER(Sync!$AG1120),IF(AND(Sync!$AG1120&gt;=10000101,Sync!$AG1120&lt;=99991231),INT(Sync!$AG1120/10000),""),IFERROR(VALUE(TRIM(LEFT(Sync!$AG1120,FIND("/",Sync!$AG1120)-1))),""))))</f>
        <v/>
      </c>
      <c r="H1120">
        <f>IF(OR($F1120="",$G1120=""),"",IF(ISNUMBER(Sync!$AG1120),INT(MOD(Sync!$AG1120,10000)/100),IFERROR(VALUE(TRIM(LEFT(MID(Sync!$AG1120,FIND("/",Sync!$AG1120)+1,20),FIND("/",MID(Sync!$AG1120,FIND("/",Sync!$AG1120)+1,20))-1))),"")))</f>
        <v/>
      </c>
      <c r="I1120">
        <f>IF(OR($F1120="",$G1120=""),"",IF(ISNUMBER(Sync!$AG1120),MOD(Sync!$AG1120,100),IFERROR(VALUE(TRIM(MID(MID(Sync!$AG1120,FIND("/",Sync!$AG1120)+1,20),FIND("/",MID(Sync!$AG1120,FIND("/",Sync!$AG1120)+1,20))+1,20))),"")))</f>
        <v/>
      </c>
      <c r="J1120">
        <f>IF($F1120="","",IF(OR($G1120="",$H1120="",$I1120="",$G1120&lt;1300,$G1120&gt;1500,$H1120&lt;1,$H1120&gt;12,$I1120&lt;1,$I1120&gt;31),"نامعتبر",RIGHT("0000"&amp;$G1120,4)&amp;"/"&amp;RIGHT("00"&amp;$H1120,2)&amp;"/"&amp;RIGHT("00"&amp;$I1120,2)))</f>
        <v/>
      </c>
      <c r="K1120">
        <f>IF(OR($F1120="",$J1120="",$J1120="نامعتبر"),"",LEFT($J1120,4)&amp;MID($J1120,6,2)&amp;RIGHT($J1120,2)&amp;$N1120&amp;"|"&amp;"2"&amp;RIGHT("00000"&amp;1115,5))</f>
        <v/>
      </c>
      <c r="L1120">
        <f>IF($K1120="","",COUNTIFS(LdgPartyA,$F1120,LdgKeyA,"&lt;"&amp;$K1120)+COUNTIFS(LdgPartyB,$F1120,LdgKeyB,"&lt;"&amp;$K1120)+1)</f>
        <v/>
      </c>
      <c r="M1120">
        <f>IF($L1120="","",$F1120&amp;"|"&amp;RIGHT("000000"&amp;$L1120,6))</f>
        <v/>
      </c>
      <c r="N1120">
        <f>IF($F1120="","",IF(Sync!$AH1120="","0000",IF(AND(ISNUMBER(Sync!$AH1120),Sync!$AH1120&gt;=0,Sync!$AH1120&lt;1),RIGHT("00"&amp;HOUR(Sync!$AH1120),2)&amp;RIGHT("00"&amp;MINUTE(Sync!$AH1120),2),IFERROR(RIGHT("00"&amp;VALUE(LEFT(Sync!$AH1120,FIND(":",Sync!$AH1120)-1)),2)&amp;RIGHT("00"&amp;VALUE(MID(Sync!$AH1120,FIND(":",Sync!$AH1120)+1,2)),2),"0000"))))</f>
        <v/>
      </c>
    </row>
    <row r="1121">
      <c r="A1121">
        <f>IF(OR(Calc!$E1124="",Calc!$E1124="نامعتبر",Calc!$G1124="",Calc!$I1124&lt;&gt;"خرید"),"",Calc!$G1124)</f>
        <v/>
      </c>
      <c r="B1121">
        <f>IF($A1121="","",LEFT(Calc!$E1124,4)&amp;MID(Calc!$E1124,6,2)&amp;RIGHT(Calc!$E1124,2)&amp;Calc!$R1124&amp;"|"&amp;"1"&amp;RIGHT("00000"&amp;1116,5))</f>
        <v/>
      </c>
      <c r="C1121">
        <f>IF($B1121="","",COUNTIFS(LdgPartyA,$A1121,LdgKeyA,"&lt;"&amp;$B1121)+COUNTIFS(LdgPartyB,$A1121,LdgKeyB,"&lt;"&amp;$B1121)+1)</f>
        <v/>
      </c>
      <c r="D1121">
        <f>IF($C1121="","",$A1121&amp;"|"&amp;RIGHT("000000"&amp;$C1121,6))</f>
        <v/>
      </c>
      <c r="F1121">
        <f>IF(Sync!$AJ1121="","",Sync!$AJ1121)</f>
        <v/>
      </c>
      <c r="G1121">
        <f>IF($F1121="","",IF(Sync!$AG1121="","",IF(ISNUMBER(Sync!$AG1121),IF(AND(Sync!$AG1121&gt;=10000101,Sync!$AG1121&lt;=99991231),INT(Sync!$AG1121/10000),""),IFERROR(VALUE(TRIM(LEFT(Sync!$AG1121,FIND("/",Sync!$AG1121)-1))),""))))</f>
        <v/>
      </c>
      <c r="H1121">
        <f>IF(OR($F1121="",$G1121=""),"",IF(ISNUMBER(Sync!$AG1121),INT(MOD(Sync!$AG1121,10000)/100),IFERROR(VALUE(TRIM(LEFT(MID(Sync!$AG1121,FIND("/",Sync!$AG1121)+1,20),FIND("/",MID(Sync!$AG1121,FIND("/",Sync!$AG1121)+1,20))-1))),"")))</f>
        <v/>
      </c>
      <c r="I1121">
        <f>IF(OR($F1121="",$G1121=""),"",IF(ISNUMBER(Sync!$AG1121),MOD(Sync!$AG1121,100),IFERROR(VALUE(TRIM(MID(MID(Sync!$AG1121,FIND("/",Sync!$AG1121)+1,20),FIND("/",MID(Sync!$AG1121,FIND("/",Sync!$AG1121)+1,20))+1,20))),"")))</f>
        <v/>
      </c>
      <c r="J1121">
        <f>IF($F1121="","",IF(OR($G1121="",$H1121="",$I1121="",$G1121&lt;1300,$G1121&gt;1500,$H1121&lt;1,$H1121&gt;12,$I1121&lt;1,$I1121&gt;31),"نامعتبر",RIGHT("0000"&amp;$G1121,4)&amp;"/"&amp;RIGHT("00"&amp;$H1121,2)&amp;"/"&amp;RIGHT("00"&amp;$I1121,2)))</f>
        <v/>
      </c>
      <c r="K1121">
        <f>IF(OR($F1121="",$J1121="",$J1121="نامعتبر"),"",LEFT($J1121,4)&amp;MID($J1121,6,2)&amp;RIGHT($J1121,2)&amp;$N1121&amp;"|"&amp;"2"&amp;RIGHT("00000"&amp;1116,5))</f>
        <v/>
      </c>
      <c r="L1121">
        <f>IF($K1121="","",COUNTIFS(LdgPartyA,$F1121,LdgKeyA,"&lt;"&amp;$K1121)+COUNTIFS(LdgPartyB,$F1121,LdgKeyB,"&lt;"&amp;$K1121)+1)</f>
        <v/>
      </c>
      <c r="M1121">
        <f>IF($L1121="","",$F1121&amp;"|"&amp;RIGHT("000000"&amp;$L1121,6))</f>
        <v/>
      </c>
      <c r="N1121">
        <f>IF($F1121="","",IF(Sync!$AH1121="","0000",IF(AND(ISNUMBER(Sync!$AH1121),Sync!$AH1121&gt;=0,Sync!$AH1121&lt;1),RIGHT("00"&amp;HOUR(Sync!$AH1121),2)&amp;RIGHT("00"&amp;MINUTE(Sync!$AH1121),2),IFERROR(RIGHT("00"&amp;VALUE(LEFT(Sync!$AH1121,FIND(":",Sync!$AH1121)-1)),2)&amp;RIGHT("00"&amp;VALUE(MID(Sync!$AH1121,FIND(":",Sync!$AH1121)+1,2)),2),"0000"))))</f>
        <v/>
      </c>
    </row>
    <row r="1122">
      <c r="A1122">
        <f>IF(OR(Calc!$E1125="",Calc!$E1125="نامعتبر",Calc!$G1125="",Calc!$I1125&lt;&gt;"خرید"),"",Calc!$G1125)</f>
        <v/>
      </c>
      <c r="B1122">
        <f>IF($A1122="","",LEFT(Calc!$E1125,4)&amp;MID(Calc!$E1125,6,2)&amp;RIGHT(Calc!$E1125,2)&amp;Calc!$R1125&amp;"|"&amp;"1"&amp;RIGHT("00000"&amp;1117,5))</f>
        <v/>
      </c>
      <c r="C1122">
        <f>IF($B1122="","",COUNTIFS(LdgPartyA,$A1122,LdgKeyA,"&lt;"&amp;$B1122)+COUNTIFS(LdgPartyB,$A1122,LdgKeyB,"&lt;"&amp;$B1122)+1)</f>
        <v/>
      </c>
      <c r="D1122">
        <f>IF($C1122="","",$A1122&amp;"|"&amp;RIGHT("000000"&amp;$C1122,6))</f>
        <v/>
      </c>
      <c r="F1122">
        <f>IF(Sync!$AJ1122="","",Sync!$AJ1122)</f>
        <v/>
      </c>
      <c r="G1122">
        <f>IF($F1122="","",IF(Sync!$AG1122="","",IF(ISNUMBER(Sync!$AG1122),IF(AND(Sync!$AG1122&gt;=10000101,Sync!$AG1122&lt;=99991231),INT(Sync!$AG1122/10000),""),IFERROR(VALUE(TRIM(LEFT(Sync!$AG1122,FIND("/",Sync!$AG1122)-1))),""))))</f>
        <v/>
      </c>
      <c r="H1122">
        <f>IF(OR($F1122="",$G1122=""),"",IF(ISNUMBER(Sync!$AG1122),INT(MOD(Sync!$AG1122,10000)/100),IFERROR(VALUE(TRIM(LEFT(MID(Sync!$AG1122,FIND("/",Sync!$AG1122)+1,20),FIND("/",MID(Sync!$AG1122,FIND("/",Sync!$AG1122)+1,20))-1))),"")))</f>
        <v/>
      </c>
      <c r="I1122">
        <f>IF(OR($F1122="",$G1122=""),"",IF(ISNUMBER(Sync!$AG1122),MOD(Sync!$AG1122,100),IFERROR(VALUE(TRIM(MID(MID(Sync!$AG1122,FIND("/",Sync!$AG1122)+1,20),FIND("/",MID(Sync!$AG1122,FIND("/",Sync!$AG1122)+1,20))+1,20))),"")))</f>
        <v/>
      </c>
      <c r="J1122">
        <f>IF($F1122="","",IF(OR($G1122="",$H1122="",$I1122="",$G1122&lt;1300,$G1122&gt;1500,$H1122&lt;1,$H1122&gt;12,$I1122&lt;1,$I1122&gt;31),"نامعتبر",RIGHT("0000"&amp;$G1122,4)&amp;"/"&amp;RIGHT("00"&amp;$H1122,2)&amp;"/"&amp;RIGHT("00"&amp;$I1122,2)))</f>
        <v/>
      </c>
      <c r="K1122">
        <f>IF(OR($F1122="",$J1122="",$J1122="نامعتبر"),"",LEFT($J1122,4)&amp;MID($J1122,6,2)&amp;RIGHT($J1122,2)&amp;$N1122&amp;"|"&amp;"2"&amp;RIGHT("00000"&amp;1117,5))</f>
        <v/>
      </c>
      <c r="L1122">
        <f>IF($K1122="","",COUNTIFS(LdgPartyA,$F1122,LdgKeyA,"&lt;"&amp;$K1122)+COUNTIFS(LdgPartyB,$F1122,LdgKeyB,"&lt;"&amp;$K1122)+1)</f>
        <v/>
      </c>
      <c r="M1122">
        <f>IF($L1122="","",$F1122&amp;"|"&amp;RIGHT("000000"&amp;$L1122,6))</f>
        <v/>
      </c>
      <c r="N1122">
        <f>IF($F1122="","",IF(Sync!$AH1122="","0000",IF(AND(ISNUMBER(Sync!$AH1122),Sync!$AH1122&gt;=0,Sync!$AH1122&lt;1),RIGHT("00"&amp;HOUR(Sync!$AH1122),2)&amp;RIGHT("00"&amp;MINUTE(Sync!$AH1122),2),IFERROR(RIGHT("00"&amp;VALUE(LEFT(Sync!$AH1122,FIND(":",Sync!$AH1122)-1)),2)&amp;RIGHT("00"&amp;VALUE(MID(Sync!$AH1122,FIND(":",Sync!$AH1122)+1,2)),2),"0000"))))</f>
        <v/>
      </c>
    </row>
    <row r="1123">
      <c r="A1123">
        <f>IF(OR(Calc!$E1126="",Calc!$E1126="نامعتبر",Calc!$G1126="",Calc!$I1126&lt;&gt;"خرید"),"",Calc!$G1126)</f>
        <v/>
      </c>
      <c r="B1123">
        <f>IF($A1123="","",LEFT(Calc!$E1126,4)&amp;MID(Calc!$E1126,6,2)&amp;RIGHT(Calc!$E1126,2)&amp;Calc!$R1126&amp;"|"&amp;"1"&amp;RIGHT("00000"&amp;1118,5))</f>
        <v/>
      </c>
      <c r="C1123">
        <f>IF($B1123="","",COUNTIFS(LdgPartyA,$A1123,LdgKeyA,"&lt;"&amp;$B1123)+COUNTIFS(LdgPartyB,$A1123,LdgKeyB,"&lt;"&amp;$B1123)+1)</f>
        <v/>
      </c>
      <c r="D1123">
        <f>IF($C1123="","",$A1123&amp;"|"&amp;RIGHT("000000"&amp;$C1123,6))</f>
        <v/>
      </c>
      <c r="F1123">
        <f>IF(Sync!$AJ1123="","",Sync!$AJ1123)</f>
        <v/>
      </c>
      <c r="G1123">
        <f>IF($F1123="","",IF(Sync!$AG1123="","",IF(ISNUMBER(Sync!$AG1123),IF(AND(Sync!$AG1123&gt;=10000101,Sync!$AG1123&lt;=99991231),INT(Sync!$AG1123/10000),""),IFERROR(VALUE(TRIM(LEFT(Sync!$AG1123,FIND("/",Sync!$AG1123)-1))),""))))</f>
        <v/>
      </c>
      <c r="H1123">
        <f>IF(OR($F1123="",$G1123=""),"",IF(ISNUMBER(Sync!$AG1123),INT(MOD(Sync!$AG1123,10000)/100),IFERROR(VALUE(TRIM(LEFT(MID(Sync!$AG1123,FIND("/",Sync!$AG1123)+1,20),FIND("/",MID(Sync!$AG1123,FIND("/",Sync!$AG1123)+1,20))-1))),"")))</f>
        <v/>
      </c>
      <c r="I1123">
        <f>IF(OR($F1123="",$G1123=""),"",IF(ISNUMBER(Sync!$AG1123),MOD(Sync!$AG1123,100),IFERROR(VALUE(TRIM(MID(MID(Sync!$AG1123,FIND("/",Sync!$AG1123)+1,20),FIND("/",MID(Sync!$AG1123,FIND("/",Sync!$AG1123)+1,20))+1,20))),"")))</f>
        <v/>
      </c>
      <c r="J1123">
        <f>IF($F1123="","",IF(OR($G1123="",$H1123="",$I1123="",$G1123&lt;1300,$G1123&gt;1500,$H1123&lt;1,$H1123&gt;12,$I1123&lt;1,$I1123&gt;31),"نامعتبر",RIGHT("0000"&amp;$G1123,4)&amp;"/"&amp;RIGHT("00"&amp;$H1123,2)&amp;"/"&amp;RIGHT("00"&amp;$I1123,2)))</f>
        <v/>
      </c>
      <c r="K1123">
        <f>IF(OR($F1123="",$J1123="",$J1123="نامعتبر"),"",LEFT($J1123,4)&amp;MID($J1123,6,2)&amp;RIGHT($J1123,2)&amp;$N1123&amp;"|"&amp;"2"&amp;RIGHT("00000"&amp;1118,5))</f>
        <v/>
      </c>
      <c r="L1123">
        <f>IF($K1123="","",COUNTIFS(LdgPartyA,$F1123,LdgKeyA,"&lt;"&amp;$K1123)+COUNTIFS(LdgPartyB,$F1123,LdgKeyB,"&lt;"&amp;$K1123)+1)</f>
        <v/>
      </c>
      <c r="M1123">
        <f>IF($L1123="","",$F1123&amp;"|"&amp;RIGHT("000000"&amp;$L1123,6))</f>
        <v/>
      </c>
      <c r="N1123">
        <f>IF($F1123="","",IF(Sync!$AH1123="","0000",IF(AND(ISNUMBER(Sync!$AH1123),Sync!$AH1123&gt;=0,Sync!$AH1123&lt;1),RIGHT("00"&amp;HOUR(Sync!$AH1123),2)&amp;RIGHT("00"&amp;MINUTE(Sync!$AH1123),2),IFERROR(RIGHT("00"&amp;VALUE(LEFT(Sync!$AH1123,FIND(":",Sync!$AH1123)-1)),2)&amp;RIGHT("00"&amp;VALUE(MID(Sync!$AH1123,FIND(":",Sync!$AH1123)+1,2)),2),"0000"))))</f>
        <v/>
      </c>
    </row>
    <row r="1124">
      <c r="A1124">
        <f>IF(OR(Calc!$E1127="",Calc!$E1127="نامعتبر",Calc!$G1127="",Calc!$I1127&lt;&gt;"خرید"),"",Calc!$G1127)</f>
        <v/>
      </c>
      <c r="B1124">
        <f>IF($A1124="","",LEFT(Calc!$E1127,4)&amp;MID(Calc!$E1127,6,2)&amp;RIGHT(Calc!$E1127,2)&amp;Calc!$R1127&amp;"|"&amp;"1"&amp;RIGHT("00000"&amp;1119,5))</f>
        <v/>
      </c>
      <c r="C1124">
        <f>IF($B1124="","",COUNTIFS(LdgPartyA,$A1124,LdgKeyA,"&lt;"&amp;$B1124)+COUNTIFS(LdgPartyB,$A1124,LdgKeyB,"&lt;"&amp;$B1124)+1)</f>
        <v/>
      </c>
      <c r="D1124">
        <f>IF($C1124="","",$A1124&amp;"|"&amp;RIGHT("000000"&amp;$C1124,6))</f>
        <v/>
      </c>
      <c r="F1124">
        <f>IF(Sync!$AJ1124="","",Sync!$AJ1124)</f>
        <v/>
      </c>
      <c r="G1124">
        <f>IF($F1124="","",IF(Sync!$AG1124="","",IF(ISNUMBER(Sync!$AG1124),IF(AND(Sync!$AG1124&gt;=10000101,Sync!$AG1124&lt;=99991231),INT(Sync!$AG1124/10000),""),IFERROR(VALUE(TRIM(LEFT(Sync!$AG1124,FIND("/",Sync!$AG1124)-1))),""))))</f>
        <v/>
      </c>
      <c r="H1124">
        <f>IF(OR($F1124="",$G1124=""),"",IF(ISNUMBER(Sync!$AG1124),INT(MOD(Sync!$AG1124,10000)/100),IFERROR(VALUE(TRIM(LEFT(MID(Sync!$AG1124,FIND("/",Sync!$AG1124)+1,20),FIND("/",MID(Sync!$AG1124,FIND("/",Sync!$AG1124)+1,20))-1))),"")))</f>
        <v/>
      </c>
      <c r="I1124">
        <f>IF(OR($F1124="",$G1124=""),"",IF(ISNUMBER(Sync!$AG1124),MOD(Sync!$AG1124,100),IFERROR(VALUE(TRIM(MID(MID(Sync!$AG1124,FIND("/",Sync!$AG1124)+1,20),FIND("/",MID(Sync!$AG1124,FIND("/",Sync!$AG1124)+1,20))+1,20))),"")))</f>
        <v/>
      </c>
      <c r="J1124">
        <f>IF($F1124="","",IF(OR($G1124="",$H1124="",$I1124="",$G1124&lt;1300,$G1124&gt;1500,$H1124&lt;1,$H1124&gt;12,$I1124&lt;1,$I1124&gt;31),"نامعتبر",RIGHT("0000"&amp;$G1124,4)&amp;"/"&amp;RIGHT("00"&amp;$H1124,2)&amp;"/"&amp;RIGHT("00"&amp;$I1124,2)))</f>
        <v/>
      </c>
      <c r="K1124">
        <f>IF(OR($F1124="",$J1124="",$J1124="نامعتبر"),"",LEFT($J1124,4)&amp;MID($J1124,6,2)&amp;RIGHT($J1124,2)&amp;$N1124&amp;"|"&amp;"2"&amp;RIGHT("00000"&amp;1119,5))</f>
        <v/>
      </c>
      <c r="L1124">
        <f>IF($K1124="","",COUNTIFS(LdgPartyA,$F1124,LdgKeyA,"&lt;"&amp;$K1124)+COUNTIFS(LdgPartyB,$F1124,LdgKeyB,"&lt;"&amp;$K1124)+1)</f>
        <v/>
      </c>
      <c r="M1124">
        <f>IF($L1124="","",$F1124&amp;"|"&amp;RIGHT("000000"&amp;$L1124,6))</f>
        <v/>
      </c>
      <c r="N1124">
        <f>IF($F1124="","",IF(Sync!$AH1124="","0000",IF(AND(ISNUMBER(Sync!$AH1124),Sync!$AH1124&gt;=0,Sync!$AH1124&lt;1),RIGHT("00"&amp;HOUR(Sync!$AH1124),2)&amp;RIGHT("00"&amp;MINUTE(Sync!$AH1124),2),IFERROR(RIGHT("00"&amp;VALUE(LEFT(Sync!$AH1124,FIND(":",Sync!$AH1124)-1)),2)&amp;RIGHT("00"&amp;VALUE(MID(Sync!$AH1124,FIND(":",Sync!$AH1124)+1,2)),2),"0000"))))</f>
        <v/>
      </c>
    </row>
    <row r="1125">
      <c r="A1125">
        <f>IF(OR(Calc!$E1128="",Calc!$E1128="نامعتبر",Calc!$G1128="",Calc!$I1128&lt;&gt;"خرید"),"",Calc!$G1128)</f>
        <v/>
      </c>
      <c r="B1125">
        <f>IF($A1125="","",LEFT(Calc!$E1128,4)&amp;MID(Calc!$E1128,6,2)&amp;RIGHT(Calc!$E1128,2)&amp;Calc!$R1128&amp;"|"&amp;"1"&amp;RIGHT("00000"&amp;1120,5))</f>
        <v/>
      </c>
      <c r="C1125">
        <f>IF($B1125="","",COUNTIFS(LdgPartyA,$A1125,LdgKeyA,"&lt;"&amp;$B1125)+COUNTIFS(LdgPartyB,$A1125,LdgKeyB,"&lt;"&amp;$B1125)+1)</f>
        <v/>
      </c>
      <c r="D1125">
        <f>IF($C1125="","",$A1125&amp;"|"&amp;RIGHT("000000"&amp;$C1125,6))</f>
        <v/>
      </c>
      <c r="F1125">
        <f>IF(Sync!$AJ1125="","",Sync!$AJ1125)</f>
        <v/>
      </c>
      <c r="G1125">
        <f>IF($F1125="","",IF(Sync!$AG1125="","",IF(ISNUMBER(Sync!$AG1125),IF(AND(Sync!$AG1125&gt;=10000101,Sync!$AG1125&lt;=99991231),INT(Sync!$AG1125/10000),""),IFERROR(VALUE(TRIM(LEFT(Sync!$AG1125,FIND("/",Sync!$AG1125)-1))),""))))</f>
        <v/>
      </c>
      <c r="H1125">
        <f>IF(OR($F1125="",$G1125=""),"",IF(ISNUMBER(Sync!$AG1125),INT(MOD(Sync!$AG1125,10000)/100),IFERROR(VALUE(TRIM(LEFT(MID(Sync!$AG1125,FIND("/",Sync!$AG1125)+1,20),FIND("/",MID(Sync!$AG1125,FIND("/",Sync!$AG1125)+1,20))-1))),"")))</f>
        <v/>
      </c>
      <c r="I1125">
        <f>IF(OR($F1125="",$G1125=""),"",IF(ISNUMBER(Sync!$AG1125),MOD(Sync!$AG1125,100),IFERROR(VALUE(TRIM(MID(MID(Sync!$AG1125,FIND("/",Sync!$AG1125)+1,20),FIND("/",MID(Sync!$AG1125,FIND("/",Sync!$AG1125)+1,20))+1,20))),"")))</f>
        <v/>
      </c>
      <c r="J1125">
        <f>IF($F1125="","",IF(OR($G1125="",$H1125="",$I1125="",$G1125&lt;1300,$G1125&gt;1500,$H1125&lt;1,$H1125&gt;12,$I1125&lt;1,$I1125&gt;31),"نامعتبر",RIGHT("0000"&amp;$G1125,4)&amp;"/"&amp;RIGHT("00"&amp;$H1125,2)&amp;"/"&amp;RIGHT("00"&amp;$I1125,2)))</f>
        <v/>
      </c>
      <c r="K1125">
        <f>IF(OR($F1125="",$J1125="",$J1125="نامعتبر"),"",LEFT($J1125,4)&amp;MID($J1125,6,2)&amp;RIGHT($J1125,2)&amp;$N1125&amp;"|"&amp;"2"&amp;RIGHT("00000"&amp;1120,5))</f>
        <v/>
      </c>
      <c r="L1125">
        <f>IF($K1125="","",COUNTIFS(LdgPartyA,$F1125,LdgKeyA,"&lt;"&amp;$K1125)+COUNTIFS(LdgPartyB,$F1125,LdgKeyB,"&lt;"&amp;$K1125)+1)</f>
        <v/>
      </c>
      <c r="M1125">
        <f>IF($L1125="","",$F1125&amp;"|"&amp;RIGHT("000000"&amp;$L1125,6))</f>
        <v/>
      </c>
      <c r="N1125">
        <f>IF($F1125="","",IF(Sync!$AH1125="","0000",IF(AND(ISNUMBER(Sync!$AH1125),Sync!$AH1125&gt;=0,Sync!$AH1125&lt;1),RIGHT("00"&amp;HOUR(Sync!$AH1125),2)&amp;RIGHT("00"&amp;MINUTE(Sync!$AH1125),2),IFERROR(RIGHT("00"&amp;VALUE(LEFT(Sync!$AH1125,FIND(":",Sync!$AH1125)-1)),2)&amp;RIGHT("00"&amp;VALUE(MID(Sync!$AH1125,FIND(":",Sync!$AH1125)+1,2)),2),"0000"))))</f>
        <v/>
      </c>
    </row>
    <row r="1126">
      <c r="A1126">
        <f>IF(OR(Calc!$E1129="",Calc!$E1129="نامعتبر",Calc!$G1129="",Calc!$I1129&lt;&gt;"خرید"),"",Calc!$G1129)</f>
        <v/>
      </c>
      <c r="B1126">
        <f>IF($A1126="","",LEFT(Calc!$E1129,4)&amp;MID(Calc!$E1129,6,2)&amp;RIGHT(Calc!$E1129,2)&amp;Calc!$R1129&amp;"|"&amp;"1"&amp;RIGHT("00000"&amp;1121,5))</f>
        <v/>
      </c>
      <c r="C1126">
        <f>IF($B1126="","",COUNTIFS(LdgPartyA,$A1126,LdgKeyA,"&lt;"&amp;$B1126)+COUNTIFS(LdgPartyB,$A1126,LdgKeyB,"&lt;"&amp;$B1126)+1)</f>
        <v/>
      </c>
      <c r="D1126">
        <f>IF($C1126="","",$A1126&amp;"|"&amp;RIGHT("000000"&amp;$C1126,6))</f>
        <v/>
      </c>
      <c r="F1126">
        <f>IF(Sync!$AJ1126="","",Sync!$AJ1126)</f>
        <v/>
      </c>
      <c r="G1126">
        <f>IF($F1126="","",IF(Sync!$AG1126="","",IF(ISNUMBER(Sync!$AG1126),IF(AND(Sync!$AG1126&gt;=10000101,Sync!$AG1126&lt;=99991231),INT(Sync!$AG1126/10000),""),IFERROR(VALUE(TRIM(LEFT(Sync!$AG1126,FIND("/",Sync!$AG1126)-1))),""))))</f>
        <v/>
      </c>
      <c r="H1126">
        <f>IF(OR($F1126="",$G1126=""),"",IF(ISNUMBER(Sync!$AG1126),INT(MOD(Sync!$AG1126,10000)/100),IFERROR(VALUE(TRIM(LEFT(MID(Sync!$AG1126,FIND("/",Sync!$AG1126)+1,20),FIND("/",MID(Sync!$AG1126,FIND("/",Sync!$AG1126)+1,20))-1))),"")))</f>
        <v/>
      </c>
      <c r="I1126">
        <f>IF(OR($F1126="",$G1126=""),"",IF(ISNUMBER(Sync!$AG1126),MOD(Sync!$AG1126,100),IFERROR(VALUE(TRIM(MID(MID(Sync!$AG1126,FIND("/",Sync!$AG1126)+1,20),FIND("/",MID(Sync!$AG1126,FIND("/",Sync!$AG1126)+1,20))+1,20))),"")))</f>
        <v/>
      </c>
      <c r="J1126">
        <f>IF($F1126="","",IF(OR($G1126="",$H1126="",$I1126="",$G1126&lt;1300,$G1126&gt;1500,$H1126&lt;1,$H1126&gt;12,$I1126&lt;1,$I1126&gt;31),"نامعتبر",RIGHT("0000"&amp;$G1126,4)&amp;"/"&amp;RIGHT("00"&amp;$H1126,2)&amp;"/"&amp;RIGHT("00"&amp;$I1126,2)))</f>
        <v/>
      </c>
      <c r="K1126">
        <f>IF(OR($F1126="",$J1126="",$J1126="نامعتبر"),"",LEFT($J1126,4)&amp;MID($J1126,6,2)&amp;RIGHT($J1126,2)&amp;$N1126&amp;"|"&amp;"2"&amp;RIGHT("00000"&amp;1121,5))</f>
        <v/>
      </c>
      <c r="L1126">
        <f>IF($K1126="","",COUNTIFS(LdgPartyA,$F1126,LdgKeyA,"&lt;"&amp;$K1126)+COUNTIFS(LdgPartyB,$F1126,LdgKeyB,"&lt;"&amp;$K1126)+1)</f>
        <v/>
      </c>
      <c r="M1126">
        <f>IF($L1126="","",$F1126&amp;"|"&amp;RIGHT("000000"&amp;$L1126,6))</f>
        <v/>
      </c>
      <c r="N1126">
        <f>IF($F1126="","",IF(Sync!$AH1126="","0000",IF(AND(ISNUMBER(Sync!$AH1126),Sync!$AH1126&gt;=0,Sync!$AH1126&lt;1),RIGHT("00"&amp;HOUR(Sync!$AH1126),2)&amp;RIGHT("00"&amp;MINUTE(Sync!$AH1126),2),IFERROR(RIGHT("00"&amp;VALUE(LEFT(Sync!$AH1126,FIND(":",Sync!$AH1126)-1)),2)&amp;RIGHT("00"&amp;VALUE(MID(Sync!$AH1126,FIND(":",Sync!$AH1126)+1,2)),2),"0000"))))</f>
        <v/>
      </c>
    </row>
    <row r="1127">
      <c r="A1127">
        <f>IF(OR(Calc!$E1130="",Calc!$E1130="نامعتبر",Calc!$G1130="",Calc!$I1130&lt;&gt;"خرید"),"",Calc!$G1130)</f>
        <v/>
      </c>
      <c r="B1127">
        <f>IF($A1127="","",LEFT(Calc!$E1130,4)&amp;MID(Calc!$E1130,6,2)&amp;RIGHT(Calc!$E1130,2)&amp;Calc!$R1130&amp;"|"&amp;"1"&amp;RIGHT("00000"&amp;1122,5))</f>
        <v/>
      </c>
      <c r="C1127">
        <f>IF($B1127="","",COUNTIFS(LdgPartyA,$A1127,LdgKeyA,"&lt;"&amp;$B1127)+COUNTIFS(LdgPartyB,$A1127,LdgKeyB,"&lt;"&amp;$B1127)+1)</f>
        <v/>
      </c>
      <c r="D1127">
        <f>IF($C1127="","",$A1127&amp;"|"&amp;RIGHT("000000"&amp;$C1127,6))</f>
        <v/>
      </c>
      <c r="F1127">
        <f>IF(Sync!$AJ1127="","",Sync!$AJ1127)</f>
        <v/>
      </c>
      <c r="G1127">
        <f>IF($F1127="","",IF(Sync!$AG1127="","",IF(ISNUMBER(Sync!$AG1127),IF(AND(Sync!$AG1127&gt;=10000101,Sync!$AG1127&lt;=99991231),INT(Sync!$AG1127/10000),""),IFERROR(VALUE(TRIM(LEFT(Sync!$AG1127,FIND("/",Sync!$AG1127)-1))),""))))</f>
        <v/>
      </c>
      <c r="H1127">
        <f>IF(OR($F1127="",$G1127=""),"",IF(ISNUMBER(Sync!$AG1127),INT(MOD(Sync!$AG1127,10000)/100),IFERROR(VALUE(TRIM(LEFT(MID(Sync!$AG1127,FIND("/",Sync!$AG1127)+1,20),FIND("/",MID(Sync!$AG1127,FIND("/",Sync!$AG1127)+1,20))-1))),"")))</f>
        <v/>
      </c>
      <c r="I1127">
        <f>IF(OR($F1127="",$G1127=""),"",IF(ISNUMBER(Sync!$AG1127),MOD(Sync!$AG1127,100),IFERROR(VALUE(TRIM(MID(MID(Sync!$AG1127,FIND("/",Sync!$AG1127)+1,20),FIND("/",MID(Sync!$AG1127,FIND("/",Sync!$AG1127)+1,20))+1,20))),"")))</f>
        <v/>
      </c>
      <c r="J1127">
        <f>IF($F1127="","",IF(OR($G1127="",$H1127="",$I1127="",$G1127&lt;1300,$G1127&gt;1500,$H1127&lt;1,$H1127&gt;12,$I1127&lt;1,$I1127&gt;31),"نامعتبر",RIGHT("0000"&amp;$G1127,4)&amp;"/"&amp;RIGHT("00"&amp;$H1127,2)&amp;"/"&amp;RIGHT("00"&amp;$I1127,2)))</f>
        <v/>
      </c>
      <c r="K1127">
        <f>IF(OR($F1127="",$J1127="",$J1127="نامعتبر"),"",LEFT($J1127,4)&amp;MID($J1127,6,2)&amp;RIGHT($J1127,2)&amp;$N1127&amp;"|"&amp;"2"&amp;RIGHT("00000"&amp;1122,5))</f>
        <v/>
      </c>
      <c r="L1127">
        <f>IF($K1127="","",COUNTIFS(LdgPartyA,$F1127,LdgKeyA,"&lt;"&amp;$K1127)+COUNTIFS(LdgPartyB,$F1127,LdgKeyB,"&lt;"&amp;$K1127)+1)</f>
        <v/>
      </c>
      <c r="M1127">
        <f>IF($L1127="","",$F1127&amp;"|"&amp;RIGHT("000000"&amp;$L1127,6))</f>
        <v/>
      </c>
      <c r="N1127">
        <f>IF($F1127="","",IF(Sync!$AH1127="","0000",IF(AND(ISNUMBER(Sync!$AH1127),Sync!$AH1127&gt;=0,Sync!$AH1127&lt;1),RIGHT("00"&amp;HOUR(Sync!$AH1127),2)&amp;RIGHT("00"&amp;MINUTE(Sync!$AH1127),2),IFERROR(RIGHT("00"&amp;VALUE(LEFT(Sync!$AH1127,FIND(":",Sync!$AH1127)-1)),2)&amp;RIGHT("00"&amp;VALUE(MID(Sync!$AH1127,FIND(":",Sync!$AH1127)+1,2)),2),"0000"))))</f>
        <v/>
      </c>
    </row>
    <row r="1128">
      <c r="A1128">
        <f>IF(OR(Calc!$E1131="",Calc!$E1131="نامعتبر",Calc!$G1131="",Calc!$I1131&lt;&gt;"خرید"),"",Calc!$G1131)</f>
        <v/>
      </c>
      <c r="B1128">
        <f>IF($A1128="","",LEFT(Calc!$E1131,4)&amp;MID(Calc!$E1131,6,2)&amp;RIGHT(Calc!$E1131,2)&amp;Calc!$R1131&amp;"|"&amp;"1"&amp;RIGHT("00000"&amp;1123,5))</f>
        <v/>
      </c>
      <c r="C1128">
        <f>IF($B1128="","",COUNTIFS(LdgPartyA,$A1128,LdgKeyA,"&lt;"&amp;$B1128)+COUNTIFS(LdgPartyB,$A1128,LdgKeyB,"&lt;"&amp;$B1128)+1)</f>
        <v/>
      </c>
      <c r="D1128">
        <f>IF($C1128="","",$A1128&amp;"|"&amp;RIGHT("000000"&amp;$C1128,6))</f>
        <v/>
      </c>
      <c r="F1128">
        <f>IF(Sync!$AJ1128="","",Sync!$AJ1128)</f>
        <v/>
      </c>
      <c r="G1128">
        <f>IF($F1128="","",IF(Sync!$AG1128="","",IF(ISNUMBER(Sync!$AG1128),IF(AND(Sync!$AG1128&gt;=10000101,Sync!$AG1128&lt;=99991231),INT(Sync!$AG1128/10000),""),IFERROR(VALUE(TRIM(LEFT(Sync!$AG1128,FIND("/",Sync!$AG1128)-1))),""))))</f>
        <v/>
      </c>
      <c r="H1128">
        <f>IF(OR($F1128="",$G1128=""),"",IF(ISNUMBER(Sync!$AG1128),INT(MOD(Sync!$AG1128,10000)/100),IFERROR(VALUE(TRIM(LEFT(MID(Sync!$AG1128,FIND("/",Sync!$AG1128)+1,20),FIND("/",MID(Sync!$AG1128,FIND("/",Sync!$AG1128)+1,20))-1))),"")))</f>
        <v/>
      </c>
      <c r="I1128">
        <f>IF(OR($F1128="",$G1128=""),"",IF(ISNUMBER(Sync!$AG1128),MOD(Sync!$AG1128,100),IFERROR(VALUE(TRIM(MID(MID(Sync!$AG1128,FIND("/",Sync!$AG1128)+1,20),FIND("/",MID(Sync!$AG1128,FIND("/",Sync!$AG1128)+1,20))+1,20))),"")))</f>
        <v/>
      </c>
      <c r="J1128">
        <f>IF($F1128="","",IF(OR($G1128="",$H1128="",$I1128="",$G1128&lt;1300,$G1128&gt;1500,$H1128&lt;1,$H1128&gt;12,$I1128&lt;1,$I1128&gt;31),"نامعتبر",RIGHT("0000"&amp;$G1128,4)&amp;"/"&amp;RIGHT("00"&amp;$H1128,2)&amp;"/"&amp;RIGHT("00"&amp;$I1128,2)))</f>
        <v/>
      </c>
      <c r="K1128">
        <f>IF(OR($F1128="",$J1128="",$J1128="نامعتبر"),"",LEFT($J1128,4)&amp;MID($J1128,6,2)&amp;RIGHT($J1128,2)&amp;$N1128&amp;"|"&amp;"2"&amp;RIGHT("00000"&amp;1123,5))</f>
        <v/>
      </c>
      <c r="L1128">
        <f>IF($K1128="","",COUNTIFS(LdgPartyA,$F1128,LdgKeyA,"&lt;"&amp;$K1128)+COUNTIFS(LdgPartyB,$F1128,LdgKeyB,"&lt;"&amp;$K1128)+1)</f>
        <v/>
      </c>
      <c r="M1128">
        <f>IF($L1128="","",$F1128&amp;"|"&amp;RIGHT("000000"&amp;$L1128,6))</f>
        <v/>
      </c>
      <c r="N1128">
        <f>IF($F1128="","",IF(Sync!$AH1128="","0000",IF(AND(ISNUMBER(Sync!$AH1128),Sync!$AH1128&gt;=0,Sync!$AH1128&lt;1),RIGHT("00"&amp;HOUR(Sync!$AH1128),2)&amp;RIGHT("00"&amp;MINUTE(Sync!$AH1128),2),IFERROR(RIGHT("00"&amp;VALUE(LEFT(Sync!$AH1128,FIND(":",Sync!$AH1128)-1)),2)&amp;RIGHT("00"&amp;VALUE(MID(Sync!$AH1128,FIND(":",Sync!$AH1128)+1,2)),2),"0000"))))</f>
        <v/>
      </c>
    </row>
    <row r="1129">
      <c r="A1129">
        <f>IF(OR(Calc!$E1132="",Calc!$E1132="نامعتبر",Calc!$G1132="",Calc!$I1132&lt;&gt;"خرید"),"",Calc!$G1132)</f>
        <v/>
      </c>
      <c r="B1129">
        <f>IF($A1129="","",LEFT(Calc!$E1132,4)&amp;MID(Calc!$E1132,6,2)&amp;RIGHT(Calc!$E1132,2)&amp;Calc!$R1132&amp;"|"&amp;"1"&amp;RIGHT("00000"&amp;1124,5))</f>
        <v/>
      </c>
      <c r="C1129">
        <f>IF($B1129="","",COUNTIFS(LdgPartyA,$A1129,LdgKeyA,"&lt;"&amp;$B1129)+COUNTIFS(LdgPartyB,$A1129,LdgKeyB,"&lt;"&amp;$B1129)+1)</f>
        <v/>
      </c>
      <c r="D1129">
        <f>IF($C1129="","",$A1129&amp;"|"&amp;RIGHT("000000"&amp;$C1129,6))</f>
        <v/>
      </c>
      <c r="F1129">
        <f>IF(Sync!$AJ1129="","",Sync!$AJ1129)</f>
        <v/>
      </c>
      <c r="G1129">
        <f>IF($F1129="","",IF(Sync!$AG1129="","",IF(ISNUMBER(Sync!$AG1129),IF(AND(Sync!$AG1129&gt;=10000101,Sync!$AG1129&lt;=99991231),INT(Sync!$AG1129/10000),""),IFERROR(VALUE(TRIM(LEFT(Sync!$AG1129,FIND("/",Sync!$AG1129)-1))),""))))</f>
        <v/>
      </c>
      <c r="H1129">
        <f>IF(OR($F1129="",$G1129=""),"",IF(ISNUMBER(Sync!$AG1129),INT(MOD(Sync!$AG1129,10000)/100),IFERROR(VALUE(TRIM(LEFT(MID(Sync!$AG1129,FIND("/",Sync!$AG1129)+1,20),FIND("/",MID(Sync!$AG1129,FIND("/",Sync!$AG1129)+1,20))-1))),"")))</f>
        <v/>
      </c>
      <c r="I1129">
        <f>IF(OR($F1129="",$G1129=""),"",IF(ISNUMBER(Sync!$AG1129),MOD(Sync!$AG1129,100),IFERROR(VALUE(TRIM(MID(MID(Sync!$AG1129,FIND("/",Sync!$AG1129)+1,20),FIND("/",MID(Sync!$AG1129,FIND("/",Sync!$AG1129)+1,20))+1,20))),"")))</f>
        <v/>
      </c>
      <c r="J1129">
        <f>IF($F1129="","",IF(OR($G1129="",$H1129="",$I1129="",$G1129&lt;1300,$G1129&gt;1500,$H1129&lt;1,$H1129&gt;12,$I1129&lt;1,$I1129&gt;31),"نامعتبر",RIGHT("0000"&amp;$G1129,4)&amp;"/"&amp;RIGHT("00"&amp;$H1129,2)&amp;"/"&amp;RIGHT("00"&amp;$I1129,2)))</f>
        <v/>
      </c>
      <c r="K1129">
        <f>IF(OR($F1129="",$J1129="",$J1129="نامعتبر"),"",LEFT($J1129,4)&amp;MID($J1129,6,2)&amp;RIGHT($J1129,2)&amp;$N1129&amp;"|"&amp;"2"&amp;RIGHT("00000"&amp;1124,5))</f>
        <v/>
      </c>
      <c r="L1129">
        <f>IF($K1129="","",COUNTIFS(LdgPartyA,$F1129,LdgKeyA,"&lt;"&amp;$K1129)+COUNTIFS(LdgPartyB,$F1129,LdgKeyB,"&lt;"&amp;$K1129)+1)</f>
        <v/>
      </c>
      <c r="M1129">
        <f>IF($L1129="","",$F1129&amp;"|"&amp;RIGHT("000000"&amp;$L1129,6))</f>
        <v/>
      </c>
      <c r="N1129">
        <f>IF($F1129="","",IF(Sync!$AH1129="","0000",IF(AND(ISNUMBER(Sync!$AH1129),Sync!$AH1129&gt;=0,Sync!$AH1129&lt;1),RIGHT("00"&amp;HOUR(Sync!$AH1129),2)&amp;RIGHT("00"&amp;MINUTE(Sync!$AH1129),2),IFERROR(RIGHT("00"&amp;VALUE(LEFT(Sync!$AH1129,FIND(":",Sync!$AH1129)-1)),2)&amp;RIGHT("00"&amp;VALUE(MID(Sync!$AH1129,FIND(":",Sync!$AH1129)+1,2)),2),"0000"))))</f>
        <v/>
      </c>
    </row>
    <row r="1130">
      <c r="A1130">
        <f>IF(OR(Calc!$E1133="",Calc!$E1133="نامعتبر",Calc!$G1133="",Calc!$I1133&lt;&gt;"خرید"),"",Calc!$G1133)</f>
        <v/>
      </c>
      <c r="B1130">
        <f>IF($A1130="","",LEFT(Calc!$E1133,4)&amp;MID(Calc!$E1133,6,2)&amp;RIGHT(Calc!$E1133,2)&amp;Calc!$R1133&amp;"|"&amp;"1"&amp;RIGHT("00000"&amp;1125,5))</f>
        <v/>
      </c>
      <c r="C1130">
        <f>IF($B1130="","",COUNTIFS(LdgPartyA,$A1130,LdgKeyA,"&lt;"&amp;$B1130)+COUNTIFS(LdgPartyB,$A1130,LdgKeyB,"&lt;"&amp;$B1130)+1)</f>
        <v/>
      </c>
      <c r="D1130">
        <f>IF($C1130="","",$A1130&amp;"|"&amp;RIGHT("000000"&amp;$C1130,6))</f>
        <v/>
      </c>
      <c r="F1130">
        <f>IF(Sync!$AJ1130="","",Sync!$AJ1130)</f>
        <v/>
      </c>
      <c r="G1130">
        <f>IF($F1130="","",IF(Sync!$AG1130="","",IF(ISNUMBER(Sync!$AG1130),IF(AND(Sync!$AG1130&gt;=10000101,Sync!$AG1130&lt;=99991231),INT(Sync!$AG1130/10000),""),IFERROR(VALUE(TRIM(LEFT(Sync!$AG1130,FIND("/",Sync!$AG1130)-1))),""))))</f>
        <v/>
      </c>
      <c r="H1130">
        <f>IF(OR($F1130="",$G1130=""),"",IF(ISNUMBER(Sync!$AG1130),INT(MOD(Sync!$AG1130,10000)/100),IFERROR(VALUE(TRIM(LEFT(MID(Sync!$AG1130,FIND("/",Sync!$AG1130)+1,20),FIND("/",MID(Sync!$AG1130,FIND("/",Sync!$AG1130)+1,20))-1))),"")))</f>
        <v/>
      </c>
      <c r="I1130">
        <f>IF(OR($F1130="",$G1130=""),"",IF(ISNUMBER(Sync!$AG1130),MOD(Sync!$AG1130,100),IFERROR(VALUE(TRIM(MID(MID(Sync!$AG1130,FIND("/",Sync!$AG1130)+1,20),FIND("/",MID(Sync!$AG1130,FIND("/",Sync!$AG1130)+1,20))+1,20))),"")))</f>
        <v/>
      </c>
      <c r="J1130">
        <f>IF($F1130="","",IF(OR($G1130="",$H1130="",$I1130="",$G1130&lt;1300,$G1130&gt;1500,$H1130&lt;1,$H1130&gt;12,$I1130&lt;1,$I1130&gt;31),"نامعتبر",RIGHT("0000"&amp;$G1130,4)&amp;"/"&amp;RIGHT("00"&amp;$H1130,2)&amp;"/"&amp;RIGHT("00"&amp;$I1130,2)))</f>
        <v/>
      </c>
      <c r="K1130">
        <f>IF(OR($F1130="",$J1130="",$J1130="نامعتبر"),"",LEFT($J1130,4)&amp;MID($J1130,6,2)&amp;RIGHT($J1130,2)&amp;$N1130&amp;"|"&amp;"2"&amp;RIGHT("00000"&amp;1125,5))</f>
        <v/>
      </c>
      <c r="L1130">
        <f>IF($K1130="","",COUNTIFS(LdgPartyA,$F1130,LdgKeyA,"&lt;"&amp;$K1130)+COUNTIFS(LdgPartyB,$F1130,LdgKeyB,"&lt;"&amp;$K1130)+1)</f>
        <v/>
      </c>
      <c r="M1130">
        <f>IF($L1130="","",$F1130&amp;"|"&amp;RIGHT("000000"&amp;$L1130,6))</f>
        <v/>
      </c>
      <c r="N1130">
        <f>IF($F1130="","",IF(Sync!$AH1130="","0000",IF(AND(ISNUMBER(Sync!$AH1130),Sync!$AH1130&gt;=0,Sync!$AH1130&lt;1),RIGHT("00"&amp;HOUR(Sync!$AH1130),2)&amp;RIGHT("00"&amp;MINUTE(Sync!$AH1130),2),IFERROR(RIGHT("00"&amp;VALUE(LEFT(Sync!$AH1130,FIND(":",Sync!$AH1130)-1)),2)&amp;RIGHT("00"&amp;VALUE(MID(Sync!$AH1130,FIND(":",Sync!$AH1130)+1,2)),2),"0000"))))</f>
        <v/>
      </c>
    </row>
    <row r="1131">
      <c r="A1131">
        <f>IF(OR(Calc!$E1134="",Calc!$E1134="نامعتبر",Calc!$G1134="",Calc!$I1134&lt;&gt;"خرید"),"",Calc!$G1134)</f>
        <v/>
      </c>
      <c r="B1131">
        <f>IF($A1131="","",LEFT(Calc!$E1134,4)&amp;MID(Calc!$E1134,6,2)&amp;RIGHT(Calc!$E1134,2)&amp;Calc!$R1134&amp;"|"&amp;"1"&amp;RIGHT("00000"&amp;1126,5))</f>
        <v/>
      </c>
      <c r="C1131">
        <f>IF($B1131="","",COUNTIFS(LdgPartyA,$A1131,LdgKeyA,"&lt;"&amp;$B1131)+COUNTIFS(LdgPartyB,$A1131,LdgKeyB,"&lt;"&amp;$B1131)+1)</f>
        <v/>
      </c>
      <c r="D1131">
        <f>IF($C1131="","",$A1131&amp;"|"&amp;RIGHT("000000"&amp;$C1131,6))</f>
        <v/>
      </c>
      <c r="F1131">
        <f>IF(Sync!$AJ1131="","",Sync!$AJ1131)</f>
        <v/>
      </c>
      <c r="G1131">
        <f>IF($F1131="","",IF(Sync!$AG1131="","",IF(ISNUMBER(Sync!$AG1131),IF(AND(Sync!$AG1131&gt;=10000101,Sync!$AG1131&lt;=99991231),INT(Sync!$AG1131/10000),""),IFERROR(VALUE(TRIM(LEFT(Sync!$AG1131,FIND("/",Sync!$AG1131)-1))),""))))</f>
        <v/>
      </c>
      <c r="H1131">
        <f>IF(OR($F1131="",$G1131=""),"",IF(ISNUMBER(Sync!$AG1131),INT(MOD(Sync!$AG1131,10000)/100),IFERROR(VALUE(TRIM(LEFT(MID(Sync!$AG1131,FIND("/",Sync!$AG1131)+1,20),FIND("/",MID(Sync!$AG1131,FIND("/",Sync!$AG1131)+1,20))-1))),"")))</f>
        <v/>
      </c>
      <c r="I1131">
        <f>IF(OR($F1131="",$G1131=""),"",IF(ISNUMBER(Sync!$AG1131),MOD(Sync!$AG1131,100),IFERROR(VALUE(TRIM(MID(MID(Sync!$AG1131,FIND("/",Sync!$AG1131)+1,20),FIND("/",MID(Sync!$AG1131,FIND("/",Sync!$AG1131)+1,20))+1,20))),"")))</f>
        <v/>
      </c>
      <c r="J1131">
        <f>IF($F1131="","",IF(OR($G1131="",$H1131="",$I1131="",$G1131&lt;1300,$G1131&gt;1500,$H1131&lt;1,$H1131&gt;12,$I1131&lt;1,$I1131&gt;31),"نامعتبر",RIGHT("0000"&amp;$G1131,4)&amp;"/"&amp;RIGHT("00"&amp;$H1131,2)&amp;"/"&amp;RIGHT("00"&amp;$I1131,2)))</f>
        <v/>
      </c>
      <c r="K1131">
        <f>IF(OR($F1131="",$J1131="",$J1131="نامعتبر"),"",LEFT($J1131,4)&amp;MID($J1131,6,2)&amp;RIGHT($J1131,2)&amp;$N1131&amp;"|"&amp;"2"&amp;RIGHT("00000"&amp;1126,5))</f>
        <v/>
      </c>
      <c r="L1131">
        <f>IF($K1131="","",COUNTIFS(LdgPartyA,$F1131,LdgKeyA,"&lt;"&amp;$K1131)+COUNTIFS(LdgPartyB,$F1131,LdgKeyB,"&lt;"&amp;$K1131)+1)</f>
        <v/>
      </c>
      <c r="M1131">
        <f>IF($L1131="","",$F1131&amp;"|"&amp;RIGHT("000000"&amp;$L1131,6))</f>
        <v/>
      </c>
      <c r="N1131">
        <f>IF($F1131="","",IF(Sync!$AH1131="","0000",IF(AND(ISNUMBER(Sync!$AH1131),Sync!$AH1131&gt;=0,Sync!$AH1131&lt;1),RIGHT("00"&amp;HOUR(Sync!$AH1131),2)&amp;RIGHT("00"&amp;MINUTE(Sync!$AH1131),2),IFERROR(RIGHT("00"&amp;VALUE(LEFT(Sync!$AH1131,FIND(":",Sync!$AH1131)-1)),2)&amp;RIGHT("00"&amp;VALUE(MID(Sync!$AH1131,FIND(":",Sync!$AH1131)+1,2)),2),"0000"))))</f>
        <v/>
      </c>
    </row>
    <row r="1132">
      <c r="A1132">
        <f>IF(OR(Calc!$E1135="",Calc!$E1135="نامعتبر",Calc!$G1135="",Calc!$I1135&lt;&gt;"خرید"),"",Calc!$G1135)</f>
        <v/>
      </c>
      <c r="B1132">
        <f>IF($A1132="","",LEFT(Calc!$E1135,4)&amp;MID(Calc!$E1135,6,2)&amp;RIGHT(Calc!$E1135,2)&amp;Calc!$R1135&amp;"|"&amp;"1"&amp;RIGHT("00000"&amp;1127,5))</f>
        <v/>
      </c>
      <c r="C1132">
        <f>IF($B1132="","",COUNTIFS(LdgPartyA,$A1132,LdgKeyA,"&lt;"&amp;$B1132)+COUNTIFS(LdgPartyB,$A1132,LdgKeyB,"&lt;"&amp;$B1132)+1)</f>
        <v/>
      </c>
      <c r="D1132">
        <f>IF($C1132="","",$A1132&amp;"|"&amp;RIGHT("000000"&amp;$C1132,6))</f>
        <v/>
      </c>
      <c r="F1132">
        <f>IF(Sync!$AJ1132="","",Sync!$AJ1132)</f>
        <v/>
      </c>
      <c r="G1132">
        <f>IF($F1132="","",IF(Sync!$AG1132="","",IF(ISNUMBER(Sync!$AG1132),IF(AND(Sync!$AG1132&gt;=10000101,Sync!$AG1132&lt;=99991231),INT(Sync!$AG1132/10000),""),IFERROR(VALUE(TRIM(LEFT(Sync!$AG1132,FIND("/",Sync!$AG1132)-1))),""))))</f>
        <v/>
      </c>
      <c r="H1132">
        <f>IF(OR($F1132="",$G1132=""),"",IF(ISNUMBER(Sync!$AG1132),INT(MOD(Sync!$AG1132,10000)/100),IFERROR(VALUE(TRIM(LEFT(MID(Sync!$AG1132,FIND("/",Sync!$AG1132)+1,20),FIND("/",MID(Sync!$AG1132,FIND("/",Sync!$AG1132)+1,20))-1))),"")))</f>
        <v/>
      </c>
      <c r="I1132">
        <f>IF(OR($F1132="",$G1132=""),"",IF(ISNUMBER(Sync!$AG1132),MOD(Sync!$AG1132,100),IFERROR(VALUE(TRIM(MID(MID(Sync!$AG1132,FIND("/",Sync!$AG1132)+1,20),FIND("/",MID(Sync!$AG1132,FIND("/",Sync!$AG1132)+1,20))+1,20))),"")))</f>
        <v/>
      </c>
      <c r="J1132">
        <f>IF($F1132="","",IF(OR($G1132="",$H1132="",$I1132="",$G1132&lt;1300,$G1132&gt;1500,$H1132&lt;1,$H1132&gt;12,$I1132&lt;1,$I1132&gt;31),"نامعتبر",RIGHT("0000"&amp;$G1132,4)&amp;"/"&amp;RIGHT("00"&amp;$H1132,2)&amp;"/"&amp;RIGHT("00"&amp;$I1132,2)))</f>
        <v/>
      </c>
      <c r="K1132">
        <f>IF(OR($F1132="",$J1132="",$J1132="نامعتبر"),"",LEFT($J1132,4)&amp;MID($J1132,6,2)&amp;RIGHT($J1132,2)&amp;$N1132&amp;"|"&amp;"2"&amp;RIGHT("00000"&amp;1127,5))</f>
        <v/>
      </c>
      <c r="L1132">
        <f>IF($K1132="","",COUNTIFS(LdgPartyA,$F1132,LdgKeyA,"&lt;"&amp;$K1132)+COUNTIFS(LdgPartyB,$F1132,LdgKeyB,"&lt;"&amp;$K1132)+1)</f>
        <v/>
      </c>
      <c r="M1132">
        <f>IF($L1132="","",$F1132&amp;"|"&amp;RIGHT("000000"&amp;$L1132,6))</f>
        <v/>
      </c>
      <c r="N1132">
        <f>IF($F1132="","",IF(Sync!$AH1132="","0000",IF(AND(ISNUMBER(Sync!$AH1132),Sync!$AH1132&gt;=0,Sync!$AH1132&lt;1),RIGHT("00"&amp;HOUR(Sync!$AH1132),2)&amp;RIGHT("00"&amp;MINUTE(Sync!$AH1132),2),IFERROR(RIGHT("00"&amp;VALUE(LEFT(Sync!$AH1132,FIND(":",Sync!$AH1132)-1)),2)&amp;RIGHT("00"&amp;VALUE(MID(Sync!$AH1132,FIND(":",Sync!$AH1132)+1,2)),2),"0000"))))</f>
        <v/>
      </c>
    </row>
    <row r="1133">
      <c r="A1133">
        <f>IF(OR(Calc!$E1136="",Calc!$E1136="نامعتبر",Calc!$G1136="",Calc!$I1136&lt;&gt;"خرید"),"",Calc!$G1136)</f>
        <v/>
      </c>
      <c r="B1133">
        <f>IF($A1133="","",LEFT(Calc!$E1136,4)&amp;MID(Calc!$E1136,6,2)&amp;RIGHT(Calc!$E1136,2)&amp;Calc!$R1136&amp;"|"&amp;"1"&amp;RIGHT("00000"&amp;1128,5))</f>
        <v/>
      </c>
      <c r="C1133">
        <f>IF($B1133="","",COUNTIFS(LdgPartyA,$A1133,LdgKeyA,"&lt;"&amp;$B1133)+COUNTIFS(LdgPartyB,$A1133,LdgKeyB,"&lt;"&amp;$B1133)+1)</f>
        <v/>
      </c>
      <c r="D1133">
        <f>IF($C1133="","",$A1133&amp;"|"&amp;RIGHT("000000"&amp;$C1133,6))</f>
        <v/>
      </c>
      <c r="F1133">
        <f>IF(Sync!$AJ1133="","",Sync!$AJ1133)</f>
        <v/>
      </c>
      <c r="G1133">
        <f>IF($F1133="","",IF(Sync!$AG1133="","",IF(ISNUMBER(Sync!$AG1133),IF(AND(Sync!$AG1133&gt;=10000101,Sync!$AG1133&lt;=99991231),INT(Sync!$AG1133/10000),""),IFERROR(VALUE(TRIM(LEFT(Sync!$AG1133,FIND("/",Sync!$AG1133)-1))),""))))</f>
        <v/>
      </c>
      <c r="H1133">
        <f>IF(OR($F1133="",$G1133=""),"",IF(ISNUMBER(Sync!$AG1133),INT(MOD(Sync!$AG1133,10000)/100),IFERROR(VALUE(TRIM(LEFT(MID(Sync!$AG1133,FIND("/",Sync!$AG1133)+1,20),FIND("/",MID(Sync!$AG1133,FIND("/",Sync!$AG1133)+1,20))-1))),"")))</f>
        <v/>
      </c>
      <c r="I1133">
        <f>IF(OR($F1133="",$G1133=""),"",IF(ISNUMBER(Sync!$AG1133),MOD(Sync!$AG1133,100),IFERROR(VALUE(TRIM(MID(MID(Sync!$AG1133,FIND("/",Sync!$AG1133)+1,20),FIND("/",MID(Sync!$AG1133,FIND("/",Sync!$AG1133)+1,20))+1,20))),"")))</f>
        <v/>
      </c>
      <c r="J1133">
        <f>IF($F1133="","",IF(OR($G1133="",$H1133="",$I1133="",$G1133&lt;1300,$G1133&gt;1500,$H1133&lt;1,$H1133&gt;12,$I1133&lt;1,$I1133&gt;31),"نامعتبر",RIGHT("0000"&amp;$G1133,4)&amp;"/"&amp;RIGHT("00"&amp;$H1133,2)&amp;"/"&amp;RIGHT("00"&amp;$I1133,2)))</f>
        <v/>
      </c>
      <c r="K1133">
        <f>IF(OR($F1133="",$J1133="",$J1133="نامعتبر"),"",LEFT($J1133,4)&amp;MID($J1133,6,2)&amp;RIGHT($J1133,2)&amp;$N1133&amp;"|"&amp;"2"&amp;RIGHT("00000"&amp;1128,5))</f>
        <v/>
      </c>
      <c r="L1133">
        <f>IF($K1133="","",COUNTIFS(LdgPartyA,$F1133,LdgKeyA,"&lt;"&amp;$K1133)+COUNTIFS(LdgPartyB,$F1133,LdgKeyB,"&lt;"&amp;$K1133)+1)</f>
        <v/>
      </c>
      <c r="M1133">
        <f>IF($L1133="","",$F1133&amp;"|"&amp;RIGHT("000000"&amp;$L1133,6))</f>
        <v/>
      </c>
      <c r="N1133">
        <f>IF($F1133="","",IF(Sync!$AH1133="","0000",IF(AND(ISNUMBER(Sync!$AH1133),Sync!$AH1133&gt;=0,Sync!$AH1133&lt;1),RIGHT("00"&amp;HOUR(Sync!$AH1133),2)&amp;RIGHT("00"&amp;MINUTE(Sync!$AH1133),2),IFERROR(RIGHT("00"&amp;VALUE(LEFT(Sync!$AH1133,FIND(":",Sync!$AH1133)-1)),2)&amp;RIGHT("00"&amp;VALUE(MID(Sync!$AH1133,FIND(":",Sync!$AH1133)+1,2)),2),"0000"))))</f>
        <v/>
      </c>
    </row>
    <row r="1134">
      <c r="A1134">
        <f>IF(OR(Calc!$E1137="",Calc!$E1137="نامعتبر",Calc!$G1137="",Calc!$I1137&lt;&gt;"خرید"),"",Calc!$G1137)</f>
        <v/>
      </c>
      <c r="B1134">
        <f>IF($A1134="","",LEFT(Calc!$E1137,4)&amp;MID(Calc!$E1137,6,2)&amp;RIGHT(Calc!$E1137,2)&amp;Calc!$R1137&amp;"|"&amp;"1"&amp;RIGHT("00000"&amp;1129,5))</f>
        <v/>
      </c>
      <c r="C1134">
        <f>IF($B1134="","",COUNTIFS(LdgPartyA,$A1134,LdgKeyA,"&lt;"&amp;$B1134)+COUNTIFS(LdgPartyB,$A1134,LdgKeyB,"&lt;"&amp;$B1134)+1)</f>
        <v/>
      </c>
      <c r="D1134">
        <f>IF($C1134="","",$A1134&amp;"|"&amp;RIGHT("000000"&amp;$C1134,6))</f>
        <v/>
      </c>
      <c r="F1134">
        <f>IF(Sync!$AJ1134="","",Sync!$AJ1134)</f>
        <v/>
      </c>
      <c r="G1134">
        <f>IF($F1134="","",IF(Sync!$AG1134="","",IF(ISNUMBER(Sync!$AG1134),IF(AND(Sync!$AG1134&gt;=10000101,Sync!$AG1134&lt;=99991231),INT(Sync!$AG1134/10000),""),IFERROR(VALUE(TRIM(LEFT(Sync!$AG1134,FIND("/",Sync!$AG1134)-1))),""))))</f>
        <v/>
      </c>
      <c r="H1134">
        <f>IF(OR($F1134="",$G1134=""),"",IF(ISNUMBER(Sync!$AG1134),INT(MOD(Sync!$AG1134,10000)/100),IFERROR(VALUE(TRIM(LEFT(MID(Sync!$AG1134,FIND("/",Sync!$AG1134)+1,20),FIND("/",MID(Sync!$AG1134,FIND("/",Sync!$AG1134)+1,20))-1))),"")))</f>
        <v/>
      </c>
      <c r="I1134">
        <f>IF(OR($F1134="",$G1134=""),"",IF(ISNUMBER(Sync!$AG1134),MOD(Sync!$AG1134,100),IFERROR(VALUE(TRIM(MID(MID(Sync!$AG1134,FIND("/",Sync!$AG1134)+1,20),FIND("/",MID(Sync!$AG1134,FIND("/",Sync!$AG1134)+1,20))+1,20))),"")))</f>
        <v/>
      </c>
      <c r="J1134">
        <f>IF($F1134="","",IF(OR($G1134="",$H1134="",$I1134="",$G1134&lt;1300,$G1134&gt;1500,$H1134&lt;1,$H1134&gt;12,$I1134&lt;1,$I1134&gt;31),"نامعتبر",RIGHT("0000"&amp;$G1134,4)&amp;"/"&amp;RIGHT("00"&amp;$H1134,2)&amp;"/"&amp;RIGHT("00"&amp;$I1134,2)))</f>
        <v/>
      </c>
      <c r="K1134">
        <f>IF(OR($F1134="",$J1134="",$J1134="نامعتبر"),"",LEFT($J1134,4)&amp;MID($J1134,6,2)&amp;RIGHT($J1134,2)&amp;$N1134&amp;"|"&amp;"2"&amp;RIGHT("00000"&amp;1129,5))</f>
        <v/>
      </c>
      <c r="L1134">
        <f>IF($K1134="","",COUNTIFS(LdgPartyA,$F1134,LdgKeyA,"&lt;"&amp;$K1134)+COUNTIFS(LdgPartyB,$F1134,LdgKeyB,"&lt;"&amp;$K1134)+1)</f>
        <v/>
      </c>
      <c r="M1134">
        <f>IF($L1134="","",$F1134&amp;"|"&amp;RIGHT("000000"&amp;$L1134,6))</f>
        <v/>
      </c>
      <c r="N1134">
        <f>IF($F1134="","",IF(Sync!$AH1134="","0000",IF(AND(ISNUMBER(Sync!$AH1134),Sync!$AH1134&gt;=0,Sync!$AH1134&lt;1),RIGHT("00"&amp;HOUR(Sync!$AH1134),2)&amp;RIGHT("00"&amp;MINUTE(Sync!$AH1134),2),IFERROR(RIGHT("00"&amp;VALUE(LEFT(Sync!$AH1134,FIND(":",Sync!$AH1134)-1)),2)&amp;RIGHT("00"&amp;VALUE(MID(Sync!$AH1134,FIND(":",Sync!$AH1134)+1,2)),2),"0000"))))</f>
        <v/>
      </c>
    </row>
    <row r="1135">
      <c r="A1135">
        <f>IF(OR(Calc!$E1138="",Calc!$E1138="نامعتبر",Calc!$G1138="",Calc!$I1138&lt;&gt;"خرید"),"",Calc!$G1138)</f>
        <v/>
      </c>
      <c r="B1135">
        <f>IF($A1135="","",LEFT(Calc!$E1138,4)&amp;MID(Calc!$E1138,6,2)&amp;RIGHT(Calc!$E1138,2)&amp;Calc!$R1138&amp;"|"&amp;"1"&amp;RIGHT("00000"&amp;1130,5))</f>
        <v/>
      </c>
      <c r="C1135">
        <f>IF($B1135="","",COUNTIFS(LdgPartyA,$A1135,LdgKeyA,"&lt;"&amp;$B1135)+COUNTIFS(LdgPartyB,$A1135,LdgKeyB,"&lt;"&amp;$B1135)+1)</f>
        <v/>
      </c>
      <c r="D1135">
        <f>IF($C1135="","",$A1135&amp;"|"&amp;RIGHT("000000"&amp;$C1135,6))</f>
        <v/>
      </c>
      <c r="F1135">
        <f>IF(Sync!$AJ1135="","",Sync!$AJ1135)</f>
        <v/>
      </c>
      <c r="G1135">
        <f>IF($F1135="","",IF(Sync!$AG1135="","",IF(ISNUMBER(Sync!$AG1135),IF(AND(Sync!$AG1135&gt;=10000101,Sync!$AG1135&lt;=99991231),INT(Sync!$AG1135/10000),""),IFERROR(VALUE(TRIM(LEFT(Sync!$AG1135,FIND("/",Sync!$AG1135)-1))),""))))</f>
        <v/>
      </c>
      <c r="H1135">
        <f>IF(OR($F1135="",$G1135=""),"",IF(ISNUMBER(Sync!$AG1135),INT(MOD(Sync!$AG1135,10000)/100),IFERROR(VALUE(TRIM(LEFT(MID(Sync!$AG1135,FIND("/",Sync!$AG1135)+1,20),FIND("/",MID(Sync!$AG1135,FIND("/",Sync!$AG1135)+1,20))-1))),"")))</f>
        <v/>
      </c>
      <c r="I1135">
        <f>IF(OR($F1135="",$G1135=""),"",IF(ISNUMBER(Sync!$AG1135),MOD(Sync!$AG1135,100),IFERROR(VALUE(TRIM(MID(MID(Sync!$AG1135,FIND("/",Sync!$AG1135)+1,20),FIND("/",MID(Sync!$AG1135,FIND("/",Sync!$AG1135)+1,20))+1,20))),"")))</f>
        <v/>
      </c>
      <c r="J1135">
        <f>IF($F1135="","",IF(OR($G1135="",$H1135="",$I1135="",$G1135&lt;1300,$G1135&gt;1500,$H1135&lt;1,$H1135&gt;12,$I1135&lt;1,$I1135&gt;31),"نامعتبر",RIGHT("0000"&amp;$G1135,4)&amp;"/"&amp;RIGHT("00"&amp;$H1135,2)&amp;"/"&amp;RIGHT("00"&amp;$I1135,2)))</f>
        <v/>
      </c>
      <c r="K1135">
        <f>IF(OR($F1135="",$J1135="",$J1135="نامعتبر"),"",LEFT($J1135,4)&amp;MID($J1135,6,2)&amp;RIGHT($J1135,2)&amp;$N1135&amp;"|"&amp;"2"&amp;RIGHT("00000"&amp;1130,5))</f>
        <v/>
      </c>
      <c r="L1135">
        <f>IF($K1135="","",COUNTIFS(LdgPartyA,$F1135,LdgKeyA,"&lt;"&amp;$K1135)+COUNTIFS(LdgPartyB,$F1135,LdgKeyB,"&lt;"&amp;$K1135)+1)</f>
        <v/>
      </c>
      <c r="M1135">
        <f>IF($L1135="","",$F1135&amp;"|"&amp;RIGHT("000000"&amp;$L1135,6))</f>
        <v/>
      </c>
      <c r="N1135">
        <f>IF($F1135="","",IF(Sync!$AH1135="","0000",IF(AND(ISNUMBER(Sync!$AH1135),Sync!$AH1135&gt;=0,Sync!$AH1135&lt;1),RIGHT("00"&amp;HOUR(Sync!$AH1135),2)&amp;RIGHT("00"&amp;MINUTE(Sync!$AH1135),2),IFERROR(RIGHT("00"&amp;VALUE(LEFT(Sync!$AH1135,FIND(":",Sync!$AH1135)-1)),2)&amp;RIGHT("00"&amp;VALUE(MID(Sync!$AH1135,FIND(":",Sync!$AH1135)+1,2)),2),"0000"))))</f>
        <v/>
      </c>
    </row>
    <row r="1136">
      <c r="A1136">
        <f>IF(OR(Calc!$E1139="",Calc!$E1139="نامعتبر",Calc!$G1139="",Calc!$I1139&lt;&gt;"خرید"),"",Calc!$G1139)</f>
        <v/>
      </c>
      <c r="B1136">
        <f>IF($A1136="","",LEFT(Calc!$E1139,4)&amp;MID(Calc!$E1139,6,2)&amp;RIGHT(Calc!$E1139,2)&amp;Calc!$R1139&amp;"|"&amp;"1"&amp;RIGHT("00000"&amp;1131,5))</f>
        <v/>
      </c>
      <c r="C1136">
        <f>IF($B1136="","",COUNTIFS(LdgPartyA,$A1136,LdgKeyA,"&lt;"&amp;$B1136)+COUNTIFS(LdgPartyB,$A1136,LdgKeyB,"&lt;"&amp;$B1136)+1)</f>
        <v/>
      </c>
      <c r="D1136">
        <f>IF($C1136="","",$A1136&amp;"|"&amp;RIGHT("000000"&amp;$C1136,6))</f>
        <v/>
      </c>
      <c r="F1136">
        <f>IF(Sync!$AJ1136="","",Sync!$AJ1136)</f>
        <v/>
      </c>
      <c r="G1136">
        <f>IF($F1136="","",IF(Sync!$AG1136="","",IF(ISNUMBER(Sync!$AG1136),IF(AND(Sync!$AG1136&gt;=10000101,Sync!$AG1136&lt;=99991231),INT(Sync!$AG1136/10000),""),IFERROR(VALUE(TRIM(LEFT(Sync!$AG1136,FIND("/",Sync!$AG1136)-1))),""))))</f>
        <v/>
      </c>
      <c r="H1136">
        <f>IF(OR($F1136="",$G1136=""),"",IF(ISNUMBER(Sync!$AG1136),INT(MOD(Sync!$AG1136,10000)/100),IFERROR(VALUE(TRIM(LEFT(MID(Sync!$AG1136,FIND("/",Sync!$AG1136)+1,20),FIND("/",MID(Sync!$AG1136,FIND("/",Sync!$AG1136)+1,20))-1))),"")))</f>
        <v/>
      </c>
      <c r="I1136">
        <f>IF(OR($F1136="",$G1136=""),"",IF(ISNUMBER(Sync!$AG1136),MOD(Sync!$AG1136,100),IFERROR(VALUE(TRIM(MID(MID(Sync!$AG1136,FIND("/",Sync!$AG1136)+1,20),FIND("/",MID(Sync!$AG1136,FIND("/",Sync!$AG1136)+1,20))+1,20))),"")))</f>
        <v/>
      </c>
      <c r="J1136">
        <f>IF($F1136="","",IF(OR($G1136="",$H1136="",$I1136="",$G1136&lt;1300,$G1136&gt;1500,$H1136&lt;1,$H1136&gt;12,$I1136&lt;1,$I1136&gt;31),"نامعتبر",RIGHT("0000"&amp;$G1136,4)&amp;"/"&amp;RIGHT("00"&amp;$H1136,2)&amp;"/"&amp;RIGHT("00"&amp;$I1136,2)))</f>
        <v/>
      </c>
      <c r="K1136">
        <f>IF(OR($F1136="",$J1136="",$J1136="نامعتبر"),"",LEFT($J1136,4)&amp;MID($J1136,6,2)&amp;RIGHT($J1136,2)&amp;$N1136&amp;"|"&amp;"2"&amp;RIGHT("00000"&amp;1131,5))</f>
        <v/>
      </c>
      <c r="L1136">
        <f>IF($K1136="","",COUNTIFS(LdgPartyA,$F1136,LdgKeyA,"&lt;"&amp;$K1136)+COUNTIFS(LdgPartyB,$F1136,LdgKeyB,"&lt;"&amp;$K1136)+1)</f>
        <v/>
      </c>
      <c r="M1136">
        <f>IF($L1136="","",$F1136&amp;"|"&amp;RIGHT("000000"&amp;$L1136,6))</f>
        <v/>
      </c>
      <c r="N1136">
        <f>IF($F1136="","",IF(Sync!$AH1136="","0000",IF(AND(ISNUMBER(Sync!$AH1136),Sync!$AH1136&gt;=0,Sync!$AH1136&lt;1),RIGHT("00"&amp;HOUR(Sync!$AH1136),2)&amp;RIGHT("00"&amp;MINUTE(Sync!$AH1136),2),IFERROR(RIGHT("00"&amp;VALUE(LEFT(Sync!$AH1136,FIND(":",Sync!$AH1136)-1)),2)&amp;RIGHT("00"&amp;VALUE(MID(Sync!$AH1136,FIND(":",Sync!$AH1136)+1,2)),2),"0000"))))</f>
        <v/>
      </c>
    </row>
    <row r="1137">
      <c r="A1137">
        <f>IF(OR(Calc!$E1140="",Calc!$E1140="نامعتبر",Calc!$G1140="",Calc!$I1140&lt;&gt;"خرید"),"",Calc!$G1140)</f>
        <v/>
      </c>
      <c r="B1137">
        <f>IF($A1137="","",LEFT(Calc!$E1140,4)&amp;MID(Calc!$E1140,6,2)&amp;RIGHT(Calc!$E1140,2)&amp;Calc!$R1140&amp;"|"&amp;"1"&amp;RIGHT("00000"&amp;1132,5))</f>
        <v/>
      </c>
      <c r="C1137">
        <f>IF($B1137="","",COUNTIFS(LdgPartyA,$A1137,LdgKeyA,"&lt;"&amp;$B1137)+COUNTIFS(LdgPartyB,$A1137,LdgKeyB,"&lt;"&amp;$B1137)+1)</f>
        <v/>
      </c>
      <c r="D1137">
        <f>IF($C1137="","",$A1137&amp;"|"&amp;RIGHT("000000"&amp;$C1137,6))</f>
        <v/>
      </c>
      <c r="F1137">
        <f>IF(Sync!$AJ1137="","",Sync!$AJ1137)</f>
        <v/>
      </c>
      <c r="G1137">
        <f>IF($F1137="","",IF(Sync!$AG1137="","",IF(ISNUMBER(Sync!$AG1137),IF(AND(Sync!$AG1137&gt;=10000101,Sync!$AG1137&lt;=99991231),INT(Sync!$AG1137/10000),""),IFERROR(VALUE(TRIM(LEFT(Sync!$AG1137,FIND("/",Sync!$AG1137)-1))),""))))</f>
        <v/>
      </c>
      <c r="H1137">
        <f>IF(OR($F1137="",$G1137=""),"",IF(ISNUMBER(Sync!$AG1137),INT(MOD(Sync!$AG1137,10000)/100),IFERROR(VALUE(TRIM(LEFT(MID(Sync!$AG1137,FIND("/",Sync!$AG1137)+1,20),FIND("/",MID(Sync!$AG1137,FIND("/",Sync!$AG1137)+1,20))-1))),"")))</f>
        <v/>
      </c>
      <c r="I1137">
        <f>IF(OR($F1137="",$G1137=""),"",IF(ISNUMBER(Sync!$AG1137),MOD(Sync!$AG1137,100),IFERROR(VALUE(TRIM(MID(MID(Sync!$AG1137,FIND("/",Sync!$AG1137)+1,20),FIND("/",MID(Sync!$AG1137,FIND("/",Sync!$AG1137)+1,20))+1,20))),"")))</f>
        <v/>
      </c>
      <c r="J1137">
        <f>IF($F1137="","",IF(OR($G1137="",$H1137="",$I1137="",$G1137&lt;1300,$G1137&gt;1500,$H1137&lt;1,$H1137&gt;12,$I1137&lt;1,$I1137&gt;31),"نامعتبر",RIGHT("0000"&amp;$G1137,4)&amp;"/"&amp;RIGHT("00"&amp;$H1137,2)&amp;"/"&amp;RIGHT("00"&amp;$I1137,2)))</f>
        <v/>
      </c>
      <c r="K1137">
        <f>IF(OR($F1137="",$J1137="",$J1137="نامعتبر"),"",LEFT($J1137,4)&amp;MID($J1137,6,2)&amp;RIGHT($J1137,2)&amp;$N1137&amp;"|"&amp;"2"&amp;RIGHT("00000"&amp;1132,5))</f>
        <v/>
      </c>
      <c r="L1137">
        <f>IF($K1137="","",COUNTIFS(LdgPartyA,$F1137,LdgKeyA,"&lt;"&amp;$K1137)+COUNTIFS(LdgPartyB,$F1137,LdgKeyB,"&lt;"&amp;$K1137)+1)</f>
        <v/>
      </c>
      <c r="M1137">
        <f>IF($L1137="","",$F1137&amp;"|"&amp;RIGHT("000000"&amp;$L1137,6))</f>
        <v/>
      </c>
      <c r="N1137">
        <f>IF($F1137="","",IF(Sync!$AH1137="","0000",IF(AND(ISNUMBER(Sync!$AH1137),Sync!$AH1137&gt;=0,Sync!$AH1137&lt;1),RIGHT("00"&amp;HOUR(Sync!$AH1137),2)&amp;RIGHT("00"&amp;MINUTE(Sync!$AH1137),2),IFERROR(RIGHT("00"&amp;VALUE(LEFT(Sync!$AH1137,FIND(":",Sync!$AH1137)-1)),2)&amp;RIGHT("00"&amp;VALUE(MID(Sync!$AH1137,FIND(":",Sync!$AH1137)+1,2)),2),"0000"))))</f>
        <v/>
      </c>
    </row>
    <row r="1138">
      <c r="A1138">
        <f>IF(OR(Calc!$E1141="",Calc!$E1141="نامعتبر",Calc!$G1141="",Calc!$I1141&lt;&gt;"خرید"),"",Calc!$G1141)</f>
        <v/>
      </c>
      <c r="B1138">
        <f>IF($A1138="","",LEFT(Calc!$E1141,4)&amp;MID(Calc!$E1141,6,2)&amp;RIGHT(Calc!$E1141,2)&amp;Calc!$R1141&amp;"|"&amp;"1"&amp;RIGHT("00000"&amp;1133,5))</f>
        <v/>
      </c>
      <c r="C1138">
        <f>IF($B1138="","",COUNTIFS(LdgPartyA,$A1138,LdgKeyA,"&lt;"&amp;$B1138)+COUNTIFS(LdgPartyB,$A1138,LdgKeyB,"&lt;"&amp;$B1138)+1)</f>
        <v/>
      </c>
      <c r="D1138">
        <f>IF($C1138="","",$A1138&amp;"|"&amp;RIGHT("000000"&amp;$C1138,6))</f>
        <v/>
      </c>
      <c r="F1138">
        <f>IF(Sync!$AJ1138="","",Sync!$AJ1138)</f>
        <v/>
      </c>
      <c r="G1138">
        <f>IF($F1138="","",IF(Sync!$AG1138="","",IF(ISNUMBER(Sync!$AG1138),IF(AND(Sync!$AG1138&gt;=10000101,Sync!$AG1138&lt;=99991231),INT(Sync!$AG1138/10000),""),IFERROR(VALUE(TRIM(LEFT(Sync!$AG1138,FIND("/",Sync!$AG1138)-1))),""))))</f>
        <v/>
      </c>
      <c r="H1138">
        <f>IF(OR($F1138="",$G1138=""),"",IF(ISNUMBER(Sync!$AG1138),INT(MOD(Sync!$AG1138,10000)/100),IFERROR(VALUE(TRIM(LEFT(MID(Sync!$AG1138,FIND("/",Sync!$AG1138)+1,20),FIND("/",MID(Sync!$AG1138,FIND("/",Sync!$AG1138)+1,20))-1))),"")))</f>
        <v/>
      </c>
      <c r="I1138">
        <f>IF(OR($F1138="",$G1138=""),"",IF(ISNUMBER(Sync!$AG1138),MOD(Sync!$AG1138,100),IFERROR(VALUE(TRIM(MID(MID(Sync!$AG1138,FIND("/",Sync!$AG1138)+1,20),FIND("/",MID(Sync!$AG1138,FIND("/",Sync!$AG1138)+1,20))+1,20))),"")))</f>
        <v/>
      </c>
      <c r="J1138">
        <f>IF($F1138="","",IF(OR($G1138="",$H1138="",$I1138="",$G1138&lt;1300,$G1138&gt;1500,$H1138&lt;1,$H1138&gt;12,$I1138&lt;1,$I1138&gt;31),"نامعتبر",RIGHT("0000"&amp;$G1138,4)&amp;"/"&amp;RIGHT("00"&amp;$H1138,2)&amp;"/"&amp;RIGHT("00"&amp;$I1138,2)))</f>
        <v/>
      </c>
      <c r="K1138">
        <f>IF(OR($F1138="",$J1138="",$J1138="نامعتبر"),"",LEFT($J1138,4)&amp;MID($J1138,6,2)&amp;RIGHT($J1138,2)&amp;$N1138&amp;"|"&amp;"2"&amp;RIGHT("00000"&amp;1133,5))</f>
        <v/>
      </c>
      <c r="L1138">
        <f>IF($K1138="","",COUNTIFS(LdgPartyA,$F1138,LdgKeyA,"&lt;"&amp;$K1138)+COUNTIFS(LdgPartyB,$F1138,LdgKeyB,"&lt;"&amp;$K1138)+1)</f>
        <v/>
      </c>
      <c r="M1138">
        <f>IF($L1138="","",$F1138&amp;"|"&amp;RIGHT("000000"&amp;$L1138,6))</f>
        <v/>
      </c>
      <c r="N1138">
        <f>IF($F1138="","",IF(Sync!$AH1138="","0000",IF(AND(ISNUMBER(Sync!$AH1138),Sync!$AH1138&gt;=0,Sync!$AH1138&lt;1),RIGHT("00"&amp;HOUR(Sync!$AH1138),2)&amp;RIGHT("00"&amp;MINUTE(Sync!$AH1138),2),IFERROR(RIGHT("00"&amp;VALUE(LEFT(Sync!$AH1138,FIND(":",Sync!$AH1138)-1)),2)&amp;RIGHT("00"&amp;VALUE(MID(Sync!$AH1138,FIND(":",Sync!$AH1138)+1,2)),2),"0000"))))</f>
        <v/>
      </c>
    </row>
    <row r="1139">
      <c r="A1139">
        <f>IF(OR(Calc!$E1142="",Calc!$E1142="نامعتبر",Calc!$G1142="",Calc!$I1142&lt;&gt;"خرید"),"",Calc!$G1142)</f>
        <v/>
      </c>
      <c r="B1139">
        <f>IF($A1139="","",LEFT(Calc!$E1142,4)&amp;MID(Calc!$E1142,6,2)&amp;RIGHT(Calc!$E1142,2)&amp;Calc!$R1142&amp;"|"&amp;"1"&amp;RIGHT("00000"&amp;1134,5))</f>
        <v/>
      </c>
      <c r="C1139">
        <f>IF($B1139="","",COUNTIFS(LdgPartyA,$A1139,LdgKeyA,"&lt;"&amp;$B1139)+COUNTIFS(LdgPartyB,$A1139,LdgKeyB,"&lt;"&amp;$B1139)+1)</f>
        <v/>
      </c>
      <c r="D1139">
        <f>IF($C1139="","",$A1139&amp;"|"&amp;RIGHT("000000"&amp;$C1139,6))</f>
        <v/>
      </c>
      <c r="F1139">
        <f>IF(Sync!$AJ1139="","",Sync!$AJ1139)</f>
        <v/>
      </c>
      <c r="G1139">
        <f>IF($F1139="","",IF(Sync!$AG1139="","",IF(ISNUMBER(Sync!$AG1139),IF(AND(Sync!$AG1139&gt;=10000101,Sync!$AG1139&lt;=99991231),INT(Sync!$AG1139/10000),""),IFERROR(VALUE(TRIM(LEFT(Sync!$AG1139,FIND("/",Sync!$AG1139)-1))),""))))</f>
        <v/>
      </c>
      <c r="H1139">
        <f>IF(OR($F1139="",$G1139=""),"",IF(ISNUMBER(Sync!$AG1139),INT(MOD(Sync!$AG1139,10000)/100),IFERROR(VALUE(TRIM(LEFT(MID(Sync!$AG1139,FIND("/",Sync!$AG1139)+1,20),FIND("/",MID(Sync!$AG1139,FIND("/",Sync!$AG1139)+1,20))-1))),"")))</f>
        <v/>
      </c>
      <c r="I1139">
        <f>IF(OR($F1139="",$G1139=""),"",IF(ISNUMBER(Sync!$AG1139),MOD(Sync!$AG1139,100),IFERROR(VALUE(TRIM(MID(MID(Sync!$AG1139,FIND("/",Sync!$AG1139)+1,20),FIND("/",MID(Sync!$AG1139,FIND("/",Sync!$AG1139)+1,20))+1,20))),"")))</f>
        <v/>
      </c>
      <c r="J1139">
        <f>IF($F1139="","",IF(OR($G1139="",$H1139="",$I1139="",$G1139&lt;1300,$G1139&gt;1500,$H1139&lt;1,$H1139&gt;12,$I1139&lt;1,$I1139&gt;31),"نامعتبر",RIGHT("0000"&amp;$G1139,4)&amp;"/"&amp;RIGHT("00"&amp;$H1139,2)&amp;"/"&amp;RIGHT("00"&amp;$I1139,2)))</f>
        <v/>
      </c>
      <c r="K1139">
        <f>IF(OR($F1139="",$J1139="",$J1139="نامعتبر"),"",LEFT($J1139,4)&amp;MID($J1139,6,2)&amp;RIGHT($J1139,2)&amp;$N1139&amp;"|"&amp;"2"&amp;RIGHT("00000"&amp;1134,5))</f>
        <v/>
      </c>
      <c r="L1139">
        <f>IF($K1139="","",COUNTIFS(LdgPartyA,$F1139,LdgKeyA,"&lt;"&amp;$K1139)+COUNTIFS(LdgPartyB,$F1139,LdgKeyB,"&lt;"&amp;$K1139)+1)</f>
        <v/>
      </c>
      <c r="M1139">
        <f>IF($L1139="","",$F1139&amp;"|"&amp;RIGHT("000000"&amp;$L1139,6))</f>
        <v/>
      </c>
      <c r="N1139">
        <f>IF($F1139="","",IF(Sync!$AH1139="","0000",IF(AND(ISNUMBER(Sync!$AH1139),Sync!$AH1139&gt;=0,Sync!$AH1139&lt;1),RIGHT("00"&amp;HOUR(Sync!$AH1139),2)&amp;RIGHT("00"&amp;MINUTE(Sync!$AH1139),2),IFERROR(RIGHT("00"&amp;VALUE(LEFT(Sync!$AH1139,FIND(":",Sync!$AH1139)-1)),2)&amp;RIGHT("00"&amp;VALUE(MID(Sync!$AH1139,FIND(":",Sync!$AH1139)+1,2)),2),"0000"))))</f>
        <v/>
      </c>
    </row>
    <row r="1140">
      <c r="A1140">
        <f>IF(OR(Calc!$E1143="",Calc!$E1143="نامعتبر",Calc!$G1143="",Calc!$I1143&lt;&gt;"خرید"),"",Calc!$G1143)</f>
        <v/>
      </c>
      <c r="B1140">
        <f>IF($A1140="","",LEFT(Calc!$E1143,4)&amp;MID(Calc!$E1143,6,2)&amp;RIGHT(Calc!$E1143,2)&amp;Calc!$R1143&amp;"|"&amp;"1"&amp;RIGHT("00000"&amp;1135,5))</f>
        <v/>
      </c>
      <c r="C1140">
        <f>IF($B1140="","",COUNTIFS(LdgPartyA,$A1140,LdgKeyA,"&lt;"&amp;$B1140)+COUNTIFS(LdgPartyB,$A1140,LdgKeyB,"&lt;"&amp;$B1140)+1)</f>
        <v/>
      </c>
      <c r="D1140">
        <f>IF($C1140="","",$A1140&amp;"|"&amp;RIGHT("000000"&amp;$C1140,6))</f>
        <v/>
      </c>
      <c r="F1140">
        <f>IF(Sync!$AJ1140="","",Sync!$AJ1140)</f>
        <v/>
      </c>
      <c r="G1140">
        <f>IF($F1140="","",IF(Sync!$AG1140="","",IF(ISNUMBER(Sync!$AG1140),IF(AND(Sync!$AG1140&gt;=10000101,Sync!$AG1140&lt;=99991231),INT(Sync!$AG1140/10000),""),IFERROR(VALUE(TRIM(LEFT(Sync!$AG1140,FIND("/",Sync!$AG1140)-1))),""))))</f>
        <v/>
      </c>
      <c r="H1140">
        <f>IF(OR($F1140="",$G1140=""),"",IF(ISNUMBER(Sync!$AG1140),INT(MOD(Sync!$AG1140,10000)/100),IFERROR(VALUE(TRIM(LEFT(MID(Sync!$AG1140,FIND("/",Sync!$AG1140)+1,20),FIND("/",MID(Sync!$AG1140,FIND("/",Sync!$AG1140)+1,20))-1))),"")))</f>
        <v/>
      </c>
      <c r="I1140">
        <f>IF(OR($F1140="",$G1140=""),"",IF(ISNUMBER(Sync!$AG1140),MOD(Sync!$AG1140,100),IFERROR(VALUE(TRIM(MID(MID(Sync!$AG1140,FIND("/",Sync!$AG1140)+1,20),FIND("/",MID(Sync!$AG1140,FIND("/",Sync!$AG1140)+1,20))+1,20))),"")))</f>
        <v/>
      </c>
      <c r="J1140">
        <f>IF($F1140="","",IF(OR($G1140="",$H1140="",$I1140="",$G1140&lt;1300,$G1140&gt;1500,$H1140&lt;1,$H1140&gt;12,$I1140&lt;1,$I1140&gt;31),"نامعتبر",RIGHT("0000"&amp;$G1140,4)&amp;"/"&amp;RIGHT("00"&amp;$H1140,2)&amp;"/"&amp;RIGHT("00"&amp;$I1140,2)))</f>
        <v/>
      </c>
      <c r="K1140">
        <f>IF(OR($F1140="",$J1140="",$J1140="نامعتبر"),"",LEFT($J1140,4)&amp;MID($J1140,6,2)&amp;RIGHT($J1140,2)&amp;$N1140&amp;"|"&amp;"2"&amp;RIGHT("00000"&amp;1135,5))</f>
        <v/>
      </c>
      <c r="L1140">
        <f>IF($K1140="","",COUNTIFS(LdgPartyA,$F1140,LdgKeyA,"&lt;"&amp;$K1140)+COUNTIFS(LdgPartyB,$F1140,LdgKeyB,"&lt;"&amp;$K1140)+1)</f>
        <v/>
      </c>
      <c r="M1140">
        <f>IF($L1140="","",$F1140&amp;"|"&amp;RIGHT("000000"&amp;$L1140,6))</f>
        <v/>
      </c>
      <c r="N1140">
        <f>IF($F1140="","",IF(Sync!$AH1140="","0000",IF(AND(ISNUMBER(Sync!$AH1140),Sync!$AH1140&gt;=0,Sync!$AH1140&lt;1),RIGHT("00"&amp;HOUR(Sync!$AH1140),2)&amp;RIGHT("00"&amp;MINUTE(Sync!$AH1140),2),IFERROR(RIGHT("00"&amp;VALUE(LEFT(Sync!$AH1140,FIND(":",Sync!$AH1140)-1)),2)&amp;RIGHT("00"&amp;VALUE(MID(Sync!$AH1140,FIND(":",Sync!$AH1140)+1,2)),2),"0000"))))</f>
        <v/>
      </c>
    </row>
    <row r="1141">
      <c r="A1141">
        <f>IF(OR(Calc!$E1144="",Calc!$E1144="نامعتبر",Calc!$G1144="",Calc!$I1144&lt;&gt;"خرید"),"",Calc!$G1144)</f>
        <v/>
      </c>
      <c r="B1141">
        <f>IF($A1141="","",LEFT(Calc!$E1144,4)&amp;MID(Calc!$E1144,6,2)&amp;RIGHT(Calc!$E1144,2)&amp;Calc!$R1144&amp;"|"&amp;"1"&amp;RIGHT("00000"&amp;1136,5))</f>
        <v/>
      </c>
      <c r="C1141">
        <f>IF($B1141="","",COUNTIFS(LdgPartyA,$A1141,LdgKeyA,"&lt;"&amp;$B1141)+COUNTIFS(LdgPartyB,$A1141,LdgKeyB,"&lt;"&amp;$B1141)+1)</f>
        <v/>
      </c>
      <c r="D1141">
        <f>IF($C1141="","",$A1141&amp;"|"&amp;RIGHT("000000"&amp;$C1141,6))</f>
        <v/>
      </c>
      <c r="F1141">
        <f>IF(Sync!$AJ1141="","",Sync!$AJ1141)</f>
        <v/>
      </c>
      <c r="G1141">
        <f>IF($F1141="","",IF(Sync!$AG1141="","",IF(ISNUMBER(Sync!$AG1141),IF(AND(Sync!$AG1141&gt;=10000101,Sync!$AG1141&lt;=99991231),INT(Sync!$AG1141/10000),""),IFERROR(VALUE(TRIM(LEFT(Sync!$AG1141,FIND("/",Sync!$AG1141)-1))),""))))</f>
        <v/>
      </c>
      <c r="H1141">
        <f>IF(OR($F1141="",$G1141=""),"",IF(ISNUMBER(Sync!$AG1141),INT(MOD(Sync!$AG1141,10000)/100),IFERROR(VALUE(TRIM(LEFT(MID(Sync!$AG1141,FIND("/",Sync!$AG1141)+1,20),FIND("/",MID(Sync!$AG1141,FIND("/",Sync!$AG1141)+1,20))-1))),"")))</f>
        <v/>
      </c>
      <c r="I1141">
        <f>IF(OR($F1141="",$G1141=""),"",IF(ISNUMBER(Sync!$AG1141),MOD(Sync!$AG1141,100),IFERROR(VALUE(TRIM(MID(MID(Sync!$AG1141,FIND("/",Sync!$AG1141)+1,20),FIND("/",MID(Sync!$AG1141,FIND("/",Sync!$AG1141)+1,20))+1,20))),"")))</f>
        <v/>
      </c>
      <c r="J1141">
        <f>IF($F1141="","",IF(OR($G1141="",$H1141="",$I1141="",$G1141&lt;1300,$G1141&gt;1500,$H1141&lt;1,$H1141&gt;12,$I1141&lt;1,$I1141&gt;31),"نامعتبر",RIGHT("0000"&amp;$G1141,4)&amp;"/"&amp;RIGHT("00"&amp;$H1141,2)&amp;"/"&amp;RIGHT("00"&amp;$I1141,2)))</f>
        <v/>
      </c>
      <c r="K1141">
        <f>IF(OR($F1141="",$J1141="",$J1141="نامعتبر"),"",LEFT($J1141,4)&amp;MID($J1141,6,2)&amp;RIGHT($J1141,2)&amp;$N1141&amp;"|"&amp;"2"&amp;RIGHT("00000"&amp;1136,5))</f>
        <v/>
      </c>
      <c r="L1141">
        <f>IF($K1141="","",COUNTIFS(LdgPartyA,$F1141,LdgKeyA,"&lt;"&amp;$K1141)+COUNTIFS(LdgPartyB,$F1141,LdgKeyB,"&lt;"&amp;$K1141)+1)</f>
        <v/>
      </c>
      <c r="M1141">
        <f>IF($L1141="","",$F1141&amp;"|"&amp;RIGHT("000000"&amp;$L1141,6))</f>
        <v/>
      </c>
      <c r="N1141">
        <f>IF($F1141="","",IF(Sync!$AH1141="","0000",IF(AND(ISNUMBER(Sync!$AH1141),Sync!$AH1141&gt;=0,Sync!$AH1141&lt;1),RIGHT("00"&amp;HOUR(Sync!$AH1141),2)&amp;RIGHT("00"&amp;MINUTE(Sync!$AH1141),2),IFERROR(RIGHT("00"&amp;VALUE(LEFT(Sync!$AH1141,FIND(":",Sync!$AH1141)-1)),2)&amp;RIGHT("00"&amp;VALUE(MID(Sync!$AH1141,FIND(":",Sync!$AH1141)+1,2)),2),"0000"))))</f>
        <v/>
      </c>
    </row>
    <row r="1142">
      <c r="A1142">
        <f>IF(OR(Calc!$E1145="",Calc!$E1145="نامعتبر",Calc!$G1145="",Calc!$I1145&lt;&gt;"خرید"),"",Calc!$G1145)</f>
        <v/>
      </c>
      <c r="B1142">
        <f>IF($A1142="","",LEFT(Calc!$E1145,4)&amp;MID(Calc!$E1145,6,2)&amp;RIGHT(Calc!$E1145,2)&amp;Calc!$R1145&amp;"|"&amp;"1"&amp;RIGHT("00000"&amp;1137,5))</f>
        <v/>
      </c>
      <c r="C1142">
        <f>IF($B1142="","",COUNTIFS(LdgPartyA,$A1142,LdgKeyA,"&lt;"&amp;$B1142)+COUNTIFS(LdgPartyB,$A1142,LdgKeyB,"&lt;"&amp;$B1142)+1)</f>
        <v/>
      </c>
      <c r="D1142">
        <f>IF($C1142="","",$A1142&amp;"|"&amp;RIGHT("000000"&amp;$C1142,6))</f>
        <v/>
      </c>
      <c r="F1142">
        <f>IF(Sync!$AJ1142="","",Sync!$AJ1142)</f>
        <v/>
      </c>
      <c r="G1142">
        <f>IF($F1142="","",IF(Sync!$AG1142="","",IF(ISNUMBER(Sync!$AG1142),IF(AND(Sync!$AG1142&gt;=10000101,Sync!$AG1142&lt;=99991231),INT(Sync!$AG1142/10000),""),IFERROR(VALUE(TRIM(LEFT(Sync!$AG1142,FIND("/",Sync!$AG1142)-1))),""))))</f>
        <v/>
      </c>
      <c r="H1142">
        <f>IF(OR($F1142="",$G1142=""),"",IF(ISNUMBER(Sync!$AG1142),INT(MOD(Sync!$AG1142,10000)/100),IFERROR(VALUE(TRIM(LEFT(MID(Sync!$AG1142,FIND("/",Sync!$AG1142)+1,20),FIND("/",MID(Sync!$AG1142,FIND("/",Sync!$AG1142)+1,20))-1))),"")))</f>
        <v/>
      </c>
      <c r="I1142">
        <f>IF(OR($F1142="",$G1142=""),"",IF(ISNUMBER(Sync!$AG1142),MOD(Sync!$AG1142,100),IFERROR(VALUE(TRIM(MID(MID(Sync!$AG1142,FIND("/",Sync!$AG1142)+1,20),FIND("/",MID(Sync!$AG1142,FIND("/",Sync!$AG1142)+1,20))+1,20))),"")))</f>
        <v/>
      </c>
      <c r="J1142">
        <f>IF($F1142="","",IF(OR($G1142="",$H1142="",$I1142="",$G1142&lt;1300,$G1142&gt;1500,$H1142&lt;1,$H1142&gt;12,$I1142&lt;1,$I1142&gt;31),"نامعتبر",RIGHT("0000"&amp;$G1142,4)&amp;"/"&amp;RIGHT("00"&amp;$H1142,2)&amp;"/"&amp;RIGHT("00"&amp;$I1142,2)))</f>
        <v/>
      </c>
      <c r="K1142">
        <f>IF(OR($F1142="",$J1142="",$J1142="نامعتبر"),"",LEFT($J1142,4)&amp;MID($J1142,6,2)&amp;RIGHT($J1142,2)&amp;$N1142&amp;"|"&amp;"2"&amp;RIGHT("00000"&amp;1137,5))</f>
        <v/>
      </c>
      <c r="L1142">
        <f>IF($K1142="","",COUNTIFS(LdgPartyA,$F1142,LdgKeyA,"&lt;"&amp;$K1142)+COUNTIFS(LdgPartyB,$F1142,LdgKeyB,"&lt;"&amp;$K1142)+1)</f>
        <v/>
      </c>
      <c r="M1142">
        <f>IF($L1142="","",$F1142&amp;"|"&amp;RIGHT("000000"&amp;$L1142,6))</f>
        <v/>
      </c>
      <c r="N1142">
        <f>IF($F1142="","",IF(Sync!$AH1142="","0000",IF(AND(ISNUMBER(Sync!$AH1142),Sync!$AH1142&gt;=0,Sync!$AH1142&lt;1),RIGHT("00"&amp;HOUR(Sync!$AH1142),2)&amp;RIGHT("00"&amp;MINUTE(Sync!$AH1142),2),IFERROR(RIGHT("00"&amp;VALUE(LEFT(Sync!$AH1142,FIND(":",Sync!$AH1142)-1)),2)&amp;RIGHT("00"&amp;VALUE(MID(Sync!$AH1142,FIND(":",Sync!$AH1142)+1,2)),2),"0000"))))</f>
        <v/>
      </c>
    </row>
    <row r="1143">
      <c r="A1143">
        <f>IF(OR(Calc!$E1146="",Calc!$E1146="نامعتبر",Calc!$G1146="",Calc!$I1146&lt;&gt;"خرید"),"",Calc!$G1146)</f>
        <v/>
      </c>
      <c r="B1143">
        <f>IF($A1143="","",LEFT(Calc!$E1146,4)&amp;MID(Calc!$E1146,6,2)&amp;RIGHT(Calc!$E1146,2)&amp;Calc!$R1146&amp;"|"&amp;"1"&amp;RIGHT("00000"&amp;1138,5))</f>
        <v/>
      </c>
      <c r="C1143">
        <f>IF($B1143="","",COUNTIFS(LdgPartyA,$A1143,LdgKeyA,"&lt;"&amp;$B1143)+COUNTIFS(LdgPartyB,$A1143,LdgKeyB,"&lt;"&amp;$B1143)+1)</f>
        <v/>
      </c>
      <c r="D1143">
        <f>IF($C1143="","",$A1143&amp;"|"&amp;RIGHT("000000"&amp;$C1143,6))</f>
        <v/>
      </c>
      <c r="F1143">
        <f>IF(Sync!$AJ1143="","",Sync!$AJ1143)</f>
        <v/>
      </c>
      <c r="G1143">
        <f>IF($F1143="","",IF(Sync!$AG1143="","",IF(ISNUMBER(Sync!$AG1143),IF(AND(Sync!$AG1143&gt;=10000101,Sync!$AG1143&lt;=99991231),INT(Sync!$AG1143/10000),""),IFERROR(VALUE(TRIM(LEFT(Sync!$AG1143,FIND("/",Sync!$AG1143)-1))),""))))</f>
        <v/>
      </c>
      <c r="H1143">
        <f>IF(OR($F1143="",$G1143=""),"",IF(ISNUMBER(Sync!$AG1143),INT(MOD(Sync!$AG1143,10000)/100),IFERROR(VALUE(TRIM(LEFT(MID(Sync!$AG1143,FIND("/",Sync!$AG1143)+1,20),FIND("/",MID(Sync!$AG1143,FIND("/",Sync!$AG1143)+1,20))-1))),"")))</f>
        <v/>
      </c>
      <c r="I1143">
        <f>IF(OR($F1143="",$G1143=""),"",IF(ISNUMBER(Sync!$AG1143),MOD(Sync!$AG1143,100),IFERROR(VALUE(TRIM(MID(MID(Sync!$AG1143,FIND("/",Sync!$AG1143)+1,20),FIND("/",MID(Sync!$AG1143,FIND("/",Sync!$AG1143)+1,20))+1,20))),"")))</f>
        <v/>
      </c>
      <c r="J1143">
        <f>IF($F1143="","",IF(OR($G1143="",$H1143="",$I1143="",$G1143&lt;1300,$G1143&gt;1500,$H1143&lt;1,$H1143&gt;12,$I1143&lt;1,$I1143&gt;31),"نامعتبر",RIGHT("0000"&amp;$G1143,4)&amp;"/"&amp;RIGHT("00"&amp;$H1143,2)&amp;"/"&amp;RIGHT("00"&amp;$I1143,2)))</f>
        <v/>
      </c>
      <c r="K1143">
        <f>IF(OR($F1143="",$J1143="",$J1143="نامعتبر"),"",LEFT($J1143,4)&amp;MID($J1143,6,2)&amp;RIGHT($J1143,2)&amp;$N1143&amp;"|"&amp;"2"&amp;RIGHT("00000"&amp;1138,5))</f>
        <v/>
      </c>
      <c r="L1143">
        <f>IF($K1143="","",COUNTIFS(LdgPartyA,$F1143,LdgKeyA,"&lt;"&amp;$K1143)+COUNTIFS(LdgPartyB,$F1143,LdgKeyB,"&lt;"&amp;$K1143)+1)</f>
        <v/>
      </c>
      <c r="M1143">
        <f>IF($L1143="","",$F1143&amp;"|"&amp;RIGHT("000000"&amp;$L1143,6))</f>
        <v/>
      </c>
      <c r="N1143">
        <f>IF($F1143="","",IF(Sync!$AH1143="","0000",IF(AND(ISNUMBER(Sync!$AH1143),Sync!$AH1143&gt;=0,Sync!$AH1143&lt;1),RIGHT("00"&amp;HOUR(Sync!$AH1143),2)&amp;RIGHT("00"&amp;MINUTE(Sync!$AH1143),2),IFERROR(RIGHT("00"&amp;VALUE(LEFT(Sync!$AH1143,FIND(":",Sync!$AH1143)-1)),2)&amp;RIGHT("00"&amp;VALUE(MID(Sync!$AH1143,FIND(":",Sync!$AH1143)+1,2)),2),"0000"))))</f>
        <v/>
      </c>
    </row>
    <row r="1144">
      <c r="A1144">
        <f>IF(OR(Calc!$E1147="",Calc!$E1147="نامعتبر",Calc!$G1147="",Calc!$I1147&lt;&gt;"خرید"),"",Calc!$G1147)</f>
        <v/>
      </c>
      <c r="B1144">
        <f>IF($A1144="","",LEFT(Calc!$E1147,4)&amp;MID(Calc!$E1147,6,2)&amp;RIGHT(Calc!$E1147,2)&amp;Calc!$R1147&amp;"|"&amp;"1"&amp;RIGHT("00000"&amp;1139,5))</f>
        <v/>
      </c>
      <c r="C1144">
        <f>IF($B1144="","",COUNTIFS(LdgPartyA,$A1144,LdgKeyA,"&lt;"&amp;$B1144)+COUNTIFS(LdgPartyB,$A1144,LdgKeyB,"&lt;"&amp;$B1144)+1)</f>
        <v/>
      </c>
      <c r="D1144">
        <f>IF($C1144="","",$A1144&amp;"|"&amp;RIGHT("000000"&amp;$C1144,6))</f>
        <v/>
      </c>
      <c r="F1144">
        <f>IF(Sync!$AJ1144="","",Sync!$AJ1144)</f>
        <v/>
      </c>
      <c r="G1144">
        <f>IF($F1144="","",IF(Sync!$AG1144="","",IF(ISNUMBER(Sync!$AG1144),IF(AND(Sync!$AG1144&gt;=10000101,Sync!$AG1144&lt;=99991231),INT(Sync!$AG1144/10000),""),IFERROR(VALUE(TRIM(LEFT(Sync!$AG1144,FIND("/",Sync!$AG1144)-1))),""))))</f>
        <v/>
      </c>
      <c r="H1144">
        <f>IF(OR($F1144="",$G1144=""),"",IF(ISNUMBER(Sync!$AG1144),INT(MOD(Sync!$AG1144,10000)/100),IFERROR(VALUE(TRIM(LEFT(MID(Sync!$AG1144,FIND("/",Sync!$AG1144)+1,20),FIND("/",MID(Sync!$AG1144,FIND("/",Sync!$AG1144)+1,20))-1))),"")))</f>
        <v/>
      </c>
      <c r="I1144">
        <f>IF(OR($F1144="",$G1144=""),"",IF(ISNUMBER(Sync!$AG1144),MOD(Sync!$AG1144,100),IFERROR(VALUE(TRIM(MID(MID(Sync!$AG1144,FIND("/",Sync!$AG1144)+1,20),FIND("/",MID(Sync!$AG1144,FIND("/",Sync!$AG1144)+1,20))+1,20))),"")))</f>
        <v/>
      </c>
      <c r="J1144">
        <f>IF($F1144="","",IF(OR($G1144="",$H1144="",$I1144="",$G1144&lt;1300,$G1144&gt;1500,$H1144&lt;1,$H1144&gt;12,$I1144&lt;1,$I1144&gt;31),"نامعتبر",RIGHT("0000"&amp;$G1144,4)&amp;"/"&amp;RIGHT("00"&amp;$H1144,2)&amp;"/"&amp;RIGHT("00"&amp;$I1144,2)))</f>
        <v/>
      </c>
      <c r="K1144">
        <f>IF(OR($F1144="",$J1144="",$J1144="نامعتبر"),"",LEFT($J1144,4)&amp;MID($J1144,6,2)&amp;RIGHT($J1144,2)&amp;$N1144&amp;"|"&amp;"2"&amp;RIGHT("00000"&amp;1139,5))</f>
        <v/>
      </c>
      <c r="L1144">
        <f>IF($K1144="","",COUNTIFS(LdgPartyA,$F1144,LdgKeyA,"&lt;"&amp;$K1144)+COUNTIFS(LdgPartyB,$F1144,LdgKeyB,"&lt;"&amp;$K1144)+1)</f>
        <v/>
      </c>
      <c r="M1144">
        <f>IF($L1144="","",$F1144&amp;"|"&amp;RIGHT("000000"&amp;$L1144,6))</f>
        <v/>
      </c>
      <c r="N1144">
        <f>IF($F1144="","",IF(Sync!$AH1144="","0000",IF(AND(ISNUMBER(Sync!$AH1144),Sync!$AH1144&gt;=0,Sync!$AH1144&lt;1),RIGHT("00"&amp;HOUR(Sync!$AH1144),2)&amp;RIGHT("00"&amp;MINUTE(Sync!$AH1144),2),IFERROR(RIGHT("00"&amp;VALUE(LEFT(Sync!$AH1144,FIND(":",Sync!$AH1144)-1)),2)&amp;RIGHT("00"&amp;VALUE(MID(Sync!$AH1144,FIND(":",Sync!$AH1144)+1,2)),2),"0000"))))</f>
        <v/>
      </c>
    </row>
    <row r="1145">
      <c r="A1145">
        <f>IF(OR(Calc!$E1148="",Calc!$E1148="نامعتبر",Calc!$G1148="",Calc!$I1148&lt;&gt;"خرید"),"",Calc!$G1148)</f>
        <v/>
      </c>
      <c r="B1145">
        <f>IF($A1145="","",LEFT(Calc!$E1148,4)&amp;MID(Calc!$E1148,6,2)&amp;RIGHT(Calc!$E1148,2)&amp;Calc!$R1148&amp;"|"&amp;"1"&amp;RIGHT("00000"&amp;1140,5))</f>
        <v/>
      </c>
      <c r="C1145">
        <f>IF($B1145="","",COUNTIFS(LdgPartyA,$A1145,LdgKeyA,"&lt;"&amp;$B1145)+COUNTIFS(LdgPartyB,$A1145,LdgKeyB,"&lt;"&amp;$B1145)+1)</f>
        <v/>
      </c>
      <c r="D1145">
        <f>IF($C1145="","",$A1145&amp;"|"&amp;RIGHT("000000"&amp;$C1145,6))</f>
        <v/>
      </c>
      <c r="F1145">
        <f>IF(Sync!$AJ1145="","",Sync!$AJ1145)</f>
        <v/>
      </c>
      <c r="G1145">
        <f>IF($F1145="","",IF(Sync!$AG1145="","",IF(ISNUMBER(Sync!$AG1145),IF(AND(Sync!$AG1145&gt;=10000101,Sync!$AG1145&lt;=99991231),INT(Sync!$AG1145/10000),""),IFERROR(VALUE(TRIM(LEFT(Sync!$AG1145,FIND("/",Sync!$AG1145)-1))),""))))</f>
        <v/>
      </c>
      <c r="H1145">
        <f>IF(OR($F1145="",$G1145=""),"",IF(ISNUMBER(Sync!$AG1145),INT(MOD(Sync!$AG1145,10000)/100),IFERROR(VALUE(TRIM(LEFT(MID(Sync!$AG1145,FIND("/",Sync!$AG1145)+1,20),FIND("/",MID(Sync!$AG1145,FIND("/",Sync!$AG1145)+1,20))-1))),"")))</f>
        <v/>
      </c>
      <c r="I1145">
        <f>IF(OR($F1145="",$G1145=""),"",IF(ISNUMBER(Sync!$AG1145),MOD(Sync!$AG1145,100),IFERROR(VALUE(TRIM(MID(MID(Sync!$AG1145,FIND("/",Sync!$AG1145)+1,20),FIND("/",MID(Sync!$AG1145,FIND("/",Sync!$AG1145)+1,20))+1,20))),"")))</f>
        <v/>
      </c>
      <c r="J1145">
        <f>IF($F1145="","",IF(OR($G1145="",$H1145="",$I1145="",$G1145&lt;1300,$G1145&gt;1500,$H1145&lt;1,$H1145&gt;12,$I1145&lt;1,$I1145&gt;31),"نامعتبر",RIGHT("0000"&amp;$G1145,4)&amp;"/"&amp;RIGHT("00"&amp;$H1145,2)&amp;"/"&amp;RIGHT("00"&amp;$I1145,2)))</f>
        <v/>
      </c>
      <c r="K1145">
        <f>IF(OR($F1145="",$J1145="",$J1145="نامعتبر"),"",LEFT($J1145,4)&amp;MID($J1145,6,2)&amp;RIGHT($J1145,2)&amp;$N1145&amp;"|"&amp;"2"&amp;RIGHT("00000"&amp;1140,5))</f>
        <v/>
      </c>
      <c r="L1145">
        <f>IF($K1145="","",COUNTIFS(LdgPartyA,$F1145,LdgKeyA,"&lt;"&amp;$K1145)+COUNTIFS(LdgPartyB,$F1145,LdgKeyB,"&lt;"&amp;$K1145)+1)</f>
        <v/>
      </c>
      <c r="M1145">
        <f>IF($L1145="","",$F1145&amp;"|"&amp;RIGHT("000000"&amp;$L1145,6))</f>
        <v/>
      </c>
      <c r="N1145">
        <f>IF($F1145="","",IF(Sync!$AH1145="","0000",IF(AND(ISNUMBER(Sync!$AH1145),Sync!$AH1145&gt;=0,Sync!$AH1145&lt;1),RIGHT("00"&amp;HOUR(Sync!$AH1145),2)&amp;RIGHT("00"&amp;MINUTE(Sync!$AH1145),2),IFERROR(RIGHT("00"&amp;VALUE(LEFT(Sync!$AH1145,FIND(":",Sync!$AH1145)-1)),2)&amp;RIGHT("00"&amp;VALUE(MID(Sync!$AH1145,FIND(":",Sync!$AH1145)+1,2)),2),"0000"))))</f>
        <v/>
      </c>
    </row>
    <row r="1146">
      <c r="A1146">
        <f>IF(OR(Calc!$E1149="",Calc!$E1149="نامعتبر",Calc!$G1149="",Calc!$I1149&lt;&gt;"خرید"),"",Calc!$G1149)</f>
        <v/>
      </c>
      <c r="B1146">
        <f>IF($A1146="","",LEFT(Calc!$E1149,4)&amp;MID(Calc!$E1149,6,2)&amp;RIGHT(Calc!$E1149,2)&amp;Calc!$R1149&amp;"|"&amp;"1"&amp;RIGHT("00000"&amp;1141,5))</f>
        <v/>
      </c>
      <c r="C1146">
        <f>IF($B1146="","",COUNTIFS(LdgPartyA,$A1146,LdgKeyA,"&lt;"&amp;$B1146)+COUNTIFS(LdgPartyB,$A1146,LdgKeyB,"&lt;"&amp;$B1146)+1)</f>
        <v/>
      </c>
      <c r="D1146">
        <f>IF($C1146="","",$A1146&amp;"|"&amp;RIGHT("000000"&amp;$C1146,6))</f>
        <v/>
      </c>
      <c r="F1146">
        <f>IF(Sync!$AJ1146="","",Sync!$AJ1146)</f>
        <v/>
      </c>
      <c r="G1146">
        <f>IF($F1146="","",IF(Sync!$AG1146="","",IF(ISNUMBER(Sync!$AG1146),IF(AND(Sync!$AG1146&gt;=10000101,Sync!$AG1146&lt;=99991231),INT(Sync!$AG1146/10000),""),IFERROR(VALUE(TRIM(LEFT(Sync!$AG1146,FIND("/",Sync!$AG1146)-1))),""))))</f>
        <v/>
      </c>
      <c r="H1146">
        <f>IF(OR($F1146="",$G1146=""),"",IF(ISNUMBER(Sync!$AG1146),INT(MOD(Sync!$AG1146,10000)/100),IFERROR(VALUE(TRIM(LEFT(MID(Sync!$AG1146,FIND("/",Sync!$AG1146)+1,20),FIND("/",MID(Sync!$AG1146,FIND("/",Sync!$AG1146)+1,20))-1))),"")))</f>
        <v/>
      </c>
      <c r="I1146">
        <f>IF(OR($F1146="",$G1146=""),"",IF(ISNUMBER(Sync!$AG1146),MOD(Sync!$AG1146,100),IFERROR(VALUE(TRIM(MID(MID(Sync!$AG1146,FIND("/",Sync!$AG1146)+1,20),FIND("/",MID(Sync!$AG1146,FIND("/",Sync!$AG1146)+1,20))+1,20))),"")))</f>
        <v/>
      </c>
      <c r="J1146">
        <f>IF($F1146="","",IF(OR($G1146="",$H1146="",$I1146="",$G1146&lt;1300,$G1146&gt;1500,$H1146&lt;1,$H1146&gt;12,$I1146&lt;1,$I1146&gt;31),"نامعتبر",RIGHT("0000"&amp;$G1146,4)&amp;"/"&amp;RIGHT("00"&amp;$H1146,2)&amp;"/"&amp;RIGHT("00"&amp;$I1146,2)))</f>
        <v/>
      </c>
      <c r="K1146">
        <f>IF(OR($F1146="",$J1146="",$J1146="نامعتبر"),"",LEFT($J1146,4)&amp;MID($J1146,6,2)&amp;RIGHT($J1146,2)&amp;$N1146&amp;"|"&amp;"2"&amp;RIGHT("00000"&amp;1141,5))</f>
        <v/>
      </c>
      <c r="L1146">
        <f>IF($K1146="","",COUNTIFS(LdgPartyA,$F1146,LdgKeyA,"&lt;"&amp;$K1146)+COUNTIFS(LdgPartyB,$F1146,LdgKeyB,"&lt;"&amp;$K1146)+1)</f>
        <v/>
      </c>
      <c r="M1146">
        <f>IF($L1146="","",$F1146&amp;"|"&amp;RIGHT("000000"&amp;$L1146,6))</f>
        <v/>
      </c>
      <c r="N1146">
        <f>IF($F1146="","",IF(Sync!$AH1146="","0000",IF(AND(ISNUMBER(Sync!$AH1146),Sync!$AH1146&gt;=0,Sync!$AH1146&lt;1),RIGHT("00"&amp;HOUR(Sync!$AH1146),2)&amp;RIGHT("00"&amp;MINUTE(Sync!$AH1146),2),IFERROR(RIGHT("00"&amp;VALUE(LEFT(Sync!$AH1146,FIND(":",Sync!$AH1146)-1)),2)&amp;RIGHT("00"&amp;VALUE(MID(Sync!$AH1146,FIND(":",Sync!$AH1146)+1,2)),2),"0000"))))</f>
        <v/>
      </c>
    </row>
    <row r="1147">
      <c r="A1147">
        <f>IF(OR(Calc!$E1150="",Calc!$E1150="نامعتبر",Calc!$G1150="",Calc!$I1150&lt;&gt;"خرید"),"",Calc!$G1150)</f>
        <v/>
      </c>
      <c r="B1147">
        <f>IF($A1147="","",LEFT(Calc!$E1150,4)&amp;MID(Calc!$E1150,6,2)&amp;RIGHT(Calc!$E1150,2)&amp;Calc!$R1150&amp;"|"&amp;"1"&amp;RIGHT("00000"&amp;1142,5))</f>
        <v/>
      </c>
      <c r="C1147">
        <f>IF($B1147="","",COUNTIFS(LdgPartyA,$A1147,LdgKeyA,"&lt;"&amp;$B1147)+COUNTIFS(LdgPartyB,$A1147,LdgKeyB,"&lt;"&amp;$B1147)+1)</f>
        <v/>
      </c>
      <c r="D1147">
        <f>IF($C1147="","",$A1147&amp;"|"&amp;RIGHT("000000"&amp;$C1147,6))</f>
        <v/>
      </c>
      <c r="F1147">
        <f>IF(Sync!$AJ1147="","",Sync!$AJ1147)</f>
        <v/>
      </c>
      <c r="G1147">
        <f>IF($F1147="","",IF(Sync!$AG1147="","",IF(ISNUMBER(Sync!$AG1147),IF(AND(Sync!$AG1147&gt;=10000101,Sync!$AG1147&lt;=99991231),INT(Sync!$AG1147/10000),""),IFERROR(VALUE(TRIM(LEFT(Sync!$AG1147,FIND("/",Sync!$AG1147)-1))),""))))</f>
        <v/>
      </c>
      <c r="H1147">
        <f>IF(OR($F1147="",$G1147=""),"",IF(ISNUMBER(Sync!$AG1147),INT(MOD(Sync!$AG1147,10000)/100),IFERROR(VALUE(TRIM(LEFT(MID(Sync!$AG1147,FIND("/",Sync!$AG1147)+1,20),FIND("/",MID(Sync!$AG1147,FIND("/",Sync!$AG1147)+1,20))-1))),"")))</f>
        <v/>
      </c>
      <c r="I1147">
        <f>IF(OR($F1147="",$G1147=""),"",IF(ISNUMBER(Sync!$AG1147),MOD(Sync!$AG1147,100),IFERROR(VALUE(TRIM(MID(MID(Sync!$AG1147,FIND("/",Sync!$AG1147)+1,20),FIND("/",MID(Sync!$AG1147,FIND("/",Sync!$AG1147)+1,20))+1,20))),"")))</f>
        <v/>
      </c>
      <c r="J1147">
        <f>IF($F1147="","",IF(OR($G1147="",$H1147="",$I1147="",$G1147&lt;1300,$G1147&gt;1500,$H1147&lt;1,$H1147&gt;12,$I1147&lt;1,$I1147&gt;31),"نامعتبر",RIGHT("0000"&amp;$G1147,4)&amp;"/"&amp;RIGHT("00"&amp;$H1147,2)&amp;"/"&amp;RIGHT("00"&amp;$I1147,2)))</f>
        <v/>
      </c>
      <c r="K1147">
        <f>IF(OR($F1147="",$J1147="",$J1147="نامعتبر"),"",LEFT($J1147,4)&amp;MID($J1147,6,2)&amp;RIGHT($J1147,2)&amp;$N1147&amp;"|"&amp;"2"&amp;RIGHT("00000"&amp;1142,5))</f>
        <v/>
      </c>
      <c r="L1147">
        <f>IF($K1147="","",COUNTIFS(LdgPartyA,$F1147,LdgKeyA,"&lt;"&amp;$K1147)+COUNTIFS(LdgPartyB,$F1147,LdgKeyB,"&lt;"&amp;$K1147)+1)</f>
        <v/>
      </c>
      <c r="M1147">
        <f>IF($L1147="","",$F1147&amp;"|"&amp;RIGHT("000000"&amp;$L1147,6))</f>
        <v/>
      </c>
      <c r="N1147">
        <f>IF($F1147="","",IF(Sync!$AH1147="","0000",IF(AND(ISNUMBER(Sync!$AH1147),Sync!$AH1147&gt;=0,Sync!$AH1147&lt;1),RIGHT("00"&amp;HOUR(Sync!$AH1147),2)&amp;RIGHT("00"&amp;MINUTE(Sync!$AH1147),2),IFERROR(RIGHT("00"&amp;VALUE(LEFT(Sync!$AH1147,FIND(":",Sync!$AH1147)-1)),2)&amp;RIGHT("00"&amp;VALUE(MID(Sync!$AH1147,FIND(":",Sync!$AH1147)+1,2)),2),"0000"))))</f>
        <v/>
      </c>
    </row>
    <row r="1148">
      <c r="A1148">
        <f>IF(OR(Calc!$E1151="",Calc!$E1151="نامعتبر",Calc!$G1151="",Calc!$I1151&lt;&gt;"خرید"),"",Calc!$G1151)</f>
        <v/>
      </c>
      <c r="B1148">
        <f>IF($A1148="","",LEFT(Calc!$E1151,4)&amp;MID(Calc!$E1151,6,2)&amp;RIGHT(Calc!$E1151,2)&amp;Calc!$R1151&amp;"|"&amp;"1"&amp;RIGHT("00000"&amp;1143,5))</f>
        <v/>
      </c>
      <c r="C1148">
        <f>IF($B1148="","",COUNTIFS(LdgPartyA,$A1148,LdgKeyA,"&lt;"&amp;$B1148)+COUNTIFS(LdgPartyB,$A1148,LdgKeyB,"&lt;"&amp;$B1148)+1)</f>
        <v/>
      </c>
      <c r="D1148">
        <f>IF($C1148="","",$A1148&amp;"|"&amp;RIGHT("000000"&amp;$C1148,6))</f>
        <v/>
      </c>
      <c r="F1148">
        <f>IF(Sync!$AJ1148="","",Sync!$AJ1148)</f>
        <v/>
      </c>
      <c r="G1148">
        <f>IF($F1148="","",IF(Sync!$AG1148="","",IF(ISNUMBER(Sync!$AG1148),IF(AND(Sync!$AG1148&gt;=10000101,Sync!$AG1148&lt;=99991231),INT(Sync!$AG1148/10000),""),IFERROR(VALUE(TRIM(LEFT(Sync!$AG1148,FIND("/",Sync!$AG1148)-1))),""))))</f>
        <v/>
      </c>
      <c r="H1148">
        <f>IF(OR($F1148="",$G1148=""),"",IF(ISNUMBER(Sync!$AG1148),INT(MOD(Sync!$AG1148,10000)/100),IFERROR(VALUE(TRIM(LEFT(MID(Sync!$AG1148,FIND("/",Sync!$AG1148)+1,20),FIND("/",MID(Sync!$AG1148,FIND("/",Sync!$AG1148)+1,20))-1))),"")))</f>
        <v/>
      </c>
      <c r="I1148">
        <f>IF(OR($F1148="",$G1148=""),"",IF(ISNUMBER(Sync!$AG1148),MOD(Sync!$AG1148,100),IFERROR(VALUE(TRIM(MID(MID(Sync!$AG1148,FIND("/",Sync!$AG1148)+1,20),FIND("/",MID(Sync!$AG1148,FIND("/",Sync!$AG1148)+1,20))+1,20))),"")))</f>
        <v/>
      </c>
      <c r="J1148">
        <f>IF($F1148="","",IF(OR($G1148="",$H1148="",$I1148="",$G1148&lt;1300,$G1148&gt;1500,$H1148&lt;1,$H1148&gt;12,$I1148&lt;1,$I1148&gt;31),"نامعتبر",RIGHT("0000"&amp;$G1148,4)&amp;"/"&amp;RIGHT("00"&amp;$H1148,2)&amp;"/"&amp;RIGHT("00"&amp;$I1148,2)))</f>
        <v/>
      </c>
      <c r="K1148">
        <f>IF(OR($F1148="",$J1148="",$J1148="نامعتبر"),"",LEFT($J1148,4)&amp;MID($J1148,6,2)&amp;RIGHT($J1148,2)&amp;$N1148&amp;"|"&amp;"2"&amp;RIGHT("00000"&amp;1143,5))</f>
        <v/>
      </c>
      <c r="L1148">
        <f>IF($K1148="","",COUNTIFS(LdgPartyA,$F1148,LdgKeyA,"&lt;"&amp;$K1148)+COUNTIFS(LdgPartyB,$F1148,LdgKeyB,"&lt;"&amp;$K1148)+1)</f>
        <v/>
      </c>
      <c r="M1148">
        <f>IF($L1148="","",$F1148&amp;"|"&amp;RIGHT("000000"&amp;$L1148,6))</f>
        <v/>
      </c>
      <c r="N1148">
        <f>IF($F1148="","",IF(Sync!$AH1148="","0000",IF(AND(ISNUMBER(Sync!$AH1148),Sync!$AH1148&gt;=0,Sync!$AH1148&lt;1),RIGHT("00"&amp;HOUR(Sync!$AH1148),2)&amp;RIGHT("00"&amp;MINUTE(Sync!$AH1148),2),IFERROR(RIGHT("00"&amp;VALUE(LEFT(Sync!$AH1148,FIND(":",Sync!$AH1148)-1)),2)&amp;RIGHT("00"&amp;VALUE(MID(Sync!$AH1148,FIND(":",Sync!$AH1148)+1,2)),2),"0000"))))</f>
        <v/>
      </c>
    </row>
    <row r="1149">
      <c r="A1149">
        <f>IF(OR(Calc!$E1152="",Calc!$E1152="نامعتبر",Calc!$G1152="",Calc!$I1152&lt;&gt;"خرید"),"",Calc!$G1152)</f>
        <v/>
      </c>
      <c r="B1149">
        <f>IF($A1149="","",LEFT(Calc!$E1152,4)&amp;MID(Calc!$E1152,6,2)&amp;RIGHT(Calc!$E1152,2)&amp;Calc!$R1152&amp;"|"&amp;"1"&amp;RIGHT("00000"&amp;1144,5))</f>
        <v/>
      </c>
      <c r="C1149">
        <f>IF($B1149="","",COUNTIFS(LdgPartyA,$A1149,LdgKeyA,"&lt;"&amp;$B1149)+COUNTIFS(LdgPartyB,$A1149,LdgKeyB,"&lt;"&amp;$B1149)+1)</f>
        <v/>
      </c>
      <c r="D1149">
        <f>IF($C1149="","",$A1149&amp;"|"&amp;RIGHT("000000"&amp;$C1149,6))</f>
        <v/>
      </c>
      <c r="F1149">
        <f>IF(Sync!$AJ1149="","",Sync!$AJ1149)</f>
        <v/>
      </c>
      <c r="G1149">
        <f>IF($F1149="","",IF(Sync!$AG1149="","",IF(ISNUMBER(Sync!$AG1149),IF(AND(Sync!$AG1149&gt;=10000101,Sync!$AG1149&lt;=99991231),INT(Sync!$AG1149/10000),""),IFERROR(VALUE(TRIM(LEFT(Sync!$AG1149,FIND("/",Sync!$AG1149)-1))),""))))</f>
        <v/>
      </c>
      <c r="H1149">
        <f>IF(OR($F1149="",$G1149=""),"",IF(ISNUMBER(Sync!$AG1149),INT(MOD(Sync!$AG1149,10000)/100),IFERROR(VALUE(TRIM(LEFT(MID(Sync!$AG1149,FIND("/",Sync!$AG1149)+1,20),FIND("/",MID(Sync!$AG1149,FIND("/",Sync!$AG1149)+1,20))-1))),"")))</f>
        <v/>
      </c>
      <c r="I1149">
        <f>IF(OR($F1149="",$G1149=""),"",IF(ISNUMBER(Sync!$AG1149),MOD(Sync!$AG1149,100),IFERROR(VALUE(TRIM(MID(MID(Sync!$AG1149,FIND("/",Sync!$AG1149)+1,20),FIND("/",MID(Sync!$AG1149,FIND("/",Sync!$AG1149)+1,20))+1,20))),"")))</f>
        <v/>
      </c>
      <c r="J1149">
        <f>IF($F1149="","",IF(OR($G1149="",$H1149="",$I1149="",$G1149&lt;1300,$G1149&gt;1500,$H1149&lt;1,$H1149&gt;12,$I1149&lt;1,$I1149&gt;31),"نامعتبر",RIGHT("0000"&amp;$G1149,4)&amp;"/"&amp;RIGHT("00"&amp;$H1149,2)&amp;"/"&amp;RIGHT("00"&amp;$I1149,2)))</f>
        <v/>
      </c>
      <c r="K1149">
        <f>IF(OR($F1149="",$J1149="",$J1149="نامعتبر"),"",LEFT($J1149,4)&amp;MID($J1149,6,2)&amp;RIGHT($J1149,2)&amp;$N1149&amp;"|"&amp;"2"&amp;RIGHT("00000"&amp;1144,5))</f>
        <v/>
      </c>
      <c r="L1149">
        <f>IF($K1149="","",COUNTIFS(LdgPartyA,$F1149,LdgKeyA,"&lt;"&amp;$K1149)+COUNTIFS(LdgPartyB,$F1149,LdgKeyB,"&lt;"&amp;$K1149)+1)</f>
        <v/>
      </c>
      <c r="M1149">
        <f>IF($L1149="","",$F1149&amp;"|"&amp;RIGHT("000000"&amp;$L1149,6))</f>
        <v/>
      </c>
      <c r="N1149">
        <f>IF($F1149="","",IF(Sync!$AH1149="","0000",IF(AND(ISNUMBER(Sync!$AH1149),Sync!$AH1149&gt;=0,Sync!$AH1149&lt;1),RIGHT("00"&amp;HOUR(Sync!$AH1149),2)&amp;RIGHT("00"&amp;MINUTE(Sync!$AH1149),2),IFERROR(RIGHT("00"&amp;VALUE(LEFT(Sync!$AH1149,FIND(":",Sync!$AH1149)-1)),2)&amp;RIGHT("00"&amp;VALUE(MID(Sync!$AH1149,FIND(":",Sync!$AH1149)+1,2)),2),"0000"))))</f>
        <v/>
      </c>
    </row>
    <row r="1150">
      <c r="A1150">
        <f>IF(OR(Calc!$E1153="",Calc!$E1153="نامعتبر",Calc!$G1153="",Calc!$I1153&lt;&gt;"خرید"),"",Calc!$G1153)</f>
        <v/>
      </c>
      <c r="B1150">
        <f>IF($A1150="","",LEFT(Calc!$E1153,4)&amp;MID(Calc!$E1153,6,2)&amp;RIGHT(Calc!$E1153,2)&amp;Calc!$R1153&amp;"|"&amp;"1"&amp;RIGHT("00000"&amp;1145,5))</f>
        <v/>
      </c>
      <c r="C1150">
        <f>IF($B1150="","",COUNTIFS(LdgPartyA,$A1150,LdgKeyA,"&lt;"&amp;$B1150)+COUNTIFS(LdgPartyB,$A1150,LdgKeyB,"&lt;"&amp;$B1150)+1)</f>
        <v/>
      </c>
      <c r="D1150">
        <f>IF($C1150="","",$A1150&amp;"|"&amp;RIGHT("000000"&amp;$C1150,6))</f>
        <v/>
      </c>
      <c r="F1150">
        <f>IF(Sync!$AJ1150="","",Sync!$AJ1150)</f>
        <v/>
      </c>
      <c r="G1150">
        <f>IF($F1150="","",IF(Sync!$AG1150="","",IF(ISNUMBER(Sync!$AG1150),IF(AND(Sync!$AG1150&gt;=10000101,Sync!$AG1150&lt;=99991231),INT(Sync!$AG1150/10000),""),IFERROR(VALUE(TRIM(LEFT(Sync!$AG1150,FIND("/",Sync!$AG1150)-1))),""))))</f>
        <v/>
      </c>
      <c r="H1150">
        <f>IF(OR($F1150="",$G1150=""),"",IF(ISNUMBER(Sync!$AG1150),INT(MOD(Sync!$AG1150,10000)/100),IFERROR(VALUE(TRIM(LEFT(MID(Sync!$AG1150,FIND("/",Sync!$AG1150)+1,20),FIND("/",MID(Sync!$AG1150,FIND("/",Sync!$AG1150)+1,20))-1))),"")))</f>
        <v/>
      </c>
      <c r="I1150">
        <f>IF(OR($F1150="",$G1150=""),"",IF(ISNUMBER(Sync!$AG1150),MOD(Sync!$AG1150,100),IFERROR(VALUE(TRIM(MID(MID(Sync!$AG1150,FIND("/",Sync!$AG1150)+1,20),FIND("/",MID(Sync!$AG1150,FIND("/",Sync!$AG1150)+1,20))+1,20))),"")))</f>
        <v/>
      </c>
      <c r="J1150">
        <f>IF($F1150="","",IF(OR($G1150="",$H1150="",$I1150="",$G1150&lt;1300,$G1150&gt;1500,$H1150&lt;1,$H1150&gt;12,$I1150&lt;1,$I1150&gt;31),"نامعتبر",RIGHT("0000"&amp;$G1150,4)&amp;"/"&amp;RIGHT("00"&amp;$H1150,2)&amp;"/"&amp;RIGHT("00"&amp;$I1150,2)))</f>
        <v/>
      </c>
      <c r="K1150">
        <f>IF(OR($F1150="",$J1150="",$J1150="نامعتبر"),"",LEFT($J1150,4)&amp;MID($J1150,6,2)&amp;RIGHT($J1150,2)&amp;$N1150&amp;"|"&amp;"2"&amp;RIGHT("00000"&amp;1145,5))</f>
        <v/>
      </c>
      <c r="L1150">
        <f>IF($K1150="","",COUNTIFS(LdgPartyA,$F1150,LdgKeyA,"&lt;"&amp;$K1150)+COUNTIFS(LdgPartyB,$F1150,LdgKeyB,"&lt;"&amp;$K1150)+1)</f>
        <v/>
      </c>
      <c r="M1150">
        <f>IF($L1150="","",$F1150&amp;"|"&amp;RIGHT("000000"&amp;$L1150,6))</f>
        <v/>
      </c>
      <c r="N1150">
        <f>IF($F1150="","",IF(Sync!$AH1150="","0000",IF(AND(ISNUMBER(Sync!$AH1150),Sync!$AH1150&gt;=0,Sync!$AH1150&lt;1),RIGHT("00"&amp;HOUR(Sync!$AH1150),2)&amp;RIGHT("00"&amp;MINUTE(Sync!$AH1150),2),IFERROR(RIGHT("00"&amp;VALUE(LEFT(Sync!$AH1150,FIND(":",Sync!$AH1150)-1)),2)&amp;RIGHT("00"&amp;VALUE(MID(Sync!$AH1150,FIND(":",Sync!$AH1150)+1,2)),2),"0000"))))</f>
        <v/>
      </c>
    </row>
    <row r="1151">
      <c r="A1151">
        <f>IF(OR(Calc!$E1154="",Calc!$E1154="نامعتبر",Calc!$G1154="",Calc!$I1154&lt;&gt;"خرید"),"",Calc!$G1154)</f>
        <v/>
      </c>
      <c r="B1151">
        <f>IF($A1151="","",LEFT(Calc!$E1154,4)&amp;MID(Calc!$E1154,6,2)&amp;RIGHT(Calc!$E1154,2)&amp;Calc!$R1154&amp;"|"&amp;"1"&amp;RIGHT("00000"&amp;1146,5))</f>
        <v/>
      </c>
      <c r="C1151">
        <f>IF($B1151="","",COUNTIFS(LdgPartyA,$A1151,LdgKeyA,"&lt;"&amp;$B1151)+COUNTIFS(LdgPartyB,$A1151,LdgKeyB,"&lt;"&amp;$B1151)+1)</f>
        <v/>
      </c>
      <c r="D1151">
        <f>IF($C1151="","",$A1151&amp;"|"&amp;RIGHT("000000"&amp;$C1151,6))</f>
        <v/>
      </c>
      <c r="F1151">
        <f>IF(Sync!$AJ1151="","",Sync!$AJ1151)</f>
        <v/>
      </c>
      <c r="G1151">
        <f>IF($F1151="","",IF(Sync!$AG1151="","",IF(ISNUMBER(Sync!$AG1151),IF(AND(Sync!$AG1151&gt;=10000101,Sync!$AG1151&lt;=99991231),INT(Sync!$AG1151/10000),""),IFERROR(VALUE(TRIM(LEFT(Sync!$AG1151,FIND("/",Sync!$AG1151)-1))),""))))</f>
        <v/>
      </c>
      <c r="H1151">
        <f>IF(OR($F1151="",$G1151=""),"",IF(ISNUMBER(Sync!$AG1151),INT(MOD(Sync!$AG1151,10000)/100),IFERROR(VALUE(TRIM(LEFT(MID(Sync!$AG1151,FIND("/",Sync!$AG1151)+1,20),FIND("/",MID(Sync!$AG1151,FIND("/",Sync!$AG1151)+1,20))-1))),"")))</f>
        <v/>
      </c>
      <c r="I1151">
        <f>IF(OR($F1151="",$G1151=""),"",IF(ISNUMBER(Sync!$AG1151),MOD(Sync!$AG1151,100),IFERROR(VALUE(TRIM(MID(MID(Sync!$AG1151,FIND("/",Sync!$AG1151)+1,20),FIND("/",MID(Sync!$AG1151,FIND("/",Sync!$AG1151)+1,20))+1,20))),"")))</f>
        <v/>
      </c>
      <c r="J1151">
        <f>IF($F1151="","",IF(OR($G1151="",$H1151="",$I1151="",$G1151&lt;1300,$G1151&gt;1500,$H1151&lt;1,$H1151&gt;12,$I1151&lt;1,$I1151&gt;31),"نامعتبر",RIGHT("0000"&amp;$G1151,4)&amp;"/"&amp;RIGHT("00"&amp;$H1151,2)&amp;"/"&amp;RIGHT("00"&amp;$I1151,2)))</f>
        <v/>
      </c>
      <c r="K1151">
        <f>IF(OR($F1151="",$J1151="",$J1151="نامعتبر"),"",LEFT($J1151,4)&amp;MID($J1151,6,2)&amp;RIGHT($J1151,2)&amp;$N1151&amp;"|"&amp;"2"&amp;RIGHT("00000"&amp;1146,5))</f>
        <v/>
      </c>
      <c r="L1151">
        <f>IF($K1151="","",COUNTIFS(LdgPartyA,$F1151,LdgKeyA,"&lt;"&amp;$K1151)+COUNTIFS(LdgPartyB,$F1151,LdgKeyB,"&lt;"&amp;$K1151)+1)</f>
        <v/>
      </c>
      <c r="M1151">
        <f>IF($L1151="","",$F1151&amp;"|"&amp;RIGHT("000000"&amp;$L1151,6))</f>
        <v/>
      </c>
      <c r="N1151">
        <f>IF($F1151="","",IF(Sync!$AH1151="","0000",IF(AND(ISNUMBER(Sync!$AH1151),Sync!$AH1151&gt;=0,Sync!$AH1151&lt;1),RIGHT("00"&amp;HOUR(Sync!$AH1151),2)&amp;RIGHT("00"&amp;MINUTE(Sync!$AH1151),2),IFERROR(RIGHT("00"&amp;VALUE(LEFT(Sync!$AH1151,FIND(":",Sync!$AH1151)-1)),2)&amp;RIGHT("00"&amp;VALUE(MID(Sync!$AH1151,FIND(":",Sync!$AH1151)+1,2)),2),"0000"))))</f>
        <v/>
      </c>
    </row>
    <row r="1152">
      <c r="A1152">
        <f>IF(OR(Calc!$E1155="",Calc!$E1155="نامعتبر",Calc!$G1155="",Calc!$I1155&lt;&gt;"خرید"),"",Calc!$G1155)</f>
        <v/>
      </c>
      <c r="B1152">
        <f>IF($A1152="","",LEFT(Calc!$E1155,4)&amp;MID(Calc!$E1155,6,2)&amp;RIGHT(Calc!$E1155,2)&amp;Calc!$R1155&amp;"|"&amp;"1"&amp;RIGHT("00000"&amp;1147,5))</f>
        <v/>
      </c>
      <c r="C1152">
        <f>IF($B1152="","",COUNTIFS(LdgPartyA,$A1152,LdgKeyA,"&lt;"&amp;$B1152)+COUNTIFS(LdgPartyB,$A1152,LdgKeyB,"&lt;"&amp;$B1152)+1)</f>
        <v/>
      </c>
      <c r="D1152">
        <f>IF($C1152="","",$A1152&amp;"|"&amp;RIGHT("000000"&amp;$C1152,6))</f>
        <v/>
      </c>
      <c r="F1152">
        <f>IF(Sync!$AJ1152="","",Sync!$AJ1152)</f>
        <v/>
      </c>
      <c r="G1152">
        <f>IF($F1152="","",IF(Sync!$AG1152="","",IF(ISNUMBER(Sync!$AG1152),IF(AND(Sync!$AG1152&gt;=10000101,Sync!$AG1152&lt;=99991231),INT(Sync!$AG1152/10000),""),IFERROR(VALUE(TRIM(LEFT(Sync!$AG1152,FIND("/",Sync!$AG1152)-1))),""))))</f>
        <v/>
      </c>
      <c r="H1152">
        <f>IF(OR($F1152="",$G1152=""),"",IF(ISNUMBER(Sync!$AG1152),INT(MOD(Sync!$AG1152,10000)/100),IFERROR(VALUE(TRIM(LEFT(MID(Sync!$AG1152,FIND("/",Sync!$AG1152)+1,20),FIND("/",MID(Sync!$AG1152,FIND("/",Sync!$AG1152)+1,20))-1))),"")))</f>
        <v/>
      </c>
      <c r="I1152">
        <f>IF(OR($F1152="",$G1152=""),"",IF(ISNUMBER(Sync!$AG1152),MOD(Sync!$AG1152,100),IFERROR(VALUE(TRIM(MID(MID(Sync!$AG1152,FIND("/",Sync!$AG1152)+1,20),FIND("/",MID(Sync!$AG1152,FIND("/",Sync!$AG1152)+1,20))+1,20))),"")))</f>
        <v/>
      </c>
      <c r="J1152">
        <f>IF($F1152="","",IF(OR($G1152="",$H1152="",$I1152="",$G1152&lt;1300,$G1152&gt;1500,$H1152&lt;1,$H1152&gt;12,$I1152&lt;1,$I1152&gt;31),"نامعتبر",RIGHT("0000"&amp;$G1152,4)&amp;"/"&amp;RIGHT("00"&amp;$H1152,2)&amp;"/"&amp;RIGHT("00"&amp;$I1152,2)))</f>
        <v/>
      </c>
      <c r="K1152">
        <f>IF(OR($F1152="",$J1152="",$J1152="نامعتبر"),"",LEFT($J1152,4)&amp;MID($J1152,6,2)&amp;RIGHT($J1152,2)&amp;$N1152&amp;"|"&amp;"2"&amp;RIGHT("00000"&amp;1147,5))</f>
        <v/>
      </c>
      <c r="L1152">
        <f>IF($K1152="","",COUNTIFS(LdgPartyA,$F1152,LdgKeyA,"&lt;"&amp;$K1152)+COUNTIFS(LdgPartyB,$F1152,LdgKeyB,"&lt;"&amp;$K1152)+1)</f>
        <v/>
      </c>
      <c r="M1152">
        <f>IF($L1152="","",$F1152&amp;"|"&amp;RIGHT("000000"&amp;$L1152,6))</f>
        <v/>
      </c>
      <c r="N1152">
        <f>IF($F1152="","",IF(Sync!$AH1152="","0000",IF(AND(ISNUMBER(Sync!$AH1152),Sync!$AH1152&gt;=0,Sync!$AH1152&lt;1),RIGHT("00"&amp;HOUR(Sync!$AH1152),2)&amp;RIGHT("00"&amp;MINUTE(Sync!$AH1152),2),IFERROR(RIGHT("00"&amp;VALUE(LEFT(Sync!$AH1152,FIND(":",Sync!$AH1152)-1)),2)&amp;RIGHT("00"&amp;VALUE(MID(Sync!$AH1152,FIND(":",Sync!$AH1152)+1,2)),2),"0000"))))</f>
        <v/>
      </c>
    </row>
    <row r="1153">
      <c r="A1153">
        <f>IF(OR(Calc!$E1156="",Calc!$E1156="نامعتبر",Calc!$G1156="",Calc!$I1156&lt;&gt;"خرید"),"",Calc!$G1156)</f>
        <v/>
      </c>
      <c r="B1153">
        <f>IF($A1153="","",LEFT(Calc!$E1156,4)&amp;MID(Calc!$E1156,6,2)&amp;RIGHT(Calc!$E1156,2)&amp;Calc!$R1156&amp;"|"&amp;"1"&amp;RIGHT("00000"&amp;1148,5))</f>
        <v/>
      </c>
      <c r="C1153">
        <f>IF($B1153="","",COUNTIFS(LdgPartyA,$A1153,LdgKeyA,"&lt;"&amp;$B1153)+COUNTIFS(LdgPartyB,$A1153,LdgKeyB,"&lt;"&amp;$B1153)+1)</f>
        <v/>
      </c>
      <c r="D1153">
        <f>IF($C1153="","",$A1153&amp;"|"&amp;RIGHT("000000"&amp;$C1153,6))</f>
        <v/>
      </c>
      <c r="F1153">
        <f>IF(Sync!$AJ1153="","",Sync!$AJ1153)</f>
        <v/>
      </c>
      <c r="G1153">
        <f>IF($F1153="","",IF(Sync!$AG1153="","",IF(ISNUMBER(Sync!$AG1153),IF(AND(Sync!$AG1153&gt;=10000101,Sync!$AG1153&lt;=99991231),INT(Sync!$AG1153/10000),""),IFERROR(VALUE(TRIM(LEFT(Sync!$AG1153,FIND("/",Sync!$AG1153)-1))),""))))</f>
        <v/>
      </c>
      <c r="H1153">
        <f>IF(OR($F1153="",$G1153=""),"",IF(ISNUMBER(Sync!$AG1153),INT(MOD(Sync!$AG1153,10000)/100),IFERROR(VALUE(TRIM(LEFT(MID(Sync!$AG1153,FIND("/",Sync!$AG1153)+1,20),FIND("/",MID(Sync!$AG1153,FIND("/",Sync!$AG1153)+1,20))-1))),"")))</f>
        <v/>
      </c>
      <c r="I1153">
        <f>IF(OR($F1153="",$G1153=""),"",IF(ISNUMBER(Sync!$AG1153),MOD(Sync!$AG1153,100),IFERROR(VALUE(TRIM(MID(MID(Sync!$AG1153,FIND("/",Sync!$AG1153)+1,20),FIND("/",MID(Sync!$AG1153,FIND("/",Sync!$AG1153)+1,20))+1,20))),"")))</f>
        <v/>
      </c>
      <c r="J1153">
        <f>IF($F1153="","",IF(OR($G1153="",$H1153="",$I1153="",$G1153&lt;1300,$G1153&gt;1500,$H1153&lt;1,$H1153&gt;12,$I1153&lt;1,$I1153&gt;31),"نامعتبر",RIGHT("0000"&amp;$G1153,4)&amp;"/"&amp;RIGHT("00"&amp;$H1153,2)&amp;"/"&amp;RIGHT("00"&amp;$I1153,2)))</f>
        <v/>
      </c>
      <c r="K1153">
        <f>IF(OR($F1153="",$J1153="",$J1153="نامعتبر"),"",LEFT($J1153,4)&amp;MID($J1153,6,2)&amp;RIGHT($J1153,2)&amp;$N1153&amp;"|"&amp;"2"&amp;RIGHT("00000"&amp;1148,5))</f>
        <v/>
      </c>
      <c r="L1153">
        <f>IF($K1153="","",COUNTIFS(LdgPartyA,$F1153,LdgKeyA,"&lt;"&amp;$K1153)+COUNTIFS(LdgPartyB,$F1153,LdgKeyB,"&lt;"&amp;$K1153)+1)</f>
        <v/>
      </c>
      <c r="M1153">
        <f>IF($L1153="","",$F1153&amp;"|"&amp;RIGHT("000000"&amp;$L1153,6))</f>
        <v/>
      </c>
      <c r="N1153">
        <f>IF($F1153="","",IF(Sync!$AH1153="","0000",IF(AND(ISNUMBER(Sync!$AH1153),Sync!$AH1153&gt;=0,Sync!$AH1153&lt;1),RIGHT("00"&amp;HOUR(Sync!$AH1153),2)&amp;RIGHT("00"&amp;MINUTE(Sync!$AH1153),2),IFERROR(RIGHT("00"&amp;VALUE(LEFT(Sync!$AH1153,FIND(":",Sync!$AH1153)-1)),2)&amp;RIGHT("00"&amp;VALUE(MID(Sync!$AH1153,FIND(":",Sync!$AH1153)+1,2)),2),"0000"))))</f>
        <v/>
      </c>
    </row>
    <row r="1154">
      <c r="A1154">
        <f>IF(OR(Calc!$E1157="",Calc!$E1157="نامعتبر",Calc!$G1157="",Calc!$I1157&lt;&gt;"خرید"),"",Calc!$G1157)</f>
        <v/>
      </c>
      <c r="B1154">
        <f>IF($A1154="","",LEFT(Calc!$E1157,4)&amp;MID(Calc!$E1157,6,2)&amp;RIGHT(Calc!$E1157,2)&amp;Calc!$R1157&amp;"|"&amp;"1"&amp;RIGHT("00000"&amp;1149,5))</f>
        <v/>
      </c>
      <c r="C1154">
        <f>IF($B1154="","",COUNTIFS(LdgPartyA,$A1154,LdgKeyA,"&lt;"&amp;$B1154)+COUNTIFS(LdgPartyB,$A1154,LdgKeyB,"&lt;"&amp;$B1154)+1)</f>
        <v/>
      </c>
      <c r="D1154">
        <f>IF($C1154="","",$A1154&amp;"|"&amp;RIGHT("000000"&amp;$C1154,6))</f>
        <v/>
      </c>
      <c r="F1154">
        <f>IF(Sync!$AJ1154="","",Sync!$AJ1154)</f>
        <v/>
      </c>
      <c r="G1154">
        <f>IF($F1154="","",IF(Sync!$AG1154="","",IF(ISNUMBER(Sync!$AG1154),IF(AND(Sync!$AG1154&gt;=10000101,Sync!$AG1154&lt;=99991231),INT(Sync!$AG1154/10000),""),IFERROR(VALUE(TRIM(LEFT(Sync!$AG1154,FIND("/",Sync!$AG1154)-1))),""))))</f>
        <v/>
      </c>
      <c r="H1154">
        <f>IF(OR($F1154="",$G1154=""),"",IF(ISNUMBER(Sync!$AG1154),INT(MOD(Sync!$AG1154,10000)/100),IFERROR(VALUE(TRIM(LEFT(MID(Sync!$AG1154,FIND("/",Sync!$AG1154)+1,20),FIND("/",MID(Sync!$AG1154,FIND("/",Sync!$AG1154)+1,20))-1))),"")))</f>
        <v/>
      </c>
      <c r="I1154">
        <f>IF(OR($F1154="",$G1154=""),"",IF(ISNUMBER(Sync!$AG1154),MOD(Sync!$AG1154,100),IFERROR(VALUE(TRIM(MID(MID(Sync!$AG1154,FIND("/",Sync!$AG1154)+1,20),FIND("/",MID(Sync!$AG1154,FIND("/",Sync!$AG1154)+1,20))+1,20))),"")))</f>
        <v/>
      </c>
      <c r="J1154">
        <f>IF($F1154="","",IF(OR($G1154="",$H1154="",$I1154="",$G1154&lt;1300,$G1154&gt;1500,$H1154&lt;1,$H1154&gt;12,$I1154&lt;1,$I1154&gt;31),"نامعتبر",RIGHT("0000"&amp;$G1154,4)&amp;"/"&amp;RIGHT("00"&amp;$H1154,2)&amp;"/"&amp;RIGHT("00"&amp;$I1154,2)))</f>
        <v/>
      </c>
      <c r="K1154">
        <f>IF(OR($F1154="",$J1154="",$J1154="نامعتبر"),"",LEFT($J1154,4)&amp;MID($J1154,6,2)&amp;RIGHT($J1154,2)&amp;$N1154&amp;"|"&amp;"2"&amp;RIGHT("00000"&amp;1149,5))</f>
        <v/>
      </c>
      <c r="L1154">
        <f>IF($K1154="","",COUNTIFS(LdgPartyA,$F1154,LdgKeyA,"&lt;"&amp;$K1154)+COUNTIFS(LdgPartyB,$F1154,LdgKeyB,"&lt;"&amp;$K1154)+1)</f>
        <v/>
      </c>
      <c r="M1154">
        <f>IF($L1154="","",$F1154&amp;"|"&amp;RIGHT("000000"&amp;$L1154,6))</f>
        <v/>
      </c>
      <c r="N1154">
        <f>IF($F1154="","",IF(Sync!$AH1154="","0000",IF(AND(ISNUMBER(Sync!$AH1154),Sync!$AH1154&gt;=0,Sync!$AH1154&lt;1),RIGHT("00"&amp;HOUR(Sync!$AH1154),2)&amp;RIGHT("00"&amp;MINUTE(Sync!$AH1154),2),IFERROR(RIGHT("00"&amp;VALUE(LEFT(Sync!$AH1154,FIND(":",Sync!$AH1154)-1)),2)&amp;RIGHT("00"&amp;VALUE(MID(Sync!$AH1154,FIND(":",Sync!$AH1154)+1,2)),2),"0000"))))</f>
        <v/>
      </c>
    </row>
    <row r="1155">
      <c r="A1155">
        <f>IF(OR(Calc!$E1158="",Calc!$E1158="نامعتبر",Calc!$G1158="",Calc!$I1158&lt;&gt;"خرید"),"",Calc!$G1158)</f>
        <v/>
      </c>
      <c r="B1155">
        <f>IF($A1155="","",LEFT(Calc!$E1158,4)&amp;MID(Calc!$E1158,6,2)&amp;RIGHT(Calc!$E1158,2)&amp;Calc!$R1158&amp;"|"&amp;"1"&amp;RIGHT("00000"&amp;1150,5))</f>
        <v/>
      </c>
      <c r="C1155">
        <f>IF($B1155="","",COUNTIFS(LdgPartyA,$A1155,LdgKeyA,"&lt;"&amp;$B1155)+COUNTIFS(LdgPartyB,$A1155,LdgKeyB,"&lt;"&amp;$B1155)+1)</f>
        <v/>
      </c>
      <c r="D1155">
        <f>IF($C1155="","",$A1155&amp;"|"&amp;RIGHT("000000"&amp;$C1155,6))</f>
        <v/>
      </c>
      <c r="F1155">
        <f>IF(Sync!$AJ1155="","",Sync!$AJ1155)</f>
        <v/>
      </c>
      <c r="G1155">
        <f>IF($F1155="","",IF(Sync!$AG1155="","",IF(ISNUMBER(Sync!$AG1155),IF(AND(Sync!$AG1155&gt;=10000101,Sync!$AG1155&lt;=99991231),INT(Sync!$AG1155/10000),""),IFERROR(VALUE(TRIM(LEFT(Sync!$AG1155,FIND("/",Sync!$AG1155)-1))),""))))</f>
        <v/>
      </c>
      <c r="H1155">
        <f>IF(OR($F1155="",$G1155=""),"",IF(ISNUMBER(Sync!$AG1155),INT(MOD(Sync!$AG1155,10000)/100),IFERROR(VALUE(TRIM(LEFT(MID(Sync!$AG1155,FIND("/",Sync!$AG1155)+1,20),FIND("/",MID(Sync!$AG1155,FIND("/",Sync!$AG1155)+1,20))-1))),"")))</f>
        <v/>
      </c>
      <c r="I1155">
        <f>IF(OR($F1155="",$G1155=""),"",IF(ISNUMBER(Sync!$AG1155),MOD(Sync!$AG1155,100),IFERROR(VALUE(TRIM(MID(MID(Sync!$AG1155,FIND("/",Sync!$AG1155)+1,20),FIND("/",MID(Sync!$AG1155,FIND("/",Sync!$AG1155)+1,20))+1,20))),"")))</f>
        <v/>
      </c>
      <c r="J1155">
        <f>IF($F1155="","",IF(OR($G1155="",$H1155="",$I1155="",$G1155&lt;1300,$G1155&gt;1500,$H1155&lt;1,$H1155&gt;12,$I1155&lt;1,$I1155&gt;31),"نامعتبر",RIGHT("0000"&amp;$G1155,4)&amp;"/"&amp;RIGHT("00"&amp;$H1155,2)&amp;"/"&amp;RIGHT("00"&amp;$I1155,2)))</f>
        <v/>
      </c>
      <c r="K1155">
        <f>IF(OR($F1155="",$J1155="",$J1155="نامعتبر"),"",LEFT($J1155,4)&amp;MID($J1155,6,2)&amp;RIGHT($J1155,2)&amp;$N1155&amp;"|"&amp;"2"&amp;RIGHT("00000"&amp;1150,5))</f>
        <v/>
      </c>
      <c r="L1155">
        <f>IF($K1155="","",COUNTIFS(LdgPartyA,$F1155,LdgKeyA,"&lt;"&amp;$K1155)+COUNTIFS(LdgPartyB,$F1155,LdgKeyB,"&lt;"&amp;$K1155)+1)</f>
        <v/>
      </c>
      <c r="M1155">
        <f>IF($L1155="","",$F1155&amp;"|"&amp;RIGHT("000000"&amp;$L1155,6))</f>
        <v/>
      </c>
      <c r="N1155">
        <f>IF($F1155="","",IF(Sync!$AH1155="","0000",IF(AND(ISNUMBER(Sync!$AH1155),Sync!$AH1155&gt;=0,Sync!$AH1155&lt;1),RIGHT("00"&amp;HOUR(Sync!$AH1155),2)&amp;RIGHT("00"&amp;MINUTE(Sync!$AH1155),2),IFERROR(RIGHT("00"&amp;VALUE(LEFT(Sync!$AH1155,FIND(":",Sync!$AH1155)-1)),2)&amp;RIGHT("00"&amp;VALUE(MID(Sync!$AH1155,FIND(":",Sync!$AH1155)+1,2)),2),"0000"))))</f>
        <v/>
      </c>
    </row>
    <row r="1156">
      <c r="A1156">
        <f>IF(OR(Calc!$E1159="",Calc!$E1159="نامعتبر",Calc!$G1159="",Calc!$I1159&lt;&gt;"خرید"),"",Calc!$G1159)</f>
        <v/>
      </c>
      <c r="B1156">
        <f>IF($A1156="","",LEFT(Calc!$E1159,4)&amp;MID(Calc!$E1159,6,2)&amp;RIGHT(Calc!$E1159,2)&amp;Calc!$R1159&amp;"|"&amp;"1"&amp;RIGHT("00000"&amp;1151,5))</f>
        <v/>
      </c>
      <c r="C1156">
        <f>IF($B1156="","",COUNTIFS(LdgPartyA,$A1156,LdgKeyA,"&lt;"&amp;$B1156)+COUNTIFS(LdgPartyB,$A1156,LdgKeyB,"&lt;"&amp;$B1156)+1)</f>
        <v/>
      </c>
      <c r="D1156">
        <f>IF($C1156="","",$A1156&amp;"|"&amp;RIGHT("000000"&amp;$C1156,6))</f>
        <v/>
      </c>
      <c r="F1156">
        <f>IF(Sync!$AJ1156="","",Sync!$AJ1156)</f>
        <v/>
      </c>
      <c r="G1156">
        <f>IF($F1156="","",IF(Sync!$AG1156="","",IF(ISNUMBER(Sync!$AG1156),IF(AND(Sync!$AG1156&gt;=10000101,Sync!$AG1156&lt;=99991231),INT(Sync!$AG1156/10000),""),IFERROR(VALUE(TRIM(LEFT(Sync!$AG1156,FIND("/",Sync!$AG1156)-1))),""))))</f>
        <v/>
      </c>
      <c r="H1156">
        <f>IF(OR($F1156="",$G1156=""),"",IF(ISNUMBER(Sync!$AG1156),INT(MOD(Sync!$AG1156,10000)/100),IFERROR(VALUE(TRIM(LEFT(MID(Sync!$AG1156,FIND("/",Sync!$AG1156)+1,20),FIND("/",MID(Sync!$AG1156,FIND("/",Sync!$AG1156)+1,20))-1))),"")))</f>
        <v/>
      </c>
      <c r="I1156">
        <f>IF(OR($F1156="",$G1156=""),"",IF(ISNUMBER(Sync!$AG1156),MOD(Sync!$AG1156,100),IFERROR(VALUE(TRIM(MID(MID(Sync!$AG1156,FIND("/",Sync!$AG1156)+1,20),FIND("/",MID(Sync!$AG1156,FIND("/",Sync!$AG1156)+1,20))+1,20))),"")))</f>
        <v/>
      </c>
      <c r="J1156">
        <f>IF($F1156="","",IF(OR($G1156="",$H1156="",$I1156="",$G1156&lt;1300,$G1156&gt;1500,$H1156&lt;1,$H1156&gt;12,$I1156&lt;1,$I1156&gt;31),"نامعتبر",RIGHT("0000"&amp;$G1156,4)&amp;"/"&amp;RIGHT("00"&amp;$H1156,2)&amp;"/"&amp;RIGHT("00"&amp;$I1156,2)))</f>
        <v/>
      </c>
      <c r="K1156">
        <f>IF(OR($F1156="",$J1156="",$J1156="نامعتبر"),"",LEFT($J1156,4)&amp;MID($J1156,6,2)&amp;RIGHT($J1156,2)&amp;$N1156&amp;"|"&amp;"2"&amp;RIGHT("00000"&amp;1151,5))</f>
        <v/>
      </c>
      <c r="L1156">
        <f>IF($K1156="","",COUNTIFS(LdgPartyA,$F1156,LdgKeyA,"&lt;"&amp;$K1156)+COUNTIFS(LdgPartyB,$F1156,LdgKeyB,"&lt;"&amp;$K1156)+1)</f>
        <v/>
      </c>
      <c r="M1156">
        <f>IF($L1156="","",$F1156&amp;"|"&amp;RIGHT("000000"&amp;$L1156,6))</f>
        <v/>
      </c>
      <c r="N1156">
        <f>IF($F1156="","",IF(Sync!$AH1156="","0000",IF(AND(ISNUMBER(Sync!$AH1156),Sync!$AH1156&gt;=0,Sync!$AH1156&lt;1),RIGHT("00"&amp;HOUR(Sync!$AH1156),2)&amp;RIGHT("00"&amp;MINUTE(Sync!$AH1156),2),IFERROR(RIGHT("00"&amp;VALUE(LEFT(Sync!$AH1156,FIND(":",Sync!$AH1156)-1)),2)&amp;RIGHT("00"&amp;VALUE(MID(Sync!$AH1156,FIND(":",Sync!$AH1156)+1,2)),2),"0000"))))</f>
        <v/>
      </c>
    </row>
    <row r="1157">
      <c r="A1157">
        <f>IF(OR(Calc!$E1160="",Calc!$E1160="نامعتبر",Calc!$G1160="",Calc!$I1160&lt;&gt;"خرید"),"",Calc!$G1160)</f>
        <v/>
      </c>
      <c r="B1157">
        <f>IF($A1157="","",LEFT(Calc!$E1160,4)&amp;MID(Calc!$E1160,6,2)&amp;RIGHT(Calc!$E1160,2)&amp;Calc!$R1160&amp;"|"&amp;"1"&amp;RIGHT("00000"&amp;1152,5))</f>
        <v/>
      </c>
      <c r="C1157">
        <f>IF($B1157="","",COUNTIFS(LdgPartyA,$A1157,LdgKeyA,"&lt;"&amp;$B1157)+COUNTIFS(LdgPartyB,$A1157,LdgKeyB,"&lt;"&amp;$B1157)+1)</f>
        <v/>
      </c>
      <c r="D1157">
        <f>IF($C1157="","",$A1157&amp;"|"&amp;RIGHT("000000"&amp;$C1157,6))</f>
        <v/>
      </c>
      <c r="F1157">
        <f>IF(Sync!$AJ1157="","",Sync!$AJ1157)</f>
        <v/>
      </c>
      <c r="G1157">
        <f>IF($F1157="","",IF(Sync!$AG1157="","",IF(ISNUMBER(Sync!$AG1157),IF(AND(Sync!$AG1157&gt;=10000101,Sync!$AG1157&lt;=99991231),INT(Sync!$AG1157/10000),""),IFERROR(VALUE(TRIM(LEFT(Sync!$AG1157,FIND("/",Sync!$AG1157)-1))),""))))</f>
        <v/>
      </c>
      <c r="H1157">
        <f>IF(OR($F1157="",$G1157=""),"",IF(ISNUMBER(Sync!$AG1157),INT(MOD(Sync!$AG1157,10000)/100),IFERROR(VALUE(TRIM(LEFT(MID(Sync!$AG1157,FIND("/",Sync!$AG1157)+1,20),FIND("/",MID(Sync!$AG1157,FIND("/",Sync!$AG1157)+1,20))-1))),"")))</f>
        <v/>
      </c>
      <c r="I1157">
        <f>IF(OR($F1157="",$G1157=""),"",IF(ISNUMBER(Sync!$AG1157),MOD(Sync!$AG1157,100),IFERROR(VALUE(TRIM(MID(MID(Sync!$AG1157,FIND("/",Sync!$AG1157)+1,20),FIND("/",MID(Sync!$AG1157,FIND("/",Sync!$AG1157)+1,20))+1,20))),"")))</f>
        <v/>
      </c>
      <c r="J1157">
        <f>IF($F1157="","",IF(OR($G1157="",$H1157="",$I1157="",$G1157&lt;1300,$G1157&gt;1500,$H1157&lt;1,$H1157&gt;12,$I1157&lt;1,$I1157&gt;31),"نامعتبر",RIGHT("0000"&amp;$G1157,4)&amp;"/"&amp;RIGHT("00"&amp;$H1157,2)&amp;"/"&amp;RIGHT("00"&amp;$I1157,2)))</f>
        <v/>
      </c>
      <c r="K1157">
        <f>IF(OR($F1157="",$J1157="",$J1157="نامعتبر"),"",LEFT($J1157,4)&amp;MID($J1157,6,2)&amp;RIGHT($J1157,2)&amp;$N1157&amp;"|"&amp;"2"&amp;RIGHT("00000"&amp;1152,5))</f>
        <v/>
      </c>
      <c r="L1157">
        <f>IF($K1157="","",COUNTIFS(LdgPartyA,$F1157,LdgKeyA,"&lt;"&amp;$K1157)+COUNTIFS(LdgPartyB,$F1157,LdgKeyB,"&lt;"&amp;$K1157)+1)</f>
        <v/>
      </c>
      <c r="M1157">
        <f>IF($L1157="","",$F1157&amp;"|"&amp;RIGHT("000000"&amp;$L1157,6))</f>
        <v/>
      </c>
      <c r="N1157">
        <f>IF($F1157="","",IF(Sync!$AH1157="","0000",IF(AND(ISNUMBER(Sync!$AH1157),Sync!$AH1157&gt;=0,Sync!$AH1157&lt;1),RIGHT("00"&amp;HOUR(Sync!$AH1157),2)&amp;RIGHT("00"&amp;MINUTE(Sync!$AH1157),2),IFERROR(RIGHT("00"&amp;VALUE(LEFT(Sync!$AH1157,FIND(":",Sync!$AH1157)-1)),2)&amp;RIGHT("00"&amp;VALUE(MID(Sync!$AH1157,FIND(":",Sync!$AH1157)+1,2)),2),"0000"))))</f>
        <v/>
      </c>
    </row>
    <row r="1158">
      <c r="A1158">
        <f>IF(OR(Calc!$E1161="",Calc!$E1161="نامعتبر",Calc!$G1161="",Calc!$I1161&lt;&gt;"خرید"),"",Calc!$G1161)</f>
        <v/>
      </c>
      <c r="B1158">
        <f>IF($A1158="","",LEFT(Calc!$E1161,4)&amp;MID(Calc!$E1161,6,2)&amp;RIGHT(Calc!$E1161,2)&amp;Calc!$R1161&amp;"|"&amp;"1"&amp;RIGHT("00000"&amp;1153,5))</f>
        <v/>
      </c>
      <c r="C1158">
        <f>IF($B1158="","",COUNTIFS(LdgPartyA,$A1158,LdgKeyA,"&lt;"&amp;$B1158)+COUNTIFS(LdgPartyB,$A1158,LdgKeyB,"&lt;"&amp;$B1158)+1)</f>
        <v/>
      </c>
      <c r="D1158">
        <f>IF($C1158="","",$A1158&amp;"|"&amp;RIGHT("000000"&amp;$C1158,6))</f>
        <v/>
      </c>
      <c r="F1158">
        <f>IF(Sync!$AJ1158="","",Sync!$AJ1158)</f>
        <v/>
      </c>
      <c r="G1158">
        <f>IF($F1158="","",IF(Sync!$AG1158="","",IF(ISNUMBER(Sync!$AG1158),IF(AND(Sync!$AG1158&gt;=10000101,Sync!$AG1158&lt;=99991231),INT(Sync!$AG1158/10000),""),IFERROR(VALUE(TRIM(LEFT(Sync!$AG1158,FIND("/",Sync!$AG1158)-1))),""))))</f>
        <v/>
      </c>
      <c r="H1158">
        <f>IF(OR($F1158="",$G1158=""),"",IF(ISNUMBER(Sync!$AG1158),INT(MOD(Sync!$AG1158,10000)/100),IFERROR(VALUE(TRIM(LEFT(MID(Sync!$AG1158,FIND("/",Sync!$AG1158)+1,20),FIND("/",MID(Sync!$AG1158,FIND("/",Sync!$AG1158)+1,20))-1))),"")))</f>
        <v/>
      </c>
      <c r="I1158">
        <f>IF(OR($F1158="",$G1158=""),"",IF(ISNUMBER(Sync!$AG1158),MOD(Sync!$AG1158,100),IFERROR(VALUE(TRIM(MID(MID(Sync!$AG1158,FIND("/",Sync!$AG1158)+1,20),FIND("/",MID(Sync!$AG1158,FIND("/",Sync!$AG1158)+1,20))+1,20))),"")))</f>
        <v/>
      </c>
      <c r="J1158">
        <f>IF($F1158="","",IF(OR($G1158="",$H1158="",$I1158="",$G1158&lt;1300,$G1158&gt;1500,$H1158&lt;1,$H1158&gt;12,$I1158&lt;1,$I1158&gt;31),"نامعتبر",RIGHT("0000"&amp;$G1158,4)&amp;"/"&amp;RIGHT("00"&amp;$H1158,2)&amp;"/"&amp;RIGHT("00"&amp;$I1158,2)))</f>
        <v/>
      </c>
      <c r="K1158">
        <f>IF(OR($F1158="",$J1158="",$J1158="نامعتبر"),"",LEFT($J1158,4)&amp;MID($J1158,6,2)&amp;RIGHT($J1158,2)&amp;$N1158&amp;"|"&amp;"2"&amp;RIGHT("00000"&amp;1153,5))</f>
        <v/>
      </c>
      <c r="L1158">
        <f>IF($K1158="","",COUNTIFS(LdgPartyA,$F1158,LdgKeyA,"&lt;"&amp;$K1158)+COUNTIFS(LdgPartyB,$F1158,LdgKeyB,"&lt;"&amp;$K1158)+1)</f>
        <v/>
      </c>
      <c r="M1158">
        <f>IF($L1158="","",$F1158&amp;"|"&amp;RIGHT("000000"&amp;$L1158,6))</f>
        <v/>
      </c>
      <c r="N1158">
        <f>IF($F1158="","",IF(Sync!$AH1158="","0000",IF(AND(ISNUMBER(Sync!$AH1158),Sync!$AH1158&gt;=0,Sync!$AH1158&lt;1),RIGHT("00"&amp;HOUR(Sync!$AH1158),2)&amp;RIGHT("00"&amp;MINUTE(Sync!$AH1158),2),IFERROR(RIGHT("00"&amp;VALUE(LEFT(Sync!$AH1158,FIND(":",Sync!$AH1158)-1)),2)&amp;RIGHT("00"&amp;VALUE(MID(Sync!$AH1158,FIND(":",Sync!$AH1158)+1,2)),2),"0000"))))</f>
        <v/>
      </c>
    </row>
    <row r="1159">
      <c r="A1159">
        <f>IF(OR(Calc!$E1162="",Calc!$E1162="نامعتبر",Calc!$G1162="",Calc!$I1162&lt;&gt;"خرید"),"",Calc!$G1162)</f>
        <v/>
      </c>
      <c r="B1159">
        <f>IF($A1159="","",LEFT(Calc!$E1162,4)&amp;MID(Calc!$E1162,6,2)&amp;RIGHT(Calc!$E1162,2)&amp;Calc!$R1162&amp;"|"&amp;"1"&amp;RIGHT("00000"&amp;1154,5))</f>
        <v/>
      </c>
      <c r="C1159">
        <f>IF($B1159="","",COUNTIFS(LdgPartyA,$A1159,LdgKeyA,"&lt;"&amp;$B1159)+COUNTIFS(LdgPartyB,$A1159,LdgKeyB,"&lt;"&amp;$B1159)+1)</f>
        <v/>
      </c>
      <c r="D1159">
        <f>IF($C1159="","",$A1159&amp;"|"&amp;RIGHT("000000"&amp;$C1159,6))</f>
        <v/>
      </c>
      <c r="F1159">
        <f>IF(Sync!$AJ1159="","",Sync!$AJ1159)</f>
        <v/>
      </c>
      <c r="G1159">
        <f>IF($F1159="","",IF(Sync!$AG1159="","",IF(ISNUMBER(Sync!$AG1159),IF(AND(Sync!$AG1159&gt;=10000101,Sync!$AG1159&lt;=99991231),INT(Sync!$AG1159/10000),""),IFERROR(VALUE(TRIM(LEFT(Sync!$AG1159,FIND("/",Sync!$AG1159)-1))),""))))</f>
        <v/>
      </c>
      <c r="H1159">
        <f>IF(OR($F1159="",$G1159=""),"",IF(ISNUMBER(Sync!$AG1159),INT(MOD(Sync!$AG1159,10000)/100),IFERROR(VALUE(TRIM(LEFT(MID(Sync!$AG1159,FIND("/",Sync!$AG1159)+1,20),FIND("/",MID(Sync!$AG1159,FIND("/",Sync!$AG1159)+1,20))-1))),"")))</f>
        <v/>
      </c>
      <c r="I1159">
        <f>IF(OR($F1159="",$G1159=""),"",IF(ISNUMBER(Sync!$AG1159),MOD(Sync!$AG1159,100),IFERROR(VALUE(TRIM(MID(MID(Sync!$AG1159,FIND("/",Sync!$AG1159)+1,20),FIND("/",MID(Sync!$AG1159,FIND("/",Sync!$AG1159)+1,20))+1,20))),"")))</f>
        <v/>
      </c>
      <c r="J1159">
        <f>IF($F1159="","",IF(OR($G1159="",$H1159="",$I1159="",$G1159&lt;1300,$G1159&gt;1500,$H1159&lt;1,$H1159&gt;12,$I1159&lt;1,$I1159&gt;31),"نامعتبر",RIGHT("0000"&amp;$G1159,4)&amp;"/"&amp;RIGHT("00"&amp;$H1159,2)&amp;"/"&amp;RIGHT("00"&amp;$I1159,2)))</f>
        <v/>
      </c>
      <c r="K1159">
        <f>IF(OR($F1159="",$J1159="",$J1159="نامعتبر"),"",LEFT($J1159,4)&amp;MID($J1159,6,2)&amp;RIGHT($J1159,2)&amp;$N1159&amp;"|"&amp;"2"&amp;RIGHT("00000"&amp;1154,5))</f>
        <v/>
      </c>
      <c r="L1159">
        <f>IF($K1159="","",COUNTIFS(LdgPartyA,$F1159,LdgKeyA,"&lt;"&amp;$K1159)+COUNTIFS(LdgPartyB,$F1159,LdgKeyB,"&lt;"&amp;$K1159)+1)</f>
        <v/>
      </c>
      <c r="M1159">
        <f>IF($L1159="","",$F1159&amp;"|"&amp;RIGHT("000000"&amp;$L1159,6))</f>
        <v/>
      </c>
      <c r="N1159">
        <f>IF($F1159="","",IF(Sync!$AH1159="","0000",IF(AND(ISNUMBER(Sync!$AH1159),Sync!$AH1159&gt;=0,Sync!$AH1159&lt;1),RIGHT("00"&amp;HOUR(Sync!$AH1159),2)&amp;RIGHT("00"&amp;MINUTE(Sync!$AH1159),2),IFERROR(RIGHT("00"&amp;VALUE(LEFT(Sync!$AH1159,FIND(":",Sync!$AH1159)-1)),2)&amp;RIGHT("00"&amp;VALUE(MID(Sync!$AH1159,FIND(":",Sync!$AH1159)+1,2)),2),"0000"))))</f>
        <v/>
      </c>
    </row>
    <row r="1160">
      <c r="A1160">
        <f>IF(OR(Calc!$E1163="",Calc!$E1163="نامعتبر",Calc!$G1163="",Calc!$I1163&lt;&gt;"خرید"),"",Calc!$G1163)</f>
        <v/>
      </c>
      <c r="B1160">
        <f>IF($A1160="","",LEFT(Calc!$E1163,4)&amp;MID(Calc!$E1163,6,2)&amp;RIGHT(Calc!$E1163,2)&amp;Calc!$R1163&amp;"|"&amp;"1"&amp;RIGHT("00000"&amp;1155,5))</f>
        <v/>
      </c>
      <c r="C1160">
        <f>IF($B1160="","",COUNTIFS(LdgPartyA,$A1160,LdgKeyA,"&lt;"&amp;$B1160)+COUNTIFS(LdgPartyB,$A1160,LdgKeyB,"&lt;"&amp;$B1160)+1)</f>
        <v/>
      </c>
      <c r="D1160">
        <f>IF($C1160="","",$A1160&amp;"|"&amp;RIGHT("000000"&amp;$C1160,6))</f>
        <v/>
      </c>
      <c r="F1160">
        <f>IF(Sync!$AJ1160="","",Sync!$AJ1160)</f>
        <v/>
      </c>
      <c r="G1160">
        <f>IF($F1160="","",IF(Sync!$AG1160="","",IF(ISNUMBER(Sync!$AG1160),IF(AND(Sync!$AG1160&gt;=10000101,Sync!$AG1160&lt;=99991231),INT(Sync!$AG1160/10000),""),IFERROR(VALUE(TRIM(LEFT(Sync!$AG1160,FIND("/",Sync!$AG1160)-1))),""))))</f>
        <v/>
      </c>
      <c r="H1160">
        <f>IF(OR($F1160="",$G1160=""),"",IF(ISNUMBER(Sync!$AG1160),INT(MOD(Sync!$AG1160,10000)/100),IFERROR(VALUE(TRIM(LEFT(MID(Sync!$AG1160,FIND("/",Sync!$AG1160)+1,20),FIND("/",MID(Sync!$AG1160,FIND("/",Sync!$AG1160)+1,20))-1))),"")))</f>
        <v/>
      </c>
      <c r="I1160">
        <f>IF(OR($F1160="",$G1160=""),"",IF(ISNUMBER(Sync!$AG1160),MOD(Sync!$AG1160,100),IFERROR(VALUE(TRIM(MID(MID(Sync!$AG1160,FIND("/",Sync!$AG1160)+1,20),FIND("/",MID(Sync!$AG1160,FIND("/",Sync!$AG1160)+1,20))+1,20))),"")))</f>
        <v/>
      </c>
      <c r="J1160">
        <f>IF($F1160="","",IF(OR($G1160="",$H1160="",$I1160="",$G1160&lt;1300,$G1160&gt;1500,$H1160&lt;1,$H1160&gt;12,$I1160&lt;1,$I1160&gt;31),"نامعتبر",RIGHT("0000"&amp;$G1160,4)&amp;"/"&amp;RIGHT("00"&amp;$H1160,2)&amp;"/"&amp;RIGHT("00"&amp;$I1160,2)))</f>
        <v/>
      </c>
      <c r="K1160">
        <f>IF(OR($F1160="",$J1160="",$J1160="نامعتبر"),"",LEFT($J1160,4)&amp;MID($J1160,6,2)&amp;RIGHT($J1160,2)&amp;$N1160&amp;"|"&amp;"2"&amp;RIGHT("00000"&amp;1155,5))</f>
        <v/>
      </c>
      <c r="L1160">
        <f>IF($K1160="","",COUNTIFS(LdgPartyA,$F1160,LdgKeyA,"&lt;"&amp;$K1160)+COUNTIFS(LdgPartyB,$F1160,LdgKeyB,"&lt;"&amp;$K1160)+1)</f>
        <v/>
      </c>
      <c r="M1160">
        <f>IF($L1160="","",$F1160&amp;"|"&amp;RIGHT("000000"&amp;$L1160,6))</f>
        <v/>
      </c>
      <c r="N1160">
        <f>IF($F1160="","",IF(Sync!$AH1160="","0000",IF(AND(ISNUMBER(Sync!$AH1160),Sync!$AH1160&gt;=0,Sync!$AH1160&lt;1),RIGHT("00"&amp;HOUR(Sync!$AH1160),2)&amp;RIGHT("00"&amp;MINUTE(Sync!$AH1160),2),IFERROR(RIGHT("00"&amp;VALUE(LEFT(Sync!$AH1160,FIND(":",Sync!$AH1160)-1)),2)&amp;RIGHT("00"&amp;VALUE(MID(Sync!$AH1160,FIND(":",Sync!$AH1160)+1,2)),2),"0000"))))</f>
        <v/>
      </c>
    </row>
    <row r="1161">
      <c r="A1161">
        <f>IF(OR(Calc!$E1164="",Calc!$E1164="نامعتبر",Calc!$G1164="",Calc!$I1164&lt;&gt;"خرید"),"",Calc!$G1164)</f>
        <v/>
      </c>
      <c r="B1161">
        <f>IF($A1161="","",LEFT(Calc!$E1164,4)&amp;MID(Calc!$E1164,6,2)&amp;RIGHT(Calc!$E1164,2)&amp;Calc!$R1164&amp;"|"&amp;"1"&amp;RIGHT("00000"&amp;1156,5))</f>
        <v/>
      </c>
      <c r="C1161">
        <f>IF($B1161="","",COUNTIFS(LdgPartyA,$A1161,LdgKeyA,"&lt;"&amp;$B1161)+COUNTIFS(LdgPartyB,$A1161,LdgKeyB,"&lt;"&amp;$B1161)+1)</f>
        <v/>
      </c>
      <c r="D1161">
        <f>IF($C1161="","",$A1161&amp;"|"&amp;RIGHT("000000"&amp;$C1161,6))</f>
        <v/>
      </c>
      <c r="F1161">
        <f>IF(Sync!$AJ1161="","",Sync!$AJ1161)</f>
        <v/>
      </c>
      <c r="G1161">
        <f>IF($F1161="","",IF(Sync!$AG1161="","",IF(ISNUMBER(Sync!$AG1161),IF(AND(Sync!$AG1161&gt;=10000101,Sync!$AG1161&lt;=99991231),INT(Sync!$AG1161/10000),""),IFERROR(VALUE(TRIM(LEFT(Sync!$AG1161,FIND("/",Sync!$AG1161)-1))),""))))</f>
        <v/>
      </c>
      <c r="H1161">
        <f>IF(OR($F1161="",$G1161=""),"",IF(ISNUMBER(Sync!$AG1161),INT(MOD(Sync!$AG1161,10000)/100),IFERROR(VALUE(TRIM(LEFT(MID(Sync!$AG1161,FIND("/",Sync!$AG1161)+1,20),FIND("/",MID(Sync!$AG1161,FIND("/",Sync!$AG1161)+1,20))-1))),"")))</f>
        <v/>
      </c>
      <c r="I1161">
        <f>IF(OR($F1161="",$G1161=""),"",IF(ISNUMBER(Sync!$AG1161),MOD(Sync!$AG1161,100),IFERROR(VALUE(TRIM(MID(MID(Sync!$AG1161,FIND("/",Sync!$AG1161)+1,20),FIND("/",MID(Sync!$AG1161,FIND("/",Sync!$AG1161)+1,20))+1,20))),"")))</f>
        <v/>
      </c>
      <c r="J1161">
        <f>IF($F1161="","",IF(OR($G1161="",$H1161="",$I1161="",$G1161&lt;1300,$G1161&gt;1500,$H1161&lt;1,$H1161&gt;12,$I1161&lt;1,$I1161&gt;31),"نامعتبر",RIGHT("0000"&amp;$G1161,4)&amp;"/"&amp;RIGHT("00"&amp;$H1161,2)&amp;"/"&amp;RIGHT("00"&amp;$I1161,2)))</f>
        <v/>
      </c>
      <c r="K1161">
        <f>IF(OR($F1161="",$J1161="",$J1161="نامعتبر"),"",LEFT($J1161,4)&amp;MID($J1161,6,2)&amp;RIGHT($J1161,2)&amp;$N1161&amp;"|"&amp;"2"&amp;RIGHT("00000"&amp;1156,5))</f>
        <v/>
      </c>
      <c r="L1161">
        <f>IF($K1161="","",COUNTIFS(LdgPartyA,$F1161,LdgKeyA,"&lt;"&amp;$K1161)+COUNTIFS(LdgPartyB,$F1161,LdgKeyB,"&lt;"&amp;$K1161)+1)</f>
        <v/>
      </c>
      <c r="M1161">
        <f>IF($L1161="","",$F1161&amp;"|"&amp;RIGHT("000000"&amp;$L1161,6))</f>
        <v/>
      </c>
      <c r="N1161">
        <f>IF($F1161="","",IF(Sync!$AH1161="","0000",IF(AND(ISNUMBER(Sync!$AH1161),Sync!$AH1161&gt;=0,Sync!$AH1161&lt;1),RIGHT("00"&amp;HOUR(Sync!$AH1161),2)&amp;RIGHT("00"&amp;MINUTE(Sync!$AH1161),2),IFERROR(RIGHT("00"&amp;VALUE(LEFT(Sync!$AH1161,FIND(":",Sync!$AH1161)-1)),2)&amp;RIGHT("00"&amp;VALUE(MID(Sync!$AH1161,FIND(":",Sync!$AH1161)+1,2)),2),"0000"))))</f>
        <v/>
      </c>
    </row>
    <row r="1162">
      <c r="A1162">
        <f>IF(OR(Calc!$E1165="",Calc!$E1165="نامعتبر",Calc!$G1165="",Calc!$I1165&lt;&gt;"خرید"),"",Calc!$G1165)</f>
        <v/>
      </c>
      <c r="B1162">
        <f>IF($A1162="","",LEFT(Calc!$E1165,4)&amp;MID(Calc!$E1165,6,2)&amp;RIGHT(Calc!$E1165,2)&amp;Calc!$R1165&amp;"|"&amp;"1"&amp;RIGHT("00000"&amp;1157,5))</f>
        <v/>
      </c>
      <c r="C1162">
        <f>IF($B1162="","",COUNTIFS(LdgPartyA,$A1162,LdgKeyA,"&lt;"&amp;$B1162)+COUNTIFS(LdgPartyB,$A1162,LdgKeyB,"&lt;"&amp;$B1162)+1)</f>
        <v/>
      </c>
      <c r="D1162">
        <f>IF($C1162="","",$A1162&amp;"|"&amp;RIGHT("000000"&amp;$C1162,6))</f>
        <v/>
      </c>
      <c r="F1162">
        <f>IF(Sync!$AJ1162="","",Sync!$AJ1162)</f>
        <v/>
      </c>
      <c r="G1162">
        <f>IF($F1162="","",IF(Sync!$AG1162="","",IF(ISNUMBER(Sync!$AG1162),IF(AND(Sync!$AG1162&gt;=10000101,Sync!$AG1162&lt;=99991231),INT(Sync!$AG1162/10000),""),IFERROR(VALUE(TRIM(LEFT(Sync!$AG1162,FIND("/",Sync!$AG1162)-1))),""))))</f>
        <v/>
      </c>
      <c r="H1162">
        <f>IF(OR($F1162="",$G1162=""),"",IF(ISNUMBER(Sync!$AG1162),INT(MOD(Sync!$AG1162,10000)/100),IFERROR(VALUE(TRIM(LEFT(MID(Sync!$AG1162,FIND("/",Sync!$AG1162)+1,20),FIND("/",MID(Sync!$AG1162,FIND("/",Sync!$AG1162)+1,20))-1))),"")))</f>
        <v/>
      </c>
      <c r="I1162">
        <f>IF(OR($F1162="",$G1162=""),"",IF(ISNUMBER(Sync!$AG1162),MOD(Sync!$AG1162,100),IFERROR(VALUE(TRIM(MID(MID(Sync!$AG1162,FIND("/",Sync!$AG1162)+1,20),FIND("/",MID(Sync!$AG1162,FIND("/",Sync!$AG1162)+1,20))+1,20))),"")))</f>
        <v/>
      </c>
      <c r="J1162">
        <f>IF($F1162="","",IF(OR($G1162="",$H1162="",$I1162="",$G1162&lt;1300,$G1162&gt;1500,$H1162&lt;1,$H1162&gt;12,$I1162&lt;1,$I1162&gt;31),"نامعتبر",RIGHT("0000"&amp;$G1162,4)&amp;"/"&amp;RIGHT("00"&amp;$H1162,2)&amp;"/"&amp;RIGHT("00"&amp;$I1162,2)))</f>
        <v/>
      </c>
      <c r="K1162">
        <f>IF(OR($F1162="",$J1162="",$J1162="نامعتبر"),"",LEFT($J1162,4)&amp;MID($J1162,6,2)&amp;RIGHT($J1162,2)&amp;$N1162&amp;"|"&amp;"2"&amp;RIGHT("00000"&amp;1157,5))</f>
        <v/>
      </c>
      <c r="L1162">
        <f>IF($K1162="","",COUNTIFS(LdgPartyA,$F1162,LdgKeyA,"&lt;"&amp;$K1162)+COUNTIFS(LdgPartyB,$F1162,LdgKeyB,"&lt;"&amp;$K1162)+1)</f>
        <v/>
      </c>
      <c r="M1162">
        <f>IF($L1162="","",$F1162&amp;"|"&amp;RIGHT("000000"&amp;$L1162,6))</f>
        <v/>
      </c>
      <c r="N1162">
        <f>IF($F1162="","",IF(Sync!$AH1162="","0000",IF(AND(ISNUMBER(Sync!$AH1162),Sync!$AH1162&gt;=0,Sync!$AH1162&lt;1),RIGHT("00"&amp;HOUR(Sync!$AH1162),2)&amp;RIGHT("00"&amp;MINUTE(Sync!$AH1162),2),IFERROR(RIGHT("00"&amp;VALUE(LEFT(Sync!$AH1162,FIND(":",Sync!$AH1162)-1)),2)&amp;RIGHT("00"&amp;VALUE(MID(Sync!$AH1162,FIND(":",Sync!$AH1162)+1,2)),2),"0000"))))</f>
        <v/>
      </c>
    </row>
    <row r="1163">
      <c r="A1163">
        <f>IF(OR(Calc!$E1166="",Calc!$E1166="نامعتبر",Calc!$G1166="",Calc!$I1166&lt;&gt;"خرید"),"",Calc!$G1166)</f>
        <v/>
      </c>
      <c r="B1163">
        <f>IF($A1163="","",LEFT(Calc!$E1166,4)&amp;MID(Calc!$E1166,6,2)&amp;RIGHT(Calc!$E1166,2)&amp;Calc!$R1166&amp;"|"&amp;"1"&amp;RIGHT("00000"&amp;1158,5))</f>
        <v/>
      </c>
      <c r="C1163">
        <f>IF($B1163="","",COUNTIFS(LdgPartyA,$A1163,LdgKeyA,"&lt;"&amp;$B1163)+COUNTIFS(LdgPartyB,$A1163,LdgKeyB,"&lt;"&amp;$B1163)+1)</f>
        <v/>
      </c>
      <c r="D1163">
        <f>IF($C1163="","",$A1163&amp;"|"&amp;RIGHT("000000"&amp;$C1163,6))</f>
        <v/>
      </c>
      <c r="F1163">
        <f>IF(Sync!$AJ1163="","",Sync!$AJ1163)</f>
        <v/>
      </c>
      <c r="G1163">
        <f>IF($F1163="","",IF(Sync!$AG1163="","",IF(ISNUMBER(Sync!$AG1163),IF(AND(Sync!$AG1163&gt;=10000101,Sync!$AG1163&lt;=99991231),INT(Sync!$AG1163/10000),""),IFERROR(VALUE(TRIM(LEFT(Sync!$AG1163,FIND("/",Sync!$AG1163)-1))),""))))</f>
        <v/>
      </c>
      <c r="H1163">
        <f>IF(OR($F1163="",$G1163=""),"",IF(ISNUMBER(Sync!$AG1163),INT(MOD(Sync!$AG1163,10000)/100),IFERROR(VALUE(TRIM(LEFT(MID(Sync!$AG1163,FIND("/",Sync!$AG1163)+1,20),FIND("/",MID(Sync!$AG1163,FIND("/",Sync!$AG1163)+1,20))-1))),"")))</f>
        <v/>
      </c>
      <c r="I1163">
        <f>IF(OR($F1163="",$G1163=""),"",IF(ISNUMBER(Sync!$AG1163),MOD(Sync!$AG1163,100),IFERROR(VALUE(TRIM(MID(MID(Sync!$AG1163,FIND("/",Sync!$AG1163)+1,20),FIND("/",MID(Sync!$AG1163,FIND("/",Sync!$AG1163)+1,20))+1,20))),"")))</f>
        <v/>
      </c>
      <c r="J1163">
        <f>IF($F1163="","",IF(OR($G1163="",$H1163="",$I1163="",$G1163&lt;1300,$G1163&gt;1500,$H1163&lt;1,$H1163&gt;12,$I1163&lt;1,$I1163&gt;31),"نامعتبر",RIGHT("0000"&amp;$G1163,4)&amp;"/"&amp;RIGHT("00"&amp;$H1163,2)&amp;"/"&amp;RIGHT("00"&amp;$I1163,2)))</f>
        <v/>
      </c>
      <c r="K1163">
        <f>IF(OR($F1163="",$J1163="",$J1163="نامعتبر"),"",LEFT($J1163,4)&amp;MID($J1163,6,2)&amp;RIGHT($J1163,2)&amp;$N1163&amp;"|"&amp;"2"&amp;RIGHT("00000"&amp;1158,5))</f>
        <v/>
      </c>
      <c r="L1163">
        <f>IF($K1163="","",COUNTIFS(LdgPartyA,$F1163,LdgKeyA,"&lt;"&amp;$K1163)+COUNTIFS(LdgPartyB,$F1163,LdgKeyB,"&lt;"&amp;$K1163)+1)</f>
        <v/>
      </c>
      <c r="M1163">
        <f>IF($L1163="","",$F1163&amp;"|"&amp;RIGHT("000000"&amp;$L1163,6))</f>
        <v/>
      </c>
      <c r="N1163">
        <f>IF($F1163="","",IF(Sync!$AH1163="","0000",IF(AND(ISNUMBER(Sync!$AH1163),Sync!$AH1163&gt;=0,Sync!$AH1163&lt;1),RIGHT("00"&amp;HOUR(Sync!$AH1163),2)&amp;RIGHT("00"&amp;MINUTE(Sync!$AH1163),2),IFERROR(RIGHT("00"&amp;VALUE(LEFT(Sync!$AH1163,FIND(":",Sync!$AH1163)-1)),2)&amp;RIGHT("00"&amp;VALUE(MID(Sync!$AH1163,FIND(":",Sync!$AH1163)+1,2)),2),"0000"))))</f>
        <v/>
      </c>
    </row>
    <row r="1164">
      <c r="A1164">
        <f>IF(OR(Calc!$E1167="",Calc!$E1167="نامعتبر",Calc!$G1167="",Calc!$I1167&lt;&gt;"خرید"),"",Calc!$G1167)</f>
        <v/>
      </c>
      <c r="B1164">
        <f>IF($A1164="","",LEFT(Calc!$E1167,4)&amp;MID(Calc!$E1167,6,2)&amp;RIGHT(Calc!$E1167,2)&amp;Calc!$R1167&amp;"|"&amp;"1"&amp;RIGHT("00000"&amp;1159,5))</f>
        <v/>
      </c>
      <c r="C1164">
        <f>IF($B1164="","",COUNTIFS(LdgPartyA,$A1164,LdgKeyA,"&lt;"&amp;$B1164)+COUNTIFS(LdgPartyB,$A1164,LdgKeyB,"&lt;"&amp;$B1164)+1)</f>
        <v/>
      </c>
      <c r="D1164">
        <f>IF($C1164="","",$A1164&amp;"|"&amp;RIGHT("000000"&amp;$C1164,6))</f>
        <v/>
      </c>
      <c r="F1164">
        <f>IF(Sync!$AJ1164="","",Sync!$AJ1164)</f>
        <v/>
      </c>
      <c r="G1164">
        <f>IF($F1164="","",IF(Sync!$AG1164="","",IF(ISNUMBER(Sync!$AG1164),IF(AND(Sync!$AG1164&gt;=10000101,Sync!$AG1164&lt;=99991231),INT(Sync!$AG1164/10000),""),IFERROR(VALUE(TRIM(LEFT(Sync!$AG1164,FIND("/",Sync!$AG1164)-1))),""))))</f>
        <v/>
      </c>
      <c r="H1164">
        <f>IF(OR($F1164="",$G1164=""),"",IF(ISNUMBER(Sync!$AG1164),INT(MOD(Sync!$AG1164,10000)/100),IFERROR(VALUE(TRIM(LEFT(MID(Sync!$AG1164,FIND("/",Sync!$AG1164)+1,20),FIND("/",MID(Sync!$AG1164,FIND("/",Sync!$AG1164)+1,20))-1))),"")))</f>
        <v/>
      </c>
      <c r="I1164">
        <f>IF(OR($F1164="",$G1164=""),"",IF(ISNUMBER(Sync!$AG1164),MOD(Sync!$AG1164,100),IFERROR(VALUE(TRIM(MID(MID(Sync!$AG1164,FIND("/",Sync!$AG1164)+1,20),FIND("/",MID(Sync!$AG1164,FIND("/",Sync!$AG1164)+1,20))+1,20))),"")))</f>
        <v/>
      </c>
      <c r="J1164">
        <f>IF($F1164="","",IF(OR($G1164="",$H1164="",$I1164="",$G1164&lt;1300,$G1164&gt;1500,$H1164&lt;1,$H1164&gt;12,$I1164&lt;1,$I1164&gt;31),"نامعتبر",RIGHT("0000"&amp;$G1164,4)&amp;"/"&amp;RIGHT("00"&amp;$H1164,2)&amp;"/"&amp;RIGHT("00"&amp;$I1164,2)))</f>
        <v/>
      </c>
      <c r="K1164">
        <f>IF(OR($F1164="",$J1164="",$J1164="نامعتبر"),"",LEFT($J1164,4)&amp;MID($J1164,6,2)&amp;RIGHT($J1164,2)&amp;$N1164&amp;"|"&amp;"2"&amp;RIGHT("00000"&amp;1159,5))</f>
        <v/>
      </c>
      <c r="L1164">
        <f>IF($K1164="","",COUNTIFS(LdgPartyA,$F1164,LdgKeyA,"&lt;"&amp;$K1164)+COUNTIFS(LdgPartyB,$F1164,LdgKeyB,"&lt;"&amp;$K1164)+1)</f>
        <v/>
      </c>
      <c r="M1164">
        <f>IF($L1164="","",$F1164&amp;"|"&amp;RIGHT("000000"&amp;$L1164,6))</f>
        <v/>
      </c>
      <c r="N1164">
        <f>IF($F1164="","",IF(Sync!$AH1164="","0000",IF(AND(ISNUMBER(Sync!$AH1164),Sync!$AH1164&gt;=0,Sync!$AH1164&lt;1),RIGHT("00"&amp;HOUR(Sync!$AH1164),2)&amp;RIGHT("00"&amp;MINUTE(Sync!$AH1164),2),IFERROR(RIGHT("00"&amp;VALUE(LEFT(Sync!$AH1164,FIND(":",Sync!$AH1164)-1)),2)&amp;RIGHT("00"&amp;VALUE(MID(Sync!$AH1164,FIND(":",Sync!$AH1164)+1,2)),2),"0000"))))</f>
        <v/>
      </c>
    </row>
    <row r="1165">
      <c r="A1165">
        <f>IF(OR(Calc!$E1168="",Calc!$E1168="نامعتبر",Calc!$G1168="",Calc!$I1168&lt;&gt;"خرید"),"",Calc!$G1168)</f>
        <v/>
      </c>
      <c r="B1165">
        <f>IF($A1165="","",LEFT(Calc!$E1168,4)&amp;MID(Calc!$E1168,6,2)&amp;RIGHT(Calc!$E1168,2)&amp;Calc!$R1168&amp;"|"&amp;"1"&amp;RIGHT("00000"&amp;1160,5))</f>
        <v/>
      </c>
      <c r="C1165">
        <f>IF($B1165="","",COUNTIFS(LdgPartyA,$A1165,LdgKeyA,"&lt;"&amp;$B1165)+COUNTIFS(LdgPartyB,$A1165,LdgKeyB,"&lt;"&amp;$B1165)+1)</f>
        <v/>
      </c>
      <c r="D1165">
        <f>IF($C1165="","",$A1165&amp;"|"&amp;RIGHT("000000"&amp;$C1165,6))</f>
        <v/>
      </c>
      <c r="F1165">
        <f>IF(Sync!$AJ1165="","",Sync!$AJ1165)</f>
        <v/>
      </c>
      <c r="G1165">
        <f>IF($F1165="","",IF(Sync!$AG1165="","",IF(ISNUMBER(Sync!$AG1165),IF(AND(Sync!$AG1165&gt;=10000101,Sync!$AG1165&lt;=99991231),INT(Sync!$AG1165/10000),""),IFERROR(VALUE(TRIM(LEFT(Sync!$AG1165,FIND("/",Sync!$AG1165)-1))),""))))</f>
        <v/>
      </c>
      <c r="H1165">
        <f>IF(OR($F1165="",$G1165=""),"",IF(ISNUMBER(Sync!$AG1165),INT(MOD(Sync!$AG1165,10000)/100),IFERROR(VALUE(TRIM(LEFT(MID(Sync!$AG1165,FIND("/",Sync!$AG1165)+1,20),FIND("/",MID(Sync!$AG1165,FIND("/",Sync!$AG1165)+1,20))-1))),"")))</f>
        <v/>
      </c>
      <c r="I1165">
        <f>IF(OR($F1165="",$G1165=""),"",IF(ISNUMBER(Sync!$AG1165),MOD(Sync!$AG1165,100),IFERROR(VALUE(TRIM(MID(MID(Sync!$AG1165,FIND("/",Sync!$AG1165)+1,20),FIND("/",MID(Sync!$AG1165,FIND("/",Sync!$AG1165)+1,20))+1,20))),"")))</f>
        <v/>
      </c>
      <c r="J1165">
        <f>IF($F1165="","",IF(OR($G1165="",$H1165="",$I1165="",$G1165&lt;1300,$G1165&gt;1500,$H1165&lt;1,$H1165&gt;12,$I1165&lt;1,$I1165&gt;31),"نامعتبر",RIGHT("0000"&amp;$G1165,4)&amp;"/"&amp;RIGHT("00"&amp;$H1165,2)&amp;"/"&amp;RIGHT("00"&amp;$I1165,2)))</f>
        <v/>
      </c>
      <c r="K1165">
        <f>IF(OR($F1165="",$J1165="",$J1165="نامعتبر"),"",LEFT($J1165,4)&amp;MID($J1165,6,2)&amp;RIGHT($J1165,2)&amp;$N1165&amp;"|"&amp;"2"&amp;RIGHT("00000"&amp;1160,5))</f>
        <v/>
      </c>
      <c r="L1165">
        <f>IF($K1165="","",COUNTIFS(LdgPartyA,$F1165,LdgKeyA,"&lt;"&amp;$K1165)+COUNTIFS(LdgPartyB,$F1165,LdgKeyB,"&lt;"&amp;$K1165)+1)</f>
        <v/>
      </c>
      <c r="M1165">
        <f>IF($L1165="","",$F1165&amp;"|"&amp;RIGHT("000000"&amp;$L1165,6))</f>
        <v/>
      </c>
      <c r="N1165">
        <f>IF($F1165="","",IF(Sync!$AH1165="","0000",IF(AND(ISNUMBER(Sync!$AH1165),Sync!$AH1165&gt;=0,Sync!$AH1165&lt;1),RIGHT("00"&amp;HOUR(Sync!$AH1165),2)&amp;RIGHT("00"&amp;MINUTE(Sync!$AH1165),2),IFERROR(RIGHT("00"&amp;VALUE(LEFT(Sync!$AH1165,FIND(":",Sync!$AH1165)-1)),2)&amp;RIGHT("00"&amp;VALUE(MID(Sync!$AH1165,FIND(":",Sync!$AH1165)+1,2)),2),"0000"))))</f>
        <v/>
      </c>
    </row>
    <row r="1166">
      <c r="A1166">
        <f>IF(OR(Calc!$E1169="",Calc!$E1169="نامعتبر",Calc!$G1169="",Calc!$I1169&lt;&gt;"خرید"),"",Calc!$G1169)</f>
        <v/>
      </c>
      <c r="B1166">
        <f>IF($A1166="","",LEFT(Calc!$E1169,4)&amp;MID(Calc!$E1169,6,2)&amp;RIGHT(Calc!$E1169,2)&amp;Calc!$R1169&amp;"|"&amp;"1"&amp;RIGHT("00000"&amp;1161,5))</f>
        <v/>
      </c>
      <c r="C1166">
        <f>IF($B1166="","",COUNTIFS(LdgPartyA,$A1166,LdgKeyA,"&lt;"&amp;$B1166)+COUNTIFS(LdgPartyB,$A1166,LdgKeyB,"&lt;"&amp;$B1166)+1)</f>
        <v/>
      </c>
      <c r="D1166">
        <f>IF($C1166="","",$A1166&amp;"|"&amp;RIGHT("000000"&amp;$C1166,6))</f>
        <v/>
      </c>
      <c r="F1166">
        <f>IF(Sync!$AJ1166="","",Sync!$AJ1166)</f>
        <v/>
      </c>
      <c r="G1166">
        <f>IF($F1166="","",IF(Sync!$AG1166="","",IF(ISNUMBER(Sync!$AG1166),IF(AND(Sync!$AG1166&gt;=10000101,Sync!$AG1166&lt;=99991231),INT(Sync!$AG1166/10000),""),IFERROR(VALUE(TRIM(LEFT(Sync!$AG1166,FIND("/",Sync!$AG1166)-1))),""))))</f>
        <v/>
      </c>
      <c r="H1166">
        <f>IF(OR($F1166="",$G1166=""),"",IF(ISNUMBER(Sync!$AG1166),INT(MOD(Sync!$AG1166,10000)/100),IFERROR(VALUE(TRIM(LEFT(MID(Sync!$AG1166,FIND("/",Sync!$AG1166)+1,20),FIND("/",MID(Sync!$AG1166,FIND("/",Sync!$AG1166)+1,20))-1))),"")))</f>
        <v/>
      </c>
      <c r="I1166">
        <f>IF(OR($F1166="",$G1166=""),"",IF(ISNUMBER(Sync!$AG1166),MOD(Sync!$AG1166,100),IFERROR(VALUE(TRIM(MID(MID(Sync!$AG1166,FIND("/",Sync!$AG1166)+1,20),FIND("/",MID(Sync!$AG1166,FIND("/",Sync!$AG1166)+1,20))+1,20))),"")))</f>
        <v/>
      </c>
      <c r="J1166">
        <f>IF($F1166="","",IF(OR($G1166="",$H1166="",$I1166="",$G1166&lt;1300,$G1166&gt;1500,$H1166&lt;1,$H1166&gt;12,$I1166&lt;1,$I1166&gt;31),"نامعتبر",RIGHT("0000"&amp;$G1166,4)&amp;"/"&amp;RIGHT("00"&amp;$H1166,2)&amp;"/"&amp;RIGHT("00"&amp;$I1166,2)))</f>
        <v/>
      </c>
      <c r="K1166">
        <f>IF(OR($F1166="",$J1166="",$J1166="نامعتبر"),"",LEFT($J1166,4)&amp;MID($J1166,6,2)&amp;RIGHT($J1166,2)&amp;$N1166&amp;"|"&amp;"2"&amp;RIGHT("00000"&amp;1161,5))</f>
        <v/>
      </c>
      <c r="L1166">
        <f>IF($K1166="","",COUNTIFS(LdgPartyA,$F1166,LdgKeyA,"&lt;"&amp;$K1166)+COUNTIFS(LdgPartyB,$F1166,LdgKeyB,"&lt;"&amp;$K1166)+1)</f>
        <v/>
      </c>
      <c r="M1166">
        <f>IF($L1166="","",$F1166&amp;"|"&amp;RIGHT("000000"&amp;$L1166,6))</f>
        <v/>
      </c>
      <c r="N1166">
        <f>IF($F1166="","",IF(Sync!$AH1166="","0000",IF(AND(ISNUMBER(Sync!$AH1166),Sync!$AH1166&gt;=0,Sync!$AH1166&lt;1),RIGHT("00"&amp;HOUR(Sync!$AH1166),2)&amp;RIGHT("00"&amp;MINUTE(Sync!$AH1166),2),IFERROR(RIGHT("00"&amp;VALUE(LEFT(Sync!$AH1166,FIND(":",Sync!$AH1166)-1)),2)&amp;RIGHT("00"&amp;VALUE(MID(Sync!$AH1166,FIND(":",Sync!$AH1166)+1,2)),2),"0000"))))</f>
        <v/>
      </c>
    </row>
    <row r="1167">
      <c r="A1167">
        <f>IF(OR(Calc!$E1170="",Calc!$E1170="نامعتبر",Calc!$G1170="",Calc!$I1170&lt;&gt;"خرید"),"",Calc!$G1170)</f>
        <v/>
      </c>
      <c r="B1167">
        <f>IF($A1167="","",LEFT(Calc!$E1170,4)&amp;MID(Calc!$E1170,6,2)&amp;RIGHT(Calc!$E1170,2)&amp;Calc!$R1170&amp;"|"&amp;"1"&amp;RIGHT("00000"&amp;1162,5))</f>
        <v/>
      </c>
      <c r="C1167">
        <f>IF($B1167="","",COUNTIFS(LdgPartyA,$A1167,LdgKeyA,"&lt;"&amp;$B1167)+COUNTIFS(LdgPartyB,$A1167,LdgKeyB,"&lt;"&amp;$B1167)+1)</f>
        <v/>
      </c>
      <c r="D1167">
        <f>IF($C1167="","",$A1167&amp;"|"&amp;RIGHT("000000"&amp;$C1167,6))</f>
        <v/>
      </c>
      <c r="F1167">
        <f>IF(Sync!$AJ1167="","",Sync!$AJ1167)</f>
        <v/>
      </c>
      <c r="G1167">
        <f>IF($F1167="","",IF(Sync!$AG1167="","",IF(ISNUMBER(Sync!$AG1167),IF(AND(Sync!$AG1167&gt;=10000101,Sync!$AG1167&lt;=99991231),INT(Sync!$AG1167/10000),""),IFERROR(VALUE(TRIM(LEFT(Sync!$AG1167,FIND("/",Sync!$AG1167)-1))),""))))</f>
        <v/>
      </c>
      <c r="H1167">
        <f>IF(OR($F1167="",$G1167=""),"",IF(ISNUMBER(Sync!$AG1167),INT(MOD(Sync!$AG1167,10000)/100),IFERROR(VALUE(TRIM(LEFT(MID(Sync!$AG1167,FIND("/",Sync!$AG1167)+1,20),FIND("/",MID(Sync!$AG1167,FIND("/",Sync!$AG1167)+1,20))-1))),"")))</f>
        <v/>
      </c>
      <c r="I1167">
        <f>IF(OR($F1167="",$G1167=""),"",IF(ISNUMBER(Sync!$AG1167),MOD(Sync!$AG1167,100),IFERROR(VALUE(TRIM(MID(MID(Sync!$AG1167,FIND("/",Sync!$AG1167)+1,20),FIND("/",MID(Sync!$AG1167,FIND("/",Sync!$AG1167)+1,20))+1,20))),"")))</f>
        <v/>
      </c>
      <c r="J1167">
        <f>IF($F1167="","",IF(OR($G1167="",$H1167="",$I1167="",$G1167&lt;1300,$G1167&gt;1500,$H1167&lt;1,$H1167&gt;12,$I1167&lt;1,$I1167&gt;31),"نامعتبر",RIGHT("0000"&amp;$G1167,4)&amp;"/"&amp;RIGHT("00"&amp;$H1167,2)&amp;"/"&amp;RIGHT("00"&amp;$I1167,2)))</f>
        <v/>
      </c>
      <c r="K1167">
        <f>IF(OR($F1167="",$J1167="",$J1167="نامعتبر"),"",LEFT($J1167,4)&amp;MID($J1167,6,2)&amp;RIGHT($J1167,2)&amp;$N1167&amp;"|"&amp;"2"&amp;RIGHT("00000"&amp;1162,5))</f>
        <v/>
      </c>
      <c r="L1167">
        <f>IF($K1167="","",COUNTIFS(LdgPartyA,$F1167,LdgKeyA,"&lt;"&amp;$K1167)+COUNTIFS(LdgPartyB,$F1167,LdgKeyB,"&lt;"&amp;$K1167)+1)</f>
        <v/>
      </c>
      <c r="M1167">
        <f>IF($L1167="","",$F1167&amp;"|"&amp;RIGHT("000000"&amp;$L1167,6))</f>
        <v/>
      </c>
      <c r="N1167">
        <f>IF($F1167="","",IF(Sync!$AH1167="","0000",IF(AND(ISNUMBER(Sync!$AH1167),Sync!$AH1167&gt;=0,Sync!$AH1167&lt;1),RIGHT("00"&amp;HOUR(Sync!$AH1167),2)&amp;RIGHT("00"&amp;MINUTE(Sync!$AH1167),2),IFERROR(RIGHT("00"&amp;VALUE(LEFT(Sync!$AH1167,FIND(":",Sync!$AH1167)-1)),2)&amp;RIGHT("00"&amp;VALUE(MID(Sync!$AH1167,FIND(":",Sync!$AH1167)+1,2)),2),"0000"))))</f>
        <v/>
      </c>
    </row>
    <row r="1168">
      <c r="A1168">
        <f>IF(OR(Calc!$E1171="",Calc!$E1171="نامعتبر",Calc!$G1171="",Calc!$I1171&lt;&gt;"خرید"),"",Calc!$G1171)</f>
        <v/>
      </c>
      <c r="B1168">
        <f>IF($A1168="","",LEFT(Calc!$E1171,4)&amp;MID(Calc!$E1171,6,2)&amp;RIGHT(Calc!$E1171,2)&amp;Calc!$R1171&amp;"|"&amp;"1"&amp;RIGHT("00000"&amp;1163,5))</f>
        <v/>
      </c>
      <c r="C1168">
        <f>IF($B1168="","",COUNTIFS(LdgPartyA,$A1168,LdgKeyA,"&lt;"&amp;$B1168)+COUNTIFS(LdgPartyB,$A1168,LdgKeyB,"&lt;"&amp;$B1168)+1)</f>
        <v/>
      </c>
      <c r="D1168">
        <f>IF($C1168="","",$A1168&amp;"|"&amp;RIGHT("000000"&amp;$C1168,6))</f>
        <v/>
      </c>
      <c r="F1168">
        <f>IF(Sync!$AJ1168="","",Sync!$AJ1168)</f>
        <v/>
      </c>
      <c r="G1168">
        <f>IF($F1168="","",IF(Sync!$AG1168="","",IF(ISNUMBER(Sync!$AG1168),IF(AND(Sync!$AG1168&gt;=10000101,Sync!$AG1168&lt;=99991231),INT(Sync!$AG1168/10000),""),IFERROR(VALUE(TRIM(LEFT(Sync!$AG1168,FIND("/",Sync!$AG1168)-1))),""))))</f>
        <v/>
      </c>
      <c r="H1168">
        <f>IF(OR($F1168="",$G1168=""),"",IF(ISNUMBER(Sync!$AG1168),INT(MOD(Sync!$AG1168,10000)/100),IFERROR(VALUE(TRIM(LEFT(MID(Sync!$AG1168,FIND("/",Sync!$AG1168)+1,20),FIND("/",MID(Sync!$AG1168,FIND("/",Sync!$AG1168)+1,20))-1))),"")))</f>
        <v/>
      </c>
      <c r="I1168">
        <f>IF(OR($F1168="",$G1168=""),"",IF(ISNUMBER(Sync!$AG1168),MOD(Sync!$AG1168,100),IFERROR(VALUE(TRIM(MID(MID(Sync!$AG1168,FIND("/",Sync!$AG1168)+1,20),FIND("/",MID(Sync!$AG1168,FIND("/",Sync!$AG1168)+1,20))+1,20))),"")))</f>
        <v/>
      </c>
      <c r="J1168">
        <f>IF($F1168="","",IF(OR($G1168="",$H1168="",$I1168="",$G1168&lt;1300,$G1168&gt;1500,$H1168&lt;1,$H1168&gt;12,$I1168&lt;1,$I1168&gt;31),"نامعتبر",RIGHT("0000"&amp;$G1168,4)&amp;"/"&amp;RIGHT("00"&amp;$H1168,2)&amp;"/"&amp;RIGHT("00"&amp;$I1168,2)))</f>
        <v/>
      </c>
      <c r="K1168">
        <f>IF(OR($F1168="",$J1168="",$J1168="نامعتبر"),"",LEFT($J1168,4)&amp;MID($J1168,6,2)&amp;RIGHT($J1168,2)&amp;$N1168&amp;"|"&amp;"2"&amp;RIGHT("00000"&amp;1163,5))</f>
        <v/>
      </c>
      <c r="L1168">
        <f>IF($K1168="","",COUNTIFS(LdgPartyA,$F1168,LdgKeyA,"&lt;"&amp;$K1168)+COUNTIFS(LdgPartyB,$F1168,LdgKeyB,"&lt;"&amp;$K1168)+1)</f>
        <v/>
      </c>
      <c r="M1168">
        <f>IF($L1168="","",$F1168&amp;"|"&amp;RIGHT("000000"&amp;$L1168,6))</f>
        <v/>
      </c>
      <c r="N1168">
        <f>IF($F1168="","",IF(Sync!$AH1168="","0000",IF(AND(ISNUMBER(Sync!$AH1168),Sync!$AH1168&gt;=0,Sync!$AH1168&lt;1),RIGHT("00"&amp;HOUR(Sync!$AH1168),2)&amp;RIGHT("00"&amp;MINUTE(Sync!$AH1168),2),IFERROR(RIGHT("00"&amp;VALUE(LEFT(Sync!$AH1168,FIND(":",Sync!$AH1168)-1)),2)&amp;RIGHT("00"&amp;VALUE(MID(Sync!$AH1168,FIND(":",Sync!$AH1168)+1,2)),2),"0000"))))</f>
        <v/>
      </c>
    </row>
    <row r="1169">
      <c r="A1169">
        <f>IF(OR(Calc!$E1172="",Calc!$E1172="نامعتبر",Calc!$G1172="",Calc!$I1172&lt;&gt;"خرید"),"",Calc!$G1172)</f>
        <v/>
      </c>
      <c r="B1169">
        <f>IF($A1169="","",LEFT(Calc!$E1172,4)&amp;MID(Calc!$E1172,6,2)&amp;RIGHT(Calc!$E1172,2)&amp;Calc!$R1172&amp;"|"&amp;"1"&amp;RIGHT("00000"&amp;1164,5))</f>
        <v/>
      </c>
      <c r="C1169">
        <f>IF($B1169="","",COUNTIFS(LdgPartyA,$A1169,LdgKeyA,"&lt;"&amp;$B1169)+COUNTIFS(LdgPartyB,$A1169,LdgKeyB,"&lt;"&amp;$B1169)+1)</f>
        <v/>
      </c>
      <c r="D1169">
        <f>IF($C1169="","",$A1169&amp;"|"&amp;RIGHT("000000"&amp;$C1169,6))</f>
        <v/>
      </c>
      <c r="F1169">
        <f>IF(Sync!$AJ1169="","",Sync!$AJ1169)</f>
        <v/>
      </c>
      <c r="G1169">
        <f>IF($F1169="","",IF(Sync!$AG1169="","",IF(ISNUMBER(Sync!$AG1169),IF(AND(Sync!$AG1169&gt;=10000101,Sync!$AG1169&lt;=99991231),INT(Sync!$AG1169/10000),""),IFERROR(VALUE(TRIM(LEFT(Sync!$AG1169,FIND("/",Sync!$AG1169)-1))),""))))</f>
        <v/>
      </c>
      <c r="H1169">
        <f>IF(OR($F1169="",$G1169=""),"",IF(ISNUMBER(Sync!$AG1169),INT(MOD(Sync!$AG1169,10000)/100),IFERROR(VALUE(TRIM(LEFT(MID(Sync!$AG1169,FIND("/",Sync!$AG1169)+1,20),FIND("/",MID(Sync!$AG1169,FIND("/",Sync!$AG1169)+1,20))-1))),"")))</f>
        <v/>
      </c>
      <c r="I1169">
        <f>IF(OR($F1169="",$G1169=""),"",IF(ISNUMBER(Sync!$AG1169),MOD(Sync!$AG1169,100),IFERROR(VALUE(TRIM(MID(MID(Sync!$AG1169,FIND("/",Sync!$AG1169)+1,20),FIND("/",MID(Sync!$AG1169,FIND("/",Sync!$AG1169)+1,20))+1,20))),"")))</f>
        <v/>
      </c>
      <c r="J1169">
        <f>IF($F1169="","",IF(OR($G1169="",$H1169="",$I1169="",$G1169&lt;1300,$G1169&gt;1500,$H1169&lt;1,$H1169&gt;12,$I1169&lt;1,$I1169&gt;31),"نامعتبر",RIGHT("0000"&amp;$G1169,4)&amp;"/"&amp;RIGHT("00"&amp;$H1169,2)&amp;"/"&amp;RIGHT("00"&amp;$I1169,2)))</f>
        <v/>
      </c>
      <c r="K1169">
        <f>IF(OR($F1169="",$J1169="",$J1169="نامعتبر"),"",LEFT($J1169,4)&amp;MID($J1169,6,2)&amp;RIGHT($J1169,2)&amp;$N1169&amp;"|"&amp;"2"&amp;RIGHT("00000"&amp;1164,5))</f>
        <v/>
      </c>
      <c r="L1169">
        <f>IF($K1169="","",COUNTIFS(LdgPartyA,$F1169,LdgKeyA,"&lt;"&amp;$K1169)+COUNTIFS(LdgPartyB,$F1169,LdgKeyB,"&lt;"&amp;$K1169)+1)</f>
        <v/>
      </c>
      <c r="M1169">
        <f>IF($L1169="","",$F1169&amp;"|"&amp;RIGHT("000000"&amp;$L1169,6))</f>
        <v/>
      </c>
      <c r="N1169">
        <f>IF($F1169="","",IF(Sync!$AH1169="","0000",IF(AND(ISNUMBER(Sync!$AH1169),Sync!$AH1169&gt;=0,Sync!$AH1169&lt;1),RIGHT("00"&amp;HOUR(Sync!$AH1169),2)&amp;RIGHT("00"&amp;MINUTE(Sync!$AH1169),2),IFERROR(RIGHT("00"&amp;VALUE(LEFT(Sync!$AH1169,FIND(":",Sync!$AH1169)-1)),2)&amp;RIGHT("00"&amp;VALUE(MID(Sync!$AH1169,FIND(":",Sync!$AH1169)+1,2)),2),"0000"))))</f>
        <v/>
      </c>
    </row>
    <row r="1170">
      <c r="A1170">
        <f>IF(OR(Calc!$E1173="",Calc!$E1173="نامعتبر",Calc!$G1173="",Calc!$I1173&lt;&gt;"خرید"),"",Calc!$G1173)</f>
        <v/>
      </c>
      <c r="B1170">
        <f>IF($A1170="","",LEFT(Calc!$E1173,4)&amp;MID(Calc!$E1173,6,2)&amp;RIGHT(Calc!$E1173,2)&amp;Calc!$R1173&amp;"|"&amp;"1"&amp;RIGHT("00000"&amp;1165,5))</f>
        <v/>
      </c>
      <c r="C1170">
        <f>IF($B1170="","",COUNTIFS(LdgPartyA,$A1170,LdgKeyA,"&lt;"&amp;$B1170)+COUNTIFS(LdgPartyB,$A1170,LdgKeyB,"&lt;"&amp;$B1170)+1)</f>
        <v/>
      </c>
      <c r="D1170">
        <f>IF($C1170="","",$A1170&amp;"|"&amp;RIGHT("000000"&amp;$C1170,6))</f>
        <v/>
      </c>
      <c r="F1170">
        <f>IF(Sync!$AJ1170="","",Sync!$AJ1170)</f>
        <v/>
      </c>
      <c r="G1170">
        <f>IF($F1170="","",IF(Sync!$AG1170="","",IF(ISNUMBER(Sync!$AG1170),IF(AND(Sync!$AG1170&gt;=10000101,Sync!$AG1170&lt;=99991231),INT(Sync!$AG1170/10000),""),IFERROR(VALUE(TRIM(LEFT(Sync!$AG1170,FIND("/",Sync!$AG1170)-1))),""))))</f>
        <v/>
      </c>
      <c r="H1170">
        <f>IF(OR($F1170="",$G1170=""),"",IF(ISNUMBER(Sync!$AG1170),INT(MOD(Sync!$AG1170,10000)/100),IFERROR(VALUE(TRIM(LEFT(MID(Sync!$AG1170,FIND("/",Sync!$AG1170)+1,20),FIND("/",MID(Sync!$AG1170,FIND("/",Sync!$AG1170)+1,20))-1))),"")))</f>
        <v/>
      </c>
      <c r="I1170">
        <f>IF(OR($F1170="",$G1170=""),"",IF(ISNUMBER(Sync!$AG1170),MOD(Sync!$AG1170,100),IFERROR(VALUE(TRIM(MID(MID(Sync!$AG1170,FIND("/",Sync!$AG1170)+1,20),FIND("/",MID(Sync!$AG1170,FIND("/",Sync!$AG1170)+1,20))+1,20))),"")))</f>
        <v/>
      </c>
      <c r="J1170">
        <f>IF($F1170="","",IF(OR($G1170="",$H1170="",$I1170="",$G1170&lt;1300,$G1170&gt;1500,$H1170&lt;1,$H1170&gt;12,$I1170&lt;1,$I1170&gt;31),"نامعتبر",RIGHT("0000"&amp;$G1170,4)&amp;"/"&amp;RIGHT("00"&amp;$H1170,2)&amp;"/"&amp;RIGHT("00"&amp;$I1170,2)))</f>
        <v/>
      </c>
      <c r="K1170">
        <f>IF(OR($F1170="",$J1170="",$J1170="نامعتبر"),"",LEFT($J1170,4)&amp;MID($J1170,6,2)&amp;RIGHT($J1170,2)&amp;$N1170&amp;"|"&amp;"2"&amp;RIGHT("00000"&amp;1165,5))</f>
        <v/>
      </c>
      <c r="L1170">
        <f>IF($K1170="","",COUNTIFS(LdgPartyA,$F1170,LdgKeyA,"&lt;"&amp;$K1170)+COUNTIFS(LdgPartyB,$F1170,LdgKeyB,"&lt;"&amp;$K1170)+1)</f>
        <v/>
      </c>
      <c r="M1170">
        <f>IF($L1170="","",$F1170&amp;"|"&amp;RIGHT("000000"&amp;$L1170,6))</f>
        <v/>
      </c>
      <c r="N1170">
        <f>IF($F1170="","",IF(Sync!$AH1170="","0000",IF(AND(ISNUMBER(Sync!$AH1170),Sync!$AH1170&gt;=0,Sync!$AH1170&lt;1),RIGHT("00"&amp;HOUR(Sync!$AH1170),2)&amp;RIGHT("00"&amp;MINUTE(Sync!$AH1170),2),IFERROR(RIGHT("00"&amp;VALUE(LEFT(Sync!$AH1170,FIND(":",Sync!$AH1170)-1)),2)&amp;RIGHT("00"&amp;VALUE(MID(Sync!$AH1170,FIND(":",Sync!$AH1170)+1,2)),2),"0000"))))</f>
        <v/>
      </c>
    </row>
    <row r="1171">
      <c r="A1171">
        <f>IF(OR(Calc!$E1174="",Calc!$E1174="نامعتبر",Calc!$G1174="",Calc!$I1174&lt;&gt;"خرید"),"",Calc!$G1174)</f>
        <v/>
      </c>
      <c r="B1171">
        <f>IF($A1171="","",LEFT(Calc!$E1174,4)&amp;MID(Calc!$E1174,6,2)&amp;RIGHT(Calc!$E1174,2)&amp;Calc!$R1174&amp;"|"&amp;"1"&amp;RIGHT("00000"&amp;1166,5))</f>
        <v/>
      </c>
      <c r="C1171">
        <f>IF($B1171="","",COUNTIFS(LdgPartyA,$A1171,LdgKeyA,"&lt;"&amp;$B1171)+COUNTIFS(LdgPartyB,$A1171,LdgKeyB,"&lt;"&amp;$B1171)+1)</f>
        <v/>
      </c>
      <c r="D1171">
        <f>IF($C1171="","",$A1171&amp;"|"&amp;RIGHT("000000"&amp;$C1171,6))</f>
        <v/>
      </c>
      <c r="F1171">
        <f>IF(Sync!$AJ1171="","",Sync!$AJ1171)</f>
        <v/>
      </c>
      <c r="G1171">
        <f>IF($F1171="","",IF(Sync!$AG1171="","",IF(ISNUMBER(Sync!$AG1171),IF(AND(Sync!$AG1171&gt;=10000101,Sync!$AG1171&lt;=99991231),INT(Sync!$AG1171/10000),""),IFERROR(VALUE(TRIM(LEFT(Sync!$AG1171,FIND("/",Sync!$AG1171)-1))),""))))</f>
        <v/>
      </c>
      <c r="H1171">
        <f>IF(OR($F1171="",$G1171=""),"",IF(ISNUMBER(Sync!$AG1171),INT(MOD(Sync!$AG1171,10000)/100),IFERROR(VALUE(TRIM(LEFT(MID(Sync!$AG1171,FIND("/",Sync!$AG1171)+1,20),FIND("/",MID(Sync!$AG1171,FIND("/",Sync!$AG1171)+1,20))-1))),"")))</f>
        <v/>
      </c>
      <c r="I1171">
        <f>IF(OR($F1171="",$G1171=""),"",IF(ISNUMBER(Sync!$AG1171),MOD(Sync!$AG1171,100),IFERROR(VALUE(TRIM(MID(MID(Sync!$AG1171,FIND("/",Sync!$AG1171)+1,20),FIND("/",MID(Sync!$AG1171,FIND("/",Sync!$AG1171)+1,20))+1,20))),"")))</f>
        <v/>
      </c>
      <c r="J1171">
        <f>IF($F1171="","",IF(OR($G1171="",$H1171="",$I1171="",$G1171&lt;1300,$G1171&gt;1500,$H1171&lt;1,$H1171&gt;12,$I1171&lt;1,$I1171&gt;31),"نامعتبر",RIGHT("0000"&amp;$G1171,4)&amp;"/"&amp;RIGHT("00"&amp;$H1171,2)&amp;"/"&amp;RIGHT("00"&amp;$I1171,2)))</f>
        <v/>
      </c>
      <c r="K1171">
        <f>IF(OR($F1171="",$J1171="",$J1171="نامعتبر"),"",LEFT($J1171,4)&amp;MID($J1171,6,2)&amp;RIGHT($J1171,2)&amp;$N1171&amp;"|"&amp;"2"&amp;RIGHT("00000"&amp;1166,5))</f>
        <v/>
      </c>
      <c r="L1171">
        <f>IF($K1171="","",COUNTIFS(LdgPartyA,$F1171,LdgKeyA,"&lt;"&amp;$K1171)+COUNTIFS(LdgPartyB,$F1171,LdgKeyB,"&lt;"&amp;$K1171)+1)</f>
        <v/>
      </c>
      <c r="M1171">
        <f>IF($L1171="","",$F1171&amp;"|"&amp;RIGHT("000000"&amp;$L1171,6))</f>
        <v/>
      </c>
      <c r="N1171">
        <f>IF($F1171="","",IF(Sync!$AH1171="","0000",IF(AND(ISNUMBER(Sync!$AH1171),Sync!$AH1171&gt;=0,Sync!$AH1171&lt;1),RIGHT("00"&amp;HOUR(Sync!$AH1171),2)&amp;RIGHT("00"&amp;MINUTE(Sync!$AH1171),2),IFERROR(RIGHT("00"&amp;VALUE(LEFT(Sync!$AH1171,FIND(":",Sync!$AH1171)-1)),2)&amp;RIGHT("00"&amp;VALUE(MID(Sync!$AH1171,FIND(":",Sync!$AH1171)+1,2)),2),"0000"))))</f>
        <v/>
      </c>
    </row>
    <row r="1172">
      <c r="A1172">
        <f>IF(OR(Calc!$E1175="",Calc!$E1175="نامعتبر",Calc!$G1175="",Calc!$I1175&lt;&gt;"خرید"),"",Calc!$G1175)</f>
        <v/>
      </c>
      <c r="B1172">
        <f>IF($A1172="","",LEFT(Calc!$E1175,4)&amp;MID(Calc!$E1175,6,2)&amp;RIGHT(Calc!$E1175,2)&amp;Calc!$R1175&amp;"|"&amp;"1"&amp;RIGHT("00000"&amp;1167,5))</f>
        <v/>
      </c>
      <c r="C1172">
        <f>IF($B1172="","",COUNTIFS(LdgPartyA,$A1172,LdgKeyA,"&lt;"&amp;$B1172)+COUNTIFS(LdgPartyB,$A1172,LdgKeyB,"&lt;"&amp;$B1172)+1)</f>
        <v/>
      </c>
      <c r="D1172">
        <f>IF($C1172="","",$A1172&amp;"|"&amp;RIGHT("000000"&amp;$C1172,6))</f>
        <v/>
      </c>
      <c r="F1172">
        <f>IF(Sync!$AJ1172="","",Sync!$AJ1172)</f>
        <v/>
      </c>
      <c r="G1172">
        <f>IF($F1172="","",IF(Sync!$AG1172="","",IF(ISNUMBER(Sync!$AG1172),IF(AND(Sync!$AG1172&gt;=10000101,Sync!$AG1172&lt;=99991231),INT(Sync!$AG1172/10000),""),IFERROR(VALUE(TRIM(LEFT(Sync!$AG1172,FIND("/",Sync!$AG1172)-1))),""))))</f>
        <v/>
      </c>
      <c r="H1172">
        <f>IF(OR($F1172="",$G1172=""),"",IF(ISNUMBER(Sync!$AG1172),INT(MOD(Sync!$AG1172,10000)/100),IFERROR(VALUE(TRIM(LEFT(MID(Sync!$AG1172,FIND("/",Sync!$AG1172)+1,20),FIND("/",MID(Sync!$AG1172,FIND("/",Sync!$AG1172)+1,20))-1))),"")))</f>
        <v/>
      </c>
      <c r="I1172">
        <f>IF(OR($F1172="",$G1172=""),"",IF(ISNUMBER(Sync!$AG1172),MOD(Sync!$AG1172,100),IFERROR(VALUE(TRIM(MID(MID(Sync!$AG1172,FIND("/",Sync!$AG1172)+1,20),FIND("/",MID(Sync!$AG1172,FIND("/",Sync!$AG1172)+1,20))+1,20))),"")))</f>
        <v/>
      </c>
      <c r="J1172">
        <f>IF($F1172="","",IF(OR($G1172="",$H1172="",$I1172="",$G1172&lt;1300,$G1172&gt;1500,$H1172&lt;1,$H1172&gt;12,$I1172&lt;1,$I1172&gt;31),"نامعتبر",RIGHT("0000"&amp;$G1172,4)&amp;"/"&amp;RIGHT("00"&amp;$H1172,2)&amp;"/"&amp;RIGHT("00"&amp;$I1172,2)))</f>
        <v/>
      </c>
      <c r="K1172">
        <f>IF(OR($F1172="",$J1172="",$J1172="نامعتبر"),"",LEFT($J1172,4)&amp;MID($J1172,6,2)&amp;RIGHT($J1172,2)&amp;$N1172&amp;"|"&amp;"2"&amp;RIGHT("00000"&amp;1167,5))</f>
        <v/>
      </c>
      <c r="L1172">
        <f>IF($K1172="","",COUNTIFS(LdgPartyA,$F1172,LdgKeyA,"&lt;"&amp;$K1172)+COUNTIFS(LdgPartyB,$F1172,LdgKeyB,"&lt;"&amp;$K1172)+1)</f>
        <v/>
      </c>
      <c r="M1172">
        <f>IF($L1172="","",$F1172&amp;"|"&amp;RIGHT("000000"&amp;$L1172,6))</f>
        <v/>
      </c>
      <c r="N1172">
        <f>IF($F1172="","",IF(Sync!$AH1172="","0000",IF(AND(ISNUMBER(Sync!$AH1172),Sync!$AH1172&gt;=0,Sync!$AH1172&lt;1),RIGHT("00"&amp;HOUR(Sync!$AH1172),2)&amp;RIGHT("00"&amp;MINUTE(Sync!$AH1172),2),IFERROR(RIGHT("00"&amp;VALUE(LEFT(Sync!$AH1172,FIND(":",Sync!$AH1172)-1)),2)&amp;RIGHT("00"&amp;VALUE(MID(Sync!$AH1172,FIND(":",Sync!$AH1172)+1,2)),2),"0000"))))</f>
        <v/>
      </c>
    </row>
    <row r="1173">
      <c r="A1173">
        <f>IF(OR(Calc!$E1176="",Calc!$E1176="نامعتبر",Calc!$G1176="",Calc!$I1176&lt;&gt;"خرید"),"",Calc!$G1176)</f>
        <v/>
      </c>
      <c r="B1173">
        <f>IF($A1173="","",LEFT(Calc!$E1176,4)&amp;MID(Calc!$E1176,6,2)&amp;RIGHT(Calc!$E1176,2)&amp;Calc!$R1176&amp;"|"&amp;"1"&amp;RIGHT("00000"&amp;1168,5))</f>
        <v/>
      </c>
      <c r="C1173">
        <f>IF($B1173="","",COUNTIFS(LdgPartyA,$A1173,LdgKeyA,"&lt;"&amp;$B1173)+COUNTIFS(LdgPartyB,$A1173,LdgKeyB,"&lt;"&amp;$B1173)+1)</f>
        <v/>
      </c>
      <c r="D1173">
        <f>IF($C1173="","",$A1173&amp;"|"&amp;RIGHT("000000"&amp;$C1173,6))</f>
        <v/>
      </c>
      <c r="F1173">
        <f>IF(Sync!$AJ1173="","",Sync!$AJ1173)</f>
        <v/>
      </c>
      <c r="G1173">
        <f>IF($F1173="","",IF(Sync!$AG1173="","",IF(ISNUMBER(Sync!$AG1173),IF(AND(Sync!$AG1173&gt;=10000101,Sync!$AG1173&lt;=99991231),INT(Sync!$AG1173/10000),""),IFERROR(VALUE(TRIM(LEFT(Sync!$AG1173,FIND("/",Sync!$AG1173)-1))),""))))</f>
        <v/>
      </c>
      <c r="H1173">
        <f>IF(OR($F1173="",$G1173=""),"",IF(ISNUMBER(Sync!$AG1173),INT(MOD(Sync!$AG1173,10000)/100),IFERROR(VALUE(TRIM(LEFT(MID(Sync!$AG1173,FIND("/",Sync!$AG1173)+1,20),FIND("/",MID(Sync!$AG1173,FIND("/",Sync!$AG1173)+1,20))-1))),"")))</f>
        <v/>
      </c>
      <c r="I1173">
        <f>IF(OR($F1173="",$G1173=""),"",IF(ISNUMBER(Sync!$AG1173),MOD(Sync!$AG1173,100),IFERROR(VALUE(TRIM(MID(MID(Sync!$AG1173,FIND("/",Sync!$AG1173)+1,20),FIND("/",MID(Sync!$AG1173,FIND("/",Sync!$AG1173)+1,20))+1,20))),"")))</f>
        <v/>
      </c>
      <c r="J1173">
        <f>IF($F1173="","",IF(OR($G1173="",$H1173="",$I1173="",$G1173&lt;1300,$G1173&gt;1500,$H1173&lt;1,$H1173&gt;12,$I1173&lt;1,$I1173&gt;31),"نامعتبر",RIGHT("0000"&amp;$G1173,4)&amp;"/"&amp;RIGHT("00"&amp;$H1173,2)&amp;"/"&amp;RIGHT("00"&amp;$I1173,2)))</f>
        <v/>
      </c>
      <c r="K1173">
        <f>IF(OR($F1173="",$J1173="",$J1173="نامعتبر"),"",LEFT($J1173,4)&amp;MID($J1173,6,2)&amp;RIGHT($J1173,2)&amp;$N1173&amp;"|"&amp;"2"&amp;RIGHT("00000"&amp;1168,5))</f>
        <v/>
      </c>
      <c r="L1173">
        <f>IF($K1173="","",COUNTIFS(LdgPartyA,$F1173,LdgKeyA,"&lt;"&amp;$K1173)+COUNTIFS(LdgPartyB,$F1173,LdgKeyB,"&lt;"&amp;$K1173)+1)</f>
        <v/>
      </c>
      <c r="M1173">
        <f>IF($L1173="","",$F1173&amp;"|"&amp;RIGHT("000000"&amp;$L1173,6))</f>
        <v/>
      </c>
      <c r="N1173">
        <f>IF($F1173="","",IF(Sync!$AH1173="","0000",IF(AND(ISNUMBER(Sync!$AH1173),Sync!$AH1173&gt;=0,Sync!$AH1173&lt;1),RIGHT("00"&amp;HOUR(Sync!$AH1173),2)&amp;RIGHT("00"&amp;MINUTE(Sync!$AH1173),2),IFERROR(RIGHT("00"&amp;VALUE(LEFT(Sync!$AH1173,FIND(":",Sync!$AH1173)-1)),2)&amp;RIGHT("00"&amp;VALUE(MID(Sync!$AH1173,FIND(":",Sync!$AH1173)+1,2)),2),"0000"))))</f>
        <v/>
      </c>
    </row>
    <row r="1174">
      <c r="A1174">
        <f>IF(OR(Calc!$E1177="",Calc!$E1177="نامعتبر",Calc!$G1177="",Calc!$I1177&lt;&gt;"خرید"),"",Calc!$G1177)</f>
        <v/>
      </c>
      <c r="B1174">
        <f>IF($A1174="","",LEFT(Calc!$E1177,4)&amp;MID(Calc!$E1177,6,2)&amp;RIGHT(Calc!$E1177,2)&amp;Calc!$R1177&amp;"|"&amp;"1"&amp;RIGHT("00000"&amp;1169,5))</f>
        <v/>
      </c>
      <c r="C1174">
        <f>IF($B1174="","",COUNTIFS(LdgPartyA,$A1174,LdgKeyA,"&lt;"&amp;$B1174)+COUNTIFS(LdgPartyB,$A1174,LdgKeyB,"&lt;"&amp;$B1174)+1)</f>
        <v/>
      </c>
      <c r="D1174">
        <f>IF($C1174="","",$A1174&amp;"|"&amp;RIGHT("000000"&amp;$C1174,6))</f>
        <v/>
      </c>
      <c r="F1174">
        <f>IF(Sync!$AJ1174="","",Sync!$AJ1174)</f>
        <v/>
      </c>
      <c r="G1174">
        <f>IF($F1174="","",IF(Sync!$AG1174="","",IF(ISNUMBER(Sync!$AG1174),IF(AND(Sync!$AG1174&gt;=10000101,Sync!$AG1174&lt;=99991231),INT(Sync!$AG1174/10000),""),IFERROR(VALUE(TRIM(LEFT(Sync!$AG1174,FIND("/",Sync!$AG1174)-1))),""))))</f>
        <v/>
      </c>
      <c r="H1174">
        <f>IF(OR($F1174="",$G1174=""),"",IF(ISNUMBER(Sync!$AG1174),INT(MOD(Sync!$AG1174,10000)/100),IFERROR(VALUE(TRIM(LEFT(MID(Sync!$AG1174,FIND("/",Sync!$AG1174)+1,20),FIND("/",MID(Sync!$AG1174,FIND("/",Sync!$AG1174)+1,20))-1))),"")))</f>
        <v/>
      </c>
      <c r="I1174">
        <f>IF(OR($F1174="",$G1174=""),"",IF(ISNUMBER(Sync!$AG1174),MOD(Sync!$AG1174,100),IFERROR(VALUE(TRIM(MID(MID(Sync!$AG1174,FIND("/",Sync!$AG1174)+1,20),FIND("/",MID(Sync!$AG1174,FIND("/",Sync!$AG1174)+1,20))+1,20))),"")))</f>
        <v/>
      </c>
      <c r="J1174">
        <f>IF($F1174="","",IF(OR($G1174="",$H1174="",$I1174="",$G1174&lt;1300,$G1174&gt;1500,$H1174&lt;1,$H1174&gt;12,$I1174&lt;1,$I1174&gt;31),"نامعتبر",RIGHT("0000"&amp;$G1174,4)&amp;"/"&amp;RIGHT("00"&amp;$H1174,2)&amp;"/"&amp;RIGHT("00"&amp;$I1174,2)))</f>
        <v/>
      </c>
      <c r="K1174">
        <f>IF(OR($F1174="",$J1174="",$J1174="نامعتبر"),"",LEFT($J1174,4)&amp;MID($J1174,6,2)&amp;RIGHT($J1174,2)&amp;$N1174&amp;"|"&amp;"2"&amp;RIGHT("00000"&amp;1169,5))</f>
        <v/>
      </c>
      <c r="L1174">
        <f>IF($K1174="","",COUNTIFS(LdgPartyA,$F1174,LdgKeyA,"&lt;"&amp;$K1174)+COUNTIFS(LdgPartyB,$F1174,LdgKeyB,"&lt;"&amp;$K1174)+1)</f>
        <v/>
      </c>
      <c r="M1174">
        <f>IF($L1174="","",$F1174&amp;"|"&amp;RIGHT("000000"&amp;$L1174,6))</f>
        <v/>
      </c>
      <c r="N1174">
        <f>IF($F1174="","",IF(Sync!$AH1174="","0000",IF(AND(ISNUMBER(Sync!$AH1174),Sync!$AH1174&gt;=0,Sync!$AH1174&lt;1),RIGHT("00"&amp;HOUR(Sync!$AH1174),2)&amp;RIGHT("00"&amp;MINUTE(Sync!$AH1174),2),IFERROR(RIGHT("00"&amp;VALUE(LEFT(Sync!$AH1174,FIND(":",Sync!$AH1174)-1)),2)&amp;RIGHT("00"&amp;VALUE(MID(Sync!$AH1174,FIND(":",Sync!$AH1174)+1,2)),2),"0000"))))</f>
        <v/>
      </c>
    </row>
    <row r="1175">
      <c r="A1175">
        <f>IF(OR(Calc!$E1178="",Calc!$E1178="نامعتبر",Calc!$G1178="",Calc!$I1178&lt;&gt;"خرید"),"",Calc!$G1178)</f>
        <v/>
      </c>
      <c r="B1175">
        <f>IF($A1175="","",LEFT(Calc!$E1178,4)&amp;MID(Calc!$E1178,6,2)&amp;RIGHT(Calc!$E1178,2)&amp;Calc!$R1178&amp;"|"&amp;"1"&amp;RIGHT("00000"&amp;1170,5))</f>
        <v/>
      </c>
      <c r="C1175">
        <f>IF($B1175="","",COUNTIFS(LdgPartyA,$A1175,LdgKeyA,"&lt;"&amp;$B1175)+COUNTIFS(LdgPartyB,$A1175,LdgKeyB,"&lt;"&amp;$B1175)+1)</f>
        <v/>
      </c>
      <c r="D1175">
        <f>IF($C1175="","",$A1175&amp;"|"&amp;RIGHT("000000"&amp;$C1175,6))</f>
        <v/>
      </c>
      <c r="F1175">
        <f>IF(Sync!$AJ1175="","",Sync!$AJ1175)</f>
        <v/>
      </c>
      <c r="G1175">
        <f>IF($F1175="","",IF(Sync!$AG1175="","",IF(ISNUMBER(Sync!$AG1175),IF(AND(Sync!$AG1175&gt;=10000101,Sync!$AG1175&lt;=99991231),INT(Sync!$AG1175/10000),""),IFERROR(VALUE(TRIM(LEFT(Sync!$AG1175,FIND("/",Sync!$AG1175)-1))),""))))</f>
        <v/>
      </c>
      <c r="H1175">
        <f>IF(OR($F1175="",$G1175=""),"",IF(ISNUMBER(Sync!$AG1175),INT(MOD(Sync!$AG1175,10000)/100),IFERROR(VALUE(TRIM(LEFT(MID(Sync!$AG1175,FIND("/",Sync!$AG1175)+1,20),FIND("/",MID(Sync!$AG1175,FIND("/",Sync!$AG1175)+1,20))-1))),"")))</f>
        <v/>
      </c>
      <c r="I1175">
        <f>IF(OR($F1175="",$G1175=""),"",IF(ISNUMBER(Sync!$AG1175),MOD(Sync!$AG1175,100),IFERROR(VALUE(TRIM(MID(MID(Sync!$AG1175,FIND("/",Sync!$AG1175)+1,20),FIND("/",MID(Sync!$AG1175,FIND("/",Sync!$AG1175)+1,20))+1,20))),"")))</f>
        <v/>
      </c>
      <c r="J1175">
        <f>IF($F1175="","",IF(OR($G1175="",$H1175="",$I1175="",$G1175&lt;1300,$G1175&gt;1500,$H1175&lt;1,$H1175&gt;12,$I1175&lt;1,$I1175&gt;31),"نامعتبر",RIGHT("0000"&amp;$G1175,4)&amp;"/"&amp;RIGHT("00"&amp;$H1175,2)&amp;"/"&amp;RIGHT("00"&amp;$I1175,2)))</f>
        <v/>
      </c>
      <c r="K1175">
        <f>IF(OR($F1175="",$J1175="",$J1175="نامعتبر"),"",LEFT($J1175,4)&amp;MID($J1175,6,2)&amp;RIGHT($J1175,2)&amp;$N1175&amp;"|"&amp;"2"&amp;RIGHT("00000"&amp;1170,5))</f>
        <v/>
      </c>
      <c r="L1175">
        <f>IF($K1175="","",COUNTIFS(LdgPartyA,$F1175,LdgKeyA,"&lt;"&amp;$K1175)+COUNTIFS(LdgPartyB,$F1175,LdgKeyB,"&lt;"&amp;$K1175)+1)</f>
        <v/>
      </c>
      <c r="M1175">
        <f>IF($L1175="","",$F1175&amp;"|"&amp;RIGHT("000000"&amp;$L1175,6))</f>
        <v/>
      </c>
      <c r="N1175">
        <f>IF($F1175="","",IF(Sync!$AH1175="","0000",IF(AND(ISNUMBER(Sync!$AH1175),Sync!$AH1175&gt;=0,Sync!$AH1175&lt;1),RIGHT("00"&amp;HOUR(Sync!$AH1175),2)&amp;RIGHT("00"&amp;MINUTE(Sync!$AH1175),2),IFERROR(RIGHT("00"&amp;VALUE(LEFT(Sync!$AH1175,FIND(":",Sync!$AH1175)-1)),2)&amp;RIGHT("00"&amp;VALUE(MID(Sync!$AH1175,FIND(":",Sync!$AH1175)+1,2)),2),"0000"))))</f>
        <v/>
      </c>
    </row>
    <row r="1176">
      <c r="A1176">
        <f>IF(OR(Calc!$E1179="",Calc!$E1179="نامعتبر",Calc!$G1179="",Calc!$I1179&lt;&gt;"خرید"),"",Calc!$G1179)</f>
        <v/>
      </c>
      <c r="B1176">
        <f>IF($A1176="","",LEFT(Calc!$E1179,4)&amp;MID(Calc!$E1179,6,2)&amp;RIGHT(Calc!$E1179,2)&amp;Calc!$R1179&amp;"|"&amp;"1"&amp;RIGHT("00000"&amp;1171,5))</f>
        <v/>
      </c>
      <c r="C1176">
        <f>IF($B1176="","",COUNTIFS(LdgPartyA,$A1176,LdgKeyA,"&lt;"&amp;$B1176)+COUNTIFS(LdgPartyB,$A1176,LdgKeyB,"&lt;"&amp;$B1176)+1)</f>
        <v/>
      </c>
      <c r="D1176">
        <f>IF($C1176="","",$A1176&amp;"|"&amp;RIGHT("000000"&amp;$C1176,6))</f>
        <v/>
      </c>
      <c r="F1176">
        <f>IF(Sync!$AJ1176="","",Sync!$AJ1176)</f>
        <v/>
      </c>
      <c r="G1176">
        <f>IF($F1176="","",IF(Sync!$AG1176="","",IF(ISNUMBER(Sync!$AG1176),IF(AND(Sync!$AG1176&gt;=10000101,Sync!$AG1176&lt;=99991231),INT(Sync!$AG1176/10000),""),IFERROR(VALUE(TRIM(LEFT(Sync!$AG1176,FIND("/",Sync!$AG1176)-1))),""))))</f>
        <v/>
      </c>
      <c r="H1176">
        <f>IF(OR($F1176="",$G1176=""),"",IF(ISNUMBER(Sync!$AG1176),INT(MOD(Sync!$AG1176,10000)/100),IFERROR(VALUE(TRIM(LEFT(MID(Sync!$AG1176,FIND("/",Sync!$AG1176)+1,20),FIND("/",MID(Sync!$AG1176,FIND("/",Sync!$AG1176)+1,20))-1))),"")))</f>
        <v/>
      </c>
      <c r="I1176">
        <f>IF(OR($F1176="",$G1176=""),"",IF(ISNUMBER(Sync!$AG1176),MOD(Sync!$AG1176,100),IFERROR(VALUE(TRIM(MID(MID(Sync!$AG1176,FIND("/",Sync!$AG1176)+1,20),FIND("/",MID(Sync!$AG1176,FIND("/",Sync!$AG1176)+1,20))+1,20))),"")))</f>
        <v/>
      </c>
      <c r="J1176">
        <f>IF($F1176="","",IF(OR($G1176="",$H1176="",$I1176="",$G1176&lt;1300,$G1176&gt;1500,$H1176&lt;1,$H1176&gt;12,$I1176&lt;1,$I1176&gt;31),"نامعتبر",RIGHT("0000"&amp;$G1176,4)&amp;"/"&amp;RIGHT("00"&amp;$H1176,2)&amp;"/"&amp;RIGHT("00"&amp;$I1176,2)))</f>
        <v/>
      </c>
      <c r="K1176">
        <f>IF(OR($F1176="",$J1176="",$J1176="نامعتبر"),"",LEFT($J1176,4)&amp;MID($J1176,6,2)&amp;RIGHT($J1176,2)&amp;$N1176&amp;"|"&amp;"2"&amp;RIGHT("00000"&amp;1171,5))</f>
        <v/>
      </c>
      <c r="L1176">
        <f>IF($K1176="","",COUNTIFS(LdgPartyA,$F1176,LdgKeyA,"&lt;"&amp;$K1176)+COUNTIFS(LdgPartyB,$F1176,LdgKeyB,"&lt;"&amp;$K1176)+1)</f>
        <v/>
      </c>
      <c r="M1176">
        <f>IF($L1176="","",$F1176&amp;"|"&amp;RIGHT("000000"&amp;$L1176,6))</f>
        <v/>
      </c>
      <c r="N1176">
        <f>IF($F1176="","",IF(Sync!$AH1176="","0000",IF(AND(ISNUMBER(Sync!$AH1176),Sync!$AH1176&gt;=0,Sync!$AH1176&lt;1),RIGHT("00"&amp;HOUR(Sync!$AH1176),2)&amp;RIGHT("00"&amp;MINUTE(Sync!$AH1176),2),IFERROR(RIGHT("00"&amp;VALUE(LEFT(Sync!$AH1176,FIND(":",Sync!$AH1176)-1)),2)&amp;RIGHT("00"&amp;VALUE(MID(Sync!$AH1176,FIND(":",Sync!$AH1176)+1,2)),2),"0000"))))</f>
        <v/>
      </c>
    </row>
    <row r="1177">
      <c r="A1177">
        <f>IF(OR(Calc!$E1180="",Calc!$E1180="نامعتبر",Calc!$G1180="",Calc!$I1180&lt;&gt;"خرید"),"",Calc!$G1180)</f>
        <v/>
      </c>
      <c r="B1177">
        <f>IF($A1177="","",LEFT(Calc!$E1180,4)&amp;MID(Calc!$E1180,6,2)&amp;RIGHT(Calc!$E1180,2)&amp;Calc!$R1180&amp;"|"&amp;"1"&amp;RIGHT("00000"&amp;1172,5))</f>
        <v/>
      </c>
      <c r="C1177">
        <f>IF($B1177="","",COUNTIFS(LdgPartyA,$A1177,LdgKeyA,"&lt;"&amp;$B1177)+COUNTIFS(LdgPartyB,$A1177,LdgKeyB,"&lt;"&amp;$B1177)+1)</f>
        <v/>
      </c>
      <c r="D1177">
        <f>IF($C1177="","",$A1177&amp;"|"&amp;RIGHT("000000"&amp;$C1177,6))</f>
        <v/>
      </c>
      <c r="F1177">
        <f>IF(Sync!$AJ1177="","",Sync!$AJ1177)</f>
        <v/>
      </c>
      <c r="G1177">
        <f>IF($F1177="","",IF(Sync!$AG1177="","",IF(ISNUMBER(Sync!$AG1177),IF(AND(Sync!$AG1177&gt;=10000101,Sync!$AG1177&lt;=99991231),INT(Sync!$AG1177/10000),""),IFERROR(VALUE(TRIM(LEFT(Sync!$AG1177,FIND("/",Sync!$AG1177)-1))),""))))</f>
        <v/>
      </c>
      <c r="H1177">
        <f>IF(OR($F1177="",$G1177=""),"",IF(ISNUMBER(Sync!$AG1177),INT(MOD(Sync!$AG1177,10000)/100),IFERROR(VALUE(TRIM(LEFT(MID(Sync!$AG1177,FIND("/",Sync!$AG1177)+1,20),FIND("/",MID(Sync!$AG1177,FIND("/",Sync!$AG1177)+1,20))-1))),"")))</f>
        <v/>
      </c>
      <c r="I1177">
        <f>IF(OR($F1177="",$G1177=""),"",IF(ISNUMBER(Sync!$AG1177),MOD(Sync!$AG1177,100),IFERROR(VALUE(TRIM(MID(MID(Sync!$AG1177,FIND("/",Sync!$AG1177)+1,20),FIND("/",MID(Sync!$AG1177,FIND("/",Sync!$AG1177)+1,20))+1,20))),"")))</f>
        <v/>
      </c>
      <c r="J1177">
        <f>IF($F1177="","",IF(OR($G1177="",$H1177="",$I1177="",$G1177&lt;1300,$G1177&gt;1500,$H1177&lt;1,$H1177&gt;12,$I1177&lt;1,$I1177&gt;31),"نامعتبر",RIGHT("0000"&amp;$G1177,4)&amp;"/"&amp;RIGHT("00"&amp;$H1177,2)&amp;"/"&amp;RIGHT("00"&amp;$I1177,2)))</f>
        <v/>
      </c>
      <c r="K1177">
        <f>IF(OR($F1177="",$J1177="",$J1177="نامعتبر"),"",LEFT($J1177,4)&amp;MID($J1177,6,2)&amp;RIGHT($J1177,2)&amp;$N1177&amp;"|"&amp;"2"&amp;RIGHT("00000"&amp;1172,5))</f>
        <v/>
      </c>
      <c r="L1177">
        <f>IF($K1177="","",COUNTIFS(LdgPartyA,$F1177,LdgKeyA,"&lt;"&amp;$K1177)+COUNTIFS(LdgPartyB,$F1177,LdgKeyB,"&lt;"&amp;$K1177)+1)</f>
        <v/>
      </c>
      <c r="M1177">
        <f>IF($L1177="","",$F1177&amp;"|"&amp;RIGHT("000000"&amp;$L1177,6))</f>
        <v/>
      </c>
      <c r="N1177">
        <f>IF($F1177="","",IF(Sync!$AH1177="","0000",IF(AND(ISNUMBER(Sync!$AH1177),Sync!$AH1177&gt;=0,Sync!$AH1177&lt;1),RIGHT("00"&amp;HOUR(Sync!$AH1177),2)&amp;RIGHT("00"&amp;MINUTE(Sync!$AH1177),2),IFERROR(RIGHT("00"&amp;VALUE(LEFT(Sync!$AH1177,FIND(":",Sync!$AH1177)-1)),2)&amp;RIGHT("00"&amp;VALUE(MID(Sync!$AH1177,FIND(":",Sync!$AH1177)+1,2)),2),"0000"))))</f>
        <v/>
      </c>
    </row>
    <row r="1178">
      <c r="A1178">
        <f>IF(OR(Calc!$E1181="",Calc!$E1181="نامعتبر",Calc!$G1181="",Calc!$I1181&lt;&gt;"خرید"),"",Calc!$G1181)</f>
        <v/>
      </c>
      <c r="B1178">
        <f>IF($A1178="","",LEFT(Calc!$E1181,4)&amp;MID(Calc!$E1181,6,2)&amp;RIGHT(Calc!$E1181,2)&amp;Calc!$R1181&amp;"|"&amp;"1"&amp;RIGHT("00000"&amp;1173,5))</f>
        <v/>
      </c>
      <c r="C1178">
        <f>IF($B1178="","",COUNTIFS(LdgPartyA,$A1178,LdgKeyA,"&lt;"&amp;$B1178)+COUNTIFS(LdgPartyB,$A1178,LdgKeyB,"&lt;"&amp;$B1178)+1)</f>
        <v/>
      </c>
      <c r="D1178">
        <f>IF($C1178="","",$A1178&amp;"|"&amp;RIGHT("000000"&amp;$C1178,6))</f>
        <v/>
      </c>
      <c r="F1178">
        <f>IF(Sync!$AJ1178="","",Sync!$AJ1178)</f>
        <v/>
      </c>
      <c r="G1178">
        <f>IF($F1178="","",IF(Sync!$AG1178="","",IF(ISNUMBER(Sync!$AG1178),IF(AND(Sync!$AG1178&gt;=10000101,Sync!$AG1178&lt;=99991231),INT(Sync!$AG1178/10000),""),IFERROR(VALUE(TRIM(LEFT(Sync!$AG1178,FIND("/",Sync!$AG1178)-1))),""))))</f>
        <v/>
      </c>
      <c r="H1178">
        <f>IF(OR($F1178="",$G1178=""),"",IF(ISNUMBER(Sync!$AG1178),INT(MOD(Sync!$AG1178,10000)/100),IFERROR(VALUE(TRIM(LEFT(MID(Sync!$AG1178,FIND("/",Sync!$AG1178)+1,20),FIND("/",MID(Sync!$AG1178,FIND("/",Sync!$AG1178)+1,20))-1))),"")))</f>
        <v/>
      </c>
      <c r="I1178">
        <f>IF(OR($F1178="",$G1178=""),"",IF(ISNUMBER(Sync!$AG1178),MOD(Sync!$AG1178,100),IFERROR(VALUE(TRIM(MID(MID(Sync!$AG1178,FIND("/",Sync!$AG1178)+1,20),FIND("/",MID(Sync!$AG1178,FIND("/",Sync!$AG1178)+1,20))+1,20))),"")))</f>
        <v/>
      </c>
      <c r="J1178">
        <f>IF($F1178="","",IF(OR($G1178="",$H1178="",$I1178="",$G1178&lt;1300,$G1178&gt;1500,$H1178&lt;1,$H1178&gt;12,$I1178&lt;1,$I1178&gt;31),"نامعتبر",RIGHT("0000"&amp;$G1178,4)&amp;"/"&amp;RIGHT("00"&amp;$H1178,2)&amp;"/"&amp;RIGHT("00"&amp;$I1178,2)))</f>
        <v/>
      </c>
      <c r="K1178">
        <f>IF(OR($F1178="",$J1178="",$J1178="نامعتبر"),"",LEFT($J1178,4)&amp;MID($J1178,6,2)&amp;RIGHT($J1178,2)&amp;$N1178&amp;"|"&amp;"2"&amp;RIGHT("00000"&amp;1173,5))</f>
        <v/>
      </c>
      <c r="L1178">
        <f>IF($K1178="","",COUNTIFS(LdgPartyA,$F1178,LdgKeyA,"&lt;"&amp;$K1178)+COUNTIFS(LdgPartyB,$F1178,LdgKeyB,"&lt;"&amp;$K1178)+1)</f>
        <v/>
      </c>
      <c r="M1178">
        <f>IF($L1178="","",$F1178&amp;"|"&amp;RIGHT("000000"&amp;$L1178,6))</f>
        <v/>
      </c>
      <c r="N1178">
        <f>IF($F1178="","",IF(Sync!$AH1178="","0000",IF(AND(ISNUMBER(Sync!$AH1178),Sync!$AH1178&gt;=0,Sync!$AH1178&lt;1),RIGHT("00"&amp;HOUR(Sync!$AH1178),2)&amp;RIGHT("00"&amp;MINUTE(Sync!$AH1178),2),IFERROR(RIGHT("00"&amp;VALUE(LEFT(Sync!$AH1178,FIND(":",Sync!$AH1178)-1)),2)&amp;RIGHT("00"&amp;VALUE(MID(Sync!$AH1178,FIND(":",Sync!$AH1178)+1,2)),2),"0000"))))</f>
        <v/>
      </c>
    </row>
    <row r="1179">
      <c r="A1179">
        <f>IF(OR(Calc!$E1182="",Calc!$E1182="نامعتبر",Calc!$G1182="",Calc!$I1182&lt;&gt;"خرید"),"",Calc!$G1182)</f>
        <v/>
      </c>
      <c r="B1179">
        <f>IF($A1179="","",LEFT(Calc!$E1182,4)&amp;MID(Calc!$E1182,6,2)&amp;RIGHT(Calc!$E1182,2)&amp;Calc!$R1182&amp;"|"&amp;"1"&amp;RIGHT("00000"&amp;1174,5))</f>
        <v/>
      </c>
      <c r="C1179">
        <f>IF($B1179="","",COUNTIFS(LdgPartyA,$A1179,LdgKeyA,"&lt;"&amp;$B1179)+COUNTIFS(LdgPartyB,$A1179,LdgKeyB,"&lt;"&amp;$B1179)+1)</f>
        <v/>
      </c>
      <c r="D1179">
        <f>IF($C1179="","",$A1179&amp;"|"&amp;RIGHT("000000"&amp;$C1179,6))</f>
        <v/>
      </c>
      <c r="F1179">
        <f>IF(Sync!$AJ1179="","",Sync!$AJ1179)</f>
        <v/>
      </c>
      <c r="G1179">
        <f>IF($F1179="","",IF(Sync!$AG1179="","",IF(ISNUMBER(Sync!$AG1179),IF(AND(Sync!$AG1179&gt;=10000101,Sync!$AG1179&lt;=99991231),INT(Sync!$AG1179/10000),""),IFERROR(VALUE(TRIM(LEFT(Sync!$AG1179,FIND("/",Sync!$AG1179)-1))),""))))</f>
        <v/>
      </c>
      <c r="H1179">
        <f>IF(OR($F1179="",$G1179=""),"",IF(ISNUMBER(Sync!$AG1179),INT(MOD(Sync!$AG1179,10000)/100),IFERROR(VALUE(TRIM(LEFT(MID(Sync!$AG1179,FIND("/",Sync!$AG1179)+1,20),FIND("/",MID(Sync!$AG1179,FIND("/",Sync!$AG1179)+1,20))-1))),"")))</f>
        <v/>
      </c>
      <c r="I1179">
        <f>IF(OR($F1179="",$G1179=""),"",IF(ISNUMBER(Sync!$AG1179),MOD(Sync!$AG1179,100),IFERROR(VALUE(TRIM(MID(MID(Sync!$AG1179,FIND("/",Sync!$AG1179)+1,20),FIND("/",MID(Sync!$AG1179,FIND("/",Sync!$AG1179)+1,20))+1,20))),"")))</f>
        <v/>
      </c>
      <c r="J1179">
        <f>IF($F1179="","",IF(OR($G1179="",$H1179="",$I1179="",$G1179&lt;1300,$G1179&gt;1500,$H1179&lt;1,$H1179&gt;12,$I1179&lt;1,$I1179&gt;31),"نامعتبر",RIGHT("0000"&amp;$G1179,4)&amp;"/"&amp;RIGHT("00"&amp;$H1179,2)&amp;"/"&amp;RIGHT("00"&amp;$I1179,2)))</f>
        <v/>
      </c>
      <c r="K1179">
        <f>IF(OR($F1179="",$J1179="",$J1179="نامعتبر"),"",LEFT($J1179,4)&amp;MID($J1179,6,2)&amp;RIGHT($J1179,2)&amp;$N1179&amp;"|"&amp;"2"&amp;RIGHT("00000"&amp;1174,5))</f>
        <v/>
      </c>
      <c r="L1179">
        <f>IF($K1179="","",COUNTIFS(LdgPartyA,$F1179,LdgKeyA,"&lt;"&amp;$K1179)+COUNTIFS(LdgPartyB,$F1179,LdgKeyB,"&lt;"&amp;$K1179)+1)</f>
        <v/>
      </c>
      <c r="M1179">
        <f>IF($L1179="","",$F1179&amp;"|"&amp;RIGHT("000000"&amp;$L1179,6))</f>
        <v/>
      </c>
      <c r="N1179">
        <f>IF($F1179="","",IF(Sync!$AH1179="","0000",IF(AND(ISNUMBER(Sync!$AH1179),Sync!$AH1179&gt;=0,Sync!$AH1179&lt;1),RIGHT("00"&amp;HOUR(Sync!$AH1179),2)&amp;RIGHT("00"&amp;MINUTE(Sync!$AH1179),2),IFERROR(RIGHT("00"&amp;VALUE(LEFT(Sync!$AH1179,FIND(":",Sync!$AH1179)-1)),2)&amp;RIGHT("00"&amp;VALUE(MID(Sync!$AH1179,FIND(":",Sync!$AH1179)+1,2)),2),"0000"))))</f>
        <v/>
      </c>
    </row>
    <row r="1180">
      <c r="A1180">
        <f>IF(OR(Calc!$E1183="",Calc!$E1183="نامعتبر",Calc!$G1183="",Calc!$I1183&lt;&gt;"خرید"),"",Calc!$G1183)</f>
        <v/>
      </c>
      <c r="B1180">
        <f>IF($A1180="","",LEFT(Calc!$E1183,4)&amp;MID(Calc!$E1183,6,2)&amp;RIGHT(Calc!$E1183,2)&amp;Calc!$R1183&amp;"|"&amp;"1"&amp;RIGHT("00000"&amp;1175,5))</f>
        <v/>
      </c>
      <c r="C1180">
        <f>IF($B1180="","",COUNTIFS(LdgPartyA,$A1180,LdgKeyA,"&lt;"&amp;$B1180)+COUNTIFS(LdgPartyB,$A1180,LdgKeyB,"&lt;"&amp;$B1180)+1)</f>
        <v/>
      </c>
      <c r="D1180">
        <f>IF($C1180="","",$A1180&amp;"|"&amp;RIGHT("000000"&amp;$C1180,6))</f>
        <v/>
      </c>
      <c r="F1180">
        <f>IF(Sync!$AJ1180="","",Sync!$AJ1180)</f>
        <v/>
      </c>
      <c r="G1180">
        <f>IF($F1180="","",IF(Sync!$AG1180="","",IF(ISNUMBER(Sync!$AG1180),IF(AND(Sync!$AG1180&gt;=10000101,Sync!$AG1180&lt;=99991231),INT(Sync!$AG1180/10000),""),IFERROR(VALUE(TRIM(LEFT(Sync!$AG1180,FIND("/",Sync!$AG1180)-1))),""))))</f>
        <v/>
      </c>
      <c r="H1180">
        <f>IF(OR($F1180="",$G1180=""),"",IF(ISNUMBER(Sync!$AG1180),INT(MOD(Sync!$AG1180,10000)/100),IFERROR(VALUE(TRIM(LEFT(MID(Sync!$AG1180,FIND("/",Sync!$AG1180)+1,20),FIND("/",MID(Sync!$AG1180,FIND("/",Sync!$AG1180)+1,20))-1))),"")))</f>
        <v/>
      </c>
      <c r="I1180">
        <f>IF(OR($F1180="",$G1180=""),"",IF(ISNUMBER(Sync!$AG1180),MOD(Sync!$AG1180,100),IFERROR(VALUE(TRIM(MID(MID(Sync!$AG1180,FIND("/",Sync!$AG1180)+1,20),FIND("/",MID(Sync!$AG1180,FIND("/",Sync!$AG1180)+1,20))+1,20))),"")))</f>
        <v/>
      </c>
      <c r="J1180">
        <f>IF($F1180="","",IF(OR($G1180="",$H1180="",$I1180="",$G1180&lt;1300,$G1180&gt;1500,$H1180&lt;1,$H1180&gt;12,$I1180&lt;1,$I1180&gt;31),"نامعتبر",RIGHT("0000"&amp;$G1180,4)&amp;"/"&amp;RIGHT("00"&amp;$H1180,2)&amp;"/"&amp;RIGHT("00"&amp;$I1180,2)))</f>
        <v/>
      </c>
      <c r="K1180">
        <f>IF(OR($F1180="",$J1180="",$J1180="نامعتبر"),"",LEFT($J1180,4)&amp;MID($J1180,6,2)&amp;RIGHT($J1180,2)&amp;$N1180&amp;"|"&amp;"2"&amp;RIGHT("00000"&amp;1175,5))</f>
        <v/>
      </c>
      <c r="L1180">
        <f>IF($K1180="","",COUNTIFS(LdgPartyA,$F1180,LdgKeyA,"&lt;"&amp;$K1180)+COUNTIFS(LdgPartyB,$F1180,LdgKeyB,"&lt;"&amp;$K1180)+1)</f>
        <v/>
      </c>
      <c r="M1180">
        <f>IF($L1180="","",$F1180&amp;"|"&amp;RIGHT("000000"&amp;$L1180,6))</f>
        <v/>
      </c>
      <c r="N1180">
        <f>IF($F1180="","",IF(Sync!$AH1180="","0000",IF(AND(ISNUMBER(Sync!$AH1180),Sync!$AH1180&gt;=0,Sync!$AH1180&lt;1),RIGHT("00"&amp;HOUR(Sync!$AH1180),2)&amp;RIGHT("00"&amp;MINUTE(Sync!$AH1180),2),IFERROR(RIGHT("00"&amp;VALUE(LEFT(Sync!$AH1180,FIND(":",Sync!$AH1180)-1)),2)&amp;RIGHT("00"&amp;VALUE(MID(Sync!$AH1180,FIND(":",Sync!$AH1180)+1,2)),2),"0000"))))</f>
        <v/>
      </c>
    </row>
    <row r="1181">
      <c r="A1181">
        <f>IF(OR(Calc!$E1184="",Calc!$E1184="نامعتبر",Calc!$G1184="",Calc!$I1184&lt;&gt;"خرید"),"",Calc!$G1184)</f>
        <v/>
      </c>
      <c r="B1181">
        <f>IF($A1181="","",LEFT(Calc!$E1184,4)&amp;MID(Calc!$E1184,6,2)&amp;RIGHT(Calc!$E1184,2)&amp;Calc!$R1184&amp;"|"&amp;"1"&amp;RIGHT("00000"&amp;1176,5))</f>
        <v/>
      </c>
      <c r="C1181">
        <f>IF($B1181="","",COUNTIFS(LdgPartyA,$A1181,LdgKeyA,"&lt;"&amp;$B1181)+COUNTIFS(LdgPartyB,$A1181,LdgKeyB,"&lt;"&amp;$B1181)+1)</f>
        <v/>
      </c>
      <c r="D1181">
        <f>IF($C1181="","",$A1181&amp;"|"&amp;RIGHT("000000"&amp;$C1181,6))</f>
        <v/>
      </c>
      <c r="F1181">
        <f>IF(Sync!$AJ1181="","",Sync!$AJ1181)</f>
        <v/>
      </c>
      <c r="G1181">
        <f>IF($F1181="","",IF(Sync!$AG1181="","",IF(ISNUMBER(Sync!$AG1181),IF(AND(Sync!$AG1181&gt;=10000101,Sync!$AG1181&lt;=99991231),INT(Sync!$AG1181/10000),""),IFERROR(VALUE(TRIM(LEFT(Sync!$AG1181,FIND("/",Sync!$AG1181)-1))),""))))</f>
        <v/>
      </c>
      <c r="H1181">
        <f>IF(OR($F1181="",$G1181=""),"",IF(ISNUMBER(Sync!$AG1181),INT(MOD(Sync!$AG1181,10000)/100),IFERROR(VALUE(TRIM(LEFT(MID(Sync!$AG1181,FIND("/",Sync!$AG1181)+1,20),FIND("/",MID(Sync!$AG1181,FIND("/",Sync!$AG1181)+1,20))-1))),"")))</f>
        <v/>
      </c>
      <c r="I1181">
        <f>IF(OR($F1181="",$G1181=""),"",IF(ISNUMBER(Sync!$AG1181),MOD(Sync!$AG1181,100),IFERROR(VALUE(TRIM(MID(MID(Sync!$AG1181,FIND("/",Sync!$AG1181)+1,20),FIND("/",MID(Sync!$AG1181,FIND("/",Sync!$AG1181)+1,20))+1,20))),"")))</f>
        <v/>
      </c>
      <c r="J1181">
        <f>IF($F1181="","",IF(OR($G1181="",$H1181="",$I1181="",$G1181&lt;1300,$G1181&gt;1500,$H1181&lt;1,$H1181&gt;12,$I1181&lt;1,$I1181&gt;31),"نامعتبر",RIGHT("0000"&amp;$G1181,4)&amp;"/"&amp;RIGHT("00"&amp;$H1181,2)&amp;"/"&amp;RIGHT("00"&amp;$I1181,2)))</f>
        <v/>
      </c>
      <c r="K1181">
        <f>IF(OR($F1181="",$J1181="",$J1181="نامعتبر"),"",LEFT($J1181,4)&amp;MID($J1181,6,2)&amp;RIGHT($J1181,2)&amp;$N1181&amp;"|"&amp;"2"&amp;RIGHT("00000"&amp;1176,5))</f>
        <v/>
      </c>
      <c r="L1181">
        <f>IF($K1181="","",COUNTIFS(LdgPartyA,$F1181,LdgKeyA,"&lt;"&amp;$K1181)+COUNTIFS(LdgPartyB,$F1181,LdgKeyB,"&lt;"&amp;$K1181)+1)</f>
        <v/>
      </c>
      <c r="M1181">
        <f>IF($L1181="","",$F1181&amp;"|"&amp;RIGHT("000000"&amp;$L1181,6))</f>
        <v/>
      </c>
      <c r="N1181">
        <f>IF($F1181="","",IF(Sync!$AH1181="","0000",IF(AND(ISNUMBER(Sync!$AH1181),Sync!$AH1181&gt;=0,Sync!$AH1181&lt;1),RIGHT("00"&amp;HOUR(Sync!$AH1181),2)&amp;RIGHT("00"&amp;MINUTE(Sync!$AH1181),2),IFERROR(RIGHT("00"&amp;VALUE(LEFT(Sync!$AH1181,FIND(":",Sync!$AH1181)-1)),2)&amp;RIGHT("00"&amp;VALUE(MID(Sync!$AH1181,FIND(":",Sync!$AH1181)+1,2)),2),"0000"))))</f>
        <v/>
      </c>
    </row>
    <row r="1182">
      <c r="A1182">
        <f>IF(OR(Calc!$E1185="",Calc!$E1185="نامعتبر",Calc!$G1185="",Calc!$I1185&lt;&gt;"خرید"),"",Calc!$G1185)</f>
        <v/>
      </c>
      <c r="B1182">
        <f>IF($A1182="","",LEFT(Calc!$E1185,4)&amp;MID(Calc!$E1185,6,2)&amp;RIGHT(Calc!$E1185,2)&amp;Calc!$R1185&amp;"|"&amp;"1"&amp;RIGHT("00000"&amp;1177,5))</f>
        <v/>
      </c>
      <c r="C1182">
        <f>IF($B1182="","",COUNTIFS(LdgPartyA,$A1182,LdgKeyA,"&lt;"&amp;$B1182)+COUNTIFS(LdgPartyB,$A1182,LdgKeyB,"&lt;"&amp;$B1182)+1)</f>
        <v/>
      </c>
      <c r="D1182">
        <f>IF($C1182="","",$A1182&amp;"|"&amp;RIGHT("000000"&amp;$C1182,6))</f>
        <v/>
      </c>
      <c r="F1182">
        <f>IF(Sync!$AJ1182="","",Sync!$AJ1182)</f>
        <v/>
      </c>
      <c r="G1182">
        <f>IF($F1182="","",IF(Sync!$AG1182="","",IF(ISNUMBER(Sync!$AG1182),IF(AND(Sync!$AG1182&gt;=10000101,Sync!$AG1182&lt;=99991231),INT(Sync!$AG1182/10000),""),IFERROR(VALUE(TRIM(LEFT(Sync!$AG1182,FIND("/",Sync!$AG1182)-1))),""))))</f>
        <v/>
      </c>
      <c r="H1182">
        <f>IF(OR($F1182="",$G1182=""),"",IF(ISNUMBER(Sync!$AG1182),INT(MOD(Sync!$AG1182,10000)/100),IFERROR(VALUE(TRIM(LEFT(MID(Sync!$AG1182,FIND("/",Sync!$AG1182)+1,20),FIND("/",MID(Sync!$AG1182,FIND("/",Sync!$AG1182)+1,20))-1))),"")))</f>
        <v/>
      </c>
      <c r="I1182">
        <f>IF(OR($F1182="",$G1182=""),"",IF(ISNUMBER(Sync!$AG1182),MOD(Sync!$AG1182,100),IFERROR(VALUE(TRIM(MID(MID(Sync!$AG1182,FIND("/",Sync!$AG1182)+1,20),FIND("/",MID(Sync!$AG1182,FIND("/",Sync!$AG1182)+1,20))+1,20))),"")))</f>
        <v/>
      </c>
      <c r="J1182">
        <f>IF($F1182="","",IF(OR($G1182="",$H1182="",$I1182="",$G1182&lt;1300,$G1182&gt;1500,$H1182&lt;1,$H1182&gt;12,$I1182&lt;1,$I1182&gt;31),"نامعتبر",RIGHT("0000"&amp;$G1182,4)&amp;"/"&amp;RIGHT("00"&amp;$H1182,2)&amp;"/"&amp;RIGHT("00"&amp;$I1182,2)))</f>
        <v/>
      </c>
      <c r="K1182">
        <f>IF(OR($F1182="",$J1182="",$J1182="نامعتبر"),"",LEFT($J1182,4)&amp;MID($J1182,6,2)&amp;RIGHT($J1182,2)&amp;$N1182&amp;"|"&amp;"2"&amp;RIGHT("00000"&amp;1177,5))</f>
        <v/>
      </c>
      <c r="L1182">
        <f>IF($K1182="","",COUNTIFS(LdgPartyA,$F1182,LdgKeyA,"&lt;"&amp;$K1182)+COUNTIFS(LdgPartyB,$F1182,LdgKeyB,"&lt;"&amp;$K1182)+1)</f>
        <v/>
      </c>
      <c r="M1182">
        <f>IF($L1182="","",$F1182&amp;"|"&amp;RIGHT("000000"&amp;$L1182,6))</f>
        <v/>
      </c>
      <c r="N1182">
        <f>IF($F1182="","",IF(Sync!$AH1182="","0000",IF(AND(ISNUMBER(Sync!$AH1182),Sync!$AH1182&gt;=0,Sync!$AH1182&lt;1),RIGHT("00"&amp;HOUR(Sync!$AH1182),2)&amp;RIGHT("00"&amp;MINUTE(Sync!$AH1182),2),IFERROR(RIGHT("00"&amp;VALUE(LEFT(Sync!$AH1182,FIND(":",Sync!$AH1182)-1)),2)&amp;RIGHT("00"&amp;VALUE(MID(Sync!$AH1182,FIND(":",Sync!$AH1182)+1,2)),2),"0000"))))</f>
        <v/>
      </c>
    </row>
    <row r="1183">
      <c r="A1183">
        <f>IF(OR(Calc!$E1186="",Calc!$E1186="نامعتبر",Calc!$G1186="",Calc!$I1186&lt;&gt;"خرید"),"",Calc!$G1186)</f>
        <v/>
      </c>
      <c r="B1183">
        <f>IF($A1183="","",LEFT(Calc!$E1186,4)&amp;MID(Calc!$E1186,6,2)&amp;RIGHT(Calc!$E1186,2)&amp;Calc!$R1186&amp;"|"&amp;"1"&amp;RIGHT("00000"&amp;1178,5))</f>
        <v/>
      </c>
      <c r="C1183">
        <f>IF($B1183="","",COUNTIFS(LdgPartyA,$A1183,LdgKeyA,"&lt;"&amp;$B1183)+COUNTIFS(LdgPartyB,$A1183,LdgKeyB,"&lt;"&amp;$B1183)+1)</f>
        <v/>
      </c>
      <c r="D1183">
        <f>IF($C1183="","",$A1183&amp;"|"&amp;RIGHT("000000"&amp;$C1183,6))</f>
        <v/>
      </c>
      <c r="F1183">
        <f>IF(Sync!$AJ1183="","",Sync!$AJ1183)</f>
        <v/>
      </c>
      <c r="G1183">
        <f>IF($F1183="","",IF(Sync!$AG1183="","",IF(ISNUMBER(Sync!$AG1183),IF(AND(Sync!$AG1183&gt;=10000101,Sync!$AG1183&lt;=99991231),INT(Sync!$AG1183/10000),""),IFERROR(VALUE(TRIM(LEFT(Sync!$AG1183,FIND("/",Sync!$AG1183)-1))),""))))</f>
        <v/>
      </c>
      <c r="H1183">
        <f>IF(OR($F1183="",$G1183=""),"",IF(ISNUMBER(Sync!$AG1183),INT(MOD(Sync!$AG1183,10000)/100),IFERROR(VALUE(TRIM(LEFT(MID(Sync!$AG1183,FIND("/",Sync!$AG1183)+1,20),FIND("/",MID(Sync!$AG1183,FIND("/",Sync!$AG1183)+1,20))-1))),"")))</f>
        <v/>
      </c>
      <c r="I1183">
        <f>IF(OR($F1183="",$G1183=""),"",IF(ISNUMBER(Sync!$AG1183),MOD(Sync!$AG1183,100),IFERROR(VALUE(TRIM(MID(MID(Sync!$AG1183,FIND("/",Sync!$AG1183)+1,20),FIND("/",MID(Sync!$AG1183,FIND("/",Sync!$AG1183)+1,20))+1,20))),"")))</f>
        <v/>
      </c>
      <c r="J1183">
        <f>IF($F1183="","",IF(OR($G1183="",$H1183="",$I1183="",$G1183&lt;1300,$G1183&gt;1500,$H1183&lt;1,$H1183&gt;12,$I1183&lt;1,$I1183&gt;31),"نامعتبر",RIGHT("0000"&amp;$G1183,4)&amp;"/"&amp;RIGHT("00"&amp;$H1183,2)&amp;"/"&amp;RIGHT("00"&amp;$I1183,2)))</f>
        <v/>
      </c>
      <c r="K1183">
        <f>IF(OR($F1183="",$J1183="",$J1183="نامعتبر"),"",LEFT($J1183,4)&amp;MID($J1183,6,2)&amp;RIGHT($J1183,2)&amp;$N1183&amp;"|"&amp;"2"&amp;RIGHT("00000"&amp;1178,5))</f>
        <v/>
      </c>
      <c r="L1183">
        <f>IF($K1183="","",COUNTIFS(LdgPartyA,$F1183,LdgKeyA,"&lt;"&amp;$K1183)+COUNTIFS(LdgPartyB,$F1183,LdgKeyB,"&lt;"&amp;$K1183)+1)</f>
        <v/>
      </c>
      <c r="M1183">
        <f>IF($L1183="","",$F1183&amp;"|"&amp;RIGHT("000000"&amp;$L1183,6))</f>
        <v/>
      </c>
      <c r="N1183">
        <f>IF($F1183="","",IF(Sync!$AH1183="","0000",IF(AND(ISNUMBER(Sync!$AH1183),Sync!$AH1183&gt;=0,Sync!$AH1183&lt;1),RIGHT("00"&amp;HOUR(Sync!$AH1183),2)&amp;RIGHT("00"&amp;MINUTE(Sync!$AH1183),2),IFERROR(RIGHT("00"&amp;VALUE(LEFT(Sync!$AH1183,FIND(":",Sync!$AH1183)-1)),2)&amp;RIGHT("00"&amp;VALUE(MID(Sync!$AH1183,FIND(":",Sync!$AH1183)+1,2)),2),"0000"))))</f>
        <v/>
      </c>
    </row>
    <row r="1184">
      <c r="A1184">
        <f>IF(OR(Calc!$E1187="",Calc!$E1187="نامعتبر",Calc!$G1187="",Calc!$I1187&lt;&gt;"خرید"),"",Calc!$G1187)</f>
        <v/>
      </c>
      <c r="B1184">
        <f>IF($A1184="","",LEFT(Calc!$E1187,4)&amp;MID(Calc!$E1187,6,2)&amp;RIGHT(Calc!$E1187,2)&amp;Calc!$R1187&amp;"|"&amp;"1"&amp;RIGHT("00000"&amp;1179,5))</f>
        <v/>
      </c>
      <c r="C1184">
        <f>IF($B1184="","",COUNTIFS(LdgPartyA,$A1184,LdgKeyA,"&lt;"&amp;$B1184)+COUNTIFS(LdgPartyB,$A1184,LdgKeyB,"&lt;"&amp;$B1184)+1)</f>
        <v/>
      </c>
      <c r="D1184">
        <f>IF($C1184="","",$A1184&amp;"|"&amp;RIGHT("000000"&amp;$C1184,6))</f>
        <v/>
      </c>
      <c r="F1184">
        <f>IF(Sync!$AJ1184="","",Sync!$AJ1184)</f>
        <v/>
      </c>
      <c r="G1184">
        <f>IF($F1184="","",IF(Sync!$AG1184="","",IF(ISNUMBER(Sync!$AG1184),IF(AND(Sync!$AG1184&gt;=10000101,Sync!$AG1184&lt;=99991231),INT(Sync!$AG1184/10000),""),IFERROR(VALUE(TRIM(LEFT(Sync!$AG1184,FIND("/",Sync!$AG1184)-1))),""))))</f>
        <v/>
      </c>
      <c r="H1184">
        <f>IF(OR($F1184="",$G1184=""),"",IF(ISNUMBER(Sync!$AG1184),INT(MOD(Sync!$AG1184,10000)/100),IFERROR(VALUE(TRIM(LEFT(MID(Sync!$AG1184,FIND("/",Sync!$AG1184)+1,20),FIND("/",MID(Sync!$AG1184,FIND("/",Sync!$AG1184)+1,20))-1))),"")))</f>
        <v/>
      </c>
      <c r="I1184">
        <f>IF(OR($F1184="",$G1184=""),"",IF(ISNUMBER(Sync!$AG1184),MOD(Sync!$AG1184,100),IFERROR(VALUE(TRIM(MID(MID(Sync!$AG1184,FIND("/",Sync!$AG1184)+1,20),FIND("/",MID(Sync!$AG1184,FIND("/",Sync!$AG1184)+1,20))+1,20))),"")))</f>
        <v/>
      </c>
      <c r="J1184">
        <f>IF($F1184="","",IF(OR($G1184="",$H1184="",$I1184="",$G1184&lt;1300,$G1184&gt;1500,$H1184&lt;1,$H1184&gt;12,$I1184&lt;1,$I1184&gt;31),"نامعتبر",RIGHT("0000"&amp;$G1184,4)&amp;"/"&amp;RIGHT("00"&amp;$H1184,2)&amp;"/"&amp;RIGHT("00"&amp;$I1184,2)))</f>
        <v/>
      </c>
      <c r="K1184">
        <f>IF(OR($F1184="",$J1184="",$J1184="نامعتبر"),"",LEFT($J1184,4)&amp;MID($J1184,6,2)&amp;RIGHT($J1184,2)&amp;$N1184&amp;"|"&amp;"2"&amp;RIGHT("00000"&amp;1179,5))</f>
        <v/>
      </c>
      <c r="L1184">
        <f>IF($K1184="","",COUNTIFS(LdgPartyA,$F1184,LdgKeyA,"&lt;"&amp;$K1184)+COUNTIFS(LdgPartyB,$F1184,LdgKeyB,"&lt;"&amp;$K1184)+1)</f>
        <v/>
      </c>
      <c r="M1184">
        <f>IF($L1184="","",$F1184&amp;"|"&amp;RIGHT("000000"&amp;$L1184,6))</f>
        <v/>
      </c>
      <c r="N1184">
        <f>IF($F1184="","",IF(Sync!$AH1184="","0000",IF(AND(ISNUMBER(Sync!$AH1184),Sync!$AH1184&gt;=0,Sync!$AH1184&lt;1),RIGHT("00"&amp;HOUR(Sync!$AH1184),2)&amp;RIGHT("00"&amp;MINUTE(Sync!$AH1184),2),IFERROR(RIGHT("00"&amp;VALUE(LEFT(Sync!$AH1184,FIND(":",Sync!$AH1184)-1)),2)&amp;RIGHT("00"&amp;VALUE(MID(Sync!$AH1184,FIND(":",Sync!$AH1184)+1,2)),2),"0000"))))</f>
        <v/>
      </c>
    </row>
    <row r="1185">
      <c r="A1185">
        <f>IF(OR(Calc!$E1188="",Calc!$E1188="نامعتبر",Calc!$G1188="",Calc!$I1188&lt;&gt;"خرید"),"",Calc!$G1188)</f>
        <v/>
      </c>
      <c r="B1185">
        <f>IF($A1185="","",LEFT(Calc!$E1188,4)&amp;MID(Calc!$E1188,6,2)&amp;RIGHT(Calc!$E1188,2)&amp;Calc!$R1188&amp;"|"&amp;"1"&amp;RIGHT("00000"&amp;1180,5))</f>
        <v/>
      </c>
      <c r="C1185">
        <f>IF($B1185="","",COUNTIFS(LdgPartyA,$A1185,LdgKeyA,"&lt;"&amp;$B1185)+COUNTIFS(LdgPartyB,$A1185,LdgKeyB,"&lt;"&amp;$B1185)+1)</f>
        <v/>
      </c>
      <c r="D1185">
        <f>IF($C1185="","",$A1185&amp;"|"&amp;RIGHT("000000"&amp;$C1185,6))</f>
        <v/>
      </c>
      <c r="F1185">
        <f>IF(Sync!$AJ1185="","",Sync!$AJ1185)</f>
        <v/>
      </c>
      <c r="G1185">
        <f>IF($F1185="","",IF(Sync!$AG1185="","",IF(ISNUMBER(Sync!$AG1185),IF(AND(Sync!$AG1185&gt;=10000101,Sync!$AG1185&lt;=99991231),INT(Sync!$AG1185/10000),""),IFERROR(VALUE(TRIM(LEFT(Sync!$AG1185,FIND("/",Sync!$AG1185)-1))),""))))</f>
        <v/>
      </c>
      <c r="H1185">
        <f>IF(OR($F1185="",$G1185=""),"",IF(ISNUMBER(Sync!$AG1185),INT(MOD(Sync!$AG1185,10000)/100),IFERROR(VALUE(TRIM(LEFT(MID(Sync!$AG1185,FIND("/",Sync!$AG1185)+1,20),FIND("/",MID(Sync!$AG1185,FIND("/",Sync!$AG1185)+1,20))-1))),"")))</f>
        <v/>
      </c>
      <c r="I1185">
        <f>IF(OR($F1185="",$G1185=""),"",IF(ISNUMBER(Sync!$AG1185),MOD(Sync!$AG1185,100),IFERROR(VALUE(TRIM(MID(MID(Sync!$AG1185,FIND("/",Sync!$AG1185)+1,20),FIND("/",MID(Sync!$AG1185,FIND("/",Sync!$AG1185)+1,20))+1,20))),"")))</f>
        <v/>
      </c>
      <c r="J1185">
        <f>IF($F1185="","",IF(OR($G1185="",$H1185="",$I1185="",$G1185&lt;1300,$G1185&gt;1500,$H1185&lt;1,$H1185&gt;12,$I1185&lt;1,$I1185&gt;31),"نامعتبر",RIGHT("0000"&amp;$G1185,4)&amp;"/"&amp;RIGHT("00"&amp;$H1185,2)&amp;"/"&amp;RIGHT("00"&amp;$I1185,2)))</f>
        <v/>
      </c>
      <c r="K1185">
        <f>IF(OR($F1185="",$J1185="",$J1185="نامعتبر"),"",LEFT($J1185,4)&amp;MID($J1185,6,2)&amp;RIGHT($J1185,2)&amp;$N1185&amp;"|"&amp;"2"&amp;RIGHT("00000"&amp;1180,5))</f>
        <v/>
      </c>
      <c r="L1185">
        <f>IF($K1185="","",COUNTIFS(LdgPartyA,$F1185,LdgKeyA,"&lt;"&amp;$K1185)+COUNTIFS(LdgPartyB,$F1185,LdgKeyB,"&lt;"&amp;$K1185)+1)</f>
        <v/>
      </c>
      <c r="M1185">
        <f>IF($L1185="","",$F1185&amp;"|"&amp;RIGHT("000000"&amp;$L1185,6))</f>
        <v/>
      </c>
      <c r="N1185">
        <f>IF($F1185="","",IF(Sync!$AH1185="","0000",IF(AND(ISNUMBER(Sync!$AH1185),Sync!$AH1185&gt;=0,Sync!$AH1185&lt;1),RIGHT("00"&amp;HOUR(Sync!$AH1185),2)&amp;RIGHT("00"&amp;MINUTE(Sync!$AH1185),2),IFERROR(RIGHT("00"&amp;VALUE(LEFT(Sync!$AH1185,FIND(":",Sync!$AH1185)-1)),2)&amp;RIGHT("00"&amp;VALUE(MID(Sync!$AH1185,FIND(":",Sync!$AH1185)+1,2)),2),"0000"))))</f>
        <v/>
      </c>
    </row>
    <row r="1186">
      <c r="A1186">
        <f>IF(OR(Calc!$E1189="",Calc!$E1189="نامعتبر",Calc!$G1189="",Calc!$I1189&lt;&gt;"خرید"),"",Calc!$G1189)</f>
        <v/>
      </c>
      <c r="B1186">
        <f>IF($A1186="","",LEFT(Calc!$E1189,4)&amp;MID(Calc!$E1189,6,2)&amp;RIGHT(Calc!$E1189,2)&amp;Calc!$R1189&amp;"|"&amp;"1"&amp;RIGHT("00000"&amp;1181,5))</f>
        <v/>
      </c>
      <c r="C1186">
        <f>IF($B1186="","",COUNTIFS(LdgPartyA,$A1186,LdgKeyA,"&lt;"&amp;$B1186)+COUNTIFS(LdgPartyB,$A1186,LdgKeyB,"&lt;"&amp;$B1186)+1)</f>
        <v/>
      </c>
      <c r="D1186">
        <f>IF($C1186="","",$A1186&amp;"|"&amp;RIGHT("000000"&amp;$C1186,6))</f>
        <v/>
      </c>
      <c r="F1186">
        <f>IF(Sync!$AJ1186="","",Sync!$AJ1186)</f>
        <v/>
      </c>
      <c r="G1186">
        <f>IF($F1186="","",IF(Sync!$AG1186="","",IF(ISNUMBER(Sync!$AG1186),IF(AND(Sync!$AG1186&gt;=10000101,Sync!$AG1186&lt;=99991231),INT(Sync!$AG1186/10000),""),IFERROR(VALUE(TRIM(LEFT(Sync!$AG1186,FIND("/",Sync!$AG1186)-1))),""))))</f>
        <v/>
      </c>
      <c r="H1186">
        <f>IF(OR($F1186="",$G1186=""),"",IF(ISNUMBER(Sync!$AG1186),INT(MOD(Sync!$AG1186,10000)/100),IFERROR(VALUE(TRIM(LEFT(MID(Sync!$AG1186,FIND("/",Sync!$AG1186)+1,20),FIND("/",MID(Sync!$AG1186,FIND("/",Sync!$AG1186)+1,20))-1))),"")))</f>
        <v/>
      </c>
      <c r="I1186">
        <f>IF(OR($F1186="",$G1186=""),"",IF(ISNUMBER(Sync!$AG1186),MOD(Sync!$AG1186,100),IFERROR(VALUE(TRIM(MID(MID(Sync!$AG1186,FIND("/",Sync!$AG1186)+1,20),FIND("/",MID(Sync!$AG1186,FIND("/",Sync!$AG1186)+1,20))+1,20))),"")))</f>
        <v/>
      </c>
      <c r="J1186">
        <f>IF($F1186="","",IF(OR($G1186="",$H1186="",$I1186="",$G1186&lt;1300,$G1186&gt;1500,$H1186&lt;1,$H1186&gt;12,$I1186&lt;1,$I1186&gt;31),"نامعتبر",RIGHT("0000"&amp;$G1186,4)&amp;"/"&amp;RIGHT("00"&amp;$H1186,2)&amp;"/"&amp;RIGHT("00"&amp;$I1186,2)))</f>
        <v/>
      </c>
      <c r="K1186">
        <f>IF(OR($F1186="",$J1186="",$J1186="نامعتبر"),"",LEFT($J1186,4)&amp;MID($J1186,6,2)&amp;RIGHT($J1186,2)&amp;$N1186&amp;"|"&amp;"2"&amp;RIGHT("00000"&amp;1181,5))</f>
        <v/>
      </c>
      <c r="L1186">
        <f>IF($K1186="","",COUNTIFS(LdgPartyA,$F1186,LdgKeyA,"&lt;"&amp;$K1186)+COUNTIFS(LdgPartyB,$F1186,LdgKeyB,"&lt;"&amp;$K1186)+1)</f>
        <v/>
      </c>
      <c r="M1186">
        <f>IF($L1186="","",$F1186&amp;"|"&amp;RIGHT("000000"&amp;$L1186,6))</f>
        <v/>
      </c>
      <c r="N1186">
        <f>IF($F1186="","",IF(Sync!$AH1186="","0000",IF(AND(ISNUMBER(Sync!$AH1186),Sync!$AH1186&gt;=0,Sync!$AH1186&lt;1),RIGHT("00"&amp;HOUR(Sync!$AH1186),2)&amp;RIGHT("00"&amp;MINUTE(Sync!$AH1186),2),IFERROR(RIGHT("00"&amp;VALUE(LEFT(Sync!$AH1186,FIND(":",Sync!$AH1186)-1)),2)&amp;RIGHT("00"&amp;VALUE(MID(Sync!$AH1186,FIND(":",Sync!$AH1186)+1,2)),2),"0000"))))</f>
        <v/>
      </c>
    </row>
    <row r="1187">
      <c r="A1187">
        <f>IF(OR(Calc!$E1190="",Calc!$E1190="نامعتبر",Calc!$G1190="",Calc!$I1190&lt;&gt;"خرید"),"",Calc!$G1190)</f>
        <v/>
      </c>
      <c r="B1187">
        <f>IF($A1187="","",LEFT(Calc!$E1190,4)&amp;MID(Calc!$E1190,6,2)&amp;RIGHT(Calc!$E1190,2)&amp;Calc!$R1190&amp;"|"&amp;"1"&amp;RIGHT("00000"&amp;1182,5))</f>
        <v/>
      </c>
      <c r="C1187">
        <f>IF($B1187="","",COUNTIFS(LdgPartyA,$A1187,LdgKeyA,"&lt;"&amp;$B1187)+COUNTIFS(LdgPartyB,$A1187,LdgKeyB,"&lt;"&amp;$B1187)+1)</f>
        <v/>
      </c>
      <c r="D1187">
        <f>IF($C1187="","",$A1187&amp;"|"&amp;RIGHT("000000"&amp;$C1187,6))</f>
        <v/>
      </c>
      <c r="F1187">
        <f>IF(Sync!$AJ1187="","",Sync!$AJ1187)</f>
        <v/>
      </c>
      <c r="G1187">
        <f>IF($F1187="","",IF(Sync!$AG1187="","",IF(ISNUMBER(Sync!$AG1187),IF(AND(Sync!$AG1187&gt;=10000101,Sync!$AG1187&lt;=99991231),INT(Sync!$AG1187/10000),""),IFERROR(VALUE(TRIM(LEFT(Sync!$AG1187,FIND("/",Sync!$AG1187)-1))),""))))</f>
        <v/>
      </c>
      <c r="H1187">
        <f>IF(OR($F1187="",$G1187=""),"",IF(ISNUMBER(Sync!$AG1187),INT(MOD(Sync!$AG1187,10000)/100),IFERROR(VALUE(TRIM(LEFT(MID(Sync!$AG1187,FIND("/",Sync!$AG1187)+1,20),FIND("/",MID(Sync!$AG1187,FIND("/",Sync!$AG1187)+1,20))-1))),"")))</f>
        <v/>
      </c>
      <c r="I1187">
        <f>IF(OR($F1187="",$G1187=""),"",IF(ISNUMBER(Sync!$AG1187),MOD(Sync!$AG1187,100),IFERROR(VALUE(TRIM(MID(MID(Sync!$AG1187,FIND("/",Sync!$AG1187)+1,20),FIND("/",MID(Sync!$AG1187,FIND("/",Sync!$AG1187)+1,20))+1,20))),"")))</f>
        <v/>
      </c>
      <c r="J1187">
        <f>IF($F1187="","",IF(OR($G1187="",$H1187="",$I1187="",$G1187&lt;1300,$G1187&gt;1500,$H1187&lt;1,$H1187&gt;12,$I1187&lt;1,$I1187&gt;31),"نامعتبر",RIGHT("0000"&amp;$G1187,4)&amp;"/"&amp;RIGHT("00"&amp;$H1187,2)&amp;"/"&amp;RIGHT("00"&amp;$I1187,2)))</f>
        <v/>
      </c>
      <c r="K1187">
        <f>IF(OR($F1187="",$J1187="",$J1187="نامعتبر"),"",LEFT($J1187,4)&amp;MID($J1187,6,2)&amp;RIGHT($J1187,2)&amp;$N1187&amp;"|"&amp;"2"&amp;RIGHT("00000"&amp;1182,5))</f>
        <v/>
      </c>
      <c r="L1187">
        <f>IF($K1187="","",COUNTIFS(LdgPartyA,$F1187,LdgKeyA,"&lt;"&amp;$K1187)+COUNTIFS(LdgPartyB,$F1187,LdgKeyB,"&lt;"&amp;$K1187)+1)</f>
        <v/>
      </c>
      <c r="M1187">
        <f>IF($L1187="","",$F1187&amp;"|"&amp;RIGHT("000000"&amp;$L1187,6))</f>
        <v/>
      </c>
      <c r="N1187">
        <f>IF($F1187="","",IF(Sync!$AH1187="","0000",IF(AND(ISNUMBER(Sync!$AH1187),Sync!$AH1187&gt;=0,Sync!$AH1187&lt;1),RIGHT("00"&amp;HOUR(Sync!$AH1187),2)&amp;RIGHT("00"&amp;MINUTE(Sync!$AH1187),2),IFERROR(RIGHT("00"&amp;VALUE(LEFT(Sync!$AH1187,FIND(":",Sync!$AH1187)-1)),2)&amp;RIGHT("00"&amp;VALUE(MID(Sync!$AH1187,FIND(":",Sync!$AH1187)+1,2)),2),"0000"))))</f>
        <v/>
      </c>
    </row>
    <row r="1188">
      <c r="A1188">
        <f>IF(OR(Calc!$E1191="",Calc!$E1191="نامعتبر",Calc!$G1191="",Calc!$I1191&lt;&gt;"خرید"),"",Calc!$G1191)</f>
        <v/>
      </c>
      <c r="B1188">
        <f>IF($A1188="","",LEFT(Calc!$E1191,4)&amp;MID(Calc!$E1191,6,2)&amp;RIGHT(Calc!$E1191,2)&amp;Calc!$R1191&amp;"|"&amp;"1"&amp;RIGHT("00000"&amp;1183,5))</f>
        <v/>
      </c>
      <c r="C1188">
        <f>IF($B1188="","",COUNTIFS(LdgPartyA,$A1188,LdgKeyA,"&lt;"&amp;$B1188)+COUNTIFS(LdgPartyB,$A1188,LdgKeyB,"&lt;"&amp;$B1188)+1)</f>
        <v/>
      </c>
      <c r="D1188">
        <f>IF($C1188="","",$A1188&amp;"|"&amp;RIGHT("000000"&amp;$C1188,6))</f>
        <v/>
      </c>
      <c r="F1188">
        <f>IF(Sync!$AJ1188="","",Sync!$AJ1188)</f>
        <v/>
      </c>
      <c r="G1188">
        <f>IF($F1188="","",IF(Sync!$AG1188="","",IF(ISNUMBER(Sync!$AG1188),IF(AND(Sync!$AG1188&gt;=10000101,Sync!$AG1188&lt;=99991231),INT(Sync!$AG1188/10000),""),IFERROR(VALUE(TRIM(LEFT(Sync!$AG1188,FIND("/",Sync!$AG1188)-1))),""))))</f>
        <v/>
      </c>
      <c r="H1188">
        <f>IF(OR($F1188="",$G1188=""),"",IF(ISNUMBER(Sync!$AG1188),INT(MOD(Sync!$AG1188,10000)/100),IFERROR(VALUE(TRIM(LEFT(MID(Sync!$AG1188,FIND("/",Sync!$AG1188)+1,20),FIND("/",MID(Sync!$AG1188,FIND("/",Sync!$AG1188)+1,20))-1))),"")))</f>
        <v/>
      </c>
      <c r="I1188">
        <f>IF(OR($F1188="",$G1188=""),"",IF(ISNUMBER(Sync!$AG1188),MOD(Sync!$AG1188,100),IFERROR(VALUE(TRIM(MID(MID(Sync!$AG1188,FIND("/",Sync!$AG1188)+1,20),FIND("/",MID(Sync!$AG1188,FIND("/",Sync!$AG1188)+1,20))+1,20))),"")))</f>
        <v/>
      </c>
      <c r="J1188">
        <f>IF($F1188="","",IF(OR($G1188="",$H1188="",$I1188="",$G1188&lt;1300,$G1188&gt;1500,$H1188&lt;1,$H1188&gt;12,$I1188&lt;1,$I1188&gt;31),"نامعتبر",RIGHT("0000"&amp;$G1188,4)&amp;"/"&amp;RIGHT("00"&amp;$H1188,2)&amp;"/"&amp;RIGHT("00"&amp;$I1188,2)))</f>
        <v/>
      </c>
      <c r="K1188">
        <f>IF(OR($F1188="",$J1188="",$J1188="نامعتبر"),"",LEFT($J1188,4)&amp;MID($J1188,6,2)&amp;RIGHT($J1188,2)&amp;$N1188&amp;"|"&amp;"2"&amp;RIGHT("00000"&amp;1183,5))</f>
        <v/>
      </c>
      <c r="L1188">
        <f>IF($K1188="","",COUNTIFS(LdgPartyA,$F1188,LdgKeyA,"&lt;"&amp;$K1188)+COUNTIFS(LdgPartyB,$F1188,LdgKeyB,"&lt;"&amp;$K1188)+1)</f>
        <v/>
      </c>
      <c r="M1188">
        <f>IF($L1188="","",$F1188&amp;"|"&amp;RIGHT("000000"&amp;$L1188,6))</f>
        <v/>
      </c>
      <c r="N1188">
        <f>IF($F1188="","",IF(Sync!$AH1188="","0000",IF(AND(ISNUMBER(Sync!$AH1188),Sync!$AH1188&gt;=0,Sync!$AH1188&lt;1),RIGHT("00"&amp;HOUR(Sync!$AH1188),2)&amp;RIGHT("00"&amp;MINUTE(Sync!$AH1188),2),IFERROR(RIGHT("00"&amp;VALUE(LEFT(Sync!$AH1188,FIND(":",Sync!$AH1188)-1)),2)&amp;RIGHT("00"&amp;VALUE(MID(Sync!$AH1188,FIND(":",Sync!$AH1188)+1,2)),2),"0000"))))</f>
        <v/>
      </c>
    </row>
    <row r="1189">
      <c r="A1189">
        <f>IF(OR(Calc!$E1192="",Calc!$E1192="نامعتبر",Calc!$G1192="",Calc!$I1192&lt;&gt;"خرید"),"",Calc!$G1192)</f>
        <v/>
      </c>
      <c r="B1189">
        <f>IF($A1189="","",LEFT(Calc!$E1192,4)&amp;MID(Calc!$E1192,6,2)&amp;RIGHT(Calc!$E1192,2)&amp;Calc!$R1192&amp;"|"&amp;"1"&amp;RIGHT("00000"&amp;1184,5))</f>
        <v/>
      </c>
      <c r="C1189">
        <f>IF($B1189="","",COUNTIFS(LdgPartyA,$A1189,LdgKeyA,"&lt;"&amp;$B1189)+COUNTIFS(LdgPartyB,$A1189,LdgKeyB,"&lt;"&amp;$B1189)+1)</f>
        <v/>
      </c>
      <c r="D1189">
        <f>IF($C1189="","",$A1189&amp;"|"&amp;RIGHT("000000"&amp;$C1189,6))</f>
        <v/>
      </c>
      <c r="F1189">
        <f>IF(Sync!$AJ1189="","",Sync!$AJ1189)</f>
        <v/>
      </c>
      <c r="G1189">
        <f>IF($F1189="","",IF(Sync!$AG1189="","",IF(ISNUMBER(Sync!$AG1189),IF(AND(Sync!$AG1189&gt;=10000101,Sync!$AG1189&lt;=99991231),INT(Sync!$AG1189/10000),""),IFERROR(VALUE(TRIM(LEFT(Sync!$AG1189,FIND("/",Sync!$AG1189)-1))),""))))</f>
        <v/>
      </c>
      <c r="H1189">
        <f>IF(OR($F1189="",$G1189=""),"",IF(ISNUMBER(Sync!$AG1189),INT(MOD(Sync!$AG1189,10000)/100),IFERROR(VALUE(TRIM(LEFT(MID(Sync!$AG1189,FIND("/",Sync!$AG1189)+1,20),FIND("/",MID(Sync!$AG1189,FIND("/",Sync!$AG1189)+1,20))-1))),"")))</f>
        <v/>
      </c>
      <c r="I1189">
        <f>IF(OR($F1189="",$G1189=""),"",IF(ISNUMBER(Sync!$AG1189),MOD(Sync!$AG1189,100),IFERROR(VALUE(TRIM(MID(MID(Sync!$AG1189,FIND("/",Sync!$AG1189)+1,20),FIND("/",MID(Sync!$AG1189,FIND("/",Sync!$AG1189)+1,20))+1,20))),"")))</f>
        <v/>
      </c>
      <c r="J1189">
        <f>IF($F1189="","",IF(OR($G1189="",$H1189="",$I1189="",$G1189&lt;1300,$G1189&gt;1500,$H1189&lt;1,$H1189&gt;12,$I1189&lt;1,$I1189&gt;31),"نامعتبر",RIGHT("0000"&amp;$G1189,4)&amp;"/"&amp;RIGHT("00"&amp;$H1189,2)&amp;"/"&amp;RIGHT("00"&amp;$I1189,2)))</f>
        <v/>
      </c>
      <c r="K1189">
        <f>IF(OR($F1189="",$J1189="",$J1189="نامعتبر"),"",LEFT($J1189,4)&amp;MID($J1189,6,2)&amp;RIGHT($J1189,2)&amp;$N1189&amp;"|"&amp;"2"&amp;RIGHT("00000"&amp;1184,5))</f>
        <v/>
      </c>
      <c r="L1189">
        <f>IF($K1189="","",COUNTIFS(LdgPartyA,$F1189,LdgKeyA,"&lt;"&amp;$K1189)+COUNTIFS(LdgPartyB,$F1189,LdgKeyB,"&lt;"&amp;$K1189)+1)</f>
        <v/>
      </c>
      <c r="M1189">
        <f>IF($L1189="","",$F1189&amp;"|"&amp;RIGHT("000000"&amp;$L1189,6))</f>
        <v/>
      </c>
      <c r="N1189">
        <f>IF($F1189="","",IF(Sync!$AH1189="","0000",IF(AND(ISNUMBER(Sync!$AH1189),Sync!$AH1189&gt;=0,Sync!$AH1189&lt;1),RIGHT("00"&amp;HOUR(Sync!$AH1189),2)&amp;RIGHT("00"&amp;MINUTE(Sync!$AH1189),2),IFERROR(RIGHT("00"&amp;VALUE(LEFT(Sync!$AH1189,FIND(":",Sync!$AH1189)-1)),2)&amp;RIGHT("00"&amp;VALUE(MID(Sync!$AH1189,FIND(":",Sync!$AH1189)+1,2)),2),"0000"))))</f>
        <v/>
      </c>
    </row>
    <row r="1190">
      <c r="A1190">
        <f>IF(OR(Calc!$E1193="",Calc!$E1193="نامعتبر",Calc!$G1193="",Calc!$I1193&lt;&gt;"خرید"),"",Calc!$G1193)</f>
        <v/>
      </c>
      <c r="B1190">
        <f>IF($A1190="","",LEFT(Calc!$E1193,4)&amp;MID(Calc!$E1193,6,2)&amp;RIGHT(Calc!$E1193,2)&amp;Calc!$R1193&amp;"|"&amp;"1"&amp;RIGHT("00000"&amp;1185,5))</f>
        <v/>
      </c>
      <c r="C1190">
        <f>IF($B1190="","",COUNTIFS(LdgPartyA,$A1190,LdgKeyA,"&lt;"&amp;$B1190)+COUNTIFS(LdgPartyB,$A1190,LdgKeyB,"&lt;"&amp;$B1190)+1)</f>
        <v/>
      </c>
      <c r="D1190">
        <f>IF($C1190="","",$A1190&amp;"|"&amp;RIGHT("000000"&amp;$C1190,6))</f>
        <v/>
      </c>
      <c r="F1190">
        <f>IF(Sync!$AJ1190="","",Sync!$AJ1190)</f>
        <v/>
      </c>
      <c r="G1190">
        <f>IF($F1190="","",IF(Sync!$AG1190="","",IF(ISNUMBER(Sync!$AG1190),IF(AND(Sync!$AG1190&gt;=10000101,Sync!$AG1190&lt;=99991231),INT(Sync!$AG1190/10000),""),IFERROR(VALUE(TRIM(LEFT(Sync!$AG1190,FIND("/",Sync!$AG1190)-1))),""))))</f>
        <v/>
      </c>
      <c r="H1190">
        <f>IF(OR($F1190="",$G1190=""),"",IF(ISNUMBER(Sync!$AG1190),INT(MOD(Sync!$AG1190,10000)/100),IFERROR(VALUE(TRIM(LEFT(MID(Sync!$AG1190,FIND("/",Sync!$AG1190)+1,20),FIND("/",MID(Sync!$AG1190,FIND("/",Sync!$AG1190)+1,20))-1))),"")))</f>
        <v/>
      </c>
      <c r="I1190">
        <f>IF(OR($F1190="",$G1190=""),"",IF(ISNUMBER(Sync!$AG1190),MOD(Sync!$AG1190,100),IFERROR(VALUE(TRIM(MID(MID(Sync!$AG1190,FIND("/",Sync!$AG1190)+1,20),FIND("/",MID(Sync!$AG1190,FIND("/",Sync!$AG1190)+1,20))+1,20))),"")))</f>
        <v/>
      </c>
      <c r="J1190">
        <f>IF($F1190="","",IF(OR($G1190="",$H1190="",$I1190="",$G1190&lt;1300,$G1190&gt;1500,$H1190&lt;1,$H1190&gt;12,$I1190&lt;1,$I1190&gt;31),"نامعتبر",RIGHT("0000"&amp;$G1190,4)&amp;"/"&amp;RIGHT("00"&amp;$H1190,2)&amp;"/"&amp;RIGHT("00"&amp;$I1190,2)))</f>
        <v/>
      </c>
      <c r="K1190">
        <f>IF(OR($F1190="",$J1190="",$J1190="نامعتبر"),"",LEFT($J1190,4)&amp;MID($J1190,6,2)&amp;RIGHT($J1190,2)&amp;$N1190&amp;"|"&amp;"2"&amp;RIGHT("00000"&amp;1185,5))</f>
        <v/>
      </c>
      <c r="L1190">
        <f>IF($K1190="","",COUNTIFS(LdgPartyA,$F1190,LdgKeyA,"&lt;"&amp;$K1190)+COUNTIFS(LdgPartyB,$F1190,LdgKeyB,"&lt;"&amp;$K1190)+1)</f>
        <v/>
      </c>
      <c r="M1190">
        <f>IF($L1190="","",$F1190&amp;"|"&amp;RIGHT("000000"&amp;$L1190,6))</f>
        <v/>
      </c>
      <c r="N1190">
        <f>IF($F1190="","",IF(Sync!$AH1190="","0000",IF(AND(ISNUMBER(Sync!$AH1190),Sync!$AH1190&gt;=0,Sync!$AH1190&lt;1),RIGHT("00"&amp;HOUR(Sync!$AH1190),2)&amp;RIGHT("00"&amp;MINUTE(Sync!$AH1190),2),IFERROR(RIGHT("00"&amp;VALUE(LEFT(Sync!$AH1190,FIND(":",Sync!$AH1190)-1)),2)&amp;RIGHT("00"&amp;VALUE(MID(Sync!$AH1190,FIND(":",Sync!$AH1190)+1,2)),2),"0000"))))</f>
        <v/>
      </c>
    </row>
    <row r="1191">
      <c r="A1191">
        <f>IF(OR(Calc!$E1194="",Calc!$E1194="نامعتبر",Calc!$G1194="",Calc!$I1194&lt;&gt;"خرید"),"",Calc!$G1194)</f>
        <v/>
      </c>
      <c r="B1191">
        <f>IF($A1191="","",LEFT(Calc!$E1194,4)&amp;MID(Calc!$E1194,6,2)&amp;RIGHT(Calc!$E1194,2)&amp;Calc!$R1194&amp;"|"&amp;"1"&amp;RIGHT("00000"&amp;1186,5))</f>
        <v/>
      </c>
      <c r="C1191">
        <f>IF($B1191="","",COUNTIFS(LdgPartyA,$A1191,LdgKeyA,"&lt;"&amp;$B1191)+COUNTIFS(LdgPartyB,$A1191,LdgKeyB,"&lt;"&amp;$B1191)+1)</f>
        <v/>
      </c>
      <c r="D1191">
        <f>IF($C1191="","",$A1191&amp;"|"&amp;RIGHT("000000"&amp;$C1191,6))</f>
        <v/>
      </c>
      <c r="F1191">
        <f>IF(Sync!$AJ1191="","",Sync!$AJ1191)</f>
        <v/>
      </c>
      <c r="G1191">
        <f>IF($F1191="","",IF(Sync!$AG1191="","",IF(ISNUMBER(Sync!$AG1191),IF(AND(Sync!$AG1191&gt;=10000101,Sync!$AG1191&lt;=99991231),INT(Sync!$AG1191/10000),""),IFERROR(VALUE(TRIM(LEFT(Sync!$AG1191,FIND("/",Sync!$AG1191)-1))),""))))</f>
        <v/>
      </c>
      <c r="H1191">
        <f>IF(OR($F1191="",$G1191=""),"",IF(ISNUMBER(Sync!$AG1191),INT(MOD(Sync!$AG1191,10000)/100),IFERROR(VALUE(TRIM(LEFT(MID(Sync!$AG1191,FIND("/",Sync!$AG1191)+1,20),FIND("/",MID(Sync!$AG1191,FIND("/",Sync!$AG1191)+1,20))-1))),"")))</f>
        <v/>
      </c>
      <c r="I1191">
        <f>IF(OR($F1191="",$G1191=""),"",IF(ISNUMBER(Sync!$AG1191),MOD(Sync!$AG1191,100),IFERROR(VALUE(TRIM(MID(MID(Sync!$AG1191,FIND("/",Sync!$AG1191)+1,20),FIND("/",MID(Sync!$AG1191,FIND("/",Sync!$AG1191)+1,20))+1,20))),"")))</f>
        <v/>
      </c>
      <c r="J1191">
        <f>IF($F1191="","",IF(OR($G1191="",$H1191="",$I1191="",$G1191&lt;1300,$G1191&gt;1500,$H1191&lt;1,$H1191&gt;12,$I1191&lt;1,$I1191&gt;31),"نامعتبر",RIGHT("0000"&amp;$G1191,4)&amp;"/"&amp;RIGHT("00"&amp;$H1191,2)&amp;"/"&amp;RIGHT("00"&amp;$I1191,2)))</f>
        <v/>
      </c>
      <c r="K1191">
        <f>IF(OR($F1191="",$J1191="",$J1191="نامعتبر"),"",LEFT($J1191,4)&amp;MID($J1191,6,2)&amp;RIGHT($J1191,2)&amp;$N1191&amp;"|"&amp;"2"&amp;RIGHT("00000"&amp;1186,5))</f>
        <v/>
      </c>
      <c r="L1191">
        <f>IF($K1191="","",COUNTIFS(LdgPartyA,$F1191,LdgKeyA,"&lt;"&amp;$K1191)+COUNTIFS(LdgPartyB,$F1191,LdgKeyB,"&lt;"&amp;$K1191)+1)</f>
        <v/>
      </c>
      <c r="M1191">
        <f>IF($L1191="","",$F1191&amp;"|"&amp;RIGHT("000000"&amp;$L1191,6))</f>
        <v/>
      </c>
      <c r="N1191">
        <f>IF($F1191="","",IF(Sync!$AH1191="","0000",IF(AND(ISNUMBER(Sync!$AH1191),Sync!$AH1191&gt;=0,Sync!$AH1191&lt;1),RIGHT("00"&amp;HOUR(Sync!$AH1191),2)&amp;RIGHT("00"&amp;MINUTE(Sync!$AH1191),2),IFERROR(RIGHT("00"&amp;VALUE(LEFT(Sync!$AH1191,FIND(":",Sync!$AH1191)-1)),2)&amp;RIGHT("00"&amp;VALUE(MID(Sync!$AH1191,FIND(":",Sync!$AH1191)+1,2)),2),"0000"))))</f>
        <v/>
      </c>
    </row>
    <row r="1192">
      <c r="A1192">
        <f>IF(OR(Calc!$E1195="",Calc!$E1195="نامعتبر",Calc!$G1195="",Calc!$I1195&lt;&gt;"خرید"),"",Calc!$G1195)</f>
        <v/>
      </c>
      <c r="B1192">
        <f>IF($A1192="","",LEFT(Calc!$E1195,4)&amp;MID(Calc!$E1195,6,2)&amp;RIGHT(Calc!$E1195,2)&amp;Calc!$R1195&amp;"|"&amp;"1"&amp;RIGHT("00000"&amp;1187,5))</f>
        <v/>
      </c>
      <c r="C1192">
        <f>IF($B1192="","",COUNTIFS(LdgPartyA,$A1192,LdgKeyA,"&lt;"&amp;$B1192)+COUNTIFS(LdgPartyB,$A1192,LdgKeyB,"&lt;"&amp;$B1192)+1)</f>
        <v/>
      </c>
      <c r="D1192">
        <f>IF($C1192="","",$A1192&amp;"|"&amp;RIGHT("000000"&amp;$C1192,6))</f>
        <v/>
      </c>
      <c r="F1192">
        <f>IF(Sync!$AJ1192="","",Sync!$AJ1192)</f>
        <v/>
      </c>
      <c r="G1192">
        <f>IF($F1192="","",IF(Sync!$AG1192="","",IF(ISNUMBER(Sync!$AG1192),IF(AND(Sync!$AG1192&gt;=10000101,Sync!$AG1192&lt;=99991231),INT(Sync!$AG1192/10000),""),IFERROR(VALUE(TRIM(LEFT(Sync!$AG1192,FIND("/",Sync!$AG1192)-1))),""))))</f>
        <v/>
      </c>
      <c r="H1192">
        <f>IF(OR($F1192="",$G1192=""),"",IF(ISNUMBER(Sync!$AG1192),INT(MOD(Sync!$AG1192,10000)/100),IFERROR(VALUE(TRIM(LEFT(MID(Sync!$AG1192,FIND("/",Sync!$AG1192)+1,20),FIND("/",MID(Sync!$AG1192,FIND("/",Sync!$AG1192)+1,20))-1))),"")))</f>
        <v/>
      </c>
      <c r="I1192">
        <f>IF(OR($F1192="",$G1192=""),"",IF(ISNUMBER(Sync!$AG1192),MOD(Sync!$AG1192,100),IFERROR(VALUE(TRIM(MID(MID(Sync!$AG1192,FIND("/",Sync!$AG1192)+1,20),FIND("/",MID(Sync!$AG1192,FIND("/",Sync!$AG1192)+1,20))+1,20))),"")))</f>
        <v/>
      </c>
      <c r="J1192">
        <f>IF($F1192="","",IF(OR($G1192="",$H1192="",$I1192="",$G1192&lt;1300,$G1192&gt;1500,$H1192&lt;1,$H1192&gt;12,$I1192&lt;1,$I1192&gt;31),"نامعتبر",RIGHT("0000"&amp;$G1192,4)&amp;"/"&amp;RIGHT("00"&amp;$H1192,2)&amp;"/"&amp;RIGHT("00"&amp;$I1192,2)))</f>
        <v/>
      </c>
      <c r="K1192">
        <f>IF(OR($F1192="",$J1192="",$J1192="نامعتبر"),"",LEFT($J1192,4)&amp;MID($J1192,6,2)&amp;RIGHT($J1192,2)&amp;$N1192&amp;"|"&amp;"2"&amp;RIGHT("00000"&amp;1187,5))</f>
        <v/>
      </c>
      <c r="L1192">
        <f>IF($K1192="","",COUNTIFS(LdgPartyA,$F1192,LdgKeyA,"&lt;"&amp;$K1192)+COUNTIFS(LdgPartyB,$F1192,LdgKeyB,"&lt;"&amp;$K1192)+1)</f>
        <v/>
      </c>
      <c r="M1192">
        <f>IF($L1192="","",$F1192&amp;"|"&amp;RIGHT("000000"&amp;$L1192,6))</f>
        <v/>
      </c>
      <c r="N1192">
        <f>IF($F1192="","",IF(Sync!$AH1192="","0000",IF(AND(ISNUMBER(Sync!$AH1192),Sync!$AH1192&gt;=0,Sync!$AH1192&lt;1),RIGHT("00"&amp;HOUR(Sync!$AH1192),2)&amp;RIGHT("00"&amp;MINUTE(Sync!$AH1192),2),IFERROR(RIGHT("00"&amp;VALUE(LEFT(Sync!$AH1192,FIND(":",Sync!$AH1192)-1)),2)&amp;RIGHT("00"&amp;VALUE(MID(Sync!$AH1192,FIND(":",Sync!$AH1192)+1,2)),2),"0000"))))</f>
        <v/>
      </c>
    </row>
    <row r="1193">
      <c r="A1193">
        <f>IF(OR(Calc!$E1196="",Calc!$E1196="نامعتبر",Calc!$G1196="",Calc!$I1196&lt;&gt;"خرید"),"",Calc!$G1196)</f>
        <v/>
      </c>
      <c r="B1193">
        <f>IF($A1193="","",LEFT(Calc!$E1196,4)&amp;MID(Calc!$E1196,6,2)&amp;RIGHT(Calc!$E1196,2)&amp;Calc!$R1196&amp;"|"&amp;"1"&amp;RIGHT("00000"&amp;1188,5))</f>
        <v/>
      </c>
      <c r="C1193">
        <f>IF($B1193="","",COUNTIFS(LdgPartyA,$A1193,LdgKeyA,"&lt;"&amp;$B1193)+COUNTIFS(LdgPartyB,$A1193,LdgKeyB,"&lt;"&amp;$B1193)+1)</f>
        <v/>
      </c>
      <c r="D1193">
        <f>IF($C1193="","",$A1193&amp;"|"&amp;RIGHT("000000"&amp;$C1193,6))</f>
        <v/>
      </c>
      <c r="F1193">
        <f>IF(Sync!$AJ1193="","",Sync!$AJ1193)</f>
        <v/>
      </c>
      <c r="G1193">
        <f>IF($F1193="","",IF(Sync!$AG1193="","",IF(ISNUMBER(Sync!$AG1193),IF(AND(Sync!$AG1193&gt;=10000101,Sync!$AG1193&lt;=99991231),INT(Sync!$AG1193/10000),""),IFERROR(VALUE(TRIM(LEFT(Sync!$AG1193,FIND("/",Sync!$AG1193)-1))),""))))</f>
        <v/>
      </c>
      <c r="H1193">
        <f>IF(OR($F1193="",$G1193=""),"",IF(ISNUMBER(Sync!$AG1193),INT(MOD(Sync!$AG1193,10000)/100),IFERROR(VALUE(TRIM(LEFT(MID(Sync!$AG1193,FIND("/",Sync!$AG1193)+1,20),FIND("/",MID(Sync!$AG1193,FIND("/",Sync!$AG1193)+1,20))-1))),"")))</f>
        <v/>
      </c>
      <c r="I1193">
        <f>IF(OR($F1193="",$G1193=""),"",IF(ISNUMBER(Sync!$AG1193),MOD(Sync!$AG1193,100),IFERROR(VALUE(TRIM(MID(MID(Sync!$AG1193,FIND("/",Sync!$AG1193)+1,20),FIND("/",MID(Sync!$AG1193,FIND("/",Sync!$AG1193)+1,20))+1,20))),"")))</f>
        <v/>
      </c>
      <c r="J1193">
        <f>IF($F1193="","",IF(OR($G1193="",$H1193="",$I1193="",$G1193&lt;1300,$G1193&gt;1500,$H1193&lt;1,$H1193&gt;12,$I1193&lt;1,$I1193&gt;31),"نامعتبر",RIGHT("0000"&amp;$G1193,4)&amp;"/"&amp;RIGHT("00"&amp;$H1193,2)&amp;"/"&amp;RIGHT("00"&amp;$I1193,2)))</f>
        <v/>
      </c>
      <c r="K1193">
        <f>IF(OR($F1193="",$J1193="",$J1193="نامعتبر"),"",LEFT($J1193,4)&amp;MID($J1193,6,2)&amp;RIGHT($J1193,2)&amp;$N1193&amp;"|"&amp;"2"&amp;RIGHT("00000"&amp;1188,5))</f>
        <v/>
      </c>
      <c r="L1193">
        <f>IF($K1193="","",COUNTIFS(LdgPartyA,$F1193,LdgKeyA,"&lt;"&amp;$K1193)+COUNTIFS(LdgPartyB,$F1193,LdgKeyB,"&lt;"&amp;$K1193)+1)</f>
        <v/>
      </c>
      <c r="M1193">
        <f>IF($L1193="","",$F1193&amp;"|"&amp;RIGHT("000000"&amp;$L1193,6))</f>
        <v/>
      </c>
      <c r="N1193">
        <f>IF($F1193="","",IF(Sync!$AH1193="","0000",IF(AND(ISNUMBER(Sync!$AH1193),Sync!$AH1193&gt;=0,Sync!$AH1193&lt;1),RIGHT("00"&amp;HOUR(Sync!$AH1193),2)&amp;RIGHT("00"&amp;MINUTE(Sync!$AH1193),2),IFERROR(RIGHT("00"&amp;VALUE(LEFT(Sync!$AH1193,FIND(":",Sync!$AH1193)-1)),2)&amp;RIGHT("00"&amp;VALUE(MID(Sync!$AH1193,FIND(":",Sync!$AH1193)+1,2)),2),"0000"))))</f>
        <v/>
      </c>
    </row>
    <row r="1194">
      <c r="A1194">
        <f>IF(OR(Calc!$E1197="",Calc!$E1197="نامعتبر",Calc!$G1197="",Calc!$I1197&lt;&gt;"خرید"),"",Calc!$G1197)</f>
        <v/>
      </c>
      <c r="B1194">
        <f>IF($A1194="","",LEFT(Calc!$E1197,4)&amp;MID(Calc!$E1197,6,2)&amp;RIGHT(Calc!$E1197,2)&amp;Calc!$R1197&amp;"|"&amp;"1"&amp;RIGHT("00000"&amp;1189,5))</f>
        <v/>
      </c>
      <c r="C1194">
        <f>IF($B1194="","",COUNTIFS(LdgPartyA,$A1194,LdgKeyA,"&lt;"&amp;$B1194)+COUNTIFS(LdgPartyB,$A1194,LdgKeyB,"&lt;"&amp;$B1194)+1)</f>
        <v/>
      </c>
      <c r="D1194">
        <f>IF($C1194="","",$A1194&amp;"|"&amp;RIGHT("000000"&amp;$C1194,6))</f>
        <v/>
      </c>
      <c r="F1194">
        <f>IF(Sync!$AJ1194="","",Sync!$AJ1194)</f>
        <v/>
      </c>
      <c r="G1194">
        <f>IF($F1194="","",IF(Sync!$AG1194="","",IF(ISNUMBER(Sync!$AG1194),IF(AND(Sync!$AG1194&gt;=10000101,Sync!$AG1194&lt;=99991231),INT(Sync!$AG1194/10000),""),IFERROR(VALUE(TRIM(LEFT(Sync!$AG1194,FIND("/",Sync!$AG1194)-1))),""))))</f>
        <v/>
      </c>
      <c r="H1194">
        <f>IF(OR($F1194="",$G1194=""),"",IF(ISNUMBER(Sync!$AG1194),INT(MOD(Sync!$AG1194,10000)/100),IFERROR(VALUE(TRIM(LEFT(MID(Sync!$AG1194,FIND("/",Sync!$AG1194)+1,20),FIND("/",MID(Sync!$AG1194,FIND("/",Sync!$AG1194)+1,20))-1))),"")))</f>
        <v/>
      </c>
      <c r="I1194">
        <f>IF(OR($F1194="",$G1194=""),"",IF(ISNUMBER(Sync!$AG1194),MOD(Sync!$AG1194,100),IFERROR(VALUE(TRIM(MID(MID(Sync!$AG1194,FIND("/",Sync!$AG1194)+1,20),FIND("/",MID(Sync!$AG1194,FIND("/",Sync!$AG1194)+1,20))+1,20))),"")))</f>
        <v/>
      </c>
      <c r="J1194">
        <f>IF($F1194="","",IF(OR($G1194="",$H1194="",$I1194="",$G1194&lt;1300,$G1194&gt;1500,$H1194&lt;1,$H1194&gt;12,$I1194&lt;1,$I1194&gt;31),"نامعتبر",RIGHT("0000"&amp;$G1194,4)&amp;"/"&amp;RIGHT("00"&amp;$H1194,2)&amp;"/"&amp;RIGHT("00"&amp;$I1194,2)))</f>
        <v/>
      </c>
      <c r="K1194">
        <f>IF(OR($F1194="",$J1194="",$J1194="نامعتبر"),"",LEFT($J1194,4)&amp;MID($J1194,6,2)&amp;RIGHT($J1194,2)&amp;$N1194&amp;"|"&amp;"2"&amp;RIGHT("00000"&amp;1189,5))</f>
        <v/>
      </c>
      <c r="L1194">
        <f>IF($K1194="","",COUNTIFS(LdgPartyA,$F1194,LdgKeyA,"&lt;"&amp;$K1194)+COUNTIFS(LdgPartyB,$F1194,LdgKeyB,"&lt;"&amp;$K1194)+1)</f>
        <v/>
      </c>
      <c r="M1194">
        <f>IF($L1194="","",$F1194&amp;"|"&amp;RIGHT("000000"&amp;$L1194,6))</f>
        <v/>
      </c>
      <c r="N1194">
        <f>IF($F1194="","",IF(Sync!$AH1194="","0000",IF(AND(ISNUMBER(Sync!$AH1194),Sync!$AH1194&gt;=0,Sync!$AH1194&lt;1),RIGHT("00"&amp;HOUR(Sync!$AH1194),2)&amp;RIGHT("00"&amp;MINUTE(Sync!$AH1194),2),IFERROR(RIGHT("00"&amp;VALUE(LEFT(Sync!$AH1194,FIND(":",Sync!$AH1194)-1)),2)&amp;RIGHT("00"&amp;VALUE(MID(Sync!$AH1194,FIND(":",Sync!$AH1194)+1,2)),2),"0000"))))</f>
        <v/>
      </c>
    </row>
    <row r="1195">
      <c r="A1195">
        <f>IF(OR(Calc!$E1198="",Calc!$E1198="نامعتبر",Calc!$G1198="",Calc!$I1198&lt;&gt;"خرید"),"",Calc!$G1198)</f>
        <v/>
      </c>
      <c r="B1195">
        <f>IF($A1195="","",LEFT(Calc!$E1198,4)&amp;MID(Calc!$E1198,6,2)&amp;RIGHT(Calc!$E1198,2)&amp;Calc!$R1198&amp;"|"&amp;"1"&amp;RIGHT("00000"&amp;1190,5))</f>
        <v/>
      </c>
      <c r="C1195">
        <f>IF($B1195="","",COUNTIFS(LdgPartyA,$A1195,LdgKeyA,"&lt;"&amp;$B1195)+COUNTIFS(LdgPartyB,$A1195,LdgKeyB,"&lt;"&amp;$B1195)+1)</f>
        <v/>
      </c>
      <c r="D1195">
        <f>IF($C1195="","",$A1195&amp;"|"&amp;RIGHT("000000"&amp;$C1195,6))</f>
        <v/>
      </c>
      <c r="F1195">
        <f>IF(Sync!$AJ1195="","",Sync!$AJ1195)</f>
        <v/>
      </c>
      <c r="G1195">
        <f>IF($F1195="","",IF(Sync!$AG1195="","",IF(ISNUMBER(Sync!$AG1195),IF(AND(Sync!$AG1195&gt;=10000101,Sync!$AG1195&lt;=99991231),INT(Sync!$AG1195/10000),""),IFERROR(VALUE(TRIM(LEFT(Sync!$AG1195,FIND("/",Sync!$AG1195)-1))),""))))</f>
        <v/>
      </c>
      <c r="H1195">
        <f>IF(OR($F1195="",$G1195=""),"",IF(ISNUMBER(Sync!$AG1195),INT(MOD(Sync!$AG1195,10000)/100),IFERROR(VALUE(TRIM(LEFT(MID(Sync!$AG1195,FIND("/",Sync!$AG1195)+1,20),FIND("/",MID(Sync!$AG1195,FIND("/",Sync!$AG1195)+1,20))-1))),"")))</f>
        <v/>
      </c>
      <c r="I1195">
        <f>IF(OR($F1195="",$G1195=""),"",IF(ISNUMBER(Sync!$AG1195),MOD(Sync!$AG1195,100),IFERROR(VALUE(TRIM(MID(MID(Sync!$AG1195,FIND("/",Sync!$AG1195)+1,20),FIND("/",MID(Sync!$AG1195,FIND("/",Sync!$AG1195)+1,20))+1,20))),"")))</f>
        <v/>
      </c>
      <c r="J1195">
        <f>IF($F1195="","",IF(OR($G1195="",$H1195="",$I1195="",$G1195&lt;1300,$G1195&gt;1500,$H1195&lt;1,$H1195&gt;12,$I1195&lt;1,$I1195&gt;31),"نامعتبر",RIGHT("0000"&amp;$G1195,4)&amp;"/"&amp;RIGHT("00"&amp;$H1195,2)&amp;"/"&amp;RIGHT("00"&amp;$I1195,2)))</f>
        <v/>
      </c>
      <c r="K1195">
        <f>IF(OR($F1195="",$J1195="",$J1195="نامعتبر"),"",LEFT($J1195,4)&amp;MID($J1195,6,2)&amp;RIGHT($J1195,2)&amp;$N1195&amp;"|"&amp;"2"&amp;RIGHT("00000"&amp;1190,5))</f>
        <v/>
      </c>
      <c r="L1195">
        <f>IF($K1195="","",COUNTIFS(LdgPartyA,$F1195,LdgKeyA,"&lt;"&amp;$K1195)+COUNTIFS(LdgPartyB,$F1195,LdgKeyB,"&lt;"&amp;$K1195)+1)</f>
        <v/>
      </c>
      <c r="M1195">
        <f>IF($L1195="","",$F1195&amp;"|"&amp;RIGHT("000000"&amp;$L1195,6))</f>
        <v/>
      </c>
      <c r="N1195">
        <f>IF($F1195="","",IF(Sync!$AH1195="","0000",IF(AND(ISNUMBER(Sync!$AH1195),Sync!$AH1195&gt;=0,Sync!$AH1195&lt;1),RIGHT("00"&amp;HOUR(Sync!$AH1195),2)&amp;RIGHT("00"&amp;MINUTE(Sync!$AH1195),2),IFERROR(RIGHT("00"&amp;VALUE(LEFT(Sync!$AH1195,FIND(":",Sync!$AH1195)-1)),2)&amp;RIGHT("00"&amp;VALUE(MID(Sync!$AH1195,FIND(":",Sync!$AH1195)+1,2)),2),"0000"))))</f>
        <v/>
      </c>
    </row>
    <row r="1196">
      <c r="A1196">
        <f>IF(OR(Calc!$E1199="",Calc!$E1199="نامعتبر",Calc!$G1199="",Calc!$I1199&lt;&gt;"خرید"),"",Calc!$G1199)</f>
        <v/>
      </c>
      <c r="B1196">
        <f>IF($A1196="","",LEFT(Calc!$E1199,4)&amp;MID(Calc!$E1199,6,2)&amp;RIGHT(Calc!$E1199,2)&amp;Calc!$R1199&amp;"|"&amp;"1"&amp;RIGHT("00000"&amp;1191,5))</f>
        <v/>
      </c>
      <c r="C1196">
        <f>IF($B1196="","",COUNTIFS(LdgPartyA,$A1196,LdgKeyA,"&lt;"&amp;$B1196)+COUNTIFS(LdgPartyB,$A1196,LdgKeyB,"&lt;"&amp;$B1196)+1)</f>
        <v/>
      </c>
      <c r="D1196">
        <f>IF($C1196="","",$A1196&amp;"|"&amp;RIGHT("000000"&amp;$C1196,6))</f>
        <v/>
      </c>
      <c r="F1196">
        <f>IF(Sync!$AJ1196="","",Sync!$AJ1196)</f>
        <v/>
      </c>
      <c r="G1196">
        <f>IF($F1196="","",IF(Sync!$AG1196="","",IF(ISNUMBER(Sync!$AG1196),IF(AND(Sync!$AG1196&gt;=10000101,Sync!$AG1196&lt;=99991231),INT(Sync!$AG1196/10000),""),IFERROR(VALUE(TRIM(LEFT(Sync!$AG1196,FIND("/",Sync!$AG1196)-1))),""))))</f>
        <v/>
      </c>
      <c r="H1196">
        <f>IF(OR($F1196="",$G1196=""),"",IF(ISNUMBER(Sync!$AG1196),INT(MOD(Sync!$AG1196,10000)/100),IFERROR(VALUE(TRIM(LEFT(MID(Sync!$AG1196,FIND("/",Sync!$AG1196)+1,20),FIND("/",MID(Sync!$AG1196,FIND("/",Sync!$AG1196)+1,20))-1))),"")))</f>
        <v/>
      </c>
      <c r="I1196">
        <f>IF(OR($F1196="",$G1196=""),"",IF(ISNUMBER(Sync!$AG1196),MOD(Sync!$AG1196,100),IFERROR(VALUE(TRIM(MID(MID(Sync!$AG1196,FIND("/",Sync!$AG1196)+1,20),FIND("/",MID(Sync!$AG1196,FIND("/",Sync!$AG1196)+1,20))+1,20))),"")))</f>
        <v/>
      </c>
      <c r="J1196">
        <f>IF($F1196="","",IF(OR($G1196="",$H1196="",$I1196="",$G1196&lt;1300,$G1196&gt;1500,$H1196&lt;1,$H1196&gt;12,$I1196&lt;1,$I1196&gt;31),"نامعتبر",RIGHT("0000"&amp;$G1196,4)&amp;"/"&amp;RIGHT("00"&amp;$H1196,2)&amp;"/"&amp;RIGHT("00"&amp;$I1196,2)))</f>
        <v/>
      </c>
      <c r="K1196">
        <f>IF(OR($F1196="",$J1196="",$J1196="نامعتبر"),"",LEFT($J1196,4)&amp;MID($J1196,6,2)&amp;RIGHT($J1196,2)&amp;$N1196&amp;"|"&amp;"2"&amp;RIGHT("00000"&amp;1191,5))</f>
        <v/>
      </c>
      <c r="L1196">
        <f>IF($K1196="","",COUNTIFS(LdgPartyA,$F1196,LdgKeyA,"&lt;"&amp;$K1196)+COUNTIFS(LdgPartyB,$F1196,LdgKeyB,"&lt;"&amp;$K1196)+1)</f>
        <v/>
      </c>
      <c r="M1196">
        <f>IF($L1196="","",$F1196&amp;"|"&amp;RIGHT("000000"&amp;$L1196,6))</f>
        <v/>
      </c>
      <c r="N1196">
        <f>IF($F1196="","",IF(Sync!$AH1196="","0000",IF(AND(ISNUMBER(Sync!$AH1196),Sync!$AH1196&gt;=0,Sync!$AH1196&lt;1),RIGHT("00"&amp;HOUR(Sync!$AH1196),2)&amp;RIGHT("00"&amp;MINUTE(Sync!$AH1196),2),IFERROR(RIGHT("00"&amp;VALUE(LEFT(Sync!$AH1196,FIND(":",Sync!$AH1196)-1)),2)&amp;RIGHT("00"&amp;VALUE(MID(Sync!$AH1196,FIND(":",Sync!$AH1196)+1,2)),2),"0000"))))</f>
        <v/>
      </c>
    </row>
    <row r="1197">
      <c r="A1197">
        <f>IF(OR(Calc!$E1200="",Calc!$E1200="نامعتبر",Calc!$G1200="",Calc!$I1200&lt;&gt;"خرید"),"",Calc!$G1200)</f>
        <v/>
      </c>
      <c r="B1197">
        <f>IF($A1197="","",LEFT(Calc!$E1200,4)&amp;MID(Calc!$E1200,6,2)&amp;RIGHT(Calc!$E1200,2)&amp;Calc!$R1200&amp;"|"&amp;"1"&amp;RIGHT("00000"&amp;1192,5))</f>
        <v/>
      </c>
      <c r="C1197">
        <f>IF($B1197="","",COUNTIFS(LdgPartyA,$A1197,LdgKeyA,"&lt;"&amp;$B1197)+COUNTIFS(LdgPartyB,$A1197,LdgKeyB,"&lt;"&amp;$B1197)+1)</f>
        <v/>
      </c>
      <c r="D1197">
        <f>IF($C1197="","",$A1197&amp;"|"&amp;RIGHT("000000"&amp;$C1197,6))</f>
        <v/>
      </c>
      <c r="F1197">
        <f>IF(Sync!$AJ1197="","",Sync!$AJ1197)</f>
        <v/>
      </c>
      <c r="G1197">
        <f>IF($F1197="","",IF(Sync!$AG1197="","",IF(ISNUMBER(Sync!$AG1197),IF(AND(Sync!$AG1197&gt;=10000101,Sync!$AG1197&lt;=99991231),INT(Sync!$AG1197/10000),""),IFERROR(VALUE(TRIM(LEFT(Sync!$AG1197,FIND("/",Sync!$AG1197)-1))),""))))</f>
        <v/>
      </c>
      <c r="H1197">
        <f>IF(OR($F1197="",$G1197=""),"",IF(ISNUMBER(Sync!$AG1197),INT(MOD(Sync!$AG1197,10000)/100),IFERROR(VALUE(TRIM(LEFT(MID(Sync!$AG1197,FIND("/",Sync!$AG1197)+1,20),FIND("/",MID(Sync!$AG1197,FIND("/",Sync!$AG1197)+1,20))-1))),"")))</f>
        <v/>
      </c>
      <c r="I1197">
        <f>IF(OR($F1197="",$G1197=""),"",IF(ISNUMBER(Sync!$AG1197),MOD(Sync!$AG1197,100),IFERROR(VALUE(TRIM(MID(MID(Sync!$AG1197,FIND("/",Sync!$AG1197)+1,20),FIND("/",MID(Sync!$AG1197,FIND("/",Sync!$AG1197)+1,20))+1,20))),"")))</f>
        <v/>
      </c>
      <c r="J1197">
        <f>IF($F1197="","",IF(OR($G1197="",$H1197="",$I1197="",$G1197&lt;1300,$G1197&gt;1500,$H1197&lt;1,$H1197&gt;12,$I1197&lt;1,$I1197&gt;31),"نامعتبر",RIGHT("0000"&amp;$G1197,4)&amp;"/"&amp;RIGHT("00"&amp;$H1197,2)&amp;"/"&amp;RIGHT("00"&amp;$I1197,2)))</f>
        <v/>
      </c>
      <c r="K1197">
        <f>IF(OR($F1197="",$J1197="",$J1197="نامعتبر"),"",LEFT($J1197,4)&amp;MID($J1197,6,2)&amp;RIGHT($J1197,2)&amp;$N1197&amp;"|"&amp;"2"&amp;RIGHT("00000"&amp;1192,5))</f>
        <v/>
      </c>
      <c r="L1197">
        <f>IF($K1197="","",COUNTIFS(LdgPartyA,$F1197,LdgKeyA,"&lt;"&amp;$K1197)+COUNTIFS(LdgPartyB,$F1197,LdgKeyB,"&lt;"&amp;$K1197)+1)</f>
        <v/>
      </c>
      <c r="M1197">
        <f>IF($L1197="","",$F1197&amp;"|"&amp;RIGHT("000000"&amp;$L1197,6))</f>
        <v/>
      </c>
      <c r="N1197">
        <f>IF($F1197="","",IF(Sync!$AH1197="","0000",IF(AND(ISNUMBER(Sync!$AH1197),Sync!$AH1197&gt;=0,Sync!$AH1197&lt;1),RIGHT("00"&amp;HOUR(Sync!$AH1197),2)&amp;RIGHT("00"&amp;MINUTE(Sync!$AH1197),2),IFERROR(RIGHT("00"&amp;VALUE(LEFT(Sync!$AH1197,FIND(":",Sync!$AH1197)-1)),2)&amp;RIGHT("00"&amp;VALUE(MID(Sync!$AH1197,FIND(":",Sync!$AH1197)+1,2)),2),"0000"))))</f>
        <v/>
      </c>
    </row>
    <row r="1198">
      <c r="A1198">
        <f>IF(OR(Calc!$E1201="",Calc!$E1201="نامعتبر",Calc!$G1201="",Calc!$I1201&lt;&gt;"خرید"),"",Calc!$G1201)</f>
        <v/>
      </c>
      <c r="B1198">
        <f>IF($A1198="","",LEFT(Calc!$E1201,4)&amp;MID(Calc!$E1201,6,2)&amp;RIGHT(Calc!$E1201,2)&amp;Calc!$R1201&amp;"|"&amp;"1"&amp;RIGHT("00000"&amp;1193,5))</f>
        <v/>
      </c>
      <c r="C1198">
        <f>IF($B1198="","",COUNTIFS(LdgPartyA,$A1198,LdgKeyA,"&lt;"&amp;$B1198)+COUNTIFS(LdgPartyB,$A1198,LdgKeyB,"&lt;"&amp;$B1198)+1)</f>
        <v/>
      </c>
      <c r="D1198">
        <f>IF($C1198="","",$A1198&amp;"|"&amp;RIGHT("000000"&amp;$C1198,6))</f>
        <v/>
      </c>
      <c r="F1198">
        <f>IF(Sync!$AJ1198="","",Sync!$AJ1198)</f>
        <v/>
      </c>
      <c r="G1198">
        <f>IF($F1198="","",IF(Sync!$AG1198="","",IF(ISNUMBER(Sync!$AG1198),IF(AND(Sync!$AG1198&gt;=10000101,Sync!$AG1198&lt;=99991231),INT(Sync!$AG1198/10000),""),IFERROR(VALUE(TRIM(LEFT(Sync!$AG1198,FIND("/",Sync!$AG1198)-1))),""))))</f>
        <v/>
      </c>
      <c r="H1198">
        <f>IF(OR($F1198="",$G1198=""),"",IF(ISNUMBER(Sync!$AG1198),INT(MOD(Sync!$AG1198,10000)/100),IFERROR(VALUE(TRIM(LEFT(MID(Sync!$AG1198,FIND("/",Sync!$AG1198)+1,20),FIND("/",MID(Sync!$AG1198,FIND("/",Sync!$AG1198)+1,20))-1))),"")))</f>
        <v/>
      </c>
      <c r="I1198">
        <f>IF(OR($F1198="",$G1198=""),"",IF(ISNUMBER(Sync!$AG1198),MOD(Sync!$AG1198,100),IFERROR(VALUE(TRIM(MID(MID(Sync!$AG1198,FIND("/",Sync!$AG1198)+1,20),FIND("/",MID(Sync!$AG1198,FIND("/",Sync!$AG1198)+1,20))+1,20))),"")))</f>
        <v/>
      </c>
      <c r="J1198">
        <f>IF($F1198="","",IF(OR($G1198="",$H1198="",$I1198="",$G1198&lt;1300,$G1198&gt;1500,$H1198&lt;1,$H1198&gt;12,$I1198&lt;1,$I1198&gt;31),"نامعتبر",RIGHT("0000"&amp;$G1198,4)&amp;"/"&amp;RIGHT("00"&amp;$H1198,2)&amp;"/"&amp;RIGHT("00"&amp;$I1198,2)))</f>
        <v/>
      </c>
      <c r="K1198">
        <f>IF(OR($F1198="",$J1198="",$J1198="نامعتبر"),"",LEFT($J1198,4)&amp;MID($J1198,6,2)&amp;RIGHT($J1198,2)&amp;$N1198&amp;"|"&amp;"2"&amp;RIGHT("00000"&amp;1193,5))</f>
        <v/>
      </c>
      <c r="L1198">
        <f>IF($K1198="","",COUNTIFS(LdgPartyA,$F1198,LdgKeyA,"&lt;"&amp;$K1198)+COUNTIFS(LdgPartyB,$F1198,LdgKeyB,"&lt;"&amp;$K1198)+1)</f>
        <v/>
      </c>
      <c r="M1198">
        <f>IF($L1198="","",$F1198&amp;"|"&amp;RIGHT("000000"&amp;$L1198,6))</f>
        <v/>
      </c>
      <c r="N1198">
        <f>IF($F1198="","",IF(Sync!$AH1198="","0000",IF(AND(ISNUMBER(Sync!$AH1198),Sync!$AH1198&gt;=0,Sync!$AH1198&lt;1),RIGHT("00"&amp;HOUR(Sync!$AH1198),2)&amp;RIGHT("00"&amp;MINUTE(Sync!$AH1198),2),IFERROR(RIGHT("00"&amp;VALUE(LEFT(Sync!$AH1198,FIND(":",Sync!$AH1198)-1)),2)&amp;RIGHT("00"&amp;VALUE(MID(Sync!$AH1198,FIND(":",Sync!$AH1198)+1,2)),2),"0000"))))</f>
        <v/>
      </c>
    </row>
    <row r="1199">
      <c r="A1199">
        <f>IF(OR(Calc!$E1202="",Calc!$E1202="نامعتبر",Calc!$G1202="",Calc!$I1202&lt;&gt;"خرید"),"",Calc!$G1202)</f>
        <v/>
      </c>
      <c r="B1199">
        <f>IF($A1199="","",LEFT(Calc!$E1202,4)&amp;MID(Calc!$E1202,6,2)&amp;RIGHT(Calc!$E1202,2)&amp;Calc!$R1202&amp;"|"&amp;"1"&amp;RIGHT("00000"&amp;1194,5))</f>
        <v/>
      </c>
      <c r="C1199">
        <f>IF($B1199="","",COUNTIFS(LdgPartyA,$A1199,LdgKeyA,"&lt;"&amp;$B1199)+COUNTIFS(LdgPartyB,$A1199,LdgKeyB,"&lt;"&amp;$B1199)+1)</f>
        <v/>
      </c>
      <c r="D1199">
        <f>IF($C1199="","",$A1199&amp;"|"&amp;RIGHT("000000"&amp;$C1199,6))</f>
        <v/>
      </c>
      <c r="F1199">
        <f>IF(Sync!$AJ1199="","",Sync!$AJ1199)</f>
        <v/>
      </c>
      <c r="G1199">
        <f>IF($F1199="","",IF(Sync!$AG1199="","",IF(ISNUMBER(Sync!$AG1199),IF(AND(Sync!$AG1199&gt;=10000101,Sync!$AG1199&lt;=99991231),INT(Sync!$AG1199/10000),""),IFERROR(VALUE(TRIM(LEFT(Sync!$AG1199,FIND("/",Sync!$AG1199)-1))),""))))</f>
        <v/>
      </c>
      <c r="H1199">
        <f>IF(OR($F1199="",$G1199=""),"",IF(ISNUMBER(Sync!$AG1199),INT(MOD(Sync!$AG1199,10000)/100),IFERROR(VALUE(TRIM(LEFT(MID(Sync!$AG1199,FIND("/",Sync!$AG1199)+1,20),FIND("/",MID(Sync!$AG1199,FIND("/",Sync!$AG1199)+1,20))-1))),"")))</f>
        <v/>
      </c>
      <c r="I1199">
        <f>IF(OR($F1199="",$G1199=""),"",IF(ISNUMBER(Sync!$AG1199),MOD(Sync!$AG1199,100),IFERROR(VALUE(TRIM(MID(MID(Sync!$AG1199,FIND("/",Sync!$AG1199)+1,20),FIND("/",MID(Sync!$AG1199,FIND("/",Sync!$AG1199)+1,20))+1,20))),"")))</f>
        <v/>
      </c>
      <c r="J1199">
        <f>IF($F1199="","",IF(OR($G1199="",$H1199="",$I1199="",$G1199&lt;1300,$G1199&gt;1500,$H1199&lt;1,$H1199&gt;12,$I1199&lt;1,$I1199&gt;31),"نامعتبر",RIGHT("0000"&amp;$G1199,4)&amp;"/"&amp;RIGHT("00"&amp;$H1199,2)&amp;"/"&amp;RIGHT("00"&amp;$I1199,2)))</f>
        <v/>
      </c>
      <c r="K1199">
        <f>IF(OR($F1199="",$J1199="",$J1199="نامعتبر"),"",LEFT($J1199,4)&amp;MID($J1199,6,2)&amp;RIGHT($J1199,2)&amp;$N1199&amp;"|"&amp;"2"&amp;RIGHT("00000"&amp;1194,5))</f>
        <v/>
      </c>
      <c r="L1199">
        <f>IF($K1199="","",COUNTIFS(LdgPartyA,$F1199,LdgKeyA,"&lt;"&amp;$K1199)+COUNTIFS(LdgPartyB,$F1199,LdgKeyB,"&lt;"&amp;$K1199)+1)</f>
        <v/>
      </c>
      <c r="M1199">
        <f>IF($L1199="","",$F1199&amp;"|"&amp;RIGHT("000000"&amp;$L1199,6))</f>
        <v/>
      </c>
      <c r="N1199">
        <f>IF($F1199="","",IF(Sync!$AH1199="","0000",IF(AND(ISNUMBER(Sync!$AH1199),Sync!$AH1199&gt;=0,Sync!$AH1199&lt;1),RIGHT("00"&amp;HOUR(Sync!$AH1199),2)&amp;RIGHT("00"&amp;MINUTE(Sync!$AH1199),2),IFERROR(RIGHT("00"&amp;VALUE(LEFT(Sync!$AH1199,FIND(":",Sync!$AH1199)-1)),2)&amp;RIGHT("00"&amp;VALUE(MID(Sync!$AH1199,FIND(":",Sync!$AH1199)+1,2)),2),"0000"))))</f>
        <v/>
      </c>
    </row>
    <row r="1200">
      <c r="A1200">
        <f>IF(OR(Calc!$E1203="",Calc!$E1203="نامعتبر",Calc!$G1203="",Calc!$I1203&lt;&gt;"خرید"),"",Calc!$G1203)</f>
        <v/>
      </c>
      <c r="B1200">
        <f>IF($A1200="","",LEFT(Calc!$E1203,4)&amp;MID(Calc!$E1203,6,2)&amp;RIGHT(Calc!$E1203,2)&amp;Calc!$R1203&amp;"|"&amp;"1"&amp;RIGHT("00000"&amp;1195,5))</f>
        <v/>
      </c>
      <c r="C1200">
        <f>IF($B1200="","",COUNTIFS(LdgPartyA,$A1200,LdgKeyA,"&lt;"&amp;$B1200)+COUNTIFS(LdgPartyB,$A1200,LdgKeyB,"&lt;"&amp;$B1200)+1)</f>
        <v/>
      </c>
      <c r="D1200">
        <f>IF($C1200="","",$A1200&amp;"|"&amp;RIGHT("000000"&amp;$C1200,6))</f>
        <v/>
      </c>
      <c r="F1200">
        <f>IF(Sync!$AJ1200="","",Sync!$AJ1200)</f>
        <v/>
      </c>
      <c r="G1200">
        <f>IF($F1200="","",IF(Sync!$AG1200="","",IF(ISNUMBER(Sync!$AG1200),IF(AND(Sync!$AG1200&gt;=10000101,Sync!$AG1200&lt;=99991231),INT(Sync!$AG1200/10000),""),IFERROR(VALUE(TRIM(LEFT(Sync!$AG1200,FIND("/",Sync!$AG1200)-1))),""))))</f>
        <v/>
      </c>
      <c r="H1200">
        <f>IF(OR($F1200="",$G1200=""),"",IF(ISNUMBER(Sync!$AG1200),INT(MOD(Sync!$AG1200,10000)/100),IFERROR(VALUE(TRIM(LEFT(MID(Sync!$AG1200,FIND("/",Sync!$AG1200)+1,20),FIND("/",MID(Sync!$AG1200,FIND("/",Sync!$AG1200)+1,20))-1))),"")))</f>
        <v/>
      </c>
      <c r="I1200">
        <f>IF(OR($F1200="",$G1200=""),"",IF(ISNUMBER(Sync!$AG1200),MOD(Sync!$AG1200,100),IFERROR(VALUE(TRIM(MID(MID(Sync!$AG1200,FIND("/",Sync!$AG1200)+1,20),FIND("/",MID(Sync!$AG1200,FIND("/",Sync!$AG1200)+1,20))+1,20))),"")))</f>
        <v/>
      </c>
      <c r="J1200">
        <f>IF($F1200="","",IF(OR($G1200="",$H1200="",$I1200="",$G1200&lt;1300,$G1200&gt;1500,$H1200&lt;1,$H1200&gt;12,$I1200&lt;1,$I1200&gt;31),"نامعتبر",RIGHT("0000"&amp;$G1200,4)&amp;"/"&amp;RIGHT("00"&amp;$H1200,2)&amp;"/"&amp;RIGHT("00"&amp;$I1200,2)))</f>
        <v/>
      </c>
      <c r="K1200">
        <f>IF(OR($F1200="",$J1200="",$J1200="نامعتبر"),"",LEFT($J1200,4)&amp;MID($J1200,6,2)&amp;RIGHT($J1200,2)&amp;$N1200&amp;"|"&amp;"2"&amp;RIGHT("00000"&amp;1195,5))</f>
        <v/>
      </c>
      <c r="L1200">
        <f>IF($K1200="","",COUNTIFS(LdgPartyA,$F1200,LdgKeyA,"&lt;"&amp;$K1200)+COUNTIFS(LdgPartyB,$F1200,LdgKeyB,"&lt;"&amp;$K1200)+1)</f>
        <v/>
      </c>
      <c r="M1200">
        <f>IF($L1200="","",$F1200&amp;"|"&amp;RIGHT("000000"&amp;$L1200,6))</f>
        <v/>
      </c>
      <c r="N1200">
        <f>IF($F1200="","",IF(Sync!$AH1200="","0000",IF(AND(ISNUMBER(Sync!$AH1200),Sync!$AH1200&gt;=0,Sync!$AH1200&lt;1),RIGHT("00"&amp;HOUR(Sync!$AH1200),2)&amp;RIGHT("00"&amp;MINUTE(Sync!$AH1200),2),IFERROR(RIGHT("00"&amp;VALUE(LEFT(Sync!$AH1200,FIND(":",Sync!$AH1200)-1)),2)&amp;RIGHT("00"&amp;VALUE(MID(Sync!$AH1200,FIND(":",Sync!$AH1200)+1,2)),2),"0000"))))</f>
        <v/>
      </c>
    </row>
    <row r="1201">
      <c r="A1201">
        <f>IF(OR(Calc!$E1204="",Calc!$E1204="نامعتبر",Calc!$G1204="",Calc!$I1204&lt;&gt;"خرید"),"",Calc!$G1204)</f>
        <v/>
      </c>
      <c r="B1201">
        <f>IF($A1201="","",LEFT(Calc!$E1204,4)&amp;MID(Calc!$E1204,6,2)&amp;RIGHT(Calc!$E1204,2)&amp;Calc!$R1204&amp;"|"&amp;"1"&amp;RIGHT("00000"&amp;1196,5))</f>
        <v/>
      </c>
      <c r="C1201">
        <f>IF($B1201="","",COUNTIFS(LdgPartyA,$A1201,LdgKeyA,"&lt;"&amp;$B1201)+COUNTIFS(LdgPartyB,$A1201,LdgKeyB,"&lt;"&amp;$B1201)+1)</f>
        <v/>
      </c>
      <c r="D1201">
        <f>IF($C1201="","",$A1201&amp;"|"&amp;RIGHT("000000"&amp;$C1201,6))</f>
        <v/>
      </c>
      <c r="F1201">
        <f>IF(Sync!$AJ1201="","",Sync!$AJ1201)</f>
        <v/>
      </c>
      <c r="G1201">
        <f>IF($F1201="","",IF(Sync!$AG1201="","",IF(ISNUMBER(Sync!$AG1201),IF(AND(Sync!$AG1201&gt;=10000101,Sync!$AG1201&lt;=99991231),INT(Sync!$AG1201/10000),""),IFERROR(VALUE(TRIM(LEFT(Sync!$AG1201,FIND("/",Sync!$AG1201)-1))),""))))</f>
        <v/>
      </c>
      <c r="H1201">
        <f>IF(OR($F1201="",$G1201=""),"",IF(ISNUMBER(Sync!$AG1201),INT(MOD(Sync!$AG1201,10000)/100),IFERROR(VALUE(TRIM(LEFT(MID(Sync!$AG1201,FIND("/",Sync!$AG1201)+1,20),FIND("/",MID(Sync!$AG1201,FIND("/",Sync!$AG1201)+1,20))-1))),"")))</f>
        <v/>
      </c>
      <c r="I1201">
        <f>IF(OR($F1201="",$G1201=""),"",IF(ISNUMBER(Sync!$AG1201),MOD(Sync!$AG1201,100),IFERROR(VALUE(TRIM(MID(MID(Sync!$AG1201,FIND("/",Sync!$AG1201)+1,20),FIND("/",MID(Sync!$AG1201,FIND("/",Sync!$AG1201)+1,20))+1,20))),"")))</f>
        <v/>
      </c>
      <c r="J1201">
        <f>IF($F1201="","",IF(OR($G1201="",$H1201="",$I1201="",$G1201&lt;1300,$G1201&gt;1500,$H1201&lt;1,$H1201&gt;12,$I1201&lt;1,$I1201&gt;31),"نامعتبر",RIGHT("0000"&amp;$G1201,4)&amp;"/"&amp;RIGHT("00"&amp;$H1201,2)&amp;"/"&amp;RIGHT("00"&amp;$I1201,2)))</f>
        <v/>
      </c>
      <c r="K1201">
        <f>IF(OR($F1201="",$J1201="",$J1201="نامعتبر"),"",LEFT($J1201,4)&amp;MID($J1201,6,2)&amp;RIGHT($J1201,2)&amp;$N1201&amp;"|"&amp;"2"&amp;RIGHT("00000"&amp;1196,5))</f>
        <v/>
      </c>
      <c r="L1201">
        <f>IF($K1201="","",COUNTIFS(LdgPartyA,$F1201,LdgKeyA,"&lt;"&amp;$K1201)+COUNTIFS(LdgPartyB,$F1201,LdgKeyB,"&lt;"&amp;$K1201)+1)</f>
        <v/>
      </c>
      <c r="M1201">
        <f>IF($L1201="","",$F1201&amp;"|"&amp;RIGHT("000000"&amp;$L1201,6))</f>
        <v/>
      </c>
      <c r="N1201">
        <f>IF($F1201="","",IF(Sync!$AH1201="","0000",IF(AND(ISNUMBER(Sync!$AH1201),Sync!$AH1201&gt;=0,Sync!$AH1201&lt;1),RIGHT("00"&amp;HOUR(Sync!$AH1201),2)&amp;RIGHT("00"&amp;MINUTE(Sync!$AH1201),2),IFERROR(RIGHT("00"&amp;VALUE(LEFT(Sync!$AH1201,FIND(":",Sync!$AH1201)-1)),2)&amp;RIGHT("00"&amp;VALUE(MID(Sync!$AH1201,FIND(":",Sync!$AH1201)+1,2)),2),"0000"))))</f>
        <v/>
      </c>
    </row>
    <row r="1202">
      <c r="A1202">
        <f>IF(OR(Calc!$E1205="",Calc!$E1205="نامعتبر",Calc!$G1205="",Calc!$I1205&lt;&gt;"خرید"),"",Calc!$G1205)</f>
        <v/>
      </c>
      <c r="B1202">
        <f>IF($A1202="","",LEFT(Calc!$E1205,4)&amp;MID(Calc!$E1205,6,2)&amp;RIGHT(Calc!$E1205,2)&amp;Calc!$R1205&amp;"|"&amp;"1"&amp;RIGHT("00000"&amp;1197,5))</f>
        <v/>
      </c>
      <c r="C1202">
        <f>IF($B1202="","",COUNTIFS(LdgPartyA,$A1202,LdgKeyA,"&lt;"&amp;$B1202)+COUNTIFS(LdgPartyB,$A1202,LdgKeyB,"&lt;"&amp;$B1202)+1)</f>
        <v/>
      </c>
      <c r="D1202">
        <f>IF($C1202="","",$A1202&amp;"|"&amp;RIGHT("000000"&amp;$C1202,6))</f>
        <v/>
      </c>
      <c r="F1202">
        <f>IF(Sync!$AJ1202="","",Sync!$AJ1202)</f>
        <v/>
      </c>
      <c r="G1202">
        <f>IF($F1202="","",IF(Sync!$AG1202="","",IF(ISNUMBER(Sync!$AG1202),IF(AND(Sync!$AG1202&gt;=10000101,Sync!$AG1202&lt;=99991231),INT(Sync!$AG1202/10000),""),IFERROR(VALUE(TRIM(LEFT(Sync!$AG1202,FIND("/",Sync!$AG1202)-1))),""))))</f>
        <v/>
      </c>
      <c r="H1202">
        <f>IF(OR($F1202="",$G1202=""),"",IF(ISNUMBER(Sync!$AG1202),INT(MOD(Sync!$AG1202,10000)/100),IFERROR(VALUE(TRIM(LEFT(MID(Sync!$AG1202,FIND("/",Sync!$AG1202)+1,20),FIND("/",MID(Sync!$AG1202,FIND("/",Sync!$AG1202)+1,20))-1))),"")))</f>
        <v/>
      </c>
      <c r="I1202">
        <f>IF(OR($F1202="",$G1202=""),"",IF(ISNUMBER(Sync!$AG1202),MOD(Sync!$AG1202,100),IFERROR(VALUE(TRIM(MID(MID(Sync!$AG1202,FIND("/",Sync!$AG1202)+1,20),FIND("/",MID(Sync!$AG1202,FIND("/",Sync!$AG1202)+1,20))+1,20))),"")))</f>
        <v/>
      </c>
      <c r="J1202">
        <f>IF($F1202="","",IF(OR($G1202="",$H1202="",$I1202="",$G1202&lt;1300,$G1202&gt;1500,$H1202&lt;1,$H1202&gt;12,$I1202&lt;1,$I1202&gt;31),"نامعتبر",RIGHT("0000"&amp;$G1202,4)&amp;"/"&amp;RIGHT("00"&amp;$H1202,2)&amp;"/"&amp;RIGHT("00"&amp;$I1202,2)))</f>
        <v/>
      </c>
      <c r="K1202">
        <f>IF(OR($F1202="",$J1202="",$J1202="نامعتبر"),"",LEFT($J1202,4)&amp;MID($J1202,6,2)&amp;RIGHT($J1202,2)&amp;$N1202&amp;"|"&amp;"2"&amp;RIGHT("00000"&amp;1197,5))</f>
        <v/>
      </c>
      <c r="L1202">
        <f>IF($K1202="","",COUNTIFS(LdgPartyA,$F1202,LdgKeyA,"&lt;"&amp;$K1202)+COUNTIFS(LdgPartyB,$F1202,LdgKeyB,"&lt;"&amp;$K1202)+1)</f>
        <v/>
      </c>
      <c r="M1202">
        <f>IF($L1202="","",$F1202&amp;"|"&amp;RIGHT("000000"&amp;$L1202,6))</f>
        <v/>
      </c>
      <c r="N1202">
        <f>IF($F1202="","",IF(Sync!$AH1202="","0000",IF(AND(ISNUMBER(Sync!$AH1202),Sync!$AH1202&gt;=0,Sync!$AH1202&lt;1),RIGHT("00"&amp;HOUR(Sync!$AH1202),2)&amp;RIGHT("00"&amp;MINUTE(Sync!$AH1202),2),IFERROR(RIGHT("00"&amp;VALUE(LEFT(Sync!$AH1202,FIND(":",Sync!$AH1202)-1)),2)&amp;RIGHT("00"&amp;VALUE(MID(Sync!$AH1202,FIND(":",Sync!$AH1202)+1,2)),2),"0000"))))</f>
        <v/>
      </c>
    </row>
    <row r="1203">
      <c r="A1203">
        <f>IF(OR(Calc!$E1206="",Calc!$E1206="نامعتبر",Calc!$G1206="",Calc!$I1206&lt;&gt;"خرید"),"",Calc!$G1206)</f>
        <v/>
      </c>
      <c r="B1203">
        <f>IF($A1203="","",LEFT(Calc!$E1206,4)&amp;MID(Calc!$E1206,6,2)&amp;RIGHT(Calc!$E1206,2)&amp;Calc!$R1206&amp;"|"&amp;"1"&amp;RIGHT("00000"&amp;1198,5))</f>
        <v/>
      </c>
      <c r="C1203">
        <f>IF($B1203="","",COUNTIFS(LdgPartyA,$A1203,LdgKeyA,"&lt;"&amp;$B1203)+COUNTIFS(LdgPartyB,$A1203,LdgKeyB,"&lt;"&amp;$B1203)+1)</f>
        <v/>
      </c>
      <c r="D1203">
        <f>IF($C1203="","",$A1203&amp;"|"&amp;RIGHT("000000"&amp;$C1203,6))</f>
        <v/>
      </c>
      <c r="F1203">
        <f>IF(Sync!$AJ1203="","",Sync!$AJ1203)</f>
        <v/>
      </c>
      <c r="G1203">
        <f>IF($F1203="","",IF(Sync!$AG1203="","",IF(ISNUMBER(Sync!$AG1203),IF(AND(Sync!$AG1203&gt;=10000101,Sync!$AG1203&lt;=99991231),INT(Sync!$AG1203/10000),""),IFERROR(VALUE(TRIM(LEFT(Sync!$AG1203,FIND("/",Sync!$AG1203)-1))),""))))</f>
        <v/>
      </c>
      <c r="H1203">
        <f>IF(OR($F1203="",$G1203=""),"",IF(ISNUMBER(Sync!$AG1203),INT(MOD(Sync!$AG1203,10000)/100),IFERROR(VALUE(TRIM(LEFT(MID(Sync!$AG1203,FIND("/",Sync!$AG1203)+1,20),FIND("/",MID(Sync!$AG1203,FIND("/",Sync!$AG1203)+1,20))-1))),"")))</f>
        <v/>
      </c>
      <c r="I1203">
        <f>IF(OR($F1203="",$G1203=""),"",IF(ISNUMBER(Sync!$AG1203),MOD(Sync!$AG1203,100),IFERROR(VALUE(TRIM(MID(MID(Sync!$AG1203,FIND("/",Sync!$AG1203)+1,20),FIND("/",MID(Sync!$AG1203,FIND("/",Sync!$AG1203)+1,20))+1,20))),"")))</f>
        <v/>
      </c>
      <c r="J1203">
        <f>IF($F1203="","",IF(OR($G1203="",$H1203="",$I1203="",$G1203&lt;1300,$G1203&gt;1500,$H1203&lt;1,$H1203&gt;12,$I1203&lt;1,$I1203&gt;31),"نامعتبر",RIGHT("0000"&amp;$G1203,4)&amp;"/"&amp;RIGHT("00"&amp;$H1203,2)&amp;"/"&amp;RIGHT("00"&amp;$I1203,2)))</f>
        <v/>
      </c>
      <c r="K1203">
        <f>IF(OR($F1203="",$J1203="",$J1203="نامعتبر"),"",LEFT($J1203,4)&amp;MID($J1203,6,2)&amp;RIGHT($J1203,2)&amp;$N1203&amp;"|"&amp;"2"&amp;RIGHT("00000"&amp;1198,5))</f>
        <v/>
      </c>
      <c r="L1203">
        <f>IF($K1203="","",COUNTIFS(LdgPartyA,$F1203,LdgKeyA,"&lt;"&amp;$K1203)+COUNTIFS(LdgPartyB,$F1203,LdgKeyB,"&lt;"&amp;$K1203)+1)</f>
        <v/>
      </c>
      <c r="M1203">
        <f>IF($L1203="","",$F1203&amp;"|"&amp;RIGHT("000000"&amp;$L1203,6))</f>
        <v/>
      </c>
      <c r="N1203">
        <f>IF($F1203="","",IF(Sync!$AH1203="","0000",IF(AND(ISNUMBER(Sync!$AH1203),Sync!$AH1203&gt;=0,Sync!$AH1203&lt;1),RIGHT("00"&amp;HOUR(Sync!$AH1203),2)&amp;RIGHT("00"&amp;MINUTE(Sync!$AH1203),2),IFERROR(RIGHT("00"&amp;VALUE(LEFT(Sync!$AH1203,FIND(":",Sync!$AH1203)-1)),2)&amp;RIGHT("00"&amp;VALUE(MID(Sync!$AH1203,FIND(":",Sync!$AH1203)+1,2)),2),"0000"))))</f>
        <v/>
      </c>
    </row>
    <row r="1204">
      <c r="A1204">
        <f>IF(OR(Calc!$E1207="",Calc!$E1207="نامعتبر",Calc!$G1207="",Calc!$I1207&lt;&gt;"خرید"),"",Calc!$G1207)</f>
        <v/>
      </c>
      <c r="B1204">
        <f>IF($A1204="","",LEFT(Calc!$E1207,4)&amp;MID(Calc!$E1207,6,2)&amp;RIGHT(Calc!$E1207,2)&amp;Calc!$R1207&amp;"|"&amp;"1"&amp;RIGHT("00000"&amp;1199,5))</f>
        <v/>
      </c>
      <c r="C1204">
        <f>IF($B1204="","",COUNTIFS(LdgPartyA,$A1204,LdgKeyA,"&lt;"&amp;$B1204)+COUNTIFS(LdgPartyB,$A1204,LdgKeyB,"&lt;"&amp;$B1204)+1)</f>
        <v/>
      </c>
      <c r="D1204">
        <f>IF($C1204="","",$A1204&amp;"|"&amp;RIGHT("000000"&amp;$C1204,6))</f>
        <v/>
      </c>
      <c r="F1204">
        <f>IF(Sync!$AJ1204="","",Sync!$AJ1204)</f>
        <v/>
      </c>
      <c r="G1204">
        <f>IF($F1204="","",IF(Sync!$AG1204="","",IF(ISNUMBER(Sync!$AG1204),IF(AND(Sync!$AG1204&gt;=10000101,Sync!$AG1204&lt;=99991231),INT(Sync!$AG1204/10000),""),IFERROR(VALUE(TRIM(LEFT(Sync!$AG1204,FIND("/",Sync!$AG1204)-1))),""))))</f>
        <v/>
      </c>
      <c r="H1204">
        <f>IF(OR($F1204="",$G1204=""),"",IF(ISNUMBER(Sync!$AG1204),INT(MOD(Sync!$AG1204,10000)/100),IFERROR(VALUE(TRIM(LEFT(MID(Sync!$AG1204,FIND("/",Sync!$AG1204)+1,20),FIND("/",MID(Sync!$AG1204,FIND("/",Sync!$AG1204)+1,20))-1))),"")))</f>
        <v/>
      </c>
      <c r="I1204">
        <f>IF(OR($F1204="",$G1204=""),"",IF(ISNUMBER(Sync!$AG1204),MOD(Sync!$AG1204,100),IFERROR(VALUE(TRIM(MID(MID(Sync!$AG1204,FIND("/",Sync!$AG1204)+1,20),FIND("/",MID(Sync!$AG1204,FIND("/",Sync!$AG1204)+1,20))+1,20))),"")))</f>
        <v/>
      </c>
      <c r="J1204">
        <f>IF($F1204="","",IF(OR($G1204="",$H1204="",$I1204="",$G1204&lt;1300,$G1204&gt;1500,$H1204&lt;1,$H1204&gt;12,$I1204&lt;1,$I1204&gt;31),"نامعتبر",RIGHT("0000"&amp;$G1204,4)&amp;"/"&amp;RIGHT("00"&amp;$H1204,2)&amp;"/"&amp;RIGHT("00"&amp;$I1204,2)))</f>
        <v/>
      </c>
      <c r="K1204">
        <f>IF(OR($F1204="",$J1204="",$J1204="نامعتبر"),"",LEFT($J1204,4)&amp;MID($J1204,6,2)&amp;RIGHT($J1204,2)&amp;$N1204&amp;"|"&amp;"2"&amp;RIGHT("00000"&amp;1199,5))</f>
        <v/>
      </c>
      <c r="L1204">
        <f>IF($K1204="","",COUNTIFS(LdgPartyA,$F1204,LdgKeyA,"&lt;"&amp;$K1204)+COUNTIFS(LdgPartyB,$F1204,LdgKeyB,"&lt;"&amp;$K1204)+1)</f>
        <v/>
      </c>
      <c r="M1204">
        <f>IF($L1204="","",$F1204&amp;"|"&amp;RIGHT("000000"&amp;$L1204,6))</f>
        <v/>
      </c>
      <c r="N1204">
        <f>IF($F1204="","",IF(Sync!$AH1204="","0000",IF(AND(ISNUMBER(Sync!$AH1204),Sync!$AH1204&gt;=0,Sync!$AH1204&lt;1),RIGHT("00"&amp;HOUR(Sync!$AH1204),2)&amp;RIGHT("00"&amp;MINUTE(Sync!$AH1204),2),IFERROR(RIGHT("00"&amp;VALUE(LEFT(Sync!$AH1204,FIND(":",Sync!$AH1204)-1)),2)&amp;RIGHT("00"&amp;VALUE(MID(Sync!$AH1204,FIND(":",Sync!$AH1204)+1,2)),2),"0000"))))</f>
        <v/>
      </c>
    </row>
    <row r="1205">
      <c r="A1205">
        <f>IF(OR(Calc!$E1208="",Calc!$E1208="نامعتبر",Calc!$G1208="",Calc!$I1208&lt;&gt;"خرید"),"",Calc!$G1208)</f>
        <v/>
      </c>
      <c r="B1205">
        <f>IF($A1205="","",LEFT(Calc!$E1208,4)&amp;MID(Calc!$E1208,6,2)&amp;RIGHT(Calc!$E1208,2)&amp;Calc!$R1208&amp;"|"&amp;"1"&amp;RIGHT("00000"&amp;1200,5))</f>
        <v/>
      </c>
      <c r="C1205">
        <f>IF($B1205="","",COUNTIFS(LdgPartyA,$A1205,LdgKeyA,"&lt;"&amp;$B1205)+COUNTIFS(LdgPartyB,$A1205,LdgKeyB,"&lt;"&amp;$B1205)+1)</f>
        <v/>
      </c>
      <c r="D1205">
        <f>IF($C1205="","",$A1205&amp;"|"&amp;RIGHT("000000"&amp;$C1205,6))</f>
        <v/>
      </c>
      <c r="F1205">
        <f>IF(Sync!$AJ1205="","",Sync!$AJ1205)</f>
        <v/>
      </c>
      <c r="G1205">
        <f>IF($F1205="","",IF(Sync!$AG1205="","",IF(ISNUMBER(Sync!$AG1205),IF(AND(Sync!$AG1205&gt;=10000101,Sync!$AG1205&lt;=99991231),INT(Sync!$AG1205/10000),""),IFERROR(VALUE(TRIM(LEFT(Sync!$AG1205,FIND("/",Sync!$AG1205)-1))),""))))</f>
        <v/>
      </c>
      <c r="H1205">
        <f>IF(OR($F1205="",$G1205=""),"",IF(ISNUMBER(Sync!$AG1205),INT(MOD(Sync!$AG1205,10000)/100),IFERROR(VALUE(TRIM(LEFT(MID(Sync!$AG1205,FIND("/",Sync!$AG1205)+1,20),FIND("/",MID(Sync!$AG1205,FIND("/",Sync!$AG1205)+1,20))-1))),"")))</f>
        <v/>
      </c>
      <c r="I1205">
        <f>IF(OR($F1205="",$G1205=""),"",IF(ISNUMBER(Sync!$AG1205),MOD(Sync!$AG1205,100),IFERROR(VALUE(TRIM(MID(MID(Sync!$AG1205,FIND("/",Sync!$AG1205)+1,20),FIND("/",MID(Sync!$AG1205,FIND("/",Sync!$AG1205)+1,20))+1,20))),"")))</f>
        <v/>
      </c>
      <c r="J1205">
        <f>IF($F1205="","",IF(OR($G1205="",$H1205="",$I1205="",$G1205&lt;1300,$G1205&gt;1500,$H1205&lt;1,$H1205&gt;12,$I1205&lt;1,$I1205&gt;31),"نامعتبر",RIGHT("0000"&amp;$G1205,4)&amp;"/"&amp;RIGHT("00"&amp;$H1205,2)&amp;"/"&amp;RIGHT("00"&amp;$I1205,2)))</f>
        <v/>
      </c>
      <c r="K1205">
        <f>IF(OR($F1205="",$J1205="",$J1205="نامعتبر"),"",LEFT($J1205,4)&amp;MID($J1205,6,2)&amp;RIGHT($J1205,2)&amp;$N1205&amp;"|"&amp;"2"&amp;RIGHT("00000"&amp;1200,5))</f>
        <v/>
      </c>
      <c r="L1205">
        <f>IF($K1205="","",COUNTIFS(LdgPartyA,$F1205,LdgKeyA,"&lt;"&amp;$K1205)+COUNTIFS(LdgPartyB,$F1205,LdgKeyB,"&lt;"&amp;$K1205)+1)</f>
        <v/>
      </c>
      <c r="M1205">
        <f>IF($L1205="","",$F1205&amp;"|"&amp;RIGHT("000000"&amp;$L1205,6))</f>
        <v/>
      </c>
      <c r="N1205">
        <f>IF($F1205="","",IF(Sync!$AH1205="","0000",IF(AND(ISNUMBER(Sync!$AH1205),Sync!$AH1205&gt;=0,Sync!$AH1205&lt;1),RIGHT("00"&amp;HOUR(Sync!$AH1205),2)&amp;RIGHT("00"&amp;MINUTE(Sync!$AH1205),2),IFERROR(RIGHT("00"&amp;VALUE(LEFT(Sync!$AH1205,FIND(":",Sync!$AH1205)-1)),2)&amp;RIGHT("00"&amp;VALUE(MID(Sync!$AH1205,FIND(":",Sync!$AH1205)+1,2)),2),"0000"))))</f>
        <v/>
      </c>
    </row>
    <row r="1206">
      <c r="A1206">
        <f>IF(OR(Calc!$E1209="",Calc!$E1209="نامعتبر",Calc!$G1209="",Calc!$I1209&lt;&gt;"خرید"),"",Calc!$G1209)</f>
        <v/>
      </c>
      <c r="B1206">
        <f>IF($A1206="","",LEFT(Calc!$E1209,4)&amp;MID(Calc!$E1209,6,2)&amp;RIGHT(Calc!$E1209,2)&amp;Calc!$R1209&amp;"|"&amp;"1"&amp;RIGHT("00000"&amp;1201,5))</f>
        <v/>
      </c>
      <c r="C1206">
        <f>IF($B1206="","",COUNTIFS(LdgPartyA,$A1206,LdgKeyA,"&lt;"&amp;$B1206)+COUNTIFS(LdgPartyB,$A1206,LdgKeyB,"&lt;"&amp;$B1206)+1)</f>
        <v/>
      </c>
      <c r="D1206">
        <f>IF($C1206="","",$A1206&amp;"|"&amp;RIGHT("000000"&amp;$C1206,6))</f>
        <v/>
      </c>
      <c r="F1206">
        <f>IF(Sync!$AJ1206="","",Sync!$AJ1206)</f>
        <v/>
      </c>
      <c r="G1206">
        <f>IF($F1206="","",IF(Sync!$AG1206="","",IF(ISNUMBER(Sync!$AG1206),IF(AND(Sync!$AG1206&gt;=10000101,Sync!$AG1206&lt;=99991231),INT(Sync!$AG1206/10000),""),IFERROR(VALUE(TRIM(LEFT(Sync!$AG1206,FIND("/",Sync!$AG1206)-1))),""))))</f>
        <v/>
      </c>
      <c r="H1206">
        <f>IF(OR($F1206="",$G1206=""),"",IF(ISNUMBER(Sync!$AG1206),INT(MOD(Sync!$AG1206,10000)/100),IFERROR(VALUE(TRIM(LEFT(MID(Sync!$AG1206,FIND("/",Sync!$AG1206)+1,20),FIND("/",MID(Sync!$AG1206,FIND("/",Sync!$AG1206)+1,20))-1))),"")))</f>
        <v/>
      </c>
      <c r="I1206">
        <f>IF(OR($F1206="",$G1206=""),"",IF(ISNUMBER(Sync!$AG1206),MOD(Sync!$AG1206,100),IFERROR(VALUE(TRIM(MID(MID(Sync!$AG1206,FIND("/",Sync!$AG1206)+1,20),FIND("/",MID(Sync!$AG1206,FIND("/",Sync!$AG1206)+1,20))+1,20))),"")))</f>
        <v/>
      </c>
      <c r="J1206">
        <f>IF($F1206="","",IF(OR($G1206="",$H1206="",$I1206="",$G1206&lt;1300,$G1206&gt;1500,$H1206&lt;1,$H1206&gt;12,$I1206&lt;1,$I1206&gt;31),"نامعتبر",RIGHT("0000"&amp;$G1206,4)&amp;"/"&amp;RIGHT("00"&amp;$H1206,2)&amp;"/"&amp;RIGHT("00"&amp;$I1206,2)))</f>
        <v/>
      </c>
      <c r="K1206">
        <f>IF(OR($F1206="",$J1206="",$J1206="نامعتبر"),"",LEFT($J1206,4)&amp;MID($J1206,6,2)&amp;RIGHT($J1206,2)&amp;$N1206&amp;"|"&amp;"2"&amp;RIGHT("00000"&amp;1201,5))</f>
        <v/>
      </c>
      <c r="L1206">
        <f>IF($K1206="","",COUNTIFS(LdgPartyA,$F1206,LdgKeyA,"&lt;"&amp;$K1206)+COUNTIFS(LdgPartyB,$F1206,LdgKeyB,"&lt;"&amp;$K1206)+1)</f>
        <v/>
      </c>
      <c r="M1206">
        <f>IF($L1206="","",$F1206&amp;"|"&amp;RIGHT("000000"&amp;$L1206,6))</f>
        <v/>
      </c>
      <c r="N1206">
        <f>IF($F1206="","",IF(Sync!$AH1206="","0000",IF(AND(ISNUMBER(Sync!$AH1206),Sync!$AH1206&gt;=0,Sync!$AH1206&lt;1),RIGHT("00"&amp;HOUR(Sync!$AH1206),2)&amp;RIGHT("00"&amp;MINUTE(Sync!$AH1206),2),IFERROR(RIGHT("00"&amp;VALUE(LEFT(Sync!$AH1206,FIND(":",Sync!$AH1206)-1)),2)&amp;RIGHT("00"&amp;VALUE(MID(Sync!$AH1206,FIND(":",Sync!$AH1206)+1,2)),2),"0000"))))</f>
        <v/>
      </c>
    </row>
    <row r="1207">
      <c r="A1207">
        <f>IF(OR(Calc!$E1210="",Calc!$E1210="نامعتبر",Calc!$G1210="",Calc!$I1210&lt;&gt;"خرید"),"",Calc!$G1210)</f>
        <v/>
      </c>
      <c r="B1207">
        <f>IF($A1207="","",LEFT(Calc!$E1210,4)&amp;MID(Calc!$E1210,6,2)&amp;RIGHT(Calc!$E1210,2)&amp;Calc!$R1210&amp;"|"&amp;"1"&amp;RIGHT("00000"&amp;1202,5))</f>
        <v/>
      </c>
      <c r="C1207">
        <f>IF($B1207="","",COUNTIFS(LdgPartyA,$A1207,LdgKeyA,"&lt;"&amp;$B1207)+COUNTIFS(LdgPartyB,$A1207,LdgKeyB,"&lt;"&amp;$B1207)+1)</f>
        <v/>
      </c>
      <c r="D1207">
        <f>IF($C1207="","",$A1207&amp;"|"&amp;RIGHT("000000"&amp;$C1207,6))</f>
        <v/>
      </c>
      <c r="F1207">
        <f>IF(Sync!$AJ1207="","",Sync!$AJ1207)</f>
        <v/>
      </c>
      <c r="G1207">
        <f>IF($F1207="","",IF(Sync!$AG1207="","",IF(ISNUMBER(Sync!$AG1207),IF(AND(Sync!$AG1207&gt;=10000101,Sync!$AG1207&lt;=99991231),INT(Sync!$AG1207/10000),""),IFERROR(VALUE(TRIM(LEFT(Sync!$AG1207,FIND("/",Sync!$AG1207)-1))),""))))</f>
        <v/>
      </c>
      <c r="H1207">
        <f>IF(OR($F1207="",$G1207=""),"",IF(ISNUMBER(Sync!$AG1207),INT(MOD(Sync!$AG1207,10000)/100),IFERROR(VALUE(TRIM(LEFT(MID(Sync!$AG1207,FIND("/",Sync!$AG1207)+1,20),FIND("/",MID(Sync!$AG1207,FIND("/",Sync!$AG1207)+1,20))-1))),"")))</f>
        <v/>
      </c>
      <c r="I1207">
        <f>IF(OR($F1207="",$G1207=""),"",IF(ISNUMBER(Sync!$AG1207),MOD(Sync!$AG1207,100),IFERROR(VALUE(TRIM(MID(MID(Sync!$AG1207,FIND("/",Sync!$AG1207)+1,20),FIND("/",MID(Sync!$AG1207,FIND("/",Sync!$AG1207)+1,20))+1,20))),"")))</f>
        <v/>
      </c>
      <c r="J1207">
        <f>IF($F1207="","",IF(OR($G1207="",$H1207="",$I1207="",$G1207&lt;1300,$G1207&gt;1500,$H1207&lt;1,$H1207&gt;12,$I1207&lt;1,$I1207&gt;31),"نامعتبر",RIGHT("0000"&amp;$G1207,4)&amp;"/"&amp;RIGHT("00"&amp;$H1207,2)&amp;"/"&amp;RIGHT("00"&amp;$I1207,2)))</f>
        <v/>
      </c>
      <c r="K1207">
        <f>IF(OR($F1207="",$J1207="",$J1207="نامعتبر"),"",LEFT($J1207,4)&amp;MID($J1207,6,2)&amp;RIGHT($J1207,2)&amp;$N1207&amp;"|"&amp;"2"&amp;RIGHT("00000"&amp;1202,5))</f>
        <v/>
      </c>
      <c r="L1207">
        <f>IF($K1207="","",COUNTIFS(LdgPartyA,$F1207,LdgKeyA,"&lt;"&amp;$K1207)+COUNTIFS(LdgPartyB,$F1207,LdgKeyB,"&lt;"&amp;$K1207)+1)</f>
        <v/>
      </c>
      <c r="M1207">
        <f>IF($L1207="","",$F1207&amp;"|"&amp;RIGHT("000000"&amp;$L1207,6))</f>
        <v/>
      </c>
      <c r="N1207">
        <f>IF($F1207="","",IF(Sync!$AH1207="","0000",IF(AND(ISNUMBER(Sync!$AH1207),Sync!$AH1207&gt;=0,Sync!$AH1207&lt;1),RIGHT("00"&amp;HOUR(Sync!$AH1207),2)&amp;RIGHT("00"&amp;MINUTE(Sync!$AH1207),2),IFERROR(RIGHT("00"&amp;VALUE(LEFT(Sync!$AH1207,FIND(":",Sync!$AH1207)-1)),2)&amp;RIGHT("00"&amp;VALUE(MID(Sync!$AH1207,FIND(":",Sync!$AH1207)+1,2)),2),"0000"))))</f>
        <v/>
      </c>
    </row>
    <row r="1208">
      <c r="A1208">
        <f>IF(OR(Calc!$E1211="",Calc!$E1211="نامعتبر",Calc!$G1211="",Calc!$I1211&lt;&gt;"خرید"),"",Calc!$G1211)</f>
        <v/>
      </c>
      <c r="B1208">
        <f>IF($A1208="","",LEFT(Calc!$E1211,4)&amp;MID(Calc!$E1211,6,2)&amp;RIGHT(Calc!$E1211,2)&amp;Calc!$R1211&amp;"|"&amp;"1"&amp;RIGHT("00000"&amp;1203,5))</f>
        <v/>
      </c>
      <c r="C1208">
        <f>IF($B1208="","",COUNTIFS(LdgPartyA,$A1208,LdgKeyA,"&lt;"&amp;$B1208)+COUNTIFS(LdgPartyB,$A1208,LdgKeyB,"&lt;"&amp;$B1208)+1)</f>
        <v/>
      </c>
      <c r="D1208">
        <f>IF($C1208="","",$A1208&amp;"|"&amp;RIGHT("000000"&amp;$C1208,6))</f>
        <v/>
      </c>
      <c r="F1208">
        <f>IF(Sync!$AJ1208="","",Sync!$AJ1208)</f>
        <v/>
      </c>
      <c r="G1208">
        <f>IF($F1208="","",IF(Sync!$AG1208="","",IF(ISNUMBER(Sync!$AG1208),IF(AND(Sync!$AG1208&gt;=10000101,Sync!$AG1208&lt;=99991231),INT(Sync!$AG1208/10000),""),IFERROR(VALUE(TRIM(LEFT(Sync!$AG1208,FIND("/",Sync!$AG1208)-1))),""))))</f>
        <v/>
      </c>
      <c r="H1208">
        <f>IF(OR($F1208="",$G1208=""),"",IF(ISNUMBER(Sync!$AG1208),INT(MOD(Sync!$AG1208,10000)/100),IFERROR(VALUE(TRIM(LEFT(MID(Sync!$AG1208,FIND("/",Sync!$AG1208)+1,20),FIND("/",MID(Sync!$AG1208,FIND("/",Sync!$AG1208)+1,20))-1))),"")))</f>
        <v/>
      </c>
      <c r="I1208">
        <f>IF(OR($F1208="",$G1208=""),"",IF(ISNUMBER(Sync!$AG1208),MOD(Sync!$AG1208,100),IFERROR(VALUE(TRIM(MID(MID(Sync!$AG1208,FIND("/",Sync!$AG1208)+1,20),FIND("/",MID(Sync!$AG1208,FIND("/",Sync!$AG1208)+1,20))+1,20))),"")))</f>
        <v/>
      </c>
      <c r="J1208">
        <f>IF($F1208="","",IF(OR($G1208="",$H1208="",$I1208="",$G1208&lt;1300,$G1208&gt;1500,$H1208&lt;1,$H1208&gt;12,$I1208&lt;1,$I1208&gt;31),"نامعتبر",RIGHT("0000"&amp;$G1208,4)&amp;"/"&amp;RIGHT("00"&amp;$H1208,2)&amp;"/"&amp;RIGHT("00"&amp;$I1208,2)))</f>
        <v/>
      </c>
      <c r="K1208">
        <f>IF(OR($F1208="",$J1208="",$J1208="نامعتبر"),"",LEFT($J1208,4)&amp;MID($J1208,6,2)&amp;RIGHT($J1208,2)&amp;$N1208&amp;"|"&amp;"2"&amp;RIGHT("00000"&amp;1203,5))</f>
        <v/>
      </c>
      <c r="L1208">
        <f>IF($K1208="","",COUNTIFS(LdgPartyA,$F1208,LdgKeyA,"&lt;"&amp;$K1208)+COUNTIFS(LdgPartyB,$F1208,LdgKeyB,"&lt;"&amp;$K1208)+1)</f>
        <v/>
      </c>
      <c r="M1208">
        <f>IF($L1208="","",$F1208&amp;"|"&amp;RIGHT("000000"&amp;$L1208,6))</f>
        <v/>
      </c>
      <c r="N1208">
        <f>IF($F1208="","",IF(Sync!$AH1208="","0000",IF(AND(ISNUMBER(Sync!$AH1208),Sync!$AH1208&gt;=0,Sync!$AH1208&lt;1),RIGHT("00"&amp;HOUR(Sync!$AH1208),2)&amp;RIGHT("00"&amp;MINUTE(Sync!$AH1208),2),IFERROR(RIGHT("00"&amp;VALUE(LEFT(Sync!$AH1208,FIND(":",Sync!$AH1208)-1)),2)&amp;RIGHT("00"&amp;VALUE(MID(Sync!$AH1208,FIND(":",Sync!$AH1208)+1,2)),2),"0000"))))</f>
        <v/>
      </c>
    </row>
    <row r="1209">
      <c r="A1209">
        <f>IF(OR(Calc!$E1212="",Calc!$E1212="نامعتبر",Calc!$G1212="",Calc!$I1212&lt;&gt;"خرید"),"",Calc!$G1212)</f>
        <v/>
      </c>
      <c r="B1209">
        <f>IF($A1209="","",LEFT(Calc!$E1212,4)&amp;MID(Calc!$E1212,6,2)&amp;RIGHT(Calc!$E1212,2)&amp;Calc!$R1212&amp;"|"&amp;"1"&amp;RIGHT("00000"&amp;1204,5))</f>
        <v/>
      </c>
      <c r="C1209">
        <f>IF($B1209="","",COUNTIFS(LdgPartyA,$A1209,LdgKeyA,"&lt;"&amp;$B1209)+COUNTIFS(LdgPartyB,$A1209,LdgKeyB,"&lt;"&amp;$B1209)+1)</f>
        <v/>
      </c>
      <c r="D1209">
        <f>IF($C1209="","",$A1209&amp;"|"&amp;RIGHT("000000"&amp;$C1209,6))</f>
        <v/>
      </c>
      <c r="F1209">
        <f>IF(Sync!$AJ1209="","",Sync!$AJ1209)</f>
        <v/>
      </c>
      <c r="G1209">
        <f>IF($F1209="","",IF(Sync!$AG1209="","",IF(ISNUMBER(Sync!$AG1209),IF(AND(Sync!$AG1209&gt;=10000101,Sync!$AG1209&lt;=99991231),INT(Sync!$AG1209/10000),""),IFERROR(VALUE(TRIM(LEFT(Sync!$AG1209,FIND("/",Sync!$AG1209)-1))),""))))</f>
        <v/>
      </c>
      <c r="H1209">
        <f>IF(OR($F1209="",$G1209=""),"",IF(ISNUMBER(Sync!$AG1209),INT(MOD(Sync!$AG1209,10000)/100),IFERROR(VALUE(TRIM(LEFT(MID(Sync!$AG1209,FIND("/",Sync!$AG1209)+1,20),FIND("/",MID(Sync!$AG1209,FIND("/",Sync!$AG1209)+1,20))-1))),"")))</f>
        <v/>
      </c>
      <c r="I1209">
        <f>IF(OR($F1209="",$G1209=""),"",IF(ISNUMBER(Sync!$AG1209),MOD(Sync!$AG1209,100),IFERROR(VALUE(TRIM(MID(MID(Sync!$AG1209,FIND("/",Sync!$AG1209)+1,20),FIND("/",MID(Sync!$AG1209,FIND("/",Sync!$AG1209)+1,20))+1,20))),"")))</f>
        <v/>
      </c>
      <c r="J1209">
        <f>IF($F1209="","",IF(OR($G1209="",$H1209="",$I1209="",$G1209&lt;1300,$G1209&gt;1500,$H1209&lt;1,$H1209&gt;12,$I1209&lt;1,$I1209&gt;31),"نامعتبر",RIGHT("0000"&amp;$G1209,4)&amp;"/"&amp;RIGHT("00"&amp;$H1209,2)&amp;"/"&amp;RIGHT("00"&amp;$I1209,2)))</f>
        <v/>
      </c>
      <c r="K1209">
        <f>IF(OR($F1209="",$J1209="",$J1209="نامعتبر"),"",LEFT($J1209,4)&amp;MID($J1209,6,2)&amp;RIGHT($J1209,2)&amp;$N1209&amp;"|"&amp;"2"&amp;RIGHT("00000"&amp;1204,5))</f>
        <v/>
      </c>
      <c r="L1209">
        <f>IF($K1209="","",COUNTIFS(LdgPartyA,$F1209,LdgKeyA,"&lt;"&amp;$K1209)+COUNTIFS(LdgPartyB,$F1209,LdgKeyB,"&lt;"&amp;$K1209)+1)</f>
        <v/>
      </c>
      <c r="M1209">
        <f>IF($L1209="","",$F1209&amp;"|"&amp;RIGHT("000000"&amp;$L1209,6))</f>
        <v/>
      </c>
      <c r="N1209">
        <f>IF($F1209="","",IF(Sync!$AH1209="","0000",IF(AND(ISNUMBER(Sync!$AH1209),Sync!$AH1209&gt;=0,Sync!$AH1209&lt;1),RIGHT("00"&amp;HOUR(Sync!$AH1209),2)&amp;RIGHT("00"&amp;MINUTE(Sync!$AH1209),2),IFERROR(RIGHT("00"&amp;VALUE(LEFT(Sync!$AH1209,FIND(":",Sync!$AH1209)-1)),2)&amp;RIGHT("00"&amp;VALUE(MID(Sync!$AH1209,FIND(":",Sync!$AH1209)+1,2)),2),"0000"))))</f>
        <v/>
      </c>
    </row>
    <row r="1210">
      <c r="A1210">
        <f>IF(OR(Calc!$E1213="",Calc!$E1213="نامعتبر",Calc!$G1213="",Calc!$I1213&lt;&gt;"خرید"),"",Calc!$G1213)</f>
        <v/>
      </c>
      <c r="B1210">
        <f>IF($A1210="","",LEFT(Calc!$E1213,4)&amp;MID(Calc!$E1213,6,2)&amp;RIGHT(Calc!$E1213,2)&amp;Calc!$R1213&amp;"|"&amp;"1"&amp;RIGHT("00000"&amp;1205,5))</f>
        <v/>
      </c>
      <c r="C1210">
        <f>IF($B1210="","",COUNTIFS(LdgPartyA,$A1210,LdgKeyA,"&lt;"&amp;$B1210)+COUNTIFS(LdgPartyB,$A1210,LdgKeyB,"&lt;"&amp;$B1210)+1)</f>
        <v/>
      </c>
      <c r="D1210">
        <f>IF($C1210="","",$A1210&amp;"|"&amp;RIGHT("000000"&amp;$C1210,6))</f>
        <v/>
      </c>
      <c r="F1210">
        <f>IF(Sync!$AJ1210="","",Sync!$AJ1210)</f>
        <v/>
      </c>
      <c r="G1210">
        <f>IF($F1210="","",IF(Sync!$AG1210="","",IF(ISNUMBER(Sync!$AG1210),IF(AND(Sync!$AG1210&gt;=10000101,Sync!$AG1210&lt;=99991231),INT(Sync!$AG1210/10000),""),IFERROR(VALUE(TRIM(LEFT(Sync!$AG1210,FIND("/",Sync!$AG1210)-1))),""))))</f>
        <v/>
      </c>
      <c r="H1210">
        <f>IF(OR($F1210="",$G1210=""),"",IF(ISNUMBER(Sync!$AG1210),INT(MOD(Sync!$AG1210,10000)/100),IFERROR(VALUE(TRIM(LEFT(MID(Sync!$AG1210,FIND("/",Sync!$AG1210)+1,20),FIND("/",MID(Sync!$AG1210,FIND("/",Sync!$AG1210)+1,20))-1))),"")))</f>
        <v/>
      </c>
      <c r="I1210">
        <f>IF(OR($F1210="",$G1210=""),"",IF(ISNUMBER(Sync!$AG1210),MOD(Sync!$AG1210,100),IFERROR(VALUE(TRIM(MID(MID(Sync!$AG1210,FIND("/",Sync!$AG1210)+1,20),FIND("/",MID(Sync!$AG1210,FIND("/",Sync!$AG1210)+1,20))+1,20))),"")))</f>
        <v/>
      </c>
      <c r="J1210">
        <f>IF($F1210="","",IF(OR($G1210="",$H1210="",$I1210="",$G1210&lt;1300,$G1210&gt;1500,$H1210&lt;1,$H1210&gt;12,$I1210&lt;1,$I1210&gt;31),"نامعتبر",RIGHT("0000"&amp;$G1210,4)&amp;"/"&amp;RIGHT("00"&amp;$H1210,2)&amp;"/"&amp;RIGHT("00"&amp;$I1210,2)))</f>
        <v/>
      </c>
      <c r="K1210">
        <f>IF(OR($F1210="",$J1210="",$J1210="نامعتبر"),"",LEFT($J1210,4)&amp;MID($J1210,6,2)&amp;RIGHT($J1210,2)&amp;$N1210&amp;"|"&amp;"2"&amp;RIGHT("00000"&amp;1205,5))</f>
        <v/>
      </c>
      <c r="L1210">
        <f>IF($K1210="","",COUNTIFS(LdgPartyA,$F1210,LdgKeyA,"&lt;"&amp;$K1210)+COUNTIFS(LdgPartyB,$F1210,LdgKeyB,"&lt;"&amp;$K1210)+1)</f>
        <v/>
      </c>
      <c r="M1210">
        <f>IF($L1210="","",$F1210&amp;"|"&amp;RIGHT("000000"&amp;$L1210,6))</f>
        <v/>
      </c>
      <c r="N1210">
        <f>IF($F1210="","",IF(Sync!$AH1210="","0000",IF(AND(ISNUMBER(Sync!$AH1210),Sync!$AH1210&gt;=0,Sync!$AH1210&lt;1),RIGHT("00"&amp;HOUR(Sync!$AH1210),2)&amp;RIGHT("00"&amp;MINUTE(Sync!$AH1210),2),IFERROR(RIGHT("00"&amp;VALUE(LEFT(Sync!$AH1210,FIND(":",Sync!$AH1210)-1)),2)&amp;RIGHT("00"&amp;VALUE(MID(Sync!$AH1210,FIND(":",Sync!$AH1210)+1,2)),2),"0000"))))</f>
        <v/>
      </c>
    </row>
    <row r="1211">
      <c r="A1211">
        <f>IF(OR(Calc!$E1214="",Calc!$E1214="نامعتبر",Calc!$G1214="",Calc!$I1214&lt;&gt;"خرید"),"",Calc!$G1214)</f>
        <v/>
      </c>
      <c r="B1211">
        <f>IF($A1211="","",LEFT(Calc!$E1214,4)&amp;MID(Calc!$E1214,6,2)&amp;RIGHT(Calc!$E1214,2)&amp;Calc!$R1214&amp;"|"&amp;"1"&amp;RIGHT("00000"&amp;1206,5))</f>
        <v/>
      </c>
      <c r="C1211">
        <f>IF($B1211="","",COUNTIFS(LdgPartyA,$A1211,LdgKeyA,"&lt;"&amp;$B1211)+COUNTIFS(LdgPartyB,$A1211,LdgKeyB,"&lt;"&amp;$B1211)+1)</f>
        <v/>
      </c>
      <c r="D1211">
        <f>IF($C1211="","",$A1211&amp;"|"&amp;RIGHT("000000"&amp;$C1211,6))</f>
        <v/>
      </c>
      <c r="F1211">
        <f>IF(Sync!$AJ1211="","",Sync!$AJ1211)</f>
        <v/>
      </c>
      <c r="G1211">
        <f>IF($F1211="","",IF(Sync!$AG1211="","",IF(ISNUMBER(Sync!$AG1211),IF(AND(Sync!$AG1211&gt;=10000101,Sync!$AG1211&lt;=99991231),INT(Sync!$AG1211/10000),""),IFERROR(VALUE(TRIM(LEFT(Sync!$AG1211,FIND("/",Sync!$AG1211)-1))),""))))</f>
        <v/>
      </c>
      <c r="H1211">
        <f>IF(OR($F1211="",$G1211=""),"",IF(ISNUMBER(Sync!$AG1211),INT(MOD(Sync!$AG1211,10000)/100),IFERROR(VALUE(TRIM(LEFT(MID(Sync!$AG1211,FIND("/",Sync!$AG1211)+1,20),FIND("/",MID(Sync!$AG1211,FIND("/",Sync!$AG1211)+1,20))-1))),"")))</f>
        <v/>
      </c>
      <c r="I1211">
        <f>IF(OR($F1211="",$G1211=""),"",IF(ISNUMBER(Sync!$AG1211),MOD(Sync!$AG1211,100),IFERROR(VALUE(TRIM(MID(MID(Sync!$AG1211,FIND("/",Sync!$AG1211)+1,20),FIND("/",MID(Sync!$AG1211,FIND("/",Sync!$AG1211)+1,20))+1,20))),"")))</f>
        <v/>
      </c>
      <c r="J1211">
        <f>IF($F1211="","",IF(OR($G1211="",$H1211="",$I1211="",$G1211&lt;1300,$G1211&gt;1500,$H1211&lt;1,$H1211&gt;12,$I1211&lt;1,$I1211&gt;31),"نامعتبر",RIGHT("0000"&amp;$G1211,4)&amp;"/"&amp;RIGHT("00"&amp;$H1211,2)&amp;"/"&amp;RIGHT("00"&amp;$I1211,2)))</f>
        <v/>
      </c>
      <c r="K1211">
        <f>IF(OR($F1211="",$J1211="",$J1211="نامعتبر"),"",LEFT($J1211,4)&amp;MID($J1211,6,2)&amp;RIGHT($J1211,2)&amp;$N1211&amp;"|"&amp;"2"&amp;RIGHT("00000"&amp;1206,5))</f>
        <v/>
      </c>
      <c r="L1211">
        <f>IF($K1211="","",COUNTIFS(LdgPartyA,$F1211,LdgKeyA,"&lt;"&amp;$K1211)+COUNTIFS(LdgPartyB,$F1211,LdgKeyB,"&lt;"&amp;$K1211)+1)</f>
        <v/>
      </c>
      <c r="M1211">
        <f>IF($L1211="","",$F1211&amp;"|"&amp;RIGHT("000000"&amp;$L1211,6))</f>
        <v/>
      </c>
      <c r="N1211">
        <f>IF($F1211="","",IF(Sync!$AH1211="","0000",IF(AND(ISNUMBER(Sync!$AH1211),Sync!$AH1211&gt;=0,Sync!$AH1211&lt;1),RIGHT("00"&amp;HOUR(Sync!$AH1211),2)&amp;RIGHT("00"&amp;MINUTE(Sync!$AH1211),2),IFERROR(RIGHT("00"&amp;VALUE(LEFT(Sync!$AH1211,FIND(":",Sync!$AH1211)-1)),2)&amp;RIGHT("00"&amp;VALUE(MID(Sync!$AH1211,FIND(":",Sync!$AH1211)+1,2)),2),"0000"))))</f>
        <v/>
      </c>
    </row>
    <row r="1212">
      <c r="A1212">
        <f>IF(OR(Calc!$E1215="",Calc!$E1215="نامعتبر",Calc!$G1215="",Calc!$I1215&lt;&gt;"خرید"),"",Calc!$G1215)</f>
        <v/>
      </c>
      <c r="B1212">
        <f>IF($A1212="","",LEFT(Calc!$E1215,4)&amp;MID(Calc!$E1215,6,2)&amp;RIGHT(Calc!$E1215,2)&amp;Calc!$R1215&amp;"|"&amp;"1"&amp;RIGHT("00000"&amp;1207,5))</f>
        <v/>
      </c>
      <c r="C1212">
        <f>IF($B1212="","",COUNTIFS(LdgPartyA,$A1212,LdgKeyA,"&lt;"&amp;$B1212)+COUNTIFS(LdgPartyB,$A1212,LdgKeyB,"&lt;"&amp;$B1212)+1)</f>
        <v/>
      </c>
      <c r="D1212">
        <f>IF($C1212="","",$A1212&amp;"|"&amp;RIGHT("000000"&amp;$C1212,6))</f>
        <v/>
      </c>
      <c r="F1212">
        <f>IF(Sync!$AJ1212="","",Sync!$AJ1212)</f>
        <v/>
      </c>
      <c r="G1212">
        <f>IF($F1212="","",IF(Sync!$AG1212="","",IF(ISNUMBER(Sync!$AG1212),IF(AND(Sync!$AG1212&gt;=10000101,Sync!$AG1212&lt;=99991231),INT(Sync!$AG1212/10000),""),IFERROR(VALUE(TRIM(LEFT(Sync!$AG1212,FIND("/",Sync!$AG1212)-1))),""))))</f>
        <v/>
      </c>
      <c r="H1212">
        <f>IF(OR($F1212="",$G1212=""),"",IF(ISNUMBER(Sync!$AG1212),INT(MOD(Sync!$AG1212,10000)/100),IFERROR(VALUE(TRIM(LEFT(MID(Sync!$AG1212,FIND("/",Sync!$AG1212)+1,20),FIND("/",MID(Sync!$AG1212,FIND("/",Sync!$AG1212)+1,20))-1))),"")))</f>
        <v/>
      </c>
      <c r="I1212">
        <f>IF(OR($F1212="",$G1212=""),"",IF(ISNUMBER(Sync!$AG1212),MOD(Sync!$AG1212,100),IFERROR(VALUE(TRIM(MID(MID(Sync!$AG1212,FIND("/",Sync!$AG1212)+1,20),FIND("/",MID(Sync!$AG1212,FIND("/",Sync!$AG1212)+1,20))+1,20))),"")))</f>
        <v/>
      </c>
      <c r="J1212">
        <f>IF($F1212="","",IF(OR($G1212="",$H1212="",$I1212="",$G1212&lt;1300,$G1212&gt;1500,$H1212&lt;1,$H1212&gt;12,$I1212&lt;1,$I1212&gt;31),"نامعتبر",RIGHT("0000"&amp;$G1212,4)&amp;"/"&amp;RIGHT("00"&amp;$H1212,2)&amp;"/"&amp;RIGHT("00"&amp;$I1212,2)))</f>
        <v/>
      </c>
      <c r="K1212">
        <f>IF(OR($F1212="",$J1212="",$J1212="نامعتبر"),"",LEFT($J1212,4)&amp;MID($J1212,6,2)&amp;RIGHT($J1212,2)&amp;$N1212&amp;"|"&amp;"2"&amp;RIGHT("00000"&amp;1207,5))</f>
        <v/>
      </c>
      <c r="L1212">
        <f>IF($K1212="","",COUNTIFS(LdgPartyA,$F1212,LdgKeyA,"&lt;"&amp;$K1212)+COUNTIFS(LdgPartyB,$F1212,LdgKeyB,"&lt;"&amp;$K1212)+1)</f>
        <v/>
      </c>
      <c r="M1212">
        <f>IF($L1212="","",$F1212&amp;"|"&amp;RIGHT("000000"&amp;$L1212,6))</f>
        <v/>
      </c>
      <c r="N1212">
        <f>IF($F1212="","",IF(Sync!$AH1212="","0000",IF(AND(ISNUMBER(Sync!$AH1212),Sync!$AH1212&gt;=0,Sync!$AH1212&lt;1),RIGHT("00"&amp;HOUR(Sync!$AH1212),2)&amp;RIGHT("00"&amp;MINUTE(Sync!$AH1212),2),IFERROR(RIGHT("00"&amp;VALUE(LEFT(Sync!$AH1212,FIND(":",Sync!$AH1212)-1)),2)&amp;RIGHT("00"&amp;VALUE(MID(Sync!$AH1212,FIND(":",Sync!$AH1212)+1,2)),2),"0000"))))</f>
        <v/>
      </c>
    </row>
    <row r="1213">
      <c r="A1213">
        <f>IF(OR(Calc!$E1216="",Calc!$E1216="نامعتبر",Calc!$G1216="",Calc!$I1216&lt;&gt;"خرید"),"",Calc!$G1216)</f>
        <v/>
      </c>
      <c r="B1213">
        <f>IF($A1213="","",LEFT(Calc!$E1216,4)&amp;MID(Calc!$E1216,6,2)&amp;RIGHT(Calc!$E1216,2)&amp;Calc!$R1216&amp;"|"&amp;"1"&amp;RIGHT("00000"&amp;1208,5))</f>
        <v/>
      </c>
      <c r="C1213">
        <f>IF($B1213="","",COUNTIFS(LdgPartyA,$A1213,LdgKeyA,"&lt;"&amp;$B1213)+COUNTIFS(LdgPartyB,$A1213,LdgKeyB,"&lt;"&amp;$B1213)+1)</f>
        <v/>
      </c>
      <c r="D1213">
        <f>IF($C1213="","",$A1213&amp;"|"&amp;RIGHT("000000"&amp;$C1213,6))</f>
        <v/>
      </c>
      <c r="F1213">
        <f>IF(Sync!$AJ1213="","",Sync!$AJ1213)</f>
        <v/>
      </c>
      <c r="G1213">
        <f>IF($F1213="","",IF(Sync!$AG1213="","",IF(ISNUMBER(Sync!$AG1213),IF(AND(Sync!$AG1213&gt;=10000101,Sync!$AG1213&lt;=99991231),INT(Sync!$AG1213/10000),""),IFERROR(VALUE(TRIM(LEFT(Sync!$AG1213,FIND("/",Sync!$AG1213)-1))),""))))</f>
        <v/>
      </c>
      <c r="H1213">
        <f>IF(OR($F1213="",$G1213=""),"",IF(ISNUMBER(Sync!$AG1213),INT(MOD(Sync!$AG1213,10000)/100),IFERROR(VALUE(TRIM(LEFT(MID(Sync!$AG1213,FIND("/",Sync!$AG1213)+1,20),FIND("/",MID(Sync!$AG1213,FIND("/",Sync!$AG1213)+1,20))-1))),"")))</f>
        <v/>
      </c>
      <c r="I1213">
        <f>IF(OR($F1213="",$G1213=""),"",IF(ISNUMBER(Sync!$AG1213),MOD(Sync!$AG1213,100),IFERROR(VALUE(TRIM(MID(MID(Sync!$AG1213,FIND("/",Sync!$AG1213)+1,20),FIND("/",MID(Sync!$AG1213,FIND("/",Sync!$AG1213)+1,20))+1,20))),"")))</f>
        <v/>
      </c>
      <c r="J1213">
        <f>IF($F1213="","",IF(OR($G1213="",$H1213="",$I1213="",$G1213&lt;1300,$G1213&gt;1500,$H1213&lt;1,$H1213&gt;12,$I1213&lt;1,$I1213&gt;31),"نامعتبر",RIGHT("0000"&amp;$G1213,4)&amp;"/"&amp;RIGHT("00"&amp;$H1213,2)&amp;"/"&amp;RIGHT("00"&amp;$I1213,2)))</f>
        <v/>
      </c>
      <c r="K1213">
        <f>IF(OR($F1213="",$J1213="",$J1213="نامعتبر"),"",LEFT($J1213,4)&amp;MID($J1213,6,2)&amp;RIGHT($J1213,2)&amp;$N1213&amp;"|"&amp;"2"&amp;RIGHT("00000"&amp;1208,5))</f>
        <v/>
      </c>
      <c r="L1213">
        <f>IF($K1213="","",COUNTIFS(LdgPartyA,$F1213,LdgKeyA,"&lt;"&amp;$K1213)+COUNTIFS(LdgPartyB,$F1213,LdgKeyB,"&lt;"&amp;$K1213)+1)</f>
        <v/>
      </c>
      <c r="M1213">
        <f>IF($L1213="","",$F1213&amp;"|"&amp;RIGHT("000000"&amp;$L1213,6))</f>
        <v/>
      </c>
      <c r="N1213">
        <f>IF($F1213="","",IF(Sync!$AH1213="","0000",IF(AND(ISNUMBER(Sync!$AH1213),Sync!$AH1213&gt;=0,Sync!$AH1213&lt;1),RIGHT("00"&amp;HOUR(Sync!$AH1213),2)&amp;RIGHT("00"&amp;MINUTE(Sync!$AH1213),2),IFERROR(RIGHT("00"&amp;VALUE(LEFT(Sync!$AH1213,FIND(":",Sync!$AH1213)-1)),2)&amp;RIGHT("00"&amp;VALUE(MID(Sync!$AH1213,FIND(":",Sync!$AH1213)+1,2)),2),"0000"))))</f>
        <v/>
      </c>
    </row>
    <row r="1214">
      <c r="A1214">
        <f>IF(OR(Calc!$E1217="",Calc!$E1217="نامعتبر",Calc!$G1217="",Calc!$I1217&lt;&gt;"خرید"),"",Calc!$G1217)</f>
        <v/>
      </c>
      <c r="B1214">
        <f>IF($A1214="","",LEFT(Calc!$E1217,4)&amp;MID(Calc!$E1217,6,2)&amp;RIGHT(Calc!$E1217,2)&amp;Calc!$R1217&amp;"|"&amp;"1"&amp;RIGHT("00000"&amp;1209,5))</f>
        <v/>
      </c>
      <c r="C1214">
        <f>IF($B1214="","",COUNTIFS(LdgPartyA,$A1214,LdgKeyA,"&lt;"&amp;$B1214)+COUNTIFS(LdgPartyB,$A1214,LdgKeyB,"&lt;"&amp;$B1214)+1)</f>
        <v/>
      </c>
      <c r="D1214">
        <f>IF($C1214="","",$A1214&amp;"|"&amp;RIGHT("000000"&amp;$C1214,6))</f>
        <v/>
      </c>
      <c r="F1214">
        <f>IF(Sync!$AJ1214="","",Sync!$AJ1214)</f>
        <v/>
      </c>
      <c r="G1214">
        <f>IF($F1214="","",IF(Sync!$AG1214="","",IF(ISNUMBER(Sync!$AG1214),IF(AND(Sync!$AG1214&gt;=10000101,Sync!$AG1214&lt;=99991231),INT(Sync!$AG1214/10000),""),IFERROR(VALUE(TRIM(LEFT(Sync!$AG1214,FIND("/",Sync!$AG1214)-1))),""))))</f>
        <v/>
      </c>
      <c r="H1214">
        <f>IF(OR($F1214="",$G1214=""),"",IF(ISNUMBER(Sync!$AG1214),INT(MOD(Sync!$AG1214,10000)/100),IFERROR(VALUE(TRIM(LEFT(MID(Sync!$AG1214,FIND("/",Sync!$AG1214)+1,20),FIND("/",MID(Sync!$AG1214,FIND("/",Sync!$AG1214)+1,20))-1))),"")))</f>
        <v/>
      </c>
      <c r="I1214">
        <f>IF(OR($F1214="",$G1214=""),"",IF(ISNUMBER(Sync!$AG1214),MOD(Sync!$AG1214,100),IFERROR(VALUE(TRIM(MID(MID(Sync!$AG1214,FIND("/",Sync!$AG1214)+1,20),FIND("/",MID(Sync!$AG1214,FIND("/",Sync!$AG1214)+1,20))+1,20))),"")))</f>
        <v/>
      </c>
      <c r="J1214">
        <f>IF($F1214="","",IF(OR($G1214="",$H1214="",$I1214="",$G1214&lt;1300,$G1214&gt;1500,$H1214&lt;1,$H1214&gt;12,$I1214&lt;1,$I1214&gt;31),"نامعتبر",RIGHT("0000"&amp;$G1214,4)&amp;"/"&amp;RIGHT("00"&amp;$H1214,2)&amp;"/"&amp;RIGHT("00"&amp;$I1214,2)))</f>
        <v/>
      </c>
      <c r="K1214">
        <f>IF(OR($F1214="",$J1214="",$J1214="نامعتبر"),"",LEFT($J1214,4)&amp;MID($J1214,6,2)&amp;RIGHT($J1214,2)&amp;$N1214&amp;"|"&amp;"2"&amp;RIGHT("00000"&amp;1209,5))</f>
        <v/>
      </c>
      <c r="L1214">
        <f>IF($K1214="","",COUNTIFS(LdgPartyA,$F1214,LdgKeyA,"&lt;"&amp;$K1214)+COUNTIFS(LdgPartyB,$F1214,LdgKeyB,"&lt;"&amp;$K1214)+1)</f>
        <v/>
      </c>
      <c r="M1214">
        <f>IF($L1214="","",$F1214&amp;"|"&amp;RIGHT("000000"&amp;$L1214,6))</f>
        <v/>
      </c>
      <c r="N1214">
        <f>IF($F1214="","",IF(Sync!$AH1214="","0000",IF(AND(ISNUMBER(Sync!$AH1214),Sync!$AH1214&gt;=0,Sync!$AH1214&lt;1),RIGHT("00"&amp;HOUR(Sync!$AH1214),2)&amp;RIGHT("00"&amp;MINUTE(Sync!$AH1214),2),IFERROR(RIGHT("00"&amp;VALUE(LEFT(Sync!$AH1214,FIND(":",Sync!$AH1214)-1)),2)&amp;RIGHT("00"&amp;VALUE(MID(Sync!$AH1214,FIND(":",Sync!$AH1214)+1,2)),2),"0000"))))</f>
        <v/>
      </c>
    </row>
    <row r="1215">
      <c r="A1215">
        <f>IF(OR(Calc!$E1218="",Calc!$E1218="نامعتبر",Calc!$G1218="",Calc!$I1218&lt;&gt;"خرید"),"",Calc!$G1218)</f>
        <v/>
      </c>
      <c r="B1215">
        <f>IF($A1215="","",LEFT(Calc!$E1218,4)&amp;MID(Calc!$E1218,6,2)&amp;RIGHT(Calc!$E1218,2)&amp;Calc!$R1218&amp;"|"&amp;"1"&amp;RIGHT("00000"&amp;1210,5))</f>
        <v/>
      </c>
      <c r="C1215">
        <f>IF($B1215="","",COUNTIFS(LdgPartyA,$A1215,LdgKeyA,"&lt;"&amp;$B1215)+COUNTIFS(LdgPartyB,$A1215,LdgKeyB,"&lt;"&amp;$B1215)+1)</f>
        <v/>
      </c>
      <c r="D1215">
        <f>IF($C1215="","",$A1215&amp;"|"&amp;RIGHT("000000"&amp;$C1215,6))</f>
        <v/>
      </c>
      <c r="F1215">
        <f>IF(Sync!$AJ1215="","",Sync!$AJ1215)</f>
        <v/>
      </c>
      <c r="G1215">
        <f>IF($F1215="","",IF(Sync!$AG1215="","",IF(ISNUMBER(Sync!$AG1215),IF(AND(Sync!$AG1215&gt;=10000101,Sync!$AG1215&lt;=99991231),INT(Sync!$AG1215/10000),""),IFERROR(VALUE(TRIM(LEFT(Sync!$AG1215,FIND("/",Sync!$AG1215)-1))),""))))</f>
        <v/>
      </c>
      <c r="H1215">
        <f>IF(OR($F1215="",$G1215=""),"",IF(ISNUMBER(Sync!$AG1215),INT(MOD(Sync!$AG1215,10000)/100),IFERROR(VALUE(TRIM(LEFT(MID(Sync!$AG1215,FIND("/",Sync!$AG1215)+1,20),FIND("/",MID(Sync!$AG1215,FIND("/",Sync!$AG1215)+1,20))-1))),"")))</f>
        <v/>
      </c>
      <c r="I1215">
        <f>IF(OR($F1215="",$G1215=""),"",IF(ISNUMBER(Sync!$AG1215),MOD(Sync!$AG1215,100),IFERROR(VALUE(TRIM(MID(MID(Sync!$AG1215,FIND("/",Sync!$AG1215)+1,20),FIND("/",MID(Sync!$AG1215,FIND("/",Sync!$AG1215)+1,20))+1,20))),"")))</f>
        <v/>
      </c>
      <c r="J1215">
        <f>IF($F1215="","",IF(OR($G1215="",$H1215="",$I1215="",$G1215&lt;1300,$G1215&gt;1500,$H1215&lt;1,$H1215&gt;12,$I1215&lt;1,$I1215&gt;31),"نامعتبر",RIGHT("0000"&amp;$G1215,4)&amp;"/"&amp;RIGHT("00"&amp;$H1215,2)&amp;"/"&amp;RIGHT("00"&amp;$I1215,2)))</f>
        <v/>
      </c>
      <c r="K1215">
        <f>IF(OR($F1215="",$J1215="",$J1215="نامعتبر"),"",LEFT($J1215,4)&amp;MID($J1215,6,2)&amp;RIGHT($J1215,2)&amp;$N1215&amp;"|"&amp;"2"&amp;RIGHT("00000"&amp;1210,5))</f>
        <v/>
      </c>
      <c r="L1215">
        <f>IF($K1215="","",COUNTIFS(LdgPartyA,$F1215,LdgKeyA,"&lt;"&amp;$K1215)+COUNTIFS(LdgPartyB,$F1215,LdgKeyB,"&lt;"&amp;$K1215)+1)</f>
        <v/>
      </c>
      <c r="M1215">
        <f>IF($L1215="","",$F1215&amp;"|"&amp;RIGHT("000000"&amp;$L1215,6))</f>
        <v/>
      </c>
      <c r="N1215">
        <f>IF($F1215="","",IF(Sync!$AH1215="","0000",IF(AND(ISNUMBER(Sync!$AH1215),Sync!$AH1215&gt;=0,Sync!$AH1215&lt;1),RIGHT("00"&amp;HOUR(Sync!$AH1215),2)&amp;RIGHT("00"&amp;MINUTE(Sync!$AH1215),2),IFERROR(RIGHT("00"&amp;VALUE(LEFT(Sync!$AH1215,FIND(":",Sync!$AH1215)-1)),2)&amp;RIGHT("00"&amp;VALUE(MID(Sync!$AH1215,FIND(":",Sync!$AH1215)+1,2)),2),"0000"))))</f>
        <v/>
      </c>
    </row>
    <row r="1216">
      <c r="A1216">
        <f>IF(OR(Calc!$E1219="",Calc!$E1219="نامعتبر",Calc!$G1219="",Calc!$I1219&lt;&gt;"خرید"),"",Calc!$G1219)</f>
        <v/>
      </c>
      <c r="B1216">
        <f>IF($A1216="","",LEFT(Calc!$E1219,4)&amp;MID(Calc!$E1219,6,2)&amp;RIGHT(Calc!$E1219,2)&amp;Calc!$R1219&amp;"|"&amp;"1"&amp;RIGHT("00000"&amp;1211,5))</f>
        <v/>
      </c>
      <c r="C1216">
        <f>IF($B1216="","",COUNTIFS(LdgPartyA,$A1216,LdgKeyA,"&lt;"&amp;$B1216)+COUNTIFS(LdgPartyB,$A1216,LdgKeyB,"&lt;"&amp;$B1216)+1)</f>
        <v/>
      </c>
      <c r="D1216">
        <f>IF($C1216="","",$A1216&amp;"|"&amp;RIGHT("000000"&amp;$C1216,6))</f>
        <v/>
      </c>
      <c r="F1216">
        <f>IF(Sync!$AJ1216="","",Sync!$AJ1216)</f>
        <v/>
      </c>
      <c r="G1216">
        <f>IF($F1216="","",IF(Sync!$AG1216="","",IF(ISNUMBER(Sync!$AG1216),IF(AND(Sync!$AG1216&gt;=10000101,Sync!$AG1216&lt;=99991231),INT(Sync!$AG1216/10000),""),IFERROR(VALUE(TRIM(LEFT(Sync!$AG1216,FIND("/",Sync!$AG1216)-1))),""))))</f>
        <v/>
      </c>
      <c r="H1216">
        <f>IF(OR($F1216="",$G1216=""),"",IF(ISNUMBER(Sync!$AG1216),INT(MOD(Sync!$AG1216,10000)/100),IFERROR(VALUE(TRIM(LEFT(MID(Sync!$AG1216,FIND("/",Sync!$AG1216)+1,20),FIND("/",MID(Sync!$AG1216,FIND("/",Sync!$AG1216)+1,20))-1))),"")))</f>
        <v/>
      </c>
      <c r="I1216">
        <f>IF(OR($F1216="",$G1216=""),"",IF(ISNUMBER(Sync!$AG1216),MOD(Sync!$AG1216,100),IFERROR(VALUE(TRIM(MID(MID(Sync!$AG1216,FIND("/",Sync!$AG1216)+1,20),FIND("/",MID(Sync!$AG1216,FIND("/",Sync!$AG1216)+1,20))+1,20))),"")))</f>
        <v/>
      </c>
      <c r="J1216">
        <f>IF($F1216="","",IF(OR($G1216="",$H1216="",$I1216="",$G1216&lt;1300,$G1216&gt;1500,$H1216&lt;1,$H1216&gt;12,$I1216&lt;1,$I1216&gt;31),"نامعتبر",RIGHT("0000"&amp;$G1216,4)&amp;"/"&amp;RIGHT("00"&amp;$H1216,2)&amp;"/"&amp;RIGHT("00"&amp;$I1216,2)))</f>
        <v/>
      </c>
      <c r="K1216">
        <f>IF(OR($F1216="",$J1216="",$J1216="نامعتبر"),"",LEFT($J1216,4)&amp;MID($J1216,6,2)&amp;RIGHT($J1216,2)&amp;$N1216&amp;"|"&amp;"2"&amp;RIGHT("00000"&amp;1211,5))</f>
        <v/>
      </c>
      <c r="L1216">
        <f>IF($K1216="","",COUNTIFS(LdgPartyA,$F1216,LdgKeyA,"&lt;"&amp;$K1216)+COUNTIFS(LdgPartyB,$F1216,LdgKeyB,"&lt;"&amp;$K1216)+1)</f>
        <v/>
      </c>
      <c r="M1216">
        <f>IF($L1216="","",$F1216&amp;"|"&amp;RIGHT("000000"&amp;$L1216,6))</f>
        <v/>
      </c>
      <c r="N1216">
        <f>IF($F1216="","",IF(Sync!$AH1216="","0000",IF(AND(ISNUMBER(Sync!$AH1216),Sync!$AH1216&gt;=0,Sync!$AH1216&lt;1),RIGHT("00"&amp;HOUR(Sync!$AH1216),2)&amp;RIGHT("00"&amp;MINUTE(Sync!$AH1216),2),IFERROR(RIGHT("00"&amp;VALUE(LEFT(Sync!$AH1216,FIND(":",Sync!$AH1216)-1)),2)&amp;RIGHT("00"&amp;VALUE(MID(Sync!$AH1216,FIND(":",Sync!$AH1216)+1,2)),2),"0000"))))</f>
        <v/>
      </c>
    </row>
    <row r="1217">
      <c r="A1217">
        <f>IF(OR(Calc!$E1220="",Calc!$E1220="نامعتبر",Calc!$G1220="",Calc!$I1220&lt;&gt;"خرید"),"",Calc!$G1220)</f>
        <v/>
      </c>
      <c r="B1217">
        <f>IF($A1217="","",LEFT(Calc!$E1220,4)&amp;MID(Calc!$E1220,6,2)&amp;RIGHT(Calc!$E1220,2)&amp;Calc!$R1220&amp;"|"&amp;"1"&amp;RIGHT("00000"&amp;1212,5))</f>
        <v/>
      </c>
      <c r="C1217">
        <f>IF($B1217="","",COUNTIFS(LdgPartyA,$A1217,LdgKeyA,"&lt;"&amp;$B1217)+COUNTIFS(LdgPartyB,$A1217,LdgKeyB,"&lt;"&amp;$B1217)+1)</f>
        <v/>
      </c>
      <c r="D1217">
        <f>IF($C1217="","",$A1217&amp;"|"&amp;RIGHT("000000"&amp;$C1217,6))</f>
        <v/>
      </c>
      <c r="F1217">
        <f>IF(Sync!$AJ1217="","",Sync!$AJ1217)</f>
        <v/>
      </c>
      <c r="G1217">
        <f>IF($F1217="","",IF(Sync!$AG1217="","",IF(ISNUMBER(Sync!$AG1217),IF(AND(Sync!$AG1217&gt;=10000101,Sync!$AG1217&lt;=99991231),INT(Sync!$AG1217/10000),""),IFERROR(VALUE(TRIM(LEFT(Sync!$AG1217,FIND("/",Sync!$AG1217)-1))),""))))</f>
        <v/>
      </c>
      <c r="H1217">
        <f>IF(OR($F1217="",$G1217=""),"",IF(ISNUMBER(Sync!$AG1217),INT(MOD(Sync!$AG1217,10000)/100),IFERROR(VALUE(TRIM(LEFT(MID(Sync!$AG1217,FIND("/",Sync!$AG1217)+1,20),FIND("/",MID(Sync!$AG1217,FIND("/",Sync!$AG1217)+1,20))-1))),"")))</f>
        <v/>
      </c>
      <c r="I1217">
        <f>IF(OR($F1217="",$G1217=""),"",IF(ISNUMBER(Sync!$AG1217),MOD(Sync!$AG1217,100),IFERROR(VALUE(TRIM(MID(MID(Sync!$AG1217,FIND("/",Sync!$AG1217)+1,20),FIND("/",MID(Sync!$AG1217,FIND("/",Sync!$AG1217)+1,20))+1,20))),"")))</f>
        <v/>
      </c>
      <c r="J1217">
        <f>IF($F1217="","",IF(OR($G1217="",$H1217="",$I1217="",$G1217&lt;1300,$G1217&gt;1500,$H1217&lt;1,$H1217&gt;12,$I1217&lt;1,$I1217&gt;31),"نامعتبر",RIGHT("0000"&amp;$G1217,4)&amp;"/"&amp;RIGHT("00"&amp;$H1217,2)&amp;"/"&amp;RIGHT("00"&amp;$I1217,2)))</f>
        <v/>
      </c>
      <c r="K1217">
        <f>IF(OR($F1217="",$J1217="",$J1217="نامعتبر"),"",LEFT($J1217,4)&amp;MID($J1217,6,2)&amp;RIGHT($J1217,2)&amp;$N1217&amp;"|"&amp;"2"&amp;RIGHT("00000"&amp;1212,5))</f>
        <v/>
      </c>
      <c r="L1217">
        <f>IF($K1217="","",COUNTIFS(LdgPartyA,$F1217,LdgKeyA,"&lt;"&amp;$K1217)+COUNTIFS(LdgPartyB,$F1217,LdgKeyB,"&lt;"&amp;$K1217)+1)</f>
        <v/>
      </c>
      <c r="M1217">
        <f>IF($L1217="","",$F1217&amp;"|"&amp;RIGHT("000000"&amp;$L1217,6))</f>
        <v/>
      </c>
      <c r="N1217">
        <f>IF($F1217="","",IF(Sync!$AH1217="","0000",IF(AND(ISNUMBER(Sync!$AH1217),Sync!$AH1217&gt;=0,Sync!$AH1217&lt;1),RIGHT("00"&amp;HOUR(Sync!$AH1217),2)&amp;RIGHT("00"&amp;MINUTE(Sync!$AH1217),2),IFERROR(RIGHT("00"&amp;VALUE(LEFT(Sync!$AH1217,FIND(":",Sync!$AH1217)-1)),2)&amp;RIGHT("00"&amp;VALUE(MID(Sync!$AH1217,FIND(":",Sync!$AH1217)+1,2)),2),"0000"))))</f>
        <v/>
      </c>
    </row>
    <row r="1218">
      <c r="A1218">
        <f>IF(OR(Calc!$E1221="",Calc!$E1221="نامعتبر",Calc!$G1221="",Calc!$I1221&lt;&gt;"خرید"),"",Calc!$G1221)</f>
        <v/>
      </c>
      <c r="B1218">
        <f>IF($A1218="","",LEFT(Calc!$E1221,4)&amp;MID(Calc!$E1221,6,2)&amp;RIGHT(Calc!$E1221,2)&amp;Calc!$R1221&amp;"|"&amp;"1"&amp;RIGHT("00000"&amp;1213,5))</f>
        <v/>
      </c>
      <c r="C1218">
        <f>IF($B1218="","",COUNTIFS(LdgPartyA,$A1218,LdgKeyA,"&lt;"&amp;$B1218)+COUNTIFS(LdgPartyB,$A1218,LdgKeyB,"&lt;"&amp;$B1218)+1)</f>
        <v/>
      </c>
      <c r="D1218">
        <f>IF($C1218="","",$A1218&amp;"|"&amp;RIGHT("000000"&amp;$C1218,6))</f>
        <v/>
      </c>
      <c r="F1218">
        <f>IF(Sync!$AJ1218="","",Sync!$AJ1218)</f>
        <v/>
      </c>
      <c r="G1218">
        <f>IF($F1218="","",IF(Sync!$AG1218="","",IF(ISNUMBER(Sync!$AG1218),IF(AND(Sync!$AG1218&gt;=10000101,Sync!$AG1218&lt;=99991231),INT(Sync!$AG1218/10000),""),IFERROR(VALUE(TRIM(LEFT(Sync!$AG1218,FIND("/",Sync!$AG1218)-1))),""))))</f>
        <v/>
      </c>
      <c r="H1218">
        <f>IF(OR($F1218="",$G1218=""),"",IF(ISNUMBER(Sync!$AG1218),INT(MOD(Sync!$AG1218,10000)/100),IFERROR(VALUE(TRIM(LEFT(MID(Sync!$AG1218,FIND("/",Sync!$AG1218)+1,20),FIND("/",MID(Sync!$AG1218,FIND("/",Sync!$AG1218)+1,20))-1))),"")))</f>
        <v/>
      </c>
      <c r="I1218">
        <f>IF(OR($F1218="",$G1218=""),"",IF(ISNUMBER(Sync!$AG1218),MOD(Sync!$AG1218,100),IFERROR(VALUE(TRIM(MID(MID(Sync!$AG1218,FIND("/",Sync!$AG1218)+1,20),FIND("/",MID(Sync!$AG1218,FIND("/",Sync!$AG1218)+1,20))+1,20))),"")))</f>
        <v/>
      </c>
      <c r="J1218">
        <f>IF($F1218="","",IF(OR($G1218="",$H1218="",$I1218="",$G1218&lt;1300,$G1218&gt;1500,$H1218&lt;1,$H1218&gt;12,$I1218&lt;1,$I1218&gt;31),"نامعتبر",RIGHT("0000"&amp;$G1218,4)&amp;"/"&amp;RIGHT("00"&amp;$H1218,2)&amp;"/"&amp;RIGHT("00"&amp;$I1218,2)))</f>
        <v/>
      </c>
      <c r="K1218">
        <f>IF(OR($F1218="",$J1218="",$J1218="نامعتبر"),"",LEFT($J1218,4)&amp;MID($J1218,6,2)&amp;RIGHT($J1218,2)&amp;$N1218&amp;"|"&amp;"2"&amp;RIGHT("00000"&amp;1213,5))</f>
        <v/>
      </c>
      <c r="L1218">
        <f>IF($K1218="","",COUNTIFS(LdgPartyA,$F1218,LdgKeyA,"&lt;"&amp;$K1218)+COUNTIFS(LdgPartyB,$F1218,LdgKeyB,"&lt;"&amp;$K1218)+1)</f>
        <v/>
      </c>
      <c r="M1218">
        <f>IF($L1218="","",$F1218&amp;"|"&amp;RIGHT("000000"&amp;$L1218,6))</f>
        <v/>
      </c>
      <c r="N1218">
        <f>IF($F1218="","",IF(Sync!$AH1218="","0000",IF(AND(ISNUMBER(Sync!$AH1218),Sync!$AH1218&gt;=0,Sync!$AH1218&lt;1),RIGHT("00"&amp;HOUR(Sync!$AH1218),2)&amp;RIGHT("00"&amp;MINUTE(Sync!$AH1218),2),IFERROR(RIGHT("00"&amp;VALUE(LEFT(Sync!$AH1218,FIND(":",Sync!$AH1218)-1)),2)&amp;RIGHT("00"&amp;VALUE(MID(Sync!$AH1218,FIND(":",Sync!$AH1218)+1,2)),2),"0000"))))</f>
        <v/>
      </c>
    </row>
    <row r="1219">
      <c r="A1219">
        <f>IF(OR(Calc!$E1222="",Calc!$E1222="نامعتبر",Calc!$G1222="",Calc!$I1222&lt;&gt;"خرید"),"",Calc!$G1222)</f>
        <v/>
      </c>
      <c r="B1219">
        <f>IF($A1219="","",LEFT(Calc!$E1222,4)&amp;MID(Calc!$E1222,6,2)&amp;RIGHT(Calc!$E1222,2)&amp;Calc!$R1222&amp;"|"&amp;"1"&amp;RIGHT("00000"&amp;1214,5))</f>
        <v/>
      </c>
      <c r="C1219">
        <f>IF($B1219="","",COUNTIFS(LdgPartyA,$A1219,LdgKeyA,"&lt;"&amp;$B1219)+COUNTIFS(LdgPartyB,$A1219,LdgKeyB,"&lt;"&amp;$B1219)+1)</f>
        <v/>
      </c>
      <c r="D1219">
        <f>IF($C1219="","",$A1219&amp;"|"&amp;RIGHT("000000"&amp;$C1219,6))</f>
        <v/>
      </c>
      <c r="F1219">
        <f>IF(Sync!$AJ1219="","",Sync!$AJ1219)</f>
        <v/>
      </c>
      <c r="G1219">
        <f>IF($F1219="","",IF(Sync!$AG1219="","",IF(ISNUMBER(Sync!$AG1219),IF(AND(Sync!$AG1219&gt;=10000101,Sync!$AG1219&lt;=99991231),INT(Sync!$AG1219/10000),""),IFERROR(VALUE(TRIM(LEFT(Sync!$AG1219,FIND("/",Sync!$AG1219)-1))),""))))</f>
        <v/>
      </c>
      <c r="H1219">
        <f>IF(OR($F1219="",$G1219=""),"",IF(ISNUMBER(Sync!$AG1219),INT(MOD(Sync!$AG1219,10000)/100),IFERROR(VALUE(TRIM(LEFT(MID(Sync!$AG1219,FIND("/",Sync!$AG1219)+1,20),FIND("/",MID(Sync!$AG1219,FIND("/",Sync!$AG1219)+1,20))-1))),"")))</f>
        <v/>
      </c>
      <c r="I1219">
        <f>IF(OR($F1219="",$G1219=""),"",IF(ISNUMBER(Sync!$AG1219),MOD(Sync!$AG1219,100),IFERROR(VALUE(TRIM(MID(MID(Sync!$AG1219,FIND("/",Sync!$AG1219)+1,20),FIND("/",MID(Sync!$AG1219,FIND("/",Sync!$AG1219)+1,20))+1,20))),"")))</f>
        <v/>
      </c>
      <c r="J1219">
        <f>IF($F1219="","",IF(OR($G1219="",$H1219="",$I1219="",$G1219&lt;1300,$G1219&gt;1500,$H1219&lt;1,$H1219&gt;12,$I1219&lt;1,$I1219&gt;31),"نامعتبر",RIGHT("0000"&amp;$G1219,4)&amp;"/"&amp;RIGHT("00"&amp;$H1219,2)&amp;"/"&amp;RIGHT("00"&amp;$I1219,2)))</f>
        <v/>
      </c>
      <c r="K1219">
        <f>IF(OR($F1219="",$J1219="",$J1219="نامعتبر"),"",LEFT($J1219,4)&amp;MID($J1219,6,2)&amp;RIGHT($J1219,2)&amp;$N1219&amp;"|"&amp;"2"&amp;RIGHT("00000"&amp;1214,5))</f>
        <v/>
      </c>
      <c r="L1219">
        <f>IF($K1219="","",COUNTIFS(LdgPartyA,$F1219,LdgKeyA,"&lt;"&amp;$K1219)+COUNTIFS(LdgPartyB,$F1219,LdgKeyB,"&lt;"&amp;$K1219)+1)</f>
        <v/>
      </c>
      <c r="M1219">
        <f>IF($L1219="","",$F1219&amp;"|"&amp;RIGHT("000000"&amp;$L1219,6))</f>
        <v/>
      </c>
      <c r="N1219">
        <f>IF($F1219="","",IF(Sync!$AH1219="","0000",IF(AND(ISNUMBER(Sync!$AH1219),Sync!$AH1219&gt;=0,Sync!$AH1219&lt;1),RIGHT("00"&amp;HOUR(Sync!$AH1219),2)&amp;RIGHT("00"&amp;MINUTE(Sync!$AH1219),2),IFERROR(RIGHT("00"&amp;VALUE(LEFT(Sync!$AH1219,FIND(":",Sync!$AH1219)-1)),2)&amp;RIGHT("00"&amp;VALUE(MID(Sync!$AH1219,FIND(":",Sync!$AH1219)+1,2)),2),"0000"))))</f>
        <v/>
      </c>
    </row>
    <row r="1220">
      <c r="A1220">
        <f>IF(OR(Calc!$E1223="",Calc!$E1223="نامعتبر",Calc!$G1223="",Calc!$I1223&lt;&gt;"خرید"),"",Calc!$G1223)</f>
        <v/>
      </c>
      <c r="B1220">
        <f>IF($A1220="","",LEFT(Calc!$E1223,4)&amp;MID(Calc!$E1223,6,2)&amp;RIGHT(Calc!$E1223,2)&amp;Calc!$R1223&amp;"|"&amp;"1"&amp;RIGHT("00000"&amp;1215,5))</f>
        <v/>
      </c>
      <c r="C1220">
        <f>IF($B1220="","",COUNTIFS(LdgPartyA,$A1220,LdgKeyA,"&lt;"&amp;$B1220)+COUNTIFS(LdgPartyB,$A1220,LdgKeyB,"&lt;"&amp;$B1220)+1)</f>
        <v/>
      </c>
      <c r="D1220">
        <f>IF($C1220="","",$A1220&amp;"|"&amp;RIGHT("000000"&amp;$C1220,6))</f>
        <v/>
      </c>
      <c r="F1220">
        <f>IF(Sync!$AJ1220="","",Sync!$AJ1220)</f>
        <v/>
      </c>
      <c r="G1220">
        <f>IF($F1220="","",IF(Sync!$AG1220="","",IF(ISNUMBER(Sync!$AG1220),IF(AND(Sync!$AG1220&gt;=10000101,Sync!$AG1220&lt;=99991231),INT(Sync!$AG1220/10000),""),IFERROR(VALUE(TRIM(LEFT(Sync!$AG1220,FIND("/",Sync!$AG1220)-1))),""))))</f>
        <v/>
      </c>
      <c r="H1220">
        <f>IF(OR($F1220="",$G1220=""),"",IF(ISNUMBER(Sync!$AG1220),INT(MOD(Sync!$AG1220,10000)/100),IFERROR(VALUE(TRIM(LEFT(MID(Sync!$AG1220,FIND("/",Sync!$AG1220)+1,20),FIND("/",MID(Sync!$AG1220,FIND("/",Sync!$AG1220)+1,20))-1))),"")))</f>
        <v/>
      </c>
      <c r="I1220">
        <f>IF(OR($F1220="",$G1220=""),"",IF(ISNUMBER(Sync!$AG1220),MOD(Sync!$AG1220,100),IFERROR(VALUE(TRIM(MID(MID(Sync!$AG1220,FIND("/",Sync!$AG1220)+1,20),FIND("/",MID(Sync!$AG1220,FIND("/",Sync!$AG1220)+1,20))+1,20))),"")))</f>
        <v/>
      </c>
      <c r="J1220">
        <f>IF($F1220="","",IF(OR($G1220="",$H1220="",$I1220="",$G1220&lt;1300,$G1220&gt;1500,$H1220&lt;1,$H1220&gt;12,$I1220&lt;1,$I1220&gt;31),"نامعتبر",RIGHT("0000"&amp;$G1220,4)&amp;"/"&amp;RIGHT("00"&amp;$H1220,2)&amp;"/"&amp;RIGHT("00"&amp;$I1220,2)))</f>
        <v/>
      </c>
      <c r="K1220">
        <f>IF(OR($F1220="",$J1220="",$J1220="نامعتبر"),"",LEFT($J1220,4)&amp;MID($J1220,6,2)&amp;RIGHT($J1220,2)&amp;$N1220&amp;"|"&amp;"2"&amp;RIGHT("00000"&amp;1215,5))</f>
        <v/>
      </c>
      <c r="L1220">
        <f>IF($K1220="","",COUNTIFS(LdgPartyA,$F1220,LdgKeyA,"&lt;"&amp;$K1220)+COUNTIFS(LdgPartyB,$F1220,LdgKeyB,"&lt;"&amp;$K1220)+1)</f>
        <v/>
      </c>
      <c r="M1220">
        <f>IF($L1220="","",$F1220&amp;"|"&amp;RIGHT("000000"&amp;$L1220,6))</f>
        <v/>
      </c>
      <c r="N1220">
        <f>IF($F1220="","",IF(Sync!$AH1220="","0000",IF(AND(ISNUMBER(Sync!$AH1220),Sync!$AH1220&gt;=0,Sync!$AH1220&lt;1),RIGHT("00"&amp;HOUR(Sync!$AH1220),2)&amp;RIGHT("00"&amp;MINUTE(Sync!$AH1220),2),IFERROR(RIGHT("00"&amp;VALUE(LEFT(Sync!$AH1220,FIND(":",Sync!$AH1220)-1)),2)&amp;RIGHT("00"&amp;VALUE(MID(Sync!$AH1220,FIND(":",Sync!$AH1220)+1,2)),2),"0000"))))</f>
        <v/>
      </c>
    </row>
    <row r="1221">
      <c r="A1221">
        <f>IF(OR(Calc!$E1224="",Calc!$E1224="نامعتبر",Calc!$G1224="",Calc!$I1224&lt;&gt;"خرید"),"",Calc!$G1224)</f>
        <v/>
      </c>
      <c r="B1221">
        <f>IF($A1221="","",LEFT(Calc!$E1224,4)&amp;MID(Calc!$E1224,6,2)&amp;RIGHT(Calc!$E1224,2)&amp;Calc!$R1224&amp;"|"&amp;"1"&amp;RIGHT("00000"&amp;1216,5))</f>
        <v/>
      </c>
      <c r="C1221">
        <f>IF($B1221="","",COUNTIFS(LdgPartyA,$A1221,LdgKeyA,"&lt;"&amp;$B1221)+COUNTIFS(LdgPartyB,$A1221,LdgKeyB,"&lt;"&amp;$B1221)+1)</f>
        <v/>
      </c>
      <c r="D1221">
        <f>IF($C1221="","",$A1221&amp;"|"&amp;RIGHT("000000"&amp;$C1221,6))</f>
        <v/>
      </c>
      <c r="F1221">
        <f>IF(Sync!$AJ1221="","",Sync!$AJ1221)</f>
        <v/>
      </c>
      <c r="G1221">
        <f>IF($F1221="","",IF(Sync!$AG1221="","",IF(ISNUMBER(Sync!$AG1221),IF(AND(Sync!$AG1221&gt;=10000101,Sync!$AG1221&lt;=99991231),INT(Sync!$AG1221/10000),""),IFERROR(VALUE(TRIM(LEFT(Sync!$AG1221,FIND("/",Sync!$AG1221)-1))),""))))</f>
        <v/>
      </c>
      <c r="H1221">
        <f>IF(OR($F1221="",$G1221=""),"",IF(ISNUMBER(Sync!$AG1221),INT(MOD(Sync!$AG1221,10000)/100),IFERROR(VALUE(TRIM(LEFT(MID(Sync!$AG1221,FIND("/",Sync!$AG1221)+1,20),FIND("/",MID(Sync!$AG1221,FIND("/",Sync!$AG1221)+1,20))-1))),"")))</f>
        <v/>
      </c>
      <c r="I1221">
        <f>IF(OR($F1221="",$G1221=""),"",IF(ISNUMBER(Sync!$AG1221),MOD(Sync!$AG1221,100),IFERROR(VALUE(TRIM(MID(MID(Sync!$AG1221,FIND("/",Sync!$AG1221)+1,20),FIND("/",MID(Sync!$AG1221,FIND("/",Sync!$AG1221)+1,20))+1,20))),"")))</f>
        <v/>
      </c>
      <c r="J1221">
        <f>IF($F1221="","",IF(OR($G1221="",$H1221="",$I1221="",$G1221&lt;1300,$G1221&gt;1500,$H1221&lt;1,$H1221&gt;12,$I1221&lt;1,$I1221&gt;31),"نامعتبر",RIGHT("0000"&amp;$G1221,4)&amp;"/"&amp;RIGHT("00"&amp;$H1221,2)&amp;"/"&amp;RIGHT("00"&amp;$I1221,2)))</f>
        <v/>
      </c>
      <c r="K1221">
        <f>IF(OR($F1221="",$J1221="",$J1221="نامعتبر"),"",LEFT($J1221,4)&amp;MID($J1221,6,2)&amp;RIGHT($J1221,2)&amp;$N1221&amp;"|"&amp;"2"&amp;RIGHT("00000"&amp;1216,5))</f>
        <v/>
      </c>
      <c r="L1221">
        <f>IF($K1221="","",COUNTIFS(LdgPartyA,$F1221,LdgKeyA,"&lt;"&amp;$K1221)+COUNTIFS(LdgPartyB,$F1221,LdgKeyB,"&lt;"&amp;$K1221)+1)</f>
        <v/>
      </c>
      <c r="M1221">
        <f>IF($L1221="","",$F1221&amp;"|"&amp;RIGHT("000000"&amp;$L1221,6))</f>
        <v/>
      </c>
      <c r="N1221">
        <f>IF($F1221="","",IF(Sync!$AH1221="","0000",IF(AND(ISNUMBER(Sync!$AH1221),Sync!$AH1221&gt;=0,Sync!$AH1221&lt;1),RIGHT("00"&amp;HOUR(Sync!$AH1221),2)&amp;RIGHT("00"&amp;MINUTE(Sync!$AH1221),2),IFERROR(RIGHT("00"&amp;VALUE(LEFT(Sync!$AH1221,FIND(":",Sync!$AH1221)-1)),2)&amp;RIGHT("00"&amp;VALUE(MID(Sync!$AH1221,FIND(":",Sync!$AH1221)+1,2)),2),"0000"))))</f>
        <v/>
      </c>
    </row>
    <row r="1222">
      <c r="A1222">
        <f>IF(OR(Calc!$E1225="",Calc!$E1225="نامعتبر",Calc!$G1225="",Calc!$I1225&lt;&gt;"خرید"),"",Calc!$G1225)</f>
        <v/>
      </c>
      <c r="B1222">
        <f>IF($A1222="","",LEFT(Calc!$E1225,4)&amp;MID(Calc!$E1225,6,2)&amp;RIGHT(Calc!$E1225,2)&amp;Calc!$R1225&amp;"|"&amp;"1"&amp;RIGHT("00000"&amp;1217,5))</f>
        <v/>
      </c>
      <c r="C1222">
        <f>IF($B1222="","",COUNTIFS(LdgPartyA,$A1222,LdgKeyA,"&lt;"&amp;$B1222)+COUNTIFS(LdgPartyB,$A1222,LdgKeyB,"&lt;"&amp;$B1222)+1)</f>
        <v/>
      </c>
      <c r="D1222">
        <f>IF($C1222="","",$A1222&amp;"|"&amp;RIGHT("000000"&amp;$C1222,6))</f>
        <v/>
      </c>
      <c r="F1222">
        <f>IF(Sync!$AJ1222="","",Sync!$AJ1222)</f>
        <v/>
      </c>
      <c r="G1222">
        <f>IF($F1222="","",IF(Sync!$AG1222="","",IF(ISNUMBER(Sync!$AG1222),IF(AND(Sync!$AG1222&gt;=10000101,Sync!$AG1222&lt;=99991231),INT(Sync!$AG1222/10000),""),IFERROR(VALUE(TRIM(LEFT(Sync!$AG1222,FIND("/",Sync!$AG1222)-1))),""))))</f>
        <v/>
      </c>
      <c r="H1222">
        <f>IF(OR($F1222="",$G1222=""),"",IF(ISNUMBER(Sync!$AG1222),INT(MOD(Sync!$AG1222,10000)/100),IFERROR(VALUE(TRIM(LEFT(MID(Sync!$AG1222,FIND("/",Sync!$AG1222)+1,20),FIND("/",MID(Sync!$AG1222,FIND("/",Sync!$AG1222)+1,20))-1))),"")))</f>
        <v/>
      </c>
      <c r="I1222">
        <f>IF(OR($F1222="",$G1222=""),"",IF(ISNUMBER(Sync!$AG1222),MOD(Sync!$AG1222,100),IFERROR(VALUE(TRIM(MID(MID(Sync!$AG1222,FIND("/",Sync!$AG1222)+1,20),FIND("/",MID(Sync!$AG1222,FIND("/",Sync!$AG1222)+1,20))+1,20))),"")))</f>
        <v/>
      </c>
      <c r="J1222">
        <f>IF($F1222="","",IF(OR($G1222="",$H1222="",$I1222="",$G1222&lt;1300,$G1222&gt;1500,$H1222&lt;1,$H1222&gt;12,$I1222&lt;1,$I1222&gt;31),"نامعتبر",RIGHT("0000"&amp;$G1222,4)&amp;"/"&amp;RIGHT("00"&amp;$H1222,2)&amp;"/"&amp;RIGHT("00"&amp;$I1222,2)))</f>
        <v/>
      </c>
      <c r="K1222">
        <f>IF(OR($F1222="",$J1222="",$J1222="نامعتبر"),"",LEFT($J1222,4)&amp;MID($J1222,6,2)&amp;RIGHT($J1222,2)&amp;$N1222&amp;"|"&amp;"2"&amp;RIGHT("00000"&amp;1217,5))</f>
        <v/>
      </c>
      <c r="L1222">
        <f>IF($K1222="","",COUNTIFS(LdgPartyA,$F1222,LdgKeyA,"&lt;"&amp;$K1222)+COUNTIFS(LdgPartyB,$F1222,LdgKeyB,"&lt;"&amp;$K1222)+1)</f>
        <v/>
      </c>
      <c r="M1222">
        <f>IF($L1222="","",$F1222&amp;"|"&amp;RIGHT("000000"&amp;$L1222,6))</f>
        <v/>
      </c>
      <c r="N1222">
        <f>IF($F1222="","",IF(Sync!$AH1222="","0000",IF(AND(ISNUMBER(Sync!$AH1222),Sync!$AH1222&gt;=0,Sync!$AH1222&lt;1),RIGHT("00"&amp;HOUR(Sync!$AH1222),2)&amp;RIGHT("00"&amp;MINUTE(Sync!$AH1222),2),IFERROR(RIGHT("00"&amp;VALUE(LEFT(Sync!$AH1222,FIND(":",Sync!$AH1222)-1)),2)&amp;RIGHT("00"&amp;VALUE(MID(Sync!$AH1222,FIND(":",Sync!$AH1222)+1,2)),2),"0000"))))</f>
        <v/>
      </c>
    </row>
    <row r="1223">
      <c r="A1223">
        <f>IF(OR(Calc!$E1226="",Calc!$E1226="نامعتبر",Calc!$G1226="",Calc!$I1226&lt;&gt;"خرید"),"",Calc!$G1226)</f>
        <v/>
      </c>
      <c r="B1223">
        <f>IF($A1223="","",LEFT(Calc!$E1226,4)&amp;MID(Calc!$E1226,6,2)&amp;RIGHT(Calc!$E1226,2)&amp;Calc!$R1226&amp;"|"&amp;"1"&amp;RIGHT("00000"&amp;1218,5))</f>
        <v/>
      </c>
      <c r="C1223">
        <f>IF($B1223="","",COUNTIFS(LdgPartyA,$A1223,LdgKeyA,"&lt;"&amp;$B1223)+COUNTIFS(LdgPartyB,$A1223,LdgKeyB,"&lt;"&amp;$B1223)+1)</f>
        <v/>
      </c>
      <c r="D1223">
        <f>IF($C1223="","",$A1223&amp;"|"&amp;RIGHT("000000"&amp;$C1223,6))</f>
        <v/>
      </c>
      <c r="F1223">
        <f>IF(Sync!$AJ1223="","",Sync!$AJ1223)</f>
        <v/>
      </c>
      <c r="G1223">
        <f>IF($F1223="","",IF(Sync!$AG1223="","",IF(ISNUMBER(Sync!$AG1223),IF(AND(Sync!$AG1223&gt;=10000101,Sync!$AG1223&lt;=99991231),INT(Sync!$AG1223/10000),""),IFERROR(VALUE(TRIM(LEFT(Sync!$AG1223,FIND("/",Sync!$AG1223)-1))),""))))</f>
        <v/>
      </c>
      <c r="H1223">
        <f>IF(OR($F1223="",$G1223=""),"",IF(ISNUMBER(Sync!$AG1223),INT(MOD(Sync!$AG1223,10000)/100),IFERROR(VALUE(TRIM(LEFT(MID(Sync!$AG1223,FIND("/",Sync!$AG1223)+1,20),FIND("/",MID(Sync!$AG1223,FIND("/",Sync!$AG1223)+1,20))-1))),"")))</f>
        <v/>
      </c>
      <c r="I1223">
        <f>IF(OR($F1223="",$G1223=""),"",IF(ISNUMBER(Sync!$AG1223),MOD(Sync!$AG1223,100),IFERROR(VALUE(TRIM(MID(MID(Sync!$AG1223,FIND("/",Sync!$AG1223)+1,20),FIND("/",MID(Sync!$AG1223,FIND("/",Sync!$AG1223)+1,20))+1,20))),"")))</f>
        <v/>
      </c>
      <c r="J1223">
        <f>IF($F1223="","",IF(OR($G1223="",$H1223="",$I1223="",$G1223&lt;1300,$G1223&gt;1500,$H1223&lt;1,$H1223&gt;12,$I1223&lt;1,$I1223&gt;31),"نامعتبر",RIGHT("0000"&amp;$G1223,4)&amp;"/"&amp;RIGHT("00"&amp;$H1223,2)&amp;"/"&amp;RIGHT("00"&amp;$I1223,2)))</f>
        <v/>
      </c>
      <c r="K1223">
        <f>IF(OR($F1223="",$J1223="",$J1223="نامعتبر"),"",LEFT($J1223,4)&amp;MID($J1223,6,2)&amp;RIGHT($J1223,2)&amp;$N1223&amp;"|"&amp;"2"&amp;RIGHT("00000"&amp;1218,5))</f>
        <v/>
      </c>
      <c r="L1223">
        <f>IF($K1223="","",COUNTIFS(LdgPartyA,$F1223,LdgKeyA,"&lt;"&amp;$K1223)+COUNTIFS(LdgPartyB,$F1223,LdgKeyB,"&lt;"&amp;$K1223)+1)</f>
        <v/>
      </c>
      <c r="M1223">
        <f>IF($L1223="","",$F1223&amp;"|"&amp;RIGHT("000000"&amp;$L1223,6))</f>
        <v/>
      </c>
      <c r="N1223">
        <f>IF($F1223="","",IF(Sync!$AH1223="","0000",IF(AND(ISNUMBER(Sync!$AH1223),Sync!$AH1223&gt;=0,Sync!$AH1223&lt;1),RIGHT("00"&amp;HOUR(Sync!$AH1223),2)&amp;RIGHT("00"&amp;MINUTE(Sync!$AH1223),2),IFERROR(RIGHT("00"&amp;VALUE(LEFT(Sync!$AH1223,FIND(":",Sync!$AH1223)-1)),2)&amp;RIGHT("00"&amp;VALUE(MID(Sync!$AH1223,FIND(":",Sync!$AH1223)+1,2)),2),"0000"))))</f>
        <v/>
      </c>
    </row>
    <row r="1224">
      <c r="A1224">
        <f>IF(OR(Calc!$E1227="",Calc!$E1227="نامعتبر",Calc!$G1227="",Calc!$I1227&lt;&gt;"خرید"),"",Calc!$G1227)</f>
        <v/>
      </c>
      <c r="B1224">
        <f>IF($A1224="","",LEFT(Calc!$E1227,4)&amp;MID(Calc!$E1227,6,2)&amp;RIGHT(Calc!$E1227,2)&amp;Calc!$R1227&amp;"|"&amp;"1"&amp;RIGHT("00000"&amp;1219,5))</f>
        <v/>
      </c>
      <c r="C1224">
        <f>IF($B1224="","",COUNTIFS(LdgPartyA,$A1224,LdgKeyA,"&lt;"&amp;$B1224)+COUNTIFS(LdgPartyB,$A1224,LdgKeyB,"&lt;"&amp;$B1224)+1)</f>
        <v/>
      </c>
      <c r="D1224">
        <f>IF($C1224="","",$A1224&amp;"|"&amp;RIGHT("000000"&amp;$C1224,6))</f>
        <v/>
      </c>
      <c r="F1224">
        <f>IF(Sync!$AJ1224="","",Sync!$AJ1224)</f>
        <v/>
      </c>
      <c r="G1224">
        <f>IF($F1224="","",IF(Sync!$AG1224="","",IF(ISNUMBER(Sync!$AG1224),IF(AND(Sync!$AG1224&gt;=10000101,Sync!$AG1224&lt;=99991231),INT(Sync!$AG1224/10000),""),IFERROR(VALUE(TRIM(LEFT(Sync!$AG1224,FIND("/",Sync!$AG1224)-1))),""))))</f>
        <v/>
      </c>
      <c r="H1224">
        <f>IF(OR($F1224="",$G1224=""),"",IF(ISNUMBER(Sync!$AG1224),INT(MOD(Sync!$AG1224,10000)/100),IFERROR(VALUE(TRIM(LEFT(MID(Sync!$AG1224,FIND("/",Sync!$AG1224)+1,20),FIND("/",MID(Sync!$AG1224,FIND("/",Sync!$AG1224)+1,20))-1))),"")))</f>
        <v/>
      </c>
      <c r="I1224">
        <f>IF(OR($F1224="",$G1224=""),"",IF(ISNUMBER(Sync!$AG1224),MOD(Sync!$AG1224,100),IFERROR(VALUE(TRIM(MID(MID(Sync!$AG1224,FIND("/",Sync!$AG1224)+1,20),FIND("/",MID(Sync!$AG1224,FIND("/",Sync!$AG1224)+1,20))+1,20))),"")))</f>
        <v/>
      </c>
      <c r="J1224">
        <f>IF($F1224="","",IF(OR($G1224="",$H1224="",$I1224="",$G1224&lt;1300,$G1224&gt;1500,$H1224&lt;1,$H1224&gt;12,$I1224&lt;1,$I1224&gt;31),"نامعتبر",RIGHT("0000"&amp;$G1224,4)&amp;"/"&amp;RIGHT("00"&amp;$H1224,2)&amp;"/"&amp;RIGHT("00"&amp;$I1224,2)))</f>
        <v/>
      </c>
      <c r="K1224">
        <f>IF(OR($F1224="",$J1224="",$J1224="نامعتبر"),"",LEFT($J1224,4)&amp;MID($J1224,6,2)&amp;RIGHT($J1224,2)&amp;$N1224&amp;"|"&amp;"2"&amp;RIGHT("00000"&amp;1219,5))</f>
        <v/>
      </c>
      <c r="L1224">
        <f>IF($K1224="","",COUNTIFS(LdgPartyA,$F1224,LdgKeyA,"&lt;"&amp;$K1224)+COUNTIFS(LdgPartyB,$F1224,LdgKeyB,"&lt;"&amp;$K1224)+1)</f>
        <v/>
      </c>
      <c r="M1224">
        <f>IF($L1224="","",$F1224&amp;"|"&amp;RIGHT("000000"&amp;$L1224,6))</f>
        <v/>
      </c>
      <c r="N1224">
        <f>IF($F1224="","",IF(Sync!$AH1224="","0000",IF(AND(ISNUMBER(Sync!$AH1224),Sync!$AH1224&gt;=0,Sync!$AH1224&lt;1),RIGHT("00"&amp;HOUR(Sync!$AH1224),2)&amp;RIGHT("00"&amp;MINUTE(Sync!$AH1224),2),IFERROR(RIGHT("00"&amp;VALUE(LEFT(Sync!$AH1224,FIND(":",Sync!$AH1224)-1)),2)&amp;RIGHT("00"&amp;VALUE(MID(Sync!$AH1224,FIND(":",Sync!$AH1224)+1,2)),2),"0000"))))</f>
        <v/>
      </c>
    </row>
    <row r="1225">
      <c r="A1225">
        <f>IF(OR(Calc!$E1228="",Calc!$E1228="نامعتبر",Calc!$G1228="",Calc!$I1228&lt;&gt;"خرید"),"",Calc!$G1228)</f>
        <v/>
      </c>
      <c r="B1225">
        <f>IF($A1225="","",LEFT(Calc!$E1228,4)&amp;MID(Calc!$E1228,6,2)&amp;RIGHT(Calc!$E1228,2)&amp;Calc!$R1228&amp;"|"&amp;"1"&amp;RIGHT("00000"&amp;1220,5))</f>
        <v/>
      </c>
      <c r="C1225">
        <f>IF($B1225="","",COUNTIFS(LdgPartyA,$A1225,LdgKeyA,"&lt;"&amp;$B1225)+COUNTIFS(LdgPartyB,$A1225,LdgKeyB,"&lt;"&amp;$B1225)+1)</f>
        <v/>
      </c>
      <c r="D1225">
        <f>IF($C1225="","",$A1225&amp;"|"&amp;RIGHT("000000"&amp;$C1225,6))</f>
        <v/>
      </c>
      <c r="F1225">
        <f>IF(Sync!$AJ1225="","",Sync!$AJ1225)</f>
        <v/>
      </c>
      <c r="G1225">
        <f>IF($F1225="","",IF(Sync!$AG1225="","",IF(ISNUMBER(Sync!$AG1225),IF(AND(Sync!$AG1225&gt;=10000101,Sync!$AG1225&lt;=99991231),INT(Sync!$AG1225/10000),""),IFERROR(VALUE(TRIM(LEFT(Sync!$AG1225,FIND("/",Sync!$AG1225)-1))),""))))</f>
        <v/>
      </c>
      <c r="H1225">
        <f>IF(OR($F1225="",$G1225=""),"",IF(ISNUMBER(Sync!$AG1225),INT(MOD(Sync!$AG1225,10000)/100),IFERROR(VALUE(TRIM(LEFT(MID(Sync!$AG1225,FIND("/",Sync!$AG1225)+1,20),FIND("/",MID(Sync!$AG1225,FIND("/",Sync!$AG1225)+1,20))-1))),"")))</f>
        <v/>
      </c>
      <c r="I1225">
        <f>IF(OR($F1225="",$G1225=""),"",IF(ISNUMBER(Sync!$AG1225),MOD(Sync!$AG1225,100),IFERROR(VALUE(TRIM(MID(MID(Sync!$AG1225,FIND("/",Sync!$AG1225)+1,20),FIND("/",MID(Sync!$AG1225,FIND("/",Sync!$AG1225)+1,20))+1,20))),"")))</f>
        <v/>
      </c>
      <c r="J1225">
        <f>IF($F1225="","",IF(OR($G1225="",$H1225="",$I1225="",$G1225&lt;1300,$G1225&gt;1500,$H1225&lt;1,$H1225&gt;12,$I1225&lt;1,$I1225&gt;31),"نامعتبر",RIGHT("0000"&amp;$G1225,4)&amp;"/"&amp;RIGHT("00"&amp;$H1225,2)&amp;"/"&amp;RIGHT("00"&amp;$I1225,2)))</f>
        <v/>
      </c>
      <c r="K1225">
        <f>IF(OR($F1225="",$J1225="",$J1225="نامعتبر"),"",LEFT($J1225,4)&amp;MID($J1225,6,2)&amp;RIGHT($J1225,2)&amp;$N1225&amp;"|"&amp;"2"&amp;RIGHT("00000"&amp;1220,5))</f>
        <v/>
      </c>
      <c r="L1225">
        <f>IF($K1225="","",COUNTIFS(LdgPartyA,$F1225,LdgKeyA,"&lt;"&amp;$K1225)+COUNTIFS(LdgPartyB,$F1225,LdgKeyB,"&lt;"&amp;$K1225)+1)</f>
        <v/>
      </c>
      <c r="M1225">
        <f>IF($L1225="","",$F1225&amp;"|"&amp;RIGHT("000000"&amp;$L1225,6))</f>
        <v/>
      </c>
      <c r="N1225">
        <f>IF($F1225="","",IF(Sync!$AH1225="","0000",IF(AND(ISNUMBER(Sync!$AH1225),Sync!$AH1225&gt;=0,Sync!$AH1225&lt;1),RIGHT("00"&amp;HOUR(Sync!$AH1225),2)&amp;RIGHT("00"&amp;MINUTE(Sync!$AH1225),2),IFERROR(RIGHT("00"&amp;VALUE(LEFT(Sync!$AH1225,FIND(":",Sync!$AH1225)-1)),2)&amp;RIGHT("00"&amp;VALUE(MID(Sync!$AH1225,FIND(":",Sync!$AH1225)+1,2)),2),"0000"))))</f>
        <v/>
      </c>
    </row>
    <row r="1226">
      <c r="A1226">
        <f>IF(OR(Calc!$E1229="",Calc!$E1229="نامعتبر",Calc!$G1229="",Calc!$I1229&lt;&gt;"خرید"),"",Calc!$G1229)</f>
        <v/>
      </c>
      <c r="B1226">
        <f>IF($A1226="","",LEFT(Calc!$E1229,4)&amp;MID(Calc!$E1229,6,2)&amp;RIGHT(Calc!$E1229,2)&amp;Calc!$R1229&amp;"|"&amp;"1"&amp;RIGHT("00000"&amp;1221,5))</f>
        <v/>
      </c>
      <c r="C1226">
        <f>IF($B1226="","",COUNTIFS(LdgPartyA,$A1226,LdgKeyA,"&lt;"&amp;$B1226)+COUNTIFS(LdgPartyB,$A1226,LdgKeyB,"&lt;"&amp;$B1226)+1)</f>
        <v/>
      </c>
      <c r="D1226">
        <f>IF($C1226="","",$A1226&amp;"|"&amp;RIGHT("000000"&amp;$C1226,6))</f>
        <v/>
      </c>
      <c r="F1226">
        <f>IF(Sync!$AJ1226="","",Sync!$AJ1226)</f>
        <v/>
      </c>
      <c r="G1226">
        <f>IF($F1226="","",IF(Sync!$AG1226="","",IF(ISNUMBER(Sync!$AG1226),IF(AND(Sync!$AG1226&gt;=10000101,Sync!$AG1226&lt;=99991231),INT(Sync!$AG1226/10000),""),IFERROR(VALUE(TRIM(LEFT(Sync!$AG1226,FIND("/",Sync!$AG1226)-1))),""))))</f>
        <v/>
      </c>
      <c r="H1226">
        <f>IF(OR($F1226="",$G1226=""),"",IF(ISNUMBER(Sync!$AG1226),INT(MOD(Sync!$AG1226,10000)/100),IFERROR(VALUE(TRIM(LEFT(MID(Sync!$AG1226,FIND("/",Sync!$AG1226)+1,20),FIND("/",MID(Sync!$AG1226,FIND("/",Sync!$AG1226)+1,20))-1))),"")))</f>
        <v/>
      </c>
      <c r="I1226">
        <f>IF(OR($F1226="",$G1226=""),"",IF(ISNUMBER(Sync!$AG1226),MOD(Sync!$AG1226,100),IFERROR(VALUE(TRIM(MID(MID(Sync!$AG1226,FIND("/",Sync!$AG1226)+1,20),FIND("/",MID(Sync!$AG1226,FIND("/",Sync!$AG1226)+1,20))+1,20))),"")))</f>
        <v/>
      </c>
      <c r="J1226">
        <f>IF($F1226="","",IF(OR($G1226="",$H1226="",$I1226="",$G1226&lt;1300,$G1226&gt;1500,$H1226&lt;1,$H1226&gt;12,$I1226&lt;1,$I1226&gt;31),"نامعتبر",RIGHT("0000"&amp;$G1226,4)&amp;"/"&amp;RIGHT("00"&amp;$H1226,2)&amp;"/"&amp;RIGHT("00"&amp;$I1226,2)))</f>
        <v/>
      </c>
      <c r="K1226">
        <f>IF(OR($F1226="",$J1226="",$J1226="نامعتبر"),"",LEFT($J1226,4)&amp;MID($J1226,6,2)&amp;RIGHT($J1226,2)&amp;$N1226&amp;"|"&amp;"2"&amp;RIGHT("00000"&amp;1221,5))</f>
        <v/>
      </c>
      <c r="L1226">
        <f>IF($K1226="","",COUNTIFS(LdgPartyA,$F1226,LdgKeyA,"&lt;"&amp;$K1226)+COUNTIFS(LdgPartyB,$F1226,LdgKeyB,"&lt;"&amp;$K1226)+1)</f>
        <v/>
      </c>
      <c r="M1226">
        <f>IF($L1226="","",$F1226&amp;"|"&amp;RIGHT("000000"&amp;$L1226,6))</f>
        <v/>
      </c>
      <c r="N1226">
        <f>IF($F1226="","",IF(Sync!$AH1226="","0000",IF(AND(ISNUMBER(Sync!$AH1226),Sync!$AH1226&gt;=0,Sync!$AH1226&lt;1),RIGHT("00"&amp;HOUR(Sync!$AH1226),2)&amp;RIGHT("00"&amp;MINUTE(Sync!$AH1226),2),IFERROR(RIGHT("00"&amp;VALUE(LEFT(Sync!$AH1226,FIND(":",Sync!$AH1226)-1)),2)&amp;RIGHT("00"&amp;VALUE(MID(Sync!$AH1226,FIND(":",Sync!$AH1226)+1,2)),2),"0000"))))</f>
        <v/>
      </c>
    </row>
    <row r="1227">
      <c r="A1227">
        <f>IF(OR(Calc!$E1230="",Calc!$E1230="نامعتبر",Calc!$G1230="",Calc!$I1230&lt;&gt;"خرید"),"",Calc!$G1230)</f>
        <v/>
      </c>
      <c r="B1227">
        <f>IF($A1227="","",LEFT(Calc!$E1230,4)&amp;MID(Calc!$E1230,6,2)&amp;RIGHT(Calc!$E1230,2)&amp;Calc!$R1230&amp;"|"&amp;"1"&amp;RIGHT("00000"&amp;1222,5))</f>
        <v/>
      </c>
      <c r="C1227">
        <f>IF($B1227="","",COUNTIFS(LdgPartyA,$A1227,LdgKeyA,"&lt;"&amp;$B1227)+COUNTIFS(LdgPartyB,$A1227,LdgKeyB,"&lt;"&amp;$B1227)+1)</f>
        <v/>
      </c>
      <c r="D1227">
        <f>IF($C1227="","",$A1227&amp;"|"&amp;RIGHT("000000"&amp;$C1227,6))</f>
        <v/>
      </c>
      <c r="F1227">
        <f>IF(Sync!$AJ1227="","",Sync!$AJ1227)</f>
        <v/>
      </c>
      <c r="G1227">
        <f>IF($F1227="","",IF(Sync!$AG1227="","",IF(ISNUMBER(Sync!$AG1227),IF(AND(Sync!$AG1227&gt;=10000101,Sync!$AG1227&lt;=99991231),INT(Sync!$AG1227/10000),""),IFERROR(VALUE(TRIM(LEFT(Sync!$AG1227,FIND("/",Sync!$AG1227)-1))),""))))</f>
        <v/>
      </c>
      <c r="H1227">
        <f>IF(OR($F1227="",$G1227=""),"",IF(ISNUMBER(Sync!$AG1227),INT(MOD(Sync!$AG1227,10000)/100),IFERROR(VALUE(TRIM(LEFT(MID(Sync!$AG1227,FIND("/",Sync!$AG1227)+1,20),FIND("/",MID(Sync!$AG1227,FIND("/",Sync!$AG1227)+1,20))-1))),"")))</f>
        <v/>
      </c>
      <c r="I1227">
        <f>IF(OR($F1227="",$G1227=""),"",IF(ISNUMBER(Sync!$AG1227),MOD(Sync!$AG1227,100),IFERROR(VALUE(TRIM(MID(MID(Sync!$AG1227,FIND("/",Sync!$AG1227)+1,20),FIND("/",MID(Sync!$AG1227,FIND("/",Sync!$AG1227)+1,20))+1,20))),"")))</f>
        <v/>
      </c>
      <c r="J1227">
        <f>IF($F1227="","",IF(OR($G1227="",$H1227="",$I1227="",$G1227&lt;1300,$G1227&gt;1500,$H1227&lt;1,$H1227&gt;12,$I1227&lt;1,$I1227&gt;31),"نامعتبر",RIGHT("0000"&amp;$G1227,4)&amp;"/"&amp;RIGHT("00"&amp;$H1227,2)&amp;"/"&amp;RIGHT("00"&amp;$I1227,2)))</f>
        <v/>
      </c>
      <c r="K1227">
        <f>IF(OR($F1227="",$J1227="",$J1227="نامعتبر"),"",LEFT($J1227,4)&amp;MID($J1227,6,2)&amp;RIGHT($J1227,2)&amp;$N1227&amp;"|"&amp;"2"&amp;RIGHT("00000"&amp;1222,5))</f>
        <v/>
      </c>
      <c r="L1227">
        <f>IF($K1227="","",COUNTIFS(LdgPartyA,$F1227,LdgKeyA,"&lt;"&amp;$K1227)+COUNTIFS(LdgPartyB,$F1227,LdgKeyB,"&lt;"&amp;$K1227)+1)</f>
        <v/>
      </c>
      <c r="M1227">
        <f>IF($L1227="","",$F1227&amp;"|"&amp;RIGHT("000000"&amp;$L1227,6))</f>
        <v/>
      </c>
      <c r="N1227">
        <f>IF($F1227="","",IF(Sync!$AH1227="","0000",IF(AND(ISNUMBER(Sync!$AH1227),Sync!$AH1227&gt;=0,Sync!$AH1227&lt;1),RIGHT("00"&amp;HOUR(Sync!$AH1227),2)&amp;RIGHT("00"&amp;MINUTE(Sync!$AH1227),2),IFERROR(RIGHT("00"&amp;VALUE(LEFT(Sync!$AH1227,FIND(":",Sync!$AH1227)-1)),2)&amp;RIGHT("00"&amp;VALUE(MID(Sync!$AH1227,FIND(":",Sync!$AH1227)+1,2)),2),"0000"))))</f>
        <v/>
      </c>
    </row>
    <row r="1228">
      <c r="A1228">
        <f>IF(OR(Calc!$E1231="",Calc!$E1231="نامعتبر",Calc!$G1231="",Calc!$I1231&lt;&gt;"خرید"),"",Calc!$G1231)</f>
        <v/>
      </c>
      <c r="B1228">
        <f>IF($A1228="","",LEFT(Calc!$E1231,4)&amp;MID(Calc!$E1231,6,2)&amp;RIGHT(Calc!$E1231,2)&amp;Calc!$R1231&amp;"|"&amp;"1"&amp;RIGHT("00000"&amp;1223,5))</f>
        <v/>
      </c>
      <c r="C1228">
        <f>IF($B1228="","",COUNTIFS(LdgPartyA,$A1228,LdgKeyA,"&lt;"&amp;$B1228)+COUNTIFS(LdgPartyB,$A1228,LdgKeyB,"&lt;"&amp;$B1228)+1)</f>
        <v/>
      </c>
      <c r="D1228">
        <f>IF($C1228="","",$A1228&amp;"|"&amp;RIGHT("000000"&amp;$C1228,6))</f>
        <v/>
      </c>
      <c r="F1228">
        <f>IF(Sync!$AJ1228="","",Sync!$AJ1228)</f>
        <v/>
      </c>
      <c r="G1228">
        <f>IF($F1228="","",IF(Sync!$AG1228="","",IF(ISNUMBER(Sync!$AG1228),IF(AND(Sync!$AG1228&gt;=10000101,Sync!$AG1228&lt;=99991231),INT(Sync!$AG1228/10000),""),IFERROR(VALUE(TRIM(LEFT(Sync!$AG1228,FIND("/",Sync!$AG1228)-1))),""))))</f>
        <v/>
      </c>
      <c r="H1228">
        <f>IF(OR($F1228="",$G1228=""),"",IF(ISNUMBER(Sync!$AG1228),INT(MOD(Sync!$AG1228,10000)/100),IFERROR(VALUE(TRIM(LEFT(MID(Sync!$AG1228,FIND("/",Sync!$AG1228)+1,20),FIND("/",MID(Sync!$AG1228,FIND("/",Sync!$AG1228)+1,20))-1))),"")))</f>
        <v/>
      </c>
      <c r="I1228">
        <f>IF(OR($F1228="",$G1228=""),"",IF(ISNUMBER(Sync!$AG1228),MOD(Sync!$AG1228,100),IFERROR(VALUE(TRIM(MID(MID(Sync!$AG1228,FIND("/",Sync!$AG1228)+1,20),FIND("/",MID(Sync!$AG1228,FIND("/",Sync!$AG1228)+1,20))+1,20))),"")))</f>
        <v/>
      </c>
      <c r="J1228">
        <f>IF($F1228="","",IF(OR($G1228="",$H1228="",$I1228="",$G1228&lt;1300,$G1228&gt;1500,$H1228&lt;1,$H1228&gt;12,$I1228&lt;1,$I1228&gt;31),"نامعتبر",RIGHT("0000"&amp;$G1228,4)&amp;"/"&amp;RIGHT("00"&amp;$H1228,2)&amp;"/"&amp;RIGHT("00"&amp;$I1228,2)))</f>
        <v/>
      </c>
      <c r="K1228">
        <f>IF(OR($F1228="",$J1228="",$J1228="نامعتبر"),"",LEFT($J1228,4)&amp;MID($J1228,6,2)&amp;RIGHT($J1228,2)&amp;$N1228&amp;"|"&amp;"2"&amp;RIGHT("00000"&amp;1223,5))</f>
        <v/>
      </c>
      <c r="L1228">
        <f>IF($K1228="","",COUNTIFS(LdgPartyA,$F1228,LdgKeyA,"&lt;"&amp;$K1228)+COUNTIFS(LdgPartyB,$F1228,LdgKeyB,"&lt;"&amp;$K1228)+1)</f>
        <v/>
      </c>
      <c r="M1228">
        <f>IF($L1228="","",$F1228&amp;"|"&amp;RIGHT("000000"&amp;$L1228,6))</f>
        <v/>
      </c>
      <c r="N1228">
        <f>IF($F1228="","",IF(Sync!$AH1228="","0000",IF(AND(ISNUMBER(Sync!$AH1228),Sync!$AH1228&gt;=0,Sync!$AH1228&lt;1),RIGHT("00"&amp;HOUR(Sync!$AH1228),2)&amp;RIGHT("00"&amp;MINUTE(Sync!$AH1228),2),IFERROR(RIGHT("00"&amp;VALUE(LEFT(Sync!$AH1228,FIND(":",Sync!$AH1228)-1)),2)&amp;RIGHT("00"&amp;VALUE(MID(Sync!$AH1228,FIND(":",Sync!$AH1228)+1,2)),2),"0000"))))</f>
        <v/>
      </c>
    </row>
    <row r="1229">
      <c r="A1229">
        <f>IF(OR(Calc!$E1232="",Calc!$E1232="نامعتبر",Calc!$G1232="",Calc!$I1232&lt;&gt;"خرید"),"",Calc!$G1232)</f>
        <v/>
      </c>
      <c r="B1229">
        <f>IF($A1229="","",LEFT(Calc!$E1232,4)&amp;MID(Calc!$E1232,6,2)&amp;RIGHT(Calc!$E1232,2)&amp;Calc!$R1232&amp;"|"&amp;"1"&amp;RIGHT("00000"&amp;1224,5))</f>
        <v/>
      </c>
      <c r="C1229">
        <f>IF($B1229="","",COUNTIFS(LdgPartyA,$A1229,LdgKeyA,"&lt;"&amp;$B1229)+COUNTIFS(LdgPartyB,$A1229,LdgKeyB,"&lt;"&amp;$B1229)+1)</f>
        <v/>
      </c>
      <c r="D1229">
        <f>IF($C1229="","",$A1229&amp;"|"&amp;RIGHT("000000"&amp;$C1229,6))</f>
        <v/>
      </c>
      <c r="F1229">
        <f>IF(Sync!$AJ1229="","",Sync!$AJ1229)</f>
        <v/>
      </c>
      <c r="G1229">
        <f>IF($F1229="","",IF(Sync!$AG1229="","",IF(ISNUMBER(Sync!$AG1229),IF(AND(Sync!$AG1229&gt;=10000101,Sync!$AG1229&lt;=99991231),INT(Sync!$AG1229/10000),""),IFERROR(VALUE(TRIM(LEFT(Sync!$AG1229,FIND("/",Sync!$AG1229)-1))),""))))</f>
        <v/>
      </c>
      <c r="H1229">
        <f>IF(OR($F1229="",$G1229=""),"",IF(ISNUMBER(Sync!$AG1229),INT(MOD(Sync!$AG1229,10000)/100),IFERROR(VALUE(TRIM(LEFT(MID(Sync!$AG1229,FIND("/",Sync!$AG1229)+1,20),FIND("/",MID(Sync!$AG1229,FIND("/",Sync!$AG1229)+1,20))-1))),"")))</f>
        <v/>
      </c>
      <c r="I1229">
        <f>IF(OR($F1229="",$G1229=""),"",IF(ISNUMBER(Sync!$AG1229),MOD(Sync!$AG1229,100),IFERROR(VALUE(TRIM(MID(MID(Sync!$AG1229,FIND("/",Sync!$AG1229)+1,20),FIND("/",MID(Sync!$AG1229,FIND("/",Sync!$AG1229)+1,20))+1,20))),"")))</f>
        <v/>
      </c>
      <c r="J1229">
        <f>IF($F1229="","",IF(OR($G1229="",$H1229="",$I1229="",$G1229&lt;1300,$G1229&gt;1500,$H1229&lt;1,$H1229&gt;12,$I1229&lt;1,$I1229&gt;31),"نامعتبر",RIGHT("0000"&amp;$G1229,4)&amp;"/"&amp;RIGHT("00"&amp;$H1229,2)&amp;"/"&amp;RIGHT("00"&amp;$I1229,2)))</f>
        <v/>
      </c>
      <c r="K1229">
        <f>IF(OR($F1229="",$J1229="",$J1229="نامعتبر"),"",LEFT($J1229,4)&amp;MID($J1229,6,2)&amp;RIGHT($J1229,2)&amp;$N1229&amp;"|"&amp;"2"&amp;RIGHT("00000"&amp;1224,5))</f>
        <v/>
      </c>
      <c r="L1229">
        <f>IF($K1229="","",COUNTIFS(LdgPartyA,$F1229,LdgKeyA,"&lt;"&amp;$K1229)+COUNTIFS(LdgPartyB,$F1229,LdgKeyB,"&lt;"&amp;$K1229)+1)</f>
        <v/>
      </c>
      <c r="M1229">
        <f>IF($L1229="","",$F1229&amp;"|"&amp;RIGHT("000000"&amp;$L1229,6))</f>
        <v/>
      </c>
      <c r="N1229">
        <f>IF($F1229="","",IF(Sync!$AH1229="","0000",IF(AND(ISNUMBER(Sync!$AH1229),Sync!$AH1229&gt;=0,Sync!$AH1229&lt;1),RIGHT("00"&amp;HOUR(Sync!$AH1229),2)&amp;RIGHT("00"&amp;MINUTE(Sync!$AH1229),2),IFERROR(RIGHT("00"&amp;VALUE(LEFT(Sync!$AH1229,FIND(":",Sync!$AH1229)-1)),2)&amp;RIGHT("00"&amp;VALUE(MID(Sync!$AH1229,FIND(":",Sync!$AH1229)+1,2)),2),"0000"))))</f>
        <v/>
      </c>
    </row>
    <row r="1230">
      <c r="A1230">
        <f>IF(OR(Calc!$E1233="",Calc!$E1233="نامعتبر",Calc!$G1233="",Calc!$I1233&lt;&gt;"خرید"),"",Calc!$G1233)</f>
        <v/>
      </c>
      <c r="B1230">
        <f>IF($A1230="","",LEFT(Calc!$E1233,4)&amp;MID(Calc!$E1233,6,2)&amp;RIGHT(Calc!$E1233,2)&amp;Calc!$R1233&amp;"|"&amp;"1"&amp;RIGHT("00000"&amp;1225,5))</f>
        <v/>
      </c>
      <c r="C1230">
        <f>IF($B1230="","",COUNTIFS(LdgPartyA,$A1230,LdgKeyA,"&lt;"&amp;$B1230)+COUNTIFS(LdgPartyB,$A1230,LdgKeyB,"&lt;"&amp;$B1230)+1)</f>
        <v/>
      </c>
      <c r="D1230">
        <f>IF($C1230="","",$A1230&amp;"|"&amp;RIGHT("000000"&amp;$C1230,6))</f>
        <v/>
      </c>
      <c r="F1230">
        <f>IF(Sync!$AJ1230="","",Sync!$AJ1230)</f>
        <v/>
      </c>
      <c r="G1230">
        <f>IF($F1230="","",IF(Sync!$AG1230="","",IF(ISNUMBER(Sync!$AG1230),IF(AND(Sync!$AG1230&gt;=10000101,Sync!$AG1230&lt;=99991231),INT(Sync!$AG1230/10000),""),IFERROR(VALUE(TRIM(LEFT(Sync!$AG1230,FIND("/",Sync!$AG1230)-1))),""))))</f>
        <v/>
      </c>
      <c r="H1230">
        <f>IF(OR($F1230="",$G1230=""),"",IF(ISNUMBER(Sync!$AG1230),INT(MOD(Sync!$AG1230,10000)/100),IFERROR(VALUE(TRIM(LEFT(MID(Sync!$AG1230,FIND("/",Sync!$AG1230)+1,20),FIND("/",MID(Sync!$AG1230,FIND("/",Sync!$AG1230)+1,20))-1))),"")))</f>
        <v/>
      </c>
      <c r="I1230">
        <f>IF(OR($F1230="",$G1230=""),"",IF(ISNUMBER(Sync!$AG1230),MOD(Sync!$AG1230,100),IFERROR(VALUE(TRIM(MID(MID(Sync!$AG1230,FIND("/",Sync!$AG1230)+1,20),FIND("/",MID(Sync!$AG1230,FIND("/",Sync!$AG1230)+1,20))+1,20))),"")))</f>
        <v/>
      </c>
      <c r="J1230">
        <f>IF($F1230="","",IF(OR($G1230="",$H1230="",$I1230="",$G1230&lt;1300,$G1230&gt;1500,$H1230&lt;1,$H1230&gt;12,$I1230&lt;1,$I1230&gt;31),"نامعتبر",RIGHT("0000"&amp;$G1230,4)&amp;"/"&amp;RIGHT("00"&amp;$H1230,2)&amp;"/"&amp;RIGHT("00"&amp;$I1230,2)))</f>
        <v/>
      </c>
      <c r="K1230">
        <f>IF(OR($F1230="",$J1230="",$J1230="نامعتبر"),"",LEFT($J1230,4)&amp;MID($J1230,6,2)&amp;RIGHT($J1230,2)&amp;$N1230&amp;"|"&amp;"2"&amp;RIGHT("00000"&amp;1225,5))</f>
        <v/>
      </c>
      <c r="L1230">
        <f>IF($K1230="","",COUNTIFS(LdgPartyA,$F1230,LdgKeyA,"&lt;"&amp;$K1230)+COUNTIFS(LdgPartyB,$F1230,LdgKeyB,"&lt;"&amp;$K1230)+1)</f>
        <v/>
      </c>
      <c r="M1230">
        <f>IF($L1230="","",$F1230&amp;"|"&amp;RIGHT("000000"&amp;$L1230,6))</f>
        <v/>
      </c>
      <c r="N1230">
        <f>IF($F1230="","",IF(Sync!$AH1230="","0000",IF(AND(ISNUMBER(Sync!$AH1230),Sync!$AH1230&gt;=0,Sync!$AH1230&lt;1),RIGHT("00"&amp;HOUR(Sync!$AH1230),2)&amp;RIGHT("00"&amp;MINUTE(Sync!$AH1230),2),IFERROR(RIGHT("00"&amp;VALUE(LEFT(Sync!$AH1230,FIND(":",Sync!$AH1230)-1)),2)&amp;RIGHT("00"&amp;VALUE(MID(Sync!$AH1230,FIND(":",Sync!$AH1230)+1,2)),2),"0000"))))</f>
        <v/>
      </c>
    </row>
    <row r="1231">
      <c r="A1231">
        <f>IF(OR(Calc!$E1234="",Calc!$E1234="نامعتبر",Calc!$G1234="",Calc!$I1234&lt;&gt;"خرید"),"",Calc!$G1234)</f>
        <v/>
      </c>
      <c r="B1231">
        <f>IF($A1231="","",LEFT(Calc!$E1234,4)&amp;MID(Calc!$E1234,6,2)&amp;RIGHT(Calc!$E1234,2)&amp;Calc!$R1234&amp;"|"&amp;"1"&amp;RIGHT("00000"&amp;1226,5))</f>
        <v/>
      </c>
      <c r="C1231">
        <f>IF($B1231="","",COUNTIFS(LdgPartyA,$A1231,LdgKeyA,"&lt;"&amp;$B1231)+COUNTIFS(LdgPartyB,$A1231,LdgKeyB,"&lt;"&amp;$B1231)+1)</f>
        <v/>
      </c>
      <c r="D1231">
        <f>IF($C1231="","",$A1231&amp;"|"&amp;RIGHT("000000"&amp;$C1231,6))</f>
        <v/>
      </c>
      <c r="F1231">
        <f>IF(Sync!$AJ1231="","",Sync!$AJ1231)</f>
        <v/>
      </c>
      <c r="G1231">
        <f>IF($F1231="","",IF(Sync!$AG1231="","",IF(ISNUMBER(Sync!$AG1231),IF(AND(Sync!$AG1231&gt;=10000101,Sync!$AG1231&lt;=99991231),INT(Sync!$AG1231/10000),""),IFERROR(VALUE(TRIM(LEFT(Sync!$AG1231,FIND("/",Sync!$AG1231)-1))),""))))</f>
        <v/>
      </c>
      <c r="H1231">
        <f>IF(OR($F1231="",$G1231=""),"",IF(ISNUMBER(Sync!$AG1231),INT(MOD(Sync!$AG1231,10000)/100),IFERROR(VALUE(TRIM(LEFT(MID(Sync!$AG1231,FIND("/",Sync!$AG1231)+1,20),FIND("/",MID(Sync!$AG1231,FIND("/",Sync!$AG1231)+1,20))-1))),"")))</f>
        <v/>
      </c>
      <c r="I1231">
        <f>IF(OR($F1231="",$G1231=""),"",IF(ISNUMBER(Sync!$AG1231),MOD(Sync!$AG1231,100),IFERROR(VALUE(TRIM(MID(MID(Sync!$AG1231,FIND("/",Sync!$AG1231)+1,20),FIND("/",MID(Sync!$AG1231,FIND("/",Sync!$AG1231)+1,20))+1,20))),"")))</f>
        <v/>
      </c>
      <c r="J1231">
        <f>IF($F1231="","",IF(OR($G1231="",$H1231="",$I1231="",$G1231&lt;1300,$G1231&gt;1500,$H1231&lt;1,$H1231&gt;12,$I1231&lt;1,$I1231&gt;31),"نامعتبر",RIGHT("0000"&amp;$G1231,4)&amp;"/"&amp;RIGHT("00"&amp;$H1231,2)&amp;"/"&amp;RIGHT("00"&amp;$I1231,2)))</f>
        <v/>
      </c>
      <c r="K1231">
        <f>IF(OR($F1231="",$J1231="",$J1231="نامعتبر"),"",LEFT($J1231,4)&amp;MID($J1231,6,2)&amp;RIGHT($J1231,2)&amp;$N1231&amp;"|"&amp;"2"&amp;RIGHT("00000"&amp;1226,5))</f>
        <v/>
      </c>
      <c r="L1231">
        <f>IF($K1231="","",COUNTIFS(LdgPartyA,$F1231,LdgKeyA,"&lt;"&amp;$K1231)+COUNTIFS(LdgPartyB,$F1231,LdgKeyB,"&lt;"&amp;$K1231)+1)</f>
        <v/>
      </c>
      <c r="M1231">
        <f>IF($L1231="","",$F1231&amp;"|"&amp;RIGHT("000000"&amp;$L1231,6))</f>
        <v/>
      </c>
      <c r="N1231">
        <f>IF($F1231="","",IF(Sync!$AH1231="","0000",IF(AND(ISNUMBER(Sync!$AH1231),Sync!$AH1231&gt;=0,Sync!$AH1231&lt;1),RIGHT("00"&amp;HOUR(Sync!$AH1231),2)&amp;RIGHT("00"&amp;MINUTE(Sync!$AH1231),2),IFERROR(RIGHT("00"&amp;VALUE(LEFT(Sync!$AH1231,FIND(":",Sync!$AH1231)-1)),2)&amp;RIGHT("00"&amp;VALUE(MID(Sync!$AH1231,FIND(":",Sync!$AH1231)+1,2)),2),"0000"))))</f>
        <v/>
      </c>
    </row>
    <row r="1232">
      <c r="A1232">
        <f>IF(OR(Calc!$E1235="",Calc!$E1235="نامعتبر",Calc!$G1235="",Calc!$I1235&lt;&gt;"خرید"),"",Calc!$G1235)</f>
        <v/>
      </c>
      <c r="B1232">
        <f>IF($A1232="","",LEFT(Calc!$E1235,4)&amp;MID(Calc!$E1235,6,2)&amp;RIGHT(Calc!$E1235,2)&amp;Calc!$R1235&amp;"|"&amp;"1"&amp;RIGHT("00000"&amp;1227,5))</f>
        <v/>
      </c>
      <c r="C1232">
        <f>IF($B1232="","",COUNTIFS(LdgPartyA,$A1232,LdgKeyA,"&lt;"&amp;$B1232)+COUNTIFS(LdgPartyB,$A1232,LdgKeyB,"&lt;"&amp;$B1232)+1)</f>
        <v/>
      </c>
      <c r="D1232">
        <f>IF($C1232="","",$A1232&amp;"|"&amp;RIGHT("000000"&amp;$C1232,6))</f>
        <v/>
      </c>
      <c r="F1232">
        <f>IF(Sync!$AJ1232="","",Sync!$AJ1232)</f>
        <v/>
      </c>
      <c r="G1232">
        <f>IF($F1232="","",IF(Sync!$AG1232="","",IF(ISNUMBER(Sync!$AG1232),IF(AND(Sync!$AG1232&gt;=10000101,Sync!$AG1232&lt;=99991231),INT(Sync!$AG1232/10000),""),IFERROR(VALUE(TRIM(LEFT(Sync!$AG1232,FIND("/",Sync!$AG1232)-1))),""))))</f>
        <v/>
      </c>
      <c r="H1232">
        <f>IF(OR($F1232="",$G1232=""),"",IF(ISNUMBER(Sync!$AG1232),INT(MOD(Sync!$AG1232,10000)/100),IFERROR(VALUE(TRIM(LEFT(MID(Sync!$AG1232,FIND("/",Sync!$AG1232)+1,20),FIND("/",MID(Sync!$AG1232,FIND("/",Sync!$AG1232)+1,20))-1))),"")))</f>
        <v/>
      </c>
      <c r="I1232">
        <f>IF(OR($F1232="",$G1232=""),"",IF(ISNUMBER(Sync!$AG1232),MOD(Sync!$AG1232,100),IFERROR(VALUE(TRIM(MID(MID(Sync!$AG1232,FIND("/",Sync!$AG1232)+1,20),FIND("/",MID(Sync!$AG1232,FIND("/",Sync!$AG1232)+1,20))+1,20))),"")))</f>
        <v/>
      </c>
      <c r="J1232">
        <f>IF($F1232="","",IF(OR($G1232="",$H1232="",$I1232="",$G1232&lt;1300,$G1232&gt;1500,$H1232&lt;1,$H1232&gt;12,$I1232&lt;1,$I1232&gt;31),"نامعتبر",RIGHT("0000"&amp;$G1232,4)&amp;"/"&amp;RIGHT("00"&amp;$H1232,2)&amp;"/"&amp;RIGHT("00"&amp;$I1232,2)))</f>
        <v/>
      </c>
      <c r="K1232">
        <f>IF(OR($F1232="",$J1232="",$J1232="نامعتبر"),"",LEFT($J1232,4)&amp;MID($J1232,6,2)&amp;RIGHT($J1232,2)&amp;$N1232&amp;"|"&amp;"2"&amp;RIGHT("00000"&amp;1227,5))</f>
        <v/>
      </c>
      <c r="L1232">
        <f>IF($K1232="","",COUNTIFS(LdgPartyA,$F1232,LdgKeyA,"&lt;"&amp;$K1232)+COUNTIFS(LdgPartyB,$F1232,LdgKeyB,"&lt;"&amp;$K1232)+1)</f>
        <v/>
      </c>
      <c r="M1232">
        <f>IF($L1232="","",$F1232&amp;"|"&amp;RIGHT("000000"&amp;$L1232,6))</f>
        <v/>
      </c>
      <c r="N1232">
        <f>IF($F1232="","",IF(Sync!$AH1232="","0000",IF(AND(ISNUMBER(Sync!$AH1232),Sync!$AH1232&gt;=0,Sync!$AH1232&lt;1),RIGHT("00"&amp;HOUR(Sync!$AH1232),2)&amp;RIGHT("00"&amp;MINUTE(Sync!$AH1232),2),IFERROR(RIGHT("00"&amp;VALUE(LEFT(Sync!$AH1232,FIND(":",Sync!$AH1232)-1)),2)&amp;RIGHT("00"&amp;VALUE(MID(Sync!$AH1232,FIND(":",Sync!$AH1232)+1,2)),2),"0000"))))</f>
        <v/>
      </c>
    </row>
    <row r="1233">
      <c r="A1233">
        <f>IF(OR(Calc!$E1236="",Calc!$E1236="نامعتبر",Calc!$G1236="",Calc!$I1236&lt;&gt;"خرید"),"",Calc!$G1236)</f>
        <v/>
      </c>
      <c r="B1233">
        <f>IF($A1233="","",LEFT(Calc!$E1236,4)&amp;MID(Calc!$E1236,6,2)&amp;RIGHT(Calc!$E1236,2)&amp;Calc!$R1236&amp;"|"&amp;"1"&amp;RIGHT("00000"&amp;1228,5))</f>
        <v/>
      </c>
      <c r="C1233">
        <f>IF($B1233="","",COUNTIFS(LdgPartyA,$A1233,LdgKeyA,"&lt;"&amp;$B1233)+COUNTIFS(LdgPartyB,$A1233,LdgKeyB,"&lt;"&amp;$B1233)+1)</f>
        <v/>
      </c>
      <c r="D1233">
        <f>IF($C1233="","",$A1233&amp;"|"&amp;RIGHT("000000"&amp;$C1233,6))</f>
        <v/>
      </c>
      <c r="F1233">
        <f>IF(Sync!$AJ1233="","",Sync!$AJ1233)</f>
        <v/>
      </c>
      <c r="G1233">
        <f>IF($F1233="","",IF(Sync!$AG1233="","",IF(ISNUMBER(Sync!$AG1233),IF(AND(Sync!$AG1233&gt;=10000101,Sync!$AG1233&lt;=99991231),INT(Sync!$AG1233/10000),""),IFERROR(VALUE(TRIM(LEFT(Sync!$AG1233,FIND("/",Sync!$AG1233)-1))),""))))</f>
        <v/>
      </c>
      <c r="H1233">
        <f>IF(OR($F1233="",$G1233=""),"",IF(ISNUMBER(Sync!$AG1233),INT(MOD(Sync!$AG1233,10000)/100),IFERROR(VALUE(TRIM(LEFT(MID(Sync!$AG1233,FIND("/",Sync!$AG1233)+1,20),FIND("/",MID(Sync!$AG1233,FIND("/",Sync!$AG1233)+1,20))-1))),"")))</f>
        <v/>
      </c>
      <c r="I1233">
        <f>IF(OR($F1233="",$G1233=""),"",IF(ISNUMBER(Sync!$AG1233),MOD(Sync!$AG1233,100),IFERROR(VALUE(TRIM(MID(MID(Sync!$AG1233,FIND("/",Sync!$AG1233)+1,20),FIND("/",MID(Sync!$AG1233,FIND("/",Sync!$AG1233)+1,20))+1,20))),"")))</f>
        <v/>
      </c>
      <c r="J1233">
        <f>IF($F1233="","",IF(OR($G1233="",$H1233="",$I1233="",$G1233&lt;1300,$G1233&gt;1500,$H1233&lt;1,$H1233&gt;12,$I1233&lt;1,$I1233&gt;31),"نامعتبر",RIGHT("0000"&amp;$G1233,4)&amp;"/"&amp;RIGHT("00"&amp;$H1233,2)&amp;"/"&amp;RIGHT("00"&amp;$I1233,2)))</f>
        <v/>
      </c>
      <c r="K1233">
        <f>IF(OR($F1233="",$J1233="",$J1233="نامعتبر"),"",LEFT($J1233,4)&amp;MID($J1233,6,2)&amp;RIGHT($J1233,2)&amp;$N1233&amp;"|"&amp;"2"&amp;RIGHT("00000"&amp;1228,5))</f>
        <v/>
      </c>
      <c r="L1233">
        <f>IF($K1233="","",COUNTIFS(LdgPartyA,$F1233,LdgKeyA,"&lt;"&amp;$K1233)+COUNTIFS(LdgPartyB,$F1233,LdgKeyB,"&lt;"&amp;$K1233)+1)</f>
        <v/>
      </c>
      <c r="M1233">
        <f>IF($L1233="","",$F1233&amp;"|"&amp;RIGHT("000000"&amp;$L1233,6))</f>
        <v/>
      </c>
      <c r="N1233">
        <f>IF($F1233="","",IF(Sync!$AH1233="","0000",IF(AND(ISNUMBER(Sync!$AH1233),Sync!$AH1233&gt;=0,Sync!$AH1233&lt;1),RIGHT("00"&amp;HOUR(Sync!$AH1233),2)&amp;RIGHT("00"&amp;MINUTE(Sync!$AH1233),2),IFERROR(RIGHT("00"&amp;VALUE(LEFT(Sync!$AH1233,FIND(":",Sync!$AH1233)-1)),2)&amp;RIGHT("00"&amp;VALUE(MID(Sync!$AH1233,FIND(":",Sync!$AH1233)+1,2)),2),"0000"))))</f>
        <v/>
      </c>
    </row>
    <row r="1234">
      <c r="A1234">
        <f>IF(OR(Calc!$E1237="",Calc!$E1237="نامعتبر",Calc!$G1237="",Calc!$I1237&lt;&gt;"خرید"),"",Calc!$G1237)</f>
        <v/>
      </c>
      <c r="B1234">
        <f>IF($A1234="","",LEFT(Calc!$E1237,4)&amp;MID(Calc!$E1237,6,2)&amp;RIGHT(Calc!$E1237,2)&amp;Calc!$R1237&amp;"|"&amp;"1"&amp;RIGHT("00000"&amp;1229,5))</f>
        <v/>
      </c>
      <c r="C1234">
        <f>IF($B1234="","",COUNTIFS(LdgPartyA,$A1234,LdgKeyA,"&lt;"&amp;$B1234)+COUNTIFS(LdgPartyB,$A1234,LdgKeyB,"&lt;"&amp;$B1234)+1)</f>
        <v/>
      </c>
      <c r="D1234">
        <f>IF($C1234="","",$A1234&amp;"|"&amp;RIGHT("000000"&amp;$C1234,6))</f>
        <v/>
      </c>
      <c r="F1234">
        <f>IF(Sync!$AJ1234="","",Sync!$AJ1234)</f>
        <v/>
      </c>
      <c r="G1234">
        <f>IF($F1234="","",IF(Sync!$AG1234="","",IF(ISNUMBER(Sync!$AG1234),IF(AND(Sync!$AG1234&gt;=10000101,Sync!$AG1234&lt;=99991231),INT(Sync!$AG1234/10000),""),IFERROR(VALUE(TRIM(LEFT(Sync!$AG1234,FIND("/",Sync!$AG1234)-1))),""))))</f>
        <v/>
      </c>
      <c r="H1234">
        <f>IF(OR($F1234="",$G1234=""),"",IF(ISNUMBER(Sync!$AG1234),INT(MOD(Sync!$AG1234,10000)/100),IFERROR(VALUE(TRIM(LEFT(MID(Sync!$AG1234,FIND("/",Sync!$AG1234)+1,20),FIND("/",MID(Sync!$AG1234,FIND("/",Sync!$AG1234)+1,20))-1))),"")))</f>
        <v/>
      </c>
      <c r="I1234">
        <f>IF(OR($F1234="",$G1234=""),"",IF(ISNUMBER(Sync!$AG1234),MOD(Sync!$AG1234,100),IFERROR(VALUE(TRIM(MID(MID(Sync!$AG1234,FIND("/",Sync!$AG1234)+1,20),FIND("/",MID(Sync!$AG1234,FIND("/",Sync!$AG1234)+1,20))+1,20))),"")))</f>
        <v/>
      </c>
      <c r="J1234">
        <f>IF($F1234="","",IF(OR($G1234="",$H1234="",$I1234="",$G1234&lt;1300,$G1234&gt;1500,$H1234&lt;1,$H1234&gt;12,$I1234&lt;1,$I1234&gt;31),"نامعتبر",RIGHT("0000"&amp;$G1234,4)&amp;"/"&amp;RIGHT("00"&amp;$H1234,2)&amp;"/"&amp;RIGHT("00"&amp;$I1234,2)))</f>
        <v/>
      </c>
      <c r="K1234">
        <f>IF(OR($F1234="",$J1234="",$J1234="نامعتبر"),"",LEFT($J1234,4)&amp;MID($J1234,6,2)&amp;RIGHT($J1234,2)&amp;$N1234&amp;"|"&amp;"2"&amp;RIGHT("00000"&amp;1229,5))</f>
        <v/>
      </c>
      <c r="L1234">
        <f>IF($K1234="","",COUNTIFS(LdgPartyA,$F1234,LdgKeyA,"&lt;"&amp;$K1234)+COUNTIFS(LdgPartyB,$F1234,LdgKeyB,"&lt;"&amp;$K1234)+1)</f>
        <v/>
      </c>
      <c r="M1234">
        <f>IF($L1234="","",$F1234&amp;"|"&amp;RIGHT("000000"&amp;$L1234,6))</f>
        <v/>
      </c>
      <c r="N1234">
        <f>IF($F1234="","",IF(Sync!$AH1234="","0000",IF(AND(ISNUMBER(Sync!$AH1234),Sync!$AH1234&gt;=0,Sync!$AH1234&lt;1),RIGHT("00"&amp;HOUR(Sync!$AH1234),2)&amp;RIGHT("00"&amp;MINUTE(Sync!$AH1234),2),IFERROR(RIGHT("00"&amp;VALUE(LEFT(Sync!$AH1234,FIND(":",Sync!$AH1234)-1)),2)&amp;RIGHT("00"&amp;VALUE(MID(Sync!$AH1234,FIND(":",Sync!$AH1234)+1,2)),2),"0000"))))</f>
        <v/>
      </c>
    </row>
    <row r="1235">
      <c r="A1235">
        <f>IF(OR(Calc!$E1238="",Calc!$E1238="نامعتبر",Calc!$G1238="",Calc!$I1238&lt;&gt;"خرید"),"",Calc!$G1238)</f>
        <v/>
      </c>
      <c r="B1235">
        <f>IF($A1235="","",LEFT(Calc!$E1238,4)&amp;MID(Calc!$E1238,6,2)&amp;RIGHT(Calc!$E1238,2)&amp;Calc!$R1238&amp;"|"&amp;"1"&amp;RIGHT("00000"&amp;1230,5))</f>
        <v/>
      </c>
      <c r="C1235">
        <f>IF($B1235="","",COUNTIFS(LdgPartyA,$A1235,LdgKeyA,"&lt;"&amp;$B1235)+COUNTIFS(LdgPartyB,$A1235,LdgKeyB,"&lt;"&amp;$B1235)+1)</f>
        <v/>
      </c>
      <c r="D1235">
        <f>IF($C1235="","",$A1235&amp;"|"&amp;RIGHT("000000"&amp;$C1235,6))</f>
        <v/>
      </c>
      <c r="F1235">
        <f>IF(Sync!$AJ1235="","",Sync!$AJ1235)</f>
        <v/>
      </c>
      <c r="G1235">
        <f>IF($F1235="","",IF(Sync!$AG1235="","",IF(ISNUMBER(Sync!$AG1235),IF(AND(Sync!$AG1235&gt;=10000101,Sync!$AG1235&lt;=99991231),INT(Sync!$AG1235/10000),""),IFERROR(VALUE(TRIM(LEFT(Sync!$AG1235,FIND("/",Sync!$AG1235)-1))),""))))</f>
        <v/>
      </c>
      <c r="H1235">
        <f>IF(OR($F1235="",$G1235=""),"",IF(ISNUMBER(Sync!$AG1235),INT(MOD(Sync!$AG1235,10000)/100),IFERROR(VALUE(TRIM(LEFT(MID(Sync!$AG1235,FIND("/",Sync!$AG1235)+1,20),FIND("/",MID(Sync!$AG1235,FIND("/",Sync!$AG1235)+1,20))-1))),"")))</f>
        <v/>
      </c>
      <c r="I1235">
        <f>IF(OR($F1235="",$G1235=""),"",IF(ISNUMBER(Sync!$AG1235),MOD(Sync!$AG1235,100),IFERROR(VALUE(TRIM(MID(MID(Sync!$AG1235,FIND("/",Sync!$AG1235)+1,20),FIND("/",MID(Sync!$AG1235,FIND("/",Sync!$AG1235)+1,20))+1,20))),"")))</f>
        <v/>
      </c>
      <c r="J1235">
        <f>IF($F1235="","",IF(OR($G1235="",$H1235="",$I1235="",$G1235&lt;1300,$G1235&gt;1500,$H1235&lt;1,$H1235&gt;12,$I1235&lt;1,$I1235&gt;31),"نامعتبر",RIGHT("0000"&amp;$G1235,4)&amp;"/"&amp;RIGHT("00"&amp;$H1235,2)&amp;"/"&amp;RIGHT("00"&amp;$I1235,2)))</f>
        <v/>
      </c>
      <c r="K1235">
        <f>IF(OR($F1235="",$J1235="",$J1235="نامعتبر"),"",LEFT($J1235,4)&amp;MID($J1235,6,2)&amp;RIGHT($J1235,2)&amp;$N1235&amp;"|"&amp;"2"&amp;RIGHT("00000"&amp;1230,5))</f>
        <v/>
      </c>
      <c r="L1235">
        <f>IF($K1235="","",COUNTIFS(LdgPartyA,$F1235,LdgKeyA,"&lt;"&amp;$K1235)+COUNTIFS(LdgPartyB,$F1235,LdgKeyB,"&lt;"&amp;$K1235)+1)</f>
        <v/>
      </c>
      <c r="M1235">
        <f>IF($L1235="","",$F1235&amp;"|"&amp;RIGHT("000000"&amp;$L1235,6))</f>
        <v/>
      </c>
      <c r="N1235">
        <f>IF($F1235="","",IF(Sync!$AH1235="","0000",IF(AND(ISNUMBER(Sync!$AH1235),Sync!$AH1235&gt;=0,Sync!$AH1235&lt;1),RIGHT("00"&amp;HOUR(Sync!$AH1235),2)&amp;RIGHT("00"&amp;MINUTE(Sync!$AH1235),2),IFERROR(RIGHT("00"&amp;VALUE(LEFT(Sync!$AH1235,FIND(":",Sync!$AH1235)-1)),2)&amp;RIGHT("00"&amp;VALUE(MID(Sync!$AH1235,FIND(":",Sync!$AH1235)+1,2)),2),"0000"))))</f>
        <v/>
      </c>
    </row>
    <row r="1236">
      <c r="A1236">
        <f>IF(OR(Calc!$E1239="",Calc!$E1239="نامعتبر",Calc!$G1239="",Calc!$I1239&lt;&gt;"خرید"),"",Calc!$G1239)</f>
        <v/>
      </c>
      <c r="B1236">
        <f>IF($A1236="","",LEFT(Calc!$E1239,4)&amp;MID(Calc!$E1239,6,2)&amp;RIGHT(Calc!$E1239,2)&amp;Calc!$R1239&amp;"|"&amp;"1"&amp;RIGHT("00000"&amp;1231,5))</f>
        <v/>
      </c>
      <c r="C1236">
        <f>IF($B1236="","",COUNTIFS(LdgPartyA,$A1236,LdgKeyA,"&lt;"&amp;$B1236)+COUNTIFS(LdgPartyB,$A1236,LdgKeyB,"&lt;"&amp;$B1236)+1)</f>
        <v/>
      </c>
      <c r="D1236">
        <f>IF($C1236="","",$A1236&amp;"|"&amp;RIGHT("000000"&amp;$C1236,6))</f>
        <v/>
      </c>
      <c r="F1236">
        <f>IF(Sync!$AJ1236="","",Sync!$AJ1236)</f>
        <v/>
      </c>
      <c r="G1236">
        <f>IF($F1236="","",IF(Sync!$AG1236="","",IF(ISNUMBER(Sync!$AG1236),IF(AND(Sync!$AG1236&gt;=10000101,Sync!$AG1236&lt;=99991231),INT(Sync!$AG1236/10000),""),IFERROR(VALUE(TRIM(LEFT(Sync!$AG1236,FIND("/",Sync!$AG1236)-1))),""))))</f>
        <v/>
      </c>
      <c r="H1236">
        <f>IF(OR($F1236="",$G1236=""),"",IF(ISNUMBER(Sync!$AG1236),INT(MOD(Sync!$AG1236,10000)/100),IFERROR(VALUE(TRIM(LEFT(MID(Sync!$AG1236,FIND("/",Sync!$AG1236)+1,20),FIND("/",MID(Sync!$AG1236,FIND("/",Sync!$AG1236)+1,20))-1))),"")))</f>
        <v/>
      </c>
      <c r="I1236">
        <f>IF(OR($F1236="",$G1236=""),"",IF(ISNUMBER(Sync!$AG1236),MOD(Sync!$AG1236,100),IFERROR(VALUE(TRIM(MID(MID(Sync!$AG1236,FIND("/",Sync!$AG1236)+1,20),FIND("/",MID(Sync!$AG1236,FIND("/",Sync!$AG1236)+1,20))+1,20))),"")))</f>
        <v/>
      </c>
      <c r="J1236">
        <f>IF($F1236="","",IF(OR($G1236="",$H1236="",$I1236="",$G1236&lt;1300,$G1236&gt;1500,$H1236&lt;1,$H1236&gt;12,$I1236&lt;1,$I1236&gt;31),"نامعتبر",RIGHT("0000"&amp;$G1236,4)&amp;"/"&amp;RIGHT("00"&amp;$H1236,2)&amp;"/"&amp;RIGHT("00"&amp;$I1236,2)))</f>
        <v/>
      </c>
      <c r="K1236">
        <f>IF(OR($F1236="",$J1236="",$J1236="نامعتبر"),"",LEFT($J1236,4)&amp;MID($J1236,6,2)&amp;RIGHT($J1236,2)&amp;$N1236&amp;"|"&amp;"2"&amp;RIGHT("00000"&amp;1231,5))</f>
        <v/>
      </c>
      <c r="L1236">
        <f>IF($K1236="","",COUNTIFS(LdgPartyA,$F1236,LdgKeyA,"&lt;"&amp;$K1236)+COUNTIFS(LdgPartyB,$F1236,LdgKeyB,"&lt;"&amp;$K1236)+1)</f>
        <v/>
      </c>
      <c r="M1236">
        <f>IF($L1236="","",$F1236&amp;"|"&amp;RIGHT("000000"&amp;$L1236,6))</f>
        <v/>
      </c>
      <c r="N1236">
        <f>IF($F1236="","",IF(Sync!$AH1236="","0000",IF(AND(ISNUMBER(Sync!$AH1236),Sync!$AH1236&gt;=0,Sync!$AH1236&lt;1),RIGHT("00"&amp;HOUR(Sync!$AH1236),2)&amp;RIGHT("00"&amp;MINUTE(Sync!$AH1236),2),IFERROR(RIGHT("00"&amp;VALUE(LEFT(Sync!$AH1236,FIND(":",Sync!$AH1236)-1)),2)&amp;RIGHT("00"&amp;VALUE(MID(Sync!$AH1236,FIND(":",Sync!$AH1236)+1,2)),2),"0000"))))</f>
        <v/>
      </c>
    </row>
    <row r="1237">
      <c r="A1237">
        <f>IF(OR(Calc!$E1240="",Calc!$E1240="نامعتبر",Calc!$G1240="",Calc!$I1240&lt;&gt;"خرید"),"",Calc!$G1240)</f>
        <v/>
      </c>
      <c r="B1237">
        <f>IF($A1237="","",LEFT(Calc!$E1240,4)&amp;MID(Calc!$E1240,6,2)&amp;RIGHT(Calc!$E1240,2)&amp;Calc!$R1240&amp;"|"&amp;"1"&amp;RIGHT("00000"&amp;1232,5))</f>
        <v/>
      </c>
      <c r="C1237">
        <f>IF($B1237="","",COUNTIFS(LdgPartyA,$A1237,LdgKeyA,"&lt;"&amp;$B1237)+COUNTIFS(LdgPartyB,$A1237,LdgKeyB,"&lt;"&amp;$B1237)+1)</f>
        <v/>
      </c>
      <c r="D1237">
        <f>IF($C1237="","",$A1237&amp;"|"&amp;RIGHT("000000"&amp;$C1237,6))</f>
        <v/>
      </c>
      <c r="F1237">
        <f>IF(Sync!$AJ1237="","",Sync!$AJ1237)</f>
        <v/>
      </c>
      <c r="G1237">
        <f>IF($F1237="","",IF(Sync!$AG1237="","",IF(ISNUMBER(Sync!$AG1237),IF(AND(Sync!$AG1237&gt;=10000101,Sync!$AG1237&lt;=99991231),INT(Sync!$AG1237/10000),""),IFERROR(VALUE(TRIM(LEFT(Sync!$AG1237,FIND("/",Sync!$AG1237)-1))),""))))</f>
        <v/>
      </c>
      <c r="H1237">
        <f>IF(OR($F1237="",$G1237=""),"",IF(ISNUMBER(Sync!$AG1237),INT(MOD(Sync!$AG1237,10000)/100),IFERROR(VALUE(TRIM(LEFT(MID(Sync!$AG1237,FIND("/",Sync!$AG1237)+1,20),FIND("/",MID(Sync!$AG1237,FIND("/",Sync!$AG1237)+1,20))-1))),"")))</f>
        <v/>
      </c>
      <c r="I1237">
        <f>IF(OR($F1237="",$G1237=""),"",IF(ISNUMBER(Sync!$AG1237),MOD(Sync!$AG1237,100),IFERROR(VALUE(TRIM(MID(MID(Sync!$AG1237,FIND("/",Sync!$AG1237)+1,20),FIND("/",MID(Sync!$AG1237,FIND("/",Sync!$AG1237)+1,20))+1,20))),"")))</f>
        <v/>
      </c>
      <c r="J1237">
        <f>IF($F1237="","",IF(OR($G1237="",$H1237="",$I1237="",$G1237&lt;1300,$G1237&gt;1500,$H1237&lt;1,$H1237&gt;12,$I1237&lt;1,$I1237&gt;31),"نامعتبر",RIGHT("0000"&amp;$G1237,4)&amp;"/"&amp;RIGHT("00"&amp;$H1237,2)&amp;"/"&amp;RIGHT("00"&amp;$I1237,2)))</f>
        <v/>
      </c>
      <c r="K1237">
        <f>IF(OR($F1237="",$J1237="",$J1237="نامعتبر"),"",LEFT($J1237,4)&amp;MID($J1237,6,2)&amp;RIGHT($J1237,2)&amp;$N1237&amp;"|"&amp;"2"&amp;RIGHT("00000"&amp;1232,5))</f>
        <v/>
      </c>
      <c r="L1237">
        <f>IF($K1237="","",COUNTIFS(LdgPartyA,$F1237,LdgKeyA,"&lt;"&amp;$K1237)+COUNTIFS(LdgPartyB,$F1237,LdgKeyB,"&lt;"&amp;$K1237)+1)</f>
        <v/>
      </c>
      <c r="M1237">
        <f>IF($L1237="","",$F1237&amp;"|"&amp;RIGHT("000000"&amp;$L1237,6))</f>
        <v/>
      </c>
      <c r="N1237">
        <f>IF($F1237="","",IF(Sync!$AH1237="","0000",IF(AND(ISNUMBER(Sync!$AH1237),Sync!$AH1237&gt;=0,Sync!$AH1237&lt;1),RIGHT("00"&amp;HOUR(Sync!$AH1237),2)&amp;RIGHT("00"&amp;MINUTE(Sync!$AH1237),2),IFERROR(RIGHT("00"&amp;VALUE(LEFT(Sync!$AH1237,FIND(":",Sync!$AH1237)-1)),2)&amp;RIGHT("00"&amp;VALUE(MID(Sync!$AH1237,FIND(":",Sync!$AH1237)+1,2)),2),"0000"))))</f>
        <v/>
      </c>
    </row>
    <row r="1238">
      <c r="A1238">
        <f>IF(OR(Calc!$E1241="",Calc!$E1241="نامعتبر",Calc!$G1241="",Calc!$I1241&lt;&gt;"خرید"),"",Calc!$G1241)</f>
        <v/>
      </c>
      <c r="B1238">
        <f>IF($A1238="","",LEFT(Calc!$E1241,4)&amp;MID(Calc!$E1241,6,2)&amp;RIGHT(Calc!$E1241,2)&amp;Calc!$R1241&amp;"|"&amp;"1"&amp;RIGHT("00000"&amp;1233,5))</f>
        <v/>
      </c>
      <c r="C1238">
        <f>IF($B1238="","",COUNTIFS(LdgPartyA,$A1238,LdgKeyA,"&lt;"&amp;$B1238)+COUNTIFS(LdgPartyB,$A1238,LdgKeyB,"&lt;"&amp;$B1238)+1)</f>
        <v/>
      </c>
      <c r="D1238">
        <f>IF($C1238="","",$A1238&amp;"|"&amp;RIGHT("000000"&amp;$C1238,6))</f>
        <v/>
      </c>
      <c r="F1238">
        <f>IF(Sync!$AJ1238="","",Sync!$AJ1238)</f>
        <v/>
      </c>
      <c r="G1238">
        <f>IF($F1238="","",IF(Sync!$AG1238="","",IF(ISNUMBER(Sync!$AG1238),IF(AND(Sync!$AG1238&gt;=10000101,Sync!$AG1238&lt;=99991231),INT(Sync!$AG1238/10000),""),IFERROR(VALUE(TRIM(LEFT(Sync!$AG1238,FIND("/",Sync!$AG1238)-1))),""))))</f>
        <v/>
      </c>
      <c r="H1238">
        <f>IF(OR($F1238="",$G1238=""),"",IF(ISNUMBER(Sync!$AG1238),INT(MOD(Sync!$AG1238,10000)/100),IFERROR(VALUE(TRIM(LEFT(MID(Sync!$AG1238,FIND("/",Sync!$AG1238)+1,20),FIND("/",MID(Sync!$AG1238,FIND("/",Sync!$AG1238)+1,20))-1))),"")))</f>
        <v/>
      </c>
      <c r="I1238">
        <f>IF(OR($F1238="",$G1238=""),"",IF(ISNUMBER(Sync!$AG1238),MOD(Sync!$AG1238,100),IFERROR(VALUE(TRIM(MID(MID(Sync!$AG1238,FIND("/",Sync!$AG1238)+1,20),FIND("/",MID(Sync!$AG1238,FIND("/",Sync!$AG1238)+1,20))+1,20))),"")))</f>
        <v/>
      </c>
      <c r="J1238">
        <f>IF($F1238="","",IF(OR($G1238="",$H1238="",$I1238="",$G1238&lt;1300,$G1238&gt;1500,$H1238&lt;1,$H1238&gt;12,$I1238&lt;1,$I1238&gt;31),"نامعتبر",RIGHT("0000"&amp;$G1238,4)&amp;"/"&amp;RIGHT("00"&amp;$H1238,2)&amp;"/"&amp;RIGHT("00"&amp;$I1238,2)))</f>
        <v/>
      </c>
      <c r="K1238">
        <f>IF(OR($F1238="",$J1238="",$J1238="نامعتبر"),"",LEFT($J1238,4)&amp;MID($J1238,6,2)&amp;RIGHT($J1238,2)&amp;$N1238&amp;"|"&amp;"2"&amp;RIGHT("00000"&amp;1233,5))</f>
        <v/>
      </c>
      <c r="L1238">
        <f>IF($K1238="","",COUNTIFS(LdgPartyA,$F1238,LdgKeyA,"&lt;"&amp;$K1238)+COUNTIFS(LdgPartyB,$F1238,LdgKeyB,"&lt;"&amp;$K1238)+1)</f>
        <v/>
      </c>
      <c r="M1238">
        <f>IF($L1238="","",$F1238&amp;"|"&amp;RIGHT("000000"&amp;$L1238,6))</f>
        <v/>
      </c>
      <c r="N1238">
        <f>IF($F1238="","",IF(Sync!$AH1238="","0000",IF(AND(ISNUMBER(Sync!$AH1238),Sync!$AH1238&gt;=0,Sync!$AH1238&lt;1),RIGHT("00"&amp;HOUR(Sync!$AH1238),2)&amp;RIGHT("00"&amp;MINUTE(Sync!$AH1238),2),IFERROR(RIGHT("00"&amp;VALUE(LEFT(Sync!$AH1238,FIND(":",Sync!$AH1238)-1)),2)&amp;RIGHT("00"&amp;VALUE(MID(Sync!$AH1238,FIND(":",Sync!$AH1238)+1,2)),2),"0000"))))</f>
        <v/>
      </c>
    </row>
    <row r="1239">
      <c r="A1239">
        <f>IF(OR(Calc!$E1242="",Calc!$E1242="نامعتبر",Calc!$G1242="",Calc!$I1242&lt;&gt;"خرید"),"",Calc!$G1242)</f>
        <v/>
      </c>
      <c r="B1239">
        <f>IF($A1239="","",LEFT(Calc!$E1242,4)&amp;MID(Calc!$E1242,6,2)&amp;RIGHT(Calc!$E1242,2)&amp;Calc!$R1242&amp;"|"&amp;"1"&amp;RIGHT("00000"&amp;1234,5))</f>
        <v/>
      </c>
      <c r="C1239">
        <f>IF($B1239="","",COUNTIFS(LdgPartyA,$A1239,LdgKeyA,"&lt;"&amp;$B1239)+COUNTIFS(LdgPartyB,$A1239,LdgKeyB,"&lt;"&amp;$B1239)+1)</f>
        <v/>
      </c>
      <c r="D1239">
        <f>IF($C1239="","",$A1239&amp;"|"&amp;RIGHT("000000"&amp;$C1239,6))</f>
        <v/>
      </c>
      <c r="F1239">
        <f>IF(Sync!$AJ1239="","",Sync!$AJ1239)</f>
        <v/>
      </c>
      <c r="G1239">
        <f>IF($F1239="","",IF(Sync!$AG1239="","",IF(ISNUMBER(Sync!$AG1239),IF(AND(Sync!$AG1239&gt;=10000101,Sync!$AG1239&lt;=99991231),INT(Sync!$AG1239/10000),""),IFERROR(VALUE(TRIM(LEFT(Sync!$AG1239,FIND("/",Sync!$AG1239)-1))),""))))</f>
        <v/>
      </c>
      <c r="H1239">
        <f>IF(OR($F1239="",$G1239=""),"",IF(ISNUMBER(Sync!$AG1239),INT(MOD(Sync!$AG1239,10000)/100),IFERROR(VALUE(TRIM(LEFT(MID(Sync!$AG1239,FIND("/",Sync!$AG1239)+1,20),FIND("/",MID(Sync!$AG1239,FIND("/",Sync!$AG1239)+1,20))-1))),"")))</f>
        <v/>
      </c>
      <c r="I1239">
        <f>IF(OR($F1239="",$G1239=""),"",IF(ISNUMBER(Sync!$AG1239),MOD(Sync!$AG1239,100),IFERROR(VALUE(TRIM(MID(MID(Sync!$AG1239,FIND("/",Sync!$AG1239)+1,20),FIND("/",MID(Sync!$AG1239,FIND("/",Sync!$AG1239)+1,20))+1,20))),"")))</f>
        <v/>
      </c>
      <c r="J1239">
        <f>IF($F1239="","",IF(OR($G1239="",$H1239="",$I1239="",$G1239&lt;1300,$G1239&gt;1500,$H1239&lt;1,$H1239&gt;12,$I1239&lt;1,$I1239&gt;31),"نامعتبر",RIGHT("0000"&amp;$G1239,4)&amp;"/"&amp;RIGHT("00"&amp;$H1239,2)&amp;"/"&amp;RIGHT("00"&amp;$I1239,2)))</f>
        <v/>
      </c>
      <c r="K1239">
        <f>IF(OR($F1239="",$J1239="",$J1239="نامعتبر"),"",LEFT($J1239,4)&amp;MID($J1239,6,2)&amp;RIGHT($J1239,2)&amp;$N1239&amp;"|"&amp;"2"&amp;RIGHT("00000"&amp;1234,5))</f>
        <v/>
      </c>
      <c r="L1239">
        <f>IF($K1239="","",COUNTIFS(LdgPartyA,$F1239,LdgKeyA,"&lt;"&amp;$K1239)+COUNTIFS(LdgPartyB,$F1239,LdgKeyB,"&lt;"&amp;$K1239)+1)</f>
        <v/>
      </c>
      <c r="M1239">
        <f>IF($L1239="","",$F1239&amp;"|"&amp;RIGHT("000000"&amp;$L1239,6))</f>
        <v/>
      </c>
      <c r="N1239">
        <f>IF($F1239="","",IF(Sync!$AH1239="","0000",IF(AND(ISNUMBER(Sync!$AH1239),Sync!$AH1239&gt;=0,Sync!$AH1239&lt;1),RIGHT("00"&amp;HOUR(Sync!$AH1239),2)&amp;RIGHT("00"&amp;MINUTE(Sync!$AH1239),2),IFERROR(RIGHT("00"&amp;VALUE(LEFT(Sync!$AH1239,FIND(":",Sync!$AH1239)-1)),2)&amp;RIGHT("00"&amp;VALUE(MID(Sync!$AH1239,FIND(":",Sync!$AH1239)+1,2)),2),"0000"))))</f>
        <v/>
      </c>
    </row>
    <row r="1240">
      <c r="A1240">
        <f>IF(OR(Calc!$E1243="",Calc!$E1243="نامعتبر",Calc!$G1243="",Calc!$I1243&lt;&gt;"خرید"),"",Calc!$G1243)</f>
        <v/>
      </c>
      <c r="B1240">
        <f>IF($A1240="","",LEFT(Calc!$E1243,4)&amp;MID(Calc!$E1243,6,2)&amp;RIGHT(Calc!$E1243,2)&amp;Calc!$R1243&amp;"|"&amp;"1"&amp;RIGHT("00000"&amp;1235,5))</f>
        <v/>
      </c>
      <c r="C1240">
        <f>IF($B1240="","",COUNTIFS(LdgPartyA,$A1240,LdgKeyA,"&lt;"&amp;$B1240)+COUNTIFS(LdgPartyB,$A1240,LdgKeyB,"&lt;"&amp;$B1240)+1)</f>
        <v/>
      </c>
      <c r="D1240">
        <f>IF($C1240="","",$A1240&amp;"|"&amp;RIGHT("000000"&amp;$C1240,6))</f>
        <v/>
      </c>
      <c r="F1240">
        <f>IF(Sync!$AJ1240="","",Sync!$AJ1240)</f>
        <v/>
      </c>
      <c r="G1240">
        <f>IF($F1240="","",IF(Sync!$AG1240="","",IF(ISNUMBER(Sync!$AG1240),IF(AND(Sync!$AG1240&gt;=10000101,Sync!$AG1240&lt;=99991231),INT(Sync!$AG1240/10000),""),IFERROR(VALUE(TRIM(LEFT(Sync!$AG1240,FIND("/",Sync!$AG1240)-1))),""))))</f>
        <v/>
      </c>
      <c r="H1240">
        <f>IF(OR($F1240="",$G1240=""),"",IF(ISNUMBER(Sync!$AG1240),INT(MOD(Sync!$AG1240,10000)/100),IFERROR(VALUE(TRIM(LEFT(MID(Sync!$AG1240,FIND("/",Sync!$AG1240)+1,20),FIND("/",MID(Sync!$AG1240,FIND("/",Sync!$AG1240)+1,20))-1))),"")))</f>
        <v/>
      </c>
      <c r="I1240">
        <f>IF(OR($F1240="",$G1240=""),"",IF(ISNUMBER(Sync!$AG1240),MOD(Sync!$AG1240,100),IFERROR(VALUE(TRIM(MID(MID(Sync!$AG1240,FIND("/",Sync!$AG1240)+1,20),FIND("/",MID(Sync!$AG1240,FIND("/",Sync!$AG1240)+1,20))+1,20))),"")))</f>
        <v/>
      </c>
      <c r="J1240">
        <f>IF($F1240="","",IF(OR($G1240="",$H1240="",$I1240="",$G1240&lt;1300,$G1240&gt;1500,$H1240&lt;1,$H1240&gt;12,$I1240&lt;1,$I1240&gt;31),"نامعتبر",RIGHT("0000"&amp;$G1240,4)&amp;"/"&amp;RIGHT("00"&amp;$H1240,2)&amp;"/"&amp;RIGHT("00"&amp;$I1240,2)))</f>
        <v/>
      </c>
      <c r="K1240">
        <f>IF(OR($F1240="",$J1240="",$J1240="نامعتبر"),"",LEFT($J1240,4)&amp;MID($J1240,6,2)&amp;RIGHT($J1240,2)&amp;$N1240&amp;"|"&amp;"2"&amp;RIGHT("00000"&amp;1235,5))</f>
        <v/>
      </c>
      <c r="L1240">
        <f>IF($K1240="","",COUNTIFS(LdgPartyA,$F1240,LdgKeyA,"&lt;"&amp;$K1240)+COUNTIFS(LdgPartyB,$F1240,LdgKeyB,"&lt;"&amp;$K1240)+1)</f>
        <v/>
      </c>
      <c r="M1240">
        <f>IF($L1240="","",$F1240&amp;"|"&amp;RIGHT("000000"&amp;$L1240,6))</f>
        <v/>
      </c>
      <c r="N1240">
        <f>IF($F1240="","",IF(Sync!$AH1240="","0000",IF(AND(ISNUMBER(Sync!$AH1240),Sync!$AH1240&gt;=0,Sync!$AH1240&lt;1),RIGHT("00"&amp;HOUR(Sync!$AH1240),2)&amp;RIGHT("00"&amp;MINUTE(Sync!$AH1240),2),IFERROR(RIGHT("00"&amp;VALUE(LEFT(Sync!$AH1240,FIND(":",Sync!$AH1240)-1)),2)&amp;RIGHT("00"&amp;VALUE(MID(Sync!$AH1240,FIND(":",Sync!$AH1240)+1,2)),2),"0000"))))</f>
        <v/>
      </c>
    </row>
    <row r="1241">
      <c r="A1241">
        <f>IF(OR(Calc!$E1244="",Calc!$E1244="نامعتبر",Calc!$G1244="",Calc!$I1244&lt;&gt;"خرید"),"",Calc!$G1244)</f>
        <v/>
      </c>
      <c r="B1241">
        <f>IF($A1241="","",LEFT(Calc!$E1244,4)&amp;MID(Calc!$E1244,6,2)&amp;RIGHT(Calc!$E1244,2)&amp;Calc!$R1244&amp;"|"&amp;"1"&amp;RIGHT("00000"&amp;1236,5))</f>
        <v/>
      </c>
      <c r="C1241">
        <f>IF($B1241="","",COUNTIFS(LdgPartyA,$A1241,LdgKeyA,"&lt;"&amp;$B1241)+COUNTIFS(LdgPartyB,$A1241,LdgKeyB,"&lt;"&amp;$B1241)+1)</f>
        <v/>
      </c>
      <c r="D1241">
        <f>IF($C1241="","",$A1241&amp;"|"&amp;RIGHT("000000"&amp;$C1241,6))</f>
        <v/>
      </c>
      <c r="F1241">
        <f>IF(Sync!$AJ1241="","",Sync!$AJ1241)</f>
        <v/>
      </c>
      <c r="G1241">
        <f>IF($F1241="","",IF(Sync!$AG1241="","",IF(ISNUMBER(Sync!$AG1241),IF(AND(Sync!$AG1241&gt;=10000101,Sync!$AG1241&lt;=99991231),INT(Sync!$AG1241/10000),""),IFERROR(VALUE(TRIM(LEFT(Sync!$AG1241,FIND("/",Sync!$AG1241)-1))),""))))</f>
        <v/>
      </c>
      <c r="H1241">
        <f>IF(OR($F1241="",$G1241=""),"",IF(ISNUMBER(Sync!$AG1241),INT(MOD(Sync!$AG1241,10000)/100),IFERROR(VALUE(TRIM(LEFT(MID(Sync!$AG1241,FIND("/",Sync!$AG1241)+1,20),FIND("/",MID(Sync!$AG1241,FIND("/",Sync!$AG1241)+1,20))-1))),"")))</f>
        <v/>
      </c>
      <c r="I1241">
        <f>IF(OR($F1241="",$G1241=""),"",IF(ISNUMBER(Sync!$AG1241),MOD(Sync!$AG1241,100),IFERROR(VALUE(TRIM(MID(MID(Sync!$AG1241,FIND("/",Sync!$AG1241)+1,20),FIND("/",MID(Sync!$AG1241,FIND("/",Sync!$AG1241)+1,20))+1,20))),"")))</f>
        <v/>
      </c>
      <c r="J1241">
        <f>IF($F1241="","",IF(OR($G1241="",$H1241="",$I1241="",$G1241&lt;1300,$G1241&gt;1500,$H1241&lt;1,$H1241&gt;12,$I1241&lt;1,$I1241&gt;31),"نامعتبر",RIGHT("0000"&amp;$G1241,4)&amp;"/"&amp;RIGHT("00"&amp;$H1241,2)&amp;"/"&amp;RIGHT("00"&amp;$I1241,2)))</f>
        <v/>
      </c>
      <c r="K1241">
        <f>IF(OR($F1241="",$J1241="",$J1241="نامعتبر"),"",LEFT($J1241,4)&amp;MID($J1241,6,2)&amp;RIGHT($J1241,2)&amp;$N1241&amp;"|"&amp;"2"&amp;RIGHT("00000"&amp;1236,5))</f>
        <v/>
      </c>
      <c r="L1241">
        <f>IF($K1241="","",COUNTIFS(LdgPartyA,$F1241,LdgKeyA,"&lt;"&amp;$K1241)+COUNTIFS(LdgPartyB,$F1241,LdgKeyB,"&lt;"&amp;$K1241)+1)</f>
        <v/>
      </c>
      <c r="M1241">
        <f>IF($L1241="","",$F1241&amp;"|"&amp;RIGHT("000000"&amp;$L1241,6))</f>
        <v/>
      </c>
      <c r="N1241">
        <f>IF($F1241="","",IF(Sync!$AH1241="","0000",IF(AND(ISNUMBER(Sync!$AH1241),Sync!$AH1241&gt;=0,Sync!$AH1241&lt;1),RIGHT("00"&amp;HOUR(Sync!$AH1241),2)&amp;RIGHT("00"&amp;MINUTE(Sync!$AH1241),2),IFERROR(RIGHT("00"&amp;VALUE(LEFT(Sync!$AH1241,FIND(":",Sync!$AH1241)-1)),2)&amp;RIGHT("00"&amp;VALUE(MID(Sync!$AH1241,FIND(":",Sync!$AH1241)+1,2)),2),"0000"))))</f>
        <v/>
      </c>
    </row>
    <row r="1242">
      <c r="A1242">
        <f>IF(OR(Calc!$E1245="",Calc!$E1245="نامعتبر",Calc!$G1245="",Calc!$I1245&lt;&gt;"خرید"),"",Calc!$G1245)</f>
        <v/>
      </c>
      <c r="B1242">
        <f>IF($A1242="","",LEFT(Calc!$E1245,4)&amp;MID(Calc!$E1245,6,2)&amp;RIGHT(Calc!$E1245,2)&amp;Calc!$R1245&amp;"|"&amp;"1"&amp;RIGHT("00000"&amp;1237,5))</f>
        <v/>
      </c>
      <c r="C1242">
        <f>IF($B1242="","",COUNTIFS(LdgPartyA,$A1242,LdgKeyA,"&lt;"&amp;$B1242)+COUNTIFS(LdgPartyB,$A1242,LdgKeyB,"&lt;"&amp;$B1242)+1)</f>
        <v/>
      </c>
      <c r="D1242">
        <f>IF($C1242="","",$A1242&amp;"|"&amp;RIGHT("000000"&amp;$C1242,6))</f>
        <v/>
      </c>
      <c r="F1242">
        <f>IF(Sync!$AJ1242="","",Sync!$AJ1242)</f>
        <v/>
      </c>
      <c r="G1242">
        <f>IF($F1242="","",IF(Sync!$AG1242="","",IF(ISNUMBER(Sync!$AG1242),IF(AND(Sync!$AG1242&gt;=10000101,Sync!$AG1242&lt;=99991231),INT(Sync!$AG1242/10000),""),IFERROR(VALUE(TRIM(LEFT(Sync!$AG1242,FIND("/",Sync!$AG1242)-1))),""))))</f>
        <v/>
      </c>
      <c r="H1242">
        <f>IF(OR($F1242="",$G1242=""),"",IF(ISNUMBER(Sync!$AG1242),INT(MOD(Sync!$AG1242,10000)/100),IFERROR(VALUE(TRIM(LEFT(MID(Sync!$AG1242,FIND("/",Sync!$AG1242)+1,20),FIND("/",MID(Sync!$AG1242,FIND("/",Sync!$AG1242)+1,20))-1))),"")))</f>
        <v/>
      </c>
      <c r="I1242">
        <f>IF(OR($F1242="",$G1242=""),"",IF(ISNUMBER(Sync!$AG1242),MOD(Sync!$AG1242,100),IFERROR(VALUE(TRIM(MID(MID(Sync!$AG1242,FIND("/",Sync!$AG1242)+1,20),FIND("/",MID(Sync!$AG1242,FIND("/",Sync!$AG1242)+1,20))+1,20))),"")))</f>
        <v/>
      </c>
      <c r="J1242">
        <f>IF($F1242="","",IF(OR($G1242="",$H1242="",$I1242="",$G1242&lt;1300,$G1242&gt;1500,$H1242&lt;1,$H1242&gt;12,$I1242&lt;1,$I1242&gt;31),"نامعتبر",RIGHT("0000"&amp;$G1242,4)&amp;"/"&amp;RIGHT("00"&amp;$H1242,2)&amp;"/"&amp;RIGHT("00"&amp;$I1242,2)))</f>
        <v/>
      </c>
      <c r="K1242">
        <f>IF(OR($F1242="",$J1242="",$J1242="نامعتبر"),"",LEFT($J1242,4)&amp;MID($J1242,6,2)&amp;RIGHT($J1242,2)&amp;$N1242&amp;"|"&amp;"2"&amp;RIGHT("00000"&amp;1237,5))</f>
        <v/>
      </c>
      <c r="L1242">
        <f>IF($K1242="","",COUNTIFS(LdgPartyA,$F1242,LdgKeyA,"&lt;"&amp;$K1242)+COUNTIFS(LdgPartyB,$F1242,LdgKeyB,"&lt;"&amp;$K1242)+1)</f>
        <v/>
      </c>
      <c r="M1242">
        <f>IF($L1242="","",$F1242&amp;"|"&amp;RIGHT("000000"&amp;$L1242,6))</f>
        <v/>
      </c>
      <c r="N1242">
        <f>IF($F1242="","",IF(Sync!$AH1242="","0000",IF(AND(ISNUMBER(Sync!$AH1242),Sync!$AH1242&gt;=0,Sync!$AH1242&lt;1),RIGHT("00"&amp;HOUR(Sync!$AH1242),2)&amp;RIGHT("00"&amp;MINUTE(Sync!$AH1242),2),IFERROR(RIGHT("00"&amp;VALUE(LEFT(Sync!$AH1242,FIND(":",Sync!$AH1242)-1)),2)&amp;RIGHT("00"&amp;VALUE(MID(Sync!$AH1242,FIND(":",Sync!$AH1242)+1,2)),2),"0000"))))</f>
        <v/>
      </c>
    </row>
    <row r="1243">
      <c r="A1243">
        <f>IF(OR(Calc!$E1246="",Calc!$E1246="نامعتبر",Calc!$G1246="",Calc!$I1246&lt;&gt;"خرید"),"",Calc!$G1246)</f>
        <v/>
      </c>
      <c r="B1243">
        <f>IF($A1243="","",LEFT(Calc!$E1246,4)&amp;MID(Calc!$E1246,6,2)&amp;RIGHT(Calc!$E1246,2)&amp;Calc!$R1246&amp;"|"&amp;"1"&amp;RIGHT("00000"&amp;1238,5))</f>
        <v/>
      </c>
      <c r="C1243">
        <f>IF($B1243="","",COUNTIFS(LdgPartyA,$A1243,LdgKeyA,"&lt;"&amp;$B1243)+COUNTIFS(LdgPartyB,$A1243,LdgKeyB,"&lt;"&amp;$B1243)+1)</f>
        <v/>
      </c>
      <c r="D1243">
        <f>IF($C1243="","",$A1243&amp;"|"&amp;RIGHT("000000"&amp;$C1243,6))</f>
        <v/>
      </c>
      <c r="F1243">
        <f>IF(Sync!$AJ1243="","",Sync!$AJ1243)</f>
        <v/>
      </c>
      <c r="G1243">
        <f>IF($F1243="","",IF(Sync!$AG1243="","",IF(ISNUMBER(Sync!$AG1243),IF(AND(Sync!$AG1243&gt;=10000101,Sync!$AG1243&lt;=99991231),INT(Sync!$AG1243/10000),""),IFERROR(VALUE(TRIM(LEFT(Sync!$AG1243,FIND("/",Sync!$AG1243)-1))),""))))</f>
        <v/>
      </c>
      <c r="H1243">
        <f>IF(OR($F1243="",$G1243=""),"",IF(ISNUMBER(Sync!$AG1243),INT(MOD(Sync!$AG1243,10000)/100),IFERROR(VALUE(TRIM(LEFT(MID(Sync!$AG1243,FIND("/",Sync!$AG1243)+1,20),FIND("/",MID(Sync!$AG1243,FIND("/",Sync!$AG1243)+1,20))-1))),"")))</f>
        <v/>
      </c>
      <c r="I1243">
        <f>IF(OR($F1243="",$G1243=""),"",IF(ISNUMBER(Sync!$AG1243),MOD(Sync!$AG1243,100),IFERROR(VALUE(TRIM(MID(MID(Sync!$AG1243,FIND("/",Sync!$AG1243)+1,20),FIND("/",MID(Sync!$AG1243,FIND("/",Sync!$AG1243)+1,20))+1,20))),"")))</f>
        <v/>
      </c>
      <c r="J1243">
        <f>IF($F1243="","",IF(OR($G1243="",$H1243="",$I1243="",$G1243&lt;1300,$G1243&gt;1500,$H1243&lt;1,$H1243&gt;12,$I1243&lt;1,$I1243&gt;31),"نامعتبر",RIGHT("0000"&amp;$G1243,4)&amp;"/"&amp;RIGHT("00"&amp;$H1243,2)&amp;"/"&amp;RIGHT("00"&amp;$I1243,2)))</f>
        <v/>
      </c>
      <c r="K1243">
        <f>IF(OR($F1243="",$J1243="",$J1243="نامعتبر"),"",LEFT($J1243,4)&amp;MID($J1243,6,2)&amp;RIGHT($J1243,2)&amp;$N1243&amp;"|"&amp;"2"&amp;RIGHT("00000"&amp;1238,5))</f>
        <v/>
      </c>
      <c r="L1243">
        <f>IF($K1243="","",COUNTIFS(LdgPartyA,$F1243,LdgKeyA,"&lt;"&amp;$K1243)+COUNTIFS(LdgPartyB,$F1243,LdgKeyB,"&lt;"&amp;$K1243)+1)</f>
        <v/>
      </c>
      <c r="M1243">
        <f>IF($L1243="","",$F1243&amp;"|"&amp;RIGHT("000000"&amp;$L1243,6))</f>
        <v/>
      </c>
      <c r="N1243">
        <f>IF($F1243="","",IF(Sync!$AH1243="","0000",IF(AND(ISNUMBER(Sync!$AH1243),Sync!$AH1243&gt;=0,Sync!$AH1243&lt;1),RIGHT("00"&amp;HOUR(Sync!$AH1243),2)&amp;RIGHT("00"&amp;MINUTE(Sync!$AH1243),2),IFERROR(RIGHT("00"&amp;VALUE(LEFT(Sync!$AH1243,FIND(":",Sync!$AH1243)-1)),2)&amp;RIGHT("00"&amp;VALUE(MID(Sync!$AH1243,FIND(":",Sync!$AH1243)+1,2)),2),"0000"))))</f>
        <v/>
      </c>
    </row>
    <row r="1244">
      <c r="A1244">
        <f>IF(OR(Calc!$E1247="",Calc!$E1247="نامعتبر",Calc!$G1247="",Calc!$I1247&lt;&gt;"خرید"),"",Calc!$G1247)</f>
        <v/>
      </c>
      <c r="B1244">
        <f>IF($A1244="","",LEFT(Calc!$E1247,4)&amp;MID(Calc!$E1247,6,2)&amp;RIGHT(Calc!$E1247,2)&amp;Calc!$R1247&amp;"|"&amp;"1"&amp;RIGHT("00000"&amp;1239,5))</f>
        <v/>
      </c>
      <c r="C1244">
        <f>IF($B1244="","",COUNTIFS(LdgPartyA,$A1244,LdgKeyA,"&lt;"&amp;$B1244)+COUNTIFS(LdgPartyB,$A1244,LdgKeyB,"&lt;"&amp;$B1244)+1)</f>
        <v/>
      </c>
      <c r="D1244">
        <f>IF($C1244="","",$A1244&amp;"|"&amp;RIGHT("000000"&amp;$C1244,6))</f>
        <v/>
      </c>
      <c r="F1244">
        <f>IF(Sync!$AJ1244="","",Sync!$AJ1244)</f>
        <v/>
      </c>
      <c r="G1244">
        <f>IF($F1244="","",IF(Sync!$AG1244="","",IF(ISNUMBER(Sync!$AG1244),IF(AND(Sync!$AG1244&gt;=10000101,Sync!$AG1244&lt;=99991231),INT(Sync!$AG1244/10000),""),IFERROR(VALUE(TRIM(LEFT(Sync!$AG1244,FIND("/",Sync!$AG1244)-1))),""))))</f>
        <v/>
      </c>
      <c r="H1244">
        <f>IF(OR($F1244="",$G1244=""),"",IF(ISNUMBER(Sync!$AG1244),INT(MOD(Sync!$AG1244,10000)/100),IFERROR(VALUE(TRIM(LEFT(MID(Sync!$AG1244,FIND("/",Sync!$AG1244)+1,20),FIND("/",MID(Sync!$AG1244,FIND("/",Sync!$AG1244)+1,20))-1))),"")))</f>
        <v/>
      </c>
      <c r="I1244">
        <f>IF(OR($F1244="",$G1244=""),"",IF(ISNUMBER(Sync!$AG1244),MOD(Sync!$AG1244,100),IFERROR(VALUE(TRIM(MID(MID(Sync!$AG1244,FIND("/",Sync!$AG1244)+1,20),FIND("/",MID(Sync!$AG1244,FIND("/",Sync!$AG1244)+1,20))+1,20))),"")))</f>
        <v/>
      </c>
      <c r="J1244">
        <f>IF($F1244="","",IF(OR($G1244="",$H1244="",$I1244="",$G1244&lt;1300,$G1244&gt;1500,$H1244&lt;1,$H1244&gt;12,$I1244&lt;1,$I1244&gt;31),"نامعتبر",RIGHT("0000"&amp;$G1244,4)&amp;"/"&amp;RIGHT("00"&amp;$H1244,2)&amp;"/"&amp;RIGHT("00"&amp;$I1244,2)))</f>
        <v/>
      </c>
      <c r="K1244">
        <f>IF(OR($F1244="",$J1244="",$J1244="نامعتبر"),"",LEFT($J1244,4)&amp;MID($J1244,6,2)&amp;RIGHT($J1244,2)&amp;$N1244&amp;"|"&amp;"2"&amp;RIGHT("00000"&amp;1239,5))</f>
        <v/>
      </c>
      <c r="L1244">
        <f>IF($K1244="","",COUNTIFS(LdgPartyA,$F1244,LdgKeyA,"&lt;"&amp;$K1244)+COUNTIFS(LdgPartyB,$F1244,LdgKeyB,"&lt;"&amp;$K1244)+1)</f>
        <v/>
      </c>
      <c r="M1244">
        <f>IF($L1244="","",$F1244&amp;"|"&amp;RIGHT("000000"&amp;$L1244,6))</f>
        <v/>
      </c>
      <c r="N1244">
        <f>IF($F1244="","",IF(Sync!$AH1244="","0000",IF(AND(ISNUMBER(Sync!$AH1244),Sync!$AH1244&gt;=0,Sync!$AH1244&lt;1),RIGHT("00"&amp;HOUR(Sync!$AH1244),2)&amp;RIGHT("00"&amp;MINUTE(Sync!$AH1244),2),IFERROR(RIGHT("00"&amp;VALUE(LEFT(Sync!$AH1244,FIND(":",Sync!$AH1244)-1)),2)&amp;RIGHT("00"&amp;VALUE(MID(Sync!$AH1244,FIND(":",Sync!$AH1244)+1,2)),2),"0000"))))</f>
        <v/>
      </c>
    </row>
    <row r="1245">
      <c r="A1245">
        <f>IF(OR(Calc!$E1248="",Calc!$E1248="نامعتبر",Calc!$G1248="",Calc!$I1248&lt;&gt;"خرید"),"",Calc!$G1248)</f>
        <v/>
      </c>
      <c r="B1245">
        <f>IF($A1245="","",LEFT(Calc!$E1248,4)&amp;MID(Calc!$E1248,6,2)&amp;RIGHT(Calc!$E1248,2)&amp;Calc!$R1248&amp;"|"&amp;"1"&amp;RIGHT("00000"&amp;1240,5))</f>
        <v/>
      </c>
      <c r="C1245">
        <f>IF($B1245="","",COUNTIFS(LdgPartyA,$A1245,LdgKeyA,"&lt;"&amp;$B1245)+COUNTIFS(LdgPartyB,$A1245,LdgKeyB,"&lt;"&amp;$B1245)+1)</f>
        <v/>
      </c>
      <c r="D1245">
        <f>IF($C1245="","",$A1245&amp;"|"&amp;RIGHT("000000"&amp;$C1245,6))</f>
        <v/>
      </c>
      <c r="F1245">
        <f>IF(Sync!$AJ1245="","",Sync!$AJ1245)</f>
        <v/>
      </c>
      <c r="G1245">
        <f>IF($F1245="","",IF(Sync!$AG1245="","",IF(ISNUMBER(Sync!$AG1245),IF(AND(Sync!$AG1245&gt;=10000101,Sync!$AG1245&lt;=99991231),INT(Sync!$AG1245/10000),""),IFERROR(VALUE(TRIM(LEFT(Sync!$AG1245,FIND("/",Sync!$AG1245)-1))),""))))</f>
        <v/>
      </c>
      <c r="H1245">
        <f>IF(OR($F1245="",$G1245=""),"",IF(ISNUMBER(Sync!$AG1245),INT(MOD(Sync!$AG1245,10000)/100),IFERROR(VALUE(TRIM(LEFT(MID(Sync!$AG1245,FIND("/",Sync!$AG1245)+1,20),FIND("/",MID(Sync!$AG1245,FIND("/",Sync!$AG1245)+1,20))-1))),"")))</f>
        <v/>
      </c>
      <c r="I1245">
        <f>IF(OR($F1245="",$G1245=""),"",IF(ISNUMBER(Sync!$AG1245),MOD(Sync!$AG1245,100),IFERROR(VALUE(TRIM(MID(MID(Sync!$AG1245,FIND("/",Sync!$AG1245)+1,20),FIND("/",MID(Sync!$AG1245,FIND("/",Sync!$AG1245)+1,20))+1,20))),"")))</f>
        <v/>
      </c>
      <c r="J1245">
        <f>IF($F1245="","",IF(OR($G1245="",$H1245="",$I1245="",$G1245&lt;1300,$G1245&gt;1500,$H1245&lt;1,$H1245&gt;12,$I1245&lt;1,$I1245&gt;31),"نامعتبر",RIGHT("0000"&amp;$G1245,4)&amp;"/"&amp;RIGHT("00"&amp;$H1245,2)&amp;"/"&amp;RIGHT("00"&amp;$I1245,2)))</f>
        <v/>
      </c>
      <c r="K1245">
        <f>IF(OR($F1245="",$J1245="",$J1245="نامعتبر"),"",LEFT($J1245,4)&amp;MID($J1245,6,2)&amp;RIGHT($J1245,2)&amp;$N1245&amp;"|"&amp;"2"&amp;RIGHT("00000"&amp;1240,5))</f>
        <v/>
      </c>
      <c r="L1245">
        <f>IF($K1245="","",COUNTIFS(LdgPartyA,$F1245,LdgKeyA,"&lt;"&amp;$K1245)+COUNTIFS(LdgPartyB,$F1245,LdgKeyB,"&lt;"&amp;$K1245)+1)</f>
        <v/>
      </c>
      <c r="M1245">
        <f>IF($L1245="","",$F1245&amp;"|"&amp;RIGHT("000000"&amp;$L1245,6))</f>
        <v/>
      </c>
      <c r="N1245">
        <f>IF($F1245="","",IF(Sync!$AH1245="","0000",IF(AND(ISNUMBER(Sync!$AH1245),Sync!$AH1245&gt;=0,Sync!$AH1245&lt;1),RIGHT("00"&amp;HOUR(Sync!$AH1245),2)&amp;RIGHT("00"&amp;MINUTE(Sync!$AH1245),2),IFERROR(RIGHT("00"&amp;VALUE(LEFT(Sync!$AH1245,FIND(":",Sync!$AH1245)-1)),2)&amp;RIGHT("00"&amp;VALUE(MID(Sync!$AH1245,FIND(":",Sync!$AH1245)+1,2)),2),"0000"))))</f>
        <v/>
      </c>
    </row>
    <row r="1246">
      <c r="A1246">
        <f>IF(OR(Calc!$E1249="",Calc!$E1249="نامعتبر",Calc!$G1249="",Calc!$I1249&lt;&gt;"خرید"),"",Calc!$G1249)</f>
        <v/>
      </c>
      <c r="B1246">
        <f>IF($A1246="","",LEFT(Calc!$E1249,4)&amp;MID(Calc!$E1249,6,2)&amp;RIGHT(Calc!$E1249,2)&amp;Calc!$R1249&amp;"|"&amp;"1"&amp;RIGHT("00000"&amp;1241,5))</f>
        <v/>
      </c>
      <c r="C1246">
        <f>IF($B1246="","",COUNTIFS(LdgPartyA,$A1246,LdgKeyA,"&lt;"&amp;$B1246)+COUNTIFS(LdgPartyB,$A1246,LdgKeyB,"&lt;"&amp;$B1246)+1)</f>
        <v/>
      </c>
      <c r="D1246">
        <f>IF($C1246="","",$A1246&amp;"|"&amp;RIGHT("000000"&amp;$C1246,6))</f>
        <v/>
      </c>
      <c r="F1246">
        <f>IF(Sync!$AJ1246="","",Sync!$AJ1246)</f>
        <v/>
      </c>
      <c r="G1246">
        <f>IF($F1246="","",IF(Sync!$AG1246="","",IF(ISNUMBER(Sync!$AG1246),IF(AND(Sync!$AG1246&gt;=10000101,Sync!$AG1246&lt;=99991231),INT(Sync!$AG1246/10000),""),IFERROR(VALUE(TRIM(LEFT(Sync!$AG1246,FIND("/",Sync!$AG1246)-1))),""))))</f>
        <v/>
      </c>
      <c r="H1246">
        <f>IF(OR($F1246="",$G1246=""),"",IF(ISNUMBER(Sync!$AG1246),INT(MOD(Sync!$AG1246,10000)/100),IFERROR(VALUE(TRIM(LEFT(MID(Sync!$AG1246,FIND("/",Sync!$AG1246)+1,20),FIND("/",MID(Sync!$AG1246,FIND("/",Sync!$AG1246)+1,20))-1))),"")))</f>
        <v/>
      </c>
      <c r="I1246">
        <f>IF(OR($F1246="",$G1246=""),"",IF(ISNUMBER(Sync!$AG1246),MOD(Sync!$AG1246,100),IFERROR(VALUE(TRIM(MID(MID(Sync!$AG1246,FIND("/",Sync!$AG1246)+1,20),FIND("/",MID(Sync!$AG1246,FIND("/",Sync!$AG1246)+1,20))+1,20))),"")))</f>
        <v/>
      </c>
      <c r="J1246">
        <f>IF($F1246="","",IF(OR($G1246="",$H1246="",$I1246="",$G1246&lt;1300,$G1246&gt;1500,$H1246&lt;1,$H1246&gt;12,$I1246&lt;1,$I1246&gt;31),"نامعتبر",RIGHT("0000"&amp;$G1246,4)&amp;"/"&amp;RIGHT("00"&amp;$H1246,2)&amp;"/"&amp;RIGHT("00"&amp;$I1246,2)))</f>
        <v/>
      </c>
      <c r="K1246">
        <f>IF(OR($F1246="",$J1246="",$J1246="نامعتبر"),"",LEFT($J1246,4)&amp;MID($J1246,6,2)&amp;RIGHT($J1246,2)&amp;$N1246&amp;"|"&amp;"2"&amp;RIGHT("00000"&amp;1241,5))</f>
        <v/>
      </c>
      <c r="L1246">
        <f>IF($K1246="","",COUNTIFS(LdgPartyA,$F1246,LdgKeyA,"&lt;"&amp;$K1246)+COUNTIFS(LdgPartyB,$F1246,LdgKeyB,"&lt;"&amp;$K1246)+1)</f>
        <v/>
      </c>
      <c r="M1246">
        <f>IF($L1246="","",$F1246&amp;"|"&amp;RIGHT("000000"&amp;$L1246,6))</f>
        <v/>
      </c>
      <c r="N1246">
        <f>IF($F1246="","",IF(Sync!$AH1246="","0000",IF(AND(ISNUMBER(Sync!$AH1246),Sync!$AH1246&gt;=0,Sync!$AH1246&lt;1),RIGHT("00"&amp;HOUR(Sync!$AH1246),2)&amp;RIGHT("00"&amp;MINUTE(Sync!$AH1246),2),IFERROR(RIGHT("00"&amp;VALUE(LEFT(Sync!$AH1246,FIND(":",Sync!$AH1246)-1)),2)&amp;RIGHT("00"&amp;VALUE(MID(Sync!$AH1246,FIND(":",Sync!$AH1246)+1,2)),2),"0000"))))</f>
        <v/>
      </c>
    </row>
    <row r="1247">
      <c r="A1247">
        <f>IF(OR(Calc!$E1250="",Calc!$E1250="نامعتبر",Calc!$G1250="",Calc!$I1250&lt;&gt;"خرید"),"",Calc!$G1250)</f>
        <v/>
      </c>
      <c r="B1247">
        <f>IF($A1247="","",LEFT(Calc!$E1250,4)&amp;MID(Calc!$E1250,6,2)&amp;RIGHT(Calc!$E1250,2)&amp;Calc!$R1250&amp;"|"&amp;"1"&amp;RIGHT("00000"&amp;1242,5))</f>
        <v/>
      </c>
      <c r="C1247">
        <f>IF($B1247="","",COUNTIFS(LdgPartyA,$A1247,LdgKeyA,"&lt;"&amp;$B1247)+COUNTIFS(LdgPartyB,$A1247,LdgKeyB,"&lt;"&amp;$B1247)+1)</f>
        <v/>
      </c>
      <c r="D1247">
        <f>IF($C1247="","",$A1247&amp;"|"&amp;RIGHT("000000"&amp;$C1247,6))</f>
        <v/>
      </c>
      <c r="F1247">
        <f>IF(Sync!$AJ1247="","",Sync!$AJ1247)</f>
        <v/>
      </c>
      <c r="G1247">
        <f>IF($F1247="","",IF(Sync!$AG1247="","",IF(ISNUMBER(Sync!$AG1247),IF(AND(Sync!$AG1247&gt;=10000101,Sync!$AG1247&lt;=99991231),INT(Sync!$AG1247/10000),""),IFERROR(VALUE(TRIM(LEFT(Sync!$AG1247,FIND("/",Sync!$AG1247)-1))),""))))</f>
        <v/>
      </c>
      <c r="H1247">
        <f>IF(OR($F1247="",$G1247=""),"",IF(ISNUMBER(Sync!$AG1247),INT(MOD(Sync!$AG1247,10000)/100),IFERROR(VALUE(TRIM(LEFT(MID(Sync!$AG1247,FIND("/",Sync!$AG1247)+1,20),FIND("/",MID(Sync!$AG1247,FIND("/",Sync!$AG1247)+1,20))-1))),"")))</f>
        <v/>
      </c>
      <c r="I1247">
        <f>IF(OR($F1247="",$G1247=""),"",IF(ISNUMBER(Sync!$AG1247),MOD(Sync!$AG1247,100),IFERROR(VALUE(TRIM(MID(MID(Sync!$AG1247,FIND("/",Sync!$AG1247)+1,20),FIND("/",MID(Sync!$AG1247,FIND("/",Sync!$AG1247)+1,20))+1,20))),"")))</f>
        <v/>
      </c>
      <c r="J1247">
        <f>IF($F1247="","",IF(OR($G1247="",$H1247="",$I1247="",$G1247&lt;1300,$G1247&gt;1500,$H1247&lt;1,$H1247&gt;12,$I1247&lt;1,$I1247&gt;31),"نامعتبر",RIGHT("0000"&amp;$G1247,4)&amp;"/"&amp;RIGHT("00"&amp;$H1247,2)&amp;"/"&amp;RIGHT("00"&amp;$I1247,2)))</f>
        <v/>
      </c>
      <c r="K1247">
        <f>IF(OR($F1247="",$J1247="",$J1247="نامعتبر"),"",LEFT($J1247,4)&amp;MID($J1247,6,2)&amp;RIGHT($J1247,2)&amp;$N1247&amp;"|"&amp;"2"&amp;RIGHT("00000"&amp;1242,5))</f>
        <v/>
      </c>
      <c r="L1247">
        <f>IF($K1247="","",COUNTIFS(LdgPartyA,$F1247,LdgKeyA,"&lt;"&amp;$K1247)+COUNTIFS(LdgPartyB,$F1247,LdgKeyB,"&lt;"&amp;$K1247)+1)</f>
        <v/>
      </c>
      <c r="M1247">
        <f>IF($L1247="","",$F1247&amp;"|"&amp;RIGHT("000000"&amp;$L1247,6))</f>
        <v/>
      </c>
      <c r="N1247">
        <f>IF($F1247="","",IF(Sync!$AH1247="","0000",IF(AND(ISNUMBER(Sync!$AH1247),Sync!$AH1247&gt;=0,Sync!$AH1247&lt;1),RIGHT("00"&amp;HOUR(Sync!$AH1247),2)&amp;RIGHT("00"&amp;MINUTE(Sync!$AH1247),2),IFERROR(RIGHT("00"&amp;VALUE(LEFT(Sync!$AH1247,FIND(":",Sync!$AH1247)-1)),2)&amp;RIGHT("00"&amp;VALUE(MID(Sync!$AH1247,FIND(":",Sync!$AH1247)+1,2)),2),"0000"))))</f>
        <v/>
      </c>
    </row>
    <row r="1248">
      <c r="A1248">
        <f>IF(OR(Calc!$E1251="",Calc!$E1251="نامعتبر",Calc!$G1251="",Calc!$I1251&lt;&gt;"خرید"),"",Calc!$G1251)</f>
        <v/>
      </c>
      <c r="B1248">
        <f>IF($A1248="","",LEFT(Calc!$E1251,4)&amp;MID(Calc!$E1251,6,2)&amp;RIGHT(Calc!$E1251,2)&amp;Calc!$R1251&amp;"|"&amp;"1"&amp;RIGHT("00000"&amp;1243,5))</f>
        <v/>
      </c>
      <c r="C1248">
        <f>IF($B1248="","",COUNTIFS(LdgPartyA,$A1248,LdgKeyA,"&lt;"&amp;$B1248)+COUNTIFS(LdgPartyB,$A1248,LdgKeyB,"&lt;"&amp;$B1248)+1)</f>
        <v/>
      </c>
      <c r="D1248">
        <f>IF($C1248="","",$A1248&amp;"|"&amp;RIGHT("000000"&amp;$C1248,6))</f>
        <v/>
      </c>
      <c r="F1248">
        <f>IF(Sync!$AJ1248="","",Sync!$AJ1248)</f>
        <v/>
      </c>
      <c r="G1248">
        <f>IF($F1248="","",IF(Sync!$AG1248="","",IF(ISNUMBER(Sync!$AG1248),IF(AND(Sync!$AG1248&gt;=10000101,Sync!$AG1248&lt;=99991231),INT(Sync!$AG1248/10000),""),IFERROR(VALUE(TRIM(LEFT(Sync!$AG1248,FIND("/",Sync!$AG1248)-1))),""))))</f>
        <v/>
      </c>
      <c r="H1248">
        <f>IF(OR($F1248="",$G1248=""),"",IF(ISNUMBER(Sync!$AG1248),INT(MOD(Sync!$AG1248,10000)/100),IFERROR(VALUE(TRIM(LEFT(MID(Sync!$AG1248,FIND("/",Sync!$AG1248)+1,20),FIND("/",MID(Sync!$AG1248,FIND("/",Sync!$AG1248)+1,20))-1))),"")))</f>
        <v/>
      </c>
      <c r="I1248">
        <f>IF(OR($F1248="",$G1248=""),"",IF(ISNUMBER(Sync!$AG1248),MOD(Sync!$AG1248,100),IFERROR(VALUE(TRIM(MID(MID(Sync!$AG1248,FIND("/",Sync!$AG1248)+1,20),FIND("/",MID(Sync!$AG1248,FIND("/",Sync!$AG1248)+1,20))+1,20))),"")))</f>
        <v/>
      </c>
      <c r="J1248">
        <f>IF($F1248="","",IF(OR($G1248="",$H1248="",$I1248="",$G1248&lt;1300,$G1248&gt;1500,$H1248&lt;1,$H1248&gt;12,$I1248&lt;1,$I1248&gt;31),"نامعتبر",RIGHT("0000"&amp;$G1248,4)&amp;"/"&amp;RIGHT("00"&amp;$H1248,2)&amp;"/"&amp;RIGHT("00"&amp;$I1248,2)))</f>
        <v/>
      </c>
      <c r="K1248">
        <f>IF(OR($F1248="",$J1248="",$J1248="نامعتبر"),"",LEFT($J1248,4)&amp;MID($J1248,6,2)&amp;RIGHT($J1248,2)&amp;$N1248&amp;"|"&amp;"2"&amp;RIGHT("00000"&amp;1243,5))</f>
        <v/>
      </c>
      <c r="L1248">
        <f>IF($K1248="","",COUNTIFS(LdgPartyA,$F1248,LdgKeyA,"&lt;"&amp;$K1248)+COUNTIFS(LdgPartyB,$F1248,LdgKeyB,"&lt;"&amp;$K1248)+1)</f>
        <v/>
      </c>
      <c r="M1248">
        <f>IF($L1248="","",$F1248&amp;"|"&amp;RIGHT("000000"&amp;$L1248,6))</f>
        <v/>
      </c>
      <c r="N1248">
        <f>IF($F1248="","",IF(Sync!$AH1248="","0000",IF(AND(ISNUMBER(Sync!$AH1248),Sync!$AH1248&gt;=0,Sync!$AH1248&lt;1),RIGHT("00"&amp;HOUR(Sync!$AH1248),2)&amp;RIGHT("00"&amp;MINUTE(Sync!$AH1248),2),IFERROR(RIGHT("00"&amp;VALUE(LEFT(Sync!$AH1248,FIND(":",Sync!$AH1248)-1)),2)&amp;RIGHT("00"&amp;VALUE(MID(Sync!$AH1248,FIND(":",Sync!$AH1248)+1,2)),2),"0000"))))</f>
        <v/>
      </c>
    </row>
    <row r="1249">
      <c r="A1249">
        <f>IF(OR(Calc!$E1252="",Calc!$E1252="نامعتبر",Calc!$G1252="",Calc!$I1252&lt;&gt;"خرید"),"",Calc!$G1252)</f>
        <v/>
      </c>
      <c r="B1249">
        <f>IF($A1249="","",LEFT(Calc!$E1252,4)&amp;MID(Calc!$E1252,6,2)&amp;RIGHT(Calc!$E1252,2)&amp;Calc!$R1252&amp;"|"&amp;"1"&amp;RIGHT("00000"&amp;1244,5))</f>
        <v/>
      </c>
      <c r="C1249">
        <f>IF($B1249="","",COUNTIFS(LdgPartyA,$A1249,LdgKeyA,"&lt;"&amp;$B1249)+COUNTIFS(LdgPartyB,$A1249,LdgKeyB,"&lt;"&amp;$B1249)+1)</f>
        <v/>
      </c>
      <c r="D1249">
        <f>IF($C1249="","",$A1249&amp;"|"&amp;RIGHT("000000"&amp;$C1249,6))</f>
        <v/>
      </c>
      <c r="F1249">
        <f>IF(Sync!$AJ1249="","",Sync!$AJ1249)</f>
        <v/>
      </c>
      <c r="G1249">
        <f>IF($F1249="","",IF(Sync!$AG1249="","",IF(ISNUMBER(Sync!$AG1249),IF(AND(Sync!$AG1249&gt;=10000101,Sync!$AG1249&lt;=99991231),INT(Sync!$AG1249/10000),""),IFERROR(VALUE(TRIM(LEFT(Sync!$AG1249,FIND("/",Sync!$AG1249)-1))),""))))</f>
        <v/>
      </c>
      <c r="H1249">
        <f>IF(OR($F1249="",$G1249=""),"",IF(ISNUMBER(Sync!$AG1249),INT(MOD(Sync!$AG1249,10000)/100),IFERROR(VALUE(TRIM(LEFT(MID(Sync!$AG1249,FIND("/",Sync!$AG1249)+1,20),FIND("/",MID(Sync!$AG1249,FIND("/",Sync!$AG1249)+1,20))-1))),"")))</f>
        <v/>
      </c>
      <c r="I1249">
        <f>IF(OR($F1249="",$G1249=""),"",IF(ISNUMBER(Sync!$AG1249),MOD(Sync!$AG1249,100),IFERROR(VALUE(TRIM(MID(MID(Sync!$AG1249,FIND("/",Sync!$AG1249)+1,20),FIND("/",MID(Sync!$AG1249,FIND("/",Sync!$AG1249)+1,20))+1,20))),"")))</f>
        <v/>
      </c>
      <c r="J1249">
        <f>IF($F1249="","",IF(OR($G1249="",$H1249="",$I1249="",$G1249&lt;1300,$G1249&gt;1500,$H1249&lt;1,$H1249&gt;12,$I1249&lt;1,$I1249&gt;31),"نامعتبر",RIGHT("0000"&amp;$G1249,4)&amp;"/"&amp;RIGHT("00"&amp;$H1249,2)&amp;"/"&amp;RIGHT("00"&amp;$I1249,2)))</f>
        <v/>
      </c>
      <c r="K1249">
        <f>IF(OR($F1249="",$J1249="",$J1249="نامعتبر"),"",LEFT($J1249,4)&amp;MID($J1249,6,2)&amp;RIGHT($J1249,2)&amp;$N1249&amp;"|"&amp;"2"&amp;RIGHT("00000"&amp;1244,5))</f>
        <v/>
      </c>
      <c r="L1249">
        <f>IF($K1249="","",COUNTIFS(LdgPartyA,$F1249,LdgKeyA,"&lt;"&amp;$K1249)+COUNTIFS(LdgPartyB,$F1249,LdgKeyB,"&lt;"&amp;$K1249)+1)</f>
        <v/>
      </c>
      <c r="M1249">
        <f>IF($L1249="","",$F1249&amp;"|"&amp;RIGHT("000000"&amp;$L1249,6))</f>
        <v/>
      </c>
      <c r="N1249">
        <f>IF($F1249="","",IF(Sync!$AH1249="","0000",IF(AND(ISNUMBER(Sync!$AH1249),Sync!$AH1249&gt;=0,Sync!$AH1249&lt;1),RIGHT("00"&amp;HOUR(Sync!$AH1249),2)&amp;RIGHT("00"&amp;MINUTE(Sync!$AH1249),2),IFERROR(RIGHT("00"&amp;VALUE(LEFT(Sync!$AH1249,FIND(":",Sync!$AH1249)-1)),2)&amp;RIGHT("00"&amp;VALUE(MID(Sync!$AH1249,FIND(":",Sync!$AH1249)+1,2)),2),"0000"))))</f>
        <v/>
      </c>
    </row>
    <row r="1250">
      <c r="A1250">
        <f>IF(OR(Calc!$E1253="",Calc!$E1253="نامعتبر",Calc!$G1253="",Calc!$I1253&lt;&gt;"خرید"),"",Calc!$G1253)</f>
        <v/>
      </c>
      <c r="B1250">
        <f>IF($A1250="","",LEFT(Calc!$E1253,4)&amp;MID(Calc!$E1253,6,2)&amp;RIGHT(Calc!$E1253,2)&amp;Calc!$R1253&amp;"|"&amp;"1"&amp;RIGHT("00000"&amp;1245,5))</f>
        <v/>
      </c>
      <c r="C1250">
        <f>IF($B1250="","",COUNTIFS(LdgPartyA,$A1250,LdgKeyA,"&lt;"&amp;$B1250)+COUNTIFS(LdgPartyB,$A1250,LdgKeyB,"&lt;"&amp;$B1250)+1)</f>
        <v/>
      </c>
      <c r="D1250">
        <f>IF($C1250="","",$A1250&amp;"|"&amp;RIGHT("000000"&amp;$C1250,6))</f>
        <v/>
      </c>
      <c r="F1250">
        <f>IF(Sync!$AJ1250="","",Sync!$AJ1250)</f>
        <v/>
      </c>
      <c r="G1250">
        <f>IF($F1250="","",IF(Sync!$AG1250="","",IF(ISNUMBER(Sync!$AG1250),IF(AND(Sync!$AG1250&gt;=10000101,Sync!$AG1250&lt;=99991231),INT(Sync!$AG1250/10000),""),IFERROR(VALUE(TRIM(LEFT(Sync!$AG1250,FIND("/",Sync!$AG1250)-1))),""))))</f>
        <v/>
      </c>
      <c r="H1250">
        <f>IF(OR($F1250="",$G1250=""),"",IF(ISNUMBER(Sync!$AG1250),INT(MOD(Sync!$AG1250,10000)/100),IFERROR(VALUE(TRIM(LEFT(MID(Sync!$AG1250,FIND("/",Sync!$AG1250)+1,20),FIND("/",MID(Sync!$AG1250,FIND("/",Sync!$AG1250)+1,20))-1))),"")))</f>
        <v/>
      </c>
      <c r="I1250">
        <f>IF(OR($F1250="",$G1250=""),"",IF(ISNUMBER(Sync!$AG1250),MOD(Sync!$AG1250,100),IFERROR(VALUE(TRIM(MID(MID(Sync!$AG1250,FIND("/",Sync!$AG1250)+1,20),FIND("/",MID(Sync!$AG1250,FIND("/",Sync!$AG1250)+1,20))+1,20))),"")))</f>
        <v/>
      </c>
      <c r="J1250">
        <f>IF($F1250="","",IF(OR($G1250="",$H1250="",$I1250="",$G1250&lt;1300,$G1250&gt;1500,$H1250&lt;1,$H1250&gt;12,$I1250&lt;1,$I1250&gt;31),"نامعتبر",RIGHT("0000"&amp;$G1250,4)&amp;"/"&amp;RIGHT("00"&amp;$H1250,2)&amp;"/"&amp;RIGHT("00"&amp;$I1250,2)))</f>
        <v/>
      </c>
      <c r="K1250">
        <f>IF(OR($F1250="",$J1250="",$J1250="نامعتبر"),"",LEFT($J1250,4)&amp;MID($J1250,6,2)&amp;RIGHT($J1250,2)&amp;$N1250&amp;"|"&amp;"2"&amp;RIGHT("00000"&amp;1245,5))</f>
        <v/>
      </c>
      <c r="L1250">
        <f>IF($K1250="","",COUNTIFS(LdgPartyA,$F1250,LdgKeyA,"&lt;"&amp;$K1250)+COUNTIFS(LdgPartyB,$F1250,LdgKeyB,"&lt;"&amp;$K1250)+1)</f>
        <v/>
      </c>
      <c r="M1250">
        <f>IF($L1250="","",$F1250&amp;"|"&amp;RIGHT("000000"&amp;$L1250,6))</f>
        <v/>
      </c>
      <c r="N1250">
        <f>IF($F1250="","",IF(Sync!$AH1250="","0000",IF(AND(ISNUMBER(Sync!$AH1250),Sync!$AH1250&gt;=0,Sync!$AH1250&lt;1),RIGHT("00"&amp;HOUR(Sync!$AH1250),2)&amp;RIGHT("00"&amp;MINUTE(Sync!$AH1250),2),IFERROR(RIGHT("00"&amp;VALUE(LEFT(Sync!$AH1250,FIND(":",Sync!$AH1250)-1)),2)&amp;RIGHT("00"&amp;VALUE(MID(Sync!$AH1250,FIND(":",Sync!$AH1250)+1,2)),2),"0000"))))</f>
        <v/>
      </c>
    </row>
    <row r="1251">
      <c r="A1251">
        <f>IF(OR(Calc!$E1254="",Calc!$E1254="نامعتبر",Calc!$G1254="",Calc!$I1254&lt;&gt;"خرید"),"",Calc!$G1254)</f>
        <v/>
      </c>
      <c r="B1251">
        <f>IF($A1251="","",LEFT(Calc!$E1254,4)&amp;MID(Calc!$E1254,6,2)&amp;RIGHT(Calc!$E1254,2)&amp;Calc!$R1254&amp;"|"&amp;"1"&amp;RIGHT("00000"&amp;1246,5))</f>
        <v/>
      </c>
      <c r="C1251">
        <f>IF($B1251="","",COUNTIFS(LdgPartyA,$A1251,LdgKeyA,"&lt;"&amp;$B1251)+COUNTIFS(LdgPartyB,$A1251,LdgKeyB,"&lt;"&amp;$B1251)+1)</f>
        <v/>
      </c>
      <c r="D1251">
        <f>IF($C1251="","",$A1251&amp;"|"&amp;RIGHT("000000"&amp;$C1251,6))</f>
        <v/>
      </c>
      <c r="F1251">
        <f>IF(Sync!$AJ1251="","",Sync!$AJ1251)</f>
        <v/>
      </c>
      <c r="G1251">
        <f>IF($F1251="","",IF(Sync!$AG1251="","",IF(ISNUMBER(Sync!$AG1251),IF(AND(Sync!$AG1251&gt;=10000101,Sync!$AG1251&lt;=99991231),INT(Sync!$AG1251/10000),""),IFERROR(VALUE(TRIM(LEFT(Sync!$AG1251,FIND("/",Sync!$AG1251)-1))),""))))</f>
        <v/>
      </c>
      <c r="H1251">
        <f>IF(OR($F1251="",$G1251=""),"",IF(ISNUMBER(Sync!$AG1251),INT(MOD(Sync!$AG1251,10000)/100),IFERROR(VALUE(TRIM(LEFT(MID(Sync!$AG1251,FIND("/",Sync!$AG1251)+1,20),FIND("/",MID(Sync!$AG1251,FIND("/",Sync!$AG1251)+1,20))-1))),"")))</f>
        <v/>
      </c>
      <c r="I1251">
        <f>IF(OR($F1251="",$G1251=""),"",IF(ISNUMBER(Sync!$AG1251),MOD(Sync!$AG1251,100),IFERROR(VALUE(TRIM(MID(MID(Sync!$AG1251,FIND("/",Sync!$AG1251)+1,20),FIND("/",MID(Sync!$AG1251,FIND("/",Sync!$AG1251)+1,20))+1,20))),"")))</f>
        <v/>
      </c>
      <c r="J1251">
        <f>IF($F1251="","",IF(OR($G1251="",$H1251="",$I1251="",$G1251&lt;1300,$G1251&gt;1500,$H1251&lt;1,$H1251&gt;12,$I1251&lt;1,$I1251&gt;31),"نامعتبر",RIGHT("0000"&amp;$G1251,4)&amp;"/"&amp;RIGHT("00"&amp;$H1251,2)&amp;"/"&amp;RIGHT("00"&amp;$I1251,2)))</f>
        <v/>
      </c>
      <c r="K1251">
        <f>IF(OR($F1251="",$J1251="",$J1251="نامعتبر"),"",LEFT($J1251,4)&amp;MID($J1251,6,2)&amp;RIGHT($J1251,2)&amp;$N1251&amp;"|"&amp;"2"&amp;RIGHT("00000"&amp;1246,5))</f>
        <v/>
      </c>
      <c r="L1251">
        <f>IF($K1251="","",COUNTIFS(LdgPartyA,$F1251,LdgKeyA,"&lt;"&amp;$K1251)+COUNTIFS(LdgPartyB,$F1251,LdgKeyB,"&lt;"&amp;$K1251)+1)</f>
        <v/>
      </c>
      <c r="M1251">
        <f>IF($L1251="","",$F1251&amp;"|"&amp;RIGHT("000000"&amp;$L1251,6))</f>
        <v/>
      </c>
      <c r="N1251">
        <f>IF($F1251="","",IF(Sync!$AH1251="","0000",IF(AND(ISNUMBER(Sync!$AH1251),Sync!$AH1251&gt;=0,Sync!$AH1251&lt;1),RIGHT("00"&amp;HOUR(Sync!$AH1251),2)&amp;RIGHT("00"&amp;MINUTE(Sync!$AH1251),2),IFERROR(RIGHT("00"&amp;VALUE(LEFT(Sync!$AH1251,FIND(":",Sync!$AH1251)-1)),2)&amp;RIGHT("00"&amp;VALUE(MID(Sync!$AH1251,FIND(":",Sync!$AH1251)+1,2)),2),"0000"))))</f>
        <v/>
      </c>
    </row>
    <row r="1252">
      <c r="A1252">
        <f>IF(OR(Calc!$E1255="",Calc!$E1255="نامعتبر",Calc!$G1255="",Calc!$I1255&lt;&gt;"خرید"),"",Calc!$G1255)</f>
        <v/>
      </c>
      <c r="B1252">
        <f>IF($A1252="","",LEFT(Calc!$E1255,4)&amp;MID(Calc!$E1255,6,2)&amp;RIGHT(Calc!$E1255,2)&amp;Calc!$R1255&amp;"|"&amp;"1"&amp;RIGHT("00000"&amp;1247,5))</f>
        <v/>
      </c>
      <c r="C1252">
        <f>IF($B1252="","",COUNTIFS(LdgPartyA,$A1252,LdgKeyA,"&lt;"&amp;$B1252)+COUNTIFS(LdgPartyB,$A1252,LdgKeyB,"&lt;"&amp;$B1252)+1)</f>
        <v/>
      </c>
      <c r="D1252">
        <f>IF($C1252="","",$A1252&amp;"|"&amp;RIGHT("000000"&amp;$C1252,6))</f>
        <v/>
      </c>
      <c r="F1252">
        <f>IF(Sync!$AJ1252="","",Sync!$AJ1252)</f>
        <v/>
      </c>
      <c r="G1252">
        <f>IF($F1252="","",IF(Sync!$AG1252="","",IF(ISNUMBER(Sync!$AG1252),IF(AND(Sync!$AG1252&gt;=10000101,Sync!$AG1252&lt;=99991231),INT(Sync!$AG1252/10000),""),IFERROR(VALUE(TRIM(LEFT(Sync!$AG1252,FIND("/",Sync!$AG1252)-1))),""))))</f>
        <v/>
      </c>
      <c r="H1252">
        <f>IF(OR($F1252="",$G1252=""),"",IF(ISNUMBER(Sync!$AG1252),INT(MOD(Sync!$AG1252,10000)/100),IFERROR(VALUE(TRIM(LEFT(MID(Sync!$AG1252,FIND("/",Sync!$AG1252)+1,20),FIND("/",MID(Sync!$AG1252,FIND("/",Sync!$AG1252)+1,20))-1))),"")))</f>
        <v/>
      </c>
      <c r="I1252">
        <f>IF(OR($F1252="",$G1252=""),"",IF(ISNUMBER(Sync!$AG1252),MOD(Sync!$AG1252,100),IFERROR(VALUE(TRIM(MID(MID(Sync!$AG1252,FIND("/",Sync!$AG1252)+1,20),FIND("/",MID(Sync!$AG1252,FIND("/",Sync!$AG1252)+1,20))+1,20))),"")))</f>
        <v/>
      </c>
      <c r="J1252">
        <f>IF($F1252="","",IF(OR($G1252="",$H1252="",$I1252="",$G1252&lt;1300,$G1252&gt;1500,$H1252&lt;1,$H1252&gt;12,$I1252&lt;1,$I1252&gt;31),"نامعتبر",RIGHT("0000"&amp;$G1252,4)&amp;"/"&amp;RIGHT("00"&amp;$H1252,2)&amp;"/"&amp;RIGHT("00"&amp;$I1252,2)))</f>
        <v/>
      </c>
      <c r="K1252">
        <f>IF(OR($F1252="",$J1252="",$J1252="نامعتبر"),"",LEFT($J1252,4)&amp;MID($J1252,6,2)&amp;RIGHT($J1252,2)&amp;$N1252&amp;"|"&amp;"2"&amp;RIGHT("00000"&amp;1247,5))</f>
        <v/>
      </c>
      <c r="L1252">
        <f>IF($K1252="","",COUNTIFS(LdgPartyA,$F1252,LdgKeyA,"&lt;"&amp;$K1252)+COUNTIFS(LdgPartyB,$F1252,LdgKeyB,"&lt;"&amp;$K1252)+1)</f>
        <v/>
      </c>
      <c r="M1252">
        <f>IF($L1252="","",$F1252&amp;"|"&amp;RIGHT("000000"&amp;$L1252,6))</f>
        <v/>
      </c>
      <c r="N1252">
        <f>IF($F1252="","",IF(Sync!$AH1252="","0000",IF(AND(ISNUMBER(Sync!$AH1252),Sync!$AH1252&gt;=0,Sync!$AH1252&lt;1),RIGHT("00"&amp;HOUR(Sync!$AH1252),2)&amp;RIGHT("00"&amp;MINUTE(Sync!$AH1252),2),IFERROR(RIGHT("00"&amp;VALUE(LEFT(Sync!$AH1252,FIND(":",Sync!$AH1252)-1)),2)&amp;RIGHT("00"&amp;VALUE(MID(Sync!$AH1252,FIND(":",Sync!$AH1252)+1,2)),2),"0000"))))</f>
        <v/>
      </c>
    </row>
    <row r="1253">
      <c r="A1253">
        <f>IF(OR(Calc!$E1256="",Calc!$E1256="نامعتبر",Calc!$G1256="",Calc!$I1256&lt;&gt;"خرید"),"",Calc!$G1256)</f>
        <v/>
      </c>
      <c r="B1253">
        <f>IF($A1253="","",LEFT(Calc!$E1256,4)&amp;MID(Calc!$E1256,6,2)&amp;RIGHT(Calc!$E1256,2)&amp;Calc!$R1256&amp;"|"&amp;"1"&amp;RIGHT("00000"&amp;1248,5))</f>
        <v/>
      </c>
      <c r="C1253">
        <f>IF($B1253="","",COUNTIFS(LdgPartyA,$A1253,LdgKeyA,"&lt;"&amp;$B1253)+COUNTIFS(LdgPartyB,$A1253,LdgKeyB,"&lt;"&amp;$B1253)+1)</f>
        <v/>
      </c>
      <c r="D1253">
        <f>IF($C1253="","",$A1253&amp;"|"&amp;RIGHT("000000"&amp;$C1253,6))</f>
        <v/>
      </c>
      <c r="F1253">
        <f>IF(Sync!$AJ1253="","",Sync!$AJ1253)</f>
        <v/>
      </c>
      <c r="G1253">
        <f>IF($F1253="","",IF(Sync!$AG1253="","",IF(ISNUMBER(Sync!$AG1253),IF(AND(Sync!$AG1253&gt;=10000101,Sync!$AG1253&lt;=99991231),INT(Sync!$AG1253/10000),""),IFERROR(VALUE(TRIM(LEFT(Sync!$AG1253,FIND("/",Sync!$AG1253)-1))),""))))</f>
        <v/>
      </c>
      <c r="H1253">
        <f>IF(OR($F1253="",$G1253=""),"",IF(ISNUMBER(Sync!$AG1253),INT(MOD(Sync!$AG1253,10000)/100),IFERROR(VALUE(TRIM(LEFT(MID(Sync!$AG1253,FIND("/",Sync!$AG1253)+1,20),FIND("/",MID(Sync!$AG1253,FIND("/",Sync!$AG1253)+1,20))-1))),"")))</f>
        <v/>
      </c>
      <c r="I1253">
        <f>IF(OR($F1253="",$G1253=""),"",IF(ISNUMBER(Sync!$AG1253),MOD(Sync!$AG1253,100),IFERROR(VALUE(TRIM(MID(MID(Sync!$AG1253,FIND("/",Sync!$AG1253)+1,20),FIND("/",MID(Sync!$AG1253,FIND("/",Sync!$AG1253)+1,20))+1,20))),"")))</f>
        <v/>
      </c>
      <c r="J1253">
        <f>IF($F1253="","",IF(OR($G1253="",$H1253="",$I1253="",$G1253&lt;1300,$G1253&gt;1500,$H1253&lt;1,$H1253&gt;12,$I1253&lt;1,$I1253&gt;31),"نامعتبر",RIGHT("0000"&amp;$G1253,4)&amp;"/"&amp;RIGHT("00"&amp;$H1253,2)&amp;"/"&amp;RIGHT("00"&amp;$I1253,2)))</f>
        <v/>
      </c>
      <c r="K1253">
        <f>IF(OR($F1253="",$J1253="",$J1253="نامعتبر"),"",LEFT($J1253,4)&amp;MID($J1253,6,2)&amp;RIGHT($J1253,2)&amp;$N1253&amp;"|"&amp;"2"&amp;RIGHT("00000"&amp;1248,5))</f>
        <v/>
      </c>
      <c r="L1253">
        <f>IF($K1253="","",COUNTIFS(LdgPartyA,$F1253,LdgKeyA,"&lt;"&amp;$K1253)+COUNTIFS(LdgPartyB,$F1253,LdgKeyB,"&lt;"&amp;$K1253)+1)</f>
        <v/>
      </c>
      <c r="M1253">
        <f>IF($L1253="","",$F1253&amp;"|"&amp;RIGHT("000000"&amp;$L1253,6))</f>
        <v/>
      </c>
      <c r="N1253">
        <f>IF($F1253="","",IF(Sync!$AH1253="","0000",IF(AND(ISNUMBER(Sync!$AH1253),Sync!$AH1253&gt;=0,Sync!$AH1253&lt;1),RIGHT("00"&amp;HOUR(Sync!$AH1253),2)&amp;RIGHT("00"&amp;MINUTE(Sync!$AH1253),2),IFERROR(RIGHT("00"&amp;VALUE(LEFT(Sync!$AH1253,FIND(":",Sync!$AH1253)-1)),2)&amp;RIGHT("00"&amp;VALUE(MID(Sync!$AH1253,FIND(":",Sync!$AH1253)+1,2)),2),"0000"))))</f>
        <v/>
      </c>
    </row>
    <row r="1254">
      <c r="A1254">
        <f>IF(OR(Calc!$E1257="",Calc!$E1257="نامعتبر",Calc!$G1257="",Calc!$I1257&lt;&gt;"خرید"),"",Calc!$G1257)</f>
        <v/>
      </c>
      <c r="B1254">
        <f>IF($A1254="","",LEFT(Calc!$E1257,4)&amp;MID(Calc!$E1257,6,2)&amp;RIGHT(Calc!$E1257,2)&amp;Calc!$R1257&amp;"|"&amp;"1"&amp;RIGHT("00000"&amp;1249,5))</f>
        <v/>
      </c>
      <c r="C1254">
        <f>IF($B1254="","",COUNTIFS(LdgPartyA,$A1254,LdgKeyA,"&lt;"&amp;$B1254)+COUNTIFS(LdgPartyB,$A1254,LdgKeyB,"&lt;"&amp;$B1254)+1)</f>
        <v/>
      </c>
      <c r="D1254">
        <f>IF($C1254="","",$A1254&amp;"|"&amp;RIGHT("000000"&amp;$C1254,6))</f>
        <v/>
      </c>
      <c r="F1254">
        <f>IF(Sync!$AJ1254="","",Sync!$AJ1254)</f>
        <v/>
      </c>
      <c r="G1254">
        <f>IF($F1254="","",IF(Sync!$AG1254="","",IF(ISNUMBER(Sync!$AG1254),IF(AND(Sync!$AG1254&gt;=10000101,Sync!$AG1254&lt;=99991231),INT(Sync!$AG1254/10000),""),IFERROR(VALUE(TRIM(LEFT(Sync!$AG1254,FIND("/",Sync!$AG1254)-1))),""))))</f>
        <v/>
      </c>
      <c r="H1254">
        <f>IF(OR($F1254="",$G1254=""),"",IF(ISNUMBER(Sync!$AG1254),INT(MOD(Sync!$AG1254,10000)/100),IFERROR(VALUE(TRIM(LEFT(MID(Sync!$AG1254,FIND("/",Sync!$AG1254)+1,20),FIND("/",MID(Sync!$AG1254,FIND("/",Sync!$AG1254)+1,20))-1))),"")))</f>
        <v/>
      </c>
      <c r="I1254">
        <f>IF(OR($F1254="",$G1254=""),"",IF(ISNUMBER(Sync!$AG1254),MOD(Sync!$AG1254,100),IFERROR(VALUE(TRIM(MID(MID(Sync!$AG1254,FIND("/",Sync!$AG1254)+1,20),FIND("/",MID(Sync!$AG1254,FIND("/",Sync!$AG1254)+1,20))+1,20))),"")))</f>
        <v/>
      </c>
      <c r="J1254">
        <f>IF($F1254="","",IF(OR($G1254="",$H1254="",$I1254="",$G1254&lt;1300,$G1254&gt;1500,$H1254&lt;1,$H1254&gt;12,$I1254&lt;1,$I1254&gt;31),"نامعتبر",RIGHT("0000"&amp;$G1254,4)&amp;"/"&amp;RIGHT("00"&amp;$H1254,2)&amp;"/"&amp;RIGHT("00"&amp;$I1254,2)))</f>
        <v/>
      </c>
      <c r="K1254">
        <f>IF(OR($F1254="",$J1254="",$J1254="نامعتبر"),"",LEFT($J1254,4)&amp;MID($J1254,6,2)&amp;RIGHT($J1254,2)&amp;$N1254&amp;"|"&amp;"2"&amp;RIGHT("00000"&amp;1249,5))</f>
        <v/>
      </c>
      <c r="L1254">
        <f>IF($K1254="","",COUNTIFS(LdgPartyA,$F1254,LdgKeyA,"&lt;"&amp;$K1254)+COUNTIFS(LdgPartyB,$F1254,LdgKeyB,"&lt;"&amp;$K1254)+1)</f>
        <v/>
      </c>
      <c r="M1254">
        <f>IF($L1254="","",$F1254&amp;"|"&amp;RIGHT("000000"&amp;$L1254,6))</f>
        <v/>
      </c>
      <c r="N1254">
        <f>IF($F1254="","",IF(Sync!$AH1254="","0000",IF(AND(ISNUMBER(Sync!$AH1254),Sync!$AH1254&gt;=0,Sync!$AH1254&lt;1),RIGHT("00"&amp;HOUR(Sync!$AH1254),2)&amp;RIGHT("00"&amp;MINUTE(Sync!$AH1254),2),IFERROR(RIGHT("00"&amp;VALUE(LEFT(Sync!$AH1254,FIND(":",Sync!$AH1254)-1)),2)&amp;RIGHT("00"&amp;VALUE(MID(Sync!$AH1254,FIND(":",Sync!$AH1254)+1,2)),2),"0000"))))</f>
        <v/>
      </c>
    </row>
    <row r="1255">
      <c r="A1255">
        <f>IF(OR(Calc!$E1258="",Calc!$E1258="نامعتبر",Calc!$G1258="",Calc!$I1258&lt;&gt;"خرید"),"",Calc!$G1258)</f>
        <v/>
      </c>
      <c r="B1255">
        <f>IF($A1255="","",LEFT(Calc!$E1258,4)&amp;MID(Calc!$E1258,6,2)&amp;RIGHT(Calc!$E1258,2)&amp;Calc!$R1258&amp;"|"&amp;"1"&amp;RIGHT("00000"&amp;1250,5))</f>
        <v/>
      </c>
      <c r="C1255">
        <f>IF($B1255="","",COUNTIFS(LdgPartyA,$A1255,LdgKeyA,"&lt;"&amp;$B1255)+COUNTIFS(LdgPartyB,$A1255,LdgKeyB,"&lt;"&amp;$B1255)+1)</f>
        <v/>
      </c>
      <c r="D1255">
        <f>IF($C1255="","",$A1255&amp;"|"&amp;RIGHT("000000"&amp;$C1255,6))</f>
        <v/>
      </c>
      <c r="F1255">
        <f>IF(Sync!$AJ1255="","",Sync!$AJ1255)</f>
        <v/>
      </c>
      <c r="G1255">
        <f>IF($F1255="","",IF(Sync!$AG1255="","",IF(ISNUMBER(Sync!$AG1255),IF(AND(Sync!$AG1255&gt;=10000101,Sync!$AG1255&lt;=99991231),INT(Sync!$AG1255/10000),""),IFERROR(VALUE(TRIM(LEFT(Sync!$AG1255,FIND("/",Sync!$AG1255)-1))),""))))</f>
        <v/>
      </c>
      <c r="H1255">
        <f>IF(OR($F1255="",$G1255=""),"",IF(ISNUMBER(Sync!$AG1255),INT(MOD(Sync!$AG1255,10000)/100),IFERROR(VALUE(TRIM(LEFT(MID(Sync!$AG1255,FIND("/",Sync!$AG1255)+1,20),FIND("/",MID(Sync!$AG1255,FIND("/",Sync!$AG1255)+1,20))-1))),"")))</f>
        <v/>
      </c>
      <c r="I1255">
        <f>IF(OR($F1255="",$G1255=""),"",IF(ISNUMBER(Sync!$AG1255),MOD(Sync!$AG1255,100),IFERROR(VALUE(TRIM(MID(MID(Sync!$AG1255,FIND("/",Sync!$AG1255)+1,20),FIND("/",MID(Sync!$AG1255,FIND("/",Sync!$AG1255)+1,20))+1,20))),"")))</f>
        <v/>
      </c>
      <c r="J1255">
        <f>IF($F1255="","",IF(OR($G1255="",$H1255="",$I1255="",$G1255&lt;1300,$G1255&gt;1500,$H1255&lt;1,$H1255&gt;12,$I1255&lt;1,$I1255&gt;31),"نامعتبر",RIGHT("0000"&amp;$G1255,4)&amp;"/"&amp;RIGHT("00"&amp;$H1255,2)&amp;"/"&amp;RIGHT("00"&amp;$I1255,2)))</f>
        <v/>
      </c>
      <c r="K1255">
        <f>IF(OR($F1255="",$J1255="",$J1255="نامعتبر"),"",LEFT($J1255,4)&amp;MID($J1255,6,2)&amp;RIGHT($J1255,2)&amp;$N1255&amp;"|"&amp;"2"&amp;RIGHT("00000"&amp;1250,5))</f>
        <v/>
      </c>
      <c r="L1255">
        <f>IF($K1255="","",COUNTIFS(LdgPartyA,$F1255,LdgKeyA,"&lt;"&amp;$K1255)+COUNTIFS(LdgPartyB,$F1255,LdgKeyB,"&lt;"&amp;$K1255)+1)</f>
        <v/>
      </c>
      <c r="M1255">
        <f>IF($L1255="","",$F1255&amp;"|"&amp;RIGHT("000000"&amp;$L1255,6))</f>
        <v/>
      </c>
      <c r="N1255">
        <f>IF($F1255="","",IF(Sync!$AH1255="","0000",IF(AND(ISNUMBER(Sync!$AH1255),Sync!$AH1255&gt;=0,Sync!$AH1255&lt;1),RIGHT("00"&amp;HOUR(Sync!$AH1255),2)&amp;RIGHT("00"&amp;MINUTE(Sync!$AH1255),2),IFERROR(RIGHT("00"&amp;VALUE(LEFT(Sync!$AH1255,FIND(":",Sync!$AH1255)-1)),2)&amp;RIGHT("00"&amp;VALUE(MID(Sync!$AH1255,FIND(":",Sync!$AH1255)+1,2)),2),"0000"))))</f>
        <v/>
      </c>
    </row>
    <row r="1256">
      <c r="A1256">
        <f>IF(OR(Calc!$E1259="",Calc!$E1259="نامعتبر",Calc!$G1259="",Calc!$I1259&lt;&gt;"خرید"),"",Calc!$G1259)</f>
        <v/>
      </c>
      <c r="B1256">
        <f>IF($A1256="","",LEFT(Calc!$E1259,4)&amp;MID(Calc!$E1259,6,2)&amp;RIGHT(Calc!$E1259,2)&amp;Calc!$R1259&amp;"|"&amp;"1"&amp;RIGHT("00000"&amp;1251,5))</f>
        <v/>
      </c>
      <c r="C1256">
        <f>IF($B1256="","",COUNTIFS(LdgPartyA,$A1256,LdgKeyA,"&lt;"&amp;$B1256)+COUNTIFS(LdgPartyB,$A1256,LdgKeyB,"&lt;"&amp;$B1256)+1)</f>
        <v/>
      </c>
      <c r="D1256">
        <f>IF($C1256="","",$A1256&amp;"|"&amp;RIGHT("000000"&amp;$C1256,6))</f>
        <v/>
      </c>
      <c r="F1256">
        <f>IF(Sync!$AJ1256="","",Sync!$AJ1256)</f>
        <v/>
      </c>
      <c r="G1256">
        <f>IF($F1256="","",IF(Sync!$AG1256="","",IF(ISNUMBER(Sync!$AG1256),IF(AND(Sync!$AG1256&gt;=10000101,Sync!$AG1256&lt;=99991231),INT(Sync!$AG1256/10000),""),IFERROR(VALUE(TRIM(LEFT(Sync!$AG1256,FIND("/",Sync!$AG1256)-1))),""))))</f>
        <v/>
      </c>
      <c r="H1256">
        <f>IF(OR($F1256="",$G1256=""),"",IF(ISNUMBER(Sync!$AG1256),INT(MOD(Sync!$AG1256,10000)/100),IFERROR(VALUE(TRIM(LEFT(MID(Sync!$AG1256,FIND("/",Sync!$AG1256)+1,20),FIND("/",MID(Sync!$AG1256,FIND("/",Sync!$AG1256)+1,20))-1))),"")))</f>
        <v/>
      </c>
      <c r="I1256">
        <f>IF(OR($F1256="",$G1256=""),"",IF(ISNUMBER(Sync!$AG1256),MOD(Sync!$AG1256,100),IFERROR(VALUE(TRIM(MID(MID(Sync!$AG1256,FIND("/",Sync!$AG1256)+1,20),FIND("/",MID(Sync!$AG1256,FIND("/",Sync!$AG1256)+1,20))+1,20))),"")))</f>
        <v/>
      </c>
      <c r="J1256">
        <f>IF($F1256="","",IF(OR($G1256="",$H1256="",$I1256="",$G1256&lt;1300,$G1256&gt;1500,$H1256&lt;1,$H1256&gt;12,$I1256&lt;1,$I1256&gt;31),"نامعتبر",RIGHT("0000"&amp;$G1256,4)&amp;"/"&amp;RIGHT("00"&amp;$H1256,2)&amp;"/"&amp;RIGHT("00"&amp;$I1256,2)))</f>
        <v/>
      </c>
      <c r="K1256">
        <f>IF(OR($F1256="",$J1256="",$J1256="نامعتبر"),"",LEFT($J1256,4)&amp;MID($J1256,6,2)&amp;RIGHT($J1256,2)&amp;$N1256&amp;"|"&amp;"2"&amp;RIGHT("00000"&amp;1251,5))</f>
        <v/>
      </c>
      <c r="L1256">
        <f>IF($K1256="","",COUNTIFS(LdgPartyA,$F1256,LdgKeyA,"&lt;"&amp;$K1256)+COUNTIFS(LdgPartyB,$F1256,LdgKeyB,"&lt;"&amp;$K1256)+1)</f>
        <v/>
      </c>
      <c r="M1256">
        <f>IF($L1256="","",$F1256&amp;"|"&amp;RIGHT("000000"&amp;$L1256,6))</f>
        <v/>
      </c>
      <c r="N1256">
        <f>IF($F1256="","",IF(Sync!$AH1256="","0000",IF(AND(ISNUMBER(Sync!$AH1256),Sync!$AH1256&gt;=0,Sync!$AH1256&lt;1),RIGHT("00"&amp;HOUR(Sync!$AH1256),2)&amp;RIGHT("00"&amp;MINUTE(Sync!$AH1256),2),IFERROR(RIGHT("00"&amp;VALUE(LEFT(Sync!$AH1256,FIND(":",Sync!$AH1256)-1)),2)&amp;RIGHT("00"&amp;VALUE(MID(Sync!$AH1256,FIND(":",Sync!$AH1256)+1,2)),2),"0000"))))</f>
        <v/>
      </c>
    </row>
    <row r="1257">
      <c r="A1257">
        <f>IF(OR(Calc!$E1260="",Calc!$E1260="نامعتبر",Calc!$G1260="",Calc!$I1260&lt;&gt;"خرید"),"",Calc!$G1260)</f>
        <v/>
      </c>
      <c r="B1257">
        <f>IF($A1257="","",LEFT(Calc!$E1260,4)&amp;MID(Calc!$E1260,6,2)&amp;RIGHT(Calc!$E1260,2)&amp;Calc!$R1260&amp;"|"&amp;"1"&amp;RIGHT("00000"&amp;1252,5))</f>
        <v/>
      </c>
      <c r="C1257">
        <f>IF($B1257="","",COUNTIFS(LdgPartyA,$A1257,LdgKeyA,"&lt;"&amp;$B1257)+COUNTIFS(LdgPartyB,$A1257,LdgKeyB,"&lt;"&amp;$B1257)+1)</f>
        <v/>
      </c>
      <c r="D1257">
        <f>IF($C1257="","",$A1257&amp;"|"&amp;RIGHT("000000"&amp;$C1257,6))</f>
        <v/>
      </c>
      <c r="F1257">
        <f>IF(Sync!$AJ1257="","",Sync!$AJ1257)</f>
        <v/>
      </c>
      <c r="G1257">
        <f>IF($F1257="","",IF(Sync!$AG1257="","",IF(ISNUMBER(Sync!$AG1257),IF(AND(Sync!$AG1257&gt;=10000101,Sync!$AG1257&lt;=99991231),INT(Sync!$AG1257/10000),""),IFERROR(VALUE(TRIM(LEFT(Sync!$AG1257,FIND("/",Sync!$AG1257)-1))),""))))</f>
        <v/>
      </c>
      <c r="H1257">
        <f>IF(OR($F1257="",$G1257=""),"",IF(ISNUMBER(Sync!$AG1257),INT(MOD(Sync!$AG1257,10000)/100),IFERROR(VALUE(TRIM(LEFT(MID(Sync!$AG1257,FIND("/",Sync!$AG1257)+1,20),FIND("/",MID(Sync!$AG1257,FIND("/",Sync!$AG1257)+1,20))-1))),"")))</f>
        <v/>
      </c>
      <c r="I1257">
        <f>IF(OR($F1257="",$G1257=""),"",IF(ISNUMBER(Sync!$AG1257),MOD(Sync!$AG1257,100),IFERROR(VALUE(TRIM(MID(MID(Sync!$AG1257,FIND("/",Sync!$AG1257)+1,20),FIND("/",MID(Sync!$AG1257,FIND("/",Sync!$AG1257)+1,20))+1,20))),"")))</f>
        <v/>
      </c>
      <c r="J1257">
        <f>IF($F1257="","",IF(OR($G1257="",$H1257="",$I1257="",$G1257&lt;1300,$G1257&gt;1500,$H1257&lt;1,$H1257&gt;12,$I1257&lt;1,$I1257&gt;31),"نامعتبر",RIGHT("0000"&amp;$G1257,4)&amp;"/"&amp;RIGHT("00"&amp;$H1257,2)&amp;"/"&amp;RIGHT("00"&amp;$I1257,2)))</f>
        <v/>
      </c>
      <c r="K1257">
        <f>IF(OR($F1257="",$J1257="",$J1257="نامعتبر"),"",LEFT($J1257,4)&amp;MID($J1257,6,2)&amp;RIGHT($J1257,2)&amp;$N1257&amp;"|"&amp;"2"&amp;RIGHT("00000"&amp;1252,5))</f>
        <v/>
      </c>
      <c r="L1257">
        <f>IF($K1257="","",COUNTIFS(LdgPartyA,$F1257,LdgKeyA,"&lt;"&amp;$K1257)+COUNTIFS(LdgPartyB,$F1257,LdgKeyB,"&lt;"&amp;$K1257)+1)</f>
        <v/>
      </c>
      <c r="M1257">
        <f>IF($L1257="","",$F1257&amp;"|"&amp;RIGHT("000000"&amp;$L1257,6))</f>
        <v/>
      </c>
      <c r="N1257">
        <f>IF($F1257="","",IF(Sync!$AH1257="","0000",IF(AND(ISNUMBER(Sync!$AH1257),Sync!$AH1257&gt;=0,Sync!$AH1257&lt;1),RIGHT("00"&amp;HOUR(Sync!$AH1257),2)&amp;RIGHT("00"&amp;MINUTE(Sync!$AH1257),2),IFERROR(RIGHT("00"&amp;VALUE(LEFT(Sync!$AH1257,FIND(":",Sync!$AH1257)-1)),2)&amp;RIGHT("00"&amp;VALUE(MID(Sync!$AH1257,FIND(":",Sync!$AH1257)+1,2)),2),"0000"))))</f>
        <v/>
      </c>
    </row>
    <row r="1258">
      <c r="A1258">
        <f>IF(OR(Calc!$E1261="",Calc!$E1261="نامعتبر",Calc!$G1261="",Calc!$I1261&lt;&gt;"خرید"),"",Calc!$G1261)</f>
        <v/>
      </c>
      <c r="B1258">
        <f>IF($A1258="","",LEFT(Calc!$E1261,4)&amp;MID(Calc!$E1261,6,2)&amp;RIGHT(Calc!$E1261,2)&amp;Calc!$R1261&amp;"|"&amp;"1"&amp;RIGHT("00000"&amp;1253,5))</f>
        <v/>
      </c>
      <c r="C1258">
        <f>IF($B1258="","",COUNTIFS(LdgPartyA,$A1258,LdgKeyA,"&lt;"&amp;$B1258)+COUNTIFS(LdgPartyB,$A1258,LdgKeyB,"&lt;"&amp;$B1258)+1)</f>
        <v/>
      </c>
      <c r="D1258">
        <f>IF($C1258="","",$A1258&amp;"|"&amp;RIGHT("000000"&amp;$C1258,6))</f>
        <v/>
      </c>
      <c r="F1258">
        <f>IF(Sync!$AJ1258="","",Sync!$AJ1258)</f>
        <v/>
      </c>
      <c r="G1258">
        <f>IF($F1258="","",IF(Sync!$AG1258="","",IF(ISNUMBER(Sync!$AG1258),IF(AND(Sync!$AG1258&gt;=10000101,Sync!$AG1258&lt;=99991231),INT(Sync!$AG1258/10000),""),IFERROR(VALUE(TRIM(LEFT(Sync!$AG1258,FIND("/",Sync!$AG1258)-1))),""))))</f>
        <v/>
      </c>
      <c r="H1258">
        <f>IF(OR($F1258="",$G1258=""),"",IF(ISNUMBER(Sync!$AG1258),INT(MOD(Sync!$AG1258,10000)/100),IFERROR(VALUE(TRIM(LEFT(MID(Sync!$AG1258,FIND("/",Sync!$AG1258)+1,20),FIND("/",MID(Sync!$AG1258,FIND("/",Sync!$AG1258)+1,20))-1))),"")))</f>
        <v/>
      </c>
      <c r="I1258">
        <f>IF(OR($F1258="",$G1258=""),"",IF(ISNUMBER(Sync!$AG1258),MOD(Sync!$AG1258,100),IFERROR(VALUE(TRIM(MID(MID(Sync!$AG1258,FIND("/",Sync!$AG1258)+1,20),FIND("/",MID(Sync!$AG1258,FIND("/",Sync!$AG1258)+1,20))+1,20))),"")))</f>
        <v/>
      </c>
      <c r="J1258">
        <f>IF($F1258="","",IF(OR($G1258="",$H1258="",$I1258="",$G1258&lt;1300,$G1258&gt;1500,$H1258&lt;1,$H1258&gt;12,$I1258&lt;1,$I1258&gt;31),"نامعتبر",RIGHT("0000"&amp;$G1258,4)&amp;"/"&amp;RIGHT("00"&amp;$H1258,2)&amp;"/"&amp;RIGHT("00"&amp;$I1258,2)))</f>
        <v/>
      </c>
      <c r="K1258">
        <f>IF(OR($F1258="",$J1258="",$J1258="نامعتبر"),"",LEFT($J1258,4)&amp;MID($J1258,6,2)&amp;RIGHT($J1258,2)&amp;$N1258&amp;"|"&amp;"2"&amp;RIGHT("00000"&amp;1253,5))</f>
        <v/>
      </c>
      <c r="L1258">
        <f>IF($K1258="","",COUNTIFS(LdgPartyA,$F1258,LdgKeyA,"&lt;"&amp;$K1258)+COUNTIFS(LdgPartyB,$F1258,LdgKeyB,"&lt;"&amp;$K1258)+1)</f>
        <v/>
      </c>
      <c r="M1258">
        <f>IF($L1258="","",$F1258&amp;"|"&amp;RIGHT("000000"&amp;$L1258,6))</f>
        <v/>
      </c>
      <c r="N1258">
        <f>IF($F1258="","",IF(Sync!$AH1258="","0000",IF(AND(ISNUMBER(Sync!$AH1258),Sync!$AH1258&gt;=0,Sync!$AH1258&lt;1),RIGHT("00"&amp;HOUR(Sync!$AH1258),2)&amp;RIGHT("00"&amp;MINUTE(Sync!$AH1258),2),IFERROR(RIGHT("00"&amp;VALUE(LEFT(Sync!$AH1258,FIND(":",Sync!$AH1258)-1)),2)&amp;RIGHT("00"&amp;VALUE(MID(Sync!$AH1258,FIND(":",Sync!$AH1258)+1,2)),2),"0000"))))</f>
        <v/>
      </c>
    </row>
    <row r="1259">
      <c r="A1259">
        <f>IF(OR(Calc!$E1262="",Calc!$E1262="نامعتبر",Calc!$G1262="",Calc!$I1262&lt;&gt;"خرید"),"",Calc!$G1262)</f>
        <v/>
      </c>
      <c r="B1259">
        <f>IF($A1259="","",LEFT(Calc!$E1262,4)&amp;MID(Calc!$E1262,6,2)&amp;RIGHT(Calc!$E1262,2)&amp;Calc!$R1262&amp;"|"&amp;"1"&amp;RIGHT("00000"&amp;1254,5))</f>
        <v/>
      </c>
      <c r="C1259">
        <f>IF($B1259="","",COUNTIFS(LdgPartyA,$A1259,LdgKeyA,"&lt;"&amp;$B1259)+COUNTIFS(LdgPartyB,$A1259,LdgKeyB,"&lt;"&amp;$B1259)+1)</f>
        <v/>
      </c>
      <c r="D1259">
        <f>IF($C1259="","",$A1259&amp;"|"&amp;RIGHT("000000"&amp;$C1259,6))</f>
        <v/>
      </c>
      <c r="F1259">
        <f>IF(Sync!$AJ1259="","",Sync!$AJ1259)</f>
        <v/>
      </c>
      <c r="G1259">
        <f>IF($F1259="","",IF(Sync!$AG1259="","",IF(ISNUMBER(Sync!$AG1259),IF(AND(Sync!$AG1259&gt;=10000101,Sync!$AG1259&lt;=99991231),INT(Sync!$AG1259/10000),""),IFERROR(VALUE(TRIM(LEFT(Sync!$AG1259,FIND("/",Sync!$AG1259)-1))),""))))</f>
        <v/>
      </c>
      <c r="H1259">
        <f>IF(OR($F1259="",$G1259=""),"",IF(ISNUMBER(Sync!$AG1259),INT(MOD(Sync!$AG1259,10000)/100),IFERROR(VALUE(TRIM(LEFT(MID(Sync!$AG1259,FIND("/",Sync!$AG1259)+1,20),FIND("/",MID(Sync!$AG1259,FIND("/",Sync!$AG1259)+1,20))-1))),"")))</f>
        <v/>
      </c>
      <c r="I1259">
        <f>IF(OR($F1259="",$G1259=""),"",IF(ISNUMBER(Sync!$AG1259),MOD(Sync!$AG1259,100),IFERROR(VALUE(TRIM(MID(MID(Sync!$AG1259,FIND("/",Sync!$AG1259)+1,20),FIND("/",MID(Sync!$AG1259,FIND("/",Sync!$AG1259)+1,20))+1,20))),"")))</f>
        <v/>
      </c>
      <c r="J1259">
        <f>IF($F1259="","",IF(OR($G1259="",$H1259="",$I1259="",$G1259&lt;1300,$G1259&gt;1500,$H1259&lt;1,$H1259&gt;12,$I1259&lt;1,$I1259&gt;31),"نامعتبر",RIGHT("0000"&amp;$G1259,4)&amp;"/"&amp;RIGHT("00"&amp;$H1259,2)&amp;"/"&amp;RIGHT("00"&amp;$I1259,2)))</f>
        <v/>
      </c>
      <c r="K1259">
        <f>IF(OR($F1259="",$J1259="",$J1259="نامعتبر"),"",LEFT($J1259,4)&amp;MID($J1259,6,2)&amp;RIGHT($J1259,2)&amp;$N1259&amp;"|"&amp;"2"&amp;RIGHT("00000"&amp;1254,5))</f>
        <v/>
      </c>
      <c r="L1259">
        <f>IF($K1259="","",COUNTIFS(LdgPartyA,$F1259,LdgKeyA,"&lt;"&amp;$K1259)+COUNTIFS(LdgPartyB,$F1259,LdgKeyB,"&lt;"&amp;$K1259)+1)</f>
        <v/>
      </c>
      <c r="M1259">
        <f>IF($L1259="","",$F1259&amp;"|"&amp;RIGHT("000000"&amp;$L1259,6))</f>
        <v/>
      </c>
      <c r="N1259">
        <f>IF($F1259="","",IF(Sync!$AH1259="","0000",IF(AND(ISNUMBER(Sync!$AH1259),Sync!$AH1259&gt;=0,Sync!$AH1259&lt;1),RIGHT("00"&amp;HOUR(Sync!$AH1259),2)&amp;RIGHT("00"&amp;MINUTE(Sync!$AH1259),2),IFERROR(RIGHT("00"&amp;VALUE(LEFT(Sync!$AH1259,FIND(":",Sync!$AH1259)-1)),2)&amp;RIGHT("00"&amp;VALUE(MID(Sync!$AH1259,FIND(":",Sync!$AH1259)+1,2)),2),"0000"))))</f>
        <v/>
      </c>
    </row>
    <row r="1260">
      <c r="A1260">
        <f>IF(OR(Calc!$E1263="",Calc!$E1263="نامعتبر",Calc!$G1263="",Calc!$I1263&lt;&gt;"خرید"),"",Calc!$G1263)</f>
        <v/>
      </c>
      <c r="B1260">
        <f>IF($A1260="","",LEFT(Calc!$E1263,4)&amp;MID(Calc!$E1263,6,2)&amp;RIGHT(Calc!$E1263,2)&amp;Calc!$R1263&amp;"|"&amp;"1"&amp;RIGHT("00000"&amp;1255,5))</f>
        <v/>
      </c>
      <c r="C1260">
        <f>IF($B1260="","",COUNTIFS(LdgPartyA,$A1260,LdgKeyA,"&lt;"&amp;$B1260)+COUNTIFS(LdgPartyB,$A1260,LdgKeyB,"&lt;"&amp;$B1260)+1)</f>
        <v/>
      </c>
      <c r="D1260">
        <f>IF($C1260="","",$A1260&amp;"|"&amp;RIGHT("000000"&amp;$C1260,6))</f>
        <v/>
      </c>
      <c r="F1260">
        <f>IF(Sync!$AJ1260="","",Sync!$AJ1260)</f>
        <v/>
      </c>
      <c r="G1260">
        <f>IF($F1260="","",IF(Sync!$AG1260="","",IF(ISNUMBER(Sync!$AG1260),IF(AND(Sync!$AG1260&gt;=10000101,Sync!$AG1260&lt;=99991231),INT(Sync!$AG1260/10000),""),IFERROR(VALUE(TRIM(LEFT(Sync!$AG1260,FIND("/",Sync!$AG1260)-1))),""))))</f>
        <v/>
      </c>
      <c r="H1260">
        <f>IF(OR($F1260="",$G1260=""),"",IF(ISNUMBER(Sync!$AG1260),INT(MOD(Sync!$AG1260,10000)/100),IFERROR(VALUE(TRIM(LEFT(MID(Sync!$AG1260,FIND("/",Sync!$AG1260)+1,20),FIND("/",MID(Sync!$AG1260,FIND("/",Sync!$AG1260)+1,20))-1))),"")))</f>
        <v/>
      </c>
      <c r="I1260">
        <f>IF(OR($F1260="",$G1260=""),"",IF(ISNUMBER(Sync!$AG1260),MOD(Sync!$AG1260,100),IFERROR(VALUE(TRIM(MID(MID(Sync!$AG1260,FIND("/",Sync!$AG1260)+1,20),FIND("/",MID(Sync!$AG1260,FIND("/",Sync!$AG1260)+1,20))+1,20))),"")))</f>
        <v/>
      </c>
      <c r="J1260">
        <f>IF($F1260="","",IF(OR($G1260="",$H1260="",$I1260="",$G1260&lt;1300,$G1260&gt;1500,$H1260&lt;1,$H1260&gt;12,$I1260&lt;1,$I1260&gt;31),"نامعتبر",RIGHT("0000"&amp;$G1260,4)&amp;"/"&amp;RIGHT("00"&amp;$H1260,2)&amp;"/"&amp;RIGHT("00"&amp;$I1260,2)))</f>
        <v/>
      </c>
      <c r="K1260">
        <f>IF(OR($F1260="",$J1260="",$J1260="نامعتبر"),"",LEFT($J1260,4)&amp;MID($J1260,6,2)&amp;RIGHT($J1260,2)&amp;$N1260&amp;"|"&amp;"2"&amp;RIGHT("00000"&amp;1255,5))</f>
        <v/>
      </c>
      <c r="L1260">
        <f>IF($K1260="","",COUNTIFS(LdgPartyA,$F1260,LdgKeyA,"&lt;"&amp;$K1260)+COUNTIFS(LdgPartyB,$F1260,LdgKeyB,"&lt;"&amp;$K1260)+1)</f>
        <v/>
      </c>
      <c r="M1260">
        <f>IF($L1260="","",$F1260&amp;"|"&amp;RIGHT("000000"&amp;$L1260,6))</f>
        <v/>
      </c>
      <c r="N1260">
        <f>IF($F1260="","",IF(Sync!$AH1260="","0000",IF(AND(ISNUMBER(Sync!$AH1260),Sync!$AH1260&gt;=0,Sync!$AH1260&lt;1),RIGHT("00"&amp;HOUR(Sync!$AH1260),2)&amp;RIGHT("00"&amp;MINUTE(Sync!$AH1260),2),IFERROR(RIGHT("00"&amp;VALUE(LEFT(Sync!$AH1260,FIND(":",Sync!$AH1260)-1)),2)&amp;RIGHT("00"&amp;VALUE(MID(Sync!$AH1260,FIND(":",Sync!$AH1260)+1,2)),2),"0000"))))</f>
        <v/>
      </c>
    </row>
    <row r="1261">
      <c r="A1261">
        <f>IF(OR(Calc!$E1264="",Calc!$E1264="نامعتبر",Calc!$G1264="",Calc!$I1264&lt;&gt;"خرید"),"",Calc!$G1264)</f>
        <v/>
      </c>
      <c r="B1261">
        <f>IF($A1261="","",LEFT(Calc!$E1264,4)&amp;MID(Calc!$E1264,6,2)&amp;RIGHT(Calc!$E1264,2)&amp;Calc!$R1264&amp;"|"&amp;"1"&amp;RIGHT("00000"&amp;1256,5))</f>
        <v/>
      </c>
      <c r="C1261">
        <f>IF($B1261="","",COUNTIFS(LdgPartyA,$A1261,LdgKeyA,"&lt;"&amp;$B1261)+COUNTIFS(LdgPartyB,$A1261,LdgKeyB,"&lt;"&amp;$B1261)+1)</f>
        <v/>
      </c>
      <c r="D1261">
        <f>IF($C1261="","",$A1261&amp;"|"&amp;RIGHT("000000"&amp;$C1261,6))</f>
        <v/>
      </c>
      <c r="F1261">
        <f>IF(Sync!$AJ1261="","",Sync!$AJ1261)</f>
        <v/>
      </c>
      <c r="G1261">
        <f>IF($F1261="","",IF(Sync!$AG1261="","",IF(ISNUMBER(Sync!$AG1261),IF(AND(Sync!$AG1261&gt;=10000101,Sync!$AG1261&lt;=99991231),INT(Sync!$AG1261/10000),""),IFERROR(VALUE(TRIM(LEFT(Sync!$AG1261,FIND("/",Sync!$AG1261)-1))),""))))</f>
        <v/>
      </c>
      <c r="H1261">
        <f>IF(OR($F1261="",$G1261=""),"",IF(ISNUMBER(Sync!$AG1261),INT(MOD(Sync!$AG1261,10000)/100),IFERROR(VALUE(TRIM(LEFT(MID(Sync!$AG1261,FIND("/",Sync!$AG1261)+1,20),FIND("/",MID(Sync!$AG1261,FIND("/",Sync!$AG1261)+1,20))-1))),"")))</f>
        <v/>
      </c>
      <c r="I1261">
        <f>IF(OR($F1261="",$G1261=""),"",IF(ISNUMBER(Sync!$AG1261),MOD(Sync!$AG1261,100),IFERROR(VALUE(TRIM(MID(MID(Sync!$AG1261,FIND("/",Sync!$AG1261)+1,20),FIND("/",MID(Sync!$AG1261,FIND("/",Sync!$AG1261)+1,20))+1,20))),"")))</f>
        <v/>
      </c>
      <c r="J1261">
        <f>IF($F1261="","",IF(OR($G1261="",$H1261="",$I1261="",$G1261&lt;1300,$G1261&gt;1500,$H1261&lt;1,$H1261&gt;12,$I1261&lt;1,$I1261&gt;31),"نامعتبر",RIGHT("0000"&amp;$G1261,4)&amp;"/"&amp;RIGHT("00"&amp;$H1261,2)&amp;"/"&amp;RIGHT("00"&amp;$I1261,2)))</f>
        <v/>
      </c>
      <c r="K1261">
        <f>IF(OR($F1261="",$J1261="",$J1261="نامعتبر"),"",LEFT($J1261,4)&amp;MID($J1261,6,2)&amp;RIGHT($J1261,2)&amp;$N1261&amp;"|"&amp;"2"&amp;RIGHT("00000"&amp;1256,5))</f>
        <v/>
      </c>
      <c r="L1261">
        <f>IF($K1261="","",COUNTIFS(LdgPartyA,$F1261,LdgKeyA,"&lt;"&amp;$K1261)+COUNTIFS(LdgPartyB,$F1261,LdgKeyB,"&lt;"&amp;$K1261)+1)</f>
        <v/>
      </c>
      <c r="M1261">
        <f>IF($L1261="","",$F1261&amp;"|"&amp;RIGHT("000000"&amp;$L1261,6))</f>
        <v/>
      </c>
      <c r="N1261">
        <f>IF($F1261="","",IF(Sync!$AH1261="","0000",IF(AND(ISNUMBER(Sync!$AH1261),Sync!$AH1261&gt;=0,Sync!$AH1261&lt;1),RIGHT("00"&amp;HOUR(Sync!$AH1261),2)&amp;RIGHT("00"&amp;MINUTE(Sync!$AH1261),2),IFERROR(RIGHT("00"&amp;VALUE(LEFT(Sync!$AH1261,FIND(":",Sync!$AH1261)-1)),2)&amp;RIGHT("00"&amp;VALUE(MID(Sync!$AH1261,FIND(":",Sync!$AH1261)+1,2)),2),"0000"))))</f>
        <v/>
      </c>
    </row>
    <row r="1262">
      <c r="A1262">
        <f>IF(OR(Calc!$E1265="",Calc!$E1265="نامعتبر",Calc!$G1265="",Calc!$I1265&lt;&gt;"خرید"),"",Calc!$G1265)</f>
        <v/>
      </c>
      <c r="B1262">
        <f>IF($A1262="","",LEFT(Calc!$E1265,4)&amp;MID(Calc!$E1265,6,2)&amp;RIGHT(Calc!$E1265,2)&amp;Calc!$R1265&amp;"|"&amp;"1"&amp;RIGHT("00000"&amp;1257,5))</f>
        <v/>
      </c>
      <c r="C1262">
        <f>IF($B1262="","",COUNTIFS(LdgPartyA,$A1262,LdgKeyA,"&lt;"&amp;$B1262)+COUNTIFS(LdgPartyB,$A1262,LdgKeyB,"&lt;"&amp;$B1262)+1)</f>
        <v/>
      </c>
      <c r="D1262">
        <f>IF($C1262="","",$A1262&amp;"|"&amp;RIGHT("000000"&amp;$C1262,6))</f>
        <v/>
      </c>
      <c r="F1262">
        <f>IF(Sync!$AJ1262="","",Sync!$AJ1262)</f>
        <v/>
      </c>
      <c r="G1262">
        <f>IF($F1262="","",IF(Sync!$AG1262="","",IF(ISNUMBER(Sync!$AG1262),IF(AND(Sync!$AG1262&gt;=10000101,Sync!$AG1262&lt;=99991231),INT(Sync!$AG1262/10000),""),IFERROR(VALUE(TRIM(LEFT(Sync!$AG1262,FIND("/",Sync!$AG1262)-1))),""))))</f>
        <v/>
      </c>
      <c r="H1262">
        <f>IF(OR($F1262="",$G1262=""),"",IF(ISNUMBER(Sync!$AG1262),INT(MOD(Sync!$AG1262,10000)/100),IFERROR(VALUE(TRIM(LEFT(MID(Sync!$AG1262,FIND("/",Sync!$AG1262)+1,20),FIND("/",MID(Sync!$AG1262,FIND("/",Sync!$AG1262)+1,20))-1))),"")))</f>
        <v/>
      </c>
      <c r="I1262">
        <f>IF(OR($F1262="",$G1262=""),"",IF(ISNUMBER(Sync!$AG1262),MOD(Sync!$AG1262,100),IFERROR(VALUE(TRIM(MID(MID(Sync!$AG1262,FIND("/",Sync!$AG1262)+1,20),FIND("/",MID(Sync!$AG1262,FIND("/",Sync!$AG1262)+1,20))+1,20))),"")))</f>
        <v/>
      </c>
      <c r="J1262">
        <f>IF($F1262="","",IF(OR($G1262="",$H1262="",$I1262="",$G1262&lt;1300,$G1262&gt;1500,$H1262&lt;1,$H1262&gt;12,$I1262&lt;1,$I1262&gt;31),"نامعتبر",RIGHT("0000"&amp;$G1262,4)&amp;"/"&amp;RIGHT("00"&amp;$H1262,2)&amp;"/"&amp;RIGHT("00"&amp;$I1262,2)))</f>
        <v/>
      </c>
      <c r="K1262">
        <f>IF(OR($F1262="",$J1262="",$J1262="نامعتبر"),"",LEFT($J1262,4)&amp;MID($J1262,6,2)&amp;RIGHT($J1262,2)&amp;$N1262&amp;"|"&amp;"2"&amp;RIGHT("00000"&amp;1257,5))</f>
        <v/>
      </c>
      <c r="L1262">
        <f>IF($K1262="","",COUNTIFS(LdgPartyA,$F1262,LdgKeyA,"&lt;"&amp;$K1262)+COUNTIFS(LdgPartyB,$F1262,LdgKeyB,"&lt;"&amp;$K1262)+1)</f>
        <v/>
      </c>
      <c r="M1262">
        <f>IF($L1262="","",$F1262&amp;"|"&amp;RIGHT("000000"&amp;$L1262,6))</f>
        <v/>
      </c>
      <c r="N1262">
        <f>IF($F1262="","",IF(Sync!$AH1262="","0000",IF(AND(ISNUMBER(Sync!$AH1262),Sync!$AH1262&gt;=0,Sync!$AH1262&lt;1),RIGHT("00"&amp;HOUR(Sync!$AH1262),2)&amp;RIGHT("00"&amp;MINUTE(Sync!$AH1262),2),IFERROR(RIGHT("00"&amp;VALUE(LEFT(Sync!$AH1262,FIND(":",Sync!$AH1262)-1)),2)&amp;RIGHT("00"&amp;VALUE(MID(Sync!$AH1262,FIND(":",Sync!$AH1262)+1,2)),2),"0000"))))</f>
        <v/>
      </c>
    </row>
    <row r="1263">
      <c r="A1263">
        <f>IF(OR(Calc!$E1266="",Calc!$E1266="نامعتبر",Calc!$G1266="",Calc!$I1266&lt;&gt;"خرید"),"",Calc!$G1266)</f>
        <v/>
      </c>
      <c r="B1263">
        <f>IF($A1263="","",LEFT(Calc!$E1266,4)&amp;MID(Calc!$E1266,6,2)&amp;RIGHT(Calc!$E1266,2)&amp;Calc!$R1266&amp;"|"&amp;"1"&amp;RIGHT("00000"&amp;1258,5))</f>
        <v/>
      </c>
      <c r="C1263">
        <f>IF($B1263="","",COUNTIFS(LdgPartyA,$A1263,LdgKeyA,"&lt;"&amp;$B1263)+COUNTIFS(LdgPartyB,$A1263,LdgKeyB,"&lt;"&amp;$B1263)+1)</f>
        <v/>
      </c>
      <c r="D1263">
        <f>IF($C1263="","",$A1263&amp;"|"&amp;RIGHT("000000"&amp;$C1263,6))</f>
        <v/>
      </c>
      <c r="F1263">
        <f>IF(Sync!$AJ1263="","",Sync!$AJ1263)</f>
        <v/>
      </c>
      <c r="G1263">
        <f>IF($F1263="","",IF(Sync!$AG1263="","",IF(ISNUMBER(Sync!$AG1263),IF(AND(Sync!$AG1263&gt;=10000101,Sync!$AG1263&lt;=99991231),INT(Sync!$AG1263/10000),""),IFERROR(VALUE(TRIM(LEFT(Sync!$AG1263,FIND("/",Sync!$AG1263)-1))),""))))</f>
        <v/>
      </c>
      <c r="H1263">
        <f>IF(OR($F1263="",$G1263=""),"",IF(ISNUMBER(Sync!$AG1263),INT(MOD(Sync!$AG1263,10000)/100),IFERROR(VALUE(TRIM(LEFT(MID(Sync!$AG1263,FIND("/",Sync!$AG1263)+1,20),FIND("/",MID(Sync!$AG1263,FIND("/",Sync!$AG1263)+1,20))-1))),"")))</f>
        <v/>
      </c>
      <c r="I1263">
        <f>IF(OR($F1263="",$G1263=""),"",IF(ISNUMBER(Sync!$AG1263),MOD(Sync!$AG1263,100),IFERROR(VALUE(TRIM(MID(MID(Sync!$AG1263,FIND("/",Sync!$AG1263)+1,20),FIND("/",MID(Sync!$AG1263,FIND("/",Sync!$AG1263)+1,20))+1,20))),"")))</f>
        <v/>
      </c>
      <c r="J1263">
        <f>IF($F1263="","",IF(OR($G1263="",$H1263="",$I1263="",$G1263&lt;1300,$G1263&gt;1500,$H1263&lt;1,$H1263&gt;12,$I1263&lt;1,$I1263&gt;31),"نامعتبر",RIGHT("0000"&amp;$G1263,4)&amp;"/"&amp;RIGHT("00"&amp;$H1263,2)&amp;"/"&amp;RIGHT("00"&amp;$I1263,2)))</f>
        <v/>
      </c>
      <c r="K1263">
        <f>IF(OR($F1263="",$J1263="",$J1263="نامعتبر"),"",LEFT($J1263,4)&amp;MID($J1263,6,2)&amp;RIGHT($J1263,2)&amp;$N1263&amp;"|"&amp;"2"&amp;RIGHT("00000"&amp;1258,5))</f>
        <v/>
      </c>
      <c r="L1263">
        <f>IF($K1263="","",COUNTIFS(LdgPartyA,$F1263,LdgKeyA,"&lt;"&amp;$K1263)+COUNTIFS(LdgPartyB,$F1263,LdgKeyB,"&lt;"&amp;$K1263)+1)</f>
        <v/>
      </c>
      <c r="M1263">
        <f>IF($L1263="","",$F1263&amp;"|"&amp;RIGHT("000000"&amp;$L1263,6))</f>
        <v/>
      </c>
      <c r="N1263">
        <f>IF($F1263="","",IF(Sync!$AH1263="","0000",IF(AND(ISNUMBER(Sync!$AH1263),Sync!$AH1263&gt;=0,Sync!$AH1263&lt;1),RIGHT("00"&amp;HOUR(Sync!$AH1263),2)&amp;RIGHT("00"&amp;MINUTE(Sync!$AH1263),2),IFERROR(RIGHT("00"&amp;VALUE(LEFT(Sync!$AH1263,FIND(":",Sync!$AH1263)-1)),2)&amp;RIGHT("00"&amp;VALUE(MID(Sync!$AH1263,FIND(":",Sync!$AH1263)+1,2)),2),"0000"))))</f>
        <v/>
      </c>
    </row>
    <row r="1264">
      <c r="A1264">
        <f>IF(OR(Calc!$E1267="",Calc!$E1267="نامعتبر",Calc!$G1267="",Calc!$I1267&lt;&gt;"خرید"),"",Calc!$G1267)</f>
        <v/>
      </c>
      <c r="B1264">
        <f>IF($A1264="","",LEFT(Calc!$E1267,4)&amp;MID(Calc!$E1267,6,2)&amp;RIGHT(Calc!$E1267,2)&amp;Calc!$R1267&amp;"|"&amp;"1"&amp;RIGHT("00000"&amp;1259,5))</f>
        <v/>
      </c>
      <c r="C1264">
        <f>IF($B1264="","",COUNTIFS(LdgPartyA,$A1264,LdgKeyA,"&lt;"&amp;$B1264)+COUNTIFS(LdgPartyB,$A1264,LdgKeyB,"&lt;"&amp;$B1264)+1)</f>
        <v/>
      </c>
      <c r="D1264">
        <f>IF($C1264="","",$A1264&amp;"|"&amp;RIGHT("000000"&amp;$C1264,6))</f>
        <v/>
      </c>
      <c r="F1264">
        <f>IF(Sync!$AJ1264="","",Sync!$AJ1264)</f>
        <v/>
      </c>
      <c r="G1264">
        <f>IF($F1264="","",IF(Sync!$AG1264="","",IF(ISNUMBER(Sync!$AG1264),IF(AND(Sync!$AG1264&gt;=10000101,Sync!$AG1264&lt;=99991231),INT(Sync!$AG1264/10000),""),IFERROR(VALUE(TRIM(LEFT(Sync!$AG1264,FIND("/",Sync!$AG1264)-1))),""))))</f>
        <v/>
      </c>
      <c r="H1264">
        <f>IF(OR($F1264="",$G1264=""),"",IF(ISNUMBER(Sync!$AG1264),INT(MOD(Sync!$AG1264,10000)/100),IFERROR(VALUE(TRIM(LEFT(MID(Sync!$AG1264,FIND("/",Sync!$AG1264)+1,20),FIND("/",MID(Sync!$AG1264,FIND("/",Sync!$AG1264)+1,20))-1))),"")))</f>
        <v/>
      </c>
      <c r="I1264">
        <f>IF(OR($F1264="",$G1264=""),"",IF(ISNUMBER(Sync!$AG1264),MOD(Sync!$AG1264,100),IFERROR(VALUE(TRIM(MID(MID(Sync!$AG1264,FIND("/",Sync!$AG1264)+1,20),FIND("/",MID(Sync!$AG1264,FIND("/",Sync!$AG1264)+1,20))+1,20))),"")))</f>
        <v/>
      </c>
      <c r="J1264">
        <f>IF($F1264="","",IF(OR($G1264="",$H1264="",$I1264="",$G1264&lt;1300,$G1264&gt;1500,$H1264&lt;1,$H1264&gt;12,$I1264&lt;1,$I1264&gt;31),"نامعتبر",RIGHT("0000"&amp;$G1264,4)&amp;"/"&amp;RIGHT("00"&amp;$H1264,2)&amp;"/"&amp;RIGHT("00"&amp;$I1264,2)))</f>
        <v/>
      </c>
      <c r="K1264">
        <f>IF(OR($F1264="",$J1264="",$J1264="نامعتبر"),"",LEFT($J1264,4)&amp;MID($J1264,6,2)&amp;RIGHT($J1264,2)&amp;$N1264&amp;"|"&amp;"2"&amp;RIGHT("00000"&amp;1259,5))</f>
        <v/>
      </c>
      <c r="L1264">
        <f>IF($K1264="","",COUNTIFS(LdgPartyA,$F1264,LdgKeyA,"&lt;"&amp;$K1264)+COUNTIFS(LdgPartyB,$F1264,LdgKeyB,"&lt;"&amp;$K1264)+1)</f>
        <v/>
      </c>
      <c r="M1264">
        <f>IF($L1264="","",$F1264&amp;"|"&amp;RIGHT("000000"&amp;$L1264,6))</f>
        <v/>
      </c>
      <c r="N1264">
        <f>IF($F1264="","",IF(Sync!$AH1264="","0000",IF(AND(ISNUMBER(Sync!$AH1264),Sync!$AH1264&gt;=0,Sync!$AH1264&lt;1),RIGHT("00"&amp;HOUR(Sync!$AH1264),2)&amp;RIGHT("00"&amp;MINUTE(Sync!$AH1264),2),IFERROR(RIGHT("00"&amp;VALUE(LEFT(Sync!$AH1264,FIND(":",Sync!$AH1264)-1)),2)&amp;RIGHT("00"&amp;VALUE(MID(Sync!$AH1264,FIND(":",Sync!$AH1264)+1,2)),2),"0000"))))</f>
        <v/>
      </c>
    </row>
    <row r="1265">
      <c r="A1265">
        <f>IF(OR(Calc!$E1268="",Calc!$E1268="نامعتبر",Calc!$G1268="",Calc!$I1268&lt;&gt;"خرید"),"",Calc!$G1268)</f>
        <v/>
      </c>
      <c r="B1265">
        <f>IF($A1265="","",LEFT(Calc!$E1268,4)&amp;MID(Calc!$E1268,6,2)&amp;RIGHT(Calc!$E1268,2)&amp;Calc!$R1268&amp;"|"&amp;"1"&amp;RIGHT("00000"&amp;1260,5))</f>
        <v/>
      </c>
      <c r="C1265">
        <f>IF($B1265="","",COUNTIFS(LdgPartyA,$A1265,LdgKeyA,"&lt;"&amp;$B1265)+COUNTIFS(LdgPartyB,$A1265,LdgKeyB,"&lt;"&amp;$B1265)+1)</f>
        <v/>
      </c>
      <c r="D1265">
        <f>IF($C1265="","",$A1265&amp;"|"&amp;RIGHT("000000"&amp;$C1265,6))</f>
        <v/>
      </c>
      <c r="F1265">
        <f>IF(Sync!$AJ1265="","",Sync!$AJ1265)</f>
        <v/>
      </c>
      <c r="G1265">
        <f>IF($F1265="","",IF(Sync!$AG1265="","",IF(ISNUMBER(Sync!$AG1265),IF(AND(Sync!$AG1265&gt;=10000101,Sync!$AG1265&lt;=99991231),INT(Sync!$AG1265/10000),""),IFERROR(VALUE(TRIM(LEFT(Sync!$AG1265,FIND("/",Sync!$AG1265)-1))),""))))</f>
        <v/>
      </c>
      <c r="H1265">
        <f>IF(OR($F1265="",$G1265=""),"",IF(ISNUMBER(Sync!$AG1265),INT(MOD(Sync!$AG1265,10000)/100),IFERROR(VALUE(TRIM(LEFT(MID(Sync!$AG1265,FIND("/",Sync!$AG1265)+1,20),FIND("/",MID(Sync!$AG1265,FIND("/",Sync!$AG1265)+1,20))-1))),"")))</f>
        <v/>
      </c>
      <c r="I1265">
        <f>IF(OR($F1265="",$G1265=""),"",IF(ISNUMBER(Sync!$AG1265),MOD(Sync!$AG1265,100),IFERROR(VALUE(TRIM(MID(MID(Sync!$AG1265,FIND("/",Sync!$AG1265)+1,20),FIND("/",MID(Sync!$AG1265,FIND("/",Sync!$AG1265)+1,20))+1,20))),"")))</f>
        <v/>
      </c>
      <c r="J1265">
        <f>IF($F1265="","",IF(OR($G1265="",$H1265="",$I1265="",$G1265&lt;1300,$G1265&gt;1500,$H1265&lt;1,$H1265&gt;12,$I1265&lt;1,$I1265&gt;31),"نامعتبر",RIGHT("0000"&amp;$G1265,4)&amp;"/"&amp;RIGHT("00"&amp;$H1265,2)&amp;"/"&amp;RIGHT("00"&amp;$I1265,2)))</f>
        <v/>
      </c>
      <c r="K1265">
        <f>IF(OR($F1265="",$J1265="",$J1265="نامعتبر"),"",LEFT($J1265,4)&amp;MID($J1265,6,2)&amp;RIGHT($J1265,2)&amp;$N1265&amp;"|"&amp;"2"&amp;RIGHT("00000"&amp;1260,5))</f>
        <v/>
      </c>
      <c r="L1265">
        <f>IF($K1265="","",COUNTIFS(LdgPartyA,$F1265,LdgKeyA,"&lt;"&amp;$K1265)+COUNTIFS(LdgPartyB,$F1265,LdgKeyB,"&lt;"&amp;$K1265)+1)</f>
        <v/>
      </c>
      <c r="M1265">
        <f>IF($L1265="","",$F1265&amp;"|"&amp;RIGHT("000000"&amp;$L1265,6))</f>
        <v/>
      </c>
      <c r="N1265">
        <f>IF($F1265="","",IF(Sync!$AH1265="","0000",IF(AND(ISNUMBER(Sync!$AH1265),Sync!$AH1265&gt;=0,Sync!$AH1265&lt;1),RIGHT("00"&amp;HOUR(Sync!$AH1265),2)&amp;RIGHT("00"&amp;MINUTE(Sync!$AH1265),2),IFERROR(RIGHT("00"&amp;VALUE(LEFT(Sync!$AH1265,FIND(":",Sync!$AH1265)-1)),2)&amp;RIGHT("00"&amp;VALUE(MID(Sync!$AH1265,FIND(":",Sync!$AH1265)+1,2)),2),"0000"))))</f>
        <v/>
      </c>
    </row>
    <row r="1266">
      <c r="A1266">
        <f>IF(OR(Calc!$E1269="",Calc!$E1269="نامعتبر",Calc!$G1269="",Calc!$I1269&lt;&gt;"خرید"),"",Calc!$G1269)</f>
        <v/>
      </c>
      <c r="B1266">
        <f>IF($A1266="","",LEFT(Calc!$E1269,4)&amp;MID(Calc!$E1269,6,2)&amp;RIGHT(Calc!$E1269,2)&amp;Calc!$R1269&amp;"|"&amp;"1"&amp;RIGHT("00000"&amp;1261,5))</f>
        <v/>
      </c>
      <c r="C1266">
        <f>IF($B1266="","",COUNTIFS(LdgPartyA,$A1266,LdgKeyA,"&lt;"&amp;$B1266)+COUNTIFS(LdgPartyB,$A1266,LdgKeyB,"&lt;"&amp;$B1266)+1)</f>
        <v/>
      </c>
      <c r="D1266">
        <f>IF($C1266="","",$A1266&amp;"|"&amp;RIGHT("000000"&amp;$C1266,6))</f>
        <v/>
      </c>
      <c r="F1266">
        <f>IF(Sync!$AJ1266="","",Sync!$AJ1266)</f>
        <v/>
      </c>
      <c r="G1266">
        <f>IF($F1266="","",IF(Sync!$AG1266="","",IF(ISNUMBER(Sync!$AG1266),IF(AND(Sync!$AG1266&gt;=10000101,Sync!$AG1266&lt;=99991231),INT(Sync!$AG1266/10000),""),IFERROR(VALUE(TRIM(LEFT(Sync!$AG1266,FIND("/",Sync!$AG1266)-1))),""))))</f>
        <v/>
      </c>
      <c r="H1266">
        <f>IF(OR($F1266="",$G1266=""),"",IF(ISNUMBER(Sync!$AG1266),INT(MOD(Sync!$AG1266,10000)/100),IFERROR(VALUE(TRIM(LEFT(MID(Sync!$AG1266,FIND("/",Sync!$AG1266)+1,20),FIND("/",MID(Sync!$AG1266,FIND("/",Sync!$AG1266)+1,20))-1))),"")))</f>
        <v/>
      </c>
      <c r="I1266">
        <f>IF(OR($F1266="",$G1266=""),"",IF(ISNUMBER(Sync!$AG1266),MOD(Sync!$AG1266,100),IFERROR(VALUE(TRIM(MID(MID(Sync!$AG1266,FIND("/",Sync!$AG1266)+1,20),FIND("/",MID(Sync!$AG1266,FIND("/",Sync!$AG1266)+1,20))+1,20))),"")))</f>
        <v/>
      </c>
      <c r="J1266">
        <f>IF($F1266="","",IF(OR($G1266="",$H1266="",$I1266="",$G1266&lt;1300,$G1266&gt;1500,$H1266&lt;1,$H1266&gt;12,$I1266&lt;1,$I1266&gt;31),"نامعتبر",RIGHT("0000"&amp;$G1266,4)&amp;"/"&amp;RIGHT("00"&amp;$H1266,2)&amp;"/"&amp;RIGHT("00"&amp;$I1266,2)))</f>
        <v/>
      </c>
      <c r="K1266">
        <f>IF(OR($F1266="",$J1266="",$J1266="نامعتبر"),"",LEFT($J1266,4)&amp;MID($J1266,6,2)&amp;RIGHT($J1266,2)&amp;$N1266&amp;"|"&amp;"2"&amp;RIGHT("00000"&amp;1261,5))</f>
        <v/>
      </c>
      <c r="L1266">
        <f>IF($K1266="","",COUNTIFS(LdgPartyA,$F1266,LdgKeyA,"&lt;"&amp;$K1266)+COUNTIFS(LdgPartyB,$F1266,LdgKeyB,"&lt;"&amp;$K1266)+1)</f>
        <v/>
      </c>
      <c r="M1266">
        <f>IF($L1266="","",$F1266&amp;"|"&amp;RIGHT("000000"&amp;$L1266,6))</f>
        <v/>
      </c>
      <c r="N1266">
        <f>IF($F1266="","",IF(Sync!$AH1266="","0000",IF(AND(ISNUMBER(Sync!$AH1266),Sync!$AH1266&gt;=0,Sync!$AH1266&lt;1),RIGHT("00"&amp;HOUR(Sync!$AH1266),2)&amp;RIGHT("00"&amp;MINUTE(Sync!$AH1266),2),IFERROR(RIGHT("00"&amp;VALUE(LEFT(Sync!$AH1266,FIND(":",Sync!$AH1266)-1)),2)&amp;RIGHT("00"&amp;VALUE(MID(Sync!$AH1266,FIND(":",Sync!$AH1266)+1,2)),2),"0000"))))</f>
        <v/>
      </c>
    </row>
    <row r="1267">
      <c r="A1267">
        <f>IF(OR(Calc!$E1270="",Calc!$E1270="نامعتبر",Calc!$G1270="",Calc!$I1270&lt;&gt;"خرید"),"",Calc!$G1270)</f>
        <v/>
      </c>
      <c r="B1267">
        <f>IF($A1267="","",LEFT(Calc!$E1270,4)&amp;MID(Calc!$E1270,6,2)&amp;RIGHT(Calc!$E1270,2)&amp;Calc!$R1270&amp;"|"&amp;"1"&amp;RIGHT("00000"&amp;1262,5))</f>
        <v/>
      </c>
      <c r="C1267">
        <f>IF($B1267="","",COUNTIFS(LdgPartyA,$A1267,LdgKeyA,"&lt;"&amp;$B1267)+COUNTIFS(LdgPartyB,$A1267,LdgKeyB,"&lt;"&amp;$B1267)+1)</f>
        <v/>
      </c>
      <c r="D1267">
        <f>IF($C1267="","",$A1267&amp;"|"&amp;RIGHT("000000"&amp;$C1267,6))</f>
        <v/>
      </c>
      <c r="F1267">
        <f>IF(Sync!$AJ1267="","",Sync!$AJ1267)</f>
        <v/>
      </c>
      <c r="G1267">
        <f>IF($F1267="","",IF(Sync!$AG1267="","",IF(ISNUMBER(Sync!$AG1267),IF(AND(Sync!$AG1267&gt;=10000101,Sync!$AG1267&lt;=99991231),INT(Sync!$AG1267/10000),""),IFERROR(VALUE(TRIM(LEFT(Sync!$AG1267,FIND("/",Sync!$AG1267)-1))),""))))</f>
        <v/>
      </c>
      <c r="H1267">
        <f>IF(OR($F1267="",$G1267=""),"",IF(ISNUMBER(Sync!$AG1267),INT(MOD(Sync!$AG1267,10000)/100),IFERROR(VALUE(TRIM(LEFT(MID(Sync!$AG1267,FIND("/",Sync!$AG1267)+1,20),FIND("/",MID(Sync!$AG1267,FIND("/",Sync!$AG1267)+1,20))-1))),"")))</f>
        <v/>
      </c>
      <c r="I1267">
        <f>IF(OR($F1267="",$G1267=""),"",IF(ISNUMBER(Sync!$AG1267),MOD(Sync!$AG1267,100),IFERROR(VALUE(TRIM(MID(MID(Sync!$AG1267,FIND("/",Sync!$AG1267)+1,20),FIND("/",MID(Sync!$AG1267,FIND("/",Sync!$AG1267)+1,20))+1,20))),"")))</f>
        <v/>
      </c>
      <c r="J1267">
        <f>IF($F1267="","",IF(OR($G1267="",$H1267="",$I1267="",$G1267&lt;1300,$G1267&gt;1500,$H1267&lt;1,$H1267&gt;12,$I1267&lt;1,$I1267&gt;31),"نامعتبر",RIGHT("0000"&amp;$G1267,4)&amp;"/"&amp;RIGHT("00"&amp;$H1267,2)&amp;"/"&amp;RIGHT("00"&amp;$I1267,2)))</f>
        <v/>
      </c>
      <c r="K1267">
        <f>IF(OR($F1267="",$J1267="",$J1267="نامعتبر"),"",LEFT($J1267,4)&amp;MID($J1267,6,2)&amp;RIGHT($J1267,2)&amp;$N1267&amp;"|"&amp;"2"&amp;RIGHT("00000"&amp;1262,5))</f>
        <v/>
      </c>
      <c r="L1267">
        <f>IF($K1267="","",COUNTIFS(LdgPartyA,$F1267,LdgKeyA,"&lt;"&amp;$K1267)+COUNTIFS(LdgPartyB,$F1267,LdgKeyB,"&lt;"&amp;$K1267)+1)</f>
        <v/>
      </c>
      <c r="M1267">
        <f>IF($L1267="","",$F1267&amp;"|"&amp;RIGHT("000000"&amp;$L1267,6))</f>
        <v/>
      </c>
      <c r="N1267">
        <f>IF($F1267="","",IF(Sync!$AH1267="","0000",IF(AND(ISNUMBER(Sync!$AH1267),Sync!$AH1267&gt;=0,Sync!$AH1267&lt;1),RIGHT("00"&amp;HOUR(Sync!$AH1267),2)&amp;RIGHT("00"&amp;MINUTE(Sync!$AH1267),2),IFERROR(RIGHT("00"&amp;VALUE(LEFT(Sync!$AH1267,FIND(":",Sync!$AH1267)-1)),2)&amp;RIGHT("00"&amp;VALUE(MID(Sync!$AH1267,FIND(":",Sync!$AH1267)+1,2)),2),"0000"))))</f>
        <v/>
      </c>
    </row>
    <row r="1268">
      <c r="A1268">
        <f>IF(OR(Calc!$E1271="",Calc!$E1271="نامعتبر",Calc!$G1271="",Calc!$I1271&lt;&gt;"خرید"),"",Calc!$G1271)</f>
        <v/>
      </c>
      <c r="B1268">
        <f>IF($A1268="","",LEFT(Calc!$E1271,4)&amp;MID(Calc!$E1271,6,2)&amp;RIGHT(Calc!$E1271,2)&amp;Calc!$R1271&amp;"|"&amp;"1"&amp;RIGHT("00000"&amp;1263,5))</f>
        <v/>
      </c>
      <c r="C1268">
        <f>IF($B1268="","",COUNTIFS(LdgPartyA,$A1268,LdgKeyA,"&lt;"&amp;$B1268)+COUNTIFS(LdgPartyB,$A1268,LdgKeyB,"&lt;"&amp;$B1268)+1)</f>
        <v/>
      </c>
      <c r="D1268">
        <f>IF($C1268="","",$A1268&amp;"|"&amp;RIGHT("000000"&amp;$C1268,6))</f>
        <v/>
      </c>
      <c r="F1268">
        <f>IF(Sync!$AJ1268="","",Sync!$AJ1268)</f>
        <v/>
      </c>
      <c r="G1268">
        <f>IF($F1268="","",IF(Sync!$AG1268="","",IF(ISNUMBER(Sync!$AG1268),IF(AND(Sync!$AG1268&gt;=10000101,Sync!$AG1268&lt;=99991231),INT(Sync!$AG1268/10000),""),IFERROR(VALUE(TRIM(LEFT(Sync!$AG1268,FIND("/",Sync!$AG1268)-1))),""))))</f>
        <v/>
      </c>
      <c r="H1268">
        <f>IF(OR($F1268="",$G1268=""),"",IF(ISNUMBER(Sync!$AG1268),INT(MOD(Sync!$AG1268,10000)/100),IFERROR(VALUE(TRIM(LEFT(MID(Sync!$AG1268,FIND("/",Sync!$AG1268)+1,20),FIND("/",MID(Sync!$AG1268,FIND("/",Sync!$AG1268)+1,20))-1))),"")))</f>
        <v/>
      </c>
      <c r="I1268">
        <f>IF(OR($F1268="",$G1268=""),"",IF(ISNUMBER(Sync!$AG1268),MOD(Sync!$AG1268,100),IFERROR(VALUE(TRIM(MID(MID(Sync!$AG1268,FIND("/",Sync!$AG1268)+1,20),FIND("/",MID(Sync!$AG1268,FIND("/",Sync!$AG1268)+1,20))+1,20))),"")))</f>
        <v/>
      </c>
      <c r="J1268">
        <f>IF($F1268="","",IF(OR($G1268="",$H1268="",$I1268="",$G1268&lt;1300,$G1268&gt;1500,$H1268&lt;1,$H1268&gt;12,$I1268&lt;1,$I1268&gt;31),"نامعتبر",RIGHT("0000"&amp;$G1268,4)&amp;"/"&amp;RIGHT("00"&amp;$H1268,2)&amp;"/"&amp;RIGHT("00"&amp;$I1268,2)))</f>
        <v/>
      </c>
      <c r="K1268">
        <f>IF(OR($F1268="",$J1268="",$J1268="نامعتبر"),"",LEFT($J1268,4)&amp;MID($J1268,6,2)&amp;RIGHT($J1268,2)&amp;$N1268&amp;"|"&amp;"2"&amp;RIGHT("00000"&amp;1263,5))</f>
        <v/>
      </c>
      <c r="L1268">
        <f>IF($K1268="","",COUNTIFS(LdgPartyA,$F1268,LdgKeyA,"&lt;"&amp;$K1268)+COUNTIFS(LdgPartyB,$F1268,LdgKeyB,"&lt;"&amp;$K1268)+1)</f>
        <v/>
      </c>
      <c r="M1268">
        <f>IF($L1268="","",$F1268&amp;"|"&amp;RIGHT("000000"&amp;$L1268,6))</f>
        <v/>
      </c>
      <c r="N1268">
        <f>IF($F1268="","",IF(Sync!$AH1268="","0000",IF(AND(ISNUMBER(Sync!$AH1268),Sync!$AH1268&gt;=0,Sync!$AH1268&lt;1),RIGHT("00"&amp;HOUR(Sync!$AH1268),2)&amp;RIGHT("00"&amp;MINUTE(Sync!$AH1268),2),IFERROR(RIGHT("00"&amp;VALUE(LEFT(Sync!$AH1268,FIND(":",Sync!$AH1268)-1)),2)&amp;RIGHT("00"&amp;VALUE(MID(Sync!$AH1268,FIND(":",Sync!$AH1268)+1,2)),2),"0000"))))</f>
        <v/>
      </c>
    </row>
    <row r="1269">
      <c r="A1269">
        <f>IF(OR(Calc!$E1272="",Calc!$E1272="نامعتبر",Calc!$G1272="",Calc!$I1272&lt;&gt;"خرید"),"",Calc!$G1272)</f>
        <v/>
      </c>
      <c r="B1269">
        <f>IF($A1269="","",LEFT(Calc!$E1272,4)&amp;MID(Calc!$E1272,6,2)&amp;RIGHT(Calc!$E1272,2)&amp;Calc!$R1272&amp;"|"&amp;"1"&amp;RIGHT("00000"&amp;1264,5))</f>
        <v/>
      </c>
      <c r="C1269">
        <f>IF($B1269="","",COUNTIFS(LdgPartyA,$A1269,LdgKeyA,"&lt;"&amp;$B1269)+COUNTIFS(LdgPartyB,$A1269,LdgKeyB,"&lt;"&amp;$B1269)+1)</f>
        <v/>
      </c>
      <c r="D1269">
        <f>IF($C1269="","",$A1269&amp;"|"&amp;RIGHT("000000"&amp;$C1269,6))</f>
        <v/>
      </c>
      <c r="F1269">
        <f>IF(Sync!$AJ1269="","",Sync!$AJ1269)</f>
        <v/>
      </c>
      <c r="G1269">
        <f>IF($F1269="","",IF(Sync!$AG1269="","",IF(ISNUMBER(Sync!$AG1269),IF(AND(Sync!$AG1269&gt;=10000101,Sync!$AG1269&lt;=99991231),INT(Sync!$AG1269/10000),""),IFERROR(VALUE(TRIM(LEFT(Sync!$AG1269,FIND("/",Sync!$AG1269)-1))),""))))</f>
        <v/>
      </c>
      <c r="H1269">
        <f>IF(OR($F1269="",$G1269=""),"",IF(ISNUMBER(Sync!$AG1269),INT(MOD(Sync!$AG1269,10000)/100),IFERROR(VALUE(TRIM(LEFT(MID(Sync!$AG1269,FIND("/",Sync!$AG1269)+1,20),FIND("/",MID(Sync!$AG1269,FIND("/",Sync!$AG1269)+1,20))-1))),"")))</f>
        <v/>
      </c>
      <c r="I1269">
        <f>IF(OR($F1269="",$G1269=""),"",IF(ISNUMBER(Sync!$AG1269),MOD(Sync!$AG1269,100),IFERROR(VALUE(TRIM(MID(MID(Sync!$AG1269,FIND("/",Sync!$AG1269)+1,20),FIND("/",MID(Sync!$AG1269,FIND("/",Sync!$AG1269)+1,20))+1,20))),"")))</f>
        <v/>
      </c>
      <c r="J1269">
        <f>IF($F1269="","",IF(OR($G1269="",$H1269="",$I1269="",$G1269&lt;1300,$G1269&gt;1500,$H1269&lt;1,$H1269&gt;12,$I1269&lt;1,$I1269&gt;31),"نامعتبر",RIGHT("0000"&amp;$G1269,4)&amp;"/"&amp;RIGHT("00"&amp;$H1269,2)&amp;"/"&amp;RIGHT("00"&amp;$I1269,2)))</f>
        <v/>
      </c>
      <c r="K1269">
        <f>IF(OR($F1269="",$J1269="",$J1269="نامعتبر"),"",LEFT($J1269,4)&amp;MID($J1269,6,2)&amp;RIGHT($J1269,2)&amp;$N1269&amp;"|"&amp;"2"&amp;RIGHT("00000"&amp;1264,5))</f>
        <v/>
      </c>
      <c r="L1269">
        <f>IF($K1269="","",COUNTIFS(LdgPartyA,$F1269,LdgKeyA,"&lt;"&amp;$K1269)+COUNTIFS(LdgPartyB,$F1269,LdgKeyB,"&lt;"&amp;$K1269)+1)</f>
        <v/>
      </c>
      <c r="M1269">
        <f>IF($L1269="","",$F1269&amp;"|"&amp;RIGHT("000000"&amp;$L1269,6))</f>
        <v/>
      </c>
      <c r="N1269">
        <f>IF($F1269="","",IF(Sync!$AH1269="","0000",IF(AND(ISNUMBER(Sync!$AH1269),Sync!$AH1269&gt;=0,Sync!$AH1269&lt;1),RIGHT("00"&amp;HOUR(Sync!$AH1269),2)&amp;RIGHT("00"&amp;MINUTE(Sync!$AH1269),2),IFERROR(RIGHT("00"&amp;VALUE(LEFT(Sync!$AH1269,FIND(":",Sync!$AH1269)-1)),2)&amp;RIGHT("00"&amp;VALUE(MID(Sync!$AH1269,FIND(":",Sync!$AH1269)+1,2)),2),"0000"))))</f>
        <v/>
      </c>
    </row>
    <row r="1270">
      <c r="A1270">
        <f>IF(OR(Calc!$E1273="",Calc!$E1273="نامعتبر",Calc!$G1273="",Calc!$I1273&lt;&gt;"خرید"),"",Calc!$G1273)</f>
        <v/>
      </c>
      <c r="B1270">
        <f>IF($A1270="","",LEFT(Calc!$E1273,4)&amp;MID(Calc!$E1273,6,2)&amp;RIGHT(Calc!$E1273,2)&amp;Calc!$R1273&amp;"|"&amp;"1"&amp;RIGHT("00000"&amp;1265,5))</f>
        <v/>
      </c>
      <c r="C1270">
        <f>IF($B1270="","",COUNTIFS(LdgPartyA,$A1270,LdgKeyA,"&lt;"&amp;$B1270)+COUNTIFS(LdgPartyB,$A1270,LdgKeyB,"&lt;"&amp;$B1270)+1)</f>
        <v/>
      </c>
      <c r="D1270">
        <f>IF($C1270="","",$A1270&amp;"|"&amp;RIGHT("000000"&amp;$C1270,6))</f>
        <v/>
      </c>
      <c r="F1270">
        <f>IF(Sync!$AJ1270="","",Sync!$AJ1270)</f>
        <v/>
      </c>
      <c r="G1270">
        <f>IF($F1270="","",IF(Sync!$AG1270="","",IF(ISNUMBER(Sync!$AG1270),IF(AND(Sync!$AG1270&gt;=10000101,Sync!$AG1270&lt;=99991231),INT(Sync!$AG1270/10000),""),IFERROR(VALUE(TRIM(LEFT(Sync!$AG1270,FIND("/",Sync!$AG1270)-1))),""))))</f>
        <v/>
      </c>
      <c r="H1270">
        <f>IF(OR($F1270="",$G1270=""),"",IF(ISNUMBER(Sync!$AG1270),INT(MOD(Sync!$AG1270,10000)/100),IFERROR(VALUE(TRIM(LEFT(MID(Sync!$AG1270,FIND("/",Sync!$AG1270)+1,20),FIND("/",MID(Sync!$AG1270,FIND("/",Sync!$AG1270)+1,20))-1))),"")))</f>
        <v/>
      </c>
      <c r="I1270">
        <f>IF(OR($F1270="",$G1270=""),"",IF(ISNUMBER(Sync!$AG1270),MOD(Sync!$AG1270,100),IFERROR(VALUE(TRIM(MID(MID(Sync!$AG1270,FIND("/",Sync!$AG1270)+1,20),FIND("/",MID(Sync!$AG1270,FIND("/",Sync!$AG1270)+1,20))+1,20))),"")))</f>
        <v/>
      </c>
      <c r="J1270">
        <f>IF($F1270="","",IF(OR($G1270="",$H1270="",$I1270="",$G1270&lt;1300,$G1270&gt;1500,$H1270&lt;1,$H1270&gt;12,$I1270&lt;1,$I1270&gt;31),"نامعتبر",RIGHT("0000"&amp;$G1270,4)&amp;"/"&amp;RIGHT("00"&amp;$H1270,2)&amp;"/"&amp;RIGHT("00"&amp;$I1270,2)))</f>
        <v/>
      </c>
      <c r="K1270">
        <f>IF(OR($F1270="",$J1270="",$J1270="نامعتبر"),"",LEFT($J1270,4)&amp;MID($J1270,6,2)&amp;RIGHT($J1270,2)&amp;$N1270&amp;"|"&amp;"2"&amp;RIGHT("00000"&amp;1265,5))</f>
        <v/>
      </c>
      <c r="L1270">
        <f>IF($K1270="","",COUNTIFS(LdgPartyA,$F1270,LdgKeyA,"&lt;"&amp;$K1270)+COUNTIFS(LdgPartyB,$F1270,LdgKeyB,"&lt;"&amp;$K1270)+1)</f>
        <v/>
      </c>
      <c r="M1270">
        <f>IF($L1270="","",$F1270&amp;"|"&amp;RIGHT("000000"&amp;$L1270,6))</f>
        <v/>
      </c>
      <c r="N1270">
        <f>IF($F1270="","",IF(Sync!$AH1270="","0000",IF(AND(ISNUMBER(Sync!$AH1270),Sync!$AH1270&gt;=0,Sync!$AH1270&lt;1),RIGHT("00"&amp;HOUR(Sync!$AH1270),2)&amp;RIGHT("00"&amp;MINUTE(Sync!$AH1270),2),IFERROR(RIGHT("00"&amp;VALUE(LEFT(Sync!$AH1270,FIND(":",Sync!$AH1270)-1)),2)&amp;RIGHT("00"&amp;VALUE(MID(Sync!$AH1270,FIND(":",Sync!$AH1270)+1,2)),2),"0000"))))</f>
        <v/>
      </c>
    </row>
    <row r="1271">
      <c r="A1271">
        <f>IF(OR(Calc!$E1274="",Calc!$E1274="نامعتبر",Calc!$G1274="",Calc!$I1274&lt;&gt;"خرید"),"",Calc!$G1274)</f>
        <v/>
      </c>
      <c r="B1271">
        <f>IF($A1271="","",LEFT(Calc!$E1274,4)&amp;MID(Calc!$E1274,6,2)&amp;RIGHT(Calc!$E1274,2)&amp;Calc!$R1274&amp;"|"&amp;"1"&amp;RIGHT("00000"&amp;1266,5))</f>
        <v/>
      </c>
      <c r="C1271">
        <f>IF($B1271="","",COUNTIFS(LdgPartyA,$A1271,LdgKeyA,"&lt;"&amp;$B1271)+COUNTIFS(LdgPartyB,$A1271,LdgKeyB,"&lt;"&amp;$B1271)+1)</f>
        <v/>
      </c>
      <c r="D1271">
        <f>IF($C1271="","",$A1271&amp;"|"&amp;RIGHT("000000"&amp;$C1271,6))</f>
        <v/>
      </c>
      <c r="F1271">
        <f>IF(Sync!$AJ1271="","",Sync!$AJ1271)</f>
        <v/>
      </c>
      <c r="G1271">
        <f>IF($F1271="","",IF(Sync!$AG1271="","",IF(ISNUMBER(Sync!$AG1271),IF(AND(Sync!$AG1271&gt;=10000101,Sync!$AG1271&lt;=99991231),INT(Sync!$AG1271/10000),""),IFERROR(VALUE(TRIM(LEFT(Sync!$AG1271,FIND("/",Sync!$AG1271)-1))),""))))</f>
        <v/>
      </c>
      <c r="H1271">
        <f>IF(OR($F1271="",$G1271=""),"",IF(ISNUMBER(Sync!$AG1271),INT(MOD(Sync!$AG1271,10000)/100),IFERROR(VALUE(TRIM(LEFT(MID(Sync!$AG1271,FIND("/",Sync!$AG1271)+1,20),FIND("/",MID(Sync!$AG1271,FIND("/",Sync!$AG1271)+1,20))-1))),"")))</f>
        <v/>
      </c>
      <c r="I1271">
        <f>IF(OR($F1271="",$G1271=""),"",IF(ISNUMBER(Sync!$AG1271),MOD(Sync!$AG1271,100),IFERROR(VALUE(TRIM(MID(MID(Sync!$AG1271,FIND("/",Sync!$AG1271)+1,20),FIND("/",MID(Sync!$AG1271,FIND("/",Sync!$AG1271)+1,20))+1,20))),"")))</f>
        <v/>
      </c>
      <c r="J1271">
        <f>IF($F1271="","",IF(OR($G1271="",$H1271="",$I1271="",$G1271&lt;1300,$G1271&gt;1500,$H1271&lt;1,$H1271&gt;12,$I1271&lt;1,$I1271&gt;31),"نامعتبر",RIGHT("0000"&amp;$G1271,4)&amp;"/"&amp;RIGHT("00"&amp;$H1271,2)&amp;"/"&amp;RIGHT("00"&amp;$I1271,2)))</f>
        <v/>
      </c>
      <c r="K1271">
        <f>IF(OR($F1271="",$J1271="",$J1271="نامعتبر"),"",LEFT($J1271,4)&amp;MID($J1271,6,2)&amp;RIGHT($J1271,2)&amp;$N1271&amp;"|"&amp;"2"&amp;RIGHT("00000"&amp;1266,5))</f>
        <v/>
      </c>
      <c r="L1271">
        <f>IF($K1271="","",COUNTIFS(LdgPartyA,$F1271,LdgKeyA,"&lt;"&amp;$K1271)+COUNTIFS(LdgPartyB,$F1271,LdgKeyB,"&lt;"&amp;$K1271)+1)</f>
        <v/>
      </c>
      <c r="M1271">
        <f>IF($L1271="","",$F1271&amp;"|"&amp;RIGHT("000000"&amp;$L1271,6))</f>
        <v/>
      </c>
      <c r="N1271">
        <f>IF($F1271="","",IF(Sync!$AH1271="","0000",IF(AND(ISNUMBER(Sync!$AH1271),Sync!$AH1271&gt;=0,Sync!$AH1271&lt;1),RIGHT("00"&amp;HOUR(Sync!$AH1271),2)&amp;RIGHT("00"&amp;MINUTE(Sync!$AH1271),2),IFERROR(RIGHT("00"&amp;VALUE(LEFT(Sync!$AH1271,FIND(":",Sync!$AH1271)-1)),2)&amp;RIGHT("00"&amp;VALUE(MID(Sync!$AH1271,FIND(":",Sync!$AH1271)+1,2)),2),"0000"))))</f>
        <v/>
      </c>
    </row>
    <row r="1272">
      <c r="A1272">
        <f>IF(OR(Calc!$E1275="",Calc!$E1275="نامعتبر",Calc!$G1275="",Calc!$I1275&lt;&gt;"خرید"),"",Calc!$G1275)</f>
        <v/>
      </c>
      <c r="B1272">
        <f>IF($A1272="","",LEFT(Calc!$E1275,4)&amp;MID(Calc!$E1275,6,2)&amp;RIGHT(Calc!$E1275,2)&amp;Calc!$R1275&amp;"|"&amp;"1"&amp;RIGHT("00000"&amp;1267,5))</f>
        <v/>
      </c>
      <c r="C1272">
        <f>IF($B1272="","",COUNTIFS(LdgPartyA,$A1272,LdgKeyA,"&lt;"&amp;$B1272)+COUNTIFS(LdgPartyB,$A1272,LdgKeyB,"&lt;"&amp;$B1272)+1)</f>
        <v/>
      </c>
      <c r="D1272">
        <f>IF($C1272="","",$A1272&amp;"|"&amp;RIGHT("000000"&amp;$C1272,6))</f>
        <v/>
      </c>
      <c r="F1272">
        <f>IF(Sync!$AJ1272="","",Sync!$AJ1272)</f>
        <v/>
      </c>
      <c r="G1272">
        <f>IF($F1272="","",IF(Sync!$AG1272="","",IF(ISNUMBER(Sync!$AG1272),IF(AND(Sync!$AG1272&gt;=10000101,Sync!$AG1272&lt;=99991231),INT(Sync!$AG1272/10000),""),IFERROR(VALUE(TRIM(LEFT(Sync!$AG1272,FIND("/",Sync!$AG1272)-1))),""))))</f>
        <v/>
      </c>
      <c r="H1272">
        <f>IF(OR($F1272="",$G1272=""),"",IF(ISNUMBER(Sync!$AG1272),INT(MOD(Sync!$AG1272,10000)/100),IFERROR(VALUE(TRIM(LEFT(MID(Sync!$AG1272,FIND("/",Sync!$AG1272)+1,20),FIND("/",MID(Sync!$AG1272,FIND("/",Sync!$AG1272)+1,20))-1))),"")))</f>
        <v/>
      </c>
      <c r="I1272">
        <f>IF(OR($F1272="",$G1272=""),"",IF(ISNUMBER(Sync!$AG1272),MOD(Sync!$AG1272,100),IFERROR(VALUE(TRIM(MID(MID(Sync!$AG1272,FIND("/",Sync!$AG1272)+1,20),FIND("/",MID(Sync!$AG1272,FIND("/",Sync!$AG1272)+1,20))+1,20))),"")))</f>
        <v/>
      </c>
      <c r="J1272">
        <f>IF($F1272="","",IF(OR($G1272="",$H1272="",$I1272="",$G1272&lt;1300,$G1272&gt;1500,$H1272&lt;1,$H1272&gt;12,$I1272&lt;1,$I1272&gt;31),"نامعتبر",RIGHT("0000"&amp;$G1272,4)&amp;"/"&amp;RIGHT("00"&amp;$H1272,2)&amp;"/"&amp;RIGHT("00"&amp;$I1272,2)))</f>
        <v/>
      </c>
      <c r="K1272">
        <f>IF(OR($F1272="",$J1272="",$J1272="نامعتبر"),"",LEFT($J1272,4)&amp;MID($J1272,6,2)&amp;RIGHT($J1272,2)&amp;$N1272&amp;"|"&amp;"2"&amp;RIGHT("00000"&amp;1267,5))</f>
        <v/>
      </c>
      <c r="L1272">
        <f>IF($K1272="","",COUNTIFS(LdgPartyA,$F1272,LdgKeyA,"&lt;"&amp;$K1272)+COUNTIFS(LdgPartyB,$F1272,LdgKeyB,"&lt;"&amp;$K1272)+1)</f>
        <v/>
      </c>
      <c r="M1272">
        <f>IF($L1272="","",$F1272&amp;"|"&amp;RIGHT("000000"&amp;$L1272,6))</f>
        <v/>
      </c>
      <c r="N1272">
        <f>IF($F1272="","",IF(Sync!$AH1272="","0000",IF(AND(ISNUMBER(Sync!$AH1272),Sync!$AH1272&gt;=0,Sync!$AH1272&lt;1),RIGHT("00"&amp;HOUR(Sync!$AH1272),2)&amp;RIGHT("00"&amp;MINUTE(Sync!$AH1272),2),IFERROR(RIGHT("00"&amp;VALUE(LEFT(Sync!$AH1272,FIND(":",Sync!$AH1272)-1)),2)&amp;RIGHT("00"&amp;VALUE(MID(Sync!$AH1272,FIND(":",Sync!$AH1272)+1,2)),2),"0000"))))</f>
        <v/>
      </c>
    </row>
    <row r="1273">
      <c r="A1273">
        <f>IF(OR(Calc!$E1276="",Calc!$E1276="نامعتبر",Calc!$G1276="",Calc!$I1276&lt;&gt;"خرید"),"",Calc!$G1276)</f>
        <v/>
      </c>
      <c r="B1273">
        <f>IF($A1273="","",LEFT(Calc!$E1276,4)&amp;MID(Calc!$E1276,6,2)&amp;RIGHT(Calc!$E1276,2)&amp;Calc!$R1276&amp;"|"&amp;"1"&amp;RIGHT("00000"&amp;1268,5))</f>
        <v/>
      </c>
      <c r="C1273">
        <f>IF($B1273="","",COUNTIFS(LdgPartyA,$A1273,LdgKeyA,"&lt;"&amp;$B1273)+COUNTIFS(LdgPartyB,$A1273,LdgKeyB,"&lt;"&amp;$B1273)+1)</f>
        <v/>
      </c>
      <c r="D1273">
        <f>IF($C1273="","",$A1273&amp;"|"&amp;RIGHT("000000"&amp;$C1273,6))</f>
        <v/>
      </c>
      <c r="F1273">
        <f>IF(Sync!$AJ1273="","",Sync!$AJ1273)</f>
        <v/>
      </c>
      <c r="G1273">
        <f>IF($F1273="","",IF(Sync!$AG1273="","",IF(ISNUMBER(Sync!$AG1273),IF(AND(Sync!$AG1273&gt;=10000101,Sync!$AG1273&lt;=99991231),INT(Sync!$AG1273/10000),""),IFERROR(VALUE(TRIM(LEFT(Sync!$AG1273,FIND("/",Sync!$AG1273)-1))),""))))</f>
        <v/>
      </c>
      <c r="H1273">
        <f>IF(OR($F1273="",$G1273=""),"",IF(ISNUMBER(Sync!$AG1273),INT(MOD(Sync!$AG1273,10000)/100),IFERROR(VALUE(TRIM(LEFT(MID(Sync!$AG1273,FIND("/",Sync!$AG1273)+1,20),FIND("/",MID(Sync!$AG1273,FIND("/",Sync!$AG1273)+1,20))-1))),"")))</f>
        <v/>
      </c>
      <c r="I1273">
        <f>IF(OR($F1273="",$G1273=""),"",IF(ISNUMBER(Sync!$AG1273),MOD(Sync!$AG1273,100),IFERROR(VALUE(TRIM(MID(MID(Sync!$AG1273,FIND("/",Sync!$AG1273)+1,20),FIND("/",MID(Sync!$AG1273,FIND("/",Sync!$AG1273)+1,20))+1,20))),"")))</f>
        <v/>
      </c>
      <c r="J1273">
        <f>IF($F1273="","",IF(OR($G1273="",$H1273="",$I1273="",$G1273&lt;1300,$G1273&gt;1500,$H1273&lt;1,$H1273&gt;12,$I1273&lt;1,$I1273&gt;31),"نامعتبر",RIGHT("0000"&amp;$G1273,4)&amp;"/"&amp;RIGHT("00"&amp;$H1273,2)&amp;"/"&amp;RIGHT("00"&amp;$I1273,2)))</f>
        <v/>
      </c>
      <c r="K1273">
        <f>IF(OR($F1273="",$J1273="",$J1273="نامعتبر"),"",LEFT($J1273,4)&amp;MID($J1273,6,2)&amp;RIGHT($J1273,2)&amp;$N1273&amp;"|"&amp;"2"&amp;RIGHT("00000"&amp;1268,5))</f>
        <v/>
      </c>
      <c r="L1273">
        <f>IF($K1273="","",COUNTIFS(LdgPartyA,$F1273,LdgKeyA,"&lt;"&amp;$K1273)+COUNTIFS(LdgPartyB,$F1273,LdgKeyB,"&lt;"&amp;$K1273)+1)</f>
        <v/>
      </c>
      <c r="M1273">
        <f>IF($L1273="","",$F1273&amp;"|"&amp;RIGHT("000000"&amp;$L1273,6))</f>
        <v/>
      </c>
      <c r="N1273">
        <f>IF($F1273="","",IF(Sync!$AH1273="","0000",IF(AND(ISNUMBER(Sync!$AH1273),Sync!$AH1273&gt;=0,Sync!$AH1273&lt;1),RIGHT("00"&amp;HOUR(Sync!$AH1273),2)&amp;RIGHT("00"&amp;MINUTE(Sync!$AH1273),2),IFERROR(RIGHT("00"&amp;VALUE(LEFT(Sync!$AH1273,FIND(":",Sync!$AH1273)-1)),2)&amp;RIGHT("00"&amp;VALUE(MID(Sync!$AH1273,FIND(":",Sync!$AH1273)+1,2)),2),"0000"))))</f>
        <v/>
      </c>
    </row>
    <row r="1274">
      <c r="A1274">
        <f>IF(OR(Calc!$E1277="",Calc!$E1277="نامعتبر",Calc!$G1277="",Calc!$I1277&lt;&gt;"خرید"),"",Calc!$G1277)</f>
        <v/>
      </c>
      <c r="B1274">
        <f>IF($A1274="","",LEFT(Calc!$E1277,4)&amp;MID(Calc!$E1277,6,2)&amp;RIGHT(Calc!$E1277,2)&amp;Calc!$R1277&amp;"|"&amp;"1"&amp;RIGHT("00000"&amp;1269,5))</f>
        <v/>
      </c>
      <c r="C1274">
        <f>IF($B1274="","",COUNTIFS(LdgPartyA,$A1274,LdgKeyA,"&lt;"&amp;$B1274)+COUNTIFS(LdgPartyB,$A1274,LdgKeyB,"&lt;"&amp;$B1274)+1)</f>
        <v/>
      </c>
      <c r="D1274">
        <f>IF($C1274="","",$A1274&amp;"|"&amp;RIGHT("000000"&amp;$C1274,6))</f>
        <v/>
      </c>
      <c r="F1274">
        <f>IF(Sync!$AJ1274="","",Sync!$AJ1274)</f>
        <v/>
      </c>
      <c r="G1274">
        <f>IF($F1274="","",IF(Sync!$AG1274="","",IF(ISNUMBER(Sync!$AG1274),IF(AND(Sync!$AG1274&gt;=10000101,Sync!$AG1274&lt;=99991231),INT(Sync!$AG1274/10000),""),IFERROR(VALUE(TRIM(LEFT(Sync!$AG1274,FIND("/",Sync!$AG1274)-1))),""))))</f>
        <v/>
      </c>
      <c r="H1274">
        <f>IF(OR($F1274="",$G1274=""),"",IF(ISNUMBER(Sync!$AG1274),INT(MOD(Sync!$AG1274,10000)/100),IFERROR(VALUE(TRIM(LEFT(MID(Sync!$AG1274,FIND("/",Sync!$AG1274)+1,20),FIND("/",MID(Sync!$AG1274,FIND("/",Sync!$AG1274)+1,20))-1))),"")))</f>
        <v/>
      </c>
      <c r="I1274">
        <f>IF(OR($F1274="",$G1274=""),"",IF(ISNUMBER(Sync!$AG1274),MOD(Sync!$AG1274,100),IFERROR(VALUE(TRIM(MID(MID(Sync!$AG1274,FIND("/",Sync!$AG1274)+1,20),FIND("/",MID(Sync!$AG1274,FIND("/",Sync!$AG1274)+1,20))+1,20))),"")))</f>
        <v/>
      </c>
      <c r="J1274">
        <f>IF($F1274="","",IF(OR($G1274="",$H1274="",$I1274="",$G1274&lt;1300,$G1274&gt;1500,$H1274&lt;1,$H1274&gt;12,$I1274&lt;1,$I1274&gt;31),"نامعتبر",RIGHT("0000"&amp;$G1274,4)&amp;"/"&amp;RIGHT("00"&amp;$H1274,2)&amp;"/"&amp;RIGHT("00"&amp;$I1274,2)))</f>
        <v/>
      </c>
      <c r="K1274">
        <f>IF(OR($F1274="",$J1274="",$J1274="نامعتبر"),"",LEFT($J1274,4)&amp;MID($J1274,6,2)&amp;RIGHT($J1274,2)&amp;$N1274&amp;"|"&amp;"2"&amp;RIGHT("00000"&amp;1269,5))</f>
        <v/>
      </c>
      <c r="L1274">
        <f>IF($K1274="","",COUNTIFS(LdgPartyA,$F1274,LdgKeyA,"&lt;"&amp;$K1274)+COUNTIFS(LdgPartyB,$F1274,LdgKeyB,"&lt;"&amp;$K1274)+1)</f>
        <v/>
      </c>
      <c r="M1274">
        <f>IF($L1274="","",$F1274&amp;"|"&amp;RIGHT("000000"&amp;$L1274,6))</f>
        <v/>
      </c>
      <c r="N1274">
        <f>IF($F1274="","",IF(Sync!$AH1274="","0000",IF(AND(ISNUMBER(Sync!$AH1274),Sync!$AH1274&gt;=0,Sync!$AH1274&lt;1),RIGHT("00"&amp;HOUR(Sync!$AH1274),2)&amp;RIGHT("00"&amp;MINUTE(Sync!$AH1274),2),IFERROR(RIGHT("00"&amp;VALUE(LEFT(Sync!$AH1274,FIND(":",Sync!$AH1274)-1)),2)&amp;RIGHT("00"&amp;VALUE(MID(Sync!$AH1274,FIND(":",Sync!$AH1274)+1,2)),2),"0000"))))</f>
        <v/>
      </c>
    </row>
    <row r="1275">
      <c r="A1275">
        <f>IF(OR(Calc!$E1278="",Calc!$E1278="نامعتبر",Calc!$G1278="",Calc!$I1278&lt;&gt;"خرید"),"",Calc!$G1278)</f>
        <v/>
      </c>
      <c r="B1275">
        <f>IF($A1275="","",LEFT(Calc!$E1278,4)&amp;MID(Calc!$E1278,6,2)&amp;RIGHT(Calc!$E1278,2)&amp;Calc!$R1278&amp;"|"&amp;"1"&amp;RIGHT("00000"&amp;1270,5))</f>
        <v/>
      </c>
      <c r="C1275">
        <f>IF($B1275="","",COUNTIFS(LdgPartyA,$A1275,LdgKeyA,"&lt;"&amp;$B1275)+COUNTIFS(LdgPartyB,$A1275,LdgKeyB,"&lt;"&amp;$B1275)+1)</f>
        <v/>
      </c>
      <c r="D1275">
        <f>IF($C1275="","",$A1275&amp;"|"&amp;RIGHT("000000"&amp;$C1275,6))</f>
        <v/>
      </c>
      <c r="F1275">
        <f>IF(Sync!$AJ1275="","",Sync!$AJ1275)</f>
        <v/>
      </c>
      <c r="G1275">
        <f>IF($F1275="","",IF(Sync!$AG1275="","",IF(ISNUMBER(Sync!$AG1275),IF(AND(Sync!$AG1275&gt;=10000101,Sync!$AG1275&lt;=99991231),INT(Sync!$AG1275/10000),""),IFERROR(VALUE(TRIM(LEFT(Sync!$AG1275,FIND("/",Sync!$AG1275)-1))),""))))</f>
        <v/>
      </c>
      <c r="H1275">
        <f>IF(OR($F1275="",$G1275=""),"",IF(ISNUMBER(Sync!$AG1275),INT(MOD(Sync!$AG1275,10000)/100),IFERROR(VALUE(TRIM(LEFT(MID(Sync!$AG1275,FIND("/",Sync!$AG1275)+1,20),FIND("/",MID(Sync!$AG1275,FIND("/",Sync!$AG1275)+1,20))-1))),"")))</f>
        <v/>
      </c>
      <c r="I1275">
        <f>IF(OR($F1275="",$G1275=""),"",IF(ISNUMBER(Sync!$AG1275),MOD(Sync!$AG1275,100),IFERROR(VALUE(TRIM(MID(MID(Sync!$AG1275,FIND("/",Sync!$AG1275)+1,20),FIND("/",MID(Sync!$AG1275,FIND("/",Sync!$AG1275)+1,20))+1,20))),"")))</f>
        <v/>
      </c>
      <c r="J1275">
        <f>IF($F1275="","",IF(OR($G1275="",$H1275="",$I1275="",$G1275&lt;1300,$G1275&gt;1500,$H1275&lt;1,$H1275&gt;12,$I1275&lt;1,$I1275&gt;31),"نامعتبر",RIGHT("0000"&amp;$G1275,4)&amp;"/"&amp;RIGHT("00"&amp;$H1275,2)&amp;"/"&amp;RIGHT("00"&amp;$I1275,2)))</f>
        <v/>
      </c>
      <c r="K1275">
        <f>IF(OR($F1275="",$J1275="",$J1275="نامعتبر"),"",LEFT($J1275,4)&amp;MID($J1275,6,2)&amp;RIGHT($J1275,2)&amp;$N1275&amp;"|"&amp;"2"&amp;RIGHT("00000"&amp;1270,5))</f>
        <v/>
      </c>
      <c r="L1275">
        <f>IF($K1275="","",COUNTIFS(LdgPartyA,$F1275,LdgKeyA,"&lt;"&amp;$K1275)+COUNTIFS(LdgPartyB,$F1275,LdgKeyB,"&lt;"&amp;$K1275)+1)</f>
        <v/>
      </c>
      <c r="M1275">
        <f>IF($L1275="","",$F1275&amp;"|"&amp;RIGHT("000000"&amp;$L1275,6))</f>
        <v/>
      </c>
      <c r="N1275">
        <f>IF($F1275="","",IF(Sync!$AH1275="","0000",IF(AND(ISNUMBER(Sync!$AH1275),Sync!$AH1275&gt;=0,Sync!$AH1275&lt;1),RIGHT("00"&amp;HOUR(Sync!$AH1275),2)&amp;RIGHT("00"&amp;MINUTE(Sync!$AH1275),2),IFERROR(RIGHT("00"&amp;VALUE(LEFT(Sync!$AH1275,FIND(":",Sync!$AH1275)-1)),2)&amp;RIGHT("00"&amp;VALUE(MID(Sync!$AH1275,FIND(":",Sync!$AH1275)+1,2)),2),"0000"))))</f>
        <v/>
      </c>
    </row>
    <row r="1276">
      <c r="A1276">
        <f>IF(OR(Calc!$E1279="",Calc!$E1279="نامعتبر",Calc!$G1279="",Calc!$I1279&lt;&gt;"خرید"),"",Calc!$G1279)</f>
        <v/>
      </c>
      <c r="B1276">
        <f>IF($A1276="","",LEFT(Calc!$E1279,4)&amp;MID(Calc!$E1279,6,2)&amp;RIGHT(Calc!$E1279,2)&amp;Calc!$R1279&amp;"|"&amp;"1"&amp;RIGHT("00000"&amp;1271,5))</f>
        <v/>
      </c>
      <c r="C1276">
        <f>IF($B1276="","",COUNTIFS(LdgPartyA,$A1276,LdgKeyA,"&lt;"&amp;$B1276)+COUNTIFS(LdgPartyB,$A1276,LdgKeyB,"&lt;"&amp;$B1276)+1)</f>
        <v/>
      </c>
      <c r="D1276">
        <f>IF($C1276="","",$A1276&amp;"|"&amp;RIGHT("000000"&amp;$C1276,6))</f>
        <v/>
      </c>
      <c r="F1276">
        <f>IF(Sync!$AJ1276="","",Sync!$AJ1276)</f>
        <v/>
      </c>
      <c r="G1276">
        <f>IF($F1276="","",IF(Sync!$AG1276="","",IF(ISNUMBER(Sync!$AG1276),IF(AND(Sync!$AG1276&gt;=10000101,Sync!$AG1276&lt;=99991231),INT(Sync!$AG1276/10000),""),IFERROR(VALUE(TRIM(LEFT(Sync!$AG1276,FIND("/",Sync!$AG1276)-1))),""))))</f>
        <v/>
      </c>
      <c r="H1276">
        <f>IF(OR($F1276="",$G1276=""),"",IF(ISNUMBER(Sync!$AG1276),INT(MOD(Sync!$AG1276,10000)/100),IFERROR(VALUE(TRIM(LEFT(MID(Sync!$AG1276,FIND("/",Sync!$AG1276)+1,20),FIND("/",MID(Sync!$AG1276,FIND("/",Sync!$AG1276)+1,20))-1))),"")))</f>
        <v/>
      </c>
      <c r="I1276">
        <f>IF(OR($F1276="",$G1276=""),"",IF(ISNUMBER(Sync!$AG1276),MOD(Sync!$AG1276,100),IFERROR(VALUE(TRIM(MID(MID(Sync!$AG1276,FIND("/",Sync!$AG1276)+1,20),FIND("/",MID(Sync!$AG1276,FIND("/",Sync!$AG1276)+1,20))+1,20))),"")))</f>
        <v/>
      </c>
      <c r="J1276">
        <f>IF($F1276="","",IF(OR($G1276="",$H1276="",$I1276="",$G1276&lt;1300,$G1276&gt;1500,$H1276&lt;1,$H1276&gt;12,$I1276&lt;1,$I1276&gt;31),"نامعتبر",RIGHT("0000"&amp;$G1276,4)&amp;"/"&amp;RIGHT("00"&amp;$H1276,2)&amp;"/"&amp;RIGHT("00"&amp;$I1276,2)))</f>
        <v/>
      </c>
      <c r="K1276">
        <f>IF(OR($F1276="",$J1276="",$J1276="نامعتبر"),"",LEFT($J1276,4)&amp;MID($J1276,6,2)&amp;RIGHT($J1276,2)&amp;$N1276&amp;"|"&amp;"2"&amp;RIGHT("00000"&amp;1271,5))</f>
        <v/>
      </c>
      <c r="L1276">
        <f>IF($K1276="","",COUNTIFS(LdgPartyA,$F1276,LdgKeyA,"&lt;"&amp;$K1276)+COUNTIFS(LdgPartyB,$F1276,LdgKeyB,"&lt;"&amp;$K1276)+1)</f>
        <v/>
      </c>
      <c r="M1276">
        <f>IF($L1276="","",$F1276&amp;"|"&amp;RIGHT("000000"&amp;$L1276,6))</f>
        <v/>
      </c>
      <c r="N1276">
        <f>IF($F1276="","",IF(Sync!$AH1276="","0000",IF(AND(ISNUMBER(Sync!$AH1276),Sync!$AH1276&gt;=0,Sync!$AH1276&lt;1),RIGHT("00"&amp;HOUR(Sync!$AH1276),2)&amp;RIGHT("00"&amp;MINUTE(Sync!$AH1276),2),IFERROR(RIGHT("00"&amp;VALUE(LEFT(Sync!$AH1276,FIND(":",Sync!$AH1276)-1)),2)&amp;RIGHT("00"&amp;VALUE(MID(Sync!$AH1276,FIND(":",Sync!$AH1276)+1,2)),2),"0000"))))</f>
        <v/>
      </c>
    </row>
    <row r="1277">
      <c r="A1277">
        <f>IF(OR(Calc!$E1280="",Calc!$E1280="نامعتبر",Calc!$G1280="",Calc!$I1280&lt;&gt;"خرید"),"",Calc!$G1280)</f>
        <v/>
      </c>
      <c r="B1277">
        <f>IF($A1277="","",LEFT(Calc!$E1280,4)&amp;MID(Calc!$E1280,6,2)&amp;RIGHT(Calc!$E1280,2)&amp;Calc!$R1280&amp;"|"&amp;"1"&amp;RIGHT("00000"&amp;1272,5))</f>
        <v/>
      </c>
      <c r="C1277">
        <f>IF($B1277="","",COUNTIFS(LdgPartyA,$A1277,LdgKeyA,"&lt;"&amp;$B1277)+COUNTIFS(LdgPartyB,$A1277,LdgKeyB,"&lt;"&amp;$B1277)+1)</f>
        <v/>
      </c>
      <c r="D1277">
        <f>IF($C1277="","",$A1277&amp;"|"&amp;RIGHT("000000"&amp;$C1277,6))</f>
        <v/>
      </c>
      <c r="F1277">
        <f>IF(Sync!$AJ1277="","",Sync!$AJ1277)</f>
        <v/>
      </c>
      <c r="G1277">
        <f>IF($F1277="","",IF(Sync!$AG1277="","",IF(ISNUMBER(Sync!$AG1277),IF(AND(Sync!$AG1277&gt;=10000101,Sync!$AG1277&lt;=99991231),INT(Sync!$AG1277/10000),""),IFERROR(VALUE(TRIM(LEFT(Sync!$AG1277,FIND("/",Sync!$AG1277)-1))),""))))</f>
        <v/>
      </c>
      <c r="H1277">
        <f>IF(OR($F1277="",$G1277=""),"",IF(ISNUMBER(Sync!$AG1277),INT(MOD(Sync!$AG1277,10000)/100),IFERROR(VALUE(TRIM(LEFT(MID(Sync!$AG1277,FIND("/",Sync!$AG1277)+1,20),FIND("/",MID(Sync!$AG1277,FIND("/",Sync!$AG1277)+1,20))-1))),"")))</f>
        <v/>
      </c>
      <c r="I1277">
        <f>IF(OR($F1277="",$G1277=""),"",IF(ISNUMBER(Sync!$AG1277),MOD(Sync!$AG1277,100),IFERROR(VALUE(TRIM(MID(MID(Sync!$AG1277,FIND("/",Sync!$AG1277)+1,20),FIND("/",MID(Sync!$AG1277,FIND("/",Sync!$AG1277)+1,20))+1,20))),"")))</f>
        <v/>
      </c>
      <c r="J1277">
        <f>IF($F1277="","",IF(OR($G1277="",$H1277="",$I1277="",$G1277&lt;1300,$G1277&gt;1500,$H1277&lt;1,$H1277&gt;12,$I1277&lt;1,$I1277&gt;31),"نامعتبر",RIGHT("0000"&amp;$G1277,4)&amp;"/"&amp;RIGHT("00"&amp;$H1277,2)&amp;"/"&amp;RIGHT("00"&amp;$I1277,2)))</f>
        <v/>
      </c>
      <c r="K1277">
        <f>IF(OR($F1277="",$J1277="",$J1277="نامعتبر"),"",LEFT($J1277,4)&amp;MID($J1277,6,2)&amp;RIGHT($J1277,2)&amp;$N1277&amp;"|"&amp;"2"&amp;RIGHT("00000"&amp;1272,5))</f>
        <v/>
      </c>
      <c r="L1277">
        <f>IF($K1277="","",COUNTIFS(LdgPartyA,$F1277,LdgKeyA,"&lt;"&amp;$K1277)+COUNTIFS(LdgPartyB,$F1277,LdgKeyB,"&lt;"&amp;$K1277)+1)</f>
        <v/>
      </c>
      <c r="M1277">
        <f>IF($L1277="","",$F1277&amp;"|"&amp;RIGHT("000000"&amp;$L1277,6))</f>
        <v/>
      </c>
      <c r="N1277">
        <f>IF($F1277="","",IF(Sync!$AH1277="","0000",IF(AND(ISNUMBER(Sync!$AH1277),Sync!$AH1277&gt;=0,Sync!$AH1277&lt;1),RIGHT("00"&amp;HOUR(Sync!$AH1277),2)&amp;RIGHT("00"&amp;MINUTE(Sync!$AH1277),2),IFERROR(RIGHT("00"&amp;VALUE(LEFT(Sync!$AH1277,FIND(":",Sync!$AH1277)-1)),2)&amp;RIGHT("00"&amp;VALUE(MID(Sync!$AH1277,FIND(":",Sync!$AH1277)+1,2)),2),"0000"))))</f>
        <v/>
      </c>
    </row>
    <row r="1278">
      <c r="A1278">
        <f>IF(OR(Calc!$E1281="",Calc!$E1281="نامعتبر",Calc!$G1281="",Calc!$I1281&lt;&gt;"خرید"),"",Calc!$G1281)</f>
        <v/>
      </c>
      <c r="B1278">
        <f>IF($A1278="","",LEFT(Calc!$E1281,4)&amp;MID(Calc!$E1281,6,2)&amp;RIGHT(Calc!$E1281,2)&amp;Calc!$R1281&amp;"|"&amp;"1"&amp;RIGHT("00000"&amp;1273,5))</f>
        <v/>
      </c>
      <c r="C1278">
        <f>IF($B1278="","",COUNTIFS(LdgPartyA,$A1278,LdgKeyA,"&lt;"&amp;$B1278)+COUNTIFS(LdgPartyB,$A1278,LdgKeyB,"&lt;"&amp;$B1278)+1)</f>
        <v/>
      </c>
      <c r="D1278">
        <f>IF($C1278="","",$A1278&amp;"|"&amp;RIGHT("000000"&amp;$C1278,6))</f>
        <v/>
      </c>
      <c r="F1278">
        <f>IF(Sync!$AJ1278="","",Sync!$AJ1278)</f>
        <v/>
      </c>
      <c r="G1278">
        <f>IF($F1278="","",IF(Sync!$AG1278="","",IF(ISNUMBER(Sync!$AG1278),IF(AND(Sync!$AG1278&gt;=10000101,Sync!$AG1278&lt;=99991231),INT(Sync!$AG1278/10000),""),IFERROR(VALUE(TRIM(LEFT(Sync!$AG1278,FIND("/",Sync!$AG1278)-1))),""))))</f>
        <v/>
      </c>
      <c r="H1278">
        <f>IF(OR($F1278="",$G1278=""),"",IF(ISNUMBER(Sync!$AG1278),INT(MOD(Sync!$AG1278,10000)/100),IFERROR(VALUE(TRIM(LEFT(MID(Sync!$AG1278,FIND("/",Sync!$AG1278)+1,20),FIND("/",MID(Sync!$AG1278,FIND("/",Sync!$AG1278)+1,20))-1))),"")))</f>
        <v/>
      </c>
      <c r="I1278">
        <f>IF(OR($F1278="",$G1278=""),"",IF(ISNUMBER(Sync!$AG1278),MOD(Sync!$AG1278,100),IFERROR(VALUE(TRIM(MID(MID(Sync!$AG1278,FIND("/",Sync!$AG1278)+1,20),FIND("/",MID(Sync!$AG1278,FIND("/",Sync!$AG1278)+1,20))+1,20))),"")))</f>
        <v/>
      </c>
      <c r="J1278">
        <f>IF($F1278="","",IF(OR($G1278="",$H1278="",$I1278="",$G1278&lt;1300,$G1278&gt;1500,$H1278&lt;1,$H1278&gt;12,$I1278&lt;1,$I1278&gt;31),"نامعتبر",RIGHT("0000"&amp;$G1278,4)&amp;"/"&amp;RIGHT("00"&amp;$H1278,2)&amp;"/"&amp;RIGHT("00"&amp;$I1278,2)))</f>
        <v/>
      </c>
      <c r="K1278">
        <f>IF(OR($F1278="",$J1278="",$J1278="نامعتبر"),"",LEFT($J1278,4)&amp;MID($J1278,6,2)&amp;RIGHT($J1278,2)&amp;$N1278&amp;"|"&amp;"2"&amp;RIGHT("00000"&amp;1273,5))</f>
        <v/>
      </c>
      <c r="L1278">
        <f>IF($K1278="","",COUNTIFS(LdgPartyA,$F1278,LdgKeyA,"&lt;"&amp;$K1278)+COUNTIFS(LdgPartyB,$F1278,LdgKeyB,"&lt;"&amp;$K1278)+1)</f>
        <v/>
      </c>
      <c r="M1278">
        <f>IF($L1278="","",$F1278&amp;"|"&amp;RIGHT("000000"&amp;$L1278,6))</f>
        <v/>
      </c>
      <c r="N1278">
        <f>IF($F1278="","",IF(Sync!$AH1278="","0000",IF(AND(ISNUMBER(Sync!$AH1278),Sync!$AH1278&gt;=0,Sync!$AH1278&lt;1),RIGHT("00"&amp;HOUR(Sync!$AH1278),2)&amp;RIGHT("00"&amp;MINUTE(Sync!$AH1278),2),IFERROR(RIGHT("00"&amp;VALUE(LEFT(Sync!$AH1278,FIND(":",Sync!$AH1278)-1)),2)&amp;RIGHT("00"&amp;VALUE(MID(Sync!$AH1278,FIND(":",Sync!$AH1278)+1,2)),2),"0000"))))</f>
        <v/>
      </c>
    </row>
    <row r="1279">
      <c r="A1279">
        <f>IF(OR(Calc!$E1282="",Calc!$E1282="نامعتبر",Calc!$G1282="",Calc!$I1282&lt;&gt;"خرید"),"",Calc!$G1282)</f>
        <v/>
      </c>
      <c r="B1279">
        <f>IF($A1279="","",LEFT(Calc!$E1282,4)&amp;MID(Calc!$E1282,6,2)&amp;RIGHT(Calc!$E1282,2)&amp;Calc!$R1282&amp;"|"&amp;"1"&amp;RIGHT("00000"&amp;1274,5))</f>
        <v/>
      </c>
      <c r="C1279">
        <f>IF($B1279="","",COUNTIFS(LdgPartyA,$A1279,LdgKeyA,"&lt;"&amp;$B1279)+COUNTIFS(LdgPartyB,$A1279,LdgKeyB,"&lt;"&amp;$B1279)+1)</f>
        <v/>
      </c>
      <c r="D1279">
        <f>IF($C1279="","",$A1279&amp;"|"&amp;RIGHT("000000"&amp;$C1279,6))</f>
        <v/>
      </c>
      <c r="F1279">
        <f>IF(Sync!$AJ1279="","",Sync!$AJ1279)</f>
        <v/>
      </c>
      <c r="G1279">
        <f>IF($F1279="","",IF(Sync!$AG1279="","",IF(ISNUMBER(Sync!$AG1279),IF(AND(Sync!$AG1279&gt;=10000101,Sync!$AG1279&lt;=99991231),INT(Sync!$AG1279/10000),""),IFERROR(VALUE(TRIM(LEFT(Sync!$AG1279,FIND("/",Sync!$AG1279)-1))),""))))</f>
        <v/>
      </c>
      <c r="H1279">
        <f>IF(OR($F1279="",$G1279=""),"",IF(ISNUMBER(Sync!$AG1279),INT(MOD(Sync!$AG1279,10000)/100),IFERROR(VALUE(TRIM(LEFT(MID(Sync!$AG1279,FIND("/",Sync!$AG1279)+1,20),FIND("/",MID(Sync!$AG1279,FIND("/",Sync!$AG1279)+1,20))-1))),"")))</f>
        <v/>
      </c>
      <c r="I1279">
        <f>IF(OR($F1279="",$G1279=""),"",IF(ISNUMBER(Sync!$AG1279),MOD(Sync!$AG1279,100),IFERROR(VALUE(TRIM(MID(MID(Sync!$AG1279,FIND("/",Sync!$AG1279)+1,20),FIND("/",MID(Sync!$AG1279,FIND("/",Sync!$AG1279)+1,20))+1,20))),"")))</f>
        <v/>
      </c>
      <c r="J1279">
        <f>IF($F1279="","",IF(OR($G1279="",$H1279="",$I1279="",$G1279&lt;1300,$G1279&gt;1500,$H1279&lt;1,$H1279&gt;12,$I1279&lt;1,$I1279&gt;31),"نامعتبر",RIGHT("0000"&amp;$G1279,4)&amp;"/"&amp;RIGHT("00"&amp;$H1279,2)&amp;"/"&amp;RIGHT("00"&amp;$I1279,2)))</f>
        <v/>
      </c>
      <c r="K1279">
        <f>IF(OR($F1279="",$J1279="",$J1279="نامعتبر"),"",LEFT($J1279,4)&amp;MID($J1279,6,2)&amp;RIGHT($J1279,2)&amp;$N1279&amp;"|"&amp;"2"&amp;RIGHT("00000"&amp;1274,5))</f>
        <v/>
      </c>
      <c r="L1279">
        <f>IF($K1279="","",COUNTIFS(LdgPartyA,$F1279,LdgKeyA,"&lt;"&amp;$K1279)+COUNTIFS(LdgPartyB,$F1279,LdgKeyB,"&lt;"&amp;$K1279)+1)</f>
        <v/>
      </c>
      <c r="M1279">
        <f>IF($L1279="","",$F1279&amp;"|"&amp;RIGHT("000000"&amp;$L1279,6))</f>
        <v/>
      </c>
      <c r="N1279">
        <f>IF($F1279="","",IF(Sync!$AH1279="","0000",IF(AND(ISNUMBER(Sync!$AH1279),Sync!$AH1279&gt;=0,Sync!$AH1279&lt;1),RIGHT("00"&amp;HOUR(Sync!$AH1279),2)&amp;RIGHT("00"&amp;MINUTE(Sync!$AH1279),2),IFERROR(RIGHT("00"&amp;VALUE(LEFT(Sync!$AH1279,FIND(":",Sync!$AH1279)-1)),2)&amp;RIGHT("00"&amp;VALUE(MID(Sync!$AH1279,FIND(":",Sync!$AH1279)+1,2)),2),"0000"))))</f>
        <v/>
      </c>
    </row>
    <row r="1280">
      <c r="A1280">
        <f>IF(OR(Calc!$E1283="",Calc!$E1283="نامعتبر",Calc!$G1283="",Calc!$I1283&lt;&gt;"خرید"),"",Calc!$G1283)</f>
        <v/>
      </c>
      <c r="B1280">
        <f>IF($A1280="","",LEFT(Calc!$E1283,4)&amp;MID(Calc!$E1283,6,2)&amp;RIGHT(Calc!$E1283,2)&amp;Calc!$R1283&amp;"|"&amp;"1"&amp;RIGHT("00000"&amp;1275,5))</f>
        <v/>
      </c>
      <c r="C1280">
        <f>IF($B1280="","",COUNTIFS(LdgPartyA,$A1280,LdgKeyA,"&lt;"&amp;$B1280)+COUNTIFS(LdgPartyB,$A1280,LdgKeyB,"&lt;"&amp;$B1280)+1)</f>
        <v/>
      </c>
      <c r="D1280">
        <f>IF($C1280="","",$A1280&amp;"|"&amp;RIGHT("000000"&amp;$C1280,6))</f>
        <v/>
      </c>
      <c r="F1280">
        <f>IF(Sync!$AJ1280="","",Sync!$AJ1280)</f>
        <v/>
      </c>
      <c r="G1280">
        <f>IF($F1280="","",IF(Sync!$AG1280="","",IF(ISNUMBER(Sync!$AG1280),IF(AND(Sync!$AG1280&gt;=10000101,Sync!$AG1280&lt;=99991231),INT(Sync!$AG1280/10000),""),IFERROR(VALUE(TRIM(LEFT(Sync!$AG1280,FIND("/",Sync!$AG1280)-1))),""))))</f>
        <v/>
      </c>
      <c r="H1280">
        <f>IF(OR($F1280="",$G1280=""),"",IF(ISNUMBER(Sync!$AG1280),INT(MOD(Sync!$AG1280,10000)/100),IFERROR(VALUE(TRIM(LEFT(MID(Sync!$AG1280,FIND("/",Sync!$AG1280)+1,20),FIND("/",MID(Sync!$AG1280,FIND("/",Sync!$AG1280)+1,20))-1))),"")))</f>
        <v/>
      </c>
      <c r="I1280">
        <f>IF(OR($F1280="",$G1280=""),"",IF(ISNUMBER(Sync!$AG1280),MOD(Sync!$AG1280,100),IFERROR(VALUE(TRIM(MID(MID(Sync!$AG1280,FIND("/",Sync!$AG1280)+1,20),FIND("/",MID(Sync!$AG1280,FIND("/",Sync!$AG1280)+1,20))+1,20))),"")))</f>
        <v/>
      </c>
      <c r="J1280">
        <f>IF($F1280="","",IF(OR($G1280="",$H1280="",$I1280="",$G1280&lt;1300,$G1280&gt;1500,$H1280&lt;1,$H1280&gt;12,$I1280&lt;1,$I1280&gt;31),"نامعتبر",RIGHT("0000"&amp;$G1280,4)&amp;"/"&amp;RIGHT("00"&amp;$H1280,2)&amp;"/"&amp;RIGHT("00"&amp;$I1280,2)))</f>
        <v/>
      </c>
      <c r="K1280">
        <f>IF(OR($F1280="",$J1280="",$J1280="نامعتبر"),"",LEFT($J1280,4)&amp;MID($J1280,6,2)&amp;RIGHT($J1280,2)&amp;$N1280&amp;"|"&amp;"2"&amp;RIGHT("00000"&amp;1275,5))</f>
        <v/>
      </c>
      <c r="L1280">
        <f>IF($K1280="","",COUNTIFS(LdgPartyA,$F1280,LdgKeyA,"&lt;"&amp;$K1280)+COUNTIFS(LdgPartyB,$F1280,LdgKeyB,"&lt;"&amp;$K1280)+1)</f>
        <v/>
      </c>
      <c r="M1280">
        <f>IF($L1280="","",$F1280&amp;"|"&amp;RIGHT("000000"&amp;$L1280,6))</f>
        <v/>
      </c>
      <c r="N1280">
        <f>IF($F1280="","",IF(Sync!$AH1280="","0000",IF(AND(ISNUMBER(Sync!$AH1280),Sync!$AH1280&gt;=0,Sync!$AH1280&lt;1),RIGHT("00"&amp;HOUR(Sync!$AH1280),2)&amp;RIGHT("00"&amp;MINUTE(Sync!$AH1280),2),IFERROR(RIGHT("00"&amp;VALUE(LEFT(Sync!$AH1280,FIND(":",Sync!$AH1280)-1)),2)&amp;RIGHT("00"&amp;VALUE(MID(Sync!$AH1280,FIND(":",Sync!$AH1280)+1,2)),2),"0000"))))</f>
        <v/>
      </c>
    </row>
    <row r="1281">
      <c r="A1281">
        <f>IF(OR(Calc!$E1284="",Calc!$E1284="نامعتبر",Calc!$G1284="",Calc!$I1284&lt;&gt;"خرید"),"",Calc!$G1284)</f>
        <v/>
      </c>
      <c r="B1281">
        <f>IF($A1281="","",LEFT(Calc!$E1284,4)&amp;MID(Calc!$E1284,6,2)&amp;RIGHT(Calc!$E1284,2)&amp;Calc!$R1284&amp;"|"&amp;"1"&amp;RIGHT("00000"&amp;1276,5))</f>
        <v/>
      </c>
      <c r="C1281">
        <f>IF($B1281="","",COUNTIFS(LdgPartyA,$A1281,LdgKeyA,"&lt;"&amp;$B1281)+COUNTIFS(LdgPartyB,$A1281,LdgKeyB,"&lt;"&amp;$B1281)+1)</f>
        <v/>
      </c>
      <c r="D1281">
        <f>IF($C1281="","",$A1281&amp;"|"&amp;RIGHT("000000"&amp;$C1281,6))</f>
        <v/>
      </c>
      <c r="F1281">
        <f>IF(Sync!$AJ1281="","",Sync!$AJ1281)</f>
        <v/>
      </c>
      <c r="G1281">
        <f>IF($F1281="","",IF(Sync!$AG1281="","",IF(ISNUMBER(Sync!$AG1281),IF(AND(Sync!$AG1281&gt;=10000101,Sync!$AG1281&lt;=99991231),INT(Sync!$AG1281/10000),""),IFERROR(VALUE(TRIM(LEFT(Sync!$AG1281,FIND("/",Sync!$AG1281)-1))),""))))</f>
        <v/>
      </c>
      <c r="H1281">
        <f>IF(OR($F1281="",$G1281=""),"",IF(ISNUMBER(Sync!$AG1281),INT(MOD(Sync!$AG1281,10000)/100),IFERROR(VALUE(TRIM(LEFT(MID(Sync!$AG1281,FIND("/",Sync!$AG1281)+1,20),FIND("/",MID(Sync!$AG1281,FIND("/",Sync!$AG1281)+1,20))-1))),"")))</f>
        <v/>
      </c>
      <c r="I1281">
        <f>IF(OR($F1281="",$G1281=""),"",IF(ISNUMBER(Sync!$AG1281),MOD(Sync!$AG1281,100),IFERROR(VALUE(TRIM(MID(MID(Sync!$AG1281,FIND("/",Sync!$AG1281)+1,20),FIND("/",MID(Sync!$AG1281,FIND("/",Sync!$AG1281)+1,20))+1,20))),"")))</f>
        <v/>
      </c>
      <c r="J1281">
        <f>IF($F1281="","",IF(OR($G1281="",$H1281="",$I1281="",$G1281&lt;1300,$G1281&gt;1500,$H1281&lt;1,$H1281&gt;12,$I1281&lt;1,$I1281&gt;31),"نامعتبر",RIGHT("0000"&amp;$G1281,4)&amp;"/"&amp;RIGHT("00"&amp;$H1281,2)&amp;"/"&amp;RIGHT("00"&amp;$I1281,2)))</f>
        <v/>
      </c>
      <c r="K1281">
        <f>IF(OR($F1281="",$J1281="",$J1281="نامعتبر"),"",LEFT($J1281,4)&amp;MID($J1281,6,2)&amp;RIGHT($J1281,2)&amp;$N1281&amp;"|"&amp;"2"&amp;RIGHT("00000"&amp;1276,5))</f>
        <v/>
      </c>
      <c r="L1281">
        <f>IF($K1281="","",COUNTIFS(LdgPartyA,$F1281,LdgKeyA,"&lt;"&amp;$K1281)+COUNTIFS(LdgPartyB,$F1281,LdgKeyB,"&lt;"&amp;$K1281)+1)</f>
        <v/>
      </c>
      <c r="M1281">
        <f>IF($L1281="","",$F1281&amp;"|"&amp;RIGHT("000000"&amp;$L1281,6))</f>
        <v/>
      </c>
      <c r="N1281">
        <f>IF($F1281="","",IF(Sync!$AH1281="","0000",IF(AND(ISNUMBER(Sync!$AH1281),Sync!$AH1281&gt;=0,Sync!$AH1281&lt;1),RIGHT("00"&amp;HOUR(Sync!$AH1281),2)&amp;RIGHT("00"&amp;MINUTE(Sync!$AH1281),2),IFERROR(RIGHT("00"&amp;VALUE(LEFT(Sync!$AH1281,FIND(":",Sync!$AH1281)-1)),2)&amp;RIGHT("00"&amp;VALUE(MID(Sync!$AH1281,FIND(":",Sync!$AH1281)+1,2)),2),"0000"))))</f>
        <v/>
      </c>
    </row>
    <row r="1282">
      <c r="A1282">
        <f>IF(OR(Calc!$E1285="",Calc!$E1285="نامعتبر",Calc!$G1285="",Calc!$I1285&lt;&gt;"خرید"),"",Calc!$G1285)</f>
        <v/>
      </c>
      <c r="B1282">
        <f>IF($A1282="","",LEFT(Calc!$E1285,4)&amp;MID(Calc!$E1285,6,2)&amp;RIGHT(Calc!$E1285,2)&amp;Calc!$R1285&amp;"|"&amp;"1"&amp;RIGHT("00000"&amp;1277,5))</f>
        <v/>
      </c>
      <c r="C1282">
        <f>IF($B1282="","",COUNTIFS(LdgPartyA,$A1282,LdgKeyA,"&lt;"&amp;$B1282)+COUNTIFS(LdgPartyB,$A1282,LdgKeyB,"&lt;"&amp;$B1282)+1)</f>
        <v/>
      </c>
      <c r="D1282">
        <f>IF($C1282="","",$A1282&amp;"|"&amp;RIGHT("000000"&amp;$C1282,6))</f>
        <v/>
      </c>
      <c r="F1282">
        <f>IF(Sync!$AJ1282="","",Sync!$AJ1282)</f>
        <v/>
      </c>
      <c r="G1282">
        <f>IF($F1282="","",IF(Sync!$AG1282="","",IF(ISNUMBER(Sync!$AG1282),IF(AND(Sync!$AG1282&gt;=10000101,Sync!$AG1282&lt;=99991231),INT(Sync!$AG1282/10000),""),IFERROR(VALUE(TRIM(LEFT(Sync!$AG1282,FIND("/",Sync!$AG1282)-1))),""))))</f>
        <v/>
      </c>
      <c r="H1282">
        <f>IF(OR($F1282="",$G1282=""),"",IF(ISNUMBER(Sync!$AG1282),INT(MOD(Sync!$AG1282,10000)/100),IFERROR(VALUE(TRIM(LEFT(MID(Sync!$AG1282,FIND("/",Sync!$AG1282)+1,20),FIND("/",MID(Sync!$AG1282,FIND("/",Sync!$AG1282)+1,20))-1))),"")))</f>
        <v/>
      </c>
      <c r="I1282">
        <f>IF(OR($F1282="",$G1282=""),"",IF(ISNUMBER(Sync!$AG1282),MOD(Sync!$AG1282,100),IFERROR(VALUE(TRIM(MID(MID(Sync!$AG1282,FIND("/",Sync!$AG1282)+1,20),FIND("/",MID(Sync!$AG1282,FIND("/",Sync!$AG1282)+1,20))+1,20))),"")))</f>
        <v/>
      </c>
      <c r="J1282">
        <f>IF($F1282="","",IF(OR($G1282="",$H1282="",$I1282="",$G1282&lt;1300,$G1282&gt;1500,$H1282&lt;1,$H1282&gt;12,$I1282&lt;1,$I1282&gt;31),"نامعتبر",RIGHT("0000"&amp;$G1282,4)&amp;"/"&amp;RIGHT("00"&amp;$H1282,2)&amp;"/"&amp;RIGHT("00"&amp;$I1282,2)))</f>
        <v/>
      </c>
      <c r="K1282">
        <f>IF(OR($F1282="",$J1282="",$J1282="نامعتبر"),"",LEFT($J1282,4)&amp;MID($J1282,6,2)&amp;RIGHT($J1282,2)&amp;$N1282&amp;"|"&amp;"2"&amp;RIGHT("00000"&amp;1277,5))</f>
        <v/>
      </c>
      <c r="L1282">
        <f>IF($K1282="","",COUNTIFS(LdgPartyA,$F1282,LdgKeyA,"&lt;"&amp;$K1282)+COUNTIFS(LdgPartyB,$F1282,LdgKeyB,"&lt;"&amp;$K1282)+1)</f>
        <v/>
      </c>
      <c r="M1282">
        <f>IF($L1282="","",$F1282&amp;"|"&amp;RIGHT("000000"&amp;$L1282,6))</f>
        <v/>
      </c>
      <c r="N1282">
        <f>IF($F1282="","",IF(Sync!$AH1282="","0000",IF(AND(ISNUMBER(Sync!$AH1282),Sync!$AH1282&gt;=0,Sync!$AH1282&lt;1),RIGHT("00"&amp;HOUR(Sync!$AH1282),2)&amp;RIGHT("00"&amp;MINUTE(Sync!$AH1282),2),IFERROR(RIGHT("00"&amp;VALUE(LEFT(Sync!$AH1282,FIND(":",Sync!$AH1282)-1)),2)&amp;RIGHT("00"&amp;VALUE(MID(Sync!$AH1282,FIND(":",Sync!$AH1282)+1,2)),2),"0000"))))</f>
        <v/>
      </c>
    </row>
    <row r="1283">
      <c r="A1283">
        <f>IF(OR(Calc!$E1286="",Calc!$E1286="نامعتبر",Calc!$G1286="",Calc!$I1286&lt;&gt;"خرید"),"",Calc!$G1286)</f>
        <v/>
      </c>
      <c r="B1283">
        <f>IF($A1283="","",LEFT(Calc!$E1286,4)&amp;MID(Calc!$E1286,6,2)&amp;RIGHT(Calc!$E1286,2)&amp;Calc!$R1286&amp;"|"&amp;"1"&amp;RIGHT("00000"&amp;1278,5))</f>
        <v/>
      </c>
      <c r="C1283">
        <f>IF($B1283="","",COUNTIFS(LdgPartyA,$A1283,LdgKeyA,"&lt;"&amp;$B1283)+COUNTIFS(LdgPartyB,$A1283,LdgKeyB,"&lt;"&amp;$B1283)+1)</f>
        <v/>
      </c>
      <c r="D1283">
        <f>IF($C1283="","",$A1283&amp;"|"&amp;RIGHT("000000"&amp;$C1283,6))</f>
        <v/>
      </c>
      <c r="F1283">
        <f>IF(Sync!$AJ1283="","",Sync!$AJ1283)</f>
        <v/>
      </c>
      <c r="G1283">
        <f>IF($F1283="","",IF(Sync!$AG1283="","",IF(ISNUMBER(Sync!$AG1283),IF(AND(Sync!$AG1283&gt;=10000101,Sync!$AG1283&lt;=99991231),INT(Sync!$AG1283/10000),""),IFERROR(VALUE(TRIM(LEFT(Sync!$AG1283,FIND("/",Sync!$AG1283)-1))),""))))</f>
        <v/>
      </c>
      <c r="H1283">
        <f>IF(OR($F1283="",$G1283=""),"",IF(ISNUMBER(Sync!$AG1283),INT(MOD(Sync!$AG1283,10000)/100),IFERROR(VALUE(TRIM(LEFT(MID(Sync!$AG1283,FIND("/",Sync!$AG1283)+1,20),FIND("/",MID(Sync!$AG1283,FIND("/",Sync!$AG1283)+1,20))-1))),"")))</f>
        <v/>
      </c>
      <c r="I1283">
        <f>IF(OR($F1283="",$G1283=""),"",IF(ISNUMBER(Sync!$AG1283),MOD(Sync!$AG1283,100),IFERROR(VALUE(TRIM(MID(MID(Sync!$AG1283,FIND("/",Sync!$AG1283)+1,20),FIND("/",MID(Sync!$AG1283,FIND("/",Sync!$AG1283)+1,20))+1,20))),"")))</f>
        <v/>
      </c>
      <c r="J1283">
        <f>IF($F1283="","",IF(OR($G1283="",$H1283="",$I1283="",$G1283&lt;1300,$G1283&gt;1500,$H1283&lt;1,$H1283&gt;12,$I1283&lt;1,$I1283&gt;31),"نامعتبر",RIGHT("0000"&amp;$G1283,4)&amp;"/"&amp;RIGHT("00"&amp;$H1283,2)&amp;"/"&amp;RIGHT("00"&amp;$I1283,2)))</f>
        <v/>
      </c>
      <c r="K1283">
        <f>IF(OR($F1283="",$J1283="",$J1283="نامعتبر"),"",LEFT($J1283,4)&amp;MID($J1283,6,2)&amp;RIGHT($J1283,2)&amp;$N1283&amp;"|"&amp;"2"&amp;RIGHT("00000"&amp;1278,5))</f>
        <v/>
      </c>
      <c r="L1283">
        <f>IF($K1283="","",COUNTIFS(LdgPartyA,$F1283,LdgKeyA,"&lt;"&amp;$K1283)+COUNTIFS(LdgPartyB,$F1283,LdgKeyB,"&lt;"&amp;$K1283)+1)</f>
        <v/>
      </c>
      <c r="M1283">
        <f>IF($L1283="","",$F1283&amp;"|"&amp;RIGHT("000000"&amp;$L1283,6))</f>
        <v/>
      </c>
      <c r="N1283">
        <f>IF($F1283="","",IF(Sync!$AH1283="","0000",IF(AND(ISNUMBER(Sync!$AH1283),Sync!$AH1283&gt;=0,Sync!$AH1283&lt;1),RIGHT("00"&amp;HOUR(Sync!$AH1283),2)&amp;RIGHT("00"&amp;MINUTE(Sync!$AH1283),2),IFERROR(RIGHT("00"&amp;VALUE(LEFT(Sync!$AH1283,FIND(":",Sync!$AH1283)-1)),2)&amp;RIGHT("00"&amp;VALUE(MID(Sync!$AH1283,FIND(":",Sync!$AH1283)+1,2)),2),"0000"))))</f>
        <v/>
      </c>
    </row>
    <row r="1284">
      <c r="A1284">
        <f>IF(OR(Calc!$E1287="",Calc!$E1287="نامعتبر",Calc!$G1287="",Calc!$I1287&lt;&gt;"خرید"),"",Calc!$G1287)</f>
        <v/>
      </c>
      <c r="B1284">
        <f>IF($A1284="","",LEFT(Calc!$E1287,4)&amp;MID(Calc!$E1287,6,2)&amp;RIGHT(Calc!$E1287,2)&amp;Calc!$R1287&amp;"|"&amp;"1"&amp;RIGHT("00000"&amp;1279,5))</f>
        <v/>
      </c>
      <c r="C1284">
        <f>IF($B1284="","",COUNTIFS(LdgPartyA,$A1284,LdgKeyA,"&lt;"&amp;$B1284)+COUNTIFS(LdgPartyB,$A1284,LdgKeyB,"&lt;"&amp;$B1284)+1)</f>
        <v/>
      </c>
      <c r="D1284">
        <f>IF($C1284="","",$A1284&amp;"|"&amp;RIGHT("000000"&amp;$C1284,6))</f>
        <v/>
      </c>
      <c r="F1284">
        <f>IF(Sync!$AJ1284="","",Sync!$AJ1284)</f>
        <v/>
      </c>
      <c r="G1284">
        <f>IF($F1284="","",IF(Sync!$AG1284="","",IF(ISNUMBER(Sync!$AG1284),IF(AND(Sync!$AG1284&gt;=10000101,Sync!$AG1284&lt;=99991231),INT(Sync!$AG1284/10000),""),IFERROR(VALUE(TRIM(LEFT(Sync!$AG1284,FIND("/",Sync!$AG1284)-1))),""))))</f>
        <v/>
      </c>
      <c r="H1284">
        <f>IF(OR($F1284="",$G1284=""),"",IF(ISNUMBER(Sync!$AG1284),INT(MOD(Sync!$AG1284,10000)/100),IFERROR(VALUE(TRIM(LEFT(MID(Sync!$AG1284,FIND("/",Sync!$AG1284)+1,20),FIND("/",MID(Sync!$AG1284,FIND("/",Sync!$AG1284)+1,20))-1))),"")))</f>
        <v/>
      </c>
      <c r="I1284">
        <f>IF(OR($F1284="",$G1284=""),"",IF(ISNUMBER(Sync!$AG1284),MOD(Sync!$AG1284,100),IFERROR(VALUE(TRIM(MID(MID(Sync!$AG1284,FIND("/",Sync!$AG1284)+1,20),FIND("/",MID(Sync!$AG1284,FIND("/",Sync!$AG1284)+1,20))+1,20))),"")))</f>
        <v/>
      </c>
      <c r="J1284">
        <f>IF($F1284="","",IF(OR($G1284="",$H1284="",$I1284="",$G1284&lt;1300,$G1284&gt;1500,$H1284&lt;1,$H1284&gt;12,$I1284&lt;1,$I1284&gt;31),"نامعتبر",RIGHT("0000"&amp;$G1284,4)&amp;"/"&amp;RIGHT("00"&amp;$H1284,2)&amp;"/"&amp;RIGHT("00"&amp;$I1284,2)))</f>
        <v/>
      </c>
      <c r="K1284">
        <f>IF(OR($F1284="",$J1284="",$J1284="نامعتبر"),"",LEFT($J1284,4)&amp;MID($J1284,6,2)&amp;RIGHT($J1284,2)&amp;$N1284&amp;"|"&amp;"2"&amp;RIGHT("00000"&amp;1279,5))</f>
        <v/>
      </c>
      <c r="L1284">
        <f>IF($K1284="","",COUNTIFS(LdgPartyA,$F1284,LdgKeyA,"&lt;"&amp;$K1284)+COUNTIFS(LdgPartyB,$F1284,LdgKeyB,"&lt;"&amp;$K1284)+1)</f>
        <v/>
      </c>
      <c r="M1284">
        <f>IF($L1284="","",$F1284&amp;"|"&amp;RIGHT("000000"&amp;$L1284,6))</f>
        <v/>
      </c>
      <c r="N1284">
        <f>IF($F1284="","",IF(Sync!$AH1284="","0000",IF(AND(ISNUMBER(Sync!$AH1284),Sync!$AH1284&gt;=0,Sync!$AH1284&lt;1),RIGHT("00"&amp;HOUR(Sync!$AH1284),2)&amp;RIGHT("00"&amp;MINUTE(Sync!$AH1284),2),IFERROR(RIGHT("00"&amp;VALUE(LEFT(Sync!$AH1284,FIND(":",Sync!$AH1284)-1)),2)&amp;RIGHT("00"&amp;VALUE(MID(Sync!$AH1284,FIND(":",Sync!$AH1284)+1,2)),2),"0000"))))</f>
        <v/>
      </c>
    </row>
    <row r="1285">
      <c r="A1285">
        <f>IF(OR(Calc!$E1288="",Calc!$E1288="نامعتبر",Calc!$G1288="",Calc!$I1288&lt;&gt;"خرید"),"",Calc!$G1288)</f>
        <v/>
      </c>
      <c r="B1285">
        <f>IF($A1285="","",LEFT(Calc!$E1288,4)&amp;MID(Calc!$E1288,6,2)&amp;RIGHT(Calc!$E1288,2)&amp;Calc!$R1288&amp;"|"&amp;"1"&amp;RIGHT("00000"&amp;1280,5))</f>
        <v/>
      </c>
      <c r="C1285">
        <f>IF($B1285="","",COUNTIFS(LdgPartyA,$A1285,LdgKeyA,"&lt;"&amp;$B1285)+COUNTIFS(LdgPartyB,$A1285,LdgKeyB,"&lt;"&amp;$B1285)+1)</f>
        <v/>
      </c>
      <c r="D1285">
        <f>IF($C1285="","",$A1285&amp;"|"&amp;RIGHT("000000"&amp;$C1285,6))</f>
        <v/>
      </c>
      <c r="F1285">
        <f>IF(Sync!$AJ1285="","",Sync!$AJ1285)</f>
        <v/>
      </c>
      <c r="G1285">
        <f>IF($F1285="","",IF(Sync!$AG1285="","",IF(ISNUMBER(Sync!$AG1285),IF(AND(Sync!$AG1285&gt;=10000101,Sync!$AG1285&lt;=99991231),INT(Sync!$AG1285/10000),""),IFERROR(VALUE(TRIM(LEFT(Sync!$AG1285,FIND("/",Sync!$AG1285)-1))),""))))</f>
        <v/>
      </c>
      <c r="H1285">
        <f>IF(OR($F1285="",$G1285=""),"",IF(ISNUMBER(Sync!$AG1285),INT(MOD(Sync!$AG1285,10000)/100),IFERROR(VALUE(TRIM(LEFT(MID(Sync!$AG1285,FIND("/",Sync!$AG1285)+1,20),FIND("/",MID(Sync!$AG1285,FIND("/",Sync!$AG1285)+1,20))-1))),"")))</f>
        <v/>
      </c>
      <c r="I1285">
        <f>IF(OR($F1285="",$G1285=""),"",IF(ISNUMBER(Sync!$AG1285),MOD(Sync!$AG1285,100),IFERROR(VALUE(TRIM(MID(MID(Sync!$AG1285,FIND("/",Sync!$AG1285)+1,20),FIND("/",MID(Sync!$AG1285,FIND("/",Sync!$AG1285)+1,20))+1,20))),"")))</f>
        <v/>
      </c>
      <c r="J1285">
        <f>IF($F1285="","",IF(OR($G1285="",$H1285="",$I1285="",$G1285&lt;1300,$G1285&gt;1500,$H1285&lt;1,$H1285&gt;12,$I1285&lt;1,$I1285&gt;31),"نامعتبر",RIGHT("0000"&amp;$G1285,4)&amp;"/"&amp;RIGHT("00"&amp;$H1285,2)&amp;"/"&amp;RIGHT("00"&amp;$I1285,2)))</f>
        <v/>
      </c>
      <c r="K1285">
        <f>IF(OR($F1285="",$J1285="",$J1285="نامعتبر"),"",LEFT($J1285,4)&amp;MID($J1285,6,2)&amp;RIGHT($J1285,2)&amp;$N1285&amp;"|"&amp;"2"&amp;RIGHT("00000"&amp;1280,5))</f>
        <v/>
      </c>
      <c r="L1285">
        <f>IF($K1285="","",COUNTIFS(LdgPartyA,$F1285,LdgKeyA,"&lt;"&amp;$K1285)+COUNTIFS(LdgPartyB,$F1285,LdgKeyB,"&lt;"&amp;$K1285)+1)</f>
        <v/>
      </c>
      <c r="M1285">
        <f>IF($L1285="","",$F1285&amp;"|"&amp;RIGHT("000000"&amp;$L1285,6))</f>
        <v/>
      </c>
      <c r="N1285">
        <f>IF($F1285="","",IF(Sync!$AH1285="","0000",IF(AND(ISNUMBER(Sync!$AH1285),Sync!$AH1285&gt;=0,Sync!$AH1285&lt;1),RIGHT("00"&amp;HOUR(Sync!$AH1285),2)&amp;RIGHT("00"&amp;MINUTE(Sync!$AH1285),2),IFERROR(RIGHT("00"&amp;VALUE(LEFT(Sync!$AH1285,FIND(":",Sync!$AH1285)-1)),2)&amp;RIGHT("00"&amp;VALUE(MID(Sync!$AH1285,FIND(":",Sync!$AH1285)+1,2)),2),"0000"))))</f>
        <v/>
      </c>
    </row>
    <row r="1286">
      <c r="A1286">
        <f>IF(OR(Calc!$E1289="",Calc!$E1289="نامعتبر",Calc!$G1289="",Calc!$I1289&lt;&gt;"خرید"),"",Calc!$G1289)</f>
        <v/>
      </c>
      <c r="B1286">
        <f>IF($A1286="","",LEFT(Calc!$E1289,4)&amp;MID(Calc!$E1289,6,2)&amp;RIGHT(Calc!$E1289,2)&amp;Calc!$R1289&amp;"|"&amp;"1"&amp;RIGHT("00000"&amp;1281,5))</f>
        <v/>
      </c>
      <c r="C1286">
        <f>IF($B1286="","",COUNTIFS(LdgPartyA,$A1286,LdgKeyA,"&lt;"&amp;$B1286)+COUNTIFS(LdgPartyB,$A1286,LdgKeyB,"&lt;"&amp;$B1286)+1)</f>
        <v/>
      </c>
      <c r="D1286">
        <f>IF($C1286="","",$A1286&amp;"|"&amp;RIGHT("000000"&amp;$C1286,6))</f>
        <v/>
      </c>
      <c r="F1286">
        <f>IF(Sync!$AJ1286="","",Sync!$AJ1286)</f>
        <v/>
      </c>
      <c r="G1286">
        <f>IF($F1286="","",IF(Sync!$AG1286="","",IF(ISNUMBER(Sync!$AG1286),IF(AND(Sync!$AG1286&gt;=10000101,Sync!$AG1286&lt;=99991231),INT(Sync!$AG1286/10000),""),IFERROR(VALUE(TRIM(LEFT(Sync!$AG1286,FIND("/",Sync!$AG1286)-1))),""))))</f>
        <v/>
      </c>
      <c r="H1286">
        <f>IF(OR($F1286="",$G1286=""),"",IF(ISNUMBER(Sync!$AG1286),INT(MOD(Sync!$AG1286,10000)/100),IFERROR(VALUE(TRIM(LEFT(MID(Sync!$AG1286,FIND("/",Sync!$AG1286)+1,20),FIND("/",MID(Sync!$AG1286,FIND("/",Sync!$AG1286)+1,20))-1))),"")))</f>
        <v/>
      </c>
      <c r="I1286">
        <f>IF(OR($F1286="",$G1286=""),"",IF(ISNUMBER(Sync!$AG1286),MOD(Sync!$AG1286,100),IFERROR(VALUE(TRIM(MID(MID(Sync!$AG1286,FIND("/",Sync!$AG1286)+1,20),FIND("/",MID(Sync!$AG1286,FIND("/",Sync!$AG1286)+1,20))+1,20))),"")))</f>
        <v/>
      </c>
      <c r="J1286">
        <f>IF($F1286="","",IF(OR($G1286="",$H1286="",$I1286="",$G1286&lt;1300,$G1286&gt;1500,$H1286&lt;1,$H1286&gt;12,$I1286&lt;1,$I1286&gt;31),"نامعتبر",RIGHT("0000"&amp;$G1286,4)&amp;"/"&amp;RIGHT("00"&amp;$H1286,2)&amp;"/"&amp;RIGHT("00"&amp;$I1286,2)))</f>
        <v/>
      </c>
      <c r="K1286">
        <f>IF(OR($F1286="",$J1286="",$J1286="نامعتبر"),"",LEFT($J1286,4)&amp;MID($J1286,6,2)&amp;RIGHT($J1286,2)&amp;$N1286&amp;"|"&amp;"2"&amp;RIGHT("00000"&amp;1281,5))</f>
        <v/>
      </c>
      <c r="L1286">
        <f>IF($K1286="","",COUNTIFS(LdgPartyA,$F1286,LdgKeyA,"&lt;"&amp;$K1286)+COUNTIFS(LdgPartyB,$F1286,LdgKeyB,"&lt;"&amp;$K1286)+1)</f>
        <v/>
      </c>
      <c r="M1286">
        <f>IF($L1286="","",$F1286&amp;"|"&amp;RIGHT("000000"&amp;$L1286,6))</f>
        <v/>
      </c>
      <c r="N1286">
        <f>IF($F1286="","",IF(Sync!$AH1286="","0000",IF(AND(ISNUMBER(Sync!$AH1286),Sync!$AH1286&gt;=0,Sync!$AH1286&lt;1),RIGHT("00"&amp;HOUR(Sync!$AH1286),2)&amp;RIGHT("00"&amp;MINUTE(Sync!$AH1286),2),IFERROR(RIGHT("00"&amp;VALUE(LEFT(Sync!$AH1286,FIND(":",Sync!$AH1286)-1)),2)&amp;RIGHT("00"&amp;VALUE(MID(Sync!$AH1286,FIND(":",Sync!$AH1286)+1,2)),2),"0000"))))</f>
        <v/>
      </c>
    </row>
    <row r="1287">
      <c r="A1287">
        <f>IF(OR(Calc!$E1290="",Calc!$E1290="نامعتبر",Calc!$G1290="",Calc!$I1290&lt;&gt;"خرید"),"",Calc!$G1290)</f>
        <v/>
      </c>
      <c r="B1287">
        <f>IF($A1287="","",LEFT(Calc!$E1290,4)&amp;MID(Calc!$E1290,6,2)&amp;RIGHT(Calc!$E1290,2)&amp;Calc!$R1290&amp;"|"&amp;"1"&amp;RIGHT("00000"&amp;1282,5))</f>
        <v/>
      </c>
      <c r="C1287">
        <f>IF($B1287="","",COUNTIFS(LdgPartyA,$A1287,LdgKeyA,"&lt;"&amp;$B1287)+COUNTIFS(LdgPartyB,$A1287,LdgKeyB,"&lt;"&amp;$B1287)+1)</f>
        <v/>
      </c>
      <c r="D1287">
        <f>IF($C1287="","",$A1287&amp;"|"&amp;RIGHT("000000"&amp;$C1287,6))</f>
        <v/>
      </c>
      <c r="F1287">
        <f>IF(Sync!$AJ1287="","",Sync!$AJ1287)</f>
        <v/>
      </c>
      <c r="G1287">
        <f>IF($F1287="","",IF(Sync!$AG1287="","",IF(ISNUMBER(Sync!$AG1287),IF(AND(Sync!$AG1287&gt;=10000101,Sync!$AG1287&lt;=99991231),INT(Sync!$AG1287/10000),""),IFERROR(VALUE(TRIM(LEFT(Sync!$AG1287,FIND("/",Sync!$AG1287)-1))),""))))</f>
        <v/>
      </c>
      <c r="H1287">
        <f>IF(OR($F1287="",$G1287=""),"",IF(ISNUMBER(Sync!$AG1287),INT(MOD(Sync!$AG1287,10000)/100),IFERROR(VALUE(TRIM(LEFT(MID(Sync!$AG1287,FIND("/",Sync!$AG1287)+1,20),FIND("/",MID(Sync!$AG1287,FIND("/",Sync!$AG1287)+1,20))-1))),"")))</f>
        <v/>
      </c>
      <c r="I1287">
        <f>IF(OR($F1287="",$G1287=""),"",IF(ISNUMBER(Sync!$AG1287),MOD(Sync!$AG1287,100),IFERROR(VALUE(TRIM(MID(MID(Sync!$AG1287,FIND("/",Sync!$AG1287)+1,20),FIND("/",MID(Sync!$AG1287,FIND("/",Sync!$AG1287)+1,20))+1,20))),"")))</f>
        <v/>
      </c>
      <c r="J1287">
        <f>IF($F1287="","",IF(OR($G1287="",$H1287="",$I1287="",$G1287&lt;1300,$G1287&gt;1500,$H1287&lt;1,$H1287&gt;12,$I1287&lt;1,$I1287&gt;31),"نامعتبر",RIGHT("0000"&amp;$G1287,4)&amp;"/"&amp;RIGHT("00"&amp;$H1287,2)&amp;"/"&amp;RIGHT("00"&amp;$I1287,2)))</f>
        <v/>
      </c>
      <c r="K1287">
        <f>IF(OR($F1287="",$J1287="",$J1287="نامعتبر"),"",LEFT($J1287,4)&amp;MID($J1287,6,2)&amp;RIGHT($J1287,2)&amp;$N1287&amp;"|"&amp;"2"&amp;RIGHT("00000"&amp;1282,5))</f>
        <v/>
      </c>
      <c r="L1287">
        <f>IF($K1287="","",COUNTIFS(LdgPartyA,$F1287,LdgKeyA,"&lt;"&amp;$K1287)+COUNTIFS(LdgPartyB,$F1287,LdgKeyB,"&lt;"&amp;$K1287)+1)</f>
        <v/>
      </c>
      <c r="M1287">
        <f>IF($L1287="","",$F1287&amp;"|"&amp;RIGHT("000000"&amp;$L1287,6))</f>
        <v/>
      </c>
      <c r="N1287">
        <f>IF($F1287="","",IF(Sync!$AH1287="","0000",IF(AND(ISNUMBER(Sync!$AH1287),Sync!$AH1287&gt;=0,Sync!$AH1287&lt;1),RIGHT("00"&amp;HOUR(Sync!$AH1287),2)&amp;RIGHT("00"&amp;MINUTE(Sync!$AH1287),2),IFERROR(RIGHT("00"&amp;VALUE(LEFT(Sync!$AH1287,FIND(":",Sync!$AH1287)-1)),2)&amp;RIGHT("00"&amp;VALUE(MID(Sync!$AH1287,FIND(":",Sync!$AH1287)+1,2)),2),"0000"))))</f>
        <v/>
      </c>
    </row>
    <row r="1288">
      <c r="A1288">
        <f>IF(OR(Calc!$E1291="",Calc!$E1291="نامعتبر",Calc!$G1291="",Calc!$I1291&lt;&gt;"خرید"),"",Calc!$G1291)</f>
        <v/>
      </c>
      <c r="B1288">
        <f>IF($A1288="","",LEFT(Calc!$E1291,4)&amp;MID(Calc!$E1291,6,2)&amp;RIGHT(Calc!$E1291,2)&amp;Calc!$R1291&amp;"|"&amp;"1"&amp;RIGHT("00000"&amp;1283,5))</f>
        <v/>
      </c>
      <c r="C1288">
        <f>IF($B1288="","",COUNTIFS(LdgPartyA,$A1288,LdgKeyA,"&lt;"&amp;$B1288)+COUNTIFS(LdgPartyB,$A1288,LdgKeyB,"&lt;"&amp;$B1288)+1)</f>
        <v/>
      </c>
      <c r="D1288">
        <f>IF($C1288="","",$A1288&amp;"|"&amp;RIGHT("000000"&amp;$C1288,6))</f>
        <v/>
      </c>
      <c r="F1288">
        <f>IF(Sync!$AJ1288="","",Sync!$AJ1288)</f>
        <v/>
      </c>
      <c r="G1288">
        <f>IF($F1288="","",IF(Sync!$AG1288="","",IF(ISNUMBER(Sync!$AG1288),IF(AND(Sync!$AG1288&gt;=10000101,Sync!$AG1288&lt;=99991231),INT(Sync!$AG1288/10000),""),IFERROR(VALUE(TRIM(LEFT(Sync!$AG1288,FIND("/",Sync!$AG1288)-1))),""))))</f>
        <v/>
      </c>
      <c r="H1288">
        <f>IF(OR($F1288="",$G1288=""),"",IF(ISNUMBER(Sync!$AG1288),INT(MOD(Sync!$AG1288,10000)/100),IFERROR(VALUE(TRIM(LEFT(MID(Sync!$AG1288,FIND("/",Sync!$AG1288)+1,20),FIND("/",MID(Sync!$AG1288,FIND("/",Sync!$AG1288)+1,20))-1))),"")))</f>
        <v/>
      </c>
      <c r="I1288">
        <f>IF(OR($F1288="",$G1288=""),"",IF(ISNUMBER(Sync!$AG1288),MOD(Sync!$AG1288,100),IFERROR(VALUE(TRIM(MID(MID(Sync!$AG1288,FIND("/",Sync!$AG1288)+1,20),FIND("/",MID(Sync!$AG1288,FIND("/",Sync!$AG1288)+1,20))+1,20))),"")))</f>
        <v/>
      </c>
      <c r="J1288">
        <f>IF($F1288="","",IF(OR($G1288="",$H1288="",$I1288="",$G1288&lt;1300,$G1288&gt;1500,$H1288&lt;1,$H1288&gt;12,$I1288&lt;1,$I1288&gt;31),"نامعتبر",RIGHT("0000"&amp;$G1288,4)&amp;"/"&amp;RIGHT("00"&amp;$H1288,2)&amp;"/"&amp;RIGHT("00"&amp;$I1288,2)))</f>
        <v/>
      </c>
      <c r="K1288">
        <f>IF(OR($F1288="",$J1288="",$J1288="نامعتبر"),"",LEFT($J1288,4)&amp;MID($J1288,6,2)&amp;RIGHT($J1288,2)&amp;$N1288&amp;"|"&amp;"2"&amp;RIGHT("00000"&amp;1283,5))</f>
        <v/>
      </c>
      <c r="L1288">
        <f>IF($K1288="","",COUNTIFS(LdgPartyA,$F1288,LdgKeyA,"&lt;"&amp;$K1288)+COUNTIFS(LdgPartyB,$F1288,LdgKeyB,"&lt;"&amp;$K1288)+1)</f>
        <v/>
      </c>
      <c r="M1288">
        <f>IF($L1288="","",$F1288&amp;"|"&amp;RIGHT("000000"&amp;$L1288,6))</f>
        <v/>
      </c>
      <c r="N1288">
        <f>IF($F1288="","",IF(Sync!$AH1288="","0000",IF(AND(ISNUMBER(Sync!$AH1288),Sync!$AH1288&gt;=0,Sync!$AH1288&lt;1),RIGHT("00"&amp;HOUR(Sync!$AH1288),2)&amp;RIGHT("00"&amp;MINUTE(Sync!$AH1288),2),IFERROR(RIGHT("00"&amp;VALUE(LEFT(Sync!$AH1288,FIND(":",Sync!$AH1288)-1)),2)&amp;RIGHT("00"&amp;VALUE(MID(Sync!$AH1288,FIND(":",Sync!$AH1288)+1,2)),2),"0000"))))</f>
        <v/>
      </c>
    </row>
    <row r="1289">
      <c r="A1289">
        <f>IF(OR(Calc!$E1292="",Calc!$E1292="نامعتبر",Calc!$G1292="",Calc!$I1292&lt;&gt;"خرید"),"",Calc!$G1292)</f>
        <v/>
      </c>
      <c r="B1289">
        <f>IF($A1289="","",LEFT(Calc!$E1292,4)&amp;MID(Calc!$E1292,6,2)&amp;RIGHT(Calc!$E1292,2)&amp;Calc!$R1292&amp;"|"&amp;"1"&amp;RIGHT("00000"&amp;1284,5))</f>
        <v/>
      </c>
      <c r="C1289">
        <f>IF($B1289="","",COUNTIFS(LdgPartyA,$A1289,LdgKeyA,"&lt;"&amp;$B1289)+COUNTIFS(LdgPartyB,$A1289,LdgKeyB,"&lt;"&amp;$B1289)+1)</f>
        <v/>
      </c>
      <c r="D1289">
        <f>IF($C1289="","",$A1289&amp;"|"&amp;RIGHT("000000"&amp;$C1289,6))</f>
        <v/>
      </c>
      <c r="F1289">
        <f>IF(Sync!$AJ1289="","",Sync!$AJ1289)</f>
        <v/>
      </c>
      <c r="G1289">
        <f>IF($F1289="","",IF(Sync!$AG1289="","",IF(ISNUMBER(Sync!$AG1289),IF(AND(Sync!$AG1289&gt;=10000101,Sync!$AG1289&lt;=99991231),INT(Sync!$AG1289/10000),""),IFERROR(VALUE(TRIM(LEFT(Sync!$AG1289,FIND("/",Sync!$AG1289)-1))),""))))</f>
        <v/>
      </c>
      <c r="H1289">
        <f>IF(OR($F1289="",$G1289=""),"",IF(ISNUMBER(Sync!$AG1289),INT(MOD(Sync!$AG1289,10000)/100),IFERROR(VALUE(TRIM(LEFT(MID(Sync!$AG1289,FIND("/",Sync!$AG1289)+1,20),FIND("/",MID(Sync!$AG1289,FIND("/",Sync!$AG1289)+1,20))-1))),"")))</f>
        <v/>
      </c>
      <c r="I1289">
        <f>IF(OR($F1289="",$G1289=""),"",IF(ISNUMBER(Sync!$AG1289),MOD(Sync!$AG1289,100),IFERROR(VALUE(TRIM(MID(MID(Sync!$AG1289,FIND("/",Sync!$AG1289)+1,20),FIND("/",MID(Sync!$AG1289,FIND("/",Sync!$AG1289)+1,20))+1,20))),"")))</f>
        <v/>
      </c>
      <c r="J1289">
        <f>IF($F1289="","",IF(OR($G1289="",$H1289="",$I1289="",$G1289&lt;1300,$G1289&gt;1500,$H1289&lt;1,$H1289&gt;12,$I1289&lt;1,$I1289&gt;31),"نامعتبر",RIGHT("0000"&amp;$G1289,4)&amp;"/"&amp;RIGHT("00"&amp;$H1289,2)&amp;"/"&amp;RIGHT("00"&amp;$I1289,2)))</f>
        <v/>
      </c>
      <c r="K1289">
        <f>IF(OR($F1289="",$J1289="",$J1289="نامعتبر"),"",LEFT($J1289,4)&amp;MID($J1289,6,2)&amp;RIGHT($J1289,2)&amp;$N1289&amp;"|"&amp;"2"&amp;RIGHT("00000"&amp;1284,5))</f>
        <v/>
      </c>
      <c r="L1289">
        <f>IF($K1289="","",COUNTIFS(LdgPartyA,$F1289,LdgKeyA,"&lt;"&amp;$K1289)+COUNTIFS(LdgPartyB,$F1289,LdgKeyB,"&lt;"&amp;$K1289)+1)</f>
        <v/>
      </c>
      <c r="M1289">
        <f>IF($L1289="","",$F1289&amp;"|"&amp;RIGHT("000000"&amp;$L1289,6))</f>
        <v/>
      </c>
      <c r="N1289">
        <f>IF($F1289="","",IF(Sync!$AH1289="","0000",IF(AND(ISNUMBER(Sync!$AH1289),Sync!$AH1289&gt;=0,Sync!$AH1289&lt;1),RIGHT("00"&amp;HOUR(Sync!$AH1289),2)&amp;RIGHT("00"&amp;MINUTE(Sync!$AH1289),2),IFERROR(RIGHT("00"&amp;VALUE(LEFT(Sync!$AH1289,FIND(":",Sync!$AH1289)-1)),2)&amp;RIGHT("00"&amp;VALUE(MID(Sync!$AH1289,FIND(":",Sync!$AH1289)+1,2)),2),"0000"))))</f>
        <v/>
      </c>
    </row>
    <row r="1290">
      <c r="A1290">
        <f>IF(OR(Calc!$E1293="",Calc!$E1293="نامعتبر",Calc!$G1293="",Calc!$I1293&lt;&gt;"خرید"),"",Calc!$G1293)</f>
        <v/>
      </c>
      <c r="B1290">
        <f>IF($A1290="","",LEFT(Calc!$E1293,4)&amp;MID(Calc!$E1293,6,2)&amp;RIGHT(Calc!$E1293,2)&amp;Calc!$R1293&amp;"|"&amp;"1"&amp;RIGHT("00000"&amp;1285,5))</f>
        <v/>
      </c>
      <c r="C1290">
        <f>IF($B1290="","",COUNTIFS(LdgPartyA,$A1290,LdgKeyA,"&lt;"&amp;$B1290)+COUNTIFS(LdgPartyB,$A1290,LdgKeyB,"&lt;"&amp;$B1290)+1)</f>
        <v/>
      </c>
      <c r="D1290">
        <f>IF($C1290="","",$A1290&amp;"|"&amp;RIGHT("000000"&amp;$C1290,6))</f>
        <v/>
      </c>
      <c r="F1290">
        <f>IF(Sync!$AJ1290="","",Sync!$AJ1290)</f>
        <v/>
      </c>
      <c r="G1290">
        <f>IF($F1290="","",IF(Sync!$AG1290="","",IF(ISNUMBER(Sync!$AG1290),IF(AND(Sync!$AG1290&gt;=10000101,Sync!$AG1290&lt;=99991231),INT(Sync!$AG1290/10000),""),IFERROR(VALUE(TRIM(LEFT(Sync!$AG1290,FIND("/",Sync!$AG1290)-1))),""))))</f>
        <v/>
      </c>
      <c r="H1290">
        <f>IF(OR($F1290="",$G1290=""),"",IF(ISNUMBER(Sync!$AG1290),INT(MOD(Sync!$AG1290,10000)/100),IFERROR(VALUE(TRIM(LEFT(MID(Sync!$AG1290,FIND("/",Sync!$AG1290)+1,20),FIND("/",MID(Sync!$AG1290,FIND("/",Sync!$AG1290)+1,20))-1))),"")))</f>
        <v/>
      </c>
      <c r="I1290">
        <f>IF(OR($F1290="",$G1290=""),"",IF(ISNUMBER(Sync!$AG1290),MOD(Sync!$AG1290,100),IFERROR(VALUE(TRIM(MID(MID(Sync!$AG1290,FIND("/",Sync!$AG1290)+1,20),FIND("/",MID(Sync!$AG1290,FIND("/",Sync!$AG1290)+1,20))+1,20))),"")))</f>
        <v/>
      </c>
      <c r="J1290">
        <f>IF($F1290="","",IF(OR($G1290="",$H1290="",$I1290="",$G1290&lt;1300,$G1290&gt;1500,$H1290&lt;1,$H1290&gt;12,$I1290&lt;1,$I1290&gt;31),"نامعتبر",RIGHT("0000"&amp;$G1290,4)&amp;"/"&amp;RIGHT("00"&amp;$H1290,2)&amp;"/"&amp;RIGHT("00"&amp;$I1290,2)))</f>
        <v/>
      </c>
      <c r="K1290">
        <f>IF(OR($F1290="",$J1290="",$J1290="نامعتبر"),"",LEFT($J1290,4)&amp;MID($J1290,6,2)&amp;RIGHT($J1290,2)&amp;$N1290&amp;"|"&amp;"2"&amp;RIGHT("00000"&amp;1285,5))</f>
        <v/>
      </c>
      <c r="L1290">
        <f>IF($K1290="","",COUNTIFS(LdgPartyA,$F1290,LdgKeyA,"&lt;"&amp;$K1290)+COUNTIFS(LdgPartyB,$F1290,LdgKeyB,"&lt;"&amp;$K1290)+1)</f>
        <v/>
      </c>
      <c r="M1290">
        <f>IF($L1290="","",$F1290&amp;"|"&amp;RIGHT("000000"&amp;$L1290,6))</f>
        <v/>
      </c>
      <c r="N1290">
        <f>IF($F1290="","",IF(Sync!$AH1290="","0000",IF(AND(ISNUMBER(Sync!$AH1290),Sync!$AH1290&gt;=0,Sync!$AH1290&lt;1),RIGHT("00"&amp;HOUR(Sync!$AH1290),2)&amp;RIGHT("00"&amp;MINUTE(Sync!$AH1290),2),IFERROR(RIGHT("00"&amp;VALUE(LEFT(Sync!$AH1290,FIND(":",Sync!$AH1290)-1)),2)&amp;RIGHT("00"&amp;VALUE(MID(Sync!$AH1290,FIND(":",Sync!$AH1290)+1,2)),2),"0000"))))</f>
        <v/>
      </c>
    </row>
    <row r="1291">
      <c r="A1291">
        <f>IF(OR(Calc!$E1294="",Calc!$E1294="نامعتبر",Calc!$G1294="",Calc!$I1294&lt;&gt;"خرید"),"",Calc!$G1294)</f>
        <v/>
      </c>
      <c r="B1291">
        <f>IF($A1291="","",LEFT(Calc!$E1294,4)&amp;MID(Calc!$E1294,6,2)&amp;RIGHT(Calc!$E1294,2)&amp;Calc!$R1294&amp;"|"&amp;"1"&amp;RIGHT("00000"&amp;1286,5))</f>
        <v/>
      </c>
      <c r="C1291">
        <f>IF($B1291="","",COUNTIFS(LdgPartyA,$A1291,LdgKeyA,"&lt;"&amp;$B1291)+COUNTIFS(LdgPartyB,$A1291,LdgKeyB,"&lt;"&amp;$B1291)+1)</f>
        <v/>
      </c>
      <c r="D1291">
        <f>IF($C1291="","",$A1291&amp;"|"&amp;RIGHT("000000"&amp;$C1291,6))</f>
        <v/>
      </c>
      <c r="F1291">
        <f>IF(Sync!$AJ1291="","",Sync!$AJ1291)</f>
        <v/>
      </c>
      <c r="G1291">
        <f>IF($F1291="","",IF(Sync!$AG1291="","",IF(ISNUMBER(Sync!$AG1291),IF(AND(Sync!$AG1291&gt;=10000101,Sync!$AG1291&lt;=99991231),INT(Sync!$AG1291/10000),""),IFERROR(VALUE(TRIM(LEFT(Sync!$AG1291,FIND("/",Sync!$AG1291)-1))),""))))</f>
        <v/>
      </c>
      <c r="H1291">
        <f>IF(OR($F1291="",$G1291=""),"",IF(ISNUMBER(Sync!$AG1291),INT(MOD(Sync!$AG1291,10000)/100),IFERROR(VALUE(TRIM(LEFT(MID(Sync!$AG1291,FIND("/",Sync!$AG1291)+1,20),FIND("/",MID(Sync!$AG1291,FIND("/",Sync!$AG1291)+1,20))-1))),"")))</f>
        <v/>
      </c>
      <c r="I1291">
        <f>IF(OR($F1291="",$G1291=""),"",IF(ISNUMBER(Sync!$AG1291),MOD(Sync!$AG1291,100),IFERROR(VALUE(TRIM(MID(MID(Sync!$AG1291,FIND("/",Sync!$AG1291)+1,20),FIND("/",MID(Sync!$AG1291,FIND("/",Sync!$AG1291)+1,20))+1,20))),"")))</f>
        <v/>
      </c>
      <c r="J1291">
        <f>IF($F1291="","",IF(OR($G1291="",$H1291="",$I1291="",$G1291&lt;1300,$G1291&gt;1500,$H1291&lt;1,$H1291&gt;12,$I1291&lt;1,$I1291&gt;31),"نامعتبر",RIGHT("0000"&amp;$G1291,4)&amp;"/"&amp;RIGHT("00"&amp;$H1291,2)&amp;"/"&amp;RIGHT("00"&amp;$I1291,2)))</f>
        <v/>
      </c>
      <c r="K1291">
        <f>IF(OR($F1291="",$J1291="",$J1291="نامعتبر"),"",LEFT($J1291,4)&amp;MID($J1291,6,2)&amp;RIGHT($J1291,2)&amp;$N1291&amp;"|"&amp;"2"&amp;RIGHT("00000"&amp;1286,5))</f>
        <v/>
      </c>
      <c r="L1291">
        <f>IF($K1291="","",COUNTIFS(LdgPartyA,$F1291,LdgKeyA,"&lt;"&amp;$K1291)+COUNTIFS(LdgPartyB,$F1291,LdgKeyB,"&lt;"&amp;$K1291)+1)</f>
        <v/>
      </c>
      <c r="M1291">
        <f>IF($L1291="","",$F1291&amp;"|"&amp;RIGHT("000000"&amp;$L1291,6))</f>
        <v/>
      </c>
      <c r="N1291">
        <f>IF($F1291="","",IF(Sync!$AH1291="","0000",IF(AND(ISNUMBER(Sync!$AH1291),Sync!$AH1291&gt;=0,Sync!$AH1291&lt;1),RIGHT("00"&amp;HOUR(Sync!$AH1291),2)&amp;RIGHT("00"&amp;MINUTE(Sync!$AH1291),2),IFERROR(RIGHT("00"&amp;VALUE(LEFT(Sync!$AH1291,FIND(":",Sync!$AH1291)-1)),2)&amp;RIGHT("00"&amp;VALUE(MID(Sync!$AH1291,FIND(":",Sync!$AH1291)+1,2)),2),"0000"))))</f>
        <v/>
      </c>
    </row>
    <row r="1292">
      <c r="A1292">
        <f>IF(OR(Calc!$E1295="",Calc!$E1295="نامعتبر",Calc!$G1295="",Calc!$I1295&lt;&gt;"خرید"),"",Calc!$G1295)</f>
        <v/>
      </c>
      <c r="B1292">
        <f>IF($A1292="","",LEFT(Calc!$E1295,4)&amp;MID(Calc!$E1295,6,2)&amp;RIGHT(Calc!$E1295,2)&amp;Calc!$R1295&amp;"|"&amp;"1"&amp;RIGHT("00000"&amp;1287,5))</f>
        <v/>
      </c>
      <c r="C1292">
        <f>IF($B1292="","",COUNTIFS(LdgPartyA,$A1292,LdgKeyA,"&lt;"&amp;$B1292)+COUNTIFS(LdgPartyB,$A1292,LdgKeyB,"&lt;"&amp;$B1292)+1)</f>
        <v/>
      </c>
      <c r="D1292">
        <f>IF($C1292="","",$A1292&amp;"|"&amp;RIGHT("000000"&amp;$C1292,6))</f>
        <v/>
      </c>
      <c r="F1292">
        <f>IF(Sync!$AJ1292="","",Sync!$AJ1292)</f>
        <v/>
      </c>
      <c r="G1292">
        <f>IF($F1292="","",IF(Sync!$AG1292="","",IF(ISNUMBER(Sync!$AG1292),IF(AND(Sync!$AG1292&gt;=10000101,Sync!$AG1292&lt;=99991231),INT(Sync!$AG1292/10000),""),IFERROR(VALUE(TRIM(LEFT(Sync!$AG1292,FIND("/",Sync!$AG1292)-1))),""))))</f>
        <v/>
      </c>
      <c r="H1292">
        <f>IF(OR($F1292="",$G1292=""),"",IF(ISNUMBER(Sync!$AG1292),INT(MOD(Sync!$AG1292,10000)/100),IFERROR(VALUE(TRIM(LEFT(MID(Sync!$AG1292,FIND("/",Sync!$AG1292)+1,20),FIND("/",MID(Sync!$AG1292,FIND("/",Sync!$AG1292)+1,20))-1))),"")))</f>
        <v/>
      </c>
      <c r="I1292">
        <f>IF(OR($F1292="",$G1292=""),"",IF(ISNUMBER(Sync!$AG1292),MOD(Sync!$AG1292,100),IFERROR(VALUE(TRIM(MID(MID(Sync!$AG1292,FIND("/",Sync!$AG1292)+1,20),FIND("/",MID(Sync!$AG1292,FIND("/",Sync!$AG1292)+1,20))+1,20))),"")))</f>
        <v/>
      </c>
      <c r="J1292">
        <f>IF($F1292="","",IF(OR($G1292="",$H1292="",$I1292="",$G1292&lt;1300,$G1292&gt;1500,$H1292&lt;1,$H1292&gt;12,$I1292&lt;1,$I1292&gt;31),"نامعتبر",RIGHT("0000"&amp;$G1292,4)&amp;"/"&amp;RIGHT("00"&amp;$H1292,2)&amp;"/"&amp;RIGHT("00"&amp;$I1292,2)))</f>
        <v/>
      </c>
      <c r="K1292">
        <f>IF(OR($F1292="",$J1292="",$J1292="نامعتبر"),"",LEFT($J1292,4)&amp;MID($J1292,6,2)&amp;RIGHT($J1292,2)&amp;$N1292&amp;"|"&amp;"2"&amp;RIGHT("00000"&amp;1287,5))</f>
        <v/>
      </c>
      <c r="L1292">
        <f>IF($K1292="","",COUNTIFS(LdgPartyA,$F1292,LdgKeyA,"&lt;"&amp;$K1292)+COUNTIFS(LdgPartyB,$F1292,LdgKeyB,"&lt;"&amp;$K1292)+1)</f>
        <v/>
      </c>
      <c r="M1292">
        <f>IF($L1292="","",$F1292&amp;"|"&amp;RIGHT("000000"&amp;$L1292,6))</f>
        <v/>
      </c>
      <c r="N1292">
        <f>IF($F1292="","",IF(Sync!$AH1292="","0000",IF(AND(ISNUMBER(Sync!$AH1292),Sync!$AH1292&gt;=0,Sync!$AH1292&lt;1),RIGHT("00"&amp;HOUR(Sync!$AH1292),2)&amp;RIGHT("00"&amp;MINUTE(Sync!$AH1292),2),IFERROR(RIGHT("00"&amp;VALUE(LEFT(Sync!$AH1292,FIND(":",Sync!$AH1292)-1)),2)&amp;RIGHT("00"&amp;VALUE(MID(Sync!$AH1292,FIND(":",Sync!$AH1292)+1,2)),2),"0000"))))</f>
        <v/>
      </c>
    </row>
    <row r="1293">
      <c r="A1293">
        <f>IF(OR(Calc!$E1296="",Calc!$E1296="نامعتبر",Calc!$G1296="",Calc!$I1296&lt;&gt;"خرید"),"",Calc!$G1296)</f>
        <v/>
      </c>
      <c r="B1293">
        <f>IF($A1293="","",LEFT(Calc!$E1296,4)&amp;MID(Calc!$E1296,6,2)&amp;RIGHT(Calc!$E1296,2)&amp;Calc!$R1296&amp;"|"&amp;"1"&amp;RIGHT("00000"&amp;1288,5))</f>
        <v/>
      </c>
      <c r="C1293">
        <f>IF($B1293="","",COUNTIFS(LdgPartyA,$A1293,LdgKeyA,"&lt;"&amp;$B1293)+COUNTIFS(LdgPartyB,$A1293,LdgKeyB,"&lt;"&amp;$B1293)+1)</f>
        <v/>
      </c>
      <c r="D1293">
        <f>IF($C1293="","",$A1293&amp;"|"&amp;RIGHT("000000"&amp;$C1293,6))</f>
        <v/>
      </c>
      <c r="F1293">
        <f>IF(Sync!$AJ1293="","",Sync!$AJ1293)</f>
        <v/>
      </c>
      <c r="G1293">
        <f>IF($F1293="","",IF(Sync!$AG1293="","",IF(ISNUMBER(Sync!$AG1293),IF(AND(Sync!$AG1293&gt;=10000101,Sync!$AG1293&lt;=99991231),INT(Sync!$AG1293/10000),""),IFERROR(VALUE(TRIM(LEFT(Sync!$AG1293,FIND("/",Sync!$AG1293)-1))),""))))</f>
        <v/>
      </c>
      <c r="H1293">
        <f>IF(OR($F1293="",$G1293=""),"",IF(ISNUMBER(Sync!$AG1293),INT(MOD(Sync!$AG1293,10000)/100),IFERROR(VALUE(TRIM(LEFT(MID(Sync!$AG1293,FIND("/",Sync!$AG1293)+1,20),FIND("/",MID(Sync!$AG1293,FIND("/",Sync!$AG1293)+1,20))-1))),"")))</f>
        <v/>
      </c>
      <c r="I1293">
        <f>IF(OR($F1293="",$G1293=""),"",IF(ISNUMBER(Sync!$AG1293),MOD(Sync!$AG1293,100),IFERROR(VALUE(TRIM(MID(MID(Sync!$AG1293,FIND("/",Sync!$AG1293)+1,20),FIND("/",MID(Sync!$AG1293,FIND("/",Sync!$AG1293)+1,20))+1,20))),"")))</f>
        <v/>
      </c>
      <c r="J1293">
        <f>IF($F1293="","",IF(OR($G1293="",$H1293="",$I1293="",$G1293&lt;1300,$G1293&gt;1500,$H1293&lt;1,$H1293&gt;12,$I1293&lt;1,$I1293&gt;31),"نامعتبر",RIGHT("0000"&amp;$G1293,4)&amp;"/"&amp;RIGHT("00"&amp;$H1293,2)&amp;"/"&amp;RIGHT("00"&amp;$I1293,2)))</f>
        <v/>
      </c>
      <c r="K1293">
        <f>IF(OR($F1293="",$J1293="",$J1293="نامعتبر"),"",LEFT($J1293,4)&amp;MID($J1293,6,2)&amp;RIGHT($J1293,2)&amp;$N1293&amp;"|"&amp;"2"&amp;RIGHT("00000"&amp;1288,5))</f>
        <v/>
      </c>
      <c r="L1293">
        <f>IF($K1293="","",COUNTIFS(LdgPartyA,$F1293,LdgKeyA,"&lt;"&amp;$K1293)+COUNTIFS(LdgPartyB,$F1293,LdgKeyB,"&lt;"&amp;$K1293)+1)</f>
        <v/>
      </c>
      <c r="M1293">
        <f>IF($L1293="","",$F1293&amp;"|"&amp;RIGHT("000000"&amp;$L1293,6))</f>
        <v/>
      </c>
      <c r="N1293">
        <f>IF($F1293="","",IF(Sync!$AH1293="","0000",IF(AND(ISNUMBER(Sync!$AH1293),Sync!$AH1293&gt;=0,Sync!$AH1293&lt;1),RIGHT("00"&amp;HOUR(Sync!$AH1293),2)&amp;RIGHT("00"&amp;MINUTE(Sync!$AH1293),2),IFERROR(RIGHT("00"&amp;VALUE(LEFT(Sync!$AH1293,FIND(":",Sync!$AH1293)-1)),2)&amp;RIGHT("00"&amp;VALUE(MID(Sync!$AH1293,FIND(":",Sync!$AH1293)+1,2)),2),"0000"))))</f>
        <v/>
      </c>
    </row>
    <row r="1294">
      <c r="A1294">
        <f>IF(OR(Calc!$E1297="",Calc!$E1297="نامعتبر",Calc!$G1297="",Calc!$I1297&lt;&gt;"خرید"),"",Calc!$G1297)</f>
        <v/>
      </c>
      <c r="B1294">
        <f>IF($A1294="","",LEFT(Calc!$E1297,4)&amp;MID(Calc!$E1297,6,2)&amp;RIGHT(Calc!$E1297,2)&amp;Calc!$R1297&amp;"|"&amp;"1"&amp;RIGHT("00000"&amp;1289,5))</f>
        <v/>
      </c>
      <c r="C1294">
        <f>IF($B1294="","",COUNTIFS(LdgPartyA,$A1294,LdgKeyA,"&lt;"&amp;$B1294)+COUNTIFS(LdgPartyB,$A1294,LdgKeyB,"&lt;"&amp;$B1294)+1)</f>
        <v/>
      </c>
      <c r="D1294">
        <f>IF($C1294="","",$A1294&amp;"|"&amp;RIGHT("000000"&amp;$C1294,6))</f>
        <v/>
      </c>
      <c r="F1294">
        <f>IF(Sync!$AJ1294="","",Sync!$AJ1294)</f>
        <v/>
      </c>
      <c r="G1294">
        <f>IF($F1294="","",IF(Sync!$AG1294="","",IF(ISNUMBER(Sync!$AG1294),IF(AND(Sync!$AG1294&gt;=10000101,Sync!$AG1294&lt;=99991231),INT(Sync!$AG1294/10000),""),IFERROR(VALUE(TRIM(LEFT(Sync!$AG1294,FIND("/",Sync!$AG1294)-1))),""))))</f>
        <v/>
      </c>
      <c r="H1294">
        <f>IF(OR($F1294="",$G1294=""),"",IF(ISNUMBER(Sync!$AG1294),INT(MOD(Sync!$AG1294,10000)/100),IFERROR(VALUE(TRIM(LEFT(MID(Sync!$AG1294,FIND("/",Sync!$AG1294)+1,20),FIND("/",MID(Sync!$AG1294,FIND("/",Sync!$AG1294)+1,20))-1))),"")))</f>
        <v/>
      </c>
      <c r="I1294">
        <f>IF(OR($F1294="",$G1294=""),"",IF(ISNUMBER(Sync!$AG1294),MOD(Sync!$AG1294,100),IFERROR(VALUE(TRIM(MID(MID(Sync!$AG1294,FIND("/",Sync!$AG1294)+1,20),FIND("/",MID(Sync!$AG1294,FIND("/",Sync!$AG1294)+1,20))+1,20))),"")))</f>
        <v/>
      </c>
      <c r="J1294">
        <f>IF($F1294="","",IF(OR($G1294="",$H1294="",$I1294="",$G1294&lt;1300,$G1294&gt;1500,$H1294&lt;1,$H1294&gt;12,$I1294&lt;1,$I1294&gt;31),"نامعتبر",RIGHT("0000"&amp;$G1294,4)&amp;"/"&amp;RIGHT("00"&amp;$H1294,2)&amp;"/"&amp;RIGHT("00"&amp;$I1294,2)))</f>
        <v/>
      </c>
      <c r="K1294">
        <f>IF(OR($F1294="",$J1294="",$J1294="نامعتبر"),"",LEFT($J1294,4)&amp;MID($J1294,6,2)&amp;RIGHT($J1294,2)&amp;$N1294&amp;"|"&amp;"2"&amp;RIGHT("00000"&amp;1289,5))</f>
        <v/>
      </c>
      <c r="L1294">
        <f>IF($K1294="","",COUNTIFS(LdgPartyA,$F1294,LdgKeyA,"&lt;"&amp;$K1294)+COUNTIFS(LdgPartyB,$F1294,LdgKeyB,"&lt;"&amp;$K1294)+1)</f>
        <v/>
      </c>
      <c r="M1294">
        <f>IF($L1294="","",$F1294&amp;"|"&amp;RIGHT("000000"&amp;$L1294,6))</f>
        <v/>
      </c>
      <c r="N1294">
        <f>IF($F1294="","",IF(Sync!$AH1294="","0000",IF(AND(ISNUMBER(Sync!$AH1294),Sync!$AH1294&gt;=0,Sync!$AH1294&lt;1),RIGHT("00"&amp;HOUR(Sync!$AH1294),2)&amp;RIGHT("00"&amp;MINUTE(Sync!$AH1294),2),IFERROR(RIGHT("00"&amp;VALUE(LEFT(Sync!$AH1294,FIND(":",Sync!$AH1294)-1)),2)&amp;RIGHT("00"&amp;VALUE(MID(Sync!$AH1294,FIND(":",Sync!$AH1294)+1,2)),2),"0000"))))</f>
        <v/>
      </c>
    </row>
    <row r="1295">
      <c r="A1295">
        <f>IF(OR(Calc!$E1298="",Calc!$E1298="نامعتبر",Calc!$G1298="",Calc!$I1298&lt;&gt;"خرید"),"",Calc!$G1298)</f>
        <v/>
      </c>
      <c r="B1295">
        <f>IF($A1295="","",LEFT(Calc!$E1298,4)&amp;MID(Calc!$E1298,6,2)&amp;RIGHT(Calc!$E1298,2)&amp;Calc!$R1298&amp;"|"&amp;"1"&amp;RIGHT("00000"&amp;1290,5))</f>
        <v/>
      </c>
      <c r="C1295">
        <f>IF($B1295="","",COUNTIFS(LdgPartyA,$A1295,LdgKeyA,"&lt;"&amp;$B1295)+COUNTIFS(LdgPartyB,$A1295,LdgKeyB,"&lt;"&amp;$B1295)+1)</f>
        <v/>
      </c>
      <c r="D1295">
        <f>IF($C1295="","",$A1295&amp;"|"&amp;RIGHT("000000"&amp;$C1295,6))</f>
        <v/>
      </c>
      <c r="F1295">
        <f>IF(Sync!$AJ1295="","",Sync!$AJ1295)</f>
        <v/>
      </c>
      <c r="G1295">
        <f>IF($F1295="","",IF(Sync!$AG1295="","",IF(ISNUMBER(Sync!$AG1295),IF(AND(Sync!$AG1295&gt;=10000101,Sync!$AG1295&lt;=99991231),INT(Sync!$AG1295/10000),""),IFERROR(VALUE(TRIM(LEFT(Sync!$AG1295,FIND("/",Sync!$AG1295)-1))),""))))</f>
        <v/>
      </c>
      <c r="H1295">
        <f>IF(OR($F1295="",$G1295=""),"",IF(ISNUMBER(Sync!$AG1295),INT(MOD(Sync!$AG1295,10000)/100),IFERROR(VALUE(TRIM(LEFT(MID(Sync!$AG1295,FIND("/",Sync!$AG1295)+1,20),FIND("/",MID(Sync!$AG1295,FIND("/",Sync!$AG1295)+1,20))-1))),"")))</f>
        <v/>
      </c>
      <c r="I1295">
        <f>IF(OR($F1295="",$G1295=""),"",IF(ISNUMBER(Sync!$AG1295),MOD(Sync!$AG1295,100),IFERROR(VALUE(TRIM(MID(MID(Sync!$AG1295,FIND("/",Sync!$AG1295)+1,20),FIND("/",MID(Sync!$AG1295,FIND("/",Sync!$AG1295)+1,20))+1,20))),"")))</f>
        <v/>
      </c>
      <c r="J1295">
        <f>IF($F1295="","",IF(OR($G1295="",$H1295="",$I1295="",$G1295&lt;1300,$G1295&gt;1500,$H1295&lt;1,$H1295&gt;12,$I1295&lt;1,$I1295&gt;31),"نامعتبر",RIGHT("0000"&amp;$G1295,4)&amp;"/"&amp;RIGHT("00"&amp;$H1295,2)&amp;"/"&amp;RIGHT("00"&amp;$I1295,2)))</f>
        <v/>
      </c>
      <c r="K1295">
        <f>IF(OR($F1295="",$J1295="",$J1295="نامعتبر"),"",LEFT($J1295,4)&amp;MID($J1295,6,2)&amp;RIGHT($J1295,2)&amp;$N1295&amp;"|"&amp;"2"&amp;RIGHT("00000"&amp;1290,5))</f>
        <v/>
      </c>
      <c r="L1295">
        <f>IF($K1295="","",COUNTIFS(LdgPartyA,$F1295,LdgKeyA,"&lt;"&amp;$K1295)+COUNTIFS(LdgPartyB,$F1295,LdgKeyB,"&lt;"&amp;$K1295)+1)</f>
        <v/>
      </c>
      <c r="M1295">
        <f>IF($L1295="","",$F1295&amp;"|"&amp;RIGHT("000000"&amp;$L1295,6))</f>
        <v/>
      </c>
      <c r="N1295">
        <f>IF($F1295="","",IF(Sync!$AH1295="","0000",IF(AND(ISNUMBER(Sync!$AH1295),Sync!$AH1295&gt;=0,Sync!$AH1295&lt;1),RIGHT("00"&amp;HOUR(Sync!$AH1295),2)&amp;RIGHT("00"&amp;MINUTE(Sync!$AH1295),2),IFERROR(RIGHT("00"&amp;VALUE(LEFT(Sync!$AH1295,FIND(":",Sync!$AH1295)-1)),2)&amp;RIGHT("00"&amp;VALUE(MID(Sync!$AH1295,FIND(":",Sync!$AH1295)+1,2)),2),"0000"))))</f>
        <v/>
      </c>
    </row>
    <row r="1296">
      <c r="A1296">
        <f>IF(OR(Calc!$E1299="",Calc!$E1299="نامعتبر",Calc!$G1299="",Calc!$I1299&lt;&gt;"خرید"),"",Calc!$G1299)</f>
        <v/>
      </c>
      <c r="B1296">
        <f>IF($A1296="","",LEFT(Calc!$E1299,4)&amp;MID(Calc!$E1299,6,2)&amp;RIGHT(Calc!$E1299,2)&amp;Calc!$R1299&amp;"|"&amp;"1"&amp;RIGHT("00000"&amp;1291,5))</f>
        <v/>
      </c>
      <c r="C1296">
        <f>IF($B1296="","",COUNTIFS(LdgPartyA,$A1296,LdgKeyA,"&lt;"&amp;$B1296)+COUNTIFS(LdgPartyB,$A1296,LdgKeyB,"&lt;"&amp;$B1296)+1)</f>
        <v/>
      </c>
      <c r="D1296">
        <f>IF($C1296="","",$A1296&amp;"|"&amp;RIGHT("000000"&amp;$C1296,6))</f>
        <v/>
      </c>
      <c r="F1296">
        <f>IF(Sync!$AJ1296="","",Sync!$AJ1296)</f>
        <v/>
      </c>
      <c r="G1296">
        <f>IF($F1296="","",IF(Sync!$AG1296="","",IF(ISNUMBER(Sync!$AG1296),IF(AND(Sync!$AG1296&gt;=10000101,Sync!$AG1296&lt;=99991231),INT(Sync!$AG1296/10000),""),IFERROR(VALUE(TRIM(LEFT(Sync!$AG1296,FIND("/",Sync!$AG1296)-1))),""))))</f>
        <v/>
      </c>
      <c r="H1296">
        <f>IF(OR($F1296="",$G1296=""),"",IF(ISNUMBER(Sync!$AG1296),INT(MOD(Sync!$AG1296,10000)/100),IFERROR(VALUE(TRIM(LEFT(MID(Sync!$AG1296,FIND("/",Sync!$AG1296)+1,20),FIND("/",MID(Sync!$AG1296,FIND("/",Sync!$AG1296)+1,20))-1))),"")))</f>
        <v/>
      </c>
      <c r="I1296">
        <f>IF(OR($F1296="",$G1296=""),"",IF(ISNUMBER(Sync!$AG1296),MOD(Sync!$AG1296,100),IFERROR(VALUE(TRIM(MID(MID(Sync!$AG1296,FIND("/",Sync!$AG1296)+1,20),FIND("/",MID(Sync!$AG1296,FIND("/",Sync!$AG1296)+1,20))+1,20))),"")))</f>
        <v/>
      </c>
      <c r="J1296">
        <f>IF($F1296="","",IF(OR($G1296="",$H1296="",$I1296="",$G1296&lt;1300,$G1296&gt;1500,$H1296&lt;1,$H1296&gt;12,$I1296&lt;1,$I1296&gt;31),"نامعتبر",RIGHT("0000"&amp;$G1296,4)&amp;"/"&amp;RIGHT("00"&amp;$H1296,2)&amp;"/"&amp;RIGHT("00"&amp;$I1296,2)))</f>
        <v/>
      </c>
      <c r="K1296">
        <f>IF(OR($F1296="",$J1296="",$J1296="نامعتبر"),"",LEFT($J1296,4)&amp;MID($J1296,6,2)&amp;RIGHT($J1296,2)&amp;$N1296&amp;"|"&amp;"2"&amp;RIGHT("00000"&amp;1291,5))</f>
        <v/>
      </c>
      <c r="L1296">
        <f>IF($K1296="","",COUNTIFS(LdgPartyA,$F1296,LdgKeyA,"&lt;"&amp;$K1296)+COUNTIFS(LdgPartyB,$F1296,LdgKeyB,"&lt;"&amp;$K1296)+1)</f>
        <v/>
      </c>
      <c r="M1296">
        <f>IF($L1296="","",$F1296&amp;"|"&amp;RIGHT("000000"&amp;$L1296,6))</f>
        <v/>
      </c>
      <c r="N1296">
        <f>IF($F1296="","",IF(Sync!$AH1296="","0000",IF(AND(ISNUMBER(Sync!$AH1296),Sync!$AH1296&gt;=0,Sync!$AH1296&lt;1),RIGHT("00"&amp;HOUR(Sync!$AH1296),2)&amp;RIGHT("00"&amp;MINUTE(Sync!$AH1296),2),IFERROR(RIGHT("00"&amp;VALUE(LEFT(Sync!$AH1296,FIND(":",Sync!$AH1296)-1)),2)&amp;RIGHT("00"&amp;VALUE(MID(Sync!$AH1296,FIND(":",Sync!$AH1296)+1,2)),2),"0000"))))</f>
        <v/>
      </c>
    </row>
    <row r="1297">
      <c r="A1297">
        <f>IF(OR(Calc!$E1300="",Calc!$E1300="نامعتبر",Calc!$G1300="",Calc!$I1300&lt;&gt;"خرید"),"",Calc!$G1300)</f>
        <v/>
      </c>
      <c r="B1297">
        <f>IF($A1297="","",LEFT(Calc!$E1300,4)&amp;MID(Calc!$E1300,6,2)&amp;RIGHT(Calc!$E1300,2)&amp;Calc!$R1300&amp;"|"&amp;"1"&amp;RIGHT("00000"&amp;1292,5))</f>
        <v/>
      </c>
      <c r="C1297">
        <f>IF($B1297="","",COUNTIFS(LdgPartyA,$A1297,LdgKeyA,"&lt;"&amp;$B1297)+COUNTIFS(LdgPartyB,$A1297,LdgKeyB,"&lt;"&amp;$B1297)+1)</f>
        <v/>
      </c>
      <c r="D1297">
        <f>IF($C1297="","",$A1297&amp;"|"&amp;RIGHT("000000"&amp;$C1297,6))</f>
        <v/>
      </c>
      <c r="F1297">
        <f>IF(Sync!$AJ1297="","",Sync!$AJ1297)</f>
        <v/>
      </c>
      <c r="G1297">
        <f>IF($F1297="","",IF(Sync!$AG1297="","",IF(ISNUMBER(Sync!$AG1297),IF(AND(Sync!$AG1297&gt;=10000101,Sync!$AG1297&lt;=99991231),INT(Sync!$AG1297/10000),""),IFERROR(VALUE(TRIM(LEFT(Sync!$AG1297,FIND("/",Sync!$AG1297)-1))),""))))</f>
        <v/>
      </c>
      <c r="H1297">
        <f>IF(OR($F1297="",$G1297=""),"",IF(ISNUMBER(Sync!$AG1297),INT(MOD(Sync!$AG1297,10000)/100),IFERROR(VALUE(TRIM(LEFT(MID(Sync!$AG1297,FIND("/",Sync!$AG1297)+1,20),FIND("/",MID(Sync!$AG1297,FIND("/",Sync!$AG1297)+1,20))-1))),"")))</f>
        <v/>
      </c>
      <c r="I1297">
        <f>IF(OR($F1297="",$G1297=""),"",IF(ISNUMBER(Sync!$AG1297),MOD(Sync!$AG1297,100),IFERROR(VALUE(TRIM(MID(MID(Sync!$AG1297,FIND("/",Sync!$AG1297)+1,20),FIND("/",MID(Sync!$AG1297,FIND("/",Sync!$AG1297)+1,20))+1,20))),"")))</f>
        <v/>
      </c>
      <c r="J1297">
        <f>IF($F1297="","",IF(OR($G1297="",$H1297="",$I1297="",$G1297&lt;1300,$G1297&gt;1500,$H1297&lt;1,$H1297&gt;12,$I1297&lt;1,$I1297&gt;31),"نامعتبر",RIGHT("0000"&amp;$G1297,4)&amp;"/"&amp;RIGHT("00"&amp;$H1297,2)&amp;"/"&amp;RIGHT("00"&amp;$I1297,2)))</f>
        <v/>
      </c>
      <c r="K1297">
        <f>IF(OR($F1297="",$J1297="",$J1297="نامعتبر"),"",LEFT($J1297,4)&amp;MID($J1297,6,2)&amp;RIGHT($J1297,2)&amp;$N1297&amp;"|"&amp;"2"&amp;RIGHT("00000"&amp;1292,5))</f>
        <v/>
      </c>
      <c r="L1297">
        <f>IF($K1297="","",COUNTIFS(LdgPartyA,$F1297,LdgKeyA,"&lt;"&amp;$K1297)+COUNTIFS(LdgPartyB,$F1297,LdgKeyB,"&lt;"&amp;$K1297)+1)</f>
        <v/>
      </c>
      <c r="M1297">
        <f>IF($L1297="","",$F1297&amp;"|"&amp;RIGHT("000000"&amp;$L1297,6))</f>
        <v/>
      </c>
      <c r="N1297">
        <f>IF($F1297="","",IF(Sync!$AH1297="","0000",IF(AND(ISNUMBER(Sync!$AH1297),Sync!$AH1297&gt;=0,Sync!$AH1297&lt;1),RIGHT("00"&amp;HOUR(Sync!$AH1297),2)&amp;RIGHT("00"&amp;MINUTE(Sync!$AH1297),2),IFERROR(RIGHT("00"&amp;VALUE(LEFT(Sync!$AH1297,FIND(":",Sync!$AH1297)-1)),2)&amp;RIGHT("00"&amp;VALUE(MID(Sync!$AH1297,FIND(":",Sync!$AH1297)+1,2)),2),"0000"))))</f>
        <v/>
      </c>
    </row>
    <row r="1298">
      <c r="A1298">
        <f>IF(OR(Calc!$E1301="",Calc!$E1301="نامعتبر",Calc!$G1301="",Calc!$I1301&lt;&gt;"خرید"),"",Calc!$G1301)</f>
        <v/>
      </c>
      <c r="B1298">
        <f>IF($A1298="","",LEFT(Calc!$E1301,4)&amp;MID(Calc!$E1301,6,2)&amp;RIGHT(Calc!$E1301,2)&amp;Calc!$R1301&amp;"|"&amp;"1"&amp;RIGHT("00000"&amp;1293,5))</f>
        <v/>
      </c>
      <c r="C1298">
        <f>IF($B1298="","",COUNTIFS(LdgPartyA,$A1298,LdgKeyA,"&lt;"&amp;$B1298)+COUNTIFS(LdgPartyB,$A1298,LdgKeyB,"&lt;"&amp;$B1298)+1)</f>
        <v/>
      </c>
      <c r="D1298">
        <f>IF($C1298="","",$A1298&amp;"|"&amp;RIGHT("000000"&amp;$C1298,6))</f>
        <v/>
      </c>
      <c r="F1298">
        <f>IF(Sync!$AJ1298="","",Sync!$AJ1298)</f>
        <v/>
      </c>
      <c r="G1298">
        <f>IF($F1298="","",IF(Sync!$AG1298="","",IF(ISNUMBER(Sync!$AG1298),IF(AND(Sync!$AG1298&gt;=10000101,Sync!$AG1298&lt;=99991231),INT(Sync!$AG1298/10000),""),IFERROR(VALUE(TRIM(LEFT(Sync!$AG1298,FIND("/",Sync!$AG1298)-1))),""))))</f>
        <v/>
      </c>
      <c r="H1298">
        <f>IF(OR($F1298="",$G1298=""),"",IF(ISNUMBER(Sync!$AG1298),INT(MOD(Sync!$AG1298,10000)/100),IFERROR(VALUE(TRIM(LEFT(MID(Sync!$AG1298,FIND("/",Sync!$AG1298)+1,20),FIND("/",MID(Sync!$AG1298,FIND("/",Sync!$AG1298)+1,20))-1))),"")))</f>
        <v/>
      </c>
      <c r="I1298">
        <f>IF(OR($F1298="",$G1298=""),"",IF(ISNUMBER(Sync!$AG1298),MOD(Sync!$AG1298,100),IFERROR(VALUE(TRIM(MID(MID(Sync!$AG1298,FIND("/",Sync!$AG1298)+1,20),FIND("/",MID(Sync!$AG1298,FIND("/",Sync!$AG1298)+1,20))+1,20))),"")))</f>
        <v/>
      </c>
      <c r="J1298">
        <f>IF($F1298="","",IF(OR($G1298="",$H1298="",$I1298="",$G1298&lt;1300,$G1298&gt;1500,$H1298&lt;1,$H1298&gt;12,$I1298&lt;1,$I1298&gt;31),"نامعتبر",RIGHT("0000"&amp;$G1298,4)&amp;"/"&amp;RIGHT("00"&amp;$H1298,2)&amp;"/"&amp;RIGHT("00"&amp;$I1298,2)))</f>
        <v/>
      </c>
      <c r="K1298">
        <f>IF(OR($F1298="",$J1298="",$J1298="نامعتبر"),"",LEFT($J1298,4)&amp;MID($J1298,6,2)&amp;RIGHT($J1298,2)&amp;$N1298&amp;"|"&amp;"2"&amp;RIGHT("00000"&amp;1293,5))</f>
        <v/>
      </c>
      <c r="L1298">
        <f>IF($K1298="","",COUNTIFS(LdgPartyA,$F1298,LdgKeyA,"&lt;"&amp;$K1298)+COUNTIFS(LdgPartyB,$F1298,LdgKeyB,"&lt;"&amp;$K1298)+1)</f>
        <v/>
      </c>
      <c r="M1298">
        <f>IF($L1298="","",$F1298&amp;"|"&amp;RIGHT("000000"&amp;$L1298,6))</f>
        <v/>
      </c>
      <c r="N1298">
        <f>IF($F1298="","",IF(Sync!$AH1298="","0000",IF(AND(ISNUMBER(Sync!$AH1298),Sync!$AH1298&gt;=0,Sync!$AH1298&lt;1),RIGHT("00"&amp;HOUR(Sync!$AH1298),2)&amp;RIGHT("00"&amp;MINUTE(Sync!$AH1298),2),IFERROR(RIGHT("00"&amp;VALUE(LEFT(Sync!$AH1298,FIND(":",Sync!$AH1298)-1)),2)&amp;RIGHT("00"&amp;VALUE(MID(Sync!$AH1298,FIND(":",Sync!$AH1298)+1,2)),2),"0000"))))</f>
        <v/>
      </c>
    </row>
    <row r="1299">
      <c r="A1299">
        <f>IF(OR(Calc!$E1302="",Calc!$E1302="نامعتبر",Calc!$G1302="",Calc!$I1302&lt;&gt;"خرید"),"",Calc!$G1302)</f>
        <v/>
      </c>
      <c r="B1299">
        <f>IF($A1299="","",LEFT(Calc!$E1302,4)&amp;MID(Calc!$E1302,6,2)&amp;RIGHT(Calc!$E1302,2)&amp;Calc!$R1302&amp;"|"&amp;"1"&amp;RIGHT("00000"&amp;1294,5))</f>
        <v/>
      </c>
      <c r="C1299">
        <f>IF($B1299="","",COUNTIFS(LdgPartyA,$A1299,LdgKeyA,"&lt;"&amp;$B1299)+COUNTIFS(LdgPartyB,$A1299,LdgKeyB,"&lt;"&amp;$B1299)+1)</f>
        <v/>
      </c>
      <c r="D1299">
        <f>IF($C1299="","",$A1299&amp;"|"&amp;RIGHT("000000"&amp;$C1299,6))</f>
        <v/>
      </c>
      <c r="F1299">
        <f>IF(Sync!$AJ1299="","",Sync!$AJ1299)</f>
        <v/>
      </c>
      <c r="G1299">
        <f>IF($F1299="","",IF(Sync!$AG1299="","",IF(ISNUMBER(Sync!$AG1299),IF(AND(Sync!$AG1299&gt;=10000101,Sync!$AG1299&lt;=99991231),INT(Sync!$AG1299/10000),""),IFERROR(VALUE(TRIM(LEFT(Sync!$AG1299,FIND("/",Sync!$AG1299)-1))),""))))</f>
        <v/>
      </c>
      <c r="H1299">
        <f>IF(OR($F1299="",$G1299=""),"",IF(ISNUMBER(Sync!$AG1299),INT(MOD(Sync!$AG1299,10000)/100),IFERROR(VALUE(TRIM(LEFT(MID(Sync!$AG1299,FIND("/",Sync!$AG1299)+1,20),FIND("/",MID(Sync!$AG1299,FIND("/",Sync!$AG1299)+1,20))-1))),"")))</f>
        <v/>
      </c>
      <c r="I1299">
        <f>IF(OR($F1299="",$G1299=""),"",IF(ISNUMBER(Sync!$AG1299),MOD(Sync!$AG1299,100),IFERROR(VALUE(TRIM(MID(MID(Sync!$AG1299,FIND("/",Sync!$AG1299)+1,20),FIND("/",MID(Sync!$AG1299,FIND("/",Sync!$AG1299)+1,20))+1,20))),"")))</f>
        <v/>
      </c>
      <c r="J1299">
        <f>IF($F1299="","",IF(OR($G1299="",$H1299="",$I1299="",$G1299&lt;1300,$G1299&gt;1500,$H1299&lt;1,$H1299&gt;12,$I1299&lt;1,$I1299&gt;31),"نامعتبر",RIGHT("0000"&amp;$G1299,4)&amp;"/"&amp;RIGHT("00"&amp;$H1299,2)&amp;"/"&amp;RIGHT("00"&amp;$I1299,2)))</f>
        <v/>
      </c>
      <c r="K1299">
        <f>IF(OR($F1299="",$J1299="",$J1299="نامعتبر"),"",LEFT($J1299,4)&amp;MID($J1299,6,2)&amp;RIGHT($J1299,2)&amp;$N1299&amp;"|"&amp;"2"&amp;RIGHT("00000"&amp;1294,5))</f>
        <v/>
      </c>
      <c r="L1299">
        <f>IF($K1299="","",COUNTIFS(LdgPartyA,$F1299,LdgKeyA,"&lt;"&amp;$K1299)+COUNTIFS(LdgPartyB,$F1299,LdgKeyB,"&lt;"&amp;$K1299)+1)</f>
        <v/>
      </c>
      <c r="M1299">
        <f>IF($L1299="","",$F1299&amp;"|"&amp;RIGHT("000000"&amp;$L1299,6))</f>
        <v/>
      </c>
      <c r="N1299">
        <f>IF($F1299="","",IF(Sync!$AH1299="","0000",IF(AND(ISNUMBER(Sync!$AH1299),Sync!$AH1299&gt;=0,Sync!$AH1299&lt;1),RIGHT("00"&amp;HOUR(Sync!$AH1299),2)&amp;RIGHT("00"&amp;MINUTE(Sync!$AH1299),2),IFERROR(RIGHT("00"&amp;VALUE(LEFT(Sync!$AH1299,FIND(":",Sync!$AH1299)-1)),2)&amp;RIGHT("00"&amp;VALUE(MID(Sync!$AH1299,FIND(":",Sync!$AH1299)+1,2)),2),"0000"))))</f>
        <v/>
      </c>
    </row>
    <row r="1300">
      <c r="A1300">
        <f>IF(OR(Calc!$E1303="",Calc!$E1303="نامعتبر",Calc!$G1303="",Calc!$I1303&lt;&gt;"خرید"),"",Calc!$G1303)</f>
        <v/>
      </c>
      <c r="B1300">
        <f>IF($A1300="","",LEFT(Calc!$E1303,4)&amp;MID(Calc!$E1303,6,2)&amp;RIGHT(Calc!$E1303,2)&amp;Calc!$R1303&amp;"|"&amp;"1"&amp;RIGHT("00000"&amp;1295,5))</f>
        <v/>
      </c>
      <c r="C1300">
        <f>IF($B1300="","",COUNTIFS(LdgPartyA,$A1300,LdgKeyA,"&lt;"&amp;$B1300)+COUNTIFS(LdgPartyB,$A1300,LdgKeyB,"&lt;"&amp;$B1300)+1)</f>
        <v/>
      </c>
      <c r="D1300">
        <f>IF($C1300="","",$A1300&amp;"|"&amp;RIGHT("000000"&amp;$C1300,6))</f>
        <v/>
      </c>
      <c r="F1300">
        <f>IF(Sync!$AJ1300="","",Sync!$AJ1300)</f>
        <v/>
      </c>
      <c r="G1300">
        <f>IF($F1300="","",IF(Sync!$AG1300="","",IF(ISNUMBER(Sync!$AG1300),IF(AND(Sync!$AG1300&gt;=10000101,Sync!$AG1300&lt;=99991231),INT(Sync!$AG1300/10000),""),IFERROR(VALUE(TRIM(LEFT(Sync!$AG1300,FIND("/",Sync!$AG1300)-1))),""))))</f>
        <v/>
      </c>
      <c r="H1300">
        <f>IF(OR($F1300="",$G1300=""),"",IF(ISNUMBER(Sync!$AG1300),INT(MOD(Sync!$AG1300,10000)/100),IFERROR(VALUE(TRIM(LEFT(MID(Sync!$AG1300,FIND("/",Sync!$AG1300)+1,20),FIND("/",MID(Sync!$AG1300,FIND("/",Sync!$AG1300)+1,20))-1))),"")))</f>
        <v/>
      </c>
      <c r="I1300">
        <f>IF(OR($F1300="",$G1300=""),"",IF(ISNUMBER(Sync!$AG1300),MOD(Sync!$AG1300,100),IFERROR(VALUE(TRIM(MID(MID(Sync!$AG1300,FIND("/",Sync!$AG1300)+1,20),FIND("/",MID(Sync!$AG1300,FIND("/",Sync!$AG1300)+1,20))+1,20))),"")))</f>
        <v/>
      </c>
      <c r="J1300">
        <f>IF($F1300="","",IF(OR($G1300="",$H1300="",$I1300="",$G1300&lt;1300,$G1300&gt;1500,$H1300&lt;1,$H1300&gt;12,$I1300&lt;1,$I1300&gt;31),"نامعتبر",RIGHT("0000"&amp;$G1300,4)&amp;"/"&amp;RIGHT("00"&amp;$H1300,2)&amp;"/"&amp;RIGHT("00"&amp;$I1300,2)))</f>
        <v/>
      </c>
      <c r="K1300">
        <f>IF(OR($F1300="",$J1300="",$J1300="نامعتبر"),"",LEFT($J1300,4)&amp;MID($J1300,6,2)&amp;RIGHT($J1300,2)&amp;$N1300&amp;"|"&amp;"2"&amp;RIGHT("00000"&amp;1295,5))</f>
        <v/>
      </c>
      <c r="L1300">
        <f>IF($K1300="","",COUNTIFS(LdgPartyA,$F1300,LdgKeyA,"&lt;"&amp;$K1300)+COUNTIFS(LdgPartyB,$F1300,LdgKeyB,"&lt;"&amp;$K1300)+1)</f>
        <v/>
      </c>
      <c r="M1300">
        <f>IF($L1300="","",$F1300&amp;"|"&amp;RIGHT("000000"&amp;$L1300,6))</f>
        <v/>
      </c>
      <c r="N1300">
        <f>IF($F1300="","",IF(Sync!$AH1300="","0000",IF(AND(ISNUMBER(Sync!$AH1300),Sync!$AH1300&gt;=0,Sync!$AH1300&lt;1),RIGHT("00"&amp;HOUR(Sync!$AH1300),2)&amp;RIGHT("00"&amp;MINUTE(Sync!$AH1300),2),IFERROR(RIGHT("00"&amp;VALUE(LEFT(Sync!$AH1300,FIND(":",Sync!$AH1300)-1)),2)&amp;RIGHT("00"&amp;VALUE(MID(Sync!$AH1300,FIND(":",Sync!$AH1300)+1,2)),2),"0000"))))</f>
        <v/>
      </c>
    </row>
    <row r="1301">
      <c r="A1301">
        <f>IF(OR(Calc!$E1304="",Calc!$E1304="نامعتبر",Calc!$G1304="",Calc!$I1304&lt;&gt;"خرید"),"",Calc!$G1304)</f>
        <v/>
      </c>
      <c r="B1301">
        <f>IF($A1301="","",LEFT(Calc!$E1304,4)&amp;MID(Calc!$E1304,6,2)&amp;RIGHT(Calc!$E1304,2)&amp;Calc!$R1304&amp;"|"&amp;"1"&amp;RIGHT("00000"&amp;1296,5))</f>
        <v/>
      </c>
      <c r="C1301">
        <f>IF($B1301="","",COUNTIFS(LdgPartyA,$A1301,LdgKeyA,"&lt;"&amp;$B1301)+COUNTIFS(LdgPartyB,$A1301,LdgKeyB,"&lt;"&amp;$B1301)+1)</f>
        <v/>
      </c>
      <c r="D1301">
        <f>IF($C1301="","",$A1301&amp;"|"&amp;RIGHT("000000"&amp;$C1301,6))</f>
        <v/>
      </c>
      <c r="F1301">
        <f>IF(Sync!$AJ1301="","",Sync!$AJ1301)</f>
        <v/>
      </c>
      <c r="G1301">
        <f>IF($F1301="","",IF(Sync!$AG1301="","",IF(ISNUMBER(Sync!$AG1301),IF(AND(Sync!$AG1301&gt;=10000101,Sync!$AG1301&lt;=99991231),INT(Sync!$AG1301/10000),""),IFERROR(VALUE(TRIM(LEFT(Sync!$AG1301,FIND("/",Sync!$AG1301)-1))),""))))</f>
        <v/>
      </c>
      <c r="H1301">
        <f>IF(OR($F1301="",$G1301=""),"",IF(ISNUMBER(Sync!$AG1301),INT(MOD(Sync!$AG1301,10000)/100),IFERROR(VALUE(TRIM(LEFT(MID(Sync!$AG1301,FIND("/",Sync!$AG1301)+1,20),FIND("/",MID(Sync!$AG1301,FIND("/",Sync!$AG1301)+1,20))-1))),"")))</f>
        <v/>
      </c>
      <c r="I1301">
        <f>IF(OR($F1301="",$G1301=""),"",IF(ISNUMBER(Sync!$AG1301),MOD(Sync!$AG1301,100),IFERROR(VALUE(TRIM(MID(MID(Sync!$AG1301,FIND("/",Sync!$AG1301)+1,20),FIND("/",MID(Sync!$AG1301,FIND("/",Sync!$AG1301)+1,20))+1,20))),"")))</f>
        <v/>
      </c>
      <c r="J1301">
        <f>IF($F1301="","",IF(OR($G1301="",$H1301="",$I1301="",$G1301&lt;1300,$G1301&gt;1500,$H1301&lt;1,$H1301&gt;12,$I1301&lt;1,$I1301&gt;31),"نامعتبر",RIGHT("0000"&amp;$G1301,4)&amp;"/"&amp;RIGHT("00"&amp;$H1301,2)&amp;"/"&amp;RIGHT("00"&amp;$I1301,2)))</f>
        <v/>
      </c>
      <c r="K1301">
        <f>IF(OR($F1301="",$J1301="",$J1301="نامعتبر"),"",LEFT($J1301,4)&amp;MID($J1301,6,2)&amp;RIGHT($J1301,2)&amp;$N1301&amp;"|"&amp;"2"&amp;RIGHT("00000"&amp;1296,5))</f>
        <v/>
      </c>
      <c r="L1301">
        <f>IF($K1301="","",COUNTIFS(LdgPartyA,$F1301,LdgKeyA,"&lt;"&amp;$K1301)+COUNTIFS(LdgPartyB,$F1301,LdgKeyB,"&lt;"&amp;$K1301)+1)</f>
        <v/>
      </c>
      <c r="M1301">
        <f>IF($L1301="","",$F1301&amp;"|"&amp;RIGHT("000000"&amp;$L1301,6))</f>
        <v/>
      </c>
      <c r="N1301">
        <f>IF($F1301="","",IF(Sync!$AH1301="","0000",IF(AND(ISNUMBER(Sync!$AH1301),Sync!$AH1301&gt;=0,Sync!$AH1301&lt;1),RIGHT("00"&amp;HOUR(Sync!$AH1301),2)&amp;RIGHT("00"&amp;MINUTE(Sync!$AH1301),2),IFERROR(RIGHT("00"&amp;VALUE(LEFT(Sync!$AH1301,FIND(":",Sync!$AH1301)-1)),2)&amp;RIGHT("00"&amp;VALUE(MID(Sync!$AH1301,FIND(":",Sync!$AH1301)+1,2)),2),"0000"))))</f>
        <v/>
      </c>
    </row>
    <row r="1302">
      <c r="A1302">
        <f>IF(OR(Calc!$E1305="",Calc!$E1305="نامعتبر",Calc!$G1305="",Calc!$I1305&lt;&gt;"خرید"),"",Calc!$G1305)</f>
        <v/>
      </c>
      <c r="B1302">
        <f>IF($A1302="","",LEFT(Calc!$E1305,4)&amp;MID(Calc!$E1305,6,2)&amp;RIGHT(Calc!$E1305,2)&amp;Calc!$R1305&amp;"|"&amp;"1"&amp;RIGHT("00000"&amp;1297,5))</f>
        <v/>
      </c>
      <c r="C1302">
        <f>IF($B1302="","",COUNTIFS(LdgPartyA,$A1302,LdgKeyA,"&lt;"&amp;$B1302)+COUNTIFS(LdgPartyB,$A1302,LdgKeyB,"&lt;"&amp;$B1302)+1)</f>
        <v/>
      </c>
      <c r="D1302">
        <f>IF($C1302="","",$A1302&amp;"|"&amp;RIGHT("000000"&amp;$C1302,6))</f>
        <v/>
      </c>
      <c r="F1302">
        <f>IF(Sync!$AJ1302="","",Sync!$AJ1302)</f>
        <v/>
      </c>
      <c r="G1302">
        <f>IF($F1302="","",IF(Sync!$AG1302="","",IF(ISNUMBER(Sync!$AG1302),IF(AND(Sync!$AG1302&gt;=10000101,Sync!$AG1302&lt;=99991231),INT(Sync!$AG1302/10000),""),IFERROR(VALUE(TRIM(LEFT(Sync!$AG1302,FIND("/",Sync!$AG1302)-1))),""))))</f>
        <v/>
      </c>
      <c r="H1302">
        <f>IF(OR($F1302="",$G1302=""),"",IF(ISNUMBER(Sync!$AG1302),INT(MOD(Sync!$AG1302,10000)/100),IFERROR(VALUE(TRIM(LEFT(MID(Sync!$AG1302,FIND("/",Sync!$AG1302)+1,20),FIND("/",MID(Sync!$AG1302,FIND("/",Sync!$AG1302)+1,20))-1))),"")))</f>
        <v/>
      </c>
      <c r="I1302">
        <f>IF(OR($F1302="",$G1302=""),"",IF(ISNUMBER(Sync!$AG1302),MOD(Sync!$AG1302,100),IFERROR(VALUE(TRIM(MID(MID(Sync!$AG1302,FIND("/",Sync!$AG1302)+1,20),FIND("/",MID(Sync!$AG1302,FIND("/",Sync!$AG1302)+1,20))+1,20))),"")))</f>
        <v/>
      </c>
      <c r="J1302">
        <f>IF($F1302="","",IF(OR($G1302="",$H1302="",$I1302="",$G1302&lt;1300,$G1302&gt;1500,$H1302&lt;1,$H1302&gt;12,$I1302&lt;1,$I1302&gt;31),"نامعتبر",RIGHT("0000"&amp;$G1302,4)&amp;"/"&amp;RIGHT("00"&amp;$H1302,2)&amp;"/"&amp;RIGHT("00"&amp;$I1302,2)))</f>
        <v/>
      </c>
      <c r="K1302">
        <f>IF(OR($F1302="",$J1302="",$J1302="نامعتبر"),"",LEFT($J1302,4)&amp;MID($J1302,6,2)&amp;RIGHT($J1302,2)&amp;$N1302&amp;"|"&amp;"2"&amp;RIGHT("00000"&amp;1297,5))</f>
        <v/>
      </c>
      <c r="L1302">
        <f>IF($K1302="","",COUNTIFS(LdgPartyA,$F1302,LdgKeyA,"&lt;"&amp;$K1302)+COUNTIFS(LdgPartyB,$F1302,LdgKeyB,"&lt;"&amp;$K1302)+1)</f>
        <v/>
      </c>
      <c r="M1302">
        <f>IF($L1302="","",$F1302&amp;"|"&amp;RIGHT("000000"&amp;$L1302,6))</f>
        <v/>
      </c>
      <c r="N1302">
        <f>IF($F1302="","",IF(Sync!$AH1302="","0000",IF(AND(ISNUMBER(Sync!$AH1302),Sync!$AH1302&gt;=0,Sync!$AH1302&lt;1),RIGHT("00"&amp;HOUR(Sync!$AH1302),2)&amp;RIGHT("00"&amp;MINUTE(Sync!$AH1302),2),IFERROR(RIGHT("00"&amp;VALUE(LEFT(Sync!$AH1302,FIND(":",Sync!$AH1302)-1)),2)&amp;RIGHT("00"&amp;VALUE(MID(Sync!$AH1302,FIND(":",Sync!$AH1302)+1,2)),2),"0000"))))</f>
        <v/>
      </c>
    </row>
    <row r="1303">
      <c r="A1303">
        <f>IF(OR(Calc!$E1306="",Calc!$E1306="نامعتبر",Calc!$G1306="",Calc!$I1306&lt;&gt;"خرید"),"",Calc!$G1306)</f>
        <v/>
      </c>
      <c r="B1303">
        <f>IF($A1303="","",LEFT(Calc!$E1306,4)&amp;MID(Calc!$E1306,6,2)&amp;RIGHT(Calc!$E1306,2)&amp;Calc!$R1306&amp;"|"&amp;"1"&amp;RIGHT("00000"&amp;1298,5))</f>
        <v/>
      </c>
      <c r="C1303">
        <f>IF($B1303="","",COUNTIFS(LdgPartyA,$A1303,LdgKeyA,"&lt;"&amp;$B1303)+COUNTIFS(LdgPartyB,$A1303,LdgKeyB,"&lt;"&amp;$B1303)+1)</f>
        <v/>
      </c>
      <c r="D1303">
        <f>IF($C1303="","",$A1303&amp;"|"&amp;RIGHT("000000"&amp;$C1303,6))</f>
        <v/>
      </c>
      <c r="F1303">
        <f>IF(Sync!$AJ1303="","",Sync!$AJ1303)</f>
        <v/>
      </c>
      <c r="G1303">
        <f>IF($F1303="","",IF(Sync!$AG1303="","",IF(ISNUMBER(Sync!$AG1303),IF(AND(Sync!$AG1303&gt;=10000101,Sync!$AG1303&lt;=99991231),INT(Sync!$AG1303/10000),""),IFERROR(VALUE(TRIM(LEFT(Sync!$AG1303,FIND("/",Sync!$AG1303)-1))),""))))</f>
        <v/>
      </c>
      <c r="H1303">
        <f>IF(OR($F1303="",$G1303=""),"",IF(ISNUMBER(Sync!$AG1303),INT(MOD(Sync!$AG1303,10000)/100),IFERROR(VALUE(TRIM(LEFT(MID(Sync!$AG1303,FIND("/",Sync!$AG1303)+1,20),FIND("/",MID(Sync!$AG1303,FIND("/",Sync!$AG1303)+1,20))-1))),"")))</f>
        <v/>
      </c>
      <c r="I1303">
        <f>IF(OR($F1303="",$G1303=""),"",IF(ISNUMBER(Sync!$AG1303),MOD(Sync!$AG1303,100),IFERROR(VALUE(TRIM(MID(MID(Sync!$AG1303,FIND("/",Sync!$AG1303)+1,20),FIND("/",MID(Sync!$AG1303,FIND("/",Sync!$AG1303)+1,20))+1,20))),"")))</f>
        <v/>
      </c>
      <c r="J1303">
        <f>IF($F1303="","",IF(OR($G1303="",$H1303="",$I1303="",$G1303&lt;1300,$G1303&gt;1500,$H1303&lt;1,$H1303&gt;12,$I1303&lt;1,$I1303&gt;31),"نامعتبر",RIGHT("0000"&amp;$G1303,4)&amp;"/"&amp;RIGHT("00"&amp;$H1303,2)&amp;"/"&amp;RIGHT("00"&amp;$I1303,2)))</f>
        <v/>
      </c>
      <c r="K1303">
        <f>IF(OR($F1303="",$J1303="",$J1303="نامعتبر"),"",LEFT($J1303,4)&amp;MID($J1303,6,2)&amp;RIGHT($J1303,2)&amp;$N1303&amp;"|"&amp;"2"&amp;RIGHT("00000"&amp;1298,5))</f>
        <v/>
      </c>
      <c r="L1303">
        <f>IF($K1303="","",COUNTIFS(LdgPartyA,$F1303,LdgKeyA,"&lt;"&amp;$K1303)+COUNTIFS(LdgPartyB,$F1303,LdgKeyB,"&lt;"&amp;$K1303)+1)</f>
        <v/>
      </c>
      <c r="M1303">
        <f>IF($L1303="","",$F1303&amp;"|"&amp;RIGHT("000000"&amp;$L1303,6))</f>
        <v/>
      </c>
      <c r="N1303">
        <f>IF($F1303="","",IF(Sync!$AH1303="","0000",IF(AND(ISNUMBER(Sync!$AH1303),Sync!$AH1303&gt;=0,Sync!$AH1303&lt;1),RIGHT("00"&amp;HOUR(Sync!$AH1303),2)&amp;RIGHT("00"&amp;MINUTE(Sync!$AH1303),2),IFERROR(RIGHT("00"&amp;VALUE(LEFT(Sync!$AH1303,FIND(":",Sync!$AH1303)-1)),2)&amp;RIGHT("00"&amp;VALUE(MID(Sync!$AH1303,FIND(":",Sync!$AH1303)+1,2)),2),"0000"))))</f>
        <v/>
      </c>
    </row>
    <row r="1304">
      <c r="A1304">
        <f>IF(OR(Calc!$E1307="",Calc!$E1307="نامعتبر",Calc!$G1307="",Calc!$I1307&lt;&gt;"خرید"),"",Calc!$G1307)</f>
        <v/>
      </c>
      <c r="B1304">
        <f>IF($A1304="","",LEFT(Calc!$E1307,4)&amp;MID(Calc!$E1307,6,2)&amp;RIGHT(Calc!$E1307,2)&amp;Calc!$R1307&amp;"|"&amp;"1"&amp;RIGHT("00000"&amp;1299,5))</f>
        <v/>
      </c>
      <c r="C1304">
        <f>IF($B1304="","",COUNTIFS(LdgPartyA,$A1304,LdgKeyA,"&lt;"&amp;$B1304)+COUNTIFS(LdgPartyB,$A1304,LdgKeyB,"&lt;"&amp;$B1304)+1)</f>
        <v/>
      </c>
      <c r="D1304">
        <f>IF($C1304="","",$A1304&amp;"|"&amp;RIGHT("000000"&amp;$C1304,6))</f>
        <v/>
      </c>
      <c r="F1304">
        <f>IF(Sync!$AJ1304="","",Sync!$AJ1304)</f>
        <v/>
      </c>
      <c r="G1304">
        <f>IF($F1304="","",IF(Sync!$AG1304="","",IF(ISNUMBER(Sync!$AG1304),IF(AND(Sync!$AG1304&gt;=10000101,Sync!$AG1304&lt;=99991231),INT(Sync!$AG1304/10000),""),IFERROR(VALUE(TRIM(LEFT(Sync!$AG1304,FIND("/",Sync!$AG1304)-1))),""))))</f>
        <v/>
      </c>
      <c r="H1304">
        <f>IF(OR($F1304="",$G1304=""),"",IF(ISNUMBER(Sync!$AG1304),INT(MOD(Sync!$AG1304,10000)/100),IFERROR(VALUE(TRIM(LEFT(MID(Sync!$AG1304,FIND("/",Sync!$AG1304)+1,20),FIND("/",MID(Sync!$AG1304,FIND("/",Sync!$AG1304)+1,20))-1))),"")))</f>
        <v/>
      </c>
      <c r="I1304">
        <f>IF(OR($F1304="",$G1304=""),"",IF(ISNUMBER(Sync!$AG1304),MOD(Sync!$AG1304,100),IFERROR(VALUE(TRIM(MID(MID(Sync!$AG1304,FIND("/",Sync!$AG1304)+1,20),FIND("/",MID(Sync!$AG1304,FIND("/",Sync!$AG1304)+1,20))+1,20))),"")))</f>
        <v/>
      </c>
      <c r="J1304">
        <f>IF($F1304="","",IF(OR($G1304="",$H1304="",$I1304="",$G1304&lt;1300,$G1304&gt;1500,$H1304&lt;1,$H1304&gt;12,$I1304&lt;1,$I1304&gt;31),"نامعتبر",RIGHT("0000"&amp;$G1304,4)&amp;"/"&amp;RIGHT("00"&amp;$H1304,2)&amp;"/"&amp;RIGHT("00"&amp;$I1304,2)))</f>
        <v/>
      </c>
      <c r="K1304">
        <f>IF(OR($F1304="",$J1304="",$J1304="نامعتبر"),"",LEFT($J1304,4)&amp;MID($J1304,6,2)&amp;RIGHT($J1304,2)&amp;$N1304&amp;"|"&amp;"2"&amp;RIGHT("00000"&amp;1299,5))</f>
        <v/>
      </c>
      <c r="L1304">
        <f>IF($K1304="","",COUNTIFS(LdgPartyA,$F1304,LdgKeyA,"&lt;"&amp;$K1304)+COUNTIFS(LdgPartyB,$F1304,LdgKeyB,"&lt;"&amp;$K1304)+1)</f>
        <v/>
      </c>
      <c r="M1304">
        <f>IF($L1304="","",$F1304&amp;"|"&amp;RIGHT("000000"&amp;$L1304,6))</f>
        <v/>
      </c>
      <c r="N1304">
        <f>IF($F1304="","",IF(Sync!$AH1304="","0000",IF(AND(ISNUMBER(Sync!$AH1304),Sync!$AH1304&gt;=0,Sync!$AH1304&lt;1),RIGHT("00"&amp;HOUR(Sync!$AH1304),2)&amp;RIGHT("00"&amp;MINUTE(Sync!$AH1304),2),IFERROR(RIGHT("00"&amp;VALUE(LEFT(Sync!$AH1304,FIND(":",Sync!$AH1304)-1)),2)&amp;RIGHT("00"&amp;VALUE(MID(Sync!$AH1304,FIND(":",Sync!$AH1304)+1,2)),2),"0000"))))</f>
        <v/>
      </c>
    </row>
    <row r="1305">
      <c r="A1305">
        <f>IF(OR(Calc!$E1308="",Calc!$E1308="نامعتبر",Calc!$G1308="",Calc!$I1308&lt;&gt;"خرید"),"",Calc!$G1308)</f>
        <v/>
      </c>
      <c r="B1305">
        <f>IF($A1305="","",LEFT(Calc!$E1308,4)&amp;MID(Calc!$E1308,6,2)&amp;RIGHT(Calc!$E1308,2)&amp;Calc!$R1308&amp;"|"&amp;"1"&amp;RIGHT("00000"&amp;1300,5))</f>
        <v/>
      </c>
      <c r="C1305">
        <f>IF($B1305="","",COUNTIFS(LdgPartyA,$A1305,LdgKeyA,"&lt;"&amp;$B1305)+COUNTIFS(LdgPartyB,$A1305,LdgKeyB,"&lt;"&amp;$B1305)+1)</f>
        <v/>
      </c>
      <c r="D1305">
        <f>IF($C1305="","",$A1305&amp;"|"&amp;RIGHT("000000"&amp;$C1305,6))</f>
        <v/>
      </c>
      <c r="F1305">
        <f>IF(Sync!$AJ1305="","",Sync!$AJ1305)</f>
        <v/>
      </c>
      <c r="G1305">
        <f>IF($F1305="","",IF(Sync!$AG1305="","",IF(ISNUMBER(Sync!$AG1305),IF(AND(Sync!$AG1305&gt;=10000101,Sync!$AG1305&lt;=99991231),INT(Sync!$AG1305/10000),""),IFERROR(VALUE(TRIM(LEFT(Sync!$AG1305,FIND("/",Sync!$AG1305)-1))),""))))</f>
        <v/>
      </c>
      <c r="H1305">
        <f>IF(OR($F1305="",$G1305=""),"",IF(ISNUMBER(Sync!$AG1305),INT(MOD(Sync!$AG1305,10000)/100),IFERROR(VALUE(TRIM(LEFT(MID(Sync!$AG1305,FIND("/",Sync!$AG1305)+1,20),FIND("/",MID(Sync!$AG1305,FIND("/",Sync!$AG1305)+1,20))-1))),"")))</f>
        <v/>
      </c>
      <c r="I1305">
        <f>IF(OR($F1305="",$G1305=""),"",IF(ISNUMBER(Sync!$AG1305),MOD(Sync!$AG1305,100),IFERROR(VALUE(TRIM(MID(MID(Sync!$AG1305,FIND("/",Sync!$AG1305)+1,20),FIND("/",MID(Sync!$AG1305,FIND("/",Sync!$AG1305)+1,20))+1,20))),"")))</f>
        <v/>
      </c>
      <c r="J1305">
        <f>IF($F1305="","",IF(OR($G1305="",$H1305="",$I1305="",$G1305&lt;1300,$G1305&gt;1500,$H1305&lt;1,$H1305&gt;12,$I1305&lt;1,$I1305&gt;31),"نامعتبر",RIGHT("0000"&amp;$G1305,4)&amp;"/"&amp;RIGHT("00"&amp;$H1305,2)&amp;"/"&amp;RIGHT("00"&amp;$I1305,2)))</f>
        <v/>
      </c>
      <c r="K1305">
        <f>IF(OR($F1305="",$J1305="",$J1305="نامعتبر"),"",LEFT($J1305,4)&amp;MID($J1305,6,2)&amp;RIGHT($J1305,2)&amp;$N1305&amp;"|"&amp;"2"&amp;RIGHT("00000"&amp;1300,5))</f>
        <v/>
      </c>
      <c r="L1305">
        <f>IF($K1305="","",COUNTIFS(LdgPartyA,$F1305,LdgKeyA,"&lt;"&amp;$K1305)+COUNTIFS(LdgPartyB,$F1305,LdgKeyB,"&lt;"&amp;$K1305)+1)</f>
        <v/>
      </c>
      <c r="M1305">
        <f>IF($L1305="","",$F1305&amp;"|"&amp;RIGHT("000000"&amp;$L1305,6))</f>
        <v/>
      </c>
      <c r="N1305">
        <f>IF($F1305="","",IF(Sync!$AH1305="","0000",IF(AND(ISNUMBER(Sync!$AH1305),Sync!$AH1305&gt;=0,Sync!$AH1305&lt;1),RIGHT("00"&amp;HOUR(Sync!$AH1305),2)&amp;RIGHT("00"&amp;MINUTE(Sync!$AH1305),2),IFERROR(RIGHT("00"&amp;VALUE(LEFT(Sync!$AH1305,FIND(":",Sync!$AH1305)-1)),2)&amp;RIGHT("00"&amp;VALUE(MID(Sync!$AH1305,FIND(":",Sync!$AH1305)+1,2)),2),"0000"))))</f>
        <v/>
      </c>
    </row>
    <row r="1306">
      <c r="A1306">
        <f>IF(OR(Calc!$E1309="",Calc!$E1309="نامعتبر",Calc!$G1309="",Calc!$I1309&lt;&gt;"خرید"),"",Calc!$G1309)</f>
        <v/>
      </c>
      <c r="B1306">
        <f>IF($A1306="","",LEFT(Calc!$E1309,4)&amp;MID(Calc!$E1309,6,2)&amp;RIGHT(Calc!$E1309,2)&amp;Calc!$R1309&amp;"|"&amp;"1"&amp;RIGHT("00000"&amp;1301,5))</f>
        <v/>
      </c>
      <c r="C1306">
        <f>IF($B1306="","",COUNTIFS(LdgPartyA,$A1306,LdgKeyA,"&lt;"&amp;$B1306)+COUNTIFS(LdgPartyB,$A1306,LdgKeyB,"&lt;"&amp;$B1306)+1)</f>
        <v/>
      </c>
      <c r="D1306">
        <f>IF($C1306="","",$A1306&amp;"|"&amp;RIGHT("000000"&amp;$C1306,6))</f>
        <v/>
      </c>
      <c r="F1306">
        <f>IF(Sync!$AJ1306="","",Sync!$AJ1306)</f>
        <v/>
      </c>
      <c r="G1306">
        <f>IF($F1306="","",IF(Sync!$AG1306="","",IF(ISNUMBER(Sync!$AG1306),IF(AND(Sync!$AG1306&gt;=10000101,Sync!$AG1306&lt;=99991231),INT(Sync!$AG1306/10000),""),IFERROR(VALUE(TRIM(LEFT(Sync!$AG1306,FIND("/",Sync!$AG1306)-1))),""))))</f>
        <v/>
      </c>
      <c r="H1306">
        <f>IF(OR($F1306="",$G1306=""),"",IF(ISNUMBER(Sync!$AG1306),INT(MOD(Sync!$AG1306,10000)/100),IFERROR(VALUE(TRIM(LEFT(MID(Sync!$AG1306,FIND("/",Sync!$AG1306)+1,20),FIND("/",MID(Sync!$AG1306,FIND("/",Sync!$AG1306)+1,20))-1))),"")))</f>
        <v/>
      </c>
      <c r="I1306">
        <f>IF(OR($F1306="",$G1306=""),"",IF(ISNUMBER(Sync!$AG1306),MOD(Sync!$AG1306,100),IFERROR(VALUE(TRIM(MID(MID(Sync!$AG1306,FIND("/",Sync!$AG1306)+1,20),FIND("/",MID(Sync!$AG1306,FIND("/",Sync!$AG1306)+1,20))+1,20))),"")))</f>
        <v/>
      </c>
      <c r="J1306">
        <f>IF($F1306="","",IF(OR($G1306="",$H1306="",$I1306="",$G1306&lt;1300,$G1306&gt;1500,$H1306&lt;1,$H1306&gt;12,$I1306&lt;1,$I1306&gt;31),"نامعتبر",RIGHT("0000"&amp;$G1306,4)&amp;"/"&amp;RIGHT("00"&amp;$H1306,2)&amp;"/"&amp;RIGHT("00"&amp;$I1306,2)))</f>
        <v/>
      </c>
      <c r="K1306">
        <f>IF(OR($F1306="",$J1306="",$J1306="نامعتبر"),"",LEFT($J1306,4)&amp;MID($J1306,6,2)&amp;RIGHT($J1306,2)&amp;$N1306&amp;"|"&amp;"2"&amp;RIGHT("00000"&amp;1301,5))</f>
        <v/>
      </c>
      <c r="L1306">
        <f>IF($K1306="","",COUNTIFS(LdgPartyA,$F1306,LdgKeyA,"&lt;"&amp;$K1306)+COUNTIFS(LdgPartyB,$F1306,LdgKeyB,"&lt;"&amp;$K1306)+1)</f>
        <v/>
      </c>
      <c r="M1306">
        <f>IF($L1306="","",$F1306&amp;"|"&amp;RIGHT("000000"&amp;$L1306,6))</f>
        <v/>
      </c>
      <c r="N1306">
        <f>IF($F1306="","",IF(Sync!$AH1306="","0000",IF(AND(ISNUMBER(Sync!$AH1306),Sync!$AH1306&gt;=0,Sync!$AH1306&lt;1),RIGHT("00"&amp;HOUR(Sync!$AH1306),2)&amp;RIGHT("00"&amp;MINUTE(Sync!$AH1306),2),IFERROR(RIGHT("00"&amp;VALUE(LEFT(Sync!$AH1306,FIND(":",Sync!$AH1306)-1)),2)&amp;RIGHT("00"&amp;VALUE(MID(Sync!$AH1306,FIND(":",Sync!$AH1306)+1,2)),2),"0000"))))</f>
        <v/>
      </c>
    </row>
    <row r="1307">
      <c r="A1307">
        <f>IF(OR(Calc!$E1310="",Calc!$E1310="نامعتبر",Calc!$G1310="",Calc!$I1310&lt;&gt;"خرید"),"",Calc!$G1310)</f>
        <v/>
      </c>
      <c r="B1307">
        <f>IF($A1307="","",LEFT(Calc!$E1310,4)&amp;MID(Calc!$E1310,6,2)&amp;RIGHT(Calc!$E1310,2)&amp;Calc!$R1310&amp;"|"&amp;"1"&amp;RIGHT("00000"&amp;1302,5))</f>
        <v/>
      </c>
      <c r="C1307">
        <f>IF($B1307="","",COUNTIFS(LdgPartyA,$A1307,LdgKeyA,"&lt;"&amp;$B1307)+COUNTIFS(LdgPartyB,$A1307,LdgKeyB,"&lt;"&amp;$B1307)+1)</f>
        <v/>
      </c>
      <c r="D1307">
        <f>IF($C1307="","",$A1307&amp;"|"&amp;RIGHT("000000"&amp;$C1307,6))</f>
        <v/>
      </c>
      <c r="F1307">
        <f>IF(Sync!$AJ1307="","",Sync!$AJ1307)</f>
        <v/>
      </c>
      <c r="G1307">
        <f>IF($F1307="","",IF(Sync!$AG1307="","",IF(ISNUMBER(Sync!$AG1307),IF(AND(Sync!$AG1307&gt;=10000101,Sync!$AG1307&lt;=99991231),INT(Sync!$AG1307/10000),""),IFERROR(VALUE(TRIM(LEFT(Sync!$AG1307,FIND("/",Sync!$AG1307)-1))),""))))</f>
        <v/>
      </c>
      <c r="H1307">
        <f>IF(OR($F1307="",$G1307=""),"",IF(ISNUMBER(Sync!$AG1307),INT(MOD(Sync!$AG1307,10000)/100),IFERROR(VALUE(TRIM(LEFT(MID(Sync!$AG1307,FIND("/",Sync!$AG1307)+1,20),FIND("/",MID(Sync!$AG1307,FIND("/",Sync!$AG1307)+1,20))-1))),"")))</f>
        <v/>
      </c>
      <c r="I1307">
        <f>IF(OR($F1307="",$G1307=""),"",IF(ISNUMBER(Sync!$AG1307),MOD(Sync!$AG1307,100),IFERROR(VALUE(TRIM(MID(MID(Sync!$AG1307,FIND("/",Sync!$AG1307)+1,20),FIND("/",MID(Sync!$AG1307,FIND("/",Sync!$AG1307)+1,20))+1,20))),"")))</f>
        <v/>
      </c>
      <c r="J1307">
        <f>IF($F1307="","",IF(OR($G1307="",$H1307="",$I1307="",$G1307&lt;1300,$G1307&gt;1500,$H1307&lt;1,$H1307&gt;12,$I1307&lt;1,$I1307&gt;31),"نامعتبر",RIGHT("0000"&amp;$G1307,4)&amp;"/"&amp;RIGHT("00"&amp;$H1307,2)&amp;"/"&amp;RIGHT("00"&amp;$I1307,2)))</f>
        <v/>
      </c>
      <c r="K1307">
        <f>IF(OR($F1307="",$J1307="",$J1307="نامعتبر"),"",LEFT($J1307,4)&amp;MID($J1307,6,2)&amp;RIGHT($J1307,2)&amp;$N1307&amp;"|"&amp;"2"&amp;RIGHT("00000"&amp;1302,5))</f>
        <v/>
      </c>
      <c r="L1307">
        <f>IF($K1307="","",COUNTIFS(LdgPartyA,$F1307,LdgKeyA,"&lt;"&amp;$K1307)+COUNTIFS(LdgPartyB,$F1307,LdgKeyB,"&lt;"&amp;$K1307)+1)</f>
        <v/>
      </c>
      <c r="M1307">
        <f>IF($L1307="","",$F1307&amp;"|"&amp;RIGHT("000000"&amp;$L1307,6))</f>
        <v/>
      </c>
      <c r="N1307">
        <f>IF($F1307="","",IF(Sync!$AH1307="","0000",IF(AND(ISNUMBER(Sync!$AH1307),Sync!$AH1307&gt;=0,Sync!$AH1307&lt;1),RIGHT("00"&amp;HOUR(Sync!$AH1307),2)&amp;RIGHT("00"&amp;MINUTE(Sync!$AH1307),2),IFERROR(RIGHT("00"&amp;VALUE(LEFT(Sync!$AH1307,FIND(":",Sync!$AH1307)-1)),2)&amp;RIGHT("00"&amp;VALUE(MID(Sync!$AH1307,FIND(":",Sync!$AH1307)+1,2)),2),"0000"))))</f>
        <v/>
      </c>
    </row>
    <row r="1308">
      <c r="A1308">
        <f>IF(OR(Calc!$E1311="",Calc!$E1311="نامعتبر",Calc!$G1311="",Calc!$I1311&lt;&gt;"خرید"),"",Calc!$G1311)</f>
        <v/>
      </c>
      <c r="B1308">
        <f>IF($A1308="","",LEFT(Calc!$E1311,4)&amp;MID(Calc!$E1311,6,2)&amp;RIGHT(Calc!$E1311,2)&amp;Calc!$R1311&amp;"|"&amp;"1"&amp;RIGHT("00000"&amp;1303,5))</f>
        <v/>
      </c>
      <c r="C1308">
        <f>IF($B1308="","",COUNTIFS(LdgPartyA,$A1308,LdgKeyA,"&lt;"&amp;$B1308)+COUNTIFS(LdgPartyB,$A1308,LdgKeyB,"&lt;"&amp;$B1308)+1)</f>
        <v/>
      </c>
      <c r="D1308">
        <f>IF($C1308="","",$A1308&amp;"|"&amp;RIGHT("000000"&amp;$C1308,6))</f>
        <v/>
      </c>
      <c r="F1308">
        <f>IF(Sync!$AJ1308="","",Sync!$AJ1308)</f>
        <v/>
      </c>
      <c r="G1308">
        <f>IF($F1308="","",IF(Sync!$AG1308="","",IF(ISNUMBER(Sync!$AG1308),IF(AND(Sync!$AG1308&gt;=10000101,Sync!$AG1308&lt;=99991231),INT(Sync!$AG1308/10000),""),IFERROR(VALUE(TRIM(LEFT(Sync!$AG1308,FIND("/",Sync!$AG1308)-1))),""))))</f>
        <v/>
      </c>
      <c r="H1308">
        <f>IF(OR($F1308="",$G1308=""),"",IF(ISNUMBER(Sync!$AG1308),INT(MOD(Sync!$AG1308,10000)/100),IFERROR(VALUE(TRIM(LEFT(MID(Sync!$AG1308,FIND("/",Sync!$AG1308)+1,20),FIND("/",MID(Sync!$AG1308,FIND("/",Sync!$AG1308)+1,20))-1))),"")))</f>
        <v/>
      </c>
      <c r="I1308">
        <f>IF(OR($F1308="",$G1308=""),"",IF(ISNUMBER(Sync!$AG1308),MOD(Sync!$AG1308,100),IFERROR(VALUE(TRIM(MID(MID(Sync!$AG1308,FIND("/",Sync!$AG1308)+1,20),FIND("/",MID(Sync!$AG1308,FIND("/",Sync!$AG1308)+1,20))+1,20))),"")))</f>
        <v/>
      </c>
      <c r="J1308">
        <f>IF($F1308="","",IF(OR($G1308="",$H1308="",$I1308="",$G1308&lt;1300,$G1308&gt;1500,$H1308&lt;1,$H1308&gt;12,$I1308&lt;1,$I1308&gt;31),"نامعتبر",RIGHT("0000"&amp;$G1308,4)&amp;"/"&amp;RIGHT("00"&amp;$H1308,2)&amp;"/"&amp;RIGHT("00"&amp;$I1308,2)))</f>
        <v/>
      </c>
      <c r="K1308">
        <f>IF(OR($F1308="",$J1308="",$J1308="نامعتبر"),"",LEFT($J1308,4)&amp;MID($J1308,6,2)&amp;RIGHT($J1308,2)&amp;$N1308&amp;"|"&amp;"2"&amp;RIGHT("00000"&amp;1303,5))</f>
        <v/>
      </c>
      <c r="L1308">
        <f>IF($K1308="","",COUNTIFS(LdgPartyA,$F1308,LdgKeyA,"&lt;"&amp;$K1308)+COUNTIFS(LdgPartyB,$F1308,LdgKeyB,"&lt;"&amp;$K1308)+1)</f>
        <v/>
      </c>
      <c r="M1308">
        <f>IF($L1308="","",$F1308&amp;"|"&amp;RIGHT("000000"&amp;$L1308,6))</f>
        <v/>
      </c>
      <c r="N1308">
        <f>IF($F1308="","",IF(Sync!$AH1308="","0000",IF(AND(ISNUMBER(Sync!$AH1308),Sync!$AH1308&gt;=0,Sync!$AH1308&lt;1),RIGHT("00"&amp;HOUR(Sync!$AH1308),2)&amp;RIGHT("00"&amp;MINUTE(Sync!$AH1308),2),IFERROR(RIGHT("00"&amp;VALUE(LEFT(Sync!$AH1308,FIND(":",Sync!$AH1308)-1)),2)&amp;RIGHT("00"&amp;VALUE(MID(Sync!$AH1308,FIND(":",Sync!$AH1308)+1,2)),2),"0000"))))</f>
        <v/>
      </c>
    </row>
    <row r="1309">
      <c r="A1309">
        <f>IF(OR(Calc!$E1312="",Calc!$E1312="نامعتبر",Calc!$G1312="",Calc!$I1312&lt;&gt;"خرید"),"",Calc!$G1312)</f>
        <v/>
      </c>
      <c r="B1309">
        <f>IF($A1309="","",LEFT(Calc!$E1312,4)&amp;MID(Calc!$E1312,6,2)&amp;RIGHT(Calc!$E1312,2)&amp;Calc!$R1312&amp;"|"&amp;"1"&amp;RIGHT("00000"&amp;1304,5))</f>
        <v/>
      </c>
      <c r="C1309">
        <f>IF($B1309="","",COUNTIFS(LdgPartyA,$A1309,LdgKeyA,"&lt;"&amp;$B1309)+COUNTIFS(LdgPartyB,$A1309,LdgKeyB,"&lt;"&amp;$B1309)+1)</f>
        <v/>
      </c>
      <c r="D1309">
        <f>IF($C1309="","",$A1309&amp;"|"&amp;RIGHT("000000"&amp;$C1309,6))</f>
        <v/>
      </c>
      <c r="F1309">
        <f>IF(Sync!$AJ1309="","",Sync!$AJ1309)</f>
        <v/>
      </c>
      <c r="G1309">
        <f>IF($F1309="","",IF(Sync!$AG1309="","",IF(ISNUMBER(Sync!$AG1309),IF(AND(Sync!$AG1309&gt;=10000101,Sync!$AG1309&lt;=99991231),INT(Sync!$AG1309/10000),""),IFERROR(VALUE(TRIM(LEFT(Sync!$AG1309,FIND("/",Sync!$AG1309)-1))),""))))</f>
        <v/>
      </c>
      <c r="H1309">
        <f>IF(OR($F1309="",$G1309=""),"",IF(ISNUMBER(Sync!$AG1309),INT(MOD(Sync!$AG1309,10000)/100),IFERROR(VALUE(TRIM(LEFT(MID(Sync!$AG1309,FIND("/",Sync!$AG1309)+1,20),FIND("/",MID(Sync!$AG1309,FIND("/",Sync!$AG1309)+1,20))-1))),"")))</f>
        <v/>
      </c>
      <c r="I1309">
        <f>IF(OR($F1309="",$G1309=""),"",IF(ISNUMBER(Sync!$AG1309),MOD(Sync!$AG1309,100),IFERROR(VALUE(TRIM(MID(MID(Sync!$AG1309,FIND("/",Sync!$AG1309)+1,20),FIND("/",MID(Sync!$AG1309,FIND("/",Sync!$AG1309)+1,20))+1,20))),"")))</f>
        <v/>
      </c>
      <c r="J1309">
        <f>IF($F1309="","",IF(OR($G1309="",$H1309="",$I1309="",$G1309&lt;1300,$G1309&gt;1500,$H1309&lt;1,$H1309&gt;12,$I1309&lt;1,$I1309&gt;31),"نامعتبر",RIGHT("0000"&amp;$G1309,4)&amp;"/"&amp;RIGHT("00"&amp;$H1309,2)&amp;"/"&amp;RIGHT("00"&amp;$I1309,2)))</f>
        <v/>
      </c>
      <c r="K1309">
        <f>IF(OR($F1309="",$J1309="",$J1309="نامعتبر"),"",LEFT($J1309,4)&amp;MID($J1309,6,2)&amp;RIGHT($J1309,2)&amp;$N1309&amp;"|"&amp;"2"&amp;RIGHT("00000"&amp;1304,5))</f>
        <v/>
      </c>
      <c r="L1309">
        <f>IF($K1309="","",COUNTIFS(LdgPartyA,$F1309,LdgKeyA,"&lt;"&amp;$K1309)+COUNTIFS(LdgPartyB,$F1309,LdgKeyB,"&lt;"&amp;$K1309)+1)</f>
        <v/>
      </c>
      <c r="M1309">
        <f>IF($L1309="","",$F1309&amp;"|"&amp;RIGHT("000000"&amp;$L1309,6))</f>
        <v/>
      </c>
      <c r="N1309">
        <f>IF($F1309="","",IF(Sync!$AH1309="","0000",IF(AND(ISNUMBER(Sync!$AH1309),Sync!$AH1309&gt;=0,Sync!$AH1309&lt;1),RIGHT("00"&amp;HOUR(Sync!$AH1309),2)&amp;RIGHT("00"&amp;MINUTE(Sync!$AH1309),2),IFERROR(RIGHT("00"&amp;VALUE(LEFT(Sync!$AH1309,FIND(":",Sync!$AH1309)-1)),2)&amp;RIGHT("00"&amp;VALUE(MID(Sync!$AH1309,FIND(":",Sync!$AH1309)+1,2)),2),"0000"))))</f>
        <v/>
      </c>
    </row>
    <row r="1310">
      <c r="A1310">
        <f>IF(OR(Calc!$E1313="",Calc!$E1313="نامعتبر",Calc!$G1313="",Calc!$I1313&lt;&gt;"خرید"),"",Calc!$G1313)</f>
        <v/>
      </c>
      <c r="B1310">
        <f>IF($A1310="","",LEFT(Calc!$E1313,4)&amp;MID(Calc!$E1313,6,2)&amp;RIGHT(Calc!$E1313,2)&amp;Calc!$R1313&amp;"|"&amp;"1"&amp;RIGHT("00000"&amp;1305,5))</f>
        <v/>
      </c>
      <c r="C1310">
        <f>IF($B1310="","",COUNTIFS(LdgPartyA,$A1310,LdgKeyA,"&lt;"&amp;$B1310)+COUNTIFS(LdgPartyB,$A1310,LdgKeyB,"&lt;"&amp;$B1310)+1)</f>
        <v/>
      </c>
      <c r="D1310">
        <f>IF($C1310="","",$A1310&amp;"|"&amp;RIGHT("000000"&amp;$C1310,6))</f>
        <v/>
      </c>
      <c r="F1310">
        <f>IF(Sync!$AJ1310="","",Sync!$AJ1310)</f>
        <v/>
      </c>
      <c r="G1310">
        <f>IF($F1310="","",IF(Sync!$AG1310="","",IF(ISNUMBER(Sync!$AG1310),IF(AND(Sync!$AG1310&gt;=10000101,Sync!$AG1310&lt;=99991231),INT(Sync!$AG1310/10000),""),IFERROR(VALUE(TRIM(LEFT(Sync!$AG1310,FIND("/",Sync!$AG1310)-1))),""))))</f>
        <v/>
      </c>
      <c r="H1310">
        <f>IF(OR($F1310="",$G1310=""),"",IF(ISNUMBER(Sync!$AG1310),INT(MOD(Sync!$AG1310,10000)/100),IFERROR(VALUE(TRIM(LEFT(MID(Sync!$AG1310,FIND("/",Sync!$AG1310)+1,20),FIND("/",MID(Sync!$AG1310,FIND("/",Sync!$AG1310)+1,20))-1))),"")))</f>
        <v/>
      </c>
      <c r="I1310">
        <f>IF(OR($F1310="",$G1310=""),"",IF(ISNUMBER(Sync!$AG1310),MOD(Sync!$AG1310,100),IFERROR(VALUE(TRIM(MID(MID(Sync!$AG1310,FIND("/",Sync!$AG1310)+1,20),FIND("/",MID(Sync!$AG1310,FIND("/",Sync!$AG1310)+1,20))+1,20))),"")))</f>
        <v/>
      </c>
      <c r="J1310">
        <f>IF($F1310="","",IF(OR($G1310="",$H1310="",$I1310="",$G1310&lt;1300,$G1310&gt;1500,$H1310&lt;1,$H1310&gt;12,$I1310&lt;1,$I1310&gt;31),"نامعتبر",RIGHT("0000"&amp;$G1310,4)&amp;"/"&amp;RIGHT("00"&amp;$H1310,2)&amp;"/"&amp;RIGHT("00"&amp;$I1310,2)))</f>
        <v/>
      </c>
      <c r="K1310">
        <f>IF(OR($F1310="",$J1310="",$J1310="نامعتبر"),"",LEFT($J1310,4)&amp;MID($J1310,6,2)&amp;RIGHT($J1310,2)&amp;$N1310&amp;"|"&amp;"2"&amp;RIGHT("00000"&amp;1305,5))</f>
        <v/>
      </c>
      <c r="L1310">
        <f>IF($K1310="","",COUNTIFS(LdgPartyA,$F1310,LdgKeyA,"&lt;"&amp;$K1310)+COUNTIFS(LdgPartyB,$F1310,LdgKeyB,"&lt;"&amp;$K1310)+1)</f>
        <v/>
      </c>
      <c r="M1310">
        <f>IF($L1310="","",$F1310&amp;"|"&amp;RIGHT("000000"&amp;$L1310,6))</f>
        <v/>
      </c>
      <c r="N1310">
        <f>IF($F1310="","",IF(Sync!$AH1310="","0000",IF(AND(ISNUMBER(Sync!$AH1310),Sync!$AH1310&gt;=0,Sync!$AH1310&lt;1),RIGHT("00"&amp;HOUR(Sync!$AH1310),2)&amp;RIGHT("00"&amp;MINUTE(Sync!$AH1310),2),IFERROR(RIGHT("00"&amp;VALUE(LEFT(Sync!$AH1310,FIND(":",Sync!$AH1310)-1)),2)&amp;RIGHT("00"&amp;VALUE(MID(Sync!$AH1310,FIND(":",Sync!$AH1310)+1,2)),2),"0000"))))</f>
        <v/>
      </c>
    </row>
    <row r="1311">
      <c r="A1311">
        <f>IF(OR(Calc!$E1314="",Calc!$E1314="نامعتبر",Calc!$G1314="",Calc!$I1314&lt;&gt;"خرید"),"",Calc!$G1314)</f>
        <v/>
      </c>
      <c r="B1311">
        <f>IF($A1311="","",LEFT(Calc!$E1314,4)&amp;MID(Calc!$E1314,6,2)&amp;RIGHT(Calc!$E1314,2)&amp;Calc!$R1314&amp;"|"&amp;"1"&amp;RIGHT("00000"&amp;1306,5))</f>
        <v/>
      </c>
      <c r="C1311">
        <f>IF($B1311="","",COUNTIFS(LdgPartyA,$A1311,LdgKeyA,"&lt;"&amp;$B1311)+COUNTIFS(LdgPartyB,$A1311,LdgKeyB,"&lt;"&amp;$B1311)+1)</f>
        <v/>
      </c>
      <c r="D1311">
        <f>IF($C1311="","",$A1311&amp;"|"&amp;RIGHT("000000"&amp;$C1311,6))</f>
        <v/>
      </c>
      <c r="F1311">
        <f>IF(Sync!$AJ1311="","",Sync!$AJ1311)</f>
        <v/>
      </c>
      <c r="G1311">
        <f>IF($F1311="","",IF(Sync!$AG1311="","",IF(ISNUMBER(Sync!$AG1311),IF(AND(Sync!$AG1311&gt;=10000101,Sync!$AG1311&lt;=99991231),INT(Sync!$AG1311/10000),""),IFERROR(VALUE(TRIM(LEFT(Sync!$AG1311,FIND("/",Sync!$AG1311)-1))),""))))</f>
        <v/>
      </c>
      <c r="H1311">
        <f>IF(OR($F1311="",$G1311=""),"",IF(ISNUMBER(Sync!$AG1311),INT(MOD(Sync!$AG1311,10000)/100),IFERROR(VALUE(TRIM(LEFT(MID(Sync!$AG1311,FIND("/",Sync!$AG1311)+1,20),FIND("/",MID(Sync!$AG1311,FIND("/",Sync!$AG1311)+1,20))-1))),"")))</f>
        <v/>
      </c>
      <c r="I1311">
        <f>IF(OR($F1311="",$G1311=""),"",IF(ISNUMBER(Sync!$AG1311),MOD(Sync!$AG1311,100),IFERROR(VALUE(TRIM(MID(MID(Sync!$AG1311,FIND("/",Sync!$AG1311)+1,20),FIND("/",MID(Sync!$AG1311,FIND("/",Sync!$AG1311)+1,20))+1,20))),"")))</f>
        <v/>
      </c>
      <c r="J1311">
        <f>IF($F1311="","",IF(OR($G1311="",$H1311="",$I1311="",$G1311&lt;1300,$G1311&gt;1500,$H1311&lt;1,$H1311&gt;12,$I1311&lt;1,$I1311&gt;31),"نامعتبر",RIGHT("0000"&amp;$G1311,4)&amp;"/"&amp;RIGHT("00"&amp;$H1311,2)&amp;"/"&amp;RIGHT("00"&amp;$I1311,2)))</f>
        <v/>
      </c>
      <c r="K1311">
        <f>IF(OR($F1311="",$J1311="",$J1311="نامعتبر"),"",LEFT($J1311,4)&amp;MID($J1311,6,2)&amp;RIGHT($J1311,2)&amp;$N1311&amp;"|"&amp;"2"&amp;RIGHT("00000"&amp;1306,5))</f>
        <v/>
      </c>
      <c r="L1311">
        <f>IF($K1311="","",COUNTIFS(LdgPartyA,$F1311,LdgKeyA,"&lt;"&amp;$K1311)+COUNTIFS(LdgPartyB,$F1311,LdgKeyB,"&lt;"&amp;$K1311)+1)</f>
        <v/>
      </c>
      <c r="M1311">
        <f>IF($L1311="","",$F1311&amp;"|"&amp;RIGHT("000000"&amp;$L1311,6))</f>
        <v/>
      </c>
      <c r="N1311">
        <f>IF($F1311="","",IF(Sync!$AH1311="","0000",IF(AND(ISNUMBER(Sync!$AH1311),Sync!$AH1311&gt;=0,Sync!$AH1311&lt;1),RIGHT("00"&amp;HOUR(Sync!$AH1311),2)&amp;RIGHT("00"&amp;MINUTE(Sync!$AH1311),2),IFERROR(RIGHT("00"&amp;VALUE(LEFT(Sync!$AH1311,FIND(":",Sync!$AH1311)-1)),2)&amp;RIGHT("00"&amp;VALUE(MID(Sync!$AH1311,FIND(":",Sync!$AH1311)+1,2)),2),"0000"))))</f>
        <v/>
      </c>
    </row>
    <row r="1312">
      <c r="A1312">
        <f>IF(OR(Calc!$E1315="",Calc!$E1315="نامعتبر",Calc!$G1315="",Calc!$I1315&lt;&gt;"خرید"),"",Calc!$G1315)</f>
        <v/>
      </c>
      <c r="B1312">
        <f>IF($A1312="","",LEFT(Calc!$E1315,4)&amp;MID(Calc!$E1315,6,2)&amp;RIGHT(Calc!$E1315,2)&amp;Calc!$R1315&amp;"|"&amp;"1"&amp;RIGHT("00000"&amp;1307,5))</f>
        <v/>
      </c>
      <c r="C1312">
        <f>IF($B1312="","",COUNTIFS(LdgPartyA,$A1312,LdgKeyA,"&lt;"&amp;$B1312)+COUNTIFS(LdgPartyB,$A1312,LdgKeyB,"&lt;"&amp;$B1312)+1)</f>
        <v/>
      </c>
      <c r="D1312">
        <f>IF($C1312="","",$A1312&amp;"|"&amp;RIGHT("000000"&amp;$C1312,6))</f>
        <v/>
      </c>
      <c r="F1312">
        <f>IF(Sync!$AJ1312="","",Sync!$AJ1312)</f>
        <v/>
      </c>
      <c r="G1312">
        <f>IF($F1312="","",IF(Sync!$AG1312="","",IF(ISNUMBER(Sync!$AG1312),IF(AND(Sync!$AG1312&gt;=10000101,Sync!$AG1312&lt;=99991231),INT(Sync!$AG1312/10000),""),IFERROR(VALUE(TRIM(LEFT(Sync!$AG1312,FIND("/",Sync!$AG1312)-1))),""))))</f>
        <v/>
      </c>
      <c r="H1312">
        <f>IF(OR($F1312="",$G1312=""),"",IF(ISNUMBER(Sync!$AG1312),INT(MOD(Sync!$AG1312,10000)/100),IFERROR(VALUE(TRIM(LEFT(MID(Sync!$AG1312,FIND("/",Sync!$AG1312)+1,20),FIND("/",MID(Sync!$AG1312,FIND("/",Sync!$AG1312)+1,20))-1))),"")))</f>
        <v/>
      </c>
      <c r="I1312">
        <f>IF(OR($F1312="",$G1312=""),"",IF(ISNUMBER(Sync!$AG1312),MOD(Sync!$AG1312,100),IFERROR(VALUE(TRIM(MID(MID(Sync!$AG1312,FIND("/",Sync!$AG1312)+1,20),FIND("/",MID(Sync!$AG1312,FIND("/",Sync!$AG1312)+1,20))+1,20))),"")))</f>
        <v/>
      </c>
      <c r="J1312">
        <f>IF($F1312="","",IF(OR($G1312="",$H1312="",$I1312="",$G1312&lt;1300,$G1312&gt;1500,$H1312&lt;1,$H1312&gt;12,$I1312&lt;1,$I1312&gt;31),"نامعتبر",RIGHT("0000"&amp;$G1312,4)&amp;"/"&amp;RIGHT("00"&amp;$H1312,2)&amp;"/"&amp;RIGHT("00"&amp;$I1312,2)))</f>
        <v/>
      </c>
      <c r="K1312">
        <f>IF(OR($F1312="",$J1312="",$J1312="نامعتبر"),"",LEFT($J1312,4)&amp;MID($J1312,6,2)&amp;RIGHT($J1312,2)&amp;$N1312&amp;"|"&amp;"2"&amp;RIGHT("00000"&amp;1307,5))</f>
        <v/>
      </c>
      <c r="L1312">
        <f>IF($K1312="","",COUNTIFS(LdgPartyA,$F1312,LdgKeyA,"&lt;"&amp;$K1312)+COUNTIFS(LdgPartyB,$F1312,LdgKeyB,"&lt;"&amp;$K1312)+1)</f>
        <v/>
      </c>
      <c r="M1312">
        <f>IF($L1312="","",$F1312&amp;"|"&amp;RIGHT("000000"&amp;$L1312,6))</f>
        <v/>
      </c>
      <c r="N1312">
        <f>IF($F1312="","",IF(Sync!$AH1312="","0000",IF(AND(ISNUMBER(Sync!$AH1312),Sync!$AH1312&gt;=0,Sync!$AH1312&lt;1),RIGHT("00"&amp;HOUR(Sync!$AH1312),2)&amp;RIGHT("00"&amp;MINUTE(Sync!$AH1312),2),IFERROR(RIGHT("00"&amp;VALUE(LEFT(Sync!$AH1312,FIND(":",Sync!$AH1312)-1)),2)&amp;RIGHT("00"&amp;VALUE(MID(Sync!$AH1312,FIND(":",Sync!$AH1312)+1,2)),2),"0000"))))</f>
        <v/>
      </c>
    </row>
    <row r="1313">
      <c r="A1313">
        <f>IF(OR(Calc!$E1316="",Calc!$E1316="نامعتبر",Calc!$G1316="",Calc!$I1316&lt;&gt;"خرید"),"",Calc!$G1316)</f>
        <v/>
      </c>
      <c r="B1313">
        <f>IF($A1313="","",LEFT(Calc!$E1316,4)&amp;MID(Calc!$E1316,6,2)&amp;RIGHT(Calc!$E1316,2)&amp;Calc!$R1316&amp;"|"&amp;"1"&amp;RIGHT("00000"&amp;1308,5))</f>
        <v/>
      </c>
      <c r="C1313">
        <f>IF($B1313="","",COUNTIFS(LdgPartyA,$A1313,LdgKeyA,"&lt;"&amp;$B1313)+COUNTIFS(LdgPartyB,$A1313,LdgKeyB,"&lt;"&amp;$B1313)+1)</f>
        <v/>
      </c>
      <c r="D1313">
        <f>IF($C1313="","",$A1313&amp;"|"&amp;RIGHT("000000"&amp;$C1313,6))</f>
        <v/>
      </c>
      <c r="F1313">
        <f>IF(Sync!$AJ1313="","",Sync!$AJ1313)</f>
        <v/>
      </c>
      <c r="G1313">
        <f>IF($F1313="","",IF(Sync!$AG1313="","",IF(ISNUMBER(Sync!$AG1313),IF(AND(Sync!$AG1313&gt;=10000101,Sync!$AG1313&lt;=99991231),INT(Sync!$AG1313/10000),""),IFERROR(VALUE(TRIM(LEFT(Sync!$AG1313,FIND("/",Sync!$AG1313)-1))),""))))</f>
        <v/>
      </c>
      <c r="H1313">
        <f>IF(OR($F1313="",$G1313=""),"",IF(ISNUMBER(Sync!$AG1313),INT(MOD(Sync!$AG1313,10000)/100),IFERROR(VALUE(TRIM(LEFT(MID(Sync!$AG1313,FIND("/",Sync!$AG1313)+1,20),FIND("/",MID(Sync!$AG1313,FIND("/",Sync!$AG1313)+1,20))-1))),"")))</f>
        <v/>
      </c>
      <c r="I1313">
        <f>IF(OR($F1313="",$G1313=""),"",IF(ISNUMBER(Sync!$AG1313),MOD(Sync!$AG1313,100),IFERROR(VALUE(TRIM(MID(MID(Sync!$AG1313,FIND("/",Sync!$AG1313)+1,20),FIND("/",MID(Sync!$AG1313,FIND("/",Sync!$AG1313)+1,20))+1,20))),"")))</f>
        <v/>
      </c>
      <c r="J1313">
        <f>IF($F1313="","",IF(OR($G1313="",$H1313="",$I1313="",$G1313&lt;1300,$G1313&gt;1500,$H1313&lt;1,$H1313&gt;12,$I1313&lt;1,$I1313&gt;31),"نامعتبر",RIGHT("0000"&amp;$G1313,4)&amp;"/"&amp;RIGHT("00"&amp;$H1313,2)&amp;"/"&amp;RIGHT("00"&amp;$I1313,2)))</f>
        <v/>
      </c>
      <c r="K1313">
        <f>IF(OR($F1313="",$J1313="",$J1313="نامعتبر"),"",LEFT($J1313,4)&amp;MID($J1313,6,2)&amp;RIGHT($J1313,2)&amp;$N1313&amp;"|"&amp;"2"&amp;RIGHT("00000"&amp;1308,5))</f>
        <v/>
      </c>
      <c r="L1313">
        <f>IF($K1313="","",COUNTIFS(LdgPartyA,$F1313,LdgKeyA,"&lt;"&amp;$K1313)+COUNTIFS(LdgPartyB,$F1313,LdgKeyB,"&lt;"&amp;$K1313)+1)</f>
        <v/>
      </c>
      <c r="M1313">
        <f>IF($L1313="","",$F1313&amp;"|"&amp;RIGHT("000000"&amp;$L1313,6))</f>
        <v/>
      </c>
      <c r="N1313">
        <f>IF($F1313="","",IF(Sync!$AH1313="","0000",IF(AND(ISNUMBER(Sync!$AH1313),Sync!$AH1313&gt;=0,Sync!$AH1313&lt;1),RIGHT("00"&amp;HOUR(Sync!$AH1313),2)&amp;RIGHT("00"&amp;MINUTE(Sync!$AH1313),2),IFERROR(RIGHT("00"&amp;VALUE(LEFT(Sync!$AH1313,FIND(":",Sync!$AH1313)-1)),2)&amp;RIGHT("00"&amp;VALUE(MID(Sync!$AH1313,FIND(":",Sync!$AH1313)+1,2)),2),"0000"))))</f>
        <v/>
      </c>
    </row>
    <row r="1314">
      <c r="A1314">
        <f>IF(OR(Calc!$E1317="",Calc!$E1317="نامعتبر",Calc!$G1317="",Calc!$I1317&lt;&gt;"خرید"),"",Calc!$G1317)</f>
        <v/>
      </c>
      <c r="B1314">
        <f>IF($A1314="","",LEFT(Calc!$E1317,4)&amp;MID(Calc!$E1317,6,2)&amp;RIGHT(Calc!$E1317,2)&amp;Calc!$R1317&amp;"|"&amp;"1"&amp;RIGHT("00000"&amp;1309,5))</f>
        <v/>
      </c>
      <c r="C1314">
        <f>IF($B1314="","",COUNTIFS(LdgPartyA,$A1314,LdgKeyA,"&lt;"&amp;$B1314)+COUNTIFS(LdgPartyB,$A1314,LdgKeyB,"&lt;"&amp;$B1314)+1)</f>
        <v/>
      </c>
      <c r="D1314">
        <f>IF($C1314="","",$A1314&amp;"|"&amp;RIGHT("000000"&amp;$C1314,6))</f>
        <v/>
      </c>
      <c r="F1314">
        <f>IF(Sync!$AJ1314="","",Sync!$AJ1314)</f>
        <v/>
      </c>
      <c r="G1314">
        <f>IF($F1314="","",IF(Sync!$AG1314="","",IF(ISNUMBER(Sync!$AG1314),IF(AND(Sync!$AG1314&gt;=10000101,Sync!$AG1314&lt;=99991231),INT(Sync!$AG1314/10000),""),IFERROR(VALUE(TRIM(LEFT(Sync!$AG1314,FIND("/",Sync!$AG1314)-1))),""))))</f>
        <v/>
      </c>
      <c r="H1314">
        <f>IF(OR($F1314="",$G1314=""),"",IF(ISNUMBER(Sync!$AG1314),INT(MOD(Sync!$AG1314,10000)/100),IFERROR(VALUE(TRIM(LEFT(MID(Sync!$AG1314,FIND("/",Sync!$AG1314)+1,20),FIND("/",MID(Sync!$AG1314,FIND("/",Sync!$AG1314)+1,20))-1))),"")))</f>
        <v/>
      </c>
      <c r="I1314">
        <f>IF(OR($F1314="",$G1314=""),"",IF(ISNUMBER(Sync!$AG1314),MOD(Sync!$AG1314,100),IFERROR(VALUE(TRIM(MID(MID(Sync!$AG1314,FIND("/",Sync!$AG1314)+1,20),FIND("/",MID(Sync!$AG1314,FIND("/",Sync!$AG1314)+1,20))+1,20))),"")))</f>
        <v/>
      </c>
      <c r="J1314">
        <f>IF($F1314="","",IF(OR($G1314="",$H1314="",$I1314="",$G1314&lt;1300,$G1314&gt;1500,$H1314&lt;1,$H1314&gt;12,$I1314&lt;1,$I1314&gt;31),"نامعتبر",RIGHT("0000"&amp;$G1314,4)&amp;"/"&amp;RIGHT("00"&amp;$H1314,2)&amp;"/"&amp;RIGHT("00"&amp;$I1314,2)))</f>
        <v/>
      </c>
      <c r="K1314">
        <f>IF(OR($F1314="",$J1314="",$J1314="نامعتبر"),"",LEFT($J1314,4)&amp;MID($J1314,6,2)&amp;RIGHT($J1314,2)&amp;$N1314&amp;"|"&amp;"2"&amp;RIGHT("00000"&amp;1309,5))</f>
        <v/>
      </c>
      <c r="L1314">
        <f>IF($K1314="","",COUNTIFS(LdgPartyA,$F1314,LdgKeyA,"&lt;"&amp;$K1314)+COUNTIFS(LdgPartyB,$F1314,LdgKeyB,"&lt;"&amp;$K1314)+1)</f>
        <v/>
      </c>
      <c r="M1314">
        <f>IF($L1314="","",$F1314&amp;"|"&amp;RIGHT("000000"&amp;$L1314,6))</f>
        <v/>
      </c>
      <c r="N1314">
        <f>IF($F1314="","",IF(Sync!$AH1314="","0000",IF(AND(ISNUMBER(Sync!$AH1314),Sync!$AH1314&gt;=0,Sync!$AH1314&lt;1),RIGHT("00"&amp;HOUR(Sync!$AH1314),2)&amp;RIGHT("00"&amp;MINUTE(Sync!$AH1314),2),IFERROR(RIGHT("00"&amp;VALUE(LEFT(Sync!$AH1314,FIND(":",Sync!$AH1314)-1)),2)&amp;RIGHT("00"&amp;VALUE(MID(Sync!$AH1314,FIND(":",Sync!$AH1314)+1,2)),2),"0000"))))</f>
        <v/>
      </c>
    </row>
    <row r="1315">
      <c r="A1315">
        <f>IF(OR(Calc!$E1318="",Calc!$E1318="نامعتبر",Calc!$G1318="",Calc!$I1318&lt;&gt;"خرید"),"",Calc!$G1318)</f>
        <v/>
      </c>
      <c r="B1315">
        <f>IF($A1315="","",LEFT(Calc!$E1318,4)&amp;MID(Calc!$E1318,6,2)&amp;RIGHT(Calc!$E1318,2)&amp;Calc!$R1318&amp;"|"&amp;"1"&amp;RIGHT("00000"&amp;1310,5))</f>
        <v/>
      </c>
      <c r="C1315">
        <f>IF($B1315="","",COUNTIFS(LdgPartyA,$A1315,LdgKeyA,"&lt;"&amp;$B1315)+COUNTIFS(LdgPartyB,$A1315,LdgKeyB,"&lt;"&amp;$B1315)+1)</f>
        <v/>
      </c>
      <c r="D1315">
        <f>IF($C1315="","",$A1315&amp;"|"&amp;RIGHT("000000"&amp;$C1315,6))</f>
        <v/>
      </c>
      <c r="F1315">
        <f>IF(Sync!$AJ1315="","",Sync!$AJ1315)</f>
        <v/>
      </c>
      <c r="G1315">
        <f>IF($F1315="","",IF(Sync!$AG1315="","",IF(ISNUMBER(Sync!$AG1315),IF(AND(Sync!$AG1315&gt;=10000101,Sync!$AG1315&lt;=99991231),INT(Sync!$AG1315/10000),""),IFERROR(VALUE(TRIM(LEFT(Sync!$AG1315,FIND("/",Sync!$AG1315)-1))),""))))</f>
        <v/>
      </c>
      <c r="H1315">
        <f>IF(OR($F1315="",$G1315=""),"",IF(ISNUMBER(Sync!$AG1315),INT(MOD(Sync!$AG1315,10000)/100),IFERROR(VALUE(TRIM(LEFT(MID(Sync!$AG1315,FIND("/",Sync!$AG1315)+1,20),FIND("/",MID(Sync!$AG1315,FIND("/",Sync!$AG1315)+1,20))-1))),"")))</f>
        <v/>
      </c>
      <c r="I1315">
        <f>IF(OR($F1315="",$G1315=""),"",IF(ISNUMBER(Sync!$AG1315),MOD(Sync!$AG1315,100),IFERROR(VALUE(TRIM(MID(MID(Sync!$AG1315,FIND("/",Sync!$AG1315)+1,20),FIND("/",MID(Sync!$AG1315,FIND("/",Sync!$AG1315)+1,20))+1,20))),"")))</f>
        <v/>
      </c>
      <c r="J1315">
        <f>IF($F1315="","",IF(OR($G1315="",$H1315="",$I1315="",$G1315&lt;1300,$G1315&gt;1500,$H1315&lt;1,$H1315&gt;12,$I1315&lt;1,$I1315&gt;31),"نامعتبر",RIGHT("0000"&amp;$G1315,4)&amp;"/"&amp;RIGHT("00"&amp;$H1315,2)&amp;"/"&amp;RIGHT("00"&amp;$I1315,2)))</f>
        <v/>
      </c>
      <c r="K1315">
        <f>IF(OR($F1315="",$J1315="",$J1315="نامعتبر"),"",LEFT($J1315,4)&amp;MID($J1315,6,2)&amp;RIGHT($J1315,2)&amp;$N1315&amp;"|"&amp;"2"&amp;RIGHT("00000"&amp;1310,5))</f>
        <v/>
      </c>
      <c r="L1315">
        <f>IF($K1315="","",COUNTIFS(LdgPartyA,$F1315,LdgKeyA,"&lt;"&amp;$K1315)+COUNTIFS(LdgPartyB,$F1315,LdgKeyB,"&lt;"&amp;$K1315)+1)</f>
        <v/>
      </c>
      <c r="M1315">
        <f>IF($L1315="","",$F1315&amp;"|"&amp;RIGHT("000000"&amp;$L1315,6))</f>
        <v/>
      </c>
      <c r="N1315">
        <f>IF($F1315="","",IF(Sync!$AH1315="","0000",IF(AND(ISNUMBER(Sync!$AH1315),Sync!$AH1315&gt;=0,Sync!$AH1315&lt;1),RIGHT("00"&amp;HOUR(Sync!$AH1315),2)&amp;RIGHT("00"&amp;MINUTE(Sync!$AH1315),2),IFERROR(RIGHT("00"&amp;VALUE(LEFT(Sync!$AH1315,FIND(":",Sync!$AH1315)-1)),2)&amp;RIGHT("00"&amp;VALUE(MID(Sync!$AH1315,FIND(":",Sync!$AH1315)+1,2)),2),"0000"))))</f>
        <v/>
      </c>
    </row>
    <row r="1316">
      <c r="A1316">
        <f>IF(OR(Calc!$E1319="",Calc!$E1319="نامعتبر",Calc!$G1319="",Calc!$I1319&lt;&gt;"خرید"),"",Calc!$G1319)</f>
        <v/>
      </c>
      <c r="B1316">
        <f>IF($A1316="","",LEFT(Calc!$E1319,4)&amp;MID(Calc!$E1319,6,2)&amp;RIGHT(Calc!$E1319,2)&amp;Calc!$R1319&amp;"|"&amp;"1"&amp;RIGHT("00000"&amp;1311,5))</f>
        <v/>
      </c>
      <c r="C1316">
        <f>IF($B1316="","",COUNTIFS(LdgPartyA,$A1316,LdgKeyA,"&lt;"&amp;$B1316)+COUNTIFS(LdgPartyB,$A1316,LdgKeyB,"&lt;"&amp;$B1316)+1)</f>
        <v/>
      </c>
      <c r="D1316">
        <f>IF($C1316="","",$A1316&amp;"|"&amp;RIGHT("000000"&amp;$C1316,6))</f>
        <v/>
      </c>
      <c r="F1316">
        <f>IF(Sync!$AJ1316="","",Sync!$AJ1316)</f>
        <v/>
      </c>
      <c r="G1316">
        <f>IF($F1316="","",IF(Sync!$AG1316="","",IF(ISNUMBER(Sync!$AG1316),IF(AND(Sync!$AG1316&gt;=10000101,Sync!$AG1316&lt;=99991231),INT(Sync!$AG1316/10000),""),IFERROR(VALUE(TRIM(LEFT(Sync!$AG1316,FIND("/",Sync!$AG1316)-1))),""))))</f>
        <v/>
      </c>
      <c r="H1316">
        <f>IF(OR($F1316="",$G1316=""),"",IF(ISNUMBER(Sync!$AG1316),INT(MOD(Sync!$AG1316,10000)/100),IFERROR(VALUE(TRIM(LEFT(MID(Sync!$AG1316,FIND("/",Sync!$AG1316)+1,20),FIND("/",MID(Sync!$AG1316,FIND("/",Sync!$AG1316)+1,20))-1))),"")))</f>
        <v/>
      </c>
      <c r="I1316">
        <f>IF(OR($F1316="",$G1316=""),"",IF(ISNUMBER(Sync!$AG1316),MOD(Sync!$AG1316,100),IFERROR(VALUE(TRIM(MID(MID(Sync!$AG1316,FIND("/",Sync!$AG1316)+1,20),FIND("/",MID(Sync!$AG1316,FIND("/",Sync!$AG1316)+1,20))+1,20))),"")))</f>
        <v/>
      </c>
      <c r="J1316">
        <f>IF($F1316="","",IF(OR($G1316="",$H1316="",$I1316="",$G1316&lt;1300,$G1316&gt;1500,$H1316&lt;1,$H1316&gt;12,$I1316&lt;1,$I1316&gt;31),"نامعتبر",RIGHT("0000"&amp;$G1316,4)&amp;"/"&amp;RIGHT("00"&amp;$H1316,2)&amp;"/"&amp;RIGHT("00"&amp;$I1316,2)))</f>
        <v/>
      </c>
      <c r="K1316">
        <f>IF(OR($F1316="",$J1316="",$J1316="نامعتبر"),"",LEFT($J1316,4)&amp;MID($J1316,6,2)&amp;RIGHT($J1316,2)&amp;$N1316&amp;"|"&amp;"2"&amp;RIGHT("00000"&amp;1311,5))</f>
        <v/>
      </c>
      <c r="L1316">
        <f>IF($K1316="","",COUNTIFS(LdgPartyA,$F1316,LdgKeyA,"&lt;"&amp;$K1316)+COUNTIFS(LdgPartyB,$F1316,LdgKeyB,"&lt;"&amp;$K1316)+1)</f>
        <v/>
      </c>
      <c r="M1316">
        <f>IF($L1316="","",$F1316&amp;"|"&amp;RIGHT("000000"&amp;$L1316,6))</f>
        <v/>
      </c>
      <c r="N1316">
        <f>IF($F1316="","",IF(Sync!$AH1316="","0000",IF(AND(ISNUMBER(Sync!$AH1316),Sync!$AH1316&gt;=0,Sync!$AH1316&lt;1),RIGHT("00"&amp;HOUR(Sync!$AH1316),2)&amp;RIGHT("00"&amp;MINUTE(Sync!$AH1316),2),IFERROR(RIGHT("00"&amp;VALUE(LEFT(Sync!$AH1316,FIND(":",Sync!$AH1316)-1)),2)&amp;RIGHT("00"&amp;VALUE(MID(Sync!$AH1316,FIND(":",Sync!$AH1316)+1,2)),2),"0000"))))</f>
        <v/>
      </c>
    </row>
    <row r="1317">
      <c r="A1317">
        <f>IF(OR(Calc!$E1320="",Calc!$E1320="نامعتبر",Calc!$G1320="",Calc!$I1320&lt;&gt;"خرید"),"",Calc!$G1320)</f>
        <v/>
      </c>
      <c r="B1317">
        <f>IF($A1317="","",LEFT(Calc!$E1320,4)&amp;MID(Calc!$E1320,6,2)&amp;RIGHT(Calc!$E1320,2)&amp;Calc!$R1320&amp;"|"&amp;"1"&amp;RIGHT("00000"&amp;1312,5))</f>
        <v/>
      </c>
      <c r="C1317">
        <f>IF($B1317="","",COUNTIFS(LdgPartyA,$A1317,LdgKeyA,"&lt;"&amp;$B1317)+COUNTIFS(LdgPartyB,$A1317,LdgKeyB,"&lt;"&amp;$B1317)+1)</f>
        <v/>
      </c>
      <c r="D1317">
        <f>IF($C1317="","",$A1317&amp;"|"&amp;RIGHT("000000"&amp;$C1317,6))</f>
        <v/>
      </c>
      <c r="F1317">
        <f>IF(Sync!$AJ1317="","",Sync!$AJ1317)</f>
        <v/>
      </c>
      <c r="G1317">
        <f>IF($F1317="","",IF(Sync!$AG1317="","",IF(ISNUMBER(Sync!$AG1317),IF(AND(Sync!$AG1317&gt;=10000101,Sync!$AG1317&lt;=99991231),INT(Sync!$AG1317/10000),""),IFERROR(VALUE(TRIM(LEFT(Sync!$AG1317,FIND("/",Sync!$AG1317)-1))),""))))</f>
        <v/>
      </c>
      <c r="H1317">
        <f>IF(OR($F1317="",$G1317=""),"",IF(ISNUMBER(Sync!$AG1317),INT(MOD(Sync!$AG1317,10000)/100),IFERROR(VALUE(TRIM(LEFT(MID(Sync!$AG1317,FIND("/",Sync!$AG1317)+1,20),FIND("/",MID(Sync!$AG1317,FIND("/",Sync!$AG1317)+1,20))-1))),"")))</f>
        <v/>
      </c>
      <c r="I1317">
        <f>IF(OR($F1317="",$G1317=""),"",IF(ISNUMBER(Sync!$AG1317),MOD(Sync!$AG1317,100),IFERROR(VALUE(TRIM(MID(MID(Sync!$AG1317,FIND("/",Sync!$AG1317)+1,20),FIND("/",MID(Sync!$AG1317,FIND("/",Sync!$AG1317)+1,20))+1,20))),"")))</f>
        <v/>
      </c>
      <c r="J1317">
        <f>IF($F1317="","",IF(OR($G1317="",$H1317="",$I1317="",$G1317&lt;1300,$G1317&gt;1500,$H1317&lt;1,$H1317&gt;12,$I1317&lt;1,$I1317&gt;31),"نامعتبر",RIGHT("0000"&amp;$G1317,4)&amp;"/"&amp;RIGHT("00"&amp;$H1317,2)&amp;"/"&amp;RIGHT("00"&amp;$I1317,2)))</f>
        <v/>
      </c>
      <c r="K1317">
        <f>IF(OR($F1317="",$J1317="",$J1317="نامعتبر"),"",LEFT($J1317,4)&amp;MID($J1317,6,2)&amp;RIGHT($J1317,2)&amp;$N1317&amp;"|"&amp;"2"&amp;RIGHT("00000"&amp;1312,5))</f>
        <v/>
      </c>
      <c r="L1317">
        <f>IF($K1317="","",COUNTIFS(LdgPartyA,$F1317,LdgKeyA,"&lt;"&amp;$K1317)+COUNTIFS(LdgPartyB,$F1317,LdgKeyB,"&lt;"&amp;$K1317)+1)</f>
        <v/>
      </c>
      <c r="M1317">
        <f>IF($L1317="","",$F1317&amp;"|"&amp;RIGHT("000000"&amp;$L1317,6))</f>
        <v/>
      </c>
      <c r="N1317">
        <f>IF($F1317="","",IF(Sync!$AH1317="","0000",IF(AND(ISNUMBER(Sync!$AH1317),Sync!$AH1317&gt;=0,Sync!$AH1317&lt;1),RIGHT("00"&amp;HOUR(Sync!$AH1317),2)&amp;RIGHT("00"&amp;MINUTE(Sync!$AH1317),2),IFERROR(RIGHT("00"&amp;VALUE(LEFT(Sync!$AH1317,FIND(":",Sync!$AH1317)-1)),2)&amp;RIGHT("00"&amp;VALUE(MID(Sync!$AH1317,FIND(":",Sync!$AH1317)+1,2)),2),"0000"))))</f>
        <v/>
      </c>
    </row>
    <row r="1318">
      <c r="A1318">
        <f>IF(OR(Calc!$E1321="",Calc!$E1321="نامعتبر",Calc!$G1321="",Calc!$I1321&lt;&gt;"خرید"),"",Calc!$G1321)</f>
        <v/>
      </c>
      <c r="B1318">
        <f>IF($A1318="","",LEFT(Calc!$E1321,4)&amp;MID(Calc!$E1321,6,2)&amp;RIGHT(Calc!$E1321,2)&amp;Calc!$R1321&amp;"|"&amp;"1"&amp;RIGHT("00000"&amp;1313,5))</f>
        <v/>
      </c>
      <c r="C1318">
        <f>IF($B1318="","",COUNTIFS(LdgPartyA,$A1318,LdgKeyA,"&lt;"&amp;$B1318)+COUNTIFS(LdgPartyB,$A1318,LdgKeyB,"&lt;"&amp;$B1318)+1)</f>
        <v/>
      </c>
      <c r="D1318">
        <f>IF($C1318="","",$A1318&amp;"|"&amp;RIGHT("000000"&amp;$C1318,6))</f>
        <v/>
      </c>
      <c r="F1318">
        <f>IF(Sync!$AJ1318="","",Sync!$AJ1318)</f>
        <v/>
      </c>
      <c r="G1318">
        <f>IF($F1318="","",IF(Sync!$AG1318="","",IF(ISNUMBER(Sync!$AG1318),IF(AND(Sync!$AG1318&gt;=10000101,Sync!$AG1318&lt;=99991231),INT(Sync!$AG1318/10000),""),IFERROR(VALUE(TRIM(LEFT(Sync!$AG1318,FIND("/",Sync!$AG1318)-1))),""))))</f>
        <v/>
      </c>
      <c r="H1318">
        <f>IF(OR($F1318="",$G1318=""),"",IF(ISNUMBER(Sync!$AG1318),INT(MOD(Sync!$AG1318,10000)/100),IFERROR(VALUE(TRIM(LEFT(MID(Sync!$AG1318,FIND("/",Sync!$AG1318)+1,20),FIND("/",MID(Sync!$AG1318,FIND("/",Sync!$AG1318)+1,20))-1))),"")))</f>
        <v/>
      </c>
      <c r="I1318">
        <f>IF(OR($F1318="",$G1318=""),"",IF(ISNUMBER(Sync!$AG1318),MOD(Sync!$AG1318,100),IFERROR(VALUE(TRIM(MID(MID(Sync!$AG1318,FIND("/",Sync!$AG1318)+1,20),FIND("/",MID(Sync!$AG1318,FIND("/",Sync!$AG1318)+1,20))+1,20))),"")))</f>
        <v/>
      </c>
      <c r="J1318">
        <f>IF($F1318="","",IF(OR($G1318="",$H1318="",$I1318="",$G1318&lt;1300,$G1318&gt;1500,$H1318&lt;1,$H1318&gt;12,$I1318&lt;1,$I1318&gt;31),"نامعتبر",RIGHT("0000"&amp;$G1318,4)&amp;"/"&amp;RIGHT("00"&amp;$H1318,2)&amp;"/"&amp;RIGHT("00"&amp;$I1318,2)))</f>
        <v/>
      </c>
      <c r="K1318">
        <f>IF(OR($F1318="",$J1318="",$J1318="نامعتبر"),"",LEFT($J1318,4)&amp;MID($J1318,6,2)&amp;RIGHT($J1318,2)&amp;$N1318&amp;"|"&amp;"2"&amp;RIGHT("00000"&amp;1313,5))</f>
        <v/>
      </c>
      <c r="L1318">
        <f>IF($K1318="","",COUNTIFS(LdgPartyA,$F1318,LdgKeyA,"&lt;"&amp;$K1318)+COUNTIFS(LdgPartyB,$F1318,LdgKeyB,"&lt;"&amp;$K1318)+1)</f>
        <v/>
      </c>
      <c r="M1318">
        <f>IF($L1318="","",$F1318&amp;"|"&amp;RIGHT("000000"&amp;$L1318,6))</f>
        <v/>
      </c>
      <c r="N1318">
        <f>IF($F1318="","",IF(Sync!$AH1318="","0000",IF(AND(ISNUMBER(Sync!$AH1318),Sync!$AH1318&gt;=0,Sync!$AH1318&lt;1),RIGHT("00"&amp;HOUR(Sync!$AH1318),2)&amp;RIGHT("00"&amp;MINUTE(Sync!$AH1318),2),IFERROR(RIGHT("00"&amp;VALUE(LEFT(Sync!$AH1318,FIND(":",Sync!$AH1318)-1)),2)&amp;RIGHT("00"&amp;VALUE(MID(Sync!$AH1318,FIND(":",Sync!$AH1318)+1,2)),2),"0000"))))</f>
        <v/>
      </c>
    </row>
    <row r="1319">
      <c r="A1319">
        <f>IF(OR(Calc!$E1322="",Calc!$E1322="نامعتبر",Calc!$G1322="",Calc!$I1322&lt;&gt;"خرید"),"",Calc!$G1322)</f>
        <v/>
      </c>
      <c r="B1319">
        <f>IF($A1319="","",LEFT(Calc!$E1322,4)&amp;MID(Calc!$E1322,6,2)&amp;RIGHT(Calc!$E1322,2)&amp;Calc!$R1322&amp;"|"&amp;"1"&amp;RIGHT("00000"&amp;1314,5))</f>
        <v/>
      </c>
      <c r="C1319">
        <f>IF($B1319="","",COUNTIFS(LdgPartyA,$A1319,LdgKeyA,"&lt;"&amp;$B1319)+COUNTIFS(LdgPartyB,$A1319,LdgKeyB,"&lt;"&amp;$B1319)+1)</f>
        <v/>
      </c>
      <c r="D1319">
        <f>IF($C1319="","",$A1319&amp;"|"&amp;RIGHT("000000"&amp;$C1319,6))</f>
        <v/>
      </c>
      <c r="F1319">
        <f>IF(Sync!$AJ1319="","",Sync!$AJ1319)</f>
        <v/>
      </c>
      <c r="G1319">
        <f>IF($F1319="","",IF(Sync!$AG1319="","",IF(ISNUMBER(Sync!$AG1319),IF(AND(Sync!$AG1319&gt;=10000101,Sync!$AG1319&lt;=99991231),INT(Sync!$AG1319/10000),""),IFERROR(VALUE(TRIM(LEFT(Sync!$AG1319,FIND("/",Sync!$AG1319)-1))),""))))</f>
        <v/>
      </c>
      <c r="H1319">
        <f>IF(OR($F1319="",$G1319=""),"",IF(ISNUMBER(Sync!$AG1319),INT(MOD(Sync!$AG1319,10000)/100),IFERROR(VALUE(TRIM(LEFT(MID(Sync!$AG1319,FIND("/",Sync!$AG1319)+1,20),FIND("/",MID(Sync!$AG1319,FIND("/",Sync!$AG1319)+1,20))-1))),"")))</f>
        <v/>
      </c>
      <c r="I1319">
        <f>IF(OR($F1319="",$G1319=""),"",IF(ISNUMBER(Sync!$AG1319),MOD(Sync!$AG1319,100),IFERROR(VALUE(TRIM(MID(MID(Sync!$AG1319,FIND("/",Sync!$AG1319)+1,20),FIND("/",MID(Sync!$AG1319,FIND("/",Sync!$AG1319)+1,20))+1,20))),"")))</f>
        <v/>
      </c>
      <c r="J1319">
        <f>IF($F1319="","",IF(OR($G1319="",$H1319="",$I1319="",$G1319&lt;1300,$G1319&gt;1500,$H1319&lt;1,$H1319&gt;12,$I1319&lt;1,$I1319&gt;31),"نامعتبر",RIGHT("0000"&amp;$G1319,4)&amp;"/"&amp;RIGHT("00"&amp;$H1319,2)&amp;"/"&amp;RIGHT("00"&amp;$I1319,2)))</f>
        <v/>
      </c>
      <c r="K1319">
        <f>IF(OR($F1319="",$J1319="",$J1319="نامعتبر"),"",LEFT($J1319,4)&amp;MID($J1319,6,2)&amp;RIGHT($J1319,2)&amp;$N1319&amp;"|"&amp;"2"&amp;RIGHT("00000"&amp;1314,5))</f>
        <v/>
      </c>
      <c r="L1319">
        <f>IF($K1319="","",COUNTIFS(LdgPartyA,$F1319,LdgKeyA,"&lt;"&amp;$K1319)+COUNTIFS(LdgPartyB,$F1319,LdgKeyB,"&lt;"&amp;$K1319)+1)</f>
        <v/>
      </c>
      <c r="M1319">
        <f>IF($L1319="","",$F1319&amp;"|"&amp;RIGHT("000000"&amp;$L1319,6))</f>
        <v/>
      </c>
      <c r="N1319">
        <f>IF($F1319="","",IF(Sync!$AH1319="","0000",IF(AND(ISNUMBER(Sync!$AH1319),Sync!$AH1319&gt;=0,Sync!$AH1319&lt;1),RIGHT("00"&amp;HOUR(Sync!$AH1319),2)&amp;RIGHT("00"&amp;MINUTE(Sync!$AH1319),2),IFERROR(RIGHT("00"&amp;VALUE(LEFT(Sync!$AH1319,FIND(":",Sync!$AH1319)-1)),2)&amp;RIGHT("00"&amp;VALUE(MID(Sync!$AH1319,FIND(":",Sync!$AH1319)+1,2)),2),"0000"))))</f>
        <v/>
      </c>
    </row>
    <row r="1320">
      <c r="A1320">
        <f>IF(OR(Calc!$E1323="",Calc!$E1323="نامعتبر",Calc!$G1323="",Calc!$I1323&lt;&gt;"خرید"),"",Calc!$G1323)</f>
        <v/>
      </c>
      <c r="B1320">
        <f>IF($A1320="","",LEFT(Calc!$E1323,4)&amp;MID(Calc!$E1323,6,2)&amp;RIGHT(Calc!$E1323,2)&amp;Calc!$R1323&amp;"|"&amp;"1"&amp;RIGHT("00000"&amp;1315,5))</f>
        <v/>
      </c>
      <c r="C1320">
        <f>IF($B1320="","",COUNTIFS(LdgPartyA,$A1320,LdgKeyA,"&lt;"&amp;$B1320)+COUNTIFS(LdgPartyB,$A1320,LdgKeyB,"&lt;"&amp;$B1320)+1)</f>
        <v/>
      </c>
      <c r="D1320">
        <f>IF($C1320="","",$A1320&amp;"|"&amp;RIGHT("000000"&amp;$C1320,6))</f>
        <v/>
      </c>
      <c r="F1320">
        <f>IF(Sync!$AJ1320="","",Sync!$AJ1320)</f>
        <v/>
      </c>
      <c r="G1320">
        <f>IF($F1320="","",IF(Sync!$AG1320="","",IF(ISNUMBER(Sync!$AG1320),IF(AND(Sync!$AG1320&gt;=10000101,Sync!$AG1320&lt;=99991231),INT(Sync!$AG1320/10000),""),IFERROR(VALUE(TRIM(LEFT(Sync!$AG1320,FIND("/",Sync!$AG1320)-1))),""))))</f>
        <v/>
      </c>
      <c r="H1320">
        <f>IF(OR($F1320="",$G1320=""),"",IF(ISNUMBER(Sync!$AG1320),INT(MOD(Sync!$AG1320,10000)/100),IFERROR(VALUE(TRIM(LEFT(MID(Sync!$AG1320,FIND("/",Sync!$AG1320)+1,20),FIND("/",MID(Sync!$AG1320,FIND("/",Sync!$AG1320)+1,20))-1))),"")))</f>
        <v/>
      </c>
      <c r="I1320">
        <f>IF(OR($F1320="",$G1320=""),"",IF(ISNUMBER(Sync!$AG1320),MOD(Sync!$AG1320,100),IFERROR(VALUE(TRIM(MID(MID(Sync!$AG1320,FIND("/",Sync!$AG1320)+1,20),FIND("/",MID(Sync!$AG1320,FIND("/",Sync!$AG1320)+1,20))+1,20))),"")))</f>
        <v/>
      </c>
      <c r="J1320">
        <f>IF($F1320="","",IF(OR($G1320="",$H1320="",$I1320="",$G1320&lt;1300,$G1320&gt;1500,$H1320&lt;1,$H1320&gt;12,$I1320&lt;1,$I1320&gt;31),"نامعتبر",RIGHT("0000"&amp;$G1320,4)&amp;"/"&amp;RIGHT("00"&amp;$H1320,2)&amp;"/"&amp;RIGHT("00"&amp;$I1320,2)))</f>
        <v/>
      </c>
      <c r="K1320">
        <f>IF(OR($F1320="",$J1320="",$J1320="نامعتبر"),"",LEFT($J1320,4)&amp;MID($J1320,6,2)&amp;RIGHT($J1320,2)&amp;$N1320&amp;"|"&amp;"2"&amp;RIGHT("00000"&amp;1315,5))</f>
        <v/>
      </c>
      <c r="L1320">
        <f>IF($K1320="","",COUNTIFS(LdgPartyA,$F1320,LdgKeyA,"&lt;"&amp;$K1320)+COUNTIFS(LdgPartyB,$F1320,LdgKeyB,"&lt;"&amp;$K1320)+1)</f>
        <v/>
      </c>
      <c r="M1320">
        <f>IF($L1320="","",$F1320&amp;"|"&amp;RIGHT("000000"&amp;$L1320,6))</f>
        <v/>
      </c>
      <c r="N1320">
        <f>IF($F1320="","",IF(Sync!$AH1320="","0000",IF(AND(ISNUMBER(Sync!$AH1320),Sync!$AH1320&gt;=0,Sync!$AH1320&lt;1),RIGHT("00"&amp;HOUR(Sync!$AH1320),2)&amp;RIGHT("00"&amp;MINUTE(Sync!$AH1320),2),IFERROR(RIGHT("00"&amp;VALUE(LEFT(Sync!$AH1320,FIND(":",Sync!$AH1320)-1)),2)&amp;RIGHT("00"&amp;VALUE(MID(Sync!$AH1320,FIND(":",Sync!$AH1320)+1,2)),2),"0000"))))</f>
        <v/>
      </c>
    </row>
    <row r="1321">
      <c r="A1321">
        <f>IF(OR(Calc!$E1324="",Calc!$E1324="نامعتبر",Calc!$G1324="",Calc!$I1324&lt;&gt;"خرید"),"",Calc!$G1324)</f>
        <v/>
      </c>
      <c r="B1321">
        <f>IF($A1321="","",LEFT(Calc!$E1324,4)&amp;MID(Calc!$E1324,6,2)&amp;RIGHT(Calc!$E1324,2)&amp;Calc!$R1324&amp;"|"&amp;"1"&amp;RIGHT("00000"&amp;1316,5))</f>
        <v/>
      </c>
      <c r="C1321">
        <f>IF($B1321="","",COUNTIFS(LdgPartyA,$A1321,LdgKeyA,"&lt;"&amp;$B1321)+COUNTIFS(LdgPartyB,$A1321,LdgKeyB,"&lt;"&amp;$B1321)+1)</f>
        <v/>
      </c>
      <c r="D1321">
        <f>IF($C1321="","",$A1321&amp;"|"&amp;RIGHT("000000"&amp;$C1321,6))</f>
        <v/>
      </c>
      <c r="F1321">
        <f>IF(Sync!$AJ1321="","",Sync!$AJ1321)</f>
        <v/>
      </c>
      <c r="G1321">
        <f>IF($F1321="","",IF(Sync!$AG1321="","",IF(ISNUMBER(Sync!$AG1321),IF(AND(Sync!$AG1321&gt;=10000101,Sync!$AG1321&lt;=99991231),INT(Sync!$AG1321/10000),""),IFERROR(VALUE(TRIM(LEFT(Sync!$AG1321,FIND("/",Sync!$AG1321)-1))),""))))</f>
        <v/>
      </c>
      <c r="H1321">
        <f>IF(OR($F1321="",$G1321=""),"",IF(ISNUMBER(Sync!$AG1321),INT(MOD(Sync!$AG1321,10000)/100),IFERROR(VALUE(TRIM(LEFT(MID(Sync!$AG1321,FIND("/",Sync!$AG1321)+1,20),FIND("/",MID(Sync!$AG1321,FIND("/",Sync!$AG1321)+1,20))-1))),"")))</f>
        <v/>
      </c>
      <c r="I1321">
        <f>IF(OR($F1321="",$G1321=""),"",IF(ISNUMBER(Sync!$AG1321),MOD(Sync!$AG1321,100),IFERROR(VALUE(TRIM(MID(MID(Sync!$AG1321,FIND("/",Sync!$AG1321)+1,20),FIND("/",MID(Sync!$AG1321,FIND("/",Sync!$AG1321)+1,20))+1,20))),"")))</f>
        <v/>
      </c>
      <c r="J1321">
        <f>IF($F1321="","",IF(OR($G1321="",$H1321="",$I1321="",$G1321&lt;1300,$G1321&gt;1500,$H1321&lt;1,$H1321&gt;12,$I1321&lt;1,$I1321&gt;31),"نامعتبر",RIGHT("0000"&amp;$G1321,4)&amp;"/"&amp;RIGHT("00"&amp;$H1321,2)&amp;"/"&amp;RIGHT("00"&amp;$I1321,2)))</f>
        <v/>
      </c>
      <c r="K1321">
        <f>IF(OR($F1321="",$J1321="",$J1321="نامعتبر"),"",LEFT($J1321,4)&amp;MID($J1321,6,2)&amp;RIGHT($J1321,2)&amp;$N1321&amp;"|"&amp;"2"&amp;RIGHT("00000"&amp;1316,5))</f>
        <v/>
      </c>
      <c r="L1321">
        <f>IF($K1321="","",COUNTIFS(LdgPartyA,$F1321,LdgKeyA,"&lt;"&amp;$K1321)+COUNTIFS(LdgPartyB,$F1321,LdgKeyB,"&lt;"&amp;$K1321)+1)</f>
        <v/>
      </c>
      <c r="M1321">
        <f>IF($L1321="","",$F1321&amp;"|"&amp;RIGHT("000000"&amp;$L1321,6))</f>
        <v/>
      </c>
      <c r="N1321">
        <f>IF($F1321="","",IF(Sync!$AH1321="","0000",IF(AND(ISNUMBER(Sync!$AH1321),Sync!$AH1321&gt;=0,Sync!$AH1321&lt;1),RIGHT("00"&amp;HOUR(Sync!$AH1321),2)&amp;RIGHT("00"&amp;MINUTE(Sync!$AH1321),2),IFERROR(RIGHT("00"&amp;VALUE(LEFT(Sync!$AH1321,FIND(":",Sync!$AH1321)-1)),2)&amp;RIGHT("00"&amp;VALUE(MID(Sync!$AH1321,FIND(":",Sync!$AH1321)+1,2)),2),"0000"))))</f>
        <v/>
      </c>
    </row>
    <row r="1322">
      <c r="A1322">
        <f>IF(OR(Calc!$E1325="",Calc!$E1325="نامعتبر",Calc!$G1325="",Calc!$I1325&lt;&gt;"خرید"),"",Calc!$G1325)</f>
        <v/>
      </c>
      <c r="B1322">
        <f>IF($A1322="","",LEFT(Calc!$E1325,4)&amp;MID(Calc!$E1325,6,2)&amp;RIGHT(Calc!$E1325,2)&amp;Calc!$R1325&amp;"|"&amp;"1"&amp;RIGHT("00000"&amp;1317,5))</f>
        <v/>
      </c>
      <c r="C1322">
        <f>IF($B1322="","",COUNTIFS(LdgPartyA,$A1322,LdgKeyA,"&lt;"&amp;$B1322)+COUNTIFS(LdgPartyB,$A1322,LdgKeyB,"&lt;"&amp;$B1322)+1)</f>
        <v/>
      </c>
      <c r="D1322">
        <f>IF($C1322="","",$A1322&amp;"|"&amp;RIGHT("000000"&amp;$C1322,6))</f>
        <v/>
      </c>
      <c r="F1322">
        <f>IF(Sync!$AJ1322="","",Sync!$AJ1322)</f>
        <v/>
      </c>
      <c r="G1322">
        <f>IF($F1322="","",IF(Sync!$AG1322="","",IF(ISNUMBER(Sync!$AG1322),IF(AND(Sync!$AG1322&gt;=10000101,Sync!$AG1322&lt;=99991231),INT(Sync!$AG1322/10000),""),IFERROR(VALUE(TRIM(LEFT(Sync!$AG1322,FIND("/",Sync!$AG1322)-1))),""))))</f>
        <v/>
      </c>
      <c r="H1322">
        <f>IF(OR($F1322="",$G1322=""),"",IF(ISNUMBER(Sync!$AG1322),INT(MOD(Sync!$AG1322,10000)/100),IFERROR(VALUE(TRIM(LEFT(MID(Sync!$AG1322,FIND("/",Sync!$AG1322)+1,20),FIND("/",MID(Sync!$AG1322,FIND("/",Sync!$AG1322)+1,20))-1))),"")))</f>
        <v/>
      </c>
      <c r="I1322">
        <f>IF(OR($F1322="",$G1322=""),"",IF(ISNUMBER(Sync!$AG1322),MOD(Sync!$AG1322,100),IFERROR(VALUE(TRIM(MID(MID(Sync!$AG1322,FIND("/",Sync!$AG1322)+1,20),FIND("/",MID(Sync!$AG1322,FIND("/",Sync!$AG1322)+1,20))+1,20))),"")))</f>
        <v/>
      </c>
      <c r="J1322">
        <f>IF($F1322="","",IF(OR($G1322="",$H1322="",$I1322="",$G1322&lt;1300,$G1322&gt;1500,$H1322&lt;1,$H1322&gt;12,$I1322&lt;1,$I1322&gt;31),"نامعتبر",RIGHT("0000"&amp;$G1322,4)&amp;"/"&amp;RIGHT("00"&amp;$H1322,2)&amp;"/"&amp;RIGHT("00"&amp;$I1322,2)))</f>
        <v/>
      </c>
      <c r="K1322">
        <f>IF(OR($F1322="",$J1322="",$J1322="نامعتبر"),"",LEFT($J1322,4)&amp;MID($J1322,6,2)&amp;RIGHT($J1322,2)&amp;$N1322&amp;"|"&amp;"2"&amp;RIGHT("00000"&amp;1317,5))</f>
        <v/>
      </c>
      <c r="L1322">
        <f>IF($K1322="","",COUNTIFS(LdgPartyA,$F1322,LdgKeyA,"&lt;"&amp;$K1322)+COUNTIFS(LdgPartyB,$F1322,LdgKeyB,"&lt;"&amp;$K1322)+1)</f>
        <v/>
      </c>
      <c r="M1322">
        <f>IF($L1322="","",$F1322&amp;"|"&amp;RIGHT("000000"&amp;$L1322,6))</f>
        <v/>
      </c>
      <c r="N1322">
        <f>IF($F1322="","",IF(Sync!$AH1322="","0000",IF(AND(ISNUMBER(Sync!$AH1322),Sync!$AH1322&gt;=0,Sync!$AH1322&lt;1),RIGHT("00"&amp;HOUR(Sync!$AH1322),2)&amp;RIGHT("00"&amp;MINUTE(Sync!$AH1322),2),IFERROR(RIGHT("00"&amp;VALUE(LEFT(Sync!$AH1322,FIND(":",Sync!$AH1322)-1)),2)&amp;RIGHT("00"&amp;VALUE(MID(Sync!$AH1322,FIND(":",Sync!$AH1322)+1,2)),2),"0000"))))</f>
        <v/>
      </c>
    </row>
    <row r="1323">
      <c r="A1323">
        <f>IF(OR(Calc!$E1326="",Calc!$E1326="نامعتبر",Calc!$G1326="",Calc!$I1326&lt;&gt;"خرید"),"",Calc!$G1326)</f>
        <v/>
      </c>
      <c r="B1323">
        <f>IF($A1323="","",LEFT(Calc!$E1326,4)&amp;MID(Calc!$E1326,6,2)&amp;RIGHT(Calc!$E1326,2)&amp;Calc!$R1326&amp;"|"&amp;"1"&amp;RIGHT("00000"&amp;1318,5))</f>
        <v/>
      </c>
      <c r="C1323">
        <f>IF($B1323="","",COUNTIFS(LdgPartyA,$A1323,LdgKeyA,"&lt;"&amp;$B1323)+COUNTIFS(LdgPartyB,$A1323,LdgKeyB,"&lt;"&amp;$B1323)+1)</f>
        <v/>
      </c>
      <c r="D1323">
        <f>IF($C1323="","",$A1323&amp;"|"&amp;RIGHT("000000"&amp;$C1323,6))</f>
        <v/>
      </c>
      <c r="F1323">
        <f>IF(Sync!$AJ1323="","",Sync!$AJ1323)</f>
        <v/>
      </c>
      <c r="G1323">
        <f>IF($F1323="","",IF(Sync!$AG1323="","",IF(ISNUMBER(Sync!$AG1323),IF(AND(Sync!$AG1323&gt;=10000101,Sync!$AG1323&lt;=99991231),INT(Sync!$AG1323/10000),""),IFERROR(VALUE(TRIM(LEFT(Sync!$AG1323,FIND("/",Sync!$AG1323)-1))),""))))</f>
        <v/>
      </c>
      <c r="H1323">
        <f>IF(OR($F1323="",$G1323=""),"",IF(ISNUMBER(Sync!$AG1323),INT(MOD(Sync!$AG1323,10000)/100),IFERROR(VALUE(TRIM(LEFT(MID(Sync!$AG1323,FIND("/",Sync!$AG1323)+1,20),FIND("/",MID(Sync!$AG1323,FIND("/",Sync!$AG1323)+1,20))-1))),"")))</f>
        <v/>
      </c>
      <c r="I1323">
        <f>IF(OR($F1323="",$G1323=""),"",IF(ISNUMBER(Sync!$AG1323),MOD(Sync!$AG1323,100),IFERROR(VALUE(TRIM(MID(MID(Sync!$AG1323,FIND("/",Sync!$AG1323)+1,20),FIND("/",MID(Sync!$AG1323,FIND("/",Sync!$AG1323)+1,20))+1,20))),"")))</f>
        <v/>
      </c>
      <c r="J1323">
        <f>IF($F1323="","",IF(OR($G1323="",$H1323="",$I1323="",$G1323&lt;1300,$G1323&gt;1500,$H1323&lt;1,$H1323&gt;12,$I1323&lt;1,$I1323&gt;31),"نامعتبر",RIGHT("0000"&amp;$G1323,4)&amp;"/"&amp;RIGHT("00"&amp;$H1323,2)&amp;"/"&amp;RIGHT("00"&amp;$I1323,2)))</f>
        <v/>
      </c>
      <c r="K1323">
        <f>IF(OR($F1323="",$J1323="",$J1323="نامعتبر"),"",LEFT($J1323,4)&amp;MID($J1323,6,2)&amp;RIGHT($J1323,2)&amp;$N1323&amp;"|"&amp;"2"&amp;RIGHT("00000"&amp;1318,5))</f>
        <v/>
      </c>
      <c r="L1323">
        <f>IF($K1323="","",COUNTIFS(LdgPartyA,$F1323,LdgKeyA,"&lt;"&amp;$K1323)+COUNTIFS(LdgPartyB,$F1323,LdgKeyB,"&lt;"&amp;$K1323)+1)</f>
        <v/>
      </c>
      <c r="M1323">
        <f>IF($L1323="","",$F1323&amp;"|"&amp;RIGHT("000000"&amp;$L1323,6))</f>
        <v/>
      </c>
      <c r="N1323">
        <f>IF($F1323="","",IF(Sync!$AH1323="","0000",IF(AND(ISNUMBER(Sync!$AH1323),Sync!$AH1323&gt;=0,Sync!$AH1323&lt;1),RIGHT("00"&amp;HOUR(Sync!$AH1323),2)&amp;RIGHT("00"&amp;MINUTE(Sync!$AH1323),2),IFERROR(RIGHT("00"&amp;VALUE(LEFT(Sync!$AH1323,FIND(":",Sync!$AH1323)-1)),2)&amp;RIGHT("00"&amp;VALUE(MID(Sync!$AH1323,FIND(":",Sync!$AH1323)+1,2)),2),"0000"))))</f>
        <v/>
      </c>
    </row>
    <row r="1324">
      <c r="A1324">
        <f>IF(OR(Calc!$E1327="",Calc!$E1327="نامعتبر",Calc!$G1327="",Calc!$I1327&lt;&gt;"خرید"),"",Calc!$G1327)</f>
        <v/>
      </c>
      <c r="B1324">
        <f>IF($A1324="","",LEFT(Calc!$E1327,4)&amp;MID(Calc!$E1327,6,2)&amp;RIGHT(Calc!$E1327,2)&amp;Calc!$R1327&amp;"|"&amp;"1"&amp;RIGHT("00000"&amp;1319,5))</f>
        <v/>
      </c>
      <c r="C1324">
        <f>IF($B1324="","",COUNTIFS(LdgPartyA,$A1324,LdgKeyA,"&lt;"&amp;$B1324)+COUNTIFS(LdgPartyB,$A1324,LdgKeyB,"&lt;"&amp;$B1324)+1)</f>
        <v/>
      </c>
      <c r="D1324">
        <f>IF($C1324="","",$A1324&amp;"|"&amp;RIGHT("000000"&amp;$C1324,6))</f>
        <v/>
      </c>
      <c r="F1324">
        <f>IF(Sync!$AJ1324="","",Sync!$AJ1324)</f>
        <v/>
      </c>
      <c r="G1324">
        <f>IF($F1324="","",IF(Sync!$AG1324="","",IF(ISNUMBER(Sync!$AG1324),IF(AND(Sync!$AG1324&gt;=10000101,Sync!$AG1324&lt;=99991231),INT(Sync!$AG1324/10000),""),IFERROR(VALUE(TRIM(LEFT(Sync!$AG1324,FIND("/",Sync!$AG1324)-1))),""))))</f>
        <v/>
      </c>
      <c r="H1324">
        <f>IF(OR($F1324="",$G1324=""),"",IF(ISNUMBER(Sync!$AG1324),INT(MOD(Sync!$AG1324,10000)/100),IFERROR(VALUE(TRIM(LEFT(MID(Sync!$AG1324,FIND("/",Sync!$AG1324)+1,20),FIND("/",MID(Sync!$AG1324,FIND("/",Sync!$AG1324)+1,20))-1))),"")))</f>
        <v/>
      </c>
      <c r="I1324">
        <f>IF(OR($F1324="",$G1324=""),"",IF(ISNUMBER(Sync!$AG1324),MOD(Sync!$AG1324,100),IFERROR(VALUE(TRIM(MID(MID(Sync!$AG1324,FIND("/",Sync!$AG1324)+1,20),FIND("/",MID(Sync!$AG1324,FIND("/",Sync!$AG1324)+1,20))+1,20))),"")))</f>
        <v/>
      </c>
      <c r="J1324">
        <f>IF($F1324="","",IF(OR($G1324="",$H1324="",$I1324="",$G1324&lt;1300,$G1324&gt;1500,$H1324&lt;1,$H1324&gt;12,$I1324&lt;1,$I1324&gt;31),"نامعتبر",RIGHT("0000"&amp;$G1324,4)&amp;"/"&amp;RIGHT("00"&amp;$H1324,2)&amp;"/"&amp;RIGHT("00"&amp;$I1324,2)))</f>
        <v/>
      </c>
      <c r="K1324">
        <f>IF(OR($F1324="",$J1324="",$J1324="نامعتبر"),"",LEFT($J1324,4)&amp;MID($J1324,6,2)&amp;RIGHT($J1324,2)&amp;$N1324&amp;"|"&amp;"2"&amp;RIGHT("00000"&amp;1319,5))</f>
        <v/>
      </c>
      <c r="L1324">
        <f>IF($K1324="","",COUNTIFS(LdgPartyA,$F1324,LdgKeyA,"&lt;"&amp;$K1324)+COUNTIFS(LdgPartyB,$F1324,LdgKeyB,"&lt;"&amp;$K1324)+1)</f>
        <v/>
      </c>
      <c r="M1324">
        <f>IF($L1324="","",$F1324&amp;"|"&amp;RIGHT("000000"&amp;$L1324,6))</f>
        <v/>
      </c>
      <c r="N1324">
        <f>IF($F1324="","",IF(Sync!$AH1324="","0000",IF(AND(ISNUMBER(Sync!$AH1324),Sync!$AH1324&gt;=0,Sync!$AH1324&lt;1),RIGHT("00"&amp;HOUR(Sync!$AH1324),2)&amp;RIGHT("00"&amp;MINUTE(Sync!$AH1324),2),IFERROR(RIGHT("00"&amp;VALUE(LEFT(Sync!$AH1324,FIND(":",Sync!$AH1324)-1)),2)&amp;RIGHT("00"&amp;VALUE(MID(Sync!$AH1324,FIND(":",Sync!$AH1324)+1,2)),2),"0000"))))</f>
        <v/>
      </c>
    </row>
    <row r="1325">
      <c r="A1325">
        <f>IF(OR(Calc!$E1328="",Calc!$E1328="نامعتبر",Calc!$G1328="",Calc!$I1328&lt;&gt;"خرید"),"",Calc!$G1328)</f>
        <v/>
      </c>
      <c r="B1325">
        <f>IF($A1325="","",LEFT(Calc!$E1328,4)&amp;MID(Calc!$E1328,6,2)&amp;RIGHT(Calc!$E1328,2)&amp;Calc!$R1328&amp;"|"&amp;"1"&amp;RIGHT("00000"&amp;1320,5))</f>
        <v/>
      </c>
      <c r="C1325">
        <f>IF($B1325="","",COUNTIFS(LdgPartyA,$A1325,LdgKeyA,"&lt;"&amp;$B1325)+COUNTIFS(LdgPartyB,$A1325,LdgKeyB,"&lt;"&amp;$B1325)+1)</f>
        <v/>
      </c>
      <c r="D1325">
        <f>IF($C1325="","",$A1325&amp;"|"&amp;RIGHT("000000"&amp;$C1325,6))</f>
        <v/>
      </c>
      <c r="F1325">
        <f>IF(Sync!$AJ1325="","",Sync!$AJ1325)</f>
        <v/>
      </c>
      <c r="G1325">
        <f>IF($F1325="","",IF(Sync!$AG1325="","",IF(ISNUMBER(Sync!$AG1325),IF(AND(Sync!$AG1325&gt;=10000101,Sync!$AG1325&lt;=99991231),INT(Sync!$AG1325/10000),""),IFERROR(VALUE(TRIM(LEFT(Sync!$AG1325,FIND("/",Sync!$AG1325)-1))),""))))</f>
        <v/>
      </c>
      <c r="H1325">
        <f>IF(OR($F1325="",$G1325=""),"",IF(ISNUMBER(Sync!$AG1325),INT(MOD(Sync!$AG1325,10000)/100),IFERROR(VALUE(TRIM(LEFT(MID(Sync!$AG1325,FIND("/",Sync!$AG1325)+1,20),FIND("/",MID(Sync!$AG1325,FIND("/",Sync!$AG1325)+1,20))-1))),"")))</f>
        <v/>
      </c>
      <c r="I1325">
        <f>IF(OR($F1325="",$G1325=""),"",IF(ISNUMBER(Sync!$AG1325),MOD(Sync!$AG1325,100),IFERROR(VALUE(TRIM(MID(MID(Sync!$AG1325,FIND("/",Sync!$AG1325)+1,20),FIND("/",MID(Sync!$AG1325,FIND("/",Sync!$AG1325)+1,20))+1,20))),"")))</f>
        <v/>
      </c>
      <c r="J1325">
        <f>IF($F1325="","",IF(OR($G1325="",$H1325="",$I1325="",$G1325&lt;1300,$G1325&gt;1500,$H1325&lt;1,$H1325&gt;12,$I1325&lt;1,$I1325&gt;31),"نامعتبر",RIGHT("0000"&amp;$G1325,4)&amp;"/"&amp;RIGHT("00"&amp;$H1325,2)&amp;"/"&amp;RIGHT("00"&amp;$I1325,2)))</f>
        <v/>
      </c>
      <c r="K1325">
        <f>IF(OR($F1325="",$J1325="",$J1325="نامعتبر"),"",LEFT($J1325,4)&amp;MID($J1325,6,2)&amp;RIGHT($J1325,2)&amp;$N1325&amp;"|"&amp;"2"&amp;RIGHT("00000"&amp;1320,5))</f>
        <v/>
      </c>
      <c r="L1325">
        <f>IF($K1325="","",COUNTIFS(LdgPartyA,$F1325,LdgKeyA,"&lt;"&amp;$K1325)+COUNTIFS(LdgPartyB,$F1325,LdgKeyB,"&lt;"&amp;$K1325)+1)</f>
        <v/>
      </c>
      <c r="M1325">
        <f>IF($L1325="","",$F1325&amp;"|"&amp;RIGHT("000000"&amp;$L1325,6))</f>
        <v/>
      </c>
      <c r="N1325">
        <f>IF($F1325="","",IF(Sync!$AH1325="","0000",IF(AND(ISNUMBER(Sync!$AH1325),Sync!$AH1325&gt;=0,Sync!$AH1325&lt;1),RIGHT("00"&amp;HOUR(Sync!$AH1325),2)&amp;RIGHT("00"&amp;MINUTE(Sync!$AH1325),2),IFERROR(RIGHT("00"&amp;VALUE(LEFT(Sync!$AH1325,FIND(":",Sync!$AH1325)-1)),2)&amp;RIGHT("00"&amp;VALUE(MID(Sync!$AH1325,FIND(":",Sync!$AH1325)+1,2)),2),"0000"))))</f>
        <v/>
      </c>
    </row>
    <row r="1326">
      <c r="A1326">
        <f>IF(OR(Calc!$E1329="",Calc!$E1329="نامعتبر",Calc!$G1329="",Calc!$I1329&lt;&gt;"خرید"),"",Calc!$G1329)</f>
        <v/>
      </c>
      <c r="B1326">
        <f>IF($A1326="","",LEFT(Calc!$E1329,4)&amp;MID(Calc!$E1329,6,2)&amp;RIGHT(Calc!$E1329,2)&amp;Calc!$R1329&amp;"|"&amp;"1"&amp;RIGHT("00000"&amp;1321,5))</f>
        <v/>
      </c>
      <c r="C1326">
        <f>IF($B1326="","",COUNTIFS(LdgPartyA,$A1326,LdgKeyA,"&lt;"&amp;$B1326)+COUNTIFS(LdgPartyB,$A1326,LdgKeyB,"&lt;"&amp;$B1326)+1)</f>
        <v/>
      </c>
      <c r="D1326">
        <f>IF($C1326="","",$A1326&amp;"|"&amp;RIGHT("000000"&amp;$C1326,6))</f>
        <v/>
      </c>
      <c r="F1326">
        <f>IF(Sync!$AJ1326="","",Sync!$AJ1326)</f>
        <v/>
      </c>
      <c r="G1326">
        <f>IF($F1326="","",IF(Sync!$AG1326="","",IF(ISNUMBER(Sync!$AG1326),IF(AND(Sync!$AG1326&gt;=10000101,Sync!$AG1326&lt;=99991231),INT(Sync!$AG1326/10000),""),IFERROR(VALUE(TRIM(LEFT(Sync!$AG1326,FIND("/",Sync!$AG1326)-1))),""))))</f>
        <v/>
      </c>
      <c r="H1326">
        <f>IF(OR($F1326="",$G1326=""),"",IF(ISNUMBER(Sync!$AG1326),INT(MOD(Sync!$AG1326,10000)/100),IFERROR(VALUE(TRIM(LEFT(MID(Sync!$AG1326,FIND("/",Sync!$AG1326)+1,20),FIND("/",MID(Sync!$AG1326,FIND("/",Sync!$AG1326)+1,20))-1))),"")))</f>
        <v/>
      </c>
      <c r="I1326">
        <f>IF(OR($F1326="",$G1326=""),"",IF(ISNUMBER(Sync!$AG1326),MOD(Sync!$AG1326,100),IFERROR(VALUE(TRIM(MID(MID(Sync!$AG1326,FIND("/",Sync!$AG1326)+1,20),FIND("/",MID(Sync!$AG1326,FIND("/",Sync!$AG1326)+1,20))+1,20))),"")))</f>
        <v/>
      </c>
      <c r="J1326">
        <f>IF($F1326="","",IF(OR($G1326="",$H1326="",$I1326="",$G1326&lt;1300,$G1326&gt;1500,$H1326&lt;1,$H1326&gt;12,$I1326&lt;1,$I1326&gt;31),"نامعتبر",RIGHT("0000"&amp;$G1326,4)&amp;"/"&amp;RIGHT("00"&amp;$H1326,2)&amp;"/"&amp;RIGHT("00"&amp;$I1326,2)))</f>
        <v/>
      </c>
      <c r="K1326">
        <f>IF(OR($F1326="",$J1326="",$J1326="نامعتبر"),"",LEFT($J1326,4)&amp;MID($J1326,6,2)&amp;RIGHT($J1326,2)&amp;$N1326&amp;"|"&amp;"2"&amp;RIGHT("00000"&amp;1321,5))</f>
        <v/>
      </c>
      <c r="L1326">
        <f>IF($K1326="","",COUNTIFS(LdgPartyA,$F1326,LdgKeyA,"&lt;"&amp;$K1326)+COUNTIFS(LdgPartyB,$F1326,LdgKeyB,"&lt;"&amp;$K1326)+1)</f>
        <v/>
      </c>
      <c r="M1326">
        <f>IF($L1326="","",$F1326&amp;"|"&amp;RIGHT("000000"&amp;$L1326,6))</f>
        <v/>
      </c>
      <c r="N1326">
        <f>IF($F1326="","",IF(Sync!$AH1326="","0000",IF(AND(ISNUMBER(Sync!$AH1326),Sync!$AH1326&gt;=0,Sync!$AH1326&lt;1),RIGHT("00"&amp;HOUR(Sync!$AH1326),2)&amp;RIGHT("00"&amp;MINUTE(Sync!$AH1326),2),IFERROR(RIGHT("00"&amp;VALUE(LEFT(Sync!$AH1326,FIND(":",Sync!$AH1326)-1)),2)&amp;RIGHT("00"&amp;VALUE(MID(Sync!$AH1326,FIND(":",Sync!$AH1326)+1,2)),2),"0000"))))</f>
        <v/>
      </c>
    </row>
    <row r="1327">
      <c r="A1327">
        <f>IF(OR(Calc!$E1330="",Calc!$E1330="نامعتبر",Calc!$G1330="",Calc!$I1330&lt;&gt;"خرید"),"",Calc!$G1330)</f>
        <v/>
      </c>
      <c r="B1327">
        <f>IF($A1327="","",LEFT(Calc!$E1330,4)&amp;MID(Calc!$E1330,6,2)&amp;RIGHT(Calc!$E1330,2)&amp;Calc!$R1330&amp;"|"&amp;"1"&amp;RIGHT("00000"&amp;1322,5))</f>
        <v/>
      </c>
      <c r="C1327">
        <f>IF($B1327="","",COUNTIFS(LdgPartyA,$A1327,LdgKeyA,"&lt;"&amp;$B1327)+COUNTIFS(LdgPartyB,$A1327,LdgKeyB,"&lt;"&amp;$B1327)+1)</f>
        <v/>
      </c>
      <c r="D1327">
        <f>IF($C1327="","",$A1327&amp;"|"&amp;RIGHT("000000"&amp;$C1327,6))</f>
        <v/>
      </c>
      <c r="F1327">
        <f>IF(Sync!$AJ1327="","",Sync!$AJ1327)</f>
        <v/>
      </c>
      <c r="G1327">
        <f>IF($F1327="","",IF(Sync!$AG1327="","",IF(ISNUMBER(Sync!$AG1327),IF(AND(Sync!$AG1327&gt;=10000101,Sync!$AG1327&lt;=99991231),INT(Sync!$AG1327/10000),""),IFERROR(VALUE(TRIM(LEFT(Sync!$AG1327,FIND("/",Sync!$AG1327)-1))),""))))</f>
        <v/>
      </c>
      <c r="H1327">
        <f>IF(OR($F1327="",$G1327=""),"",IF(ISNUMBER(Sync!$AG1327),INT(MOD(Sync!$AG1327,10000)/100),IFERROR(VALUE(TRIM(LEFT(MID(Sync!$AG1327,FIND("/",Sync!$AG1327)+1,20),FIND("/",MID(Sync!$AG1327,FIND("/",Sync!$AG1327)+1,20))-1))),"")))</f>
        <v/>
      </c>
      <c r="I1327">
        <f>IF(OR($F1327="",$G1327=""),"",IF(ISNUMBER(Sync!$AG1327),MOD(Sync!$AG1327,100),IFERROR(VALUE(TRIM(MID(MID(Sync!$AG1327,FIND("/",Sync!$AG1327)+1,20),FIND("/",MID(Sync!$AG1327,FIND("/",Sync!$AG1327)+1,20))+1,20))),"")))</f>
        <v/>
      </c>
      <c r="J1327">
        <f>IF($F1327="","",IF(OR($G1327="",$H1327="",$I1327="",$G1327&lt;1300,$G1327&gt;1500,$H1327&lt;1,$H1327&gt;12,$I1327&lt;1,$I1327&gt;31),"نامعتبر",RIGHT("0000"&amp;$G1327,4)&amp;"/"&amp;RIGHT("00"&amp;$H1327,2)&amp;"/"&amp;RIGHT("00"&amp;$I1327,2)))</f>
        <v/>
      </c>
      <c r="K1327">
        <f>IF(OR($F1327="",$J1327="",$J1327="نامعتبر"),"",LEFT($J1327,4)&amp;MID($J1327,6,2)&amp;RIGHT($J1327,2)&amp;$N1327&amp;"|"&amp;"2"&amp;RIGHT("00000"&amp;1322,5))</f>
        <v/>
      </c>
      <c r="L1327">
        <f>IF($K1327="","",COUNTIFS(LdgPartyA,$F1327,LdgKeyA,"&lt;"&amp;$K1327)+COUNTIFS(LdgPartyB,$F1327,LdgKeyB,"&lt;"&amp;$K1327)+1)</f>
        <v/>
      </c>
      <c r="M1327">
        <f>IF($L1327="","",$F1327&amp;"|"&amp;RIGHT("000000"&amp;$L1327,6))</f>
        <v/>
      </c>
      <c r="N1327">
        <f>IF($F1327="","",IF(Sync!$AH1327="","0000",IF(AND(ISNUMBER(Sync!$AH1327),Sync!$AH1327&gt;=0,Sync!$AH1327&lt;1),RIGHT("00"&amp;HOUR(Sync!$AH1327),2)&amp;RIGHT("00"&amp;MINUTE(Sync!$AH1327),2),IFERROR(RIGHT("00"&amp;VALUE(LEFT(Sync!$AH1327,FIND(":",Sync!$AH1327)-1)),2)&amp;RIGHT("00"&amp;VALUE(MID(Sync!$AH1327,FIND(":",Sync!$AH1327)+1,2)),2),"0000"))))</f>
        <v/>
      </c>
    </row>
    <row r="1328">
      <c r="A1328">
        <f>IF(OR(Calc!$E1331="",Calc!$E1331="نامعتبر",Calc!$G1331="",Calc!$I1331&lt;&gt;"خرید"),"",Calc!$G1331)</f>
        <v/>
      </c>
      <c r="B1328">
        <f>IF($A1328="","",LEFT(Calc!$E1331,4)&amp;MID(Calc!$E1331,6,2)&amp;RIGHT(Calc!$E1331,2)&amp;Calc!$R1331&amp;"|"&amp;"1"&amp;RIGHT("00000"&amp;1323,5))</f>
        <v/>
      </c>
      <c r="C1328">
        <f>IF($B1328="","",COUNTIFS(LdgPartyA,$A1328,LdgKeyA,"&lt;"&amp;$B1328)+COUNTIFS(LdgPartyB,$A1328,LdgKeyB,"&lt;"&amp;$B1328)+1)</f>
        <v/>
      </c>
      <c r="D1328">
        <f>IF($C1328="","",$A1328&amp;"|"&amp;RIGHT("000000"&amp;$C1328,6))</f>
        <v/>
      </c>
      <c r="F1328">
        <f>IF(Sync!$AJ1328="","",Sync!$AJ1328)</f>
        <v/>
      </c>
      <c r="G1328">
        <f>IF($F1328="","",IF(Sync!$AG1328="","",IF(ISNUMBER(Sync!$AG1328),IF(AND(Sync!$AG1328&gt;=10000101,Sync!$AG1328&lt;=99991231),INT(Sync!$AG1328/10000),""),IFERROR(VALUE(TRIM(LEFT(Sync!$AG1328,FIND("/",Sync!$AG1328)-1))),""))))</f>
        <v/>
      </c>
      <c r="H1328">
        <f>IF(OR($F1328="",$G1328=""),"",IF(ISNUMBER(Sync!$AG1328),INT(MOD(Sync!$AG1328,10000)/100),IFERROR(VALUE(TRIM(LEFT(MID(Sync!$AG1328,FIND("/",Sync!$AG1328)+1,20),FIND("/",MID(Sync!$AG1328,FIND("/",Sync!$AG1328)+1,20))-1))),"")))</f>
        <v/>
      </c>
      <c r="I1328">
        <f>IF(OR($F1328="",$G1328=""),"",IF(ISNUMBER(Sync!$AG1328),MOD(Sync!$AG1328,100),IFERROR(VALUE(TRIM(MID(MID(Sync!$AG1328,FIND("/",Sync!$AG1328)+1,20),FIND("/",MID(Sync!$AG1328,FIND("/",Sync!$AG1328)+1,20))+1,20))),"")))</f>
        <v/>
      </c>
      <c r="J1328">
        <f>IF($F1328="","",IF(OR($G1328="",$H1328="",$I1328="",$G1328&lt;1300,$G1328&gt;1500,$H1328&lt;1,$H1328&gt;12,$I1328&lt;1,$I1328&gt;31),"نامعتبر",RIGHT("0000"&amp;$G1328,4)&amp;"/"&amp;RIGHT("00"&amp;$H1328,2)&amp;"/"&amp;RIGHT("00"&amp;$I1328,2)))</f>
        <v/>
      </c>
      <c r="K1328">
        <f>IF(OR($F1328="",$J1328="",$J1328="نامعتبر"),"",LEFT($J1328,4)&amp;MID($J1328,6,2)&amp;RIGHT($J1328,2)&amp;$N1328&amp;"|"&amp;"2"&amp;RIGHT("00000"&amp;1323,5))</f>
        <v/>
      </c>
      <c r="L1328">
        <f>IF($K1328="","",COUNTIFS(LdgPartyA,$F1328,LdgKeyA,"&lt;"&amp;$K1328)+COUNTIFS(LdgPartyB,$F1328,LdgKeyB,"&lt;"&amp;$K1328)+1)</f>
        <v/>
      </c>
      <c r="M1328">
        <f>IF($L1328="","",$F1328&amp;"|"&amp;RIGHT("000000"&amp;$L1328,6))</f>
        <v/>
      </c>
      <c r="N1328">
        <f>IF($F1328="","",IF(Sync!$AH1328="","0000",IF(AND(ISNUMBER(Sync!$AH1328),Sync!$AH1328&gt;=0,Sync!$AH1328&lt;1),RIGHT("00"&amp;HOUR(Sync!$AH1328),2)&amp;RIGHT("00"&amp;MINUTE(Sync!$AH1328),2),IFERROR(RIGHT("00"&amp;VALUE(LEFT(Sync!$AH1328,FIND(":",Sync!$AH1328)-1)),2)&amp;RIGHT("00"&amp;VALUE(MID(Sync!$AH1328,FIND(":",Sync!$AH1328)+1,2)),2),"0000"))))</f>
        <v/>
      </c>
    </row>
    <row r="1329">
      <c r="A1329">
        <f>IF(OR(Calc!$E1332="",Calc!$E1332="نامعتبر",Calc!$G1332="",Calc!$I1332&lt;&gt;"خرید"),"",Calc!$G1332)</f>
        <v/>
      </c>
      <c r="B1329">
        <f>IF($A1329="","",LEFT(Calc!$E1332,4)&amp;MID(Calc!$E1332,6,2)&amp;RIGHT(Calc!$E1332,2)&amp;Calc!$R1332&amp;"|"&amp;"1"&amp;RIGHT("00000"&amp;1324,5))</f>
        <v/>
      </c>
      <c r="C1329">
        <f>IF($B1329="","",COUNTIFS(LdgPartyA,$A1329,LdgKeyA,"&lt;"&amp;$B1329)+COUNTIFS(LdgPartyB,$A1329,LdgKeyB,"&lt;"&amp;$B1329)+1)</f>
        <v/>
      </c>
      <c r="D1329">
        <f>IF($C1329="","",$A1329&amp;"|"&amp;RIGHT("000000"&amp;$C1329,6))</f>
        <v/>
      </c>
      <c r="F1329">
        <f>IF(Sync!$AJ1329="","",Sync!$AJ1329)</f>
        <v/>
      </c>
      <c r="G1329">
        <f>IF($F1329="","",IF(Sync!$AG1329="","",IF(ISNUMBER(Sync!$AG1329),IF(AND(Sync!$AG1329&gt;=10000101,Sync!$AG1329&lt;=99991231),INT(Sync!$AG1329/10000),""),IFERROR(VALUE(TRIM(LEFT(Sync!$AG1329,FIND("/",Sync!$AG1329)-1))),""))))</f>
        <v/>
      </c>
      <c r="H1329">
        <f>IF(OR($F1329="",$G1329=""),"",IF(ISNUMBER(Sync!$AG1329),INT(MOD(Sync!$AG1329,10000)/100),IFERROR(VALUE(TRIM(LEFT(MID(Sync!$AG1329,FIND("/",Sync!$AG1329)+1,20),FIND("/",MID(Sync!$AG1329,FIND("/",Sync!$AG1329)+1,20))-1))),"")))</f>
        <v/>
      </c>
      <c r="I1329">
        <f>IF(OR($F1329="",$G1329=""),"",IF(ISNUMBER(Sync!$AG1329),MOD(Sync!$AG1329,100),IFERROR(VALUE(TRIM(MID(MID(Sync!$AG1329,FIND("/",Sync!$AG1329)+1,20),FIND("/",MID(Sync!$AG1329,FIND("/",Sync!$AG1329)+1,20))+1,20))),"")))</f>
        <v/>
      </c>
      <c r="J1329">
        <f>IF($F1329="","",IF(OR($G1329="",$H1329="",$I1329="",$G1329&lt;1300,$G1329&gt;1500,$H1329&lt;1,$H1329&gt;12,$I1329&lt;1,$I1329&gt;31),"نامعتبر",RIGHT("0000"&amp;$G1329,4)&amp;"/"&amp;RIGHT("00"&amp;$H1329,2)&amp;"/"&amp;RIGHT("00"&amp;$I1329,2)))</f>
        <v/>
      </c>
      <c r="K1329">
        <f>IF(OR($F1329="",$J1329="",$J1329="نامعتبر"),"",LEFT($J1329,4)&amp;MID($J1329,6,2)&amp;RIGHT($J1329,2)&amp;$N1329&amp;"|"&amp;"2"&amp;RIGHT("00000"&amp;1324,5))</f>
        <v/>
      </c>
      <c r="L1329">
        <f>IF($K1329="","",COUNTIFS(LdgPartyA,$F1329,LdgKeyA,"&lt;"&amp;$K1329)+COUNTIFS(LdgPartyB,$F1329,LdgKeyB,"&lt;"&amp;$K1329)+1)</f>
        <v/>
      </c>
      <c r="M1329">
        <f>IF($L1329="","",$F1329&amp;"|"&amp;RIGHT("000000"&amp;$L1329,6))</f>
        <v/>
      </c>
      <c r="N1329">
        <f>IF($F1329="","",IF(Sync!$AH1329="","0000",IF(AND(ISNUMBER(Sync!$AH1329),Sync!$AH1329&gt;=0,Sync!$AH1329&lt;1),RIGHT("00"&amp;HOUR(Sync!$AH1329),2)&amp;RIGHT("00"&amp;MINUTE(Sync!$AH1329),2),IFERROR(RIGHT("00"&amp;VALUE(LEFT(Sync!$AH1329,FIND(":",Sync!$AH1329)-1)),2)&amp;RIGHT("00"&amp;VALUE(MID(Sync!$AH1329,FIND(":",Sync!$AH1329)+1,2)),2),"0000"))))</f>
        <v/>
      </c>
    </row>
    <row r="1330">
      <c r="A1330">
        <f>IF(OR(Calc!$E1333="",Calc!$E1333="نامعتبر",Calc!$G1333="",Calc!$I1333&lt;&gt;"خرید"),"",Calc!$G1333)</f>
        <v/>
      </c>
      <c r="B1330">
        <f>IF($A1330="","",LEFT(Calc!$E1333,4)&amp;MID(Calc!$E1333,6,2)&amp;RIGHT(Calc!$E1333,2)&amp;Calc!$R1333&amp;"|"&amp;"1"&amp;RIGHT("00000"&amp;1325,5))</f>
        <v/>
      </c>
      <c r="C1330">
        <f>IF($B1330="","",COUNTIFS(LdgPartyA,$A1330,LdgKeyA,"&lt;"&amp;$B1330)+COUNTIFS(LdgPartyB,$A1330,LdgKeyB,"&lt;"&amp;$B1330)+1)</f>
        <v/>
      </c>
      <c r="D1330">
        <f>IF($C1330="","",$A1330&amp;"|"&amp;RIGHT("000000"&amp;$C1330,6))</f>
        <v/>
      </c>
      <c r="F1330">
        <f>IF(Sync!$AJ1330="","",Sync!$AJ1330)</f>
        <v/>
      </c>
      <c r="G1330">
        <f>IF($F1330="","",IF(Sync!$AG1330="","",IF(ISNUMBER(Sync!$AG1330),IF(AND(Sync!$AG1330&gt;=10000101,Sync!$AG1330&lt;=99991231),INT(Sync!$AG1330/10000),""),IFERROR(VALUE(TRIM(LEFT(Sync!$AG1330,FIND("/",Sync!$AG1330)-1))),""))))</f>
        <v/>
      </c>
      <c r="H1330">
        <f>IF(OR($F1330="",$G1330=""),"",IF(ISNUMBER(Sync!$AG1330),INT(MOD(Sync!$AG1330,10000)/100),IFERROR(VALUE(TRIM(LEFT(MID(Sync!$AG1330,FIND("/",Sync!$AG1330)+1,20),FIND("/",MID(Sync!$AG1330,FIND("/",Sync!$AG1330)+1,20))-1))),"")))</f>
        <v/>
      </c>
      <c r="I1330">
        <f>IF(OR($F1330="",$G1330=""),"",IF(ISNUMBER(Sync!$AG1330),MOD(Sync!$AG1330,100),IFERROR(VALUE(TRIM(MID(MID(Sync!$AG1330,FIND("/",Sync!$AG1330)+1,20),FIND("/",MID(Sync!$AG1330,FIND("/",Sync!$AG1330)+1,20))+1,20))),"")))</f>
        <v/>
      </c>
      <c r="J1330">
        <f>IF($F1330="","",IF(OR($G1330="",$H1330="",$I1330="",$G1330&lt;1300,$G1330&gt;1500,$H1330&lt;1,$H1330&gt;12,$I1330&lt;1,$I1330&gt;31),"نامعتبر",RIGHT("0000"&amp;$G1330,4)&amp;"/"&amp;RIGHT("00"&amp;$H1330,2)&amp;"/"&amp;RIGHT("00"&amp;$I1330,2)))</f>
        <v/>
      </c>
      <c r="K1330">
        <f>IF(OR($F1330="",$J1330="",$J1330="نامعتبر"),"",LEFT($J1330,4)&amp;MID($J1330,6,2)&amp;RIGHT($J1330,2)&amp;$N1330&amp;"|"&amp;"2"&amp;RIGHT("00000"&amp;1325,5))</f>
        <v/>
      </c>
      <c r="L1330">
        <f>IF($K1330="","",COUNTIFS(LdgPartyA,$F1330,LdgKeyA,"&lt;"&amp;$K1330)+COUNTIFS(LdgPartyB,$F1330,LdgKeyB,"&lt;"&amp;$K1330)+1)</f>
        <v/>
      </c>
      <c r="M1330">
        <f>IF($L1330="","",$F1330&amp;"|"&amp;RIGHT("000000"&amp;$L1330,6))</f>
        <v/>
      </c>
      <c r="N1330">
        <f>IF($F1330="","",IF(Sync!$AH1330="","0000",IF(AND(ISNUMBER(Sync!$AH1330),Sync!$AH1330&gt;=0,Sync!$AH1330&lt;1),RIGHT("00"&amp;HOUR(Sync!$AH1330),2)&amp;RIGHT("00"&amp;MINUTE(Sync!$AH1330),2),IFERROR(RIGHT("00"&amp;VALUE(LEFT(Sync!$AH1330,FIND(":",Sync!$AH1330)-1)),2)&amp;RIGHT("00"&amp;VALUE(MID(Sync!$AH1330,FIND(":",Sync!$AH1330)+1,2)),2),"0000"))))</f>
        <v/>
      </c>
    </row>
    <row r="1331">
      <c r="A1331">
        <f>IF(OR(Calc!$E1334="",Calc!$E1334="نامعتبر",Calc!$G1334="",Calc!$I1334&lt;&gt;"خرید"),"",Calc!$G1334)</f>
        <v/>
      </c>
      <c r="B1331">
        <f>IF($A1331="","",LEFT(Calc!$E1334,4)&amp;MID(Calc!$E1334,6,2)&amp;RIGHT(Calc!$E1334,2)&amp;Calc!$R1334&amp;"|"&amp;"1"&amp;RIGHT("00000"&amp;1326,5))</f>
        <v/>
      </c>
      <c r="C1331">
        <f>IF($B1331="","",COUNTIFS(LdgPartyA,$A1331,LdgKeyA,"&lt;"&amp;$B1331)+COUNTIFS(LdgPartyB,$A1331,LdgKeyB,"&lt;"&amp;$B1331)+1)</f>
        <v/>
      </c>
      <c r="D1331">
        <f>IF($C1331="","",$A1331&amp;"|"&amp;RIGHT("000000"&amp;$C1331,6))</f>
        <v/>
      </c>
      <c r="F1331">
        <f>IF(Sync!$AJ1331="","",Sync!$AJ1331)</f>
        <v/>
      </c>
      <c r="G1331">
        <f>IF($F1331="","",IF(Sync!$AG1331="","",IF(ISNUMBER(Sync!$AG1331),IF(AND(Sync!$AG1331&gt;=10000101,Sync!$AG1331&lt;=99991231),INT(Sync!$AG1331/10000),""),IFERROR(VALUE(TRIM(LEFT(Sync!$AG1331,FIND("/",Sync!$AG1331)-1))),""))))</f>
        <v/>
      </c>
      <c r="H1331">
        <f>IF(OR($F1331="",$G1331=""),"",IF(ISNUMBER(Sync!$AG1331),INT(MOD(Sync!$AG1331,10000)/100),IFERROR(VALUE(TRIM(LEFT(MID(Sync!$AG1331,FIND("/",Sync!$AG1331)+1,20),FIND("/",MID(Sync!$AG1331,FIND("/",Sync!$AG1331)+1,20))-1))),"")))</f>
        <v/>
      </c>
      <c r="I1331">
        <f>IF(OR($F1331="",$G1331=""),"",IF(ISNUMBER(Sync!$AG1331),MOD(Sync!$AG1331,100),IFERROR(VALUE(TRIM(MID(MID(Sync!$AG1331,FIND("/",Sync!$AG1331)+1,20),FIND("/",MID(Sync!$AG1331,FIND("/",Sync!$AG1331)+1,20))+1,20))),"")))</f>
        <v/>
      </c>
      <c r="J1331">
        <f>IF($F1331="","",IF(OR($G1331="",$H1331="",$I1331="",$G1331&lt;1300,$G1331&gt;1500,$H1331&lt;1,$H1331&gt;12,$I1331&lt;1,$I1331&gt;31),"نامعتبر",RIGHT("0000"&amp;$G1331,4)&amp;"/"&amp;RIGHT("00"&amp;$H1331,2)&amp;"/"&amp;RIGHT("00"&amp;$I1331,2)))</f>
        <v/>
      </c>
      <c r="K1331">
        <f>IF(OR($F1331="",$J1331="",$J1331="نامعتبر"),"",LEFT($J1331,4)&amp;MID($J1331,6,2)&amp;RIGHT($J1331,2)&amp;$N1331&amp;"|"&amp;"2"&amp;RIGHT("00000"&amp;1326,5))</f>
        <v/>
      </c>
      <c r="L1331">
        <f>IF($K1331="","",COUNTIFS(LdgPartyA,$F1331,LdgKeyA,"&lt;"&amp;$K1331)+COUNTIFS(LdgPartyB,$F1331,LdgKeyB,"&lt;"&amp;$K1331)+1)</f>
        <v/>
      </c>
      <c r="M1331">
        <f>IF($L1331="","",$F1331&amp;"|"&amp;RIGHT("000000"&amp;$L1331,6))</f>
        <v/>
      </c>
      <c r="N1331">
        <f>IF($F1331="","",IF(Sync!$AH1331="","0000",IF(AND(ISNUMBER(Sync!$AH1331),Sync!$AH1331&gt;=0,Sync!$AH1331&lt;1),RIGHT("00"&amp;HOUR(Sync!$AH1331),2)&amp;RIGHT("00"&amp;MINUTE(Sync!$AH1331),2),IFERROR(RIGHT("00"&amp;VALUE(LEFT(Sync!$AH1331,FIND(":",Sync!$AH1331)-1)),2)&amp;RIGHT("00"&amp;VALUE(MID(Sync!$AH1331,FIND(":",Sync!$AH1331)+1,2)),2),"0000"))))</f>
        <v/>
      </c>
    </row>
    <row r="1332">
      <c r="A1332">
        <f>IF(OR(Calc!$E1335="",Calc!$E1335="نامعتبر",Calc!$G1335="",Calc!$I1335&lt;&gt;"خرید"),"",Calc!$G1335)</f>
        <v/>
      </c>
      <c r="B1332">
        <f>IF($A1332="","",LEFT(Calc!$E1335,4)&amp;MID(Calc!$E1335,6,2)&amp;RIGHT(Calc!$E1335,2)&amp;Calc!$R1335&amp;"|"&amp;"1"&amp;RIGHT("00000"&amp;1327,5))</f>
        <v/>
      </c>
      <c r="C1332">
        <f>IF($B1332="","",COUNTIFS(LdgPartyA,$A1332,LdgKeyA,"&lt;"&amp;$B1332)+COUNTIFS(LdgPartyB,$A1332,LdgKeyB,"&lt;"&amp;$B1332)+1)</f>
        <v/>
      </c>
      <c r="D1332">
        <f>IF($C1332="","",$A1332&amp;"|"&amp;RIGHT("000000"&amp;$C1332,6))</f>
        <v/>
      </c>
      <c r="F1332">
        <f>IF(Sync!$AJ1332="","",Sync!$AJ1332)</f>
        <v/>
      </c>
      <c r="G1332">
        <f>IF($F1332="","",IF(Sync!$AG1332="","",IF(ISNUMBER(Sync!$AG1332),IF(AND(Sync!$AG1332&gt;=10000101,Sync!$AG1332&lt;=99991231),INT(Sync!$AG1332/10000),""),IFERROR(VALUE(TRIM(LEFT(Sync!$AG1332,FIND("/",Sync!$AG1332)-1))),""))))</f>
        <v/>
      </c>
      <c r="H1332">
        <f>IF(OR($F1332="",$G1332=""),"",IF(ISNUMBER(Sync!$AG1332),INT(MOD(Sync!$AG1332,10000)/100),IFERROR(VALUE(TRIM(LEFT(MID(Sync!$AG1332,FIND("/",Sync!$AG1332)+1,20),FIND("/",MID(Sync!$AG1332,FIND("/",Sync!$AG1332)+1,20))-1))),"")))</f>
        <v/>
      </c>
      <c r="I1332">
        <f>IF(OR($F1332="",$G1332=""),"",IF(ISNUMBER(Sync!$AG1332),MOD(Sync!$AG1332,100),IFERROR(VALUE(TRIM(MID(MID(Sync!$AG1332,FIND("/",Sync!$AG1332)+1,20),FIND("/",MID(Sync!$AG1332,FIND("/",Sync!$AG1332)+1,20))+1,20))),"")))</f>
        <v/>
      </c>
      <c r="J1332">
        <f>IF($F1332="","",IF(OR($G1332="",$H1332="",$I1332="",$G1332&lt;1300,$G1332&gt;1500,$H1332&lt;1,$H1332&gt;12,$I1332&lt;1,$I1332&gt;31),"نامعتبر",RIGHT("0000"&amp;$G1332,4)&amp;"/"&amp;RIGHT("00"&amp;$H1332,2)&amp;"/"&amp;RIGHT("00"&amp;$I1332,2)))</f>
        <v/>
      </c>
      <c r="K1332">
        <f>IF(OR($F1332="",$J1332="",$J1332="نامعتبر"),"",LEFT($J1332,4)&amp;MID($J1332,6,2)&amp;RIGHT($J1332,2)&amp;$N1332&amp;"|"&amp;"2"&amp;RIGHT("00000"&amp;1327,5))</f>
        <v/>
      </c>
      <c r="L1332">
        <f>IF($K1332="","",COUNTIFS(LdgPartyA,$F1332,LdgKeyA,"&lt;"&amp;$K1332)+COUNTIFS(LdgPartyB,$F1332,LdgKeyB,"&lt;"&amp;$K1332)+1)</f>
        <v/>
      </c>
      <c r="M1332">
        <f>IF($L1332="","",$F1332&amp;"|"&amp;RIGHT("000000"&amp;$L1332,6))</f>
        <v/>
      </c>
      <c r="N1332">
        <f>IF($F1332="","",IF(Sync!$AH1332="","0000",IF(AND(ISNUMBER(Sync!$AH1332),Sync!$AH1332&gt;=0,Sync!$AH1332&lt;1),RIGHT("00"&amp;HOUR(Sync!$AH1332),2)&amp;RIGHT("00"&amp;MINUTE(Sync!$AH1332),2),IFERROR(RIGHT("00"&amp;VALUE(LEFT(Sync!$AH1332,FIND(":",Sync!$AH1332)-1)),2)&amp;RIGHT("00"&amp;VALUE(MID(Sync!$AH1332,FIND(":",Sync!$AH1332)+1,2)),2),"0000"))))</f>
        <v/>
      </c>
    </row>
    <row r="1333">
      <c r="A1333">
        <f>IF(OR(Calc!$E1336="",Calc!$E1336="نامعتبر",Calc!$G1336="",Calc!$I1336&lt;&gt;"خرید"),"",Calc!$G1336)</f>
        <v/>
      </c>
      <c r="B1333">
        <f>IF($A1333="","",LEFT(Calc!$E1336,4)&amp;MID(Calc!$E1336,6,2)&amp;RIGHT(Calc!$E1336,2)&amp;Calc!$R1336&amp;"|"&amp;"1"&amp;RIGHT("00000"&amp;1328,5))</f>
        <v/>
      </c>
      <c r="C1333">
        <f>IF($B1333="","",COUNTIFS(LdgPartyA,$A1333,LdgKeyA,"&lt;"&amp;$B1333)+COUNTIFS(LdgPartyB,$A1333,LdgKeyB,"&lt;"&amp;$B1333)+1)</f>
        <v/>
      </c>
      <c r="D1333">
        <f>IF($C1333="","",$A1333&amp;"|"&amp;RIGHT("000000"&amp;$C1333,6))</f>
        <v/>
      </c>
      <c r="F1333">
        <f>IF(Sync!$AJ1333="","",Sync!$AJ1333)</f>
        <v/>
      </c>
      <c r="G1333">
        <f>IF($F1333="","",IF(Sync!$AG1333="","",IF(ISNUMBER(Sync!$AG1333),IF(AND(Sync!$AG1333&gt;=10000101,Sync!$AG1333&lt;=99991231),INT(Sync!$AG1333/10000),""),IFERROR(VALUE(TRIM(LEFT(Sync!$AG1333,FIND("/",Sync!$AG1333)-1))),""))))</f>
        <v/>
      </c>
      <c r="H1333">
        <f>IF(OR($F1333="",$G1333=""),"",IF(ISNUMBER(Sync!$AG1333),INT(MOD(Sync!$AG1333,10000)/100),IFERROR(VALUE(TRIM(LEFT(MID(Sync!$AG1333,FIND("/",Sync!$AG1333)+1,20),FIND("/",MID(Sync!$AG1333,FIND("/",Sync!$AG1333)+1,20))-1))),"")))</f>
        <v/>
      </c>
      <c r="I1333">
        <f>IF(OR($F1333="",$G1333=""),"",IF(ISNUMBER(Sync!$AG1333),MOD(Sync!$AG1333,100),IFERROR(VALUE(TRIM(MID(MID(Sync!$AG1333,FIND("/",Sync!$AG1333)+1,20),FIND("/",MID(Sync!$AG1333,FIND("/",Sync!$AG1333)+1,20))+1,20))),"")))</f>
        <v/>
      </c>
      <c r="J1333">
        <f>IF($F1333="","",IF(OR($G1333="",$H1333="",$I1333="",$G1333&lt;1300,$G1333&gt;1500,$H1333&lt;1,$H1333&gt;12,$I1333&lt;1,$I1333&gt;31),"نامعتبر",RIGHT("0000"&amp;$G1333,4)&amp;"/"&amp;RIGHT("00"&amp;$H1333,2)&amp;"/"&amp;RIGHT("00"&amp;$I1333,2)))</f>
        <v/>
      </c>
      <c r="K1333">
        <f>IF(OR($F1333="",$J1333="",$J1333="نامعتبر"),"",LEFT($J1333,4)&amp;MID($J1333,6,2)&amp;RIGHT($J1333,2)&amp;$N1333&amp;"|"&amp;"2"&amp;RIGHT("00000"&amp;1328,5))</f>
        <v/>
      </c>
      <c r="L1333">
        <f>IF($K1333="","",COUNTIFS(LdgPartyA,$F1333,LdgKeyA,"&lt;"&amp;$K1333)+COUNTIFS(LdgPartyB,$F1333,LdgKeyB,"&lt;"&amp;$K1333)+1)</f>
        <v/>
      </c>
      <c r="M1333">
        <f>IF($L1333="","",$F1333&amp;"|"&amp;RIGHT("000000"&amp;$L1333,6))</f>
        <v/>
      </c>
      <c r="N1333">
        <f>IF($F1333="","",IF(Sync!$AH1333="","0000",IF(AND(ISNUMBER(Sync!$AH1333),Sync!$AH1333&gt;=0,Sync!$AH1333&lt;1),RIGHT("00"&amp;HOUR(Sync!$AH1333),2)&amp;RIGHT("00"&amp;MINUTE(Sync!$AH1333),2),IFERROR(RIGHT("00"&amp;VALUE(LEFT(Sync!$AH1333,FIND(":",Sync!$AH1333)-1)),2)&amp;RIGHT("00"&amp;VALUE(MID(Sync!$AH1333,FIND(":",Sync!$AH1333)+1,2)),2),"0000"))))</f>
        <v/>
      </c>
    </row>
    <row r="1334">
      <c r="A1334">
        <f>IF(OR(Calc!$E1337="",Calc!$E1337="نامعتبر",Calc!$G1337="",Calc!$I1337&lt;&gt;"خرید"),"",Calc!$G1337)</f>
        <v/>
      </c>
      <c r="B1334">
        <f>IF($A1334="","",LEFT(Calc!$E1337,4)&amp;MID(Calc!$E1337,6,2)&amp;RIGHT(Calc!$E1337,2)&amp;Calc!$R1337&amp;"|"&amp;"1"&amp;RIGHT("00000"&amp;1329,5))</f>
        <v/>
      </c>
      <c r="C1334">
        <f>IF($B1334="","",COUNTIFS(LdgPartyA,$A1334,LdgKeyA,"&lt;"&amp;$B1334)+COUNTIFS(LdgPartyB,$A1334,LdgKeyB,"&lt;"&amp;$B1334)+1)</f>
        <v/>
      </c>
      <c r="D1334">
        <f>IF($C1334="","",$A1334&amp;"|"&amp;RIGHT("000000"&amp;$C1334,6))</f>
        <v/>
      </c>
      <c r="F1334">
        <f>IF(Sync!$AJ1334="","",Sync!$AJ1334)</f>
        <v/>
      </c>
      <c r="G1334">
        <f>IF($F1334="","",IF(Sync!$AG1334="","",IF(ISNUMBER(Sync!$AG1334),IF(AND(Sync!$AG1334&gt;=10000101,Sync!$AG1334&lt;=99991231),INT(Sync!$AG1334/10000),""),IFERROR(VALUE(TRIM(LEFT(Sync!$AG1334,FIND("/",Sync!$AG1334)-1))),""))))</f>
        <v/>
      </c>
      <c r="H1334">
        <f>IF(OR($F1334="",$G1334=""),"",IF(ISNUMBER(Sync!$AG1334),INT(MOD(Sync!$AG1334,10000)/100),IFERROR(VALUE(TRIM(LEFT(MID(Sync!$AG1334,FIND("/",Sync!$AG1334)+1,20),FIND("/",MID(Sync!$AG1334,FIND("/",Sync!$AG1334)+1,20))-1))),"")))</f>
        <v/>
      </c>
      <c r="I1334">
        <f>IF(OR($F1334="",$G1334=""),"",IF(ISNUMBER(Sync!$AG1334),MOD(Sync!$AG1334,100),IFERROR(VALUE(TRIM(MID(MID(Sync!$AG1334,FIND("/",Sync!$AG1334)+1,20),FIND("/",MID(Sync!$AG1334,FIND("/",Sync!$AG1334)+1,20))+1,20))),"")))</f>
        <v/>
      </c>
      <c r="J1334">
        <f>IF($F1334="","",IF(OR($G1334="",$H1334="",$I1334="",$G1334&lt;1300,$G1334&gt;1500,$H1334&lt;1,$H1334&gt;12,$I1334&lt;1,$I1334&gt;31),"نامعتبر",RIGHT("0000"&amp;$G1334,4)&amp;"/"&amp;RIGHT("00"&amp;$H1334,2)&amp;"/"&amp;RIGHT("00"&amp;$I1334,2)))</f>
        <v/>
      </c>
      <c r="K1334">
        <f>IF(OR($F1334="",$J1334="",$J1334="نامعتبر"),"",LEFT($J1334,4)&amp;MID($J1334,6,2)&amp;RIGHT($J1334,2)&amp;$N1334&amp;"|"&amp;"2"&amp;RIGHT("00000"&amp;1329,5))</f>
        <v/>
      </c>
      <c r="L1334">
        <f>IF($K1334="","",COUNTIFS(LdgPartyA,$F1334,LdgKeyA,"&lt;"&amp;$K1334)+COUNTIFS(LdgPartyB,$F1334,LdgKeyB,"&lt;"&amp;$K1334)+1)</f>
        <v/>
      </c>
      <c r="M1334">
        <f>IF($L1334="","",$F1334&amp;"|"&amp;RIGHT("000000"&amp;$L1334,6))</f>
        <v/>
      </c>
      <c r="N1334">
        <f>IF($F1334="","",IF(Sync!$AH1334="","0000",IF(AND(ISNUMBER(Sync!$AH1334),Sync!$AH1334&gt;=0,Sync!$AH1334&lt;1),RIGHT("00"&amp;HOUR(Sync!$AH1334),2)&amp;RIGHT("00"&amp;MINUTE(Sync!$AH1334),2),IFERROR(RIGHT("00"&amp;VALUE(LEFT(Sync!$AH1334,FIND(":",Sync!$AH1334)-1)),2)&amp;RIGHT("00"&amp;VALUE(MID(Sync!$AH1334,FIND(":",Sync!$AH1334)+1,2)),2),"0000"))))</f>
        <v/>
      </c>
    </row>
    <row r="1335">
      <c r="A1335">
        <f>IF(OR(Calc!$E1338="",Calc!$E1338="نامعتبر",Calc!$G1338="",Calc!$I1338&lt;&gt;"خرید"),"",Calc!$G1338)</f>
        <v/>
      </c>
      <c r="B1335">
        <f>IF($A1335="","",LEFT(Calc!$E1338,4)&amp;MID(Calc!$E1338,6,2)&amp;RIGHT(Calc!$E1338,2)&amp;Calc!$R1338&amp;"|"&amp;"1"&amp;RIGHT("00000"&amp;1330,5))</f>
        <v/>
      </c>
      <c r="C1335">
        <f>IF($B1335="","",COUNTIFS(LdgPartyA,$A1335,LdgKeyA,"&lt;"&amp;$B1335)+COUNTIFS(LdgPartyB,$A1335,LdgKeyB,"&lt;"&amp;$B1335)+1)</f>
        <v/>
      </c>
      <c r="D1335">
        <f>IF($C1335="","",$A1335&amp;"|"&amp;RIGHT("000000"&amp;$C1335,6))</f>
        <v/>
      </c>
      <c r="F1335">
        <f>IF(Sync!$AJ1335="","",Sync!$AJ1335)</f>
        <v/>
      </c>
      <c r="G1335">
        <f>IF($F1335="","",IF(Sync!$AG1335="","",IF(ISNUMBER(Sync!$AG1335),IF(AND(Sync!$AG1335&gt;=10000101,Sync!$AG1335&lt;=99991231),INT(Sync!$AG1335/10000),""),IFERROR(VALUE(TRIM(LEFT(Sync!$AG1335,FIND("/",Sync!$AG1335)-1))),""))))</f>
        <v/>
      </c>
      <c r="H1335">
        <f>IF(OR($F1335="",$G1335=""),"",IF(ISNUMBER(Sync!$AG1335),INT(MOD(Sync!$AG1335,10000)/100),IFERROR(VALUE(TRIM(LEFT(MID(Sync!$AG1335,FIND("/",Sync!$AG1335)+1,20),FIND("/",MID(Sync!$AG1335,FIND("/",Sync!$AG1335)+1,20))-1))),"")))</f>
        <v/>
      </c>
      <c r="I1335">
        <f>IF(OR($F1335="",$G1335=""),"",IF(ISNUMBER(Sync!$AG1335),MOD(Sync!$AG1335,100),IFERROR(VALUE(TRIM(MID(MID(Sync!$AG1335,FIND("/",Sync!$AG1335)+1,20),FIND("/",MID(Sync!$AG1335,FIND("/",Sync!$AG1335)+1,20))+1,20))),"")))</f>
        <v/>
      </c>
      <c r="J1335">
        <f>IF($F1335="","",IF(OR($G1335="",$H1335="",$I1335="",$G1335&lt;1300,$G1335&gt;1500,$H1335&lt;1,$H1335&gt;12,$I1335&lt;1,$I1335&gt;31),"نامعتبر",RIGHT("0000"&amp;$G1335,4)&amp;"/"&amp;RIGHT("00"&amp;$H1335,2)&amp;"/"&amp;RIGHT("00"&amp;$I1335,2)))</f>
        <v/>
      </c>
      <c r="K1335">
        <f>IF(OR($F1335="",$J1335="",$J1335="نامعتبر"),"",LEFT($J1335,4)&amp;MID($J1335,6,2)&amp;RIGHT($J1335,2)&amp;$N1335&amp;"|"&amp;"2"&amp;RIGHT("00000"&amp;1330,5))</f>
        <v/>
      </c>
      <c r="L1335">
        <f>IF($K1335="","",COUNTIFS(LdgPartyA,$F1335,LdgKeyA,"&lt;"&amp;$K1335)+COUNTIFS(LdgPartyB,$F1335,LdgKeyB,"&lt;"&amp;$K1335)+1)</f>
        <v/>
      </c>
      <c r="M1335">
        <f>IF($L1335="","",$F1335&amp;"|"&amp;RIGHT("000000"&amp;$L1335,6))</f>
        <v/>
      </c>
      <c r="N1335">
        <f>IF($F1335="","",IF(Sync!$AH1335="","0000",IF(AND(ISNUMBER(Sync!$AH1335),Sync!$AH1335&gt;=0,Sync!$AH1335&lt;1),RIGHT("00"&amp;HOUR(Sync!$AH1335),2)&amp;RIGHT("00"&amp;MINUTE(Sync!$AH1335),2),IFERROR(RIGHT("00"&amp;VALUE(LEFT(Sync!$AH1335,FIND(":",Sync!$AH1335)-1)),2)&amp;RIGHT("00"&amp;VALUE(MID(Sync!$AH1335,FIND(":",Sync!$AH1335)+1,2)),2),"0000"))))</f>
        <v/>
      </c>
    </row>
    <row r="1336">
      <c r="A1336">
        <f>IF(OR(Calc!$E1339="",Calc!$E1339="نامعتبر",Calc!$G1339="",Calc!$I1339&lt;&gt;"خرید"),"",Calc!$G1339)</f>
        <v/>
      </c>
      <c r="B1336">
        <f>IF($A1336="","",LEFT(Calc!$E1339,4)&amp;MID(Calc!$E1339,6,2)&amp;RIGHT(Calc!$E1339,2)&amp;Calc!$R1339&amp;"|"&amp;"1"&amp;RIGHT("00000"&amp;1331,5))</f>
        <v/>
      </c>
      <c r="C1336">
        <f>IF($B1336="","",COUNTIFS(LdgPartyA,$A1336,LdgKeyA,"&lt;"&amp;$B1336)+COUNTIFS(LdgPartyB,$A1336,LdgKeyB,"&lt;"&amp;$B1336)+1)</f>
        <v/>
      </c>
      <c r="D1336">
        <f>IF($C1336="","",$A1336&amp;"|"&amp;RIGHT("000000"&amp;$C1336,6))</f>
        <v/>
      </c>
      <c r="F1336">
        <f>IF(Sync!$AJ1336="","",Sync!$AJ1336)</f>
        <v/>
      </c>
      <c r="G1336">
        <f>IF($F1336="","",IF(Sync!$AG1336="","",IF(ISNUMBER(Sync!$AG1336),IF(AND(Sync!$AG1336&gt;=10000101,Sync!$AG1336&lt;=99991231),INT(Sync!$AG1336/10000),""),IFERROR(VALUE(TRIM(LEFT(Sync!$AG1336,FIND("/",Sync!$AG1336)-1))),""))))</f>
        <v/>
      </c>
      <c r="H1336">
        <f>IF(OR($F1336="",$G1336=""),"",IF(ISNUMBER(Sync!$AG1336),INT(MOD(Sync!$AG1336,10000)/100),IFERROR(VALUE(TRIM(LEFT(MID(Sync!$AG1336,FIND("/",Sync!$AG1336)+1,20),FIND("/",MID(Sync!$AG1336,FIND("/",Sync!$AG1336)+1,20))-1))),"")))</f>
        <v/>
      </c>
      <c r="I1336">
        <f>IF(OR($F1336="",$G1336=""),"",IF(ISNUMBER(Sync!$AG1336),MOD(Sync!$AG1336,100),IFERROR(VALUE(TRIM(MID(MID(Sync!$AG1336,FIND("/",Sync!$AG1336)+1,20),FIND("/",MID(Sync!$AG1336,FIND("/",Sync!$AG1336)+1,20))+1,20))),"")))</f>
        <v/>
      </c>
      <c r="J1336">
        <f>IF($F1336="","",IF(OR($G1336="",$H1336="",$I1336="",$G1336&lt;1300,$G1336&gt;1500,$H1336&lt;1,$H1336&gt;12,$I1336&lt;1,$I1336&gt;31),"نامعتبر",RIGHT("0000"&amp;$G1336,4)&amp;"/"&amp;RIGHT("00"&amp;$H1336,2)&amp;"/"&amp;RIGHT("00"&amp;$I1336,2)))</f>
        <v/>
      </c>
      <c r="K1336">
        <f>IF(OR($F1336="",$J1336="",$J1336="نامعتبر"),"",LEFT($J1336,4)&amp;MID($J1336,6,2)&amp;RIGHT($J1336,2)&amp;$N1336&amp;"|"&amp;"2"&amp;RIGHT("00000"&amp;1331,5))</f>
        <v/>
      </c>
      <c r="L1336">
        <f>IF($K1336="","",COUNTIFS(LdgPartyA,$F1336,LdgKeyA,"&lt;"&amp;$K1336)+COUNTIFS(LdgPartyB,$F1336,LdgKeyB,"&lt;"&amp;$K1336)+1)</f>
        <v/>
      </c>
      <c r="M1336">
        <f>IF($L1336="","",$F1336&amp;"|"&amp;RIGHT("000000"&amp;$L1336,6))</f>
        <v/>
      </c>
      <c r="N1336">
        <f>IF($F1336="","",IF(Sync!$AH1336="","0000",IF(AND(ISNUMBER(Sync!$AH1336),Sync!$AH1336&gt;=0,Sync!$AH1336&lt;1),RIGHT("00"&amp;HOUR(Sync!$AH1336),2)&amp;RIGHT("00"&amp;MINUTE(Sync!$AH1336),2),IFERROR(RIGHT("00"&amp;VALUE(LEFT(Sync!$AH1336,FIND(":",Sync!$AH1336)-1)),2)&amp;RIGHT("00"&amp;VALUE(MID(Sync!$AH1336,FIND(":",Sync!$AH1336)+1,2)),2),"0000"))))</f>
        <v/>
      </c>
    </row>
    <row r="1337">
      <c r="A1337">
        <f>IF(OR(Calc!$E1340="",Calc!$E1340="نامعتبر",Calc!$G1340="",Calc!$I1340&lt;&gt;"خرید"),"",Calc!$G1340)</f>
        <v/>
      </c>
      <c r="B1337">
        <f>IF($A1337="","",LEFT(Calc!$E1340,4)&amp;MID(Calc!$E1340,6,2)&amp;RIGHT(Calc!$E1340,2)&amp;Calc!$R1340&amp;"|"&amp;"1"&amp;RIGHT("00000"&amp;1332,5))</f>
        <v/>
      </c>
      <c r="C1337">
        <f>IF($B1337="","",COUNTIFS(LdgPartyA,$A1337,LdgKeyA,"&lt;"&amp;$B1337)+COUNTIFS(LdgPartyB,$A1337,LdgKeyB,"&lt;"&amp;$B1337)+1)</f>
        <v/>
      </c>
      <c r="D1337">
        <f>IF($C1337="","",$A1337&amp;"|"&amp;RIGHT("000000"&amp;$C1337,6))</f>
        <v/>
      </c>
      <c r="F1337">
        <f>IF(Sync!$AJ1337="","",Sync!$AJ1337)</f>
        <v/>
      </c>
      <c r="G1337">
        <f>IF($F1337="","",IF(Sync!$AG1337="","",IF(ISNUMBER(Sync!$AG1337),IF(AND(Sync!$AG1337&gt;=10000101,Sync!$AG1337&lt;=99991231),INT(Sync!$AG1337/10000),""),IFERROR(VALUE(TRIM(LEFT(Sync!$AG1337,FIND("/",Sync!$AG1337)-1))),""))))</f>
        <v/>
      </c>
      <c r="H1337">
        <f>IF(OR($F1337="",$G1337=""),"",IF(ISNUMBER(Sync!$AG1337),INT(MOD(Sync!$AG1337,10000)/100),IFERROR(VALUE(TRIM(LEFT(MID(Sync!$AG1337,FIND("/",Sync!$AG1337)+1,20),FIND("/",MID(Sync!$AG1337,FIND("/",Sync!$AG1337)+1,20))-1))),"")))</f>
        <v/>
      </c>
      <c r="I1337">
        <f>IF(OR($F1337="",$G1337=""),"",IF(ISNUMBER(Sync!$AG1337),MOD(Sync!$AG1337,100),IFERROR(VALUE(TRIM(MID(MID(Sync!$AG1337,FIND("/",Sync!$AG1337)+1,20),FIND("/",MID(Sync!$AG1337,FIND("/",Sync!$AG1337)+1,20))+1,20))),"")))</f>
        <v/>
      </c>
      <c r="J1337">
        <f>IF($F1337="","",IF(OR($G1337="",$H1337="",$I1337="",$G1337&lt;1300,$G1337&gt;1500,$H1337&lt;1,$H1337&gt;12,$I1337&lt;1,$I1337&gt;31),"نامعتبر",RIGHT("0000"&amp;$G1337,4)&amp;"/"&amp;RIGHT("00"&amp;$H1337,2)&amp;"/"&amp;RIGHT("00"&amp;$I1337,2)))</f>
        <v/>
      </c>
      <c r="K1337">
        <f>IF(OR($F1337="",$J1337="",$J1337="نامعتبر"),"",LEFT($J1337,4)&amp;MID($J1337,6,2)&amp;RIGHT($J1337,2)&amp;$N1337&amp;"|"&amp;"2"&amp;RIGHT("00000"&amp;1332,5))</f>
        <v/>
      </c>
      <c r="L1337">
        <f>IF($K1337="","",COUNTIFS(LdgPartyA,$F1337,LdgKeyA,"&lt;"&amp;$K1337)+COUNTIFS(LdgPartyB,$F1337,LdgKeyB,"&lt;"&amp;$K1337)+1)</f>
        <v/>
      </c>
      <c r="M1337">
        <f>IF($L1337="","",$F1337&amp;"|"&amp;RIGHT("000000"&amp;$L1337,6))</f>
        <v/>
      </c>
      <c r="N1337">
        <f>IF($F1337="","",IF(Sync!$AH1337="","0000",IF(AND(ISNUMBER(Sync!$AH1337),Sync!$AH1337&gt;=0,Sync!$AH1337&lt;1),RIGHT("00"&amp;HOUR(Sync!$AH1337),2)&amp;RIGHT("00"&amp;MINUTE(Sync!$AH1337),2),IFERROR(RIGHT("00"&amp;VALUE(LEFT(Sync!$AH1337,FIND(":",Sync!$AH1337)-1)),2)&amp;RIGHT("00"&amp;VALUE(MID(Sync!$AH1337,FIND(":",Sync!$AH1337)+1,2)),2),"0000"))))</f>
        <v/>
      </c>
    </row>
    <row r="1338">
      <c r="A1338">
        <f>IF(OR(Calc!$E1341="",Calc!$E1341="نامعتبر",Calc!$G1341="",Calc!$I1341&lt;&gt;"خرید"),"",Calc!$G1341)</f>
        <v/>
      </c>
      <c r="B1338">
        <f>IF($A1338="","",LEFT(Calc!$E1341,4)&amp;MID(Calc!$E1341,6,2)&amp;RIGHT(Calc!$E1341,2)&amp;Calc!$R1341&amp;"|"&amp;"1"&amp;RIGHT("00000"&amp;1333,5))</f>
        <v/>
      </c>
      <c r="C1338">
        <f>IF($B1338="","",COUNTIFS(LdgPartyA,$A1338,LdgKeyA,"&lt;"&amp;$B1338)+COUNTIFS(LdgPartyB,$A1338,LdgKeyB,"&lt;"&amp;$B1338)+1)</f>
        <v/>
      </c>
      <c r="D1338">
        <f>IF($C1338="","",$A1338&amp;"|"&amp;RIGHT("000000"&amp;$C1338,6))</f>
        <v/>
      </c>
      <c r="F1338">
        <f>IF(Sync!$AJ1338="","",Sync!$AJ1338)</f>
        <v/>
      </c>
      <c r="G1338">
        <f>IF($F1338="","",IF(Sync!$AG1338="","",IF(ISNUMBER(Sync!$AG1338),IF(AND(Sync!$AG1338&gt;=10000101,Sync!$AG1338&lt;=99991231),INT(Sync!$AG1338/10000),""),IFERROR(VALUE(TRIM(LEFT(Sync!$AG1338,FIND("/",Sync!$AG1338)-1))),""))))</f>
        <v/>
      </c>
      <c r="H1338">
        <f>IF(OR($F1338="",$G1338=""),"",IF(ISNUMBER(Sync!$AG1338),INT(MOD(Sync!$AG1338,10000)/100),IFERROR(VALUE(TRIM(LEFT(MID(Sync!$AG1338,FIND("/",Sync!$AG1338)+1,20),FIND("/",MID(Sync!$AG1338,FIND("/",Sync!$AG1338)+1,20))-1))),"")))</f>
        <v/>
      </c>
      <c r="I1338">
        <f>IF(OR($F1338="",$G1338=""),"",IF(ISNUMBER(Sync!$AG1338),MOD(Sync!$AG1338,100),IFERROR(VALUE(TRIM(MID(MID(Sync!$AG1338,FIND("/",Sync!$AG1338)+1,20),FIND("/",MID(Sync!$AG1338,FIND("/",Sync!$AG1338)+1,20))+1,20))),"")))</f>
        <v/>
      </c>
      <c r="J1338">
        <f>IF($F1338="","",IF(OR($G1338="",$H1338="",$I1338="",$G1338&lt;1300,$G1338&gt;1500,$H1338&lt;1,$H1338&gt;12,$I1338&lt;1,$I1338&gt;31),"نامعتبر",RIGHT("0000"&amp;$G1338,4)&amp;"/"&amp;RIGHT("00"&amp;$H1338,2)&amp;"/"&amp;RIGHT("00"&amp;$I1338,2)))</f>
        <v/>
      </c>
      <c r="K1338">
        <f>IF(OR($F1338="",$J1338="",$J1338="نامعتبر"),"",LEFT($J1338,4)&amp;MID($J1338,6,2)&amp;RIGHT($J1338,2)&amp;$N1338&amp;"|"&amp;"2"&amp;RIGHT("00000"&amp;1333,5))</f>
        <v/>
      </c>
      <c r="L1338">
        <f>IF($K1338="","",COUNTIFS(LdgPartyA,$F1338,LdgKeyA,"&lt;"&amp;$K1338)+COUNTIFS(LdgPartyB,$F1338,LdgKeyB,"&lt;"&amp;$K1338)+1)</f>
        <v/>
      </c>
      <c r="M1338">
        <f>IF($L1338="","",$F1338&amp;"|"&amp;RIGHT("000000"&amp;$L1338,6))</f>
        <v/>
      </c>
      <c r="N1338">
        <f>IF($F1338="","",IF(Sync!$AH1338="","0000",IF(AND(ISNUMBER(Sync!$AH1338),Sync!$AH1338&gt;=0,Sync!$AH1338&lt;1),RIGHT("00"&amp;HOUR(Sync!$AH1338),2)&amp;RIGHT("00"&amp;MINUTE(Sync!$AH1338),2),IFERROR(RIGHT("00"&amp;VALUE(LEFT(Sync!$AH1338,FIND(":",Sync!$AH1338)-1)),2)&amp;RIGHT("00"&amp;VALUE(MID(Sync!$AH1338,FIND(":",Sync!$AH1338)+1,2)),2),"0000"))))</f>
        <v/>
      </c>
    </row>
    <row r="1339">
      <c r="A1339">
        <f>IF(OR(Calc!$E1342="",Calc!$E1342="نامعتبر",Calc!$G1342="",Calc!$I1342&lt;&gt;"خرید"),"",Calc!$G1342)</f>
        <v/>
      </c>
      <c r="B1339">
        <f>IF($A1339="","",LEFT(Calc!$E1342,4)&amp;MID(Calc!$E1342,6,2)&amp;RIGHT(Calc!$E1342,2)&amp;Calc!$R1342&amp;"|"&amp;"1"&amp;RIGHT("00000"&amp;1334,5))</f>
        <v/>
      </c>
      <c r="C1339">
        <f>IF($B1339="","",COUNTIFS(LdgPartyA,$A1339,LdgKeyA,"&lt;"&amp;$B1339)+COUNTIFS(LdgPartyB,$A1339,LdgKeyB,"&lt;"&amp;$B1339)+1)</f>
        <v/>
      </c>
      <c r="D1339">
        <f>IF($C1339="","",$A1339&amp;"|"&amp;RIGHT("000000"&amp;$C1339,6))</f>
        <v/>
      </c>
      <c r="F1339">
        <f>IF(Sync!$AJ1339="","",Sync!$AJ1339)</f>
        <v/>
      </c>
      <c r="G1339">
        <f>IF($F1339="","",IF(Sync!$AG1339="","",IF(ISNUMBER(Sync!$AG1339),IF(AND(Sync!$AG1339&gt;=10000101,Sync!$AG1339&lt;=99991231),INT(Sync!$AG1339/10000),""),IFERROR(VALUE(TRIM(LEFT(Sync!$AG1339,FIND("/",Sync!$AG1339)-1))),""))))</f>
        <v/>
      </c>
      <c r="H1339">
        <f>IF(OR($F1339="",$G1339=""),"",IF(ISNUMBER(Sync!$AG1339),INT(MOD(Sync!$AG1339,10000)/100),IFERROR(VALUE(TRIM(LEFT(MID(Sync!$AG1339,FIND("/",Sync!$AG1339)+1,20),FIND("/",MID(Sync!$AG1339,FIND("/",Sync!$AG1339)+1,20))-1))),"")))</f>
        <v/>
      </c>
      <c r="I1339">
        <f>IF(OR($F1339="",$G1339=""),"",IF(ISNUMBER(Sync!$AG1339),MOD(Sync!$AG1339,100),IFERROR(VALUE(TRIM(MID(MID(Sync!$AG1339,FIND("/",Sync!$AG1339)+1,20),FIND("/",MID(Sync!$AG1339,FIND("/",Sync!$AG1339)+1,20))+1,20))),"")))</f>
        <v/>
      </c>
      <c r="J1339">
        <f>IF($F1339="","",IF(OR($G1339="",$H1339="",$I1339="",$G1339&lt;1300,$G1339&gt;1500,$H1339&lt;1,$H1339&gt;12,$I1339&lt;1,$I1339&gt;31),"نامعتبر",RIGHT("0000"&amp;$G1339,4)&amp;"/"&amp;RIGHT("00"&amp;$H1339,2)&amp;"/"&amp;RIGHT("00"&amp;$I1339,2)))</f>
        <v/>
      </c>
      <c r="K1339">
        <f>IF(OR($F1339="",$J1339="",$J1339="نامعتبر"),"",LEFT($J1339,4)&amp;MID($J1339,6,2)&amp;RIGHT($J1339,2)&amp;$N1339&amp;"|"&amp;"2"&amp;RIGHT("00000"&amp;1334,5))</f>
        <v/>
      </c>
      <c r="L1339">
        <f>IF($K1339="","",COUNTIFS(LdgPartyA,$F1339,LdgKeyA,"&lt;"&amp;$K1339)+COUNTIFS(LdgPartyB,$F1339,LdgKeyB,"&lt;"&amp;$K1339)+1)</f>
        <v/>
      </c>
      <c r="M1339">
        <f>IF($L1339="","",$F1339&amp;"|"&amp;RIGHT("000000"&amp;$L1339,6))</f>
        <v/>
      </c>
      <c r="N1339">
        <f>IF($F1339="","",IF(Sync!$AH1339="","0000",IF(AND(ISNUMBER(Sync!$AH1339),Sync!$AH1339&gt;=0,Sync!$AH1339&lt;1),RIGHT("00"&amp;HOUR(Sync!$AH1339),2)&amp;RIGHT("00"&amp;MINUTE(Sync!$AH1339),2),IFERROR(RIGHT("00"&amp;VALUE(LEFT(Sync!$AH1339,FIND(":",Sync!$AH1339)-1)),2)&amp;RIGHT("00"&amp;VALUE(MID(Sync!$AH1339,FIND(":",Sync!$AH1339)+1,2)),2),"0000"))))</f>
        <v/>
      </c>
    </row>
    <row r="1340">
      <c r="A1340">
        <f>IF(OR(Calc!$E1343="",Calc!$E1343="نامعتبر",Calc!$G1343="",Calc!$I1343&lt;&gt;"خرید"),"",Calc!$G1343)</f>
        <v/>
      </c>
      <c r="B1340">
        <f>IF($A1340="","",LEFT(Calc!$E1343,4)&amp;MID(Calc!$E1343,6,2)&amp;RIGHT(Calc!$E1343,2)&amp;Calc!$R1343&amp;"|"&amp;"1"&amp;RIGHT("00000"&amp;1335,5))</f>
        <v/>
      </c>
      <c r="C1340">
        <f>IF($B1340="","",COUNTIFS(LdgPartyA,$A1340,LdgKeyA,"&lt;"&amp;$B1340)+COUNTIFS(LdgPartyB,$A1340,LdgKeyB,"&lt;"&amp;$B1340)+1)</f>
        <v/>
      </c>
      <c r="D1340">
        <f>IF($C1340="","",$A1340&amp;"|"&amp;RIGHT("000000"&amp;$C1340,6))</f>
        <v/>
      </c>
      <c r="F1340">
        <f>IF(Sync!$AJ1340="","",Sync!$AJ1340)</f>
        <v/>
      </c>
      <c r="G1340">
        <f>IF($F1340="","",IF(Sync!$AG1340="","",IF(ISNUMBER(Sync!$AG1340),IF(AND(Sync!$AG1340&gt;=10000101,Sync!$AG1340&lt;=99991231),INT(Sync!$AG1340/10000),""),IFERROR(VALUE(TRIM(LEFT(Sync!$AG1340,FIND("/",Sync!$AG1340)-1))),""))))</f>
        <v/>
      </c>
      <c r="H1340">
        <f>IF(OR($F1340="",$G1340=""),"",IF(ISNUMBER(Sync!$AG1340),INT(MOD(Sync!$AG1340,10000)/100),IFERROR(VALUE(TRIM(LEFT(MID(Sync!$AG1340,FIND("/",Sync!$AG1340)+1,20),FIND("/",MID(Sync!$AG1340,FIND("/",Sync!$AG1340)+1,20))-1))),"")))</f>
        <v/>
      </c>
      <c r="I1340">
        <f>IF(OR($F1340="",$G1340=""),"",IF(ISNUMBER(Sync!$AG1340),MOD(Sync!$AG1340,100),IFERROR(VALUE(TRIM(MID(MID(Sync!$AG1340,FIND("/",Sync!$AG1340)+1,20),FIND("/",MID(Sync!$AG1340,FIND("/",Sync!$AG1340)+1,20))+1,20))),"")))</f>
        <v/>
      </c>
      <c r="J1340">
        <f>IF($F1340="","",IF(OR($G1340="",$H1340="",$I1340="",$G1340&lt;1300,$G1340&gt;1500,$H1340&lt;1,$H1340&gt;12,$I1340&lt;1,$I1340&gt;31),"نامعتبر",RIGHT("0000"&amp;$G1340,4)&amp;"/"&amp;RIGHT("00"&amp;$H1340,2)&amp;"/"&amp;RIGHT("00"&amp;$I1340,2)))</f>
        <v/>
      </c>
      <c r="K1340">
        <f>IF(OR($F1340="",$J1340="",$J1340="نامعتبر"),"",LEFT($J1340,4)&amp;MID($J1340,6,2)&amp;RIGHT($J1340,2)&amp;$N1340&amp;"|"&amp;"2"&amp;RIGHT("00000"&amp;1335,5))</f>
        <v/>
      </c>
      <c r="L1340">
        <f>IF($K1340="","",COUNTIFS(LdgPartyA,$F1340,LdgKeyA,"&lt;"&amp;$K1340)+COUNTIFS(LdgPartyB,$F1340,LdgKeyB,"&lt;"&amp;$K1340)+1)</f>
        <v/>
      </c>
      <c r="M1340">
        <f>IF($L1340="","",$F1340&amp;"|"&amp;RIGHT("000000"&amp;$L1340,6))</f>
        <v/>
      </c>
      <c r="N1340">
        <f>IF($F1340="","",IF(Sync!$AH1340="","0000",IF(AND(ISNUMBER(Sync!$AH1340),Sync!$AH1340&gt;=0,Sync!$AH1340&lt;1),RIGHT("00"&amp;HOUR(Sync!$AH1340),2)&amp;RIGHT("00"&amp;MINUTE(Sync!$AH1340),2),IFERROR(RIGHT("00"&amp;VALUE(LEFT(Sync!$AH1340,FIND(":",Sync!$AH1340)-1)),2)&amp;RIGHT("00"&amp;VALUE(MID(Sync!$AH1340,FIND(":",Sync!$AH1340)+1,2)),2),"0000"))))</f>
        <v/>
      </c>
    </row>
    <row r="1341">
      <c r="A1341">
        <f>IF(OR(Calc!$E1344="",Calc!$E1344="نامعتبر",Calc!$G1344="",Calc!$I1344&lt;&gt;"خرید"),"",Calc!$G1344)</f>
        <v/>
      </c>
      <c r="B1341">
        <f>IF($A1341="","",LEFT(Calc!$E1344,4)&amp;MID(Calc!$E1344,6,2)&amp;RIGHT(Calc!$E1344,2)&amp;Calc!$R1344&amp;"|"&amp;"1"&amp;RIGHT("00000"&amp;1336,5))</f>
        <v/>
      </c>
      <c r="C1341">
        <f>IF($B1341="","",COUNTIFS(LdgPartyA,$A1341,LdgKeyA,"&lt;"&amp;$B1341)+COUNTIFS(LdgPartyB,$A1341,LdgKeyB,"&lt;"&amp;$B1341)+1)</f>
        <v/>
      </c>
      <c r="D1341">
        <f>IF($C1341="","",$A1341&amp;"|"&amp;RIGHT("000000"&amp;$C1341,6))</f>
        <v/>
      </c>
      <c r="F1341">
        <f>IF(Sync!$AJ1341="","",Sync!$AJ1341)</f>
        <v/>
      </c>
      <c r="G1341">
        <f>IF($F1341="","",IF(Sync!$AG1341="","",IF(ISNUMBER(Sync!$AG1341),IF(AND(Sync!$AG1341&gt;=10000101,Sync!$AG1341&lt;=99991231),INT(Sync!$AG1341/10000),""),IFERROR(VALUE(TRIM(LEFT(Sync!$AG1341,FIND("/",Sync!$AG1341)-1))),""))))</f>
        <v/>
      </c>
      <c r="H1341">
        <f>IF(OR($F1341="",$G1341=""),"",IF(ISNUMBER(Sync!$AG1341),INT(MOD(Sync!$AG1341,10000)/100),IFERROR(VALUE(TRIM(LEFT(MID(Sync!$AG1341,FIND("/",Sync!$AG1341)+1,20),FIND("/",MID(Sync!$AG1341,FIND("/",Sync!$AG1341)+1,20))-1))),"")))</f>
        <v/>
      </c>
      <c r="I1341">
        <f>IF(OR($F1341="",$G1341=""),"",IF(ISNUMBER(Sync!$AG1341),MOD(Sync!$AG1341,100),IFERROR(VALUE(TRIM(MID(MID(Sync!$AG1341,FIND("/",Sync!$AG1341)+1,20),FIND("/",MID(Sync!$AG1341,FIND("/",Sync!$AG1341)+1,20))+1,20))),"")))</f>
        <v/>
      </c>
      <c r="J1341">
        <f>IF($F1341="","",IF(OR($G1341="",$H1341="",$I1341="",$G1341&lt;1300,$G1341&gt;1500,$H1341&lt;1,$H1341&gt;12,$I1341&lt;1,$I1341&gt;31),"نامعتبر",RIGHT("0000"&amp;$G1341,4)&amp;"/"&amp;RIGHT("00"&amp;$H1341,2)&amp;"/"&amp;RIGHT("00"&amp;$I1341,2)))</f>
        <v/>
      </c>
      <c r="K1341">
        <f>IF(OR($F1341="",$J1341="",$J1341="نامعتبر"),"",LEFT($J1341,4)&amp;MID($J1341,6,2)&amp;RIGHT($J1341,2)&amp;$N1341&amp;"|"&amp;"2"&amp;RIGHT("00000"&amp;1336,5))</f>
        <v/>
      </c>
      <c r="L1341">
        <f>IF($K1341="","",COUNTIFS(LdgPartyA,$F1341,LdgKeyA,"&lt;"&amp;$K1341)+COUNTIFS(LdgPartyB,$F1341,LdgKeyB,"&lt;"&amp;$K1341)+1)</f>
        <v/>
      </c>
      <c r="M1341">
        <f>IF($L1341="","",$F1341&amp;"|"&amp;RIGHT("000000"&amp;$L1341,6))</f>
        <v/>
      </c>
      <c r="N1341">
        <f>IF($F1341="","",IF(Sync!$AH1341="","0000",IF(AND(ISNUMBER(Sync!$AH1341),Sync!$AH1341&gt;=0,Sync!$AH1341&lt;1),RIGHT("00"&amp;HOUR(Sync!$AH1341),2)&amp;RIGHT("00"&amp;MINUTE(Sync!$AH1341),2),IFERROR(RIGHT("00"&amp;VALUE(LEFT(Sync!$AH1341,FIND(":",Sync!$AH1341)-1)),2)&amp;RIGHT("00"&amp;VALUE(MID(Sync!$AH1341,FIND(":",Sync!$AH1341)+1,2)),2),"0000"))))</f>
        <v/>
      </c>
    </row>
    <row r="1342">
      <c r="A1342">
        <f>IF(OR(Calc!$E1345="",Calc!$E1345="نامعتبر",Calc!$G1345="",Calc!$I1345&lt;&gt;"خرید"),"",Calc!$G1345)</f>
        <v/>
      </c>
      <c r="B1342">
        <f>IF($A1342="","",LEFT(Calc!$E1345,4)&amp;MID(Calc!$E1345,6,2)&amp;RIGHT(Calc!$E1345,2)&amp;Calc!$R1345&amp;"|"&amp;"1"&amp;RIGHT("00000"&amp;1337,5))</f>
        <v/>
      </c>
      <c r="C1342">
        <f>IF($B1342="","",COUNTIFS(LdgPartyA,$A1342,LdgKeyA,"&lt;"&amp;$B1342)+COUNTIFS(LdgPartyB,$A1342,LdgKeyB,"&lt;"&amp;$B1342)+1)</f>
        <v/>
      </c>
      <c r="D1342">
        <f>IF($C1342="","",$A1342&amp;"|"&amp;RIGHT("000000"&amp;$C1342,6))</f>
        <v/>
      </c>
      <c r="F1342">
        <f>IF(Sync!$AJ1342="","",Sync!$AJ1342)</f>
        <v/>
      </c>
      <c r="G1342">
        <f>IF($F1342="","",IF(Sync!$AG1342="","",IF(ISNUMBER(Sync!$AG1342),IF(AND(Sync!$AG1342&gt;=10000101,Sync!$AG1342&lt;=99991231),INT(Sync!$AG1342/10000),""),IFERROR(VALUE(TRIM(LEFT(Sync!$AG1342,FIND("/",Sync!$AG1342)-1))),""))))</f>
        <v/>
      </c>
      <c r="H1342">
        <f>IF(OR($F1342="",$G1342=""),"",IF(ISNUMBER(Sync!$AG1342),INT(MOD(Sync!$AG1342,10000)/100),IFERROR(VALUE(TRIM(LEFT(MID(Sync!$AG1342,FIND("/",Sync!$AG1342)+1,20),FIND("/",MID(Sync!$AG1342,FIND("/",Sync!$AG1342)+1,20))-1))),"")))</f>
        <v/>
      </c>
      <c r="I1342">
        <f>IF(OR($F1342="",$G1342=""),"",IF(ISNUMBER(Sync!$AG1342),MOD(Sync!$AG1342,100),IFERROR(VALUE(TRIM(MID(MID(Sync!$AG1342,FIND("/",Sync!$AG1342)+1,20),FIND("/",MID(Sync!$AG1342,FIND("/",Sync!$AG1342)+1,20))+1,20))),"")))</f>
        <v/>
      </c>
      <c r="J1342">
        <f>IF($F1342="","",IF(OR($G1342="",$H1342="",$I1342="",$G1342&lt;1300,$G1342&gt;1500,$H1342&lt;1,$H1342&gt;12,$I1342&lt;1,$I1342&gt;31),"نامعتبر",RIGHT("0000"&amp;$G1342,4)&amp;"/"&amp;RIGHT("00"&amp;$H1342,2)&amp;"/"&amp;RIGHT("00"&amp;$I1342,2)))</f>
        <v/>
      </c>
      <c r="K1342">
        <f>IF(OR($F1342="",$J1342="",$J1342="نامعتبر"),"",LEFT($J1342,4)&amp;MID($J1342,6,2)&amp;RIGHT($J1342,2)&amp;$N1342&amp;"|"&amp;"2"&amp;RIGHT("00000"&amp;1337,5))</f>
        <v/>
      </c>
      <c r="L1342">
        <f>IF($K1342="","",COUNTIFS(LdgPartyA,$F1342,LdgKeyA,"&lt;"&amp;$K1342)+COUNTIFS(LdgPartyB,$F1342,LdgKeyB,"&lt;"&amp;$K1342)+1)</f>
        <v/>
      </c>
      <c r="M1342">
        <f>IF($L1342="","",$F1342&amp;"|"&amp;RIGHT("000000"&amp;$L1342,6))</f>
        <v/>
      </c>
      <c r="N1342">
        <f>IF($F1342="","",IF(Sync!$AH1342="","0000",IF(AND(ISNUMBER(Sync!$AH1342),Sync!$AH1342&gt;=0,Sync!$AH1342&lt;1),RIGHT("00"&amp;HOUR(Sync!$AH1342),2)&amp;RIGHT("00"&amp;MINUTE(Sync!$AH1342),2),IFERROR(RIGHT("00"&amp;VALUE(LEFT(Sync!$AH1342,FIND(":",Sync!$AH1342)-1)),2)&amp;RIGHT("00"&amp;VALUE(MID(Sync!$AH1342,FIND(":",Sync!$AH1342)+1,2)),2),"0000"))))</f>
        <v/>
      </c>
    </row>
    <row r="1343">
      <c r="A1343">
        <f>IF(OR(Calc!$E1346="",Calc!$E1346="نامعتبر",Calc!$G1346="",Calc!$I1346&lt;&gt;"خرید"),"",Calc!$G1346)</f>
        <v/>
      </c>
      <c r="B1343">
        <f>IF($A1343="","",LEFT(Calc!$E1346,4)&amp;MID(Calc!$E1346,6,2)&amp;RIGHT(Calc!$E1346,2)&amp;Calc!$R1346&amp;"|"&amp;"1"&amp;RIGHT("00000"&amp;1338,5))</f>
        <v/>
      </c>
      <c r="C1343">
        <f>IF($B1343="","",COUNTIFS(LdgPartyA,$A1343,LdgKeyA,"&lt;"&amp;$B1343)+COUNTIFS(LdgPartyB,$A1343,LdgKeyB,"&lt;"&amp;$B1343)+1)</f>
        <v/>
      </c>
      <c r="D1343">
        <f>IF($C1343="","",$A1343&amp;"|"&amp;RIGHT("000000"&amp;$C1343,6))</f>
        <v/>
      </c>
      <c r="F1343">
        <f>IF(Sync!$AJ1343="","",Sync!$AJ1343)</f>
        <v/>
      </c>
      <c r="G1343">
        <f>IF($F1343="","",IF(Sync!$AG1343="","",IF(ISNUMBER(Sync!$AG1343),IF(AND(Sync!$AG1343&gt;=10000101,Sync!$AG1343&lt;=99991231),INT(Sync!$AG1343/10000),""),IFERROR(VALUE(TRIM(LEFT(Sync!$AG1343,FIND("/",Sync!$AG1343)-1))),""))))</f>
        <v/>
      </c>
      <c r="H1343">
        <f>IF(OR($F1343="",$G1343=""),"",IF(ISNUMBER(Sync!$AG1343),INT(MOD(Sync!$AG1343,10000)/100),IFERROR(VALUE(TRIM(LEFT(MID(Sync!$AG1343,FIND("/",Sync!$AG1343)+1,20),FIND("/",MID(Sync!$AG1343,FIND("/",Sync!$AG1343)+1,20))-1))),"")))</f>
        <v/>
      </c>
      <c r="I1343">
        <f>IF(OR($F1343="",$G1343=""),"",IF(ISNUMBER(Sync!$AG1343),MOD(Sync!$AG1343,100),IFERROR(VALUE(TRIM(MID(MID(Sync!$AG1343,FIND("/",Sync!$AG1343)+1,20),FIND("/",MID(Sync!$AG1343,FIND("/",Sync!$AG1343)+1,20))+1,20))),"")))</f>
        <v/>
      </c>
      <c r="J1343">
        <f>IF($F1343="","",IF(OR($G1343="",$H1343="",$I1343="",$G1343&lt;1300,$G1343&gt;1500,$H1343&lt;1,$H1343&gt;12,$I1343&lt;1,$I1343&gt;31),"نامعتبر",RIGHT("0000"&amp;$G1343,4)&amp;"/"&amp;RIGHT("00"&amp;$H1343,2)&amp;"/"&amp;RIGHT("00"&amp;$I1343,2)))</f>
        <v/>
      </c>
      <c r="K1343">
        <f>IF(OR($F1343="",$J1343="",$J1343="نامعتبر"),"",LEFT($J1343,4)&amp;MID($J1343,6,2)&amp;RIGHT($J1343,2)&amp;$N1343&amp;"|"&amp;"2"&amp;RIGHT("00000"&amp;1338,5))</f>
        <v/>
      </c>
      <c r="L1343">
        <f>IF($K1343="","",COUNTIFS(LdgPartyA,$F1343,LdgKeyA,"&lt;"&amp;$K1343)+COUNTIFS(LdgPartyB,$F1343,LdgKeyB,"&lt;"&amp;$K1343)+1)</f>
        <v/>
      </c>
      <c r="M1343">
        <f>IF($L1343="","",$F1343&amp;"|"&amp;RIGHT("000000"&amp;$L1343,6))</f>
        <v/>
      </c>
      <c r="N1343">
        <f>IF($F1343="","",IF(Sync!$AH1343="","0000",IF(AND(ISNUMBER(Sync!$AH1343),Sync!$AH1343&gt;=0,Sync!$AH1343&lt;1),RIGHT("00"&amp;HOUR(Sync!$AH1343),2)&amp;RIGHT("00"&amp;MINUTE(Sync!$AH1343),2),IFERROR(RIGHT("00"&amp;VALUE(LEFT(Sync!$AH1343,FIND(":",Sync!$AH1343)-1)),2)&amp;RIGHT("00"&amp;VALUE(MID(Sync!$AH1343,FIND(":",Sync!$AH1343)+1,2)),2),"0000"))))</f>
        <v/>
      </c>
    </row>
    <row r="1344">
      <c r="A1344">
        <f>IF(OR(Calc!$E1347="",Calc!$E1347="نامعتبر",Calc!$G1347="",Calc!$I1347&lt;&gt;"خرید"),"",Calc!$G1347)</f>
        <v/>
      </c>
      <c r="B1344">
        <f>IF($A1344="","",LEFT(Calc!$E1347,4)&amp;MID(Calc!$E1347,6,2)&amp;RIGHT(Calc!$E1347,2)&amp;Calc!$R1347&amp;"|"&amp;"1"&amp;RIGHT("00000"&amp;1339,5))</f>
        <v/>
      </c>
      <c r="C1344">
        <f>IF($B1344="","",COUNTIFS(LdgPartyA,$A1344,LdgKeyA,"&lt;"&amp;$B1344)+COUNTIFS(LdgPartyB,$A1344,LdgKeyB,"&lt;"&amp;$B1344)+1)</f>
        <v/>
      </c>
      <c r="D1344">
        <f>IF($C1344="","",$A1344&amp;"|"&amp;RIGHT("000000"&amp;$C1344,6))</f>
        <v/>
      </c>
      <c r="F1344">
        <f>IF(Sync!$AJ1344="","",Sync!$AJ1344)</f>
        <v/>
      </c>
      <c r="G1344">
        <f>IF($F1344="","",IF(Sync!$AG1344="","",IF(ISNUMBER(Sync!$AG1344),IF(AND(Sync!$AG1344&gt;=10000101,Sync!$AG1344&lt;=99991231),INT(Sync!$AG1344/10000),""),IFERROR(VALUE(TRIM(LEFT(Sync!$AG1344,FIND("/",Sync!$AG1344)-1))),""))))</f>
        <v/>
      </c>
      <c r="H1344">
        <f>IF(OR($F1344="",$G1344=""),"",IF(ISNUMBER(Sync!$AG1344),INT(MOD(Sync!$AG1344,10000)/100),IFERROR(VALUE(TRIM(LEFT(MID(Sync!$AG1344,FIND("/",Sync!$AG1344)+1,20),FIND("/",MID(Sync!$AG1344,FIND("/",Sync!$AG1344)+1,20))-1))),"")))</f>
        <v/>
      </c>
      <c r="I1344">
        <f>IF(OR($F1344="",$G1344=""),"",IF(ISNUMBER(Sync!$AG1344),MOD(Sync!$AG1344,100),IFERROR(VALUE(TRIM(MID(MID(Sync!$AG1344,FIND("/",Sync!$AG1344)+1,20),FIND("/",MID(Sync!$AG1344,FIND("/",Sync!$AG1344)+1,20))+1,20))),"")))</f>
        <v/>
      </c>
      <c r="J1344">
        <f>IF($F1344="","",IF(OR($G1344="",$H1344="",$I1344="",$G1344&lt;1300,$G1344&gt;1500,$H1344&lt;1,$H1344&gt;12,$I1344&lt;1,$I1344&gt;31),"نامعتبر",RIGHT("0000"&amp;$G1344,4)&amp;"/"&amp;RIGHT("00"&amp;$H1344,2)&amp;"/"&amp;RIGHT("00"&amp;$I1344,2)))</f>
        <v/>
      </c>
      <c r="K1344">
        <f>IF(OR($F1344="",$J1344="",$J1344="نامعتبر"),"",LEFT($J1344,4)&amp;MID($J1344,6,2)&amp;RIGHT($J1344,2)&amp;$N1344&amp;"|"&amp;"2"&amp;RIGHT("00000"&amp;1339,5))</f>
        <v/>
      </c>
      <c r="L1344">
        <f>IF($K1344="","",COUNTIFS(LdgPartyA,$F1344,LdgKeyA,"&lt;"&amp;$K1344)+COUNTIFS(LdgPartyB,$F1344,LdgKeyB,"&lt;"&amp;$K1344)+1)</f>
        <v/>
      </c>
      <c r="M1344">
        <f>IF($L1344="","",$F1344&amp;"|"&amp;RIGHT("000000"&amp;$L1344,6))</f>
        <v/>
      </c>
      <c r="N1344">
        <f>IF($F1344="","",IF(Sync!$AH1344="","0000",IF(AND(ISNUMBER(Sync!$AH1344),Sync!$AH1344&gt;=0,Sync!$AH1344&lt;1),RIGHT("00"&amp;HOUR(Sync!$AH1344),2)&amp;RIGHT("00"&amp;MINUTE(Sync!$AH1344),2),IFERROR(RIGHT("00"&amp;VALUE(LEFT(Sync!$AH1344,FIND(":",Sync!$AH1344)-1)),2)&amp;RIGHT("00"&amp;VALUE(MID(Sync!$AH1344,FIND(":",Sync!$AH1344)+1,2)),2),"0000"))))</f>
        <v/>
      </c>
    </row>
    <row r="1345">
      <c r="A1345">
        <f>IF(OR(Calc!$E1348="",Calc!$E1348="نامعتبر",Calc!$G1348="",Calc!$I1348&lt;&gt;"خرید"),"",Calc!$G1348)</f>
        <v/>
      </c>
      <c r="B1345">
        <f>IF($A1345="","",LEFT(Calc!$E1348,4)&amp;MID(Calc!$E1348,6,2)&amp;RIGHT(Calc!$E1348,2)&amp;Calc!$R1348&amp;"|"&amp;"1"&amp;RIGHT("00000"&amp;1340,5))</f>
        <v/>
      </c>
      <c r="C1345">
        <f>IF($B1345="","",COUNTIFS(LdgPartyA,$A1345,LdgKeyA,"&lt;"&amp;$B1345)+COUNTIFS(LdgPartyB,$A1345,LdgKeyB,"&lt;"&amp;$B1345)+1)</f>
        <v/>
      </c>
      <c r="D1345">
        <f>IF($C1345="","",$A1345&amp;"|"&amp;RIGHT("000000"&amp;$C1345,6))</f>
        <v/>
      </c>
      <c r="F1345">
        <f>IF(Sync!$AJ1345="","",Sync!$AJ1345)</f>
        <v/>
      </c>
      <c r="G1345">
        <f>IF($F1345="","",IF(Sync!$AG1345="","",IF(ISNUMBER(Sync!$AG1345),IF(AND(Sync!$AG1345&gt;=10000101,Sync!$AG1345&lt;=99991231),INT(Sync!$AG1345/10000),""),IFERROR(VALUE(TRIM(LEFT(Sync!$AG1345,FIND("/",Sync!$AG1345)-1))),""))))</f>
        <v/>
      </c>
      <c r="H1345">
        <f>IF(OR($F1345="",$G1345=""),"",IF(ISNUMBER(Sync!$AG1345),INT(MOD(Sync!$AG1345,10000)/100),IFERROR(VALUE(TRIM(LEFT(MID(Sync!$AG1345,FIND("/",Sync!$AG1345)+1,20),FIND("/",MID(Sync!$AG1345,FIND("/",Sync!$AG1345)+1,20))-1))),"")))</f>
        <v/>
      </c>
      <c r="I1345">
        <f>IF(OR($F1345="",$G1345=""),"",IF(ISNUMBER(Sync!$AG1345),MOD(Sync!$AG1345,100),IFERROR(VALUE(TRIM(MID(MID(Sync!$AG1345,FIND("/",Sync!$AG1345)+1,20),FIND("/",MID(Sync!$AG1345,FIND("/",Sync!$AG1345)+1,20))+1,20))),"")))</f>
        <v/>
      </c>
      <c r="J1345">
        <f>IF($F1345="","",IF(OR($G1345="",$H1345="",$I1345="",$G1345&lt;1300,$G1345&gt;1500,$H1345&lt;1,$H1345&gt;12,$I1345&lt;1,$I1345&gt;31),"نامعتبر",RIGHT("0000"&amp;$G1345,4)&amp;"/"&amp;RIGHT("00"&amp;$H1345,2)&amp;"/"&amp;RIGHT("00"&amp;$I1345,2)))</f>
        <v/>
      </c>
      <c r="K1345">
        <f>IF(OR($F1345="",$J1345="",$J1345="نامعتبر"),"",LEFT($J1345,4)&amp;MID($J1345,6,2)&amp;RIGHT($J1345,2)&amp;$N1345&amp;"|"&amp;"2"&amp;RIGHT("00000"&amp;1340,5))</f>
        <v/>
      </c>
      <c r="L1345">
        <f>IF($K1345="","",COUNTIFS(LdgPartyA,$F1345,LdgKeyA,"&lt;"&amp;$K1345)+COUNTIFS(LdgPartyB,$F1345,LdgKeyB,"&lt;"&amp;$K1345)+1)</f>
        <v/>
      </c>
      <c r="M1345">
        <f>IF($L1345="","",$F1345&amp;"|"&amp;RIGHT("000000"&amp;$L1345,6))</f>
        <v/>
      </c>
      <c r="N1345">
        <f>IF($F1345="","",IF(Sync!$AH1345="","0000",IF(AND(ISNUMBER(Sync!$AH1345),Sync!$AH1345&gt;=0,Sync!$AH1345&lt;1),RIGHT("00"&amp;HOUR(Sync!$AH1345),2)&amp;RIGHT("00"&amp;MINUTE(Sync!$AH1345),2),IFERROR(RIGHT("00"&amp;VALUE(LEFT(Sync!$AH1345,FIND(":",Sync!$AH1345)-1)),2)&amp;RIGHT("00"&amp;VALUE(MID(Sync!$AH1345,FIND(":",Sync!$AH1345)+1,2)),2),"0000"))))</f>
        <v/>
      </c>
    </row>
    <row r="1346">
      <c r="A1346">
        <f>IF(OR(Calc!$E1349="",Calc!$E1349="نامعتبر",Calc!$G1349="",Calc!$I1349&lt;&gt;"خرید"),"",Calc!$G1349)</f>
        <v/>
      </c>
      <c r="B1346">
        <f>IF($A1346="","",LEFT(Calc!$E1349,4)&amp;MID(Calc!$E1349,6,2)&amp;RIGHT(Calc!$E1349,2)&amp;Calc!$R1349&amp;"|"&amp;"1"&amp;RIGHT("00000"&amp;1341,5))</f>
        <v/>
      </c>
      <c r="C1346">
        <f>IF($B1346="","",COUNTIFS(LdgPartyA,$A1346,LdgKeyA,"&lt;"&amp;$B1346)+COUNTIFS(LdgPartyB,$A1346,LdgKeyB,"&lt;"&amp;$B1346)+1)</f>
        <v/>
      </c>
      <c r="D1346">
        <f>IF($C1346="","",$A1346&amp;"|"&amp;RIGHT("000000"&amp;$C1346,6))</f>
        <v/>
      </c>
      <c r="F1346">
        <f>IF(Sync!$AJ1346="","",Sync!$AJ1346)</f>
        <v/>
      </c>
      <c r="G1346">
        <f>IF($F1346="","",IF(Sync!$AG1346="","",IF(ISNUMBER(Sync!$AG1346),IF(AND(Sync!$AG1346&gt;=10000101,Sync!$AG1346&lt;=99991231),INT(Sync!$AG1346/10000),""),IFERROR(VALUE(TRIM(LEFT(Sync!$AG1346,FIND("/",Sync!$AG1346)-1))),""))))</f>
        <v/>
      </c>
      <c r="H1346">
        <f>IF(OR($F1346="",$G1346=""),"",IF(ISNUMBER(Sync!$AG1346),INT(MOD(Sync!$AG1346,10000)/100),IFERROR(VALUE(TRIM(LEFT(MID(Sync!$AG1346,FIND("/",Sync!$AG1346)+1,20),FIND("/",MID(Sync!$AG1346,FIND("/",Sync!$AG1346)+1,20))-1))),"")))</f>
        <v/>
      </c>
      <c r="I1346">
        <f>IF(OR($F1346="",$G1346=""),"",IF(ISNUMBER(Sync!$AG1346),MOD(Sync!$AG1346,100),IFERROR(VALUE(TRIM(MID(MID(Sync!$AG1346,FIND("/",Sync!$AG1346)+1,20),FIND("/",MID(Sync!$AG1346,FIND("/",Sync!$AG1346)+1,20))+1,20))),"")))</f>
        <v/>
      </c>
      <c r="J1346">
        <f>IF($F1346="","",IF(OR($G1346="",$H1346="",$I1346="",$G1346&lt;1300,$G1346&gt;1500,$H1346&lt;1,$H1346&gt;12,$I1346&lt;1,$I1346&gt;31),"نامعتبر",RIGHT("0000"&amp;$G1346,4)&amp;"/"&amp;RIGHT("00"&amp;$H1346,2)&amp;"/"&amp;RIGHT("00"&amp;$I1346,2)))</f>
        <v/>
      </c>
      <c r="K1346">
        <f>IF(OR($F1346="",$J1346="",$J1346="نامعتبر"),"",LEFT($J1346,4)&amp;MID($J1346,6,2)&amp;RIGHT($J1346,2)&amp;$N1346&amp;"|"&amp;"2"&amp;RIGHT("00000"&amp;1341,5))</f>
        <v/>
      </c>
      <c r="L1346">
        <f>IF($K1346="","",COUNTIFS(LdgPartyA,$F1346,LdgKeyA,"&lt;"&amp;$K1346)+COUNTIFS(LdgPartyB,$F1346,LdgKeyB,"&lt;"&amp;$K1346)+1)</f>
        <v/>
      </c>
      <c r="M1346">
        <f>IF($L1346="","",$F1346&amp;"|"&amp;RIGHT("000000"&amp;$L1346,6))</f>
        <v/>
      </c>
      <c r="N1346">
        <f>IF($F1346="","",IF(Sync!$AH1346="","0000",IF(AND(ISNUMBER(Sync!$AH1346),Sync!$AH1346&gt;=0,Sync!$AH1346&lt;1),RIGHT("00"&amp;HOUR(Sync!$AH1346),2)&amp;RIGHT("00"&amp;MINUTE(Sync!$AH1346),2),IFERROR(RIGHT("00"&amp;VALUE(LEFT(Sync!$AH1346,FIND(":",Sync!$AH1346)-1)),2)&amp;RIGHT("00"&amp;VALUE(MID(Sync!$AH1346,FIND(":",Sync!$AH1346)+1,2)),2),"0000"))))</f>
        <v/>
      </c>
    </row>
    <row r="1347">
      <c r="A1347">
        <f>IF(OR(Calc!$E1350="",Calc!$E1350="نامعتبر",Calc!$G1350="",Calc!$I1350&lt;&gt;"خرید"),"",Calc!$G1350)</f>
        <v/>
      </c>
      <c r="B1347">
        <f>IF($A1347="","",LEFT(Calc!$E1350,4)&amp;MID(Calc!$E1350,6,2)&amp;RIGHT(Calc!$E1350,2)&amp;Calc!$R1350&amp;"|"&amp;"1"&amp;RIGHT("00000"&amp;1342,5))</f>
        <v/>
      </c>
      <c r="C1347">
        <f>IF($B1347="","",COUNTIFS(LdgPartyA,$A1347,LdgKeyA,"&lt;"&amp;$B1347)+COUNTIFS(LdgPartyB,$A1347,LdgKeyB,"&lt;"&amp;$B1347)+1)</f>
        <v/>
      </c>
      <c r="D1347">
        <f>IF($C1347="","",$A1347&amp;"|"&amp;RIGHT("000000"&amp;$C1347,6))</f>
        <v/>
      </c>
      <c r="F1347">
        <f>IF(Sync!$AJ1347="","",Sync!$AJ1347)</f>
        <v/>
      </c>
      <c r="G1347">
        <f>IF($F1347="","",IF(Sync!$AG1347="","",IF(ISNUMBER(Sync!$AG1347),IF(AND(Sync!$AG1347&gt;=10000101,Sync!$AG1347&lt;=99991231),INT(Sync!$AG1347/10000),""),IFERROR(VALUE(TRIM(LEFT(Sync!$AG1347,FIND("/",Sync!$AG1347)-1))),""))))</f>
        <v/>
      </c>
      <c r="H1347">
        <f>IF(OR($F1347="",$G1347=""),"",IF(ISNUMBER(Sync!$AG1347),INT(MOD(Sync!$AG1347,10000)/100),IFERROR(VALUE(TRIM(LEFT(MID(Sync!$AG1347,FIND("/",Sync!$AG1347)+1,20),FIND("/",MID(Sync!$AG1347,FIND("/",Sync!$AG1347)+1,20))-1))),"")))</f>
        <v/>
      </c>
      <c r="I1347">
        <f>IF(OR($F1347="",$G1347=""),"",IF(ISNUMBER(Sync!$AG1347),MOD(Sync!$AG1347,100),IFERROR(VALUE(TRIM(MID(MID(Sync!$AG1347,FIND("/",Sync!$AG1347)+1,20),FIND("/",MID(Sync!$AG1347,FIND("/",Sync!$AG1347)+1,20))+1,20))),"")))</f>
        <v/>
      </c>
      <c r="J1347">
        <f>IF($F1347="","",IF(OR($G1347="",$H1347="",$I1347="",$G1347&lt;1300,$G1347&gt;1500,$H1347&lt;1,$H1347&gt;12,$I1347&lt;1,$I1347&gt;31),"نامعتبر",RIGHT("0000"&amp;$G1347,4)&amp;"/"&amp;RIGHT("00"&amp;$H1347,2)&amp;"/"&amp;RIGHT("00"&amp;$I1347,2)))</f>
        <v/>
      </c>
      <c r="K1347">
        <f>IF(OR($F1347="",$J1347="",$J1347="نامعتبر"),"",LEFT($J1347,4)&amp;MID($J1347,6,2)&amp;RIGHT($J1347,2)&amp;$N1347&amp;"|"&amp;"2"&amp;RIGHT("00000"&amp;1342,5))</f>
        <v/>
      </c>
      <c r="L1347">
        <f>IF($K1347="","",COUNTIFS(LdgPartyA,$F1347,LdgKeyA,"&lt;"&amp;$K1347)+COUNTIFS(LdgPartyB,$F1347,LdgKeyB,"&lt;"&amp;$K1347)+1)</f>
        <v/>
      </c>
      <c r="M1347">
        <f>IF($L1347="","",$F1347&amp;"|"&amp;RIGHT("000000"&amp;$L1347,6))</f>
        <v/>
      </c>
      <c r="N1347">
        <f>IF($F1347="","",IF(Sync!$AH1347="","0000",IF(AND(ISNUMBER(Sync!$AH1347),Sync!$AH1347&gt;=0,Sync!$AH1347&lt;1),RIGHT("00"&amp;HOUR(Sync!$AH1347),2)&amp;RIGHT("00"&amp;MINUTE(Sync!$AH1347),2),IFERROR(RIGHT("00"&amp;VALUE(LEFT(Sync!$AH1347,FIND(":",Sync!$AH1347)-1)),2)&amp;RIGHT("00"&amp;VALUE(MID(Sync!$AH1347,FIND(":",Sync!$AH1347)+1,2)),2),"0000"))))</f>
        <v/>
      </c>
    </row>
    <row r="1348">
      <c r="A1348">
        <f>IF(OR(Calc!$E1351="",Calc!$E1351="نامعتبر",Calc!$G1351="",Calc!$I1351&lt;&gt;"خرید"),"",Calc!$G1351)</f>
        <v/>
      </c>
      <c r="B1348">
        <f>IF($A1348="","",LEFT(Calc!$E1351,4)&amp;MID(Calc!$E1351,6,2)&amp;RIGHT(Calc!$E1351,2)&amp;Calc!$R1351&amp;"|"&amp;"1"&amp;RIGHT("00000"&amp;1343,5))</f>
        <v/>
      </c>
      <c r="C1348">
        <f>IF($B1348="","",COUNTIFS(LdgPartyA,$A1348,LdgKeyA,"&lt;"&amp;$B1348)+COUNTIFS(LdgPartyB,$A1348,LdgKeyB,"&lt;"&amp;$B1348)+1)</f>
        <v/>
      </c>
      <c r="D1348">
        <f>IF($C1348="","",$A1348&amp;"|"&amp;RIGHT("000000"&amp;$C1348,6))</f>
        <v/>
      </c>
      <c r="F1348">
        <f>IF(Sync!$AJ1348="","",Sync!$AJ1348)</f>
        <v/>
      </c>
      <c r="G1348">
        <f>IF($F1348="","",IF(Sync!$AG1348="","",IF(ISNUMBER(Sync!$AG1348),IF(AND(Sync!$AG1348&gt;=10000101,Sync!$AG1348&lt;=99991231),INT(Sync!$AG1348/10000),""),IFERROR(VALUE(TRIM(LEFT(Sync!$AG1348,FIND("/",Sync!$AG1348)-1))),""))))</f>
        <v/>
      </c>
      <c r="H1348">
        <f>IF(OR($F1348="",$G1348=""),"",IF(ISNUMBER(Sync!$AG1348),INT(MOD(Sync!$AG1348,10000)/100),IFERROR(VALUE(TRIM(LEFT(MID(Sync!$AG1348,FIND("/",Sync!$AG1348)+1,20),FIND("/",MID(Sync!$AG1348,FIND("/",Sync!$AG1348)+1,20))-1))),"")))</f>
        <v/>
      </c>
      <c r="I1348">
        <f>IF(OR($F1348="",$G1348=""),"",IF(ISNUMBER(Sync!$AG1348),MOD(Sync!$AG1348,100),IFERROR(VALUE(TRIM(MID(MID(Sync!$AG1348,FIND("/",Sync!$AG1348)+1,20),FIND("/",MID(Sync!$AG1348,FIND("/",Sync!$AG1348)+1,20))+1,20))),"")))</f>
        <v/>
      </c>
      <c r="J1348">
        <f>IF($F1348="","",IF(OR($G1348="",$H1348="",$I1348="",$G1348&lt;1300,$G1348&gt;1500,$H1348&lt;1,$H1348&gt;12,$I1348&lt;1,$I1348&gt;31),"نامعتبر",RIGHT("0000"&amp;$G1348,4)&amp;"/"&amp;RIGHT("00"&amp;$H1348,2)&amp;"/"&amp;RIGHT("00"&amp;$I1348,2)))</f>
        <v/>
      </c>
      <c r="K1348">
        <f>IF(OR($F1348="",$J1348="",$J1348="نامعتبر"),"",LEFT($J1348,4)&amp;MID($J1348,6,2)&amp;RIGHT($J1348,2)&amp;$N1348&amp;"|"&amp;"2"&amp;RIGHT("00000"&amp;1343,5))</f>
        <v/>
      </c>
      <c r="L1348">
        <f>IF($K1348="","",COUNTIFS(LdgPartyA,$F1348,LdgKeyA,"&lt;"&amp;$K1348)+COUNTIFS(LdgPartyB,$F1348,LdgKeyB,"&lt;"&amp;$K1348)+1)</f>
        <v/>
      </c>
      <c r="M1348">
        <f>IF($L1348="","",$F1348&amp;"|"&amp;RIGHT("000000"&amp;$L1348,6))</f>
        <v/>
      </c>
      <c r="N1348">
        <f>IF($F1348="","",IF(Sync!$AH1348="","0000",IF(AND(ISNUMBER(Sync!$AH1348),Sync!$AH1348&gt;=0,Sync!$AH1348&lt;1),RIGHT("00"&amp;HOUR(Sync!$AH1348),2)&amp;RIGHT("00"&amp;MINUTE(Sync!$AH1348),2),IFERROR(RIGHT("00"&amp;VALUE(LEFT(Sync!$AH1348,FIND(":",Sync!$AH1348)-1)),2)&amp;RIGHT("00"&amp;VALUE(MID(Sync!$AH1348,FIND(":",Sync!$AH1348)+1,2)),2),"0000"))))</f>
        <v/>
      </c>
    </row>
    <row r="1349">
      <c r="A1349">
        <f>IF(OR(Calc!$E1352="",Calc!$E1352="نامعتبر",Calc!$G1352="",Calc!$I1352&lt;&gt;"خرید"),"",Calc!$G1352)</f>
        <v/>
      </c>
      <c r="B1349">
        <f>IF($A1349="","",LEFT(Calc!$E1352,4)&amp;MID(Calc!$E1352,6,2)&amp;RIGHT(Calc!$E1352,2)&amp;Calc!$R1352&amp;"|"&amp;"1"&amp;RIGHT("00000"&amp;1344,5))</f>
        <v/>
      </c>
      <c r="C1349">
        <f>IF($B1349="","",COUNTIFS(LdgPartyA,$A1349,LdgKeyA,"&lt;"&amp;$B1349)+COUNTIFS(LdgPartyB,$A1349,LdgKeyB,"&lt;"&amp;$B1349)+1)</f>
        <v/>
      </c>
      <c r="D1349">
        <f>IF($C1349="","",$A1349&amp;"|"&amp;RIGHT("000000"&amp;$C1349,6))</f>
        <v/>
      </c>
      <c r="F1349">
        <f>IF(Sync!$AJ1349="","",Sync!$AJ1349)</f>
        <v/>
      </c>
      <c r="G1349">
        <f>IF($F1349="","",IF(Sync!$AG1349="","",IF(ISNUMBER(Sync!$AG1349),IF(AND(Sync!$AG1349&gt;=10000101,Sync!$AG1349&lt;=99991231),INT(Sync!$AG1349/10000),""),IFERROR(VALUE(TRIM(LEFT(Sync!$AG1349,FIND("/",Sync!$AG1349)-1))),""))))</f>
        <v/>
      </c>
      <c r="H1349">
        <f>IF(OR($F1349="",$G1349=""),"",IF(ISNUMBER(Sync!$AG1349),INT(MOD(Sync!$AG1349,10000)/100),IFERROR(VALUE(TRIM(LEFT(MID(Sync!$AG1349,FIND("/",Sync!$AG1349)+1,20),FIND("/",MID(Sync!$AG1349,FIND("/",Sync!$AG1349)+1,20))-1))),"")))</f>
        <v/>
      </c>
      <c r="I1349">
        <f>IF(OR($F1349="",$G1349=""),"",IF(ISNUMBER(Sync!$AG1349),MOD(Sync!$AG1349,100),IFERROR(VALUE(TRIM(MID(MID(Sync!$AG1349,FIND("/",Sync!$AG1349)+1,20),FIND("/",MID(Sync!$AG1349,FIND("/",Sync!$AG1349)+1,20))+1,20))),"")))</f>
        <v/>
      </c>
      <c r="J1349">
        <f>IF($F1349="","",IF(OR($G1349="",$H1349="",$I1349="",$G1349&lt;1300,$G1349&gt;1500,$H1349&lt;1,$H1349&gt;12,$I1349&lt;1,$I1349&gt;31),"نامعتبر",RIGHT("0000"&amp;$G1349,4)&amp;"/"&amp;RIGHT("00"&amp;$H1349,2)&amp;"/"&amp;RIGHT("00"&amp;$I1349,2)))</f>
        <v/>
      </c>
      <c r="K1349">
        <f>IF(OR($F1349="",$J1349="",$J1349="نامعتبر"),"",LEFT($J1349,4)&amp;MID($J1349,6,2)&amp;RIGHT($J1349,2)&amp;$N1349&amp;"|"&amp;"2"&amp;RIGHT("00000"&amp;1344,5))</f>
        <v/>
      </c>
      <c r="L1349">
        <f>IF($K1349="","",COUNTIFS(LdgPartyA,$F1349,LdgKeyA,"&lt;"&amp;$K1349)+COUNTIFS(LdgPartyB,$F1349,LdgKeyB,"&lt;"&amp;$K1349)+1)</f>
        <v/>
      </c>
      <c r="M1349">
        <f>IF($L1349="","",$F1349&amp;"|"&amp;RIGHT("000000"&amp;$L1349,6))</f>
        <v/>
      </c>
      <c r="N1349">
        <f>IF($F1349="","",IF(Sync!$AH1349="","0000",IF(AND(ISNUMBER(Sync!$AH1349),Sync!$AH1349&gt;=0,Sync!$AH1349&lt;1),RIGHT("00"&amp;HOUR(Sync!$AH1349),2)&amp;RIGHT("00"&amp;MINUTE(Sync!$AH1349),2),IFERROR(RIGHT("00"&amp;VALUE(LEFT(Sync!$AH1349,FIND(":",Sync!$AH1349)-1)),2)&amp;RIGHT("00"&amp;VALUE(MID(Sync!$AH1349,FIND(":",Sync!$AH1349)+1,2)),2),"0000"))))</f>
        <v/>
      </c>
    </row>
    <row r="1350">
      <c r="A1350">
        <f>IF(OR(Calc!$E1353="",Calc!$E1353="نامعتبر",Calc!$G1353="",Calc!$I1353&lt;&gt;"خرید"),"",Calc!$G1353)</f>
        <v/>
      </c>
      <c r="B1350">
        <f>IF($A1350="","",LEFT(Calc!$E1353,4)&amp;MID(Calc!$E1353,6,2)&amp;RIGHT(Calc!$E1353,2)&amp;Calc!$R1353&amp;"|"&amp;"1"&amp;RIGHT("00000"&amp;1345,5))</f>
        <v/>
      </c>
      <c r="C1350">
        <f>IF($B1350="","",COUNTIFS(LdgPartyA,$A1350,LdgKeyA,"&lt;"&amp;$B1350)+COUNTIFS(LdgPartyB,$A1350,LdgKeyB,"&lt;"&amp;$B1350)+1)</f>
        <v/>
      </c>
      <c r="D1350">
        <f>IF($C1350="","",$A1350&amp;"|"&amp;RIGHT("000000"&amp;$C1350,6))</f>
        <v/>
      </c>
      <c r="F1350">
        <f>IF(Sync!$AJ1350="","",Sync!$AJ1350)</f>
        <v/>
      </c>
      <c r="G1350">
        <f>IF($F1350="","",IF(Sync!$AG1350="","",IF(ISNUMBER(Sync!$AG1350),IF(AND(Sync!$AG1350&gt;=10000101,Sync!$AG1350&lt;=99991231),INT(Sync!$AG1350/10000),""),IFERROR(VALUE(TRIM(LEFT(Sync!$AG1350,FIND("/",Sync!$AG1350)-1))),""))))</f>
        <v/>
      </c>
      <c r="H1350">
        <f>IF(OR($F1350="",$G1350=""),"",IF(ISNUMBER(Sync!$AG1350),INT(MOD(Sync!$AG1350,10000)/100),IFERROR(VALUE(TRIM(LEFT(MID(Sync!$AG1350,FIND("/",Sync!$AG1350)+1,20),FIND("/",MID(Sync!$AG1350,FIND("/",Sync!$AG1350)+1,20))-1))),"")))</f>
        <v/>
      </c>
      <c r="I1350">
        <f>IF(OR($F1350="",$G1350=""),"",IF(ISNUMBER(Sync!$AG1350),MOD(Sync!$AG1350,100),IFERROR(VALUE(TRIM(MID(MID(Sync!$AG1350,FIND("/",Sync!$AG1350)+1,20),FIND("/",MID(Sync!$AG1350,FIND("/",Sync!$AG1350)+1,20))+1,20))),"")))</f>
        <v/>
      </c>
      <c r="J1350">
        <f>IF($F1350="","",IF(OR($G1350="",$H1350="",$I1350="",$G1350&lt;1300,$G1350&gt;1500,$H1350&lt;1,$H1350&gt;12,$I1350&lt;1,$I1350&gt;31),"نامعتبر",RIGHT("0000"&amp;$G1350,4)&amp;"/"&amp;RIGHT("00"&amp;$H1350,2)&amp;"/"&amp;RIGHT("00"&amp;$I1350,2)))</f>
        <v/>
      </c>
      <c r="K1350">
        <f>IF(OR($F1350="",$J1350="",$J1350="نامعتبر"),"",LEFT($J1350,4)&amp;MID($J1350,6,2)&amp;RIGHT($J1350,2)&amp;$N1350&amp;"|"&amp;"2"&amp;RIGHT("00000"&amp;1345,5))</f>
        <v/>
      </c>
      <c r="L1350">
        <f>IF($K1350="","",COUNTIFS(LdgPartyA,$F1350,LdgKeyA,"&lt;"&amp;$K1350)+COUNTIFS(LdgPartyB,$F1350,LdgKeyB,"&lt;"&amp;$K1350)+1)</f>
        <v/>
      </c>
      <c r="M1350">
        <f>IF($L1350="","",$F1350&amp;"|"&amp;RIGHT("000000"&amp;$L1350,6))</f>
        <v/>
      </c>
      <c r="N1350">
        <f>IF($F1350="","",IF(Sync!$AH1350="","0000",IF(AND(ISNUMBER(Sync!$AH1350),Sync!$AH1350&gt;=0,Sync!$AH1350&lt;1),RIGHT("00"&amp;HOUR(Sync!$AH1350),2)&amp;RIGHT("00"&amp;MINUTE(Sync!$AH1350),2),IFERROR(RIGHT("00"&amp;VALUE(LEFT(Sync!$AH1350,FIND(":",Sync!$AH1350)-1)),2)&amp;RIGHT("00"&amp;VALUE(MID(Sync!$AH1350,FIND(":",Sync!$AH1350)+1,2)),2),"0000"))))</f>
        <v/>
      </c>
    </row>
    <row r="1351">
      <c r="A1351">
        <f>IF(OR(Calc!$E1354="",Calc!$E1354="نامعتبر",Calc!$G1354="",Calc!$I1354&lt;&gt;"خرید"),"",Calc!$G1354)</f>
        <v/>
      </c>
      <c r="B1351">
        <f>IF($A1351="","",LEFT(Calc!$E1354,4)&amp;MID(Calc!$E1354,6,2)&amp;RIGHT(Calc!$E1354,2)&amp;Calc!$R1354&amp;"|"&amp;"1"&amp;RIGHT("00000"&amp;1346,5))</f>
        <v/>
      </c>
      <c r="C1351">
        <f>IF($B1351="","",COUNTIFS(LdgPartyA,$A1351,LdgKeyA,"&lt;"&amp;$B1351)+COUNTIFS(LdgPartyB,$A1351,LdgKeyB,"&lt;"&amp;$B1351)+1)</f>
        <v/>
      </c>
      <c r="D1351">
        <f>IF($C1351="","",$A1351&amp;"|"&amp;RIGHT("000000"&amp;$C1351,6))</f>
        <v/>
      </c>
      <c r="F1351">
        <f>IF(Sync!$AJ1351="","",Sync!$AJ1351)</f>
        <v/>
      </c>
      <c r="G1351">
        <f>IF($F1351="","",IF(Sync!$AG1351="","",IF(ISNUMBER(Sync!$AG1351),IF(AND(Sync!$AG1351&gt;=10000101,Sync!$AG1351&lt;=99991231),INT(Sync!$AG1351/10000),""),IFERROR(VALUE(TRIM(LEFT(Sync!$AG1351,FIND("/",Sync!$AG1351)-1))),""))))</f>
        <v/>
      </c>
      <c r="H1351">
        <f>IF(OR($F1351="",$G1351=""),"",IF(ISNUMBER(Sync!$AG1351),INT(MOD(Sync!$AG1351,10000)/100),IFERROR(VALUE(TRIM(LEFT(MID(Sync!$AG1351,FIND("/",Sync!$AG1351)+1,20),FIND("/",MID(Sync!$AG1351,FIND("/",Sync!$AG1351)+1,20))-1))),"")))</f>
        <v/>
      </c>
      <c r="I1351">
        <f>IF(OR($F1351="",$G1351=""),"",IF(ISNUMBER(Sync!$AG1351),MOD(Sync!$AG1351,100),IFERROR(VALUE(TRIM(MID(MID(Sync!$AG1351,FIND("/",Sync!$AG1351)+1,20),FIND("/",MID(Sync!$AG1351,FIND("/",Sync!$AG1351)+1,20))+1,20))),"")))</f>
        <v/>
      </c>
      <c r="J1351">
        <f>IF($F1351="","",IF(OR($G1351="",$H1351="",$I1351="",$G1351&lt;1300,$G1351&gt;1500,$H1351&lt;1,$H1351&gt;12,$I1351&lt;1,$I1351&gt;31),"نامعتبر",RIGHT("0000"&amp;$G1351,4)&amp;"/"&amp;RIGHT("00"&amp;$H1351,2)&amp;"/"&amp;RIGHT("00"&amp;$I1351,2)))</f>
        <v/>
      </c>
      <c r="K1351">
        <f>IF(OR($F1351="",$J1351="",$J1351="نامعتبر"),"",LEFT($J1351,4)&amp;MID($J1351,6,2)&amp;RIGHT($J1351,2)&amp;$N1351&amp;"|"&amp;"2"&amp;RIGHT("00000"&amp;1346,5))</f>
        <v/>
      </c>
      <c r="L1351">
        <f>IF($K1351="","",COUNTIFS(LdgPartyA,$F1351,LdgKeyA,"&lt;"&amp;$K1351)+COUNTIFS(LdgPartyB,$F1351,LdgKeyB,"&lt;"&amp;$K1351)+1)</f>
        <v/>
      </c>
      <c r="M1351">
        <f>IF($L1351="","",$F1351&amp;"|"&amp;RIGHT("000000"&amp;$L1351,6))</f>
        <v/>
      </c>
      <c r="N1351">
        <f>IF($F1351="","",IF(Sync!$AH1351="","0000",IF(AND(ISNUMBER(Sync!$AH1351),Sync!$AH1351&gt;=0,Sync!$AH1351&lt;1),RIGHT("00"&amp;HOUR(Sync!$AH1351),2)&amp;RIGHT("00"&amp;MINUTE(Sync!$AH1351),2),IFERROR(RIGHT("00"&amp;VALUE(LEFT(Sync!$AH1351,FIND(":",Sync!$AH1351)-1)),2)&amp;RIGHT("00"&amp;VALUE(MID(Sync!$AH1351,FIND(":",Sync!$AH1351)+1,2)),2),"0000"))))</f>
        <v/>
      </c>
    </row>
    <row r="1352">
      <c r="A1352">
        <f>IF(OR(Calc!$E1355="",Calc!$E1355="نامعتبر",Calc!$G1355="",Calc!$I1355&lt;&gt;"خرید"),"",Calc!$G1355)</f>
        <v/>
      </c>
      <c r="B1352">
        <f>IF($A1352="","",LEFT(Calc!$E1355,4)&amp;MID(Calc!$E1355,6,2)&amp;RIGHT(Calc!$E1355,2)&amp;Calc!$R1355&amp;"|"&amp;"1"&amp;RIGHT("00000"&amp;1347,5))</f>
        <v/>
      </c>
      <c r="C1352">
        <f>IF($B1352="","",COUNTIFS(LdgPartyA,$A1352,LdgKeyA,"&lt;"&amp;$B1352)+COUNTIFS(LdgPartyB,$A1352,LdgKeyB,"&lt;"&amp;$B1352)+1)</f>
        <v/>
      </c>
      <c r="D1352">
        <f>IF($C1352="","",$A1352&amp;"|"&amp;RIGHT("000000"&amp;$C1352,6))</f>
        <v/>
      </c>
      <c r="F1352">
        <f>IF(Sync!$AJ1352="","",Sync!$AJ1352)</f>
        <v/>
      </c>
      <c r="G1352">
        <f>IF($F1352="","",IF(Sync!$AG1352="","",IF(ISNUMBER(Sync!$AG1352),IF(AND(Sync!$AG1352&gt;=10000101,Sync!$AG1352&lt;=99991231),INT(Sync!$AG1352/10000),""),IFERROR(VALUE(TRIM(LEFT(Sync!$AG1352,FIND("/",Sync!$AG1352)-1))),""))))</f>
        <v/>
      </c>
      <c r="H1352">
        <f>IF(OR($F1352="",$G1352=""),"",IF(ISNUMBER(Sync!$AG1352),INT(MOD(Sync!$AG1352,10000)/100),IFERROR(VALUE(TRIM(LEFT(MID(Sync!$AG1352,FIND("/",Sync!$AG1352)+1,20),FIND("/",MID(Sync!$AG1352,FIND("/",Sync!$AG1352)+1,20))-1))),"")))</f>
        <v/>
      </c>
      <c r="I1352">
        <f>IF(OR($F1352="",$G1352=""),"",IF(ISNUMBER(Sync!$AG1352),MOD(Sync!$AG1352,100),IFERROR(VALUE(TRIM(MID(MID(Sync!$AG1352,FIND("/",Sync!$AG1352)+1,20),FIND("/",MID(Sync!$AG1352,FIND("/",Sync!$AG1352)+1,20))+1,20))),"")))</f>
        <v/>
      </c>
      <c r="J1352">
        <f>IF($F1352="","",IF(OR($G1352="",$H1352="",$I1352="",$G1352&lt;1300,$G1352&gt;1500,$H1352&lt;1,$H1352&gt;12,$I1352&lt;1,$I1352&gt;31),"نامعتبر",RIGHT("0000"&amp;$G1352,4)&amp;"/"&amp;RIGHT("00"&amp;$H1352,2)&amp;"/"&amp;RIGHT("00"&amp;$I1352,2)))</f>
        <v/>
      </c>
      <c r="K1352">
        <f>IF(OR($F1352="",$J1352="",$J1352="نامعتبر"),"",LEFT($J1352,4)&amp;MID($J1352,6,2)&amp;RIGHT($J1352,2)&amp;$N1352&amp;"|"&amp;"2"&amp;RIGHT("00000"&amp;1347,5))</f>
        <v/>
      </c>
      <c r="L1352">
        <f>IF($K1352="","",COUNTIFS(LdgPartyA,$F1352,LdgKeyA,"&lt;"&amp;$K1352)+COUNTIFS(LdgPartyB,$F1352,LdgKeyB,"&lt;"&amp;$K1352)+1)</f>
        <v/>
      </c>
      <c r="M1352">
        <f>IF($L1352="","",$F1352&amp;"|"&amp;RIGHT("000000"&amp;$L1352,6))</f>
        <v/>
      </c>
      <c r="N1352">
        <f>IF($F1352="","",IF(Sync!$AH1352="","0000",IF(AND(ISNUMBER(Sync!$AH1352),Sync!$AH1352&gt;=0,Sync!$AH1352&lt;1),RIGHT("00"&amp;HOUR(Sync!$AH1352),2)&amp;RIGHT("00"&amp;MINUTE(Sync!$AH1352),2),IFERROR(RIGHT("00"&amp;VALUE(LEFT(Sync!$AH1352,FIND(":",Sync!$AH1352)-1)),2)&amp;RIGHT("00"&amp;VALUE(MID(Sync!$AH1352,FIND(":",Sync!$AH1352)+1,2)),2),"0000"))))</f>
        <v/>
      </c>
    </row>
    <row r="1353">
      <c r="A1353">
        <f>IF(OR(Calc!$E1356="",Calc!$E1356="نامعتبر",Calc!$G1356="",Calc!$I1356&lt;&gt;"خرید"),"",Calc!$G1356)</f>
        <v/>
      </c>
      <c r="B1353">
        <f>IF($A1353="","",LEFT(Calc!$E1356,4)&amp;MID(Calc!$E1356,6,2)&amp;RIGHT(Calc!$E1356,2)&amp;Calc!$R1356&amp;"|"&amp;"1"&amp;RIGHT("00000"&amp;1348,5))</f>
        <v/>
      </c>
      <c r="C1353">
        <f>IF($B1353="","",COUNTIFS(LdgPartyA,$A1353,LdgKeyA,"&lt;"&amp;$B1353)+COUNTIFS(LdgPartyB,$A1353,LdgKeyB,"&lt;"&amp;$B1353)+1)</f>
        <v/>
      </c>
      <c r="D1353">
        <f>IF($C1353="","",$A1353&amp;"|"&amp;RIGHT("000000"&amp;$C1353,6))</f>
        <v/>
      </c>
      <c r="F1353">
        <f>IF(Sync!$AJ1353="","",Sync!$AJ1353)</f>
        <v/>
      </c>
      <c r="G1353">
        <f>IF($F1353="","",IF(Sync!$AG1353="","",IF(ISNUMBER(Sync!$AG1353),IF(AND(Sync!$AG1353&gt;=10000101,Sync!$AG1353&lt;=99991231),INT(Sync!$AG1353/10000),""),IFERROR(VALUE(TRIM(LEFT(Sync!$AG1353,FIND("/",Sync!$AG1353)-1))),""))))</f>
        <v/>
      </c>
      <c r="H1353">
        <f>IF(OR($F1353="",$G1353=""),"",IF(ISNUMBER(Sync!$AG1353),INT(MOD(Sync!$AG1353,10000)/100),IFERROR(VALUE(TRIM(LEFT(MID(Sync!$AG1353,FIND("/",Sync!$AG1353)+1,20),FIND("/",MID(Sync!$AG1353,FIND("/",Sync!$AG1353)+1,20))-1))),"")))</f>
        <v/>
      </c>
      <c r="I1353">
        <f>IF(OR($F1353="",$G1353=""),"",IF(ISNUMBER(Sync!$AG1353),MOD(Sync!$AG1353,100),IFERROR(VALUE(TRIM(MID(MID(Sync!$AG1353,FIND("/",Sync!$AG1353)+1,20),FIND("/",MID(Sync!$AG1353,FIND("/",Sync!$AG1353)+1,20))+1,20))),"")))</f>
        <v/>
      </c>
      <c r="J1353">
        <f>IF($F1353="","",IF(OR($G1353="",$H1353="",$I1353="",$G1353&lt;1300,$G1353&gt;1500,$H1353&lt;1,$H1353&gt;12,$I1353&lt;1,$I1353&gt;31),"نامعتبر",RIGHT("0000"&amp;$G1353,4)&amp;"/"&amp;RIGHT("00"&amp;$H1353,2)&amp;"/"&amp;RIGHT("00"&amp;$I1353,2)))</f>
        <v/>
      </c>
      <c r="K1353">
        <f>IF(OR($F1353="",$J1353="",$J1353="نامعتبر"),"",LEFT($J1353,4)&amp;MID($J1353,6,2)&amp;RIGHT($J1353,2)&amp;$N1353&amp;"|"&amp;"2"&amp;RIGHT("00000"&amp;1348,5))</f>
        <v/>
      </c>
      <c r="L1353">
        <f>IF($K1353="","",COUNTIFS(LdgPartyA,$F1353,LdgKeyA,"&lt;"&amp;$K1353)+COUNTIFS(LdgPartyB,$F1353,LdgKeyB,"&lt;"&amp;$K1353)+1)</f>
        <v/>
      </c>
      <c r="M1353">
        <f>IF($L1353="","",$F1353&amp;"|"&amp;RIGHT("000000"&amp;$L1353,6))</f>
        <v/>
      </c>
      <c r="N1353">
        <f>IF($F1353="","",IF(Sync!$AH1353="","0000",IF(AND(ISNUMBER(Sync!$AH1353),Sync!$AH1353&gt;=0,Sync!$AH1353&lt;1),RIGHT("00"&amp;HOUR(Sync!$AH1353),2)&amp;RIGHT("00"&amp;MINUTE(Sync!$AH1353),2),IFERROR(RIGHT("00"&amp;VALUE(LEFT(Sync!$AH1353,FIND(":",Sync!$AH1353)-1)),2)&amp;RIGHT("00"&amp;VALUE(MID(Sync!$AH1353,FIND(":",Sync!$AH1353)+1,2)),2),"0000"))))</f>
        <v/>
      </c>
    </row>
    <row r="1354">
      <c r="A1354">
        <f>IF(OR(Calc!$E1357="",Calc!$E1357="نامعتبر",Calc!$G1357="",Calc!$I1357&lt;&gt;"خرید"),"",Calc!$G1357)</f>
        <v/>
      </c>
      <c r="B1354">
        <f>IF($A1354="","",LEFT(Calc!$E1357,4)&amp;MID(Calc!$E1357,6,2)&amp;RIGHT(Calc!$E1357,2)&amp;Calc!$R1357&amp;"|"&amp;"1"&amp;RIGHT("00000"&amp;1349,5))</f>
        <v/>
      </c>
      <c r="C1354">
        <f>IF($B1354="","",COUNTIFS(LdgPartyA,$A1354,LdgKeyA,"&lt;"&amp;$B1354)+COUNTIFS(LdgPartyB,$A1354,LdgKeyB,"&lt;"&amp;$B1354)+1)</f>
        <v/>
      </c>
      <c r="D1354">
        <f>IF($C1354="","",$A1354&amp;"|"&amp;RIGHT("000000"&amp;$C1354,6))</f>
        <v/>
      </c>
      <c r="F1354">
        <f>IF(Sync!$AJ1354="","",Sync!$AJ1354)</f>
        <v/>
      </c>
      <c r="G1354">
        <f>IF($F1354="","",IF(Sync!$AG1354="","",IF(ISNUMBER(Sync!$AG1354),IF(AND(Sync!$AG1354&gt;=10000101,Sync!$AG1354&lt;=99991231),INT(Sync!$AG1354/10000),""),IFERROR(VALUE(TRIM(LEFT(Sync!$AG1354,FIND("/",Sync!$AG1354)-1))),""))))</f>
        <v/>
      </c>
      <c r="H1354">
        <f>IF(OR($F1354="",$G1354=""),"",IF(ISNUMBER(Sync!$AG1354),INT(MOD(Sync!$AG1354,10000)/100),IFERROR(VALUE(TRIM(LEFT(MID(Sync!$AG1354,FIND("/",Sync!$AG1354)+1,20),FIND("/",MID(Sync!$AG1354,FIND("/",Sync!$AG1354)+1,20))-1))),"")))</f>
        <v/>
      </c>
      <c r="I1354">
        <f>IF(OR($F1354="",$G1354=""),"",IF(ISNUMBER(Sync!$AG1354),MOD(Sync!$AG1354,100),IFERROR(VALUE(TRIM(MID(MID(Sync!$AG1354,FIND("/",Sync!$AG1354)+1,20),FIND("/",MID(Sync!$AG1354,FIND("/",Sync!$AG1354)+1,20))+1,20))),"")))</f>
        <v/>
      </c>
      <c r="J1354">
        <f>IF($F1354="","",IF(OR($G1354="",$H1354="",$I1354="",$G1354&lt;1300,$G1354&gt;1500,$H1354&lt;1,$H1354&gt;12,$I1354&lt;1,$I1354&gt;31),"نامعتبر",RIGHT("0000"&amp;$G1354,4)&amp;"/"&amp;RIGHT("00"&amp;$H1354,2)&amp;"/"&amp;RIGHT("00"&amp;$I1354,2)))</f>
        <v/>
      </c>
      <c r="K1354">
        <f>IF(OR($F1354="",$J1354="",$J1354="نامعتبر"),"",LEFT($J1354,4)&amp;MID($J1354,6,2)&amp;RIGHT($J1354,2)&amp;$N1354&amp;"|"&amp;"2"&amp;RIGHT("00000"&amp;1349,5))</f>
        <v/>
      </c>
      <c r="L1354">
        <f>IF($K1354="","",COUNTIFS(LdgPartyA,$F1354,LdgKeyA,"&lt;"&amp;$K1354)+COUNTIFS(LdgPartyB,$F1354,LdgKeyB,"&lt;"&amp;$K1354)+1)</f>
        <v/>
      </c>
      <c r="M1354">
        <f>IF($L1354="","",$F1354&amp;"|"&amp;RIGHT("000000"&amp;$L1354,6))</f>
        <v/>
      </c>
      <c r="N1354">
        <f>IF($F1354="","",IF(Sync!$AH1354="","0000",IF(AND(ISNUMBER(Sync!$AH1354),Sync!$AH1354&gt;=0,Sync!$AH1354&lt;1),RIGHT("00"&amp;HOUR(Sync!$AH1354),2)&amp;RIGHT("00"&amp;MINUTE(Sync!$AH1354),2),IFERROR(RIGHT("00"&amp;VALUE(LEFT(Sync!$AH1354,FIND(":",Sync!$AH1354)-1)),2)&amp;RIGHT("00"&amp;VALUE(MID(Sync!$AH1354,FIND(":",Sync!$AH1354)+1,2)),2),"0000"))))</f>
        <v/>
      </c>
    </row>
    <row r="1355">
      <c r="A1355">
        <f>IF(OR(Calc!$E1358="",Calc!$E1358="نامعتبر",Calc!$G1358="",Calc!$I1358&lt;&gt;"خرید"),"",Calc!$G1358)</f>
        <v/>
      </c>
      <c r="B1355">
        <f>IF($A1355="","",LEFT(Calc!$E1358,4)&amp;MID(Calc!$E1358,6,2)&amp;RIGHT(Calc!$E1358,2)&amp;Calc!$R1358&amp;"|"&amp;"1"&amp;RIGHT("00000"&amp;1350,5))</f>
        <v/>
      </c>
      <c r="C1355">
        <f>IF($B1355="","",COUNTIFS(LdgPartyA,$A1355,LdgKeyA,"&lt;"&amp;$B1355)+COUNTIFS(LdgPartyB,$A1355,LdgKeyB,"&lt;"&amp;$B1355)+1)</f>
        <v/>
      </c>
      <c r="D1355">
        <f>IF($C1355="","",$A1355&amp;"|"&amp;RIGHT("000000"&amp;$C1355,6))</f>
        <v/>
      </c>
      <c r="F1355">
        <f>IF(Sync!$AJ1355="","",Sync!$AJ1355)</f>
        <v/>
      </c>
      <c r="G1355">
        <f>IF($F1355="","",IF(Sync!$AG1355="","",IF(ISNUMBER(Sync!$AG1355),IF(AND(Sync!$AG1355&gt;=10000101,Sync!$AG1355&lt;=99991231),INT(Sync!$AG1355/10000),""),IFERROR(VALUE(TRIM(LEFT(Sync!$AG1355,FIND("/",Sync!$AG1355)-1))),""))))</f>
        <v/>
      </c>
      <c r="H1355">
        <f>IF(OR($F1355="",$G1355=""),"",IF(ISNUMBER(Sync!$AG1355),INT(MOD(Sync!$AG1355,10000)/100),IFERROR(VALUE(TRIM(LEFT(MID(Sync!$AG1355,FIND("/",Sync!$AG1355)+1,20),FIND("/",MID(Sync!$AG1355,FIND("/",Sync!$AG1355)+1,20))-1))),"")))</f>
        <v/>
      </c>
      <c r="I1355">
        <f>IF(OR($F1355="",$G1355=""),"",IF(ISNUMBER(Sync!$AG1355),MOD(Sync!$AG1355,100),IFERROR(VALUE(TRIM(MID(MID(Sync!$AG1355,FIND("/",Sync!$AG1355)+1,20),FIND("/",MID(Sync!$AG1355,FIND("/",Sync!$AG1355)+1,20))+1,20))),"")))</f>
        <v/>
      </c>
      <c r="J1355">
        <f>IF($F1355="","",IF(OR($G1355="",$H1355="",$I1355="",$G1355&lt;1300,$G1355&gt;1500,$H1355&lt;1,$H1355&gt;12,$I1355&lt;1,$I1355&gt;31),"نامعتبر",RIGHT("0000"&amp;$G1355,4)&amp;"/"&amp;RIGHT("00"&amp;$H1355,2)&amp;"/"&amp;RIGHT("00"&amp;$I1355,2)))</f>
        <v/>
      </c>
      <c r="K1355">
        <f>IF(OR($F1355="",$J1355="",$J1355="نامعتبر"),"",LEFT($J1355,4)&amp;MID($J1355,6,2)&amp;RIGHT($J1355,2)&amp;$N1355&amp;"|"&amp;"2"&amp;RIGHT("00000"&amp;1350,5))</f>
        <v/>
      </c>
      <c r="L1355">
        <f>IF($K1355="","",COUNTIFS(LdgPartyA,$F1355,LdgKeyA,"&lt;"&amp;$K1355)+COUNTIFS(LdgPartyB,$F1355,LdgKeyB,"&lt;"&amp;$K1355)+1)</f>
        <v/>
      </c>
      <c r="M1355">
        <f>IF($L1355="","",$F1355&amp;"|"&amp;RIGHT("000000"&amp;$L1355,6))</f>
        <v/>
      </c>
      <c r="N1355">
        <f>IF($F1355="","",IF(Sync!$AH1355="","0000",IF(AND(ISNUMBER(Sync!$AH1355),Sync!$AH1355&gt;=0,Sync!$AH1355&lt;1),RIGHT("00"&amp;HOUR(Sync!$AH1355),2)&amp;RIGHT("00"&amp;MINUTE(Sync!$AH1355),2),IFERROR(RIGHT("00"&amp;VALUE(LEFT(Sync!$AH1355,FIND(":",Sync!$AH1355)-1)),2)&amp;RIGHT("00"&amp;VALUE(MID(Sync!$AH1355,FIND(":",Sync!$AH1355)+1,2)),2),"0000"))))</f>
        <v/>
      </c>
    </row>
    <row r="1356">
      <c r="A1356">
        <f>IF(OR(Calc!$E1359="",Calc!$E1359="نامعتبر",Calc!$G1359="",Calc!$I1359&lt;&gt;"خرید"),"",Calc!$G1359)</f>
        <v/>
      </c>
      <c r="B1356">
        <f>IF($A1356="","",LEFT(Calc!$E1359,4)&amp;MID(Calc!$E1359,6,2)&amp;RIGHT(Calc!$E1359,2)&amp;Calc!$R1359&amp;"|"&amp;"1"&amp;RIGHT("00000"&amp;1351,5))</f>
        <v/>
      </c>
      <c r="C1356">
        <f>IF($B1356="","",COUNTIFS(LdgPartyA,$A1356,LdgKeyA,"&lt;"&amp;$B1356)+COUNTIFS(LdgPartyB,$A1356,LdgKeyB,"&lt;"&amp;$B1356)+1)</f>
        <v/>
      </c>
      <c r="D1356">
        <f>IF($C1356="","",$A1356&amp;"|"&amp;RIGHT("000000"&amp;$C1356,6))</f>
        <v/>
      </c>
      <c r="F1356">
        <f>IF(Sync!$AJ1356="","",Sync!$AJ1356)</f>
        <v/>
      </c>
      <c r="G1356">
        <f>IF($F1356="","",IF(Sync!$AG1356="","",IF(ISNUMBER(Sync!$AG1356),IF(AND(Sync!$AG1356&gt;=10000101,Sync!$AG1356&lt;=99991231),INT(Sync!$AG1356/10000),""),IFERROR(VALUE(TRIM(LEFT(Sync!$AG1356,FIND("/",Sync!$AG1356)-1))),""))))</f>
        <v/>
      </c>
      <c r="H1356">
        <f>IF(OR($F1356="",$G1356=""),"",IF(ISNUMBER(Sync!$AG1356),INT(MOD(Sync!$AG1356,10000)/100),IFERROR(VALUE(TRIM(LEFT(MID(Sync!$AG1356,FIND("/",Sync!$AG1356)+1,20),FIND("/",MID(Sync!$AG1356,FIND("/",Sync!$AG1356)+1,20))-1))),"")))</f>
        <v/>
      </c>
      <c r="I1356">
        <f>IF(OR($F1356="",$G1356=""),"",IF(ISNUMBER(Sync!$AG1356),MOD(Sync!$AG1356,100),IFERROR(VALUE(TRIM(MID(MID(Sync!$AG1356,FIND("/",Sync!$AG1356)+1,20),FIND("/",MID(Sync!$AG1356,FIND("/",Sync!$AG1356)+1,20))+1,20))),"")))</f>
        <v/>
      </c>
      <c r="J1356">
        <f>IF($F1356="","",IF(OR($G1356="",$H1356="",$I1356="",$G1356&lt;1300,$G1356&gt;1500,$H1356&lt;1,$H1356&gt;12,$I1356&lt;1,$I1356&gt;31),"نامعتبر",RIGHT("0000"&amp;$G1356,4)&amp;"/"&amp;RIGHT("00"&amp;$H1356,2)&amp;"/"&amp;RIGHT("00"&amp;$I1356,2)))</f>
        <v/>
      </c>
      <c r="K1356">
        <f>IF(OR($F1356="",$J1356="",$J1356="نامعتبر"),"",LEFT($J1356,4)&amp;MID($J1356,6,2)&amp;RIGHT($J1356,2)&amp;$N1356&amp;"|"&amp;"2"&amp;RIGHT("00000"&amp;1351,5))</f>
        <v/>
      </c>
      <c r="L1356">
        <f>IF($K1356="","",COUNTIFS(LdgPartyA,$F1356,LdgKeyA,"&lt;"&amp;$K1356)+COUNTIFS(LdgPartyB,$F1356,LdgKeyB,"&lt;"&amp;$K1356)+1)</f>
        <v/>
      </c>
      <c r="M1356">
        <f>IF($L1356="","",$F1356&amp;"|"&amp;RIGHT("000000"&amp;$L1356,6))</f>
        <v/>
      </c>
      <c r="N1356">
        <f>IF($F1356="","",IF(Sync!$AH1356="","0000",IF(AND(ISNUMBER(Sync!$AH1356),Sync!$AH1356&gt;=0,Sync!$AH1356&lt;1),RIGHT("00"&amp;HOUR(Sync!$AH1356),2)&amp;RIGHT("00"&amp;MINUTE(Sync!$AH1356),2),IFERROR(RIGHT("00"&amp;VALUE(LEFT(Sync!$AH1356,FIND(":",Sync!$AH1356)-1)),2)&amp;RIGHT("00"&amp;VALUE(MID(Sync!$AH1356,FIND(":",Sync!$AH1356)+1,2)),2),"0000"))))</f>
        <v/>
      </c>
    </row>
    <row r="1357">
      <c r="A1357">
        <f>IF(OR(Calc!$E1360="",Calc!$E1360="نامعتبر",Calc!$G1360="",Calc!$I1360&lt;&gt;"خرید"),"",Calc!$G1360)</f>
        <v/>
      </c>
      <c r="B1357">
        <f>IF($A1357="","",LEFT(Calc!$E1360,4)&amp;MID(Calc!$E1360,6,2)&amp;RIGHT(Calc!$E1360,2)&amp;Calc!$R1360&amp;"|"&amp;"1"&amp;RIGHT("00000"&amp;1352,5))</f>
        <v/>
      </c>
      <c r="C1357">
        <f>IF($B1357="","",COUNTIFS(LdgPartyA,$A1357,LdgKeyA,"&lt;"&amp;$B1357)+COUNTIFS(LdgPartyB,$A1357,LdgKeyB,"&lt;"&amp;$B1357)+1)</f>
        <v/>
      </c>
      <c r="D1357">
        <f>IF($C1357="","",$A1357&amp;"|"&amp;RIGHT("000000"&amp;$C1357,6))</f>
        <v/>
      </c>
      <c r="F1357">
        <f>IF(Sync!$AJ1357="","",Sync!$AJ1357)</f>
        <v/>
      </c>
      <c r="G1357">
        <f>IF($F1357="","",IF(Sync!$AG1357="","",IF(ISNUMBER(Sync!$AG1357),IF(AND(Sync!$AG1357&gt;=10000101,Sync!$AG1357&lt;=99991231),INT(Sync!$AG1357/10000),""),IFERROR(VALUE(TRIM(LEFT(Sync!$AG1357,FIND("/",Sync!$AG1357)-1))),""))))</f>
        <v/>
      </c>
      <c r="H1357">
        <f>IF(OR($F1357="",$G1357=""),"",IF(ISNUMBER(Sync!$AG1357),INT(MOD(Sync!$AG1357,10000)/100),IFERROR(VALUE(TRIM(LEFT(MID(Sync!$AG1357,FIND("/",Sync!$AG1357)+1,20),FIND("/",MID(Sync!$AG1357,FIND("/",Sync!$AG1357)+1,20))-1))),"")))</f>
        <v/>
      </c>
      <c r="I1357">
        <f>IF(OR($F1357="",$G1357=""),"",IF(ISNUMBER(Sync!$AG1357),MOD(Sync!$AG1357,100),IFERROR(VALUE(TRIM(MID(MID(Sync!$AG1357,FIND("/",Sync!$AG1357)+1,20),FIND("/",MID(Sync!$AG1357,FIND("/",Sync!$AG1357)+1,20))+1,20))),"")))</f>
        <v/>
      </c>
      <c r="J1357">
        <f>IF($F1357="","",IF(OR($G1357="",$H1357="",$I1357="",$G1357&lt;1300,$G1357&gt;1500,$H1357&lt;1,$H1357&gt;12,$I1357&lt;1,$I1357&gt;31),"نامعتبر",RIGHT("0000"&amp;$G1357,4)&amp;"/"&amp;RIGHT("00"&amp;$H1357,2)&amp;"/"&amp;RIGHT("00"&amp;$I1357,2)))</f>
        <v/>
      </c>
      <c r="K1357">
        <f>IF(OR($F1357="",$J1357="",$J1357="نامعتبر"),"",LEFT($J1357,4)&amp;MID($J1357,6,2)&amp;RIGHT($J1357,2)&amp;$N1357&amp;"|"&amp;"2"&amp;RIGHT("00000"&amp;1352,5))</f>
        <v/>
      </c>
      <c r="L1357">
        <f>IF($K1357="","",COUNTIFS(LdgPartyA,$F1357,LdgKeyA,"&lt;"&amp;$K1357)+COUNTIFS(LdgPartyB,$F1357,LdgKeyB,"&lt;"&amp;$K1357)+1)</f>
        <v/>
      </c>
      <c r="M1357">
        <f>IF($L1357="","",$F1357&amp;"|"&amp;RIGHT("000000"&amp;$L1357,6))</f>
        <v/>
      </c>
      <c r="N1357">
        <f>IF($F1357="","",IF(Sync!$AH1357="","0000",IF(AND(ISNUMBER(Sync!$AH1357),Sync!$AH1357&gt;=0,Sync!$AH1357&lt;1),RIGHT("00"&amp;HOUR(Sync!$AH1357),2)&amp;RIGHT("00"&amp;MINUTE(Sync!$AH1357),2),IFERROR(RIGHT("00"&amp;VALUE(LEFT(Sync!$AH1357,FIND(":",Sync!$AH1357)-1)),2)&amp;RIGHT("00"&amp;VALUE(MID(Sync!$AH1357,FIND(":",Sync!$AH1357)+1,2)),2),"0000"))))</f>
        <v/>
      </c>
    </row>
    <row r="1358">
      <c r="A1358">
        <f>IF(OR(Calc!$E1361="",Calc!$E1361="نامعتبر",Calc!$G1361="",Calc!$I1361&lt;&gt;"خرید"),"",Calc!$G1361)</f>
        <v/>
      </c>
      <c r="B1358">
        <f>IF($A1358="","",LEFT(Calc!$E1361,4)&amp;MID(Calc!$E1361,6,2)&amp;RIGHT(Calc!$E1361,2)&amp;Calc!$R1361&amp;"|"&amp;"1"&amp;RIGHT("00000"&amp;1353,5))</f>
        <v/>
      </c>
      <c r="C1358">
        <f>IF($B1358="","",COUNTIFS(LdgPartyA,$A1358,LdgKeyA,"&lt;"&amp;$B1358)+COUNTIFS(LdgPartyB,$A1358,LdgKeyB,"&lt;"&amp;$B1358)+1)</f>
        <v/>
      </c>
      <c r="D1358">
        <f>IF($C1358="","",$A1358&amp;"|"&amp;RIGHT("000000"&amp;$C1358,6))</f>
        <v/>
      </c>
      <c r="F1358">
        <f>IF(Sync!$AJ1358="","",Sync!$AJ1358)</f>
        <v/>
      </c>
      <c r="G1358">
        <f>IF($F1358="","",IF(Sync!$AG1358="","",IF(ISNUMBER(Sync!$AG1358),IF(AND(Sync!$AG1358&gt;=10000101,Sync!$AG1358&lt;=99991231),INT(Sync!$AG1358/10000),""),IFERROR(VALUE(TRIM(LEFT(Sync!$AG1358,FIND("/",Sync!$AG1358)-1))),""))))</f>
        <v/>
      </c>
      <c r="H1358">
        <f>IF(OR($F1358="",$G1358=""),"",IF(ISNUMBER(Sync!$AG1358),INT(MOD(Sync!$AG1358,10000)/100),IFERROR(VALUE(TRIM(LEFT(MID(Sync!$AG1358,FIND("/",Sync!$AG1358)+1,20),FIND("/",MID(Sync!$AG1358,FIND("/",Sync!$AG1358)+1,20))-1))),"")))</f>
        <v/>
      </c>
      <c r="I1358">
        <f>IF(OR($F1358="",$G1358=""),"",IF(ISNUMBER(Sync!$AG1358),MOD(Sync!$AG1358,100),IFERROR(VALUE(TRIM(MID(MID(Sync!$AG1358,FIND("/",Sync!$AG1358)+1,20),FIND("/",MID(Sync!$AG1358,FIND("/",Sync!$AG1358)+1,20))+1,20))),"")))</f>
        <v/>
      </c>
      <c r="J1358">
        <f>IF($F1358="","",IF(OR($G1358="",$H1358="",$I1358="",$G1358&lt;1300,$G1358&gt;1500,$H1358&lt;1,$H1358&gt;12,$I1358&lt;1,$I1358&gt;31),"نامعتبر",RIGHT("0000"&amp;$G1358,4)&amp;"/"&amp;RIGHT("00"&amp;$H1358,2)&amp;"/"&amp;RIGHT("00"&amp;$I1358,2)))</f>
        <v/>
      </c>
      <c r="K1358">
        <f>IF(OR($F1358="",$J1358="",$J1358="نامعتبر"),"",LEFT($J1358,4)&amp;MID($J1358,6,2)&amp;RIGHT($J1358,2)&amp;$N1358&amp;"|"&amp;"2"&amp;RIGHT("00000"&amp;1353,5))</f>
        <v/>
      </c>
      <c r="L1358">
        <f>IF($K1358="","",COUNTIFS(LdgPartyA,$F1358,LdgKeyA,"&lt;"&amp;$K1358)+COUNTIFS(LdgPartyB,$F1358,LdgKeyB,"&lt;"&amp;$K1358)+1)</f>
        <v/>
      </c>
      <c r="M1358">
        <f>IF($L1358="","",$F1358&amp;"|"&amp;RIGHT("000000"&amp;$L1358,6))</f>
        <v/>
      </c>
      <c r="N1358">
        <f>IF($F1358="","",IF(Sync!$AH1358="","0000",IF(AND(ISNUMBER(Sync!$AH1358),Sync!$AH1358&gt;=0,Sync!$AH1358&lt;1),RIGHT("00"&amp;HOUR(Sync!$AH1358),2)&amp;RIGHT("00"&amp;MINUTE(Sync!$AH1358),2),IFERROR(RIGHT("00"&amp;VALUE(LEFT(Sync!$AH1358,FIND(":",Sync!$AH1358)-1)),2)&amp;RIGHT("00"&amp;VALUE(MID(Sync!$AH1358,FIND(":",Sync!$AH1358)+1,2)),2),"0000"))))</f>
        <v/>
      </c>
    </row>
    <row r="1359">
      <c r="A1359">
        <f>IF(OR(Calc!$E1362="",Calc!$E1362="نامعتبر",Calc!$G1362="",Calc!$I1362&lt;&gt;"خرید"),"",Calc!$G1362)</f>
        <v/>
      </c>
      <c r="B1359">
        <f>IF($A1359="","",LEFT(Calc!$E1362,4)&amp;MID(Calc!$E1362,6,2)&amp;RIGHT(Calc!$E1362,2)&amp;Calc!$R1362&amp;"|"&amp;"1"&amp;RIGHT("00000"&amp;1354,5))</f>
        <v/>
      </c>
      <c r="C1359">
        <f>IF($B1359="","",COUNTIFS(LdgPartyA,$A1359,LdgKeyA,"&lt;"&amp;$B1359)+COUNTIFS(LdgPartyB,$A1359,LdgKeyB,"&lt;"&amp;$B1359)+1)</f>
        <v/>
      </c>
      <c r="D1359">
        <f>IF($C1359="","",$A1359&amp;"|"&amp;RIGHT("000000"&amp;$C1359,6))</f>
        <v/>
      </c>
      <c r="F1359">
        <f>IF(Sync!$AJ1359="","",Sync!$AJ1359)</f>
        <v/>
      </c>
      <c r="G1359">
        <f>IF($F1359="","",IF(Sync!$AG1359="","",IF(ISNUMBER(Sync!$AG1359),IF(AND(Sync!$AG1359&gt;=10000101,Sync!$AG1359&lt;=99991231),INT(Sync!$AG1359/10000),""),IFERROR(VALUE(TRIM(LEFT(Sync!$AG1359,FIND("/",Sync!$AG1359)-1))),""))))</f>
        <v/>
      </c>
      <c r="H1359">
        <f>IF(OR($F1359="",$G1359=""),"",IF(ISNUMBER(Sync!$AG1359),INT(MOD(Sync!$AG1359,10000)/100),IFERROR(VALUE(TRIM(LEFT(MID(Sync!$AG1359,FIND("/",Sync!$AG1359)+1,20),FIND("/",MID(Sync!$AG1359,FIND("/",Sync!$AG1359)+1,20))-1))),"")))</f>
        <v/>
      </c>
      <c r="I1359">
        <f>IF(OR($F1359="",$G1359=""),"",IF(ISNUMBER(Sync!$AG1359),MOD(Sync!$AG1359,100),IFERROR(VALUE(TRIM(MID(MID(Sync!$AG1359,FIND("/",Sync!$AG1359)+1,20),FIND("/",MID(Sync!$AG1359,FIND("/",Sync!$AG1359)+1,20))+1,20))),"")))</f>
        <v/>
      </c>
      <c r="J1359">
        <f>IF($F1359="","",IF(OR($G1359="",$H1359="",$I1359="",$G1359&lt;1300,$G1359&gt;1500,$H1359&lt;1,$H1359&gt;12,$I1359&lt;1,$I1359&gt;31),"نامعتبر",RIGHT("0000"&amp;$G1359,4)&amp;"/"&amp;RIGHT("00"&amp;$H1359,2)&amp;"/"&amp;RIGHT("00"&amp;$I1359,2)))</f>
        <v/>
      </c>
      <c r="K1359">
        <f>IF(OR($F1359="",$J1359="",$J1359="نامعتبر"),"",LEFT($J1359,4)&amp;MID($J1359,6,2)&amp;RIGHT($J1359,2)&amp;$N1359&amp;"|"&amp;"2"&amp;RIGHT("00000"&amp;1354,5))</f>
        <v/>
      </c>
      <c r="L1359">
        <f>IF($K1359="","",COUNTIFS(LdgPartyA,$F1359,LdgKeyA,"&lt;"&amp;$K1359)+COUNTIFS(LdgPartyB,$F1359,LdgKeyB,"&lt;"&amp;$K1359)+1)</f>
        <v/>
      </c>
      <c r="M1359">
        <f>IF($L1359="","",$F1359&amp;"|"&amp;RIGHT("000000"&amp;$L1359,6))</f>
        <v/>
      </c>
      <c r="N1359">
        <f>IF($F1359="","",IF(Sync!$AH1359="","0000",IF(AND(ISNUMBER(Sync!$AH1359),Sync!$AH1359&gt;=0,Sync!$AH1359&lt;1),RIGHT("00"&amp;HOUR(Sync!$AH1359),2)&amp;RIGHT("00"&amp;MINUTE(Sync!$AH1359),2),IFERROR(RIGHT("00"&amp;VALUE(LEFT(Sync!$AH1359,FIND(":",Sync!$AH1359)-1)),2)&amp;RIGHT("00"&amp;VALUE(MID(Sync!$AH1359,FIND(":",Sync!$AH1359)+1,2)),2),"0000"))))</f>
        <v/>
      </c>
    </row>
    <row r="1360">
      <c r="A1360">
        <f>IF(OR(Calc!$E1363="",Calc!$E1363="نامعتبر",Calc!$G1363="",Calc!$I1363&lt;&gt;"خرید"),"",Calc!$G1363)</f>
        <v/>
      </c>
      <c r="B1360">
        <f>IF($A1360="","",LEFT(Calc!$E1363,4)&amp;MID(Calc!$E1363,6,2)&amp;RIGHT(Calc!$E1363,2)&amp;Calc!$R1363&amp;"|"&amp;"1"&amp;RIGHT("00000"&amp;1355,5))</f>
        <v/>
      </c>
      <c r="C1360">
        <f>IF($B1360="","",COUNTIFS(LdgPartyA,$A1360,LdgKeyA,"&lt;"&amp;$B1360)+COUNTIFS(LdgPartyB,$A1360,LdgKeyB,"&lt;"&amp;$B1360)+1)</f>
        <v/>
      </c>
      <c r="D1360">
        <f>IF($C1360="","",$A1360&amp;"|"&amp;RIGHT("000000"&amp;$C1360,6))</f>
        <v/>
      </c>
      <c r="F1360">
        <f>IF(Sync!$AJ1360="","",Sync!$AJ1360)</f>
        <v/>
      </c>
      <c r="G1360">
        <f>IF($F1360="","",IF(Sync!$AG1360="","",IF(ISNUMBER(Sync!$AG1360),IF(AND(Sync!$AG1360&gt;=10000101,Sync!$AG1360&lt;=99991231),INT(Sync!$AG1360/10000),""),IFERROR(VALUE(TRIM(LEFT(Sync!$AG1360,FIND("/",Sync!$AG1360)-1))),""))))</f>
        <v/>
      </c>
      <c r="H1360">
        <f>IF(OR($F1360="",$G1360=""),"",IF(ISNUMBER(Sync!$AG1360),INT(MOD(Sync!$AG1360,10000)/100),IFERROR(VALUE(TRIM(LEFT(MID(Sync!$AG1360,FIND("/",Sync!$AG1360)+1,20),FIND("/",MID(Sync!$AG1360,FIND("/",Sync!$AG1360)+1,20))-1))),"")))</f>
        <v/>
      </c>
      <c r="I1360">
        <f>IF(OR($F1360="",$G1360=""),"",IF(ISNUMBER(Sync!$AG1360),MOD(Sync!$AG1360,100),IFERROR(VALUE(TRIM(MID(MID(Sync!$AG1360,FIND("/",Sync!$AG1360)+1,20),FIND("/",MID(Sync!$AG1360,FIND("/",Sync!$AG1360)+1,20))+1,20))),"")))</f>
        <v/>
      </c>
      <c r="J1360">
        <f>IF($F1360="","",IF(OR($G1360="",$H1360="",$I1360="",$G1360&lt;1300,$G1360&gt;1500,$H1360&lt;1,$H1360&gt;12,$I1360&lt;1,$I1360&gt;31),"نامعتبر",RIGHT("0000"&amp;$G1360,4)&amp;"/"&amp;RIGHT("00"&amp;$H1360,2)&amp;"/"&amp;RIGHT("00"&amp;$I1360,2)))</f>
        <v/>
      </c>
      <c r="K1360">
        <f>IF(OR($F1360="",$J1360="",$J1360="نامعتبر"),"",LEFT($J1360,4)&amp;MID($J1360,6,2)&amp;RIGHT($J1360,2)&amp;$N1360&amp;"|"&amp;"2"&amp;RIGHT("00000"&amp;1355,5))</f>
        <v/>
      </c>
      <c r="L1360">
        <f>IF($K1360="","",COUNTIFS(LdgPartyA,$F1360,LdgKeyA,"&lt;"&amp;$K1360)+COUNTIFS(LdgPartyB,$F1360,LdgKeyB,"&lt;"&amp;$K1360)+1)</f>
        <v/>
      </c>
      <c r="M1360">
        <f>IF($L1360="","",$F1360&amp;"|"&amp;RIGHT("000000"&amp;$L1360,6))</f>
        <v/>
      </c>
      <c r="N1360">
        <f>IF($F1360="","",IF(Sync!$AH1360="","0000",IF(AND(ISNUMBER(Sync!$AH1360),Sync!$AH1360&gt;=0,Sync!$AH1360&lt;1),RIGHT("00"&amp;HOUR(Sync!$AH1360),2)&amp;RIGHT("00"&amp;MINUTE(Sync!$AH1360),2),IFERROR(RIGHT("00"&amp;VALUE(LEFT(Sync!$AH1360,FIND(":",Sync!$AH1360)-1)),2)&amp;RIGHT("00"&amp;VALUE(MID(Sync!$AH1360,FIND(":",Sync!$AH1360)+1,2)),2),"0000"))))</f>
        <v/>
      </c>
    </row>
    <row r="1361">
      <c r="A1361">
        <f>IF(OR(Calc!$E1364="",Calc!$E1364="نامعتبر",Calc!$G1364="",Calc!$I1364&lt;&gt;"خرید"),"",Calc!$G1364)</f>
        <v/>
      </c>
      <c r="B1361">
        <f>IF($A1361="","",LEFT(Calc!$E1364,4)&amp;MID(Calc!$E1364,6,2)&amp;RIGHT(Calc!$E1364,2)&amp;Calc!$R1364&amp;"|"&amp;"1"&amp;RIGHT("00000"&amp;1356,5))</f>
        <v/>
      </c>
      <c r="C1361">
        <f>IF($B1361="","",COUNTIFS(LdgPartyA,$A1361,LdgKeyA,"&lt;"&amp;$B1361)+COUNTIFS(LdgPartyB,$A1361,LdgKeyB,"&lt;"&amp;$B1361)+1)</f>
        <v/>
      </c>
      <c r="D1361">
        <f>IF($C1361="","",$A1361&amp;"|"&amp;RIGHT("000000"&amp;$C1361,6))</f>
        <v/>
      </c>
      <c r="F1361">
        <f>IF(Sync!$AJ1361="","",Sync!$AJ1361)</f>
        <v/>
      </c>
      <c r="G1361">
        <f>IF($F1361="","",IF(Sync!$AG1361="","",IF(ISNUMBER(Sync!$AG1361),IF(AND(Sync!$AG1361&gt;=10000101,Sync!$AG1361&lt;=99991231),INT(Sync!$AG1361/10000),""),IFERROR(VALUE(TRIM(LEFT(Sync!$AG1361,FIND("/",Sync!$AG1361)-1))),""))))</f>
        <v/>
      </c>
      <c r="H1361">
        <f>IF(OR($F1361="",$G1361=""),"",IF(ISNUMBER(Sync!$AG1361),INT(MOD(Sync!$AG1361,10000)/100),IFERROR(VALUE(TRIM(LEFT(MID(Sync!$AG1361,FIND("/",Sync!$AG1361)+1,20),FIND("/",MID(Sync!$AG1361,FIND("/",Sync!$AG1361)+1,20))-1))),"")))</f>
        <v/>
      </c>
      <c r="I1361">
        <f>IF(OR($F1361="",$G1361=""),"",IF(ISNUMBER(Sync!$AG1361),MOD(Sync!$AG1361,100),IFERROR(VALUE(TRIM(MID(MID(Sync!$AG1361,FIND("/",Sync!$AG1361)+1,20),FIND("/",MID(Sync!$AG1361,FIND("/",Sync!$AG1361)+1,20))+1,20))),"")))</f>
        <v/>
      </c>
      <c r="J1361">
        <f>IF($F1361="","",IF(OR($G1361="",$H1361="",$I1361="",$G1361&lt;1300,$G1361&gt;1500,$H1361&lt;1,$H1361&gt;12,$I1361&lt;1,$I1361&gt;31),"نامعتبر",RIGHT("0000"&amp;$G1361,4)&amp;"/"&amp;RIGHT("00"&amp;$H1361,2)&amp;"/"&amp;RIGHT("00"&amp;$I1361,2)))</f>
        <v/>
      </c>
      <c r="K1361">
        <f>IF(OR($F1361="",$J1361="",$J1361="نامعتبر"),"",LEFT($J1361,4)&amp;MID($J1361,6,2)&amp;RIGHT($J1361,2)&amp;$N1361&amp;"|"&amp;"2"&amp;RIGHT("00000"&amp;1356,5))</f>
        <v/>
      </c>
      <c r="L1361">
        <f>IF($K1361="","",COUNTIFS(LdgPartyA,$F1361,LdgKeyA,"&lt;"&amp;$K1361)+COUNTIFS(LdgPartyB,$F1361,LdgKeyB,"&lt;"&amp;$K1361)+1)</f>
        <v/>
      </c>
      <c r="M1361">
        <f>IF($L1361="","",$F1361&amp;"|"&amp;RIGHT("000000"&amp;$L1361,6))</f>
        <v/>
      </c>
      <c r="N1361">
        <f>IF($F1361="","",IF(Sync!$AH1361="","0000",IF(AND(ISNUMBER(Sync!$AH1361),Sync!$AH1361&gt;=0,Sync!$AH1361&lt;1),RIGHT("00"&amp;HOUR(Sync!$AH1361),2)&amp;RIGHT("00"&amp;MINUTE(Sync!$AH1361),2),IFERROR(RIGHT("00"&amp;VALUE(LEFT(Sync!$AH1361,FIND(":",Sync!$AH1361)-1)),2)&amp;RIGHT("00"&amp;VALUE(MID(Sync!$AH1361,FIND(":",Sync!$AH1361)+1,2)),2),"0000"))))</f>
        <v/>
      </c>
    </row>
    <row r="1362">
      <c r="A1362">
        <f>IF(OR(Calc!$E1365="",Calc!$E1365="نامعتبر",Calc!$G1365="",Calc!$I1365&lt;&gt;"خرید"),"",Calc!$G1365)</f>
        <v/>
      </c>
      <c r="B1362">
        <f>IF($A1362="","",LEFT(Calc!$E1365,4)&amp;MID(Calc!$E1365,6,2)&amp;RIGHT(Calc!$E1365,2)&amp;Calc!$R1365&amp;"|"&amp;"1"&amp;RIGHT("00000"&amp;1357,5))</f>
        <v/>
      </c>
      <c r="C1362">
        <f>IF($B1362="","",COUNTIFS(LdgPartyA,$A1362,LdgKeyA,"&lt;"&amp;$B1362)+COUNTIFS(LdgPartyB,$A1362,LdgKeyB,"&lt;"&amp;$B1362)+1)</f>
        <v/>
      </c>
      <c r="D1362">
        <f>IF($C1362="","",$A1362&amp;"|"&amp;RIGHT("000000"&amp;$C1362,6))</f>
        <v/>
      </c>
      <c r="F1362">
        <f>IF(Sync!$AJ1362="","",Sync!$AJ1362)</f>
        <v/>
      </c>
      <c r="G1362">
        <f>IF($F1362="","",IF(Sync!$AG1362="","",IF(ISNUMBER(Sync!$AG1362),IF(AND(Sync!$AG1362&gt;=10000101,Sync!$AG1362&lt;=99991231),INT(Sync!$AG1362/10000),""),IFERROR(VALUE(TRIM(LEFT(Sync!$AG1362,FIND("/",Sync!$AG1362)-1))),""))))</f>
        <v/>
      </c>
      <c r="H1362">
        <f>IF(OR($F1362="",$G1362=""),"",IF(ISNUMBER(Sync!$AG1362),INT(MOD(Sync!$AG1362,10000)/100),IFERROR(VALUE(TRIM(LEFT(MID(Sync!$AG1362,FIND("/",Sync!$AG1362)+1,20),FIND("/",MID(Sync!$AG1362,FIND("/",Sync!$AG1362)+1,20))-1))),"")))</f>
        <v/>
      </c>
      <c r="I1362">
        <f>IF(OR($F1362="",$G1362=""),"",IF(ISNUMBER(Sync!$AG1362),MOD(Sync!$AG1362,100),IFERROR(VALUE(TRIM(MID(MID(Sync!$AG1362,FIND("/",Sync!$AG1362)+1,20),FIND("/",MID(Sync!$AG1362,FIND("/",Sync!$AG1362)+1,20))+1,20))),"")))</f>
        <v/>
      </c>
      <c r="J1362">
        <f>IF($F1362="","",IF(OR($G1362="",$H1362="",$I1362="",$G1362&lt;1300,$G1362&gt;1500,$H1362&lt;1,$H1362&gt;12,$I1362&lt;1,$I1362&gt;31),"نامعتبر",RIGHT("0000"&amp;$G1362,4)&amp;"/"&amp;RIGHT("00"&amp;$H1362,2)&amp;"/"&amp;RIGHT("00"&amp;$I1362,2)))</f>
        <v/>
      </c>
      <c r="K1362">
        <f>IF(OR($F1362="",$J1362="",$J1362="نامعتبر"),"",LEFT($J1362,4)&amp;MID($J1362,6,2)&amp;RIGHT($J1362,2)&amp;$N1362&amp;"|"&amp;"2"&amp;RIGHT("00000"&amp;1357,5))</f>
        <v/>
      </c>
      <c r="L1362">
        <f>IF($K1362="","",COUNTIFS(LdgPartyA,$F1362,LdgKeyA,"&lt;"&amp;$K1362)+COUNTIFS(LdgPartyB,$F1362,LdgKeyB,"&lt;"&amp;$K1362)+1)</f>
        <v/>
      </c>
      <c r="M1362">
        <f>IF($L1362="","",$F1362&amp;"|"&amp;RIGHT("000000"&amp;$L1362,6))</f>
        <v/>
      </c>
      <c r="N1362">
        <f>IF($F1362="","",IF(Sync!$AH1362="","0000",IF(AND(ISNUMBER(Sync!$AH1362),Sync!$AH1362&gt;=0,Sync!$AH1362&lt;1),RIGHT("00"&amp;HOUR(Sync!$AH1362),2)&amp;RIGHT("00"&amp;MINUTE(Sync!$AH1362),2),IFERROR(RIGHT("00"&amp;VALUE(LEFT(Sync!$AH1362,FIND(":",Sync!$AH1362)-1)),2)&amp;RIGHT("00"&amp;VALUE(MID(Sync!$AH1362,FIND(":",Sync!$AH1362)+1,2)),2),"0000"))))</f>
        <v/>
      </c>
    </row>
    <row r="1363">
      <c r="A1363">
        <f>IF(OR(Calc!$E1366="",Calc!$E1366="نامعتبر",Calc!$G1366="",Calc!$I1366&lt;&gt;"خرید"),"",Calc!$G1366)</f>
        <v/>
      </c>
      <c r="B1363">
        <f>IF($A1363="","",LEFT(Calc!$E1366,4)&amp;MID(Calc!$E1366,6,2)&amp;RIGHT(Calc!$E1366,2)&amp;Calc!$R1366&amp;"|"&amp;"1"&amp;RIGHT("00000"&amp;1358,5))</f>
        <v/>
      </c>
      <c r="C1363">
        <f>IF($B1363="","",COUNTIFS(LdgPartyA,$A1363,LdgKeyA,"&lt;"&amp;$B1363)+COUNTIFS(LdgPartyB,$A1363,LdgKeyB,"&lt;"&amp;$B1363)+1)</f>
        <v/>
      </c>
      <c r="D1363">
        <f>IF($C1363="","",$A1363&amp;"|"&amp;RIGHT("000000"&amp;$C1363,6))</f>
        <v/>
      </c>
      <c r="F1363">
        <f>IF(Sync!$AJ1363="","",Sync!$AJ1363)</f>
        <v/>
      </c>
      <c r="G1363">
        <f>IF($F1363="","",IF(Sync!$AG1363="","",IF(ISNUMBER(Sync!$AG1363),IF(AND(Sync!$AG1363&gt;=10000101,Sync!$AG1363&lt;=99991231),INT(Sync!$AG1363/10000),""),IFERROR(VALUE(TRIM(LEFT(Sync!$AG1363,FIND("/",Sync!$AG1363)-1))),""))))</f>
        <v/>
      </c>
      <c r="H1363">
        <f>IF(OR($F1363="",$G1363=""),"",IF(ISNUMBER(Sync!$AG1363),INT(MOD(Sync!$AG1363,10000)/100),IFERROR(VALUE(TRIM(LEFT(MID(Sync!$AG1363,FIND("/",Sync!$AG1363)+1,20),FIND("/",MID(Sync!$AG1363,FIND("/",Sync!$AG1363)+1,20))-1))),"")))</f>
        <v/>
      </c>
      <c r="I1363">
        <f>IF(OR($F1363="",$G1363=""),"",IF(ISNUMBER(Sync!$AG1363),MOD(Sync!$AG1363,100),IFERROR(VALUE(TRIM(MID(MID(Sync!$AG1363,FIND("/",Sync!$AG1363)+1,20),FIND("/",MID(Sync!$AG1363,FIND("/",Sync!$AG1363)+1,20))+1,20))),"")))</f>
        <v/>
      </c>
      <c r="J1363">
        <f>IF($F1363="","",IF(OR($G1363="",$H1363="",$I1363="",$G1363&lt;1300,$G1363&gt;1500,$H1363&lt;1,$H1363&gt;12,$I1363&lt;1,$I1363&gt;31),"نامعتبر",RIGHT("0000"&amp;$G1363,4)&amp;"/"&amp;RIGHT("00"&amp;$H1363,2)&amp;"/"&amp;RIGHT("00"&amp;$I1363,2)))</f>
        <v/>
      </c>
      <c r="K1363">
        <f>IF(OR($F1363="",$J1363="",$J1363="نامعتبر"),"",LEFT($J1363,4)&amp;MID($J1363,6,2)&amp;RIGHT($J1363,2)&amp;$N1363&amp;"|"&amp;"2"&amp;RIGHT("00000"&amp;1358,5))</f>
        <v/>
      </c>
      <c r="L1363">
        <f>IF($K1363="","",COUNTIFS(LdgPartyA,$F1363,LdgKeyA,"&lt;"&amp;$K1363)+COUNTIFS(LdgPartyB,$F1363,LdgKeyB,"&lt;"&amp;$K1363)+1)</f>
        <v/>
      </c>
      <c r="M1363">
        <f>IF($L1363="","",$F1363&amp;"|"&amp;RIGHT("000000"&amp;$L1363,6))</f>
        <v/>
      </c>
      <c r="N1363">
        <f>IF($F1363="","",IF(Sync!$AH1363="","0000",IF(AND(ISNUMBER(Sync!$AH1363),Sync!$AH1363&gt;=0,Sync!$AH1363&lt;1),RIGHT("00"&amp;HOUR(Sync!$AH1363),2)&amp;RIGHT("00"&amp;MINUTE(Sync!$AH1363),2),IFERROR(RIGHT("00"&amp;VALUE(LEFT(Sync!$AH1363,FIND(":",Sync!$AH1363)-1)),2)&amp;RIGHT("00"&amp;VALUE(MID(Sync!$AH1363,FIND(":",Sync!$AH1363)+1,2)),2),"0000"))))</f>
        <v/>
      </c>
    </row>
    <row r="1364">
      <c r="A1364">
        <f>IF(OR(Calc!$E1367="",Calc!$E1367="نامعتبر",Calc!$G1367="",Calc!$I1367&lt;&gt;"خرید"),"",Calc!$G1367)</f>
        <v/>
      </c>
      <c r="B1364">
        <f>IF($A1364="","",LEFT(Calc!$E1367,4)&amp;MID(Calc!$E1367,6,2)&amp;RIGHT(Calc!$E1367,2)&amp;Calc!$R1367&amp;"|"&amp;"1"&amp;RIGHT("00000"&amp;1359,5))</f>
        <v/>
      </c>
      <c r="C1364">
        <f>IF($B1364="","",COUNTIFS(LdgPartyA,$A1364,LdgKeyA,"&lt;"&amp;$B1364)+COUNTIFS(LdgPartyB,$A1364,LdgKeyB,"&lt;"&amp;$B1364)+1)</f>
        <v/>
      </c>
      <c r="D1364">
        <f>IF($C1364="","",$A1364&amp;"|"&amp;RIGHT("000000"&amp;$C1364,6))</f>
        <v/>
      </c>
      <c r="F1364">
        <f>IF(Sync!$AJ1364="","",Sync!$AJ1364)</f>
        <v/>
      </c>
      <c r="G1364">
        <f>IF($F1364="","",IF(Sync!$AG1364="","",IF(ISNUMBER(Sync!$AG1364),IF(AND(Sync!$AG1364&gt;=10000101,Sync!$AG1364&lt;=99991231),INT(Sync!$AG1364/10000),""),IFERROR(VALUE(TRIM(LEFT(Sync!$AG1364,FIND("/",Sync!$AG1364)-1))),""))))</f>
        <v/>
      </c>
      <c r="H1364">
        <f>IF(OR($F1364="",$G1364=""),"",IF(ISNUMBER(Sync!$AG1364),INT(MOD(Sync!$AG1364,10000)/100),IFERROR(VALUE(TRIM(LEFT(MID(Sync!$AG1364,FIND("/",Sync!$AG1364)+1,20),FIND("/",MID(Sync!$AG1364,FIND("/",Sync!$AG1364)+1,20))-1))),"")))</f>
        <v/>
      </c>
      <c r="I1364">
        <f>IF(OR($F1364="",$G1364=""),"",IF(ISNUMBER(Sync!$AG1364),MOD(Sync!$AG1364,100),IFERROR(VALUE(TRIM(MID(MID(Sync!$AG1364,FIND("/",Sync!$AG1364)+1,20),FIND("/",MID(Sync!$AG1364,FIND("/",Sync!$AG1364)+1,20))+1,20))),"")))</f>
        <v/>
      </c>
      <c r="J1364">
        <f>IF($F1364="","",IF(OR($G1364="",$H1364="",$I1364="",$G1364&lt;1300,$G1364&gt;1500,$H1364&lt;1,$H1364&gt;12,$I1364&lt;1,$I1364&gt;31),"نامعتبر",RIGHT("0000"&amp;$G1364,4)&amp;"/"&amp;RIGHT("00"&amp;$H1364,2)&amp;"/"&amp;RIGHT("00"&amp;$I1364,2)))</f>
        <v/>
      </c>
      <c r="K1364">
        <f>IF(OR($F1364="",$J1364="",$J1364="نامعتبر"),"",LEFT($J1364,4)&amp;MID($J1364,6,2)&amp;RIGHT($J1364,2)&amp;$N1364&amp;"|"&amp;"2"&amp;RIGHT("00000"&amp;1359,5))</f>
        <v/>
      </c>
      <c r="L1364">
        <f>IF($K1364="","",COUNTIFS(LdgPartyA,$F1364,LdgKeyA,"&lt;"&amp;$K1364)+COUNTIFS(LdgPartyB,$F1364,LdgKeyB,"&lt;"&amp;$K1364)+1)</f>
        <v/>
      </c>
      <c r="M1364">
        <f>IF($L1364="","",$F1364&amp;"|"&amp;RIGHT("000000"&amp;$L1364,6))</f>
        <v/>
      </c>
      <c r="N1364">
        <f>IF($F1364="","",IF(Sync!$AH1364="","0000",IF(AND(ISNUMBER(Sync!$AH1364),Sync!$AH1364&gt;=0,Sync!$AH1364&lt;1),RIGHT("00"&amp;HOUR(Sync!$AH1364),2)&amp;RIGHT("00"&amp;MINUTE(Sync!$AH1364),2),IFERROR(RIGHT("00"&amp;VALUE(LEFT(Sync!$AH1364,FIND(":",Sync!$AH1364)-1)),2)&amp;RIGHT("00"&amp;VALUE(MID(Sync!$AH1364,FIND(":",Sync!$AH1364)+1,2)),2),"0000"))))</f>
        <v/>
      </c>
    </row>
    <row r="1365">
      <c r="A1365">
        <f>IF(OR(Calc!$E1368="",Calc!$E1368="نامعتبر",Calc!$G1368="",Calc!$I1368&lt;&gt;"خرید"),"",Calc!$G1368)</f>
        <v/>
      </c>
      <c r="B1365">
        <f>IF($A1365="","",LEFT(Calc!$E1368,4)&amp;MID(Calc!$E1368,6,2)&amp;RIGHT(Calc!$E1368,2)&amp;Calc!$R1368&amp;"|"&amp;"1"&amp;RIGHT("00000"&amp;1360,5))</f>
        <v/>
      </c>
      <c r="C1365">
        <f>IF($B1365="","",COUNTIFS(LdgPartyA,$A1365,LdgKeyA,"&lt;"&amp;$B1365)+COUNTIFS(LdgPartyB,$A1365,LdgKeyB,"&lt;"&amp;$B1365)+1)</f>
        <v/>
      </c>
      <c r="D1365">
        <f>IF($C1365="","",$A1365&amp;"|"&amp;RIGHT("000000"&amp;$C1365,6))</f>
        <v/>
      </c>
      <c r="F1365">
        <f>IF(Sync!$AJ1365="","",Sync!$AJ1365)</f>
        <v/>
      </c>
      <c r="G1365">
        <f>IF($F1365="","",IF(Sync!$AG1365="","",IF(ISNUMBER(Sync!$AG1365),IF(AND(Sync!$AG1365&gt;=10000101,Sync!$AG1365&lt;=99991231),INT(Sync!$AG1365/10000),""),IFERROR(VALUE(TRIM(LEFT(Sync!$AG1365,FIND("/",Sync!$AG1365)-1))),""))))</f>
        <v/>
      </c>
      <c r="H1365">
        <f>IF(OR($F1365="",$G1365=""),"",IF(ISNUMBER(Sync!$AG1365),INT(MOD(Sync!$AG1365,10000)/100),IFERROR(VALUE(TRIM(LEFT(MID(Sync!$AG1365,FIND("/",Sync!$AG1365)+1,20),FIND("/",MID(Sync!$AG1365,FIND("/",Sync!$AG1365)+1,20))-1))),"")))</f>
        <v/>
      </c>
      <c r="I1365">
        <f>IF(OR($F1365="",$G1365=""),"",IF(ISNUMBER(Sync!$AG1365),MOD(Sync!$AG1365,100),IFERROR(VALUE(TRIM(MID(MID(Sync!$AG1365,FIND("/",Sync!$AG1365)+1,20),FIND("/",MID(Sync!$AG1365,FIND("/",Sync!$AG1365)+1,20))+1,20))),"")))</f>
        <v/>
      </c>
      <c r="J1365">
        <f>IF($F1365="","",IF(OR($G1365="",$H1365="",$I1365="",$G1365&lt;1300,$G1365&gt;1500,$H1365&lt;1,$H1365&gt;12,$I1365&lt;1,$I1365&gt;31),"نامعتبر",RIGHT("0000"&amp;$G1365,4)&amp;"/"&amp;RIGHT("00"&amp;$H1365,2)&amp;"/"&amp;RIGHT("00"&amp;$I1365,2)))</f>
        <v/>
      </c>
      <c r="K1365">
        <f>IF(OR($F1365="",$J1365="",$J1365="نامعتبر"),"",LEFT($J1365,4)&amp;MID($J1365,6,2)&amp;RIGHT($J1365,2)&amp;$N1365&amp;"|"&amp;"2"&amp;RIGHT("00000"&amp;1360,5))</f>
        <v/>
      </c>
      <c r="L1365">
        <f>IF($K1365="","",COUNTIFS(LdgPartyA,$F1365,LdgKeyA,"&lt;"&amp;$K1365)+COUNTIFS(LdgPartyB,$F1365,LdgKeyB,"&lt;"&amp;$K1365)+1)</f>
        <v/>
      </c>
      <c r="M1365">
        <f>IF($L1365="","",$F1365&amp;"|"&amp;RIGHT("000000"&amp;$L1365,6))</f>
        <v/>
      </c>
      <c r="N1365">
        <f>IF($F1365="","",IF(Sync!$AH1365="","0000",IF(AND(ISNUMBER(Sync!$AH1365),Sync!$AH1365&gt;=0,Sync!$AH1365&lt;1),RIGHT("00"&amp;HOUR(Sync!$AH1365),2)&amp;RIGHT("00"&amp;MINUTE(Sync!$AH1365),2),IFERROR(RIGHT("00"&amp;VALUE(LEFT(Sync!$AH1365,FIND(":",Sync!$AH1365)-1)),2)&amp;RIGHT("00"&amp;VALUE(MID(Sync!$AH1365,FIND(":",Sync!$AH1365)+1,2)),2),"0000"))))</f>
        <v/>
      </c>
    </row>
    <row r="1366">
      <c r="A1366">
        <f>IF(OR(Calc!$E1369="",Calc!$E1369="نامعتبر",Calc!$G1369="",Calc!$I1369&lt;&gt;"خرید"),"",Calc!$G1369)</f>
        <v/>
      </c>
      <c r="B1366">
        <f>IF($A1366="","",LEFT(Calc!$E1369,4)&amp;MID(Calc!$E1369,6,2)&amp;RIGHT(Calc!$E1369,2)&amp;Calc!$R1369&amp;"|"&amp;"1"&amp;RIGHT("00000"&amp;1361,5))</f>
        <v/>
      </c>
      <c r="C1366">
        <f>IF($B1366="","",COUNTIFS(LdgPartyA,$A1366,LdgKeyA,"&lt;"&amp;$B1366)+COUNTIFS(LdgPartyB,$A1366,LdgKeyB,"&lt;"&amp;$B1366)+1)</f>
        <v/>
      </c>
      <c r="D1366">
        <f>IF($C1366="","",$A1366&amp;"|"&amp;RIGHT("000000"&amp;$C1366,6))</f>
        <v/>
      </c>
      <c r="F1366">
        <f>IF(Sync!$AJ1366="","",Sync!$AJ1366)</f>
        <v/>
      </c>
      <c r="G1366">
        <f>IF($F1366="","",IF(Sync!$AG1366="","",IF(ISNUMBER(Sync!$AG1366),IF(AND(Sync!$AG1366&gt;=10000101,Sync!$AG1366&lt;=99991231),INT(Sync!$AG1366/10000),""),IFERROR(VALUE(TRIM(LEFT(Sync!$AG1366,FIND("/",Sync!$AG1366)-1))),""))))</f>
        <v/>
      </c>
      <c r="H1366">
        <f>IF(OR($F1366="",$G1366=""),"",IF(ISNUMBER(Sync!$AG1366),INT(MOD(Sync!$AG1366,10000)/100),IFERROR(VALUE(TRIM(LEFT(MID(Sync!$AG1366,FIND("/",Sync!$AG1366)+1,20),FIND("/",MID(Sync!$AG1366,FIND("/",Sync!$AG1366)+1,20))-1))),"")))</f>
        <v/>
      </c>
      <c r="I1366">
        <f>IF(OR($F1366="",$G1366=""),"",IF(ISNUMBER(Sync!$AG1366),MOD(Sync!$AG1366,100),IFERROR(VALUE(TRIM(MID(MID(Sync!$AG1366,FIND("/",Sync!$AG1366)+1,20),FIND("/",MID(Sync!$AG1366,FIND("/",Sync!$AG1366)+1,20))+1,20))),"")))</f>
        <v/>
      </c>
      <c r="J1366">
        <f>IF($F1366="","",IF(OR($G1366="",$H1366="",$I1366="",$G1366&lt;1300,$G1366&gt;1500,$H1366&lt;1,$H1366&gt;12,$I1366&lt;1,$I1366&gt;31),"نامعتبر",RIGHT("0000"&amp;$G1366,4)&amp;"/"&amp;RIGHT("00"&amp;$H1366,2)&amp;"/"&amp;RIGHT("00"&amp;$I1366,2)))</f>
        <v/>
      </c>
      <c r="K1366">
        <f>IF(OR($F1366="",$J1366="",$J1366="نامعتبر"),"",LEFT($J1366,4)&amp;MID($J1366,6,2)&amp;RIGHT($J1366,2)&amp;$N1366&amp;"|"&amp;"2"&amp;RIGHT("00000"&amp;1361,5))</f>
        <v/>
      </c>
      <c r="L1366">
        <f>IF($K1366="","",COUNTIFS(LdgPartyA,$F1366,LdgKeyA,"&lt;"&amp;$K1366)+COUNTIFS(LdgPartyB,$F1366,LdgKeyB,"&lt;"&amp;$K1366)+1)</f>
        <v/>
      </c>
      <c r="M1366">
        <f>IF($L1366="","",$F1366&amp;"|"&amp;RIGHT("000000"&amp;$L1366,6))</f>
        <v/>
      </c>
      <c r="N1366">
        <f>IF($F1366="","",IF(Sync!$AH1366="","0000",IF(AND(ISNUMBER(Sync!$AH1366),Sync!$AH1366&gt;=0,Sync!$AH1366&lt;1),RIGHT("00"&amp;HOUR(Sync!$AH1366),2)&amp;RIGHT("00"&amp;MINUTE(Sync!$AH1366),2),IFERROR(RIGHT("00"&amp;VALUE(LEFT(Sync!$AH1366,FIND(":",Sync!$AH1366)-1)),2)&amp;RIGHT("00"&amp;VALUE(MID(Sync!$AH1366,FIND(":",Sync!$AH1366)+1,2)),2),"0000"))))</f>
        <v/>
      </c>
    </row>
    <row r="1367">
      <c r="A1367">
        <f>IF(OR(Calc!$E1370="",Calc!$E1370="نامعتبر",Calc!$G1370="",Calc!$I1370&lt;&gt;"خرید"),"",Calc!$G1370)</f>
        <v/>
      </c>
      <c r="B1367">
        <f>IF($A1367="","",LEFT(Calc!$E1370,4)&amp;MID(Calc!$E1370,6,2)&amp;RIGHT(Calc!$E1370,2)&amp;Calc!$R1370&amp;"|"&amp;"1"&amp;RIGHT("00000"&amp;1362,5))</f>
        <v/>
      </c>
      <c r="C1367">
        <f>IF($B1367="","",COUNTIFS(LdgPartyA,$A1367,LdgKeyA,"&lt;"&amp;$B1367)+COUNTIFS(LdgPartyB,$A1367,LdgKeyB,"&lt;"&amp;$B1367)+1)</f>
        <v/>
      </c>
      <c r="D1367">
        <f>IF($C1367="","",$A1367&amp;"|"&amp;RIGHT("000000"&amp;$C1367,6))</f>
        <v/>
      </c>
      <c r="F1367">
        <f>IF(Sync!$AJ1367="","",Sync!$AJ1367)</f>
        <v/>
      </c>
      <c r="G1367">
        <f>IF($F1367="","",IF(Sync!$AG1367="","",IF(ISNUMBER(Sync!$AG1367),IF(AND(Sync!$AG1367&gt;=10000101,Sync!$AG1367&lt;=99991231),INT(Sync!$AG1367/10000),""),IFERROR(VALUE(TRIM(LEFT(Sync!$AG1367,FIND("/",Sync!$AG1367)-1))),""))))</f>
        <v/>
      </c>
      <c r="H1367">
        <f>IF(OR($F1367="",$G1367=""),"",IF(ISNUMBER(Sync!$AG1367),INT(MOD(Sync!$AG1367,10000)/100),IFERROR(VALUE(TRIM(LEFT(MID(Sync!$AG1367,FIND("/",Sync!$AG1367)+1,20),FIND("/",MID(Sync!$AG1367,FIND("/",Sync!$AG1367)+1,20))-1))),"")))</f>
        <v/>
      </c>
      <c r="I1367">
        <f>IF(OR($F1367="",$G1367=""),"",IF(ISNUMBER(Sync!$AG1367),MOD(Sync!$AG1367,100),IFERROR(VALUE(TRIM(MID(MID(Sync!$AG1367,FIND("/",Sync!$AG1367)+1,20),FIND("/",MID(Sync!$AG1367,FIND("/",Sync!$AG1367)+1,20))+1,20))),"")))</f>
        <v/>
      </c>
      <c r="J1367">
        <f>IF($F1367="","",IF(OR($G1367="",$H1367="",$I1367="",$G1367&lt;1300,$G1367&gt;1500,$H1367&lt;1,$H1367&gt;12,$I1367&lt;1,$I1367&gt;31),"نامعتبر",RIGHT("0000"&amp;$G1367,4)&amp;"/"&amp;RIGHT("00"&amp;$H1367,2)&amp;"/"&amp;RIGHT("00"&amp;$I1367,2)))</f>
        <v/>
      </c>
      <c r="K1367">
        <f>IF(OR($F1367="",$J1367="",$J1367="نامعتبر"),"",LEFT($J1367,4)&amp;MID($J1367,6,2)&amp;RIGHT($J1367,2)&amp;$N1367&amp;"|"&amp;"2"&amp;RIGHT("00000"&amp;1362,5))</f>
        <v/>
      </c>
      <c r="L1367">
        <f>IF($K1367="","",COUNTIFS(LdgPartyA,$F1367,LdgKeyA,"&lt;"&amp;$K1367)+COUNTIFS(LdgPartyB,$F1367,LdgKeyB,"&lt;"&amp;$K1367)+1)</f>
        <v/>
      </c>
      <c r="M1367">
        <f>IF($L1367="","",$F1367&amp;"|"&amp;RIGHT("000000"&amp;$L1367,6))</f>
        <v/>
      </c>
      <c r="N1367">
        <f>IF($F1367="","",IF(Sync!$AH1367="","0000",IF(AND(ISNUMBER(Sync!$AH1367),Sync!$AH1367&gt;=0,Sync!$AH1367&lt;1),RIGHT("00"&amp;HOUR(Sync!$AH1367),2)&amp;RIGHT("00"&amp;MINUTE(Sync!$AH1367),2),IFERROR(RIGHT("00"&amp;VALUE(LEFT(Sync!$AH1367,FIND(":",Sync!$AH1367)-1)),2)&amp;RIGHT("00"&amp;VALUE(MID(Sync!$AH1367,FIND(":",Sync!$AH1367)+1,2)),2),"0000"))))</f>
        <v/>
      </c>
    </row>
    <row r="1368">
      <c r="A1368">
        <f>IF(OR(Calc!$E1371="",Calc!$E1371="نامعتبر",Calc!$G1371="",Calc!$I1371&lt;&gt;"خرید"),"",Calc!$G1371)</f>
        <v/>
      </c>
      <c r="B1368">
        <f>IF($A1368="","",LEFT(Calc!$E1371,4)&amp;MID(Calc!$E1371,6,2)&amp;RIGHT(Calc!$E1371,2)&amp;Calc!$R1371&amp;"|"&amp;"1"&amp;RIGHT("00000"&amp;1363,5))</f>
        <v/>
      </c>
      <c r="C1368">
        <f>IF($B1368="","",COUNTIFS(LdgPartyA,$A1368,LdgKeyA,"&lt;"&amp;$B1368)+COUNTIFS(LdgPartyB,$A1368,LdgKeyB,"&lt;"&amp;$B1368)+1)</f>
        <v/>
      </c>
      <c r="D1368">
        <f>IF($C1368="","",$A1368&amp;"|"&amp;RIGHT("000000"&amp;$C1368,6))</f>
        <v/>
      </c>
      <c r="F1368">
        <f>IF(Sync!$AJ1368="","",Sync!$AJ1368)</f>
        <v/>
      </c>
      <c r="G1368">
        <f>IF($F1368="","",IF(Sync!$AG1368="","",IF(ISNUMBER(Sync!$AG1368),IF(AND(Sync!$AG1368&gt;=10000101,Sync!$AG1368&lt;=99991231),INT(Sync!$AG1368/10000),""),IFERROR(VALUE(TRIM(LEFT(Sync!$AG1368,FIND("/",Sync!$AG1368)-1))),""))))</f>
        <v/>
      </c>
      <c r="H1368">
        <f>IF(OR($F1368="",$G1368=""),"",IF(ISNUMBER(Sync!$AG1368),INT(MOD(Sync!$AG1368,10000)/100),IFERROR(VALUE(TRIM(LEFT(MID(Sync!$AG1368,FIND("/",Sync!$AG1368)+1,20),FIND("/",MID(Sync!$AG1368,FIND("/",Sync!$AG1368)+1,20))-1))),"")))</f>
        <v/>
      </c>
      <c r="I1368">
        <f>IF(OR($F1368="",$G1368=""),"",IF(ISNUMBER(Sync!$AG1368),MOD(Sync!$AG1368,100),IFERROR(VALUE(TRIM(MID(MID(Sync!$AG1368,FIND("/",Sync!$AG1368)+1,20),FIND("/",MID(Sync!$AG1368,FIND("/",Sync!$AG1368)+1,20))+1,20))),"")))</f>
        <v/>
      </c>
      <c r="J1368">
        <f>IF($F1368="","",IF(OR($G1368="",$H1368="",$I1368="",$G1368&lt;1300,$G1368&gt;1500,$H1368&lt;1,$H1368&gt;12,$I1368&lt;1,$I1368&gt;31),"نامعتبر",RIGHT("0000"&amp;$G1368,4)&amp;"/"&amp;RIGHT("00"&amp;$H1368,2)&amp;"/"&amp;RIGHT("00"&amp;$I1368,2)))</f>
        <v/>
      </c>
      <c r="K1368">
        <f>IF(OR($F1368="",$J1368="",$J1368="نامعتبر"),"",LEFT($J1368,4)&amp;MID($J1368,6,2)&amp;RIGHT($J1368,2)&amp;$N1368&amp;"|"&amp;"2"&amp;RIGHT("00000"&amp;1363,5))</f>
        <v/>
      </c>
      <c r="L1368">
        <f>IF($K1368="","",COUNTIFS(LdgPartyA,$F1368,LdgKeyA,"&lt;"&amp;$K1368)+COUNTIFS(LdgPartyB,$F1368,LdgKeyB,"&lt;"&amp;$K1368)+1)</f>
        <v/>
      </c>
      <c r="M1368">
        <f>IF($L1368="","",$F1368&amp;"|"&amp;RIGHT("000000"&amp;$L1368,6))</f>
        <v/>
      </c>
      <c r="N1368">
        <f>IF($F1368="","",IF(Sync!$AH1368="","0000",IF(AND(ISNUMBER(Sync!$AH1368),Sync!$AH1368&gt;=0,Sync!$AH1368&lt;1),RIGHT("00"&amp;HOUR(Sync!$AH1368),2)&amp;RIGHT("00"&amp;MINUTE(Sync!$AH1368),2),IFERROR(RIGHT("00"&amp;VALUE(LEFT(Sync!$AH1368,FIND(":",Sync!$AH1368)-1)),2)&amp;RIGHT("00"&amp;VALUE(MID(Sync!$AH1368,FIND(":",Sync!$AH1368)+1,2)),2),"0000"))))</f>
        <v/>
      </c>
    </row>
    <row r="1369">
      <c r="A1369">
        <f>IF(OR(Calc!$E1372="",Calc!$E1372="نامعتبر",Calc!$G1372="",Calc!$I1372&lt;&gt;"خرید"),"",Calc!$G1372)</f>
        <v/>
      </c>
      <c r="B1369">
        <f>IF($A1369="","",LEFT(Calc!$E1372,4)&amp;MID(Calc!$E1372,6,2)&amp;RIGHT(Calc!$E1372,2)&amp;Calc!$R1372&amp;"|"&amp;"1"&amp;RIGHT("00000"&amp;1364,5))</f>
        <v/>
      </c>
      <c r="C1369">
        <f>IF($B1369="","",COUNTIFS(LdgPartyA,$A1369,LdgKeyA,"&lt;"&amp;$B1369)+COUNTIFS(LdgPartyB,$A1369,LdgKeyB,"&lt;"&amp;$B1369)+1)</f>
        <v/>
      </c>
      <c r="D1369">
        <f>IF($C1369="","",$A1369&amp;"|"&amp;RIGHT("000000"&amp;$C1369,6))</f>
        <v/>
      </c>
      <c r="F1369">
        <f>IF(Sync!$AJ1369="","",Sync!$AJ1369)</f>
        <v/>
      </c>
      <c r="G1369">
        <f>IF($F1369="","",IF(Sync!$AG1369="","",IF(ISNUMBER(Sync!$AG1369),IF(AND(Sync!$AG1369&gt;=10000101,Sync!$AG1369&lt;=99991231),INT(Sync!$AG1369/10000),""),IFERROR(VALUE(TRIM(LEFT(Sync!$AG1369,FIND("/",Sync!$AG1369)-1))),""))))</f>
        <v/>
      </c>
      <c r="H1369">
        <f>IF(OR($F1369="",$G1369=""),"",IF(ISNUMBER(Sync!$AG1369),INT(MOD(Sync!$AG1369,10000)/100),IFERROR(VALUE(TRIM(LEFT(MID(Sync!$AG1369,FIND("/",Sync!$AG1369)+1,20),FIND("/",MID(Sync!$AG1369,FIND("/",Sync!$AG1369)+1,20))-1))),"")))</f>
        <v/>
      </c>
      <c r="I1369">
        <f>IF(OR($F1369="",$G1369=""),"",IF(ISNUMBER(Sync!$AG1369),MOD(Sync!$AG1369,100),IFERROR(VALUE(TRIM(MID(MID(Sync!$AG1369,FIND("/",Sync!$AG1369)+1,20),FIND("/",MID(Sync!$AG1369,FIND("/",Sync!$AG1369)+1,20))+1,20))),"")))</f>
        <v/>
      </c>
      <c r="J1369">
        <f>IF($F1369="","",IF(OR($G1369="",$H1369="",$I1369="",$G1369&lt;1300,$G1369&gt;1500,$H1369&lt;1,$H1369&gt;12,$I1369&lt;1,$I1369&gt;31),"نامعتبر",RIGHT("0000"&amp;$G1369,4)&amp;"/"&amp;RIGHT("00"&amp;$H1369,2)&amp;"/"&amp;RIGHT("00"&amp;$I1369,2)))</f>
        <v/>
      </c>
      <c r="K1369">
        <f>IF(OR($F1369="",$J1369="",$J1369="نامعتبر"),"",LEFT($J1369,4)&amp;MID($J1369,6,2)&amp;RIGHT($J1369,2)&amp;$N1369&amp;"|"&amp;"2"&amp;RIGHT("00000"&amp;1364,5))</f>
        <v/>
      </c>
      <c r="L1369">
        <f>IF($K1369="","",COUNTIFS(LdgPartyA,$F1369,LdgKeyA,"&lt;"&amp;$K1369)+COUNTIFS(LdgPartyB,$F1369,LdgKeyB,"&lt;"&amp;$K1369)+1)</f>
        <v/>
      </c>
      <c r="M1369">
        <f>IF($L1369="","",$F1369&amp;"|"&amp;RIGHT("000000"&amp;$L1369,6))</f>
        <v/>
      </c>
      <c r="N1369">
        <f>IF($F1369="","",IF(Sync!$AH1369="","0000",IF(AND(ISNUMBER(Sync!$AH1369),Sync!$AH1369&gt;=0,Sync!$AH1369&lt;1),RIGHT("00"&amp;HOUR(Sync!$AH1369),2)&amp;RIGHT("00"&amp;MINUTE(Sync!$AH1369),2),IFERROR(RIGHT("00"&amp;VALUE(LEFT(Sync!$AH1369,FIND(":",Sync!$AH1369)-1)),2)&amp;RIGHT("00"&amp;VALUE(MID(Sync!$AH1369,FIND(":",Sync!$AH1369)+1,2)),2),"0000"))))</f>
        <v/>
      </c>
    </row>
    <row r="1370">
      <c r="A1370">
        <f>IF(OR(Calc!$E1373="",Calc!$E1373="نامعتبر",Calc!$G1373="",Calc!$I1373&lt;&gt;"خرید"),"",Calc!$G1373)</f>
        <v/>
      </c>
      <c r="B1370">
        <f>IF($A1370="","",LEFT(Calc!$E1373,4)&amp;MID(Calc!$E1373,6,2)&amp;RIGHT(Calc!$E1373,2)&amp;Calc!$R1373&amp;"|"&amp;"1"&amp;RIGHT("00000"&amp;1365,5))</f>
        <v/>
      </c>
      <c r="C1370">
        <f>IF($B1370="","",COUNTIFS(LdgPartyA,$A1370,LdgKeyA,"&lt;"&amp;$B1370)+COUNTIFS(LdgPartyB,$A1370,LdgKeyB,"&lt;"&amp;$B1370)+1)</f>
        <v/>
      </c>
      <c r="D1370">
        <f>IF($C1370="","",$A1370&amp;"|"&amp;RIGHT("000000"&amp;$C1370,6))</f>
        <v/>
      </c>
      <c r="F1370">
        <f>IF(Sync!$AJ1370="","",Sync!$AJ1370)</f>
        <v/>
      </c>
      <c r="G1370">
        <f>IF($F1370="","",IF(Sync!$AG1370="","",IF(ISNUMBER(Sync!$AG1370),IF(AND(Sync!$AG1370&gt;=10000101,Sync!$AG1370&lt;=99991231),INT(Sync!$AG1370/10000),""),IFERROR(VALUE(TRIM(LEFT(Sync!$AG1370,FIND("/",Sync!$AG1370)-1))),""))))</f>
        <v/>
      </c>
      <c r="H1370">
        <f>IF(OR($F1370="",$G1370=""),"",IF(ISNUMBER(Sync!$AG1370),INT(MOD(Sync!$AG1370,10000)/100),IFERROR(VALUE(TRIM(LEFT(MID(Sync!$AG1370,FIND("/",Sync!$AG1370)+1,20),FIND("/",MID(Sync!$AG1370,FIND("/",Sync!$AG1370)+1,20))-1))),"")))</f>
        <v/>
      </c>
      <c r="I1370">
        <f>IF(OR($F1370="",$G1370=""),"",IF(ISNUMBER(Sync!$AG1370),MOD(Sync!$AG1370,100),IFERROR(VALUE(TRIM(MID(MID(Sync!$AG1370,FIND("/",Sync!$AG1370)+1,20),FIND("/",MID(Sync!$AG1370,FIND("/",Sync!$AG1370)+1,20))+1,20))),"")))</f>
        <v/>
      </c>
      <c r="J1370">
        <f>IF($F1370="","",IF(OR($G1370="",$H1370="",$I1370="",$G1370&lt;1300,$G1370&gt;1500,$H1370&lt;1,$H1370&gt;12,$I1370&lt;1,$I1370&gt;31),"نامعتبر",RIGHT("0000"&amp;$G1370,4)&amp;"/"&amp;RIGHT("00"&amp;$H1370,2)&amp;"/"&amp;RIGHT("00"&amp;$I1370,2)))</f>
        <v/>
      </c>
      <c r="K1370">
        <f>IF(OR($F1370="",$J1370="",$J1370="نامعتبر"),"",LEFT($J1370,4)&amp;MID($J1370,6,2)&amp;RIGHT($J1370,2)&amp;$N1370&amp;"|"&amp;"2"&amp;RIGHT("00000"&amp;1365,5))</f>
        <v/>
      </c>
      <c r="L1370">
        <f>IF($K1370="","",COUNTIFS(LdgPartyA,$F1370,LdgKeyA,"&lt;"&amp;$K1370)+COUNTIFS(LdgPartyB,$F1370,LdgKeyB,"&lt;"&amp;$K1370)+1)</f>
        <v/>
      </c>
      <c r="M1370">
        <f>IF($L1370="","",$F1370&amp;"|"&amp;RIGHT("000000"&amp;$L1370,6))</f>
        <v/>
      </c>
      <c r="N1370">
        <f>IF($F1370="","",IF(Sync!$AH1370="","0000",IF(AND(ISNUMBER(Sync!$AH1370),Sync!$AH1370&gt;=0,Sync!$AH1370&lt;1),RIGHT("00"&amp;HOUR(Sync!$AH1370),2)&amp;RIGHT("00"&amp;MINUTE(Sync!$AH1370),2),IFERROR(RIGHT("00"&amp;VALUE(LEFT(Sync!$AH1370,FIND(":",Sync!$AH1370)-1)),2)&amp;RIGHT("00"&amp;VALUE(MID(Sync!$AH1370,FIND(":",Sync!$AH1370)+1,2)),2),"0000"))))</f>
        <v/>
      </c>
    </row>
    <row r="1371">
      <c r="A1371">
        <f>IF(OR(Calc!$E1374="",Calc!$E1374="نامعتبر",Calc!$G1374="",Calc!$I1374&lt;&gt;"خرید"),"",Calc!$G1374)</f>
        <v/>
      </c>
      <c r="B1371">
        <f>IF($A1371="","",LEFT(Calc!$E1374,4)&amp;MID(Calc!$E1374,6,2)&amp;RIGHT(Calc!$E1374,2)&amp;Calc!$R1374&amp;"|"&amp;"1"&amp;RIGHT("00000"&amp;1366,5))</f>
        <v/>
      </c>
      <c r="C1371">
        <f>IF($B1371="","",COUNTIFS(LdgPartyA,$A1371,LdgKeyA,"&lt;"&amp;$B1371)+COUNTIFS(LdgPartyB,$A1371,LdgKeyB,"&lt;"&amp;$B1371)+1)</f>
        <v/>
      </c>
      <c r="D1371">
        <f>IF($C1371="","",$A1371&amp;"|"&amp;RIGHT("000000"&amp;$C1371,6))</f>
        <v/>
      </c>
      <c r="F1371">
        <f>IF(Sync!$AJ1371="","",Sync!$AJ1371)</f>
        <v/>
      </c>
      <c r="G1371">
        <f>IF($F1371="","",IF(Sync!$AG1371="","",IF(ISNUMBER(Sync!$AG1371),IF(AND(Sync!$AG1371&gt;=10000101,Sync!$AG1371&lt;=99991231),INT(Sync!$AG1371/10000),""),IFERROR(VALUE(TRIM(LEFT(Sync!$AG1371,FIND("/",Sync!$AG1371)-1))),""))))</f>
        <v/>
      </c>
      <c r="H1371">
        <f>IF(OR($F1371="",$G1371=""),"",IF(ISNUMBER(Sync!$AG1371),INT(MOD(Sync!$AG1371,10000)/100),IFERROR(VALUE(TRIM(LEFT(MID(Sync!$AG1371,FIND("/",Sync!$AG1371)+1,20),FIND("/",MID(Sync!$AG1371,FIND("/",Sync!$AG1371)+1,20))-1))),"")))</f>
        <v/>
      </c>
      <c r="I1371">
        <f>IF(OR($F1371="",$G1371=""),"",IF(ISNUMBER(Sync!$AG1371),MOD(Sync!$AG1371,100),IFERROR(VALUE(TRIM(MID(MID(Sync!$AG1371,FIND("/",Sync!$AG1371)+1,20),FIND("/",MID(Sync!$AG1371,FIND("/",Sync!$AG1371)+1,20))+1,20))),"")))</f>
        <v/>
      </c>
      <c r="J1371">
        <f>IF($F1371="","",IF(OR($G1371="",$H1371="",$I1371="",$G1371&lt;1300,$G1371&gt;1500,$H1371&lt;1,$H1371&gt;12,$I1371&lt;1,$I1371&gt;31),"نامعتبر",RIGHT("0000"&amp;$G1371,4)&amp;"/"&amp;RIGHT("00"&amp;$H1371,2)&amp;"/"&amp;RIGHT("00"&amp;$I1371,2)))</f>
        <v/>
      </c>
      <c r="K1371">
        <f>IF(OR($F1371="",$J1371="",$J1371="نامعتبر"),"",LEFT($J1371,4)&amp;MID($J1371,6,2)&amp;RIGHT($J1371,2)&amp;$N1371&amp;"|"&amp;"2"&amp;RIGHT("00000"&amp;1366,5))</f>
        <v/>
      </c>
      <c r="L1371">
        <f>IF($K1371="","",COUNTIFS(LdgPartyA,$F1371,LdgKeyA,"&lt;"&amp;$K1371)+COUNTIFS(LdgPartyB,$F1371,LdgKeyB,"&lt;"&amp;$K1371)+1)</f>
        <v/>
      </c>
      <c r="M1371">
        <f>IF($L1371="","",$F1371&amp;"|"&amp;RIGHT("000000"&amp;$L1371,6))</f>
        <v/>
      </c>
      <c r="N1371">
        <f>IF($F1371="","",IF(Sync!$AH1371="","0000",IF(AND(ISNUMBER(Sync!$AH1371),Sync!$AH1371&gt;=0,Sync!$AH1371&lt;1),RIGHT("00"&amp;HOUR(Sync!$AH1371),2)&amp;RIGHT("00"&amp;MINUTE(Sync!$AH1371),2),IFERROR(RIGHT("00"&amp;VALUE(LEFT(Sync!$AH1371,FIND(":",Sync!$AH1371)-1)),2)&amp;RIGHT("00"&amp;VALUE(MID(Sync!$AH1371,FIND(":",Sync!$AH1371)+1,2)),2),"0000"))))</f>
        <v/>
      </c>
    </row>
    <row r="1372">
      <c r="A1372">
        <f>IF(OR(Calc!$E1375="",Calc!$E1375="نامعتبر",Calc!$G1375="",Calc!$I1375&lt;&gt;"خرید"),"",Calc!$G1375)</f>
        <v/>
      </c>
      <c r="B1372">
        <f>IF($A1372="","",LEFT(Calc!$E1375,4)&amp;MID(Calc!$E1375,6,2)&amp;RIGHT(Calc!$E1375,2)&amp;Calc!$R1375&amp;"|"&amp;"1"&amp;RIGHT("00000"&amp;1367,5))</f>
        <v/>
      </c>
      <c r="C1372">
        <f>IF($B1372="","",COUNTIFS(LdgPartyA,$A1372,LdgKeyA,"&lt;"&amp;$B1372)+COUNTIFS(LdgPartyB,$A1372,LdgKeyB,"&lt;"&amp;$B1372)+1)</f>
        <v/>
      </c>
      <c r="D1372">
        <f>IF($C1372="","",$A1372&amp;"|"&amp;RIGHT("000000"&amp;$C1372,6))</f>
        <v/>
      </c>
      <c r="F1372">
        <f>IF(Sync!$AJ1372="","",Sync!$AJ1372)</f>
        <v/>
      </c>
      <c r="G1372">
        <f>IF($F1372="","",IF(Sync!$AG1372="","",IF(ISNUMBER(Sync!$AG1372),IF(AND(Sync!$AG1372&gt;=10000101,Sync!$AG1372&lt;=99991231),INT(Sync!$AG1372/10000),""),IFERROR(VALUE(TRIM(LEFT(Sync!$AG1372,FIND("/",Sync!$AG1372)-1))),""))))</f>
        <v/>
      </c>
      <c r="H1372">
        <f>IF(OR($F1372="",$G1372=""),"",IF(ISNUMBER(Sync!$AG1372),INT(MOD(Sync!$AG1372,10000)/100),IFERROR(VALUE(TRIM(LEFT(MID(Sync!$AG1372,FIND("/",Sync!$AG1372)+1,20),FIND("/",MID(Sync!$AG1372,FIND("/",Sync!$AG1372)+1,20))-1))),"")))</f>
        <v/>
      </c>
      <c r="I1372">
        <f>IF(OR($F1372="",$G1372=""),"",IF(ISNUMBER(Sync!$AG1372),MOD(Sync!$AG1372,100),IFERROR(VALUE(TRIM(MID(MID(Sync!$AG1372,FIND("/",Sync!$AG1372)+1,20),FIND("/",MID(Sync!$AG1372,FIND("/",Sync!$AG1372)+1,20))+1,20))),"")))</f>
        <v/>
      </c>
      <c r="J1372">
        <f>IF($F1372="","",IF(OR($G1372="",$H1372="",$I1372="",$G1372&lt;1300,$G1372&gt;1500,$H1372&lt;1,$H1372&gt;12,$I1372&lt;1,$I1372&gt;31),"نامعتبر",RIGHT("0000"&amp;$G1372,4)&amp;"/"&amp;RIGHT("00"&amp;$H1372,2)&amp;"/"&amp;RIGHT("00"&amp;$I1372,2)))</f>
        <v/>
      </c>
      <c r="K1372">
        <f>IF(OR($F1372="",$J1372="",$J1372="نامعتبر"),"",LEFT($J1372,4)&amp;MID($J1372,6,2)&amp;RIGHT($J1372,2)&amp;$N1372&amp;"|"&amp;"2"&amp;RIGHT("00000"&amp;1367,5))</f>
        <v/>
      </c>
      <c r="L1372">
        <f>IF($K1372="","",COUNTIFS(LdgPartyA,$F1372,LdgKeyA,"&lt;"&amp;$K1372)+COUNTIFS(LdgPartyB,$F1372,LdgKeyB,"&lt;"&amp;$K1372)+1)</f>
        <v/>
      </c>
      <c r="M1372">
        <f>IF($L1372="","",$F1372&amp;"|"&amp;RIGHT("000000"&amp;$L1372,6))</f>
        <v/>
      </c>
      <c r="N1372">
        <f>IF($F1372="","",IF(Sync!$AH1372="","0000",IF(AND(ISNUMBER(Sync!$AH1372),Sync!$AH1372&gt;=0,Sync!$AH1372&lt;1),RIGHT("00"&amp;HOUR(Sync!$AH1372),2)&amp;RIGHT("00"&amp;MINUTE(Sync!$AH1372),2),IFERROR(RIGHT("00"&amp;VALUE(LEFT(Sync!$AH1372,FIND(":",Sync!$AH1372)-1)),2)&amp;RIGHT("00"&amp;VALUE(MID(Sync!$AH1372,FIND(":",Sync!$AH1372)+1,2)),2),"0000"))))</f>
        <v/>
      </c>
    </row>
    <row r="1373">
      <c r="A1373">
        <f>IF(OR(Calc!$E1376="",Calc!$E1376="نامعتبر",Calc!$G1376="",Calc!$I1376&lt;&gt;"خرید"),"",Calc!$G1376)</f>
        <v/>
      </c>
      <c r="B1373">
        <f>IF($A1373="","",LEFT(Calc!$E1376,4)&amp;MID(Calc!$E1376,6,2)&amp;RIGHT(Calc!$E1376,2)&amp;Calc!$R1376&amp;"|"&amp;"1"&amp;RIGHT("00000"&amp;1368,5))</f>
        <v/>
      </c>
      <c r="C1373">
        <f>IF($B1373="","",COUNTIFS(LdgPartyA,$A1373,LdgKeyA,"&lt;"&amp;$B1373)+COUNTIFS(LdgPartyB,$A1373,LdgKeyB,"&lt;"&amp;$B1373)+1)</f>
        <v/>
      </c>
      <c r="D1373">
        <f>IF($C1373="","",$A1373&amp;"|"&amp;RIGHT("000000"&amp;$C1373,6))</f>
        <v/>
      </c>
      <c r="F1373">
        <f>IF(Sync!$AJ1373="","",Sync!$AJ1373)</f>
        <v/>
      </c>
      <c r="G1373">
        <f>IF($F1373="","",IF(Sync!$AG1373="","",IF(ISNUMBER(Sync!$AG1373),IF(AND(Sync!$AG1373&gt;=10000101,Sync!$AG1373&lt;=99991231),INT(Sync!$AG1373/10000),""),IFERROR(VALUE(TRIM(LEFT(Sync!$AG1373,FIND("/",Sync!$AG1373)-1))),""))))</f>
        <v/>
      </c>
      <c r="H1373">
        <f>IF(OR($F1373="",$G1373=""),"",IF(ISNUMBER(Sync!$AG1373),INT(MOD(Sync!$AG1373,10000)/100),IFERROR(VALUE(TRIM(LEFT(MID(Sync!$AG1373,FIND("/",Sync!$AG1373)+1,20),FIND("/",MID(Sync!$AG1373,FIND("/",Sync!$AG1373)+1,20))-1))),"")))</f>
        <v/>
      </c>
      <c r="I1373">
        <f>IF(OR($F1373="",$G1373=""),"",IF(ISNUMBER(Sync!$AG1373),MOD(Sync!$AG1373,100),IFERROR(VALUE(TRIM(MID(MID(Sync!$AG1373,FIND("/",Sync!$AG1373)+1,20),FIND("/",MID(Sync!$AG1373,FIND("/",Sync!$AG1373)+1,20))+1,20))),"")))</f>
        <v/>
      </c>
      <c r="J1373">
        <f>IF($F1373="","",IF(OR($G1373="",$H1373="",$I1373="",$G1373&lt;1300,$G1373&gt;1500,$H1373&lt;1,$H1373&gt;12,$I1373&lt;1,$I1373&gt;31),"نامعتبر",RIGHT("0000"&amp;$G1373,4)&amp;"/"&amp;RIGHT("00"&amp;$H1373,2)&amp;"/"&amp;RIGHT("00"&amp;$I1373,2)))</f>
        <v/>
      </c>
      <c r="K1373">
        <f>IF(OR($F1373="",$J1373="",$J1373="نامعتبر"),"",LEFT($J1373,4)&amp;MID($J1373,6,2)&amp;RIGHT($J1373,2)&amp;$N1373&amp;"|"&amp;"2"&amp;RIGHT("00000"&amp;1368,5))</f>
        <v/>
      </c>
      <c r="L1373">
        <f>IF($K1373="","",COUNTIFS(LdgPartyA,$F1373,LdgKeyA,"&lt;"&amp;$K1373)+COUNTIFS(LdgPartyB,$F1373,LdgKeyB,"&lt;"&amp;$K1373)+1)</f>
        <v/>
      </c>
      <c r="M1373">
        <f>IF($L1373="","",$F1373&amp;"|"&amp;RIGHT("000000"&amp;$L1373,6))</f>
        <v/>
      </c>
      <c r="N1373">
        <f>IF($F1373="","",IF(Sync!$AH1373="","0000",IF(AND(ISNUMBER(Sync!$AH1373),Sync!$AH1373&gt;=0,Sync!$AH1373&lt;1),RIGHT("00"&amp;HOUR(Sync!$AH1373),2)&amp;RIGHT("00"&amp;MINUTE(Sync!$AH1373),2),IFERROR(RIGHT("00"&amp;VALUE(LEFT(Sync!$AH1373,FIND(":",Sync!$AH1373)-1)),2)&amp;RIGHT("00"&amp;VALUE(MID(Sync!$AH1373,FIND(":",Sync!$AH1373)+1,2)),2),"0000"))))</f>
        <v/>
      </c>
    </row>
    <row r="1374">
      <c r="A1374">
        <f>IF(OR(Calc!$E1377="",Calc!$E1377="نامعتبر",Calc!$G1377="",Calc!$I1377&lt;&gt;"خرید"),"",Calc!$G1377)</f>
        <v/>
      </c>
      <c r="B1374">
        <f>IF($A1374="","",LEFT(Calc!$E1377,4)&amp;MID(Calc!$E1377,6,2)&amp;RIGHT(Calc!$E1377,2)&amp;Calc!$R1377&amp;"|"&amp;"1"&amp;RIGHT("00000"&amp;1369,5))</f>
        <v/>
      </c>
      <c r="C1374">
        <f>IF($B1374="","",COUNTIFS(LdgPartyA,$A1374,LdgKeyA,"&lt;"&amp;$B1374)+COUNTIFS(LdgPartyB,$A1374,LdgKeyB,"&lt;"&amp;$B1374)+1)</f>
        <v/>
      </c>
      <c r="D1374">
        <f>IF($C1374="","",$A1374&amp;"|"&amp;RIGHT("000000"&amp;$C1374,6))</f>
        <v/>
      </c>
      <c r="F1374">
        <f>IF(Sync!$AJ1374="","",Sync!$AJ1374)</f>
        <v/>
      </c>
      <c r="G1374">
        <f>IF($F1374="","",IF(Sync!$AG1374="","",IF(ISNUMBER(Sync!$AG1374),IF(AND(Sync!$AG1374&gt;=10000101,Sync!$AG1374&lt;=99991231),INT(Sync!$AG1374/10000),""),IFERROR(VALUE(TRIM(LEFT(Sync!$AG1374,FIND("/",Sync!$AG1374)-1))),""))))</f>
        <v/>
      </c>
      <c r="H1374">
        <f>IF(OR($F1374="",$G1374=""),"",IF(ISNUMBER(Sync!$AG1374),INT(MOD(Sync!$AG1374,10000)/100),IFERROR(VALUE(TRIM(LEFT(MID(Sync!$AG1374,FIND("/",Sync!$AG1374)+1,20),FIND("/",MID(Sync!$AG1374,FIND("/",Sync!$AG1374)+1,20))-1))),"")))</f>
        <v/>
      </c>
      <c r="I1374">
        <f>IF(OR($F1374="",$G1374=""),"",IF(ISNUMBER(Sync!$AG1374),MOD(Sync!$AG1374,100),IFERROR(VALUE(TRIM(MID(MID(Sync!$AG1374,FIND("/",Sync!$AG1374)+1,20),FIND("/",MID(Sync!$AG1374,FIND("/",Sync!$AG1374)+1,20))+1,20))),"")))</f>
        <v/>
      </c>
      <c r="J1374">
        <f>IF($F1374="","",IF(OR($G1374="",$H1374="",$I1374="",$G1374&lt;1300,$G1374&gt;1500,$H1374&lt;1,$H1374&gt;12,$I1374&lt;1,$I1374&gt;31),"نامعتبر",RIGHT("0000"&amp;$G1374,4)&amp;"/"&amp;RIGHT("00"&amp;$H1374,2)&amp;"/"&amp;RIGHT("00"&amp;$I1374,2)))</f>
        <v/>
      </c>
      <c r="K1374">
        <f>IF(OR($F1374="",$J1374="",$J1374="نامعتبر"),"",LEFT($J1374,4)&amp;MID($J1374,6,2)&amp;RIGHT($J1374,2)&amp;$N1374&amp;"|"&amp;"2"&amp;RIGHT("00000"&amp;1369,5))</f>
        <v/>
      </c>
      <c r="L1374">
        <f>IF($K1374="","",COUNTIFS(LdgPartyA,$F1374,LdgKeyA,"&lt;"&amp;$K1374)+COUNTIFS(LdgPartyB,$F1374,LdgKeyB,"&lt;"&amp;$K1374)+1)</f>
        <v/>
      </c>
      <c r="M1374">
        <f>IF($L1374="","",$F1374&amp;"|"&amp;RIGHT("000000"&amp;$L1374,6))</f>
        <v/>
      </c>
      <c r="N1374">
        <f>IF($F1374="","",IF(Sync!$AH1374="","0000",IF(AND(ISNUMBER(Sync!$AH1374),Sync!$AH1374&gt;=0,Sync!$AH1374&lt;1),RIGHT("00"&amp;HOUR(Sync!$AH1374),2)&amp;RIGHT("00"&amp;MINUTE(Sync!$AH1374),2),IFERROR(RIGHT("00"&amp;VALUE(LEFT(Sync!$AH1374,FIND(":",Sync!$AH1374)-1)),2)&amp;RIGHT("00"&amp;VALUE(MID(Sync!$AH1374,FIND(":",Sync!$AH1374)+1,2)),2),"0000"))))</f>
        <v/>
      </c>
    </row>
    <row r="1375">
      <c r="A1375">
        <f>IF(OR(Calc!$E1378="",Calc!$E1378="نامعتبر",Calc!$G1378="",Calc!$I1378&lt;&gt;"خرید"),"",Calc!$G1378)</f>
        <v/>
      </c>
      <c r="B1375">
        <f>IF($A1375="","",LEFT(Calc!$E1378,4)&amp;MID(Calc!$E1378,6,2)&amp;RIGHT(Calc!$E1378,2)&amp;Calc!$R1378&amp;"|"&amp;"1"&amp;RIGHT("00000"&amp;1370,5))</f>
        <v/>
      </c>
      <c r="C1375">
        <f>IF($B1375="","",COUNTIFS(LdgPartyA,$A1375,LdgKeyA,"&lt;"&amp;$B1375)+COUNTIFS(LdgPartyB,$A1375,LdgKeyB,"&lt;"&amp;$B1375)+1)</f>
        <v/>
      </c>
      <c r="D1375">
        <f>IF($C1375="","",$A1375&amp;"|"&amp;RIGHT("000000"&amp;$C1375,6))</f>
        <v/>
      </c>
      <c r="F1375">
        <f>IF(Sync!$AJ1375="","",Sync!$AJ1375)</f>
        <v/>
      </c>
      <c r="G1375">
        <f>IF($F1375="","",IF(Sync!$AG1375="","",IF(ISNUMBER(Sync!$AG1375),IF(AND(Sync!$AG1375&gt;=10000101,Sync!$AG1375&lt;=99991231),INT(Sync!$AG1375/10000),""),IFERROR(VALUE(TRIM(LEFT(Sync!$AG1375,FIND("/",Sync!$AG1375)-1))),""))))</f>
        <v/>
      </c>
      <c r="H1375">
        <f>IF(OR($F1375="",$G1375=""),"",IF(ISNUMBER(Sync!$AG1375),INT(MOD(Sync!$AG1375,10000)/100),IFERROR(VALUE(TRIM(LEFT(MID(Sync!$AG1375,FIND("/",Sync!$AG1375)+1,20),FIND("/",MID(Sync!$AG1375,FIND("/",Sync!$AG1375)+1,20))-1))),"")))</f>
        <v/>
      </c>
      <c r="I1375">
        <f>IF(OR($F1375="",$G1375=""),"",IF(ISNUMBER(Sync!$AG1375),MOD(Sync!$AG1375,100),IFERROR(VALUE(TRIM(MID(MID(Sync!$AG1375,FIND("/",Sync!$AG1375)+1,20),FIND("/",MID(Sync!$AG1375,FIND("/",Sync!$AG1375)+1,20))+1,20))),"")))</f>
        <v/>
      </c>
      <c r="J1375">
        <f>IF($F1375="","",IF(OR($G1375="",$H1375="",$I1375="",$G1375&lt;1300,$G1375&gt;1500,$H1375&lt;1,$H1375&gt;12,$I1375&lt;1,$I1375&gt;31),"نامعتبر",RIGHT("0000"&amp;$G1375,4)&amp;"/"&amp;RIGHT("00"&amp;$H1375,2)&amp;"/"&amp;RIGHT("00"&amp;$I1375,2)))</f>
        <v/>
      </c>
      <c r="K1375">
        <f>IF(OR($F1375="",$J1375="",$J1375="نامعتبر"),"",LEFT($J1375,4)&amp;MID($J1375,6,2)&amp;RIGHT($J1375,2)&amp;$N1375&amp;"|"&amp;"2"&amp;RIGHT("00000"&amp;1370,5))</f>
        <v/>
      </c>
      <c r="L1375">
        <f>IF($K1375="","",COUNTIFS(LdgPartyA,$F1375,LdgKeyA,"&lt;"&amp;$K1375)+COUNTIFS(LdgPartyB,$F1375,LdgKeyB,"&lt;"&amp;$K1375)+1)</f>
        <v/>
      </c>
      <c r="M1375">
        <f>IF($L1375="","",$F1375&amp;"|"&amp;RIGHT("000000"&amp;$L1375,6))</f>
        <v/>
      </c>
      <c r="N1375">
        <f>IF($F1375="","",IF(Sync!$AH1375="","0000",IF(AND(ISNUMBER(Sync!$AH1375),Sync!$AH1375&gt;=0,Sync!$AH1375&lt;1),RIGHT("00"&amp;HOUR(Sync!$AH1375),2)&amp;RIGHT("00"&amp;MINUTE(Sync!$AH1375),2),IFERROR(RIGHT("00"&amp;VALUE(LEFT(Sync!$AH1375,FIND(":",Sync!$AH1375)-1)),2)&amp;RIGHT("00"&amp;VALUE(MID(Sync!$AH1375,FIND(":",Sync!$AH1375)+1,2)),2),"0000"))))</f>
        <v/>
      </c>
    </row>
    <row r="1376">
      <c r="A1376">
        <f>IF(OR(Calc!$E1379="",Calc!$E1379="نامعتبر",Calc!$G1379="",Calc!$I1379&lt;&gt;"خرید"),"",Calc!$G1379)</f>
        <v/>
      </c>
      <c r="B1376">
        <f>IF($A1376="","",LEFT(Calc!$E1379,4)&amp;MID(Calc!$E1379,6,2)&amp;RIGHT(Calc!$E1379,2)&amp;Calc!$R1379&amp;"|"&amp;"1"&amp;RIGHT("00000"&amp;1371,5))</f>
        <v/>
      </c>
      <c r="C1376">
        <f>IF($B1376="","",COUNTIFS(LdgPartyA,$A1376,LdgKeyA,"&lt;"&amp;$B1376)+COUNTIFS(LdgPartyB,$A1376,LdgKeyB,"&lt;"&amp;$B1376)+1)</f>
        <v/>
      </c>
      <c r="D1376">
        <f>IF($C1376="","",$A1376&amp;"|"&amp;RIGHT("000000"&amp;$C1376,6))</f>
        <v/>
      </c>
      <c r="F1376">
        <f>IF(Sync!$AJ1376="","",Sync!$AJ1376)</f>
        <v/>
      </c>
      <c r="G1376">
        <f>IF($F1376="","",IF(Sync!$AG1376="","",IF(ISNUMBER(Sync!$AG1376),IF(AND(Sync!$AG1376&gt;=10000101,Sync!$AG1376&lt;=99991231),INT(Sync!$AG1376/10000),""),IFERROR(VALUE(TRIM(LEFT(Sync!$AG1376,FIND("/",Sync!$AG1376)-1))),""))))</f>
        <v/>
      </c>
      <c r="H1376">
        <f>IF(OR($F1376="",$G1376=""),"",IF(ISNUMBER(Sync!$AG1376),INT(MOD(Sync!$AG1376,10000)/100),IFERROR(VALUE(TRIM(LEFT(MID(Sync!$AG1376,FIND("/",Sync!$AG1376)+1,20),FIND("/",MID(Sync!$AG1376,FIND("/",Sync!$AG1376)+1,20))-1))),"")))</f>
        <v/>
      </c>
      <c r="I1376">
        <f>IF(OR($F1376="",$G1376=""),"",IF(ISNUMBER(Sync!$AG1376),MOD(Sync!$AG1376,100),IFERROR(VALUE(TRIM(MID(MID(Sync!$AG1376,FIND("/",Sync!$AG1376)+1,20),FIND("/",MID(Sync!$AG1376,FIND("/",Sync!$AG1376)+1,20))+1,20))),"")))</f>
        <v/>
      </c>
      <c r="J1376">
        <f>IF($F1376="","",IF(OR($G1376="",$H1376="",$I1376="",$G1376&lt;1300,$G1376&gt;1500,$H1376&lt;1,$H1376&gt;12,$I1376&lt;1,$I1376&gt;31),"نامعتبر",RIGHT("0000"&amp;$G1376,4)&amp;"/"&amp;RIGHT("00"&amp;$H1376,2)&amp;"/"&amp;RIGHT("00"&amp;$I1376,2)))</f>
        <v/>
      </c>
      <c r="K1376">
        <f>IF(OR($F1376="",$J1376="",$J1376="نامعتبر"),"",LEFT($J1376,4)&amp;MID($J1376,6,2)&amp;RIGHT($J1376,2)&amp;$N1376&amp;"|"&amp;"2"&amp;RIGHT("00000"&amp;1371,5))</f>
        <v/>
      </c>
      <c r="L1376">
        <f>IF($K1376="","",COUNTIFS(LdgPartyA,$F1376,LdgKeyA,"&lt;"&amp;$K1376)+COUNTIFS(LdgPartyB,$F1376,LdgKeyB,"&lt;"&amp;$K1376)+1)</f>
        <v/>
      </c>
      <c r="M1376">
        <f>IF($L1376="","",$F1376&amp;"|"&amp;RIGHT("000000"&amp;$L1376,6))</f>
        <v/>
      </c>
      <c r="N1376">
        <f>IF($F1376="","",IF(Sync!$AH1376="","0000",IF(AND(ISNUMBER(Sync!$AH1376),Sync!$AH1376&gt;=0,Sync!$AH1376&lt;1),RIGHT("00"&amp;HOUR(Sync!$AH1376),2)&amp;RIGHT("00"&amp;MINUTE(Sync!$AH1376),2),IFERROR(RIGHT("00"&amp;VALUE(LEFT(Sync!$AH1376,FIND(":",Sync!$AH1376)-1)),2)&amp;RIGHT("00"&amp;VALUE(MID(Sync!$AH1376,FIND(":",Sync!$AH1376)+1,2)),2),"0000"))))</f>
        <v/>
      </c>
    </row>
    <row r="1377">
      <c r="A1377">
        <f>IF(OR(Calc!$E1380="",Calc!$E1380="نامعتبر",Calc!$G1380="",Calc!$I1380&lt;&gt;"خرید"),"",Calc!$G1380)</f>
        <v/>
      </c>
      <c r="B1377">
        <f>IF($A1377="","",LEFT(Calc!$E1380,4)&amp;MID(Calc!$E1380,6,2)&amp;RIGHT(Calc!$E1380,2)&amp;Calc!$R1380&amp;"|"&amp;"1"&amp;RIGHT("00000"&amp;1372,5))</f>
        <v/>
      </c>
      <c r="C1377">
        <f>IF($B1377="","",COUNTIFS(LdgPartyA,$A1377,LdgKeyA,"&lt;"&amp;$B1377)+COUNTIFS(LdgPartyB,$A1377,LdgKeyB,"&lt;"&amp;$B1377)+1)</f>
        <v/>
      </c>
      <c r="D1377">
        <f>IF($C1377="","",$A1377&amp;"|"&amp;RIGHT("000000"&amp;$C1377,6))</f>
        <v/>
      </c>
      <c r="F1377">
        <f>IF(Sync!$AJ1377="","",Sync!$AJ1377)</f>
        <v/>
      </c>
      <c r="G1377">
        <f>IF($F1377="","",IF(Sync!$AG1377="","",IF(ISNUMBER(Sync!$AG1377),IF(AND(Sync!$AG1377&gt;=10000101,Sync!$AG1377&lt;=99991231),INT(Sync!$AG1377/10000),""),IFERROR(VALUE(TRIM(LEFT(Sync!$AG1377,FIND("/",Sync!$AG1377)-1))),""))))</f>
        <v/>
      </c>
      <c r="H1377">
        <f>IF(OR($F1377="",$G1377=""),"",IF(ISNUMBER(Sync!$AG1377),INT(MOD(Sync!$AG1377,10000)/100),IFERROR(VALUE(TRIM(LEFT(MID(Sync!$AG1377,FIND("/",Sync!$AG1377)+1,20),FIND("/",MID(Sync!$AG1377,FIND("/",Sync!$AG1377)+1,20))-1))),"")))</f>
        <v/>
      </c>
      <c r="I1377">
        <f>IF(OR($F1377="",$G1377=""),"",IF(ISNUMBER(Sync!$AG1377),MOD(Sync!$AG1377,100),IFERROR(VALUE(TRIM(MID(MID(Sync!$AG1377,FIND("/",Sync!$AG1377)+1,20),FIND("/",MID(Sync!$AG1377,FIND("/",Sync!$AG1377)+1,20))+1,20))),"")))</f>
        <v/>
      </c>
      <c r="J1377">
        <f>IF($F1377="","",IF(OR($G1377="",$H1377="",$I1377="",$G1377&lt;1300,$G1377&gt;1500,$H1377&lt;1,$H1377&gt;12,$I1377&lt;1,$I1377&gt;31),"نامعتبر",RIGHT("0000"&amp;$G1377,4)&amp;"/"&amp;RIGHT("00"&amp;$H1377,2)&amp;"/"&amp;RIGHT("00"&amp;$I1377,2)))</f>
        <v/>
      </c>
      <c r="K1377">
        <f>IF(OR($F1377="",$J1377="",$J1377="نامعتبر"),"",LEFT($J1377,4)&amp;MID($J1377,6,2)&amp;RIGHT($J1377,2)&amp;$N1377&amp;"|"&amp;"2"&amp;RIGHT("00000"&amp;1372,5))</f>
        <v/>
      </c>
      <c r="L1377">
        <f>IF($K1377="","",COUNTIFS(LdgPartyA,$F1377,LdgKeyA,"&lt;"&amp;$K1377)+COUNTIFS(LdgPartyB,$F1377,LdgKeyB,"&lt;"&amp;$K1377)+1)</f>
        <v/>
      </c>
      <c r="M1377">
        <f>IF($L1377="","",$F1377&amp;"|"&amp;RIGHT("000000"&amp;$L1377,6))</f>
        <v/>
      </c>
      <c r="N1377">
        <f>IF($F1377="","",IF(Sync!$AH1377="","0000",IF(AND(ISNUMBER(Sync!$AH1377),Sync!$AH1377&gt;=0,Sync!$AH1377&lt;1),RIGHT("00"&amp;HOUR(Sync!$AH1377),2)&amp;RIGHT("00"&amp;MINUTE(Sync!$AH1377),2),IFERROR(RIGHT("00"&amp;VALUE(LEFT(Sync!$AH1377,FIND(":",Sync!$AH1377)-1)),2)&amp;RIGHT("00"&amp;VALUE(MID(Sync!$AH1377,FIND(":",Sync!$AH1377)+1,2)),2),"0000"))))</f>
        <v/>
      </c>
    </row>
    <row r="1378">
      <c r="A1378">
        <f>IF(OR(Calc!$E1381="",Calc!$E1381="نامعتبر",Calc!$G1381="",Calc!$I1381&lt;&gt;"خرید"),"",Calc!$G1381)</f>
        <v/>
      </c>
      <c r="B1378">
        <f>IF($A1378="","",LEFT(Calc!$E1381,4)&amp;MID(Calc!$E1381,6,2)&amp;RIGHT(Calc!$E1381,2)&amp;Calc!$R1381&amp;"|"&amp;"1"&amp;RIGHT("00000"&amp;1373,5))</f>
        <v/>
      </c>
      <c r="C1378">
        <f>IF($B1378="","",COUNTIFS(LdgPartyA,$A1378,LdgKeyA,"&lt;"&amp;$B1378)+COUNTIFS(LdgPartyB,$A1378,LdgKeyB,"&lt;"&amp;$B1378)+1)</f>
        <v/>
      </c>
      <c r="D1378">
        <f>IF($C1378="","",$A1378&amp;"|"&amp;RIGHT("000000"&amp;$C1378,6))</f>
        <v/>
      </c>
      <c r="F1378">
        <f>IF(Sync!$AJ1378="","",Sync!$AJ1378)</f>
        <v/>
      </c>
      <c r="G1378">
        <f>IF($F1378="","",IF(Sync!$AG1378="","",IF(ISNUMBER(Sync!$AG1378),IF(AND(Sync!$AG1378&gt;=10000101,Sync!$AG1378&lt;=99991231),INT(Sync!$AG1378/10000),""),IFERROR(VALUE(TRIM(LEFT(Sync!$AG1378,FIND("/",Sync!$AG1378)-1))),""))))</f>
        <v/>
      </c>
      <c r="H1378">
        <f>IF(OR($F1378="",$G1378=""),"",IF(ISNUMBER(Sync!$AG1378),INT(MOD(Sync!$AG1378,10000)/100),IFERROR(VALUE(TRIM(LEFT(MID(Sync!$AG1378,FIND("/",Sync!$AG1378)+1,20),FIND("/",MID(Sync!$AG1378,FIND("/",Sync!$AG1378)+1,20))-1))),"")))</f>
        <v/>
      </c>
      <c r="I1378">
        <f>IF(OR($F1378="",$G1378=""),"",IF(ISNUMBER(Sync!$AG1378),MOD(Sync!$AG1378,100),IFERROR(VALUE(TRIM(MID(MID(Sync!$AG1378,FIND("/",Sync!$AG1378)+1,20),FIND("/",MID(Sync!$AG1378,FIND("/",Sync!$AG1378)+1,20))+1,20))),"")))</f>
        <v/>
      </c>
      <c r="J1378">
        <f>IF($F1378="","",IF(OR($G1378="",$H1378="",$I1378="",$G1378&lt;1300,$G1378&gt;1500,$H1378&lt;1,$H1378&gt;12,$I1378&lt;1,$I1378&gt;31),"نامعتبر",RIGHT("0000"&amp;$G1378,4)&amp;"/"&amp;RIGHT("00"&amp;$H1378,2)&amp;"/"&amp;RIGHT("00"&amp;$I1378,2)))</f>
        <v/>
      </c>
      <c r="K1378">
        <f>IF(OR($F1378="",$J1378="",$J1378="نامعتبر"),"",LEFT($J1378,4)&amp;MID($J1378,6,2)&amp;RIGHT($J1378,2)&amp;$N1378&amp;"|"&amp;"2"&amp;RIGHT("00000"&amp;1373,5))</f>
        <v/>
      </c>
      <c r="L1378">
        <f>IF($K1378="","",COUNTIFS(LdgPartyA,$F1378,LdgKeyA,"&lt;"&amp;$K1378)+COUNTIFS(LdgPartyB,$F1378,LdgKeyB,"&lt;"&amp;$K1378)+1)</f>
        <v/>
      </c>
      <c r="M1378">
        <f>IF($L1378="","",$F1378&amp;"|"&amp;RIGHT("000000"&amp;$L1378,6))</f>
        <v/>
      </c>
      <c r="N1378">
        <f>IF($F1378="","",IF(Sync!$AH1378="","0000",IF(AND(ISNUMBER(Sync!$AH1378),Sync!$AH1378&gt;=0,Sync!$AH1378&lt;1),RIGHT("00"&amp;HOUR(Sync!$AH1378),2)&amp;RIGHT("00"&amp;MINUTE(Sync!$AH1378),2),IFERROR(RIGHT("00"&amp;VALUE(LEFT(Sync!$AH1378,FIND(":",Sync!$AH1378)-1)),2)&amp;RIGHT("00"&amp;VALUE(MID(Sync!$AH1378,FIND(":",Sync!$AH1378)+1,2)),2),"0000"))))</f>
        <v/>
      </c>
    </row>
    <row r="1379">
      <c r="A1379">
        <f>IF(OR(Calc!$E1382="",Calc!$E1382="نامعتبر",Calc!$G1382="",Calc!$I1382&lt;&gt;"خرید"),"",Calc!$G1382)</f>
        <v/>
      </c>
      <c r="B1379">
        <f>IF($A1379="","",LEFT(Calc!$E1382,4)&amp;MID(Calc!$E1382,6,2)&amp;RIGHT(Calc!$E1382,2)&amp;Calc!$R1382&amp;"|"&amp;"1"&amp;RIGHT("00000"&amp;1374,5))</f>
        <v/>
      </c>
      <c r="C1379">
        <f>IF($B1379="","",COUNTIFS(LdgPartyA,$A1379,LdgKeyA,"&lt;"&amp;$B1379)+COUNTIFS(LdgPartyB,$A1379,LdgKeyB,"&lt;"&amp;$B1379)+1)</f>
        <v/>
      </c>
      <c r="D1379">
        <f>IF($C1379="","",$A1379&amp;"|"&amp;RIGHT("000000"&amp;$C1379,6))</f>
        <v/>
      </c>
      <c r="F1379">
        <f>IF(Sync!$AJ1379="","",Sync!$AJ1379)</f>
        <v/>
      </c>
      <c r="G1379">
        <f>IF($F1379="","",IF(Sync!$AG1379="","",IF(ISNUMBER(Sync!$AG1379),IF(AND(Sync!$AG1379&gt;=10000101,Sync!$AG1379&lt;=99991231),INT(Sync!$AG1379/10000),""),IFERROR(VALUE(TRIM(LEFT(Sync!$AG1379,FIND("/",Sync!$AG1379)-1))),""))))</f>
        <v/>
      </c>
      <c r="H1379">
        <f>IF(OR($F1379="",$G1379=""),"",IF(ISNUMBER(Sync!$AG1379),INT(MOD(Sync!$AG1379,10000)/100),IFERROR(VALUE(TRIM(LEFT(MID(Sync!$AG1379,FIND("/",Sync!$AG1379)+1,20),FIND("/",MID(Sync!$AG1379,FIND("/",Sync!$AG1379)+1,20))-1))),"")))</f>
        <v/>
      </c>
      <c r="I1379">
        <f>IF(OR($F1379="",$G1379=""),"",IF(ISNUMBER(Sync!$AG1379),MOD(Sync!$AG1379,100),IFERROR(VALUE(TRIM(MID(MID(Sync!$AG1379,FIND("/",Sync!$AG1379)+1,20),FIND("/",MID(Sync!$AG1379,FIND("/",Sync!$AG1379)+1,20))+1,20))),"")))</f>
        <v/>
      </c>
      <c r="J1379">
        <f>IF($F1379="","",IF(OR($G1379="",$H1379="",$I1379="",$G1379&lt;1300,$G1379&gt;1500,$H1379&lt;1,$H1379&gt;12,$I1379&lt;1,$I1379&gt;31),"نامعتبر",RIGHT("0000"&amp;$G1379,4)&amp;"/"&amp;RIGHT("00"&amp;$H1379,2)&amp;"/"&amp;RIGHT("00"&amp;$I1379,2)))</f>
        <v/>
      </c>
      <c r="K1379">
        <f>IF(OR($F1379="",$J1379="",$J1379="نامعتبر"),"",LEFT($J1379,4)&amp;MID($J1379,6,2)&amp;RIGHT($J1379,2)&amp;$N1379&amp;"|"&amp;"2"&amp;RIGHT("00000"&amp;1374,5))</f>
        <v/>
      </c>
      <c r="L1379">
        <f>IF($K1379="","",COUNTIFS(LdgPartyA,$F1379,LdgKeyA,"&lt;"&amp;$K1379)+COUNTIFS(LdgPartyB,$F1379,LdgKeyB,"&lt;"&amp;$K1379)+1)</f>
        <v/>
      </c>
      <c r="M1379">
        <f>IF($L1379="","",$F1379&amp;"|"&amp;RIGHT("000000"&amp;$L1379,6))</f>
        <v/>
      </c>
      <c r="N1379">
        <f>IF($F1379="","",IF(Sync!$AH1379="","0000",IF(AND(ISNUMBER(Sync!$AH1379),Sync!$AH1379&gt;=0,Sync!$AH1379&lt;1),RIGHT("00"&amp;HOUR(Sync!$AH1379),2)&amp;RIGHT("00"&amp;MINUTE(Sync!$AH1379),2),IFERROR(RIGHT("00"&amp;VALUE(LEFT(Sync!$AH1379,FIND(":",Sync!$AH1379)-1)),2)&amp;RIGHT("00"&amp;VALUE(MID(Sync!$AH1379,FIND(":",Sync!$AH1379)+1,2)),2),"0000"))))</f>
        <v/>
      </c>
    </row>
    <row r="1380">
      <c r="A1380">
        <f>IF(OR(Calc!$E1383="",Calc!$E1383="نامعتبر",Calc!$G1383="",Calc!$I1383&lt;&gt;"خرید"),"",Calc!$G1383)</f>
        <v/>
      </c>
      <c r="B1380">
        <f>IF($A1380="","",LEFT(Calc!$E1383,4)&amp;MID(Calc!$E1383,6,2)&amp;RIGHT(Calc!$E1383,2)&amp;Calc!$R1383&amp;"|"&amp;"1"&amp;RIGHT("00000"&amp;1375,5))</f>
        <v/>
      </c>
      <c r="C1380">
        <f>IF($B1380="","",COUNTIFS(LdgPartyA,$A1380,LdgKeyA,"&lt;"&amp;$B1380)+COUNTIFS(LdgPartyB,$A1380,LdgKeyB,"&lt;"&amp;$B1380)+1)</f>
        <v/>
      </c>
      <c r="D1380">
        <f>IF($C1380="","",$A1380&amp;"|"&amp;RIGHT("000000"&amp;$C1380,6))</f>
        <v/>
      </c>
      <c r="F1380">
        <f>IF(Sync!$AJ1380="","",Sync!$AJ1380)</f>
        <v/>
      </c>
      <c r="G1380">
        <f>IF($F1380="","",IF(Sync!$AG1380="","",IF(ISNUMBER(Sync!$AG1380),IF(AND(Sync!$AG1380&gt;=10000101,Sync!$AG1380&lt;=99991231),INT(Sync!$AG1380/10000),""),IFERROR(VALUE(TRIM(LEFT(Sync!$AG1380,FIND("/",Sync!$AG1380)-1))),""))))</f>
        <v/>
      </c>
      <c r="H1380">
        <f>IF(OR($F1380="",$G1380=""),"",IF(ISNUMBER(Sync!$AG1380),INT(MOD(Sync!$AG1380,10000)/100),IFERROR(VALUE(TRIM(LEFT(MID(Sync!$AG1380,FIND("/",Sync!$AG1380)+1,20),FIND("/",MID(Sync!$AG1380,FIND("/",Sync!$AG1380)+1,20))-1))),"")))</f>
        <v/>
      </c>
      <c r="I1380">
        <f>IF(OR($F1380="",$G1380=""),"",IF(ISNUMBER(Sync!$AG1380),MOD(Sync!$AG1380,100),IFERROR(VALUE(TRIM(MID(MID(Sync!$AG1380,FIND("/",Sync!$AG1380)+1,20),FIND("/",MID(Sync!$AG1380,FIND("/",Sync!$AG1380)+1,20))+1,20))),"")))</f>
        <v/>
      </c>
      <c r="J1380">
        <f>IF($F1380="","",IF(OR($G1380="",$H1380="",$I1380="",$G1380&lt;1300,$G1380&gt;1500,$H1380&lt;1,$H1380&gt;12,$I1380&lt;1,$I1380&gt;31),"نامعتبر",RIGHT("0000"&amp;$G1380,4)&amp;"/"&amp;RIGHT("00"&amp;$H1380,2)&amp;"/"&amp;RIGHT("00"&amp;$I1380,2)))</f>
        <v/>
      </c>
      <c r="K1380">
        <f>IF(OR($F1380="",$J1380="",$J1380="نامعتبر"),"",LEFT($J1380,4)&amp;MID($J1380,6,2)&amp;RIGHT($J1380,2)&amp;$N1380&amp;"|"&amp;"2"&amp;RIGHT("00000"&amp;1375,5))</f>
        <v/>
      </c>
      <c r="L1380">
        <f>IF($K1380="","",COUNTIFS(LdgPartyA,$F1380,LdgKeyA,"&lt;"&amp;$K1380)+COUNTIFS(LdgPartyB,$F1380,LdgKeyB,"&lt;"&amp;$K1380)+1)</f>
        <v/>
      </c>
      <c r="M1380">
        <f>IF($L1380="","",$F1380&amp;"|"&amp;RIGHT("000000"&amp;$L1380,6))</f>
        <v/>
      </c>
      <c r="N1380">
        <f>IF($F1380="","",IF(Sync!$AH1380="","0000",IF(AND(ISNUMBER(Sync!$AH1380),Sync!$AH1380&gt;=0,Sync!$AH1380&lt;1),RIGHT("00"&amp;HOUR(Sync!$AH1380),2)&amp;RIGHT("00"&amp;MINUTE(Sync!$AH1380),2),IFERROR(RIGHT("00"&amp;VALUE(LEFT(Sync!$AH1380,FIND(":",Sync!$AH1380)-1)),2)&amp;RIGHT("00"&amp;VALUE(MID(Sync!$AH1380,FIND(":",Sync!$AH1380)+1,2)),2),"0000"))))</f>
        <v/>
      </c>
    </row>
    <row r="1381">
      <c r="A1381">
        <f>IF(OR(Calc!$E1384="",Calc!$E1384="نامعتبر",Calc!$G1384="",Calc!$I1384&lt;&gt;"خرید"),"",Calc!$G1384)</f>
        <v/>
      </c>
      <c r="B1381">
        <f>IF($A1381="","",LEFT(Calc!$E1384,4)&amp;MID(Calc!$E1384,6,2)&amp;RIGHT(Calc!$E1384,2)&amp;Calc!$R1384&amp;"|"&amp;"1"&amp;RIGHT("00000"&amp;1376,5))</f>
        <v/>
      </c>
      <c r="C1381">
        <f>IF($B1381="","",COUNTIFS(LdgPartyA,$A1381,LdgKeyA,"&lt;"&amp;$B1381)+COUNTIFS(LdgPartyB,$A1381,LdgKeyB,"&lt;"&amp;$B1381)+1)</f>
        <v/>
      </c>
      <c r="D1381">
        <f>IF($C1381="","",$A1381&amp;"|"&amp;RIGHT("000000"&amp;$C1381,6))</f>
        <v/>
      </c>
      <c r="F1381">
        <f>IF(Sync!$AJ1381="","",Sync!$AJ1381)</f>
        <v/>
      </c>
      <c r="G1381">
        <f>IF($F1381="","",IF(Sync!$AG1381="","",IF(ISNUMBER(Sync!$AG1381),IF(AND(Sync!$AG1381&gt;=10000101,Sync!$AG1381&lt;=99991231),INT(Sync!$AG1381/10000),""),IFERROR(VALUE(TRIM(LEFT(Sync!$AG1381,FIND("/",Sync!$AG1381)-1))),""))))</f>
        <v/>
      </c>
      <c r="H1381">
        <f>IF(OR($F1381="",$G1381=""),"",IF(ISNUMBER(Sync!$AG1381),INT(MOD(Sync!$AG1381,10000)/100),IFERROR(VALUE(TRIM(LEFT(MID(Sync!$AG1381,FIND("/",Sync!$AG1381)+1,20),FIND("/",MID(Sync!$AG1381,FIND("/",Sync!$AG1381)+1,20))-1))),"")))</f>
        <v/>
      </c>
      <c r="I1381">
        <f>IF(OR($F1381="",$G1381=""),"",IF(ISNUMBER(Sync!$AG1381),MOD(Sync!$AG1381,100),IFERROR(VALUE(TRIM(MID(MID(Sync!$AG1381,FIND("/",Sync!$AG1381)+1,20),FIND("/",MID(Sync!$AG1381,FIND("/",Sync!$AG1381)+1,20))+1,20))),"")))</f>
        <v/>
      </c>
      <c r="J1381">
        <f>IF($F1381="","",IF(OR($G1381="",$H1381="",$I1381="",$G1381&lt;1300,$G1381&gt;1500,$H1381&lt;1,$H1381&gt;12,$I1381&lt;1,$I1381&gt;31),"نامعتبر",RIGHT("0000"&amp;$G1381,4)&amp;"/"&amp;RIGHT("00"&amp;$H1381,2)&amp;"/"&amp;RIGHT("00"&amp;$I1381,2)))</f>
        <v/>
      </c>
      <c r="K1381">
        <f>IF(OR($F1381="",$J1381="",$J1381="نامعتبر"),"",LEFT($J1381,4)&amp;MID($J1381,6,2)&amp;RIGHT($J1381,2)&amp;$N1381&amp;"|"&amp;"2"&amp;RIGHT("00000"&amp;1376,5))</f>
        <v/>
      </c>
      <c r="L1381">
        <f>IF($K1381="","",COUNTIFS(LdgPartyA,$F1381,LdgKeyA,"&lt;"&amp;$K1381)+COUNTIFS(LdgPartyB,$F1381,LdgKeyB,"&lt;"&amp;$K1381)+1)</f>
        <v/>
      </c>
      <c r="M1381">
        <f>IF($L1381="","",$F1381&amp;"|"&amp;RIGHT("000000"&amp;$L1381,6))</f>
        <v/>
      </c>
      <c r="N1381">
        <f>IF($F1381="","",IF(Sync!$AH1381="","0000",IF(AND(ISNUMBER(Sync!$AH1381),Sync!$AH1381&gt;=0,Sync!$AH1381&lt;1),RIGHT("00"&amp;HOUR(Sync!$AH1381),2)&amp;RIGHT("00"&amp;MINUTE(Sync!$AH1381),2),IFERROR(RIGHT("00"&amp;VALUE(LEFT(Sync!$AH1381,FIND(":",Sync!$AH1381)-1)),2)&amp;RIGHT("00"&amp;VALUE(MID(Sync!$AH1381,FIND(":",Sync!$AH1381)+1,2)),2),"0000"))))</f>
        <v/>
      </c>
    </row>
    <row r="1382">
      <c r="A1382">
        <f>IF(OR(Calc!$E1385="",Calc!$E1385="نامعتبر",Calc!$G1385="",Calc!$I1385&lt;&gt;"خرید"),"",Calc!$G1385)</f>
        <v/>
      </c>
      <c r="B1382">
        <f>IF($A1382="","",LEFT(Calc!$E1385,4)&amp;MID(Calc!$E1385,6,2)&amp;RIGHT(Calc!$E1385,2)&amp;Calc!$R1385&amp;"|"&amp;"1"&amp;RIGHT("00000"&amp;1377,5))</f>
        <v/>
      </c>
      <c r="C1382">
        <f>IF($B1382="","",COUNTIFS(LdgPartyA,$A1382,LdgKeyA,"&lt;"&amp;$B1382)+COUNTIFS(LdgPartyB,$A1382,LdgKeyB,"&lt;"&amp;$B1382)+1)</f>
        <v/>
      </c>
      <c r="D1382">
        <f>IF($C1382="","",$A1382&amp;"|"&amp;RIGHT("000000"&amp;$C1382,6))</f>
        <v/>
      </c>
      <c r="F1382">
        <f>IF(Sync!$AJ1382="","",Sync!$AJ1382)</f>
        <v/>
      </c>
      <c r="G1382">
        <f>IF($F1382="","",IF(Sync!$AG1382="","",IF(ISNUMBER(Sync!$AG1382),IF(AND(Sync!$AG1382&gt;=10000101,Sync!$AG1382&lt;=99991231),INT(Sync!$AG1382/10000),""),IFERROR(VALUE(TRIM(LEFT(Sync!$AG1382,FIND("/",Sync!$AG1382)-1))),""))))</f>
        <v/>
      </c>
      <c r="H1382">
        <f>IF(OR($F1382="",$G1382=""),"",IF(ISNUMBER(Sync!$AG1382),INT(MOD(Sync!$AG1382,10000)/100),IFERROR(VALUE(TRIM(LEFT(MID(Sync!$AG1382,FIND("/",Sync!$AG1382)+1,20),FIND("/",MID(Sync!$AG1382,FIND("/",Sync!$AG1382)+1,20))-1))),"")))</f>
        <v/>
      </c>
      <c r="I1382">
        <f>IF(OR($F1382="",$G1382=""),"",IF(ISNUMBER(Sync!$AG1382),MOD(Sync!$AG1382,100),IFERROR(VALUE(TRIM(MID(MID(Sync!$AG1382,FIND("/",Sync!$AG1382)+1,20),FIND("/",MID(Sync!$AG1382,FIND("/",Sync!$AG1382)+1,20))+1,20))),"")))</f>
        <v/>
      </c>
      <c r="J1382">
        <f>IF($F1382="","",IF(OR($G1382="",$H1382="",$I1382="",$G1382&lt;1300,$G1382&gt;1500,$H1382&lt;1,$H1382&gt;12,$I1382&lt;1,$I1382&gt;31),"نامعتبر",RIGHT("0000"&amp;$G1382,4)&amp;"/"&amp;RIGHT("00"&amp;$H1382,2)&amp;"/"&amp;RIGHT("00"&amp;$I1382,2)))</f>
        <v/>
      </c>
      <c r="K1382">
        <f>IF(OR($F1382="",$J1382="",$J1382="نامعتبر"),"",LEFT($J1382,4)&amp;MID($J1382,6,2)&amp;RIGHT($J1382,2)&amp;$N1382&amp;"|"&amp;"2"&amp;RIGHT("00000"&amp;1377,5))</f>
        <v/>
      </c>
      <c r="L1382">
        <f>IF($K1382="","",COUNTIFS(LdgPartyA,$F1382,LdgKeyA,"&lt;"&amp;$K1382)+COUNTIFS(LdgPartyB,$F1382,LdgKeyB,"&lt;"&amp;$K1382)+1)</f>
        <v/>
      </c>
      <c r="M1382">
        <f>IF($L1382="","",$F1382&amp;"|"&amp;RIGHT("000000"&amp;$L1382,6))</f>
        <v/>
      </c>
      <c r="N1382">
        <f>IF($F1382="","",IF(Sync!$AH1382="","0000",IF(AND(ISNUMBER(Sync!$AH1382),Sync!$AH1382&gt;=0,Sync!$AH1382&lt;1),RIGHT("00"&amp;HOUR(Sync!$AH1382),2)&amp;RIGHT("00"&amp;MINUTE(Sync!$AH1382),2),IFERROR(RIGHT("00"&amp;VALUE(LEFT(Sync!$AH1382,FIND(":",Sync!$AH1382)-1)),2)&amp;RIGHT("00"&amp;VALUE(MID(Sync!$AH1382,FIND(":",Sync!$AH1382)+1,2)),2),"0000"))))</f>
        <v/>
      </c>
    </row>
    <row r="1383">
      <c r="A1383">
        <f>IF(OR(Calc!$E1386="",Calc!$E1386="نامعتبر",Calc!$G1386="",Calc!$I1386&lt;&gt;"خرید"),"",Calc!$G1386)</f>
        <v/>
      </c>
      <c r="B1383">
        <f>IF($A1383="","",LEFT(Calc!$E1386,4)&amp;MID(Calc!$E1386,6,2)&amp;RIGHT(Calc!$E1386,2)&amp;Calc!$R1386&amp;"|"&amp;"1"&amp;RIGHT("00000"&amp;1378,5))</f>
        <v/>
      </c>
      <c r="C1383">
        <f>IF($B1383="","",COUNTIFS(LdgPartyA,$A1383,LdgKeyA,"&lt;"&amp;$B1383)+COUNTIFS(LdgPartyB,$A1383,LdgKeyB,"&lt;"&amp;$B1383)+1)</f>
        <v/>
      </c>
      <c r="D1383">
        <f>IF($C1383="","",$A1383&amp;"|"&amp;RIGHT("000000"&amp;$C1383,6))</f>
        <v/>
      </c>
      <c r="F1383">
        <f>IF(Sync!$AJ1383="","",Sync!$AJ1383)</f>
        <v/>
      </c>
      <c r="G1383">
        <f>IF($F1383="","",IF(Sync!$AG1383="","",IF(ISNUMBER(Sync!$AG1383),IF(AND(Sync!$AG1383&gt;=10000101,Sync!$AG1383&lt;=99991231),INT(Sync!$AG1383/10000),""),IFERROR(VALUE(TRIM(LEFT(Sync!$AG1383,FIND("/",Sync!$AG1383)-1))),""))))</f>
        <v/>
      </c>
      <c r="H1383">
        <f>IF(OR($F1383="",$G1383=""),"",IF(ISNUMBER(Sync!$AG1383),INT(MOD(Sync!$AG1383,10000)/100),IFERROR(VALUE(TRIM(LEFT(MID(Sync!$AG1383,FIND("/",Sync!$AG1383)+1,20),FIND("/",MID(Sync!$AG1383,FIND("/",Sync!$AG1383)+1,20))-1))),"")))</f>
        <v/>
      </c>
      <c r="I1383">
        <f>IF(OR($F1383="",$G1383=""),"",IF(ISNUMBER(Sync!$AG1383),MOD(Sync!$AG1383,100),IFERROR(VALUE(TRIM(MID(MID(Sync!$AG1383,FIND("/",Sync!$AG1383)+1,20),FIND("/",MID(Sync!$AG1383,FIND("/",Sync!$AG1383)+1,20))+1,20))),"")))</f>
        <v/>
      </c>
      <c r="J1383">
        <f>IF($F1383="","",IF(OR($G1383="",$H1383="",$I1383="",$G1383&lt;1300,$G1383&gt;1500,$H1383&lt;1,$H1383&gt;12,$I1383&lt;1,$I1383&gt;31),"نامعتبر",RIGHT("0000"&amp;$G1383,4)&amp;"/"&amp;RIGHT("00"&amp;$H1383,2)&amp;"/"&amp;RIGHT("00"&amp;$I1383,2)))</f>
        <v/>
      </c>
      <c r="K1383">
        <f>IF(OR($F1383="",$J1383="",$J1383="نامعتبر"),"",LEFT($J1383,4)&amp;MID($J1383,6,2)&amp;RIGHT($J1383,2)&amp;$N1383&amp;"|"&amp;"2"&amp;RIGHT("00000"&amp;1378,5))</f>
        <v/>
      </c>
      <c r="L1383">
        <f>IF($K1383="","",COUNTIFS(LdgPartyA,$F1383,LdgKeyA,"&lt;"&amp;$K1383)+COUNTIFS(LdgPartyB,$F1383,LdgKeyB,"&lt;"&amp;$K1383)+1)</f>
        <v/>
      </c>
      <c r="M1383">
        <f>IF($L1383="","",$F1383&amp;"|"&amp;RIGHT("000000"&amp;$L1383,6))</f>
        <v/>
      </c>
      <c r="N1383">
        <f>IF($F1383="","",IF(Sync!$AH1383="","0000",IF(AND(ISNUMBER(Sync!$AH1383),Sync!$AH1383&gt;=0,Sync!$AH1383&lt;1),RIGHT("00"&amp;HOUR(Sync!$AH1383),2)&amp;RIGHT("00"&amp;MINUTE(Sync!$AH1383),2),IFERROR(RIGHT("00"&amp;VALUE(LEFT(Sync!$AH1383,FIND(":",Sync!$AH1383)-1)),2)&amp;RIGHT("00"&amp;VALUE(MID(Sync!$AH1383,FIND(":",Sync!$AH1383)+1,2)),2),"0000"))))</f>
        <v/>
      </c>
    </row>
    <row r="1384">
      <c r="A1384">
        <f>IF(OR(Calc!$E1387="",Calc!$E1387="نامعتبر",Calc!$G1387="",Calc!$I1387&lt;&gt;"خرید"),"",Calc!$G1387)</f>
        <v/>
      </c>
      <c r="B1384">
        <f>IF($A1384="","",LEFT(Calc!$E1387,4)&amp;MID(Calc!$E1387,6,2)&amp;RIGHT(Calc!$E1387,2)&amp;Calc!$R1387&amp;"|"&amp;"1"&amp;RIGHT("00000"&amp;1379,5))</f>
        <v/>
      </c>
      <c r="C1384">
        <f>IF($B1384="","",COUNTIFS(LdgPartyA,$A1384,LdgKeyA,"&lt;"&amp;$B1384)+COUNTIFS(LdgPartyB,$A1384,LdgKeyB,"&lt;"&amp;$B1384)+1)</f>
        <v/>
      </c>
      <c r="D1384">
        <f>IF($C1384="","",$A1384&amp;"|"&amp;RIGHT("000000"&amp;$C1384,6))</f>
        <v/>
      </c>
      <c r="F1384">
        <f>IF(Sync!$AJ1384="","",Sync!$AJ1384)</f>
        <v/>
      </c>
      <c r="G1384">
        <f>IF($F1384="","",IF(Sync!$AG1384="","",IF(ISNUMBER(Sync!$AG1384),IF(AND(Sync!$AG1384&gt;=10000101,Sync!$AG1384&lt;=99991231),INT(Sync!$AG1384/10000),""),IFERROR(VALUE(TRIM(LEFT(Sync!$AG1384,FIND("/",Sync!$AG1384)-1))),""))))</f>
        <v/>
      </c>
      <c r="H1384">
        <f>IF(OR($F1384="",$G1384=""),"",IF(ISNUMBER(Sync!$AG1384),INT(MOD(Sync!$AG1384,10000)/100),IFERROR(VALUE(TRIM(LEFT(MID(Sync!$AG1384,FIND("/",Sync!$AG1384)+1,20),FIND("/",MID(Sync!$AG1384,FIND("/",Sync!$AG1384)+1,20))-1))),"")))</f>
        <v/>
      </c>
      <c r="I1384">
        <f>IF(OR($F1384="",$G1384=""),"",IF(ISNUMBER(Sync!$AG1384),MOD(Sync!$AG1384,100),IFERROR(VALUE(TRIM(MID(MID(Sync!$AG1384,FIND("/",Sync!$AG1384)+1,20),FIND("/",MID(Sync!$AG1384,FIND("/",Sync!$AG1384)+1,20))+1,20))),"")))</f>
        <v/>
      </c>
      <c r="J1384">
        <f>IF($F1384="","",IF(OR($G1384="",$H1384="",$I1384="",$G1384&lt;1300,$G1384&gt;1500,$H1384&lt;1,$H1384&gt;12,$I1384&lt;1,$I1384&gt;31),"نامعتبر",RIGHT("0000"&amp;$G1384,4)&amp;"/"&amp;RIGHT("00"&amp;$H1384,2)&amp;"/"&amp;RIGHT("00"&amp;$I1384,2)))</f>
        <v/>
      </c>
      <c r="K1384">
        <f>IF(OR($F1384="",$J1384="",$J1384="نامعتبر"),"",LEFT($J1384,4)&amp;MID($J1384,6,2)&amp;RIGHT($J1384,2)&amp;$N1384&amp;"|"&amp;"2"&amp;RIGHT("00000"&amp;1379,5))</f>
        <v/>
      </c>
      <c r="L1384">
        <f>IF($K1384="","",COUNTIFS(LdgPartyA,$F1384,LdgKeyA,"&lt;"&amp;$K1384)+COUNTIFS(LdgPartyB,$F1384,LdgKeyB,"&lt;"&amp;$K1384)+1)</f>
        <v/>
      </c>
      <c r="M1384">
        <f>IF($L1384="","",$F1384&amp;"|"&amp;RIGHT("000000"&amp;$L1384,6))</f>
        <v/>
      </c>
      <c r="N1384">
        <f>IF($F1384="","",IF(Sync!$AH1384="","0000",IF(AND(ISNUMBER(Sync!$AH1384),Sync!$AH1384&gt;=0,Sync!$AH1384&lt;1),RIGHT("00"&amp;HOUR(Sync!$AH1384),2)&amp;RIGHT("00"&amp;MINUTE(Sync!$AH1384),2),IFERROR(RIGHT("00"&amp;VALUE(LEFT(Sync!$AH1384,FIND(":",Sync!$AH1384)-1)),2)&amp;RIGHT("00"&amp;VALUE(MID(Sync!$AH1384,FIND(":",Sync!$AH1384)+1,2)),2),"0000"))))</f>
        <v/>
      </c>
    </row>
    <row r="1385">
      <c r="A1385">
        <f>IF(OR(Calc!$E1388="",Calc!$E1388="نامعتبر",Calc!$G1388="",Calc!$I1388&lt;&gt;"خرید"),"",Calc!$G1388)</f>
        <v/>
      </c>
      <c r="B1385">
        <f>IF($A1385="","",LEFT(Calc!$E1388,4)&amp;MID(Calc!$E1388,6,2)&amp;RIGHT(Calc!$E1388,2)&amp;Calc!$R1388&amp;"|"&amp;"1"&amp;RIGHT("00000"&amp;1380,5))</f>
        <v/>
      </c>
      <c r="C1385">
        <f>IF($B1385="","",COUNTIFS(LdgPartyA,$A1385,LdgKeyA,"&lt;"&amp;$B1385)+COUNTIFS(LdgPartyB,$A1385,LdgKeyB,"&lt;"&amp;$B1385)+1)</f>
        <v/>
      </c>
      <c r="D1385">
        <f>IF($C1385="","",$A1385&amp;"|"&amp;RIGHT("000000"&amp;$C1385,6))</f>
        <v/>
      </c>
      <c r="F1385">
        <f>IF(Sync!$AJ1385="","",Sync!$AJ1385)</f>
        <v/>
      </c>
      <c r="G1385">
        <f>IF($F1385="","",IF(Sync!$AG1385="","",IF(ISNUMBER(Sync!$AG1385),IF(AND(Sync!$AG1385&gt;=10000101,Sync!$AG1385&lt;=99991231),INT(Sync!$AG1385/10000),""),IFERROR(VALUE(TRIM(LEFT(Sync!$AG1385,FIND("/",Sync!$AG1385)-1))),""))))</f>
        <v/>
      </c>
      <c r="H1385">
        <f>IF(OR($F1385="",$G1385=""),"",IF(ISNUMBER(Sync!$AG1385),INT(MOD(Sync!$AG1385,10000)/100),IFERROR(VALUE(TRIM(LEFT(MID(Sync!$AG1385,FIND("/",Sync!$AG1385)+1,20),FIND("/",MID(Sync!$AG1385,FIND("/",Sync!$AG1385)+1,20))-1))),"")))</f>
        <v/>
      </c>
      <c r="I1385">
        <f>IF(OR($F1385="",$G1385=""),"",IF(ISNUMBER(Sync!$AG1385),MOD(Sync!$AG1385,100),IFERROR(VALUE(TRIM(MID(MID(Sync!$AG1385,FIND("/",Sync!$AG1385)+1,20),FIND("/",MID(Sync!$AG1385,FIND("/",Sync!$AG1385)+1,20))+1,20))),"")))</f>
        <v/>
      </c>
      <c r="J1385">
        <f>IF($F1385="","",IF(OR($G1385="",$H1385="",$I1385="",$G1385&lt;1300,$G1385&gt;1500,$H1385&lt;1,$H1385&gt;12,$I1385&lt;1,$I1385&gt;31),"نامعتبر",RIGHT("0000"&amp;$G1385,4)&amp;"/"&amp;RIGHT("00"&amp;$H1385,2)&amp;"/"&amp;RIGHT("00"&amp;$I1385,2)))</f>
        <v/>
      </c>
      <c r="K1385">
        <f>IF(OR($F1385="",$J1385="",$J1385="نامعتبر"),"",LEFT($J1385,4)&amp;MID($J1385,6,2)&amp;RIGHT($J1385,2)&amp;$N1385&amp;"|"&amp;"2"&amp;RIGHT("00000"&amp;1380,5))</f>
        <v/>
      </c>
      <c r="L1385">
        <f>IF($K1385="","",COUNTIFS(LdgPartyA,$F1385,LdgKeyA,"&lt;"&amp;$K1385)+COUNTIFS(LdgPartyB,$F1385,LdgKeyB,"&lt;"&amp;$K1385)+1)</f>
        <v/>
      </c>
      <c r="M1385">
        <f>IF($L1385="","",$F1385&amp;"|"&amp;RIGHT("000000"&amp;$L1385,6))</f>
        <v/>
      </c>
      <c r="N1385">
        <f>IF($F1385="","",IF(Sync!$AH1385="","0000",IF(AND(ISNUMBER(Sync!$AH1385),Sync!$AH1385&gt;=0,Sync!$AH1385&lt;1),RIGHT("00"&amp;HOUR(Sync!$AH1385),2)&amp;RIGHT("00"&amp;MINUTE(Sync!$AH1385),2),IFERROR(RIGHT("00"&amp;VALUE(LEFT(Sync!$AH1385,FIND(":",Sync!$AH1385)-1)),2)&amp;RIGHT("00"&amp;VALUE(MID(Sync!$AH1385,FIND(":",Sync!$AH1385)+1,2)),2),"0000"))))</f>
        <v/>
      </c>
    </row>
    <row r="1386">
      <c r="A1386">
        <f>IF(OR(Calc!$E1389="",Calc!$E1389="نامعتبر",Calc!$G1389="",Calc!$I1389&lt;&gt;"خرید"),"",Calc!$G1389)</f>
        <v/>
      </c>
      <c r="B1386">
        <f>IF($A1386="","",LEFT(Calc!$E1389,4)&amp;MID(Calc!$E1389,6,2)&amp;RIGHT(Calc!$E1389,2)&amp;Calc!$R1389&amp;"|"&amp;"1"&amp;RIGHT("00000"&amp;1381,5))</f>
        <v/>
      </c>
      <c r="C1386">
        <f>IF($B1386="","",COUNTIFS(LdgPartyA,$A1386,LdgKeyA,"&lt;"&amp;$B1386)+COUNTIFS(LdgPartyB,$A1386,LdgKeyB,"&lt;"&amp;$B1386)+1)</f>
        <v/>
      </c>
      <c r="D1386">
        <f>IF($C1386="","",$A1386&amp;"|"&amp;RIGHT("000000"&amp;$C1386,6))</f>
        <v/>
      </c>
      <c r="F1386">
        <f>IF(Sync!$AJ1386="","",Sync!$AJ1386)</f>
        <v/>
      </c>
      <c r="G1386">
        <f>IF($F1386="","",IF(Sync!$AG1386="","",IF(ISNUMBER(Sync!$AG1386),IF(AND(Sync!$AG1386&gt;=10000101,Sync!$AG1386&lt;=99991231),INT(Sync!$AG1386/10000),""),IFERROR(VALUE(TRIM(LEFT(Sync!$AG1386,FIND("/",Sync!$AG1386)-1))),""))))</f>
        <v/>
      </c>
      <c r="H1386">
        <f>IF(OR($F1386="",$G1386=""),"",IF(ISNUMBER(Sync!$AG1386),INT(MOD(Sync!$AG1386,10000)/100),IFERROR(VALUE(TRIM(LEFT(MID(Sync!$AG1386,FIND("/",Sync!$AG1386)+1,20),FIND("/",MID(Sync!$AG1386,FIND("/",Sync!$AG1386)+1,20))-1))),"")))</f>
        <v/>
      </c>
      <c r="I1386">
        <f>IF(OR($F1386="",$G1386=""),"",IF(ISNUMBER(Sync!$AG1386),MOD(Sync!$AG1386,100),IFERROR(VALUE(TRIM(MID(MID(Sync!$AG1386,FIND("/",Sync!$AG1386)+1,20),FIND("/",MID(Sync!$AG1386,FIND("/",Sync!$AG1386)+1,20))+1,20))),"")))</f>
        <v/>
      </c>
      <c r="J1386">
        <f>IF($F1386="","",IF(OR($G1386="",$H1386="",$I1386="",$G1386&lt;1300,$G1386&gt;1500,$H1386&lt;1,$H1386&gt;12,$I1386&lt;1,$I1386&gt;31),"نامعتبر",RIGHT("0000"&amp;$G1386,4)&amp;"/"&amp;RIGHT("00"&amp;$H1386,2)&amp;"/"&amp;RIGHT("00"&amp;$I1386,2)))</f>
        <v/>
      </c>
      <c r="K1386">
        <f>IF(OR($F1386="",$J1386="",$J1386="نامعتبر"),"",LEFT($J1386,4)&amp;MID($J1386,6,2)&amp;RIGHT($J1386,2)&amp;$N1386&amp;"|"&amp;"2"&amp;RIGHT("00000"&amp;1381,5))</f>
        <v/>
      </c>
      <c r="L1386">
        <f>IF($K1386="","",COUNTIFS(LdgPartyA,$F1386,LdgKeyA,"&lt;"&amp;$K1386)+COUNTIFS(LdgPartyB,$F1386,LdgKeyB,"&lt;"&amp;$K1386)+1)</f>
        <v/>
      </c>
      <c r="M1386">
        <f>IF($L1386="","",$F1386&amp;"|"&amp;RIGHT("000000"&amp;$L1386,6))</f>
        <v/>
      </c>
      <c r="N1386">
        <f>IF($F1386="","",IF(Sync!$AH1386="","0000",IF(AND(ISNUMBER(Sync!$AH1386),Sync!$AH1386&gt;=0,Sync!$AH1386&lt;1),RIGHT("00"&amp;HOUR(Sync!$AH1386),2)&amp;RIGHT("00"&amp;MINUTE(Sync!$AH1386),2),IFERROR(RIGHT("00"&amp;VALUE(LEFT(Sync!$AH1386,FIND(":",Sync!$AH1386)-1)),2)&amp;RIGHT("00"&amp;VALUE(MID(Sync!$AH1386,FIND(":",Sync!$AH1386)+1,2)),2),"0000"))))</f>
        <v/>
      </c>
    </row>
    <row r="1387">
      <c r="A1387">
        <f>IF(OR(Calc!$E1390="",Calc!$E1390="نامعتبر",Calc!$G1390="",Calc!$I1390&lt;&gt;"خرید"),"",Calc!$G1390)</f>
        <v/>
      </c>
      <c r="B1387">
        <f>IF($A1387="","",LEFT(Calc!$E1390,4)&amp;MID(Calc!$E1390,6,2)&amp;RIGHT(Calc!$E1390,2)&amp;Calc!$R1390&amp;"|"&amp;"1"&amp;RIGHT("00000"&amp;1382,5))</f>
        <v/>
      </c>
      <c r="C1387">
        <f>IF($B1387="","",COUNTIFS(LdgPartyA,$A1387,LdgKeyA,"&lt;"&amp;$B1387)+COUNTIFS(LdgPartyB,$A1387,LdgKeyB,"&lt;"&amp;$B1387)+1)</f>
        <v/>
      </c>
      <c r="D1387">
        <f>IF($C1387="","",$A1387&amp;"|"&amp;RIGHT("000000"&amp;$C1387,6))</f>
        <v/>
      </c>
      <c r="F1387">
        <f>IF(Sync!$AJ1387="","",Sync!$AJ1387)</f>
        <v/>
      </c>
      <c r="G1387">
        <f>IF($F1387="","",IF(Sync!$AG1387="","",IF(ISNUMBER(Sync!$AG1387),IF(AND(Sync!$AG1387&gt;=10000101,Sync!$AG1387&lt;=99991231),INT(Sync!$AG1387/10000),""),IFERROR(VALUE(TRIM(LEFT(Sync!$AG1387,FIND("/",Sync!$AG1387)-1))),""))))</f>
        <v/>
      </c>
      <c r="H1387">
        <f>IF(OR($F1387="",$G1387=""),"",IF(ISNUMBER(Sync!$AG1387),INT(MOD(Sync!$AG1387,10000)/100),IFERROR(VALUE(TRIM(LEFT(MID(Sync!$AG1387,FIND("/",Sync!$AG1387)+1,20),FIND("/",MID(Sync!$AG1387,FIND("/",Sync!$AG1387)+1,20))-1))),"")))</f>
        <v/>
      </c>
      <c r="I1387">
        <f>IF(OR($F1387="",$G1387=""),"",IF(ISNUMBER(Sync!$AG1387),MOD(Sync!$AG1387,100),IFERROR(VALUE(TRIM(MID(MID(Sync!$AG1387,FIND("/",Sync!$AG1387)+1,20),FIND("/",MID(Sync!$AG1387,FIND("/",Sync!$AG1387)+1,20))+1,20))),"")))</f>
        <v/>
      </c>
      <c r="J1387">
        <f>IF($F1387="","",IF(OR($G1387="",$H1387="",$I1387="",$G1387&lt;1300,$G1387&gt;1500,$H1387&lt;1,$H1387&gt;12,$I1387&lt;1,$I1387&gt;31),"نامعتبر",RIGHT("0000"&amp;$G1387,4)&amp;"/"&amp;RIGHT("00"&amp;$H1387,2)&amp;"/"&amp;RIGHT("00"&amp;$I1387,2)))</f>
        <v/>
      </c>
      <c r="K1387">
        <f>IF(OR($F1387="",$J1387="",$J1387="نامعتبر"),"",LEFT($J1387,4)&amp;MID($J1387,6,2)&amp;RIGHT($J1387,2)&amp;$N1387&amp;"|"&amp;"2"&amp;RIGHT("00000"&amp;1382,5))</f>
        <v/>
      </c>
      <c r="L1387">
        <f>IF($K1387="","",COUNTIFS(LdgPartyA,$F1387,LdgKeyA,"&lt;"&amp;$K1387)+COUNTIFS(LdgPartyB,$F1387,LdgKeyB,"&lt;"&amp;$K1387)+1)</f>
        <v/>
      </c>
      <c r="M1387">
        <f>IF($L1387="","",$F1387&amp;"|"&amp;RIGHT("000000"&amp;$L1387,6))</f>
        <v/>
      </c>
      <c r="N1387">
        <f>IF($F1387="","",IF(Sync!$AH1387="","0000",IF(AND(ISNUMBER(Sync!$AH1387),Sync!$AH1387&gt;=0,Sync!$AH1387&lt;1),RIGHT("00"&amp;HOUR(Sync!$AH1387),2)&amp;RIGHT("00"&amp;MINUTE(Sync!$AH1387),2),IFERROR(RIGHT("00"&amp;VALUE(LEFT(Sync!$AH1387,FIND(":",Sync!$AH1387)-1)),2)&amp;RIGHT("00"&amp;VALUE(MID(Sync!$AH1387,FIND(":",Sync!$AH1387)+1,2)),2),"0000"))))</f>
        <v/>
      </c>
    </row>
    <row r="1388">
      <c r="A1388">
        <f>IF(OR(Calc!$E1391="",Calc!$E1391="نامعتبر",Calc!$G1391="",Calc!$I1391&lt;&gt;"خرید"),"",Calc!$G1391)</f>
        <v/>
      </c>
      <c r="B1388">
        <f>IF($A1388="","",LEFT(Calc!$E1391,4)&amp;MID(Calc!$E1391,6,2)&amp;RIGHT(Calc!$E1391,2)&amp;Calc!$R1391&amp;"|"&amp;"1"&amp;RIGHT("00000"&amp;1383,5))</f>
        <v/>
      </c>
      <c r="C1388">
        <f>IF($B1388="","",COUNTIFS(LdgPartyA,$A1388,LdgKeyA,"&lt;"&amp;$B1388)+COUNTIFS(LdgPartyB,$A1388,LdgKeyB,"&lt;"&amp;$B1388)+1)</f>
        <v/>
      </c>
      <c r="D1388">
        <f>IF($C1388="","",$A1388&amp;"|"&amp;RIGHT("000000"&amp;$C1388,6))</f>
        <v/>
      </c>
      <c r="F1388">
        <f>IF(Sync!$AJ1388="","",Sync!$AJ1388)</f>
        <v/>
      </c>
      <c r="G1388">
        <f>IF($F1388="","",IF(Sync!$AG1388="","",IF(ISNUMBER(Sync!$AG1388),IF(AND(Sync!$AG1388&gt;=10000101,Sync!$AG1388&lt;=99991231),INT(Sync!$AG1388/10000),""),IFERROR(VALUE(TRIM(LEFT(Sync!$AG1388,FIND("/",Sync!$AG1388)-1))),""))))</f>
        <v/>
      </c>
      <c r="H1388">
        <f>IF(OR($F1388="",$G1388=""),"",IF(ISNUMBER(Sync!$AG1388),INT(MOD(Sync!$AG1388,10000)/100),IFERROR(VALUE(TRIM(LEFT(MID(Sync!$AG1388,FIND("/",Sync!$AG1388)+1,20),FIND("/",MID(Sync!$AG1388,FIND("/",Sync!$AG1388)+1,20))-1))),"")))</f>
        <v/>
      </c>
      <c r="I1388">
        <f>IF(OR($F1388="",$G1388=""),"",IF(ISNUMBER(Sync!$AG1388),MOD(Sync!$AG1388,100),IFERROR(VALUE(TRIM(MID(MID(Sync!$AG1388,FIND("/",Sync!$AG1388)+1,20),FIND("/",MID(Sync!$AG1388,FIND("/",Sync!$AG1388)+1,20))+1,20))),"")))</f>
        <v/>
      </c>
      <c r="J1388">
        <f>IF($F1388="","",IF(OR($G1388="",$H1388="",$I1388="",$G1388&lt;1300,$G1388&gt;1500,$H1388&lt;1,$H1388&gt;12,$I1388&lt;1,$I1388&gt;31),"نامعتبر",RIGHT("0000"&amp;$G1388,4)&amp;"/"&amp;RIGHT("00"&amp;$H1388,2)&amp;"/"&amp;RIGHT("00"&amp;$I1388,2)))</f>
        <v/>
      </c>
      <c r="K1388">
        <f>IF(OR($F1388="",$J1388="",$J1388="نامعتبر"),"",LEFT($J1388,4)&amp;MID($J1388,6,2)&amp;RIGHT($J1388,2)&amp;$N1388&amp;"|"&amp;"2"&amp;RIGHT("00000"&amp;1383,5))</f>
        <v/>
      </c>
      <c r="L1388">
        <f>IF($K1388="","",COUNTIFS(LdgPartyA,$F1388,LdgKeyA,"&lt;"&amp;$K1388)+COUNTIFS(LdgPartyB,$F1388,LdgKeyB,"&lt;"&amp;$K1388)+1)</f>
        <v/>
      </c>
      <c r="M1388">
        <f>IF($L1388="","",$F1388&amp;"|"&amp;RIGHT("000000"&amp;$L1388,6))</f>
        <v/>
      </c>
      <c r="N1388">
        <f>IF($F1388="","",IF(Sync!$AH1388="","0000",IF(AND(ISNUMBER(Sync!$AH1388),Sync!$AH1388&gt;=0,Sync!$AH1388&lt;1),RIGHT("00"&amp;HOUR(Sync!$AH1388),2)&amp;RIGHT("00"&amp;MINUTE(Sync!$AH1388),2),IFERROR(RIGHT("00"&amp;VALUE(LEFT(Sync!$AH1388,FIND(":",Sync!$AH1388)-1)),2)&amp;RIGHT("00"&amp;VALUE(MID(Sync!$AH1388,FIND(":",Sync!$AH1388)+1,2)),2),"0000"))))</f>
        <v/>
      </c>
    </row>
    <row r="1389">
      <c r="A1389">
        <f>IF(OR(Calc!$E1392="",Calc!$E1392="نامعتبر",Calc!$G1392="",Calc!$I1392&lt;&gt;"خرید"),"",Calc!$G1392)</f>
        <v/>
      </c>
      <c r="B1389">
        <f>IF($A1389="","",LEFT(Calc!$E1392,4)&amp;MID(Calc!$E1392,6,2)&amp;RIGHT(Calc!$E1392,2)&amp;Calc!$R1392&amp;"|"&amp;"1"&amp;RIGHT("00000"&amp;1384,5))</f>
        <v/>
      </c>
      <c r="C1389">
        <f>IF($B1389="","",COUNTIFS(LdgPartyA,$A1389,LdgKeyA,"&lt;"&amp;$B1389)+COUNTIFS(LdgPartyB,$A1389,LdgKeyB,"&lt;"&amp;$B1389)+1)</f>
        <v/>
      </c>
      <c r="D1389">
        <f>IF($C1389="","",$A1389&amp;"|"&amp;RIGHT("000000"&amp;$C1389,6))</f>
        <v/>
      </c>
      <c r="F1389">
        <f>IF(Sync!$AJ1389="","",Sync!$AJ1389)</f>
        <v/>
      </c>
      <c r="G1389">
        <f>IF($F1389="","",IF(Sync!$AG1389="","",IF(ISNUMBER(Sync!$AG1389),IF(AND(Sync!$AG1389&gt;=10000101,Sync!$AG1389&lt;=99991231),INT(Sync!$AG1389/10000),""),IFERROR(VALUE(TRIM(LEFT(Sync!$AG1389,FIND("/",Sync!$AG1389)-1))),""))))</f>
        <v/>
      </c>
      <c r="H1389">
        <f>IF(OR($F1389="",$G1389=""),"",IF(ISNUMBER(Sync!$AG1389),INT(MOD(Sync!$AG1389,10000)/100),IFERROR(VALUE(TRIM(LEFT(MID(Sync!$AG1389,FIND("/",Sync!$AG1389)+1,20),FIND("/",MID(Sync!$AG1389,FIND("/",Sync!$AG1389)+1,20))-1))),"")))</f>
        <v/>
      </c>
      <c r="I1389">
        <f>IF(OR($F1389="",$G1389=""),"",IF(ISNUMBER(Sync!$AG1389),MOD(Sync!$AG1389,100),IFERROR(VALUE(TRIM(MID(MID(Sync!$AG1389,FIND("/",Sync!$AG1389)+1,20),FIND("/",MID(Sync!$AG1389,FIND("/",Sync!$AG1389)+1,20))+1,20))),"")))</f>
        <v/>
      </c>
      <c r="J1389">
        <f>IF($F1389="","",IF(OR($G1389="",$H1389="",$I1389="",$G1389&lt;1300,$G1389&gt;1500,$H1389&lt;1,$H1389&gt;12,$I1389&lt;1,$I1389&gt;31),"نامعتبر",RIGHT("0000"&amp;$G1389,4)&amp;"/"&amp;RIGHT("00"&amp;$H1389,2)&amp;"/"&amp;RIGHT("00"&amp;$I1389,2)))</f>
        <v/>
      </c>
      <c r="K1389">
        <f>IF(OR($F1389="",$J1389="",$J1389="نامعتبر"),"",LEFT($J1389,4)&amp;MID($J1389,6,2)&amp;RIGHT($J1389,2)&amp;$N1389&amp;"|"&amp;"2"&amp;RIGHT("00000"&amp;1384,5))</f>
        <v/>
      </c>
      <c r="L1389">
        <f>IF($K1389="","",COUNTIFS(LdgPartyA,$F1389,LdgKeyA,"&lt;"&amp;$K1389)+COUNTIFS(LdgPartyB,$F1389,LdgKeyB,"&lt;"&amp;$K1389)+1)</f>
        <v/>
      </c>
      <c r="M1389">
        <f>IF($L1389="","",$F1389&amp;"|"&amp;RIGHT("000000"&amp;$L1389,6))</f>
        <v/>
      </c>
      <c r="N1389">
        <f>IF($F1389="","",IF(Sync!$AH1389="","0000",IF(AND(ISNUMBER(Sync!$AH1389),Sync!$AH1389&gt;=0,Sync!$AH1389&lt;1),RIGHT("00"&amp;HOUR(Sync!$AH1389),2)&amp;RIGHT("00"&amp;MINUTE(Sync!$AH1389),2),IFERROR(RIGHT("00"&amp;VALUE(LEFT(Sync!$AH1389,FIND(":",Sync!$AH1389)-1)),2)&amp;RIGHT("00"&amp;VALUE(MID(Sync!$AH1389,FIND(":",Sync!$AH1389)+1,2)),2),"0000"))))</f>
        <v/>
      </c>
    </row>
    <row r="1390">
      <c r="A1390">
        <f>IF(OR(Calc!$E1393="",Calc!$E1393="نامعتبر",Calc!$G1393="",Calc!$I1393&lt;&gt;"خرید"),"",Calc!$G1393)</f>
        <v/>
      </c>
      <c r="B1390">
        <f>IF($A1390="","",LEFT(Calc!$E1393,4)&amp;MID(Calc!$E1393,6,2)&amp;RIGHT(Calc!$E1393,2)&amp;Calc!$R1393&amp;"|"&amp;"1"&amp;RIGHT("00000"&amp;1385,5))</f>
        <v/>
      </c>
      <c r="C1390">
        <f>IF($B1390="","",COUNTIFS(LdgPartyA,$A1390,LdgKeyA,"&lt;"&amp;$B1390)+COUNTIFS(LdgPartyB,$A1390,LdgKeyB,"&lt;"&amp;$B1390)+1)</f>
        <v/>
      </c>
      <c r="D1390">
        <f>IF($C1390="","",$A1390&amp;"|"&amp;RIGHT("000000"&amp;$C1390,6))</f>
        <v/>
      </c>
      <c r="F1390">
        <f>IF(Sync!$AJ1390="","",Sync!$AJ1390)</f>
        <v/>
      </c>
      <c r="G1390">
        <f>IF($F1390="","",IF(Sync!$AG1390="","",IF(ISNUMBER(Sync!$AG1390),IF(AND(Sync!$AG1390&gt;=10000101,Sync!$AG1390&lt;=99991231),INT(Sync!$AG1390/10000),""),IFERROR(VALUE(TRIM(LEFT(Sync!$AG1390,FIND("/",Sync!$AG1390)-1))),""))))</f>
        <v/>
      </c>
      <c r="H1390">
        <f>IF(OR($F1390="",$G1390=""),"",IF(ISNUMBER(Sync!$AG1390),INT(MOD(Sync!$AG1390,10000)/100),IFERROR(VALUE(TRIM(LEFT(MID(Sync!$AG1390,FIND("/",Sync!$AG1390)+1,20),FIND("/",MID(Sync!$AG1390,FIND("/",Sync!$AG1390)+1,20))-1))),"")))</f>
        <v/>
      </c>
      <c r="I1390">
        <f>IF(OR($F1390="",$G1390=""),"",IF(ISNUMBER(Sync!$AG1390),MOD(Sync!$AG1390,100),IFERROR(VALUE(TRIM(MID(MID(Sync!$AG1390,FIND("/",Sync!$AG1390)+1,20),FIND("/",MID(Sync!$AG1390,FIND("/",Sync!$AG1390)+1,20))+1,20))),"")))</f>
        <v/>
      </c>
      <c r="J1390">
        <f>IF($F1390="","",IF(OR($G1390="",$H1390="",$I1390="",$G1390&lt;1300,$G1390&gt;1500,$H1390&lt;1,$H1390&gt;12,$I1390&lt;1,$I1390&gt;31),"نامعتبر",RIGHT("0000"&amp;$G1390,4)&amp;"/"&amp;RIGHT("00"&amp;$H1390,2)&amp;"/"&amp;RIGHT("00"&amp;$I1390,2)))</f>
        <v/>
      </c>
      <c r="K1390">
        <f>IF(OR($F1390="",$J1390="",$J1390="نامعتبر"),"",LEFT($J1390,4)&amp;MID($J1390,6,2)&amp;RIGHT($J1390,2)&amp;$N1390&amp;"|"&amp;"2"&amp;RIGHT("00000"&amp;1385,5))</f>
        <v/>
      </c>
      <c r="L1390">
        <f>IF($K1390="","",COUNTIFS(LdgPartyA,$F1390,LdgKeyA,"&lt;"&amp;$K1390)+COUNTIFS(LdgPartyB,$F1390,LdgKeyB,"&lt;"&amp;$K1390)+1)</f>
        <v/>
      </c>
      <c r="M1390">
        <f>IF($L1390="","",$F1390&amp;"|"&amp;RIGHT("000000"&amp;$L1390,6))</f>
        <v/>
      </c>
      <c r="N1390">
        <f>IF($F1390="","",IF(Sync!$AH1390="","0000",IF(AND(ISNUMBER(Sync!$AH1390),Sync!$AH1390&gt;=0,Sync!$AH1390&lt;1),RIGHT("00"&amp;HOUR(Sync!$AH1390),2)&amp;RIGHT("00"&amp;MINUTE(Sync!$AH1390),2),IFERROR(RIGHT("00"&amp;VALUE(LEFT(Sync!$AH1390,FIND(":",Sync!$AH1390)-1)),2)&amp;RIGHT("00"&amp;VALUE(MID(Sync!$AH1390,FIND(":",Sync!$AH1390)+1,2)),2),"0000"))))</f>
        <v/>
      </c>
    </row>
    <row r="1391">
      <c r="A1391">
        <f>IF(OR(Calc!$E1394="",Calc!$E1394="نامعتبر",Calc!$G1394="",Calc!$I1394&lt;&gt;"خرید"),"",Calc!$G1394)</f>
        <v/>
      </c>
      <c r="B1391">
        <f>IF($A1391="","",LEFT(Calc!$E1394,4)&amp;MID(Calc!$E1394,6,2)&amp;RIGHT(Calc!$E1394,2)&amp;Calc!$R1394&amp;"|"&amp;"1"&amp;RIGHT("00000"&amp;1386,5))</f>
        <v/>
      </c>
      <c r="C1391">
        <f>IF($B1391="","",COUNTIFS(LdgPartyA,$A1391,LdgKeyA,"&lt;"&amp;$B1391)+COUNTIFS(LdgPartyB,$A1391,LdgKeyB,"&lt;"&amp;$B1391)+1)</f>
        <v/>
      </c>
      <c r="D1391">
        <f>IF($C1391="","",$A1391&amp;"|"&amp;RIGHT("000000"&amp;$C1391,6))</f>
        <v/>
      </c>
      <c r="F1391">
        <f>IF(Sync!$AJ1391="","",Sync!$AJ1391)</f>
        <v/>
      </c>
      <c r="G1391">
        <f>IF($F1391="","",IF(Sync!$AG1391="","",IF(ISNUMBER(Sync!$AG1391),IF(AND(Sync!$AG1391&gt;=10000101,Sync!$AG1391&lt;=99991231),INT(Sync!$AG1391/10000),""),IFERROR(VALUE(TRIM(LEFT(Sync!$AG1391,FIND("/",Sync!$AG1391)-1))),""))))</f>
        <v/>
      </c>
      <c r="H1391">
        <f>IF(OR($F1391="",$G1391=""),"",IF(ISNUMBER(Sync!$AG1391),INT(MOD(Sync!$AG1391,10000)/100),IFERROR(VALUE(TRIM(LEFT(MID(Sync!$AG1391,FIND("/",Sync!$AG1391)+1,20),FIND("/",MID(Sync!$AG1391,FIND("/",Sync!$AG1391)+1,20))-1))),"")))</f>
        <v/>
      </c>
      <c r="I1391">
        <f>IF(OR($F1391="",$G1391=""),"",IF(ISNUMBER(Sync!$AG1391),MOD(Sync!$AG1391,100),IFERROR(VALUE(TRIM(MID(MID(Sync!$AG1391,FIND("/",Sync!$AG1391)+1,20),FIND("/",MID(Sync!$AG1391,FIND("/",Sync!$AG1391)+1,20))+1,20))),"")))</f>
        <v/>
      </c>
      <c r="J1391">
        <f>IF($F1391="","",IF(OR($G1391="",$H1391="",$I1391="",$G1391&lt;1300,$G1391&gt;1500,$H1391&lt;1,$H1391&gt;12,$I1391&lt;1,$I1391&gt;31),"نامعتبر",RIGHT("0000"&amp;$G1391,4)&amp;"/"&amp;RIGHT("00"&amp;$H1391,2)&amp;"/"&amp;RIGHT("00"&amp;$I1391,2)))</f>
        <v/>
      </c>
      <c r="K1391">
        <f>IF(OR($F1391="",$J1391="",$J1391="نامعتبر"),"",LEFT($J1391,4)&amp;MID($J1391,6,2)&amp;RIGHT($J1391,2)&amp;$N1391&amp;"|"&amp;"2"&amp;RIGHT("00000"&amp;1386,5))</f>
        <v/>
      </c>
      <c r="L1391">
        <f>IF($K1391="","",COUNTIFS(LdgPartyA,$F1391,LdgKeyA,"&lt;"&amp;$K1391)+COUNTIFS(LdgPartyB,$F1391,LdgKeyB,"&lt;"&amp;$K1391)+1)</f>
        <v/>
      </c>
      <c r="M1391">
        <f>IF($L1391="","",$F1391&amp;"|"&amp;RIGHT("000000"&amp;$L1391,6))</f>
        <v/>
      </c>
      <c r="N1391">
        <f>IF($F1391="","",IF(Sync!$AH1391="","0000",IF(AND(ISNUMBER(Sync!$AH1391),Sync!$AH1391&gt;=0,Sync!$AH1391&lt;1),RIGHT("00"&amp;HOUR(Sync!$AH1391),2)&amp;RIGHT("00"&amp;MINUTE(Sync!$AH1391),2),IFERROR(RIGHT("00"&amp;VALUE(LEFT(Sync!$AH1391,FIND(":",Sync!$AH1391)-1)),2)&amp;RIGHT("00"&amp;VALUE(MID(Sync!$AH1391,FIND(":",Sync!$AH1391)+1,2)),2),"0000"))))</f>
        <v/>
      </c>
    </row>
    <row r="1392">
      <c r="A1392">
        <f>IF(OR(Calc!$E1395="",Calc!$E1395="نامعتبر",Calc!$G1395="",Calc!$I1395&lt;&gt;"خرید"),"",Calc!$G1395)</f>
        <v/>
      </c>
      <c r="B1392">
        <f>IF($A1392="","",LEFT(Calc!$E1395,4)&amp;MID(Calc!$E1395,6,2)&amp;RIGHT(Calc!$E1395,2)&amp;Calc!$R1395&amp;"|"&amp;"1"&amp;RIGHT("00000"&amp;1387,5))</f>
        <v/>
      </c>
      <c r="C1392">
        <f>IF($B1392="","",COUNTIFS(LdgPartyA,$A1392,LdgKeyA,"&lt;"&amp;$B1392)+COUNTIFS(LdgPartyB,$A1392,LdgKeyB,"&lt;"&amp;$B1392)+1)</f>
        <v/>
      </c>
      <c r="D1392">
        <f>IF($C1392="","",$A1392&amp;"|"&amp;RIGHT("000000"&amp;$C1392,6))</f>
        <v/>
      </c>
      <c r="F1392">
        <f>IF(Sync!$AJ1392="","",Sync!$AJ1392)</f>
        <v/>
      </c>
      <c r="G1392">
        <f>IF($F1392="","",IF(Sync!$AG1392="","",IF(ISNUMBER(Sync!$AG1392),IF(AND(Sync!$AG1392&gt;=10000101,Sync!$AG1392&lt;=99991231),INT(Sync!$AG1392/10000),""),IFERROR(VALUE(TRIM(LEFT(Sync!$AG1392,FIND("/",Sync!$AG1392)-1))),""))))</f>
        <v/>
      </c>
      <c r="H1392">
        <f>IF(OR($F1392="",$G1392=""),"",IF(ISNUMBER(Sync!$AG1392),INT(MOD(Sync!$AG1392,10000)/100),IFERROR(VALUE(TRIM(LEFT(MID(Sync!$AG1392,FIND("/",Sync!$AG1392)+1,20),FIND("/",MID(Sync!$AG1392,FIND("/",Sync!$AG1392)+1,20))-1))),"")))</f>
        <v/>
      </c>
      <c r="I1392">
        <f>IF(OR($F1392="",$G1392=""),"",IF(ISNUMBER(Sync!$AG1392),MOD(Sync!$AG1392,100),IFERROR(VALUE(TRIM(MID(MID(Sync!$AG1392,FIND("/",Sync!$AG1392)+1,20),FIND("/",MID(Sync!$AG1392,FIND("/",Sync!$AG1392)+1,20))+1,20))),"")))</f>
        <v/>
      </c>
      <c r="J1392">
        <f>IF($F1392="","",IF(OR($G1392="",$H1392="",$I1392="",$G1392&lt;1300,$G1392&gt;1500,$H1392&lt;1,$H1392&gt;12,$I1392&lt;1,$I1392&gt;31),"نامعتبر",RIGHT("0000"&amp;$G1392,4)&amp;"/"&amp;RIGHT("00"&amp;$H1392,2)&amp;"/"&amp;RIGHT("00"&amp;$I1392,2)))</f>
        <v/>
      </c>
      <c r="K1392">
        <f>IF(OR($F1392="",$J1392="",$J1392="نامعتبر"),"",LEFT($J1392,4)&amp;MID($J1392,6,2)&amp;RIGHT($J1392,2)&amp;$N1392&amp;"|"&amp;"2"&amp;RIGHT("00000"&amp;1387,5))</f>
        <v/>
      </c>
      <c r="L1392">
        <f>IF($K1392="","",COUNTIFS(LdgPartyA,$F1392,LdgKeyA,"&lt;"&amp;$K1392)+COUNTIFS(LdgPartyB,$F1392,LdgKeyB,"&lt;"&amp;$K1392)+1)</f>
        <v/>
      </c>
      <c r="M1392">
        <f>IF($L1392="","",$F1392&amp;"|"&amp;RIGHT("000000"&amp;$L1392,6))</f>
        <v/>
      </c>
      <c r="N1392">
        <f>IF($F1392="","",IF(Sync!$AH1392="","0000",IF(AND(ISNUMBER(Sync!$AH1392),Sync!$AH1392&gt;=0,Sync!$AH1392&lt;1),RIGHT("00"&amp;HOUR(Sync!$AH1392),2)&amp;RIGHT("00"&amp;MINUTE(Sync!$AH1392),2),IFERROR(RIGHT("00"&amp;VALUE(LEFT(Sync!$AH1392,FIND(":",Sync!$AH1392)-1)),2)&amp;RIGHT("00"&amp;VALUE(MID(Sync!$AH1392,FIND(":",Sync!$AH1392)+1,2)),2),"0000"))))</f>
        <v/>
      </c>
    </row>
    <row r="1393">
      <c r="A1393">
        <f>IF(OR(Calc!$E1396="",Calc!$E1396="نامعتبر",Calc!$G1396="",Calc!$I1396&lt;&gt;"خرید"),"",Calc!$G1396)</f>
        <v/>
      </c>
      <c r="B1393">
        <f>IF($A1393="","",LEFT(Calc!$E1396,4)&amp;MID(Calc!$E1396,6,2)&amp;RIGHT(Calc!$E1396,2)&amp;Calc!$R1396&amp;"|"&amp;"1"&amp;RIGHT("00000"&amp;1388,5))</f>
        <v/>
      </c>
      <c r="C1393">
        <f>IF($B1393="","",COUNTIFS(LdgPartyA,$A1393,LdgKeyA,"&lt;"&amp;$B1393)+COUNTIFS(LdgPartyB,$A1393,LdgKeyB,"&lt;"&amp;$B1393)+1)</f>
        <v/>
      </c>
      <c r="D1393">
        <f>IF($C1393="","",$A1393&amp;"|"&amp;RIGHT("000000"&amp;$C1393,6))</f>
        <v/>
      </c>
      <c r="F1393">
        <f>IF(Sync!$AJ1393="","",Sync!$AJ1393)</f>
        <v/>
      </c>
      <c r="G1393">
        <f>IF($F1393="","",IF(Sync!$AG1393="","",IF(ISNUMBER(Sync!$AG1393),IF(AND(Sync!$AG1393&gt;=10000101,Sync!$AG1393&lt;=99991231),INT(Sync!$AG1393/10000),""),IFERROR(VALUE(TRIM(LEFT(Sync!$AG1393,FIND("/",Sync!$AG1393)-1))),""))))</f>
        <v/>
      </c>
      <c r="H1393">
        <f>IF(OR($F1393="",$G1393=""),"",IF(ISNUMBER(Sync!$AG1393),INT(MOD(Sync!$AG1393,10000)/100),IFERROR(VALUE(TRIM(LEFT(MID(Sync!$AG1393,FIND("/",Sync!$AG1393)+1,20),FIND("/",MID(Sync!$AG1393,FIND("/",Sync!$AG1393)+1,20))-1))),"")))</f>
        <v/>
      </c>
      <c r="I1393">
        <f>IF(OR($F1393="",$G1393=""),"",IF(ISNUMBER(Sync!$AG1393),MOD(Sync!$AG1393,100),IFERROR(VALUE(TRIM(MID(MID(Sync!$AG1393,FIND("/",Sync!$AG1393)+1,20),FIND("/",MID(Sync!$AG1393,FIND("/",Sync!$AG1393)+1,20))+1,20))),"")))</f>
        <v/>
      </c>
      <c r="J1393">
        <f>IF($F1393="","",IF(OR($G1393="",$H1393="",$I1393="",$G1393&lt;1300,$G1393&gt;1500,$H1393&lt;1,$H1393&gt;12,$I1393&lt;1,$I1393&gt;31),"نامعتبر",RIGHT("0000"&amp;$G1393,4)&amp;"/"&amp;RIGHT("00"&amp;$H1393,2)&amp;"/"&amp;RIGHT("00"&amp;$I1393,2)))</f>
        <v/>
      </c>
      <c r="K1393">
        <f>IF(OR($F1393="",$J1393="",$J1393="نامعتبر"),"",LEFT($J1393,4)&amp;MID($J1393,6,2)&amp;RIGHT($J1393,2)&amp;$N1393&amp;"|"&amp;"2"&amp;RIGHT("00000"&amp;1388,5))</f>
        <v/>
      </c>
      <c r="L1393">
        <f>IF($K1393="","",COUNTIFS(LdgPartyA,$F1393,LdgKeyA,"&lt;"&amp;$K1393)+COUNTIFS(LdgPartyB,$F1393,LdgKeyB,"&lt;"&amp;$K1393)+1)</f>
        <v/>
      </c>
      <c r="M1393">
        <f>IF($L1393="","",$F1393&amp;"|"&amp;RIGHT("000000"&amp;$L1393,6))</f>
        <v/>
      </c>
      <c r="N1393">
        <f>IF($F1393="","",IF(Sync!$AH1393="","0000",IF(AND(ISNUMBER(Sync!$AH1393),Sync!$AH1393&gt;=0,Sync!$AH1393&lt;1),RIGHT("00"&amp;HOUR(Sync!$AH1393),2)&amp;RIGHT("00"&amp;MINUTE(Sync!$AH1393),2),IFERROR(RIGHT("00"&amp;VALUE(LEFT(Sync!$AH1393,FIND(":",Sync!$AH1393)-1)),2)&amp;RIGHT("00"&amp;VALUE(MID(Sync!$AH1393,FIND(":",Sync!$AH1393)+1,2)),2),"0000"))))</f>
        <v/>
      </c>
    </row>
    <row r="1394">
      <c r="A1394">
        <f>IF(OR(Calc!$E1397="",Calc!$E1397="نامعتبر",Calc!$G1397="",Calc!$I1397&lt;&gt;"خرید"),"",Calc!$G1397)</f>
        <v/>
      </c>
      <c r="B1394">
        <f>IF($A1394="","",LEFT(Calc!$E1397,4)&amp;MID(Calc!$E1397,6,2)&amp;RIGHT(Calc!$E1397,2)&amp;Calc!$R1397&amp;"|"&amp;"1"&amp;RIGHT("00000"&amp;1389,5))</f>
        <v/>
      </c>
      <c r="C1394">
        <f>IF($B1394="","",COUNTIFS(LdgPartyA,$A1394,LdgKeyA,"&lt;"&amp;$B1394)+COUNTIFS(LdgPartyB,$A1394,LdgKeyB,"&lt;"&amp;$B1394)+1)</f>
        <v/>
      </c>
      <c r="D1394">
        <f>IF($C1394="","",$A1394&amp;"|"&amp;RIGHT("000000"&amp;$C1394,6))</f>
        <v/>
      </c>
      <c r="F1394">
        <f>IF(Sync!$AJ1394="","",Sync!$AJ1394)</f>
        <v/>
      </c>
      <c r="G1394">
        <f>IF($F1394="","",IF(Sync!$AG1394="","",IF(ISNUMBER(Sync!$AG1394),IF(AND(Sync!$AG1394&gt;=10000101,Sync!$AG1394&lt;=99991231),INT(Sync!$AG1394/10000),""),IFERROR(VALUE(TRIM(LEFT(Sync!$AG1394,FIND("/",Sync!$AG1394)-1))),""))))</f>
        <v/>
      </c>
      <c r="H1394">
        <f>IF(OR($F1394="",$G1394=""),"",IF(ISNUMBER(Sync!$AG1394),INT(MOD(Sync!$AG1394,10000)/100),IFERROR(VALUE(TRIM(LEFT(MID(Sync!$AG1394,FIND("/",Sync!$AG1394)+1,20),FIND("/",MID(Sync!$AG1394,FIND("/",Sync!$AG1394)+1,20))-1))),"")))</f>
        <v/>
      </c>
      <c r="I1394">
        <f>IF(OR($F1394="",$G1394=""),"",IF(ISNUMBER(Sync!$AG1394),MOD(Sync!$AG1394,100),IFERROR(VALUE(TRIM(MID(MID(Sync!$AG1394,FIND("/",Sync!$AG1394)+1,20),FIND("/",MID(Sync!$AG1394,FIND("/",Sync!$AG1394)+1,20))+1,20))),"")))</f>
        <v/>
      </c>
      <c r="J1394">
        <f>IF($F1394="","",IF(OR($G1394="",$H1394="",$I1394="",$G1394&lt;1300,$G1394&gt;1500,$H1394&lt;1,$H1394&gt;12,$I1394&lt;1,$I1394&gt;31),"نامعتبر",RIGHT("0000"&amp;$G1394,4)&amp;"/"&amp;RIGHT("00"&amp;$H1394,2)&amp;"/"&amp;RIGHT("00"&amp;$I1394,2)))</f>
        <v/>
      </c>
      <c r="K1394">
        <f>IF(OR($F1394="",$J1394="",$J1394="نامعتبر"),"",LEFT($J1394,4)&amp;MID($J1394,6,2)&amp;RIGHT($J1394,2)&amp;$N1394&amp;"|"&amp;"2"&amp;RIGHT("00000"&amp;1389,5))</f>
        <v/>
      </c>
      <c r="L1394">
        <f>IF($K1394="","",COUNTIFS(LdgPartyA,$F1394,LdgKeyA,"&lt;"&amp;$K1394)+COUNTIFS(LdgPartyB,$F1394,LdgKeyB,"&lt;"&amp;$K1394)+1)</f>
        <v/>
      </c>
      <c r="M1394">
        <f>IF($L1394="","",$F1394&amp;"|"&amp;RIGHT("000000"&amp;$L1394,6))</f>
        <v/>
      </c>
      <c r="N1394">
        <f>IF($F1394="","",IF(Sync!$AH1394="","0000",IF(AND(ISNUMBER(Sync!$AH1394),Sync!$AH1394&gt;=0,Sync!$AH1394&lt;1),RIGHT("00"&amp;HOUR(Sync!$AH1394),2)&amp;RIGHT("00"&amp;MINUTE(Sync!$AH1394),2),IFERROR(RIGHT("00"&amp;VALUE(LEFT(Sync!$AH1394,FIND(":",Sync!$AH1394)-1)),2)&amp;RIGHT("00"&amp;VALUE(MID(Sync!$AH1394,FIND(":",Sync!$AH1394)+1,2)),2),"0000"))))</f>
        <v/>
      </c>
    </row>
    <row r="1395">
      <c r="A1395">
        <f>IF(OR(Calc!$E1398="",Calc!$E1398="نامعتبر",Calc!$G1398="",Calc!$I1398&lt;&gt;"خرید"),"",Calc!$G1398)</f>
        <v/>
      </c>
      <c r="B1395">
        <f>IF($A1395="","",LEFT(Calc!$E1398,4)&amp;MID(Calc!$E1398,6,2)&amp;RIGHT(Calc!$E1398,2)&amp;Calc!$R1398&amp;"|"&amp;"1"&amp;RIGHT("00000"&amp;1390,5))</f>
        <v/>
      </c>
      <c r="C1395">
        <f>IF($B1395="","",COUNTIFS(LdgPartyA,$A1395,LdgKeyA,"&lt;"&amp;$B1395)+COUNTIFS(LdgPartyB,$A1395,LdgKeyB,"&lt;"&amp;$B1395)+1)</f>
        <v/>
      </c>
      <c r="D1395">
        <f>IF($C1395="","",$A1395&amp;"|"&amp;RIGHT("000000"&amp;$C1395,6))</f>
        <v/>
      </c>
      <c r="F1395">
        <f>IF(Sync!$AJ1395="","",Sync!$AJ1395)</f>
        <v/>
      </c>
      <c r="G1395">
        <f>IF($F1395="","",IF(Sync!$AG1395="","",IF(ISNUMBER(Sync!$AG1395),IF(AND(Sync!$AG1395&gt;=10000101,Sync!$AG1395&lt;=99991231),INT(Sync!$AG1395/10000),""),IFERROR(VALUE(TRIM(LEFT(Sync!$AG1395,FIND("/",Sync!$AG1395)-1))),""))))</f>
        <v/>
      </c>
      <c r="H1395">
        <f>IF(OR($F1395="",$G1395=""),"",IF(ISNUMBER(Sync!$AG1395),INT(MOD(Sync!$AG1395,10000)/100),IFERROR(VALUE(TRIM(LEFT(MID(Sync!$AG1395,FIND("/",Sync!$AG1395)+1,20),FIND("/",MID(Sync!$AG1395,FIND("/",Sync!$AG1395)+1,20))-1))),"")))</f>
        <v/>
      </c>
      <c r="I1395">
        <f>IF(OR($F1395="",$G1395=""),"",IF(ISNUMBER(Sync!$AG1395),MOD(Sync!$AG1395,100),IFERROR(VALUE(TRIM(MID(MID(Sync!$AG1395,FIND("/",Sync!$AG1395)+1,20),FIND("/",MID(Sync!$AG1395,FIND("/",Sync!$AG1395)+1,20))+1,20))),"")))</f>
        <v/>
      </c>
      <c r="J1395">
        <f>IF($F1395="","",IF(OR($G1395="",$H1395="",$I1395="",$G1395&lt;1300,$G1395&gt;1500,$H1395&lt;1,$H1395&gt;12,$I1395&lt;1,$I1395&gt;31),"نامعتبر",RIGHT("0000"&amp;$G1395,4)&amp;"/"&amp;RIGHT("00"&amp;$H1395,2)&amp;"/"&amp;RIGHT("00"&amp;$I1395,2)))</f>
        <v/>
      </c>
      <c r="K1395">
        <f>IF(OR($F1395="",$J1395="",$J1395="نامعتبر"),"",LEFT($J1395,4)&amp;MID($J1395,6,2)&amp;RIGHT($J1395,2)&amp;$N1395&amp;"|"&amp;"2"&amp;RIGHT("00000"&amp;1390,5))</f>
        <v/>
      </c>
      <c r="L1395">
        <f>IF($K1395="","",COUNTIFS(LdgPartyA,$F1395,LdgKeyA,"&lt;"&amp;$K1395)+COUNTIFS(LdgPartyB,$F1395,LdgKeyB,"&lt;"&amp;$K1395)+1)</f>
        <v/>
      </c>
      <c r="M1395">
        <f>IF($L1395="","",$F1395&amp;"|"&amp;RIGHT("000000"&amp;$L1395,6))</f>
        <v/>
      </c>
      <c r="N1395">
        <f>IF($F1395="","",IF(Sync!$AH1395="","0000",IF(AND(ISNUMBER(Sync!$AH1395),Sync!$AH1395&gt;=0,Sync!$AH1395&lt;1),RIGHT("00"&amp;HOUR(Sync!$AH1395),2)&amp;RIGHT("00"&amp;MINUTE(Sync!$AH1395),2),IFERROR(RIGHT("00"&amp;VALUE(LEFT(Sync!$AH1395,FIND(":",Sync!$AH1395)-1)),2)&amp;RIGHT("00"&amp;VALUE(MID(Sync!$AH1395,FIND(":",Sync!$AH1395)+1,2)),2),"0000"))))</f>
        <v/>
      </c>
    </row>
    <row r="1396">
      <c r="A1396">
        <f>IF(OR(Calc!$E1399="",Calc!$E1399="نامعتبر",Calc!$G1399="",Calc!$I1399&lt;&gt;"خرید"),"",Calc!$G1399)</f>
        <v/>
      </c>
      <c r="B1396">
        <f>IF($A1396="","",LEFT(Calc!$E1399,4)&amp;MID(Calc!$E1399,6,2)&amp;RIGHT(Calc!$E1399,2)&amp;Calc!$R1399&amp;"|"&amp;"1"&amp;RIGHT("00000"&amp;1391,5))</f>
        <v/>
      </c>
      <c r="C1396">
        <f>IF($B1396="","",COUNTIFS(LdgPartyA,$A1396,LdgKeyA,"&lt;"&amp;$B1396)+COUNTIFS(LdgPartyB,$A1396,LdgKeyB,"&lt;"&amp;$B1396)+1)</f>
        <v/>
      </c>
      <c r="D1396">
        <f>IF($C1396="","",$A1396&amp;"|"&amp;RIGHT("000000"&amp;$C1396,6))</f>
        <v/>
      </c>
      <c r="F1396">
        <f>IF(Sync!$AJ1396="","",Sync!$AJ1396)</f>
        <v/>
      </c>
      <c r="G1396">
        <f>IF($F1396="","",IF(Sync!$AG1396="","",IF(ISNUMBER(Sync!$AG1396),IF(AND(Sync!$AG1396&gt;=10000101,Sync!$AG1396&lt;=99991231),INT(Sync!$AG1396/10000),""),IFERROR(VALUE(TRIM(LEFT(Sync!$AG1396,FIND("/",Sync!$AG1396)-1))),""))))</f>
        <v/>
      </c>
      <c r="H1396">
        <f>IF(OR($F1396="",$G1396=""),"",IF(ISNUMBER(Sync!$AG1396),INT(MOD(Sync!$AG1396,10000)/100),IFERROR(VALUE(TRIM(LEFT(MID(Sync!$AG1396,FIND("/",Sync!$AG1396)+1,20),FIND("/",MID(Sync!$AG1396,FIND("/",Sync!$AG1396)+1,20))-1))),"")))</f>
        <v/>
      </c>
      <c r="I1396">
        <f>IF(OR($F1396="",$G1396=""),"",IF(ISNUMBER(Sync!$AG1396),MOD(Sync!$AG1396,100),IFERROR(VALUE(TRIM(MID(MID(Sync!$AG1396,FIND("/",Sync!$AG1396)+1,20),FIND("/",MID(Sync!$AG1396,FIND("/",Sync!$AG1396)+1,20))+1,20))),"")))</f>
        <v/>
      </c>
      <c r="J1396">
        <f>IF($F1396="","",IF(OR($G1396="",$H1396="",$I1396="",$G1396&lt;1300,$G1396&gt;1500,$H1396&lt;1,$H1396&gt;12,$I1396&lt;1,$I1396&gt;31),"نامعتبر",RIGHT("0000"&amp;$G1396,4)&amp;"/"&amp;RIGHT("00"&amp;$H1396,2)&amp;"/"&amp;RIGHT("00"&amp;$I1396,2)))</f>
        <v/>
      </c>
      <c r="K1396">
        <f>IF(OR($F1396="",$J1396="",$J1396="نامعتبر"),"",LEFT($J1396,4)&amp;MID($J1396,6,2)&amp;RIGHT($J1396,2)&amp;$N1396&amp;"|"&amp;"2"&amp;RIGHT("00000"&amp;1391,5))</f>
        <v/>
      </c>
      <c r="L1396">
        <f>IF($K1396="","",COUNTIFS(LdgPartyA,$F1396,LdgKeyA,"&lt;"&amp;$K1396)+COUNTIFS(LdgPartyB,$F1396,LdgKeyB,"&lt;"&amp;$K1396)+1)</f>
        <v/>
      </c>
      <c r="M1396">
        <f>IF($L1396="","",$F1396&amp;"|"&amp;RIGHT("000000"&amp;$L1396,6))</f>
        <v/>
      </c>
      <c r="N1396">
        <f>IF($F1396="","",IF(Sync!$AH1396="","0000",IF(AND(ISNUMBER(Sync!$AH1396),Sync!$AH1396&gt;=0,Sync!$AH1396&lt;1),RIGHT("00"&amp;HOUR(Sync!$AH1396),2)&amp;RIGHT("00"&amp;MINUTE(Sync!$AH1396),2),IFERROR(RIGHT("00"&amp;VALUE(LEFT(Sync!$AH1396,FIND(":",Sync!$AH1396)-1)),2)&amp;RIGHT("00"&amp;VALUE(MID(Sync!$AH1396,FIND(":",Sync!$AH1396)+1,2)),2),"0000"))))</f>
        <v/>
      </c>
    </row>
    <row r="1397">
      <c r="A1397">
        <f>IF(OR(Calc!$E1400="",Calc!$E1400="نامعتبر",Calc!$G1400="",Calc!$I1400&lt;&gt;"خرید"),"",Calc!$G1400)</f>
        <v/>
      </c>
      <c r="B1397">
        <f>IF($A1397="","",LEFT(Calc!$E1400,4)&amp;MID(Calc!$E1400,6,2)&amp;RIGHT(Calc!$E1400,2)&amp;Calc!$R1400&amp;"|"&amp;"1"&amp;RIGHT("00000"&amp;1392,5))</f>
        <v/>
      </c>
      <c r="C1397">
        <f>IF($B1397="","",COUNTIFS(LdgPartyA,$A1397,LdgKeyA,"&lt;"&amp;$B1397)+COUNTIFS(LdgPartyB,$A1397,LdgKeyB,"&lt;"&amp;$B1397)+1)</f>
        <v/>
      </c>
      <c r="D1397">
        <f>IF($C1397="","",$A1397&amp;"|"&amp;RIGHT("000000"&amp;$C1397,6))</f>
        <v/>
      </c>
      <c r="F1397">
        <f>IF(Sync!$AJ1397="","",Sync!$AJ1397)</f>
        <v/>
      </c>
      <c r="G1397">
        <f>IF($F1397="","",IF(Sync!$AG1397="","",IF(ISNUMBER(Sync!$AG1397),IF(AND(Sync!$AG1397&gt;=10000101,Sync!$AG1397&lt;=99991231),INT(Sync!$AG1397/10000),""),IFERROR(VALUE(TRIM(LEFT(Sync!$AG1397,FIND("/",Sync!$AG1397)-1))),""))))</f>
        <v/>
      </c>
      <c r="H1397">
        <f>IF(OR($F1397="",$G1397=""),"",IF(ISNUMBER(Sync!$AG1397),INT(MOD(Sync!$AG1397,10000)/100),IFERROR(VALUE(TRIM(LEFT(MID(Sync!$AG1397,FIND("/",Sync!$AG1397)+1,20),FIND("/",MID(Sync!$AG1397,FIND("/",Sync!$AG1397)+1,20))-1))),"")))</f>
        <v/>
      </c>
      <c r="I1397">
        <f>IF(OR($F1397="",$G1397=""),"",IF(ISNUMBER(Sync!$AG1397),MOD(Sync!$AG1397,100),IFERROR(VALUE(TRIM(MID(MID(Sync!$AG1397,FIND("/",Sync!$AG1397)+1,20),FIND("/",MID(Sync!$AG1397,FIND("/",Sync!$AG1397)+1,20))+1,20))),"")))</f>
        <v/>
      </c>
      <c r="J1397">
        <f>IF($F1397="","",IF(OR($G1397="",$H1397="",$I1397="",$G1397&lt;1300,$G1397&gt;1500,$H1397&lt;1,$H1397&gt;12,$I1397&lt;1,$I1397&gt;31),"نامعتبر",RIGHT("0000"&amp;$G1397,4)&amp;"/"&amp;RIGHT("00"&amp;$H1397,2)&amp;"/"&amp;RIGHT("00"&amp;$I1397,2)))</f>
        <v/>
      </c>
      <c r="K1397">
        <f>IF(OR($F1397="",$J1397="",$J1397="نامعتبر"),"",LEFT($J1397,4)&amp;MID($J1397,6,2)&amp;RIGHT($J1397,2)&amp;$N1397&amp;"|"&amp;"2"&amp;RIGHT("00000"&amp;1392,5))</f>
        <v/>
      </c>
      <c r="L1397">
        <f>IF($K1397="","",COUNTIFS(LdgPartyA,$F1397,LdgKeyA,"&lt;"&amp;$K1397)+COUNTIFS(LdgPartyB,$F1397,LdgKeyB,"&lt;"&amp;$K1397)+1)</f>
        <v/>
      </c>
      <c r="M1397">
        <f>IF($L1397="","",$F1397&amp;"|"&amp;RIGHT("000000"&amp;$L1397,6))</f>
        <v/>
      </c>
      <c r="N1397">
        <f>IF($F1397="","",IF(Sync!$AH1397="","0000",IF(AND(ISNUMBER(Sync!$AH1397),Sync!$AH1397&gt;=0,Sync!$AH1397&lt;1),RIGHT("00"&amp;HOUR(Sync!$AH1397),2)&amp;RIGHT("00"&amp;MINUTE(Sync!$AH1397),2),IFERROR(RIGHT("00"&amp;VALUE(LEFT(Sync!$AH1397,FIND(":",Sync!$AH1397)-1)),2)&amp;RIGHT("00"&amp;VALUE(MID(Sync!$AH1397,FIND(":",Sync!$AH1397)+1,2)),2),"0000"))))</f>
        <v/>
      </c>
    </row>
    <row r="1398">
      <c r="A1398">
        <f>IF(OR(Calc!$E1401="",Calc!$E1401="نامعتبر",Calc!$G1401="",Calc!$I1401&lt;&gt;"خرید"),"",Calc!$G1401)</f>
        <v/>
      </c>
      <c r="B1398">
        <f>IF($A1398="","",LEFT(Calc!$E1401,4)&amp;MID(Calc!$E1401,6,2)&amp;RIGHT(Calc!$E1401,2)&amp;Calc!$R1401&amp;"|"&amp;"1"&amp;RIGHT("00000"&amp;1393,5))</f>
        <v/>
      </c>
      <c r="C1398">
        <f>IF($B1398="","",COUNTIFS(LdgPartyA,$A1398,LdgKeyA,"&lt;"&amp;$B1398)+COUNTIFS(LdgPartyB,$A1398,LdgKeyB,"&lt;"&amp;$B1398)+1)</f>
        <v/>
      </c>
      <c r="D1398">
        <f>IF($C1398="","",$A1398&amp;"|"&amp;RIGHT("000000"&amp;$C1398,6))</f>
        <v/>
      </c>
      <c r="F1398">
        <f>IF(Sync!$AJ1398="","",Sync!$AJ1398)</f>
        <v/>
      </c>
      <c r="G1398">
        <f>IF($F1398="","",IF(Sync!$AG1398="","",IF(ISNUMBER(Sync!$AG1398),IF(AND(Sync!$AG1398&gt;=10000101,Sync!$AG1398&lt;=99991231),INT(Sync!$AG1398/10000),""),IFERROR(VALUE(TRIM(LEFT(Sync!$AG1398,FIND("/",Sync!$AG1398)-1))),""))))</f>
        <v/>
      </c>
      <c r="H1398">
        <f>IF(OR($F1398="",$G1398=""),"",IF(ISNUMBER(Sync!$AG1398),INT(MOD(Sync!$AG1398,10000)/100),IFERROR(VALUE(TRIM(LEFT(MID(Sync!$AG1398,FIND("/",Sync!$AG1398)+1,20),FIND("/",MID(Sync!$AG1398,FIND("/",Sync!$AG1398)+1,20))-1))),"")))</f>
        <v/>
      </c>
      <c r="I1398">
        <f>IF(OR($F1398="",$G1398=""),"",IF(ISNUMBER(Sync!$AG1398),MOD(Sync!$AG1398,100),IFERROR(VALUE(TRIM(MID(MID(Sync!$AG1398,FIND("/",Sync!$AG1398)+1,20),FIND("/",MID(Sync!$AG1398,FIND("/",Sync!$AG1398)+1,20))+1,20))),"")))</f>
        <v/>
      </c>
      <c r="J1398">
        <f>IF($F1398="","",IF(OR($G1398="",$H1398="",$I1398="",$G1398&lt;1300,$G1398&gt;1500,$H1398&lt;1,$H1398&gt;12,$I1398&lt;1,$I1398&gt;31),"نامعتبر",RIGHT("0000"&amp;$G1398,4)&amp;"/"&amp;RIGHT("00"&amp;$H1398,2)&amp;"/"&amp;RIGHT("00"&amp;$I1398,2)))</f>
        <v/>
      </c>
      <c r="K1398">
        <f>IF(OR($F1398="",$J1398="",$J1398="نامعتبر"),"",LEFT($J1398,4)&amp;MID($J1398,6,2)&amp;RIGHT($J1398,2)&amp;$N1398&amp;"|"&amp;"2"&amp;RIGHT("00000"&amp;1393,5))</f>
        <v/>
      </c>
      <c r="L1398">
        <f>IF($K1398="","",COUNTIFS(LdgPartyA,$F1398,LdgKeyA,"&lt;"&amp;$K1398)+COUNTIFS(LdgPartyB,$F1398,LdgKeyB,"&lt;"&amp;$K1398)+1)</f>
        <v/>
      </c>
      <c r="M1398">
        <f>IF($L1398="","",$F1398&amp;"|"&amp;RIGHT("000000"&amp;$L1398,6))</f>
        <v/>
      </c>
      <c r="N1398">
        <f>IF($F1398="","",IF(Sync!$AH1398="","0000",IF(AND(ISNUMBER(Sync!$AH1398),Sync!$AH1398&gt;=0,Sync!$AH1398&lt;1),RIGHT("00"&amp;HOUR(Sync!$AH1398),2)&amp;RIGHT("00"&amp;MINUTE(Sync!$AH1398),2),IFERROR(RIGHT("00"&amp;VALUE(LEFT(Sync!$AH1398,FIND(":",Sync!$AH1398)-1)),2)&amp;RIGHT("00"&amp;VALUE(MID(Sync!$AH1398,FIND(":",Sync!$AH1398)+1,2)),2),"0000"))))</f>
        <v/>
      </c>
    </row>
    <row r="1399">
      <c r="A1399">
        <f>IF(OR(Calc!$E1402="",Calc!$E1402="نامعتبر",Calc!$G1402="",Calc!$I1402&lt;&gt;"خرید"),"",Calc!$G1402)</f>
        <v/>
      </c>
      <c r="B1399">
        <f>IF($A1399="","",LEFT(Calc!$E1402,4)&amp;MID(Calc!$E1402,6,2)&amp;RIGHT(Calc!$E1402,2)&amp;Calc!$R1402&amp;"|"&amp;"1"&amp;RIGHT("00000"&amp;1394,5))</f>
        <v/>
      </c>
      <c r="C1399">
        <f>IF($B1399="","",COUNTIFS(LdgPartyA,$A1399,LdgKeyA,"&lt;"&amp;$B1399)+COUNTIFS(LdgPartyB,$A1399,LdgKeyB,"&lt;"&amp;$B1399)+1)</f>
        <v/>
      </c>
      <c r="D1399">
        <f>IF($C1399="","",$A1399&amp;"|"&amp;RIGHT("000000"&amp;$C1399,6))</f>
        <v/>
      </c>
      <c r="F1399">
        <f>IF(Sync!$AJ1399="","",Sync!$AJ1399)</f>
        <v/>
      </c>
      <c r="G1399">
        <f>IF($F1399="","",IF(Sync!$AG1399="","",IF(ISNUMBER(Sync!$AG1399),IF(AND(Sync!$AG1399&gt;=10000101,Sync!$AG1399&lt;=99991231),INT(Sync!$AG1399/10000),""),IFERROR(VALUE(TRIM(LEFT(Sync!$AG1399,FIND("/",Sync!$AG1399)-1))),""))))</f>
        <v/>
      </c>
      <c r="H1399">
        <f>IF(OR($F1399="",$G1399=""),"",IF(ISNUMBER(Sync!$AG1399),INT(MOD(Sync!$AG1399,10000)/100),IFERROR(VALUE(TRIM(LEFT(MID(Sync!$AG1399,FIND("/",Sync!$AG1399)+1,20),FIND("/",MID(Sync!$AG1399,FIND("/",Sync!$AG1399)+1,20))-1))),"")))</f>
        <v/>
      </c>
      <c r="I1399">
        <f>IF(OR($F1399="",$G1399=""),"",IF(ISNUMBER(Sync!$AG1399),MOD(Sync!$AG1399,100),IFERROR(VALUE(TRIM(MID(MID(Sync!$AG1399,FIND("/",Sync!$AG1399)+1,20),FIND("/",MID(Sync!$AG1399,FIND("/",Sync!$AG1399)+1,20))+1,20))),"")))</f>
        <v/>
      </c>
      <c r="J1399">
        <f>IF($F1399="","",IF(OR($G1399="",$H1399="",$I1399="",$G1399&lt;1300,$G1399&gt;1500,$H1399&lt;1,$H1399&gt;12,$I1399&lt;1,$I1399&gt;31),"نامعتبر",RIGHT("0000"&amp;$G1399,4)&amp;"/"&amp;RIGHT("00"&amp;$H1399,2)&amp;"/"&amp;RIGHT("00"&amp;$I1399,2)))</f>
        <v/>
      </c>
      <c r="K1399">
        <f>IF(OR($F1399="",$J1399="",$J1399="نامعتبر"),"",LEFT($J1399,4)&amp;MID($J1399,6,2)&amp;RIGHT($J1399,2)&amp;$N1399&amp;"|"&amp;"2"&amp;RIGHT("00000"&amp;1394,5))</f>
        <v/>
      </c>
      <c r="L1399">
        <f>IF($K1399="","",COUNTIFS(LdgPartyA,$F1399,LdgKeyA,"&lt;"&amp;$K1399)+COUNTIFS(LdgPartyB,$F1399,LdgKeyB,"&lt;"&amp;$K1399)+1)</f>
        <v/>
      </c>
      <c r="M1399">
        <f>IF($L1399="","",$F1399&amp;"|"&amp;RIGHT("000000"&amp;$L1399,6))</f>
        <v/>
      </c>
      <c r="N1399">
        <f>IF($F1399="","",IF(Sync!$AH1399="","0000",IF(AND(ISNUMBER(Sync!$AH1399),Sync!$AH1399&gt;=0,Sync!$AH1399&lt;1),RIGHT("00"&amp;HOUR(Sync!$AH1399),2)&amp;RIGHT("00"&amp;MINUTE(Sync!$AH1399),2),IFERROR(RIGHT("00"&amp;VALUE(LEFT(Sync!$AH1399,FIND(":",Sync!$AH1399)-1)),2)&amp;RIGHT("00"&amp;VALUE(MID(Sync!$AH1399,FIND(":",Sync!$AH1399)+1,2)),2),"0000"))))</f>
        <v/>
      </c>
    </row>
    <row r="1400">
      <c r="A1400">
        <f>IF(OR(Calc!$E1403="",Calc!$E1403="نامعتبر",Calc!$G1403="",Calc!$I1403&lt;&gt;"خرید"),"",Calc!$G1403)</f>
        <v/>
      </c>
      <c r="B1400">
        <f>IF($A1400="","",LEFT(Calc!$E1403,4)&amp;MID(Calc!$E1403,6,2)&amp;RIGHT(Calc!$E1403,2)&amp;Calc!$R1403&amp;"|"&amp;"1"&amp;RIGHT("00000"&amp;1395,5))</f>
        <v/>
      </c>
      <c r="C1400">
        <f>IF($B1400="","",COUNTIFS(LdgPartyA,$A1400,LdgKeyA,"&lt;"&amp;$B1400)+COUNTIFS(LdgPartyB,$A1400,LdgKeyB,"&lt;"&amp;$B1400)+1)</f>
        <v/>
      </c>
      <c r="D1400">
        <f>IF($C1400="","",$A1400&amp;"|"&amp;RIGHT("000000"&amp;$C1400,6))</f>
        <v/>
      </c>
      <c r="F1400">
        <f>IF(Sync!$AJ1400="","",Sync!$AJ1400)</f>
        <v/>
      </c>
      <c r="G1400">
        <f>IF($F1400="","",IF(Sync!$AG1400="","",IF(ISNUMBER(Sync!$AG1400),IF(AND(Sync!$AG1400&gt;=10000101,Sync!$AG1400&lt;=99991231),INT(Sync!$AG1400/10000),""),IFERROR(VALUE(TRIM(LEFT(Sync!$AG1400,FIND("/",Sync!$AG1400)-1))),""))))</f>
        <v/>
      </c>
      <c r="H1400">
        <f>IF(OR($F1400="",$G1400=""),"",IF(ISNUMBER(Sync!$AG1400),INT(MOD(Sync!$AG1400,10000)/100),IFERROR(VALUE(TRIM(LEFT(MID(Sync!$AG1400,FIND("/",Sync!$AG1400)+1,20),FIND("/",MID(Sync!$AG1400,FIND("/",Sync!$AG1400)+1,20))-1))),"")))</f>
        <v/>
      </c>
      <c r="I1400">
        <f>IF(OR($F1400="",$G1400=""),"",IF(ISNUMBER(Sync!$AG1400),MOD(Sync!$AG1400,100),IFERROR(VALUE(TRIM(MID(MID(Sync!$AG1400,FIND("/",Sync!$AG1400)+1,20),FIND("/",MID(Sync!$AG1400,FIND("/",Sync!$AG1400)+1,20))+1,20))),"")))</f>
        <v/>
      </c>
      <c r="J1400">
        <f>IF($F1400="","",IF(OR($G1400="",$H1400="",$I1400="",$G1400&lt;1300,$G1400&gt;1500,$H1400&lt;1,$H1400&gt;12,$I1400&lt;1,$I1400&gt;31),"نامعتبر",RIGHT("0000"&amp;$G1400,4)&amp;"/"&amp;RIGHT("00"&amp;$H1400,2)&amp;"/"&amp;RIGHT("00"&amp;$I1400,2)))</f>
        <v/>
      </c>
      <c r="K1400">
        <f>IF(OR($F1400="",$J1400="",$J1400="نامعتبر"),"",LEFT($J1400,4)&amp;MID($J1400,6,2)&amp;RIGHT($J1400,2)&amp;$N1400&amp;"|"&amp;"2"&amp;RIGHT("00000"&amp;1395,5))</f>
        <v/>
      </c>
      <c r="L1400">
        <f>IF($K1400="","",COUNTIFS(LdgPartyA,$F1400,LdgKeyA,"&lt;"&amp;$K1400)+COUNTIFS(LdgPartyB,$F1400,LdgKeyB,"&lt;"&amp;$K1400)+1)</f>
        <v/>
      </c>
      <c r="M1400">
        <f>IF($L1400="","",$F1400&amp;"|"&amp;RIGHT("000000"&amp;$L1400,6))</f>
        <v/>
      </c>
      <c r="N1400">
        <f>IF($F1400="","",IF(Sync!$AH1400="","0000",IF(AND(ISNUMBER(Sync!$AH1400),Sync!$AH1400&gt;=0,Sync!$AH1400&lt;1),RIGHT("00"&amp;HOUR(Sync!$AH1400),2)&amp;RIGHT("00"&amp;MINUTE(Sync!$AH1400),2),IFERROR(RIGHT("00"&amp;VALUE(LEFT(Sync!$AH1400,FIND(":",Sync!$AH1400)-1)),2)&amp;RIGHT("00"&amp;VALUE(MID(Sync!$AH1400,FIND(":",Sync!$AH1400)+1,2)),2),"0000"))))</f>
        <v/>
      </c>
    </row>
    <row r="1401">
      <c r="A1401">
        <f>IF(OR(Calc!$E1404="",Calc!$E1404="نامعتبر",Calc!$G1404="",Calc!$I1404&lt;&gt;"خرید"),"",Calc!$G1404)</f>
        <v/>
      </c>
      <c r="B1401">
        <f>IF($A1401="","",LEFT(Calc!$E1404,4)&amp;MID(Calc!$E1404,6,2)&amp;RIGHT(Calc!$E1404,2)&amp;Calc!$R1404&amp;"|"&amp;"1"&amp;RIGHT("00000"&amp;1396,5))</f>
        <v/>
      </c>
      <c r="C1401">
        <f>IF($B1401="","",COUNTIFS(LdgPartyA,$A1401,LdgKeyA,"&lt;"&amp;$B1401)+COUNTIFS(LdgPartyB,$A1401,LdgKeyB,"&lt;"&amp;$B1401)+1)</f>
        <v/>
      </c>
      <c r="D1401">
        <f>IF($C1401="","",$A1401&amp;"|"&amp;RIGHT("000000"&amp;$C1401,6))</f>
        <v/>
      </c>
      <c r="F1401">
        <f>IF(Sync!$AJ1401="","",Sync!$AJ1401)</f>
        <v/>
      </c>
      <c r="G1401">
        <f>IF($F1401="","",IF(Sync!$AG1401="","",IF(ISNUMBER(Sync!$AG1401),IF(AND(Sync!$AG1401&gt;=10000101,Sync!$AG1401&lt;=99991231),INT(Sync!$AG1401/10000),""),IFERROR(VALUE(TRIM(LEFT(Sync!$AG1401,FIND("/",Sync!$AG1401)-1))),""))))</f>
        <v/>
      </c>
      <c r="H1401">
        <f>IF(OR($F1401="",$G1401=""),"",IF(ISNUMBER(Sync!$AG1401),INT(MOD(Sync!$AG1401,10000)/100),IFERROR(VALUE(TRIM(LEFT(MID(Sync!$AG1401,FIND("/",Sync!$AG1401)+1,20),FIND("/",MID(Sync!$AG1401,FIND("/",Sync!$AG1401)+1,20))-1))),"")))</f>
        <v/>
      </c>
      <c r="I1401">
        <f>IF(OR($F1401="",$G1401=""),"",IF(ISNUMBER(Sync!$AG1401),MOD(Sync!$AG1401,100),IFERROR(VALUE(TRIM(MID(MID(Sync!$AG1401,FIND("/",Sync!$AG1401)+1,20),FIND("/",MID(Sync!$AG1401,FIND("/",Sync!$AG1401)+1,20))+1,20))),"")))</f>
        <v/>
      </c>
      <c r="J1401">
        <f>IF($F1401="","",IF(OR($G1401="",$H1401="",$I1401="",$G1401&lt;1300,$G1401&gt;1500,$H1401&lt;1,$H1401&gt;12,$I1401&lt;1,$I1401&gt;31),"نامعتبر",RIGHT("0000"&amp;$G1401,4)&amp;"/"&amp;RIGHT("00"&amp;$H1401,2)&amp;"/"&amp;RIGHT("00"&amp;$I1401,2)))</f>
        <v/>
      </c>
      <c r="K1401">
        <f>IF(OR($F1401="",$J1401="",$J1401="نامعتبر"),"",LEFT($J1401,4)&amp;MID($J1401,6,2)&amp;RIGHT($J1401,2)&amp;$N1401&amp;"|"&amp;"2"&amp;RIGHT("00000"&amp;1396,5))</f>
        <v/>
      </c>
      <c r="L1401">
        <f>IF($K1401="","",COUNTIFS(LdgPartyA,$F1401,LdgKeyA,"&lt;"&amp;$K1401)+COUNTIFS(LdgPartyB,$F1401,LdgKeyB,"&lt;"&amp;$K1401)+1)</f>
        <v/>
      </c>
      <c r="M1401">
        <f>IF($L1401="","",$F1401&amp;"|"&amp;RIGHT("000000"&amp;$L1401,6))</f>
        <v/>
      </c>
      <c r="N1401">
        <f>IF($F1401="","",IF(Sync!$AH1401="","0000",IF(AND(ISNUMBER(Sync!$AH1401),Sync!$AH1401&gt;=0,Sync!$AH1401&lt;1),RIGHT("00"&amp;HOUR(Sync!$AH1401),2)&amp;RIGHT("00"&amp;MINUTE(Sync!$AH1401),2),IFERROR(RIGHT("00"&amp;VALUE(LEFT(Sync!$AH1401,FIND(":",Sync!$AH1401)-1)),2)&amp;RIGHT("00"&amp;VALUE(MID(Sync!$AH1401,FIND(":",Sync!$AH1401)+1,2)),2),"0000"))))</f>
        <v/>
      </c>
    </row>
    <row r="1402">
      <c r="A1402">
        <f>IF(OR(Calc!$E1405="",Calc!$E1405="نامعتبر",Calc!$G1405="",Calc!$I1405&lt;&gt;"خرید"),"",Calc!$G1405)</f>
        <v/>
      </c>
      <c r="B1402">
        <f>IF($A1402="","",LEFT(Calc!$E1405,4)&amp;MID(Calc!$E1405,6,2)&amp;RIGHT(Calc!$E1405,2)&amp;Calc!$R1405&amp;"|"&amp;"1"&amp;RIGHT("00000"&amp;1397,5))</f>
        <v/>
      </c>
      <c r="C1402">
        <f>IF($B1402="","",COUNTIFS(LdgPartyA,$A1402,LdgKeyA,"&lt;"&amp;$B1402)+COUNTIFS(LdgPartyB,$A1402,LdgKeyB,"&lt;"&amp;$B1402)+1)</f>
        <v/>
      </c>
      <c r="D1402">
        <f>IF($C1402="","",$A1402&amp;"|"&amp;RIGHT("000000"&amp;$C1402,6))</f>
        <v/>
      </c>
      <c r="F1402">
        <f>IF(Sync!$AJ1402="","",Sync!$AJ1402)</f>
        <v/>
      </c>
      <c r="G1402">
        <f>IF($F1402="","",IF(Sync!$AG1402="","",IF(ISNUMBER(Sync!$AG1402),IF(AND(Sync!$AG1402&gt;=10000101,Sync!$AG1402&lt;=99991231),INT(Sync!$AG1402/10000),""),IFERROR(VALUE(TRIM(LEFT(Sync!$AG1402,FIND("/",Sync!$AG1402)-1))),""))))</f>
        <v/>
      </c>
      <c r="H1402">
        <f>IF(OR($F1402="",$G1402=""),"",IF(ISNUMBER(Sync!$AG1402),INT(MOD(Sync!$AG1402,10000)/100),IFERROR(VALUE(TRIM(LEFT(MID(Sync!$AG1402,FIND("/",Sync!$AG1402)+1,20),FIND("/",MID(Sync!$AG1402,FIND("/",Sync!$AG1402)+1,20))-1))),"")))</f>
        <v/>
      </c>
      <c r="I1402">
        <f>IF(OR($F1402="",$G1402=""),"",IF(ISNUMBER(Sync!$AG1402),MOD(Sync!$AG1402,100),IFERROR(VALUE(TRIM(MID(MID(Sync!$AG1402,FIND("/",Sync!$AG1402)+1,20),FIND("/",MID(Sync!$AG1402,FIND("/",Sync!$AG1402)+1,20))+1,20))),"")))</f>
        <v/>
      </c>
      <c r="J1402">
        <f>IF($F1402="","",IF(OR($G1402="",$H1402="",$I1402="",$G1402&lt;1300,$G1402&gt;1500,$H1402&lt;1,$H1402&gt;12,$I1402&lt;1,$I1402&gt;31),"نامعتبر",RIGHT("0000"&amp;$G1402,4)&amp;"/"&amp;RIGHT("00"&amp;$H1402,2)&amp;"/"&amp;RIGHT("00"&amp;$I1402,2)))</f>
        <v/>
      </c>
      <c r="K1402">
        <f>IF(OR($F1402="",$J1402="",$J1402="نامعتبر"),"",LEFT($J1402,4)&amp;MID($J1402,6,2)&amp;RIGHT($J1402,2)&amp;$N1402&amp;"|"&amp;"2"&amp;RIGHT("00000"&amp;1397,5))</f>
        <v/>
      </c>
      <c r="L1402">
        <f>IF($K1402="","",COUNTIFS(LdgPartyA,$F1402,LdgKeyA,"&lt;"&amp;$K1402)+COUNTIFS(LdgPartyB,$F1402,LdgKeyB,"&lt;"&amp;$K1402)+1)</f>
        <v/>
      </c>
      <c r="M1402">
        <f>IF($L1402="","",$F1402&amp;"|"&amp;RIGHT("000000"&amp;$L1402,6))</f>
        <v/>
      </c>
      <c r="N1402">
        <f>IF($F1402="","",IF(Sync!$AH1402="","0000",IF(AND(ISNUMBER(Sync!$AH1402),Sync!$AH1402&gt;=0,Sync!$AH1402&lt;1),RIGHT("00"&amp;HOUR(Sync!$AH1402),2)&amp;RIGHT("00"&amp;MINUTE(Sync!$AH1402),2),IFERROR(RIGHT("00"&amp;VALUE(LEFT(Sync!$AH1402,FIND(":",Sync!$AH1402)-1)),2)&amp;RIGHT("00"&amp;VALUE(MID(Sync!$AH1402,FIND(":",Sync!$AH1402)+1,2)),2),"0000"))))</f>
        <v/>
      </c>
    </row>
    <row r="1403">
      <c r="A1403">
        <f>IF(OR(Calc!$E1406="",Calc!$E1406="نامعتبر",Calc!$G1406="",Calc!$I1406&lt;&gt;"خرید"),"",Calc!$G1406)</f>
        <v/>
      </c>
      <c r="B1403">
        <f>IF($A1403="","",LEFT(Calc!$E1406,4)&amp;MID(Calc!$E1406,6,2)&amp;RIGHT(Calc!$E1406,2)&amp;Calc!$R1406&amp;"|"&amp;"1"&amp;RIGHT("00000"&amp;1398,5))</f>
        <v/>
      </c>
      <c r="C1403">
        <f>IF($B1403="","",COUNTIFS(LdgPartyA,$A1403,LdgKeyA,"&lt;"&amp;$B1403)+COUNTIFS(LdgPartyB,$A1403,LdgKeyB,"&lt;"&amp;$B1403)+1)</f>
        <v/>
      </c>
      <c r="D1403">
        <f>IF($C1403="","",$A1403&amp;"|"&amp;RIGHT("000000"&amp;$C1403,6))</f>
        <v/>
      </c>
      <c r="F1403">
        <f>IF(Sync!$AJ1403="","",Sync!$AJ1403)</f>
        <v/>
      </c>
      <c r="G1403">
        <f>IF($F1403="","",IF(Sync!$AG1403="","",IF(ISNUMBER(Sync!$AG1403),IF(AND(Sync!$AG1403&gt;=10000101,Sync!$AG1403&lt;=99991231),INT(Sync!$AG1403/10000),""),IFERROR(VALUE(TRIM(LEFT(Sync!$AG1403,FIND("/",Sync!$AG1403)-1))),""))))</f>
        <v/>
      </c>
      <c r="H1403">
        <f>IF(OR($F1403="",$G1403=""),"",IF(ISNUMBER(Sync!$AG1403),INT(MOD(Sync!$AG1403,10000)/100),IFERROR(VALUE(TRIM(LEFT(MID(Sync!$AG1403,FIND("/",Sync!$AG1403)+1,20),FIND("/",MID(Sync!$AG1403,FIND("/",Sync!$AG1403)+1,20))-1))),"")))</f>
        <v/>
      </c>
      <c r="I1403">
        <f>IF(OR($F1403="",$G1403=""),"",IF(ISNUMBER(Sync!$AG1403),MOD(Sync!$AG1403,100),IFERROR(VALUE(TRIM(MID(MID(Sync!$AG1403,FIND("/",Sync!$AG1403)+1,20),FIND("/",MID(Sync!$AG1403,FIND("/",Sync!$AG1403)+1,20))+1,20))),"")))</f>
        <v/>
      </c>
      <c r="J1403">
        <f>IF($F1403="","",IF(OR($G1403="",$H1403="",$I1403="",$G1403&lt;1300,$G1403&gt;1500,$H1403&lt;1,$H1403&gt;12,$I1403&lt;1,$I1403&gt;31),"نامعتبر",RIGHT("0000"&amp;$G1403,4)&amp;"/"&amp;RIGHT("00"&amp;$H1403,2)&amp;"/"&amp;RIGHT("00"&amp;$I1403,2)))</f>
        <v/>
      </c>
      <c r="K1403">
        <f>IF(OR($F1403="",$J1403="",$J1403="نامعتبر"),"",LEFT($J1403,4)&amp;MID($J1403,6,2)&amp;RIGHT($J1403,2)&amp;$N1403&amp;"|"&amp;"2"&amp;RIGHT("00000"&amp;1398,5))</f>
        <v/>
      </c>
      <c r="L1403">
        <f>IF($K1403="","",COUNTIFS(LdgPartyA,$F1403,LdgKeyA,"&lt;"&amp;$K1403)+COUNTIFS(LdgPartyB,$F1403,LdgKeyB,"&lt;"&amp;$K1403)+1)</f>
        <v/>
      </c>
      <c r="M1403">
        <f>IF($L1403="","",$F1403&amp;"|"&amp;RIGHT("000000"&amp;$L1403,6))</f>
        <v/>
      </c>
      <c r="N1403">
        <f>IF($F1403="","",IF(Sync!$AH1403="","0000",IF(AND(ISNUMBER(Sync!$AH1403),Sync!$AH1403&gt;=0,Sync!$AH1403&lt;1),RIGHT("00"&amp;HOUR(Sync!$AH1403),2)&amp;RIGHT("00"&amp;MINUTE(Sync!$AH1403),2),IFERROR(RIGHT("00"&amp;VALUE(LEFT(Sync!$AH1403,FIND(":",Sync!$AH1403)-1)),2)&amp;RIGHT("00"&amp;VALUE(MID(Sync!$AH1403,FIND(":",Sync!$AH1403)+1,2)),2),"0000"))))</f>
        <v/>
      </c>
    </row>
    <row r="1404">
      <c r="A1404">
        <f>IF(OR(Calc!$E1407="",Calc!$E1407="نامعتبر",Calc!$G1407="",Calc!$I1407&lt;&gt;"خرید"),"",Calc!$G1407)</f>
        <v/>
      </c>
      <c r="B1404">
        <f>IF($A1404="","",LEFT(Calc!$E1407,4)&amp;MID(Calc!$E1407,6,2)&amp;RIGHT(Calc!$E1407,2)&amp;Calc!$R1407&amp;"|"&amp;"1"&amp;RIGHT("00000"&amp;1399,5))</f>
        <v/>
      </c>
      <c r="C1404">
        <f>IF($B1404="","",COUNTIFS(LdgPartyA,$A1404,LdgKeyA,"&lt;"&amp;$B1404)+COUNTIFS(LdgPartyB,$A1404,LdgKeyB,"&lt;"&amp;$B1404)+1)</f>
        <v/>
      </c>
      <c r="D1404">
        <f>IF($C1404="","",$A1404&amp;"|"&amp;RIGHT("000000"&amp;$C1404,6))</f>
        <v/>
      </c>
      <c r="F1404">
        <f>IF(Sync!$AJ1404="","",Sync!$AJ1404)</f>
        <v/>
      </c>
      <c r="G1404">
        <f>IF($F1404="","",IF(Sync!$AG1404="","",IF(ISNUMBER(Sync!$AG1404),IF(AND(Sync!$AG1404&gt;=10000101,Sync!$AG1404&lt;=99991231),INT(Sync!$AG1404/10000),""),IFERROR(VALUE(TRIM(LEFT(Sync!$AG1404,FIND("/",Sync!$AG1404)-1))),""))))</f>
        <v/>
      </c>
      <c r="H1404">
        <f>IF(OR($F1404="",$G1404=""),"",IF(ISNUMBER(Sync!$AG1404),INT(MOD(Sync!$AG1404,10000)/100),IFERROR(VALUE(TRIM(LEFT(MID(Sync!$AG1404,FIND("/",Sync!$AG1404)+1,20),FIND("/",MID(Sync!$AG1404,FIND("/",Sync!$AG1404)+1,20))-1))),"")))</f>
        <v/>
      </c>
      <c r="I1404">
        <f>IF(OR($F1404="",$G1404=""),"",IF(ISNUMBER(Sync!$AG1404),MOD(Sync!$AG1404,100),IFERROR(VALUE(TRIM(MID(MID(Sync!$AG1404,FIND("/",Sync!$AG1404)+1,20),FIND("/",MID(Sync!$AG1404,FIND("/",Sync!$AG1404)+1,20))+1,20))),"")))</f>
        <v/>
      </c>
      <c r="J1404">
        <f>IF($F1404="","",IF(OR($G1404="",$H1404="",$I1404="",$G1404&lt;1300,$G1404&gt;1500,$H1404&lt;1,$H1404&gt;12,$I1404&lt;1,$I1404&gt;31),"نامعتبر",RIGHT("0000"&amp;$G1404,4)&amp;"/"&amp;RIGHT("00"&amp;$H1404,2)&amp;"/"&amp;RIGHT("00"&amp;$I1404,2)))</f>
        <v/>
      </c>
      <c r="K1404">
        <f>IF(OR($F1404="",$J1404="",$J1404="نامعتبر"),"",LEFT($J1404,4)&amp;MID($J1404,6,2)&amp;RIGHT($J1404,2)&amp;$N1404&amp;"|"&amp;"2"&amp;RIGHT("00000"&amp;1399,5))</f>
        <v/>
      </c>
      <c r="L1404">
        <f>IF($K1404="","",COUNTIFS(LdgPartyA,$F1404,LdgKeyA,"&lt;"&amp;$K1404)+COUNTIFS(LdgPartyB,$F1404,LdgKeyB,"&lt;"&amp;$K1404)+1)</f>
        <v/>
      </c>
      <c r="M1404">
        <f>IF($L1404="","",$F1404&amp;"|"&amp;RIGHT("000000"&amp;$L1404,6))</f>
        <v/>
      </c>
      <c r="N1404">
        <f>IF($F1404="","",IF(Sync!$AH1404="","0000",IF(AND(ISNUMBER(Sync!$AH1404),Sync!$AH1404&gt;=0,Sync!$AH1404&lt;1),RIGHT("00"&amp;HOUR(Sync!$AH1404),2)&amp;RIGHT("00"&amp;MINUTE(Sync!$AH1404),2),IFERROR(RIGHT("00"&amp;VALUE(LEFT(Sync!$AH1404,FIND(":",Sync!$AH1404)-1)),2)&amp;RIGHT("00"&amp;VALUE(MID(Sync!$AH1404,FIND(":",Sync!$AH1404)+1,2)),2),"0000"))))</f>
        <v/>
      </c>
    </row>
    <row r="1405">
      <c r="A1405">
        <f>IF(OR(Calc!$E1408="",Calc!$E1408="نامعتبر",Calc!$G1408="",Calc!$I1408&lt;&gt;"خرید"),"",Calc!$G1408)</f>
        <v/>
      </c>
      <c r="B1405">
        <f>IF($A1405="","",LEFT(Calc!$E1408,4)&amp;MID(Calc!$E1408,6,2)&amp;RIGHT(Calc!$E1408,2)&amp;Calc!$R1408&amp;"|"&amp;"1"&amp;RIGHT("00000"&amp;1400,5))</f>
        <v/>
      </c>
      <c r="C1405">
        <f>IF($B1405="","",COUNTIFS(LdgPartyA,$A1405,LdgKeyA,"&lt;"&amp;$B1405)+COUNTIFS(LdgPartyB,$A1405,LdgKeyB,"&lt;"&amp;$B1405)+1)</f>
        <v/>
      </c>
      <c r="D1405">
        <f>IF($C1405="","",$A1405&amp;"|"&amp;RIGHT("000000"&amp;$C1405,6))</f>
        <v/>
      </c>
      <c r="F1405">
        <f>IF(Sync!$AJ1405="","",Sync!$AJ1405)</f>
        <v/>
      </c>
      <c r="G1405">
        <f>IF($F1405="","",IF(Sync!$AG1405="","",IF(ISNUMBER(Sync!$AG1405),IF(AND(Sync!$AG1405&gt;=10000101,Sync!$AG1405&lt;=99991231),INT(Sync!$AG1405/10000),""),IFERROR(VALUE(TRIM(LEFT(Sync!$AG1405,FIND("/",Sync!$AG1405)-1))),""))))</f>
        <v/>
      </c>
      <c r="H1405">
        <f>IF(OR($F1405="",$G1405=""),"",IF(ISNUMBER(Sync!$AG1405),INT(MOD(Sync!$AG1405,10000)/100),IFERROR(VALUE(TRIM(LEFT(MID(Sync!$AG1405,FIND("/",Sync!$AG1405)+1,20),FIND("/",MID(Sync!$AG1405,FIND("/",Sync!$AG1405)+1,20))-1))),"")))</f>
        <v/>
      </c>
      <c r="I1405">
        <f>IF(OR($F1405="",$G1405=""),"",IF(ISNUMBER(Sync!$AG1405),MOD(Sync!$AG1405,100),IFERROR(VALUE(TRIM(MID(MID(Sync!$AG1405,FIND("/",Sync!$AG1405)+1,20),FIND("/",MID(Sync!$AG1405,FIND("/",Sync!$AG1405)+1,20))+1,20))),"")))</f>
        <v/>
      </c>
      <c r="J1405">
        <f>IF($F1405="","",IF(OR($G1405="",$H1405="",$I1405="",$G1405&lt;1300,$G1405&gt;1500,$H1405&lt;1,$H1405&gt;12,$I1405&lt;1,$I1405&gt;31),"نامعتبر",RIGHT("0000"&amp;$G1405,4)&amp;"/"&amp;RIGHT("00"&amp;$H1405,2)&amp;"/"&amp;RIGHT("00"&amp;$I1405,2)))</f>
        <v/>
      </c>
      <c r="K1405">
        <f>IF(OR($F1405="",$J1405="",$J1405="نامعتبر"),"",LEFT($J1405,4)&amp;MID($J1405,6,2)&amp;RIGHT($J1405,2)&amp;$N1405&amp;"|"&amp;"2"&amp;RIGHT("00000"&amp;1400,5))</f>
        <v/>
      </c>
      <c r="L1405">
        <f>IF($K1405="","",COUNTIFS(LdgPartyA,$F1405,LdgKeyA,"&lt;"&amp;$K1405)+COUNTIFS(LdgPartyB,$F1405,LdgKeyB,"&lt;"&amp;$K1405)+1)</f>
        <v/>
      </c>
      <c r="M1405">
        <f>IF($L1405="","",$F1405&amp;"|"&amp;RIGHT("000000"&amp;$L1405,6))</f>
        <v/>
      </c>
      <c r="N1405">
        <f>IF($F1405="","",IF(Sync!$AH1405="","0000",IF(AND(ISNUMBER(Sync!$AH1405),Sync!$AH1405&gt;=0,Sync!$AH1405&lt;1),RIGHT("00"&amp;HOUR(Sync!$AH1405),2)&amp;RIGHT("00"&amp;MINUTE(Sync!$AH1405),2),IFERROR(RIGHT("00"&amp;VALUE(LEFT(Sync!$AH1405,FIND(":",Sync!$AH1405)-1)),2)&amp;RIGHT("00"&amp;VALUE(MID(Sync!$AH1405,FIND(":",Sync!$AH1405)+1,2)),2),"0000"))))</f>
        <v/>
      </c>
    </row>
    <row r="1406">
      <c r="A1406">
        <f>IF(OR(Calc!$E1409="",Calc!$E1409="نامعتبر",Calc!$G1409="",Calc!$I1409&lt;&gt;"خرید"),"",Calc!$G1409)</f>
        <v/>
      </c>
      <c r="B1406">
        <f>IF($A1406="","",LEFT(Calc!$E1409,4)&amp;MID(Calc!$E1409,6,2)&amp;RIGHT(Calc!$E1409,2)&amp;Calc!$R1409&amp;"|"&amp;"1"&amp;RIGHT("00000"&amp;1401,5))</f>
        <v/>
      </c>
      <c r="C1406">
        <f>IF($B1406="","",COUNTIFS(LdgPartyA,$A1406,LdgKeyA,"&lt;"&amp;$B1406)+COUNTIFS(LdgPartyB,$A1406,LdgKeyB,"&lt;"&amp;$B1406)+1)</f>
        <v/>
      </c>
      <c r="D1406">
        <f>IF($C1406="","",$A1406&amp;"|"&amp;RIGHT("000000"&amp;$C1406,6))</f>
        <v/>
      </c>
      <c r="F1406">
        <f>IF(Sync!$AJ1406="","",Sync!$AJ1406)</f>
        <v/>
      </c>
      <c r="G1406">
        <f>IF($F1406="","",IF(Sync!$AG1406="","",IF(ISNUMBER(Sync!$AG1406),IF(AND(Sync!$AG1406&gt;=10000101,Sync!$AG1406&lt;=99991231),INT(Sync!$AG1406/10000),""),IFERROR(VALUE(TRIM(LEFT(Sync!$AG1406,FIND("/",Sync!$AG1406)-1))),""))))</f>
        <v/>
      </c>
      <c r="H1406">
        <f>IF(OR($F1406="",$G1406=""),"",IF(ISNUMBER(Sync!$AG1406),INT(MOD(Sync!$AG1406,10000)/100),IFERROR(VALUE(TRIM(LEFT(MID(Sync!$AG1406,FIND("/",Sync!$AG1406)+1,20),FIND("/",MID(Sync!$AG1406,FIND("/",Sync!$AG1406)+1,20))-1))),"")))</f>
        <v/>
      </c>
      <c r="I1406">
        <f>IF(OR($F1406="",$G1406=""),"",IF(ISNUMBER(Sync!$AG1406),MOD(Sync!$AG1406,100),IFERROR(VALUE(TRIM(MID(MID(Sync!$AG1406,FIND("/",Sync!$AG1406)+1,20),FIND("/",MID(Sync!$AG1406,FIND("/",Sync!$AG1406)+1,20))+1,20))),"")))</f>
        <v/>
      </c>
      <c r="J1406">
        <f>IF($F1406="","",IF(OR($G1406="",$H1406="",$I1406="",$G1406&lt;1300,$G1406&gt;1500,$H1406&lt;1,$H1406&gt;12,$I1406&lt;1,$I1406&gt;31),"نامعتبر",RIGHT("0000"&amp;$G1406,4)&amp;"/"&amp;RIGHT("00"&amp;$H1406,2)&amp;"/"&amp;RIGHT("00"&amp;$I1406,2)))</f>
        <v/>
      </c>
      <c r="K1406">
        <f>IF(OR($F1406="",$J1406="",$J1406="نامعتبر"),"",LEFT($J1406,4)&amp;MID($J1406,6,2)&amp;RIGHT($J1406,2)&amp;$N1406&amp;"|"&amp;"2"&amp;RIGHT("00000"&amp;1401,5))</f>
        <v/>
      </c>
      <c r="L1406">
        <f>IF($K1406="","",COUNTIFS(LdgPartyA,$F1406,LdgKeyA,"&lt;"&amp;$K1406)+COUNTIFS(LdgPartyB,$F1406,LdgKeyB,"&lt;"&amp;$K1406)+1)</f>
        <v/>
      </c>
      <c r="M1406">
        <f>IF($L1406="","",$F1406&amp;"|"&amp;RIGHT("000000"&amp;$L1406,6))</f>
        <v/>
      </c>
      <c r="N1406">
        <f>IF($F1406="","",IF(Sync!$AH1406="","0000",IF(AND(ISNUMBER(Sync!$AH1406),Sync!$AH1406&gt;=0,Sync!$AH1406&lt;1),RIGHT("00"&amp;HOUR(Sync!$AH1406),2)&amp;RIGHT("00"&amp;MINUTE(Sync!$AH1406),2),IFERROR(RIGHT("00"&amp;VALUE(LEFT(Sync!$AH1406,FIND(":",Sync!$AH1406)-1)),2)&amp;RIGHT("00"&amp;VALUE(MID(Sync!$AH1406,FIND(":",Sync!$AH1406)+1,2)),2),"0000"))))</f>
        <v/>
      </c>
    </row>
    <row r="1407">
      <c r="A1407">
        <f>IF(OR(Calc!$E1410="",Calc!$E1410="نامعتبر",Calc!$G1410="",Calc!$I1410&lt;&gt;"خرید"),"",Calc!$G1410)</f>
        <v/>
      </c>
      <c r="B1407">
        <f>IF($A1407="","",LEFT(Calc!$E1410,4)&amp;MID(Calc!$E1410,6,2)&amp;RIGHT(Calc!$E1410,2)&amp;Calc!$R1410&amp;"|"&amp;"1"&amp;RIGHT("00000"&amp;1402,5))</f>
        <v/>
      </c>
      <c r="C1407">
        <f>IF($B1407="","",COUNTIFS(LdgPartyA,$A1407,LdgKeyA,"&lt;"&amp;$B1407)+COUNTIFS(LdgPartyB,$A1407,LdgKeyB,"&lt;"&amp;$B1407)+1)</f>
        <v/>
      </c>
      <c r="D1407">
        <f>IF($C1407="","",$A1407&amp;"|"&amp;RIGHT("000000"&amp;$C1407,6))</f>
        <v/>
      </c>
      <c r="F1407">
        <f>IF(Sync!$AJ1407="","",Sync!$AJ1407)</f>
        <v/>
      </c>
      <c r="G1407">
        <f>IF($F1407="","",IF(Sync!$AG1407="","",IF(ISNUMBER(Sync!$AG1407),IF(AND(Sync!$AG1407&gt;=10000101,Sync!$AG1407&lt;=99991231),INT(Sync!$AG1407/10000),""),IFERROR(VALUE(TRIM(LEFT(Sync!$AG1407,FIND("/",Sync!$AG1407)-1))),""))))</f>
        <v/>
      </c>
      <c r="H1407">
        <f>IF(OR($F1407="",$G1407=""),"",IF(ISNUMBER(Sync!$AG1407),INT(MOD(Sync!$AG1407,10000)/100),IFERROR(VALUE(TRIM(LEFT(MID(Sync!$AG1407,FIND("/",Sync!$AG1407)+1,20),FIND("/",MID(Sync!$AG1407,FIND("/",Sync!$AG1407)+1,20))-1))),"")))</f>
        <v/>
      </c>
      <c r="I1407">
        <f>IF(OR($F1407="",$G1407=""),"",IF(ISNUMBER(Sync!$AG1407),MOD(Sync!$AG1407,100),IFERROR(VALUE(TRIM(MID(MID(Sync!$AG1407,FIND("/",Sync!$AG1407)+1,20),FIND("/",MID(Sync!$AG1407,FIND("/",Sync!$AG1407)+1,20))+1,20))),"")))</f>
        <v/>
      </c>
      <c r="J1407">
        <f>IF($F1407="","",IF(OR($G1407="",$H1407="",$I1407="",$G1407&lt;1300,$G1407&gt;1500,$H1407&lt;1,$H1407&gt;12,$I1407&lt;1,$I1407&gt;31),"نامعتبر",RIGHT("0000"&amp;$G1407,4)&amp;"/"&amp;RIGHT("00"&amp;$H1407,2)&amp;"/"&amp;RIGHT("00"&amp;$I1407,2)))</f>
        <v/>
      </c>
      <c r="K1407">
        <f>IF(OR($F1407="",$J1407="",$J1407="نامعتبر"),"",LEFT($J1407,4)&amp;MID($J1407,6,2)&amp;RIGHT($J1407,2)&amp;$N1407&amp;"|"&amp;"2"&amp;RIGHT("00000"&amp;1402,5))</f>
        <v/>
      </c>
      <c r="L1407">
        <f>IF($K1407="","",COUNTIFS(LdgPartyA,$F1407,LdgKeyA,"&lt;"&amp;$K1407)+COUNTIFS(LdgPartyB,$F1407,LdgKeyB,"&lt;"&amp;$K1407)+1)</f>
        <v/>
      </c>
      <c r="M1407">
        <f>IF($L1407="","",$F1407&amp;"|"&amp;RIGHT("000000"&amp;$L1407,6))</f>
        <v/>
      </c>
      <c r="N1407">
        <f>IF($F1407="","",IF(Sync!$AH1407="","0000",IF(AND(ISNUMBER(Sync!$AH1407),Sync!$AH1407&gt;=0,Sync!$AH1407&lt;1),RIGHT("00"&amp;HOUR(Sync!$AH1407),2)&amp;RIGHT("00"&amp;MINUTE(Sync!$AH1407),2),IFERROR(RIGHT("00"&amp;VALUE(LEFT(Sync!$AH1407,FIND(":",Sync!$AH1407)-1)),2)&amp;RIGHT("00"&amp;VALUE(MID(Sync!$AH1407,FIND(":",Sync!$AH1407)+1,2)),2),"0000"))))</f>
        <v/>
      </c>
    </row>
    <row r="1408">
      <c r="A1408">
        <f>IF(OR(Calc!$E1411="",Calc!$E1411="نامعتبر",Calc!$G1411="",Calc!$I1411&lt;&gt;"خرید"),"",Calc!$G1411)</f>
        <v/>
      </c>
      <c r="B1408">
        <f>IF($A1408="","",LEFT(Calc!$E1411,4)&amp;MID(Calc!$E1411,6,2)&amp;RIGHT(Calc!$E1411,2)&amp;Calc!$R1411&amp;"|"&amp;"1"&amp;RIGHT("00000"&amp;1403,5))</f>
        <v/>
      </c>
      <c r="C1408">
        <f>IF($B1408="","",COUNTIFS(LdgPartyA,$A1408,LdgKeyA,"&lt;"&amp;$B1408)+COUNTIFS(LdgPartyB,$A1408,LdgKeyB,"&lt;"&amp;$B1408)+1)</f>
        <v/>
      </c>
      <c r="D1408">
        <f>IF($C1408="","",$A1408&amp;"|"&amp;RIGHT("000000"&amp;$C1408,6))</f>
        <v/>
      </c>
      <c r="F1408">
        <f>IF(Sync!$AJ1408="","",Sync!$AJ1408)</f>
        <v/>
      </c>
      <c r="G1408">
        <f>IF($F1408="","",IF(Sync!$AG1408="","",IF(ISNUMBER(Sync!$AG1408),IF(AND(Sync!$AG1408&gt;=10000101,Sync!$AG1408&lt;=99991231),INT(Sync!$AG1408/10000),""),IFERROR(VALUE(TRIM(LEFT(Sync!$AG1408,FIND("/",Sync!$AG1408)-1))),""))))</f>
        <v/>
      </c>
      <c r="H1408">
        <f>IF(OR($F1408="",$G1408=""),"",IF(ISNUMBER(Sync!$AG1408),INT(MOD(Sync!$AG1408,10000)/100),IFERROR(VALUE(TRIM(LEFT(MID(Sync!$AG1408,FIND("/",Sync!$AG1408)+1,20),FIND("/",MID(Sync!$AG1408,FIND("/",Sync!$AG1408)+1,20))-1))),"")))</f>
        <v/>
      </c>
      <c r="I1408">
        <f>IF(OR($F1408="",$G1408=""),"",IF(ISNUMBER(Sync!$AG1408),MOD(Sync!$AG1408,100),IFERROR(VALUE(TRIM(MID(MID(Sync!$AG1408,FIND("/",Sync!$AG1408)+1,20),FIND("/",MID(Sync!$AG1408,FIND("/",Sync!$AG1408)+1,20))+1,20))),"")))</f>
        <v/>
      </c>
      <c r="J1408">
        <f>IF($F1408="","",IF(OR($G1408="",$H1408="",$I1408="",$G1408&lt;1300,$G1408&gt;1500,$H1408&lt;1,$H1408&gt;12,$I1408&lt;1,$I1408&gt;31),"نامعتبر",RIGHT("0000"&amp;$G1408,4)&amp;"/"&amp;RIGHT("00"&amp;$H1408,2)&amp;"/"&amp;RIGHT("00"&amp;$I1408,2)))</f>
        <v/>
      </c>
      <c r="K1408">
        <f>IF(OR($F1408="",$J1408="",$J1408="نامعتبر"),"",LEFT($J1408,4)&amp;MID($J1408,6,2)&amp;RIGHT($J1408,2)&amp;$N1408&amp;"|"&amp;"2"&amp;RIGHT("00000"&amp;1403,5))</f>
        <v/>
      </c>
      <c r="L1408">
        <f>IF($K1408="","",COUNTIFS(LdgPartyA,$F1408,LdgKeyA,"&lt;"&amp;$K1408)+COUNTIFS(LdgPartyB,$F1408,LdgKeyB,"&lt;"&amp;$K1408)+1)</f>
        <v/>
      </c>
      <c r="M1408">
        <f>IF($L1408="","",$F1408&amp;"|"&amp;RIGHT("000000"&amp;$L1408,6))</f>
        <v/>
      </c>
      <c r="N1408">
        <f>IF($F1408="","",IF(Sync!$AH1408="","0000",IF(AND(ISNUMBER(Sync!$AH1408),Sync!$AH1408&gt;=0,Sync!$AH1408&lt;1),RIGHT("00"&amp;HOUR(Sync!$AH1408),2)&amp;RIGHT("00"&amp;MINUTE(Sync!$AH1408),2),IFERROR(RIGHT("00"&amp;VALUE(LEFT(Sync!$AH1408,FIND(":",Sync!$AH1408)-1)),2)&amp;RIGHT("00"&amp;VALUE(MID(Sync!$AH1408,FIND(":",Sync!$AH1408)+1,2)),2),"0000"))))</f>
        <v/>
      </c>
    </row>
    <row r="1409">
      <c r="A1409">
        <f>IF(OR(Calc!$E1412="",Calc!$E1412="نامعتبر",Calc!$G1412="",Calc!$I1412&lt;&gt;"خرید"),"",Calc!$G1412)</f>
        <v/>
      </c>
      <c r="B1409">
        <f>IF($A1409="","",LEFT(Calc!$E1412,4)&amp;MID(Calc!$E1412,6,2)&amp;RIGHT(Calc!$E1412,2)&amp;Calc!$R1412&amp;"|"&amp;"1"&amp;RIGHT("00000"&amp;1404,5))</f>
        <v/>
      </c>
      <c r="C1409">
        <f>IF($B1409="","",COUNTIFS(LdgPartyA,$A1409,LdgKeyA,"&lt;"&amp;$B1409)+COUNTIFS(LdgPartyB,$A1409,LdgKeyB,"&lt;"&amp;$B1409)+1)</f>
        <v/>
      </c>
      <c r="D1409">
        <f>IF($C1409="","",$A1409&amp;"|"&amp;RIGHT("000000"&amp;$C1409,6))</f>
        <v/>
      </c>
      <c r="F1409">
        <f>IF(Sync!$AJ1409="","",Sync!$AJ1409)</f>
        <v/>
      </c>
      <c r="G1409">
        <f>IF($F1409="","",IF(Sync!$AG1409="","",IF(ISNUMBER(Sync!$AG1409),IF(AND(Sync!$AG1409&gt;=10000101,Sync!$AG1409&lt;=99991231),INT(Sync!$AG1409/10000),""),IFERROR(VALUE(TRIM(LEFT(Sync!$AG1409,FIND("/",Sync!$AG1409)-1))),""))))</f>
        <v/>
      </c>
      <c r="H1409">
        <f>IF(OR($F1409="",$G1409=""),"",IF(ISNUMBER(Sync!$AG1409),INT(MOD(Sync!$AG1409,10000)/100),IFERROR(VALUE(TRIM(LEFT(MID(Sync!$AG1409,FIND("/",Sync!$AG1409)+1,20),FIND("/",MID(Sync!$AG1409,FIND("/",Sync!$AG1409)+1,20))-1))),"")))</f>
        <v/>
      </c>
      <c r="I1409">
        <f>IF(OR($F1409="",$G1409=""),"",IF(ISNUMBER(Sync!$AG1409),MOD(Sync!$AG1409,100),IFERROR(VALUE(TRIM(MID(MID(Sync!$AG1409,FIND("/",Sync!$AG1409)+1,20),FIND("/",MID(Sync!$AG1409,FIND("/",Sync!$AG1409)+1,20))+1,20))),"")))</f>
        <v/>
      </c>
      <c r="J1409">
        <f>IF($F1409="","",IF(OR($G1409="",$H1409="",$I1409="",$G1409&lt;1300,$G1409&gt;1500,$H1409&lt;1,$H1409&gt;12,$I1409&lt;1,$I1409&gt;31),"نامعتبر",RIGHT("0000"&amp;$G1409,4)&amp;"/"&amp;RIGHT("00"&amp;$H1409,2)&amp;"/"&amp;RIGHT("00"&amp;$I1409,2)))</f>
        <v/>
      </c>
      <c r="K1409">
        <f>IF(OR($F1409="",$J1409="",$J1409="نامعتبر"),"",LEFT($J1409,4)&amp;MID($J1409,6,2)&amp;RIGHT($J1409,2)&amp;$N1409&amp;"|"&amp;"2"&amp;RIGHT("00000"&amp;1404,5))</f>
        <v/>
      </c>
      <c r="L1409">
        <f>IF($K1409="","",COUNTIFS(LdgPartyA,$F1409,LdgKeyA,"&lt;"&amp;$K1409)+COUNTIFS(LdgPartyB,$F1409,LdgKeyB,"&lt;"&amp;$K1409)+1)</f>
        <v/>
      </c>
      <c r="M1409">
        <f>IF($L1409="","",$F1409&amp;"|"&amp;RIGHT("000000"&amp;$L1409,6))</f>
        <v/>
      </c>
      <c r="N1409">
        <f>IF($F1409="","",IF(Sync!$AH1409="","0000",IF(AND(ISNUMBER(Sync!$AH1409),Sync!$AH1409&gt;=0,Sync!$AH1409&lt;1),RIGHT("00"&amp;HOUR(Sync!$AH1409),2)&amp;RIGHT("00"&amp;MINUTE(Sync!$AH1409),2),IFERROR(RIGHT("00"&amp;VALUE(LEFT(Sync!$AH1409,FIND(":",Sync!$AH1409)-1)),2)&amp;RIGHT("00"&amp;VALUE(MID(Sync!$AH1409,FIND(":",Sync!$AH1409)+1,2)),2),"0000"))))</f>
        <v/>
      </c>
    </row>
    <row r="1410">
      <c r="A1410">
        <f>IF(OR(Calc!$E1413="",Calc!$E1413="نامعتبر",Calc!$G1413="",Calc!$I1413&lt;&gt;"خرید"),"",Calc!$G1413)</f>
        <v/>
      </c>
      <c r="B1410">
        <f>IF($A1410="","",LEFT(Calc!$E1413,4)&amp;MID(Calc!$E1413,6,2)&amp;RIGHT(Calc!$E1413,2)&amp;Calc!$R1413&amp;"|"&amp;"1"&amp;RIGHT("00000"&amp;1405,5))</f>
        <v/>
      </c>
      <c r="C1410">
        <f>IF($B1410="","",COUNTIFS(LdgPartyA,$A1410,LdgKeyA,"&lt;"&amp;$B1410)+COUNTIFS(LdgPartyB,$A1410,LdgKeyB,"&lt;"&amp;$B1410)+1)</f>
        <v/>
      </c>
      <c r="D1410">
        <f>IF($C1410="","",$A1410&amp;"|"&amp;RIGHT("000000"&amp;$C1410,6))</f>
        <v/>
      </c>
      <c r="F1410">
        <f>IF(Sync!$AJ1410="","",Sync!$AJ1410)</f>
        <v/>
      </c>
      <c r="G1410">
        <f>IF($F1410="","",IF(Sync!$AG1410="","",IF(ISNUMBER(Sync!$AG1410),IF(AND(Sync!$AG1410&gt;=10000101,Sync!$AG1410&lt;=99991231),INT(Sync!$AG1410/10000),""),IFERROR(VALUE(TRIM(LEFT(Sync!$AG1410,FIND("/",Sync!$AG1410)-1))),""))))</f>
        <v/>
      </c>
      <c r="H1410">
        <f>IF(OR($F1410="",$G1410=""),"",IF(ISNUMBER(Sync!$AG1410),INT(MOD(Sync!$AG1410,10000)/100),IFERROR(VALUE(TRIM(LEFT(MID(Sync!$AG1410,FIND("/",Sync!$AG1410)+1,20),FIND("/",MID(Sync!$AG1410,FIND("/",Sync!$AG1410)+1,20))-1))),"")))</f>
        <v/>
      </c>
      <c r="I1410">
        <f>IF(OR($F1410="",$G1410=""),"",IF(ISNUMBER(Sync!$AG1410),MOD(Sync!$AG1410,100),IFERROR(VALUE(TRIM(MID(MID(Sync!$AG1410,FIND("/",Sync!$AG1410)+1,20),FIND("/",MID(Sync!$AG1410,FIND("/",Sync!$AG1410)+1,20))+1,20))),"")))</f>
        <v/>
      </c>
      <c r="J1410">
        <f>IF($F1410="","",IF(OR($G1410="",$H1410="",$I1410="",$G1410&lt;1300,$G1410&gt;1500,$H1410&lt;1,$H1410&gt;12,$I1410&lt;1,$I1410&gt;31),"نامعتبر",RIGHT("0000"&amp;$G1410,4)&amp;"/"&amp;RIGHT("00"&amp;$H1410,2)&amp;"/"&amp;RIGHT("00"&amp;$I1410,2)))</f>
        <v/>
      </c>
      <c r="K1410">
        <f>IF(OR($F1410="",$J1410="",$J1410="نامعتبر"),"",LEFT($J1410,4)&amp;MID($J1410,6,2)&amp;RIGHT($J1410,2)&amp;$N1410&amp;"|"&amp;"2"&amp;RIGHT("00000"&amp;1405,5))</f>
        <v/>
      </c>
      <c r="L1410">
        <f>IF($K1410="","",COUNTIFS(LdgPartyA,$F1410,LdgKeyA,"&lt;"&amp;$K1410)+COUNTIFS(LdgPartyB,$F1410,LdgKeyB,"&lt;"&amp;$K1410)+1)</f>
        <v/>
      </c>
      <c r="M1410">
        <f>IF($L1410="","",$F1410&amp;"|"&amp;RIGHT("000000"&amp;$L1410,6))</f>
        <v/>
      </c>
      <c r="N1410">
        <f>IF($F1410="","",IF(Sync!$AH1410="","0000",IF(AND(ISNUMBER(Sync!$AH1410),Sync!$AH1410&gt;=0,Sync!$AH1410&lt;1),RIGHT("00"&amp;HOUR(Sync!$AH1410),2)&amp;RIGHT("00"&amp;MINUTE(Sync!$AH1410),2),IFERROR(RIGHT("00"&amp;VALUE(LEFT(Sync!$AH1410,FIND(":",Sync!$AH1410)-1)),2)&amp;RIGHT("00"&amp;VALUE(MID(Sync!$AH1410,FIND(":",Sync!$AH1410)+1,2)),2),"0000"))))</f>
        <v/>
      </c>
    </row>
    <row r="1411">
      <c r="A1411">
        <f>IF(OR(Calc!$E1414="",Calc!$E1414="نامعتبر",Calc!$G1414="",Calc!$I1414&lt;&gt;"خرید"),"",Calc!$G1414)</f>
        <v/>
      </c>
      <c r="B1411">
        <f>IF($A1411="","",LEFT(Calc!$E1414,4)&amp;MID(Calc!$E1414,6,2)&amp;RIGHT(Calc!$E1414,2)&amp;Calc!$R1414&amp;"|"&amp;"1"&amp;RIGHT("00000"&amp;1406,5))</f>
        <v/>
      </c>
      <c r="C1411">
        <f>IF($B1411="","",COUNTIFS(LdgPartyA,$A1411,LdgKeyA,"&lt;"&amp;$B1411)+COUNTIFS(LdgPartyB,$A1411,LdgKeyB,"&lt;"&amp;$B1411)+1)</f>
        <v/>
      </c>
      <c r="D1411">
        <f>IF($C1411="","",$A1411&amp;"|"&amp;RIGHT("000000"&amp;$C1411,6))</f>
        <v/>
      </c>
      <c r="F1411">
        <f>IF(Sync!$AJ1411="","",Sync!$AJ1411)</f>
        <v/>
      </c>
      <c r="G1411">
        <f>IF($F1411="","",IF(Sync!$AG1411="","",IF(ISNUMBER(Sync!$AG1411),IF(AND(Sync!$AG1411&gt;=10000101,Sync!$AG1411&lt;=99991231),INT(Sync!$AG1411/10000),""),IFERROR(VALUE(TRIM(LEFT(Sync!$AG1411,FIND("/",Sync!$AG1411)-1))),""))))</f>
        <v/>
      </c>
      <c r="H1411">
        <f>IF(OR($F1411="",$G1411=""),"",IF(ISNUMBER(Sync!$AG1411),INT(MOD(Sync!$AG1411,10000)/100),IFERROR(VALUE(TRIM(LEFT(MID(Sync!$AG1411,FIND("/",Sync!$AG1411)+1,20),FIND("/",MID(Sync!$AG1411,FIND("/",Sync!$AG1411)+1,20))-1))),"")))</f>
        <v/>
      </c>
      <c r="I1411">
        <f>IF(OR($F1411="",$G1411=""),"",IF(ISNUMBER(Sync!$AG1411),MOD(Sync!$AG1411,100),IFERROR(VALUE(TRIM(MID(MID(Sync!$AG1411,FIND("/",Sync!$AG1411)+1,20),FIND("/",MID(Sync!$AG1411,FIND("/",Sync!$AG1411)+1,20))+1,20))),"")))</f>
        <v/>
      </c>
      <c r="J1411">
        <f>IF($F1411="","",IF(OR($G1411="",$H1411="",$I1411="",$G1411&lt;1300,$G1411&gt;1500,$H1411&lt;1,$H1411&gt;12,$I1411&lt;1,$I1411&gt;31),"نامعتبر",RIGHT("0000"&amp;$G1411,4)&amp;"/"&amp;RIGHT("00"&amp;$H1411,2)&amp;"/"&amp;RIGHT("00"&amp;$I1411,2)))</f>
        <v/>
      </c>
      <c r="K1411">
        <f>IF(OR($F1411="",$J1411="",$J1411="نامعتبر"),"",LEFT($J1411,4)&amp;MID($J1411,6,2)&amp;RIGHT($J1411,2)&amp;$N1411&amp;"|"&amp;"2"&amp;RIGHT("00000"&amp;1406,5))</f>
        <v/>
      </c>
      <c r="L1411">
        <f>IF($K1411="","",COUNTIFS(LdgPartyA,$F1411,LdgKeyA,"&lt;"&amp;$K1411)+COUNTIFS(LdgPartyB,$F1411,LdgKeyB,"&lt;"&amp;$K1411)+1)</f>
        <v/>
      </c>
      <c r="M1411">
        <f>IF($L1411="","",$F1411&amp;"|"&amp;RIGHT("000000"&amp;$L1411,6))</f>
        <v/>
      </c>
      <c r="N1411">
        <f>IF($F1411="","",IF(Sync!$AH1411="","0000",IF(AND(ISNUMBER(Sync!$AH1411),Sync!$AH1411&gt;=0,Sync!$AH1411&lt;1),RIGHT("00"&amp;HOUR(Sync!$AH1411),2)&amp;RIGHT("00"&amp;MINUTE(Sync!$AH1411),2),IFERROR(RIGHT("00"&amp;VALUE(LEFT(Sync!$AH1411,FIND(":",Sync!$AH1411)-1)),2)&amp;RIGHT("00"&amp;VALUE(MID(Sync!$AH1411,FIND(":",Sync!$AH1411)+1,2)),2),"0000"))))</f>
        <v/>
      </c>
    </row>
    <row r="1412">
      <c r="A1412">
        <f>IF(OR(Calc!$E1415="",Calc!$E1415="نامعتبر",Calc!$G1415="",Calc!$I1415&lt;&gt;"خرید"),"",Calc!$G1415)</f>
        <v/>
      </c>
      <c r="B1412">
        <f>IF($A1412="","",LEFT(Calc!$E1415,4)&amp;MID(Calc!$E1415,6,2)&amp;RIGHT(Calc!$E1415,2)&amp;Calc!$R1415&amp;"|"&amp;"1"&amp;RIGHT("00000"&amp;1407,5))</f>
        <v/>
      </c>
      <c r="C1412">
        <f>IF($B1412="","",COUNTIFS(LdgPartyA,$A1412,LdgKeyA,"&lt;"&amp;$B1412)+COUNTIFS(LdgPartyB,$A1412,LdgKeyB,"&lt;"&amp;$B1412)+1)</f>
        <v/>
      </c>
      <c r="D1412">
        <f>IF($C1412="","",$A1412&amp;"|"&amp;RIGHT("000000"&amp;$C1412,6))</f>
        <v/>
      </c>
      <c r="F1412">
        <f>IF(Sync!$AJ1412="","",Sync!$AJ1412)</f>
        <v/>
      </c>
      <c r="G1412">
        <f>IF($F1412="","",IF(Sync!$AG1412="","",IF(ISNUMBER(Sync!$AG1412),IF(AND(Sync!$AG1412&gt;=10000101,Sync!$AG1412&lt;=99991231),INT(Sync!$AG1412/10000),""),IFERROR(VALUE(TRIM(LEFT(Sync!$AG1412,FIND("/",Sync!$AG1412)-1))),""))))</f>
        <v/>
      </c>
      <c r="H1412">
        <f>IF(OR($F1412="",$G1412=""),"",IF(ISNUMBER(Sync!$AG1412),INT(MOD(Sync!$AG1412,10000)/100),IFERROR(VALUE(TRIM(LEFT(MID(Sync!$AG1412,FIND("/",Sync!$AG1412)+1,20),FIND("/",MID(Sync!$AG1412,FIND("/",Sync!$AG1412)+1,20))-1))),"")))</f>
        <v/>
      </c>
      <c r="I1412">
        <f>IF(OR($F1412="",$G1412=""),"",IF(ISNUMBER(Sync!$AG1412),MOD(Sync!$AG1412,100),IFERROR(VALUE(TRIM(MID(MID(Sync!$AG1412,FIND("/",Sync!$AG1412)+1,20),FIND("/",MID(Sync!$AG1412,FIND("/",Sync!$AG1412)+1,20))+1,20))),"")))</f>
        <v/>
      </c>
      <c r="J1412">
        <f>IF($F1412="","",IF(OR($G1412="",$H1412="",$I1412="",$G1412&lt;1300,$G1412&gt;1500,$H1412&lt;1,$H1412&gt;12,$I1412&lt;1,$I1412&gt;31),"نامعتبر",RIGHT("0000"&amp;$G1412,4)&amp;"/"&amp;RIGHT("00"&amp;$H1412,2)&amp;"/"&amp;RIGHT("00"&amp;$I1412,2)))</f>
        <v/>
      </c>
      <c r="K1412">
        <f>IF(OR($F1412="",$J1412="",$J1412="نامعتبر"),"",LEFT($J1412,4)&amp;MID($J1412,6,2)&amp;RIGHT($J1412,2)&amp;$N1412&amp;"|"&amp;"2"&amp;RIGHT("00000"&amp;1407,5))</f>
        <v/>
      </c>
      <c r="L1412">
        <f>IF($K1412="","",COUNTIFS(LdgPartyA,$F1412,LdgKeyA,"&lt;"&amp;$K1412)+COUNTIFS(LdgPartyB,$F1412,LdgKeyB,"&lt;"&amp;$K1412)+1)</f>
        <v/>
      </c>
      <c r="M1412">
        <f>IF($L1412="","",$F1412&amp;"|"&amp;RIGHT("000000"&amp;$L1412,6))</f>
        <v/>
      </c>
      <c r="N1412">
        <f>IF($F1412="","",IF(Sync!$AH1412="","0000",IF(AND(ISNUMBER(Sync!$AH1412),Sync!$AH1412&gt;=0,Sync!$AH1412&lt;1),RIGHT("00"&amp;HOUR(Sync!$AH1412),2)&amp;RIGHT("00"&amp;MINUTE(Sync!$AH1412),2),IFERROR(RIGHT("00"&amp;VALUE(LEFT(Sync!$AH1412,FIND(":",Sync!$AH1412)-1)),2)&amp;RIGHT("00"&amp;VALUE(MID(Sync!$AH1412,FIND(":",Sync!$AH1412)+1,2)),2),"0000"))))</f>
        <v/>
      </c>
    </row>
    <row r="1413">
      <c r="A1413">
        <f>IF(OR(Calc!$E1416="",Calc!$E1416="نامعتبر",Calc!$G1416="",Calc!$I1416&lt;&gt;"خرید"),"",Calc!$G1416)</f>
        <v/>
      </c>
      <c r="B1413">
        <f>IF($A1413="","",LEFT(Calc!$E1416,4)&amp;MID(Calc!$E1416,6,2)&amp;RIGHT(Calc!$E1416,2)&amp;Calc!$R1416&amp;"|"&amp;"1"&amp;RIGHT("00000"&amp;1408,5))</f>
        <v/>
      </c>
      <c r="C1413">
        <f>IF($B1413="","",COUNTIFS(LdgPartyA,$A1413,LdgKeyA,"&lt;"&amp;$B1413)+COUNTIFS(LdgPartyB,$A1413,LdgKeyB,"&lt;"&amp;$B1413)+1)</f>
        <v/>
      </c>
      <c r="D1413">
        <f>IF($C1413="","",$A1413&amp;"|"&amp;RIGHT("000000"&amp;$C1413,6))</f>
        <v/>
      </c>
      <c r="F1413">
        <f>IF(Sync!$AJ1413="","",Sync!$AJ1413)</f>
        <v/>
      </c>
      <c r="G1413">
        <f>IF($F1413="","",IF(Sync!$AG1413="","",IF(ISNUMBER(Sync!$AG1413),IF(AND(Sync!$AG1413&gt;=10000101,Sync!$AG1413&lt;=99991231),INT(Sync!$AG1413/10000),""),IFERROR(VALUE(TRIM(LEFT(Sync!$AG1413,FIND("/",Sync!$AG1413)-1))),""))))</f>
        <v/>
      </c>
      <c r="H1413">
        <f>IF(OR($F1413="",$G1413=""),"",IF(ISNUMBER(Sync!$AG1413),INT(MOD(Sync!$AG1413,10000)/100),IFERROR(VALUE(TRIM(LEFT(MID(Sync!$AG1413,FIND("/",Sync!$AG1413)+1,20),FIND("/",MID(Sync!$AG1413,FIND("/",Sync!$AG1413)+1,20))-1))),"")))</f>
        <v/>
      </c>
      <c r="I1413">
        <f>IF(OR($F1413="",$G1413=""),"",IF(ISNUMBER(Sync!$AG1413),MOD(Sync!$AG1413,100),IFERROR(VALUE(TRIM(MID(MID(Sync!$AG1413,FIND("/",Sync!$AG1413)+1,20),FIND("/",MID(Sync!$AG1413,FIND("/",Sync!$AG1413)+1,20))+1,20))),"")))</f>
        <v/>
      </c>
      <c r="J1413">
        <f>IF($F1413="","",IF(OR($G1413="",$H1413="",$I1413="",$G1413&lt;1300,$G1413&gt;1500,$H1413&lt;1,$H1413&gt;12,$I1413&lt;1,$I1413&gt;31),"نامعتبر",RIGHT("0000"&amp;$G1413,4)&amp;"/"&amp;RIGHT("00"&amp;$H1413,2)&amp;"/"&amp;RIGHT("00"&amp;$I1413,2)))</f>
        <v/>
      </c>
      <c r="K1413">
        <f>IF(OR($F1413="",$J1413="",$J1413="نامعتبر"),"",LEFT($J1413,4)&amp;MID($J1413,6,2)&amp;RIGHT($J1413,2)&amp;$N1413&amp;"|"&amp;"2"&amp;RIGHT("00000"&amp;1408,5))</f>
        <v/>
      </c>
      <c r="L1413">
        <f>IF($K1413="","",COUNTIFS(LdgPartyA,$F1413,LdgKeyA,"&lt;"&amp;$K1413)+COUNTIFS(LdgPartyB,$F1413,LdgKeyB,"&lt;"&amp;$K1413)+1)</f>
        <v/>
      </c>
      <c r="M1413">
        <f>IF($L1413="","",$F1413&amp;"|"&amp;RIGHT("000000"&amp;$L1413,6))</f>
        <v/>
      </c>
      <c r="N1413">
        <f>IF($F1413="","",IF(Sync!$AH1413="","0000",IF(AND(ISNUMBER(Sync!$AH1413),Sync!$AH1413&gt;=0,Sync!$AH1413&lt;1),RIGHT("00"&amp;HOUR(Sync!$AH1413),2)&amp;RIGHT("00"&amp;MINUTE(Sync!$AH1413),2),IFERROR(RIGHT("00"&amp;VALUE(LEFT(Sync!$AH1413,FIND(":",Sync!$AH1413)-1)),2)&amp;RIGHT("00"&amp;VALUE(MID(Sync!$AH1413,FIND(":",Sync!$AH1413)+1,2)),2),"0000"))))</f>
        <v/>
      </c>
    </row>
    <row r="1414">
      <c r="A1414">
        <f>IF(OR(Calc!$E1417="",Calc!$E1417="نامعتبر",Calc!$G1417="",Calc!$I1417&lt;&gt;"خرید"),"",Calc!$G1417)</f>
        <v/>
      </c>
      <c r="B1414">
        <f>IF($A1414="","",LEFT(Calc!$E1417,4)&amp;MID(Calc!$E1417,6,2)&amp;RIGHT(Calc!$E1417,2)&amp;Calc!$R1417&amp;"|"&amp;"1"&amp;RIGHT("00000"&amp;1409,5))</f>
        <v/>
      </c>
      <c r="C1414">
        <f>IF($B1414="","",COUNTIFS(LdgPartyA,$A1414,LdgKeyA,"&lt;"&amp;$B1414)+COUNTIFS(LdgPartyB,$A1414,LdgKeyB,"&lt;"&amp;$B1414)+1)</f>
        <v/>
      </c>
      <c r="D1414">
        <f>IF($C1414="","",$A1414&amp;"|"&amp;RIGHT("000000"&amp;$C1414,6))</f>
        <v/>
      </c>
      <c r="F1414">
        <f>IF(Sync!$AJ1414="","",Sync!$AJ1414)</f>
        <v/>
      </c>
      <c r="G1414">
        <f>IF($F1414="","",IF(Sync!$AG1414="","",IF(ISNUMBER(Sync!$AG1414),IF(AND(Sync!$AG1414&gt;=10000101,Sync!$AG1414&lt;=99991231),INT(Sync!$AG1414/10000),""),IFERROR(VALUE(TRIM(LEFT(Sync!$AG1414,FIND("/",Sync!$AG1414)-1))),""))))</f>
        <v/>
      </c>
      <c r="H1414">
        <f>IF(OR($F1414="",$G1414=""),"",IF(ISNUMBER(Sync!$AG1414),INT(MOD(Sync!$AG1414,10000)/100),IFERROR(VALUE(TRIM(LEFT(MID(Sync!$AG1414,FIND("/",Sync!$AG1414)+1,20),FIND("/",MID(Sync!$AG1414,FIND("/",Sync!$AG1414)+1,20))-1))),"")))</f>
        <v/>
      </c>
      <c r="I1414">
        <f>IF(OR($F1414="",$G1414=""),"",IF(ISNUMBER(Sync!$AG1414),MOD(Sync!$AG1414,100),IFERROR(VALUE(TRIM(MID(MID(Sync!$AG1414,FIND("/",Sync!$AG1414)+1,20),FIND("/",MID(Sync!$AG1414,FIND("/",Sync!$AG1414)+1,20))+1,20))),"")))</f>
        <v/>
      </c>
      <c r="J1414">
        <f>IF($F1414="","",IF(OR($G1414="",$H1414="",$I1414="",$G1414&lt;1300,$G1414&gt;1500,$H1414&lt;1,$H1414&gt;12,$I1414&lt;1,$I1414&gt;31),"نامعتبر",RIGHT("0000"&amp;$G1414,4)&amp;"/"&amp;RIGHT("00"&amp;$H1414,2)&amp;"/"&amp;RIGHT("00"&amp;$I1414,2)))</f>
        <v/>
      </c>
      <c r="K1414">
        <f>IF(OR($F1414="",$J1414="",$J1414="نامعتبر"),"",LEFT($J1414,4)&amp;MID($J1414,6,2)&amp;RIGHT($J1414,2)&amp;$N1414&amp;"|"&amp;"2"&amp;RIGHT("00000"&amp;1409,5))</f>
        <v/>
      </c>
      <c r="L1414">
        <f>IF($K1414="","",COUNTIFS(LdgPartyA,$F1414,LdgKeyA,"&lt;"&amp;$K1414)+COUNTIFS(LdgPartyB,$F1414,LdgKeyB,"&lt;"&amp;$K1414)+1)</f>
        <v/>
      </c>
      <c r="M1414">
        <f>IF($L1414="","",$F1414&amp;"|"&amp;RIGHT("000000"&amp;$L1414,6))</f>
        <v/>
      </c>
      <c r="N1414">
        <f>IF($F1414="","",IF(Sync!$AH1414="","0000",IF(AND(ISNUMBER(Sync!$AH1414),Sync!$AH1414&gt;=0,Sync!$AH1414&lt;1),RIGHT("00"&amp;HOUR(Sync!$AH1414),2)&amp;RIGHT("00"&amp;MINUTE(Sync!$AH1414),2),IFERROR(RIGHT("00"&amp;VALUE(LEFT(Sync!$AH1414,FIND(":",Sync!$AH1414)-1)),2)&amp;RIGHT("00"&amp;VALUE(MID(Sync!$AH1414,FIND(":",Sync!$AH1414)+1,2)),2),"0000"))))</f>
        <v/>
      </c>
    </row>
    <row r="1415">
      <c r="A1415">
        <f>IF(OR(Calc!$E1418="",Calc!$E1418="نامعتبر",Calc!$G1418="",Calc!$I1418&lt;&gt;"خرید"),"",Calc!$G1418)</f>
        <v/>
      </c>
      <c r="B1415">
        <f>IF($A1415="","",LEFT(Calc!$E1418,4)&amp;MID(Calc!$E1418,6,2)&amp;RIGHT(Calc!$E1418,2)&amp;Calc!$R1418&amp;"|"&amp;"1"&amp;RIGHT("00000"&amp;1410,5))</f>
        <v/>
      </c>
      <c r="C1415">
        <f>IF($B1415="","",COUNTIFS(LdgPartyA,$A1415,LdgKeyA,"&lt;"&amp;$B1415)+COUNTIFS(LdgPartyB,$A1415,LdgKeyB,"&lt;"&amp;$B1415)+1)</f>
        <v/>
      </c>
      <c r="D1415">
        <f>IF($C1415="","",$A1415&amp;"|"&amp;RIGHT("000000"&amp;$C1415,6))</f>
        <v/>
      </c>
      <c r="F1415">
        <f>IF(Sync!$AJ1415="","",Sync!$AJ1415)</f>
        <v/>
      </c>
      <c r="G1415">
        <f>IF($F1415="","",IF(Sync!$AG1415="","",IF(ISNUMBER(Sync!$AG1415),IF(AND(Sync!$AG1415&gt;=10000101,Sync!$AG1415&lt;=99991231),INT(Sync!$AG1415/10000),""),IFERROR(VALUE(TRIM(LEFT(Sync!$AG1415,FIND("/",Sync!$AG1415)-1))),""))))</f>
        <v/>
      </c>
      <c r="H1415">
        <f>IF(OR($F1415="",$G1415=""),"",IF(ISNUMBER(Sync!$AG1415),INT(MOD(Sync!$AG1415,10000)/100),IFERROR(VALUE(TRIM(LEFT(MID(Sync!$AG1415,FIND("/",Sync!$AG1415)+1,20),FIND("/",MID(Sync!$AG1415,FIND("/",Sync!$AG1415)+1,20))-1))),"")))</f>
        <v/>
      </c>
      <c r="I1415">
        <f>IF(OR($F1415="",$G1415=""),"",IF(ISNUMBER(Sync!$AG1415),MOD(Sync!$AG1415,100),IFERROR(VALUE(TRIM(MID(MID(Sync!$AG1415,FIND("/",Sync!$AG1415)+1,20),FIND("/",MID(Sync!$AG1415,FIND("/",Sync!$AG1415)+1,20))+1,20))),"")))</f>
        <v/>
      </c>
      <c r="J1415">
        <f>IF($F1415="","",IF(OR($G1415="",$H1415="",$I1415="",$G1415&lt;1300,$G1415&gt;1500,$H1415&lt;1,$H1415&gt;12,$I1415&lt;1,$I1415&gt;31),"نامعتبر",RIGHT("0000"&amp;$G1415,4)&amp;"/"&amp;RIGHT("00"&amp;$H1415,2)&amp;"/"&amp;RIGHT("00"&amp;$I1415,2)))</f>
        <v/>
      </c>
      <c r="K1415">
        <f>IF(OR($F1415="",$J1415="",$J1415="نامعتبر"),"",LEFT($J1415,4)&amp;MID($J1415,6,2)&amp;RIGHT($J1415,2)&amp;$N1415&amp;"|"&amp;"2"&amp;RIGHT("00000"&amp;1410,5))</f>
        <v/>
      </c>
      <c r="L1415">
        <f>IF($K1415="","",COUNTIFS(LdgPartyA,$F1415,LdgKeyA,"&lt;"&amp;$K1415)+COUNTIFS(LdgPartyB,$F1415,LdgKeyB,"&lt;"&amp;$K1415)+1)</f>
        <v/>
      </c>
      <c r="M1415">
        <f>IF($L1415="","",$F1415&amp;"|"&amp;RIGHT("000000"&amp;$L1415,6))</f>
        <v/>
      </c>
      <c r="N1415">
        <f>IF($F1415="","",IF(Sync!$AH1415="","0000",IF(AND(ISNUMBER(Sync!$AH1415),Sync!$AH1415&gt;=0,Sync!$AH1415&lt;1),RIGHT("00"&amp;HOUR(Sync!$AH1415),2)&amp;RIGHT("00"&amp;MINUTE(Sync!$AH1415),2),IFERROR(RIGHT("00"&amp;VALUE(LEFT(Sync!$AH1415,FIND(":",Sync!$AH1415)-1)),2)&amp;RIGHT("00"&amp;VALUE(MID(Sync!$AH1415,FIND(":",Sync!$AH1415)+1,2)),2),"0000"))))</f>
        <v/>
      </c>
    </row>
    <row r="1416">
      <c r="A1416">
        <f>IF(OR(Calc!$E1419="",Calc!$E1419="نامعتبر",Calc!$G1419="",Calc!$I1419&lt;&gt;"خرید"),"",Calc!$G1419)</f>
        <v/>
      </c>
      <c r="B1416">
        <f>IF($A1416="","",LEFT(Calc!$E1419,4)&amp;MID(Calc!$E1419,6,2)&amp;RIGHT(Calc!$E1419,2)&amp;Calc!$R1419&amp;"|"&amp;"1"&amp;RIGHT("00000"&amp;1411,5))</f>
        <v/>
      </c>
      <c r="C1416">
        <f>IF($B1416="","",COUNTIFS(LdgPartyA,$A1416,LdgKeyA,"&lt;"&amp;$B1416)+COUNTIFS(LdgPartyB,$A1416,LdgKeyB,"&lt;"&amp;$B1416)+1)</f>
        <v/>
      </c>
      <c r="D1416">
        <f>IF($C1416="","",$A1416&amp;"|"&amp;RIGHT("000000"&amp;$C1416,6))</f>
        <v/>
      </c>
      <c r="F1416">
        <f>IF(Sync!$AJ1416="","",Sync!$AJ1416)</f>
        <v/>
      </c>
      <c r="G1416">
        <f>IF($F1416="","",IF(Sync!$AG1416="","",IF(ISNUMBER(Sync!$AG1416),IF(AND(Sync!$AG1416&gt;=10000101,Sync!$AG1416&lt;=99991231),INT(Sync!$AG1416/10000),""),IFERROR(VALUE(TRIM(LEFT(Sync!$AG1416,FIND("/",Sync!$AG1416)-1))),""))))</f>
        <v/>
      </c>
      <c r="H1416">
        <f>IF(OR($F1416="",$G1416=""),"",IF(ISNUMBER(Sync!$AG1416),INT(MOD(Sync!$AG1416,10000)/100),IFERROR(VALUE(TRIM(LEFT(MID(Sync!$AG1416,FIND("/",Sync!$AG1416)+1,20),FIND("/",MID(Sync!$AG1416,FIND("/",Sync!$AG1416)+1,20))-1))),"")))</f>
        <v/>
      </c>
      <c r="I1416">
        <f>IF(OR($F1416="",$G1416=""),"",IF(ISNUMBER(Sync!$AG1416),MOD(Sync!$AG1416,100),IFERROR(VALUE(TRIM(MID(MID(Sync!$AG1416,FIND("/",Sync!$AG1416)+1,20),FIND("/",MID(Sync!$AG1416,FIND("/",Sync!$AG1416)+1,20))+1,20))),"")))</f>
        <v/>
      </c>
      <c r="J1416">
        <f>IF($F1416="","",IF(OR($G1416="",$H1416="",$I1416="",$G1416&lt;1300,$G1416&gt;1500,$H1416&lt;1,$H1416&gt;12,$I1416&lt;1,$I1416&gt;31),"نامعتبر",RIGHT("0000"&amp;$G1416,4)&amp;"/"&amp;RIGHT("00"&amp;$H1416,2)&amp;"/"&amp;RIGHT("00"&amp;$I1416,2)))</f>
        <v/>
      </c>
      <c r="K1416">
        <f>IF(OR($F1416="",$J1416="",$J1416="نامعتبر"),"",LEFT($J1416,4)&amp;MID($J1416,6,2)&amp;RIGHT($J1416,2)&amp;$N1416&amp;"|"&amp;"2"&amp;RIGHT("00000"&amp;1411,5))</f>
        <v/>
      </c>
      <c r="L1416">
        <f>IF($K1416="","",COUNTIFS(LdgPartyA,$F1416,LdgKeyA,"&lt;"&amp;$K1416)+COUNTIFS(LdgPartyB,$F1416,LdgKeyB,"&lt;"&amp;$K1416)+1)</f>
        <v/>
      </c>
      <c r="M1416">
        <f>IF($L1416="","",$F1416&amp;"|"&amp;RIGHT("000000"&amp;$L1416,6))</f>
        <v/>
      </c>
      <c r="N1416">
        <f>IF($F1416="","",IF(Sync!$AH1416="","0000",IF(AND(ISNUMBER(Sync!$AH1416),Sync!$AH1416&gt;=0,Sync!$AH1416&lt;1),RIGHT("00"&amp;HOUR(Sync!$AH1416),2)&amp;RIGHT("00"&amp;MINUTE(Sync!$AH1416),2),IFERROR(RIGHT("00"&amp;VALUE(LEFT(Sync!$AH1416,FIND(":",Sync!$AH1416)-1)),2)&amp;RIGHT("00"&amp;VALUE(MID(Sync!$AH1416,FIND(":",Sync!$AH1416)+1,2)),2),"0000"))))</f>
        <v/>
      </c>
    </row>
    <row r="1417">
      <c r="A1417">
        <f>IF(OR(Calc!$E1420="",Calc!$E1420="نامعتبر",Calc!$G1420="",Calc!$I1420&lt;&gt;"خرید"),"",Calc!$G1420)</f>
        <v/>
      </c>
      <c r="B1417">
        <f>IF($A1417="","",LEFT(Calc!$E1420,4)&amp;MID(Calc!$E1420,6,2)&amp;RIGHT(Calc!$E1420,2)&amp;Calc!$R1420&amp;"|"&amp;"1"&amp;RIGHT("00000"&amp;1412,5))</f>
        <v/>
      </c>
      <c r="C1417">
        <f>IF($B1417="","",COUNTIFS(LdgPartyA,$A1417,LdgKeyA,"&lt;"&amp;$B1417)+COUNTIFS(LdgPartyB,$A1417,LdgKeyB,"&lt;"&amp;$B1417)+1)</f>
        <v/>
      </c>
      <c r="D1417">
        <f>IF($C1417="","",$A1417&amp;"|"&amp;RIGHT("000000"&amp;$C1417,6))</f>
        <v/>
      </c>
      <c r="F1417">
        <f>IF(Sync!$AJ1417="","",Sync!$AJ1417)</f>
        <v/>
      </c>
      <c r="G1417">
        <f>IF($F1417="","",IF(Sync!$AG1417="","",IF(ISNUMBER(Sync!$AG1417),IF(AND(Sync!$AG1417&gt;=10000101,Sync!$AG1417&lt;=99991231),INT(Sync!$AG1417/10000),""),IFERROR(VALUE(TRIM(LEFT(Sync!$AG1417,FIND("/",Sync!$AG1417)-1))),""))))</f>
        <v/>
      </c>
      <c r="H1417">
        <f>IF(OR($F1417="",$G1417=""),"",IF(ISNUMBER(Sync!$AG1417),INT(MOD(Sync!$AG1417,10000)/100),IFERROR(VALUE(TRIM(LEFT(MID(Sync!$AG1417,FIND("/",Sync!$AG1417)+1,20),FIND("/",MID(Sync!$AG1417,FIND("/",Sync!$AG1417)+1,20))-1))),"")))</f>
        <v/>
      </c>
      <c r="I1417">
        <f>IF(OR($F1417="",$G1417=""),"",IF(ISNUMBER(Sync!$AG1417),MOD(Sync!$AG1417,100),IFERROR(VALUE(TRIM(MID(MID(Sync!$AG1417,FIND("/",Sync!$AG1417)+1,20),FIND("/",MID(Sync!$AG1417,FIND("/",Sync!$AG1417)+1,20))+1,20))),"")))</f>
        <v/>
      </c>
      <c r="J1417">
        <f>IF($F1417="","",IF(OR($G1417="",$H1417="",$I1417="",$G1417&lt;1300,$G1417&gt;1500,$H1417&lt;1,$H1417&gt;12,$I1417&lt;1,$I1417&gt;31),"نامعتبر",RIGHT("0000"&amp;$G1417,4)&amp;"/"&amp;RIGHT("00"&amp;$H1417,2)&amp;"/"&amp;RIGHT("00"&amp;$I1417,2)))</f>
        <v/>
      </c>
      <c r="K1417">
        <f>IF(OR($F1417="",$J1417="",$J1417="نامعتبر"),"",LEFT($J1417,4)&amp;MID($J1417,6,2)&amp;RIGHT($J1417,2)&amp;$N1417&amp;"|"&amp;"2"&amp;RIGHT("00000"&amp;1412,5))</f>
        <v/>
      </c>
      <c r="L1417">
        <f>IF($K1417="","",COUNTIFS(LdgPartyA,$F1417,LdgKeyA,"&lt;"&amp;$K1417)+COUNTIFS(LdgPartyB,$F1417,LdgKeyB,"&lt;"&amp;$K1417)+1)</f>
        <v/>
      </c>
      <c r="M1417">
        <f>IF($L1417="","",$F1417&amp;"|"&amp;RIGHT("000000"&amp;$L1417,6))</f>
        <v/>
      </c>
      <c r="N1417">
        <f>IF($F1417="","",IF(Sync!$AH1417="","0000",IF(AND(ISNUMBER(Sync!$AH1417),Sync!$AH1417&gt;=0,Sync!$AH1417&lt;1),RIGHT("00"&amp;HOUR(Sync!$AH1417),2)&amp;RIGHT("00"&amp;MINUTE(Sync!$AH1417),2),IFERROR(RIGHT("00"&amp;VALUE(LEFT(Sync!$AH1417,FIND(":",Sync!$AH1417)-1)),2)&amp;RIGHT("00"&amp;VALUE(MID(Sync!$AH1417,FIND(":",Sync!$AH1417)+1,2)),2),"0000"))))</f>
        <v/>
      </c>
    </row>
    <row r="1418">
      <c r="A1418">
        <f>IF(OR(Calc!$E1421="",Calc!$E1421="نامعتبر",Calc!$G1421="",Calc!$I1421&lt;&gt;"خرید"),"",Calc!$G1421)</f>
        <v/>
      </c>
      <c r="B1418">
        <f>IF($A1418="","",LEFT(Calc!$E1421,4)&amp;MID(Calc!$E1421,6,2)&amp;RIGHT(Calc!$E1421,2)&amp;Calc!$R1421&amp;"|"&amp;"1"&amp;RIGHT("00000"&amp;1413,5))</f>
        <v/>
      </c>
      <c r="C1418">
        <f>IF($B1418="","",COUNTIFS(LdgPartyA,$A1418,LdgKeyA,"&lt;"&amp;$B1418)+COUNTIFS(LdgPartyB,$A1418,LdgKeyB,"&lt;"&amp;$B1418)+1)</f>
        <v/>
      </c>
      <c r="D1418">
        <f>IF($C1418="","",$A1418&amp;"|"&amp;RIGHT("000000"&amp;$C1418,6))</f>
        <v/>
      </c>
      <c r="F1418">
        <f>IF(Sync!$AJ1418="","",Sync!$AJ1418)</f>
        <v/>
      </c>
      <c r="G1418">
        <f>IF($F1418="","",IF(Sync!$AG1418="","",IF(ISNUMBER(Sync!$AG1418),IF(AND(Sync!$AG1418&gt;=10000101,Sync!$AG1418&lt;=99991231),INT(Sync!$AG1418/10000),""),IFERROR(VALUE(TRIM(LEFT(Sync!$AG1418,FIND("/",Sync!$AG1418)-1))),""))))</f>
        <v/>
      </c>
      <c r="H1418">
        <f>IF(OR($F1418="",$G1418=""),"",IF(ISNUMBER(Sync!$AG1418),INT(MOD(Sync!$AG1418,10000)/100),IFERROR(VALUE(TRIM(LEFT(MID(Sync!$AG1418,FIND("/",Sync!$AG1418)+1,20),FIND("/",MID(Sync!$AG1418,FIND("/",Sync!$AG1418)+1,20))-1))),"")))</f>
        <v/>
      </c>
      <c r="I1418">
        <f>IF(OR($F1418="",$G1418=""),"",IF(ISNUMBER(Sync!$AG1418),MOD(Sync!$AG1418,100),IFERROR(VALUE(TRIM(MID(MID(Sync!$AG1418,FIND("/",Sync!$AG1418)+1,20),FIND("/",MID(Sync!$AG1418,FIND("/",Sync!$AG1418)+1,20))+1,20))),"")))</f>
        <v/>
      </c>
      <c r="J1418">
        <f>IF($F1418="","",IF(OR($G1418="",$H1418="",$I1418="",$G1418&lt;1300,$G1418&gt;1500,$H1418&lt;1,$H1418&gt;12,$I1418&lt;1,$I1418&gt;31),"نامعتبر",RIGHT("0000"&amp;$G1418,4)&amp;"/"&amp;RIGHT("00"&amp;$H1418,2)&amp;"/"&amp;RIGHT("00"&amp;$I1418,2)))</f>
        <v/>
      </c>
      <c r="K1418">
        <f>IF(OR($F1418="",$J1418="",$J1418="نامعتبر"),"",LEFT($J1418,4)&amp;MID($J1418,6,2)&amp;RIGHT($J1418,2)&amp;$N1418&amp;"|"&amp;"2"&amp;RIGHT("00000"&amp;1413,5))</f>
        <v/>
      </c>
      <c r="L1418">
        <f>IF($K1418="","",COUNTIFS(LdgPartyA,$F1418,LdgKeyA,"&lt;"&amp;$K1418)+COUNTIFS(LdgPartyB,$F1418,LdgKeyB,"&lt;"&amp;$K1418)+1)</f>
        <v/>
      </c>
      <c r="M1418">
        <f>IF($L1418="","",$F1418&amp;"|"&amp;RIGHT("000000"&amp;$L1418,6))</f>
        <v/>
      </c>
      <c r="N1418">
        <f>IF($F1418="","",IF(Sync!$AH1418="","0000",IF(AND(ISNUMBER(Sync!$AH1418),Sync!$AH1418&gt;=0,Sync!$AH1418&lt;1),RIGHT("00"&amp;HOUR(Sync!$AH1418),2)&amp;RIGHT("00"&amp;MINUTE(Sync!$AH1418),2),IFERROR(RIGHT("00"&amp;VALUE(LEFT(Sync!$AH1418,FIND(":",Sync!$AH1418)-1)),2)&amp;RIGHT("00"&amp;VALUE(MID(Sync!$AH1418,FIND(":",Sync!$AH1418)+1,2)),2),"0000"))))</f>
        <v/>
      </c>
    </row>
    <row r="1419">
      <c r="A1419">
        <f>IF(OR(Calc!$E1422="",Calc!$E1422="نامعتبر",Calc!$G1422="",Calc!$I1422&lt;&gt;"خرید"),"",Calc!$G1422)</f>
        <v/>
      </c>
      <c r="B1419">
        <f>IF($A1419="","",LEFT(Calc!$E1422,4)&amp;MID(Calc!$E1422,6,2)&amp;RIGHT(Calc!$E1422,2)&amp;Calc!$R1422&amp;"|"&amp;"1"&amp;RIGHT("00000"&amp;1414,5))</f>
        <v/>
      </c>
      <c r="C1419">
        <f>IF($B1419="","",COUNTIFS(LdgPartyA,$A1419,LdgKeyA,"&lt;"&amp;$B1419)+COUNTIFS(LdgPartyB,$A1419,LdgKeyB,"&lt;"&amp;$B1419)+1)</f>
        <v/>
      </c>
      <c r="D1419">
        <f>IF($C1419="","",$A1419&amp;"|"&amp;RIGHT("000000"&amp;$C1419,6))</f>
        <v/>
      </c>
      <c r="F1419">
        <f>IF(Sync!$AJ1419="","",Sync!$AJ1419)</f>
        <v/>
      </c>
      <c r="G1419">
        <f>IF($F1419="","",IF(Sync!$AG1419="","",IF(ISNUMBER(Sync!$AG1419),IF(AND(Sync!$AG1419&gt;=10000101,Sync!$AG1419&lt;=99991231),INT(Sync!$AG1419/10000),""),IFERROR(VALUE(TRIM(LEFT(Sync!$AG1419,FIND("/",Sync!$AG1419)-1))),""))))</f>
        <v/>
      </c>
      <c r="H1419">
        <f>IF(OR($F1419="",$G1419=""),"",IF(ISNUMBER(Sync!$AG1419),INT(MOD(Sync!$AG1419,10000)/100),IFERROR(VALUE(TRIM(LEFT(MID(Sync!$AG1419,FIND("/",Sync!$AG1419)+1,20),FIND("/",MID(Sync!$AG1419,FIND("/",Sync!$AG1419)+1,20))-1))),"")))</f>
        <v/>
      </c>
      <c r="I1419">
        <f>IF(OR($F1419="",$G1419=""),"",IF(ISNUMBER(Sync!$AG1419),MOD(Sync!$AG1419,100),IFERROR(VALUE(TRIM(MID(MID(Sync!$AG1419,FIND("/",Sync!$AG1419)+1,20),FIND("/",MID(Sync!$AG1419,FIND("/",Sync!$AG1419)+1,20))+1,20))),"")))</f>
        <v/>
      </c>
      <c r="J1419">
        <f>IF($F1419="","",IF(OR($G1419="",$H1419="",$I1419="",$G1419&lt;1300,$G1419&gt;1500,$H1419&lt;1,$H1419&gt;12,$I1419&lt;1,$I1419&gt;31),"نامعتبر",RIGHT("0000"&amp;$G1419,4)&amp;"/"&amp;RIGHT("00"&amp;$H1419,2)&amp;"/"&amp;RIGHT("00"&amp;$I1419,2)))</f>
        <v/>
      </c>
      <c r="K1419">
        <f>IF(OR($F1419="",$J1419="",$J1419="نامعتبر"),"",LEFT($J1419,4)&amp;MID($J1419,6,2)&amp;RIGHT($J1419,2)&amp;$N1419&amp;"|"&amp;"2"&amp;RIGHT("00000"&amp;1414,5))</f>
        <v/>
      </c>
      <c r="L1419">
        <f>IF($K1419="","",COUNTIFS(LdgPartyA,$F1419,LdgKeyA,"&lt;"&amp;$K1419)+COUNTIFS(LdgPartyB,$F1419,LdgKeyB,"&lt;"&amp;$K1419)+1)</f>
        <v/>
      </c>
      <c r="M1419">
        <f>IF($L1419="","",$F1419&amp;"|"&amp;RIGHT("000000"&amp;$L1419,6))</f>
        <v/>
      </c>
      <c r="N1419">
        <f>IF($F1419="","",IF(Sync!$AH1419="","0000",IF(AND(ISNUMBER(Sync!$AH1419),Sync!$AH1419&gt;=0,Sync!$AH1419&lt;1),RIGHT("00"&amp;HOUR(Sync!$AH1419),2)&amp;RIGHT("00"&amp;MINUTE(Sync!$AH1419),2),IFERROR(RIGHT("00"&amp;VALUE(LEFT(Sync!$AH1419,FIND(":",Sync!$AH1419)-1)),2)&amp;RIGHT("00"&amp;VALUE(MID(Sync!$AH1419,FIND(":",Sync!$AH1419)+1,2)),2),"0000"))))</f>
        <v/>
      </c>
    </row>
    <row r="1420">
      <c r="A1420">
        <f>IF(OR(Calc!$E1423="",Calc!$E1423="نامعتبر",Calc!$G1423="",Calc!$I1423&lt;&gt;"خرید"),"",Calc!$G1423)</f>
        <v/>
      </c>
      <c r="B1420">
        <f>IF($A1420="","",LEFT(Calc!$E1423,4)&amp;MID(Calc!$E1423,6,2)&amp;RIGHT(Calc!$E1423,2)&amp;Calc!$R1423&amp;"|"&amp;"1"&amp;RIGHT("00000"&amp;1415,5))</f>
        <v/>
      </c>
      <c r="C1420">
        <f>IF($B1420="","",COUNTIFS(LdgPartyA,$A1420,LdgKeyA,"&lt;"&amp;$B1420)+COUNTIFS(LdgPartyB,$A1420,LdgKeyB,"&lt;"&amp;$B1420)+1)</f>
        <v/>
      </c>
      <c r="D1420">
        <f>IF($C1420="","",$A1420&amp;"|"&amp;RIGHT("000000"&amp;$C1420,6))</f>
        <v/>
      </c>
      <c r="F1420">
        <f>IF(Sync!$AJ1420="","",Sync!$AJ1420)</f>
        <v/>
      </c>
      <c r="G1420">
        <f>IF($F1420="","",IF(Sync!$AG1420="","",IF(ISNUMBER(Sync!$AG1420),IF(AND(Sync!$AG1420&gt;=10000101,Sync!$AG1420&lt;=99991231),INT(Sync!$AG1420/10000),""),IFERROR(VALUE(TRIM(LEFT(Sync!$AG1420,FIND("/",Sync!$AG1420)-1))),""))))</f>
        <v/>
      </c>
      <c r="H1420">
        <f>IF(OR($F1420="",$G1420=""),"",IF(ISNUMBER(Sync!$AG1420),INT(MOD(Sync!$AG1420,10000)/100),IFERROR(VALUE(TRIM(LEFT(MID(Sync!$AG1420,FIND("/",Sync!$AG1420)+1,20),FIND("/",MID(Sync!$AG1420,FIND("/",Sync!$AG1420)+1,20))-1))),"")))</f>
        <v/>
      </c>
      <c r="I1420">
        <f>IF(OR($F1420="",$G1420=""),"",IF(ISNUMBER(Sync!$AG1420),MOD(Sync!$AG1420,100),IFERROR(VALUE(TRIM(MID(MID(Sync!$AG1420,FIND("/",Sync!$AG1420)+1,20),FIND("/",MID(Sync!$AG1420,FIND("/",Sync!$AG1420)+1,20))+1,20))),"")))</f>
        <v/>
      </c>
      <c r="J1420">
        <f>IF($F1420="","",IF(OR($G1420="",$H1420="",$I1420="",$G1420&lt;1300,$G1420&gt;1500,$H1420&lt;1,$H1420&gt;12,$I1420&lt;1,$I1420&gt;31),"نامعتبر",RIGHT("0000"&amp;$G1420,4)&amp;"/"&amp;RIGHT("00"&amp;$H1420,2)&amp;"/"&amp;RIGHT("00"&amp;$I1420,2)))</f>
        <v/>
      </c>
      <c r="K1420">
        <f>IF(OR($F1420="",$J1420="",$J1420="نامعتبر"),"",LEFT($J1420,4)&amp;MID($J1420,6,2)&amp;RIGHT($J1420,2)&amp;$N1420&amp;"|"&amp;"2"&amp;RIGHT("00000"&amp;1415,5))</f>
        <v/>
      </c>
      <c r="L1420">
        <f>IF($K1420="","",COUNTIFS(LdgPartyA,$F1420,LdgKeyA,"&lt;"&amp;$K1420)+COUNTIFS(LdgPartyB,$F1420,LdgKeyB,"&lt;"&amp;$K1420)+1)</f>
        <v/>
      </c>
      <c r="M1420">
        <f>IF($L1420="","",$F1420&amp;"|"&amp;RIGHT("000000"&amp;$L1420,6))</f>
        <v/>
      </c>
      <c r="N1420">
        <f>IF($F1420="","",IF(Sync!$AH1420="","0000",IF(AND(ISNUMBER(Sync!$AH1420),Sync!$AH1420&gt;=0,Sync!$AH1420&lt;1),RIGHT("00"&amp;HOUR(Sync!$AH1420),2)&amp;RIGHT("00"&amp;MINUTE(Sync!$AH1420),2),IFERROR(RIGHT("00"&amp;VALUE(LEFT(Sync!$AH1420,FIND(":",Sync!$AH1420)-1)),2)&amp;RIGHT("00"&amp;VALUE(MID(Sync!$AH1420,FIND(":",Sync!$AH1420)+1,2)),2),"0000"))))</f>
        <v/>
      </c>
    </row>
    <row r="1421">
      <c r="A1421">
        <f>IF(OR(Calc!$E1424="",Calc!$E1424="نامعتبر",Calc!$G1424="",Calc!$I1424&lt;&gt;"خرید"),"",Calc!$G1424)</f>
        <v/>
      </c>
      <c r="B1421">
        <f>IF($A1421="","",LEFT(Calc!$E1424,4)&amp;MID(Calc!$E1424,6,2)&amp;RIGHT(Calc!$E1424,2)&amp;Calc!$R1424&amp;"|"&amp;"1"&amp;RIGHT("00000"&amp;1416,5))</f>
        <v/>
      </c>
      <c r="C1421">
        <f>IF($B1421="","",COUNTIFS(LdgPartyA,$A1421,LdgKeyA,"&lt;"&amp;$B1421)+COUNTIFS(LdgPartyB,$A1421,LdgKeyB,"&lt;"&amp;$B1421)+1)</f>
        <v/>
      </c>
      <c r="D1421">
        <f>IF($C1421="","",$A1421&amp;"|"&amp;RIGHT("000000"&amp;$C1421,6))</f>
        <v/>
      </c>
      <c r="F1421">
        <f>IF(Sync!$AJ1421="","",Sync!$AJ1421)</f>
        <v/>
      </c>
      <c r="G1421">
        <f>IF($F1421="","",IF(Sync!$AG1421="","",IF(ISNUMBER(Sync!$AG1421),IF(AND(Sync!$AG1421&gt;=10000101,Sync!$AG1421&lt;=99991231),INT(Sync!$AG1421/10000),""),IFERROR(VALUE(TRIM(LEFT(Sync!$AG1421,FIND("/",Sync!$AG1421)-1))),""))))</f>
        <v/>
      </c>
      <c r="H1421">
        <f>IF(OR($F1421="",$G1421=""),"",IF(ISNUMBER(Sync!$AG1421),INT(MOD(Sync!$AG1421,10000)/100),IFERROR(VALUE(TRIM(LEFT(MID(Sync!$AG1421,FIND("/",Sync!$AG1421)+1,20),FIND("/",MID(Sync!$AG1421,FIND("/",Sync!$AG1421)+1,20))-1))),"")))</f>
        <v/>
      </c>
      <c r="I1421">
        <f>IF(OR($F1421="",$G1421=""),"",IF(ISNUMBER(Sync!$AG1421),MOD(Sync!$AG1421,100),IFERROR(VALUE(TRIM(MID(MID(Sync!$AG1421,FIND("/",Sync!$AG1421)+1,20),FIND("/",MID(Sync!$AG1421,FIND("/",Sync!$AG1421)+1,20))+1,20))),"")))</f>
        <v/>
      </c>
      <c r="J1421">
        <f>IF($F1421="","",IF(OR($G1421="",$H1421="",$I1421="",$G1421&lt;1300,$G1421&gt;1500,$H1421&lt;1,$H1421&gt;12,$I1421&lt;1,$I1421&gt;31),"نامعتبر",RIGHT("0000"&amp;$G1421,4)&amp;"/"&amp;RIGHT("00"&amp;$H1421,2)&amp;"/"&amp;RIGHT("00"&amp;$I1421,2)))</f>
        <v/>
      </c>
      <c r="K1421">
        <f>IF(OR($F1421="",$J1421="",$J1421="نامعتبر"),"",LEFT($J1421,4)&amp;MID($J1421,6,2)&amp;RIGHT($J1421,2)&amp;$N1421&amp;"|"&amp;"2"&amp;RIGHT("00000"&amp;1416,5))</f>
        <v/>
      </c>
      <c r="L1421">
        <f>IF($K1421="","",COUNTIFS(LdgPartyA,$F1421,LdgKeyA,"&lt;"&amp;$K1421)+COUNTIFS(LdgPartyB,$F1421,LdgKeyB,"&lt;"&amp;$K1421)+1)</f>
        <v/>
      </c>
      <c r="M1421">
        <f>IF($L1421="","",$F1421&amp;"|"&amp;RIGHT("000000"&amp;$L1421,6))</f>
        <v/>
      </c>
      <c r="N1421">
        <f>IF($F1421="","",IF(Sync!$AH1421="","0000",IF(AND(ISNUMBER(Sync!$AH1421),Sync!$AH1421&gt;=0,Sync!$AH1421&lt;1),RIGHT("00"&amp;HOUR(Sync!$AH1421),2)&amp;RIGHT("00"&amp;MINUTE(Sync!$AH1421),2),IFERROR(RIGHT("00"&amp;VALUE(LEFT(Sync!$AH1421,FIND(":",Sync!$AH1421)-1)),2)&amp;RIGHT("00"&amp;VALUE(MID(Sync!$AH1421,FIND(":",Sync!$AH1421)+1,2)),2),"0000"))))</f>
        <v/>
      </c>
    </row>
    <row r="1422">
      <c r="A1422">
        <f>IF(OR(Calc!$E1425="",Calc!$E1425="نامعتبر",Calc!$G1425="",Calc!$I1425&lt;&gt;"خرید"),"",Calc!$G1425)</f>
        <v/>
      </c>
      <c r="B1422">
        <f>IF($A1422="","",LEFT(Calc!$E1425,4)&amp;MID(Calc!$E1425,6,2)&amp;RIGHT(Calc!$E1425,2)&amp;Calc!$R1425&amp;"|"&amp;"1"&amp;RIGHT("00000"&amp;1417,5))</f>
        <v/>
      </c>
      <c r="C1422">
        <f>IF($B1422="","",COUNTIFS(LdgPartyA,$A1422,LdgKeyA,"&lt;"&amp;$B1422)+COUNTIFS(LdgPartyB,$A1422,LdgKeyB,"&lt;"&amp;$B1422)+1)</f>
        <v/>
      </c>
      <c r="D1422">
        <f>IF($C1422="","",$A1422&amp;"|"&amp;RIGHT("000000"&amp;$C1422,6))</f>
        <v/>
      </c>
      <c r="F1422">
        <f>IF(Sync!$AJ1422="","",Sync!$AJ1422)</f>
        <v/>
      </c>
      <c r="G1422">
        <f>IF($F1422="","",IF(Sync!$AG1422="","",IF(ISNUMBER(Sync!$AG1422),IF(AND(Sync!$AG1422&gt;=10000101,Sync!$AG1422&lt;=99991231),INT(Sync!$AG1422/10000),""),IFERROR(VALUE(TRIM(LEFT(Sync!$AG1422,FIND("/",Sync!$AG1422)-1))),""))))</f>
        <v/>
      </c>
      <c r="H1422">
        <f>IF(OR($F1422="",$G1422=""),"",IF(ISNUMBER(Sync!$AG1422),INT(MOD(Sync!$AG1422,10000)/100),IFERROR(VALUE(TRIM(LEFT(MID(Sync!$AG1422,FIND("/",Sync!$AG1422)+1,20),FIND("/",MID(Sync!$AG1422,FIND("/",Sync!$AG1422)+1,20))-1))),"")))</f>
        <v/>
      </c>
      <c r="I1422">
        <f>IF(OR($F1422="",$G1422=""),"",IF(ISNUMBER(Sync!$AG1422),MOD(Sync!$AG1422,100),IFERROR(VALUE(TRIM(MID(MID(Sync!$AG1422,FIND("/",Sync!$AG1422)+1,20),FIND("/",MID(Sync!$AG1422,FIND("/",Sync!$AG1422)+1,20))+1,20))),"")))</f>
        <v/>
      </c>
      <c r="J1422">
        <f>IF($F1422="","",IF(OR($G1422="",$H1422="",$I1422="",$G1422&lt;1300,$G1422&gt;1500,$H1422&lt;1,$H1422&gt;12,$I1422&lt;1,$I1422&gt;31),"نامعتبر",RIGHT("0000"&amp;$G1422,4)&amp;"/"&amp;RIGHT("00"&amp;$H1422,2)&amp;"/"&amp;RIGHT("00"&amp;$I1422,2)))</f>
        <v/>
      </c>
      <c r="K1422">
        <f>IF(OR($F1422="",$J1422="",$J1422="نامعتبر"),"",LEFT($J1422,4)&amp;MID($J1422,6,2)&amp;RIGHT($J1422,2)&amp;$N1422&amp;"|"&amp;"2"&amp;RIGHT("00000"&amp;1417,5))</f>
        <v/>
      </c>
      <c r="L1422">
        <f>IF($K1422="","",COUNTIFS(LdgPartyA,$F1422,LdgKeyA,"&lt;"&amp;$K1422)+COUNTIFS(LdgPartyB,$F1422,LdgKeyB,"&lt;"&amp;$K1422)+1)</f>
        <v/>
      </c>
      <c r="M1422">
        <f>IF($L1422="","",$F1422&amp;"|"&amp;RIGHT("000000"&amp;$L1422,6))</f>
        <v/>
      </c>
      <c r="N1422">
        <f>IF($F1422="","",IF(Sync!$AH1422="","0000",IF(AND(ISNUMBER(Sync!$AH1422),Sync!$AH1422&gt;=0,Sync!$AH1422&lt;1),RIGHT("00"&amp;HOUR(Sync!$AH1422),2)&amp;RIGHT("00"&amp;MINUTE(Sync!$AH1422),2),IFERROR(RIGHT("00"&amp;VALUE(LEFT(Sync!$AH1422,FIND(":",Sync!$AH1422)-1)),2)&amp;RIGHT("00"&amp;VALUE(MID(Sync!$AH1422,FIND(":",Sync!$AH1422)+1,2)),2),"0000"))))</f>
        <v/>
      </c>
    </row>
    <row r="1423">
      <c r="A1423">
        <f>IF(OR(Calc!$E1426="",Calc!$E1426="نامعتبر",Calc!$G1426="",Calc!$I1426&lt;&gt;"خرید"),"",Calc!$G1426)</f>
        <v/>
      </c>
      <c r="B1423">
        <f>IF($A1423="","",LEFT(Calc!$E1426,4)&amp;MID(Calc!$E1426,6,2)&amp;RIGHT(Calc!$E1426,2)&amp;Calc!$R1426&amp;"|"&amp;"1"&amp;RIGHT("00000"&amp;1418,5))</f>
        <v/>
      </c>
      <c r="C1423">
        <f>IF($B1423="","",COUNTIFS(LdgPartyA,$A1423,LdgKeyA,"&lt;"&amp;$B1423)+COUNTIFS(LdgPartyB,$A1423,LdgKeyB,"&lt;"&amp;$B1423)+1)</f>
        <v/>
      </c>
      <c r="D1423">
        <f>IF($C1423="","",$A1423&amp;"|"&amp;RIGHT("000000"&amp;$C1423,6))</f>
        <v/>
      </c>
      <c r="F1423">
        <f>IF(Sync!$AJ1423="","",Sync!$AJ1423)</f>
        <v/>
      </c>
      <c r="G1423">
        <f>IF($F1423="","",IF(Sync!$AG1423="","",IF(ISNUMBER(Sync!$AG1423),IF(AND(Sync!$AG1423&gt;=10000101,Sync!$AG1423&lt;=99991231),INT(Sync!$AG1423/10000),""),IFERROR(VALUE(TRIM(LEFT(Sync!$AG1423,FIND("/",Sync!$AG1423)-1))),""))))</f>
        <v/>
      </c>
      <c r="H1423">
        <f>IF(OR($F1423="",$G1423=""),"",IF(ISNUMBER(Sync!$AG1423),INT(MOD(Sync!$AG1423,10000)/100),IFERROR(VALUE(TRIM(LEFT(MID(Sync!$AG1423,FIND("/",Sync!$AG1423)+1,20),FIND("/",MID(Sync!$AG1423,FIND("/",Sync!$AG1423)+1,20))-1))),"")))</f>
        <v/>
      </c>
      <c r="I1423">
        <f>IF(OR($F1423="",$G1423=""),"",IF(ISNUMBER(Sync!$AG1423),MOD(Sync!$AG1423,100),IFERROR(VALUE(TRIM(MID(MID(Sync!$AG1423,FIND("/",Sync!$AG1423)+1,20),FIND("/",MID(Sync!$AG1423,FIND("/",Sync!$AG1423)+1,20))+1,20))),"")))</f>
        <v/>
      </c>
      <c r="J1423">
        <f>IF($F1423="","",IF(OR($G1423="",$H1423="",$I1423="",$G1423&lt;1300,$G1423&gt;1500,$H1423&lt;1,$H1423&gt;12,$I1423&lt;1,$I1423&gt;31),"نامعتبر",RIGHT("0000"&amp;$G1423,4)&amp;"/"&amp;RIGHT("00"&amp;$H1423,2)&amp;"/"&amp;RIGHT("00"&amp;$I1423,2)))</f>
        <v/>
      </c>
      <c r="K1423">
        <f>IF(OR($F1423="",$J1423="",$J1423="نامعتبر"),"",LEFT($J1423,4)&amp;MID($J1423,6,2)&amp;RIGHT($J1423,2)&amp;$N1423&amp;"|"&amp;"2"&amp;RIGHT("00000"&amp;1418,5))</f>
        <v/>
      </c>
      <c r="L1423">
        <f>IF($K1423="","",COUNTIFS(LdgPartyA,$F1423,LdgKeyA,"&lt;"&amp;$K1423)+COUNTIFS(LdgPartyB,$F1423,LdgKeyB,"&lt;"&amp;$K1423)+1)</f>
        <v/>
      </c>
      <c r="M1423">
        <f>IF($L1423="","",$F1423&amp;"|"&amp;RIGHT("000000"&amp;$L1423,6))</f>
        <v/>
      </c>
      <c r="N1423">
        <f>IF($F1423="","",IF(Sync!$AH1423="","0000",IF(AND(ISNUMBER(Sync!$AH1423),Sync!$AH1423&gt;=0,Sync!$AH1423&lt;1),RIGHT("00"&amp;HOUR(Sync!$AH1423),2)&amp;RIGHT("00"&amp;MINUTE(Sync!$AH1423),2),IFERROR(RIGHT("00"&amp;VALUE(LEFT(Sync!$AH1423,FIND(":",Sync!$AH1423)-1)),2)&amp;RIGHT("00"&amp;VALUE(MID(Sync!$AH1423,FIND(":",Sync!$AH1423)+1,2)),2),"0000"))))</f>
        <v/>
      </c>
    </row>
    <row r="1424">
      <c r="A1424">
        <f>IF(OR(Calc!$E1427="",Calc!$E1427="نامعتبر",Calc!$G1427="",Calc!$I1427&lt;&gt;"خرید"),"",Calc!$G1427)</f>
        <v/>
      </c>
      <c r="B1424">
        <f>IF($A1424="","",LEFT(Calc!$E1427,4)&amp;MID(Calc!$E1427,6,2)&amp;RIGHT(Calc!$E1427,2)&amp;Calc!$R1427&amp;"|"&amp;"1"&amp;RIGHT("00000"&amp;1419,5))</f>
        <v/>
      </c>
      <c r="C1424">
        <f>IF($B1424="","",COUNTIFS(LdgPartyA,$A1424,LdgKeyA,"&lt;"&amp;$B1424)+COUNTIFS(LdgPartyB,$A1424,LdgKeyB,"&lt;"&amp;$B1424)+1)</f>
        <v/>
      </c>
      <c r="D1424">
        <f>IF($C1424="","",$A1424&amp;"|"&amp;RIGHT("000000"&amp;$C1424,6))</f>
        <v/>
      </c>
      <c r="F1424">
        <f>IF(Sync!$AJ1424="","",Sync!$AJ1424)</f>
        <v/>
      </c>
      <c r="G1424">
        <f>IF($F1424="","",IF(Sync!$AG1424="","",IF(ISNUMBER(Sync!$AG1424),IF(AND(Sync!$AG1424&gt;=10000101,Sync!$AG1424&lt;=99991231),INT(Sync!$AG1424/10000),""),IFERROR(VALUE(TRIM(LEFT(Sync!$AG1424,FIND("/",Sync!$AG1424)-1))),""))))</f>
        <v/>
      </c>
      <c r="H1424">
        <f>IF(OR($F1424="",$G1424=""),"",IF(ISNUMBER(Sync!$AG1424),INT(MOD(Sync!$AG1424,10000)/100),IFERROR(VALUE(TRIM(LEFT(MID(Sync!$AG1424,FIND("/",Sync!$AG1424)+1,20),FIND("/",MID(Sync!$AG1424,FIND("/",Sync!$AG1424)+1,20))-1))),"")))</f>
        <v/>
      </c>
      <c r="I1424">
        <f>IF(OR($F1424="",$G1424=""),"",IF(ISNUMBER(Sync!$AG1424),MOD(Sync!$AG1424,100),IFERROR(VALUE(TRIM(MID(MID(Sync!$AG1424,FIND("/",Sync!$AG1424)+1,20),FIND("/",MID(Sync!$AG1424,FIND("/",Sync!$AG1424)+1,20))+1,20))),"")))</f>
        <v/>
      </c>
      <c r="J1424">
        <f>IF($F1424="","",IF(OR($G1424="",$H1424="",$I1424="",$G1424&lt;1300,$G1424&gt;1500,$H1424&lt;1,$H1424&gt;12,$I1424&lt;1,$I1424&gt;31),"نامعتبر",RIGHT("0000"&amp;$G1424,4)&amp;"/"&amp;RIGHT("00"&amp;$H1424,2)&amp;"/"&amp;RIGHT("00"&amp;$I1424,2)))</f>
        <v/>
      </c>
      <c r="K1424">
        <f>IF(OR($F1424="",$J1424="",$J1424="نامعتبر"),"",LEFT($J1424,4)&amp;MID($J1424,6,2)&amp;RIGHT($J1424,2)&amp;$N1424&amp;"|"&amp;"2"&amp;RIGHT("00000"&amp;1419,5))</f>
        <v/>
      </c>
      <c r="L1424">
        <f>IF($K1424="","",COUNTIFS(LdgPartyA,$F1424,LdgKeyA,"&lt;"&amp;$K1424)+COUNTIFS(LdgPartyB,$F1424,LdgKeyB,"&lt;"&amp;$K1424)+1)</f>
        <v/>
      </c>
      <c r="M1424">
        <f>IF($L1424="","",$F1424&amp;"|"&amp;RIGHT("000000"&amp;$L1424,6))</f>
        <v/>
      </c>
      <c r="N1424">
        <f>IF($F1424="","",IF(Sync!$AH1424="","0000",IF(AND(ISNUMBER(Sync!$AH1424),Sync!$AH1424&gt;=0,Sync!$AH1424&lt;1),RIGHT("00"&amp;HOUR(Sync!$AH1424),2)&amp;RIGHT("00"&amp;MINUTE(Sync!$AH1424),2),IFERROR(RIGHT("00"&amp;VALUE(LEFT(Sync!$AH1424,FIND(":",Sync!$AH1424)-1)),2)&amp;RIGHT("00"&amp;VALUE(MID(Sync!$AH1424,FIND(":",Sync!$AH1424)+1,2)),2),"0000"))))</f>
        <v/>
      </c>
    </row>
    <row r="1425">
      <c r="A1425">
        <f>IF(OR(Calc!$E1428="",Calc!$E1428="نامعتبر",Calc!$G1428="",Calc!$I1428&lt;&gt;"خرید"),"",Calc!$G1428)</f>
        <v/>
      </c>
      <c r="B1425">
        <f>IF($A1425="","",LEFT(Calc!$E1428,4)&amp;MID(Calc!$E1428,6,2)&amp;RIGHT(Calc!$E1428,2)&amp;Calc!$R1428&amp;"|"&amp;"1"&amp;RIGHT("00000"&amp;1420,5))</f>
        <v/>
      </c>
      <c r="C1425">
        <f>IF($B1425="","",COUNTIFS(LdgPartyA,$A1425,LdgKeyA,"&lt;"&amp;$B1425)+COUNTIFS(LdgPartyB,$A1425,LdgKeyB,"&lt;"&amp;$B1425)+1)</f>
        <v/>
      </c>
      <c r="D1425">
        <f>IF($C1425="","",$A1425&amp;"|"&amp;RIGHT("000000"&amp;$C1425,6))</f>
        <v/>
      </c>
      <c r="F1425">
        <f>IF(Sync!$AJ1425="","",Sync!$AJ1425)</f>
        <v/>
      </c>
      <c r="G1425">
        <f>IF($F1425="","",IF(Sync!$AG1425="","",IF(ISNUMBER(Sync!$AG1425),IF(AND(Sync!$AG1425&gt;=10000101,Sync!$AG1425&lt;=99991231),INT(Sync!$AG1425/10000),""),IFERROR(VALUE(TRIM(LEFT(Sync!$AG1425,FIND("/",Sync!$AG1425)-1))),""))))</f>
        <v/>
      </c>
      <c r="H1425">
        <f>IF(OR($F1425="",$G1425=""),"",IF(ISNUMBER(Sync!$AG1425),INT(MOD(Sync!$AG1425,10000)/100),IFERROR(VALUE(TRIM(LEFT(MID(Sync!$AG1425,FIND("/",Sync!$AG1425)+1,20),FIND("/",MID(Sync!$AG1425,FIND("/",Sync!$AG1425)+1,20))-1))),"")))</f>
        <v/>
      </c>
      <c r="I1425">
        <f>IF(OR($F1425="",$G1425=""),"",IF(ISNUMBER(Sync!$AG1425),MOD(Sync!$AG1425,100),IFERROR(VALUE(TRIM(MID(MID(Sync!$AG1425,FIND("/",Sync!$AG1425)+1,20),FIND("/",MID(Sync!$AG1425,FIND("/",Sync!$AG1425)+1,20))+1,20))),"")))</f>
        <v/>
      </c>
      <c r="J1425">
        <f>IF($F1425="","",IF(OR($G1425="",$H1425="",$I1425="",$G1425&lt;1300,$G1425&gt;1500,$H1425&lt;1,$H1425&gt;12,$I1425&lt;1,$I1425&gt;31),"نامعتبر",RIGHT("0000"&amp;$G1425,4)&amp;"/"&amp;RIGHT("00"&amp;$H1425,2)&amp;"/"&amp;RIGHT("00"&amp;$I1425,2)))</f>
        <v/>
      </c>
      <c r="K1425">
        <f>IF(OR($F1425="",$J1425="",$J1425="نامعتبر"),"",LEFT($J1425,4)&amp;MID($J1425,6,2)&amp;RIGHT($J1425,2)&amp;$N1425&amp;"|"&amp;"2"&amp;RIGHT("00000"&amp;1420,5))</f>
        <v/>
      </c>
      <c r="L1425">
        <f>IF($K1425="","",COUNTIFS(LdgPartyA,$F1425,LdgKeyA,"&lt;"&amp;$K1425)+COUNTIFS(LdgPartyB,$F1425,LdgKeyB,"&lt;"&amp;$K1425)+1)</f>
        <v/>
      </c>
      <c r="M1425">
        <f>IF($L1425="","",$F1425&amp;"|"&amp;RIGHT("000000"&amp;$L1425,6))</f>
        <v/>
      </c>
      <c r="N1425">
        <f>IF($F1425="","",IF(Sync!$AH1425="","0000",IF(AND(ISNUMBER(Sync!$AH1425),Sync!$AH1425&gt;=0,Sync!$AH1425&lt;1),RIGHT("00"&amp;HOUR(Sync!$AH1425),2)&amp;RIGHT("00"&amp;MINUTE(Sync!$AH1425),2),IFERROR(RIGHT("00"&amp;VALUE(LEFT(Sync!$AH1425,FIND(":",Sync!$AH1425)-1)),2)&amp;RIGHT("00"&amp;VALUE(MID(Sync!$AH1425,FIND(":",Sync!$AH1425)+1,2)),2),"0000"))))</f>
        <v/>
      </c>
    </row>
    <row r="1426">
      <c r="A1426">
        <f>IF(OR(Calc!$E1429="",Calc!$E1429="نامعتبر",Calc!$G1429="",Calc!$I1429&lt;&gt;"خرید"),"",Calc!$G1429)</f>
        <v/>
      </c>
      <c r="B1426">
        <f>IF($A1426="","",LEFT(Calc!$E1429,4)&amp;MID(Calc!$E1429,6,2)&amp;RIGHT(Calc!$E1429,2)&amp;Calc!$R1429&amp;"|"&amp;"1"&amp;RIGHT("00000"&amp;1421,5))</f>
        <v/>
      </c>
      <c r="C1426">
        <f>IF($B1426="","",COUNTIFS(LdgPartyA,$A1426,LdgKeyA,"&lt;"&amp;$B1426)+COUNTIFS(LdgPartyB,$A1426,LdgKeyB,"&lt;"&amp;$B1426)+1)</f>
        <v/>
      </c>
      <c r="D1426">
        <f>IF($C1426="","",$A1426&amp;"|"&amp;RIGHT("000000"&amp;$C1426,6))</f>
        <v/>
      </c>
      <c r="F1426">
        <f>IF(Sync!$AJ1426="","",Sync!$AJ1426)</f>
        <v/>
      </c>
      <c r="G1426">
        <f>IF($F1426="","",IF(Sync!$AG1426="","",IF(ISNUMBER(Sync!$AG1426),IF(AND(Sync!$AG1426&gt;=10000101,Sync!$AG1426&lt;=99991231),INT(Sync!$AG1426/10000),""),IFERROR(VALUE(TRIM(LEFT(Sync!$AG1426,FIND("/",Sync!$AG1426)-1))),""))))</f>
        <v/>
      </c>
      <c r="H1426">
        <f>IF(OR($F1426="",$G1426=""),"",IF(ISNUMBER(Sync!$AG1426),INT(MOD(Sync!$AG1426,10000)/100),IFERROR(VALUE(TRIM(LEFT(MID(Sync!$AG1426,FIND("/",Sync!$AG1426)+1,20),FIND("/",MID(Sync!$AG1426,FIND("/",Sync!$AG1426)+1,20))-1))),"")))</f>
        <v/>
      </c>
      <c r="I1426">
        <f>IF(OR($F1426="",$G1426=""),"",IF(ISNUMBER(Sync!$AG1426),MOD(Sync!$AG1426,100),IFERROR(VALUE(TRIM(MID(MID(Sync!$AG1426,FIND("/",Sync!$AG1426)+1,20),FIND("/",MID(Sync!$AG1426,FIND("/",Sync!$AG1426)+1,20))+1,20))),"")))</f>
        <v/>
      </c>
      <c r="J1426">
        <f>IF($F1426="","",IF(OR($G1426="",$H1426="",$I1426="",$G1426&lt;1300,$G1426&gt;1500,$H1426&lt;1,$H1426&gt;12,$I1426&lt;1,$I1426&gt;31),"نامعتبر",RIGHT("0000"&amp;$G1426,4)&amp;"/"&amp;RIGHT("00"&amp;$H1426,2)&amp;"/"&amp;RIGHT("00"&amp;$I1426,2)))</f>
        <v/>
      </c>
      <c r="K1426">
        <f>IF(OR($F1426="",$J1426="",$J1426="نامعتبر"),"",LEFT($J1426,4)&amp;MID($J1426,6,2)&amp;RIGHT($J1426,2)&amp;$N1426&amp;"|"&amp;"2"&amp;RIGHT("00000"&amp;1421,5))</f>
        <v/>
      </c>
      <c r="L1426">
        <f>IF($K1426="","",COUNTIFS(LdgPartyA,$F1426,LdgKeyA,"&lt;"&amp;$K1426)+COUNTIFS(LdgPartyB,$F1426,LdgKeyB,"&lt;"&amp;$K1426)+1)</f>
        <v/>
      </c>
      <c r="M1426">
        <f>IF($L1426="","",$F1426&amp;"|"&amp;RIGHT("000000"&amp;$L1426,6))</f>
        <v/>
      </c>
      <c r="N1426">
        <f>IF($F1426="","",IF(Sync!$AH1426="","0000",IF(AND(ISNUMBER(Sync!$AH1426),Sync!$AH1426&gt;=0,Sync!$AH1426&lt;1),RIGHT("00"&amp;HOUR(Sync!$AH1426),2)&amp;RIGHT("00"&amp;MINUTE(Sync!$AH1426),2),IFERROR(RIGHT("00"&amp;VALUE(LEFT(Sync!$AH1426,FIND(":",Sync!$AH1426)-1)),2)&amp;RIGHT("00"&amp;VALUE(MID(Sync!$AH1426,FIND(":",Sync!$AH1426)+1,2)),2),"0000"))))</f>
        <v/>
      </c>
    </row>
    <row r="1427">
      <c r="A1427">
        <f>IF(OR(Calc!$E1430="",Calc!$E1430="نامعتبر",Calc!$G1430="",Calc!$I1430&lt;&gt;"خرید"),"",Calc!$G1430)</f>
        <v/>
      </c>
      <c r="B1427">
        <f>IF($A1427="","",LEFT(Calc!$E1430,4)&amp;MID(Calc!$E1430,6,2)&amp;RIGHT(Calc!$E1430,2)&amp;Calc!$R1430&amp;"|"&amp;"1"&amp;RIGHT("00000"&amp;1422,5))</f>
        <v/>
      </c>
      <c r="C1427">
        <f>IF($B1427="","",COUNTIFS(LdgPartyA,$A1427,LdgKeyA,"&lt;"&amp;$B1427)+COUNTIFS(LdgPartyB,$A1427,LdgKeyB,"&lt;"&amp;$B1427)+1)</f>
        <v/>
      </c>
      <c r="D1427">
        <f>IF($C1427="","",$A1427&amp;"|"&amp;RIGHT("000000"&amp;$C1427,6))</f>
        <v/>
      </c>
      <c r="F1427">
        <f>IF(Sync!$AJ1427="","",Sync!$AJ1427)</f>
        <v/>
      </c>
      <c r="G1427">
        <f>IF($F1427="","",IF(Sync!$AG1427="","",IF(ISNUMBER(Sync!$AG1427),IF(AND(Sync!$AG1427&gt;=10000101,Sync!$AG1427&lt;=99991231),INT(Sync!$AG1427/10000),""),IFERROR(VALUE(TRIM(LEFT(Sync!$AG1427,FIND("/",Sync!$AG1427)-1))),""))))</f>
        <v/>
      </c>
      <c r="H1427">
        <f>IF(OR($F1427="",$G1427=""),"",IF(ISNUMBER(Sync!$AG1427),INT(MOD(Sync!$AG1427,10000)/100),IFERROR(VALUE(TRIM(LEFT(MID(Sync!$AG1427,FIND("/",Sync!$AG1427)+1,20),FIND("/",MID(Sync!$AG1427,FIND("/",Sync!$AG1427)+1,20))-1))),"")))</f>
        <v/>
      </c>
      <c r="I1427">
        <f>IF(OR($F1427="",$G1427=""),"",IF(ISNUMBER(Sync!$AG1427),MOD(Sync!$AG1427,100),IFERROR(VALUE(TRIM(MID(MID(Sync!$AG1427,FIND("/",Sync!$AG1427)+1,20),FIND("/",MID(Sync!$AG1427,FIND("/",Sync!$AG1427)+1,20))+1,20))),"")))</f>
        <v/>
      </c>
      <c r="J1427">
        <f>IF($F1427="","",IF(OR($G1427="",$H1427="",$I1427="",$G1427&lt;1300,$G1427&gt;1500,$H1427&lt;1,$H1427&gt;12,$I1427&lt;1,$I1427&gt;31),"نامعتبر",RIGHT("0000"&amp;$G1427,4)&amp;"/"&amp;RIGHT("00"&amp;$H1427,2)&amp;"/"&amp;RIGHT("00"&amp;$I1427,2)))</f>
        <v/>
      </c>
      <c r="K1427">
        <f>IF(OR($F1427="",$J1427="",$J1427="نامعتبر"),"",LEFT($J1427,4)&amp;MID($J1427,6,2)&amp;RIGHT($J1427,2)&amp;$N1427&amp;"|"&amp;"2"&amp;RIGHT("00000"&amp;1422,5))</f>
        <v/>
      </c>
      <c r="L1427">
        <f>IF($K1427="","",COUNTIFS(LdgPartyA,$F1427,LdgKeyA,"&lt;"&amp;$K1427)+COUNTIFS(LdgPartyB,$F1427,LdgKeyB,"&lt;"&amp;$K1427)+1)</f>
        <v/>
      </c>
      <c r="M1427">
        <f>IF($L1427="","",$F1427&amp;"|"&amp;RIGHT("000000"&amp;$L1427,6))</f>
        <v/>
      </c>
      <c r="N1427">
        <f>IF($F1427="","",IF(Sync!$AH1427="","0000",IF(AND(ISNUMBER(Sync!$AH1427),Sync!$AH1427&gt;=0,Sync!$AH1427&lt;1),RIGHT("00"&amp;HOUR(Sync!$AH1427),2)&amp;RIGHT("00"&amp;MINUTE(Sync!$AH1427),2),IFERROR(RIGHT("00"&amp;VALUE(LEFT(Sync!$AH1427,FIND(":",Sync!$AH1427)-1)),2)&amp;RIGHT("00"&amp;VALUE(MID(Sync!$AH1427,FIND(":",Sync!$AH1427)+1,2)),2),"0000"))))</f>
        <v/>
      </c>
    </row>
    <row r="1428">
      <c r="A1428">
        <f>IF(OR(Calc!$E1431="",Calc!$E1431="نامعتبر",Calc!$G1431="",Calc!$I1431&lt;&gt;"خرید"),"",Calc!$G1431)</f>
        <v/>
      </c>
      <c r="B1428">
        <f>IF($A1428="","",LEFT(Calc!$E1431,4)&amp;MID(Calc!$E1431,6,2)&amp;RIGHT(Calc!$E1431,2)&amp;Calc!$R1431&amp;"|"&amp;"1"&amp;RIGHT("00000"&amp;1423,5))</f>
        <v/>
      </c>
      <c r="C1428">
        <f>IF($B1428="","",COUNTIFS(LdgPartyA,$A1428,LdgKeyA,"&lt;"&amp;$B1428)+COUNTIFS(LdgPartyB,$A1428,LdgKeyB,"&lt;"&amp;$B1428)+1)</f>
        <v/>
      </c>
      <c r="D1428">
        <f>IF($C1428="","",$A1428&amp;"|"&amp;RIGHT("000000"&amp;$C1428,6))</f>
        <v/>
      </c>
      <c r="F1428">
        <f>IF(Sync!$AJ1428="","",Sync!$AJ1428)</f>
        <v/>
      </c>
      <c r="G1428">
        <f>IF($F1428="","",IF(Sync!$AG1428="","",IF(ISNUMBER(Sync!$AG1428),IF(AND(Sync!$AG1428&gt;=10000101,Sync!$AG1428&lt;=99991231),INT(Sync!$AG1428/10000),""),IFERROR(VALUE(TRIM(LEFT(Sync!$AG1428,FIND("/",Sync!$AG1428)-1))),""))))</f>
        <v/>
      </c>
      <c r="H1428">
        <f>IF(OR($F1428="",$G1428=""),"",IF(ISNUMBER(Sync!$AG1428),INT(MOD(Sync!$AG1428,10000)/100),IFERROR(VALUE(TRIM(LEFT(MID(Sync!$AG1428,FIND("/",Sync!$AG1428)+1,20),FIND("/",MID(Sync!$AG1428,FIND("/",Sync!$AG1428)+1,20))-1))),"")))</f>
        <v/>
      </c>
      <c r="I1428">
        <f>IF(OR($F1428="",$G1428=""),"",IF(ISNUMBER(Sync!$AG1428),MOD(Sync!$AG1428,100),IFERROR(VALUE(TRIM(MID(MID(Sync!$AG1428,FIND("/",Sync!$AG1428)+1,20),FIND("/",MID(Sync!$AG1428,FIND("/",Sync!$AG1428)+1,20))+1,20))),"")))</f>
        <v/>
      </c>
      <c r="J1428">
        <f>IF($F1428="","",IF(OR($G1428="",$H1428="",$I1428="",$G1428&lt;1300,$G1428&gt;1500,$H1428&lt;1,$H1428&gt;12,$I1428&lt;1,$I1428&gt;31),"نامعتبر",RIGHT("0000"&amp;$G1428,4)&amp;"/"&amp;RIGHT("00"&amp;$H1428,2)&amp;"/"&amp;RIGHT("00"&amp;$I1428,2)))</f>
        <v/>
      </c>
      <c r="K1428">
        <f>IF(OR($F1428="",$J1428="",$J1428="نامعتبر"),"",LEFT($J1428,4)&amp;MID($J1428,6,2)&amp;RIGHT($J1428,2)&amp;$N1428&amp;"|"&amp;"2"&amp;RIGHT("00000"&amp;1423,5))</f>
        <v/>
      </c>
      <c r="L1428">
        <f>IF($K1428="","",COUNTIFS(LdgPartyA,$F1428,LdgKeyA,"&lt;"&amp;$K1428)+COUNTIFS(LdgPartyB,$F1428,LdgKeyB,"&lt;"&amp;$K1428)+1)</f>
        <v/>
      </c>
      <c r="M1428">
        <f>IF($L1428="","",$F1428&amp;"|"&amp;RIGHT("000000"&amp;$L1428,6))</f>
        <v/>
      </c>
      <c r="N1428">
        <f>IF($F1428="","",IF(Sync!$AH1428="","0000",IF(AND(ISNUMBER(Sync!$AH1428),Sync!$AH1428&gt;=0,Sync!$AH1428&lt;1),RIGHT("00"&amp;HOUR(Sync!$AH1428),2)&amp;RIGHT("00"&amp;MINUTE(Sync!$AH1428),2),IFERROR(RIGHT("00"&amp;VALUE(LEFT(Sync!$AH1428,FIND(":",Sync!$AH1428)-1)),2)&amp;RIGHT("00"&amp;VALUE(MID(Sync!$AH1428,FIND(":",Sync!$AH1428)+1,2)),2),"0000"))))</f>
        <v/>
      </c>
    </row>
    <row r="1429">
      <c r="A1429">
        <f>IF(OR(Calc!$E1432="",Calc!$E1432="نامعتبر",Calc!$G1432="",Calc!$I1432&lt;&gt;"خرید"),"",Calc!$G1432)</f>
        <v/>
      </c>
      <c r="B1429">
        <f>IF($A1429="","",LEFT(Calc!$E1432,4)&amp;MID(Calc!$E1432,6,2)&amp;RIGHT(Calc!$E1432,2)&amp;Calc!$R1432&amp;"|"&amp;"1"&amp;RIGHT("00000"&amp;1424,5))</f>
        <v/>
      </c>
      <c r="C1429">
        <f>IF($B1429="","",COUNTIFS(LdgPartyA,$A1429,LdgKeyA,"&lt;"&amp;$B1429)+COUNTIFS(LdgPartyB,$A1429,LdgKeyB,"&lt;"&amp;$B1429)+1)</f>
        <v/>
      </c>
      <c r="D1429">
        <f>IF($C1429="","",$A1429&amp;"|"&amp;RIGHT("000000"&amp;$C1429,6))</f>
        <v/>
      </c>
      <c r="F1429">
        <f>IF(Sync!$AJ1429="","",Sync!$AJ1429)</f>
        <v/>
      </c>
      <c r="G1429">
        <f>IF($F1429="","",IF(Sync!$AG1429="","",IF(ISNUMBER(Sync!$AG1429),IF(AND(Sync!$AG1429&gt;=10000101,Sync!$AG1429&lt;=99991231),INT(Sync!$AG1429/10000),""),IFERROR(VALUE(TRIM(LEFT(Sync!$AG1429,FIND("/",Sync!$AG1429)-1))),""))))</f>
        <v/>
      </c>
      <c r="H1429">
        <f>IF(OR($F1429="",$G1429=""),"",IF(ISNUMBER(Sync!$AG1429),INT(MOD(Sync!$AG1429,10000)/100),IFERROR(VALUE(TRIM(LEFT(MID(Sync!$AG1429,FIND("/",Sync!$AG1429)+1,20),FIND("/",MID(Sync!$AG1429,FIND("/",Sync!$AG1429)+1,20))-1))),"")))</f>
        <v/>
      </c>
      <c r="I1429">
        <f>IF(OR($F1429="",$G1429=""),"",IF(ISNUMBER(Sync!$AG1429),MOD(Sync!$AG1429,100),IFERROR(VALUE(TRIM(MID(MID(Sync!$AG1429,FIND("/",Sync!$AG1429)+1,20),FIND("/",MID(Sync!$AG1429,FIND("/",Sync!$AG1429)+1,20))+1,20))),"")))</f>
        <v/>
      </c>
      <c r="J1429">
        <f>IF($F1429="","",IF(OR($G1429="",$H1429="",$I1429="",$G1429&lt;1300,$G1429&gt;1500,$H1429&lt;1,$H1429&gt;12,$I1429&lt;1,$I1429&gt;31),"نامعتبر",RIGHT("0000"&amp;$G1429,4)&amp;"/"&amp;RIGHT("00"&amp;$H1429,2)&amp;"/"&amp;RIGHT("00"&amp;$I1429,2)))</f>
        <v/>
      </c>
      <c r="K1429">
        <f>IF(OR($F1429="",$J1429="",$J1429="نامعتبر"),"",LEFT($J1429,4)&amp;MID($J1429,6,2)&amp;RIGHT($J1429,2)&amp;$N1429&amp;"|"&amp;"2"&amp;RIGHT("00000"&amp;1424,5))</f>
        <v/>
      </c>
      <c r="L1429">
        <f>IF($K1429="","",COUNTIFS(LdgPartyA,$F1429,LdgKeyA,"&lt;"&amp;$K1429)+COUNTIFS(LdgPartyB,$F1429,LdgKeyB,"&lt;"&amp;$K1429)+1)</f>
        <v/>
      </c>
      <c r="M1429">
        <f>IF($L1429="","",$F1429&amp;"|"&amp;RIGHT("000000"&amp;$L1429,6))</f>
        <v/>
      </c>
      <c r="N1429">
        <f>IF($F1429="","",IF(Sync!$AH1429="","0000",IF(AND(ISNUMBER(Sync!$AH1429),Sync!$AH1429&gt;=0,Sync!$AH1429&lt;1),RIGHT("00"&amp;HOUR(Sync!$AH1429),2)&amp;RIGHT("00"&amp;MINUTE(Sync!$AH1429),2),IFERROR(RIGHT("00"&amp;VALUE(LEFT(Sync!$AH1429,FIND(":",Sync!$AH1429)-1)),2)&amp;RIGHT("00"&amp;VALUE(MID(Sync!$AH1429,FIND(":",Sync!$AH1429)+1,2)),2),"0000"))))</f>
        <v/>
      </c>
    </row>
    <row r="1430">
      <c r="A1430">
        <f>IF(OR(Calc!$E1433="",Calc!$E1433="نامعتبر",Calc!$G1433="",Calc!$I1433&lt;&gt;"خرید"),"",Calc!$G1433)</f>
        <v/>
      </c>
      <c r="B1430">
        <f>IF($A1430="","",LEFT(Calc!$E1433,4)&amp;MID(Calc!$E1433,6,2)&amp;RIGHT(Calc!$E1433,2)&amp;Calc!$R1433&amp;"|"&amp;"1"&amp;RIGHT("00000"&amp;1425,5))</f>
        <v/>
      </c>
      <c r="C1430">
        <f>IF($B1430="","",COUNTIFS(LdgPartyA,$A1430,LdgKeyA,"&lt;"&amp;$B1430)+COUNTIFS(LdgPartyB,$A1430,LdgKeyB,"&lt;"&amp;$B1430)+1)</f>
        <v/>
      </c>
      <c r="D1430">
        <f>IF($C1430="","",$A1430&amp;"|"&amp;RIGHT("000000"&amp;$C1430,6))</f>
        <v/>
      </c>
      <c r="F1430">
        <f>IF(Sync!$AJ1430="","",Sync!$AJ1430)</f>
        <v/>
      </c>
      <c r="G1430">
        <f>IF($F1430="","",IF(Sync!$AG1430="","",IF(ISNUMBER(Sync!$AG1430),IF(AND(Sync!$AG1430&gt;=10000101,Sync!$AG1430&lt;=99991231),INT(Sync!$AG1430/10000),""),IFERROR(VALUE(TRIM(LEFT(Sync!$AG1430,FIND("/",Sync!$AG1430)-1))),""))))</f>
        <v/>
      </c>
      <c r="H1430">
        <f>IF(OR($F1430="",$G1430=""),"",IF(ISNUMBER(Sync!$AG1430),INT(MOD(Sync!$AG1430,10000)/100),IFERROR(VALUE(TRIM(LEFT(MID(Sync!$AG1430,FIND("/",Sync!$AG1430)+1,20),FIND("/",MID(Sync!$AG1430,FIND("/",Sync!$AG1430)+1,20))-1))),"")))</f>
        <v/>
      </c>
      <c r="I1430">
        <f>IF(OR($F1430="",$G1430=""),"",IF(ISNUMBER(Sync!$AG1430),MOD(Sync!$AG1430,100),IFERROR(VALUE(TRIM(MID(MID(Sync!$AG1430,FIND("/",Sync!$AG1430)+1,20),FIND("/",MID(Sync!$AG1430,FIND("/",Sync!$AG1430)+1,20))+1,20))),"")))</f>
        <v/>
      </c>
      <c r="J1430">
        <f>IF($F1430="","",IF(OR($G1430="",$H1430="",$I1430="",$G1430&lt;1300,$G1430&gt;1500,$H1430&lt;1,$H1430&gt;12,$I1430&lt;1,$I1430&gt;31),"نامعتبر",RIGHT("0000"&amp;$G1430,4)&amp;"/"&amp;RIGHT("00"&amp;$H1430,2)&amp;"/"&amp;RIGHT("00"&amp;$I1430,2)))</f>
        <v/>
      </c>
      <c r="K1430">
        <f>IF(OR($F1430="",$J1430="",$J1430="نامعتبر"),"",LEFT($J1430,4)&amp;MID($J1430,6,2)&amp;RIGHT($J1430,2)&amp;$N1430&amp;"|"&amp;"2"&amp;RIGHT("00000"&amp;1425,5))</f>
        <v/>
      </c>
      <c r="L1430">
        <f>IF($K1430="","",COUNTIFS(LdgPartyA,$F1430,LdgKeyA,"&lt;"&amp;$K1430)+COUNTIFS(LdgPartyB,$F1430,LdgKeyB,"&lt;"&amp;$K1430)+1)</f>
        <v/>
      </c>
      <c r="M1430">
        <f>IF($L1430="","",$F1430&amp;"|"&amp;RIGHT("000000"&amp;$L1430,6))</f>
        <v/>
      </c>
      <c r="N1430">
        <f>IF($F1430="","",IF(Sync!$AH1430="","0000",IF(AND(ISNUMBER(Sync!$AH1430),Sync!$AH1430&gt;=0,Sync!$AH1430&lt;1),RIGHT("00"&amp;HOUR(Sync!$AH1430),2)&amp;RIGHT("00"&amp;MINUTE(Sync!$AH1430),2),IFERROR(RIGHT("00"&amp;VALUE(LEFT(Sync!$AH1430,FIND(":",Sync!$AH1430)-1)),2)&amp;RIGHT("00"&amp;VALUE(MID(Sync!$AH1430,FIND(":",Sync!$AH1430)+1,2)),2),"0000"))))</f>
        <v/>
      </c>
    </row>
    <row r="1431">
      <c r="A1431">
        <f>IF(OR(Calc!$E1434="",Calc!$E1434="نامعتبر",Calc!$G1434="",Calc!$I1434&lt;&gt;"خرید"),"",Calc!$G1434)</f>
        <v/>
      </c>
      <c r="B1431">
        <f>IF($A1431="","",LEFT(Calc!$E1434,4)&amp;MID(Calc!$E1434,6,2)&amp;RIGHT(Calc!$E1434,2)&amp;Calc!$R1434&amp;"|"&amp;"1"&amp;RIGHT("00000"&amp;1426,5))</f>
        <v/>
      </c>
      <c r="C1431">
        <f>IF($B1431="","",COUNTIFS(LdgPartyA,$A1431,LdgKeyA,"&lt;"&amp;$B1431)+COUNTIFS(LdgPartyB,$A1431,LdgKeyB,"&lt;"&amp;$B1431)+1)</f>
        <v/>
      </c>
      <c r="D1431">
        <f>IF($C1431="","",$A1431&amp;"|"&amp;RIGHT("000000"&amp;$C1431,6))</f>
        <v/>
      </c>
      <c r="F1431">
        <f>IF(Sync!$AJ1431="","",Sync!$AJ1431)</f>
        <v/>
      </c>
      <c r="G1431">
        <f>IF($F1431="","",IF(Sync!$AG1431="","",IF(ISNUMBER(Sync!$AG1431),IF(AND(Sync!$AG1431&gt;=10000101,Sync!$AG1431&lt;=99991231),INT(Sync!$AG1431/10000),""),IFERROR(VALUE(TRIM(LEFT(Sync!$AG1431,FIND("/",Sync!$AG1431)-1))),""))))</f>
        <v/>
      </c>
      <c r="H1431">
        <f>IF(OR($F1431="",$G1431=""),"",IF(ISNUMBER(Sync!$AG1431),INT(MOD(Sync!$AG1431,10000)/100),IFERROR(VALUE(TRIM(LEFT(MID(Sync!$AG1431,FIND("/",Sync!$AG1431)+1,20),FIND("/",MID(Sync!$AG1431,FIND("/",Sync!$AG1431)+1,20))-1))),"")))</f>
        <v/>
      </c>
      <c r="I1431">
        <f>IF(OR($F1431="",$G1431=""),"",IF(ISNUMBER(Sync!$AG1431),MOD(Sync!$AG1431,100),IFERROR(VALUE(TRIM(MID(MID(Sync!$AG1431,FIND("/",Sync!$AG1431)+1,20),FIND("/",MID(Sync!$AG1431,FIND("/",Sync!$AG1431)+1,20))+1,20))),"")))</f>
        <v/>
      </c>
      <c r="J1431">
        <f>IF($F1431="","",IF(OR($G1431="",$H1431="",$I1431="",$G1431&lt;1300,$G1431&gt;1500,$H1431&lt;1,$H1431&gt;12,$I1431&lt;1,$I1431&gt;31),"نامعتبر",RIGHT("0000"&amp;$G1431,4)&amp;"/"&amp;RIGHT("00"&amp;$H1431,2)&amp;"/"&amp;RIGHT("00"&amp;$I1431,2)))</f>
        <v/>
      </c>
      <c r="K1431">
        <f>IF(OR($F1431="",$J1431="",$J1431="نامعتبر"),"",LEFT($J1431,4)&amp;MID($J1431,6,2)&amp;RIGHT($J1431,2)&amp;$N1431&amp;"|"&amp;"2"&amp;RIGHT("00000"&amp;1426,5))</f>
        <v/>
      </c>
      <c r="L1431">
        <f>IF($K1431="","",COUNTIFS(LdgPartyA,$F1431,LdgKeyA,"&lt;"&amp;$K1431)+COUNTIFS(LdgPartyB,$F1431,LdgKeyB,"&lt;"&amp;$K1431)+1)</f>
        <v/>
      </c>
      <c r="M1431">
        <f>IF($L1431="","",$F1431&amp;"|"&amp;RIGHT("000000"&amp;$L1431,6))</f>
        <v/>
      </c>
      <c r="N1431">
        <f>IF($F1431="","",IF(Sync!$AH1431="","0000",IF(AND(ISNUMBER(Sync!$AH1431),Sync!$AH1431&gt;=0,Sync!$AH1431&lt;1),RIGHT("00"&amp;HOUR(Sync!$AH1431),2)&amp;RIGHT("00"&amp;MINUTE(Sync!$AH1431),2),IFERROR(RIGHT("00"&amp;VALUE(LEFT(Sync!$AH1431,FIND(":",Sync!$AH1431)-1)),2)&amp;RIGHT("00"&amp;VALUE(MID(Sync!$AH1431,FIND(":",Sync!$AH1431)+1,2)),2),"0000"))))</f>
        <v/>
      </c>
    </row>
    <row r="1432">
      <c r="A1432">
        <f>IF(OR(Calc!$E1435="",Calc!$E1435="نامعتبر",Calc!$G1435="",Calc!$I1435&lt;&gt;"خرید"),"",Calc!$G1435)</f>
        <v/>
      </c>
      <c r="B1432">
        <f>IF($A1432="","",LEFT(Calc!$E1435,4)&amp;MID(Calc!$E1435,6,2)&amp;RIGHT(Calc!$E1435,2)&amp;Calc!$R1435&amp;"|"&amp;"1"&amp;RIGHT("00000"&amp;1427,5))</f>
        <v/>
      </c>
      <c r="C1432">
        <f>IF($B1432="","",COUNTIFS(LdgPartyA,$A1432,LdgKeyA,"&lt;"&amp;$B1432)+COUNTIFS(LdgPartyB,$A1432,LdgKeyB,"&lt;"&amp;$B1432)+1)</f>
        <v/>
      </c>
      <c r="D1432">
        <f>IF($C1432="","",$A1432&amp;"|"&amp;RIGHT("000000"&amp;$C1432,6))</f>
        <v/>
      </c>
      <c r="F1432">
        <f>IF(Sync!$AJ1432="","",Sync!$AJ1432)</f>
        <v/>
      </c>
      <c r="G1432">
        <f>IF($F1432="","",IF(Sync!$AG1432="","",IF(ISNUMBER(Sync!$AG1432),IF(AND(Sync!$AG1432&gt;=10000101,Sync!$AG1432&lt;=99991231),INT(Sync!$AG1432/10000),""),IFERROR(VALUE(TRIM(LEFT(Sync!$AG1432,FIND("/",Sync!$AG1432)-1))),""))))</f>
        <v/>
      </c>
      <c r="H1432">
        <f>IF(OR($F1432="",$G1432=""),"",IF(ISNUMBER(Sync!$AG1432),INT(MOD(Sync!$AG1432,10000)/100),IFERROR(VALUE(TRIM(LEFT(MID(Sync!$AG1432,FIND("/",Sync!$AG1432)+1,20),FIND("/",MID(Sync!$AG1432,FIND("/",Sync!$AG1432)+1,20))-1))),"")))</f>
        <v/>
      </c>
      <c r="I1432">
        <f>IF(OR($F1432="",$G1432=""),"",IF(ISNUMBER(Sync!$AG1432),MOD(Sync!$AG1432,100),IFERROR(VALUE(TRIM(MID(MID(Sync!$AG1432,FIND("/",Sync!$AG1432)+1,20),FIND("/",MID(Sync!$AG1432,FIND("/",Sync!$AG1432)+1,20))+1,20))),"")))</f>
        <v/>
      </c>
      <c r="J1432">
        <f>IF($F1432="","",IF(OR($G1432="",$H1432="",$I1432="",$G1432&lt;1300,$G1432&gt;1500,$H1432&lt;1,$H1432&gt;12,$I1432&lt;1,$I1432&gt;31),"نامعتبر",RIGHT("0000"&amp;$G1432,4)&amp;"/"&amp;RIGHT("00"&amp;$H1432,2)&amp;"/"&amp;RIGHT("00"&amp;$I1432,2)))</f>
        <v/>
      </c>
      <c r="K1432">
        <f>IF(OR($F1432="",$J1432="",$J1432="نامعتبر"),"",LEFT($J1432,4)&amp;MID($J1432,6,2)&amp;RIGHT($J1432,2)&amp;$N1432&amp;"|"&amp;"2"&amp;RIGHT("00000"&amp;1427,5))</f>
        <v/>
      </c>
      <c r="L1432">
        <f>IF($K1432="","",COUNTIFS(LdgPartyA,$F1432,LdgKeyA,"&lt;"&amp;$K1432)+COUNTIFS(LdgPartyB,$F1432,LdgKeyB,"&lt;"&amp;$K1432)+1)</f>
        <v/>
      </c>
      <c r="M1432">
        <f>IF($L1432="","",$F1432&amp;"|"&amp;RIGHT("000000"&amp;$L1432,6))</f>
        <v/>
      </c>
      <c r="N1432">
        <f>IF($F1432="","",IF(Sync!$AH1432="","0000",IF(AND(ISNUMBER(Sync!$AH1432),Sync!$AH1432&gt;=0,Sync!$AH1432&lt;1),RIGHT("00"&amp;HOUR(Sync!$AH1432),2)&amp;RIGHT("00"&amp;MINUTE(Sync!$AH1432),2),IFERROR(RIGHT("00"&amp;VALUE(LEFT(Sync!$AH1432,FIND(":",Sync!$AH1432)-1)),2)&amp;RIGHT("00"&amp;VALUE(MID(Sync!$AH1432,FIND(":",Sync!$AH1432)+1,2)),2),"0000"))))</f>
        <v/>
      </c>
    </row>
    <row r="1433">
      <c r="A1433">
        <f>IF(OR(Calc!$E1436="",Calc!$E1436="نامعتبر",Calc!$G1436="",Calc!$I1436&lt;&gt;"خرید"),"",Calc!$G1436)</f>
        <v/>
      </c>
      <c r="B1433">
        <f>IF($A1433="","",LEFT(Calc!$E1436,4)&amp;MID(Calc!$E1436,6,2)&amp;RIGHT(Calc!$E1436,2)&amp;Calc!$R1436&amp;"|"&amp;"1"&amp;RIGHT("00000"&amp;1428,5))</f>
        <v/>
      </c>
      <c r="C1433">
        <f>IF($B1433="","",COUNTIFS(LdgPartyA,$A1433,LdgKeyA,"&lt;"&amp;$B1433)+COUNTIFS(LdgPartyB,$A1433,LdgKeyB,"&lt;"&amp;$B1433)+1)</f>
        <v/>
      </c>
      <c r="D1433">
        <f>IF($C1433="","",$A1433&amp;"|"&amp;RIGHT("000000"&amp;$C1433,6))</f>
        <v/>
      </c>
      <c r="F1433">
        <f>IF(Sync!$AJ1433="","",Sync!$AJ1433)</f>
        <v/>
      </c>
      <c r="G1433">
        <f>IF($F1433="","",IF(Sync!$AG1433="","",IF(ISNUMBER(Sync!$AG1433),IF(AND(Sync!$AG1433&gt;=10000101,Sync!$AG1433&lt;=99991231),INT(Sync!$AG1433/10000),""),IFERROR(VALUE(TRIM(LEFT(Sync!$AG1433,FIND("/",Sync!$AG1433)-1))),""))))</f>
        <v/>
      </c>
      <c r="H1433">
        <f>IF(OR($F1433="",$G1433=""),"",IF(ISNUMBER(Sync!$AG1433),INT(MOD(Sync!$AG1433,10000)/100),IFERROR(VALUE(TRIM(LEFT(MID(Sync!$AG1433,FIND("/",Sync!$AG1433)+1,20),FIND("/",MID(Sync!$AG1433,FIND("/",Sync!$AG1433)+1,20))-1))),"")))</f>
        <v/>
      </c>
      <c r="I1433">
        <f>IF(OR($F1433="",$G1433=""),"",IF(ISNUMBER(Sync!$AG1433),MOD(Sync!$AG1433,100),IFERROR(VALUE(TRIM(MID(MID(Sync!$AG1433,FIND("/",Sync!$AG1433)+1,20),FIND("/",MID(Sync!$AG1433,FIND("/",Sync!$AG1433)+1,20))+1,20))),"")))</f>
        <v/>
      </c>
      <c r="J1433">
        <f>IF($F1433="","",IF(OR($G1433="",$H1433="",$I1433="",$G1433&lt;1300,$G1433&gt;1500,$H1433&lt;1,$H1433&gt;12,$I1433&lt;1,$I1433&gt;31),"نامعتبر",RIGHT("0000"&amp;$G1433,4)&amp;"/"&amp;RIGHT("00"&amp;$H1433,2)&amp;"/"&amp;RIGHT("00"&amp;$I1433,2)))</f>
        <v/>
      </c>
      <c r="K1433">
        <f>IF(OR($F1433="",$J1433="",$J1433="نامعتبر"),"",LEFT($J1433,4)&amp;MID($J1433,6,2)&amp;RIGHT($J1433,2)&amp;$N1433&amp;"|"&amp;"2"&amp;RIGHT("00000"&amp;1428,5))</f>
        <v/>
      </c>
      <c r="L1433">
        <f>IF($K1433="","",COUNTIFS(LdgPartyA,$F1433,LdgKeyA,"&lt;"&amp;$K1433)+COUNTIFS(LdgPartyB,$F1433,LdgKeyB,"&lt;"&amp;$K1433)+1)</f>
        <v/>
      </c>
      <c r="M1433">
        <f>IF($L1433="","",$F1433&amp;"|"&amp;RIGHT("000000"&amp;$L1433,6))</f>
        <v/>
      </c>
      <c r="N1433">
        <f>IF($F1433="","",IF(Sync!$AH1433="","0000",IF(AND(ISNUMBER(Sync!$AH1433),Sync!$AH1433&gt;=0,Sync!$AH1433&lt;1),RIGHT("00"&amp;HOUR(Sync!$AH1433),2)&amp;RIGHT("00"&amp;MINUTE(Sync!$AH1433),2),IFERROR(RIGHT("00"&amp;VALUE(LEFT(Sync!$AH1433,FIND(":",Sync!$AH1433)-1)),2)&amp;RIGHT("00"&amp;VALUE(MID(Sync!$AH1433,FIND(":",Sync!$AH1433)+1,2)),2),"0000"))))</f>
        <v/>
      </c>
    </row>
    <row r="1434">
      <c r="A1434">
        <f>IF(OR(Calc!$E1437="",Calc!$E1437="نامعتبر",Calc!$G1437="",Calc!$I1437&lt;&gt;"خرید"),"",Calc!$G1437)</f>
        <v/>
      </c>
      <c r="B1434">
        <f>IF($A1434="","",LEFT(Calc!$E1437,4)&amp;MID(Calc!$E1437,6,2)&amp;RIGHT(Calc!$E1437,2)&amp;Calc!$R1437&amp;"|"&amp;"1"&amp;RIGHT("00000"&amp;1429,5))</f>
        <v/>
      </c>
      <c r="C1434">
        <f>IF($B1434="","",COUNTIFS(LdgPartyA,$A1434,LdgKeyA,"&lt;"&amp;$B1434)+COUNTIFS(LdgPartyB,$A1434,LdgKeyB,"&lt;"&amp;$B1434)+1)</f>
        <v/>
      </c>
      <c r="D1434">
        <f>IF($C1434="","",$A1434&amp;"|"&amp;RIGHT("000000"&amp;$C1434,6))</f>
        <v/>
      </c>
      <c r="F1434">
        <f>IF(Sync!$AJ1434="","",Sync!$AJ1434)</f>
        <v/>
      </c>
      <c r="G1434">
        <f>IF($F1434="","",IF(Sync!$AG1434="","",IF(ISNUMBER(Sync!$AG1434),IF(AND(Sync!$AG1434&gt;=10000101,Sync!$AG1434&lt;=99991231),INT(Sync!$AG1434/10000),""),IFERROR(VALUE(TRIM(LEFT(Sync!$AG1434,FIND("/",Sync!$AG1434)-1))),""))))</f>
        <v/>
      </c>
      <c r="H1434">
        <f>IF(OR($F1434="",$G1434=""),"",IF(ISNUMBER(Sync!$AG1434),INT(MOD(Sync!$AG1434,10000)/100),IFERROR(VALUE(TRIM(LEFT(MID(Sync!$AG1434,FIND("/",Sync!$AG1434)+1,20),FIND("/",MID(Sync!$AG1434,FIND("/",Sync!$AG1434)+1,20))-1))),"")))</f>
        <v/>
      </c>
      <c r="I1434">
        <f>IF(OR($F1434="",$G1434=""),"",IF(ISNUMBER(Sync!$AG1434),MOD(Sync!$AG1434,100),IFERROR(VALUE(TRIM(MID(MID(Sync!$AG1434,FIND("/",Sync!$AG1434)+1,20),FIND("/",MID(Sync!$AG1434,FIND("/",Sync!$AG1434)+1,20))+1,20))),"")))</f>
        <v/>
      </c>
      <c r="J1434">
        <f>IF($F1434="","",IF(OR($G1434="",$H1434="",$I1434="",$G1434&lt;1300,$G1434&gt;1500,$H1434&lt;1,$H1434&gt;12,$I1434&lt;1,$I1434&gt;31),"نامعتبر",RIGHT("0000"&amp;$G1434,4)&amp;"/"&amp;RIGHT("00"&amp;$H1434,2)&amp;"/"&amp;RIGHT("00"&amp;$I1434,2)))</f>
        <v/>
      </c>
      <c r="K1434">
        <f>IF(OR($F1434="",$J1434="",$J1434="نامعتبر"),"",LEFT($J1434,4)&amp;MID($J1434,6,2)&amp;RIGHT($J1434,2)&amp;$N1434&amp;"|"&amp;"2"&amp;RIGHT("00000"&amp;1429,5))</f>
        <v/>
      </c>
      <c r="L1434">
        <f>IF($K1434="","",COUNTIFS(LdgPartyA,$F1434,LdgKeyA,"&lt;"&amp;$K1434)+COUNTIFS(LdgPartyB,$F1434,LdgKeyB,"&lt;"&amp;$K1434)+1)</f>
        <v/>
      </c>
      <c r="M1434">
        <f>IF($L1434="","",$F1434&amp;"|"&amp;RIGHT("000000"&amp;$L1434,6))</f>
        <v/>
      </c>
      <c r="N1434">
        <f>IF($F1434="","",IF(Sync!$AH1434="","0000",IF(AND(ISNUMBER(Sync!$AH1434),Sync!$AH1434&gt;=0,Sync!$AH1434&lt;1),RIGHT("00"&amp;HOUR(Sync!$AH1434),2)&amp;RIGHT("00"&amp;MINUTE(Sync!$AH1434),2),IFERROR(RIGHT("00"&amp;VALUE(LEFT(Sync!$AH1434,FIND(":",Sync!$AH1434)-1)),2)&amp;RIGHT("00"&amp;VALUE(MID(Sync!$AH1434,FIND(":",Sync!$AH1434)+1,2)),2),"0000"))))</f>
        <v/>
      </c>
    </row>
    <row r="1435">
      <c r="A1435">
        <f>IF(OR(Calc!$E1438="",Calc!$E1438="نامعتبر",Calc!$G1438="",Calc!$I1438&lt;&gt;"خرید"),"",Calc!$G1438)</f>
        <v/>
      </c>
      <c r="B1435">
        <f>IF($A1435="","",LEFT(Calc!$E1438,4)&amp;MID(Calc!$E1438,6,2)&amp;RIGHT(Calc!$E1438,2)&amp;Calc!$R1438&amp;"|"&amp;"1"&amp;RIGHT("00000"&amp;1430,5))</f>
        <v/>
      </c>
      <c r="C1435">
        <f>IF($B1435="","",COUNTIFS(LdgPartyA,$A1435,LdgKeyA,"&lt;"&amp;$B1435)+COUNTIFS(LdgPartyB,$A1435,LdgKeyB,"&lt;"&amp;$B1435)+1)</f>
        <v/>
      </c>
      <c r="D1435">
        <f>IF($C1435="","",$A1435&amp;"|"&amp;RIGHT("000000"&amp;$C1435,6))</f>
        <v/>
      </c>
      <c r="F1435">
        <f>IF(Sync!$AJ1435="","",Sync!$AJ1435)</f>
        <v/>
      </c>
      <c r="G1435">
        <f>IF($F1435="","",IF(Sync!$AG1435="","",IF(ISNUMBER(Sync!$AG1435),IF(AND(Sync!$AG1435&gt;=10000101,Sync!$AG1435&lt;=99991231),INT(Sync!$AG1435/10000),""),IFERROR(VALUE(TRIM(LEFT(Sync!$AG1435,FIND("/",Sync!$AG1435)-1))),""))))</f>
        <v/>
      </c>
      <c r="H1435">
        <f>IF(OR($F1435="",$G1435=""),"",IF(ISNUMBER(Sync!$AG1435),INT(MOD(Sync!$AG1435,10000)/100),IFERROR(VALUE(TRIM(LEFT(MID(Sync!$AG1435,FIND("/",Sync!$AG1435)+1,20),FIND("/",MID(Sync!$AG1435,FIND("/",Sync!$AG1435)+1,20))-1))),"")))</f>
        <v/>
      </c>
      <c r="I1435">
        <f>IF(OR($F1435="",$G1435=""),"",IF(ISNUMBER(Sync!$AG1435),MOD(Sync!$AG1435,100),IFERROR(VALUE(TRIM(MID(MID(Sync!$AG1435,FIND("/",Sync!$AG1435)+1,20),FIND("/",MID(Sync!$AG1435,FIND("/",Sync!$AG1435)+1,20))+1,20))),"")))</f>
        <v/>
      </c>
      <c r="J1435">
        <f>IF($F1435="","",IF(OR($G1435="",$H1435="",$I1435="",$G1435&lt;1300,$G1435&gt;1500,$H1435&lt;1,$H1435&gt;12,$I1435&lt;1,$I1435&gt;31),"نامعتبر",RIGHT("0000"&amp;$G1435,4)&amp;"/"&amp;RIGHT("00"&amp;$H1435,2)&amp;"/"&amp;RIGHT("00"&amp;$I1435,2)))</f>
        <v/>
      </c>
      <c r="K1435">
        <f>IF(OR($F1435="",$J1435="",$J1435="نامعتبر"),"",LEFT($J1435,4)&amp;MID($J1435,6,2)&amp;RIGHT($J1435,2)&amp;$N1435&amp;"|"&amp;"2"&amp;RIGHT("00000"&amp;1430,5))</f>
        <v/>
      </c>
      <c r="L1435">
        <f>IF($K1435="","",COUNTIFS(LdgPartyA,$F1435,LdgKeyA,"&lt;"&amp;$K1435)+COUNTIFS(LdgPartyB,$F1435,LdgKeyB,"&lt;"&amp;$K1435)+1)</f>
        <v/>
      </c>
      <c r="M1435">
        <f>IF($L1435="","",$F1435&amp;"|"&amp;RIGHT("000000"&amp;$L1435,6))</f>
        <v/>
      </c>
      <c r="N1435">
        <f>IF($F1435="","",IF(Sync!$AH1435="","0000",IF(AND(ISNUMBER(Sync!$AH1435),Sync!$AH1435&gt;=0,Sync!$AH1435&lt;1),RIGHT("00"&amp;HOUR(Sync!$AH1435),2)&amp;RIGHT("00"&amp;MINUTE(Sync!$AH1435),2),IFERROR(RIGHT("00"&amp;VALUE(LEFT(Sync!$AH1435,FIND(":",Sync!$AH1435)-1)),2)&amp;RIGHT("00"&amp;VALUE(MID(Sync!$AH1435,FIND(":",Sync!$AH1435)+1,2)),2),"0000"))))</f>
        <v/>
      </c>
    </row>
    <row r="1436">
      <c r="A1436">
        <f>IF(OR(Calc!$E1439="",Calc!$E1439="نامعتبر",Calc!$G1439="",Calc!$I1439&lt;&gt;"خرید"),"",Calc!$G1439)</f>
        <v/>
      </c>
      <c r="B1436">
        <f>IF($A1436="","",LEFT(Calc!$E1439,4)&amp;MID(Calc!$E1439,6,2)&amp;RIGHT(Calc!$E1439,2)&amp;Calc!$R1439&amp;"|"&amp;"1"&amp;RIGHT("00000"&amp;1431,5))</f>
        <v/>
      </c>
      <c r="C1436">
        <f>IF($B1436="","",COUNTIFS(LdgPartyA,$A1436,LdgKeyA,"&lt;"&amp;$B1436)+COUNTIFS(LdgPartyB,$A1436,LdgKeyB,"&lt;"&amp;$B1436)+1)</f>
        <v/>
      </c>
      <c r="D1436">
        <f>IF($C1436="","",$A1436&amp;"|"&amp;RIGHT("000000"&amp;$C1436,6))</f>
        <v/>
      </c>
      <c r="F1436">
        <f>IF(Sync!$AJ1436="","",Sync!$AJ1436)</f>
        <v/>
      </c>
      <c r="G1436">
        <f>IF($F1436="","",IF(Sync!$AG1436="","",IF(ISNUMBER(Sync!$AG1436),IF(AND(Sync!$AG1436&gt;=10000101,Sync!$AG1436&lt;=99991231),INT(Sync!$AG1436/10000),""),IFERROR(VALUE(TRIM(LEFT(Sync!$AG1436,FIND("/",Sync!$AG1436)-1))),""))))</f>
        <v/>
      </c>
      <c r="H1436">
        <f>IF(OR($F1436="",$G1436=""),"",IF(ISNUMBER(Sync!$AG1436),INT(MOD(Sync!$AG1436,10000)/100),IFERROR(VALUE(TRIM(LEFT(MID(Sync!$AG1436,FIND("/",Sync!$AG1436)+1,20),FIND("/",MID(Sync!$AG1436,FIND("/",Sync!$AG1436)+1,20))-1))),"")))</f>
        <v/>
      </c>
      <c r="I1436">
        <f>IF(OR($F1436="",$G1436=""),"",IF(ISNUMBER(Sync!$AG1436),MOD(Sync!$AG1436,100),IFERROR(VALUE(TRIM(MID(MID(Sync!$AG1436,FIND("/",Sync!$AG1436)+1,20),FIND("/",MID(Sync!$AG1436,FIND("/",Sync!$AG1436)+1,20))+1,20))),"")))</f>
        <v/>
      </c>
      <c r="J1436">
        <f>IF($F1436="","",IF(OR($G1436="",$H1436="",$I1436="",$G1436&lt;1300,$G1436&gt;1500,$H1436&lt;1,$H1436&gt;12,$I1436&lt;1,$I1436&gt;31),"نامعتبر",RIGHT("0000"&amp;$G1436,4)&amp;"/"&amp;RIGHT("00"&amp;$H1436,2)&amp;"/"&amp;RIGHT("00"&amp;$I1436,2)))</f>
        <v/>
      </c>
      <c r="K1436">
        <f>IF(OR($F1436="",$J1436="",$J1436="نامعتبر"),"",LEFT($J1436,4)&amp;MID($J1436,6,2)&amp;RIGHT($J1436,2)&amp;$N1436&amp;"|"&amp;"2"&amp;RIGHT("00000"&amp;1431,5))</f>
        <v/>
      </c>
      <c r="L1436">
        <f>IF($K1436="","",COUNTIFS(LdgPartyA,$F1436,LdgKeyA,"&lt;"&amp;$K1436)+COUNTIFS(LdgPartyB,$F1436,LdgKeyB,"&lt;"&amp;$K1436)+1)</f>
        <v/>
      </c>
      <c r="M1436">
        <f>IF($L1436="","",$F1436&amp;"|"&amp;RIGHT("000000"&amp;$L1436,6))</f>
        <v/>
      </c>
      <c r="N1436">
        <f>IF($F1436="","",IF(Sync!$AH1436="","0000",IF(AND(ISNUMBER(Sync!$AH1436),Sync!$AH1436&gt;=0,Sync!$AH1436&lt;1),RIGHT("00"&amp;HOUR(Sync!$AH1436),2)&amp;RIGHT("00"&amp;MINUTE(Sync!$AH1436),2),IFERROR(RIGHT("00"&amp;VALUE(LEFT(Sync!$AH1436,FIND(":",Sync!$AH1436)-1)),2)&amp;RIGHT("00"&amp;VALUE(MID(Sync!$AH1436,FIND(":",Sync!$AH1436)+1,2)),2),"0000"))))</f>
        <v/>
      </c>
    </row>
    <row r="1437">
      <c r="A1437">
        <f>IF(OR(Calc!$E1440="",Calc!$E1440="نامعتبر",Calc!$G1440="",Calc!$I1440&lt;&gt;"خرید"),"",Calc!$G1440)</f>
        <v/>
      </c>
      <c r="B1437">
        <f>IF($A1437="","",LEFT(Calc!$E1440,4)&amp;MID(Calc!$E1440,6,2)&amp;RIGHT(Calc!$E1440,2)&amp;Calc!$R1440&amp;"|"&amp;"1"&amp;RIGHT("00000"&amp;1432,5))</f>
        <v/>
      </c>
      <c r="C1437">
        <f>IF($B1437="","",COUNTIFS(LdgPartyA,$A1437,LdgKeyA,"&lt;"&amp;$B1437)+COUNTIFS(LdgPartyB,$A1437,LdgKeyB,"&lt;"&amp;$B1437)+1)</f>
        <v/>
      </c>
      <c r="D1437">
        <f>IF($C1437="","",$A1437&amp;"|"&amp;RIGHT("000000"&amp;$C1437,6))</f>
        <v/>
      </c>
      <c r="F1437">
        <f>IF(Sync!$AJ1437="","",Sync!$AJ1437)</f>
        <v/>
      </c>
      <c r="G1437">
        <f>IF($F1437="","",IF(Sync!$AG1437="","",IF(ISNUMBER(Sync!$AG1437),IF(AND(Sync!$AG1437&gt;=10000101,Sync!$AG1437&lt;=99991231),INT(Sync!$AG1437/10000),""),IFERROR(VALUE(TRIM(LEFT(Sync!$AG1437,FIND("/",Sync!$AG1437)-1))),""))))</f>
        <v/>
      </c>
      <c r="H1437">
        <f>IF(OR($F1437="",$G1437=""),"",IF(ISNUMBER(Sync!$AG1437),INT(MOD(Sync!$AG1437,10000)/100),IFERROR(VALUE(TRIM(LEFT(MID(Sync!$AG1437,FIND("/",Sync!$AG1437)+1,20),FIND("/",MID(Sync!$AG1437,FIND("/",Sync!$AG1437)+1,20))-1))),"")))</f>
        <v/>
      </c>
      <c r="I1437">
        <f>IF(OR($F1437="",$G1437=""),"",IF(ISNUMBER(Sync!$AG1437),MOD(Sync!$AG1437,100),IFERROR(VALUE(TRIM(MID(MID(Sync!$AG1437,FIND("/",Sync!$AG1437)+1,20),FIND("/",MID(Sync!$AG1437,FIND("/",Sync!$AG1437)+1,20))+1,20))),"")))</f>
        <v/>
      </c>
      <c r="J1437">
        <f>IF($F1437="","",IF(OR($G1437="",$H1437="",$I1437="",$G1437&lt;1300,$G1437&gt;1500,$H1437&lt;1,$H1437&gt;12,$I1437&lt;1,$I1437&gt;31),"نامعتبر",RIGHT("0000"&amp;$G1437,4)&amp;"/"&amp;RIGHT("00"&amp;$H1437,2)&amp;"/"&amp;RIGHT("00"&amp;$I1437,2)))</f>
        <v/>
      </c>
      <c r="K1437">
        <f>IF(OR($F1437="",$J1437="",$J1437="نامعتبر"),"",LEFT($J1437,4)&amp;MID($J1437,6,2)&amp;RIGHT($J1437,2)&amp;$N1437&amp;"|"&amp;"2"&amp;RIGHT("00000"&amp;1432,5))</f>
        <v/>
      </c>
      <c r="L1437">
        <f>IF($K1437="","",COUNTIFS(LdgPartyA,$F1437,LdgKeyA,"&lt;"&amp;$K1437)+COUNTIFS(LdgPartyB,$F1437,LdgKeyB,"&lt;"&amp;$K1437)+1)</f>
        <v/>
      </c>
      <c r="M1437">
        <f>IF($L1437="","",$F1437&amp;"|"&amp;RIGHT("000000"&amp;$L1437,6))</f>
        <v/>
      </c>
      <c r="N1437">
        <f>IF($F1437="","",IF(Sync!$AH1437="","0000",IF(AND(ISNUMBER(Sync!$AH1437),Sync!$AH1437&gt;=0,Sync!$AH1437&lt;1),RIGHT("00"&amp;HOUR(Sync!$AH1437),2)&amp;RIGHT("00"&amp;MINUTE(Sync!$AH1437),2),IFERROR(RIGHT("00"&amp;VALUE(LEFT(Sync!$AH1437,FIND(":",Sync!$AH1437)-1)),2)&amp;RIGHT("00"&amp;VALUE(MID(Sync!$AH1437,FIND(":",Sync!$AH1437)+1,2)),2),"0000"))))</f>
        <v/>
      </c>
    </row>
    <row r="1438">
      <c r="A1438">
        <f>IF(OR(Calc!$E1441="",Calc!$E1441="نامعتبر",Calc!$G1441="",Calc!$I1441&lt;&gt;"خرید"),"",Calc!$G1441)</f>
        <v/>
      </c>
      <c r="B1438">
        <f>IF($A1438="","",LEFT(Calc!$E1441,4)&amp;MID(Calc!$E1441,6,2)&amp;RIGHT(Calc!$E1441,2)&amp;Calc!$R1441&amp;"|"&amp;"1"&amp;RIGHT("00000"&amp;1433,5))</f>
        <v/>
      </c>
      <c r="C1438">
        <f>IF($B1438="","",COUNTIFS(LdgPartyA,$A1438,LdgKeyA,"&lt;"&amp;$B1438)+COUNTIFS(LdgPartyB,$A1438,LdgKeyB,"&lt;"&amp;$B1438)+1)</f>
        <v/>
      </c>
      <c r="D1438">
        <f>IF($C1438="","",$A1438&amp;"|"&amp;RIGHT("000000"&amp;$C1438,6))</f>
        <v/>
      </c>
      <c r="F1438">
        <f>IF(Sync!$AJ1438="","",Sync!$AJ1438)</f>
        <v/>
      </c>
      <c r="G1438">
        <f>IF($F1438="","",IF(Sync!$AG1438="","",IF(ISNUMBER(Sync!$AG1438),IF(AND(Sync!$AG1438&gt;=10000101,Sync!$AG1438&lt;=99991231),INT(Sync!$AG1438/10000),""),IFERROR(VALUE(TRIM(LEFT(Sync!$AG1438,FIND("/",Sync!$AG1438)-1))),""))))</f>
        <v/>
      </c>
      <c r="H1438">
        <f>IF(OR($F1438="",$G1438=""),"",IF(ISNUMBER(Sync!$AG1438),INT(MOD(Sync!$AG1438,10000)/100),IFERROR(VALUE(TRIM(LEFT(MID(Sync!$AG1438,FIND("/",Sync!$AG1438)+1,20),FIND("/",MID(Sync!$AG1438,FIND("/",Sync!$AG1438)+1,20))-1))),"")))</f>
        <v/>
      </c>
      <c r="I1438">
        <f>IF(OR($F1438="",$G1438=""),"",IF(ISNUMBER(Sync!$AG1438),MOD(Sync!$AG1438,100),IFERROR(VALUE(TRIM(MID(MID(Sync!$AG1438,FIND("/",Sync!$AG1438)+1,20),FIND("/",MID(Sync!$AG1438,FIND("/",Sync!$AG1438)+1,20))+1,20))),"")))</f>
        <v/>
      </c>
      <c r="J1438">
        <f>IF($F1438="","",IF(OR($G1438="",$H1438="",$I1438="",$G1438&lt;1300,$G1438&gt;1500,$H1438&lt;1,$H1438&gt;12,$I1438&lt;1,$I1438&gt;31),"نامعتبر",RIGHT("0000"&amp;$G1438,4)&amp;"/"&amp;RIGHT("00"&amp;$H1438,2)&amp;"/"&amp;RIGHT("00"&amp;$I1438,2)))</f>
        <v/>
      </c>
      <c r="K1438">
        <f>IF(OR($F1438="",$J1438="",$J1438="نامعتبر"),"",LEFT($J1438,4)&amp;MID($J1438,6,2)&amp;RIGHT($J1438,2)&amp;$N1438&amp;"|"&amp;"2"&amp;RIGHT("00000"&amp;1433,5))</f>
        <v/>
      </c>
      <c r="L1438">
        <f>IF($K1438="","",COUNTIFS(LdgPartyA,$F1438,LdgKeyA,"&lt;"&amp;$K1438)+COUNTIFS(LdgPartyB,$F1438,LdgKeyB,"&lt;"&amp;$K1438)+1)</f>
        <v/>
      </c>
      <c r="M1438">
        <f>IF($L1438="","",$F1438&amp;"|"&amp;RIGHT("000000"&amp;$L1438,6))</f>
        <v/>
      </c>
      <c r="N1438">
        <f>IF($F1438="","",IF(Sync!$AH1438="","0000",IF(AND(ISNUMBER(Sync!$AH1438),Sync!$AH1438&gt;=0,Sync!$AH1438&lt;1),RIGHT("00"&amp;HOUR(Sync!$AH1438),2)&amp;RIGHT("00"&amp;MINUTE(Sync!$AH1438),2),IFERROR(RIGHT("00"&amp;VALUE(LEFT(Sync!$AH1438,FIND(":",Sync!$AH1438)-1)),2)&amp;RIGHT("00"&amp;VALUE(MID(Sync!$AH1438,FIND(":",Sync!$AH1438)+1,2)),2),"0000"))))</f>
        <v/>
      </c>
    </row>
    <row r="1439">
      <c r="A1439">
        <f>IF(OR(Calc!$E1442="",Calc!$E1442="نامعتبر",Calc!$G1442="",Calc!$I1442&lt;&gt;"خرید"),"",Calc!$G1442)</f>
        <v/>
      </c>
      <c r="B1439">
        <f>IF($A1439="","",LEFT(Calc!$E1442,4)&amp;MID(Calc!$E1442,6,2)&amp;RIGHT(Calc!$E1442,2)&amp;Calc!$R1442&amp;"|"&amp;"1"&amp;RIGHT("00000"&amp;1434,5))</f>
        <v/>
      </c>
      <c r="C1439">
        <f>IF($B1439="","",COUNTIFS(LdgPartyA,$A1439,LdgKeyA,"&lt;"&amp;$B1439)+COUNTIFS(LdgPartyB,$A1439,LdgKeyB,"&lt;"&amp;$B1439)+1)</f>
        <v/>
      </c>
      <c r="D1439">
        <f>IF($C1439="","",$A1439&amp;"|"&amp;RIGHT("000000"&amp;$C1439,6))</f>
        <v/>
      </c>
      <c r="F1439">
        <f>IF(Sync!$AJ1439="","",Sync!$AJ1439)</f>
        <v/>
      </c>
      <c r="G1439">
        <f>IF($F1439="","",IF(Sync!$AG1439="","",IF(ISNUMBER(Sync!$AG1439),IF(AND(Sync!$AG1439&gt;=10000101,Sync!$AG1439&lt;=99991231),INT(Sync!$AG1439/10000),""),IFERROR(VALUE(TRIM(LEFT(Sync!$AG1439,FIND("/",Sync!$AG1439)-1))),""))))</f>
        <v/>
      </c>
      <c r="H1439">
        <f>IF(OR($F1439="",$G1439=""),"",IF(ISNUMBER(Sync!$AG1439),INT(MOD(Sync!$AG1439,10000)/100),IFERROR(VALUE(TRIM(LEFT(MID(Sync!$AG1439,FIND("/",Sync!$AG1439)+1,20),FIND("/",MID(Sync!$AG1439,FIND("/",Sync!$AG1439)+1,20))-1))),"")))</f>
        <v/>
      </c>
      <c r="I1439">
        <f>IF(OR($F1439="",$G1439=""),"",IF(ISNUMBER(Sync!$AG1439),MOD(Sync!$AG1439,100),IFERROR(VALUE(TRIM(MID(MID(Sync!$AG1439,FIND("/",Sync!$AG1439)+1,20),FIND("/",MID(Sync!$AG1439,FIND("/",Sync!$AG1439)+1,20))+1,20))),"")))</f>
        <v/>
      </c>
      <c r="J1439">
        <f>IF($F1439="","",IF(OR($G1439="",$H1439="",$I1439="",$G1439&lt;1300,$G1439&gt;1500,$H1439&lt;1,$H1439&gt;12,$I1439&lt;1,$I1439&gt;31),"نامعتبر",RIGHT("0000"&amp;$G1439,4)&amp;"/"&amp;RIGHT("00"&amp;$H1439,2)&amp;"/"&amp;RIGHT("00"&amp;$I1439,2)))</f>
        <v/>
      </c>
      <c r="K1439">
        <f>IF(OR($F1439="",$J1439="",$J1439="نامعتبر"),"",LEFT($J1439,4)&amp;MID($J1439,6,2)&amp;RIGHT($J1439,2)&amp;$N1439&amp;"|"&amp;"2"&amp;RIGHT("00000"&amp;1434,5))</f>
        <v/>
      </c>
      <c r="L1439">
        <f>IF($K1439="","",COUNTIFS(LdgPartyA,$F1439,LdgKeyA,"&lt;"&amp;$K1439)+COUNTIFS(LdgPartyB,$F1439,LdgKeyB,"&lt;"&amp;$K1439)+1)</f>
        <v/>
      </c>
      <c r="M1439">
        <f>IF($L1439="","",$F1439&amp;"|"&amp;RIGHT("000000"&amp;$L1439,6))</f>
        <v/>
      </c>
      <c r="N1439">
        <f>IF($F1439="","",IF(Sync!$AH1439="","0000",IF(AND(ISNUMBER(Sync!$AH1439),Sync!$AH1439&gt;=0,Sync!$AH1439&lt;1),RIGHT("00"&amp;HOUR(Sync!$AH1439),2)&amp;RIGHT("00"&amp;MINUTE(Sync!$AH1439),2),IFERROR(RIGHT("00"&amp;VALUE(LEFT(Sync!$AH1439,FIND(":",Sync!$AH1439)-1)),2)&amp;RIGHT("00"&amp;VALUE(MID(Sync!$AH1439,FIND(":",Sync!$AH1439)+1,2)),2),"0000"))))</f>
        <v/>
      </c>
    </row>
    <row r="1440">
      <c r="A1440">
        <f>IF(OR(Calc!$E1443="",Calc!$E1443="نامعتبر",Calc!$G1443="",Calc!$I1443&lt;&gt;"خرید"),"",Calc!$G1443)</f>
        <v/>
      </c>
      <c r="B1440">
        <f>IF($A1440="","",LEFT(Calc!$E1443,4)&amp;MID(Calc!$E1443,6,2)&amp;RIGHT(Calc!$E1443,2)&amp;Calc!$R1443&amp;"|"&amp;"1"&amp;RIGHT("00000"&amp;1435,5))</f>
        <v/>
      </c>
      <c r="C1440">
        <f>IF($B1440="","",COUNTIFS(LdgPartyA,$A1440,LdgKeyA,"&lt;"&amp;$B1440)+COUNTIFS(LdgPartyB,$A1440,LdgKeyB,"&lt;"&amp;$B1440)+1)</f>
        <v/>
      </c>
      <c r="D1440">
        <f>IF($C1440="","",$A1440&amp;"|"&amp;RIGHT("000000"&amp;$C1440,6))</f>
        <v/>
      </c>
      <c r="F1440">
        <f>IF(Sync!$AJ1440="","",Sync!$AJ1440)</f>
        <v/>
      </c>
      <c r="G1440">
        <f>IF($F1440="","",IF(Sync!$AG1440="","",IF(ISNUMBER(Sync!$AG1440),IF(AND(Sync!$AG1440&gt;=10000101,Sync!$AG1440&lt;=99991231),INT(Sync!$AG1440/10000),""),IFERROR(VALUE(TRIM(LEFT(Sync!$AG1440,FIND("/",Sync!$AG1440)-1))),""))))</f>
        <v/>
      </c>
      <c r="H1440">
        <f>IF(OR($F1440="",$G1440=""),"",IF(ISNUMBER(Sync!$AG1440),INT(MOD(Sync!$AG1440,10000)/100),IFERROR(VALUE(TRIM(LEFT(MID(Sync!$AG1440,FIND("/",Sync!$AG1440)+1,20),FIND("/",MID(Sync!$AG1440,FIND("/",Sync!$AG1440)+1,20))-1))),"")))</f>
        <v/>
      </c>
      <c r="I1440">
        <f>IF(OR($F1440="",$G1440=""),"",IF(ISNUMBER(Sync!$AG1440),MOD(Sync!$AG1440,100),IFERROR(VALUE(TRIM(MID(MID(Sync!$AG1440,FIND("/",Sync!$AG1440)+1,20),FIND("/",MID(Sync!$AG1440,FIND("/",Sync!$AG1440)+1,20))+1,20))),"")))</f>
        <v/>
      </c>
      <c r="J1440">
        <f>IF($F1440="","",IF(OR($G1440="",$H1440="",$I1440="",$G1440&lt;1300,$G1440&gt;1500,$H1440&lt;1,$H1440&gt;12,$I1440&lt;1,$I1440&gt;31),"نامعتبر",RIGHT("0000"&amp;$G1440,4)&amp;"/"&amp;RIGHT("00"&amp;$H1440,2)&amp;"/"&amp;RIGHT("00"&amp;$I1440,2)))</f>
        <v/>
      </c>
      <c r="K1440">
        <f>IF(OR($F1440="",$J1440="",$J1440="نامعتبر"),"",LEFT($J1440,4)&amp;MID($J1440,6,2)&amp;RIGHT($J1440,2)&amp;$N1440&amp;"|"&amp;"2"&amp;RIGHT("00000"&amp;1435,5))</f>
        <v/>
      </c>
      <c r="L1440">
        <f>IF($K1440="","",COUNTIFS(LdgPartyA,$F1440,LdgKeyA,"&lt;"&amp;$K1440)+COUNTIFS(LdgPartyB,$F1440,LdgKeyB,"&lt;"&amp;$K1440)+1)</f>
        <v/>
      </c>
      <c r="M1440">
        <f>IF($L1440="","",$F1440&amp;"|"&amp;RIGHT("000000"&amp;$L1440,6))</f>
        <v/>
      </c>
      <c r="N1440">
        <f>IF($F1440="","",IF(Sync!$AH1440="","0000",IF(AND(ISNUMBER(Sync!$AH1440),Sync!$AH1440&gt;=0,Sync!$AH1440&lt;1),RIGHT("00"&amp;HOUR(Sync!$AH1440),2)&amp;RIGHT("00"&amp;MINUTE(Sync!$AH1440),2),IFERROR(RIGHT("00"&amp;VALUE(LEFT(Sync!$AH1440,FIND(":",Sync!$AH1440)-1)),2)&amp;RIGHT("00"&amp;VALUE(MID(Sync!$AH1440,FIND(":",Sync!$AH1440)+1,2)),2),"0000"))))</f>
        <v/>
      </c>
    </row>
    <row r="1441">
      <c r="A1441">
        <f>IF(OR(Calc!$E1444="",Calc!$E1444="نامعتبر",Calc!$G1444="",Calc!$I1444&lt;&gt;"خرید"),"",Calc!$G1444)</f>
        <v/>
      </c>
      <c r="B1441">
        <f>IF($A1441="","",LEFT(Calc!$E1444,4)&amp;MID(Calc!$E1444,6,2)&amp;RIGHT(Calc!$E1444,2)&amp;Calc!$R1444&amp;"|"&amp;"1"&amp;RIGHT("00000"&amp;1436,5))</f>
        <v/>
      </c>
      <c r="C1441">
        <f>IF($B1441="","",COUNTIFS(LdgPartyA,$A1441,LdgKeyA,"&lt;"&amp;$B1441)+COUNTIFS(LdgPartyB,$A1441,LdgKeyB,"&lt;"&amp;$B1441)+1)</f>
        <v/>
      </c>
      <c r="D1441">
        <f>IF($C1441="","",$A1441&amp;"|"&amp;RIGHT("000000"&amp;$C1441,6))</f>
        <v/>
      </c>
      <c r="F1441">
        <f>IF(Sync!$AJ1441="","",Sync!$AJ1441)</f>
        <v/>
      </c>
      <c r="G1441">
        <f>IF($F1441="","",IF(Sync!$AG1441="","",IF(ISNUMBER(Sync!$AG1441),IF(AND(Sync!$AG1441&gt;=10000101,Sync!$AG1441&lt;=99991231),INT(Sync!$AG1441/10000),""),IFERROR(VALUE(TRIM(LEFT(Sync!$AG1441,FIND("/",Sync!$AG1441)-1))),""))))</f>
        <v/>
      </c>
      <c r="H1441">
        <f>IF(OR($F1441="",$G1441=""),"",IF(ISNUMBER(Sync!$AG1441),INT(MOD(Sync!$AG1441,10000)/100),IFERROR(VALUE(TRIM(LEFT(MID(Sync!$AG1441,FIND("/",Sync!$AG1441)+1,20),FIND("/",MID(Sync!$AG1441,FIND("/",Sync!$AG1441)+1,20))-1))),"")))</f>
        <v/>
      </c>
      <c r="I1441">
        <f>IF(OR($F1441="",$G1441=""),"",IF(ISNUMBER(Sync!$AG1441),MOD(Sync!$AG1441,100),IFERROR(VALUE(TRIM(MID(MID(Sync!$AG1441,FIND("/",Sync!$AG1441)+1,20),FIND("/",MID(Sync!$AG1441,FIND("/",Sync!$AG1441)+1,20))+1,20))),"")))</f>
        <v/>
      </c>
      <c r="J1441">
        <f>IF($F1441="","",IF(OR($G1441="",$H1441="",$I1441="",$G1441&lt;1300,$G1441&gt;1500,$H1441&lt;1,$H1441&gt;12,$I1441&lt;1,$I1441&gt;31),"نامعتبر",RIGHT("0000"&amp;$G1441,4)&amp;"/"&amp;RIGHT("00"&amp;$H1441,2)&amp;"/"&amp;RIGHT("00"&amp;$I1441,2)))</f>
        <v/>
      </c>
      <c r="K1441">
        <f>IF(OR($F1441="",$J1441="",$J1441="نامعتبر"),"",LEFT($J1441,4)&amp;MID($J1441,6,2)&amp;RIGHT($J1441,2)&amp;$N1441&amp;"|"&amp;"2"&amp;RIGHT("00000"&amp;1436,5))</f>
        <v/>
      </c>
      <c r="L1441">
        <f>IF($K1441="","",COUNTIFS(LdgPartyA,$F1441,LdgKeyA,"&lt;"&amp;$K1441)+COUNTIFS(LdgPartyB,$F1441,LdgKeyB,"&lt;"&amp;$K1441)+1)</f>
        <v/>
      </c>
      <c r="M1441">
        <f>IF($L1441="","",$F1441&amp;"|"&amp;RIGHT("000000"&amp;$L1441,6))</f>
        <v/>
      </c>
      <c r="N1441">
        <f>IF($F1441="","",IF(Sync!$AH1441="","0000",IF(AND(ISNUMBER(Sync!$AH1441),Sync!$AH1441&gt;=0,Sync!$AH1441&lt;1),RIGHT("00"&amp;HOUR(Sync!$AH1441),2)&amp;RIGHT("00"&amp;MINUTE(Sync!$AH1441),2),IFERROR(RIGHT("00"&amp;VALUE(LEFT(Sync!$AH1441,FIND(":",Sync!$AH1441)-1)),2)&amp;RIGHT("00"&amp;VALUE(MID(Sync!$AH1441,FIND(":",Sync!$AH1441)+1,2)),2),"0000"))))</f>
        <v/>
      </c>
    </row>
    <row r="1442">
      <c r="A1442">
        <f>IF(OR(Calc!$E1445="",Calc!$E1445="نامعتبر",Calc!$G1445="",Calc!$I1445&lt;&gt;"خرید"),"",Calc!$G1445)</f>
        <v/>
      </c>
      <c r="B1442">
        <f>IF($A1442="","",LEFT(Calc!$E1445,4)&amp;MID(Calc!$E1445,6,2)&amp;RIGHT(Calc!$E1445,2)&amp;Calc!$R1445&amp;"|"&amp;"1"&amp;RIGHT("00000"&amp;1437,5))</f>
        <v/>
      </c>
      <c r="C1442">
        <f>IF($B1442="","",COUNTIFS(LdgPartyA,$A1442,LdgKeyA,"&lt;"&amp;$B1442)+COUNTIFS(LdgPartyB,$A1442,LdgKeyB,"&lt;"&amp;$B1442)+1)</f>
        <v/>
      </c>
      <c r="D1442">
        <f>IF($C1442="","",$A1442&amp;"|"&amp;RIGHT("000000"&amp;$C1442,6))</f>
        <v/>
      </c>
      <c r="F1442">
        <f>IF(Sync!$AJ1442="","",Sync!$AJ1442)</f>
        <v/>
      </c>
      <c r="G1442">
        <f>IF($F1442="","",IF(Sync!$AG1442="","",IF(ISNUMBER(Sync!$AG1442),IF(AND(Sync!$AG1442&gt;=10000101,Sync!$AG1442&lt;=99991231),INT(Sync!$AG1442/10000),""),IFERROR(VALUE(TRIM(LEFT(Sync!$AG1442,FIND("/",Sync!$AG1442)-1))),""))))</f>
        <v/>
      </c>
      <c r="H1442">
        <f>IF(OR($F1442="",$G1442=""),"",IF(ISNUMBER(Sync!$AG1442),INT(MOD(Sync!$AG1442,10000)/100),IFERROR(VALUE(TRIM(LEFT(MID(Sync!$AG1442,FIND("/",Sync!$AG1442)+1,20),FIND("/",MID(Sync!$AG1442,FIND("/",Sync!$AG1442)+1,20))-1))),"")))</f>
        <v/>
      </c>
      <c r="I1442">
        <f>IF(OR($F1442="",$G1442=""),"",IF(ISNUMBER(Sync!$AG1442),MOD(Sync!$AG1442,100),IFERROR(VALUE(TRIM(MID(MID(Sync!$AG1442,FIND("/",Sync!$AG1442)+1,20),FIND("/",MID(Sync!$AG1442,FIND("/",Sync!$AG1442)+1,20))+1,20))),"")))</f>
        <v/>
      </c>
      <c r="J1442">
        <f>IF($F1442="","",IF(OR($G1442="",$H1442="",$I1442="",$G1442&lt;1300,$G1442&gt;1500,$H1442&lt;1,$H1442&gt;12,$I1442&lt;1,$I1442&gt;31),"نامعتبر",RIGHT("0000"&amp;$G1442,4)&amp;"/"&amp;RIGHT("00"&amp;$H1442,2)&amp;"/"&amp;RIGHT("00"&amp;$I1442,2)))</f>
        <v/>
      </c>
      <c r="K1442">
        <f>IF(OR($F1442="",$J1442="",$J1442="نامعتبر"),"",LEFT($J1442,4)&amp;MID($J1442,6,2)&amp;RIGHT($J1442,2)&amp;$N1442&amp;"|"&amp;"2"&amp;RIGHT("00000"&amp;1437,5))</f>
        <v/>
      </c>
      <c r="L1442">
        <f>IF($K1442="","",COUNTIFS(LdgPartyA,$F1442,LdgKeyA,"&lt;"&amp;$K1442)+COUNTIFS(LdgPartyB,$F1442,LdgKeyB,"&lt;"&amp;$K1442)+1)</f>
        <v/>
      </c>
      <c r="M1442">
        <f>IF($L1442="","",$F1442&amp;"|"&amp;RIGHT("000000"&amp;$L1442,6))</f>
        <v/>
      </c>
      <c r="N1442">
        <f>IF($F1442="","",IF(Sync!$AH1442="","0000",IF(AND(ISNUMBER(Sync!$AH1442),Sync!$AH1442&gt;=0,Sync!$AH1442&lt;1),RIGHT("00"&amp;HOUR(Sync!$AH1442),2)&amp;RIGHT("00"&amp;MINUTE(Sync!$AH1442),2),IFERROR(RIGHT("00"&amp;VALUE(LEFT(Sync!$AH1442,FIND(":",Sync!$AH1442)-1)),2)&amp;RIGHT("00"&amp;VALUE(MID(Sync!$AH1442,FIND(":",Sync!$AH1442)+1,2)),2),"0000"))))</f>
        <v/>
      </c>
    </row>
    <row r="1443">
      <c r="A1443">
        <f>IF(OR(Calc!$E1446="",Calc!$E1446="نامعتبر",Calc!$G1446="",Calc!$I1446&lt;&gt;"خرید"),"",Calc!$G1446)</f>
        <v/>
      </c>
      <c r="B1443">
        <f>IF($A1443="","",LEFT(Calc!$E1446,4)&amp;MID(Calc!$E1446,6,2)&amp;RIGHT(Calc!$E1446,2)&amp;Calc!$R1446&amp;"|"&amp;"1"&amp;RIGHT("00000"&amp;1438,5))</f>
        <v/>
      </c>
      <c r="C1443">
        <f>IF($B1443="","",COUNTIFS(LdgPartyA,$A1443,LdgKeyA,"&lt;"&amp;$B1443)+COUNTIFS(LdgPartyB,$A1443,LdgKeyB,"&lt;"&amp;$B1443)+1)</f>
        <v/>
      </c>
      <c r="D1443">
        <f>IF($C1443="","",$A1443&amp;"|"&amp;RIGHT("000000"&amp;$C1443,6))</f>
        <v/>
      </c>
      <c r="F1443">
        <f>IF(Sync!$AJ1443="","",Sync!$AJ1443)</f>
        <v/>
      </c>
      <c r="G1443">
        <f>IF($F1443="","",IF(Sync!$AG1443="","",IF(ISNUMBER(Sync!$AG1443),IF(AND(Sync!$AG1443&gt;=10000101,Sync!$AG1443&lt;=99991231),INT(Sync!$AG1443/10000),""),IFERROR(VALUE(TRIM(LEFT(Sync!$AG1443,FIND("/",Sync!$AG1443)-1))),""))))</f>
        <v/>
      </c>
      <c r="H1443">
        <f>IF(OR($F1443="",$G1443=""),"",IF(ISNUMBER(Sync!$AG1443),INT(MOD(Sync!$AG1443,10000)/100),IFERROR(VALUE(TRIM(LEFT(MID(Sync!$AG1443,FIND("/",Sync!$AG1443)+1,20),FIND("/",MID(Sync!$AG1443,FIND("/",Sync!$AG1443)+1,20))-1))),"")))</f>
        <v/>
      </c>
      <c r="I1443">
        <f>IF(OR($F1443="",$G1443=""),"",IF(ISNUMBER(Sync!$AG1443),MOD(Sync!$AG1443,100),IFERROR(VALUE(TRIM(MID(MID(Sync!$AG1443,FIND("/",Sync!$AG1443)+1,20),FIND("/",MID(Sync!$AG1443,FIND("/",Sync!$AG1443)+1,20))+1,20))),"")))</f>
        <v/>
      </c>
      <c r="J1443">
        <f>IF($F1443="","",IF(OR($G1443="",$H1443="",$I1443="",$G1443&lt;1300,$G1443&gt;1500,$H1443&lt;1,$H1443&gt;12,$I1443&lt;1,$I1443&gt;31),"نامعتبر",RIGHT("0000"&amp;$G1443,4)&amp;"/"&amp;RIGHT("00"&amp;$H1443,2)&amp;"/"&amp;RIGHT("00"&amp;$I1443,2)))</f>
        <v/>
      </c>
      <c r="K1443">
        <f>IF(OR($F1443="",$J1443="",$J1443="نامعتبر"),"",LEFT($J1443,4)&amp;MID($J1443,6,2)&amp;RIGHT($J1443,2)&amp;$N1443&amp;"|"&amp;"2"&amp;RIGHT("00000"&amp;1438,5))</f>
        <v/>
      </c>
      <c r="L1443">
        <f>IF($K1443="","",COUNTIFS(LdgPartyA,$F1443,LdgKeyA,"&lt;"&amp;$K1443)+COUNTIFS(LdgPartyB,$F1443,LdgKeyB,"&lt;"&amp;$K1443)+1)</f>
        <v/>
      </c>
      <c r="M1443">
        <f>IF($L1443="","",$F1443&amp;"|"&amp;RIGHT("000000"&amp;$L1443,6))</f>
        <v/>
      </c>
      <c r="N1443">
        <f>IF($F1443="","",IF(Sync!$AH1443="","0000",IF(AND(ISNUMBER(Sync!$AH1443),Sync!$AH1443&gt;=0,Sync!$AH1443&lt;1),RIGHT("00"&amp;HOUR(Sync!$AH1443),2)&amp;RIGHT("00"&amp;MINUTE(Sync!$AH1443),2),IFERROR(RIGHT("00"&amp;VALUE(LEFT(Sync!$AH1443,FIND(":",Sync!$AH1443)-1)),2)&amp;RIGHT("00"&amp;VALUE(MID(Sync!$AH1443,FIND(":",Sync!$AH1443)+1,2)),2),"0000"))))</f>
        <v/>
      </c>
    </row>
    <row r="1444">
      <c r="A1444">
        <f>IF(OR(Calc!$E1447="",Calc!$E1447="نامعتبر",Calc!$G1447="",Calc!$I1447&lt;&gt;"خرید"),"",Calc!$G1447)</f>
        <v/>
      </c>
      <c r="B1444">
        <f>IF($A1444="","",LEFT(Calc!$E1447,4)&amp;MID(Calc!$E1447,6,2)&amp;RIGHT(Calc!$E1447,2)&amp;Calc!$R1447&amp;"|"&amp;"1"&amp;RIGHT("00000"&amp;1439,5))</f>
        <v/>
      </c>
      <c r="C1444">
        <f>IF($B1444="","",COUNTIFS(LdgPartyA,$A1444,LdgKeyA,"&lt;"&amp;$B1444)+COUNTIFS(LdgPartyB,$A1444,LdgKeyB,"&lt;"&amp;$B1444)+1)</f>
        <v/>
      </c>
      <c r="D1444">
        <f>IF($C1444="","",$A1444&amp;"|"&amp;RIGHT("000000"&amp;$C1444,6))</f>
        <v/>
      </c>
      <c r="F1444">
        <f>IF(Sync!$AJ1444="","",Sync!$AJ1444)</f>
        <v/>
      </c>
      <c r="G1444">
        <f>IF($F1444="","",IF(Sync!$AG1444="","",IF(ISNUMBER(Sync!$AG1444),IF(AND(Sync!$AG1444&gt;=10000101,Sync!$AG1444&lt;=99991231),INT(Sync!$AG1444/10000),""),IFERROR(VALUE(TRIM(LEFT(Sync!$AG1444,FIND("/",Sync!$AG1444)-1))),""))))</f>
        <v/>
      </c>
      <c r="H1444">
        <f>IF(OR($F1444="",$G1444=""),"",IF(ISNUMBER(Sync!$AG1444),INT(MOD(Sync!$AG1444,10000)/100),IFERROR(VALUE(TRIM(LEFT(MID(Sync!$AG1444,FIND("/",Sync!$AG1444)+1,20),FIND("/",MID(Sync!$AG1444,FIND("/",Sync!$AG1444)+1,20))-1))),"")))</f>
        <v/>
      </c>
      <c r="I1444">
        <f>IF(OR($F1444="",$G1444=""),"",IF(ISNUMBER(Sync!$AG1444),MOD(Sync!$AG1444,100),IFERROR(VALUE(TRIM(MID(MID(Sync!$AG1444,FIND("/",Sync!$AG1444)+1,20),FIND("/",MID(Sync!$AG1444,FIND("/",Sync!$AG1444)+1,20))+1,20))),"")))</f>
        <v/>
      </c>
      <c r="J1444">
        <f>IF($F1444="","",IF(OR($G1444="",$H1444="",$I1444="",$G1444&lt;1300,$G1444&gt;1500,$H1444&lt;1,$H1444&gt;12,$I1444&lt;1,$I1444&gt;31),"نامعتبر",RIGHT("0000"&amp;$G1444,4)&amp;"/"&amp;RIGHT("00"&amp;$H1444,2)&amp;"/"&amp;RIGHT("00"&amp;$I1444,2)))</f>
        <v/>
      </c>
      <c r="K1444">
        <f>IF(OR($F1444="",$J1444="",$J1444="نامعتبر"),"",LEFT($J1444,4)&amp;MID($J1444,6,2)&amp;RIGHT($J1444,2)&amp;$N1444&amp;"|"&amp;"2"&amp;RIGHT("00000"&amp;1439,5))</f>
        <v/>
      </c>
      <c r="L1444">
        <f>IF($K1444="","",COUNTIFS(LdgPartyA,$F1444,LdgKeyA,"&lt;"&amp;$K1444)+COUNTIFS(LdgPartyB,$F1444,LdgKeyB,"&lt;"&amp;$K1444)+1)</f>
        <v/>
      </c>
      <c r="M1444">
        <f>IF($L1444="","",$F1444&amp;"|"&amp;RIGHT("000000"&amp;$L1444,6))</f>
        <v/>
      </c>
      <c r="N1444">
        <f>IF($F1444="","",IF(Sync!$AH1444="","0000",IF(AND(ISNUMBER(Sync!$AH1444),Sync!$AH1444&gt;=0,Sync!$AH1444&lt;1),RIGHT("00"&amp;HOUR(Sync!$AH1444),2)&amp;RIGHT("00"&amp;MINUTE(Sync!$AH1444),2),IFERROR(RIGHT("00"&amp;VALUE(LEFT(Sync!$AH1444,FIND(":",Sync!$AH1444)-1)),2)&amp;RIGHT("00"&amp;VALUE(MID(Sync!$AH1444,FIND(":",Sync!$AH1444)+1,2)),2),"0000"))))</f>
        <v/>
      </c>
    </row>
    <row r="1445">
      <c r="A1445">
        <f>IF(OR(Calc!$E1448="",Calc!$E1448="نامعتبر",Calc!$G1448="",Calc!$I1448&lt;&gt;"خرید"),"",Calc!$G1448)</f>
        <v/>
      </c>
      <c r="B1445">
        <f>IF($A1445="","",LEFT(Calc!$E1448,4)&amp;MID(Calc!$E1448,6,2)&amp;RIGHT(Calc!$E1448,2)&amp;Calc!$R1448&amp;"|"&amp;"1"&amp;RIGHT("00000"&amp;1440,5))</f>
        <v/>
      </c>
      <c r="C1445">
        <f>IF($B1445="","",COUNTIFS(LdgPartyA,$A1445,LdgKeyA,"&lt;"&amp;$B1445)+COUNTIFS(LdgPartyB,$A1445,LdgKeyB,"&lt;"&amp;$B1445)+1)</f>
        <v/>
      </c>
      <c r="D1445">
        <f>IF($C1445="","",$A1445&amp;"|"&amp;RIGHT("000000"&amp;$C1445,6))</f>
        <v/>
      </c>
      <c r="F1445">
        <f>IF(Sync!$AJ1445="","",Sync!$AJ1445)</f>
        <v/>
      </c>
      <c r="G1445">
        <f>IF($F1445="","",IF(Sync!$AG1445="","",IF(ISNUMBER(Sync!$AG1445),IF(AND(Sync!$AG1445&gt;=10000101,Sync!$AG1445&lt;=99991231),INT(Sync!$AG1445/10000),""),IFERROR(VALUE(TRIM(LEFT(Sync!$AG1445,FIND("/",Sync!$AG1445)-1))),""))))</f>
        <v/>
      </c>
      <c r="H1445">
        <f>IF(OR($F1445="",$G1445=""),"",IF(ISNUMBER(Sync!$AG1445),INT(MOD(Sync!$AG1445,10000)/100),IFERROR(VALUE(TRIM(LEFT(MID(Sync!$AG1445,FIND("/",Sync!$AG1445)+1,20),FIND("/",MID(Sync!$AG1445,FIND("/",Sync!$AG1445)+1,20))-1))),"")))</f>
        <v/>
      </c>
      <c r="I1445">
        <f>IF(OR($F1445="",$G1445=""),"",IF(ISNUMBER(Sync!$AG1445),MOD(Sync!$AG1445,100),IFERROR(VALUE(TRIM(MID(MID(Sync!$AG1445,FIND("/",Sync!$AG1445)+1,20),FIND("/",MID(Sync!$AG1445,FIND("/",Sync!$AG1445)+1,20))+1,20))),"")))</f>
        <v/>
      </c>
      <c r="J1445">
        <f>IF($F1445="","",IF(OR($G1445="",$H1445="",$I1445="",$G1445&lt;1300,$G1445&gt;1500,$H1445&lt;1,$H1445&gt;12,$I1445&lt;1,$I1445&gt;31),"نامعتبر",RIGHT("0000"&amp;$G1445,4)&amp;"/"&amp;RIGHT("00"&amp;$H1445,2)&amp;"/"&amp;RIGHT("00"&amp;$I1445,2)))</f>
        <v/>
      </c>
      <c r="K1445">
        <f>IF(OR($F1445="",$J1445="",$J1445="نامعتبر"),"",LEFT($J1445,4)&amp;MID($J1445,6,2)&amp;RIGHT($J1445,2)&amp;$N1445&amp;"|"&amp;"2"&amp;RIGHT("00000"&amp;1440,5))</f>
        <v/>
      </c>
      <c r="L1445">
        <f>IF($K1445="","",COUNTIFS(LdgPartyA,$F1445,LdgKeyA,"&lt;"&amp;$K1445)+COUNTIFS(LdgPartyB,$F1445,LdgKeyB,"&lt;"&amp;$K1445)+1)</f>
        <v/>
      </c>
      <c r="M1445">
        <f>IF($L1445="","",$F1445&amp;"|"&amp;RIGHT("000000"&amp;$L1445,6))</f>
        <v/>
      </c>
      <c r="N1445">
        <f>IF($F1445="","",IF(Sync!$AH1445="","0000",IF(AND(ISNUMBER(Sync!$AH1445),Sync!$AH1445&gt;=0,Sync!$AH1445&lt;1),RIGHT("00"&amp;HOUR(Sync!$AH1445),2)&amp;RIGHT("00"&amp;MINUTE(Sync!$AH1445),2),IFERROR(RIGHT("00"&amp;VALUE(LEFT(Sync!$AH1445,FIND(":",Sync!$AH1445)-1)),2)&amp;RIGHT("00"&amp;VALUE(MID(Sync!$AH1445,FIND(":",Sync!$AH1445)+1,2)),2),"0000"))))</f>
        <v/>
      </c>
    </row>
    <row r="1446">
      <c r="A1446">
        <f>IF(OR(Calc!$E1449="",Calc!$E1449="نامعتبر",Calc!$G1449="",Calc!$I1449&lt;&gt;"خرید"),"",Calc!$G1449)</f>
        <v/>
      </c>
      <c r="B1446">
        <f>IF($A1446="","",LEFT(Calc!$E1449,4)&amp;MID(Calc!$E1449,6,2)&amp;RIGHT(Calc!$E1449,2)&amp;Calc!$R1449&amp;"|"&amp;"1"&amp;RIGHT("00000"&amp;1441,5))</f>
        <v/>
      </c>
      <c r="C1446">
        <f>IF($B1446="","",COUNTIFS(LdgPartyA,$A1446,LdgKeyA,"&lt;"&amp;$B1446)+COUNTIFS(LdgPartyB,$A1446,LdgKeyB,"&lt;"&amp;$B1446)+1)</f>
        <v/>
      </c>
      <c r="D1446">
        <f>IF($C1446="","",$A1446&amp;"|"&amp;RIGHT("000000"&amp;$C1446,6))</f>
        <v/>
      </c>
      <c r="F1446">
        <f>IF(Sync!$AJ1446="","",Sync!$AJ1446)</f>
        <v/>
      </c>
      <c r="G1446">
        <f>IF($F1446="","",IF(Sync!$AG1446="","",IF(ISNUMBER(Sync!$AG1446),IF(AND(Sync!$AG1446&gt;=10000101,Sync!$AG1446&lt;=99991231),INT(Sync!$AG1446/10000),""),IFERROR(VALUE(TRIM(LEFT(Sync!$AG1446,FIND("/",Sync!$AG1446)-1))),""))))</f>
        <v/>
      </c>
      <c r="H1446">
        <f>IF(OR($F1446="",$G1446=""),"",IF(ISNUMBER(Sync!$AG1446),INT(MOD(Sync!$AG1446,10000)/100),IFERROR(VALUE(TRIM(LEFT(MID(Sync!$AG1446,FIND("/",Sync!$AG1446)+1,20),FIND("/",MID(Sync!$AG1446,FIND("/",Sync!$AG1446)+1,20))-1))),"")))</f>
        <v/>
      </c>
      <c r="I1446">
        <f>IF(OR($F1446="",$G1446=""),"",IF(ISNUMBER(Sync!$AG1446),MOD(Sync!$AG1446,100),IFERROR(VALUE(TRIM(MID(MID(Sync!$AG1446,FIND("/",Sync!$AG1446)+1,20),FIND("/",MID(Sync!$AG1446,FIND("/",Sync!$AG1446)+1,20))+1,20))),"")))</f>
        <v/>
      </c>
      <c r="J1446">
        <f>IF($F1446="","",IF(OR($G1446="",$H1446="",$I1446="",$G1446&lt;1300,$G1446&gt;1500,$H1446&lt;1,$H1446&gt;12,$I1446&lt;1,$I1446&gt;31),"نامعتبر",RIGHT("0000"&amp;$G1446,4)&amp;"/"&amp;RIGHT("00"&amp;$H1446,2)&amp;"/"&amp;RIGHT("00"&amp;$I1446,2)))</f>
        <v/>
      </c>
      <c r="K1446">
        <f>IF(OR($F1446="",$J1446="",$J1446="نامعتبر"),"",LEFT($J1446,4)&amp;MID($J1446,6,2)&amp;RIGHT($J1446,2)&amp;$N1446&amp;"|"&amp;"2"&amp;RIGHT("00000"&amp;1441,5))</f>
        <v/>
      </c>
      <c r="L1446">
        <f>IF($K1446="","",COUNTIFS(LdgPartyA,$F1446,LdgKeyA,"&lt;"&amp;$K1446)+COUNTIFS(LdgPartyB,$F1446,LdgKeyB,"&lt;"&amp;$K1446)+1)</f>
        <v/>
      </c>
      <c r="M1446">
        <f>IF($L1446="","",$F1446&amp;"|"&amp;RIGHT("000000"&amp;$L1446,6))</f>
        <v/>
      </c>
      <c r="N1446">
        <f>IF($F1446="","",IF(Sync!$AH1446="","0000",IF(AND(ISNUMBER(Sync!$AH1446),Sync!$AH1446&gt;=0,Sync!$AH1446&lt;1),RIGHT("00"&amp;HOUR(Sync!$AH1446),2)&amp;RIGHT("00"&amp;MINUTE(Sync!$AH1446),2),IFERROR(RIGHT("00"&amp;VALUE(LEFT(Sync!$AH1446,FIND(":",Sync!$AH1446)-1)),2)&amp;RIGHT("00"&amp;VALUE(MID(Sync!$AH1446,FIND(":",Sync!$AH1446)+1,2)),2),"0000"))))</f>
        <v/>
      </c>
    </row>
    <row r="1447">
      <c r="A1447">
        <f>IF(OR(Calc!$E1450="",Calc!$E1450="نامعتبر",Calc!$G1450="",Calc!$I1450&lt;&gt;"خرید"),"",Calc!$G1450)</f>
        <v/>
      </c>
      <c r="B1447">
        <f>IF($A1447="","",LEFT(Calc!$E1450,4)&amp;MID(Calc!$E1450,6,2)&amp;RIGHT(Calc!$E1450,2)&amp;Calc!$R1450&amp;"|"&amp;"1"&amp;RIGHT("00000"&amp;1442,5))</f>
        <v/>
      </c>
      <c r="C1447">
        <f>IF($B1447="","",COUNTIFS(LdgPartyA,$A1447,LdgKeyA,"&lt;"&amp;$B1447)+COUNTIFS(LdgPartyB,$A1447,LdgKeyB,"&lt;"&amp;$B1447)+1)</f>
        <v/>
      </c>
      <c r="D1447">
        <f>IF($C1447="","",$A1447&amp;"|"&amp;RIGHT("000000"&amp;$C1447,6))</f>
        <v/>
      </c>
      <c r="F1447">
        <f>IF(Sync!$AJ1447="","",Sync!$AJ1447)</f>
        <v/>
      </c>
      <c r="G1447">
        <f>IF($F1447="","",IF(Sync!$AG1447="","",IF(ISNUMBER(Sync!$AG1447),IF(AND(Sync!$AG1447&gt;=10000101,Sync!$AG1447&lt;=99991231),INT(Sync!$AG1447/10000),""),IFERROR(VALUE(TRIM(LEFT(Sync!$AG1447,FIND("/",Sync!$AG1447)-1))),""))))</f>
        <v/>
      </c>
      <c r="H1447">
        <f>IF(OR($F1447="",$G1447=""),"",IF(ISNUMBER(Sync!$AG1447),INT(MOD(Sync!$AG1447,10000)/100),IFERROR(VALUE(TRIM(LEFT(MID(Sync!$AG1447,FIND("/",Sync!$AG1447)+1,20),FIND("/",MID(Sync!$AG1447,FIND("/",Sync!$AG1447)+1,20))-1))),"")))</f>
        <v/>
      </c>
      <c r="I1447">
        <f>IF(OR($F1447="",$G1447=""),"",IF(ISNUMBER(Sync!$AG1447),MOD(Sync!$AG1447,100),IFERROR(VALUE(TRIM(MID(MID(Sync!$AG1447,FIND("/",Sync!$AG1447)+1,20),FIND("/",MID(Sync!$AG1447,FIND("/",Sync!$AG1447)+1,20))+1,20))),"")))</f>
        <v/>
      </c>
      <c r="J1447">
        <f>IF($F1447="","",IF(OR($G1447="",$H1447="",$I1447="",$G1447&lt;1300,$G1447&gt;1500,$H1447&lt;1,$H1447&gt;12,$I1447&lt;1,$I1447&gt;31),"نامعتبر",RIGHT("0000"&amp;$G1447,4)&amp;"/"&amp;RIGHT("00"&amp;$H1447,2)&amp;"/"&amp;RIGHT("00"&amp;$I1447,2)))</f>
        <v/>
      </c>
      <c r="K1447">
        <f>IF(OR($F1447="",$J1447="",$J1447="نامعتبر"),"",LEFT($J1447,4)&amp;MID($J1447,6,2)&amp;RIGHT($J1447,2)&amp;$N1447&amp;"|"&amp;"2"&amp;RIGHT("00000"&amp;1442,5))</f>
        <v/>
      </c>
      <c r="L1447">
        <f>IF($K1447="","",COUNTIFS(LdgPartyA,$F1447,LdgKeyA,"&lt;"&amp;$K1447)+COUNTIFS(LdgPartyB,$F1447,LdgKeyB,"&lt;"&amp;$K1447)+1)</f>
        <v/>
      </c>
      <c r="M1447">
        <f>IF($L1447="","",$F1447&amp;"|"&amp;RIGHT("000000"&amp;$L1447,6))</f>
        <v/>
      </c>
      <c r="N1447">
        <f>IF($F1447="","",IF(Sync!$AH1447="","0000",IF(AND(ISNUMBER(Sync!$AH1447),Sync!$AH1447&gt;=0,Sync!$AH1447&lt;1),RIGHT("00"&amp;HOUR(Sync!$AH1447),2)&amp;RIGHT("00"&amp;MINUTE(Sync!$AH1447),2),IFERROR(RIGHT("00"&amp;VALUE(LEFT(Sync!$AH1447,FIND(":",Sync!$AH1447)-1)),2)&amp;RIGHT("00"&amp;VALUE(MID(Sync!$AH1447,FIND(":",Sync!$AH1447)+1,2)),2),"0000"))))</f>
        <v/>
      </c>
    </row>
    <row r="1448">
      <c r="A1448">
        <f>IF(OR(Calc!$E1451="",Calc!$E1451="نامعتبر",Calc!$G1451="",Calc!$I1451&lt;&gt;"خرید"),"",Calc!$G1451)</f>
        <v/>
      </c>
      <c r="B1448">
        <f>IF($A1448="","",LEFT(Calc!$E1451,4)&amp;MID(Calc!$E1451,6,2)&amp;RIGHT(Calc!$E1451,2)&amp;Calc!$R1451&amp;"|"&amp;"1"&amp;RIGHT("00000"&amp;1443,5))</f>
        <v/>
      </c>
      <c r="C1448">
        <f>IF($B1448="","",COUNTIFS(LdgPartyA,$A1448,LdgKeyA,"&lt;"&amp;$B1448)+COUNTIFS(LdgPartyB,$A1448,LdgKeyB,"&lt;"&amp;$B1448)+1)</f>
        <v/>
      </c>
      <c r="D1448">
        <f>IF($C1448="","",$A1448&amp;"|"&amp;RIGHT("000000"&amp;$C1448,6))</f>
        <v/>
      </c>
      <c r="F1448">
        <f>IF(Sync!$AJ1448="","",Sync!$AJ1448)</f>
        <v/>
      </c>
      <c r="G1448">
        <f>IF($F1448="","",IF(Sync!$AG1448="","",IF(ISNUMBER(Sync!$AG1448),IF(AND(Sync!$AG1448&gt;=10000101,Sync!$AG1448&lt;=99991231),INT(Sync!$AG1448/10000),""),IFERROR(VALUE(TRIM(LEFT(Sync!$AG1448,FIND("/",Sync!$AG1448)-1))),""))))</f>
        <v/>
      </c>
      <c r="H1448">
        <f>IF(OR($F1448="",$G1448=""),"",IF(ISNUMBER(Sync!$AG1448),INT(MOD(Sync!$AG1448,10000)/100),IFERROR(VALUE(TRIM(LEFT(MID(Sync!$AG1448,FIND("/",Sync!$AG1448)+1,20),FIND("/",MID(Sync!$AG1448,FIND("/",Sync!$AG1448)+1,20))-1))),"")))</f>
        <v/>
      </c>
      <c r="I1448">
        <f>IF(OR($F1448="",$G1448=""),"",IF(ISNUMBER(Sync!$AG1448),MOD(Sync!$AG1448,100),IFERROR(VALUE(TRIM(MID(MID(Sync!$AG1448,FIND("/",Sync!$AG1448)+1,20),FIND("/",MID(Sync!$AG1448,FIND("/",Sync!$AG1448)+1,20))+1,20))),"")))</f>
        <v/>
      </c>
      <c r="J1448">
        <f>IF($F1448="","",IF(OR($G1448="",$H1448="",$I1448="",$G1448&lt;1300,$G1448&gt;1500,$H1448&lt;1,$H1448&gt;12,$I1448&lt;1,$I1448&gt;31),"نامعتبر",RIGHT("0000"&amp;$G1448,4)&amp;"/"&amp;RIGHT("00"&amp;$H1448,2)&amp;"/"&amp;RIGHT("00"&amp;$I1448,2)))</f>
        <v/>
      </c>
      <c r="K1448">
        <f>IF(OR($F1448="",$J1448="",$J1448="نامعتبر"),"",LEFT($J1448,4)&amp;MID($J1448,6,2)&amp;RIGHT($J1448,2)&amp;$N1448&amp;"|"&amp;"2"&amp;RIGHT("00000"&amp;1443,5))</f>
        <v/>
      </c>
      <c r="L1448">
        <f>IF($K1448="","",COUNTIFS(LdgPartyA,$F1448,LdgKeyA,"&lt;"&amp;$K1448)+COUNTIFS(LdgPartyB,$F1448,LdgKeyB,"&lt;"&amp;$K1448)+1)</f>
        <v/>
      </c>
      <c r="M1448">
        <f>IF($L1448="","",$F1448&amp;"|"&amp;RIGHT("000000"&amp;$L1448,6))</f>
        <v/>
      </c>
      <c r="N1448">
        <f>IF($F1448="","",IF(Sync!$AH1448="","0000",IF(AND(ISNUMBER(Sync!$AH1448),Sync!$AH1448&gt;=0,Sync!$AH1448&lt;1),RIGHT("00"&amp;HOUR(Sync!$AH1448),2)&amp;RIGHT("00"&amp;MINUTE(Sync!$AH1448),2),IFERROR(RIGHT("00"&amp;VALUE(LEFT(Sync!$AH1448,FIND(":",Sync!$AH1448)-1)),2)&amp;RIGHT("00"&amp;VALUE(MID(Sync!$AH1448,FIND(":",Sync!$AH1448)+1,2)),2),"0000"))))</f>
        <v/>
      </c>
    </row>
    <row r="1449">
      <c r="A1449">
        <f>IF(OR(Calc!$E1452="",Calc!$E1452="نامعتبر",Calc!$G1452="",Calc!$I1452&lt;&gt;"خرید"),"",Calc!$G1452)</f>
        <v/>
      </c>
      <c r="B1449">
        <f>IF($A1449="","",LEFT(Calc!$E1452,4)&amp;MID(Calc!$E1452,6,2)&amp;RIGHT(Calc!$E1452,2)&amp;Calc!$R1452&amp;"|"&amp;"1"&amp;RIGHT("00000"&amp;1444,5))</f>
        <v/>
      </c>
      <c r="C1449">
        <f>IF($B1449="","",COUNTIFS(LdgPartyA,$A1449,LdgKeyA,"&lt;"&amp;$B1449)+COUNTIFS(LdgPartyB,$A1449,LdgKeyB,"&lt;"&amp;$B1449)+1)</f>
        <v/>
      </c>
      <c r="D1449">
        <f>IF($C1449="","",$A1449&amp;"|"&amp;RIGHT("000000"&amp;$C1449,6))</f>
        <v/>
      </c>
      <c r="F1449">
        <f>IF(Sync!$AJ1449="","",Sync!$AJ1449)</f>
        <v/>
      </c>
      <c r="G1449">
        <f>IF($F1449="","",IF(Sync!$AG1449="","",IF(ISNUMBER(Sync!$AG1449),IF(AND(Sync!$AG1449&gt;=10000101,Sync!$AG1449&lt;=99991231),INT(Sync!$AG1449/10000),""),IFERROR(VALUE(TRIM(LEFT(Sync!$AG1449,FIND("/",Sync!$AG1449)-1))),""))))</f>
        <v/>
      </c>
      <c r="H1449">
        <f>IF(OR($F1449="",$G1449=""),"",IF(ISNUMBER(Sync!$AG1449),INT(MOD(Sync!$AG1449,10000)/100),IFERROR(VALUE(TRIM(LEFT(MID(Sync!$AG1449,FIND("/",Sync!$AG1449)+1,20),FIND("/",MID(Sync!$AG1449,FIND("/",Sync!$AG1449)+1,20))-1))),"")))</f>
        <v/>
      </c>
      <c r="I1449">
        <f>IF(OR($F1449="",$G1449=""),"",IF(ISNUMBER(Sync!$AG1449),MOD(Sync!$AG1449,100),IFERROR(VALUE(TRIM(MID(MID(Sync!$AG1449,FIND("/",Sync!$AG1449)+1,20),FIND("/",MID(Sync!$AG1449,FIND("/",Sync!$AG1449)+1,20))+1,20))),"")))</f>
        <v/>
      </c>
      <c r="J1449">
        <f>IF($F1449="","",IF(OR($G1449="",$H1449="",$I1449="",$G1449&lt;1300,$G1449&gt;1500,$H1449&lt;1,$H1449&gt;12,$I1449&lt;1,$I1449&gt;31),"نامعتبر",RIGHT("0000"&amp;$G1449,4)&amp;"/"&amp;RIGHT("00"&amp;$H1449,2)&amp;"/"&amp;RIGHT("00"&amp;$I1449,2)))</f>
        <v/>
      </c>
      <c r="K1449">
        <f>IF(OR($F1449="",$J1449="",$J1449="نامعتبر"),"",LEFT($J1449,4)&amp;MID($J1449,6,2)&amp;RIGHT($J1449,2)&amp;$N1449&amp;"|"&amp;"2"&amp;RIGHT("00000"&amp;1444,5))</f>
        <v/>
      </c>
      <c r="L1449">
        <f>IF($K1449="","",COUNTIFS(LdgPartyA,$F1449,LdgKeyA,"&lt;"&amp;$K1449)+COUNTIFS(LdgPartyB,$F1449,LdgKeyB,"&lt;"&amp;$K1449)+1)</f>
        <v/>
      </c>
      <c r="M1449">
        <f>IF($L1449="","",$F1449&amp;"|"&amp;RIGHT("000000"&amp;$L1449,6))</f>
        <v/>
      </c>
      <c r="N1449">
        <f>IF($F1449="","",IF(Sync!$AH1449="","0000",IF(AND(ISNUMBER(Sync!$AH1449),Sync!$AH1449&gt;=0,Sync!$AH1449&lt;1),RIGHT("00"&amp;HOUR(Sync!$AH1449),2)&amp;RIGHT("00"&amp;MINUTE(Sync!$AH1449),2),IFERROR(RIGHT("00"&amp;VALUE(LEFT(Sync!$AH1449,FIND(":",Sync!$AH1449)-1)),2)&amp;RIGHT("00"&amp;VALUE(MID(Sync!$AH1449,FIND(":",Sync!$AH1449)+1,2)),2),"0000"))))</f>
        <v/>
      </c>
    </row>
    <row r="1450">
      <c r="A1450">
        <f>IF(OR(Calc!$E1453="",Calc!$E1453="نامعتبر",Calc!$G1453="",Calc!$I1453&lt;&gt;"خرید"),"",Calc!$G1453)</f>
        <v/>
      </c>
      <c r="B1450">
        <f>IF($A1450="","",LEFT(Calc!$E1453,4)&amp;MID(Calc!$E1453,6,2)&amp;RIGHT(Calc!$E1453,2)&amp;Calc!$R1453&amp;"|"&amp;"1"&amp;RIGHT("00000"&amp;1445,5))</f>
        <v/>
      </c>
      <c r="C1450">
        <f>IF($B1450="","",COUNTIFS(LdgPartyA,$A1450,LdgKeyA,"&lt;"&amp;$B1450)+COUNTIFS(LdgPartyB,$A1450,LdgKeyB,"&lt;"&amp;$B1450)+1)</f>
        <v/>
      </c>
      <c r="D1450">
        <f>IF($C1450="","",$A1450&amp;"|"&amp;RIGHT("000000"&amp;$C1450,6))</f>
        <v/>
      </c>
      <c r="F1450">
        <f>IF(Sync!$AJ1450="","",Sync!$AJ1450)</f>
        <v/>
      </c>
      <c r="G1450">
        <f>IF($F1450="","",IF(Sync!$AG1450="","",IF(ISNUMBER(Sync!$AG1450),IF(AND(Sync!$AG1450&gt;=10000101,Sync!$AG1450&lt;=99991231),INT(Sync!$AG1450/10000),""),IFERROR(VALUE(TRIM(LEFT(Sync!$AG1450,FIND("/",Sync!$AG1450)-1))),""))))</f>
        <v/>
      </c>
      <c r="H1450">
        <f>IF(OR($F1450="",$G1450=""),"",IF(ISNUMBER(Sync!$AG1450),INT(MOD(Sync!$AG1450,10000)/100),IFERROR(VALUE(TRIM(LEFT(MID(Sync!$AG1450,FIND("/",Sync!$AG1450)+1,20),FIND("/",MID(Sync!$AG1450,FIND("/",Sync!$AG1450)+1,20))-1))),"")))</f>
        <v/>
      </c>
      <c r="I1450">
        <f>IF(OR($F1450="",$G1450=""),"",IF(ISNUMBER(Sync!$AG1450),MOD(Sync!$AG1450,100),IFERROR(VALUE(TRIM(MID(MID(Sync!$AG1450,FIND("/",Sync!$AG1450)+1,20),FIND("/",MID(Sync!$AG1450,FIND("/",Sync!$AG1450)+1,20))+1,20))),"")))</f>
        <v/>
      </c>
      <c r="J1450">
        <f>IF($F1450="","",IF(OR($G1450="",$H1450="",$I1450="",$G1450&lt;1300,$G1450&gt;1500,$H1450&lt;1,$H1450&gt;12,$I1450&lt;1,$I1450&gt;31),"نامعتبر",RIGHT("0000"&amp;$G1450,4)&amp;"/"&amp;RIGHT("00"&amp;$H1450,2)&amp;"/"&amp;RIGHT("00"&amp;$I1450,2)))</f>
        <v/>
      </c>
      <c r="K1450">
        <f>IF(OR($F1450="",$J1450="",$J1450="نامعتبر"),"",LEFT($J1450,4)&amp;MID($J1450,6,2)&amp;RIGHT($J1450,2)&amp;$N1450&amp;"|"&amp;"2"&amp;RIGHT("00000"&amp;1445,5))</f>
        <v/>
      </c>
      <c r="L1450">
        <f>IF($K1450="","",COUNTIFS(LdgPartyA,$F1450,LdgKeyA,"&lt;"&amp;$K1450)+COUNTIFS(LdgPartyB,$F1450,LdgKeyB,"&lt;"&amp;$K1450)+1)</f>
        <v/>
      </c>
      <c r="M1450">
        <f>IF($L1450="","",$F1450&amp;"|"&amp;RIGHT("000000"&amp;$L1450,6))</f>
        <v/>
      </c>
      <c r="N1450">
        <f>IF($F1450="","",IF(Sync!$AH1450="","0000",IF(AND(ISNUMBER(Sync!$AH1450),Sync!$AH1450&gt;=0,Sync!$AH1450&lt;1),RIGHT("00"&amp;HOUR(Sync!$AH1450),2)&amp;RIGHT("00"&amp;MINUTE(Sync!$AH1450),2),IFERROR(RIGHT("00"&amp;VALUE(LEFT(Sync!$AH1450,FIND(":",Sync!$AH1450)-1)),2)&amp;RIGHT("00"&amp;VALUE(MID(Sync!$AH1450,FIND(":",Sync!$AH1450)+1,2)),2),"0000"))))</f>
        <v/>
      </c>
    </row>
    <row r="1451">
      <c r="A1451">
        <f>IF(OR(Calc!$E1454="",Calc!$E1454="نامعتبر",Calc!$G1454="",Calc!$I1454&lt;&gt;"خرید"),"",Calc!$G1454)</f>
        <v/>
      </c>
      <c r="B1451">
        <f>IF($A1451="","",LEFT(Calc!$E1454,4)&amp;MID(Calc!$E1454,6,2)&amp;RIGHT(Calc!$E1454,2)&amp;Calc!$R1454&amp;"|"&amp;"1"&amp;RIGHT("00000"&amp;1446,5))</f>
        <v/>
      </c>
      <c r="C1451">
        <f>IF($B1451="","",COUNTIFS(LdgPartyA,$A1451,LdgKeyA,"&lt;"&amp;$B1451)+COUNTIFS(LdgPartyB,$A1451,LdgKeyB,"&lt;"&amp;$B1451)+1)</f>
        <v/>
      </c>
      <c r="D1451">
        <f>IF($C1451="","",$A1451&amp;"|"&amp;RIGHT("000000"&amp;$C1451,6))</f>
        <v/>
      </c>
      <c r="F1451">
        <f>IF(Sync!$AJ1451="","",Sync!$AJ1451)</f>
        <v/>
      </c>
      <c r="G1451">
        <f>IF($F1451="","",IF(Sync!$AG1451="","",IF(ISNUMBER(Sync!$AG1451),IF(AND(Sync!$AG1451&gt;=10000101,Sync!$AG1451&lt;=99991231),INT(Sync!$AG1451/10000),""),IFERROR(VALUE(TRIM(LEFT(Sync!$AG1451,FIND("/",Sync!$AG1451)-1))),""))))</f>
        <v/>
      </c>
      <c r="H1451">
        <f>IF(OR($F1451="",$G1451=""),"",IF(ISNUMBER(Sync!$AG1451),INT(MOD(Sync!$AG1451,10000)/100),IFERROR(VALUE(TRIM(LEFT(MID(Sync!$AG1451,FIND("/",Sync!$AG1451)+1,20),FIND("/",MID(Sync!$AG1451,FIND("/",Sync!$AG1451)+1,20))-1))),"")))</f>
        <v/>
      </c>
      <c r="I1451">
        <f>IF(OR($F1451="",$G1451=""),"",IF(ISNUMBER(Sync!$AG1451),MOD(Sync!$AG1451,100),IFERROR(VALUE(TRIM(MID(MID(Sync!$AG1451,FIND("/",Sync!$AG1451)+1,20),FIND("/",MID(Sync!$AG1451,FIND("/",Sync!$AG1451)+1,20))+1,20))),"")))</f>
        <v/>
      </c>
      <c r="J1451">
        <f>IF($F1451="","",IF(OR($G1451="",$H1451="",$I1451="",$G1451&lt;1300,$G1451&gt;1500,$H1451&lt;1,$H1451&gt;12,$I1451&lt;1,$I1451&gt;31),"نامعتبر",RIGHT("0000"&amp;$G1451,4)&amp;"/"&amp;RIGHT("00"&amp;$H1451,2)&amp;"/"&amp;RIGHT("00"&amp;$I1451,2)))</f>
        <v/>
      </c>
      <c r="K1451">
        <f>IF(OR($F1451="",$J1451="",$J1451="نامعتبر"),"",LEFT($J1451,4)&amp;MID($J1451,6,2)&amp;RIGHT($J1451,2)&amp;$N1451&amp;"|"&amp;"2"&amp;RIGHT("00000"&amp;1446,5))</f>
        <v/>
      </c>
      <c r="L1451">
        <f>IF($K1451="","",COUNTIFS(LdgPartyA,$F1451,LdgKeyA,"&lt;"&amp;$K1451)+COUNTIFS(LdgPartyB,$F1451,LdgKeyB,"&lt;"&amp;$K1451)+1)</f>
        <v/>
      </c>
      <c r="M1451">
        <f>IF($L1451="","",$F1451&amp;"|"&amp;RIGHT("000000"&amp;$L1451,6))</f>
        <v/>
      </c>
      <c r="N1451">
        <f>IF($F1451="","",IF(Sync!$AH1451="","0000",IF(AND(ISNUMBER(Sync!$AH1451),Sync!$AH1451&gt;=0,Sync!$AH1451&lt;1),RIGHT("00"&amp;HOUR(Sync!$AH1451),2)&amp;RIGHT("00"&amp;MINUTE(Sync!$AH1451),2),IFERROR(RIGHT("00"&amp;VALUE(LEFT(Sync!$AH1451,FIND(":",Sync!$AH1451)-1)),2)&amp;RIGHT("00"&amp;VALUE(MID(Sync!$AH1451,FIND(":",Sync!$AH1451)+1,2)),2),"0000"))))</f>
        <v/>
      </c>
    </row>
    <row r="1452">
      <c r="A1452">
        <f>IF(OR(Calc!$E1455="",Calc!$E1455="نامعتبر",Calc!$G1455="",Calc!$I1455&lt;&gt;"خرید"),"",Calc!$G1455)</f>
        <v/>
      </c>
      <c r="B1452">
        <f>IF($A1452="","",LEFT(Calc!$E1455,4)&amp;MID(Calc!$E1455,6,2)&amp;RIGHT(Calc!$E1455,2)&amp;Calc!$R1455&amp;"|"&amp;"1"&amp;RIGHT("00000"&amp;1447,5))</f>
        <v/>
      </c>
      <c r="C1452">
        <f>IF($B1452="","",COUNTIFS(LdgPartyA,$A1452,LdgKeyA,"&lt;"&amp;$B1452)+COUNTIFS(LdgPartyB,$A1452,LdgKeyB,"&lt;"&amp;$B1452)+1)</f>
        <v/>
      </c>
      <c r="D1452">
        <f>IF($C1452="","",$A1452&amp;"|"&amp;RIGHT("000000"&amp;$C1452,6))</f>
        <v/>
      </c>
      <c r="F1452">
        <f>IF(Sync!$AJ1452="","",Sync!$AJ1452)</f>
        <v/>
      </c>
      <c r="G1452">
        <f>IF($F1452="","",IF(Sync!$AG1452="","",IF(ISNUMBER(Sync!$AG1452),IF(AND(Sync!$AG1452&gt;=10000101,Sync!$AG1452&lt;=99991231),INT(Sync!$AG1452/10000),""),IFERROR(VALUE(TRIM(LEFT(Sync!$AG1452,FIND("/",Sync!$AG1452)-1))),""))))</f>
        <v/>
      </c>
      <c r="H1452">
        <f>IF(OR($F1452="",$G1452=""),"",IF(ISNUMBER(Sync!$AG1452),INT(MOD(Sync!$AG1452,10000)/100),IFERROR(VALUE(TRIM(LEFT(MID(Sync!$AG1452,FIND("/",Sync!$AG1452)+1,20),FIND("/",MID(Sync!$AG1452,FIND("/",Sync!$AG1452)+1,20))-1))),"")))</f>
        <v/>
      </c>
      <c r="I1452">
        <f>IF(OR($F1452="",$G1452=""),"",IF(ISNUMBER(Sync!$AG1452),MOD(Sync!$AG1452,100),IFERROR(VALUE(TRIM(MID(MID(Sync!$AG1452,FIND("/",Sync!$AG1452)+1,20),FIND("/",MID(Sync!$AG1452,FIND("/",Sync!$AG1452)+1,20))+1,20))),"")))</f>
        <v/>
      </c>
      <c r="J1452">
        <f>IF($F1452="","",IF(OR($G1452="",$H1452="",$I1452="",$G1452&lt;1300,$G1452&gt;1500,$H1452&lt;1,$H1452&gt;12,$I1452&lt;1,$I1452&gt;31),"نامعتبر",RIGHT("0000"&amp;$G1452,4)&amp;"/"&amp;RIGHT("00"&amp;$H1452,2)&amp;"/"&amp;RIGHT("00"&amp;$I1452,2)))</f>
        <v/>
      </c>
      <c r="K1452">
        <f>IF(OR($F1452="",$J1452="",$J1452="نامعتبر"),"",LEFT($J1452,4)&amp;MID($J1452,6,2)&amp;RIGHT($J1452,2)&amp;$N1452&amp;"|"&amp;"2"&amp;RIGHT("00000"&amp;1447,5))</f>
        <v/>
      </c>
      <c r="L1452">
        <f>IF($K1452="","",COUNTIFS(LdgPartyA,$F1452,LdgKeyA,"&lt;"&amp;$K1452)+COUNTIFS(LdgPartyB,$F1452,LdgKeyB,"&lt;"&amp;$K1452)+1)</f>
        <v/>
      </c>
      <c r="M1452">
        <f>IF($L1452="","",$F1452&amp;"|"&amp;RIGHT("000000"&amp;$L1452,6))</f>
        <v/>
      </c>
      <c r="N1452">
        <f>IF($F1452="","",IF(Sync!$AH1452="","0000",IF(AND(ISNUMBER(Sync!$AH1452),Sync!$AH1452&gt;=0,Sync!$AH1452&lt;1),RIGHT("00"&amp;HOUR(Sync!$AH1452),2)&amp;RIGHT("00"&amp;MINUTE(Sync!$AH1452),2),IFERROR(RIGHT("00"&amp;VALUE(LEFT(Sync!$AH1452,FIND(":",Sync!$AH1452)-1)),2)&amp;RIGHT("00"&amp;VALUE(MID(Sync!$AH1452,FIND(":",Sync!$AH1452)+1,2)),2),"0000"))))</f>
        <v/>
      </c>
    </row>
    <row r="1453">
      <c r="A1453">
        <f>IF(OR(Calc!$E1456="",Calc!$E1456="نامعتبر",Calc!$G1456="",Calc!$I1456&lt;&gt;"خرید"),"",Calc!$G1456)</f>
        <v/>
      </c>
      <c r="B1453">
        <f>IF($A1453="","",LEFT(Calc!$E1456,4)&amp;MID(Calc!$E1456,6,2)&amp;RIGHT(Calc!$E1456,2)&amp;Calc!$R1456&amp;"|"&amp;"1"&amp;RIGHT("00000"&amp;1448,5))</f>
        <v/>
      </c>
      <c r="C1453">
        <f>IF($B1453="","",COUNTIFS(LdgPartyA,$A1453,LdgKeyA,"&lt;"&amp;$B1453)+COUNTIFS(LdgPartyB,$A1453,LdgKeyB,"&lt;"&amp;$B1453)+1)</f>
        <v/>
      </c>
      <c r="D1453">
        <f>IF($C1453="","",$A1453&amp;"|"&amp;RIGHT("000000"&amp;$C1453,6))</f>
        <v/>
      </c>
      <c r="F1453">
        <f>IF(Sync!$AJ1453="","",Sync!$AJ1453)</f>
        <v/>
      </c>
      <c r="G1453">
        <f>IF($F1453="","",IF(Sync!$AG1453="","",IF(ISNUMBER(Sync!$AG1453),IF(AND(Sync!$AG1453&gt;=10000101,Sync!$AG1453&lt;=99991231),INT(Sync!$AG1453/10000),""),IFERROR(VALUE(TRIM(LEFT(Sync!$AG1453,FIND("/",Sync!$AG1453)-1))),""))))</f>
        <v/>
      </c>
      <c r="H1453">
        <f>IF(OR($F1453="",$G1453=""),"",IF(ISNUMBER(Sync!$AG1453),INT(MOD(Sync!$AG1453,10000)/100),IFERROR(VALUE(TRIM(LEFT(MID(Sync!$AG1453,FIND("/",Sync!$AG1453)+1,20),FIND("/",MID(Sync!$AG1453,FIND("/",Sync!$AG1453)+1,20))-1))),"")))</f>
        <v/>
      </c>
      <c r="I1453">
        <f>IF(OR($F1453="",$G1453=""),"",IF(ISNUMBER(Sync!$AG1453),MOD(Sync!$AG1453,100),IFERROR(VALUE(TRIM(MID(MID(Sync!$AG1453,FIND("/",Sync!$AG1453)+1,20),FIND("/",MID(Sync!$AG1453,FIND("/",Sync!$AG1453)+1,20))+1,20))),"")))</f>
        <v/>
      </c>
      <c r="J1453">
        <f>IF($F1453="","",IF(OR($G1453="",$H1453="",$I1453="",$G1453&lt;1300,$G1453&gt;1500,$H1453&lt;1,$H1453&gt;12,$I1453&lt;1,$I1453&gt;31),"نامعتبر",RIGHT("0000"&amp;$G1453,4)&amp;"/"&amp;RIGHT("00"&amp;$H1453,2)&amp;"/"&amp;RIGHT("00"&amp;$I1453,2)))</f>
        <v/>
      </c>
      <c r="K1453">
        <f>IF(OR($F1453="",$J1453="",$J1453="نامعتبر"),"",LEFT($J1453,4)&amp;MID($J1453,6,2)&amp;RIGHT($J1453,2)&amp;$N1453&amp;"|"&amp;"2"&amp;RIGHT("00000"&amp;1448,5))</f>
        <v/>
      </c>
      <c r="L1453">
        <f>IF($K1453="","",COUNTIFS(LdgPartyA,$F1453,LdgKeyA,"&lt;"&amp;$K1453)+COUNTIFS(LdgPartyB,$F1453,LdgKeyB,"&lt;"&amp;$K1453)+1)</f>
        <v/>
      </c>
      <c r="M1453">
        <f>IF($L1453="","",$F1453&amp;"|"&amp;RIGHT("000000"&amp;$L1453,6))</f>
        <v/>
      </c>
      <c r="N1453">
        <f>IF($F1453="","",IF(Sync!$AH1453="","0000",IF(AND(ISNUMBER(Sync!$AH1453),Sync!$AH1453&gt;=0,Sync!$AH1453&lt;1),RIGHT("00"&amp;HOUR(Sync!$AH1453),2)&amp;RIGHT("00"&amp;MINUTE(Sync!$AH1453),2),IFERROR(RIGHT("00"&amp;VALUE(LEFT(Sync!$AH1453,FIND(":",Sync!$AH1453)-1)),2)&amp;RIGHT("00"&amp;VALUE(MID(Sync!$AH1453,FIND(":",Sync!$AH1453)+1,2)),2),"0000"))))</f>
        <v/>
      </c>
    </row>
    <row r="1454">
      <c r="A1454">
        <f>IF(OR(Calc!$E1457="",Calc!$E1457="نامعتبر",Calc!$G1457="",Calc!$I1457&lt;&gt;"خرید"),"",Calc!$G1457)</f>
        <v/>
      </c>
      <c r="B1454">
        <f>IF($A1454="","",LEFT(Calc!$E1457,4)&amp;MID(Calc!$E1457,6,2)&amp;RIGHT(Calc!$E1457,2)&amp;Calc!$R1457&amp;"|"&amp;"1"&amp;RIGHT("00000"&amp;1449,5))</f>
        <v/>
      </c>
      <c r="C1454">
        <f>IF($B1454="","",COUNTIFS(LdgPartyA,$A1454,LdgKeyA,"&lt;"&amp;$B1454)+COUNTIFS(LdgPartyB,$A1454,LdgKeyB,"&lt;"&amp;$B1454)+1)</f>
        <v/>
      </c>
      <c r="D1454">
        <f>IF($C1454="","",$A1454&amp;"|"&amp;RIGHT("000000"&amp;$C1454,6))</f>
        <v/>
      </c>
      <c r="F1454">
        <f>IF(Sync!$AJ1454="","",Sync!$AJ1454)</f>
        <v/>
      </c>
      <c r="G1454">
        <f>IF($F1454="","",IF(Sync!$AG1454="","",IF(ISNUMBER(Sync!$AG1454),IF(AND(Sync!$AG1454&gt;=10000101,Sync!$AG1454&lt;=99991231),INT(Sync!$AG1454/10000),""),IFERROR(VALUE(TRIM(LEFT(Sync!$AG1454,FIND("/",Sync!$AG1454)-1))),""))))</f>
        <v/>
      </c>
      <c r="H1454">
        <f>IF(OR($F1454="",$G1454=""),"",IF(ISNUMBER(Sync!$AG1454),INT(MOD(Sync!$AG1454,10000)/100),IFERROR(VALUE(TRIM(LEFT(MID(Sync!$AG1454,FIND("/",Sync!$AG1454)+1,20),FIND("/",MID(Sync!$AG1454,FIND("/",Sync!$AG1454)+1,20))-1))),"")))</f>
        <v/>
      </c>
      <c r="I1454">
        <f>IF(OR($F1454="",$G1454=""),"",IF(ISNUMBER(Sync!$AG1454),MOD(Sync!$AG1454,100),IFERROR(VALUE(TRIM(MID(MID(Sync!$AG1454,FIND("/",Sync!$AG1454)+1,20),FIND("/",MID(Sync!$AG1454,FIND("/",Sync!$AG1454)+1,20))+1,20))),"")))</f>
        <v/>
      </c>
      <c r="J1454">
        <f>IF($F1454="","",IF(OR($G1454="",$H1454="",$I1454="",$G1454&lt;1300,$G1454&gt;1500,$H1454&lt;1,$H1454&gt;12,$I1454&lt;1,$I1454&gt;31),"نامعتبر",RIGHT("0000"&amp;$G1454,4)&amp;"/"&amp;RIGHT("00"&amp;$H1454,2)&amp;"/"&amp;RIGHT("00"&amp;$I1454,2)))</f>
        <v/>
      </c>
      <c r="K1454">
        <f>IF(OR($F1454="",$J1454="",$J1454="نامعتبر"),"",LEFT($J1454,4)&amp;MID($J1454,6,2)&amp;RIGHT($J1454,2)&amp;$N1454&amp;"|"&amp;"2"&amp;RIGHT("00000"&amp;1449,5))</f>
        <v/>
      </c>
      <c r="L1454">
        <f>IF($K1454="","",COUNTIFS(LdgPartyA,$F1454,LdgKeyA,"&lt;"&amp;$K1454)+COUNTIFS(LdgPartyB,$F1454,LdgKeyB,"&lt;"&amp;$K1454)+1)</f>
        <v/>
      </c>
      <c r="M1454">
        <f>IF($L1454="","",$F1454&amp;"|"&amp;RIGHT("000000"&amp;$L1454,6))</f>
        <v/>
      </c>
      <c r="N1454">
        <f>IF($F1454="","",IF(Sync!$AH1454="","0000",IF(AND(ISNUMBER(Sync!$AH1454),Sync!$AH1454&gt;=0,Sync!$AH1454&lt;1),RIGHT("00"&amp;HOUR(Sync!$AH1454),2)&amp;RIGHT("00"&amp;MINUTE(Sync!$AH1454),2),IFERROR(RIGHT("00"&amp;VALUE(LEFT(Sync!$AH1454,FIND(":",Sync!$AH1454)-1)),2)&amp;RIGHT("00"&amp;VALUE(MID(Sync!$AH1454,FIND(":",Sync!$AH1454)+1,2)),2),"0000"))))</f>
        <v/>
      </c>
    </row>
    <row r="1455">
      <c r="A1455">
        <f>IF(OR(Calc!$E1458="",Calc!$E1458="نامعتبر",Calc!$G1458="",Calc!$I1458&lt;&gt;"خرید"),"",Calc!$G1458)</f>
        <v/>
      </c>
      <c r="B1455">
        <f>IF($A1455="","",LEFT(Calc!$E1458,4)&amp;MID(Calc!$E1458,6,2)&amp;RIGHT(Calc!$E1458,2)&amp;Calc!$R1458&amp;"|"&amp;"1"&amp;RIGHT("00000"&amp;1450,5))</f>
        <v/>
      </c>
      <c r="C1455">
        <f>IF($B1455="","",COUNTIFS(LdgPartyA,$A1455,LdgKeyA,"&lt;"&amp;$B1455)+COUNTIFS(LdgPartyB,$A1455,LdgKeyB,"&lt;"&amp;$B1455)+1)</f>
        <v/>
      </c>
      <c r="D1455">
        <f>IF($C1455="","",$A1455&amp;"|"&amp;RIGHT("000000"&amp;$C1455,6))</f>
        <v/>
      </c>
      <c r="F1455">
        <f>IF(Sync!$AJ1455="","",Sync!$AJ1455)</f>
        <v/>
      </c>
      <c r="G1455">
        <f>IF($F1455="","",IF(Sync!$AG1455="","",IF(ISNUMBER(Sync!$AG1455),IF(AND(Sync!$AG1455&gt;=10000101,Sync!$AG1455&lt;=99991231),INT(Sync!$AG1455/10000),""),IFERROR(VALUE(TRIM(LEFT(Sync!$AG1455,FIND("/",Sync!$AG1455)-1))),""))))</f>
        <v/>
      </c>
      <c r="H1455">
        <f>IF(OR($F1455="",$G1455=""),"",IF(ISNUMBER(Sync!$AG1455),INT(MOD(Sync!$AG1455,10000)/100),IFERROR(VALUE(TRIM(LEFT(MID(Sync!$AG1455,FIND("/",Sync!$AG1455)+1,20),FIND("/",MID(Sync!$AG1455,FIND("/",Sync!$AG1455)+1,20))-1))),"")))</f>
        <v/>
      </c>
      <c r="I1455">
        <f>IF(OR($F1455="",$G1455=""),"",IF(ISNUMBER(Sync!$AG1455),MOD(Sync!$AG1455,100),IFERROR(VALUE(TRIM(MID(MID(Sync!$AG1455,FIND("/",Sync!$AG1455)+1,20),FIND("/",MID(Sync!$AG1455,FIND("/",Sync!$AG1455)+1,20))+1,20))),"")))</f>
        <v/>
      </c>
      <c r="J1455">
        <f>IF($F1455="","",IF(OR($G1455="",$H1455="",$I1455="",$G1455&lt;1300,$G1455&gt;1500,$H1455&lt;1,$H1455&gt;12,$I1455&lt;1,$I1455&gt;31),"نامعتبر",RIGHT("0000"&amp;$G1455,4)&amp;"/"&amp;RIGHT("00"&amp;$H1455,2)&amp;"/"&amp;RIGHT("00"&amp;$I1455,2)))</f>
        <v/>
      </c>
      <c r="K1455">
        <f>IF(OR($F1455="",$J1455="",$J1455="نامعتبر"),"",LEFT($J1455,4)&amp;MID($J1455,6,2)&amp;RIGHT($J1455,2)&amp;$N1455&amp;"|"&amp;"2"&amp;RIGHT("00000"&amp;1450,5))</f>
        <v/>
      </c>
      <c r="L1455">
        <f>IF($K1455="","",COUNTIFS(LdgPartyA,$F1455,LdgKeyA,"&lt;"&amp;$K1455)+COUNTIFS(LdgPartyB,$F1455,LdgKeyB,"&lt;"&amp;$K1455)+1)</f>
        <v/>
      </c>
      <c r="M1455">
        <f>IF($L1455="","",$F1455&amp;"|"&amp;RIGHT("000000"&amp;$L1455,6))</f>
        <v/>
      </c>
      <c r="N1455">
        <f>IF($F1455="","",IF(Sync!$AH1455="","0000",IF(AND(ISNUMBER(Sync!$AH1455),Sync!$AH1455&gt;=0,Sync!$AH1455&lt;1),RIGHT("00"&amp;HOUR(Sync!$AH1455),2)&amp;RIGHT("00"&amp;MINUTE(Sync!$AH1455),2),IFERROR(RIGHT("00"&amp;VALUE(LEFT(Sync!$AH1455,FIND(":",Sync!$AH1455)-1)),2)&amp;RIGHT("00"&amp;VALUE(MID(Sync!$AH1455,FIND(":",Sync!$AH1455)+1,2)),2),"0000"))))</f>
        <v/>
      </c>
    </row>
    <row r="1456">
      <c r="A1456">
        <f>IF(OR(Calc!$E1459="",Calc!$E1459="نامعتبر",Calc!$G1459="",Calc!$I1459&lt;&gt;"خرید"),"",Calc!$G1459)</f>
        <v/>
      </c>
      <c r="B1456">
        <f>IF($A1456="","",LEFT(Calc!$E1459,4)&amp;MID(Calc!$E1459,6,2)&amp;RIGHT(Calc!$E1459,2)&amp;Calc!$R1459&amp;"|"&amp;"1"&amp;RIGHT("00000"&amp;1451,5))</f>
        <v/>
      </c>
      <c r="C1456">
        <f>IF($B1456="","",COUNTIFS(LdgPartyA,$A1456,LdgKeyA,"&lt;"&amp;$B1456)+COUNTIFS(LdgPartyB,$A1456,LdgKeyB,"&lt;"&amp;$B1456)+1)</f>
        <v/>
      </c>
      <c r="D1456">
        <f>IF($C1456="","",$A1456&amp;"|"&amp;RIGHT("000000"&amp;$C1456,6))</f>
        <v/>
      </c>
      <c r="F1456">
        <f>IF(Sync!$AJ1456="","",Sync!$AJ1456)</f>
        <v/>
      </c>
      <c r="G1456">
        <f>IF($F1456="","",IF(Sync!$AG1456="","",IF(ISNUMBER(Sync!$AG1456),IF(AND(Sync!$AG1456&gt;=10000101,Sync!$AG1456&lt;=99991231),INT(Sync!$AG1456/10000),""),IFERROR(VALUE(TRIM(LEFT(Sync!$AG1456,FIND("/",Sync!$AG1456)-1))),""))))</f>
        <v/>
      </c>
      <c r="H1456">
        <f>IF(OR($F1456="",$G1456=""),"",IF(ISNUMBER(Sync!$AG1456),INT(MOD(Sync!$AG1456,10000)/100),IFERROR(VALUE(TRIM(LEFT(MID(Sync!$AG1456,FIND("/",Sync!$AG1456)+1,20),FIND("/",MID(Sync!$AG1456,FIND("/",Sync!$AG1456)+1,20))-1))),"")))</f>
        <v/>
      </c>
      <c r="I1456">
        <f>IF(OR($F1456="",$G1456=""),"",IF(ISNUMBER(Sync!$AG1456),MOD(Sync!$AG1456,100),IFERROR(VALUE(TRIM(MID(MID(Sync!$AG1456,FIND("/",Sync!$AG1456)+1,20),FIND("/",MID(Sync!$AG1456,FIND("/",Sync!$AG1456)+1,20))+1,20))),"")))</f>
        <v/>
      </c>
      <c r="J1456">
        <f>IF($F1456="","",IF(OR($G1456="",$H1456="",$I1456="",$G1456&lt;1300,$G1456&gt;1500,$H1456&lt;1,$H1456&gt;12,$I1456&lt;1,$I1456&gt;31),"نامعتبر",RIGHT("0000"&amp;$G1456,4)&amp;"/"&amp;RIGHT("00"&amp;$H1456,2)&amp;"/"&amp;RIGHT("00"&amp;$I1456,2)))</f>
        <v/>
      </c>
      <c r="K1456">
        <f>IF(OR($F1456="",$J1456="",$J1456="نامعتبر"),"",LEFT($J1456,4)&amp;MID($J1456,6,2)&amp;RIGHT($J1456,2)&amp;$N1456&amp;"|"&amp;"2"&amp;RIGHT("00000"&amp;1451,5))</f>
        <v/>
      </c>
      <c r="L1456">
        <f>IF($K1456="","",COUNTIFS(LdgPartyA,$F1456,LdgKeyA,"&lt;"&amp;$K1456)+COUNTIFS(LdgPartyB,$F1456,LdgKeyB,"&lt;"&amp;$K1456)+1)</f>
        <v/>
      </c>
      <c r="M1456">
        <f>IF($L1456="","",$F1456&amp;"|"&amp;RIGHT("000000"&amp;$L1456,6))</f>
        <v/>
      </c>
      <c r="N1456">
        <f>IF($F1456="","",IF(Sync!$AH1456="","0000",IF(AND(ISNUMBER(Sync!$AH1456),Sync!$AH1456&gt;=0,Sync!$AH1456&lt;1),RIGHT("00"&amp;HOUR(Sync!$AH1456),2)&amp;RIGHT("00"&amp;MINUTE(Sync!$AH1456),2),IFERROR(RIGHT("00"&amp;VALUE(LEFT(Sync!$AH1456,FIND(":",Sync!$AH1456)-1)),2)&amp;RIGHT("00"&amp;VALUE(MID(Sync!$AH1456,FIND(":",Sync!$AH1456)+1,2)),2),"0000"))))</f>
        <v/>
      </c>
    </row>
    <row r="1457">
      <c r="A1457">
        <f>IF(OR(Calc!$E1460="",Calc!$E1460="نامعتبر",Calc!$G1460="",Calc!$I1460&lt;&gt;"خرید"),"",Calc!$G1460)</f>
        <v/>
      </c>
      <c r="B1457">
        <f>IF($A1457="","",LEFT(Calc!$E1460,4)&amp;MID(Calc!$E1460,6,2)&amp;RIGHT(Calc!$E1460,2)&amp;Calc!$R1460&amp;"|"&amp;"1"&amp;RIGHT("00000"&amp;1452,5))</f>
        <v/>
      </c>
      <c r="C1457">
        <f>IF($B1457="","",COUNTIFS(LdgPartyA,$A1457,LdgKeyA,"&lt;"&amp;$B1457)+COUNTIFS(LdgPartyB,$A1457,LdgKeyB,"&lt;"&amp;$B1457)+1)</f>
        <v/>
      </c>
      <c r="D1457">
        <f>IF($C1457="","",$A1457&amp;"|"&amp;RIGHT("000000"&amp;$C1457,6))</f>
        <v/>
      </c>
      <c r="F1457">
        <f>IF(Sync!$AJ1457="","",Sync!$AJ1457)</f>
        <v/>
      </c>
      <c r="G1457">
        <f>IF($F1457="","",IF(Sync!$AG1457="","",IF(ISNUMBER(Sync!$AG1457),IF(AND(Sync!$AG1457&gt;=10000101,Sync!$AG1457&lt;=99991231),INT(Sync!$AG1457/10000),""),IFERROR(VALUE(TRIM(LEFT(Sync!$AG1457,FIND("/",Sync!$AG1457)-1))),""))))</f>
        <v/>
      </c>
      <c r="H1457">
        <f>IF(OR($F1457="",$G1457=""),"",IF(ISNUMBER(Sync!$AG1457),INT(MOD(Sync!$AG1457,10000)/100),IFERROR(VALUE(TRIM(LEFT(MID(Sync!$AG1457,FIND("/",Sync!$AG1457)+1,20),FIND("/",MID(Sync!$AG1457,FIND("/",Sync!$AG1457)+1,20))-1))),"")))</f>
        <v/>
      </c>
      <c r="I1457">
        <f>IF(OR($F1457="",$G1457=""),"",IF(ISNUMBER(Sync!$AG1457),MOD(Sync!$AG1457,100),IFERROR(VALUE(TRIM(MID(MID(Sync!$AG1457,FIND("/",Sync!$AG1457)+1,20),FIND("/",MID(Sync!$AG1457,FIND("/",Sync!$AG1457)+1,20))+1,20))),"")))</f>
        <v/>
      </c>
      <c r="J1457">
        <f>IF($F1457="","",IF(OR($G1457="",$H1457="",$I1457="",$G1457&lt;1300,$G1457&gt;1500,$H1457&lt;1,$H1457&gt;12,$I1457&lt;1,$I1457&gt;31),"نامعتبر",RIGHT("0000"&amp;$G1457,4)&amp;"/"&amp;RIGHT("00"&amp;$H1457,2)&amp;"/"&amp;RIGHT("00"&amp;$I1457,2)))</f>
        <v/>
      </c>
      <c r="K1457">
        <f>IF(OR($F1457="",$J1457="",$J1457="نامعتبر"),"",LEFT($J1457,4)&amp;MID($J1457,6,2)&amp;RIGHT($J1457,2)&amp;$N1457&amp;"|"&amp;"2"&amp;RIGHT("00000"&amp;1452,5))</f>
        <v/>
      </c>
      <c r="L1457">
        <f>IF($K1457="","",COUNTIFS(LdgPartyA,$F1457,LdgKeyA,"&lt;"&amp;$K1457)+COUNTIFS(LdgPartyB,$F1457,LdgKeyB,"&lt;"&amp;$K1457)+1)</f>
        <v/>
      </c>
      <c r="M1457">
        <f>IF($L1457="","",$F1457&amp;"|"&amp;RIGHT("000000"&amp;$L1457,6))</f>
        <v/>
      </c>
      <c r="N1457">
        <f>IF($F1457="","",IF(Sync!$AH1457="","0000",IF(AND(ISNUMBER(Sync!$AH1457),Sync!$AH1457&gt;=0,Sync!$AH1457&lt;1),RIGHT("00"&amp;HOUR(Sync!$AH1457),2)&amp;RIGHT("00"&amp;MINUTE(Sync!$AH1457),2),IFERROR(RIGHT("00"&amp;VALUE(LEFT(Sync!$AH1457,FIND(":",Sync!$AH1457)-1)),2)&amp;RIGHT("00"&amp;VALUE(MID(Sync!$AH1457,FIND(":",Sync!$AH1457)+1,2)),2),"0000"))))</f>
        <v/>
      </c>
    </row>
    <row r="1458">
      <c r="A1458">
        <f>IF(OR(Calc!$E1461="",Calc!$E1461="نامعتبر",Calc!$G1461="",Calc!$I1461&lt;&gt;"خرید"),"",Calc!$G1461)</f>
        <v/>
      </c>
      <c r="B1458">
        <f>IF($A1458="","",LEFT(Calc!$E1461,4)&amp;MID(Calc!$E1461,6,2)&amp;RIGHT(Calc!$E1461,2)&amp;Calc!$R1461&amp;"|"&amp;"1"&amp;RIGHT("00000"&amp;1453,5))</f>
        <v/>
      </c>
      <c r="C1458">
        <f>IF($B1458="","",COUNTIFS(LdgPartyA,$A1458,LdgKeyA,"&lt;"&amp;$B1458)+COUNTIFS(LdgPartyB,$A1458,LdgKeyB,"&lt;"&amp;$B1458)+1)</f>
        <v/>
      </c>
      <c r="D1458">
        <f>IF($C1458="","",$A1458&amp;"|"&amp;RIGHT("000000"&amp;$C1458,6))</f>
        <v/>
      </c>
      <c r="F1458">
        <f>IF(Sync!$AJ1458="","",Sync!$AJ1458)</f>
        <v/>
      </c>
      <c r="G1458">
        <f>IF($F1458="","",IF(Sync!$AG1458="","",IF(ISNUMBER(Sync!$AG1458),IF(AND(Sync!$AG1458&gt;=10000101,Sync!$AG1458&lt;=99991231),INT(Sync!$AG1458/10000),""),IFERROR(VALUE(TRIM(LEFT(Sync!$AG1458,FIND("/",Sync!$AG1458)-1))),""))))</f>
        <v/>
      </c>
      <c r="H1458">
        <f>IF(OR($F1458="",$G1458=""),"",IF(ISNUMBER(Sync!$AG1458),INT(MOD(Sync!$AG1458,10000)/100),IFERROR(VALUE(TRIM(LEFT(MID(Sync!$AG1458,FIND("/",Sync!$AG1458)+1,20),FIND("/",MID(Sync!$AG1458,FIND("/",Sync!$AG1458)+1,20))-1))),"")))</f>
        <v/>
      </c>
      <c r="I1458">
        <f>IF(OR($F1458="",$G1458=""),"",IF(ISNUMBER(Sync!$AG1458),MOD(Sync!$AG1458,100),IFERROR(VALUE(TRIM(MID(MID(Sync!$AG1458,FIND("/",Sync!$AG1458)+1,20),FIND("/",MID(Sync!$AG1458,FIND("/",Sync!$AG1458)+1,20))+1,20))),"")))</f>
        <v/>
      </c>
      <c r="J1458">
        <f>IF($F1458="","",IF(OR($G1458="",$H1458="",$I1458="",$G1458&lt;1300,$G1458&gt;1500,$H1458&lt;1,$H1458&gt;12,$I1458&lt;1,$I1458&gt;31),"نامعتبر",RIGHT("0000"&amp;$G1458,4)&amp;"/"&amp;RIGHT("00"&amp;$H1458,2)&amp;"/"&amp;RIGHT("00"&amp;$I1458,2)))</f>
        <v/>
      </c>
      <c r="K1458">
        <f>IF(OR($F1458="",$J1458="",$J1458="نامعتبر"),"",LEFT($J1458,4)&amp;MID($J1458,6,2)&amp;RIGHT($J1458,2)&amp;$N1458&amp;"|"&amp;"2"&amp;RIGHT("00000"&amp;1453,5))</f>
        <v/>
      </c>
      <c r="L1458">
        <f>IF($K1458="","",COUNTIFS(LdgPartyA,$F1458,LdgKeyA,"&lt;"&amp;$K1458)+COUNTIFS(LdgPartyB,$F1458,LdgKeyB,"&lt;"&amp;$K1458)+1)</f>
        <v/>
      </c>
      <c r="M1458">
        <f>IF($L1458="","",$F1458&amp;"|"&amp;RIGHT("000000"&amp;$L1458,6))</f>
        <v/>
      </c>
      <c r="N1458">
        <f>IF($F1458="","",IF(Sync!$AH1458="","0000",IF(AND(ISNUMBER(Sync!$AH1458),Sync!$AH1458&gt;=0,Sync!$AH1458&lt;1),RIGHT("00"&amp;HOUR(Sync!$AH1458),2)&amp;RIGHT("00"&amp;MINUTE(Sync!$AH1458),2),IFERROR(RIGHT("00"&amp;VALUE(LEFT(Sync!$AH1458,FIND(":",Sync!$AH1458)-1)),2)&amp;RIGHT("00"&amp;VALUE(MID(Sync!$AH1458,FIND(":",Sync!$AH1458)+1,2)),2),"0000"))))</f>
        <v/>
      </c>
    </row>
    <row r="1459">
      <c r="A1459">
        <f>IF(OR(Calc!$E1462="",Calc!$E1462="نامعتبر",Calc!$G1462="",Calc!$I1462&lt;&gt;"خرید"),"",Calc!$G1462)</f>
        <v/>
      </c>
      <c r="B1459">
        <f>IF($A1459="","",LEFT(Calc!$E1462,4)&amp;MID(Calc!$E1462,6,2)&amp;RIGHT(Calc!$E1462,2)&amp;Calc!$R1462&amp;"|"&amp;"1"&amp;RIGHT("00000"&amp;1454,5))</f>
        <v/>
      </c>
      <c r="C1459">
        <f>IF($B1459="","",COUNTIFS(LdgPartyA,$A1459,LdgKeyA,"&lt;"&amp;$B1459)+COUNTIFS(LdgPartyB,$A1459,LdgKeyB,"&lt;"&amp;$B1459)+1)</f>
        <v/>
      </c>
      <c r="D1459">
        <f>IF($C1459="","",$A1459&amp;"|"&amp;RIGHT("000000"&amp;$C1459,6))</f>
        <v/>
      </c>
      <c r="F1459">
        <f>IF(Sync!$AJ1459="","",Sync!$AJ1459)</f>
        <v/>
      </c>
      <c r="G1459">
        <f>IF($F1459="","",IF(Sync!$AG1459="","",IF(ISNUMBER(Sync!$AG1459),IF(AND(Sync!$AG1459&gt;=10000101,Sync!$AG1459&lt;=99991231),INT(Sync!$AG1459/10000),""),IFERROR(VALUE(TRIM(LEFT(Sync!$AG1459,FIND("/",Sync!$AG1459)-1))),""))))</f>
        <v/>
      </c>
      <c r="H1459">
        <f>IF(OR($F1459="",$G1459=""),"",IF(ISNUMBER(Sync!$AG1459),INT(MOD(Sync!$AG1459,10000)/100),IFERROR(VALUE(TRIM(LEFT(MID(Sync!$AG1459,FIND("/",Sync!$AG1459)+1,20),FIND("/",MID(Sync!$AG1459,FIND("/",Sync!$AG1459)+1,20))-1))),"")))</f>
        <v/>
      </c>
      <c r="I1459">
        <f>IF(OR($F1459="",$G1459=""),"",IF(ISNUMBER(Sync!$AG1459),MOD(Sync!$AG1459,100),IFERROR(VALUE(TRIM(MID(MID(Sync!$AG1459,FIND("/",Sync!$AG1459)+1,20),FIND("/",MID(Sync!$AG1459,FIND("/",Sync!$AG1459)+1,20))+1,20))),"")))</f>
        <v/>
      </c>
      <c r="J1459">
        <f>IF($F1459="","",IF(OR($G1459="",$H1459="",$I1459="",$G1459&lt;1300,$G1459&gt;1500,$H1459&lt;1,$H1459&gt;12,$I1459&lt;1,$I1459&gt;31),"نامعتبر",RIGHT("0000"&amp;$G1459,4)&amp;"/"&amp;RIGHT("00"&amp;$H1459,2)&amp;"/"&amp;RIGHT("00"&amp;$I1459,2)))</f>
        <v/>
      </c>
      <c r="K1459">
        <f>IF(OR($F1459="",$J1459="",$J1459="نامعتبر"),"",LEFT($J1459,4)&amp;MID($J1459,6,2)&amp;RIGHT($J1459,2)&amp;$N1459&amp;"|"&amp;"2"&amp;RIGHT("00000"&amp;1454,5))</f>
        <v/>
      </c>
      <c r="L1459">
        <f>IF($K1459="","",COUNTIFS(LdgPartyA,$F1459,LdgKeyA,"&lt;"&amp;$K1459)+COUNTIFS(LdgPartyB,$F1459,LdgKeyB,"&lt;"&amp;$K1459)+1)</f>
        <v/>
      </c>
      <c r="M1459">
        <f>IF($L1459="","",$F1459&amp;"|"&amp;RIGHT("000000"&amp;$L1459,6))</f>
        <v/>
      </c>
      <c r="N1459">
        <f>IF($F1459="","",IF(Sync!$AH1459="","0000",IF(AND(ISNUMBER(Sync!$AH1459),Sync!$AH1459&gt;=0,Sync!$AH1459&lt;1),RIGHT("00"&amp;HOUR(Sync!$AH1459),2)&amp;RIGHT("00"&amp;MINUTE(Sync!$AH1459),2),IFERROR(RIGHT("00"&amp;VALUE(LEFT(Sync!$AH1459,FIND(":",Sync!$AH1459)-1)),2)&amp;RIGHT("00"&amp;VALUE(MID(Sync!$AH1459,FIND(":",Sync!$AH1459)+1,2)),2),"0000"))))</f>
        <v/>
      </c>
    </row>
    <row r="1460">
      <c r="A1460">
        <f>IF(OR(Calc!$E1463="",Calc!$E1463="نامعتبر",Calc!$G1463="",Calc!$I1463&lt;&gt;"خرید"),"",Calc!$G1463)</f>
        <v/>
      </c>
      <c r="B1460">
        <f>IF($A1460="","",LEFT(Calc!$E1463,4)&amp;MID(Calc!$E1463,6,2)&amp;RIGHT(Calc!$E1463,2)&amp;Calc!$R1463&amp;"|"&amp;"1"&amp;RIGHT("00000"&amp;1455,5))</f>
        <v/>
      </c>
      <c r="C1460">
        <f>IF($B1460="","",COUNTIFS(LdgPartyA,$A1460,LdgKeyA,"&lt;"&amp;$B1460)+COUNTIFS(LdgPartyB,$A1460,LdgKeyB,"&lt;"&amp;$B1460)+1)</f>
        <v/>
      </c>
      <c r="D1460">
        <f>IF($C1460="","",$A1460&amp;"|"&amp;RIGHT("000000"&amp;$C1460,6))</f>
        <v/>
      </c>
      <c r="F1460">
        <f>IF(Sync!$AJ1460="","",Sync!$AJ1460)</f>
        <v/>
      </c>
      <c r="G1460">
        <f>IF($F1460="","",IF(Sync!$AG1460="","",IF(ISNUMBER(Sync!$AG1460),IF(AND(Sync!$AG1460&gt;=10000101,Sync!$AG1460&lt;=99991231),INT(Sync!$AG1460/10000),""),IFERROR(VALUE(TRIM(LEFT(Sync!$AG1460,FIND("/",Sync!$AG1460)-1))),""))))</f>
        <v/>
      </c>
      <c r="H1460">
        <f>IF(OR($F1460="",$G1460=""),"",IF(ISNUMBER(Sync!$AG1460),INT(MOD(Sync!$AG1460,10000)/100),IFERROR(VALUE(TRIM(LEFT(MID(Sync!$AG1460,FIND("/",Sync!$AG1460)+1,20),FIND("/",MID(Sync!$AG1460,FIND("/",Sync!$AG1460)+1,20))-1))),"")))</f>
        <v/>
      </c>
      <c r="I1460">
        <f>IF(OR($F1460="",$G1460=""),"",IF(ISNUMBER(Sync!$AG1460),MOD(Sync!$AG1460,100),IFERROR(VALUE(TRIM(MID(MID(Sync!$AG1460,FIND("/",Sync!$AG1460)+1,20),FIND("/",MID(Sync!$AG1460,FIND("/",Sync!$AG1460)+1,20))+1,20))),"")))</f>
        <v/>
      </c>
      <c r="J1460">
        <f>IF($F1460="","",IF(OR($G1460="",$H1460="",$I1460="",$G1460&lt;1300,$G1460&gt;1500,$H1460&lt;1,$H1460&gt;12,$I1460&lt;1,$I1460&gt;31),"نامعتبر",RIGHT("0000"&amp;$G1460,4)&amp;"/"&amp;RIGHT("00"&amp;$H1460,2)&amp;"/"&amp;RIGHT("00"&amp;$I1460,2)))</f>
        <v/>
      </c>
      <c r="K1460">
        <f>IF(OR($F1460="",$J1460="",$J1460="نامعتبر"),"",LEFT($J1460,4)&amp;MID($J1460,6,2)&amp;RIGHT($J1460,2)&amp;$N1460&amp;"|"&amp;"2"&amp;RIGHT("00000"&amp;1455,5))</f>
        <v/>
      </c>
      <c r="L1460">
        <f>IF($K1460="","",COUNTIFS(LdgPartyA,$F1460,LdgKeyA,"&lt;"&amp;$K1460)+COUNTIFS(LdgPartyB,$F1460,LdgKeyB,"&lt;"&amp;$K1460)+1)</f>
        <v/>
      </c>
      <c r="M1460">
        <f>IF($L1460="","",$F1460&amp;"|"&amp;RIGHT("000000"&amp;$L1460,6))</f>
        <v/>
      </c>
      <c r="N1460">
        <f>IF($F1460="","",IF(Sync!$AH1460="","0000",IF(AND(ISNUMBER(Sync!$AH1460),Sync!$AH1460&gt;=0,Sync!$AH1460&lt;1),RIGHT("00"&amp;HOUR(Sync!$AH1460),2)&amp;RIGHT("00"&amp;MINUTE(Sync!$AH1460),2),IFERROR(RIGHT("00"&amp;VALUE(LEFT(Sync!$AH1460,FIND(":",Sync!$AH1460)-1)),2)&amp;RIGHT("00"&amp;VALUE(MID(Sync!$AH1460,FIND(":",Sync!$AH1460)+1,2)),2),"0000"))))</f>
        <v/>
      </c>
    </row>
    <row r="1461">
      <c r="A1461">
        <f>IF(OR(Calc!$E1464="",Calc!$E1464="نامعتبر",Calc!$G1464="",Calc!$I1464&lt;&gt;"خرید"),"",Calc!$G1464)</f>
        <v/>
      </c>
      <c r="B1461">
        <f>IF($A1461="","",LEFT(Calc!$E1464,4)&amp;MID(Calc!$E1464,6,2)&amp;RIGHT(Calc!$E1464,2)&amp;Calc!$R1464&amp;"|"&amp;"1"&amp;RIGHT("00000"&amp;1456,5))</f>
        <v/>
      </c>
      <c r="C1461">
        <f>IF($B1461="","",COUNTIFS(LdgPartyA,$A1461,LdgKeyA,"&lt;"&amp;$B1461)+COUNTIFS(LdgPartyB,$A1461,LdgKeyB,"&lt;"&amp;$B1461)+1)</f>
        <v/>
      </c>
      <c r="D1461">
        <f>IF($C1461="","",$A1461&amp;"|"&amp;RIGHT("000000"&amp;$C1461,6))</f>
        <v/>
      </c>
      <c r="F1461">
        <f>IF(Sync!$AJ1461="","",Sync!$AJ1461)</f>
        <v/>
      </c>
      <c r="G1461">
        <f>IF($F1461="","",IF(Sync!$AG1461="","",IF(ISNUMBER(Sync!$AG1461),IF(AND(Sync!$AG1461&gt;=10000101,Sync!$AG1461&lt;=99991231),INT(Sync!$AG1461/10000),""),IFERROR(VALUE(TRIM(LEFT(Sync!$AG1461,FIND("/",Sync!$AG1461)-1))),""))))</f>
        <v/>
      </c>
      <c r="H1461">
        <f>IF(OR($F1461="",$G1461=""),"",IF(ISNUMBER(Sync!$AG1461),INT(MOD(Sync!$AG1461,10000)/100),IFERROR(VALUE(TRIM(LEFT(MID(Sync!$AG1461,FIND("/",Sync!$AG1461)+1,20),FIND("/",MID(Sync!$AG1461,FIND("/",Sync!$AG1461)+1,20))-1))),"")))</f>
        <v/>
      </c>
      <c r="I1461">
        <f>IF(OR($F1461="",$G1461=""),"",IF(ISNUMBER(Sync!$AG1461),MOD(Sync!$AG1461,100),IFERROR(VALUE(TRIM(MID(MID(Sync!$AG1461,FIND("/",Sync!$AG1461)+1,20),FIND("/",MID(Sync!$AG1461,FIND("/",Sync!$AG1461)+1,20))+1,20))),"")))</f>
        <v/>
      </c>
      <c r="J1461">
        <f>IF($F1461="","",IF(OR($G1461="",$H1461="",$I1461="",$G1461&lt;1300,$G1461&gt;1500,$H1461&lt;1,$H1461&gt;12,$I1461&lt;1,$I1461&gt;31),"نامعتبر",RIGHT("0000"&amp;$G1461,4)&amp;"/"&amp;RIGHT("00"&amp;$H1461,2)&amp;"/"&amp;RIGHT("00"&amp;$I1461,2)))</f>
        <v/>
      </c>
      <c r="K1461">
        <f>IF(OR($F1461="",$J1461="",$J1461="نامعتبر"),"",LEFT($J1461,4)&amp;MID($J1461,6,2)&amp;RIGHT($J1461,2)&amp;$N1461&amp;"|"&amp;"2"&amp;RIGHT("00000"&amp;1456,5))</f>
        <v/>
      </c>
      <c r="L1461">
        <f>IF($K1461="","",COUNTIFS(LdgPartyA,$F1461,LdgKeyA,"&lt;"&amp;$K1461)+COUNTIFS(LdgPartyB,$F1461,LdgKeyB,"&lt;"&amp;$K1461)+1)</f>
        <v/>
      </c>
      <c r="M1461">
        <f>IF($L1461="","",$F1461&amp;"|"&amp;RIGHT("000000"&amp;$L1461,6))</f>
        <v/>
      </c>
      <c r="N1461">
        <f>IF($F1461="","",IF(Sync!$AH1461="","0000",IF(AND(ISNUMBER(Sync!$AH1461),Sync!$AH1461&gt;=0,Sync!$AH1461&lt;1),RIGHT("00"&amp;HOUR(Sync!$AH1461),2)&amp;RIGHT("00"&amp;MINUTE(Sync!$AH1461),2),IFERROR(RIGHT("00"&amp;VALUE(LEFT(Sync!$AH1461,FIND(":",Sync!$AH1461)-1)),2)&amp;RIGHT("00"&amp;VALUE(MID(Sync!$AH1461,FIND(":",Sync!$AH1461)+1,2)),2),"0000"))))</f>
        <v/>
      </c>
    </row>
    <row r="1462">
      <c r="A1462">
        <f>IF(OR(Calc!$E1465="",Calc!$E1465="نامعتبر",Calc!$G1465="",Calc!$I1465&lt;&gt;"خرید"),"",Calc!$G1465)</f>
        <v/>
      </c>
      <c r="B1462">
        <f>IF($A1462="","",LEFT(Calc!$E1465,4)&amp;MID(Calc!$E1465,6,2)&amp;RIGHT(Calc!$E1465,2)&amp;Calc!$R1465&amp;"|"&amp;"1"&amp;RIGHT("00000"&amp;1457,5))</f>
        <v/>
      </c>
      <c r="C1462">
        <f>IF($B1462="","",COUNTIFS(LdgPartyA,$A1462,LdgKeyA,"&lt;"&amp;$B1462)+COUNTIFS(LdgPartyB,$A1462,LdgKeyB,"&lt;"&amp;$B1462)+1)</f>
        <v/>
      </c>
      <c r="D1462">
        <f>IF($C1462="","",$A1462&amp;"|"&amp;RIGHT("000000"&amp;$C1462,6))</f>
        <v/>
      </c>
      <c r="F1462">
        <f>IF(Sync!$AJ1462="","",Sync!$AJ1462)</f>
        <v/>
      </c>
      <c r="G1462">
        <f>IF($F1462="","",IF(Sync!$AG1462="","",IF(ISNUMBER(Sync!$AG1462),IF(AND(Sync!$AG1462&gt;=10000101,Sync!$AG1462&lt;=99991231),INT(Sync!$AG1462/10000),""),IFERROR(VALUE(TRIM(LEFT(Sync!$AG1462,FIND("/",Sync!$AG1462)-1))),""))))</f>
        <v/>
      </c>
      <c r="H1462">
        <f>IF(OR($F1462="",$G1462=""),"",IF(ISNUMBER(Sync!$AG1462),INT(MOD(Sync!$AG1462,10000)/100),IFERROR(VALUE(TRIM(LEFT(MID(Sync!$AG1462,FIND("/",Sync!$AG1462)+1,20),FIND("/",MID(Sync!$AG1462,FIND("/",Sync!$AG1462)+1,20))-1))),"")))</f>
        <v/>
      </c>
      <c r="I1462">
        <f>IF(OR($F1462="",$G1462=""),"",IF(ISNUMBER(Sync!$AG1462),MOD(Sync!$AG1462,100),IFERROR(VALUE(TRIM(MID(MID(Sync!$AG1462,FIND("/",Sync!$AG1462)+1,20),FIND("/",MID(Sync!$AG1462,FIND("/",Sync!$AG1462)+1,20))+1,20))),"")))</f>
        <v/>
      </c>
      <c r="J1462">
        <f>IF($F1462="","",IF(OR($G1462="",$H1462="",$I1462="",$G1462&lt;1300,$G1462&gt;1500,$H1462&lt;1,$H1462&gt;12,$I1462&lt;1,$I1462&gt;31),"نامعتبر",RIGHT("0000"&amp;$G1462,4)&amp;"/"&amp;RIGHT("00"&amp;$H1462,2)&amp;"/"&amp;RIGHT("00"&amp;$I1462,2)))</f>
        <v/>
      </c>
      <c r="K1462">
        <f>IF(OR($F1462="",$J1462="",$J1462="نامعتبر"),"",LEFT($J1462,4)&amp;MID($J1462,6,2)&amp;RIGHT($J1462,2)&amp;$N1462&amp;"|"&amp;"2"&amp;RIGHT("00000"&amp;1457,5))</f>
        <v/>
      </c>
      <c r="L1462">
        <f>IF($K1462="","",COUNTIFS(LdgPartyA,$F1462,LdgKeyA,"&lt;"&amp;$K1462)+COUNTIFS(LdgPartyB,$F1462,LdgKeyB,"&lt;"&amp;$K1462)+1)</f>
        <v/>
      </c>
      <c r="M1462">
        <f>IF($L1462="","",$F1462&amp;"|"&amp;RIGHT("000000"&amp;$L1462,6))</f>
        <v/>
      </c>
      <c r="N1462">
        <f>IF($F1462="","",IF(Sync!$AH1462="","0000",IF(AND(ISNUMBER(Sync!$AH1462),Sync!$AH1462&gt;=0,Sync!$AH1462&lt;1),RIGHT("00"&amp;HOUR(Sync!$AH1462),2)&amp;RIGHT("00"&amp;MINUTE(Sync!$AH1462),2),IFERROR(RIGHT("00"&amp;VALUE(LEFT(Sync!$AH1462,FIND(":",Sync!$AH1462)-1)),2)&amp;RIGHT("00"&amp;VALUE(MID(Sync!$AH1462,FIND(":",Sync!$AH1462)+1,2)),2),"0000"))))</f>
        <v/>
      </c>
    </row>
    <row r="1463">
      <c r="A1463">
        <f>IF(OR(Calc!$E1466="",Calc!$E1466="نامعتبر",Calc!$G1466="",Calc!$I1466&lt;&gt;"خرید"),"",Calc!$G1466)</f>
        <v/>
      </c>
      <c r="B1463">
        <f>IF($A1463="","",LEFT(Calc!$E1466,4)&amp;MID(Calc!$E1466,6,2)&amp;RIGHT(Calc!$E1466,2)&amp;Calc!$R1466&amp;"|"&amp;"1"&amp;RIGHT("00000"&amp;1458,5))</f>
        <v/>
      </c>
      <c r="C1463">
        <f>IF($B1463="","",COUNTIFS(LdgPartyA,$A1463,LdgKeyA,"&lt;"&amp;$B1463)+COUNTIFS(LdgPartyB,$A1463,LdgKeyB,"&lt;"&amp;$B1463)+1)</f>
        <v/>
      </c>
      <c r="D1463">
        <f>IF($C1463="","",$A1463&amp;"|"&amp;RIGHT("000000"&amp;$C1463,6))</f>
        <v/>
      </c>
      <c r="F1463">
        <f>IF(Sync!$AJ1463="","",Sync!$AJ1463)</f>
        <v/>
      </c>
      <c r="G1463">
        <f>IF($F1463="","",IF(Sync!$AG1463="","",IF(ISNUMBER(Sync!$AG1463),IF(AND(Sync!$AG1463&gt;=10000101,Sync!$AG1463&lt;=99991231),INT(Sync!$AG1463/10000),""),IFERROR(VALUE(TRIM(LEFT(Sync!$AG1463,FIND("/",Sync!$AG1463)-1))),""))))</f>
        <v/>
      </c>
      <c r="H1463">
        <f>IF(OR($F1463="",$G1463=""),"",IF(ISNUMBER(Sync!$AG1463),INT(MOD(Sync!$AG1463,10000)/100),IFERROR(VALUE(TRIM(LEFT(MID(Sync!$AG1463,FIND("/",Sync!$AG1463)+1,20),FIND("/",MID(Sync!$AG1463,FIND("/",Sync!$AG1463)+1,20))-1))),"")))</f>
        <v/>
      </c>
      <c r="I1463">
        <f>IF(OR($F1463="",$G1463=""),"",IF(ISNUMBER(Sync!$AG1463),MOD(Sync!$AG1463,100),IFERROR(VALUE(TRIM(MID(MID(Sync!$AG1463,FIND("/",Sync!$AG1463)+1,20),FIND("/",MID(Sync!$AG1463,FIND("/",Sync!$AG1463)+1,20))+1,20))),"")))</f>
        <v/>
      </c>
      <c r="J1463">
        <f>IF($F1463="","",IF(OR($G1463="",$H1463="",$I1463="",$G1463&lt;1300,$G1463&gt;1500,$H1463&lt;1,$H1463&gt;12,$I1463&lt;1,$I1463&gt;31),"نامعتبر",RIGHT("0000"&amp;$G1463,4)&amp;"/"&amp;RIGHT("00"&amp;$H1463,2)&amp;"/"&amp;RIGHT("00"&amp;$I1463,2)))</f>
        <v/>
      </c>
      <c r="K1463">
        <f>IF(OR($F1463="",$J1463="",$J1463="نامعتبر"),"",LEFT($J1463,4)&amp;MID($J1463,6,2)&amp;RIGHT($J1463,2)&amp;$N1463&amp;"|"&amp;"2"&amp;RIGHT("00000"&amp;1458,5))</f>
        <v/>
      </c>
      <c r="L1463">
        <f>IF($K1463="","",COUNTIFS(LdgPartyA,$F1463,LdgKeyA,"&lt;"&amp;$K1463)+COUNTIFS(LdgPartyB,$F1463,LdgKeyB,"&lt;"&amp;$K1463)+1)</f>
        <v/>
      </c>
      <c r="M1463">
        <f>IF($L1463="","",$F1463&amp;"|"&amp;RIGHT("000000"&amp;$L1463,6))</f>
        <v/>
      </c>
      <c r="N1463">
        <f>IF($F1463="","",IF(Sync!$AH1463="","0000",IF(AND(ISNUMBER(Sync!$AH1463),Sync!$AH1463&gt;=0,Sync!$AH1463&lt;1),RIGHT("00"&amp;HOUR(Sync!$AH1463),2)&amp;RIGHT("00"&amp;MINUTE(Sync!$AH1463),2),IFERROR(RIGHT("00"&amp;VALUE(LEFT(Sync!$AH1463,FIND(":",Sync!$AH1463)-1)),2)&amp;RIGHT("00"&amp;VALUE(MID(Sync!$AH1463,FIND(":",Sync!$AH1463)+1,2)),2),"0000"))))</f>
        <v/>
      </c>
    </row>
    <row r="1464">
      <c r="A1464">
        <f>IF(OR(Calc!$E1467="",Calc!$E1467="نامعتبر",Calc!$G1467="",Calc!$I1467&lt;&gt;"خرید"),"",Calc!$G1467)</f>
        <v/>
      </c>
      <c r="B1464">
        <f>IF($A1464="","",LEFT(Calc!$E1467,4)&amp;MID(Calc!$E1467,6,2)&amp;RIGHT(Calc!$E1467,2)&amp;Calc!$R1467&amp;"|"&amp;"1"&amp;RIGHT("00000"&amp;1459,5))</f>
        <v/>
      </c>
      <c r="C1464">
        <f>IF($B1464="","",COUNTIFS(LdgPartyA,$A1464,LdgKeyA,"&lt;"&amp;$B1464)+COUNTIFS(LdgPartyB,$A1464,LdgKeyB,"&lt;"&amp;$B1464)+1)</f>
        <v/>
      </c>
      <c r="D1464">
        <f>IF($C1464="","",$A1464&amp;"|"&amp;RIGHT("000000"&amp;$C1464,6))</f>
        <v/>
      </c>
      <c r="F1464">
        <f>IF(Sync!$AJ1464="","",Sync!$AJ1464)</f>
        <v/>
      </c>
      <c r="G1464">
        <f>IF($F1464="","",IF(Sync!$AG1464="","",IF(ISNUMBER(Sync!$AG1464),IF(AND(Sync!$AG1464&gt;=10000101,Sync!$AG1464&lt;=99991231),INT(Sync!$AG1464/10000),""),IFERROR(VALUE(TRIM(LEFT(Sync!$AG1464,FIND("/",Sync!$AG1464)-1))),""))))</f>
        <v/>
      </c>
      <c r="H1464">
        <f>IF(OR($F1464="",$G1464=""),"",IF(ISNUMBER(Sync!$AG1464),INT(MOD(Sync!$AG1464,10000)/100),IFERROR(VALUE(TRIM(LEFT(MID(Sync!$AG1464,FIND("/",Sync!$AG1464)+1,20),FIND("/",MID(Sync!$AG1464,FIND("/",Sync!$AG1464)+1,20))-1))),"")))</f>
        <v/>
      </c>
      <c r="I1464">
        <f>IF(OR($F1464="",$G1464=""),"",IF(ISNUMBER(Sync!$AG1464),MOD(Sync!$AG1464,100),IFERROR(VALUE(TRIM(MID(MID(Sync!$AG1464,FIND("/",Sync!$AG1464)+1,20),FIND("/",MID(Sync!$AG1464,FIND("/",Sync!$AG1464)+1,20))+1,20))),"")))</f>
        <v/>
      </c>
      <c r="J1464">
        <f>IF($F1464="","",IF(OR($G1464="",$H1464="",$I1464="",$G1464&lt;1300,$G1464&gt;1500,$H1464&lt;1,$H1464&gt;12,$I1464&lt;1,$I1464&gt;31),"نامعتبر",RIGHT("0000"&amp;$G1464,4)&amp;"/"&amp;RIGHT("00"&amp;$H1464,2)&amp;"/"&amp;RIGHT("00"&amp;$I1464,2)))</f>
        <v/>
      </c>
      <c r="K1464">
        <f>IF(OR($F1464="",$J1464="",$J1464="نامعتبر"),"",LEFT($J1464,4)&amp;MID($J1464,6,2)&amp;RIGHT($J1464,2)&amp;$N1464&amp;"|"&amp;"2"&amp;RIGHT("00000"&amp;1459,5))</f>
        <v/>
      </c>
      <c r="L1464">
        <f>IF($K1464="","",COUNTIFS(LdgPartyA,$F1464,LdgKeyA,"&lt;"&amp;$K1464)+COUNTIFS(LdgPartyB,$F1464,LdgKeyB,"&lt;"&amp;$K1464)+1)</f>
        <v/>
      </c>
      <c r="M1464">
        <f>IF($L1464="","",$F1464&amp;"|"&amp;RIGHT("000000"&amp;$L1464,6))</f>
        <v/>
      </c>
      <c r="N1464">
        <f>IF($F1464="","",IF(Sync!$AH1464="","0000",IF(AND(ISNUMBER(Sync!$AH1464),Sync!$AH1464&gt;=0,Sync!$AH1464&lt;1),RIGHT("00"&amp;HOUR(Sync!$AH1464),2)&amp;RIGHT("00"&amp;MINUTE(Sync!$AH1464),2),IFERROR(RIGHT("00"&amp;VALUE(LEFT(Sync!$AH1464,FIND(":",Sync!$AH1464)-1)),2)&amp;RIGHT("00"&amp;VALUE(MID(Sync!$AH1464,FIND(":",Sync!$AH1464)+1,2)),2),"0000"))))</f>
        <v/>
      </c>
    </row>
    <row r="1465">
      <c r="A1465">
        <f>IF(OR(Calc!$E1468="",Calc!$E1468="نامعتبر",Calc!$G1468="",Calc!$I1468&lt;&gt;"خرید"),"",Calc!$G1468)</f>
        <v/>
      </c>
      <c r="B1465">
        <f>IF($A1465="","",LEFT(Calc!$E1468,4)&amp;MID(Calc!$E1468,6,2)&amp;RIGHT(Calc!$E1468,2)&amp;Calc!$R1468&amp;"|"&amp;"1"&amp;RIGHT("00000"&amp;1460,5))</f>
        <v/>
      </c>
      <c r="C1465">
        <f>IF($B1465="","",COUNTIFS(LdgPartyA,$A1465,LdgKeyA,"&lt;"&amp;$B1465)+COUNTIFS(LdgPartyB,$A1465,LdgKeyB,"&lt;"&amp;$B1465)+1)</f>
        <v/>
      </c>
      <c r="D1465">
        <f>IF($C1465="","",$A1465&amp;"|"&amp;RIGHT("000000"&amp;$C1465,6))</f>
        <v/>
      </c>
      <c r="F1465">
        <f>IF(Sync!$AJ1465="","",Sync!$AJ1465)</f>
        <v/>
      </c>
      <c r="G1465">
        <f>IF($F1465="","",IF(Sync!$AG1465="","",IF(ISNUMBER(Sync!$AG1465),IF(AND(Sync!$AG1465&gt;=10000101,Sync!$AG1465&lt;=99991231),INT(Sync!$AG1465/10000),""),IFERROR(VALUE(TRIM(LEFT(Sync!$AG1465,FIND("/",Sync!$AG1465)-1))),""))))</f>
        <v/>
      </c>
      <c r="H1465">
        <f>IF(OR($F1465="",$G1465=""),"",IF(ISNUMBER(Sync!$AG1465),INT(MOD(Sync!$AG1465,10000)/100),IFERROR(VALUE(TRIM(LEFT(MID(Sync!$AG1465,FIND("/",Sync!$AG1465)+1,20),FIND("/",MID(Sync!$AG1465,FIND("/",Sync!$AG1465)+1,20))-1))),"")))</f>
        <v/>
      </c>
      <c r="I1465">
        <f>IF(OR($F1465="",$G1465=""),"",IF(ISNUMBER(Sync!$AG1465),MOD(Sync!$AG1465,100),IFERROR(VALUE(TRIM(MID(MID(Sync!$AG1465,FIND("/",Sync!$AG1465)+1,20),FIND("/",MID(Sync!$AG1465,FIND("/",Sync!$AG1465)+1,20))+1,20))),"")))</f>
        <v/>
      </c>
      <c r="J1465">
        <f>IF($F1465="","",IF(OR($G1465="",$H1465="",$I1465="",$G1465&lt;1300,$G1465&gt;1500,$H1465&lt;1,$H1465&gt;12,$I1465&lt;1,$I1465&gt;31),"نامعتبر",RIGHT("0000"&amp;$G1465,4)&amp;"/"&amp;RIGHT("00"&amp;$H1465,2)&amp;"/"&amp;RIGHT("00"&amp;$I1465,2)))</f>
        <v/>
      </c>
      <c r="K1465">
        <f>IF(OR($F1465="",$J1465="",$J1465="نامعتبر"),"",LEFT($J1465,4)&amp;MID($J1465,6,2)&amp;RIGHT($J1465,2)&amp;$N1465&amp;"|"&amp;"2"&amp;RIGHT("00000"&amp;1460,5))</f>
        <v/>
      </c>
      <c r="L1465">
        <f>IF($K1465="","",COUNTIFS(LdgPartyA,$F1465,LdgKeyA,"&lt;"&amp;$K1465)+COUNTIFS(LdgPartyB,$F1465,LdgKeyB,"&lt;"&amp;$K1465)+1)</f>
        <v/>
      </c>
      <c r="M1465">
        <f>IF($L1465="","",$F1465&amp;"|"&amp;RIGHT("000000"&amp;$L1465,6))</f>
        <v/>
      </c>
      <c r="N1465">
        <f>IF($F1465="","",IF(Sync!$AH1465="","0000",IF(AND(ISNUMBER(Sync!$AH1465),Sync!$AH1465&gt;=0,Sync!$AH1465&lt;1),RIGHT("00"&amp;HOUR(Sync!$AH1465),2)&amp;RIGHT("00"&amp;MINUTE(Sync!$AH1465),2),IFERROR(RIGHT("00"&amp;VALUE(LEFT(Sync!$AH1465,FIND(":",Sync!$AH1465)-1)),2)&amp;RIGHT("00"&amp;VALUE(MID(Sync!$AH1465,FIND(":",Sync!$AH1465)+1,2)),2),"0000"))))</f>
        <v/>
      </c>
    </row>
    <row r="1466">
      <c r="A1466">
        <f>IF(OR(Calc!$E1469="",Calc!$E1469="نامعتبر",Calc!$G1469="",Calc!$I1469&lt;&gt;"خرید"),"",Calc!$G1469)</f>
        <v/>
      </c>
      <c r="B1466">
        <f>IF($A1466="","",LEFT(Calc!$E1469,4)&amp;MID(Calc!$E1469,6,2)&amp;RIGHT(Calc!$E1469,2)&amp;Calc!$R1469&amp;"|"&amp;"1"&amp;RIGHT("00000"&amp;1461,5))</f>
        <v/>
      </c>
      <c r="C1466">
        <f>IF($B1466="","",COUNTIFS(LdgPartyA,$A1466,LdgKeyA,"&lt;"&amp;$B1466)+COUNTIFS(LdgPartyB,$A1466,LdgKeyB,"&lt;"&amp;$B1466)+1)</f>
        <v/>
      </c>
      <c r="D1466">
        <f>IF($C1466="","",$A1466&amp;"|"&amp;RIGHT("000000"&amp;$C1466,6))</f>
        <v/>
      </c>
      <c r="F1466">
        <f>IF(Sync!$AJ1466="","",Sync!$AJ1466)</f>
        <v/>
      </c>
      <c r="G1466">
        <f>IF($F1466="","",IF(Sync!$AG1466="","",IF(ISNUMBER(Sync!$AG1466),IF(AND(Sync!$AG1466&gt;=10000101,Sync!$AG1466&lt;=99991231),INT(Sync!$AG1466/10000),""),IFERROR(VALUE(TRIM(LEFT(Sync!$AG1466,FIND("/",Sync!$AG1466)-1))),""))))</f>
        <v/>
      </c>
      <c r="H1466">
        <f>IF(OR($F1466="",$G1466=""),"",IF(ISNUMBER(Sync!$AG1466),INT(MOD(Sync!$AG1466,10000)/100),IFERROR(VALUE(TRIM(LEFT(MID(Sync!$AG1466,FIND("/",Sync!$AG1466)+1,20),FIND("/",MID(Sync!$AG1466,FIND("/",Sync!$AG1466)+1,20))-1))),"")))</f>
        <v/>
      </c>
      <c r="I1466">
        <f>IF(OR($F1466="",$G1466=""),"",IF(ISNUMBER(Sync!$AG1466),MOD(Sync!$AG1466,100),IFERROR(VALUE(TRIM(MID(MID(Sync!$AG1466,FIND("/",Sync!$AG1466)+1,20),FIND("/",MID(Sync!$AG1466,FIND("/",Sync!$AG1466)+1,20))+1,20))),"")))</f>
        <v/>
      </c>
      <c r="J1466">
        <f>IF($F1466="","",IF(OR($G1466="",$H1466="",$I1466="",$G1466&lt;1300,$G1466&gt;1500,$H1466&lt;1,$H1466&gt;12,$I1466&lt;1,$I1466&gt;31),"نامعتبر",RIGHT("0000"&amp;$G1466,4)&amp;"/"&amp;RIGHT("00"&amp;$H1466,2)&amp;"/"&amp;RIGHT("00"&amp;$I1466,2)))</f>
        <v/>
      </c>
      <c r="K1466">
        <f>IF(OR($F1466="",$J1466="",$J1466="نامعتبر"),"",LEFT($J1466,4)&amp;MID($J1466,6,2)&amp;RIGHT($J1466,2)&amp;$N1466&amp;"|"&amp;"2"&amp;RIGHT("00000"&amp;1461,5))</f>
        <v/>
      </c>
      <c r="L1466">
        <f>IF($K1466="","",COUNTIFS(LdgPartyA,$F1466,LdgKeyA,"&lt;"&amp;$K1466)+COUNTIFS(LdgPartyB,$F1466,LdgKeyB,"&lt;"&amp;$K1466)+1)</f>
        <v/>
      </c>
      <c r="M1466">
        <f>IF($L1466="","",$F1466&amp;"|"&amp;RIGHT("000000"&amp;$L1466,6))</f>
        <v/>
      </c>
      <c r="N1466">
        <f>IF($F1466="","",IF(Sync!$AH1466="","0000",IF(AND(ISNUMBER(Sync!$AH1466),Sync!$AH1466&gt;=0,Sync!$AH1466&lt;1),RIGHT("00"&amp;HOUR(Sync!$AH1466),2)&amp;RIGHT("00"&amp;MINUTE(Sync!$AH1466),2),IFERROR(RIGHT("00"&amp;VALUE(LEFT(Sync!$AH1466,FIND(":",Sync!$AH1466)-1)),2)&amp;RIGHT("00"&amp;VALUE(MID(Sync!$AH1466,FIND(":",Sync!$AH1466)+1,2)),2),"0000"))))</f>
        <v/>
      </c>
    </row>
    <row r="1467">
      <c r="A1467">
        <f>IF(OR(Calc!$E1470="",Calc!$E1470="نامعتبر",Calc!$G1470="",Calc!$I1470&lt;&gt;"خرید"),"",Calc!$G1470)</f>
        <v/>
      </c>
      <c r="B1467">
        <f>IF($A1467="","",LEFT(Calc!$E1470,4)&amp;MID(Calc!$E1470,6,2)&amp;RIGHT(Calc!$E1470,2)&amp;Calc!$R1470&amp;"|"&amp;"1"&amp;RIGHT("00000"&amp;1462,5))</f>
        <v/>
      </c>
      <c r="C1467">
        <f>IF($B1467="","",COUNTIFS(LdgPartyA,$A1467,LdgKeyA,"&lt;"&amp;$B1467)+COUNTIFS(LdgPartyB,$A1467,LdgKeyB,"&lt;"&amp;$B1467)+1)</f>
        <v/>
      </c>
      <c r="D1467">
        <f>IF($C1467="","",$A1467&amp;"|"&amp;RIGHT("000000"&amp;$C1467,6))</f>
        <v/>
      </c>
      <c r="F1467">
        <f>IF(Sync!$AJ1467="","",Sync!$AJ1467)</f>
        <v/>
      </c>
      <c r="G1467">
        <f>IF($F1467="","",IF(Sync!$AG1467="","",IF(ISNUMBER(Sync!$AG1467),IF(AND(Sync!$AG1467&gt;=10000101,Sync!$AG1467&lt;=99991231),INT(Sync!$AG1467/10000),""),IFERROR(VALUE(TRIM(LEFT(Sync!$AG1467,FIND("/",Sync!$AG1467)-1))),""))))</f>
        <v/>
      </c>
      <c r="H1467">
        <f>IF(OR($F1467="",$G1467=""),"",IF(ISNUMBER(Sync!$AG1467),INT(MOD(Sync!$AG1467,10000)/100),IFERROR(VALUE(TRIM(LEFT(MID(Sync!$AG1467,FIND("/",Sync!$AG1467)+1,20),FIND("/",MID(Sync!$AG1467,FIND("/",Sync!$AG1467)+1,20))-1))),"")))</f>
        <v/>
      </c>
      <c r="I1467">
        <f>IF(OR($F1467="",$G1467=""),"",IF(ISNUMBER(Sync!$AG1467),MOD(Sync!$AG1467,100),IFERROR(VALUE(TRIM(MID(MID(Sync!$AG1467,FIND("/",Sync!$AG1467)+1,20),FIND("/",MID(Sync!$AG1467,FIND("/",Sync!$AG1467)+1,20))+1,20))),"")))</f>
        <v/>
      </c>
      <c r="J1467">
        <f>IF($F1467="","",IF(OR($G1467="",$H1467="",$I1467="",$G1467&lt;1300,$G1467&gt;1500,$H1467&lt;1,$H1467&gt;12,$I1467&lt;1,$I1467&gt;31),"نامعتبر",RIGHT("0000"&amp;$G1467,4)&amp;"/"&amp;RIGHT("00"&amp;$H1467,2)&amp;"/"&amp;RIGHT("00"&amp;$I1467,2)))</f>
        <v/>
      </c>
      <c r="K1467">
        <f>IF(OR($F1467="",$J1467="",$J1467="نامعتبر"),"",LEFT($J1467,4)&amp;MID($J1467,6,2)&amp;RIGHT($J1467,2)&amp;$N1467&amp;"|"&amp;"2"&amp;RIGHT("00000"&amp;1462,5))</f>
        <v/>
      </c>
      <c r="L1467">
        <f>IF($K1467="","",COUNTIFS(LdgPartyA,$F1467,LdgKeyA,"&lt;"&amp;$K1467)+COUNTIFS(LdgPartyB,$F1467,LdgKeyB,"&lt;"&amp;$K1467)+1)</f>
        <v/>
      </c>
      <c r="M1467">
        <f>IF($L1467="","",$F1467&amp;"|"&amp;RIGHT("000000"&amp;$L1467,6))</f>
        <v/>
      </c>
      <c r="N1467">
        <f>IF($F1467="","",IF(Sync!$AH1467="","0000",IF(AND(ISNUMBER(Sync!$AH1467),Sync!$AH1467&gt;=0,Sync!$AH1467&lt;1),RIGHT("00"&amp;HOUR(Sync!$AH1467),2)&amp;RIGHT("00"&amp;MINUTE(Sync!$AH1467),2),IFERROR(RIGHT("00"&amp;VALUE(LEFT(Sync!$AH1467,FIND(":",Sync!$AH1467)-1)),2)&amp;RIGHT("00"&amp;VALUE(MID(Sync!$AH1467,FIND(":",Sync!$AH1467)+1,2)),2),"0000"))))</f>
        <v/>
      </c>
    </row>
    <row r="1468">
      <c r="A1468">
        <f>IF(OR(Calc!$E1471="",Calc!$E1471="نامعتبر",Calc!$G1471="",Calc!$I1471&lt;&gt;"خرید"),"",Calc!$G1471)</f>
        <v/>
      </c>
      <c r="B1468">
        <f>IF($A1468="","",LEFT(Calc!$E1471,4)&amp;MID(Calc!$E1471,6,2)&amp;RIGHT(Calc!$E1471,2)&amp;Calc!$R1471&amp;"|"&amp;"1"&amp;RIGHT("00000"&amp;1463,5))</f>
        <v/>
      </c>
      <c r="C1468">
        <f>IF($B1468="","",COUNTIFS(LdgPartyA,$A1468,LdgKeyA,"&lt;"&amp;$B1468)+COUNTIFS(LdgPartyB,$A1468,LdgKeyB,"&lt;"&amp;$B1468)+1)</f>
        <v/>
      </c>
      <c r="D1468">
        <f>IF($C1468="","",$A1468&amp;"|"&amp;RIGHT("000000"&amp;$C1468,6))</f>
        <v/>
      </c>
      <c r="F1468">
        <f>IF(Sync!$AJ1468="","",Sync!$AJ1468)</f>
        <v/>
      </c>
      <c r="G1468">
        <f>IF($F1468="","",IF(Sync!$AG1468="","",IF(ISNUMBER(Sync!$AG1468),IF(AND(Sync!$AG1468&gt;=10000101,Sync!$AG1468&lt;=99991231),INT(Sync!$AG1468/10000),""),IFERROR(VALUE(TRIM(LEFT(Sync!$AG1468,FIND("/",Sync!$AG1468)-1))),""))))</f>
        <v/>
      </c>
      <c r="H1468">
        <f>IF(OR($F1468="",$G1468=""),"",IF(ISNUMBER(Sync!$AG1468),INT(MOD(Sync!$AG1468,10000)/100),IFERROR(VALUE(TRIM(LEFT(MID(Sync!$AG1468,FIND("/",Sync!$AG1468)+1,20),FIND("/",MID(Sync!$AG1468,FIND("/",Sync!$AG1468)+1,20))-1))),"")))</f>
        <v/>
      </c>
      <c r="I1468">
        <f>IF(OR($F1468="",$G1468=""),"",IF(ISNUMBER(Sync!$AG1468),MOD(Sync!$AG1468,100),IFERROR(VALUE(TRIM(MID(MID(Sync!$AG1468,FIND("/",Sync!$AG1468)+1,20),FIND("/",MID(Sync!$AG1468,FIND("/",Sync!$AG1468)+1,20))+1,20))),"")))</f>
        <v/>
      </c>
      <c r="J1468">
        <f>IF($F1468="","",IF(OR($G1468="",$H1468="",$I1468="",$G1468&lt;1300,$G1468&gt;1500,$H1468&lt;1,$H1468&gt;12,$I1468&lt;1,$I1468&gt;31),"نامعتبر",RIGHT("0000"&amp;$G1468,4)&amp;"/"&amp;RIGHT("00"&amp;$H1468,2)&amp;"/"&amp;RIGHT("00"&amp;$I1468,2)))</f>
        <v/>
      </c>
      <c r="K1468">
        <f>IF(OR($F1468="",$J1468="",$J1468="نامعتبر"),"",LEFT($J1468,4)&amp;MID($J1468,6,2)&amp;RIGHT($J1468,2)&amp;$N1468&amp;"|"&amp;"2"&amp;RIGHT("00000"&amp;1463,5))</f>
        <v/>
      </c>
      <c r="L1468">
        <f>IF($K1468="","",COUNTIFS(LdgPartyA,$F1468,LdgKeyA,"&lt;"&amp;$K1468)+COUNTIFS(LdgPartyB,$F1468,LdgKeyB,"&lt;"&amp;$K1468)+1)</f>
        <v/>
      </c>
      <c r="M1468">
        <f>IF($L1468="","",$F1468&amp;"|"&amp;RIGHT("000000"&amp;$L1468,6))</f>
        <v/>
      </c>
      <c r="N1468">
        <f>IF($F1468="","",IF(Sync!$AH1468="","0000",IF(AND(ISNUMBER(Sync!$AH1468),Sync!$AH1468&gt;=0,Sync!$AH1468&lt;1),RIGHT("00"&amp;HOUR(Sync!$AH1468),2)&amp;RIGHT("00"&amp;MINUTE(Sync!$AH1468),2),IFERROR(RIGHT("00"&amp;VALUE(LEFT(Sync!$AH1468,FIND(":",Sync!$AH1468)-1)),2)&amp;RIGHT("00"&amp;VALUE(MID(Sync!$AH1468,FIND(":",Sync!$AH1468)+1,2)),2),"0000"))))</f>
        <v/>
      </c>
    </row>
    <row r="1469">
      <c r="A1469">
        <f>IF(OR(Calc!$E1472="",Calc!$E1472="نامعتبر",Calc!$G1472="",Calc!$I1472&lt;&gt;"خرید"),"",Calc!$G1472)</f>
        <v/>
      </c>
      <c r="B1469">
        <f>IF($A1469="","",LEFT(Calc!$E1472,4)&amp;MID(Calc!$E1472,6,2)&amp;RIGHT(Calc!$E1472,2)&amp;Calc!$R1472&amp;"|"&amp;"1"&amp;RIGHT("00000"&amp;1464,5))</f>
        <v/>
      </c>
      <c r="C1469">
        <f>IF($B1469="","",COUNTIFS(LdgPartyA,$A1469,LdgKeyA,"&lt;"&amp;$B1469)+COUNTIFS(LdgPartyB,$A1469,LdgKeyB,"&lt;"&amp;$B1469)+1)</f>
        <v/>
      </c>
      <c r="D1469">
        <f>IF($C1469="","",$A1469&amp;"|"&amp;RIGHT("000000"&amp;$C1469,6))</f>
        <v/>
      </c>
      <c r="F1469">
        <f>IF(Sync!$AJ1469="","",Sync!$AJ1469)</f>
        <v/>
      </c>
      <c r="G1469">
        <f>IF($F1469="","",IF(Sync!$AG1469="","",IF(ISNUMBER(Sync!$AG1469),IF(AND(Sync!$AG1469&gt;=10000101,Sync!$AG1469&lt;=99991231),INT(Sync!$AG1469/10000),""),IFERROR(VALUE(TRIM(LEFT(Sync!$AG1469,FIND("/",Sync!$AG1469)-1))),""))))</f>
        <v/>
      </c>
      <c r="H1469">
        <f>IF(OR($F1469="",$G1469=""),"",IF(ISNUMBER(Sync!$AG1469),INT(MOD(Sync!$AG1469,10000)/100),IFERROR(VALUE(TRIM(LEFT(MID(Sync!$AG1469,FIND("/",Sync!$AG1469)+1,20),FIND("/",MID(Sync!$AG1469,FIND("/",Sync!$AG1469)+1,20))-1))),"")))</f>
        <v/>
      </c>
      <c r="I1469">
        <f>IF(OR($F1469="",$G1469=""),"",IF(ISNUMBER(Sync!$AG1469),MOD(Sync!$AG1469,100),IFERROR(VALUE(TRIM(MID(MID(Sync!$AG1469,FIND("/",Sync!$AG1469)+1,20),FIND("/",MID(Sync!$AG1469,FIND("/",Sync!$AG1469)+1,20))+1,20))),"")))</f>
        <v/>
      </c>
      <c r="J1469">
        <f>IF($F1469="","",IF(OR($G1469="",$H1469="",$I1469="",$G1469&lt;1300,$G1469&gt;1500,$H1469&lt;1,$H1469&gt;12,$I1469&lt;1,$I1469&gt;31),"نامعتبر",RIGHT("0000"&amp;$G1469,4)&amp;"/"&amp;RIGHT("00"&amp;$H1469,2)&amp;"/"&amp;RIGHT("00"&amp;$I1469,2)))</f>
        <v/>
      </c>
      <c r="K1469">
        <f>IF(OR($F1469="",$J1469="",$J1469="نامعتبر"),"",LEFT($J1469,4)&amp;MID($J1469,6,2)&amp;RIGHT($J1469,2)&amp;$N1469&amp;"|"&amp;"2"&amp;RIGHT("00000"&amp;1464,5))</f>
        <v/>
      </c>
      <c r="L1469">
        <f>IF($K1469="","",COUNTIFS(LdgPartyA,$F1469,LdgKeyA,"&lt;"&amp;$K1469)+COUNTIFS(LdgPartyB,$F1469,LdgKeyB,"&lt;"&amp;$K1469)+1)</f>
        <v/>
      </c>
      <c r="M1469">
        <f>IF($L1469="","",$F1469&amp;"|"&amp;RIGHT("000000"&amp;$L1469,6))</f>
        <v/>
      </c>
      <c r="N1469">
        <f>IF($F1469="","",IF(Sync!$AH1469="","0000",IF(AND(ISNUMBER(Sync!$AH1469),Sync!$AH1469&gt;=0,Sync!$AH1469&lt;1),RIGHT("00"&amp;HOUR(Sync!$AH1469),2)&amp;RIGHT("00"&amp;MINUTE(Sync!$AH1469),2),IFERROR(RIGHT("00"&amp;VALUE(LEFT(Sync!$AH1469,FIND(":",Sync!$AH1469)-1)),2)&amp;RIGHT("00"&amp;VALUE(MID(Sync!$AH1469,FIND(":",Sync!$AH1469)+1,2)),2),"0000"))))</f>
        <v/>
      </c>
    </row>
    <row r="1470">
      <c r="A1470">
        <f>IF(OR(Calc!$E1473="",Calc!$E1473="نامعتبر",Calc!$G1473="",Calc!$I1473&lt;&gt;"خرید"),"",Calc!$G1473)</f>
        <v/>
      </c>
      <c r="B1470">
        <f>IF($A1470="","",LEFT(Calc!$E1473,4)&amp;MID(Calc!$E1473,6,2)&amp;RIGHT(Calc!$E1473,2)&amp;Calc!$R1473&amp;"|"&amp;"1"&amp;RIGHT("00000"&amp;1465,5))</f>
        <v/>
      </c>
      <c r="C1470">
        <f>IF($B1470="","",COUNTIFS(LdgPartyA,$A1470,LdgKeyA,"&lt;"&amp;$B1470)+COUNTIFS(LdgPartyB,$A1470,LdgKeyB,"&lt;"&amp;$B1470)+1)</f>
        <v/>
      </c>
      <c r="D1470">
        <f>IF($C1470="","",$A1470&amp;"|"&amp;RIGHT("000000"&amp;$C1470,6))</f>
        <v/>
      </c>
      <c r="F1470">
        <f>IF(Sync!$AJ1470="","",Sync!$AJ1470)</f>
        <v/>
      </c>
      <c r="G1470">
        <f>IF($F1470="","",IF(Sync!$AG1470="","",IF(ISNUMBER(Sync!$AG1470),IF(AND(Sync!$AG1470&gt;=10000101,Sync!$AG1470&lt;=99991231),INT(Sync!$AG1470/10000),""),IFERROR(VALUE(TRIM(LEFT(Sync!$AG1470,FIND("/",Sync!$AG1470)-1))),""))))</f>
        <v/>
      </c>
      <c r="H1470">
        <f>IF(OR($F1470="",$G1470=""),"",IF(ISNUMBER(Sync!$AG1470),INT(MOD(Sync!$AG1470,10000)/100),IFERROR(VALUE(TRIM(LEFT(MID(Sync!$AG1470,FIND("/",Sync!$AG1470)+1,20),FIND("/",MID(Sync!$AG1470,FIND("/",Sync!$AG1470)+1,20))-1))),"")))</f>
        <v/>
      </c>
      <c r="I1470">
        <f>IF(OR($F1470="",$G1470=""),"",IF(ISNUMBER(Sync!$AG1470),MOD(Sync!$AG1470,100),IFERROR(VALUE(TRIM(MID(MID(Sync!$AG1470,FIND("/",Sync!$AG1470)+1,20),FIND("/",MID(Sync!$AG1470,FIND("/",Sync!$AG1470)+1,20))+1,20))),"")))</f>
        <v/>
      </c>
      <c r="J1470">
        <f>IF($F1470="","",IF(OR($G1470="",$H1470="",$I1470="",$G1470&lt;1300,$G1470&gt;1500,$H1470&lt;1,$H1470&gt;12,$I1470&lt;1,$I1470&gt;31),"نامعتبر",RIGHT("0000"&amp;$G1470,4)&amp;"/"&amp;RIGHT("00"&amp;$H1470,2)&amp;"/"&amp;RIGHT("00"&amp;$I1470,2)))</f>
        <v/>
      </c>
      <c r="K1470">
        <f>IF(OR($F1470="",$J1470="",$J1470="نامعتبر"),"",LEFT($J1470,4)&amp;MID($J1470,6,2)&amp;RIGHT($J1470,2)&amp;$N1470&amp;"|"&amp;"2"&amp;RIGHT("00000"&amp;1465,5))</f>
        <v/>
      </c>
      <c r="L1470">
        <f>IF($K1470="","",COUNTIFS(LdgPartyA,$F1470,LdgKeyA,"&lt;"&amp;$K1470)+COUNTIFS(LdgPartyB,$F1470,LdgKeyB,"&lt;"&amp;$K1470)+1)</f>
        <v/>
      </c>
      <c r="M1470">
        <f>IF($L1470="","",$F1470&amp;"|"&amp;RIGHT("000000"&amp;$L1470,6))</f>
        <v/>
      </c>
      <c r="N1470">
        <f>IF($F1470="","",IF(Sync!$AH1470="","0000",IF(AND(ISNUMBER(Sync!$AH1470),Sync!$AH1470&gt;=0,Sync!$AH1470&lt;1),RIGHT("00"&amp;HOUR(Sync!$AH1470),2)&amp;RIGHT("00"&amp;MINUTE(Sync!$AH1470),2),IFERROR(RIGHT("00"&amp;VALUE(LEFT(Sync!$AH1470,FIND(":",Sync!$AH1470)-1)),2)&amp;RIGHT("00"&amp;VALUE(MID(Sync!$AH1470,FIND(":",Sync!$AH1470)+1,2)),2),"0000"))))</f>
        <v/>
      </c>
    </row>
    <row r="1471">
      <c r="A1471">
        <f>IF(OR(Calc!$E1474="",Calc!$E1474="نامعتبر",Calc!$G1474="",Calc!$I1474&lt;&gt;"خرید"),"",Calc!$G1474)</f>
        <v/>
      </c>
      <c r="B1471">
        <f>IF($A1471="","",LEFT(Calc!$E1474,4)&amp;MID(Calc!$E1474,6,2)&amp;RIGHT(Calc!$E1474,2)&amp;Calc!$R1474&amp;"|"&amp;"1"&amp;RIGHT("00000"&amp;1466,5))</f>
        <v/>
      </c>
      <c r="C1471">
        <f>IF($B1471="","",COUNTIFS(LdgPartyA,$A1471,LdgKeyA,"&lt;"&amp;$B1471)+COUNTIFS(LdgPartyB,$A1471,LdgKeyB,"&lt;"&amp;$B1471)+1)</f>
        <v/>
      </c>
      <c r="D1471">
        <f>IF($C1471="","",$A1471&amp;"|"&amp;RIGHT("000000"&amp;$C1471,6))</f>
        <v/>
      </c>
      <c r="F1471">
        <f>IF(Sync!$AJ1471="","",Sync!$AJ1471)</f>
        <v/>
      </c>
      <c r="G1471">
        <f>IF($F1471="","",IF(Sync!$AG1471="","",IF(ISNUMBER(Sync!$AG1471),IF(AND(Sync!$AG1471&gt;=10000101,Sync!$AG1471&lt;=99991231),INT(Sync!$AG1471/10000),""),IFERROR(VALUE(TRIM(LEFT(Sync!$AG1471,FIND("/",Sync!$AG1471)-1))),""))))</f>
        <v/>
      </c>
      <c r="H1471">
        <f>IF(OR($F1471="",$G1471=""),"",IF(ISNUMBER(Sync!$AG1471),INT(MOD(Sync!$AG1471,10000)/100),IFERROR(VALUE(TRIM(LEFT(MID(Sync!$AG1471,FIND("/",Sync!$AG1471)+1,20),FIND("/",MID(Sync!$AG1471,FIND("/",Sync!$AG1471)+1,20))-1))),"")))</f>
        <v/>
      </c>
      <c r="I1471">
        <f>IF(OR($F1471="",$G1471=""),"",IF(ISNUMBER(Sync!$AG1471),MOD(Sync!$AG1471,100),IFERROR(VALUE(TRIM(MID(MID(Sync!$AG1471,FIND("/",Sync!$AG1471)+1,20),FIND("/",MID(Sync!$AG1471,FIND("/",Sync!$AG1471)+1,20))+1,20))),"")))</f>
        <v/>
      </c>
      <c r="J1471">
        <f>IF($F1471="","",IF(OR($G1471="",$H1471="",$I1471="",$G1471&lt;1300,$G1471&gt;1500,$H1471&lt;1,$H1471&gt;12,$I1471&lt;1,$I1471&gt;31),"نامعتبر",RIGHT("0000"&amp;$G1471,4)&amp;"/"&amp;RIGHT("00"&amp;$H1471,2)&amp;"/"&amp;RIGHT("00"&amp;$I1471,2)))</f>
        <v/>
      </c>
      <c r="K1471">
        <f>IF(OR($F1471="",$J1471="",$J1471="نامعتبر"),"",LEFT($J1471,4)&amp;MID($J1471,6,2)&amp;RIGHT($J1471,2)&amp;$N1471&amp;"|"&amp;"2"&amp;RIGHT("00000"&amp;1466,5))</f>
        <v/>
      </c>
      <c r="L1471">
        <f>IF($K1471="","",COUNTIFS(LdgPartyA,$F1471,LdgKeyA,"&lt;"&amp;$K1471)+COUNTIFS(LdgPartyB,$F1471,LdgKeyB,"&lt;"&amp;$K1471)+1)</f>
        <v/>
      </c>
      <c r="M1471">
        <f>IF($L1471="","",$F1471&amp;"|"&amp;RIGHT("000000"&amp;$L1471,6))</f>
        <v/>
      </c>
      <c r="N1471">
        <f>IF($F1471="","",IF(Sync!$AH1471="","0000",IF(AND(ISNUMBER(Sync!$AH1471),Sync!$AH1471&gt;=0,Sync!$AH1471&lt;1),RIGHT("00"&amp;HOUR(Sync!$AH1471),2)&amp;RIGHT("00"&amp;MINUTE(Sync!$AH1471),2),IFERROR(RIGHT("00"&amp;VALUE(LEFT(Sync!$AH1471,FIND(":",Sync!$AH1471)-1)),2)&amp;RIGHT("00"&amp;VALUE(MID(Sync!$AH1471,FIND(":",Sync!$AH1471)+1,2)),2),"0000"))))</f>
        <v/>
      </c>
    </row>
    <row r="1472">
      <c r="A1472">
        <f>IF(OR(Calc!$E1475="",Calc!$E1475="نامعتبر",Calc!$G1475="",Calc!$I1475&lt;&gt;"خرید"),"",Calc!$G1475)</f>
        <v/>
      </c>
      <c r="B1472">
        <f>IF($A1472="","",LEFT(Calc!$E1475,4)&amp;MID(Calc!$E1475,6,2)&amp;RIGHT(Calc!$E1475,2)&amp;Calc!$R1475&amp;"|"&amp;"1"&amp;RIGHT("00000"&amp;1467,5))</f>
        <v/>
      </c>
      <c r="C1472">
        <f>IF($B1472="","",COUNTIFS(LdgPartyA,$A1472,LdgKeyA,"&lt;"&amp;$B1472)+COUNTIFS(LdgPartyB,$A1472,LdgKeyB,"&lt;"&amp;$B1472)+1)</f>
        <v/>
      </c>
      <c r="D1472">
        <f>IF($C1472="","",$A1472&amp;"|"&amp;RIGHT("000000"&amp;$C1472,6))</f>
        <v/>
      </c>
      <c r="F1472">
        <f>IF(Sync!$AJ1472="","",Sync!$AJ1472)</f>
        <v/>
      </c>
      <c r="G1472">
        <f>IF($F1472="","",IF(Sync!$AG1472="","",IF(ISNUMBER(Sync!$AG1472),IF(AND(Sync!$AG1472&gt;=10000101,Sync!$AG1472&lt;=99991231),INT(Sync!$AG1472/10000),""),IFERROR(VALUE(TRIM(LEFT(Sync!$AG1472,FIND("/",Sync!$AG1472)-1))),""))))</f>
        <v/>
      </c>
      <c r="H1472">
        <f>IF(OR($F1472="",$G1472=""),"",IF(ISNUMBER(Sync!$AG1472),INT(MOD(Sync!$AG1472,10000)/100),IFERROR(VALUE(TRIM(LEFT(MID(Sync!$AG1472,FIND("/",Sync!$AG1472)+1,20),FIND("/",MID(Sync!$AG1472,FIND("/",Sync!$AG1472)+1,20))-1))),"")))</f>
        <v/>
      </c>
      <c r="I1472">
        <f>IF(OR($F1472="",$G1472=""),"",IF(ISNUMBER(Sync!$AG1472),MOD(Sync!$AG1472,100),IFERROR(VALUE(TRIM(MID(MID(Sync!$AG1472,FIND("/",Sync!$AG1472)+1,20),FIND("/",MID(Sync!$AG1472,FIND("/",Sync!$AG1472)+1,20))+1,20))),"")))</f>
        <v/>
      </c>
      <c r="J1472">
        <f>IF($F1472="","",IF(OR($G1472="",$H1472="",$I1472="",$G1472&lt;1300,$G1472&gt;1500,$H1472&lt;1,$H1472&gt;12,$I1472&lt;1,$I1472&gt;31),"نامعتبر",RIGHT("0000"&amp;$G1472,4)&amp;"/"&amp;RIGHT("00"&amp;$H1472,2)&amp;"/"&amp;RIGHT("00"&amp;$I1472,2)))</f>
        <v/>
      </c>
      <c r="K1472">
        <f>IF(OR($F1472="",$J1472="",$J1472="نامعتبر"),"",LEFT($J1472,4)&amp;MID($J1472,6,2)&amp;RIGHT($J1472,2)&amp;$N1472&amp;"|"&amp;"2"&amp;RIGHT("00000"&amp;1467,5))</f>
        <v/>
      </c>
      <c r="L1472">
        <f>IF($K1472="","",COUNTIFS(LdgPartyA,$F1472,LdgKeyA,"&lt;"&amp;$K1472)+COUNTIFS(LdgPartyB,$F1472,LdgKeyB,"&lt;"&amp;$K1472)+1)</f>
        <v/>
      </c>
      <c r="M1472">
        <f>IF($L1472="","",$F1472&amp;"|"&amp;RIGHT("000000"&amp;$L1472,6))</f>
        <v/>
      </c>
      <c r="N1472">
        <f>IF($F1472="","",IF(Sync!$AH1472="","0000",IF(AND(ISNUMBER(Sync!$AH1472),Sync!$AH1472&gt;=0,Sync!$AH1472&lt;1),RIGHT("00"&amp;HOUR(Sync!$AH1472),2)&amp;RIGHT("00"&amp;MINUTE(Sync!$AH1472),2),IFERROR(RIGHT("00"&amp;VALUE(LEFT(Sync!$AH1472,FIND(":",Sync!$AH1472)-1)),2)&amp;RIGHT("00"&amp;VALUE(MID(Sync!$AH1472,FIND(":",Sync!$AH1472)+1,2)),2),"0000"))))</f>
        <v/>
      </c>
    </row>
    <row r="1473">
      <c r="A1473">
        <f>IF(OR(Calc!$E1476="",Calc!$E1476="نامعتبر",Calc!$G1476="",Calc!$I1476&lt;&gt;"خرید"),"",Calc!$G1476)</f>
        <v/>
      </c>
      <c r="B1473">
        <f>IF($A1473="","",LEFT(Calc!$E1476,4)&amp;MID(Calc!$E1476,6,2)&amp;RIGHT(Calc!$E1476,2)&amp;Calc!$R1476&amp;"|"&amp;"1"&amp;RIGHT("00000"&amp;1468,5))</f>
        <v/>
      </c>
      <c r="C1473">
        <f>IF($B1473="","",COUNTIFS(LdgPartyA,$A1473,LdgKeyA,"&lt;"&amp;$B1473)+COUNTIFS(LdgPartyB,$A1473,LdgKeyB,"&lt;"&amp;$B1473)+1)</f>
        <v/>
      </c>
      <c r="D1473">
        <f>IF($C1473="","",$A1473&amp;"|"&amp;RIGHT("000000"&amp;$C1473,6))</f>
        <v/>
      </c>
      <c r="F1473">
        <f>IF(Sync!$AJ1473="","",Sync!$AJ1473)</f>
        <v/>
      </c>
      <c r="G1473">
        <f>IF($F1473="","",IF(Sync!$AG1473="","",IF(ISNUMBER(Sync!$AG1473),IF(AND(Sync!$AG1473&gt;=10000101,Sync!$AG1473&lt;=99991231),INT(Sync!$AG1473/10000),""),IFERROR(VALUE(TRIM(LEFT(Sync!$AG1473,FIND("/",Sync!$AG1473)-1))),""))))</f>
        <v/>
      </c>
      <c r="H1473">
        <f>IF(OR($F1473="",$G1473=""),"",IF(ISNUMBER(Sync!$AG1473),INT(MOD(Sync!$AG1473,10000)/100),IFERROR(VALUE(TRIM(LEFT(MID(Sync!$AG1473,FIND("/",Sync!$AG1473)+1,20),FIND("/",MID(Sync!$AG1473,FIND("/",Sync!$AG1473)+1,20))-1))),"")))</f>
        <v/>
      </c>
      <c r="I1473">
        <f>IF(OR($F1473="",$G1473=""),"",IF(ISNUMBER(Sync!$AG1473),MOD(Sync!$AG1473,100),IFERROR(VALUE(TRIM(MID(MID(Sync!$AG1473,FIND("/",Sync!$AG1473)+1,20),FIND("/",MID(Sync!$AG1473,FIND("/",Sync!$AG1473)+1,20))+1,20))),"")))</f>
        <v/>
      </c>
      <c r="J1473">
        <f>IF($F1473="","",IF(OR($G1473="",$H1473="",$I1473="",$G1473&lt;1300,$G1473&gt;1500,$H1473&lt;1,$H1473&gt;12,$I1473&lt;1,$I1473&gt;31),"نامعتبر",RIGHT("0000"&amp;$G1473,4)&amp;"/"&amp;RIGHT("00"&amp;$H1473,2)&amp;"/"&amp;RIGHT("00"&amp;$I1473,2)))</f>
        <v/>
      </c>
      <c r="K1473">
        <f>IF(OR($F1473="",$J1473="",$J1473="نامعتبر"),"",LEFT($J1473,4)&amp;MID($J1473,6,2)&amp;RIGHT($J1473,2)&amp;$N1473&amp;"|"&amp;"2"&amp;RIGHT("00000"&amp;1468,5))</f>
        <v/>
      </c>
      <c r="L1473">
        <f>IF($K1473="","",COUNTIFS(LdgPartyA,$F1473,LdgKeyA,"&lt;"&amp;$K1473)+COUNTIFS(LdgPartyB,$F1473,LdgKeyB,"&lt;"&amp;$K1473)+1)</f>
        <v/>
      </c>
      <c r="M1473">
        <f>IF($L1473="","",$F1473&amp;"|"&amp;RIGHT("000000"&amp;$L1473,6))</f>
        <v/>
      </c>
      <c r="N1473">
        <f>IF($F1473="","",IF(Sync!$AH1473="","0000",IF(AND(ISNUMBER(Sync!$AH1473),Sync!$AH1473&gt;=0,Sync!$AH1473&lt;1),RIGHT("00"&amp;HOUR(Sync!$AH1473),2)&amp;RIGHT("00"&amp;MINUTE(Sync!$AH1473),2),IFERROR(RIGHT("00"&amp;VALUE(LEFT(Sync!$AH1473,FIND(":",Sync!$AH1473)-1)),2)&amp;RIGHT("00"&amp;VALUE(MID(Sync!$AH1473,FIND(":",Sync!$AH1473)+1,2)),2),"0000"))))</f>
        <v/>
      </c>
    </row>
    <row r="1474">
      <c r="A1474">
        <f>IF(OR(Calc!$E1477="",Calc!$E1477="نامعتبر",Calc!$G1477="",Calc!$I1477&lt;&gt;"خرید"),"",Calc!$G1477)</f>
        <v/>
      </c>
      <c r="B1474">
        <f>IF($A1474="","",LEFT(Calc!$E1477,4)&amp;MID(Calc!$E1477,6,2)&amp;RIGHT(Calc!$E1477,2)&amp;Calc!$R1477&amp;"|"&amp;"1"&amp;RIGHT("00000"&amp;1469,5))</f>
        <v/>
      </c>
      <c r="C1474">
        <f>IF($B1474="","",COUNTIFS(LdgPartyA,$A1474,LdgKeyA,"&lt;"&amp;$B1474)+COUNTIFS(LdgPartyB,$A1474,LdgKeyB,"&lt;"&amp;$B1474)+1)</f>
        <v/>
      </c>
      <c r="D1474">
        <f>IF($C1474="","",$A1474&amp;"|"&amp;RIGHT("000000"&amp;$C1474,6))</f>
        <v/>
      </c>
      <c r="F1474">
        <f>IF(Sync!$AJ1474="","",Sync!$AJ1474)</f>
        <v/>
      </c>
      <c r="G1474">
        <f>IF($F1474="","",IF(Sync!$AG1474="","",IF(ISNUMBER(Sync!$AG1474),IF(AND(Sync!$AG1474&gt;=10000101,Sync!$AG1474&lt;=99991231),INT(Sync!$AG1474/10000),""),IFERROR(VALUE(TRIM(LEFT(Sync!$AG1474,FIND("/",Sync!$AG1474)-1))),""))))</f>
        <v/>
      </c>
      <c r="H1474">
        <f>IF(OR($F1474="",$G1474=""),"",IF(ISNUMBER(Sync!$AG1474),INT(MOD(Sync!$AG1474,10000)/100),IFERROR(VALUE(TRIM(LEFT(MID(Sync!$AG1474,FIND("/",Sync!$AG1474)+1,20),FIND("/",MID(Sync!$AG1474,FIND("/",Sync!$AG1474)+1,20))-1))),"")))</f>
        <v/>
      </c>
      <c r="I1474">
        <f>IF(OR($F1474="",$G1474=""),"",IF(ISNUMBER(Sync!$AG1474),MOD(Sync!$AG1474,100),IFERROR(VALUE(TRIM(MID(MID(Sync!$AG1474,FIND("/",Sync!$AG1474)+1,20),FIND("/",MID(Sync!$AG1474,FIND("/",Sync!$AG1474)+1,20))+1,20))),"")))</f>
        <v/>
      </c>
      <c r="J1474">
        <f>IF($F1474="","",IF(OR($G1474="",$H1474="",$I1474="",$G1474&lt;1300,$G1474&gt;1500,$H1474&lt;1,$H1474&gt;12,$I1474&lt;1,$I1474&gt;31),"نامعتبر",RIGHT("0000"&amp;$G1474,4)&amp;"/"&amp;RIGHT("00"&amp;$H1474,2)&amp;"/"&amp;RIGHT("00"&amp;$I1474,2)))</f>
        <v/>
      </c>
      <c r="K1474">
        <f>IF(OR($F1474="",$J1474="",$J1474="نامعتبر"),"",LEFT($J1474,4)&amp;MID($J1474,6,2)&amp;RIGHT($J1474,2)&amp;$N1474&amp;"|"&amp;"2"&amp;RIGHT("00000"&amp;1469,5))</f>
        <v/>
      </c>
      <c r="L1474">
        <f>IF($K1474="","",COUNTIFS(LdgPartyA,$F1474,LdgKeyA,"&lt;"&amp;$K1474)+COUNTIFS(LdgPartyB,$F1474,LdgKeyB,"&lt;"&amp;$K1474)+1)</f>
        <v/>
      </c>
      <c r="M1474">
        <f>IF($L1474="","",$F1474&amp;"|"&amp;RIGHT("000000"&amp;$L1474,6))</f>
        <v/>
      </c>
      <c r="N1474">
        <f>IF($F1474="","",IF(Sync!$AH1474="","0000",IF(AND(ISNUMBER(Sync!$AH1474),Sync!$AH1474&gt;=0,Sync!$AH1474&lt;1),RIGHT("00"&amp;HOUR(Sync!$AH1474),2)&amp;RIGHT("00"&amp;MINUTE(Sync!$AH1474),2),IFERROR(RIGHT("00"&amp;VALUE(LEFT(Sync!$AH1474,FIND(":",Sync!$AH1474)-1)),2)&amp;RIGHT("00"&amp;VALUE(MID(Sync!$AH1474,FIND(":",Sync!$AH1474)+1,2)),2),"0000"))))</f>
        <v/>
      </c>
    </row>
    <row r="1475">
      <c r="A1475">
        <f>IF(OR(Calc!$E1478="",Calc!$E1478="نامعتبر",Calc!$G1478="",Calc!$I1478&lt;&gt;"خرید"),"",Calc!$G1478)</f>
        <v/>
      </c>
      <c r="B1475">
        <f>IF($A1475="","",LEFT(Calc!$E1478,4)&amp;MID(Calc!$E1478,6,2)&amp;RIGHT(Calc!$E1478,2)&amp;Calc!$R1478&amp;"|"&amp;"1"&amp;RIGHT("00000"&amp;1470,5))</f>
        <v/>
      </c>
      <c r="C1475">
        <f>IF($B1475="","",COUNTIFS(LdgPartyA,$A1475,LdgKeyA,"&lt;"&amp;$B1475)+COUNTIFS(LdgPartyB,$A1475,LdgKeyB,"&lt;"&amp;$B1475)+1)</f>
        <v/>
      </c>
      <c r="D1475">
        <f>IF($C1475="","",$A1475&amp;"|"&amp;RIGHT("000000"&amp;$C1475,6))</f>
        <v/>
      </c>
      <c r="F1475">
        <f>IF(Sync!$AJ1475="","",Sync!$AJ1475)</f>
        <v/>
      </c>
      <c r="G1475">
        <f>IF($F1475="","",IF(Sync!$AG1475="","",IF(ISNUMBER(Sync!$AG1475),IF(AND(Sync!$AG1475&gt;=10000101,Sync!$AG1475&lt;=99991231),INT(Sync!$AG1475/10000),""),IFERROR(VALUE(TRIM(LEFT(Sync!$AG1475,FIND("/",Sync!$AG1475)-1))),""))))</f>
        <v/>
      </c>
      <c r="H1475">
        <f>IF(OR($F1475="",$G1475=""),"",IF(ISNUMBER(Sync!$AG1475),INT(MOD(Sync!$AG1475,10000)/100),IFERROR(VALUE(TRIM(LEFT(MID(Sync!$AG1475,FIND("/",Sync!$AG1475)+1,20),FIND("/",MID(Sync!$AG1475,FIND("/",Sync!$AG1475)+1,20))-1))),"")))</f>
        <v/>
      </c>
      <c r="I1475">
        <f>IF(OR($F1475="",$G1475=""),"",IF(ISNUMBER(Sync!$AG1475),MOD(Sync!$AG1475,100),IFERROR(VALUE(TRIM(MID(MID(Sync!$AG1475,FIND("/",Sync!$AG1475)+1,20),FIND("/",MID(Sync!$AG1475,FIND("/",Sync!$AG1475)+1,20))+1,20))),"")))</f>
        <v/>
      </c>
      <c r="J1475">
        <f>IF($F1475="","",IF(OR($G1475="",$H1475="",$I1475="",$G1475&lt;1300,$G1475&gt;1500,$H1475&lt;1,$H1475&gt;12,$I1475&lt;1,$I1475&gt;31),"نامعتبر",RIGHT("0000"&amp;$G1475,4)&amp;"/"&amp;RIGHT("00"&amp;$H1475,2)&amp;"/"&amp;RIGHT("00"&amp;$I1475,2)))</f>
        <v/>
      </c>
      <c r="K1475">
        <f>IF(OR($F1475="",$J1475="",$J1475="نامعتبر"),"",LEFT($J1475,4)&amp;MID($J1475,6,2)&amp;RIGHT($J1475,2)&amp;$N1475&amp;"|"&amp;"2"&amp;RIGHT("00000"&amp;1470,5))</f>
        <v/>
      </c>
      <c r="L1475">
        <f>IF($K1475="","",COUNTIFS(LdgPartyA,$F1475,LdgKeyA,"&lt;"&amp;$K1475)+COUNTIFS(LdgPartyB,$F1475,LdgKeyB,"&lt;"&amp;$K1475)+1)</f>
        <v/>
      </c>
      <c r="M1475">
        <f>IF($L1475="","",$F1475&amp;"|"&amp;RIGHT("000000"&amp;$L1475,6))</f>
        <v/>
      </c>
      <c r="N1475">
        <f>IF($F1475="","",IF(Sync!$AH1475="","0000",IF(AND(ISNUMBER(Sync!$AH1475),Sync!$AH1475&gt;=0,Sync!$AH1475&lt;1),RIGHT("00"&amp;HOUR(Sync!$AH1475),2)&amp;RIGHT("00"&amp;MINUTE(Sync!$AH1475),2),IFERROR(RIGHT("00"&amp;VALUE(LEFT(Sync!$AH1475,FIND(":",Sync!$AH1475)-1)),2)&amp;RIGHT("00"&amp;VALUE(MID(Sync!$AH1475,FIND(":",Sync!$AH1475)+1,2)),2),"0000"))))</f>
        <v/>
      </c>
    </row>
    <row r="1476">
      <c r="A1476">
        <f>IF(OR(Calc!$E1479="",Calc!$E1479="نامعتبر",Calc!$G1479="",Calc!$I1479&lt;&gt;"خرید"),"",Calc!$G1479)</f>
        <v/>
      </c>
      <c r="B1476">
        <f>IF($A1476="","",LEFT(Calc!$E1479,4)&amp;MID(Calc!$E1479,6,2)&amp;RIGHT(Calc!$E1479,2)&amp;Calc!$R1479&amp;"|"&amp;"1"&amp;RIGHT("00000"&amp;1471,5))</f>
        <v/>
      </c>
      <c r="C1476">
        <f>IF($B1476="","",COUNTIFS(LdgPartyA,$A1476,LdgKeyA,"&lt;"&amp;$B1476)+COUNTIFS(LdgPartyB,$A1476,LdgKeyB,"&lt;"&amp;$B1476)+1)</f>
        <v/>
      </c>
      <c r="D1476">
        <f>IF($C1476="","",$A1476&amp;"|"&amp;RIGHT("000000"&amp;$C1476,6))</f>
        <v/>
      </c>
      <c r="F1476">
        <f>IF(Sync!$AJ1476="","",Sync!$AJ1476)</f>
        <v/>
      </c>
      <c r="G1476">
        <f>IF($F1476="","",IF(Sync!$AG1476="","",IF(ISNUMBER(Sync!$AG1476),IF(AND(Sync!$AG1476&gt;=10000101,Sync!$AG1476&lt;=99991231),INT(Sync!$AG1476/10000),""),IFERROR(VALUE(TRIM(LEFT(Sync!$AG1476,FIND("/",Sync!$AG1476)-1))),""))))</f>
        <v/>
      </c>
      <c r="H1476">
        <f>IF(OR($F1476="",$G1476=""),"",IF(ISNUMBER(Sync!$AG1476),INT(MOD(Sync!$AG1476,10000)/100),IFERROR(VALUE(TRIM(LEFT(MID(Sync!$AG1476,FIND("/",Sync!$AG1476)+1,20),FIND("/",MID(Sync!$AG1476,FIND("/",Sync!$AG1476)+1,20))-1))),"")))</f>
        <v/>
      </c>
      <c r="I1476">
        <f>IF(OR($F1476="",$G1476=""),"",IF(ISNUMBER(Sync!$AG1476),MOD(Sync!$AG1476,100),IFERROR(VALUE(TRIM(MID(MID(Sync!$AG1476,FIND("/",Sync!$AG1476)+1,20),FIND("/",MID(Sync!$AG1476,FIND("/",Sync!$AG1476)+1,20))+1,20))),"")))</f>
        <v/>
      </c>
      <c r="J1476">
        <f>IF($F1476="","",IF(OR($G1476="",$H1476="",$I1476="",$G1476&lt;1300,$G1476&gt;1500,$H1476&lt;1,$H1476&gt;12,$I1476&lt;1,$I1476&gt;31),"نامعتبر",RIGHT("0000"&amp;$G1476,4)&amp;"/"&amp;RIGHT("00"&amp;$H1476,2)&amp;"/"&amp;RIGHT("00"&amp;$I1476,2)))</f>
        <v/>
      </c>
      <c r="K1476">
        <f>IF(OR($F1476="",$J1476="",$J1476="نامعتبر"),"",LEFT($J1476,4)&amp;MID($J1476,6,2)&amp;RIGHT($J1476,2)&amp;$N1476&amp;"|"&amp;"2"&amp;RIGHT("00000"&amp;1471,5))</f>
        <v/>
      </c>
      <c r="L1476">
        <f>IF($K1476="","",COUNTIFS(LdgPartyA,$F1476,LdgKeyA,"&lt;"&amp;$K1476)+COUNTIFS(LdgPartyB,$F1476,LdgKeyB,"&lt;"&amp;$K1476)+1)</f>
        <v/>
      </c>
      <c r="M1476">
        <f>IF($L1476="","",$F1476&amp;"|"&amp;RIGHT("000000"&amp;$L1476,6))</f>
        <v/>
      </c>
      <c r="N1476">
        <f>IF($F1476="","",IF(Sync!$AH1476="","0000",IF(AND(ISNUMBER(Sync!$AH1476),Sync!$AH1476&gt;=0,Sync!$AH1476&lt;1),RIGHT("00"&amp;HOUR(Sync!$AH1476),2)&amp;RIGHT("00"&amp;MINUTE(Sync!$AH1476),2),IFERROR(RIGHT("00"&amp;VALUE(LEFT(Sync!$AH1476,FIND(":",Sync!$AH1476)-1)),2)&amp;RIGHT("00"&amp;VALUE(MID(Sync!$AH1476,FIND(":",Sync!$AH1476)+1,2)),2),"0000"))))</f>
        <v/>
      </c>
    </row>
    <row r="1477">
      <c r="A1477">
        <f>IF(OR(Calc!$E1480="",Calc!$E1480="نامعتبر",Calc!$G1480="",Calc!$I1480&lt;&gt;"خرید"),"",Calc!$G1480)</f>
        <v/>
      </c>
      <c r="B1477">
        <f>IF($A1477="","",LEFT(Calc!$E1480,4)&amp;MID(Calc!$E1480,6,2)&amp;RIGHT(Calc!$E1480,2)&amp;Calc!$R1480&amp;"|"&amp;"1"&amp;RIGHT("00000"&amp;1472,5))</f>
        <v/>
      </c>
      <c r="C1477">
        <f>IF($B1477="","",COUNTIFS(LdgPartyA,$A1477,LdgKeyA,"&lt;"&amp;$B1477)+COUNTIFS(LdgPartyB,$A1477,LdgKeyB,"&lt;"&amp;$B1477)+1)</f>
        <v/>
      </c>
      <c r="D1477">
        <f>IF($C1477="","",$A1477&amp;"|"&amp;RIGHT("000000"&amp;$C1477,6))</f>
        <v/>
      </c>
      <c r="F1477">
        <f>IF(Sync!$AJ1477="","",Sync!$AJ1477)</f>
        <v/>
      </c>
      <c r="G1477">
        <f>IF($F1477="","",IF(Sync!$AG1477="","",IF(ISNUMBER(Sync!$AG1477),IF(AND(Sync!$AG1477&gt;=10000101,Sync!$AG1477&lt;=99991231),INT(Sync!$AG1477/10000),""),IFERROR(VALUE(TRIM(LEFT(Sync!$AG1477,FIND("/",Sync!$AG1477)-1))),""))))</f>
        <v/>
      </c>
      <c r="H1477">
        <f>IF(OR($F1477="",$G1477=""),"",IF(ISNUMBER(Sync!$AG1477),INT(MOD(Sync!$AG1477,10000)/100),IFERROR(VALUE(TRIM(LEFT(MID(Sync!$AG1477,FIND("/",Sync!$AG1477)+1,20),FIND("/",MID(Sync!$AG1477,FIND("/",Sync!$AG1477)+1,20))-1))),"")))</f>
        <v/>
      </c>
      <c r="I1477">
        <f>IF(OR($F1477="",$G1477=""),"",IF(ISNUMBER(Sync!$AG1477),MOD(Sync!$AG1477,100),IFERROR(VALUE(TRIM(MID(MID(Sync!$AG1477,FIND("/",Sync!$AG1477)+1,20),FIND("/",MID(Sync!$AG1477,FIND("/",Sync!$AG1477)+1,20))+1,20))),"")))</f>
        <v/>
      </c>
      <c r="J1477">
        <f>IF($F1477="","",IF(OR($G1477="",$H1477="",$I1477="",$G1477&lt;1300,$G1477&gt;1500,$H1477&lt;1,$H1477&gt;12,$I1477&lt;1,$I1477&gt;31),"نامعتبر",RIGHT("0000"&amp;$G1477,4)&amp;"/"&amp;RIGHT("00"&amp;$H1477,2)&amp;"/"&amp;RIGHT("00"&amp;$I1477,2)))</f>
        <v/>
      </c>
      <c r="K1477">
        <f>IF(OR($F1477="",$J1477="",$J1477="نامعتبر"),"",LEFT($J1477,4)&amp;MID($J1477,6,2)&amp;RIGHT($J1477,2)&amp;$N1477&amp;"|"&amp;"2"&amp;RIGHT("00000"&amp;1472,5))</f>
        <v/>
      </c>
      <c r="L1477">
        <f>IF($K1477="","",COUNTIFS(LdgPartyA,$F1477,LdgKeyA,"&lt;"&amp;$K1477)+COUNTIFS(LdgPartyB,$F1477,LdgKeyB,"&lt;"&amp;$K1477)+1)</f>
        <v/>
      </c>
      <c r="M1477">
        <f>IF($L1477="","",$F1477&amp;"|"&amp;RIGHT("000000"&amp;$L1477,6))</f>
        <v/>
      </c>
      <c r="N1477">
        <f>IF($F1477="","",IF(Sync!$AH1477="","0000",IF(AND(ISNUMBER(Sync!$AH1477),Sync!$AH1477&gt;=0,Sync!$AH1477&lt;1),RIGHT("00"&amp;HOUR(Sync!$AH1477),2)&amp;RIGHT("00"&amp;MINUTE(Sync!$AH1477),2),IFERROR(RIGHT("00"&amp;VALUE(LEFT(Sync!$AH1477,FIND(":",Sync!$AH1477)-1)),2)&amp;RIGHT("00"&amp;VALUE(MID(Sync!$AH1477,FIND(":",Sync!$AH1477)+1,2)),2),"0000"))))</f>
        <v/>
      </c>
    </row>
    <row r="1478">
      <c r="A1478">
        <f>IF(OR(Calc!$E1481="",Calc!$E1481="نامعتبر",Calc!$G1481="",Calc!$I1481&lt;&gt;"خرید"),"",Calc!$G1481)</f>
        <v/>
      </c>
      <c r="B1478">
        <f>IF($A1478="","",LEFT(Calc!$E1481,4)&amp;MID(Calc!$E1481,6,2)&amp;RIGHT(Calc!$E1481,2)&amp;Calc!$R1481&amp;"|"&amp;"1"&amp;RIGHT("00000"&amp;1473,5))</f>
        <v/>
      </c>
      <c r="C1478">
        <f>IF($B1478="","",COUNTIFS(LdgPartyA,$A1478,LdgKeyA,"&lt;"&amp;$B1478)+COUNTIFS(LdgPartyB,$A1478,LdgKeyB,"&lt;"&amp;$B1478)+1)</f>
        <v/>
      </c>
      <c r="D1478">
        <f>IF($C1478="","",$A1478&amp;"|"&amp;RIGHT("000000"&amp;$C1478,6))</f>
        <v/>
      </c>
      <c r="F1478">
        <f>IF(Sync!$AJ1478="","",Sync!$AJ1478)</f>
        <v/>
      </c>
      <c r="G1478">
        <f>IF($F1478="","",IF(Sync!$AG1478="","",IF(ISNUMBER(Sync!$AG1478),IF(AND(Sync!$AG1478&gt;=10000101,Sync!$AG1478&lt;=99991231),INT(Sync!$AG1478/10000),""),IFERROR(VALUE(TRIM(LEFT(Sync!$AG1478,FIND("/",Sync!$AG1478)-1))),""))))</f>
        <v/>
      </c>
      <c r="H1478">
        <f>IF(OR($F1478="",$G1478=""),"",IF(ISNUMBER(Sync!$AG1478),INT(MOD(Sync!$AG1478,10000)/100),IFERROR(VALUE(TRIM(LEFT(MID(Sync!$AG1478,FIND("/",Sync!$AG1478)+1,20),FIND("/",MID(Sync!$AG1478,FIND("/",Sync!$AG1478)+1,20))-1))),"")))</f>
        <v/>
      </c>
      <c r="I1478">
        <f>IF(OR($F1478="",$G1478=""),"",IF(ISNUMBER(Sync!$AG1478),MOD(Sync!$AG1478,100),IFERROR(VALUE(TRIM(MID(MID(Sync!$AG1478,FIND("/",Sync!$AG1478)+1,20),FIND("/",MID(Sync!$AG1478,FIND("/",Sync!$AG1478)+1,20))+1,20))),"")))</f>
        <v/>
      </c>
      <c r="J1478">
        <f>IF($F1478="","",IF(OR($G1478="",$H1478="",$I1478="",$G1478&lt;1300,$G1478&gt;1500,$H1478&lt;1,$H1478&gt;12,$I1478&lt;1,$I1478&gt;31),"نامعتبر",RIGHT("0000"&amp;$G1478,4)&amp;"/"&amp;RIGHT("00"&amp;$H1478,2)&amp;"/"&amp;RIGHT("00"&amp;$I1478,2)))</f>
        <v/>
      </c>
      <c r="K1478">
        <f>IF(OR($F1478="",$J1478="",$J1478="نامعتبر"),"",LEFT($J1478,4)&amp;MID($J1478,6,2)&amp;RIGHT($J1478,2)&amp;$N1478&amp;"|"&amp;"2"&amp;RIGHT("00000"&amp;1473,5))</f>
        <v/>
      </c>
      <c r="L1478">
        <f>IF($K1478="","",COUNTIFS(LdgPartyA,$F1478,LdgKeyA,"&lt;"&amp;$K1478)+COUNTIFS(LdgPartyB,$F1478,LdgKeyB,"&lt;"&amp;$K1478)+1)</f>
        <v/>
      </c>
      <c r="M1478">
        <f>IF($L1478="","",$F1478&amp;"|"&amp;RIGHT("000000"&amp;$L1478,6))</f>
        <v/>
      </c>
      <c r="N1478">
        <f>IF($F1478="","",IF(Sync!$AH1478="","0000",IF(AND(ISNUMBER(Sync!$AH1478),Sync!$AH1478&gt;=0,Sync!$AH1478&lt;1),RIGHT("00"&amp;HOUR(Sync!$AH1478),2)&amp;RIGHT("00"&amp;MINUTE(Sync!$AH1478),2),IFERROR(RIGHT("00"&amp;VALUE(LEFT(Sync!$AH1478,FIND(":",Sync!$AH1478)-1)),2)&amp;RIGHT("00"&amp;VALUE(MID(Sync!$AH1478,FIND(":",Sync!$AH1478)+1,2)),2),"0000"))))</f>
        <v/>
      </c>
    </row>
    <row r="1479">
      <c r="A1479">
        <f>IF(OR(Calc!$E1482="",Calc!$E1482="نامعتبر",Calc!$G1482="",Calc!$I1482&lt;&gt;"خرید"),"",Calc!$G1482)</f>
        <v/>
      </c>
      <c r="B1479">
        <f>IF($A1479="","",LEFT(Calc!$E1482,4)&amp;MID(Calc!$E1482,6,2)&amp;RIGHT(Calc!$E1482,2)&amp;Calc!$R1482&amp;"|"&amp;"1"&amp;RIGHT("00000"&amp;1474,5))</f>
        <v/>
      </c>
      <c r="C1479">
        <f>IF($B1479="","",COUNTIFS(LdgPartyA,$A1479,LdgKeyA,"&lt;"&amp;$B1479)+COUNTIFS(LdgPartyB,$A1479,LdgKeyB,"&lt;"&amp;$B1479)+1)</f>
        <v/>
      </c>
      <c r="D1479">
        <f>IF($C1479="","",$A1479&amp;"|"&amp;RIGHT("000000"&amp;$C1479,6))</f>
        <v/>
      </c>
      <c r="F1479">
        <f>IF(Sync!$AJ1479="","",Sync!$AJ1479)</f>
        <v/>
      </c>
      <c r="G1479">
        <f>IF($F1479="","",IF(Sync!$AG1479="","",IF(ISNUMBER(Sync!$AG1479),IF(AND(Sync!$AG1479&gt;=10000101,Sync!$AG1479&lt;=99991231),INT(Sync!$AG1479/10000),""),IFERROR(VALUE(TRIM(LEFT(Sync!$AG1479,FIND("/",Sync!$AG1479)-1))),""))))</f>
        <v/>
      </c>
      <c r="H1479">
        <f>IF(OR($F1479="",$G1479=""),"",IF(ISNUMBER(Sync!$AG1479),INT(MOD(Sync!$AG1479,10000)/100),IFERROR(VALUE(TRIM(LEFT(MID(Sync!$AG1479,FIND("/",Sync!$AG1479)+1,20),FIND("/",MID(Sync!$AG1479,FIND("/",Sync!$AG1479)+1,20))-1))),"")))</f>
        <v/>
      </c>
      <c r="I1479">
        <f>IF(OR($F1479="",$G1479=""),"",IF(ISNUMBER(Sync!$AG1479),MOD(Sync!$AG1479,100),IFERROR(VALUE(TRIM(MID(MID(Sync!$AG1479,FIND("/",Sync!$AG1479)+1,20),FIND("/",MID(Sync!$AG1479,FIND("/",Sync!$AG1479)+1,20))+1,20))),"")))</f>
        <v/>
      </c>
      <c r="J1479">
        <f>IF($F1479="","",IF(OR($G1479="",$H1479="",$I1479="",$G1479&lt;1300,$G1479&gt;1500,$H1479&lt;1,$H1479&gt;12,$I1479&lt;1,$I1479&gt;31),"نامعتبر",RIGHT("0000"&amp;$G1479,4)&amp;"/"&amp;RIGHT("00"&amp;$H1479,2)&amp;"/"&amp;RIGHT("00"&amp;$I1479,2)))</f>
        <v/>
      </c>
      <c r="K1479">
        <f>IF(OR($F1479="",$J1479="",$J1479="نامعتبر"),"",LEFT($J1479,4)&amp;MID($J1479,6,2)&amp;RIGHT($J1479,2)&amp;$N1479&amp;"|"&amp;"2"&amp;RIGHT("00000"&amp;1474,5))</f>
        <v/>
      </c>
      <c r="L1479">
        <f>IF($K1479="","",COUNTIFS(LdgPartyA,$F1479,LdgKeyA,"&lt;"&amp;$K1479)+COUNTIFS(LdgPartyB,$F1479,LdgKeyB,"&lt;"&amp;$K1479)+1)</f>
        <v/>
      </c>
      <c r="M1479">
        <f>IF($L1479="","",$F1479&amp;"|"&amp;RIGHT("000000"&amp;$L1479,6))</f>
        <v/>
      </c>
      <c r="N1479">
        <f>IF($F1479="","",IF(Sync!$AH1479="","0000",IF(AND(ISNUMBER(Sync!$AH1479),Sync!$AH1479&gt;=0,Sync!$AH1479&lt;1),RIGHT("00"&amp;HOUR(Sync!$AH1479),2)&amp;RIGHT("00"&amp;MINUTE(Sync!$AH1479),2),IFERROR(RIGHT("00"&amp;VALUE(LEFT(Sync!$AH1479,FIND(":",Sync!$AH1479)-1)),2)&amp;RIGHT("00"&amp;VALUE(MID(Sync!$AH1479,FIND(":",Sync!$AH1479)+1,2)),2),"0000"))))</f>
        <v/>
      </c>
    </row>
    <row r="1480">
      <c r="A1480">
        <f>IF(OR(Calc!$E1483="",Calc!$E1483="نامعتبر",Calc!$G1483="",Calc!$I1483&lt;&gt;"خرید"),"",Calc!$G1483)</f>
        <v/>
      </c>
      <c r="B1480">
        <f>IF($A1480="","",LEFT(Calc!$E1483,4)&amp;MID(Calc!$E1483,6,2)&amp;RIGHT(Calc!$E1483,2)&amp;Calc!$R1483&amp;"|"&amp;"1"&amp;RIGHT("00000"&amp;1475,5))</f>
        <v/>
      </c>
      <c r="C1480">
        <f>IF($B1480="","",COUNTIFS(LdgPartyA,$A1480,LdgKeyA,"&lt;"&amp;$B1480)+COUNTIFS(LdgPartyB,$A1480,LdgKeyB,"&lt;"&amp;$B1480)+1)</f>
        <v/>
      </c>
      <c r="D1480">
        <f>IF($C1480="","",$A1480&amp;"|"&amp;RIGHT("000000"&amp;$C1480,6))</f>
        <v/>
      </c>
      <c r="F1480">
        <f>IF(Sync!$AJ1480="","",Sync!$AJ1480)</f>
        <v/>
      </c>
      <c r="G1480">
        <f>IF($F1480="","",IF(Sync!$AG1480="","",IF(ISNUMBER(Sync!$AG1480),IF(AND(Sync!$AG1480&gt;=10000101,Sync!$AG1480&lt;=99991231),INT(Sync!$AG1480/10000),""),IFERROR(VALUE(TRIM(LEFT(Sync!$AG1480,FIND("/",Sync!$AG1480)-1))),""))))</f>
        <v/>
      </c>
      <c r="H1480">
        <f>IF(OR($F1480="",$G1480=""),"",IF(ISNUMBER(Sync!$AG1480),INT(MOD(Sync!$AG1480,10000)/100),IFERROR(VALUE(TRIM(LEFT(MID(Sync!$AG1480,FIND("/",Sync!$AG1480)+1,20),FIND("/",MID(Sync!$AG1480,FIND("/",Sync!$AG1480)+1,20))-1))),"")))</f>
        <v/>
      </c>
      <c r="I1480">
        <f>IF(OR($F1480="",$G1480=""),"",IF(ISNUMBER(Sync!$AG1480),MOD(Sync!$AG1480,100),IFERROR(VALUE(TRIM(MID(MID(Sync!$AG1480,FIND("/",Sync!$AG1480)+1,20),FIND("/",MID(Sync!$AG1480,FIND("/",Sync!$AG1480)+1,20))+1,20))),"")))</f>
        <v/>
      </c>
      <c r="J1480">
        <f>IF($F1480="","",IF(OR($G1480="",$H1480="",$I1480="",$G1480&lt;1300,$G1480&gt;1500,$H1480&lt;1,$H1480&gt;12,$I1480&lt;1,$I1480&gt;31),"نامعتبر",RIGHT("0000"&amp;$G1480,4)&amp;"/"&amp;RIGHT("00"&amp;$H1480,2)&amp;"/"&amp;RIGHT("00"&amp;$I1480,2)))</f>
        <v/>
      </c>
      <c r="K1480">
        <f>IF(OR($F1480="",$J1480="",$J1480="نامعتبر"),"",LEFT($J1480,4)&amp;MID($J1480,6,2)&amp;RIGHT($J1480,2)&amp;$N1480&amp;"|"&amp;"2"&amp;RIGHT("00000"&amp;1475,5))</f>
        <v/>
      </c>
      <c r="L1480">
        <f>IF($K1480="","",COUNTIFS(LdgPartyA,$F1480,LdgKeyA,"&lt;"&amp;$K1480)+COUNTIFS(LdgPartyB,$F1480,LdgKeyB,"&lt;"&amp;$K1480)+1)</f>
        <v/>
      </c>
      <c r="M1480">
        <f>IF($L1480="","",$F1480&amp;"|"&amp;RIGHT("000000"&amp;$L1480,6))</f>
        <v/>
      </c>
      <c r="N1480">
        <f>IF($F1480="","",IF(Sync!$AH1480="","0000",IF(AND(ISNUMBER(Sync!$AH1480),Sync!$AH1480&gt;=0,Sync!$AH1480&lt;1),RIGHT("00"&amp;HOUR(Sync!$AH1480),2)&amp;RIGHT("00"&amp;MINUTE(Sync!$AH1480),2),IFERROR(RIGHT("00"&amp;VALUE(LEFT(Sync!$AH1480,FIND(":",Sync!$AH1480)-1)),2)&amp;RIGHT("00"&amp;VALUE(MID(Sync!$AH1480,FIND(":",Sync!$AH1480)+1,2)),2),"0000"))))</f>
        <v/>
      </c>
    </row>
    <row r="1481">
      <c r="A1481">
        <f>IF(OR(Calc!$E1484="",Calc!$E1484="نامعتبر",Calc!$G1484="",Calc!$I1484&lt;&gt;"خرید"),"",Calc!$G1484)</f>
        <v/>
      </c>
      <c r="B1481">
        <f>IF($A1481="","",LEFT(Calc!$E1484,4)&amp;MID(Calc!$E1484,6,2)&amp;RIGHT(Calc!$E1484,2)&amp;Calc!$R1484&amp;"|"&amp;"1"&amp;RIGHT("00000"&amp;1476,5))</f>
        <v/>
      </c>
      <c r="C1481">
        <f>IF($B1481="","",COUNTIFS(LdgPartyA,$A1481,LdgKeyA,"&lt;"&amp;$B1481)+COUNTIFS(LdgPartyB,$A1481,LdgKeyB,"&lt;"&amp;$B1481)+1)</f>
        <v/>
      </c>
      <c r="D1481">
        <f>IF($C1481="","",$A1481&amp;"|"&amp;RIGHT("000000"&amp;$C1481,6))</f>
        <v/>
      </c>
      <c r="F1481">
        <f>IF(Sync!$AJ1481="","",Sync!$AJ1481)</f>
        <v/>
      </c>
      <c r="G1481">
        <f>IF($F1481="","",IF(Sync!$AG1481="","",IF(ISNUMBER(Sync!$AG1481),IF(AND(Sync!$AG1481&gt;=10000101,Sync!$AG1481&lt;=99991231),INT(Sync!$AG1481/10000),""),IFERROR(VALUE(TRIM(LEFT(Sync!$AG1481,FIND("/",Sync!$AG1481)-1))),""))))</f>
        <v/>
      </c>
      <c r="H1481">
        <f>IF(OR($F1481="",$G1481=""),"",IF(ISNUMBER(Sync!$AG1481),INT(MOD(Sync!$AG1481,10000)/100),IFERROR(VALUE(TRIM(LEFT(MID(Sync!$AG1481,FIND("/",Sync!$AG1481)+1,20),FIND("/",MID(Sync!$AG1481,FIND("/",Sync!$AG1481)+1,20))-1))),"")))</f>
        <v/>
      </c>
      <c r="I1481">
        <f>IF(OR($F1481="",$G1481=""),"",IF(ISNUMBER(Sync!$AG1481),MOD(Sync!$AG1481,100),IFERROR(VALUE(TRIM(MID(MID(Sync!$AG1481,FIND("/",Sync!$AG1481)+1,20),FIND("/",MID(Sync!$AG1481,FIND("/",Sync!$AG1481)+1,20))+1,20))),"")))</f>
        <v/>
      </c>
      <c r="J1481">
        <f>IF($F1481="","",IF(OR($G1481="",$H1481="",$I1481="",$G1481&lt;1300,$G1481&gt;1500,$H1481&lt;1,$H1481&gt;12,$I1481&lt;1,$I1481&gt;31),"نامعتبر",RIGHT("0000"&amp;$G1481,4)&amp;"/"&amp;RIGHT("00"&amp;$H1481,2)&amp;"/"&amp;RIGHT("00"&amp;$I1481,2)))</f>
        <v/>
      </c>
      <c r="K1481">
        <f>IF(OR($F1481="",$J1481="",$J1481="نامعتبر"),"",LEFT($J1481,4)&amp;MID($J1481,6,2)&amp;RIGHT($J1481,2)&amp;$N1481&amp;"|"&amp;"2"&amp;RIGHT("00000"&amp;1476,5))</f>
        <v/>
      </c>
      <c r="L1481">
        <f>IF($K1481="","",COUNTIFS(LdgPartyA,$F1481,LdgKeyA,"&lt;"&amp;$K1481)+COUNTIFS(LdgPartyB,$F1481,LdgKeyB,"&lt;"&amp;$K1481)+1)</f>
        <v/>
      </c>
      <c r="M1481">
        <f>IF($L1481="","",$F1481&amp;"|"&amp;RIGHT("000000"&amp;$L1481,6))</f>
        <v/>
      </c>
      <c r="N1481">
        <f>IF($F1481="","",IF(Sync!$AH1481="","0000",IF(AND(ISNUMBER(Sync!$AH1481),Sync!$AH1481&gt;=0,Sync!$AH1481&lt;1),RIGHT("00"&amp;HOUR(Sync!$AH1481),2)&amp;RIGHT("00"&amp;MINUTE(Sync!$AH1481),2),IFERROR(RIGHT("00"&amp;VALUE(LEFT(Sync!$AH1481,FIND(":",Sync!$AH1481)-1)),2)&amp;RIGHT("00"&amp;VALUE(MID(Sync!$AH1481,FIND(":",Sync!$AH1481)+1,2)),2),"0000"))))</f>
        <v/>
      </c>
    </row>
    <row r="1482">
      <c r="A1482">
        <f>IF(OR(Calc!$E1485="",Calc!$E1485="نامعتبر",Calc!$G1485="",Calc!$I1485&lt;&gt;"خرید"),"",Calc!$G1485)</f>
        <v/>
      </c>
      <c r="B1482">
        <f>IF($A1482="","",LEFT(Calc!$E1485,4)&amp;MID(Calc!$E1485,6,2)&amp;RIGHT(Calc!$E1485,2)&amp;Calc!$R1485&amp;"|"&amp;"1"&amp;RIGHT("00000"&amp;1477,5))</f>
        <v/>
      </c>
      <c r="C1482">
        <f>IF($B1482="","",COUNTIFS(LdgPartyA,$A1482,LdgKeyA,"&lt;"&amp;$B1482)+COUNTIFS(LdgPartyB,$A1482,LdgKeyB,"&lt;"&amp;$B1482)+1)</f>
        <v/>
      </c>
      <c r="D1482">
        <f>IF($C1482="","",$A1482&amp;"|"&amp;RIGHT("000000"&amp;$C1482,6))</f>
        <v/>
      </c>
      <c r="F1482">
        <f>IF(Sync!$AJ1482="","",Sync!$AJ1482)</f>
        <v/>
      </c>
      <c r="G1482">
        <f>IF($F1482="","",IF(Sync!$AG1482="","",IF(ISNUMBER(Sync!$AG1482),IF(AND(Sync!$AG1482&gt;=10000101,Sync!$AG1482&lt;=99991231),INT(Sync!$AG1482/10000),""),IFERROR(VALUE(TRIM(LEFT(Sync!$AG1482,FIND("/",Sync!$AG1482)-1))),""))))</f>
        <v/>
      </c>
      <c r="H1482">
        <f>IF(OR($F1482="",$G1482=""),"",IF(ISNUMBER(Sync!$AG1482),INT(MOD(Sync!$AG1482,10000)/100),IFERROR(VALUE(TRIM(LEFT(MID(Sync!$AG1482,FIND("/",Sync!$AG1482)+1,20),FIND("/",MID(Sync!$AG1482,FIND("/",Sync!$AG1482)+1,20))-1))),"")))</f>
        <v/>
      </c>
      <c r="I1482">
        <f>IF(OR($F1482="",$G1482=""),"",IF(ISNUMBER(Sync!$AG1482),MOD(Sync!$AG1482,100),IFERROR(VALUE(TRIM(MID(MID(Sync!$AG1482,FIND("/",Sync!$AG1482)+1,20),FIND("/",MID(Sync!$AG1482,FIND("/",Sync!$AG1482)+1,20))+1,20))),"")))</f>
        <v/>
      </c>
      <c r="J1482">
        <f>IF($F1482="","",IF(OR($G1482="",$H1482="",$I1482="",$G1482&lt;1300,$G1482&gt;1500,$H1482&lt;1,$H1482&gt;12,$I1482&lt;1,$I1482&gt;31),"نامعتبر",RIGHT("0000"&amp;$G1482,4)&amp;"/"&amp;RIGHT("00"&amp;$H1482,2)&amp;"/"&amp;RIGHT("00"&amp;$I1482,2)))</f>
        <v/>
      </c>
      <c r="K1482">
        <f>IF(OR($F1482="",$J1482="",$J1482="نامعتبر"),"",LEFT($J1482,4)&amp;MID($J1482,6,2)&amp;RIGHT($J1482,2)&amp;$N1482&amp;"|"&amp;"2"&amp;RIGHT("00000"&amp;1477,5))</f>
        <v/>
      </c>
      <c r="L1482">
        <f>IF($K1482="","",COUNTIFS(LdgPartyA,$F1482,LdgKeyA,"&lt;"&amp;$K1482)+COUNTIFS(LdgPartyB,$F1482,LdgKeyB,"&lt;"&amp;$K1482)+1)</f>
        <v/>
      </c>
      <c r="M1482">
        <f>IF($L1482="","",$F1482&amp;"|"&amp;RIGHT("000000"&amp;$L1482,6))</f>
        <v/>
      </c>
      <c r="N1482">
        <f>IF($F1482="","",IF(Sync!$AH1482="","0000",IF(AND(ISNUMBER(Sync!$AH1482),Sync!$AH1482&gt;=0,Sync!$AH1482&lt;1),RIGHT("00"&amp;HOUR(Sync!$AH1482),2)&amp;RIGHT("00"&amp;MINUTE(Sync!$AH1482),2),IFERROR(RIGHT("00"&amp;VALUE(LEFT(Sync!$AH1482,FIND(":",Sync!$AH1482)-1)),2)&amp;RIGHT("00"&amp;VALUE(MID(Sync!$AH1482,FIND(":",Sync!$AH1482)+1,2)),2),"0000"))))</f>
        <v/>
      </c>
    </row>
    <row r="1483">
      <c r="A1483">
        <f>IF(OR(Calc!$E1486="",Calc!$E1486="نامعتبر",Calc!$G1486="",Calc!$I1486&lt;&gt;"خرید"),"",Calc!$G1486)</f>
        <v/>
      </c>
      <c r="B1483">
        <f>IF($A1483="","",LEFT(Calc!$E1486,4)&amp;MID(Calc!$E1486,6,2)&amp;RIGHT(Calc!$E1486,2)&amp;Calc!$R1486&amp;"|"&amp;"1"&amp;RIGHT("00000"&amp;1478,5))</f>
        <v/>
      </c>
      <c r="C1483">
        <f>IF($B1483="","",COUNTIFS(LdgPartyA,$A1483,LdgKeyA,"&lt;"&amp;$B1483)+COUNTIFS(LdgPartyB,$A1483,LdgKeyB,"&lt;"&amp;$B1483)+1)</f>
        <v/>
      </c>
      <c r="D1483">
        <f>IF($C1483="","",$A1483&amp;"|"&amp;RIGHT("000000"&amp;$C1483,6))</f>
        <v/>
      </c>
      <c r="F1483">
        <f>IF(Sync!$AJ1483="","",Sync!$AJ1483)</f>
        <v/>
      </c>
      <c r="G1483">
        <f>IF($F1483="","",IF(Sync!$AG1483="","",IF(ISNUMBER(Sync!$AG1483),IF(AND(Sync!$AG1483&gt;=10000101,Sync!$AG1483&lt;=99991231),INT(Sync!$AG1483/10000),""),IFERROR(VALUE(TRIM(LEFT(Sync!$AG1483,FIND("/",Sync!$AG1483)-1))),""))))</f>
        <v/>
      </c>
      <c r="H1483">
        <f>IF(OR($F1483="",$G1483=""),"",IF(ISNUMBER(Sync!$AG1483),INT(MOD(Sync!$AG1483,10000)/100),IFERROR(VALUE(TRIM(LEFT(MID(Sync!$AG1483,FIND("/",Sync!$AG1483)+1,20),FIND("/",MID(Sync!$AG1483,FIND("/",Sync!$AG1483)+1,20))-1))),"")))</f>
        <v/>
      </c>
      <c r="I1483">
        <f>IF(OR($F1483="",$G1483=""),"",IF(ISNUMBER(Sync!$AG1483),MOD(Sync!$AG1483,100),IFERROR(VALUE(TRIM(MID(MID(Sync!$AG1483,FIND("/",Sync!$AG1483)+1,20),FIND("/",MID(Sync!$AG1483,FIND("/",Sync!$AG1483)+1,20))+1,20))),"")))</f>
        <v/>
      </c>
      <c r="J1483">
        <f>IF($F1483="","",IF(OR($G1483="",$H1483="",$I1483="",$G1483&lt;1300,$G1483&gt;1500,$H1483&lt;1,$H1483&gt;12,$I1483&lt;1,$I1483&gt;31),"نامعتبر",RIGHT("0000"&amp;$G1483,4)&amp;"/"&amp;RIGHT("00"&amp;$H1483,2)&amp;"/"&amp;RIGHT("00"&amp;$I1483,2)))</f>
        <v/>
      </c>
      <c r="K1483">
        <f>IF(OR($F1483="",$J1483="",$J1483="نامعتبر"),"",LEFT($J1483,4)&amp;MID($J1483,6,2)&amp;RIGHT($J1483,2)&amp;$N1483&amp;"|"&amp;"2"&amp;RIGHT("00000"&amp;1478,5))</f>
        <v/>
      </c>
      <c r="L1483">
        <f>IF($K1483="","",COUNTIFS(LdgPartyA,$F1483,LdgKeyA,"&lt;"&amp;$K1483)+COUNTIFS(LdgPartyB,$F1483,LdgKeyB,"&lt;"&amp;$K1483)+1)</f>
        <v/>
      </c>
      <c r="M1483">
        <f>IF($L1483="","",$F1483&amp;"|"&amp;RIGHT("000000"&amp;$L1483,6))</f>
        <v/>
      </c>
      <c r="N1483">
        <f>IF($F1483="","",IF(Sync!$AH1483="","0000",IF(AND(ISNUMBER(Sync!$AH1483),Sync!$AH1483&gt;=0,Sync!$AH1483&lt;1),RIGHT("00"&amp;HOUR(Sync!$AH1483),2)&amp;RIGHT("00"&amp;MINUTE(Sync!$AH1483),2),IFERROR(RIGHT("00"&amp;VALUE(LEFT(Sync!$AH1483,FIND(":",Sync!$AH1483)-1)),2)&amp;RIGHT("00"&amp;VALUE(MID(Sync!$AH1483,FIND(":",Sync!$AH1483)+1,2)),2),"0000"))))</f>
        <v/>
      </c>
    </row>
    <row r="1484">
      <c r="A1484">
        <f>IF(OR(Calc!$E1487="",Calc!$E1487="نامعتبر",Calc!$G1487="",Calc!$I1487&lt;&gt;"خرید"),"",Calc!$G1487)</f>
        <v/>
      </c>
      <c r="B1484">
        <f>IF($A1484="","",LEFT(Calc!$E1487,4)&amp;MID(Calc!$E1487,6,2)&amp;RIGHT(Calc!$E1487,2)&amp;Calc!$R1487&amp;"|"&amp;"1"&amp;RIGHT("00000"&amp;1479,5))</f>
        <v/>
      </c>
      <c r="C1484">
        <f>IF($B1484="","",COUNTIFS(LdgPartyA,$A1484,LdgKeyA,"&lt;"&amp;$B1484)+COUNTIFS(LdgPartyB,$A1484,LdgKeyB,"&lt;"&amp;$B1484)+1)</f>
        <v/>
      </c>
      <c r="D1484">
        <f>IF($C1484="","",$A1484&amp;"|"&amp;RIGHT("000000"&amp;$C1484,6))</f>
        <v/>
      </c>
      <c r="F1484">
        <f>IF(Sync!$AJ1484="","",Sync!$AJ1484)</f>
        <v/>
      </c>
      <c r="G1484">
        <f>IF($F1484="","",IF(Sync!$AG1484="","",IF(ISNUMBER(Sync!$AG1484),IF(AND(Sync!$AG1484&gt;=10000101,Sync!$AG1484&lt;=99991231),INT(Sync!$AG1484/10000),""),IFERROR(VALUE(TRIM(LEFT(Sync!$AG1484,FIND("/",Sync!$AG1484)-1))),""))))</f>
        <v/>
      </c>
      <c r="H1484">
        <f>IF(OR($F1484="",$G1484=""),"",IF(ISNUMBER(Sync!$AG1484),INT(MOD(Sync!$AG1484,10000)/100),IFERROR(VALUE(TRIM(LEFT(MID(Sync!$AG1484,FIND("/",Sync!$AG1484)+1,20),FIND("/",MID(Sync!$AG1484,FIND("/",Sync!$AG1484)+1,20))-1))),"")))</f>
        <v/>
      </c>
      <c r="I1484">
        <f>IF(OR($F1484="",$G1484=""),"",IF(ISNUMBER(Sync!$AG1484),MOD(Sync!$AG1484,100),IFERROR(VALUE(TRIM(MID(MID(Sync!$AG1484,FIND("/",Sync!$AG1484)+1,20),FIND("/",MID(Sync!$AG1484,FIND("/",Sync!$AG1484)+1,20))+1,20))),"")))</f>
        <v/>
      </c>
      <c r="J1484">
        <f>IF($F1484="","",IF(OR($G1484="",$H1484="",$I1484="",$G1484&lt;1300,$G1484&gt;1500,$H1484&lt;1,$H1484&gt;12,$I1484&lt;1,$I1484&gt;31),"نامعتبر",RIGHT("0000"&amp;$G1484,4)&amp;"/"&amp;RIGHT("00"&amp;$H1484,2)&amp;"/"&amp;RIGHT("00"&amp;$I1484,2)))</f>
        <v/>
      </c>
      <c r="K1484">
        <f>IF(OR($F1484="",$J1484="",$J1484="نامعتبر"),"",LEFT($J1484,4)&amp;MID($J1484,6,2)&amp;RIGHT($J1484,2)&amp;$N1484&amp;"|"&amp;"2"&amp;RIGHT("00000"&amp;1479,5))</f>
        <v/>
      </c>
      <c r="L1484">
        <f>IF($K1484="","",COUNTIFS(LdgPartyA,$F1484,LdgKeyA,"&lt;"&amp;$K1484)+COUNTIFS(LdgPartyB,$F1484,LdgKeyB,"&lt;"&amp;$K1484)+1)</f>
        <v/>
      </c>
      <c r="M1484">
        <f>IF($L1484="","",$F1484&amp;"|"&amp;RIGHT("000000"&amp;$L1484,6))</f>
        <v/>
      </c>
      <c r="N1484">
        <f>IF($F1484="","",IF(Sync!$AH1484="","0000",IF(AND(ISNUMBER(Sync!$AH1484),Sync!$AH1484&gt;=0,Sync!$AH1484&lt;1),RIGHT("00"&amp;HOUR(Sync!$AH1484),2)&amp;RIGHT("00"&amp;MINUTE(Sync!$AH1484),2),IFERROR(RIGHT("00"&amp;VALUE(LEFT(Sync!$AH1484,FIND(":",Sync!$AH1484)-1)),2)&amp;RIGHT("00"&amp;VALUE(MID(Sync!$AH1484,FIND(":",Sync!$AH1484)+1,2)),2),"0000"))))</f>
        <v/>
      </c>
    </row>
    <row r="1485">
      <c r="A1485">
        <f>IF(OR(Calc!$E1488="",Calc!$E1488="نامعتبر",Calc!$G1488="",Calc!$I1488&lt;&gt;"خرید"),"",Calc!$G1488)</f>
        <v/>
      </c>
      <c r="B1485">
        <f>IF($A1485="","",LEFT(Calc!$E1488,4)&amp;MID(Calc!$E1488,6,2)&amp;RIGHT(Calc!$E1488,2)&amp;Calc!$R1488&amp;"|"&amp;"1"&amp;RIGHT("00000"&amp;1480,5))</f>
        <v/>
      </c>
      <c r="C1485">
        <f>IF($B1485="","",COUNTIFS(LdgPartyA,$A1485,LdgKeyA,"&lt;"&amp;$B1485)+COUNTIFS(LdgPartyB,$A1485,LdgKeyB,"&lt;"&amp;$B1485)+1)</f>
        <v/>
      </c>
      <c r="D1485">
        <f>IF($C1485="","",$A1485&amp;"|"&amp;RIGHT("000000"&amp;$C1485,6))</f>
        <v/>
      </c>
      <c r="F1485">
        <f>IF(Sync!$AJ1485="","",Sync!$AJ1485)</f>
        <v/>
      </c>
      <c r="G1485">
        <f>IF($F1485="","",IF(Sync!$AG1485="","",IF(ISNUMBER(Sync!$AG1485),IF(AND(Sync!$AG1485&gt;=10000101,Sync!$AG1485&lt;=99991231),INT(Sync!$AG1485/10000),""),IFERROR(VALUE(TRIM(LEFT(Sync!$AG1485,FIND("/",Sync!$AG1485)-1))),""))))</f>
        <v/>
      </c>
      <c r="H1485">
        <f>IF(OR($F1485="",$G1485=""),"",IF(ISNUMBER(Sync!$AG1485),INT(MOD(Sync!$AG1485,10000)/100),IFERROR(VALUE(TRIM(LEFT(MID(Sync!$AG1485,FIND("/",Sync!$AG1485)+1,20),FIND("/",MID(Sync!$AG1485,FIND("/",Sync!$AG1485)+1,20))-1))),"")))</f>
        <v/>
      </c>
      <c r="I1485">
        <f>IF(OR($F1485="",$G1485=""),"",IF(ISNUMBER(Sync!$AG1485),MOD(Sync!$AG1485,100),IFERROR(VALUE(TRIM(MID(MID(Sync!$AG1485,FIND("/",Sync!$AG1485)+1,20),FIND("/",MID(Sync!$AG1485,FIND("/",Sync!$AG1485)+1,20))+1,20))),"")))</f>
        <v/>
      </c>
      <c r="J1485">
        <f>IF($F1485="","",IF(OR($G1485="",$H1485="",$I1485="",$G1485&lt;1300,$G1485&gt;1500,$H1485&lt;1,$H1485&gt;12,$I1485&lt;1,$I1485&gt;31),"نامعتبر",RIGHT("0000"&amp;$G1485,4)&amp;"/"&amp;RIGHT("00"&amp;$H1485,2)&amp;"/"&amp;RIGHT("00"&amp;$I1485,2)))</f>
        <v/>
      </c>
      <c r="K1485">
        <f>IF(OR($F1485="",$J1485="",$J1485="نامعتبر"),"",LEFT($J1485,4)&amp;MID($J1485,6,2)&amp;RIGHT($J1485,2)&amp;$N1485&amp;"|"&amp;"2"&amp;RIGHT("00000"&amp;1480,5))</f>
        <v/>
      </c>
      <c r="L1485">
        <f>IF($K1485="","",COUNTIFS(LdgPartyA,$F1485,LdgKeyA,"&lt;"&amp;$K1485)+COUNTIFS(LdgPartyB,$F1485,LdgKeyB,"&lt;"&amp;$K1485)+1)</f>
        <v/>
      </c>
      <c r="M1485">
        <f>IF($L1485="","",$F1485&amp;"|"&amp;RIGHT("000000"&amp;$L1485,6))</f>
        <v/>
      </c>
      <c r="N1485">
        <f>IF($F1485="","",IF(Sync!$AH1485="","0000",IF(AND(ISNUMBER(Sync!$AH1485),Sync!$AH1485&gt;=0,Sync!$AH1485&lt;1),RIGHT("00"&amp;HOUR(Sync!$AH1485),2)&amp;RIGHT("00"&amp;MINUTE(Sync!$AH1485),2),IFERROR(RIGHT("00"&amp;VALUE(LEFT(Sync!$AH1485,FIND(":",Sync!$AH1485)-1)),2)&amp;RIGHT("00"&amp;VALUE(MID(Sync!$AH1485,FIND(":",Sync!$AH1485)+1,2)),2),"0000"))))</f>
        <v/>
      </c>
    </row>
    <row r="1486">
      <c r="A1486">
        <f>IF(OR(Calc!$E1489="",Calc!$E1489="نامعتبر",Calc!$G1489="",Calc!$I1489&lt;&gt;"خرید"),"",Calc!$G1489)</f>
        <v/>
      </c>
      <c r="B1486">
        <f>IF($A1486="","",LEFT(Calc!$E1489,4)&amp;MID(Calc!$E1489,6,2)&amp;RIGHT(Calc!$E1489,2)&amp;Calc!$R1489&amp;"|"&amp;"1"&amp;RIGHT("00000"&amp;1481,5))</f>
        <v/>
      </c>
      <c r="C1486">
        <f>IF($B1486="","",COUNTIFS(LdgPartyA,$A1486,LdgKeyA,"&lt;"&amp;$B1486)+COUNTIFS(LdgPartyB,$A1486,LdgKeyB,"&lt;"&amp;$B1486)+1)</f>
        <v/>
      </c>
      <c r="D1486">
        <f>IF($C1486="","",$A1486&amp;"|"&amp;RIGHT("000000"&amp;$C1486,6))</f>
        <v/>
      </c>
      <c r="F1486">
        <f>IF(Sync!$AJ1486="","",Sync!$AJ1486)</f>
        <v/>
      </c>
      <c r="G1486">
        <f>IF($F1486="","",IF(Sync!$AG1486="","",IF(ISNUMBER(Sync!$AG1486),IF(AND(Sync!$AG1486&gt;=10000101,Sync!$AG1486&lt;=99991231),INT(Sync!$AG1486/10000),""),IFERROR(VALUE(TRIM(LEFT(Sync!$AG1486,FIND("/",Sync!$AG1486)-1))),""))))</f>
        <v/>
      </c>
      <c r="H1486">
        <f>IF(OR($F1486="",$G1486=""),"",IF(ISNUMBER(Sync!$AG1486),INT(MOD(Sync!$AG1486,10000)/100),IFERROR(VALUE(TRIM(LEFT(MID(Sync!$AG1486,FIND("/",Sync!$AG1486)+1,20),FIND("/",MID(Sync!$AG1486,FIND("/",Sync!$AG1486)+1,20))-1))),"")))</f>
        <v/>
      </c>
      <c r="I1486">
        <f>IF(OR($F1486="",$G1486=""),"",IF(ISNUMBER(Sync!$AG1486),MOD(Sync!$AG1486,100),IFERROR(VALUE(TRIM(MID(MID(Sync!$AG1486,FIND("/",Sync!$AG1486)+1,20),FIND("/",MID(Sync!$AG1486,FIND("/",Sync!$AG1486)+1,20))+1,20))),"")))</f>
        <v/>
      </c>
      <c r="J1486">
        <f>IF($F1486="","",IF(OR($G1486="",$H1486="",$I1486="",$G1486&lt;1300,$G1486&gt;1500,$H1486&lt;1,$H1486&gt;12,$I1486&lt;1,$I1486&gt;31),"نامعتبر",RIGHT("0000"&amp;$G1486,4)&amp;"/"&amp;RIGHT("00"&amp;$H1486,2)&amp;"/"&amp;RIGHT("00"&amp;$I1486,2)))</f>
        <v/>
      </c>
      <c r="K1486">
        <f>IF(OR($F1486="",$J1486="",$J1486="نامعتبر"),"",LEFT($J1486,4)&amp;MID($J1486,6,2)&amp;RIGHT($J1486,2)&amp;$N1486&amp;"|"&amp;"2"&amp;RIGHT("00000"&amp;1481,5))</f>
        <v/>
      </c>
      <c r="L1486">
        <f>IF($K1486="","",COUNTIFS(LdgPartyA,$F1486,LdgKeyA,"&lt;"&amp;$K1486)+COUNTIFS(LdgPartyB,$F1486,LdgKeyB,"&lt;"&amp;$K1486)+1)</f>
        <v/>
      </c>
      <c r="M1486">
        <f>IF($L1486="","",$F1486&amp;"|"&amp;RIGHT("000000"&amp;$L1486,6))</f>
        <v/>
      </c>
      <c r="N1486">
        <f>IF($F1486="","",IF(Sync!$AH1486="","0000",IF(AND(ISNUMBER(Sync!$AH1486),Sync!$AH1486&gt;=0,Sync!$AH1486&lt;1),RIGHT("00"&amp;HOUR(Sync!$AH1486),2)&amp;RIGHT("00"&amp;MINUTE(Sync!$AH1486),2),IFERROR(RIGHT("00"&amp;VALUE(LEFT(Sync!$AH1486,FIND(":",Sync!$AH1486)-1)),2)&amp;RIGHT("00"&amp;VALUE(MID(Sync!$AH1486,FIND(":",Sync!$AH1486)+1,2)),2),"0000"))))</f>
        <v/>
      </c>
    </row>
    <row r="1487">
      <c r="A1487">
        <f>IF(OR(Calc!$E1490="",Calc!$E1490="نامعتبر",Calc!$G1490="",Calc!$I1490&lt;&gt;"خرید"),"",Calc!$G1490)</f>
        <v/>
      </c>
      <c r="B1487">
        <f>IF($A1487="","",LEFT(Calc!$E1490,4)&amp;MID(Calc!$E1490,6,2)&amp;RIGHT(Calc!$E1490,2)&amp;Calc!$R1490&amp;"|"&amp;"1"&amp;RIGHT("00000"&amp;1482,5))</f>
        <v/>
      </c>
      <c r="C1487">
        <f>IF($B1487="","",COUNTIFS(LdgPartyA,$A1487,LdgKeyA,"&lt;"&amp;$B1487)+COUNTIFS(LdgPartyB,$A1487,LdgKeyB,"&lt;"&amp;$B1487)+1)</f>
        <v/>
      </c>
      <c r="D1487">
        <f>IF($C1487="","",$A1487&amp;"|"&amp;RIGHT("000000"&amp;$C1487,6))</f>
        <v/>
      </c>
      <c r="F1487">
        <f>IF(Sync!$AJ1487="","",Sync!$AJ1487)</f>
        <v/>
      </c>
      <c r="G1487">
        <f>IF($F1487="","",IF(Sync!$AG1487="","",IF(ISNUMBER(Sync!$AG1487),IF(AND(Sync!$AG1487&gt;=10000101,Sync!$AG1487&lt;=99991231),INT(Sync!$AG1487/10000),""),IFERROR(VALUE(TRIM(LEFT(Sync!$AG1487,FIND("/",Sync!$AG1487)-1))),""))))</f>
        <v/>
      </c>
      <c r="H1487">
        <f>IF(OR($F1487="",$G1487=""),"",IF(ISNUMBER(Sync!$AG1487),INT(MOD(Sync!$AG1487,10000)/100),IFERROR(VALUE(TRIM(LEFT(MID(Sync!$AG1487,FIND("/",Sync!$AG1487)+1,20),FIND("/",MID(Sync!$AG1487,FIND("/",Sync!$AG1487)+1,20))-1))),"")))</f>
        <v/>
      </c>
      <c r="I1487">
        <f>IF(OR($F1487="",$G1487=""),"",IF(ISNUMBER(Sync!$AG1487),MOD(Sync!$AG1487,100),IFERROR(VALUE(TRIM(MID(MID(Sync!$AG1487,FIND("/",Sync!$AG1487)+1,20),FIND("/",MID(Sync!$AG1487,FIND("/",Sync!$AG1487)+1,20))+1,20))),"")))</f>
        <v/>
      </c>
      <c r="J1487">
        <f>IF($F1487="","",IF(OR($G1487="",$H1487="",$I1487="",$G1487&lt;1300,$G1487&gt;1500,$H1487&lt;1,$H1487&gt;12,$I1487&lt;1,$I1487&gt;31),"نامعتبر",RIGHT("0000"&amp;$G1487,4)&amp;"/"&amp;RIGHT("00"&amp;$H1487,2)&amp;"/"&amp;RIGHT("00"&amp;$I1487,2)))</f>
        <v/>
      </c>
      <c r="K1487">
        <f>IF(OR($F1487="",$J1487="",$J1487="نامعتبر"),"",LEFT($J1487,4)&amp;MID($J1487,6,2)&amp;RIGHT($J1487,2)&amp;$N1487&amp;"|"&amp;"2"&amp;RIGHT("00000"&amp;1482,5))</f>
        <v/>
      </c>
      <c r="L1487">
        <f>IF($K1487="","",COUNTIFS(LdgPartyA,$F1487,LdgKeyA,"&lt;"&amp;$K1487)+COUNTIFS(LdgPartyB,$F1487,LdgKeyB,"&lt;"&amp;$K1487)+1)</f>
        <v/>
      </c>
      <c r="M1487">
        <f>IF($L1487="","",$F1487&amp;"|"&amp;RIGHT("000000"&amp;$L1487,6))</f>
        <v/>
      </c>
      <c r="N1487">
        <f>IF($F1487="","",IF(Sync!$AH1487="","0000",IF(AND(ISNUMBER(Sync!$AH1487),Sync!$AH1487&gt;=0,Sync!$AH1487&lt;1),RIGHT("00"&amp;HOUR(Sync!$AH1487),2)&amp;RIGHT("00"&amp;MINUTE(Sync!$AH1487),2),IFERROR(RIGHT("00"&amp;VALUE(LEFT(Sync!$AH1487,FIND(":",Sync!$AH1487)-1)),2)&amp;RIGHT("00"&amp;VALUE(MID(Sync!$AH1487,FIND(":",Sync!$AH1487)+1,2)),2),"0000"))))</f>
        <v/>
      </c>
    </row>
    <row r="1488">
      <c r="A1488">
        <f>IF(OR(Calc!$E1491="",Calc!$E1491="نامعتبر",Calc!$G1491="",Calc!$I1491&lt;&gt;"خرید"),"",Calc!$G1491)</f>
        <v/>
      </c>
      <c r="B1488">
        <f>IF($A1488="","",LEFT(Calc!$E1491,4)&amp;MID(Calc!$E1491,6,2)&amp;RIGHT(Calc!$E1491,2)&amp;Calc!$R1491&amp;"|"&amp;"1"&amp;RIGHT("00000"&amp;1483,5))</f>
        <v/>
      </c>
      <c r="C1488">
        <f>IF($B1488="","",COUNTIFS(LdgPartyA,$A1488,LdgKeyA,"&lt;"&amp;$B1488)+COUNTIFS(LdgPartyB,$A1488,LdgKeyB,"&lt;"&amp;$B1488)+1)</f>
        <v/>
      </c>
      <c r="D1488">
        <f>IF($C1488="","",$A1488&amp;"|"&amp;RIGHT("000000"&amp;$C1488,6))</f>
        <v/>
      </c>
      <c r="F1488">
        <f>IF(Sync!$AJ1488="","",Sync!$AJ1488)</f>
        <v/>
      </c>
      <c r="G1488">
        <f>IF($F1488="","",IF(Sync!$AG1488="","",IF(ISNUMBER(Sync!$AG1488),IF(AND(Sync!$AG1488&gt;=10000101,Sync!$AG1488&lt;=99991231),INT(Sync!$AG1488/10000),""),IFERROR(VALUE(TRIM(LEFT(Sync!$AG1488,FIND("/",Sync!$AG1488)-1))),""))))</f>
        <v/>
      </c>
      <c r="H1488">
        <f>IF(OR($F1488="",$G1488=""),"",IF(ISNUMBER(Sync!$AG1488),INT(MOD(Sync!$AG1488,10000)/100),IFERROR(VALUE(TRIM(LEFT(MID(Sync!$AG1488,FIND("/",Sync!$AG1488)+1,20),FIND("/",MID(Sync!$AG1488,FIND("/",Sync!$AG1488)+1,20))-1))),"")))</f>
        <v/>
      </c>
      <c r="I1488">
        <f>IF(OR($F1488="",$G1488=""),"",IF(ISNUMBER(Sync!$AG1488),MOD(Sync!$AG1488,100),IFERROR(VALUE(TRIM(MID(MID(Sync!$AG1488,FIND("/",Sync!$AG1488)+1,20),FIND("/",MID(Sync!$AG1488,FIND("/",Sync!$AG1488)+1,20))+1,20))),"")))</f>
        <v/>
      </c>
      <c r="J1488">
        <f>IF($F1488="","",IF(OR($G1488="",$H1488="",$I1488="",$G1488&lt;1300,$G1488&gt;1500,$H1488&lt;1,$H1488&gt;12,$I1488&lt;1,$I1488&gt;31),"نامعتبر",RIGHT("0000"&amp;$G1488,4)&amp;"/"&amp;RIGHT("00"&amp;$H1488,2)&amp;"/"&amp;RIGHT("00"&amp;$I1488,2)))</f>
        <v/>
      </c>
      <c r="K1488">
        <f>IF(OR($F1488="",$J1488="",$J1488="نامعتبر"),"",LEFT($J1488,4)&amp;MID($J1488,6,2)&amp;RIGHT($J1488,2)&amp;$N1488&amp;"|"&amp;"2"&amp;RIGHT("00000"&amp;1483,5))</f>
        <v/>
      </c>
      <c r="L1488">
        <f>IF($K1488="","",COUNTIFS(LdgPartyA,$F1488,LdgKeyA,"&lt;"&amp;$K1488)+COUNTIFS(LdgPartyB,$F1488,LdgKeyB,"&lt;"&amp;$K1488)+1)</f>
        <v/>
      </c>
      <c r="M1488">
        <f>IF($L1488="","",$F1488&amp;"|"&amp;RIGHT("000000"&amp;$L1488,6))</f>
        <v/>
      </c>
      <c r="N1488">
        <f>IF($F1488="","",IF(Sync!$AH1488="","0000",IF(AND(ISNUMBER(Sync!$AH1488),Sync!$AH1488&gt;=0,Sync!$AH1488&lt;1),RIGHT("00"&amp;HOUR(Sync!$AH1488),2)&amp;RIGHT("00"&amp;MINUTE(Sync!$AH1488),2),IFERROR(RIGHT("00"&amp;VALUE(LEFT(Sync!$AH1488,FIND(":",Sync!$AH1488)-1)),2)&amp;RIGHT("00"&amp;VALUE(MID(Sync!$AH1488,FIND(":",Sync!$AH1488)+1,2)),2),"0000"))))</f>
        <v/>
      </c>
    </row>
    <row r="1489">
      <c r="A1489">
        <f>IF(OR(Calc!$E1492="",Calc!$E1492="نامعتبر",Calc!$G1492="",Calc!$I1492&lt;&gt;"خرید"),"",Calc!$G1492)</f>
        <v/>
      </c>
      <c r="B1489">
        <f>IF($A1489="","",LEFT(Calc!$E1492,4)&amp;MID(Calc!$E1492,6,2)&amp;RIGHT(Calc!$E1492,2)&amp;Calc!$R1492&amp;"|"&amp;"1"&amp;RIGHT("00000"&amp;1484,5))</f>
        <v/>
      </c>
      <c r="C1489">
        <f>IF($B1489="","",COUNTIFS(LdgPartyA,$A1489,LdgKeyA,"&lt;"&amp;$B1489)+COUNTIFS(LdgPartyB,$A1489,LdgKeyB,"&lt;"&amp;$B1489)+1)</f>
        <v/>
      </c>
      <c r="D1489">
        <f>IF($C1489="","",$A1489&amp;"|"&amp;RIGHT("000000"&amp;$C1489,6))</f>
        <v/>
      </c>
      <c r="F1489">
        <f>IF(Sync!$AJ1489="","",Sync!$AJ1489)</f>
        <v/>
      </c>
      <c r="G1489">
        <f>IF($F1489="","",IF(Sync!$AG1489="","",IF(ISNUMBER(Sync!$AG1489),IF(AND(Sync!$AG1489&gt;=10000101,Sync!$AG1489&lt;=99991231),INT(Sync!$AG1489/10000),""),IFERROR(VALUE(TRIM(LEFT(Sync!$AG1489,FIND("/",Sync!$AG1489)-1))),""))))</f>
        <v/>
      </c>
      <c r="H1489">
        <f>IF(OR($F1489="",$G1489=""),"",IF(ISNUMBER(Sync!$AG1489),INT(MOD(Sync!$AG1489,10000)/100),IFERROR(VALUE(TRIM(LEFT(MID(Sync!$AG1489,FIND("/",Sync!$AG1489)+1,20),FIND("/",MID(Sync!$AG1489,FIND("/",Sync!$AG1489)+1,20))-1))),"")))</f>
        <v/>
      </c>
      <c r="I1489">
        <f>IF(OR($F1489="",$G1489=""),"",IF(ISNUMBER(Sync!$AG1489),MOD(Sync!$AG1489,100),IFERROR(VALUE(TRIM(MID(MID(Sync!$AG1489,FIND("/",Sync!$AG1489)+1,20),FIND("/",MID(Sync!$AG1489,FIND("/",Sync!$AG1489)+1,20))+1,20))),"")))</f>
        <v/>
      </c>
      <c r="J1489">
        <f>IF($F1489="","",IF(OR($G1489="",$H1489="",$I1489="",$G1489&lt;1300,$G1489&gt;1500,$H1489&lt;1,$H1489&gt;12,$I1489&lt;1,$I1489&gt;31),"نامعتبر",RIGHT("0000"&amp;$G1489,4)&amp;"/"&amp;RIGHT("00"&amp;$H1489,2)&amp;"/"&amp;RIGHT("00"&amp;$I1489,2)))</f>
        <v/>
      </c>
      <c r="K1489">
        <f>IF(OR($F1489="",$J1489="",$J1489="نامعتبر"),"",LEFT($J1489,4)&amp;MID($J1489,6,2)&amp;RIGHT($J1489,2)&amp;$N1489&amp;"|"&amp;"2"&amp;RIGHT("00000"&amp;1484,5))</f>
        <v/>
      </c>
      <c r="L1489">
        <f>IF($K1489="","",COUNTIFS(LdgPartyA,$F1489,LdgKeyA,"&lt;"&amp;$K1489)+COUNTIFS(LdgPartyB,$F1489,LdgKeyB,"&lt;"&amp;$K1489)+1)</f>
        <v/>
      </c>
      <c r="M1489">
        <f>IF($L1489="","",$F1489&amp;"|"&amp;RIGHT("000000"&amp;$L1489,6))</f>
        <v/>
      </c>
      <c r="N1489">
        <f>IF($F1489="","",IF(Sync!$AH1489="","0000",IF(AND(ISNUMBER(Sync!$AH1489),Sync!$AH1489&gt;=0,Sync!$AH1489&lt;1),RIGHT("00"&amp;HOUR(Sync!$AH1489),2)&amp;RIGHT("00"&amp;MINUTE(Sync!$AH1489),2),IFERROR(RIGHT("00"&amp;VALUE(LEFT(Sync!$AH1489,FIND(":",Sync!$AH1489)-1)),2)&amp;RIGHT("00"&amp;VALUE(MID(Sync!$AH1489,FIND(":",Sync!$AH1489)+1,2)),2),"0000"))))</f>
        <v/>
      </c>
    </row>
    <row r="1490">
      <c r="A1490">
        <f>IF(OR(Calc!$E1493="",Calc!$E1493="نامعتبر",Calc!$G1493="",Calc!$I1493&lt;&gt;"خرید"),"",Calc!$G1493)</f>
        <v/>
      </c>
      <c r="B1490">
        <f>IF($A1490="","",LEFT(Calc!$E1493,4)&amp;MID(Calc!$E1493,6,2)&amp;RIGHT(Calc!$E1493,2)&amp;Calc!$R1493&amp;"|"&amp;"1"&amp;RIGHT("00000"&amp;1485,5))</f>
        <v/>
      </c>
      <c r="C1490">
        <f>IF($B1490="","",COUNTIFS(LdgPartyA,$A1490,LdgKeyA,"&lt;"&amp;$B1490)+COUNTIFS(LdgPartyB,$A1490,LdgKeyB,"&lt;"&amp;$B1490)+1)</f>
        <v/>
      </c>
      <c r="D1490">
        <f>IF($C1490="","",$A1490&amp;"|"&amp;RIGHT("000000"&amp;$C1490,6))</f>
        <v/>
      </c>
      <c r="F1490">
        <f>IF(Sync!$AJ1490="","",Sync!$AJ1490)</f>
        <v/>
      </c>
      <c r="G1490">
        <f>IF($F1490="","",IF(Sync!$AG1490="","",IF(ISNUMBER(Sync!$AG1490),IF(AND(Sync!$AG1490&gt;=10000101,Sync!$AG1490&lt;=99991231),INT(Sync!$AG1490/10000),""),IFERROR(VALUE(TRIM(LEFT(Sync!$AG1490,FIND("/",Sync!$AG1490)-1))),""))))</f>
        <v/>
      </c>
      <c r="H1490">
        <f>IF(OR($F1490="",$G1490=""),"",IF(ISNUMBER(Sync!$AG1490),INT(MOD(Sync!$AG1490,10000)/100),IFERROR(VALUE(TRIM(LEFT(MID(Sync!$AG1490,FIND("/",Sync!$AG1490)+1,20),FIND("/",MID(Sync!$AG1490,FIND("/",Sync!$AG1490)+1,20))-1))),"")))</f>
        <v/>
      </c>
      <c r="I1490">
        <f>IF(OR($F1490="",$G1490=""),"",IF(ISNUMBER(Sync!$AG1490),MOD(Sync!$AG1490,100),IFERROR(VALUE(TRIM(MID(MID(Sync!$AG1490,FIND("/",Sync!$AG1490)+1,20),FIND("/",MID(Sync!$AG1490,FIND("/",Sync!$AG1490)+1,20))+1,20))),"")))</f>
        <v/>
      </c>
      <c r="J1490">
        <f>IF($F1490="","",IF(OR($G1490="",$H1490="",$I1490="",$G1490&lt;1300,$G1490&gt;1500,$H1490&lt;1,$H1490&gt;12,$I1490&lt;1,$I1490&gt;31),"نامعتبر",RIGHT("0000"&amp;$G1490,4)&amp;"/"&amp;RIGHT("00"&amp;$H1490,2)&amp;"/"&amp;RIGHT("00"&amp;$I1490,2)))</f>
        <v/>
      </c>
      <c r="K1490">
        <f>IF(OR($F1490="",$J1490="",$J1490="نامعتبر"),"",LEFT($J1490,4)&amp;MID($J1490,6,2)&amp;RIGHT($J1490,2)&amp;$N1490&amp;"|"&amp;"2"&amp;RIGHT("00000"&amp;1485,5))</f>
        <v/>
      </c>
      <c r="L1490">
        <f>IF($K1490="","",COUNTIFS(LdgPartyA,$F1490,LdgKeyA,"&lt;"&amp;$K1490)+COUNTIFS(LdgPartyB,$F1490,LdgKeyB,"&lt;"&amp;$K1490)+1)</f>
        <v/>
      </c>
      <c r="M1490">
        <f>IF($L1490="","",$F1490&amp;"|"&amp;RIGHT("000000"&amp;$L1490,6))</f>
        <v/>
      </c>
      <c r="N1490">
        <f>IF($F1490="","",IF(Sync!$AH1490="","0000",IF(AND(ISNUMBER(Sync!$AH1490),Sync!$AH1490&gt;=0,Sync!$AH1490&lt;1),RIGHT("00"&amp;HOUR(Sync!$AH1490),2)&amp;RIGHT("00"&amp;MINUTE(Sync!$AH1490),2),IFERROR(RIGHT("00"&amp;VALUE(LEFT(Sync!$AH1490,FIND(":",Sync!$AH1490)-1)),2)&amp;RIGHT("00"&amp;VALUE(MID(Sync!$AH1490,FIND(":",Sync!$AH1490)+1,2)),2),"0000"))))</f>
        <v/>
      </c>
    </row>
    <row r="1491">
      <c r="A1491">
        <f>IF(OR(Calc!$E1494="",Calc!$E1494="نامعتبر",Calc!$G1494="",Calc!$I1494&lt;&gt;"خرید"),"",Calc!$G1494)</f>
        <v/>
      </c>
      <c r="B1491">
        <f>IF($A1491="","",LEFT(Calc!$E1494,4)&amp;MID(Calc!$E1494,6,2)&amp;RIGHT(Calc!$E1494,2)&amp;Calc!$R1494&amp;"|"&amp;"1"&amp;RIGHT("00000"&amp;1486,5))</f>
        <v/>
      </c>
      <c r="C1491">
        <f>IF($B1491="","",COUNTIFS(LdgPartyA,$A1491,LdgKeyA,"&lt;"&amp;$B1491)+COUNTIFS(LdgPartyB,$A1491,LdgKeyB,"&lt;"&amp;$B1491)+1)</f>
        <v/>
      </c>
      <c r="D1491">
        <f>IF($C1491="","",$A1491&amp;"|"&amp;RIGHT("000000"&amp;$C1491,6))</f>
        <v/>
      </c>
      <c r="F1491">
        <f>IF(Sync!$AJ1491="","",Sync!$AJ1491)</f>
        <v/>
      </c>
      <c r="G1491">
        <f>IF($F1491="","",IF(Sync!$AG1491="","",IF(ISNUMBER(Sync!$AG1491),IF(AND(Sync!$AG1491&gt;=10000101,Sync!$AG1491&lt;=99991231),INT(Sync!$AG1491/10000),""),IFERROR(VALUE(TRIM(LEFT(Sync!$AG1491,FIND("/",Sync!$AG1491)-1))),""))))</f>
        <v/>
      </c>
      <c r="H1491">
        <f>IF(OR($F1491="",$G1491=""),"",IF(ISNUMBER(Sync!$AG1491),INT(MOD(Sync!$AG1491,10000)/100),IFERROR(VALUE(TRIM(LEFT(MID(Sync!$AG1491,FIND("/",Sync!$AG1491)+1,20),FIND("/",MID(Sync!$AG1491,FIND("/",Sync!$AG1491)+1,20))-1))),"")))</f>
        <v/>
      </c>
      <c r="I1491">
        <f>IF(OR($F1491="",$G1491=""),"",IF(ISNUMBER(Sync!$AG1491),MOD(Sync!$AG1491,100),IFERROR(VALUE(TRIM(MID(MID(Sync!$AG1491,FIND("/",Sync!$AG1491)+1,20),FIND("/",MID(Sync!$AG1491,FIND("/",Sync!$AG1491)+1,20))+1,20))),"")))</f>
        <v/>
      </c>
      <c r="J1491">
        <f>IF($F1491="","",IF(OR($G1491="",$H1491="",$I1491="",$G1491&lt;1300,$G1491&gt;1500,$H1491&lt;1,$H1491&gt;12,$I1491&lt;1,$I1491&gt;31),"نامعتبر",RIGHT("0000"&amp;$G1491,4)&amp;"/"&amp;RIGHT("00"&amp;$H1491,2)&amp;"/"&amp;RIGHT("00"&amp;$I1491,2)))</f>
        <v/>
      </c>
      <c r="K1491">
        <f>IF(OR($F1491="",$J1491="",$J1491="نامعتبر"),"",LEFT($J1491,4)&amp;MID($J1491,6,2)&amp;RIGHT($J1491,2)&amp;$N1491&amp;"|"&amp;"2"&amp;RIGHT("00000"&amp;1486,5))</f>
        <v/>
      </c>
      <c r="L1491">
        <f>IF($K1491="","",COUNTIFS(LdgPartyA,$F1491,LdgKeyA,"&lt;"&amp;$K1491)+COUNTIFS(LdgPartyB,$F1491,LdgKeyB,"&lt;"&amp;$K1491)+1)</f>
        <v/>
      </c>
      <c r="M1491">
        <f>IF($L1491="","",$F1491&amp;"|"&amp;RIGHT("000000"&amp;$L1491,6))</f>
        <v/>
      </c>
      <c r="N1491">
        <f>IF($F1491="","",IF(Sync!$AH1491="","0000",IF(AND(ISNUMBER(Sync!$AH1491),Sync!$AH1491&gt;=0,Sync!$AH1491&lt;1),RIGHT("00"&amp;HOUR(Sync!$AH1491),2)&amp;RIGHT("00"&amp;MINUTE(Sync!$AH1491),2),IFERROR(RIGHT("00"&amp;VALUE(LEFT(Sync!$AH1491,FIND(":",Sync!$AH1491)-1)),2)&amp;RIGHT("00"&amp;VALUE(MID(Sync!$AH1491,FIND(":",Sync!$AH1491)+1,2)),2),"0000"))))</f>
        <v/>
      </c>
    </row>
    <row r="1492">
      <c r="A1492">
        <f>IF(OR(Calc!$E1495="",Calc!$E1495="نامعتبر",Calc!$G1495="",Calc!$I1495&lt;&gt;"خرید"),"",Calc!$G1495)</f>
        <v/>
      </c>
      <c r="B1492">
        <f>IF($A1492="","",LEFT(Calc!$E1495,4)&amp;MID(Calc!$E1495,6,2)&amp;RIGHT(Calc!$E1495,2)&amp;Calc!$R1495&amp;"|"&amp;"1"&amp;RIGHT("00000"&amp;1487,5))</f>
        <v/>
      </c>
      <c r="C1492">
        <f>IF($B1492="","",COUNTIFS(LdgPartyA,$A1492,LdgKeyA,"&lt;"&amp;$B1492)+COUNTIFS(LdgPartyB,$A1492,LdgKeyB,"&lt;"&amp;$B1492)+1)</f>
        <v/>
      </c>
      <c r="D1492">
        <f>IF($C1492="","",$A1492&amp;"|"&amp;RIGHT("000000"&amp;$C1492,6))</f>
        <v/>
      </c>
      <c r="F1492">
        <f>IF(Sync!$AJ1492="","",Sync!$AJ1492)</f>
        <v/>
      </c>
      <c r="G1492">
        <f>IF($F1492="","",IF(Sync!$AG1492="","",IF(ISNUMBER(Sync!$AG1492),IF(AND(Sync!$AG1492&gt;=10000101,Sync!$AG1492&lt;=99991231),INT(Sync!$AG1492/10000),""),IFERROR(VALUE(TRIM(LEFT(Sync!$AG1492,FIND("/",Sync!$AG1492)-1))),""))))</f>
        <v/>
      </c>
      <c r="H1492">
        <f>IF(OR($F1492="",$G1492=""),"",IF(ISNUMBER(Sync!$AG1492),INT(MOD(Sync!$AG1492,10000)/100),IFERROR(VALUE(TRIM(LEFT(MID(Sync!$AG1492,FIND("/",Sync!$AG1492)+1,20),FIND("/",MID(Sync!$AG1492,FIND("/",Sync!$AG1492)+1,20))-1))),"")))</f>
        <v/>
      </c>
      <c r="I1492">
        <f>IF(OR($F1492="",$G1492=""),"",IF(ISNUMBER(Sync!$AG1492),MOD(Sync!$AG1492,100),IFERROR(VALUE(TRIM(MID(MID(Sync!$AG1492,FIND("/",Sync!$AG1492)+1,20),FIND("/",MID(Sync!$AG1492,FIND("/",Sync!$AG1492)+1,20))+1,20))),"")))</f>
        <v/>
      </c>
      <c r="J1492">
        <f>IF($F1492="","",IF(OR($G1492="",$H1492="",$I1492="",$G1492&lt;1300,$G1492&gt;1500,$H1492&lt;1,$H1492&gt;12,$I1492&lt;1,$I1492&gt;31),"نامعتبر",RIGHT("0000"&amp;$G1492,4)&amp;"/"&amp;RIGHT("00"&amp;$H1492,2)&amp;"/"&amp;RIGHT("00"&amp;$I1492,2)))</f>
        <v/>
      </c>
      <c r="K1492">
        <f>IF(OR($F1492="",$J1492="",$J1492="نامعتبر"),"",LEFT($J1492,4)&amp;MID($J1492,6,2)&amp;RIGHT($J1492,2)&amp;$N1492&amp;"|"&amp;"2"&amp;RIGHT("00000"&amp;1487,5))</f>
        <v/>
      </c>
      <c r="L1492">
        <f>IF($K1492="","",COUNTIFS(LdgPartyA,$F1492,LdgKeyA,"&lt;"&amp;$K1492)+COUNTIFS(LdgPartyB,$F1492,LdgKeyB,"&lt;"&amp;$K1492)+1)</f>
        <v/>
      </c>
      <c r="M1492">
        <f>IF($L1492="","",$F1492&amp;"|"&amp;RIGHT("000000"&amp;$L1492,6))</f>
        <v/>
      </c>
      <c r="N1492">
        <f>IF($F1492="","",IF(Sync!$AH1492="","0000",IF(AND(ISNUMBER(Sync!$AH1492),Sync!$AH1492&gt;=0,Sync!$AH1492&lt;1),RIGHT("00"&amp;HOUR(Sync!$AH1492),2)&amp;RIGHT("00"&amp;MINUTE(Sync!$AH1492),2),IFERROR(RIGHT("00"&amp;VALUE(LEFT(Sync!$AH1492,FIND(":",Sync!$AH1492)-1)),2)&amp;RIGHT("00"&amp;VALUE(MID(Sync!$AH1492,FIND(":",Sync!$AH1492)+1,2)),2),"0000"))))</f>
        <v/>
      </c>
    </row>
    <row r="1493">
      <c r="A1493">
        <f>IF(OR(Calc!$E1496="",Calc!$E1496="نامعتبر",Calc!$G1496="",Calc!$I1496&lt;&gt;"خرید"),"",Calc!$G1496)</f>
        <v/>
      </c>
      <c r="B1493">
        <f>IF($A1493="","",LEFT(Calc!$E1496,4)&amp;MID(Calc!$E1496,6,2)&amp;RIGHT(Calc!$E1496,2)&amp;Calc!$R1496&amp;"|"&amp;"1"&amp;RIGHT("00000"&amp;1488,5))</f>
        <v/>
      </c>
      <c r="C1493">
        <f>IF($B1493="","",COUNTIFS(LdgPartyA,$A1493,LdgKeyA,"&lt;"&amp;$B1493)+COUNTIFS(LdgPartyB,$A1493,LdgKeyB,"&lt;"&amp;$B1493)+1)</f>
        <v/>
      </c>
      <c r="D1493">
        <f>IF($C1493="","",$A1493&amp;"|"&amp;RIGHT("000000"&amp;$C1493,6))</f>
        <v/>
      </c>
      <c r="F1493">
        <f>IF(Sync!$AJ1493="","",Sync!$AJ1493)</f>
        <v/>
      </c>
      <c r="G1493">
        <f>IF($F1493="","",IF(Sync!$AG1493="","",IF(ISNUMBER(Sync!$AG1493),IF(AND(Sync!$AG1493&gt;=10000101,Sync!$AG1493&lt;=99991231),INT(Sync!$AG1493/10000),""),IFERROR(VALUE(TRIM(LEFT(Sync!$AG1493,FIND("/",Sync!$AG1493)-1))),""))))</f>
        <v/>
      </c>
      <c r="H1493">
        <f>IF(OR($F1493="",$G1493=""),"",IF(ISNUMBER(Sync!$AG1493),INT(MOD(Sync!$AG1493,10000)/100),IFERROR(VALUE(TRIM(LEFT(MID(Sync!$AG1493,FIND("/",Sync!$AG1493)+1,20),FIND("/",MID(Sync!$AG1493,FIND("/",Sync!$AG1493)+1,20))-1))),"")))</f>
        <v/>
      </c>
      <c r="I1493">
        <f>IF(OR($F1493="",$G1493=""),"",IF(ISNUMBER(Sync!$AG1493),MOD(Sync!$AG1493,100),IFERROR(VALUE(TRIM(MID(MID(Sync!$AG1493,FIND("/",Sync!$AG1493)+1,20),FIND("/",MID(Sync!$AG1493,FIND("/",Sync!$AG1493)+1,20))+1,20))),"")))</f>
        <v/>
      </c>
      <c r="J1493">
        <f>IF($F1493="","",IF(OR($G1493="",$H1493="",$I1493="",$G1493&lt;1300,$G1493&gt;1500,$H1493&lt;1,$H1493&gt;12,$I1493&lt;1,$I1493&gt;31),"نامعتبر",RIGHT("0000"&amp;$G1493,4)&amp;"/"&amp;RIGHT("00"&amp;$H1493,2)&amp;"/"&amp;RIGHT("00"&amp;$I1493,2)))</f>
        <v/>
      </c>
      <c r="K1493">
        <f>IF(OR($F1493="",$J1493="",$J1493="نامعتبر"),"",LEFT($J1493,4)&amp;MID($J1493,6,2)&amp;RIGHT($J1493,2)&amp;$N1493&amp;"|"&amp;"2"&amp;RIGHT("00000"&amp;1488,5))</f>
        <v/>
      </c>
      <c r="L1493">
        <f>IF($K1493="","",COUNTIFS(LdgPartyA,$F1493,LdgKeyA,"&lt;"&amp;$K1493)+COUNTIFS(LdgPartyB,$F1493,LdgKeyB,"&lt;"&amp;$K1493)+1)</f>
        <v/>
      </c>
      <c r="M1493">
        <f>IF($L1493="","",$F1493&amp;"|"&amp;RIGHT("000000"&amp;$L1493,6))</f>
        <v/>
      </c>
      <c r="N1493">
        <f>IF($F1493="","",IF(Sync!$AH1493="","0000",IF(AND(ISNUMBER(Sync!$AH1493),Sync!$AH1493&gt;=0,Sync!$AH1493&lt;1),RIGHT("00"&amp;HOUR(Sync!$AH1493),2)&amp;RIGHT("00"&amp;MINUTE(Sync!$AH1493),2),IFERROR(RIGHT("00"&amp;VALUE(LEFT(Sync!$AH1493,FIND(":",Sync!$AH1493)-1)),2)&amp;RIGHT("00"&amp;VALUE(MID(Sync!$AH1493,FIND(":",Sync!$AH1493)+1,2)),2),"0000"))))</f>
        <v/>
      </c>
    </row>
    <row r="1494">
      <c r="A1494">
        <f>IF(OR(Calc!$E1497="",Calc!$E1497="نامعتبر",Calc!$G1497="",Calc!$I1497&lt;&gt;"خرید"),"",Calc!$G1497)</f>
        <v/>
      </c>
      <c r="B1494">
        <f>IF($A1494="","",LEFT(Calc!$E1497,4)&amp;MID(Calc!$E1497,6,2)&amp;RIGHT(Calc!$E1497,2)&amp;Calc!$R1497&amp;"|"&amp;"1"&amp;RIGHT("00000"&amp;1489,5))</f>
        <v/>
      </c>
      <c r="C1494">
        <f>IF($B1494="","",COUNTIFS(LdgPartyA,$A1494,LdgKeyA,"&lt;"&amp;$B1494)+COUNTIFS(LdgPartyB,$A1494,LdgKeyB,"&lt;"&amp;$B1494)+1)</f>
        <v/>
      </c>
      <c r="D1494">
        <f>IF($C1494="","",$A1494&amp;"|"&amp;RIGHT("000000"&amp;$C1494,6))</f>
        <v/>
      </c>
      <c r="F1494">
        <f>IF(Sync!$AJ1494="","",Sync!$AJ1494)</f>
        <v/>
      </c>
      <c r="G1494">
        <f>IF($F1494="","",IF(Sync!$AG1494="","",IF(ISNUMBER(Sync!$AG1494),IF(AND(Sync!$AG1494&gt;=10000101,Sync!$AG1494&lt;=99991231),INT(Sync!$AG1494/10000),""),IFERROR(VALUE(TRIM(LEFT(Sync!$AG1494,FIND("/",Sync!$AG1494)-1))),""))))</f>
        <v/>
      </c>
      <c r="H1494">
        <f>IF(OR($F1494="",$G1494=""),"",IF(ISNUMBER(Sync!$AG1494),INT(MOD(Sync!$AG1494,10000)/100),IFERROR(VALUE(TRIM(LEFT(MID(Sync!$AG1494,FIND("/",Sync!$AG1494)+1,20),FIND("/",MID(Sync!$AG1494,FIND("/",Sync!$AG1494)+1,20))-1))),"")))</f>
        <v/>
      </c>
      <c r="I1494">
        <f>IF(OR($F1494="",$G1494=""),"",IF(ISNUMBER(Sync!$AG1494),MOD(Sync!$AG1494,100),IFERROR(VALUE(TRIM(MID(MID(Sync!$AG1494,FIND("/",Sync!$AG1494)+1,20),FIND("/",MID(Sync!$AG1494,FIND("/",Sync!$AG1494)+1,20))+1,20))),"")))</f>
        <v/>
      </c>
      <c r="J1494">
        <f>IF($F1494="","",IF(OR($G1494="",$H1494="",$I1494="",$G1494&lt;1300,$G1494&gt;1500,$H1494&lt;1,$H1494&gt;12,$I1494&lt;1,$I1494&gt;31),"نامعتبر",RIGHT("0000"&amp;$G1494,4)&amp;"/"&amp;RIGHT("00"&amp;$H1494,2)&amp;"/"&amp;RIGHT("00"&amp;$I1494,2)))</f>
        <v/>
      </c>
      <c r="K1494">
        <f>IF(OR($F1494="",$J1494="",$J1494="نامعتبر"),"",LEFT($J1494,4)&amp;MID($J1494,6,2)&amp;RIGHT($J1494,2)&amp;$N1494&amp;"|"&amp;"2"&amp;RIGHT("00000"&amp;1489,5))</f>
        <v/>
      </c>
      <c r="L1494">
        <f>IF($K1494="","",COUNTIFS(LdgPartyA,$F1494,LdgKeyA,"&lt;"&amp;$K1494)+COUNTIFS(LdgPartyB,$F1494,LdgKeyB,"&lt;"&amp;$K1494)+1)</f>
        <v/>
      </c>
      <c r="M1494">
        <f>IF($L1494="","",$F1494&amp;"|"&amp;RIGHT("000000"&amp;$L1494,6))</f>
        <v/>
      </c>
      <c r="N1494">
        <f>IF($F1494="","",IF(Sync!$AH1494="","0000",IF(AND(ISNUMBER(Sync!$AH1494),Sync!$AH1494&gt;=0,Sync!$AH1494&lt;1),RIGHT("00"&amp;HOUR(Sync!$AH1494),2)&amp;RIGHT("00"&amp;MINUTE(Sync!$AH1494),2),IFERROR(RIGHT("00"&amp;VALUE(LEFT(Sync!$AH1494,FIND(":",Sync!$AH1494)-1)),2)&amp;RIGHT("00"&amp;VALUE(MID(Sync!$AH1494,FIND(":",Sync!$AH1494)+1,2)),2),"0000"))))</f>
        <v/>
      </c>
    </row>
    <row r="1495">
      <c r="A1495">
        <f>IF(OR(Calc!$E1498="",Calc!$E1498="نامعتبر",Calc!$G1498="",Calc!$I1498&lt;&gt;"خرید"),"",Calc!$G1498)</f>
        <v/>
      </c>
      <c r="B1495">
        <f>IF($A1495="","",LEFT(Calc!$E1498,4)&amp;MID(Calc!$E1498,6,2)&amp;RIGHT(Calc!$E1498,2)&amp;Calc!$R1498&amp;"|"&amp;"1"&amp;RIGHT("00000"&amp;1490,5))</f>
        <v/>
      </c>
      <c r="C1495">
        <f>IF($B1495="","",COUNTIFS(LdgPartyA,$A1495,LdgKeyA,"&lt;"&amp;$B1495)+COUNTIFS(LdgPartyB,$A1495,LdgKeyB,"&lt;"&amp;$B1495)+1)</f>
        <v/>
      </c>
      <c r="D1495">
        <f>IF($C1495="","",$A1495&amp;"|"&amp;RIGHT("000000"&amp;$C1495,6))</f>
        <v/>
      </c>
      <c r="F1495">
        <f>IF(Sync!$AJ1495="","",Sync!$AJ1495)</f>
        <v/>
      </c>
      <c r="G1495">
        <f>IF($F1495="","",IF(Sync!$AG1495="","",IF(ISNUMBER(Sync!$AG1495),IF(AND(Sync!$AG1495&gt;=10000101,Sync!$AG1495&lt;=99991231),INT(Sync!$AG1495/10000),""),IFERROR(VALUE(TRIM(LEFT(Sync!$AG1495,FIND("/",Sync!$AG1495)-1))),""))))</f>
        <v/>
      </c>
      <c r="H1495">
        <f>IF(OR($F1495="",$G1495=""),"",IF(ISNUMBER(Sync!$AG1495),INT(MOD(Sync!$AG1495,10000)/100),IFERROR(VALUE(TRIM(LEFT(MID(Sync!$AG1495,FIND("/",Sync!$AG1495)+1,20),FIND("/",MID(Sync!$AG1495,FIND("/",Sync!$AG1495)+1,20))-1))),"")))</f>
        <v/>
      </c>
      <c r="I1495">
        <f>IF(OR($F1495="",$G1495=""),"",IF(ISNUMBER(Sync!$AG1495),MOD(Sync!$AG1495,100),IFERROR(VALUE(TRIM(MID(MID(Sync!$AG1495,FIND("/",Sync!$AG1495)+1,20),FIND("/",MID(Sync!$AG1495,FIND("/",Sync!$AG1495)+1,20))+1,20))),"")))</f>
        <v/>
      </c>
      <c r="J1495">
        <f>IF($F1495="","",IF(OR($G1495="",$H1495="",$I1495="",$G1495&lt;1300,$G1495&gt;1500,$H1495&lt;1,$H1495&gt;12,$I1495&lt;1,$I1495&gt;31),"نامعتبر",RIGHT("0000"&amp;$G1495,4)&amp;"/"&amp;RIGHT("00"&amp;$H1495,2)&amp;"/"&amp;RIGHT("00"&amp;$I1495,2)))</f>
        <v/>
      </c>
      <c r="K1495">
        <f>IF(OR($F1495="",$J1495="",$J1495="نامعتبر"),"",LEFT($J1495,4)&amp;MID($J1495,6,2)&amp;RIGHT($J1495,2)&amp;$N1495&amp;"|"&amp;"2"&amp;RIGHT("00000"&amp;1490,5))</f>
        <v/>
      </c>
      <c r="L1495">
        <f>IF($K1495="","",COUNTIFS(LdgPartyA,$F1495,LdgKeyA,"&lt;"&amp;$K1495)+COUNTIFS(LdgPartyB,$F1495,LdgKeyB,"&lt;"&amp;$K1495)+1)</f>
        <v/>
      </c>
      <c r="M1495">
        <f>IF($L1495="","",$F1495&amp;"|"&amp;RIGHT("000000"&amp;$L1495,6))</f>
        <v/>
      </c>
      <c r="N1495">
        <f>IF($F1495="","",IF(Sync!$AH1495="","0000",IF(AND(ISNUMBER(Sync!$AH1495),Sync!$AH1495&gt;=0,Sync!$AH1495&lt;1),RIGHT("00"&amp;HOUR(Sync!$AH1495),2)&amp;RIGHT("00"&amp;MINUTE(Sync!$AH1495),2),IFERROR(RIGHT("00"&amp;VALUE(LEFT(Sync!$AH1495,FIND(":",Sync!$AH1495)-1)),2)&amp;RIGHT("00"&amp;VALUE(MID(Sync!$AH1495,FIND(":",Sync!$AH1495)+1,2)),2),"0000"))))</f>
        <v/>
      </c>
    </row>
    <row r="1496">
      <c r="A1496">
        <f>IF(OR(Calc!$E1499="",Calc!$E1499="نامعتبر",Calc!$G1499="",Calc!$I1499&lt;&gt;"خرید"),"",Calc!$G1499)</f>
        <v/>
      </c>
      <c r="B1496">
        <f>IF($A1496="","",LEFT(Calc!$E1499,4)&amp;MID(Calc!$E1499,6,2)&amp;RIGHT(Calc!$E1499,2)&amp;Calc!$R1499&amp;"|"&amp;"1"&amp;RIGHT("00000"&amp;1491,5))</f>
        <v/>
      </c>
      <c r="C1496">
        <f>IF($B1496="","",COUNTIFS(LdgPartyA,$A1496,LdgKeyA,"&lt;"&amp;$B1496)+COUNTIFS(LdgPartyB,$A1496,LdgKeyB,"&lt;"&amp;$B1496)+1)</f>
        <v/>
      </c>
      <c r="D1496">
        <f>IF($C1496="","",$A1496&amp;"|"&amp;RIGHT("000000"&amp;$C1496,6))</f>
        <v/>
      </c>
      <c r="F1496">
        <f>IF(Sync!$AJ1496="","",Sync!$AJ1496)</f>
        <v/>
      </c>
      <c r="G1496">
        <f>IF($F1496="","",IF(Sync!$AG1496="","",IF(ISNUMBER(Sync!$AG1496),IF(AND(Sync!$AG1496&gt;=10000101,Sync!$AG1496&lt;=99991231),INT(Sync!$AG1496/10000),""),IFERROR(VALUE(TRIM(LEFT(Sync!$AG1496,FIND("/",Sync!$AG1496)-1))),""))))</f>
        <v/>
      </c>
      <c r="H1496">
        <f>IF(OR($F1496="",$G1496=""),"",IF(ISNUMBER(Sync!$AG1496),INT(MOD(Sync!$AG1496,10000)/100),IFERROR(VALUE(TRIM(LEFT(MID(Sync!$AG1496,FIND("/",Sync!$AG1496)+1,20),FIND("/",MID(Sync!$AG1496,FIND("/",Sync!$AG1496)+1,20))-1))),"")))</f>
        <v/>
      </c>
      <c r="I1496">
        <f>IF(OR($F1496="",$G1496=""),"",IF(ISNUMBER(Sync!$AG1496),MOD(Sync!$AG1496,100),IFERROR(VALUE(TRIM(MID(MID(Sync!$AG1496,FIND("/",Sync!$AG1496)+1,20),FIND("/",MID(Sync!$AG1496,FIND("/",Sync!$AG1496)+1,20))+1,20))),"")))</f>
        <v/>
      </c>
      <c r="J1496">
        <f>IF($F1496="","",IF(OR($G1496="",$H1496="",$I1496="",$G1496&lt;1300,$G1496&gt;1500,$H1496&lt;1,$H1496&gt;12,$I1496&lt;1,$I1496&gt;31),"نامعتبر",RIGHT("0000"&amp;$G1496,4)&amp;"/"&amp;RIGHT("00"&amp;$H1496,2)&amp;"/"&amp;RIGHT("00"&amp;$I1496,2)))</f>
        <v/>
      </c>
      <c r="K1496">
        <f>IF(OR($F1496="",$J1496="",$J1496="نامعتبر"),"",LEFT($J1496,4)&amp;MID($J1496,6,2)&amp;RIGHT($J1496,2)&amp;$N1496&amp;"|"&amp;"2"&amp;RIGHT("00000"&amp;1491,5))</f>
        <v/>
      </c>
      <c r="L1496">
        <f>IF($K1496="","",COUNTIFS(LdgPartyA,$F1496,LdgKeyA,"&lt;"&amp;$K1496)+COUNTIFS(LdgPartyB,$F1496,LdgKeyB,"&lt;"&amp;$K1496)+1)</f>
        <v/>
      </c>
      <c r="M1496">
        <f>IF($L1496="","",$F1496&amp;"|"&amp;RIGHT("000000"&amp;$L1496,6))</f>
        <v/>
      </c>
      <c r="N1496">
        <f>IF($F1496="","",IF(Sync!$AH1496="","0000",IF(AND(ISNUMBER(Sync!$AH1496),Sync!$AH1496&gt;=0,Sync!$AH1496&lt;1),RIGHT("00"&amp;HOUR(Sync!$AH1496),2)&amp;RIGHT("00"&amp;MINUTE(Sync!$AH1496),2),IFERROR(RIGHT("00"&amp;VALUE(LEFT(Sync!$AH1496,FIND(":",Sync!$AH1496)-1)),2)&amp;RIGHT("00"&amp;VALUE(MID(Sync!$AH1496,FIND(":",Sync!$AH1496)+1,2)),2),"0000"))))</f>
        <v/>
      </c>
    </row>
    <row r="1497">
      <c r="A1497">
        <f>IF(OR(Calc!$E1500="",Calc!$E1500="نامعتبر",Calc!$G1500="",Calc!$I1500&lt;&gt;"خرید"),"",Calc!$G1500)</f>
        <v/>
      </c>
      <c r="B1497">
        <f>IF($A1497="","",LEFT(Calc!$E1500,4)&amp;MID(Calc!$E1500,6,2)&amp;RIGHT(Calc!$E1500,2)&amp;Calc!$R1500&amp;"|"&amp;"1"&amp;RIGHT("00000"&amp;1492,5))</f>
        <v/>
      </c>
      <c r="C1497">
        <f>IF($B1497="","",COUNTIFS(LdgPartyA,$A1497,LdgKeyA,"&lt;"&amp;$B1497)+COUNTIFS(LdgPartyB,$A1497,LdgKeyB,"&lt;"&amp;$B1497)+1)</f>
        <v/>
      </c>
      <c r="D1497">
        <f>IF($C1497="","",$A1497&amp;"|"&amp;RIGHT("000000"&amp;$C1497,6))</f>
        <v/>
      </c>
      <c r="F1497">
        <f>IF(Sync!$AJ1497="","",Sync!$AJ1497)</f>
        <v/>
      </c>
      <c r="G1497">
        <f>IF($F1497="","",IF(Sync!$AG1497="","",IF(ISNUMBER(Sync!$AG1497),IF(AND(Sync!$AG1497&gt;=10000101,Sync!$AG1497&lt;=99991231),INT(Sync!$AG1497/10000),""),IFERROR(VALUE(TRIM(LEFT(Sync!$AG1497,FIND("/",Sync!$AG1497)-1))),""))))</f>
        <v/>
      </c>
      <c r="H1497">
        <f>IF(OR($F1497="",$G1497=""),"",IF(ISNUMBER(Sync!$AG1497),INT(MOD(Sync!$AG1497,10000)/100),IFERROR(VALUE(TRIM(LEFT(MID(Sync!$AG1497,FIND("/",Sync!$AG1497)+1,20),FIND("/",MID(Sync!$AG1497,FIND("/",Sync!$AG1497)+1,20))-1))),"")))</f>
        <v/>
      </c>
      <c r="I1497">
        <f>IF(OR($F1497="",$G1497=""),"",IF(ISNUMBER(Sync!$AG1497),MOD(Sync!$AG1497,100),IFERROR(VALUE(TRIM(MID(MID(Sync!$AG1497,FIND("/",Sync!$AG1497)+1,20),FIND("/",MID(Sync!$AG1497,FIND("/",Sync!$AG1497)+1,20))+1,20))),"")))</f>
        <v/>
      </c>
      <c r="J1497">
        <f>IF($F1497="","",IF(OR($G1497="",$H1497="",$I1497="",$G1497&lt;1300,$G1497&gt;1500,$H1497&lt;1,$H1497&gt;12,$I1497&lt;1,$I1497&gt;31),"نامعتبر",RIGHT("0000"&amp;$G1497,4)&amp;"/"&amp;RIGHT("00"&amp;$H1497,2)&amp;"/"&amp;RIGHT("00"&amp;$I1497,2)))</f>
        <v/>
      </c>
      <c r="K1497">
        <f>IF(OR($F1497="",$J1497="",$J1497="نامعتبر"),"",LEFT($J1497,4)&amp;MID($J1497,6,2)&amp;RIGHT($J1497,2)&amp;$N1497&amp;"|"&amp;"2"&amp;RIGHT("00000"&amp;1492,5))</f>
        <v/>
      </c>
      <c r="L1497">
        <f>IF($K1497="","",COUNTIFS(LdgPartyA,$F1497,LdgKeyA,"&lt;"&amp;$K1497)+COUNTIFS(LdgPartyB,$F1497,LdgKeyB,"&lt;"&amp;$K1497)+1)</f>
        <v/>
      </c>
      <c r="M1497">
        <f>IF($L1497="","",$F1497&amp;"|"&amp;RIGHT("000000"&amp;$L1497,6))</f>
        <v/>
      </c>
      <c r="N1497">
        <f>IF($F1497="","",IF(Sync!$AH1497="","0000",IF(AND(ISNUMBER(Sync!$AH1497),Sync!$AH1497&gt;=0,Sync!$AH1497&lt;1),RIGHT("00"&amp;HOUR(Sync!$AH1497),2)&amp;RIGHT("00"&amp;MINUTE(Sync!$AH1497),2),IFERROR(RIGHT("00"&amp;VALUE(LEFT(Sync!$AH1497,FIND(":",Sync!$AH1497)-1)),2)&amp;RIGHT("00"&amp;VALUE(MID(Sync!$AH1497,FIND(":",Sync!$AH1497)+1,2)),2),"0000"))))</f>
        <v/>
      </c>
    </row>
    <row r="1498">
      <c r="A1498">
        <f>IF(OR(Calc!$E1501="",Calc!$E1501="نامعتبر",Calc!$G1501="",Calc!$I1501&lt;&gt;"خرید"),"",Calc!$G1501)</f>
        <v/>
      </c>
      <c r="B1498">
        <f>IF($A1498="","",LEFT(Calc!$E1501,4)&amp;MID(Calc!$E1501,6,2)&amp;RIGHT(Calc!$E1501,2)&amp;Calc!$R1501&amp;"|"&amp;"1"&amp;RIGHT("00000"&amp;1493,5))</f>
        <v/>
      </c>
      <c r="C1498">
        <f>IF($B1498="","",COUNTIFS(LdgPartyA,$A1498,LdgKeyA,"&lt;"&amp;$B1498)+COUNTIFS(LdgPartyB,$A1498,LdgKeyB,"&lt;"&amp;$B1498)+1)</f>
        <v/>
      </c>
      <c r="D1498">
        <f>IF($C1498="","",$A1498&amp;"|"&amp;RIGHT("000000"&amp;$C1498,6))</f>
        <v/>
      </c>
      <c r="F1498">
        <f>IF(Sync!$AJ1498="","",Sync!$AJ1498)</f>
        <v/>
      </c>
      <c r="G1498">
        <f>IF($F1498="","",IF(Sync!$AG1498="","",IF(ISNUMBER(Sync!$AG1498),IF(AND(Sync!$AG1498&gt;=10000101,Sync!$AG1498&lt;=99991231),INT(Sync!$AG1498/10000),""),IFERROR(VALUE(TRIM(LEFT(Sync!$AG1498,FIND("/",Sync!$AG1498)-1))),""))))</f>
        <v/>
      </c>
      <c r="H1498">
        <f>IF(OR($F1498="",$G1498=""),"",IF(ISNUMBER(Sync!$AG1498),INT(MOD(Sync!$AG1498,10000)/100),IFERROR(VALUE(TRIM(LEFT(MID(Sync!$AG1498,FIND("/",Sync!$AG1498)+1,20),FIND("/",MID(Sync!$AG1498,FIND("/",Sync!$AG1498)+1,20))-1))),"")))</f>
        <v/>
      </c>
      <c r="I1498">
        <f>IF(OR($F1498="",$G1498=""),"",IF(ISNUMBER(Sync!$AG1498),MOD(Sync!$AG1498,100),IFERROR(VALUE(TRIM(MID(MID(Sync!$AG1498,FIND("/",Sync!$AG1498)+1,20),FIND("/",MID(Sync!$AG1498,FIND("/",Sync!$AG1498)+1,20))+1,20))),"")))</f>
        <v/>
      </c>
      <c r="J1498">
        <f>IF($F1498="","",IF(OR($G1498="",$H1498="",$I1498="",$G1498&lt;1300,$G1498&gt;1500,$H1498&lt;1,$H1498&gt;12,$I1498&lt;1,$I1498&gt;31),"نامعتبر",RIGHT("0000"&amp;$G1498,4)&amp;"/"&amp;RIGHT("00"&amp;$H1498,2)&amp;"/"&amp;RIGHT("00"&amp;$I1498,2)))</f>
        <v/>
      </c>
      <c r="K1498">
        <f>IF(OR($F1498="",$J1498="",$J1498="نامعتبر"),"",LEFT($J1498,4)&amp;MID($J1498,6,2)&amp;RIGHT($J1498,2)&amp;$N1498&amp;"|"&amp;"2"&amp;RIGHT("00000"&amp;1493,5))</f>
        <v/>
      </c>
      <c r="L1498">
        <f>IF($K1498="","",COUNTIFS(LdgPartyA,$F1498,LdgKeyA,"&lt;"&amp;$K1498)+COUNTIFS(LdgPartyB,$F1498,LdgKeyB,"&lt;"&amp;$K1498)+1)</f>
        <v/>
      </c>
      <c r="M1498">
        <f>IF($L1498="","",$F1498&amp;"|"&amp;RIGHT("000000"&amp;$L1498,6))</f>
        <v/>
      </c>
      <c r="N1498">
        <f>IF($F1498="","",IF(Sync!$AH1498="","0000",IF(AND(ISNUMBER(Sync!$AH1498),Sync!$AH1498&gt;=0,Sync!$AH1498&lt;1),RIGHT("00"&amp;HOUR(Sync!$AH1498),2)&amp;RIGHT("00"&amp;MINUTE(Sync!$AH1498),2),IFERROR(RIGHT("00"&amp;VALUE(LEFT(Sync!$AH1498,FIND(":",Sync!$AH1498)-1)),2)&amp;RIGHT("00"&amp;VALUE(MID(Sync!$AH1498,FIND(":",Sync!$AH1498)+1,2)),2),"0000"))))</f>
        <v/>
      </c>
    </row>
    <row r="1499">
      <c r="A1499">
        <f>IF(OR(Calc!$E1502="",Calc!$E1502="نامعتبر",Calc!$G1502="",Calc!$I1502&lt;&gt;"خرید"),"",Calc!$G1502)</f>
        <v/>
      </c>
      <c r="B1499">
        <f>IF($A1499="","",LEFT(Calc!$E1502,4)&amp;MID(Calc!$E1502,6,2)&amp;RIGHT(Calc!$E1502,2)&amp;Calc!$R1502&amp;"|"&amp;"1"&amp;RIGHT("00000"&amp;1494,5))</f>
        <v/>
      </c>
      <c r="C1499">
        <f>IF($B1499="","",COUNTIFS(LdgPartyA,$A1499,LdgKeyA,"&lt;"&amp;$B1499)+COUNTIFS(LdgPartyB,$A1499,LdgKeyB,"&lt;"&amp;$B1499)+1)</f>
        <v/>
      </c>
      <c r="D1499">
        <f>IF($C1499="","",$A1499&amp;"|"&amp;RIGHT("000000"&amp;$C1499,6))</f>
        <v/>
      </c>
      <c r="F1499">
        <f>IF(Sync!$AJ1499="","",Sync!$AJ1499)</f>
        <v/>
      </c>
      <c r="G1499">
        <f>IF($F1499="","",IF(Sync!$AG1499="","",IF(ISNUMBER(Sync!$AG1499),IF(AND(Sync!$AG1499&gt;=10000101,Sync!$AG1499&lt;=99991231),INT(Sync!$AG1499/10000),""),IFERROR(VALUE(TRIM(LEFT(Sync!$AG1499,FIND("/",Sync!$AG1499)-1))),""))))</f>
        <v/>
      </c>
      <c r="H1499">
        <f>IF(OR($F1499="",$G1499=""),"",IF(ISNUMBER(Sync!$AG1499),INT(MOD(Sync!$AG1499,10000)/100),IFERROR(VALUE(TRIM(LEFT(MID(Sync!$AG1499,FIND("/",Sync!$AG1499)+1,20),FIND("/",MID(Sync!$AG1499,FIND("/",Sync!$AG1499)+1,20))-1))),"")))</f>
        <v/>
      </c>
      <c r="I1499">
        <f>IF(OR($F1499="",$G1499=""),"",IF(ISNUMBER(Sync!$AG1499),MOD(Sync!$AG1499,100),IFERROR(VALUE(TRIM(MID(MID(Sync!$AG1499,FIND("/",Sync!$AG1499)+1,20),FIND("/",MID(Sync!$AG1499,FIND("/",Sync!$AG1499)+1,20))+1,20))),"")))</f>
        <v/>
      </c>
      <c r="J1499">
        <f>IF($F1499="","",IF(OR($G1499="",$H1499="",$I1499="",$G1499&lt;1300,$G1499&gt;1500,$H1499&lt;1,$H1499&gt;12,$I1499&lt;1,$I1499&gt;31),"نامعتبر",RIGHT("0000"&amp;$G1499,4)&amp;"/"&amp;RIGHT("00"&amp;$H1499,2)&amp;"/"&amp;RIGHT("00"&amp;$I1499,2)))</f>
        <v/>
      </c>
      <c r="K1499">
        <f>IF(OR($F1499="",$J1499="",$J1499="نامعتبر"),"",LEFT($J1499,4)&amp;MID($J1499,6,2)&amp;RIGHT($J1499,2)&amp;$N1499&amp;"|"&amp;"2"&amp;RIGHT("00000"&amp;1494,5))</f>
        <v/>
      </c>
      <c r="L1499">
        <f>IF($K1499="","",COUNTIFS(LdgPartyA,$F1499,LdgKeyA,"&lt;"&amp;$K1499)+COUNTIFS(LdgPartyB,$F1499,LdgKeyB,"&lt;"&amp;$K1499)+1)</f>
        <v/>
      </c>
      <c r="M1499">
        <f>IF($L1499="","",$F1499&amp;"|"&amp;RIGHT("000000"&amp;$L1499,6))</f>
        <v/>
      </c>
      <c r="N1499">
        <f>IF($F1499="","",IF(Sync!$AH1499="","0000",IF(AND(ISNUMBER(Sync!$AH1499),Sync!$AH1499&gt;=0,Sync!$AH1499&lt;1),RIGHT("00"&amp;HOUR(Sync!$AH1499),2)&amp;RIGHT("00"&amp;MINUTE(Sync!$AH1499),2),IFERROR(RIGHT("00"&amp;VALUE(LEFT(Sync!$AH1499,FIND(":",Sync!$AH1499)-1)),2)&amp;RIGHT("00"&amp;VALUE(MID(Sync!$AH1499,FIND(":",Sync!$AH1499)+1,2)),2),"0000"))))</f>
        <v/>
      </c>
    </row>
    <row r="1500">
      <c r="A1500">
        <f>IF(OR(Calc!$E1503="",Calc!$E1503="نامعتبر",Calc!$G1503="",Calc!$I1503&lt;&gt;"خرید"),"",Calc!$G1503)</f>
        <v/>
      </c>
      <c r="B1500">
        <f>IF($A1500="","",LEFT(Calc!$E1503,4)&amp;MID(Calc!$E1503,6,2)&amp;RIGHT(Calc!$E1503,2)&amp;Calc!$R1503&amp;"|"&amp;"1"&amp;RIGHT("00000"&amp;1495,5))</f>
        <v/>
      </c>
      <c r="C1500">
        <f>IF($B1500="","",COUNTIFS(LdgPartyA,$A1500,LdgKeyA,"&lt;"&amp;$B1500)+COUNTIFS(LdgPartyB,$A1500,LdgKeyB,"&lt;"&amp;$B1500)+1)</f>
        <v/>
      </c>
      <c r="D1500">
        <f>IF($C1500="","",$A1500&amp;"|"&amp;RIGHT("000000"&amp;$C1500,6))</f>
        <v/>
      </c>
      <c r="F1500">
        <f>IF(Sync!$AJ1500="","",Sync!$AJ1500)</f>
        <v/>
      </c>
      <c r="G1500">
        <f>IF($F1500="","",IF(Sync!$AG1500="","",IF(ISNUMBER(Sync!$AG1500),IF(AND(Sync!$AG1500&gt;=10000101,Sync!$AG1500&lt;=99991231),INT(Sync!$AG1500/10000),""),IFERROR(VALUE(TRIM(LEFT(Sync!$AG1500,FIND("/",Sync!$AG1500)-1))),""))))</f>
        <v/>
      </c>
      <c r="H1500">
        <f>IF(OR($F1500="",$G1500=""),"",IF(ISNUMBER(Sync!$AG1500),INT(MOD(Sync!$AG1500,10000)/100),IFERROR(VALUE(TRIM(LEFT(MID(Sync!$AG1500,FIND("/",Sync!$AG1500)+1,20),FIND("/",MID(Sync!$AG1500,FIND("/",Sync!$AG1500)+1,20))-1))),"")))</f>
        <v/>
      </c>
      <c r="I1500">
        <f>IF(OR($F1500="",$G1500=""),"",IF(ISNUMBER(Sync!$AG1500),MOD(Sync!$AG1500,100),IFERROR(VALUE(TRIM(MID(MID(Sync!$AG1500,FIND("/",Sync!$AG1500)+1,20),FIND("/",MID(Sync!$AG1500,FIND("/",Sync!$AG1500)+1,20))+1,20))),"")))</f>
        <v/>
      </c>
      <c r="J1500">
        <f>IF($F1500="","",IF(OR($G1500="",$H1500="",$I1500="",$G1500&lt;1300,$G1500&gt;1500,$H1500&lt;1,$H1500&gt;12,$I1500&lt;1,$I1500&gt;31),"نامعتبر",RIGHT("0000"&amp;$G1500,4)&amp;"/"&amp;RIGHT("00"&amp;$H1500,2)&amp;"/"&amp;RIGHT("00"&amp;$I1500,2)))</f>
        <v/>
      </c>
      <c r="K1500">
        <f>IF(OR($F1500="",$J1500="",$J1500="نامعتبر"),"",LEFT($J1500,4)&amp;MID($J1500,6,2)&amp;RIGHT($J1500,2)&amp;$N1500&amp;"|"&amp;"2"&amp;RIGHT("00000"&amp;1495,5))</f>
        <v/>
      </c>
      <c r="L1500">
        <f>IF($K1500="","",COUNTIFS(LdgPartyA,$F1500,LdgKeyA,"&lt;"&amp;$K1500)+COUNTIFS(LdgPartyB,$F1500,LdgKeyB,"&lt;"&amp;$K1500)+1)</f>
        <v/>
      </c>
      <c r="M1500">
        <f>IF($L1500="","",$F1500&amp;"|"&amp;RIGHT("000000"&amp;$L1500,6))</f>
        <v/>
      </c>
      <c r="N1500">
        <f>IF($F1500="","",IF(Sync!$AH1500="","0000",IF(AND(ISNUMBER(Sync!$AH1500),Sync!$AH1500&gt;=0,Sync!$AH1500&lt;1),RIGHT("00"&amp;HOUR(Sync!$AH1500),2)&amp;RIGHT("00"&amp;MINUTE(Sync!$AH1500),2),IFERROR(RIGHT("00"&amp;VALUE(LEFT(Sync!$AH1500,FIND(":",Sync!$AH1500)-1)),2)&amp;RIGHT("00"&amp;VALUE(MID(Sync!$AH1500,FIND(":",Sync!$AH1500)+1,2)),2),"0000"))))</f>
        <v/>
      </c>
    </row>
    <row r="1501">
      <c r="A1501">
        <f>IF(OR(Calc!$E1504="",Calc!$E1504="نامعتبر",Calc!$G1504="",Calc!$I1504&lt;&gt;"خرید"),"",Calc!$G1504)</f>
        <v/>
      </c>
      <c r="B1501">
        <f>IF($A1501="","",LEFT(Calc!$E1504,4)&amp;MID(Calc!$E1504,6,2)&amp;RIGHT(Calc!$E1504,2)&amp;Calc!$R1504&amp;"|"&amp;"1"&amp;RIGHT("00000"&amp;1496,5))</f>
        <v/>
      </c>
      <c r="C1501">
        <f>IF($B1501="","",COUNTIFS(LdgPartyA,$A1501,LdgKeyA,"&lt;"&amp;$B1501)+COUNTIFS(LdgPartyB,$A1501,LdgKeyB,"&lt;"&amp;$B1501)+1)</f>
        <v/>
      </c>
      <c r="D1501">
        <f>IF($C1501="","",$A1501&amp;"|"&amp;RIGHT("000000"&amp;$C1501,6))</f>
        <v/>
      </c>
      <c r="F1501">
        <f>IF(Sync!$AJ1501="","",Sync!$AJ1501)</f>
        <v/>
      </c>
      <c r="G1501">
        <f>IF($F1501="","",IF(Sync!$AG1501="","",IF(ISNUMBER(Sync!$AG1501),IF(AND(Sync!$AG1501&gt;=10000101,Sync!$AG1501&lt;=99991231),INT(Sync!$AG1501/10000),""),IFERROR(VALUE(TRIM(LEFT(Sync!$AG1501,FIND("/",Sync!$AG1501)-1))),""))))</f>
        <v/>
      </c>
      <c r="H1501">
        <f>IF(OR($F1501="",$G1501=""),"",IF(ISNUMBER(Sync!$AG1501),INT(MOD(Sync!$AG1501,10000)/100),IFERROR(VALUE(TRIM(LEFT(MID(Sync!$AG1501,FIND("/",Sync!$AG1501)+1,20),FIND("/",MID(Sync!$AG1501,FIND("/",Sync!$AG1501)+1,20))-1))),"")))</f>
        <v/>
      </c>
      <c r="I1501">
        <f>IF(OR($F1501="",$G1501=""),"",IF(ISNUMBER(Sync!$AG1501),MOD(Sync!$AG1501,100),IFERROR(VALUE(TRIM(MID(MID(Sync!$AG1501,FIND("/",Sync!$AG1501)+1,20),FIND("/",MID(Sync!$AG1501,FIND("/",Sync!$AG1501)+1,20))+1,20))),"")))</f>
        <v/>
      </c>
      <c r="J1501">
        <f>IF($F1501="","",IF(OR($G1501="",$H1501="",$I1501="",$G1501&lt;1300,$G1501&gt;1500,$H1501&lt;1,$H1501&gt;12,$I1501&lt;1,$I1501&gt;31),"نامعتبر",RIGHT("0000"&amp;$G1501,4)&amp;"/"&amp;RIGHT("00"&amp;$H1501,2)&amp;"/"&amp;RIGHT("00"&amp;$I1501,2)))</f>
        <v/>
      </c>
      <c r="K1501">
        <f>IF(OR($F1501="",$J1501="",$J1501="نامعتبر"),"",LEFT($J1501,4)&amp;MID($J1501,6,2)&amp;RIGHT($J1501,2)&amp;$N1501&amp;"|"&amp;"2"&amp;RIGHT("00000"&amp;1496,5))</f>
        <v/>
      </c>
      <c r="L1501">
        <f>IF($K1501="","",COUNTIFS(LdgPartyA,$F1501,LdgKeyA,"&lt;"&amp;$K1501)+COUNTIFS(LdgPartyB,$F1501,LdgKeyB,"&lt;"&amp;$K1501)+1)</f>
        <v/>
      </c>
      <c r="M1501">
        <f>IF($L1501="","",$F1501&amp;"|"&amp;RIGHT("000000"&amp;$L1501,6))</f>
        <v/>
      </c>
      <c r="N1501">
        <f>IF($F1501="","",IF(Sync!$AH1501="","0000",IF(AND(ISNUMBER(Sync!$AH1501),Sync!$AH1501&gt;=0,Sync!$AH1501&lt;1),RIGHT("00"&amp;HOUR(Sync!$AH1501),2)&amp;RIGHT("00"&amp;MINUTE(Sync!$AH1501),2),IFERROR(RIGHT("00"&amp;VALUE(LEFT(Sync!$AH1501,FIND(":",Sync!$AH1501)-1)),2)&amp;RIGHT("00"&amp;VALUE(MID(Sync!$AH1501,FIND(":",Sync!$AH1501)+1,2)),2),"0000"))))</f>
        <v/>
      </c>
    </row>
    <row r="1502">
      <c r="A1502">
        <f>IF(OR(Calc!$E1505="",Calc!$E1505="نامعتبر",Calc!$G1505="",Calc!$I1505&lt;&gt;"خرید"),"",Calc!$G1505)</f>
        <v/>
      </c>
      <c r="B1502">
        <f>IF($A1502="","",LEFT(Calc!$E1505,4)&amp;MID(Calc!$E1505,6,2)&amp;RIGHT(Calc!$E1505,2)&amp;Calc!$R1505&amp;"|"&amp;"1"&amp;RIGHT("00000"&amp;1497,5))</f>
        <v/>
      </c>
      <c r="C1502">
        <f>IF($B1502="","",COUNTIFS(LdgPartyA,$A1502,LdgKeyA,"&lt;"&amp;$B1502)+COUNTIFS(LdgPartyB,$A1502,LdgKeyB,"&lt;"&amp;$B1502)+1)</f>
        <v/>
      </c>
      <c r="D1502">
        <f>IF($C1502="","",$A1502&amp;"|"&amp;RIGHT("000000"&amp;$C1502,6))</f>
        <v/>
      </c>
      <c r="F1502">
        <f>IF(Sync!$AJ1502="","",Sync!$AJ1502)</f>
        <v/>
      </c>
      <c r="G1502">
        <f>IF($F1502="","",IF(Sync!$AG1502="","",IF(ISNUMBER(Sync!$AG1502),IF(AND(Sync!$AG1502&gt;=10000101,Sync!$AG1502&lt;=99991231),INT(Sync!$AG1502/10000),""),IFERROR(VALUE(TRIM(LEFT(Sync!$AG1502,FIND("/",Sync!$AG1502)-1))),""))))</f>
        <v/>
      </c>
      <c r="H1502">
        <f>IF(OR($F1502="",$G1502=""),"",IF(ISNUMBER(Sync!$AG1502),INT(MOD(Sync!$AG1502,10000)/100),IFERROR(VALUE(TRIM(LEFT(MID(Sync!$AG1502,FIND("/",Sync!$AG1502)+1,20),FIND("/",MID(Sync!$AG1502,FIND("/",Sync!$AG1502)+1,20))-1))),"")))</f>
        <v/>
      </c>
      <c r="I1502">
        <f>IF(OR($F1502="",$G1502=""),"",IF(ISNUMBER(Sync!$AG1502),MOD(Sync!$AG1502,100),IFERROR(VALUE(TRIM(MID(MID(Sync!$AG1502,FIND("/",Sync!$AG1502)+1,20),FIND("/",MID(Sync!$AG1502,FIND("/",Sync!$AG1502)+1,20))+1,20))),"")))</f>
        <v/>
      </c>
      <c r="J1502">
        <f>IF($F1502="","",IF(OR($G1502="",$H1502="",$I1502="",$G1502&lt;1300,$G1502&gt;1500,$H1502&lt;1,$H1502&gt;12,$I1502&lt;1,$I1502&gt;31),"نامعتبر",RIGHT("0000"&amp;$G1502,4)&amp;"/"&amp;RIGHT("00"&amp;$H1502,2)&amp;"/"&amp;RIGHT("00"&amp;$I1502,2)))</f>
        <v/>
      </c>
      <c r="K1502">
        <f>IF(OR($F1502="",$J1502="",$J1502="نامعتبر"),"",LEFT($J1502,4)&amp;MID($J1502,6,2)&amp;RIGHT($J1502,2)&amp;$N1502&amp;"|"&amp;"2"&amp;RIGHT("00000"&amp;1497,5))</f>
        <v/>
      </c>
      <c r="L1502">
        <f>IF($K1502="","",COUNTIFS(LdgPartyA,$F1502,LdgKeyA,"&lt;"&amp;$K1502)+COUNTIFS(LdgPartyB,$F1502,LdgKeyB,"&lt;"&amp;$K1502)+1)</f>
        <v/>
      </c>
      <c r="M1502">
        <f>IF($L1502="","",$F1502&amp;"|"&amp;RIGHT("000000"&amp;$L1502,6))</f>
        <v/>
      </c>
      <c r="N1502">
        <f>IF($F1502="","",IF(Sync!$AH1502="","0000",IF(AND(ISNUMBER(Sync!$AH1502),Sync!$AH1502&gt;=0,Sync!$AH1502&lt;1),RIGHT("00"&amp;HOUR(Sync!$AH1502),2)&amp;RIGHT("00"&amp;MINUTE(Sync!$AH1502),2),IFERROR(RIGHT("00"&amp;VALUE(LEFT(Sync!$AH1502,FIND(":",Sync!$AH1502)-1)),2)&amp;RIGHT("00"&amp;VALUE(MID(Sync!$AH1502,FIND(":",Sync!$AH1502)+1,2)),2),"0000"))))</f>
        <v/>
      </c>
    </row>
    <row r="1503">
      <c r="A1503">
        <f>IF(OR(Calc!$E1506="",Calc!$E1506="نامعتبر",Calc!$G1506="",Calc!$I1506&lt;&gt;"خرید"),"",Calc!$G1506)</f>
        <v/>
      </c>
      <c r="B1503">
        <f>IF($A1503="","",LEFT(Calc!$E1506,4)&amp;MID(Calc!$E1506,6,2)&amp;RIGHT(Calc!$E1506,2)&amp;Calc!$R1506&amp;"|"&amp;"1"&amp;RIGHT("00000"&amp;1498,5))</f>
        <v/>
      </c>
      <c r="C1503">
        <f>IF($B1503="","",COUNTIFS(LdgPartyA,$A1503,LdgKeyA,"&lt;"&amp;$B1503)+COUNTIFS(LdgPartyB,$A1503,LdgKeyB,"&lt;"&amp;$B1503)+1)</f>
        <v/>
      </c>
      <c r="D1503">
        <f>IF($C1503="","",$A1503&amp;"|"&amp;RIGHT("000000"&amp;$C1503,6))</f>
        <v/>
      </c>
      <c r="F1503">
        <f>IF(Sync!$AJ1503="","",Sync!$AJ1503)</f>
        <v/>
      </c>
      <c r="G1503">
        <f>IF($F1503="","",IF(Sync!$AG1503="","",IF(ISNUMBER(Sync!$AG1503),IF(AND(Sync!$AG1503&gt;=10000101,Sync!$AG1503&lt;=99991231),INT(Sync!$AG1503/10000),""),IFERROR(VALUE(TRIM(LEFT(Sync!$AG1503,FIND("/",Sync!$AG1503)-1))),""))))</f>
        <v/>
      </c>
      <c r="H1503">
        <f>IF(OR($F1503="",$G1503=""),"",IF(ISNUMBER(Sync!$AG1503),INT(MOD(Sync!$AG1503,10000)/100),IFERROR(VALUE(TRIM(LEFT(MID(Sync!$AG1503,FIND("/",Sync!$AG1503)+1,20),FIND("/",MID(Sync!$AG1503,FIND("/",Sync!$AG1503)+1,20))-1))),"")))</f>
        <v/>
      </c>
      <c r="I1503">
        <f>IF(OR($F1503="",$G1503=""),"",IF(ISNUMBER(Sync!$AG1503),MOD(Sync!$AG1503,100),IFERROR(VALUE(TRIM(MID(MID(Sync!$AG1503,FIND("/",Sync!$AG1503)+1,20),FIND("/",MID(Sync!$AG1503,FIND("/",Sync!$AG1503)+1,20))+1,20))),"")))</f>
        <v/>
      </c>
      <c r="J1503">
        <f>IF($F1503="","",IF(OR($G1503="",$H1503="",$I1503="",$G1503&lt;1300,$G1503&gt;1500,$H1503&lt;1,$H1503&gt;12,$I1503&lt;1,$I1503&gt;31),"نامعتبر",RIGHT("0000"&amp;$G1503,4)&amp;"/"&amp;RIGHT("00"&amp;$H1503,2)&amp;"/"&amp;RIGHT("00"&amp;$I1503,2)))</f>
        <v/>
      </c>
      <c r="K1503">
        <f>IF(OR($F1503="",$J1503="",$J1503="نامعتبر"),"",LEFT($J1503,4)&amp;MID($J1503,6,2)&amp;RIGHT($J1503,2)&amp;$N1503&amp;"|"&amp;"2"&amp;RIGHT("00000"&amp;1498,5))</f>
        <v/>
      </c>
      <c r="L1503">
        <f>IF($K1503="","",COUNTIFS(LdgPartyA,$F1503,LdgKeyA,"&lt;"&amp;$K1503)+COUNTIFS(LdgPartyB,$F1503,LdgKeyB,"&lt;"&amp;$K1503)+1)</f>
        <v/>
      </c>
      <c r="M1503">
        <f>IF($L1503="","",$F1503&amp;"|"&amp;RIGHT("000000"&amp;$L1503,6))</f>
        <v/>
      </c>
      <c r="N1503">
        <f>IF($F1503="","",IF(Sync!$AH1503="","0000",IF(AND(ISNUMBER(Sync!$AH1503),Sync!$AH1503&gt;=0,Sync!$AH1503&lt;1),RIGHT("00"&amp;HOUR(Sync!$AH1503),2)&amp;RIGHT("00"&amp;MINUTE(Sync!$AH1503),2),IFERROR(RIGHT("00"&amp;VALUE(LEFT(Sync!$AH1503,FIND(":",Sync!$AH1503)-1)),2)&amp;RIGHT("00"&amp;VALUE(MID(Sync!$AH1503,FIND(":",Sync!$AH1503)+1,2)),2),"0000"))))</f>
        <v/>
      </c>
    </row>
    <row r="1504">
      <c r="A1504">
        <f>IF(OR(Calc!$E1507="",Calc!$E1507="نامعتبر",Calc!$G1507="",Calc!$I1507&lt;&gt;"خرید"),"",Calc!$G1507)</f>
        <v/>
      </c>
      <c r="B1504">
        <f>IF($A1504="","",LEFT(Calc!$E1507,4)&amp;MID(Calc!$E1507,6,2)&amp;RIGHT(Calc!$E1507,2)&amp;Calc!$R1507&amp;"|"&amp;"1"&amp;RIGHT("00000"&amp;1499,5))</f>
        <v/>
      </c>
      <c r="C1504">
        <f>IF($B1504="","",COUNTIFS(LdgPartyA,$A1504,LdgKeyA,"&lt;"&amp;$B1504)+COUNTIFS(LdgPartyB,$A1504,LdgKeyB,"&lt;"&amp;$B1504)+1)</f>
        <v/>
      </c>
      <c r="D1504">
        <f>IF($C1504="","",$A1504&amp;"|"&amp;RIGHT("000000"&amp;$C1504,6))</f>
        <v/>
      </c>
      <c r="F1504">
        <f>IF(Sync!$AJ1504="","",Sync!$AJ1504)</f>
        <v/>
      </c>
      <c r="G1504">
        <f>IF($F1504="","",IF(Sync!$AG1504="","",IF(ISNUMBER(Sync!$AG1504),IF(AND(Sync!$AG1504&gt;=10000101,Sync!$AG1504&lt;=99991231),INT(Sync!$AG1504/10000),""),IFERROR(VALUE(TRIM(LEFT(Sync!$AG1504,FIND("/",Sync!$AG1504)-1))),""))))</f>
        <v/>
      </c>
      <c r="H1504">
        <f>IF(OR($F1504="",$G1504=""),"",IF(ISNUMBER(Sync!$AG1504),INT(MOD(Sync!$AG1504,10000)/100),IFERROR(VALUE(TRIM(LEFT(MID(Sync!$AG1504,FIND("/",Sync!$AG1504)+1,20),FIND("/",MID(Sync!$AG1504,FIND("/",Sync!$AG1504)+1,20))-1))),"")))</f>
        <v/>
      </c>
      <c r="I1504">
        <f>IF(OR($F1504="",$G1504=""),"",IF(ISNUMBER(Sync!$AG1504),MOD(Sync!$AG1504,100),IFERROR(VALUE(TRIM(MID(MID(Sync!$AG1504,FIND("/",Sync!$AG1504)+1,20),FIND("/",MID(Sync!$AG1504,FIND("/",Sync!$AG1504)+1,20))+1,20))),"")))</f>
        <v/>
      </c>
      <c r="J1504">
        <f>IF($F1504="","",IF(OR($G1504="",$H1504="",$I1504="",$G1504&lt;1300,$G1504&gt;1500,$H1504&lt;1,$H1504&gt;12,$I1504&lt;1,$I1504&gt;31),"نامعتبر",RIGHT("0000"&amp;$G1504,4)&amp;"/"&amp;RIGHT("00"&amp;$H1504,2)&amp;"/"&amp;RIGHT("00"&amp;$I1504,2)))</f>
        <v/>
      </c>
      <c r="K1504">
        <f>IF(OR($F1504="",$J1504="",$J1504="نامعتبر"),"",LEFT($J1504,4)&amp;MID($J1504,6,2)&amp;RIGHT($J1504,2)&amp;$N1504&amp;"|"&amp;"2"&amp;RIGHT("00000"&amp;1499,5))</f>
        <v/>
      </c>
      <c r="L1504">
        <f>IF($K1504="","",COUNTIFS(LdgPartyA,$F1504,LdgKeyA,"&lt;"&amp;$K1504)+COUNTIFS(LdgPartyB,$F1504,LdgKeyB,"&lt;"&amp;$K1504)+1)</f>
        <v/>
      </c>
      <c r="M1504">
        <f>IF($L1504="","",$F1504&amp;"|"&amp;RIGHT("000000"&amp;$L1504,6))</f>
        <v/>
      </c>
      <c r="N1504">
        <f>IF($F1504="","",IF(Sync!$AH1504="","0000",IF(AND(ISNUMBER(Sync!$AH1504),Sync!$AH1504&gt;=0,Sync!$AH1504&lt;1),RIGHT("00"&amp;HOUR(Sync!$AH1504),2)&amp;RIGHT("00"&amp;MINUTE(Sync!$AH1504),2),IFERROR(RIGHT("00"&amp;VALUE(LEFT(Sync!$AH1504,FIND(":",Sync!$AH1504)-1)),2)&amp;RIGHT("00"&amp;VALUE(MID(Sync!$AH1504,FIND(":",Sync!$AH1504)+1,2)),2),"0000"))))</f>
        <v/>
      </c>
    </row>
    <row r="1505">
      <c r="A1505">
        <f>IF(OR(Calc!$E1508="",Calc!$E1508="نامعتبر",Calc!$G1508="",Calc!$I1508&lt;&gt;"خرید"),"",Calc!$G1508)</f>
        <v/>
      </c>
      <c r="B1505">
        <f>IF($A1505="","",LEFT(Calc!$E1508,4)&amp;MID(Calc!$E1508,6,2)&amp;RIGHT(Calc!$E1508,2)&amp;Calc!$R1508&amp;"|"&amp;"1"&amp;RIGHT("00000"&amp;1500,5))</f>
        <v/>
      </c>
      <c r="C1505">
        <f>IF($B1505="","",COUNTIFS(LdgPartyA,$A1505,LdgKeyA,"&lt;"&amp;$B1505)+COUNTIFS(LdgPartyB,$A1505,LdgKeyB,"&lt;"&amp;$B1505)+1)</f>
        <v/>
      </c>
      <c r="D1505">
        <f>IF($C1505="","",$A1505&amp;"|"&amp;RIGHT("000000"&amp;$C1505,6))</f>
        <v/>
      </c>
      <c r="F1505">
        <f>IF(Sync!$AJ1505="","",Sync!$AJ1505)</f>
        <v/>
      </c>
      <c r="G1505">
        <f>IF($F1505="","",IF(Sync!$AG1505="","",IF(ISNUMBER(Sync!$AG1505),IF(AND(Sync!$AG1505&gt;=10000101,Sync!$AG1505&lt;=99991231),INT(Sync!$AG1505/10000),""),IFERROR(VALUE(TRIM(LEFT(Sync!$AG1505,FIND("/",Sync!$AG1505)-1))),""))))</f>
        <v/>
      </c>
      <c r="H1505">
        <f>IF(OR($F1505="",$G1505=""),"",IF(ISNUMBER(Sync!$AG1505),INT(MOD(Sync!$AG1505,10000)/100),IFERROR(VALUE(TRIM(LEFT(MID(Sync!$AG1505,FIND("/",Sync!$AG1505)+1,20),FIND("/",MID(Sync!$AG1505,FIND("/",Sync!$AG1505)+1,20))-1))),"")))</f>
        <v/>
      </c>
      <c r="I1505">
        <f>IF(OR($F1505="",$G1505=""),"",IF(ISNUMBER(Sync!$AG1505),MOD(Sync!$AG1505,100),IFERROR(VALUE(TRIM(MID(MID(Sync!$AG1505,FIND("/",Sync!$AG1505)+1,20),FIND("/",MID(Sync!$AG1505,FIND("/",Sync!$AG1505)+1,20))+1,20))),"")))</f>
        <v/>
      </c>
      <c r="J1505">
        <f>IF($F1505="","",IF(OR($G1505="",$H1505="",$I1505="",$G1505&lt;1300,$G1505&gt;1500,$H1505&lt;1,$H1505&gt;12,$I1505&lt;1,$I1505&gt;31),"نامعتبر",RIGHT("0000"&amp;$G1505,4)&amp;"/"&amp;RIGHT("00"&amp;$H1505,2)&amp;"/"&amp;RIGHT("00"&amp;$I1505,2)))</f>
        <v/>
      </c>
      <c r="K1505">
        <f>IF(OR($F1505="",$J1505="",$J1505="نامعتبر"),"",LEFT($J1505,4)&amp;MID($J1505,6,2)&amp;RIGHT($J1505,2)&amp;$N1505&amp;"|"&amp;"2"&amp;RIGHT("00000"&amp;1500,5))</f>
        <v/>
      </c>
      <c r="L1505">
        <f>IF($K1505="","",COUNTIFS(LdgPartyA,$F1505,LdgKeyA,"&lt;"&amp;$K1505)+COUNTIFS(LdgPartyB,$F1505,LdgKeyB,"&lt;"&amp;$K1505)+1)</f>
        <v/>
      </c>
      <c r="M1505">
        <f>IF($L1505="","",$F1505&amp;"|"&amp;RIGHT("000000"&amp;$L1505,6))</f>
        <v/>
      </c>
      <c r="N1505">
        <f>IF($F1505="","",IF(Sync!$AH1505="","0000",IF(AND(ISNUMBER(Sync!$AH1505),Sync!$AH1505&gt;=0,Sync!$AH1505&lt;1),RIGHT("00"&amp;HOUR(Sync!$AH1505),2)&amp;RIGHT("00"&amp;MINUTE(Sync!$AH1505),2),IFERROR(RIGHT("00"&amp;VALUE(LEFT(Sync!$AH1505,FIND(":",Sync!$AH1505)-1)),2)&amp;RIGHT("00"&amp;VALUE(MID(Sync!$AH1505,FIND(":",Sync!$AH1505)+1,2)),2),"0000"))))</f>
        <v/>
      </c>
    </row>
    <row r="1506">
      <c r="A1506">
        <f>IF(OR(Calc!$E1509="",Calc!$E1509="نامعتبر",Calc!$G1509="",Calc!$I1509&lt;&gt;"خرید"),"",Calc!$G1509)</f>
        <v/>
      </c>
      <c r="B1506">
        <f>IF($A1506="","",LEFT(Calc!$E1509,4)&amp;MID(Calc!$E1509,6,2)&amp;RIGHT(Calc!$E1509,2)&amp;Calc!$R1509&amp;"|"&amp;"1"&amp;RIGHT("00000"&amp;1501,5))</f>
        <v/>
      </c>
      <c r="C1506">
        <f>IF($B1506="","",COUNTIFS(LdgPartyA,$A1506,LdgKeyA,"&lt;"&amp;$B1506)+COUNTIFS(LdgPartyB,$A1506,LdgKeyB,"&lt;"&amp;$B1506)+1)</f>
        <v/>
      </c>
      <c r="D1506">
        <f>IF($C1506="","",$A1506&amp;"|"&amp;RIGHT("000000"&amp;$C1506,6))</f>
        <v/>
      </c>
      <c r="F1506">
        <f>IF(Sync!$AJ1506="","",Sync!$AJ1506)</f>
        <v/>
      </c>
      <c r="G1506">
        <f>IF($F1506="","",IF(Sync!$AG1506="","",IF(ISNUMBER(Sync!$AG1506),IF(AND(Sync!$AG1506&gt;=10000101,Sync!$AG1506&lt;=99991231),INT(Sync!$AG1506/10000),""),IFERROR(VALUE(TRIM(LEFT(Sync!$AG1506,FIND("/",Sync!$AG1506)-1))),""))))</f>
        <v/>
      </c>
      <c r="H1506">
        <f>IF(OR($F1506="",$G1506=""),"",IF(ISNUMBER(Sync!$AG1506),INT(MOD(Sync!$AG1506,10000)/100),IFERROR(VALUE(TRIM(LEFT(MID(Sync!$AG1506,FIND("/",Sync!$AG1506)+1,20),FIND("/",MID(Sync!$AG1506,FIND("/",Sync!$AG1506)+1,20))-1))),"")))</f>
        <v/>
      </c>
      <c r="I1506">
        <f>IF(OR($F1506="",$G1506=""),"",IF(ISNUMBER(Sync!$AG1506),MOD(Sync!$AG1506,100),IFERROR(VALUE(TRIM(MID(MID(Sync!$AG1506,FIND("/",Sync!$AG1506)+1,20),FIND("/",MID(Sync!$AG1506,FIND("/",Sync!$AG1506)+1,20))+1,20))),"")))</f>
        <v/>
      </c>
      <c r="J1506">
        <f>IF($F1506="","",IF(OR($G1506="",$H1506="",$I1506="",$G1506&lt;1300,$G1506&gt;1500,$H1506&lt;1,$H1506&gt;12,$I1506&lt;1,$I1506&gt;31),"نامعتبر",RIGHT("0000"&amp;$G1506,4)&amp;"/"&amp;RIGHT("00"&amp;$H1506,2)&amp;"/"&amp;RIGHT("00"&amp;$I1506,2)))</f>
        <v/>
      </c>
      <c r="K1506">
        <f>IF(OR($F1506="",$J1506="",$J1506="نامعتبر"),"",LEFT($J1506,4)&amp;MID($J1506,6,2)&amp;RIGHT($J1506,2)&amp;$N1506&amp;"|"&amp;"2"&amp;RIGHT("00000"&amp;1501,5))</f>
        <v/>
      </c>
      <c r="L1506">
        <f>IF($K1506="","",COUNTIFS(LdgPartyA,$F1506,LdgKeyA,"&lt;"&amp;$K1506)+COUNTIFS(LdgPartyB,$F1506,LdgKeyB,"&lt;"&amp;$K1506)+1)</f>
        <v/>
      </c>
      <c r="M1506">
        <f>IF($L1506="","",$F1506&amp;"|"&amp;RIGHT("000000"&amp;$L1506,6))</f>
        <v/>
      </c>
      <c r="N1506">
        <f>IF($F1506="","",IF(Sync!$AH1506="","0000",IF(AND(ISNUMBER(Sync!$AH1506),Sync!$AH1506&gt;=0,Sync!$AH1506&lt;1),RIGHT("00"&amp;HOUR(Sync!$AH1506),2)&amp;RIGHT("00"&amp;MINUTE(Sync!$AH1506),2),IFERROR(RIGHT("00"&amp;VALUE(LEFT(Sync!$AH1506,FIND(":",Sync!$AH1506)-1)),2)&amp;RIGHT("00"&amp;VALUE(MID(Sync!$AH1506,FIND(":",Sync!$AH1506)+1,2)),2),"0000"))))</f>
        <v/>
      </c>
    </row>
    <row r="1507">
      <c r="A1507">
        <f>IF(OR(Calc!$E1510="",Calc!$E1510="نامعتبر",Calc!$G1510="",Calc!$I1510&lt;&gt;"خرید"),"",Calc!$G1510)</f>
        <v/>
      </c>
      <c r="B1507">
        <f>IF($A1507="","",LEFT(Calc!$E1510,4)&amp;MID(Calc!$E1510,6,2)&amp;RIGHT(Calc!$E1510,2)&amp;Calc!$R1510&amp;"|"&amp;"1"&amp;RIGHT("00000"&amp;1502,5))</f>
        <v/>
      </c>
      <c r="C1507">
        <f>IF($B1507="","",COUNTIFS(LdgPartyA,$A1507,LdgKeyA,"&lt;"&amp;$B1507)+COUNTIFS(LdgPartyB,$A1507,LdgKeyB,"&lt;"&amp;$B1507)+1)</f>
        <v/>
      </c>
      <c r="D1507">
        <f>IF($C1507="","",$A1507&amp;"|"&amp;RIGHT("000000"&amp;$C1507,6))</f>
        <v/>
      </c>
      <c r="F1507">
        <f>IF(Sync!$AJ1507="","",Sync!$AJ1507)</f>
        <v/>
      </c>
      <c r="G1507">
        <f>IF($F1507="","",IF(Sync!$AG1507="","",IF(ISNUMBER(Sync!$AG1507),IF(AND(Sync!$AG1507&gt;=10000101,Sync!$AG1507&lt;=99991231),INT(Sync!$AG1507/10000),""),IFERROR(VALUE(TRIM(LEFT(Sync!$AG1507,FIND("/",Sync!$AG1507)-1))),""))))</f>
        <v/>
      </c>
      <c r="H1507">
        <f>IF(OR($F1507="",$G1507=""),"",IF(ISNUMBER(Sync!$AG1507),INT(MOD(Sync!$AG1507,10000)/100),IFERROR(VALUE(TRIM(LEFT(MID(Sync!$AG1507,FIND("/",Sync!$AG1507)+1,20),FIND("/",MID(Sync!$AG1507,FIND("/",Sync!$AG1507)+1,20))-1))),"")))</f>
        <v/>
      </c>
      <c r="I1507">
        <f>IF(OR($F1507="",$G1507=""),"",IF(ISNUMBER(Sync!$AG1507),MOD(Sync!$AG1507,100),IFERROR(VALUE(TRIM(MID(MID(Sync!$AG1507,FIND("/",Sync!$AG1507)+1,20),FIND("/",MID(Sync!$AG1507,FIND("/",Sync!$AG1507)+1,20))+1,20))),"")))</f>
        <v/>
      </c>
      <c r="J1507">
        <f>IF($F1507="","",IF(OR($G1507="",$H1507="",$I1507="",$G1507&lt;1300,$G1507&gt;1500,$H1507&lt;1,$H1507&gt;12,$I1507&lt;1,$I1507&gt;31),"نامعتبر",RIGHT("0000"&amp;$G1507,4)&amp;"/"&amp;RIGHT("00"&amp;$H1507,2)&amp;"/"&amp;RIGHT("00"&amp;$I1507,2)))</f>
        <v/>
      </c>
      <c r="K1507">
        <f>IF(OR($F1507="",$J1507="",$J1507="نامعتبر"),"",LEFT($J1507,4)&amp;MID($J1507,6,2)&amp;RIGHT($J1507,2)&amp;$N1507&amp;"|"&amp;"2"&amp;RIGHT("00000"&amp;1502,5))</f>
        <v/>
      </c>
      <c r="L1507">
        <f>IF($K1507="","",COUNTIFS(LdgPartyA,$F1507,LdgKeyA,"&lt;"&amp;$K1507)+COUNTIFS(LdgPartyB,$F1507,LdgKeyB,"&lt;"&amp;$K1507)+1)</f>
        <v/>
      </c>
      <c r="M1507">
        <f>IF($L1507="","",$F1507&amp;"|"&amp;RIGHT("000000"&amp;$L1507,6))</f>
        <v/>
      </c>
      <c r="N1507">
        <f>IF($F1507="","",IF(Sync!$AH1507="","0000",IF(AND(ISNUMBER(Sync!$AH1507),Sync!$AH1507&gt;=0,Sync!$AH1507&lt;1),RIGHT("00"&amp;HOUR(Sync!$AH1507),2)&amp;RIGHT("00"&amp;MINUTE(Sync!$AH1507),2),IFERROR(RIGHT("00"&amp;VALUE(LEFT(Sync!$AH1507,FIND(":",Sync!$AH1507)-1)),2)&amp;RIGHT("00"&amp;VALUE(MID(Sync!$AH1507,FIND(":",Sync!$AH1507)+1,2)),2),"0000"))))</f>
        <v/>
      </c>
    </row>
    <row r="1508">
      <c r="A1508">
        <f>IF(OR(Calc!$E1511="",Calc!$E1511="نامعتبر",Calc!$G1511="",Calc!$I1511&lt;&gt;"خرید"),"",Calc!$G1511)</f>
        <v/>
      </c>
      <c r="B1508">
        <f>IF($A1508="","",LEFT(Calc!$E1511,4)&amp;MID(Calc!$E1511,6,2)&amp;RIGHT(Calc!$E1511,2)&amp;Calc!$R1511&amp;"|"&amp;"1"&amp;RIGHT("00000"&amp;1503,5))</f>
        <v/>
      </c>
      <c r="C1508">
        <f>IF($B1508="","",COUNTIFS(LdgPartyA,$A1508,LdgKeyA,"&lt;"&amp;$B1508)+COUNTIFS(LdgPartyB,$A1508,LdgKeyB,"&lt;"&amp;$B1508)+1)</f>
        <v/>
      </c>
      <c r="D1508">
        <f>IF($C1508="","",$A1508&amp;"|"&amp;RIGHT("000000"&amp;$C1508,6))</f>
        <v/>
      </c>
      <c r="F1508">
        <f>IF(Sync!$AJ1508="","",Sync!$AJ1508)</f>
        <v/>
      </c>
      <c r="G1508">
        <f>IF($F1508="","",IF(Sync!$AG1508="","",IF(ISNUMBER(Sync!$AG1508),IF(AND(Sync!$AG1508&gt;=10000101,Sync!$AG1508&lt;=99991231),INT(Sync!$AG1508/10000),""),IFERROR(VALUE(TRIM(LEFT(Sync!$AG1508,FIND("/",Sync!$AG1508)-1))),""))))</f>
        <v/>
      </c>
      <c r="H1508">
        <f>IF(OR($F1508="",$G1508=""),"",IF(ISNUMBER(Sync!$AG1508),INT(MOD(Sync!$AG1508,10000)/100),IFERROR(VALUE(TRIM(LEFT(MID(Sync!$AG1508,FIND("/",Sync!$AG1508)+1,20),FIND("/",MID(Sync!$AG1508,FIND("/",Sync!$AG1508)+1,20))-1))),"")))</f>
        <v/>
      </c>
      <c r="I1508">
        <f>IF(OR($F1508="",$G1508=""),"",IF(ISNUMBER(Sync!$AG1508),MOD(Sync!$AG1508,100),IFERROR(VALUE(TRIM(MID(MID(Sync!$AG1508,FIND("/",Sync!$AG1508)+1,20),FIND("/",MID(Sync!$AG1508,FIND("/",Sync!$AG1508)+1,20))+1,20))),"")))</f>
        <v/>
      </c>
      <c r="J1508">
        <f>IF($F1508="","",IF(OR($G1508="",$H1508="",$I1508="",$G1508&lt;1300,$G1508&gt;1500,$H1508&lt;1,$H1508&gt;12,$I1508&lt;1,$I1508&gt;31),"نامعتبر",RIGHT("0000"&amp;$G1508,4)&amp;"/"&amp;RIGHT("00"&amp;$H1508,2)&amp;"/"&amp;RIGHT("00"&amp;$I1508,2)))</f>
        <v/>
      </c>
      <c r="K1508">
        <f>IF(OR($F1508="",$J1508="",$J1508="نامعتبر"),"",LEFT($J1508,4)&amp;MID($J1508,6,2)&amp;RIGHT($J1508,2)&amp;$N1508&amp;"|"&amp;"2"&amp;RIGHT("00000"&amp;1503,5))</f>
        <v/>
      </c>
      <c r="L1508">
        <f>IF($K1508="","",COUNTIFS(LdgPartyA,$F1508,LdgKeyA,"&lt;"&amp;$K1508)+COUNTIFS(LdgPartyB,$F1508,LdgKeyB,"&lt;"&amp;$K1508)+1)</f>
        <v/>
      </c>
      <c r="M1508">
        <f>IF($L1508="","",$F1508&amp;"|"&amp;RIGHT("000000"&amp;$L1508,6))</f>
        <v/>
      </c>
      <c r="N1508">
        <f>IF($F1508="","",IF(Sync!$AH1508="","0000",IF(AND(ISNUMBER(Sync!$AH1508),Sync!$AH1508&gt;=0,Sync!$AH1508&lt;1),RIGHT("00"&amp;HOUR(Sync!$AH1508),2)&amp;RIGHT("00"&amp;MINUTE(Sync!$AH1508),2),IFERROR(RIGHT("00"&amp;VALUE(LEFT(Sync!$AH1508,FIND(":",Sync!$AH1508)-1)),2)&amp;RIGHT("00"&amp;VALUE(MID(Sync!$AH1508,FIND(":",Sync!$AH1508)+1,2)),2),"0000"))))</f>
        <v/>
      </c>
    </row>
    <row r="1509">
      <c r="A1509">
        <f>IF(OR(Calc!$E1512="",Calc!$E1512="نامعتبر",Calc!$G1512="",Calc!$I1512&lt;&gt;"خرید"),"",Calc!$G1512)</f>
        <v/>
      </c>
      <c r="B1509">
        <f>IF($A1509="","",LEFT(Calc!$E1512,4)&amp;MID(Calc!$E1512,6,2)&amp;RIGHT(Calc!$E1512,2)&amp;Calc!$R1512&amp;"|"&amp;"1"&amp;RIGHT("00000"&amp;1504,5))</f>
        <v/>
      </c>
      <c r="C1509">
        <f>IF($B1509="","",COUNTIFS(LdgPartyA,$A1509,LdgKeyA,"&lt;"&amp;$B1509)+COUNTIFS(LdgPartyB,$A1509,LdgKeyB,"&lt;"&amp;$B1509)+1)</f>
        <v/>
      </c>
      <c r="D1509">
        <f>IF($C1509="","",$A1509&amp;"|"&amp;RIGHT("000000"&amp;$C1509,6))</f>
        <v/>
      </c>
      <c r="F1509">
        <f>IF(Sync!$AJ1509="","",Sync!$AJ1509)</f>
        <v/>
      </c>
      <c r="G1509">
        <f>IF($F1509="","",IF(Sync!$AG1509="","",IF(ISNUMBER(Sync!$AG1509),IF(AND(Sync!$AG1509&gt;=10000101,Sync!$AG1509&lt;=99991231),INT(Sync!$AG1509/10000),""),IFERROR(VALUE(TRIM(LEFT(Sync!$AG1509,FIND("/",Sync!$AG1509)-1))),""))))</f>
        <v/>
      </c>
      <c r="H1509">
        <f>IF(OR($F1509="",$G1509=""),"",IF(ISNUMBER(Sync!$AG1509),INT(MOD(Sync!$AG1509,10000)/100),IFERROR(VALUE(TRIM(LEFT(MID(Sync!$AG1509,FIND("/",Sync!$AG1509)+1,20),FIND("/",MID(Sync!$AG1509,FIND("/",Sync!$AG1509)+1,20))-1))),"")))</f>
        <v/>
      </c>
      <c r="I1509">
        <f>IF(OR($F1509="",$G1509=""),"",IF(ISNUMBER(Sync!$AG1509),MOD(Sync!$AG1509,100),IFERROR(VALUE(TRIM(MID(MID(Sync!$AG1509,FIND("/",Sync!$AG1509)+1,20),FIND("/",MID(Sync!$AG1509,FIND("/",Sync!$AG1509)+1,20))+1,20))),"")))</f>
        <v/>
      </c>
      <c r="J1509">
        <f>IF($F1509="","",IF(OR($G1509="",$H1509="",$I1509="",$G1509&lt;1300,$G1509&gt;1500,$H1509&lt;1,$H1509&gt;12,$I1509&lt;1,$I1509&gt;31),"نامعتبر",RIGHT("0000"&amp;$G1509,4)&amp;"/"&amp;RIGHT("00"&amp;$H1509,2)&amp;"/"&amp;RIGHT("00"&amp;$I1509,2)))</f>
        <v/>
      </c>
      <c r="K1509">
        <f>IF(OR($F1509="",$J1509="",$J1509="نامعتبر"),"",LEFT($J1509,4)&amp;MID($J1509,6,2)&amp;RIGHT($J1509,2)&amp;$N1509&amp;"|"&amp;"2"&amp;RIGHT("00000"&amp;1504,5))</f>
        <v/>
      </c>
      <c r="L1509">
        <f>IF($K1509="","",COUNTIFS(LdgPartyA,$F1509,LdgKeyA,"&lt;"&amp;$K1509)+COUNTIFS(LdgPartyB,$F1509,LdgKeyB,"&lt;"&amp;$K1509)+1)</f>
        <v/>
      </c>
      <c r="M1509">
        <f>IF($L1509="","",$F1509&amp;"|"&amp;RIGHT("000000"&amp;$L1509,6))</f>
        <v/>
      </c>
      <c r="N1509">
        <f>IF($F1509="","",IF(Sync!$AH1509="","0000",IF(AND(ISNUMBER(Sync!$AH1509),Sync!$AH1509&gt;=0,Sync!$AH1509&lt;1),RIGHT("00"&amp;HOUR(Sync!$AH1509),2)&amp;RIGHT("00"&amp;MINUTE(Sync!$AH1509),2),IFERROR(RIGHT("00"&amp;VALUE(LEFT(Sync!$AH1509,FIND(":",Sync!$AH1509)-1)),2)&amp;RIGHT("00"&amp;VALUE(MID(Sync!$AH1509,FIND(":",Sync!$AH1509)+1,2)),2),"0000"))))</f>
        <v/>
      </c>
    </row>
    <row r="1510">
      <c r="A1510">
        <f>IF(OR(Calc!$E1513="",Calc!$E1513="نامعتبر",Calc!$G1513="",Calc!$I1513&lt;&gt;"خرید"),"",Calc!$G1513)</f>
        <v/>
      </c>
      <c r="B1510">
        <f>IF($A1510="","",LEFT(Calc!$E1513,4)&amp;MID(Calc!$E1513,6,2)&amp;RIGHT(Calc!$E1513,2)&amp;Calc!$R1513&amp;"|"&amp;"1"&amp;RIGHT("00000"&amp;1505,5))</f>
        <v/>
      </c>
      <c r="C1510">
        <f>IF($B1510="","",COUNTIFS(LdgPartyA,$A1510,LdgKeyA,"&lt;"&amp;$B1510)+COUNTIFS(LdgPartyB,$A1510,LdgKeyB,"&lt;"&amp;$B1510)+1)</f>
        <v/>
      </c>
      <c r="D1510">
        <f>IF($C1510="","",$A1510&amp;"|"&amp;RIGHT("000000"&amp;$C1510,6))</f>
        <v/>
      </c>
      <c r="F1510">
        <f>IF(Sync!$AJ1510="","",Sync!$AJ1510)</f>
        <v/>
      </c>
      <c r="G1510">
        <f>IF($F1510="","",IF(Sync!$AG1510="","",IF(ISNUMBER(Sync!$AG1510),IF(AND(Sync!$AG1510&gt;=10000101,Sync!$AG1510&lt;=99991231),INT(Sync!$AG1510/10000),""),IFERROR(VALUE(TRIM(LEFT(Sync!$AG1510,FIND("/",Sync!$AG1510)-1))),""))))</f>
        <v/>
      </c>
      <c r="H1510">
        <f>IF(OR($F1510="",$G1510=""),"",IF(ISNUMBER(Sync!$AG1510),INT(MOD(Sync!$AG1510,10000)/100),IFERROR(VALUE(TRIM(LEFT(MID(Sync!$AG1510,FIND("/",Sync!$AG1510)+1,20),FIND("/",MID(Sync!$AG1510,FIND("/",Sync!$AG1510)+1,20))-1))),"")))</f>
        <v/>
      </c>
      <c r="I1510">
        <f>IF(OR($F1510="",$G1510=""),"",IF(ISNUMBER(Sync!$AG1510),MOD(Sync!$AG1510,100),IFERROR(VALUE(TRIM(MID(MID(Sync!$AG1510,FIND("/",Sync!$AG1510)+1,20),FIND("/",MID(Sync!$AG1510,FIND("/",Sync!$AG1510)+1,20))+1,20))),"")))</f>
        <v/>
      </c>
      <c r="J1510">
        <f>IF($F1510="","",IF(OR($G1510="",$H1510="",$I1510="",$G1510&lt;1300,$G1510&gt;1500,$H1510&lt;1,$H1510&gt;12,$I1510&lt;1,$I1510&gt;31),"نامعتبر",RIGHT("0000"&amp;$G1510,4)&amp;"/"&amp;RIGHT("00"&amp;$H1510,2)&amp;"/"&amp;RIGHT("00"&amp;$I1510,2)))</f>
        <v/>
      </c>
      <c r="K1510">
        <f>IF(OR($F1510="",$J1510="",$J1510="نامعتبر"),"",LEFT($J1510,4)&amp;MID($J1510,6,2)&amp;RIGHT($J1510,2)&amp;$N1510&amp;"|"&amp;"2"&amp;RIGHT("00000"&amp;1505,5))</f>
        <v/>
      </c>
      <c r="L1510">
        <f>IF($K1510="","",COUNTIFS(LdgPartyA,$F1510,LdgKeyA,"&lt;"&amp;$K1510)+COUNTIFS(LdgPartyB,$F1510,LdgKeyB,"&lt;"&amp;$K1510)+1)</f>
        <v/>
      </c>
      <c r="M1510">
        <f>IF($L1510="","",$F1510&amp;"|"&amp;RIGHT("000000"&amp;$L1510,6))</f>
        <v/>
      </c>
      <c r="N1510">
        <f>IF($F1510="","",IF(Sync!$AH1510="","0000",IF(AND(ISNUMBER(Sync!$AH1510),Sync!$AH1510&gt;=0,Sync!$AH1510&lt;1),RIGHT("00"&amp;HOUR(Sync!$AH1510),2)&amp;RIGHT("00"&amp;MINUTE(Sync!$AH1510),2),IFERROR(RIGHT("00"&amp;VALUE(LEFT(Sync!$AH1510,FIND(":",Sync!$AH1510)-1)),2)&amp;RIGHT("00"&amp;VALUE(MID(Sync!$AH1510,FIND(":",Sync!$AH1510)+1,2)),2),"0000"))))</f>
        <v/>
      </c>
    </row>
    <row r="1511">
      <c r="A1511">
        <f>IF(OR(Calc!$E1514="",Calc!$E1514="نامعتبر",Calc!$G1514="",Calc!$I1514&lt;&gt;"خرید"),"",Calc!$G1514)</f>
        <v/>
      </c>
      <c r="B1511">
        <f>IF($A1511="","",LEFT(Calc!$E1514,4)&amp;MID(Calc!$E1514,6,2)&amp;RIGHT(Calc!$E1514,2)&amp;Calc!$R1514&amp;"|"&amp;"1"&amp;RIGHT("00000"&amp;1506,5))</f>
        <v/>
      </c>
      <c r="C1511">
        <f>IF($B1511="","",COUNTIFS(LdgPartyA,$A1511,LdgKeyA,"&lt;"&amp;$B1511)+COUNTIFS(LdgPartyB,$A1511,LdgKeyB,"&lt;"&amp;$B1511)+1)</f>
        <v/>
      </c>
      <c r="D1511">
        <f>IF($C1511="","",$A1511&amp;"|"&amp;RIGHT("000000"&amp;$C1511,6))</f>
        <v/>
      </c>
      <c r="F1511">
        <f>IF(Sync!$AJ1511="","",Sync!$AJ1511)</f>
        <v/>
      </c>
      <c r="G1511">
        <f>IF($F1511="","",IF(Sync!$AG1511="","",IF(ISNUMBER(Sync!$AG1511),IF(AND(Sync!$AG1511&gt;=10000101,Sync!$AG1511&lt;=99991231),INT(Sync!$AG1511/10000),""),IFERROR(VALUE(TRIM(LEFT(Sync!$AG1511,FIND("/",Sync!$AG1511)-1))),""))))</f>
        <v/>
      </c>
      <c r="H1511">
        <f>IF(OR($F1511="",$G1511=""),"",IF(ISNUMBER(Sync!$AG1511),INT(MOD(Sync!$AG1511,10000)/100),IFERROR(VALUE(TRIM(LEFT(MID(Sync!$AG1511,FIND("/",Sync!$AG1511)+1,20),FIND("/",MID(Sync!$AG1511,FIND("/",Sync!$AG1511)+1,20))-1))),"")))</f>
        <v/>
      </c>
      <c r="I1511">
        <f>IF(OR($F1511="",$G1511=""),"",IF(ISNUMBER(Sync!$AG1511),MOD(Sync!$AG1511,100),IFERROR(VALUE(TRIM(MID(MID(Sync!$AG1511,FIND("/",Sync!$AG1511)+1,20),FIND("/",MID(Sync!$AG1511,FIND("/",Sync!$AG1511)+1,20))+1,20))),"")))</f>
        <v/>
      </c>
      <c r="J1511">
        <f>IF($F1511="","",IF(OR($G1511="",$H1511="",$I1511="",$G1511&lt;1300,$G1511&gt;1500,$H1511&lt;1,$H1511&gt;12,$I1511&lt;1,$I1511&gt;31),"نامعتبر",RIGHT("0000"&amp;$G1511,4)&amp;"/"&amp;RIGHT("00"&amp;$H1511,2)&amp;"/"&amp;RIGHT("00"&amp;$I1511,2)))</f>
        <v/>
      </c>
      <c r="K1511">
        <f>IF(OR($F1511="",$J1511="",$J1511="نامعتبر"),"",LEFT($J1511,4)&amp;MID($J1511,6,2)&amp;RIGHT($J1511,2)&amp;$N1511&amp;"|"&amp;"2"&amp;RIGHT("00000"&amp;1506,5))</f>
        <v/>
      </c>
      <c r="L1511">
        <f>IF($K1511="","",COUNTIFS(LdgPartyA,$F1511,LdgKeyA,"&lt;"&amp;$K1511)+COUNTIFS(LdgPartyB,$F1511,LdgKeyB,"&lt;"&amp;$K1511)+1)</f>
        <v/>
      </c>
      <c r="M1511">
        <f>IF($L1511="","",$F1511&amp;"|"&amp;RIGHT("000000"&amp;$L1511,6))</f>
        <v/>
      </c>
      <c r="N1511">
        <f>IF($F1511="","",IF(Sync!$AH1511="","0000",IF(AND(ISNUMBER(Sync!$AH1511),Sync!$AH1511&gt;=0,Sync!$AH1511&lt;1),RIGHT("00"&amp;HOUR(Sync!$AH1511),2)&amp;RIGHT("00"&amp;MINUTE(Sync!$AH1511),2),IFERROR(RIGHT("00"&amp;VALUE(LEFT(Sync!$AH1511,FIND(":",Sync!$AH1511)-1)),2)&amp;RIGHT("00"&amp;VALUE(MID(Sync!$AH1511,FIND(":",Sync!$AH1511)+1,2)),2),"0000"))))</f>
        <v/>
      </c>
    </row>
    <row r="1512">
      <c r="A1512">
        <f>IF(OR(Calc!$E1515="",Calc!$E1515="نامعتبر",Calc!$G1515="",Calc!$I1515&lt;&gt;"خرید"),"",Calc!$G1515)</f>
        <v/>
      </c>
      <c r="B1512">
        <f>IF($A1512="","",LEFT(Calc!$E1515,4)&amp;MID(Calc!$E1515,6,2)&amp;RIGHT(Calc!$E1515,2)&amp;Calc!$R1515&amp;"|"&amp;"1"&amp;RIGHT("00000"&amp;1507,5))</f>
        <v/>
      </c>
      <c r="C1512">
        <f>IF($B1512="","",COUNTIFS(LdgPartyA,$A1512,LdgKeyA,"&lt;"&amp;$B1512)+COUNTIFS(LdgPartyB,$A1512,LdgKeyB,"&lt;"&amp;$B1512)+1)</f>
        <v/>
      </c>
      <c r="D1512">
        <f>IF($C1512="","",$A1512&amp;"|"&amp;RIGHT("000000"&amp;$C1512,6))</f>
        <v/>
      </c>
      <c r="F1512">
        <f>IF(Sync!$AJ1512="","",Sync!$AJ1512)</f>
        <v/>
      </c>
      <c r="G1512">
        <f>IF($F1512="","",IF(Sync!$AG1512="","",IF(ISNUMBER(Sync!$AG1512),IF(AND(Sync!$AG1512&gt;=10000101,Sync!$AG1512&lt;=99991231),INT(Sync!$AG1512/10000),""),IFERROR(VALUE(TRIM(LEFT(Sync!$AG1512,FIND("/",Sync!$AG1512)-1))),""))))</f>
        <v/>
      </c>
      <c r="H1512">
        <f>IF(OR($F1512="",$G1512=""),"",IF(ISNUMBER(Sync!$AG1512),INT(MOD(Sync!$AG1512,10000)/100),IFERROR(VALUE(TRIM(LEFT(MID(Sync!$AG1512,FIND("/",Sync!$AG1512)+1,20),FIND("/",MID(Sync!$AG1512,FIND("/",Sync!$AG1512)+1,20))-1))),"")))</f>
        <v/>
      </c>
      <c r="I1512">
        <f>IF(OR($F1512="",$G1512=""),"",IF(ISNUMBER(Sync!$AG1512),MOD(Sync!$AG1512,100),IFERROR(VALUE(TRIM(MID(MID(Sync!$AG1512,FIND("/",Sync!$AG1512)+1,20),FIND("/",MID(Sync!$AG1512,FIND("/",Sync!$AG1512)+1,20))+1,20))),"")))</f>
        <v/>
      </c>
      <c r="J1512">
        <f>IF($F1512="","",IF(OR($G1512="",$H1512="",$I1512="",$G1512&lt;1300,$G1512&gt;1500,$H1512&lt;1,$H1512&gt;12,$I1512&lt;1,$I1512&gt;31),"نامعتبر",RIGHT("0000"&amp;$G1512,4)&amp;"/"&amp;RIGHT("00"&amp;$H1512,2)&amp;"/"&amp;RIGHT("00"&amp;$I1512,2)))</f>
        <v/>
      </c>
      <c r="K1512">
        <f>IF(OR($F1512="",$J1512="",$J1512="نامعتبر"),"",LEFT($J1512,4)&amp;MID($J1512,6,2)&amp;RIGHT($J1512,2)&amp;$N1512&amp;"|"&amp;"2"&amp;RIGHT("00000"&amp;1507,5))</f>
        <v/>
      </c>
      <c r="L1512">
        <f>IF($K1512="","",COUNTIFS(LdgPartyA,$F1512,LdgKeyA,"&lt;"&amp;$K1512)+COUNTIFS(LdgPartyB,$F1512,LdgKeyB,"&lt;"&amp;$K1512)+1)</f>
        <v/>
      </c>
      <c r="M1512">
        <f>IF($L1512="","",$F1512&amp;"|"&amp;RIGHT("000000"&amp;$L1512,6))</f>
        <v/>
      </c>
      <c r="N1512">
        <f>IF($F1512="","",IF(Sync!$AH1512="","0000",IF(AND(ISNUMBER(Sync!$AH1512),Sync!$AH1512&gt;=0,Sync!$AH1512&lt;1),RIGHT("00"&amp;HOUR(Sync!$AH1512),2)&amp;RIGHT("00"&amp;MINUTE(Sync!$AH1512),2),IFERROR(RIGHT("00"&amp;VALUE(LEFT(Sync!$AH1512,FIND(":",Sync!$AH1512)-1)),2)&amp;RIGHT("00"&amp;VALUE(MID(Sync!$AH1512,FIND(":",Sync!$AH1512)+1,2)),2),"0000"))))</f>
        <v/>
      </c>
    </row>
    <row r="1513">
      <c r="A1513">
        <f>IF(OR(Calc!$E1516="",Calc!$E1516="نامعتبر",Calc!$G1516="",Calc!$I1516&lt;&gt;"خرید"),"",Calc!$G1516)</f>
        <v/>
      </c>
      <c r="B1513">
        <f>IF($A1513="","",LEFT(Calc!$E1516,4)&amp;MID(Calc!$E1516,6,2)&amp;RIGHT(Calc!$E1516,2)&amp;Calc!$R1516&amp;"|"&amp;"1"&amp;RIGHT("00000"&amp;1508,5))</f>
        <v/>
      </c>
      <c r="C1513">
        <f>IF($B1513="","",COUNTIFS(LdgPartyA,$A1513,LdgKeyA,"&lt;"&amp;$B1513)+COUNTIFS(LdgPartyB,$A1513,LdgKeyB,"&lt;"&amp;$B1513)+1)</f>
        <v/>
      </c>
      <c r="D1513">
        <f>IF($C1513="","",$A1513&amp;"|"&amp;RIGHT("000000"&amp;$C1513,6))</f>
        <v/>
      </c>
      <c r="F1513">
        <f>IF(Sync!$AJ1513="","",Sync!$AJ1513)</f>
        <v/>
      </c>
      <c r="G1513">
        <f>IF($F1513="","",IF(Sync!$AG1513="","",IF(ISNUMBER(Sync!$AG1513),IF(AND(Sync!$AG1513&gt;=10000101,Sync!$AG1513&lt;=99991231),INT(Sync!$AG1513/10000),""),IFERROR(VALUE(TRIM(LEFT(Sync!$AG1513,FIND("/",Sync!$AG1513)-1))),""))))</f>
        <v/>
      </c>
      <c r="H1513">
        <f>IF(OR($F1513="",$G1513=""),"",IF(ISNUMBER(Sync!$AG1513),INT(MOD(Sync!$AG1513,10000)/100),IFERROR(VALUE(TRIM(LEFT(MID(Sync!$AG1513,FIND("/",Sync!$AG1513)+1,20),FIND("/",MID(Sync!$AG1513,FIND("/",Sync!$AG1513)+1,20))-1))),"")))</f>
        <v/>
      </c>
      <c r="I1513">
        <f>IF(OR($F1513="",$G1513=""),"",IF(ISNUMBER(Sync!$AG1513),MOD(Sync!$AG1513,100),IFERROR(VALUE(TRIM(MID(MID(Sync!$AG1513,FIND("/",Sync!$AG1513)+1,20),FIND("/",MID(Sync!$AG1513,FIND("/",Sync!$AG1513)+1,20))+1,20))),"")))</f>
        <v/>
      </c>
      <c r="J1513">
        <f>IF($F1513="","",IF(OR($G1513="",$H1513="",$I1513="",$G1513&lt;1300,$G1513&gt;1500,$H1513&lt;1,$H1513&gt;12,$I1513&lt;1,$I1513&gt;31),"نامعتبر",RIGHT("0000"&amp;$G1513,4)&amp;"/"&amp;RIGHT("00"&amp;$H1513,2)&amp;"/"&amp;RIGHT("00"&amp;$I1513,2)))</f>
        <v/>
      </c>
      <c r="K1513">
        <f>IF(OR($F1513="",$J1513="",$J1513="نامعتبر"),"",LEFT($J1513,4)&amp;MID($J1513,6,2)&amp;RIGHT($J1513,2)&amp;$N1513&amp;"|"&amp;"2"&amp;RIGHT("00000"&amp;1508,5))</f>
        <v/>
      </c>
      <c r="L1513">
        <f>IF($K1513="","",COUNTIFS(LdgPartyA,$F1513,LdgKeyA,"&lt;"&amp;$K1513)+COUNTIFS(LdgPartyB,$F1513,LdgKeyB,"&lt;"&amp;$K1513)+1)</f>
        <v/>
      </c>
      <c r="M1513">
        <f>IF($L1513="","",$F1513&amp;"|"&amp;RIGHT("000000"&amp;$L1513,6))</f>
        <v/>
      </c>
      <c r="N1513">
        <f>IF($F1513="","",IF(Sync!$AH1513="","0000",IF(AND(ISNUMBER(Sync!$AH1513),Sync!$AH1513&gt;=0,Sync!$AH1513&lt;1),RIGHT("00"&amp;HOUR(Sync!$AH1513),2)&amp;RIGHT("00"&amp;MINUTE(Sync!$AH1513),2),IFERROR(RIGHT("00"&amp;VALUE(LEFT(Sync!$AH1513,FIND(":",Sync!$AH1513)-1)),2)&amp;RIGHT("00"&amp;VALUE(MID(Sync!$AH1513,FIND(":",Sync!$AH1513)+1,2)),2),"0000"))))</f>
        <v/>
      </c>
    </row>
    <row r="1514">
      <c r="A1514">
        <f>IF(OR(Calc!$E1517="",Calc!$E1517="نامعتبر",Calc!$G1517="",Calc!$I1517&lt;&gt;"خرید"),"",Calc!$G1517)</f>
        <v/>
      </c>
      <c r="B1514">
        <f>IF($A1514="","",LEFT(Calc!$E1517,4)&amp;MID(Calc!$E1517,6,2)&amp;RIGHT(Calc!$E1517,2)&amp;Calc!$R1517&amp;"|"&amp;"1"&amp;RIGHT("00000"&amp;1509,5))</f>
        <v/>
      </c>
      <c r="C1514">
        <f>IF($B1514="","",COUNTIFS(LdgPartyA,$A1514,LdgKeyA,"&lt;"&amp;$B1514)+COUNTIFS(LdgPartyB,$A1514,LdgKeyB,"&lt;"&amp;$B1514)+1)</f>
        <v/>
      </c>
      <c r="D1514">
        <f>IF($C1514="","",$A1514&amp;"|"&amp;RIGHT("000000"&amp;$C1514,6))</f>
        <v/>
      </c>
      <c r="F1514">
        <f>IF(Sync!$AJ1514="","",Sync!$AJ1514)</f>
        <v/>
      </c>
      <c r="G1514">
        <f>IF($F1514="","",IF(Sync!$AG1514="","",IF(ISNUMBER(Sync!$AG1514),IF(AND(Sync!$AG1514&gt;=10000101,Sync!$AG1514&lt;=99991231),INT(Sync!$AG1514/10000),""),IFERROR(VALUE(TRIM(LEFT(Sync!$AG1514,FIND("/",Sync!$AG1514)-1))),""))))</f>
        <v/>
      </c>
      <c r="H1514">
        <f>IF(OR($F1514="",$G1514=""),"",IF(ISNUMBER(Sync!$AG1514),INT(MOD(Sync!$AG1514,10000)/100),IFERROR(VALUE(TRIM(LEFT(MID(Sync!$AG1514,FIND("/",Sync!$AG1514)+1,20),FIND("/",MID(Sync!$AG1514,FIND("/",Sync!$AG1514)+1,20))-1))),"")))</f>
        <v/>
      </c>
      <c r="I1514">
        <f>IF(OR($F1514="",$G1514=""),"",IF(ISNUMBER(Sync!$AG1514),MOD(Sync!$AG1514,100),IFERROR(VALUE(TRIM(MID(MID(Sync!$AG1514,FIND("/",Sync!$AG1514)+1,20),FIND("/",MID(Sync!$AG1514,FIND("/",Sync!$AG1514)+1,20))+1,20))),"")))</f>
        <v/>
      </c>
      <c r="J1514">
        <f>IF($F1514="","",IF(OR($G1514="",$H1514="",$I1514="",$G1514&lt;1300,$G1514&gt;1500,$H1514&lt;1,$H1514&gt;12,$I1514&lt;1,$I1514&gt;31),"نامعتبر",RIGHT("0000"&amp;$G1514,4)&amp;"/"&amp;RIGHT("00"&amp;$H1514,2)&amp;"/"&amp;RIGHT("00"&amp;$I1514,2)))</f>
        <v/>
      </c>
      <c r="K1514">
        <f>IF(OR($F1514="",$J1514="",$J1514="نامعتبر"),"",LEFT($J1514,4)&amp;MID($J1514,6,2)&amp;RIGHT($J1514,2)&amp;$N1514&amp;"|"&amp;"2"&amp;RIGHT("00000"&amp;1509,5))</f>
        <v/>
      </c>
      <c r="L1514">
        <f>IF($K1514="","",COUNTIFS(LdgPartyA,$F1514,LdgKeyA,"&lt;"&amp;$K1514)+COUNTIFS(LdgPartyB,$F1514,LdgKeyB,"&lt;"&amp;$K1514)+1)</f>
        <v/>
      </c>
      <c r="M1514">
        <f>IF($L1514="","",$F1514&amp;"|"&amp;RIGHT("000000"&amp;$L1514,6))</f>
        <v/>
      </c>
      <c r="N1514">
        <f>IF($F1514="","",IF(Sync!$AH1514="","0000",IF(AND(ISNUMBER(Sync!$AH1514),Sync!$AH1514&gt;=0,Sync!$AH1514&lt;1),RIGHT("00"&amp;HOUR(Sync!$AH1514),2)&amp;RIGHT("00"&amp;MINUTE(Sync!$AH1514),2),IFERROR(RIGHT("00"&amp;VALUE(LEFT(Sync!$AH1514,FIND(":",Sync!$AH1514)-1)),2)&amp;RIGHT("00"&amp;VALUE(MID(Sync!$AH1514,FIND(":",Sync!$AH1514)+1,2)),2),"0000"))))</f>
        <v/>
      </c>
    </row>
    <row r="1515">
      <c r="A1515">
        <f>IF(OR(Calc!$E1518="",Calc!$E1518="نامعتبر",Calc!$G1518="",Calc!$I1518&lt;&gt;"خرید"),"",Calc!$G1518)</f>
        <v/>
      </c>
      <c r="B1515">
        <f>IF($A1515="","",LEFT(Calc!$E1518,4)&amp;MID(Calc!$E1518,6,2)&amp;RIGHT(Calc!$E1518,2)&amp;Calc!$R1518&amp;"|"&amp;"1"&amp;RIGHT("00000"&amp;1510,5))</f>
        <v/>
      </c>
      <c r="C1515">
        <f>IF($B1515="","",COUNTIFS(LdgPartyA,$A1515,LdgKeyA,"&lt;"&amp;$B1515)+COUNTIFS(LdgPartyB,$A1515,LdgKeyB,"&lt;"&amp;$B1515)+1)</f>
        <v/>
      </c>
      <c r="D1515">
        <f>IF($C1515="","",$A1515&amp;"|"&amp;RIGHT("000000"&amp;$C1515,6))</f>
        <v/>
      </c>
      <c r="F1515">
        <f>IF(Sync!$AJ1515="","",Sync!$AJ1515)</f>
        <v/>
      </c>
      <c r="G1515">
        <f>IF($F1515="","",IF(Sync!$AG1515="","",IF(ISNUMBER(Sync!$AG1515),IF(AND(Sync!$AG1515&gt;=10000101,Sync!$AG1515&lt;=99991231),INT(Sync!$AG1515/10000),""),IFERROR(VALUE(TRIM(LEFT(Sync!$AG1515,FIND("/",Sync!$AG1515)-1))),""))))</f>
        <v/>
      </c>
      <c r="H1515">
        <f>IF(OR($F1515="",$G1515=""),"",IF(ISNUMBER(Sync!$AG1515),INT(MOD(Sync!$AG1515,10000)/100),IFERROR(VALUE(TRIM(LEFT(MID(Sync!$AG1515,FIND("/",Sync!$AG1515)+1,20),FIND("/",MID(Sync!$AG1515,FIND("/",Sync!$AG1515)+1,20))-1))),"")))</f>
        <v/>
      </c>
      <c r="I1515">
        <f>IF(OR($F1515="",$G1515=""),"",IF(ISNUMBER(Sync!$AG1515),MOD(Sync!$AG1515,100),IFERROR(VALUE(TRIM(MID(MID(Sync!$AG1515,FIND("/",Sync!$AG1515)+1,20),FIND("/",MID(Sync!$AG1515,FIND("/",Sync!$AG1515)+1,20))+1,20))),"")))</f>
        <v/>
      </c>
      <c r="J1515">
        <f>IF($F1515="","",IF(OR($G1515="",$H1515="",$I1515="",$G1515&lt;1300,$G1515&gt;1500,$H1515&lt;1,$H1515&gt;12,$I1515&lt;1,$I1515&gt;31),"نامعتبر",RIGHT("0000"&amp;$G1515,4)&amp;"/"&amp;RIGHT("00"&amp;$H1515,2)&amp;"/"&amp;RIGHT("00"&amp;$I1515,2)))</f>
        <v/>
      </c>
      <c r="K1515">
        <f>IF(OR($F1515="",$J1515="",$J1515="نامعتبر"),"",LEFT($J1515,4)&amp;MID($J1515,6,2)&amp;RIGHT($J1515,2)&amp;$N1515&amp;"|"&amp;"2"&amp;RIGHT("00000"&amp;1510,5))</f>
        <v/>
      </c>
      <c r="L1515">
        <f>IF($K1515="","",COUNTIFS(LdgPartyA,$F1515,LdgKeyA,"&lt;"&amp;$K1515)+COUNTIFS(LdgPartyB,$F1515,LdgKeyB,"&lt;"&amp;$K1515)+1)</f>
        <v/>
      </c>
      <c r="M1515">
        <f>IF($L1515="","",$F1515&amp;"|"&amp;RIGHT("000000"&amp;$L1515,6))</f>
        <v/>
      </c>
      <c r="N1515">
        <f>IF($F1515="","",IF(Sync!$AH1515="","0000",IF(AND(ISNUMBER(Sync!$AH1515),Sync!$AH1515&gt;=0,Sync!$AH1515&lt;1),RIGHT("00"&amp;HOUR(Sync!$AH1515),2)&amp;RIGHT("00"&amp;MINUTE(Sync!$AH1515),2),IFERROR(RIGHT("00"&amp;VALUE(LEFT(Sync!$AH1515,FIND(":",Sync!$AH1515)-1)),2)&amp;RIGHT("00"&amp;VALUE(MID(Sync!$AH1515,FIND(":",Sync!$AH1515)+1,2)),2),"0000"))))</f>
        <v/>
      </c>
    </row>
    <row r="1516">
      <c r="A1516">
        <f>IF(OR(Calc!$E1519="",Calc!$E1519="نامعتبر",Calc!$G1519="",Calc!$I1519&lt;&gt;"خرید"),"",Calc!$G1519)</f>
        <v/>
      </c>
      <c r="B1516">
        <f>IF($A1516="","",LEFT(Calc!$E1519,4)&amp;MID(Calc!$E1519,6,2)&amp;RIGHT(Calc!$E1519,2)&amp;Calc!$R1519&amp;"|"&amp;"1"&amp;RIGHT("00000"&amp;1511,5))</f>
        <v/>
      </c>
      <c r="C1516">
        <f>IF($B1516="","",COUNTIFS(LdgPartyA,$A1516,LdgKeyA,"&lt;"&amp;$B1516)+COUNTIFS(LdgPartyB,$A1516,LdgKeyB,"&lt;"&amp;$B1516)+1)</f>
        <v/>
      </c>
      <c r="D1516">
        <f>IF($C1516="","",$A1516&amp;"|"&amp;RIGHT("000000"&amp;$C1516,6))</f>
        <v/>
      </c>
      <c r="F1516">
        <f>IF(Sync!$AJ1516="","",Sync!$AJ1516)</f>
        <v/>
      </c>
      <c r="G1516">
        <f>IF($F1516="","",IF(Sync!$AG1516="","",IF(ISNUMBER(Sync!$AG1516),IF(AND(Sync!$AG1516&gt;=10000101,Sync!$AG1516&lt;=99991231),INT(Sync!$AG1516/10000),""),IFERROR(VALUE(TRIM(LEFT(Sync!$AG1516,FIND("/",Sync!$AG1516)-1))),""))))</f>
        <v/>
      </c>
      <c r="H1516">
        <f>IF(OR($F1516="",$G1516=""),"",IF(ISNUMBER(Sync!$AG1516),INT(MOD(Sync!$AG1516,10000)/100),IFERROR(VALUE(TRIM(LEFT(MID(Sync!$AG1516,FIND("/",Sync!$AG1516)+1,20),FIND("/",MID(Sync!$AG1516,FIND("/",Sync!$AG1516)+1,20))-1))),"")))</f>
        <v/>
      </c>
      <c r="I1516">
        <f>IF(OR($F1516="",$G1516=""),"",IF(ISNUMBER(Sync!$AG1516),MOD(Sync!$AG1516,100),IFERROR(VALUE(TRIM(MID(MID(Sync!$AG1516,FIND("/",Sync!$AG1516)+1,20),FIND("/",MID(Sync!$AG1516,FIND("/",Sync!$AG1516)+1,20))+1,20))),"")))</f>
        <v/>
      </c>
      <c r="J1516">
        <f>IF($F1516="","",IF(OR($G1516="",$H1516="",$I1516="",$G1516&lt;1300,$G1516&gt;1500,$H1516&lt;1,$H1516&gt;12,$I1516&lt;1,$I1516&gt;31),"نامعتبر",RIGHT("0000"&amp;$G1516,4)&amp;"/"&amp;RIGHT("00"&amp;$H1516,2)&amp;"/"&amp;RIGHT("00"&amp;$I1516,2)))</f>
        <v/>
      </c>
      <c r="K1516">
        <f>IF(OR($F1516="",$J1516="",$J1516="نامعتبر"),"",LEFT($J1516,4)&amp;MID($J1516,6,2)&amp;RIGHT($J1516,2)&amp;$N1516&amp;"|"&amp;"2"&amp;RIGHT("00000"&amp;1511,5))</f>
        <v/>
      </c>
      <c r="L1516">
        <f>IF($K1516="","",COUNTIFS(LdgPartyA,$F1516,LdgKeyA,"&lt;"&amp;$K1516)+COUNTIFS(LdgPartyB,$F1516,LdgKeyB,"&lt;"&amp;$K1516)+1)</f>
        <v/>
      </c>
      <c r="M1516">
        <f>IF($L1516="","",$F1516&amp;"|"&amp;RIGHT("000000"&amp;$L1516,6))</f>
        <v/>
      </c>
      <c r="N1516">
        <f>IF($F1516="","",IF(Sync!$AH1516="","0000",IF(AND(ISNUMBER(Sync!$AH1516),Sync!$AH1516&gt;=0,Sync!$AH1516&lt;1),RIGHT("00"&amp;HOUR(Sync!$AH1516),2)&amp;RIGHT("00"&amp;MINUTE(Sync!$AH1516),2),IFERROR(RIGHT("00"&amp;VALUE(LEFT(Sync!$AH1516,FIND(":",Sync!$AH1516)-1)),2)&amp;RIGHT("00"&amp;VALUE(MID(Sync!$AH1516,FIND(":",Sync!$AH1516)+1,2)),2),"0000"))))</f>
        <v/>
      </c>
    </row>
    <row r="1517">
      <c r="A1517">
        <f>IF(OR(Calc!$E1520="",Calc!$E1520="نامعتبر",Calc!$G1520="",Calc!$I1520&lt;&gt;"خرید"),"",Calc!$G1520)</f>
        <v/>
      </c>
      <c r="B1517">
        <f>IF($A1517="","",LEFT(Calc!$E1520,4)&amp;MID(Calc!$E1520,6,2)&amp;RIGHT(Calc!$E1520,2)&amp;Calc!$R1520&amp;"|"&amp;"1"&amp;RIGHT("00000"&amp;1512,5))</f>
        <v/>
      </c>
      <c r="C1517">
        <f>IF($B1517="","",COUNTIFS(LdgPartyA,$A1517,LdgKeyA,"&lt;"&amp;$B1517)+COUNTIFS(LdgPartyB,$A1517,LdgKeyB,"&lt;"&amp;$B1517)+1)</f>
        <v/>
      </c>
      <c r="D1517">
        <f>IF($C1517="","",$A1517&amp;"|"&amp;RIGHT("000000"&amp;$C1517,6))</f>
        <v/>
      </c>
      <c r="F1517">
        <f>IF(Sync!$AJ1517="","",Sync!$AJ1517)</f>
        <v/>
      </c>
      <c r="G1517">
        <f>IF($F1517="","",IF(Sync!$AG1517="","",IF(ISNUMBER(Sync!$AG1517),IF(AND(Sync!$AG1517&gt;=10000101,Sync!$AG1517&lt;=99991231),INT(Sync!$AG1517/10000),""),IFERROR(VALUE(TRIM(LEFT(Sync!$AG1517,FIND("/",Sync!$AG1517)-1))),""))))</f>
        <v/>
      </c>
      <c r="H1517">
        <f>IF(OR($F1517="",$G1517=""),"",IF(ISNUMBER(Sync!$AG1517),INT(MOD(Sync!$AG1517,10000)/100),IFERROR(VALUE(TRIM(LEFT(MID(Sync!$AG1517,FIND("/",Sync!$AG1517)+1,20),FIND("/",MID(Sync!$AG1517,FIND("/",Sync!$AG1517)+1,20))-1))),"")))</f>
        <v/>
      </c>
      <c r="I1517">
        <f>IF(OR($F1517="",$G1517=""),"",IF(ISNUMBER(Sync!$AG1517),MOD(Sync!$AG1517,100),IFERROR(VALUE(TRIM(MID(MID(Sync!$AG1517,FIND("/",Sync!$AG1517)+1,20),FIND("/",MID(Sync!$AG1517,FIND("/",Sync!$AG1517)+1,20))+1,20))),"")))</f>
        <v/>
      </c>
      <c r="J1517">
        <f>IF($F1517="","",IF(OR($G1517="",$H1517="",$I1517="",$G1517&lt;1300,$G1517&gt;1500,$H1517&lt;1,$H1517&gt;12,$I1517&lt;1,$I1517&gt;31),"نامعتبر",RIGHT("0000"&amp;$G1517,4)&amp;"/"&amp;RIGHT("00"&amp;$H1517,2)&amp;"/"&amp;RIGHT("00"&amp;$I1517,2)))</f>
        <v/>
      </c>
      <c r="K1517">
        <f>IF(OR($F1517="",$J1517="",$J1517="نامعتبر"),"",LEFT($J1517,4)&amp;MID($J1517,6,2)&amp;RIGHT($J1517,2)&amp;$N1517&amp;"|"&amp;"2"&amp;RIGHT("00000"&amp;1512,5))</f>
        <v/>
      </c>
      <c r="L1517">
        <f>IF($K1517="","",COUNTIFS(LdgPartyA,$F1517,LdgKeyA,"&lt;"&amp;$K1517)+COUNTIFS(LdgPartyB,$F1517,LdgKeyB,"&lt;"&amp;$K1517)+1)</f>
        <v/>
      </c>
      <c r="M1517">
        <f>IF($L1517="","",$F1517&amp;"|"&amp;RIGHT("000000"&amp;$L1517,6))</f>
        <v/>
      </c>
      <c r="N1517">
        <f>IF($F1517="","",IF(Sync!$AH1517="","0000",IF(AND(ISNUMBER(Sync!$AH1517),Sync!$AH1517&gt;=0,Sync!$AH1517&lt;1),RIGHT("00"&amp;HOUR(Sync!$AH1517),2)&amp;RIGHT("00"&amp;MINUTE(Sync!$AH1517),2),IFERROR(RIGHT("00"&amp;VALUE(LEFT(Sync!$AH1517,FIND(":",Sync!$AH1517)-1)),2)&amp;RIGHT("00"&amp;VALUE(MID(Sync!$AH1517,FIND(":",Sync!$AH1517)+1,2)),2),"0000"))))</f>
        <v/>
      </c>
    </row>
    <row r="1518">
      <c r="A1518">
        <f>IF(OR(Calc!$E1521="",Calc!$E1521="نامعتبر",Calc!$G1521="",Calc!$I1521&lt;&gt;"خرید"),"",Calc!$G1521)</f>
        <v/>
      </c>
      <c r="B1518">
        <f>IF($A1518="","",LEFT(Calc!$E1521,4)&amp;MID(Calc!$E1521,6,2)&amp;RIGHT(Calc!$E1521,2)&amp;Calc!$R1521&amp;"|"&amp;"1"&amp;RIGHT("00000"&amp;1513,5))</f>
        <v/>
      </c>
      <c r="C1518">
        <f>IF($B1518="","",COUNTIFS(LdgPartyA,$A1518,LdgKeyA,"&lt;"&amp;$B1518)+COUNTIFS(LdgPartyB,$A1518,LdgKeyB,"&lt;"&amp;$B1518)+1)</f>
        <v/>
      </c>
      <c r="D1518">
        <f>IF($C1518="","",$A1518&amp;"|"&amp;RIGHT("000000"&amp;$C1518,6))</f>
        <v/>
      </c>
      <c r="F1518">
        <f>IF(Sync!$AJ1518="","",Sync!$AJ1518)</f>
        <v/>
      </c>
      <c r="G1518">
        <f>IF($F1518="","",IF(Sync!$AG1518="","",IF(ISNUMBER(Sync!$AG1518),IF(AND(Sync!$AG1518&gt;=10000101,Sync!$AG1518&lt;=99991231),INT(Sync!$AG1518/10000),""),IFERROR(VALUE(TRIM(LEFT(Sync!$AG1518,FIND("/",Sync!$AG1518)-1))),""))))</f>
        <v/>
      </c>
      <c r="H1518">
        <f>IF(OR($F1518="",$G1518=""),"",IF(ISNUMBER(Sync!$AG1518),INT(MOD(Sync!$AG1518,10000)/100),IFERROR(VALUE(TRIM(LEFT(MID(Sync!$AG1518,FIND("/",Sync!$AG1518)+1,20),FIND("/",MID(Sync!$AG1518,FIND("/",Sync!$AG1518)+1,20))-1))),"")))</f>
        <v/>
      </c>
      <c r="I1518">
        <f>IF(OR($F1518="",$G1518=""),"",IF(ISNUMBER(Sync!$AG1518),MOD(Sync!$AG1518,100),IFERROR(VALUE(TRIM(MID(MID(Sync!$AG1518,FIND("/",Sync!$AG1518)+1,20),FIND("/",MID(Sync!$AG1518,FIND("/",Sync!$AG1518)+1,20))+1,20))),"")))</f>
        <v/>
      </c>
      <c r="J1518">
        <f>IF($F1518="","",IF(OR($G1518="",$H1518="",$I1518="",$G1518&lt;1300,$G1518&gt;1500,$H1518&lt;1,$H1518&gt;12,$I1518&lt;1,$I1518&gt;31),"نامعتبر",RIGHT("0000"&amp;$G1518,4)&amp;"/"&amp;RIGHT("00"&amp;$H1518,2)&amp;"/"&amp;RIGHT("00"&amp;$I1518,2)))</f>
        <v/>
      </c>
      <c r="K1518">
        <f>IF(OR($F1518="",$J1518="",$J1518="نامعتبر"),"",LEFT($J1518,4)&amp;MID($J1518,6,2)&amp;RIGHT($J1518,2)&amp;$N1518&amp;"|"&amp;"2"&amp;RIGHT("00000"&amp;1513,5))</f>
        <v/>
      </c>
      <c r="L1518">
        <f>IF($K1518="","",COUNTIFS(LdgPartyA,$F1518,LdgKeyA,"&lt;"&amp;$K1518)+COUNTIFS(LdgPartyB,$F1518,LdgKeyB,"&lt;"&amp;$K1518)+1)</f>
        <v/>
      </c>
      <c r="M1518">
        <f>IF($L1518="","",$F1518&amp;"|"&amp;RIGHT("000000"&amp;$L1518,6))</f>
        <v/>
      </c>
      <c r="N1518">
        <f>IF($F1518="","",IF(Sync!$AH1518="","0000",IF(AND(ISNUMBER(Sync!$AH1518),Sync!$AH1518&gt;=0,Sync!$AH1518&lt;1),RIGHT("00"&amp;HOUR(Sync!$AH1518),2)&amp;RIGHT("00"&amp;MINUTE(Sync!$AH1518),2),IFERROR(RIGHT("00"&amp;VALUE(LEFT(Sync!$AH1518,FIND(":",Sync!$AH1518)-1)),2)&amp;RIGHT("00"&amp;VALUE(MID(Sync!$AH1518,FIND(":",Sync!$AH1518)+1,2)),2),"0000"))))</f>
        <v/>
      </c>
    </row>
    <row r="1519">
      <c r="A1519">
        <f>IF(OR(Calc!$E1522="",Calc!$E1522="نامعتبر",Calc!$G1522="",Calc!$I1522&lt;&gt;"خرید"),"",Calc!$G1522)</f>
        <v/>
      </c>
      <c r="B1519">
        <f>IF($A1519="","",LEFT(Calc!$E1522,4)&amp;MID(Calc!$E1522,6,2)&amp;RIGHT(Calc!$E1522,2)&amp;Calc!$R1522&amp;"|"&amp;"1"&amp;RIGHT("00000"&amp;1514,5))</f>
        <v/>
      </c>
      <c r="C1519">
        <f>IF($B1519="","",COUNTIFS(LdgPartyA,$A1519,LdgKeyA,"&lt;"&amp;$B1519)+COUNTIFS(LdgPartyB,$A1519,LdgKeyB,"&lt;"&amp;$B1519)+1)</f>
        <v/>
      </c>
      <c r="D1519">
        <f>IF($C1519="","",$A1519&amp;"|"&amp;RIGHT("000000"&amp;$C1519,6))</f>
        <v/>
      </c>
      <c r="F1519">
        <f>IF(Sync!$AJ1519="","",Sync!$AJ1519)</f>
        <v/>
      </c>
      <c r="G1519">
        <f>IF($F1519="","",IF(Sync!$AG1519="","",IF(ISNUMBER(Sync!$AG1519),IF(AND(Sync!$AG1519&gt;=10000101,Sync!$AG1519&lt;=99991231),INT(Sync!$AG1519/10000),""),IFERROR(VALUE(TRIM(LEFT(Sync!$AG1519,FIND("/",Sync!$AG1519)-1))),""))))</f>
        <v/>
      </c>
      <c r="H1519">
        <f>IF(OR($F1519="",$G1519=""),"",IF(ISNUMBER(Sync!$AG1519),INT(MOD(Sync!$AG1519,10000)/100),IFERROR(VALUE(TRIM(LEFT(MID(Sync!$AG1519,FIND("/",Sync!$AG1519)+1,20),FIND("/",MID(Sync!$AG1519,FIND("/",Sync!$AG1519)+1,20))-1))),"")))</f>
        <v/>
      </c>
      <c r="I1519">
        <f>IF(OR($F1519="",$G1519=""),"",IF(ISNUMBER(Sync!$AG1519),MOD(Sync!$AG1519,100),IFERROR(VALUE(TRIM(MID(MID(Sync!$AG1519,FIND("/",Sync!$AG1519)+1,20),FIND("/",MID(Sync!$AG1519,FIND("/",Sync!$AG1519)+1,20))+1,20))),"")))</f>
        <v/>
      </c>
      <c r="J1519">
        <f>IF($F1519="","",IF(OR($G1519="",$H1519="",$I1519="",$G1519&lt;1300,$G1519&gt;1500,$H1519&lt;1,$H1519&gt;12,$I1519&lt;1,$I1519&gt;31),"نامعتبر",RIGHT("0000"&amp;$G1519,4)&amp;"/"&amp;RIGHT("00"&amp;$H1519,2)&amp;"/"&amp;RIGHT("00"&amp;$I1519,2)))</f>
        <v/>
      </c>
      <c r="K1519">
        <f>IF(OR($F1519="",$J1519="",$J1519="نامعتبر"),"",LEFT($J1519,4)&amp;MID($J1519,6,2)&amp;RIGHT($J1519,2)&amp;$N1519&amp;"|"&amp;"2"&amp;RIGHT("00000"&amp;1514,5))</f>
        <v/>
      </c>
      <c r="L1519">
        <f>IF($K1519="","",COUNTIFS(LdgPartyA,$F1519,LdgKeyA,"&lt;"&amp;$K1519)+COUNTIFS(LdgPartyB,$F1519,LdgKeyB,"&lt;"&amp;$K1519)+1)</f>
        <v/>
      </c>
      <c r="M1519">
        <f>IF($L1519="","",$F1519&amp;"|"&amp;RIGHT("000000"&amp;$L1519,6))</f>
        <v/>
      </c>
      <c r="N1519">
        <f>IF($F1519="","",IF(Sync!$AH1519="","0000",IF(AND(ISNUMBER(Sync!$AH1519),Sync!$AH1519&gt;=0,Sync!$AH1519&lt;1),RIGHT("00"&amp;HOUR(Sync!$AH1519),2)&amp;RIGHT("00"&amp;MINUTE(Sync!$AH1519),2),IFERROR(RIGHT("00"&amp;VALUE(LEFT(Sync!$AH1519,FIND(":",Sync!$AH1519)-1)),2)&amp;RIGHT("00"&amp;VALUE(MID(Sync!$AH1519,FIND(":",Sync!$AH1519)+1,2)),2),"0000"))))</f>
        <v/>
      </c>
    </row>
    <row r="1520">
      <c r="A1520">
        <f>IF(OR(Calc!$E1523="",Calc!$E1523="نامعتبر",Calc!$G1523="",Calc!$I1523&lt;&gt;"خرید"),"",Calc!$G1523)</f>
        <v/>
      </c>
      <c r="B1520">
        <f>IF($A1520="","",LEFT(Calc!$E1523,4)&amp;MID(Calc!$E1523,6,2)&amp;RIGHT(Calc!$E1523,2)&amp;Calc!$R1523&amp;"|"&amp;"1"&amp;RIGHT("00000"&amp;1515,5))</f>
        <v/>
      </c>
      <c r="C1520">
        <f>IF($B1520="","",COUNTIFS(LdgPartyA,$A1520,LdgKeyA,"&lt;"&amp;$B1520)+COUNTIFS(LdgPartyB,$A1520,LdgKeyB,"&lt;"&amp;$B1520)+1)</f>
        <v/>
      </c>
      <c r="D1520">
        <f>IF($C1520="","",$A1520&amp;"|"&amp;RIGHT("000000"&amp;$C1520,6))</f>
        <v/>
      </c>
      <c r="F1520">
        <f>IF(Sync!$AJ1520="","",Sync!$AJ1520)</f>
        <v/>
      </c>
      <c r="G1520">
        <f>IF($F1520="","",IF(Sync!$AG1520="","",IF(ISNUMBER(Sync!$AG1520),IF(AND(Sync!$AG1520&gt;=10000101,Sync!$AG1520&lt;=99991231),INT(Sync!$AG1520/10000),""),IFERROR(VALUE(TRIM(LEFT(Sync!$AG1520,FIND("/",Sync!$AG1520)-1))),""))))</f>
        <v/>
      </c>
      <c r="H1520">
        <f>IF(OR($F1520="",$G1520=""),"",IF(ISNUMBER(Sync!$AG1520),INT(MOD(Sync!$AG1520,10000)/100),IFERROR(VALUE(TRIM(LEFT(MID(Sync!$AG1520,FIND("/",Sync!$AG1520)+1,20),FIND("/",MID(Sync!$AG1520,FIND("/",Sync!$AG1520)+1,20))-1))),"")))</f>
        <v/>
      </c>
      <c r="I1520">
        <f>IF(OR($F1520="",$G1520=""),"",IF(ISNUMBER(Sync!$AG1520),MOD(Sync!$AG1520,100),IFERROR(VALUE(TRIM(MID(MID(Sync!$AG1520,FIND("/",Sync!$AG1520)+1,20),FIND("/",MID(Sync!$AG1520,FIND("/",Sync!$AG1520)+1,20))+1,20))),"")))</f>
        <v/>
      </c>
      <c r="J1520">
        <f>IF($F1520="","",IF(OR($G1520="",$H1520="",$I1520="",$G1520&lt;1300,$G1520&gt;1500,$H1520&lt;1,$H1520&gt;12,$I1520&lt;1,$I1520&gt;31),"نامعتبر",RIGHT("0000"&amp;$G1520,4)&amp;"/"&amp;RIGHT("00"&amp;$H1520,2)&amp;"/"&amp;RIGHT("00"&amp;$I1520,2)))</f>
        <v/>
      </c>
      <c r="K1520">
        <f>IF(OR($F1520="",$J1520="",$J1520="نامعتبر"),"",LEFT($J1520,4)&amp;MID($J1520,6,2)&amp;RIGHT($J1520,2)&amp;$N1520&amp;"|"&amp;"2"&amp;RIGHT("00000"&amp;1515,5))</f>
        <v/>
      </c>
      <c r="L1520">
        <f>IF($K1520="","",COUNTIFS(LdgPartyA,$F1520,LdgKeyA,"&lt;"&amp;$K1520)+COUNTIFS(LdgPartyB,$F1520,LdgKeyB,"&lt;"&amp;$K1520)+1)</f>
        <v/>
      </c>
      <c r="M1520">
        <f>IF($L1520="","",$F1520&amp;"|"&amp;RIGHT("000000"&amp;$L1520,6))</f>
        <v/>
      </c>
      <c r="N1520">
        <f>IF($F1520="","",IF(Sync!$AH1520="","0000",IF(AND(ISNUMBER(Sync!$AH1520),Sync!$AH1520&gt;=0,Sync!$AH1520&lt;1),RIGHT("00"&amp;HOUR(Sync!$AH1520),2)&amp;RIGHT("00"&amp;MINUTE(Sync!$AH1520),2),IFERROR(RIGHT("00"&amp;VALUE(LEFT(Sync!$AH1520,FIND(":",Sync!$AH1520)-1)),2)&amp;RIGHT("00"&amp;VALUE(MID(Sync!$AH1520,FIND(":",Sync!$AH1520)+1,2)),2),"0000"))))</f>
        <v/>
      </c>
    </row>
    <row r="1521">
      <c r="A1521">
        <f>IF(OR(Calc!$E1524="",Calc!$E1524="نامعتبر",Calc!$G1524="",Calc!$I1524&lt;&gt;"خرید"),"",Calc!$G1524)</f>
        <v/>
      </c>
      <c r="B1521">
        <f>IF($A1521="","",LEFT(Calc!$E1524,4)&amp;MID(Calc!$E1524,6,2)&amp;RIGHT(Calc!$E1524,2)&amp;Calc!$R1524&amp;"|"&amp;"1"&amp;RIGHT("00000"&amp;1516,5))</f>
        <v/>
      </c>
      <c r="C1521">
        <f>IF($B1521="","",COUNTIFS(LdgPartyA,$A1521,LdgKeyA,"&lt;"&amp;$B1521)+COUNTIFS(LdgPartyB,$A1521,LdgKeyB,"&lt;"&amp;$B1521)+1)</f>
        <v/>
      </c>
      <c r="D1521">
        <f>IF($C1521="","",$A1521&amp;"|"&amp;RIGHT("000000"&amp;$C1521,6))</f>
        <v/>
      </c>
      <c r="F1521">
        <f>IF(Sync!$AJ1521="","",Sync!$AJ1521)</f>
        <v/>
      </c>
      <c r="G1521">
        <f>IF($F1521="","",IF(Sync!$AG1521="","",IF(ISNUMBER(Sync!$AG1521),IF(AND(Sync!$AG1521&gt;=10000101,Sync!$AG1521&lt;=99991231),INT(Sync!$AG1521/10000),""),IFERROR(VALUE(TRIM(LEFT(Sync!$AG1521,FIND("/",Sync!$AG1521)-1))),""))))</f>
        <v/>
      </c>
      <c r="H1521">
        <f>IF(OR($F1521="",$G1521=""),"",IF(ISNUMBER(Sync!$AG1521),INT(MOD(Sync!$AG1521,10000)/100),IFERROR(VALUE(TRIM(LEFT(MID(Sync!$AG1521,FIND("/",Sync!$AG1521)+1,20),FIND("/",MID(Sync!$AG1521,FIND("/",Sync!$AG1521)+1,20))-1))),"")))</f>
        <v/>
      </c>
      <c r="I1521">
        <f>IF(OR($F1521="",$G1521=""),"",IF(ISNUMBER(Sync!$AG1521),MOD(Sync!$AG1521,100),IFERROR(VALUE(TRIM(MID(MID(Sync!$AG1521,FIND("/",Sync!$AG1521)+1,20),FIND("/",MID(Sync!$AG1521,FIND("/",Sync!$AG1521)+1,20))+1,20))),"")))</f>
        <v/>
      </c>
      <c r="J1521">
        <f>IF($F1521="","",IF(OR($G1521="",$H1521="",$I1521="",$G1521&lt;1300,$G1521&gt;1500,$H1521&lt;1,$H1521&gt;12,$I1521&lt;1,$I1521&gt;31),"نامعتبر",RIGHT("0000"&amp;$G1521,4)&amp;"/"&amp;RIGHT("00"&amp;$H1521,2)&amp;"/"&amp;RIGHT("00"&amp;$I1521,2)))</f>
        <v/>
      </c>
      <c r="K1521">
        <f>IF(OR($F1521="",$J1521="",$J1521="نامعتبر"),"",LEFT($J1521,4)&amp;MID($J1521,6,2)&amp;RIGHT($J1521,2)&amp;$N1521&amp;"|"&amp;"2"&amp;RIGHT("00000"&amp;1516,5))</f>
        <v/>
      </c>
      <c r="L1521">
        <f>IF($K1521="","",COUNTIFS(LdgPartyA,$F1521,LdgKeyA,"&lt;"&amp;$K1521)+COUNTIFS(LdgPartyB,$F1521,LdgKeyB,"&lt;"&amp;$K1521)+1)</f>
        <v/>
      </c>
      <c r="M1521">
        <f>IF($L1521="","",$F1521&amp;"|"&amp;RIGHT("000000"&amp;$L1521,6))</f>
        <v/>
      </c>
      <c r="N1521">
        <f>IF($F1521="","",IF(Sync!$AH1521="","0000",IF(AND(ISNUMBER(Sync!$AH1521),Sync!$AH1521&gt;=0,Sync!$AH1521&lt;1),RIGHT("00"&amp;HOUR(Sync!$AH1521),2)&amp;RIGHT("00"&amp;MINUTE(Sync!$AH1521),2),IFERROR(RIGHT("00"&amp;VALUE(LEFT(Sync!$AH1521,FIND(":",Sync!$AH1521)-1)),2)&amp;RIGHT("00"&amp;VALUE(MID(Sync!$AH1521,FIND(":",Sync!$AH1521)+1,2)),2),"0000"))))</f>
        <v/>
      </c>
    </row>
    <row r="1522">
      <c r="A1522">
        <f>IF(OR(Calc!$E1525="",Calc!$E1525="نامعتبر",Calc!$G1525="",Calc!$I1525&lt;&gt;"خرید"),"",Calc!$G1525)</f>
        <v/>
      </c>
      <c r="B1522">
        <f>IF($A1522="","",LEFT(Calc!$E1525,4)&amp;MID(Calc!$E1525,6,2)&amp;RIGHT(Calc!$E1525,2)&amp;Calc!$R1525&amp;"|"&amp;"1"&amp;RIGHT("00000"&amp;1517,5))</f>
        <v/>
      </c>
      <c r="C1522">
        <f>IF($B1522="","",COUNTIFS(LdgPartyA,$A1522,LdgKeyA,"&lt;"&amp;$B1522)+COUNTIFS(LdgPartyB,$A1522,LdgKeyB,"&lt;"&amp;$B1522)+1)</f>
        <v/>
      </c>
      <c r="D1522">
        <f>IF($C1522="","",$A1522&amp;"|"&amp;RIGHT("000000"&amp;$C1522,6))</f>
        <v/>
      </c>
      <c r="F1522">
        <f>IF(Sync!$AJ1522="","",Sync!$AJ1522)</f>
        <v/>
      </c>
      <c r="G1522">
        <f>IF($F1522="","",IF(Sync!$AG1522="","",IF(ISNUMBER(Sync!$AG1522),IF(AND(Sync!$AG1522&gt;=10000101,Sync!$AG1522&lt;=99991231),INT(Sync!$AG1522/10000),""),IFERROR(VALUE(TRIM(LEFT(Sync!$AG1522,FIND("/",Sync!$AG1522)-1))),""))))</f>
        <v/>
      </c>
      <c r="H1522">
        <f>IF(OR($F1522="",$G1522=""),"",IF(ISNUMBER(Sync!$AG1522),INT(MOD(Sync!$AG1522,10000)/100),IFERROR(VALUE(TRIM(LEFT(MID(Sync!$AG1522,FIND("/",Sync!$AG1522)+1,20),FIND("/",MID(Sync!$AG1522,FIND("/",Sync!$AG1522)+1,20))-1))),"")))</f>
        <v/>
      </c>
      <c r="I1522">
        <f>IF(OR($F1522="",$G1522=""),"",IF(ISNUMBER(Sync!$AG1522),MOD(Sync!$AG1522,100),IFERROR(VALUE(TRIM(MID(MID(Sync!$AG1522,FIND("/",Sync!$AG1522)+1,20),FIND("/",MID(Sync!$AG1522,FIND("/",Sync!$AG1522)+1,20))+1,20))),"")))</f>
        <v/>
      </c>
      <c r="J1522">
        <f>IF($F1522="","",IF(OR($G1522="",$H1522="",$I1522="",$G1522&lt;1300,$G1522&gt;1500,$H1522&lt;1,$H1522&gt;12,$I1522&lt;1,$I1522&gt;31),"نامعتبر",RIGHT("0000"&amp;$G1522,4)&amp;"/"&amp;RIGHT("00"&amp;$H1522,2)&amp;"/"&amp;RIGHT("00"&amp;$I1522,2)))</f>
        <v/>
      </c>
      <c r="K1522">
        <f>IF(OR($F1522="",$J1522="",$J1522="نامعتبر"),"",LEFT($J1522,4)&amp;MID($J1522,6,2)&amp;RIGHT($J1522,2)&amp;$N1522&amp;"|"&amp;"2"&amp;RIGHT("00000"&amp;1517,5))</f>
        <v/>
      </c>
      <c r="L1522">
        <f>IF($K1522="","",COUNTIFS(LdgPartyA,$F1522,LdgKeyA,"&lt;"&amp;$K1522)+COUNTIFS(LdgPartyB,$F1522,LdgKeyB,"&lt;"&amp;$K1522)+1)</f>
        <v/>
      </c>
      <c r="M1522">
        <f>IF($L1522="","",$F1522&amp;"|"&amp;RIGHT("000000"&amp;$L1522,6))</f>
        <v/>
      </c>
      <c r="N1522">
        <f>IF($F1522="","",IF(Sync!$AH1522="","0000",IF(AND(ISNUMBER(Sync!$AH1522),Sync!$AH1522&gt;=0,Sync!$AH1522&lt;1),RIGHT("00"&amp;HOUR(Sync!$AH1522),2)&amp;RIGHT("00"&amp;MINUTE(Sync!$AH1522),2),IFERROR(RIGHT("00"&amp;VALUE(LEFT(Sync!$AH1522,FIND(":",Sync!$AH1522)-1)),2)&amp;RIGHT("00"&amp;VALUE(MID(Sync!$AH1522,FIND(":",Sync!$AH1522)+1,2)),2),"0000"))))</f>
        <v/>
      </c>
    </row>
    <row r="1523">
      <c r="A1523">
        <f>IF(OR(Calc!$E1526="",Calc!$E1526="نامعتبر",Calc!$G1526="",Calc!$I1526&lt;&gt;"خرید"),"",Calc!$G1526)</f>
        <v/>
      </c>
      <c r="B1523">
        <f>IF($A1523="","",LEFT(Calc!$E1526,4)&amp;MID(Calc!$E1526,6,2)&amp;RIGHT(Calc!$E1526,2)&amp;Calc!$R1526&amp;"|"&amp;"1"&amp;RIGHT("00000"&amp;1518,5))</f>
        <v/>
      </c>
      <c r="C1523">
        <f>IF($B1523="","",COUNTIFS(LdgPartyA,$A1523,LdgKeyA,"&lt;"&amp;$B1523)+COUNTIFS(LdgPartyB,$A1523,LdgKeyB,"&lt;"&amp;$B1523)+1)</f>
        <v/>
      </c>
      <c r="D1523">
        <f>IF($C1523="","",$A1523&amp;"|"&amp;RIGHT("000000"&amp;$C1523,6))</f>
        <v/>
      </c>
      <c r="F1523">
        <f>IF(Sync!$AJ1523="","",Sync!$AJ1523)</f>
        <v/>
      </c>
      <c r="G1523">
        <f>IF($F1523="","",IF(Sync!$AG1523="","",IF(ISNUMBER(Sync!$AG1523),IF(AND(Sync!$AG1523&gt;=10000101,Sync!$AG1523&lt;=99991231),INT(Sync!$AG1523/10000),""),IFERROR(VALUE(TRIM(LEFT(Sync!$AG1523,FIND("/",Sync!$AG1523)-1))),""))))</f>
        <v/>
      </c>
      <c r="H1523">
        <f>IF(OR($F1523="",$G1523=""),"",IF(ISNUMBER(Sync!$AG1523),INT(MOD(Sync!$AG1523,10000)/100),IFERROR(VALUE(TRIM(LEFT(MID(Sync!$AG1523,FIND("/",Sync!$AG1523)+1,20),FIND("/",MID(Sync!$AG1523,FIND("/",Sync!$AG1523)+1,20))-1))),"")))</f>
        <v/>
      </c>
      <c r="I1523">
        <f>IF(OR($F1523="",$G1523=""),"",IF(ISNUMBER(Sync!$AG1523),MOD(Sync!$AG1523,100),IFERROR(VALUE(TRIM(MID(MID(Sync!$AG1523,FIND("/",Sync!$AG1523)+1,20),FIND("/",MID(Sync!$AG1523,FIND("/",Sync!$AG1523)+1,20))+1,20))),"")))</f>
        <v/>
      </c>
      <c r="J1523">
        <f>IF($F1523="","",IF(OR($G1523="",$H1523="",$I1523="",$G1523&lt;1300,$G1523&gt;1500,$H1523&lt;1,$H1523&gt;12,$I1523&lt;1,$I1523&gt;31),"نامعتبر",RIGHT("0000"&amp;$G1523,4)&amp;"/"&amp;RIGHT("00"&amp;$H1523,2)&amp;"/"&amp;RIGHT("00"&amp;$I1523,2)))</f>
        <v/>
      </c>
      <c r="K1523">
        <f>IF(OR($F1523="",$J1523="",$J1523="نامعتبر"),"",LEFT($J1523,4)&amp;MID($J1523,6,2)&amp;RIGHT($J1523,2)&amp;$N1523&amp;"|"&amp;"2"&amp;RIGHT("00000"&amp;1518,5))</f>
        <v/>
      </c>
      <c r="L1523">
        <f>IF($K1523="","",COUNTIFS(LdgPartyA,$F1523,LdgKeyA,"&lt;"&amp;$K1523)+COUNTIFS(LdgPartyB,$F1523,LdgKeyB,"&lt;"&amp;$K1523)+1)</f>
        <v/>
      </c>
      <c r="M1523">
        <f>IF($L1523="","",$F1523&amp;"|"&amp;RIGHT("000000"&amp;$L1523,6))</f>
        <v/>
      </c>
      <c r="N1523">
        <f>IF($F1523="","",IF(Sync!$AH1523="","0000",IF(AND(ISNUMBER(Sync!$AH1523),Sync!$AH1523&gt;=0,Sync!$AH1523&lt;1),RIGHT("00"&amp;HOUR(Sync!$AH1523),2)&amp;RIGHT("00"&amp;MINUTE(Sync!$AH1523),2),IFERROR(RIGHT("00"&amp;VALUE(LEFT(Sync!$AH1523,FIND(":",Sync!$AH1523)-1)),2)&amp;RIGHT("00"&amp;VALUE(MID(Sync!$AH1523,FIND(":",Sync!$AH1523)+1,2)),2),"0000"))))</f>
        <v/>
      </c>
    </row>
    <row r="1524">
      <c r="A1524">
        <f>IF(OR(Calc!$E1527="",Calc!$E1527="نامعتبر",Calc!$G1527="",Calc!$I1527&lt;&gt;"خرید"),"",Calc!$G1527)</f>
        <v/>
      </c>
      <c r="B1524">
        <f>IF($A1524="","",LEFT(Calc!$E1527,4)&amp;MID(Calc!$E1527,6,2)&amp;RIGHT(Calc!$E1527,2)&amp;Calc!$R1527&amp;"|"&amp;"1"&amp;RIGHT("00000"&amp;1519,5))</f>
        <v/>
      </c>
      <c r="C1524">
        <f>IF($B1524="","",COUNTIFS(LdgPartyA,$A1524,LdgKeyA,"&lt;"&amp;$B1524)+COUNTIFS(LdgPartyB,$A1524,LdgKeyB,"&lt;"&amp;$B1524)+1)</f>
        <v/>
      </c>
      <c r="D1524">
        <f>IF($C1524="","",$A1524&amp;"|"&amp;RIGHT("000000"&amp;$C1524,6))</f>
        <v/>
      </c>
      <c r="F1524">
        <f>IF(Sync!$AJ1524="","",Sync!$AJ1524)</f>
        <v/>
      </c>
      <c r="G1524">
        <f>IF($F1524="","",IF(Sync!$AG1524="","",IF(ISNUMBER(Sync!$AG1524),IF(AND(Sync!$AG1524&gt;=10000101,Sync!$AG1524&lt;=99991231),INT(Sync!$AG1524/10000),""),IFERROR(VALUE(TRIM(LEFT(Sync!$AG1524,FIND("/",Sync!$AG1524)-1))),""))))</f>
        <v/>
      </c>
      <c r="H1524">
        <f>IF(OR($F1524="",$G1524=""),"",IF(ISNUMBER(Sync!$AG1524),INT(MOD(Sync!$AG1524,10000)/100),IFERROR(VALUE(TRIM(LEFT(MID(Sync!$AG1524,FIND("/",Sync!$AG1524)+1,20),FIND("/",MID(Sync!$AG1524,FIND("/",Sync!$AG1524)+1,20))-1))),"")))</f>
        <v/>
      </c>
      <c r="I1524">
        <f>IF(OR($F1524="",$G1524=""),"",IF(ISNUMBER(Sync!$AG1524),MOD(Sync!$AG1524,100),IFERROR(VALUE(TRIM(MID(MID(Sync!$AG1524,FIND("/",Sync!$AG1524)+1,20),FIND("/",MID(Sync!$AG1524,FIND("/",Sync!$AG1524)+1,20))+1,20))),"")))</f>
        <v/>
      </c>
      <c r="J1524">
        <f>IF($F1524="","",IF(OR($G1524="",$H1524="",$I1524="",$G1524&lt;1300,$G1524&gt;1500,$H1524&lt;1,$H1524&gt;12,$I1524&lt;1,$I1524&gt;31),"نامعتبر",RIGHT("0000"&amp;$G1524,4)&amp;"/"&amp;RIGHT("00"&amp;$H1524,2)&amp;"/"&amp;RIGHT("00"&amp;$I1524,2)))</f>
        <v/>
      </c>
      <c r="K1524">
        <f>IF(OR($F1524="",$J1524="",$J1524="نامعتبر"),"",LEFT($J1524,4)&amp;MID($J1524,6,2)&amp;RIGHT($J1524,2)&amp;$N1524&amp;"|"&amp;"2"&amp;RIGHT("00000"&amp;1519,5))</f>
        <v/>
      </c>
      <c r="L1524">
        <f>IF($K1524="","",COUNTIFS(LdgPartyA,$F1524,LdgKeyA,"&lt;"&amp;$K1524)+COUNTIFS(LdgPartyB,$F1524,LdgKeyB,"&lt;"&amp;$K1524)+1)</f>
        <v/>
      </c>
      <c r="M1524">
        <f>IF($L1524="","",$F1524&amp;"|"&amp;RIGHT("000000"&amp;$L1524,6))</f>
        <v/>
      </c>
      <c r="N1524">
        <f>IF($F1524="","",IF(Sync!$AH1524="","0000",IF(AND(ISNUMBER(Sync!$AH1524),Sync!$AH1524&gt;=0,Sync!$AH1524&lt;1),RIGHT("00"&amp;HOUR(Sync!$AH1524),2)&amp;RIGHT("00"&amp;MINUTE(Sync!$AH1524),2),IFERROR(RIGHT("00"&amp;VALUE(LEFT(Sync!$AH1524,FIND(":",Sync!$AH1524)-1)),2)&amp;RIGHT("00"&amp;VALUE(MID(Sync!$AH1524,FIND(":",Sync!$AH1524)+1,2)),2),"0000"))))</f>
        <v/>
      </c>
    </row>
    <row r="1525">
      <c r="A1525">
        <f>IF(OR(Calc!$E1528="",Calc!$E1528="نامعتبر",Calc!$G1528="",Calc!$I1528&lt;&gt;"خرید"),"",Calc!$G1528)</f>
        <v/>
      </c>
      <c r="B1525">
        <f>IF($A1525="","",LEFT(Calc!$E1528,4)&amp;MID(Calc!$E1528,6,2)&amp;RIGHT(Calc!$E1528,2)&amp;Calc!$R1528&amp;"|"&amp;"1"&amp;RIGHT("00000"&amp;1520,5))</f>
        <v/>
      </c>
      <c r="C1525">
        <f>IF($B1525="","",COUNTIFS(LdgPartyA,$A1525,LdgKeyA,"&lt;"&amp;$B1525)+COUNTIFS(LdgPartyB,$A1525,LdgKeyB,"&lt;"&amp;$B1525)+1)</f>
        <v/>
      </c>
      <c r="D1525">
        <f>IF($C1525="","",$A1525&amp;"|"&amp;RIGHT("000000"&amp;$C1525,6))</f>
        <v/>
      </c>
      <c r="F1525">
        <f>IF(Sync!$AJ1525="","",Sync!$AJ1525)</f>
        <v/>
      </c>
      <c r="G1525">
        <f>IF($F1525="","",IF(Sync!$AG1525="","",IF(ISNUMBER(Sync!$AG1525),IF(AND(Sync!$AG1525&gt;=10000101,Sync!$AG1525&lt;=99991231),INT(Sync!$AG1525/10000),""),IFERROR(VALUE(TRIM(LEFT(Sync!$AG1525,FIND("/",Sync!$AG1525)-1))),""))))</f>
        <v/>
      </c>
      <c r="H1525">
        <f>IF(OR($F1525="",$G1525=""),"",IF(ISNUMBER(Sync!$AG1525),INT(MOD(Sync!$AG1525,10000)/100),IFERROR(VALUE(TRIM(LEFT(MID(Sync!$AG1525,FIND("/",Sync!$AG1525)+1,20),FIND("/",MID(Sync!$AG1525,FIND("/",Sync!$AG1525)+1,20))-1))),"")))</f>
        <v/>
      </c>
      <c r="I1525">
        <f>IF(OR($F1525="",$G1525=""),"",IF(ISNUMBER(Sync!$AG1525),MOD(Sync!$AG1525,100),IFERROR(VALUE(TRIM(MID(MID(Sync!$AG1525,FIND("/",Sync!$AG1525)+1,20),FIND("/",MID(Sync!$AG1525,FIND("/",Sync!$AG1525)+1,20))+1,20))),"")))</f>
        <v/>
      </c>
      <c r="J1525">
        <f>IF($F1525="","",IF(OR($G1525="",$H1525="",$I1525="",$G1525&lt;1300,$G1525&gt;1500,$H1525&lt;1,$H1525&gt;12,$I1525&lt;1,$I1525&gt;31),"نامعتبر",RIGHT("0000"&amp;$G1525,4)&amp;"/"&amp;RIGHT("00"&amp;$H1525,2)&amp;"/"&amp;RIGHT("00"&amp;$I1525,2)))</f>
        <v/>
      </c>
      <c r="K1525">
        <f>IF(OR($F1525="",$J1525="",$J1525="نامعتبر"),"",LEFT($J1525,4)&amp;MID($J1525,6,2)&amp;RIGHT($J1525,2)&amp;$N1525&amp;"|"&amp;"2"&amp;RIGHT("00000"&amp;1520,5))</f>
        <v/>
      </c>
      <c r="L1525">
        <f>IF($K1525="","",COUNTIFS(LdgPartyA,$F1525,LdgKeyA,"&lt;"&amp;$K1525)+COUNTIFS(LdgPartyB,$F1525,LdgKeyB,"&lt;"&amp;$K1525)+1)</f>
        <v/>
      </c>
      <c r="M1525">
        <f>IF($L1525="","",$F1525&amp;"|"&amp;RIGHT("000000"&amp;$L1525,6))</f>
        <v/>
      </c>
      <c r="N1525">
        <f>IF($F1525="","",IF(Sync!$AH1525="","0000",IF(AND(ISNUMBER(Sync!$AH1525),Sync!$AH1525&gt;=0,Sync!$AH1525&lt;1),RIGHT("00"&amp;HOUR(Sync!$AH1525),2)&amp;RIGHT("00"&amp;MINUTE(Sync!$AH1525),2),IFERROR(RIGHT("00"&amp;VALUE(LEFT(Sync!$AH1525,FIND(":",Sync!$AH1525)-1)),2)&amp;RIGHT("00"&amp;VALUE(MID(Sync!$AH1525,FIND(":",Sync!$AH1525)+1,2)),2),"0000"))))</f>
        <v/>
      </c>
    </row>
    <row r="1526">
      <c r="A1526">
        <f>IF(OR(Calc!$E1529="",Calc!$E1529="نامعتبر",Calc!$G1529="",Calc!$I1529&lt;&gt;"خرید"),"",Calc!$G1529)</f>
        <v/>
      </c>
      <c r="B1526">
        <f>IF($A1526="","",LEFT(Calc!$E1529,4)&amp;MID(Calc!$E1529,6,2)&amp;RIGHT(Calc!$E1529,2)&amp;Calc!$R1529&amp;"|"&amp;"1"&amp;RIGHT("00000"&amp;1521,5))</f>
        <v/>
      </c>
      <c r="C1526">
        <f>IF($B1526="","",COUNTIFS(LdgPartyA,$A1526,LdgKeyA,"&lt;"&amp;$B1526)+COUNTIFS(LdgPartyB,$A1526,LdgKeyB,"&lt;"&amp;$B1526)+1)</f>
        <v/>
      </c>
      <c r="D1526">
        <f>IF($C1526="","",$A1526&amp;"|"&amp;RIGHT("000000"&amp;$C1526,6))</f>
        <v/>
      </c>
      <c r="F1526">
        <f>IF(Sync!$AJ1526="","",Sync!$AJ1526)</f>
        <v/>
      </c>
      <c r="G1526">
        <f>IF($F1526="","",IF(Sync!$AG1526="","",IF(ISNUMBER(Sync!$AG1526),IF(AND(Sync!$AG1526&gt;=10000101,Sync!$AG1526&lt;=99991231),INT(Sync!$AG1526/10000),""),IFERROR(VALUE(TRIM(LEFT(Sync!$AG1526,FIND("/",Sync!$AG1526)-1))),""))))</f>
        <v/>
      </c>
      <c r="H1526">
        <f>IF(OR($F1526="",$G1526=""),"",IF(ISNUMBER(Sync!$AG1526),INT(MOD(Sync!$AG1526,10000)/100),IFERROR(VALUE(TRIM(LEFT(MID(Sync!$AG1526,FIND("/",Sync!$AG1526)+1,20),FIND("/",MID(Sync!$AG1526,FIND("/",Sync!$AG1526)+1,20))-1))),"")))</f>
        <v/>
      </c>
      <c r="I1526">
        <f>IF(OR($F1526="",$G1526=""),"",IF(ISNUMBER(Sync!$AG1526),MOD(Sync!$AG1526,100),IFERROR(VALUE(TRIM(MID(MID(Sync!$AG1526,FIND("/",Sync!$AG1526)+1,20),FIND("/",MID(Sync!$AG1526,FIND("/",Sync!$AG1526)+1,20))+1,20))),"")))</f>
        <v/>
      </c>
      <c r="J1526">
        <f>IF($F1526="","",IF(OR($G1526="",$H1526="",$I1526="",$G1526&lt;1300,$G1526&gt;1500,$H1526&lt;1,$H1526&gt;12,$I1526&lt;1,$I1526&gt;31),"نامعتبر",RIGHT("0000"&amp;$G1526,4)&amp;"/"&amp;RIGHT("00"&amp;$H1526,2)&amp;"/"&amp;RIGHT("00"&amp;$I1526,2)))</f>
        <v/>
      </c>
      <c r="K1526">
        <f>IF(OR($F1526="",$J1526="",$J1526="نامعتبر"),"",LEFT($J1526,4)&amp;MID($J1526,6,2)&amp;RIGHT($J1526,2)&amp;$N1526&amp;"|"&amp;"2"&amp;RIGHT("00000"&amp;1521,5))</f>
        <v/>
      </c>
      <c r="L1526">
        <f>IF($K1526="","",COUNTIFS(LdgPartyA,$F1526,LdgKeyA,"&lt;"&amp;$K1526)+COUNTIFS(LdgPartyB,$F1526,LdgKeyB,"&lt;"&amp;$K1526)+1)</f>
        <v/>
      </c>
      <c r="M1526">
        <f>IF($L1526="","",$F1526&amp;"|"&amp;RIGHT("000000"&amp;$L1526,6))</f>
        <v/>
      </c>
      <c r="N1526">
        <f>IF($F1526="","",IF(Sync!$AH1526="","0000",IF(AND(ISNUMBER(Sync!$AH1526),Sync!$AH1526&gt;=0,Sync!$AH1526&lt;1),RIGHT("00"&amp;HOUR(Sync!$AH1526),2)&amp;RIGHT("00"&amp;MINUTE(Sync!$AH1526),2),IFERROR(RIGHT("00"&amp;VALUE(LEFT(Sync!$AH1526,FIND(":",Sync!$AH1526)-1)),2)&amp;RIGHT("00"&amp;VALUE(MID(Sync!$AH1526,FIND(":",Sync!$AH1526)+1,2)),2),"0000"))))</f>
        <v/>
      </c>
    </row>
    <row r="1527">
      <c r="A1527">
        <f>IF(OR(Calc!$E1530="",Calc!$E1530="نامعتبر",Calc!$G1530="",Calc!$I1530&lt;&gt;"خرید"),"",Calc!$G1530)</f>
        <v/>
      </c>
      <c r="B1527">
        <f>IF($A1527="","",LEFT(Calc!$E1530,4)&amp;MID(Calc!$E1530,6,2)&amp;RIGHT(Calc!$E1530,2)&amp;Calc!$R1530&amp;"|"&amp;"1"&amp;RIGHT("00000"&amp;1522,5))</f>
        <v/>
      </c>
      <c r="C1527">
        <f>IF($B1527="","",COUNTIFS(LdgPartyA,$A1527,LdgKeyA,"&lt;"&amp;$B1527)+COUNTIFS(LdgPartyB,$A1527,LdgKeyB,"&lt;"&amp;$B1527)+1)</f>
        <v/>
      </c>
      <c r="D1527">
        <f>IF($C1527="","",$A1527&amp;"|"&amp;RIGHT("000000"&amp;$C1527,6))</f>
        <v/>
      </c>
      <c r="F1527">
        <f>IF(Sync!$AJ1527="","",Sync!$AJ1527)</f>
        <v/>
      </c>
      <c r="G1527">
        <f>IF($F1527="","",IF(Sync!$AG1527="","",IF(ISNUMBER(Sync!$AG1527),IF(AND(Sync!$AG1527&gt;=10000101,Sync!$AG1527&lt;=99991231),INT(Sync!$AG1527/10000),""),IFERROR(VALUE(TRIM(LEFT(Sync!$AG1527,FIND("/",Sync!$AG1527)-1))),""))))</f>
        <v/>
      </c>
      <c r="H1527">
        <f>IF(OR($F1527="",$G1527=""),"",IF(ISNUMBER(Sync!$AG1527),INT(MOD(Sync!$AG1527,10000)/100),IFERROR(VALUE(TRIM(LEFT(MID(Sync!$AG1527,FIND("/",Sync!$AG1527)+1,20),FIND("/",MID(Sync!$AG1527,FIND("/",Sync!$AG1527)+1,20))-1))),"")))</f>
        <v/>
      </c>
      <c r="I1527">
        <f>IF(OR($F1527="",$G1527=""),"",IF(ISNUMBER(Sync!$AG1527),MOD(Sync!$AG1527,100),IFERROR(VALUE(TRIM(MID(MID(Sync!$AG1527,FIND("/",Sync!$AG1527)+1,20),FIND("/",MID(Sync!$AG1527,FIND("/",Sync!$AG1527)+1,20))+1,20))),"")))</f>
        <v/>
      </c>
      <c r="J1527">
        <f>IF($F1527="","",IF(OR($G1527="",$H1527="",$I1527="",$G1527&lt;1300,$G1527&gt;1500,$H1527&lt;1,$H1527&gt;12,$I1527&lt;1,$I1527&gt;31),"نامعتبر",RIGHT("0000"&amp;$G1527,4)&amp;"/"&amp;RIGHT("00"&amp;$H1527,2)&amp;"/"&amp;RIGHT("00"&amp;$I1527,2)))</f>
        <v/>
      </c>
      <c r="K1527">
        <f>IF(OR($F1527="",$J1527="",$J1527="نامعتبر"),"",LEFT($J1527,4)&amp;MID($J1527,6,2)&amp;RIGHT($J1527,2)&amp;$N1527&amp;"|"&amp;"2"&amp;RIGHT("00000"&amp;1522,5))</f>
        <v/>
      </c>
      <c r="L1527">
        <f>IF($K1527="","",COUNTIFS(LdgPartyA,$F1527,LdgKeyA,"&lt;"&amp;$K1527)+COUNTIFS(LdgPartyB,$F1527,LdgKeyB,"&lt;"&amp;$K1527)+1)</f>
        <v/>
      </c>
      <c r="M1527">
        <f>IF($L1527="","",$F1527&amp;"|"&amp;RIGHT("000000"&amp;$L1527,6))</f>
        <v/>
      </c>
      <c r="N1527">
        <f>IF($F1527="","",IF(Sync!$AH1527="","0000",IF(AND(ISNUMBER(Sync!$AH1527),Sync!$AH1527&gt;=0,Sync!$AH1527&lt;1),RIGHT("00"&amp;HOUR(Sync!$AH1527),2)&amp;RIGHT("00"&amp;MINUTE(Sync!$AH1527),2),IFERROR(RIGHT("00"&amp;VALUE(LEFT(Sync!$AH1527,FIND(":",Sync!$AH1527)-1)),2)&amp;RIGHT("00"&amp;VALUE(MID(Sync!$AH1527,FIND(":",Sync!$AH1527)+1,2)),2),"0000"))))</f>
        <v/>
      </c>
    </row>
    <row r="1528">
      <c r="A1528">
        <f>IF(OR(Calc!$E1531="",Calc!$E1531="نامعتبر",Calc!$G1531="",Calc!$I1531&lt;&gt;"خرید"),"",Calc!$G1531)</f>
        <v/>
      </c>
      <c r="B1528">
        <f>IF($A1528="","",LEFT(Calc!$E1531,4)&amp;MID(Calc!$E1531,6,2)&amp;RIGHT(Calc!$E1531,2)&amp;Calc!$R1531&amp;"|"&amp;"1"&amp;RIGHT("00000"&amp;1523,5))</f>
        <v/>
      </c>
      <c r="C1528">
        <f>IF($B1528="","",COUNTIFS(LdgPartyA,$A1528,LdgKeyA,"&lt;"&amp;$B1528)+COUNTIFS(LdgPartyB,$A1528,LdgKeyB,"&lt;"&amp;$B1528)+1)</f>
        <v/>
      </c>
      <c r="D1528">
        <f>IF($C1528="","",$A1528&amp;"|"&amp;RIGHT("000000"&amp;$C1528,6))</f>
        <v/>
      </c>
      <c r="F1528">
        <f>IF(Sync!$AJ1528="","",Sync!$AJ1528)</f>
        <v/>
      </c>
      <c r="G1528">
        <f>IF($F1528="","",IF(Sync!$AG1528="","",IF(ISNUMBER(Sync!$AG1528),IF(AND(Sync!$AG1528&gt;=10000101,Sync!$AG1528&lt;=99991231),INT(Sync!$AG1528/10000),""),IFERROR(VALUE(TRIM(LEFT(Sync!$AG1528,FIND("/",Sync!$AG1528)-1))),""))))</f>
        <v/>
      </c>
      <c r="H1528">
        <f>IF(OR($F1528="",$G1528=""),"",IF(ISNUMBER(Sync!$AG1528),INT(MOD(Sync!$AG1528,10000)/100),IFERROR(VALUE(TRIM(LEFT(MID(Sync!$AG1528,FIND("/",Sync!$AG1528)+1,20),FIND("/",MID(Sync!$AG1528,FIND("/",Sync!$AG1528)+1,20))-1))),"")))</f>
        <v/>
      </c>
      <c r="I1528">
        <f>IF(OR($F1528="",$G1528=""),"",IF(ISNUMBER(Sync!$AG1528),MOD(Sync!$AG1528,100),IFERROR(VALUE(TRIM(MID(MID(Sync!$AG1528,FIND("/",Sync!$AG1528)+1,20),FIND("/",MID(Sync!$AG1528,FIND("/",Sync!$AG1528)+1,20))+1,20))),"")))</f>
        <v/>
      </c>
      <c r="J1528">
        <f>IF($F1528="","",IF(OR($G1528="",$H1528="",$I1528="",$G1528&lt;1300,$G1528&gt;1500,$H1528&lt;1,$H1528&gt;12,$I1528&lt;1,$I1528&gt;31),"نامعتبر",RIGHT("0000"&amp;$G1528,4)&amp;"/"&amp;RIGHT("00"&amp;$H1528,2)&amp;"/"&amp;RIGHT("00"&amp;$I1528,2)))</f>
        <v/>
      </c>
      <c r="K1528">
        <f>IF(OR($F1528="",$J1528="",$J1528="نامعتبر"),"",LEFT($J1528,4)&amp;MID($J1528,6,2)&amp;RIGHT($J1528,2)&amp;$N1528&amp;"|"&amp;"2"&amp;RIGHT("00000"&amp;1523,5))</f>
        <v/>
      </c>
      <c r="L1528">
        <f>IF($K1528="","",COUNTIFS(LdgPartyA,$F1528,LdgKeyA,"&lt;"&amp;$K1528)+COUNTIFS(LdgPartyB,$F1528,LdgKeyB,"&lt;"&amp;$K1528)+1)</f>
        <v/>
      </c>
      <c r="M1528">
        <f>IF($L1528="","",$F1528&amp;"|"&amp;RIGHT("000000"&amp;$L1528,6))</f>
        <v/>
      </c>
      <c r="N1528">
        <f>IF($F1528="","",IF(Sync!$AH1528="","0000",IF(AND(ISNUMBER(Sync!$AH1528),Sync!$AH1528&gt;=0,Sync!$AH1528&lt;1),RIGHT("00"&amp;HOUR(Sync!$AH1528),2)&amp;RIGHT("00"&amp;MINUTE(Sync!$AH1528),2),IFERROR(RIGHT("00"&amp;VALUE(LEFT(Sync!$AH1528,FIND(":",Sync!$AH1528)-1)),2)&amp;RIGHT("00"&amp;VALUE(MID(Sync!$AH1528,FIND(":",Sync!$AH1528)+1,2)),2),"0000"))))</f>
        <v/>
      </c>
    </row>
    <row r="1529">
      <c r="A1529">
        <f>IF(OR(Calc!$E1532="",Calc!$E1532="نامعتبر",Calc!$G1532="",Calc!$I1532&lt;&gt;"خرید"),"",Calc!$G1532)</f>
        <v/>
      </c>
      <c r="B1529">
        <f>IF($A1529="","",LEFT(Calc!$E1532,4)&amp;MID(Calc!$E1532,6,2)&amp;RIGHT(Calc!$E1532,2)&amp;Calc!$R1532&amp;"|"&amp;"1"&amp;RIGHT("00000"&amp;1524,5))</f>
        <v/>
      </c>
      <c r="C1529">
        <f>IF($B1529="","",COUNTIFS(LdgPartyA,$A1529,LdgKeyA,"&lt;"&amp;$B1529)+COUNTIFS(LdgPartyB,$A1529,LdgKeyB,"&lt;"&amp;$B1529)+1)</f>
        <v/>
      </c>
      <c r="D1529">
        <f>IF($C1529="","",$A1529&amp;"|"&amp;RIGHT("000000"&amp;$C1529,6))</f>
        <v/>
      </c>
      <c r="F1529">
        <f>IF(Sync!$AJ1529="","",Sync!$AJ1529)</f>
        <v/>
      </c>
      <c r="G1529">
        <f>IF($F1529="","",IF(Sync!$AG1529="","",IF(ISNUMBER(Sync!$AG1529),IF(AND(Sync!$AG1529&gt;=10000101,Sync!$AG1529&lt;=99991231),INT(Sync!$AG1529/10000),""),IFERROR(VALUE(TRIM(LEFT(Sync!$AG1529,FIND("/",Sync!$AG1529)-1))),""))))</f>
        <v/>
      </c>
      <c r="H1529">
        <f>IF(OR($F1529="",$G1529=""),"",IF(ISNUMBER(Sync!$AG1529),INT(MOD(Sync!$AG1529,10000)/100),IFERROR(VALUE(TRIM(LEFT(MID(Sync!$AG1529,FIND("/",Sync!$AG1529)+1,20),FIND("/",MID(Sync!$AG1529,FIND("/",Sync!$AG1529)+1,20))-1))),"")))</f>
        <v/>
      </c>
      <c r="I1529">
        <f>IF(OR($F1529="",$G1529=""),"",IF(ISNUMBER(Sync!$AG1529),MOD(Sync!$AG1529,100),IFERROR(VALUE(TRIM(MID(MID(Sync!$AG1529,FIND("/",Sync!$AG1529)+1,20),FIND("/",MID(Sync!$AG1529,FIND("/",Sync!$AG1529)+1,20))+1,20))),"")))</f>
        <v/>
      </c>
      <c r="J1529">
        <f>IF($F1529="","",IF(OR($G1529="",$H1529="",$I1529="",$G1529&lt;1300,$G1529&gt;1500,$H1529&lt;1,$H1529&gt;12,$I1529&lt;1,$I1529&gt;31),"نامعتبر",RIGHT("0000"&amp;$G1529,4)&amp;"/"&amp;RIGHT("00"&amp;$H1529,2)&amp;"/"&amp;RIGHT("00"&amp;$I1529,2)))</f>
        <v/>
      </c>
      <c r="K1529">
        <f>IF(OR($F1529="",$J1529="",$J1529="نامعتبر"),"",LEFT($J1529,4)&amp;MID($J1529,6,2)&amp;RIGHT($J1529,2)&amp;$N1529&amp;"|"&amp;"2"&amp;RIGHT("00000"&amp;1524,5))</f>
        <v/>
      </c>
      <c r="L1529">
        <f>IF($K1529="","",COUNTIFS(LdgPartyA,$F1529,LdgKeyA,"&lt;"&amp;$K1529)+COUNTIFS(LdgPartyB,$F1529,LdgKeyB,"&lt;"&amp;$K1529)+1)</f>
        <v/>
      </c>
      <c r="M1529">
        <f>IF($L1529="","",$F1529&amp;"|"&amp;RIGHT("000000"&amp;$L1529,6))</f>
        <v/>
      </c>
      <c r="N1529">
        <f>IF($F1529="","",IF(Sync!$AH1529="","0000",IF(AND(ISNUMBER(Sync!$AH1529),Sync!$AH1529&gt;=0,Sync!$AH1529&lt;1),RIGHT("00"&amp;HOUR(Sync!$AH1529),2)&amp;RIGHT("00"&amp;MINUTE(Sync!$AH1529),2),IFERROR(RIGHT("00"&amp;VALUE(LEFT(Sync!$AH1529,FIND(":",Sync!$AH1529)-1)),2)&amp;RIGHT("00"&amp;VALUE(MID(Sync!$AH1529,FIND(":",Sync!$AH1529)+1,2)),2),"0000"))))</f>
        <v/>
      </c>
    </row>
    <row r="1530">
      <c r="A1530">
        <f>IF(OR(Calc!$E1533="",Calc!$E1533="نامعتبر",Calc!$G1533="",Calc!$I1533&lt;&gt;"خرید"),"",Calc!$G1533)</f>
        <v/>
      </c>
      <c r="B1530">
        <f>IF($A1530="","",LEFT(Calc!$E1533,4)&amp;MID(Calc!$E1533,6,2)&amp;RIGHT(Calc!$E1533,2)&amp;Calc!$R1533&amp;"|"&amp;"1"&amp;RIGHT("00000"&amp;1525,5))</f>
        <v/>
      </c>
      <c r="C1530">
        <f>IF($B1530="","",COUNTIFS(LdgPartyA,$A1530,LdgKeyA,"&lt;"&amp;$B1530)+COUNTIFS(LdgPartyB,$A1530,LdgKeyB,"&lt;"&amp;$B1530)+1)</f>
        <v/>
      </c>
      <c r="D1530">
        <f>IF($C1530="","",$A1530&amp;"|"&amp;RIGHT("000000"&amp;$C1530,6))</f>
        <v/>
      </c>
      <c r="F1530">
        <f>IF(Sync!$AJ1530="","",Sync!$AJ1530)</f>
        <v/>
      </c>
      <c r="G1530">
        <f>IF($F1530="","",IF(Sync!$AG1530="","",IF(ISNUMBER(Sync!$AG1530),IF(AND(Sync!$AG1530&gt;=10000101,Sync!$AG1530&lt;=99991231),INT(Sync!$AG1530/10000),""),IFERROR(VALUE(TRIM(LEFT(Sync!$AG1530,FIND("/",Sync!$AG1530)-1))),""))))</f>
        <v/>
      </c>
      <c r="H1530">
        <f>IF(OR($F1530="",$G1530=""),"",IF(ISNUMBER(Sync!$AG1530),INT(MOD(Sync!$AG1530,10000)/100),IFERROR(VALUE(TRIM(LEFT(MID(Sync!$AG1530,FIND("/",Sync!$AG1530)+1,20),FIND("/",MID(Sync!$AG1530,FIND("/",Sync!$AG1530)+1,20))-1))),"")))</f>
        <v/>
      </c>
      <c r="I1530">
        <f>IF(OR($F1530="",$G1530=""),"",IF(ISNUMBER(Sync!$AG1530),MOD(Sync!$AG1530,100),IFERROR(VALUE(TRIM(MID(MID(Sync!$AG1530,FIND("/",Sync!$AG1530)+1,20),FIND("/",MID(Sync!$AG1530,FIND("/",Sync!$AG1530)+1,20))+1,20))),"")))</f>
        <v/>
      </c>
      <c r="J1530">
        <f>IF($F1530="","",IF(OR($G1530="",$H1530="",$I1530="",$G1530&lt;1300,$G1530&gt;1500,$H1530&lt;1,$H1530&gt;12,$I1530&lt;1,$I1530&gt;31),"نامعتبر",RIGHT("0000"&amp;$G1530,4)&amp;"/"&amp;RIGHT("00"&amp;$H1530,2)&amp;"/"&amp;RIGHT("00"&amp;$I1530,2)))</f>
        <v/>
      </c>
      <c r="K1530">
        <f>IF(OR($F1530="",$J1530="",$J1530="نامعتبر"),"",LEFT($J1530,4)&amp;MID($J1530,6,2)&amp;RIGHT($J1530,2)&amp;$N1530&amp;"|"&amp;"2"&amp;RIGHT("00000"&amp;1525,5))</f>
        <v/>
      </c>
      <c r="L1530">
        <f>IF($K1530="","",COUNTIFS(LdgPartyA,$F1530,LdgKeyA,"&lt;"&amp;$K1530)+COUNTIFS(LdgPartyB,$F1530,LdgKeyB,"&lt;"&amp;$K1530)+1)</f>
        <v/>
      </c>
      <c r="M1530">
        <f>IF($L1530="","",$F1530&amp;"|"&amp;RIGHT("000000"&amp;$L1530,6))</f>
        <v/>
      </c>
      <c r="N1530">
        <f>IF($F1530="","",IF(Sync!$AH1530="","0000",IF(AND(ISNUMBER(Sync!$AH1530),Sync!$AH1530&gt;=0,Sync!$AH1530&lt;1),RIGHT("00"&amp;HOUR(Sync!$AH1530),2)&amp;RIGHT("00"&amp;MINUTE(Sync!$AH1530),2),IFERROR(RIGHT("00"&amp;VALUE(LEFT(Sync!$AH1530,FIND(":",Sync!$AH1530)-1)),2)&amp;RIGHT("00"&amp;VALUE(MID(Sync!$AH1530,FIND(":",Sync!$AH1530)+1,2)),2),"0000"))))</f>
        <v/>
      </c>
    </row>
    <row r="1531">
      <c r="A1531">
        <f>IF(OR(Calc!$E1534="",Calc!$E1534="نامعتبر",Calc!$G1534="",Calc!$I1534&lt;&gt;"خرید"),"",Calc!$G1534)</f>
        <v/>
      </c>
      <c r="B1531">
        <f>IF($A1531="","",LEFT(Calc!$E1534,4)&amp;MID(Calc!$E1534,6,2)&amp;RIGHT(Calc!$E1534,2)&amp;Calc!$R1534&amp;"|"&amp;"1"&amp;RIGHT("00000"&amp;1526,5))</f>
        <v/>
      </c>
      <c r="C1531">
        <f>IF($B1531="","",COUNTIFS(LdgPartyA,$A1531,LdgKeyA,"&lt;"&amp;$B1531)+COUNTIFS(LdgPartyB,$A1531,LdgKeyB,"&lt;"&amp;$B1531)+1)</f>
        <v/>
      </c>
      <c r="D1531">
        <f>IF($C1531="","",$A1531&amp;"|"&amp;RIGHT("000000"&amp;$C1531,6))</f>
        <v/>
      </c>
      <c r="F1531">
        <f>IF(Sync!$AJ1531="","",Sync!$AJ1531)</f>
        <v/>
      </c>
      <c r="G1531">
        <f>IF($F1531="","",IF(Sync!$AG1531="","",IF(ISNUMBER(Sync!$AG1531),IF(AND(Sync!$AG1531&gt;=10000101,Sync!$AG1531&lt;=99991231),INT(Sync!$AG1531/10000),""),IFERROR(VALUE(TRIM(LEFT(Sync!$AG1531,FIND("/",Sync!$AG1531)-1))),""))))</f>
        <v/>
      </c>
      <c r="H1531">
        <f>IF(OR($F1531="",$G1531=""),"",IF(ISNUMBER(Sync!$AG1531),INT(MOD(Sync!$AG1531,10000)/100),IFERROR(VALUE(TRIM(LEFT(MID(Sync!$AG1531,FIND("/",Sync!$AG1531)+1,20),FIND("/",MID(Sync!$AG1531,FIND("/",Sync!$AG1531)+1,20))-1))),"")))</f>
        <v/>
      </c>
      <c r="I1531">
        <f>IF(OR($F1531="",$G1531=""),"",IF(ISNUMBER(Sync!$AG1531),MOD(Sync!$AG1531,100),IFERROR(VALUE(TRIM(MID(MID(Sync!$AG1531,FIND("/",Sync!$AG1531)+1,20),FIND("/",MID(Sync!$AG1531,FIND("/",Sync!$AG1531)+1,20))+1,20))),"")))</f>
        <v/>
      </c>
      <c r="J1531">
        <f>IF($F1531="","",IF(OR($G1531="",$H1531="",$I1531="",$G1531&lt;1300,$G1531&gt;1500,$H1531&lt;1,$H1531&gt;12,$I1531&lt;1,$I1531&gt;31),"نامعتبر",RIGHT("0000"&amp;$G1531,4)&amp;"/"&amp;RIGHT("00"&amp;$H1531,2)&amp;"/"&amp;RIGHT("00"&amp;$I1531,2)))</f>
        <v/>
      </c>
      <c r="K1531">
        <f>IF(OR($F1531="",$J1531="",$J1531="نامعتبر"),"",LEFT($J1531,4)&amp;MID($J1531,6,2)&amp;RIGHT($J1531,2)&amp;$N1531&amp;"|"&amp;"2"&amp;RIGHT("00000"&amp;1526,5))</f>
        <v/>
      </c>
      <c r="L1531">
        <f>IF($K1531="","",COUNTIFS(LdgPartyA,$F1531,LdgKeyA,"&lt;"&amp;$K1531)+COUNTIFS(LdgPartyB,$F1531,LdgKeyB,"&lt;"&amp;$K1531)+1)</f>
        <v/>
      </c>
      <c r="M1531">
        <f>IF($L1531="","",$F1531&amp;"|"&amp;RIGHT("000000"&amp;$L1531,6))</f>
        <v/>
      </c>
      <c r="N1531">
        <f>IF($F1531="","",IF(Sync!$AH1531="","0000",IF(AND(ISNUMBER(Sync!$AH1531),Sync!$AH1531&gt;=0,Sync!$AH1531&lt;1),RIGHT("00"&amp;HOUR(Sync!$AH1531),2)&amp;RIGHT("00"&amp;MINUTE(Sync!$AH1531),2),IFERROR(RIGHT("00"&amp;VALUE(LEFT(Sync!$AH1531,FIND(":",Sync!$AH1531)-1)),2)&amp;RIGHT("00"&amp;VALUE(MID(Sync!$AH1531,FIND(":",Sync!$AH1531)+1,2)),2),"0000"))))</f>
        <v/>
      </c>
    </row>
    <row r="1532">
      <c r="A1532">
        <f>IF(OR(Calc!$E1535="",Calc!$E1535="نامعتبر",Calc!$G1535="",Calc!$I1535&lt;&gt;"خرید"),"",Calc!$G1535)</f>
        <v/>
      </c>
      <c r="B1532">
        <f>IF($A1532="","",LEFT(Calc!$E1535,4)&amp;MID(Calc!$E1535,6,2)&amp;RIGHT(Calc!$E1535,2)&amp;Calc!$R1535&amp;"|"&amp;"1"&amp;RIGHT("00000"&amp;1527,5))</f>
        <v/>
      </c>
      <c r="C1532">
        <f>IF($B1532="","",COUNTIFS(LdgPartyA,$A1532,LdgKeyA,"&lt;"&amp;$B1532)+COUNTIFS(LdgPartyB,$A1532,LdgKeyB,"&lt;"&amp;$B1532)+1)</f>
        <v/>
      </c>
      <c r="D1532">
        <f>IF($C1532="","",$A1532&amp;"|"&amp;RIGHT("000000"&amp;$C1532,6))</f>
        <v/>
      </c>
      <c r="F1532">
        <f>IF(Sync!$AJ1532="","",Sync!$AJ1532)</f>
        <v/>
      </c>
      <c r="G1532">
        <f>IF($F1532="","",IF(Sync!$AG1532="","",IF(ISNUMBER(Sync!$AG1532),IF(AND(Sync!$AG1532&gt;=10000101,Sync!$AG1532&lt;=99991231),INT(Sync!$AG1532/10000),""),IFERROR(VALUE(TRIM(LEFT(Sync!$AG1532,FIND("/",Sync!$AG1532)-1))),""))))</f>
        <v/>
      </c>
      <c r="H1532">
        <f>IF(OR($F1532="",$G1532=""),"",IF(ISNUMBER(Sync!$AG1532),INT(MOD(Sync!$AG1532,10000)/100),IFERROR(VALUE(TRIM(LEFT(MID(Sync!$AG1532,FIND("/",Sync!$AG1532)+1,20),FIND("/",MID(Sync!$AG1532,FIND("/",Sync!$AG1532)+1,20))-1))),"")))</f>
        <v/>
      </c>
      <c r="I1532">
        <f>IF(OR($F1532="",$G1532=""),"",IF(ISNUMBER(Sync!$AG1532),MOD(Sync!$AG1532,100),IFERROR(VALUE(TRIM(MID(MID(Sync!$AG1532,FIND("/",Sync!$AG1532)+1,20),FIND("/",MID(Sync!$AG1532,FIND("/",Sync!$AG1532)+1,20))+1,20))),"")))</f>
        <v/>
      </c>
      <c r="J1532">
        <f>IF($F1532="","",IF(OR($G1532="",$H1532="",$I1532="",$G1532&lt;1300,$G1532&gt;1500,$H1532&lt;1,$H1532&gt;12,$I1532&lt;1,$I1532&gt;31),"نامعتبر",RIGHT("0000"&amp;$G1532,4)&amp;"/"&amp;RIGHT("00"&amp;$H1532,2)&amp;"/"&amp;RIGHT("00"&amp;$I1532,2)))</f>
        <v/>
      </c>
      <c r="K1532">
        <f>IF(OR($F1532="",$J1532="",$J1532="نامعتبر"),"",LEFT($J1532,4)&amp;MID($J1532,6,2)&amp;RIGHT($J1532,2)&amp;$N1532&amp;"|"&amp;"2"&amp;RIGHT("00000"&amp;1527,5))</f>
        <v/>
      </c>
      <c r="L1532">
        <f>IF($K1532="","",COUNTIFS(LdgPartyA,$F1532,LdgKeyA,"&lt;"&amp;$K1532)+COUNTIFS(LdgPartyB,$F1532,LdgKeyB,"&lt;"&amp;$K1532)+1)</f>
        <v/>
      </c>
      <c r="M1532">
        <f>IF($L1532="","",$F1532&amp;"|"&amp;RIGHT("000000"&amp;$L1532,6))</f>
        <v/>
      </c>
      <c r="N1532">
        <f>IF($F1532="","",IF(Sync!$AH1532="","0000",IF(AND(ISNUMBER(Sync!$AH1532),Sync!$AH1532&gt;=0,Sync!$AH1532&lt;1),RIGHT("00"&amp;HOUR(Sync!$AH1532),2)&amp;RIGHT("00"&amp;MINUTE(Sync!$AH1532),2),IFERROR(RIGHT("00"&amp;VALUE(LEFT(Sync!$AH1532,FIND(":",Sync!$AH1532)-1)),2)&amp;RIGHT("00"&amp;VALUE(MID(Sync!$AH1532,FIND(":",Sync!$AH1532)+1,2)),2),"0000"))))</f>
        <v/>
      </c>
    </row>
    <row r="1533">
      <c r="A1533">
        <f>IF(OR(Calc!$E1536="",Calc!$E1536="نامعتبر",Calc!$G1536="",Calc!$I1536&lt;&gt;"خرید"),"",Calc!$G1536)</f>
        <v/>
      </c>
      <c r="B1533">
        <f>IF($A1533="","",LEFT(Calc!$E1536,4)&amp;MID(Calc!$E1536,6,2)&amp;RIGHT(Calc!$E1536,2)&amp;Calc!$R1536&amp;"|"&amp;"1"&amp;RIGHT("00000"&amp;1528,5))</f>
        <v/>
      </c>
      <c r="C1533">
        <f>IF($B1533="","",COUNTIFS(LdgPartyA,$A1533,LdgKeyA,"&lt;"&amp;$B1533)+COUNTIFS(LdgPartyB,$A1533,LdgKeyB,"&lt;"&amp;$B1533)+1)</f>
        <v/>
      </c>
      <c r="D1533">
        <f>IF($C1533="","",$A1533&amp;"|"&amp;RIGHT("000000"&amp;$C1533,6))</f>
        <v/>
      </c>
      <c r="F1533">
        <f>IF(Sync!$AJ1533="","",Sync!$AJ1533)</f>
        <v/>
      </c>
      <c r="G1533">
        <f>IF($F1533="","",IF(Sync!$AG1533="","",IF(ISNUMBER(Sync!$AG1533),IF(AND(Sync!$AG1533&gt;=10000101,Sync!$AG1533&lt;=99991231),INT(Sync!$AG1533/10000),""),IFERROR(VALUE(TRIM(LEFT(Sync!$AG1533,FIND("/",Sync!$AG1533)-1))),""))))</f>
        <v/>
      </c>
      <c r="H1533">
        <f>IF(OR($F1533="",$G1533=""),"",IF(ISNUMBER(Sync!$AG1533),INT(MOD(Sync!$AG1533,10000)/100),IFERROR(VALUE(TRIM(LEFT(MID(Sync!$AG1533,FIND("/",Sync!$AG1533)+1,20),FIND("/",MID(Sync!$AG1533,FIND("/",Sync!$AG1533)+1,20))-1))),"")))</f>
        <v/>
      </c>
      <c r="I1533">
        <f>IF(OR($F1533="",$G1533=""),"",IF(ISNUMBER(Sync!$AG1533),MOD(Sync!$AG1533,100),IFERROR(VALUE(TRIM(MID(MID(Sync!$AG1533,FIND("/",Sync!$AG1533)+1,20),FIND("/",MID(Sync!$AG1533,FIND("/",Sync!$AG1533)+1,20))+1,20))),"")))</f>
        <v/>
      </c>
      <c r="J1533">
        <f>IF($F1533="","",IF(OR($G1533="",$H1533="",$I1533="",$G1533&lt;1300,$G1533&gt;1500,$H1533&lt;1,$H1533&gt;12,$I1533&lt;1,$I1533&gt;31),"نامعتبر",RIGHT("0000"&amp;$G1533,4)&amp;"/"&amp;RIGHT("00"&amp;$H1533,2)&amp;"/"&amp;RIGHT("00"&amp;$I1533,2)))</f>
        <v/>
      </c>
      <c r="K1533">
        <f>IF(OR($F1533="",$J1533="",$J1533="نامعتبر"),"",LEFT($J1533,4)&amp;MID($J1533,6,2)&amp;RIGHT($J1533,2)&amp;$N1533&amp;"|"&amp;"2"&amp;RIGHT("00000"&amp;1528,5))</f>
        <v/>
      </c>
      <c r="L1533">
        <f>IF($K1533="","",COUNTIFS(LdgPartyA,$F1533,LdgKeyA,"&lt;"&amp;$K1533)+COUNTIFS(LdgPartyB,$F1533,LdgKeyB,"&lt;"&amp;$K1533)+1)</f>
        <v/>
      </c>
      <c r="M1533">
        <f>IF($L1533="","",$F1533&amp;"|"&amp;RIGHT("000000"&amp;$L1533,6))</f>
        <v/>
      </c>
      <c r="N1533">
        <f>IF($F1533="","",IF(Sync!$AH1533="","0000",IF(AND(ISNUMBER(Sync!$AH1533),Sync!$AH1533&gt;=0,Sync!$AH1533&lt;1),RIGHT("00"&amp;HOUR(Sync!$AH1533),2)&amp;RIGHT("00"&amp;MINUTE(Sync!$AH1533),2),IFERROR(RIGHT("00"&amp;VALUE(LEFT(Sync!$AH1533,FIND(":",Sync!$AH1533)-1)),2)&amp;RIGHT("00"&amp;VALUE(MID(Sync!$AH1533,FIND(":",Sync!$AH1533)+1,2)),2),"0000"))))</f>
        <v/>
      </c>
    </row>
    <row r="1534">
      <c r="A1534">
        <f>IF(OR(Calc!$E1537="",Calc!$E1537="نامعتبر",Calc!$G1537="",Calc!$I1537&lt;&gt;"خرید"),"",Calc!$G1537)</f>
        <v/>
      </c>
      <c r="B1534">
        <f>IF($A1534="","",LEFT(Calc!$E1537,4)&amp;MID(Calc!$E1537,6,2)&amp;RIGHT(Calc!$E1537,2)&amp;Calc!$R1537&amp;"|"&amp;"1"&amp;RIGHT("00000"&amp;1529,5))</f>
        <v/>
      </c>
      <c r="C1534">
        <f>IF($B1534="","",COUNTIFS(LdgPartyA,$A1534,LdgKeyA,"&lt;"&amp;$B1534)+COUNTIFS(LdgPartyB,$A1534,LdgKeyB,"&lt;"&amp;$B1534)+1)</f>
        <v/>
      </c>
      <c r="D1534">
        <f>IF($C1534="","",$A1534&amp;"|"&amp;RIGHT("000000"&amp;$C1534,6))</f>
        <v/>
      </c>
      <c r="F1534">
        <f>IF(Sync!$AJ1534="","",Sync!$AJ1534)</f>
        <v/>
      </c>
      <c r="G1534">
        <f>IF($F1534="","",IF(Sync!$AG1534="","",IF(ISNUMBER(Sync!$AG1534),IF(AND(Sync!$AG1534&gt;=10000101,Sync!$AG1534&lt;=99991231),INT(Sync!$AG1534/10000),""),IFERROR(VALUE(TRIM(LEFT(Sync!$AG1534,FIND("/",Sync!$AG1534)-1))),""))))</f>
        <v/>
      </c>
      <c r="H1534">
        <f>IF(OR($F1534="",$G1534=""),"",IF(ISNUMBER(Sync!$AG1534),INT(MOD(Sync!$AG1534,10000)/100),IFERROR(VALUE(TRIM(LEFT(MID(Sync!$AG1534,FIND("/",Sync!$AG1534)+1,20),FIND("/",MID(Sync!$AG1534,FIND("/",Sync!$AG1534)+1,20))-1))),"")))</f>
        <v/>
      </c>
      <c r="I1534">
        <f>IF(OR($F1534="",$G1534=""),"",IF(ISNUMBER(Sync!$AG1534),MOD(Sync!$AG1534,100),IFERROR(VALUE(TRIM(MID(MID(Sync!$AG1534,FIND("/",Sync!$AG1534)+1,20),FIND("/",MID(Sync!$AG1534,FIND("/",Sync!$AG1534)+1,20))+1,20))),"")))</f>
        <v/>
      </c>
      <c r="J1534">
        <f>IF($F1534="","",IF(OR($G1534="",$H1534="",$I1534="",$G1534&lt;1300,$G1534&gt;1500,$H1534&lt;1,$H1534&gt;12,$I1534&lt;1,$I1534&gt;31),"نامعتبر",RIGHT("0000"&amp;$G1534,4)&amp;"/"&amp;RIGHT("00"&amp;$H1534,2)&amp;"/"&amp;RIGHT("00"&amp;$I1534,2)))</f>
        <v/>
      </c>
      <c r="K1534">
        <f>IF(OR($F1534="",$J1534="",$J1534="نامعتبر"),"",LEFT($J1534,4)&amp;MID($J1534,6,2)&amp;RIGHT($J1534,2)&amp;$N1534&amp;"|"&amp;"2"&amp;RIGHT("00000"&amp;1529,5))</f>
        <v/>
      </c>
      <c r="L1534">
        <f>IF($K1534="","",COUNTIFS(LdgPartyA,$F1534,LdgKeyA,"&lt;"&amp;$K1534)+COUNTIFS(LdgPartyB,$F1534,LdgKeyB,"&lt;"&amp;$K1534)+1)</f>
        <v/>
      </c>
      <c r="M1534">
        <f>IF($L1534="","",$F1534&amp;"|"&amp;RIGHT("000000"&amp;$L1534,6))</f>
        <v/>
      </c>
      <c r="N1534">
        <f>IF($F1534="","",IF(Sync!$AH1534="","0000",IF(AND(ISNUMBER(Sync!$AH1534),Sync!$AH1534&gt;=0,Sync!$AH1534&lt;1),RIGHT("00"&amp;HOUR(Sync!$AH1534),2)&amp;RIGHT("00"&amp;MINUTE(Sync!$AH1534),2),IFERROR(RIGHT("00"&amp;VALUE(LEFT(Sync!$AH1534,FIND(":",Sync!$AH1534)-1)),2)&amp;RIGHT("00"&amp;VALUE(MID(Sync!$AH1534,FIND(":",Sync!$AH1534)+1,2)),2),"0000"))))</f>
        <v/>
      </c>
    </row>
    <row r="1535">
      <c r="A1535">
        <f>IF(OR(Calc!$E1538="",Calc!$E1538="نامعتبر",Calc!$G1538="",Calc!$I1538&lt;&gt;"خرید"),"",Calc!$G1538)</f>
        <v/>
      </c>
      <c r="B1535">
        <f>IF($A1535="","",LEFT(Calc!$E1538,4)&amp;MID(Calc!$E1538,6,2)&amp;RIGHT(Calc!$E1538,2)&amp;Calc!$R1538&amp;"|"&amp;"1"&amp;RIGHT("00000"&amp;1530,5))</f>
        <v/>
      </c>
      <c r="C1535">
        <f>IF($B1535="","",COUNTIFS(LdgPartyA,$A1535,LdgKeyA,"&lt;"&amp;$B1535)+COUNTIFS(LdgPartyB,$A1535,LdgKeyB,"&lt;"&amp;$B1535)+1)</f>
        <v/>
      </c>
      <c r="D1535">
        <f>IF($C1535="","",$A1535&amp;"|"&amp;RIGHT("000000"&amp;$C1535,6))</f>
        <v/>
      </c>
      <c r="F1535">
        <f>IF(Sync!$AJ1535="","",Sync!$AJ1535)</f>
        <v/>
      </c>
      <c r="G1535">
        <f>IF($F1535="","",IF(Sync!$AG1535="","",IF(ISNUMBER(Sync!$AG1535),IF(AND(Sync!$AG1535&gt;=10000101,Sync!$AG1535&lt;=99991231),INT(Sync!$AG1535/10000),""),IFERROR(VALUE(TRIM(LEFT(Sync!$AG1535,FIND("/",Sync!$AG1535)-1))),""))))</f>
        <v/>
      </c>
      <c r="H1535">
        <f>IF(OR($F1535="",$G1535=""),"",IF(ISNUMBER(Sync!$AG1535),INT(MOD(Sync!$AG1535,10000)/100),IFERROR(VALUE(TRIM(LEFT(MID(Sync!$AG1535,FIND("/",Sync!$AG1535)+1,20),FIND("/",MID(Sync!$AG1535,FIND("/",Sync!$AG1535)+1,20))-1))),"")))</f>
        <v/>
      </c>
      <c r="I1535">
        <f>IF(OR($F1535="",$G1535=""),"",IF(ISNUMBER(Sync!$AG1535),MOD(Sync!$AG1535,100),IFERROR(VALUE(TRIM(MID(MID(Sync!$AG1535,FIND("/",Sync!$AG1535)+1,20),FIND("/",MID(Sync!$AG1535,FIND("/",Sync!$AG1535)+1,20))+1,20))),"")))</f>
        <v/>
      </c>
      <c r="J1535">
        <f>IF($F1535="","",IF(OR($G1535="",$H1535="",$I1535="",$G1535&lt;1300,$G1535&gt;1500,$H1535&lt;1,$H1535&gt;12,$I1535&lt;1,$I1535&gt;31),"نامعتبر",RIGHT("0000"&amp;$G1535,4)&amp;"/"&amp;RIGHT("00"&amp;$H1535,2)&amp;"/"&amp;RIGHT("00"&amp;$I1535,2)))</f>
        <v/>
      </c>
      <c r="K1535">
        <f>IF(OR($F1535="",$J1535="",$J1535="نامعتبر"),"",LEFT($J1535,4)&amp;MID($J1535,6,2)&amp;RIGHT($J1535,2)&amp;$N1535&amp;"|"&amp;"2"&amp;RIGHT("00000"&amp;1530,5))</f>
        <v/>
      </c>
      <c r="L1535">
        <f>IF($K1535="","",COUNTIFS(LdgPartyA,$F1535,LdgKeyA,"&lt;"&amp;$K1535)+COUNTIFS(LdgPartyB,$F1535,LdgKeyB,"&lt;"&amp;$K1535)+1)</f>
        <v/>
      </c>
      <c r="M1535">
        <f>IF($L1535="","",$F1535&amp;"|"&amp;RIGHT("000000"&amp;$L1535,6))</f>
        <v/>
      </c>
      <c r="N1535">
        <f>IF($F1535="","",IF(Sync!$AH1535="","0000",IF(AND(ISNUMBER(Sync!$AH1535),Sync!$AH1535&gt;=0,Sync!$AH1535&lt;1),RIGHT("00"&amp;HOUR(Sync!$AH1535),2)&amp;RIGHT("00"&amp;MINUTE(Sync!$AH1535),2),IFERROR(RIGHT("00"&amp;VALUE(LEFT(Sync!$AH1535,FIND(":",Sync!$AH1535)-1)),2)&amp;RIGHT("00"&amp;VALUE(MID(Sync!$AH1535,FIND(":",Sync!$AH1535)+1,2)),2),"0000"))))</f>
        <v/>
      </c>
    </row>
    <row r="1536">
      <c r="A1536">
        <f>IF(OR(Calc!$E1539="",Calc!$E1539="نامعتبر",Calc!$G1539="",Calc!$I1539&lt;&gt;"خرید"),"",Calc!$G1539)</f>
        <v/>
      </c>
      <c r="B1536">
        <f>IF($A1536="","",LEFT(Calc!$E1539,4)&amp;MID(Calc!$E1539,6,2)&amp;RIGHT(Calc!$E1539,2)&amp;Calc!$R1539&amp;"|"&amp;"1"&amp;RIGHT("00000"&amp;1531,5))</f>
        <v/>
      </c>
      <c r="C1536">
        <f>IF($B1536="","",COUNTIFS(LdgPartyA,$A1536,LdgKeyA,"&lt;"&amp;$B1536)+COUNTIFS(LdgPartyB,$A1536,LdgKeyB,"&lt;"&amp;$B1536)+1)</f>
        <v/>
      </c>
      <c r="D1536">
        <f>IF($C1536="","",$A1536&amp;"|"&amp;RIGHT("000000"&amp;$C1536,6))</f>
        <v/>
      </c>
      <c r="F1536">
        <f>IF(Sync!$AJ1536="","",Sync!$AJ1536)</f>
        <v/>
      </c>
      <c r="G1536">
        <f>IF($F1536="","",IF(Sync!$AG1536="","",IF(ISNUMBER(Sync!$AG1536),IF(AND(Sync!$AG1536&gt;=10000101,Sync!$AG1536&lt;=99991231),INT(Sync!$AG1536/10000),""),IFERROR(VALUE(TRIM(LEFT(Sync!$AG1536,FIND("/",Sync!$AG1536)-1))),""))))</f>
        <v/>
      </c>
      <c r="H1536">
        <f>IF(OR($F1536="",$G1536=""),"",IF(ISNUMBER(Sync!$AG1536),INT(MOD(Sync!$AG1536,10000)/100),IFERROR(VALUE(TRIM(LEFT(MID(Sync!$AG1536,FIND("/",Sync!$AG1536)+1,20),FIND("/",MID(Sync!$AG1536,FIND("/",Sync!$AG1536)+1,20))-1))),"")))</f>
        <v/>
      </c>
      <c r="I1536">
        <f>IF(OR($F1536="",$G1536=""),"",IF(ISNUMBER(Sync!$AG1536),MOD(Sync!$AG1536,100),IFERROR(VALUE(TRIM(MID(MID(Sync!$AG1536,FIND("/",Sync!$AG1536)+1,20),FIND("/",MID(Sync!$AG1536,FIND("/",Sync!$AG1536)+1,20))+1,20))),"")))</f>
        <v/>
      </c>
      <c r="J1536">
        <f>IF($F1536="","",IF(OR($G1536="",$H1536="",$I1536="",$G1536&lt;1300,$G1536&gt;1500,$H1536&lt;1,$H1536&gt;12,$I1536&lt;1,$I1536&gt;31),"نامعتبر",RIGHT("0000"&amp;$G1536,4)&amp;"/"&amp;RIGHT("00"&amp;$H1536,2)&amp;"/"&amp;RIGHT("00"&amp;$I1536,2)))</f>
        <v/>
      </c>
      <c r="K1536">
        <f>IF(OR($F1536="",$J1536="",$J1536="نامعتبر"),"",LEFT($J1536,4)&amp;MID($J1536,6,2)&amp;RIGHT($J1536,2)&amp;$N1536&amp;"|"&amp;"2"&amp;RIGHT("00000"&amp;1531,5))</f>
        <v/>
      </c>
      <c r="L1536">
        <f>IF($K1536="","",COUNTIFS(LdgPartyA,$F1536,LdgKeyA,"&lt;"&amp;$K1536)+COUNTIFS(LdgPartyB,$F1536,LdgKeyB,"&lt;"&amp;$K1536)+1)</f>
        <v/>
      </c>
      <c r="M1536">
        <f>IF($L1536="","",$F1536&amp;"|"&amp;RIGHT("000000"&amp;$L1536,6))</f>
        <v/>
      </c>
      <c r="N1536">
        <f>IF($F1536="","",IF(Sync!$AH1536="","0000",IF(AND(ISNUMBER(Sync!$AH1536),Sync!$AH1536&gt;=0,Sync!$AH1536&lt;1),RIGHT("00"&amp;HOUR(Sync!$AH1536),2)&amp;RIGHT("00"&amp;MINUTE(Sync!$AH1536),2),IFERROR(RIGHT("00"&amp;VALUE(LEFT(Sync!$AH1536,FIND(":",Sync!$AH1536)-1)),2)&amp;RIGHT("00"&amp;VALUE(MID(Sync!$AH1536,FIND(":",Sync!$AH1536)+1,2)),2),"0000"))))</f>
        <v/>
      </c>
    </row>
    <row r="1537">
      <c r="A1537">
        <f>IF(OR(Calc!$E1540="",Calc!$E1540="نامعتبر",Calc!$G1540="",Calc!$I1540&lt;&gt;"خرید"),"",Calc!$G1540)</f>
        <v/>
      </c>
      <c r="B1537">
        <f>IF($A1537="","",LEFT(Calc!$E1540,4)&amp;MID(Calc!$E1540,6,2)&amp;RIGHT(Calc!$E1540,2)&amp;Calc!$R1540&amp;"|"&amp;"1"&amp;RIGHT("00000"&amp;1532,5))</f>
        <v/>
      </c>
      <c r="C1537">
        <f>IF($B1537="","",COUNTIFS(LdgPartyA,$A1537,LdgKeyA,"&lt;"&amp;$B1537)+COUNTIFS(LdgPartyB,$A1537,LdgKeyB,"&lt;"&amp;$B1537)+1)</f>
        <v/>
      </c>
      <c r="D1537">
        <f>IF($C1537="","",$A1537&amp;"|"&amp;RIGHT("000000"&amp;$C1537,6))</f>
        <v/>
      </c>
      <c r="F1537">
        <f>IF(Sync!$AJ1537="","",Sync!$AJ1537)</f>
        <v/>
      </c>
      <c r="G1537">
        <f>IF($F1537="","",IF(Sync!$AG1537="","",IF(ISNUMBER(Sync!$AG1537),IF(AND(Sync!$AG1537&gt;=10000101,Sync!$AG1537&lt;=99991231),INT(Sync!$AG1537/10000),""),IFERROR(VALUE(TRIM(LEFT(Sync!$AG1537,FIND("/",Sync!$AG1537)-1))),""))))</f>
        <v/>
      </c>
      <c r="H1537">
        <f>IF(OR($F1537="",$G1537=""),"",IF(ISNUMBER(Sync!$AG1537),INT(MOD(Sync!$AG1537,10000)/100),IFERROR(VALUE(TRIM(LEFT(MID(Sync!$AG1537,FIND("/",Sync!$AG1537)+1,20),FIND("/",MID(Sync!$AG1537,FIND("/",Sync!$AG1537)+1,20))-1))),"")))</f>
        <v/>
      </c>
      <c r="I1537">
        <f>IF(OR($F1537="",$G1537=""),"",IF(ISNUMBER(Sync!$AG1537),MOD(Sync!$AG1537,100),IFERROR(VALUE(TRIM(MID(MID(Sync!$AG1537,FIND("/",Sync!$AG1537)+1,20),FIND("/",MID(Sync!$AG1537,FIND("/",Sync!$AG1537)+1,20))+1,20))),"")))</f>
        <v/>
      </c>
      <c r="J1537">
        <f>IF($F1537="","",IF(OR($G1537="",$H1537="",$I1537="",$G1537&lt;1300,$G1537&gt;1500,$H1537&lt;1,$H1537&gt;12,$I1537&lt;1,$I1537&gt;31),"نامعتبر",RIGHT("0000"&amp;$G1537,4)&amp;"/"&amp;RIGHT("00"&amp;$H1537,2)&amp;"/"&amp;RIGHT("00"&amp;$I1537,2)))</f>
        <v/>
      </c>
      <c r="K1537">
        <f>IF(OR($F1537="",$J1537="",$J1537="نامعتبر"),"",LEFT($J1537,4)&amp;MID($J1537,6,2)&amp;RIGHT($J1537,2)&amp;$N1537&amp;"|"&amp;"2"&amp;RIGHT("00000"&amp;1532,5))</f>
        <v/>
      </c>
      <c r="L1537">
        <f>IF($K1537="","",COUNTIFS(LdgPartyA,$F1537,LdgKeyA,"&lt;"&amp;$K1537)+COUNTIFS(LdgPartyB,$F1537,LdgKeyB,"&lt;"&amp;$K1537)+1)</f>
        <v/>
      </c>
      <c r="M1537">
        <f>IF($L1537="","",$F1537&amp;"|"&amp;RIGHT("000000"&amp;$L1537,6))</f>
        <v/>
      </c>
      <c r="N1537">
        <f>IF($F1537="","",IF(Sync!$AH1537="","0000",IF(AND(ISNUMBER(Sync!$AH1537),Sync!$AH1537&gt;=0,Sync!$AH1537&lt;1),RIGHT("00"&amp;HOUR(Sync!$AH1537),2)&amp;RIGHT("00"&amp;MINUTE(Sync!$AH1537),2),IFERROR(RIGHT("00"&amp;VALUE(LEFT(Sync!$AH1537,FIND(":",Sync!$AH1537)-1)),2)&amp;RIGHT("00"&amp;VALUE(MID(Sync!$AH1537,FIND(":",Sync!$AH1537)+1,2)),2),"0000"))))</f>
        <v/>
      </c>
    </row>
    <row r="1538">
      <c r="A1538">
        <f>IF(OR(Calc!$E1541="",Calc!$E1541="نامعتبر",Calc!$G1541="",Calc!$I1541&lt;&gt;"خرید"),"",Calc!$G1541)</f>
        <v/>
      </c>
      <c r="B1538">
        <f>IF($A1538="","",LEFT(Calc!$E1541,4)&amp;MID(Calc!$E1541,6,2)&amp;RIGHT(Calc!$E1541,2)&amp;Calc!$R1541&amp;"|"&amp;"1"&amp;RIGHT("00000"&amp;1533,5))</f>
        <v/>
      </c>
      <c r="C1538">
        <f>IF($B1538="","",COUNTIFS(LdgPartyA,$A1538,LdgKeyA,"&lt;"&amp;$B1538)+COUNTIFS(LdgPartyB,$A1538,LdgKeyB,"&lt;"&amp;$B1538)+1)</f>
        <v/>
      </c>
      <c r="D1538">
        <f>IF($C1538="","",$A1538&amp;"|"&amp;RIGHT("000000"&amp;$C1538,6))</f>
        <v/>
      </c>
      <c r="F1538">
        <f>IF(Sync!$AJ1538="","",Sync!$AJ1538)</f>
        <v/>
      </c>
      <c r="G1538">
        <f>IF($F1538="","",IF(Sync!$AG1538="","",IF(ISNUMBER(Sync!$AG1538),IF(AND(Sync!$AG1538&gt;=10000101,Sync!$AG1538&lt;=99991231),INT(Sync!$AG1538/10000),""),IFERROR(VALUE(TRIM(LEFT(Sync!$AG1538,FIND("/",Sync!$AG1538)-1))),""))))</f>
        <v/>
      </c>
      <c r="H1538">
        <f>IF(OR($F1538="",$G1538=""),"",IF(ISNUMBER(Sync!$AG1538),INT(MOD(Sync!$AG1538,10000)/100),IFERROR(VALUE(TRIM(LEFT(MID(Sync!$AG1538,FIND("/",Sync!$AG1538)+1,20),FIND("/",MID(Sync!$AG1538,FIND("/",Sync!$AG1538)+1,20))-1))),"")))</f>
        <v/>
      </c>
      <c r="I1538">
        <f>IF(OR($F1538="",$G1538=""),"",IF(ISNUMBER(Sync!$AG1538),MOD(Sync!$AG1538,100),IFERROR(VALUE(TRIM(MID(MID(Sync!$AG1538,FIND("/",Sync!$AG1538)+1,20),FIND("/",MID(Sync!$AG1538,FIND("/",Sync!$AG1538)+1,20))+1,20))),"")))</f>
        <v/>
      </c>
      <c r="J1538">
        <f>IF($F1538="","",IF(OR($G1538="",$H1538="",$I1538="",$G1538&lt;1300,$G1538&gt;1500,$H1538&lt;1,$H1538&gt;12,$I1538&lt;1,$I1538&gt;31),"نامعتبر",RIGHT("0000"&amp;$G1538,4)&amp;"/"&amp;RIGHT("00"&amp;$H1538,2)&amp;"/"&amp;RIGHT("00"&amp;$I1538,2)))</f>
        <v/>
      </c>
      <c r="K1538">
        <f>IF(OR($F1538="",$J1538="",$J1538="نامعتبر"),"",LEFT($J1538,4)&amp;MID($J1538,6,2)&amp;RIGHT($J1538,2)&amp;$N1538&amp;"|"&amp;"2"&amp;RIGHT("00000"&amp;1533,5))</f>
        <v/>
      </c>
      <c r="L1538">
        <f>IF($K1538="","",COUNTIFS(LdgPartyA,$F1538,LdgKeyA,"&lt;"&amp;$K1538)+COUNTIFS(LdgPartyB,$F1538,LdgKeyB,"&lt;"&amp;$K1538)+1)</f>
        <v/>
      </c>
      <c r="M1538">
        <f>IF($L1538="","",$F1538&amp;"|"&amp;RIGHT("000000"&amp;$L1538,6))</f>
        <v/>
      </c>
      <c r="N1538">
        <f>IF($F1538="","",IF(Sync!$AH1538="","0000",IF(AND(ISNUMBER(Sync!$AH1538),Sync!$AH1538&gt;=0,Sync!$AH1538&lt;1),RIGHT("00"&amp;HOUR(Sync!$AH1538),2)&amp;RIGHT("00"&amp;MINUTE(Sync!$AH1538),2),IFERROR(RIGHT("00"&amp;VALUE(LEFT(Sync!$AH1538,FIND(":",Sync!$AH1538)-1)),2)&amp;RIGHT("00"&amp;VALUE(MID(Sync!$AH1538,FIND(":",Sync!$AH1538)+1,2)),2),"0000"))))</f>
        <v/>
      </c>
    </row>
    <row r="1539">
      <c r="A1539">
        <f>IF(OR(Calc!$E1542="",Calc!$E1542="نامعتبر",Calc!$G1542="",Calc!$I1542&lt;&gt;"خرید"),"",Calc!$G1542)</f>
        <v/>
      </c>
      <c r="B1539">
        <f>IF($A1539="","",LEFT(Calc!$E1542,4)&amp;MID(Calc!$E1542,6,2)&amp;RIGHT(Calc!$E1542,2)&amp;Calc!$R1542&amp;"|"&amp;"1"&amp;RIGHT("00000"&amp;1534,5))</f>
        <v/>
      </c>
      <c r="C1539">
        <f>IF($B1539="","",COUNTIFS(LdgPartyA,$A1539,LdgKeyA,"&lt;"&amp;$B1539)+COUNTIFS(LdgPartyB,$A1539,LdgKeyB,"&lt;"&amp;$B1539)+1)</f>
        <v/>
      </c>
      <c r="D1539">
        <f>IF($C1539="","",$A1539&amp;"|"&amp;RIGHT("000000"&amp;$C1539,6))</f>
        <v/>
      </c>
      <c r="F1539">
        <f>IF(Sync!$AJ1539="","",Sync!$AJ1539)</f>
        <v/>
      </c>
      <c r="G1539">
        <f>IF($F1539="","",IF(Sync!$AG1539="","",IF(ISNUMBER(Sync!$AG1539),IF(AND(Sync!$AG1539&gt;=10000101,Sync!$AG1539&lt;=99991231),INT(Sync!$AG1539/10000),""),IFERROR(VALUE(TRIM(LEFT(Sync!$AG1539,FIND("/",Sync!$AG1539)-1))),""))))</f>
        <v/>
      </c>
      <c r="H1539">
        <f>IF(OR($F1539="",$G1539=""),"",IF(ISNUMBER(Sync!$AG1539),INT(MOD(Sync!$AG1539,10000)/100),IFERROR(VALUE(TRIM(LEFT(MID(Sync!$AG1539,FIND("/",Sync!$AG1539)+1,20),FIND("/",MID(Sync!$AG1539,FIND("/",Sync!$AG1539)+1,20))-1))),"")))</f>
        <v/>
      </c>
      <c r="I1539">
        <f>IF(OR($F1539="",$G1539=""),"",IF(ISNUMBER(Sync!$AG1539),MOD(Sync!$AG1539,100),IFERROR(VALUE(TRIM(MID(MID(Sync!$AG1539,FIND("/",Sync!$AG1539)+1,20),FIND("/",MID(Sync!$AG1539,FIND("/",Sync!$AG1539)+1,20))+1,20))),"")))</f>
        <v/>
      </c>
      <c r="J1539">
        <f>IF($F1539="","",IF(OR($G1539="",$H1539="",$I1539="",$G1539&lt;1300,$G1539&gt;1500,$H1539&lt;1,$H1539&gt;12,$I1539&lt;1,$I1539&gt;31),"نامعتبر",RIGHT("0000"&amp;$G1539,4)&amp;"/"&amp;RIGHT("00"&amp;$H1539,2)&amp;"/"&amp;RIGHT("00"&amp;$I1539,2)))</f>
        <v/>
      </c>
      <c r="K1539">
        <f>IF(OR($F1539="",$J1539="",$J1539="نامعتبر"),"",LEFT($J1539,4)&amp;MID($J1539,6,2)&amp;RIGHT($J1539,2)&amp;$N1539&amp;"|"&amp;"2"&amp;RIGHT("00000"&amp;1534,5))</f>
        <v/>
      </c>
      <c r="L1539">
        <f>IF($K1539="","",COUNTIFS(LdgPartyA,$F1539,LdgKeyA,"&lt;"&amp;$K1539)+COUNTIFS(LdgPartyB,$F1539,LdgKeyB,"&lt;"&amp;$K1539)+1)</f>
        <v/>
      </c>
      <c r="M1539">
        <f>IF($L1539="","",$F1539&amp;"|"&amp;RIGHT("000000"&amp;$L1539,6))</f>
        <v/>
      </c>
      <c r="N1539">
        <f>IF($F1539="","",IF(Sync!$AH1539="","0000",IF(AND(ISNUMBER(Sync!$AH1539),Sync!$AH1539&gt;=0,Sync!$AH1539&lt;1),RIGHT("00"&amp;HOUR(Sync!$AH1539),2)&amp;RIGHT("00"&amp;MINUTE(Sync!$AH1539),2),IFERROR(RIGHT("00"&amp;VALUE(LEFT(Sync!$AH1539,FIND(":",Sync!$AH1539)-1)),2)&amp;RIGHT("00"&amp;VALUE(MID(Sync!$AH1539,FIND(":",Sync!$AH1539)+1,2)),2),"0000"))))</f>
        <v/>
      </c>
    </row>
    <row r="1540">
      <c r="A1540">
        <f>IF(OR(Calc!$E1543="",Calc!$E1543="نامعتبر",Calc!$G1543="",Calc!$I1543&lt;&gt;"خرید"),"",Calc!$G1543)</f>
        <v/>
      </c>
      <c r="B1540">
        <f>IF($A1540="","",LEFT(Calc!$E1543,4)&amp;MID(Calc!$E1543,6,2)&amp;RIGHT(Calc!$E1543,2)&amp;Calc!$R1543&amp;"|"&amp;"1"&amp;RIGHT("00000"&amp;1535,5))</f>
        <v/>
      </c>
      <c r="C1540">
        <f>IF($B1540="","",COUNTIFS(LdgPartyA,$A1540,LdgKeyA,"&lt;"&amp;$B1540)+COUNTIFS(LdgPartyB,$A1540,LdgKeyB,"&lt;"&amp;$B1540)+1)</f>
        <v/>
      </c>
      <c r="D1540">
        <f>IF($C1540="","",$A1540&amp;"|"&amp;RIGHT("000000"&amp;$C1540,6))</f>
        <v/>
      </c>
      <c r="F1540">
        <f>IF(Sync!$AJ1540="","",Sync!$AJ1540)</f>
        <v/>
      </c>
      <c r="G1540">
        <f>IF($F1540="","",IF(Sync!$AG1540="","",IF(ISNUMBER(Sync!$AG1540),IF(AND(Sync!$AG1540&gt;=10000101,Sync!$AG1540&lt;=99991231),INT(Sync!$AG1540/10000),""),IFERROR(VALUE(TRIM(LEFT(Sync!$AG1540,FIND("/",Sync!$AG1540)-1))),""))))</f>
        <v/>
      </c>
      <c r="H1540">
        <f>IF(OR($F1540="",$G1540=""),"",IF(ISNUMBER(Sync!$AG1540),INT(MOD(Sync!$AG1540,10000)/100),IFERROR(VALUE(TRIM(LEFT(MID(Sync!$AG1540,FIND("/",Sync!$AG1540)+1,20),FIND("/",MID(Sync!$AG1540,FIND("/",Sync!$AG1540)+1,20))-1))),"")))</f>
        <v/>
      </c>
      <c r="I1540">
        <f>IF(OR($F1540="",$G1540=""),"",IF(ISNUMBER(Sync!$AG1540),MOD(Sync!$AG1540,100),IFERROR(VALUE(TRIM(MID(MID(Sync!$AG1540,FIND("/",Sync!$AG1540)+1,20),FIND("/",MID(Sync!$AG1540,FIND("/",Sync!$AG1540)+1,20))+1,20))),"")))</f>
        <v/>
      </c>
      <c r="J1540">
        <f>IF($F1540="","",IF(OR($G1540="",$H1540="",$I1540="",$G1540&lt;1300,$G1540&gt;1500,$H1540&lt;1,$H1540&gt;12,$I1540&lt;1,$I1540&gt;31),"نامعتبر",RIGHT("0000"&amp;$G1540,4)&amp;"/"&amp;RIGHT("00"&amp;$H1540,2)&amp;"/"&amp;RIGHT("00"&amp;$I1540,2)))</f>
        <v/>
      </c>
      <c r="K1540">
        <f>IF(OR($F1540="",$J1540="",$J1540="نامعتبر"),"",LEFT($J1540,4)&amp;MID($J1540,6,2)&amp;RIGHT($J1540,2)&amp;$N1540&amp;"|"&amp;"2"&amp;RIGHT("00000"&amp;1535,5))</f>
        <v/>
      </c>
      <c r="L1540">
        <f>IF($K1540="","",COUNTIFS(LdgPartyA,$F1540,LdgKeyA,"&lt;"&amp;$K1540)+COUNTIFS(LdgPartyB,$F1540,LdgKeyB,"&lt;"&amp;$K1540)+1)</f>
        <v/>
      </c>
      <c r="M1540">
        <f>IF($L1540="","",$F1540&amp;"|"&amp;RIGHT("000000"&amp;$L1540,6))</f>
        <v/>
      </c>
      <c r="N1540">
        <f>IF($F1540="","",IF(Sync!$AH1540="","0000",IF(AND(ISNUMBER(Sync!$AH1540),Sync!$AH1540&gt;=0,Sync!$AH1540&lt;1),RIGHT("00"&amp;HOUR(Sync!$AH1540),2)&amp;RIGHT("00"&amp;MINUTE(Sync!$AH1540),2),IFERROR(RIGHT("00"&amp;VALUE(LEFT(Sync!$AH1540,FIND(":",Sync!$AH1540)-1)),2)&amp;RIGHT("00"&amp;VALUE(MID(Sync!$AH1540,FIND(":",Sync!$AH1540)+1,2)),2),"0000"))))</f>
        <v/>
      </c>
    </row>
    <row r="1541">
      <c r="A1541">
        <f>IF(OR(Calc!$E1544="",Calc!$E1544="نامعتبر",Calc!$G1544="",Calc!$I1544&lt;&gt;"خرید"),"",Calc!$G1544)</f>
        <v/>
      </c>
      <c r="B1541">
        <f>IF($A1541="","",LEFT(Calc!$E1544,4)&amp;MID(Calc!$E1544,6,2)&amp;RIGHT(Calc!$E1544,2)&amp;Calc!$R1544&amp;"|"&amp;"1"&amp;RIGHT("00000"&amp;1536,5))</f>
        <v/>
      </c>
      <c r="C1541">
        <f>IF($B1541="","",COUNTIFS(LdgPartyA,$A1541,LdgKeyA,"&lt;"&amp;$B1541)+COUNTIFS(LdgPartyB,$A1541,LdgKeyB,"&lt;"&amp;$B1541)+1)</f>
        <v/>
      </c>
      <c r="D1541">
        <f>IF($C1541="","",$A1541&amp;"|"&amp;RIGHT("000000"&amp;$C1541,6))</f>
        <v/>
      </c>
      <c r="F1541">
        <f>IF(Sync!$AJ1541="","",Sync!$AJ1541)</f>
        <v/>
      </c>
      <c r="G1541">
        <f>IF($F1541="","",IF(Sync!$AG1541="","",IF(ISNUMBER(Sync!$AG1541),IF(AND(Sync!$AG1541&gt;=10000101,Sync!$AG1541&lt;=99991231),INT(Sync!$AG1541/10000),""),IFERROR(VALUE(TRIM(LEFT(Sync!$AG1541,FIND("/",Sync!$AG1541)-1))),""))))</f>
        <v/>
      </c>
      <c r="H1541">
        <f>IF(OR($F1541="",$G1541=""),"",IF(ISNUMBER(Sync!$AG1541),INT(MOD(Sync!$AG1541,10000)/100),IFERROR(VALUE(TRIM(LEFT(MID(Sync!$AG1541,FIND("/",Sync!$AG1541)+1,20),FIND("/",MID(Sync!$AG1541,FIND("/",Sync!$AG1541)+1,20))-1))),"")))</f>
        <v/>
      </c>
      <c r="I1541">
        <f>IF(OR($F1541="",$G1541=""),"",IF(ISNUMBER(Sync!$AG1541),MOD(Sync!$AG1541,100),IFERROR(VALUE(TRIM(MID(MID(Sync!$AG1541,FIND("/",Sync!$AG1541)+1,20),FIND("/",MID(Sync!$AG1541,FIND("/",Sync!$AG1541)+1,20))+1,20))),"")))</f>
        <v/>
      </c>
      <c r="J1541">
        <f>IF($F1541="","",IF(OR($G1541="",$H1541="",$I1541="",$G1541&lt;1300,$G1541&gt;1500,$H1541&lt;1,$H1541&gt;12,$I1541&lt;1,$I1541&gt;31),"نامعتبر",RIGHT("0000"&amp;$G1541,4)&amp;"/"&amp;RIGHT("00"&amp;$H1541,2)&amp;"/"&amp;RIGHT("00"&amp;$I1541,2)))</f>
        <v/>
      </c>
      <c r="K1541">
        <f>IF(OR($F1541="",$J1541="",$J1541="نامعتبر"),"",LEFT($J1541,4)&amp;MID($J1541,6,2)&amp;RIGHT($J1541,2)&amp;$N1541&amp;"|"&amp;"2"&amp;RIGHT("00000"&amp;1536,5))</f>
        <v/>
      </c>
      <c r="L1541">
        <f>IF($K1541="","",COUNTIFS(LdgPartyA,$F1541,LdgKeyA,"&lt;"&amp;$K1541)+COUNTIFS(LdgPartyB,$F1541,LdgKeyB,"&lt;"&amp;$K1541)+1)</f>
        <v/>
      </c>
      <c r="M1541">
        <f>IF($L1541="","",$F1541&amp;"|"&amp;RIGHT("000000"&amp;$L1541,6))</f>
        <v/>
      </c>
      <c r="N1541">
        <f>IF($F1541="","",IF(Sync!$AH1541="","0000",IF(AND(ISNUMBER(Sync!$AH1541),Sync!$AH1541&gt;=0,Sync!$AH1541&lt;1),RIGHT("00"&amp;HOUR(Sync!$AH1541),2)&amp;RIGHT("00"&amp;MINUTE(Sync!$AH1541),2),IFERROR(RIGHT("00"&amp;VALUE(LEFT(Sync!$AH1541,FIND(":",Sync!$AH1541)-1)),2)&amp;RIGHT("00"&amp;VALUE(MID(Sync!$AH1541,FIND(":",Sync!$AH1541)+1,2)),2),"0000"))))</f>
        <v/>
      </c>
    </row>
    <row r="1542">
      <c r="A1542">
        <f>IF(OR(Calc!$E1545="",Calc!$E1545="نامعتبر",Calc!$G1545="",Calc!$I1545&lt;&gt;"خرید"),"",Calc!$G1545)</f>
        <v/>
      </c>
      <c r="B1542">
        <f>IF($A1542="","",LEFT(Calc!$E1545,4)&amp;MID(Calc!$E1545,6,2)&amp;RIGHT(Calc!$E1545,2)&amp;Calc!$R1545&amp;"|"&amp;"1"&amp;RIGHT("00000"&amp;1537,5))</f>
        <v/>
      </c>
      <c r="C1542">
        <f>IF($B1542="","",COUNTIFS(LdgPartyA,$A1542,LdgKeyA,"&lt;"&amp;$B1542)+COUNTIFS(LdgPartyB,$A1542,LdgKeyB,"&lt;"&amp;$B1542)+1)</f>
        <v/>
      </c>
      <c r="D1542">
        <f>IF($C1542="","",$A1542&amp;"|"&amp;RIGHT("000000"&amp;$C1542,6))</f>
        <v/>
      </c>
      <c r="F1542">
        <f>IF(Sync!$AJ1542="","",Sync!$AJ1542)</f>
        <v/>
      </c>
      <c r="G1542">
        <f>IF($F1542="","",IF(Sync!$AG1542="","",IF(ISNUMBER(Sync!$AG1542),IF(AND(Sync!$AG1542&gt;=10000101,Sync!$AG1542&lt;=99991231),INT(Sync!$AG1542/10000),""),IFERROR(VALUE(TRIM(LEFT(Sync!$AG1542,FIND("/",Sync!$AG1542)-1))),""))))</f>
        <v/>
      </c>
      <c r="H1542">
        <f>IF(OR($F1542="",$G1542=""),"",IF(ISNUMBER(Sync!$AG1542),INT(MOD(Sync!$AG1542,10000)/100),IFERROR(VALUE(TRIM(LEFT(MID(Sync!$AG1542,FIND("/",Sync!$AG1542)+1,20),FIND("/",MID(Sync!$AG1542,FIND("/",Sync!$AG1542)+1,20))-1))),"")))</f>
        <v/>
      </c>
      <c r="I1542">
        <f>IF(OR($F1542="",$G1542=""),"",IF(ISNUMBER(Sync!$AG1542),MOD(Sync!$AG1542,100),IFERROR(VALUE(TRIM(MID(MID(Sync!$AG1542,FIND("/",Sync!$AG1542)+1,20),FIND("/",MID(Sync!$AG1542,FIND("/",Sync!$AG1542)+1,20))+1,20))),"")))</f>
        <v/>
      </c>
      <c r="J1542">
        <f>IF($F1542="","",IF(OR($G1542="",$H1542="",$I1542="",$G1542&lt;1300,$G1542&gt;1500,$H1542&lt;1,$H1542&gt;12,$I1542&lt;1,$I1542&gt;31),"نامعتبر",RIGHT("0000"&amp;$G1542,4)&amp;"/"&amp;RIGHT("00"&amp;$H1542,2)&amp;"/"&amp;RIGHT("00"&amp;$I1542,2)))</f>
        <v/>
      </c>
      <c r="K1542">
        <f>IF(OR($F1542="",$J1542="",$J1542="نامعتبر"),"",LEFT($J1542,4)&amp;MID($J1542,6,2)&amp;RIGHT($J1542,2)&amp;$N1542&amp;"|"&amp;"2"&amp;RIGHT("00000"&amp;1537,5))</f>
        <v/>
      </c>
      <c r="L1542">
        <f>IF($K1542="","",COUNTIFS(LdgPartyA,$F1542,LdgKeyA,"&lt;"&amp;$K1542)+COUNTIFS(LdgPartyB,$F1542,LdgKeyB,"&lt;"&amp;$K1542)+1)</f>
        <v/>
      </c>
      <c r="M1542">
        <f>IF($L1542="","",$F1542&amp;"|"&amp;RIGHT("000000"&amp;$L1542,6))</f>
        <v/>
      </c>
      <c r="N1542">
        <f>IF($F1542="","",IF(Sync!$AH1542="","0000",IF(AND(ISNUMBER(Sync!$AH1542),Sync!$AH1542&gt;=0,Sync!$AH1542&lt;1),RIGHT("00"&amp;HOUR(Sync!$AH1542),2)&amp;RIGHT("00"&amp;MINUTE(Sync!$AH1542),2),IFERROR(RIGHT("00"&amp;VALUE(LEFT(Sync!$AH1542,FIND(":",Sync!$AH1542)-1)),2)&amp;RIGHT("00"&amp;VALUE(MID(Sync!$AH1542,FIND(":",Sync!$AH1542)+1,2)),2),"0000"))))</f>
        <v/>
      </c>
    </row>
    <row r="1543">
      <c r="A1543">
        <f>IF(OR(Calc!$E1546="",Calc!$E1546="نامعتبر",Calc!$G1546="",Calc!$I1546&lt;&gt;"خرید"),"",Calc!$G1546)</f>
        <v/>
      </c>
      <c r="B1543">
        <f>IF($A1543="","",LEFT(Calc!$E1546,4)&amp;MID(Calc!$E1546,6,2)&amp;RIGHT(Calc!$E1546,2)&amp;Calc!$R1546&amp;"|"&amp;"1"&amp;RIGHT("00000"&amp;1538,5))</f>
        <v/>
      </c>
      <c r="C1543">
        <f>IF($B1543="","",COUNTIFS(LdgPartyA,$A1543,LdgKeyA,"&lt;"&amp;$B1543)+COUNTIFS(LdgPartyB,$A1543,LdgKeyB,"&lt;"&amp;$B1543)+1)</f>
        <v/>
      </c>
      <c r="D1543">
        <f>IF($C1543="","",$A1543&amp;"|"&amp;RIGHT("000000"&amp;$C1543,6))</f>
        <v/>
      </c>
      <c r="F1543">
        <f>IF(Sync!$AJ1543="","",Sync!$AJ1543)</f>
        <v/>
      </c>
      <c r="G1543">
        <f>IF($F1543="","",IF(Sync!$AG1543="","",IF(ISNUMBER(Sync!$AG1543),IF(AND(Sync!$AG1543&gt;=10000101,Sync!$AG1543&lt;=99991231),INT(Sync!$AG1543/10000),""),IFERROR(VALUE(TRIM(LEFT(Sync!$AG1543,FIND("/",Sync!$AG1543)-1))),""))))</f>
        <v/>
      </c>
      <c r="H1543">
        <f>IF(OR($F1543="",$G1543=""),"",IF(ISNUMBER(Sync!$AG1543),INT(MOD(Sync!$AG1543,10000)/100),IFERROR(VALUE(TRIM(LEFT(MID(Sync!$AG1543,FIND("/",Sync!$AG1543)+1,20),FIND("/",MID(Sync!$AG1543,FIND("/",Sync!$AG1543)+1,20))-1))),"")))</f>
        <v/>
      </c>
      <c r="I1543">
        <f>IF(OR($F1543="",$G1543=""),"",IF(ISNUMBER(Sync!$AG1543),MOD(Sync!$AG1543,100),IFERROR(VALUE(TRIM(MID(MID(Sync!$AG1543,FIND("/",Sync!$AG1543)+1,20),FIND("/",MID(Sync!$AG1543,FIND("/",Sync!$AG1543)+1,20))+1,20))),"")))</f>
        <v/>
      </c>
      <c r="J1543">
        <f>IF($F1543="","",IF(OR($G1543="",$H1543="",$I1543="",$G1543&lt;1300,$G1543&gt;1500,$H1543&lt;1,$H1543&gt;12,$I1543&lt;1,$I1543&gt;31),"نامعتبر",RIGHT("0000"&amp;$G1543,4)&amp;"/"&amp;RIGHT("00"&amp;$H1543,2)&amp;"/"&amp;RIGHT("00"&amp;$I1543,2)))</f>
        <v/>
      </c>
      <c r="K1543">
        <f>IF(OR($F1543="",$J1543="",$J1543="نامعتبر"),"",LEFT($J1543,4)&amp;MID($J1543,6,2)&amp;RIGHT($J1543,2)&amp;$N1543&amp;"|"&amp;"2"&amp;RIGHT("00000"&amp;1538,5))</f>
        <v/>
      </c>
      <c r="L1543">
        <f>IF($K1543="","",COUNTIFS(LdgPartyA,$F1543,LdgKeyA,"&lt;"&amp;$K1543)+COUNTIFS(LdgPartyB,$F1543,LdgKeyB,"&lt;"&amp;$K1543)+1)</f>
        <v/>
      </c>
      <c r="M1543">
        <f>IF($L1543="","",$F1543&amp;"|"&amp;RIGHT("000000"&amp;$L1543,6))</f>
        <v/>
      </c>
      <c r="N1543">
        <f>IF($F1543="","",IF(Sync!$AH1543="","0000",IF(AND(ISNUMBER(Sync!$AH1543),Sync!$AH1543&gt;=0,Sync!$AH1543&lt;1),RIGHT("00"&amp;HOUR(Sync!$AH1543),2)&amp;RIGHT("00"&amp;MINUTE(Sync!$AH1543),2),IFERROR(RIGHT("00"&amp;VALUE(LEFT(Sync!$AH1543,FIND(":",Sync!$AH1543)-1)),2)&amp;RIGHT("00"&amp;VALUE(MID(Sync!$AH1543,FIND(":",Sync!$AH1543)+1,2)),2),"0000"))))</f>
        <v/>
      </c>
    </row>
    <row r="1544">
      <c r="A1544">
        <f>IF(OR(Calc!$E1547="",Calc!$E1547="نامعتبر",Calc!$G1547="",Calc!$I1547&lt;&gt;"خرید"),"",Calc!$G1547)</f>
        <v/>
      </c>
      <c r="B1544">
        <f>IF($A1544="","",LEFT(Calc!$E1547,4)&amp;MID(Calc!$E1547,6,2)&amp;RIGHT(Calc!$E1547,2)&amp;Calc!$R1547&amp;"|"&amp;"1"&amp;RIGHT("00000"&amp;1539,5))</f>
        <v/>
      </c>
      <c r="C1544">
        <f>IF($B1544="","",COUNTIFS(LdgPartyA,$A1544,LdgKeyA,"&lt;"&amp;$B1544)+COUNTIFS(LdgPartyB,$A1544,LdgKeyB,"&lt;"&amp;$B1544)+1)</f>
        <v/>
      </c>
      <c r="D1544">
        <f>IF($C1544="","",$A1544&amp;"|"&amp;RIGHT("000000"&amp;$C1544,6))</f>
        <v/>
      </c>
      <c r="F1544">
        <f>IF(Sync!$AJ1544="","",Sync!$AJ1544)</f>
        <v/>
      </c>
      <c r="G1544">
        <f>IF($F1544="","",IF(Sync!$AG1544="","",IF(ISNUMBER(Sync!$AG1544),IF(AND(Sync!$AG1544&gt;=10000101,Sync!$AG1544&lt;=99991231),INT(Sync!$AG1544/10000),""),IFERROR(VALUE(TRIM(LEFT(Sync!$AG1544,FIND("/",Sync!$AG1544)-1))),""))))</f>
        <v/>
      </c>
      <c r="H1544">
        <f>IF(OR($F1544="",$G1544=""),"",IF(ISNUMBER(Sync!$AG1544),INT(MOD(Sync!$AG1544,10000)/100),IFERROR(VALUE(TRIM(LEFT(MID(Sync!$AG1544,FIND("/",Sync!$AG1544)+1,20),FIND("/",MID(Sync!$AG1544,FIND("/",Sync!$AG1544)+1,20))-1))),"")))</f>
        <v/>
      </c>
      <c r="I1544">
        <f>IF(OR($F1544="",$G1544=""),"",IF(ISNUMBER(Sync!$AG1544),MOD(Sync!$AG1544,100),IFERROR(VALUE(TRIM(MID(MID(Sync!$AG1544,FIND("/",Sync!$AG1544)+1,20),FIND("/",MID(Sync!$AG1544,FIND("/",Sync!$AG1544)+1,20))+1,20))),"")))</f>
        <v/>
      </c>
      <c r="J1544">
        <f>IF($F1544="","",IF(OR($G1544="",$H1544="",$I1544="",$G1544&lt;1300,$G1544&gt;1500,$H1544&lt;1,$H1544&gt;12,$I1544&lt;1,$I1544&gt;31),"نامعتبر",RIGHT("0000"&amp;$G1544,4)&amp;"/"&amp;RIGHT("00"&amp;$H1544,2)&amp;"/"&amp;RIGHT("00"&amp;$I1544,2)))</f>
        <v/>
      </c>
      <c r="K1544">
        <f>IF(OR($F1544="",$J1544="",$J1544="نامعتبر"),"",LEFT($J1544,4)&amp;MID($J1544,6,2)&amp;RIGHT($J1544,2)&amp;$N1544&amp;"|"&amp;"2"&amp;RIGHT("00000"&amp;1539,5))</f>
        <v/>
      </c>
      <c r="L1544">
        <f>IF($K1544="","",COUNTIFS(LdgPartyA,$F1544,LdgKeyA,"&lt;"&amp;$K1544)+COUNTIFS(LdgPartyB,$F1544,LdgKeyB,"&lt;"&amp;$K1544)+1)</f>
        <v/>
      </c>
      <c r="M1544">
        <f>IF($L1544="","",$F1544&amp;"|"&amp;RIGHT("000000"&amp;$L1544,6))</f>
        <v/>
      </c>
      <c r="N1544">
        <f>IF($F1544="","",IF(Sync!$AH1544="","0000",IF(AND(ISNUMBER(Sync!$AH1544),Sync!$AH1544&gt;=0,Sync!$AH1544&lt;1),RIGHT("00"&amp;HOUR(Sync!$AH1544),2)&amp;RIGHT("00"&amp;MINUTE(Sync!$AH1544),2),IFERROR(RIGHT("00"&amp;VALUE(LEFT(Sync!$AH1544,FIND(":",Sync!$AH1544)-1)),2)&amp;RIGHT("00"&amp;VALUE(MID(Sync!$AH1544,FIND(":",Sync!$AH1544)+1,2)),2),"0000"))))</f>
        <v/>
      </c>
    </row>
    <row r="1545">
      <c r="A1545">
        <f>IF(OR(Calc!$E1548="",Calc!$E1548="نامعتبر",Calc!$G1548="",Calc!$I1548&lt;&gt;"خرید"),"",Calc!$G1548)</f>
        <v/>
      </c>
      <c r="B1545">
        <f>IF($A1545="","",LEFT(Calc!$E1548,4)&amp;MID(Calc!$E1548,6,2)&amp;RIGHT(Calc!$E1548,2)&amp;Calc!$R1548&amp;"|"&amp;"1"&amp;RIGHT("00000"&amp;1540,5))</f>
        <v/>
      </c>
      <c r="C1545">
        <f>IF($B1545="","",COUNTIFS(LdgPartyA,$A1545,LdgKeyA,"&lt;"&amp;$B1545)+COUNTIFS(LdgPartyB,$A1545,LdgKeyB,"&lt;"&amp;$B1545)+1)</f>
        <v/>
      </c>
      <c r="D1545">
        <f>IF($C1545="","",$A1545&amp;"|"&amp;RIGHT("000000"&amp;$C1545,6))</f>
        <v/>
      </c>
      <c r="F1545">
        <f>IF(Sync!$AJ1545="","",Sync!$AJ1545)</f>
        <v/>
      </c>
      <c r="G1545">
        <f>IF($F1545="","",IF(Sync!$AG1545="","",IF(ISNUMBER(Sync!$AG1545),IF(AND(Sync!$AG1545&gt;=10000101,Sync!$AG1545&lt;=99991231),INT(Sync!$AG1545/10000),""),IFERROR(VALUE(TRIM(LEFT(Sync!$AG1545,FIND("/",Sync!$AG1545)-1))),""))))</f>
        <v/>
      </c>
      <c r="H1545">
        <f>IF(OR($F1545="",$G1545=""),"",IF(ISNUMBER(Sync!$AG1545),INT(MOD(Sync!$AG1545,10000)/100),IFERROR(VALUE(TRIM(LEFT(MID(Sync!$AG1545,FIND("/",Sync!$AG1545)+1,20),FIND("/",MID(Sync!$AG1545,FIND("/",Sync!$AG1545)+1,20))-1))),"")))</f>
        <v/>
      </c>
      <c r="I1545">
        <f>IF(OR($F1545="",$G1545=""),"",IF(ISNUMBER(Sync!$AG1545),MOD(Sync!$AG1545,100),IFERROR(VALUE(TRIM(MID(MID(Sync!$AG1545,FIND("/",Sync!$AG1545)+1,20),FIND("/",MID(Sync!$AG1545,FIND("/",Sync!$AG1545)+1,20))+1,20))),"")))</f>
        <v/>
      </c>
      <c r="J1545">
        <f>IF($F1545="","",IF(OR($G1545="",$H1545="",$I1545="",$G1545&lt;1300,$G1545&gt;1500,$H1545&lt;1,$H1545&gt;12,$I1545&lt;1,$I1545&gt;31),"نامعتبر",RIGHT("0000"&amp;$G1545,4)&amp;"/"&amp;RIGHT("00"&amp;$H1545,2)&amp;"/"&amp;RIGHT("00"&amp;$I1545,2)))</f>
        <v/>
      </c>
      <c r="K1545">
        <f>IF(OR($F1545="",$J1545="",$J1545="نامعتبر"),"",LEFT($J1545,4)&amp;MID($J1545,6,2)&amp;RIGHT($J1545,2)&amp;$N1545&amp;"|"&amp;"2"&amp;RIGHT("00000"&amp;1540,5))</f>
        <v/>
      </c>
      <c r="L1545">
        <f>IF($K1545="","",COUNTIFS(LdgPartyA,$F1545,LdgKeyA,"&lt;"&amp;$K1545)+COUNTIFS(LdgPartyB,$F1545,LdgKeyB,"&lt;"&amp;$K1545)+1)</f>
        <v/>
      </c>
      <c r="M1545">
        <f>IF($L1545="","",$F1545&amp;"|"&amp;RIGHT("000000"&amp;$L1545,6))</f>
        <v/>
      </c>
      <c r="N1545">
        <f>IF($F1545="","",IF(Sync!$AH1545="","0000",IF(AND(ISNUMBER(Sync!$AH1545),Sync!$AH1545&gt;=0,Sync!$AH1545&lt;1),RIGHT("00"&amp;HOUR(Sync!$AH1545),2)&amp;RIGHT("00"&amp;MINUTE(Sync!$AH1545),2),IFERROR(RIGHT("00"&amp;VALUE(LEFT(Sync!$AH1545,FIND(":",Sync!$AH1545)-1)),2)&amp;RIGHT("00"&amp;VALUE(MID(Sync!$AH1545,FIND(":",Sync!$AH1545)+1,2)),2),"0000"))))</f>
        <v/>
      </c>
    </row>
    <row r="1546">
      <c r="A1546">
        <f>IF(OR(Calc!$E1549="",Calc!$E1549="نامعتبر",Calc!$G1549="",Calc!$I1549&lt;&gt;"خرید"),"",Calc!$G1549)</f>
        <v/>
      </c>
      <c r="B1546">
        <f>IF($A1546="","",LEFT(Calc!$E1549,4)&amp;MID(Calc!$E1549,6,2)&amp;RIGHT(Calc!$E1549,2)&amp;Calc!$R1549&amp;"|"&amp;"1"&amp;RIGHT("00000"&amp;1541,5))</f>
        <v/>
      </c>
      <c r="C1546">
        <f>IF($B1546="","",COUNTIFS(LdgPartyA,$A1546,LdgKeyA,"&lt;"&amp;$B1546)+COUNTIFS(LdgPartyB,$A1546,LdgKeyB,"&lt;"&amp;$B1546)+1)</f>
        <v/>
      </c>
      <c r="D1546">
        <f>IF($C1546="","",$A1546&amp;"|"&amp;RIGHT("000000"&amp;$C1546,6))</f>
        <v/>
      </c>
      <c r="F1546">
        <f>IF(Sync!$AJ1546="","",Sync!$AJ1546)</f>
        <v/>
      </c>
      <c r="G1546">
        <f>IF($F1546="","",IF(Sync!$AG1546="","",IF(ISNUMBER(Sync!$AG1546),IF(AND(Sync!$AG1546&gt;=10000101,Sync!$AG1546&lt;=99991231),INT(Sync!$AG1546/10000),""),IFERROR(VALUE(TRIM(LEFT(Sync!$AG1546,FIND("/",Sync!$AG1546)-1))),""))))</f>
        <v/>
      </c>
      <c r="H1546">
        <f>IF(OR($F1546="",$G1546=""),"",IF(ISNUMBER(Sync!$AG1546),INT(MOD(Sync!$AG1546,10000)/100),IFERROR(VALUE(TRIM(LEFT(MID(Sync!$AG1546,FIND("/",Sync!$AG1546)+1,20),FIND("/",MID(Sync!$AG1546,FIND("/",Sync!$AG1546)+1,20))-1))),"")))</f>
        <v/>
      </c>
      <c r="I1546">
        <f>IF(OR($F1546="",$G1546=""),"",IF(ISNUMBER(Sync!$AG1546),MOD(Sync!$AG1546,100),IFERROR(VALUE(TRIM(MID(MID(Sync!$AG1546,FIND("/",Sync!$AG1546)+1,20),FIND("/",MID(Sync!$AG1546,FIND("/",Sync!$AG1546)+1,20))+1,20))),"")))</f>
        <v/>
      </c>
      <c r="J1546">
        <f>IF($F1546="","",IF(OR($G1546="",$H1546="",$I1546="",$G1546&lt;1300,$G1546&gt;1500,$H1546&lt;1,$H1546&gt;12,$I1546&lt;1,$I1546&gt;31),"نامعتبر",RIGHT("0000"&amp;$G1546,4)&amp;"/"&amp;RIGHT("00"&amp;$H1546,2)&amp;"/"&amp;RIGHT("00"&amp;$I1546,2)))</f>
        <v/>
      </c>
      <c r="K1546">
        <f>IF(OR($F1546="",$J1546="",$J1546="نامعتبر"),"",LEFT($J1546,4)&amp;MID($J1546,6,2)&amp;RIGHT($J1546,2)&amp;$N1546&amp;"|"&amp;"2"&amp;RIGHT("00000"&amp;1541,5))</f>
        <v/>
      </c>
      <c r="L1546">
        <f>IF($K1546="","",COUNTIFS(LdgPartyA,$F1546,LdgKeyA,"&lt;"&amp;$K1546)+COUNTIFS(LdgPartyB,$F1546,LdgKeyB,"&lt;"&amp;$K1546)+1)</f>
        <v/>
      </c>
      <c r="M1546">
        <f>IF($L1546="","",$F1546&amp;"|"&amp;RIGHT("000000"&amp;$L1546,6))</f>
        <v/>
      </c>
      <c r="N1546">
        <f>IF($F1546="","",IF(Sync!$AH1546="","0000",IF(AND(ISNUMBER(Sync!$AH1546),Sync!$AH1546&gt;=0,Sync!$AH1546&lt;1),RIGHT("00"&amp;HOUR(Sync!$AH1546),2)&amp;RIGHT("00"&amp;MINUTE(Sync!$AH1546),2),IFERROR(RIGHT("00"&amp;VALUE(LEFT(Sync!$AH1546,FIND(":",Sync!$AH1546)-1)),2)&amp;RIGHT("00"&amp;VALUE(MID(Sync!$AH1546,FIND(":",Sync!$AH1546)+1,2)),2),"0000"))))</f>
        <v/>
      </c>
    </row>
    <row r="1547">
      <c r="A1547">
        <f>IF(OR(Calc!$E1550="",Calc!$E1550="نامعتبر",Calc!$G1550="",Calc!$I1550&lt;&gt;"خرید"),"",Calc!$G1550)</f>
        <v/>
      </c>
      <c r="B1547">
        <f>IF($A1547="","",LEFT(Calc!$E1550,4)&amp;MID(Calc!$E1550,6,2)&amp;RIGHT(Calc!$E1550,2)&amp;Calc!$R1550&amp;"|"&amp;"1"&amp;RIGHT("00000"&amp;1542,5))</f>
        <v/>
      </c>
      <c r="C1547">
        <f>IF($B1547="","",COUNTIFS(LdgPartyA,$A1547,LdgKeyA,"&lt;"&amp;$B1547)+COUNTIFS(LdgPartyB,$A1547,LdgKeyB,"&lt;"&amp;$B1547)+1)</f>
        <v/>
      </c>
      <c r="D1547">
        <f>IF($C1547="","",$A1547&amp;"|"&amp;RIGHT("000000"&amp;$C1547,6))</f>
        <v/>
      </c>
      <c r="F1547">
        <f>IF(Sync!$AJ1547="","",Sync!$AJ1547)</f>
        <v/>
      </c>
      <c r="G1547">
        <f>IF($F1547="","",IF(Sync!$AG1547="","",IF(ISNUMBER(Sync!$AG1547),IF(AND(Sync!$AG1547&gt;=10000101,Sync!$AG1547&lt;=99991231),INT(Sync!$AG1547/10000),""),IFERROR(VALUE(TRIM(LEFT(Sync!$AG1547,FIND("/",Sync!$AG1547)-1))),""))))</f>
        <v/>
      </c>
      <c r="H1547">
        <f>IF(OR($F1547="",$G1547=""),"",IF(ISNUMBER(Sync!$AG1547),INT(MOD(Sync!$AG1547,10000)/100),IFERROR(VALUE(TRIM(LEFT(MID(Sync!$AG1547,FIND("/",Sync!$AG1547)+1,20),FIND("/",MID(Sync!$AG1547,FIND("/",Sync!$AG1547)+1,20))-1))),"")))</f>
        <v/>
      </c>
      <c r="I1547">
        <f>IF(OR($F1547="",$G1547=""),"",IF(ISNUMBER(Sync!$AG1547),MOD(Sync!$AG1547,100),IFERROR(VALUE(TRIM(MID(MID(Sync!$AG1547,FIND("/",Sync!$AG1547)+1,20),FIND("/",MID(Sync!$AG1547,FIND("/",Sync!$AG1547)+1,20))+1,20))),"")))</f>
        <v/>
      </c>
      <c r="J1547">
        <f>IF($F1547="","",IF(OR($G1547="",$H1547="",$I1547="",$G1547&lt;1300,$G1547&gt;1500,$H1547&lt;1,$H1547&gt;12,$I1547&lt;1,$I1547&gt;31),"نامعتبر",RIGHT("0000"&amp;$G1547,4)&amp;"/"&amp;RIGHT("00"&amp;$H1547,2)&amp;"/"&amp;RIGHT("00"&amp;$I1547,2)))</f>
        <v/>
      </c>
      <c r="K1547">
        <f>IF(OR($F1547="",$J1547="",$J1547="نامعتبر"),"",LEFT($J1547,4)&amp;MID($J1547,6,2)&amp;RIGHT($J1547,2)&amp;$N1547&amp;"|"&amp;"2"&amp;RIGHT("00000"&amp;1542,5))</f>
        <v/>
      </c>
      <c r="L1547">
        <f>IF($K1547="","",COUNTIFS(LdgPartyA,$F1547,LdgKeyA,"&lt;"&amp;$K1547)+COUNTIFS(LdgPartyB,$F1547,LdgKeyB,"&lt;"&amp;$K1547)+1)</f>
        <v/>
      </c>
      <c r="M1547">
        <f>IF($L1547="","",$F1547&amp;"|"&amp;RIGHT("000000"&amp;$L1547,6))</f>
        <v/>
      </c>
      <c r="N1547">
        <f>IF($F1547="","",IF(Sync!$AH1547="","0000",IF(AND(ISNUMBER(Sync!$AH1547),Sync!$AH1547&gt;=0,Sync!$AH1547&lt;1),RIGHT("00"&amp;HOUR(Sync!$AH1547),2)&amp;RIGHT("00"&amp;MINUTE(Sync!$AH1547),2),IFERROR(RIGHT("00"&amp;VALUE(LEFT(Sync!$AH1547,FIND(":",Sync!$AH1547)-1)),2)&amp;RIGHT("00"&amp;VALUE(MID(Sync!$AH1547,FIND(":",Sync!$AH1547)+1,2)),2),"0000"))))</f>
        <v/>
      </c>
    </row>
    <row r="1548">
      <c r="A1548">
        <f>IF(OR(Calc!$E1551="",Calc!$E1551="نامعتبر",Calc!$G1551="",Calc!$I1551&lt;&gt;"خرید"),"",Calc!$G1551)</f>
        <v/>
      </c>
      <c r="B1548">
        <f>IF($A1548="","",LEFT(Calc!$E1551,4)&amp;MID(Calc!$E1551,6,2)&amp;RIGHT(Calc!$E1551,2)&amp;Calc!$R1551&amp;"|"&amp;"1"&amp;RIGHT("00000"&amp;1543,5))</f>
        <v/>
      </c>
      <c r="C1548">
        <f>IF($B1548="","",COUNTIFS(LdgPartyA,$A1548,LdgKeyA,"&lt;"&amp;$B1548)+COUNTIFS(LdgPartyB,$A1548,LdgKeyB,"&lt;"&amp;$B1548)+1)</f>
        <v/>
      </c>
      <c r="D1548">
        <f>IF($C1548="","",$A1548&amp;"|"&amp;RIGHT("000000"&amp;$C1548,6))</f>
        <v/>
      </c>
      <c r="F1548">
        <f>IF(Sync!$AJ1548="","",Sync!$AJ1548)</f>
        <v/>
      </c>
      <c r="G1548">
        <f>IF($F1548="","",IF(Sync!$AG1548="","",IF(ISNUMBER(Sync!$AG1548),IF(AND(Sync!$AG1548&gt;=10000101,Sync!$AG1548&lt;=99991231),INT(Sync!$AG1548/10000),""),IFERROR(VALUE(TRIM(LEFT(Sync!$AG1548,FIND("/",Sync!$AG1548)-1))),""))))</f>
        <v/>
      </c>
      <c r="H1548">
        <f>IF(OR($F1548="",$G1548=""),"",IF(ISNUMBER(Sync!$AG1548),INT(MOD(Sync!$AG1548,10000)/100),IFERROR(VALUE(TRIM(LEFT(MID(Sync!$AG1548,FIND("/",Sync!$AG1548)+1,20),FIND("/",MID(Sync!$AG1548,FIND("/",Sync!$AG1548)+1,20))-1))),"")))</f>
        <v/>
      </c>
      <c r="I1548">
        <f>IF(OR($F1548="",$G1548=""),"",IF(ISNUMBER(Sync!$AG1548),MOD(Sync!$AG1548,100),IFERROR(VALUE(TRIM(MID(MID(Sync!$AG1548,FIND("/",Sync!$AG1548)+1,20),FIND("/",MID(Sync!$AG1548,FIND("/",Sync!$AG1548)+1,20))+1,20))),"")))</f>
        <v/>
      </c>
      <c r="J1548">
        <f>IF($F1548="","",IF(OR($G1548="",$H1548="",$I1548="",$G1548&lt;1300,$G1548&gt;1500,$H1548&lt;1,$H1548&gt;12,$I1548&lt;1,$I1548&gt;31),"نامعتبر",RIGHT("0000"&amp;$G1548,4)&amp;"/"&amp;RIGHT("00"&amp;$H1548,2)&amp;"/"&amp;RIGHT("00"&amp;$I1548,2)))</f>
        <v/>
      </c>
      <c r="K1548">
        <f>IF(OR($F1548="",$J1548="",$J1548="نامعتبر"),"",LEFT($J1548,4)&amp;MID($J1548,6,2)&amp;RIGHT($J1548,2)&amp;$N1548&amp;"|"&amp;"2"&amp;RIGHT("00000"&amp;1543,5))</f>
        <v/>
      </c>
      <c r="L1548">
        <f>IF($K1548="","",COUNTIFS(LdgPartyA,$F1548,LdgKeyA,"&lt;"&amp;$K1548)+COUNTIFS(LdgPartyB,$F1548,LdgKeyB,"&lt;"&amp;$K1548)+1)</f>
        <v/>
      </c>
      <c r="M1548">
        <f>IF($L1548="","",$F1548&amp;"|"&amp;RIGHT("000000"&amp;$L1548,6))</f>
        <v/>
      </c>
      <c r="N1548">
        <f>IF($F1548="","",IF(Sync!$AH1548="","0000",IF(AND(ISNUMBER(Sync!$AH1548),Sync!$AH1548&gt;=0,Sync!$AH1548&lt;1),RIGHT("00"&amp;HOUR(Sync!$AH1548),2)&amp;RIGHT("00"&amp;MINUTE(Sync!$AH1548),2),IFERROR(RIGHT("00"&amp;VALUE(LEFT(Sync!$AH1548,FIND(":",Sync!$AH1548)-1)),2)&amp;RIGHT("00"&amp;VALUE(MID(Sync!$AH1548,FIND(":",Sync!$AH1548)+1,2)),2),"0000"))))</f>
        <v/>
      </c>
    </row>
    <row r="1549">
      <c r="A1549">
        <f>IF(OR(Calc!$E1552="",Calc!$E1552="نامعتبر",Calc!$G1552="",Calc!$I1552&lt;&gt;"خرید"),"",Calc!$G1552)</f>
        <v/>
      </c>
      <c r="B1549">
        <f>IF($A1549="","",LEFT(Calc!$E1552,4)&amp;MID(Calc!$E1552,6,2)&amp;RIGHT(Calc!$E1552,2)&amp;Calc!$R1552&amp;"|"&amp;"1"&amp;RIGHT("00000"&amp;1544,5))</f>
        <v/>
      </c>
      <c r="C1549">
        <f>IF($B1549="","",COUNTIFS(LdgPartyA,$A1549,LdgKeyA,"&lt;"&amp;$B1549)+COUNTIFS(LdgPartyB,$A1549,LdgKeyB,"&lt;"&amp;$B1549)+1)</f>
        <v/>
      </c>
      <c r="D1549">
        <f>IF($C1549="","",$A1549&amp;"|"&amp;RIGHT("000000"&amp;$C1549,6))</f>
        <v/>
      </c>
      <c r="F1549">
        <f>IF(Sync!$AJ1549="","",Sync!$AJ1549)</f>
        <v/>
      </c>
      <c r="G1549">
        <f>IF($F1549="","",IF(Sync!$AG1549="","",IF(ISNUMBER(Sync!$AG1549),IF(AND(Sync!$AG1549&gt;=10000101,Sync!$AG1549&lt;=99991231),INT(Sync!$AG1549/10000),""),IFERROR(VALUE(TRIM(LEFT(Sync!$AG1549,FIND("/",Sync!$AG1549)-1))),""))))</f>
        <v/>
      </c>
      <c r="H1549">
        <f>IF(OR($F1549="",$G1549=""),"",IF(ISNUMBER(Sync!$AG1549),INT(MOD(Sync!$AG1549,10000)/100),IFERROR(VALUE(TRIM(LEFT(MID(Sync!$AG1549,FIND("/",Sync!$AG1549)+1,20),FIND("/",MID(Sync!$AG1549,FIND("/",Sync!$AG1549)+1,20))-1))),"")))</f>
        <v/>
      </c>
      <c r="I1549">
        <f>IF(OR($F1549="",$G1549=""),"",IF(ISNUMBER(Sync!$AG1549),MOD(Sync!$AG1549,100),IFERROR(VALUE(TRIM(MID(MID(Sync!$AG1549,FIND("/",Sync!$AG1549)+1,20),FIND("/",MID(Sync!$AG1549,FIND("/",Sync!$AG1549)+1,20))+1,20))),"")))</f>
        <v/>
      </c>
      <c r="J1549">
        <f>IF($F1549="","",IF(OR($G1549="",$H1549="",$I1549="",$G1549&lt;1300,$G1549&gt;1500,$H1549&lt;1,$H1549&gt;12,$I1549&lt;1,$I1549&gt;31),"نامعتبر",RIGHT("0000"&amp;$G1549,4)&amp;"/"&amp;RIGHT("00"&amp;$H1549,2)&amp;"/"&amp;RIGHT("00"&amp;$I1549,2)))</f>
        <v/>
      </c>
      <c r="K1549">
        <f>IF(OR($F1549="",$J1549="",$J1549="نامعتبر"),"",LEFT($J1549,4)&amp;MID($J1549,6,2)&amp;RIGHT($J1549,2)&amp;$N1549&amp;"|"&amp;"2"&amp;RIGHT("00000"&amp;1544,5))</f>
        <v/>
      </c>
      <c r="L1549">
        <f>IF($K1549="","",COUNTIFS(LdgPartyA,$F1549,LdgKeyA,"&lt;"&amp;$K1549)+COUNTIFS(LdgPartyB,$F1549,LdgKeyB,"&lt;"&amp;$K1549)+1)</f>
        <v/>
      </c>
      <c r="M1549">
        <f>IF($L1549="","",$F1549&amp;"|"&amp;RIGHT("000000"&amp;$L1549,6))</f>
        <v/>
      </c>
      <c r="N1549">
        <f>IF($F1549="","",IF(Sync!$AH1549="","0000",IF(AND(ISNUMBER(Sync!$AH1549),Sync!$AH1549&gt;=0,Sync!$AH1549&lt;1),RIGHT("00"&amp;HOUR(Sync!$AH1549),2)&amp;RIGHT("00"&amp;MINUTE(Sync!$AH1549),2),IFERROR(RIGHT("00"&amp;VALUE(LEFT(Sync!$AH1549,FIND(":",Sync!$AH1549)-1)),2)&amp;RIGHT("00"&amp;VALUE(MID(Sync!$AH1549,FIND(":",Sync!$AH1549)+1,2)),2),"0000"))))</f>
        <v/>
      </c>
    </row>
    <row r="1550">
      <c r="A1550">
        <f>IF(OR(Calc!$E1553="",Calc!$E1553="نامعتبر",Calc!$G1553="",Calc!$I1553&lt;&gt;"خرید"),"",Calc!$G1553)</f>
        <v/>
      </c>
      <c r="B1550">
        <f>IF($A1550="","",LEFT(Calc!$E1553,4)&amp;MID(Calc!$E1553,6,2)&amp;RIGHT(Calc!$E1553,2)&amp;Calc!$R1553&amp;"|"&amp;"1"&amp;RIGHT("00000"&amp;1545,5))</f>
        <v/>
      </c>
      <c r="C1550">
        <f>IF($B1550="","",COUNTIFS(LdgPartyA,$A1550,LdgKeyA,"&lt;"&amp;$B1550)+COUNTIFS(LdgPartyB,$A1550,LdgKeyB,"&lt;"&amp;$B1550)+1)</f>
        <v/>
      </c>
      <c r="D1550">
        <f>IF($C1550="","",$A1550&amp;"|"&amp;RIGHT("000000"&amp;$C1550,6))</f>
        <v/>
      </c>
      <c r="F1550">
        <f>IF(Sync!$AJ1550="","",Sync!$AJ1550)</f>
        <v/>
      </c>
      <c r="G1550">
        <f>IF($F1550="","",IF(Sync!$AG1550="","",IF(ISNUMBER(Sync!$AG1550),IF(AND(Sync!$AG1550&gt;=10000101,Sync!$AG1550&lt;=99991231),INT(Sync!$AG1550/10000),""),IFERROR(VALUE(TRIM(LEFT(Sync!$AG1550,FIND("/",Sync!$AG1550)-1))),""))))</f>
        <v/>
      </c>
      <c r="H1550">
        <f>IF(OR($F1550="",$G1550=""),"",IF(ISNUMBER(Sync!$AG1550),INT(MOD(Sync!$AG1550,10000)/100),IFERROR(VALUE(TRIM(LEFT(MID(Sync!$AG1550,FIND("/",Sync!$AG1550)+1,20),FIND("/",MID(Sync!$AG1550,FIND("/",Sync!$AG1550)+1,20))-1))),"")))</f>
        <v/>
      </c>
      <c r="I1550">
        <f>IF(OR($F1550="",$G1550=""),"",IF(ISNUMBER(Sync!$AG1550),MOD(Sync!$AG1550,100),IFERROR(VALUE(TRIM(MID(MID(Sync!$AG1550,FIND("/",Sync!$AG1550)+1,20),FIND("/",MID(Sync!$AG1550,FIND("/",Sync!$AG1550)+1,20))+1,20))),"")))</f>
        <v/>
      </c>
      <c r="J1550">
        <f>IF($F1550="","",IF(OR($G1550="",$H1550="",$I1550="",$G1550&lt;1300,$G1550&gt;1500,$H1550&lt;1,$H1550&gt;12,$I1550&lt;1,$I1550&gt;31),"نامعتبر",RIGHT("0000"&amp;$G1550,4)&amp;"/"&amp;RIGHT("00"&amp;$H1550,2)&amp;"/"&amp;RIGHT("00"&amp;$I1550,2)))</f>
        <v/>
      </c>
      <c r="K1550">
        <f>IF(OR($F1550="",$J1550="",$J1550="نامعتبر"),"",LEFT($J1550,4)&amp;MID($J1550,6,2)&amp;RIGHT($J1550,2)&amp;$N1550&amp;"|"&amp;"2"&amp;RIGHT("00000"&amp;1545,5))</f>
        <v/>
      </c>
      <c r="L1550">
        <f>IF($K1550="","",COUNTIFS(LdgPartyA,$F1550,LdgKeyA,"&lt;"&amp;$K1550)+COUNTIFS(LdgPartyB,$F1550,LdgKeyB,"&lt;"&amp;$K1550)+1)</f>
        <v/>
      </c>
      <c r="M1550">
        <f>IF($L1550="","",$F1550&amp;"|"&amp;RIGHT("000000"&amp;$L1550,6))</f>
        <v/>
      </c>
      <c r="N1550">
        <f>IF($F1550="","",IF(Sync!$AH1550="","0000",IF(AND(ISNUMBER(Sync!$AH1550),Sync!$AH1550&gt;=0,Sync!$AH1550&lt;1),RIGHT("00"&amp;HOUR(Sync!$AH1550),2)&amp;RIGHT("00"&amp;MINUTE(Sync!$AH1550),2),IFERROR(RIGHT("00"&amp;VALUE(LEFT(Sync!$AH1550,FIND(":",Sync!$AH1550)-1)),2)&amp;RIGHT("00"&amp;VALUE(MID(Sync!$AH1550,FIND(":",Sync!$AH1550)+1,2)),2),"0000"))))</f>
        <v/>
      </c>
    </row>
    <row r="1551">
      <c r="A1551">
        <f>IF(OR(Calc!$E1554="",Calc!$E1554="نامعتبر",Calc!$G1554="",Calc!$I1554&lt;&gt;"خرید"),"",Calc!$G1554)</f>
        <v/>
      </c>
      <c r="B1551">
        <f>IF($A1551="","",LEFT(Calc!$E1554,4)&amp;MID(Calc!$E1554,6,2)&amp;RIGHT(Calc!$E1554,2)&amp;Calc!$R1554&amp;"|"&amp;"1"&amp;RIGHT("00000"&amp;1546,5))</f>
        <v/>
      </c>
      <c r="C1551">
        <f>IF($B1551="","",COUNTIFS(LdgPartyA,$A1551,LdgKeyA,"&lt;"&amp;$B1551)+COUNTIFS(LdgPartyB,$A1551,LdgKeyB,"&lt;"&amp;$B1551)+1)</f>
        <v/>
      </c>
      <c r="D1551">
        <f>IF($C1551="","",$A1551&amp;"|"&amp;RIGHT("000000"&amp;$C1551,6))</f>
        <v/>
      </c>
      <c r="F1551">
        <f>IF(Sync!$AJ1551="","",Sync!$AJ1551)</f>
        <v/>
      </c>
      <c r="G1551">
        <f>IF($F1551="","",IF(Sync!$AG1551="","",IF(ISNUMBER(Sync!$AG1551),IF(AND(Sync!$AG1551&gt;=10000101,Sync!$AG1551&lt;=99991231),INT(Sync!$AG1551/10000),""),IFERROR(VALUE(TRIM(LEFT(Sync!$AG1551,FIND("/",Sync!$AG1551)-1))),""))))</f>
        <v/>
      </c>
      <c r="H1551">
        <f>IF(OR($F1551="",$G1551=""),"",IF(ISNUMBER(Sync!$AG1551),INT(MOD(Sync!$AG1551,10000)/100),IFERROR(VALUE(TRIM(LEFT(MID(Sync!$AG1551,FIND("/",Sync!$AG1551)+1,20),FIND("/",MID(Sync!$AG1551,FIND("/",Sync!$AG1551)+1,20))-1))),"")))</f>
        <v/>
      </c>
      <c r="I1551">
        <f>IF(OR($F1551="",$G1551=""),"",IF(ISNUMBER(Sync!$AG1551),MOD(Sync!$AG1551,100),IFERROR(VALUE(TRIM(MID(MID(Sync!$AG1551,FIND("/",Sync!$AG1551)+1,20),FIND("/",MID(Sync!$AG1551,FIND("/",Sync!$AG1551)+1,20))+1,20))),"")))</f>
        <v/>
      </c>
      <c r="J1551">
        <f>IF($F1551="","",IF(OR($G1551="",$H1551="",$I1551="",$G1551&lt;1300,$G1551&gt;1500,$H1551&lt;1,$H1551&gt;12,$I1551&lt;1,$I1551&gt;31),"نامعتبر",RIGHT("0000"&amp;$G1551,4)&amp;"/"&amp;RIGHT("00"&amp;$H1551,2)&amp;"/"&amp;RIGHT("00"&amp;$I1551,2)))</f>
        <v/>
      </c>
      <c r="K1551">
        <f>IF(OR($F1551="",$J1551="",$J1551="نامعتبر"),"",LEFT($J1551,4)&amp;MID($J1551,6,2)&amp;RIGHT($J1551,2)&amp;$N1551&amp;"|"&amp;"2"&amp;RIGHT("00000"&amp;1546,5))</f>
        <v/>
      </c>
      <c r="L1551">
        <f>IF($K1551="","",COUNTIFS(LdgPartyA,$F1551,LdgKeyA,"&lt;"&amp;$K1551)+COUNTIFS(LdgPartyB,$F1551,LdgKeyB,"&lt;"&amp;$K1551)+1)</f>
        <v/>
      </c>
      <c r="M1551">
        <f>IF($L1551="","",$F1551&amp;"|"&amp;RIGHT("000000"&amp;$L1551,6))</f>
        <v/>
      </c>
      <c r="N1551">
        <f>IF($F1551="","",IF(Sync!$AH1551="","0000",IF(AND(ISNUMBER(Sync!$AH1551),Sync!$AH1551&gt;=0,Sync!$AH1551&lt;1),RIGHT("00"&amp;HOUR(Sync!$AH1551),2)&amp;RIGHT("00"&amp;MINUTE(Sync!$AH1551),2),IFERROR(RIGHT("00"&amp;VALUE(LEFT(Sync!$AH1551,FIND(":",Sync!$AH1551)-1)),2)&amp;RIGHT("00"&amp;VALUE(MID(Sync!$AH1551,FIND(":",Sync!$AH1551)+1,2)),2),"0000"))))</f>
        <v/>
      </c>
    </row>
    <row r="1552">
      <c r="A1552">
        <f>IF(OR(Calc!$E1555="",Calc!$E1555="نامعتبر",Calc!$G1555="",Calc!$I1555&lt;&gt;"خرید"),"",Calc!$G1555)</f>
        <v/>
      </c>
      <c r="B1552">
        <f>IF($A1552="","",LEFT(Calc!$E1555,4)&amp;MID(Calc!$E1555,6,2)&amp;RIGHT(Calc!$E1555,2)&amp;Calc!$R1555&amp;"|"&amp;"1"&amp;RIGHT("00000"&amp;1547,5))</f>
        <v/>
      </c>
      <c r="C1552">
        <f>IF($B1552="","",COUNTIFS(LdgPartyA,$A1552,LdgKeyA,"&lt;"&amp;$B1552)+COUNTIFS(LdgPartyB,$A1552,LdgKeyB,"&lt;"&amp;$B1552)+1)</f>
        <v/>
      </c>
      <c r="D1552">
        <f>IF($C1552="","",$A1552&amp;"|"&amp;RIGHT("000000"&amp;$C1552,6))</f>
        <v/>
      </c>
      <c r="F1552">
        <f>IF(Sync!$AJ1552="","",Sync!$AJ1552)</f>
        <v/>
      </c>
      <c r="G1552">
        <f>IF($F1552="","",IF(Sync!$AG1552="","",IF(ISNUMBER(Sync!$AG1552),IF(AND(Sync!$AG1552&gt;=10000101,Sync!$AG1552&lt;=99991231),INT(Sync!$AG1552/10000),""),IFERROR(VALUE(TRIM(LEFT(Sync!$AG1552,FIND("/",Sync!$AG1552)-1))),""))))</f>
        <v/>
      </c>
      <c r="H1552">
        <f>IF(OR($F1552="",$G1552=""),"",IF(ISNUMBER(Sync!$AG1552),INT(MOD(Sync!$AG1552,10000)/100),IFERROR(VALUE(TRIM(LEFT(MID(Sync!$AG1552,FIND("/",Sync!$AG1552)+1,20),FIND("/",MID(Sync!$AG1552,FIND("/",Sync!$AG1552)+1,20))-1))),"")))</f>
        <v/>
      </c>
      <c r="I1552">
        <f>IF(OR($F1552="",$G1552=""),"",IF(ISNUMBER(Sync!$AG1552),MOD(Sync!$AG1552,100),IFERROR(VALUE(TRIM(MID(MID(Sync!$AG1552,FIND("/",Sync!$AG1552)+1,20),FIND("/",MID(Sync!$AG1552,FIND("/",Sync!$AG1552)+1,20))+1,20))),"")))</f>
        <v/>
      </c>
      <c r="J1552">
        <f>IF($F1552="","",IF(OR($G1552="",$H1552="",$I1552="",$G1552&lt;1300,$G1552&gt;1500,$H1552&lt;1,$H1552&gt;12,$I1552&lt;1,$I1552&gt;31),"نامعتبر",RIGHT("0000"&amp;$G1552,4)&amp;"/"&amp;RIGHT("00"&amp;$H1552,2)&amp;"/"&amp;RIGHT("00"&amp;$I1552,2)))</f>
        <v/>
      </c>
      <c r="K1552">
        <f>IF(OR($F1552="",$J1552="",$J1552="نامعتبر"),"",LEFT($J1552,4)&amp;MID($J1552,6,2)&amp;RIGHT($J1552,2)&amp;$N1552&amp;"|"&amp;"2"&amp;RIGHT("00000"&amp;1547,5))</f>
        <v/>
      </c>
      <c r="L1552">
        <f>IF($K1552="","",COUNTIFS(LdgPartyA,$F1552,LdgKeyA,"&lt;"&amp;$K1552)+COUNTIFS(LdgPartyB,$F1552,LdgKeyB,"&lt;"&amp;$K1552)+1)</f>
        <v/>
      </c>
      <c r="M1552">
        <f>IF($L1552="","",$F1552&amp;"|"&amp;RIGHT("000000"&amp;$L1552,6))</f>
        <v/>
      </c>
      <c r="N1552">
        <f>IF($F1552="","",IF(Sync!$AH1552="","0000",IF(AND(ISNUMBER(Sync!$AH1552),Sync!$AH1552&gt;=0,Sync!$AH1552&lt;1),RIGHT("00"&amp;HOUR(Sync!$AH1552),2)&amp;RIGHT("00"&amp;MINUTE(Sync!$AH1552),2),IFERROR(RIGHT("00"&amp;VALUE(LEFT(Sync!$AH1552,FIND(":",Sync!$AH1552)-1)),2)&amp;RIGHT("00"&amp;VALUE(MID(Sync!$AH1552,FIND(":",Sync!$AH1552)+1,2)),2),"0000"))))</f>
        <v/>
      </c>
    </row>
    <row r="1553">
      <c r="A1553">
        <f>IF(OR(Calc!$E1556="",Calc!$E1556="نامعتبر",Calc!$G1556="",Calc!$I1556&lt;&gt;"خرید"),"",Calc!$G1556)</f>
        <v/>
      </c>
      <c r="B1553">
        <f>IF($A1553="","",LEFT(Calc!$E1556,4)&amp;MID(Calc!$E1556,6,2)&amp;RIGHT(Calc!$E1556,2)&amp;Calc!$R1556&amp;"|"&amp;"1"&amp;RIGHT("00000"&amp;1548,5))</f>
        <v/>
      </c>
      <c r="C1553">
        <f>IF($B1553="","",COUNTIFS(LdgPartyA,$A1553,LdgKeyA,"&lt;"&amp;$B1553)+COUNTIFS(LdgPartyB,$A1553,LdgKeyB,"&lt;"&amp;$B1553)+1)</f>
        <v/>
      </c>
      <c r="D1553">
        <f>IF($C1553="","",$A1553&amp;"|"&amp;RIGHT("000000"&amp;$C1553,6))</f>
        <v/>
      </c>
      <c r="F1553">
        <f>IF(Sync!$AJ1553="","",Sync!$AJ1553)</f>
        <v/>
      </c>
      <c r="G1553">
        <f>IF($F1553="","",IF(Sync!$AG1553="","",IF(ISNUMBER(Sync!$AG1553),IF(AND(Sync!$AG1553&gt;=10000101,Sync!$AG1553&lt;=99991231),INT(Sync!$AG1553/10000),""),IFERROR(VALUE(TRIM(LEFT(Sync!$AG1553,FIND("/",Sync!$AG1553)-1))),""))))</f>
        <v/>
      </c>
      <c r="H1553">
        <f>IF(OR($F1553="",$G1553=""),"",IF(ISNUMBER(Sync!$AG1553),INT(MOD(Sync!$AG1553,10000)/100),IFERROR(VALUE(TRIM(LEFT(MID(Sync!$AG1553,FIND("/",Sync!$AG1553)+1,20),FIND("/",MID(Sync!$AG1553,FIND("/",Sync!$AG1553)+1,20))-1))),"")))</f>
        <v/>
      </c>
      <c r="I1553">
        <f>IF(OR($F1553="",$G1553=""),"",IF(ISNUMBER(Sync!$AG1553),MOD(Sync!$AG1553,100),IFERROR(VALUE(TRIM(MID(MID(Sync!$AG1553,FIND("/",Sync!$AG1553)+1,20),FIND("/",MID(Sync!$AG1553,FIND("/",Sync!$AG1553)+1,20))+1,20))),"")))</f>
        <v/>
      </c>
      <c r="J1553">
        <f>IF($F1553="","",IF(OR($G1553="",$H1553="",$I1553="",$G1553&lt;1300,$G1553&gt;1500,$H1553&lt;1,$H1553&gt;12,$I1553&lt;1,$I1553&gt;31),"نامعتبر",RIGHT("0000"&amp;$G1553,4)&amp;"/"&amp;RIGHT("00"&amp;$H1553,2)&amp;"/"&amp;RIGHT("00"&amp;$I1553,2)))</f>
        <v/>
      </c>
      <c r="K1553">
        <f>IF(OR($F1553="",$J1553="",$J1553="نامعتبر"),"",LEFT($J1553,4)&amp;MID($J1553,6,2)&amp;RIGHT($J1553,2)&amp;$N1553&amp;"|"&amp;"2"&amp;RIGHT("00000"&amp;1548,5))</f>
        <v/>
      </c>
      <c r="L1553">
        <f>IF($K1553="","",COUNTIFS(LdgPartyA,$F1553,LdgKeyA,"&lt;"&amp;$K1553)+COUNTIFS(LdgPartyB,$F1553,LdgKeyB,"&lt;"&amp;$K1553)+1)</f>
        <v/>
      </c>
      <c r="M1553">
        <f>IF($L1553="","",$F1553&amp;"|"&amp;RIGHT("000000"&amp;$L1553,6))</f>
        <v/>
      </c>
      <c r="N1553">
        <f>IF($F1553="","",IF(Sync!$AH1553="","0000",IF(AND(ISNUMBER(Sync!$AH1553),Sync!$AH1553&gt;=0,Sync!$AH1553&lt;1),RIGHT("00"&amp;HOUR(Sync!$AH1553),2)&amp;RIGHT("00"&amp;MINUTE(Sync!$AH1553),2),IFERROR(RIGHT("00"&amp;VALUE(LEFT(Sync!$AH1553,FIND(":",Sync!$AH1553)-1)),2)&amp;RIGHT("00"&amp;VALUE(MID(Sync!$AH1553,FIND(":",Sync!$AH1553)+1,2)),2),"0000"))))</f>
        <v/>
      </c>
    </row>
    <row r="1554">
      <c r="A1554">
        <f>IF(OR(Calc!$E1557="",Calc!$E1557="نامعتبر",Calc!$G1557="",Calc!$I1557&lt;&gt;"خرید"),"",Calc!$G1557)</f>
        <v/>
      </c>
      <c r="B1554">
        <f>IF($A1554="","",LEFT(Calc!$E1557,4)&amp;MID(Calc!$E1557,6,2)&amp;RIGHT(Calc!$E1557,2)&amp;Calc!$R1557&amp;"|"&amp;"1"&amp;RIGHT("00000"&amp;1549,5))</f>
        <v/>
      </c>
      <c r="C1554">
        <f>IF($B1554="","",COUNTIFS(LdgPartyA,$A1554,LdgKeyA,"&lt;"&amp;$B1554)+COUNTIFS(LdgPartyB,$A1554,LdgKeyB,"&lt;"&amp;$B1554)+1)</f>
        <v/>
      </c>
      <c r="D1554">
        <f>IF($C1554="","",$A1554&amp;"|"&amp;RIGHT("000000"&amp;$C1554,6))</f>
        <v/>
      </c>
      <c r="F1554">
        <f>IF(Sync!$AJ1554="","",Sync!$AJ1554)</f>
        <v/>
      </c>
      <c r="G1554">
        <f>IF($F1554="","",IF(Sync!$AG1554="","",IF(ISNUMBER(Sync!$AG1554),IF(AND(Sync!$AG1554&gt;=10000101,Sync!$AG1554&lt;=99991231),INT(Sync!$AG1554/10000),""),IFERROR(VALUE(TRIM(LEFT(Sync!$AG1554,FIND("/",Sync!$AG1554)-1))),""))))</f>
        <v/>
      </c>
      <c r="H1554">
        <f>IF(OR($F1554="",$G1554=""),"",IF(ISNUMBER(Sync!$AG1554),INT(MOD(Sync!$AG1554,10000)/100),IFERROR(VALUE(TRIM(LEFT(MID(Sync!$AG1554,FIND("/",Sync!$AG1554)+1,20),FIND("/",MID(Sync!$AG1554,FIND("/",Sync!$AG1554)+1,20))-1))),"")))</f>
        <v/>
      </c>
      <c r="I1554">
        <f>IF(OR($F1554="",$G1554=""),"",IF(ISNUMBER(Sync!$AG1554),MOD(Sync!$AG1554,100),IFERROR(VALUE(TRIM(MID(MID(Sync!$AG1554,FIND("/",Sync!$AG1554)+1,20),FIND("/",MID(Sync!$AG1554,FIND("/",Sync!$AG1554)+1,20))+1,20))),"")))</f>
        <v/>
      </c>
      <c r="J1554">
        <f>IF($F1554="","",IF(OR($G1554="",$H1554="",$I1554="",$G1554&lt;1300,$G1554&gt;1500,$H1554&lt;1,$H1554&gt;12,$I1554&lt;1,$I1554&gt;31),"نامعتبر",RIGHT("0000"&amp;$G1554,4)&amp;"/"&amp;RIGHT("00"&amp;$H1554,2)&amp;"/"&amp;RIGHT("00"&amp;$I1554,2)))</f>
        <v/>
      </c>
      <c r="K1554">
        <f>IF(OR($F1554="",$J1554="",$J1554="نامعتبر"),"",LEFT($J1554,4)&amp;MID($J1554,6,2)&amp;RIGHT($J1554,2)&amp;$N1554&amp;"|"&amp;"2"&amp;RIGHT("00000"&amp;1549,5))</f>
        <v/>
      </c>
      <c r="L1554">
        <f>IF($K1554="","",COUNTIFS(LdgPartyA,$F1554,LdgKeyA,"&lt;"&amp;$K1554)+COUNTIFS(LdgPartyB,$F1554,LdgKeyB,"&lt;"&amp;$K1554)+1)</f>
        <v/>
      </c>
      <c r="M1554">
        <f>IF($L1554="","",$F1554&amp;"|"&amp;RIGHT("000000"&amp;$L1554,6))</f>
        <v/>
      </c>
      <c r="N1554">
        <f>IF($F1554="","",IF(Sync!$AH1554="","0000",IF(AND(ISNUMBER(Sync!$AH1554),Sync!$AH1554&gt;=0,Sync!$AH1554&lt;1),RIGHT("00"&amp;HOUR(Sync!$AH1554),2)&amp;RIGHT("00"&amp;MINUTE(Sync!$AH1554),2),IFERROR(RIGHT("00"&amp;VALUE(LEFT(Sync!$AH1554,FIND(":",Sync!$AH1554)-1)),2)&amp;RIGHT("00"&amp;VALUE(MID(Sync!$AH1554,FIND(":",Sync!$AH1554)+1,2)),2),"0000"))))</f>
        <v/>
      </c>
    </row>
    <row r="1555">
      <c r="A1555">
        <f>IF(OR(Calc!$E1558="",Calc!$E1558="نامعتبر",Calc!$G1558="",Calc!$I1558&lt;&gt;"خرید"),"",Calc!$G1558)</f>
        <v/>
      </c>
      <c r="B1555">
        <f>IF($A1555="","",LEFT(Calc!$E1558,4)&amp;MID(Calc!$E1558,6,2)&amp;RIGHT(Calc!$E1558,2)&amp;Calc!$R1558&amp;"|"&amp;"1"&amp;RIGHT("00000"&amp;1550,5))</f>
        <v/>
      </c>
      <c r="C1555">
        <f>IF($B1555="","",COUNTIFS(LdgPartyA,$A1555,LdgKeyA,"&lt;"&amp;$B1555)+COUNTIFS(LdgPartyB,$A1555,LdgKeyB,"&lt;"&amp;$B1555)+1)</f>
        <v/>
      </c>
      <c r="D1555">
        <f>IF($C1555="","",$A1555&amp;"|"&amp;RIGHT("000000"&amp;$C1555,6))</f>
        <v/>
      </c>
      <c r="F1555">
        <f>IF(Sync!$AJ1555="","",Sync!$AJ1555)</f>
        <v/>
      </c>
      <c r="G1555">
        <f>IF($F1555="","",IF(Sync!$AG1555="","",IF(ISNUMBER(Sync!$AG1555),IF(AND(Sync!$AG1555&gt;=10000101,Sync!$AG1555&lt;=99991231),INT(Sync!$AG1555/10000),""),IFERROR(VALUE(TRIM(LEFT(Sync!$AG1555,FIND("/",Sync!$AG1555)-1))),""))))</f>
        <v/>
      </c>
      <c r="H1555">
        <f>IF(OR($F1555="",$G1555=""),"",IF(ISNUMBER(Sync!$AG1555),INT(MOD(Sync!$AG1555,10000)/100),IFERROR(VALUE(TRIM(LEFT(MID(Sync!$AG1555,FIND("/",Sync!$AG1555)+1,20),FIND("/",MID(Sync!$AG1555,FIND("/",Sync!$AG1555)+1,20))-1))),"")))</f>
        <v/>
      </c>
      <c r="I1555">
        <f>IF(OR($F1555="",$G1555=""),"",IF(ISNUMBER(Sync!$AG1555),MOD(Sync!$AG1555,100),IFERROR(VALUE(TRIM(MID(MID(Sync!$AG1555,FIND("/",Sync!$AG1555)+1,20),FIND("/",MID(Sync!$AG1555,FIND("/",Sync!$AG1555)+1,20))+1,20))),"")))</f>
        <v/>
      </c>
      <c r="J1555">
        <f>IF($F1555="","",IF(OR($G1555="",$H1555="",$I1555="",$G1555&lt;1300,$G1555&gt;1500,$H1555&lt;1,$H1555&gt;12,$I1555&lt;1,$I1555&gt;31),"نامعتبر",RIGHT("0000"&amp;$G1555,4)&amp;"/"&amp;RIGHT("00"&amp;$H1555,2)&amp;"/"&amp;RIGHT("00"&amp;$I1555,2)))</f>
        <v/>
      </c>
      <c r="K1555">
        <f>IF(OR($F1555="",$J1555="",$J1555="نامعتبر"),"",LEFT($J1555,4)&amp;MID($J1555,6,2)&amp;RIGHT($J1555,2)&amp;$N1555&amp;"|"&amp;"2"&amp;RIGHT("00000"&amp;1550,5))</f>
        <v/>
      </c>
      <c r="L1555">
        <f>IF($K1555="","",COUNTIFS(LdgPartyA,$F1555,LdgKeyA,"&lt;"&amp;$K1555)+COUNTIFS(LdgPartyB,$F1555,LdgKeyB,"&lt;"&amp;$K1555)+1)</f>
        <v/>
      </c>
      <c r="M1555">
        <f>IF($L1555="","",$F1555&amp;"|"&amp;RIGHT("000000"&amp;$L1555,6))</f>
        <v/>
      </c>
      <c r="N1555">
        <f>IF($F1555="","",IF(Sync!$AH1555="","0000",IF(AND(ISNUMBER(Sync!$AH1555),Sync!$AH1555&gt;=0,Sync!$AH1555&lt;1),RIGHT("00"&amp;HOUR(Sync!$AH1555),2)&amp;RIGHT("00"&amp;MINUTE(Sync!$AH1555),2),IFERROR(RIGHT("00"&amp;VALUE(LEFT(Sync!$AH1555,FIND(":",Sync!$AH1555)-1)),2)&amp;RIGHT("00"&amp;VALUE(MID(Sync!$AH1555,FIND(":",Sync!$AH1555)+1,2)),2),"0000"))))</f>
        <v/>
      </c>
    </row>
    <row r="1556">
      <c r="A1556">
        <f>IF(OR(Calc!$E1559="",Calc!$E1559="نامعتبر",Calc!$G1559="",Calc!$I1559&lt;&gt;"خرید"),"",Calc!$G1559)</f>
        <v/>
      </c>
      <c r="B1556">
        <f>IF($A1556="","",LEFT(Calc!$E1559,4)&amp;MID(Calc!$E1559,6,2)&amp;RIGHT(Calc!$E1559,2)&amp;Calc!$R1559&amp;"|"&amp;"1"&amp;RIGHT("00000"&amp;1551,5))</f>
        <v/>
      </c>
      <c r="C1556">
        <f>IF($B1556="","",COUNTIFS(LdgPartyA,$A1556,LdgKeyA,"&lt;"&amp;$B1556)+COUNTIFS(LdgPartyB,$A1556,LdgKeyB,"&lt;"&amp;$B1556)+1)</f>
        <v/>
      </c>
      <c r="D1556">
        <f>IF($C1556="","",$A1556&amp;"|"&amp;RIGHT("000000"&amp;$C1556,6))</f>
        <v/>
      </c>
      <c r="F1556">
        <f>IF(Sync!$AJ1556="","",Sync!$AJ1556)</f>
        <v/>
      </c>
      <c r="G1556">
        <f>IF($F1556="","",IF(Sync!$AG1556="","",IF(ISNUMBER(Sync!$AG1556),IF(AND(Sync!$AG1556&gt;=10000101,Sync!$AG1556&lt;=99991231),INT(Sync!$AG1556/10000),""),IFERROR(VALUE(TRIM(LEFT(Sync!$AG1556,FIND("/",Sync!$AG1556)-1))),""))))</f>
        <v/>
      </c>
      <c r="H1556">
        <f>IF(OR($F1556="",$G1556=""),"",IF(ISNUMBER(Sync!$AG1556),INT(MOD(Sync!$AG1556,10000)/100),IFERROR(VALUE(TRIM(LEFT(MID(Sync!$AG1556,FIND("/",Sync!$AG1556)+1,20),FIND("/",MID(Sync!$AG1556,FIND("/",Sync!$AG1556)+1,20))-1))),"")))</f>
        <v/>
      </c>
      <c r="I1556">
        <f>IF(OR($F1556="",$G1556=""),"",IF(ISNUMBER(Sync!$AG1556),MOD(Sync!$AG1556,100),IFERROR(VALUE(TRIM(MID(MID(Sync!$AG1556,FIND("/",Sync!$AG1556)+1,20),FIND("/",MID(Sync!$AG1556,FIND("/",Sync!$AG1556)+1,20))+1,20))),"")))</f>
        <v/>
      </c>
      <c r="J1556">
        <f>IF($F1556="","",IF(OR($G1556="",$H1556="",$I1556="",$G1556&lt;1300,$G1556&gt;1500,$H1556&lt;1,$H1556&gt;12,$I1556&lt;1,$I1556&gt;31),"نامعتبر",RIGHT("0000"&amp;$G1556,4)&amp;"/"&amp;RIGHT("00"&amp;$H1556,2)&amp;"/"&amp;RIGHT("00"&amp;$I1556,2)))</f>
        <v/>
      </c>
      <c r="K1556">
        <f>IF(OR($F1556="",$J1556="",$J1556="نامعتبر"),"",LEFT($J1556,4)&amp;MID($J1556,6,2)&amp;RIGHT($J1556,2)&amp;$N1556&amp;"|"&amp;"2"&amp;RIGHT("00000"&amp;1551,5))</f>
        <v/>
      </c>
      <c r="L1556">
        <f>IF($K1556="","",COUNTIFS(LdgPartyA,$F1556,LdgKeyA,"&lt;"&amp;$K1556)+COUNTIFS(LdgPartyB,$F1556,LdgKeyB,"&lt;"&amp;$K1556)+1)</f>
        <v/>
      </c>
      <c r="M1556">
        <f>IF($L1556="","",$F1556&amp;"|"&amp;RIGHT("000000"&amp;$L1556,6))</f>
        <v/>
      </c>
      <c r="N1556">
        <f>IF($F1556="","",IF(Sync!$AH1556="","0000",IF(AND(ISNUMBER(Sync!$AH1556),Sync!$AH1556&gt;=0,Sync!$AH1556&lt;1),RIGHT("00"&amp;HOUR(Sync!$AH1556),2)&amp;RIGHT("00"&amp;MINUTE(Sync!$AH1556),2),IFERROR(RIGHT("00"&amp;VALUE(LEFT(Sync!$AH1556,FIND(":",Sync!$AH1556)-1)),2)&amp;RIGHT("00"&amp;VALUE(MID(Sync!$AH1556,FIND(":",Sync!$AH1556)+1,2)),2),"0000"))))</f>
        <v/>
      </c>
    </row>
    <row r="1557">
      <c r="A1557">
        <f>IF(OR(Calc!$E1560="",Calc!$E1560="نامعتبر",Calc!$G1560="",Calc!$I1560&lt;&gt;"خرید"),"",Calc!$G1560)</f>
        <v/>
      </c>
      <c r="B1557">
        <f>IF($A1557="","",LEFT(Calc!$E1560,4)&amp;MID(Calc!$E1560,6,2)&amp;RIGHT(Calc!$E1560,2)&amp;Calc!$R1560&amp;"|"&amp;"1"&amp;RIGHT("00000"&amp;1552,5))</f>
        <v/>
      </c>
      <c r="C1557">
        <f>IF($B1557="","",COUNTIFS(LdgPartyA,$A1557,LdgKeyA,"&lt;"&amp;$B1557)+COUNTIFS(LdgPartyB,$A1557,LdgKeyB,"&lt;"&amp;$B1557)+1)</f>
        <v/>
      </c>
      <c r="D1557">
        <f>IF($C1557="","",$A1557&amp;"|"&amp;RIGHT("000000"&amp;$C1557,6))</f>
        <v/>
      </c>
      <c r="F1557">
        <f>IF(Sync!$AJ1557="","",Sync!$AJ1557)</f>
        <v/>
      </c>
      <c r="G1557">
        <f>IF($F1557="","",IF(Sync!$AG1557="","",IF(ISNUMBER(Sync!$AG1557),IF(AND(Sync!$AG1557&gt;=10000101,Sync!$AG1557&lt;=99991231),INT(Sync!$AG1557/10000),""),IFERROR(VALUE(TRIM(LEFT(Sync!$AG1557,FIND("/",Sync!$AG1557)-1))),""))))</f>
        <v/>
      </c>
      <c r="H1557">
        <f>IF(OR($F1557="",$G1557=""),"",IF(ISNUMBER(Sync!$AG1557),INT(MOD(Sync!$AG1557,10000)/100),IFERROR(VALUE(TRIM(LEFT(MID(Sync!$AG1557,FIND("/",Sync!$AG1557)+1,20),FIND("/",MID(Sync!$AG1557,FIND("/",Sync!$AG1557)+1,20))-1))),"")))</f>
        <v/>
      </c>
      <c r="I1557">
        <f>IF(OR($F1557="",$G1557=""),"",IF(ISNUMBER(Sync!$AG1557),MOD(Sync!$AG1557,100),IFERROR(VALUE(TRIM(MID(MID(Sync!$AG1557,FIND("/",Sync!$AG1557)+1,20),FIND("/",MID(Sync!$AG1557,FIND("/",Sync!$AG1557)+1,20))+1,20))),"")))</f>
        <v/>
      </c>
      <c r="J1557">
        <f>IF($F1557="","",IF(OR($G1557="",$H1557="",$I1557="",$G1557&lt;1300,$G1557&gt;1500,$H1557&lt;1,$H1557&gt;12,$I1557&lt;1,$I1557&gt;31),"نامعتبر",RIGHT("0000"&amp;$G1557,4)&amp;"/"&amp;RIGHT("00"&amp;$H1557,2)&amp;"/"&amp;RIGHT("00"&amp;$I1557,2)))</f>
        <v/>
      </c>
      <c r="K1557">
        <f>IF(OR($F1557="",$J1557="",$J1557="نامعتبر"),"",LEFT($J1557,4)&amp;MID($J1557,6,2)&amp;RIGHT($J1557,2)&amp;$N1557&amp;"|"&amp;"2"&amp;RIGHT("00000"&amp;1552,5))</f>
        <v/>
      </c>
      <c r="L1557">
        <f>IF($K1557="","",COUNTIFS(LdgPartyA,$F1557,LdgKeyA,"&lt;"&amp;$K1557)+COUNTIFS(LdgPartyB,$F1557,LdgKeyB,"&lt;"&amp;$K1557)+1)</f>
        <v/>
      </c>
      <c r="M1557">
        <f>IF($L1557="","",$F1557&amp;"|"&amp;RIGHT("000000"&amp;$L1557,6))</f>
        <v/>
      </c>
      <c r="N1557">
        <f>IF($F1557="","",IF(Sync!$AH1557="","0000",IF(AND(ISNUMBER(Sync!$AH1557),Sync!$AH1557&gt;=0,Sync!$AH1557&lt;1),RIGHT("00"&amp;HOUR(Sync!$AH1557),2)&amp;RIGHT("00"&amp;MINUTE(Sync!$AH1557),2),IFERROR(RIGHT("00"&amp;VALUE(LEFT(Sync!$AH1557,FIND(":",Sync!$AH1557)-1)),2)&amp;RIGHT("00"&amp;VALUE(MID(Sync!$AH1557,FIND(":",Sync!$AH1557)+1,2)),2),"0000"))))</f>
        <v/>
      </c>
    </row>
    <row r="1558">
      <c r="A1558">
        <f>IF(OR(Calc!$E1561="",Calc!$E1561="نامعتبر",Calc!$G1561="",Calc!$I1561&lt;&gt;"خرید"),"",Calc!$G1561)</f>
        <v/>
      </c>
      <c r="B1558">
        <f>IF($A1558="","",LEFT(Calc!$E1561,4)&amp;MID(Calc!$E1561,6,2)&amp;RIGHT(Calc!$E1561,2)&amp;Calc!$R1561&amp;"|"&amp;"1"&amp;RIGHT("00000"&amp;1553,5))</f>
        <v/>
      </c>
      <c r="C1558">
        <f>IF($B1558="","",COUNTIFS(LdgPartyA,$A1558,LdgKeyA,"&lt;"&amp;$B1558)+COUNTIFS(LdgPartyB,$A1558,LdgKeyB,"&lt;"&amp;$B1558)+1)</f>
        <v/>
      </c>
      <c r="D1558">
        <f>IF($C1558="","",$A1558&amp;"|"&amp;RIGHT("000000"&amp;$C1558,6))</f>
        <v/>
      </c>
      <c r="F1558">
        <f>IF(Sync!$AJ1558="","",Sync!$AJ1558)</f>
        <v/>
      </c>
      <c r="G1558">
        <f>IF($F1558="","",IF(Sync!$AG1558="","",IF(ISNUMBER(Sync!$AG1558),IF(AND(Sync!$AG1558&gt;=10000101,Sync!$AG1558&lt;=99991231),INT(Sync!$AG1558/10000),""),IFERROR(VALUE(TRIM(LEFT(Sync!$AG1558,FIND("/",Sync!$AG1558)-1))),""))))</f>
        <v/>
      </c>
      <c r="H1558">
        <f>IF(OR($F1558="",$G1558=""),"",IF(ISNUMBER(Sync!$AG1558),INT(MOD(Sync!$AG1558,10000)/100),IFERROR(VALUE(TRIM(LEFT(MID(Sync!$AG1558,FIND("/",Sync!$AG1558)+1,20),FIND("/",MID(Sync!$AG1558,FIND("/",Sync!$AG1558)+1,20))-1))),"")))</f>
        <v/>
      </c>
      <c r="I1558">
        <f>IF(OR($F1558="",$G1558=""),"",IF(ISNUMBER(Sync!$AG1558),MOD(Sync!$AG1558,100),IFERROR(VALUE(TRIM(MID(MID(Sync!$AG1558,FIND("/",Sync!$AG1558)+1,20),FIND("/",MID(Sync!$AG1558,FIND("/",Sync!$AG1558)+1,20))+1,20))),"")))</f>
        <v/>
      </c>
      <c r="J1558">
        <f>IF($F1558="","",IF(OR($G1558="",$H1558="",$I1558="",$G1558&lt;1300,$G1558&gt;1500,$H1558&lt;1,$H1558&gt;12,$I1558&lt;1,$I1558&gt;31),"نامعتبر",RIGHT("0000"&amp;$G1558,4)&amp;"/"&amp;RIGHT("00"&amp;$H1558,2)&amp;"/"&amp;RIGHT("00"&amp;$I1558,2)))</f>
        <v/>
      </c>
      <c r="K1558">
        <f>IF(OR($F1558="",$J1558="",$J1558="نامعتبر"),"",LEFT($J1558,4)&amp;MID($J1558,6,2)&amp;RIGHT($J1558,2)&amp;$N1558&amp;"|"&amp;"2"&amp;RIGHT("00000"&amp;1553,5))</f>
        <v/>
      </c>
      <c r="L1558">
        <f>IF($K1558="","",COUNTIFS(LdgPartyA,$F1558,LdgKeyA,"&lt;"&amp;$K1558)+COUNTIFS(LdgPartyB,$F1558,LdgKeyB,"&lt;"&amp;$K1558)+1)</f>
        <v/>
      </c>
      <c r="M1558">
        <f>IF($L1558="","",$F1558&amp;"|"&amp;RIGHT("000000"&amp;$L1558,6))</f>
        <v/>
      </c>
      <c r="N1558">
        <f>IF($F1558="","",IF(Sync!$AH1558="","0000",IF(AND(ISNUMBER(Sync!$AH1558),Sync!$AH1558&gt;=0,Sync!$AH1558&lt;1),RIGHT("00"&amp;HOUR(Sync!$AH1558),2)&amp;RIGHT("00"&amp;MINUTE(Sync!$AH1558),2),IFERROR(RIGHT("00"&amp;VALUE(LEFT(Sync!$AH1558,FIND(":",Sync!$AH1558)-1)),2)&amp;RIGHT("00"&amp;VALUE(MID(Sync!$AH1558,FIND(":",Sync!$AH1558)+1,2)),2),"0000"))))</f>
        <v/>
      </c>
    </row>
    <row r="1559">
      <c r="A1559">
        <f>IF(OR(Calc!$E1562="",Calc!$E1562="نامعتبر",Calc!$G1562="",Calc!$I1562&lt;&gt;"خرید"),"",Calc!$G1562)</f>
        <v/>
      </c>
      <c r="B1559">
        <f>IF($A1559="","",LEFT(Calc!$E1562,4)&amp;MID(Calc!$E1562,6,2)&amp;RIGHT(Calc!$E1562,2)&amp;Calc!$R1562&amp;"|"&amp;"1"&amp;RIGHT("00000"&amp;1554,5))</f>
        <v/>
      </c>
      <c r="C1559">
        <f>IF($B1559="","",COUNTIFS(LdgPartyA,$A1559,LdgKeyA,"&lt;"&amp;$B1559)+COUNTIFS(LdgPartyB,$A1559,LdgKeyB,"&lt;"&amp;$B1559)+1)</f>
        <v/>
      </c>
      <c r="D1559">
        <f>IF($C1559="","",$A1559&amp;"|"&amp;RIGHT("000000"&amp;$C1559,6))</f>
        <v/>
      </c>
      <c r="F1559">
        <f>IF(Sync!$AJ1559="","",Sync!$AJ1559)</f>
        <v/>
      </c>
      <c r="G1559">
        <f>IF($F1559="","",IF(Sync!$AG1559="","",IF(ISNUMBER(Sync!$AG1559),IF(AND(Sync!$AG1559&gt;=10000101,Sync!$AG1559&lt;=99991231),INT(Sync!$AG1559/10000),""),IFERROR(VALUE(TRIM(LEFT(Sync!$AG1559,FIND("/",Sync!$AG1559)-1))),""))))</f>
        <v/>
      </c>
      <c r="H1559">
        <f>IF(OR($F1559="",$G1559=""),"",IF(ISNUMBER(Sync!$AG1559),INT(MOD(Sync!$AG1559,10000)/100),IFERROR(VALUE(TRIM(LEFT(MID(Sync!$AG1559,FIND("/",Sync!$AG1559)+1,20),FIND("/",MID(Sync!$AG1559,FIND("/",Sync!$AG1559)+1,20))-1))),"")))</f>
        <v/>
      </c>
      <c r="I1559">
        <f>IF(OR($F1559="",$G1559=""),"",IF(ISNUMBER(Sync!$AG1559),MOD(Sync!$AG1559,100),IFERROR(VALUE(TRIM(MID(MID(Sync!$AG1559,FIND("/",Sync!$AG1559)+1,20),FIND("/",MID(Sync!$AG1559,FIND("/",Sync!$AG1559)+1,20))+1,20))),"")))</f>
        <v/>
      </c>
      <c r="J1559">
        <f>IF($F1559="","",IF(OR($G1559="",$H1559="",$I1559="",$G1559&lt;1300,$G1559&gt;1500,$H1559&lt;1,$H1559&gt;12,$I1559&lt;1,$I1559&gt;31),"نامعتبر",RIGHT("0000"&amp;$G1559,4)&amp;"/"&amp;RIGHT("00"&amp;$H1559,2)&amp;"/"&amp;RIGHT("00"&amp;$I1559,2)))</f>
        <v/>
      </c>
      <c r="K1559">
        <f>IF(OR($F1559="",$J1559="",$J1559="نامعتبر"),"",LEFT($J1559,4)&amp;MID($J1559,6,2)&amp;RIGHT($J1559,2)&amp;$N1559&amp;"|"&amp;"2"&amp;RIGHT("00000"&amp;1554,5))</f>
        <v/>
      </c>
      <c r="L1559">
        <f>IF($K1559="","",COUNTIFS(LdgPartyA,$F1559,LdgKeyA,"&lt;"&amp;$K1559)+COUNTIFS(LdgPartyB,$F1559,LdgKeyB,"&lt;"&amp;$K1559)+1)</f>
        <v/>
      </c>
      <c r="M1559">
        <f>IF($L1559="","",$F1559&amp;"|"&amp;RIGHT("000000"&amp;$L1559,6))</f>
        <v/>
      </c>
      <c r="N1559">
        <f>IF($F1559="","",IF(Sync!$AH1559="","0000",IF(AND(ISNUMBER(Sync!$AH1559),Sync!$AH1559&gt;=0,Sync!$AH1559&lt;1),RIGHT("00"&amp;HOUR(Sync!$AH1559),2)&amp;RIGHT("00"&amp;MINUTE(Sync!$AH1559),2),IFERROR(RIGHT("00"&amp;VALUE(LEFT(Sync!$AH1559,FIND(":",Sync!$AH1559)-1)),2)&amp;RIGHT("00"&amp;VALUE(MID(Sync!$AH1559,FIND(":",Sync!$AH1559)+1,2)),2),"0000"))))</f>
        <v/>
      </c>
    </row>
    <row r="1560">
      <c r="A1560">
        <f>IF(OR(Calc!$E1563="",Calc!$E1563="نامعتبر",Calc!$G1563="",Calc!$I1563&lt;&gt;"خرید"),"",Calc!$G1563)</f>
        <v/>
      </c>
      <c r="B1560">
        <f>IF($A1560="","",LEFT(Calc!$E1563,4)&amp;MID(Calc!$E1563,6,2)&amp;RIGHT(Calc!$E1563,2)&amp;Calc!$R1563&amp;"|"&amp;"1"&amp;RIGHT("00000"&amp;1555,5))</f>
        <v/>
      </c>
      <c r="C1560">
        <f>IF($B1560="","",COUNTIFS(LdgPartyA,$A1560,LdgKeyA,"&lt;"&amp;$B1560)+COUNTIFS(LdgPartyB,$A1560,LdgKeyB,"&lt;"&amp;$B1560)+1)</f>
        <v/>
      </c>
      <c r="D1560">
        <f>IF($C1560="","",$A1560&amp;"|"&amp;RIGHT("000000"&amp;$C1560,6))</f>
        <v/>
      </c>
      <c r="F1560">
        <f>IF(Sync!$AJ1560="","",Sync!$AJ1560)</f>
        <v/>
      </c>
      <c r="G1560">
        <f>IF($F1560="","",IF(Sync!$AG1560="","",IF(ISNUMBER(Sync!$AG1560),IF(AND(Sync!$AG1560&gt;=10000101,Sync!$AG1560&lt;=99991231),INT(Sync!$AG1560/10000),""),IFERROR(VALUE(TRIM(LEFT(Sync!$AG1560,FIND("/",Sync!$AG1560)-1))),""))))</f>
        <v/>
      </c>
      <c r="H1560">
        <f>IF(OR($F1560="",$G1560=""),"",IF(ISNUMBER(Sync!$AG1560),INT(MOD(Sync!$AG1560,10000)/100),IFERROR(VALUE(TRIM(LEFT(MID(Sync!$AG1560,FIND("/",Sync!$AG1560)+1,20),FIND("/",MID(Sync!$AG1560,FIND("/",Sync!$AG1560)+1,20))-1))),"")))</f>
        <v/>
      </c>
      <c r="I1560">
        <f>IF(OR($F1560="",$G1560=""),"",IF(ISNUMBER(Sync!$AG1560),MOD(Sync!$AG1560,100),IFERROR(VALUE(TRIM(MID(MID(Sync!$AG1560,FIND("/",Sync!$AG1560)+1,20),FIND("/",MID(Sync!$AG1560,FIND("/",Sync!$AG1560)+1,20))+1,20))),"")))</f>
        <v/>
      </c>
      <c r="J1560">
        <f>IF($F1560="","",IF(OR($G1560="",$H1560="",$I1560="",$G1560&lt;1300,$G1560&gt;1500,$H1560&lt;1,$H1560&gt;12,$I1560&lt;1,$I1560&gt;31),"نامعتبر",RIGHT("0000"&amp;$G1560,4)&amp;"/"&amp;RIGHT("00"&amp;$H1560,2)&amp;"/"&amp;RIGHT("00"&amp;$I1560,2)))</f>
        <v/>
      </c>
      <c r="K1560">
        <f>IF(OR($F1560="",$J1560="",$J1560="نامعتبر"),"",LEFT($J1560,4)&amp;MID($J1560,6,2)&amp;RIGHT($J1560,2)&amp;$N1560&amp;"|"&amp;"2"&amp;RIGHT("00000"&amp;1555,5))</f>
        <v/>
      </c>
      <c r="L1560">
        <f>IF($K1560="","",COUNTIFS(LdgPartyA,$F1560,LdgKeyA,"&lt;"&amp;$K1560)+COUNTIFS(LdgPartyB,$F1560,LdgKeyB,"&lt;"&amp;$K1560)+1)</f>
        <v/>
      </c>
      <c r="M1560">
        <f>IF($L1560="","",$F1560&amp;"|"&amp;RIGHT("000000"&amp;$L1560,6))</f>
        <v/>
      </c>
      <c r="N1560">
        <f>IF($F1560="","",IF(Sync!$AH1560="","0000",IF(AND(ISNUMBER(Sync!$AH1560),Sync!$AH1560&gt;=0,Sync!$AH1560&lt;1),RIGHT("00"&amp;HOUR(Sync!$AH1560),2)&amp;RIGHT("00"&amp;MINUTE(Sync!$AH1560),2),IFERROR(RIGHT("00"&amp;VALUE(LEFT(Sync!$AH1560,FIND(":",Sync!$AH1560)-1)),2)&amp;RIGHT("00"&amp;VALUE(MID(Sync!$AH1560,FIND(":",Sync!$AH1560)+1,2)),2),"0000"))))</f>
        <v/>
      </c>
    </row>
    <row r="1561">
      <c r="A1561">
        <f>IF(OR(Calc!$E1564="",Calc!$E1564="نامعتبر",Calc!$G1564="",Calc!$I1564&lt;&gt;"خرید"),"",Calc!$G1564)</f>
        <v/>
      </c>
      <c r="B1561">
        <f>IF($A1561="","",LEFT(Calc!$E1564,4)&amp;MID(Calc!$E1564,6,2)&amp;RIGHT(Calc!$E1564,2)&amp;Calc!$R1564&amp;"|"&amp;"1"&amp;RIGHT("00000"&amp;1556,5))</f>
        <v/>
      </c>
      <c r="C1561">
        <f>IF($B1561="","",COUNTIFS(LdgPartyA,$A1561,LdgKeyA,"&lt;"&amp;$B1561)+COUNTIFS(LdgPartyB,$A1561,LdgKeyB,"&lt;"&amp;$B1561)+1)</f>
        <v/>
      </c>
      <c r="D1561">
        <f>IF($C1561="","",$A1561&amp;"|"&amp;RIGHT("000000"&amp;$C1561,6))</f>
        <v/>
      </c>
      <c r="F1561">
        <f>IF(Sync!$AJ1561="","",Sync!$AJ1561)</f>
        <v/>
      </c>
      <c r="G1561">
        <f>IF($F1561="","",IF(Sync!$AG1561="","",IF(ISNUMBER(Sync!$AG1561),IF(AND(Sync!$AG1561&gt;=10000101,Sync!$AG1561&lt;=99991231),INT(Sync!$AG1561/10000),""),IFERROR(VALUE(TRIM(LEFT(Sync!$AG1561,FIND("/",Sync!$AG1561)-1))),""))))</f>
        <v/>
      </c>
      <c r="H1561">
        <f>IF(OR($F1561="",$G1561=""),"",IF(ISNUMBER(Sync!$AG1561),INT(MOD(Sync!$AG1561,10000)/100),IFERROR(VALUE(TRIM(LEFT(MID(Sync!$AG1561,FIND("/",Sync!$AG1561)+1,20),FIND("/",MID(Sync!$AG1561,FIND("/",Sync!$AG1561)+1,20))-1))),"")))</f>
        <v/>
      </c>
      <c r="I1561">
        <f>IF(OR($F1561="",$G1561=""),"",IF(ISNUMBER(Sync!$AG1561),MOD(Sync!$AG1561,100),IFERROR(VALUE(TRIM(MID(MID(Sync!$AG1561,FIND("/",Sync!$AG1561)+1,20),FIND("/",MID(Sync!$AG1561,FIND("/",Sync!$AG1561)+1,20))+1,20))),"")))</f>
        <v/>
      </c>
      <c r="J1561">
        <f>IF($F1561="","",IF(OR($G1561="",$H1561="",$I1561="",$G1561&lt;1300,$G1561&gt;1500,$H1561&lt;1,$H1561&gt;12,$I1561&lt;1,$I1561&gt;31),"نامعتبر",RIGHT("0000"&amp;$G1561,4)&amp;"/"&amp;RIGHT("00"&amp;$H1561,2)&amp;"/"&amp;RIGHT("00"&amp;$I1561,2)))</f>
        <v/>
      </c>
      <c r="K1561">
        <f>IF(OR($F1561="",$J1561="",$J1561="نامعتبر"),"",LEFT($J1561,4)&amp;MID($J1561,6,2)&amp;RIGHT($J1561,2)&amp;$N1561&amp;"|"&amp;"2"&amp;RIGHT("00000"&amp;1556,5))</f>
        <v/>
      </c>
      <c r="L1561">
        <f>IF($K1561="","",COUNTIFS(LdgPartyA,$F1561,LdgKeyA,"&lt;"&amp;$K1561)+COUNTIFS(LdgPartyB,$F1561,LdgKeyB,"&lt;"&amp;$K1561)+1)</f>
        <v/>
      </c>
      <c r="M1561">
        <f>IF($L1561="","",$F1561&amp;"|"&amp;RIGHT("000000"&amp;$L1561,6))</f>
        <v/>
      </c>
      <c r="N1561">
        <f>IF($F1561="","",IF(Sync!$AH1561="","0000",IF(AND(ISNUMBER(Sync!$AH1561),Sync!$AH1561&gt;=0,Sync!$AH1561&lt;1),RIGHT("00"&amp;HOUR(Sync!$AH1561),2)&amp;RIGHT("00"&amp;MINUTE(Sync!$AH1561),2),IFERROR(RIGHT("00"&amp;VALUE(LEFT(Sync!$AH1561,FIND(":",Sync!$AH1561)-1)),2)&amp;RIGHT("00"&amp;VALUE(MID(Sync!$AH1561,FIND(":",Sync!$AH1561)+1,2)),2),"0000"))))</f>
        <v/>
      </c>
    </row>
    <row r="1562">
      <c r="A1562">
        <f>IF(OR(Calc!$E1565="",Calc!$E1565="نامعتبر",Calc!$G1565="",Calc!$I1565&lt;&gt;"خرید"),"",Calc!$G1565)</f>
        <v/>
      </c>
      <c r="B1562">
        <f>IF($A1562="","",LEFT(Calc!$E1565,4)&amp;MID(Calc!$E1565,6,2)&amp;RIGHT(Calc!$E1565,2)&amp;Calc!$R1565&amp;"|"&amp;"1"&amp;RIGHT("00000"&amp;1557,5))</f>
        <v/>
      </c>
      <c r="C1562">
        <f>IF($B1562="","",COUNTIFS(LdgPartyA,$A1562,LdgKeyA,"&lt;"&amp;$B1562)+COUNTIFS(LdgPartyB,$A1562,LdgKeyB,"&lt;"&amp;$B1562)+1)</f>
        <v/>
      </c>
      <c r="D1562">
        <f>IF($C1562="","",$A1562&amp;"|"&amp;RIGHT("000000"&amp;$C1562,6))</f>
        <v/>
      </c>
      <c r="F1562">
        <f>IF(Sync!$AJ1562="","",Sync!$AJ1562)</f>
        <v/>
      </c>
      <c r="G1562">
        <f>IF($F1562="","",IF(Sync!$AG1562="","",IF(ISNUMBER(Sync!$AG1562),IF(AND(Sync!$AG1562&gt;=10000101,Sync!$AG1562&lt;=99991231),INT(Sync!$AG1562/10000),""),IFERROR(VALUE(TRIM(LEFT(Sync!$AG1562,FIND("/",Sync!$AG1562)-1))),""))))</f>
        <v/>
      </c>
      <c r="H1562">
        <f>IF(OR($F1562="",$G1562=""),"",IF(ISNUMBER(Sync!$AG1562),INT(MOD(Sync!$AG1562,10000)/100),IFERROR(VALUE(TRIM(LEFT(MID(Sync!$AG1562,FIND("/",Sync!$AG1562)+1,20),FIND("/",MID(Sync!$AG1562,FIND("/",Sync!$AG1562)+1,20))-1))),"")))</f>
        <v/>
      </c>
      <c r="I1562">
        <f>IF(OR($F1562="",$G1562=""),"",IF(ISNUMBER(Sync!$AG1562),MOD(Sync!$AG1562,100),IFERROR(VALUE(TRIM(MID(MID(Sync!$AG1562,FIND("/",Sync!$AG1562)+1,20),FIND("/",MID(Sync!$AG1562,FIND("/",Sync!$AG1562)+1,20))+1,20))),"")))</f>
        <v/>
      </c>
      <c r="J1562">
        <f>IF($F1562="","",IF(OR($G1562="",$H1562="",$I1562="",$G1562&lt;1300,$G1562&gt;1500,$H1562&lt;1,$H1562&gt;12,$I1562&lt;1,$I1562&gt;31),"نامعتبر",RIGHT("0000"&amp;$G1562,4)&amp;"/"&amp;RIGHT("00"&amp;$H1562,2)&amp;"/"&amp;RIGHT("00"&amp;$I1562,2)))</f>
        <v/>
      </c>
      <c r="K1562">
        <f>IF(OR($F1562="",$J1562="",$J1562="نامعتبر"),"",LEFT($J1562,4)&amp;MID($J1562,6,2)&amp;RIGHT($J1562,2)&amp;$N1562&amp;"|"&amp;"2"&amp;RIGHT("00000"&amp;1557,5))</f>
        <v/>
      </c>
      <c r="L1562">
        <f>IF($K1562="","",COUNTIFS(LdgPartyA,$F1562,LdgKeyA,"&lt;"&amp;$K1562)+COUNTIFS(LdgPartyB,$F1562,LdgKeyB,"&lt;"&amp;$K1562)+1)</f>
        <v/>
      </c>
      <c r="M1562">
        <f>IF($L1562="","",$F1562&amp;"|"&amp;RIGHT("000000"&amp;$L1562,6))</f>
        <v/>
      </c>
      <c r="N1562">
        <f>IF($F1562="","",IF(Sync!$AH1562="","0000",IF(AND(ISNUMBER(Sync!$AH1562),Sync!$AH1562&gt;=0,Sync!$AH1562&lt;1),RIGHT("00"&amp;HOUR(Sync!$AH1562),2)&amp;RIGHT("00"&amp;MINUTE(Sync!$AH1562),2),IFERROR(RIGHT("00"&amp;VALUE(LEFT(Sync!$AH1562,FIND(":",Sync!$AH1562)-1)),2)&amp;RIGHT("00"&amp;VALUE(MID(Sync!$AH1562,FIND(":",Sync!$AH1562)+1,2)),2),"0000"))))</f>
        <v/>
      </c>
    </row>
    <row r="1563">
      <c r="A1563">
        <f>IF(OR(Calc!$E1566="",Calc!$E1566="نامعتبر",Calc!$G1566="",Calc!$I1566&lt;&gt;"خرید"),"",Calc!$G1566)</f>
        <v/>
      </c>
      <c r="B1563">
        <f>IF($A1563="","",LEFT(Calc!$E1566,4)&amp;MID(Calc!$E1566,6,2)&amp;RIGHT(Calc!$E1566,2)&amp;Calc!$R1566&amp;"|"&amp;"1"&amp;RIGHT("00000"&amp;1558,5))</f>
        <v/>
      </c>
      <c r="C1563">
        <f>IF($B1563="","",COUNTIFS(LdgPartyA,$A1563,LdgKeyA,"&lt;"&amp;$B1563)+COUNTIFS(LdgPartyB,$A1563,LdgKeyB,"&lt;"&amp;$B1563)+1)</f>
        <v/>
      </c>
      <c r="D1563">
        <f>IF($C1563="","",$A1563&amp;"|"&amp;RIGHT("000000"&amp;$C1563,6))</f>
        <v/>
      </c>
      <c r="F1563">
        <f>IF(Sync!$AJ1563="","",Sync!$AJ1563)</f>
        <v/>
      </c>
      <c r="G1563">
        <f>IF($F1563="","",IF(Sync!$AG1563="","",IF(ISNUMBER(Sync!$AG1563),IF(AND(Sync!$AG1563&gt;=10000101,Sync!$AG1563&lt;=99991231),INT(Sync!$AG1563/10000),""),IFERROR(VALUE(TRIM(LEFT(Sync!$AG1563,FIND("/",Sync!$AG1563)-1))),""))))</f>
        <v/>
      </c>
      <c r="H1563">
        <f>IF(OR($F1563="",$G1563=""),"",IF(ISNUMBER(Sync!$AG1563),INT(MOD(Sync!$AG1563,10000)/100),IFERROR(VALUE(TRIM(LEFT(MID(Sync!$AG1563,FIND("/",Sync!$AG1563)+1,20),FIND("/",MID(Sync!$AG1563,FIND("/",Sync!$AG1563)+1,20))-1))),"")))</f>
        <v/>
      </c>
      <c r="I1563">
        <f>IF(OR($F1563="",$G1563=""),"",IF(ISNUMBER(Sync!$AG1563),MOD(Sync!$AG1563,100),IFERROR(VALUE(TRIM(MID(MID(Sync!$AG1563,FIND("/",Sync!$AG1563)+1,20),FIND("/",MID(Sync!$AG1563,FIND("/",Sync!$AG1563)+1,20))+1,20))),"")))</f>
        <v/>
      </c>
      <c r="J1563">
        <f>IF($F1563="","",IF(OR($G1563="",$H1563="",$I1563="",$G1563&lt;1300,$G1563&gt;1500,$H1563&lt;1,$H1563&gt;12,$I1563&lt;1,$I1563&gt;31),"نامعتبر",RIGHT("0000"&amp;$G1563,4)&amp;"/"&amp;RIGHT("00"&amp;$H1563,2)&amp;"/"&amp;RIGHT("00"&amp;$I1563,2)))</f>
        <v/>
      </c>
      <c r="K1563">
        <f>IF(OR($F1563="",$J1563="",$J1563="نامعتبر"),"",LEFT($J1563,4)&amp;MID($J1563,6,2)&amp;RIGHT($J1563,2)&amp;$N1563&amp;"|"&amp;"2"&amp;RIGHT("00000"&amp;1558,5))</f>
        <v/>
      </c>
      <c r="L1563">
        <f>IF($K1563="","",COUNTIFS(LdgPartyA,$F1563,LdgKeyA,"&lt;"&amp;$K1563)+COUNTIFS(LdgPartyB,$F1563,LdgKeyB,"&lt;"&amp;$K1563)+1)</f>
        <v/>
      </c>
      <c r="M1563">
        <f>IF($L1563="","",$F1563&amp;"|"&amp;RIGHT("000000"&amp;$L1563,6))</f>
        <v/>
      </c>
      <c r="N1563">
        <f>IF($F1563="","",IF(Sync!$AH1563="","0000",IF(AND(ISNUMBER(Sync!$AH1563),Sync!$AH1563&gt;=0,Sync!$AH1563&lt;1),RIGHT("00"&amp;HOUR(Sync!$AH1563),2)&amp;RIGHT("00"&amp;MINUTE(Sync!$AH1563),2),IFERROR(RIGHT("00"&amp;VALUE(LEFT(Sync!$AH1563,FIND(":",Sync!$AH1563)-1)),2)&amp;RIGHT("00"&amp;VALUE(MID(Sync!$AH1563,FIND(":",Sync!$AH1563)+1,2)),2),"0000"))))</f>
        <v/>
      </c>
    </row>
    <row r="1564">
      <c r="A1564">
        <f>IF(OR(Calc!$E1567="",Calc!$E1567="نامعتبر",Calc!$G1567="",Calc!$I1567&lt;&gt;"خرید"),"",Calc!$G1567)</f>
        <v/>
      </c>
      <c r="B1564">
        <f>IF($A1564="","",LEFT(Calc!$E1567,4)&amp;MID(Calc!$E1567,6,2)&amp;RIGHT(Calc!$E1567,2)&amp;Calc!$R1567&amp;"|"&amp;"1"&amp;RIGHT("00000"&amp;1559,5))</f>
        <v/>
      </c>
      <c r="C1564">
        <f>IF($B1564="","",COUNTIFS(LdgPartyA,$A1564,LdgKeyA,"&lt;"&amp;$B1564)+COUNTIFS(LdgPartyB,$A1564,LdgKeyB,"&lt;"&amp;$B1564)+1)</f>
        <v/>
      </c>
      <c r="D1564">
        <f>IF($C1564="","",$A1564&amp;"|"&amp;RIGHT("000000"&amp;$C1564,6))</f>
        <v/>
      </c>
      <c r="F1564">
        <f>IF(Sync!$AJ1564="","",Sync!$AJ1564)</f>
        <v/>
      </c>
      <c r="G1564">
        <f>IF($F1564="","",IF(Sync!$AG1564="","",IF(ISNUMBER(Sync!$AG1564),IF(AND(Sync!$AG1564&gt;=10000101,Sync!$AG1564&lt;=99991231),INT(Sync!$AG1564/10000),""),IFERROR(VALUE(TRIM(LEFT(Sync!$AG1564,FIND("/",Sync!$AG1564)-1))),""))))</f>
        <v/>
      </c>
      <c r="H1564">
        <f>IF(OR($F1564="",$G1564=""),"",IF(ISNUMBER(Sync!$AG1564),INT(MOD(Sync!$AG1564,10000)/100),IFERROR(VALUE(TRIM(LEFT(MID(Sync!$AG1564,FIND("/",Sync!$AG1564)+1,20),FIND("/",MID(Sync!$AG1564,FIND("/",Sync!$AG1564)+1,20))-1))),"")))</f>
        <v/>
      </c>
      <c r="I1564">
        <f>IF(OR($F1564="",$G1564=""),"",IF(ISNUMBER(Sync!$AG1564),MOD(Sync!$AG1564,100),IFERROR(VALUE(TRIM(MID(MID(Sync!$AG1564,FIND("/",Sync!$AG1564)+1,20),FIND("/",MID(Sync!$AG1564,FIND("/",Sync!$AG1564)+1,20))+1,20))),"")))</f>
        <v/>
      </c>
      <c r="J1564">
        <f>IF($F1564="","",IF(OR($G1564="",$H1564="",$I1564="",$G1564&lt;1300,$G1564&gt;1500,$H1564&lt;1,$H1564&gt;12,$I1564&lt;1,$I1564&gt;31),"نامعتبر",RIGHT("0000"&amp;$G1564,4)&amp;"/"&amp;RIGHT("00"&amp;$H1564,2)&amp;"/"&amp;RIGHT("00"&amp;$I1564,2)))</f>
        <v/>
      </c>
      <c r="K1564">
        <f>IF(OR($F1564="",$J1564="",$J1564="نامعتبر"),"",LEFT($J1564,4)&amp;MID($J1564,6,2)&amp;RIGHT($J1564,2)&amp;$N1564&amp;"|"&amp;"2"&amp;RIGHT("00000"&amp;1559,5))</f>
        <v/>
      </c>
      <c r="L1564">
        <f>IF($K1564="","",COUNTIFS(LdgPartyA,$F1564,LdgKeyA,"&lt;"&amp;$K1564)+COUNTIFS(LdgPartyB,$F1564,LdgKeyB,"&lt;"&amp;$K1564)+1)</f>
        <v/>
      </c>
      <c r="M1564">
        <f>IF($L1564="","",$F1564&amp;"|"&amp;RIGHT("000000"&amp;$L1564,6))</f>
        <v/>
      </c>
      <c r="N1564">
        <f>IF($F1564="","",IF(Sync!$AH1564="","0000",IF(AND(ISNUMBER(Sync!$AH1564),Sync!$AH1564&gt;=0,Sync!$AH1564&lt;1),RIGHT("00"&amp;HOUR(Sync!$AH1564),2)&amp;RIGHT("00"&amp;MINUTE(Sync!$AH1564),2),IFERROR(RIGHT("00"&amp;VALUE(LEFT(Sync!$AH1564,FIND(":",Sync!$AH1564)-1)),2)&amp;RIGHT("00"&amp;VALUE(MID(Sync!$AH1564,FIND(":",Sync!$AH1564)+1,2)),2),"0000"))))</f>
        <v/>
      </c>
    </row>
    <row r="1565">
      <c r="A1565">
        <f>IF(OR(Calc!$E1568="",Calc!$E1568="نامعتبر",Calc!$G1568="",Calc!$I1568&lt;&gt;"خرید"),"",Calc!$G1568)</f>
        <v/>
      </c>
      <c r="B1565">
        <f>IF($A1565="","",LEFT(Calc!$E1568,4)&amp;MID(Calc!$E1568,6,2)&amp;RIGHT(Calc!$E1568,2)&amp;Calc!$R1568&amp;"|"&amp;"1"&amp;RIGHT("00000"&amp;1560,5))</f>
        <v/>
      </c>
      <c r="C1565">
        <f>IF($B1565="","",COUNTIFS(LdgPartyA,$A1565,LdgKeyA,"&lt;"&amp;$B1565)+COUNTIFS(LdgPartyB,$A1565,LdgKeyB,"&lt;"&amp;$B1565)+1)</f>
        <v/>
      </c>
      <c r="D1565">
        <f>IF($C1565="","",$A1565&amp;"|"&amp;RIGHT("000000"&amp;$C1565,6))</f>
        <v/>
      </c>
      <c r="F1565">
        <f>IF(Sync!$AJ1565="","",Sync!$AJ1565)</f>
        <v/>
      </c>
      <c r="G1565">
        <f>IF($F1565="","",IF(Sync!$AG1565="","",IF(ISNUMBER(Sync!$AG1565),IF(AND(Sync!$AG1565&gt;=10000101,Sync!$AG1565&lt;=99991231),INT(Sync!$AG1565/10000),""),IFERROR(VALUE(TRIM(LEFT(Sync!$AG1565,FIND("/",Sync!$AG1565)-1))),""))))</f>
        <v/>
      </c>
      <c r="H1565">
        <f>IF(OR($F1565="",$G1565=""),"",IF(ISNUMBER(Sync!$AG1565),INT(MOD(Sync!$AG1565,10000)/100),IFERROR(VALUE(TRIM(LEFT(MID(Sync!$AG1565,FIND("/",Sync!$AG1565)+1,20),FIND("/",MID(Sync!$AG1565,FIND("/",Sync!$AG1565)+1,20))-1))),"")))</f>
        <v/>
      </c>
      <c r="I1565">
        <f>IF(OR($F1565="",$G1565=""),"",IF(ISNUMBER(Sync!$AG1565),MOD(Sync!$AG1565,100),IFERROR(VALUE(TRIM(MID(MID(Sync!$AG1565,FIND("/",Sync!$AG1565)+1,20),FIND("/",MID(Sync!$AG1565,FIND("/",Sync!$AG1565)+1,20))+1,20))),"")))</f>
        <v/>
      </c>
      <c r="J1565">
        <f>IF($F1565="","",IF(OR($G1565="",$H1565="",$I1565="",$G1565&lt;1300,$G1565&gt;1500,$H1565&lt;1,$H1565&gt;12,$I1565&lt;1,$I1565&gt;31),"نامعتبر",RIGHT("0000"&amp;$G1565,4)&amp;"/"&amp;RIGHT("00"&amp;$H1565,2)&amp;"/"&amp;RIGHT("00"&amp;$I1565,2)))</f>
        <v/>
      </c>
      <c r="K1565">
        <f>IF(OR($F1565="",$J1565="",$J1565="نامعتبر"),"",LEFT($J1565,4)&amp;MID($J1565,6,2)&amp;RIGHT($J1565,2)&amp;$N1565&amp;"|"&amp;"2"&amp;RIGHT("00000"&amp;1560,5))</f>
        <v/>
      </c>
      <c r="L1565">
        <f>IF($K1565="","",COUNTIFS(LdgPartyA,$F1565,LdgKeyA,"&lt;"&amp;$K1565)+COUNTIFS(LdgPartyB,$F1565,LdgKeyB,"&lt;"&amp;$K1565)+1)</f>
        <v/>
      </c>
      <c r="M1565">
        <f>IF($L1565="","",$F1565&amp;"|"&amp;RIGHT("000000"&amp;$L1565,6))</f>
        <v/>
      </c>
      <c r="N1565">
        <f>IF($F1565="","",IF(Sync!$AH1565="","0000",IF(AND(ISNUMBER(Sync!$AH1565),Sync!$AH1565&gt;=0,Sync!$AH1565&lt;1),RIGHT("00"&amp;HOUR(Sync!$AH1565),2)&amp;RIGHT("00"&amp;MINUTE(Sync!$AH1565),2),IFERROR(RIGHT("00"&amp;VALUE(LEFT(Sync!$AH1565,FIND(":",Sync!$AH1565)-1)),2)&amp;RIGHT("00"&amp;VALUE(MID(Sync!$AH1565,FIND(":",Sync!$AH1565)+1,2)),2),"0000"))))</f>
        <v/>
      </c>
    </row>
    <row r="1566">
      <c r="A1566">
        <f>IF(OR(Calc!$E1569="",Calc!$E1569="نامعتبر",Calc!$G1569="",Calc!$I1569&lt;&gt;"خرید"),"",Calc!$G1569)</f>
        <v/>
      </c>
      <c r="B1566">
        <f>IF($A1566="","",LEFT(Calc!$E1569,4)&amp;MID(Calc!$E1569,6,2)&amp;RIGHT(Calc!$E1569,2)&amp;Calc!$R1569&amp;"|"&amp;"1"&amp;RIGHT("00000"&amp;1561,5))</f>
        <v/>
      </c>
      <c r="C1566">
        <f>IF($B1566="","",COUNTIFS(LdgPartyA,$A1566,LdgKeyA,"&lt;"&amp;$B1566)+COUNTIFS(LdgPartyB,$A1566,LdgKeyB,"&lt;"&amp;$B1566)+1)</f>
        <v/>
      </c>
      <c r="D1566">
        <f>IF($C1566="","",$A1566&amp;"|"&amp;RIGHT("000000"&amp;$C1566,6))</f>
        <v/>
      </c>
      <c r="F1566">
        <f>IF(Sync!$AJ1566="","",Sync!$AJ1566)</f>
        <v/>
      </c>
      <c r="G1566">
        <f>IF($F1566="","",IF(Sync!$AG1566="","",IF(ISNUMBER(Sync!$AG1566),IF(AND(Sync!$AG1566&gt;=10000101,Sync!$AG1566&lt;=99991231),INT(Sync!$AG1566/10000),""),IFERROR(VALUE(TRIM(LEFT(Sync!$AG1566,FIND("/",Sync!$AG1566)-1))),""))))</f>
        <v/>
      </c>
      <c r="H1566">
        <f>IF(OR($F1566="",$G1566=""),"",IF(ISNUMBER(Sync!$AG1566),INT(MOD(Sync!$AG1566,10000)/100),IFERROR(VALUE(TRIM(LEFT(MID(Sync!$AG1566,FIND("/",Sync!$AG1566)+1,20),FIND("/",MID(Sync!$AG1566,FIND("/",Sync!$AG1566)+1,20))-1))),"")))</f>
        <v/>
      </c>
      <c r="I1566">
        <f>IF(OR($F1566="",$G1566=""),"",IF(ISNUMBER(Sync!$AG1566),MOD(Sync!$AG1566,100),IFERROR(VALUE(TRIM(MID(MID(Sync!$AG1566,FIND("/",Sync!$AG1566)+1,20),FIND("/",MID(Sync!$AG1566,FIND("/",Sync!$AG1566)+1,20))+1,20))),"")))</f>
        <v/>
      </c>
      <c r="J1566">
        <f>IF($F1566="","",IF(OR($G1566="",$H1566="",$I1566="",$G1566&lt;1300,$G1566&gt;1500,$H1566&lt;1,$H1566&gt;12,$I1566&lt;1,$I1566&gt;31),"نامعتبر",RIGHT("0000"&amp;$G1566,4)&amp;"/"&amp;RIGHT("00"&amp;$H1566,2)&amp;"/"&amp;RIGHT("00"&amp;$I1566,2)))</f>
        <v/>
      </c>
      <c r="K1566">
        <f>IF(OR($F1566="",$J1566="",$J1566="نامعتبر"),"",LEFT($J1566,4)&amp;MID($J1566,6,2)&amp;RIGHT($J1566,2)&amp;$N1566&amp;"|"&amp;"2"&amp;RIGHT("00000"&amp;1561,5))</f>
        <v/>
      </c>
      <c r="L1566">
        <f>IF($K1566="","",COUNTIFS(LdgPartyA,$F1566,LdgKeyA,"&lt;"&amp;$K1566)+COUNTIFS(LdgPartyB,$F1566,LdgKeyB,"&lt;"&amp;$K1566)+1)</f>
        <v/>
      </c>
      <c r="M1566">
        <f>IF($L1566="","",$F1566&amp;"|"&amp;RIGHT("000000"&amp;$L1566,6))</f>
        <v/>
      </c>
      <c r="N1566">
        <f>IF($F1566="","",IF(Sync!$AH1566="","0000",IF(AND(ISNUMBER(Sync!$AH1566),Sync!$AH1566&gt;=0,Sync!$AH1566&lt;1),RIGHT("00"&amp;HOUR(Sync!$AH1566),2)&amp;RIGHT("00"&amp;MINUTE(Sync!$AH1566),2),IFERROR(RIGHT("00"&amp;VALUE(LEFT(Sync!$AH1566,FIND(":",Sync!$AH1566)-1)),2)&amp;RIGHT("00"&amp;VALUE(MID(Sync!$AH1566,FIND(":",Sync!$AH1566)+1,2)),2),"0000"))))</f>
        <v/>
      </c>
    </row>
    <row r="1567">
      <c r="A1567">
        <f>IF(OR(Calc!$E1570="",Calc!$E1570="نامعتبر",Calc!$G1570="",Calc!$I1570&lt;&gt;"خرید"),"",Calc!$G1570)</f>
        <v/>
      </c>
      <c r="B1567">
        <f>IF($A1567="","",LEFT(Calc!$E1570,4)&amp;MID(Calc!$E1570,6,2)&amp;RIGHT(Calc!$E1570,2)&amp;Calc!$R1570&amp;"|"&amp;"1"&amp;RIGHT("00000"&amp;1562,5))</f>
        <v/>
      </c>
      <c r="C1567">
        <f>IF($B1567="","",COUNTIFS(LdgPartyA,$A1567,LdgKeyA,"&lt;"&amp;$B1567)+COUNTIFS(LdgPartyB,$A1567,LdgKeyB,"&lt;"&amp;$B1567)+1)</f>
        <v/>
      </c>
      <c r="D1567">
        <f>IF($C1567="","",$A1567&amp;"|"&amp;RIGHT("000000"&amp;$C1567,6))</f>
        <v/>
      </c>
      <c r="F1567">
        <f>IF(Sync!$AJ1567="","",Sync!$AJ1567)</f>
        <v/>
      </c>
      <c r="G1567">
        <f>IF($F1567="","",IF(Sync!$AG1567="","",IF(ISNUMBER(Sync!$AG1567),IF(AND(Sync!$AG1567&gt;=10000101,Sync!$AG1567&lt;=99991231),INT(Sync!$AG1567/10000),""),IFERROR(VALUE(TRIM(LEFT(Sync!$AG1567,FIND("/",Sync!$AG1567)-1))),""))))</f>
        <v/>
      </c>
      <c r="H1567">
        <f>IF(OR($F1567="",$G1567=""),"",IF(ISNUMBER(Sync!$AG1567),INT(MOD(Sync!$AG1567,10000)/100),IFERROR(VALUE(TRIM(LEFT(MID(Sync!$AG1567,FIND("/",Sync!$AG1567)+1,20),FIND("/",MID(Sync!$AG1567,FIND("/",Sync!$AG1567)+1,20))-1))),"")))</f>
        <v/>
      </c>
      <c r="I1567">
        <f>IF(OR($F1567="",$G1567=""),"",IF(ISNUMBER(Sync!$AG1567),MOD(Sync!$AG1567,100),IFERROR(VALUE(TRIM(MID(MID(Sync!$AG1567,FIND("/",Sync!$AG1567)+1,20),FIND("/",MID(Sync!$AG1567,FIND("/",Sync!$AG1567)+1,20))+1,20))),"")))</f>
        <v/>
      </c>
      <c r="J1567">
        <f>IF($F1567="","",IF(OR($G1567="",$H1567="",$I1567="",$G1567&lt;1300,$G1567&gt;1500,$H1567&lt;1,$H1567&gt;12,$I1567&lt;1,$I1567&gt;31),"نامعتبر",RIGHT("0000"&amp;$G1567,4)&amp;"/"&amp;RIGHT("00"&amp;$H1567,2)&amp;"/"&amp;RIGHT("00"&amp;$I1567,2)))</f>
        <v/>
      </c>
      <c r="K1567">
        <f>IF(OR($F1567="",$J1567="",$J1567="نامعتبر"),"",LEFT($J1567,4)&amp;MID($J1567,6,2)&amp;RIGHT($J1567,2)&amp;$N1567&amp;"|"&amp;"2"&amp;RIGHT("00000"&amp;1562,5))</f>
        <v/>
      </c>
      <c r="L1567">
        <f>IF($K1567="","",COUNTIFS(LdgPartyA,$F1567,LdgKeyA,"&lt;"&amp;$K1567)+COUNTIFS(LdgPartyB,$F1567,LdgKeyB,"&lt;"&amp;$K1567)+1)</f>
        <v/>
      </c>
      <c r="M1567">
        <f>IF($L1567="","",$F1567&amp;"|"&amp;RIGHT("000000"&amp;$L1567,6))</f>
        <v/>
      </c>
      <c r="N1567">
        <f>IF($F1567="","",IF(Sync!$AH1567="","0000",IF(AND(ISNUMBER(Sync!$AH1567),Sync!$AH1567&gt;=0,Sync!$AH1567&lt;1),RIGHT("00"&amp;HOUR(Sync!$AH1567),2)&amp;RIGHT("00"&amp;MINUTE(Sync!$AH1567),2),IFERROR(RIGHT("00"&amp;VALUE(LEFT(Sync!$AH1567,FIND(":",Sync!$AH1567)-1)),2)&amp;RIGHT("00"&amp;VALUE(MID(Sync!$AH1567,FIND(":",Sync!$AH1567)+1,2)),2),"0000"))))</f>
        <v/>
      </c>
    </row>
    <row r="1568">
      <c r="A1568">
        <f>IF(OR(Calc!$E1571="",Calc!$E1571="نامعتبر",Calc!$G1571="",Calc!$I1571&lt;&gt;"خرید"),"",Calc!$G1571)</f>
        <v/>
      </c>
      <c r="B1568">
        <f>IF($A1568="","",LEFT(Calc!$E1571,4)&amp;MID(Calc!$E1571,6,2)&amp;RIGHT(Calc!$E1571,2)&amp;Calc!$R1571&amp;"|"&amp;"1"&amp;RIGHT("00000"&amp;1563,5))</f>
        <v/>
      </c>
      <c r="C1568">
        <f>IF($B1568="","",COUNTIFS(LdgPartyA,$A1568,LdgKeyA,"&lt;"&amp;$B1568)+COUNTIFS(LdgPartyB,$A1568,LdgKeyB,"&lt;"&amp;$B1568)+1)</f>
        <v/>
      </c>
      <c r="D1568">
        <f>IF($C1568="","",$A1568&amp;"|"&amp;RIGHT("000000"&amp;$C1568,6))</f>
        <v/>
      </c>
      <c r="F1568">
        <f>IF(Sync!$AJ1568="","",Sync!$AJ1568)</f>
        <v/>
      </c>
      <c r="G1568">
        <f>IF($F1568="","",IF(Sync!$AG1568="","",IF(ISNUMBER(Sync!$AG1568),IF(AND(Sync!$AG1568&gt;=10000101,Sync!$AG1568&lt;=99991231),INT(Sync!$AG1568/10000),""),IFERROR(VALUE(TRIM(LEFT(Sync!$AG1568,FIND("/",Sync!$AG1568)-1))),""))))</f>
        <v/>
      </c>
      <c r="H1568">
        <f>IF(OR($F1568="",$G1568=""),"",IF(ISNUMBER(Sync!$AG1568),INT(MOD(Sync!$AG1568,10000)/100),IFERROR(VALUE(TRIM(LEFT(MID(Sync!$AG1568,FIND("/",Sync!$AG1568)+1,20),FIND("/",MID(Sync!$AG1568,FIND("/",Sync!$AG1568)+1,20))-1))),"")))</f>
        <v/>
      </c>
      <c r="I1568">
        <f>IF(OR($F1568="",$G1568=""),"",IF(ISNUMBER(Sync!$AG1568),MOD(Sync!$AG1568,100),IFERROR(VALUE(TRIM(MID(MID(Sync!$AG1568,FIND("/",Sync!$AG1568)+1,20),FIND("/",MID(Sync!$AG1568,FIND("/",Sync!$AG1568)+1,20))+1,20))),"")))</f>
        <v/>
      </c>
      <c r="J1568">
        <f>IF($F1568="","",IF(OR($G1568="",$H1568="",$I1568="",$G1568&lt;1300,$G1568&gt;1500,$H1568&lt;1,$H1568&gt;12,$I1568&lt;1,$I1568&gt;31),"نامعتبر",RIGHT("0000"&amp;$G1568,4)&amp;"/"&amp;RIGHT("00"&amp;$H1568,2)&amp;"/"&amp;RIGHT("00"&amp;$I1568,2)))</f>
        <v/>
      </c>
      <c r="K1568">
        <f>IF(OR($F1568="",$J1568="",$J1568="نامعتبر"),"",LEFT($J1568,4)&amp;MID($J1568,6,2)&amp;RIGHT($J1568,2)&amp;$N1568&amp;"|"&amp;"2"&amp;RIGHT("00000"&amp;1563,5))</f>
        <v/>
      </c>
      <c r="L1568">
        <f>IF($K1568="","",COUNTIFS(LdgPartyA,$F1568,LdgKeyA,"&lt;"&amp;$K1568)+COUNTIFS(LdgPartyB,$F1568,LdgKeyB,"&lt;"&amp;$K1568)+1)</f>
        <v/>
      </c>
      <c r="M1568">
        <f>IF($L1568="","",$F1568&amp;"|"&amp;RIGHT("000000"&amp;$L1568,6))</f>
        <v/>
      </c>
      <c r="N1568">
        <f>IF($F1568="","",IF(Sync!$AH1568="","0000",IF(AND(ISNUMBER(Sync!$AH1568),Sync!$AH1568&gt;=0,Sync!$AH1568&lt;1),RIGHT("00"&amp;HOUR(Sync!$AH1568),2)&amp;RIGHT("00"&amp;MINUTE(Sync!$AH1568),2),IFERROR(RIGHT("00"&amp;VALUE(LEFT(Sync!$AH1568,FIND(":",Sync!$AH1568)-1)),2)&amp;RIGHT("00"&amp;VALUE(MID(Sync!$AH1568,FIND(":",Sync!$AH1568)+1,2)),2),"0000"))))</f>
        <v/>
      </c>
    </row>
    <row r="1569">
      <c r="A1569">
        <f>IF(OR(Calc!$E1572="",Calc!$E1572="نامعتبر",Calc!$G1572="",Calc!$I1572&lt;&gt;"خرید"),"",Calc!$G1572)</f>
        <v/>
      </c>
      <c r="B1569">
        <f>IF($A1569="","",LEFT(Calc!$E1572,4)&amp;MID(Calc!$E1572,6,2)&amp;RIGHT(Calc!$E1572,2)&amp;Calc!$R1572&amp;"|"&amp;"1"&amp;RIGHT("00000"&amp;1564,5))</f>
        <v/>
      </c>
      <c r="C1569">
        <f>IF($B1569="","",COUNTIFS(LdgPartyA,$A1569,LdgKeyA,"&lt;"&amp;$B1569)+COUNTIFS(LdgPartyB,$A1569,LdgKeyB,"&lt;"&amp;$B1569)+1)</f>
        <v/>
      </c>
      <c r="D1569">
        <f>IF($C1569="","",$A1569&amp;"|"&amp;RIGHT("000000"&amp;$C1569,6))</f>
        <v/>
      </c>
      <c r="F1569">
        <f>IF(Sync!$AJ1569="","",Sync!$AJ1569)</f>
        <v/>
      </c>
      <c r="G1569">
        <f>IF($F1569="","",IF(Sync!$AG1569="","",IF(ISNUMBER(Sync!$AG1569),IF(AND(Sync!$AG1569&gt;=10000101,Sync!$AG1569&lt;=99991231),INT(Sync!$AG1569/10000),""),IFERROR(VALUE(TRIM(LEFT(Sync!$AG1569,FIND("/",Sync!$AG1569)-1))),""))))</f>
        <v/>
      </c>
      <c r="H1569">
        <f>IF(OR($F1569="",$G1569=""),"",IF(ISNUMBER(Sync!$AG1569),INT(MOD(Sync!$AG1569,10000)/100),IFERROR(VALUE(TRIM(LEFT(MID(Sync!$AG1569,FIND("/",Sync!$AG1569)+1,20),FIND("/",MID(Sync!$AG1569,FIND("/",Sync!$AG1569)+1,20))-1))),"")))</f>
        <v/>
      </c>
      <c r="I1569">
        <f>IF(OR($F1569="",$G1569=""),"",IF(ISNUMBER(Sync!$AG1569),MOD(Sync!$AG1569,100),IFERROR(VALUE(TRIM(MID(MID(Sync!$AG1569,FIND("/",Sync!$AG1569)+1,20),FIND("/",MID(Sync!$AG1569,FIND("/",Sync!$AG1569)+1,20))+1,20))),"")))</f>
        <v/>
      </c>
      <c r="J1569">
        <f>IF($F1569="","",IF(OR($G1569="",$H1569="",$I1569="",$G1569&lt;1300,$G1569&gt;1500,$H1569&lt;1,$H1569&gt;12,$I1569&lt;1,$I1569&gt;31),"نامعتبر",RIGHT("0000"&amp;$G1569,4)&amp;"/"&amp;RIGHT("00"&amp;$H1569,2)&amp;"/"&amp;RIGHT("00"&amp;$I1569,2)))</f>
        <v/>
      </c>
      <c r="K1569">
        <f>IF(OR($F1569="",$J1569="",$J1569="نامعتبر"),"",LEFT($J1569,4)&amp;MID($J1569,6,2)&amp;RIGHT($J1569,2)&amp;$N1569&amp;"|"&amp;"2"&amp;RIGHT("00000"&amp;1564,5))</f>
        <v/>
      </c>
      <c r="L1569">
        <f>IF($K1569="","",COUNTIFS(LdgPartyA,$F1569,LdgKeyA,"&lt;"&amp;$K1569)+COUNTIFS(LdgPartyB,$F1569,LdgKeyB,"&lt;"&amp;$K1569)+1)</f>
        <v/>
      </c>
      <c r="M1569">
        <f>IF($L1569="","",$F1569&amp;"|"&amp;RIGHT("000000"&amp;$L1569,6))</f>
        <v/>
      </c>
      <c r="N1569">
        <f>IF($F1569="","",IF(Sync!$AH1569="","0000",IF(AND(ISNUMBER(Sync!$AH1569),Sync!$AH1569&gt;=0,Sync!$AH1569&lt;1),RIGHT("00"&amp;HOUR(Sync!$AH1569),2)&amp;RIGHT("00"&amp;MINUTE(Sync!$AH1569),2),IFERROR(RIGHT("00"&amp;VALUE(LEFT(Sync!$AH1569,FIND(":",Sync!$AH1569)-1)),2)&amp;RIGHT("00"&amp;VALUE(MID(Sync!$AH1569,FIND(":",Sync!$AH1569)+1,2)),2),"0000"))))</f>
        <v/>
      </c>
    </row>
    <row r="1570">
      <c r="A1570">
        <f>IF(OR(Calc!$E1573="",Calc!$E1573="نامعتبر",Calc!$G1573="",Calc!$I1573&lt;&gt;"خرید"),"",Calc!$G1573)</f>
        <v/>
      </c>
      <c r="B1570">
        <f>IF($A1570="","",LEFT(Calc!$E1573,4)&amp;MID(Calc!$E1573,6,2)&amp;RIGHT(Calc!$E1573,2)&amp;Calc!$R1573&amp;"|"&amp;"1"&amp;RIGHT("00000"&amp;1565,5))</f>
        <v/>
      </c>
      <c r="C1570">
        <f>IF($B1570="","",COUNTIFS(LdgPartyA,$A1570,LdgKeyA,"&lt;"&amp;$B1570)+COUNTIFS(LdgPartyB,$A1570,LdgKeyB,"&lt;"&amp;$B1570)+1)</f>
        <v/>
      </c>
      <c r="D1570">
        <f>IF($C1570="","",$A1570&amp;"|"&amp;RIGHT("000000"&amp;$C1570,6))</f>
        <v/>
      </c>
      <c r="F1570">
        <f>IF(Sync!$AJ1570="","",Sync!$AJ1570)</f>
        <v/>
      </c>
      <c r="G1570">
        <f>IF($F1570="","",IF(Sync!$AG1570="","",IF(ISNUMBER(Sync!$AG1570),IF(AND(Sync!$AG1570&gt;=10000101,Sync!$AG1570&lt;=99991231),INT(Sync!$AG1570/10000),""),IFERROR(VALUE(TRIM(LEFT(Sync!$AG1570,FIND("/",Sync!$AG1570)-1))),""))))</f>
        <v/>
      </c>
      <c r="H1570">
        <f>IF(OR($F1570="",$G1570=""),"",IF(ISNUMBER(Sync!$AG1570),INT(MOD(Sync!$AG1570,10000)/100),IFERROR(VALUE(TRIM(LEFT(MID(Sync!$AG1570,FIND("/",Sync!$AG1570)+1,20),FIND("/",MID(Sync!$AG1570,FIND("/",Sync!$AG1570)+1,20))-1))),"")))</f>
        <v/>
      </c>
      <c r="I1570">
        <f>IF(OR($F1570="",$G1570=""),"",IF(ISNUMBER(Sync!$AG1570),MOD(Sync!$AG1570,100),IFERROR(VALUE(TRIM(MID(MID(Sync!$AG1570,FIND("/",Sync!$AG1570)+1,20),FIND("/",MID(Sync!$AG1570,FIND("/",Sync!$AG1570)+1,20))+1,20))),"")))</f>
        <v/>
      </c>
      <c r="J1570">
        <f>IF($F1570="","",IF(OR($G1570="",$H1570="",$I1570="",$G1570&lt;1300,$G1570&gt;1500,$H1570&lt;1,$H1570&gt;12,$I1570&lt;1,$I1570&gt;31),"نامعتبر",RIGHT("0000"&amp;$G1570,4)&amp;"/"&amp;RIGHT("00"&amp;$H1570,2)&amp;"/"&amp;RIGHT("00"&amp;$I1570,2)))</f>
        <v/>
      </c>
      <c r="K1570">
        <f>IF(OR($F1570="",$J1570="",$J1570="نامعتبر"),"",LEFT($J1570,4)&amp;MID($J1570,6,2)&amp;RIGHT($J1570,2)&amp;$N1570&amp;"|"&amp;"2"&amp;RIGHT("00000"&amp;1565,5))</f>
        <v/>
      </c>
      <c r="L1570">
        <f>IF($K1570="","",COUNTIFS(LdgPartyA,$F1570,LdgKeyA,"&lt;"&amp;$K1570)+COUNTIFS(LdgPartyB,$F1570,LdgKeyB,"&lt;"&amp;$K1570)+1)</f>
        <v/>
      </c>
      <c r="M1570">
        <f>IF($L1570="","",$F1570&amp;"|"&amp;RIGHT("000000"&amp;$L1570,6))</f>
        <v/>
      </c>
      <c r="N1570">
        <f>IF($F1570="","",IF(Sync!$AH1570="","0000",IF(AND(ISNUMBER(Sync!$AH1570),Sync!$AH1570&gt;=0,Sync!$AH1570&lt;1),RIGHT("00"&amp;HOUR(Sync!$AH1570),2)&amp;RIGHT("00"&amp;MINUTE(Sync!$AH1570),2),IFERROR(RIGHT("00"&amp;VALUE(LEFT(Sync!$AH1570,FIND(":",Sync!$AH1570)-1)),2)&amp;RIGHT("00"&amp;VALUE(MID(Sync!$AH1570,FIND(":",Sync!$AH1570)+1,2)),2),"0000"))))</f>
        <v/>
      </c>
    </row>
    <row r="1571">
      <c r="A1571">
        <f>IF(OR(Calc!$E1574="",Calc!$E1574="نامعتبر",Calc!$G1574="",Calc!$I1574&lt;&gt;"خرید"),"",Calc!$G1574)</f>
        <v/>
      </c>
      <c r="B1571">
        <f>IF($A1571="","",LEFT(Calc!$E1574,4)&amp;MID(Calc!$E1574,6,2)&amp;RIGHT(Calc!$E1574,2)&amp;Calc!$R1574&amp;"|"&amp;"1"&amp;RIGHT("00000"&amp;1566,5))</f>
        <v/>
      </c>
      <c r="C1571">
        <f>IF($B1571="","",COUNTIFS(LdgPartyA,$A1571,LdgKeyA,"&lt;"&amp;$B1571)+COUNTIFS(LdgPartyB,$A1571,LdgKeyB,"&lt;"&amp;$B1571)+1)</f>
        <v/>
      </c>
      <c r="D1571">
        <f>IF($C1571="","",$A1571&amp;"|"&amp;RIGHT("000000"&amp;$C1571,6))</f>
        <v/>
      </c>
      <c r="F1571">
        <f>IF(Sync!$AJ1571="","",Sync!$AJ1571)</f>
        <v/>
      </c>
      <c r="G1571">
        <f>IF($F1571="","",IF(Sync!$AG1571="","",IF(ISNUMBER(Sync!$AG1571),IF(AND(Sync!$AG1571&gt;=10000101,Sync!$AG1571&lt;=99991231),INT(Sync!$AG1571/10000),""),IFERROR(VALUE(TRIM(LEFT(Sync!$AG1571,FIND("/",Sync!$AG1571)-1))),""))))</f>
        <v/>
      </c>
      <c r="H1571">
        <f>IF(OR($F1571="",$G1571=""),"",IF(ISNUMBER(Sync!$AG1571),INT(MOD(Sync!$AG1571,10000)/100),IFERROR(VALUE(TRIM(LEFT(MID(Sync!$AG1571,FIND("/",Sync!$AG1571)+1,20),FIND("/",MID(Sync!$AG1571,FIND("/",Sync!$AG1571)+1,20))-1))),"")))</f>
        <v/>
      </c>
      <c r="I1571">
        <f>IF(OR($F1571="",$G1571=""),"",IF(ISNUMBER(Sync!$AG1571),MOD(Sync!$AG1571,100),IFERROR(VALUE(TRIM(MID(MID(Sync!$AG1571,FIND("/",Sync!$AG1571)+1,20),FIND("/",MID(Sync!$AG1571,FIND("/",Sync!$AG1571)+1,20))+1,20))),"")))</f>
        <v/>
      </c>
      <c r="J1571">
        <f>IF($F1571="","",IF(OR($G1571="",$H1571="",$I1571="",$G1571&lt;1300,$G1571&gt;1500,$H1571&lt;1,$H1571&gt;12,$I1571&lt;1,$I1571&gt;31),"نامعتبر",RIGHT("0000"&amp;$G1571,4)&amp;"/"&amp;RIGHT("00"&amp;$H1571,2)&amp;"/"&amp;RIGHT("00"&amp;$I1571,2)))</f>
        <v/>
      </c>
      <c r="K1571">
        <f>IF(OR($F1571="",$J1571="",$J1571="نامعتبر"),"",LEFT($J1571,4)&amp;MID($J1571,6,2)&amp;RIGHT($J1571,2)&amp;$N1571&amp;"|"&amp;"2"&amp;RIGHT("00000"&amp;1566,5))</f>
        <v/>
      </c>
      <c r="L1571">
        <f>IF($K1571="","",COUNTIFS(LdgPartyA,$F1571,LdgKeyA,"&lt;"&amp;$K1571)+COUNTIFS(LdgPartyB,$F1571,LdgKeyB,"&lt;"&amp;$K1571)+1)</f>
        <v/>
      </c>
      <c r="M1571">
        <f>IF($L1571="","",$F1571&amp;"|"&amp;RIGHT("000000"&amp;$L1571,6))</f>
        <v/>
      </c>
      <c r="N1571">
        <f>IF($F1571="","",IF(Sync!$AH1571="","0000",IF(AND(ISNUMBER(Sync!$AH1571),Sync!$AH1571&gt;=0,Sync!$AH1571&lt;1),RIGHT("00"&amp;HOUR(Sync!$AH1571),2)&amp;RIGHT("00"&amp;MINUTE(Sync!$AH1571),2),IFERROR(RIGHT("00"&amp;VALUE(LEFT(Sync!$AH1571,FIND(":",Sync!$AH1571)-1)),2)&amp;RIGHT("00"&amp;VALUE(MID(Sync!$AH1571,FIND(":",Sync!$AH1571)+1,2)),2),"0000"))))</f>
        <v/>
      </c>
    </row>
    <row r="1572">
      <c r="A1572">
        <f>IF(OR(Calc!$E1575="",Calc!$E1575="نامعتبر",Calc!$G1575="",Calc!$I1575&lt;&gt;"خرید"),"",Calc!$G1575)</f>
        <v/>
      </c>
      <c r="B1572">
        <f>IF($A1572="","",LEFT(Calc!$E1575,4)&amp;MID(Calc!$E1575,6,2)&amp;RIGHT(Calc!$E1575,2)&amp;Calc!$R1575&amp;"|"&amp;"1"&amp;RIGHT("00000"&amp;1567,5))</f>
        <v/>
      </c>
      <c r="C1572">
        <f>IF($B1572="","",COUNTIFS(LdgPartyA,$A1572,LdgKeyA,"&lt;"&amp;$B1572)+COUNTIFS(LdgPartyB,$A1572,LdgKeyB,"&lt;"&amp;$B1572)+1)</f>
        <v/>
      </c>
      <c r="D1572">
        <f>IF($C1572="","",$A1572&amp;"|"&amp;RIGHT("000000"&amp;$C1572,6))</f>
        <v/>
      </c>
      <c r="F1572">
        <f>IF(Sync!$AJ1572="","",Sync!$AJ1572)</f>
        <v/>
      </c>
      <c r="G1572">
        <f>IF($F1572="","",IF(Sync!$AG1572="","",IF(ISNUMBER(Sync!$AG1572),IF(AND(Sync!$AG1572&gt;=10000101,Sync!$AG1572&lt;=99991231),INT(Sync!$AG1572/10000),""),IFERROR(VALUE(TRIM(LEFT(Sync!$AG1572,FIND("/",Sync!$AG1572)-1))),""))))</f>
        <v/>
      </c>
      <c r="H1572">
        <f>IF(OR($F1572="",$G1572=""),"",IF(ISNUMBER(Sync!$AG1572),INT(MOD(Sync!$AG1572,10000)/100),IFERROR(VALUE(TRIM(LEFT(MID(Sync!$AG1572,FIND("/",Sync!$AG1572)+1,20),FIND("/",MID(Sync!$AG1572,FIND("/",Sync!$AG1572)+1,20))-1))),"")))</f>
        <v/>
      </c>
      <c r="I1572">
        <f>IF(OR($F1572="",$G1572=""),"",IF(ISNUMBER(Sync!$AG1572),MOD(Sync!$AG1572,100),IFERROR(VALUE(TRIM(MID(MID(Sync!$AG1572,FIND("/",Sync!$AG1572)+1,20),FIND("/",MID(Sync!$AG1572,FIND("/",Sync!$AG1572)+1,20))+1,20))),"")))</f>
        <v/>
      </c>
      <c r="J1572">
        <f>IF($F1572="","",IF(OR($G1572="",$H1572="",$I1572="",$G1572&lt;1300,$G1572&gt;1500,$H1572&lt;1,$H1572&gt;12,$I1572&lt;1,$I1572&gt;31),"نامعتبر",RIGHT("0000"&amp;$G1572,4)&amp;"/"&amp;RIGHT("00"&amp;$H1572,2)&amp;"/"&amp;RIGHT("00"&amp;$I1572,2)))</f>
        <v/>
      </c>
      <c r="K1572">
        <f>IF(OR($F1572="",$J1572="",$J1572="نامعتبر"),"",LEFT($J1572,4)&amp;MID($J1572,6,2)&amp;RIGHT($J1572,2)&amp;$N1572&amp;"|"&amp;"2"&amp;RIGHT("00000"&amp;1567,5))</f>
        <v/>
      </c>
      <c r="L1572">
        <f>IF($K1572="","",COUNTIFS(LdgPartyA,$F1572,LdgKeyA,"&lt;"&amp;$K1572)+COUNTIFS(LdgPartyB,$F1572,LdgKeyB,"&lt;"&amp;$K1572)+1)</f>
        <v/>
      </c>
      <c r="M1572">
        <f>IF($L1572="","",$F1572&amp;"|"&amp;RIGHT("000000"&amp;$L1572,6))</f>
        <v/>
      </c>
      <c r="N1572">
        <f>IF($F1572="","",IF(Sync!$AH1572="","0000",IF(AND(ISNUMBER(Sync!$AH1572),Sync!$AH1572&gt;=0,Sync!$AH1572&lt;1),RIGHT("00"&amp;HOUR(Sync!$AH1572),2)&amp;RIGHT("00"&amp;MINUTE(Sync!$AH1572),2),IFERROR(RIGHT("00"&amp;VALUE(LEFT(Sync!$AH1572,FIND(":",Sync!$AH1572)-1)),2)&amp;RIGHT("00"&amp;VALUE(MID(Sync!$AH1572,FIND(":",Sync!$AH1572)+1,2)),2),"0000"))))</f>
        <v/>
      </c>
    </row>
    <row r="1573">
      <c r="A1573">
        <f>IF(OR(Calc!$E1576="",Calc!$E1576="نامعتبر",Calc!$G1576="",Calc!$I1576&lt;&gt;"خرید"),"",Calc!$G1576)</f>
        <v/>
      </c>
      <c r="B1573">
        <f>IF($A1573="","",LEFT(Calc!$E1576,4)&amp;MID(Calc!$E1576,6,2)&amp;RIGHT(Calc!$E1576,2)&amp;Calc!$R1576&amp;"|"&amp;"1"&amp;RIGHT("00000"&amp;1568,5))</f>
        <v/>
      </c>
      <c r="C1573">
        <f>IF($B1573="","",COUNTIFS(LdgPartyA,$A1573,LdgKeyA,"&lt;"&amp;$B1573)+COUNTIFS(LdgPartyB,$A1573,LdgKeyB,"&lt;"&amp;$B1573)+1)</f>
        <v/>
      </c>
      <c r="D1573">
        <f>IF($C1573="","",$A1573&amp;"|"&amp;RIGHT("000000"&amp;$C1573,6))</f>
        <v/>
      </c>
      <c r="F1573">
        <f>IF(Sync!$AJ1573="","",Sync!$AJ1573)</f>
        <v/>
      </c>
      <c r="G1573">
        <f>IF($F1573="","",IF(Sync!$AG1573="","",IF(ISNUMBER(Sync!$AG1573),IF(AND(Sync!$AG1573&gt;=10000101,Sync!$AG1573&lt;=99991231),INT(Sync!$AG1573/10000),""),IFERROR(VALUE(TRIM(LEFT(Sync!$AG1573,FIND("/",Sync!$AG1573)-1))),""))))</f>
        <v/>
      </c>
      <c r="H1573">
        <f>IF(OR($F1573="",$G1573=""),"",IF(ISNUMBER(Sync!$AG1573),INT(MOD(Sync!$AG1573,10000)/100),IFERROR(VALUE(TRIM(LEFT(MID(Sync!$AG1573,FIND("/",Sync!$AG1573)+1,20),FIND("/",MID(Sync!$AG1573,FIND("/",Sync!$AG1573)+1,20))-1))),"")))</f>
        <v/>
      </c>
      <c r="I1573">
        <f>IF(OR($F1573="",$G1573=""),"",IF(ISNUMBER(Sync!$AG1573),MOD(Sync!$AG1573,100),IFERROR(VALUE(TRIM(MID(MID(Sync!$AG1573,FIND("/",Sync!$AG1573)+1,20),FIND("/",MID(Sync!$AG1573,FIND("/",Sync!$AG1573)+1,20))+1,20))),"")))</f>
        <v/>
      </c>
      <c r="J1573">
        <f>IF($F1573="","",IF(OR($G1573="",$H1573="",$I1573="",$G1573&lt;1300,$G1573&gt;1500,$H1573&lt;1,$H1573&gt;12,$I1573&lt;1,$I1573&gt;31),"نامعتبر",RIGHT("0000"&amp;$G1573,4)&amp;"/"&amp;RIGHT("00"&amp;$H1573,2)&amp;"/"&amp;RIGHT("00"&amp;$I1573,2)))</f>
        <v/>
      </c>
      <c r="K1573">
        <f>IF(OR($F1573="",$J1573="",$J1573="نامعتبر"),"",LEFT($J1573,4)&amp;MID($J1573,6,2)&amp;RIGHT($J1573,2)&amp;$N1573&amp;"|"&amp;"2"&amp;RIGHT("00000"&amp;1568,5))</f>
        <v/>
      </c>
      <c r="L1573">
        <f>IF($K1573="","",COUNTIFS(LdgPartyA,$F1573,LdgKeyA,"&lt;"&amp;$K1573)+COUNTIFS(LdgPartyB,$F1573,LdgKeyB,"&lt;"&amp;$K1573)+1)</f>
        <v/>
      </c>
      <c r="M1573">
        <f>IF($L1573="","",$F1573&amp;"|"&amp;RIGHT("000000"&amp;$L1573,6))</f>
        <v/>
      </c>
      <c r="N1573">
        <f>IF($F1573="","",IF(Sync!$AH1573="","0000",IF(AND(ISNUMBER(Sync!$AH1573),Sync!$AH1573&gt;=0,Sync!$AH1573&lt;1),RIGHT("00"&amp;HOUR(Sync!$AH1573),2)&amp;RIGHT("00"&amp;MINUTE(Sync!$AH1573),2),IFERROR(RIGHT("00"&amp;VALUE(LEFT(Sync!$AH1573,FIND(":",Sync!$AH1573)-1)),2)&amp;RIGHT("00"&amp;VALUE(MID(Sync!$AH1573,FIND(":",Sync!$AH1573)+1,2)),2),"0000"))))</f>
        <v/>
      </c>
    </row>
    <row r="1574">
      <c r="A1574">
        <f>IF(OR(Calc!$E1577="",Calc!$E1577="نامعتبر",Calc!$G1577="",Calc!$I1577&lt;&gt;"خرید"),"",Calc!$G1577)</f>
        <v/>
      </c>
      <c r="B1574">
        <f>IF($A1574="","",LEFT(Calc!$E1577,4)&amp;MID(Calc!$E1577,6,2)&amp;RIGHT(Calc!$E1577,2)&amp;Calc!$R1577&amp;"|"&amp;"1"&amp;RIGHT("00000"&amp;1569,5))</f>
        <v/>
      </c>
      <c r="C1574">
        <f>IF($B1574="","",COUNTIFS(LdgPartyA,$A1574,LdgKeyA,"&lt;"&amp;$B1574)+COUNTIFS(LdgPartyB,$A1574,LdgKeyB,"&lt;"&amp;$B1574)+1)</f>
        <v/>
      </c>
      <c r="D1574">
        <f>IF($C1574="","",$A1574&amp;"|"&amp;RIGHT("000000"&amp;$C1574,6))</f>
        <v/>
      </c>
      <c r="F1574">
        <f>IF(Sync!$AJ1574="","",Sync!$AJ1574)</f>
        <v/>
      </c>
      <c r="G1574">
        <f>IF($F1574="","",IF(Sync!$AG1574="","",IF(ISNUMBER(Sync!$AG1574),IF(AND(Sync!$AG1574&gt;=10000101,Sync!$AG1574&lt;=99991231),INT(Sync!$AG1574/10000),""),IFERROR(VALUE(TRIM(LEFT(Sync!$AG1574,FIND("/",Sync!$AG1574)-1))),""))))</f>
        <v/>
      </c>
      <c r="H1574">
        <f>IF(OR($F1574="",$G1574=""),"",IF(ISNUMBER(Sync!$AG1574),INT(MOD(Sync!$AG1574,10000)/100),IFERROR(VALUE(TRIM(LEFT(MID(Sync!$AG1574,FIND("/",Sync!$AG1574)+1,20),FIND("/",MID(Sync!$AG1574,FIND("/",Sync!$AG1574)+1,20))-1))),"")))</f>
        <v/>
      </c>
      <c r="I1574">
        <f>IF(OR($F1574="",$G1574=""),"",IF(ISNUMBER(Sync!$AG1574),MOD(Sync!$AG1574,100),IFERROR(VALUE(TRIM(MID(MID(Sync!$AG1574,FIND("/",Sync!$AG1574)+1,20),FIND("/",MID(Sync!$AG1574,FIND("/",Sync!$AG1574)+1,20))+1,20))),"")))</f>
        <v/>
      </c>
      <c r="J1574">
        <f>IF($F1574="","",IF(OR($G1574="",$H1574="",$I1574="",$G1574&lt;1300,$G1574&gt;1500,$H1574&lt;1,$H1574&gt;12,$I1574&lt;1,$I1574&gt;31),"نامعتبر",RIGHT("0000"&amp;$G1574,4)&amp;"/"&amp;RIGHT("00"&amp;$H1574,2)&amp;"/"&amp;RIGHT("00"&amp;$I1574,2)))</f>
        <v/>
      </c>
      <c r="K1574">
        <f>IF(OR($F1574="",$J1574="",$J1574="نامعتبر"),"",LEFT($J1574,4)&amp;MID($J1574,6,2)&amp;RIGHT($J1574,2)&amp;$N1574&amp;"|"&amp;"2"&amp;RIGHT("00000"&amp;1569,5))</f>
        <v/>
      </c>
      <c r="L1574">
        <f>IF($K1574="","",COUNTIFS(LdgPartyA,$F1574,LdgKeyA,"&lt;"&amp;$K1574)+COUNTIFS(LdgPartyB,$F1574,LdgKeyB,"&lt;"&amp;$K1574)+1)</f>
        <v/>
      </c>
      <c r="M1574">
        <f>IF($L1574="","",$F1574&amp;"|"&amp;RIGHT("000000"&amp;$L1574,6))</f>
        <v/>
      </c>
      <c r="N1574">
        <f>IF($F1574="","",IF(Sync!$AH1574="","0000",IF(AND(ISNUMBER(Sync!$AH1574),Sync!$AH1574&gt;=0,Sync!$AH1574&lt;1),RIGHT("00"&amp;HOUR(Sync!$AH1574),2)&amp;RIGHT("00"&amp;MINUTE(Sync!$AH1574),2),IFERROR(RIGHT("00"&amp;VALUE(LEFT(Sync!$AH1574,FIND(":",Sync!$AH1574)-1)),2)&amp;RIGHT("00"&amp;VALUE(MID(Sync!$AH1574,FIND(":",Sync!$AH1574)+1,2)),2),"0000"))))</f>
        <v/>
      </c>
    </row>
    <row r="1575">
      <c r="A1575">
        <f>IF(OR(Calc!$E1578="",Calc!$E1578="نامعتبر",Calc!$G1578="",Calc!$I1578&lt;&gt;"خرید"),"",Calc!$G1578)</f>
        <v/>
      </c>
      <c r="B1575">
        <f>IF($A1575="","",LEFT(Calc!$E1578,4)&amp;MID(Calc!$E1578,6,2)&amp;RIGHT(Calc!$E1578,2)&amp;Calc!$R1578&amp;"|"&amp;"1"&amp;RIGHT("00000"&amp;1570,5))</f>
        <v/>
      </c>
      <c r="C1575">
        <f>IF($B1575="","",COUNTIFS(LdgPartyA,$A1575,LdgKeyA,"&lt;"&amp;$B1575)+COUNTIFS(LdgPartyB,$A1575,LdgKeyB,"&lt;"&amp;$B1575)+1)</f>
        <v/>
      </c>
      <c r="D1575">
        <f>IF($C1575="","",$A1575&amp;"|"&amp;RIGHT("000000"&amp;$C1575,6))</f>
        <v/>
      </c>
      <c r="F1575">
        <f>IF(Sync!$AJ1575="","",Sync!$AJ1575)</f>
        <v/>
      </c>
      <c r="G1575">
        <f>IF($F1575="","",IF(Sync!$AG1575="","",IF(ISNUMBER(Sync!$AG1575),IF(AND(Sync!$AG1575&gt;=10000101,Sync!$AG1575&lt;=99991231),INT(Sync!$AG1575/10000),""),IFERROR(VALUE(TRIM(LEFT(Sync!$AG1575,FIND("/",Sync!$AG1575)-1))),""))))</f>
        <v/>
      </c>
      <c r="H1575">
        <f>IF(OR($F1575="",$G1575=""),"",IF(ISNUMBER(Sync!$AG1575),INT(MOD(Sync!$AG1575,10000)/100),IFERROR(VALUE(TRIM(LEFT(MID(Sync!$AG1575,FIND("/",Sync!$AG1575)+1,20),FIND("/",MID(Sync!$AG1575,FIND("/",Sync!$AG1575)+1,20))-1))),"")))</f>
        <v/>
      </c>
      <c r="I1575">
        <f>IF(OR($F1575="",$G1575=""),"",IF(ISNUMBER(Sync!$AG1575),MOD(Sync!$AG1575,100),IFERROR(VALUE(TRIM(MID(MID(Sync!$AG1575,FIND("/",Sync!$AG1575)+1,20),FIND("/",MID(Sync!$AG1575,FIND("/",Sync!$AG1575)+1,20))+1,20))),"")))</f>
        <v/>
      </c>
      <c r="J1575">
        <f>IF($F1575="","",IF(OR($G1575="",$H1575="",$I1575="",$G1575&lt;1300,$G1575&gt;1500,$H1575&lt;1,$H1575&gt;12,$I1575&lt;1,$I1575&gt;31),"نامعتبر",RIGHT("0000"&amp;$G1575,4)&amp;"/"&amp;RIGHT("00"&amp;$H1575,2)&amp;"/"&amp;RIGHT("00"&amp;$I1575,2)))</f>
        <v/>
      </c>
      <c r="K1575">
        <f>IF(OR($F1575="",$J1575="",$J1575="نامعتبر"),"",LEFT($J1575,4)&amp;MID($J1575,6,2)&amp;RIGHT($J1575,2)&amp;$N1575&amp;"|"&amp;"2"&amp;RIGHT("00000"&amp;1570,5))</f>
        <v/>
      </c>
      <c r="L1575">
        <f>IF($K1575="","",COUNTIFS(LdgPartyA,$F1575,LdgKeyA,"&lt;"&amp;$K1575)+COUNTIFS(LdgPartyB,$F1575,LdgKeyB,"&lt;"&amp;$K1575)+1)</f>
        <v/>
      </c>
      <c r="M1575">
        <f>IF($L1575="","",$F1575&amp;"|"&amp;RIGHT("000000"&amp;$L1575,6))</f>
        <v/>
      </c>
      <c r="N1575">
        <f>IF($F1575="","",IF(Sync!$AH1575="","0000",IF(AND(ISNUMBER(Sync!$AH1575),Sync!$AH1575&gt;=0,Sync!$AH1575&lt;1),RIGHT("00"&amp;HOUR(Sync!$AH1575),2)&amp;RIGHT("00"&amp;MINUTE(Sync!$AH1575),2),IFERROR(RIGHT("00"&amp;VALUE(LEFT(Sync!$AH1575,FIND(":",Sync!$AH1575)-1)),2)&amp;RIGHT("00"&amp;VALUE(MID(Sync!$AH1575,FIND(":",Sync!$AH1575)+1,2)),2),"0000"))))</f>
        <v/>
      </c>
    </row>
    <row r="1576">
      <c r="A1576">
        <f>IF(OR(Calc!$E1579="",Calc!$E1579="نامعتبر",Calc!$G1579="",Calc!$I1579&lt;&gt;"خرید"),"",Calc!$G1579)</f>
        <v/>
      </c>
      <c r="B1576">
        <f>IF($A1576="","",LEFT(Calc!$E1579,4)&amp;MID(Calc!$E1579,6,2)&amp;RIGHT(Calc!$E1579,2)&amp;Calc!$R1579&amp;"|"&amp;"1"&amp;RIGHT("00000"&amp;1571,5))</f>
        <v/>
      </c>
      <c r="C1576">
        <f>IF($B1576="","",COUNTIFS(LdgPartyA,$A1576,LdgKeyA,"&lt;"&amp;$B1576)+COUNTIFS(LdgPartyB,$A1576,LdgKeyB,"&lt;"&amp;$B1576)+1)</f>
        <v/>
      </c>
      <c r="D1576">
        <f>IF($C1576="","",$A1576&amp;"|"&amp;RIGHT("000000"&amp;$C1576,6))</f>
        <v/>
      </c>
      <c r="F1576">
        <f>IF(Sync!$AJ1576="","",Sync!$AJ1576)</f>
        <v/>
      </c>
      <c r="G1576">
        <f>IF($F1576="","",IF(Sync!$AG1576="","",IF(ISNUMBER(Sync!$AG1576),IF(AND(Sync!$AG1576&gt;=10000101,Sync!$AG1576&lt;=99991231),INT(Sync!$AG1576/10000),""),IFERROR(VALUE(TRIM(LEFT(Sync!$AG1576,FIND("/",Sync!$AG1576)-1))),""))))</f>
        <v/>
      </c>
      <c r="H1576">
        <f>IF(OR($F1576="",$G1576=""),"",IF(ISNUMBER(Sync!$AG1576),INT(MOD(Sync!$AG1576,10000)/100),IFERROR(VALUE(TRIM(LEFT(MID(Sync!$AG1576,FIND("/",Sync!$AG1576)+1,20),FIND("/",MID(Sync!$AG1576,FIND("/",Sync!$AG1576)+1,20))-1))),"")))</f>
        <v/>
      </c>
      <c r="I1576">
        <f>IF(OR($F1576="",$G1576=""),"",IF(ISNUMBER(Sync!$AG1576),MOD(Sync!$AG1576,100),IFERROR(VALUE(TRIM(MID(MID(Sync!$AG1576,FIND("/",Sync!$AG1576)+1,20),FIND("/",MID(Sync!$AG1576,FIND("/",Sync!$AG1576)+1,20))+1,20))),"")))</f>
        <v/>
      </c>
      <c r="J1576">
        <f>IF($F1576="","",IF(OR($G1576="",$H1576="",$I1576="",$G1576&lt;1300,$G1576&gt;1500,$H1576&lt;1,$H1576&gt;12,$I1576&lt;1,$I1576&gt;31),"نامعتبر",RIGHT("0000"&amp;$G1576,4)&amp;"/"&amp;RIGHT("00"&amp;$H1576,2)&amp;"/"&amp;RIGHT("00"&amp;$I1576,2)))</f>
        <v/>
      </c>
      <c r="K1576">
        <f>IF(OR($F1576="",$J1576="",$J1576="نامعتبر"),"",LEFT($J1576,4)&amp;MID($J1576,6,2)&amp;RIGHT($J1576,2)&amp;$N1576&amp;"|"&amp;"2"&amp;RIGHT("00000"&amp;1571,5))</f>
        <v/>
      </c>
      <c r="L1576">
        <f>IF($K1576="","",COUNTIFS(LdgPartyA,$F1576,LdgKeyA,"&lt;"&amp;$K1576)+COUNTIFS(LdgPartyB,$F1576,LdgKeyB,"&lt;"&amp;$K1576)+1)</f>
        <v/>
      </c>
      <c r="M1576">
        <f>IF($L1576="","",$F1576&amp;"|"&amp;RIGHT("000000"&amp;$L1576,6))</f>
        <v/>
      </c>
      <c r="N1576">
        <f>IF($F1576="","",IF(Sync!$AH1576="","0000",IF(AND(ISNUMBER(Sync!$AH1576),Sync!$AH1576&gt;=0,Sync!$AH1576&lt;1),RIGHT("00"&amp;HOUR(Sync!$AH1576),2)&amp;RIGHT("00"&amp;MINUTE(Sync!$AH1576),2),IFERROR(RIGHT("00"&amp;VALUE(LEFT(Sync!$AH1576,FIND(":",Sync!$AH1576)-1)),2)&amp;RIGHT("00"&amp;VALUE(MID(Sync!$AH1576,FIND(":",Sync!$AH1576)+1,2)),2),"0000"))))</f>
        <v/>
      </c>
    </row>
    <row r="1577">
      <c r="A1577">
        <f>IF(OR(Calc!$E1580="",Calc!$E1580="نامعتبر",Calc!$G1580="",Calc!$I1580&lt;&gt;"خرید"),"",Calc!$G1580)</f>
        <v/>
      </c>
      <c r="B1577">
        <f>IF($A1577="","",LEFT(Calc!$E1580,4)&amp;MID(Calc!$E1580,6,2)&amp;RIGHT(Calc!$E1580,2)&amp;Calc!$R1580&amp;"|"&amp;"1"&amp;RIGHT("00000"&amp;1572,5))</f>
        <v/>
      </c>
      <c r="C1577">
        <f>IF($B1577="","",COUNTIFS(LdgPartyA,$A1577,LdgKeyA,"&lt;"&amp;$B1577)+COUNTIFS(LdgPartyB,$A1577,LdgKeyB,"&lt;"&amp;$B1577)+1)</f>
        <v/>
      </c>
      <c r="D1577">
        <f>IF($C1577="","",$A1577&amp;"|"&amp;RIGHT("000000"&amp;$C1577,6))</f>
        <v/>
      </c>
      <c r="F1577">
        <f>IF(Sync!$AJ1577="","",Sync!$AJ1577)</f>
        <v/>
      </c>
      <c r="G1577">
        <f>IF($F1577="","",IF(Sync!$AG1577="","",IF(ISNUMBER(Sync!$AG1577),IF(AND(Sync!$AG1577&gt;=10000101,Sync!$AG1577&lt;=99991231),INT(Sync!$AG1577/10000),""),IFERROR(VALUE(TRIM(LEFT(Sync!$AG1577,FIND("/",Sync!$AG1577)-1))),""))))</f>
        <v/>
      </c>
      <c r="H1577">
        <f>IF(OR($F1577="",$G1577=""),"",IF(ISNUMBER(Sync!$AG1577),INT(MOD(Sync!$AG1577,10000)/100),IFERROR(VALUE(TRIM(LEFT(MID(Sync!$AG1577,FIND("/",Sync!$AG1577)+1,20),FIND("/",MID(Sync!$AG1577,FIND("/",Sync!$AG1577)+1,20))-1))),"")))</f>
        <v/>
      </c>
      <c r="I1577">
        <f>IF(OR($F1577="",$G1577=""),"",IF(ISNUMBER(Sync!$AG1577),MOD(Sync!$AG1577,100),IFERROR(VALUE(TRIM(MID(MID(Sync!$AG1577,FIND("/",Sync!$AG1577)+1,20),FIND("/",MID(Sync!$AG1577,FIND("/",Sync!$AG1577)+1,20))+1,20))),"")))</f>
        <v/>
      </c>
      <c r="J1577">
        <f>IF($F1577="","",IF(OR($G1577="",$H1577="",$I1577="",$G1577&lt;1300,$G1577&gt;1500,$H1577&lt;1,$H1577&gt;12,$I1577&lt;1,$I1577&gt;31),"نامعتبر",RIGHT("0000"&amp;$G1577,4)&amp;"/"&amp;RIGHT("00"&amp;$H1577,2)&amp;"/"&amp;RIGHT("00"&amp;$I1577,2)))</f>
        <v/>
      </c>
      <c r="K1577">
        <f>IF(OR($F1577="",$J1577="",$J1577="نامعتبر"),"",LEFT($J1577,4)&amp;MID($J1577,6,2)&amp;RIGHT($J1577,2)&amp;$N1577&amp;"|"&amp;"2"&amp;RIGHT("00000"&amp;1572,5))</f>
        <v/>
      </c>
      <c r="L1577">
        <f>IF($K1577="","",COUNTIFS(LdgPartyA,$F1577,LdgKeyA,"&lt;"&amp;$K1577)+COUNTIFS(LdgPartyB,$F1577,LdgKeyB,"&lt;"&amp;$K1577)+1)</f>
        <v/>
      </c>
      <c r="M1577">
        <f>IF($L1577="","",$F1577&amp;"|"&amp;RIGHT("000000"&amp;$L1577,6))</f>
        <v/>
      </c>
      <c r="N1577">
        <f>IF($F1577="","",IF(Sync!$AH1577="","0000",IF(AND(ISNUMBER(Sync!$AH1577),Sync!$AH1577&gt;=0,Sync!$AH1577&lt;1),RIGHT("00"&amp;HOUR(Sync!$AH1577),2)&amp;RIGHT("00"&amp;MINUTE(Sync!$AH1577),2),IFERROR(RIGHT("00"&amp;VALUE(LEFT(Sync!$AH1577,FIND(":",Sync!$AH1577)-1)),2)&amp;RIGHT("00"&amp;VALUE(MID(Sync!$AH1577,FIND(":",Sync!$AH1577)+1,2)),2),"0000"))))</f>
        <v/>
      </c>
    </row>
    <row r="1578">
      <c r="A1578">
        <f>IF(OR(Calc!$E1581="",Calc!$E1581="نامعتبر",Calc!$G1581="",Calc!$I1581&lt;&gt;"خرید"),"",Calc!$G1581)</f>
        <v/>
      </c>
      <c r="B1578">
        <f>IF($A1578="","",LEFT(Calc!$E1581,4)&amp;MID(Calc!$E1581,6,2)&amp;RIGHT(Calc!$E1581,2)&amp;Calc!$R1581&amp;"|"&amp;"1"&amp;RIGHT("00000"&amp;1573,5))</f>
        <v/>
      </c>
      <c r="C1578">
        <f>IF($B1578="","",COUNTIFS(LdgPartyA,$A1578,LdgKeyA,"&lt;"&amp;$B1578)+COUNTIFS(LdgPartyB,$A1578,LdgKeyB,"&lt;"&amp;$B1578)+1)</f>
        <v/>
      </c>
      <c r="D1578">
        <f>IF($C1578="","",$A1578&amp;"|"&amp;RIGHT("000000"&amp;$C1578,6))</f>
        <v/>
      </c>
      <c r="F1578">
        <f>IF(Sync!$AJ1578="","",Sync!$AJ1578)</f>
        <v/>
      </c>
      <c r="G1578">
        <f>IF($F1578="","",IF(Sync!$AG1578="","",IF(ISNUMBER(Sync!$AG1578),IF(AND(Sync!$AG1578&gt;=10000101,Sync!$AG1578&lt;=99991231),INT(Sync!$AG1578/10000),""),IFERROR(VALUE(TRIM(LEFT(Sync!$AG1578,FIND("/",Sync!$AG1578)-1))),""))))</f>
        <v/>
      </c>
      <c r="H1578">
        <f>IF(OR($F1578="",$G1578=""),"",IF(ISNUMBER(Sync!$AG1578),INT(MOD(Sync!$AG1578,10000)/100),IFERROR(VALUE(TRIM(LEFT(MID(Sync!$AG1578,FIND("/",Sync!$AG1578)+1,20),FIND("/",MID(Sync!$AG1578,FIND("/",Sync!$AG1578)+1,20))-1))),"")))</f>
        <v/>
      </c>
      <c r="I1578">
        <f>IF(OR($F1578="",$G1578=""),"",IF(ISNUMBER(Sync!$AG1578),MOD(Sync!$AG1578,100),IFERROR(VALUE(TRIM(MID(MID(Sync!$AG1578,FIND("/",Sync!$AG1578)+1,20),FIND("/",MID(Sync!$AG1578,FIND("/",Sync!$AG1578)+1,20))+1,20))),"")))</f>
        <v/>
      </c>
      <c r="J1578">
        <f>IF($F1578="","",IF(OR($G1578="",$H1578="",$I1578="",$G1578&lt;1300,$G1578&gt;1500,$H1578&lt;1,$H1578&gt;12,$I1578&lt;1,$I1578&gt;31),"نامعتبر",RIGHT("0000"&amp;$G1578,4)&amp;"/"&amp;RIGHT("00"&amp;$H1578,2)&amp;"/"&amp;RIGHT("00"&amp;$I1578,2)))</f>
        <v/>
      </c>
      <c r="K1578">
        <f>IF(OR($F1578="",$J1578="",$J1578="نامعتبر"),"",LEFT($J1578,4)&amp;MID($J1578,6,2)&amp;RIGHT($J1578,2)&amp;$N1578&amp;"|"&amp;"2"&amp;RIGHT("00000"&amp;1573,5))</f>
        <v/>
      </c>
      <c r="L1578">
        <f>IF($K1578="","",COUNTIFS(LdgPartyA,$F1578,LdgKeyA,"&lt;"&amp;$K1578)+COUNTIFS(LdgPartyB,$F1578,LdgKeyB,"&lt;"&amp;$K1578)+1)</f>
        <v/>
      </c>
      <c r="M1578">
        <f>IF($L1578="","",$F1578&amp;"|"&amp;RIGHT("000000"&amp;$L1578,6))</f>
        <v/>
      </c>
      <c r="N1578">
        <f>IF($F1578="","",IF(Sync!$AH1578="","0000",IF(AND(ISNUMBER(Sync!$AH1578),Sync!$AH1578&gt;=0,Sync!$AH1578&lt;1),RIGHT("00"&amp;HOUR(Sync!$AH1578),2)&amp;RIGHT("00"&amp;MINUTE(Sync!$AH1578),2),IFERROR(RIGHT("00"&amp;VALUE(LEFT(Sync!$AH1578,FIND(":",Sync!$AH1578)-1)),2)&amp;RIGHT("00"&amp;VALUE(MID(Sync!$AH1578,FIND(":",Sync!$AH1578)+1,2)),2),"0000"))))</f>
        <v/>
      </c>
    </row>
    <row r="1579">
      <c r="A1579">
        <f>IF(OR(Calc!$E1582="",Calc!$E1582="نامعتبر",Calc!$G1582="",Calc!$I1582&lt;&gt;"خرید"),"",Calc!$G1582)</f>
        <v/>
      </c>
      <c r="B1579">
        <f>IF($A1579="","",LEFT(Calc!$E1582,4)&amp;MID(Calc!$E1582,6,2)&amp;RIGHT(Calc!$E1582,2)&amp;Calc!$R1582&amp;"|"&amp;"1"&amp;RIGHT("00000"&amp;1574,5))</f>
        <v/>
      </c>
      <c r="C1579">
        <f>IF($B1579="","",COUNTIFS(LdgPartyA,$A1579,LdgKeyA,"&lt;"&amp;$B1579)+COUNTIFS(LdgPartyB,$A1579,LdgKeyB,"&lt;"&amp;$B1579)+1)</f>
        <v/>
      </c>
      <c r="D1579">
        <f>IF($C1579="","",$A1579&amp;"|"&amp;RIGHT("000000"&amp;$C1579,6))</f>
        <v/>
      </c>
      <c r="F1579">
        <f>IF(Sync!$AJ1579="","",Sync!$AJ1579)</f>
        <v/>
      </c>
      <c r="G1579">
        <f>IF($F1579="","",IF(Sync!$AG1579="","",IF(ISNUMBER(Sync!$AG1579),IF(AND(Sync!$AG1579&gt;=10000101,Sync!$AG1579&lt;=99991231),INT(Sync!$AG1579/10000),""),IFERROR(VALUE(TRIM(LEFT(Sync!$AG1579,FIND("/",Sync!$AG1579)-1))),""))))</f>
        <v/>
      </c>
      <c r="H1579">
        <f>IF(OR($F1579="",$G1579=""),"",IF(ISNUMBER(Sync!$AG1579),INT(MOD(Sync!$AG1579,10000)/100),IFERROR(VALUE(TRIM(LEFT(MID(Sync!$AG1579,FIND("/",Sync!$AG1579)+1,20),FIND("/",MID(Sync!$AG1579,FIND("/",Sync!$AG1579)+1,20))-1))),"")))</f>
        <v/>
      </c>
      <c r="I1579">
        <f>IF(OR($F1579="",$G1579=""),"",IF(ISNUMBER(Sync!$AG1579),MOD(Sync!$AG1579,100),IFERROR(VALUE(TRIM(MID(MID(Sync!$AG1579,FIND("/",Sync!$AG1579)+1,20),FIND("/",MID(Sync!$AG1579,FIND("/",Sync!$AG1579)+1,20))+1,20))),"")))</f>
        <v/>
      </c>
      <c r="J1579">
        <f>IF($F1579="","",IF(OR($G1579="",$H1579="",$I1579="",$G1579&lt;1300,$G1579&gt;1500,$H1579&lt;1,$H1579&gt;12,$I1579&lt;1,$I1579&gt;31),"نامعتبر",RIGHT("0000"&amp;$G1579,4)&amp;"/"&amp;RIGHT("00"&amp;$H1579,2)&amp;"/"&amp;RIGHT("00"&amp;$I1579,2)))</f>
        <v/>
      </c>
      <c r="K1579">
        <f>IF(OR($F1579="",$J1579="",$J1579="نامعتبر"),"",LEFT($J1579,4)&amp;MID($J1579,6,2)&amp;RIGHT($J1579,2)&amp;$N1579&amp;"|"&amp;"2"&amp;RIGHT("00000"&amp;1574,5))</f>
        <v/>
      </c>
      <c r="L1579">
        <f>IF($K1579="","",COUNTIFS(LdgPartyA,$F1579,LdgKeyA,"&lt;"&amp;$K1579)+COUNTIFS(LdgPartyB,$F1579,LdgKeyB,"&lt;"&amp;$K1579)+1)</f>
        <v/>
      </c>
      <c r="M1579">
        <f>IF($L1579="","",$F1579&amp;"|"&amp;RIGHT("000000"&amp;$L1579,6))</f>
        <v/>
      </c>
      <c r="N1579">
        <f>IF($F1579="","",IF(Sync!$AH1579="","0000",IF(AND(ISNUMBER(Sync!$AH1579),Sync!$AH1579&gt;=0,Sync!$AH1579&lt;1),RIGHT("00"&amp;HOUR(Sync!$AH1579),2)&amp;RIGHT("00"&amp;MINUTE(Sync!$AH1579),2),IFERROR(RIGHT("00"&amp;VALUE(LEFT(Sync!$AH1579,FIND(":",Sync!$AH1579)-1)),2)&amp;RIGHT("00"&amp;VALUE(MID(Sync!$AH1579,FIND(":",Sync!$AH1579)+1,2)),2),"0000"))))</f>
        <v/>
      </c>
    </row>
    <row r="1580">
      <c r="A1580">
        <f>IF(OR(Calc!$E1583="",Calc!$E1583="نامعتبر",Calc!$G1583="",Calc!$I1583&lt;&gt;"خرید"),"",Calc!$G1583)</f>
        <v/>
      </c>
      <c r="B1580">
        <f>IF($A1580="","",LEFT(Calc!$E1583,4)&amp;MID(Calc!$E1583,6,2)&amp;RIGHT(Calc!$E1583,2)&amp;Calc!$R1583&amp;"|"&amp;"1"&amp;RIGHT("00000"&amp;1575,5))</f>
        <v/>
      </c>
      <c r="C1580">
        <f>IF($B1580="","",COUNTIFS(LdgPartyA,$A1580,LdgKeyA,"&lt;"&amp;$B1580)+COUNTIFS(LdgPartyB,$A1580,LdgKeyB,"&lt;"&amp;$B1580)+1)</f>
        <v/>
      </c>
      <c r="D1580">
        <f>IF($C1580="","",$A1580&amp;"|"&amp;RIGHT("000000"&amp;$C1580,6))</f>
        <v/>
      </c>
      <c r="F1580">
        <f>IF(Sync!$AJ1580="","",Sync!$AJ1580)</f>
        <v/>
      </c>
      <c r="G1580">
        <f>IF($F1580="","",IF(Sync!$AG1580="","",IF(ISNUMBER(Sync!$AG1580),IF(AND(Sync!$AG1580&gt;=10000101,Sync!$AG1580&lt;=99991231),INT(Sync!$AG1580/10000),""),IFERROR(VALUE(TRIM(LEFT(Sync!$AG1580,FIND("/",Sync!$AG1580)-1))),""))))</f>
        <v/>
      </c>
      <c r="H1580">
        <f>IF(OR($F1580="",$G1580=""),"",IF(ISNUMBER(Sync!$AG1580),INT(MOD(Sync!$AG1580,10000)/100),IFERROR(VALUE(TRIM(LEFT(MID(Sync!$AG1580,FIND("/",Sync!$AG1580)+1,20),FIND("/",MID(Sync!$AG1580,FIND("/",Sync!$AG1580)+1,20))-1))),"")))</f>
        <v/>
      </c>
      <c r="I1580">
        <f>IF(OR($F1580="",$G1580=""),"",IF(ISNUMBER(Sync!$AG1580),MOD(Sync!$AG1580,100),IFERROR(VALUE(TRIM(MID(MID(Sync!$AG1580,FIND("/",Sync!$AG1580)+1,20),FIND("/",MID(Sync!$AG1580,FIND("/",Sync!$AG1580)+1,20))+1,20))),"")))</f>
        <v/>
      </c>
      <c r="J1580">
        <f>IF($F1580="","",IF(OR($G1580="",$H1580="",$I1580="",$G1580&lt;1300,$G1580&gt;1500,$H1580&lt;1,$H1580&gt;12,$I1580&lt;1,$I1580&gt;31),"نامعتبر",RIGHT("0000"&amp;$G1580,4)&amp;"/"&amp;RIGHT("00"&amp;$H1580,2)&amp;"/"&amp;RIGHT("00"&amp;$I1580,2)))</f>
        <v/>
      </c>
      <c r="K1580">
        <f>IF(OR($F1580="",$J1580="",$J1580="نامعتبر"),"",LEFT($J1580,4)&amp;MID($J1580,6,2)&amp;RIGHT($J1580,2)&amp;$N1580&amp;"|"&amp;"2"&amp;RIGHT("00000"&amp;1575,5))</f>
        <v/>
      </c>
      <c r="L1580">
        <f>IF($K1580="","",COUNTIFS(LdgPartyA,$F1580,LdgKeyA,"&lt;"&amp;$K1580)+COUNTIFS(LdgPartyB,$F1580,LdgKeyB,"&lt;"&amp;$K1580)+1)</f>
        <v/>
      </c>
      <c r="M1580">
        <f>IF($L1580="","",$F1580&amp;"|"&amp;RIGHT("000000"&amp;$L1580,6))</f>
        <v/>
      </c>
      <c r="N1580">
        <f>IF($F1580="","",IF(Sync!$AH1580="","0000",IF(AND(ISNUMBER(Sync!$AH1580),Sync!$AH1580&gt;=0,Sync!$AH1580&lt;1),RIGHT("00"&amp;HOUR(Sync!$AH1580),2)&amp;RIGHT("00"&amp;MINUTE(Sync!$AH1580),2),IFERROR(RIGHT("00"&amp;VALUE(LEFT(Sync!$AH1580,FIND(":",Sync!$AH1580)-1)),2)&amp;RIGHT("00"&amp;VALUE(MID(Sync!$AH1580,FIND(":",Sync!$AH1580)+1,2)),2),"0000"))))</f>
        <v/>
      </c>
    </row>
    <row r="1581">
      <c r="A1581">
        <f>IF(OR(Calc!$E1584="",Calc!$E1584="نامعتبر",Calc!$G1584="",Calc!$I1584&lt;&gt;"خرید"),"",Calc!$G1584)</f>
        <v/>
      </c>
      <c r="B1581">
        <f>IF($A1581="","",LEFT(Calc!$E1584,4)&amp;MID(Calc!$E1584,6,2)&amp;RIGHT(Calc!$E1584,2)&amp;Calc!$R1584&amp;"|"&amp;"1"&amp;RIGHT("00000"&amp;1576,5))</f>
        <v/>
      </c>
      <c r="C1581">
        <f>IF($B1581="","",COUNTIFS(LdgPartyA,$A1581,LdgKeyA,"&lt;"&amp;$B1581)+COUNTIFS(LdgPartyB,$A1581,LdgKeyB,"&lt;"&amp;$B1581)+1)</f>
        <v/>
      </c>
      <c r="D1581">
        <f>IF($C1581="","",$A1581&amp;"|"&amp;RIGHT("000000"&amp;$C1581,6))</f>
        <v/>
      </c>
      <c r="F1581">
        <f>IF(Sync!$AJ1581="","",Sync!$AJ1581)</f>
        <v/>
      </c>
      <c r="G1581">
        <f>IF($F1581="","",IF(Sync!$AG1581="","",IF(ISNUMBER(Sync!$AG1581),IF(AND(Sync!$AG1581&gt;=10000101,Sync!$AG1581&lt;=99991231),INT(Sync!$AG1581/10000),""),IFERROR(VALUE(TRIM(LEFT(Sync!$AG1581,FIND("/",Sync!$AG1581)-1))),""))))</f>
        <v/>
      </c>
      <c r="H1581">
        <f>IF(OR($F1581="",$G1581=""),"",IF(ISNUMBER(Sync!$AG1581),INT(MOD(Sync!$AG1581,10000)/100),IFERROR(VALUE(TRIM(LEFT(MID(Sync!$AG1581,FIND("/",Sync!$AG1581)+1,20),FIND("/",MID(Sync!$AG1581,FIND("/",Sync!$AG1581)+1,20))-1))),"")))</f>
        <v/>
      </c>
      <c r="I1581">
        <f>IF(OR($F1581="",$G1581=""),"",IF(ISNUMBER(Sync!$AG1581),MOD(Sync!$AG1581,100),IFERROR(VALUE(TRIM(MID(MID(Sync!$AG1581,FIND("/",Sync!$AG1581)+1,20),FIND("/",MID(Sync!$AG1581,FIND("/",Sync!$AG1581)+1,20))+1,20))),"")))</f>
        <v/>
      </c>
      <c r="J1581">
        <f>IF($F1581="","",IF(OR($G1581="",$H1581="",$I1581="",$G1581&lt;1300,$G1581&gt;1500,$H1581&lt;1,$H1581&gt;12,$I1581&lt;1,$I1581&gt;31),"نامعتبر",RIGHT("0000"&amp;$G1581,4)&amp;"/"&amp;RIGHT("00"&amp;$H1581,2)&amp;"/"&amp;RIGHT("00"&amp;$I1581,2)))</f>
        <v/>
      </c>
      <c r="K1581">
        <f>IF(OR($F1581="",$J1581="",$J1581="نامعتبر"),"",LEFT($J1581,4)&amp;MID($J1581,6,2)&amp;RIGHT($J1581,2)&amp;$N1581&amp;"|"&amp;"2"&amp;RIGHT("00000"&amp;1576,5))</f>
        <v/>
      </c>
      <c r="L1581">
        <f>IF($K1581="","",COUNTIFS(LdgPartyA,$F1581,LdgKeyA,"&lt;"&amp;$K1581)+COUNTIFS(LdgPartyB,$F1581,LdgKeyB,"&lt;"&amp;$K1581)+1)</f>
        <v/>
      </c>
      <c r="M1581">
        <f>IF($L1581="","",$F1581&amp;"|"&amp;RIGHT("000000"&amp;$L1581,6))</f>
        <v/>
      </c>
      <c r="N1581">
        <f>IF($F1581="","",IF(Sync!$AH1581="","0000",IF(AND(ISNUMBER(Sync!$AH1581),Sync!$AH1581&gt;=0,Sync!$AH1581&lt;1),RIGHT("00"&amp;HOUR(Sync!$AH1581),2)&amp;RIGHT("00"&amp;MINUTE(Sync!$AH1581),2),IFERROR(RIGHT("00"&amp;VALUE(LEFT(Sync!$AH1581,FIND(":",Sync!$AH1581)-1)),2)&amp;RIGHT("00"&amp;VALUE(MID(Sync!$AH1581,FIND(":",Sync!$AH1581)+1,2)),2),"0000"))))</f>
        <v/>
      </c>
    </row>
    <row r="1582">
      <c r="A1582">
        <f>IF(OR(Calc!$E1585="",Calc!$E1585="نامعتبر",Calc!$G1585="",Calc!$I1585&lt;&gt;"خرید"),"",Calc!$G1585)</f>
        <v/>
      </c>
      <c r="B1582">
        <f>IF($A1582="","",LEFT(Calc!$E1585,4)&amp;MID(Calc!$E1585,6,2)&amp;RIGHT(Calc!$E1585,2)&amp;Calc!$R1585&amp;"|"&amp;"1"&amp;RIGHT("00000"&amp;1577,5))</f>
        <v/>
      </c>
      <c r="C1582">
        <f>IF($B1582="","",COUNTIFS(LdgPartyA,$A1582,LdgKeyA,"&lt;"&amp;$B1582)+COUNTIFS(LdgPartyB,$A1582,LdgKeyB,"&lt;"&amp;$B1582)+1)</f>
        <v/>
      </c>
      <c r="D1582">
        <f>IF($C1582="","",$A1582&amp;"|"&amp;RIGHT("000000"&amp;$C1582,6))</f>
        <v/>
      </c>
      <c r="F1582">
        <f>IF(Sync!$AJ1582="","",Sync!$AJ1582)</f>
        <v/>
      </c>
      <c r="G1582">
        <f>IF($F1582="","",IF(Sync!$AG1582="","",IF(ISNUMBER(Sync!$AG1582),IF(AND(Sync!$AG1582&gt;=10000101,Sync!$AG1582&lt;=99991231),INT(Sync!$AG1582/10000),""),IFERROR(VALUE(TRIM(LEFT(Sync!$AG1582,FIND("/",Sync!$AG1582)-1))),""))))</f>
        <v/>
      </c>
      <c r="H1582">
        <f>IF(OR($F1582="",$G1582=""),"",IF(ISNUMBER(Sync!$AG1582),INT(MOD(Sync!$AG1582,10000)/100),IFERROR(VALUE(TRIM(LEFT(MID(Sync!$AG1582,FIND("/",Sync!$AG1582)+1,20),FIND("/",MID(Sync!$AG1582,FIND("/",Sync!$AG1582)+1,20))-1))),"")))</f>
        <v/>
      </c>
      <c r="I1582">
        <f>IF(OR($F1582="",$G1582=""),"",IF(ISNUMBER(Sync!$AG1582),MOD(Sync!$AG1582,100),IFERROR(VALUE(TRIM(MID(MID(Sync!$AG1582,FIND("/",Sync!$AG1582)+1,20),FIND("/",MID(Sync!$AG1582,FIND("/",Sync!$AG1582)+1,20))+1,20))),"")))</f>
        <v/>
      </c>
      <c r="J1582">
        <f>IF($F1582="","",IF(OR($G1582="",$H1582="",$I1582="",$G1582&lt;1300,$G1582&gt;1500,$H1582&lt;1,$H1582&gt;12,$I1582&lt;1,$I1582&gt;31),"نامعتبر",RIGHT("0000"&amp;$G1582,4)&amp;"/"&amp;RIGHT("00"&amp;$H1582,2)&amp;"/"&amp;RIGHT("00"&amp;$I1582,2)))</f>
        <v/>
      </c>
      <c r="K1582">
        <f>IF(OR($F1582="",$J1582="",$J1582="نامعتبر"),"",LEFT($J1582,4)&amp;MID($J1582,6,2)&amp;RIGHT($J1582,2)&amp;$N1582&amp;"|"&amp;"2"&amp;RIGHT("00000"&amp;1577,5))</f>
        <v/>
      </c>
      <c r="L1582">
        <f>IF($K1582="","",COUNTIFS(LdgPartyA,$F1582,LdgKeyA,"&lt;"&amp;$K1582)+COUNTIFS(LdgPartyB,$F1582,LdgKeyB,"&lt;"&amp;$K1582)+1)</f>
        <v/>
      </c>
      <c r="M1582">
        <f>IF($L1582="","",$F1582&amp;"|"&amp;RIGHT("000000"&amp;$L1582,6))</f>
        <v/>
      </c>
      <c r="N1582">
        <f>IF($F1582="","",IF(Sync!$AH1582="","0000",IF(AND(ISNUMBER(Sync!$AH1582),Sync!$AH1582&gt;=0,Sync!$AH1582&lt;1),RIGHT("00"&amp;HOUR(Sync!$AH1582),2)&amp;RIGHT("00"&amp;MINUTE(Sync!$AH1582),2),IFERROR(RIGHT("00"&amp;VALUE(LEFT(Sync!$AH1582,FIND(":",Sync!$AH1582)-1)),2)&amp;RIGHT("00"&amp;VALUE(MID(Sync!$AH1582,FIND(":",Sync!$AH1582)+1,2)),2),"0000"))))</f>
        <v/>
      </c>
    </row>
    <row r="1583">
      <c r="A1583">
        <f>IF(OR(Calc!$E1586="",Calc!$E1586="نامعتبر",Calc!$G1586="",Calc!$I1586&lt;&gt;"خرید"),"",Calc!$G1586)</f>
        <v/>
      </c>
      <c r="B1583">
        <f>IF($A1583="","",LEFT(Calc!$E1586,4)&amp;MID(Calc!$E1586,6,2)&amp;RIGHT(Calc!$E1586,2)&amp;Calc!$R1586&amp;"|"&amp;"1"&amp;RIGHT("00000"&amp;1578,5))</f>
        <v/>
      </c>
      <c r="C1583">
        <f>IF($B1583="","",COUNTIFS(LdgPartyA,$A1583,LdgKeyA,"&lt;"&amp;$B1583)+COUNTIFS(LdgPartyB,$A1583,LdgKeyB,"&lt;"&amp;$B1583)+1)</f>
        <v/>
      </c>
      <c r="D1583">
        <f>IF($C1583="","",$A1583&amp;"|"&amp;RIGHT("000000"&amp;$C1583,6))</f>
        <v/>
      </c>
      <c r="F1583">
        <f>IF(Sync!$AJ1583="","",Sync!$AJ1583)</f>
        <v/>
      </c>
      <c r="G1583">
        <f>IF($F1583="","",IF(Sync!$AG1583="","",IF(ISNUMBER(Sync!$AG1583),IF(AND(Sync!$AG1583&gt;=10000101,Sync!$AG1583&lt;=99991231),INT(Sync!$AG1583/10000),""),IFERROR(VALUE(TRIM(LEFT(Sync!$AG1583,FIND("/",Sync!$AG1583)-1))),""))))</f>
        <v/>
      </c>
      <c r="H1583">
        <f>IF(OR($F1583="",$G1583=""),"",IF(ISNUMBER(Sync!$AG1583),INT(MOD(Sync!$AG1583,10000)/100),IFERROR(VALUE(TRIM(LEFT(MID(Sync!$AG1583,FIND("/",Sync!$AG1583)+1,20),FIND("/",MID(Sync!$AG1583,FIND("/",Sync!$AG1583)+1,20))-1))),"")))</f>
        <v/>
      </c>
      <c r="I1583">
        <f>IF(OR($F1583="",$G1583=""),"",IF(ISNUMBER(Sync!$AG1583),MOD(Sync!$AG1583,100),IFERROR(VALUE(TRIM(MID(MID(Sync!$AG1583,FIND("/",Sync!$AG1583)+1,20),FIND("/",MID(Sync!$AG1583,FIND("/",Sync!$AG1583)+1,20))+1,20))),"")))</f>
        <v/>
      </c>
      <c r="J1583">
        <f>IF($F1583="","",IF(OR($G1583="",$H1583="",$I1583="",$G1583&lt;1300,$G1583&gt;1500,$H1583&lt;1,$H1583&gt;12,$I1583&lt;1,$I1583&gt;31),"نامعتبر",RIGHT("0000"&amp;$G1583,4)&amp;"/"&amp;RIGHT("00"&amp;$H1583,2)&amp;"/"&amp;RIGHT("00"&amp;$I1583,2)))</f>
        <v/>
      </c>
      <c r="K1583">
        <f>IF(OR($F1583="",$J1583="",$J1583="نامعتبر"),"",LEFT($J1583,4)&amp;MID($J1583,6,2)&amp;RIGHT($J1583,2)&amp;$N1583&amp;"|"&amp;"2"&amp;RIGHT("00000"&amp;1578,5))</f>
        <v/>
      </c>
      <c r="L1583">
        <f>IF($K1583="","",COUNTIFS(LdgPartyA,$F1583,LdgKeyA,"&lt;"&amp;$K1583)+COUNTIFS(LdgPartyB,$F1583,LdgKeyB,"&lt;"&amp;$K1583)+1)</f>
        <v/>
      </c>
      <c r="M1583">
        <f>IF($L1583="","",$F1583&amp;"|"&amp;RIGHT("000000"&amp;$L1583,6))</f>
        <v/>
      </c>
      <c r="N1583">
        <f>IF($F1583="","",IF(Sync!$AH1583="","0000",IF(AND(ISNUMBER(Sync!$AH1583),Sync!$AH1583&gt;=0,Sync!$AH1583&lt;1),RIGHT("00"&amp;HOUR(Sync!$AH1583),2)&amp;RIGHT("00"&amp;MINUTE(Sync!$AH1583),2),IFERROR(RIGHT("00"&amp;VALUE(LEFT(Sync!$AH1583,FIND(":",Sync!$AH1583)-1)),2)&amp;RIGHT("00"&amp;VALUE(MID(Sync!$AH1583,FIND(":",Sync!$AH1583)+1,2)),2),"0000"))))</f>
        <v/>
      </c>
    </row>
    <row r="1584">
      <c r="A1584">
        <f>IF(OR(Calc!$E1587="",Calc!$E1587="نامعتبر",Calc!$G1587="",Calc!$I1587&lt;&gt;"خرید"),"",Calc!$G1587)</f>
        <v/>
      </c>
      <c r="B1584">
        <f>IF($A1584="","",LEFT(Calc!$E1587,4)&amp;MID(Calc!$E1587,6,2)&amp;RIGHT(Calc!$E1587,2)&amp;Calc!$R1587&amp;"|"&amp;"1"&amp;RIGHT("00000"&amp;1579,5))</f>
        <v/>
      </c>
      <c r="C1584">
        <f>IF($B1584="","",COUNTIFS(LdgPartyA,$A1584,LdgKeyA,"&lt;"&amp;$B1584)+COUNTIFS(LdgPartyB,$A1584,LdgKeyB,"&lt;"&amp;$B1584)+1)</f>
        <v/>
      </c>
      <c r="D1584">
        <f>IF($C1584="","",$A1584&amp;"|"&amp;RIGHT("000000"&amp;$C1584,6))</f>
        <v/>
      </c>
      <c r="F1584">
        <f>IF(Sync!$AJ1584="","",Sync!$AJ1584)</f>
        <v/>
      </c>
      <c r="G1584">
        <f>IF($F1584="","",IF(Sync!$AG1584="","",IF(ISNUMBER(Sync!$AG1584),IF(AND(Sync!$AG1584&gt;=10000101,Sync!$AG1584&lt;=99991231),INT(Sync!$AG1584/10000),""),IFERROR(VALUE(TRIM(LEFT(Sync!$AG1584,FIND("/",Sync!$AG1584)-1))),""))))</f>
        <v/>
      </c>
      <c r="H1584">
        <f>IF(OR($F1584="",$G1584=""),"",IF(ISNUMBER(Sync!$AG1584),INT(MOD(Sync!$AG1584,10000)/100),IFERROR(VALUE(TRIM(LEFT(MID(Sync!$AG1584,FIND("/",Sync!$AG1584)+1,20),FIND("/",MID(Sync!$AG1584,FIND("/",Sync!$AG1584)+1,20))-1))),"")))</f>
        <v/>
      </c>
      <c r="I1584">
        <f>IF(OR($F1584="",$G1584=""),"",IF(ISNUMBER(Sync!$AG1584),MOD(Sync!$AG1584,100),IFERROR(VALUE(TRIM(MID(MID(Sync!$AG1584,FIND("/",Sync!$AG1584)+1,20),FIND("/",MID(Sync!$AG1584,FIND("/",Sync!$AG1584)+1,20))+1,20))),"")))</f>
        <v/>
      </c>
      <c r="J1584">
        <f>IF($F1584="","",IF(OR($G1584="",$H1584="",$I1584="",$G1584&lt;1300,$G1584&gt;1500,$H1584&lt;1,$H1584&gt;12,$I1584&lt;1,$I1584&gt;31),"نامعتبر",RIGHT("0000"&amp;$G1584,4)&amp;"/"&amp;RIGHT("00"&amp;$H1584,2)&amp;"/"&amp;RIGHT("00"&amp;$I1584,2)))</f>
        <v/>
      </c>
      <c r="K1584">
        <f>IF(OR($F1584="",$J1584="",$J1584="نامعتبر"),"",LEFT($J1584,4)&amp;MID($J1584,6,2)&amp;RIGHT($J1584,2)&amp;$N1584&amp;"|"&amp;"2"&amp;RIGHT("00000"&amp;1579,5))</f>
        <v/>
      </c>
      <c r="L1584">
        <f>IF($K1584="","",COUNTIFS(LdgPartyA,$F1584,LdgKeyA,"&lt;"&amp;$K1584)+COUNTIFS(LdgPartyB,$F1584,LdgKeyB,"&lt;"&amp;$K1584)+1)</f>
        <v/>
      </c>
      <c r="M1584">
        <f>IF($L1584="","",$F1584&amp;"|"&amp;RIGHT("000000"&amp;$L1584,6))</f>
        <v/>
      </c>
      <c r="N1584">
        <f>IF($F1584="","",IF(Sync!$AH1584="","0000",IF(AND(ISNUMBER(Sync!$AH1584),Sync!$AH1584&gt;=0,Sync!$AH1584&lt;1),RIGHT("00"&amp;HOUR(Sync!$AH1584),2)&amp;RIGHT("00"&amp;MINUTE(Sync!$AH1584),2),IFERROR(RIGHT("00"&amp;VALUE(LEFT(Sync!$AH1584,FIND(":",Sync!$AH1584)-1)),2)&amp;RIGHT("00"&amp;VALUE(MID(Sync!$AH1584,FIND(":",Sync!$AH1584)+1,2)),2),"0000"))))</f>
        <v/>
      </c>
    </row>
    <row r="1585">
      <c r="A1585">
        <f>IF(OR(Calc!$E1588="",Calc!$E1588="نامعتبر",Calc!$G1588="",Calc!$I1588&lt;&gt;"خرید"),"",Calc!$G1588)</f>
        <v/>
      </c>
      <c r="B1585">
        <f>IF($A1585="","",LEFT(Calc!$E1588,4)&amp;MID(Calc!$E1588,6,2)&amp;RIGHT(Calc!$E1588,2)&amp;Calc!$R1588&amp;"|"&amp;"1"&amp;RIGHT("00000"&amp;1580,5))</f>
        <v/>
      </c>
      <c r="C1585">
        <f>IF($B1585="","",COUNTIFS(LdgPartyA,$A1585,LdgKeyA,"&lt;"&amp;$B1585)+COUNTIFS(LdgPartyB,$A1585,LdgKeyB,"&lt;"&amp;$B1585)+1)</f>
        <v/>
      </c>
      <c r="D1585">
        <f>IF($C1585="","",$A1585&amp;"|"&amp;RIGHT("000000"&amp;$C1585,6))</f>
        <v/>
      </c>
      <c r="F1585">
        <f>IF(Sync!$AJ1585="","",Sync!$AJ1585)</f>
        <v/>
      </c>
      <c r="G1585">
        <f>IF($F1585="","",IF(Sync!$AG1585="","",IF(ISNUMBER(Sync!$AG1585),IF(AND(Sync!$AG1585&gt;=10000101,Sync!$AG1585&lt;=99991231),INT(Sync!$AG1585/10000),""),IFERROR(VALUE(TRIM(LEFT(Sync!$AG1585,FIND("/",Sync!$AG1585)-1))),""))))</f>
        <v/>
      </c>
      <c r="H1585">
        <f>IF(OR($F1585="",$G1585=""),"",IF(ISNUMBER(Sync!$AG1585),INT(MOD(Sync!$AG1585,10000)/100),IFERROR(VALUE(TRIM(LEFT(MID(Sync!$AG1585,FIND("/",Sync!$AG1585)+1,20),FIND("/",MID(Sync!$AG1585,FIND("/",Sync!$AG1585)+1,20))-1))),"")))</f>
        <v/>
      </c>
      <c r="I1585">
        <f>IF(OR($F1585="",$G1585=""),"",IF(ISNUMBER(Sync!$AG1585),MOD(Sync!$AG1585,100),IFERROR(VALUE(TRIM(MID(MID(Sync!$AG1585,FIND("/",Sync!$AG1585)+1,20),FIND("/",MID(Sync!$AG1585,FIND("/",Sync!$AG1585)+1,20))+1,20))),"")))</f>
        <v/>
      </c>
      <c r="J1585">
        <f>IF($F1585="","",IF(OR($G1585="",$H1585="",$I1585="",$G1585&lt;1300,$G1585&gt;1500,$H1585&lt;1,$H1585&gt;12,$I1585&lt;1,$I1585&gt;31),"نامعتبر",RIGHT("0000"&amp;$G1585,4)&amp;"/"&amp;RIGHT("00"&amp;$H1585,2)&amp;"/"&amp;RIGHT("00"&amp;$I1585,2)))</f>
        <v/>
      </c>
      <c r="K1585">
        <f>IF(OR($F1585="",$J1585="",$J1585="نامعتبر"),"",LEFT($J1585,4)&amp;MID($J1585,6,2)&amp;RIGHT($J1585,2)&amp;$N1585&amp;"|"&amp;"2"&amp;RIGHT("00000"&amp;1580,5))</f>
        <v/>
      </c>
      <c r="L1585">
        <f>IF($K1585="","",COUNTIFS(LdgPartyA,$F1585,LdgKeyA,"&lt;"&amp;$K1585)+COUNTIFS(LdgPartyB,$F1585,LdgKeyB,"&lt;"&amp;$K1585)+1)</f>
        <v/>
      </c>
      <c r="M1585">
        <f>IF($L1585="","",$F1585&amp;"|"&amp;RIGHT("000000"&amp;$L1585,6))</f>
        <v/>
      </c>
      <c r="N1585">
        <f>IF($F1585="","",IF(Sync!$AH1585="","0000",IF(AND(ISNUMBER(Sync!$AH1585),Sync!$AH1585&gt;=0,Sync!$AH1585&lt;1),RIGHT("00"&amp;HOUR(Sync!$AH1585),2)&amp;RIGHT("00"&amp;MINUTE(Sync!$AH1585),2),IFERROR(RIGHT("00"&amp;VALUE(LEFT(Sync!$AH1585,FIND(":",Sync!$AH1585)-1)),2)&amp;RIGHT("00"&amp;VALUE(MID(Sync!$AH1585,FIND(":",Sync!$AH1585)+1,2)),2),"0000"))))</f>
        <v/>
      </c>
    </row>
    <row r="1586">
      <c r="A1586">
        <f>IF(OR(Calc!$E1589="",Calc!$E1589="نامعتبر",Calc!$G1589="",Calc!$I1589&lt;&gt;"خرید"),"",Calc!$G1589)</f>
        <v/>
      </c>
      <c r="B1586">
        <f>IF($A1586="","",LEFT(Calc!$E1589,4)&amp;MID(Calc!$E1589,6,2)&amp;RIGHT(Calc!$E1589,2)&amp;Calc!$R1589&amp;"|"&amp;"1"&amp;RIGHT("00000"&amp;1581,5))</f>
        <v/>
      </c>
      <c r="C1586">
        <f>IF($B1586="","",COUNTIFS(LdgPartyA,$A1586,LdgKeyA,"&lt;"&amp;$B1586)+COUNTIFS(LdgPartyB,$A1586,LdgKeyB,"&lt;"&amp;$B1586)+1)</f>
        <v/>
      </c>
      <c r="D1586">
        <f>IF($C1586="","",$A1586&amp;"|"&amp;RIGHT("000000"&amp;$C1586,6))</f>
        <v/>
      </c>
      <c r="F1586">
        <f>IF(Sync!$AJ1586="","",Sync!$AJ1586)</f>
        <v/>
      </c>
      <c r="G1586">
        <f>IF($F1586="","",IF(Sync!$AG1586="","",IF(ISNUMBER(Sync!$AG1586),IF(AND(Sync!$AG1586&gt;=10000101,Sync!$AG1586&lt;=99991231),INT(Sync!$AG1586/10000),""),IFERROR(VALUE(TRIM(LEFT(Sync!$AG1586,FIND("/",Sync!$AG1586)-1))),""))))</f>
        <v/>
      </c>
      <c r="H1586">
        <f>IF(OR($F1586="",$G1586=""),"",IF(ISNUMBER(Sync!$AG1586),INT(MOD(Sync!$AG1586,10000)/100),IFERROR(VALUE(TRIM(LEFT(MID(Sync!$AG1586,FIND("/",Sync!$AG1586)+1,20),FIND("/",MID(Sync!$AG1586,FIND("/",Sync!$AG1586)+1,20))-1))),"")))</f>
        <v/>
      </c>
      <c r="I1586">
        <f>IF(OR($F1586="",$G1586=""),"",IF(ISNUMBER(Sync!$AG1586),MOD(Sync!$AG1586,100),IFERROR(VALUE(TRIM(MID(MID(Sync!$AG1586,FIND("/",Sync!$AG1586)+1,20),FIND("/",MID(Sync!$AG1586,FIND("/",Sync!$AG1586)+1,20))+1,20))),"")))</f>
        <v/>
      </c>
      <c r="J1586">
        <f>IF($F1586="","",IF(OR($G1586="",$H1586="",$I1586="",$G1586&lt;1300,$G1586&gt;1500,$H1586&lt;1,$H1586&gt;12,$I1586&lt;1,$I1586&gt;31),"نامعتبر",RIGHT("0000"&amp;$G1586,4)&amp;"/"&amp;RIGHT("00"&amp;$H1586,2)&amp;"/"&amp;RIGHT("00"&amp;$I1586,2)))</f>
        <v/>
      </c>
      <c r="K1586">
        <f>IF(OR($F1586="",$J1586="",$J1586="نامعتبر"),"",LEFT($J1586,4)&amp;MID($J1586,6,2)&amp;RIGHT($J1586,2)&amp;$N1586&amp;"|"&amp;"2"&amp;RIGHT("00000"&amp;1581,5))</f>
        <v/>
      </c>
      <c r="L1586">
        <f>IF($K1586="","",COUNTIFS(LdgPartyA,$F1586,LdgKeyA,"&lt;"&amp;$K1586)+COUNTIFS(LdgPartyB,$F1586,LdgKeyB,"&lt;"&amp;$K1586)+1)</f>
        <v/>
      </c>
      <c r="M1586">
        <f>IF($L1586="","",$F1586&amp;"|"&amp;RIGHT("000000"&amp;$L1586,6))</f>
        <v/>
      </c>
      <c r="N1586">
        <f>IF($F1586="","",IF(Sync!$AH1586="","0000",IF(AND(ISNUMBER(Sync!$AH1586),Sync!$AH1586&gt;=0,Sync!$AH1586&lt;1),RIGHT("00"&amp;HOUR(Sync!$AH1586),2)&amp;RIGHT("00"&amp;MINUTE(Sync!$AH1586),2),IFERROR(RIGHT("00"&amp;VALUE(LEFT(Sync!$AH1586,FIND(":",Sync!$AH1586)-1)),2)&amp;RIGHT("00"&amp;VALUE(MID(Sync!$AH1586,FIND(":",Sync!$AH1586)+1,2)),2),"0000"))))</f>
        <v/>
      </c>
    </row>
    <row r="1587">
      <c r="A1587">
        <f>IF(OR(Calc!$E1590="",Calc!$E1590="نامعتبر",Calc!$G1590="",Calc!$I1590&lt;&gt;"خرید"),"",Calc!$G1590)</f>
        <v/>
      </c>
      <c r="B1587">
        <f>IF($A1587="","",LEFT(Calc!$E1590,4)&amp;MID(Calc!$E1590,6,2)&amp;RIGHT(Calc!$E1590,2)&amp;Calc!$R1590&amp;"|"&amp;"1"&amp;RIGHT("00000"&amp;1582,5))</f>
        <v/>
      </c>
      <c r="C1587">
        <f>IF($B1587="","",COUNTIFS(LdgPartyA,$A1587,LdgKeyA,"&lt;"&amp;$B1587)+COUNTIFS(LdgPartyB,$A1587,LdgKeyB,"&lt;"&amp;$B1587)+1)</f>
        <v/>
      </c>
      <c r="D1587">
        <f>IF($C1587="","",$A1587&amp;"|"&amp;RIGHT("000000"&amp;$C1587,6))</f>
        <v/>
      </c>
      <c r="F1587">
        <f>IF(Sync!$AJ1587="","",Sync!$AJ1587)</f>
        <v/>
      </c>
      <c r="G1587">
        <f>IF($F1587="","",IF(Sync!$AG1587="","",IF(ISNUMBER(Sync!$AG1587),IF(AND(Sync!$AG1587&gt;=10000101,Sync!$AG1587&lt;=99991231),INT(Sync!$AG1587/10000),""),IFERROR(VALUE(TRIM(LEFT(Sync!$AG1587,FIND("/",Sync!$AG1587)-1))),""))))</f>
        <v/>
      </c>
      <c r="H1587">
        <f>IF(OR($F1587="",$G1587=""),"",IF(ISNUMBER(Sync!$AG1587),INT(MOD(Sync!$AG1587,10000)/100),IFERROR(VALUE(TRIM(LEFT(MID(Sync!$AG1587,FIND("/",Sync!$AG1587)+1,20),FIND("/",MID(Sync!$AG1587,FIND("/",Sync!$AG1587)+1,20))-1))),"")))</f>
        <v/>
      </c>
      <c r="I1587">
        <f>IF(OR($F1587="",$G1587=""),"",IF(ISNUMBER(Sync!$AG1587),MOD(Sync!$AG1587,100),IFERROR(VALUE(TRIM(MID(MID(Sync!$AG1587,FIND("/",Sync!$AG1587)+1,20),FIND("/",MID(Sync!$AG1587,FIND("/",Sync!$AG1587)+1,20))+1,20))),"")))</f>
        <v/>
      </c>
      <c r="J1587">
        <f>IF($F1587="","",IF(OR($G1587="",$H1587="",$I1587="",$G1587&lt;1300,$G1587&gt;1500,$H1587&lt;1,$H1587&gt;12,$I1587&lt;1,$I1587&gt;31),"نامعتبر",RIGHT("0000"&amp;$G1587,4)&amp;"/"&amp;RIGHT("00"&amp;$H1587,2)&amp;"/"&amp;RIGHT("00"&amp;$I1587,2)))</f>
        <v/>
      </c>
      <c r="K1587">
        <f>IF(OR($F1587="",$J1587="",$J1587="نامعتبر"),"",LEFT($J1587,4)&amp;MID($J1587,6,2)&amp;RIGHT($J1587,2)&amp;$N1587&amp;"|"&amp;"2"&amp;RIGHT("00000"&amp;1582,5))</f>
        <v/>
      </c>
      <c r="L1587">
        <f>IF($K1587="","",COUNTIFS(LdgPartyA,$F1587,LdgKeyA,"&lt;"&amp;$K1587)+COUNTIFS(LdgPartyB,$F1587,LdgKeyB,"&lt;"&amp;$K1587)+1)</f>
        <v/>
      </c>
      <c r="M1587">
        <f>IF($L1587="","",$F1587&amp;"|"&amp;RIGHT("000000"&amp;$L1587,6))</f>
        <v/>
      </c>
      <c r="N1587">
        <f>IF($F1587="","",IF(Sync!$AH1587="","0000",IF(AND(ISNUMBER(Sync!$AH1587),Sync!$AH1587&gt;=0,Sync!$AH1587&lt;1),RIGHT("00"&amp;HOUR(Sync!$AH1587),2)&amp;RIGHT("00"&amp;MINUTE(Sync!$AH1587),2),IFERROR(RIGHT("00"&amp;VALUE(LEFT(Sync!$AH1587,FIND(":",Sync!$AH1587)-1)),2)&amp;RIGHT("00"&amp;VALUE(MID(Sync!$AH1587,FIND(":",Sync!$AH1587)+1,2)),2),"0000"))))</f>
        <v/>
      </c>
    </row>
    <row r="1588">
      <c r="A1588">
        <f>IF(OR(Calc!$E1591="",Calc!$E1591="نامعتبر",Calc!$G1591="",Calc!$I1591&lt;&gt;"خرید"),"",Calc!$G1591)</f>
        <v/>
      </c>
      <c r="B1588">
        <f>IF($A1588="","",LEFT(Calc!$E1591,4)&amp;MID(Calc!$E1591,6,2)&amp;RIGHT(Calc!$E1591,2)&amp;Calc!$R1591&amp;"|"&amp;"1"&amp;RIGHT("00000"&amp;1583,5))</f>
        <v/>
      </c>
      <c r="C1588">
        <f>IF($B1588="","",COUNTIFS(LdgPartyA,$A1588,LdgKeyA,"&lt;"&amp;$B1588)+COUNTIFS(LdgPartyB,$A1588,LdgKeyB,"&lt;"&amp;$B1588)+1)</f>
        <v/>
      </c>
      <c r="D1588">
        <f>IF($C1588="","",$A1588&amp;"|"&amp;RIGHT("000000"&amp;$C1588,6))</f>
        <v/>
      </c>
      <c r="F1588">
        <f>IF(Sync!$AJ1588="","",Sync!$AJ1588)</f>
        <v/>
      </c>
      <c r="G1588">
        <f>IF($F1588="","",IF(Sync!$AG1588="","",IF(ISNUMBER(Sync!$AG1588),IF(AND(Sync!$AG1588&gt;=10000101,Sync!$AG1588&lt;=99991231),INT(Sync!$AG1588/10000),""),IFERROR(VALUE(TRIM(LEFT(Sync!$AG1588,FIND("/",Sync!$AG1588)-1))),""))))</f>
        <v/>
      </c>
      <c r="H1588">
        <f>IF(OR($F1588="",$G1588=""),"",IF(ISNUMBER(Sync!$AG1588),INT(MOD(Sync!$AG1588,10000)/100),IFERROR(VALUE(TRIM(LEFT(MID(Sync!$AG1588,FIND("/",Sync!$AG1588)+1,20),FIND("/",MID(Sync!$AG1588,FIND("/",Sync!$AG1588)+1,20))-1))),"")))</f>
        <v/>
      </c>
      <c r="I1588">
        <f>IF(OR($F1588="",$G1588=""),"",IF(ISNUMBER(Sync!$AG1588),MOD(Sync!$AG1588,100),IFERROR(VALUE(TRIM(MID(MID(Sync!$AG1588,FIND("/",Sync!$AG1588)+1,20),FIND("/",MID(Sync!$AG1588,FIND("/",Sync!$AG1588)+1,20))+1,20))),"")))</f>
        <v/>
      </c>
      <c r="J1588">
        <f>IF($F1588="","",IF(OR($G1588="",$H1588="",$I1588="",$G1588&lt;1300,$G1588&gt;1500,$H1588&lt;1,$H1588&gt;12,$I1588&lt;1,$I1588&gt;31),"نامعتبر",RIGHT("0000"&amp;$G1588,4)&amp;"/"&amp;RIGHT("00"&amp;$H1588,2)&amp;"/"&amp;RIGHT("00"&amp;$I1588,2)))</f>
        <v/>
      </c>
      <c r="K1588">
        <f>IF(OR($F1588="",$J1588="",$J1588="نامعتبر"),"",LEFT($J1588,4)&amp;MID($J1588,6,2)&amp;RIGHT($J1588,2)&amp;$N1588&amp;"|"&amp;"2"&amp;RIGHT("00000"&amp;1583,5))</f>
        <v/>
      </c>
      <c r="L1588">
        <f>IF($K1588="","",COUNTIFS(LdgPartyA,$F1588,LdgKeyA,"&lt;"&amp;$K1588)+COUNTIFS(LdgPartyB,$F1588,LdgKeyB,"&lt;"&amp;$K1588)+1)</f>
        <v/>
      </c>
      <c r="M1588">
        <f>IF($L1588="","",$F1588&amp;"|"&amp;RIGHT("000000"&amp;$L1588,6))</f>
        <v/>
      </c>
      <c r="N1588">
        <f>IF($F1588="","",IF(Sync!$AH1588="","0000",IF(AND(ISNUMBER(Sync!$AH1588),Sync!$AH1588&gt;=0,Sync!$AH1588&lt;1),RIGHT("00"&amp;HOUR(Sync!$AH1588),2)&amp;RIGHT("00"&amp;MINUTE(Sync!$AH1588),2),IFERROR(RIGHT("00"&amp;VALUE(LEFT(Sync!$AH1588,FIND(":",Sync!$AH1588)-1)),2)&amp;RIGHT("00"&amp;VALUE(MID(Sync!$AH1588,FIND(":",Sync!$AH1588)+1,2)),2),"0000"))))</f>
        <v/>
      </c>
    </row>
    <row r="1589">
      <c r="A1589">
        <f>IF(OR(Calc!$E1592="",Calc!$E1592="نامعتبر",Calc!$G1592="",Calc!$I1592&lt;&gt;"خرید"),"",Calc!$G1592)</f>
        <v/>
      </c>
      <c r="B1589">
        <f>IF($A1589="","",LEFT(Calc!$E1592,4)&amp;MID(Calc!$E1592,6,2)&amp;RIGHT(Calc!$E1592,2)&amp;Calc!$R1592&amp;"|"&amp;"1"&amp;RIGHT("00000"&amp;1584,5))</f>
        <v/>
      </c>
      <c r="C1589">
        <f>IF($B1589="","",COUNTIFS(LdgPartyA,$A1589,LdgKeyA,"&lt;"&amp;$B1589)+COUNTIFS(LdgPartyB,$A1589,LdgKeyB,"&lt;"&amp;$B1589)+1)</f>
        <v/>
      </c>
      <c r="D1589">
        <f>IF($C1589="","",$A1589&amp;"|"&amp;RIGHT("000000"&amp;$C1589,6))</f>
        <v/>
      </c>
      <c r="F1589">
        <f>IF(Sync!$AJ1589="","",Sync!$AJ1589)</f>
        <v/>
      </c>
      <c r="G1589">
        <f>IF($F1589="","",IF(Sync!$AG1589="","",IF(ISNUMBER(Sync!$AG1589),IF(AND(Sync!$AG1589&gt;=10000101,Sync!$AG1589&lt;=99991231),INT(Sync!$AG1589/10000),""),IFERROR(VALUE(TRIM(LEFT(Sync!$AG1589,FIND("/",Sync!$AG1589)-1))),""))))</f>
        <v/>
      </c>
      <c r="H1589">
        <f>IF(OR($F1589="",$G1589=""),"",IF(ISNUMBER(Sync!$AG1589),INT(MOD(Sync!$AG1589,10000)/100),IFERROR(VALUE(TRIM(LEFT(MID(Sync!$AG1589,FIND("/",Sync!$AG1589)+1,20),FIND("/",MID(Sync!$AG1589,FIND("/",Sync!$AG1589)+1,20))-1))),"")))</f>
        <v/>
      </c>
      <c r="I1589">
        <f>IF(OR($F1589="",$G1589=""),"",IF(ISNUMBER(Sync!$AG1589),MOD(Sync!$AG1589,100),IFERROR(VALUE(TRIM(MID(MID(Sync!$AG1589,FIND("/",Sync!$AG1589)+1,20),FIND("/",MID(Sync!$AG1589,FIND("/",Sync!$AG1589)+1,20))+1,20))),"")))</f>
        <v/>
      </c>
      <c r="J1589">
        <f>IF($F1589="","",IF(OR($G1589="",$H1589="",$I1589="",$G1589&lt;1300,$G1589&gt;1500,$H1589&lt;1,$H1589&gt;12,$I1589&lt;1,$I1589&gt;31),"نامعتبر",RIGHT("0000"&amp;$G1589,4)&amp;"/"&amp;RIGHT("00"&amp;$H1589,2)&amp;"/"&amp;RIGHT("00"&amp;$I1589,2)))</f>
        <v/>
      </c>
      <c r="K1589">
        <f>IF(OR($F1589="",$J1589="",$J1589="نامعتبر"),"",LEFT($J1589,4)&amp;MID($J1589,6,2)&amp;RIGHT($J1589,2)&amp;$N1589&amp;"|"&amp;"2"&amp;RIGHT("00000"&amp;1584,5))</f>
        <v/>
      </c>
      <c r="L1589">
        <f>IF($K1589="","",COUNTIFS(LdgPartyA,$F1589,LdgKeyA,"&lt;"&amp;$K1589)+COUNTIFS(LdgPartyB,$F1589,LdgKeyB,"&lt;"&amp;$K1589)+1)</f>
        <v/>
      </c>
      <c r="M1589">
        <f>IF($L1589="","",$F1589&amp;"|"&amp;RIGHT("000000"&amp;$L1589,6))</f>
        <v/>
      </c>
      <c r="N1589">
        <f>IF($F1589="","",IF(Sync!$AH1589="","0000",IF(AND(ISNUMBER(Sync!$AH1589),Sync!$AH1589&gt;=0,Sync!$AH1589&lt;1),RIGHT("00"&amp;HOUR(Sync!$AH1589),2)&amp;RIGHT("00"&amp;MINUTE(Sync!$AH1589),2),IFERROR(RIGHT("00"&amp;VALUE(LEFT(Sync!$AH1589,FIND(":",Sync!$AH1589)-1)),2)&amp;RIGHT("00"&amp;VALUE(MID(Sync!$AH1589,FIND(":",Sync!$AH1589)+1,2)),2),"0000"))))</f>
        <v/>
      </c>
    </row>
    <row r="1590">
      <c r="A1590">
        <f>IF(OR(Calc!$E1593="",Calc!$E1593="نامعتبر",Calc!$G1593="",Calc!$I1593&lt;&gt;"خرید"),"",Calc!$G1593)</f>
        <v/>
      </c>
      <c r="B1590">
        <f>IF($A1590="","",LEFT(Calc!$E1593,4)&amp;MID(Calc!$E1593,6,2)&amp;RIGHT(Calc!$E1593,2)&amp;Calc!$R1593&amp;"|"&amp;"1"&amp;RIGHT("00000"&amp;1585,5))</f>
        <v/>
      </c>
      <c r="C1590">
        <f>IF($B1590="","",COUNTIFS(LdgPartyA,$A1590,LdgKeyA,"&lt;"&amp;$B1590)+COUNTIFS(LdgPartyB,$A1590,LdgKeyB,"&lt;"&amp;$B1590)+1)</f>
        <v/>
      </c>
      <c r="D1590">
        <f>IF($C1590="","",$A1590&amp;"|"&amp;RIGHT("000000"&amp;$C1590,6))</f>
        <v/>
      </c>
      <c r="F1590">
        <f>IF(Sync!$AJ1590="","",Sync!$AJ1590)</f>
        <v/>
      </c>
      <c r="G1590">
        <f>IF($F1590="","",IF(Sync!$AG1590="","",IF(ISNUMBER(Sync!$AG1590),IF(AND(Sync!$AG1590&gt;=10000101,Sync!$AG1590&lt;=99991231),INT(Sync!$AG1590/10000),""),IFERROR(VALUE(TRIM(LEFT(Sync!$AG1590,FIND("/",Sync!$AG1590)-1))),""))))</f>
        <v/>
      </c>
      <c r="H1590">
        <f>IF(OR($F1590="",$G1590=""),"",IF(ISNUMBER(Sync!$AG1590),INT(MOD(Sync!$AG1590,10000)/100),IFERROR(VALUE(TRIM(LEFT(MID(Sync!$AG1590,FIND("/",Sync!$AG1590)+1,20),FIND("/",MID(Sync!$AG1590,FIND("/",Sync!$AG1590)+1,20))-1))),"")))</f>
        <v/>
      </c>
      <c r="I1590">
        <f>IF(OR($F1590="",$G1590=""),"",IF(ISNUMBER(Sync!$AG1590),MOD(Sync!$AG1590,100),IFERROR(VALUE(TRIM(MID(MID(Sync!$AG1590,FIND("/",Sync!$AG1590)+1,20),FIND("/",MID(Sync!$AG1590,FIND("/",Sync!$AG1590)+1,20))+1,20))),"")))</f>
        <v/>
      </c>
      <c r="J1590">
        <f>IF($F1590="","",IF(OR($G1590="",$H1590="",$I1590="",$G1590&lt;1300,$G1590&gt;1500,$H1590&lt;1,$H1590&gt;12,$I1590&lt;1,$I1590&gt;31),"نامعتبر",RIGHT("0000"&amp;$G1590,4)&amp;"/"&amp;RIGHT("00"&amp;$H1590,2)&amp;"/"&amp;RIGHT("00"&amp;$I1590,2)))</f>
        <v/>
      </c>
      <c r="K1590">
        <f>IF(OR($F1590="",$J1590="",$J1590="نامعتبر"),"",LEFT($J1590,4)&amp;MID($J1590,6,2)&amp;RIGHT($J1590,2)&amp;$N1590&amp;"|"&amp;"2"&amp;RIGHT("00000"&amp;1585,5))</f>
        <v/>
      </c>
      <c r="L1590">
        <f>IF($K1590="","",COUNTIFS(LdgPartyA,$F1590,LdgKeyA,"&lt;"&amp;$K1590)+COUNTIFS(LdgPartyB,$F1590,LdgKeyB,"&lt;"&amp;$K1590)+1)</f>
        <v/>
      </c>
      <c r="M1590">
        <f>IF($L1590="","",$F1590&amp;"|"&amp;RIGHT("000000"&amp;$L1590,6))</f>
        <v/>
      </c>
      <c r="N1590">
        <f>IF($F1590="","",IF(Sync!$AH1590="","0000",IF(AND(ISNUMBER(Sync!$AH1590),Sync!$AH1590&gt;=0,Sync!$AH1590&lt;1),RIGHT("00"&amp;HOUR(Sync!$AH1590),2)&amp;RIGHT("00"&amp;MINUTE(Sync!$AH1590),2),IFERROR(RIGHT("00"&amp;VALUE(LEFT(Sync!$AH1590,FIND(":",Sync!$AH1590)-1)),2)&amp;RIGHT("00"&amp;VALUE(MID(Sync!$AH1590,FIND(":",Sync!$AH1590)+1,2)),2),"0000"))))</f>
        <v/>
      </c>
    </row>
    <row r="1591">
      <c r="A1591">
        <f>IF(OR(Calc!$E1594="",Calc!$E1594="نامعتبر",Calc!$G1594="",Calc!$I1594&lt;&gt;"خرید"),"",Calc!$G1594)</f>
        <v/>
      </c>
      <c r="B1591">
        <f>IF($A1591="","",LEFT(Calc!$E1594,4)&amp;MID(Calc!$E1594,6,2)&amp;RIGHT(Calc!$E1594,2)&amp;Calc!$R1594&amp;"|"&amp;"1"&amp;RIGHT("00000"&amp;1586,5))</f>
        <v/>
      </c>
      <c r="C1591">
        <f>IF($B1591="","",COUNTIFS(LdgPartyA,$A1591,LdgKeyA,"&lt;"&amp;$B1591)+COUNTIFS(LdgPartyB,$A1591,LdgKeyB,"&lt;"&amp;$B1591)+1)</f>
        <v/>
      </c>
      <c r="D1591">
        <f>IF($C1591="","",$A1591&amp;"|"&amp;RIGHT("000000"&amp;$C1591,6))</f>
        <v/>
      </c>
      <c r="F1591">
        <f>IF(Sync!$AJ1591="","",Sync!$AJ1591)</f>
        <v/>
      </c>
      <c r="G1591">
        <f>IF($F1591="","",IF(Sync!$AG1591="","",IF(ISNUMBER(Sync!$AG1591),IF(AND(Sync!$AG1591&gt;=10000101,Sync!$AG1591&lt;=99991231),INT(Sync!$AG1591/10000),""),IFERROR(VALUE(TRIM(LEFT(Sync!$AG1591,FIND("/",Sync!$AG1591)-1))),""))))</f>
        <v/>
      </c>
      <c r="H1591">
        <f>IF(OR($F1591="",$G1591=""),"",IF(ISNUMBER(Sync!$AG1591),INT(MOD(Sync!$AG1591,10000)/100),IFERROR(VALUE(TRIM(LEFT(MID(Sync!$AG1591,FIND("/",Sync!$AG1591)+1,20),FIND("/",MID(Sync!$AG1591,FIND("/",Sync!$AG1591)+1,20))-1))),"")))</f>
        <v/>
      </c>
      <c r="I1591">
        <f>IF(OR($F1591="",$G1591=""),"",IF(ISNUMBER(Sync!$AG1591),MOD(Sync!$AG1591,100),IFERROR(VALUE(TRIM(MID(MID(Sync!$AG1591,FIND("/",Sync!$AG1591)+1,20),FIND("/",MID(Sync!$AG1591,FIND("/",Sync!$AG1591)+1,20))+1,20))),"")))</f>
        <v/>
      </c>
      <c r="J1591">
        <f>IF($F1591="","",IF(OR($G1591="",$H1591="",$I1591="",$G1591&lt;1300,$G1591&gt;1500,$H1591&lt;1,$H1591&gt;12,$I1591&lt;1,$I1591&gt;31),"نامعتبر",RIGHT("0000"&amp;$G1591,4)&amp;"/"&amp;RIGHT("00"&amp;$H1591,2)&amp;"/"&amp;RIGHT("00"&amp;$I1591,2)))</f>
        <v/>
      </c>
      <c r="K1591">
        <f>IF(OR($F1591="",$J1591="",$J1591="نامعتبر"),"",LEFT($J1591,4)&amp;MID($J1591,6,2)&amp;RIGHT($J1591,2)&amp;$N1591&amp;"|"&amp;"2"&amp;RIGHT("00000"&amp;1586,5))</f>
        <v/>
      </c>
      <c r="L1591">
        <f>IF($K1591="","",COUNTIFS(LdgPartyA,$F1591,LdgKeyA,"&lt;"&amp;$K1591)+COUNTIFS(LdgPartyB,$F1591,LdgKeyB,"&lt;"&amp;$K1591)+1)</f>
        <v/>
      </c>
      <c r="M1591">
        <f>IF($L1591="","",$F1591&amp;"|"&amp;RIGHT("000000"&amp;$L1591,6))</f>
        <v/>
      </c>
      <c r="N1591">
        <f>IF($F1591="","",IF(Sync!$AH1591="","0000",IF(AND(ISNUMBER(Sync!$AH1591),Sync!$AH1591&gt;=0,Sync!$AH1591&lt;1),RIGHT("00"&amp;HOUR(Sync!$AH1591),2)&amp;RIGHT("00"&amp;MINUTE(Sync!$AH1591),2),IFERROR(RIGHT("00"&amp;VALUE(LEFT(Sync!$AH1591,FIND(":",Sync!$AH1591)-1)),2)&amp;RIGHT("00"&amp;VALUE(MID(Sync!$AH1591,FIND(":",Sync!$AH1591)+1,2)),2),"0000"))))</f>
        <v/>
      </c>
    </row>
    <row r="1592">
      <c r="A1592">
        <f>IF(OR(Calc!$E1595="",Calc!$E1595="نامعتبر",Calc!$G1595="",Calc!$I1595&lt;&gt;"خرید"),"",Calc!$G1595)</f>
        <v/>
      </c>
      <c r="B1592">
        <f>IF($A1592="","",LEFT(Calc!$E1595,4)&amp;MID(Calc!$E1595,6,2)&amp;RIGHT(Calc!$E1595,2)&amp;Calc!$R1595&amp;"|"&amp;"1"&amp;RIGHT("00000"&amp;1587,5))</f>
        <v/>
      </c>
      <c r="C1592">
        <f>IF($B1592="","",COUNTIFS(LdgPartyA,$A1592,LdgKeyA,"&lt;"&amp;$B1592)+COUNTIFS(LdgPartyB,$A1592,LdgKeyB,"&lt;"&amp;$B1592)+1)</f>
        <v/>
      </c>
      <c r="D1592">
        <f>IF($C1592="","",$A1592&amp;"|"&amp;RIGHT("000000"&amp;$C1592,6))</f>
        <v/>
      </c>
      <c r="F1592">
        <f>IF(Sync!$AJ1592="","",Sync!$AJ1592)</f>
        <v/>
      </c>
      <c r="G1592">
        <f>IF($F1592="","",IF(Sync!$AG1592="","",IF(ISNUMBER(Sync!$AG1592),IF(AND(Sync!$AG1592&gt;=10000101,Sync!$AG1592&lt;=99991231),INT(Sync!$AG1592/10000),""),IFERROR(VALUE(TRIM(LEFT(Sync!$AG1592,FIND("/",Sync!$AG1592)-1))),""))))</f>
        <v/>
      </c>
      <c r="H1592">
        <f>IF(OR($F1592="",$G1592=""),"",IF(ISNUMBER(Sync!$AG1592),INT(MOD(Sync!$AG1592,10000)/100),IFERROR(VALUE(TRIM(LEFT(MID(Sync!$AG1592,FIND("/",Sync!$AG1592)+1,20),FIND("/",MID(Sync!$AG1592,FIND("/",Sync!$AG1592)+1,20))-1))),"")))</f>
        <v/>
      </c>
      <c r="I1592">
        <f>IF(OR($F1592="",$G1592=""),"",IF(ISNUMBER(Sync!$AG1592),MOD(Sync!$AG1592,100),IFERROR(VALUE(TRIM(MID(MID(Sync!$AG1592,FIND("/",Sync!$AG1592)+1,20),FIND("/",MID(Sync!$AG1592,FIND("/",Sync!$AG1592)+1,20))+1,20))),"")))</f>
        <v/>
      </c>
      <c r="J1592">
        <f>IF($F1592="","",IF(OR($G1592="",$H1592="",$I1592="",$G1592&lt;1300,$G1592&gt;1500,$H1592&lt;1,$H1592&gt;12,$I1592&lt;1,$I1592&gt;31),"نامعتبر",RIGHT("0000"&amp;$G1592,4)&amp;"/"&amp;RIGHT("00"&amp;$H1592,2)&amp;"/"&amp;RIGHT("00"&amp;$I1592,2)))</f>
        <v/>
      </c>
      <c r="K1592">
        <f>IF(OR($F1592="",$J1592="",$J1592="نامعتبر"),"",LEFT($J1592,4)&amp;MID($J1592,6,2)&amp;RIGHT($J1592,2)&amp;$N1592&amp;"|"&amp;"2"&amp;RIGHT("00000"&amp;1587,5))</f>
        <v/>
      </c>
      <c r="L1592">
        <f>IF($K1592="","",COUNTIFS(LdgPartyA,$F1592,LdgKeyA,"&lt;"&amp;$K1592)+COUNTIFS(LdgPartyB,$F1592,LdgKeyB,"&lt;"&amp;$K1592)+1)</f>
        <v/>
      </c>
      <c r="M1592">
        <f>IF($L1592="","",$F1592&amp;"|"&amp;RIGHT("000000"&amp;$L1592,6))</f>
        <v/>
      </c>
      <c r="N1592">
        <f>IF($F1592="","",IF(Sync!$AH1592="","0000",IF(AND(ISNUMBER(Sync!$AH1592),Sync!$AH1592&gt;=0,Sync!$AH1592&lt;1),RIGHT("00"&amp;HOUR(Sync!$AH1592),2)&amp;RIGHT("00"&amp;MINUTE(Sync!$AH1592),2),IFERROR(RIGHT("00"&amp;VALUE(LEFT(Sync!$AH1592,FIND(":",Sync!$AH1592)-1)),2)&amp;RIGHT("00"&amp;VALUE(MID(Sync!$AH1592,FIND(":",Sync!$AH1592)+1,2)),2),"0000"))))</f>
        <v/>
      </c>
    </row>
    <row r="1593">
      <c r="A1593">
        <f>IF(OR(Calc!$E1596="",Calc!$E1596="نامعتبر",Calc!$G1596="",Calc!$I1596&lt;&gt;"خرید"),"",Calc!$G1596)</f>
        <v/>
      </c>
      <c r="B1593">
        <f>IF($A1593="","",LEFT(Calc!$E1596,4)&amp;MID(Calc!$E1596,6,2)&amp;RIGHT(Calc!$E1596,2)&amp;Calc!$R1596&amp;"|"&amp;"1"&amp;RIGHT("00000"&amp;1588,5))</f>
        <v/>
      </c>
      <c r="C1593">
        <f>IF($B1593="","",COUNTIFS(LdgPartyA,$A1593,LdgKeyA,"&lt;"&amp;$B1593)+COUNTIFS(LdgPartyB,$A1593,LdgKeyB,"&lt;"&amp;$B1593)+1)</f>
        <v/>
      </c>
      <c r="D1593">
        <f>IF($C1593="","",$A1593&amp;"|"&amp;RIGHT("000000"&amp;$C1593,6))</f>
        <v/>
      </c>
      <c r="F1593">
        <f>IF(Sync!$AJ1593="","",Sync!$AJ1593)</f>
        <v/>
      </c>
      <c r="G1593">
        <f>IF($F1593="","",IF(Sync!$AG1593="","",IF(ISNUMBER(Sync!$AG1593),IF(AND(Sync!$AG1593&gt;=10000101,Sync!$AG1593&lt;=99991231),INT(Sync!$AG1593/10000),""),IFERROR(VALUE(TRIM(LEFT(Sync!$AG1593,FIND("/",Sync!$AG1593)-1))),""))))</f>
        <v/>
      </c>
      <c r="H1593">
        <f>IF(OR($F1593="",$G1593=""),"",IF(ISNUMBER(Sync!$AG1593),INT(MOD(Sync!$AG1593,10000)/100),IFERROR(VALUE(TRIM(LEFT(MID(Sync!$AG1593,FIND("/",Sync!$AG1593)+1,20),FIND("/",MID(Sync!$AG1593,FIND("/",Sync!$AG1593)+1,20))-1))),"")))</f>
        <v/>
      </c>
      <c r="I1593">
        <f>IF(OR($F1593="",$G1593=""),"",IF(ISNUMBER(Sync!$AG1593),MOD(Sync!$AG1593,100),IFERROR(VALUE(TRIM(MID(MID(Sync!$AG1593,FIND("/",Sync!$AG1593)+1,20),FIND("/",MID(Sync!$AG1593,FIND("/",Sync!$AG1593)+1,20))+1,20))),"")))</f>
        <v/>
      </c>
      <c r="J1593">
        <f>IF($F1593="","",IF(OR($G1593="",$H1593="",$I1593="",$G1593&lt;1300,$G1593&gt;1500,$H1593&lt;1,$H1593&gt;12,$I1593&lt;1,$I1593&gt;31),"نامعتبر",RIGHT("0000"&amp;$G1593,4)&amp;"/"&amp;RIGHT("00"&amp;$H1593,2)&amp;"/"&amp;RIGHT("00"&amp;$I1593,2)))</f>
        <v/>
      </c>
      <c r="K1593">
        <f>IF(OR($F1593="",$J1593="",$J1593="نامعتبر"),"",LEFT($J1593,4)&amp;MID($J1593,6,2)&amp;RIGHT($J1593,2)&amp;$N1593&amp;"|"&amp;"2"&amp;RIGHT("00000"&amp;1588,5))</f>
        <v/>
      </c>
      <c r="L1593">
        <f>IF($K1593="","",COUNTIFS(LdgPartyA,$F1593,LdgKeyA,"&lt;"&amp;$K1593)+COUNTIFS(LdgPartyB,$F1593,LdgKeyB,"&lt;"&amp;$K1593)+1)</f>
        <v/>
      </c>
      <c r="M1593">
        <f>IF($L1593="","",$F1593&amp;"|"&amp;RIGHT("000000"&amp;$L1593,6))</f>
        <v/>
      </c>
      <c r="N1593">
        <f>IF($F1593="","",IF(Sync!$AH1593="","0000",IF(AND(ISNUMBER(Sync!$AH1593),Sync!$AH1593&gt;=0,Sync!$AH1593&lt;1),RIGHT("00"&amp;HOUR(Sync!$AH1593),2)&amp;RIGHT("00"&amp;MINUTE(Sync!$AH1593),2),IFERROR(RIGHT("00"&amp;VALUE(LEFT(Sync!$AH1593,FIND(":",Sync!$AH1593)-1)),2)&amp;RIGHT("00"&amp;VALUE(MID(Sync!$AH1593,FIND(":",Sync!$AH1593)+1,2)),2),"0000"))))</f>
        <v/>
      </c>
    </row>
    <row r="1594">
      <c r="A1594">
        <f>IF(OR(Calc!$E1597="",Calc!$E1597="نامعتبر",Calc!$G1597="",Calc!$I1597&lt;&gt;"خرید"),"",Calc!$G1597)</f>
        <v/>
      </c>
      <c r="B1594">
        <f>IF($A1594="","",LEFT(Calc!$E1597,4)&amp;MID(Calc!$E1597,6,2)&amp;RIGHT(Calc!$E1597,2)&amp;Calc!$R1597&amp;"|"&amp;"1"&amp;RIGHT("00000"&amp;1589,5))</f>
        <v/>
      </c>
      <c r="C1594">
        <f>IF($B1594="","",COUNTIFS(LdgPartyA,$A1594,LdgKeyA,"&lt;"&amp;$B1594)+COUNTIFS(LdgPartyB,$A1594,LdgKeyB,"&lt;"&amp;$B1594)+1)</f>
        <v/>
      </c>
      <c r="D1594">
        <f>IF($C1594="","",$A1594&amp;"|"&amp;RIGHT("000000"&amp;$C1594,6))</f>
        <v/>
      </c>
      <c r="F1594">
        <f>IF(Sync!$AJ1594="","",Sync!$AJ1594)</f>
        <v/>
      </c>
      <c r="G1594">
        <f>IF($F1594="","",IF(Sync!$AG1594="","",IF(ISNUMBER(Sync!$AG1594),IF(AND(Sync!$AG1594&gt;=10000101,Sync!$AG1594&lt;=99991231),INT(Sync!$AG1594/10000),""),IFERROR(VALUE(TRIM(LEFT(Sync!$AG1594,FIND("/",Sync!$AG1594)-1))),""))))</f>
        <v/>
      </c>
      <c r="H1594">
        <f>IF(OR($F1594="",$G1594=""),"",IF(ISNUMBER(Sync!$AG1594),INT(MOD(Sync!$AG1594,10000)/100),IFERROR(VALUE(TRIM(LEFT(MID(Sync!$AG1594,FIND("/",Sync!$AG1594)+1,20),FIND("/",MID(Sync!$AG1594,FIND("/",Sync!$AG1594)+1,20))-1))),"")))</f>
        <v/>
      </c>
      <c r="I1594">
        <f>IF(OR($F1594="",$G1594=""),"",IF(ISNUMBER(Sync!$AG1594),MOD(Sync!$AG1594,100),IFERROR(VALUE(TRIM(MID(MID(Sync!$AG1594,FIND("/",Sync!$AG1594)+1,20),FIND("/",MID(Sync!$AG1594,FIND("/",Sync!$AG1594)+1,20))+1,20))),"")))</f>
        <v/>
      </c>
      <c r="J1594">
        <f>IF($F1594="","",IF(OR($G1594="",$H1594="",$I1594="",$G1594&lt;1300,$G1594&gt;1500,$H1594&lt;1,$H1594&gt;12,$I1594&lt;1,$I1594&gt;31),"نامعتبر",RIGHT("0000"&amp;$G1594,4)&amp;"/"&amp;RIGHT("00"&amp;$H1594,2)&amp;"/"&amp;RIGHT("00"&amp;$I1594,2)))</f>
        <v/>
      </c>
      <c r="K1594">
        <f>IF(OR($F1594="",$J1594="",$J1594="نامعتبر"),"",LEFT($J1594,4)&amp;MID($J1594,6,2)&amp;RIGHT($J1594,2)&amp;$N1594&amp;"|"&amp;"2"&amp;RIGHT("00000"&amp;1589,5))</f>
        <v/>
      </c>
      <c r="L1594">
        <f>IF($K1594="","",COUNTIFS(LdgPartyA,$F1594,LdgKeyA,"&lt;"&amp;$K1594)+COUNTIFS(LdgPartyB,$F1594,LdgKeyB,"&lt;"&amp;$K1594)+1)</f>
        <v/>
      </c>
      <c r="M1594">
        <f>IF($L1594="","",$F1594&amp;"|"&amp;RIGHT("000000"&amp;$L1594,6))</f>
        <v/>
      </c>
      <c r="N1594">
        <f>IF($F1594="","",IF(Sync!$AH1594="","0000",IF(AND(ISNUMBER(Sync!$AH1594),Sync!$AH1594&gt;=0,Sync!$AH1594&lt;1),RIGHT("00"&amp;HOUR(Sync!$AH1594),2)&amp;RIGHT("00"&amp;MINUTE(Sync!$AH1594),2),IFERROR(RIGHT("00"&amp;VALUE(LEFT(Sync!$AH1594,FIND(":",Sync!$AH1594)-1)),2)&amp;RIGHT("00"&amp;VALUE(MID(Sync!$AH1594,FIND(":",Sync!$AH1594)+1,2)),2),"0000"))))</f>
        <v/>
      </c>
    </row>
    <row r="1595">
      <c r="A1595">
        <f>IF(OR(Calc!$E1598="",Calc!$E1598="نامعتبر",Calc!$G1598="",Calc!$I1598&lt;&gt;"خرید"),"",Calc!$G1598)</f>
        <v/>
      </c>
      <c r="B1595">
        <f>IF($A1595="","",LEFT(Calc!$E1598,4)&amp;MID(Calc!$E1598,6,2)&amp;RIGHT(Calc!$E1598,2)&amp;Calc!$R1598&amp;"|"&amp;"1"&amp;RIGHT("00000"&amp;1590,5))</f>
        <v/>
      </c>
      <c r="C1595">
        <f>IF($B1595="","",COUNTIFS(LdgPartyA,$A1595,LdgKeyA,"&lt;"&amp;$B1595)+COUNTIFS(LdgPartyB,$A1595,LdgKeyB,"&lt;"&amp;$B1595)+1)</f>
        <v/>
      </c>
      <c r="D1595">
        <f>IF($C1595="","",$A1595&amp;"|"&amp;RIGHT("000000"&amp;$C1595,6))</f>
        <v/>
      </c>
      <c r="F1595">
        <f>IF(Sync!$AJ1595="","",Sync!$AJ1595)</f>
        <v/>
      </c>
      <c r="G1595">
        <f>IF($F1595="","",IF(Sync!$AG1595="","",IF(ISNUMBER(Sync!$AG1595),IF(AND(Sync!$AG1595&gt;=10000101,Sync!$AG1595&lt;=99991231),INT(Sync!$AG1595/10000),""),IFERROR(VALUE(TRIM(LEFT(Sync!$AG1595,FIND("/",Sync!$AG1595)-1))),""))))</f>
        <v/>
      </c>
      <c r="H1595">
        <f>IF(OR($F1595="",$G1595=""),"",IF(ISNUMBER(Sync!$AG1595),INT(MOD(Sync!$AG1595,10000)/100),IFERROR(VALUE(TRIM(LEFT(MID(Sync!$AG1595,FIND("/",Sync!$AG1595)+1,20),FIND("/",MID(Sync!$AG1595,FIND("/",Sync!$AG1595)+1,20))-1))),"")))</f>
        <v/>
      </c>
      <c r="I1595">
        <f>IF(OR($F1595="",$G1595=""),"",IF(ISNUMBER(Sync!$AG1595),MOD(Sync!$AG1595,100),IFERROR(VALUE(TRIM(MID(MID(Sync!$AG1595,FIND("/",Sync!$AG1595)+1,20),FIND("/",MID(Sync!$AG1595,FIND("/",Sync!$AG1595)+1,20))+1,20))),"")))</f>
        <v/>
      </c>
      <c r="J1595">
        <f>IF($F1595="","",IF(OR($G1595="",$H1595="",$I1595="",$G1595&lt;1300,$G1595&gt;1500,$H1595&lt;1,$H1595&gt;12,$I1595&lt;1,$I1595&gt;31),"نامعتبر",RIGHT("0000"&amp;$G1595,4)&amp;"/"&amp;RIGHT("00"&amp;$H1595,2)&amp;"/"&amp;RIGHT("00"&amp;$I1595,2)))</f>
        <v/>
      </c>
      <c r="K1595">
        <f>IF(OR($F1595="",$J1595="",$J1595="نامعتبر"),"",LEFT($J1595,4)&amp;MID($J1595,6,2)&amp;RIGHT($J1595,2)&amp;$N1595&amp;"|"&amp;"2"&amp;RIGHT("00000"&amp;1590,5))</f>
        <v/>
      </c>
      <c r="L1595">
        <f>IF($K1595="","",COUNTIFS(LdgPartyA,$F1595,LdgKeyA,"&lt;"&amp;$K1595)+COUNTIFS(LdgPartyB,$F1595,LdgKeyB,"&lt;"&amp;$K1595)+1)</f>
        <v/>
      </c>
      <c r="M1595">
        <f>IF($L1595="","",$F1595&amp;"|"&amp;RIGHT("000000"&amp;$L1595,6))</f>
        <v/>
      </c>
      <c r="N1595">
        <f>IF($F1595="","",IF(Sync!$AH1595="","0000",IF(AND(ISNUMBER(Sync!$AH1595),Sync!$AH1595&gt;=0,Sync!$AH1595&lt;1),RIGHT("00"&amp;HOUR(Sync!$AH1595),2)&amp;RIGHT("00"&amp;MINUTE(Sync!$AH1595),2),IFERROR(RIGHT("00"&amp;VALUE(LEFT(Sync!$AH1595,FIND(":",Sync!$AH1595)-1)),2)&amp;RIGHT("00"&amp;VALUE(MID(Sync!$AH1595,FIND(":",Sync!$AH1595)+1,2)),2),"0000"))))</f>
        <v/>
      </c>
    </row>
    <row r="1596">
      <c r="A1596">
        <f>IF(OR(Calc!$E1599="",Calc!$E1599="نامعتبر",Calc!$G1599="",Calc!$I1599&lt;&gt;"خرید"),"",Calc!$G1599)</f>
        <v/>
      </c>
      <c r="B1596">
        <f>IF($A1596="","",LEFT(Calc!$E1599,4)&amp;MID(Calc!$E1599,6,2)&amp;RIGHT(Calc!$E1599,2)&amp;Calc!$R1599&amp;"|"&amp;"1"&amp;RIGHT("00000"&amp;1591,5))</f>
        <v/>
      </c>
      <c r="C1596">
        <f>IF($B1596="","",COUNTIFS(LdgPartyA,$A1596,LdgKeyA,"&lt;"&amp;$B1596)+COUNTIFS(LdgPartyB,$A1596,LdgKeyB,"&lt;"&amp;$B1596)+1)</f>
        <v/>
      </c>
      <c r="D1596">
        <f>IF($C1596="","",$A1596&amp;"|"&amp;RIGHT("000000"&amp;$C1596,6))</f>
        <v/>
      </c>
      <c r="F1596">
        <f>IF(Sync!$AJ1596="","",Sync!$AJ1596)</f>
        <v/>
      </c>
      <c r="G1596">
        <f>IF($F1596="","",IF(Sync!$AG1596="","",IF(ISNUMBER(Sync!$AG1596),IF(AND(Sync!$AG1596&gt;=10000101,Sync!$AG1596&lt;=99991231),INT(Sync!$AG1596/10000),""),IFERROR(VALUE(TRIM(LEFT(Sync!$AG1596,FIND("/",Sync!$AG1596)-1))),""))))</f>
        <v/>
      </c>
      <c r="H1596">
        <f>IF(OR($F1596="",$G1596=""),"",IF(ISNUMBER(Sync!$AG1596),INT(MOD(Sync!$AG1596,10000)/100),IFERROR(VALUE(TRIM(LEFT(MID(Sync!$AG1596,FIND("/",Sync!$AG1596)+1,20),FIND("/",MID(Sync!$AG1596,FIND("/",Sync!$AG1596)+1,20))-1))),"")))</f>
        <v/>
      </c>
      <c r="I1596">
        <f>IF(OR($F1596="",$G1596=""),"",IF(ISNUMBER(Sync!$AG1596),MOD(Sync!$AG1596,100),IFERROR(VALUE(TRIM(MID(MID(Sync!$AG1596,FIND("/",Sync!$AG1596)+1,20),FIND("/",MID(Sync!$AG1596,FIND("/",Sync!$AG1596)+1,20))+1,20))),"")))</f>
        <v/>
      </c>
      <c r="J1596">
        <f>IF($F1596="","",IF(OR($G1596="",$H1596="",$I1596="",$G1596&lt;1300,$G1596&gt;1500,$H1596&lt;1,$H1596&gt;12,$I1596&lt;1,$I1596&gt;31),"نامعتبر",RIGHT("0000"&amp;$G1596,4)&amp;"/"&amp;RIGHT("00"&amp;$H1596,2)&amp;"/"&amp;RIGHT("00"&amp;$I1596,2)))</f>
        <v/>
      </c>
      <c r="K1596">
        <f>IF(OR($F1596="",$J1596="",$J1596="نامعتبر"),"",LEFT($J1596,4)&amp;MID($J1596,6,2)&amp;RIGHT($J1596,2)&amp;$N1596&amp;"|"&amp;"2"&amp;RIGHT("00000"&amp;1591,5))</f>
        <v/>
      </c>
      <c r="L1596">
        <f>IF($K1596="","",COUNTIFS(LdgPartyA,$F1596,LdgKeyA,"&lt;"&amp;$K1596)+COUNTIFS(LdgPartyB,$F1596,LdgKeyB,"&lt;"&amp;$K1596)+1)</f>
        <v/>
      </c>
      <c r="M1596">
        <f>IF($L1596="","",$F1596&amp;"|"&amp;RIGHT("000000"&amp;$L1596,6))</f>
        <v/>
      </c>
      <c r="N1596">
        <f>IF($F1596="","",IF(Sync!$AH1596="","0000",IF(AND(ISNUMBER(Sync!$AH1596),Sync!$AH1596&gt;=0,Sync!$AH1596&lt;1),RIGHT("00"&amp;HOUR(Sync!$AH1596),2)&amp;RIGHT("00"&amp;MINUTE(Sync!$AH1596),2),IFERROR(RIGHT("00"&amp;VALUE(LEFT(Sync!$AH1596,FIND(":",Sync!$AH1596)-1)),2)&amp;RIGHT("00"&amp;VALUE(MID(Sync!$AH1596,FIND(":",Sync!$AH1596)+1,2)),2),"0000"))))</f>
        <v/>
      </c>
    </row>
    <row r="1597">
      <c r="A1597">
        <f>IF(OR(Calc!$E1600="",Calc!$E1600="نامعتبر",Calc!$G1600="",Calc!$I1600&lt;&gt;"خرید"),"",Calc!$G1600)</f>
        <v/>
      </c>
      <c r="B1597">
        <f>IF($A1597="","",LEFT(Calc!$E1600,4)&amp;MID(Calc!$E1600,6,2)&amp;RIGHT(Calc!$E1600,2)&amp;Calc!$R1600&amp;"|"&amp;"1"&amp;RIGHT("00000"&amp;1592,5))</f>
        <v/>
      </c>
      <c r="C1597">
        <f>IF($B1597="","",COUNTIFS(LdgPartyA,$A1597,LdgKeyA,"&lt;"&amp;$B1597)+COUNTIFS(LdgPartyB,$A1597,LdgKeyB,"&lt;"&amp;$B1597)+1)</f>
        <v/>
      </c>
      <c r="D1597">
        <f>IF($C1597="","",$A1597&amp;"|"&amp;RIGHT("000000"&amp;$C1597,6))</f>
        <v/>
      </c>
      <c r="F1597">
        <f>IF(Sync!$AJ1597="","",Sync!$AJ1597)</f>
        <v/>
      </c>
      <c r="G1597">
        <f>IF($F1597="","",IF(Sync!$AG1597="","",IF(ISNUMBER(Sync!$AG1597),IF(AND(Sync!$AG1597&gt;=10000101,Sync!$AG1597&lt;=99991231),INT(Sync!$AG1597/10000),""),IFERROR(VALUE(TRIM(LEFT(Sync!$AG1597,FIND("/",Sync!$AG1597)-1))),""))))</f>
        <v/>
      </c>
      <c r="H1597">
        <f>IF(OR($F1597="",$G1597=""),"",IF(ISNUMBER(Sync!$AG1597),INT(MOD(Sync!$AG1597,10000)/100),IFERROR(VALUE(TRIM(LEFT(MID(Sync!$AG1597,FIND("/",Sync!$AG1597)+1,20),FIND("/",MID(Sync!$AG1597,FIND("/",Sync!$AG1597)+1,20))-1))),"")))</f>
        <v/>
      </c>
      <c r="I1597">
        <f>IF(OR($F1597="",$G1597=""),"",IF(ISNUMBER(Sync!$AG1597),MOD(Sync!$AG1597,100),IFERROR(VALUE(TRIM(MID(MID(Sync!$AG1597,FIND("/",Sync!$AG1597)+1,20),FIND("/",MID(Sync!$AG1597,FIND("/",Sync!$AG1597)+1,20))+1,20))),"")))</f>
        <v/>
      </c>
      <c r="J1597">
        <f>IF($F1597="","",IF(OR($G1597="",$H1597="",$I1597="",$G1597&lt;1300,$G1597&gt;1500,$H1597&lt;1,$H1597&gt;12,$I1597&lt;1,$I1597&gt;31),"نامعتبر",RIGHT("0000"&amp;$G1597,4)&amp;"/"&amp;RIGHT("00"&amp;$H1597,2)&amp;"/"&amp;RIGHT("00"&amp;$I1597,2)))</f>
        <v/>
      </c>
      <c r="K1597">
        <f>IF(OR($F1597="",$J1597="",$J1597="نامعتبر"),"",LEFT($J1597,4)&amp;MID($J1597,6,2)&amp;RIGHT($J1597,2)&amp;$N1597&amp;"|"&amp;"2"&amp;RIGHT("00000"&amp;1592,5))</f>
        <v/>
      </c>
      <c r="L1597">
        <f>IF($K1597="","",COUNTIFS(LdgPartyA,$F1597,LdgKeyA,"&lt;"&amp;$K1597)+COUNTIFS(LdgPartyB,$F1597,LdgKeyB,"&lt;"&amp;$K1597)+1)</f>
        <v/>
      </c>
      <c r="M1597">
        <f>IF($L1597="","",$F1597&amp;"|"&amp;RIGHT("000000"&amp;$L1597,6))</f>
        <v/>
      </c>
      <c r="N1597">
        <f>IF($F1597="","",IF(Sync!$AH1597="","0000",IF(AND(ISNUMBER(Sync!$AH1597),Sync!$AH1597&gt;=0,Sync!$AH1597&lt;1),RIGHT("00"&amp;HOUR(Sync!$AH1597),2)&amp;RIGHT("00"&amp;MINUTE(Sync!$AH1597),2),IFERROR(RIGHT("00"&amp;VALUE(LEFT(Sync!$AH1597,FIND(":",Sync!$AH1597)-1)),2)&amp;RIGHT("00"&amp;VALUE(MID(Sync!$AH1597,FIND(":",Sync!$AH1597)+1,2)),2),"0000"))))</f>
        <v/>
      </c>
    </row>
    <row r="1598">
      <c r="A1598">
        <f>IF(OR(Calc!$E1601="",Calc!$E1601="نامعتبر",Calc!$G1601="",Calc!$I1601&lt;&gt;"خرید"),"",Calc!$G1601)</f>
        <v/>
      </c>
      <c r="B1598">
        <f>IF($A1598="","",LEFT(Calc!$E1601,4)&amp;MID(Calc!$E1601,6,2)&amp;RIGHT(Calc!$E1601,2)&amp;Calc!$R1601&amp;"|"&amp;"1"&amp;RIGHT("00000"&amp;1593,5))</f>
        <v/>
      </c>
      <c r="C1598">
        <f>IF($B1598="","",COUNTIFS(LdgPartyA,$A1598,LdgKeyA,"&lt;"&amp;$B1598)+COUNTIFS(LdgPartyB,$A1598,LdgKeyB,"&lt;"&amp;$B1598)+1)</f>
        <v/>
      </c>
      <c r="D1598">
        <f>IF($C1598="","",$A1598&amp;"|"&amp;RIGHT("000000"&amp;$C1598,6))</f>
        <v/>
      </c>
      <c r="F1598">
        <f>IF(Sync!$AJ1598="","",Sync!$AJ1598)</f>
        <v/>
      </c>
      <c r="G1598">
        <f>IF($F1598="","",IF(Sync!$AG1598="","",IF(ISNUMBER(Sync!$AG1598),IF(AND(Sync!$AG1598&gt;=10000101,Sync!$AG1598&lt;=99991231),INT(Sync!$AG1598/10000),""),IFERROR(VALUE(TRIM(LEFT(Sync!$AG1598,FIND("/",Sync!$AG1598)-1))),""))))</f>
        <v/>
      </c>
      <c r="H1598">
        <f>IF(OR($F1598="",$G1598=""),"",IF(ISNUMBER(Sync!$AG1598),INT(MOD(Sync!$AG1598,10000)/100),IFERROR(VALUE(TRIM(LEFT(MID(Sync!$AG1598,FIND("/",Sync!$AG1598)+1,20),FIND("/",MID(Sync!$AG1598,FIND("/",Sync!$AG1598)+1,20))-1))),"")))</f>
        <v/>
      </c>
      <c r="I1598">
        <f>IF(OR($F1598="",$G1598=""),"",IF(ISNUMBER(Sync!$AG1598),MOD(Sync!$AG1598,100),IFERROR(VALUE(TRIM(MID(MID(Sync!$AG1598,FIND("/",Sync!$AG1598)+1,20),FIND("/",MID(Sync!$AG1598,FIND("/",Sync!$AG1598)+1,20))+1,20))),"")))</f>
        <v/>
      </c>
      <c r="J1598">
        <f>IF($F1598="","",IF(OR($G1598="",$H1598="",$I1598="",$G1598&lt;1300,$G1598&gt;1500,$H1598&lt;1,$H1598&gt;12,$I1598&lt;1,$I1598&gt;31),"نامعتبر",RIGHT("0000"&amp;$G1598,4)&amp;"/"&amp;RIGHT("00"&amp;$H1598,2)&amp;"/"&amp;RIGHT("00"&amp;$I1598,2)))</f>
        <v/>
      </c>
      <c r="K1598">
        <f>IF(OR($F1598="",$J1598="",$J1598="نامعتبر"),"",LEFT($J1598,4)&amp;MID($J1598,6,2)&amp;RIGHT($J1598,2)&amp;$N1598&amp;"|"&amp;"2"&amp;RIGHT("00000"&amp;1593,5))</f>
        <v/>
      </c>
      <c r="L1598">
        <f>IF($K1598="","",COUNTIFS(LdgPartyA,$F1598,LdgKeyA,"&lt;"&amp;$K1598)+COUNTIFS(LdgPartyB,$F1598,LdgKeyB,"&lt;"&amp;$K1598)+1)</f>
        <v/>
      </c>
      <c r="M1598">
        <f>IF($L1598="","",$F1598&amp;"|"&amp;RIGHT("000000"&amp;$L1598,6))</f>
        <v/>
      </c>
      <c r="N1598">
        <f>IF($F1598="","",IF(Sync!$AH1598="","0000",IF(AND(ISNUMBER(Sync!$AH1598),Sync!$AH1598&gt;=0,Sync!$AH1598&lt;1),RIGHT("00"&amp;HOUR(Sync!$AH1598),2)&amp;RIGHT("00"&amp;MINUTE(Sync!$AH1598),2),IFERROR(RIGHT("00"&amp;VALUE(LEFT(Sync!$AH1598,FIND(":",Sync!$AH1598)-1)),2)&amp;RIGHT("00"&amp;VALUE(MID(Sync!$AH1598,FIND(":",Sync!$AH1598)+1,2)),2),"0000"))))</f>
        <v/>
      </c>
    </row>
    <row r="1599">
      <c r="A1599">
        <f>IF(OR(Calc!$E1602="",Calc!$E1602="نامعتبر",Calc!$G1602="",Calc!$I1602&lt;&gt;"خرید"),"",Calc!$G1602)</f>
        <v/>
      </c>
      <c r="B1599">
        <f>IF($A1599="","",LEFT(Calc!$E1602,4)&amp;MID(Calc!$E1602,6,2)&amp;RIGHT(Calc!$E1602,2)&amp;Calc!$R1602&amp;"|"&amp;"1"&amp;RIGHT("00000"&amp;1594,5))</f>
        <v/>
      </c>
      <c r="C1599">
        <f>IF($B1599="","",COUNTIFS(LdgPartyA,$A1599,LdgKeyA,"&lt;"&amp;$B1599)+COUNTIFS(LdgPartyB,$A1599,LdgKeyB,"&lt;"&amp;$B1599)+1)</f>
        <v/>
      </c>
      <c r="D1599">
        <f>IF($C1599="","",$A1599&amp;"|"&amp;RIGHT("000000"&amp;$C1599,6))</f>
        <v/>
      </c>
      <c r="F1599">
        <f>IF(Sync!$AJ1599="","",Sync!$AJ1599)</f>
        <v/>
      </c>
      <c r="G1599">
        <f>IF($F1599="","",IF(Sync!$AG1599="","",IF(ISNUMBER(Sync!$AG1599),IF(AND(Sync!$AG1599&gt;=10000101,Sync!$AG1599&lt;=99991231),INT(Sync!$AG1599/10000),""),IFERROR(VALUE(TRIM(LEFT(Sync!$AG1599,FIND("/",Sync!$AG1599)-1))),""))))</f>
        <v/>
      </c>
      <c r="H1599">
        <f>IF(OR($F1599="",$G1599=""),"",IF(ISNUMBER(Sync!$AG1599),INT(MOD(Sync!$AG1599,10000)/100),IFERROR(VALUE(TRIM(LEFT(MID(Sync!$AG1599,FIND("/",Sync!$AG1599)+1,20),FIND("/",MID(Sync!$AG1599,FIND("/",Sync!$AG1599)+1,20))-1))),"")))</f>
        <v/>
      </c>
      <c r="I1599">
        <f>IF(OR($F1599="",$G1599=""),"",IF(ISNUMBER(Sync!$AG1599),MOD(Sync!$AG1599,100),IFERROR(VALUE(TRIM(MID(MID(Sync!$AG1599,FIND("/",Sync!$AG1599)+1,20),FIND("/",MID(Sync!$AG1599,FIND("/",Sync!$AG1599)+1,20))+1,20))),"")))</f>
        <v/>
      </c>
      <c r="J1599">
        <f>IF($F1599="","",IF(OR($G1599="",$H1599="",$I1599="",$G1599&lt;1300,$G1599&gt;1500,$H1599&lt;1,$H1599&gt;12,$I1599&lt;1,$I1599&gt;31),"نامعتبر",RIGHT("0000"&amp;$G1599,4)&amp;"/"&amp;RIGHT("00"&amp;$H1599,2)&amp;"/"&amp;RIGHT("00"&amp;$I1599,2)))</f>
        <v/>
      </c>
      <c r="K1599">
        <f>IF(OR($F1599="",$J1599="",$J1599="نامعتبر"),"",LEFT($J1599,4)&amp;MID($J1599,6,2)&amp;RIGHT($J1599,2)&amp;$N1599&amp;"|"&amp;"2"&amp;RIGHT("00000"&amp;1594,5))</f>
        <v/>
      </c>
      <c r="L1599">
        <f>IF($K1599="","",COUNTIFS(LdgPartyA,$F1599,LdgKeyA,"&lt;"&amp;$K1599)+COUNTIFS(LdgPartyB,$F1599,LdgKeyB,"&lt;"&amp;$K1599)+1)</f>
        <v/>
      </c>
      <c r="M1599">
        <f>IF($L1599="","",$F1599&amp;"|"&amp;RIGHT("000000"&amp;$L1599,6))</f>
        <v/>
      </c>
      <c r="N1599">
        <f>IF($F1599="","",IF(Sync!$AH1599="","0000",IF(AND(ISNUMBER(Sync!$AH1599),Sync!$AH1599&gt;=0,Sync!$AH1599&lt;1),RIGHT("00"&amp;HOUR(Sync!$AH1599),2)&amp;RIGHT("00"&amp;MINUTE(Sync!$AH1599),2),IFERROR(RIGHT("00"&amp;VALUE(LEFT(Sync!$AH1599,FIND(":",Sync!$AH1599)-1)),2)&amp;RIGHT("00"&amp;VALUE(MID(Sync!$AH1599,FIND(":",Sync!$AH1599)+1,2)),2),"0000"))))</f>
        <v/>
      </c>
    </row>
    <row r="1600">
      <c r="A1600">
        <f>IF(OR(Calc!$E1603="",Calc!$E1603="نامعتبر",Calc!$G1603="",Calc!$I1603&lt;&gt;"خرید"),"",Calc!$G1603)</f>
        <v/>
      </c>
      <c r="B1600">
        <f>IF($A1600="","",LEFT(Calc!$E1603,4)&amp;MID(Calc!$E1603,6,2)&amp;RIGHT(Calc!$E1603,2)&amp;Calc!$R1603&amp;"|"&amp;"1"&amp;RIGHT("00000"&amp;1595,5))</f>
        <v/>
      </c>
      <c r="C1600">
        <f>IF($B1600="","",COUNTIFS(LdgPartyA,$A1600,LdgKeyA,"&lt;"&amp;$B1600)+COUNTIFS(LdgPartyB,$A1600,LdgKeyB,"&lt;"&amp;$B1600)+1)</f>
        <v/>
      </c>
      <c r="D1600">
        <f>IF($C1600="","",$A1600&amp;"|"&amp;RIGHT("000000"&amp;$C1600,6))</f>
        <v/>
      </c>
      <c r="F1600">
        <f>IF(Sync!$AJ1600="","",Sync!$AJ1600)</f>
        <v/>
      </c>
      <c r="G1600">
        <f>IF($F1600="","",IF(Sync!$AG1600="","",IF(ISNUMBER(Sync!$AG1600),IF(AND(Sync!$AG1600&gt;=10000101,Sync!$AG1600&lt;=99991231),INT(Sync!$AG1600/10000),""),IFERROR(VALUE(TRIM(LEFT(Sync!$AG1600,FIND("/",Sync!$AG1600)-1))),""))))</f>
        <v/>
      </c>
      <c r="H1600">
        <f>IF(OR($F1600="",$G1600=""),"",IF(ISNUMBER(Sync!$AG1600),INT(MOD(Sync!$AG1600,10000)/100),IFERROR(VALUE(TRIM(LEFT(MID(Sync!$AG1600,FIND("/",Sync!$AG1600)+1,20),FIND("/",MID(Sync!$AG1600,FIND("/",Sync!$AG1600)+1,20))-1))),"")))</f>
        <v/>
      </c>
      <c r="I1600">
        <f>IF(OR($F1600="",$G1600=""),"",IF(ISNUMBER(Sync!$AG1600),MOD(Sync!$AG1600,100),IFERROR(VALUE(TRIM(MID(MID(Sync!$AG1600,FIND("/",Sync!$AG1600)+1,20),FIND("/",MID(Sync!$AG1600,FIND("/",Sync!$AG1600)+1,20))+1,20))),"")))</f>
        <v/>
      </c>
      <c r="J1600">
        <f>IF($F1600="","",IF(OR($G1600="",$H1600="",$I1600="",$G1600&lt;1300,$G1600&gt;1500,$H1600&lt;1,$H1600&gt;12,$I1600&lt;1,$I1600&gt;31),"نامعتبر",RIGHT("0000"&amp;$G1600,4)&amp;"/"&amp;RIGHT("00"&amp;$H1600,2)&amp;"/"&amp;RIGHT("00"&amp;$I1600,2)))</f>
        <v/>
      </c>
      <c r="K1600">
        <f>IF(OR($F1600="",$J1600="",$J1600="نامعتبر"),"",LEFT($J1600,4)&amp;MID($J1600,6,2)&amp;RIGHT($J1600,2)&amp;$N1600&amp;"|"&amp;"2"&amp;RIGHT("00000"&amp;1595,5))</f>
        <v/>
      </c>
      <c r="L1600">
        <f>IF($K1600="","",COUNTIFS(LdgPartyA,$F1600,LdgKeyA,"&lt;"&amp;$K1600)+COUNTIFS(LdgPartyB,$F1600,LdgKeyB,"&lt;"&amp;$K1600)+1)</f>
        <v/>
      </c>
      <c r="M1600">
        <f>IF($L1600="","",$F1600&amp;"|"&amp;RIGHT("000000"&amp;$L1600,6))</f>
        <v/>
      </c>
      <c r="N1600">
        <f>IF($F1600="","",IF(Sync!$AH1600="","0000",IF(AND(ISNUMBER(Sync!$AH1600),Sync!$AH1600&gt;=0,Sync!$AH1600&lt;1),RIGHT("00"&amp;HOUR(Sync!$AH1600),2)&amp;RIGHT("00"&amp;MINUTE(Sync!$AH1600),2),IFERROR(RIGHT("00"&amp;VALUE(LEFT(Sync!$AH1600,FIND(":",Sync!$AH1600)-1)),2)&amp;RIGHT("00"&amp;VALUE(MID(Sync!$AH1600,FIND(":",Sync!$AH1600)+1,2)),2),"0000"))))</f>
        <v/>
      </c>
    </row>
    <row r="1601">
      <c r="A1601">
        <f>IF(OR(Calc!$E1604="",Calc!$E1604="نامعتبر",Calc!$G1604="",Calc!$I1604&lt;&gt;"خرید"),"",Calc!$G1604)</f>
        <v/>
      </c>
      <c r="B1601">
        <f>IF($A1601="","",LEFT(Calc!$E1604,4)&amp;MID(Calc!$E1604,6,2)&amp;RIGHT(Calc!$E1604,2)&amp;Calc!$R1604&amp;"|"&amp;"1"&amp;RIGHT("00000"&amp;1596,5))</f>
        <v/>
      </c>
      <c r="C1601">
        <f>IF($B1601="","",COUNTIFS(LdgPartyA,$A1601,LdgKeyA,"&lt;"&amp;$B1601)+COUNTIFS(LdgPartyB,$A1601,LdgKeyB,"&lt;"&amp;$B1601)+1)</f>
        <v/>
      </c>
      <c r="D1601">
        <f>IF($C1601="","",$A1601&amp;"|"&amp;RIGHT("000000"&amp;$C1601,6))</f>
        <v/>
      </c>
      <c r="F1601">
        <f>IF(Sync!$AJ1601="","",Sync!$AJ1601)</f>
        <v/>
      </c>
      <c r="G1601">
        <f>IF($F1601="","",IF(Sync!$AG1601="","",IF(ISNUMBER(Sync!$AG1601),IF(AND(Sync!$AG1601&gt;=10000101,Sync!$AG1601&lt;=99991231),INT(Sync!$AG1601/10000),""),IFERROR(VALUE(TRIM(LEFT(Sync!$AG1601,FIND("/",Sync!$AG1601)-1))),""))))</f>
        <v/>
      </c>
      <c r="H1601">
        <f>IF(OR($F1601="",$G1601=""),"",IF(ISNUMBER(Sync!$AG1601),INT(MOD(Sync!$AG1601,10000)/100),IFERROR(VALUE(TRIM(LEFT(MID(Sync!$AG1601,FIND("/",Sync!$AG1601)+1,20),FIND("/",MID(Sync!$AG1601,FIND("/",Sync!$AG1601)+1,20))-1))),"")))</f>
        <v/>
      </c>
      <c r="I1601">
        <f>IF(OR($F1601="",$G1601=""),"",IF(ISNUMBER(Sync!$AG1601),MOD(Sync!$AG1601,100),IFERROR(VALUE(TRIM(MID(MID(Sync!$AG1601,FIND("/",Sync!$AG1601)+1,20),FIND("/",MID(Sync!$AG1601,FIND("/",Sync!$AG1601)+1,20))+1,20))),"")))</f>
        <v/>
      </c>
      <c r="J1601">
        <f>IF($F1601="","",IF(OR($G1601="",$H1601="",$I1601="",$G1601&lt;1300,$G1601&gt;1500,$H1601&lt;1,$H1601&gt;12,$I1601&lt;1,$I1601&gt;31),"نامعتبر",RIGHT("0000"&amp;$G1601,4)&amp;"/"&amp;RIGHT("00"&amp;$H1601,2)&amp;"/"&amp;RIGHT("00"&amp;$I1601,2)))</f>
        <v/>
      </c>
      <c r="K1601">
        <f>IF(OR($F1601="",$J1601="",$J1601="نامعتبر"),"",LEFT($J1601,4)&amp;MID($J1601,6,2)&amp;RIGHT($J1601,2)&amp;$N1601&amp;"|"&amp;"2"&amp;RIGHT("00000"&amp;1596,5))</f>
        <v/>
      </c>
      <c r="L1601">
        <f>IF($K1601="","",COUNTIFS(LdgPartyA,$F1601,LdgKeyA,"&lt;"&amp;$K1601)+COUNTIFS(LdgPartyB,$F1601,LdgKeyB,"&lt;"&amp;$K1601)+1)</f>
        <v/>
      </c>
      <c r="M1601">
        <f>IF($L1601="","",$F1601&amp;"|"&amp;RIGHT("000000"&amp;$L1601,6))</f>
        <v/>
      </c>
      <c r="N1601">
        <f>IF($F1601="","",IF(Sync!$AH1601="","0000",IF(AND(ISNUMBER(Sync!$AH1601),Sync!$AH1601&gt;=0,Sync!$AH1601&lt;1),RIGHT("00"&amp;HOUR(Sync!$AH1601),2)&amp;RIGHT("00"&amp;MINUTE(Sync!$AH1601),2),IFERROR(RIGHT("00"&amp;VALUE(LEFT(Sync!$AH1601,FIND(":",Sync!$AH1601)-1)),2)&amp;RIGHT("00"&amp;VALUE(MID(Sync!$AH1601,FIND(":",Sync!$AH1601)+1,2)),2),"0000"))))</f>
        <v/>
      </c>
    </row>
    <row r="1602">
      <c r="A1602">
        <f>IF(OR(Calc!$E1605="",Calc!$E1605="نامعتبر",Calc!$G1605="",Calc!$I1605&lt;&gt;"خرید"),"",Calc!$G1605)</f>
        <v/>
      </c>
      <c r="B1602">
        <f>IF($A1602="","",LEFT(Calc!$E1605,4)&amp;MID(Calc!$E1605,6,2)&amp;RIGHT(Calc!$E1605,2)&amp;Calc!$R1605&amp;"|"&amp;"1"&amp;RIGHT("00000"&amp;1597,5))</f>
        <v/>
      </c>
      <c r="C1602">
        <f>IF($B1602="","",COUNTIFS(LdgPartyA,$A1602,LdgKeyA,"&lt;"&amp;$B1602)+COUNTIFS(LdgPartyB,$A1602,LdgKeyB,"&lt;"&amp;$B1602)+1)</f>
        <v/>
      </c>
      <c r="D1602">
        <f>IF($C1602="","",$A1602&amp;"|"&amp;RIGHT("000000"&amp;$C1602,6))</f>
        <v/>
      </c>
      <c r="F1602">
        <f>IF(Sync!$AJ1602="","",Sync!$AJ1602)</f>
        <v/>
      </c>
      <c r="G1602">
        <f>IF($F1602="","",IF(Sync!$AG1602="","",IF(ISNUMBER(Sync!$AG1602),IF(AND(Sync!$AG1602&gt;=10000101,Sync!$AG1602&lt;=99991231),INT(Sync!$AG1602/10000),""),IFERROR(VALUE(TRIM(LEFT(Sync!$AG1602,FIND("/",Sync!$AG1602)-1))),""))))</f>
        <v/>
      </c>
      <c r="H1602">
        <f>IF(OR($F1602="",$G1602=""),"",IF(ISNUMBER(Sync!$AG1602),INT(MOD(Sync!$AG1602,10000)/100),IFERROR(VALUE(TRIM(LEFT(MID(Sync!$AG1602,FIND("/",Sync!$AG1602)+1,20),FIND("/",MID(Sync!$AG1602,FIND("/",Sync!$AG1602)+1,20))-1))),"")))</f>
        <v/>
      </c>
      <c r="I1602">
        <f>IF(OR($F1602="",$G1602=""),"",IF(ISNUMBER(Sync!$AG1602),MOD(Sync!$AG1602,100),IFERROR(VALUE(TRIM(MID(MID(Sync!$AG1602,FIND("/",Sync!$AG1602)+1,20),FIND("/",MID(Sync!$AG1602,FIND("/",Sync!$AG1602)+1,20))+1,20))),"")))</f>
        <v/>
      </c>
      <c r="J1602">
        <f>IF($F1602="","",IF(OR($G1602="",$H1602="",$I1602="",$G1602&lt;1300,$G1602&gt;1500,$H1602&lt;1,$H1602&gt;12,$I1602&lt;1,$I1602&gt;31),"نامعتبر",RIGHT("0000"&amp;$G1602,4)&amp;"/"&amp;RIGHT("00"&amp;$H1602,2)&amp;"/"&amp;RIGHT("00"&amp;$I1602,2)))</f>
        <v/>
      </c>
      <c r="K1602">
        <f>IF(OR($F1602="",$J1602="",$J1602="نامعتبر"),"",LEFT($J1602,4)&amp;MID($J1602,6,2)&amp;RIGHT($J1602,2)&amp;$N1602&amp;"|"&amp;"2"&amp;RIGHT("00000"&amp;1597,5))</f>
        <v/>
      </c>
      <c r="L1602">
        <f>IF($K1602="","",COUNTIFS(LdgPartyA,$F1602,LdgKeyA,"&lt;"&amp;$K1602)+COUNTIFS(LdgPartyB,$F1602,LdgKeyB,"&lt;"&amp;$K1602)+1)</f>
        <v/>
      </c>
      <c r="M1602">
        <f>IF($L1602="","",$F1602&amp;"|"&amp;RIGHT("000000"&amp;$L1602,6))</f>
        <v/>
      </c>
      <c r="N1602">
        <f>IF($F1602="","",IF(Sync!$AH1602="","0000",IF(AND(ISNUMBER(Sync!$AH1602),Sync!$AH1602&gt;=0,Sync!$AH1602&lt;1),RIGHT("00"&amp;HOUR(Sync!$AH1602),2)&amp;RIGHT("00"&amp;MINUTE(Sync!$AH1602),2),IFERROR(RIGHT("00"&amp;VALUE(LEFT(Sync!$AH1602,FIND(":",Sync!$AH1602)-1)),2)&amp;RIGHT("00"&amp;VALUE(MID(Sync!$AH1602,FIND(":",Sync!$AH1602)+1,2)),2),"0000"))))</f>
        <v/>
      </c>
    </row>
    <row r="1603">
      <c r="A1603">
        <f>IF(OR(Calc!$E1606="",Calc!$E1606="نامعتبر",Calc!$G1606="",Calc!$I1606&lt;&gt;"خرید"),"",Calc!$G1606)</f>
        <v/>
      </c>
      <c r="B1603">
        <f>IF($A1603="","",LEFT(Calc!$E1606,4)&amp;MID(Calc!$E1606,6,2)&amp;RIGHT(Calc!$E1606,2)&amp;Calc!$R1606&amp;"|"&amp;"1"&amp;RIGHT("00000"&amp;1598,5))</f>
        <v/>
      </c>
      <c r="C1603">
        <f>IF($B1603="","",COUNTIFS(LdgPartyA,$A1603,LdgKeyA,"&lt;"&amp;$B1603)+COUNTIFS(LdgPartyB,$A1603,LdgKeyB,"&lt;"&amp;$B1603)+1)</f>
        <v/>
      </c>
      <c r="D1603">
        <f>IF($C1603="","",$A1603&amp;"|"&amp;RIGHT("000000"&amp;$C1603,6))</f>
        <v/>
      </c>
      <c r="F1603">
        <f>IF(Sync!$AJ1603="","",Sync!$AJ1603)</f>
        <v/>
      </c>
      <c r="G1603">
        <f>IF($F1603="","",IF(Sync!$AG1603="","",IF(ISNUMBER(Sync!$AG1603),IF(AND(Sync!$AG1603&gt;=10000101,Sync!$AG1603&lt;=99991231),INT(Sync!$AG1603/10000),""),IFERROR(VALUE(TRIM(LEFT(Sync!$AG1603,FIND("/",Sync!$AG1603)-1))),""))))</f>
        <v/>
      </c>
      <c r="H1603">
        <f>IF(OR($F1603="",$G1603=""),"",IF(ISNUMBER(Sync!$AG1603),INT(MOD(Sync!$AG1603,10000)/100),IFERROR(VALUE(TRIM(LEFT(MID(Sync!$AG1603,FIND("/",Sync!$AG1603)+1,20),FIND("/",MID(Sync!$AG1603,FIND("/",Sync!$AG1603)+1,20))-1))),"")))</f>
        <v/>
      </c>
      <c r="I1603">
        <f>IF(OR($F1603="",$G1603=""),"",IF(ISNUMBER(Sync!$AG1603),MOD(Sync!$AG1603,100),IFERROR(VALUE(TRIM(MID(MID(Sync!$AG1603,FIND("/",Sync!$AG1603)+1,20),FIND("/",MID(Sync!$AG1603,FIND("/",Sync!$AG1603)+1,20))+1,20))),"")))</f>
        <v/>
      </c>
      <c r="J1603">
        <f>IF($F1603="","",IF(OR($G1603="",$H1603="",$I1603="",$G1603&lt;1300,$G1603&gt;1500,$H1603&lt;1,$H1603&gt;12,$I1603&lt;1,$I1603&gt;31),"نامعتبر",RIGHT("0000"&amp;$G1603,4)&amp;"/"&amp;RIGHT("00"&amp;$H1603,2)&amp;"/"&amp;RIGHT("00"&amp;$I1603,2)))</f>
        <v/>
      </c>
      <c r="K1603">
        <f>IF(OR($F1603="",$J1603="",$J1603="نامعتبر"),"",LEFT($J1603,4)&amp;MID($J1603,6,2)&amp;RIGHT($J1603,2)&amp;$N1603&amp;"|"&amp;"2"&amp;RIGHT("00000"&amp;1598,5))</f>
        <v/>
      </c>
      <c r="L1603">
        <f>IF($K1603="","",COUNTIFS(LdgPartyA,$F1603,LdgKeyA,"&lt;"&amp;$K1603)+COUNTIFS(LdgPartyB,$F1603,LdgKeyB,"&lt;"&amp;$K1603)+1)</f>
        <v/>
      </c>
      <c r="M1603">
        <f>IF($L1603="","",$F1603&amp;"|"&amp;RIGHT("000000"&amp;$L1603,6))</f>
        <v/>
      </c>
      <c r="N1603">
        <f>IF($F1603="","",IF(Sync!$AH1603="","0000",IF(AND(ISNUMBER(Sync!$AH1603),Sync!$AH1603&gt;=0,Sync!$AH1603&lt;1),RIGHT("00"&amp;HOUR(Sync!$AH1603),2)&amp;RIGHT("00"&amp;MINUTE(Sync!$AH1603),2),IFERROR(RIGHT("00"&amp;VALUE(LEFT(Sync!$AH1603,FIND(":",Sync!$AH1603)-1)),2)&amp;RIGHT("00"&amp;VALUE(MID(Sync!$AH1603,FIND(":",Sync!$AH1603)+1,2)),2),"0000"))))</f>
        <v/>
      </c>
    </row>
    <row r="1604">
      <c r="A1604">
        <f>IF(OR(Calc!$E1607="",Calc!$E1607="نامعتبر",Calc!$G1607="",Calc!$I1607&lt;&gt;"خرید"),"",Calc!$G1607)</f>
        <v/>
      </c>
      <c r="B1604">
        <f>IF($A1604="","",LEFT(Calc!$E1607,4)&amp;MID(Calc!$E1607,6,2)&amp;RIGHT(Calc!$E1607,2)&amp;Calc!$R1607&amp;"|"&amp;"1"&amp;RIGHT("00000"&amp;1599,5))</f>
        <v/>
      </c>
      <c r="C1604">
        <f>IF($B1604="","",COUNTIFS(LdgPartyA,$A1604,LdgKeyA,"&lt;"&amp;$B1604)+COUNTIFS(LdgPartyB,$A1604,LdgKeyB,"&lt;"&amp;$B1604)+1)</f>
        <v/>
      </c>
      <c r="D1604">
        <f>IF($C1604="","",$A1604&amp;"|"&amp;RIGHT("000000"&amp;$C1604,6))</f>
        <v/>
      </c>
      <c r="F1604">
        <f>IF(Sync!$AJ1604="","",Sync!$AJ1604)</f>
        <v/>
      </c>
      <c r="G1604">
        <f>IF($F1604="","",IF(Sync!$AG1604="","",IF(ISNUMBER(Sync!$AG1604),IF(AND(Sync!$AG1604&gt;=10000101,Sync!$AG1604&lt;=99991231),INT(Sync!$AG1604/10000),""),IFERROR(VALUE(TRIM(LEFT(Sync!$AG1604,FIND("/",Sync!$AG1604)-1))),""))))</f>
        <v/>
      </c>
      <c r="H1604">
        <f>IF(OR($F1604="",$G1604=""),"",IF(ISNUMBER(Sync!$AG1604),INT(MOD(Sync!$AG1604,10000)/100),IFERROR(VALUE(TRIM(LEFT(MID(Sync!$AG1604,FIND("/",Sync!$AG1604)+1,20),FIND("/",MID(Sync!$AG1604,FIND("/",Sync!$AG1604)+1,20))-1))),"")))</f>
        <v/>
      </c>
      <c r="I1604">
        <f>IF(OR($F1604="",$G1604=""),"",IF(ISNUMBER(Sync!$AG1604),MOD(Sync!$AG1604,100),IFERROR(VALUE(TRIM(MID(MID(Sync!$AG1604,FIND("/",Sync!$AG1604)+1,20),FIND("/",MID(Sync!$AG1604,FIND("/",Sync!$AG1604)+1,20))+1,20))),"")))</f>
        <v/>
      </c>
      <c r="J1604">
        <f>IF($F1604="","",IF(OR($G1604="",$H1604="",$I1604="",$G1604&lt;1300,$G1604&gt;1500,$H1604&lt;1,$H1604&gt;12,$I1604&lt;1,$I1604&gt;31),"نامعتبر",RIGHT("0000"&amp;$G1604,4)&amp;"/"&amp;RIGHT("00"&amp;$H1604,2)&amp;"/"&amp;RIGHT("00"&amp;$I1604,2)))</f>
        <v/>
      </c>
      <c r="K1604">
        <f>IF(OR($F1604="",$J1604="",$J1604="نامعتبر"),"",LEFT($J1604,4)&amp;MID($J1604,6,2)&amp;RIGHT($J1604,2)&amp;$N1604&amp;"|"&amp;"2"&amp;RIGHT("00000"&amp;1599,5))</f>
        <v/>
      </c>
      <c r="L1604">
        <f>IF($K1604="","",COUNTIFS(LdgPartyA,$F1604,LdgKeyA,"&lt;"&amp;$K1604)+COUNTIFS(LdgPartyB,$F1604,LdgKeyB,"&lt;"&amp;$K1604)+1)</f>
        <v/>
      </c>
      <c r="M1604">
        <f>IF($L1604="","",$F1604&amp;"|"&amp;RIGHT("000000"&amp;$L1604,6))</f>
        <v/>
      </c>
      <c r="N1604">
        <f>IF($F1604="","",IF(Sync!$AH1604="","0000",IF(AND(ISNUMBER(Sync!$AH1604),Sync!$AH1604&gt;=0,Sync!$AH1604&lt;1),RIGHT("00"&amp;HOUR(Sync!$AH1604),2)&amp;RIGHT("00"&amp;MINUTE(Sync!$AH1604),2),IFERROR(RIGHT("00"&amp;VALUE(LEFT(Sync!$AH1604,FIND(":",Sync!$AH1604)-1)),2)&amp;RIGHT("00"&amp;VALUE(MID(Sync!$AH1604,FIND(":",Sync!$AH1604)+1,2)),2),"0000"))))</f>
        <v/>
      </c>
    </row>
    <row r="1605">
      <c r="A1605">
        <f>IF(OR(Calc!$E1608="",Calc!$E1608="نامعتبر",Calc!$G1608="",Calc!$I1608&lt;&gt;"خرید"),"",Calc!$G1608)</f>
        <v/>
      </c>
      <c r="B1605">
        <f>IF($A1605="","",LEFT(Calc!$E1608,4)&amp;MID(Calc!$E1608,6,2)&amp;RIGHT(Calc!$E1608,2)&amp;Calc!$R1608&amp;"|"&amp;"1"&amp;RIGHT("00000"&amp;1600,5))</f>
        <v/>
      </c>
      <c r="C1605">
        <f>IF($B1605="","",COUNTIFS(LdgPartyA,$A1605,LdgKeyA,"&lt;"&amp;$B1605)+COUNTIFS(LdgPartyB,$A1605,LdgKeyB,"&lt;"&amp;$B1605)+1)</f>
        <v/>
      </c>
      <c r="D1605">
        <f>IF($C1605="","",$A1605&amp;"|"&amp;RIGHT("000000"&amp;$C1605,6))</f>
        <v/>
      </c>
      <c r="F1605">
        <f>IF(Sync!$AJ1605="","",Sync!$AJ1605)</f>
        <v/>
      </c>
      <c r="G1605">
        <f>IF($F1605="","",IF(Sync!$AG1605="","",IF(ISNUMBER(Sync!$AG1605),IF(AND(Sync!$AG1605&gt;=10000101,Sync!$AG1605&lt;=99991231),INT(Sync!$AG1605/10000),""),IFERROR(VALUE(TRIM(LEFT(Sync!$AG1605,FIND("/",Sync!$AG1605)-1))),""))))</f>
        <v/>
      </c>
      <c r="H1605">
        <f>IF(OR($F1605="",$G1605=""),"",IF(ISNUMBER(Sync!$AG1605),INT(MOD(Sync!$AG1605,10000)/100),IFERROR(VALUE(TRIM(LEFT(MID(Sync!$AG1605,FIND("/",Sync!$AG1605)+1,20),FIND("/",MID(Sync!$AG1605,FIND("/",Sync!$AG1605)+1,20))-1))),"")))</f>
        <v/>
      </c>
      <c r="I1605">
        <f>IF(OR($F1605="",$G1605=""),"",IF(ISNUMBER(Sync!$AG1605),MOD(Sync!$AG1605,100),IFERROR(VALUE(TRIM(MID(MID(Sync!$AG1605,FIND("/",Sync!$AG1605)+1,20),FIND("/",MID(Sync!$AG1605,FIND("/",Sync!$AG1605)+1,20))+1,20))),"")))</f>
        <v/>
      </c>
      <c r="J1605">
        <f>IF($F1605="","",IF(OR($G1605="",$H1605="",$I1605="",$G1605&lt;1300,$G1605&gt;1500,$H1605&lt;1,$H1605&gt;12,$I1605&lt;1,$I1605&gt;31),"نامعتبر",RIGHT("0000"&amp;$G1605,4)&amp;"/"&amp;RIGHT("00"&amp;$H1605,2)&amp;"/"&amp;RIGHT("00"&amp;$I1605,2)))</f>
        <v/>
      </c>
      <c r="K1605">
        <f>IF(OR($F1605="",$J1605="",$J1605="نامعتبر"),"",LEFT($J1605,4)&amp;MID($J1605,6,2)&amp;RIGHT($J1605,2)&amp;$N1605&amp;"|"&amp;"2"&amp;RIGHT("00000"&amp;1600,5))</f>
        <v/>
      </c>
      <c r="L1605">
        <f>IF($K1605="","",COUNTIFS(LdgPartyA,$F1605,LdgKeyA,"&lt;"&amp;$K1605)+COUNTIFS(LdgPartyB,$F1605,LdgKeyB,"&lt;"&amp;$K1605)+1)</f>
        <v/>
      </c>
      <c r="M1605">
        <f>IF($L1605="","",$F1605&amp;"|"&amp;RIGHT("000000"&amp;$L1605,6))</f>
        <v/>
      </c>
      <c r="N1605">
        <f>IF($F1605="","",IF(Sync!$AH1605="","0000",IF(AND(ISNUMBER(Sync!$AH1605),Sync!$AH1605&gt;=0,Sync!$AH1605&lt;1),RIGHT("00"&amp;HOUR(Sync!$AH1605),2)&amp;RIGHT("00"&amp;MINUTE(Sync!$AH1605),2),IFERROR(RIGHT("00"&amp;VALUE(LEFT(Sync!$AH1605,FIND(":",Sync!$AH1605)-1)),2)&amp;RIGHT("00"&amp;VALUE(MID(Sync!$AH1605,FIND(":",Sync!$AH1605)+1,2)),2),"0000"))))</f>
        <v/>
      </c>
    </row>
    <row r="1606">
      <c r="A1606">
        <f>IF(OR(Calc!$E1609="",Calc!$E1609="نامعتبر",Calc!$G1609="",Calc!$I1609&lt;&gt;"خرید"),"",Calc!$G1609)</f>
        <v/>
      </c>
      <c r="B1606">
        <f>IF($A1606="","",LEFT(Calc!$E1609,4)&amp;MID(Calc!$E1609,6,2)&amp;RIGHT(Calc!$E1609,2)&amp;Calc!$R1609&amp;"|"&amp;"1"&amp;RIGHT("00000"&amp;1601,5))</f>
        <v/>
      </c>
      <c r="C1606">
        <f>IF($B1606="","",COUNTIFS(LdgPartyA,$A1606,LdgKeyA,"&lt;"&amp;$B1606)+COUNTIFS(LdgPartyB,$A1606,LdgKeyB,"&lt;"&amp;$B1606)+1)</f>
        <v/>
      </c>
      <c r="D1606">
        <f>IF($C1606="","",$A1606&amp;"|"&amp;RIGHT("000000"&amp;$C1606,6))</f>
        <v/>
      </c>
      <c r="F1606">
        <f>IF(Sync!$AJ1606="","",Sync!$AJ1606)</f>
        <v/>
      </c>
      <c r="G1606">
        <f>IF($F1606="","",IF(Sync!$AG1606="","",IF(ISNUMBER(Sync!$AG1606),IF(AND(Sync!$AG1606&gt;=10000101,Sync!$AG1606&lt;=99991231),INT(Sync!$AG1606/10000),""),IFERROR(VALUE(TRIM(LEFT(Sync!$AG1606,FIND("/",Sync!$AG1606)-1))),""))))</f>
        <v/>
      </c>
      <c r="H1606">
        <f>IF(OR($F1606="",$G1606=""),"",IF(ISNUMBER(Sync!$AG1606),INT(MOD(Sync!$AG1606,10000)/100),IFERROR(VALUE(TRIM(LEFT(MID(Sync!$AG1606,FIND("/",Sync!$AG1606)+1,20),FIND("/",MID(Sync!$AG1606,FIND("/",Sync!$AG1606)+1,20))-1))),"")))</f>
        <v/>
      </c>
      <c r="I1606">
        <f>IF(OR($F1606="",$G1606=""),"",IF(ISNUMBER(Sync!$AG1606),MOD(Sync!$AG1606,100),IFERROR(VALUE(TRIM(MID(MID(Sync!$AG1606,FIND("/",Sync!$AG1606)+1,20),FIND("/",MID(Sync!$AG1606,FIND("/",Sync!$AG1606)+1,20))+1,20))),"")))</f>
        <v/>
      </c>
      <c r="J1606">
        <f>IF($F1606="","",IF(OR($G1606="",$H1606="",$I1606="",$G1606&lt;1300,$G1606&gt;1500,$H1606&lt;1,$H1606&gt;12,$I1606&lt;1,$I1606&gt;31),"نامعتبر",RIGHT("0000"&amp;$G1606,4)&amp;"/"&amp;RIGHT("00"&amp;$H1606,2)&amp;"/"&amp;RIGHT("00"&amp;$I1606,2)))</f>
        <v/>
      </c>
      <c r="K1606">
        <f>IF(OR($F1606="",$J1606="",$J1606="نامعتبر"),"",LEFT($J1606,4)&amp;MID($J1606,6,2)&amp;RIGHT($J1606,2)&amp;$N1606&amp;"|"&amp;"2"&amp;RIGHT("00000"&amp;1601,5))</f>
        <v/>
      </c>
      <c r="L1606">
        <f>IF($K1606="","",COUNTIFS(LdgPartyA,$F1606,LdgKeyA,"&lt;"&amp;$K1606)+COUNTIFS(LdgPartyB,$F1606,LdgKeyB,"&lt;"&amp;$K1606)+1)</f>
        <v/>
      </c>
      <c r="M1606">
        <f>IF($L1606="","",$F1606&amp;"|"&amp;RIGHT("000000"&amp;$L1606,6))</f>
        <v/>
      </c>
      <c r="N1606">
        <f>IF($F1606="","",IF(Sync!$AH1606="","0000",IF(AND(ISNUMBER(Sync!$AH1606),Sync!$AH1606&gt;=0,Sync!$AH1606&lt;1),RIGHT("00"&amp;HOUR(Sync!$AH1606),2)&amp;RIGHT("00"&amp;MINUTE(Sync!$AH1606),2),IFERROR(RIGHT("00"&amp;VALUE(LEFT(Sync!$AH1606,FIND(":",Sync!$AH1606)-1)),2)&amp;RIGHT("00"&amp;VALUE(MID(Sync!$AH1606,FIND(":",Sync!$AH1606)+1,2)),2),"0000"))))</f>
        <v/>
      </c>
    </row>
    <row r="1607">
      <c r="A1607">
        <f>IF(OR(Calc!$E1610="",Calc!$E1610="نامعتبر",Calc!$G1610="",Calc!$I1610&lt;&gt;"خرید"),"",Calc!$G1610)</f>
        <v/>
      </c>
      <c r="B1607">
        <f>IF($A1607="","",LEFT(Calc!$E1610,4)&amp;MID(Calc!$E1610,6,2)&amp;RIGHT(Calc!$E1610,2)&amp;Calc!$R1610&amp;"|"&amp;"1"&amp;RIGHT("00000"&amp;1602,5))</f>
        <v/>
      </c>
      <c r="C1607">
        <f>IF($B1607="","",COUNTIFS(LdgPartyA,$A1607,LdgKeyA,"&lt;"&amp;$B1607)+COUNTIFS(LdgPartyB,$A1607,LdgKeyB,"&lt;"&amp;$B1607)+1)</f>
        <v/>
      </c>
      <c r="D1607">
        <f>IF($C1607="","",$A1607&amp;"|"&amp;RIGHT("000000"&amp;$C1607,6))</f>
        <v/>
      </c>
      <c r="F1607">
        <f>IF(Sync!$AJ1607="","",Sync!$AJ1607)</f>
        <v/>
      </c>
      <c r="G1607">
        <f>IF($F1607="","",IF(Sync!$AG1607="","",IF(ISNUMBER(Sync!$AG1607),IF(AND(Sync!$AG1607&gt;=10000101,Sync!$AG1607&lt;=99991231),INT(Sync!$AG1607/10000),""),IFERROR(VALUE(TRIM(LEFT(Sync!$AG1607,FIND("/",Sync!$AG1607)-1))),""))))</f>
        <v/>
      </c>
      <c r="H1607">
        <f>IF(OR($F1607="",$G1607=""),"",IF(ISNUMBER(Sync!$AG1607),INT(MOD(Sync!$AG1607,10000)/100),IFERROR(VALUE(TRIM(LEFT(MID(Sync!$AG1607,FIND("/",Sync!$AG1607)+1,20),FIND("/",MID(Sync!$AG1607,FIND("/",Sync!$AG1607)+1,20))-1))),"")))</f>
        <v/>
      </c>
      <c r="I1607">
        <f>IF(OR($F1607="",$G1607=""),"",IF(ISNUMBER(Sync!$AG1607),MOD(Sync!$AG1607,100),IFERROR(VALUE(TRIM(MID(MID(Sync!$AG1607,FIND("/",Sync!$AG1607)+1,20),FIND("/",MID(Sync!$AG1607,FIND("/",Sync!$AG1607)+1,20))+1,20))),"")))</f>
        <v/>
      </c>
      <c r="J1607">
        <f>IF($F1607="","",IF(OR($G1607="",$H1607="",$I1607="",$G1607&lt;1300,$G1607&gt;1500,$H1607&lt;1,$H1607&gt;12,$I1607&lt;1,$I1607&gt;31),"نامعتبر",RIGHT("0000"&amp;$G1607,4)&amp;"/"&amp;RIGHT("00"&amp;$H1607,2)&amp;"/"&amp;RIGHT("00"&amp;$I1607,2)))</f>
        <v/>
      </c>
      <c r="K1607">
        <f>IF(OR($F1607="",$J1607="",$J1607="نامعتبر"),"",LEFT($J1607,4)&amp;MID($J1607,6,2)&amp;RIGHT($J1607,2)&amp;$N1607&amp;"|"&amp;"2"&amp;RIGHT("00000"&amp;1602,5))</f>
        <v/>
      </c>
      <c r="L1607">
        <f>IF($K1607="","",COUNTIFS(LdgPartyA,$F1607,LdgKeyA,"&lt;"&amp;$K1607)+COUNTIFS(LdgPartyB,$F1607,LdgKeyB,"&lt;"&amp;$K1607)+1)</f>
        <v/>
      </c>
      <c r="M1607">
        <f>IF($L1607="","",$F1607&amp;"|"&amp;RIGHT("000000"&amp;$L1607,6))</f>
        <v/>
      </c>
      <c r="N1607">
        <f>IF($F1607="","",IF(Sync!$AH1607="","0000",IF(AND(ISNUMBER(Sync!$AH1607),Sync!$AH1607&gt;=0,Sync!$AH1607&lt;1),RIGHT("00"&amp;HOUR(Sync!$AH1607),2)&amp;RIGHT("00"&amp;MINUTE(Sync!$AH1607),2),IFERROR(RIGHT("00"&amp;VALUE(LEFT(Sync!$AH1607,FIND(":",Sync!$AH1607)-1)),2)&amp;RIGHT("00"&amp;VALUE(MID(Sync!$AH1607,FIND(":",Sync!$AH1607)+1,2)),2),"0000"))))</f>
        <v/>
      </c>
    </row>
    <row r="1608">
      <c r="A1608">
        <f>IF(OR(Calc!$E1611="",Calc!$E1611="نامعتبر",Calc!$G1611="",Calc!$I1611&lt;&gt;"خرید"),"",Calc!$G1611)</f>
        <v/>
      </c>
      <c r="B1608">
        <f>IF($A1608="","",LEFT(Calc!$E1611,4)&amp;MID(Calc!$E1611,6,2)&amp;RIGHT(Calc!$E1611,2)&amp;Calc!$R1611&amp;"|"&amp;"1"&amp;RIGHT("00000"&amp;1603,5))</f>
        <v/>
      </c>
      <c r="C1608">
        <f>IF($B1608="","",COUNTIFS(LdgPartyA,$A1608,LdgKeyA,"&lt;"&amp;$B1608)+COUNTIFS(LdgPartyB,$A1608,LdgKeyB,"&lt;"&amp;$B1608)+1)</f>
        <v/>
      </c>
      <c r="D1608">
        <f>IF($C1608="","",$A1608&amp;"|"&amp;RIGHT("000000"&amp;$C1608,6))</f>
        <v/>
      </c>
      <c r="F1608">
        <f>IF(Sync!$AJ1608="","",Sync!$AJ1608)</f>
        <v/>
      </c>
      <c r="G1608">
        <f>IF($F1608="","",IF(Sync!$AG1608="","",IF(ISNUMBER(Sync!$AG1608),IF(AND(Sync!$AG1608&gt;=10000101,Sync!$AG1608&lt;=99991231),INT(Sync!$AG1608/10000),""),IFERROR(VALUE(TRIM(LEFT(Sync!$AG1608,FIND("/",Sync!$AG1608)-1))),""))))</f>
        <v/>
      </c>
      <c r="H1608">
        <f>IF(OR($F1608="",$G1608=""),"",IF(ISNUMBER(Sync!$AG1608),INT(MOD(Sync!$AG1608,10000)/100),IFERROR(VALUE(TRIM(LEFT(MID(Sync!$AG1608,FIND("/",Sync!$AG1608)+1,20),FIND("/",MID(Sync!$AG1608,FIND("/",Sync!$AG1608)+1,20))-1))),"")))</f>
        <v/>
      </c>
      <c r="I1608">
        <f>IF(OR($F1608="",$G1608=""),"",IF(ISNUMBER(Sync!$AG1608),MOD(Sync!$AG1608,100),IFERROR(VALUE(TRIM(MID(MID(Sync!$AG1608,FIND("/",Sync!$AG1608)+1,20),FIND("/",MID(Sync!$AG1608,FIND("/",Sync!$AG1608)+1,20))+1,20))),"")))</f>
        <v/>
      </c>
      <c r="J1608">
        <f>IF($F1608="","",IF(OR($G1608="",$H1608="",$I1608="",$G1608&lt;1300,$G1608&gt;1500,$H1608&lt;1,$H1608&gt;12,$I1608&lt;1,$I1608&gt;31),"نامعتبر",RIGHT("0000"&amp;$G1608,4)&amp;"/"&amp;RIGHT("00"&amp;$H1608,2)&amp;"/"&amp;RIGHT("00"&amp;$I1608,2)))</f>
        <v/>
      </c>
      <c r="K1608">
        <f>IF(OR($F1608="",$J1608="",$J1608="نامعتبر"),"",LEFT($J1608,4)&amp;MID($J1608,6,2)&amp;RIGHT($J1608,2)&amp;$N1608&amp;"|"&amp;"2"&amp;RIGHT("00000"&amp;1603,5))</f>
        <v/>
      </c>
      <c r="L1608">
        <f>IF($K1608="","",COUNTIFS(LdgPartyA,$F1608,LdgKeyA,"&lt;"&amp;$K1608)+COUNTIFS(LdgPartyB,$F1608,LdgKeyB,"&lt;"&amp;$K1608)+1)</f>
        <v/>
      </c>
      <c r="M1608">
        <f>IF($L1608="","",$F1608&amp;"|"&amp;RIGHT("000000"&amp;$L1608,6))</f>
        <v/>
      </c>
      <c r="N1608">
        <f>IF($F1608="","",IF(Sync!$AH1608="","0000",IF(AND(ISNUMBER(Sync!$AH1608),Sync!$AH1608&gt;=0,Sync!$AH1608&lt;1),RIGHT("00"&amp;HOUR(Sync!$AH1608),2)&amp;RIGHT("00"&amp;MINUTE(Sync!$AH1608),2),IFERROR(RIGHT("00"&amp;VALUE(LEFT(Sync!$AH1608,FIND(":",Sync!$AH1608)-1)),2)&amp;RIGHT("00"&amp;VALUE(MID(Sync!$AH1608,FIND(":",Sync!$AH1608)+1,2)),2),"0000"))))</f>
        <v/>
      </c>
    </row>
    <row r="1609">
      <c r="A1609">
        <f>IF(OR(Calc!$E1612="",Calc!$E1612="نامعتبر",Calc!$G1612="",Calc!$I1612&lt;&gt;"خرید"),"",Calc!$G1612)</f>
        <v/>
      </c>
      <c r="B1609">
        <f>IF($A1609="","",LEFT(Calc!$E1612,4)&amp;MID(Calc!$E1612,6,2)&amp;RIGHT(Calc!$E1612,2)&amp;Calc!$R1612&amp;"|"&amp;"1"&amp;RIGHT("00000"&amp;1604,5))</f>
        <v/>
      </c>
      <c r="C1609">
        <f>IF($B1609="","",COUNTIFS(LdgPartyA,$A1609,LdgKeyA,"&lt;"&amp;$B1609)+COUNTIFS(LdgPartyB,$A1609,LdgKeyB,"&lt;"&amp;$B1609)+1)</f>
        <v/>
      </c>
      <c r="D1609">
        <f>IF($C1609="","",$A1609&amp;"|"&amp;RIGHT("000000"&amp;$C1609,6))</f>
        <v/>
      </c>
      <c r="F1609">
        <f>IF(Sync!$AJ1609="","",Sync!$AJ1609)</f>
        <v/>
      </c>
      <c r="G1609">
        <f>IF($F1609="","",IF(Sync!$AG1609="","",IF(ISNUMBER(Sync!$AG1609),IF(AND(Sync!$AG1609&gt;=10000101,Sync!$AG1609&lt;=99991231),INT(Sync!$AG1609/10000),""),IFERROR(VALUE(TRIM(LEFT(Sync!$AG1609,FIND("/",Sync!$AG1609)-1))),""))))</f>
        <v/>
      </c>
      <c r="H1609">
        <f>IF(OR($F1609="",$G1609=""),"",IF(ISNUMBER(Sync!$AG1609),INT(MOD(Sync!$AG1609,10000)/100),IFERROR(VALUE(TRIM(LEFT(MID(Sync!$AG1609,FIND("/",Sync!$AG1609)+1,20),FIND("/",MID(Sync!$AG1609,FIND("/",Sync!$AG1609)+1,20))-1))),"")))</f>
        <v/>
      </c>
      <c r="I1609">
        <f>IF(OR($F1609="",$G1609=""),"",IF(ISNUMBER(Sync!$AG1609),MOD(Sync!$AG1609,100),IFERROR(VALUE(TRIM(MID(MID(Sync!$AG1609,FIND("/",Sync!$AG1609)+1,20),FIND("/",MID(Sync!$AG1609,FIND("/",Sync!$AG1609)+1,20))+1,20))),"")))</f>
        <v/>
      </c>
      <c r="J1609">
        <f>IF($F1609="","",IF(OR($G1609="",$H1609="",$I1609="",$G1609&lt;1300,$G1609&gt;1500,$H1609&lt;1,$H1609&gt;12,$I1609&lt;1,$I1609&gt;31),"نامعتبر",RIGHT("0000"&amp;$G1609,4)&amp;"/"&amp;RIGHT("00"&amp;$H1609,2)&amp;"/"&amp;RIGHT("00"&amp;$I1609,2)))</f>
        <v/>
      </c>
      <c r="K1609">
        <f>IF(OR($F1609="",$J1609="",$J1609="نامعتبر"),"",LEFT($J1609,4)&amp;MID($J1609,6,2)&amp;RIGHT($J1609,2)&amp;$N1609&amp;"|"&amp;"2"&amp;RIGHT("00000"&amp;1604,5))</f>
        <v/>
      </c>
      <c r="L1609">
        <f>IF($K1609="","",COUNTIFS(LdgPartyA,$F1609,LdgKeyA,"&lt;"&amp;$K1609)+COUNTIFS(LdgPartyB,$F1609,LdgKeyB,"&lt;"&amp;$K1609)+1)</f>
        <v/>
      </c>
      <c r="M1609">
        <f>IF($L1609="","",$F1609&amp;"|"&amp;RIGHT("000000"&amp;$L1609,6))</f>
        <v/>
      </c>
      <c r="N1609">
        <f>IF($F1609="","",IF(Sync!$AH1609="","0000",IF(AND(ISNUMBER(Sync!$AH1609),Sync!$AH1609&gt;=0,Sync!$AH1609&lt;1),RIGHT("00"&amp;HOUR(Sync!$AH1609),2)&amp;RIGHT("00"&amp;MINUTE(Sync!$AH1609),2),IFERROR(RIGHT("00"&amp;VALUE(LEFT(Sync!$AH1609,FIND(":",Sync!$AH1609)-1)),2)&amp;RIGHT("00"&amp;VALUE(MID(Sync!$AH1609,FIND(":",Sync!$AH1609)+1,2)),2),"0000"))))</f>
        <v/>
      </c>
    </row>
    <row r="1610">
      <c r="A1610">
        <f>IF(OR(Calc!$E1613="",Calc!$E1613="نامعتبر",Calc!$G1613="",Calc!$I1613&lt;&gt;"خرید"),"",Calc!$G1613)</f>
        <v/>
      </c>
      <c r="B1610">
        <f>IF($A1610="","",LEFT(Calc!$E1613,4)&amp;MID(Calc!$E1613,6,2)&amp;RIGHT(Calc!$E1613,2)&amp;Calc!$R1613&amp;"|"&amp;"1"&amp;RIGHT("00000"&amp;1605,5))</f>
        <v/>
      </c>
      <c r="C1610">
        <f>IF($B1610="","",COUNTIFS(LdgPartyA,$A1610,LdgKeyA,"&lt;"&amp;$B1610)+COUNTIFS(LdgPartyB,$A1610,LdgKeyB,"&lt;"&amp;$B1610)+1)</f>
        <v/>
      </c>
      <c r="D1610">
        <f>IF($C1610="","",$A1610&amp;"|"&amp;RIGHT("000000"&amp;$C1610,6))</f>
        <v/>
      </c>
      <c r="F1610">
        <f>IF(Sync!$AJ1610="","",Sync!$AJ1610)</f>
        <v/>
      </c>
      <c r="G1610">
        <f>IF($F1610="","",IF(Sync!$AG1610="","",IF(ISNUMBER(Sync!$AG1610),IF(AND(Sync!$AG1610&gt;=10000101,Sync!$AG1610&lt;=99991231),INT(Sync!$AG1610/10000),""),IFERROR(VALUE(TRIM(LEFT(Sync!$AG1610,FIND("/",Sync!$AG1610)-1))),""))))</f>
        <v/>
      </c>
      <c r="H1610">
        <f>IF(OR($F1610="",$G1610=""),"",IF(ISNUMBER(Sync!$AG1610),INT(MOD(Sync!$AG1610,10000)/100),IFERROR(VALUE(TRIM(LEFT(MID(Sync!$AG1610,FIND("/",Sync!$AG1610)+1,20),FIND("/",MID(Sync!$AG1610,FIND("/",Sync!$AG1610)+1,20))-1))),"")))</f>
        <v/>
      </c>
      <c r="I1610">
        <f>IF(OR($F1610="",$G1610=""),"",IF(ISNUMBER(Sync!$AG1610),MOD(Sync!$AG1610,100),IFERROR(VALUE(TRIM(MID(MID(Sync!$AG1610,FIND("/",Sync!$AG1610)+1,20),FIND("/",MID(Sync!$AG1610,FIND("/",Sync!$AG1610)+1,20))+1,20))),"")))</f>
        <v/>
      </c>
      <c r="J1610">
        <f>IF($F1610="","",IF(OR($G1610="",$H1610="",$I1610="",$G1610&lt;1300,$G1610&gt;1500,$H1610&lt;1,$H1610&gt;12,$I1610&lt;1,$I1610&gt;31),"نامعتبر",RIGHT("0000"&amp;$G1610,4)&amp;"/"&amp;RIGHT("00"&amp;$H1610,2)&amp;"/"&amp;RIGHT("00"&amp;$I1610,2)))</f>
        <v/>
      </c>
      <c r="K1610">
        <f>IF(OR($F1610="",$J1610="",$J1610="نامعتبر"),"",LEFT($J1610,4)&amp;MID($J1610,6,2)&amp;RIGHT($J1610,2)&amp;$N1610&amp;"|"&amp;"2"&amp;RIGHT("00000"&amp;1605,5))</f>
        <v/>
      </c>
      <c r="L1610">
        <f>IF($K1610="","",COUNTIFS(LdgPartyA,$F1610,LdgKeyA,"&lt;"&amp;$K1610)+COUNTIFS(LdgPartyB,$F1610,LdgKeyB,"&lt;"&amp;$K1610)+1)</f>
        <v/>
      </c>
      <c r="M1610">
        <f>IF($L1610="","",$F1610&amp;"|"&amp;RIGHT("000000"&amp;$L1610,6))</f>
        <v/>
      </c>
      <c r="N1610">
        <f>IF($F1610="","",IF(Sync!$AH1610="","0000",IF(AND(ISNUMBER(Sync!$AH1610),Sync!$AH1610&gt;=0,Sync!$AH1610&lt;1),RIGHT("00"&amp;HOUR(Sync!$AH1610),2)&amp;RIGHT("00"&amp;MINUTE(Sync!$AH1610),2),IFERROR(RIGHT("00"&amp;VALUE(LEFT(Sync!$AH1610,FIND(":",Sync!$AH1610)-1)),2)&amp;RIGHT("00"&amp;VALUE(MID(Sync!$AH1610,FIND(":",Sync!$AH1610)+1,2)),2),"0000"))))</f>
        <v/>
      </c>
    </row>
    <row r="1611">
      <c r="A1611">
        <f>IF(OR(Calc!$E1614="",Calc!$E1614="نامعتبر",Calc!$G1614="",Calc!$I1614&lt;&gt;"خرید"),"",Calc!$G1614)</f>
        <v/>
      </c>
      <c r="B1611">
        <f>IF($A1611="","",LEFT(Calc!$E1614,4)&amp;MID(Calc!$E1614,6,2)&amp;RIGHT(Calc!$E1614,2)&amp;Calc!$R1614&amp;"|"&amp;"1"&amp;RIGHT("00000"&amp;1606,5))</f>
        <v/>
      </c>
      <c r="C1611">
        <f>IF($B1611="","",COUNTIFS(LdgPartyA,$A1611,LdgKeyA,"&lt;"&amp;$B1611)+COUNTIFS(LdgPartyB,$A1611,LdgKeyB,"&lt;"&amp;$B1611)+1)</f>
        <v/>
      </c>
      <c r="D1611">
        <f>IF($C1611="","",$A1611&amp;"|"&amp;RIGHT("000000"&amp;$C1611,6))</f>
        <v/>
      </c>
      <c r="F1611">
        <f>IF(Sync!$AJ1611="","",Sync!$AJ1611)</f>
        <v/>
      </c>
      <c r="G1611">
        <f>IF($F1611="","",IF(Sync!$AG1611="","",IF(ISNUMBER(Sync!$AG1611),IF(AND(Sync!$AG1611&gt;=10000101,Sync!$AG1611&lt;=99991231),INT(Sync!$AG1611/10000),""),IFERROR(VALUE(TRIM(LEFT(Sync!$AG1611,FIND("/",Sync!$AG1611)-1))),""))))</f>
        <v/>
      </c>
      <c r="H1611">
        <f>IF(OR($F1611="",$G1611=""),"",IF(ISNUMBER(Sync!$AG1611),INT(MOD(Sync!$AG1611,10000)/100),IFERROR(VALUE(TRIM(LEFT(MID(Sync!$AG1611,FIND("/",Sync!$AG1611)+1,20),FIND("/",MID(Sync!$AG1611,FIND("/",Sync!$AG1611)+1,20))-1))),"")))</f>
        <v/>
      </c>
      <c r="I1611">
        <f>IF(OR($F1611="",$G1611=""),"",IF(ISNUMBER(Sync!$AG1611),MOD(Sync!$AG1611,100),IFERROR(VALUE(TRIM(MID(MID(Sync!$AG1611,FIND("/",Sync!$AG1611)+1,20),FIND("/",MID(Sync!$AG1611,FIND("/",Sync!$AG1611)+1,20))+1,20))),"")))</f>
        <v/>
      </c>
      <c r="J1611">
        <f>IF($F1611="","",IF(OR($G1611="",$H1611="",$I1611="",$G1611&lt;1300,$G1611&gt;1500,$H1611&lt;1,$H1611&gt;12,$I1611&lt;1,$I1611&gt;31),"نامعتبر",RIGHT("0000"&amp;$G1611,4)&amp;"/"&amp;RIGHT("00"&amp;$H1611,2)&amp;"/"&amp;RIGHT("00"&amp;$I1611,2)))</f>
        <v/>
      </c>
      <c r="K1611">
        <f>IF(OR($F1611="",$J1611="",$J1611="نامعتبر"),"",LEFT($J1611,4)&amp;MID($J1611,6,2)&amp;RIGHT($J1611,2)&amp;$N1611&amp;"|"&amp;"2"&amp;RIGHT("00000"&amp;1606,5))</f>
        <v/>
      </c>
      <c r="L1611">
        <f>IF($K1611="","",COUNTIFS(LdgPartyA,$F1611,LdgKeyA,"&lt;"&amp;$K1611)+COUNTIFS(LdgPartyB,$F1611,LdgKeyB,"&lt;"&amp;$K1611)+1)</f>
        <v/>
      </c>
      <c r="M1611">
        <f>IF($L1611="","",$F1611&amp;"|"&amp;RIGHT("000000"&amp;$L1611,6))</f>
        <v/>
      </c>
      <c r="N1611">
        <f>IF($F1611="","",IF(Sync!$AH1611="","0000",IF(AND(ISNUMBER(Sync!$AH1611),Sync!$AH1611&gt;=0,Sync!$AH1611&lt;1),RIGHT("00"&amp;HOUR(Sync!$AH1611),2)&amp;RIGHT("00"&amp;MINUTE(Sync!$AH1611),2),IFERROR(RIGHT("00"&amp;VALUE(LEFT(Sync!$AH1611,FIND(":",Sync!$AH1611)-1)),2)&amp;RIGHT("00"&amp;VALUE(MID(Sync!$AH1611,FIND(":",Sync!$AH1611)+1,2)),2),"0000"))))</f>
        <v/>
      </c>
    </row>
    <row r="1612">
      <c r="A1612">
        <f>IF(OR(Calc!$E1615="",Calc!$E1615="نامعتبر",Calc!$G1615="",Calc!$I1615&lt;&gt;"خرید"),"",Calc!$G1615)</f>
        <v/>
      </c>
      <c r="B1612">
        <f>IF($A1612="","",LEFT(Calc!$E1615,4)&amp;MID(Calc!$E1615,6,2)&amp;RIGHT(Calc!$E1615,2)&amp;Calc!$R1615&amp;"|"&amp;"1"&amp;RIGHT("00000"&amp;1607,5))</f>
        <v/>
      </c>
      <c r="C1612">
        <f>IF($B1612="","",COUNTIFS(LdgPartyA,$A1612,LdgKeyA,"&lt;"&amp;$B1612)+COUNTIFS(LdgPartyB,$A1612,LdgKeyB,"&lt;"&amp;$B1612)+1)</f>
        <v/>
      </c>
      <c r="D1612">
        <f>IF($C1612="","",$A1612&amp;"|"&amp;RIGHT("000000"&amp;$C1612,6))</f>
        <v/>
      </c>
      <c r="F1612">
        <f>IF(Sync!$AJ1612="","",Sync!$AJ1612)</f>
        <v/>
      </c>
      <c r="G1612">
        <f>IF($F1612="","",IF(Sync!$AG1612="","",IF(ISNUMBER(Sync!$AG1612),IF(AND(Sync!$AG1612&gt;=10000101,Sync!$AG1612&lt;=99991231),INT(Sync!$AG1612/10000),""),IFERROR(VALUE(TRIM(LEFT(Sync!$AG1612,FIND("/",Sync!$AG1612)-1))),""))))</f>
        <v/>
      </c>
      <c r="H1612">
        <f>IF(OR($F1612="",$G1612=""),"",IF(ISNUMBER(Sync!$AG1612),INT(MOD(Sync!$AG1612,10000)/100),IFERROR(VALUE(TRIM(LEFT(MID(Sync!$AG1612,FIND("/",Sync!$AG1612)+1,20),FIND("/",MID(Sync!$AG1612,FIND("/",Sync!$AG1612)+1,20))-1))),"")))</f>
        <v/>
      </c>
      <c r="I1612">
        <f>IF(OR($F1612="",$G1612=""),"",IF(ISNUMBER(Sync!$AG1612),MOD(Sync!$AG1612,100),IFERROR(VALUE(TRIM(MID(MID(Sync!$AG1612,FIND("/",Sync!$AG1612)+1,20),FIND("/",MID(Sync!$AG1612,FIND("/",Sync!$AG1612)+1,20))+1,20))),"")))</f>
        <v/>
      </c>
      <c r="J1612">
        <f>IF($F1612="","",IF(OR($G1612="",$H1612="",$I1612="",$G1612&lt;1300,$G1612&gt;1500,$H1612&lt;1,$H1612&gt;12,$I1612&lt;1,$I1612&gt;31),"نامعتبر",RIGHT("0000"&amp;$G1612,4)&amp;"/"&amp;RIGHT("00"&amp;$H1612,2)&amp;"/"&amp;RIGHT("00"&amp;$I1612,2)))</f>
        <v/>
      </c>
      <c r="K1612">
        <f>IF(OR($F1612="",$J1612="",$J1612="نامعتبر"),"",LEFT($J1612,4)&amp;MID($J1612,6,2)&amp;RIGHT($J1612,2)&amp;$N1612&amp;"|"&amp;"2"&amp;RIGHT("00000"&amp;1607,5))</f>
        <v/>
      </c>
      <c r="L1612">
        <f>IF($K1612="","",COUNTIFS(LdgPartyA,$F1612,LdgKeyA,"&lt;"&amp;$K1612)+COUNTIFS(LdgPartyB,$F1612,LdgKeyB,"&lt;"&amp;$K1612)+1)</f>
        <v/>
      </c>
      <c r="M1612">
        <f>IF($L1612="","",$F1612&amp;"|"&amp;RIGHT("000000"&amp;$L1612,6))</f>
        <v/>
      </c>
      <c r="N1612">
        <f>IF($F1612="","",IF(Sync!$AH1612="","0000",IF(AND(ISNUMBER(Sync!$AH1612),Sync!$AH1612&gt;=0,Sync!$AH1612&lt;1),RIGHT("00"&amp;HOUR(Sync!$AH1612),2)&amp;RIGHT("00"&amp;MINUTE(Sync!$AH1612),2),IFERROR(RIGHT("00"&amp;VALUE(LEFT(Sync!$AH1612,FIND(":",Sync!$AH1612)-1)),2)&amp;RIGHT("00"&amp;VALUE(MID(Sync!$AH1612,FIND(":",Sync!$AH1612)+1,2)),2),"0000"))))</f>
        <v/>
      </c>
    </row>
    <row r="1613">
      <c r="A1613">
        <f>IF(OR(Calc!$E1616="",Calc!$E1616="نامعتبر",Calc!$G1616="",Calc!$I1616&lt;&gt;"خرید"),"",Calc!$G1616)</f>
        <v/>
      </c>
      <c r="B1613">
        <f>IF($A1613="","",LEFT(Calc!$E1616,4)&amp;MID(Calc!$E1616,6,2)&amp;RIGHT(Calc!$E1616,2)&amp;Calc!$R1616&amp;"|"&amp;"1"&amp;RIGHT("00000"&amp;1608,5))</f>
        <v/>
      </c>
      <c r="C1613">
        <f>IF($B1613="","",COUNTIFS(LdgPartyA,$A1613,LdgKeyA,"&lt;"&amp;$B1613)+COUNTIFS(LdgPartyB,$A1613,LdgKeyB,"&lt;"&amp;$B1613)+1)</f>
        <v/>
      </c>
      <c r="D1613">
        <f>IF($C1613="","",$A1613&amp;"|"&amp;RIGHT("000000"&amp;$C1613,6))</f>
        <v/>
      </c>
      <c r="F1613">
        <f>IF(Sync!$AJ1613="","",Sync!$AJ1613)</f>
        <v/>
      </c>
      <c r="G1613">
        <f>IF($F1613="","",IF(Sync!$AG1613="","",IF(ISNUMBER(Sync!$AG1613),IF(AND(Sync!$AG1613&gt;=10000101,Sync!$AG1613&lt;=99991231),INT(Sync!$AG1613/10000),""),IFERROR(VALUE(TRIM(LEFT(Sync!$AG1613,FIND("/",Sync!$AG1613)-1))),""))))</f>
        <v/>
      </c>
      <c r="H1613">
        <f>IF(OR($F1613="",$G1613=""),"",IF(ISNUMBER(Sync!$AG1613),INT(MOD(Sync!$AG1613,10000)/100),IFERROR(VALUE(TRIM(LEFT(MID(Sync!$AG1613,FIND("/",Sync!$AG1613)+1,20),FIND("/",MID(Sync!$AG1613,FIND("/",Sync!$AG1613)+1,20))-1))),"")))</f>
        <v/>
      </c>
      <c r="I1613">
        <f>IF(OR($F1613="",$G1613=""),"",IF(ISNUMBER(Sync!$AG1613),MOD(Sync!$AG1613,100),IFERROR(VALUE(TRIM(MID(MID(Sync!$AG1613,FIND("/",Sync!$AG1613)+1,20),FIND("/",MID(Sync!$AG1613,FIND("/",Sync!$AG1613)+1,20))+1,20))),"")))</f>
        <v/>
      </c>
      <c r="J1613">
        <f>IF($F1613="","",IF(OR($G1613="",$H1613="",$I1613="",$G1613&lt;1300,$G1613&gt;1500,$H1613&lt;1,$H1613&gt;12,$I1613&lt;1,$I1613&gt;31),"نامعتبر",RIGHT("0000"&amp;$G1613,4)&amp;"/"&amp;RIGHT("00"&amp;$H1613,2)&amp;"/"&amp;RIGHT("00"&amp;$I1613,2)))</f>
        <v/>
      </c>
      <c r="K1613">
        <f>IF(OR($F1613="",$J1613="",$J1613="نامعتبر"),"",LEFT($J1613,4)&amp;MID($J1613,6,2)&amp;RIGHT($J1613,2)&amp;$N1613&amp;"|"&amp;"2"&amp;RIGHT("00000"&amp;1608,5))</f>
        <v/>
      </c>
      <c r="L1613">
        <f>IF($K1613="","",COUNTIFS(LdgPartyA,$F1613,LdgKeyA,"&lt;"&amp;$K1613)+COUNTIFS(LdgPartyB,$F1613,LdgKeyB,"&lt;"&amp;$K1613)+1)</f>
        <v/>
      </c>
      <c r="M1613">
        <f>IF($L1613="","",$F1613&amp;"|"&amp;RIGHT("000000"&amp;$L1613,6))</f>
        <v/>
      </c>
      <c r="N1613">
        <f>IF($F1613="","",IF(Sync!$AH1613="","0000",IF(AND(ISNUMBER(Sync!$AH1613),Sync!$AH1613&gt;=0,Sync!$AH1613&lt;1),RIGHT("00"&amp;HOUR(Sync!$AH1613),2)&amp;RIGHT("00"&amp;MINUTE(Sync!$AH1613),2),IFERROR(RIGHT("00"&amp;VALUE(LEFT(Sync!$AH1613,FIND(":",Sync!$AH1613)-1)),2)&amp;RIGHT("00"&amp;VALUE(MID(Sync!$AH1613,FIND(":",Sync!$AH1613)+1,2)),2),"0000"))))</f>
        <v/>
      </c>
    </row>
    <row r="1614">
      <c r="A1614">
        <f>IF(OR(Calc!$E1617="",Calc!$E1617="نامعتبر",Calc!$G1617="",Calc!$I1617&lt;&gt;"خرید"),"",Calc!$G1617)</f>
        <v/>
      </c>
      <c r="B1614">
        <f>IF($A1614="","",LEFT(Calc!$E1617,4)&amp;MID(Calc!$E1617,6,2)&amp;RIGHT(Calc!$E1617,2)&amp;Calc!$R1617&amp;"|"&amp;"1"&amp;RIGHT("00000"&amp;1609,5))</f>
        <v/>
      </c>
      <c r="C1614">
        <f>IF($B1614="","",COUNTIFS(LdgPartyA,$A1614,LdgKeyA,"&lt;"&amp;$B1614)+COUNTIFS(LdgPartyB,$A1614,LdgKeyB,"&lt;"&amp;$B1614)+1)</f>
        <v/>
      </c>
      <c r="D1614">
        <f>IF($C1614="","",$A1614&amp;"|"&amp;RIGHT("000000"&amp;$C1614,6))</f>
        <v/>
      </c>
      <c r="F1614">
        <f>IF(Sync!$AJ1614="","",Sync!$AJ1614)</f>
        <v/>
      </c>
      <c r="G1614">
        <f>IF($F1614="","",IF(Sync!$AG1614="","",IF(ISNUMBER(Sync!$AG1614),IF(AND(Sync!$AG1614&gt;=10000101,Sync!$AG1614&lt;=99991231),INT(Sync!$AG1614/10000),""),IFERROR(VALUE(TRIM(LEFT(Sync!$AG1614,FIND("/",Sync!$AG1614)-1))),""))))</f>
        <v/>
      </c>
      <c r="H1614">
        <f>IF(OR($F1614="",$G1614=""),"",IF(ISNUMBER(Sync!$AG1614),INT(MOD(Sync!$AG1614,10000)/100),IFERROR(VALUE(TRIM(LEFT(MID(Sync!$AG1614,FIND("/",Sync!$AG1614)+1,20),FIND("/",MID(Sync!$AG1614,FIND("/",Sync!$AG1614)+1,20))-1))),"")))</f>
        <v/>
      </c>
      <c r="I1614">
        <f>IF(OR($F1614="",$G1614=""),"",IF(ISNUMBER(Sync!$AG1614),MOD(Sync!$AG1614,100),IFERROR(VALUE(TRIM(MID(MID(Sync!$AG1614,FIND("/",Sync!$AG1614)+1,20),FIND("/",MID(Sync!$AG1614,FIND("/",Sync!$AG1614)+1,20))+1,20))),"")))</f>
        <v/>
      </c>
      <c r="J1614">
        <f>IF($F1614="","",IF(OR($G1614="",$H1614="",$I1614="",$G1614&lt;1300,$G1614&gt;1500,$H1614&lt;1,$H1614&gt;12,$I1614&lt;1,$I1614&gt;31),"نامعتبر",RIGHT("0000"&amp;$G1614,4)&amp;"/"&amp;RIGHT("00"&amp;$H1614,2)&amp;"/"&amp;RIGHT("00"&amp;$I1614,2)))</f>
        <v/>
      </c>
      <c r="K1614">
        <f>IF(OR($F1614="",$J1614="",$J1614="نامعتبر"),"",LEFT($J1614,4)&amp;MID($J1614,6,2)&amp;RIGHT($J1614,2)&amp;$N1614&amp;"|"&amp;"2"&amp;RIGHT("00000"&amp;1609,5))</f>
        <v/>
      </c>
      <c r="L1614">
        <f>IF($K1614="","",COUNTIFS(LdgPartyA,$F1614,LdgKeyA,"&lt;"&amp;$K1614)+COUNTIFS(LdgPartyB,$F1614,LdgKeyB,"&lt;"&amp;$K1614)+1)</f>
        <v/>
      </c>
      <c r="M1614">
        <f>IF($L1614="","",$F1614&amp;"|"&amp;RIGHT("000000"&amp;$L1614,6))</f>
        <v/>
      </c>
      <c r="N1614">
        <f>IF($F1614="","",IF(Sync!$AH1614="","0000",IF(AND(ISNUMBER(Sync!$AH1614),Sync!$AH1614&gt;=0,Sync!$AH1614&lt;1),RIGHT("00"&amp;HOUR(Sync!$AH1614),2)&amp;RIGHT("00"&amp;MINUTE(Sync!$AH1614),2),IFERROR(RIGHT("00"&amp;VALUE(LEFT(Sync!$AH1614,FIND(":",Sync!$AH1614)-1)),2)&amp;RIGHT("00"&amp;VALUE(MID(Sync!$AH1614,FIND(":",Sync!$AH1614)+1,2)),2),"0000"))))</f>
        <v/>
      </c>
    </row>
    <row r="1615">
      <c r="A1615">
        <f>IF(OR(Calc!$E1618="",Calc!$E1618="نامعتبر",Calc!$G1618="",Calc!$I1618&lt;&gt;"خرید"),"",Calc!$G1618)</f>
        <v/>
      </c>
      <c r="B1615">
        <f>IF($A1615="","",LEFT(Calc!$E1618,4)&amp;MID(Calc!$E1618,6,2)&amp;RIGHT(Calc!$E1618,2)&amp;Calc!$R1618&amp;"|"&amp;"1"&amp;RIGHT("00000"&amp;1610,5))</f>
        <v/>
      </c>
      <c r="C1615">
        <f>IF($B1615="","",COUNTIFS(LdgPartyA,$A1615,LdgKeyA,"&lt;"&amp;$B1615)+COUNTIFS(LdgPartyB,$A1615,LdgKeyB,"&lt;"&amp;$B1615)+1)</f>
        <v/>
      </c>
      <c r="D1615">
        <f>IF($C1615="","",$A1615&amp;"|"&amp;RIGHT("000000"&amp;$C1615,6))</f>
        <v/>
      </c>
      <c r="F1615">
        <f>IF(Sync!$AJ1615="","",Sync!$AJ1615)</f>
        <v/>
      </c>
      <c r="G1615">
        <f>IF($F1615="","",IF(Sync!$AG1615="","",IF(ISNUMBER(Sync!$AG1615),IF(AND(Sync!$AG1615&gt;=10000101,Sync!$AG1615&lt;=99991231),INT(Sync!$AG1615/10000),""),IFERROR(VALUE(TRIM(LEFT(Sync!$AG1615,FIND("/",Sync!$AG1615)-1))),""))))</f>
        <v/>
      </c>
      <c r="H1615">
        <f>IF(OR($F1615="",$G1615=""),"",IF(ISNUMBER(Sync!$AG1615),INT(MOD(Sync!$AG1615,10000)/100),IFERROR(VALUE(TRIM(LEFT(MID(Sync!$AG1615,FIND("/",Sync!$AG1615)+1,20),FIND("/",MID(Sync!$AG1615,FIND("/",Sync!$AG1615)+1,20))-1))),"")))</f>
        <v/>
      </c>
      <c r="I1615">
        <f>IF(OR($F1615="",$G1615=""),"",IF(ISNUMBER(Sync!$AG1615),MOD(Sync!$AG1615,100),IFERROR(VALUE(TRIM(MID(MID(Sync!$AG1615,FIND("/",Sync!$AG1615)+1,20),FIND("/",MID(Sync!$AG1615,FIND("/",Sync!$AG1615)+1,20))+1,20))),"")))</f>
        <v/>
      </c>
      <c r="J1615">
        <f>IF($F1615="","",IF(OR($G1615="",$H1615="",$I1615="",$G1615&lt;1300,$G1615&gt;1500,$H1615&lt;1,$H1615&gt;12,$I1615&lt;1,$I1615&gt;31),"نامعتبر",RIGHT("0000"&amp;$G1615,4)&amp;"/"&amp;RIGHT("00"&amp;$H1615,2)&amp;"/"&amp;RIGHT("00"&amp;$I1615,2)))</f>
        <v/>
      </c>
      <c r="K1615">
        <f>IF(OR($F1615="",$J1615="",$J1615="نامعتبر"),"",LEFT($J1615,4)&amp;MID($J1615,6,2)&amp;RIGHT($J1615,2)&amp;$N1615&amp;"|"&amp;"2"&amp;RIGHT("00000"&amp;1610,5))</f>
        <v/>
      </c>
      <c r="L1615">
        <f>IF($K1615="","",COUNTIFS(LdgPartyA,$F1615,LdgKeyA,"&lt;"&amp;$K1615)+COUNTIFS(LdgPartyB,$F1615,LdgKeyB,"&lt;"&amp;$K1615)+1)</f>
        <v/>
      </c>
      <c r="M1615">
        <f>IF($L1615="","",$F1615&amp;"|"&amp;RIGHT("000000"&amp;$L1615,6))</f>
        <v/>
      </c>
      <c r="N1615">
        <f>IF($F1615="","",IF(Sync!$AH1615="","0000",IF(AND(ISNUMBER(Sync!$AH1615),Sync!$AH1615&gt;=0,Sync!$AH1615&lt;1),RIGHT("00"&amp;HOUR(Sync!$AH1615),2)&amp;RIGHT("00"&amp;MINUTE(Sync!$AH1615),2),IFERROR(RIGHT("00"&amp;VALUE(LEFT(Sync!$AH1615,FIND(":",Sync!$AH1615)-1)),2)&amp;RIGHT("00"&amp;VALUE(MID(Sync!$AH1615,FIND(":",Sync!$AH1615)+1,2)),2),"0000"))))</f>
        <v/>
      </c>
    </row>
    <row r="1616">
      <c r="A1616">
        <f>IF(OR(Calc!$E1619="",Calc!$E1619="نامعتبر",Calc!$G1619="",Calc!$I1619&lt;&gt;"خرید"),"",Calc!$G1619)</f>
        <v/>
      </c>
      <c r="B1616">
        <f>IF($A1616="","",LEFT(Calc!$E1619,4)&amp;MID(Calc!$E1619,6,2)&amp;RIGHT(Calc!$E1619,2)&amp;Calc!$R1619&amp;"|"&amp;"1"&amp;RIGHT("00000"&amp;1611,5))</f>
        <v/>
      </c>
      <c r="C1616">
        <f>IF($B1616="","",COUNTIFS(LdgPartyA,$A1616,LdgKeyA,"&lt;"&amp;$B1616)+COUNTIFS(LdgPartyB,$A1616,LdgKeyB,"&lt;"&amp;$B1616)+1)</f>
        <v/>
      </c>
      <c r="D1616">
        <f>IF($C1616="","",$A1616&amp;"|"&amp;RIGHT("000000"&amp;$C1616,6))</f>
        <v/>
      </c>
      <c r="F1616">
        <f>IF(Sync!$AJ1616="","",Sync!$AJ1616)</f>
        <v/>
      </c>
      <c r="G1616">
        <f>IF($F1616="","",IF(Sync!$AG1616="","",IF(ISNUMBER(Sync!$AG1616),IF(AND(Sync!$AG1616&gt;=10000101,Sync!$AG1616&lt;=99991231),INT(Sync!$AG1616/10000),""),IFERROR(VALUE(TRIM(LEFT(Sync!$AG1616,FIND("/",Sync!$AG1616)-1))),""))))</f>
        <v/>
      </c>
      <c r="H1616">
        <f>IF(OR($F1616="",$G1616=""),"",IF(ISNUMBER(Sync!$AG1616),INT(MOD(Sync!$AG1616,10000)/100),IFERROR(VALUE(TRIM(LEFT(MID(Sync!$AG1616,FIND("/",Sync!$AG1616)+1,20),FIND("/",MID(Sync!$AG1616,FIND("/",Sync!$AG1616)+1,20))-1))),"")))</f>
        <v/>
      </c>
      <c r="I1616">
        <f>IF(OR($F1616="",$G1616=""),"",IF(ISNUMBER(Sync!$AG1616),MOD(Sync!$AG1616,100),IFERROR(VALUE(TRIM(MID(MID(Sync!$AG1616,FIND("/",Sync!$AG1616)+1,20),FIND("/",MID(Sync!$AG1616,FIND("/",Sync!$AG1616)+1,20))+1,20))),"")))</f>
        <v/>
      </c>
      <c r="J1616">
        <f>IF($F1616="","",IF(OR($G1616="",$H1616="",$I1616="",$G1616&lt;1300,$G1616&gt;1500,$H1616&lt;1,$H1616&gt;12,$I1616&lt;1,$I1616&gt;31),"نامعتبر",RIGHT("0000"&amp;$G1616,4)&amp;"/"&amp;RIGHT("00"&amp;$H1616,2)&amp;"/"&amp;RIGHT("00"&amp;$I1616,2)))</f>
        <v/>
      </c>
      <c r="K1616">
        <f>IF(OR($F1616="",$J1616="",$J1616="نامعتبر"),"",LEFT($J1616,4)&amp;MID($J1616,6,2)&amp;RIGHT($J1616,2)&amp;$N1616&amp;"|"&amp;"2"&amp;RIGHT("00000"&amp;1611,5))</f>
        <v/>
      </c>
      <c r="L1616">
        <f>IF($K1616="","",COUNTIFS(LdgPartyA,$F1616,LdgKeyA,"&lt;"&amp;$K1616)+COUNTIFS(LdgPartyB,$F1616,LdgKeyB,"&lt;"&amp;$K1616)+1)</f>
        <v/>
      </c>
      <c r="M1616">
        <f>IF($L1616="","",$F1616&amp;"|"&amp;RIGHT("000000"&amp;$L1616,6))</f>
        <v/>
      </c>
      <c r="N1616">
        <f>IF($F1616="","",IF(Sync!$AH1616="","0000",IF(AND(ISNUMBER(Sync!$AH1616),Sync!$AH1616&gt;=0,Sync!$AH1616&lt;1),RIGHT("00"&amp;HOUR(Sync!$AH1616),2)&amp;RIGHT("00"&amp;MINUTE(Sync!$AH1616),2),IFERROR(RIGHT("00"&amp;VALUE(LEFT(Sync!$AH1616,FIND(":",Sync!$AH1616)-1)),2)&amp;RIGHT("00"&amp;VALUE(MID(Sync!$AH1616,FIND(":",Sync!$AH1616)+1,2)),2),"0000"))))</f>
        <v/>
      </c>
    </row>
    <row r="1617">
      <c r="A1617">
        <f>IF(OR(Calc!$E1620="",Calc!$E1620="نامعتبر",Calc!$G1620="",Calc!$I1620&lt;&gt;"خرید"),"",Calc!$G1620)</f>
        <v/>
      </c>
      <c r="B1617">
        <f>IF($A1617="","",LEFT(Calc!$E1620,4)&amp;MID(Calc!$E1620,6,2)&amp;RIGHT(Calc!$E1620,2)&amp;Calc!$R1620&amp;"|"&amp;"1"&amp;RIGHT("00000"&amp;1612,5))</f>
        <v/>
      </c>
      <c r="C1617">
        <f>IF($B1617="","",COUNTIFS(LdgPartyA,$A1617,LdgKeyA,"&lt;"&amp;$B1617)+COUNTIFS(LdgPartyB,$A1617,LdgKeyB,"&lt;"&amp;$B1617)+1)</f>
        <v/>
      </c>
      <c r="D1617">
        <f>IF($C1617="","",$A1617&amp;"|"&amp;RIGHT("000000"&amp;$C1617,6))</f>
        <v/>
      </c>
      <c r="F1617">
        <f>IF(Sync!$AJ1617="","",Sync!$AJ1617)</f>
        <v/>
      </c>
      <c r="G1617">
        <f>IF($F1617="","",IF(Sync!$AG1617="","",IF(ISNUMBER(Sync!$AG1617),IF(AND(Sync!$AG1617&gt;=10000101,Sync!$AG1617&lt;=99991231),INT(Sync!$AG1617/10000),""),IFERROR(VALUE(TRIM(LEFT(Sync!$AG1617,FIND("/",Sync!$AG1617)-1))),""))))</f>
        <v/>
      </c>
      <c r="H1617">
        <f>IF(OR($F1617="",$G1617=""),"",IF(ISNUMBER(Sync!$AG1617),INT(MOD(Sync!$AG1617,10000)/100),IFERROR(VALUE(TRIM(LEFT(MID(Sync!$AG1617,FIND("/",Sync!$AG1617)+1,20),FIND("/",MID(Sync!$AG1617,FIND("/",Sync!$AG1617)+1,20))-1))),"")))</f>
        <v/>
      </c>
      <c r="I1617">
        <f>IF(OR($F1617="",$G1617=""),"",IF(ISNUMBER(Sync!$AG1617),MOD(Sync!$AG1617,100),IFERROR(VALUE(TRIM(MID(MID(Sync!$AG1617,FIND("/",Sync!$AG1617)+1,20),FIND("/",MID(Sync!$AG1617,FIND("/",Sync!$AG1617)+1,20))+1,20))),"")))</f>
        <v/>
      </c>
      <c r="J1617">
        <f>IF($F1617="","",IF(OR($G1617="",$H1617="",$I1617="",$G1617&lt;1300,$G1617&gt;1500,$H1617&lt;1,$H1617&gt;12,$I1617&lt;1,$I1617&gt;31),"نامعتبر",RIGHT("0000"&amp;$G1617,4)&amp;"/"&amp;RIGHT("00"&amp;$H1617,2)&amp;"/"&amp;RIGHT("00"&amp;$I1617,2)))</f>
        <v/>
      </c>
      <c r="K1617">
        <f>IF(OR($F1617="",$J1617="",$J1617="نامعتبر"),"",LEFT($J1617,4)&amp;MID($J1617,6,2)&amp;RIGHT($J1617,2)&amp;$N1617&amp;"|"&amp;"2"&amp;RIGHT("00000"&amp;1612,5))</f>
        <v/>
      </c>
      <c r="L1617">
        <f>IF($K1617="","",COUNTIFS(LdgPartyA,$F1617,LdgKeyA,"&lt;"&amp;$K1617)+COUNTIFS(LdgPartyB,$F1617,LdgKeyB,"&lt;"&amp;$K1617)+1)</f>
        <v/>
      </c>
      <c r="M1617">
        <f>IF($L1617="","",$F1617&amp;"|"&amp;RIGHT("000000"&amp;$L1617,6))</f>
        <v/>
      </c>
      <c r="N1617">
        <f>IF($F1617="","",IF(Sync!$AH1617="","0000",IF(AND(ISNUMBER(Sync!$AH1617),Sync!$AH1617&gt;=0,Sync!$AH1617&lt;1),RIGHT("00"&amp;HOUR(Sync!$AH1617),2)&amp;RIGHT("00"&amp;MINUTE(Sync!$AH1617),2),IFERROR(RIGHT("00"&amp;VALUE(LEFT(Sync!$AH1617,FIND(":",Sync!$AH1617)-1)),2)&amp;RIGHT("00"&amp;VALUE(MID(Sync!$AH1617,FIND(":",Sync!$AH1617)+1,2)),2),"0000"))))</f>
        <v/>
      </c>
    </row>
    <row r="1618">
      <c r="A1618">
        <f>IF(OR(Calc!$E1621="",Calc!$E1621="نامعتبر",Calc!$G1621="",Calc!$I1621&lt;&gt;"خرید"),"",Calc!$G1621)</f>
        <v/>
      </c>
      <c r="B1618">
        <f>IF($A1618="","",LEFT(Calc!$E1621,4)&amp;MID(Calc!$E1621,6,2)&amp;RIGHT(Calc!$E1621,2)&amp;Calc!$R1621&amp;"|"&amp;"1"&amp;RIGHT("00000"&amp;1613,5))</f>
        <v/>
      </c>
      <c r="C1618">
        <f>IF($B1618="","",COUNTIFS(LdgPartyA,$A1618,LdgKeyA,"&lt;"&amp;$B1618)+COUNTIFS(LdgPartyB,$A1618,LdgKeyB,"&lt;"&amp;$B1618)+1)</f>
        <v/>
      </c>
      <c r="D1618">
        <f>IF($C1618="","",$A1618&amp;"|"&amp;RIGHT("000000"&amp;$C1618,6))</f>
        <v/>
      </c>
      <c r="F1618">
        <f>IF(Sync!$AJ1618="","",Sync!$AJ1618)</f>
        <v/>
      </c>
      <c r="G1618">
        <f>IF($F1618="","",IF(Sync!$AG1618="","",IF(ISNUMBER(Sync!$AG1618),IF(AND(Sync!$AG1618&gt;=10000101,Sync!$AG1618&lt;=99991231),INT(Sync!$AG1618/10000),""),IFERROR(VALUE(TRIM(LEFT(Sync!$AG1618,FIND("/",Sync!$AG1618)-1))),""))))</f>
        <v/>
      </c>
      <c r="H1618">
        <f>IF(OR($F1618="",$G1618=""),"",IF(ISNUMBER(Sync!$AG1618),INT(MOD(Sync!$AG1618,10000)/100),IFERROR(VALUE(TRIM(LEFT(MID(Sync!$AG1618,FIND("/",Sync!$AG1618)+1,20),FIND("/",MID(Sync!$AG1618,FIND("/",Sync!$AG1618)+1,20))-1))),"")))</f>
        <v/>
      </c>
      <c r="I1618">
        <f>IF(OR($F1618="",$G1618=""),"",IF(ISNUMBER(Sync!$AG1618),MOD(Sync!$AG1618,100),IFERROR(VALUE(TRIM(MID(MID(Sync!$AG1618,FIND("/",Sync!$AG1618)+1,20),FIND("/",MID(Sync!$AG1618,FIND("/",Sync!$AG1618)+1,20))+1,20))),"")))</f>
        <v/>
      </c>
      <c r="J1618">
        <f>IF($F1618="","",IF(OR($G1618="",$H1618="",$I1618="",$G1618&lt;1300,$G1618&gt;1500,$H1618&lt;1,$H1618&gt;12,$I1618&lt;1,$I1618&gt;31),"نامعتبر",RIGHT("0000"&amp;$G1618,4)&amp;"/"&amp;RIGHT("00"&amp;$H1618,2)&amp;"/"&amp;RIGHT("00"&amp;$I1618,2)))</f>
        <v/>
      </c>
      <c r="K1618">
        <f>IF(OR($F1618="",$J1618="",$J1618="نامعتبر"),"",LEFT($J1618,4)&amp;MID($J1618,6,2)&amp;RIGHT($J1618,2)&amp;$N1618&amp;"|"&amp;"2"&amp;RIGHT("00000"&amp;1613,5))</f>
        <v/>
      </c>
      <c r="L1618">
        <f>IF($K1618="","",COUNTIFS(LdgPartyA,$F1618,LdgKeyA,"&lt;"&amp;$K1618)+COUNTIFS(LdgPartyB,$F1618,LdgKeyB,"&lt;"&amp;$K1618)+1)</f>
        <v/>
      </c>
      <c r="M1618">
        <f>IF($L1618="","",$F1618&amp;"|"&amp;RIGHT("000000"&amp;$L1618,6))</f>
        <v/>
      </c>
      <c r="N1618">
        <f>IF($F1618="","",IF(Sync!$AH1618="","0000",IF(AND(ISNUMBER(Sync!$AH1618),Sync!$AH1618&gt;=0,Sync!$AH1618&lt;1),RIGHT("00"&amp;HOUR(Sync!$AH1618),2)&amp;RIGHT("00"&amp;MINUTE(Sync!$AH1618),2),IFERROR(RIGHT("00"&amp;VALUE(LEFT(Sync!$AH1618,FIND(":",Sync!$AH1618)-1)),2)&amp;RIGHT("00"&amp;VALUE(MID(Sync!$AH1618,FIND(":",Sync!$AH1618)+1,2)),2),"0000"))))</f>
        <v/>
      </c>
    </row>
    <row r="1619">
      <c r="A1619">
        <f>IF(OR(Calc!$E1622="",Calc!$E1622="نامعتبر",Calc!$G1622="",Calc!$I1622&lt;&gt;"خرید"),"",Calc!$G1622)</f>
        <v/>
      </c>
      <c r="B1619">
        <f>IF($A1619="","",LEFT(Calc!$E1622,4)&amp;MID(Calc!$E1622,6,2)&amp;RIGHT(Calc!$E1622,2)&amp;Calc!$R1622&amp;"|"&amp;"1"&amp;RIGHT("00000"&amp;1614,5))</f>
        <v/>
      </c>
      <c r="C1619">
        <f>IF($B1619="","",COUNTIFS(LdgPartyA,$A1619,LdgKeyA,"&lt;"&amp;$B1619)+COUNTIFS(LdgPartyB,$A1619,LdgKeyB,"&lt;"&amp;$B1619)+1)</f>
        <v/>
      </c>
      <c r="D1619">
        <f>IF($C1619="","",$A1619&amp;"|"&amp;RIGHT("000000"&amp;$C1619,6))</f>
        <v/>
      </c>
      <c r="F1619">
        <f>IF(Sync!$AJ1619="","",Sync!$AJ1619)</f>
        <v/>
      </c>
      <c r="G1619">
        <f>IF($F1619="","",IF(Sync!$AG1619="","",IF(ISNUMBER(Sync!$AG1619),IF(AND(Sync!$AG1619&gt;=10000101,Sync!$AG1619&lt;=99991231),INT(Sync!$AG1619/10000),""),IFERROR(VALUE(TRIM(LEFT(Sync!$AG1619,FIND("/",Sync!$AG1619)-1))),""))))</f>
        <v/>
      </c>
      <c r="H1619">
        <f>IF(OR($F1619="",$G1619=""),"",IF(ISNUMBER(Sync!$AG1619),INT(MOD(Sync!$AG1619,10000)/100),IFERROR(VALUE(TRIM(LEFT(MID(Sync!$AG1619,FIND("/",Sync!$AG1619)+1,20),FIND("/",MID(Sync!$AG1619,FIND("/",Sync!$AG1619)+1,20))-1))),"")))</f>
        <v/>
      </c>
      <c r="I1619">
        <f>IF(OR($F1619="",$G1619=""),"",IF(ISNUMBER(Sync!$AG1619),MOD(Sync!$AG1619,100),IFERROR(VALUE(TRIM(MID(MID(Sync!$AG1619,FIND("/",Sync!$AG1619)+1,20),FIND("/",MID(Sync!$AG1619,FIND("/",Sync!$AG1619)+1,20))+1,20))),"")))</f>
        <v/>
      </c>
      <c r="J1619">
        <f>IF($F1619="","",IF(OR($G1619="",$H1619="",$I1619="",$G1619&lt;1300,$G1619&gt;1500,$H1619&lt;1,$H1619&gt;12,$I1619&lt;1,$I1619&gt;31),"نامعتبر",RIGHT("0000"&amp;$G1619,4)&amp;"/"&amp;RIGHT("00"&amp;$H1619,2)&amp;"/"&amp;RIGHT("00"&amp;$I1619,2)))</f>
        <v/>
      </c>
      <c r="K1619">
        <f>IF(OR($F1619="",$J1619="",$J1619="نامعتبر"),"",LEFT($J1619,4)&amp;MID($J1619,6,2)&amp;RIGHT($J1619,2)&amp;$N1619&amp;"|"&amp;"2"&amp;RIGHT("00000"&amp;1614,5))</f>
        <v/>
      </c>
      <c r="L1619">
        <f>IF($K1619="","",COUNTIFS(LdgPartyA,$F1619,LdgKeyA,"&lt;"&amp;$K1619)+COUNTIFS(LdgPartyB,$F1619,LdgKeyB,"&lt;"&amp;$K1619)+1)</f>
        <v/>
      </c>
      <c r="M1619">
        <f>IF($L1619="","",$F1619&amp;"|"&amp;RIGHT("000000"&amp;$L1619,6))</f>
        <v/>
      </c>
      <c r="N1619">
        <f>IF($F1619="","",IF(Sync!$AH1619="","0000",IF(AND(ISNUMBER(Sync!$AH1619),Sync!$AH1619&gt;=0,Sync!$AH1619&lt;1),RIGHT("00"&amp;HOUR(Sync!$AH1619),2)&amp;RIGHT("00"&amp;MINUTE(Sync!$AH1619),2),IFERROR(RIGHT("00"&amp;VALUE(LEFT(Sync!$AH1619,FIND(":",Sync!$AH1619)-1)),2)&amp;RIGHT("00"&amp;VALUE(MID(Sync!$AH1619,FIND(":",Sync!$AH1619)+1,2)),2),"0000"))))</f>
        <v/>
      </c>
    </row>
    <row r="1620">
      <c r="A1620">
        <f>IF(OR(Calc!$E1623="",Calc!$E1623="نامعتبر",Calc!$G1623="",Calc!$I1623&lt;&gt;"خرید"),"",Calc!$G1623)</f>
        <v/>
      </c>
      <c r="B1620">
        <f>IF($A1620="","",LEFT(Calc!$E1623,4)&amp;MID(Calc!$E1623,6,2)&amp;RIGHT(Calc!$E1623,2)&amp;Calc!$R1623&amp;"|"&amp;"1"&amp;RIGHT("00000"&amp;1615,5))</f>
        <v/>
      </c>
      <c r="C1620">
        <f>IF($B1620="","",COUNTIFS(LdgPartyA,$A1620,LdgKeyA,"&lt;"&amp;$B1620)+COUNTIFS(LdgPartyB,$A1620,LdgKeyB,"&lt;"&amp;$B1620)+1)</f>
        <v/>
      </c>
      <c r="D1620">
        <f>IF($C1620="","",$A1620&amp;"|"&amp;RIGHT("000000"&amp;$C1620,6))</f>
        <v/>
      </c>
      <c r="F1620">
        <f>IF(Sync!$AJ1620="","",Sync!$AJ1620)</f>
        <v/>
      </c>
      <c r="G1620">
        <f>IF($F1620="","",IF(Sync!$AG1620="","",IF(ISNUMBER(Sync!$AG1620),IF(AND(Sync!$AG1620&gt;=10000101,Sync!$AG1620&lt;=99991231),INT(Sync!$AG1620/10000),""),IFERROR(VALUE(TRIM(LEFT(Sync!$AG1620,FIND("/",Sync!$AG1620)-1))),""))))</f>
        <v/>
      </c>
      <c r="H1620">
        <f>IF(OR($F1620="",$G1620=""),"",IF(ISNUMBER(Sync!$AG1620),INT(MOD(Sync!$AG1620,10000)/100),IFERROR(VALUE(TRIM(LEFT(MID(Sync!$AG1620,FIND("/",Sync!$AG1620)+1,20),FIND("/",MID(Sync!$AG1620,FIND("/",Sync!$AG1620)+1,20))-1))),"")))</f>
        <v/>
      </c>
      <c r="I1620">
        <f>IF(OR($F1620="",$G1620=""),"",IF(ISNUMBER(Sync!$AG1620),MOD(Sync!$AG1620,100),IFERROR(VALUE(TRIM(MID(MID(Sync!$AG1620,FIND("/",Sync!$AG1620)+1,20),FIND("/",MID(Sync!$AG1620,FIND("/",Sync!$AG1620)+1,20))+1,20))),"")))</f>
        <v/>
      </c>
      <c r="J1620">
        <f>IF($F1620="","",IF(OR($G1620="",$H1620="",$I1620="",$G1620&lt;1300,$G1620&gt;1500,$H1620&lt;1,$H1620&gt;12,$I1620&lt;1,$I1620&gt;31),"نامعتبر",RIGHT("0000"&amp;$G1620,4)&amp;"/"&amp;RIGHT("00"&amp;$H1620,2)&amp;"/"&amp;RIGHT("00"&amp;$I1620,2)))</f>
        <v/>
      </c>
      <c r="K1620">
        <f>IF(OR($F1620="",$J1620="",$J1620="نامعتبر"),"",LEFT($J1620,4)&amp;MID($J1620,6,2)&amp;RIGHT($J1620,2)&amp;$N1620&amp;"|"&amp;"2"&amp;RIGHT("00000"&amp;1615,5))</f>
        <v/>
      </c>
      <c r="L1620">
        <f>IF($K1620="","",COUNTIFS(LdgPartyA,$F1620,LdgKeyA,"&lt;"&amp;$K1620)+COUNTIFS(LdgPartyB,$F1620,LdgKeyB,"&lt;"&amp;$K1620)+1)</f>
        <v/>
      </c>
      <c r="M1620">
        <f>IF($L1620="","",$F1620&amp;"|"&amp;RIGHT("000000"&amp;$L1620,6))</f>
        <v/>
      </c>
      <c r="N1620">
        <f>IF($F1620="","",IF(Sync!$AH1620="","0000",IF(AND(ISNUMBER(Sync!$AH1620),Sync!$AH1620&gt;=0,Sync!$AH1620&lt;1),RIGHT("00"&amp;HOUR(Sync!$AH1620),2)&amp;RIGHT("00"&amp;MINUTE(Sync!$AH1620),2),IFERROR(RIGHT("00"&amp;VALUE(LEFT(Sync!$AH1620,FIND(":",Sync!$AH1620)-1)),2)&amp;RIGHT("00"&amp;VALUE(MID(Sync!$AH1620,FIND(":",Sync!$AH1620)+1,2)),2),"0000"))))</f>
        <v/>
      </c>
    </row>
    <row r="1621">
      <c r="A1621">
        <f>IF(OR(Calc!$E1624="",Calc!$E1624="نامعتبر",Calc!$G1624="",Calc!$I1624&lt;&gt;"خرید"),"",Calc!$G1624)</f>
        <v/>
      </c>
      <c r="B1621">
        <f>IF($A1621="","",LEFT(Calc!$E1624,4)&amp;MID(Calc!$E1624,6,2)&amp;RIGHT(Calc!$E1624,2)&amp;Calc!$R1624&amp;"|"&amp;"1"&amp;RIGHT("00000"&amp;1616,5))</f>
        <v/>
      </c>
      <c r="C1621">
        <f>IF($B1621="","",COUNTIFS(LdgPartyA,$A1621,LdgKeyA,"&lt;"&amp;$B1621)+COUNTIFS(LdgPartyB,$A1621,LdgKeyB,"&lt;"&amp;$B1621)+1)</f>
        <v/>
      </c>
      <c r="D1621">
        <f>IF($C1621="","",$A1621&amp;"|"&amp;RIGHT("000000"&amp;$C1621,6))</f>
        <v/>
      </c>
      <c r="F1621">
        <f>IF(Sync!$AJ1621="","",Sync!$AJ1621)</f>
        <v/>
      </c>
      <c r="G1621">
        <f>IF($F1621="","",IF(Sync!$AG1621="","",IF(ISNUMBER(Sync!$AG1621),IF(AND(Sync!$AG1621&gt;=10000101,Sync!$AG1621&lt;=99991231),INT(Sync!$AG1621/10000),""),IFERROR(VALUE(TRIM(LEFT(Sync!$AG1621,FIND("/",Sync!$AG1621)-1))),""))))</f>
        <v/>
      </c>
      <c r="H1621">
        <f>IF(OR($F1621="",$G1621=""),"",IF(ISNUMBER(Sync!$AG1621),INT(MOD(Sync!$AG1621,10000)/100),IFERROR(VALUE(TRIM(LEFT(MID(Sync!$AG1621,FIND("/",Sync!$AG1621)+1,20),FIND("/",MID(Sync!$AG1621,FIND("/",Sync!$AG1621)+1,20))-1))),"")))</f>
        <v/>
      </c>
      <c r="I1621">
        <f>IF(OR($F1621="",$G1621=""),"",IF(ISNUMBER(Sync!$AG1621),MOD(Sync!$AG1621,100),IFERROR(VALUE(TRIM(MID(MID(Sync!$AG1621,FIND("/",Sync!$AG1621)+1,20),FIND("/",MID(Sync!$AG1621,FIND("/",Sync!$AG1621)+1,20))+1,20))),"")))</f>
        <v/>
      </c>
      <c r="J1621">
        <f>IF($F1621="","",IF(OR($G1621="",$H1621="",$I1621="",$G1621&lt;1300,$G1621&gt;1500,$H1621&lt;1,$H1621&gt;12,$I1621&lt;1,$I1621&gt;31),"نامعتبر",RIGHT("0000"&amp;$G1621,4)&amp;"/"&amp;RIGHT("00"&amp;$H1621,2)&amp;"/"&amp;RIGHT("00"&amp;$I1621,2)))</f>
        <v/>
      </c>
      <c r="K1621">
        <f>IF(OR($F1621="",$J1621="",$J1621="نامعتبر"),"",LEFT($J1621,4)&amp;MID($J1621,6,2)&amp;RIGHT($J1621,2)&amp;$N1621&amp;"|"&amp;"2"&amp;RIGHT("00000"&amp;1616,5))</f>
        <v/>
      </c>
      <c r="L1621">
        <f>IF($K1621="","",COUNTIFS(LdgPartyA,$F1621,LdgKeyA,"&lt;"&amp;$K1621)+COUNTIFS(LdgPartyB,$F1621,LdgKeyB,"&lt;"&amp;$K1621)+1)</f>
        <v/>
      </c>
      <c r="M1621">
        <f>IF($L1621="","",$F1621&amp;"|"&amp;RIGHT("000000"&amp;$L1621,6))</f>
        <v/>
      </c>
      <c r="N1621">
        <f>IF($F1621="","",IF(Sync!$AH1621="","0000",IF(AND(ISNUMBER(Sync!$AH1621),Sync!$AH1621&gt;=0,Sync!$AH1621&lt;1),RIGHT("00"&amp;HOUR(Sync!$AH1621),2)&amp;RIGHT("00"&amp;MINUTE(Sync!$AH1621),2),IFERROR(RIGHT("00"&amp;VALUE(LEFT(Sync!$AH1621,FIND(":",Sync!$AH1621)-1)),2)&amp;RIGHT("00"&amp;VALUE(MID(Sync!$AH1621,FIND(":",Sync!$AH1621)+1,2)),2),"0000"))))</f>
        <v/>
      </c>
    </row>
    <row r="1622">
      <c r="A1622">
        <f>IF(OR(Calc!$E1625="",Calc!$E1625="نامعتبر",Calc!$G1625="",Calc!$I1625&lt;&gt;"خرید"),"",Calc!$G1625)</f>
        <v/>
      </c>
      <c r="B1622">
        <f>IF($A1622="","",LEFT(Calc!$E1625,4)&amp;MID(Calc!$E1625,6,2)&amp;RIGHT(Calc!$E1625,2)&amp;Calc!$R1625&amp;"|"&amp;"1"&amp;RIGHT("00000"&amp;1617,5))</f>
        <v/>
      </c>
      <c r="C1622">
        <f>IF($B1622="","",COUNTIFS(LdgPartyA,$A1622,LdgKeyA,"&lt;"&amp;$B1622)+COUNTIFS(LdgPartyB,$A1622,LdgKeyB,"&lt;"&amp;$B1622)+1)</f>
        <v/>
      </c>
      <c r="D1622">
        <f>IF($C1622="","",$A1622&amp;"|"&amp;RIGHT("000000"&amp;$C1622,6))</f>
        <v/>
      </c>
      <c r="F1622">
        <f>IF(Sync!$AJ1622="","",Sync!$AJ1622)</f>
        <v/>
      </c>
      <c r="G1622">
        <f>IF($F1622="","",IF(Sync!$AG1622="","",IF(ISNUMBER(Sync!$AG1622),IF(AND(Sync!$AG1622&gt;=10000101,Sync!$AG1622&lt;=99991231),INT(Sync!$AG1622/10000),""),IFERROR(VALUE(TRIM(LEFT(Sync!$AG1622,FIND("/",Sync!$AG1622)-1))),""))))</f>
        <v/>
      </c>
      <c r="H1622">
        <f>IF(OR($F1622="",$G1622=""),"",IF(ISNUMBER(Sync!$AG1622),INT(MOD(Sync!$AG1622,10000)/100),IFERROR(VALUE(TRIM(LEFT(MID(Sync!$AG1622,FIND("/",Sync!$AG1622)+1,20),FIND("/",MID(Sync!$AG1622,FIND("/",Sync!$AG1622)+1,20))-1))),"")))</f>
        <v/>
      </c>
      <c r="I1622">
        <f>IF(OR($F1622="",$G1622=""),"",IF(ISNUMBER(Sync!$AG1622),MOD(Sync!$AG1622,100),IFERROR(VALUE(TRIM(MID(MID(Sync!$AG1622,FIND("/",Sync!$AG1622)+1,20),FIND("/",MID(Sync!$AG1622,FIND("/",Sync!$AG1622)+1,20))+1,20))),"")))</f>
        <v/>
      </c>
      <c r="J1622">
        <f>IF($F1622="","",IF(OR($G1622="",$H1622="",$I1622="",$G1622&lt;1300,$G1622&gt;1500,$H1622&lt;1,$H1622&gt;12,$I1622&lt;1,$I1622&gt;31),"نامعتبر",RIGHT("0000"&amp;$G1622,4)&amp;"/"&amp;RIGHT("00"&amp;$H1622,2)&amp;"/"&amp;RIGHT("00"&amp;$I1622,2)))</f>
        <v/>
      </c>
      <c r="K1622">
        <f>IF(OR($F1622="",$J1622="",$J1622="نامعتبر"),"",LEFT($J1622,4)&amp;MID($J1622,6,2)&amp;RIGHT($J1622,2)&amp;$N1622&amp;"|"&amp;"2"&amp;RIGHT("00000"&amp;1617,5))</f>
        <v/>
      </c>
      <c r="L1622">
        <f>IF($K1622="","",COUNTIFS(LdgPartyA,$F1622,LdgKeyA,"&lt;"&amp;$K1622)+COUNTIFS(LdgPartyB,$F1622,LdgKeyB,"&lt;"&amp;$K1622)+1)</f>
        <v/>
      </c>
      <c r="M1622">
        <f>IF($L1622="","",$F1622&amp;"|"&amp;RIGHT("000000"&amp;$L1622,6))</f>
        <v/>
      </c>
      <c r="N1622">
        <f>IF($F1622="","",IF(Sync!$AH1622="","0000",IF(AND(ISNUMBER(Sync!$AH1622),Sync!$AH1622&gt;=0,Sync!$AH1622&lt;1),RIGHT("00"&amp;HOUR(Sync!$AH1622),2)&amp;RIGHT("00"&amp;MINUTE(Sync!$AH1622),2),IFERROR(RIGHT("00"&amp;VALUE(LEFT(Sync!$AH1622,FIND(":",Sync!$AH1622)-1)),2)&amp;RIGHT("00"&amp;VALUE(MID(Sync!$AH1622,FIND(":",Sync!$AH1622)+1,2)),2),"0000"))))</f>
        <v/>
      </c>
    </row>
    <row r="1623">
      <c r="A1623">
        <f>IF(OR(Calc!$E1626="",Calc!$E1626="نامعتبر",Calc!$G1626="",Calc!$I1626&lt;&gt;"خرید"),"",Calc!$G1626)</f>
        <v/>
      </c>
      <c r="B1623">
        <f>IF($A1623="","",LEFT(Calc!$E1626,4)&amp;MID(Calc!$E1626,6,2)&amp;RIGHT(Calc!$E1626,2)&amp;Calc!$R1626&amp;"|"&amp;"1"&amp;RIGHT("00000"&amp;1618,5))</f>
        <v/>
      </c>
      <c r="C1623">
        <f>IF($B1623="","",COUNTIFS(LdgPartyA,$A1623,LdgKeyA,"&lt;"&amp;$B1623)+COUNTIFS(LdgPartyB,$A1623,LdgKeyB,"&lt;"&amp;$B1623)+1)</f>
        <v/>
      </c>
      <c r="D1623">
        <f>IF($C1623="","",$A1623&amp;"|"&amp;RIGHT("000000"&amp;$C1623,6))</f>
        <v/>
      </c>
      <c r="F1623">
        <f>IF(Sync!$AJ1623="","",Sync!$AJ1623)</f>
        <v/>
      </c>
      <c r="G1623">
        <f>IF($F1623="","",IF(Sync!$AG1623="","",IF(ISNUMBER(Sync!$AG1623),IF(AND(Sync!$AG1623&gt;=10000101,Sync!$AG1623&lt;=99991231),INT(Sync!$AG1623/10000),""),IFERROR(VALUE(TRIM(LEFT(Sync!$AG1623,FIND("/",Sync!$AG1623)-1))),""))))</f>
        <v/>
      </c>
      <c r="H1623">
        <f>IF(OR($F1623="",$G1623=""),"",IF(ISNUMBER(Sync!$AG1623),INT(MOD(Sync!$AG1623,10000)/100),IFERROR(VALUE(TRIM(LEFT(MID(Sync!$AG1623,FIND("/",Sync!$AG1623)+1,20),FIND("/",MID(Sync!$AG1623,FIND("/",Sync!$AG1623)+1,20))-1))),"")))</f>
        <v/>
      </c>
      <c r="I1623">
        <f>IF(OR($F1623="",$G1623=""),"",IF(ISNUMBER(Sync!$AG1623),MOD(Sync!$AG1623,100),IFERROR(VALUE(TRIM(MID(MID(Sync!$AG1623,FIND("/",Sync!$AG1623)+1,20),FIND("/",MID(Sync!$AG1623,FIND("/",Sync!$AG1623)+1,20))+1,20))),"")))</f>
        <v/>
      </c>
      <c r="J1623">
        <f>IF($F1623="","",IF(OR($G1623="",$H1623="",$I1623="",$G1623&lt;1300,$G1623&gt;1500,$H1623&lt;1,$H1623&gt;12,$I1623&lt;1,$I1623&gt;31),"نامعتبر",RIGHT("0000"&amp;$G1623,4)&amp;"/"&amp;RIGHT("00"&amp;$H1623,2)&amp;"/"&amp;RIGHT("00"&amp;$I1623,2)))</f>
        <v/>
      </c>
      <c r="K1623">
        <f>IF(OR($F1623="",$J1623="",$J1623="نامعتبر"),"",LEFT($J1623,4)&amp;MID($J1623,6,2)&amp;RIGHT($J1623,2)&amp;$N1623&amp;"|"&amp;"2"&amp;RIGHT("00000"&amp;1618,5))</f>
        <v/>
      </c>
      <c r="L1623">
        <f>IF($K1623="","",COUNTIFS(LdgPartyA,$F1623,LdgKeyA,"&lt;"&amp;$K1623)+COUNTIFS(LdgPartyB,$F1623,LdgKeyB,"&lt;"&amp;$K1623)+1)</f>
        <v/>
      </c>
      <c r="M1623">
        <f>IF($L1623="","",$F1623&amp;"|"&amp;RIGHT("000000"&amp;$L1623,6))</f>
        <v/>
      </c>
      <c r="N1623">
        <f>IF($F1623="","",IF(Sync!$AH1623="","0000",IF(AND(ISNUMBER(Sync!$AH1623),Sync!$AH1623&gt;=0,Sync!$AH1623&lt;1),RIGHT("00"&amp;HOUR(Sync!$AH1623),2)&amp;RIGHT("00"&amp;MINUTE(Sync!$AH1623),2),IFERROR(RIGHT("00"&amp;VALUE(LEFT(Sync!$AH1623,FIND(":",Sync!$AH1623)-1)),2)&amp;RIGHT("00"&amp;VALUE(MID(Sync!$AH1623,FIND(":",Sync!$AH1623)+1,2)),2),"0000"))))</f>
        <v/>
      </c>
    </row>
    <row r="1624">
      <c r="A1624">
        <f>IF(OR(Calc!$E1627="",Calc!$E1627="نامعتبر",Calc!$G1627="",Calc!$I1627&lt;&gt;"خرید"),"",Calc!$G1627)</f>
        <v/>
      </c>
      <c r="B1624">
        <f>IF($A1624="","",LEFT(Calc!$E1627,4)&amp;MID(Calc!$E1627,6,2)&amp;RIGHT(Calc!$E1627,2)&amp;Calc!$R1627&amp;"|"&amp;"1"&amp;RIGHT("00000"&amp;1619,5))</f>
        <v/>
      </c>
      <c r="C1624">
        <f>IF($B1624="","",COUNTIFS(LdgPartyA,$A1624,LdgKeyA,"&lt;"&amp;$B1624)+COUNTIFS(LdgPartyB,$A1624,LdgKeyB,"&lt;"&amp;$B1624)+1)</f>
        <v/>
      </c>
      <c r="D1624">
        <f>IF($C1624="","",$A1624&amp;"|"&amp;RIGHT("000000"&amp;$C1624,6))</f>
        <v/>
      </c>
      <c r="F1624">
        <f>IF(Sync!$AJ1624="","",Sync!$AJ1624)</f>
        <v/>
      </c>
      <c r="G1624">
        <f>IF($F1624="","",IF(Sync!$AG1624="","",IF(ISNUMBER(Sync!$AG1624),IF(AND(Sync!$AG1624&gt;=10000101,Sync!$AG1624&lt;=99991231),INT(Sync!$AG1624/10000),""),IFERROR(VALUE(TRIM(LEFT(Sync!$AG1624,FIND("/",Sync!$AG1624)-1))),""))))</f>
        <v/>
      </c>
      <c r="H1624">
        <f>IF(OR($F1624="",$G1624=""),"",IF(ISNUMBER(Sync!$AG1624),INT(MOD(Sync!$AG1624,10000)/100),IFERROR(VALUE(TRIM(LEFT(MID(Sync!$AG1624,FIND("/",Sync!$AG1624)+1,20),FIND("/",MID(Sync!$AG1624,FIND("/",Sync!$AG1624)+1,20))-1))),"")))</f>
        <v/>
      </c>
      <c r="I1624">
        <f>IF(OR($F1624="",$G1624=""),"",IF(ISNUMBER(Sync!$AG1624),MOD(Sync!$AG1624,100),IFERROR(VALUE(TRIM(MID(MID(Sync!$AG1624,FIND("/",Sync!$AG1624)+1,20),FIND("/",MID(Sync!$AG1624,FIND("/",Sync!$AG1624)+1,20))+1,20))),"")))</f>
        <v/>
      </c>
      <c r="J1624">
        <f>IF($F1624="","",IF(OR($G1624="",$H1624="",$I1624="",$G1624&lt;1300,$G1624&gt;1500,$H1624&lt;1,$H1624&gt;12,$I1624&lt;1,$I1624&gt;31),"نامعتبر",RIGHT("0000"&amp;$G1624,4)&amp;"/"&amp;RIGHT("00"&amp;$H1624,2)&amp;"/"&amp;RIGHT("00"&amp;$I1624,2)))</f>
        <v/>
      </c>
      <c r="K1624">
        <f>IF(OR($F1624="",$J1624="",$J1624="نامعتبر"),"",LEFT($J1624,4)&amp;MID($J1624,6,2)&amp;RIGHT($J1624,2)&amp;$N1624&amp;"|"&amp;"2"&amp;RIGHT("00000"&amp;1619,5))</f>
        <v/>
      </c>
      <c r="L1624">
        <f>IF($K1624="","",COUNTIFS(LdgPartyA,$F1624,LdgKeyA,"&lt;"&amp;$K1624)+COUNTIFS(LdgPartyB,$F1624,LdgKeyB,"&lt;"&amp;$K1624)+1)</f>
        <v/>
      </c>
      <c r="M1624">
        <f>IF($L1624="","",$F1624&amp;"|"&amp;RIGHT("000000"&amp;$L1624,6))</f>
        <v/>
      </c>
      <c r="N1624">
        <f>IF($F1624="","",IF(Sync!$AH1624="","0000",IF(AND(ISNUMBER(Sync!$AH1624),Sync!$AH1624&gt;=0,Sync!$AH1624&lt;1),RIGHT("00"&amp;HOUR(Sync!$AH1624),2)&amp;RIGHT("00"&amp;MINUTE(Sync!$AH1624),2),IFERROR(RIGHT("00"&amp;VALUE(LEFT(Sync!$AH1624,FIND(":",Sync!$AH1624)-1)),2)&amp;RIGHT("00"&amp;VALUE(MID(Sync!$AH1624,FIND(":",Sync!$AH1624)+1,2)),2),"0000"))))</f>
        <v/>
      </c>
    </row>
    <row r="1625">
      <c r="A1625">
        <f>IF(OR(Calc!$E1628="",Calc!$E1628="نامعتبر",Calc!$G1628="",Calc!$I1628&lt;&gt;"خرید"),"",Calc!$G1628)</f>
        <v/>
      </c>
      <c r="B1625">
        <f>IF($A1625="","",LEFT(Calc!$E1628,4)&amp;MID(Calc!$E1628,6,2)&amp;RIGHT(Calc!$E1628,2)&amp;Calc!$R1628&amp;"|"&amp;"1"&amp;RIGHT("00000"&amp;1620,5))</f>
        <v/>
      </c>
      <c r="C1625">
        <f>IF($B1625="","",COUNTIFS(LdgPartyA,$A1625,LdgKeyA,"&lt;"&amp;$B1625)+COUNTIFS(LdgPartyB,$A1625,LdgKeyB,"&lt;"&amp;$B1625)+1)</f>
        <v/>
      </c>
      <c r="D1625">
        <f>IF($C1625="","",$A1625&amp;"|"&amp;RIGHT("000000"&amp;$C1625,6))</f>
        <v/>
      </c>
      <c r="F1625">
        <f>IF(Sync!$AJ1625="","",Sync!$AJ1625)</f>
        <v/>
      </c>
      <c r="G1625">
        <f>IF($F1625="","",IF(Sync!$AG1625="","",IF(ISNUMBER(Sync!$AG1625),IF(AND(Sync!$AG1625&gt;=10000101,Sync!$AG1625&lt;=99991231),INT(Sync!$AG1625/10000),""),IFERROR(VALUE(TRIM(LEFT(Sync!$AG1625,FIND("/",Sync!$AG1625)-1))),""))))</f>
        <v/>
      </c>
      <c r="H1625">
        <f>IF(OR($F1625="",$G1625=""),"",IF(ISNUMBER(Sync!$AG1625),INT(MOD(Sync!$AG1625,10000)/100),IFERROR(VALUE(TRIM(LEFT(MID(Sync!$AG1625,FIND("/",Sync!$AG1625)+1,20),FIND("/",MID(Sync!$AG1625,FIND("/",Sync!$AG1625)+1,20))-1))),"")))</f>
        <v/>
      </c>
      <c r="I1625">
        <f>IF(OR($F1625="",$G1625=""),"",IF(ISNUMBER(Sync!$AG1625),MOD(Sync!$AG1625,100),IFERROR(VALUE(TRIM(MID(MID(Sync!$AG1625,FIND("/",Sync!$AG1625)+1,20),FIND("/",MID(Sync!$AG1625,FIND("/",Sync!$AG1625)+1,20))+1,20))),"")))</f>
        <v/>
      </c>
      <c r="J1625">
        <f>IF($F1625="","",IF(OR($G1625="",$H1625="",$I1625="",$G1625&lt;1300,$G1625&gt;1500,$H1625&lt;1,$H1625&gt;12,$I1625&lt;1,$I1625&gt;31),"نامعتبر",RIGHT("0000"&amp;$G1625,4)&amp;"/"&amp;RIGHT("00"&amp;$H1625,2)&amp;"/"&amp;RIGHT("00"&amp;$I1625,2)))</f>
        <v/>
      </c>
      <c r="K1625">
        <f>IF(OR($F1625="",$J1625="",$J1625="نامعتبر"),"",LEFT($J1625,4)&amp;MID($J1625,6,2)&amp;RIGHT($J1625,2)&amp;$N1625&amp;"|"&amp;"2"&amp;RIGHT("00000"&amp;1620,5))</f>
        <v/>
      </c>
      <c r="L1625">
        <f>IF($K1625="","",COUNTIFS(LdgPartyA,$F1625,LdgKeyA,"&lt;"&amp;$K1625)+COUNTIFS(LdgPartyB,$F1625,LdgKeyB,"&lt;"&amp;$K1625)+1)</f>
        <v/>
      </c>
      <c r="M1625">
        <f>IF($L1625="","",$F1625&amp;"|"&amp;RIGHT("000000"&amp;$L1625,6))</f>
        <v/>
      </c>
      <c r="N1625">
        <f>IF($F1625="","",IF(Sync!$AH1625="","0000",IF(AND(ISNUMBER(Sync!$AH1625),Sync!$AH1625&gt;=0,Sync!$AH1625&lt;1),RIGHT("00"&amp;HOUR(Sync!$AH1625),2)&amp;RIGHT("00"&amp;MINUTE(Sync!$AH1625),2),IFERROR(RIGHT("00"&amp;VALUE(LEFT(Sync!$AH1625,FIND(":",Sync!$AH1625)-1)),2)&amp;RIGHT("00"&amp;VALUE(MID(Sync!$AH1625,FIND(":",Sync!$AH1625)+1,2)),2),"0000"))))</f>
        <v/>
      </c>
    </row>
    <row r="1626">
      <c r="A1626">
        <f>IF(OR(Calc!$E1629="",Calc!$E1629="نامعتبر",Calc!$G1629="",Calc!$I1629&lt;&gt;"خرید"),"",Calc!$G1629)</f>
        <v/>
      </c>
      <c r="B1626">
        <f>IF($A1626="","",LEFT(Calc!$E1629,4)&amp;MID(Calc!$E1629,6,2)&amp;RIGHT(Calc!$E1629,2)&amp;Calc!$R1629&amp;"|"&amp;"1"&amp;RIGHT("00000"&amp;1621,5))</f>
        <v/>
      </c>
      <c r="C1626">
        <f>IF($B1626="","",COUNTIFS(LdgPartyA,$A1626,LdgKeyA,"&lt;"&amp;$B1626)+COUNTIFS(LdgPartyB,$A1626,LdgKeyB,"&lt;"&amp;$B1626)+1)</f>
        <v/>
      </c>
      <c r="D1626">
        <f>IF($C1626="","",$A1626&amp;"|"&amp;RIGHT("000000"&amp;$C1626,6))</f>
        <v/>
      </c>
      <c r="F1626">
        <f>IF(Sync!$AJ1626="","",Sync!$AJ1626)</f>
        <v/>
      </c>
      <c r="G1626">
        <f>IF($F1626="","",IF(Sync!$AG1626="","",IF(ISNUMBER(Sync!$AG1626),IF(AND(Sync!$AG1626&gt;=10000101,Sync!$AG1626&lt;=99991231),INT(Sync!$AG1626/10000),""),IFERROR(VALUE(TRIM(LEFT(Sync!$AG1626,FIND("/",Sync!$AG1626)-1))),""))))</f>
        <v/>
      </c>
      <c r="H1626">
        <f>IF(OR($F1626="",$G1626=""),"",IF(ISNUMBER(Sync!$AG1626),INT(MOD(Sync!$AG1626,10000)/100),IFERROR(VALUE(TRIM(LEFT(MID(Sync!$AG1626,FIND("/",Sync!$AG1626)+1,20),FIND("/",MID(Sync!$AG1626,FIND("/",Sync!$AG1626)+1,20))-1))),"")))</f>
        <v/>
      </c>
      <c r="I1626">
        <f>IF(OR($F1626="",$G1626=""),"",IF(ISNUMBER(Sync!$AG1626),MOD(Sync!$AG1626,100),IFERROR(VALUE(TRIM(MID(MID(Sync!$AG1626,FIND("/",Sync!$AG1626)+1,20),FIND("/",MID(Sync!$AG1626,FIND("/",Sync!$AG1626)+1,20))+1,20))),"")))</f>
        <v/>
      </c>
      <c r="J1626">
        <f>IF($F1626="","",IF(OR($G1626="",$H1626="",$I1626="",$G1626&lt;1300,$G1626&gt;1500,$H1626&lt;1,$H1626&gt;12,$I1626&lt;1,$I1626&gt;31),"نامعتبر",RIGHT("0000"&amp;$G1626,4)&amp;"/"&amp;RIGHT("00"&amp;$H1626,2)&amp;"/"&amp;RIGHT("00"&amp;$I1626,2)))</f>
        <v/>
      </c>
      <c r="K1626">
        <f>IF(OR($F1626="",$J1626="",$J1626="نامعتبر"),"",LEFT($J1626,4)&amp;MID($J1626,6,2)&amp;RIGHT($J1626,2)&amp;$N1626&amp;"|"&amp;"2"&amp;RIGHT("00000"&amp;1621,5))</f>
        <v/>
      </c>
      <c r="L1626">
        <f>IF($K1626="","",COUNTIFS(LdgPartyA,$F1626,LdgKeyA,"&lt;"&amp;$K1626)+COUNTIFS(LdgPartyB,$F1626,LdgKeyB,"&lt;"&amp;$K1626)+1)</f>
        <v/>
      </c>
      <c r="M1626">
        <f>IF($L1626="","",$F1626&amp;"|"&amp;RIGHT("000000"&amp;$L1626,6))</f>
        <v/>
      </c>
      <c r="N1626">
        <f>IF($F1626="","",IF(Sync!$AH1626="","0000",IF(AND(ISNUMBER(Sync!$AH1626),Sync!$AH1626&gt;=0,Sync!$AH1626&lt;1),RIGHT("00"&amp;HOUR(Sync!$AH1626),2)&amp;RIGHT("00"&amp;MINUTE(Sync!$AH1626),2),IFERROR(RIGHT("00"&amp;VALUE(LEFT(Sync!$AH1626,FIND(":",Sync!$AH1626)-1)),2)&amp;RIGHT("00"&amp;VALUE(MID(Sync!$AH1626,FIND(":",Sync!$AH1626)+1,2)),2),"0000"))))</f>
        <v/>
      </c>
    </row>
    <row r="1627">
      <c r="A1627">
        <f>IF(OR(Calc!$E1630="",Calc!$E1630="نامعتبر",Calc!$G1630="",Calc!$I1630&lt;&gt;"خرید"),"",Calc!$G1630)</f>
        <v/>
      </c>
      <c r="B1627">
        <f>IF($A1627="","",LEFT(Calc!$E1630,4)&amp;MID(Calc!$E1630,6,2)&amp;RIGHT(Calc!$E1630,2)&amp;Calc!$R1630&amp;"|"&amp;"1"&amp;RIGHT("00000"&amp;1622,5))</f>
        <v/>
      </c>
      <c r="C1627">
        <f>IF($B1627="","",COUNTIFS(LdgPartyA,$A1627,LdgKeyA,"&lt;"&amp;$B1627)+COUNTIFS(LdgPartyB,$A1627,LdgKeyB,"&lt;"&amp;$B1627)+1)</f>
        <v/>
      </c>
      <c r="D1627">
        <f>IF($C1627="","",$A1627&amp;"|"&amp;RIGHT("000000"&amp;$C1627,6))</f>
        <v/>
      </c>
      <c r="F1627">
        <f>IF(Sync!$AJ1627="","",Sync!$AJ1627)</f>
        <v/>
      </c>
      <c r="G1627">
        <f>IF($F1627="","",IF(Sync!$AG1627="","",IF(ISNUMBER(Sync!$AG1627),IF(AND(Sync!$AG1627&gt;=10000101,Sync!$AG1627&lt;=99991231),INT(Sync!$AG1627/10000),""),IFERROR(VALUE(TRIM(LEFT(Sync!$AG1627,FIND("/",Sync!$AG1627)-1))),""))))</f>
        <v/>
      </c>
      <c r="H1627">
        <f>IF(OR($F1627="",$G1627=""),"",IF(ISNUMBER(Sync!$AG1627),INT(MOD(Sync!$AG1627,10000)/100),IFERROR(VALUE(TRIM(LEFT(MID(Sync!$AG1627,FIND("/",Sync!$AG1627)+1,20),FIND("/",MID(Sync!$AG1627,FIND("/",Sync!$AG1627)+1,20))-1))),"")))</f>
        <v/>
      </c>
      <c r="I1627">
        <f>IF(OR($F1627="",$G1627=""),"",IF(ISNUMBER(Sync!$AG1627),MOD(Sync!$AG1627,100),IFERROR(VALUE(TRIM(MID(MID(Sync!$AG1627,FIND("/",Sync!$AG1627)+1,20),FIND("/",MID(Sync!$AG1627,FIND("/",Sync!$AG1627)+1,20))+1,20))),"")))</f>
        <v/>
      </c>
      <c r="J1627">
        <f>IF($F1627="","",IF(OR($G1627="",$H1627="",$I1627="",$G1627&lt;1300,$G1627&gt;1500,$H1627&lt;1,$H1627&gt;12,$I1627&lt;1,$I1627&gt;31),"نامعتبر",RIGHT("0000"&amp;$G1627,4)&amp;"/"&amp;RIGHT("00"&amp;$H1627,2)&amp;"/"&amp;RIGHT("00"&amp;$I1627,2)))</f>
        <v/>
      </c>
      <c r="K1627">
        <f>IF(OR($F1627="",$J1627="",$J1627="نامعتبر"),"",LEFT($J1627,4)&amp;MID($J1627,6,2)&amp;RIGHT($J1627,2)&amp;$N1627&amp;"|"&amp;"2"&amp;RIGHT("00000"&amp;1622,5))</f>
        <v/>
      </c>
      <c r="L1627">
        <f>IF($K1627="","",COUNTIFS(LdgPartyA,$F1627,LdgKeyA,"&lt;"&amp;$K1627)+COUNTIFS(LdgPartyB,$F1627,LdgKeyB,"&lt;"&amp;$K1627)+1)</f>
        <v/>
      </c>
      <c r="M1627">
        <f>IF($L1627="","",$F1627&amp;"|"&amp;RIGHT("000000"&amp;$L1627,6))</f>
        <v/>
      </c>
      <c r="N1627">
        <f>IF($F1627="","",IF(Sync!$AH1627="","0000",IF(AND(ISNUMBER(Sync!$AH1627),Sync!$AH1627&gt;=0,Sync!$AH1627&lt;1),RIGHT("00"&amp;HOUR(Sync!$AH1627),2)&amp;RIGHT("00"&amp;MINUTE(Sync!$AH1627),2),IFERROR(RIGHT("00"&amp;VALUE(LEFT(Sync!$AH1627,FIND(":",Sync!$AH1627)-1)),2)&amp;RIGHT("00"&amp;VALUE(MID(Sync!$AH1627,FIND(":",Sync!$AH1627)+1,2)),2),"0000"))))</f>
        <v/>
      </c>
    </row>
    <row r="1628">
      <c r="A1628">
        <f>IF(OR(Calc!$E1631="",Calc!$E1631="نامعتبر",Calc!$G1631="",Calc!$I1631&lt;&gt;"خرید"),"",Calc!$G1631)</f>
        <v/>
      </c>
      <c r="B1628">
        <f>IF($A1628="","",LEFT(Calc!$E1631,4)&amp;MID(Calc!$E1631,6,2)&amp;RIGHT(Calc!$E1631,2)&amp;Calc!$R1631&amp;"|"&amp;"1"&amp;RIGHT("00000"&amp;1623,5))</f>
        <v/>
      </c>
      <c r="C1628">
        <f>IF($B1628="","",COUNTIFS(LdgPartyA,$A1628,LdgKeyA,"&lt;"&amp;$B1628)+COUNTIFS(LdgPartyB,$A1628,LdgKeyB,"&lt;"&amp;$B1628)+1)</f>
        <v/>
      </c>
      <c r="D1628">
        <f>IF($C1628="","",$A1628&amp;"|"&amp;RIGHT("000000"&amp;$C1628,6))</f>
        <v/>
      </c>
      <c r="F1628">
        <f>IF(Sync!$AJ1628="","",Sync!$AJ1628)</f>
        <v/>
      </c>
      <c r="G1628">
        <f>IF($F1628="","",IF(Sync!$AG1628="","",IF(ISNUMBER(Sync!$AG1628),IF(AND(Sync!$AG1628&gt;=10000101,Sync!$AG1628&lt;=99991231),INT(Sync!$AG1628/10000),""),IFERROR(VALUE(TRIM(LEFT(Sync!$AG1628,FIND("/",Sync!$AG1628)-1))),""))))</f>
        <v/>
      </c>
      <c r="H1628">
        <f>IF(OR($F1628="",$G1628=""),"",IF(ISNUMBER(Sync!$AG1628),INT(MOD(Sync!$AG1628,10000)/100),IFERROR(VALUE(TRIM(LEFT(MID(Sync!$AG1628,FIND("/",Sync!$AG1628)+1,20),FIND("/",MID(Sync!$AG1628,FIND("/",Sync!$AG1628)+1,20))-1))),"")))</f>
        <v/>
      </c>
      <c r="I1628">
        <f>IF(OR($F1628="",$G1628=""),"",IF(ISNUMBER(Sync!$AG1628),MOD(Sync!$AG1628,100),IFERROR(VALUE(TRIM(MID(MID(Sync!$AG1628,FIND("/",Sync!$AG1628)+1,20),FIND("/",MID(Sync!$AG1628,FIND("/",Sync!$AG1628)+1,20))+1,20))),"")))</f>
        <v/>
      </c>
      <c r="J1628">
        <f>IF($F1628="","",IF(OR($G1628="",$H1628="",$I1628="",$G1628&lt;1300,$G1628&gt;1500,$H1628&lt;1,$H1628&gt;12,$I1628&lt;1,$I1628&gt;31),"نامعتبر",RIGHT("0000"&amp;$G1628,4)&amp;"/"&amp;RIGHT("00"&amp;$H1628,2)&amp;"/"&amp;RIGHT("00"&amp;$I1628,2)))</f>
        <v/>
      </c>
      <c r="K1628">
        <f>IF(OR($F1628="",$J1628="",$J1628="نامعتبر"),"",LEFT($J1628,4)&amp;MID($J1628,6,2)&amp;RIGHT($J1628,2)&amp;$N1628&amp;"|"&amp;"2"&amp;RIGHT("00000"&amp;1623,5))</f>
        <v/>
      </c>
      <c r="L1628">
        <f>IF($K1628="","",COUNTIFS(LdgPartyA,$F1628,LdgKeyA,"&lt;"&amp;$K1628)+COUNTIFS(LdgPartyB,$F1628,LdgKeyB,"&lt;"&amp;$K1628)+1)</f>
        <v/>
      </c>
      <c r="M1628">
        <f>IF($L1628="","",$F1628&amp;"|"&amp;RIGHT("000000"&amp;$L1628,6))</f>
        <v/>
      </c>
      <c r="N1628">
        <f>IF($F1628="","",IF(Sync!$AH1628="","0000",IF(AND(ISNUMBER(Sync!$AH1628),Sync!$AH1628&gt;=0,Sync!$AH1628&lt;1),RIGHT("00"&amp;HOUR(Sync!$AH1628),2)&amp;RIGHT("00"&amp;MINUTE(Sync!$AH1628),2),IFERROR(RIGHT("00"&amp;VALUE(LEFT(Sync!$AH1628,FIND(":",Sync!$AH1628)-1)),2)&amp;RIGHT("00"&amp;VALUE(MID(Sync!$AH1628,FIND(":",Sync!$AH1628)+1,2)),2),"0000"))))</f>
        <v/>
      </c>
    </row>
    <row r="1629">
      <c r="A1629">
        <f>IF(OR(Calc!$E1632="",Calc!$E1632="نامعتبر",Calc!$G1632="",Calc!$I1632&lt;&gt;"خرید"),"",Calc!$G1632)</f>
        <v/>
      </c>
      <c r="B1629">
        <f>IF($A1629="","",LEFT(Calc!$E1632,4)&amp;MID(Calc!$E1632,6,2)&amp;RIGHT(Calc!$E1632,2)&amp;Calc!$R1632&amp;"|"&amp;"1"&amp;RIGHT("00000"&amp;1624,5))</f>
        <v/>
      </c>
      <c r="C1629">
        <f>IF($B1629="","",COUNTIFS(LdgPartyA,$A1629,LdgKeyA,"&lt;"&amp;$B1629)+COUNTIFS(LdgPartyB,$A1629,LdgKeyB,"&lt;"&amp;$B1629)+1)</f>
        <v/>
      </c>
      <c r="D1629">
        <f>IF($C1629="","",$A1629&amp;"|"&amp;RIGHT("000000"&amp;$C1629,6))</f>
        <v/>
      </c>
      <c r="F1629">
        <f>IF(Sync!$AJ1629="","",Sync!$AJ1629)</f>
        <v/>
      </c>
      <c r="G1629">
        <f>IF($F1629="","",IF(Sync!$AG1629="","",IF(ISNUMBER(Sync!$AG1629),IF(AND(Sync!$AG1629&gt;=10000101,Sync!$AG1629&lt;=99991231),INT(Sync!$AG1629/10000),""),IFERROR(VALUE(TRIM(LEFT(Sync!$AG1629,FIND("/",Sync!$AG1629)-1))),""))))</f>
        <v/>
      </c>
      <c r="H1629">
        <f>IF(OR($F1629="",$G1629=""),"",IF(ISNUMBER(Sync!$AG1629),INT(MOD(Sync!$AG1629,10000)/100),IFERROR(VALUE(TRIM(LEFT(MID(Sync!$AG1629,FIND("/",Sync!$AG1629)+1,20),FIND("/",MID(Sync!$AG1629,FIND("/",Sync!$AG1629)+1,20))-1))),"")))</f>
        <v/>
      </c>
      <c r="I1629">
        <f>IF(OR($F1629="",$G1629=""),"",IF(ISNUMBER(Sync!$AG1629),MOD(Sync!$AG1629,100),IFERROR(VALUE(TRIM(MID(MID(Sync!$AG1629,FIND("/",Sync!$AG1629)+1,20),FIND("/",MID(Sync!$AG1629,FIND("/",Sync!$AG1629)+1,20))+1,20))),"")))</f>
        <v/>
      </c>
      <c r="J1629">
        <f>IF($F1629="","",IF(OR($G1629="",$H1629="",$I1629="",$G1629&lt;1300,$G1629&gt;1500,$H1629&lt;1,$H1629&gt;12,$I1629&lt;1,$I1629&gt;31),"نامعتبر",RIGHT("0000"&amp;$G1629,4)&amp;"/"&amp;RIGHT("00"&amp;$H1629,2)&amp;"/"&amp;RIGHT("00"&amp;$I1629,2)))</f>
        <v/>
      </c>
      <c r="K1629">
        <f>IF(OR($F1629="",$J1629="",$J1629="نامعتبر"),"",LEFT($J1629,4)&amp;MID($J1629,6,2)&amp;RIGHT($J1629,2)&amp;$N1629&amp;"|"&amp;"2"&amp;RIGHT("00000"&amp;1624,5))</f>
        <v/>
      </c>
      <c r="L1629">
        <f>IF($K1629="","",COUNTIFS(LdgPartyA,$F1629,LdgKeyA,"&lt;"&amp;$K1629)+COUNTIFS(LdgPartyB,$F1629,LdgKeyB,"&lt;"&amp;$K1629)+1)</f>
        <v/>
      </c>
      <c r="M1629">
        <f>IF($L1629="","",$F1629&amp;"|"&amp;RIGHT("000000"&amp;$L1629,6))</f>
        <v/>
      </c>
      <c r="N1629">
        <f>IF($F1629="","",IF(Sync!$AH1629="","0000",IF(AND(ISNUMBER(Sync!$AH1629),Sync!$AH1629&gt;=0,Sync!$AH1629&lt;1),RIGHT("00"&amp;HOUR(Sync!$AH1629),2)&amp;RIGHT("00"&amp;MINUTE(Sync!$AH1629),2),IFERROR(RIGHT("00"&amp;VALUE(LEFT(Sync!$AH1629,FIND(":",Sync!$AH1629)-1)),2)&amp;RIGHT("00"&amp;VALUE(MID(Sync!$AH1629,FIND(":",Sync!$AH1629)+1,2)),2),"0000"))))</f>
        <v/>
      </c>
    </row>
    <row r="1630">
      <c r="A1630">
        <f>IF(OR(Calc!$E1633="",Calc!$E1633="نامعتبر",Calc!$G1633="",Calc!$I1633&lt;&gt;"خرید"),"",Calc!$G1633)</f>
        <v/>
      </c>
      <c r="B1630">
        <f>IF($A1630="","",LEFT(Calc!$E1633,4)&amp;MID(Calc!$E1633,6,2)&amp;RIGHT(Calc!$E1633,2)&amp;Calc!$R1633&amp;"|"&amp;"1"&amp;RIGHT("00000"&amp;1625,5))</f>
        <v/>
      </c>
      <c r="C1630">
        <f>IF($B1630="","",COUNTIFS(LdgPartyA,$A1630,LdgKeyA,"&lt;"&amp;$B1630)+COUNTIFS(LdgPartyB,$A1630,LdgKeyB,"&lt;"&amp;$B1630)+1)</f>
        <v/>
      </c>
      <c r="D1630">
        <f>IF($C1630="","",$A1630&amp;"|"&amp;RIGHT("000000"&amp;$C1630,6))</f>
        <v/>
      </c>
      <c r="F1630">
        <f>IF(Sync!$AJ1630="","",Sync!$AJ1630)</f>
        <v/>
      </c>
      <c r="G1630">
        <f>IF($F1630="","",IF(Sync!$AG1630="","",IF(ISNUMBER(Sync!$AG1630),IF(AND(Sync!$AG1630&gt;=10000101,Sync!$AG1630&lt;=99991231),INT(Sync!$AG1630/10000),""),IFERROR(VALUE(TRIM(LEFT(Sync!$AG1630,FIND("/",Sync!$AG1630)-1))),""))))</f>
        <v/>
      </c>
      <c r="H1630">
        <f>IF(OR($F1630="",$G1630=""),"",IF(ISNUMBER(Sync!$AG1630),INT(MOD(Sync!$AG1630,10000)/100),IFERROR(VALUE(TRIM(LEFT(MID(Sync!$AG1630,FIND("/",Sync!$AG1630)+1,20),FIND("/",MID(Sync!$AG1630,FIND("/",Sync!$AG1630)+1,20))-1))),"")))</f>
        <v/>
      </c>
      <c r="I1630">
        <f>IF(OR($F1630="",$G1630=""),"",IF(ISNUMBER(Sync!$AG1630),MOD(Sync!$AG1630,100),IFERROR(VALUE(TRIM(MID(MID(Sync!$AG1630,FIND("/",Sync!$AG1630)+1,20),FIND("/",MID(Sync!$AG1630,FIND("/",Sync!$AG1630)+1,20))+1,20))),"")))</f>
        <v/>
      </c>
      <c r="J1630">
        <f>IF($F1630="","",IF(OR($G1630="",$H1630="",$I1630="",$G1630&lt;1300,$G1630&gt;1500,$H1630&lt;1,$H1630&gt;12,$I1630&lt;1,$I1630&gt;31),"نامعتبر",RIGHT("0000"&amp;$G1630,4)&amp;"/"&amp;RIGHT("00"&amp;$H1630,2)&amp;"/"&amp;RIGHT("00"&amp;$I1630,2)))</f>
        <v/>
      </c>
      <c r="K1630">
        <f>IF(OR($F1630="",$J1630="",$J1630="نامعتبر"),"",LEFT($J1630,4)&amp;MID($J1630,6,2)&amp;RIGHT($J1630,2)&amp;$N1630&amp;"|"&amp;"2"&amp;RIGHT("00000"&amp;1625,5))</f>
        <v/>
      </c>
      <c r="L1630">
        <f>IF($K1630="","",COUNTIFS(LdgPartyA,$F1630,LdgKeyA,"&lt;"&amp;$K1630)+COUNTIFS(LdgPartyB,$F1630,LdgKeyB,"&lt;"&amp;$K1630)+1)</f>
        <v/>
      </c>
      <c r="M1630">
        <f>IF($L1630="","",$F1630&amp;"|"&amp;RIGHT("000000"&amp;$L1630,6))</f>
        <v/>
      </c>
      <c r="N1630">
        <f>IF($F1630="","",IF(Sync!$AH1630="","0000",IF(AND(ISNUMBER(Sync!$AH1630),Sync!$AH1630&gt;=0,Sync!$AH1630&lt;1),RIGHT("00"&amp;HOUR(Sync!$AH1630),2)&amp;RIGHT("00"&amp;MINUTE(Sync!$AH1630),2),IFERROR(RIGHT("00"&amp;VALUE(LEFT(Sync!$AH1630,FIND(":",Sync!$AH1630)-1)),2)&amp;RIGHT("00"&amp;VALUE(MID(Sync!$AH1630,FIND(":",Sync!$AH1630)+1,2)),2),"0000"))))</f>
        <v/>
      </c>
    </row>
    <row r="1631">
      <c r="A1631">
        <f>IF(OR(Calc!$E1634="",Calc!$E1634="نامعتبر",Calc!$G1634="",Calc!$I1634&lt;&gt;"خرید"),"",Calc!$G1634)</f>
        <v/>
      </c>
      <c r="B1631">
        <f>IF($A1631="","",LEFT(Calc!$E1634,4)&amp;MID(Calc!$E1634,6,2)&amp;RIGHT(Calc!$E1634,2)&amp;Calc!$R1634&amp;"|"&amp;"1"&amp;RIGHT("00000"&amp;1626,5))</f>
        <v/>
      </c>
      <c r="C1631">
        <f>IF($B1631="","",COUNTIFS(LdgPartyA,$A1631,LdgKeyA,"&lt;"&amp;$B1631)+COUNTIFS(LdgPartyB,$A1631,LdgKeyB,"&lt;"&amp;$B1631)+1)</f>
        <v/>
      </c>
      <c r="D1631">
        <f>IF($C1631="","",$A1631&amp;"|"&amp;RIGHT("000000"&amp;$C1631,6))</f>
        <v/>
      </c>
      <c r="F1631">
        <f>IF(Sync!$AJ1631="","",Sync!$AJ1631)</f>
        <v/>
      </c>
      <c r="G1631">
        <f>IF($F1631="","",IF(Sync!$AG1631="","",IF(ISNUMBER(Sync!$AG1631),IF(AND(Sync!$AG1631&gt;=10000101,Sync!$AG1631&lt;=99991231),INT(Sync!$AG1631/10000),""),IFERROR(VALUE(TRIM(LEFT(Sync!$AG1631,FIND("/",Sync!$AG1631)-1))),""))))</f>
        <v/>
      </c>
      <c r="H1631">
        <f>IF(OR($F1631="",$G1631=""),"",IF(ISNUMBER(Sync!$AG1631),INT(MOD(Sync!$AG1631,10000)/100),IFERROR(VALUE(TRIM(LEFT(MID(Sync!$AG1631,FIND("/",Sync!$AG1631)+1,20),FIND("/",MID(Sync!$AG1631,FIND("/",Sync!$AG1631)+1,20))-1))),"")))</f>
        <v/>
      </c>
      <c r="I1631">
        <f>IF(OR($F1631="",$G1631=""),"",IF(ISNUMBER(Sync!$AG1631),MOD(Sync!$AG1631,100),IFERROR(VALUE(TRIM(MID(MID(Sync!$AG1631,FIND("/",Sync!$AG1631)+1,20),FIND("/",MID(Sync!$AG1631,FIND("/",Sync!$AG1631)+1,20))+1,20))),"")))</f>
        <v/>
      </c>
      <c r="J1631">
        <f>IF($F1631="","",IF(OR($G1631="",$H1631="",$I1631="",$G1631&lt;1300,$G1631&gt;1500,$H1631&lt;1,$H1631&gt;12,$I1631&lt;1,$I1631&gt;31),"نامعتبر",RIGHT("0000"&amp;$G1631,4)&amp;"/"&amp;RIGHT("00"&amp;$H1631,2)&amp;"/"&amp;RIGHT("00"&amp;$I1631,2)))</f>
        <v/>
      </c>
      <c r="K1631">
        <f>IF(OR($F1631="",$J1631="",$J1631="نامعتبر"),"",LEFT($J1631,4)&amp;MID($J1631,6,2)&amp;RIGHT($J1631,2)&amp;$N1631&amp;"|"&amp;"2"&amp;RIGHT("00000"&amp;1626,5))</f>
        <v/>
      </c>
      <c r="L1631">
        <f>IF($K1631="","",COUNTIFS(LdgPartyA,$F1631,LdgKeyA,"&lt;"&amp;$K1631)+COUNTIFS(LdgPartyB,$F1631,LdgKeyB,"&lt;"&amp;$K1631)+1)</f>
        <v/>
      </c>
      <c r="M1631">
        <f>IF($L1631="","",$F1631&amp;"|"&amp;RIGHT("000000"&amp;$L1631,6))</f>
        <v/>
      </c>
      <c r="N1631">
        <f>IF($F1631="","",IF(Sync!$AH1631="","0000",IF(AND(ISNUMBER(Sync!$AH1631),Sync!$AH1631&gt;=0,Sync!$AH1631&lt;1),RIGHT("00"&amp;HOUR(Sync!$AH1631),2)&amp;RIGHT("00"&amp;MINUTE(Sync!$AH1631),2),IFERROR(RIGHT("00"&amp;VALUE(LEFT(Sync!$AH1631,FIND(":",Sync!$AH1631)-1)),2)&amp;RIGHT("00"&amp;VALUE(MID(Sync!$AH1631,FIND(":",Sync!$AH1631)+1,2)),2),"0000"))))</f>
        <v/>
      </c>
    </row>
    <row r="1632">
      <c r="A1632">
        <f>IF(OR(Calc!$E1635="",Calc!$E1635="نامعتبر",Calc!$G1635="",Calc!$I1635&lt;&gt;"خرید"),"",Calc!$G1635)</f>
        <v/>
      </c>
      <c r="B1632">
        <f>IF($A1632="","",LEFT(Calc!$E1635,4)&amp;MID(Calc!$E1635,6,2)&amp;RIGHT(Calc!$E1635,2)&amp;Calc!$R1635&amp;"|"&amp;"1"&amp;RIGHT("00000"&amp;1627,5))</f>
        <v/>
      </c>
      <c r="C1632">
        <f>IF($B1632="","",COUNTIFS(LdgPartyA,$A1632,LdgKeyA,"&lt;"&amp;$B1632)+COUNTIFS(LdgPartyB,$A1632,LdgKeyB,"&lt;"&amp;$B1632)+1)</f>
        <v/>
      </c>
      <c r="D1632">
        <f>IF($C1632="","",$A1632&amp;"|"&amp;RIGHT("000000"&amp;$C1632,6))</f>
        <v/>
      </c>
      <c r="F1632">
        <f>IF(Sync!$AJ1632="","",Sync!$AJ1632)</f>
        <v/>
      </c>
      <c r="G1632">
        <f>IF($F1632="","",IF(Sync!$AG1632="","",IF(ISNUMBER(Sync!$AG1632),IF(AND(Sync!$AG1632&gt;=10000101,Sync!$AG1632&lt;=99991231),INT(Sync!$AG1632/10000),""),IFERROR(VALUE(TRIM(LEFT(Sync!$AG1632,FIND("/",Sync!$AG1632)-1))),""))))</f>
        <v/>
      </c>
      <c r="H1632">
        <f>IF(OR($F1632="",$G1632=""),"",IF(ISNUMBER(Sync!$AG1632),INT(MOD(Sync!$AG1632,10000)/100),IFERROR(VALUE(TRIM(LEFT(MID(Sync!$AG1632,FIND("/",Sync!$AG1632)+1,20),FIND("/",MID(Sync!$AG1632,FIND("/",Sync!$AG1632)+1,20))-1))),"")))</f>
        <v/>
      </c>
      <c r="I1632">
        <f>IF(OR($F1632="",$G1632=""),"",IF(ISNUMBER(Sync!$AG1632),MOD(Sync!$AG1632,100),IFERROR(VALUE(TRIM(MID(MID(Sync!$AG1632,FIND("/",Sync!$AG1632)+1,20),FIND("/",MID(Sync!$AG1632,FIND("/",Sync!$AG1632)+1,20))+1,20))),"")))</f>
        <v/>
      </c>
      <c r="J1632">
        <f>IF($F1632="","",IF(OR($G1632="",$H1632="",$I1632="",$G1632&lt;1300,$G1632&gt;1500,$H1632&lt;1,$H1632&gt;12,$I1632&lt;1,$I1632&gt;31),"نامعتبر",RIGHT("0000"&amp;$G1632,4)&amp;"/"&amp;RIGHT("00"&amp;$H1632,2)&amp;"/"&amp;RIGHT("00"&amp;$I1632,2)))</f>
        <v/>
      </c>
      <c r="K1632">
        <f>IF(OR($F1632="",$J1632="",$J1632="نامعتبر"),"",LEFT($J1632,4)&amp;MID($J1632,6,2)&amp;RIGHT($J1632,2)&amp;$N1632&amp;"|"&amp;"2"&amp;RIGHT("00000"&amp;1627,5))</f>
        <v/>
      </c>
      <c r="L1632">
        <f>IF($K1632="","",COUNTIFS(LdgPartyA,$F1632,LdgKeyA,"&lt;"&amp;$K1632)+COUNTIFS(LdgPartyB,$F1632,LdgKeyB,"&lt;"&amp;$K1632)+1)</f>
        <v/>
      </c>
      <c r="M1632">
        <f>IF($L1632="","",$F1632&amp;"|"&amp;RIGHT("000000"&amp;$L1632,6))</f>
        <v/>
      </c>
      <c r="N1632">
        <f>IF($F1632="","",IF(Sync!$AH1632="","0000",IF(AND(ISNUMBER(Sync!$AH1632),Sync!$AH1632&gt;=0,Sync!$AH1632&lt;1),RIGHT("00"&amp;HOUR(Sync!$AH1632),2)&amp;RIGHT("00"&amp;MINUTE(Sync!$AH1632),2),IFERROR(RIGHT("00"&amp;VALUE(LEFT(Sync!$AH1632,FIND(":",Sync!$AH1632)-1)),2)&amp;RIGHT("00"&amp;VALUE(MID(Sync!$AH1632,FIND(":",Sync!$AH1632)+1,2)),2),"0000"))))</f>
        <v/>
      </c>
    </row>
    <row r="1633">
      <c r="A1633">
        <f>IF(OR(Calc!$E1636="",Calc!$E1636="نامعتبر",Calc!$G1636="",Calc!$I1636&lt;&gt;"خرید"),"",Calc!$G1636)</f>
        <v/>
      </c>
      <c r="B1633">
        <f>IF($A1633="","",LEFT(Calc!$E1636,4)&amp;MID(Calc!$E1636,6,2)&amp;RIGHT(Calc!$E1636,2)&amp;Calc!$R1636&amp;"|"&amp;"1"&amp;RIGHT("00000"&amp;1628,5))</f>
        <v/>
      </c>
      <c r="C1633">
        <f>IF($B1633="","",COUNTIFS(LdgPartyA,$A1633,LdgKeyA,"&lt;"&amp;$B1633)+COUNTIFS(LdgPartyB,$A1633,LdgKeyB,"&lt;"&amp;$B1633)+1)</f>
        <v/>
      </c>
      <c r="D1633">
        <f>IF($C1633="","",$A1633&amp;"|"&amp;RIGHT("000000"&amp;$C1633,6))</f>
        <v/>
      </c>
      <c r="F1633">
        <f>IF(Sync!$AJ1633="","",Sync!$AJ1633)</f>
        <v/>
      </c>
      <c r="G1633">
        <f>IF($F1633="","",IF(Sync!$AG1633="","",IF(ISNUMBER(Sync!$AG1633),IF(AND(Sync!$AG1633&gt;=10000101,Sync!$AG1633&lt;=99991231),INT(Sync!$AG1633/10000),""),IFERROR(VALUE(TRIM(LEFT(Sync!$AG1633,FIND("/",Sync!$AG1633)-1))),""))))</f>
        <v/>
      </c>
      <c r="H1633">
        <f>IF(OR($F1633="",$G1633=""),"",IF(ISNUMBER(Sync!$AG1633),INT(MOD(Sync!$AG1633,10000)/100),IFERROR(VALUE(TRIM(LEFT(MID(Sync!$AG1633,FIND("/",Sync!$AG1633)+1,20),FIND("/",MID(Sync!$AG1633,FIND("/",Sync!$AG1633)+1,20))-1))),"")))</f>
        <v/>
      </c>
      <c r="I1633">
        <f>IF(OR($F1633="",$G1633=""),"",IF(ISNUMBER(Sync!$AG1633),MOD(Sync!$AG1633,100),IFERROR(VALUE(TRIM(MID(MID(Sync!$AG1633,FIND("/",Sync!$AG1633)+1,20),FIND("/",MID(Sync!$AG1633,FIND("/",Sync!$AG1633)+1,20))+1,20))),"")))</f>
        <v/>
      </c>
      <c r="J1633">
        <f>IF($F1633="","",IF(OR($G1633="",$H1633="",$I1633="",$G1633&lt;1300,$G1633&gt;1500,$H1633&lt;1,$H1633&gt;12,$I1633&lt;1,$I1633&gt;31),"نامعتبر",RIGHT("0000"&amp;$G1633,4)&amp;"/"&amp;RIGHT("00"&amp;$H1633,2)&amp;"/"&amp;RIGHT("00"&amp;$I1633,2)))</f>
        <v/>
      </c>
      <c r="K1633">
        <f>IF(OR($F1633="",$J1633="",$J1633="نامعتبر"),"",LEFT($J1633,4)&amp;MID($J1633,6,2)&amp;RIGHT($J1633,2)&amp;$N1633&amp;"|"&amp;"2"&amp;RIGHT("00000"&amp;1628,5))</f>
        <v/>
      </c>
      <c r="L1633">
        <f>IF($K1633="","",COUNTIFS(LdgPartyA,$F1633,LdgKeyA,"&lt;"&amp;$K1633)+COUNTIFS(LdgPartyB,$F1633,LdgKeyB,"&lt;"&amp;$K1633)+1)</f>
        <v/>
      </c>
      <c r="M1633">
        <f>IF($L1633="","",$F1633&amp;"|"&amp;RIGHT("000000"&amp;$L1633,6))</f>
        <v/>
      </c>
      <c r="N1633">
        <f>IF($F1633="","",IF(Sync!$AH1633="","0000",IF(AND(ISNUMBER(Sync!$AH1633),Sync!$AH1633&gt;=0,Sync!$AH1633&lt;1),RIGHT("00"&amp;HOUR(Sync!$AH1633),2)&amp;RIGHT("00"&amp;MINUTE(Sync!$AH1633),2),IFERROR(RIGHT("00"&amp;VALUE(LEFT(Sync!$AH1633,FIND(":",Sync!$AH1633)-1)),2)&amp;RIGHT("00"&amp;VALUE(MID(Sync!$AH1633,FIND(":",Sync!$AH1633)+1,2)),2),"0000"))))</f>
        <v/>
      </c>
    </row>
    <row r="1634">
      <c r="A1634">
        <f>IF(OR(Calc!$E1637="",Calc!$E1637="نامعتبر",Calc!$G1637="",Calc!$I1637&lt;&gt;"خرید"),"",Calc!$G1637)</f>
        <v/>
      </c>
      <c r="B1634">
        <f>IF($A1634="","",LEFT(Calc!$E1637,4)&amp;MID(Calc!$E1637,6,2)&amp;RIGHT(Calc!$E1637,2)&amp;Calc!$R1637&amp;"|"&amp;"1"&amp;RIGHT("00000"&amp;1629,5))</f>
        <v/>
      </c>
      <c r="C1634">
        <f>IF($B1634="","",COUNTIFS(LdgPartyA,$A1634,LdgKeyA,"&lt;"&amp;$B1634)+COUNTIFS(LdgPartyB,$A1634,LdgKeyB,"&lt;"&amp;$B1634)+1)</f>
        <v/>
      </c>
      <c r="D1634">
        <f>IF($C1634="","",$A1634&amp;"|"&amp;RIGHT("000000"&amp;$C1634,6))</f>
        <v/>
      </c>
      <c r="F1634">
        <f>IF(Sync!$AJ1634="","",Sync!$AJ1634)</f>
        <v/>
      </c>
      <c r="G1634">
        <f>IF($F1634="","",IF(Sync!$AG1634="","",IF(ISNUMBER(Sync!$AG1634),IF(AND(Sync!$AG1634&gt;=10000101,Sync!$AG1634&lt;=99991231),INT(Sync!$AG1634/10000),""),IFERROR(VALUE(TRIM(LEFT(Sync!$AG1634,FIND("/",Sync!$AG1634)-1))),""))))</f>
        <v/>
      </c>
      <c r="H1634">
        <f>IF(OR($F1634="",$G1634=""),"",IF(ISNUMBER(Sync!$AG1634),INT(MOD(Sync!$AG1634,10000)/100),IFERROR(VALUE(TRIM(LEFT(MID(Sync!$AG1634,FIND("/",Sync!$AG1634)+1,20),FIND("/",MID(Sync!$AG1634,FIND("/",Sync!$AG1634)+1,20))-1))),"")))</f>
        <v/>
      </c>
      <c r="I1634">
        <f>IF(OR($F1634="",$G1634=""),"",IF(ISNUMBER(Sync!$AG1634),MOD(Sync!$AG1634,100),IFERROR(VALUE(TRIM(MID(MID(Sync!$AG1634,FIND("/",Sync!$AG1634)+1,20),FIND("/",MID(Sync!$AG1634,FIND("/",Sync!$AG1634)+1,20))+1,20))),"")))</f>
        <v/>
      </c>
      <c r="J1634">
        <f>IF($F1634="","",IF(OR($G1634="",$H1634="",$I1634="",$G1634&lt;1300,$G1634&gt;1500,$H1634&lt;1,$H1634&gt;12,$I1634&lt;1,$I1634&gt;31),"نامعتبر",RIGHT("0000"&amp;$G1634,4)&amp;"/"&amp;RIGHT("00"&amp;$H1634,2)&amp;"/"&amp;RIGHT("00"&amp;$I1634,2)))</f>
        <v/>
      </c>
      <c r="K1634">
        <f>IF(OR($F1634="",$J1634="",$J1634="نامعتبر"),"",LEFT($J1634,4)&amp;MID($J1634,6,2)&amp;RIGHT($J1634,2)&amp;$N1634&amp;"|"&amp;"2"&amp;RIGHT("00000"&amp;1629,5))</f>
        <v/>
      </c>
      <c r="L1634">
        <f>IF($K1634="","",COUNTIFS(LdgPartyA,$F1634,LdgKeyA,"&lt;"&amp;$K1634)+COUNTIFS(LdgPartyB,$F1634,LdgKeyB,"&lt;"&amp;$K1634)+1)</f>
        <v/>
      </c>
      <c r="M1634">
        <f>IF($L1634="","",$F1634&amp;"|"&amp;RIGHT("000000"&amp;$L1634,6))</f>
        <v/>
      </c>
      <c r="N1634">
        <f>IF($F1634="","",IF(Sync!$AH1634="","0000",IF(AND(ISNUMBER(Sync!$AH1634),Sync!$AH1634&gt;=0,Sync!$AH1634&lt;1),RIGHT("00"&amp;HOUR(Sync!$AH1634),2)&amp;RIGHT("00"&amp;MINUTE(Sync!$AH1634),2),IFERROR(RIGHT("00"&amp;VALUE(LEFT(Sync!$AH1634,FIND(":",Sync!$AH1634)-1)),2)&amp;RIGHT("00"&amp;VALUE(MID(Sync!$AH1634,FIND(":",Sync!$AH1634)+1,2)),2),"0000"))))</f>
        <v/>
      </c>
    </row>
    <row r="1635">
      <c r="A1635">
        <f>IF(OR(Calc!$E1638="",Calc!$E1638="نامعتبر",Calc!$G1638="",Calc!$I1638&lt;&gt;"خرید"),"",Calc!$G1638)</f>
        <v/>
      </c>
      <c r="B1635">
        <f>IF($A1635="","",LEFT(Calc!$E1638,4)&amp;MID(Calc!$E1638,6,2)&amp;RIGHT(Calc!$E1638,2)&amp;Calc!$R1638&amp;"|"&amp;"1"&amp;RIGHT("00000"&amp;1630,5))</f>
        <v/>
      </c>
      <c r="C1635">
        <f>IF($B1635="","",COUNTIFS(LdgPartyA,$A1635,LdgKeyA,"&lt;"&amp;$B1635)+COUNTIFS(LdgPartyB,$A1635,LdgKeyB,"&lt;"&amp;$B1635)+1)</f>
        <v/>
      </c>
      <c r="D1635">
        <f>IF($C1635="","",$A1635&amp;"|"&amp;RIGHT("000000"&amp;$C1635,6))</f>
        <v/>
      </c>
      <c r="F1635">
        <f>IF(Sync!$AJ1635="","",Sync!$AJ1635)</f>
        <v/>
      </c>
      <c r="G1635">
        <f>IF($F1635="","",IF(Sync!$AG1635="","",IF(ISNUMBER(Sync!$AG1635),IF(AND(Sync!$AG1635&gt;=10000101,Sync!$AG1635&lt;=99991231),INT(Sync!$AG1635/10000),""),IFERROR(VALUE(TRIM(LEFT(Sync!$AG1635,FIND("/",Sync!$AG1635)-1))),""))))</f>
        <v/>
      </c>
      <c r="H1635">
        <f>IF(OR($F1635="",$G1635=""),"",IF(ISNUMBER(Sync!$AG1635),INT(MOD(Sync!$AG1635,10000)/100),IFERROR(VALUE(TRIM(LEFT(MID(Sync!$AG1635,FIND("/",Sync!$AG1635)+1,20),FIND("/",MID(Sync!$AG1635,FIND("/",Sync!$AG1635)+1,20))-1))),"")))</f>
        <v/>
      </c>
      <c r="I1635">
        <f>IF(OR($F1635="",$G1635=""),"",IF(ISNUMBER(Sync!$AG1635),MOD(Sync!$AG1635,100),IFERROR(VALUE(TRIM(MID(MID(Sync!$AG1635,FIND("/",Sync!$AG1635)+1,20),FIND("/",MID(Sync!$AG1635,FIND("/",Sync!$AG1635)+1,20))+1,20))),"")))</f>
        <v/>
      </c>
      <c r="J1635">
        <f>IF($F1635="","",IF(OR($G1635="",$H1635="",$I1635="",$G1635&lt;1300,$G1635&gt;1500,$H1635&lt;1,$H1635&gt;12,$I1635&lt;1,$I1635&gt;31),"نامعتبر",RIGHT("0000"&amp;$G1635,4)&amp;"/"&amp;RIGHT("00"&amp;$H1635,2)&amp;"/"&amp;RIGHT("00"&amp;$I1635,2)))</f>
        <v/>
      </c>
      <c r="K1635">
        <f>IF(OR($F1635="",$J1635="",$J1635="نامعتبر"),"",LEFT($J1635,4)&amp;MID($J1635,6,2)&amp;RIGHT($J1635,2)&amp;$N1635&amp;"|"&amp;"2"&amp;RIGHT("00000"&amp;1630,5))</f>
        <v/>
      </c>
      <c r="L1635">
        <f>IF($K1635="","",COUNTIFS(LdgPartyA,$F1635,LdgKeyA,"&lt;"&amp;$K1635)+COUNTIFS(LdgPartyB,$F1635,LdgKeyB,"&lt;"&amp;$K1635)+1)</f>
        <v/>
      </c>
      <c r="M1635">
        <f>IF($L1635="","",$F1635&amp;"|"&amp;RIGHT("000000"&amp;$L1635,6))</f>
        <v/>
      </c>
      <c r="N1635">
        <f>IF($F1635="","",IF(Sync!$AH1635="","0000",IF(AND(ISNUMBER(Sync!$AH1635),Sync!$AH1635&gt;=0,Sync!$AH1635&lt;1),RIGHT("00"&amp;HOUR(Sync!$AH1635),2)&amp;RIGHT("00"&amp;MINUTE(Sync!$AH1635),2),IFERROR(RIGHT("00"&amp;VALUE(LEFT(Sync!$AH1635,FIND(":",Sync!$AH1635)-1)),2)&amp;RIGHT("00"&amp;VALUE(MID(Sync!$AH1635,FIND(":",Sync!$AH1635)+1,2)),2),"0000"))))</f>
        <v/>
      </c>
    </row>
    <row r="1636">
      <c r="A1636">
        <f>IF(OR(Calc!$E1639="",Calc!$E1639="نامعتبر",Calc!$G1639="",Calc!$I1639&lt;&gt;"خرید"),"",Calc!$G1639)</f>
        <v/>
      </c>
      <c r="B1636">
        <f>IF($A1636="","",LEFT(Calc!$E1639,4)&amp;MID(Calc!$E1639,6,2)&amp;RIGHT(Calc!$E1639,2)&amp;Calc!$R1639&amp;"|"&amp;"1"&amp;RIGHT("00000"&amp;1631,5))</f>
        <v/>
      </c>
      <c r="C1636">
        <f>IF($B1636="","",COUNTIFS(LdgPartyA,$A1636,LdgKeyA,"&lt;"&amp;$B1636)+COUNTIFS(LdgPartyB,$A1636,LdgKeyB,"&lt;"&amp;$B1636)+1)</f>
        <v/>
      </c>
      <c r="D1636">
        <f>IF($C1636="","",$A1636&amp;"|"&amp;RIGHT("000000"&amp;$C1636,6))</f>
        <v/>
      </c>
      <c r="F1636">
        <f>IF(Sync!$AJ1636="","",Sync!$AJ1636)</f>
        <v/>
      </c>
      <c r="G1636">
        <f>IF($F1636="","",IF(Sync!$AG1636="","",IF(ISNUMBER(Sync!$AG1636),IF(AND(Sync!$AG1636&gt;=10000101,Sync!$AG1636&lt;=99991231),INT(Sync!$AG1636/10000),""),IFERROR(VALUE(TRIM(LEFT(Sync!$AG1636,FIND("/",Sync!$AG1636)-1))),""))))</f>
        <v/>
      </c>
      <c r="H1636">
        <f>IF(OR($F1636="",$G1636=""),"",IF(ISNUMBER(Sync!$AG1636),INT(MOD(Sync!$AG1636,10000)/100),IFERROR(VALUE(TRIM(LEFT(MID(Sync!$AG1636,FIND("/",Sync!$AG1636)+1,20),FIND("/",MID(Sync!$AG1636,FIND("/",Sync!$AG1636)+1,20))-1))),"")))</f>
        <v/>
      </c>
      <c r="I1636">
        <f>IF(OR($F1636="",$G1636=""),"",IF(ISNUMBER(Sync!$AG1636),MOD(Sync!$AG1636,100),IFERROR(VALUE(TRIM(MID(MID(Sync!$AG1636,FIND("/",Sync!$AG1636)+1,20),FIND("/",MID(Sync!$AG1636,FIND("/",Sync!$AG1636)+1,20))+1,20))),"")))</f>
        <v/>
      </c>
      <c r="J1636">
        <f>IF($F1636="","",IF(OR($G1636="",$H1636="",$I1636="",$G1636&lt;1300,$G1636&gt;1500,$H1636&lt;1,$H1636&gt;12,$I1636&lt;1,$I1636&gt;31),"نامعتبر",RIGHT("0000"&amp;$G1636,4)&amp;"/"&amp;RIGHT("00"&amp;$H1636,2)&amp;"/"&amp;RIGHT("00"&amp;$I1636,2)))</f>
        <v/>
      </c>
      <c r="K1636">
        <f>IF(OR($F1636="",$J1636="",$J1636="نامعتبر"),"",LEFT($J1636,4)&amp;MID($J1636,6,2)&amp;RIGHT($J1636,2)&amp;$N1636&amp;"|"&amp;"2"&amp;RIGHT("00000"&amp;1631,5))</f>
        <v/>
      </c>
      <c r="L1636">
        <f>IF($K1636="","",COUNTIFS(LdgPartyA,$F1636,LdgKeyA,"&lt;"&amp;$K1636)+COUNTIFS(LdgPartyB,$F1636,LdgKeyB,"&lt;"&amp;$K1636)+1)</f>
        <v/>
      </c>
      <c r="M1636">
        <f>IF($L1636="","",$F1636&amp;"|"&amp;RIGHT("000000"&amp;$L1636,6))</f>
        <v/>
      </c>
      <c r="N1636">
        <f>IF($F1636="","",IF(Sync!$AH1636="","0000",IF(AND(ISNUMBER(Sync!$AH1636),Sync!$AH1636&gt;=0,Sync!$AH1636&lt;1),RIGHT("00"&amp;HOUR(Sync!$AH1636),2)&amp;RIGHT("00"&amp;MINUTE(Sync!$AH1636),2),IFERROR(RIGHT("00"&amp;VALUE(LEFT(Sync!$AH1636,FIND(":",Sync!$AH1636)-1)),2)&amp;RIGHT("00"&amp;VALUE(MID(Sync!$AH1636,FIND(":",Sync!$AH1636)+1,2)),2),"0000"))))</f>
        <v/>
      </c>
    </row>
    <row r="1637">
      <c r="A1637">
        <f>IF(OR(Calc!$E1640="",Calc!$E1640="نامعتبر",Calc!$G1640="",Calc!$I1640&lt;&gt;"خرید"),"",Calc!$G1640)</f>
        <v/>
      </c>
      <c r="B1637">
        <f>IF($A1637="","",LEFT(Calc!$E1640,4)&amp;MID(Calc!$E1640,6,2)&amp;RIGHT(Calc!$E1640,2)&amp;Calc!$R1640&amp;"|"&amp;"1"&amp;RIGHT("00000"&amp;1632,5))</f>
        <v/>
      </c>
      <c r="C1637">
        <f>IF($B1637="","",COUNTIFS(LdgPartyA,$A1637,LdgKeyA,"&lt;"&amp;$B1637)+COUNTIFS(LdgPartyB,$A1637,LdgKeyB,"&lt;"&amp;$B1637)+1)</f>
        <v/>
      </c>
      <c r="D1637">
        <f>IF($C1637="","",$A1637&amp;"|"&amp;RIGHT("000000"&amp;$C1637,6))</f>
        <v/>
      </c>
      <c r="F1637">
        <f>IF(Sync!$AJ1637="","",Sync!$AJ1637)</f>
        <v/>
      </c>
      <c r="G1637">
        <f>IF($F1637="","",IF(Sync!$AG1637="","",IF(ISNUMBER(Sync!$AG1637),IF(AND(Sync!$AG1637&gt;=10000101,Sync!$AG1637&lt;=99991231),INT(Sync!$AG1637/10000),""),IFERROR(VALUE(TRIM(LEFT(Sync!$AG1637,FIND("/",Sync!$AG1637)-1))),""))))</f>
        <v/>
      </c>
      <c r="H1637">
        <f>IF(OR($F1637="",$G1637=""),"",IF(ISNUMBER(Sync!$AG1637),INT(MOD(Sync!$AG1637,10000)/100),IFERROR(VALUE(TRIM(LEFT(MID(Sync!$AG1637,FIND("/",Sync!$AG1637)+1,20),FIND("/",MID(Sync!$AG1637,FIND("/",Sync!$AG1637)+1,20))-1))),"")))</f>
        <v/>
      </c>
      <c r="I1637">
        <f>IF(OR($F1637="",$G1637=""),"",IF(ISNUMBER(Sync!$AG1637),MOD(Sync!$AG1637,100),IFERROR(VALUE(TRIM(MID(MID(Sync!$AG1637,FIND("/",Sync!$AG1637)+1,20),FIND("/",MID(Sync!$AG1637,FIND("/",Sync!$AG1637)+1,20))+1,20))),"")))</f>
        <v/>
      </c>
      <c r="J1637">
        <f>IF($F1637="","",IF(OR($G1637="",$H1637="",$I1637="",$G1637&lt;1300,$G1637&gt;1500,$H1637&lt;1,$H1637&gt;12,$I1637&lt;1,$I1637&gt;31),"نامعتبر",RIGHT("0000"&amp;$G1637,4)&amp;"/"&amp;RIGHT("00"&amp;$H1637,2)&amp;"/"&amp;RIGHT("00"&amp;$I1637,2)))</f>
        <v/>
      </c>
      <c r="K1637">
        <f>IF(OR($F1637="",$J1637="",$J1637="نامعتبر"),"",LEFT($J1637,4)&amp;MID($J1637,6,2)&amp;RIGHT($J1637,2)&amp;$N1637&amp;"|"&amp;"2"&amp;RIGHT("00000"&amp;1632,5))</f>
        <v/>
      </c>
      <c r="L1637">
        <f>IF($K1637="","",COUNTIFS(LdgPartyA,$F1637,LdgKeyA,"&lt;"&amp;$K1637)+COUNTIFS(LdgPartyB,$F1637,LdgKeyB,"&lt;"&amp;$K1637)+1)</f>
        <v/>
      </c>
      <c r="M1637">
        <f>IF($L1637="","",$F1637&amp;"|"&amp;RIGHT("000000"&amp;$L1637,6))</f>
        <v/>
      </c>
      <c r="N1637">
        <f>IF($F1637="","",IF(Sync!$AH1637="","0000",IF(AND(ISNUMBER(Sync!$AH1637),Sync!$AH1637&gt;=0,Sync!$AH1637&lt;1),RIGHT("00"&amp;HOUR(Sync!$AH1637),2)&amp;RIGHT("00"&amp;MINUTE(Sync!$AH1637),2),IFERROR(RIGHT("00"&amp;VALUE(LEFT(Sync!$AH1637,FIND(":",Sync!$AH1637)-1)),2)&amp;RIGHT("00"&amp;VALUE(MID(Sync!$AH1637,FIND(":",Sync!$AH1637)+1,2)),2),"0000"))))</f>
        <v/>
      </c>
    </row>
    <row r="1638">
      <c r="A1638">
        <f>IF(OR(Calc!$E1641="",Calc!$E1641="نامعتبر",Calc!$G1641="",Calc!$I1641&lt;&gt;"خرید"),"",Calc!$G1641)</f>
        <v/>
      </c>
      <c r="B1638">
        <f>IF($A1638="","",LEFT(Calc!$E1641,4)&amp;MID(Calc!$E1641,6,2)&amp;RIGHT(Calc!$E1641,2)&amp;Calc!$R1641&amp;"|"&amp;"1"&amp;RIGHT("00000"&amp;1633,5))</f>
        <v/>
      </c>
      <c r="C1638">
        <f>IF($B1638="","",COUNTIFS(LdgPartyA,$A1638,LdgKeyA,"&lt;"&amp;$B1638)+COUNTIFS(LdgPartyB,$A1638,LdgKeyB,"&lt;"&amp;$B1638)+1)</f>
        <v/>
      </c>
      <c r="D1638">
        <f>IF($C1638="","",$A1638&amp;"|"&amp;RIGHT("000000"&amp;$C1638,6))</f>
        <v/>
      </c>
      <c r="F1638">
        <f>IF(Sync!$AJ1638="","",Sync!$AJ1638)</f>
        <v/>
      </c>
      <c r="G1638">
        <f>IF($F1638="","",IF(Sync!$AG1638="","",IF(ISNUMBER(Sync!$AG1638),IF(AND(Sync!$AG1638&gt;=10000101,Sync!$AG1638&lt;=99991231),INT(Sync!$AG1638/10000),""),IFERROR(VALUE(TRIM(LEFT(Sync!$AG1638,FIND("/",Sync!$AG1638)-1))),""))))</f>
        <v/>
      </c>
      <c r="H1638">
        <f>IF(OR($F1638="",$G1638=""),"",IF(ISNUMBER(Sync!$AG1638),INT(MOD(Sync!$AG1638,10000)/100),IFERROR(VALUE(TRIM(LEFT(MID(Sync!$AG1638,FIND("/",Sync!$AG1638)+1,20),FIND("/",MID(Sync!$AG1638,FIND("/",Sync!$AG1638)+1,20))-1))),"")))</f>
        <v/>
      </c>
      <c r="I1638">
        <f>IF(OR($F1638="",$G1638=""),"",IF(ISNUMBER(Sync!$AG1638),MOD(Sync!$AG1638,100),IFERROR(VALUE(TRIM(MID(MID(Sync!$AG1638,FIND("/",Sync!$AG1638)+1,20),FIND("/",MID(Sync!$AG1638,FIND("/",Sync!$AG1638)+1,20))+1,20))),"")))</f>
        <v/>
      </c>
      <c r="J1638">
        <f>IF($F1638="","",IF(OR($G1638="",$H1638="",$I1638="",$G1638&lt;1300,$G1638&gt;1500,$H1638&lt;1,$H1638&gt;12,$I1638&lt;1,$I1638&gt;31),"نامعتبر",RIGHT("0000"&amp;$G1638,4)&amp;"/"&amp;RIGHT("00"&amp;$H1638,2)&amp;"/"&amp;RIGHT("00"&amp;$I1638,2)))</f>
        <v/>
      </c>
      <c r="K1638">
        <f>IF(OR($F1638="",$J1638="",$J1638="نامعتبر"),"",LEFT($J1638,4)&amp;MID($J1638,6,2)&amp;RIGHT($J1638,2)&amp;$N1638&amp;"|"&amp;"2"&amp;RIGHT("00000"&amp;1633,5))</f>
        <v/>
      </c>
      <c r="L1638">
        <f>IF($K1638="","",COUNTIFS(LdgPartyA,$F1638,LdgKeyA,"&lt;"&amp;$K1638)+COUNTIFS(LdgPartyB,$F1638,LdgKeyB,"&lt;"&amp;$K1638)+1)</f>
        <v/>
      </c>
      <c r="M1638">
        <f>IF($L1638="","",$F1638&amp;"|"&amp;RIGHT("000000"&amp;$L1638,6))</f>
        <v/>
      </c>
      <c r="N1638">
        <f>IF($F1638="","",IF(Sync!$AH1638="","0000",IF(AND(ISNUMBER(Sync!$AH1638),Sync!$AH1638&gt;=0,Sync!$AH1638&lt;1),RIGHT("00"&amp;HOUR(Sync!$AH1638),2)&amp;RIGHT("00"&amp;MINUTE(Sync!$AH1638),2),IFERROR(RIGHT("00"&amp;VALUE(LEFT(Sync!$AH1638,FIND(":",Sync!$AH1638)-1)),2)&amp;RIGHT("00"&amp;VALUE(MID(Sync!$AH1638,FIND(":",Sync!$AH1638)+1,2)),2),"0000"))))</f>
        <v/>
      </c>
    </row>
    <row r="1639">
      <c r="A1639">
        <f>IF(OR(Calc!$E1642="",Calc!$E1642="نامعتبر",Calc!$G1642="",Calc!$I1642&lt;&gt;"خرید"),"",Calc!$G1642)</f>
        <v/>
      </c>
      <c r="B1639">
        <f>IF($A1639="","",LEFT(Calc!$E1642,4)&amp;MID(Calc!$E1642,6,2)&amp;RIGHT(Calc!$E1642,2)&amp;Calc!$R1642&amp;"|"&amp;"1"&amp;RIGHT("00000"&amp;1634,5))</f>
        <v/>
      </c>
      <c r="C1639">
        <f>IF($B1639="","",COUNTIFS(LdgPartyA,$A1639,LdgKeyA,"&lt;"&amp;$B1639)+COUNTIFS(LdgPartyB,$A1639,LdgKeyB,"&lt;"&amp;$B1639)+1)</f>
        <v/>
      </c>
      <c r="D1639">
        <f>IF($C1639="","",$A1639&amp;"|"&amp;RIGHT("000000"&amp;$C1639,6))</f>
        <v/>
      </c>
      <c r="F1639">
        <f>IF(Sync!$AJ1639="","",Sync!$AJ1639)</f>
        <v/>
      </c>
      <c r="G1639">
        <f>IF($F1639="","",IF(Sync!$AG1639="","",IF(ISNUMBER(Sync!$AG1639),IF(AND(Sync!$AG1639&gt;=10000101,Sync!$AG1639&lt;=99991231),INT(Sync!$AG1639/10000),""),IFERROR(VALUE(TRIM(LEFT(Sync!$AG1639,FIND("/",Sync!$AG1639)-1))),""))))</f>
        <v/>
      </c>
      <c r="H1639">
        <f>IF(OR($F1639="",$G1639=""),"",IF(ISNUMBER(Sync!$AG1639),INT(MOD(Sync!$AG1639,10000)/100),IFERROR(VALUE(TRIM(LEFT(MID(Sync!$AG1639,FIND("/",Sync!$AG1639)+1,20),FIND("/",MID(Sync!$AG1639,FIND("/",Sync!$AG1639)+1,20))-1))),"")))</f>
        <v/>
      </c>
      <c r="I1639">
        <f>IF(OR($F1639="",$G1639=""),"",IF(ISNUMBER(Sync!$AG1639),MOD(Sync!$AG1639,100),IFERROR(VALUE(TRIM(MID(MID(Sync!$AG1639,FIND("/",Sync!$AG1639)+1,20),FIND("/",MID(Sync!$AG1639,FIND("/",Sync!$AG1639)+1,20))+1,20))),"")))</f>
        <v/>
      </c>
      <c r="J1639">
        <f>IF($F1639="","",IF(OR($G1639="",$H1639="",$I1639="",$G1639&lt;1300,$G1639&gt;1500,$H1639&lt;1,$H1639&gt;12,$I1639&lt;1,$I1639&gt;31),"نامعتبر",RIGHT("0000"&amp;$G1639,4)&amp;"/"&amp;RIGHT("00"&amp;$H1639,2)&amp;"/"&amp;RIGHT("00"&amp;$I1639,2)))</f>
        <v/>
      </c>
      <c r="K1639">
        <f>IF(OR($F1639="",$J1639="",$J1639="نامعتبر"),"",LEFT($J1639,4)&amp;MID($J1639,6,2)&amp;RIGHT($J1639,2)&amp;$N1639&amp;"|"&amp;"2"&amp;RIGHT("00000"&amp;1634,5))</f>
        <v/>
      </c>
      <c r="L1639">
        <f>IF($K1639="","",COUNTIFS(LdgPartyA,$F1639,LdgKeyA,"&lt;"&amp;$K1639)+COUNTIFS(LdgPartyB,$F1639,LdgKeyB,"&lt;"&amp;$K1639)+1)</f>
        <v/>
      </c>
      <c r="M1639">
        <f>IF($L1639="","",$F1639&amp;"|"&amp;RIGHT("000000"&amp;$L1639,6))</f>
        <v/>
      </c>
      <c r="N1639">
        <f>IF($F1639="","",IF(Sync!$AH1639="","0000",IF(AND(ISNUMBER(Sync!$AH1639),Sync!$AH1639&gt;=0,Sync!$AH1639&lt;1),RIGHT("00"&amp;HOUR(Sync!$AH1639),2)&amp;RIGHT("00"&amp;MINUTE(Sync!$AH1639),2),IFERROR(RIGHT("00"&amp;VALUE(LEFT(Sync!$AH1639,FIND(":",Sync!$AH1639)-1)),2)&amp;RIGHT("00"&amp;VALUE(MID(Sync!$AH1639,FIND(":",Sync!$AH1639)+1,2)),2),"0000"))))</f>
        <v/>
      </c>
    </row>
    <row r="1640">
      <c r="A1640">
        <f>IF(OR(Calc!$E1643="",Calc!$E1643="نامعتبر",Calc!$G1643="",Calc!$I1643&lt;&gt;"خرید"),"",Calc!$G1643)</f>
        <v/>
      </c>
      <c r="B1640">
        <f>IF($A1640="","",LEFT(Calc!$E1643,4)&amp;MID(Calc!$E1643,6,2)&amp;RIGHT(Calc!$E1643,2)&amp;Calc!$R1643&amp;"|"&amp;"1"&amp;RIGHT("00000"&amp;1635,5))</f>
        <v/>
      </c>
      <c r="C1640">
        <f>IF($B1640="","",COUNTIFS(LdgPartyA,$A1640,LdgKeyA,"&lt;"&amp;$B1640)+COUNTIFS(LdgPartyB,$A1640,LdgKeyB,"&lt;"&amp;$B1640)+1)</f>
        <v/>
      </c>
      <c r="D1640">
        <f>IF($C1640="","",$A1640&amp;"|"&amp;RIGHT("000000"&amp;$C1640,6))</f>
        <v/>
      </c>
      <c r="F1640">
        <f>IF(Sync!$AJ1640="","",Sync!$AJ1640)</f>
        <v/>
      </c>
      <c r="G1640">
        <f>IF($F1640="","",IF(Sync!$AG1640="","",IF(ISNUMBER(Sync!$AG1640),IF(AND(Sync!$AG1640&gt;=10000101,Sync!$AG1640&lt;=99991231),INT(Sync!$AG1640/10000),""),IFERROR(VALUE(TRIM(LEFT(Sync!$AG1640,FIND("/",Sync!$AG1640)-1))),""))))</f>
        <v/>
      </c>
      <c r="H1640">
        <f>IF(OR($F1640="",$G1640=""),"",IF(ISNUMBER(Sync!$AG1640),INT(MOD(Sync!$AG1640,10000)/100),IFERROR(VALUE(TRIM(LEFT(MID(Sync!$AG1640,FIND("/",Sync!$AG1640)+1,20),FIND("/",MID(Sync!$AG1640,FIND("/",Sync!$AG1640)+1,20))-1))),"")))</f>
        <v/>
      </c>
      <c r="I1640">
        <f>IF(OR($F1640="",$G1640=""),"",IF(ISNUMBER(Sync!$AG1640),MOD(Sync!$AG1640,100),IFERROR(VALUE(TRIM(MID(MID(Sync!$AG1640,FIND("/",Sync!$AG1640)+1,20),FIND("/",MID(Sync!$AG1640,FIND("/",Sync!$AG1640)+1,20))+1,20))),"")))</f>
        <v/>
      </c>
      <c r="J1640">
        <f>IF($F1640="","",IF(OR($G1640="",$H1640="",$I1640="",$G1640&lt;1300,$G1640&gt;1500,$H1640&lt;1,$H1640&gt;12,$I1640&lt;1,$I1640&gt;31),"نامعتبر",RIGHT("0000"&amp;$G1640,4)&amp;"/"&amp;RIGHT("00"&amp;$H1640,2)&amp;"/"&amp;RIGHT("00"&amp;$I1640,2)))</f>
        <v/>
      </c>
      <c r="K1640">
        <f>IF(OR($F1640="",$J1640="",$J1640="نامعتبر"),"",LEFT($J1640,4)&amp;MID($J1640,6,2)&amp;RIGHT($J1640,2)&amp;$N1640&amp;"|"&amp;"2"&amp;RIGHT("00000"&amp;1635,5))</f>
        <v/>
      </c>
      <c r="L1640">
        <f>IF($K1640="","",COUNTIFS(LdgPartyA,$F1640,LdgKeyA,"&lt;"&amp;$K1640)+COUNTIFS(LdgPartyB,$F1640,LdgKeyB,"&lt;"&amp;$K1640)+1)</f>
        <v/>
      </c>
      <c r="M1640">
        <f>IF($L1640="","",$F1640&amp;"|"&amp;RIGHT("000000"&amp;$L1640,6))</f>
        <v/>
      </c>
      <c r="N1640">
        <f>IF($F1640="","",IF(Sync!$AH1640="","0000",IF(AND(ISNUMBER(Sync!$AH1640),Sync!$AH1640&gt;=0,Sync!$AH1640&lt;1),RIGHT("00"&amp;HOUR(Sync!$AH1640),2)&amp;RIGHT("00"&amp;MINUTE(Sync!$AH1640),2),IFERROR(RIGHT("00"&amp;VALUE(LEFT(Sync!$AH1640,FIND(":",Sync!$AH1640)-1)),2)&amp;RIGHT("00"&amp;VALUE(MID(Sync!$AH1640,FIND(":",Sync!$AH1640)+1,2)),2),"0000"))))</f>
        <v/>
      </c>
    </row>
    <row r="1641">
      <c r="A1641">
        <f>IF(OR(Calc!$E1644="",Calc!$E1644="نامعتبر",Calc!$G1644="",Calc!$I1644&lt;&gt;"خرید"),"",Calc!$G1644)</f>
        <v/>
      </c>
      <c r="B1641">
        <f>IF($A1641="","",LEFT(Calc!$E1644,4)&amp;MID(Calc!$E1644,6,2)&amp;RIGHT(Calc!$E1644,2)&amp;Calc!$R1644&amp;"|"&amp;"1"&amp;RIGHT("00000"&amp;1636,5))</f>
        <v/>
      </c>
      <c r="C1641">
        <f>IF($B1641="","",COUNTIFS(LdgPartyA,$A1641,LdgKeyA,"&lt;"&amp;$B1641)+COUNTIFS(LdgPartyB,$A1641,LdgKeyB,"&lt;"&amp;$B1641)+1)</f>
        <v/>
      </c>
      <c r="D1641">
        <f>IF($C1641="","",$A1641&amp;"|"&amp;RIGHT("000000"&amp;$C1641,6))</f>
        <v/>
      </c>
      <c r="F1641">
        <f>IF(Sync!$AJ1641="","",Sync!$AJ1641)</f>
        <v/>
      </c>
      <c r="G1641">
        <f>IF($F1641="","",IF(Sync!$AG1641="","",IF(ISNUMBER(Sync!$AG1641),IF(AND(Sync!$AG1641&gt;=10000101,Sync!$AG1641&lt;=99991231),INT(Sync!$AG1641/10000),""),IFERROR(VALUE(TRIM(LEFT(Sync!$AG1641,FIND("/",Sync!$AG1641)-1))),""))))</f>
        <v/>
      </c>
      <c r="H1641">
        <f>IF(OR($F1641="",$G1641=""),"",IF(ISNUMBER(Sync!$AG1641),INT(MOD(Sync!$AG1641,10000)/100),IFERROR(VALUE(TRIM(LEFT(MID(Sync!$AG1641,FIND("/",Sync!$AG1641)+1,20),FIND("/",MID(Sync!$AG1641,FIND("/",Sync!$AG1641)+1,20))-1))),"")))</f>
        <v/>
      </c>
      <c r="I1641">
        <f>IF(OR($F1641="",$G1641=""),"",IF(ISNUMBER(Sync!$AG1641),MOD(Sync!$AG1641,100),IFERROR(VALUE(TRIM(MID(MID(Sync!$AG1641,FIND("/",Sync!$AG1641)+1,20),FIND("/",MID(Sync!$AG1641,FIND("/",Sync!$AG1641)+1,20))+1,20))),"")))</f>
        <v/>
      </c>
      <c r="J1641">
        <f>IF($F1641="","",IF(OR($G1641="",$H1641="",$I1641="",$G1641&lt;1300,$G1641&gt;1500,$H1641&lt;1,$H1641&gt;12,$I1641&lt;1,$I1641&gt;31),"نامعتبر",RIGHT("0000"&amp;$G1641,4)&amp;"/"&amp;RIGHT("00"&amp;$H1641,2)&amp;"/"&amp;RIGHT("00"&amp;$I1641,2)))</f>
        <v/>
      </c>
      <c r="K1641">
        <f>IF(OR($F1641="",$J1641="",$J1641="نامعتبر"),"",LEFT($J1641,4)&amp;MID($J1641,6,2)&amp;RIGHT($J1641,2)&amp;$N1641&amp;"|"&amp;"2"&amp;RIGHT("00000"&amp;1636,5))</f>
        <v/>
      </c>
      <c r="L1641">
        <f>IF($K1641="","",COUNTIFS(LdgPartyA,$F1641,LdgKeyA,"&lt;"&amp;$K1641)+COUNTIFS(LdgPartyB,$F1641,LdgKeyB,"&lt;"&amp;$K1641)+1)</f>
        <v/>
      </c>
      <c r="M1641">
        <f>IF($L1641="","",$F1641&amp;"|"&amp;RIGHT("000000"&amp;$L1641,6))</f>
        <v/>
      </c>
      <c r="N1641">
        <f>IF($F1641="","",IF(Sync!$AH1641="","0000",IF(AND(ISNUMBER(Sync!$AH1641),Sync!$AH1641&gt;=0,Sync!$AH1641&lt;1),RIGHT("00"&amp;HOUR(Sync!$AH1641),2)&amp;RIGHT("00"&amp;MINUTE(Sync!$AH1641),2),IFERROR(RIGHT("00"&amp;VALUE(LEFT(Sync!$AH1641,FIND(":",Sync!$AH1641)-1)),2)&amp;RIGHT("00"&amp;VALUE(MID(Sync!$AH1641,FIND(":",Sync!$AH1641)+1,2)),2),"0000"))))</f>
        <v/>
      </c>
    </row>
    <row r="1642">
      <c r="A1642">
        <f>IF(OR(Calc!$E1645="",Calc!$E1645="نامعتبر",Calc!$G1645="",Calc!$I1645&lt;&gt;"خرید"),"",Calc!$G1645)</f>
        <v/>
      </c>
      <c r="B1642">
        <f>IF($A1642="","",LEFT(Calc!$E1645,4)&amp;MID(Calc!$E1645,6,2)&amp;RIGHT(Calc!$E1645,2)&amp;Calc!$R1645&amp;"|"&amp;"1"&amp;RIGHT("00000"&amp;1637,5))</f>
        <v/>
      </c>
      <c r="C1642">
        <f>IF($B1642="","",COUNTIFS(LdgPartyA,$A1642,LdgKeyA,"&lt;"&amp;$B1642)+COUNTIFS(LdgPartyB,$A1642,LdgKeyB,"&lt;"&amp;$B1642)+1)</f>
        <v/>
      </c>
      <c r="D1642">
        <f>IF($C1642="","",$A1642&amp;"|"&amp;RIGHT("000000"&amp;$C1642,6))</f>
        <v/>
      </c>
      <c r="F1642">
        <f>IF(Sync!$AJ1642="","",Sync!$AJ1642)</f>
        <v/>
      </c>
      <c r="G1642">
        <f>IF($F1642="","",IF(Sync!$AG1642="","",IF(ISNUMBER(Sync!$AG1642),IF(AND(Sync!$AG1642&gt;=10000101,Sync!$AG1642&lt;=99991231),INT(Sync!$AG1642/10000),""),IFERROR(VALUE(TRIM(LEFT(Sync!$AG1642,FIND("/",Sync!$AG1642)-1))),""))))</f>
        <v/>
      </c>
      <c r="H1642">
        <f>IF(OR($F1642="",$G1642=""),"",IF(ISNUMBER(Sync!$AG1642),INT(MOD(Sync!$AG1642,10000)/100),IFERROR(VALUE(TRIM(LEFT(MID(Sync!$AG1642,FIND("/",Sync!$AG1642)+1,20),FIND("/",MID(Sync!$AG1642,FIND("/",Sync!$AG1642)+1,20))-1))),"")))</f>
        <v/>
      </c>
      <c r="I1642">
        <f>IF(OR($F1642="",$G1642=""),"",IF(ISNUMBER(Sync!$AG1642),MOD(Sync!$AG1642,100),IFERROR(VALUE(TRIM(MID(MID(Sync!$AG1642,FIND("/",Sync!$AG1642)+1,20),FIND("/",MID(Sync!$AG1642,FIND("/",Sync!$AG1642)+1,20))+1,20))),"")))</f>
        <v/>
      </c>
      <c r="J1642">
        <f>IF($F1642="","",IF(OR($G1642="",$H1642="",$I1642="",$G1642&lt;1300,$G1642&gt;1500,$H1642&lt;1,$H1642&gt;12,$I1642&lt;1,$I1642&gt;31),"نامعتبر",RIGHT("0000"&amp;$G1642,4)&amp;"/"&amp;RIGHT("00"&amp;$H1642,2)&amp;"/"&amp;RIGHT("00"&amp;$I1642,2)))</f>
        <v/>
      </c>
      <c r="K1642">
        <f>IF(OR($F1642="",$J1642="",$J1642="نامعتبر"),"",LEFT($J1642,4)&amp;MID($J1642,6,2)&amp;RIGHT($J1642,2)&amp;$N1642&amp;"|"&amp;"2"&amp;RIGHT("00000"&amp;1637,5))</f>
        <v/>
      </c>
      <c r="L1642">
        <f>IF($K1642="","",COUNTIFS(LdgPartyA,$F1642,LdgKeyA,"&lt;"&amp;$K1642)+COUNTIFS(LdgPartyB,$F1642,LdgKeyB,"&lt;"&amp;$K1642)+1)</f>
        <v/>
      </c>
      <c r="M1642">
        <f>IF($L1642="","",$F1642&amp;"|"&amp;RIGHT("000000"&amp;$L1642,6))</f>
        <v/>
      </c>
      <c r="N1642">
        <f>IF($F1642="","",IF(Sync!$AH1642="","0000",IF(AND(ISNUMBER(Sync!$AH1642),Sync!$AH1642&gt;=0,Sync!$AH1642&lt;1),RIGHT("00"&amp;HOUR(Sync!$AH1642),2)&amp;RIGHT("00"&amp;MINUTE(Sync!$AH1642),2),IFERROR(RIGHT("00"&amp;VALUE(LEFT(Sync!$AH1642,FIND(":",Sync!$AH1642)-1)),2)&amp;RIGHT("00"&amp;VALUE(MID(Sync!$AH1642,FIND(":",Sync!$AH1642)+1,2)),2),"0000"))))</f>
        <v/>
      </c>
    </row>
    <row r="1643">
      <c r="A1643">
        <f>IF(OR(Calc!$E1646="",Calc!$E1646="نامعتبر",Calc!$G1646="",Calc!$I1646&lt;&gt;"خرید"),"",Calc!$G1646)</f>
        <v/>
      </c>
      <c r="B1643">
        <f>IF($A1643="","",LEFT(Calc!$E1646,4)&amp;MID(Calc!$E1646,6,2)&amp;RIGHT(Calc!$E1646,2)&amp;Calc!$R1646&amp;"|"&amp;"1"&amp;RIGHT("00000"&amp;1638,5))</f>
        <v/>
      </c>
      <c r="C1643">
        <f>IF($B1643="","",COUNTIFS(LdgPartyA,$A1643,LdgKeyA,"&lt;"&amp;$B1643)+COUNTIFS(LdgPartyB,$A1643,LdgKeyB,"&lt;"&amp;$B1643)+1)</f>
        <v/>
      </c>
      <c r="D1643">
        <f>IF($C1643="","",$A1643&amp;"|"&amp;RIGHT("000000"&amp;$C1643,6))</f>
        <v/>
      </c>
      <c r="F1643">
        <f>IF(Sync!$AJ1643="","",Sync!$AJ1643)</f>
        <v/>
      </c>
      <c r="G1643">
        <f>IF($F1643="","",IF(Sync!$AG1643="","",IF(ISNUMBER(Sync!$AG1643),IF(AND(Sync!$AG1643&gt;=10000101,Sync!$AG1643&lt;=99991231),INT(Sync!$AG1643/10000),""),IFERROR(VALUE(TRIM(LEFT(Sync!$AG1643,FIND("/",Sync!$AG1643)-1))),""))))</f>
        <v/>
      </c>
      <c r="H1643">
        <f>IF(OR($F1643="",$G1643=""),"",IF(ISNUMBER(Sync!$AG1643),INT(MOD(Sync!$AG1643,10000)/100),IFERROR(VALUE(TRIM(LEFT(MID(Sync!$AG1643,FIND("/",Sync!$AG1643)+1,20),FIND("/",MID(Sync!$AG1643,FIND("/",Sync!$AG1643)+1,20))-1))),"")))</f>
        <v/>
      </c>
      <c r="I1643">
        <f>IF(OR($F1643="",$G1643=""),"",IF(ISNUMBER(Sync!$AG1643),MOD(Sync!$AG1643,100),IFERROR(VALUE(TRIM(MID(MID(Sync!$AG1643,FIND("/",Sync!$AG1643)+1,20),FIND("/",MID(Sync!$AG1643,FIND("/",Sync!$AG1643)+1,20))+1,20))),"")))</f>
        <v/>
      </c>
      <c r="J1643">
        <f>IF($F1643="","",IF(OR($G1643="",$H1643="",$I1643="",$G1643&lt;1300,$G1643&gt;1500,$H1643&lt;1,$H1643&gt;12,$I1643&lt;1,$I1643&gt;31),"نامعتبر",RIGHT("0000"&amp;$G1643,4)&amp;"/"&amp;RIGHT("00"&amp;$H1643,2)&amp;"/"&amp;RIGHT("00"&amp;$I1643,2)))</f>
        <v/>
      </c>
      <c r="K1643">
        <f>IF(OR($F1643="",$J1643="",$J1643="نامعتبر"),"",LEFT($J1643,4)&amp;MID($J1643,6,2)&amp;RIGHT($J1643,2)&amp;$N1643&amp;"|"&amp;"2"&amp;RIGHT("00000"&amp;1638,5))</f>
        <v/>
      </c>
      <c r="L1643">
        <f>IF($K1643="","",COUNTIFS(LdgPartyA,$F1643,LdgKeyA,"&lt;"&amp;$K1643)+COUNTIFS(LdgPartyB,$F1643,LdgKeyB,"&lt;"&amp;$K1643)+1)</f>
        <v/>
      </c>
      <c r="M1643">
        <f>IF($L1643="","",$F1643&amp;"|"&amp;RIGHT("000000"&amp;$L1643,6))</f>
        <v/>
      </c>
      <c r="N1643">
        <f>IF($F1643="","",IF(Sync!$AH1643="","0000",IF(AND(ISNUMBER(Sync!$AH1643),Sync!$AH1643&gt;=0,Sync!$AH1643&lt;1),RIGHT("00"&amp;HOUR(Sync!$AH1643),2)&amp;RIGHT("00"&amp;MINUTE(Sync!$AH1643),2),IFERROR(RIGHT("00"&amp;VALUE(LEFT(Sync!$AH1643,FIND(":",Sync!$AH1643)-1)),2)&amp;RIGHT("00"&amp;VALUE(MID(Sync!$AH1643,FIND(":",Sync!$AH1643)+1,2)),2),"0000"))))</f>
        <v/>
      </c>
    </row>
    <row r="1644">
      <c r="A1644">
        <f>IF(OR(Calc!$E1647="",Calc!$E1647="نامعتبر",Calc!$G1647="",Calc!$I1647&lt;&gt;"خرید"),"",Calc!$G1647)</f>
        <v/>
      </c>
      <c r="B1644">
        <f>IF($A1644="","",LEFT(Calc!$E1647,4)&amp;MID(Calc!$E1647,6,2)&amp;RIGHT(Calc!$E1647,2)&amp;Calc!$R1647&amp;"|"&amp;"1"&amp;RIGHT("00000"&amp;1639,5))</f>
        <v/>
      </c>
      <c r="C1644">
        <f>IF($B1644="","",COUNTIFS(LdgPartyA,$A1644,LdgKeyA,"&lt;"&amp;$B1644)+COUNTIFS(LdgPartyB,$A1644,LdgKeyB,"&lt;"&amp;$B1644)+1)</f>
        <v/>
      </c>
      <c r="D1644">
        <f>IF($C1644="","",$A1644&amp;"|"&amp;RIGHT("000000"&amp;$C1644,6))</f>
        <v/>
      </c>
      <c r="F1644">
        <f>IF(Sync!$AJ1644="","",Sync!$AJ1644)</f>
        <v/>
      </c>
      <c r="G1644">
        <f>IF($F1644="","",IF(Sync!$AG1644="","",IF(ISNUMBER(Sync!$AG1644),IF(AND(Sync!$AG1644&gt;=10000101,Sync!$AG1644&lt;=99991231),INT(Sync!$AG1644/10000),""),IFERROR(VALUE(TRIM(LEFT(Sync!$AG1644,FIND("/",Sync!$AG1644)-1))),""))))</f>
        <v/>
      </c>
      <c r="H1644">
        <f>IF(OR($F1644="",$G1644=""),"",IF(ISNUMBER(Sync!$AG1644),INT(MOD(Sync!$AG1644,10000)/100),IFERROR(VALUE(TRIM(LEFT(MID(Sync!$AG1644,FIND("/",Sync!$AG1644)+1,20),FIND("/",MID(Sync!$AG1644,FIND("/",Sync!$AG1644)+1,20))-1))),"")))</f>
        <v/>
      </c>
      <c r="I1644">
        <f>IF(OR($F1644="",$G1644=""),"",IF(ISNUMBER(Sync!$AG1644),MOD(Sync!$AG1644,100),IFERROR(VALUE(TRIM(MID(MID(Sync!$AG1644,FIND("/",Sync!$AG1644)+1,20),FIND("/",MID(Sync!$AG1644,FIND("/",Sync!$AG1644)+1,20))+1,20))),"")))</f>
        <v/>
      </c>
      <c r="J1644">
        <f>IF($F1644="","",IF(OR($G1644="",$H1644="",$I1644="",$G1644&lt;1300,$G1644&gt;1500,$H1644&lt;1,$H1644&gt;12,$I1644&lt;1,$I1644&gt;31),"نامعتبر",RIGHT("0000"&amp;$G1644,4)&amp;"/"&amp;RIGHT("00"&amp;$H1644,2)&amp;"/"&amp;RIGHT("00"&amp;$I1644,2)))</f>
        <v/>
      </c>
      <c r="K1644">
        <f>IF(OR($F1644="",$J1644="",$J1644="نامعتبر"),"",LEFT($J1644,4)&amp;MID($J1644,6,2)&amp;RIGHT($J1644,2)&amp;$N1644&amp;"|"&amp;"2"&amp;RIGHT("00000"&amp;1639,5))</f>
        <v/>
      </c>
      <c r="L1644">
        <f>IF($K1644="","",COUNTIFS(LdgPartyA,$F1644,LdgKeyA,"&lt;"&amp;$K1644)+COUNTIFS(LdgPartyB,$F1644,LdgKeyB,"&lt;"&amp;$K1644)+1)</f>
        <v/>
      </c>
      <c r="M1644">
        <f>IF($L1644="","",$F1644&amp;"|"&amp;RIGHT("000000"&amp;$L1644,6))</f>
        <v/>
      </c>
      <c r="N1644">
        <f>IF($F1644="","",IF(Sync!$AH1644="","0000",IF(AND(ISNUMBER(Sync!$AH1644),Sync!$AH1644&gt;=0,Sync!$AH1644&lt;1),RIGHT("00"&amp;HOUR(Sync!$AH1644),2)&amp;RIGHT("00"&amp;MINUTE(Sync!$AH1644),2),IFERROR(RIGHT("00"&amp;VALUE(LEFT(Sync!$AH1644,FIND(":",Sync!$AH1644)-1)),2)&amp;RIGHT("00"&amp;VALUE(MID(Sync!$AH1644,FIND(":",Sync!$AH1644)+1,2)),2),"0000"))))</f>
        <v/>
      </c>
    </row>
    <row r="1645">
      <c r="A1645">
        <f>IF(OR(Calc!$E1648="",Calc!$E1648="نامعتبر",Calc!$G1648="",Calc!$I1648&lt;&gt;"خرید"),"",Calc!$G1648)</f>
        <v/>
      </c>
      <c r="B1645">
        <f>IF($A1645="","",LEFT(Calc!$E1648,4)&amp;MID(Calc!$E1648,6,2)&amp;RIGHT(Calc!$E1648,2)&amp;Calc!$R1648&amp;"|"&amp;"1"&amp;RIGHT("00000"&amp;1640,5))</f>
        <v/>
      </c>
      <c r="C1645">
        <f>IF($B1645="","",COUNTIFS(LdgPartyA,$A1645,LdgKeyA,"&lt;"&amp;$B1645)+COUNTIFS(LdgPartyB,$A1645,LdgKeyB,"&lt;"&amp;$B1645)+1)</f>
        <v/>
      </c>
      <c r="D1645">
        <f>IF($C1645="","",$A1645&amp;"|"&amp;RIGHT("000000"&amp;$C1645,6))</f>
        <v/>
      </c>
      <c r="F1645">
        <f>IF(Sync!$AJ1645="","",Sync!$AJ1645)</f>
        <v/>
      </c>
      <c r="G1645">
        <f>IF($F1645="","",IF(Sync!$AG1645="","",IF(ISNUMBER(Sync!$AG1645),IF(AND(Sync!$AG1645&gt;=10000101,Sync!$AG1645&lt;=99991231),INT(Sync!$AG1645/10000),""),IFERROR(VALUE(TRIM(LEFT(Sync!$AG1645,FIND("/",Sync!$AG1645)-1))),""))))</f>
        <v/>
      </c>
      <c r="H1645">
        <f>IF(OR($F1645="",$G1645=""),"",IF(ISNUMBER(Sync!$AG1645),INT(MOD(Sync!$AG1645,10000)/100),IFERROR(VALUE(TRIM(LEFT(MID(Sync!$AG1645,FIND("/",Sync!$AG1645)+1,20),FIND("/",MID(Sync!$AG1645,FIND("/",Sync!$AG1645)+1,20))-1))),"")))</f>
        <v/>
      </c>
      <c r="I1645">
        <f>IF(OR($F1645="",$G1645=""),"",IF(ISNUMBER(Sync!$AG1645),MOD(Sync!$AG1645,100),IFERROR(VALUE(TRIM(MID(MID(Sync!$AG1645,FIND("/",Sync!$AG1645)+1,20),FIND("/",MID(Sync!$AG1645,FIND("/",Sync!$AG1645)+1,20))+1,20))),"")))</f>
        <v/>
      </c>
      <c r="J1645">
        <f>IF($F1645="","",IF(OR($G1645="",$H1645="",$I1645="",$G1645&lt;1300,$G1645&gt;1500,$H1645&lt;1,$H1645&gt;12,$I1645&lt;1,$I1645&gt;31),"نامعتبر",RIGHT("0000"&amp;$G1645,4)&amp;"/"&amp;RIGHT("00"&amp;$H1645,2)&amp;"/"&amp;RIGHT("00"&amp;$I1645,2)))</f>
        <v/>
      </c>
      <c r="K1645">
        <f>IF(OR($F1645="",$J1645="",$J1645="نامعتبر"),"",LEFT($J1645,4)&amp;MID($J1645,6,2)&amp;RIGHT($J1645,2)&amp;$N1645&amp;"|"&amp;"2"&amp;RIGHT("00000"&amp;1640,5))</f>
        <v/>
      </c>
      <c r="L1645">
        <f>IF($K1645="","",COUNTIFS(LdgPartyA,$F1645,LdgKeyA,"&lt;"&amp;$K1645)+COUNTIFS(LdgPartyB,$F1645,LdgKeyB,"&lt;"&amp;$K1645)+1)</f>
        <v/>
      </c>
      <c r="M1645">
        <f>IF($L1645="","",$F1645&amp;"|"&amp;RIGHT("000000"&amp;$L1645,6))</f>
        <v/>
      </c>
      <c r="N1645">
        <f>IF($F1645="","",IF(Sync!$AH1645="","0000",IF(AND(ISNUMBER(Sync!$AH1645),Sync!$AH1645&gt;=0,Sync!$AH1645&lt;1),RIGHT("00"&amp;HOUR(Sync!$AH1645),2)&amp;RIGHT("00"&amp;MINUTE(Sync!$AH1645),2),IFERROR(RIGHT("00"&amp;VALUE(LEFT(Sync!$AH1645,FIND(":",Sync!$AH1645)-1)),2)&amp;RIGHT("00"&amp;VALUE(MID(Sync!$AH1645,FIND(":",Sync!$AH1645)+1,2)),2),"0000"))))</f>
        <v/>
      </c>
    </row>
    <row r="1646">
      <c r="A1646">
        <f>IF(OR(Calc!$E1649="",Calc!$E1649="نامعتبر",Calc!$G1649="",Calc!$I1649&lt;&gt;"خرید"),"",Calc!$G1649)</f>
        <v/>
      </c>
      <c r="B1646">
        <f>IF($A1646="","",LEFT(Calc!$E1649,4)&amp;MID(Calc!$E1649,6,2)&amp;RIGHT(Calc!$E1649,2)&amp;Calc!$R1649&amp;"|"&amp;"1"&amp;RIGHT("00000"&amp;1641,5))</f>
        <v/>
      </c>
      <c r="C1646">
        <f>IF($B1646="","",COUNTIFS(LdgPartyA,$A1646,LdgKeyA,"&lt;"&amp;$B1646)+COUNTIFS(LdgPartyB,$A1646,LdgKeyB,"&lt;"&amp;$B1646)+1)</f>
        <v/>
      </c>
      <c r="D1646">
        <f>IF($C1646="","",$A1646&amp;"|"&amp;RIGHT("000000"&amp;$C1646,6))</f>
        <v/>
      </c>
      <c r="F1646">
        <f>IF(Sync!$AJ1646="","",Sync!$AJ1646)</f>
        <v/>
      </c>
      <c r="G1646">
        <f>IF($F1646="","",IF(Sync!$AG1646="","",IF(ISNUMBER(Sync!$AG1646),IF(AND(Sync!$AG1646&gt;=10000101,Sync!$AG1646&lt;=99991231),INT(Sync!$AG1646/10000),""),IFERROR(VALUE(TRIM(LEFT(Sync!$AG1646,FIND("/",Sync!$AG1646)-1))),""))))</f>
        <v/>
      </c>
      <c r="H1646">
        <f>IF(OR($F1646="",$G1646=""),"",IF(ISNUMBER(Sync!$AG1646),INT(MOD(Sync!$AG1646,10000)/100),IFERROR(VALUE(TRIM(LEFT(MID(Sync!$AG1646,FIND("/",Sync!$AG1646)+1,20),FIND("/",MID(Sync!$AG1646,FIND("/",Sync!$AG1646)+1,20))-1))),"")))</f>
        <v/>
      </c>
      <c r="I1646">
        <f>IF(OR($F1646="",$G1646=""),"",IF(ISNUMBER(Sync!$AG1646),MOD(Sync!$AG1646,100),IFERROR(VALUE(TRIM(MID(MID(Sync!$AG1646,FIND("/",Sync!$AG1646)+1,20),FIND("/",MID(Sync!$AG1646,FIND("/",Sync!$AG1646)+1,20))+1,20))),"")))</f>
        <v/>
      </c>
      <c r="J1646">
        <f>IF($F1646="","",IF(OR($G1646="",$H1646="",$I1646="",$G1646&lt;1300,$G1646&gt;1500,$H1646&lt;1,$H1646&gt;12,$I1646&lt;1,$I1646&gt;31),"نامعتبر",RIGHT("0000"&amp;$G1646,4)&amp;"/"&amp;RIGHT("00"&amp;$H1646,2)&amp;"/"&amp;RIGHT("00"&amp;$I1646,2)))</f>
        <v/>
      </c>
      <c r="K1646">
        <f>IF(OR($F1646="",$J1646="",$J1646="نامعتبر"),"",LEFT($J1646,4)&amp;MID($J1646,6,2)&amp;RIGHT($J1646,2)&amp;$N1646&amp;"|"&amp;"2"&amp;RIGHT("00000"&amp;1641,5))</f>
        <v/>
      </c>
      <c r="L1646">
        <f>IF($K1646="","",COUNTIFS(LdgPartyA,$F1646,LdgKeyA,"&lt;"&amp;$K1646)+COUNTIFS(LdgPartyB,$F1646,LdgKeyB,"&lt;"&amp;$K1646)+1)</f>
        <v/>
      </c>
      <c r="M1646">
        <f>IF($L1646="","",$F1646&amp;"|"&amp;RIGHT("000000"&amp;$L1646,6))</f>
        <v/>
      </c>
      <c r="N1646">
        <f>IF($F1646="","",IF(Sync!$AH1646="","0000",IF(AND(ISNUMBER(Sync!$AH1646),Sync!$AH1646&gt;=0,Sync!$AH1646&lt;1),RIGHT("00"&amp;HOUR(Sync!$AH1646),2)&amp;RIGHT("00"&amp;MINUTE(Sync!$AH1646),2),IFERROR(RIGHT("00"&amp;VALUE(LEFT(Sync!$AH1646,FIND(":",Sync!$AH1646)-1)),2)&amp;RIGHT("00"&amp;VALUE(MID(Sync!$AH1646,FIND(":",Sync!$AH1646)+1,2)),2),"0000"))))</f>
        <v/>
      </c>
    </row>
    <row r="1647">
      <c r="A1647">
        <f>IF(OR(Calc!$E1650="",Calc!$E1650="نامعتبر",Calc!$G1650="",Calc!$I1650&lt;&gt;"خرید"),"",Calc!$G1650)</f>
        <v/>
      </c>
      <c r="B1647">
        <f>IF($A1647="","",LEFT(Calc!$E1650,4)&amp;MID(Calc!$E1650,6,2)&amp;RIGHT(Calc!$E1650,2)&amp;Calc!$R1650&amp;"|"&amp;"1"&amp;RIGHT("00000"&amp;1642,5))</f>
        <v/>
      </c>
      <c r="C1647">
        <f>IF($B1647="","",COUNTIFS(LdgPartyA,$A1647,LdgKeyA,"&lt;"&amp;$B1647)+COUNTIFS(LdgPartyB,$A1647,LdgKeyB,"&lt;"&amp;$B1647)+1)</f>
        <v/>
      </c>
      <c r="D1647">
        <f>IF($C1647="","",$A1647&amp;"|"&amp;RIGHT("000000"&amp;$C1647,6))</f>
        <v/>
      </c>
      <c r="F1647">
        <f>IF(Sync!$AJ1647="","",Sync!$AJ1647)</f>
        <v/>
      </c>
      <c r="G1647">
        <f>IF($F1647="","",IF(Sync!$AG1647="","",IF(ISNUMBER(Sync!$AG1647),IF(AND(Sync!$AG1647&gt;=10000101,Sync!$AG1647&lt;=99991231),INT(Sync!$AG1647/10000),""),IFERROR(VALUE(TRIM(LEFT(Sync!$AG1647,FIND("/",Sync!$AG1647)-1))),""))))</f>
        <v/>
      </c>
      <c r="H1647">
        <f>IF(OR($F1647="",$G1647=""),"",IF(ISNUMBER(Sync!$AG1647),INT(MOD(Sync!$AG1647,10000)/100),IFERROR(VALUE(TRIM(LEFT(MID(Sync!$AG1647,FIND("/",Sync!$AG1647)+1,20),FIND("/",MID(Sync!$AG1647,FIND("/",Sync!$AG1647)+1,20))-1))),"")))</f>
        <v/>
      </c>
      <c r="I1647">
        <f>IF(OR($F1647="",$G1647=""),"",IF(ISNUMBER(Sync!$AG1647),MOD(Sync!$AG1647,100),IFERROR(VALUE(TRIM(MID(MID(Sync!$AG1647,FIND("/",Sync!$AG1647)+1,20),FIND("/",MID(Sync!$AG1647,FIND("/",Sync!$AG1647)+1,20))+1,20))),"")))</f>
        <v/>
      </c>
      <c r="J1647">
        <f>IF($F1647="","",IF(OR($G1647="",$H1647="",$I1647="",$G1647&lt;1300,$G1647&gt;1500,$H1647&lt;1,$H1647&gt;12,$I1647&lt;1,$I1647&gt;31),"نامعتبر",RIGHT("0000"&amp;$G1647,4)&amp;"/"&amp;RIGHT("00"&amp;$H1647,2)&amp;"/"&amp;RIGHT("00"&amp;$I1647,2)))</f>
        <v/>
      </c>
      <c r="K1647">
        <f>IF(OR($F1647="",$J1647="",$J1647="نامعتبر"),"",LEFT($J1647,4)&amp;MID($J1647,6,2)&amp;RIGHT($J1647,2)&amp;$N1647&amp;"|"&amp;"2"&amp;RIGHT("00000"&amp;1642,5))</f>
        <v/>
      </c>
      <c r="L1647">
        <f>IF($K1647="","",COUNTIFS(LdgPartyA,$F1647,LdgKeyA,"&lt;"&amp;$K1647)+COUNTIFS(LdgPartyB,$F1647,LdgKeyB,"&lt;"&amp;$K1647)+1)</f>
        <v/>
      </c>
      <c r="M1647">
        <f>IF($L1647="","",$F1647&amp;"|"&amp;RIGHT("000000"&amp;$L1647,6))</f>
        <v/>
      </c>
      <c r="N1647">
        <f>IF($F1647="","",IF(Sync!$AH1647="","0000",IF(AND(ISNUMBER(Sync!$AH1647),Sync!$AH1647&gt;=0,Sync!$AH1647&lt;1),RIGHT("00"&amp;HOUR(Sync!$AH1647),2)&amp;RIGHT("00"&amp;MINUTE(Sync!$AH1647),2),IFERROR(RIGHT("00"&amp;VALUE(LEFT(Sync!$AH1647,FIND(":",Sync!$AH1647)-1)),2)&amp;RIGHT("00"&amp;VALUE(MID(Sync!$AH1647,FIND(":",Sync!$AH1647)+1,2)),2),"0000"))))</f>
        <v/>
      </c>
    </row>
    <row r="1648">
      <c r="A1648">
        <f>IF(OR(Calc!$E1651="",Calc!$E1651="نامعتبر",Calc!$G1651="",Calc!$I1651&lt;&gt;"خرید"),"",Calc!$G1651)</f>
        <v/>
      </c>
      <c r="B1648">
        <f>IF($A1648="","",LEFT(Calc!$E1651,4)&amp;MID(Calc!$E1651,6,2)&amp;RIGHT(Calc!$E1651,2)&amp;Calc!$R1651&amp;"|"&amp;"1"&amp;RIGHT("00000"&amp;1643,5))</f>
        <v/>
      </c>
      <c r="C1648">
        <f>IF($B1648="","",COUNTIFS(LdgPartyA,$A1648,LdgKeyA,"&lt;"&amp;$B1648)+COUNTIFS(LdgPartyB,$A1648,LdgKeyB,"&lt;"&amp;$B1648)+1)</f>
        <v/>
      </c>
      <c r="D1648">
        <f>IF($C1648="","",$A1648&amp;"|"&amp;RIGHT("000000"&amp;$C1648,6))</f>
        <v/>
      </c>
      <c r="F1648">
        <f>IF(Sync!$AJ1648="","",Sync!$AJ1648)</f>
        <v/>
      </c>
      <c r="G1648">
        <f>IF($F1648="","",IF(Sync!$AG1648="","",IF(ISNUMBER(Sync!$AG1648),IF(AND(Sync!$AG1648&gt;=10000101,Sync!$AG1648&lt;=99991231),INT(Sync!$AG1648/10000),""),IFERROR(VALUE(TRIM(LEFT(Sync!$AG1648,FIND("/",Sync!$AG1648)-1))),""))))</f>
        <v/>
      </c>
      <c r="H1648">
        <f>IF(OR($F1648="",$G1648=""),"",IF(ISNUMBER(Sync!$AG1648),INT(MOD(Sync!$AG1648,10000)/100),IFERROR(VALUE(TRIM(LEFT(MID(Sync!$AG1648,FIND("/",Sync!$AG1648)+1,20),FIND("/",MID(Sync!$AG1648,FIND("/",Sync!$AG1648)+1,20))-1))),"")))</f>
        <v/>
      </c>
      <c r="I1648">
        <f>IF(OR($F1648="",$G1648=""),"",IF(ISNUMBER(Sync!$AG1648),MOD(Sync!$AG1648,100),IFERROR(VALUE(TRIM(MID(MID(Sync!$AG1648,FIND("/",Sync!$AG1648)+1,20),FIND("/",MID(Sync!$AG1648,FIND("/",Sync!$AG1648)+1,20))+1,20))),"")))</f>
        <v/>
      </c>
      <c r="J1648">
        <f>IF($F1648="","",IF(OR($G1648="",$H1648="",$I1648="",$G1648&lt;1300,$G1648&gt;1500,$H1648&lt;1,$H1648&gt;12,$I1648&lt;1,$I1648&gt;31),"نامعتبر",RIGHT("0000"&amp;$G1648,4)&amp;"/"&amp;RIGHT("00"&amp;$H1648,2)&amp;"/"&amp;RIGHT("00"&amp;$I1648,2)))</f>
        <v/>
      </c>
      <c r="K1648">
        <f>IF(OR($F1648="",$J1648="",$J1648="نامعتبر"),"",LEFT($J1648,4)&amp;MID($J1648,6,2)&amp;RIGHT($J1648,2)&amp;$N1648&amp;"|"&amp;"2"&amp;RIGHT("00000"&amp;1643,5))</f>
        <v/>
      </c>
      <c r="L1648">
        <f>IF($K1648="","",COUNTIFS(LdgPartyA,$F1648,LdgKeyA,"&lt;"&amp;$K1648)+COUNTIFS(LdgPartyB,$F1648,LdgKeyB,"&lt;"&amp;$K1648)+1)</f>
        <v/>
      </c>
      <c r="M1648">
        <f>IF($L1648="","",$F1648&amp;"|"&amp;RIGHT("000000"&amp;$L1648,6))</f>
        <v/>
      </c>
      <c r="N1648">
        <f>IF($F1648="","",IF(Sync!$AH1648="","0000",IF(AND(ISNUMBER(Sync!$AH1648),Sync!$AH1648&gt;=0,Sync!$AH1648&lt;1),RIGHT("00"&amp;HOUR(Sync!$AH1648),2)&amp;RIGHT("00"&amp;MINUTE(Sync!$AH1648),2),IFERROR(RIGHT("00"&amp;VALUE(LEFT(Sync!$AH1648,FIND(":",Sync!$AH1648)-1)),2)&amp;RIGHT("00"&amp;VALUE(MID(Sync!$AH1648,FIND(":",Sync!$AH1648)+1,2)),2),"0000"))))</f>
        <v/>
      </c>
    </row>
    <row r="1649">
      <c r="A1649">
        <f>IF(OR(Calc!$E1652="",Calc!$E1652="نامعتبر",Calc!$G1652="",Calc!$I1652&lt;&gt;"خرید"),"",Calc!$G1652)</f>
        <v/>
      </c>
      <c r="B1649">
        <f>IF($A1649="","",LEFT(Calc!$E1652,4)&amp;MID(Calc!$E1652,6,2)&amp;RIGHT(Calc!$E1652,2)&amp;Calc!$R1652&amp;"|"&amp;"1"&amp;RIGHT("00000"&amp;1644,5))</f>
        <v/>
      </c>
      <c r="C1649">
        <f>IF($B1649="","",COUNTIFS(LdgPartyA,$A1649,LdgKeyA,"&lt;"&amp;$B1649)+COUNTIFS(LdgPartyB,$A1649,LdgKeyB,"&lt;"&amp;$B1649)+1)</f>
        <v/>
      </c>
      <c r="D1649">
        <f>IF($C1649="","",$A1649&amp;"|"&amp;RIGHT("000000"&amp;$C1649,6))</f>
        <v/>
      </c>
      <c r="F1649">
        <f>IF(Sync!$AJ1649="","",Sync!$AJ1649)</f>
        <v/>
      </c>
      <c r="G1649">
        <f>IF($F1649="","",IF(Sync!$AG1649="","",IF(ISNUMBER(Sync!$AG1649),IF(AND(Sync!$AG1649&gt;=10000101,Sync!$AG1649&lt;=99991231),INT(Sync!$AG1649/10000),""),IFERROR(VALUE(TRIM(LEFT(Sync!$AG1649,FIND("/",Sync!$AG1649)-1))),""))))</f>
        <v/>
      </c>
      <c r="H1649">
        <f>IF(OR($F1649="",$G1649=""),"",IF(ISNUMBER(Sync!$AG1649),INT(MOD(Sync!$AG1649,10000)/100),IFERROR(VALUE(TRIM(LEFT(MID(Sync!$AG1649,FIND("/",Sync!$AG1649)+1,20),FIND("/",MID(Sync!$AG1649,FIND("/",Sync!$AG1649)+1,20))-1))),"")))</f>
        <v/>
      </c>
      <c r="I1649">
        <f>IF(OR($F1649="",$G1649=""),"",IF(ISNUMBER(Sync!$AG1649),MOD(Sync!$AG1649,100),IFERROR(VALUE(TRIM(MID(MID(Sync!$AG1649,FIND("/",Sync!$AG1649)+1,20),FIND("/",MID(Sync!$AG1649,FIND("/",Sync!$AG1649)+1,20))+1,20))),"")))</f>
        <v/>
      </c>
      <c r="J1649">
        <f>IF($F1649="","",IF(OR($G1649="",$H1649="",$I1649="",$G1649&lt;1300,$G1649&gt;1500,$H1649&lt;1,$H1649&gt;12,$I1649&lt;1,$I1649&gt;31),"نامعتبر",RIGHT("0000"&amp;$G1649,4)&amp;"/"&amp;RIGHT("00"&amp;$H1649,2)&amp;"/"&amp;RIGHT("00"&amp;$I1649,2)))</f>
        <v/>
      </c>
      <c r="K1649">
        <f>IF(OR($F1649="",$J1649="",$J1649="نامعتبر"),"",LEFT($J1649,4)&amp;MID($J1649,6,2)&amp;RIGHT($J1649,2)&amp;$N1649&amp;"|"&amp;"2"&amp;RIGHT("00000"&amp;1644,5))</f>
        <v/>
      </c>
      <c r="L1649">
        <f>IF($K1649="","",COUNTIFS(LdgPartyA,$F1649,LdgKeyA,"&lt;"&amp;$K1649)+COUNTIFS(LdgPartyB,$F1649,LdgKeyB,"&lt;"&amp;$K1649)+1)</f>
        <v/>
      </c>
      <c r="M1649">
        <f>IF($L1649="","",$F1649&amp;"|"&amp;RIGHT("000000"&amp;$L1649,6))</f>
        <v/>
      </c>
      <c r="N1649">
        <f>IF($F1649="","",IF(Sync!$AH1649="","0000",IF(AND(ISNUMBER(Sync!$AH1649),Sync!$AH1649&gt;=0,Sync!$AH1649&lt;1),RIGHT("00"&amp;HOUR(Sync!$AH1649),2)&amp;RIGHT("00"&amp;MINUTE(Sync!$AH1649),2),IFERROR(RIGHT("00"&amp;VALUE(LEFT(Sync!$AH1649,FIND(":",Sync!$AH1649)-1)),2)&amp;RIGHT("00"&amp;VALUE(MID(Sync!$AH1649,FIND(":",Sync!$AH1649)+1,2)),2),"0000"))))</f>
        <v/>
      </c>
    </row>
    <row r="1650">
      <c r="A1650">
        <f>IF(OR(Calc!$E1653="",Calc!$E1653="نامعتبر",Calc!$G1653="",Calc!$I1653&lt;&gt;"خرید"),"",Calc!$G1653)</f>
        <v/>
      </c>
      <c r="B1650">
        <f>IF($A1650="","",LEFT(Calc!$E1653,4)&amp;MID(Calc!$E1653,6,2)&amp;RIGHT(Calc!$E1653,2)&amp;Calc!$R1653&amp;"|"&amp;"1"&amp;RIGHT("00000"&amp;1645,5))</f>
        <v/>
      </c>
      <c r="C1650">
        <f>IF($B1650="","",COUNTIFS(LdgPartyA,$A1650,LdgKeyA,"&lt;"&amp;$B1650)+COUNTIFS(LdgPartyB,$A1650,LdgKeyB,"&lt;"&amp;$B1650)+1)</f>
        <v/>
      </c>
      <c r="D1650">
        <f>IF($C1650="","",$A1650&amp;"|"&amp;RIGHT("000000"&amp;$C1650,6))</f>
        <v/>
      </c>
      <c r="F1650">
        <f>IF(Sync!$AJ1650="","",Sync!$AJ1650)</f>
        <v/>
      </c>
      <c r="G1650">
        <f>IF($F1650="","",IF(Sync!$AG1650="","",IF(ISNUMBER(Sync!$AG1650),IF(AND(Sync!$AG1650&gt;=10000101,Sync!$AG1650&lt;=99991231),INT(Sync!$AG1650/10000),""),IFERROR(VALUE(TRIM(LEFT(Sync!$AG1650,FIND("/",Sync!$AG1650)-1))),""))))</f>
        <v/>
      </c>
      <c r="H1650">
        <f>IF(OR($F1650="",$G1650=""),"",IF(ISNUMBER(Sync!$AG1650),INT(MOD(Sync!$AG1650,10000)/100),IFERROR(VALUE(TRIM(LEFT(MID(Sync!$AG1650,FIND("/",Sync!$AG1650)+1,20),FIND("/",MID(Sync!$AG1650,FIND("/",Sync!$AG1650)+1,20))-1))),"")))</f>
        <v/>
      </c>
      <c r="I1650">
        <f>IF(OR($F1650="",$G1650=""),"",IF(ISNUMBER(Sync!$AG1650),MOD(Sync!$AG1650,100),IFERROR(VALUE(TRIM(MID(MID(Sync!$AG1650,FIND("/",Sync!$AG1650)+1,20),FIND("/",MID(Sync!$AG1650,FIND("/",Sync!$AG1650)+1,20))+1,20))),"")))</f>
        <v/>
      </c>
      <c r="J1650">
        <f>IF($F1650="","",IF(OR($G1650="",$H1650="",$I1650="",$G1650&lt;1300,$G1650&gt;1500,$H1650&lt;1,$H1650&gt;12,$I1650&lt;1,$I1650&gt;31),"نامعتبر",RIGHT("0000"&amp;$G1650,4)&amp;"/"&amp;RIGHT("00"&amp;$H1650,2)&amp;"/"&amp;RIGHT("00"&amp;$I1650,2)))</f>
        <v/>
      </c>
      <c r="K1650">
        <f>IF(OR($F1650="",$J1650="",$J1650="نامعتبر"),"",LEFT($J1650,4)&amp;MID($J1650,6,2)&amp;RIGHT($J1650,2)&amp;$N1650&amp;"|"&amp;"2"&amp;RIGHT("00000"&amp;1645,5))</f>
        <v/>
      </c>
      <c r="L1650">
        <f>IF($K1650="","",COUNTIFS(LdgPartyA,$F1650,LdgKeyA,"&lt;"&amp;$K1650)+COUNTIFS(LdgPartyB,$F1650,LdgKeyB,"&lt;"&amp;$K1650)+1)</f>
        <v/>
      </c>
      <c r="M1650">
        <f>IF($L1650="","",$F1650&amp;"|"&amp;RIGHT("000000"&amp;$L1650,6))</f>
        <v/>
      </c>
      <c r="N1650">
        <f>IF($F1650="","",IF(Sync!$AH1650="","0000",IF(AND(ISNUMBER(Sync!$AH1650),Sync!$AH1650&gt;=0,Sync!$AH1650&lt;1),RIGHT("00"&amp;HOUR(Sync!$AH1650),2)&amp;RIGHT("00"&amp;MINUTE(Sync!$AH1650),2),IFERROR(RIGHT("00"&amp;VALUE(LEFT(Sync!$AH1650,FIND(":",Sync!$AH1650)-1)),2)&amp;RIGHT("00"&amp;VALUE(MID(Sync!$AH1650,FIND(":",Sync!$AH1650)+1,2)),2),"0000"))))</f>
        <v/>
      </c>
    </row>
    <row r="1651">
      <c r="A1651">
        <f>IF(OR(Calc!$E1654="",Calc!$E1654="نامعتبر",Calc!$G1654="",Calc!$I1654&lt;&gt;"خرید"),"",Calc!$G1654)</f>
        <v/>
      </c>
      <c r="B1651">
        <f>IF($A1651="","",LEFT(Calc!$E1654,4)&amp;MID(Calc!$E1654,6,2)&amp;RIGHT(Calc!$E1654,2)&amp;Calc!$R1654&amp;"|"&amp;"1"&amp;RIGHT("00000"&amp;1646,5))</f>
        <v/>
      </c>
      <c r="C1651">
        <f>IF($B1651="","",COUNTIFS(LdgPartyA,$A1651,LdgKeyA,"&lt;"&amp;$B1651)+COUNTIFS(LdgPartyB,$A1651,LdgKeyB,"&lt;"&amp;$B1651)+1)</f>
        <v/>
      </c>
      <c r="D1651">
        <f>IF($C1651="","",$A1651&amp;"|"&amp;RIGHT("000000"&amp;$C1651,6))</f>
        <v/>
      </c>
      <c r="F1651">
        <f>IF(Sync!$AJ1651="","",Sync!$AJ1651)</f>
        <v/>
      </c>
      <c r="G1651">
        <f>IF($F1651="","",IF(Sync!$AG1651="","",IF(ISNUMBER(Sync!$AG1651),IF(AND(Sync!$AG1651&gt;=10000101,Sync!$AG1651&lt;=99991231),INT(Sync!$AG1651/10000),""),IFERROR(VALUE(TRIM(LEFT(Sync!$AG1651,FIND("/",Sync!$AG1651)-1))),""))))</f>
        <v/>
      </c>
      <c r="H1651">
        <f>IF(OR($F1651="",$G1651=""),"",IF(ISNUMBER(Sync!$AG1651),INT(MOD(Sync!$AG1651,10000)/100),IFERROR(VALUE(TRIM(LEFT(MID(Sync!$AG1651,FIND("/",Sync!$AG1651)+1,20),FIND("/",MID(Sync!$AG1651,FIND("/",Sync!$AG1651)+1,20))-1))),"")))</f>
        <v/>
      </c>
      <c r="I1651">
        <f>IF(OR($F1651="",$G1651=""),"",IF(ISNUMBER(Sync!$AG1651),MOD(Sync!$AG1651,100),IFERROR(VALUE(TRIM(MID(MID(Sync!$AG1651,FIND("/",Sync!$AG1651)+1,20),FIND("/",MID(Sync!$AG1651,FIND("/",Sync!$AG1651)+1,20))+1,20))),"")))</f>
        <v/>
      </c>
      <c r="J1651">
        <f>IF($F1651="","",IF(OR($G1651="",$H1651="",$I1651="",$G1651&lt;1300,$G1651&gt;1500,$H1651&lt;1,$H1651&gt;12,$I1651&lt;1,$I1651&gt;31),"نامعتبر",RIGHT("0000"&amp;$G1651,4)&amp;"/"&amp;RIGHT("00"&amp;$H1651,2)&amp;"/"&amp;RIGHT("00"&amp;$I1651,2)))</f>
        <v/>
      </c>
      <c r="K1651">
        <f>IF(OR($F1651="",$J1651="",$J1651="نامعتبر"),"",LEFT($J1651,4)&amp;MID($J1651,6,2)&amp;RIGHT($J1651,2)&amp;$N1651&amp;"|"&amp;"2"&amp;RIGHT("00000"&amp;1646,5))</f>
        <v/>
      </c>
      <c r="L1651">
        <f>IF($K1651="","",COUNTIFS(LdgPartyA,$F1651,LdgKeyA,"&lt;"&amp;$K1651)+COUNTIFS(LdgPartyB,$F1651,LdgKeyB,"&lt;"&amp;$K1651)+1)</f>
        <v/>
      </c>
      <c r="M1651">
        <f>IF($L1651="","",$F1651&amp;"|"&amp;RIGHT("000000"&amp;$L1651,6))</f>
        <v/>
      </c>
      <c r="N1651">
        <f>IF($F1651="","",IF(Sync!$AH1651="","0000",IF(AND(ISNUMBER(Sync!$AH1651),Sync!$AH1651&gt;=0,Sync!$AH1651&lt;1),RIGHT("00"&amp;HOUR(Sync!$AH1651),2)&amp;RIGHT("00"&amp;MINUTE(Sync!$AH1651),2),IFERROR(RIGHT("00"&amp;VALUE(LEFT(Sync!$AH1651,FIND(":",Sync!$AH1651)-1)),2)&amp;RIGHT("00"&amp;VALUE(MID(Sync!$AH1651,FIND(":",Sync!$AH1651)+1,2)),2),"0000"))))</f>
        <v/>
      </c>
    </row>
    <row r="1652">
      <c r="A1652">
        <f>IF(OR(Calc!$E1655="",Calc!$E1655="نامعتبر",Calc!$G1655="",Calc!$I1655&lt;&gt;"خرید"),"",Calc!$G1655)</f>
        <v/>
      </c>
      <c r="B1652">
        <f>IF($A1652="","",LEFT(Calc!$E1655,4)&amp;MID(Calc!$E1655,6,2)&amp;RIGHT(Calc!$E1655,2)&amp;Calc!$R1655&amp;"|"&amp;"1"&amp;RIGHT("00000"&amp;1647,5))</f>
        <v/>
      </c>
      <c r="C1652">
        <f>IF($B1652="","",COUNTIFS(LdgPartyA,$A1652,LdgKeyA,"&lt;"&amp;$B1652)+COUNTIFS(LdgPartyB,$A1652,LdgKeyB,"&lt;"&amp;$B1652)+1)</f>
        <v/>
      </c>
      <c r="D1652">
        <f>IF($C1652="","",$A1652&amp;"|"&amp;RIGHT("000000"&amp;$C1652,6))</f>
        <v/>
      </c>
      <c r="F1652">
        <f>IF(Sync!$AJ1652="","",Sync!$AJ1652)</f>
        <v/>
      </c>
      <c r="G1652">
        <f>IF($F1652="","",IF(Sync!$AG1652="","",IF(ISNUMBER(Sync!$AG1652),IF(AND(Sync!$AG1652&gt;=10000101,Sync!$AG1652&lt;=99991231),INT(Sync!$AG1652/10000),""),IFERROR(VALUE(TRIM(LEFT(Sync!$AG1652,FIND("/",Sync!$AG1652)-1))),""))))</f>
        <v/>
      </c>
      <c r="H1652">
        <f>IF(OR($F1652="",$G1652=""),"",IF(ISNUMBER(Sync!$AG1652),INT(MOD(Sync!$AG1652,10000)/100),IFERROR(VALUE(TRIM(LEFT(MID(Sync!$AG1652,FIND("/",Sync!$AG1652)+1,20),FIND("/",MID(Sync!$AG1652,FIND("/",Sync!$AG1652)+1,20))-1))),"")))</f>
        <v/>
      </c>
      <c r="I1652">
        <f>IF(OR($F1652="",$G1652=""),"",IF(ISNUMBER(Sync!$AG1652),MOD(Sync!$AG1652,100),IFERROR(VALUE(TRIM(MID(MID(Sync!$AG1652,FIND("/",Sync!$AG1652)+1,20),FIND("/",MID(Sync!$AG1652,FIND("/",Sync!$AG1652)+1,20))+1,20))),"")))</f>
        <v/>
      </c>
      <c r="J1652">
        <f>IF($F1652="","",IF(OR($G1652="",$H1652="",$I1652="",$G1652&lt;1300,$G1652&gt;1500,$H1652&lt;1,$H1652&gt;12,$I1652&lt;1,$I1652&gt;31),"نامعتبر",RIGHT("0000"&amp;$G1652,4)&amp;"/"&amp;RIGHT("00"&amp;$H1652,2)&amp;"/"&amp;RIGHT("00"&amp;$I1652,2)))</f>
        <v/>
      </c>
      <c r="K1652">
        <f>IF(OR($F1652="",$J1652="",$J1652="نامعتبر"),"",LEFT($J1652,4)&amp;MID($J1652,6,2)&amp;RIGHT($J1652,2)&amp;$N1652&amp;"|"&amp;"2"&amp;RIGHT("00000"&amp;1647,5))</f>
        <v/>
      </c>
      <c r="L1652">
        <f>IF($K1652="","",COUNTIFS(LdgPartyA,$F1652,LdgKeyA,"&lt;"&amp;$K1652)+COUNTIFS(LdgPartyB,$F1652,LdgKeyB,"&lt;"&amp;$K1652)+1)</f>
        <v/>
      </c>
      <c r="M1652">
        <f>IF($L1652="","",$F1652&amp;"|"&amp;RIGHT("000000"&amp;$L1652,6))</f>
        <v/>
      </c>
      <c r="N1652">
        <f>IF($F1652="","",IF(Sync!$AH1652="","0000",IF(AND(ISNUMBER(Sync!$AH1652),Sync!$AH1652&gt;=0,Sync!$AH1652&lt;1),RIGHT("00"&amp;HOUR(Sync!$AH1652),2)&amp;RIGHT("00"&amp;MINUTE(Sync!$AH1652),2),IFERROR(RIGHT("00"&amp;VALUE(LEFT(Sync!$AH1652,FIND(":",Sync!$AH1652)-1)),2)&amp;RIGHT("00"&amp;VALUE(MID(Sync!$AH1652,FIND(":",Sync!$AH1652)+1,2)),2),"0000"))))</f>
        <v/>
      </c>
    </row>
    <row r="1653">
      <c r="A1653">
        <f>IF(OR(Calc!$E1656="",Calc!$E1656="نامعتبر",Calc!$G1656="",Calc!$I1656&lt;&gt;"خرید"),"",Calc!$G1656)</f>
        <v/>
      </c>
      <c r="B1653">
        <f>IF($A1653="","",LEFT(Calc!$E1656,4)&amp;MID(Calc!$E1656,6,2)&amp;RIGHT(Calc!$E1656,2)&amp;Calc!$R1656&amp;"|"&amp;"1"&amp;RIGHT("00000"&amp;1648,5))</f>
        <v/>
      </c>
      <c r="C1653">
        <f>IF($B1653="","",COUNTIFS(LdgPartyA,$A1653,LdgKeyA,"&lt;"&amp;$B1653)+COUNTIFS(LdgPartyB,$A1653,LdgKeyB,"&lt;"&amp;$B1653)+1)</f>
        <v/>
      </c>
      <c r="D1653">
        <f>IF($C1653="","",$A1653&amp;"|"&amp;RIGHT("000000"&amp;$C1653,6))</f>
        <v/>
      </c>
      <c r="F1653">
        <f>IF(Sync!$AJ1653="","",Sync!$AJ1653)</f>
        <v/>
      </c>
      <c r="G1653">
        <f>IF($F1653="","",IF(Sync!$AG1653="","",IF(ISNUMBER(Sync!$AG1653),IF(AND(Sync!$AG1653&gt;=10000101,Sync!$AG1653&lt;=99991231),INT(Sync!$AG1653/10000),""),IFERROR(VALUE(TRIM(LEFT(Sync!$AG1653,FIND("/",Sync!$AG1653)-1))),""))))</f>
        <v/>
      </c>
      <c r="H1653">
        <f>IF(OR($F1653="",$G1653=""),"",IF(ISNUMBER(Sync!$AG1653),INT(MOD(Sync!$AG1653,10000)/100),IFERROR(VALUE(TRIM(LEFT(MID(Sync!$AG1653,FIND("/",Sync!$AG1653)+1,20),FIND("/",MID(Sync!$AG1653,FIND("/",Sync!$AG1653)+1,20))-1))),"")))</f>
        <v/>
      </c>
      <c r="I1653">
        <f>IF(OR($F1653="",$G1653=""),"",IF(ISNUMBER(Sync!$AG1653),MOD(Sync!$AG1653,100),IFERROR(VALUE(TRIM(MID(MID(Sync!$AG1653,FIND("/",Sync!$AG1653)+1,20),FIND("/",MID(Sync!$AG1653,FIND("/",Sync!$AG1653)+1,20))+1,20))),"")))</f>
        <v/>
      </c>
      <c r="J1653">
        <f>IF($F1653="","",IF(OR($G1653="",$H1653="",$I1653="",$G1653&lt;1300,$G1653&gt;1500,$H1653&lt;1,$H1653&gt;12,$I1653&lt;1,$I1653&gt;31),"نامعتبر",RIGHT("0000"&amp;$G1653,4)&amp;"/"&amp;RIGHT("00"&amp;$H1653,2)&amp;"/"&amp;RIGHT("00"&amp;$I1653,2)))</f>
        <v/>
      </c>
      <c r="K1653">
        <f>IF(OR($F1653="",$J1653="",$J1653="نامعتبر"),"",LEFT($J1653,4)&amp;MID($J1653,6,2)&amp;RIGHT($J1653,2)&amp;$N1653&amp;"|"&amp;"2"&amp;RIGHT("00000"&amp;1648,5))</f>
        <v/>
      </c>
      <c r="L1653">
        <f>IF($K1653="","",COUNTIFS(LdgPartyA,$F1653,LdgKeyA,"&lt;"&amp;$K1653)+COUNTIFS(LdgPartyB,$F1653,LdgKeyB,"&lt;"&amp;$K1653)+1)</f>
        <v/>
      </c>
      <c r="M1653">
        <f>IF($L1653="","",$F1653&amp;"|"&amp;RIGHT("000000"&amp;$L1653,6))</f>
        <v/>
      </c>
      <c r="N1653">
        <f>IF($F1653="","",IF(Sync!$AH1653="","0000",IF(AND(ISNUMBER(Sync!$AH1653),Sync!$AH1653&gt;=0,Sync!$AH1653&lt;1),RIGHT("00"&amp;HOUR(Sync!$AH1653),2)&amp;RIGHT("00"&amp;MINUTE(Sync!$AH1653),2),IFERROR(RIGHT("00"&amp;VALUE(LEFT(Sync!$AH1653,FIND(":",Sync!$AH1653)-1)),2)&amp;RIGHT("00"&amp;VALUE(MID(Sync!$AH1653,FIND(":",Sync!$AH1653)+1,2)),2),"0000"))))</f>
        <v/>
      </c>
    </row>
    <row r="1654">
      <c r="A1654">
        <f>IF(OR(Calc!$E1657="",Calc!$E1657="نامعتبر",Calc!$G1657="",Calc!$I1657&lt;&gt;"خرید"),"",Calc!$G1657)</f>
        <v/>
      </c>
      <c r="B1654">
        <f>IF($A1654="","",LEFT(Calc!$E1657,4)&amp;MID(Calc!$E1657,6,2)&amp;RIGHT(Calc!$E1657,2)&amp;Calc!$R1657&amp;"|"&amp;"1"&amp;RIGHT("00000"&amp;1649,5))</f>
        <v/>
      </c>
      <c r="C1654">
        <f>IF($B1654="","",COUNTIFS(LdgPartyA,$A1654,LdgKeyA,"&lt;"&amp;$B1654)+COUNTIFS(LdgPartyB,$A1654,LdgKeyB,"&lt;"&amp;$B1654)+1)</f>
        <v/>
      </c>
      <c r="D1654">
        <f>IF($C1654="","",$A1654&amp;"|"&amp;RIGHT("000000"&amp;$C1654,6))</f>
        <v/>
      </c>
      <c r="F1654">
        <f>IF(Sync!$AJ1654="","",Sync!$AJ1654)</f>
        <v/>
      </c>
      <c r="G1654">
        <f>IF($F1654="","",IF(Sync!$AG1654="","",IF(ISNUMBER(Sync!$AG1654),IF(AND(Sync!$AG1654&gt;=10000101,Sync!$AG1654&lt;=99991231),INT(Sync!$AG1654/10000),""),IFERROR(VALUE(TRIM(LEFT(Sync!$AG1654,FIND("/",Sync!$AG1654)-1))),""))))</f>
        <v/>
      </c>
      <c r="H1654">
        <f>IF(OR($F1654="",$G1654=""),"",IF(ISNUMBER(Sync!$AG1654),INT(MOD(Sync!$AG1654,10000)/100),IFERROR(VALUE(TRIM(LEFT(MID(Sync!$AG1654,FIND("/",Sync!$AG1654)+1,20),FIND("/",MID(Sync!$AG1654,FIND("/",Sync!$AG1654)+1,20))-1))),"")))</f>
        <v/>
      </c>
      <c r="I1654">
        <f>IF(OR($F1654="",$G1654=""),"",IF(ISNUMBER(Sync!$AG1654),MOD(Sync!$AG1654,100),IFERROR(VALUE(TRIM(MID(MID(Sync!$AG1654,FIND("/",Sync!$AG1654)+1,20),FIND("/",MID(Sync!$AG1654,FIND("/",Sync!$AG1654)+1,20))+1,20))),"")))</f>
        <v/>
      </c>
      <c r="J1654">
        <f>IF($F1654="","",IF(OR($G1654="",$H1654="",$I1654="",$G1654&lt;1300,$G1654&gt;1500,$H1654&lt;1,$H1654&gt;12,$I1654&lt;1,$I1654&gt;31),"نامعتبر",RIGHT("0000"&amp;$G1654,4)&amp;"/"&amp;RIGHT("00"&amp;$H1654,2)&amp;"/"&amp;RIGHT("00"&amp;$I1654,2)))</f>
        <v/>
      </c>
      <c r="K1654">
        <f>IF(OR($F1654="",$J1654="",$J1654="نامعتبر"),"",LEFT($J1654,4)&amp;MID($J1654,6,2)&amp;RIGHT($J1654,2)&amp;$N1654&amp;"|"&amp;"2"&amp;RIGHT("00000"&amp;1649,5))</f>
        <v/>
      </c>
      <c r="L1654">
        <f>IF($K1654="","",COUNTIFS(LdgPartyA,$F1654,LdgKeyA,"&lt;"&amp;$K1654)+COUNTIFS(LdgPartyB,$F1654,LdgKeyB,"&lt;"&amp;$K1654)+1)</f>
        <v/>
      </c>
      <c r="M1654">
        <f>IF($L1654="","",$F1654&amp;"|"&amp;RIGHT("000000"&amp;$L1654,6))</f>
        <v/>
      </c>
      <c r="N1654">
        <f>IF($F1654="","",IF(Sync!$AH1654="","0000",IF(AND(ISNUMBER(Sync!$AH1654),Sync!$AH1654&gt;=0,Sync!$AH1654&lt;1),RIGHT("00"&amp;HOUR(Sync!$AH1654),2)&amp;RIGHT("00"&amp;MINUTE(Sync!$AH1654),2),IFERROR(RIGHT("00"&amp;VALUE(LEFT(Sync!$AH1654,FIND(":",Sync!$AH1654)-1)),2)&amp;RIGHT("00"&amp;VALUE(MID(Sync!$AH1654,FIND(":",Sync!$AH1654)+1,2)),2),"0000"))))</f>
        <v/>
      </c>
    </row>
    <row r="1655">
      <c r="A1655">
        <f>IF(OR(Calc!$E1658="",Calc!$E1658="نامعتبر",Calc!$G1658="",Calc!$I1658&lt;&gt;"خرید"),"",Calc!$G1658)</f>
        <v/>
      </c>
      <c r="B1655">
        <f>IF($A1655="","",LEFT(Calc!$E1658,4)&amp;MID(Calc!$E1658,6,2)&amp;RIGHT(Calc!$E1658,2)&amp;Calc!$R1658&amp;"|"&amp;"1"&amp;RIGHT("00000"&amp;1650,5))</f>
        <v/>
      </c>
      <c r="C1655">
        <f>IF($B1655="","",COUNTIFS(LdgPartyA,$A1655,LdgKeyA,"&lt;"&amp;$B1655)+COUNTIFS(LdgPartyB,$A1655,LdgKeyB,"&lt;"&amp;$B1655)+1)</f>
        <v/>
      </c>
      <c r="D1655">
        <f>IF($C1655="","",$A1655&amp;"|"&amp;RIGHT("000000"&amp;$C1655,6))</f>
        <v/>
      </c>
      <c r="F1655">
        <f>IF(Sync!$AJ1655="","",Sync!$AJ1655)</f>
        <v/>
      </c>
      <c r="G1655">
        <f>IF($F1655="","",IF(Sync!$AG1655="","",IF(ISNUMBER(Sync!$AG1655),IF(AND(Sync!$AG1655&gt;=10000101,Sync!$AG1655&lt;=99991231),INT(Sync!$AG1655/10000),""),IFERROR(VALUE(TRIM(LEFT(Sync!$AG1655,FIND("/",Sync!$AG1655)-1))),""))))</f>
        <v/>
      </c>
      <c r="H1655">
        <f>IF(OR($F1655="",$G1655=""),"",IF(ISNUMBER(Sync!$AG1655),INT(MOD(Sync!$AG1655,10000)/100),IFERROR(VALUE(TRIM(LEFT(MID(Sync!$AG1655,FIND("/",Sync!$AG1655)+1,20),FIND("/",MID(Sync!$AG1655,FIND("/",Sync!$AG1655)+1,20))-1))),"")))</f>
        <v/>
      </c>
      <c r="I1655">
        <f>IF(OR($F1655="",$G1655=""),"",IF(ISNUMBER(Sync!$AG1655),MOD(Sync!$AG1655,100),IFERROR(VALUE(TRIM(MID(MID(Sync!$AG1655,FIND("/",Sync!$AG1655)+1,20),FIND("/",MID(Sync!$AG1655,FIND("/",Sync!$AG1655)+1,20))+1,20))),"")))</f>
        <v/>
      </c>
      <c r="J1655">
        <f>IF($F1655="","",IF(OR($G1655="",$H1655="",$I1655="",$G1655&lt;1300,$G1655&gt;1500,$H1655&lt;1,$H1655&gt;12,$I1655&lt;1,$I1655&gt;31),"نامعتبر",RIGHT("0000"&amp;$G1655,4)&amp;"/"&amp;RIGHT("00"&amp;$H1655,2)&amp;"/"&amp;RIGHT("00"&amp;$I1655,2)))</f>
        <v/>
      </c>
      <c r="K1655">
        <f>IF(OR($F1655="",$J1655="",$J1655="نامعتبر"),"",LEFT($J1655,4)&amp;MID($J1655,6,2)&amp;RIGHT($J1655,2)&amp;$N1655&amp;"|"&amp;"2"&amp;RIGHT("00000"&amp;1650,5))</f>
        <v/>
      </c>
      <c r="L1655">
        <f>IF($K1655="","",COUNTIFS(LdgPartyA,$F1655,LdgKeyA,"&lt;"&amp;$K1655)+COUNTIFS(LdgPartyB,$F1655,LdgKeyB,"&lt;"&amp;$K1655)+1)</f>
        <v/>
      </c>
      <c r="M1655">
        <f>IF($L1655="","",$F1655&amp;"|"&amp;RIGHT("000000"&amp;$L1655,6))</f>
        <v/>
      </c>
      <c r="N1655">
        <f>IF($F1655="","",IF(Sync!$AH1655="","0000",IF(AND(ISNUMBER(Sync!$AH1655),Sync!$AH1655&gt;=0,Sync!$AH1655&lt;1),RIGHT("00"&amp;HOUR(Sync!$AH1655),2)&amp;RIGHT("00"&amp;MINUTE(Sync!$AH1655),2),IFERROR(RIGHT("00"&amp;VALUE(LEFT(Sync!$AH1655,FIND(":",Sync!$AH1655)-1)),2)&amp;RIGHT("00"&amp;VALUE(MID(Sync!$AH1655,FIND(":",Sync!$AH1655)+1,2)),2),"0000"))))</f>
        <v/>
      </c>
    </row>
    <row r="1656">
      <c r="A1656">
        <f>IF(OR(Calc!$E1659="",Calc!$E1659="نامعتبر",Calc!$G1659="",Calc!$I1659&lt;&gt;"خرید"),"",Calc!$G1659)</f>
        <v/>
      </c>
      <c r="B1656">
        <f>IF($A1656="","",LEFT(Calc!$E1659,4)&amp;MID(Calc!$E1659,6,2)&amp;RIGHT(Calc!$E1659,2)&amp;Calc!$R1659&amp;"|"&amp;"1"&amp;RIGHT("00000"&amp;1651,5))</f>
        <v/>
      </c>
      <c r="C1656">
        <f>IF($B1656="","",COUNTIFS(LdgPartyA,$A1656,LdgKeyA,"&lt;"&amp;$B1656)+COUNTIFS(LdgPartyB,$A1656,LdgKeyB,"&lt;"&amp;$B1656)+1)</f>
        <v/>
      </c>
      <c r="D1656">
        <f>IF($C1656="","",$A1656&amp;"|"&amp;RIGHT("000000"&amp;$C1656,6))</f>
        <v/>
      </c>
      <c r="F1656">
        <f>IF(Sync!$AJ1656="","",Sync!$AJ1656)</f>
        <v/>
      </c>
      <c r="G1656">
        <f>IF($F1656="","",IF(Sync!$AG1656="","",IF(ISNUMBER(Sync!$AG1656),IF(AND(Sync!$AG1656&gt;=10000101,Sync!$AG1656&lt;=99991231),INT(Sync!$AG1656/10000),""),IFERROR(VALUE(TRIM(LEFT(Sync!$AG1656,FIND("/",Sync!$AG1656)-1))),""))))</f>
        <v/>
      </c>
      <c r="H1656">
        <f>IF(OR($F1656="",$G1656=""),"",IF(ISNUMBER(Sync!$AG1656),INT(MOD(Sync!$AG1656,10000)/100),IFERROR(VALUE(TRIM(LEFT(MID(Sync!$AG1656,FIND("/",Sync!$AG1656)+1,20),FIND("/",MID(Sync!$AG1656,FIND("/",Sync!$AG1656)+1,20))-1))),"")))</f>
        <v/>
      </c>
      <c r="I1656">
        <f>IF(OR($F1656="",$G1656=""),"",IF(ISNUMBER(Sync!$AG1656),MOD(Sync!$AG1656,100),IFERROR(VALUE(TRIM(MID(MID(Sync!$AG1656,FIND("/",Sync!$AG1656)+1,20),FIND("/",MID(Sync!$AG1656,FIND("/",Sync!$AG1656)+1,20))+1,20))),"")))</f>
        <v/>
      </c>
      <c r="J1656">
        <f>IF($F1656="","",IF(OR($G1656="",$H1656="",$I1656="",$G1656&lt;1300,$G1656&gt;1500,$H1656&lt;1,$H1656&gt;12,$I1656&lt;1,$I1656&gt;31),"نامعتبر",RIGHT("0000"&amp;$G1656,4)&amp;"/"&amp;RIGHT("00"&amp;$H1656,2)&amp;"/"&amp;RIGHT("00"&amp;$I1656,2)))</f>
        <v/>
      </c>
      <c r="K1656">
        <f>IF(OR($F1656="",$J1656="",$J1656="نامعتبر"),"",LEFT($J1656,4)&amp;MID($J1656,6,2)&amp;RIGHT($J1656,2)&amp;$N1656&amp;"|"&amp;"2"&amp;RIGHT("00000"&amp;1651,5))</f>
        <v/>
      </c>
      <c r="L1656">
        <f>IF($K1656="","",COUNTIFS(LdgPartyA,$F1656,LdgKeyA,"&lt;"&amp;$K1656)+COUNTIFS(LdgPartyB,$F1656,LdgKeyB,"&lt;"&amp;$K1656)+1)</f>
        <v/>
      </c>
      <c r="M1656">
        <f>IF($L1656="","",$F1656&amp;"|"&amp;RIGHT("000000"&amp;$L1656,6))</f>
        <v/>
      </c>
      <c r="N1656">
        <f>IF($F1656="","",IF(Sync!$AH1656="","0000",IF(AND(ISNUMBER(Sync!$AH1656),Sync!$AH1656&gt;=0,Sync!$AH1656&lt;1),RIGHT("00"&amp;HOUR(Sync!$AH1656),2)&amp;RIGHT("00"&amp;MINUTE(Sync!$AH1656),2),IFERROR(RIGHT("00"&amp;VALUE(LEFT(Sync!$AH1656,FIND(":",Sync!$AH1656)-1)),2)&amp;RIGHT("00"&amp;VALUE(MID(Sync!$AH1656,FIND(":",Sync!$AH1656)+1,2)),2),"0000"))))</f>
        <v/>
      </c>
    </row>
    <row r="1657">
      <c r="A1657">
        <f>IF(OR(Calc!$E1660="",Calc!$E1660="نامعتبر",Calc!$G1660="",Calc!$I1660&lt;&gt;"خرید"),"",Calc!$G1660)</f>
        <v/>
      </c>
      <c r="B1657">
        <f>IF($A1657="","",LEFT(Calc!$E1660,4)&amp;MID(Calc!$E1660,6,2)&amp;RIGHT(Calc!$E1660,2)&amp;Calc!$R1660&amp;"|"&amp;"1"&amp;RIGHT("00000"&amp;1652,5))</f>
        <v/>
      </c>
      <c r="C1657">
        <f>IF($B1657="","",COUNTIFS(LdgPartyA,$A1657,LdgKeyA,"&lt;"&amp;$B1657)+COUNTIFS(LdgPartyB,$A1657,LdgKeyB,"&lt;"&amp;$B1657)+1)</f>
        <v/>
      </c>
      <c r="D1657">
        <f>IF($C1657="","",$A1657&amp;"|"&amp;RIGHT("000000"&amp;$C1657,6))</f>
        <v/>
      </c>
      <c r="F1657">
        <f>IF(Sync!$AJ1657="","",Sync!$AJ1657)</f>
        <v/>
      </c>
      <c r="G1657">
        <f>IF($F1657="","",IF(Sync!$AG1657="","",IF(ISNUMBER(Sync!$AG1657),IF(AND(Sync!$AG1657&gt;=10000101,Sync!$AG1657&lt;=99991231),INT(Sync!$AG1657/10000),""),IFERROR(VALUE(TRIM(LEFT(Sync!$AG1657,FIND("/",Sync!$AG1657)-1))),""))))</f>
        <v/>
      </c>
      <c r="H1657">
        <f>IF(OR($F1657="",$G1657=""),"",IF(ISNUMBER(Sync!$AG1657),INT(MOD(Sync!$AG1657,10000)/100),IFERROR(VALUE(TRIM(LEFT(MID(Sync!$AG1657,FIND("/",Sync!$AG1657)+1,20),FIND("/",MID(Sync!$AG1657,FIND("/",Sync!$AG1657)+1,20))-1))),"")))</f>
        <v/>
      </c>
      <c r="I1657">
        <f>IF(OR($F1657="",$G1657=""),"",IF(ISNUMBER(Sync!$AG1657),MOD(Sync!$AG1657,100),IFERROR(VALUE(TRIM(MID(MID(Sync!$AG1657,FIND("/",Sync!$AG1657)+1,20),FIND("/",MID(Sync!$AG1657,FIND("/",Sync!$AG1657)+1,20))+1,20))),"")))</f>
        <v/>
      </c>
      <c r="J1657">
        <f>IF($F1657="","",IF(OR($G1657="",$H1657="",$I1657="",$G1657&lt;1300,$G1657&gt;1500,$H1657&lt;1,$H1657&gt;12,$I1657&lt;1,$I1657&gt;31),"نامعتبر",RIGHT("0000"&amp;$G1657,4)&amp;"/"&amp;RIGHT("00"&amp;$H1657,2)&amp;"/"&amp;RIGHT("00"&amp;$I1657,2)))</f>
        <v/>
      </c>
      <c r="K1657">
        <f>IF(OR($F1657="",$J1657="",$J1657="نامعتبر"),"",LEFT($J1657,4)&amp;MID($J1657,6,2)&amp;RIGHT($J1657,2)&amp;$N1657&amp;"|"&amp;"2"&amp;RIGHT("00000"&amp;1652,5))</f>
        <v/>
      </c>
      <c r="L1657">
        <f>IF($K1657="","",COUNTIFS(LdgPartyA,$F1657,LdgKeyA,"&lt;"&amp;$K1657)+COUNTIFS(LdgPartyB,$F1657,LdgKeyB,"&lt;"&amp;$K1657)+1)</f>
        <v/>
      </c>
      <c r="M1657">
        <f>IF($L1657="","",$F1657&amp;"|"&amp;RIGHT("000000"&amp;$L1657,6))</f>
        <v/>
      </c>
      <c r="N1657">
        <f>IF($F1657="","",IF(Sync!$AH1657="","0000",IF(AND(ISNUMBER(Sync!$AH1657),Sync!$AH1657&gt;=0,Sync!$AH1657&lt;1),RIGHT("00"&amp;HOUR(Sync!$AH1657),2)&amp;RIGHT("00"&amp;MINUTE(Sync!$AH1657),2),IFERROR(RIGHT("00"&amp;VALUE(LEFT(Sync!$AH1657,FIND(":",Sync!$AH1657)-1)),2)&amp;RIGHT("00"&amp;VALUE(MID(Sync!$AH1657,FIND(":",Sync!$AH1657)+1,2)),2),"0000"))))</f>
        <v/>
      </c>
    </row>
    <row r="1658">
      <c r="A1658">
        <f>IF(OR(Calc!$E1661="",Calc!$E1661="نامعتبر",Calc!$G1661="",Calc!$I1661&lt;&gt;"خرید"),"",Calc!$G1661)</f>
        <v/>
      </c>
      <c r="B1658">
        <f>IF($A1658="","",LEFT(Calc!$E1661,4)&amp;MID(Calc!$E1661,6,2)&amp;RIGHT(Calc!$E1661,2)&amp;Calc!$R1661&amp;"|"&amp;"1"&amp;RIGHT("00000"&amp;1653,5))</f>
        <v/>
      </c>
      <c r="C1658">
        <f>IF($B1658="","",COUNTIFS(LdgPartyA,$A1658,LdgKeyA,"&lt;"&amp;$B1658)+COUNTIFS(LdgPartyB,$A1658,LdgKeyB,"&lt;"&amp;$B1658)+1)</f>
        <v/>
      </c>
      <c r="D1658">
        <f>IF($C1658="","",$A1658&amp;"|"&amp;RIGHT("000000"&amp;$C1658,6))</f>
        <v/>
      </c>
      <c r="F1658">
        <f>IF(Sync!$AJ1658="","",Sync!$AJ1658)</f>
        <v/>
      </c>
      <c r="G1658">
        <f>IF($F1658="","",IF(Sync!$AG1658="","",IF(ISNUMBER(Sync!$AG1658),IF(AND(Sync!$AG1658&gt;=10000101,Sync!$AG1658&lt;=99991231),INT(Sync!$AG1658/10000),""),IFERROR(VALUE(TRIM(LEFT(Sync!$AG1658,FIND("/",Sync!$AG1658)-1))),""))))</f>
        <v/>
      </c>
      <c r="H1658">
        <f>IF(OR($F1658="",$G1658=""),"",IF(ISNUMBER(Sync!$AG1658),INT(MOD(Sync!$AG1658,10000)/100),IFERROR(VALUE(TRIM(LEFT(MID(Sync!$AG1658,FIND("/",Sync!$AG1658)+1,20),FIND("/",MID(Sync!$AG1658,FIND("/",Sync!$AG1658)+1,20))-1))),"")))</f>
        <v/>
      </c>
      <c r="I1658">
        <f>IF(OR($F1658="",$G1658=""),"",IF(ISNUMBER(Sync!$AG1658),MOD(Sync!$AG1658,100),IFERROR(VALUE(TRIM(MID(MID(Sync!$AG1658,FIND("/",Sync!$AG1658)+1,20),FIND("/",MID(Sync!$AG1658,FIND("/",Sync!$AG1658)+1,20))+1,20))),"")))</f>
        <v/>
      </c>
      <c r="J1658">
        <f>IF($F1658="","",IF(OR($G1658="",$H1658="",$I1658="",$G1658&lt;1300,$G1658&gt;1500,$H1658&lt;1,$H1658&gt;12,$I1658&lt;1,$I1658&gt;31),"نامعتبر",RIGHT("0000"&amp;$G1658,4)&amp;"/"&amp;RIGHT("00"&amp;$H1658,2)&amp;"/"&amp;RIGHT("00"&amp;$I1658,2)))</f>
        <v/>
      </c>
      <c r="K1658">
        <f>IF(OR($F1658="",$J1658="",$J1658="نامعتبر"),"",LEFT($J1658,4)&amp;MID($J1658,6,2)&amp;RIGHT($J1658,2)&amp;$N1658&amp;"|"&amp;"2"&amp;RIGHT("00000"&amp;1653,5))</f>
        <v/>
      </c>
      <c r="L1658">
        <f>IF($K1658="","",COUNTIFS(LdgPartyA,$F1658,LdgKeyA,"&lt;"&amp;$K1658)+COUNTIFS(LdgPartyB,$F1658,LdgKeyB,"&lt;"&amp;$K1658)+1)</f>
        <v/>
      </c>
      <c r="M1658">
        <f>IF($L1658="","",$F1658&amp;"|"&amp;RIGHT("000000"&amp;$L1658,6))</f>
        <v/>
      </c>
      <c r="N1658">
        <f>IF($F1658="","",IF(Sync!$AH1658="","0000",IF(AND(ISNUMBER(Sync!$AH1658),Sync!$AH1658&gt;=0,Sync!$AH1658&lt;1),RIGHT("00"&amp;HOUR(Sync!$AH1658),2)&amp;RIGHT("00"&amp;MINUTE(Sync!$AH1658),2),IFERROR(RIGHT("00"&amp;VALUE(LEFT(Sync!$AH1658,FIND(":",Sync!$AH1658)-1)),2)&amp;RIGHT("00"&amp;VALUE(MID(Sync!$AH1658,FIND(":",Sync!$AH1658)+1,2)),2),"0000"))))</f>
        <v/>
      </c>
    </row>
    <row r="1659">
      <c r="A1659">
        <f>IF(OR(Calc!$E1662="",Calc!$E1662="نامعتبر",Calc!$G1662="",Calc!$I1662&lt;&gt;"خرید"),"",Calc!$G1662)</f>
        <v/>
      </c>
      <c r="B1659">
        <f>IF($A1659="","",LEFT(Calc!$E1662,4)&amp;MID(Calc!$E1662,6,2)&amp;RIGHT(Calc!$E1662,2)&amp;Calc!$R1662&amp;"|"&amp;"1"&amp;RIGHT("00000"&amp;1654,5))</f>
        <v/>
      </c>
      <c r="C1659">
        <f>IF($B1659="","",COUNTIFS(LdgPartyA,$A1659,LdgKeyA,"&lt;"&amp;$B1659)+COUNTIFS(LdgPartyB,$A1659,LdgKeyB,"&lt;"&amp;$B1659)+1)</f>
        <v/>
      </c>
      <c r="D1659">
        <f>IF($C1659="","",$A1659&amp;"|"&amp;RIGHT("000000"&amp;$C1659,6))</f>
        <v/>
      </c>
      <c r="F1659">
        <f>IF(Sync!$AJ1659="","",Sync!$AJ1659)</f>
        <v/>
      </c>
      <c r="G1659">
        <f>IF($F1659="","",IF(Sync!$AG1659="","",IF(ISNUMBER(Sync!$AG1659),IF(AND(Sync!$AG1659&gt;=10000101,Sync!$AG1659&lt;=99991231),INT(Sync!$AG1659/10000),""),IFERROR(VALUE(TRIM(LEFT(Sync!$AG1659,FIND("/",Sync!$AG1659)-1))),""))))</f>
        <v/>
      </c>
      <c r="H1659">
        <f>IF(OR($F1659="",$G1659=""),"",IF(ISNUMBER(Sync!$AG1659),INT(MOD(Sync!$AG1659,10000)/100),IFERROR(VALUE(TRIM(LEFT(MID(Sync!$AG1659,FIND("/",Sync!$AG1659)+1,20),FIND("/",MID(Sync!$AG1659,FIND("/",Sync!$AG1659)+1,20))-1))),"")))</f>
        <v/>
      </c>
      <c r="I1659">
        <f>IF(OR($F1659="",$G1659=""),"",IF(ISNUMBER(Sync!$AG1659),MOD(Sync!$AG1659,100),IFERROR(VALUE(TRIM(MID(MID(Sync!$AG1659,FIND("/",Sync!$AG1659)+1,20),FIND("/",MID(Sync!$AG1659,FIND("/",Sync!$AG1659)+1,20))+1,20))),"")))</f>
        <v/>
      </c>
      <c r="J1659">
        <f>IF($F1659="","",IF(OR($G1659="",$H1659="",$I1659="",$G1659&lt;1300,$G1659&gt;1500,$H1659&lt;1,$H1659&gt;12,$I1659&lt;1,$I1659&gt;31),"نامعتبر",RIGHT("0000"&amp;$G1659,4)&amp;"/"&amp;RIGHT("00"&amp;$H1659,2)&amp;"/"&amp;RIGHT("00"&amp;$I1659,2)))</f>
        <v/>
      </c>
      <c r="K1659">
        <f>IF(OR($F1659="",$J1659="",$J1659="نامعتبر"),"",LEFT($J1659,4)&amp;MID($J1659,6,2)&amp;RIGHT($J1659,2)&amp;$N1659&amp;"|"&amp;"2"&amp;RIGHT("00000"&amp;1654,5))</f>
        <v/>
      </c>
      <c r="L1659">
        <f>IF($K1659="","",COUNTIFS(LdgPartyA,$F1659,LdgKeyA,"&lt;"&amp;$K1659)+COUNTIFS(LdgPartyB,$F1659,LdgKeyB,"&lt;"&amp;$K1659)+1)</f>
        <v/>
      </c>
      <c r="M1659">
        <f>IF($L1659="","",$F1659&amp;"|"&amp;RIGHT("000000"&amp;$L1659,6))</f>
        <v/>
      </c>
      <c r="N1659">
        <f>IF($F1659="","",IF(Sync!$AH1659="","0000",IF(AND(ISNUMBER(Sync!$AH1659),Sync!$AH1659&gt;=0,Sync!$AH1659&lt;1),RIGHT("00"&amp;HOUR(Sync!$AH1659),2)&amp;RIGHT("00"&amp;MINUTE(Sync!$AH1659),2),IFERROR(RIGHT("00"&amp;VALUE(LEFT(Sync!$AH1659,FIND(":",Sync!$AH1659)-1)),2)&amp;RIGHT("00"&amp;VALUE(MID(Sync!$AH1659,FIND(":",Sync!$AH1659)+1,2)),2),"0000"))))</f>
        <v/>
      </c>
    </row>
    <row r="1660">
      <c r="A1660">
        <f>IF(OR(Calc!$E1663="",Calc!$E1663="نامعتبر",Calc!$G1663="",Calc!$I1663&lt;&gt;"خرید"),"",Calc!$G1663)</f>
        <v/>
      </c>
      <c r="B1660">
        <f>IF($A1660="","",LEFT(Calc!$E1663,4)&amp;MID(Calc!$E1663,6,2)&amp;RIGHT(Calc!$E1663,2)&amp;Calc!$R1663&amp;"|"&amp;"1"&amp;RIGHT("00000"&amp;1655,5))</f>
        <v/>
      </c>
      <c r="C1660">
        <f>IF($B1660="","",COUNTIFS(LdgPartyA,$A1660,LdgKeyA,"&lt;"&amp;$B1660)+COUNTIFS(LdgPartyB,$A1660,LdgKeyB,"&lt;"&amp;$B1660)+1)</f>
        <v/>
      </c>
      <c r="D1660">
        <f>IF($C1660="","",$A1660&amp;"|"&amp;RIGHT("000000"&amp;$C1660,6))</f>
        <v/>
      </c>
      <c r="F1660">
        <f>IF(Sync!$AJ1660="","",Sync!$AJ1660)</f>
        <v/>
      </c>
      <c r="G1660">
        <f>IF($F1660="","",IF(Sync!$AG1660="","",IF(ISNUMBER(Sync!$AG1660),IF(AND(Sync!$AG1660&gt;=10000101,Sync!$AG1660&lt;=99991231),INT(Sync!$AG1660/10000),""),IFERROR(VALUE(TRIM(LEFT(Sync!$AG1660,FIND("/",Sync!$AG1660)-1))),""))))</f>
        <v/>
      </c>
      <c r="H1660">
        <f>IF(OR($F1660="",$G1660=""),"",IF(ISNUMBER(Sync!$AG1660),INT(MOD(Sync!$AG1660,10000)/100),IFERROR(VALUE(TRIM(LEFT(MID(Sync!$AG1660,FIND("/",Sync!$AG1660)+1,20),FIND("/",MID(Sync!$AG1660,FIND("/",Sync!$AG1660)+1,20))-1))),"")))</f>
        <v/>
      </c>
      <c r="I1660">
        <f>IF(OR($F1660="",$G1660=""),"",IF(ISNUMBER(Sync!$AG1660),MOD(Sync!$AG1660,100),IFERROR(VALUE(TRIM(MID(MID(Sync!$AG1660,FIND("/",Sync!$AG1660)+1,20),FIND("/",MID(Sync!$AG1660,FIND("/",Sync!$AG1660)+1,20))+1,20))),"")))</f>
        <v/>
      </c>
      <c r="J1660">
        <f>IF($F1660="","",IF(OR($G1660="",$H1660="",$I1660="",$G1660&lt;1300,$G1660&gt;1500,$H1660&lt;1,$H1660&gt;12,$I1660&lt;1,$I1660&gt;31),"نامعتبر",RIGHT("0000"&amp;$G1660,4)&amp;"/"&amp;RIGHT("00"&amp;$H1660,2)&amp;"/"&amp;RIGHT("00"&amp;$I1660,2)))</f>
        <v/>
      </c>
      <c r="K1660">
        <f>IF(OR($F1660="",$J1660="",$J1660="نامعتبر"),"",LEFT($J1660,4)&amp;MID($J1660,6,2)&amp;RIGHT($J1660,2)&amp;$N1660&amp;"|"&amp;"2"&amp;RIGHT("00000"&amp;1655,5))</f>
        <v/>
      </c>
      <c r="L1660">
        <f>IF($K1660="","",COUNTIFS(LdgPartyA,$F1660,LdgKeyA,"&lt;"&amp;$K1660)+COUNTIFS(LdgPartyB,$F1660,LdgKeyB,"&lt;"&amp;$K1660)+1)</f>
        <v/>
      </c>
      <c r="M1660">
        <f>IF($L1660="","",$F1660&amp;"|"&amp;RIGHT("000000"&amp;$L1660,6))</f>
        <v/>
      </c>
      <c r="N1660">
        <f>IF($F1660="","",IF(Sync!$AH1660="","0000",IF(AND(ISNUMBER(Sync!$AH1660),Sync!$AH1660&gt;=0,Sync!$AH1660&lt;1),RIGHT("00"&amp;HOUR(Sync!$AH1660),2)&amp;RIGHT("00"&amp;MINUTE(Sync!$AH1660),2),IFERROR(RIGHT("00"&amp;VALUE(LEFT(Sync!$AH1660,FIND(":",Sync!$AH1660)-1)),2)&amp;RIGHT("00"&amp;VALUE(MID(Sync!$AH1660,FIND(":",Sync!$AH1660)+1,2)),2),"0000"))))</f>
        <v/>
      </c>
    </row>
    <row r="1661">
      <c r="A1661">
        <f>IF(OR(Calc!$E1664="",Calc!$E1664="نامعتبر",Calc!$G1664="",Calc!$I1664&lt;&gt;"خرید"),"",Calc!$G1664)</f>
        <v/>
      </c>
      <c r="B1661">
        <f>IF($A1661="","",LEFT(Calc!$E1664,4)&amp;MID(Calc!$E1664,6,2)&amp;RIGHT(Calc!$E1664,2)&amp;Calc!$R1664&amp;"|"&amp;"1"&amp;RIGHT("00000"&amp;1656,5))</f>
        <v/>
      </c>
      <c r="C1661">
        <f>IF($B1661="","",COUNTIFS(LdgPartyA,$A1661,LdgKeyA,"&lt;"&amp;$B1661)+COUNTIFS(LdgPartyB,$A1661,LdgKeyB,"&lt;"&amp;$B1661)+1)</f>
        <v/>
      </c>
      <c r="D1661">
        <f>IF($C1661="","",$A1661&amp;"|"&amp;RIGHT("000000"&amp;$C1661,6))</f>
        <v/>
      </c>
      <c r="F1661">
        <f>IF(Sync!$AJ1661="","",Sync!$AJ1661)</f>
        <v/>
      </c>
      <c r="G1661">
        <f>IF($F1661="","",IF(Sync!$AG1661="","",IF(ISNUMBER(Sync!$AG1661),IF(AND(Sync!$AG1661&gt;=10000101,Sync!$AG1661&lt;=99991231),INT(Sync!$AG1661/10000),""),IFERROR(VALUE(TRIM(LEFT(Sync!$AG1661,FIND("/",Sync!$AG1661)-1))),""))))</f>
        <v/>
      </c>
      <c r="H1661">
        <f>IF(OR($F1661="",$G1661=""),"",IF(ISNUMBER(Sync!$AG1661),INT(MOD(Sync!$AG1661,10000)/100),IFERROR(VALUE(TRIM(LEFT(MID(Sync!$AG1661,FIND("/",Sync!$AG1661)+1,20),FIND("/",MID(Sync!$AG1661,FIND("/",Sync!$AG1661)+1,20))-1))),"")))</f>
        <v/>
      </c>
      <c r="I1661">
        <f>IF(OR($F1661="",$G1661=""),"",IF(ISNUMBER(Sync!$AG1661),MOD(Sync!$AG1661,100),IFERROR(VALUE(TRIM(MID(MID(Sync!$AG1661,FIND("/",Sync!$AG1661)+1,20),FIND("/",MID(Sync!$AG1661,FIND("/",Sync!$AG1661)+1,20))+1,20))),"")))</f>
        <v/>
      </c>
      <c r="J1661">
        <f>IF($F1661="","",IF(OR($G1661="",$H1661="",$I1661="",$G1661&lt;1300,$G1661&gt;1500,$H1661&lt;1,$H1661&gt;12,$I1661&lt;1,$I1661&gt;31),"نامعتبر",RIGHT("0000"&amp;$G1661,4)&amp;"/"&amp;RIGHT("00"&amp;$H1661,2)&amp;"/"&amp;RIGHT("00"&amp;$I1661,2)))</f>
        <v/>
      </c>
      <c r="K1661">
        <f>IF(OR($F1661="",$J1661="",$J1661="نامعتبر"),"",LEFT($J1661,4)&amp;MID($J1661,6,2)&amp;RIGHT($J1661,2)&amp;$N1661&amp;"|"&amp;"2"&amp;RIGHT("00000"&amp;1656,5))</f>
        <v/>
      </c>
      <c r="L1661">
        <f>IF($K1661="","",COUNTIFS(LdgPartyA,$F1661,LdgKeyA,"&lt;"&amp;$K1661)+COUNTIFS(LdgPartyB,$F1661,LdgKeyB,"&lt;"&amp;$K1661)+1)</f>
        <v/>
      </c>
      <c r="M1661">
        <f>IF($L1661="","",$F1661&amp;"|"&amp;RIGHT("000000"&amp;$L1661,6))</f>
        <v/>
      </c>
      <c r="N1661">
        <f>IF($F1661="","",IF(Sync!$AH1661="","0000",IF(AND(ISNUMBER(Sync!$AH1661),Sync!$AH1661&gt;=0,Sync!$AH1661&lt;1),RIGHT("00"&amp;HOUR(Sync!$AH1661),2)&amp;RIGHT("00"&amp;MINUTE(Sync!$AH1661),2),IFERROR(RIGHT("00"&amp;VALUE(LEFT(Sync!$AH1661,FIND(":",Sync!$AH1661)-1)),2)&amp;RIGHT("00"&amp;VALUE(MID(Sync!$AH1661,FIND(":",Sync!$AH1661)+1,2)),2),"0000"))))</f>
        <v/>
      </c>
    </row>
    <row r="1662">
      <c r="A1662">
        <f>IF(OR(Calc!$E1665="",Calc!$E1665="نامعتبر",Calc!$G1665="",Calc!$I1665&lt;&gt;"خرید"),"",Calc!$G1665)</f>
        <v/>
      </c>
      <c r="B1662">
        <f>IF($A1662="","",LEFT(Calc!$E1665,4)&amp;MID(Calc!$E1665,6,2)&amp;RIGHT(Calc!$E1665,2)&amp;Calc!$R1665&amp;"|"&amp;"1"&amp;RIGHT("00000"&amp;1657,5))</f>
        <v/>
      </c>
      <c r="C1662">
        <f>IF($B1662="","",COUNTIFS(LdgPartyA,$A1662,LdgKeyA,"&lt;"&amp;$B1662)+COUNTIFS(LdgPartyB,$A1662,LdgKeyB,"&lt;"&amp;$B1662)+1)</f>
        <v/>
      </c>
      <c r="D1662">
        <f>IF($C1662="","",$A1662&amp;"|"&amp;RIGHT("000000"&amp;$C1662,6))</f>
        <v/>
      </c>
      <c r="F1662">
        <f>IF(Sync!$AJ1662="","",Sync!$AJ1662)</f>
        <v/>
      </c>
      <c r="G1662">
        <f>IF($F1662="","",IF(Sync!$AG1662="","",IF(ISNUMBER(Sync!$AG1662),IF(AND(Sync!$AG1662&gt;=10000101,Sync!$AG1662&lt;=99991231),INT(Sync!$AG1662/10000),""),IFERROR(VALUE(TRIM(LEFT(Sync!$AG1662,FIND("/",Sync!$AG1662)-1))),""))))</f>
        <v/>
      </c>
      <c r="H1662">
        <f>IF(OR($F1662="",$G1662=""),"",IF(ISNUMBER(Sync!$AG1662),INT(MOD(Sync!$AG1662,10000)/100),IFERROR(VALUE(TRIM(LEFT(MID(Sync!$AG1662,FIND("/",Sync!$AG1662)+1,20),FIND("/",MID(Sync!$AG1662,FIND("/",Sync!$AG1662)+1,20))-1))),"")))</f>
        <v/>
      </c>
      <c r="I1662">
        <f>IF(OR($F1662="",$G1662=""),"",IF(ISNUMBER(Sync!$AG1662),MOD(Sync!$AG1662,100),IFERROR(VALUE(TRIM(MID(MID(Sync!$AG1662,FIND("/",Sync!$AG1662)+1,20),FIND("/",MID(Sync!$AG1662,FIND("/",Sync!$AG1662)+1,20))+1,20))),"")))</f>
        <v/>
      </c>
      <c r="J1662">
        <f>IF($F1662="","",IF(OR($G1662="",$H1662="",$I1662="",$G1662&lt;1300,$G1662&gt;1500,$H1662&lt;1,$H1662&gt;12,$I1662&lt;1,$I1662&gt;31),"نامعتبر",RIGHT("0000"&amp;$G1662,4)&amp;"/"&amp;RIGHT("00"&amp;$H1662,2)&amp;"/"&amp;RIGHT("00"&amp;$I1662,2)))</f>
        <v/>
      </c>
      <c r="K1662">
        <f>IF(OR($F1662="",$J1662="",$J1662="نامعتبر"),"",LEFT($J1662,4)&amp;MID($J1662,6,2)&amp;RIGHT($J1662,2)&amp;$N1662&amp;"|"&amp;"2"&amp;RIGHT("00000"&amp;1657,5))</f>
        <v/>
      </c>
      <c r="L1662">
        <f>IF($K1662="","",COUNTIFS(LdgPartyA,$F1662,LdgKeyA,"&lt;"&amp;$K1662)+COUNTIFS(LdgPartyB,$F1662,LdgKeyB,"&lt;"&amp;$K1662)+1)</f>
        <v/>
      </c>
      <c r="M1662">
        <f>IF($L1662="","",$F1662&amp;"|"&amp;RIGHT("000000"&amp;$L1662,6))</f>
        <v/>
      </c>
      <c r="N1662">
        <f>IF($F1662="","",IF(Sync!$AH1662="","0000",IF(AND(ISNUMBER(Sync!$AH1662),Sync!$AH1662&gt;=0,Sync!$AH1662&lt;1),RIGHT("00"&amp;HOUR(Sync!$AH1662),2)&amp;RIGHT("00"&amp;MINUTE(Sync!$AH1662),2),IFERROR(RIGHT("00"&amp;VALUE(LEFT(Sync!$AH1662,FIND(":",Sync!$AH1662)-1)),2)&amp;RIGHT("00"&amp;VALUE(MID(Sync!$AH1662,FIND(":",Sync!$AH1662)+1,2)),2),"0000"))))</f>
        <v/>
      </c>
    </row>
    <row r="1663">
      <c r="A1663">
        <f>IF(OR(Calc!$E1666="",Calc!$E1666="نامعتبر",Calc!$G1666="",Calc!$I1666&lt;&gt;"خرید"),"",Calc!$G1666)</f>
        <v/>
      </c>
      <c r="B1663">
        <f>IF($A1663="","",LEFT(Calc!$E1666,4)&amp;MID(Calc!$E1666,6,2)&amp;RIGHT(Calc!$E1666,2)&amp;Calc!$R1666&amp;"|"&amp;"1"&amp;RIGHT("00000"&amp;1658,5))</f>
        <v/>
      </c>
      <c r="C1663">
        <f>IF($B1663="","",COUNTIFS(LdgPartyA,$A1663,LdgKeyA,"&lt;"&amp;$B1663)+COUNTIFS(LdgPartyB,$A1663,LdgKeyB,"&lt;"&amp;$B1663)+1)</f>
        <v/>
      </c>
      <c r="D1663">
        <f>IF($C1663="","",$A1663&amp;"|"&amp;RIGHT("000000"&amp;$C1663,6))</f>
        <v/>
      </c>
      <c r="F1663">
        <f>IF(Sync!$AJ1663="","",Sync!$AJ1663)</f>
        <v/>
      </c>
      <c r="G1663">
        <f>IF($F1663="","",IF(Sync!$AG1663="","",IF(ISNUMBER(Sync!$AG1663),IF(AND(Sync!$AG1663&gt;=10000101,Sync!$AG1663&lt;=99991231),INT(Sync!$AG1663/10000),""),IFERROR(VALUE(TRIM(LEFT(Sync!$AG1663,FIND("/",Sync!$AG1663)-1))),""))))</f>
        <v/>
      </c>
      <c r="H1663">
        <f>IF(OR($F1663="",$G1663=""),"",IF(ISNUMBER(Sync!$AG1663),INT(MOD(Sync!$AG1663,10000)/100),IFERROR(VALUE(TRIM(LEFT(MID(Sync!$AG1663,FIND("/",Sync!$AG1663)+1,20),FIND("/",MID(Sync!$AG1663,FIND("/",Sync!$AG1663)+1,20))-1))),"")))</f>
        <v/>
      </c>
      <c r="I1663">
        <f>IF(OR($F1663="",$G1663=""),"",IF(ISNUMBER(Sync!$AG1663),MOD(Sync!$AG1663,100),IFERROR(VALUE(TRIM(MID(MID(Sync!$AG1663,FIND("/",Sync!$AG1663)+1,20),FIND("/",MID(Sync!$AG1663,FIND("/",Sync!$AG1663)+1,20))+1,20))),"")))</f>
        <v/>
      </c>
      <c r="J1663">
        <f>IF($F1663="","",IF(OR($G1663="",$H1663="",$I1663="",$G1663&lt;1300,$G1663&gt;1500,$H1663&lt;1,$H1663&gt;12,$I1663&lt;1,$I1663&gt;31),"نامعتبر",RIGHT("0000"&amp;$G1663,4)&amp;"/"&amp;RIGHT("00"&amp;$H1663,2)&amp;"/"&amp;RIGHT("00"&amp;$I1663,2)))</f>
        <v/>
      </c>
      <c r="K1663">
        <f>IF(OR($F1663="",$J1663="",$J1663="نامعتبر"),"",LEFT($J1663,4)&amp;MID($J1663,6,2)&amp;RIGHT($J1663,2)&amp;$N1663&amp;"|"&amp;"2"&amp;RIGHT("00000"&amp;1658,5))</f>
        <v/>
      </c>
      <c r="L1663">
        <f>IF($K1663="","",COUNTIFS(LdgPartyA,$F1663,LdgKeyA,"&lt;"&amp;$K1663)+COUNTIFS(LdgPartyB,$F1663,LdgKeyB,"&lt;"&amp;$K1663)+1)</f>
        <v/>
      </c>
      <c r="M1663">
        <f>IF($L1663="","",$F1663&amp;"|"&amp;RIGHT("000000"&amp;$L1663,6))</f>
        <v/>
      </c>
      <c r="N1663">
        <f>IF($F1663="","",IF(Sync!$AH1663="","0000",IF(AND(ISNUMBER(Sync!$AH1663),Sync!$AH1663&gt;=0,Sync!$AH1663&lt;1),RIGHT("00"&amp;HOUR(Sync!$AH1663),2)&amp;RIGHT("00"&amp;MINUTE(Sync!$AH1663),2),IFERROR(RIGHT("00"&amp;VALUE(LEFT(Sync!$AH1663,FIND(":",Sync!$AH1663)-1)),2)&amp;RIGHT("00"&amp;VALUE(MID(Sync!$AH1663,FIND(":",Sync!$AH1663)+1,2)),2),"0000"))))</f>
        <v/>
      </c>
    </row>
    <row r="1664">
      <c r="A1664">
        <f>IF(OR(Calc!$E1667="",Calc!$E1667="نامعتبر",Calc!$G1667="",Calc!$I1667&lt;&gt;"خرید"),"",Calc!$G1667)</f>
        <v/>
      </c>
      <c r="B1664">
        <f>IF($A1664="","",LEFT(Calc!$E1667,4)&amp;MID(Calc!$E1667,6,2)&amp;RIGHT(Calc!$E1667,2)&amp;Calc!$R1667&amp;"|"&amp;"1"&amp;RIGHT("00000"&amp;1659,5))</f>
        <v/>
      </c>
      <c r="C1664">
        <f>IF($B1664="","",COUNTIFS(LdgPartyA,$A1664,LdgKeyA,"&lt;"&amp;$B1664)+COUNTIFS(LdgPartyB,$A1664,LdgKeyB,"&lt;"&amp;$B1664)+1)</f>
        <v/>
      </c>
      <c r="D1664">
        <f>IF($C1664="","",$A1664&amp;"|"&amp;RIGHT("000000"&amp;$C1664,6))</f>
        <v/>
      </c>
      <c r="F1664">
        <f>IF(Sync!$AJ1664="","",Sync!$AJ1664)</f>
        <v/>
      </c>
      <c r="G1664">
        <f>IF($F1664="","",IF(Sync!$AG1664="","",IF(ISNUMBER(Sync!$AG1664),IF(AND(Sync!$AG1664&gt;=10000101,Sync!$AG1664&lt;=99991231),INT(Sync!$AG1664/10000),""),IFERROR(VALUE(TRIM(LEFT(Sync!$AG1664,FIND("/",Sync!$AG1664)-1))),""))))</f>
        <v/>
      </c>
      <c r="H1664">
        <f>IF(OR($F1664="",$G1664=""),"",IF(ISNUMBER(Sync!$AG1664),INT(MOD(Sync!$AG1664,10000)/100),IFERROR(VALUE(TRIM(LEFT(MID(Sync!$AG1664,FIND("/",Sync!$AG1664)+1,20),FIND("/",MID(Sync!$AG1664,FIND("/",Sync!$AG1664)+1,20))-1))),"")))</f>
        <v/>
      </c>
      <c r="I1664">
        <f>IF(OR($F1664="",$G1664=""),"",IF(ISNUMBER(Sync!$AG1664),MOD(Sync!$AG1664,100),IFERROR(VALUE(TRIM(MID(MID(Sync!$AG1664,FIND("/",Sync!$AG1664)+1,20),FIND("/",MID(Sync!$AG1664,FIND("/",Sync!$AG1664)+1,20))+1,20))),"")))</f>
        <v/>
      </c>
      <c r="J1664">
        <f>IF($F1664="","",IF(OR($G1664="",$H1664="",$I1664="",$G1664&lt;1300,$G1664&gt;1500,$H1664&lt;1,$H1664&gt;12,$I1664&lt;1,$I1664&gt;31),"نامعتبر",RIGHT("0000"&amp;$G1664,4)&amp;"/"&amp;RIGHT("00"&amp;$H1664,2)&amp;"/"&amp;RIGHT("00"&amp;$I1664,2)))</f>
        <v/>
      </c>
      <c r="K1664">
        <f>IF(OR($F1664="",$J1664="",$J1664="نامعتبر"),"",LEFT($J1664,4)&amp;MID($J1664,6,2)&amp;RIGHT($J1664,2)&amp;$N1664&amp;"|"&amp;"2"&amp;RIGHT("00000"&amp;1659,5))</f>
        <v/>
      </c>
      <c r="L1664">
        <f>IF($K1664="","",COUNTIFS(LdgPartyA,$F1664,LdgKeyA,"&lt;"&amp;$K1664)+COUNTIFS(LdgPartyB,$F1664,LdgKeyB,"&lt;"&amp;$K1664)+1)</f>
        <v/>
      </c>
      <c r="M1664">
        <f>IF($L1664="","",$F1664&amp;"|"&amp;RIGHT("000000"&amp;$L1664,6))</f>
        <v/>
      </c>
      <c r="N1664">
        <f>IF($F1664="","",IF(Sync!$AH1664="","0000",IF(AND(ISNUMBER(Sync!$AH1664),Sync!$AH1664&gt;=0,Sync!$AH1664&lt;1),RIGHT("00"&amp;HOUR(Sync!$AH1664),2)&amp;RIGHT("00"&amp;MINUTE(Sync!$AH1664),2),IFERROR(RIGHT("00"&amp;VALUE(LEFT(Sync!$AH1664,FIND(":",Sync!$AH1664)-1)),2)&amp;RIGHT("00"&amp;VALUE(MID(Sync!$AH1664,FIND(":",Sync!$AH1664)+1,2)),2),"0000"))))</f>
        <v/>
      </c>
    </row>
    <row r="1665">
      <c r="A1665">
        <f>IF(OR(Calc!$E1668="",Calc!$E1668="نامعتبر",Calc!$G1668="",Calc!$I1668&lt;&gt;"خرید"),"",Calc!$G1668)</f>
        <v/>
      </c>
      <c r="B1665">
        <f>IF($A1665="","",LEFT(Calc!$E1668,4)&amp;MID(Calc!$E1668,6,2)&amp;RIGHT(Calc!$E1668,2)&amp;Calc!$R1668&amp;"|"&amp;"1"&amp;RIGHT("00000"&amp;1660,5))</f>
        <v/>
      </c>
      <c r="C1665">
        <f>IF($B1665="","",COUNTIFS(LdgPartyA,$A1665,LdgKeyA,"&lt;"&amp;$B1665)+COUNTIFS(LdgPartyB,$A1665,LdgKeyB,"&lt;"&amp;$B1665)+1)</f>
        <v/>
      </c>
      <c r="D1665">
        <f>IF($C1665="","",$A1665&amp;"|"&amp;RIGHT("000000"&amp;$C1665,6))</f>
        <v/>
      </c>
      <c r="F1665">
        <f>IF(Sync!$AJ1665="","",Sync!$AJ1665)</f>
        <v/>
      </c>
      <c r="G1665">
        <f>IF($F1665="","",IF(Sync!$AG1665="","",IF(ISNUMBER(Sync!$AG1665),IF(AND(Sync!$AG1665&gt;=10000101,Sync!$AG1665&lt;=99991231),INT(Sync!$AG1665/10000),""),IFERROR(VALUE(TRIM(LEFT(Sync!$AG1665,FIND("/",Sync!$AG1665)-1))),""))))</f>
        <v/>
      </c>
      <c r="H1665">
        <f>IF(OR($F1665="",$G1665=""),"",IF(ISNUMBER(Sync!$AG1665),INT(MOD(Sync!$AG1665,10000)/100),IFERROR(VALUE(TRIM(LEFT(MID(Sync!$AG1665,FIND("/",Sync!$AG1665)+1,20),FIND("/",MID(Sync!$AG1665,FIND("/",Sync!$AG1665)+1,20))-1))),"")))</f>
        <v/>
      </c>
      <c r="I1665">
        <f>IF(OR($F1665="",$G1665=""),"",IF(ISNUMBER(Sync!$AG1665),MOD(Sync!$AG1665,100),IFERROR(VALUE(TRIM(MID(MID(Sync!$AG1665,FIND("/",Sync!$AG1665)+1,20),FIND("/",MID(Sync!$AG1665,FIND("/",Sync!$AG1665)+1,20))+1,20))),"")))</f>
        <v/>
      </c>
      <c r="J1665">
        <f>IF($F1665="","",IF(OR($G1665="",$H1665="",$I1665="",$G1665&lt;1300,$G1665&gt;1500,$H1665&lt;1,$H1665&gt;12,$I1665&lt;1,$I1665&gt;31),"نامعتبر",RIGHT("0000"&amp;$G1665,4)&amp;"/"&amp;RIGHT("00"&amp;$H1665,2)&amp;"/"&amp;RIGHT("00"&amp;$I1665,2)))</f>
        <v/>
      </c>
      <c r="K1665">
        <f>IF(OR($F1665="",$J1665="",$J1665="نامعتبر"),"",LEFT($J1665,4)&amp;MID($J1665,6,2)&amp;RIGHT($J1665,2)&amp;$N1665&amp;"|"&amp;"2"&amp;RIGHT("00000"&amp;1660,5))</f>
        <v/>
      </c>
      <c r="L1665">
        <f>IF($K1665="","",COUNTIFS(LdgPartyA,$F1665,LdgKeyA,"&lt;"&amp;$K1665)+COUNTIFS(LdgPartyB,$F1665,LdgKeyB,"&lt;"&amp;$K1665)+1)</f>
        <v/>
      </c>
      <c r="M1665">
        <f>IF($L1665="","",$F1665&amp;"|"&amp;RIGHT("000000"&amp;$L1665,6))</f>
        <v/>
      </c>
      <c r="N1665">
        <f>IF($F1665="","",IF(Sync!$AH1665="","0000",IF(AND(ISNUMBER(Sync!$AH1665),Sync!$AH1665&gt;=0,Sync!$AH1665&lt;1),RIGHT("00"&amp;HOUR(Sync!$AH1665),2)&amp;RIGHT("00"&amp;MINUTE(Sync!$AH1665),2),IFERROR(RIGHT("00"&amp;VALUE(LEFT(Sync!$AH1665,FIND(":",Sync!$AH1665)-1)),2)&amp;RIGHT("00"&amp;VALUE(MID(Sync!$AH1665,FIND(":",Sync!$AH1665)+1,2)),2),"0000"))))</f>
        <v/>
      </c>
    </row>
    <row r="1666">
      <c r="A1666">
        <f>IF(OR(Calc!$E1669="",Calc!$E1669="نامعتبر",Calc!$G1669="",Calc!$I1669&lt;&gt;"خرید"),"",Calc!$G1669)</f>
        <v/>
      </c>
      <c r="B1666">
        <f>IF($A1666="","",LEFT(Calc!$E1669,4)&amp;MID(Calc!$E1669,6,2)&amp;RIGHT(Calc!$E1669,2)&amp;Calc!$R1669&amp;"|"&amp;"1"&amp;RIGHT("00000"&amp;1661,5))</f>
        <v/>
      </c>
      <c r="C1666">
        <f>IF($B1666="","",COUNTIFS(LdgPartyA,$A1666,LdgKeyA,"&lt;"&amp;$B1666)+COUNTIFS(LdgPartyB,$A1666,LdgKeyB,"&lt;"&amp;$B1666)+1)</f>
        <v/>
      </c>
      <c r="D1666">
        <f>IF($C1666="","",$A1666&amp;"|"&amp;RIGHT("000000"&amp;$C1666,6))</f>
        <v/>
      </c>
      <c r="F1666">
        <f>IF(Sync!$AJ1666="","",Sync!$AJ1666)</f>
        <v/>
      </c>
      <c r="G1666">
        <f>IF($F1666="","",IF(Sync!$AG1666="","",IF(ISNUMBER(Sync!$AG1666),IF(AND(Sync!$AG1666&gt;=10000101,Sync!$AG1666&lt;=99991231),INT(Sync!$AG1666/10000),""),IFERROR(VALUE(TRIM(LEFT(Sync!$AG1666,FIND("/",Sync!$AG1666)-1))),""))))</f>
        <v/>
      </c>
      <c r="H1666">
        <f>IF(OR($F1666="",$G1666=""),"",IF(ISNUMBER(Sync!$AG1666),INT(MOD(Sync!$AG1666,10000)/100),IFERROR(VALUE(TRIM(LEFT(MID(Sync!$AG1666,FIND("/",Sync!$AG1666)+1,20),FIND("/",MID(Sync!$AG1666,FIND("/",Sync!$AG1666)+1,20))-1))),"")))</f>
        <v/>
      </c>
      <c r="I1666">
        <f>IF(OR($F1666="",$G1666=""),"",IF(ISNUMBER(Sync!$AG1666),MOD(Sync!$AG1666,100),IFERROR(VALUE(TRIM(MID(MID(Sync!$AG1666,FIND("/",Sync!$AG1666)+1,20),FIND("/",MID(Sync!$AG1666,FIND("/",Sync!$AG1666)+1,20))+1,20))),"")))</f>
        <v/>
      </c>
      <c r="J1666">
        <f>IF($F1666="","",IF(OR($G1666="",$H1666="",$I1666="",$G1666&lt;1300,$G1666&gt;1500,$H1666&lt;1,$H1666&gt;12,$I1666&lt;1,$I1666&gt;31),"نامعتبر",RIGHT("0000"&amp;$G1666,4)&amp;"/"&amp;RIGHT("00"&amp;$H1666,2)&amp;"/"&amp;RIGHT("00"&amp;$I1666,2)))</f>
        <v/>
      </c>
      <c r="K1666">
        <f>IF(OR($F1666="",$J1666="",$J1666="نامعتبر"),"",LEFT($J1666,4)&amp;MID($J1666,6,2)&amp;RIGHT($J1666,2)&amp;$N1666&amp;"|"&amp;"2"&amp;RIGHT("00000"&amp;1661,5))</f>
        <v/>
      </c>
      <c r="L1666">
        <f>IF($K1666="","",COUNTIFS(LdgPartyA,$F1666,LdgKeyA,"&lt;"&amp;$K1666)+COUNTIFS(LdgPartyB,$F1666,LdgKeyB,"&lt;"&amp;$K1666)+1)</f>
        <v/>
      </c>
      <c r="M1666">
        <f>IF($L1666="","",$F1666&amp;"|"&amp;RIGHT("000000"&amp;$L1666,6))</f>
        <v/>
      </c>
      <c r="N1666">
        <f>IF($F1666="","",IF(Sync!$AH1666="","0000",IF(AND(ISNUMBER(Sync!$AH1666),Sync!$AH1666&gt;=0,Sync!$AH1666&lt;1),RIGHT("00"&amp;HOUR(Sync!$AH1666),2)&amp;RIGHT("00"&amp;MINUTE(Sync!$AH1666),2),IFERROR(RIGHT("00"&amp;VALUE(LEFT(Sync!$AH1666,FIND(":",Sync!$AH1666)-1)),2)&amp;RIGHT("00"&amp;VALUE(MID(Sync!$AH1666,FIND(":",Sync!$AH1666)+1,2)),2),"0000"))))</f>
        <v/>
      </c>
    </row>
    <row r="1667">
      <c r="A1667">
        <f>IF(OR(Calc!$E1670="",Calc!$E1670="نامعتبر",Calc!$G1670="",Calc!$I1670&lt;&gt;"خرید"),"",Calc!$G1670)</f>
        <v/>
      </c>
      <c r="B1667">
        <f>IF($A1667="","",LEFT(Calc!$E1670,4)&amp;MID(Calc!$E1670,6,2)&amp;RIGHT(Calc!$E1670,2)&amp;Calc!$R1670&amp;"|"&amp;"1"&amp;RIGHT("00000"&amp;1662,5))</f>
        <v/>
      </c>
      <c r="C1667">
        <f>IF($B1667="","",COUNTIFS(LdgPartyA,$A1667,LdgKeyA,"&lt;"&amp;$B1667)+COUNTIFS(LdgPartyB,$A1667,LdgKeyB,"&lt;"&amp;$B1667)+1)</f>
        <v/>
      </c>
      <c r="D1667">
        <f>IF($C1667="","",$A1667&amp;"|"&amp;RIGHT("000000"&amp;$C1667,6))</f>
        <v/>
      </c>
      <c r="F1667">
        <f>IF(Sync!$AJ1667="","",Sync!$AJ1667)</f>
        <v/>
      </c>
      <c r="G1667">
        <f>IF($F1667="","",IF(Sync!$AG1667="","",IF(ISNUMBER(Sync!$AG1667),IF(AND(Sync!$AG1667&gt;=10000101,Sync!$AG1667&lt;=99991231),INT(Sync!$AG1667/10000),""),IFERROR(VALUE(TRIM(LEFT(Sync!$AG1667,FIND("/",Sync!$AG1667)-1))),""))))</f>
        <v/>
      </c>
      <c r="H1667">
        <f>IF(OR($F1667="",$G1667=""),"",IF(ISNUMBER(Sync!$AG1667),INT(MOD(Sync!$AG1667,10000)/100),IFERROR(VALUE(TRIM(LEFT(MID(Sync!$AG1667,FIND("/",Sync!$AG1667)+1,20),FIND("/",MID(Sync!$AG1667,FIND("/",Sync!$AG1667)+1,20))-1))),"")))</f>
        <v/>
      </c>
      <c r="I1667">
        <f>IF(OR($F1667="",$G1667=""),"",IF(ISNUMBER(Sync!$AG1667),MOD(Sync!$AG1667,100),IFERROR(VALUE(TRIM(MID(MID(Sync!$AG1667,FIND("/",Sync!$AG1667)+1,20),FIND("/",MID(Sync!$AG1667,FIND("/",Sync!$AG1667)+1,20))+1,20))),"")))</f>
        <v/>
      </c>
      <c r="J1667">
        <f>IF($F1667="","",IF(OR($G1667="",$H1667="",$I1667="",$G1667&lt;1300,$G1667&gt;1500,$H1667&lt;1,$H1667&gt;12,$I1667&lt;1,$I1667&gt;31),"نامعتبر",RIGHT("0000"&amp;$G1667,4)&amp;"/"&amp;RIGHT("00"&amp;$H1667,2)&amp;"/"&amp;RIGHT("00"&amp;$I1667,2)))</f>
        <v/>
      </c>
      <c r="K1667">
        <f>IF(OR($F1667="",$J1667="",$J1667="نامعتبر"),"",LEFT($J1667,4)&amp;MID($J1667,6,2)&amp;RIGHT($J1667,2)&amp;$N1667&amp;"|"&amp;"2"&amp;RIGHT("00000"&amp;1662,5))</f>
        <v/>
      </c>
      <c r="L1667">
        <f>IF($K1667="","",COUNTIFS(LdgPartyA,$F1667,LdgKeyA,"&lt;"&amp;$K1667)+COUNTIFS(LdgPartyB,$F1667,LdgKeyB,"&lt;"&amp;$K1667)+1)</f>
        <v/>
      </c>
      <c r="M1667">
        <f>IF($L1667="","",$F1667&amp;"|"&amp;RIGHT("000000"&amp;$L1667,6))</f>
        <v/>
      </c>
      <c r="N1667">
        <f>IF($F1667="","",IF(Sync!$AH1667="","0000",IF(AND(ISNUMBER(Sync!$AH1667),Sync!$AH1667&gt;=0,Sync!$AH1667&lt;1),RIGHT("00"&amp;HOUR(Sync!$AH1667),2)&amp;RIGHT("00"&amp;MINUTE(Sync!$AH1667),2),IFERROR(RIGHT("00"&amp;VALUE(LEFT(Sync!$AH1667,FIND(":",Sync!$AH1667)-1)),2)&amp;RIGHT("00"&amp;VALUE(MID(Sync!$AH1667,FIND(":",Sync!$AH1667)+1,2)),2),"0000"))))</f>
        <v/>
      </c>
    </row>
    <row r="1668">
      <c r="A1668">
        <f>IF(OR(Calc!$E1671="",Calc!$E1671="نامعتبر",Calc!$G1671="",Calc!$I1671&lt;&gt;"خرید"),"",Calc!$G1671)</f>
        <v/>
      </c>
      <c r="B1668">
        <f>IF($A1668="","",LEFT(Calc!$E1671,4)&amp;MID(Calc!$E1671,6,2)&amp;RIGHT(Calc!$E1671,2)&amp;Calc!$R1671&amp;"|"&amp;"1"&amp;RIGHT("00000"&amp;1663,5))</f>
        <v/>
      </c>
      <c r="C1668">
        <f>IF($B1668="","",COUNTIFS(LdgPartyA,$A1668,LdgKeyA,"&lt;"&amp;$B1668)+COUNTIFS(LdgPartyB,$A1668,LdgKeyB,"&lt;"&amp;$B1668)+1)</f>
        <v/>
      </c>
      <c r="D1668">
        <f>IF($C1668="","",$A1668&amp;"|"&amp;RIGHT("000000"&amp;$C1668,6))</f>
        <v/>
      </c>
      <c r="F1668">
        <f>IF(Sync!$AJ1668="","",Sync!$AJ1668)</f>
        <v/>
      </c>
      <c r="G1668">
        <f>IF($F1668="","",IF(Sync!$AG1668="","",IF(ISNUMBER(Sync!$AG1668),IF(AND(Sync!$AG1668&gt;=10000101,Sync!$AG1668&lt;=99991231),INT(Sync!$AG1668/10000),""),IFERROR(VALUE(TRIM(LEFT(Sync!$AG1668,FIND("/",Sync!$AG1668)-1))),""))))</f>
        <v/>
      </c>
      <c r="H1668">
        <f>IF(OR($F1668="",$G1668=""),"",IF(ISNUMBER(Sync!$AG1668),INT(MOD(Sync!$AG1668,10000)/100),IFERROR(VALUE(TRIM(LEFT(MID(Sync!$AG1668,FIND("/",Sync!$AG1668)+1,20),FIND("/",MID(Sync!$AG1668,FIND("/",Sync!$AG1668)+1,20))-1))),"")))</f>
        <v/>
      </c>
      <c r="I1668">
        <f>IF(OR($F1668="",$G1668=""),"",IF(ISNUMBER(Sync!$AG1668),MOD(Sync!$AG1668,100),IFERROR(VALUE(TRIM(MID(MID(Sync!$AG1668,FIND("/",Sync!$AG1668)+1,20),FIND("/",MID(Sync!$AG1668,FIND("/",Sync!$AG1668)+1,20))+1,20))),"")))</f>
        <v/>
      </c>
      <c r="J1668">
        <f>IF($F1668="","",IF(OR($G1668="",$H1668="",$I1668="",$G1668&lt;1300,$G1668&gt;1500,$H1668&lt;1,$H1668&gt;12,$I1668&lt;1,$I1668&gt;31),"نامعتبر",RIGHT("0000"&amp;$G1668,4)&amp;"/"&amp;RIGHT("00"&amp;$H1668,2)&amp;"/"&amp;RIGHT("00"&amp;$I1668,2)))</f>
        <v/>
      </c>
      <c r="K1668">
        <f>IF(OR($F1668="",$J1668="",$J1668="نامعتبر"),"",LEFT($J1668,4)&amp;MID($J1668,6,2)&amp;RIGHT($J1668,2)&amp;$N1668&amp;"|"&amp;"2"&amp;RIGHT("00000"&amp;1663,5))</f>
        <v/>
      </c>
      <c r="L1668">
        <f>IF($K1668="","",COUNTIFS(LdgPartyA,$F1668,LdgKeyA,"&lt;"&amp;$K1668)+COUNTIFS(LdgPartyB,$F1668,LdgKeyB,"&lt;"&amp;$K1668)+1)</f>
        <v/>
      </c>
      <c r="M1668">
        <f>IF($L1668="","",$F1668&amp;"|"&amp;RIGHT("000000"&amp;$L1668,6))</f>
        <v/>
      </c>
      <c r="N1668">
        <f>IF($F1668="","",IF(Sync!$AH1668="","0000",IF(AND(ISNUMBER(Sync!$AH1668),Sync!$AH1668&gt;=0,Sync!$AH1668&lt;1),RIGHT("00"&amp;HOUR(Sync!$AH1668),2)&amp;RIGHT("00"&amp;MINUTE(Sync!$AH1668),2),IFERROR(RIGHT("00"&amp;VALUE(LEFT(Sync!$AH1668,FIND(":",Sync!$AH1668)-1)),2)&amp;RIGHT("00"&amp;VALUE(MID(Sync!$AH1668,FIND(":",Sync!$AH1668)+1,2)),2),"0000"))))</f>
        <v/>
      </c>
    </row>
    <row r="1669">
      <c r="A1669">
        <f>IF(OR(Calc!$E1672="",Calc!$E1672="نامعتبر",Calc!$G1672="",Calc!$I1672&lt;&gt;"خرید"),"",Calc!$G1672)</f>
        <v/>
      </c>
      <c r="B1669">
        <f>IF($A1669="","",LEFT(Calc!$E1672,4)&amp;MID(Calc!$E1672,6,2)&amp;RIGHT(Calc!$E1672,2)&amp;Calc!$R1672&amp;"|"&amp;"1"&amp;RIGHT("00000"&amp;1664,5))</f>
        <v/>
      </c>
      <c r="C1669">
        <f>IF($B1669="","",COUNTIFS(LdgPartyA,$A1669,LdgKeyA,"&lt;"&amp;$B1669)+COUNTIFS(LdgPartyB,$A1669,LdgKeyB,"&lt;"&amp;$B1669)+1)</f>
        <v/>
      </c>
      <c r="D1669">
        <f>IF($C1669="","",$A1669&amp;"|"&amp;RIGHT("000000"&amp;$C1669,6))</f>
        <v/>
      </c>
      <c r="F1669">
        <f>IF(Sync!$AJ1669="","",Sync!$AJ1669)</f>
        <v/>
      </c>
      <c r="G1669">
        <f>IF($F1669="","",IF(Sync!$AG1669="","",IF(ISNUMBER(Sync!$AG1669),IF(AND(Sync!$AG1669&gt;=10000101,Sync!$AG1669&lt;=99991231),INT(Sync!$AG1669/10000),""),IFERROR(VALUE(TRIM(LEFT(Sync!$AG1669,FIND("/",Sync!$AG1669)-1))),""))))</f>
        <v/>
      </c>
      <c r="H1669">
        <f>IF(OR($F1669="",$G1669=""),"",IF(ISNUMBER(Sync!$AG1669),INT(MOD(Sync!$AG1669,10000)/100),IFERROR(VALUE(TRIM(LEFT(MID(Sync!$AG1669,FIND("/",Sync!$AG1669)+1,20),FIND("/",MID(Sync!$AG1669,FIND("/",Sync!$AG1669)+1,20))-1))),"")))</f>
        <v/>
      </c>
      <c r="I1669">
        <f>IF(OR($F1669="",$G1669=""),"",IF(ISNUMBER(Sync!$AG1669),MOD(Sync!$AG1669,100),IFERROR(VALUE(TRIM(MID(MID(Sync!$AG1669,FIND("/",Sync!$AG1669)+1,20),FIND("/",MID(Sync!$AG1669,FIND("/",Sync!$AG1669)+1,20))+1,20))),"")))</f>
        <v/>
      </c>
      <c r="J1669">
        <f>IF($F1669="","",IF(OR($G1669="",$H1669="",$I1669="",$G1669&lt;1300,$G1669&gt;1500,$H1669&lt;1,$H1669&gt;12,$I1669&lt;1,$I1669&gt;31),"نامعتبر",RIGHT("0000"&amp;$G1669,4)&amp;"/"&amp;RIGHT("00"&amp;$H1669,2)&amp;"/"&amp;RIGHT("00"&amp;$I1669,2)))</f>
        <v/>
      </c>
      <c r="K1669">
        <f>IF(OR($F1669="",$J1669="",$J1669="نامعتبر"),"",LEFT($J1669,4)&amp;MID($J1669,6,2)&amp;RIGHT($J1669,2)&amp;$N1669&amp;"|"&amp;"2"&amp;RIGHT("00000"&amp;1664,5))</f>
        <v/>
      </c>
      <c r="L1669">
        <f>IF($K1669="","",COUNTIFS(LdgPartyA,$F1669,LdgKeyA,"&lt;"&amp;$K1669)+COUNTIFS(LdgPartyB,$F1669,LdgKeyB,"&lt;"&amp;$K1669)+1)</f>
        <v/>
      </c>
      <c r="M1669">
        <f>IF($L1669="","",$F1669&amp;"|"&amp;RIGHT("000000"&amp;$L1669,6))</f>
        <v/>
      </c>
      <c r="N1669">
        <f>IF($F1669="","",IF(Sync!$AH1669="","0000",IF(AND(ISNUMBER(Sync!$AH1669),Sync!$AH1669&gt;=0,Sync!$AH1669&lt;1),RIGHT("00"&amp;HOUR(Sync!$AH1669),2)&amp;RIGHT("00"&amp;MINUTE(Sync!$AH1669),2),IFERROR(RIGHT("00"&amp;VALUE(LEFT(Sync!$AH1669,FIND(":",Sync!$AH1669)-1)),2)&amp;RIGHT("00"&amp;VALUE(MID(Sync!$AH1669,FIND(":",Sync!$AH1669)+1,2)),2),"0000"))))</f>
        <v/>
      </c>
    </row>
    <row r="1670">
      <c r="A1670">
        <f>IF(OR(Calc!$E1673="",Calc!$E1673="نامعتبر",Calc!$G1673="",Calc!$I1673&lt;&gt;"خرید"),"",Calc!$G1673)</f>
        <v/>
      </c>
      <c r="B1670">
        <f>IF($A1670="","",LEFT(Calc!$E1673,4)&amp;MID(Calc!$E1673,6,2)&amp;RIGHT(Calc!$E1673,2)&amp;Calc!$R1673&amp;"|"&amp;"1"&amp;RIGHT("00000"&amp;1665,5))</f>
        <v/>
      </c>
      <c r="C1670">
        <f>IF($B1670="","",COUNTIFS(LdgPartyA,$A1670,LdgKeyA,"&lt;"&amp;$B1670)+COUNTIFS(LdgPartyB,$A1670,LdgKeyB,"&lt;"&amp;$B1670)+1)</f>
        <v/>
      </c>
      <c r="D1670">
        <f>IF($C1670="","",$A1670&amp;"|"&amp;RIGHT("000000"&amp;$C1670,6))</f>
        <v/>
      </c>
      <c r="F1670">
        <f>IF(Sync!$AJ1670="","",Sync!$AJ1670)</f>
        <v/>
      </c>
      <c r="G1670">
        <f>IF($F1670="","",IF(Sync!$AG1670="","",IF(ISNUMBER(Sync!$AG1670),IF(AND(Sync!$AG1670&gt;=10000101,Sync!$AG1670&lt;=99991231),INT(Sync!$AG1670/10000),""),IFERROR(VALUE(TRIM(LEFT(Sync!$AG1670,FIND("/",Sync!$AG1670)-1))),""))))</f>
        <v/>
      </c>
      <c r="H1670">
        <f>IF(OR($F1670="",$G1670=""),"",IF(ISNUMBER(Sync!$AG1670),INT(MOD(Sync!$AG1670,10000)/100),IFERROR(VALUE(TRIM(LEFT(MID(Sync!$AG1670,FIND("/",Sync!$AG1670)+1,20),FIND("/",MID(Sync!$AG1670,FIND("/",Sync!$AG1670)+1,20))-1))),"")))</f>
        <v/>
      </c>
      <c r="I1670">
        <f>IF(OR($F1670="",$G1670=""),"",IF(ISNUMBER(Sync!$AG1670),MOD(Sync!$AG1670,100),IFERROR(VALUE(TRIM(MID(MID(Sync!$AG1670,FIND("/",Sync!$AG1670)+1,20),FIND("/",MID(Sync!$AG1670,FIND("/",Sync!$AG1670)+1,20))+1,20))),"")))</f>
        <v/>
      </c>
      <c r="J1670">
        <f>IF($F1670="","",IF(OR($G1670="",$H1670="",$I1670="",$G1670&lt;1300,$G1670&gt;1500,$H1670&lt;1,$H1670&gt;12,$I1670&lt;1,$I1670&gt;31),"نامعتبر",RIGHT("0000"&amp;$G1670,4)&amp;"/"&amp;RIGHT("00"&amp;$H1670,2)&amp;"/"&amp;RIGHT("00"&amp;$I1670,2)))</f>
        <v/>
      </c>
      <c r="K1670">
        <f>IF(OR($F1670="",$J1670="",$J1670="نامعتبر"),"",LEFT($J1670,4)&amp;MID($J1670,6,2)&amp;RIGHT($J1670,2)&amp;$N1670&amp;"|"&amp;"2"&amp;RIGHT("00000"&amp;1665,5))</f>
        <v/>
      </c>
      <c r="L1670">
        <f>IF($K1670="","",COUNTIFS(LdgPartyA,$F1670,LdgKeyA,"&lt;"&amp;$K1670)+COUNTIFS(LdgPartyB,$F1670,LdgKeyB,"&lt;"&amp;$K1670)+1)</f>
        <v/>
      </c>
      <c r="M1670">
        <f>IF($L1670="","",$F1670&amp;"|"&amp;RIGHT("000000"&amp;$L1670,6))</f>
        <v/>
      </c>
      <c r="N1670">
        <f>IF($F1670="","",IF(Sync!$AH1670="","0000",IF(AND(ISNUMBER(Sync!$AH1670),Sync!$AH1670&gt;=0,Sync!$AH1670&lt;1),RIGHT("00"&amp;HOUR(Sync!$AH1670),2)&amp;RIGHT("00"&amp;MINUTE(Sync!$AH1670),2),IFERROR(RIGHT("00"&amp;VALUE(LEFT(Sync!$AH1670,FIND(":",Sync!$AH1670)-1)),2)&amp;RIGHT("00"&amp;VALUE(MID(Sync!$AH1670,FIND(":",Sync!$AH1670)+1,2)),2),"0000"))))</f>
        <v/>
      </c>
    </row>
    <row r="1671">
      <c r="A1671">
        <f>IF(OR(Calc!$E1674="",Calc!$E1674="نامعتبر",Calc!$G1674="",Calc!$I1674&lt;&gt;"خرید"),"",Calc!$G1674)</f>
        <v/>
      </c>
      <c r="B1671">
        <f>IF($A1671="","",LEFT(Calc!$E1674,4)&amp;MID(Calc!$E1674,6,2)&amp;RIGHT(Calc!$E1674,2)&amp;Calc!$R1674&amp;"|"&amp;"1"&amp;RIGHT("00000"&amp;1666,5))</f>
        <v/>
      </c>
      <c r="C1671">
        <f>IF($B1671="","",COUNTIFS(LdgPartyA,$A1671,LdgKeyA,"&lt;"&amp;$B1671)+COUNTIFS(LdgPartyB,$A1671,LdgKeyB,"&lt;"&amp;$B1671)+1)</f>
        <v/>
      </c>
      <c r="D1671">
        <f>IF($C1671="","",$A1671&amp;"|"&amp;RIGHT("000000"&amp;$C1671,6))</f>
        <v/>
      </c>
      <c r="F1671">
        <f>IF(Sync!$AJ1671="","",Sync!$AJ1671)</f>
        <v/>
      </c>
      <c r="G1671">
        <f>IF($F1671="","",IF(Sync!$AG1671="","",IF(ISNUMBER(Sync!$AG1671),IF(AND(Sync!$AG1671&gt;=10000101,Sync!$AG1671&lt;=99991231),INT(Sync!$AG1671/10000),""),IFERROR(VALUE(TRIM(LEFT(Sync!$AG1671,FIND("/",Sync!$AG1671)-1))),""))))</f>
        <v/>
      </c>
      <c r="H1671">
        <f>IF(OR($F1671="",$G1671=""),"",IF(ISNUMBER(Sync!$AG1671),INT(MOD(Sync!$AG1671,10000)/100),IFERROR(VALUE(TRIM(LEFT(MID(Sync!$AG1671,FIND("/",Sync!$AG1671)+1,20),FIND("/",MID(Sync!$AG1671,FIND("/",Sync!$AG1671)+1,20))-1))),"")))</f>
        <v/>
      </c>
      <c r="I1671">
        <f>IF(OR($F1671="",$G1671=""),"",IF(ISNUMBER(Sync!$AG1671),MOD(Sync!$AG1671,100),IFERROR(VALUE(TRIM(MID(MID(Sync!$AG1671,FIND("/",Sync!$AG1671)+1,20),FIND("/",MID(Sync!$AG1671,FIND("/",Sync!$AG1671)+1,20))+1,20))),"")))</f>
        <v/>
      </c>
      <c r="J1671">
        <f>IF($F1671="","",IF(OR($G1671="",$H1671="",$I1671="",$G1671&lt;1300,$G1671&gt;1500,$H1671&lt;1,$H1671&gt;12,$I1671&lt;1,$I1671&gt;31),"نامعتبر",RIGHT("0000"&amp;$G1671,4)&amp;"/"&amp;RIGHT("00"&amp;$H1671,2)&amp;"/"&amp;RIGHT("00"&amp;$I1671,2)))</f>
        <v/>
      </c>
      <c r="K1671">
        <f>IF(OR($F1671="",$J1671="",$J1671="نامعتبر"),"",LEFT($J1671,4)&amp;MID($J1671,6,2)&amp;RIGHT($J1671,2)&amp;$N1671&amp;"|"&amp;"2"&amp;RIGHT("00000"&amp;1666,5))</f>
        <v/>
      </c>
      <c r="L1671">
        <f>IF($K1671="","",COUNTIFS(LdgPartyA,$F1671,LdgKeyA,"&lt;"&amp;$K1671)+COUNTIFS(LdgPartyB,$F1671,LdgKeyB,"&lt;"&amp;$K1671)+1)</f>
        <v/>
      </c>
      <c r="M1671">
        <f>IF($L1671="","",$F1671&amp;"|"&amp;RIGHT("000000"&amp;$L1671,6))</f>
        <v/>
      </c>
      <c r="N1671">
        <f>IF($F1671="","",IF(Sync!$AH1671="","0000",IF(AND(ISNUMBER(Sync!$AH1671),Sync!$AH1671&gt;=0,Sync!$AH1671&lt;1),RIGHT("00"&amp;HOUR(Sync!$AH1671),2)&amp;RIGHT("00"&amp;MINUTE(Sync!$AH1671),2),IFERROR(RIGHT("00"&amp;VALUE(LEFT(Sync!$AH1671,FIND(":",Sync!$AH1671)-1)),2)&amp;RIGHT("00"&amp;VALUE(MID(Sync!$AH1671,FIND(":",Sync!$AH1671)+1,2)),2),"0000"))))</f>
        <v/>
      </c>
    </row>
    <row r="1672">
      <c r="A1672">
        <f>IF(OR(Calc!$E1675="",Calc!$E1675="نامعتبر",Calc!$G1675="",Calc!$I1675&lt;&gt;"خرید"),"",Calc!$G1675)</f>
        <v/>
      </c>
      <c r="B1672">
        <f>IF($A1672="","",LEFT(Calc!$E1675,4)&amp;MID(Calc!$E1675,6,2)&amp;RIGHT(Calc!$E1675,2)&amp;Calc!$R1675&amp;"|"&amp;"1"&amp;RIGHT("00000"&amp;1667,5))</f>
        <v/>
      </c>
      <c r="C1672">
        <f>IF($B1672="","",COUNTIFS(LdgPartyA,$A1672,LdgKeyA,"&lt;"&amp;$B1672)+COUNTIFS(LdgPartyB,$A1672,LdgKeyB,"&lt;"&amp;$B1672)+1)</f>
        <v/>
      </c>
      <c r="D1672">
        <f>IF($C1672="","",$A1672&amp;"|"&amp;RIGHT("000000"&amp;$C1672,6))</f>
        <v/>
      </c>
      <c r="F1672">
        <f>IF(Sync!$AJ1672="","",Sync!$AJ1672)</f>
        <v/>
      </c>
      <c r="G1672">
        <f>IF($F1672="","",IF(Sync!$AG1672="","",IF(ISNUMBER(Sync!$AG1672),IF(AND(Sync!$AG1672&gt;=10000101,Sync!$AG1672&lt;=99991231),INT(Sync!$AG1672/10000),""),IFERROR(VALUE(TRIM(LEFT(Sync!$AG1672,FIND("/",Sync!$AG1672)-1))),""))))</f>
        <v/>
      </c>
      <c r="H1672">
        <f>IF(OR($F1672="",$G1672=""),"",IF(ISNUMBER(Sync!$AG1672),INT(MOD(Sync!$AG1672,10000)/100),IFERROR(VALUE(TRIM(LEFT(MID(Sync!$AG1672,FIND("/",Sync!$AG1672)+1,20),FIND("/",MID(Sync!$AG1672,FIND("/",Sync!$AG1672)+1,20))-1))),"")))</f>
        <v/>
      </c>
      <c r="I1672">
        <f>IF(OR($F1672="",$G1672=""),"",IF(ISNUMBER(Sync!$AG1672),MOD(Sync!$AG1672,100),IFERROR(VALUE(TRIM(MID(MID(Sync!$AG1672,FIND("/",Sync!$AG1672)+1,20),FIND("/",MID(Sync!$AG1672,FIND("/",Sync!$AG1672)+1,20))+1,20))),"")))</f>
        <v/>
      </c>
      <c r="J1672">
        <f>IF($F1672="","",IF(OR($G1672="",$H1672="",$I1672="",$G1672&lt;1300,$G1672&gt;1500,$H1672&lt;1,$H1672&gt;12,$I1672&lt;1,$I1672&gt;31),"نامعتبر",RIGHT("0000"&amp;$G1672,4)&amp;"/"&amp;RIGHT("00"&amp;$H1672,2)&amp;"/"&amp;RIGHT("00"&amp;$I1672,2)))</f>
        <v/>
      </c>
      <c r="K1672">
        <f>IF(OR($F1672="",$J1672="",$J1672="نامعتبر"),"",LEFT($J1672,4)&amp;MID($J1672,6,2)&amp;RIGHT($J1672,2)&amp;$N1672&amp;"|"&amp;"2"&amp;RIGHT("00000"&amp;1667,5))</f>
        <v/>
      </c>
      <c r="L1672">
        <f>IF($K1672="","",COUNTIFS(LdgPartyA,$F1672,LdgKeyA,"&lt;"&amp;$K1672)+COUNTIFS(LdgPartyB,$F1672,LdgKeyB,"&lt;"&amp;$K1672)+1)</f>
        <v/>
      </c>
      <c r="M1672">
        <f>IF($L1672="","",$F1672&amp;"|"&amp;RIGHT("000000"&amp;$L1672,6))</f>
        <v/>
      </c>
      <c r="N1672">
        <f>IF($F1672="","",IF(Sync!$AH1672="","0000",IF(AND(ISNUMBER(Sync!$AH1672),Sync!$AH1672&gt;=0,Sync!$AH1672&lt;1),RIGHT("00"&amp;HOUR(Sync!$AH1672),2)&amp;RIGHT("00"&amp;MINUTE(Sync!$AH1672),2),IFERROR(RIGHT("00"&amp;VALUE(LEFT(Sync!$AH1672,FIND(":",Sync!$AH1672)-1)),2)&amp;RIGHT("00"&amp;VALUE(MID(Sync!$AH1672,FIND(":",Sync!$AH1672)+1,2)),2),"0000"))))</f>
        <v/>
      </c>
    </row>
    <row r="1673">
      <c r="A1673">
        <f>IF(OR(Calc!$E1676="",Calc!$E1676="نامعتبر",Calc!$G1676="",Calc!$I1676&lt;&gt;"خرید"),"",Calc!$G1676)</f>
        <v/>
      </c>
      <c r="B1673">
        <f>IF($A1673="","",LEFT(Calc!$E1676,4)&amp;MID(Calc!$E1676,6,2)&amp;RIGHT(Calc!$E1676,2)&amp;Calc!$R1676&amp;"|"&amp;"1"&amp;RIGHT("00000"&amp;1668,5))</f>
        <v/>
      </c>
      <c r="C1673">
        <f>IF($B1673="","",COUNTIFS(LdgPartyA,$A1673,LdgKeyA,"&lt;"&amp;$B1673)+COUNTIFS(LdgPartyB,$A1673,LdgKeyB,"&lt;"&amp;$B1673)+1)</f>
        <v/>
      </c>
      <c r="D1673">
        <f>IF($C1673="","",$A1673&amp;"|"&amp;RIGHT("000000"&amp;$C1673,6))</f>
        <v/>
      </c>
      <c r="F1673">
        <f>IF(Sync!$AJ1673="","",Sync!$AJ1673)</f>
        <v/>
      </c>
      <c r="G1673">
        <f>IF($F1673="","",IF(Sync!$AG1673="","",IF(ISNUMBER(Sync!$AG1673),IF(AND(Sync!$AG1673&gt;=10000101,Sync!$AG1673&lt;=99991231),INT(Sync!$AG1673/10000),""),IFERROR(VALUE(TRIM(LEFT(Sync!$AG1673,FIND("/",Sync!$AG1673)-1))),""))))</f>
        <v/>
      </c>
      <c r="H1673">
        <f>IF(OR($F1673="",$G1673=""),"",IF(ISNUMBER(Sync!$AG1673),INT(MOD(Sync!$AG1673,10000)/100),IFERROR(VALUE(TRIM(LEFT(MID(Sync!$AG1673,FIND("/",Sync!$AG1673)+1,20),FIND("/",MID(Sync!$AG1673,FIND("/",Sync!$AG1673)+1,20))-1))),"")))</f>
        <v/>
      </c>
      <c r="I1673">
        <f>IF(OR($F1673="",$G1673=""),"",IF(ISNUMBER(Sync!$AG1673),MOD(Sync!$AG1673,100),IFERROR(VALUE(TRIM(MID(MID(Sync!$AG1673,FIND("/",Sync!$AG1673)+1,20),FIND("/",MID(Sync!$AG1673,FIND("/",Sync!$AG1673)+1,20))+1,20))),"")))</f>
        <v/>
      </c>
      <c r="J1673">
        <f>IF($F1673="","",IF(OR($G1673="",$H1673="",$I1673="",$G1673&lt;1300,$G1673&gt;1500,$H1673&lt;1,$H1673&gt;12,$I1673&lt;1,$I1673&gt;31),"نامعتبر",RIGHT("0000"&amp;$G1673,4)&amp;"/"&amp;RIGHT("00"&amp;$H1673,2)&amp;"/"&amp;RIGHT("00"&amp;$I1673,2)))</f>
        <v/>
      </c>
      <c r="K1673">
        <f>IF(OR($F1673="",$J1673="",$J1673="نامعتبر"),"",LEFT($J1673,4)&amp;MID($J1673,6,2)&amp;RIGHT($J1673,2)&amp;$N1673&amp;"|"&amp;"2"&amp;RIGHT("00000"&amp;1668,5))</f>
        <v/>
      </c>
      <c r="L1673">
        <f>IF($K1673="","",COUNTIFS(LdgPartyA,$F1673,LdgKeyA,"&lt;"&amp;$K1673)+COUNTIFS(LdgPartyB,$F1673,LdgKeyB,"&lt;"&amp;$K1673)+1)</f>
        <v/>
      </c>
      <c r="M1673">
        <f>IF($L1673="","",$F1673&amp;"|"&amp;RIGHT("000000"&amp;$L1673,6))</f>
        <v/>
      </c>
      <c r="N1673">
        <f>IF($F1673="","",IF(Sync!$AH1673="","0000",IF(AND(ISNUMBER(Sync!$AH1673),Sync!$AH1673&gt;=0,Sync!$AH1673&lt;1),RIGHT("00"&amp;HOUR(Sync!$AH1673),2)&amp;RIGHT("00"&amp;MINUTE(Sync!$AH1673),2),IFERROR(RIGHT("00"&amp;VALUE(LEFT(Sync!$AH1673,FIND(":",Sync!$AH1673)-1)),2)&amp;RIGHT("00"&amp;VALUE(MID(Sync!$AH1673,FIND(":",Sync!$AH1673)+1,2)),2),"0000"))))</f>
        <v/>
      </c>
    </row>
    <row r="1674">
      <c r="A1674">
        <f>IF(OR(Calc!$E1677="",Calc!$E1677="نامعتبر",Calc!$G1677="",Calc!$I1677&lt;&gt;"خرید"),"",Calc!$G1677)</f>
        <v/>
      </c>
      <c r="B1674">
        <f>IF($A1674="","",LEFT(Calc!$E1677,4)&amp;MID(Calc!$E1677,6,2)&amp;RIGHT(Calc!$E1677,2)&amp;Calc!$R1677&amp;"|"&amp;"1"&amp;RIGHT("00000"&amp;1669,5))</f>
        <v/>
      </c>
      <c r="C1674">
        <f>IF($B1674="","",COUNTIFS(LdgPartyA,$A1674,LdgKeyA,"&lt;"&amp;$B1674)+COUNTIFS(LdgPartyB,$A1674,LdgKeyB,"&lt;"&amp;$B1674)+1)</f>
        <v/>
      </c>
      <c r="D1674">
        <f>IF($C1674="","",$A1674&amp;"|"&amp;RIGHT("000000"&amp;$C1674,6))</f>
        <v/>
      </c>
      <c r="F1674">
        <f>IF(Sync!$AJ1674="","",Sync!$AJ1674)</f>
        <v/>
      </c>
      <c r="G1674">
        <f>IF($F1674="","",IF(Sync!$AG1674="","",IF(ISNUMBER(Sync!$AG1674),IF(AND(Sync!$AG1674&gt;=10000101,Sync!$AG1674&lt;=99991231),INT(Sync!$AG1674/10000),""),IFERROR(VALUE(TRIM(LEFT(Sync!$AG1674,FIND("/",Sync!$AG1674)-1))),""))))</f>
        <v/>
      </c>
      <c r="H1674">
        <f>IF(OR($F1674="",$G1674=""),"",IF(ISNUMBER(Sync!$AG1674),INT(MOD(Sync!$AG1674,10000)/100),IFERROR(VALUE(TRIM(LEFT(MID(Sync!$AG1674,FIND("/",Sync!$AG1674)+1,20),FIND("/",MID(Sync!$AG1674,FIND("/",Sync!$AG1674)+1,20))-1))),"")))</f>
        <v/>
      </c>
      <c r="I1674">
        <f>IF(OR($F1674="",$G1674=""),"",IF(ISNUMBER(Sync!$AG1674),MOD(Sync!$AG1674,100),IFERROR(VALUE(TRIM(MID(MID(Sync!$AG1674,FIND("/",Sync!$AG1674)+1,20),FIND("/",MID(Sync!$AG1674,FIND("/",Sync!$AG1674)+1,20))+1,20))),"")))</f>
        <v/>
      </c>
      <c r="J1674">
        <f>IF($F1674="","",IF(OR($G1674="",$H1674="",$I1674="",$G1674&lt;1300,$G1674&gt;1500,$H1674&lt;1,$H1674&gt;12,$I1674&lt;1,$I1674&gt;31),"نامعتبر",RIGHT("0000"&amp;$G1674,4)&amp;"/"&amp;RIGHT("00"&amp;$H1674,2)&amp;"/"&amp;RIGHT("00"&amp;$I1674,2)))</f>
        <v/>
      </c>
      <c r="K1674">
        <f>IF(OR($F1674="",$J1674="",$J1674="نامعتبر"),"",LEFT($J1674,4)&amp;MID($J1674,6,2)&amp;RIGHT($J1674,2)&amp;$N1674&amp;"|"&amp;"2"&amp;RIGHT("00000"&amp;1669,5))</f>
        <v/>
      </c>
      <c r="L1674">
        <f>IF($K1674="","",COUNTIFS(LdgPartyA,$F1674,LdgKeyA,"&lt;"&amp;$K1674)+COUNTIFS(LdgPartyB,$F1674,LdgKeyB,"&lt;"&amp;$K1674)+1)</f>
        <v/>
      </c>
      <c r="M1674">
        <f>IF($L1674="","",$F1674&amp;"|"&amp;RIGHT("000000"&amp;$L1674,6))</f>
        <v/>
      </c>
      <c r="N1674">
        <f>IF($F1674="","",IF(Sync!$AH1674="","0000",IF(AND(ISNUMBER(Sync!$AH1674),Sync!$AH1674&gt;=0,Sync!$AH1674&lt;1),RIGHT("00"&amp;HOUR(Sync!$AH1674),2)&amp;RIGHT("00"&amp;MINUTE(Sync!$AH1674),2),IFERROR(RIGHT("00"&amp;VALUE(LEFT(Sync!$AH1674,FIND(":",Sync!$AH1674)-1)),2)&amp;RIGHT("00"&amp;VALUE(MID(Sync!$AH1674,FIND(":",Sync!$AH1674)+1,2)),2),"0000"))))</f>
        <v/>
      </c>
    </row>
    <row r="1675">
      <c r="A1675">
        <f>IF(OR(Calc!$E1678="",Calc!$E1678="نامعتبر",Calc!$G1678="",Calc!$I1678&lt;&gt;"خرید"),"",Calc!$G1678)</f>
        <v/>
      </c>
      <c r="B1675">
        <f>IF($A1675="","",LEFT(Calc!$E1678,4)&amp;MID(Calc!$E1678,6,2)&amp;RIGHT(Calc!$E1678,2)&amp;Calc!$R1678&amp;"|"&amp;"1"&amp;RIGHT("00000"&amp;1670,5))</f>
        <v/>
      </c>
      <c r="C1675">
        <f>IF($B1675="","",COUNTIFS(LdgPartyA,$A1675,LdgKeyA,"&lt;"&amp;$B1675)+COUNTIFS(LdgPartyB,$A1675,LdgKeyB,"&lt;"&amp;$B1675)+1)</f>
        <v/>
      </c>
      <c r="D1675">
        <f>IF($C1675="","",$A1675&amp;"|"&amp;RIGHT("000000"&amp;$C1675,6))</f>
        <v/>
      </c>
      <c r="F1675">
        <f>IF(Sync!$AJ1675="","",Sync!$AJ1675)</f>
        <v/>
      </c>
      <c r="G1675">
        <f>IF($F1675="","",IF(Sync!$AG1675="","",IF(ISNUMBER(Sync!$AG1675),IF(AND(Sync!$AG1675&gt;=10000101,Sync!$AG1675&lt;=99991231),INT(Sync!$AG1675/10000),""),IFERROR(VALUE(TRIM(LEFT(Sync!$AG1675,FIND("/",Sync!$AG1675)-1))),""))))</f>
        <v/>
      </c>
      <c r="H1675">
        <f>IF(OR($F1675="",$G1675=""),"",IF(ISNUMBER(Sync!$AG1675),INT(MOD(Sync!$AG1675,10000)/100),IFERROR(VALUE(TRIM(LEFT(MID(Sync!$AG1675,FIND("/",Sync!$AG1675)+1,20),FIND("/",MID(Sync!$AG1675,FIND("/",Sync!$AG1675)+1,20))-1))),"")))</f>
        <v/>
      </c>
      <c r="I1675">
        <f>IF(OR($F1675="",$G1675=""),"",IF(ISNUMBER(Sync!$AG1675),MOD(Sync!$AG1675,100),IFERROR(VALUE(TRIM(MID(MID(Sync!$AG1675,FIND("/",Sync!$AG1675)+1,20),FIND("/",MID(Sync!$AG1675,FIND("/",Sync!$AG1675)+1,20))+1,20))),"")))</f>
        <v/>
      </c>
      <c r="J1675">
        <f>IF($F1675="","",IF(OR($G1675="",$H1675="",$I1675="",$G1675&lt;1300,$G1675&gt;1500,$H1675&lt;1,$H1675&gt;12,$I1675&lt;1,$I1675&gt;31),"نامعتبر",RIGHT("0000"&amp;$G1675,4)&amp;"/"&amp;RIGHT("00"&amp;$H1675,2)&amp;"/"&amp;RIGHT("00"&amp;$I1675,2)))</f>
        <v/>
      </c>
      <c r="K1675">
        <f>IF(OR($F1675="",$J1675="",$J1675="نامعتبر"),"",LEFT($J1675,4)&amp;MID($J1675,6,2)&amp;RIGHT($J1675,2)&amp;$N1675&amp;"|"&amp;"2"&amp;RIGHT("00000"&amp;1670,5))</f>
        <v/>
      </c>
      <c r="L1675">
        <f>IF($K1675="","",COUNTIFS(LdgPartyA,$F1675,LdgKeyA,"&lt;"&amp;$K1675)+COUNTIFS(LdgPartyB,$F1675,LdgKeyB,"&lt;"&amp;$K1675)+1)</f>
        <v/>
      </c>
      <c r="M1675">
        <f>IF($L1675="","",$F1675&amp;"|"&amp;RIGHT("000000"&amp;$L1675,6))</f>
        <v/>
      </c>
      <c r="N1675">
        <f>IF($F1675="","",IF(Sync!$AH1675="","0000",IF(AND(ISNUMBER(Sync!$AH1675),Sync!$AH1675&gt;=0,Sync!$AH1675&lt;1),RIGHT("00"&amp;HOUR(Sync!$AH1675),2)&amp;RIGHT("00"&amp;MINUTE(Sync!$AH1675),2),IFERROR(RIGHT("00"&amp;VALUE(LEFT(Sync!$AH1675,FIND(":",Sync!$AH1675)-1)),2)&amp;RIGHT("00"&amp;VALUE(MID(Sync!$AH1675,FIND(":",Sync!$AH1675)+1,2)),2),"0000"))))</f>
        <v/>
      </c>
    </row>
    <row r="1676">
      <c r="A1676">
        <f>IF(OR(Calc!$E1679="",Calc!$E1679="نامعتبر",Calc!$G1679="",Calc!$I1679&lt;&gt;"خرید"),"",Calc!$G1679)</f>
        <v/>
      </c>
      <c r="B1676">
        <f>IF($A1676="","",LEFT(Calc!$E1679,4)&amp;MID(Calc!$E1679,6,2)&amp;RIGHT(Calc!$E1679,2)&amp;Calc!$R1679&amp;"|"&amp;"1"&amp;RIGHT("00000"&amp;1671,5))</f>
        <v/>
      </c>
      <c r="C1676">
        <f>IF($B1676="","",COUNTIFS(LdgPartyA,$A1676,LdgKeyA,"&lt;"&amp;$B1676)+COUNTIFS(LdgPartyB,$A1676,LdgKeyB,"&lt;"&amp;$B1676)+1)</f>
        <v/>
      </c>
      <c r="D1676">
        <f>IF($C1676="","",$A1676&amp;"|"&amp;RIGHT("000000"&amp;$C1676,6))</f>
        <v/>
      </c>
      <c r="F1676">
        <f>IF(Sync!$AJ1676="","",Sync!$AJ1676)</f>
        <v/>
      </c>
      <c r="G1676">
        <f>IF($F1676="","",IF(Sync!$AG1676="","",IF(ISNUMBER(Sync!$AG1676),IF(AND(Sync!$AG1676&gt;=10000101,Sync!$AG1676&lt;=99991231),INT(Sync!$AG1676/10000),""),IFERROR(VALUE(TRIM(LEFT(Sync!$AG1676,FIND("/",Sync!$AG1676)-1))),""))))</f>
        <v/>
      </c>
      <c r="H1676">
        <f>IF(OR($F1676="",$G1676=""),"",IF(ISNUMBER(Sync!$AG1676),INT(MOD(Sync!$AG1676,10000)/100),IFERROR(VALUE(TRIM(LEFT(MID(Sync!$AG1676,FIND("/",Sync!$AG1676)+1,20),FIND("/",MID(Sync!$AG1676,FIND("/",Sync!$AG1676)+1,20))-1))),"")))</f>
        <v/>
      </c>
      <c r="I1676">
        <f>IF(OR($F1676="",$G1676=""),"",IF(ISNUMBER(Sync!$AG1676),MOD(Sync!$AG1676,100),IFERROR(VALUE(TRIM(MID(MID(Sync!$AG1676,FIND("/",Sync!$AG1676)+1,20),FIND("/",MID(Sync!$AG1676,FIND("/",Sync!$AG1676)+1,20))+1,20))),"")))</f>
        <v/>
      </c>
      <c r="J1676">
        <f>IF($F1676="","",IF(OR($G1676="",$H1676="",$I1676="",$G1676&lt;1300,$G1676&gt;1500,$H1676&lt;1,$H1676&gt;12,$I1676&lt;1,$I1676&gt;31),"نامعتبر",RIGHT("0000"&amp;$G1676,4)&amp;"/"&amp;RIGHT("00"&amp;$H1676,2)&amp;"/"&amp;RIGHT("00"&amp;$I1676,2)))</f>
        <v/>
      </c>
      <c r="K1676">
        <f>IF(OR($F1676="",$J1676="",$J1676="نامعتبر"),"",LEFT($J1676,4)&amp;MID($J1676,6,2)&amp;RIGHT($J1676,2)&amp;$N1676&amp;"|"&amp;"2"&amp;RIGHT("00000"&amp;1671,5))</f>
        <v/>
      </c>
      <c r="L1676">
        <f>IF($K1676="","",COUNTIFS(LdgPartyA,$F1676,LdgKeyA,"&lt;"&amp;$K1676)+COUNTIFS(LdgPartyB,$F1676,LdgKeyB,"&lt;"&amp;$K1676)+1)</f>
        <v/>
      </c>
      <c r="M1676">
        <f>IF($L1676="","",$F1676&amp;"|"&amp;RIGHT("000000"&amp;$L1676,6))</f>
        <v/>
      </c>
      <c r="N1676">
        <f>IF($F1676="","",IF(Sync!$AH1676="","0000",IF(AND(ISNUMBER(Sync!$AH1676),Sync!$AH1676&gt;=0,Sync!$AH1676&lt;1),RIGHT("00"&amp;HOUR(Sync!$AH1676),2)&amp;RIGHT("00"&amp;MINUTE(Sync!$AH1676),2),IFERROR(RIGHT("00"&amp;VALUE(LEFT(Sync!$AH1676,FIND(":",Sync!$AH1676)-1)),2)&amp;RIGHT("00"&amp;VALUE(MID(Sync!$AH1676,FIND(":",Sync!$AH1676)+1,2)),2),"0000"))))</f>
        <v/>
      </c>
    </row>
    <row r="1677">
      <c r="A1677">
        <f>IF(OR(Calc!$E1680="",Calc!$E1680="نامعتبر",Calc!$G1680="",Calc!$I1680&lt;&gt;"خرید"),"",Calc!$G1680)</f>
        <v/>
      </c>
      <c r="B1677">
        <f>IF($A1677="","",LEFT(Calc!$E1680,4)&amp;MID(Calc!$E1680,6,2)&amp;RIGHT(Calc!$E1680,2)&amp;Calc!$R1680&amp;"|"&amp;"1"&amp;RIGHT("00000"&amp;1672,5))</f>
        <v/>
      </c>
      <c r="C1677">
        <f>IF($B1677="","",COUNTIFS(LdgPartyA,$A1677,LdgKeyA,"&lt;"&amp;$B1677)+COUNTIFS(LdgPartyB,$A1677,LdgKeyB,"&lt;"&amp;$B1677)+1)</f>
        <v/>
      </c>
      <c r="D1677">
        <f>IF($C1677="","",$A1677&amp;"|"&amp;RIGHT("000000"&amp;$C1677,6))</f>
        <v/>
      </c>
      <c r="F1677">
        <f>IF(Sync!$AJ1677="","",Sync!$AJ1677)</f>
        <v/>
      </c>
      <c r="G1677">
        <f>IF($F1677="","",IF(Sync!$AG1677="","",IF(ISNUMBER(Sync!$AG1677),IF(AND(Sync!$AG1677&gt;=10000101,Sync!$AG1677&lt;=99991231),INT(Sync!$AG1677/10000),""),IFERROR(VALUE(TRIM(LEFT(Sync!$AG1677,FIND("/",Sync!$AG1677)-1))),""))))</f>
        <v/>
      </c>
      <c r="H1677">
        <f>IF(OR($F1677="",$G1677=""),"",IF(ISNUMBER(Sync!$AG1677),INT(MOD(Sync!$AG1677,10000)/100),IFERROR(VALUE(TRIM(LEFT(MID(Sync!$AG1677,FIND("/",Sync!$AG1677)+1,20),FIND("/",MID(Sync!$AG1677,FIND("/",Sync!$AG1677)+1,20))-1))),"")))</f>
        <v/>
      </c>
      <c r="I1677">
        <f>IF(OR($F1677="",$G1677=""),"",IF(ISNUMBER(Sync!$AG1677),MOD(Sync!$AG1677,100),IFERROR(VALUE(TRIM(MID(MID(Sync!$AG1677,FIND("/",Sync!$AG1677)+1,20),FIND("/",MID(Sync!$AG1677,FIND("/",Sync!$AG1677)+1,20))+1,20))),"")))</f>
        <v/>
      </c>
      <c r="J1677">
        <f>IF($F1677="","",IF(OR($G1677="",$H1677="",$I1677="",$G1677&lt;1300,$G1677&gt;1500,$H1677&lt;1,$H1677&gt;12,$I1677&lt;1,$I1677&gt;31),"نامعتبر",RIGHT("0000"&amp;$G1677,4)&amp;"/"&amp;RIGHT("00"&amp;$H1677,2)&amp;"/"&amp;RIGHT("00"&amp;$I1677,2)))</f>
        <v/>
      </c>
      <c r="K1677">
        <f>IF(OR($F1677="",$J1677="",$J1677="نامعتبر"),"",LEFT($J1677,4)&amp;MID($J1677,6,2)&amp;RIGHT($J1677,2)&amp;$N1677&amp;"|"&amp;"2"&amp;RIGHT("00000"&amp;1672,5))</f>
        <v/>
      </c>
      <c r="L1677">
        <f>IF($K1677="","",COUNTIFS(LdgPartyA,$F1677,LdgKeyA,"&lt;"&amp;$K1677)+COUNTIFS(LdgPartyB,$F1677,LdgKeyB,"&lt;"&amp;$K1677)+1)</f>
        <v/>
      </c>
      <c r="M1677">
        <f>IF($L1677="","",$F1677&amp;"|"&amp;RIGHT("000000"&amp;$L1677,6))</f>
        <v/>
      </c>
      <c r="N1677">
        <f>IF($F1677="","",IF(Sync!$AH1677="","0000",IF(AND(ISNUMBER(Sync!$AH1677),Sync!$AH1677&gt;=0,Sync!$AH1677&lt;1),RIGHT("00"&amp;HOUR(Sync!$AH1677),2)&amp;RIGHT("00"&amp;MINUTE(Sync!$AH1677),2),IFERROR(RIGHT("00"&amp;VALUE(LEFT(Sync!$AH1677,FIND(":",Sync!$AH1677)-1)),2)&amp;RIGHT("00"&amp;VALUE(MID(Sync!$AH1677,FIND(":",Sync!$AH1677)+1,2)),2),"0000"))))</f>
        <v/>
      </c>
    </row>
    <row r="1678">
      <c r="A1678">
        <f>IF(OR(Calc!$E1681="",Calc!$E1681="نامعتبر",Calc!$G1681="",Calc!$I1681&lt;&gt;"خرید"),"",Calc!$G1681)</f>
        <v/>
      </c>
      <c r="B1678">
        <f>IF($A1678="","",LEFT(Calc!$E1681,4)&amp;MID(Calc!$E1681,6,2)&amp;RIGHT(Calc!$E1681,2)&amp;Calc!$R1681&amp;"|"&amp;"1"&amp;RIGHT("00000"&amp;1673,5))</f>
        <v/>
      </c>
      <c r="C1678">
        <f>IF($B1678="","",COUNTIFS(LdgPartyA,$A1678,LdgKeyA,"&lt;"&amp;$B1678)+COUNTIFS(LdgPartyB,$A1678,LdgKeyB,"&lt;"&amp;$B1678)+1)</f>
        <v/>
      </c>
      <c r="D1678">
        <f>IF($C1678="","",$A1678&amp;"|"&amp;RIGHT("000000"&amp;$C1678,6))</f>
        <v/>
      </c>
      <c r="F1678">
        <f>IF(Sync!$AJ1678="","",Sync!$AJ1678)</f>
        <v/>
      </c>
      <c r="G1678">
        <f>IF($F1678="","",IF(Sync!$AG1678="","",IF(ISNUMBER(Sync!$AG1678),IF(AND(Sync!$AG1678&gt;=10000101,Sync!$AG1678&lt;=99991231),INT(Sync!$AG1678/10000),""),IFERROR(VALUE(TRIM(LEFT(Sync!$AG1678,FIND("/",Sync!$AG1678)-1))),""))))</f>
        <v/>
      </c>
      <c r="H1678">
        <f>IF(OR($F1678="",$G1678=""),"",IF(ISNUMBER(Sync!$AG1678),INT(MOD(Sync!$AG1678,10000)/100),IFERROR(VALUE(TRIM(LEFT(MID(Sync!$AG1678,FIND("/",Sync!$AG1678)+1,20),FIND("/",MID(Sync!$AG1678,FIND("/",Sync!$AG1678)+1,20))-1))),"")))</f>
        <v/>
      </c>
      <c r="I1678">
        <f>IF(OR($F1678="",$G1678=""),"",IF(ISNUMBER(Sync!$AG1678),MOD(Sync!$AG1678,100),IFERROR(VALUE(TRIM(MID(MID(Sync!$AG1678,FIND("/",Sync!$AG1678)+1,20),FIND("/",MID(Sync!$AG1678,FIND("/",Sync!$AG1678)+1,20))+1,20))),"")))</f>
        <v/>
      </c>
      <c r="J1678">
        <f>IF($F1678="","",IF(OR($G1678="",$H1678="",$I1678="",$G1678&lt;1300,$G1678&gt;1500,$H1678&lt;1,$H1678&gt;12,$I1678&lt;1,$I1678&gt;31),"نامعتبر",RIGHT("0000"&amp;$G1678,4)&amp;"/"&amp;RIGHT("00"&amp;$H1678,2)&amp;"/"&amp;RIGHT("00"&amp;$I1678,2)))</f>
        <v/>
      </c>
      <c r="K1678">
        <f>IF(OR($F1678="",$J1678="",$J1678="نامعتبر"),"",LEFT($J1678,4)&amp;MID($J1678,6,2)&amp;RIGHT($J1678,2)&amp;$N1678&amp;"|"&amp;"2"&amp;RIGHT("00000"&amp;1673,5))</f>
        <v/>
      </c>
      <c r="L1678">
        <f>IF($K1678="","",COUNTIFS(LdgPartyA,$F1678,LdgKeyA,"&lt;"&amp;$K1678)+COUNTIFS(LdgPartyB,$F1678,LdgKeyB,"&lt;"&amp;$K1678)+1)</f>
        <v/>
      </c>
      <c r="M1678">
        <f>IF($L1678="","",$F1678&amp;"|"&amp;RIGHT("000000"&amp;$L1678,6))</f>
        <v/>
      </c>
      <c r="N1678">
        <f>IF($F1678="","",IF(Sync!$AH1678="","0000",IF(AND(ISNUMBER(Sync!$AH1678),Sync!$AH1678&gt;=0,Sync!$AH1678&lt;1),RIGHT("00"&amp;HOUR(Sync!$AH1678),2)&amp;RIGHT("00"&amp;MINUTE(Sync!$AH1678),2),IFERROR(RIGHT("00"&amp;VALUE(LEFT(Sync!$AH1678,FIND(":",Sync!$AH1678)-1)),2)&amp;RIGHT("00"&amp;VALUE(MID(Sync!$AH1678,FIND(":",Sync!$AH1678)+1,2)),2),"0000"))))</f>
        <v/>
      </c>
    </row>
    <row r="1679">
      <c r="A1679">
        <f>IF(OR(Calc!$E1682="",Calc!$E1682="نامعتبر",Calc!$G1682="",Calc!$I1682&lt;&gt;"خرید"),"",Calc!$G1682)</f>
        <v/>
      </c>
      <c r="B1679">
        <f>IF($A1679="","",LEFT(Calc!$E1682,4)&amp;MID(Calc!$E1682,6,2)&amp;RIGHT(Calc!$E1682,2)&amp;Calc!$R1682&amp;"|"&amp;"1"&amp;RIGHT("00000"&amp;1674,5))</f>
        <v/>
      </c>
      <c r="C1679">
        <f>IF($B1679="","",COUNTIFS(LdgPartyA,$A1679,LdgKeyA,"&lt;"&amp;$B1679)+COUNTIFS(LdgPartyB,$A1679,LdgKeyB,"&lt;"&amp;$B1679)+1)</f>
        <v/>
      </c>
      <c r="D1679">
        <f>IF($C1679="","",$A1679&amp;"|"&amp;RIGHT("000000"&amp;$C1679,6))</f>
        <v/>
      </c>
      <c r="F1679">
        <f>IF(Sync!$AJ1679="","",Sync!$AJ1679)</f>
        <v/>
      </c>
      <c r="G1679">
        <f>IF($F1679="","",IF(Sync!$AG1679="","",IF(ISNUMBER(Sync!$AG1679),IF(AND(Sync!$AG1679&gt;=10000101,Sync!$AG1679&lt;=99991231),INT(Sync!$AG1679/10000),""),IFERROR(VALUE(TRIM(LEFT(Sync!$AG1679,FIND("/",Sync!$AG1679)-1))),""))))</f>
        <v/>
      </c>
      <c r="H1679">
        <f>IF(OR($F1679="",$G1679=""),"",IF(ISNUMBER(Sync!$AG1679),INT(MOD(Sync!$AG1679,10000)/100),IFERROR(VALUE(TRIM(LEFT(MID(Sync!$AG1679,FIND("/",Sync!$AG1679)+1,20),FIND("/",MID(Sync!$AG1679,FIND("/",Sync!$AG1679)+1,20))-1))),"")))</f>
        <v/>
      </c>
      <c r="I1679">
        <f>IF(OR($F1679="",$G1679=""),"",IF(ISNUMBER(Sync!$AG1679),MOD(Sync!$AG1679,100),IFERROR(VALUE(TRIM(MID(MID(Sync!$AG1679,FIND("/",Sync!$AG1679)+1,20),FIND("/",MID(Sync!$AG1679,FIND("/",Sync!$AG1679)+1,20))+1,20))),"")))</f>
        <v/>
      </c>
      <c r="J1679">
        <f>IF($F1679="","",IF(OR($G1679="",$H1679="",$I1679="",$G1679&lt;1300,$G1679&gt;1500,$H1679&lt;1,$H1679&gt;12,$I1679&lt;1,$I1679&gt;31),"نامعتبر",RIGHT("0000"&amp;$G1679,4)&amp;"/"&amp;RIGHT("00"&amp;$H1679,2)&amp;"/"&amp;RIGHT("00"&amp;$I1679,2)))</f>
        <v/>
      </c>
      <c r="K1679">
        <f>IF(OR($F1679="",$J1679="",$J1679="نامعتبر"),"",LEFT($J1679,4)&amp;MID($J1679,6,2)&amp;RIGHT($J1679,2)&amp;$N1679&amp;"|"&amp;"2"&amp;RIGHT("00000"&amp;1674,5))</f>
        <v/>
      </c>
      <c r="L1679">
        <f>IF($K1679="","",COUNTIFS(LdgPartyA,$F1679,LdgKeyA,"&lt;"&amp;$K1679)+COUNTIFS(LdgPartyB,$F1679,LdgKeyB,"&lt;"&amp;$K1679)+1)</f>
        <v/>
      </c>
      <c r="M1679">
        <f>IF($L1679="","",$F1679&amp;"|"&amp;RIGHT("000000"&amp;$L1679,6))</f>
        <v/>
      </c>
      <c r="N1679">
        <f>IF($F1679="","",IF(Sync!$AH1679="","0000",IF(AND(ISNUMBER(Sync!$AH1679),Sync!$AH1679&gt;=0,Sync!$AH1679&lt;1),RIGHT("00"&amp;HOUR(Sync!$AH1679),2)&amp;RIGHT("00"&amp;MINUTE(Sync!$AH1679),2),IFERROR(RIGHT("00"&amp;VALUE(LEFT(Sync!$AH1679,FIND(":",Sync!$AH1679)-1)),2)&amp;RIGHT("00"&amp;VALUE(MID(Sync!$AH1679,FIND(":",Sync!$AH1679)+1,2)),2),"0000"))))</f>
        <v/>
      </c>
    </row>
    <row r="1680">
      <c r="A1680">
        <f>IF(OR(Calc!$E1683="",Calc!$E1683="نامعتبر",Calc!$G1683="",Calc!$I1683&lt;&gt;"خرید"),"",Calc!$G1683)</f>
        <v/>
      </c>
      <c r="B1680">
        <f>IF($A1680="","",LEFT(Calc!$E1683,4)&amp;MID(Calc!$E1683,6,2)&amp;RIGHT(Calc!$E1683,2)&amp;Calc!$R1683&amp;"|"&amp;"1"&amp;RIGHT("00000"&amp;1675,5))</f>
        <v/>
      </c>
      <c r="C1680">
        <f>IF($B1680="","",COUNTIFS(LdgPartyA,$A1680,LdgKeyA,"&lt;"&amp;$B1680)+COUNTIFS(LdgPartyB,$A1680,LdgKeyB,"&lt;"&amp;$B1680)+1)</f>
        <v/>
      </c>
      <c r="D1680">
        <f>IF($C1680="","",$A1680&amp;"|"&amp;RIGHT("000000"&amp;$C1680,6))</f>
        <v/>
      </c>
      <c r="F1680">
        <f>IF(Sync!$AJ1680="","",Sync!$AJ1680)</f>
        <v/>
      </c>
      <c r="G1680">
        <f>IF($F1680="","",IF(Sync!$AG1680="","",IF(ISNUMBER(Sync!$AG1680),IF(AND(Sync!$AG1680&gt;=10000101,Sync!$AG1680&lt;=99991231),INT(Sync!$AG1680/10000),""),IFERROR(VALUE(TRIM(LEFT(Sync!$AG1680,FIND("/",Sync!$AG1680)-1))),""))))</f>
        <v/>
      </c>
      <c r="H1680">
        <f>IF(OR($F1680="",$G1680=""),"",IF(ISNUMBER(Sync!$AG1680),INT(MOD(Sync!$AG1680,10000)/100),IFERROR(VALUE(TRIM(LEFT(MID(Sync!$AG1680,FIND("/",Sync!$AG1680)+1,20),FIND("/",MID(Sync!$AG1680,FIND("/",Sync!$AG1680)+1,20))-1))),"")))</f>
        <v/>
      </c>
      <c r="I1680">
        <f>IF(OR($F1680="",$G1680=""),"",IF(ISNUMBER(Sync!$AG1680),MOD(Sync!$AG1680,100),IFERROR(VALUE(TRIM(MID(MID(Sync!$AG1680,FIND("/",Sync!$AG1680)+1,20),FIND("/",MID(Sync!$AG1680,FIND("/",Sync!$AG1680)+1,20))+1,20))),"")))</f>
        <v/>
      </c>
      <c r="J1680">
        <f>IF($F1680="","",IF(OR($G1680="",$H1680="",$I1680="",$G1680&lt;1300,$G1680&gt;1500,$H1680&lt;1,$H1680&gt;12,$I1680&lt;1,$I1680&gt;31),"نامعتبر",RIGHT("0000"&amp;$G1680,4)&amp;"/"&amp;RIGHT("00"&amp;$H1680,2)&amp;"/"&amp;RIGHT("00"&amp;$I1680,2)))</f>
        <v/>
      </c>
      <c r="K1680">
        <f>IF(OR($F1680="",$J1680="",$J1680="نامعتبر"),"",LEFT($J1680,4)&amp;MID($J1680,6,2)&amp;RIGHT($J1680,2)&amp;$N1680&amp;"|"&amp;"2"&amp;RIGHT("00000"&amp;1675,5))</f>
        <v/>
      </c>
      <c r="L1680">
        <f>IF($K1680="","",COUNTIFS(LdgPartyA,$F1680,LdgKeyA,"&lt;"&amp;$K1680)+COUNTIFS(LdgPartyB,$F1680,LdgKeyB,"&lt;"&amp;$K1680)+1)</f>
        <v/>
      </c>
      <c r="M1680">
        <f>IF($L1680="","",$F1680&amp;"|"&amp;RIGHT("000000"&amp;$L1680,6))</f>
        <v/>
      </c>
      <c r="N1680">
        <f>IF($F1680="","",IF(Sync!$AH1680="","0000",IF(AND(ISNUMBER(Sync!$AH1680),Sync!$AH1680&gt;=0,Sync!$AH1680&lt;1),RIGHT("00"&amp;HOUR(Sync!$AH1680),2)&amp;RIGHT("00"&amp;MINUTE(Sync!$AH1680),2),IFERROR(RIGHT("00"&amp;VALUE(LEFT(Sync!$AH1680,FIND(":",Sync!$AH1680)-1)),2)&amp;RIGHT("00"&amp;VALUE(MID(Sync!$AH1680,FIND(":",Sync!$AH1680)+1,2)),2),"0000"))))</f>
        <v/>
      </c>
    </row>
    <row r="1681">
      <c r="A1681">
        <f>IF(OR(Calc!$E1684="",Calc!$E1684="نامعتبر",Calc!$G1684="",Calc!$I1684&lt;&gt;"خرید"),"",Calc!$G1684)</f>
        <v/>
      </c>
      <c r="B1681">
        <f>IF($A1681="","",LEFT(Calc!$E1684,4)&amp;MID(Calc!$E1684,6,2)&amp;RIGHT(Calc!$E1684,2)&amp;Calc!$R1684&amp;"|"&amp;"1"&amp;RIGHT("00000"&amp;1676,5))</f>
        <v/>
      </c>
      <c r="C1681">
        <f>IF($B1681="","",COUNTIFS(LdgPartyA,$A1681,LdgKeyA,"&lt;"&amp;$B1681)+COUNTIFS(LdgPartyB,$A1681,LdgKeyB,"&lt;"&amp;$B1681)+1)</f>
        <v/>
      </c>
      <c r="D1681">
        <f>IF($C1681="","",$A1681&amp;"|"&amp;RIGHT("000000"&amp;$C1681,6))</f>
        <v/>
      </c>
      <c r="F1681">
        <f>IF(Sync!$AJ1681="","",Sync!$AJ1681)</f>
        <v/>
      </c>
      <c r="G1681">
        <f>IF($F1681="","",IF(Sync!$AG1681="","",IF(ISNUMBER(Sync!$AG1681),IF(AND(Sync!$AG1681&gt;=10000101,Sync!$AG1681&lt;=99991231),INT(Sync!$AG1681/10000),""),IFERROR(VALUE(TRIM(LEFT(Sync!$AG1681,FIND("/",Sync!$AG1681)-1))),""))))</f>
        <v/>
      </c>
      <c r="H1681">
        <f>IF(OR($F1681="",$G1681=""),"",IF(ISNUMBER(Sync!$AG1681),INT(MOD(Sync!$AG1681,10000)/100),IFERROR(VALUE(TRIM(LEFT(MID(Sync!$AG1681,FIND("/",Sync!$AG1681)+1,20),FIND("/",MID(Sync!$AG1681,FIND("/",Sync!$AG1681)+1,20))-1))),"")))</f>
        <v/>
      </c>
      <c r="I1681">
        <f>IF(OR($F1681="",$G1681=""),"",IF(ISNUMBER(Sync!$AG1681),MOD(Sync!$AG1681,100),IFERROR(VALUE(TRIM(MID(MID(Sync!$AG1681,FIND("/",Sync!$AG1681)+1,20),FIND("/",MID(Sync!$AG1681,FIND("/",Sync!$AG1681)+1,20))+1,20))),"")))</f>
        <v/>
      </c>
      <c r="J1681">
        <f>IF($F1681="","",IF(OR($G1681="",$H1681="",$I1681="",$G1681&lt;1300,$G1681&gt;1500,$H1681&lt;1,$H1681&gt;12,$I1681&lt;1,$I1681&gt;31),"نامعتبر",RIGHT("0000"&amp;$G1681,4)&amp;"/"&amp;RIGHT("00"&amp;$H1681,2)&amp;"/"&amp;RIGHT("00"&amp;$I1681,2)))</f>
        <v/>
      </c>
      <c r="K1681">
        <f>IF(OR($F1681="",$J1681="",$J1681="نامعتبر"),"",LEFT($J1681,4)&amp;MID($J1681,6,2)&amp;RIGHT($J1681,2)&amp;$N1681&amp;"|"&amp;"2"&amp;RIGHT("00000"&amp;1676,5))</f>
        <v/>
      </c>
      <c r="L1681">
        <f>IF($K1681="","",COUNTIFS(LdgPartyA,$F1681,LdgKeyA,"&lt;"&amp;$K1681)+COUNTIFS(LdgPartyB,$F1681,LdgKeyB,"&lt;"&amp;$K1681)+1)</f>
        <v/>
      </c>
      <c r="M1681">
        <f>IF($L1681="","",$F1681&amp;"|"&amp;RIGHT("000000"&amp;$L1681,6))</f>
        <v/>
      </c>
      <c r="N1681">
        <f>IF($F1681="","",IF(Sync!$AH1681="","0000",IF(AND(ISNUMBER(Sync!$AH1681),Sync!$AH1681&gt;=0,Sync!$AH1681&lt;1),RIGHT("00"&amp;HOUR(Sync!$AH1681),2)&amp;RIGHT("00"&amp;MINUTE(Sync!$AH1681),2),IFERROR(RIGHT("00"&amp;VALUE(LEFT(Sync!$AH1681,FIND(":",Sync!$AH1681)-1)),2)&amp;RIGHT("00"&amp;VALUE(MID(Sync!$AH1681,FIND(":",Sync!$AH1681)+1,2)),2),"0000"))))</f>
        <v/>
      </c>
    </row>
    <row r="1682">
      <c r="A1682">
        <f>IF(OR(Calc!$E1685="",Calc!$E1685="نامعتبر",Calc!$G1685="",Calc!$I1685&lt;&gt;"خرید"),"",Calc!$G1685)</f>
        <v/>
      </c>
      <c r="B1682">
        <f>IF($A1682="","",LEFT(Calc!$E1685,4)&amp;MID(Calc!$E1685,6,2)&amp;RIGHT(Calc!$E1685,2)&amp;Calc!$R1685&amp;"|"&amp;"1"&amp;RIGHT("00000"&amp;1677,5))</f>
        <v/>
      </c>
      <c r="C1682">
        <f>IF($B1682="","",COUNTIFS(LdgPartyA,$A1682,LdgKeyA,"&lt;"&amp;$B1682)+COUNTIFS(LdgPartyB,$A1682,LdgKeyB,"&lt;"&amp;$B1682)+1)</f>
        <v/>
      </c>
      <c r="D1682">
        <f>IF($C1682="","",$A1682&amp;"|"&amp;RIGHT("000000"&amp;$C1682,6))</f>
        <v/>
      </c>
      <c r="F1682">
        <f>IF(Sync!$AJ1682="","",Sync!$AJ1682)</f>
        <v/>
      </c>
      <c r="G1682">
        <f>IF($F1682="","",IF(Sync!$AG1682="","",IF(ISNUMBER(Sync!$AG1682),IF(AND(Sync!$AG1682&gt;=10000101,Sync!$AG1682&lt;=99991231),INT(Sync!$AG1682/10000),""),IFERROR(VALUE(TRIM(LEFT(Sync!$AG1682,FIND("/",Sync!$AG1682)-1))),""))))</f>
        <v/>
      </c>
      <c r="H1682">
        <f>IF(OR($F1682="",$G1682=""),"",IF(ISNUMBER(Sync!$AG1682),INT(MOD(Sync!$AG1682,10000)/100),IFERROR(VALUE(TRIM(LEFT(MID(Sync!$AG1682,FIND("/",Sync!$AG1682)+1,20),FIND("/",MID(Sync!$AG1682,FIND("/",Sync!$AG1682)+1,20))-1))),"")))</f>
        <v/>
      </c>
      <c r="I1682">
        <f>IF(OR($F1682="",$G1682=""),"",IF(ISNUMBER(Sync!$AG1682),MOD(Sync!$AG1682,100),IFERROR(VALUE(TRIM(MID(MID(Sync!$AG1682,FIND("/",Sync!$AG1682)+1,20),FIND("/",MID(Sync!$AG1682,FIND("/",Sync!$AG1682)+1,20))+1,20))),"")))</f>
        <v/>
      </c>
      <c r="J1682">
        <f>IF($F1682="","",IF(OR($G1682="",$H1682="",$I1682="",$G1682&lt;1300,$G1682&gt;1500,$H1682&lt;1,$H1682&gt;12,$I1682&lt;1,$I1682&gt;31),"نامعتبر",RIGHT("0000"&amp;$G1682,4)&amp;"/"&amp;RIGHT("00"&amp;$H1682,2)&amp;"/"&amp;RIGHT("00"&amp;$I1682,2)))</f>
        <v/>
      </c>
      <c r="K1682">
        <f>IF(OR($F1682="",$J1682="",$J1682="نامعتبر"),"",LEFT($J1682,4)&amp;MID($J1682,6,2)&amp;RIGHT($J1682,2)&amp;$N1682&amp;"|"&amp;"2"&amp;RIGHT("00000"&amp;1677,5))</f>
        <v/>
      </c>
      <c r="L1682">
        <f>IF($K1682="","",COUNTIFS(LdgPartyA,$F1682,LdgKeyA,"&lt;"&amp;$K1682)+COUNTIFS(LdgPartyB,$F1682,LdgKeyB,"&lt;"&amp;$K1682)+1)</f>
        <v/>
      </c>
      <c r="M1682">
        <f>IF($L1682="","",$F1682&amp;"|"&amp;RIGHT("000000"&amp;$L1682,6))</f>
        <v/>
      </c>
      <c r="N1682">
        <f>IF($F1682="","",IF(Sync!$AH1682="","0000",IF(AND(ISNUMBER(Sync!$AH1682),Sync!$AH1682&gt;=0,Sync!$AH1682&lt;1),RIGHT("00"&amp;HOUR(Sync!$AH1682),2)&amp;RIGHT("00"&amp;MINUTE(Sync!$AH1682),2),IFERROR(RIGHT("00"&amp;VALUE(LEFT(Sync!$AH1682,FIND(":",Sync!$AH1682)-1)),2)&amp;RIGHT("00"&amp;VALUE(MID(Sync!$AH1682,FIND(":",Sync!$AH1682)+1,2)),2),"0000"))))</f>
        <v/>
      </c>
    </row>
    <row r="1683">
      <c r="A1683">
        <f>IF(OR(Calc!$E1686="",Calc!$E1686="نامعتبر",Calc!$G1686="",Calc!$I1686&lt;&gt;"خرید"),"",Calc!$G1686)</f>
        <v/>
      </c>
      <c r="B1683">
        <f>IF($A1683="","",LEFT(Calc!$E1686,4)&amp;MID(Calc!$E1686,6,2)&amp;RIGHT(Calc!$E1686,2)&amp;Calc!$R1686&amp;"|"&amp;"1"&amp;RIGHT("00000"&amp;1678,5))</f>
        <v/>
      </c>
      <c r="C1683">
        <f>IF($B1683="","",COUNTIFS(LdgPartyA,$A1683,LdgKeyA,"&lt;"&amp;$B1683)+COUNTIFS(LdgPartyB,$A1683,LdgKeyB,"&lt;"&amp;$B1683)+1)</f>
        <v/>
      </c>
      <c r="D1683">
        <f>IF($C1683="","",$A1683&amp;"|"&amp;RIGHT("000000"&amp;$C1683,6))</f>
        <v/>
      </c>
      <c r="F1683">
        <f>IF(Sync!$AJ1683="","",Sync!$AJ1683)</f>
        <v/>
      </c>
      <c r="G1683">
        <f>IF($F1683="","",IF(Sync!$AG1683="","",IF(ISNUMBER(Sync!$AG1683),IF(AND(Sync!$AG1683&gt;=10000101,Sync!$AG1683&lt;=99991231),INT(Sync!$AG1683/10000),""),IFERROR(VALUE(TRIM(LEFT(Sync!$AG1683,FIND("/",Sync!$AG1683)-1))),""))))</f>
        <v/>
      </c>
      <c r="H1683">
        <f>IF(OR($F1683="",$G1683=""),"",IF(ISNUMBER(Sync!$AG1683),INT(MOD(Sync!$AG1683,10000)/100),IFERROR(VALUE(TRIM(LEFT(MID(Sync!$AG1683,FIND("/",Sync!$AG1683)+1,20),FIND("/",MID(Sync!$AG1683,FIND("/",Sync!$AG1683)+1,20))-1))),"")))</f>
        <v/>
      </c>
      <c r="I1683">
        <f>IF(OR($F1683="",$G1683=""),"",IF(ISNUMBER(Sync!$AG1683),MOD(Sync!$AG1683,100),IFERROR(VALUE(TRIM(MID(MID(Sync!$AG1683,FIND("/",Sync!$AG1683)+1,20),FIND("/",MID(Sync!$AG1683,FIND("/",Sync!$AG1683)+1,20))+1,20))),"")))</f>
        <v/>
      </c>
      <c r="J1683">
        <f>IF($F1683="","",IF(OR($G1683="",$H1683="",$I1683="",$G1683&lt;1300,$G1683&gt;1500,$H1683&lt;1,$H1683&gt;12,$I1683&lt;1,$I1683&gt;31),"نامعتبر",RIGHT("0000"&amp;$G1683,4)&amp;"/"&amp;RIGHT("00"&amp;$H1683,2)&amp;"/"&amp;RIGHT("00"&amp;$I1683,2)))</f>
        <v/>
      </c>
      <c r="K1683">
        <f>IF(OR($F1683="",$J1683="",$J1683="نامعتبر"),"",LEFT($J1683,4)&amp;MID($J1683,6,2)&amp;RIGHT($J1683,2)&amp;$N1683&amp;"|"&amp;"2"&amp;RIGHT("00000"&amp;1678,5))</f>
        <v/>
      </c>
      <c r="L1683">
        <f>IF($K1683="","",COUNTIFS(LdgPartyA,$F1683,LdgKeyA,"&lt;"&amp;$K1683)+COUNTIFS(LdgPartyB,$F1683,LdgKeyB,"&lt;"&amp;$K1683)+1)</f>
        <v/>
      </c>
      <c r="M1683">
        <f>IF($L1683="","",$F1683&amp;"|"&amp;RIGHT("000000"&amp;$L1683,6))</f>
        <v/>
      </c>
      <c r="N1683">
        <f>IF($F1683="","",IF(Sync!$AH1683="","0000",IF(AND(ISNUMBER(Sync!$AH1683),Sync!$AH1683&gt;=0,Sync!$AH1683&lt;1),RIGHT("00"&amp;HOUR(Sync!$AH1683),2)&amp;RIGHT("00"&amp;MINUTE(Sync!$AH1683),2),IFERROR(RIGHT("00"&amp;VALUE(LEFT(Sync!$AH1683,FIND(":",Sync!$AH1683)-1)),2)&amp;RIGHT("00"&amp;VALUE(MID(Sync!$AH1683,FIND(":",Sync!$AH1683)+1,2)),2),"0000"))))</f>
        <v/>
      </c>
    </row>
    <row r="1684">
      <c r="A1684">
        <f>IF(OR(Calc!$E1687="",Calc!$E1687="نامعتبر",Calc!$G1687="",Calc!$I1687&lt;&gt;"خرید"),"",Calc!$G1687)</f>
        <v/>
      </c>
      <c r="B1684">
        <f>IF($A1684="","",LEFT(Calc!$E1687,4)&amp;MID(Calc!$E1687,6,2)&amp;RIGHT(Calc!$E1687,2)&amp;Calc!$R1687&amp;"|"&amp;"1"&amp;RIGHT("00000"&amp;1679,5))</f>
        <v/>
      </c>
      <c r="C1684">
        <f>IF($B1684="","",COUNTIFS(LdgPartyA,$A1684,LdgKeyA,"&lt;"&amp;$B1684)+COUNTIFS(LdgPartyB,$A1684,LdgKeyB,"&lt;"&amp;$B1684)+1)</f>
        <v/>
      </c>
      <c r="D1684">
        <f>IF($C1684="","",$A1684&amp;"|"&amp;RIGHT("000000"&amp;$C1684,6))</f>
        <v/>
      </c>
      <c r="F1684">
        <f>IF(Sync!$AJ1684="","",Sync!$AJ1684)</f>
        <v/>
      </c>
      <c r="G1684">
        <f>IF($F1684="","",IF(Sync!$AG1684="","",IF(ISNUMBER(Sync!$AG1684),IF(AND(Sync!$AG1684&gt;=10000101,Sync!$AG1684&lt;=99991231),INT(Sync!$AG1684/10000),""),IFERROR(VALUE(TRIM(LEFT(Sync!$AG1684,FIND("/",Sync!$AG1684)-1))),""))))</f>
        <v/>
      </c>
      <c r="H1684">
        <f>IF(OR($F1684="",$G1684=""),"",IF(ISNUMBER(Sync!$AG1684),INT(MOD(Sync!$AG1684,10000)/100),IFERROR(VALUE(TRIM(LEFT(MID(Sync!$AG1684,FIND("/",Sync!$AG1684)+1,20),FIND("/",MID(Sync!$AG1684,FIND("/",Sync!$AG1684)+1,20))-1))),"")))</f>
        <v/>
      </c>
      <c r="I1684">
        <f>IF(OR($F1684="",$G1684=""),"",IF(ISNUMBER(Sync!$AG1684),MOD(Sync!$AG1684,100),IFERROR(VALUE(TRIM(MID(MID(Sync!$AG1684,FIND("/",Sync!$AG1684)+1,20),FIND("/",MID(Sync!$AG1684,FIND("/",Sync!$AG1684)+1,20))+1,20))),"")))</f>
        <v/>
      </c>
      <c r="J1684">
        <f>IF($F1684="","",IF(OR($G1684="",$H1684="",$I1684="",$G1684&lt;1300,$G1684&gt;1500,$H1684&lt;1,$H1684&gt;12,$I1684&lt;1,$I1684&gt;31),"نامعتبر",RIGHT("0000"&amp;$G1684,4)&amp;"/"&amp;RIGHT("00"&amp;$H1684,2)&amp;"/"&amp;RIGHT("00"&amp;$I1684,2)))</f>
        <v/>
      </c>
      <c r="K1684">
        <f>IF(OR($F1684="",$J1684="",$J1684="نامعتبر"),"",LEFT($J1684,4)&amp;MID($J1684,6,2)&amp;RIGHT($J1684,2)&amp;$N1684&amp;"|"&amp;"2"&amp;RIGHT("00000"&amp;1679,5))</f>
        <v/>
      </c>
      <c r="L1684">
        <f>IF($K1684="","",COUNTIFS(LdgPartyA,$F1684,LdgKeyA,"&lt;"&amp;$K1684)+COUNTIFS(LdgPartyB,$F1684,LdgKeyB,"&lt;"&amp;$K1684)+1)</f>
        <v/>
      </c>
      <c r="M1684">
        <f>IF($L1684="","",$F1684&amp;"|"&amp;RIGHT("000000"&amp;$L1684,6))</f>
        <v/>
      </c>
      <c r="N1684">
        <f>IF($F1684="","",IF(Sync!$AH1684="","0000",IF(AND(ISNUMBER(Sync!$AH1684),Sync!$AH1684&gt;=0,Sync!$AH1684&lt;1),RIGHT("00"&amp;HOUR(Sync!$AH1684),2)&amp;RIGHT("00"&amp;MINUTE(Sync!$AH1684),2),IFERROR(RIGHT("00"&amp;VALUE(LEFT(Sync!$AH1684,FIND(":",Sync!$AH1684)-1)),2)&amp;RIGHT("00"&amp;VALUE(MID(Sync!$AH1684,FIND(":",Sync!$AH1684)+1,2)),2),"0000"))))</f>
        <v/>
      </c>
    </row>
    <row r="1685">
      <c r="A1685">
        <f>IF(OR(Calc!$E1688="",Calc!$E1688="نامعتبر",Calc!$G1688="",Calc!$I1688&lt;&gt;"خرید"),"",Calc!$G1688)</f>
        <v/>
      </c>
      <c r="B1685">
        <f>IF($A1685="","",LEFT(Calc!$E1688,4)&amp;MID(Calc!$E1688,6,2)&amp;RIGHT(Calc!$E1688,2)&amp;Calc!$R1688&amp;"|"&amp;"1"&amp;RIGHT("00000"&amp;1680,5))</f>
        <v/>
      </c>
      <c r="C1685">
        <f>IF($B1685="","",COUNTIFS(LdgPartyA,$A1685,LdgKeyA,"&lt;"&amp;$B1685)+COUNTIFS(LdgPartyB,$A1685,LdgKeyB,"&lt;"&amp;$B1685)+1)</f>
        <v/>
      </c>
      <c r="D1685">
        <f>IF($C1685="","",$A1685&amp;"|"&amp;RIGHT("000000"&amp;$C1685,6))</f>
        <v/>
      </c>
      <c r="F1685">
        <f>IF(Sync!$AJ1685="","",Sync!$AJ1685)</f>
        <v/>
      </c>
      <c r="G1685">
        <f>IF($F1685="","",IF(Sync!$AG1685="","",IF(ISNUMBER(Sync!$AG1685),IF(AND(Sync!$AG1685&gt;=10000101,Sync!$AG1685&lt;=99991231),INT(Sync!$AG1685/10000),""),IFERROR(VALUE(TRIM(LEFT(Sync!$AG1685,FIND("/",Sync!$AG1685)-1))),""))))</f>
        <v/>
      </c>
      <c r="H1685">
        <f>IF(OR($F1685="",$G1685=""),"",IF(ISNUMBER(Sync!$AG1685),INT(MOD(Sync!$AG1685,10000)/100),IFERROR(VALUE(TRIM(LEFT(MID(Sync!$AG1685,FIND("/",Sync!$AG1685)+1,20),FIND("/",MID(Sync!$AG1685,FIND("/",Sync!$AG1685)+1,20))-1))),"")))</f>
        <v/>
      </c>
      <c r="I1685">
        <f>IF(OR($F1685="",$G1685=""),"",IF(ISNUMBER(Sync!$AG1685),MOD(Sync!$AG1685,100),IFERROR(VALUE(TRIM(MID(MID(Sync!$AG1685,FIND("/",Sync!$AG1685)+1,20),FIND("/",MID(Sync!$AG1685,FIND("/",Sync!$AG1685)+1,20))+1,20))),"")))</f>
        <v/>
      </c>
      <c r="J1685">
        <f>IF($F1685="","",IF(OR($G1685="",$H1685="",$I1685="",$G1685&lt;1300,$G1685&gt;1500,$H1685&lt;1,$H1685&gt;12,$I1685&lt;1,$I1685&gt;31),"نامعتبر",RIGHT("0000"&amp;$G1685,4)&amp;"/"&amp;RIGHT("00"&amp;$H1685,2)&amp;"/"&amp;RIGHT("00"&amp;$I1685,2)))</f>
        <v/>
      </c>
      <c r="K1685">
        <f>IF(OR($F1685="",$J1685="",$J1685="نامعتبر"),"",LEFT($J1685,4)&amp;MID($J1685,6,2)&amp;RIGHT($J1685,2)&amp;$N1685&amp;"|"&amp;"2"&amp;RIGHT("00000"&amp;1680,5))</f>
        <v/>
      </c>
      <c r="L1685">
        <f>IF($K1685="","",COUNTIFS(LdgPartyA,$F1685,LdgKeyA,"&lt;"&amp;$K1685)+COUNTIFS(LdgPartyB,$F1685,LdgKeyB,"&lt;"&amp;$K1685)+1)</f>
        <v/>
      </c>
      <c r="M1685">
        <f>IF($L1685="","",$F1685&amp;"|"&amp;RIGHT("000000"&amp;$L1685,6))</f>
        <v/>
      </c>
      <c r="N1685">
        <f>IF($F1685="","",IF(Sync!$AH1685="","0000",IF(AND(ISNUMBER(Sync!$AH1685),Sync!$AH1685&gt;=0,Sync!$AH1685&lt;1),RIGHT("00"&amp;HOUR(Sync!$AH1685),2)&amp;RIGHT("00"&amp;MINUTE(Sync!$AH1685),2),IFERROR(RIGHT("00"&amp;VALUE(LEFT(Sync!$AH1685,FIND(":",Sync!$AH1685)-1)),2)&amp;RIGHT("00"&amp;VALUE(MID(Sync!$AH1685,FIND(":",Sync!$AH1685)+1,2)),2),"0000"))))</f>
        <v/>
      </c>
    </row>
    <row r="1686">
      <c r="A1686">
        <f>IF(OR(Calc!$E1689="",Calc!$E1689="نامعتبر",Calc!$G1689="",Calc!$I1689&lt;&gt;"خرید"),"",Calc!$G1689)</f>
        <v/>
      </c>
      <c r="B1686">
        <f>IF($A1686="","",LEFT(Calc!$E1689,4)&amp;MID(Calc!$E1689,6,2)&amp;RIGHT(Calc!$E1689,2)&amp;Calc!$R1689&amp;"|"&amp;"1"&amp;RIGHT("00000"&amp;1681,5))</f>
        <v/>
      </c>
      <c r="C1686">
        <f>IF($B1686="","",COUNTIFS(LdgPartyA,$A1686,LdgKeyA,"&lt;"&amp;$B1686)+COUNTIFS(LdgPartyB,$A1686,LdgKeyB,"&lt;"&amp;$B1686)+1)</f>
        <v/>
      </c>
      <c r="D1686">
        <f>IF($C1686="","",$A1686&amp;"|"&amp;RIGHT("000000"&amp;$C1686,6))</f>
        <v/>
      </c>
      <c r="F1686">
        <f>IF(Sync!$AJ1686="","",Sync!$AJ1686)</f>
        <v/>
      </c>
      <c r="G1686">
        <f>IF($F1686="","",IF(Sync!$AG1686="","",IF(ISNUMBER(Sync!$AG1686),IF(AND(Sync!$AG1686&gt;=10000101,Sync!$AG1686&lt;=99991231),INT(Sync!$AG1686/10000),""),IFERROR(VALUE(TRIM(LEFT(Sync!$AG1686,FIND("/",Sync!$AG1686)-1))),""))))</f>
        <v/>
      </c>
      <c r="H1686">
        <f>IF(OR($F1686="",$G1686=""),"",IF(ISNUMBER(Sync!$AG1686),INT(MOD(Sync!$AG1686,10000)/100),IFERROR(VALUE(TRIM(LEFT(MID(Sync!$AG1686,FIND("/",Sync!$AG1686)+1,20),FIND("/",MID(Sync!$AG1686,FIND("/",Sync!$AG1686)+1,20))-1))),"")))</f>
        <v/>
      </c>
      <c r="I1686">
        <f>IF(OR($F1686="",$G1686=""),"",IF(ISNUMBER(Sync!$AG1686),MOD(Sync!$AG1686,100),IFERROR(VALUE(TRIM(MID(MID(Sync!$AG1686,FIND("/",Sync!$AG1686)+1,20),FIND("/",MID(Sync!$AG1686,FIND("/",Sync!$AG1686)+1,20))+1,20))),"")))</f>
        <v/>
      </c>
      <c r="J1686">
        <f>IF($F1686="","",IF(OR($G1686="",$H1686="",$I1686="",$G1686&lt;1300,$G1686&gt;1500,$H1686&lt;1,$H1686&gt;12,$I1686&lt;1,$I1686&gt;31),"نامعتبر",RIGHT("0000"&amp;$G1686,4)&amp;"/"&amp;RIGHT("00"&amp;$H1686,2)&amp;"/"&amp;RIGHT("00"&amp;$I1686,2)))</f>
        <v/>
      </c>
      <c r="K1686">
        <f>IF(OR($F1686="",$J1686="",$J1686="نامعتبر"),"",LEFT($J1686,4)&amp;MID($J1686,6,2)&amp;RIGHT($J1686,2)&amp;$N1686&amp;"|"&amp;"2"&amp;RIGHT("00000"&amp;1681,5))</f>
        <v/>
      </c>
      <c r="L1686">
        <f>IF($K1686="","",COUNTIFS(LdgPartyA,$F1686,LdgKeyA,"&lt;"&amp;$K1686)+COUNTIFS(LdgPartyB,$F1686,LdgKeyB,"&lt;"&amp;$K1686)+1)</f>
        <v/>
      </c>
      <c r="M1686">
        <f>IF($L1686="","",$F1686&amp;"|"&amp;RIGHT("000000"&amp;$L1686,6))</f>
        <v/>
      </c>
      <c r="N1686">
        <f>IF($F1686="","",IF(Sync!$AH1686="","0000",IF(AND(ISNUMBER(Sync!$AH1686),Sync!$AH1686&gt;=0,Sync!$AH1686&lt;1),RIGHT("00"&amp;HOUR(Sync!$AH1686),2)&amp;RIGHT("00"&amp;MINUTE(Sync!$AH1686),2),IFERROR(RIGHT("00"&amp;VALUE(LEFT(Sync!$AH1686,FIND(":",Sync!$AH1686)-1)),2)&amp;RIGHT("00"&amp;VALUE(MID(Sync!$AH1686,FIND(":",Sync!$AH1686)+1,2)),2),"0000"))))</f>
        <v/>
      </c>
    </row>
    <row r="1687">
      <c r="A1687">
        <f>IF(OR(Calc!$E1690="",Calc!$E1690="نامعتبر",Calc!$G1690="",Calc!$I1690&lt;&gt;"خرید"),"",Calc!$G1690)</f>
        <v/>
      </c>
      <c r="B1687">
        <f>IF($A1687="","",LEFT(Calc!$E1690,4)&amp;MID(Calc!$E1690,6,2)&amp;RIGHT(Calc!$E1690,2)&amp;Calc!$R1690&amp;"|"&amp;"1"&amp;RIGHT("00000"&amp;1682,5))</f>
        <v/>
      </c>
      <c r="C1687">
        <f>IF($B1687="","",COUNTIFS(LdgPartyA,$A1687,LdgKeyA,"&lt;"&amp;$B1687)+COUNTIFS(LdgPartyB,$A1687,LdgKeyB,"&lt;"&amp;$B1687)+1)</f>
        <v/>
      </c>
      <c r="D1687">
        <f>IF($C1687="","",$A1687&amp;"|"&amp;RIGHT("000000"&amp;$C1687,6))</f>
        <v/>
      </c>
      <c r="F1687">
        <f>IF(Sync!$AJ1687="","",Sync!$AJ1687)</f>
        <v/>
      </c>
      <c r="G1687">
        <f>IF($F1687="","",IF(Sync!$AG1687="","",IF(ISNUMBER(Sync!$AG1687),IF(AND(Sync!$AG1687&gt;=10000101,Sync!$AG1687&lt;=99991231),INT(Sync!$AG1687/10000),""),IFERROR(VALUE(TRIM(LEFT(Sync!$AG1687,FIND("/",Sync!$AG1687)-1))),""))))</f>
        <v/>
      </c>
      <c r="H1687">
        <f>IF(OR($F1687="",$G1687=""),"",IF(ISNUMBER(Sync!$AG1687),INT(MOD(Sync!$AG1687,10000)/100),IFERROR(VALUE(TRIM(LEFT(MID(Sync!$AG1687,FIND("/",Sync!$AG1687)+1,20),FIND("/",MID(Sync!$AG1687,FIND("/",Sync!$AG1687)+1,20))-1))),"")))</f>
        <v/>
      </c>
      <c r="I1687">
        <f>IF(OR($F1687="",$G1687=""),"",IF(ISNUMBER(Sync!$AG1687),MOD(Sync!$AG1687,100),IFERROR(VALUE(TRIM(MID(MID(Sync!$AG1687,FIND("/",Sync!$AG1687)+1,20),FIND("/",MID(Sync!$AG1687,FIND("/",Sync!$AG1687)+1,20))+1,20))),"")))</f>
        <v/>
      </c>
      <c r="J1687">
        <f>IF($F1687="","",IF(OR($G1687="",$H1687="",$I1687="",$G1687&lt;1300,$G1687&gt;1500,$H1687&lt;1,$H1687&gt;12,$I1687&lt;1,$I1687&gt;31),"نامعتبر",RIGHT("0000"&amp;$G1687,4)&amp;"/"&amp;RIGHT("00"&amp;$H1687,2)&amp;"/"&amp;RIGHT("00"&amp;$I1687,2)))</f>
        <v/>
      </c>
      <c r="K1687">
        <f>IF(OR($F1687="",$J1687="",$J1687="نامعتبر"),"",LEFT($J1687,4)&amp;MID($J1687,6,2)&amp;RIGHT($J1687,2)&amp;$N1687&amp;"|"&amp;"2"&amp;RIGHT("00000"&amp;1682,5))</f>
        <v/>
      </c>
      <c r="L1687">
        <f>IF($K1687="","",COUNTIFS(LdgPartyA,$F1687,LdgKeyA,"&lt;"&amp;$K1687)+COUNTIFS(LdgPartyB,$F1687,LdgKeyB,"&lt;"&amp;$K1687)+1)</f>
        <v/>
      </c>
      <c r="M1687">
        <f>IF($L1687="","",$F1687&amp;"|"&amp;RIGHT("000000"&amp;$L1687,6))</f>
        <v/>
      </c>
      <c r="N1687">
        <f>IF($F1687="","",IF(Sync!$AH1687="","0000",IF(AND(ISNUMBER(Sync!$AH1687),Sync!$AH1687&gt;=0,Sync!$AH1687&lt;1),RIGHT("00"&amp;HOUR(Sync!$AH1687),2)&amp;RIGHT("00"&amp;MINUTE(Sync!$AH1687),2),IFERROR(RIGHT("00"&amp;VALUE(LEFT(Sync!$AH1687,FIND(":",Sync!$AH1687)-1)),2)&amp;RIGHT("00"&amp;VALUE(MID(Sync!$AH1687,FIND(":",Sync!$AH1687)+1,2)),2),"0000"))))</f>
        <v/>
      </c>
    </row>
    <row r="1688">
      <c r="A1688">
        <f>IF(OR(Calc!$E1691="",Calc!$E1691="نامعتبر",Calc!$G1691="",Calc!$I1691&lt;&gt;"خرید"),"",Calc!$G1691)</f>
        <v/>
      </c>
      <c r="B1688">
        <f>IF($A1688="","",LEFT(Calc!$E1691,4)&amp;MID(Calc!$E1691,6,2)&amp;RIGHT(Calc!$E1691,2)&amp;Calc!$R1691&amp;"|"&amp;"1"&amp;RIGHT("00000"&amp;1683,5))</f>
        <v/>
      </c>
      <c r="C1688">
        <f>IF($B1688="","",COUNTIFS(LdgPartyA,$A1688,LdgKeyA,"&lt;"&amp;$B1688)+COUNTIFS(LdgPartyB,$A1688,LdgKeyB,"&lt;"&amp;$B1688)+1)</f>
        <v/>
      </c>
      <c r="D1688">
        <f>IF($C1688="","",$A1688&amp;"|"&amp;RIGHT("000000"&amp;$C1688,6))</f>
        <v/>
      </c>
      <c r="F1688">
        <f>IF(Sync!$AJ1688="","",Sync!$AJ1688)</f>
        <v/>
      </c>
      <c r="G1688">
        <f>IF($F1688="","",IF(Sync!$AG1688="","",IF(ISNUMBER(Sync!$AG1688),IF(AND(Sync!$AG1688&gt;=10000101,Sync!$AG1688&lt;=99991231),INT(Sync!$AG1688/10000),""),IFERROR(VALUE(TRIM(LEFT(Sync!$AG1688,FIND("/",Sync!$AG1688)-1))),""))))</f>
        <v/>
      </c>
      <c r="H1688">
        <f>IF(OR($F1688="",$G1688=""),"",IF(ISNUMBER(Sync!$AG1688),INT(MOD(Sync!$AG1688,10000)/100),IFERROR(VALUE(TRIM(LEFT(MID(Sync!$AG1688,FIND("/",Sync!$AG1688)+1,20),FIND("/",MID(Sync!$AG1688,FIND("/",Sync!$AG1688)+1,20))-1))),"")))</f>
        <v/>
      </c>
      <c r="I1688">
        <f>IF(OR($F1688="",$G1688=""),"",IF(ISNUMBER(Sync!$AG1688),MOD(Sync!$AG1688,100),IFERROR(VALUE(TRIM(MID(MID(Sync!$AG1688,FIND("/",Sync!$AG1688)+1,20),FIND("/",MID(Sync!$AG1688,FIND("/",Sync!$AG1688)+1,20))+1,20))),"")))</f>
        <v/>
      </c>
      <c r="J1688">
        <f>IF($F1688="","",IF(OR($G1688="",$H1688="",$I1688="",$G1688&lt;1300,$G1688&gt;1500,$H1688&lt;1,$H1688&gt;12,$I1688&lt;1,$I1688&gt;31),"نامعتبر",RIGHT("0000"&amp;$G1688,4)&amp;"/"&amp;RIGHT("00"&amp;$H1688,2)&amp;"/"&amp;RIGHT("00"&amp;$I1688,2)))</f>
        <v/>
      </c>
      <c r="K1688">
        <f>IF(OR($F1688="",$J1688="",$J1688="نامعتبر"),"",LEFT($J1688,4)&amp;MID($J1688,6,2)&amp;RIGHT($J1688,2)&amp;$N1688&amp;"|"&amp;"2"&amp;RIGHT("00000"&amp;1683,5))</f>
        <v/>
      </c>
      <c r="L1688">
        <f>IF($K1688="","",COUNTIFS(LdgPartyA,$F1688,LdgKeyA,"&lt;"&amp;$K1688)+COUNTIFS(LdgPartyB,$F1688,LdgKeyB,"&lt;"&amp;$K1688)+1)</f>
        <v/>
      </c>
      <c r="M1688">
        <f>IF($L1688="","",$F1688&amp;"|"&amp;RIGHT("000000"&amp;$L1688,6))</f>
        <v/>
      </c>
      <c r="N1688">
        <f>IF($F1688="","",IF(Sync!$AH1688="","0000",IF(AND(ISNUMBER(Sync!$AH1688),Sync!$AH1688&gt;=0,Sync!$AH1688&lt;1),RIGHT("00"&amp;HOUR(Sync!$AH1688),2)&amp;RIGHT("00"&amp;MINUTE(Sync!$AH1688),2),IFERROR(RIGHT("00"&amp;VALUE(LEFT(Sync!$AH1688,FIND(":",Sync!$AH1688)-1)),2)&amp;RIGHT("00"&amp;VALUE(MID(Sync!$AH1688,FIND(":",Sync!$AH1688)+1,2)),2),"0000"))))</f>
        <v/>
      </c>
    </row>
    <row r="1689">
      <c r="A1689">
        <f>IF(OR(Calc!$E1692="",Calc!$E1692="نامعتبر",Calc!$G1692="",Calc!$I1692&lt;&gt;"خرید"),"",Calc!$G1692)</f>
        <v/>
      </c>
      <c r="B1689">
        <f>IF($A1689="","",LEFT(Calc!$E1692,4)&amp;MID(Calc!$E1692,6,2)&amp;RIGHT(Calc!$E1692,2)&amp;Calc!$R1692&amp;"|"&amp;"1"&amp;RIGHT("00000"&amp;1684,5))</f>
        <v/>
      </c>
      <c r="C1689">
        <f>IF($B1689="","",COUNTIFS(LdgPartyA,$A1689,LdgKeyA,"&lt;"&amp;$B1689)+COUNTIFS(LdgPartyB,$A1689,LdgKeyB,"&lt;"&amp;$B1689)+1)</f>
        <v/>
      </c>
      <c r="D1689">
        <f>IF($C1689="","",$A1689&amp;"|"&amp;RIGHT("000000"&amp;$C1689,6))</f>
        <v/>
      </c>
      <c r="F1689">
        <f>IF(Sync!$AJ1689="","",Sync!$AJ1689)</f>
        <v/>
      </c>
      <c r="G1689">
        <f>IF($F1689="","",IF(Sync!$AG1689="","",IF(ISNUMBER(Sync!$AG1689),IF(AND(Sync!$AG1689&gt;=10000101,Sync!$AG1689&lt;=99991231),INT(Sync!$AG1689/10000),""),IFERROR(VALUE(TRIM(LEFT(Sync!$AG1689,FIND("/",Sync!$AG1689)-1))),""))))</f>
        <v/>
      </c>
      <c r="H1689">
        <f>IF(OR($F1689="",$G1689=""),"",IF(ISNUMBER(Sync!$AG1689),INT(MOD(Sync!$AG1689,10000)/100),IFERROR(VALUE(TRIM(LEFT(MID(Sync!$AG1689,FIND("/",Sync!$AG1689)+1,20),FIND("/",MID(Sync!$AG1689,FIND("/",Sync!$AG1689)+1,20))-1))),"")))</f>
        <v/>
      </c>
      <c r="I1689">
        <f>IF(OR($F1689="",$G1689=""),"",IF(ISNUMBER(Sync!$AG1689),MOD(Sync!$AG1689,100),IFERROR(VALUE(TRIM(MID(MID(Sync!$AG1689,FIND("/",Sync!$AG1689)+1,20),FIND("/",MID(Sync!$AG1689,FIND("/",Sync!$AG1689)+1,20))+1,20))),"")))</f>
        <v/>
      </c>
      <c r="J1689">
        <f>IF($F1689="","",IF(OR($G1689="",$H1689="",$I1689="",$G1689&lt;1300,$G1689&gt;1500,$H1689&lt;1,$H1689&gt;12,$I1689&lt;1,$I1689&gt;31),"نامعتبر",RIGHT("0000"&amp;$G1689,4)&amp;"/"&amp;RIGHT("00"&amp;$H1689,2)&amp;"/"&amp;RIGHT("00"&amp;$I1689,2)))</f>
        <v/>
      </c>
      <c r="K1689">
        <f>IF(OR($F1689="",$J1689="",$J1689="نامعتبر"),"",LEFT($J1689,4)&amp;MID($J1689,6,2)&amp;RIGHT($J1689,2)&amp;$N1689&amp;"|"&amp;"2"&amp;RIGHT("00000"&amp;1684,5))</f>
        <v/>
      </c>
      <c r="L1689">
        <f>IF($K1689="","",COUNTIFS(LdgPartyA,$F1689,LdgKeyA,"&lt;"&amp;$K1689)+COUNTIFS(LdgPartyB,$F1689,LdgKeyB,"&lt;"&amp;$K1689)+1)</f>
        <v/>
      </c>
      <c r="M1689">
        <f>IF($L1689="","",$F1689&amp;"|"&amp;RIGHT("000000"&amp;$L1689,6))</f>
        <v/>
      </c>
      <c r="N1689">
        <f>IF($F1689="","",IF(Sync!$AH1689="","0000",IF(AND(ISNUMBER(Sync!$AH1689),Sync!$AH1689&gt;=0,Sync!$AH1689&lt;1),RIGHT("00"&amp;HOUR(Sync!$AH1689),2)&amp;RIGHT("00"&amp;MINUTE(Sync!$AH1689),2),IFERROR(RIGHT("00"&amp;VALUE(LEFT(Sync!$AH1689,FIND(":",Sync!$AH1689)-1)),2)&amp;RIGHT("00"&amp;VALUE(MID(Sync!$AH1689,FIND(":",Sync!$AH1689)+1,2)),2),"0000"))))</f>
        <v/>
      </c>
    </row>
    <row r="1690">
      <c r="A1690">
        <f>IF(OR(Calc!$E1693="",Calc!$E1693="نامعتبر",Calc!$G1693="",Calc!$I1693&lt;&gt;"خرید"),"",Calc!$G1693)</f>
        <v/>
      </c>
      <c r="B1690">
        <f>IF($A1690="","",LEFT(Calc!$E1693,4)&amp;MID(Calc!$E1693,6,2)&amp;RIGHT(Calc!$E1693,2)&amp;Calc!$R1693&amp;"|"&amp;"1"&amp;RIGHT("00000"&amp;1685,5))</f>
        <v/>
      </c>
      <c r="C1690">
        <f>IF($B1690="","",COUNTIFS(LdgPartyA,$A1690,LdgKeyA,"&lt;"&amp;$B1690)+COUNTIFS(LdgPartyB,$A1690,LdgKeyB,"&lt;"&amp;$B1690)+1)</f>
        <v/>
      </c>
      <c r="D1690">
        <f>IF($C1690="","",$A1690&amp;"|"&amp;RIGHT("000000"&amp;$C1690,6))</f>
        <v/>
      </c>
      <c r="F1690">
        <f>IF(Sync!$AJ1690="","",Sync!$AJ1690)</f>
        <v/>
      </c>
      <c r="G1690">
        <f>IF($F1690="","",IF(Sync!$AG1690="","",IF(ISNUMBER(Sync!$AG1690),IF(AND(Sync!$AG1690&gt;=10000101,Sync!$AG1690&lt;=99991231),INT(Sync!$AG1690/10000),""),IFERROR(VALUE(TRIM(LEFT(Sync!$AG1690,FIND("/",Sync!$AG1690)-1))),""))))</f>
        <v/>
      </c>
      <c r="H1690">
        <f>IF(OR($F1690="",$G1690=""),"",IF(ISNUMBER(Sync!$AG1690),INT(MOD(Sync!$AG1690,10000)/100),IFERROR(VALUE(TRIM(LEFT(MID(Sync!$AG1690,FIND("/",Sync!$AG1690)+1,20),FIND("/",MID(Sync!$AG1690,FIND("/",Sync!$AG1690)+1,20))-1))),"")))</f>
        <v/>
      </c>
      <c r="I1690">
        <f>IF(OR($F1690="",$G1690=""),"",IF(ISNUMBER(Sync!$AG1690),MOD(Sync!$AG1690,100),IFERROR(VALUE(TRIM(MID(MID(Sync!$AG1690,FIND("/",Sync!$AG1690)+1,20),FIND("/",MID(Sync!$AG1690,FIND("/",Sync!$AG1690)+1,20))+1,20))),"")))</f>
        <v/>
      </c>
      <c r="J1690">
        <f>IF($F1690="","",IF(OR($G1690="",$H1690="",$I1690="",$G1690&lt;1300,$G1690&gt;1500,$H1690&lt;1,$H1690&gt;12,$I1690&lt;1,$I1690&gt;31),"نامعتبر",RIGHT("0000"&amp;$G1690,4)&amp;"/"&amp;RIGHT("00"&amp;$H1690,2)&amp;"/"&amp;RIGHT("00"&amp;$I1690,2)))</f>
        <v/>
      </c>
      <c r="K1690">
        <f>IF(OR($F1690="",$J1690="",$J1690="نامعتبر"),"",LEFT($J1690,4)&amp;MID($J1690,6,2)&amp;RIGHT($J1690,2)&amp;$N1690&amp;"|"&amp;"2"&amp;RIGHT("00000"&amp;1685,5))</f>
        <v/>
      </c>
      <c r="L1690">
        <f>IF($K1690="","",COUNTIFS(LdgPartyA,$F1690,LdgKeyA,"&lt;"&amp;$K1690)+COUNTIFS(LdgPartyB,$F1690,LdgKeyB,"&lt;"&amp;$K1690)+1)</f>
        <v/>
      </c>
      <c r="M1690">
        <f>IF($L1690="","",$F1690&amp;"|"&amp;RIGHT("000000"&amp;$L1690,6))</f>
        <v/>
      </c>
      <c r="N1690">
        <f>IF($F1690="","",IF(Sync!$AH1690="","0000",IF(AND(ISNUMBER(Sync!$AH1690),Sync!$AH1690&gt;=0,Sync!$AH1690&lt;1),RIGHT("00"&amp;HOUR(Sync!$AH1690),2)&amp;RIGHT("00"&amp;MINUTE(Sync!$AH1690),2),IFERROR(RIGHT("00"&amp;VALUE(LEFT(Sync!$AH1690,FIND(":",Sync!$AH1690)-1)),2)&amp;RIGHT("00"&amp;VALUE(MID(Sync!$AH1690,FIND(":",Sync!$AH1690)+1,2)),2),"0000"))))</f>
        <v/>
      </c>
    </row>
    <row r="1691">
      <c r="A1691">
        <f>IF(OR(Calc!$E1694="",Calc!$E1694="نامعتبر",Calc!$G1694="",Calc!$I1694&lt;&gt;"خرید"),"",Calc!$G1694)</f>
        <v/>
      </c>
      <c r="B1691">
        <f>IF($A1691="","",LEFT(Calc!$E1694,4)&amp;MID(Calc!$E1694,6,2)&amp;RIGHT(Calc!$E1694,2)&amp;Calc!$R1694&amp;"|"&amp;"1"&amp;RIGHT("00000"&amp;1686,5))</f>
        <v/>
      </c>
      <c r="C1691">
        <f>IF($B1691="","",COUNTIFS(LdgPartyA,$A1691,LdgKeyA,"&lt;"&amp;$B1691)+COUNTIFS(LdgPartyB,$A1691,LdgKeyB,"&lt;"&amp;$B1691)+1)</f>
        <v/>
      </c>
      <c r="D1691">
        <f>IF($C1691="","",$A1691&amp;"|"&amp;RIGHT("000000"&amp;$C1691,6))</f>
        <v/>
      </c>
      <c r="F1691">
        <f>IF(Sync!$AJ1691="","",Sync!$AJ1691)</f>
        <v/>
      </c>
      <c r="G1691">
        <f>IF($F1691="","",IF(Sync!$AG1691="","",IF(ISNUMBER(Sync!$AG1691),IF(AND(Sync!$AG1691&gt;=10000101,Sync!$AG1691&lt;=99991231),INT(Sync!$AG1691/10000),""),IFERROR(VALUE(TRIM(LEFT(Sync!$AG1691,FIND("/",Sync!$AG1691)-1))),""))))</f>
        <v/>
      </c>
      <c r="H1691">
        <f>IF(OR($F1691="",$G1691=""),"",IF(ISNUMBER(Sync!$AG1691),INT(MOD(Sync!$AG1691,10000)/100),IFERROR(VALUE(TRIM(LEFT(MID(Sync!$AG1691,FIND("/",Sync!$AG1691)+1,20),FIND("/",MID(Sync!$AG1691,FIND("/",Sync!$AG1691)+1,20))-1))),"")))</f>
        <v/>
      </c>
      <c r="I1691">
        <f>IF(OR($F1691="",$G1691=""),"",IF(ISNUMBER(Sync!$AG1691),MOD(Sync!$AG1691,100),IFERROR(VALUE(TRIM(MID(MID(Sync!$AG1691,FIND("/",Sync!$AG1691)+1,20),FIND("/",MID(Sync!$AG1691,FIND("/",Sync!$AG1691)+1,20))+1,20))),"")))</f>
        <v/>
      </c>
      <c r="J1691">
        <f>IF($F1691="","",IF(OR($G1691="",$H1691="",$I1691="",$G1691&lt;1300,$G1691&gt;1500,$H1691&lt;1,$H1691&gt;12,$I1691&lt;1,$I1691&gt;31),"نامعتبر",RIGHT("0000"&amp;$G1691,4)&amp;"/"&amp;RIGHT("00"&amp;$H1691,2)&amp;"/"&amp;RIGHT("00"&amp;$I1691,2)))</f>
        <v/>
      </c>
      <c r="K1691">
        <f>IF(OR($F1691="",$J1691="",$J1691="نامعتبر"),"",LEFT($J1691,4)&amp;MID($J1691,6,2)&amp;RIGHT($J1691,2)&amp;$N1691&amp;"|"&amp;"2"&amp;RIGHT("00000"&amp;1686,5))</f>
        <v/>
      </c>
      <c r="L1691">
        <f>IF($K1691="","",COUNTIFS(LdgPartyA,$F1691,LdgKeyA,"&lt;"&amp;$K1691)+COUNTIFS(LdgPartyB,$F1691,LdgKeyB,"&lt;"&amp;$K1691)+1)</f>
        <v/>
      </c>
      <c r="M1691">
        <f>IF($L1691="","",$F1691&amp;"|"&amp;RIGHT("000000"&amp;$L1691,6))</f>
        <v/>
      </c>
      <c r="N1691">
        <f>IF($F1691="","",IF(Sync!$AH1691="","0000",IF(AND(ISNUMBER(Sync!$AH1691),Sync!$AH1691&gt;=0,Sync!$AH1691&lt;1),RIGHT("00"&amp;HOUR(Sync!$AH1691),2)&amp;RIGHT("00"&amp;MINUTE(Sync!$AH1691),2),IFERROR(RIGHT("00"&amp;VALUE(LEFT(Sync!$AH1691,FIND(":",Sync!$AH1691)-1)),2)&amp;RIGHT("00"&amp;VALUE(MID(Sync!$AH1691,FIND(":",Sync!$AH1691)+1,2)),2),"0000"))))</f>
        <v/>
      </c>
    </row>
    <row r="1692">
      <c r="A1692">
        <f>IF(OR(Calc!$E1695="",Calc!$E1695="نامعتبر",Calc!$G1695="",Calc!$I1695&lt;&gt;"خرید"),"",Calc!$G1695)</f>
        <v/>
      </c>
      <c r="B1692">
        <f>IF($A1692="","",LEFT(Calc!$E1695,4)&amp;MID(Calc!$E1695,6,2)&amp;RIGHT(Calc!$E1695,2)&amp;Calc!$R1695&amp;"|"&amp;"1"&amp;RIGHT("00000"&amp;1687,5))</f>
        <v/>
      </c>
      <c r="C1692">
        <f>IF($B1692="","",COUNTIFS(LdgPartyA,$A1692,LdgKeyA,"&lt;"&amp;$B1692)+COUNTIFS(LdgPartyB,$A1692,LdgKeyB,"&lt;"&amp;$B1692)+1)</f>
        <v/>
      </c>
      <c r="D1692">
        <f>IF($C1692="","",$A1692&amp;"|"&amp;RIGHT("000000"&amp;$C1692,6))</f>
        <v/>
      </c>
      <c r="F1692">
        <f>IF(Sync!$AJ1692="","",Sync!$AJ1692)</f>
        <v/>
      </c>
      <c r="G1692">
        <f>IF($F1692="","",IF(Sync!$AG1692="","",IF(ISNUMBER(Sync!$AG1692),IF(AND(Sync!$AG1692&gt;=10000101,Sync!$AG1692&lt;=99991231),INT(Sync!$AG1692/10000),""),IFERROR(VALUE(TRIM(LEFT(Sync!$AG1692,FIND("/",Sync!$AG1692)-1))),""))))</f>
        <v/>
      </c>
      <c r="H1692">
        <f>IF(OR($F1692="",$G1692=""),"",IF(ISNUMBER(Sync!$AG1692),INT(MOD(Sync!$AG1692,10000)/100),IFERROR(VALUE(TRIM(LEFT(MID(Sync!$AG1692,FIND("/",Sync!$AG1692)+1,20),FIND("/",MID(Sync!$AG1692,FIND("/",Sync!$AG1692)+1,20))-1))),"")))</f>
        <v/>
      </c>
      <c r="I1692">
        <f>IF(OR($F1692="",$G1692=""),"",IF(ISNUMBER(Sync!$AG1692),MOD(Sync!$AG1692,100),IFERROR(VALUE(TRIM(MID(MID(Sync!$AG1692,FIND("/",Sync!$AG1692)+1,20),FIND("/",MID(Sync!$AG1692,FIND("/",Sync!$AG1692)+1,20))+1,20))),"")))</f>
        <v/>
      </c>
      <c r="J1692">
        <f>IF($F1692="","",IF(OR($G1692="",$H1692="",$I1692="",$G1692&lt;1300,$G1692&gt;1500,$H1692&lt;1,$H1692&gt;12,$I1692&lt;1,$I1692&gt;31),"نامعتبر",RIGHT("0000"&amp;$G1692,4)&amp;"/"&amp;RIGHT("00"&amp;$H1692,2)&amp;"/"&amp;RIGHT("00"&amp;$I1692,2)))</f>
        <v/>
      </c>
      <c r="K1692">
        <f>IF(OR($F1692="",$J1692="",$J1692="نامعتبر"),"",LEFT($J1692,4)&amp;MID($J1692,6,2)&amp;RIGHT($J1692,2)&amp;$N1692&amp;"|"&amp;"2"&amp;RIGHT("00000"&amp;1687,5))</f>
        <v/>
      </c>
      <c r="L1692">
        <f>IF($K1692="","",COUNTIFS(LdgPartyA,$F1692,LdgKeyA,"&lt;"&amp;$K1692)+COUNTIFS(LdgPartyB,$F1692,LdgKeyB,"&lt;"&amp;$K1692)+1)</f>
        <v/>
      </c>
      <c r="M1692">
        <f>IF($L1692="","",$F1692&amp;"|"&amp;RIGHT("000000"&amp;$L1692,6))</f>
        <v/>
      </c>
      <c r="N1692">
        <f>IF($F1692="","",IF(Sync!$AH1692="","0000",IF(AND(ISNUMBER(Sync!$AH1692),Sync!$AH1692&gt;=0,Sync!$AH1692&lt;1),RIGHT("00"&amp;HOUR(Sync!$AH1692),2)&amp;RIGHT("00"&amp;MINUTE(Sync!$AH1692),2),IFERROR(RIGHT("00"&amp;VALUE(LEFT(Sync!$AH1692,FIND(":",Sync!$AH1692)-1)),2)&amp;RIGHT("00"&amp;VALUE(MID(Sync!$AH1692,FIND(":",Sync!$AH1692)+1,2)),2),"0000"))))</f>
        <v/>
      </c>
    </row>
    <row r="1693">
      <c r="A1693">
        <f>IF(OR(Calc!$E1696="",Calc!$E1696="نامعتبر",Calc!$G1696="",Calc!$I1696&lt;&gt;"خرید"),"",Calc!$G1696)</f>
        <v/>
      </c>
      <c r="B1693">
        <f>IF($A1693="","",LEFT(Calc!$E1696,4)&amp;MID(Calc!$E1696,6,2)&amp;RIGHT(Calc!$E1696,2)&amp;Calc!$R1696&amp;"|"&amp;"1"&amp;RIGHT("00000"&amp;1688,5))</f>
        <v/>
      </c>
      <c r="C1693">
        <f>IF($B1693="","",COUNTIFS(LdgPartyA,$A1693,LdgKeyA,"&lt;"&amp;$B1693)+COUNTIFS(LdgPartyB,$A1693,LdgKeyB,"&lt;"&amp;$B1693)+1)</f>
        <v/>
      </c>
      <c r="D1693">
        <f>IF($C1693="","",$A1693&amp;"|"&amp;RIGHT("000000"&amp;$C1693,6))</f>
        <v/>
      </c>
      <c r="F1693">
        <f>IF(Sync!$AJ1693="","",Sync!$AJ1693)</f>
        <v/>
      </c>
      <c r="G1693">
        <f>IF($F1693="","",IF(Sync!$AG1693="","",IF(ISNUMBER(Sync!$AG1693),IF(AND(Sync!$AG1693&gt;=10000101,Sync!$AG1693&lt;=99991231),INT(Sync!$AG1693/10000),""),IFERROR(VALUE(TRIM(LEFT(Sync!$AG1693,FIND("/",Sync!$AG1693)-1))),""))))</f>
        <v/>
      </c>
      <c r="H1693">
        <f>IF(OR($F1693="",$G1693=""),"",IF(ISNUMBER(Sync!$AG1693),INT(MOD(Sync!$AG1693,10000)/100),IFERROR(VALUE(TRIM(LEFT(MID(Sync!$AG1693,FIND("/",Sync!$AG1693)+1,20),FIND("/",MID(Sync!$AG1693,FIND("/",Sync!$AG1693)+1,20))-1))),"")))</f>
        <v/>
      </c>
      <c r="I1693">
        <f>IF(OR($F1693="",$G1693=""),"",IF(ISNUMBER(Sync!$AG1693),MOD(Sync!$AG1693,100),IFERROR(VALUE(TRIM(MID(MID(Sync!$AG1693,FIND("/",Sync!$AG1693)+1,20),FIND("/",MID(Sync!$AG1693,FIND("/",Sync!$AG1693)+1,20))+1,20))),"")))</f>
        <v/>
      </c>
      <c r="J1693">
        <f>IF($F1693="","",IF(OR($G1693="",$H1693="",$I1693="",$G1693&lt;1300,$G1693&gt;1500,$H1693&lt;1,$H1693&gt;12,$I1693&lt;1,$I1693&gt;31),"نامعتبر",RIGHT("0000"&amp;$G1693,4)&amp;"/"&amp;RIGHT("00"&amp;$H1693,2)&amp;"/"&amp;RIGHT("00"&amp;$I1693,2)))</f>
        <v/>
      </c>
      <c r="K1693">
        <f>IF(OR($F1693="",$J1693="",$J1693="نامعتبر"),"",LEFT($J1693,4)&amp;MID($J1693,6,2)&amp;RIGHT($J1693,2)&amp;$N1693&amp;"|"&amp;"2"&amp;RIGHT("00000"&amp;1688,5))</f>
        <v/>
      </c>
      <c r="L1693">
        <f>IF($K1693="","",COUNTIFS(LdgPartyA,$F1693,LdgKeyA,"&lt;"&amp;$K1693)+COUNTIFS(LdgPartyB,$F1693,LdgKeyB,"&lt;"&amp;$K1693)+1)</f>
        <v/>
      </c>
      <c r="M1693">
        <f>IF($L1693="","",$F1693&amp;"|"&amp;RIGHT("000000"&amp;$L1693,6))</f>
        <v/>
      </c>
      <c r="N1693">
        <f>IF($F1693="","",IF(Sync!$AH1693="","0000",IF(AND(ISNUMBER(Sync!$AH1693),Sync!$AH1693&gt;=0,Sync!$AH1693&lt;1),RIGHT("00"&amp;HOUR(Sync!$AH1693),2)&amp;RIGHT("00"&amp;MINUTE(Sync!$AH1693),2),IFERROR(RIGHT("00"&amp;VALUE(LEFT(Sync!$AH1693,FIND(":",Sync!$AH1693)-1)),2)&amp;RIGHT("00"&amp;VALUE(MID(Sync!$AH1693,FIND(":",Sync!$AH1693)+1,2)),2),"0000"))))</f>
        <v/>
      </c>
    </row>
    <row r="1694">
      <c r="A1694">
        <f>IF(OR(Calc!$E1697="",Calc!$E1697="نامعتبر",Calc!$G1697="",Calc!$I1697&lt;&gt;"خرید"),"",Calc!$G1697)</f>
        <v/>
      </c>
      <c r="B1694">
        <f>IF($A1694="","",LEFT(Calc!$E1697,4)&amp;MID(Calc!$E1697,6,2)&amp;RIGHT(Calc!$E1697,2)&amp;Calc!$R1697&amp;"|"&amp;"1"&amp;RIGHT("00000"&amp;1689,5))</f>
        <v/>
      </c>
      <c r="C1694">
        <f>IF($B1694="","",COUNTIFS(LdgPartyA,$A1694,LdgKeyA,"&lt;"&amp;$B1694)+COUNTIFS(LdgPartyB,$A1694,LdgKeyB,"&lt;"&amp;$B1694)+1)</f>
        <v/>
      </c>
      <c r="D1694">
        <f>IF($C1694="","",$A1694&amp;"|"&amp;RIGHT("000000"&amp;$C1694,6))</f>
        <v/>
      </c>
      <c r="F1694">
        <f>IF(Sync!$AJ1694="","",Sync!$AJ1694)</f>
        <v/>
      </c>
      <c r="G1694">
        <f>IF($F1694="","",IF(Sync!$AG1694="","",IF(ISNUMBER(Sync!$AG1694),IF(AND(Sync!$AG1694&gt;=10000101,Sync!$AG1694&lt;=99991231),INT(Sync!$AG1694/10000),""),IFERROR(VALUE(TRIM(LEFT(Sync!$AG1694,FIND("/",Sync!$AG1694)-1))),""))))</f>
        <v/>
      </c>
      <c r="H1694">
        <f>IF(OR($F1694="",$G1694=""),"",IF(ISNUMBER(Sync!$AG1694),INT(MOD(Sync!$AG1694,10000)/100),IFERROR(VALUE(TRIM(LEFT(MID(Sync!$AG1694,FIND("/",Sync!$AG1694)+1,20),FIND("/",MID(Sync!$AG1694,FIND("/",Sync!$AG1694)+1,20))-1))),"")))</f>
        <v/>
      </c>
      <c r="I1694">
        <f>IF(OR($F1694="",$G1694=""),"",IF(ISNUMBER(Sync!$AG1694),MOD(Sync!$AG1694,100),IFERROR(VALUE(TRIM(MID(MID(Sync!$AG1694,FIND("/",Sync!$AG1694)+1,20),FIND("/",MID(Sync!$AG1694,FIND("/",Sync!$AG1694)+1,20))+1,20))),"")))</f>
        <v/>
      </c>
      <c r="J1694">
        <f>IF($F1694="","",IF(OR($G1694="",$H1694="",$I1694="",$G1694&lt;1300,$G1694&gt;1500,$H1694&lt;1,$H1694&gt;12,$I1694&lt;1,$I1694&gt;31),"نامعتبر",RIGHT("0000"&amp;$G1694,4)&amp;"/"&amp;RIGHT("00"&amp;$H1694,2)&amp;"/"&amp;RIGHT("00"&amp;$I1694,2)))</f>
        <v/>
      </c>
      <c r="K1694">
        <f>IF(OR($F1694="",$J1694="",$J1694="نامعتبر"),"",LEFT($J1694,4)&amp;MID($J1694,6,2)&amp;RIGHT($J1694,2)&amp;$N1694&amp;"|"&amp;"2"&amp;RIGHT("00000"&amp;1689,5))</f>
        <v/>
      </c>
      <c r="L1694">
        <f>IF($K1694="","",COUNTIFS(LdgPartyA,$F1694,LdgKeyA,"&lt;"&amp;$K1694)+COUNTIFS(LdgPartyB,$F1694,LdgKeyB,"&lt;"&amp;$K1694)+1)</f>
        <v/>
      </c>
      <c r="M1694">
        <f>IF($L1694="","",$F1694&amp;"|"&amp;RIGHT("000000"&amp;$L1694,6))</f>
        <v/>
      </c>
      <c r="N1694">
        <f>IF($F1694="","",IF(Sync!$AH1694="","0000",IF(AND(ISNUMBER(Sync!$AH1694),Sync!$AH1694&gt;=0,Sync!$AH1694&lt;1),RIGHT("00"&amp;HOUR(Sync!$AH1694),2)&amp;RIGHT("00"&amp;MINUTE(Sync!$AH1694),2),IFERROR(RIGHT("00"&amp;VALUE(LEFT(Sync!$AH1694,FIND(":",Sync!$AH1694)-1)),2)&amp;RIGHT("00"&amp;VALUE(MID(Sync!$AH1694,FIND(":",Sync!$AH1694)+1,2)),2),"0000"))))</f>
        <v/>
      </c>
    </row>
    <row r="1695">
      <c r="A1695">
        <f>IF(OR(Calc!$E1698="",Calc!$E1698="نامعتبر",Calc!$G1698="",Calc!$I1698&lt;&gt;"خرید"),"",Calc!$G1698)</f>
        <v/>
      </c>
      <c r="B1695">
        <f>IF($A1695="","",LEFT(Calc!$E1698,4)&amp;MID(Calc!$E1698,6,2)&amp;RIGHT(Calc!$E1698,2)&amp;Calc!$R1698&amp;"|"&amp;"1"&amp;RIGHT("00000"&amp;1690,5))</f>
        <v/>
      </c>
      <c r="C1695">
        <f>IF($B1695="","",COUNTIFS(LdgPartyA,$A1695,LdgKeyA,"&lt;"&amp;$B1695)+COUNTIFS(LdgPartyB,$A1695,LdgKeyB,"&lt;"&amp;$B1695)+1)</f>
        <v/>
      </c>
      <c r="D1695">
        <f>IF($C1695="","",$A1695&amp;"|"&amp;RIGHT("000000"&amp;$C1695,6))</f>
        <v/>
      </c>
      <c r="F1695">
        <f>IF(Sync!$AJ1695="","",Sync!$AJ1695)</f>
        <v/>
      </c>
      <c r="G1695">
        <f>IF($F1695="","",IF(Sync!$AG1695="","",IF(ISNUMBER(Sync!$AG1695),IF(AND(Sync!$AG1695&gt;=10000101,Sync!$AG1695&lt;=99991231),INT(Sync!$AG1695/10000),""),IFERROR(VALUE(TRIM(LEFT(Sync!$AG1695,FIND("/",Sync!$AG1695)-1))),""))))</f>
        <v/>
      </c>
      <c r="H1695">
        <f>IF(OR($F1695="",$G1695=""),"",IF(ISNUMBER(Sync!$AG1695),INT(MOD(Sync!$AG1695,10000)/100),IFERROR(VALUE(TRIM(LEFT(MID(Sync!$AG1695,FIND("/",Sync!$AG1695)+1,20),FIND("/",MID(Sync!$AG1695,FIND("/",Sync!$AG1695)+1,20))-1))),"")))</f>
        <v/>
      </c>
      <c r="I1695">
        <f>IF(OR($F1695="",$G1695=""),"",IF(ISNUMBER(Sync!$AG1695),MOD(Sync!$AG1695,100),IFERROR(VALUE(TRIM(MID(MID(Sync!$AG1695,FIND("/",Sync!$AG1695)+1,20),FIND("/",MID(Sync!$AG1695,FIND("/",Sync!$AG1695)+1,20))+1,20))),"")))</f>
        <v/>
      </c>
      <c r="J1695">
        <f>IF($F1695="","",IF(OR($G1695="",$H1695="",$I1695="",$G1695&lt;1300,$G1695&gt;1500,$H1695&lt;1,$H1695&gt;12,$I1695&lt;1,$I1695&gt;31),"نامعتبر",RIGHT("0000"&amp;$G1695,4)&amp;"/"&amp;RIGHT("00"&amp;$H1695,2)&amp;"/"&amp;RIGHT("00"&amp;$I1695,2)))</f>
        <v/>
      </c>
      <c r="K1695">
        <f>IF(OR($F1695="",$J1695="",$J1695="نامعتبر"),"",LEFT($J1695,4)&amp;MID($J1695,6,2)&amp;RIGHT($J1695,2)&amp;$N1695&amp;"|"&amp;"2"&amp;RIGHT("00000"&amp;1690,5))</f>
        <v/>
      </c>
      <c r="L1695">
        <f>IF($K1695="","",COUNTIFS(LdgPartyA,$F1695,LdgKeyA,"&lt;"&amp;$K1695)+COUNTIFS(LdgPartyB,$F1695,LdgKeyB,"&lt;"&amp;$K1695)+1)</f>
        <v/>
      </c>
      <c r="M1695">
        <f>IF($L1695="","",$F1695&amp;"|"&amp;RIGHT("000000"&amp;$L1695,6))</f>
        <v/>
      </c>
      <c r="N1695">
        <f>IF($F1695="","",IF(Sync!$AH1695="","0000",IF(AND(ISNUMBER(Sync!$AH1695),Sync!$AH1695&gt;=0,Sync!$AH1695&lt;1),RIGHT("00"&amp;HOUR(Sync!$AH1695),2)&amp;RIGHT("00"&amp;MINUTE(Sync!$AH1695),2),IFERROR(RIGHT("00"&amp;VALUE(LEFT(Sync!$AH1695,FIND(":",Sync!$AH1695)-1)),2)&amp;RIGHT("00"&amp;VALUE(MID(Sync!$AH1695,FIND(":",Sync!$AH1695)+1,2)),2),"0000"))))</f>
        <v/>
      </c>
    </row>
    <row r="1696">
      <c r="A1696">
        <f>IF(OR(Calc!$E1699="",Calc!$E1699="نامعتبر",Calc!$G1699="",Calc!$I1699&lt;&gt;"خرید"),"",Calc!$G1699)</f>
        <v/>
      </c>
      <c r="B1696">
        <f>IF($A1696="","",LEFT(Calc!$E1699,4)&amp;MID(Calc!$E1699,6,2)&amp;RIGHT(Calc!$E1699,2)&amp;Calc!$R1699&amp;"|"&amp;"1"&amp;RIGHT("00000"&amp;1691,5))</f>
        <v/>
      </c>
      <c r="C1696">
        <f>IF($B1696="","",COUNTIFS(LdgPartyA,$A1696,LdgKeyA,"&lt;"&amp;$B1696)+COUNTIFS(LdgPartyB,$A1696,LdgKeyB,"&lt;"&amp;$B1696)+1)</f>
        <v/>
      </c>
      <c r="D1696">
        <f>IF($C1696="","",$A1696&amp;"|"&amp;RIGHT("000000"&amp;$C1696,6))</f>
        <v/>
      </c>
      <c r="F1696">
        <f>IF(Sync!$AJ1696="","",Sync!$AJ1696)</f>
        <v/>
      </c>
      <c r="G1696">
        <f>IF($F1696="","",IF(Sync!$AG1696="","",IF(ISNUMBER(Sync!$AG1696),IF(AND(Sync!$AG1696&gt;=10000101,Sync!$AG1696&lt;=99991231),INT(Sync!$AG1696/10000),""),IFERROR(VALUE(TRIM(LEFT(Sync!$AG1696,FIND("/",Sync!$AG1696)-1))),""))))</f>
        <v/>
      </c>
      <c r="H1696">
        <f>IF(OR($F1696="",$G1696=""),"",IF(ISNUMBER(Sync!$AG1696),INT(MOD(Sync!$AG1696,10000)/100),IFERROR(VALUE(TRIM(LEFT(MID(Sync!$AG1696,FIND("/",Sync!$AG1696)+1,20),FIND("/",MID(Sync!$AG1696,FIND("/",Sync!$AG1696)+1,20))-1))),"")))</f>
        <v/>
      </c>
      <c r="I1696">
        <f>IF(OR($F1696="",$G1696=""),"",IF(ISNUMBER(Sync!$AG1696),MOD(Sync!$AG1696,100),IFERROR(VALUE(TRIM(MID(MID(Sync!$AG1696,FIND("/",Sync!$AG1696)+1,20),FIND("/",MID(Sync!$AG1696,FIND("/",Sync!$AG1696)+1,20))+1,20))),"")))</f>
        <v/>
      </c>
      <c r="J1696">
        <f>IF($F1696="","",IF(OR($G1696="",$H1696="",$I1696="",$G1696&lt;1300,$G1696&gt;1500,$H1696&lt;1,$H1696&gt;12,$I1696&lt;1,$I1696&gt;31),"نامعتبر",RIGHT("0000"&amp;$G1696,4)&amp;"/"&amp;RIGHT("00"&amp;$H1696,2)&amp;"/"&amp;RIGHT("00"&amp;$I1696,2)))</f>
        <v/>
      </c>
      <c r="K1696">
        <f>IF(OR($F1696="",$J1696="",$J1696="نامعتبر"),"",LEFT($J1696,4)&amp;MID($J1696,6,2)&amp;RIGHT($J1696,2)&amp;$N1696&amp;"|"&amp;"2"&amp;RIGHT("00000"&amp;1691,5))</f>
        <v/>
      </c>
      <c r="L1696">
        <f>IF($K1696="","",COUNTIFS(LdgPartyA,$F1696,LdgKeyA,"&lt;"&amp;$K1696)+COUNTIFS(LdgPartyB,$F1696,LdgKeyB,"&lt;"&amp;$K1696)+1)</f>
        <v/>
      </c>
      <c r="M1696">
        <f>IF($L1696="","",$F1696&amp;"|"&amp;RIGHT("000000"&amp;$L1696,6))</f>
        <v/>
      </c>
      <c r="N1696">
        <f>IF($F1696="","",IF(Sync!$AH1696="","0000",IF(AND(ISNUMBER(Sync!$AH1696),Sync!$AH1696&gt;=0,Sync!$AH1696&lt;1),RIGHT("00"&amp;HOUR(Sync!$AH1696),2)&amp;RIGHT("00"&amp;MINUTE(Sync!$AH1696),2),IFERROR(RIGHT("00"&amp;VALUE(LEFT(Sync!$AH1696,FIND(":",Sync!$AH1696)-1)),2)&amp;RIGHT("00"&amp;VALUE(MID(Sync!$AH1696,FIND(":",Sync!$AH1696)+1,2)),2),"0000"))))</f>
        <v/>
      </c>
    </row>
    <row r="1697">
      <c r="A1697">
        <f>IF(OR(Calc!$E1700="",Calc!$E1700="نامعتبر",Calc!$G1700="",Calc!$I1700&lt;&gt;"خرید"),"",Calc!$G1700)</f>
        <v/>
      </c>
      <c r="B1697">
        <f>IF($A1697="","",LEFT(Calc!$E1700,4)&amp;MID(Calc!$E1700,6,2)&amp;RIGHT(Calc!$E1700,2)&amp;Calc!$R1700&amp;"|"&amp;"1"&amp;RIGHT("00000"&amp;1692,5))</f>
        <v/>
      </c>
      <c r="C1697">
        <f>IF($B1697="","",COUNTIFS(LdgPartyA,$A1697,LdgKeyA,"&lt;"&amp;$B1697)+COUNTIFS(LdgPartyB,$A1697,LdgKeyB,"&lt;"&amp;$B1697)+1)</f>
        <v/>
      </c>
      <c r="D1697">
        <f>IF($C1697="","",$A1697&amp;"|"&amp;RIGHT("000000"&amp;$C1697,6))</f>
        <v/>
      </c>
      <c r="F1697">
        <f>IF(Sync!$AJ1697="","",Sync!$AJ1697)</f>
        <v/>
      </c>
      <c r="G1697">
        <f>IF($F1697="","",IF(Sync!$AG1697="","",IF(ISNUMBER(Sync!$AG1697),IF(AND(Sync!$AG1697&gt;=10000101,Sync!$AG1697&lt;=99991231),INT(Sync!$AG1697/10000),""),IFERROR(VALUE(TRIM(LEFT(Sync!$AG1697,FIND("/",Sync!$AG1697)-1))),""))))</f>
        <v/>
      </c>
      <c r="H1697">
        <f>IF(OR($F1697="",$G1697=""),"",IF(ISNUMBER(Sync!$AG1697),INT(MOD(Sync!$AG1697,10000)/100),IFERROR(VALUE(TRIM(LEFT(MID(Sync!$AG1697,FIND("/",Sync!$AG1697)+1,20),FIND("/",MID(Sync!$AG1697,FIND("/",Sync!$AG1697)+1,20))-1))),"")))</f>
        <v/>
      </c>
      <c r="I1697">
        <f>IF(OR($F1697="",$G1697=""),"",IF(ISNUMBER(Sync!$AG1697),MOD(Sync!$AG1697,100),IFERROR(VALUE(TRIM(MID(MID(Sync!$AG1697,FIND("/",Sync!$AG1697)+1,20),FIND("/",MID(Sync!$AG1697,FIND("/",Sync!$AG1697)+1,20))+1,20))),"")))</f>
        <v/>
      </c>
      <c r="J1697">
        <f>IF($F1697="","",IF(OR($G1697="",$H1697="",$I1697="",$G1697&lt;1300,$G1697&gt;1500,$H1697&lt;1,$H1697&gt;12,$I1697&lt;1,$I1697&gt;31),"نامعتبر",RIGHT("0000"&amp;$G1697,4)&amp;"/"&amp;RIGHT("00"&amp;$H1697,2)&amp;"/"&amp;RIGHT("00"&amp;$I1697,2)))</f>
        <v/>
      </c>
      <c r="K1697">
        <f>IF(OR($F1697="",$J1697="",$J1697="نامعتبر"),"",LEFT($J1697,4)&amp;MID($J1697,6,2)&amp;RIGHT($J1697,2)&amp;$N1697&amp;"|"&amp;"2"&amp;RIGHT("00000"&amp;1692,5))</f>
        <v/>
      </c>
      <c r="L1697">
        <f>IF($K1697="","",COUNTIFS(LdgPartyA,$F1697,LdgKeyA,"&lt;"&amp;$K1697)+COUNTIFS(LdgPartyB,$F1697,LdgKeyB,"&lt;"&amp;$K1697)+1)</f>
        <v/>
      </c>
      <c r="M1697">
        <f>IF($L1697="","",$F1697&amp;"|"&amp;RIGHT("000000"&amp;$L1697,6))</f>
        <v/>
      </c>
      <c r="N1697">
        <f>IF($F1697="","",IF(Sync!$AH1697="","0000",IF(AND(ISNUMBER(Sync!$AH1697),Sync!$AH1697&gt;=0,Sync!$AH1697&lt;1),RIGHT("00"&amp;HOUR(Sync!$AH1697),2)&amp;RIGHT("00"&amp;MINUTE(Sync!$AH1697),2),IFERROR(RIGHT("00"&amp;VALUE(LEFT(Sync!$AH1697,FIND(":",Sync!$AH1697)-1)),2)&amp;RIGHT("00"&amp;VALUE(MID(Sync!$AH1697,FIND(":",Sync!$AH1697)+1,2)),2),"0000"))))</f>
        <v/>
      </c>
    </row>
    <row r="1698">
      <c r="A1698">
        <f>IF(OR(Calc!$E1701="",Calc!$E1701="نامعتبر",Calc!$G1701="",Calc!$I1701&lt;&gt;"خرید"),"",Calc!$G1701)</f>
        <v/>
      </c>
      <c r="B1698">
        <f>IF($A1698="","",LEFT(Calc!$E1701,4)&amp;MID(Calc!$E1701,6,2)&amp;RIGHT(Calc!$E1701,2)&amp;Calc!$R1701&amp;"|"&amp;"1"&amp;RIGHT("00000"&amp;1693,5))</f>
        <v/>
      </c>
      <c r="C1698">
        <f>IF($B1698="","",COUNTIFS(LdgPartyA,$A1698,LdgKeyA,"&lt;"&amp;$B1698)+COUNTIFS(LdgPartyB,$A1698,LdgKeyB,"&lt;"&amp;$B1698)+1)</f>
        <v/>
      </c>
      <c r="D1698">
        <f>IF($C1698="","",$A1698&amp;"|"&amp;RIGHT("000000"&amp;$C1698,6))</f>
        <v/>
      </c>
      <c r="F1698">
        <f>IF(Sync!$AJ1698="","",Sync!$AJ1698)</f>
        <v/>
      </c>
      <c r="G1698">
        <f>IF($F1698="","",IF(Sync!$AG1698="","",IF(ISNUMBER(Sync!$AG1698),IF(AND(Sync!$AG1698&gt;=10000101,Sync!$AG1698&lt;=99991231),INT(Sync!$AG1698/10000),""),IFERROR(VALUE(TRIM(LEFT(Sync!$AG1698,FIND("/",Sync!$AG1698)-1))),""))))</f>
        <v/>
      </c>
      <c r="H1698">
        <f>IF(OR($F1698="",$G1698=""),"",IF(ISNUMBER(Sync!$AG1698),INT(MOD(Sync!$AG1698,10000)/100),IFERROR(VALUE(TRIM(LEFT(MID(Sync!$AG1698,FIND("/",Sync!$AG1698)+1,20),FIND("/",MID(Sync!$AG1698,FIND("/",Sync!$AG1698)+1,20))-1))),"")))</f>
        <v/>
      </c>
      <c r="I1698">
        <f>IF(OR($F1698="",$G1698=""),"",IF(ISNUMBER(Sync!$AG1698),MOD(Sync!$AG1698,100),IFERROR(VALUE(TRIM(MID(MID(Sync!$AG1698,FIND("/",Sync!$AG1698)+1,20),FIND("/",MID(Sync!$AG1698,FIND("/",Sync!$AG1698)+1,20))+1,20))),"")))</f>
        <v/>
      </c>
      <c r="J1698">
        <f>IF($F1698="","",IF(OR($G1698="",$H1698="",$I1698="",$G1698&lt;1300,$G1698&gt;1500,$H1698&lt;1,$H1698&gt;12,$I1698&lt;1,$I1698&gt;31),"نامعتبر",RIGHT("0000"&amp;$G1698,4)&amp;"/"&amp;RIGHT("00"&amp;$H1698,2)&amp;"/"&amp;RIGHT("00"&amp;$I1698,2)))</f>
        <v/>
      </c>
      <c r="K1698">
        <f>IF(OR($F1698="",$J1698="",$J1698="نامعتبر"),"",LEFT($J1698,4)&amp;MID($J1698,6,2)&amp;RIGHT($J1698,2)&amp;$N1698&amp;"|"&amp;"2"&amp;RIGHT("00000"&amp;1693,5))</f>
        <v/>
      </c>
      <c r="L1698">
        <f>IF($K1698="","",COUNTIFS(LdgPartyA,$F1698,LdgKeyA,"&lt;"&amp;$K1698)+COUNTIFS(LdgPartyB,$F1698,LdgKeyB,"&lt;"&amp;$K1698)+1)</f>
        <v/>
      </c>
      <c r="M1698">
        <f>IF($L1698="","",$F1698&amp;"|"&amp;RIGHT("000000"&amp;$L1698,6))</f>
        <v/>
      </c>
      <c r="N1698">
        <f>IF($F1698="","",IF(Sync!$AH1698="","0000",IF(AND(ISNUMBER(Sync!$AH1698),Sync!$AH1698&gt;=0,Sync!$AH1698&lt;1),RIGHT("00"&amp;HOUR(Sync!$AH1698),2)&amp;RIGHT("00"&amp;MINUTE(Sync!$AH1698),2),IFERROR(RIGHT("00"&amp;VALUE(LEFT(Sync!$AH1698,FIND(":",Sync!$AH1698)-1)),2)&amp;RIGHT("00"&amp;VALUE(MID(Sync!$AH1698,FIND(":",Sync!$AH1698)+1,2)),2),"0000"))))</f>
        <v/>
      </c>
    </row>
    <row r="1699">
      <c r="A1699">
        <f>IF(OR(Calc!$E1702="",Calc!$E1702="نامعتبر",Calc!$G1702="",Calc!$I1702&lt;&gt;"خرید"),"",Calc!$G1702)</f>
        <v/>
      </c>
      <c r="B1699">
        <f>IF($A1699="","",LEFT(Calc!$E1702,4)&amp;MID(Calc!$E1702,6,2)&amp;RIGHT(Calc!$E1702,2)&amp;Calc!$R1702&amp;"|"&amp;"1"&amp;RIGHT("00000"&amp;1694,5))</f>
        <v/>
      </c>
      <c r="C1699">
        <f>IF($B1699="","",COUNTIFS(LdgPartyA,$A1699,LdgKeyA,"&lt;"&amp;$B1699)+COUNTIFS(LdgPartyB,$A1699,LdgKeyB,"&lt;"&amp;$B1699)+1)</f>
        <v/>
      </c>
      <c r="D1699">
        <f>IF($C1699="","",$A1699&amp;"|"&amp;RIGHT("000000"&amp;$C1699,6))</f>
        <v/>
      </c>
      <c r="F1699">
        <f>IF(Sync!$AJ1699="","",Sync!$AJ1699)</f>
        <v/>
      </c>
      <c r="G1699">
        <f>IF($F1699="","",IF(Sync!$AG1699="","",IF(ISNUMBER(Sync!$AG1699),IF(AND(Sync!$AG1699&gt;=10000101,Sync!$AG1699&lt;=99991231),INT(Sync!$AG1699/10000),""),IFERROR(VALUE(TRIM(LEFT(Sync!$AG1699,FIND("/",Sync!$AG1699)-1))),""))))</f>
        <v/>
      </c>
      <c r="H1699">
        <f>IF(OR($F1699="",$G1699=""),"",IF(ISNUMBER(Sync!$AG1699),INT(MOD(Sync!$AG1699,10000)/100),IFERROR(VALUE(TRIM(LEFT(MID(Sync!$AG1699,FIND("/",Sync!$AG1699)+1,20),FIND("/",MID(Sync!$AG1699,FIND("/",Sync!$AG1699)+1,20))-1))),"")))</f>
        <v/>
      </c>
      <c r="I1699">
        <f>IF(OR($F1699="",$G1699=""),"",IF(ISNUMBER(Sync!$AG1699),MOD(Sync!$AG1699,100),IFERROR(VALUE(TRIM(MID(MID(Sync!$AG1699,FIND("/",Sync!$AG1699)+1,20),FIND("/",MID(Sync!$AG1699,FIND("/",Sync!$AG1699)+1,20))+1,20))),"")))</f>
        <v/>
      </c>
      <c r="J1699">
        <f>IF($F1699="","",IF(OR($G1699="",$H1699="",$I1699="",$G1699&lt;1300,$G1699&gt;1500,$H1699&lt;1,$H1699&gt;12,$I1699&lt;1,$I1699&gt;31),"نامعتبر",RIGHT("0000"&amp;$G1699,4)&amp;"/"&amp;RIGHT("00"&amp;$H1699,2)&amp;"/"&amp;RIGHT("00"&amp;$I1699,2)))</f>
        <v/>
      </c>
      <c r="K1699">
        <f>IF(OR($F1699="",$J1699="",$J1699="نامعتبر"),"",LEFT($J1699,4)&amp;MID($J1699,6,2)&amp;RIGHT($J1699,2)&amp;$N1699&amp;"|"&amp;"2"&amp;RIGHT("00000"&amp;1694,5))</f>
        <v/>
      </c>
      <c r="L1699">
        <f>IF($K1699="","",COUNTIFS(LdgPartyA,$F1699,LdgKeyA,"&lt;"&amp;$K1699)+COUNTIFS(LdgPartyB,$F1699,LdgKeyB,"&lt;"&amp;$K1699)+1)</f>
        <v/>
      </c>
      <c r="M1699">
        <f>IF($L1699="","",$F1699&amp;"|"&amp;RIGHT("000000"&amp;$L1699,6))</f>
        <v/>
      </c>
      <c r="N1699">
        <f>IF($F1699="","",IF(Sync!$AH1699="","0000",IF(AND(ISNUMBER(Sync!$AH1699),Sync!$AH1699&gt;=0,Sync!$AH1699&lt;1),RIGHT("00"&amp;HOUR(Sync!$AH1699),2)&amp;RIGHT("00"&amp;MINUTE(Sync!$AH1699),2),IFERROR(RIGHT("00"&amp;VALUE(LEFT(Sync!$AH1699,FIND(":",Sync!$AH1699)-1)),2)&amp;RIGHT("00"&amp;VALUE(MID(Sync!$AH1699,FIND(":",Sync!$AH1699)+1,2)),2),"0000"))))</f>
        <v/>
      </c>
    </row>
    <row r="1700">
      <c r="A1700">
        <f>IF(OR(Calc!$E1703="",Calc!$E1703="نامعتبر",Calc!$G1703="",Calc!$I1703&lt;&gt;"خرید"),"",Calc!$G1703)</f>
        <v/>
      </c>
      <c r="B1700">
        <f>IF($A1700="","",LEFT(Calc!$E1703,4)&amp;MID(Calc!$E1703,6,2)&amp;RIGHT(Calc!$E1703,2)&amp;Calc!$R1703&amp;"|"&amp;"1"&amp;RIGHT("00000"&amp;1695,5))</f>
        <v/>
      </c>
      <c r="C1700">
        <f>IF($B1700="","",COUNTIFS(LdgPartyA,$A1700,LdgKeyA,"&lt;"&amp;$B1700)+COUNTIFS(LdgPartyB,$A1700,LdgKeyB,"&lt;"&amp;$B1700)+1)</f>
        <v/>
      </c>
      <c r="D1700">
        <f>IF($C1700="","",$A1700&amp;"|"&amp;RIGHT("000000"&amp;$C1700,6))</f>
        <v/>
      </c>
      <c r="F1700">
        <f>IF(Sync!$AJ1700="","",Sync!$AJ1700)</f>
        <v/>
      </c>
      <c r="G1700">
        <f>IF($F1700="","",IF(Sync!$AG1700="","",IF(ISNUMBER(Sync!$AG1700),IF(AND(Sync!$AG1700&gt;=10000101,Sync!$AG1700&lt;=99991231),INT(Sync!$AG1700/10000),""),IFERROR(VALUE(TRIM(LEFT(Sync!$AG1700,FIND("/",Sync!$AG1700)-1))),""))))</f>
        <v/>
      </c>
      <c r="H1700">
        <f>IF(OR($F1700="",$G1700=""),"",IF(ISNUMBER(Sync!$AG1700),INT(MOD(Sync!$AG1700,10000)/100),IFERROR(VALUE(TRIM(LEFT(MID(Sync!$AG1700,FIND("/",Sync!$AG1700)+1,20),FIND("/",MID(Sync!$AG1700,FIND("/",Sync!$AG1700)+1,20))-1))),"")))</f>
        <v/>
      </c>
      <c r="I1700">
        <f>IF(OR($F1700="",$G1700=""),"",IF(ISNUMBER(Sync!$AG1700),MOD(Sync!$AG1700,100),IFERROR(VALUE(TRIM(MID(MID(Sync!$AG1700,FIND("/",Sync!$AG1700)+1,20),FIND("/",MID(Sync!$AG1700,FIND("/",Sync!$AG1700)+1,20))+1,20))),"")))</f>
        <v/>
      </c>
      <c r="J1700">
        <f>IF($F1700="","",IF(OR($G1700="",$H1700="",$I1700="",$G1700&lt;1300,$G1700&gt;1500,$H1700&lt;1,$H1700&gt;12,$I1700&lt;1,$I1700&gt;31),"نامعتبر",RIGHT("0000"&amp;$G1700,4)&amp;"/"&amp;RIGHT("00"&amp;$H1700,2)&amp;"/"&amp;RIGHT("00"&amp;$I1700,2)))</f>
        <v/>
      </c>
      <c r="K1700">
        <f>IF(OR($F1700="",$J1700="",$J1700="نامعتبر"),"",LEFT($J1700,4)&amp;MID($J1700,6,2)&amp;RIGHT($J1700,2)&amp;$N1700&amp;"|"&amp;"2"&amp;RIGHT("00000"&amp;1695,5))</f>
        <v/>
      </c>
      <c r="L1700">
        <f>IF($K1700="","",COUNTIFS(LdgPartyA,$F1700,LdgKeyA,"&lt;"&amp;$K1700)+COUNTIFS(LdgPartyB,$F1700,LdgKeyB,"&lt;"&amp;$K1700)+1)</f>
        <v/>
      </c>
      <c r="M1700">
        <f>IF($L1700="","",$F1700&amp;"|"&amp;RIGHT("000000"&amp;$L1700,6))</f>
        <v/>
      </c>
      <c r="N1700">
        <f>IF($F1700="","",IF(Sync!$AH1700="","0000",IF(AND(ISNUMBER(Sync!$AH1700),Sync!$AH1700&gt;=0,Sync!$AH1700&lt;1),RIGHT("00"&amp;HOUR(Sync!$AH1700),2)&amp;RIGHT("00"&amp;MINUTE(Sync!$AH1700),2),IFERROR(RIGHT("00"&amp;VALUE(LEFT(Sync!$AH1700,FIND(":",Sync!$AH1700)-1)),2)&amp;RIGHT("00"&amp;VALUE(MID(Sync!$AH1700,FIND(":",Sync!$AH1700)+1,2)),2),"0000"))))</f>
        <v/>
      </c>
    </row>
    <row r="1701">
      <c r="A1701">
        <f>IF(OR(Calc!$E1704="",Calc!$E1704="نامعتبر",Calc!$G1704="",Calc!$I1704&lt;&gt;"خرید"),"",Calc!$G1704)</f>
        <v/>
      </c>
      <c r="B1701">
        <f>IF($A1701="","",LEFT(Calc!$E1704,4)&amp;MID(Calc!$E1704,6,2)&amp;RIGHT(Calc!$E1704,2)&amp;Calc!$R1704&amp;"|"&amp;"1"&amp;RIGHT("00000"&amp;1696,5))</f>
        <v/>
      </c>
      <c r="C1701">
        <f>IF($B1701="","",COUNTIFS(LdgPartyA,$A1701,LdgKeyA,"&lt;"&amp;$B1701)+COUNTIFS(LdgPartyB,$A1701,LdgKeyB,"&lt;"&amp;$B1701)+1)</f>
        <v/>
      </c>
      <c r="D1701">
        <f>IF($C1701="","",$A1701&amp;"|"&amp;RIGHT("000000"&amp;$C1701,6))</f>
        <v/>
      </c>
      <c r="F1701">
        <f>IF(Sync!$AJ1701="","",Sync!$AJ1701)</f>
        <v/>
      </c>
      <c r="G1701">
        <f>IF($F1701="","",IF(Sync!$AG1701="","",IF(ISNUMBER(Sync!$AG1701),IF(AND(Sync!$AG1701&gt;=10000101,Sync!$AG1701&lt;=99991231),INT(Sync!$AG1701/10000),""),IFERROR(VALUE(TRIM(LEFT(Sync!$AG1701,FIND("/",Sync!$AG1701)-1))),""))))</f>
        <v/>
      </c>
      <c r="H1701">
        <f>IF(OR($F1701="",$G1701=""),"",IF(ISNUMBER(Sync!$AG1701),INT(MOD(Sync!$AG1701,10000)/100),IFERROR(VALUE(TRIM(LEFT(MID(Sync!$AG1701,FIND("/",Sync!$AG1701)+1,20),FIND("/",MID(Sync!$AG1701,FIND("/",Sync!$AG1701)+1,20))-1))),"")))</f>
        <v/>
      </c>
      <c r="I1701">
        <f>IF(OR($F1701="",$G1701=""),"",IF(ISNUMBER(Sync!$AG1701),MOD(Sync!$AG1701,100),IFERROR(VALUE(TRIM(MID(MID(Sync!$AG1701,FIND("/",Sync!$AG1701)+1,20),FIND("/",MID(Sync!$AG1701,FIND("/",Sync!$AG1701)+1,20))+1,20))),"")))</f>
        <v/>
      </c>
      <c r="J1701">
        <f>IF($F1701="","",IF(OR($G1701="",$H1701="",$I1701="",$G1701&lt;1300,$G1701&gt;1500,$H1701&lt;1,$H1701&gt;12,$I1701&lt;1,$I1701&gt;31),"نامعتبر",RIGHT("0000"&amp;$G1701,4)&amp;"/"&amp;RIGHT("00"&amp;$H1701,2)&amp;"/"&amp;RIGHT("00"&amp;$I1701,2)))</f>
        <v/>
      </c>
      <c r="K1701">
        <f>IF(OR($F1701="",$J1701="",$J1701="نامعتبر"),"",LEFT($J1701,4)&amp;MID($J1701,6,2)&amp;RIGHT($J1701,2)&amp;$N1701&amp;"|"&amp;"2"&amp;RIGHT("00000"&amp;1696,5))</f>
        <v/>
      </c>
      <c r="L1701">
        <f>IF($K1701="","",COUNTIFS(LdgPartyA,$F1701,LdgKeyA,"&lt;"&amp;$K1701)+COUNTIFS(LdgPartyB,$F1701,LdgKeyB,"&lt;"&amp;$K1701)+1)</f>
        <v/>
      </c>
      <c r="M1701">
        <f>IF($L1701="","",$F1701&amp;"|"&amp;RIGHT("000000"&amp;$L1701,6))</f>
        <v/>
      </c>
      <c r="N1701">
        <f>IF($F1701="","",IF(Sync!$AH1701="","0000",IF(AND(ISNUMBER(Sync!$AH1701),Sync!$AH1701&gt;=0,Sync!$AH1701&lt;1),RIGHT("00"&amp;HOUR(Sync!$AH1701),2)&amp;RIGHT("00"&amp;MINUTE(Sync!$AH1701),2),IFERROR(RIGHT("00"&amp;VALUE(LEFT(Sync!$AH1701,FIND(":",Sync!$AH1701)-1)),2)&amp;RIGHT("00"&amp;VALUE(MID(Sync!$AH1701,FIND(":",Sync!$AH1701)+1,2)),2),"0000"))))</f>
        <v/>
      </c>
    </row>
    <row r="1702">
      <c r="A1702">
        <f>IF(OR(Calc!$E1705="",Calc!$E1705="نامعتبر",Calc!$G1705="",Calc!$I1705&lt;&gt;"خرید"),"",Calc!$G1705)</f>
        <v/>
      </c>
      <c r="B1702">
        <f>IF($A1702="","",LEFT(Calc!$E1705,4)&amp;MID(Calc!$E1705,6,2)&amp;RIGHT(Calc!$E1705,2)&amp;Calc!$R1705&amp;"|"&amp;"1"&amp;RIGHT("00000"&amp;1697,5))</f>
        <v/>
      </c>
      <c r="C1702">
        <f>IF($B1702="","",COUNTIFS(LdgPartyA,$A1702,LdgKeyA,"&lt;"&amp;$B1702)+COUNTIFS(LdgPartyB,$A1702,LdgKeyB,"&lt;"&amp;$B1702)+1)</f>
        <v/>
      </c>
      <c r="D1702">
        <f>IF($C1702="","",$A1702&amp;"|"&amp;RIGHT("000000"&amp;$C1702,6))</f>
        <v/>
      </c>
      <c r="F1702">
        <f>IF(Sync!$AJ1702="","",Sync!$AJ1702)</f>
        <v/>
      </c>
      <c r="G1702">
        <f>IF($F1702="","",IF(Sync!$AG1702="","",IF(ISNUMBER(Sync!$AG1702),IF(AND(Sync!$AG1702&gt;=10000101,Sync!$AG1702&lt;=99991231),INT(Sync!$AG1702/10000),""),IFERROR(VALUE(TRIM(LEFT(Sync!$AG1702,FIND("/",Sync!$AG1702)-1))),""))))</f>
        <v/>
      </c>
      <c r="H1702">
        <f>IF(OR($F1702="",$G1702=""),"",IF(ISNUMBER(Sync!$AG1702),INT(MOD(Sync!$AG1702,10000)/100),IFERROR(VALUE(TRIM(LEFT(MID(Sync!$AG1702,FIND("/",Sync!$AG1702)+1,20),FIND("/",MID(Sync!$AG1702,FIND("/",Sync!$AG1702)+1,20))-1))),"")))</f>
        <v/>
      </c>
      <c r="I1702">
        <f>IF(OR($F1702="",$G1702=""),"",IF(ISNUMBER(Sync!$AG1702),MOD(Sync!$AG1702,100),IFERROR(VALUE(TRIM(MID(MID(Sync!$AG1702,FIND("/",Sync!$AG1702)+1,20),FIND("/",MID(Sync!$AG1702,FIND("/",Sync!$AG1702)+1,20))+1,20))),"")))</f>
        <v/>
      </c>
      <c r="J1702">
        <f>IF($F1702="","",IF(OR($G1702="",$H1702="",$I1702="",$G1702&lt;1300,$G1702&gt;1500,$H1702&lt;1,$H1702&gt;12,$I1702&lt;1,$I1702&gt;31),"نامعتبر",RIGHT("0000"&amp;$G1702,4)&amp;"/"&amp;RIGHT("00"&amp;$H1702,2)&amp;"/"&amp;RIGHT("00"&amp;$I1702,2)))</f>
        <v/>
      </c>
      <c r="K1702">
        <f>IF(OR($F1702="",$J1702="",$J1702="نامعتبر"),"",LEFT($J1702,4)&amp;MID($J1702,6,2)&amp;RIGHT($J1702,2)&amp;$N1702&amp;"|"&amp;"2"&amp;RIGHT("00000"&amp;1697,5))</f>
        <v/>
      </c>
      <c r="L1702">
        <f>IF($K1702="","",COUNTIFS(LdgPartyA,$F1702,LdgKeyA,"&lt;"&amp;$K1702)+COUNTIFS(LdgPartyB,$F1702,LdgKeyB,"&lt;"&amp;$K1702)+1)</f>
        <v/>
      </c>
      <c r="M1702">
        <f>IF($L1702="","",$F1702&amp;"|"&amp;RIGHT("000000"&amp;$L1702,6))</f>
        <v/>
      </c>
      <c r="N1702">
        <f>IF($F1702="","",IF(Sync!$AH1702="","0000",IF(AND(ISNUMBER(Sync!$AH1702),Sync!$AH1702&gt;=0,Sync!$AH1702&lt;1),RIGHT("00"&amp;HOUR(Sync!$AH1702),2)&amp;RIGHT("00"&amp;MINUTE(Sync!$AH1702),2),IFERROR(RIGHT("00"&amp;VALUE(LEFT(Sync!$AH1702,FIND(":",Sync!$AH1702)-1)),2)&amp;RIGHT("00"&amp;VALUE(MID(Sync!$AH1702,FIND(":",Sync!$AH1702)+1,2)),2),"0000"))))</f>
        <v/>
      </c>
    </row>
    <row r="1703">
      <c r="A1703">
        <f>IF(OR(Calc!$E1706="",Calc!$E1706="نامعتبر",Calc!$G1706="",Calc!$I1706&lt;&gt;"خرید"),"",Calc!$G1706)</f>
        <v/>
      </c>
      <c r="B1703">
        <f>IF($A1703="","",LEFT(Calc!$E1706,4)&amp;MID(Calc!$E1706,6,2)&amp;RIGHT(Calc!$E1706,2)&amp;Calc!$R1706&amp;"|"&amp;"1"&amp;RIGHT("00000"&amp;1698,5))</f>
        <v/>
      </c>
      <c r="C1703">
        <f>IF($B1703="","",COUNTIFS(LdgPartyA,$A1703,LdgKeyA,"&lt;"&amp;$B1703)+COUNTIFS(LdgPartyB,$A1703,LdgKeyB,"&lt;"&amp;$B1703)+1)</f>
        <v/>
      </c>
      <c r="D1703">
        <f>IF($C1703="","",$A1703&amp;"|"&amp;RIGHT("000000"&amp;$C1703,6))</f>
        <v/>
      </c>
      <c r="F1703">
        <f>IF(Sync!$AJ1703="","",Sync!$AJ1703)</f>
        <v/>
      </c>
      <c r="G1703">
        <f>IF($F1703="","",IF(Sync!$AG1703="","",IF(ISNUMBER(Sync!$AG1703),IF(AND(Sync!$AG1703&gt;=10000101,Sync!$AG1703&lt;=99991231),INT(Sync!$AG1703/10000),""),IFERROR(VALUE(TRIM(LEFT(Sync!$AG1703,FIND("/",Sync!$AG1703)-1))),""))))</f>
        <v/>
      </c>
      <c r="H1703">
        <f>IF(OR($F1703="",$G1703=""),"",IF(ISNUMBER(Sync!$AG1703),INT(MOD(Sync!$AG1703,10000)/100),IFERROR(VALUE(TRIM(LEFT(MID(Sync!$AG1703,FIND("/",Sync!$AG1703)+1,20),FIND("/",MID(Sync!$AG1703,FIND("/",Sync!$AG1703)+1,20))-1))),"")))</f>
        <v/>
      </c>
      <c r="I1703">
        <f>IF(OR($F1703="",$G1703=""),"",IF(ISNUMBER(Sync!$AG1703),MOD(Sync!$AG1703,100),IFERROR(VALUE(TRIM(MID(MID(Sync!$AG1703,FIND("/",Sync!$AG1703)+1,20),FIND("/",MID(Sync!$AG1703,FIND("/",Sync!$AG1703)+1,20))+1,20))),"")))</f>
        <v/>
      </c>
      <c r="J1703">
        <f>IF($F1703="","",IF(OR($G1703="",$H1703="",$I1703="",$G1703&lt;1300,$G1703&gt;1500,$H1703&lt;1,$H1703&gt;12,$I1703&lt;1,$I1703&gt;31),"نامعتبر",RIGHT("0000"&amp;$G1703,4)&amp;"/"&amp;RIGHT("00"&amp;$H1703,2)&amp;"/"&amp;RIGHT("00"&amp;$I1703,2)))</f>
        <v/>
      </c>
      <c r="K1703">
        <f>IF(OR($F1703="",$J1703="",$J1703="نامعتبر"),"",LEFT($J1703,4)&amp;MID($J1703,6,2)&amp;RIGHT($J1703,2)&amp;$N1703&amp;"|"&amp;"2"&amp;RIGHT("00000"&amp;1698,5))</f>
        <v/>
      </c>
      <c r="L1703">
        <f>IF($K1703="","",COUNTIFS(LdgPartyA,$F1703,LdgKeyA,"&lt;"&amp;$K1703)+COUNTIFS(LdgPartyB,$F1703,LdgKeyB,"&lt;"&amp;$K1703)+1)</f>
        <v/>
      </c>
      <c r="M1703">
        <f>IF($L1703="","",$F1703&amp;"|"&amp;RIGHT("000000"&amp;$L1703,6))</f>
        <v/>
      </c>
      <c r="N1703">
        <f>IF($F1703="","",IF(Sync!$AH1703="","0000",IF(AND(ISNUMBER(Sync!$AH1703),Sync!$AH1703&gt;=0,Sync!$AH1703&lt;1),RIGHT("00"&amp;HOUR(Sync!$AH1703),2)&amp;RIGHT("00"&amp;MINUTE(Sync!$AH1703),2),IFERROR(RIGHT("00"&amp;VALUE(LEFT(Sync!$AH1703,FIND(":",Sync!$AH1703)-1)),2)&amp;RIGHT("00"&amp;VALUE(MID(Sync!$AH1703,FIND(":",Sync!$AH1703)+1,2)),2),"0000"))))</f>
        <v/>
      </c>
    </row>
    <row r="1704">
      <c r="A1704">
        <f>IF(OR(Calc!$E1707="",Calc!$E1707="نامعتبر",Calc!$G1707="",Calc!$I1707&lt;&gt;"خرید"),"",Calc!$G1707)</f>
        <v/>
      </c>
      <c r="B1704">
        <f>IF($A1704="","",LEFT(Calc!$E1707,4)&amp;MID(Calc!$E1707,6,2)&amp;RIGHT(Calc!$E1707,2)&amp;Calc!$R1707&amp;"|"&amp;"1"&amp;RIGHT("00000"&amp;1699,5))</f>
        <v/>
      </c>
      <c r="C1704">
        <f>IF($B1704="","",COUNTIFS(LdgPartyA,$A1704,LdgKeyA,"&lt;"&amp;$B1704)+COUNTIFS(LdgPartyB,$A1704,LdgKeyB,"&lt;"&amp;$B1704)+1)</f>
        <v/>
      </c>
      <c r="D1704">
        <f>IF($C1704="","",$A1704&amp;"|"&amp;RIGHT("000000"&amp;$C1704,6))</f>
        <v/>
      </c>
      <c r="F1704">
        <f>IF(Sync!$AJ1704="","",Sync!$AJ1704)</f>
        <v/>
      </c>
      <c r="G1704">
        <f>IF($F1704="","",IF(Sync!$AG1704="","",IF(ISNUMBER(Sync!$AG1704),IF(AND(Sync!$AG1704&gt;=10000101,Sync!$AG1704&lt;=99991231),INT(Sync!$AG1704/10000),""),IFERROR(VALUE(TRIM(LEFT(Sync!$AG1704,FIND("/",Sync!$AG1704)-1))),""))))</f>
        <v/>
      </c>
      <c r="H1704">
        <f>IF(OR($F1704="",$G1704=""),"",IF(ISNUMBER(Sync!$AG1704),INT(MOD(Sync!$AG1704,10000)/100),IFERROR(VALUE(TRIM(LEFT(MID(Sync!$AG1704,FIND("/",Sync!$AG1704)+1,20),FIND("/",MID(Sync!$AG1704,FIND("/",Sync!$AG1704)+1,20))-1))),"")))</f>
        <v/>
      </c>
      <c r="I1704">
        <f>IF(OR($F1704="",$G1704=""),"",IF(ISNUMBER(Sync!$AG1704),MOD(Sync!$AG1704,100),IFERROR(VALUE(TRIM(MID(MID(Sync!$AG1704,FIND("/",Sync!$AG1704)+1,20),FIND("/",MID(Sync!$AG1704,FIND("/",Sync!$AG1704)+1,20))+1,20))),"")))</f>
        <v/>
      </c>
      <c r="J1704">
        <f>IF($F1704="","",IF(OR($G1704="",$H1704="",$I1704="",$G1704&lt;1300,$G1704&gt;1500,$H1704&lt;1,$H1704&gt;12,$I1704&lt;1,$I1704&gt;31),"نامعتبر",RIGHT("0000"&amp;$G1704,4)&amp;"/"&amp;RIGHT("00"&amp;$H1704,2)&amp;"/"&amp;RIGHT("00"&amp;$I1704,2)))</f>
        <v/>
      </c>
      <c r="K1704">
        <f>IF(OR($F1704="",$J1704="",$J1704="نامعتبر"),"",LEFT($J1704,4)&amp;MID($J1704,6,2)&amp;RIGHT($J1704,2)&amp;$N1704&amp;"|"&amp;"2"&amp;RIGHT("00000"&amp;1699,5))</f>
        <v/>
      </c>
      <c r="L1704">
        <f>IF($K1704="","",COUNTIFS(LdgPartyA,$F1704,LdgKeyA,"&lt;"&amp;$K1704)+COUNTIFS(LdgPartyB,$F1704,LdgKeyB,"&lt;"&amp;$K1704)+1)</f>
        <v/>
      </c>
      <c r="M1704">
        <f>IF($L1704="","",$F1704&amp;"|"&amp;RIGHT("000000"&amp;$L1704,6))</f>
        <v/>
      </c>
      <c r="N1704">
        <f>IF($F1704="","",IF(Sync!$AH1704="","0000",IF(AND(ISNUMBER(Sync!$AH1704),Sync!$AH1704&gt;=0,Sync!$AH1704&lt;1),RIGHT("00"&amp;HOUR(Sync!$AH1704),2)&amp;RIGHT("00"&amp;MINUTE(Sync!$AH1704),2),IFERROR(RIGHT("00"&amp;VALUE(LEFT(Sync!$AH1704,FIND(":",Sync!$AH1704)-1)),2)&amp;RIGHT("00"&amp;VALUE(MID(Sync!$AH1704,FIND(":",Sync!$AH1704)+1,2)),2),"0000"))))</f>
        <v/>
      </c>
    </row>
    <row r="1705">
      <c r="A1705">
        <f>IF(OR(Calc!$E1708="",Calc!$E1708="نامعتبر",Calc!$G1708="",Calc!$I1708&lt;&gt;"خرید"),"",Calc!$G1708)</f>
        <v/>
      </c>
      <c r="B1705">
        <f>IF($A1705="","",LEFT(Calc!$E1708,4)&amp;MID(Calc!$E1708,6,2)&amp;RIGHT(Calc!$E1708,2)&amp;Calc!$R1708&amp;"|"&amp;"1"&amp;RIGHT("00000"&amp;1700,5))</f>
        <v/>
      </c>
      <c r="C1705">
        <f>IF($B1705="","",COUNTIFS(LdgPartyA,$A1705,LdgKeyA,"&lt;"&amp;$B1705)+COUNTIFS(LdgPartyB,$A1705,LdgKeyB,"&lt;"&amp;$B1705)+1)</f>
        <v/>
      </c>
      <c r="D1705">
        <f>IF($C1705="","",$A1705&amp;"|"&amp;RIGHT("000000"&amp;$C1705,6))</f>
        <v/>
      </c>
      <c r="F1705">
        <f>IF(Sync!$AJ1705="","",Sync!$AJ1705)</f>
        <v/>
      </c>
      <c r="G1705">
        <f>IF($F1705="","",IF(Sync!$AG1705="","",IF(ISNUMBER(Sync!$AG1705),IF(AND(Sync!$AG1705&gt;=10000101,Sync!$AG1705&lt;=99991231),INT(Sync!$AG1705/10000),""),IFERROR(VALUE(TRIM(LEFT(Sync!$AG1705,FIND("/",Sync!$AG1705)-1))),""))))</f>
        <v/>
      </c>
      <c r="H1705">
        <f>IF(OR($F1705="",$G1705=""),"",IF(ISNUMBER(Sync!$AG1705),INT(MOD(Sync!$AG1705,10000)/100),IFERROR(VALUE(TRIM(LEFT(MID(Sync!$AG1705,FIND("/",Sync!$AG1705)+1,20),FIND("/",MID(Sync!$AG1705,FIND("/",Sync!$AG1705)+1,20))-1))),"")))</f>
        <v/>
      </c>
      <c r="I1705">
        <f>IF(OR($F1705="",$G1705=""),"",IF(ISNUMBER(Sync!$AG1705),MOD(Sync!$AG1705,100),IFERROR(VALUE(TRIM(MID(MID(Sync!$AG1705,FIND("/",Sync!$AG1705)+1,20),FIND("/",MID(Sync!$AG1705,FIND("/",Sync!$AG1705)+1,20))+1,20))),"")))</f>
        <v/>
      </c>
      <c r="J1705">
        <f>IF($F1705="","",IF(OR($G1705="",$H1705="",$I1705="",$G1705&lt;1300,$G1705&gt;1500,$H1705&lt;1,$H1705&gt;12,$I1705&lt;1,$I1705&gt;31),"نامعتبر",RIGHT("0000"&amp;$G1705,4)&amp;"/"&amp;RIGHT("00"&amp;$H1705,2)&amp;"/"&amp;RIGHT("00"&amp;$I1705,2)))</f>
        <v/>
      </c>
      <c r="K1705">
        <f>IF(OR($F1705="",$J1705="",$J1705="نامعتبر"),"",LEFT($J1705,4)&amp;MID($J1705,6,2)&amp;RIGHT($J1705,2)&amp;$N1705&amp;"|"&amp;"2"&amp;RIGHT("00000"&amp;1700,5))</f>
        <v/>
      </c>
      <c r="L1705">
        <f>IF($K1705="","",COUNTIFS(LdgPartyA,$F1705,LdgKeyA,"&lt;"&amp;$K1705)+COUNTIFS(LdgPartyB,$F1705,LdgKeyB,"&lt;"&amp;$K1705)+1)</f>
        <v/>
      </c>
      <c r="M1705">
        <f>IF($L1705="","",$F1705&amp;"|"&amp;RIGHT("000000"&amp;$L1705,6))</f>
        <v/>
      </c>
      <c r="N1705">
        <f>IF($F1705="","",IF(Sync!$AH1705="","0000",IF(AND(ISNUMBER(Sync!$AH1705),Sync!$AH1705&gt;=0,Sync!$AH1705&lt;1),RIGHT("00"&amp;HOUR(Sync!$AH1705),2)&amp;RIGHT("00"&amp;MINUTE(Sync!$AH1705),2),IFERROR(RIGHT("00"&amp;VALUE(LEFT(Sync!$AH1705,FIND(":",Sync!$AH1705)-1)),2)&amp;RIGHT("00"&amp;VALUE(MID(Sync!$AH1705,FIND(":",Sync!$AH1705)+1,2)),2),"0000"))))</f>
        <v/>
      </c>
    </row>
    <row r="1706">
      <c r="A1706">
        <f>IF(OR(Calc!$E1709="",Calc!$E1709="نامعتبر",Calc!$G1709="",Calc!$I1709&lt;&gt;"خرید"),"",Calc!$G1709)</f>
        <v/>
      </c>
      <c r="B1706">
        <f>IF($A1706="","",LEFT(Calc!$E1709,4)&amp;MID(Calc!$E1709,6,2)&amp;RIGHT(Calc!$E1709,2)&amp;Calc!$R1709&amp;"|"&amp;"1"&amp;RIGHT("00000"&amp;1701,5))</f>
        <v/>
      </c>
      <c r="C1706">
        <f>IF($B1706="","",COUNTIFS(LdgPartyA,$A1706,LdgKeyA,"&lt;"&amp;$B1706)+COUNTIFS(LdgPartyB,$A1706,LdgKeyB,"&lt;"&amp;$B1706)+1)</f>
        <v/>
      </c>
      <c r="D1706">
        <f>IF($C1706="","",$A1706&amp;"|"&amp;RIGHT("000000"&amp;$C1706,6))</f>
        <v/>
      </c>
      <c r="F1706">
        <f>IF(Sync!$AJ1706="","",Sync!$AJ1706)</f>
        <v/>
      </c>
      <c r="G1706">
        <f>IF($F1706="","",IF(Sync!$AG1706="","",IF(ISNUMBER(Sync!$AG1706),IF(AND(Sync!$AG1706&gt;=10000101,Sync!$AG1706&lt;=99991231),INT(Sync!$AG1706/10000),""),IFERROR(VALUE(TRIM(LEFT(Sync!$AG1706,FIND("/",Sync!$AG1706)-1))),""))))</f>
        <v/>
      </c>
      <c r="H1706">
        <f>IF(OR($F1706="",$G1706=""),"",IF(ISNUMBER(Sync!$AG1706),INT(MOD(Sync!$AG1706,10000)/100),IFERROR(VALUE(TRIM(LEFT(MID(Sync!$AG1706,FIND("/",Sync!$AG1706)+1,20),FIND("/",MID(Sync!$AG1706,FIND("/",Sync!$AG1706)+1,20))-1))),"")))</f>
        <v/>
      </c>
      <c r="I1706">
        <f>IF(OR($F1706="",$G1706=""),"",IF(ISNUMBER(Sync!$AG1706),MOD(Sync!$AG1706,100),IFERROR(VALUE(TRIM(MID(MID(Sync!$AG1706,FIND("/",Sync!$AG1706)+1,20),FIND("/",MID(Sync!$AG1706,FIND("/",Sync!$AG1706)+1,20))+1,20))),"")))</f>
        <v/>
      </c>
      <c r="J1706">
        <f>IF($F1706="","",IF(OR($G1706="",$H1706="",$I1706="",$G1706&lt;1300,$G1706&gt;1500,$H1706&lt;1,$H1706&gt;12,$I1706&lt;1,$I1706&gt;31),"نامعتبر",RIGHT("0000"&amp;$G1706,4)&amp;"/"&amp;RIGHT("00"&amp;$H1706,2)&amp;"/"&amp;RIGHT("00"&amp;$I1706,2)))</f>
        <v/>
      </c>
      <c r="K1706">
        <f>IF(OR($F1706="",$J1706="",$J1706="نامعتبر"),"",LEFT($J1706,4)&amp;MID($J1706,6,2)&amp;RIGHT($J1706,2)&amp;$N1706&amp;"|"&amp;"2"&amp;RIGHT("00000"&amp;1701,5))</f>
        <v/>
      </c>
      <c r="L1706">
        <f>IF($K1706="","",COUNTIFS(LdgPartyA,$F1706,LdgKeyA,"&lt;"&amp;$K1706)+COUNTIFS(LdgPartyB,$F1706,LdgKeyB,"&lt;"&amp;$K1706)+1)</f>
        <v/>
      </c>
      <c r="M1706">
        <f>IF($L1706="","",$F1706&amp;"|"&amp;RIGHT("000000"&amp;$L1706,6))</f>
        <v/>
      </c>
      <c r="N1706">
        <f>IF($F1706="","",IF(Sync!$AH1706="","0000",IF(AND(ISNUMBER(Sync!$AH1706),Sync!$AH1706&gt;=0,Sync!$AH1706&lt;1),RIGHT("00"&amp;HOUR(Sync!$AH1706),2)&amp;RIGHT("00"&amp;MINUTE(Sync!$AH1706),2),IFERROR(RIGHT("00"&amp;VALUE(LEFT(Sync!$AH1706,FIND(":",Sync!$AH1706)-1)),2)&amp;RIGHT("00"&amp;VALUE(MID(Sync!$AH1706,FIND(":",Sync!$AH1706)+1,2)),2),"0000"))))</f>
        <v/>
      </c>
    </row>
    <row r="1707">
      <c r="A1707">
        <f>IF(OR(Calc!$E1710="",Calc!$E1710="نامعتبر",Calc!$G1710="",Calc!$I1710&lt;&gt;"خرید"),"",Calc!$G1710)</f>
        <v/>
      </c>
      <c r="B1707">
        <f>IF($A1707="","",LEFT(Calc!$E1710,4)&amp;MID(Calc!$E1710,6,2)&amp;RIGHT(Calc!$E1710,2)&amp;Calc!$R1710&amp;"|"&amp;"1"&amp;RIGHT("00000"&amp;1702,5))</f>
        <v/>
      </c>
      <c r="C1707">
        <f>IF($B1707="","",COUNTIFS(LdgPartyA,$A1707,LdgKeyA,"&lt;"&amp;$B1707)+COUNTIFS(LdgPartyB,$A1707,LdgKeyB,"&lt;"&amp;$B1707)+1)</f>
        <v/>
      </c>
      <c r="D1707">
        <f>IF($C1707="","",$A1707&amp;"|"&amp;RIGHT("000000"&amp;$C1707,6))</f>
        <v/>
      </c>
      <c r="F1707">
        <f>IF(Sync!$AJ1707="","",Sync!$AJ1707)</f>
        <v/>
      </c>
      <c r="G1707">
        <f>IF($F1707="","",IF(Sync!$AG1707="","",IF(ISNUMBER(Sync!$AG1707),IF(AND(Sync!$AG1707&gt;=10000101,Sync!$AG1707&lt;=99991231),INT(Sync!$AG1707/10000),""),IFERROR(VALUE(TRIM(LEFT(Sync!$AG1707,FIND("/",Sync!$AG1707)-1))),""))))</f>
        <v/>
      </c>
      <c r="H1707">
        <f>IF(OR($F1707="",$G1707=""),"",IF(ISNUMBER(Sync!$AG1707),INT(MOD(Sync!$AG1707,10000)/100),IFERROR(VALUE(TRIM(LEFT(MID(Sync!$AG1707,FIND("/",Sync!$AG1707)+1,20),FIND("/",MID(Sync!$AG1707,FIND("/",Sync!$AG1707)+1,20))-1))),"")))</f>
        <v/>
      </c>
      <c r="I1707">
        <f>IF(OR($F1707="",$G1707=""),"",IF(ISNUMBER(Sync!$AG1707),MOD(Sync!$AG1707,100),IFERROR(VALUE(TRIM(MID(MID(Sync!$AG1707,FIND("/",Sync!$AG1707)+1,20),FIND("/",MID(Sync!$AG1707,FIND("/",Sync!$AG1707)+1,20))+1,20))),"")))</f>
        <v/>
      </c>
      <c r="J1707">
        <f>IF($F1707="","",IF(OR($G1707="",$H1707="",$I1707="",$G1707&lt;1300,$G1707&gt;1500,$H1707&lt;1,$H1707&gt;12,$I1707&lt;1,$I1707&gt;31),"نامعتبر",RIGHT("0000"&amp;$G1707,4)&amp;"/"&amp;RIGHT("00"&amp;$H1707,2)&amp;"/"&amp;RIGHT("00"&amp;$I1707,2)))</f>
        <v/>
      </c>
      <c r="K1707">
        <f>IF(OR($F1707="",$J1707="",$J1707="نامعتبر"),"",LEFT($J1707,4)&amp;MID($J1707,6,2)&amp;RIGHT($J1707,2)&amp;$N1707&amp;"|"&amp;"2"&amp;RIGHT("00000"&amp;1702,5))</f>
        <v/>
      </c>
      <c r="L1707">
        <f>IF($K1707="","",COUNTIFS(LdgPartyA,$F1707,LdgKeyA,"&lt;"&amp;$K1707)+COUNTIFS(LdgPartyB,$F1707,LdgKeyB,"&lt;"&amp;$K1707)+1)</f>
        <v/>
      </c>
      <c r="M1707">
        <f>IF($L1707="","",$F1707&amp;"|"&amp;RIGHT("000000"&amp;$L1707,6))</f>
        <v/>
      </c>
      <c r="N1707">
        <f>IF($F1707="","",IF(Sync!$AH1707="","0000",IF(AND(ISNUMBER(Sync!$AH1707),Sync!$AH1707&gt;=0,Sync!$AH1707&lt;1),RIGHT("00"&amp;HOUR(Sync!$AH1707),2)&amp;RIGHT("00"&amp;MINUTE(Sync!$AH1707),2),IFERROR(RIGHT("00"&amp;VALUE(LEFT(Sync!$AH1707,FIND(":",Sync!$AH1707)-1)),2)&amp;RIGHT("00"&amp;VALUE(MID(Sync!$AH1707,FIND(":",Sync!$AH1707)+1,2)),2),"0000"))))</f>
        <v/>
      </c>
    </row>
    <row r="1708">
      <c r="A1708">
        <f>IF(OR(Calc!$E1711="",Calc!$E1711="نامعتبر",Calc!$G1711="",Calc!$I1711&lt;&gt;"خرید"),"",Calc!$G1711)</f>
        <v/>
      </c>
      <c r="B1708">
        <f>IF($A1708="","",LEFT(Calc!$E1711,4)&amp;MID(Calc!$E1711,6,2)&amp;RIGHT(Calc!$E1711,2)&amp;Calc!$R1711&amp;"|"&amp;"1"&amp;RIGHT("00000"&amp;1703,5))</f>
        <v/>
      </c>
      <c r="C1708">
        <f>IF($B1708="","",COUNTIFS(LdgPartyA,$A1708,LdgKeyA,"&lt;"&amp;$B1708)+COUNTIFS(LdgPartyB,$A1708,LdgKeyB,"&lt;"&amp;$B1708)+1)</f>
        <v/>
      </c>
      <c r="D1708">
        <f>IF($C1708="","",$A1708&amp;"|"&amp;RIGHT("000000"&amp;$C1708,6))</f>
        <v/>
      </c>
      <c r="F1708">
        <f>IF(Sync!$AJ1708="","",Sync!$AJ1708)</f>
        <v/>
      </c>
      <c r="G1708">
        <f>IF($F1708="","",IF(Sync!$AG1708="","",IF(ISNUMBER(Sync!$AG1708),IF(AND(Sync!$AG1708&gt;=10000101,Sync!$AG1708&lt;=99991231),INT(Sync!$AG1708/10000),""),IFERROR(VALUE(TRIM(LEFT(Sync!$AG1708,FIND("/",Sync!$AG1708)-1))),""))))</f>
        <v/>
      </c>
      <c r="H1708">
        <f>IF(OR($F1708="",$G1708=""),"",IF(ISNUMBER(Sync!$AG1708),INT(MOD(Sync!$AG1708,10000)/100),IFERROR(VALUE(TRIM(LEFT(MID(Sync!$AG1708,FIND("/",Sync!$AG1708)+1,20),FIND("/",MID(Sync!$AG1708,FIND("/",Sync!$AG1708)+1,20))-1))),"")))</f>
        <v/>
      </c>
      <c r="I1708">
        <f>IF(OR($F1708="",$G1708=""),"",IF(ISNUMBER(Sync!$AG1708),MOD(Sync!$AG1708,100),IFERROR(VALUE(TRIM(MID(MID(Sync!$AG1708,FIND("/",Sync!$AG1708)+1,20),FIND("/",MID(Sync!$AG1708,FIND("/",Sync!$AG1708)+1,20))+1,20))),"")))</f>
        <v/>
      </c>
      <c r="J1708">
        <f>IF($F1708="","",IF(OR($G1708="",$H1708="",$I1708="",$G1708&lt;1300,$G1708&gt;1500,$H1708&lt;1,$H1708&gt;12,$I1708&lt;1,$I1708&gt;31),"نامعتبر",RIGHT("0000"&amp;$G1708,4)&amp;"/"&amp;RIGHT("00"&amp;$H1708,2)&amp;"/"&amp;RIGHT("00"&amp;$I1708,2)))</f>
        <v/>
      </c>
      <c r="K1708">
        <f>IF(OR($F1708="",$J1708="",$J1708="نامعتبر"),"",LEFT($J1708,4)&amp;MID($J1708,6,2)&amp;RIGHT($J1708,2)&amp;$N1708&amp;"|"&amp;"2"&amp;RIGHT("00000"&amp;1703,5))</f>
        <v/>
      </c>
      <c r="L1708">
        <f>IF($K1708="","",COUNTIFS(LdgPartyA,$F1708,LdgKeyA,"&lt;"&amp;$K1708)+COUNTIFS(LdgPartyB,$F1708,LdgKeyB,"&lt;"&amp;$K1708)+1)</f>
        <v/>
      </c>
      <c r="M1708">
        <f>IF($L1708="","",$F1708&amp;"|"&amp;RIGHT("000000"&amp;$L1708,6))</f>
        <v/>
      </c>
      <c r="N1708">
        <f>IF($F1708="","",IF(Sync!$AH1708="","0000",IF(AND(ISNUMBER(Sync!$AH1708),Sync!$AH1708&gt;=0,Sync!$AH1708&lt;1),RIGHT("00"&amp;HOUR(Sync!$AH1708),2)&amp;RIGHT("00"&amp;MINUTE(Sync!$AH1708),2),IFERROR(RIGHT("00"&amp;VALUE(LEFT(Sync!$AH1708,FIND(":",Sync!$AH1708)-1)),2)&amp;RIGHT("00"&amp;VALUE(MID(Sync!$AH1708,FIND(":",Sync!$AH1708)+1,2)),2),"0000"))))</f>
        <v/>
      </c>
    </row>
    <row r="1709">
      <c r="A1709">
        <f>IF(OR(Calc!$E1712="",Calc!$E1712="نامعتبر",Calc!$G1712="",Calc!$I1712&lt;&gt;"خرید"),"",Calc!$G1712)</f>
        <v/>
      </c>
      <c r="B1709">
        <f>IF($A1709="","",LEFT(Calc!$E1712,4)&amp;MID(Calc!$E1712,6,2)&amp;RIGHT(Calc!$E1712,2)&amp;Calc!$R1712&amp;"|"&amp;"1"&amp;RIGHT("00000"&amp;1704,5))</f>
        <v/>
      </c>
      <c r="C1709">
        <f>IF($B1709="","",COUNTIFS(LdgPartyA,$A1709,LdgKeyA,"&lt;"&amp;$B1709)+COUNTIFS(LdgPartyB,$A1709,LdgKeyB,"&lt;"&amp;$B1709)+1)</f>
        <v/>
      </c>
      <c r="D1709">
        <f>IF($C1709="","",$A1709&amp;"|"&amp;RIGHT("000000"&amp;$C1709,6))</f>
        <v/>
      </c>
      <c r="F1709">
        <f>IF(Sync!$AJ1709="","",Sync!$AJ1709)</f>
        <v/>
      </c>
      <c r="G1709">
        <f>IF($F1709="","",IF(Sync!$AG1709="","",IF(ISNUMBER(Sync!$AG1709),IF(AND(Sync!$AG1709&gt;=10000101,Sync!$AG1709&lt;=99991231),INT(Sync!$AG1709/10000),""),IFERROR(VALUE(TRIM(LEFT(Sync!$AG1709,FIND("/",Sync!$AG1709)-1))),""))))</f>
        <v/>
      </c>
      <c r="H1709">
        <f>IF(OR($F1709="",$G1709=""),"",IF(ISNUMBER(Sync!$AG1709),INT(MOD(Sync!$AG1709,10000)/100),IFERROR(VALUE(TRIM(LEFT(MID(Sync!$AG1709,FIND("/",Sync!$AG1709)+1,20),FIND("/",MID(Sync!$AG1709,FIND("/",Sync!$AG1709)+1,20))-1))),"")))</f>
        <v/>
      </c>
      <c r="I1709">
        <f>IF(OR($F1709="",$G1709=""),"",IF(ISNUMBER(Sync!$AG1709),MOD(Sync!$AG1709,100),IFERROR(VALUE(TRIM(MID(MID(Sync!$AG1709,FIND("/",Sync!$AG1709)+1,20),FIND("/",MID(Sync!$AG1709,FIND("/",Sync!$AG1709)+1,20))+1,20))),"")))</f>
        <v/>
      </c>
      <c r="J1709">
        <f>IF($F1709="","",IF(OR($G1709="",$H1709="",$I1709="",$G1709&lt;1300,$G1709&gt;1500,$H1709&lt;1,$H1709&gt;12,$I1709&lt;1,$I1709&gt;31),"نامعتبر",RIGHT("0000"&amp;$G1709,4)&amp;"/"&amp;RIGHT("00"&amp;$H1709,2)&amp;"/"&amp;RIGHT("00"&amp;$I1709,2)))</f>
        <v/>
      </c>
      <c r="K1709">
        <f>IF(OR($F1709="",$J1709="",$J1709="نامعتبر"),"",LEFT($J1709,4)&amp;MID($J1709,6,2)&amp;RIGHT($J1709,2)&amp;$N1709&amp;"|"&amp;"2"&amp;RIGHT("00000"&amp;1704,5))</f>
        <v/>
      </c>
      <c r="L1709">
        <f>IF($K1709="","",COUNTIFS(LdgPartyA,$F1709,LdgKeyA,"&lt;"&amp;$K1709)+COUNTIFS(LdgPartyB,$F1709,LdgKeyB,"&lt;"&amp;$K1709)+1)</f>
        <v/>
      </c>
      <c r="M1709">
        <f>IF($L1709="","",$F1709&amp;"|"&amp;RIGHT("000000"&amp;$L1709,6))</f>
        <v/>
      </c>
      <c r="N1709">
        <f>IF($F1709="","",IF(Sync!$AH1709="","0000",IF(AND(ISNUMBER(Sync!$AH1709),Sync!$AH1709&gt;=0,Sync!$AH1709&lt;1),RIGHT("00"&amp;HOUR(Sync!$AH1709),2)&amp;RIGHT("00"&amp;MINUTE(Sync!$AH1709),2),IFERROR(RIGHT("00"&amp;VALUE(LEFT(Sync!$AH1709,FIND(":",Sync!$AH1709)-1)),2)&amp;RIGHT("00"&amp;VALUE(MID(Sync!$AH1709,FIND(":",Sync!$AH1709)+1,2)),2),"0000"))))</f>
        <v/>
      </c>
    </row>
    <row r="1710">
      <c r="A1710">
        <f>IF(OR(Calc!$E1713="",Calc!$E1713="نامعتبر",Calc!$G1713="",Calc!$I1713&lt;&gt;"خرید"),"",Calc!$G1713)</f>
        <v/>
      </c>
      <c r="B1710">
        <f>IF($A1710="","",LEFT(Calc!$E1713,4)&amp;MID(Calc!$E1713,6,2)&amp;RIGHT(Calc!$E1713,2)&amp;Calc!$R1713&amp;"|"&amp;"1"&amp;RIGHT("00000"&amp;1705,5))</f>
        <v/>
      </c>
      <c r="C1710">
        <f>IF($B1710="","",COUNTIFS(LdgPartyA,$A1710,LdgKeyA,"&lt;"&amp;$B1710)+COUNTIFS(LdgPartyB,$A1710,LdgKeyB,"&lt;"&amp;$B1710)+1)</f>
        <v/>
      </c>
      <c r="D1710">
        <f>IF($C1710="","",$A1710&amp;"|"&amp;RIGHT("000000"&amp;$C1710,6))</f>
        <v/>
      </c>
      <c r="F1710">
        <f>IF(Sync!$AJ1710="","",Sync!$AJ1710)</f>
        <v/>
      </c>
      <c r="G1710">
        <f>IF($F1710="","",IF(Sync!$AG1710="","",IF(ISNUMBER(Sync!$AG1710),IF(AND(Sync!$AG1710&gt;=10000101,Sync!$AG1710&lt;=99991231),INT(Sync!$AG1710/10000),""),IFERROR(VALUE(TRIM(LEFT(Sync!$AG1710,FIND("/",Sync!$AG1710)-1))),""))))</f>
        <v/>
      </c>
      <c r="H1710">
        <f>IF(OR($F1710="",$G1710=""),"",IF(ISNUMBER(Sync!$AG1710),INT(MOD(Sync!$AG1710,10000)/100),IFERROR(VALUE(TRIM(LEFT(MID(Sync!$AG1710,FIND("/",Sync!$AG1710)+1,20),FIND("/",MID(Sync!$AG1710,FIND("/",Sync!$AG1710)+1,20))-1))),"")))</f>
        <v/>
      </c>
      <c r="I1710">
        <f>IF(OR($F1710="",$G1710=""),"",IF(ISNUMBER(Sync!$AG1710),MOD(Sync!$AG1710,100),IFERROR(VALUE(TRIM(MID(MID(Sync!$AG1710,FIND("/",Sync!$AG1710)+1,20),FIND("/",MID(Sync!$AG1710,FIND("/",Sync!$AG1710)+1,20))+1,20))),"")))</f>
        <v/>
      </c>
      <c r="J1710">
        <f>IF($F1710="","",IF(OR($G1710="",$H1710="",$I1710="",$G1710&lt;1300,$G1710&gt;1500,$H1710&lt;1,$H1710&gt;12,$I1710&lt;1,$I1710&gt;31),"نامعتبر",RIGHT("0000"&amp;$G1710,4)&amp;"/"&amp;RIGHT("00"&amp;$H1710,2)&amp;"/"&amp;RIGHT("00"&amp;$I1710,2)))</f>
        <v/>
      </c>
      <c r="K1710">
        <f>IF(OR($F1710="",$J1710="",$J1710="نامعتبر"),"",LEFT($J1710,4)&amp;MID($J1710,6,2)&amp;RIGHT($J1710,2)&amp;$N1710&amp;"|"&amp;"2"&amp;RIGHT("00000"&amp;1705,5))</f>
        <v/>
      </c>
      <c r="L1710">
        <f>IF($K1710="","",COUNTIFS(LdgPartyA,$F1710,LdgKeyA,"&lt;"&amp;$K1710)+COUNTIFS(LdgPartyB,$F1710,LdgKeyB,"&lt;"&amp;$K1710)+1)</f>
        <v/>
      </c>
      <c r="M1710">
        <f>IF($L1710="","",$F1710&amp;"|"&amp;RIGHT("000000"&amp;$L1710,6))</f>
        <v/>
      </c>
      <c r="N1710">
        <f>IF($F1710="","",IF(Sync!$AH1710="","0000",IF(AND(ISNUMBER(Sync!$AH1710),Sync!$AH1710&gt;=0,Sync!$AH1710&lt;1),RIGHT("00"&amp;HOUR(Sync!$AH1710),2)&amp;RIGHT("00"&amp;MINUTE(Sync!$AH1710),2),IFERROR(RIGHT("00"&amp;VALUE(LEFT(Sync!$AH1710,FIND(":",Sync!$AH1710)-1)),2)&amp;RIGHT("00"&amp;VALUE(MID(Sync!$AH1710,FIND(":",Sync!$AH1710)+1,2)),2),"0000"))))</f>
        <v/>
      </c>
    </row>
    <row r="1711">
      <c r="A1711">
        <f>IF(OR(Calc!$E1714="",Calc!$E1714="نامعتبر",Calc!$G1714="",Calc!$I1714&lt;&gt;"خرید"),"",Calc!$G1714)</f>
        <v/>
      </c>
      <c r="B1711">
        <f>IF($A1711="","",LEFT(Calc!$E1714,4)&amp;MID(Calc!$E1714,6,2)&amp;RIGHT(Calc!$E1714,2)&amp;Calc!$R1714&amp;"|"&amp;"1"&amp;RIGHT("00000"&amp;1706,5))</f>
        <v/>
      </c>
      <c r="C1711">
        <f>IF($B1711="","",COUNTIFS(LdgPartyA,$A1711,LdgKeyA,"&lt;"&amp;$B1711)+COUNTIFS(LdgPartyB,$A1711,LdgKeyB,"&lt;"&amp;$B1711)+1)</f>
        <v/>
      </c>
      <c r="D1711">
        <f>IF($C1711="","",$A1711&amp;"|"&amp;RIGHT("000000"&amp;$C1711,6))</f>
        <v/>
      </c>
      <c r="F1711">
        <f>IF(Sync!$AJ1711="","",Sync!$AJ1711)</f>
        <v/>
      </c>
      <c r="G1711">
        <f>IF($F1711="","",IF(Sync!$AG1711="","",IF(ISNUMBER(Sync!$AG1711),IF(AND(Sync!$AG1711&gt;=10000101,Sync!$AG1711&lt;=99991231),INT(Sync!$AG1711/10000),""),IFERROR(VALUE(TRIM(LEFT(Sync!$AG1711,FIND("/",Sync!$AG1711)-1))),""))))</f>
        <v/>
      </c>
      <c r="H1711">
        <f>IF(OR($F1711="",$G1711=""),"",IF(ISNUMBER(Sync!$AG1711),INT(MOD(Sync!$AG1711,10000)/100),IFERROR(VALUE(TRIM(LEFT(MID(Sync!$AG1711,FIND("/",Sync!$AG1711)+1,20),FIND("/",MID(Sync!$AG1711,FIND("/",Sync!$AG1711)+1,20))-1))),"")))</f>
        <v/>
      </c>
      <c r="I1711">
        <f>IF(OR($F1711="",$G1711=""),"",IF(ISNUMBER(Sync!$AG1711),MOD(Sync!$AG1711,100),IFERROR(VALUE(TRIM(MID(MID(Sync!$AG1711,FIND("/",Sync!$AG1711)+1,20),FIND("/",MID(Sync!$AG1711,FIND("/",Sync!$AG1711)+1,20))+1,20))),"")))</f>
        <v/>
      </c>
      <c r="J1711">
        <f>IF($F1711="","",IF(OR($G1711="",$H1711="",$I1711="",$G1711&lt;1300,$G1711&gt;1500,$H1711&lt;1,$H1711&gt;12,$I1711&lt;1,$I1711&gt;31),"نامعتبر",RIGHT("0000"&amp;$G1711,4)&amp;"/"&amp;RIGHT("00"&amp;$H1711,2)&amp;"/"&amp;RIGHT("00"&amp;$I1711,2)))</f>
        <v/>
      </c>
      <c r="K1711">
        <f>IF(OR($F1711="",$J1711="",$J1711="نامعتبر"),"",LEFT($J1711,4)&amp;MID($J1711,6,2)&amp;RIGHT($J1711,2)&amp;$N1711&amp;"|"&amp;"2"&amp;RIGHT("00000"&amp;1706,5))</f>
        <v/>
      </c>
      <c r="L1711">
        <f>IF($K1711="","",COUNTIFS(LdgPartyA,$F1711,LdgKeyA,"&lt;"&amp;$K1711)+COUNTIFS(LdgPartyB,$F1711,LdgKeyB,"&lt;"&amp;$K1711)+1)</f>
        <v/>
      </c>
      <c r="M1711">
        <f>IF($L1711="","",$F1711&amp;"|"&amp;RIGHT("000000"&amp;$L1711,6))</f>
        <v/>
      </c>
      <c r="N1711">
        <f>IF($F1711="","",IF(Sync!$AH1711="","0000",IF(AND(ISNUMBER(Sync!$AH1711),Sync!$AH1711&gt;=0,Sync!$AH1711&lt;1),RIGHT("00"&amp;HOUR(Sync!$AH1711),2)&amp;RIGHT("00"&amp;MINUTE(Sync!$AH1711),2),IFERROR(RIGHT("00"&amp;VALUE(LEFT(Sync!$AH1711,FIND(":",Sync!$AH1711)-1)),2)&amp;RIGHT("00"&amp;VALUE(MID(Sync!$AH1711,FIND(":",Sync!$AH1711)+1,2)),2),"0000"))))</f>
        <v/>
      </c>
    </row>
    <row r="1712">
      <c r="A1712">
        <f>IF(OR(Calc!$E1715="",Calc!$E1715="نامعتبر",Calc!$G1715="",Calc!$I1715&lt;&gt;"خرید"),"",Calc!$G1715)</f>
        <v/>
      </c>
      <c r="B1712">
        <f>IF($A1712="","",LEFT(Calc!$E1715,4)&amp;MID(Calc!$E1715,6,2)&amp;RIGHT(Calc!$E1715,2)&amp;Calc!$R1715&amp;"|"&amp;"1"&amp;RIGHT("00000"&amp;1707,5))</f>
        <v/>
      </c>
      <c r="C1712">
        <f>IF($B1712="","",COUNTIFS(LdgPartyA,$A1712,LdgKeyA,"&lt;"&amp;$B1712)+COUNTIFS(LdgPartyB,$A1712,LdgKeyB,"&lt;"&amp;$B1712)+1)</f>
        <v/>
      </c>
      <c r="D1712">
        <f>IF($C1712="","",$A1712&amp;"|"&amp;RIGHT("000000"&amp;$C1712,6))</f>
        <v/>
      </c>
      <c r="F1712">
        <f>IF(Sync!$AJ1712="","",Sync!$AJ1712)</f>
        <v/>
      </c>
      <c r="G1712">
        <f>IF($F1712="","",IF(Sync!$AG1712="","",IF(ISNUMBER(Sync!$AG1712),IF(AND(Sync!$AG1712&gt;=10000101,Sync!$AG1712&lt;=99991231),INT(Sync!$AG1712/10000),""),IFERROR(VALUE(TRIM(LEFT(Sync!$AG1712,FIND("/",Sync!$AG1712)-1))),""))))</f>
        <v/>
      </c>
      <c r="H1712">
        <f>IF(OR($F1712="",$G1712=""),"",IF(ISNUMBER(Sync!$AG1712),INT(MOD(Sync!$AG1712,10000)/100),IFERROR(VALUE(TRIM(LEFT(MID(Sync!$AG1712,FIND("/",Sync!$AG1712)+1,20),FIND("/",MID(Sync!$AG1712,FIND("/",Sync!$AG1712)+1,20))-1))),"")))</f>
        <v/>
      </c>
      <c r="I1712">
        <f>IF(OR($F1712="",$G1712=""),"",IF(ISNUMBER(Sync!$AG1712),MOD(Sync!$AG1712,100),IFERROR(VALUE(TRIM(MID(MID(Sync!$AG1712,FIND("/",Sync!$AG1712)+1,20),FIND("/",MID(Sync!$AG1712,FIND("/",Sync!$AG1712)+1,20))+1,20))),"")))</f>
        <v/>
      </c>
      <c r="J1712">
        <f>IF($F1712="","",IF(OR($G1712="",$H1712="",$I1712="",$G1712&lt;1300,$G1712&gt;1500,$H1712&lt;1,$H1712&gt;12,$I1712&lt;1,$I1712&gt;31),"نامعتبر",RIGHT("0000"&amp;$G1712,4)&amp;"/"&amp;RIGHT("00"&amp;$H1712,2)&amp;"/"&amp;RIGHT("00"&amp;$I1712,2)))</f>
        <v/>
      </c>
      <c r="K1712">
        <f>IF(OR($F1712="",$J1712="",$J1712="نامعتبر"),"",LEFT($J1712,4)&amp;MID($J1712,6,2)&amp;RIGHT($J1712,2)&amp;$N1712&amp;"|"&amp;"2"&amp;RIGHT("00000"&amp;1707,5))</f>
        <v/>
      </c>
      <c r="L1712">
        <f>IF($K1712="","",COUNTIFS(LdgPartyA,$F1712,LdgKeyA,"&lt;"&amp;$K1712)+COUNTIFS(LdgPartyB,$F1712,LdgKeyB,"&lt;"&amp;$K1712)+1)</f>
        <v/>
      </c>
      <c r="M1712">
        <f>IF($L1712="","",$F1712&amp;"|"&amp;RIGHT("000000"&amp;$L1712,6))</f>
        <v/>
      </c>
      <c r="N1712">
        <f>IF($F1712="","",IF(Sync!$AH1712="","0000",IF(AND(ISNUMBER(Sync!$AH1712),Sync!$AH1712&gt;=0,Sync!$AH1712&lt;1),RIGHT("00"&amp;HOUR(Sync!$AH1712),2)&amp;RIGHT("00"&amp;MINUTE(Sync!$AH1712),2),IFERROR(RIGHT("00"&amp;VALUE(LEFT(Sync!$AH1712,FIND(":",Sync!$AH1712)-1)),2)&amp;RIGHT("00"&amp;VALUE(MID(Sync!$AH1712,FIND(":",Sync!$AH1712)+1,2)),2),"0000"))))</f>
        <v/>
      </c>
    </row>
    <row r="1713">
      <c r="A1713">
        <f>IF(OR(Calc!$E1716="",Calc!$E1716="نامعتبر",Calc!$G1716="",Calc!$I1716&lt;&gt;"خرید"),"",Calc!$G1716)</f>
        <v/>
      </c>
      <c r="B1713">
        <f>IF($A1713="","",LEFT(Calc!$E1716,4)&amp;MID(Calc!$E1716,6,2)&amp;RIGHT(Calc!$E1716,2)&amp;Calc!$R1716&amp;"|"&amp;"1"&amp;RIGHT("00000"&amp;1708,5))</f>
        <v/>
      </c>
      <c r="C1713">
        <f>IF($B1713="","",COUNTIFS(LdgPartyA,$A1713,LdgKeyA,"&lt;"&amp;$B1713)+COUNTIFS(LdgPartyB,$A1713,LdgKeyB,"&lt;"&amp;$B1713)+1)</f>
        <v/>
      </c>
      <c r="D1713">
        <f>IF($C1713="","",$A1713&amp;"|"&amp;RIGHT("000000"&amp;$C1713,6))</f>
        <v/>
      </c>
      <c r="F1713">
        <f>IF(Sync!$AJ1713="","",Sync!$AJ1713)</f>
        <v/>
      </c>
      <c r="G1713">
        <f>IF($F1713="","",IF(Sync!$AG1713="","",IF(ISNUMBER(Sync!$AG1713),IF(AND(Sync!$AG1713&gt;=10000101,Sync!$AG1713&lt;=99991231),INT(Sync!$AG1713/10000),""),IFERROR(VALUE(TRIM(LEFT(Sync!$AG1713,FIND("/",Sync!$AG1713)-1))),""))))</f>
        <v/>
      </c>
      <c r="H1713">
        <f>IF(OR($F1713="",$G1713=""),"",IF(ISNUMBER(Sync!$AG1713),INT(MOD(Sync!$AG1713,10000)/100),IFERROR(VALUE(TRIM(LEFT(MID(Sync!$AG1713,FIND("/",Sync!$AG1713)+1,20),FIND("/",MID(Sync!$AG1713,FIND("/",Sync!$AG1713)+1,20))-1))),"")))</f>
        <v/>
      </c>
      <c r="I1713">
        <f>IF(OR($F1713="",$G1713=""),"",IF(ISNUMBER(Sync!$AG1713),MOD(Sync!$AG1713,100),IFERROR(VALUE(TRIM(MID(MID(Sync!$AG1713,FIND("/",Sync!$AG1713)+1,20),FIND("/",MID(Sync!$AG1713,FIND("/",Sync!$AG1713)+1,20))+1,20))),"")))</f>
        <v/>
      </c>
      <c r="J1713">
        <f>IF($F1713="","",IF(OR($G1713="",$H1713="",$I1713="",$G1713&lt;1300,$G1713&gt;1500,$H1713&lt;1,$H1713&gt;12,$I1713&lt;1,$I1713&gt;31),"نامعتبر",RIGHT("0000"&amp;$G1713,4)&amp;"/"&amp;RIGHT("00"&amp;$H1713,2)&amp;"/"&amp;RIGHT("00"&amp;$I1713,2)))</f>
        <v/>
      </c>
      <c r="K1713">
        <f>IF(OR($F1713="",$J1713="",$J1713="نامعتبر"),"",LEFT($J1713,4)&amp;MID($J1713,6,2)&amp;RIGHT($J1713,2)&amp;$N1713&amp;"|"&amp;"2"&amp;RIGHT("00000"&amp;1708,5))</f>
        <v/>
      </c>
      <c r="L1713">
        <f>IF($K1713="","",COUNTIFS(LdgPartyA,$F1713,LdgKeyA,"&lt;"&amp;$K1713)+COUNTIFS(LdgPartyB,$F1713,LdgKeyB,"&lt;"&amp;$K1713)+1)</f>
        <v/>
      </c>
      <c r="M1713">
        <f>IF($L1713="","",$F1713&amp;"|"&amp;RIGHT("000000"&amp;$L1713,6))</f>
        <v/>
      </c>
      <c r="N1713">
        <f>IF($F1713="","",IF(Sync!$AH1713="","0000",IF(AND(ISNUMBER(Sync!$AH1713),Sync!$AH1713&gt;=0,Sync!$AH1713&lt;1),RIGHT("00"&amp;HOUR(Sync!$AH1713),2)&amp;RIGHT("00"&amp;MINUTE(Sync!$AH1713),2),IFERROR(RIGHT("00"&amp;VALUE(LEFT(Sync!$AH1713,FIND(":",Sync!$AH1713)-1)),2)&amp;RIGHT("00"&amp;VALUE(MID(Sync!$AH1713,FIND(":",Sync!$AH1713)+1,2)),2),"0000"))))</f>
        <v/>
      </c>
    </row>
    <row r="1714">
      <c r="A1714">
        <f>IF(OR(Calc!$E1717="",Calc!$E1717="نامعتبر",Calc!$G1717="",Calc!$I1717&lt;&gt;"خرید"),"",Calc!$G1717)</f>
        <v/>
      </c>
      <c r="B1714">
        <f>IF($A1714="","",LEFT(Calc!$E1717,4)&amp;MID(Calc!$E1717,6,2)&amp;RIGHT(Calc!$E1717,2)&amp;Calc!$R1717&amp;"|"&amp;"1"&amp;RIGHT("00000"&amp;1709,5))</f>
        <v/>
      </c>
      <c r="C1714">
        <f>IF($B1714="","",COUNTIFS(LdgPartyA,$A1714,LdgKeyA,"&lt;"&amp;$B1714)+COUNTIFS(LdgPartyB,$A1714,LdgKeyB,"&lt;"&amp;$B1714)+1)</f>
        <v/>
      </c>
      <c r="D1714">
        <f>IF($C1714="","",$A1714&amp;"|"&amp;RIGHT("000000"&amp;$C1714,6))</f>
        <v/>
      </c>
      <c r="F1714">
        <f>IF(Sync!$AJ1714="","",Sync!$AJ1714)</f>
        <v/>
      </c>
      <c r="G1714">
        <f>IF($F1714="","",IF(Sync!$AG1714="","",IF(ISNUMBER(Sync!$AG1714),IF(AND(Sync!$AG1714&gt;=10000101,Sync!$AG1714&lt;=99991231),INT(Sync!$AG1714/10000),""),IFERROR(VALUE(TRIM(LEFT(Sync!$AG1714,FIND("/",Sync!$AG1714)-1))),""))))</f>
        <v/>
      </c>
      <c r="H1714">
        <f>IF(OR($F1714="",$G1714=""),"",IF(ISNUMBER(Sync!$AG1714),INT(MOD(Sync!$AG1714,10000)/100),IFERROR(VALUE(TRIM(LEFT(MID(Sync!$AG1714,FIND("/",Sync!$AG1714)+1,20),FIND("/",MID(Sync!$AG1714,FIND("/",Sync!$AG1714)+1,20))-1))),"")))</f>
        <v/>
      </c>
      <c r="I1714">
        <f>IF(OR($F1714="",$G1714=""),"",IF(ISNUMBER(Sync!$AG1714),MOD(Sync!$AG1714,100),IFERROR(VALUE(TRIM(MID(MID(Sync!$AG1714,FIND("/",Sync!$AG1714)+1,20),FIND("/",MID(Sync!$AG1714,FIND("/",Sync!$AG1714)+1,20))+1,20))),"")))</f>
        <v/>
      </c>
      <c r="J1714">
        <f>IF($F1714="","",IF(OR($G1714="",$H1714="",$I1714="",$G1714&lt;1300,$G1714&gt;1500,$H1714&lt;1,$H1714&gt;12,$I1714&lt;1,$I1714&gt;31),"نامعتبر",RIGHT("0000"&amp;$G1714,4)&amp;"/"&amp;RIGHT("00"&amp;$H1714,2)&amp;"/"&amp;RIGHT("00"&amp;$I1714,2)))</f>
        <v/>
      </c>
      <c r="K1714">
        <f>IF(OR($F1714="",$J1714="",$J1714="نامعتبر"),"",LEFT($J1714,4)&amp;MID($J1714,6,2)&amp;RIGHT($J1714,2)&amp;$N1714&amp;"|"&amp;"2"&amp;RIGHT("00000"&amp;1709,5))</f>
        <v/>
      </c>
      <c r="L1714">
        <f>IF($K1714="","",COUNTIFS(LdgPartyA,$F1714,LdgKeyA,"&lt;"&amp;$K1714)+COUNTIFS(LdgPartyB,$F1714,LdgKeyB,"&lt;"&amp;$K1714)+1)</f>
        <v/>
      </c>
      <c r="M1714">
        <f>IF($L1714="","",$F1714&amp;"|"&amp;RIGHT("000000"&amp;$L1714,6))</f>
        <v/>
      </c>
      <c r="N1714">
        <f>IF($F1714="","",IF(Sync!$AH1714="","0000",IF(AND(ISNUMBER(Sync!$AH1714),Sync!$AH1714&gt;=0,Sync!$AH1714&lt;1),RIGHT("00"&amp;HOUR(Sync!$AH1714),2)&amp;RIGHT("00"&amp;MINUTE(Sync!$AH1714),2),IFERROR(RIGHT("00"&amp;VALUE(LEFT(Sync!$AH1714,FIND(":",Sync!$AH1714)-1)),2)&amp;RIGHT("00"&amp;VALUE(MID(Sync!$AH1714,FIND(":",Sync!$AH1714)+1,2)),2),"0000"))))</f>
        <v/>
      </c>
    </row>
    <row r="1715">
      <c r="A1715">
        <f>IF(OR(Calc!$E1718="",Calc!$E1718="نامعتبر",Calc!$G1718="",Calc!$I1718&lt;&gt;"خرید"),"",Calc!$G1718)</f>
        <v/>
      </c>
      <c r="B1715">
        <f>IF($A1715="","",LEFT(Calc!$E1718,4)&amp;MID(Calc!$E1718,6,2)&amp;RIGHT(Calc!$E1718,2)&amp;Calc!$R1718&amp;"|"&amp;"1"&amp;RIGHT("00000"&amp;1710,5))</f>
        <v/>
      </c>
      <c r="C1715">
        <f>IF($B1715="","",COUNTIFS(LdgPartyA,$A1715,LdgKeyA,"&lt;"&amp;$B1715)+COUNTIFS(LdgPartyB,$A1715,LdgKeyB,"&lt;"&amp;$B1715)+1)</f>
        <v/>
      </c>
      <c r="D1715">
        <f>IF($C1715="","",$A1715&amp;"|"&amp;RIGHT("000000"&amp;$C1715,6))</f>
        <v/>
      </c>
      <c r="F1715">
        <f>IF(Sync!$AJ1715="","",Sync!$AJ1715)</f>
        <v/>
      </c>
      <c r="G1715">
        <f>IF($F1715="","",IF(Sync!$AG1715="","",IF(ISNUMBER(Sync!$AG1715),IF(AND(Sync!$AG1715&gt;=10000101,Sync!$AG1715&lt;=99991231),INT(Sync!$AG1715/10000),""),IFERROR(VALUE(TRIM(LEFT(Sync!$AG1715,FIND("/",Sync!$AG1715)-1))),""))))</f>
        <v/>
      </c>
      <c r="H1715">
        <f>IF(OR($F1715="",$G1715=""),"",IF(ISNUMBER(Sync!$AG1715),INT(MOD(Sync!$AG1715,10000)/100),IFERROR(VALUE(TRIM(LEFT(MID(Sync!$AG1715,FIND("/",Sync!$AG1715)+1,20),FIND("/",MID(Sync!$AG1715,FIND("/",Sync!$AG1715)+1,20))-1))),"")))</f>
        <v/>
      </c>
      <c r="I1715">
        <f>IF(OR($F1715="",$G1715=""),"",IF(ISNUMBER(Sync!$AG1715),MOD(Sync!$AG1715,100),IFERROR(VALUE(TRIM(MID(MID(Sync!$AG1715,FIND("/",Sync!$AG1715)+1,20),FIND("/",MID(Sync!$AG1715,FIND("/",Sync!$AG1715)+1,20))+1,20))),"")))</f>
        <v/>
      </c>
      <c r="J1715">
        <f>IF($F1715="","",IF(OR($G1715="",$H1715="",$I1715="",$G1715&lt;1300,$G1715&gt;1500,$H1715&lt;1,$H1715&gt;12,$I1715&lt;1,$I1715&gt;31),"نامعتبر",RIGHT("0000"&amp;$G1715,4)&amp;"/"&amp;RIGHT("00"&amp;$H1715,2)&amp;"/"&amp;RIGHT("00"&amp;$I1715,2)))</f>
        <v/>
      </c>
      <c r="K1715">
        <f>IF(OR($F1715="",$J1715="",$J1715="نامعتبر"),"",LEFT($J1715,4)&amp;MID($J1715,6,2)&amp;RIGHT($J1715,2)&amp;$N1715&amp;"|"&amp;"2"&amp;RIGHT("00000"&amp;1710,5))</f>
        <v/>
      </c>
      <c r="L1715">
        <f>IF($K1715="","",COUNTIFS(LdgPartyA,$F1715,LdgKeyA,"&lt;"&amp;$K1715)+COUNTIFS(LdgPartyB,$F1715,LdgKeyB,"&lt;"&amp;$K1715)+1)</f>
        <v/>
      </c>
      <c r="M1715">
        <f>IF($L1715="","",$F1715&amp;"|"&amp;RIGHT("000000"&amp;$L1715,6))</f>
        <v/>
      </c>
      <c r="N1715">
        <f>IF($F1715="","",IF(Sync!$AH1715="","0000",IF(AND(ISNUMBER(Sync!$AH1715),Sync!$AH1715&gt;=0,Sync!$AH1715&lt;1),RIGHT("00"&amp;HOUR(Sync!$AH1715),2)&amp;RIGHT("00"&amp;MINUTE(Sync!$AH1715),2),IFERROR(RIGHT("00"&amp;VALUE(LEFT(Sync!$AH1715,FIND(":",Sync!$AH1715)-1)),2)&amp;RIGHT("00"&amp;VALUE(MID(Sync!$AH1715,FIND(":",Sync!$AH1715)+1,2)),2),"0000"))))</f>
        <v/>
      </c>
    </row>
    <row r="1716">
      <c r="A1716">
        <f>IF(OR(Calc!$E1719="",Calc!$E1719="نامعتبر",Calc!$G1719="",Calc!$I1719&lt;&gt;"خرید"),"",Calc!$G1719)</f>
        <v/>
      </c>
      <c r="B1716">
        <f>IF($A1716="","",LEFT(Calc!$E1719,4)&amp;MID(Calc!$E1719,6,2)&amp;RIGHT(Calc!$E1719,2)&amp;Calc!$R1719&amp;"|"&amp;"1"&amp;RIGHT("00000"&amp;1711,5))</f>
        <v/>
      </c>
      <c r="C1716">
        <f>IF($B1716="","",COUNTIFS(LdgPartyA,$A1716,LdgKeyA,"&lt;"&amp;$B1716)+COUNTIFS(LdgPartyB,$A1716,LdgKeyB,"&lt;"&amp;$B1716)+1)</f>
        <v/>
      </c>
      <c r="D1716">
        <f>IF($C1716="","",$A1716&amp;"|"&amp;RIGHT("000000"&amp;$C1716,6))</f>
        <v/>
      </c>
      <c r="F1716">
        <f>IF(Sync!$AJ1716="","",Sync!$AJ1716)</f>
        <v/>
      </c>
      <c r="G1716">
        <f>IF($F1716="","",IF(Sync!$AG1716="","",IF(ISNUMBER(Sync!$AG1716),IF(AND(Sync!$AG1716&gt;=10000101,Sync!$AG1716&lt;=99991231),INT(Sync!$AG1716/10000),""),IFERROR(VALUE(TRIM(LEFT(Sync!$AG1716,FIND("/",Sync!$AG1716)-1))),""))))</f>
        <v/>
      </c>
      <c r="H1716">
        <f>IF(OR($F1716="",$G1716=""),"",IF(ISNUMBER(Sync!$AG1716),INT(MOD(Sync!$AG1716,10000)/100),IFERROR(VALUE(TRIM(LEFT(MID(Sync!$AG1716,FIND("/",Sync!$AG1716)+1,20),FIND("/",MID(Sync!$AG1716,FIND("/",Sync!$AG1716)+1,20))-1))),"")))</f>
        <v/>
      </c>
      <c r="I1716">
        <f>IF(OR($F1716="",$G1716=""),"",IF(ISNUMBER(Sync!$AG1716),MOD(Sync!$AG1716,100),IFERROR(VALUE(TRIM(MID(MID(Sync!$AG1716,FIND("/",Sync!$AG1716)+1,20),FIND("/",MID(Sync!$AG1716,FIND("/",Sync!$AG1716)+1,20))+1,20))),"")))</f>
        <v/>
      </c>
      <c r="J1716">
        <f>IF($F1716="","",IF(OR($G1716="",$H1716="",$I1716="",$G1716&lt;1300,$G1716&gt;1500,$H1716&lt;1,$H1716&gt;12,$I1716&lt;1,$I1716&gt;31),"نامعتبر",RIGHT("0000"&amp;$G1716,4)&amp;"/"&amp;RIGHT("00"&amp;$H1716,2)&amp;"/"&amp;RIGHT("00"&amp;$I1716,2)))</f>
        <v/>
      </c>
      <c r="K1716">
        <f>IF(OR($F1716="",$J1716="",$J1716="نامعتبر"),"",LEFT($J1716,4)&amp;MID($J1716,6,2)&amp;RIGHT($J1716,2)&amp;$N1716&amp;"|"&amp;"2"&amp;RIGHT("00000"&amp;1711,5))</f>
        <v/>
      </c>
      <c r="L1716">
        <f>IF($K1716="","",COUNTIFS(LdgPartyA,$F1716,LdgKeyA,"&lt;"&amp;$K1716)+COUNTIFS(LdgPartyB,$F1716,LdgKeyB,"&lt;"&amp;$K1716)+1)</f>
        <v/>
      </c>
      <c r="M1716">
        <f>IF($L1716="","",$F1716&amp;"|"&amp;RIGHT("000000"&amp;$L1716,6))</f>
        <v/>
      </c>
      <c r="N1716">
        <f>IF($F1716="","",IF(Sync!$AH1716="","0000",IF(AND(ISNUMBER(Sync!$AH1716),Sync!$AH1716&gt;=0,Sync!$AH1716&lt;1),RIGHT("00"&amp;HOUR(Sync!$AH1716),2)&amp;RIGHT("00"&amp;MINUTE(Sync!$AH1716),2),IFERROR(RIGHT("00"&amp;VALUE(LEFT(Sync!$AH1716,FIND(":",Sync!$AH1716)-1)),2)&amp;RIGHT("00"&amp;VALUE(MID(Sync!$AH1716,FIND(":",Sync!$AH1716)+1,2)),2),"0000"))))</f>
        <v/>
      </c>
    </row>
    <row r="1717">
      <c r="A1717">
        <f>IF(OR(Calc!$E1720="",Calc!$E1720="نامعتبر",Calc!$G1720="",Calc!$I1720&lt;&gt;"خرید"),"",Calc!$G1720)</f>
        <v/>
      </c>
      <c r="B1717">
        <f>IF($A1717="","",LEFT(Calc!$E1720,4)&amp;MID(Calc!$E1720,6,2)&amp;RIGHT(Calc!$E1720,2)&amp;Calc!$R1720&amp;"|"&amp;"1"&amp;RIGHT("00000"&amp;1712,5))</f>
        <v/>
      </c>
      <c r="C1717">
        <f>IF($B1717="","",COUNTIFS(LdgPartyA,$A1717,LdgKeyA,"&lt;"&amp;$B1717)+COUNTIFS(LdgPartyB,$A1717,LdgKeyB,"&lt;"&amp;$B1717)+1)</f>
        <v/>
      </c>
      <c r="D1717">
        <f>IF($C1717="","",$A1717&amp;"|"&amp;RIGHT("000000"&amp;$C1717,6))</f>
        <v/>
      </c>
      <c r="F1717">
        <f>IF(Sync!$AJ1717="","",Sync!$AJ1717)</f>
        <v/>
      </c>
      <c r="G1717">
        <f>IF($F1717="","",IF(Sync!$AG1717="","",IF(ISNUMBER(Sync!$AG1717),IF(AND(Sync!$AG1717&gt;=10000101,Sync!$AG1717&lt;=99991231),INT(Sync!$AG1717/10000),""),IFERROR(VALUE(TRIM(LEFT(Sync!$AG1717,FIND("/",Sync!$AG1717)-1))),""))))</f>
        <v/>
      </c>
      <c r="H1717">
        <f>IF(OR($F1717="",$G1717=""),"",IF(ISNUMBER(Sync!$AG1717),INT(MOD(Sync!$AG1717,10000)/100),IFERROR(VALUE(TRIM(LEFT(MID(Sync!$AG1717,FIND("/",Sync!$AG1717)+1,20),FIND("/",MID(Sync!$AG1717,FIND("/",Sync!$AG1717)+1,20))-1))),"")))</f>
        <v/>
      </c>
      <c r="I1717">
        <f>IF(OR($F1717="",$G1717=""),"",IF(ISNUMBER(Sync!$AG1717),MOD(Sync!$AG1717,100),IFERROR(VALUE(TRIM(MID(MID(Sync!$AG1717,FIND("/",Sync!$AG1717)+1,20),FIND("/",MID(Sync!$AG1717,FIND("/",Sync!$AG1717)+1,20))+1,20))),"")))</f>
        <v/>
      </c>
      <c r="J1717">
        <f>IF($F1717="","",IF(OR($G1717="",$H1717="",$I1717="",$G1717&lt;1300,$G1717&gt;1500,$H1717&lt;1,$H1717&gt;12,$I1717&lt;1,$I1717&gt;31),"نامعتبر",RIGHT("0000"&amp;$G1717,4)&amp;"/"&amp;RIGHT("00"&amp;$H1717,2)&amp;"/"&amp;RIGHT("00"&amp;$I1717,2)))</f>
        <v/>
      </c>
      <c r="K1717">
        <f>IF(OR($F1717="",$J1717="",$J1717="نامعتبر"),"",LEFT($J1717,4)&amp;MID($J1717,6,2)&amp;RIGHT($J1717,2)&amp;$N1717&amp;"|"&amp;"2"&amp;RIGHT("00000"&amp;1712,5))</f>
        <v/>
      </c>
      <c r="L1717">
        <f>IF($K1717="","",COUNTIFS(LdgPartyA,$F1717,LdgKeyA,"&lt;"&amp;$K1717)+COUNTIFS(LdgPartyB,$F1717,LdgKeyB,"&lt;"&amp;$K1717)+1)</f>
        <v/>
      </c>
      <c r="M1717">
        <f>IF($L1717="","",$F1717&amp;"|"&amp;RIGHT("000000"&amp;$L1717,6))</f>
        <v/>
      </c>
      <c r="N1717">
        <f>IF($F1717="","",IF(Sync!$AH1717="","0000",IF(AND(ISNUMBER(Sync!$AH1717),Sync!$AH1717&gt;=0,Sync!$AH1717&lt;1),RIGHT("00"&amp;HOUR(Sync!$AH1717),2)&amp;RIGHT("00"&amp;MINUTE(Sync!$AH1717),2),IFERROR(RIGHT("00"&amp;VALUE(LEFT(Sync!$AH1717,FIND(":",Sync!$AH1717)-1)),2)&amp;RIGHT("00"&amp;VALUE(MID(Sync!$AH1717,FIND(":",Sync!$AH1717)+1,2)),2),"0000"))))</f>
        <v/>
      </c>
    </row>
    <row r="1718">
      <c r="A1718">
        <f>IF(OR(Calc!$E1721="",Calc!$E1721="نامعتبر",Calc!$G1721="",Calc!$I1721&lt;&gt;"خرید"),"",Calc!$G1721)</f>
        <v/>
      </c>
      <c r="B1718">
        <f>IF($A1718="","",LEFT(Calc!$E1721,4)&amp;MID(Calc!$E1721,6,2)&amp;RIGHT(Calc!$E1721,2)&amp;Calc!$R1721&amp;"|"&amp;"1"&amp;RIGHT("00000"&amp;1713,5))</f>
        <v/>
      </c>
      <c r="C1718">
        <f>IF($B1718="","",COUNTIFS(LdgPartyA,$A1718,LdgKeyA,"&lt;"&amp;$B1718)+COUNTIFS(LdgPartyB,$A1718,LdgKeyB,"&lt;"&amp;$B1718)+1)</f>
        <v/>
      </c>
      <c r="D1718">
        <f>IF($C1718="","",$A1718&amp;"|"&amp;RIGHT("000000"&amp;$C1718,6))</f>
        <v/>
      </c>
      <c r="F1718">
        <f>IF(Sync!$AJ1718="","",Sync!$AJ1718)</f>
        <v/>
      </c>
      <c r="G1718">
        <f>IF($F1718="","",IF(Sync!$AG1718="","",IF(ISNUMBER(Sync!$AG1718),IF(AND(Sync!$AG1718&gt;=10000101,Sync!$AG1718&lt;=99991231),INT(Sync!$AG1718/10000),""),IFERROR(VALUE(TRIM(LEFT(Sync!$AG1718,FIND("/",Sync!$AG1718)-1))),""))))</f>
        <v/>
      </c>
      <c r="H1718">
        <f>IF(OR($F1718="",$G1718=""),"",IF(ISNUMBER(Sync!$AG1718),INT(MOD(Sync!$AG1718,10000)/100),IFERROR(VALUE(TRIM(LEFT(MID(Sync!$AG1718,FIND("/",Sync!$AG1718)+1,20),FIND("/",MID(Sync!$AG1718,FIND("/",Sync!$AG1718)+1,20))-1))),"")))</f>
        <v/>
      </c>
      <c r="I1718">
        <f>IF(OR($F1718="",$G1718=""),"",IF(ISNUMBER(Sync!$AG1718),MOD(Sync!$AG1718,100),IFERROR(VALUE(TRIM(MID(MID(Sync!$AG1718,FIND("/",Sync!$AG1718)+1,20),FIND("/",MID(Sync!$AG1718,FIND("/",Sync!$AG1718)+1,20))+1,20))),"")))</f>
        <v/>
      </c>
      <c r="J1718">
        <f>IF($F1718="","",IF(OR($G1718="",$H1718="",$I1718="",$G1718&lt;1300,$G1718&gt;1500,$H1718&lt;1,$H1718&gt;12,$I1718&lt;1,$I1718&gt;31),"نامعتبر",RIGHT("0000"&amp;$G1718,4)&amp;"/"&amp;RIGHT("00"&amp;$H1718,2)&amp;"/"&amp;RIGHT("00"&amp;$I1718,2)))</f>
        <v/>
      </c>
      <c r="K1718">
        <f>IF(OR($F1718="",$J1718="",$J1718="نامعتبر"),"",LEFT($J1718,4)&amp;MID($J1718,6,2)&amp;RIGHT($J1718,2)&amp;$N1718&amp;"|"&amp;"2"&amp;RIGHT("00000"&amp;1713,5))</f>
        <v/>
      </c>
      <c r="L1718">
        <f>IF($K1718="","",COUNTIFS(LdgPartyA,$F1718,LdgKeyA,"&lt;"&amp;$K1718)+COUNTIFS(LdgPartyB,$F1718,LdgKeyB,"&lt;"&amp;$K1718)+1)</f>
        <v/>
      </c>
      <c r="M1718">
        <f>IF($L1718="","",$F1718&amp;"|"&amp;RIGHT("000000"&amp;$L1718,6))</f>
        <v/>
      </c>
      <c r="N1718">
        <f>IF($F1718="","",IF(Sync!$AH1718="","0000",IF(AND(ISNUMBER(Sync!$AH1718),Sync!$AH1718&gt;=0,Sync!$AH1718&lt;1),RIGHT("00"&amp;HOUR(Sync!$AH1718),2)&amp;RIGHT("00"&amp;MINUTE(Sync!$AH1718),2),IFERROR(RIGHT("00"&amp;VALUE(LEFT(Sync!$AH1718,FIND(":",Sync!$AH1718)-1)),2)&amp;RIGHT("00"&amp;VALUE(MID(Sync!$AH1718,FIND(":",Sync!$AH1718)+1,2)),2),"0000"))))</f>
        <v/>
      </c>
    </row>
    <row r="1719">
      <c r="A1719">
        <f>IF(OR(Calc!$E1722="",Calc!$E1722="نامعتبر",Calc!$G1722="",Calc!$I1722&lt;&gt;"خرید"),"",Calc!$G1722)</f>
        <v/>
      </c>
      <c r="B1719">
        <f>IF($A1719="","",LEFT(Calc!$E1722,4)&amp;MID(Calc!$E1722,6,2)&amp;RIGHT(Calc!$E1722,2)&amp;Calc!$R1722&amp;"|"&amp;"1"&amp;RIGHT("00000"&amp;1714,5))</f>
        <v/>
      </c>
      <c r="C1719">
        <f>IF($B1719="","",COUNTIFS(LdgPartyA,$A1719,LdgKeyA,"&lt;"&amp;$B1719)+COUNTIFS(LdgPartyB,$A1719,LdgKeyB,"&lt;"&amp;$B1719)+1)</f>
        <v/>
      </c>
      <c r="D1719">
        <f>IF($C1719="","",$A1719&amp;"|"&amp;RIGHT("000000"&amp;$C1719,6))</f>
        <v/>
      </c>
      <c r="F1719">
        <f>IF(Sync!$AJ1719="","",Sync!$AJ1719)</f>
        <v/>
      </c>
      <c r="G1719">
        <f>IF($F1719="","",IF(Sync!$AG1719="","",IF(ISNUMBER(Sync!$AG1719),IF(AND(Sync!$AG1719&gt;=10000101,Sync!$AG1719&lt;=99991231),INT(Sync!$AG1719/10000),""),IFERROR(VALUE(TRIM(LEFT(Sync!$AG1719,FIND("/",Sync!$AG1719)-1))),""))))</f>
        <v/>
      </c>
      <c r="H1719">
        <f>IF(OR($F1719="",$G1719=""),"",IF(ISNUMBER(Sync!$AG1719),INT(MOD(Sync!$AG1719,10000)/100),IFERROR(VALUE(TRIM(LEFT(MID(Sync!$AG1719,FIND("/",Sync!$AG1719)+1,20),FIND("/",MID(Sync!$AG1719,FIND("/",Sync!$AG1719)+1,20))-1))),"")))</f>
        <v/>
      </c>
      <c r="I1719">
        <f>IF(OR($F1719="",$G1719=""),"",IF(ISNUMBER(Sync!$AG1719),MOD(Sync!$AG1719,100),IFERROR(VALUE(TRIM(MID(MID(Sync!$AG1719,FIND("/",Sync!$AG1719)+1,20),FIND("/",MID(Sync!$AG1719,FIND("/",Sync!$AG1719)+1,20))+1,20))),"")))</f>
        <v/>
      </c>
      <c r="J1719">
        <f>IF($F1719="","",IF(OR($G1719="",$H1719="",$I1719="",$G1719&lt;1300,$G1719&gt;1500,$H1719&lt;1,$H1719&gt;12,$I1719&lt;1,$I1719&gt;31),"نامعتبر",RIGHT("0000"&amp;$G1719,4)&amp;"/"&amp;RIGHT("00"&amp;$H1719,2)&amp;"/"&amp;RIGHT("00"&amp;$I1719,2)))</f>
        <v/>
      </c>
      <c r="K1719">
        <f>IF(OR($F1719="",$J1719="",$J1719="نامعتبر"),"",LEFT($J1719,4)&amp;MID($J1719,6,2)&amp;RIGHT($J1719,2)&amp;$N1719&amp;"|"&amp;"2"&amp;RIGHT("00000"&amp;1714,5))</f>
        <v/>
      </c>
      <c r="L1719">
        <f>IF($K1719="","",COUNTIFS(LdgPartyA,$F1719,LdgKeyA,"&lt;"&amp;$K1719)+COUNTIFS(LdgPartyB,$F1719,LdgKeyB,"&lt;"&amp;$K1719)+1)</f>
        <v/>
      </c>
      <c r="M1719">
        <f>IF($L1719="","",$F1719&amp;"|"&amp;RIGHT("000000"&amp;$L1719,6))</f>
        <v/>
      </c>
      <c r="N1719">
        <f>IF($F1719="","",IF(Sync!$AH1719="","0000",IF(AND(ISNUMBER(Sync!$AH1719),Sync!$AH1719&gt;=0,Sync!$AH1719&lt;1),RIGHT("00"&amp;HOUR(Sync!$AH1719),2)&amp;RIGHT("00"&amp;MINUTE(Sync!$AH1719),2),IFERROR(RIGHT("00"&amp;VALUE(LEFT(Sync!$AH1719,FIND(":",Sync!$AH1719)-1)),2)&amp;RIGHT("00"&amp;VALUE(MID(Sync!$AH1719,FIND(":",Sync!$AH1719)+1,2)),2),"0000"))))</f>
        <v/>
      </c>
    </row>
    <row r="1720">
      <c r="A1720">
        <f>IF(OR(Calc!$E1723="",Calc!$E1723="نامعتبر",Calc!$G1723="",Calc!$I1723&lt;&gt;"خرید"),"",Calc!$G1723)</f>
        <v/>
      </c>
      <c r="B1720">
        <f>IF($A1720="","",LEFT(Calc!$E1723,4)&amp;MID(Calc!$E1723,6,2)&amp;RIGHT(Calc!$E1723,2)&amp;Calc!$R1723&amp;"|"&amp;"1"&amp;RIGHT("00000"&amp;1715,5))</f>
        <v/>
      </c>
      <c r="C1720">
        <f>IF($B1720="","",COUNTIFS(LdgPartyA,$A1720,LdgKeyA,"&lt;"&amp;$B1720)+COUNTIFS(LdgPartyB,$A1720,LdgKeyB,"&lt;"&amp;$B1720)+1)</f>
        <v/>
      </c>
      <c r="D1720">
        <f>IF($C1720="","",$A1720&amp;"|"&amp;RIGHT("000000"&amp;$C1720,6))</f>
        <v/>
      </c>
      <c r="F1720">
        <f>IF(Sync!$AJ1720="","",Sync!$AJ1720)</f>
        <v/>
      </c>
      <c r="G1720">
        <f>IF($F1720="","",IF(Sync!$AG1720="","",IF(ISNUMBER(Sync!$AG1720),IF(AND(Sync!$AG1720&gt;=10000101,Sync!$AG1720&lt;=99991231),INT(Sync!$AG1720/10000),""),IFERROR(VALUE(TRIM(LEFT(Sync!$AG1720,FIND("/",Sync!$AG1720)-1))),""))))</f>
        <v/>
      </c>
      <c r="H1720">
        <f>IF(OR($F1720="",$G1720=""),"",IF(ISNUMBER(Sync!$AG1720),INT(MOD(Sync!$AG1720,10000)/100),IFERROR(VALUE(TRIM(LEFT(MID(Sync!$AG1720,FIND("/",Sync!$AG1720)+1,20),FIND("/",MID(Sync!$AG1720,FIND("/",Sync!$AG1720)+1,20))-1))),"")))</f>
        <v/>
      </c>
      <c r="I1720">
        <f>IF(OR($F1720="",$G1720=""),"",IF(ISNUMBER(Sync!$AG1720),MOD(Sync!$AG1720,100),IFERROR(VALUE(TRIM(MID(MID(Sync!$AG1720,FIND("/",Sync!$AG1720)+1,20),FIND("/",MID(Sync!$AG1720,FIND("/",Sync!$AG1720)+1,20))+1,20))),"")))</f>
        <v/>
      </c>
      <c r="J1720">
        <f>IF($F1720="","",IF(OR($G1720="",$H1720="",$I1720="",$G1720&lt;1300,$G1720&gt;1500,$H1720&lt;1,$H1720&gt;12,$I1720&lt;1,$I1720&gt;31),"نامعتبر",RIGHT("0000"&amp;$G1720,4)&amp;"/"&amp;RIGHT("00"&amp;$H1720,2)&amp;"/"&amp;RIGHT("00"&amp;$I1720,2)))</f>
        <v/>
      </c>
      <c r="K1720">
        <f>IF(OR($F1720="",$J1720="",$J1720="نامعتبر"),"",LEFT($J1720,4)&amp;MID($J1720,6,2)&amp;RIGHT($J1720,2)&amp;$N1720&amp;"|"&amp;"2"&amp;RIGHT("00000"&amp;1715,5))</f>
        <v/>
      </c>
      <c r="L1720">
        <f>IF($K1720="","",COUNTIFS(LdgPartyA,$F1720,LdgKeyA,"&lt;"&amp;$K1720)+COUNTIFS(LdgPartyB,$F1720,LdgKeyB,"&lt;"&amp;$K1720)+1)</f>
        <v/>
      </c>
      <c r="M1720">
        <f>IF($L1720="","",$F1720&amp;"|"&amp;RIGHT("000000"&amp;$L1720,6))</f>
        <v/>
      </c>
      <c r="N1720">
        <f>IF($F1720="","",IF(Sync!$AH1720="","0000",IF(AND(ISNUMBER(Sync!$AH1720),Sync!$AH1720&gt;=0,Sync!$AH1720&lt;1),RIGHT("00"&amp;HOUR(Sync!$AH1720),2)&amp;RIGHT("00"&amp;MINUTE(Sync!$AH1720),2),IFERROR(RIGHT("00"&amp;VALUE(LEFT(Sync!$AH1720,FIND(":",Sync!$AH1720)-1)),2)&amp;RIGHT("00"&amp;VALUE(MID(Sync!$AH1720,FIND(":",Sync!$AH1720)+1,2)),2),"0000"))))</f>
        <v/>
      </c>
    </row>
    <row r="1721">
      <c r="A1721">
        <f>IF(OR(Calc!$E1724="",Calc!$E1724="نامعتبر",Calc!$G1724="",Calc!$I1724&lt;&gt;"خرید"),"",Calc!$G1724)</f>
        <v/>
      </c>
      <c r="B1721">
        <f>IF($A1721="","",LEFT(Calc!$E1724,4)&amp;MID(Calc!$E1724,6,2)&amp;RIGHT(Calc!$E1724,2)&amp;Calc!$R1724&amp;"|"&amp;"1"&amp;RIGHT("00000"&amp;1716,5))</f>
        <v/>
      </c>
      <c r="C1721">
        <f>IF($B1721="","",COUNTIFS(LdgPartyA,$A1721,LdgKeyA,"&lt;"&amp;$B1721)+COUNTIFS(LdgPartyB,$A1721,LdgKeyB,"&lt;"&amp;$B1721)+1)</f>
        <v/>
      </c>
      <c r="D1721">
        <f>IF($C1721="","",$A1721&amp;"|"&amp;RIGHT("000000"&amp;$C1721,6))</f>
        <v/>
      </c>
      <c r="F1721">
        <f>IF(Sync!$AJ1721="","",Sync!$AJ1721)</f>
        <v/>
      </c>
      <c r="G1721">
        <f>IF($F1721="","",IF(Sync!$AG1721="","",IF(ISNUMBER(Sync!$AG1721),IF(AND(Sync!$AG1721&gt;=10000101,Sync!$AG1721&lt;=99991231),INT(Sync!$AG1721/10000),""),IFERROR(VALUE(TRIM(LEFT(Sync!$AG1721,FIND("/",Sync!$AG1721)-1))),""))))</f>
        <v/>
      </c>
      <c r="H1721">
        <f>IF(OR($F1721="",$G1721=""),"",IF(ISNUMBER(Sync!$AG1721),INT(MOD(Sync!$AG1721,10000)/100),IFERROR(VALUE(TRIM(LEFT(MID(Sync!$AG1721,FIND("/",Sync!$AG1721)+1,20),FIND("/",MID(Sync!$AG1721,FIND("/",Sync!$AG1721)+1,20))-1))),"")))</f>
        <v/>
      </c>
      <c r="I1721">
        <f>IF(OR($F1721="",$G1721=""),"",IF(ISNUMBER(Sync!$AG1721),MOD(Sync!$AG1721,100),IFERROR(VALUE(TRIM(MID(MID(Sync!$AG1721,FIND("/",Sync!$AG1721)+1,20),FIND("/",MID(Sync!$AG1721,FIND("/",Sync!$AG1721)+1,20))+1,20))),"")))</f>
        <v/>
      </c>
      <c r="J1721">
        <f>IF($F1721="","",IF(OR($G1721="",$H1721="",$I1721="",$G1721&lt;1300,$G1721&gt;1500,$H1721&lt;1,$H1721&gt;12,$I1721&lt;1,$I1721&gt;31),"نامعتبر",RIGHT("0000"&amp;$G1721,4)&amp;"/"&amp;RIGHT("00"&amp;$H1721,2)&amp;"/"&amp;RIGHT("00"&amp;$I1721,2)))</f>
        <v/>
      </c>
      <c r="K1721">
        <f>IF(OR($F1721="",$J1721="",$J1721="نامعتبر"),"",LEFT($J1721,4)&amp;MID($J1721,6,2)&amp;RIGHT($J1721,2)&amp;$N1721&amp;"|"&amp;"2"&amp;RIGHT("00000"&amp;1716,5))</f>
        <v/>
      </c>
      <c r="L1721">
        <f>IF($K1721="","",COUNTIFS(LdgPartyA,$F1721,LdgKeyA,"&lt;"&amp;$K1721)+COUNTIFS(LdgPartyB,$F1721,LdgKeyB,"&lt;"&amp;$K1721)+1)</f>
        <v/>
      </c>
      <c r="M1721">
        <f>IF($L1721="","",$F1721&amp;"|"&amp;RIGHT("000000"&amp;$L1721,6))</f>
        <v/>
      </c>
      <c r="N1721">
        <f>IF($F1721="","",IF(Sync!$AH1721="","0000",IF(AND(ISNUMBER(Sync!$AH1721),Sync!$AH1721&gt;=0,Sync!$AH1721&lt;1),RIGHT("00"&amp;HOUR(Sync!$AH1721),2)&amp;RIGHT("00"&amp;MINUTE(Sync!$AH1721),2),IFERROR(RIGHT("00"&amp;VALUE(LEFT(Sync!$AH1721,FIND(":",Sync!$AH1721)-1)),2)&amp;RIGHT("00"&amp;VALUE(MID(Sync!$AH1721,FIND(":",Sync!$AH1721)+1,2)),2),"0000"))))</f>
        <v/>
      </c>
    </row>
    <row r="1722">
      <c r="A1722">
        <f>IF(OR(Calc!$E1725="",Calc!$E1725="نامعتبر",Calc!$G1725="",Calc!$I1725&lt;&gt;"خرید"),"",Calc!$G1725)</f>
        <v/>
      </c>
      <c r="B1722">
        <f>IF($A1722="","",LEFT(Calc!$E1725,4)&amp;MID(Calc!$E1725,6,2)&amp;RIGHT(Calc!$E1725,2)&amp;Calc!$R1725&amp;"|"&amp;"1"&amp;RIGHT("00000"&amp;1717,5))</f>
        <v/>
      </c>
      <c r="C1722">
        <f>IF($B1722="","",COUNTIFS(LdgPartyA,$A1722,LdgKeyA,"&lt;"&amp;$B1722)+COUNTIFS(LdgPartyB,$A1722,LdgKeyB,"&lt;"&amp;$B1722)+1)</f>
        <v/>
      </c>
      <c r="D1722">
        <f>IF($C1722="","",$A1722&amp;"|"&amp;RIGHT("000000"&amp;$C1722,6))</f>
        <v/>
      </c>
      <c r="F1722">
        <f>IF(Sync!$AJ1722="","",Sync!$AJ1722)</f>
        <v/>
      </c>
      <c r="G1722">
        <f>IF($F1722="","",IF(Sync!$AG1722="","",IF(ISNUMBER(Sync!$AG1722),IF(AND(Sync!$AG1722&gt;=10000101,Sync!$AG1722&lt;=99991231),INT(Sync!$AG1722/10000),""),IFERROR(VALUE(TRIM(LEFT(Sync!$AG1722,FIND("/",Sync!$AG1722)-1))),""))))</f>
        <v/>
      </c>
      <c r="H1722">
        <f>IF(OR($F1722="",$G1722=""),"",IF(ISNUMBER(Sync!$AG1722),INT(MOD(Sync!$AG1722,10000)/100),IFERROR(VALUE(TRIM(LEFT(MID(Sync!$AG1722,FIND("/",Sync!$AG1722)+1,20),FIND("/",MID(Sync!$AG1722,FIND("/",Sync!$AG1722)+1,20))-1))),"")))</f>
        <v/>
      </c>
      <c r="I1722">
        <f>IF(OR($F1722="",$G1722=""),"",IF(ISNUMBER(Sync!$AG1722),MOD(Sync!$AG1722,100),IFERROR(VALUE(TRIM(MID(MID(Sync!$AG1722,FIND("/",Sync!$AG1722)+1,20),FIND("/",MID(Sync!$AG1722,FIND("/",Sync!$AG1722)+1,20))+1,20))),"")))</f>
        <v/>
      </c>
      <c r="J1722">
        <f>IF($F1722="","",IF(OR($G1722="",$H1722="",$I1722="",$G1722&lt;1300,$G1722&gt;1500,$H1722&lt;1,$H1722&gt;12,$I1722&lt;1,$I1722&gt;31),"نامعتبر",RIGHT("0000"&amp;$G1722,4)&amp;"/"&amp;RIGHT("00"&amp;$H1722,2)&amp;"/"&amp;RIGHT("00"&amp;$I1722,2)))</f>
        <v/>
      </c>
      <c r="K1722">
        <f>IF(OR($F1722="",$J1722="",$J1722="نامعتبر"),"",LEFT($J1722,4)&amp;MID($J1722,6,2)&amp;RIGHT($J1722,2)&amp;$N1722&amp;"|"&amp;"2"&amp;RIGHT("00000"&amp;1717,5))</f>
        <v/>
      </c>
      <c r="L1722">
        <f>IF($K1722="","",COUNTIFS(LdgPartyA,$F1722,LdgKeyA,"&lt;"&amp;$K1722)+COUNTIFS(LdgPartyB,$F1722,LdgKeyB,"&lt;"&amp;$K1722)+1)</f>
        <v/>
      </c>
      <c r="M1722">
        <f>IF($L1722="","",$F1722&amp;"|"&amp;RIGHT("000000"&amp;$L1722,6))</f>
        <v/>
      </c>
      <c r="N1722">
        <f>IF($F1722="","",IF(Sync!$AH1722="","0000",IF(AND(ISNUMBER(Sync!$AH1722),Sync!$AH1722&gt;=0,Sync!$AH1722&lt;1),RIGHT("00"&amp;HOUR(Sync!$AH1722),2)&amp;RIGHT("00"&amp;MINUTE(Sync!$AH1722),2),IFERROR(RIGHT("00"&amp;VALUE(LEFT(Sync!$AH1722,FIND(":",Sync!$AH1722)-1)),2)&amp;RIGHT("00"&amp;VALUE(MID(Sync!$AH1722,FIND(":",Sync!$AH1722)+1,2)),2),"0000"))))</f>
        <v/>
      </c>
    </row>
    <row r="1723">
      <c r="A1723">
        <f>IF(OR(Calc!$E1726="",Calc!$E1726="نامعتبر",Calc!$G1726="",Calc!$I1726&lt;&gt;"خرید"),"",Calc!$G1726)</f>
        <v/>
      </c>
      <c r="B1723">
        <f>IF($A1723="","",LEFT(Calc!$E1726,4)&amp;MID(Calc!$E1726,6,2)&amp;RIGHT(Calc!$E1726,2)&amp;Calc!$R1726&amp;"|"&amp;"1"&amp;RIGHT("00000"&amp;1718,5))</f>
        <v/>
      </c>
      <c r="C1723">
        <f>IF($B1723="","",COUNTIFS(LdgPartyA,$A1723,LdgKeyA,"&lt;"&amp;$B1723)+COUNTIFS(LdgPartyB,$A1723,LdgKeyB,"&lt;"&amp;$B1723)+1)</f>
        <v/>
      </c>
      <c r="D1723">
        <f>IF($C1723="","",$A1723&amp;"|"&amp;RIGHT("000000"&amp;$C1723,6))</f>
        <v/>
      </c>
      <c r="F1723">
        <f>IF(Sync!$AJ1723="","",Sync!$AJ1723)</f>
        <v/>
      </c>
      <c r="G1723">
        <f>IF($F1723="","",IF(Sync!$AG1723="","",IF(ISNUMBER(Sync!$AG1723),IF(AND(Sync!$AG1723&gt;=10000101,Sync!$AG1723&lt;=99991231),INT(Sync!$AG1723/10000),""),IFERROR(VALUE(TRIM(LEFT(Sync!$AG1723,FIND("/",Sync!$AG1723)-1))),""))))</f>
        <v/>
      </c>
      <c r="H1723">
        <f>IF(OR($F1723="",$G1723=""),"",IF(ISNUMBER(Sync!$AG1723),INT(MOD(Sync!$AG1723,10000)/100),IFERROR(VALUE(TRIM(LEFT(MID(Sync!$AG1723,FIND("/",Sync!$AG1723)+1,20),FIND("/",MID(Sync!$AG1723,FIND("/",Sync!$AG1723)+1,20))-1))),"")))</f>
        <v/>
      </c>
      <c r="I1723">
        <f>IF(OR($F1723="",$G1723=""),"",IF(ISNUMBER(Sync!$AG1723),MOD(Sync!$AG1723,100),IFERROR(VALUE(TRIM(MID(MID(Sync!$AG1723,FIND("/",Sync!$AG1723)+1,20),FIND("/",MID(Sync!$AG1723,FIND("/",Sync!$AG1723)+1,20))+1,20))),"")))</f>
        <v/>
      </c>
      <c r="J1723">
        <f>IF($F1723="","",IF(OR($G1723="",$H1723="",$I1723="",$G1723&lt;1300,$G1723&gt;1500,$H1723&lt;1,$H1723&gt;12,$I1723&lt;1,$I1723&gt;31),"نامعتبر",RIGHT("0000"&amp;$G1723,4)&amp;"/"&amp;RIGHT("00"&amp;$H1723,2)&amp;"/"&amp;RIGHT("00"&amp;$I1723,2)))</f>
        <v/>
      </c>
      <c r="K1723">
        <f>IF(OR($F1723="",$J1723="",$J1723="نامعتبر"),"",LEFT($J1723,4)&amp;MID($J1723,6,2)&amp;RIGHT($J1723,2)&amp;$N1723&amp;"|"&amp;"2"&amp;RIGHT("00000"&amp;1718,5))</f>
        <v/>
      </c>
      <c r="L1723">
        <f>IF($K1723="","",COUNTIFS(LdgPartyA,$F1723,LdgKeyA,"&lt;"&amp;$K1723)+COUNTIFS(LdgPartyB,$F1723,LdgKeyB,"&lt;"&amp;$K1723)+1)</f>
        <v/>
      </c>
      <c r="M1723">
        <f>IF($L1723="","",$F1723&amp;"|"&amp;RIGHT("000000"&amp;$L1723,6))</f>
        <v/>
      </c>
      <c r="N1723">
        <f>IF($F1723="","",IF(Sync!$AH1723="","0000",IF(AND(ISNUMBER(Sync!$AH1723),Sync!$AH1723&gt;=0,Sync!$AH1723&lt;1),RIGHT("00"&amp;HOUR(Sync!$AH1723),2)&amp;RIGHT("00"&amp;MINUTE(Sync!$AH1723),2),IFERROR(RIGHT("00"&amp;VALUE(LEFT(Sync!$AH1723,FIND(":",Sync!$AH1723)-1)),2)&amp;RIGHT("00"&amp;VALUE(MID(Sync!$AH1723,FIND(":",Sync!$AH1723)+1,2)),2),"0000"))))</f>
        <v/>
      </c>
    </row>
    <row r="1724">
      <c r="A1724">
        <f>IF(OR(Calc!$E1727="",Calc!$E1727="نامعتبر",Calc!$G1727="",Calc!$I1727&lt;&gt;"خرید"),"",Calc!$G1727)</f>
        <v/>
      </c>
      <c r="B1724">
        <f>IF($A1724="","",LEFT(Calc!$E1727,4)&amp;MID(Calc!$E1727,6,2)&amp;RIGHT(Calc!$E1727,2)&amp;Calc!$R1727&amp;"|"&amp;"1"&amp;RIGHT("00000"&amp;1719,5))</f>
        <v/>
      </c>
      <c r="C1724">
        <f>IF($B1724="","",COUNTIFS(LdgPartyA,$A1724,LdgKeyA,"&lt;"&amp;$B1724)+COUNTIFS(LdgPartyB,$A1724,LdgKeyB,"&lt;"&amp;$B1724)+1)</f>
        <v/>
      </c>
      <c r="D1724">
        <f>IF($C1724="","",$A1724&amp;"|"&amp;RIGHT("000000"&amp;$C1724,6))</f>
        <v/>
      </c>
      <c r="F1724">
        <f>IF(Sync!$AJ1724="","",Sync!$AJ1724)</f>
        <v/>
      </c>
      <c r="G1724">
        <f>IF($F1724="","",IF(Sync!$AG1724="","",IF(ISNUMBER(Sync!$AG1724),IF(AND(Sync!$AG1724&gt;=10000101,Sync!$AG1724&lt;=99991231),INT(Sync!$AG1724/10000),""),IFERROR(VALUE(TRIM(LEFT(Sync!$AG1724,FIND("/",Sync!$AG1724)-1))),""))))</f>
        <v/>
      </c>
      <c r="H1724">
        <f>IF(OR($F1724="",$G1724=""),"",IF(ISNUMBER(Sync!$AG1724),INT(MOD(Sync!$AG1724,10000)/100),IFERROR(VALUE(TRIM(LEFT(MID(Sync!$AG1724,FIND("/",Sync!$AG1724)+1,20),FIND("/",MID(Sync!$AG1724,FIND("/",Sync!$AG1724)+1,20))-1))),"")))</f>
        <v/>
      </c>
      <c r="I1724">
        <f>IF(OR($F1724="",$G1724=""),"",IF(ISNUMBER(Sync!$AG1724),MOD(Sync!$AG1724,100),IFERROR(VALUE(TRIM(MID(MID(Sync!$AG1724,FIND("/",Sync!$AG1724)+1,20),FIND("/",MID(Sync!$AG1724,FIND("/",Sync!$AG1724)+1,20))+1,20))),"")))</f>
        <v/>
      </c>
      <c r="J1724">
        <f>IF($F1724="","",IF(OR($G1724="",$H1724="",$I1724="",$G1724&lt;1300,$G1724&gt;1500,$H1724&lt;1,$H1724&gt;12,$I1724&lt;1,$I1724&gt;31),"نامعتبر",RIGHT("0000"&amp;$G1724,4)&amp;"/"&amp;RIGHT("00"&amp;$H1724,2)&amp;"/"&amp;RIGHT("00"&amp;$I1724,2)))</f>
        <v/>
      </c>
      <c r="K1724">
        <f>IF(OR($F1724="",$J1724="",$J1724="نامعتبر"),"",LEFT($J1724,4)&amp;MID($J1724,6,2)&amp;RIGHT($J1724,2)&amp;$N1724&amp;"|"&amp;"2"&amp;RIGHT("00000"&amp;1719,5))</f>
        <v/>
      </c>
      <c r="L1724">
        <f>IF($K1724="","",COUNTIFS(LdgPartyA,$F1724,LdgKeyA,"&lt;"&amp;$K1724)+COUNTIFS(LdgPartyB,$F1724,LdgKeyB,"&lt;"&amp;$K1724)+1)</f>
        <v/>
      </c>
      <c r="M1724">
        <f>IF($L1724="","",$F1724&amp;"|"&amp;RIGHT("000000"&amp;$L1724,6))</f>
        <v/>
      </c>
      <c r="N1724">
        <f>IF($F1724="","",IF(Sync!$AH1724="","0000",IF(AND(ISNUMBER(Sync!$AH1724),Sync!$AH1724&gt;=0,Sync!$AH1724&lt;1),RIGHT("00"&amp;HOUR(Sync!$AH1724),2)&amp;RIGHT("00"&amp;MINUTE(Sync!$AH1724),2),IFERROR(RIGHT("00"&amp;VALUE(LEFT(Sync!$AH1724,FIND(":",Sync!$AH1724)-1)),2)&amp;RIGHT("00"&amp;VALUE(MID(Sync!$AH1724,FIND(":",Sync!$AH1724)+1,2)),2),"0000"))))</f>
        <v/>
      </c>
    </row>
    <row r="1725">
      <c r="A1725">
        <f>IF(OR(Calc!$E1728="",Calc!$E1728="نامعتبر",Calc!$G1728="",Calc!$I1728&lt;&gt;"خرید"),"",Calc!$G1728)</f>
        <v/>
      </c>
      <c r="B1725">
        <f>IF($A1725="","",LEFT(Calc!$E1728,4)&amp;MID(Calc!$E1728,6,2)&amp;RIGHT(Calc!$E1728,2)&amp;Calc!$R1728&amp;"|"&amp;"1"&amp;RIGHT("00000"&amp;1720,5))</f>
        <v/>
      </c>
      <c r="C1725">
        <f>IF($B1725="","",COUNTIFS(LdgPartyA,$A1725,LdgKeyA,"&lt;"&amp;$B1725)+COUNTIFS(LdgPartyB,$A1725,LdgKeyB,"&lt;"&amp;$B1725)+1)</f>
        <v/>
      </c>
      <c r="D1725">
        <f>IF($C1725="","",$A1725&amp;"|"&amp;RIGHT("000000"&amp;$C1725,6))</f>
        <v/>
      </c>
      <c r="F1725">
        <f>IF(Sync!$AJ1725="","",Sync!$AJ1725)</f>
        <v/>
      </c>
      <c r="G1725">
        <f>IF($F1725="","",IF(Sync!$AG1725="","",IF(ISNUMBER(Sync!$AG1725),IF(AND(Sync!$AG1725&gt;=10000101,Sync!$AG1725&lt;=99991231),INT(Sync!$AG1725/10000),""),IFERROR(VALUE(TRIM(LEFT(Sync!$AG1725,FIND("/",Sync!$AG1725)-1))),""))))</f>
        <v/>
      </c>
      <c r="H1725">
        <f>IF(OR($F1725="",$G1725=""),"",IF(ISNUMBER(Sync!$AG1725),INT(MOD(Sync!$AG1725,10000)/100),IFERROR(VALUE(TRIM(LEFT(MID(Sync!$AG1725,FIND("/",Sync!$AG1725)+1,20),FIND("/",MID(Sync!$AG1725,FIND("/",Sync!$AG1725)+1,20))-1))),"")))</f>
        <v/>
      </c>
      <c r="I1725">
        <f>IF(OR($F1725="",$G1725=""),"",IF(ISNUMBER(Sync!$AG1725),MOD(Sync!$AG1725,100),IFERROR(VALUE(TRIM(MID(MID(Sync!$AG1725,FIND("/",Sync!$AG1725)+1,20),FIND("/",MID(Sync!$AG1725,FIND("/",Sync!$AG1725)+1,20))+1,20))),"")))</f>
        <v/>
      </c>
      <c r="J1725">
        <f>IF($F1725="","",IF(OR($G1725="",$H1725="",$I1725="",$G1725&lt;1300,$G1725&gt;1500,$H1725&lt;1,$H1725&gt;12,$I1725&lt;1,$I1725&gt;31),"نامعتبر",RIGHT("0000"&amp;$G1725,4)&amp;"/"&amp;RIGHT("00"&amp;$H1725,2)&amp;"/"&amp;RIGHT("00"&amp;$I1725,2)))</f>
        <v/>
      </c>
      <c r="K1725">
        <f>IF(OR($F1725="",$J1725="",$J1725="نامعتبر"),"",LEFT($J1725,4)&amp;MID($J1725,6,2)&amp;RIGHT($J1725,2)&amp;$N1725&amp;"|"&amp;"2"&amp;RIGHT("00000"&amp;1720,5))</f>
        <v/>
      </c>
      <c r="L1725">
        <f>IF($K1725="","",COUNTIFS(LdgPartyA,$F1725,LdgKeyA,"&lt;"&amp;$K1725)+COUNTIFS(LdgPartyB,$F1725,LdgKeyB,"&lt;"&amp;$K1725)+1)</f>
        <v/>
      </c>
      <c r="M1725">
        <f>IF($L1725="","",$F1725&amp;"|"&amp;RIGHT("000000"&amp;$L1725,6))</f>
        <v/>
      </c>
      <c r="N1725">
        <f>IF($F1725="","",IF(Sync!$AH1725="","0000",IF(AND(ISNUMBER(Sync!$AH1725),Sync!$AH1725&gt;=0,Sync!$AH1725&lt;1),RIGHT("00"&amp;HOUR(Sync!$AH1725),2)&amp;RIGHT("00"&amp;MINUTE(Sync!$AH1725),2),IFERROR(RIGHT("00"&amp;VALUE(LEFT(Sync!$AH1725,FIND(":",Sync!$AH1725)-1)),2)&amp;RIGHT("00"&amp;VALUE(MID(Sync!$AH1725,FIND(":",Sync!$AH1725)+1,2)),2),"0000"))))</f>
        <v/>
      </c>
    </row>
    <row r="1726">
      <c r="A1726">
        <f>IF(OR(Calc!$E1729="",Calc!$E1729="نامعتبر",Calc!$G1729="",Calc!$I1729&lt;&gt;"خرید"),"",Calc!$G1729)</f>
        <v/>
      </c>
      <c r="B1726">
        <f>IF($A1726="","",LEFT(Calc!$E1729,4)&amp;MID(Calc!$E1729,6,2)&amp;RIGHT(Calc!$E1729,2)&amp;Calc!$R1729&amp;"|"&amp;"1"&amp;RIGHT("00000"&amp;1721,5))</f>
        <v/>
      </c>
      <c r="C1726">
        <f>IF($B1726="","",COUNTIFS(LdgPartyA,$A1726,LdgKeyA,"&lt;"&amp;$B1726)+COUNTIFS(LdgPartyB,$A1726,LdgKeyB,"&lt;"&amp;$B1726)+1)</f>
        <v/>
      </c>
      <c r="D1726">
        <f>IF($C1726="","",$A1726&amp;"|"&amp;RIGHT("000000"&amp;$C1726,6))</f>
        <v/>
      </c>
      <c r="F1726">
        <f>IF(Sync!$AJ1726="","",Sync!$AJ1726)</f>
        <v/>
      </c>
      <c r="G1726">
        <f>IF($F1726="","",IF(Sync!$AG1726="","",IF(ISNUMBER(Sync!$AG1726),IF(AND(Sync!$AG1726&gt;=10000101,Sync!$AG1726&lt;=99991231),INT(Sync!$AG1726/10000),""),IFERROR(VALUE(TRIM(LEFT(Sync!$AG1726,FIND("/",Sync!$AG1726)-1))),""))))</f>
        <v/>
      </c>
      <c r="H1726">
        <f>IF(OR($F1726="",$G1726=""),"",IF(ISNUMBER(Sync!$AG1726),INT(MOD(Sync!$AG1726,10000)/100),IFERROR(VALUE(TRIM(LEFT(MID(Sync!$AG1726,FIND("/",Sync!$AG1726)+1,20),FIND("/",MID(Sync!$AG1726,FIND("/",Sync!$AG1726)+1,20))-1))),"")))</f>
        <v/>
      </c>
      <c r="I1726">
        <f>IF(OR($F1726="",$G1726=""),"",IF(ISNUMBER(Sync!$AG1726),MOD(Sync!$AG1726,100),IFERROR(VALUE(TRIM(MID(MID(Sync!$AG1726,FIND("/",Sync!$AG1726)+1,20),FIND("/",MID(Sync!$AG1726,FIND("/",Sync!$AG1726)+1,20))+1,20))),"")))</f>
        <v/>
      </c>
      <c r="J1726">
        <f>IF($F1726="","",IF(OR($G1726="",$H1726="",$I1726="",$G1726&lt;1300,$G1726&gt;1500,$H1726&lt;1,$H1726&gt;12,$I1726&lt;1,$I1726&gt;31),"نامعتبر",RIGHT("0000"&amp;$G1726,4)&amp;"/"&amp;RIGHT("00"&amp;$H1726,2)&amp;"/"&amp;RIGHT("00"&amp;$I1726,2)))</f>
        <v/>
      </c>
      <c r="K1726">
        <f>IF(OR($F1726="",$J1726="",$J1726="نامعتبر"),"",LEFT($J1726,4)&amp;MID($J1726,6,2)&amp;RIGHT($J1726,2)&amp;$N1726&amp;"|"&amp;"2"&amp;RIGHT("00000"&amp;1721,5))</f>
        <v/>
      </c>
      <c r="L1726">
        <f>IF($K1726="","",COUNTIFS(LdgPartyA,$F1726,LdgKeyA,"&lt;"&amp;$K1726)+COUNTIFS(LdgPartyB,$F1726,LdgKeyB,"&lt;"&amp;$K1726)+1)</f>
        <v/>
      </c>
      <c r="M1726">
        <f>IF($L1726="","",$F1726&amp;"|"&amp;RIGHT("000000"&amp;$L1726,6))</f>
        <v/>
      </c>
      <c r="N1726">
        <f>IF($F1726="","",IF(Sync!$AH1726="","0000",IF(AND(ISNUMBER(Sync!$AH1726),Sync!$AH1726&gt;=0,Sync!$AH1726&lt;1),RIGHT("00"&amp;HOUR(Sync!$AH1726),2)&amp;RIGHT("00"&amp;MINUTE(Sync!$AH1726),2),IFERROR(RIGHT("00"&amp;VALUE(LEFT(Sync!$AH1726,FIND(":",Sync!$AH1726)-1)),2)&amp;RIGHT("00"&amp;VALUE(MID(Sync!$AH1726,FIND(":",Sync!$AH1726)+1,2)),2),"0000"))))</f>
        <v/>
      </c>
    </row>
    <row r="1727">
      <c r="A1727">
        <f>IF(OR(Calc!$E1730="",Calc!$E1730="نامعتبر",Calc!$G1730="",Calc!$I1730&lt;&gt;"خرید"),"",Calc!$G1730)</f>
        <v/>
      </c>
      <c r="B1727">
        <f>IF($A1727="","",LEFT(Calc!$E1730,4)&amp;MID(Calc!$E1730,6,2)&amp;RIGHT(Calc!$E1730,2)&amp;Calc!$R1730&amp;"|"&amp;"1"&amp;RIGHT("00000"&amp;1722,5))</f>
        <v/>
      </c>
      <c r="C1727">
        <f>IF($B1727="","",COUNTIFS(LdgPartyA,$A1727,LdgKeyA,"&lt;"&amp;$B1727)+COUNTIFS(LdgPartyB,$A1727,LdgKeyB,"&lt;"&amp;$B1727)+1)</f>
        <v/>
      </c>
      <c r="D1727">
        <f>IF($C1727="","",$A1727&amp;"|"&amp;RIGHT("000000"&amp;$C1727,6))</f>
        <v/>
      </c>
      <c r="F1727">
        <f>IF(Sync!$AJ1727="","",Sync!$AJ1727)</f>
        <v/>
      </c>
      <c r="G1727">
        <f>IF($F1727="","",IF(Sync!$AG1727="","",IF(ISNUMBER(Sync!$AG1727),IF(AND(Sync!$AG1727&gt;=10000101,Sync!$AG1727&lt;=99991231),INT(Sync!$AG1727/10000),""),IFERROR(VALUE(TRIM(LEFT(Sync!$AG1727,FIND("/",Sync!$AG1727)-1))),""))))</f>
        <v/>
      </c>
      <c r="H1727">
        <f>IF(OR($F1727="",$G1727=""),"",IF(ISNUMBER(Sync!$AG1727),INT(MOD(Sync!$AG1727,10000)/100),IFERROR(VALUE(TRIM(LEFT(MID(Sync!$AG1727,FIND("/",Sync!$AG1727)+1,20),FIND("/",MID(Sync!$AG1727,FIND("/",Sync!$AG1727)+1,20))-1))),"")))</f>
        <v/>
      </c>
      <c r="I1727">
        <f>IF(OR($F1727="",$G1727=""),"",IF(ISNUMBER(Sync!$AG1727),MOD(Sync!$AG1727,100),IFERROR(VALUE(TRIM(MID(MID(Sync!$AG1727,FIND("/",Sync!$AG1727)+1,20),FIND("/",MID(Sync!$AG1727,FIND("/",Sync!$AG1727)+1,20))+1,20))),"")))</f>
        <v/>
      </c>
      <c r="J1727">
        <f>IF($F1727="","",IF(OR($G1727="",$H1727="",$I1727="",$G1727&lt;1300,$G1727&gt;1500,$H1727&lt;1,$H1727&gt;12,$I1727&lt;1,$I1727&gt;31),"نامعتبر",RIGHT("0000"&amp;$G1727,4)&amp;"/"&amp;RIGHT("00"&amp;$H1727,2)&amp;"/"&amp;RIGHT("00"&amp;$I1727,2)))</f>
        <v/>
      </c>
      <c r="K1727">
        <f>IF(OR($F1727="",$J1727="",$J1727="نامعتبر"),"",LEFT($J1727,4)&amp;MID($J1727,6,2)&amp;RIGHT($J1727,2)&amp;$N1727&amp;"|"&amp;"2"&amp;RIGHT("00000"&amp;1722,5))</f>
        <v/>
      </c>
      <c r="L1727">
        <f>IF($K1727="","",COUNTIFS(LdgPartyA,$F1727,LdgKeyA,"&lt;"&amp;$K1727)+COUNTIFS(LdgPartyB,$F1727,LdgKeyB,"&lt;"&amp;$K1727)+1)</f>
        <v/>
      </c>
      <c r="M1727">
        <f>IF($L1727="","",$F1727&amp;"|"&amp;RIGHT("000000"&amp;$L1727,6))</f>
        <v/>
      </c>
      <c r="N1727">
        <f>IF($F1727="","",IF(Sync!$AH1727="","0000",IF(AND(ISNUMBER(Sync!$AH1727),Sync!$AH1727&gt;=0,Sync!$AH1727&lt;1),RIGHT("00"&amp;HOUR(Sync!$AH1727),2)&amp;RIGHT("00"&amp;MINUTE(Sync!$AH1727),2),IFERROR(RIGHT("00"&amp;VALUE(LEFT(Sync!$AH1727,FIND(":",Sync!$AH1727)-1)),2)&amp;RIGHT("00"&amp;VALUE(MID(Sync!$AH1727,FIND(":",Sync!$AH1727)+1,2)),2),"0000"))))</f>
        <v/>
      </c>
    </row>
    <row r="1728">
      <c r="A1728">
        <f>IF(OR(Calc!$E1731="",Calc!$E1731="نامعتبر",Calc!$G1731="",Calc!$I1731&lt;&gt;"خرید"),"",Calc!$G1731)</f>
        <v/>
      </c>
      <c r="B1728">
        <f>IF($A1728="","",LEFT(Calc!$E1731,4)&amp;MID(Calc!$E1731,6,2)&amp;RIGHT(Calc!$E1731,2)&amp;Calc!$R1731&amp;"|"&amp;"1"&amp;RIGHT("00000"&amp;1723,5))</f>
        <v/>
      </c>
      <c r="C1728">
        <f>IF($B1728="","",COUNTIFS(LdgPartyA,$A1728,LdgKeyA,"&lt;"&amp;$B1728)+COUNTIFS(LdgPartyB,$A1728,LdgKeyB,"&lt;"&amp;$B1728)+1)</f>
        <v/>
      </c>
      <c r="D1728">
        <f>IF($C1728="","",$A1728&amp;"|"&amp;RIGHT("000000"&amp;$C1728,6))</f>
        <v/>
      </c>
      <c r="F1728">
        <f>IF(Sync!$AJ1728="","",Sync!$AJ1728)</f>
        <v/>
      </c>
      <c r="G1728">
        <f>IF($F1728="","",IF(Sync!$AG1728="","",IF(ISNUMBER(Sync!$AG1728),IF(AND(Sync!$AG1728&gt;=10000101,Sync!$AG1728&lt;=99991231),INT(Sync!$AG1728/10000),""),IFERROR(VALUE(TRIM(LEFT(Sync!$AG1728,FIND("/",Sync!$AG1728)-1))),""))))</f>
        <v/>
      </c>
      <c r="H1728">
        <f>IF(OR($F1728="",$G1728=""),"",IF(ISNUMBER(Sync!$AG1728),INT(MOD(Sync!$AG1728,10000)/100),IFERROR(VALUE(TRIM(LEFT(MID(Sync!$AG1728,FIND("/",Sync!$AG1728)+1,20),FIND("/",MID(Sync!$AG1728,FIND("/",Sync!$AG1728)+1,20))-1))),"")))</f>
        <v/>
      </c>
      <c r="I1728">
        <f>IF(OR($F1728="",$G1728=""),"",IF(ISNUMBER(Sync!$AG1728),MOD(Sync!$AG1728,100),IFERROR(VALUE(TRIM(MID(MID(Sync!$AG1728,FIND("/",Sync!$AG1728)+1,20),FIND("/",MID(Sync!$AG1728,FIND("/",Sync!$AG1728)+1,20))+1,20))),"")))</f>
        <v/>
      </c>
      <c r="J1728">
        <f>IF($F1728="","",IF(OR($G1728="",$H1728="",$I1728="",$G1728&lt;1300,$G1728&gt;1500,$H1728&lt;1,$H1728&gt;12,$I1728&lt;1,$I1728&gt;31),"نامعتبر",RIGHT("0000"&amp;$G1728,4)&amp;"/"&amp;RIGHT("00"&amp;$H1728,2)&amp;"/"&amp;RIGHT("00"&amp;$I1728,2)))</f>
        <v/>
      </c>
      <c r="K1728">
        <f>IF(OR($F1728="",$J1728="",$J1728="نامعتبر"),"",LEFT($J1728,4)&amp;MID($J1728,6,2)&amp;RIGHT($J1728,2)&amp;$N1728&amp;"|"&amp;"2"&amp;RIGHT("00000"&amp;1723,5))</f>
        <v/>
      </c>
      <c r="L1728">
        <f>IF($K1728="","",COUNTIFS(LdgPartyA,$F1728,LdgKeyA,"&lt;"&amp;$K1728)+COUNTIFS(LdgPartyB,$F1728,LdgKeyB,"&lt;"&amp;$K1728)+1)</f>
        <v/>
      </c>
      <c r="M1728">
        <f>IF($L1728="","",$F1728&amp;"|"&amp;RIGHT("000000"&amp;$L1728,6))</f>
        <v/>
      </c>
      <c r="N1728">
        <f>IF($F1728="","",IF(Sync!$AH1728="","0000",IF(AND(ISNUMBER(Sync!$AH1728),Sync!$AH1728&gt;=0,Sync!$AH1728&lt;1),RIGHT("00"&amp;HOUR(Sync!$AH1728),2)&amp;RIGHT("00"&amp;MINUTE(Sync!$AH1728),2),IFERROR(RIGHT("00"&amp;VALUE(LEFT(Sync!$AH1728,FIND(":",Sync!$AH1728)-1)),2)&amp;RIGHT("00"&amp;VALUE(MID(Sync!$AH1728,FIND(":",Sync!$AH1728)+1,2)),2),"0000"))))</f>
        <v/>
      </c>
    </row>
    <row r="1729">
      <c r="A1729">
        <f>IF(OR(Calc!$E1732="",Calc!$E1732="نامعتبر",Calc!$G1732="",Calc!$I1732&lt;&gt;"خرید"),"",Calc!$G1732)</f>
        <v/>
      </c>
      <c r="B1729">
        <f>IF($A1729="","",LEFT(Calc!$E1732,4)&amp;MID(Calc!$E1732,6,2)&amp;RIGHT(Calc!$E1732,2)&amp;Calc!$R1732&amp;"|"&amp;"1"&amp;RIGHT("00000"&amp;1724,5))</f>
        <v/>
      </c>
      <c r="C1729">
        <f>IF($B1729="","",COUNTIFS(LdgPartyA,$A1729,LdgKeyA,"&lt;"&amp;$B1729)+COUNTIFS(LdgPartyB,$A1729,LdgKeyB,"&lt;"&amp;$B1729)+1)</f>
        <v/>
      </c>
      <c r="D1729">
        <f>IF($C1729="","",$A1729&amp;"|"&amp;RIGHT("000000"&amp;$C1729,6))</f>
        <v/>
      </c>
      <c r="F1729">
        <f>IF(Sync!$AJ1729="","",Sync!$AJ1729)</f>
        <v/>
      </c>
      <c r="G1729">
        <f>IF($F1729="","",IF(Sync!$AG1729="","",IF(ISNUMBER(Sync!$AG1729),IF(AND(Sync!$AG1729&gt;=10000101,Sync!$AG1729&lt;=99991231),INT(Sync!$AG1729/10000),""),IFERROR(VALUE(TRIM(LEFT(Sync!$AG1729,FIND("/",Sync!$AG1729)-1))),""))))</f>
        <v/>
      </c>
      <c r="H1729">
        <f>IF(OR($F1729="",$G1729=""),"",IF(ISNUMBER(Sync!$AG1729),INT(MOD(Sync!$AG1729,10000)/100),IFERROR(VALUE(TRIM(LEFT(MID(Sync!$AG1729,FIND("/",Sync!$AG1729)+1,20),FIND("/",MID(Sync!$AG1729,FIND("/",Sync!$AG1729)+1,20))-1))),"")))</f>
        <v/>
      </c>
      <c r="I1729">
        <f>IF(OR($F1729="",$G1729=""),"",IF(ISNUMBER(Sync!$AG1729),MOD(Sync!$AG1729,100),IFERROR(VALUE(TRIM(MID(MID(Sync!$AG1729,FIND("/",Sync!$AG1729)+1,20),FIND("/",MID(Sync!$AG1729,FIND("/",Sync!$AG1729)+1,20))+1,20))),"")))</f>
        <v/>
      </c>
      <c r="J1729">
        <f>IF($F1729="","",IF(OR($G1729="",$H1729="",$I1729="",$G1729&lt;1300,$G1729&gt;1500,$H1729&lt;1,$H1729&gt;12,$I1729&lt;1,$I1729&gt;31),"نامعتبر",RIGHT("0000"&amp;$G1729,4)&amp;"/"&amp;RIGHT("00"&amp;$H1729,2)&amp;"/"&amp;RIGHT("00"&amp;$I1729,2)))</f>
        <v/>
      </c>
      <c r="K1729">
        <f>IF(OR($F1729="",$J1729="",$J1729="نامعتبر"),"",LEFT($J1729,4)&amp;MID($J1729,6,2)&amp;RIGHT($J1729,2)&amp;$N1729&amp;"|"&amp;"2"&amp;RIGHT("00000"&amp;1724,5))</f>
        <v/>
      </c>
      <c r="L1729">
        <f>IF($K1729="","",COUNTIFS(LdgPartyA,$F1729,LdgKeyA,"&lt;"&amp;$K1729)+COUNTIFS(LdgPartyB,$F1729,LdgKeyB,"&lt;"&amp;$K1729)+1)</f>
        <v/>
      </c>
      <c r="M1729">
        <f>IF($L1729="","",$F1729&amp;"|"&amp;RIGHT("000000"&amp;$L1729,6))</f>
        <v/>
      </c>
      <c r="N1729">
        <f>IF($F1729="","",IF(Sync!$AH1729="","0000",IF(AND(ISNUMBER(Sync!$AH1729),Sync!$AH1729&gt;=0,Sync!$AH1729&lt;1),RIGHT("00"&amp;HOUR(Sync!$AH1729),2)&amp;RIGHT("00"&amp;MINUTE(Sync!$AH1729),2),IFERROR(RIGHT("00"&amp;VALUE(LEFT(Sync!$AH1729,FIND(":",Sync!$AH1729)-1)),2)&amp;RIGHT("00"&amp;VALUE(MID(Sync!$AH1729,FIND(":",Sync!$AH1729)+1,2)),2),"0000"))))</f>
        <v/>
      </c>
    </row>
    <row r="1730">
      <c r="A1730">
        <f>IF(OR(Calc!$E1733="",Calc!$E1733="نامعتبر",Calc!$G1733="",Calc!$I1733&lt;&gt;"خرید"),"",Calc!$G1733)</f>
        <v/>
      </c>
      <c r="B1730">
        <f>IF($A1730="","",LEFT(Calc!$E1733,4)&amp;MID(Calc!$E1733,6,2)&amp;RIGHT(Calc!$E1733,2)&amp;Calc!$R1733&amp;"|"&amp;"1"&amp;RIGHT("00000"&amp;1725,5))</f>
        <v/>
      </c>
      <c r="C1730">
        <f>IF($B1730="","",COUNTIFS(LdgPartyA,$A1730,LdgKeyA,"&lt;"&amp;$B1730)+COUNTIFS(LdgPartyB,$A1730,LdgKeyB,"&lt;"&amp;$B1730)+1)</f>
        <v/>
      </c>
      <c r="D1730">
        <f>IF($C1730="","",$A1730&amp;"|"&amp;RIGHT("000000"&amp;$C1730,6))</f>
        <v/>
      </c>
      <c r="F1730">
        <f>IF(Sync!$AJ1730="","",Sync!$AJ1730)</f>
        <v/>
      </c>
      <c r="G1730">
        <f>IF($F1730="","",IF(Sync!$AG1730="","",IF(ISNUMBER(Sync!$AG1730),IF(AND(Sync!$AG1730&gt;=10000101,Sync!$AG1730&lt;=99991231),INT(Sync!$AG1730/10000),""),IFERROR(VALUE(TRIM(LEFT(Sync!$AG1730,FIND("/",Sync!$AG1730)-1))),""))))</f>
        <v/>
      </c>
      <c r="H1730">
        <f>IF(OR($F1730="",$G1730=""),"",IF(ISNUMBER(Sync!$AG1730),INT(MOD(Sync!$AG1730,10000)/100),IFERROR(VALUE(TRIM(LEFT(MID(Sync!$AG1730,FIND("/",Sync!$AG1730)+1,20),FIND("/",MID(Sync!$AG1730,FIND("/",Sync!$AG1730)+1,20))-1))),"")))</f>
        <v/>
      </c>
      <c r="I1730">
        <f>IF(OR($F1730="",$G1730=""),"",IF(ISNUMBER(Sync!$AG1730),MOD(Sync!$AG1730,100),IFERROR(VALUE(TRIM(MID(MID(Sync!$AG1730,FIND("/",Sync!$AG1730)+1,20),FIND("/",MID(Sync!$AG1730,FIND("/",Sync!$AG1730)+1,20))+1,20))),"")))</f>
        <v/>
      </c>
      <c r="J1730">
        <f>IF($F1730="","",IF(OR($G1730="",$H1730="",$I1730="",$G1730&lt;1300,$G1730&gt;1500,$H1730&lt;1,$H1730&gt;12,$I1730&lt;1,$I1730&gt;31),"نامعتبر",RIGHT("0000"&amp;$G1730,4)&amp;"/"&amp;RIGHT("00"&amp;$H1730,2)&amp;"/"&amp;RIGHT("00"&amp;$I1730,2)))</f>
        <v/>
      </c>
      <c r="K1730">
        <f>IF(OR($F1730="",$J1730="",$J1730="نامعتبر"),"",LEFT($J1730,4)&amp;MID($J1730,6,2)&amp;RIGHT($J1730,2)&amp;$N1730&amp;"|"&amp;"2"&amp;RIGHT("00000"&amp;1725,5))</f>
        <v/>
      </c>
      <c r="L1730">
        <f>IF($K1730="","",COUNTIFS(LdgPartyA,$F1730,LdgKeyA,"&lt;"&amp;$K1730)+COUNTIFS(LdgPartyB,$F1730,LdgKeyB,"&lt;"&amp;$K1730)+1)</f>
        <v/>
      </c>
      <c r="M1730">
        <f>IF($L1730="","",$F1730&amp;"|"&amp;RIGHT("000000"&amp;$L1730,6))</f>
        <v/>
      </c>
      <c r="N1730">
        <f>IF($F1730="","",IF(Sync!$AH1730="","0000",IF(AND(ISNUMBER(Sync!$AH1730),Sync!$AH1730&gt;=0,Sync!$AH1730&lt;1),RIGHT("00"&amp;HOUR(Sync!$AH1730),2)&amp;RIGHT("00"&amp;MINUTE(Sync!$AH1730),2),IFERROR(RIGHT("00"&amp;VALUE(LEFT(Sync!$AH1730,FIND(":",Sync!$AH1730)-1)),2)&amp;RIGHT("00"&amp;VALUE(MID(Sync!$AH1730,FIND(":",Sync!$AH1730)+1,2)),2),"0000"))))</f>
        <v/>
      </c>
    </row>
    <row r="1731">
      <c r="A1731">
        <f>IF(OR(Calc!$E1734="",Calc!$E1734="نامعتبر",Calc!$G1734="",Calc!$I1734&lt;&gt;"خرید"),"",Calc!$G1734)</f>
        <v/>
      </c>
      <c r="B1731">
        <f>IF($A1731="","",LEFT(Calc!$E1734,4)&amp;MID(Calc!$E1734,6,2)&amp;RIGHT(Calc!$E1734,2)&amp;Calc!$R1734&amp;"|"&amp;"1"&amp;RIGHT("00000"&amp;1726,5))</f>
        <v/>
      </c>
      <c r="C1731">
        <f>IF($B1731="","",COUNTIFS(LdgPartyA,$A1731,LdgKeyA,"&lt;"&amp;$B1731)+COUNTIFS(LdgPartyB,$A1731,LdgKeyB,"&lt;"&amp;$B1731)+1)</f>
        <v/>
      </c>
      <c r="D1731">
        <f>IF($C1731="","",$A1731&amp;"|"&amp;RIGHT("000000"&amp;$C1731,6))</f>
        <v/>
      </c>
      <c r="F1731">
        <f>IF(Sync!$AJ1731="","",Sync!$AJ1731)</f>
        <v/>
      </c>
      <c r="G1731">
        <f>IF($F1731="","",IF(Sync!$AG1731="","",IF(ISNUMBER(Sync!$AG1731),IF(AND(Sync!$AG1731&gt;=10000101,Sync!$AG1731&lt;=99991231),INT(Sync!$AG1731/10000),""),IFERROR(VALUE(TRIM(LEFT(Sync!$AG1731,FIND("/",Sync!$AG1731)-1))),""))))</f>
        <v/>
      </c>
      <c r="H1731">
        <f>IF(OR($F1731="",$G1731=""),"",IF(ISNUMBER(Sync!$AG1731),INT(MOD(Sync!$AG1731,10000)/100),IFERROR(VALUE(TRIM(LEFT(MID(Sync!$AG1731,FIND("/",Sync!$AG1731)+1,20),FIND("/",MID(Sync!$AG1731,FIND("/",Sync!$AG1731)+1,20))-1))),"")))</f>
        <v/>
      </c>
      <c r="I1731">
        <f>IF(OR($F1731="",$G1731=""),"",IF(ISNUMBER(Sync!$AG1731),MOD(Sync!$AG1731,100),IFERROR(VALUE(TRIM(MID(MID(Sync!$AG1731,FIND("/",Sync!$AG1731)+1,20),FIND("/",MID(Sync!$AG1731,FIND("/",Sync!$AG1731)+1,20))+1,20))),"")))</f>
        <v/>
      </c>
      <c r="J1731">
        <f>IF($F1731="","",IF(OR($G1731="",$H1731="",$I1731="",$G1731&lt;1300,$G1731&gt;1500,$H1731&lt;1,$H1731&gt;12,$I1731&lt;1,$I1731&gt;31),"نامعتبر",RIGHT("0000"&amp;$G1731,4)&amp;"/"&amp;RIGHT("00"&amp;$H1731,2)&amp;"/"&amp;RIGHT("00"&amp;$I1731,2)))</f>
        <v/>
      </c>
      <c r="K1731">
        <f>IF(OR($F1731="",$J1731="",$J1731="نامعتبر"),"",LEFT($J1731,4)&amp;MID($J1731,6,2)&amp;RIGHT($J1731,2)&amp;$N1731&amp;"|"&amp;"2"&amp;RIGHT("00000"&amp;1726,5))</f>
        <v/>
      </c>
      <c r="L1731">
        <f>IF($K1731="","",COUNTIFS(LdgPartyA,$F1731,LdgKeyA,"&lt;"&amp;$K1731)+COUNTIFS(LdgPartyB,$F1731,LdgKeyB,"&lt;"&amp;$K1731)+1)</f>
        <v/>
      </c>
      <c r="M1731">
        <f>IF($L1731="","",$F1731&amp;"|"&amp;RIGHT("000000"&amp;$L1731,6))</f>
        <v/>
      </c>
      <c r="N1731">
        <f>IF($F1731="","",IF(Sync!$AH1731="","0000",IF(AND(ISNUMBER(Sync!$AH1731),Sync!$AH1731&gt;=0,Sync!$AH1731&lt;1),RIGHT("00"&amp;HOUR(Sync!$AH1731),2)&amp;RIGHT("00"&amp;MINUTE(Sync!$AH1731),2),IFERROR(RIGHT("00"&amp;VALUE(LEFT(Sync!$AH1731,FIND(":",Sync!$AH1731)-1)),2)&amp;RIGHT("00"&amp;VALUE(MID(Sync!$AH1731,FIND(":",Sync!$AH1731)+1,2)),2),"0000"))))</f>
        <v/>
      </c>
    </row>
    <row r="1732">
      <c r="A1732">
        <f>IF(OR(Calc!$E1735="",Calc!$E1735="نامعتبر",Calc!$G1735="",Calc!$I1735&lt;&gt;"خرید"),"",Calc!$G1735)</f>
        <v/>
      </c>
      <c r="B1732">
        <f>IF($A1732="","",LEFT(Calc!$E1735,4)&amp;MID(Calc!$E1735,6,2)&amp;RIGHT(Calc!$E1735,2)&amp;Calc!$R1735&amp;"|"&amp;"1"&amp;RIGHT("00000"&amp;1727,5))</f>
        <v/>
      </c>
      <c r="C1732">
        <f>IF($B1732="","",COUNTIFS(LdgPartyA,$A1732,LdgKeyA,"&lt;"&amp;$B1732)+COUNTIFS(LdgPartyB,$A1732,LdgKeyB,"&lt;"&amp;$B1732)+1)</f>
        <v/>
      </c>
      <c r="D1732">
        <f>IF($C1732="","",$A1732&amp;"|"&amp;RIGHT("000000"&amp;$C1732,6))</f>
        <v/>
      </c>
      <c r="F1732">
        <f>IF(Sync!$AJ1732="","",Sync!$AJ1732)</f>
        <v/>
      </c>
      <c r="G1732">
        <f>IF($F1732="","",IF(Sync!$AG1732="","",IF(ISNUMBER(Sync!$AG1732),IF(AND(Sync!$AG1732&gt;=10000101,Sync!$AG1732&lt;=99991231),INT(Sync!$AG1732/10000),""),IFERROR(VALUE(TRIM(LEFT(Sync!$AG1732,FIND("/",Sync!$AG1732)-1))),""))))</f>
        <v/>
      </c>
      <c r="H1732">
        <f>IF(OR($F1732="",$G1732=""),"",IF(ISNUMBER(Sync!$AG1732),INT(MOD(Sync!$AG1732,10000)/100),IFERROR(VALUE(TRIM(LEFT(MID(Sync!$AG1732,FIND("/",Sync!$AG1732)+1,20),FIND("/",MID(Sync!$AG1732,FIND("/",Sync!$AG1732)+1,20))-1))),"")))</f>
        <v/>
      </c>
      <c r="I1732">
        <f>IF(OR($F1732="",$G1732=""),"",IF(ISNUMBER(Sync!$AG1732),MOD(Sync!$AG1732,100),IFERROR(VALUE(TRIM(MID(MID(Sync!$AG1732,FIND("/",Sync!$AG1732)+1,20),FIND("/",MID(Sync!$AG1732,FIND("/",Sync!$AG1732)+1,20))+1,20))),"")))</f>
        <v/>
      </c>
      <c r="J1732">
        <f>IF($F1732="","",IF(OR($G1732="",$H1732="",$I1732="",$G1732&lt;1300,$G1732&gt;1500,$H1732&lt;1,$H1732&gt;12,$I1732&lt;1,$I1732&gt;31),"نامعتبر",RIGHT("0000"&amp;$G1732,4)&amp;"/"&amp;RIGHT("00"&amp;$H1732,2)&amp;"/"&amp;RIGHT("00"&amp;$I1732,2)))</f>
        <v/>
      </c>
      <c r="K1732">
        <f>IF(OR($F1732="",$J1732="",$J1732="نامعتبر"),"",LEFT($J1732,4)&amp;MID($J1732,6,2)&amp;RIGHT($J1732,2)&amp;$N1732&amp;"|"&amp;"2"&amp;RIGHT("00000"&amp;1727,5))</f>
        <v/>
      </c>
      <c r="L1732">
        <f>IF($K1732="","",COUNTIFS(LdgPartyA,$F1732,LdgKeyA,"&lt;"&amp;$K1732)+COUNTIFS(LdgPartyB,$F1732,LdgKeyB,"&lt;"&amp;$K1732)+1)</f>
        <v/>
      </c>
      <c r="M1732">
        <f>IF($L1732="","",$F1732&amp;"|"&amp;RIGHT("000000"&amp;$L1732,6))</f>
        <v/>
      </c>
      <c r="N1732">
        <f>IF($F1732="","",IF(Sync!$AH1732="","0000",IF(AND(ISNUMBER(Sync!$AH1732),Sync!$AH1732&gt;=0,Sync!$AH1732&lt;1),RIGHT("00"&amp;HOUR(Sync!$AH1732),2)&amp;RIGHT("00"&amp;MINUTE(Sync!$AH1732),2),IFERROR(RIGHT("00"&amp;VALUE(LEFT(Sync!$AH1732,FIND(":",Sync!$AH1732)-1)),2)&amp;RIGHT("00"&amp;VALUE(MID(Sync!$AH1732,FIND(":",Sync!$AH1732)+1,2)),2),"0000"))))</f>
        <v/>
      </c>
    </row>
    <row r="1733">
      <c r="A1733">
        <f>IF(OR(Calc!$E1736="",Calc!$E1736="نامعتبر",Calc!$G1736="",Calc!$I1736&lt;&gt;"خرید"),"",Calc!$G1736)</f>
        <v/>
      </c>
      <c r="B1733">
        <f>IF($A1733="","",LEFT(Calc!$E1736,4)&amp;MID(Calc!$E1736,6,2)&amp;RIGHT(Calc!$E1736,2)&amp;Calc!$R1736&amp;"|"&amp;"1"&amp;RIGHT("00000"&amp;1728,5))</f>
        <v/>
      </c>
      <c r="C1733">
        <f>IF($B1733="","",COUNTIFS(LdgPartyA,$A1733,LdgKeyA,"&lt;"&amp;$B1733)+COUNTIFS(LdgPartyB,$A1733,LdgKeyB,"&lt;"&amp;$B1733)+1)</f>
        <v/>
      </c>
      <c r="D1733">
        <f>IF($C1733="","",$A1733&amp;"|"&amp;RIGHT("000000"&amp;$C1733,6))</f>
        <v/>
      </c>
      <c r="F1733">
        <f>IF(Sync!$AJ1733="","",Sync!$AJ1733)</f>
        <v/>
      </c>
      <c r="G1733">
        <f>IF($F1733="","",IF(Sync!$AG1733="","",IF(ISNUMBER(Sync!$AG1733),IF(AND(Sync!$AG1733&gt;=10000101,Sync!$AG1733&lt;=99991231),INT(Sync!$AG1733/10000),""),IFERROR(VALUE(TRIM(LEFT(Sync!$AG1733,FIND("/",Sync!$AG1733)-1))),""))))</f>
        <v/>
      </c>
      <c r="H1733">
        <f>IF(OR($F1733="",$G1733=""),"",IF(ISNUMBER(Sync!$AG1733),INT(MOD(Sync!$AG1733,10000)/100),IFERROR(VALUE(TRIM(LEFT(MID(Sync!$AG1733,FIND("/",Sync!$AG1733)+1,20),FIND("/",MID(Sync!$AG1733,FIND("/",Sync!$AG1733)+1,20))-1))),"")))</f>
        <v/>
      </c>
      <c r="I1733">
        <f>IF(OR($F1733="",$G1733=""),"",IF(ISNUMBER(Sync!$AG1733),MOD(Sync!$AG1733,100),IFERROR(VALUE(TRIM(MID(MID(Sync!$AG1733,FIND("/",Sync!$AG1733)+1,20),FIND("/",MID(Sync!$AG1733,FIND("/",Sync!$AG1733)+1,20))+1,20))),"")))</f>
        <v/>
      </c>
      <c r="J1733">
        <f>IF($F1733="","",IF(OR($G1733="",$H1733="",$I1733="",$G1733&lt;1300,$G1733&gt;1500,$H1733&lt;1,$H1733&gt;12,$I1733&lt;1,$I1733&gt;31),"نامعتبر",RIGHT("0000"&amp;$G1733,4)&amp;"/"&amp;RIGHT("00"&amp;$H1733,2)&amp;"/"&amp;RIGHT("00"&amp;$I1733,2)))</f>
        <v/>
      </c>
      <c r="K1733">
        <f>IF(OR($F1733="",$J1733="",$J1733="نامعتبر"),"",LEFT($J1733,4)&amp;MID($J1733,6,2)&amp;RIGHT($J1733,2)&amp;$N1733&amp;"|"&amp;"2"&amp;RIGHT("00000"&amp;1728,5))</f>
        <v/>
      </c>
      <c r="L1733">
        <f>IF($K1733="","",COUNTIFS(LdgPartyA,$F1733,LdgKeyA,"&lt;"&amp;$K1733)+COUNTIFS(LdgPartyB,$F1733,LdgKeyB,"&lt;"&amp;$K1733)+1)</f>
        <v/>
      </c>
      <c r="M1733">
        <f>IF($L1733="","",$F1733&amp;"|"&amp;RIGHT("000000"&amp;$L1733,6))</f>
        <v/>
      </c>
      <c r="N1733">
        <f>IF($F1733="","",IF(Sync!$AH1733="","0000",IF(AND(ISNUMBER(Sync!$AH1733),Sync!$AH1733&gt;=0,Sync!$AH1733&lt;1),RIGHT("00"&amp;HOUR(Sync!$AH1733),2)&amp;RIGHT("00"&amp;MINUTE(Sync!$AH1733),2),IFERROR(RIGHT("00"&amp;VALUE(LEFT(Sync!$AH1733,FIND(":",Sync!$AH1733)-1)),2)&amp;RIGHT("00"&amp;VALUE(MID(Sync!$AH1733,FIND(":",Sync!$AH1733)+1,2)),2),"0000"))))</f>
        <v/>
      </c>
    </row>
    <row r="1734">
      <c r="A1734">
        <f>IF(OR(Calc!$E1737="",Calc!$E1737="نامعتبر",Calc!$G1737="",Calc!$I1737&lt;&gt;"خرید"),"",Calc!$G1737)</f>
        <v/>
      </c>
      <c r="B1734">
        <f>IF($A1734="","",LEFT(Calc!$E1737,4)&amp;MID(Calc!$E1737,6,2)&amp;RIGHT(Calc!$E1737,2)&amp;Calc!$R1737&amp;"|"&amp;"1"&amp;RIGHT("00000"&amp;1729,5))</f>
        <v/>
      </c>
      <c r="C1734">
        <f>IF($B1734="","",COUNTIFS(LdgPartyA,$A1734,LdgKeyA,"&lt;"&amp;$B1734)+COUNTIFS(LdgPartyB,$A1734,LdgKeyB,"&lt;"&amp;$B1734)+1)</f>
        <v/>
      </c>
      <c r="D1734">
        <f>IF($C1734="","",$A1734&amp;"|"&amp;RIGHT("000000"&amp;$C1734,6))</f>
        <v/>
      </c>
      <c r="F1734">
        <f>IF(Sync!$AJ1734="","",Sync!$AJ1734)</f>
        <v/>
      </c>
      <c r="G1734">
        <f>IF($F1734="","",IF(Sync!$AG1734="","",IF(ISNUMBER(Sync!$AG1734),IF(AND(Sync!$AG1734&gt;=10000101,Sync!$AG1734&lt;=99991231),INT(Sync!$AG1734/10000),""),IFERROR(VALUE(TRIM(LEFT(Sync!$AG1734,FIND("/",Sync!$AG1734)-1))),""))))</f>
        <v/>
      </c>
      <c r="H1734">
        <f>IF(OR($F1734="",$G1734=""),"",IF(ISNUMBER(Sync!$AG1734),INT(MOD(Sync!$AG1734,10000)/100),IFERROR(VALUE(TRIM(LEFT(MID(Sync!$AG1734,FIND("/",Sync!$AG1734)+1,20),FIND("/",MID(Sync!$AG1734,FIND("/",Sync!$AG1734)+1,20))-1))),"")))</f>
        <v/>
      </c>
      <c r="I1734">
        <f>IF(OR($F1734="",$G1734=""),"",IF(ISNUMBER(Sync!$AG1734),MOD(Sync!$AG1734,100),IFERROR(VALUE(TRIM(MID(MID(Sync!$AG1734,FIND("/",Sync!$AG1734)+1,20),FIND("/",MID(Sync!$AG1734,FIND("/",Sync!$AG1734)+1,20))+1,20))),"")))</f>
        <v/>
      </c>
      <c r="J1734">
        <f>IF($F1734="","",IF(OR($G1734="",$H1734="",$I1734="",$G1734&lt;1300,$G1734&gt;1500,$H1734&lt;1,$H1734&gt;12,$I1734&lt;1,$I1734&gt;31),"نامعتبر",RIGHT("0000"&amp;$G1734,4)&amp;"/"&amp;RIGHT("00"&amp;$H1734,2)&amp;"/"&amp;RIGHT("00"&amp;$I1734,2)))</f>
        <v/>
      </c>
      <c r="K1734">
        <f>IF(OR($F1734="",$J1734="",$J1734="نامعتبر"),"",LEFT($J1734,4)&amp;MID($J1734,6,2)&amp;RIGHT($J1734,2)&amp;$N1734&amp;"|"&amp;"2"&amp;RIGHT("00000"&amp;1729,5))</f>
        <v/>
      </c>
      <c r="L1734">
        <f>IF($K1734="","",COUNTIFS(LdgPartyA,$F1734,LdgKeyA,"&lt;"&amp;$K1734)+COUNTIFS(LdgPartyB,$F1734,LdgKeyB,"&lt;"&amp;$K1734)+1)</f>
        <v/>
      </c>
      <c r="M1734">
        <f>IF($L1734="","",$F1734&amp;"|"&amp;RIGHT("000000"&amp;$L1734,6))</f>
        <v/>
      </c>
      <c r="N1734">
        <f>IF($F1734="","",IF(Sync!$AH1734="","0000",IF(AND(ISNUMBER(Sync!$AH1734),Sync!$AH1734&gt;=0,Sync!$AH1734&lt;1),RIGHT("00"&amp;HOUR(Sync!$AH1734),2)&amp;RIGHT("00"&amp;MINUTE(Sync!$AH1734),2),IFERROR(RIGHT("00"&amp;VALUE(LEFT(Sync!$AH1734,FIND(":",Sync!$AH1734)-1)),2)&amp;RIGHT("00"&amp;VALUE(MID(Sync!$AH1734,FIND(":",Sync!$AH1734)+1,2)),2),"0000"))))</f>
        <v/>
      </c>
    </row>
    <row r="1735">
      <c r="A1735">
        <f>IF(OR(Calc!$E1738="",Calc!$E1738="نامعتبر",Calc!$G1738="",Calc!$I1738&lt;&gt;"خرید"),"",Calc!$G1738)</f>
        <v/>
      </c>
      <c r="B1735">
        <f>IF($A1735="","",LEFT(Calc!$E1738,4)&amp;MID(Calc!$E1738,6,2)&amp;RIGHT(Calc!$E1738,2)&amp;Calc!$R1738&amp;"|"&amp;"1"&amp;RIGHT("00000"&amp;1730,5))</f>
        <v/>
      </c>
      <c r="C1735">
        <f>IF($B1735="","",COUNTIFS(LdgPartyA,$A1735,LdgKeyA,"&lt;"&amp;$B1735)+COUNTIFS(LdgPartyB,$A1735,LdgKeyB,"&lt;"&amp;$B1735)+1)</f>
        <v/>
      </c>
      <c r="D1735">
        <f>IF($C1735="","",$A1735&amp;"|"&amp;RIGHT("000000"&amp;$C1735,6))</f>
        <v/>
      </c>
      <c r="F1735">
        <f>IF(Sync!$AJ1735="","",Sync!$AJ1735)</f>
        <v/>
      </c>
      <c r="G1735">
        <f>IF($F1735="","",IF(Sync!$AG1735="","",IF(ISNUMBER(Sync!$AG1735),IF(AND(Sync!$AG1735&gt;=10000101,Sync!$AG1735&lt;=99991231),INT(Sync!$AG1735/10000),""),IFERROR(VALUE(TRIM(LEFT(Sync!$AG1735,FIND("/",Sync!$AG1735)-1))),""))))</f>
        <v/>
      </c>
      <c r="H1735">
        <f>IF(OR($F1735="",$G1735=""),"",IF(ISNUMBER(Sync!$AG1735),INT(MOD(Sync!$AG1735,10000)/100),IFERROR(VALUE(TRIM(LEFT(MID(Sync!$AG1735,FIND("/",Sync!$AG1735)+1,20),FIND("/",MID(Sync!$AG1735,FIND("/",Sync!$AG1735)+1,20))-1))),"")))</f>
        <v/>
      </c>
      <c r="I1735">
        <f>IF(OR($F1735="",$G1735=""),"",IF(ISNUMBER(Sync!$AG1735),MOD(Sync!$AG1735,100),IFERROR(VALUE(TRIM(MID(MID(Sync!$AG1735,FIND("/",Sync!$AG1735)+1,20),FIND("/",MID(Sync!$AG1735,FIND("/",Sync!$AG1735)+1,20))+1,20))),"")))</f>
        <v/>
      </c>
      <c r="J1735">
        <f>IF($F1735="","",IF(OR($G1735="",$H1735="",$I1735="",$G1735&lt;1300,$G1735&gt;1500,$H1735&lt;1,$H1735&gt;12,$I1735&lt;1,$I1735&gt;31),"نامعتبر",RIGHT("0000"&amp;$G1735,4)&amp;"/"&amp;RIGHT("00"&amp;$H1735,2)&amp;"/"&amp;RIGHT("00"&amp;$I1735,2)))</f>
        <v/>
      </c>
      <c r="K1735">
        <f>IF(OR($F1735="",$J1735="",$J1735="نامعتبر"),"",LEFT($J1735,4)&amp;MID($J1735,6,2)&amp;RIGHT($J1735,2)&amp;$N1735&amp;"|"&amp;"2"&amp;RIGHT("00000"&amp;1730,5))</f>
        <v/>
      </c>
      <c r="L1735">
        <f>IF($K1735="","",COUNTIFS(LdgPartyA,$F1735,LdgKeyA,"&lt;"&amp;$K1735)+COUNTIFS(LdgPartyB,$F1735,LdgKeyB,"&lt;"&amp;$K1735)+1)</f>
        <v/>
      </c>
      <c r="M1735">
        <f>IF($L1735="","",$F1735&amp;"|"&amp;RIGHT("000000"&amp;$L1735,6))</f>
        <v/>
      </c>
      <c r="N1735">
        <f>IF($F1735="","",IF(Sync!$AH1735="","0000",IF(AND(ISNUMBER(Sync!$AH1735),Sync!$AH1735&gt;=0,Sync!$AH1735&lt;1),RIGHT("00"&amp;HOUR(Sync!$AH1735),2)&amp;RIGHT("00"&amp;MINUTE(Sync!$AH1735),2),IFERROR(RIGHT("00"&amp;VALUE(LEFT(Sync!$AH1735,FIND(":",Sync!$AH1735)-1)),2)&amp;RIGHT("00"&amp;VALUE(MID(Sync!$AH1735,FIND(":",Sync!$AH1735)+1,2)),2),"0000"))))</f>
        <v/>
      </c>
    </row>
    <row r="1736">
      <c r="A1736">
        <f>IF(OR(Calc!$E1739="",Calc!$E1739="نامعتبر",Calc!$G1739="",Calc!$I1739&lt;&gt;"خرید"),"",Calc!$G1739)</f>
        <v/>
      </c>
      <c r="B1736">
        <f>IF($A1736="","",LEFT(Calc!$E1739,4)&amp;MID(Calc!$E1739,6,2)&amp;RIGHT(Calc!$E1739,2)&amp;Calc!$R1739&amp;"|"&amp;"1"&amp;RIGHT("00000"&amp;1731,5))</f>
        <v/>
      </c>
      <c r="C1736">
        <f>IF($B1736="","",COUNTIFS(LdgPartyA,$A1736,LdgKeyA,"&lt;"&amp;$B1736)+COUNTIFS(LdgPartyB,$A1736,LdgKeyB,"&lt;"&amp;$B1736)+1)</f>
        <v/>
      </c>
      <c r="D1736">
        <f>IF($C1736="","",$A1736&amp;"|"&amp;RIGHT("000000"&amp;$C1736,6))</f>
        <v/>
      </c>
      <c r="F1736">
        <f>IF(Sync!$AJ1736="","",Sync!$AJ1736)</f>
        <v/>
      </c>
      <c r="G1736">
        <f>IF($F1736="","",IF(Sync!$AG1736="","",IF(ISNUMBER(Sync!$AG1736),IF(AND(Sync!$AG1736&gt;=10000101,Sync!$AG1736&lt;=99991231),INT(Sync!$AG1736/10000),""),IFERROR(VALUE(TRIM(LEFT(Sync!$AG1736,FIND("/",Sync!$AG1736)-1))),""))))</f>
        <v/>
      </c>
      <c r="H1736">
        <f>IF(OR($F1736="",$G1736=""),"",IF(ISNUMBER(Sync!$AG1736),INT(MOD(Sync!$AG1736,10000)/100),IFERROR(VALUE(TRIM(LEFT(MID(Sync!$AG1736,FIND("/",Sync!$AG1736)+1,20),FIND("/",MID(Sync!$AG1736,FIND("/",Sync!$AG1736)+1,20))-1))),"")))</f>
        <v/>
      </c>
      <c r="I1736">
        <f>IF(OR($F1736="",$G1736=""),"",IF(ISNUMBER(Sync!$AG1736),MOD(Sync!$AG1736,100),IFERROR(VALUE(TRIM(MID(MID(Sync!$AG1736,FIND("/",Sync!$AG1736)+1,20),FIND("/",MID(Sync!$AG1736,FIND("/",Sync!$AG1736)+1,20))+1,20))),"")))</f>
        <v/>
      </c>
      <c r="J1736">
        <f>IF($F1736="","",IF(OR($G1736="",$H1736="",$I1736="",$G1736&lt;1300,$G1736&gt;1500,$H1736&lt;1,$H1736&gt;12,$I1736&lt;1,$I1736&gt;31),"نامعتبر",RIGHT("0000"&amp;$G1736,4)&amp;"/"&amp;RIGHT("00"&amp;$H1736,2)&amp;"/"&amp;RIGHT("00"&amp;$I1736,2)))</f>
        <v/>
      </c>
      <c r="K1736">
        <f>IF(OR($F1736="",$J1736="",$J1736="نامعتبر"),"",LEFT($J1736,4)&amp;MID($J1736,6,2)&amp;RIGHT($J1736,2)&amp;$N1736&amp;"|"&amp;"2"&amp;RIGHT("00000"&amp;1731,5))</f>
        <v/>
      </c>
      <c r="L1736">
        <f>IF($K1736="","",COUNTIFS(LdgPartyA,$F1736,LdgKeyA,"&lt;"&amp;$K1736)+COUNTIFS(LdgPartyB,$F1736,LdgKeyB,"&lt;"&amp;$K1736)+1)</f>
        <v/>
      </c>
      <c r="M1736">
        <f>IF($L1736="","",$F1736&amp;"|"&amp;RIGHT("000000"&amp;$L1736,6))</f>
        <v/>
      </c>
      <c r="N1736">
        <f>IF($F1736="","",IF(Sync!$AH1736="","0000",IF(AND(ISNUMBER(Sync!$AH1736),Sync!$AH1736&gt;=0,Sync!$AH1736&lt;1),RIGHT("00"&amp;HOUR(Sync!$AH1736),2)&amp;RIGHT("00"&amp;MINUTE(Sync!$AH1736),2),IFERROR(RIGHT("00"&amp;VALUE(LEFT(Sync!$AH1736,FIND(":",Sync!$AH1736)-1)),2)&amp;RIGHT("00"&amp;VALUE(MID(Sync!$AH1736,FIND(":",Sync!$AH1736)+1,2)),2),"0000"))))</f>
        <v/>
      </c>
    </row>
    <row r="1737">
      <c r="A1737">
        <f>IF(OR(Calc!$E1740="",Calc!$E1740="نامعتبر",Calc!$G1740="",Calc!$I1740&lt;&gt;"خرید"),"",Calc!$G1740)</f>
        <v/>
      </c>
      <c r="B1737">
        <f>IF($A1737="","",LEFT(Calc!$E1740,4)&amp;MID(Calc!$E1740,6,2)&amp;RIGHT(Calc!$E1740,2)&amp;Calc!$R1740&amp;"|"&amp;"1"&amp;RIGHT("00000"&amp;1732,5))</f>
        <v/>
      </c>
      <c r="C1737">
        <f>IF($B1737="","",COUNTIFS(LdgPartyA,$A1737,LdgKeyA,"&lt;"&amp;$B1737)+COUNTIFS(LdgPartyB,$A1737,LdgKeyB,"&lt;"&amp;$B1737)+1)</f>
        <v/>
      </c>
      <c r="D1737">
        <f>IF($C1737="","",$A1737&amp;"|"&amp;RIGHT("000000"&amp;$C1737,6))</f>
        <v/>
      </c>
      <c r="F1737">
        <f>IF(Sync!$AJ1737="","",Sync!$AJ1737)</f>
        <v/>
      </c>
      <c r="G1737">
        <f>IF($F1737="","",IF(Sync!$AG1737="","",IF(ISNUMBER(Sync!$AG1737),IF(AND(Sync!$AG1737&gt;=10000101,Sync!$AG1737&lt;=99991231),INT(Sync!$AG1737/10000),""),IFERROR(VALUE(TRIM(LEFT(Sync!$AG1737,FIND("/",Sync!$AG1737)-1))),""))))</f>
        <v/>
      </c>
      <c r="H1737">
        <f>IF(OR($F1737="",$G1737=""),"",IF(ISNUMBER(Sync!$AG1737),INT(MOD(Sync!$AG1737,10000)/100),IFERROR(VALUE(TRIM(LEFT(MID(Sync!$AG1737,FIND("/",Sync!$AG1737)+1,20),FIND("/",MID(Sync!$AG1737,FIND("/",Sync!$AG1737)+1,20))-1))),"")))</f>
        <v/>
      </c>
      <c r="I1737">
        <f>IF(OR($F1737="",$G1737=""),"",IF(ISNUMBER(Sync!$AG1737),MOD(Sync!$AG1737,100),IFERROR(VALUE(TRIM(MID(MID(Sync!$AG1737,FIND("/",Sync!$AG1737)+1,20),FIND("/",MID(Sync!$AG1737,FIND("/",Sync!$AG1737)+1,20))+1,20))),"")))</f>
        <v/>
      </c>
      <c r="J1737">
        <f>IF($F1737="","",IF(OR($G1737="",$H1737="",$I1737="",$G1737&lt;1300,$G1737&gt;1500,$H1737&lt;1,$H1737&gt;12,$I1737&lt;1,$I1737&gt;31),"نامعتبر",RIGHT("0000"&amp;$G1737,4)&amp;"/"&amp;RIGHT("00"&amp;$H1737,2)&amp;"/"&amp;RIGHT("00"&amp;$I1737,2)))</f>
        <v/>
      </c>
      <c r="K1737">
        <f>IF(OR($F1737="",$J1737="",$J1737="نامعتبر"),"",LEFT($J1737,4)&amp;MID($J1737,6,2)&amp;RIGHT($J1737,2)&amp;$N1737&amp;"|"&amp;"2"&amp;RIGHT("00000"&amp;1732,5))</f>
        <v/>
      </c>
      <c r="L1737">
        <f>IF($K1737="","",COUNTIFS(LdgPartyA,$F1737,LdgKeyA,"&lt;"&amp;$K1737)+COUNTIFS(LdgPartyB,$F1737,LdgKeyB,"&lt;"&amp;$K1737)+1)</f>
        <v/>
      </c>
      <c r="M1737">
        <f>IF($L1737="","",$F1737&amp;"|"&amp;RIGHT("000000"&amp;$L1737,6))</f>
        <v/>
      </c>
      <c r="N1737">
        <f>IF($F1737="","",IF(Sync!$AH1737="","0000",IF(AND(ISNUMBER(Sync!$AH1737),Sync!$AH1737&gt;=0,Sync!$AH1737&lt;1),RIGHT("00"&amp;HOUR(Sync!$AH1737),2)&amp;RIGHT("00"&amp;MINUTE(Sync!$AH1737),2),IFERROR(RIGHT("00"&amp;VALUE(LEFT(Sync!$AH1737,FIND(":",Sync!$AH1737)-1)),2)&amp;RIGHT("00"&amp;VALUE(MID(Sync!$AH1737,FIND(":",Sync!$AH1737)+1,2)),2),"0000"))))</f>
        <v/>
      </c>
    </row>
    <row r="1738">
      <c r="A1738">
        <f>IF(OR(Calc!$E1741="",Calc!$E1741="نامعتبر",Calc!$G1741="",Calc!$I1741&lt;&gt;"خرید"),"",Calc!$G1741)</f>
        <v/>
      </c>
      <c r="B1738">
        <f>IF($A1738="","",LEFT(Calc!$E1741,4)&amp;MID(Calc!$E1741,6,2)&amp;RIGHT(Calc!$E1741,2)&amp;Calc!$R1741&amp;"|"&amp;"1"&amp;RIGHT("00000"&amp;1733,5))</f>
        <v/>
      </c>
      <c r="C1738">
        <f>IF($B1738="","",COUNTIFS(LdgPartyA,$A1738,LdgKeyA,"&lt;"&amp;$B1738)+COUNTIFS(LdgPartyB,$A1738,LdgKeyB,"&lt;"&amp;$B1738)+1)</f>
        <v/>
      </c>
      <c r="D1738">
        <f>IF($C1738="","",$A1738&amp;"|"&amp;RIGHT("000000"&amp;$C1738,6))</f>
        <v/>
      </c>
      <c r="F1738">
        <f>IF(Sync!$AJ1738="","",Sync!$AJ1738)</f>
        <v/>
      </c>
      <c r="G1738">
        <f>IF($F1738="","",IF(Sync!$AG1738="","",IF(ISNUMBER(Sync!$AG1738),IF(AND(Sync!$AG1738&gt;=10000101,Sync!$AG1738&lt;=99991231),INT(Sync!$AG1738/10000),""),IFERROR(VALUE(TRIM(LEFT(Sync!$AG1738,FIND("/",Sync!$AG1738)-1))),""))))</f>
        <v/>
      </c>
      <c r="H1738">
        <f>IF(OR($F1738="",$G1738=""),"",IF(ISNUMBER(Sync!$AG1738),INT(MOD(Sync!$AG1738,10000)/100),IFERROR(VALUE(TRIM(LEFT(MID(Sync!$AG1738,FIND("/",Sync!$AG1738)+1,20),FIND("/",MID(Sync!$AG1738,FIND("/",Sync!$AG1738)+1,20))-1))),"")))</f>
        <v/>
      </c>
      <c r="I1738">
        <f>IF(OR($F1738="",$G1738=""),"",IF(ISNUMBER(Sync!$AG1738),MOD(Sync!$AG1738,100),IFERROR(VALUE(TRIM(MID(MID(Sync!$AG1738,FIND("/",Sync!$AG1738)+1,20),FIND("/",MID(Sync!$AG1738,FIND("/",Sync!$AG1738)+1,20))+1,20))),"")))</f>
        <v/>
      </c>
      <c r="J1738">
        <f>IF($F1738="","",IF(OR($G1738="",$H1738="",$I1738="",$G1738&lt;1300,$G1738&gt;1500,$H1738&lt;1,$H1738&gt;12,$I1738&lt;1,$I1738&gt;31),"نامعتبر",RIGHT("0000"&amp;$G1738,4)&amp;"/"&amp;RIGHT("00"&amp;$H1738,2)&amp;"/"&amp;RIGHT("00"&amp;$I1738,2)))</f>
        <v/>
      </c>
      <c r="K1738">
        <f>IF(OR($F1738="",$J1738="",$J1738="نامعتبر"),"",LEFT($J1738,4)&amp;MID($J1738,6,2)&amp;RIGHT($J1738,2)&amp;$N1738&amp;"|"&amp;"2"&amp;RIGHT("00000"&amp;1733,5))</f>
        <v/>
      </c>
      <c r="L1738">
        <f>IF($K1738="","",COUNTIFS(LdgPartyA,$F1738,LdgKeyA,"&lt;"&amp;$K1738)+COUNTIFS(LdgPartyB,$F1738,LdgKeyB,"&lt;"&amp;$K1738)+1)</f>
        <v/>
      </c>
      <c r="M1738">
        <f>IF($L1738="","",$F1738&amp;"|"&amp;RIGHT("000000"&amp;$L1738,6))</f>
        <v/>
      </c>
      <c r="N1738">
        <f>IF($F1738="","",IF(Sync!$AH1738="","0000",IF(AND(ISNUMBER(Sync!$AH1738),Sync!$AH1738&gt;=0,Sync!$AH1738&lt;1),RIGHT("00"&amp;HOUR(Sync!$AH1738),2)&amp;RIGHT("00"&amp;MINUTE(Sync!$AH1738),2),IFERROR(RIGHT("00"&amp;VALUE(LEFT(Sync!$AH1738,FIND(":",Sync!$AH1738)-1)),2)&amp;RIGHT("00"&amp;VALUE(MID(Sync!$AH1738,FIND(":",Sync!$AH1738)+1,2)),2),"0000"))))</f>
        <v/>
      </c>
    </row>
    <row r="1739">
      <c r="A1739">
        <f>IF(OR(Calc!$E1742="",Calc!$E1742="نامعتبر",Calc!$G1742="",Calc!$I1742&lt;&gt;"خرید"),"",Calc!$G1742)</f>
        <v/>
      </c>
      <c r="B1739">
        <f>IF($A1739="","",LEFT(Calc!$E1742,4)&amp;MID(Calc!$E1742,6,2)&amp;RIGHT(Calc!$E1742,2)&amp;Calc!$R1742&amp;"|"&amp;"1"&amp;RIGHT("00000"&amp;1734,5))</f>
        <v/>
      </c>
      <c r="C1739">
        <f>IF($B1739="","",COUNTIFS(LdgPartyA,$A1739,LdgKeyA,"&lt;"&amp;$B1739)+COUNTIFS(LdgPartyB,$A1739,LdgKeyB,"&lt;"&amp;$B1739)+1)</f>
        <v/>
      </c>
      <c r="D1739">
        <f>IF($C1739="","",$A1739&amp;"|"&amp;RIGHT("000000"&amp;$C1739,6))</f>
        <v/>
      </c>
      <c r="F1739">
        <f>IF(Sync!$AJ1739="","",Sync!$AJ1739)</f>
        <v/>
      </c>
      <c r="G1739">
        <f>IF($F1739="","",IF(Sync!$AG1739="","",IF(ISNUMBER(Sync!$AG1739),IF(AND(Sync!$AG1739&gt;=10000101,Sync!$AG1739&lt;=99991231),INT(Sync!$AG1739/10000),""),IFERROR(VALUE(TRIM(LEFT(Sync!$AG1739,FIND("/",Sync!$AG1739)-1))),""))))</f>
        <v/>
      </c>
      <c r="H1739">
        <f>IF(OR($F1739="",$G1739=""),"",IF(ISNUMBER(Sync!$AG1739),INT(MOD(Sync!$AG1739,10000)/100),IFERROR(VALUE(TRIM(LEFT(MID(Sync!$AG1739,FIND("/",Sync!$AG1739)+1,20),FIND("/",MID(Sync!$AG1739,FIND("/",Sync!$AG1739)+1,20))-1))),"")))</f>
        <v/>
      </c>
      <c r="I1739">
        <f>IF(OR($F1739="",$G1739=""),"",IF(ISNUMBER(Sync!$AG1739),MOD(Sync!$AG1739,100),IFERROR(VALUE(TRIM(MID(MID(Sync!$AG1739,FIND("/",Sync!$AG1739)+1,20),FIND("/",MID(Sync!$AG1739,FIND("/",Sync!$AG1739)+1,20))+1,20))),"")))</f>
        <v/>
      </c>
      <c r="J1739">
        <f>IF($F1739="","",IF(OR($G1739="",$H1739="",$I1739="",$G1739&lt;1300,$G1739&gt;1500,$H1739&lt;1,$H1739&gt;12,$I1739&lt;1,$I1739&gt;31),"نامعتبر",RIGHT("0000"&amp;$G1739,4)&amp;"/"&amp;RIGHT("00"&amp;$H1739,2)&amp;"/"&amp;RIGHT("00"&amp;$I1739,2)))</f>
        <v/>
      </c>
      <c r="K1739">
        <f>IF(OR($F1739="",$J1739="",$J1739="نامعتبر"),"",LEFT($J1739,4)&amp;MID($J1739,6,2)&amp;RIGHT($J1739,2)&amp;$N1739&amp;"|"&amp;"2"&amp;RIGHT("00000"&amp;1734,5))</f>
        <v/>
      </c>
      <c r="L1739">
        <f>IF($K1739="","",COUNTIFS(LdgPartyA,$F1739,LdgKeyA,"&lt;"&amp;$K1739)+COUNTIFS(LdgPartyB,$F1739,LdgKeyB,"&lt;"&amp;$K1739)+1)</f>
        <v/>
      </c>
      <c r="M1739">
        <f>IF($L1739="","",$F1739&amp;"|"&amp;RIGHT("000000"&amp;$L1739,6))</f>
        <v/>
      </c>
      <c r="N1739">
        <f>IF($F1739="","",IF(Sync!$AH1739="","0000",IF(AND(ISNUMBER(Sync!$AH1739),Sync!$AH1739&gt;=0,Sync!$AH1739&lt;1),RIGHT("00"&amp;HOUR(Sync!$AH1739),2)&amp;RIGHT("00"&amp;MINUTE(Sync!$AH1739),2),IFERROR(RIGHT("00"&amp;VALUE(LEFT(Sync!$AH1739,FIND(":",Sync!$AH1739)-1)),2)&amp;RIGHT("00"&amp;VALUE(MID(Sync!$AH1739,FIND(":",Sync!$AH1739)+1,2)),2),"0000"))))</f>
        <v/>
      </c>
    </row>
    <row r="1740">
      <c r="A1740">
        <f>IF(OR(Calc!$E1743="",Calc!$E1743="نامعتبر",Calc!$G1743="",Calc!$I1743&lt;&gt;"خرید"),"",Calc!$G1743)</f>
        <v/>
      </c>
      <c r="B1740">
        <f>IF($A1740="","",LEFT(Calc!$E1743,4)&amp;MID(Calc!$E1743,6,2)&amp;RIGHT(Calc!$E1743,2)&amp;Calc!$R1743&amp;"|"&amp;"1"&amp;RIGHT("00000"&amp;1735,5))</f>
        <v/>
      </c>
      <c r="C1740">
        <f>IF($B1740="","",COUNTIFS(LdgPartyA,$A1740,LdgKeyA,"&lt;"&amp;$B1740)+COUNTIFS(LdgPartyB,$A1740,LdgKeyB,"&lt;"&amp;$B1740)+1)</f>
        <v/>
      </c>
      <c r="D1740">
        <f>IF($C1740="","",$A1740&amp;"|"&amp;RIGHT("000000"&amp;$C1740,6))</f>
        <v/>
      </c>
      <c r="F1740">
        <f>IF(Sync!$AJ1740="","",Sync!$AJ1740)</f>
        <v/>
      </c>
      <c r="G1740">
        <f>IF($F1740="","",IF(Sync!$AG1740="","",IF(ISNUMBER(Sync!$AG1740),IF(AND(Sync!$AG1740&gt;=10000101,Sync!$AG1740&lt;=99991231),INT(Sync!$AG1740/10000),""),IFERROR(VALUE(TRIM(LEFT(Sync!$AG1740,FIND("/",Sync!$AG1740)-1))),""))))</f>
        <v/>
      </c>
      <c r="H1740">
        <f>IF(OR($F1740="",$G1740=""),"",IF(ISNUMBER(Sync!$AG1740),INT(MOD(Sync!$AG1740,10000)/100),IFERROR(VALUE(TRIM(LEFT(MID(Sync!$AG1740,FIND("/",Sync!$AG1740)+1,20),FIND("/",MID(Sync!$AG1740,FIND("/",Sync!$AG1740)+1,20))-1))),"")))</f>
        <v/>
      </c>
      <c r="I1740">
        <f>IF(OR($F1740="",$G1740=""),"",IF(ISNUMBER(Sync!$AG1740),MOD(Sync!$AG1740,100),IFERROR(VALUE(TRIM(MID(MID(Sync!$AG1740,FIND("/",Sync!$AG1740)+1,20),FIND("/",MID(Sync!$AG1740,FIND("/",Sync!$AG1740)+1,20))+1,20))),"")))</f>
        <v/>
      </c>
      <c r="J1740">
        <f>IF($F1740="","",IF(OR($G1740="",$H1740="",$I1740="",$G1740&lt;1300,$G1740&gt;1500,$H1740&lt;1,$H1740&gt;12,$I1740&lt;1,$I1740&gt;31),"نامعتبر",RIGHT("0000"&amp;$G1740,4)&amp;"/"&amp;RIGHT("00"&amp;$H1740,2)&amp;"/"&amp;RIGHT("00"&amp;$I1740,2)))</f>
        <v/>
      </c>
      <c r="K1740">
        <f>IF(OR($F1740="",$J1740="",$J1740="نامعتبر"),"",LEFT($J1740,4)&amp;MID($J1740,6,2)&amp;RIGHT($J1740,2)&amp;$N1740&amp;"|"&amp;"2"&amp;RIGHT("00000"&amp;1735,5))</f>
        <v/>
      </c>
      <c r="L1740">
        <f>IF($K1740="","",COUNTIFS(LdgPartyA,$F1740,LdgKeyA,"&lt;"&amp;$K1740)+COUNTIFS(LdgPartyB,$F1740,LdgKeyB,"&lt;"&amp;$K1740)+1)</f>
        <v/>
      </c>
      <c r="M1740">
        <f>IF($L1740="","",$F1740&amp;"|"&amp;RIGHT("000000"&amp;$L1740,6))</f>
        <v/>
      </c>
      <c r="N1740">
        <f>IF($F1740="","",IF(Sync!$AH1740="","0000",IF(AND(ISNUMBER(Sync!$AH1740),Sync!$AH1740&gt;=0,Sync!$AH1740&lt;1),RIGHT("00"&amp;HOUR(Sync!$AH1740),2)&amp;RIGHT("00"&amp;MINUTE(Sync!$AH1740),2),IFERROR(RIGHT("00"&amp;VALUE(LEFT(Sync!$AH1740,FIND(":",Sync!$AH1740)-1)),2)&amp;RIGHT("00"&amp;VALUE(MID(Sync!$AH1740,FIND(":",Sync!$AH1740)+1,2)),2),"0000"))))</f>
        <v/>
      </c>
    </row>
    <row r="1741">
      <c r="A1741">
        <f>IF(OR(Calc!$E1744="",Calc!$E1744="نامعتبر",Calc!$G1744="",Calc!$I1744&lt;&gt;"خرید"),"",Calc!$G1744)</f>
        <v/>
      </c>
      <c r="B1741">
        <f>IF($A1741="","",LEFT(Calc!$E1744,4)&amp;MID(Calc!$E1744,6,2)&amp;RIGHT(Calc!$E1744,2)&amp;Calc!$R1744&amp;"|"&amp;"1"&amp;RIGHT("00000"&amp;1736,5))</f>
        <v/>
      </c>
      <c r="C1741">
        <f>IF($B1741="","",COUNTIFS(LdgPartyA,$A1741,LdgKeyA,"&lt;"&amp;$B1741)+COUNTIFS(LdgPartyB,$A1741,LdgKeyB,"&lt;"&amp;$B1741)+1)</f>
        <v/>
      </c>
      <c r="D1741">
        <f>IF($C1741="","",$A1741&amp;"|"&amp;RIGHT("000000"&amp;$C1741,6))</f>
        <v/>
      </c>
      <c r="F1741">
        <f>IF(Sync!$AJ1741="","",Sync!$AJ1741)</f>
        <v/>
      </c>
      <c r="G1741">
        <f>IF($F1741="","",IF(Sync!$AG1741="","",IF(ISNUMBER(Sync!$AG1741),IF(AND(Sync!$AG1741&gt;=10000101,Sync!$AG1741&lt;=99991231),INT(Sync!$AG1741/10000),""),IFERROR(VALUE(TRIM(LEFT(Sync!$AG1741,FIND("/",Sync!$AG1741)-1))),""))))</f>
        <v/>
      </c>
      <c r="H1741">
        <f>IF(OR($F1741="",$G1741=""),"",IF(ISNUMBER(Sync!$AG1741),INT(MOD(Sync!$AG1741,10000)/100),IFERROR(VALUE(TRIM(LEFT(MID(Sync!$AG1741,FIND("/",Sync!$AG1741)+1,20),FIND("/",MID(Sync!$AG1741,FIND("/",Sync!$AG1741)+1,20))-1))),"")))</f>
        <v/>
      </c>
      <c r="I1741">
        <f>IF(OR($F1741="",$G1741=""),"",IF(ISNUMBER(Sync!$AG1741),MOD(Sync!$AG1741,100),IFERROR(VALUE(TRIM(MID(MID(Sync!$AG1741,FIND("/",Sync!$AG1741)+1,20),FIND("/",MID(Sync!$AG1741,FIND("/",Sync!$AG1741)+1,20))+1,20))),"")))</f>
        <v/>
      </c>
      <c r="J1741">
        <f>IF($F1741="","",IF(OR($G1741="",$H1741="",$I1741="",$G1741&lt;1300,$G1741&gt;1500,$H1741&lt;1,$H1741&gt;12,$I1741&lt;1,$I1741&gt;31),"نامعتبر",RIGHT("0000"&amp;$G1741,4)&amp;"/"&amp;RIGHT("00"&amp;$H1741,2)&amp;"/"&amp;RIGHT("00"&amp;$I1741,2)))</f>
        <v/>
      </c>
      <c r="K1741">
        <f>IF(OR($F1741="",$J1741="",$J1741="نامعتبر"),"",LEFT($J1741,4)&amp;MID($J1741,6,2)&amp;RIGHT($J1741,2)&amp;$N1741&amp;"|"&amp;"2"&amp;RIGHT("00000"&amp;1736,5))</f>
        <v/>
      </c>
      <c r="L1741">
        <f>IF($K1741="","",COUNTIFS(LdgPartyA,$F1741,LdgKeyA,"&lt;"&amp;$K1741)+COUNTIFS(LdgPartyB,$F1741,LdgKeyB,"&lt;"&amp;$K1741)+1)</f>
        <v/>
      </c>
      <c r="M1741">
        <f>IF($L1741="","",$F1741&amp;"|"&amp;RIGHT("000000"&amp;$L1741,6))</f>
        <v/>
      </c>
      <c r="N1741">
        <f>IF($F1741="","",IF(Sync!$AH1741="","0000",IF(AND(ISNUMBER(Sync!$AH1741),Sync!$AH1741&gt;=0,Sync!$AH1741&lt;1),RIGHT("00"&amp;HOUR(Sync!$AH1741),2)&amp;RIGHT("00"&amp;MINUTE(Sync!$AH1741),2),IFERROR(RIGHT("00"&amp;VALUE(LEFT(Sync!$AH1741,FIND(":",Sync!$AH1741)-1)),2)&amp;RIGHT("00"&amp;VALUE(MID(Sync!$AH1741,FIND(":",Sync!$AH1741)+1,2)),2),"0000"))))</f>
        <v/>
      </c>
    </row>
    <row r="1742">
      <c r="A1742">
        <f>IF(OR(Calc!$E1745="",Calc!$E1745="نامعتبر",Calc!$G1745="",Calc!$I1745&lt;&gt;"خرید"),"",Calc!$G1745)</f>
        <v/>
      </c>
      <c r="B1742">
        <f>IF($A1742="","",LEFT(Calc!$E1745,4)&amp;MID(Calc!$E1745,6,2)&amp;RIGHT(Calc!$E1745,2)&amp;Calc!$R1745&amp;"|"&amp;"1"&amp;RIGHT("00000"&amp;1737,5))</f>
        <v/>
      </c>
      <c r="C1742">
        <f>IF($B1742="","",COUNTIFS(LdgPartyA,$A1742,LdgKeyA,"&lt;"&amp;$B1742)+COUNTIFS(LdgPartyB,$A1742,LdgKeyB,"&lt;"&amp;$B1742)+1)</f>
        <v/>
      </c>
      <c r="D1742">
        <f>IF($C1742="","",$A1742&amp;"|"&amp;RIGHT("000000"&amp;$C1742,6))</f>
        <v/>
      </c>
      <c r="F1742">
        <f>IF(Sync!$AJ1742="","",Sync!$AJ1742)</f>
        <v/>
      </c>
      <c r="G1742">
        <f>IF($F1742="","",IF(Sync!$AG1742="","",IF(ISNUMBER(Sync!$AG1742),IF(AND(Sync!$AG1742&gt;=10000101,Sync!$AG1742&lt;=99991231),INT(Sync!$AG1742/10000),""),IFERROR(VALUE(TRIM(LEFT(Sync!$AG1742,FIND("/",Sync!$AG1742)-1))),""))))</f>
        <v/>
      </c>
      <c r="H1742">
        <f>IF(OR($F1742="",$G1742=""),"",IF(ISNUMBER(Sync!$AG1742),INT(MOD(Sync!$AG1742,10000)/100),IFERROR(VALUE(TRIM(LEFT(MID(Sync!$AG1742,FIND("/",Sync!$AG1742)+1,20),FIND("/",MID(Sync!$AG1742,FIND("/",Sync!$AG1742)+1,20))-1))),"")))</f>
        <v/>
      </c>
      <c r="I1742">
        <f>IF(OR($F1742="",$G1742=""),"",IF(ISNUMBER(Sync!$AG1742),MOD(Sync!$AG1742,100),IFERROR(VALUE(TRIM(MID(MID(Sync!$AG1742,FIND("/",Sync!$AG1742)+1,20),FIND("/",MID(Sync!$AG1742,FIND("/",Sync!$AG1742)+1,20))+1,20))),"")))</f>
        <v/>
      </c>
      <c r="J1742">
        <f>IF($F1742="","",IF(OR($G1742="",$H1742="",$I1742="",$G1742&lt;1300,$G1742&gt;1500,$H1742&lt;1,$H1742&gt;12,$I1742&lt;1,$I1742&gt;31),"نامعتبر",RIGHT("0000"&amp;$G1742,4)&amp;"/"&amp;RIGHT("00"&amp;$H1742,2)&amp;"/"&amp;RIGHT("00"&amp;$I1742,2)))</f>
        <v/>
      </c>
      <c r="K1742">
        <f>IF(OR($F1742="",$J1742="",$J1742="نامعتبر"),"",LEFT($J1742,4)&amp;MID($J1742,6,2)&amp;RIGHT($J1742,2)&amp;$N1742&amp;"|"&amp;"2"&amp;RIGHT("00000"&amp;1737,5))</f>
        <v/>
      </c>
      <c r="L1742">
        <f>IF($K1742="","",COUNTIFS(LdgPartyA,$F1742,LdgKeyA,"&lt;"&amp;$K1742)+COUNTIFS(LdgPartyB,$F1742,LdgKeyB,"&lt;"&amp;$K1742)+1)</f>
        <v/>
      </c>
      <c r="M1742">
        <f>IF($L1742="","",$F1742&amp;"|"&amp;RIGHT("000000"&amp;$L1742,6))</f>
        <v/>
      </c>
      <c r="N1742">
        <f>IF($F1742="","",IF(Sync!$AH1742="","0000",IF(AND(ISNUMBER(Sync!$AH1742),Sync!$AH1742&gt;=0,Sync!$AH1742&lt;1),RIGHT("00"&amp;HOUR(Sync!$AH1742),2)&amp;RIGHT("00"&amp;MINUTE(Sync!$AH1742),2),IFERROR(RIGHT("00"&amp;VALUE(LEFT(Sync!$AH1742,FIND(":",Sync!$AH1742)-1)),2)&amp;RIGHT("00"&amp;VALUE(MID(Sync!$AH1742,FIND(":",Sync!$AH1742)+1,2)),2),"0000"))))</f>
        <v/>
      </c>
    </row>
    <row r="1743">
      <c r="A1743">
        <f>IF(OR(Calc!$E1746="",Calc!$E1746="نامعتبر",Calc!$G1746="",Calc!$I1746&lt;&gt;"خرید"),"",Calc!$G1746)</f>
        <v/>
      </c>
      <c r="B1743">
        <f>IF($A1743="","",LEFT(Calc!$E1746,4)&amp;MID(Calc!$E1746,6,2)&amp;RIGHT(Calc!$E1746,2)&amp;Calc!$R1746&amp;"|"&amp;"1"&amp;RIGHT("00000"&amp;1738,5))</f>
        <v/>
      </c>
      <c r="C1743">
        <f>IF($B1743="","",COUNTIFS(LdgPartyA,$A1743,LdgKeyA,"&lt;"&amp;$B1743)+COUNTIFS(LdgPartyB,$A1743,LdgKeyB,"&lt;"&amp;$B1743)+1)</f>
        <v/>
      </c>
      <c r="D1743">
        <f>IF($C1743="","",$A1743&amp;"|"&amp;RIGHT("000000"&amp;$C1743,6))</f>
        <v/>
      </c>
      <c r="F1743">
        <f>IF(Sync!$AJ1743="","",Sync!$AJ1743)</f>
        <v/>
      </c>
      <c r="G1743">
        <f>IF($F1743="","",IF(Sync!$AG1743="","",IF(ISNUMBER(Sync!$AG1743),IF(AND(Sync!$AG1743&gt;=10000101,Sync!$AG1743&lt;=99991231),INT(Sync!$AG1743/10000),""),IFERROR(VALUE(TRIM(LEFT(Sync!$AG1743,FIND("/",Sync!$AG1743)-1))),""))))</f>
        <v/>
      </c>
      <c r="H1743">
        <f>IF(OR($F1743="",$G1743=""),"",IF(ISNUMBER(Sync!$AG1743),INT(MOD(Sync!$AG1743,10000)/100),IFERROR(VALUE(TRIM(LEFT(MID(Sync!$AG1743,FIND("/",Sync!$AG1743)+1,20),FIND("/",MID(Sync!$AG1743,FIND("/",Sync!$AG1743)+1,20))-1))),"")))</f>
        <v/>
      </c>
      <c r="I1743">
        <f>IF(OR($F1743="",$G1743=""),"",IF(ISNUMBER(Sync!$AG1743),MOD(Sync!$AG1743,100),IFERROR(VALUE(TRIM(MID(MID(Sync!$AG1743,FIND("/",Sync!$AG1743)+1,20),FIND("/",MID(Sync!$AG1743,FIND("/",Sync!$AG1743)+1,20))+1,20))),"")))</f>
        <v/>
      </c>
      <c r="J1743">
        <f>IF($F1743="","",IF(OR($G1743="",$H1743="",$I1743="",$G1743&lt;1300,$G1743&gt;1500,$H1743&lt;1,$H1743&gt;12,$I1743&lt;1,$I1743&gt;31),"نامعتبر",RIGHT("0000"&amp;$G1743,4)&amp;"/"&amp;RIGHT("00"&amp;$H1743,2)&amp;"/"&amp;RIGHT("00"&amp;$I1743,2)))</f>
        <v/>
      </c>
      <c r="K1743">
        <f>IF(OR($F1743="",$J1743="",$J1743="نامعتبر"),"",LEFT($J1743,4)&amp;MID($J1743,6,2)&amp;RIGHT($J1743,2)&amp;$N1743&amp;"|"&amp;"2"&amp;RIGHT("00000"&amp;1738,5))</f>
        <v/>
      </c>
      <c r="L1743">
        <f>IF($K1743="","",COUNTIFS(LdgPartyA,$F1743,LdgKeyA,"&lt;"&amp;$K1743)+COUNTIFS(LdgPartyB,$F1743,LdgKeyB,"&lt;"&amp;$K1743)+1)</f>
        <v/>
      </c>
      <c r="M1743">
        <f>IF($L1743="","",$F1743&amp;"|"&amp;RIGHT("000000"&amp;$L1743,6))</f>
        <v/>
      </c>
      <c r="N1743">
        <f>IF($F1743="","",IF(Sync!$AH1743="","0000",IF(AND(ISNUMBER(Sync!$AH1743),Sync!$AH1743&gt;=0,Sync!$AH1743&lt;1),RIGHT("00"&amp;HOUR(Sync!$AH1743),2)&amp;RIGHT("00"&amp;MINUTE(Sync!$AH1743),2),IFERROR(RIGHT("00"&amp;VALUE(LEFT(Sync!$AH1743,FIND(":",Sync!$AH1743)-1)),2)&amp;RIGHT("00"&amp;VALUE(MID(Sync!$AH1743,FIND(":",Sync!$AH1743)+1,2)),2),"0000"))))</f>
        <v/>
      </c>
    </row>
    <row r="1744">
      <c r="A1744">
        <f>IF(OR(Calc!$E1747="",Calc!$E1747="نامعتبر",Calc!$G1747="",Calc!$I1747&lt;&gt;"خرید"),"",Calc!$G1747)</f>
        <v/>
      </c>
      <c r="B1744">
        <f>IF($A1744="","",LEFT(Calc!$E1747,4)&amp;MID(Calc!$E1747,6,2)&amp;RIGHT(Calc!$E1747,2)&amp;Calc!$R1747&amp;"|"&amp;"1"&amp;RIGHT("00000"&amp;1739,5))</f>
        <v/>
      </c>
      <c r="C1744">
        <f>IF($B1744="","",COUNTIFS(LdgPartyA,$A1744,LdgKeyA,"&lt;"&amp;$B1744)+COUNTIFS(LdgPartyB,$A1744,LdgKeyB,"&lt;"&amp;$B1744)+1)</f>
        <v/>
      </c>
      <c r="D1744">
        <f>IF($C1744="","",$A1744&amp;"|"&amp;RIGHT("000000"&amp;$C1744,6))</f>
        <v/>
      </c>
      <c r="F1744">
        <f>IF(Sync!$AJ1744="","",Sync!$AJ1744)</f>
        <v/>
      </c>
      <c r="G1744">
        <f>IF($F1744="","",IF(Sync!$AG1744="","",IF(ISNUMBER(Sync!$AG1744),IF(AND(Sync!$AG1744&gt;=10000101,Sync!$AG1744&lt;=99991231),INT(Sync!$AG1744/10000),""),IFERROR(VALUE(TRIM(LEFT(Sync!$AG1744,FIND("/",Sync!$AG1744)-1))),""))))</f>
        <v/>
      </c>
      <c r="H1744">
        <f>IF(OR($F1744="",$G1744=""),"",IF(ISNUMBER(Sync!$AG1744),INT(MOD(Sync!$AG1744,10000)/100),IFERROR(VALUE(TRIM(LEFT(MID(Sync!$AG1744,FIND("/",Sync!$AG1744)+1,20),FIND("/",MID(Sync!$AG1744,FIND("/",Sync!$AG1744)+1,20))-1))),"")))</f>
        <v/>
      </c>
      <c r="I1744">
        <f>IF(OR($F1744="",$G1744=""),"",IF(ISNUMBER(Sync!$AG1744),MOD(Sync!$AG1744,100),IFERROR(VALUE(TRIM(MID(MID(Sync!$AG1744,FIND("/",Sync!$AG1744)+1,20),FIND("/",MID(Sync!$AG1744,FIND("/",Sync!$AG1744)+1,20))+1,20))),"")))</f>
        <v/>
      </c>
      <c r="J1744">
        <f>IF($F1744="","",IF(OR($G1744="",$H1744="",$I1744="",$G1744&lt;1300,$G1744&gt;1500,$H1744&lt;1,$H1744&gt;12,$I1744&lt;1,$I1744&gt;31),"نامعتبر",RIGHT("0000"&amp;$G1744,4)&amp;"/"&amp;RIGHT("00"&amp;$H1744,2)&amp;"/"&amp;RIGHT("00"&amp;$I1744,2)))</f>
        <v/>
      </c>
      <c r="K1744">
        <f>IF(OR($F1744="",$J1744="",$J1744="نامعتبر"),"",LEFT($J1744,4)&amp;MID($J1744,6,2)&amp;RIGHT($J1744,2)&amp;$N1744&amp;"|"&amp;"2"&amp;RIGHT("00000"&amp;1739,5))</f>
        <v/>
      </c>
      <c r="L1744">
        <f>IF($K1744="","",COUNTIFS(LdgPartyA,$F1744,LdgKeyA,"&lt;"&amp;$K1744)+COUNTIFS(LdgPartyB,$F1744,LdgKeyB,"&lt;"&amp;$K1744)+1)</f>
        <v/>
      </c>
      <c r="M1744">
        <f>IF($L1744="","",$F1744&amp;"|"&amp;RIGHT("000000"&amp;$L1744,6))</f>
        <v/>
      </c>
      <c r="N1744">
        <f>IF($F1744="","",IF(Sync!$AH1744="","0000",IF(AND(ISNUMBER(Sync!$AH1744),Sync!$AH1744&gt;=0,Sync!$AH1744&lt;1),RIGHT("00"&amp;HOUR(Sync!$AH1744),2)&amp;RIGHT("00"&amp;MINUTE(Sync!$AH1744),2),IFERROR(RIGHT("00"&amp;VALUE(LEFT(Sync!$AH1744,FIND(":",Sync!$AH1744)-1)),2)&amp;RIGHT("00"&amp;VALUE(MID(Sync!$AH1744,FIND(":",Sync!$AH1744)+1,2)),2),"0000"))))</f>
        <v/>
      </c>
    </row>
    <row r="1745">
      <c r="A1745">
        <f>IF(OR(Calc!$E1748="",Calc!$E1748="نامعتبر",Calc!$G1748="",Calc!$I1748&lt;&gt;"خرید"),"",Calc!$G1748)</f>
        <v/>
      </c>
      <c r="B1745">
        <f>IF($A1745="","",LEFT(Calc!$E1748,4)&amp;MID(Calc!$E1748,6,2)&amp;RIGHT(Calc!$E1748,2)&amp;Calc!$R1748&amp;"|"&amp;"1"&amp;RIGHT("00000"&amp;1740,5))</f>
        <v/>
      </c>
      <c r="C1745">
        <f>IF($B1745="","",COUNTIFS(LdgPartyA,$A1745,LdgKeyA,"&lt;"&amp;$B1745)+COUNTIFS(LdgPartyB,$A1745,LdgKeyB,"&lt;"&amp;$B1745)+1)</f>
        <v/>
      </c>
      <c r="D1745">
        <f>IF($C1745="","",$A1745&amp;"|"&amp;RIGHT("000000"&amp;$C1745,6))</f>
        <v/>
      </c>
      <c r="F1745">
        <f>IF(Sync!$AJ1745="","",Sync!$AJ1745)</f>
        <v/>
      </c>
      <c r="G1745">
        <f>IF($F1745="","",IF(Sync!$AG1745="","",IF(ISNUMBER(Sync!$AG1745),IF(AND(Sync!$AG1745&gt;=10000101,Sync!$AG1745&lt;=99991231),INT(Sync!$AG1745/10000),""),IFERROR(VALUE(TRIM(LEFT(Sync!$AG1745,FIND("/",Sync!$AG1745)-1))),""))))</f>
        <v/>
      </c>
      <c r="H1745">
        <f>IF(OR($F1745="",$G1745=""),"",IF(ISNUMBER(Sync!$AG1745),INT(MOD(Sync!$AG1745,10000)/100),IFERROR(VALUE(TRIM(LEFT(MID(Sync!$AG1745,FIND("/",Sync!$AG1745)+1,20),FIND("/",MID(Sync!$AG1745,FIND("/",Sync!$AG1745)+1,20))-1))),"")))</f>
        <v/>
      </c>
      <c r="I1745">
        <f>IF(OR($F1745="",$G1745=""),"",IF(ISNUMBER(Sync!$AG1745),MOD(Sync!$AG1745,100),IFERROR(VALUE(TRIM(MID(MID(Sync!$AG1745,FIND("/",Sync!$AG1745)+1,20),FIND("/",MID(Sync!$AG1745,FIND("/",Sync!$AG1745)+1,20))+1,20))),"")))</f>
        <v/>
      </c>
      <c r="J1745">
        <f>IF($F1745="","",IF(OR($G1745="",$H1745="",$I1745="",$G1745&lt;1300,$G1745&gt;1500,$H1745&lt;1,$H1745&gt;12,$I1745&lt;1,$I1745&gt;31),"نامعتبر",RIGHT("0000"&amp;$G1745,4)&amp;"/"&amp;RIGHT("00"&amp;$H1745,2)&amp;"/"&amp;RIGHT("00"&amp;$I1745,2)))</f>
        <v/>
      </c>
      <c r="K1745">
        <f>IF(OR($F1745="",$J1745="",$J1745="نامعتبر"),"",LEFT($J1745,4)&amp;MID($J1745,6,2)&amp;RIGHT($J1745,2)&amp;$N1745&amp;"|"&amp;"2"&amp;RIGHT("00000"&amp;1740,5))</f>
        <v/>
      </c>
      <c r="L1745">
        <f>IF($K1745="","",COUNTIFS(LdgPartyA,$F1745,LdgKeyA,"&lt;"&amp;$K1745)+COUNTIFS(LdgPartyB,$F1745,LdgKeyB,"&lt;"&amp;$K1745)+1)</f>
        <v/>
      </c>
      <c r="M1745">
        <f>IF($L1745="","",$F1745&amp;"|"&amp;RIGHT("000000"&amp;$L1745,6))</f>
        <v/>
      </c>
      <c r="N1745">
        <f>IF($F1745="","",IF(Sync!$AH1745="","0000",IF(AND(ISNUMBER(Sync!$AH1745),Sync!$AH1745&gt;=0,Sync!$AH1745&lt;1),RIGHT("00"&amp;HOUR(Sync!$AH1745),2)&amp;RIGHT("00"&amp;MINUTE(Sync!$AH1745),2),IFERROR(RIGHT("00"&amp;VALUE(LEFT(Sync!$AH1745,FIND(":",Sync!$AH1745)-1)),2)&amp;RIGHT("00"&amp;VALUE(MID(Sync!$AH1745,FIND(":",Sync!$AH1745)+1,2)),2),"0000"))))</f>
        <v/>
      </c>
    </row>
    <row r="1746">
      <c r="A1746">
        <f>IF(OR(Calc!$E1749="",Calc!$E1749="نامعتبر",Calc!$G1749="",Calc!$I1749&lt;&gt;"خرید"),"",Calc!$G1749)</f>
        <v/>
      </c>
      <c r="B1746">
        <f>IF($A1746="","",LEFT(Calc!$E1749,4)&amp;MID(Calc!$E1749,6,2)&amp;RIGHT(Calc!$E1749,2)&amp;Calc!$R1749&amp;"|"&amp;"1"&amp;RIGHT("00000"&amp;1741,5))</f>
        <v/>
      </c>
      <c r="C1746">
        <f>IF($B1746="","",COUNTIFS(LdgPartyA,$A1746,LdgKeyA,"&lt;"&amp;$B1746)+COUNTIFS(LdgPartyB,$A1746,LdgKeyB,"&lt;"&amp;$B1746)+1)</f>
        <v/>
      </c>
      <c r="D1746">
        <f>IF($C1746="","",$A1746&amp;"|"&amp;RIGHT("000000"&amp;$C1746,6))</f>
        <v/>
      </c>
      <c r="F1746">
        <f>IF(Sync!$AJ1746="","",Sync!$AJ1746)</f>
        <v/>
      </c>
      <c r="G1746">
        <f>IF($F1746="","",IF(Sync!$AG1746="","",IF(ISNUMBER(Sync!$AG1746),IF(AND(Sync!$AG1746&gt;=10000101,Sync!$AG1746&lt;=99991231),INT(Sync!$AG1746/10000),""),IFERROR(VALUE(TRIM(LEFT(Sync!$AG1746,FIND("/",Sync!$AG1746)-1))),""))))</f>
        <v/>
      </c>
      <c r="H1746">
        <f>IF(OR($F1746="",$G1746=""),"",IF(ISNUMBER(Sync!$AG1746),INT(MOD(Sync!$AG1746,10000)/100),IFERROR(VALUE(TRIM(LEFT(MID(Sync!$AG1746,FIND("/",Sync!$AG1746)+1,20),FIND("/",MID(Sync!$AG1746,FIND("/",Sync!$AG1746)+1,20))-1))),"")))</f>
        <v/>
      </c>
      <c r="I1746">
        <f>IF(OR($F1746="",$G1746=""),"",IF(ISNUMBER(Sync!$AG1746),MOD(Sync!$AG1746,100),IFERROR(VALUE(TRIM(MID(MID(Sync!$AG1746,FIND("/",Sync!$AG1746)+1,20),FIND("/",MID(Sync!$AG1746,FIND("/",Sync!$AG1746)+1,20))+1,20))),"")))</f>
        <v/>
      </c>
      <c r="J1746">
        <f>IF($F1746="","",IF(OR($G1746="",$H1746="",$I1746="",$G1746&lt;1300,$G1746&gt;1500,$H1746&lt;1,$H1746&gt;12,$I1746&lt;1,$I1746&gt;31),"نامعتبر",RIGHT("0000"&amp;$G1746,4)&amp;"/"&amp;RIGHT("00"&amp;$H1746,2)&amp;"/"&amp;RIGHT("00"&amp;$I1746,2)))</f>
        <v/>
      </c>
      <c r="K1746">
        <f>IF(OR($F1746="",$J1746="",$J1746="نامعتبر"),"",LEFT($J1746,4)&amp;MID($J1746,6,2)&amp;RIGHT($J1746,2)&amp;$N1746&amp;"|"&amp;"2"&amp;RIGHT("00000"&amp;1741,5))</f>
        <v/>
      </c>
      <c r="L1746">
        <f>IF($K1746="","",COUNTIFS(LdgPartyA,$F1746,LdgKeyA,"&lt;"&amp;$K1746)+COUNTIFS(LdgPartyB,$F1746,LdgKeyB,"&lt;"&amp;$K1746)+1)</f>
        <v/>
      </c>
      <c r="M1746">
        <f>IF($L1746="","",$F1746&amp;"|"&amp;RIGHT("000000"&amp;$L1746,6))</f>
        <v/>
      </c>
      <c r="N1746">
        <f>IF($F1746="","",IF(Sync!$AH1746="","0000",IF(AND(ISNUMBER(Sync!$AH1746),Sync!$AH1746&gt;=0,Sync!$AH1746&lt;1),RIGHT("00"&amp;HOUR(Sync!$AH1746),2)&amp;RIGHT("00"&amp;MINUTE(Sync!$AH1746),2),IFERROR(RIGHT("00"&amp;VALUE(LEFT(Sync!$AH1746,FIND(":",Sync!$AH1746)-1)),2)&amp;RIGHT("00"&amp;VALUE(MID(Sync!$AH1746,FIND(":",Sync!$AH1746)+1,2)),2),"0000"))))</f>
        <v/>
      </c>
    </row>
    <row r="1747">
      <c r="A1747">
        <f>IF(OR(Calc!$E1750="",Calc!$E1750="نامعتبر",Calc!$G1750="",Calc!$I1750&lt;&gt;"خرید"),"",Calc!$G1750)</f>
        <v/>
      </c>
      <c r="B1747">
        <f>IF($A1747="","",LEFT(Calc!$E1750,4)&amp;MID(Calc!$E1750,6,2)&amp;RIGHT(Calc!$E1750,2)&amp;Calc!$R1750&amp;"|"&amp;"1"&amp;RIGHT("00000"&amp;1742,5))</f>
        <v/>
      </c>
      <c r="C1747">
        <f>IF($B1747="","",COUNTIFS(LdgPartyA,$A1747,LdgKeyA,"&lt;"&amp;$B1747)+COUNTIFS(LdgPartyB,$A1747,LdgKeyB,"&lt;"&amp;$B1747)+1)</f>
        <v/>
      </c>
      <c r="D1747">
        <f>IF($C1747="","",$A1747&amp;"|"&amp;RIGHT("000000"&amp;$C1747,6))</f>
        <v/>
      </c>
      <c r="F1747">
        <f>IF(Sync!$AJ1747="","",Sync!$AJ1747)</f>
        <v/>
      </c>
      <c r="G1747">
        <f>IF($F1747="","",IF(Sync!$AG1747="","",IF(ISNUMBER(Sync!$AG1747),IF(AND(Sync!$AG1747&gt;=10000101,Sync!$AG1747&lt;=99991231),INT(Sync!$AG1747/10000),""),IFERROR(VALUE(TRIM(LEFT(Sync!$AG1747,FIND("/",Sync!$AG1747)-1))),""))))</f>
        <v/>
      </c>
      <c r="H1747">
        <f>IF(OR($F1747="",$G1747=""),"",IF(ISNUMBER(Sync!$AG1747),INT(MOD(Sync!$AG1747,10000)/100),IFERROR(VALUE(TRIM(LEFT(MID(Sync!$AG1747,FIND("/",Sync!$AG1747)+1,20),FIND("/",MID(Sync!$AG1747,FIND("/",Sync!$AG1747)+1,20))-1))),"")))</f>
        <v/>
      </c>
      <c r="I1747">
        <f>IF(OR($F1747="",$G1747=""),"",IF(ISNUMBER(Sync!$AG1747),MOD(Sync!$AG1747,100),IFERROR(VALUE(TRIM(MID(MID(Sync!$AG1747,FIND("/",Sync!$AG1747)+1,20),FIND("/",MID(Sync!$AG1747,FIND("/",Sync!$AG1747)+1,20))+1,20))),"")))</f>
        <v/>
      </c>
      <c r="J1747">
        <f>IF($F1747="","",IF(OR($G1747="",$H1747="",$I1747="",$G1747&lt;1300,$G1747&gt;1500,$H1747&lt;1,$H1747&gt;12,$I1747&lt;1,$I1747&gt;31),"نامعتبر",RIGHT("0000"&amp;$G1747,4)&amp;"/"&amp;RIGHT("00"&amp;$H1747,2)&amp;"/"&amp;RIGHT("00"&amp;$I1747,2)))</f>
        <v/>
      </c>
      <c r="K1747">
        <f>IF(OR($F1747="",$J1747="",$J1747="نامعتبر"),"",LEFT($J1747,4)&amp;MID($J1747,6,2)&amp;RIGHT($J1747,2)&amp;$N1747&amp;"|"&amp;"2"&amp;RIGHT("00000"&amp;1742,5))</f>
        <v/>
      </c>
      <c r="L1747">
        <f>IF($K1747="","",COUNTIFS(LdgPartyA,$F1747,LdgKeyA,"&lt;"&amp;$K1747)+COUNTIFS(LdgPartyB,$F1747,LdgKeyB,"&lt;"&amp;$K1747)+1)</f>
        <v/>
      </c>
      <c r="M1747">
        <f>IF($L1747="","",$F1747&amp;"|"&amp;RIGHT("000000"&amp;$L1747,6))</f>
        <v/>
      </c>
      <c r="N1747">
        <f>IF($F1747="","",IF(Sync!$AH1747="","0000",IF(AND(ISNUMBER(Sync!$AH1747),Sync!$AH1747&gt;=0,Sync!$AH1747&lt;1),RIGHT("00"&amp;HOUR(Sync!$AH1747),2)&amp;RIGHT("00"&amp;MINUTE(Sync!$AH1747),2),IFERROR(RIGHT("00"&amp;VALUE(LEFT(Sync!$AH1747,FIND(":",Sync!$AH1747)-1)),2)&amp;RIGHT("00"&amp;VALUE(MID(Sync!$AH1747,FIND(":",Sync!$AH1747)+1,2)),2),"0000"))))</f>
        <v/>
      </c>
    </row>
    <row r="1748">
      <c r="A1748">
        <f>IF(OR(Calc!$E1751="",Calc!$E1751="نامعتبر",Calc!$G1751="",Calc!$I1751&lt;&gt;"خرید"),"",Calc!$G1751)</f>
        <v/>
      </c>
      <c r="B1748">
        <f>IF($A1748="","",LEFT(Calc!$E1751,4)&amp;MID(Calc!$E1751,6,2)&amp;RIGHT(Calc!$E1751,2)&amp;Calc!$R1751&amp;"|"&amp;"1"&amp;RIGHT("00000"&amp;1743,5))</f>
        <v/>
      </c>
      <c r="C1748">
        <f>IF($B1748="","",COUNTIFS(LdgPartyA,$A1748,LdgKeyA,"&lt;"&amp;$B1748)+COUNTIFS(LdgPartyB,$A1748,LdgKeyB,"&lt;"&amp;$B1748)+1)</f>
        <v/>
      </c>
      <c r="D1748">
        <f>IF($C1748="","",$A1748&amp;"|"&amp;RIGHT("000000"&amp;$C1748,6))</f>
        <v/>
      </c>
      <c r="F1748">
        <f>IF(Sync!$AJ1748="","",Sync!$AJ1748)</f>
        <v/>
      </c>
      <c r="G1748">
        <f>IF($F1748="","",IF(Sync!$AG1748="","",IF(ISNUMBER(Sync!$AG1748),IF(AND(Sync!$AG1748&gt;=10000101,Sync!$AG1748&lt;=99991231),INT(Sync!$AG1748/10000),""),IFERROR(VALUE(TRIM(LEFT(Sync!$AG1748,FIND("/",Sync!$AG1748)-1))),""))))</f>
        <v/>
      </c>
      <c r="H1748">
        <f>IF(OR($F1748="",$G1748=""),"",IF(ISNUMBER(Sync!$AG1748),INT(MOD(Sync!$AG1748,10000)/100),IFERROR(VALUE(TRIM(LEFT(MID(Sync!$AG1748,FIND("/",Sync!$AG1748)+1,20),FIND("/",MID(Sync!$AG1748,FIND("/",Sync!$AG1748)+1,20))-1))),"")))</f>
        <v/>
      </c>
      <c r="I1748">
        <f>IF(OR($F1748="",$G1748=""),"",IF(ISNUMBER(Sync!$AG1748),MOD(Sync!$AG1748,100),IFERROR(VALUE(TRIM(MID(MID(Sync!$AG1748,FIND("/",Sync!$AG1748)+1,20),FIND("/",MID(Sync!$AG1748,FIND("/",Sync!$AG1748)+1,20))+1,20))),"")))</f>
        <v/>
      </c>
      <c r="J1748">
        <f>IF($F1748="","",IF(OR($G1748="",$H1748="",$I1748="",$G1748&lt;1300,$G1748&gt;1500,$H1748&lt;1,$H1748&gt;12,$I1748&lt;1,$I1748&gt;31),"نامعتبر",RIGHT("0000"&amp;$G1748,4)&amp;"/"&amp;RIGHT("00"&amp;$H1748,2)&amp;"/"&amp;RIGHT("00"&amp;$I1748,2)))</f>
        <v/>
      </c>
      <c r="K1748">
        <f>IF(OR($F1748="",$J1748="",$J1748="نامعتبر"),"",LEFT($J1748,4)&amp;MID($J1748,6,2)&amp;RIGHT($J1748,2)&amp;$N1748&amp;"|"&amp;"2"&amp;RIGHT("00000"&amp;1743,5))</f>
        <v/>
      </c>
      <c r="L1748">
        <f>IF($K1748="","",COUNTIFS(LdgPartyA,$F1748,LdgKeyA,"&lt;"&amp;$K1748)+COUNTIFS(LdgPartyB,$F1748,LdgKeyB,"&lt;"&amp;$K1748)+1)</f>
        <v/>
      </c>
      <c r="M1748">
        <f>IF($L1748="","",$F1748&amp;"|"&amp;RIGHT("000000"&amp;$L1748,6))</f>
        <v/>
      </c>
      <c r="N1748">
        <f>IF($F1748="","",IF(Sync!$AH1748="","0000",IF(AND(ISNUMBER(Sync!$AH1748),Sync!$AH1748&gt;=0,Sync!$AH1748&lt;1),RIGHT("00"&amp;HOUR(Sync!$AH1748),2)&amp;RIGHT("00"&amp;MINUTE(Sync!$AH1748),2),IFERROR(RIGHT("00"&amp;VALUE(LEFT(Sync!$AH1748,FIND(":",Sync!$AH1748)-1)),2)&amp;RIGHT("00"&amp;VALUE(MID(Sync!$AH1748,FIND(":",Sync!$AH1748)+1,2)),2),"0000"))))</f>
        <v/>
      </c>
    </row>
    <row r="1749">
      <c r="A1749">
        <f>IF(OR(Calc!$E1752="",Calc!$E1752="نامعتبر",Calc!$G1752="",Calc!$I1752&lt;&gt;"خرید"),"",Calc!$G1752)</f>
        <v/>
      </c>
      <c r="B1749">
        <f>IF($A1749="","",LEFT(Calc!$E1752,4)&amp;MID(Calc!$E1752,6,2)&amp;RIGHT(Calc!$E1752,2)&amp;Calc!$R1752&amp;"|"&amp;"1"&amp;RIGHT("00000"&amp;1744,5))</f>
        <v/>
      </c>
      <c r="C1749">
        <f>IF($B1749="","",COUNTIFS(LdgPartyA,$A1749,LdgKeyA,"&lt;"&amp;$B1749)+COUNTIFS(LdgPartyB,$A1749,LdgKeyB,"&lt;"&amp;$B1749)+1)</f>
        <v/>
      </c>
      <c r="D1749">
        <f>IF($C1749="","",$A1749&amp;"|"&amp;RIGHT("000000"&amp;$C1749,6))</f>
        <v/>
      </c>
      <c r="F1749">
        <f>IF(Sync!$AJ1749="","",Sync!$AJ1749)</f>
        <v/>
      </c>
      <c r="G1749">
        <f>IF($F1749="","",IF(Sync!$AG1749="","",IF(ISNUMBER(Sync!$AG1749),IF(AND(Sync!$AG1749&gt;=10000101,Sync!$AG1749&lt;=99991231),INT(Sync!$AG1749/10000),""),IFERROR(VALUE(TRIM(LEFT(Sync!$AG1749,FIND("/",Sync!$AG1749)-1))),""))))</f>
        <v/>
      </c>
      <c r="H1749">
        <f>IF(OR($F1749="",$G1749=""),"",IF(ISNUMBER(Sync!$AG1749),INT(MOD(Sync!$AG1749,10000)/100),IFERROR(VALUE(TRIM(LEFT(MID(Sync!$AG1749,FIND("/",Sync!$AG1749)+1,20),FIND("/",MID(Sync!$AG1749,FIND("/",Sync!$AG1749)+1,20))-1))),"")))</f>
        <v/>
      </c>
      <c r="I1749">
        <f>IF(OR($F1749="",$G1749=""),"",IF(ISNUMBER(Sync!$AG1749),MOD(Sync!$AG1749,100),IFERROR(VALUE(TRIM(MID(MID(Sync!$AG1749,FIND("/",Sync!$AG1749)+1,20),FIND("/",MID(Sync!$AG1749,FIND("/",Sync!$AG1749)+1,20))+1,20))),"")))</f>
        <v/>
      </c>
      <c r="J1749">
        <f>IF($F1749="","",IF(OR($G1749="",$H1749="",$I1749="",$G1749&lt;1300,$G1749&gt;1500,$H1749&lt;1,$H1749&gt;12,$I1749&lt;1,$I1749&gt;31),"نامعتبر",RIGHT("0000"&amp;$G1749,4)&amp;"/"&amp;RIGHT("00"&amp;$H1749,2)&amp;"/"&amp;RIGHT("00"&amp;$I1749,2)))</f>
        <v/>
      </c>
      <c r="K1749">
        <f>IF(OR($F1749="",$J1749="",$J1749="نامعتبر"),"",LEFT($J1749,4)&amp;MID($J1749,6,2)&amp;RIGHT($J1749,2)&amp;$N1749&amp;"|"&amp;"2"&amp;RIGHT("00000"&amp;1744,5))</f>
        <v/>
      </c>
      <c r="L1749">
        <f>IF($K1749="","",COUNTIFS(LdgPartyA,$F1749,LdgKeyA,"&lt;"&amp;$K1749)+COUNTIFS(LdgPartyB,$F1749,LdgKeyB,"&lt;"&amp;$K1749)+1)</f>
        <v/>
      </c>
      <c r="M1749">
        <f>IF($L1749="","",$F1749&amp;"|"&amp;RIGHT("000000"&amp;$L1749,6))</f>
        <v/>
      </c>
      <c r="N1749">
        <f>IF($F1749="","",IF(Sync!$AH1749="","0000",IF(AND(ISNUMBER(Sync!$AH1749),Sync!$AH1749&gt;=0,Sync!$AH1749&lt;1),RIGHT("00"&amp;HOUR(Sync!$AH1749),2)&amp;RIGHT("00"&amp;MINUTE(Sync!$AH1749),2),IFERROR(RIGHT("00"&amp;VALUE(LEFT(Sync!$AH1749,FIND(":",Sync!$AH1749)-1)),2)&amp;RIGHT("00"&amp;VALUE(MID(Sync!$AH1749,FIND(":",Sync!$AH1749)+1,2)),2),"0000"))))</f>
        <v/>
      </c>
    </row>
    <row r="1750">
      <c r="A1750">
        <f>IF(OR(Calc!$E1753="",Calc!$E1753="نامعتبر",Calc!$G1753="",Calc!$I1753&lt;&gt;"خرید"),"",Calc!$G1753)</f>
        <v/>
      </c>
      <c r="B1750">
        <f>IF($A1750="","",LEFT(Calc!$E1753,4)&amp;MID(Calc!$E1753,6,2)&amp;RIGHT(Calc!$E1753,2)&amp;Calc!$R1753&amp;"|"&amp;"1"&amp;RIGHT("00000"&amp;1745,5))</f>
        <v/>
      </c>
      <c r="C1750">
        <f>IF($B1750="","",COUNTIFS(LdgPartyA,$A1750,LdgKeyA,"&lt;"&amp;$B1750)+COUNTIFS(LdgPartyB,$A1750,LdgKeyB,"&lt;"&amp;$B1750)+1)</f>
        <v/>
      </c>
      <c r="D1750">
        <f>IF($C1750="","",$A1750&amp;"|"&amp;RIGHT("000000"&amp;$C1750,6))</f>
        <v/>
      </c>
      <c r="F1750">
        <f>IF(Sync!$AJ1750="","",Sync!$AJ1750)</f>
        <v/>
      </c>
      <c r="G1750">
        <f>IF($F1750="","",IF(Sync!$AG1750="","",IF(ISNUMBER(Sync!$AG1750),IF(AND(Sync!$AG1750&gt;=10000101,Sync!$AG1750&lt;=99991231),INT(Sync!$AG1750/10000),""),IFERROR(VALUE(TRIM(LEFT(Sync!$AG1750,FIND("/",Sync!$AG1750)-1))),""))))</f>
        <v/>
      </c>
      <c r="H1750">
        <f>IF(OR($F1750="",$G1750=""),"",IF(ISNUMBER(Sync!$AG1750),INT(MOD(Sync!$AG1750,10000)/100),IFERROR(VALUE(TRIM(LEFT(MID(Sync!$AG1750,FIND("/",Sync!$AG1750)+1,20),FIND("/",MID(Sync!$AG1750,FIND("/",Sync!$AG1750)+1,20))-1))),"")))</f>
        <v/>
      </c>
      <c r="I1750">
        <f>IF(OR($F1750="",$G1750=""),"",IF(ISNUMBER(Sync!$AG1750),MOD(Sync!$AG1750,100),IFERROR(VALUE(TRIM(MID(MID(Sync!$AG1750,FIND("/",Sync!$AG1750)+1,20),FIND("/",MID(Sync!$AG1750,FIND("/",Sync!$AG1750)+1,20))+1,20))),"")))</f>
        <v/>
      </c>
      <c r="J1750">
        <f>IF($F1750="","",IF(OR($G1750="",$H1750="",$I1750="",$G1750&lt;1300,$G1750&gt;1500,$H1750&lt;1,$H1750&gt;12,$I1750&lt;1,$I1750&gt;31),"نامعتبر",RIGHT("0000"&amp;$G1750,4)&amp;"/"&amp;RIGHT("00"&amp;$H1750,2)&amp;"/"&amp;RIGHT("00"&amp;$I1750,2)))</f>
        <v/>
      </c>
      <c r="K1750">
        <f>IF(OR($F1750="",$J1750="",$J1750="نامعتبر"),"",LEFT($J1750,4)&amp;MID($J1750,6,2)&amp;RIGHT($J1750,2)&amp;$N1750&amp;"|"&amp;"2"&amp;RIGHT("00000"&amp;1745,5))</f>
        <v/>
      </c>
      <c r="L1750">
        <f>IF($K1750="","",COUNTIFS(LdgPartyA,$F1750,LdgKeyA,"&lt;"&amp;$K1750)+COUNTIFS(LdgPartyB,$F1750,LdgKeyB,"&lt;"&amp;$K1750)+1)</f>
        <v/>
      </c>
      <c r="M1750">
        <f>IF($L1750="","",$F1750&amp;"|"&amp;RIGHT("000000"&amp;$L1750,6))</f>
        <v/>
      </c>
      <c r="N1750">
        <f>IF($F1750="","",IF(Sync!$AH1750="","0000",IF(AND(ISNUMBER(Sync!$AH1750),Sync!$AH1750&gt;=0,Sync!$AH1750&lt;1),RIGHT("00"&amp;HOUR(Sync!$AH1750),2)&amp;RIGHT("00"&amp;MINUTE(Sync!$AH1750),2),IFERROR(RIGHT("00"&amp;VALUE(LEFT(Sync!$AH1750,FIND(":",Sync!$AH1750)-1)),2)&amp;RIGHT("00"&amp;VALUE(MID(Sync!$AH1750,FIND(":",Sync!$AH1750)+1,2)),2),"0000"))))</f>
        <v/>
      </c>
    </row>
    <row r="1751">
      <c r="A1751">
        <f>IF(OR(Calc!$E1754="",Calc!$E1754="نامعتبر",Calc!$G1754="",Calc!$I1754&lt;&gt;"خرید"),"",Calc!$G1754)</f>
        <v/>
      </c>
      <c r="B1751">
        <f>IF($A1751="","",LEFT(Calc!$E1754,4)&amp;MID(Calc!$E1754,6,2)&amp;RIGHT(Calc!$E1754,2)&amp;Calc!$R1754&amp;"|"&amp;"1"&amp;RIGHT("00000"&amp;1746,5))</f>
        <v/>
      </c>
      <c r="C1751">
        <f>IF($B1751="","",COUNTIFS(LdgPartyA,$A1751,LdgKeyA,"&lt;"&amp;$B1751)+COUNTIFS(LdgPartyB,$A1751,LdgKeyB,"&lt;"&amp;$B1751)+1)</f>
        <v/>
      </c>
      <c r="D1751">
        <f>IF($C1751="","",$A1751&amp;"|"&amp;RIGHT("000000"&amp;$C1751,6))</f>
        <v/>
      </c>
      <c r="F1751">
        <f>IF(Sync!$AJ1751="","",Sync!$AJ1751)</f>
        <v/>
      </c>
      <c r="G1751">
        <f>IF($F1751="","",IF(Sync!$AG1751="","",IF(ISNUMBER(Sync!$AG1751),IF(AND(Sync!$AG1751&gt;=10000101,Sync!$AG1751&lt;=99991231),INT(Sync!$AG1751/10000),""),IFERROR(VALUE(TRIM(LEFT(Sync!$AG1751,FIND("/",Sync!$AG1751)-1))),""))))</f>
        <v/>
      </c>
      <c r="H1751">
        <f>IF(OR($F1751="",$G1751=""),"",IF(ISNUMBER(Sync!$AG1751),INT(MOD(Sync!$AG1751,10000)/100),IFERROR(VALUE(TRIM(LEFT(MID(Sync!$AG1751,FIND("/",Sync!$AG1751)+1,20),FIND("/",MID(Sync!$AG1751,FIND("/",Sync!$AG1751)+1,20))-1))),"")))</f>
        <v/>
      </c>
      <c r="I1751">
        <f>IF(OR($F1751="",$G1751=""),"",IF(ISNUMBER(Sync!$AG1751),MOD(Sync!$AG1751,100),IFERROR(VALUE(TRIM(MID(MID(Sync!$AG1751,FIND("/",Sync!$AG1751)+1,20),FIND("/",MID(Sync!$AG1751,FIND("/",Sync!$AG1751)+1,20))+1,20))),"")))</f>
        <v/>
      </c>
      <c r="J1751">
        <f>IF($F1751="","",IF(OR($G1751="",$H1751="",$I1751="",$G1751&lt;1300,$G1751&gt;1500,$H1751&lt;1,$H1751&gt;12,$I1751&lt;1,$I1751&gt;31),"نامعتبر",RIGHT("0000"&amp;$G1751,4)&amp;"/"&amp;RIGHT("00"&amp;$H1751,2)&amp;"/"&amp;RIGHT("00"&amp;$I1751,2)))</f>
        <v/>
      </c>
      <c r="K1751">
        <f>IF(OR($F1751="",$J1751="",$J1751="نامعتبر"),"",LEFT($J1751,4)&amp;MID($J1751,6,2)&amp;RIGHT($J1751,2)&amp;$N1751&amp;"|"&amp;"2"&amp;RIGHT("00000"&amp;1746,5))</f>
        <v/>
      </c>
      <c r="L1751">
        <f>IF($K1751="","",COUNTIFS(LdgPartyA,$F1751,LdgKeyA,"&lt;"&amp;$K1751)+COUNTIFS(LdgPartyB,$F1751,LdgKeyB,"&lt;"&amp;$K1751)+1)</f>
        <v/>
      </c>
      <c r="M1751">
        <f>IF($L1751="","",$F1751&amp;"|"&amp;RIGHT("000000"&amp;$L1751,6))</f>
        <v/>
      </c>
      <c r="N1751">
        <f>IF($F1751="","",IF(Sync!$AH1751="","0000",IF(AND(ISNUMBER(Sync!$AH1751),Sync!$AH1751&gt;=0,Sync!$AH1751&lt;1),RIGHT("00"&amp;HOUR(Sync!$AH1751),2)&amp;RIGHT("00"&amp;MINUTE(Sync!$AH1751),2),IFERROR(RIGHT("00"&amp;VALUE(LEFT(Sync!$AH1751,FIND(":",Sync!$AH1751)-1)),2)&amp;RIGHT("00"&amp;VALUE(MID(Sync!$AH1751,FIND(":",Sync!$AH1751)+1,2)),2),"0000"))))</f>
        <v/>
      </c>
    </row>
    <row r="1752">
      <c r="A1752">
        <f>IF(OR(Calc!$E1755="",Calc!$E1755="نامعتبر",Calc!$G1755="",Calc!$I1755&lt;&gt;"خرید"),"",Calc!$G1755)</f>
        <v/>
      </c>
      <c r="B1752">
        <f>IF($A1752="","",LEFT(Calc!$E1755,4)&amp;MID(Calc!$E1755,6,2)&amp;RIGHT(Calc!$E1755,2)&amp;Calc!$R1755&amp;"|"&amp;"1"&amp;RIGHT("00000"&amp;1747,5))</f>
        <v/>
      </c>
      <c r="C1752">
        <f>IF($B1752="","",COUNTIFS(LdgPartyA,$A1752,LdgKeyA,"&lt;"&amp;$B1752)+COUNTIFS(LdgPartyB,$A1752,LdgKeyB,"&lt;"&amp;$B1752)+1)</f>
        <v/>
      </c>
      <c r="D1752">
        <f>IF($C1752="","",$A1752&amp;"|"&amp;RIGHT("000000"&amp;$C1752,6))</f>
        <v/>
      </c>
      <c r="F1752">
        <f>IF(Sync!$AJ1752="","",Sync!$AJ1752)</f>
        <v/>
      </c>
      <c r="G1752">
        <f>IF($F1752="","",IF(Sync!$AG1752="","",IF(ISNUMBER(Sync!$AG1752),IF(AND(Sync!$AG1752&gt;=10000101,Sync!$AG1752&lt;=99991231),INT(Sync!$AG1752/10000),""),IFERROR(VALUE(TRIM(LEFT(Sync!$AG1752,FIND("/",Sync!$AG1752)-1))),""))))</f>
        <v/>
      </c>
      <c r="H1752">
        <f>IF(OR($F1752="",$G1752=""),"",IF(ISNUMBER(Sync!$AG1752),INT(MOD(Sync!$AG1752,10000)/100),IFERROR(VALUE(TRIM(LEFT(MID(Sync!$AG1752,FIND("/",Sync!$AG1752)+1,20),FIND("/",MID(Sync!$AG1752,FIND("/",Sync!$AG1752)+1,20))-1))),"")))</f>
        <v/>
      </c>
      <c r="I1752">
        <f>IF(OR($F1752="",$G1752=""),"",IF(ISNUMBER(Sync!$AG1752),MOD(Sync!$AG1752,100),IFERROR(VALUE(TRIM(MID(MID(Sync!$AG1752,FIND("/",Sync!$AG1752)+1,20),FIND("/",MID(Sync!$AG1752,FIND("/",Sync!$AG1752)+1,20))+1,20))),"")))</f>
        <v/>
      </c>
      <c r="J1752">
        <f>IF($F1752="","",IF(OR($G1752="",$H1752="",$I1752="",$G1752&lt;1300,$G1752&gt;1500,$H1752&lt;1,$H1752&gt;12,$I1752&lt;1,$I1752&gt;31),"نامعتبر",RIGHT("0000"&amp;$G1752,4)&amp;"/"&amp;RIGHT("00"&amp;$H1752,2)&amp;"/"&amp;RIGHT("00"&amp;$I1752,2)))</f>
        <v/>
      </c>
      <c r="K1752">
        <f>IF(OR($F1752="",$J1752="",$J1752="نامعتبر"),"",LEFT($J1752,4)&amp;MID($J1752,6,2)&amp;RIGHT($J1752,2)&amp;$N1752&amp;"|"&amp;"2"&amp;RIGHT("00000"&amp;1747,5))</f>
        <v/>
      </c>
      <c r="L1752">
        <f>IF($K1752="","",COUNTIFS(LdgPartyA,$F1752,LdgKeyA,"&lt;"&amp;$K1752)+COUNTIFS(LdgPartyB,$F1752,LdgKeyB,"&lt;"&amp;$K1752)+1)</f>
        <v/>
      </c>
      <c r="M1752">
        <f>IF($L1752="","",$F1752&amp;"|"&amp;RIGHT("000000"&amp;$L1752,6))</f>
        <v/>
      </c>
      <c r="N1752">
        <f>IF($F1752="","",IF(Sync!$AH1752="","0000",IF(AND(ISNUMBER(Sync!$AH1752),Sync!$AH1752&gt;=0,Sync!$AH1752&lt;1),RIGHT("00"&amp;HOUR(Sync!$AH1752),2)&amp;RIGHT("00"&amp;MINUTE(Sync!$AH1752),2),IFERROR(RIGHT("00"&amp;VALUE(LEFT(Sync!$AH1752,FIND(":",Sync!$AH1752)-1)),2)&amp;RIGHT("00"&amp;VALUE(MID(Sync!$AH1752,FIND(":",Sync!$AH1752)+1,2)),2),"0000"))))</f>
        <v/>
      </c>
    </row>
    <row r="1753">
      <c r="A1753">
        <f>IF(OR(Calc!$E1756="",Calc!$E1756="نامعتبر",Calc!$G1756="",Calc!$I1756&lt;&gt;"خرید"),"",Calc!$G1756)</f>
        <v/>
      </c>
      <c r="B1753">
        <f>IF($A1753="","",LEFT(Calc!$E1756,4)&amp;MID(Calc!$E1756,6,2)&amp;RIGHT(Calc!$E1756,2)&amp;Calc!$R1756&amp;"|"&amp;"1"&amp;RIGHT("00000"&amp;1748,5))</f>
        <v/>
      </c>
      <c r="C1753">
        <f>IF($B1753="","",COUNTIFS(LdgPartyA,$A1753,LdgKeyA,"&lt;"&amp;$B1753)+COUNTIFS(LdgPartyB,$A1753,LdgKeyB,"&lt;"&amp;$B1753)+1)</f>
        <v/>
      </c>
      <c r="D1753">
        <f>IF($C1753="","",$A1753&amp;"|"&amp;RIGHT("000000"&amp;$C1753,6))</f>
        <v/>
      </c>
      <c r="F1753">
        <f>IF(Sync!$AJ1753="","",Sync!$AJ1753)</f>
        <v/>
      </c>
      <c r="G1753">
        <f>IF($F1753="","",IF(Sync!$AG1753="","",IF(ISNUMBER(Sync!$AG1753),IF(AND(Sync!$AG1753&gt;=10000101,Sync!$AG1753&lt;=99991231),INT(Sync!$AG1753/10000),""),IFERROR(VALUE(TRIM(LEFT(Sync!$AG1753,FIND("/",Sync!$AG1753)-1))),""))))</f>
        <v/>
      </c>
      <c r="H1753">
        <f>IF(OR($F1753="",$G1753=""),"",IF(ISNUMBER(Sync!$AG1753),INT(MOD(Sync!$AG1753,10000)/100),IFERROR(VALUE(TRIM(LEFT(MID(Sync!$AG1753,FIND("/",Sync!$AG1753)+1,20),FIND("/",MID(Sync!$AG1753,FIND("/",Sync!$AG1753)+1,20))-1))),"")))</f>
        <v/>
      </c>
      <c r="I1753">
        <f>IF(OR($F1753="",$G1753=""),"",IF(ISNUMBER(Sync!$AG1753),MOD(Sync!$AG1753,100),IFERROR(VALUE(TRIM(MID(MID(Sync!$AG1753,FIND("/",Sync!$AG1753)+1,20),FIND("/",MID(Sync!$AG1753,FIND("/",Sync!$AG1753)+1,20))+1,20))),"")))</f>
        <v/>
      </c>
      <c r="J1753">
        <f>IF($F1753="","",IF(OR($G1753="",$H1753="",$I1753="",$G1753&lt;1300,$G1753&gt;1500,$H1753&lt;1,$H1753&gt;12,$I1753&lt;1,$I1753&gt;31),"نامعتبر",RIGHT("0000"&amp;$G1753,4)&amp;"/"&amp;RIGHT("00"&amp;$H1753,2)&amp;"/"&amp;RIGHT("00"&amp;$I1753,2)))</f>
        <v/>
      </c>
      <c r="K1753">
        <f>IF(OR($F1753="",$J1753="",$J1753="نامعتبر"),"",LEFT($J1753,4)&amp;MID($J1753,6,2)&amp;RIGHT($J1753,2)&amp;$N1753&amp;"|"&amp;"2"&amp;RIGHT("00000"&amp;1748,5))</f>
        <v/>
      </c>
      <c r="L1753">
        <f>IF($K1753="","",COUNTIFS(LdgPartyA,$F1753,LdgKeyA,"&lt;"&amp;$K1753)+COUNTIFS(LdgPartyB,$F1753,LdgKeyB,"&lt;"&amp;$K1753)+1)</f>
        <v/>
      </c>
      <c r="M1753">
        <f>IF($L1753="","",$F1753&amp;"|"&amp;RIGHT("000000"&amp;$L1753,6))</f>
        <v/>
      </c>
      <c r="N1753">
        <f>IF($F1753="","",IF(Sync!$AH1753="","0000",IF(AND(ISNUMBER(Sync!$AH1753),Sync!$AH1753&gt;=0,Sync!$AH1753&lt;1),RIGHT("00"&amp;HOUR(Sync!$AH1753),2)&amp;RIGHT("00"&amp;MINUTE(Sync!$AH1753),2),IFERROR(RIGHT("00"&amp;VALUE(LEFT(Sync!$AH1753,FIND(":",Sync!$AH1753)-1)),2)&amp;RIGHT("00"&amp;VALUE(MID(Sync!$AH1753,FIND(":",Sync!$AH1753)+1,2)),2),"0000"))))</f>
        <v/>
      </c>
    </row>
    <row r="1754">
      <c r="A1754">
        <f>IF(OR(Calc!$E1757="",Calc!$E1757="نامعتبر",Calc!$G1757="",Calc!$I1757&lt;&gt;"خرید"),"",Calc!$G1757)</f>
        <v/>
      </c>
      <c r="B1754">
        <f>IF($A1754="","",LEFT(Calc!$E1757,4)&amp;MID(Calc!$E1757,6,2)&amp;RIGHT(Calc!$E1757,2)&amp;Calc!$R1757&amp;"|"&amp;"1"&amp;RIGHT("00000"&amp;1749,5))</f>
        <v/>
      </c>
      <c r="C1754">
        <f>IF($B1754="","",COUNTIFS(LdgPartyA,$A1754,LdgKeyA,"&lt;"&amp;$B1754)+COUNTIFS(LdgPartyB,$A1754,LdgKeyB,"&lt;"&amp;$B1754)+1)</f>
        <v/>
      </c>
      <c r="D1754">
        <f>IF($C1754="","",$A1754&amp;"|"&amp;RIGHT("000000"&amp;$C1754,6))</f>
        <v/>
      </c>
      <c r="F1754">
        <f>IF(Sync!$AJ1754="","",Sync!$AJ1754)</f>
        <v/>
      </c>
      <c r="G1754">
        <f>IF($F1754="","",IF(Sync!$AG1754="","",IF(ISNUMBER(Sync!$AG1754),IF(AND(Sync!$AG1754&gt;=10000101,Sync!$AG1754&lt;=99991231),INT(Sync!$AG1754/10000),""),IFERROR(VALUE(TRIM(LEFT(Sync!$AG1754,FIND("/",Sync!$AG1754)-1))),""))))</f>
        <v/>
      </c>
      <c r="H1754">
        <f>IF(OR($F1754="",$G1754=""),"",IF(ISNUMBER(Sync!$AG1754),INT(MOD(Sync!$AG1754,10000)/100),IFERROR(VALUE(TRIM(LEFT(MID(Sync!$AG1754,FIND("/",Sync!$AG1754)+1,20),FIND("/",MID(Sync!$AG1754,FIND("/",Sync!$AG1754)+1,20))-1))),"")))</f>
        <v/>
      </c>
      <c r="I1754">
        <f>IF(OR($F1754="",$G1754=""),"",IF(ISNUMBER(Sync!$AG1754),MOD(Sync!$AG1754,100),IFERROR(VALUE(TRIM(MID(MID(Sync!$AG1754,FIND("/",Sync!$AG1754)+1,20),FIND("/",MID(Sync!$AG1754,FIND("/",Sync!$AG1754)+1,20))+1,20))),"")))</f>
        <v/>
      </c>
      <c r="J1754">
        <f>IF($F1754="","",IF(OR($G1754="",$H1754="",$I1754="",$G1754&lt;1300,$G1754&gt;1500,$H1754&lt;1,$H1754&gt;12,$I1754&lt;1,$I1754&gt;31),"نامعتبر",RIGHT("0000"&amp;$G1754,4)&amp;"/"&amp;RIGHT("00"&amp;$H1754,2)&amp;"/"&amp;RIGHT("00"&amp;$I1754,2)))</f>
        <v/>
      </c>
      <c r="K1754">
        <f>IF(OR($F1754="",$J1754="",$J1754="نامعتبر"),"",LEFT($J1754,4)&amp;MID($J1754,6,2)&amp;RIGHT($J1754,2)&amp;$N1754&amp;"|"&amp;"2"&amp;RIGHT("00000"&amp;1749,5))</f>
        <v/>
      </c>
      <c r="L1754">
        <f>IF($K1754="","",COUNTIFS(LdgPartyA,$F1754,LdgKeyA,"&lt;"&amp;$K1754)+COUNTIFS(LdgPartyB,$F1754,LdgKeyB,"&lt;"&amp;$K1754)+1)</f>
        <v/>
      </c>
      <c r="M1754">
        <f>IF($L1754="","",$F1754&amp;"|"&amp;RIGHT("000000"&amp;$L1754,6))</f>
        <v/>
      </c>
      <c r="N1754">
        <f>IF($F1754="","",IF(Sync!$AH1754="","0000",IF(AND(ISNUMBER(Sync!$AH1754),Sync!$AH1754&gt;=0,Sync!$AH1754&lt;1),RIGHT("00"&amp;HOUR(Sync!$AH1754),2)&amp;RIGHT("00"&amp;MINUTE(Sync!$AH1754),2),IFERROR(RIGHT("00"&amp;VALUE(LEFT(Sync!$AH1754,FIND(":",Sync!$AH1754)-1)),2)&amp;RIGHT("00"&amp;VALUE(MID(Sync!$AH1754,FIND(":",Sync!$AH1754)+1,2)),2),"0000"))))</f>
        <v/>
      </c>
    </row>
    <row r="1755">
      <c r="A1755">
        <f>IF(OR(Calc!$E1758="",Calc!$E1758="نامعتبر",Calc!$G1758="",Calc!$I1758&lt;&gt;"خرید"),"",Calc!$G1758)</f>
        <v/>
      </c>
      <c r="B1755">
        <f>IF($A1755="","",LEFT(Calc!$E1758,4)&amp;MID(Calc!$E1758,6,2)&amp;RIGHT(Calc!$E1758,2)&amp;Calc!$R1758&amp;"|"&amp;"1"&amp;RIGHT("00000"&amp;1750,5))</f>
        <v/>
      </c>
      <c r="C1755">
        <f>IF($B1755="","",COUNTIFS(LdgPartyA,$A1755,LdgKeyA,"&lt;"&amp;$B1755)+COUNTIFS(LdgPartyB,$A1755,LdgKeyB,"&lt;"&amp;$B1755)+1)</f>
        <v/>
      </c>
      <c r="D1755">
        <f>IF($C1755="","",$A1755&amp;"|"&amp;RIGHT("000000"&amp;$C1755,6))</f>
        <v/>
      </c>
      <c r="F1755">
        <f>IF(Sync!$AJ1755="","",Sync!$AJ1755)</f>
        <v/>
      </c>
      <c r="G1755">
        <f>IF($F1755="","",IF(Sync!$AG1755="","",IF(ISNUMBER(Sync!$AG1755),IF(AND(Sync!$AG1755&gt;=10000101,Sync!$AG1755&lt;=99991231),INT(Sync!$AG1755/10000),""),IFERROR(VALUE(TRIM(LEFT(Sync!$AG1755,FIND("/",Sync!$AG1755)-1))),""))))</f>
        <v/>
      </c>
      <c r="H1755">
        <f>IF(OR($F1755="",$G1755=""),"",IF(ISNUMBER(Sync!$AG1755),INT(MOD(Sync!$AG1755,10000)/100),IFERROR(VALUE(TRIM(LEFT(MID(Sync!$AG1755,FIND("/",Sync!$AG1755)+1,20),FIND("/",MID(Sync!$AG1755,FIND("/",Sync!$AG1755)+1,20))-1))),"")))</f>
        <v/>
      </c>
      <c r="I1755">
        <f>IF(OR($F1755="",$G1755=""),"",IF(ISNUMBER(Sync!$AG1755),MOD(Sync!$AG1755,100),IFERROR(VALUE(TRIM(MID(MID(Sync!$AG1755,FIND("/",Sync!$AG1755)+1,20),FIND("/",MID(Sync!$AG1755,FIND("/",Sync!$AG1755)+1,20))+1,20))),"")))</f>
        <v/>
      </c>
      <c r="J1755">
        <f>IF($F1755="","",IF(OR($G1755="",$H1755="",$I1755="",$G1755&lt;1300,$G1755&gt;1500,$H1755&lt;1,$H1755&gt;12,$I1755&lt;1,$I1755&gt;31),"نامعتبر",RIGHT("0000"&amp;$G1755,4)&amp;"/"&amp;RIGHT("00"&amp;$H1755,2)&amp;"/"&amp;RIGHT("00"&amp;$I1755,2)))</f>
        <v/>
      </c>
      <c r="K1755">
        <f>IF(OR($F1755="",$J1755="",$J1755="نامعتبر"),"",LEFT($J1755,4)&amp;MID($J1755,6,2)&amp;RIGHT($J1755,2)&amp;$N1755&amp;"|"&amp;"2"&amp;RIGHT("00000"&amp;1750,5))</f>
        <v/>
      </c>
      <c r="L1755">
        <f>IF($K1755="","",COUNTIFS(LdgPartyA,$F1755,LdgKeyA,"&lt;"&amp;$K1755)+COUNTIFS(LdgPartyB,$F1755,LdgKeyB,"&lt;"&amp;$K1755)+1)</f>
        <v/>
      </c>
      <c r="M1755">
        <f>IF($L1755="","",$F1755&amp;"|"&amp;RIGHT("000000"&amp;$L1755,6))</f>
        <v/>
      </c>
      <c r="N1755">
        <f>IF($F1755="","",IF(Sync!$AH1755="","0000",IF(AND(ISNUMBER(Sync!$AH1755),Sync!$AH1755&gt;=0,Sync!$AH1755&lt;1),RIGHT("00"&amp;HOUR(Sync!$AH1755),2)&amp;RIGHT("00"&amp;MINUTE(Sync!$AH1755),2),IFERROR(RIGHT("00"&amp;VALUE(LEFT(Sync!$AH1755,FIND(":",Sync!$AH1755)-1)),2)&amp;RIGHT("00"&amp;VALUE(MID(Sync!$AH1755,FIND(":",Sync!$AH1755)+1,2)),2),"0000"))))</f>
        <v/>
      </c>
    </row>
    <row r="1756">
      <c r="A1756">
        <f>IF(OR(Calc!$E1759="",Calc!$E1759="نامعتبر",Calc!$G1759="",Calc!$I1759&lt;&gt;"خرید"),"",Calc!$G1759)</f>
        <v/>
      </c>
      <c r="B1756">
        <f>IF($A1756="","",LEFT(Calc!$E1759,4)&amp;MID(Calc!$E1759,6,2)&amp;RIGHT(Calc!$E1759,2)&amp;Calc!$R1759&amp;"|"&amp;"1"&amp;RIGHT("00000"&amp;1751,5))</f>
        <v/>
      </c>
      <c r="C1756">
        <f>IF($B1756="","",COUNTIFS(LdgPartyA,$A1756,LdgKeyA,"&lt;"&amp;$B1756)+COUNTIFS(LdgPartyB,$A1756,LdgKeyB,"&lt;"&amp;$B1756)+1)</f>
        <v/>
      </c>
      <c r="D1756">
        <f>IF($C1756="","",$A1756&amp;"|"&amp;RIGHT("000000"&amp;$C1756,6))</f>
        <v/>
      </c>
      <c r="F1756">
        <f>IF(Sync!$AJ1756="","",Sync!$AJ1756)</f>
        <v/>
      </c>
      <c r="G1756">
        <f>IF($F1756="","",IF(Sync!$AG1756="","",IF(ISNUMBER(Sync!$AG1756),IF(AND(Sync!$AG1756&gt;=10000101,Sync!$AG1756&lt;=99991231),INT(Sync!$AG1756/10000),""),IFERROR(VALUE(TRIM(LEFT(Sync!$AG1756,FIND("/",Sync!$AG1756)-1))),""))))</f>
        <v/>
      </c>
      <c r="H1756">
        <f>IF(OR($F1756="",$G1756=""),"",IF(ISNUMBER(Sync!$AG1756),INT(MOD(Sync!$AG1756,10000)/100),IFERROR(VALUE(TRIM(LEFT(MID(Sync!$AG1756,FIND("/",Sync!$AG1756)+1,20),FIND("/",MID(Sync!$AG1756,FIND("/",Sync!$AG1756)+1,20))-1))),"")))</f>
        <v/>
      </c>
      <c r="I1756">
        <f>IF(OR($F1756="",$G1756=""),"",IF(ISNUMBER(Sync!$AG1756),MOD(Sync!$AG1756,100),IFERROR(VALUE(TRIM(MID(MID(Sync!$AG1756,FIND("/",Sync!$AG1756)+1,20),FIND("/",MID(Sync!$AG1756,FIND("/",Sync!$AG1756)+1,20))+1,20))),"")))</f>
        <v/>
      </c>
      <c r="J1756">
        <f>IF($F1756="","",IF(OR($G1756="",$H1756="",$I1756="",$G1756&lt;1300,$G1756&gt;1500,$H1756&lt;1,$H1756&gt;12,$I1756&lt;1,$I1756&gt;31),"نامعتبر",RIGHT("0000"&amp;$G1756,4)&amp;"/"&amp;RIGHT("00"&amp;$H1756,2)&amp;"/"&amp;RIGHT("00"&amp;$I1756,2)))</f>
        <v/>
      </c>
      <c r="K1756">
        <f>IF(OR($F1756="",$J1756="",$J1756="نامعتبر"),"",LEFT($J1756,4)&amp;MID($J1756,6,2)&amp;RIGHT($J1756,2)&amp;$N1756&amp;"|"&amp;"2"&amp;RIGHT("00000"&amp;1751,5))</f>
        <v/>
      </c>
      <c r="L1756">
        <f>IF($K1756="","",COUNTIFS(LdgPartyA,$F1756,LdgKeyA,"&lt;"&amp;$K1756)+COUNTIFS(LdgPartyB,$F1756,LdgKeyB,"&lt;"&amp;$K1756)+1)</f>
        <v/>
      </c>
      <c r="M1756">
        <f>IF($L1756="","",$F1756&amp;"|"&amp;RIGHT("000000"&amp;$L1756,6))</f>
        <v/>
      </c>
      <c r="N1756">
        <f>IF($F1756="","",IF(Sync!$AH1756="","0000",IF(AND(ISNUMBER(Sync!$AH1756),Sync!$AH1756&gt;=0,Sync!$AH1756&lt;1),RIGHT("00"&amp;HOUR(Sync!$AH1756),2)&amp;RIGHT("00"&amp;MINUTE(Sync!$AH1756),2),IFERROR(RIGHT("00"&amp;VALUE(LEFT(Sync!$AH1756,FIND(":",Sync!$AH1756)-1)),2)&amp;RIGHT("00"&amp;VALUE(MID(Sync!$AH1756,FIND(":",Sync!$AH1756)+1,2)),2),"0000"))))</f>
        <v/>
      </c>
    </row>
    <row r="1757">
      <c r="A1757">
        <f>IF(OR(Calc!$E1760="",Calc!$E1760="نامعتبر",Calc!$G1760="",Calc!$I1760&lt;&gt;"خرید"),"",Calc!$G1760)</f>
        <v/>
      </c>
      <c r="B1757">
        <f>IF($A1757="","",LEFT(Calc!$E1760,4)&amp;MID(Calc!$E1760,6,2)&amp;RIGHT(Calc!$E1760,2)&amp;Calc!$R1760&amp;"|"&amp;"1"&amp;RIGHT("00000"&amp;1752,5))</f>
        <v/>
      </c>
      <c r="C1757">
        <f>IF($B1757="","",COUNTIFS(LdgPartyA,$A1757,LdgKeyA,"&lt;"&amp;$B1757)+COUNTIFS(LdgPartyB,$A1757,LdgKeyB,"&lt;"&amp;$B1757)+1)</f>
        <v/>
      </c>
      <c r="D1757">
        <f>IF($C1757="","",$A1757&amp;"|"&amp;RIGHT("000000"&amp;$C1757,6))</f>
        <v/>
      </c>
      <c r="F1757">
        <f>IF(Sync!$AJ1757="","",Sync!$AJ1757)</f>
        <v/>
      </c>
      <c r="G1757">
        <f>IF($F1757="","",IF(Sync!$AG1757="","",IF(ISNUMBER(Sync!$AG1757),IF(AND(Sync!$AG1757&gt;=10000101,Sync!$AG1757&lt;=99991231),INT(Sync!$AG1757/10000),""),IFERROR(VALUE(TRIM(LEFT(Sync!$AG1757,FIND("/",Sync!$AG1757)-1))),""))))</f>
        <v/>
      </c>
      <c r="H1757">
        <f>IF(OR($F1757="",$G1757=""),"",IF(ISNUMBER(Sync!$AG1757),INT(MOD(Sync!$AG1757,10000)/100),IFERROR(VALUE(TRIM(LEFT(MID(Sync!$AG1757,FIND("/",Sync!$AG1757)+1,20),FIND("/",MID(Sync!$AG1757,FIND("/",Sync!$AG1757)+1,20))-1))),"")))</f>
        <v/>
      </c>
      <c r="I1757">
        <f>IF(OR($F1757="",$G1757=""),"",IF(ISNUMBER(Sync!$AG1757),MOD(Sync!$AG1757,100),IFERROR(VALUE(TRIM(MID(MID(Sync!$AG1757,FIND("/",Sync!$AG1757)+1,20),FIND("/",MID(Sync!$AG1757,FIND("/",Sync!$AG1757)+1,20))+1,20))),"")))</f>
        <v/>
      </c>
      <c r="J1757">
        <f>IF($F1757="","",IF(OR($G1757="",$H1757="",$I1757="",$G1757&lt;1300,$G1757&gt;1500,$H1757&lt;1,$H1757&gt;12,$I1757&lt;1,$I1757&gt;31),"نامعتبر",RIGHT("0000"&amp;$G1757,4)&amp;"/"&amp;RIGHT("00"&amp;$H1757,2)&amp;"/"&amp;RIGHT("00"&amp;$I1757,2)))</f>
        <v/>
      </c>
      <c r="K1757">
        <f>IF(OR($F1757="",$J1757="",$J1757="نامعتبر"),"",LEFT($J1757,4)&amp;MID($J1757,6,2)&amp;RIGHT($J1757,2)&amp;$N1757&amp;"|"&amp;"2"&amp;RIGHT("00000"&amp;1752,5))</f>
        <v/>
      </c>
      <c r="L1757">
        <f>IF($K1757="","",COUNTIFS(LdgPartyA,$F1757,LdgKeyA,"&lt;"&amp;$K1757)+COUNTIFS(LdgPartyB,$F1757,LdgKeyB,"&lt;"&amp;$K1757)+1)</f>
        <v/>
      </c>
      <c r="M1757">
        <f>IF($L1757="","",$F1757&amp;"|"&amp;RIGHT("000000"&amp;$L1757,6))</f>
        <v/>
      </c>
      <c r="N1757">
        <f>IF($F1757="","",IF(Sync!$AH1757="","0000",IF(AND(ISNUMBER(Sync!$AH1757),Sync!$AH1757&gt;=0,Sync!$AH1757&lt;1),RIGHT("00"&amp;HOUR(Sync!$AH1757),2)&amp;RIGHT("00"&amp;MINUTE(Sync!$AH1757),2),IFERROR(RIGHT("00"&amp;VALUE(LEFT(Sync!$AH1757,FIND(":",Sync!$AH1757)-1)),2)&amp;RIGHT("00"&amp;VALUE(MID(Sync!$AH1757,FIND(":",Sync!$AH1757)+1,2)),2),"0000"))))</f>
        <v/>
      </c>
    </row>
    <row r="1758">
      <c r="A1758">
        <f>IF(OR(Calc!$E1761="",Calc!$E1761="نامعتبر",Calc!$G1761="",Calc!$I1761&lt;&gt;"خرید"),"",Calc!$G1761)</f>
        <v/>
      </c>
      <c r="B1758">
        <f>IF($A1758="","",LEFT(Calc!$E1761,4)&amp;MID(Calc!$E1761,6,2)&amp;RIGHT(Calc!$E1761,2)&amp;Calc!$R1761&amp;"|"&amp;"1"&amp;RIGHT("00000"&amp;1753,5))</f>
        <v/>
      </c>
      <c r="C1758">
        <f>IF($B1758="","",COUNTIFS(LdgPartyA,$A1758,LdgKeyA,"&lt;"&amp;$B1758)+COUNTIFS(LdgPartyB,$A1758,LdgKeyB,"&lt;"&amp;$B1758)+1)</f>
        <v/>
      </c>
      <c r="D1758">
        <f>IF($C1758="","",$A1758&amp;"|"&amp;RIGHT("000000"&amp;$C1758,6))</f>
        <v/>
      </c>
      <c r="F1758">
        <f>IF(Sync!$AJ1758="","",Sync!$AJ1758)</f>
        <v/>
      </c>
      <c r="G1758">
        <f>IF($F1758="","",IF(Sync!$AG1758="","",IF(ISNUMBER(Sync!$AG1758),IF(AND(Sync!$AG1758&gt;=10000101,Sync!$AG1758&lt;=99991231),INT(Sync!$AG1758/10000),""),IFERROR(VALUE(TRIM(LEFT(Sync!$AG1758,FIND("/",Sync!$AG1758)-1))),""))))</f>
        <v/>
      </c>
      <c r="H1758">
        <f>IF(OR($F1758="",$G1758=""),"",IF(ISNUMBER(Sync!$AG1758),INT(MOD(Sync!$AG1758,10000)/100),IFERROR(VALUE(TRIM(LEFT(MID(Sync!$AG1758,FIND("/",Sync!$AG1758)+1,20),FIND("/",MID(Sync!$AG1758,FIND("/",Sync!$AG1758)+1,20))-1))),"")))</f>
        <v/>
      </c>
      <c r="I1758">
        <f>IF(OR($F1758="",$G1758=""),"",IF(ISNUMBER(Sync!$AG1758),MOD(Sync!$AG1758,100),IFERROR(VALUE(TRIM(MID(MID(Sync!$AG1758,FIND("/",Sync!$AG1758)+1,20),FIND("/",MID(Sync!$AG1758,FIND("/",Sync!$AG1758)+1,20))+1,20))),"")))</f>
        <v/>
      </c>
      <c r="J1758">
        <f>IF($F1758="","",IF(OR($G1758="",$H1758="",$I1758="",$G1758&lt;1300,$G1758&gt;1500,$H1758&lt;1,$H1758&gt;12,$I1758&lt;1,$I1758&gt;31),"نامعتبر",RIGHT("0000"&amp;$G1758,4)&amp;"/"&amp;RIGHT("00"&amp;$H1758,2)&amp;"/"&amp;RIGHT("00"&amp;$I1758,2)))</f>
        <v/>
      </c>
      <c r="K1758">
        <f>IF(OR($F1758="",$J1758="",$J1758="نامعتبر"),"",LEFT($J1758,4)&amp;MID($J1758,6,2)&amp;RIGHT($J1758,2)&amp;$N1758&amp;"|"&amp;"2"&amp;RIGHT("00000"&amp;1753,5))</f>
        <v/>
      </c>
      <c r="L1758">
        <f>IF($K1758="","",COUNTIFS(LdgPartyA,$F1758,LdgKeyA,"&lt;"&amp;$K1758)+COUNTIFS(LdgPartyB,$F1758,LdgKeyB,"&lt;"&amp;$K1758)+1)</f>
        <v/>
      </c>
      <c r="M1758">
        <f>IF($L1758="","",$F1758&amp;"|"&amp;RIGHT("000000"&amp;$L1758,6))</f>
        <v/>
      </c>
      <c r="N1758">
        <f>IF($F1758="","",IF(Sync!$AH1758="","0000",IF(AND(ISNUMBER(Sync!$AH1758),Sync!$AH1758&gt;=0,Sync!$AH1758&lt;1),RIGHT("00"&amp;HOUR(Sync!$AH1758),2)&amp;RIGHT("00"&amp;MINUTE(Sync!$AH1758),2),IFERROR(RIGHT("00"&amp;VALUE(LEFT(Sync!$AH1758,FIND(":",Sync!$AH1758)-1)),2)&amp;RIGHT("00"&amp;VALUE(MID(Sync!$AH1758,FIND(":",Sync!$AH1758)+1,2)),2),"0000"))))</f>
        <v/>
      </c>
    </row>
    <row r="1759">
      <c r="A1759">
        <f>IF(OR(Calc!$E1762="",Calc!$E1762="نامعتبر",Calc!$G1762="",Calc!$I1762&lt;&gt;"خرید"),"",Calc!$G1762)</f>
        <v/>
      </c>
      <c r="B1759">
        <f>IF($A1759="","",LEFT(Calc!$E1762,4)&amp;MID(Calc!$E1762,6,2)&amp;RIGHT(Calc!$E1762,2)&amp;Calc!$R1762&amp;"|"&amp;"1"&amp;RIGHT("00000"&amp;1754,5))</f>
        <v/>
      </c>
      <c r="C1759">
        <f>IF($B1759="","",COUNTIFS(LdgPartyA,$A1759,LdgKeyA,"&lt;"&amp;$B1759)+COUNTIFS(LdgPartyB,$A1759,LdgKeyB,"&lt;"&amp;$B1759)+1)</f>
        <v/>
      </c>
      <c r="D1759">
        <f>IF($C1759="","",$A1759&amp;"|"&amp;RIGHT("000000"&amp;$C1759,6))</f>
        <v/>
      </c>
      <c r="F1759">
        <f>IF(Sync!$AJ1759="","",Sync!$AJ1759)</f>
        <v/>
      </c>
      <c r="G1759">
        <f>IF($F1759="","",IF(Sync!$AG1759="","",IF(ISNUMBER(Sync!$AG1759),IF(AND(Sync!$AG1759&gt;=10000101,Sync!$AG1759&lt;=99991231),INT(Sync!$AG1759/10000),""),IFERROR(VALUE(TRIM(LEFT(Sync!$AG1759,FIND("/",Sync!$AG1759)-1))),""))))</f>
        <v/>
      </c>
      <c r="H1759">
        <f>IF(OR($F1759="",$G1759=""),"",IF(ISNUMBER(Sync!$AG1759),INT(MOD(Sync!$AG1759,10000)/100),IFERROR(VALUE(TRIM(LEFT(MID(Sync!$AG1759,FIND("/",Sync!$AG1759)+1,20),FIND("/",MID(Sync!$AG1759,FIND("/",Sync!$AG1759)+1,20))-1))),"")))</f>
        <v/>
      </c>
      <c r="I1759">
        <f>IF(OR($F1759="",$G1759=""),"",IF(ISNUMBER(Sync!$AG1759),MOD(Sync!$AG1759,100),IFERROR(VALUE(TRIM(MID(MID(Sync!$AG1759,FIND("/",Sync!$AG1759)+1,20),FIND("/",MID(Sync!$AG1759,FIND("/",Sync!$AG1759)+1,20))+1,20))),"")))</f>
        <v/>
      </c>
      <c r="J1759">
        <f>IF($F1759="","",IF(OR($G1759="",$H1759="",$I1759="",$G1759&lt;1300,$G1759&gt;1500,$H1759&lt;1,$H1759&gt;12,$I1759&lt;1,$I1759&gt;31),"نامعتبر",RIGHT("0000"&amp;$G1759,4)&amp;"/"&amp;RIGHT("00"&amp;$H1759,2)&amp;"/"&amp;RIGHT("00"&amp;$I1759,2)))</f>
        <v/>
      </c>
      <c r="K1759">
        <f>IF(OR($F1759="",$J1759="",$J1759="نامعتبر"),"",LEFT($J1759,4)&amp;MID($J1759,6,2)&amp;RIGHT($J1759,2)&amp;$N1759&amp;"|"&amp;"2"&amp;RIGHT("00000"&amp;1754,5))</f>
        <v/>
      </c>
      <c r="L1759">
        <f>IF($K1759="","",COUNTIFS(LdgPartyA,$F1759,LdgKeyA,"&lt;"&amp;$K1759)+COUNTIFS(LdgPartyB,$F1759,LdgKeyB,"&lt;"&amp;$K1759)+1)</f>
        <v/>
      </c>
      <c r="M1759">
        <f>IF($L1759="","",$F1759&amp;"|"&amp;RIGHT("000000"&amp;$L1759,6))</f>
        <v/>
      </c>
      <c r="N1759">
        <f>IF($F1759="","",IF(Sync!$AH1759="","0000",IF(AND(ISNUMBER(Sync!$AH1759),Sync!$AH1759&gt;=0,Sync!$AH1759&lt;1),RIGHT("00"&amp;HOUR(Sync!$AH1759),2)&amp;RIGHT("00"&amp;MINUTE(Sync!$AH1759),2),IFERROR(RIGHT("00"&amp;VALUE(LEFT(Sync!$AH1759,FIND(":",Sync!$AH1759)-1)),2)&amp;RIGHT("00"&amp;VALUE(MID(Sync!$AH1759,FIND(":",Sync!$AH1759)+1,2)),2),"0000"))))</f>
        <v/>
      </c>
    </row>
    <row r="1760">
      <c r="A1760">
        <f>IF(OR(Calc!$E1763="",Calc!$E1763="نامعتبر",Calc!$G1763="",Calc!$I1763&lt;&gt;"خرید"),"",Calc!$G1763)</f>
        <v/>
      </c>
      <c r="B1760">
        <f>IF($A1760="","",LEFT(Calc!$E1763,4)&amp;MID(Calc!$E1763,6,2)&amp;RIGHT(Calc!$E1763,2)&amp;Calc!$R1763&amp;"|"&amp;"1"&amp;RIGHT("00000"&amp;1755,5))</f>
        <v/>
      </c>
      <c r="C1760">
        <f>IF($B1760="","",COUNTIFS(LdgPartyA,$A1760,LdgKeyA,"&lt;"&amp;$B1760)+COUNTIFS(LdgPartyB,$A1760,LdgKeyB,"&lt;"&amp;$B1760)+1)</f>
        <v/>
      </c>
      <c r="D1760">
        <f>IF($C1760="","",$A1760&amp;"|"&amp;RIGHT("000000"&amp;$C1760,6))</f>
        <v/>
      </c>
      <c r="F1760">
        <f>IF(Sync!$AJ1760="","",Sync!$AJ1760)</f>
        <v/>
      </c>
      <c r="G1760">
        <f>IF($F1760="","",IF(Sync!$AG1760="","",IF(ISNUMBER(Sync!$AG1760),IF(AND(Sync!$AG1760&gt;=10000101,Sync!$AG1760&lt;=99991231),INT(Sync!$AG1760/10000),""),IFERROR(VALUE(TRIM(LEFT(Sync!$AG1760,FIND("/",Sync!$AG1760)-1))),""))))</f>
        <v/>
      </c>
      <c r="H1760">
        <f>IF(OR($F1760="",$G1760=""),"",IF(ISNUMBER(Sync!$AG1760),INT(MOD(Sync!$AG1760,10000)/100),IFERROR(VALUE(TRIM(LEFT(MID(Sync!$AG1760,FIND("/",Sync!$AG1760)+1,20),FIND("/",MID(Sync!$AG1760,FIND("/",Sync!$AG1760)+1,20))-1))),"")))</f>
        <v/>
      </c>
      <c r="I1760">
        <f>IF(OR($F1760="",$G1760=""),"",IF(ISNUMBER(Sync!$AG1760),MOD(Sync!$AG1760,100),IFERROR(VALUE(TRIM(MID(MID(Sync!$AG1760,FIND("/",Sync!$AG1760)+1,20),FIND("/",MID(Sync!$AG1760,FIND("/",Sync!$AG1760)+1,20))+1,20))),"")))</f>
        <v/>
      </c>
      <c r="J1760">
        <f>IF($F1760="","",IF(OR($G1760="",$H1760="",$I1760="",$G1760&lt;1300,$G1760&gt;1500,$H1760&lt;1,$H1760&gt;12,$I1760&lt;1,$I1760&gt;31),"نامعتبر",RIGHT("0000"&amp;$G1760,4)&amp;"/"&amp;RIGHT("00"&amp;$H1760,2)&amp;"/"&amp;RIGHT("00"&amp;$I1760,2)))</f>
        <v/>
      </c>
      <c r="K1760">
        <f>IF(OR($F1760="",$J1760="",$J1760="نامعتبر"),"",LEFT($J1760,4)&amp;MID($J1760,6,2)&amp;RIGHT($J1760,2)&amp;$N1760&amp;"|"&amp;"2"&amp;RIGHT("00000"&amp;1755,5))</f>
        <v/>
      </c>
      <c r="L1760">
        <f>IF($K1760="","",COUNTIFS(LdgPartyA,$F1760,LdgKeyA,"&lt;"&amp;$K1760)+COUNTIFS(LdgPartyB,$F1760,LdgKeyB,"&lt;"&amp;$K1760)+1)</f>
        <v/>
      </c>
      <c r="M1760">
        <f>IF($L1760="","",$F1760&amp;"|"&amp;RIGHT("000000"&amp;$L1760,6))</f>
        <v/>
      </c>
      <c r="N1760">
        <f>IF($F1760="","",IF(Sync!$AH1760="","0000",IF(AND(ISNUMBER(Sync!$AH1760),Sync!$AH1760&gt;=0,Sync!$AH1760&lt;1),RIGHT("00"&amp;HOUR(Sync!$AH1760),2)&amp;RIGHT("00"&amp;MINUTE(Sync!$AH1760),2),IFERROR(RIGHT("00"&amp;VALUE(LEFT(Sync!$AH1760,FIND(":",Sync!$AH1760)-1)),2)&amp;RIGHT("00"&amp;VALUE(MID(Sync!$AH1760,FIND(":",Sync!$AH1760)+1,2)),2),"0000"))))</f>
        <v/>
      </c>
    </row>
    <row r="1761">
      <c r="A1761">
        <f>IF(OR(Calc!$E1764="",Calc!$E1764="نامعتبر",Calc!$G1764="",Calc!$I1764&lt;&gt;"خرید"),"",Calc!$G1764)</f>
        <v/>
      </c>
      <c r="B1761">
        <f>IF($A1761="","",LEFT(Calc!$E1764,4)&amp;MID(Calc!$E1764,6,2)&amp;RIGHT(Calc!$E1764,2)&amp;Calc!$R1764&amp;"|"&amp;"1"&amp;RIGHT("00000"&amp;1756,5))</f>
        <v/>
      </c>
      <c r="C1761">
        <f>IF($B1761="","",COUNTIFS(LdgPartyA,$A1761,LdgKeyA,"&lt;"&amp;$B1761)+COUNTIFS(LdgPartyB,$A1761,LdgKeyB,"&lt;"&amp;$B1761)+1)</f>
        <v/>
      </c>
      <c r="D1761">
        <f>IF($C1761="","",$A1761&amp;"|"&amp;RIGHT("000000"&amp;$C1761,6))</f>
        <v/>
      </c>
      <c r="F1761">
        <f>IF(Sync!$AJ1761="","",Sync!$AJ1761)</f>
        <v/>
      </c>
      <c r="G1761">
        <f>IF($F1761="","",IF(Sync!$AG1761="","",IF(ISNUMBER(Sync!$AG1761),IF(AND(Sync!$AG1761&gt;=10000101,Sync!$AG1761&lt;=99991231),INT(Sync!$AG1761/10000),""),IFERROR(VALUE(TRIM(LEFT(Sync!$AG1761,FIND("/",Sync!$AG1761)-1))),""))))</f>
        <v/>
      </c>
      <c r="H1761">
        <f>IF(OR($F1761="",$G1761=""),"",IF(ISNUMBER(Sync!$AG1761),INT(MOD(Sync!$AG1761,10000)/100),IFERROR(VALUE(TRIM(LEFT(MID(Sync!$AG1761,FIND("/",Sync!$AG1761)+1,20),FIND("/",MID(Sync!$AG1761,FIND("/",Sync!$AG1761)+1,20))-1))),"")))</f>
        <v/>
      </c>
      <c r="I1761">
        <f>IF(OR($F1761="",$G1761=""),"",IF(ISNUMBER(Sync!$AG1761),MOD(Sync!$AG1761,100),IFERROR(VALUE(TRIM(MID(MID(Sync!$AG1761,FIND("/",Sync!$AG1761)+1,20),FIND("/",MID(Sync!$AG1761,FIND("/",Sync!$AG1761)+1,20))+1,20))),"")))</f>
        <v/>
      </c>
      <c r="J1761">
        <f>IF($F1761="","",IF(OR($G1761="",$H1761="",$I1761="",$G1761&lt;1300,$G1761&gt;1500,$H1761&lt;1,$H1761&gt;12,$I1761&lt;1,$I1761&gt;31),"نامعتبر",RIGHT("0000"&amp;$G1761,4)&amp;"/"&amp;RIGHT("00"&amp;$H1761,2)&amp;"/"&amp;RIGHT("00"&amp;$I1761,2)))</f>
        <v/>
      </c>
      <c r="K1761">
        <f>IF(OR($F1761="",$J1761="",$J1761="نامعتبر"),"",LEFT($J1761,4)&amp;MID($J1761,6,2)&amp;RIGHT($J1761,2)&amp;$N1761&amp;"|"&amp;"2"&amp;RIGHT("00000"&amp;1756,5))</f>
        <v/>
      </c>
      <c r="L1761">
        <f>IF($K1761="","",COUNTIFS(LdgPartyA,$F1761,LdgKeyA,"&lt;"&amp;$K1761)+COUNTIFS(LdgPartyB,$F1761,LdgKeyB,"&lt;"&amp;$K1761)+1)</f>
        <v/>
      </c>
      <c r="M1761">
        <f>IF($L1761="","",$F1761&amp;"|"&amp;RIGHT("000000"&amp;$L1761,6))</f>
        <v/>
      </c>
      <c r="N1761">
        <f>IF($F1761="","",IF(Sync!$AH1761="","0000",IF(AND(ISNUMBER(Sync!$AH1761),Sync!$AH1761&gt;=0,Sync!$AH1761&lt;1),RIGHT("00"&amp;HOUR(Sync!$AH1761),2)&amp;RIGHT("00"&amp;MINUTE(Sync!$AH1761),2),IFERROR(RIGHT("00"&amp;VALUE(LEFT(Sync!$AH1761,FIND(":",Sync!$AH1761)-1)),2)&amp;RIGHT("00"&amp;VALUE(MID(Sync!$AH1761,FIND(":",Sync!$AH1761)+1,2)),2),"0000"))))</f>
        <v/>
      </c>
    </row>
    <row r="1762">
      <c r="A1762">
        <f>IF(OR(Calc!$E1765="",Calc!$E1765="نامعتبر",Calc!$G1765="",Calc!$I1765&lt;&gt;"خرید"),"",Calc!$G1765)</f>
        <v/>
      </c>
      <c r="B1762">
        <f>IF($A1762="","",LEFT(Calc!$E1765,4)&amp;MID(Calc!$E1765,6,2)&amp;RIGHT(Calc!$E1765,2)&amp;Calc!$R1765&amp;"|"&amp;"1"&amp;RIGHT("00000"&amp;1757,5))</f>
        <v/>
      </c>
      <c r="C1762">
        <f>IF($B1762="","",COUNTIFS(LdgPartyA,$A1762,LdgKeyA,"&lt;"&amp;$B1762)+COUNTIFS(LdgPartyB,$A1762,LdgKeyB,"&lt;"&amp;$B1762)+1)</f>
        <v/>
      </c>
      <c r="D1762">
        <f>IF($C1762="","",$A1762&amp;"|"&amp;RIGHT("000000"&amp;$C1762,6))</f>
        <v/>
      </c>
      <c r="F1762">
        <f>IF(Sync!$AJ1762="","",Sync!$AJ1762)</f>
        <v/>
      </c>
      <c r="G1762">
        <f>IF($F1762="","",IF(Sync!$AG1762="","",IF(ISNUMBER(Sync!$AG1762),IF(AND(Sync!$AG1762&gt;=10000101,Sync!$AG1762&lt;=99991231),INT(Sync!$AG1762/10000),""),IFERROR(VALUE(TRIM(LEFT(Sync!$AG1762,FIND("/",Sync!$AG1762)-1))),""))))</f>
        <v/>
      </c>
      <c r="H1762">
        <f>IF(OR($F1762="",$G1762=""),"",IF(ISNUMBER(Sync!$AG1762),INT(MOD(Sync!$AG1762,10000)/100),IFERROR(VALUE(TRIM(LEFT(MID(Sync!$AG1762,FIND("/",Sync!$AG1762)+1,20),FIND("/",MID(Sync!$AG1762,FIND("/",Sync!$AG1762)+1,20))-1))),"")))</f>
        <v/>
      </c>
      <c r="I1762">
        <f>IF(OR($F1762="",$G1762=""),"",IF(ISNUMBER(Sync!$AG1762),MOD(Sync!$AG1762,100),IFERROR(VALUE(TRIM(MID(MID(Sync!$AG1762,FIND("/",Sync!$AG1762)+1,20),FIND("/",MID(Sync!$AG1762,FIND("/",Sync!$AG1762)+1,20))+1,20))),"")))</f>
        <v/>
      </c>
      <c r="J1762">
        <f>IF($F1762="","",IF(OR($G1762="",$H1762="",$I1762="",$G1762&lt;1300,$G1762&gt;1500,$H1762&lt;1,$H1762&gt;12,$I1762&lt;1,$I1762&gt;31),"نامعتبر",RIGHT("0000"&amp;$G1762,4)&amp;"/"&amp;RIGHT("00"&amp;$H1762,2)&amp;"/"&amp;RIGHT("00"&amp;$I1762,2)))</f>
        <v/>
      </c>
      <c r="K1762">
        <f>IF(OR($F1762="",$J1762="",$J1762="نامعتبر"),"",LEFT($J1762,4)&amp;MID($J1762,6,2)&amp;RIGHT($J1762,2)&amp;$N1762&amp;"|"&amp;"2"&amp;RIGHT("00000"&amp;1757,5))</f>
        <v/>
      </c>
      <c r="L1762">
        <f>IF($K1762="","",COUNTIFS(LdgPartyA,$F1762,LdgKeyA,"&lt;"&amp;$K1762)+COUNTIFS(LdgPartyB,$F1762,LdgKeyB,"&lt;"&amp;$K1762)+1)</f>
        <v/>
      </c>
      <c r="M1762">
        <f>IF($L1762="","",$F1762&amp;"|"&amp;RIGHT("000000"&amp;$L1762,6))</f>
        <v/>
      </c>
      <c r="N1762">
        <f>IF($F1762="","",IF(Sync!$AH1762="","0000",IF(AND(ISNUMBER(Sync!$AH1762),Sync!$AH1762&gt;=0,Sync!$AH1762&lt;1),RIGHT("00"&amp;HOUR(Sync!$AH1762),2)&amp;RIGHT("00"&amp;MINUTE(Sync!$AH1762),2),IFERROR(RIGHT("00"&amp;VALUE(LEFT(Sync!$AH1762,FIND(":",Sync!$AH1762)-1)),2)&amp;RIGHT("00"&amp;VALUE(MID(Sync!$AH1762,FIND(":",Sync!$AH1762)+1,2)),2),"0000"))))</f>
        <v/>
      </c>
    </row>
    <row r="1763">
      <c r="A1763">
        <f>IF(OR(Calc!$E1766="",Calc!$E1766="نامعتبر",Calc!$G1766="",Calc!$I1766&lt;&gt;"خرید"),"",Calc!$G1766)</f>
        <v/>
      </c>
      <c r="B1763">
        <f>IF($A1763="","",LEFT(Calc!$E1766,4)&amp;MID(Calc!$E1766,6,2)&amp;RIGHT(Calc!$E1766,2)&amp;Calc!$R1766&amp;"|"&amp;"1"&amp;RIGHT("00000"&amp;1758,5))</f>
        <v/>
      </c>
      <c r="C1763">
        <f>IF($B1763="","",COUNTIFS(LdgPartyA,$A1763,LdgKeyA,"&lt;"&amp;$B1763)+COUNTIFS(LdgPartyB,$A1763,LdgKeyB,"&lt;"&amp;$B1763)+1)</f>
        <v/>
      </c>
      <c r="D1763">
        <f>IF($C1763="","",$A1763&amp;"|"&amp;RIGHT("000000"&amp;$C1763,6))</f>
        <v/>
      </c>
      <c r="F1763">
        <f>IF(Sync!$AJ1763="","",Sync!$AJ1763)</f>
        <v/>
      </c>
      <c r="G1763">
        <f>IF($F1763="","",IF(Sync!$AG1763="","",IF(ISNUMBER(Sync!$AG1763),IF(AND(Sync!$AG1763&gt;=10000101,Sync!$AG1763&lt;=99991231),INT(Sync!$AG1763/10000),""),IFERROR(VALUE(TRIM(LEFT(Sync!$AG1763,FIND("/",Sync!$AG1763)-1))),""))))</f>
        <v/>
      </c>
      <c r="H1763">
        <f>IF(OR($F1763="",$G1763=""),"",IF(ISNUMBER(Sync!$AG1763),INT(MOD(Sync!$AG1763,10000)/100),IFERROR(VALUE(TRIM(LEFT(MID(Sync!$AG1763,FIND("/",Sync!$AG1763)+1,20),FIND("/",MID(Sync!$AG1763,FIND("/",Sync!$AG1763)+1,20))-1))),"")))</f>
        <v/>
      </c>
      <c r="I1763">
        <f>IF(OR($F1763="",$G1763=""),"",IF(ISNUMBER(Sync!$AG1763),MOD(Sync!$AG1763,100),IFERROR(VALUE(TRIM(MID(MID(Sync!$AG1763,FIND("/",Sync!$AG1763)+1,20),FIND("/",MID(Sync!$AG1763,FIND("/",Sync!$AG1763)+1,20))+1,20))),"")))</f>
        <v/>
      </c>
      <c r="J1763">
        <f>IF($F1763="","",IF(OR($G1763="",$H1763="",$I1763="",$G1763&lt;1300,$G1763&gt;1500,$H1763&lt;1,$H1763&gt;12,$I1763&lt;1,$I1763&gt;31),"نامعتبر",RIGHT("0000"&amp;$G1763,4)&amp;"/"&amp;RIGHT("00"&amp;$H1763,2)&amp;"/"&amp;RIGHT("00"&amp;$I1763,2)))</f>
        <v/>
      </c>
      <c r="K1763">
        <f>IF(OR($F1763="",$J1763="",$J1763="نامعتبر"),"",LEFT($J1763,4)&amp;MID($J1763,6,2)&amp;RIGHT($J1763,2)&amp;$N1763&amp;"|"&amp;"2"&amp;RIGHT("00000"&amp;1758,5))</f>
        <v/>
      </c>
      <c r="L1763">
        <f>IF($K1763="","",COUNTIFS(LdgPartyA,$F1763,LdgKeyA,"&lt;"&amp;$K1763)+COUNTIFS(LdgPartyB,$F1763,LdgKeyB,"&lt;"&amp;$K1763)+1)</f>
        <v/>
      </c>
      <c r="M1763">
        <f>IF($L1763="","",$F1763&amp;"|"&amp;RIGHT("000000"&amp;$L1763,6))</f>
        <v/>
      </c>
      <c r="N1763">
        <f>IF($F1763="","",IF(Sync!$AH1763="","0000",IF(AND(ISNUMBER(Sync!$AH1763),Sync!$AH1763&gt;=0,Sync!$AH1763&lt;1),RIGHT("00"&amp;HOUR(Sync!$AH1763),2)&amp;RIGHT("00"&amp;MINUTE(Sync!$AH1763),2),IFERROR(RIGHT("00"&amp;VALUE(LEFT(Sync!$AH1763,FIND(":",Sync!$AH1763)-1)),2)&amp;RIGHT("00"&amp;VALUE(MID(Sync!$AH1763,FIND(":",Sync!$AH1763)+1,2)),2),"0000"))))</f>
        <v/>
      </c>
    </row>
    <row r="1764">
      <c r="A1764">
        <f>IF(OR(Calc!$E1767="",Calc!$E1767="نامعتبر",Calc!$G1767="",Calc!$I1767&lt;&gt;"خرید"),"",Calc!$G1767)</f>
        <v/>
      </c>
      <c r="B1764">
        <f>IF($A1764="","",LEFT(Calc!$E1767,4)&amp;MID(Calc!$E1767,6,2)&amp;RIGHT(Calc!$E1767,2)&amp;Calc!$R1767&amp;"|"&amp;"1"&amp;RIGHT("00000"&amp;1759,5))</f>
        <v/>
      </c>
      <c r="C1764">
        <f>IF($B1764="","",COUNTIFS(LdgPartyA,$A1764,LdgKeyA,"&lt;"&amp;$B1764)+COUNTIFS(LdgPartyB,$A1764,LdgKeyB,"&lt;"&amp;$B1764)+1)</f>
        <v/>
      </c>
      <c r="D1764">
        <f>IF($C1764="","",$A1764&amp;"|"&amp;RIGHT("000000"&amp;$C1764,6))</f>
        <v/>
      </c>
      <c r="F1764">
        <f>IF(Sync!$AJ1764="","",Sync!$AJ1764)</f>
        <v/>
      </c>
      <c r="G1764">
        <f>IF($F1764="","",IF(Sync!$AG1764="","",IF(ISNUMBER(Sync!$AG1764),IF(AND(Sync!$AG1764&gt;=10000101,Sync!$AG1764&lt;=99991231),INT(Sync!$AG1764/10000),""),IFERROR(VALUE(TRIM(LEFT(Sync!$AG1764,FIND("/",Sync!$AG1764)-1))),""))))</f>
        <v/>
      </c>
      <c r="H1764">
        <f>IF(OR($F1764="",$G1764=""),"",IF(ISNUMBER(Sync!$AG1764),INT(MOD(Sync!$AG1764,10000)/100),IFERROR(VALUE(TRIM(LEFT(MID(Sync!$AG1764,FIND("/",Sync!$AG1764)+1,20),FIND("/",MID(Sync!$AG1764,FIND("/",Sync!$AG1764)+1,20))-1))),"")))</f>
        <v/>
      </c>
      <c r="I1764">
        <f>IF(OR($F1764="",$G1764=""),"",IF(ISNUMBER(Sync!$AG1764),MOD(Sync!$AG1764,100),IFERROR(VALUE(TRIM(MID(MID(Sync!$AG1764,FIND("/",Sync!$AG1764)+1,20),FIND("/",MID(Sync!$AG1764,FIND("/",Sync!$AG1764)+1,20))+1,20))),"")))</f>
        <v/>
      </c>
      <c r="J1764">
        <f>IF($F1764="","",IF(OR($G1764="",$H1764="",$I1764="",$G1764&lt;1300,$G1764&gt;1500,$H1764&lt;1,$H1764&gt;12,$I1764&lt;1,$I1764&gt;31),"نامعتبر",RIGHT("0000"&amp;$G1764,4)&amp;"/"&amp;RIGHT("00"&amp;$H1764,2)&amp;"/"&amp;RIGHT("00"&amp;$I1764,2)))</f>
        <v/>
      </c>
      <c r="K1764">
        <f>IF(OR($F1764="",$J1764="",$J1764="نامعتبر"),"",LEFT($J1764,4)&amp;MID($J1764,6,2)&amp;RIGHT($J1764,2)&amp;$N1764&amp;"|"&amp;"2"&amp;RIGHT("00000"&amp;1759,5))</f>
        <v/>
      </c>
      <c r="L1764">
        <f>IF($K1764="","",COUNTIFS(LdgPartyA,$F1764,LdgKeyA,"&lt;"&amp;$K1764)+COUNTIFS(LdgPartyB,$F1764,LdgKeyB,"&lt;"&amp;$K1764)+1)</f>
        <v/>
      </c>
      <c r="M1764">
        <f>IF($L1764="","",$F1764&amp;"|"&amp;RIGHT("000000"&amp;$L1764,6))</f>
        <v/>
      </c>
      <c r="N1764">
        <f>IF($F1764="","",IF(Sync!$AH1764="","0000",IF(AND(ISNUMBER(Sync!$AH1764),Sync!$AH1764&gt;=0,Sync!$AH1764&lt;1),RIGHT("00"&amp;HOUR(Sync!$AH1764),2)&amp;RIGHT("00"&amp;MINUTE(Sync!$AH1764),2),IFERROR(RIGHT("00"&amp;VALUE(LEFT(Sync!$AH1764,FIND(":",Sync!$AH1764)-1)),2)&amp;RIGHT("00"&amp;VALUE(MID(Sync!$AH1764,FIND(":",Sync!$AH1764)+1,2)),2),"0000"))))</f>
        <v/>
      </c>
    </row>
    <row r="1765">
      <c r="A1765">
        <f>IF(OR(Calc!$E1768="",Calc!$E1768="نامعتبر",Calc!$G1768="",Calc!$I1768&lt;&gt;"خرید"),"",Calc!$G1768)</f>
        <v/>
      </c>
      <c r="B1765">
        <f>IF($A1765="","",LEFT(Calc!$E1768,4)&amp;MID(Calc!$E1768,6,2)&amp;RIGHT(Calc!$E1768,2)&amp;Calc!$R1768&amp;"|"&amp;"1"&amp;RIGHT("00000"&amp;1760,5))</f>
        <v/>
      </c>
      <c r="C1765">
        <f>IF($B1765="","",COUNTIFS(LdgPartyA,$A1765,LdgKeyA,"&lt;"&amp;$B1765)+COUNTIFS(LdgPartyB,$A1765,LdgKeyB,"&lt;"&amp;$B1765)+1)</f>
        <v/>
      </c>
      <c r="D1765">
        <f>IF($C1765="","",$A1765&amp;"|"&amp;RIGHT("000000"&amp;$C1765,6))</f>
        <v/>
      </c>
      <c r="F1765">
        <f>IF(Sync!$AJ1765="","",Sync!$AJ1765)</f>
        <v/>
      </c>
      <c r="G1765">
        <f>IF($F1765="","",IF(Sync!$AG1765="","",IF(ISNUMBER(Sync!$AG1765),IF(AND(Sync!$AG1765&gt;=10000101,Sync!$AG1765&lt;=99991231),INT(Sync!$AG1765/10000),""),IFERROR(VALUE(TRIM(LEFT(Sync!$AG1765,FIND("/",Sync!$AG1765)-1))),""))))</f>
        <v/>
      </c>
      <c r="H1765">
        <f>IF(OR($F1765="",$G1765=""),"",IF(ISNUMBER(Sync!$AG1765),INT(MOD(Sync!$AG1765,10000)/100),IFERROR(VALUE(TRIM(LEFT(MID(Sync!$AG1765,FIND("/",Sync!$AG1765)+1,20),FIND("/",MID(Sync!$AG1765,FIND("/",Sync!$AG1765)+1,20))-1))),"")))</f>
        <v/>
      </c>
      <c r="I1765">
        <f>IF(OR($F1765="",$G1765=""),"",IF(ISNUMBER(Sync!$AG1765),MOD(Sync!$AG1765,100),IFERROR(VALUE(TRIM(MID(MID(Sync!$AG1765,FIND("/",Sync!$AG1765)+1,20),FIND("/",MID(Sync!$AG1765,FIND("/",Sync!$AG1765)+1,20))+1,20))),"")))</f>
        <v/>
      </c>
      <c r="J1765">
        <f>IF($F1765="","",IF(OR($G1765="",$H1765="",$I1765="",$G1765&lt;1300,$G1765&gt;1500,$H1765&lt;1,$H1765&gt;12,$I1765&lt;1,$I1765&gt;31),"نامعتبر",RIGHT("0000"&amp;$G1765,4)&amp;"/"&amp;RIGHT("00"&amp;$H1765,2)&amp;"/"&amp;RIGHT("00"&amp;$I1765,2)))</f>
        <v/>
      </c>
      <c r="K1765">
        <f>IF(OR($F1765="",$J1765="",$J1765="نامعتبر"),"",LEFT($J1765,4)&amp;MID($J1765,6,2)&amp;RIGHT($J1765,2)&amp;$N1765&amp;"|"&amp;"2"&amp;RIGHT("00000"&amp;1760,5))</f>
        <v/>
      </c>
      <c r="L1765">
        <f>IF($K1765="","",COUNTIFS(LdgPartyA,$F1765,LdgKeyA,"&lt;"&amp;$K1765)+COUNTIFS(LdgPartyB,$F1765,LdgKeyB,"&lt;"&amp;$K1765)+1)</f>
        <v/>
      </c>
      <c r="M1765">
        <f>IF($L1765="","",$F1765&amp;"|"&amp;RIGHT("000000"&amp;$L1765,6))</f>
        <v/>
      </c>
      <c r="N1765">
        <f>IF($F1765="","",IF(Sync!$AH1765="","0000",IF(AND(ISNUMBER(Sync!$AH1765),Sync!$AH1765&gt;=0,Sync!$AH1765&lt;1),RIGHT("00"&amp;HOUR(Sync!$AH1765),2)&amp;RIGHT("00"&amp;MINUTE(Sync!$AH1765),2),IFERROR(RIGHT("00"&amp;VALUE(LEFT(Sync!$AH1765,FIND(":",Sync!$AH1765)-1)),2)&amp;RIGHT("00"&amp;VALUE(MID(Sync!$AH1765,FIND(":",Sync!$AH1765)+1,2)),2),"0000"))))</f>
        <v/>
      </c>
    </row>
    <row r="1766">
      <c r="A1766">
        <f>IF(OR(Calc!$E1769="",Calc!$E1769="نامعتبر",Calc!$G1769="",Calc!$I1769&lt;&gt;"خرید"),"",Calc!$G1769)</f>
        <v/>
      </c>
      <c r="B1766">
        <f>IF($A1766="","",LEFT(Calc!$E1769,4)&amp;MID(Calc!$E1769,6,2)&amp;RIGHT(Calc!$E1769,2)&amp;Calc!$R1769&amp;"|"&amp;"1"&amp;RIGHT("00000"&amp;1761,5))</f>
        <v/>
      </c>
      <c r="C1766">
        <f>IF($B1766="","",COUNTIFS(LdgPartyA,$A1766,LdgKeyA,"&lt;"&amp;$B1766)+COUNTIFS(LdgPartyB,$A1766,LdgKeyB,"&lt;"&amp;$B1766)+1)</f>
        <v/>
      </c>
      <c r="D1766">
        <f>IF($C1766="","",$A1766&amp;"|"&amp;RIGHT("000000"&amp;$C1766,6))</f>
        <v/>
      </c>
      <c r="F1766">
        <f>IF(Sync!$AJ1766="","",Sync!$AJ1766)</f>
        <v/>
      </c>
      <c r="G1766">
        <f>IF($F1766="","",IF(Sync!$AG1766="","",IF(ISNUMBER(Sync!$AG1766),IF(AND(Sync!$AG1766&gt;=10000101,Sync!$AG1766&lt;=99991231),INT(Sync!$AG1766/10000),""),IFERROR(VALUE(TRIM(LEFT(Sync!$AG1766,FIND("/",Sync!$AG1766)-1))),""))))</f>
        <v/>
      </c>
      <c r="H1766">
        <f>IF(OR($F1766="",$G1766=""),"",IF(ISNUMBER(Sync!$AG1766),INT(MOD(Sync!$AG1766,10000)/100),IFERROR(VALUE(TRIM(LEFT(MID(Sync!$AG1766,FIND("/",Sync!$AG1766)+1,20),FIND("/",MID(Sync!$AG1766,FIND("/",Sync!$AG1766)+1,20))-1))),"")))</f>
        <v/>
      </c>
      <c r="I1766">
        <f>IF(OR($F1766="",$G1766=""),"",IF(ISNUMBER(Sync!$AG1766),MOD(Sync!$AG1766,100),IFERROR(VALUE(TRIM(MID(MID(Sync!$AG1766,FIND("/",Sync!$AG1766)+1,20),FIND("/",MID(Sync!$AG1766,FIND("/",Sync!$AG1766)+1,20))+1,20))),"")))</f>
        <v/>
      </c>
      <c r="J1766">
        <f>IF($F1766="","",IF(OR($G1766="",$H1766="",$I1766="",$G1766&lt;1300,$G1766&gt;1500,$H1766&lt;1,$H1766&gt;12,$I1766&lt;1,$I1766&gt;31),"نامعتبر",RIGHT("0000"&amp;$G1766,4)&amp;"/"&amp;RIGHT("00"&amp;$H1766,2)&amp;"/"&amp;RIGHT("00"&amp;$I1766,2)))</f>
        <v/>
      </c>
      <c r="K1766">
        <f>IF(OR($F1766="",$J1766="",$J1766="نامعتبر"),"",LEFT($J1766,4)&amp;MID($J1766,6,2)&amp;RIGHT($J1766,2)&amp;$N1766&amp;"|"&amp;"2"&amp;RIGHT("00000"&amp;1761,5))</f>
        <v/>
      </c>
      <c r="L1766">
        <f>IF($K1766="","",COUNTIFS(LdgPartyA,$F1766,LdgKeyA,"&lt;"&amp;$K1766)+COUNTIFS(LdgPartyB,$F1766,LdgKeyB,"&lt;"&amp;$K1766)+1)</f>
        <v/>
      </c>
      <c r="M1766">
        <f>IF($L1766="","",$F1766&amp;"|"&amp;RIGHT("000000"&amp;$L1766,6))</f>
        <v/>
      </c>
      <c r="N1766">
        <f>IF($F1766="","",IF(Sync!$AH1766="","0000",IF(AND(ISNUMBER(Sync!$AH1766),Sync!$AH1766&gt;=0,Sync!$AH1766&lt;1),RIGHT("00"&amp;HOUR(Sync!$AH1766),2)&amp;RIGHT("00"&amp;MINUTE(Sync!$AH1766),2),IFERROR(RIGHT("00"&amp;VALUE(LEFT(Sync!$AH1766,FIND(":",Sync!$AH1766)-1)),2)&amp;RIGHT("00"&amp;VALUE(MID(Sync!$AH1766,FIND(":",Sync!$AH1766)+1,2)),2),"0000"))))</f>
        <v/>
      </c>
    </row>
    <row r="1767">
      <c r="A1767">
        <f>IF(OR(Calc!$E1770="",Calc!$E1770="نامعتبر",Calc!$G1770="",Calc!$I1770&lt;&gt;"خرید"),"",Calc!$G1770)</f>
        <v/>
      </c>
      <c r="B1767">
        <f>IF($A1767="","",LEFT(Calc!$E1770,4)&amp;MID(Calc!$E1770,6,2)&amp;RIGHT(Calc!$E1770,2)&amp;Calc!$R1770&amp;"|"&amp;"1"&amp;RIGHT("00000"&amp;1762,5))</f>
        <v/>
      </c>
      <c r="C1767">
        <f>IF($B1767="","",COUNTIFS(LdgPartyA,$A1767,LdgKeyA,"&lt;"&amp;$B1767)+COUNTIFS(LdgPartyB,$A1767,LdgKeyB,"&lt;"&amp;$B1767)+1)</f>
        <v/>
      </c>
      <c r="D1767">
        <f>IF($C1767="","",$A1767&amp;"|"&amp;RIGHT("000000"&amp;$C1767,6))</f>
        <v/>
      </c>
      <c r="F1767">
        <f>IF(Sync!$AJ1767="","",Sync!$AJ1767)</f>
        <v/>
      </c>
      <c r="G1767">
        <f>IF($F1767="","",IF(Sync!$AG1767="","",IF(ISNUMBER(Sync!$AG1767),IF(AND(Sync!$AG1767&gt;=10000101,Sync!$AG1767&lt;=99991231),INT(Sync!$AG1767/10000),""),IFERROR(VALUE(TRIM(LEFT(Sync!$AG1767,FIND("/",Sync!$AG1767)-1))),""))))</f>
        <v/>
      </c>
      <c r="H1767">
        <f>IF(OR($F1767="",$G1767=""),"",IF(ISNUMBER(Sync!$AG1767),INT(MOD(Sync!$AG1767,10000)/100),IFERROR(VALUE(TRIM(LEFT(MID(Sync!$AG1767,FIND("/",Sync!$AG1767)+1,20),FIND("/",MID(Sync!$AG1767,FIND("/",Sync!$AG1767)+1,20))-1))),"")))</f>
        <v/>
      </c>
      <c r="I1767">
        <f>IF(OR($F1767="",$G1767=""),"",IF(ISNUMBER(Sync!$AG1767),MOD(Sync!$AG1767,100),IFERROR(VALUE(TRIM(MID(MID(Sync!$AG1767,FIND("/",Sync!$AG1767)+1,20),FIND("/",MID(Sync!$AG1767,FIND("/",Sync!$AG1767)+1,20))+1,20))),"")))</f>
        <v/>
      </c>
      <c r="J1767">
        <f>IF($F1767="","",IF(OR($G1767="",$H1767="",$I1767="",$G1767&lt;1300,$G1767&gt;1500,$H1767&lt;1,$H1767&gt;12,$I1767&lt;1,$I1767&gt;31),"نامعتبر",RIGHT("0000"&amp;$G1767,4)&amp;"/"&amp;RIGHT("00"&amp;$H1767,2)&amp;"/"&amp;RIGHT("00"&amp;$I1767,2)))</f>
        <v/>
      </c>
      <c r="K1767">
        <f>IF(OR($F1767="",$J1767="",$J1767="نامعتبر"),"",LEFT($J1767,4)&amp;MID($J1767,6,2)&amp;RIGHT($J1767,2)&amp;$N1767&amp;"|"&amp;"2"&amp;RIGHT("00000"&amp;1762,5))</f>
        <v/>
      </c>
      <c r="L1767">
        <f>IF($K1767="","",COUNTIFS(LdgPartyA,$F1767,LdgKeyA,"&lt;"&amp;$K1767)+COUNTIFS(LdgPartyB,$F1767,LdgKeyB,"&lt;"&amp;$K1767)+1)</f>
        <v/>
      </c>
      <c r="M1767">
        <f>IF($L1767="","",$F1767&amp;"|"&amp;RIGHT("000000"&amp;$L1767,6))</f>
        <v/>
      </c>
      <c r="N1767">
        <f>IF($F1767="","",IF(Sync!$AH1767="","0000",IF(AND(ISNUMBER(Sync!$AH1767),Sync!$AH1767&gt;=0,Sync!$AH1767&lt;1),RIGHT("00"&amp;HOUR(Sync!$AH1767),2)&amp;RIGHT("00"&amp;MINUTE(Sync!$AH1767),2),IFERROR(RIGHT("00"&amp;VALUE(LEFT(Sync!$AH1767,FIND(":",Sync!$AH1767)-1)),2)&amp;RIGHT("00"&amp;VALUE(MID(Sync!$AH1767,FIND(":",Sync!$AH1767)+1,2)),2),"0000"))))</f>
        <v/>
      </c>
    </row>
    <row r="1768">
      <c r="A1768">
        <f>IF(OR(Calc!$E1771="",Calc!$E1771="نامعتبر",Calc!$G1771="",Calc!$I1771&lt;&gt;"خرید"),"",Calc!$G1771)</f>
        <v/>
      </c>
      <c r="B1768">
        <f>IF($A1768="","",LEFT(Calc!$E1771,4)&amp;MID(Calc!$E1771,6,2)&amp;RIGHT(Calc!$E1771,2)&amp;Calc!$R1771&amp;"|"&amp;"1"&amp;RIGHT("00000"&amp;1763,5))</f>
        <v/>
      </c>
      <c r="C1768">
        <f>IF($B1768="","",COUNTIFS(LdgPartyA,$A1768,LdgKeyA,"&lt;"&amp;$B1768)+COUNTIFS(LdgPartyB,$A1768,LdgKeyB,"&lt;"&amp;$B1768)+1)</f>
        <v/>
      </c>
      <c r="D1768">
        <f>IF($C1768="","",$A1768&amp;"|"&amp;RIGHT("000000"&amp;$C1768,6))</f>
        <v/>
      </c>
      <c r="F1768">
        <f>IF(Sync!$AJ1768="","",Sync!$AJ1768)</f>
        <v/>
      </c>
      <c r="G1768">
        <f>IF($F1768="","",IF(Sync!$AG1768="","",IF(ISNUMBER(Sync!$AG1768),IF(AND(Sync!$AG1768&gt;=10000101,Sync!$AG1768&lt;=99991231),INT(Sync!$AG1768/10000),""),IFERROR(VALUE(TRIM(LEFT(Sync!$AG1768,FIND("/",Sync!$AG1768)-1))),""))))</f>
        <v/>
      </c>
      <c r="H1768">
        <f>IF(OR($F1768="",$G1768=""),"",IF(ISNUMBER(Sync!$AG1768),INT(MOD(Sync!$AG1768,10000)/100),IFERROR(VALUE(TRIM(LEFT(MID(Sync!$AG1768,FIND("/",Sync!$AG1768)+1,20),FIND("/",MID(Sync!$AG1768,FIND("/",Sync!$AG1768)+1,20))-1))),"")))</f>
        <v/>
      </c>
      <c r="I1768">
        <f>IF(OR($F1768="",$G1768=""),"",IF(ISNUMBER(Sync!$AG1768),MOD(Sync!$AG1768,100),IFERROR(VALUE(TRIM(MID(MID(Sync!$AG1768,FIND("/",Sync!$AG1768)+1,20),FIND("/",MID(Sync!$AG1768,FIND("/",Sync!$AG1768)+1,20))+1,20))),"")))</f>
        <v/>
      </c>
      <c r="J1768">
        <f>IF($F1768="","",IF(OR($G1768="",$H1768="",$I1768="",$G1768&lt;1300,$G1768&gt;1500,$H1768&lt;1,$H1768&gt;12,$I1768&lt;1,$I1768&gt;31),"نامعتبر",RIGHT("0000"&amp;$G1768,4)&amp;"/"&amp;RIGHT("00"&amp;$H1768,2)&amp;"/"&amp;RIGHT("00"&amp;$I1768,2)))</f>
        <v/>
      </c>
      <c r="K1768">
        <f>IF(OR($F1768="",$J1768="",$J1768="نامعتبر"),"",LEFT($J1768,4)&amp;MID($J1768,6,2)&amp;RIGHT($J1768,2)&amp;$N1768&amp;"|"&amp;"2"&amp;RIGHT("00000"&amp;1763,5))</f>
        <v/>
      </c>
      <c r="L1768">
        <f>IF($K1768="","",COUNTIFS(LdgPartyA,$F1768,LdgKeyA,"&lt;"&amp;$K1768)+COUNTIFS(LdgPartyB,$F1768,LdgKeyB,"&lt;"&amp;$K1768)+1)</f>
        <v/>
      </c>
      <c r="M1768">
        <f>IF($L1768="","",$F1768&amp;"|"&amp;RIGHT("000000"&amp;$L1768,6))</f>
        <v/>
      </c>
      <c r="N1768">
        <f>IF($F1768="","",IF(Sync!$AH1768="","0000",IF(AND(ISNUMBER(Sync!$AH1768),Sync!$AH1768&gt;=0,Sync!$AH1768&lt;1),RIGHT("00"&amp;HOUR(Sync!$AH1768),2)&amp;RIGHT("00"&amp;MINUTE(Sync!$AH1768),2),IFERROR(RIGHT("00"&amp;VALUE(LEFT(Sync!$AH1768,FIND(":",Sync!$AH1768)-1)),2)&amp;RIGHT("00"&amp;VALUE(MID(Sync!$AH1768,FIND(":",Sync!$AH1768)+1,2)),2),"0000"))))</f>
        <v/>
      </c>
    </row>
    <row r="1769">
      <c r="A1769">
        <f>IF(OR(Calc!$E1772="",Calc!$E1772="نامعتبر",Calc!$G1772="",Calc!$I1772&lt;&gt;"خرید"),"",Calc!$G1772)</f>
        <v/>
      </c>
      <c r="B1769">
        <f>IF($A1769="","",LEFT(Calc!$E1772,4)&amp;MID(Calc!$E1772,6,2)&amp;RIGHT(Calc!$E1772,2)&amp;Calc!$R1772&amp;"|"&amp;"1"&amp;RIGHT("00000"&amp;1764,5))</f>
        <v/>
      </c>
      <c r="C1769">
        <f>IF($B1769="","",COUNTIFS(LdgPartyA,$A1769,LdgKeyA,"&lt;"&amp;$B1769)+COUNTIFS(LdgPartyB,$A1769,LdgKeyB,"&lt;"&amp;$B1769)+1)</f>
        <v/>
      </c>
      <c r="D1769">
        <f>IF($C1769="","",$A1769&amp;"|"&amp;RIGHT("000000"&amp;$C1769,6))</f>
        <v/>
      </c>
      <c r="F1769">
        <f>IF(Sync!$AJ1769="","",Sync!$AJ1769)</f>
        <v/>
      </c>
      <c r="G1769">
        <f>IF($F1769="","",IF(Sync!$AG1769="","",IF(ISNUMBER(Sync!$AG1769),IF(AND(Sync!$AG1769&gt;=10000101,Sync!$AG1769&lt;=99991231),INT(Sync!$AG1769/10000),""),IFERROR(VALUE(TRIM(LEFT(Sync!$AG1769,FIND("/",Sync!$AG1769)-1))),""))))</f>
        <v/>
      </c>
      <c r="H1769">
        <f>IF(OR($F1769="",$G1769=""),"",IF(ISNUMBER(Sync!$AG1769),INT(MOD(Sync!$AG1769,10000)/100),IFERROR(VALUE(TRIM(LEFT(MID(Sync!$AG1769,FIND("/",Sync!$AG1769)+1,20),FIND("/",MID(Sync!$AG1769,FIND("/",Sync!$AG1769)+1,20))-1))),"")))</f>
        <v/>
      </c>
      <c r="I1769">
        <f>IF(OR($F1769="",$G1769=""),"",IF(ISNUMBER(Sync!$AG1769),MOD(Sync!$AG1769,100),IFERROR(VALUE(TRIM(MID(MID(Sync!$AG1769,FIND("/",Sync!$AG1769)+1,20),FIND("/",MID(Sync!$AG1769,FIND("/",Sync!$AG1769)+1,20))+1,20))),"")))</f>
        <v/>
      </c>
      <c r="J1769">
        <f>IF($F1769="","",IF(OR($G1769="",$H1769="",$I1769="",$G1769&lt;1300,$G1769&gt;1500,$H1769&lt;1,$H1769&gt;12,$I1769&lt;1,$I1769&gt;31),"نامعتبر",RIGHT("0000"&amp;$G1769,4)&amp;"/"&amp;RIGHT("00"&amp;$H1769,2)&amp;"/"&amp;RIGHT("00"&amp;$I1769,2)))</f>
        <v/>
      </c>
      <c r="K1769">
        <f>IF(OR($F1769="",$J1769="",$J1769="نامعتبر"),"",LEFT($J1769,4)&amp;MID($J1769,6,2)&amp;RIGHT($J1769,2)&amp;$N1769&amp;"|"&amp;"2"&amp;RIGHT("00000"&amp;1764,5))</f>
        <v/>
      </c>
      <c r="L1769">
        <f>IF($K1769="","",COUNTIFS(LdgPartyA,$F1769,LdgKeyA,"&lt;"&amp;$K1769)+COUNTIFS(LdgPartyB,$F1769,LdgKeyB,"&lt;"&amp;$K1769)+1)</f>
        <v/>
      </c>
      <c r="M1769">
        <f>IF($L1769="","",$F1769&amp;"|"&amp;RIGHT("000000"&amp;$L1769,6))</f>
        <v/>
      </c>
      <c r="N1769">
        <f>IF($F1769="","",IF(Sync!$AH1769="","0000",IF(AND(ISNUMBER(Sync!$AH1769),Sync!$AH1769&gt;=0,Sync!$AH1769&lt;1),RIGHT("00"&amp;HOUR(Sync!$AH1769),2)&amp;RIGHT("00"&amp;MINUTE(Sync!$AH1769),2),IFERROR(RIGHT("00"&amp;VALUE(LEFT(Sync!$AH1769,FIND(":",Sync!$AH1769)-1)),2)&amp;RIGHT("00"&amp;VALUE(MID(Sync!$AH1769,FIND(":",Sync!$AH1769)+1,2)),2),"0000"))))</f>
        <v/>
      </c>
    </row>
    <row r="1770">
      <c r="A1770">
        <f>IF(OR(Calc!$E1773="",Calc!$E1773="نامعتبر",Calc!$G1773="",Calc!$I1773&lt;&gt;"خرید"),"",Calc!$G1773)</f>
        <v/>
      </c>
      <c r="B1770">
        <f>IF($A1770="","",LEFT(Calc!$E1773,4)&amp;MID(Calc!$E1773,6,2)&amp;RIGHT(Calc!$E1773,2)&amp;Calc!$R1773&amp;"|"&amp;"1"&amp;RIGHT("00000"&amp;1765,5))</f>
        <v/>
      </c>
      <c r="C1770">
        <f>IF($B1770="","",COUNTIFS(LdgPartyA,$A1770,LdgKeyA,"&lt;"&amp;$B1770)+COUNTIFS(LdgPartyB,$A1770,LdgKeyB,"&lt;"&amp;$B1770)+1)</f>
        <v/>
      </c>
      <c r="D1770">
        <f>IF($C1770="","",$A1770&amp;"|"&amp;RIGHT("000000"&amp;$C1770,6))</f>
        <v/>
      </c>
      <c r="F1770">
        <f>IF(Sync!$AJ1770="","",Sync!$AJ1770)</f>
        <v/>
      </c>
      <c r="G1770">
        <f>IF($F1770="","",IF(Sync!$AG1770="","",IF(ISNUMBER(Sync!$AG1770),IF(AND(Sync!$AG1770&gt;=10000101,Sync!$AG1770&lt;=99991231),INT(Sync!$AG1770/10000),""),IFERROR(VALUE(TRIM(LEFT(Sync!$AG1770,FIND("/",Sync!$AG1770)-1))),""))))</f>
        <v/>
      </c>
      <c r="H1770">
        <f>IF(OR($F1770="",$G1770=""),"",IF(ISNUMBER(Sync!$AG1770),INT(MOD(Sync!$AG1770,10000)/100),IFERROR(VALUE(TRIM(LEFT(MID(Sync!$AG1770,FIND("/",Sync!$AG1770)+1,20),FIND("/",MID(Sync!$AG1770,FIND("/",Sync!$AG1770)+1,20))-1))),"")))</f>
        <v/>
      </c>
      <c r="I1770">
        <f>IF(OR($F1770="",$G1770=""),"",IF(ISNUMBER(Sync!$AG1770),MOD(Sync!$AG1770,100),IFERROR(VALUE(TRIM(MID(MID(Sync!$AG1770,FIND("/",Sync!$AG1770)+1,20),FIND("/",MID(Sync!$AG1770,FIND("/",Sync!$AG1770)+1,20))+1,20))),"")))</f>
        <v/>
      </c>
      <c r="J1770">
        <f>IF($F1770="","",IF(OR($G1770="",$H1770="",$I1770="",$G1770&lt;1300,$G1770&gt;1500,$H1770&lt;1,$H1770&gt;12,$I1770&lt;1,$I1770&gt;31),"نامعتبر",RIGHT("0000"&amp;$G1770,4)&amp;"/"&amp;RIGHT("00"&amp;$H1770,2)&amp;"/"&amp;RIGHT("00"&amp;$I1770,2)))</f>
        <v/>
      </c>
      <c r="K1770">
        <f>IF(OR($F1770="",$J1770="",$J1770="نامعتبر"),"",LEFT($J1770,4)&amp;MID($J1770,6,2)&amp;RIGHT($J1770,2)&amp;$N1770&amp;"|"&amp;"2"&amp;RIGHT("00000"&amp;1765,5))</f>
        <v/>
      </c>
      <c r="L1770">
        <f>IF($K1770="","",COUNTIFS(LdgPartyA,$F1770,LdgKeyA,"&lt;"&amp;$K1770)+COUNTIFS(LdgPartyB,$F1770,LdgKeyB,"&lt;"&amp;$K1770)+1)</f>
        <v/>
      </c>
      <c r="M1770">
        <f>IF($L1770="","",$F1770&amp;"|"&amp;RIGHT("000000"&amp;$L1770,6))</f>
        <v/>
      </c>
      <c r="N1770">
        <f>IF($F1770="","",IF(Sync!$AH1770="","0000",IF(AND(ISNUMBER(Sync!$AH1770),Sync!$AH1770&gt;=0,Sync!$AH1770&lt;1),RIGHT("00"&amp;HOUR(Sync!$AH1770),2)&amp;RIGHT("00"&amp;MINUTE(Sync!$AH1770),2),IFERROR(RIGHT("00"&amp;VALUE(LEFT(Sync!$AH1770,FIND(":",Sync!$AH1770)-1)),2)&amp;RIGHT("00"&amp;VALUE(MID(Sync!$AH1770,FIND(":",Sync!$AH1770)+1,2)),2),"0000"))))</f>
        <v/>
      </c>
    </row>
    <row r="1771">
      <c r="A1771">
        <f>IF(OR(Calc!$E1774="",Calc!$E1774="نامعتبر",Calc!$G1774="",Calc!$I1774&lt;&gt;"خرید"),"",Calc!$G1774)</f>
        <v/>
      </c>
      <c r="B1771">
        <f>IF($A1771="","",LEFT(Calc!$E1774,4)&amp;MID(Calc!$E1774,6,2)&amp;RIGHT(Calc!$E1774,2)&amp;Calc!$R1774&amp;"|"&amp;"1"&amp;RIGHT("00000"&amp;1766,5))</f>
        <v/>
      </c>
      <c r="C1771">
        <f>IF($B1771="","",COUNTIFS(LdgPartyA,$A1771,LdgKeyA,"&lt;"&amp;$B1771)+COUNTIFS(LdgPartyB,$A1771,LdgKeyB,"&lt;"&amp;$B1771)+1)</f>
        <v/>
      </c>
      <c r="D1771">
        <f>IF($C1771="","",$A1771&amp;"|"&amp;RIGHT("000000"&amp;$C1771,6))</f>
        <v/>
      </c>
      <c r="F1771">
        <f>IF(Sync!$AJ1771="","",Sync!$AJ1771)</f>
        <v/>
      </c>
      <c r="G1771">
        <f>IF($F1771="","",IF(Sync!$AG1771="","",IF(ISNUMBER(Sync!$AG1771),IF(AND(Sync!$AG1771&gt;=10000101,Sync!$AG1771&lt;=99991231),INT(Sync!$AG1771/10000),""),IFERROR(VALUE(TRIM(LEFT(Sync!$AG1771,FIND("/",Sync!$AG1771)-1))),""))))</f>
        <v/>
      </c>
      <c r="H1771">
        <f>IF(OR($F1771="",$G1771=""),"",IF(ISNUMBER(Sync!$AG1771),INT(MOD(Sync!$AG1771,10000)/100),IFERROR(VALUE(TRIM(LEFT(MID(Sync!$AG1771,FIND("/",Sync!$AG1771)+1,20),FIND("/",MID(Sync!$AG1771,FIND("/",Sync!$AG1771)+1,20))-1))),"")))</f>
        <v/>
      </c>
      <c r="I1771">
        <f>IF(OR($F1771="",$G1771=""),"",IF(ISNUMBER(Sync!$AG1771),MOD(Sync!$AG1771,100),IFERROR(VALUE(TRIM(MID(MID(Sync!$AG1771,FIND("/",Sync!$AG1771)+1,20),FIND("/",MID(Sync!$AG1771,FIND("/",Sync!$AG1771)+1,20))+1,20))),"")))</f>
        <v/>
      </c>
      <c r="J1771">
        <f>IF($F1771="","",IF(OR($G1771="",$H1771="",$I1771="",$G1771&lt;1300,$G1771&gt;1500,$H1771&lt;1,$H1771&gt;12,$I1771&lt;1,$I1771&gt;31),"نامعتبر",RIGHT("0000"&amp;$G1771,4)&amp;"/"&amp;RIGHT("00"&amp;$H1771,2)&amp;"/"&amp;RIGHT("00"&amp;$I1771,2)))</f>
        <v/>
      </c>
      <c r="K1771">
        <f>IF(OR($F1771="",$J1771="",$J1771="نامعتبر"),"",LEFT($J1771,4)&amp;MID($J1771,6,2)&amp;RIGHT($J1771,2)&amp;$N1771&amp;"|"&amp;"2"&amp;RIGHT("00000"&amp;1766,5))</f>
        <v/>
      </c>
      <c r="L1771">
        <f>IF($K1771="","",COUNTIFS(LdgPartyA,$F1771,LdgKeyA,"&lt;"&amp;$K1771)+COUNTIFS(LdgPartyB,$F1771,LdgKeyB,"&lt;"&amp;$K1771)+1)</f>
        <v/>
      </c>
      <c r="M1771">
        <f>IF($L1771="","",$F1771&amp;"|"&amp;RIGHT("000000"&amp;$L1771,6))</f>
        <v/>
      </c>
      <c r="N1771">
        <f>IF($F1771="","",IF(Sync!$AH1771="","0000",IF(AND(ISNUMBER(Sync!$AH1771),Sync!$AH1771&gt;=0,Sync!$AH1771&lt;1),RIGHT("00"&amp;HOUR(Sync!$AH1771),2)&amp;RIGHT("00"&amp;MINUTE(Sync!$AH1771),2),IFERROR(RIGHT("00"&amp;VALUE(LEFT(Sync!$AH1771,FIND(":",Sync!$AH1771)-1)),2)&amp;RIGHT("00"&amp;VALUE(MID(Sync!$AH1771,FIND(":",Sync!$AH1771)+1,2)),2),"0000"))))</f>
        <v/>
      </c>
    </row>
    <row r="1772">
      <c r="A1772">
        <f>IF(OR(Calc!$E1775="",Calc!$E1775="نامعتبر",Calc!$G1775="",Calc!$I1775&lt;&gt;"خرید"),"",Calc!$G1775)</f>
        <v/>
      </c>
      <c r="B1772">
        <f>IF($A1772="","",LEFT(Calc!$E1775,4)&amp;MID(Calc!$E1775,6,2)&amp;RIGHT(Calc!$E1775,2)&amp;Calc!$R1775&amp;"|"&amp;"1"&amp;RIGHT("00000"&amp;1767,5))</f>
        <v/>
      </c>
      <c r="C1772">
        <f>IF($B1772="","",COUNTIFS(LdgPartyA,$A1772,LdgKeyA,"&lt;"&amp;$B1772)+COUNTIFS(LdgPartyB,$A1772,LdgKeyB,"&lt;"&amp;$B1772)+1)</f>
        <v/>
      </c>
      <c r="D1772">
        <f>IF($C1772="","",$A1772&amp;"|"&amp;RIGHT("000000"&amp;$C1772,6))</f>
        <v/>
      </c>
      <c r="F1772">
        <f>IF(Sync!$AJ1772="","",Sync!$AJ1772)</f>
        <v/>
      </c>
      <c r="G1772">
        <f>IF($F1772="","",IF(Sync!$AG1772="","",IF(ISNUMBER(Sync!$AG1772),IF(AND(Sync!$AG1772&gt;=10000101,Sync!$AG1772&lt;=99991231),INT(Sync!$AG1772/10000),""),IFERROR(VALUE(TRIM(LEFT(Sync!$AG1772,FIND("/",Sync!$AG1772)-1))),""))))</f>
        <v/>
      </c>
      <c r="H1772">
        <f>IF(OR($F1772="",$G1772=""),"",IF(ISNUMBER(Sync!$AG1772),INT(MOD(Sync!$AG1772,10000)/100),IFERROR(VALUE(TRIM(LEFT(MID(Sync!$AG1772,FIND("/",Sync!$AG1772)+1,20),FIND("/",MID(Sync!$AG1772,FIND("/",Sync!$AG1772)+1,20))-1))),"")))</f>
        <v/>
      </c>
      <c r="I1772">
        <f>IF(OR($F1772="",$G1772=""),"",IF(ISNUMBER(Sync!$AG1772),MOD(Sync!$AG1772,100),IFERROR(VALUE(TRIM(MID(MID(Sync!$AG1772,FIND("/",Sync!$AG1772)+1,20),FIND("/",MID(Sync!$AG1772,FIND("/",Sync!$AG1772)+1,20))+1,20))),"")))</f>
        <v/>
      </c>
      <c r="J1772">
        <f>IF($F1772="","",IF(OR($G1772="",$H1772="",$I1772="",$G1772&lt;1300,$G1772&gt;1500,$H1772&lt;1,$H1772&gt;12,$I1772&lt;1,$I1772&gt;31),"نامعتبر",RIGHT("0000"&amp;$G1772,4)&amp;"/"&amp;RIGHT("00"&amp;$H1772,2)&amp;"/"&amp;RIGHT("00"&amp;$I1772,2)))</f>
        <v/>
      </c>
      <c r="K1772">
        <f>IF(OR($F1772="",$J1772="",$J1772="نامعتبر"),"",LEFT($J1772,4)&amp;MID($J1772,6,2)&amp;RIGHT($J1772,2)&amp;$N1772&amp;"|"&amp;"2"&amp;RIGHT("00000"&amp;1767,5))</f>
        <v/>
      </c>
      <c r="L1772">
        <f>IF($K1772="","",COUNTIFS(LdgPartyA,$F1772,LdgKeyA,"&lt;"&amp;$K1772)+COUNTIFS(LdgPartyB,$F1772,LdgKeyB,"&lt;"&amp;$K1772)+1)</f>
        <v/>
      </c>
      <c r="M1772">
        <f>IF($L1772="","",$F1772&amp;"|"&amp;RIGHT("000000"&amp;$L1772,6))</f>
        <v/>
      </c>
      <c r="N1772">
        <f>IF($F1772="","",IF(Sync!$AH1772="","0000",IF(AND(ISNUMBER(Sync!$AH1772),Sync!$AH1772&gt;=0,Sync!$AH1772&lt;1),RIGHT("00"&amp;HOUR(Sync!$AH1772),2)&amp;RIGHT("00"&amp;MINUTE(Sync!$AH1772),2),IFERROR(RIGHT("00"&amp;VALUE(LEFT(Sync!$AH1772,FIND(":",Sync!$AH1772)-1)),2)&amp;RIGHT("00"&amp;VALUE(MID(Sync!$AH1772,FIND(":",Sync!$AH1772)+1,2)),2),"0000"))))</f>
        <v/>
      </c>
    </row>
    <row r="1773">
      <c r="A1773">
        <f>IF(OR(Calc!$E1776="",Calc!$E1776="نامعتبر",Calc!$G1776="",Calc!$I1776&lt;&gt;"خرید"),"",Calc!$G1776)</f>
        <v/>
      </c>
      <c r="B1773">
        <f>IF($A1773="","",LEFT(Calc!$E1776,4)&amp;MID(Calc!$E1776,6,2)&amp;RIGHT(Calc!$E1776,2)&amp;Calc!$R1776&amp;"|"&amp;"1"&amp;RIGHT("00000"&amp;1768,5))</f>
        <v/>
      </c>
      <c r="C1773">
        <f>IF($B1773="","",COUNTIFS(LdgPartyA,$A1773,LdgKeyA,"&lt;"&amp;$B1773)+COUNTIFS(LdgPartyB,$A1773,LdgKeyB,"&lt;"&amp;$B1773)+1)</f>
        <v/>
      </c>
      <c r="D1773">
        <f>IF($C1773="","",$A1773&amp;"|"&amp;RIGHT("000000"&amp;$C1773,6))</f>
        <v/>
      </c>
      <c r="F1773">
        <f>IF(Sync!$AJ1773="","",Sync!$AJ1773)</f>
        <v/>
      </c>
      <c r="G1773">
        <f>IF($F1773="","",IF(Sync!$AG1773="","",IF(ISNUMBER(Sync!$AG1773),IF(AND(Sync!$AG1773&gt;=10000101,Sync!$AG1773&lt;=99991231),INT(Sync!$AG1773/10000),""),IFERROR(VALUE(TRIM(LEFT(Sync!$AG1773,FIND("/",Sync!$AG1773)-1))),""))))</f>
        <v/>
      </c>
      <c r="H1773">
        <f>IF(OR($F1773="",$G1773=""),"",IF(ISNUMBER(Sync!$AG1773),INT(MOD(Sync!$AG1773,10000)/100),IFERROR(VALUE(TRIM(LEFT(MID(Sync!$AG1773,FIND("/",Sync!$AG1773)+1,20),FIND("/",MID(Sync!$AG1773,FIND("/",Sync!$AG1773)+1,20))-1))),"")))</f>
        <v/>
      </c>
      <c r="I1773">
        <f>IF(OR($F1773="",$G1773=""),"",IF(ISNUMBER(Sync!$AG1773),MOD(Sync!$AG1773,100),IFERROR(VALUE(TRIM(MID(MID(Sync!$AG1773,FIND("/",Sync!$AG1773)+1,20),FIND("/",MID(Sync!$AG1773,FIND("/",Sync!$AG1773)+1,20))+1,20))),"")))</f>
        <v/>
      </c>
      <c r="J1773">
        <f>IF($F1773="","",IF(OR($G1773="",$H1773="",$I1773="",$G1773&lt;1300,$G1773&gt;1500,$H1773&lt;1,$H1773&gt;12,$I1773&lt;1,$I1773&gt;31),"نامعتبر",RIGHT("0000"&amp;$G1773,4)&amp;"/"&amp;RIGHT("00"&amp;$H1773,2)&amp;"/"&amp;RIGHT("00"&amp;$I1773,2)))</f>
        <v/>
      </c>
      <c r="K1773">
        <f>IF(OR($F1773="",$J1773="",$J1773="نامعتبر"),"",LEFT($J1773,4)&amp;MID($J1773,6,2)&amp;RIGHT($J1773,2)&amp;$N1773&amp;"|"&amp;"2"&amp;RIGHT("00000"&amp;1768,5))</f>
        <v/>
      </c>
      <c r="L1773">
        <f>IF($K1773="","",COUNTIFS(LdgPartyA,$F1773,LdgKeyA,"&lt;"&amp;$K1773)+COUNTIFS(LdgPartyB,$F1773,LdgKeyB,"&lt;"&amp;$K1773)+1)</f>
        <v/>
      </c>
      <c r="M1773">
        <f>IF($L1773="","",$F1773&amp;"|"&amp;RIGHT("000000"&amp;$L1773,6))</f>
        <v/>
      </c>
      <c r="N1773">
        <f>IF($F1773="","",IF(Sync!$AH1773="","0000",IF(AND(ISNUMBER(Sync!$AH1773),Sync!$AH1773&gt;=0,Sync!$AH1773&lt;1),RIGHT("00"&amp;HOUR(Sync!$AH1773),2)&amp;RIGHT("00"&amp;MINUTE(Sync!$AH1773),2),IFERROR(RIGHT("00"&amp;VALUE(LEFT(Sync!$AH1773,FIND(":",Sync!$AH1773)-1)),2)&amp;RIGHT("00"&amp;VALUE(MID(Sync!$AH1773,FIND(":",Sync!$AH1773)+1,2)),2),"0000"))))</f>
        <v/>
      </c>
    </row>
    <row r="1774">
      <c r="A1774">
        <f>IF(OR(Calc!$E1777="",Calc!$E1777="نامعتبر",Calc!$G1777="",Calc!$I1777&lt;&gt;"خرید"),"",Calc!$G1777)</f>
        <v/>
      </c>
      <c r="B1774">
        <f>IF($A1774="","",LEFT(Calc!$E1777,4)&amp;MID(Calc!$E1777,6,2)&amp;RIGHT(Calc!$E1777,2)&amp;Calc!$R1777&amp;"|"&amp;"1"&amp;RIGHT("00000"&amp;1769,5))</f>
        <v/>
      </c>
      <c r="C1774">
        <f>IF($B1774="","",COUNTIFS(LdgPartyA,$A1774,LdgKeyA,"&lt;"&amp;$B1774)+COUNTIFS(LdgPartyB,$A1774,LdgKeyB,"&lt;"&amp;$B1774)+1)</f>
        <v/>
      </c>
      <c r="D1774">
        <f>IF($C1774="","",$A1774&amp;"|"&amp;RIGHT("000000"&amp;$C1774,6))</f>
        <v/>
      </c>
      <c r="F1774">
        <f>IF(Sync!$AJ1774="","",Sync!$AJ1774)</f>
        <v/>
      </c>
      <c r="G1774">
        <f>IF($F1774="","",IF(Sync!$AG1774="","",IF(ISNUMBER(Sync!$AG1774),IF(AND(Sync!$AG1774&gt;=10000101,Sync!$AG1774&lt;=99991231),INT(Sync!$AG1774/10000),""),IFERROR(VALUE(TRIM(LEFT(Sync!$AG1774,FIND("/",Sync!$AG1774)-1))),""))))</f>
        <v/>
      </c>
      <c r="H1774">
        <f>IF(OR($F1774="",$G1774=""),"",IF(ISNUMBER(Sync!$AG1774),INT(MOD(Sync!$AG1774,10000)/100),IFERROR(VALUE(TRIM(LEFT(MID(Sync!$AG1774,FIND("/",Sync!$AG1774)+1,20),FIND("/",MID(Sync!$AG1774,FIND("/",Sync!$AG1774)+1,20))-1))),"")))</f>
        <v/>
      </c>
      <c r="I1774">
        <f>IF(OR($F1774="",$G1774=""),"",IF(ISNUMBER(Sync!$AG1774),MOD(Sync!$AG1774,100),IFERROR(VALUE(TRIM(MID(MID(Sync!$AG1774,FIND("/",Sync!$AG1774)+1,20),FIND("/",MID(Sync!$AG1774,FIND("/",Sync!$AG1774)+1,20))+1,20))),"")))</f>
        <v/>
      </c>
      <c r="J1774">
        <f>IF($F1774="","",IF(OR($G1774="",$H1774="",$I1774="",$G1774&lt;1300,$G1774&gt;1500,$H1774&lt;1,$H1774&gt;12,$I1774&lt;1,$I1774&gt;31),"نامعتبر",RIGHT("0000"&amp;$G1774,4)&amp;"/"&amp;RIGHT("00"&amp;$H1774,2)&amp;"/"&amp;RIGHT("00"&amp;$I1774,2)))</f>
        <v/>
      </c>
      <c r="K1774">
        <f>IF(OR($F1774="",$J1774="",$J1774="نامعتبر"),"",LEFT($J1774,4)&amp;MID($J1774,6,2)&amp;RIGHT($J1774,2)&amp;$N1774&amp;"|"&amp;"2"&amp;RIGHT("00000"&amp;1769,5))</f>
        <v/>
      </c>
      <c r="L1774">
        <f>IF($K1774="","",COUNTIFS(LdgPartyA,$F1774,LdgKeyA,"&lt;"&amp;$K1774)+COUNTIFS(LdgPartyB,$F1774,LdgKeyB,"&lt;"&amp;$K1774)+1)</f>
        <v/>
      </c>
      <c r="M1774">
        <f>IF($L1774="","",$F1774&amp;"|"&amp;RIGHT("000000"&amp;$L1774,6))</f>
        <v/>
      </c>
      <c r="N1774">
        <f>IF($F1774="","",IF(Sync!$AH1774="","0000",IF(AND(ISNUMBER(Sync!$AH1774),Sync!$AH1774&gt;=0,Sync!$AH1774&lt;1),RIGHT("00"&amp;HOUR(Sync!$AH1774),2)&amp;RIGHT("00"&amp;MINUTE(Sync!$AH1774),2),IFERROR(RIGHT("00"&amp;VALUE(LEFT(Sync!$AH1774,FIND(":",Sync!$AH1774)-1)),2)&amp;RIGHT("00"&amp;VALUE(MID(Sync!$AH1774,FIND(":",Sync!$AH1774)+1,2)),2),"0000"))))</f>
        <v/>
      </c>
    </row>
    <row r="1775">
      <c r="A1775">
        <f>IF(OR(Calc!$E1778="",Calc!$E1778="نامعتبر",Calc!$G1778="",Calc!$I1778&lt;&gt;"خرید"),"",Calc!$G1778)</f>
        <v/>
      </c>
      <c r="B1775">
        <f>IF($A1775="","",LEFT(Calc!$E1778,4)&amp;MID(Calc!$E1778,6,2)&amp;RIGHT(Calc!$E1778,2)&amp;Calc!$R1778&amp;"|"&amp;"1"&amp;RIGHT("00000"&amp;1770,5))</f>
        <v/>
      </c>
      <c r="C1775">
        <f>IF($B1775="","",COUNTIFS(LdgPartyA,$A1775,LdgKeyA,"&lt;"&amp;$B1775)+COUNTIFS(LdgPartyB,$A1775,LdgKeyB,"&lt;"&amp;$B1775)+1)</f>
        <v/>
      </c>
      <c r="D1775">
        <f>IF($C1775="","",$A1775&amp;"|"&amp;RIGHT("000000"&amp;$C1775,6))</f>
        <v/>
      </c>
      <c r="F1775">
        <f>IF(Sync!$AJ1775="","",Sync!$AJ1775)</f>
        <v/>
      </c>
      <c r="G1775">
        <f>IF($F1775="","",IF(Sync!$AG1775="","",IF(ISNUMBER(Sync!$AG1775),IF(AND(Sync!$AG1775&gt;=10000101,Sync!$AG1775&lt;=99991231),INT(Sync!$AG1775/10000),""),IFERROR(VALUE(TRIM(LEFT(Sync!$AG1775,FIND("/",Sync!$AG1775)-1))),""))))</f>
        <v/>
      </c>
      <c r="H1775">
        <f>IF(OR($F1775="",$G1775=""),"",IF(ISNUMBER(Sync!$AG1775),INT(MOD(Sync!$AG1775,10000)/100),IFERROR(VALUE(TRIM(LEFT(MID(Sync!$AG1775,FIND("/",Sync!$AG1775)+1,20),FIND("/",MID(Sync!$AG1775,FIND("/",Sync!$AG1775)+1,20))-1))),"")))</f>
        <v/>
      </c>
      <c r="I1775">
        <f>IF(OR($F1775="",$G1775=""),"",IF(ISNUMBER(Sync!$AG1775),MOD(Sync!$AG1775,100),IFERROR(VALUE(TRIM(MID(MID(Sync!$AG1775,FIND("/",Sync!$AG1775)+1,20),FIND("/",MID(Sync!$AG1775,FIND("/",Sync!$AG1775)+1,20))+1,20))),"")))</f>
        <v/>
      </c>
      <c r="J1775">
        <f>IF($F1775="","",IF(OR($G1775="",$H1775="",$I1775="",$G1775&lt;1300,$G1775&gt;1500,$H1775&lt;1,$H1775&gt;12,$I1775&lt;1,$I1775&gt;31),"نامعتبر",RIGHT("0000"&amp;$G1775,4)&amp;"/"&amp;RIGHT("00"&amp;$H1775,2)&amp;"/"&amp;RIGHT("00"&amp;$I1775,2)))</f>
        <v/>
      </c>
      <c r="K1775">
        <f>IF(OR($F1775="",$J1775="",$J1775="نامعتبر"),"",LEFT($J1775,4)&amp;MID($J1775,6,2)&amp;RIGHT($J1775,2)&amp;$N1775&amp;"|"&amp;"2"&amp;RIGHT("00000"&amp;1770,5))</f>
        <v/>
      </c>
      <c r="L1775">
        <f>IF($K1775="","",COUNTIFS(LdgPartyA,$F1775,LdgKeyA,"&lt;"&amp;$K1775)+COUNTIFS(LdgPartyB,$F1775,LdgKeyB,"&lt;"&amp;$K1775)+1)</f>
        <v/>
      </c>
      <c r="M1775">
        <f>IF($L1775="","",$F1775&amp;"|"&amp;RIGHT("000000"&amp;$L1775,6))</f>
        <v/>
      </c>
      <c r="N1775">
        <f>IF($F1775="","",IF(Sync!$AH1775="","0000",IF(AND(ISNUMBER(Sync!$AH1775),Sync!$AH1775&gt;=0,Sync!$AH1775&lt;1),RIGHT("00"&amp;HOUR(Sync!$AH1775),2)&amp;RIGHT("00"&amp;MINUTE(Sync!$AH1775),2),IFERROR(RIGHT("00"&amp;VALUE(LEFT(Sync!$AH1775,FIND(":",Sync!$AH1775)-1)),2)&amp;RIGHT("00"&amp;VALUE(MID(Sync!$AH1775,FIND(":",Sync!$AH1775)+1,2)),2),"0000"))))</f>
        <v/>
      </c>
    </row>
    <row r="1776">
      <c r="A1776">
        <f>IF(OR(Calc!$E1779="",Calc!$E1779="نامعتبر",Calc!$G1779="",Calc!$I1779&lt;&gt;"خرید"),"",Calc!$G1779)</f>
        <v/>
      </c>
      <c r="B1776">
        <f>IF($A1776="","",LEFT(Calc!$E1779,4)&amp;MID(Calc!$E1779,6,2)&amp;RIGHT(Calc!$E1779,2)&amp;Calc!$R1779&amp;"|"&amp;"1"&amp;RIGHT("00000"&amp;1771,5))</f>
        <v/>
      </c>
      <c r="C1776">
        <f>IF($B1776="","",COUNTIFS(LdgPartyA,$A1776,LdgKeyA,"&lt;"&amp;$B1776)+COUNTIFS(LdgPartyB,$A1776,LdgKeyB,"&lt;"&amp;$B1776)+1)</f>
        <v/>
      </c>
      <c r="D1776">
        <f>IF($C1776="","",$A1776&amp;"|"&amp;RIGHT("000000"&amp;$C1776,6))</f>
        <v/>
      </c>
      <c r="F1776">
        <f>IF(Sync!$AJ1776="","",Sync!$AJ1776)</f>
        <v/>
      </c>
      <c r="G1776">
        <f>IF($F1776="","",IF(Sync!$AG1776="","",IF(ISNUMBER(Sync!$AG1776),IF(AND(Sync!$AG1776&gt;=10000101,Sync!$AG1776&lt;=99991231),INT(Sync!$AG1776/10000),""),IFERROR(VALUE(TRIM(LEFT(Sync!$AG1776,FIND("/",Sync!$AG1776)-1))),""))))</f>
        <v/>
      </c>
      <c r="H1776">
        <f>IF(OR($F1776="",$G1776=""),"",IF(ISNUMBER(Sync!$AG1776),INT(MOD(Sync!$AG1776,10000)/100),IFERROR(VALUE(TRIM(LEFT(MID(Sync!$AG1776,FIND("/",Sync!$AG1776)+1,20),FIND("/",MID(Sync!$AG1776,FIND("/",Sync!$AG1776)+1,20))-1))),"")))</f>
        <v/>
      </c>
      <c r="I1776">
        <f>IF(OR($F1776="",$G1776=""),"",IF(ISNUMBER(Sync!$AG1776),MOD(Sync!$AG1776,100),IFERROR(VALUE(TRIM(MID(MID(Sync!$AG1776,FIND("/",Sync!$AG1776)+1,20),FIND("/",MID(Sync!$AG1776,FIND("/",Sync!$AG1776)+1,20))+1,20))),"")))</f>
        <v/>
      </c>
      <c r="J1776">
        <f>IF($F1776="","",IF(OR($G1776="",$H1776="",$I1776="",$G1776&lt;1300,$G1776&gt;1500,$H1776&lt;1,$H1776&gt;12,$I1776&lt;1,$I1776&gt;31),"نامعتبر",RIGHT("0000"&amp;$G1776,4)&amp;"/"&amp;RIGHT("00"&amp;$H1776,2)&amp;"/"&amp;RIGHT("00"&amp;$I1776,2)))</f>
        <v/>
      </c>
      <c r="K1776">
        <f>IF(OR($F1776="",$J1776="",$J1776="نامعتبر"),"",LEFT($J1776,4)&amp;MID($J1776,6,2)&amp;RIGHT($J1776,2)&amp;$N1776&amp;"|"&amp;"2"&amp;RIGHT("00000"&amp;1771,5))</f>
        <v/>
      </c>
      <c r="L1776">
        <f>IF($K1776="","",COUNTIFS(LdgPartyA,$F1776,LdgKeyA,"&lt;"&amp;$K1776)+COUNTIFS(LdgPartyB,$F1776,LdgKeyB,"&lt;"&amp;$K1776)+1)</f>
        <v/>
      </c>
      <c r="M1776">
        <f>IF($L1776="","",$F1776&amp;"|"&amp;RIGHT("000000"&amp;$L1776,6))</f>
        <v/>
      </c>
      <c r="N1776">
        <f>IF($F1776="","",IF(Sync!$AH1776="","0000",IF(AND(ISNUMBER(Sync!$AH1776),Sync!$AH1776&gt;=0,Sync!$AH1776&lt;1),RIGHT("00"&amp;HOUR(Sync!$AH1776),2)&amp;RIGHT("00"&amp;MINUTE(Sync!$AH1776),2),IFERROR(RIGHT("00"&amp;VALUE(LEFT(Sync!$AH1776,FIND(":",Sync!$AH1776)-1)),2)&amp;RIGHT("00"&amp;VALUE(MID(Sync!$AH1776,FIND(":",Sync!$AH1776)+1,2)),2),"0000"))))</f>
        <v/>
      </c>
    </row>
    <row r="1777">
      <c r="A1777">
        <f>IF(OR(Calc!$E1780="",Calc!$E1780="نامعتبر",Calc!$G1780="",Calc!$I1780&lt;&gt;"خرید"),"",Calc!$G1780)</f>
        <v/>
      </c>
      <c r="B1777">
        <f>IF($A1777="","",LEFT(Calc!$E1780,4)&amp;MID(Calc!$E1780,6,2)&amp;RIGHT(Calc!$E1780,2)&amp;Calc!$R1780&amp;"|"&amp;"1"&amp;RIGHT("00000"&amp;1772,5))</f>
        <v/>
      </c>
      <c r="C1777">
        <f>IF($B1777="","",COUNTIFS(LdgPartyA,$A1777,LdgKeyA,"&lt;"&amp;$B1777)+COUNTIFS(LdgPartyB,$A1777,LdgKeyB,"&lt;"&amp;$B1777)+1)</f>
        <v/>
      </c>
      <c r="D1777">
        <f>IF($C1777="","",$A1777&amp;"|"&amp;RIGHT("000000"&amp;$C1777,6))</f>
        <v/>
      </c>
      <c r="F1777">
        <f>IF(Sync!$AJ1777="","",Sync!$AJ1777)</f>
        <v/>
      </c>
      <c r="G1777">
        <f>IF($F1777="","",IF(Sync!$AG1777="","",IF(ISNUMBER(Sync!$AG1777),IF(AND(Sync!$AG1777&gt;=10000101,Sync!$AG1777&lt;=99991231),INT(Sync!$AG1777/10000),""),IFERROR(VALUE(TRIM(LEFT(Sync!$AG1777,FIND("/",Sync!$AG1777)-1))),""))))</f>
        <v/>
      </c>
      <c r="H1777">
        <f>IF(OR($F1777="",$G1777=""),"",IF(ISNUMBER(Sync!$AG1777),INT(MOD(Sync!$AG1777,10000)/100),IFERROR(VALUE(TRIM(LEFT(MID(Sync!$AG1777,FIND("/",Sync!$AG1777)+1,20),FIND("/",MID(Sync!$AG1777,FIND("/",Sync!$AG1777)+1,20))-1))),"")))</f>
        <v/>
      </c>
      <c r="I1777">
        <f>IF(OR($F1777="",$G1777=""),"",IF(ISNUMBER(Sync!$AG1777),MOD(Sync!$AG1777,100),IFERROR(VALUE(TRIM(MID(MID(Sync!$AG1777,FIND("/",Sync!$AG1777)+1,20),FIND("/",MID(Sync!$AG1777,FIND("/",Sync!$AG1777)+1,20))+1,20))),"")))</f>
        <v/>
      </c>
      <c r="J1777">
        <f>IF($F1777="","",IF(OR($G1777="",$H1777="",$I1777="",$G1777&lt;1300,$G1777&gt;1500,$H1777&lt;1,$H1777&gt;12,$I1777&lt;1,$I1777&gt;31),"نامعتبر",RIGHT("0000"&amp;$G1777,4)&amp;"/"&amp;RIGHT("00"&amp;$H1777,2)&amp;"/"&amp;RIGHT("00"&amp;$I1777,2)))</f>
        <v/>
      </c>
      <c r="K1777">
        <f>IF(OR($F1777="",$J1777="",$J1777="نامعتبر"),"",LEFT($J1777,4)&amp;MID($J1777,6,2)&amp;RIGHT($J1777,2)&amp;$N1777&amp;"|"&amp;"2"&amp;RIGHT("00000"&amp;1772,5))</f>
        <v/>
      </c>
      <c r="L1777">
        <f>IF($K1777="","",COUNTIFS(LdgPartyA,$F1777,LdgKeyA,"&lt;"&amp;$K1777)+COUNTIFS(LdgPartyB,$F1777,LdgKeyB,"&lt;"&amp;$K1777)+1)</f>
        <v/>
      </c>
      <c r="M1777">
        <f>IF($L1777="","",$F1777&amp;"|"&amp;RIGHT("000000"&amp;$L1777,6))</f>
        <v/>
      </c>
      <c r="N1777">
        <f>IF($F1777="","",IF(Sync!$AH1777="","0000",IF(AND(ISNUMBER(Sync!$AH1777),Sync!$AH1777&gt;=0,Sync!$AH1777&lt;1),RIGHT("00"&amp;HOUR(Sync!$AH1777),2)&amp;RIGHT("00"&amp;MINUTE(Sync!$AH1777),2),IFERROR(RIGHT("00"&amp;VALUE(LEFT(Sync!$AH1777,FIND(":",Sync!$AH1777)-1)),2)&amp;RIGHT("00"&amp;VALUE(MID(Sync!$AH1777,FIND(":",Sync!$AH1777)+1,2)),2),"0000"))))</f>
        <v/>
      </c>
    </row>
    <row r="1778">
      <c r="A1778">
        <f>IF(OR(Calc!$E1781="",Calc!$E1781="نامعتبر",Calc!$G1781="",Calc!$I1781&lt;&gt;"خرید"),"",Calc!$G1781)</f>
        <v/>
      </c>
      <c r="B1778">
        <f>IF($A1778="","",LEFT(Calc!$E1781,4)&amp;MID(Calc!$E1781,6,2)&amp;RIGHT(Calc!$E1781,2)&amp;Calc!$R1781&amp;"|"&amp;"1"&amp;RIGHT("00000"&amp;1773,5))</f>
        <v/>
      </c>
      <c r="C1778">
        <f>IF($B1778="","",COUNTIFS(LdgPartyA,$A1778,LdgKeyA,"&lt;"&amp;$B1778)+COUNTIFS(LdgPartyB,$A1778,LdgKeyB,"&lt;"&amp;$B1778)+1)</f>
        <v/>
      </c>
      <c r="D1778">
        <f>IF($C1778="","",$A1778&amp;"|"&amp;RIGHT("000000"&amp;$C1778,6))</f>
        <v/>
      </c>
      <c r="F1778">
        <f>IF(Sync!$AJ1778="","",Sync!$AJ1778)</f>
        <v/>
      </c>
      <c r="G1778">
        <f>IF($F1778="","",IF(Sync!$AG1778="","",IF(ISNUMBER(Sync!$AG1778),IF(AND(Sync!$AG1778&gt;=10000101,Sync!$AG1778&lt;=99991231),INT(Sync!$AG1778/10000),""),IFERROR(VALUE(TRIM(LEFT(Sync!$AG1778,FIND("/",Sync!$AG1778)-1))),""))))</f>
        <v/>
      </c>
      <c r="H1778">
        <f>IF(OR($F1778="",$G1778=""),"",IF(ISNUMBER(Sync!$AG1778),INT(MOD(Sync!$AG1778,10000)/100),IFERROR(VALUE(TRIM(LEFT(MID(Sync!$AG1778,FIND("/",Sync!$AG1778)+1,20),FIND("/",MID(Sync!$AG1778,FIND("/",Sync!$AG1778)+1,20))-1))),"")))</f>
        <v/>
      </c>
      <c r="I1778">
        <f>IF(OR($F1778="",$G1778=""),"",IF(ISNUMBER(Sync!$AG1778),MOD(Sync!$AG1778,100),IFERROR(VALUE(TRIM(MID(MID(Sync!$AG1778,FIND("/",Sync!$AG1778)+1,20),FIND("/",MID(Sync!$AG1778,FIND("/",Sync!$AG1778)+1,20))+1,20))),"")))</f>
        <v/>
      </c>
      <c r="J1778">
        <f>IF($F1778="","",IF(OR($G1778="",$H1778="",$I1778="",$G1778&lt;1300,$G1778&gt;1500,$H1778&lt;1,$H1778&gt;12,$I1778&lt;1,$I1778&gt;31),"نامعتبر",RIGHT("0000"&amp;$G1778,4)&amp;"/"&amp;RIGHT("00"&amp;$H1778,2)&amp;"/"&amp;RIGHT("00"&amp;$I1778,2)))</f>
        <v/>
      </c>
      <c r="K1778">
        <f>IF(OR($F1778="",$J1778="",$J1778="نامعتبر"),"",LEFT($J1778,4)&amp;MID($J1778,6,2)&amp;RIGHT($J1778,2)&amp;$N1778&amp;"|"&amp;"2"&amp;RIGHT("00000"&amp;1773,5))</f>
        <v/>
      </c>
      <c r="L1778">
        <f>IF($K1778="","",COUNTIFS(LdgPartyA,$F1778,LdgKeyA,"&lt;"&amp;$K1778)+COUNTIFS(LdgPartyB,$F1778,LdgKeyB,"&lt;"&amp;$K1778)+1)</f>
        <v/>
      </c>
      <c r="M1778">
        <f>IF($L1778="","",$F1778&amp;"|"&amp;RIGHT("000000"&amp;$L1778,6))</f>
        <v/>
      </c>
      <c r="N1778">
        <f>IF($F1778="","",IF(Sync!$AH1778="","0000",IF(AND(ISNUMBER(Sync!$AH1778),Sync!$AH1778&gt;=0,Sync!$AH1778&lt;1),RIGHT("00"&amp;HOUR(Sync!$AH1778),2)&amp;RIGHT("00"&amp;MINUTE(Sync!$AH1778),2),IFERROR(RIGHT("00"&amp;VALUE(LEFT(Sync!$AH1778,FIND(":",Sync!$AH1778)-1)),2)&amp;RIGHT("00"&amp;VALUE(MID(Sync!$AH1778,FIND(":",Sync!$AH1778)+1,2)),2),"0000"))))</f>
        <v/>
      </c>
    </row>
    <row r="1779">
      <c r="A1779">
        <f>IF(OR(Calc!$E1782="",Calc!$E1782="نامعتبر",Calc!$G1782="",Calc!$I1782&lt;&gt;"خرید"),"",Calc!$G1782)</f>
        <v/>
      </c>
      <c r="B1779">
        <f>IF($A1779="","",LEFT(Calc!$E1782,4)&amp;MID(Calc!$E1782,6,2)&amp;RIGHT(Calc!$E1782,2)&amp;Calc!$R1782&amp;"|"&amp;"1"&amp;RIGHT("00000"&amp;1774,5))</f>
        <v/>
      </c>
      <c r="C1779">
        <f>IF($B1779="","",COUNTIFS(LdgPartyA,$A1779,LdgKeyA,"&lt;"&amp;$B1779)+COUNTIFS(LdgPartyB,$A1779,LdgKeyB,"&lt;"&amp;$B1779)+1)</f>
        <v/>
      </c>
      <c r="D1779">
        <f>IF($C1779="","",$A1779&amp;"|"&amp;RIGHT("000000"&amp;$C1779,6))</f>
        <v/>
      </c>
      <c r="F1779">
        <f>IF(Sync!$AJ1779="","",Sync!$AJ1779)</f>
        <v/>
      </c>
      <c r="G1779">
        <f>IF($F1779="","",IF(Sync!$AG1779="","",IF(ISNUMBER(Sync!$AG1779),IF(AND(Sync!$AG1779&gt;=10000101,Sync!$AG1779&lt;=99991231),INT(Sync!$AG1779/10000),""),IFERROR(VALUE(TRIM(LEFT(Sync!$AG1779,FIND("/",Sync!$AG1779)-1))),""))))</f>
        <v/>
      </c>
      <c r="H1779">
        <f>IF(OR($F1779="",$G1779=""),"",IF(ISNUMBER(Sync!$AG1779),INT(MOD(Sync!$AG1779,10000)/100),IFERROR(VALUE(TRIM(LEFT(MID(Sync!$AG1779,FIND("/",Sync!$AG1779)+1,20),FIND("/",MID(Sync!$AG1779,FIND("/",Sync!$AG1779)+1,20))-1))),"")))</f>
        <v/>
      </c>
      <c r="I1779">
        <f>IF(OR($F1779="",$G1779=""),"",IF(ISNUMBER(Sync!$AG1779),MOD(Sync!$AG1779,100),IFERROR(VALUE(TRIM(MID(MID(Sync!$AG1779,FIND("/",Sync!$AG1779)+1,20),FIND("/",MID(Sync!$AG1779,FIND("/",Sync!$AG1779)+1,20))+1,20))),"")))</f>
        <v/>
      </c>
      <c r="J1779">
        <f>IF($F1779="","",IF(OR($G1779="",$H1779="",$I1779="",$G1779&lt;1300,$G1779&gt;1500,$H1779&lt;1,$H1779&gt;12,$I1779&lt;1,$I1779&gt;31),"نامعتبر",RIGHT("0000"&amp;$G1779,4)&amp;"/"&amp;RIGHT("00"&amp;$H1779,2)&amp;"/"&amp;RIGHT("00"&amp;$I1779,2)))</f>
        <v/>
      </c>
      <c r="K1779">
        <f>IF(OR($F1779="",$J1779="",$J1779="نامعتبر"),"",LEFT($J1779,4)&amp;MID($J1779,6,2)&amp;RIGHT($J1779,2)&amp;$N1779&amp;"|"&amp;"2"&amp;RIGHT("00000"&amp;1774,5))</f>
        <v/>
      </c>
      <c r="L1779">
        <f>IF($K1779="","",COUNTIFS(LdgPartyA,$F1779,LdgKeyA,"&lt;"&amp;$K1779)+COUNTIFS(LdgPartyB,$F1779,LdgKeyB,"&lt;"&amp;$K1779)+1)</f>
        <v/>
      </c>
      <c r="M1779">
        <f>IF($L1779="","",$F1779&amp;"|"&amp;RIGHT("000000"&amp;$L1779,6))</f>
        <v/>
      </c>
      <c r="N1779">
        <f>IF($F1779="","",IF(Sync!$AH1779="","0000",IF(AND(ISNUMBER(Sync!$AH1779),Sync!$AH1779&gt;=0,Sync!$AH1779&lt;1),RIGHT("00"&amp;HOUR(Sync!$AH1779),2)&amp;RIGHT("00"&amp;MINUTE(Sync!$AH1779),2),IFERROR(RIGHT("00"&amp;VALUE(LEFT(Sync!$AH1779,FIND(":",Sync!$AH1779)-1)),2)&amp;RIGHT("00"&amp;VALUE(MID(Sync!$AH1779,FIND(":",Sync!$AH1779)+1,2)),2),"0000"))))</f>
        <v/>
      </c>
    </row>
    <row r="1780">
      <c r="A1780">
        <f>IF(OR(Calc!$E1783="",Calc!$E1783="نامعتبر",Calc!$G1783="",Calc!$I1783&lt;&gt;"خرید"),"",Calc!$G1783)</f>
        <v/>
      </c>
      <c r="B1780">
        <f>IF($A1780="","",LEFT(Calc!$E1783,4)&amp;MID(Calc!$E1783,6,2)&amp;RIGHT(Calc!$E1783,2)&amp;Calc!$R1783&amp;"|"&amp;"1"&amp;RIGHT("00000"&amp;1775,5))</f>
        <v/>
      </c>
      <c r="C1780">
        <f>IF($B1780="","",COUNTIFS(LdgPartyA,$A1780,LdgKeyA,"&lt;"&amp;$B1780)+COUNTIFS(LdgPartyB,$A1780,LdgKeyB,"&lt;"&amp;$B1780)+1)</f>
        <v/>
      </c>
      <c r="D1780">
        <f>IF($C1780="","",$A1780&amp;"|"&amp;RIGHT("000000"&amp;$C1780,6))</f>
        <v/>
      </c>
      <c r="F1780">
        <f>IF(Sync!$AJ1780="","",Sync!$AJ1780)</f>
        <v/>
      </c>
      <c r="G1780">
        <f>IF($F1780="","",IF(Sync!$AG1780="","",IF(ISNUMBER(Sync!$AG1780),IF(AND(Sync!$AG1780&gt;=10000101,Sync!$AG1780&lt;=99991231),INT(Sync!$AG1780/10000),""),IFERROR(VALUE(TRIM(LEFT(Sync!$AG1780,FIND("/",Sync!$AG1780)-1))),""))))</f>
        <v/>
      </c>
      <c r="H1780">
        <f>IF(OR($F1780="",$G1780=""),"",IF(ISNUMBER(Sync!$AG1780),INT(MOD(Sync!$AG1780,10000)/100),IFERROR(VALUE(TRIM(LEFT(MID(Sync!$AG1780,FIND("/",Sync!$AG1780)+1,20),FIND("/",MID(Sync!$AG1780,FIND("/",Sync!$AG1780)+1,20))-1))),"")))</f>
        <v/>
      </c>
      <c r="I1780">
        <f>IF(OR($F1780="",$G1780=""),"",IF(ISNUMBER(Sync!$AG1780),MOD(Sync!$AG1780,100),IFERROR(VALUE(TRIM(MID(MID(Sync!$AG1780,FIND("/",Sync!$AG1780)+1,20),FIND("/",MID(Sync!$AG1780,FIND("/",Sync!$AG1780)+1,20))+1,20))),"")))</f>
        <v/>
      </c>
      <c r="J1780">
        <f>IF($F1780="","",IF(OR($G1780="",$H1780="",$I1780="",$G1780&lt;1300,$G1780&gt;1500,$H1780&lt;1,$H1780&gt;12,$I1780&lt;1,$I1780&gt;31),"نامعتبر",RIGHT("0000"&amp;$G1780,4)&amp;"/"&amp;RIGHT("00"&amp;$H1780,2)&amp;"/"&amp;RIGHT("00"&amp;$I1780,2)))</f>
        <v/>
      </c>
      <c r="K1780">
        <f>IF(OR($F1780="",$J1780="",$J1780="نامعتبر"),"",LEFT($J1780,4)&amp;MID($J1780,6,2)&amp;RIGHT($J1780,2)&amp;$N1780&amp;"|"&amp;"2"&amp;RIGHT("00000"&amp;1775,5))</f>
        <v/>
      </c>
      <c r="L1780">
        <f>IF($K1780="","",COUNTIFS(LdgPartyA,$F1780,LdgKeyA,"&lt;"&amp;$K1780)+COUNTIFS(LdgPartyB,$F1780,LdgKeyB,"&lt;"&amp;$K1780)+1)</f>
        <v/>
      </c>
      <c r="M1780">
        <f>IF($L1780="","",$F1780&amp;"|"&amp;RIGHT("000000"&amp;$L1780,6))</f>
        <v/>
      </c>
      <c r="N1780">
        <f>IF($F1780="","",IF(Sync!$AH1780="","0000",IF(AND(ISNUMBER(Sync!$AH1780),Sync!$AH1780&gt;=0,Sync!$AH1780&lt;1),RIGHT("00"&amp;HOUR(Sync!$AH1780),2)&amp;RIGHT("00"&amp;MINUTE(Sync!$AH1780),2),IFERROR(RIGHT("00"&amp;VALUE(LEFT(Sync!$AH1780,FIND(":",Sync!$AH1780)-1)),2)&amp;RIGHT("00"&amp;VALUE(MID(Sync!$AH1780,FIND(":",Sync!$AH1780)+1,2)),2),"0000"))))</f>
        <v/>
      </c>
    </row>
    <row r="1781">
      <c r="A1781">
        <f>IF(OR(Calc!$E1784="",Calc!$E1784="نامعتبر",Calc!$G1784="",Calc!$I1784&lt;&gt;"خرید"),"",Calc!$G1784)</f>
        <v/>
      </c>
      <c r="B1781">
        <f>IF($A1781="","",LEFT(Calc!$E1784,4)&amp;MID(Calc!$E1784,6,2)&amp;RIGHT(Calc!$E1784,2)&amp;Calc!$R1784&amp;"|"&amp;"1"&amp;RIGHT("00000"&amp;1776,5))</f>
        <v/>
      </c>
      <c r="C1781">
        <f>IF($B1781="","",COUNTIFS(LdgPartyA,$A1781,LdgKeyA,"&lt;"&amp;$B1781)+COUNTIFS(LdgPartyB,$A1781,LdgKeyB,"&lt;"&amp;$B1781)+1)</f>
        <v/>
      </c>
      <c r="D1781">
        <f>IF($C1781="","",$A1781&amp;"|"&amp;RIGHT("000000"&amp;$C1781,6))</f>
        <v/>
      </c>
      <c r="F1781">
        <f>IF(Sync!$AJ1781="","",Sync!$AJ1781)</f>
        <v/>
      </c>
      <c r="G1781">
        <f>IF($F1781="","",IF(Sync!$AG1781="","",IF(ISNUMBER(Sync!$AG1781),IF(AND(Sync!$AG1781&gt;=10000101,Sync!$AG1781&lt;=99991231),INT(Sync!$AG1781/10000),""),IFERROR(VALUE(TRIM(LEFT(Sync!$AG1781,FIND("/",Sync!$AG1781)-1))),""))))</f>
        <v/>
      </c>
      <c r="H1781">
        <f>IF(OR($F1781="",$G1781=""),"",IF(ISNUMBER(Sync!$AG1781),INT(MOD(Sync!$AG1781,10000)/100),IFERROR(VALUE(TRIM(LEFT(MID(Sync!$AG1781,FIND("/",Sync!$AG1781)+1,20),FIND("/",MID(Sync!$AG1781,FIND("/",Sync!$AG1781)+1,20))-1))),"")))</f>
        <v/>
      </c>
      <c r="I1781">
        <f>IF(OR($F1781="",$G1781=""),"",IF(ISNUMBER(Sync!$AG1781),MOD(Sync!$AG1781,100),IFERROR(VALUE(TRIM(MID(MID(Sync!$AG1781,FIND("/",Sync!$AG1781)+1,20),FIND("/",MID(Sync!$AG1781,FIND("/",Sync!$AG1781)+1,20))+1,20))),"")))</f>
        <v/>
      </c>
      <c r="J1781">
        <f>IF($F1781="","",IF(OR($G1781="",$H1781="",$I1781="",$G1781&lt;1300,$G1781&gt;1500,$H1781&lt;1,$H1781&gt;12,$I1781&lt;1,$I1781&gt;31),"نامعتبر",RIGHT("0000"&amp;$G1781,4)&amp;"/"&amp;RIGHT("00"&amp;$H1781,2)&amp;"/"&amp;RIGHT("00"&amp;$I1781,2)))</f>
        <v/>
      </c>
      <c r="K1781">
        <f>IF(OR($F1781="",$J1781="",$J1781="نامعتبر"),"",LEFT($J1781,4)&amp;MID($J1781,6,2)&amp;RIGHT($J1781,2)&amp;$N1781&amp;"|"&amp;"2"&amp;RIGHT("00000"&amp;1776,5))</f>
        <v/>
      </c>
      <c r="L1781">
        <f>IF($K1781="","",COUNTIFS(LdgPartyA,$F1781,LdgKeyA,"&lt;"&amp;$K1781)+COUNTIFS(LdgPartyB,$F1781,LdgKeyB,"&lt;"&amp;$K1781)+1)</f>
        <v/>
      </c>
      <c r="M1781">
        <f>IF($L1781="","",$F1781&amp;"|"&amp;RIGHT("000000"&amp;$L1781,6))</f>
        <v/>
      </c>
      <c r="N1781">
        <f>IF($F1781="","",IF(Sync!$AH1781="","0000",IF(AND(ISNUMBER(Sync!$AH1781),Sync!$AH1781&gt;=0,Sync!$AH1781&lt;1),RIGHT("00"&amp;HOUR(Sync!$AH1781),2)&amp;RIGHT("00"&amp;MINUTE(Sync!$AH1781),2),IFERROR(RIGHT("00"&amp;VALUE(LEFT(Sync!$AH1781,FIND(":",Sync!$AH1781)-1)),2)&amp;RIGHT("00"&amp;VALUE(MID(Sync!$AH1781,FIND(":",Sync!$AH1781)+1,2)),2),"0000"))))</f>
        <v/>
      </c>
    </row>
    <row r="1782">
      <c r="A1782">
        <f>IF(OR(Calc!$E1785="",Calc!$E1785="نامعتبر",Calc!$G1785="",Calc!$I1785&lt;&gt;"خرید"),"",Calc!$G1785)</f>
        <v/>
      </c>
      <c r="B1782">
        <f>IF($A1782="","",LEFT(Calc!$E1785,4)&amp;MID(Calc!$E1785,6,2)&amp;RIGHT(Calc!$E1785,2)&amp;Calc!$R1785&amp;"|"&amp;"1"&amp;RIGHT("00000"&amp;1777,5))</f>
        <v/>
      </c>
      <c r="C1782">
        <f>IF($B1782="","",COUNTIFS(LdgPartyA,$A1782,LdgKeyA,"&lt;"&amp;$B1782)+COUNTIFS(LdgPartyB,$A1782,LdgKeyB,"&lt;"&amp;$B1782)+1)</f>
        <v/>
      </c>
      <c r="D1782">
        <f>IF($C1782="","",$A1782&amp;"|"&amp;RIGHT("000000"&amp;$C1782,6))</f>
        <v/>
      </c>
      <c r="F1782">
        <f>IF(Sync!$AJ1782="","",Sync!$AJ1782)</f>
        <v/>
      </c>
      <c r="G1782">
        <f>IF($F1782="","",IF(Sync!$AG1782="","",IF(ISNUMBER(Sync!$AG1782),IF(AND(Sync!$AG1782&gt;=10000101,Sync!$AG1782&lt;=99991231),INT(Sync!$AG1782/10000),""),IFERROR(VALUE(TRIM(LEFT(Sync!$AG1782,FIND("/",Sync!$AG1782)-1))),""))))</f>
        <v/>
      </c>
      <c r="H1782">
        <f>IF(OR($F1782="",$G1782=""),"",IF(ISNUMBER(Sync!$AG1782),INT(MOD(Sync!$AG1782,10000)/100),IFERROR(VALUE(TRIM(LEFT(MID(Sync!$AG1782,FIND("/",Sync!$AG1782)+1,20),FIND("/",MID(Sync!$AG1782,FIND("/",Sync!$AG1782)+1,20))-1))),"")))</f>
        <v/>
      </c>
      <c r="I1782">
        <f>IF(OR($F1782="",$G1782=""),"",IF(ISNUMBER(Sync!$AG1782),MOD(Sync!$AG1782,100),IFERROR(VALUE(TRIM(MID(MID(Sync!$AG1782,FIND("/",Sync!$AG1782)+1,20),FIND("/",MID(Sync!$AG1782,FIND("/",Sync!$AG1782)+1,20))+1,20))),"")))</f>
        <v/>
      </c>
      <c r="J1782">
        <f>IF($F1782="","",IF(OR($G1782="",$H1782="",$I1782="",$G1782&lt;1300,$G1782&gt;1500,$H1782&lt;1,$H1782&gt;12,$I1782&lt;1,$I1782&gt;31),"نامعتبر",RIGHT("0000"&amp;$G1782,4)&amp;"/"&amp;RIGHT("00"&amp;$H1782,2)&amp;"/"&amp;RIGHT("00"&amp;$I1782,2)))</f>
        <v/>
      </c>
      <c r="K1782">
        <f>IF(OR($F1782="",$J1782="",$J1782="نامعتبر"),"",LEFT($J1782,4)&amp;MID($J1782,6,2)&amp;RIGHT($J1782,2)&amp;$N1782&amp;"|"&amp;"2"&amp;RIGHT("00000"&amp;1777,5))</f>
        <v/>
      </c>
      <c r="L1782">
        <f>IF($K1782="","",COUNTIFS(LdgPartyA,$F1782,LdgKeyA,"&lt;"&amp;$K1782)+COUNTIFS(LdgPartyB,$F1782,LdgKeyB,"&lt;"&amp;$K1782)+1)</f>
        <v/>
      </c>
      <c r="M1782">
        <f>IF($L1782="","",$F1782&amp;"|"&amp;RIGHT("000000"&amp;$L1782,6))</f>
        <v/>
      </c>
      <c r="N1782">
        <f>IF($F1782="","",IF(Sync!$AH1782="","0000",IF(AND(ISNUMBER(Sync!$AH1782),Sync!$AH1782&gt;=0,Sync!$AH1782&lt;1),RIGHT("00"&amp;HOUR(Sync!$AH1782),2)&amp;RIGHT("00"&amp;MINUTE(Sync!$AH1782),2),IFERROR(RIGHT("00"&amp;VALUE(LEFT(Sync!$AH1782,FIND(":",Sync!$AH1782)-1)),2)&amp;RIGHT("00"&amp;VALUE(MID(Sync!$AH1782,FIND(":",Sync!$AH1782)+1,2)),2),"0000"))))</f>
        <v/>
      </c>
    </row>
    <row r="1783">
      <c r="A1783">
        <f>IF(OR(Calc!$E1786="",Calc!$E1786="نامعتبر",Calc!$G1786="",Calc!$I1786&lt;&gt;"خرید"),"",Calc!$G1786)</f>
        <v/>
      </c>
      <c r="B1783">
        <f>IF($A1783="","",LEFT(Calc!$E1786,4)&amp;MID(Calc!$E1786,6,2)&amp;RIGHT(Calc!$E1786,2)&amp;Calc!$R1786&amp;"|"&amp;"1"&amp;RIGHT("00000"&amp;1778,5))</f>
        <v/>
      </c>
      <c r="C1783">
        <f>IF($B1783="","",COUNTIFS(LdgPartyA,$A1783,LdgKeyA,"&lt;"&amp;$B1783)+COUNTIFS(LdgPartyB,$A1783,LdgKeyB,"&lt;"&amp;$B1783)+1)</f>
        <v/>
      </c>
      <c r="D1783">
        <f>IF($C1783="","",$A1783&amp;"|"&amp;RIGHT("000000"&amp;$C1783,6))</f>
        <v/>
      </c>
      <c r="F1783">
        <f>IF(Sync!$AJ1783="","",Sync!$AJ1783)</f>
        <v/>
      </c>
      <c r="G1783">
        <f>IF($F1783="","",IF(Sync!$AG1783="","",IF(ISNUMBER(Sync!$AG1783),IF(AND(Sync!$AG1783&gt;=10000101,Sync!$AG1783&lt;=99991231),INT(Sync!$AG1783/10000),""),IFERROR(VALUE(TRIM(LEFT(Sync!$AG1783,FIND("/",Sync!$AG1783)-1))),""))))</f>
        <v/>
      </c>
      <c r="H1783">
        <f>IF(OR($F1783="",$G1783=""),"",IF(ISNUMBER(Sync!$AG1783),INT(MOD(Sync!$AG1783,10000)/100),IFERROR(VALUE(TRIM(LEFT(MID(Sync!$AG1783,FIND("/",Sync!$AG1783)+1,20),FIND("/",MID(Sync!$AG1783,FIND("/",Sync!$AG1783)+1,20))-1))),"")))</f>
        <v/>
      </c>
      <c r="I1783">
        <f>IF(OR($F1783="",$G1783=""),"",IF(ISNUMBER(Sync!$AG1783),MOD(Sync!$AG1783,100),IFERROR(VALUE(TRIM(MID(MID(Sync!$AG1783,FIND("/",Sync!$AG1783)+1,20),FIND("/",MID(Sync!$AG1783,FIND("/",Sync!$AG1783)+1,20))+1,20))),"")))</f>
        <v/>
      </c>
      <c r="J1783">
        <f>IF($F1783="","",IF(OR($G1783="",$H1783="",$I1783="",$G1783&lt;1300,$G1783&gt;1500,$H1783&lt;1,$H1783&gt;12,$I1783&lt;1,$I1783&gt;31),"نامعتبر",RIGHT("0000"&amp;$G1783,4)&amp;"/"&amp;RIGHT("00"&amp;$H1783,2)&amp;"/"&amp;RIGHT("00"&amp;$I1783,2)))</f>
        <v/>
      </c>
      <c r="K1783">
        <f>IF(OR($F1783="",$J1783="",$J1783="نامعتبر"),"",LEFT($J1783,4)&amp;MID($J1783,6,2)&amp;RIGHT($J1783,2)&amp;$N1783&amp;"|"&amp;"2"&amp;RIGHT("00000"&amp;1778,5))</f>
        <v/>
      </c>
      <c r="L1783">
        <f>IF($K1783="","",COUNTIFS(LdgPartyA,$F1783,LdgKeyA,"&lt;"&amp;$K1783)+COUNTIFS(LdgPartyB,$F1783,LdgKeyB,"&lt;"&amp;$K1783)+1)</f>
        <v/>
      </c>
      <c r="M1783">
        <f>IF($L1783="","",$F1783&amp;"|"&amp;RIGHT("000000"&amp;$L1783,6))</f>
        <v/>
      </c>
      <c r="N1783">
        <f>IF($F1783="","",IF(Sync!$AH1783="","0000",IF(AND(ISNUMBER(Sync!$AH1783),Sync!$AH1783&gt;=0,Sync!$AH1783&lt;1),RIGHT("00"&amp;HOUR(Sync!$AH1783),2)&amp;RIGHT("00"&amp;MINUTE(Sync!$AH1783),2),IFERROR(RIGHT("00"&amp;VALUE(LEFT(Sync!$AH1783,FIND(":",Sync!$AH1783)-1)),2)&amp;RIGHT("00"&amp;VALUE(MID(Sync!$AH1783,FIND(":",Sync!$AH1783)+1,2)),2),"0000"))))</f>
        <v/>
      </c>
    </row>
    <row r="1784">
      <c r="A1784">
        <f>IF(OR(Calc!$E1787="",Calc!$E1787="نامعتبر",Calc!$G1787="",Calc!$I1787&lt;&gt;"خرید"),"",Calc!$G1787)</f>
        <v/>
      </c>
      <c r="B1784">
        <f>IF($A1784="","",LEFT(Calc!$E1787,4)&amp;MID(Calc!$E1787,6,2)&amp;RIGHT(Calc!$E1787,2)&amp;Calc!$R1787&amp;"|"&amp;"1"&amp;RIGHT("00000"&amp;1779,5))</f>
        <v/>
      </c>
      <c r="C1784">
        <f>IF($B1784="","",COUNTIFS(LdgPartyA,$A1784,LdgKeyA,"&lt;"&amp;$B1784)+COUNTIFS(LdgPartyB,$A1784,LdgKeyB,"&lt;"&amp;$B1784)+1)</f>
        <v/>
      </c>
      <c r="D1784">
        <f>IF($C1784="","",$A1784&amp;"|"&amp;RIGHT("000000"&amp;$C1784,6))</f>
        <v/>
      </c>
      <c r="F1784">
        <f>IF(Sync!$AJ1784="","",Sync!$AJ1784)</f>
        <v/>
      </c>
      <c r="G1784">
        <f>IF($F1784="","",IF(Sync!$AG1784="","",IF(ISNUMBER(Sync!$AG1784),IF(AND(Sync!$AG1784&gt;=10000101,Sync!$AG1784&lt;=99991231),INT(Sync!$AG1784/10000),""),IFERROR(VALUE(TRIM(LEFT(Sync!$AG1784,FIND("/",Sync!$AG1784)-1))),""))))</f>
        <v/>
      </c>
      <c r="H1784">
        <f>IF(OR($F1784="",$G1784=""),"",IF(ISNUMBER(Sync!$AG1784),INT(MOD(Sync!$AG1784,10000)/100),IFERROR(VALUE(TRIM(LEFT(MID(Sync!$AG1784,FIND("/",Sync!$AG1784)+1,20),FIND("/",MID(Sync!$AG1784,FIND("/",Sync!$AG1784)+1,20))-1))),"")))</f>
        <v/>
      </c>
      <c r="I1784">
        <f>IF(OR($F1784="",$G1784=""),"",IF(ISNUMBER(Sync!$AG1784),MOD(Sync!$AG1784,100),IFERROR(VALUE(TRIM(MID(MID(Sync!$AG1784,FIND("/",Sync!$AG1784)+1,20),FIND("/",MID(Sync!$AG1784,FIND("/",Sync!$AG1784)+1,20))+1,20))),"")))</f>
        <v/>
      </c>
      <c r="J1784">
        <f>IF($F1784="","",IF(OR($G1784="",$H1784="",$I1784="",$G1784&lt;1300,$G1784&gt;1500,$H1784&lt;1,$H1784&gt;12,$I1784&lt;1,$I1784&gt;31),"نامعتبر",RIGHT("0000"&amp;$G1784,4)&amp;"/"&amp;RIGHT("00"&amp;$H1784,2)&amp;"/"&amp;RIGHT("00"&amp;$I1784,2)))</f>
        <v/>
      </c>
      <c r="K1784">
        <f>IF(OR($F1784="",$J1784="",$J1784="نامعتبر"),"",LEFT($J1784,4)&amp;MID($J1784,6,2)&amp;RIGHT($J1784,2)&amp;$N1784&amp;"|"&amp;"2"&amp;RIGHT("00000"&amp;1779,5))</f>
        <v/>
      </c>
      <c r="L1784">
        <f>IF($K1784="","",COUNTIFS(LdgPartyA,$F1784,LdgKeyA,"&lt;"&amp;$K1784)+COUNTIFS(LdgPartyB,$F1784,LdgKeyB,"&lt;"&amp;$K1784)+1)</f>
        <v/>
      </c>
      <c r="M1784">
        <f>IF($L1784="","",$F1784&amp;"|"&amp;RIGHT("000000"&amp;$L1784,6))</f>
        <v/>
      </c>
      <c r="N1784">
        <f>IF($F1784="","",IF(Sync!$AH1784="","0000",IF(AND(ISNUMBER(Sync!$AH1784),Sync!$AH1784&gt;=0,Sync!$AH1784&lt;1),RIGHT("00"&amp;HOUR(Sync!$AH1784),2)&amp;RIGHT("00"&amp;MINUTE(Sync!$AH1784),2),IFERROR(RIGHT("00"&amp;VALUE(LEFT(Sync!$AH1784,FIND(":",Sync!$AH1784)-1)),2)&amp;RIGHT("00"&amp;VALUE(MID(Sync!$AH1784,FIND(":",Sync!$AH1784)+1,2)),2),"0000"))))</f>
        <v/>
      </c>
    </row>
    <row r="1785">
      <c r="A1785">
        <f>IF(OR(Calc!$E1788="",Calc!$E1788="نامعتبر",Calc!$G1788="",Calc!$I1788&lt;&gt;"خرید"),"",Calc!$G1788)</f>
        <v/>
      </c>
      <c r="B1785">
        <f>IF($A1785="","",LEFT(Calc!$E1788,4)&amp;MID(Calc!$E1788,6,2)&amp;RIGHT(Calc!$E1788,2)&amp;Calc!$R1788&amp;"|"&amp;"1"&amp;RIGHT("00000"&amp;1780,5))</f>
        <v/>
      </c>
      <c r="C1785">
        <f>IF($B1785="","",COUNTIFS(LdgPartyA,$A1785,LdgKeyA,"&lt;"&amp;$B1785)+COUNTIFS(LdgPartyB,$A1785,LdgKeyB,"&lt;"&amp;$B1785)+1)</f>
        <v/>
      </c>
      <c r="D1785">
        <f>IF($C1785="","",$A1785&amp;"|"&amp;RIGHT("000000"&amp;$C1785,6))</f>
        <v/>
      </c>
      <c r="F1785">
        <f>IF(Sync!$AJ1785="","",Sync!$AJ1785)</f>
        <v/>
      </c>
      <c r="G1785">
        <f>IF($F1785="","",IF(Sync!$AG1785="","",IF(ISNUMBER(Sync!$AG1785),IF(AND(Sync!$AG1785&gt;=10000101,Sync!$AG1785&lt;=99991231),INT(Sync!$AG1785/10000),""),IFERROR(VALUE(TRIM(LEFT(Sync!$AG1785,FIND("/",Sync!$AG1785)-1))),""))))</f>
        <v/>
      </c>
      <c r="H1785">
        <f>IF(OR($F1785="",$G1785=""),"",IF(ISNUMBER(Sync!$AG1785),INT(MOD(Sync!$AG1785,10000)/100),IFERROR(VALUE(TRIM(LEFT(MID(Sync!$AG1785,FIND("/",Sync!$AG1785)+1,20),FIND("/",MID(Sync!$AG1785,FIND("/",Sync!$AG1785)+1,20))-1))),"")))</f>
        <v/>
      </c>
      <c r="I1785">
        <f>IF(OR($F1785="",$G1785=""),"",IF(ISNUMBER(Sync!$AG1785),MOD(Sync!$AG1785,100),IFERROR(VALUE(TRIM(MID(MID(Sync!$AG1785,FIND("/",Sync!$AG1785)+1,20),FIND("/",MID(Sync!$AG1785,FIND("/",Sync!$AG1785)+1,20))+1,20))),"")))</f>
        <v/>
      </c>
      <c r="J1785">
        <f>IF($F1785="","",IF(OR($G1785="",$H1785="",$I1785="",$G1785&lt;1300,$G1785&gt;1500,$H1785&lt;1,$H1785&gt;12,$I1785&lt;1,$I1785&gt;31),"نامعتبر",RIGHT("0000"&amp;$G1785,4)&amp;"/"&amp;RIGHT("00"&amp;$H1785,2)&amp;"/"&amp;RIGHT("00"&amp;$I1785,2)))</f>
        <v/>
      </c>
      <c r="K1785">
        <f>IF(OR($F1785="",$J1785="",$J1785="نامعتبر"),"",LEFT($J1785,4)&amp;MID($J1785,6,2)&amp;RIGHT($J1785,2)&amp;$N1785&amp;"|"&amp;"2"&amp;RIGHT("00000"&amp;1780,5))</f>
        <v/>
      </c>
      <c r="L1785">
        <f>IF($K1785="","",COUNTIFS(LdgPartyA,$F1785,LdgKeyA,"&lt;"&amp;$K1785)+COUNTIFS(LdgPartyB,$F1785,LdgKeyB,"&lt;"&amp;$K1785)+1)</f>
        <v/>
      </c>
      <c r="M1785">
        <f>IF($L1785="","",$F1785&amp;"|"&amp;RIGHT("000000"&amp;$L1785,6))</f>
        <v/>
      </c>
      <c r="N1785">
        <f>IF($F1785="","",IF(Sync!$AH1785="","0000",IF(AND(ISNUMBER(Sync!$AH1785),Sync!$AH1785&gt;=0,Sync!$AH1785&lt;1),RIGHT("00"&amp;HOUR(Sync!$AH1785),2)&amp;RIGHT("00"&amp;MINUTE(Sync!$AH1785),2),IFERROR(RIGHT("00"&amp;VALUE(LEFT(Sync!$AH1785,FIND(":",Sync!$AH1785)-1)),2)&amp;RIGHT("00"&amp;VALUE(MID(Sync!$AH1785,FIND(":",Sync!$AH1785)+1,2)),2),"0000"))))</f>
        <v/>
      </c>
    </row>
    <row r="1786">
      <c r="A1786">
        <f>IF(OR(Calc!$E1789="",Calc!$E1789="نامعتبر",Calc!$G1789="",Calc!$I1789&lt;&gt;"خرید"),"",Calc!$G1789)</f>
        <v/>
      </c>
      <c r="B1786">
        <f>IF($A1786="","",LEFT(Calc!$E1789,4)&amp;MID(Calc!$E1789,6,2)&amp;RIGHT(Calc!$E1789,2)&amp;Calc!$R1789&amp;"|"&amp;"1"&amp;RIGHT("00000"&amp;1781,5))</f>
        <v/>
      </c>
      <c r="C1786">
        <f>IF($B1786="","",COUNTIFS(LdgPartyA,$A1786,LdgKeyA,"&lt;"&amp;$B1786)+COUNTIFS(LdgPartyB,$A1786,LdgKeyB,"&lt;"&amp;$B1786)+1)</f>
        <v/>
      </c>
      <c r="D1786">
        <f>IF($C1786="","",$A1786&amp;"|"&amp;RIGHT("000000"&amp;$C1786,6))</f>
        <v/>
      </c>
      <c r="F1786">
        <f>IF(Sync!$AJ1786="","",Sync!$AJ1786)</f>
        <v/>
      </c>
      <c r="G1786">
        <f>IF($F1786="","",IF(Sync!$AG1786="","",IF(ISNUMBER(Sync!$AG1786),IF(AND(Sync!$AG1786&gt;=10000101,Sync!$AG1786&lt;=99991231),INT(Sync!$AG1786/10000),""),IFERROR(VALUE(TRIM(LEFT(Sync!$AG1786,FIND("/",Sync!$AG1786)-1))),""))))</f>
        <v/>
      </c>
      <c r="H1786">
        <f>IF(OR($F1786="",$G1786=""),"",IF(ISNUMBER(Sync!$AG1786),INT(MOD(Sync!$AG1786,10000)/100),IFERROR(VALUE(TRIM(LEFT(MID(Sync!$AG1786,FIND("/",Sync!$AG1786)+1,20),FIND("/",MID(Sync!$AG1786,FIND("/",Sync!$AG1786)+1,20))-1))),"")))</f>
        <v/>
      </c>
      <c r="I1786">
        <f>IF(OR($F1786="",$G1786=""),"",IF(ISNUMBER(Sync!$AG1786),MOD(Sync!$AG1786,100),IFERROR(VALUE(TRIM(MID(MID(Sync!$AG1786,FIND("/",Sync!$AG1786)+1,20),FIND("/",MID(Sync!$AG1786,FIND("/",Sync!$AG1786)+1,20))+1,20))),"")))</f>
        <v/>
      </c>
      <c r="J1786">
        <f>IF($F1786="","",IF(OR($G1786="",$H1786="",$I1786="",$G1786&lt;1300,$G1786&gt;1500,$H1786&lt;1,$H1786&gt;12,$I1786&lt;1,$I1786&gt;31),"نامعتبر",RIGHT("0000"&amp;$G1786,4)&amp;"/"&amp;RIGHT("00"&amp;$H1786,2)&amp;"/"&amp;RIGHT("00"&amp;$I1786,2)))</f>
        <v/>
      </c>
      <c r="K1786">
        <f>IF(OR($F1786="",$J1786="",$J1786="نامعتبر"),"",LEFT($J1786,4)&amp;MID($J1786,6,2)&amp;RIGHT($J1786,2)&amp;$N1786&amp;"|"&amp;"2"&amp;RIGHT("00000"&amp;1781,5))</f>
        <v/>
      </c>
      <c r="L1786">
        <f>IF($K1786="","",COUNTIFS(LdgPartyA,$F1786,LdgKeyA,"&lt;"&amp;$K1786)+COUNTIFS(LdgPartyB,$F1786,LdgKeyB,"&lt;"&amp;$K1786)+1)</f>
        <v/>
      </c>
      <c r="M1786">
        <f>IF($L1786="","",$F1786&amp;"|"&amp;RIGHT("000000"&amp;$L1786,6))</f>
        <v/>
      </c>
      <c r="N1786">
        <f>IF($F1786="","",IF(Sync!$AH1786="","0000",IF(AND(ISNUMBER(Sync!$AH1786),Sync!$AH1786&gt;=0,Sync!$AH1786&lt;1),RIGHT("00"&amp;HOUR(Sync!$AH1786),2)&amp;RIGHT("00"&amp;MINUTE(Sync!$AH1786),2),IFERROR(RIGHT("00"&amp;VALUE(LEFT(Sync!$AH1786,FIND(":",Sync!$AH1786)-1)),2)&amp;RIGHT("00"&amp;VALUE(MID(Sync!$AH1786,FIND(":",Sync!$AH1786)+1,2)),2),"0000"))))</f>
        <v/>
      </c>
    </row>
    <row r="1787">
      <c r="A1787">
        <f>IF(OR(Calc!$E1790="",Calc!$E1790="نامعتبر",Calc!$G1790="",Calc!$I1790&lt;&gt;"خرید"),"",Calc!$G1790)</f>
        <v/>
      </c>
      <c r="B1787">
        <f>IF($A1787="","",LEFT(Calc!$E1790,4)&amp;MID(Calc!$E1790,6,2)&amp;RIGHT(Calc!$E1790,2)&amp;Calc!$R1790&amp;"|"&amp;"1"&amp;RIGHT("00000"&amp;1782,5))</f>
        <v/>
      </c>
      <c r="C1787">
        <f>IF($B1787="","",COUNTIFS(LdgPartyA,$A1787,LdgKeyA,"&lt;"&amp;$B1787)+COUNTIFS(LdgPartyB,$A1787,LdgKeyB,"&lt;"&amp;$B1787)+1)</f>
        <v/>
      </c>
      <c r="D1787">
        <f>IF($C1787="","",$A1787&amp;"|"&amp;RIGHT("000000"&amp;$C1787,6))</f>
        <v/>
      </c>
      <c r="F1787">
        <f>IF(Sync!$AJ1787="","",Sync!$AJ1787)</f>
        <v/>
      </c>
      <c r="G1787">
        <f>IF($F1787="","",IF(Sync!$AG1787="","",IF(ISNUMBER(Sync!$AG1787),IF(AND(Sync!$AG1787&gt;=10000101,Sync!$AG1787&lt;=99991231),INT(Sync!$AG1787/10000),""),IFERROR(VALUE(TRIM(LEFT(Sync!$AG1787,FIND("/",Sync!$AG1787)-1))),""))))</f>
        <v/>
      </c>
      <c r="H1787">
        <f>IF(OR($F1787="",$G1787=""),"",IF(ISNUMBER(Sync!$AG1787),INT(MOD(Sync!$AG1787,10000)/100),IFERROR(VALUE(TRIM(LEFT(MID(Sync!$AG1787,FIND("/",Sync!$AG1787)+1,20),FIND("/",MID(Sync!$AG1787,FIND("/",Sync!$AG1787)+1,20))-1))),"")))</f>
        <v/>
      </c>
      <c r="I1787">
        <f>IF(OR($F1787="",$G1787=""),"",IF(ISNUMBER(Sync!$AG1787),MOD(Sync!$AG1787,100),IFERROR(VALUE(TRIM(MID(MID(Sync!$AG1787,FIND("/",Sync!$AG1787)+1,20),FIND("/",MID(Sync!$AG1787,FIND("/",Sync!$AG1787)+1,20))+1,20))),"")))</f>
        <v/>
      </c>
      <c r="J1787">
        <f>IF($F1787="","",IF(OR($G1787="",$H1787="",$I1787="",$G1787&lt;1300,$G1787&gt;1500,$H1787&lt;1,$H1787&gt;12,$I1787&lt;1,$I1787&gt;31),"نامعتبر",RIGHT("0000"&amp;$G1787,4)&amp;"/"&amp;RIGHT("00"&amp;$H1787,2)&amp;"/"&amp;RIGHT("00"&amp;$I1787,2)))</f>
        <v/>
      </c>
      <c r="K1787">
        <f>IF(OR($F1787="",$J1787="",$J1787="نامعتبر"),"",LEFT($J1787,4)&amp;MID($J1787,6,2)&amp;RIGHT($J1787,2)&amp;$N1787&amp;"|"&amp;"2"&amp;RIGHT("00000"&amp;1782,5))</f>
        <v/>
      </c>
      <c r="L1787">
        <f>IF($K1787="","",COUNTIFS(LdgPartyA,$F1787,LdgKeyA,"&lt;"&amp;$K1787)+COUNTIFS(LdgPartyB,$F1787,LdgKeyB,"&lt;"&amp;$K1787)+1)</f>
        <v/>
      </c>
      <c r="M1787">
        <f>IF($L1787="","",$F1787&amp;"|"&amp;RIGHT("000000"&amp;$L1787,6))</f>
        <v/>
      </c>
      <c r="N1787">
        <f>IF($F1787="","",IF(Sync!$AH1787="","0000",IF(AND(ISNUMBER(Sync!$AH1787),Sync!$AH1787&gt;=0,Sync!$AH1787&lt;1),RIGHT("00"&amp;HOUR(Sync!$AH1787),2)&amp;RIGHT("00"&amp;MINUTE(Sync!$AH1787),2),IFERROR(RIGHT("00"&amp;VALUE(LEFT(Sync!$AH1787,FIND(":",Sync!$AH1787)-1)),2)&amp;RIGHT("00"&amp;VALUE(MID(Sync!$AH1787,FIND(":",Sync!$AH1787)+1,2)),2),"0000"))))</f>
        <v/>
      </c>
    </row>
    <row r="1788">
      <c r="A1788">
        <f>IF(OR(Calc!$E1791="",Calc!$E1791="نامعتبر",Calc!$G1791="",Calc!$I1791&lt;&gt;"خرید"),"",Calc!$G1791)</f>
        <v/>
      </c>
      <c r="B1788">
        <f>IF($A1788="","",LEFT(Calc!$E1791,4)&amp;MID(Calc!$E1791,6,2)&amp;RIGHT(Calc!$E1791,2)&amp;Calc!$R1791&amp;"|"&amp;"1"&amp;RIGHT("00000"&amp;1783,5))</f>
        <v/>
      </c>
      <c r="C1788">
        <f>IF($B1788="","",COUNTIFS(LdgPartyA,$A1788,LdgKeyA,"&lt;"&amp;$B1788)+COUNTIFS(LdgPartyB,$A1788,LdgKeyB,"&lt;"&amp;$B1788)+1)</f>
        <v/>
      </c>
      <c r="D1788">
        <f>IF($C1788="","",$A1788&amp;"|"&amp;RIGHT("000000"&amp;$C1788,6))</f>
        <v/>
      </c>
      <c r="F1788">
        <f>IF(Sync!$AJ1788="","",Sync!$AJ1788)</f>
        <v/>
      </c>
      <c r="G1788">
        <f>IF($F1788="","",IF(Sync!$AG1788="","",IF(ISNUMBER(Sync!$AG1788),IF(AND(Sync!$AG1788&gt;=10000101,Sync!$AG1788&lt;=99991231),INT(Sync!$AG1788/10000),""),IFERROR(VALUE(TRIM(LEFT(Sync!$AG1788,FIND("/",Sync!$AG1788)-1))),""))))</f>
        <v/>
      </c>
      <c r="H1788">
        <f>IF(OR($F1788="",$G1788=""),"",IF(ISNUMBER(Sync!$AG1788),INT(MOD(Sync!$AG1788,10000)/100),IFERROR(VALUE(TRIM(LEFT(MID(Sync!$AG1788,FIND("/",Sync!$AG1788)+1,20),FIND("/",MID(Sync!$AG1788,FIND("/",Sync!$AG1788)+1,20))-1))),"")))</f>
        <v/>
      </c>
      <c r="I1788">
        <f>IF(OR($F1788="",$G1788=""),"",IF(ISNUMBER(Sync!$AG1788),MOD(Sync!$AG1788,100),IFERROR(VALUE(TRIM(MID(MID(Sync!$AG1788,FIND("/",Sync!$AG1788)+1,20),FIND("/",MID(Sync!$AG1788,FIND("/",Sync!$AG1788)+1,20))+1,20))),"")))</f>
        <v/>
      </c>
      <c r="J1788">
        <f>IF($F1788="","",IF(OR($G1788="",$H1788="",$I1788="",$G1788&lt;1300,$G1788&gt;1500,$H1788&lt;1,$H1788&gt;12,$I1788&lt;1,$I1788&gt;31),"نامعتبر",RIGHT("0000"&amp;$G1788,4)&amp;"/"&amp;RIGHT("00"&amp;$H1788,2)&amp;"/"&amp;RIGHT("00"&amp;$I1788,2)))</f>
        <v/>
      </c>
      <c r="K1788">
        <f>IF(OR($F1788="",$J1788="",$J1788="نامعتبر"),"",LEFT($J1788,4)&amp;MID($J1788,6,2)&amp;RIGHT($J1788,2)&amp;$N1788&amp;"|"&amp;"2"&amp;RIGHT("00000"&amp;1783,5))</f>
        <v/>
      </c>
      <c r="L1788">
        <f>IF($K1788="","",COUNTIFS(LdgPartyA,$F1788,LdgKeyA,"&lt;"&amp;$K1788)+COUNTIFS(LdgPartyB,$F1788,LdgKeyB,"&lt;"&amp;$K1788)+1)</f>
        <v/>
      </c>
      <c r="M1788">
        <f>IF($L1788="","",$F1788&amp;"|"&amp;RIGHT("000000"&amp;$L1788,6))</f>
        <v/>
      </c>
      <c r="N1788">
        <f>IF($F1788="","",IF(Sync!$AH1788="","0000",IF(AND(ISNUMBER(Sync!$AH1788),Sync!$AH1788&gt;=0,Sync!$AH1788&lt;1),RIGHT("00"&amp;HOUR(Sync!$AH1788),2)&amp;RIGHT("00"&amp;MINUTE(Sync!$AH1788),2),IFERROR(RIGHT("00"&amp;VALUE(LEFT(Sync!$AH1788,FIND(":",Sync!$AH1788)-1)),2)&amp;RIGHT("00"&amp;VALUE(MID(Sync!$AH1788,FIND(":",Sync!$AH1788)+1,2)),2),"0000"))))</f>
        <v/>
      </c>
    </row>
    <row r="1789">
      <c r="A1789">
        <f>IF(OR(Calc!$E1792="",Calc!$E1792="نامعتبر",Calc!$G1792="",Calc!$I1792&lt;&gt;"خرید"),"",Calc!$G1792)</f>
        <v/>
      </c>
      <c r="B1789">
        <f>IF($A1789="","",LEFT(Calc!$E1792,4)&amp;MID(Calc!$E1792,6,2)&amp;RIGHT(Calc!$E1792,2)&amp;Calc!$R1792&amp;"|"&amp;"1"&amp;RIGHT("00000"&amp;1784,5))</f>
        <v/>
      </c>
      <c r="C1789">
        <f>IF($B1789="","",COUNTIFS(LdgPartyA,$A1789,LdgKeyA,"&lt;"&amp;$B1789)+COUNTIFS(LdgPartyB,$A1789,LdgKeyB,"&lt;"&amp;$B1789)+1)</f>
        <v/>
      </c>
      <c r="D1789">
        <f>IF($C1789="","",$A1789&amp;"|"&amp;RIGHT("000000"&amp;$C1789,6))</f>
        <v/>
      </c>
      <c r="F1789">
        <f>IF(Sync!$AJ1789="","",Sync!$AJ1789)</f>
        <v/>
      </c>
      <c r="G1789">
        <f>IF($F1789="","",IF(Sync!$AG1789="","",IF(ISNUMBER(Sync!$AG1789),IF(AND(Sync!$AG1789&gt;=10000101,Sync!$AG1789&lt;=99991231),INT(Sync!$AG1789/10000),""),IFERROR(VALUE(TRIM(LEFT(Sync!$AG1789,FIND("/",Sync!$AG1789)-1))),""))))</f>
        <v/>
      </c>
      <c r="H1789">
        <f>IF(OR($F1789="",$G1789=""),"",IF(ISNUMBER(Sync!$AG1789),INT(MOD(Sync!$AG1789,10000)/100),IFERROR(VALUE(TRIM(LEFT(MID(Sync!$AG1789,FIND("/",Sync!$AG1789)+1,20),FIND("/",MID(Sync!$AG1789,FIND("/",Sync!$AG1789)+1,20))-1))),"")))</f>
        <v/>
      </c>
      <c r="I1789">
        <f>IF(OR($F1789="",$G1789=""),"",IF(ISNUMBER(Sync!$AG1789),MOD(Sync!$AG1789,100),IFERROR(VALUE(TRIM(MID(MID(Sync!$AG1789,FIND("/",Sync!$AG1789)+1,20),FIND("/",MID(Sync!$AG1789,FIND("/",Sync!$AG1789)+1,20))+1,20))),"")))</f>
        <v/>
      </c>
      <c r="J1789">
        <f>IF($F1789="","",IF(OR($G1789="",$H1789="",$I1789="",$G1789&lt;1300,$G1789&gt;1500,$H1789&lt;1,$H1789&gt;12,$I1789&lt;1,$I1789&gt;31),"نامعتبر",RIGHT("0000"&amp;$G1789,4)&amp;"/"&amp;RIGHT("00"&amp;$H1789,2)&amp;"/"&amp;RIGHT("00"&amp;$I1789,2)))</f>
        <v/>
      </c>
      <c r="K1789">
        <f>IF(OR($F1789="",$J1789="",$J1789="نامعتبر"),"",LEFT($J1789,4)&amp;MID($J1789,6,2)&amp;RIGHT($J1789,2)&amp;$N1789&amp;"|"&amp;"2"&amp;RIGHT("00000"&amp;1784,5))</f>
        <v/>
      </c>
      <c r="L1789">
        <f>IF($K1789="","",COUNTIFS(LdgPartyA,$F1789,LdgKeyA,"&lt;"&amp;$K1789)+COUNTIFS(LdgPartyB,$F1789,LdgKeyB,"&lt;"&amp;$K1789)+1)</f>
        <v/>
      </c>
      <c r="M1789">
        <f>IF($L1789="","",$F1789&amp;"|"&amp;RIGHT("000000"&amp;$L1789,6))</f>
        <v/>
      </c>
      <c r="N1789">
        <f>IF($F1789="","",IF(Sync!$AH1789="","0000",IF(AND(ISNUMBER(Sync!$AH1789),Sync!$AH1789&gt;=0,Sync!$AH1789&lt;1),RIGHT("00"&amp;HOUR(Sync!$AH1789),2)&amp;RIGHT("00"&amp;MINUTE(Sync!$AH1789),2),IFERROR(RIGHT("00"&amp;VALUE(LEFT(Sync!$AH1789,FIND(":",Sync!$AH1789)-1)),2)&amp;RIGHT("00"&amp;VALUE(MID(Sync!$AH1789,FIND(":",Sync!$AH1789)+1,2)),2),"0000"))))</f>
        <v/>
      </c>
    </row>
    <row r="1790">
      <c r="A1790">
        <f>IF(OR(Calc!$E1793="",Calc!$E1793="نامعتبر",Calc!$G1793="",Calc!$I1793&lt;&gt;"خرید"),"",Calc!$G1793)</f>
        <v/>
      </c>
      <c r="B1790">
        <f>IF($A1790="","",LEFT(Calc!$E1793,4)&amp;MID(Calc!$E1793,6,2)&amp;RIGHT(Calc!$E1793,2)&amp;Calc!$R1793&amp;"|"&amp;"1"&amp;RIGHT("00000"&amp;1785,5))</f>
        <v/>
      </c>
      <c r="C1790">
        <f>IF($B1790="","",COUNTIFS(LdgPartyA,$A1790,LdgKeyA,"&lt;"&amp;$B1790)+COUNTIFS(LdgPartyB,$A1790,LdgKeyB,"&lt;"&amp;$B1790)+1)</f>
        <v/>
      </c>
      <c r="D1790">
        <f>IF($C1790="","",$A1790&amp;"|"&amp;RIGHT("000000"&amp;$C1790,6))</f>
        <v/>
      </c>
      <c r="F1790">
        <f>IF(Sync!$AJ1790="","",Sync!$AJ1790)</f>
        <v/>
      </c>
      <c r="G1790">
        <f>IF($F1790="","",IF(Sync!$AG1790="","",IF(ISNUMBER(Sync!$AG1790),IF(AND(Sync!$AG1790&gt;=10000101,Sync!$AG1790&lt;=99991231),INT(Sync!$AG1790/10000),""),IFERROR(VALUE(TRIM(LEFT(Sync!$AG1790,FIND("/",Sync!$AG1790)-1))),""))))</f>
        <v/>
      </c>
      <c r="H1790">
        <f>IF(OR($F1790="",$G1790=""),"",IF(ISNUMBER(Sync!$AG1790),INT(MOD(Sync!$AG1790,10000)/100),IFERROR(VALUE(TRIM(LEFT(MID(Sync!$AG1790,FIND("/",Sync!$AG1790)+1,20),FIND("/",MID(Sync!$AG1790,FIND("/",Sync!$AG1790)+1,20))-1))),"")))</f>
        <v/>
      </c>
      <c r="I1790">
        <f>IF(OR($F1790="",$G1790=""),"",IF(ISNUMBER(Sync!$AG1790),MOD(Sync!$AG1790,100),IFERROR(VALUE(TRIM(MID(MID(Sync!$AG1790,FIND("/",Sync!$AG1790)+1,20),FIND("/",MID(Sync!$AG1790,FIND("/",Sync!$AG1790)+1,20))+1,20))),"")))</f>
        <v/>
      </c>
      <c r="J1790">
        <f>IF($F1790="","",IF(OR($G1790="",$H1790="",$I1790="",$G1790&lt;1300,$G1790&gt;1500,$H1790&lt;1,$H1790&gt;12,$I1790&lt;1,$I1790&gt;31),"نامعتبر",RIGHT("0000"&amp;$G1790,4)&amp;"/"&amp;RIGHT("00"&amp;$H1790,2)&amp;"/"&amp;RIGHT("00"&amp;$I1790,2)))</f>
        <v/>
      </c>
      <c r="K1790">
        <f>IF(OR($F1790="",$J1790="",$J1790="نامعتبر"),"",LEFT($J1790,4)&amp;MID($J1790,6,2)&amp;RIGHT($J1790,2)&amp;$N1790&amp;"|"&amp;"2"&amp;RIGHT("00000"&amp;1785,5))</f>
        <v/>
      </c>
      <c r="L1790">
        <f>IF($K1790="","",COUNTIFS(LdgPartyA,$F1790,LdgKeyA,"&lt;"&amp;$K1790)+COUNTIFS(LdgPartyB,$F1790,LdgKeyB,"&lt;"&amp;$K1790)+1)</f>
        <v/>
      </c>
      <c r="M1790">
        <f>IF($L1790="","",$F1790&amp;"|"&amp;RIGHT("000000"&amp;$L1790,6))</f>
        <v/>
      </c>
      <c r="N1790">
        <f>IF($F1790="","",IF(Sync!$AH1790="","0000",IF(AND(ISNUMBER(Sync!$AH1790),Sync!$AH1790&gt;=0,Sync!$AH1790&lt;1),RIGHT("00"&amp;HOUR(Sync!$AH1790),2)&amp;RIGHT("00"&amp;MINUTE(Sync!$AH1790),2),IFERROR(RIGHT("00"&amp;VALUE(LEFT(Sync!$AH1790,FIND(":",Sync!$AH1790)-1)),2)&amp;RIGHT("00"&amp;VALUE(MID(Sync!$AH1790,FIND(":",Sync!$AH1790)+1,2)),2),"0000"))))</f>
        <v/>
      </c>
    </row>
    <row r="1791">
      <c r="A1791">
        <f>IF(OR(Calc!$E1794="",Calc!$E1794="نامعتبر",Calc!$G1794="",Calc!$I1794&lt;&gt;"خرید"),"",Calc!$G1794)</f>
        <v/>
      </c>
      <c r="B1791">
        <f>IF($A1791="","",LEFT(Calc!$E1794,4)&amp;MID(Calc!$E1794,6,2)&amp;RIGHT(Calc!$E1794,2)&amp;Calc!$R1794&amp;"|"&amp;"1"&amp;RIGHT("00000"&amp;1786,5))</f>
        <v/>
      </c>
      <c r="C1791">
        <f>IF($B1791="","",COUNTIFS(LdgPartyA,$A1791,LdgKeyA,"&lt;"&amp;$B1791)+COUNTIFS(LdgPartyB,$A1791,LdgKeyB,"&lt;"&amp;$B1791)+1)</f>
        <v/>
      </c>
      <c r="D1791">
        <f>IF($C1791="","",$A1791&amp;"|"&amp;RIGHT("000000"&amp;$C1791,6))</f>
        <v/>
      </c>
      <c r="F1791">
        <f>IF(Sync!$AJ1791="","",Sync!$AJ1791)</f>
        <v/>
      </c>
      <c r="G1791">
        <f>IF($F1791="","",IF(Sync!$AG1791="","",IF(ISNUMBER(Sync!$AG1791),IF(AND(Sync!$AG1791&gt;=10000101,Sync!$AG1791&lt;=99991231),INT(Sync!$AG1791/10000),""),IFERROR(VALUE(TRIM(LEFT(Sync!$AG1791,FIND("/",Sync!$AG1791)-1))),""))))</f>
        <v/>
      </c>
      <c r="H1791">
        <f>IF(OR($F1791="",$G1791=""),"",IF(ISNUMBER(Sync!$AG1791),INT(MOD(Sync!$AG1791,10000)/100),IFERROR(VALUE(TRIM(LEFT(MID(Sync!$AG1791,FIND("/",Sync!$AG1791)+1,20),FIND("/",MID(Sync!$AG1791,FIND("/",Sync!$AG1791)+1,20))-1))),"")))</f>
        <v/>
      </c>
      <c r="I1791">
        <f>IF(OR($F1791="",$G1791=""),"",IF(ISNUMBER(Sync!$AG1791),MOD(Sync!$AG1791,100),IFERROR(VALUE(TRIM(MID(MID(Sync!$AG1791,FIND("/",Sync!$AG1791)+1,20),FIND("/",MID(Sync!$AG1791,FIND("/",Sync!$AG1791)+1,20))+1,20))),"")))</f>
        <v/>
      </c>
      <c r="J1791">
        <f>IF($F1791="","",IF(OR($G1791="",$H1791="",$I1791="",$G1791&lt;1300,$G1791&gt;1500,$H1791&lt;1,$H1791&gt;12,$I1791&lt;1,$I1791&gt;31),"نامعتبر",RIGHT("0000"&amp;$G1791,4)&amp;"/"&amp;RIGHT("00"&amp;$H1791,2)&amp;"/"&amp;RIGHT("00"&amp;$I1791,2)))</f>
        <v/>
      </c>
      <c r="K1791">
        <f>IF(OR($F1791="",$J1791="",$J1791="نامعتبر"),"",LEFT($J1791,4)&amp;MID($J1791,6,2)&amp;RIGHT($J1791,2)&amp;$N1791&amp;"|"&amp;"2"&amp;RIGHT("00000"&amp;1786,5))</f>
        <v/>
      </c>
      <c r="L1791">
        <f>IF($K1791="","",COUNTIFS(LdgPartyA,$F1791,LdgKeyA,"&lt;"&amp;$K1791)+COUNTIFS(LdgPartyB,$F1791,LdgKeyB,"&lt;"&amp;$K1791)+1)</f>
        <v/>
      </c>
      <c r="M1791">
        <f>IF($L1791="","",$F1791&amp;"|"&amp;RIGHT("000000"&amp;$L1791,6))</f>
        <v/>
      </c>
      <c r="N1791">
        <f>IF($F1791="","",IF(Sync!$AH1791="","0000",IF(AND(ISNUMBER(Sync!$AH1791),Sync!$AH1791&gt;=0,Sync!$AH1791&lt;1),RIGHT("00"&amp;HOUR(Sync!$AH1791),2)&amp;RIGHT("00"&amp;MINUTE(Sync!$AH1791),2),IFERROR(RIGHT("00"&amp;VALUE(LEFT(Sync!$AH1791,FIND(":",Sync!$AH1791)-1)),2)&amp;RIGHT("00"&amp;VALUE(MID(Sync!$AH1791,FIND(":",Sync!$AH1791)+1,2)),2),"0000"))))</f>
        <v/>
      </c>
    </row>
    <row r="1792">
      <c r="A1792">
        <f>IF(OR(Calc!$E1795="",Calc!$E1795="نامعتبر",Calc!$G1795="",Calc!$I1795&lt;&gt;"خرید"),"",Calc!$G1795)</f>
        <v/>
      </c>
      <c r="B1792">
        <f>IF($A1792="","",LEFT(Calc!$E1795,4)&amp;MID(Calc!$E1795,6,2)&amp;RIGHT(Calc!$E1795,2)&amp;Calc!$R1795&amp;"|"&amp;"1"&amp;RIGHT("00000"&amp;1787,5))</f>
        <v/>
      </c>
      <c r="C1792">
        <f>IF($B1792="","",COUNTIFS(LdgPartyA,$A1792,LdgKeyA,"&lt;"&amp;$B1792)+COUNTIFS(LdgPartyB,$A1792,LdgKeyB,"&lt;"&amp;$B1792)+1)</f>
        <v/>
      </c>
      <c r="D1792">
        <f>IF($C1792="","",$A1792&amp;"|"&amp;RIGHT("000000"&amp;$C1792,6))</f>
        <v/>
      </c>
      <c r="F1792">
        <f>IF(Sync!$AJ1792="","",Sync!$AJ1792)</f>
        <v/>
      </c>
      <c r="G1792">
        <f>IF($F1792="","",IF(Sync!$AG1792="","",IF(ISNUMBER(Sync!$AG1792),IF(AND(Sync!$AG1792&gt;=10000101,Sync!$AG1792&lt;=99991231),INT(Sync!$AG1792/10000),""),IFERROR(VALUE(TRIM(LEFT(Sync!$AG1792,FIND("/",Sync!$AG1792)-1))),""))))</f>
        <v/>
      </c>
      <c r="H1792">
        <f>IF(OR($F1792="",$G1792=""),"",IF(ISNUMBER(Sync!$AG1792),INT(MOD(Sync!$AG1792,10000)/100),IFERROR(VALUE(TRIM(LEFT(MID(Sync!$AG1792,FIND("/",Sync!$AG1792)+1,20),FIND("/",MID(Sync!$AG1792,FIND("/",Sync!$AG1792)+1,20))-1))),"")))</f>
        <v/>
      </c>
      <c r="I1792">
        <f>IF(OR($F1792="",$G1792=""),"",IF(ISNUMBER(Sync!$AG1792),MOD(Sync!$AG1792,100),IFERROR(VALUE(TRIM(MID(MID(Sync!$AG1792,FIND("/",Sync!$AG1792)+1,20),FIND("/",MID(Sync!$AG1792,FIND("/",Sync!$AG1792)+1,20))+1,20))),"")))</f>
        <v/>
      </c>
      <c r="J1792">
        <f>IF($F1792="","",IF(OR($G1792="",$H1792="",$I1792="",$G1792&lt;1300,$G1792&gt;1500,$H1792&lt;1,$H1792&gt;12,$I1792&lt;1,$I1792&gt;31),"نامعتبر",RIGHT("0000"&amp;$G1792,4)&amp;"/"&amp;RIGHT("00"&amp;$H1792,2)&amp;"/"&amp;RIGHT("00"&amp;$I1792,2)))</f>
        <v/>
      </c>
      <c r="K1792">
        <f>IF(OR($F1792="",$J1792="",$J1792="نامعتبر"),"",LEFT($J1792,4)&amp;MID($J1792,6,2)&amp;RIGHT($J1792,2)&amp;$N1792&amp;"|"&amp;"2"&amp;RIGHT("00000"&amp;1787,5))</f>
        <v/>
      </c>
      <c r="L1792">
        <f>IF($K1792="","",COUNTIFS(LdgPartyA,$F1792,LdgKeyA,"&lt;"&amp;$K1792)+COUNTIFS(LdgPartyB,$F1792,LdgKeyB,"&lt;"&amp;$K1792)+1)</f>
        <v/>
      </c>
      <c r="M1792">
        <f>IF($L1792="","",$F1792&amp;"|"&amp;RIGHT("000000"&amp;$L1792,6))</f>
        <v/>
      </c>
      <c r="N1792">
        <f>IF($F1792="","",IF(Sync!$AH1792="","0000",IF(AND(ISNUMBER(Sync!$AH1792),Sync!$AH1792&gt;=0,Sync!$AH1792&lt;1),RIGHT("00"&amp;HOUR(Sync!$AH1792),2)&amp;RIGHT("00"&amp;MINUTE(Sync!$AH1792),2),IFERROR(RIGHT("00"&amp;VALUE(LEFT(Sync!$AH1792,FIND(":",Sync!$AH1792)-1)),2)&amp;RIGHT("00"&amp;VALUE(MID(Sync!$AH1792,FIND(":",Sync!$AH1792)+1,2)),2),"0000"))))</f>
        <v/>
      </c>
    </row>
    <row r="1793">
      <c r="A1793">
        <f>IF(OR(Calc!$E1796="",Calc!$E1796="نامعتبر",Calc!$G1796="",Calc!$I1796&lt;&gt;"خرید"),"",Calc!$G1796)</f>
        <v/>
      </c>
      <c r="B1793">
        <f>IF($A1793="","",LEFT(Calc!$E1796,4)&amp;MID(Calc!$E1796,6,2)&amp;RIGHT(Calc!$E1796,2)&amp;Calc!$R1796&amp;"|"&amp;"1"&amp;RIGHT("00000"&amp;1788,5))</f>
        <v/>
      </c>
      <c r="C1793">
        <f>IF($B1793="","",COUNTIFS(LdgPartyA,$A1793,LdgKeyA,"&lt;"&amp;$B1793)+COUNTIFS(LdgPartyB,$A1793,LdgKeyB,"&lt;"&amp;$B1793)+1)</f>
        <v/>
      </c>
      <c r="D1793">
        <f>IF($C1793="","",$A1793&amp;"|"&amp;RIGHT("000000"&amp;$C1793,6))</f>
        <v/>
      </c>
      <c r="F1793">
        <f>IF(Sync!$AJ1793="","",Sync!$AJ1793)</f>
        <v/>
      </c>
      <c r="G1793">
        <f>IF($F1793="","",IF(Sync!$AG1793="","",IF(ISNUMBER(Sync!$AG1793),IF(AND(Sync!$AG1793&gt;=10000101,Sync!$AG1793&lt;=99991231),INT(Sync!$AG1793/10000),""),IFERROR(VALUE(TRIM(LEFT(Sync!$AG1793,FIND("/",Sync!$AG1793)-1))),""))))</f>
        <v/>
      </c>
      <c r="H1793">
        <f>IF(OR($F1793="",$G1793=""),"",IF(ISNUMBER(Sync!$AG1793),INT(MOD(Sync!$AG1793,10000)/100),IFERROR(VALUE(TRIM(LEFT(MID(Sync!$AG1793,FIND("/",Sync!$AG1793)+1,20),FIND("/",MID(Sync!$AG1793,FIND("/",Sync!$AG1793)+1,20))-1))),"")))</f>
        <v/>
      </c>
      <c r="I1793">
        <f>IF(OR($F1793="",$G1793=""),"",IF(ISNUMBER(Sync!$AG1793),MOD(Sync!$AG1793,100),IFERROR(VALUE(TRIM(MID(MID(Sync!$AG1793,FIND("/",Sync!$AG1793)+1,20),FIND("/",MID(Sync!$AG1793,FIND("/",Sync!$AG1793)+1,20))+1,20))),"")))</f>
        <v/>
      </c>
      <c r="J1793">
        <f>IF($F1793="","",IF(OR($G1793="",$H1793="",$I1793="",$G1793&lt;1300,$G1793&gt;1500,$H1793&lt;1,$H1793&gt;12,$I1793&lt;1,$I1793&gt;31),"نامعتبر",RIGHT("0000"&amp;$G1793,4)&amp;"/"&amp;RIGHT("00"&amp;$H1793,2)&amp;"/"&amp;RIGHT("00"&amp;$I1793,2)))</f>
        <v/>
      </c>
      <c r="K1793">
        <f>IF(OR($F1793="",$J1793="",$J1793="نامعتبر"),"",LEFT($J1793,4)&amp;MID($J1793,6,2)&amp;RIGHT($J1793,2)&amp;$N1793&amp;"|"&amp;"2"&amp;RIGHT("00000"&amp;1788,5))</f>
        <v/>
      </c>
      <c r="L1793">
        <f>IF($K1793="","",COUNTIFS(LdgPartyA,$F1793,LdgKeyA,"&lt;"&amp;$K1793)+COUNTIFS(LdgPartyB,$F1793,LdgKeyB,"&lt;"&amp;$K1793)+1)</f>
        <v/>
      </c>
      <c r="M1793">
        <f>IF($L1793="","",$F1793&amp;"|"&amp;RIGHT("000000"&amp;$L1793,6))</f>
        <v/>
      </c>
      <c r="N1793">
        <f>IF($F1793="","",IF(Sync!$AH1793="","0000",IF(AND(ISNUMBER(Sync!$AH1793),Sync!$AH1793&gt;=0,Sync!$AH1793&lt;1),RIGHT("00"&amp;HOUR(Sync!$AH1793),2)&amp;RIGHT("00"&amp;MINUTE(Sync!$AH1793),2),IFERROR(RIGHT("00"&amp;VALUE(LEFT(Sync!$AH1793,FIND(":",Sync!$AH1793)-1)),2)&amp;RIGHT("00"&amp;VALUE(MID(Sync!$AH1793,FIND(":",Sync!$AH1793)+1,2)),2),"0000"))))</f>
        <v/>
      </c>
    </row>
    <row r="1794">
      <c r="A1794">
        <f>IF(OR(Calc!$E1797="",Calc!$E1797="نامعتبر",Calc!$G1797="",Calc!$I1797&lt;&gt;"خرید"),"",Calc!$G1797)</f>
        <v/>
      </c>
      <c r="B1794">
        <f>IF($A1794="","",LEFT(Calc!$E1797,4)&amp;MID(Calc!$E1797,6,2)&amp;RIGHT(Calc!$E1797,2)&amp;Calc!$R1797&amp;"|"&amp;"1"&amp;RIGHT("00000"&amp;1789,5))</f>
        <v/>
      </c>
      <c r="C1794">
        <f>IF($B1794="","",COUNTIFS(LdgPartyA,$A1794,LdgKeyA,"&lt;"&amp;$B1794)+COUNTIFS(LdgPartyB,$A1794,LdgKeyB,"&lt;"&amp;$B1794)+1)</f>
        <v/>
      </c>
      <c r="D1794">
        <f>IF($C1794="","",$A1794&amp;"|"&amp;RIGHT("000000"&amp;$C1794,6))</f>
        <v/>
      </c>
      <c r="F1794">
        <f>IF(Sync!$AJ1794="","",Sync!$AJ1794)</f>
        <v/>
      </c>
      <c r="G1794">
        <f>IF($F1794="","",IF(Sync!$AG1794="","",IF(ISNUMBER(Sync!$AG1794),IF(AND(Sync!$AG1794&gt;=10000101,Sync!$AG1794&lt;=99991231),INT(Sync!$AG1794/10000),""),IFERROR(VALUE(TRIM(LEFT(Sync!$AG1794,FIND("/",Sync!$AG1794)-1))),""))))</f>
        <v/>
      </c>
      <c r="H1794">
        <f>IF(OR($F1794="",$G1794=""),"",IF(ISNUMBER(Sync!$AG1794),INT(MOD(Sync!$AG1794,10000)/100),IFERROR(VALUE(TRIM(LEFT(MID(Sync!$AG1794,FIND("/",Sync!$AG1794)+1,20),FIND("/",MID(Sync!$AG1794,FIND("/",Sync!$AG1794)+1,20))-1))),"")))</f>
        <v/>
      </c>
      <c r="I1794">
        <f>IF(OR($F1794="",$G1794=""),"",IF(ISNUMBER(Sync!$AG1794),MOD(Sync!$AG1794,100),IFERROR(VALUE(TRIM(MID(MID(Sync!$AG1794,FIND("/",Sync!$AG1794)+1,20),FIND("/",MID(Sync!$AG1794,FIND("/",Sync!$AG1794)+1,20))+1,20))),"")))</f>
        <v/>
      </c>
      <c r="J1794">
        <f>IF($F1794="","",IF(OR($G1794="",$H1794="",$I1794="",$G1794&lt;1300,$G1794&gt;1500,$H1794&lt;1,$H1794&gt;12,$I1794&lt;1,$I1794&gt;31),"نامعتبر",RIGHT("0000"&amp;$G1794,4)&amp;"/"&amp;RIGHT("00"&amp;$H1794,2)&amp;"/"&amp;RIGHT("00"&amp;$I1794,2)))</f>
        <v/>
      </c>
      <c r="K1794">
        <f>IF(OR($F1794="",$J1794="",$J1794="نامعتبر"),"",LEFT($J1794,4)&amp;MID($J1794,6,2)&amp;RIGHT($J1794,2)&amp;$N1794&amp;"|"&amp;"2"&amp;RIGHT("00000"&amp;1789,5))</f>
        <v/>
      </c>
      <c r="L1794">
        <f>IF($K1794="","",COUNTIFS(LdgPartyA,$F1794,LdgKeyA,"&lt;"&amp;$K1794)+COUNTIFS(LdgPartyB,$F1794,LdgKeyB,"&lt;"&amp;$K1794)+1)</f>
        <v/>
      </c>
      <c r="M1794">
        <f>IF($L1794="","",$F1794&amp;"|"&amp;RIGHT("000000"&amp;$L1794,6))</f>
        <v/>
      </c>
      <c r="N1794">
        <f>IF($F1794="","",IF(Sync!$AH1794="","0000",IF(AND(ISNUMBER(Sync!$AH1794),Sync!$AH1794&gt;=0,Sync!$AH1794&lt;1),RIGHT("00"&amp;HOUR(Sync!$AH1794),2)&amp;RIGHT("00"&amp;MINUTE(Sync!$AH1794),2),IFERROR(RIGHT("00"&amp;VALUE(LEFT(Sync!$AH1794,FIND(":",Sync!$AH1794)-1)),2)&amp;RIGHT("00"&amp;VALUE(MID(Sync!$AH1794,FIND(":",Sync!$AH1794)+1,2)),2),"0000"))))</f>
        <v/>
      </c>
    </row>
    <row r="1795">
      <c r="A1795">
        <f>IF(OR(Calc!$E1798="",Calc!$E1798="نامعتبر",Calc!$G1798="",Calc!$I1798&lt;&gt;"خرید"),"",Calc!$G1798)</f>
        <v/>
      </c>
      <c r="B1795">
        <f>IF($A1795="","",LEFT(Calc!$E1798,4)&amp;MID(Calc!$E1798,6,2)&amp;RIGHT(Calc!$E1798,2)&amp;Calc!$R1798&amp;"|"&amp;"1"&amp;RIGHT("00000"&amp;1790,5))</f>
        <v/>
      </c>
      <c r="C1795">
        <f>IF($B1795="","",COUNTIFS(LdgPartyA,$A1795,LdgKeyA,"&lt;"&amp;$B1795)+COUNTIFS(LdgPartyB,$A1795,LdgKeyB,"&lt;"&amp;$B1795)+1)</f>
        <v/>
      </c>
      <c r="D1795">
        <f>IF($C1795="","",$A1795&amp;"|"&amp;RIGHT("000000"&amp;$C1795,6))</f>
        <v/>
      </c>
      <c r="F1795">
        <f>IF(Sync!$AJ1795="","",Sync!$AJ1795)</f>
        <v/>
      </c>
      <c r="G1795">
        <f>IF($F1795="","",IF(Sync!$AG1795="","",IF(ISNUMBER(Sync!$AG1795),IF(AND(Sync!$AG1795&gt;=10000101,Sync!$AG1795&lt;=99991231),INT(Sync!$AG1795/10000),""),IFERROR(VALUE(TRIM(LEFT(Sync!$AG1795,FIND("/",Sync!$AG1795)-1))),""))))</f>
        <v/>
      </c>
      <c r="H1795">
        <f>IF(OR($F1795="",$G1795=""),"",IF(ISNUMBER(Sync!$AG1795),INT(MOD(Sync!$AG1795,10000)/100),IFERROR(VALUE(TRIM(LEFT(MID(Sync!$AG1795,FIND("/",Sync!$AG1795)+1,20),FIND("/",MID(Sync!$AG1795,FIND("/",Sync!$AG1795)+1,20))-1))),"")))</f>
        <v/>
      </c>
      <c r="I1795">
        <f>IF(OR($F1795="",$G1795=""),"",IF(ISNUMBER(Sync!$AG1795),MOD(Sync!$AG1795,100),IFERROR(VALUE(TRIM(MID(MID(Sync!$AG1795,FIND("/",Sync!$AG1795)+1,20),FIND("/",MID(Sync!$AG1795,FIND("/",Sync!$AG1795)+1,20))+1,20))),"")))</f>
        <v/>
      </c>
      <c r="J1795">
        <f>IF($F1795="","",IF(OR($G1795="",$H1795="",$I1795="",$G1795&lt;1300,$G1795&gt;1500,$H1795&lt;1,$H1795&gt;12,$I1795&lt;1,$I1795&gt;31),"نامعتبر",RIGHT("0000"&amp;$G1795,4)&amp;"/"&amp;RIGHT("00"&amp;$H1795,2)&amp;"/"&amp;RIGHT("00"&amp;$I1795,2)))</f>
        <v/>
      </c>
      <c r="K1795">
        <f>IF(OR($F1795="",$J1795="",$J1795="نامعتبر"),"",LEFT($J1795,4)&amp;MID($J1795,6,2)&amp;RIGHT($J1795,2)&amp;$N1795&amp;"|"&amp;"2"&amp;RIGHT("00000"&amp;1790,5))</f>
        <v/>
      </c>
      <c r="L1795">
        <f>IF($K1795="","",COUNTIFS(LdgPartyA,$F1795,LdgKeyA,"&lt;"&amp;$K1795)+COUNTIFS(LdgPartyB,$F1795,LdgKeyB,"&lt;"&amp;$K1795)+1)</f>
        <v/>
      </c>
      <c r="M1795">
        <f>IF($L1795="","",$F1795&amp;"|"&amp;RIGHT("000000"&amp;$L1795,6))</f>
        <v/>
      </c>
      <c r="N1795">
        <f>IF($F1795="","",IF(Sync!$AH1795="","0000",IF(AND(ISNUMBER(Sync!$AH1795),Sync!$AH1795&gt;=0,Sync!$AH1795&lt;1),RIGHT("00"&amp;HOUR(Sync!$AH1795),2)&amp;RIGHT("00"&amp;MINUTE(Sync!$AH1795),2),IFERROR(RIGHT("00"&amp;VALUE(LEFT(Sync!$AH1795,FIND(":",Sync!$AH1795)-1)),2)&amp;RIGHT("00"&amp;VALUE(MID(Sync!$AH1795,FIND(":",Sync!$AH1795)+1,2)),2),"0000"))))</f>
        <v/>
      </c>
    </row>
    <row r="1796">
      <c r="A1796">
        <f>IF(OR(Calc!$E1799="",Calc!$E1799="نامعتبر",Calc!$G1799="",Calc!$I1799&lt;&gt;"خرید"),"",Calc!$G1799)</f>
        <v/>
      </c>
      <c r="B1796">
        <f>IF($A1796="","",LEFT(Calc!$E1799,4)&amp;MID(Calc!$E1799,6,2)&amp;RIGHT(Calc!$E1799,2)&amp;Calc!$R1799&amp;"|"&amp;"1"&amp;RIGHT("00000"&amp;1791,5))</f>
        <v/>
      </c>
      <c r="C1796">
        <f>IF($B1796="","",COUNTIFS(LdgPartyA,$A1796,LdgKeyA,"&lt;"&amp;$B1796)+COUNTIFS(LdgPartyB,$A1796,LdgKeyB,"&lt;"&amp;$B1796)+1)</f>
        <v/>
      </c>
      <c r="D1796">
        <f>IF($C1796="","",$A1796&amp;"|"&amp;RIGHT("000000"&amp;$C1796,6))</f>
        <v/>
      </c>
      <c r="F1796">
        <f>IF(Sync!$AJ1796="","",Sync!$AJ1796)</f>
        <v/>
      </c>
      <c r="G1796">
        <f>IF($F1796="","",IF(Sync!$AG1796="","",IF(ISNUMBER(Sync!$AG1796),IF(AND(Sync!$AG1796&gt;=10000101,Sync!$AG1796&lt;=99991231),INT(Sync!$AG1796/10000),""),IFERROR(VALUE(TRIM(LEFT(Sync!$AG1796,FIND("/",Sync!$AG1796)-1))),""))))</f>
        <v/>
      </c>
      <c r="H1796">
        <f>IF(OR($F1796="",$G1796=""),"",IF(ISNUMBER(Sync!$AG1796),INT(MOD(Sync!$AG1796,10000)/100),IFERROR(VALUE(TRIM(LEFT(MID(Sync!$AG1796,FIND("/",Sync!$AG1796)+1,20),FIND("/",MID(Sync!$AG1796,FIND("/",Sync!$AG1796)+1,20))-1))),"")))</f>
        <v/>
      </c>
      <c r="I1796">
        <f>IF(OR($F1796="",$G1796=""),"",IF(ISNUMBER(Sync!$AG1796),MOD(Sync!$AG1796,100),IFERROR(VALUE(TRIM(MID(MID(Sync!$AG1796,FIND("/",Sync!$AG1796)+1,20),FIND("/",MID(Sync!$AG1796,FIND("/",Sync!$AG1796)+1,20))+1,20))),"")))</f>
        <v/>
      </c>
      <c r="J1796">
        <f>IF($F1796="","",IF(OR($G1796="",$H1796="",$I1796="",$G1796&lt;1300,$G1796&gt;1500,$H1796&lt;1,$H1796&gt;12,$I1796&lt;1,$I1796&gt;31),"نامعتبر",RIGHT("0000"&amp;$G1796,4)&amp;"/"&amp;RIGHT("00"&amp;$H1796,2)&amp;"/"&amp;RIGHT("00"&amp;$I1796,2)))</f>
        <v/>
      </c>
      <c r="K1796">
        <f>IF(OR($F1796="",$J1796="",$J1796="نامعتبر"),"",LEFT($J1796,4)&amp;MID($J1796,6,2)&amp;RIGHT($J1796,2)&amp;$N1796&amp;"|"&amp;"2"&amp;RIGHT("00000"&amp;1791,5))</f>
        <v/>
      </c>
      <c r="L1796">
        <f>IF($K1796="","",COUNTIFS(LdgPartyA,$F1796,LdgKeyA,"&lt;"&amp;$K1796)+COUNTIFS(LdgPartyB,$F1796,LdgKeyB,"&lt;"&amp;$K1796)+1)</f>
        <v/>
      </c>
      <c r="M1796">
        <f>IF($L1796="","",$F1796&amp;"|"&amp;RIGHT("000000"&amp;$L1796,6))</f>
        <v/>
      </c>
      <c r="N1796">
        <f>IF($F1796="","",IF(Sync!$AH1796="","0000",IF(AND(ISNUMBER(Sync!$AH1796),Sync!$AH1796&gt;=0,Sync!$AH1796&lt;1),RIGHT("00"&amp;HOUR(Sync!$AH1796),2)&amp;RIGHT("00"&amp;MINUTE(Sync!$AH1796),2),IFERROR(RIGHT("00"&amp;VALUE(LEFT(Sync!$AH1796,FIND(":",Sync!$AH1796)-1)),2)&amp;RIGHT("00"&amp;VALUE(MID(Sync!$AH1796,FIND(":",Sync!$AH1796)+1,2)),2),"0000"))))</f>
        <v/>
      </c>
    </row>
    <row r="1797">
      <c r="A1797">
        <f>IF(OR(Calc!$E1800="",Calc!$E1800="نامعتبر",Calc!$G1800="",Calc!$I1800&lt;&gt;"خرید"),"",Calc!$G1800)</f>
        <v/>
      </c>
      <c r="B1797">
        <f>IF($A1797="","",LEFT(Calc!$E1800,4)&amp;MID(Calc!$E1800,6,2)&amp;RIGHT(Calc!$E1800,2)&amp;Calc!$R1800&amp;"|"&amp;"1"&amp;RIGHT("00000"&amp;1792,5))</f>
        <v/>
      </c>
      <c r="C1797">
        <f>IF($B1797="","",COUNTIFS(LdgPartyA,$A1797,LdgKeyA,"&lt;"&amp;$B1797)+COUNTIFS(LdgPartyB,$A1797,LdgKeyB,"&lt;"&amp;$B1797)+1)</f>
        <v/>
      </c>
      <c r="D1797">
        <f>IF($C1797="","",$A1797&amp;"|"&amp;RIGHT("000000"&amp;$C1797,6))</f>
        <v/>
      </c>
      <c r="F1797">
        <f>IF(Sync!$AJ1797="","",Sync!$AJ1797)</f>
        <v/>
      </c>
      <c r="G1797">
        <f>IF($F1797="","",IF(Sync!$AG1797="","",IF(ISNUMBER(Sync!$AG1797),IF(AND(Sync!$AG1797&gt;=10000101,Sync!$AG1797&lt;=99991231),INT(Sync!$AG1797/10000),""),IFERROR(VALUE(TRIM(LEFT(Sync!$AG1797,FIND("/",Sync!$AG1797)-1))),""))))</f>
        <v/>
      </c>
      <c r="H1797">
        <f>IF(OR($F1797="",$G1797=""),"",IF(ISNUMBER(Sync!$AG1797),INT(MOD(Sync!$AG1797,10000)/100),IFERROR(VALUE(TRIM(LEFT(MID(Sync!$AG1797,FIND("/",Sync!$AG1797)+1,20),FIND("/",MID(Sync!$AG1797,FIND("/",Sync!$AG1797)+1,20))-1))),"")))</f>
        <v/>
      </c>
      <c r="I1797">
        <f>IF(OR($F1797="",$G1797=""),"",IF(ISNUMBER(Sync!$AG1797),MOD(Sync!$AG1797,100),IFERROR(VALUE(TRIM(MID(MID(Sync!$AG1797,FIND("/",Sync!$AG1797)+1,20),FIND("/",MID(Sync!$AG1797,FIND("/",Sync!$AG1797)+1,20))+1,20))),"")))</f>
        <v/>
      </c>
      <c r="J1797">
        <f>IF($F1797="","",IF(OR($G1797="",$H1797="",$I1797="",$G1797&lt;1300,$G1797&gt;1500,$H1797&lt;1,$H1797&gt;12,$I1797&lt;1,$I1797&gt;31),"نامعتبر",RIGHT("0000"&amp;$G1797,4)&amp;"/"&amp;RIGHT("00"&amp;$H1797,2)&amp;"/"&amp;RIGHT("00"&amp;$I1797,2)))</f>
        <v/>
      </c>
      <c r="K1797">
        <f>IF(OR($F1797="",$J1797="",$J1797="نامعتبر"),"",LEFT($J1797,4)&amp;MID($J1797,6,2)&amp;RIGHT($J1797,2)&amp;$N1797&amp;"|"&amp;"2"&amp;RIGHT("00000"&amp;1792,5))</f>
        <v/>
      </c>
      <c r="L1797">
        <f>IF($K1797="","",COUNTIFS(LdgPartyA,$F1797,LdgKeyA,"&lt;"&amp;$K1797)+COUNTIFS(LdgPartyB,$F1797,LdgKeyB,"&lt;"&amp;$K1797)+1)</f>
        <v/>
      </c>
      <c r="M1797">
        <f>IF($L1797="","",$F1797&amp;"|"&amp;RIGHT("000000"&amp;$L1797,6))</f>
        <v/>
      </c>
      <c r="N1797">
        <f>IF($F1797="","",IF(Sync!$AH1797="","0000",IF(AND(ISNUMBER(Sync!$AH1797),Sync!$AH1797&gt;=0,Sync!$AH1797&lt;1),RIGHT("00"&amp;HOUR(Sync!$AH1797),2)&amp;RIGHT("00"&amp;MINUTE(Sync!$AH1797),2),IFERROR(RIGHT("00"&amp;VALUE(LEFT(Sync!$AH1797,FIND(":",Sync!$AH1797)-1)),2)&amp;RIGHT("00"&amp;VALUE(MID(Sync!$AH1797,FIND(":",Sync!$AH1797)+1,2)),2),"0000"))))</f>
        <v/>
      </c>
    </row>
    <row r="1798">
      <c r="A1798">
        <f>IF(OR(Calc!$E1801="",Calc!$E1801="نامعتبر",Calc!$G1801="",Calc!$I1801&lt;&gt;"خرید"),"",Calc!$G1801)</f>
        <v/>
      </c>
      <c r="B1798">
        <f>IF($A1798="","",LEFT(Calc!$E1801,4)&amp;MID(Calc!$E1801,6,2)&amp;RIGHT(Calc!$E1801,2)&amp;Calc!$R1801&amp;"|"&amp;"1"&amp;RIGHT("00000"&amp;1793,5))</f>
        <v/>
      </c>
      <c r="C1798">
        <f>IF($B1798="","",COUNTIFS(LdgPartyA,$A1798,LdgKeyA,"&lt;"&amp;$B1798)+COUNTIFS(LdgPartyB,$A1798,LdgKeyB,"&lt;"&amp;$B1798)+1)</f>
        <v/>
      </c>
      <c r="D1798">
        <f>IF($C1798="","",$A1798&amp;"|"&amp;RIGHT("000000"&amp;$C1798,6))</f>
        <v/>
      </c>
      <c r="F1798">
        <f>IF(Sync!$AJ1798="","",Sync!$AJ1798)</f>
        <v/>
      </c>
      <c r="G1798">
        <f>IF($F1798="","",IF(Sync!$AG1798="","",IF(ISNUMBER(Sync!$AG1798),IF(AND(Sync!$AG1798&gt;=10000101,Sync!$AG1798&lt;=99991231),INT(Sync!$AG1798/10000),""),IFERROR(VALUE(TRIM(LEFT(Sync!$AG1798,FIND("/",Sync!$AG1798)-1))),""))))</f>
        <v/>
      </c>
      <c r="H1798">
        <f>IF(OR($F1798="",$G1798=""),"",IF(ISNUMBER(Sync!$AG1798),INT(MOD(Sync!$AG1798,10000)/100),IFERROR(VALUE(TRIM(LEFT(MID(Sync!$AG1798,FIND("/",Sync!$AG1798)+1,20),FIND("/",MID(Sync!$AG1798,FIND("/",Sync!$AG1798)+1,20))-1))),"")))</f>
        <v/>
      </c>
      <c r="I1798">
        <f>IF(OR($F1798="",$G1798=""),"",IF(ISNUMBER(Sync!$AG1798),MOD(Sync!$AG1798,100),IFERROR(VALUE(TRIM(MID(MID(Sync!$AG1798,FIND("/",Sync!$AG1798)+1,20),FIND("/",MID(Sync!$AG1798,FIND("/",Sync!$AG1798)+1,20))+1,20))),"")))</f>
        <v/>
      </c>
      <c r="J1798">
        <f>IF($F1798="","",IF(OR($G1798="",$H1798="",$I1798="",$G1798&lt;1300,$G1798&gt;1500,$H1798&lt;1,$H1798&gt;12,$I1798&lt;1,$I1798&gt;31),"نامعتبر",RIGHT("0000"&amp;$G1798,4)&amp;"/"&amp;RIGHT("00"&amp;$H1798,2)&amp;"/"&amp;RIGHT("00"&amp;$I1798,2)))</f>
        <v/>
      </c>
      <c r="K1798">
        <f>IF(OR($F1798="",$J1798="",$J1798="نامعتبر"),"",LEFT($J1798,4)&amp;MID($J1798,6,2)&amp;RIGHT($J1798,2)&amp;$N1798&amp;"|"&amp;"2"&amp;RIGHT("00000"&amp;1793,5))</f>
        <v/>
      </c>
      <c r="L1798">
        <f>IF($K1798="","",COUNTIFS(LdgPartyA,$F1798,LdgKeyA,"&lt;"&amp;$K1798)+COUNTIFS(LdgPartyB,$F1798,LdgKeyB,"&lt;"&amp;$K1798)+1)</f>
        <v/>
      </c>
      <c r="M1798">
        <f>IF($L1798="","",$F1798&amp;"|"&amp;RIGHT("000000"&amp;$L1798,6))</f>
        <v/>
      </c>
      <c r="N1798">
        <f>IF($F1798="","",IF(Sync!$AH1798="","0000",IF(AND(ISNUMBER(Sync!$AH1798),Sync!$AH1798&gt;=0,Sync!$AH1798&lt;1),RIGHT("00"&amp;HOUR(Sync!$AH1798),2)&amp;RIGHT("00"&amp;MINUTE(Sync!$AH1798),2),IFERROR(RIGHT("00"&amp;VALUE(LEFT(Sync!$AH1798,FIND(":",Sync!$AH1798)-1)),2)&amp;RIGHT("00"&amp;VALUE(MID(Sync!$AH1798,FIND(":",Sync!$AH1798)+1,2)),2),"0000"))))</f>
        <v/>
      </c>
    </row>
    <row r="1799">
      <c r="A1799">
        <f>IF(OR(Calc!$E1802="",Calc!$E1802="نامعتبر",Calc!$G1802="",Calc!$I1802&lt;&gt;"خرید"),"",Calc!$G1802)</f>
        <v/>
      </c>
      <c r="B1799">
        <f>IF($A1799="","",LEFT(Calc!$E1802,4)&amp;MID(Calc!$E1802,6,2)&amp;RIGHT(Calc!$E1802,2)&amp;Calc!$R1802&amp;"|"&amp;"1"&amp;RIGHT("00000"&amp;1794,5))</f>
        <v/>
      </c>
      <c r="C1799">
        <f>IF($B1799="","",COUNTIFS(LdgPartyA,$A1799,LdgKeyA,"&lt;"&amp;$B1799)+COUNTIFS(LdgPartyB,$A1799,LdgKeyB,"&lt;"&amp;$B1799)+1)</f>
        <v/>
      </c>
      <c r="D1799">
        <f>IF($C1799="","",$A1799&amp;"|"&amp;RIGHT("000000"&amp;$C1799,6))</f>
        <v/>
      </c>
      <c r="F1799">
        <f>IF(Sync!$AJ1799="","",Sync!$AJ1799)</f>
        <v/>
      </c>
      <c r="G1799">
        <f>IF($F1799="","",IF(Sync!$AG1799="","",IF(ISNUMBER(Sync!$AG1799),IF(AND(Sync!$AG1799&gt;=10000101,Sync!$AG1799&lt;=99991231),INT(Sync!$AG1799/10000),""),IFERROR(VALUE(TRIM(LEFT(Sync!$AG1799,FIND("/",Sync!$AG1799)-1))),""))))</f>
        <v/>
      </c>
      <c r="H1799">
        <f>IF(OR($F1799="",$G1799=""),"",IF(ISNUMBER(Sync!$AG1799),INT(MOD(Sync!$AG1799,10000)/100),IFERROR(VALUE(TRIM(LEFT(MID(Sync!$AG1799,FIND("/",Sync!$AG1799)+1,20),FIND("/",MID(Sync!$AG1799,FIND("/",Sync!$AG1799)+1,20))-1))),"")))</f>
        <v/>
      </c>
      <c r="I1799">
        <f>IF(OR($F1799="",$G1799=""),"",IF(ISNUMBER(Sync!$AG1799),MOD(Sync!$AG1799,100),IFERROR(VALUE(TRIM(MID(MID(Sync!$AG1799,FIND("/",Sync!$AG1799)+1,20),FIND("/",MID(Sync!$AG1799,FIND("/",Sync!$AG1799)+1,20))+1,20))),"")))</f>
        <v/>
      </c>
      <c r="J1799">
        <f>IF($F1799="","",IF(OR($G1799="",$H1799="",$I1799="",$G1799&lt;1300,$G1799&gt;1500,$H1799&lt;1,$H1799&gt;12,$I1799&lt;1,$I1799&gt;31),"نامعتبر",RIGHT("0000"&amp;$G1799,4)&amp;"/"&amp;RIGHT("00"&amp;$H1799,2)&amp;"/"&amp;RIGHT("00"&amp;$I1799,2)))</f>
        <v/>
      </c>
      <c r="K1799">
        <f>IF(OR($F1799="",$J1799="",$J1799="نامعتبر"),"",LEFT($J1799,4)&amp;MID($J1799,6,2)&amp;RIGHT($J1799,2)&amp;$N1799&amp;"|"&amp;"2"&amp;RIGHT("00000"&amp;1794,5))</f>
        <v/>
      </c>
      <c r="L1799">
        <f>IF($K1799="","",COUNTIFS(LdgPartyA,$F1799,LdgKeyA,"&lt;"&amp;$K1799)+COUNTIFS(LdgPartyB,$F1799,LdgKeyB,"&lt;"&amp;$K1799)+1)</f>
        <v/>
      </c>
      <c r="M1799">
        <f>IF($L1799="","",$F1799&amp;"|"&amp;RIGHT("000000"&amp;$L1799,6))</f>
        <v/>
      </c>
      <c r="N1799">
        <f>IF($F1799="","",IF(Sync!$AH1799="","0000",IF(AND(ISNUMBER(Sync!$AH1799),Sync!$AH1799&gt;=0,Sync!$AH1799&lt;1),RIGHT("00"&amp;HOUR(Sync!$AH1799),2)&amp;RIGHT("00"&amp;MINUTE(Sync!$AH1799),2),IFERROR(RIGHT("00"&amp;VALUE(LEFT(Sync!$AH1799,FIND(":",Sync!$AH1799)-1)),2)&amp;RIGHT("00"&amp;VALUE(MID(Sync!$AH1799,FIND(":",Sync!$AH1799)+1,2)),2),"0000"))))</f>
        <v/>
      </c>
    </row>
    <row r="1800">
      <c r="A1800">
        <f>IF(OR(Calc!$E1803="",Calc!$E1803="نامعتبر",Calc!$G1803="",Calc!$I1803&lt;&gt;"خرید"),"",Calc!$G1803)</f>
        <v/>
      </c>
      <c r="B1800">
        <f>IF($A1800="","",LEFT(Calc!$E1803,4)&amp;MID(Calc!$E1803,6,2)&amp;RIGHT(Calc!$E1803,2)&amp;Calc!$R1803&amp;"|"&amp;"1"&amp;RIGHT("00000"&amp;1795,5))</f>
        <v/>
      </c>
      <c r="C1800">
        <f>IF($B1800="","",COUNTIFS(LdgPartyA,$A1800,LdgKeyA,"&lt;"&amp;$B1800)+COUNTIFS(LdgPartyB,$A1800,LdgKeyB,"&lt;"&amp;$B1800)+1)</f>
        <v/>
      </c>
      <c r="D1800">
        <f>IF($C1800="","",$A1800&amp;"|"&amp;RIGHT("000000"&amp;$C1800,6))</f>
        <v/>
      </c>
      <c r="F1800">
        <f>IF(Sync!$AJ1800="","",Sync!$AJ1800)</f>
        <v/>
      </c>
      <c r="G1800">
        <f>IF($F1800="","",IF(Sync!$AG1800="","",IF(ISNUMBER(Sync!$AG1800),IF(AND(Sync!$AG1800&gt;=10000101,Sync!$AG1800&lt;=99991231),INT(Sync!$AG1800/10000),""),IFERROR(VALUE(TRIM(LEFT(Sync!$AG1800,FIND("/",Sync!$AG1800)-1))),""))))</f>
        <v/>
      </c>
      <c r="H1800">
        <f>IF(OR($F1800="",$G1800=""),"",IF(ISNUMBER(Sync!$AG1800),INT(MOD(Sync!$AG1800,10000)/100),IFERROR(VALUE(TRIM(LEFT(MID(Sync!$AG1800,FIND("/",Sync!$AG1800)+1,20),FIND("/",MID(Sync!$AG1800,FIND("/",Sync!$AG1800)+1,20))-1))),"")))</f>
        <v/>
      </c>
      <c r="I1800">
        <f>IF(OR($F1800="",$G1800=""),"",IF(ISNUMBER(Sync!$AG1800),MOD(Sync!$AG1800,100),IFERROR(VALUE(TRIM(MID(MID(Sync!$AG1800,FIND("/",Sync!$AG1800)+1,20),FIND("/",MID(Sync!$AG1800,FIND("/",Sync!$AG1800)+1,20))+1,20))),"")))</f>
        <v/>
      </c>
      <c r="J1800">
        <f>IF($F1800="","",IF(OR($G1800="",$H1800="",$I1800="",$G1800&lt;1300,$G1800&gt;1500,$H1800&lt;1,$H1800&gt;12,$I1800&lt;1,$I1800&gt;31),"نامعتبر",RIGHT("0000"&amp;$G1800,4)&amp;"/"&amp;RIGHT("00"&amp;$H1800,2)&amp;"/"&amp;RIGHT("00"&amp;$I1800,2)))</f>
        <v/>
      </c>
      <c r="K1800">
        <f>IF(OR($F1800="",$J1800="",$J1800="نامعتبر"),"",LEFT($J1800,4)&amp;MID($J1800,6,2)&amp;RIGHT($J1800,2)&amp;$N1800&amp;"|"&amp;"2"&amp;RIGHT("00000"&amp;1795,5))</f>
        <v/>
      </c>
      <c r="L1800">
        <f>IF($K1800="","",COUNTIFS(LdgPartyA,$F1800,LdgKeyA,"&lt;"&amp;$K1800)+COUNTIFS(LdgPartyB,$F1800,LdgKeyB,"&lt;"&amp;$K1800)+1)</f>
        <v/>
      </c>
      <c r="M1800">
        <f>IF($L1800="","",$F1800&amp;"|"&amp;RIGHT("000000"&amp;$L1800,6))</f>
        <v/>
      </c>
      <c r="N1800">
        <f>IF($F1800="","",IF(Sync!$AH1800="","0000",IF(AND(ISNUMBER(Sync!$AH1800),Sync!$AH1800&gt;=0,Sync!$AH1800&lt;1),RIGHT("00"&amp;HOUR(Sync!$AH1800),2)&amp;RIGHT("00"&amp;MINUTE(Sync!$AH1800),2),IFERROR(RIGHT("00"&amp;VALUE(LEFT(Sync!$AH1800,FIND(":",Sync!$AH1800)-1)),2)&amp;RIGHT("00"&amp;VALUE(MID(Sync!$AH1800,FIND(":",Sync!$AH1800)+1,2)),2),"0000"))))</f>
        <v/>
      </c>
    </row>
    <row r="1801">
      <c r="A1801">
        <f>IF(OR(Calc!$E1804="",Calc!$E1804="نامعتبر",Calc!$G1804="",Calc!$I1804&lt;&gt;"خرید"),"",Calc!$G1804)</f>
        <v/>
      </c>
      <c r="B1801">
        <f>IF($A1801="","",LEFT(Calc!$E1804,4)&amp;MID(Calc!$E1804,6,2)&amp;RIGHT(Calc!$E1804,2)&amp;Calc!$R1804&amp;"|"&amp;"1"&amp;RIGHT("00000"&amp;1796,5))</f>
        <v/>
      </c>
      <c r="C1801">
        <f>IF($B1801="","",COUNTIFS(LdgPartyA,$A1801,LdgKeyA,"&lt;"&amp;$B1801)+COUNTIFS(LdgPartyB,$A1801,LdgKeyB,"&lt;"&amp;$B1801)+1)</f>
        <v/>
      </c>
      <c r="D1801">
        <f>IF($C1801="","",$A1801&amp;"|"&amp;RIGHT("000000"&amp;$C1801,6))</f>
        <v/>
      </c>
      <c r="F1801">
        <f>IF(Sync!$AJ1801="","",Sync!$AJ1801)</f>
        <v/>
      </c>
      <c r="G1801">
        <f>IF($F1801="","",IF(Sync!$AG1801="","",IF(ISNUMBER(Sync!$AG1801),IF(AND(Sync!$AG1801&gt;=10000101,Sync!$AG1801&lt;=99991231),INT(Sync!$AG1801/10000),""),IFERROR(VALUE(TRIM(LEFT(Sync!$AG1801,FIND("/",Sync!$AG1801)-1))),""))))</f>
        <v/>
      </c>
      <c r="H1801">
        <f>IF(OR($F1801="",$G1801=""),"",IF(ISNUMBER(Sync!$AG1801),INT(MOD(Sync!$AG1801,10000)/100),IFERROR(VALUE(TRIM(LEFT(MID(Sync!$AG1801,FIND("/",Sync!$AG1801)+1,20),FIND("/",MID(Sync!$AG1801,FIND("/",Sync!$AG1801)+1,20))-1))),"")))</f>
        <v/>
      </c>
      <c r="I1801">
        <f>IF(OR($F1801="",$G1801=""),"",IF(ISNUMBER(Sync!$AG1801),MOD(Sync!$AG1801,100),IFERROR(VALUE(TRIM(MID(MID(Sync!$AG1801,FIND("/",Sync!$AG1801)+1,20),FIND("/",MID(Sync!$AG1801,FIND("/",Sync!$AG1801)+1,20))+1,20))),"")))</f>
        <v/>
      </c>
      <c r="J1801">
        <f>IF($F1801="","",IF(OR($G1801="",$H1801="",$I1801="",$G1801&lt;1300,$G1801&gt;1500,$H1801&lt;1,$H1801&gt;12,$I1801&lt;1,$I1801&gt;31),"نامعتبر",RIGHT("0000"&amp;$G1801,4)&amp;"/"&amp;RIGHT("00"&amp;$H1801,2)&amp;"/"&amp;RIGHT("00"&amp;$I1801,2)))</f>
        <v/>
      </c>
      <c r="K1801">
        <f>IF(OR($F1801="",$J1801="",$J1801="نامعتبر"),"",LEFT($J1801,4)&amp;MID($J1801,6,2)&amp;RIGHT($J1801,2)&amp;$N1801&amp;"|"&amp;"2"&amp;RIGHT("00000"&amp;1796,5))</f>
        <v/>
      </c>
      <c r="L1801">
        <f>IF($K1801="","",COUNTIFS(LdgPartyA,$F1801,LdgKeyA,"&lt;"&amp;$K1801)+COUNTIFS(LdgPartyB,$F1801,LdgKeyB,"&lt;"&amp;$K1801)+1)</f>
        <v/>
      </c>
      <c r="M1801">
        <f>IF($L1801="","",$F1801&amp;"|"&amp;RIGHT("000000"&amp;$L1801,6))</f>
        <v/>
      </c>
      <c r="N1801">
        <f>IF($F1801="","",IF(Sync!$AH1801="","0000",IF(AND(ISNUMBER(Sync!$AH1801),Sync!$AH1801&gt;=0,Sync!$AH1801&lt;1),RIGHT("00"&amp;HOUR(Sync!$AH1801),2)&amp;RIGHT("00"&amp;MINUTE(Sync!$AH1801),2),IFERROR(RIGHT("00"&amp;VALUE(LEFT(Sync!$AH1801,FIND(":",Sync!$AH1801)-1)),2)&amp;RIGHT("00"&amp;VALUE(MID(Sync!$AH1801,FIND(":",Sync!$AH1801)+1,2)),2),"0000"))))</f>
        <v/>
      </c>
    </row>
    <row r="1802">
      <c r="A1802">
        <f>IF(OR(Calc!$E1805="",Calc!$E1805="نامعتبر",Calc!$G1805="",Calc!$I1805&lt;&gt;"خرید"),"",Calc!$G1805)</f>
        <v/>
      </c>
      <c r="B1802">
        <f>IF($A1802="","",LEFT(Calc!$E1805,4)&amp;MID(Calc!$E1805,6,2)&amp;RIGHT(Calc!$E1805,2)&amp;Calc!$R1805&amp;"|"&amp;"1"&amp;RIGHT("00000"&amp;1797,5))</f>
        <v/>
      </c>
      <c r="C1802">
        <f>IF($B1802="","",COUNTIFS(LdgPartyA,$A1802,LdgKeyA,"&lt;"&amp;$B1802)+COUNTIFS(LdgPartyB,$A1802,LdgKeyB,"&lt;"&amp;$B1802)+1)</f>
        <v/>
      </c>
      <c r="D1802">
        <f>IF($C1802="","",$A1802&amp;"|"&amp;RIGHT("000000"&amp;$C1802,6))</f>
        <v/>
      </c>
      <c r="F1802">
        <f>IF(Sync!$AJ1802="","",Sync!$AJ1802)</f>
        <v/>
      </c>
      <c r="G1802">
        <f>IF($F1802="","",IF(Sync!$AG1802="","",IF(ISNUMBER(Sync!$AG1802),IF(AND(Sync!$AG1802&gt;=10000101,Sync!$AG1802&lt;=99991231),INT(Sync!$AG1802/10000),""),IFERROR(VALUE(TRIM(LEFT(Sync!$AG1802,FIND("/",Sync!$AG1802)-1))),""))))</f>
        <v/>
      </c>
      <c r="H1802">
        <f>IF(OR($F1802="",$G1802=""),"",IF(ISNUMBER(Sync!$AG1802),INT(MOD(Sync!$AG1802,10000)/100),IFERROR(VALUE(TRIM(LEFT(MID(Sync!$AG1802,FIND("/",Sync!$AG1802)+1,20),FIND("/",MID(Sync!$AG1802,FIND("/",Sync!$AG1802)+1,20))-1))),"")))</f>
        <v/>
      </c>
      <c r="I1802">
        <f>IF(OR($F1802="",$G1802=""),"",IF(ISNUMBER(Sync!$AG1802),MOD(Sync!$AG1802,100),IFERROR(VALUE(TRIM(MID(MID(Sync!$AG1802,FIND("/",Sync!$AG1802)+1,20),FIND("/",MID(Sync!$AG1802,FIND("/",Sync!$AG1802)+1,20))+1,20))),"")))</f>
        <v/>
      </c>
      <c r="J1802">
        <f>IF($F1802="","",IF(OR($G1802="",$H1802="",$I1802="",$G1802&lt;1300,$G1802&gt;1500,$H1802&lt;1,$H1802&gt;12,$I1802&lt;1,$I1802&gt;31),"نامعتبر",RIGHT("0000"&amp;$G1802,4)&amp;"/"&amp;RIGHT("00"&amp;$H1802,2)&amp;"/"&amp;RIGHT("00"&amp;$I1802,2)))</f>
        <v/>
      </c>
      <c r="K1802">
        <f>IF(OR($F1802="",$J1802="",$J1802="نامعتبر"),"",LEFT($J1802,4)&amp;MID($J1802,6,2)&amp;RIGHT($J1802,2)&amp;$N1802&amp;"|"&amp;"2"&amp;RIGHT("00000"&amp;1797,5))</f>
        <v/>
      </c>
      <c r="L1802">
        <f>IF($K1802="","",COUNTIFS(LdgPartyA,$F1802,LdgKeyA,"&lt;"&amp;$K1802)+COUNTIFS(LdgPartyB,$F1802,LdgKeyB,"&lt;"&amp;$K1802)+1)</f>
        <v/>
      </c>
      <c r="M1802">
        <f>IF($L1802="","",$F1802&amp;"|"&amp;RIGHT("000000"&amp;$L1802,6))</f>
        <v/>
      </c>
      <c r="N1802">
        <f>IF($F1802="","",IF(Sync!$AH1802="","0000",IF(AND(ISNUMBER(Sync!$AH1802),Sync!$AH1802&gt;=0,Sync!$AH1802&lt;1),RIGHT("00"&amp;HOUR(Sync!$AH1802),2)&amp;RIGHT("00"&amp;MINUTE(Sync!$AH1802),2),IFERROR(RIGHT("00"&amp;VALUE(LEFT(Sync!$AH1802,FIND(":",Sync!$AH1802)-1)),2)&amp;RIGHT("00"&amp;VALUE(MID(Sync!$AH1802,FIND(":",Sync!$AH1802)+1,2)),2),"0000"))))</f>
        <v/>
      </c>
    </row>
    <row r="1803">
      <c r="A1803">
        <f>IF(OR(Calc!$E1806="",Calc!$E1806="نامعتبر",Calc!$G1806="",Calc!$I1806&lt;&gt;"خرید"),"",Calc!$G1806)</f>
        <v/>
      </c>
      <c r="B1803">
        <f>IF($A1803="","",LEFT(Calc!$E1806,4)&amp;MID(Calc!$E1806,6,2)&amp;RIGHT(Calc!$E1806,2)&amp;Calc!$R1806&amp;"|"&amp;"1"&amp;RIGHT("00000"&amp;1798,5))</f>
        <v/>
      </c>
      <c r="C1803">
        <f>IF($B1803="","",COUNTIFS(LdgPartyA,$A1803,LdgKeyA,"&lt;"&amp;$B1803)+COUNTIFS(LdgPartyB,$A1803,LdgKeyB,"&lt;"&amp;$B1803)+1)</f>
        <v/>
      </c>
      <c r="D1803">
        <f>IF($C1803="","",$A1803&amp;"|"&amp;RIGHT("000000"&amp;$C1803,6))</f>
        <v/>
      </c>
      <c r="F1803">
        <f>IF(Sync!$AJ1803="","",Sync!$AJ1803)</f>
        <v/>
      </c>
      <c r="G1803">
        <f>IF($F1803="","",IF(Sync!$AG1803="","",IF(ISNUMBER(Sync!$AG1803),IF(AND(Sync!$AG1803&gt;=10000101,Sync!$AG1803&lt;=99991231),INT(Sync!$AG1803/10000),""),IFERROR(VALUE(TRIM(LEFT(Sync!$AG1803,FIND("/",Sync!$AG1803)-1))),""))))</f>
        <v/>
      </c>
      <c r="H1803">
        <f>IF(OR($F1803="",$G1803=""),"",IF(ISNUMBER(Sync!$AG1803),INT(MOD(Sync!$AG1803,10000)/100),IFERROR(VALUE(TRIM(LEFT(MID(Sync!$AG1803,FIND("/",Sync!$AG1803)+1,20),FIND("/",MID(Sync!$AG1803,FIND("/",Sync!$AG1803)+1,20))-1))),"")))</f>
        <v/>
      </c>
      <c r="I1803">
        <f>IF(OR($F1803="",$G1803=""),"",IF(ISNUMBER(Sync!$AG1803),MOD(Sync!$AG1803,100),IFERROR(VALUE(TRIM(MID(MID(Sync!$AG1803,FIND("/",Sync!$AG1803)+1,20),FIND("/",MID(Sync!$AG1803,FIND("/",Sync!$AG1803)+1,20))+1,20))),"")))</f>
        <v/>
      </c>
      <c r="J1803">
        <f>IF($F1803="","",IF(OR($G1803="",$H1803="",$I1803="",$G1803&lt;1300,$G1803&gt;1500,$H1803&lt;1,$H1803&gt;12,$I1803&lt;1,$I1803&gt;31),"نامعتبر",RIGHT("0000"&amp;$G1803,4)&amp;"/"&amp;RIGHT("00"&amp;$H1803,2)&amp;"/"&amp;RIGHT("00"&amp;$I1803,2)))</f>
        <v/>
      </c>
      <c r="K1803">
        <f>IF(OR($F1803="",$J1803="",$J1803="نامعتبر"),"",LEFT($J1803,4)&amp;MID($J1803,6,2)&amp;RIGHT($J1803,2)&amp;$N1803&amp;"|"&amp;"2"&amp;RIGHT("00000"&amp;1798,5))</f>
        <v/>
      </c>
      <c r="L1803">
        <f>IF($K1803="","",COUNTIFS(LdgPartyA,$F1803,LdgKeyA,"&lt;"&amp;$K1803)+COUNTIFS(LdgPartyB,$F1803,LdgKeyB,"&lt;"&amp;$K1803)+1)</f>
        <v/>
      </c>
      <c r="M1803">
        <f>IF($L1803="","",$F1803&amp;"|"&amp;RIGHT("000000"&amp;$L1803,6))</f>
        <v/>
      </c>
      <c r="N1803">
        <f>IF($F1803="","",IF(Sync!$AH1803="","0000",IF(AND(ISNUMBER(Sync!$AH1803),Sync!$AH1803&gt;=0,Sync!$AH1803&lt;1),RIGHT("00"&amp;HOUR(Sync!$AH1803),2)&amp;RIGHT("00"&amp;MINUTE(Sync!$AH1803),2),IFERROR(RIGHT("00"&amp;VALUE(LEFT(Sync!$AH1803,FIND(":",Sync!$AH1803)-1)),2)&amp;RIGHT("00"&amp;VALUE(MID(Sync!$AH1803,FIND(":",Sync!$AH1803)+1,2)),2),"0000"))))</f>
        <v/>
      </c>
    </row>
    <row r="1804">
      <c r="A1804">
        <f>IF(OR(Calc!$E1807="",Calc!$E1807="نامعتبر",Calc!$G1807="",Calc!$I1807&lt;&gt;"خرید"),"",Calc!$G1807)</f>
        <v/>
      </c>
      <c r="B1804">
        <f>IF($A1804="","",LEFT(Calc!$E1807,4)&amp;MID(Calc!$E1807,6,2)&amp;RIGHT(Calc!$E1807,2)&amp;Calc!$R1807&amp;"|"&amp;"1"&amp;RIGHT("00000"&amp;1799,5))</f>
        <v/>
      </c>
      <c r="C1804">
        <f>IF($B1804="","",COUNTIFS(LdgPartyA,$A1804,LdgKeyA,"&lt;"&amp;$B1804)+COUNTIFS(LdgPartyB,$A1804,LdgKeyB,"&lt;"&amp;$B1804)+1)</f>
        <v/>
      </c>
      <c r="D1804">
        <f>IF($C1804="","",$A1804&amp;"|"&amp;RIGHT("000000"&amp;$C1804,6))</f>
        <v/>
      </c>
      <c r="F1804">
        <f>IF(Sync!$AJ1804="","",Sync!$AJ1804)</f>
        <v/>
      </c>
      <c r="G1804">
        <f>IF($F1804="","",IF(Sync!$AG1804="","",IF(ISNUMBER(Sync!$AG1804),IF(AND(Sync!$AG1804&gt;=10000101,Sync!$AG1804&lt;=99991231),INT(Sync!$AG1804/10000),""),IFERROR(VALUE(TRIM(LEFT(Sync!$AG1804,FIND("/",Sync!$AG1804)-1))),""))))</f>
        <v/>
      </c>
      <c r="H1804">
        <f>IF(OR($F1804="",$G1804=""),"",IF(ISNUMBER(Sync!$AG1804),INT(MOD(Sync!$AG1804,10000)/100),IFERROR(VALUE(TRIM(LEFT(MID(Sync!$AG1804,FIND("/",Sync!$AG1804)+1,20),FIND("/",MID(Sync!$AG1804,FIND("/",Sync!$AG1804)+1,20))-1))),"")))</f>
        <v/>
      </c>
      <c r="I1804">
        <f>IF(OR($F1804="",$G1804=""),"",IF(ISNUMBER(Sync!$AG1804),MOD(Sync!$AG1804,100),IFERROR(VALUE(TRIM(MID(MID(Sync!$AG1804,FIND("/",Sync!$AG1804)+1,20),FIND("/",MID(Sync!$AG1804,FIND("/",Sync!$AG1804)+1,20))+1,20))),"")))</f>
        <v/>
      </c>
      <c r="J1804">
        <f>IF($F1804="","",IF(OR($G1804="",$H1804="",$I1804="",$G1804&lt;1300,$G1804&gt;1500,$H1804&lt;1,$H1804&gt;12,$I1804&lt;1,$I1804&gt;31),"نامعتبر",RIGHT("0000"&amp;$G1804,4)&amp;"/"&amp;RIGHT("00"&amp;$H1804,2)&amp;"/"&amp;RIGHT("00"&amp;$I1804,2)))</f>
        <v/>
      </c>
      <c r="K1804">
        <f>IF(OR($F1804="",$J1804="",$J1804="نامعتبر"),"",LEFT($J1804,4)&amp;MID($J1804,6,2)&amp;RIGHT($J1804,2)&amp;$N1804&amp;"|"&amp;"2"&amp;RIGHT("00000"&amp;1799,5))</f>
        <v/>
      </c>
      <c r="L1804">
        <f>IF($K1804="","",COUNTIFS(LdgPartyA,$F1804,LdgKeyA,"&lt;"&amp;$K1804)+COUNTIFS(LdgPartyB,$F1804,LdgKeyB,"&lt;"&amp;$K1804)+1)</f>
        <v/>
      </c>
      <c r="M1804">
        <f>IF($L1804="","",$F1804&amp;"|"&amp;RIGHT("000000"&amp;$L1804,6))</f>
        <v/>
      </c>
      <c r="N1804">
        <f>IF($F1804="","",IF(Sync!$AH1804="","0000",IF(AND(ISNUMBER(Sync!$AH1804),Sync!$AH1804&gt;=0,Sync!$AH1804&lt;1),RIGHT("00"&amp;HOUR(Sync!$AH1804),2)&amp;RIGHT("00"&amp;MINUTE(Sync!$AH1804),2),IFERROR(RIGHT("00"&amp;VALUE(LEFT(Sync!$AH1804,FIND(":",Sync!$AH1804)-1)),2)&amp;RIGHT("00"&amp;VALUE(MID(Sync!$AH1804,FIND(":",Sync!$AH1804)+1,2)),2),"0000"))))</f>
        <v/>
      </c>
    </row>
    <row r="1805">
      <c r="A1805">
        <f>IF(OR(Calc!$E1808="",Calc!$E1808="نامعتبر",Calc!$G1808="",Calc!$I1808&lt;&gt;"خرید"),"",Calc!$G1808)</f>
        <v/>
      </c>
      <c r="B1805">
        <f>IF($A1805="","",LEFT(Calc!$E1808,4)&amp;MID(Calc!$E1808,6,2)&amp;RIGHT(Calc!$E1808,2)&amp;Calc!$R1808&amp;"|"&amp;"1"&amp;RIGHT("00000"&amp;1800,5))</f>
        <v/>
      </c>
      <c r="C1805">
        <f>IF($B1805="","",COUNTIFS(LdgPartyA,$A1805,LdgKeyA,"&lt;"&amp;$B1805)+COUNTIFS(LdgPartyB,$A1805,LdgKeyB,"&lt;"&amp;$B1805)+1)</f>
        <v/>
      </c>
      <c r="D1805">
        <f>IF($C1805="","",$A1805&amp;"|"&amp;RIGHT("000000"&amp;$C1805,6))</f>
        <v/>
      </c>
      <c r="F1805">
        <f>IF(Sync!$AJ1805="","",Sync!$AJ1805)</f>
        <v/>
      </c>
      <c r="G1805">
        <f>IF($F1805="","",IF(Sync!$AG1805="","",IF(ISNUMBER(Sync!$AG1805),IF(AND(Sync!$AG1805&gt;=10000101,Sync!$AG1805&lt;=99991231),INT(Sync!$AG1805/10000),""),IFERROR(VALUE(TRIM(LEFT(Sync!$AG1805,FIND("/",Sync!$AG1805)-1))),""))))</f>
        <v/>
      </c>
      <c r="H1805">
        <f>IF(OR($F1805="",$G1805=""),"",IF(ISNUMBER(Sync!$AG1805),INT(MOD(Sync!$AG1805,10000)/100),IFERROR(VALUE(TRIM(LEFT(MID(Sync!$AG1805,FIND("/",Sync!$AG1805)+1,20),FIND("/",MID(Sync!$AG1805,FIND("/",Sync!$AG1805)+1,20))-1))),"")))</f>
        <v/>
      </c>
      <c r="I1805">
        <f>IF(OR($F1805="",$G1805=""),"",IF(ISNUMBER(Sync!$AG1805),MOD(Sync!$AG1805,100),IFERROR(VALUE(TRIM(MID(MID(Sync!$AG1805,FIND("/",Sync!$AG1805)+1,20),FIND("/",MID(Sync!$AG1805,FIND("/",Sync!$AG1805)+1,20))+1,20))),"")))</f>
        <v/>
      </c>
      <c r="J1805">
        <f>IF($F1805="","",IF(OR($G1805="",$H1805="",$I1805="",$G1805&lt;1300,$G1805&gt;1500,$H1805&lt;1,$H1805&gt;12,$I1805&lt;1,$I1805&gt;31),"نامعتبر",RIGHT("0000"&amp;$G1805,4)&amp;"/"&amp;RIGHT("00"&amp;$H1805,2)&amp;"/"&amp;RIGHT("00"&amp;$I1805,2)))</f>
        <v/>
      </c>
      <c r="K1805">
        <f>IF(OR($F1805="",$J1805="",$J1805="نامعتبر"),"",LEFT($J1805,4)&amp;MID($J1805,6,2)&amp;RIGHT($J1805,2)&amp;$N1805&amp;"|"&amp;"2"&amp;RIGHT("00000"&amp;1800,5))</f>
        <v/>
      </c>
      <c r="L1805">
        <f>IF($K1805="","",COUNTIFS(LdgPartyA,$F1805,LdgKeyA,"&lt;"&amp;$K1805)+COUNTIFS(LdgPartyB,$F1805,LdgKeyB,"&lt;"&amp;$K1805)+1)</f>
        <v/>
      </c>
      <c r="M1805">
        <f>IF($L1805="","",$F1805&amp;"|"&amp;RIGHT("000000"&amp;$L1805,6))</f>
        <v/>
      </c>
      <c r="N1805">
        <f>IF($F1805="","",IF(Sync!$AH1805="","0000",IF(AND(ISNUMBER(Sync!$AH1805),Sync!$AH1805&gt;=0,Sync!$AH1805&lt;1),RIGHT("00"&amp;HOUR(Sync!$AH1805),2)&amp;RIGHT("00"&amp;MINUTE(Sync!$AH1805),2),IFERROR(RIGHT("00"&amp;VALUE(LEFT(Sync!$AH1805,FIND(":",Sync!$AH1805)-1)),2)&amp;RIGHT("00"&amp;VALUE(MID(Sync!$AH1805,FIND(":",Sync!$AH1805)+1,2)),2),"0000"))))</f>
        <v/>
      </c>
    </row>
    <row r="1806">
      <c r="A1806">
        <f>IF(OR(Calc!$E1809="",Calc!$E1809="نامعتبر",Calc!$G1809="",Calc!$I1809&lt;&gt;"خرید"),"",Calc!$G1809)</f>
        <v/>
      </c>
      <c r="B1806">
        <f>IF($A1806="","",LEFT(Calc!$E1809,4)&amp;MID(Calc!$E1809,6,2)&amp;RIGHT(Calc!$E1809,2)&amp;Calc!$R1809&amp;"|"&amp;"1"&amp;RIGHT("00000"&amp;1801,5))</f>
        <v/>
      </c>
      <c r="C1806">
        <f>IF($B1806="","",COUNTIFS(LdgPartyA,$A1806,LdgKeyA,"&lt;"&amp;$B1806)+COUNTIFS(LdgPartyB,$A1806,LdgKeyB,"&lt;"&amp;$B1806)+1)</f>
        <v/>
      </c>
      <c r="D1806">
        <f>IF($C1806="","",$A1806&amp;"|"&amp;RIGHT("000000"&amp;$C1806,6))</f>
        <v/>
      </c>
      <c r="F1806">
        <f>IF(Sync!$AJ1806="","",Sync!$AJ1806)</f>
        <v/>
      </c>
      <c r="G1806">
        <f>IF($F1806="","",IF(Sync!$AG1806="","",IF(ISNUMBER(Sync!$AG1806),IF(AND(Sync!$AG1806&gt;=10000101,Sync!$AG1806&lt;=99991231),INT(Sync!$AG1806/10000),""),IFERROR(VALUE(TRIM(LEFT(Sync!$AG1806,FIND("/",Sync!$AG1806)-1))),""))))</f>
        <v/>
      </c>
      <c r="H1806">
        <f>IF(OR($F1806="",$G1806=""),"",IF(ISNUMBER(Sync!$AG1806),INT(MOD(Sync!$AG1806,10000)/100),IFERROR(VALUE(TRIM(LEFT(MID(Sync!$AG1806,FIND("/",Sync!$AG1806)+1,20),FIND("/",MID(Sync!$AG1806,FIND("/",Sync!$AG1806)+1,20))-1))),"")))</f>
        <v/>
      </c>
      <c r="I1806">
        <f>IF(OR($F1806="",$G1806=""),"",IF(ISNUMBER(Sync!$AG1806),MOD(Sync!$AG1806,100),IFERROR(VALUE(TRIM(MID(MID(Sync!$AG1806,FIND("/",Sync!$AG1806)+1,20),FIND("/",MID(Sync!$AG1806,FIND("/",Sync!$AG1806)+1,20))+1,20))),"")))</f>
        <v/>
      </c>
      <c r="J1806">
        <f>IF($F1806="","",IF(OR($G1806="",$H1806="",$I1806="",$G1806&lt;1300,$G1806&gt;1500,$H1806&lt;1,$H1806&gt;12,$I1806&lt;1,$I1806&gt;31),"نامعتبر",RIGHT("0000"&amp;$G1806,4)&amp;"/"&amp;RIGHT("00"&amp;$H1806,2)&amp;"/"&amp;RIGHT("00"&amp;$I1806,2)))</f>
        <v/>
      </c>
      <c r="K1806">
        <f>IF(OR($F1806="",$J1806="",$J1806="نامعتبر"),"",LEFT($J1806,4)&amp;MID($J1806,6,2)&amp;RIGHT($J1806,2)&amp;$N1806&amp;"|"&amp;"2"&amp;RIGHT("00000"&amp;1801,5))</f>
        <v/>
      </c>
      <c r="L1806">
        <f>IF($K1806="","",COUNTIFS(LdgPartyA,$F1806,LdgKeyA,"&lt;"&amp;$K1806)+COUNTIFS(LdgPartyB,$F1806,LdgKeyB,"&lt;"&amp;$K1806)+1)</f>
        <v/>
      </c>
      <c r="M1806">
        <f>IF($L1806="","",$F1806&amp;"|"&amp;RIGHT("000000"&amp;$L1806,6))</f>
        <v/>
      </c>
      <c r="N1806">
        <f>IF($F1806="","",IF(Sync!$AH1806="","0000",IF(AND(ISNUMBER(Sync!$AH1806),Sync!$AH1806&gt;=0,Sync!$AH1806&lt;1),RIGHT("00"&amp;HOUR(Sync!$AH1806),2)&amp;RIGHT("00"&amp;MINUTE(Sync!$AH1806),2),IFERROR(RIGHT("00"&amp;VALUE(LEFT(Sync!$AH1806,FIND(":",Sync!$AH1806)-1)),2)&amp;RIGHT("00"&amp;VALUE(MID(Sync!$AH1806,FIND(":",Sync!$AH1806)+1,2)),2),"0000"))))</f>
        <v/>
      </c>
    </row>
    <row r="1807">
      <c r="A1807">
        <f>IF(OR(Calc!$E1810="",Calc!$E1810="نامعتبر",Calc!$G1810="",Calc!$I1810&lt;&gt;"خرید"),"",Calc!$G1810)</f>
        <v/>
      </c>
      <c r="B1807">
        <f>IF($A1807="","",LEFT(Calc!$E1810,4)&amp;MID(Calc!$E1810,6,2)&amp;RIGHT(Calc!$E1810,2)&amp;Calc!$R1810&amp;"|"&amp;"1"&amp;RIGHT("00000"&amp;1802,5))</f>
        <v/>
      </c>
      <c r="C1807">
        <f>IF($B1807="","",COUNTIFS(LdgPartyA,$A1807,LdgKeyA,"&lt;"&amp;$B1807)+COUNTIFS(LdgPartyB,$A1807,LdgKeyB,"&lt;"&amp;$B1807)+1)</f>
        <v/>
      </c>
      <c r="D1807">
        <f>IF($C1807="","",$A1807&amp;"|"&amp;RIGHT("000000"&amp;$C1807,6))</f>
        <v/>
      </c>
      <c r="F1807">
        <f>IF(Sync!$AJ1807="","",Sync!$AJ1807)</f>
        <v/>
      </c>
      <c r="G1807">
        <f>IF($F1807="","",IF(Sync!$AG1807="","",IF(ISNUMBER(Sync!$AG1807),IF(AND(Sync!$AG1807&gt;=10000101,Sync!$AG1807&lt;=99991231),INT(Sync!$AG1807/10000),""),IFERROR(VALUE(TRIM(LEFT(Sync!$AG1807,FIND("/",Sync!$AG1807)-1))),""))))</f>
        <v/>
      </c>
      <c r="H1807">
        <f>IF(OR($F1807="",$G1807=""),"",IF(ISNUMBER(Sync!$AG1807),INT(MOD(Sync!$AG1807,10000)/100),IFERROR(VALUE(TRIM(LEFT(MID(Sync!$AG1807,FIND("/",Sync!$AG1807)+1,20),FIND("/",MID(Sync!$AG1807,FIND("/",Sync!$AG1807)+1,20))-1))),"")))</f>
        <v/>
      </c>
      <c r="I1807">
        <f>IF(OR($F1807="",$G1807=""),"",IF(ISNUMBER(Sync!$AG1807),MOD(Sync!$AG1807,100),IFERROR(VALUE(TRIM(MID(MID(Sync!$AG1807,FIND("/",Sync!$AG1807)+1,20),FIND("/",MID(Sync!$AG1807,FIND("/",Sync!$AG1807)+1,20))+1,20))),"")))</f>
        <v/>
      </c>
      <c r="J1807">
        <f>IF($F1807="","",IF(OR($G1807="",$H1807="",$I1807="",$G1807&lt;1300,$G1807&gt;1500,$H1807&lt;1,$H1807&gt;12,$I1807&lt;1,$I1807&gt;31),"نامعتبر",RIGHT("0000"&amp;$G1807,4)&amp;"/"&amp;RIGHT("00"&amp;$H1807,2)&amp;"/"&amp;RIGHT("00"&amp;$I1807,2)))</f>
        <v/>
      </c>
      <c r="K1807">
        <f>IF(OR($F1807="",$J1807="",$J1807="نامعتبر"),"",LEFT($J1807,4)&amp;MID($J1807,6,2)&amp;RIGHT($J1807,2)&amp;$N1807&amp;"|"&amp;"2"&amp;RIGHT("00000"&amp;1802,5))</f>
        <v/>
      </c>
      <c r="L1807">
        <f>IF($K1807="","",COUNTIFS(LdgPartyA,$F1807,LdgKeyA,"&lt;"&amp;$K1807)+COUNTIFS(LdgPartyB,$F1807,LdgKeyB,"&lt;"&amp;$K1807)+1)</f>
        <v/>
      </c>
      <c r="M1807">
        <f>IF($L1807="","",$F1807&amp;"|"&amp;RIGHT("000000"&amp;$L1807,6))</f>
        <v/>
      </c>
      <c r="N1807">
        <f>IF($F1807="","",IF(Sync!$AH1807="","0000",IF(AND(ISNUMBER(Sync!$AH1807),Sync!$AH1807&gt;=0,Sync!$AH1807&lt;1),RIGHT("00"&amp;HOUR(Sync!$AH1807),2)&amp;RIGHT("00"&amp;MINUTE(Sync!$AH1807),2),IFERROR(RIGHT("00"&amp;VALUE(LEFT(Sync!$AH1807,FIND(":",Sync!$AH1807)-1)),2)&amp;RIGHT("00"&amp;VALUE(MID(Sync!$AH1807,FIND(":",Sync!$AH1807)+1,2)),2),"0000"))))</f>
        <v/>
      </c>
    </row>
    <row r="1808">
      <c r="A1808">
        <f>IF(OR(Calc!$E1811="",Calc!$E1811="نامعتبر",Calc!$G1811="",Calc!$I1811&lt;&gt;"خرید"),"",Calc!$G1811)</f>
        <v/>
      </c>
      <c r="B1808">
        <f>IF($A1808="","",LEFT(Calc!$E1811,4)&amp;MID(Calc!$E1811,6,2)&amp;RIGHT(Calc!$E1811,2)&amp;Calc!$R1811&amp;"|"&amp;"1"&amp;RIGHT("00000"&amp;1803,5))</f>
        <v/>
      </c>
      <c r="C1808">
        <f>IF($B1808="","",COUNTIFS(LdgPartyA,$A1808,LdgKeyA,"&lt;"&amp;$B1808)+COUNTIFS(LdgPartyB,$A1808,LdgKeyB,"&lt;"&amp;$B1808)+1)</f>
        <v/>
      </c>
      <c r="D1808">
        <f>IF($C1808="","",$A1808&amp;"|"&amp;RIGHT("000000"&amp;$C1808,6))</f>
        <v/>
      </c>
      <c r="F1808">
        <f>IF(Sync!$AJ1808="","",Sync!$AJ1808)</f>
        <v/>
      </c>
      <c r="G1808">
        <f>IF($F1808="","",IF(Sync!$AG1808="","",IF(ISNUMBER(Sync!$AG1808),IF(AND(Sync!$AG1808&gt;=10000101,Sync!$AG1808&lt;=99991231),INT(Sync!$AG1808/10000),""),IFERROR(VALUE(TRIM(LEFT(Sync!$AG1808,FIND("/",Sync!$AG1808)-1))),""))))</f>
        <v/>
      </c>
      <c r="H1808">
        <f>IF(OR($F1808="",$G1808=""),"",IF(ISNUMBER(Sync!$AG1808),INT(MOD(Sync!$AG1808,10000)/100),IFERROR(VALUE(TRIM(LEFT(MID(Sync!$AG1808,FIND("/",Sync!$AG1808)+1,20),FIND("/",MID(Sync!$AG1808,FIND("/",Sync!$AG1808)+1,20))-1))),"")))</f>
        <v/>
      </c>
      <c r="I1808">
        <f>IF(OR($F1808="",$G1808=""),"",IF(ISNUMBER(Sync!$AG1808),MOD(Sync!$AG1808,100),IFERROR(VALUE(TRIM(MID(MID(Sync!$AG1808,FIND("/",Sync!$AG1808)+1,20),FIND("/",MID(Sync!$AG1808,FIND("/",Sync!$AG1808)+1,20))+1,20))),"")))</f>
        <v/>
      </c>
      <c r="J1808">
        <f>IF($F1808="","",IF(OR($G1808="",$H1808="",$I1808="",$G1808&lt;1300,$G1808&gt;1500,$H1808&lt;1,$H1808&gt;12,$I1808&lt;1,$I1808&gt;31),"نامعتبر",RIGHT("0000"&amp;$G1808,4)&amp;"/"&amp;RIGHT("00"&amp;$H1808,2)&amp;"/"&amp;RIGHT("00"&amp;$I1808,2)))</f>
        <v/>
      </c>
      <c r="K1808">
        <f>IF(OR($F1808="",$J1808="",$J1808="نامعتبر"),"",LEFT($J1808,4)&amp;MID($J1808,6,2)&amp;RIGHT($J1808,2)&amp;$N1808&amp;"|"&amp;"2"&amp;RIGHT("00000"&amp;1803,5))</f>
        <v/>
      </c>
      <c r="L1808">
        <f>IF($K1808="","",COUNTIFS(LdgPartyA,$F1808,LdgKeyA,"&lt;"&amp;$K1808)+COUNTIFS(LdgPartyB,$F1808,LdgKeyB,"&lt;"&amp;$K1808)+1)</f>
        <v/>
      </c>
      <c r="M1808">
        <f>IF($L1808="","",$F1808&amp;"|"&amp;RIGHT("000000"&amp;$L1808,6))</f>
        <v/>
      </c>
      <c r="N1808">
        <f>IF($F1808="","",IF(Sync!$AH1808="","0000",IF(AND(ISNUMBER(Sync!$AH1808),Sync!$AH1808&gt;=0,Sync!$AH1808&lt;1),RIGHT("00"&amp;HOUR(Sync!$AH1808),2)&amp;RIGHT("00"&amp;MINUTE(Sync!$AH1808),2),IFERROR(RIGHT("00"&amp;VALUE(LEFT(Sync!$AH1808,FIND(":",Sync!$AH1808)-1)),2)&amp;RIGHT("00"&amp;VALUE(MID(Sync!$AH1808,FIND(":",Sync!$AH1808)+1,2)),2),"0000"))))</f>
        <v/>
      </c>
    </row>
    <row r="1809">
      <c r="A1809">
        <f>IF(OR(Calc!$E1812="",Calc!$E1812="نامعتبر",Calc!$G1812="",Calc!$I1812&lt;&gt;"خرید"),"",Calc!$G1812)</f>
        <v/>
      </c>
      <c r="B1809">
        <f>IF($A1809="","",LEFT(Calc!$E1812,4)&amp;MID(Calc!$E1812,6,2)&amp;RIGHT(Calc!$E1812,2)&amp;Calc!$R1812&amp;"|"&amp;"1"&amp;RIGHT("00000"&amp;1804,5))</f>
        <v/>
      </c>
      <c r="C1809">
        <f>IF($B1809="","",COUNTIFS(LdgPartyA,$A1809,LdgKeyA,"&lt;"&amp;$B1809)+COUNTIFS(LdgPartyB,$A1809,LdgKeyB,"&lt;"&amp;$B1809)+1)</f>
        <v/>
      </c>
      <c r="D1809">
        <f>IF($C1809="","",$A1809&amp;"|"&amp;RIGHT("000000"&amp;$C1809,6))</f>
        <v/>
      </c>
      <c r="F1809">
        <f>IF(Sync!$AJ1809="","",Sync!$AJ1809)</f>
        <v/>
      </c>
      <c r="G1809">
        <f>IF($F1809="","",IF(Sync!$AG1809="","",IF(ISNUMBER(Sync!$AG1809),IF(AND(Sync!$AG1809&gt;=10000101,Sync!$AG1809&lt;=99991231),INT(Sync!$AG1809/10000),""),IFERROR(VALUE(TRIM(LEFT(Sync!$AG1809,FIND("/",Sync!$AG1809)-1))),""))))</f>
        <v/>
      </c>
      <c r="H1809">
        <f>IF(OR($F1809="",$G1809=""),"",IF(ISNUMBER(Sync!$AG1809),INT(MOD(Sync!$AG1809,10000)/100),IFERROR(VALUE(TRIM(LEFT(MID(Sync!$AG1809,FIND("/",Sync!$AG1809)+1,20),FIND("/",MID(Sync!$AG1809,FIND("/",Sync!$AG1809)+1,20))-1))),"")))</f>
        <v/>
      </c>
      <c r="I1809">
        <f>IF(OR($F1809="",$G1809=""),"",IF(ISNUMBER(Sync!$AG1809),MOD(Sync!$AG1809,100),IFERROR(VALUE(TRIM(MID(MID(Sync!$AG1809,FIND("/",Sync!$AG1809)+1,20),FIND("/",MID(Sync!$AG1809,FIND("/",Sync!$AG1809)+1,20))+1,20))),"")))</f>
        <v/>
      </c>
      <c r="J1809">
        <f>IF($F1809="","",IF(OR($G1809="",$H1809="",$I1809="",$G1809&lt;1300,$G1809&gt;1500,$H1809&lt;1,$H1809&gt;12,$I1809&lt;1,$I1809&gt;31),"نامعتبر",RIGHT("0000"&amp;$G1809,4)&amp;"/"&amp;RIGHT("00"&amp;$H1809,2)&amp;"/"&amp;RIGHT("00"&amp;$I1809,2)))</f>
        <v/>
      </c>
      <c r="K1809">
        <f>IF(OR($F1809="",$J1809="",$J1809="نامعتبر"),"",LEFT($J1809,4)&amp;MID($J1809,6,2)&amp;RIGHT($J1809,2)&amp;$N1809&amp;"|"&amp;"2"&amp;RIGHT("00000"&amp;1804,5))</f>
        <v/>
      </c>
      <c r="L1809">
        <f>IF($K1809="","",COUNTIFS(LdgPartyA,$F1809,LdgKeyA,"&lt;"&amp;$K1809)+COUNTIFS(LdgPartyB,$F1809,LdgKeyB,"&lt;"&amp;$K1809)+1)</f>
        <v/>
      </c>
      <c r="M1809">
        <f>IF($L1809="","",$F1809&amp;"|"&amp;RIGHT("000000"&amp;$L1809,6))</f>
        <v/>
      </c>
      <c r="N1809">
        <f>IF($F1809="","",IF(Sync!$AH1809="","0000",IF(AND(ISNUMBER(Sync!$AH1809),Sync!$AH1809&gt;=0,Sync!$AH1809&lt;1),RIGHT("00"&amp;HOUR(Sync!$AH1809),2)&amp;RIGHT("00"&amp;MINUTE(Sync!$AH1809),2),IFERROR(RIGHT("00"&amp;VALUE(LEFT(Sync!$AH1809,FIND(":",Sync!$AH1809)-1)),2)&amp;RIGHT("00"&amp;VALUE(MID(Sync!$AH1809,FIND(":",Sync!$AH1809)+1,2)),2),"0000"))))</f>
        <v/>
      </c>
    </row>
    <row r="1810">
      <c r="A1810">
        <f>IF(OR(Calc!$E1813="",Calc!$E1813="نامعتبر",Calc!$G1813="",Calc!$I1813&lt;&gt;"خرید"),"",Calc!$G1813)</f>
        <v/>
      </c>
      <c r="B1810">
        <f>IF($A1810="","",LEFT(Calc!$E1813,4)&amp;MID(Calc!$E1813,6,2)&amp;RIGHT(Calc!$E1813,2)&amp;Calc!$R1813&amp;"|"&amp;"1"&amp;RIGHT("00000"&amp;1805,5))</f>
        <v/>
      </c>
      <c r="C1810">
        <f>IF($B1810="","",COUNTIFS(LdgPartyA,$A1810,LdgKeyA,"&lt;"&amp;$B1810)+COUNTIFS(LdgPartyB,$A1810,LdgKeyB,"&lt;"&amp;$B1810)+1)</f>
        <v/>
      </c>
      <c r="D1810">
        <f>IF($C1810="","",$A1810&amp;"|"&amp;RIGHT("000000"&amp;$C1810,6))</f>
        <v/>
      </c>
      <c r="F1810">
        <f>IF(Sync!$AJ1810="","",Sync!$AJ1810)</f>
        <v/>
      </c>
      <c r="G1810">
        <f>IF($F1810="","",IF(Sync!$AG1810="","",IF(ISNUMBER(Sync!$AG1810),IF(AND(Sync!$AG1810&gt;=10000101,Sync!$AG1810&lt;=99991231),INT(Sync!$AG1810/10000),""),IFERROR(VALUE(TRIM(LEFT(Sync!$AG1810,FIND("/",Sync!$AG1810)-1))),""))))</f>
        <v/>
      </c>
      <c r="H1810">
        <f>IF(OR($F1810="",$G1810=""),"",IF(ISNUMBER(Sync!$AG1810),INT(MOD(Sync!$AG1810,10000)/100),IFERROR(VALUE(TRIM(LEFT(MID(Sync!$AG1810,FIND("/",Sync!$AG1810)+1,20),FIND("/",MID(Sync!$AG1810,FIND("/",Sync!$AG1810)+1,20))-1))),"")))</f>
        <v/>
      </c>
      <c r="I1810">
        <f>IF(OR($F1810="",$G1810=""),"",IF(ISNUMBER(Sync!$AG1810),MOD(Sync!$AG1810,100),IFERROR(VALUE(TRIM(MID(MID(Sync!$AG1810,FIND("/",Sync!$AG1810)+1,20),FIND("/",MID(Sync!$AG1810,FIND("/",Sync!$AG1810)+1,20))+1,20))),"")))</f>
        <v/>
      </c>
      <c r="J1810">
        <f>IF($F1810="","",IF(OR($G1810="",$H1810="",$I1810="",$G1810&lt;1300,$G1810&gt;1500,$H1810&lt;1,$H1810&gt;12,$I1810&lt;1,$I1810&gt;31),"نامعتبر",RIGHT("0000"&amp;$G1810,4)&amp;"/"&amp;RIGHT("00"&amp;$H1810,2)&amp;"/"&amp;RIGHT("00"&amp;$I1810,2)))</f>
        <v/>
      </c>
      <c r="K1810">
        <f>IF(OR($F1810="",$J1810="",$J1810="نامعتبر"),"",LEFT($J1810,4)&amp;MID($J1810,6,2)&amp;RIGHT($J1810,2)&amp;$N1810&amp;"|"&amp;"2"&amp;RIGHT("00000"&amp;1805,5))</f>
        <v/>
      </c>
      <c r="L1810">
        <f>IF($K1810="","",COUNTIFS(LdgPartyA,$F1810,LdgKeyA,"&lt;"&amp;$K1810)+COUNTIFS(LdgPartyB,$F1810,LdgKeyB,"&lt;"&amp;$K1810)+1)</f>
        <v/>
      </c>
      <c r="M1810">
        <f>IF($L1810="","",$F1810&amp;"|"&amp;RIGHT("000000"&amp;$L1810,6))</f>
        <v/>
      </c>
      <c r="N1810">
        <f>IF($F1810="","",IF(Sync!$AH1810="","0000",IF(AND(ISNUMBER(Sync!$AH1810),Sync!$AH1810&gt;=0,Sync!$AH1810&lt;1),RIGHT("00"&amp;HOUR(Sync!$AH1810),2)&amp;RIGHT("00"&amp;MINUTE(Sync!$AH1810),2),IFERROR(RIGHT("00"&amp;VALUE(LEFT(Sync!$AH1810,FIND(":",Sync!$AH1810)-1)),2)&amp;RIGHT("00"&amp;VALUE(MID(Sync!$AH1810,FIND(":",Sync!$AH1810)+1,2)),2),"0000"))))</f>
        <v/>
      </c>
    </row>
    <row r="1811">
      <c r="A1811">
        <f>IF(OR(Calc!$E1814="",Calc!$E1814="نامعتبر",Calc!$G1814="",Calc!$I1814&lt;&gt;"خرید"),"",Calc!$G1814)</f>
        <v/>
      </c>
      <c r="B1811">
        <f>IF($A1811="","",LEFT(Calc!$E1814,4)&amp;MID(Calc!$E1814,6,2)&amp;RIGHT(Calc!$E1814,2)&amp;Calc!$R1814&amp;"|"&amp;"1"&amp;RIGHT("00000"&amp;1806,5))</f>
        <v/>
      </c>
      <c r="C1811">
        <f>IF($B1811="","",COUNTIFS(LdgPartyA,$A1811,LdgKeyA,"&lt;"&amp;$B1811)+COUNTIFS(LdgPartyB,$A1811,LdgKeyB,"&lt;"&amp;$B1811)+1)</f>
        <v/>
      </c>
      <c r="D1811">
        <f>IF($C1811="","",$A1811&amp;"|"&amp;RIGHT("000000"&amp;$C1811,6))</f>
        <v/>
      </c>
      <c r="F1811">
        <f>IF(Sync!$AJ1811="","",Sync!$AJ1811)</f>
        <v/>
      </c>
      <c r="G1811">
        <f>IF($F1811="","",IF(Sync!$AG1811="","",IF(ISNUMBER(Sync!$AG1811),IF(AND(Sync!$AG1811&gt;=10000101,Sync!$AG1811&lt;=99991231),INT(Sync!$AG1811/10000),""),IFERROR(VALUE(TRIM(LEFT(Sync!$AG1811,FIND("/",Sync!$AG1811)-1))),""))))</f>
        <v/>
      </c>
      <c r="H1811">
        <f>IF(OR($F1811="",$G1811=""),"",IF(ISNUMBER(Sync!$AG1811),INT(MOD(Sync!$AG1811,10000)/100),IFERROR(VALUE(TRIM(LEFT(MID(Sync!$AG1811,FIND("/",Sync!$AG1811)+1,20),FIND("/",MID(Sync!$AG1811,FIND("/",Sync!$AG1811)+1,20))-1))),"")))</f>
        <v/>
      </c>
      <c r="I1811">
        <f>IF(OR($F1811="",$G1811=""),"",IF(ISNUMBER(Sync!$AG1811),MOD(Sync!$AG1811,100),IFERROR(VALUE(TRIM(MID(MID(Sync!$AG1811,FIND("/",Sync!$AG1811)+1,20),FIND("/",MID(Sync!$AG1811,FIND("/",Sync!$AG1811)+1,20))+1,20))),"")))</f>
        <v/>
      </c>
      <c r="J1811">
        <f>IF($F1811="","",IF(OR($G1811="",$H1811="",$I1811="",$G1811&lt;1300,$G1811&gt;1500,$H1811&lt;1,$H1811&gt;12,$I1811&lt;1,$I1811&gt;31),"نامعتبر",RIGHT("0000"&amp;$G1811,4)&amp;"/"&amp;RIGHT("00"&amp;$H1811,2)&amp;"/"&amp;RIGHT("00"&amp;$I1811,2)))</f>
        <v/>
      </c>
      <c r="K1811">
        <f>IF(OR($F1811="",$J1811="",$J1811="نامعتبر"),"",LEFT($J1811,4)&amp;MID($J1811,6,2)&amp;RIGHT($J1811,2)&amp;$N1811&amp;"|"&amp;"2"&amp;RIGHT("00000"&amp;1806,5))</f>
        <v/>
      </c>
      <c r="L1811">
        <f>IF($K1811="","",COUNTIFS(LdgPartyA,$F1811,LdgKeyA,"&lt;"&amp;$K1811)+COUNTIFS(LdgPartyB,$F1811,LdgKeyB,"&lt;"&amp;$K1811)+1)</f>
        <v/>
      </c>
      <c r="M1811">
        <f>IF($L1811="","",$F1811&amp;"|"&amp;RIGHT("000000"&amp;$L1811,6))</f>
        <v/>
      </c>
      <c r="N1811">
        <f>IF($F1811="","",IF(Sync!$AH1811="","0000",IF(AND(ISNUMBER(Sync!$AH1811),Sync!$AH1811&gt;=0,Sync!$AH1811&lt;1),RIGHT("00"&amp;HOUR(Sync!$AH1811),2)&amp;RIGHT("00"&amp;MINUTE(Sync!$AH1811),2),IFERROR(RIGHT("00"&amp;VALUE(LEFT(Sync!$AH1811,FIND(":",Sync!$AH1811)-1)),2)&amp;RIGHT("00"&amp;VALUE(MID(Sync!$AH1811,FIND(":",Sync!$AH1811)+1,2)),2),"0000"))))</f>
        <v/>
      </c>
    </row>
    <row r="1812">
      <c r="A1812">
        <f>IF(OR(Calc!$E1815="",Calc!$E1815="نامعتبر",Calc!$G1815="",Calc!$I1815&lt;&gt;"خرید"),"",Calc!$G1815)</f>
        <v/>
      </c>
      <c r="B1812">
        <f>IF($A1812="","",LEFT(Calc!$E1815,4)&amp;MID(Calc!$E1815,6,2)&amp;RIGHT(Calc!$E1815,2)&amp;Calc!$R1815&amp;"|"&amp;"1"&amp;RIGHT("00000"&amp;1807,5))</f>
        <v/>
      </c>
      <c r="C1812">
        <f>IF($B1812="","",COUNTIFS(LdgPartyA,$A1812,LdgKeyA,"&lt;"&amp;$B1812)+COUNTIFS(LdgPartyB,$A1812,LdgKeyB,"&lt;"&amp;$B1812)+1)</f>
        <v/>
      </c>
      <c r="D1812">
        <f>IF($C1812="","",$A1812&amp;"|"&amp;RIGHT("000000"&amp;$C1812,6))</f>
        <v/>
      </c>
      <c r="F1812">
        <f>IF(Sync!$AJ1812="","",Sync!$AJ1812)</f>
        <v/>
      </c>
      <c r="G1812">
        <f>IF($F1812="","",IF(Sync!$AG1812="","",IF(ISNUMBER(Sync!$AG1812),IF(AND(Sync!$AG1812&gt;=10000101,Sync!$AG1812&lt;=99991231),INT(Sync!$AG1812/10000),""),IFERROR(VALUE(TRIM(LEFT(Sync!$AG1812,FIND("/",Sync!$AG1812)-1))),""))))</f>
        <v/>
      </c>
      <c r="H1812">
        <f>IF(OR($F1812="",$G1812=""),"",IF(ISNUMBER(Sync!$AG1812),INT(MOD(Sync!$AG1812,10000)/100),IFERROR(VALUE(TRIM(LEFT(MID(Sync!$AG1812,FIND("/",Sync!$AG1812)+1,20),FIND("/",MID(Sync!$AG1812,FIND("/",Sync!$AG1812)+1,20))-1))),"")))</f>
        <v/>
      </c>
      <c r="I1812">
        <f>IF(OR($F1812="",$G1812=""),"",IF(ISNUMBER(Sync!$AG1812),MOD(Sync!$AG1812,100),IFERROR(VALUE(TRIM(MID(MID(Sync!$AG1812,FIND("/",Sync!$AG1812)+1,20),FIND("/",MID(Sync!$AG1812,FIND("/",Sync!$AG1812)+1,20))+1,20))),"")))</f>
        <v/>
      </c>
      <c r="J1812">
        <f>IF($F1812="","",IF(OR($G1812="",$H1812="",$I1812="",$G1812&lt;1300,$G1812&gt;1500,$H1812&lt;1,$H1812&gt;12,$I1812&lt;1,$I1812&gt;31),"نامعتبر",RIGHT("0000"&amp;$G1812,4)&amp;"/"&amp;RIGHT("00"&amp;$H1812,2)&amp;"/"&amp;RIGHT("00"&amp;$I1812,2)))</f>
        <v/>
      </c>
      <c r="K1812">
        <f>IF(OR($F1812="",$J1812="",$J1812="نامعتبر"),"",LEFT($J1812,4)&amp;MID($J1812,6,2)&amp;RIGHT($J1812,2)&amp;$N1812&amp;"|"&amp;"2"&amp;RIGHT("00000"&amp;1807,5))</f>
        <v/>
      </c>
      <c r="L1812">
        <f>IF($K1812="","",COUNTIFS(LdgPartyA,$F1812,LdgKeyA,"&lt;"&amp;$K1812)+COUNTIFS(LdgPartyB,$F1812,LdgKeyB,"&lt;"&amp;$K1812)+1)</f>
        <v/>
      </c>
      <c r="M1812">
        <f>IF($L1812="","",$F1812&amp;"|"&amp;RIGHT("000000"&amp;$L1812,6))</f>
        <v/>
      </c>
      <c r="N1812">
        <f>IF($F1812="","",IF(Sync!$AH1812="","0000",IF(AND(ISNUMBER(Sync!$AH1812),Sync!$AH1812&gt;=0,Sync!$AH1812&lt;1),RIGHT("00"&amp;HOUR(Sync!$AH1812),2)&amp;RIGHT("00"&amp;MINUTE(Sync!$AH1812),2),IFERROR(RIGHT("00"&amp;VALUE(LEFT(Sync!$AH1812,FIND(":",Sync!$AH1812)-1)),2)&amp;RIGHT("00"&amp;VALUE(MID(Sync!$AH1812,FIND(":",Sync!$AH1812)+1,2)),2),"0000"))))</f>
        <v/>
      </c>
    </row>
    <row r="1813">
      <c r="A1813">
        <f>IF(OR(Calc!$E1816="",Calc!$E1816="نامعتبر",Calc!$G1816="",Calc!$I1816&lt;&gt;"خرید"),"",Calc!$G1816)</f>
        <v/>
      </c>
      <c r="B1813">
        <f>IF($A1813="","",LEFT(Calc!$E1816,4)&amp;MID(Calc!$E1816,6,2)&amp;RIGHT(Calc!$E1816,2)&amp;Calc!$R1816&amp;"|"&amp;"1"&amp;RIGHT("00000"&amp;1808,5))</f>
        <v/>
      </c>
      <c r="C1813">
        <f>IF($B1813="","",COUNTIFS(LdgPartyA,$A1813,LdgKeyA,"&lt;"&amp;$B1813)+COUNTIFS(LdgPartyB,$A1813,LdgKeyB,"&lt;"&amp;$B1813)+1)</f>
        <v/>
      </c>
      <c r="D1813">
        <f>IF($C1813="","",$A1813&amp;"|"&amp;RIGHT("000000"&amp;$C1813,6))</f>
        <v/>
      </c>
      <c r="F1813">
        <f>IF(Sync!$AJ1813="","",Sync!$AJ1813)</f>
        <v/>
      </c>
      <c r="G1813">
        <f>IF($F1813="","",IF(Sync!$AG1813="","",IF(ISNUMBER(Sync!$AG1813),IF(AND(Sync!$AG1813&gt;=10000101,Sync!$AG1813&lt;=99991231),INT(Sync!$AG1813/10000),""),IFERROR(VALUE(TRIM(LEFT(Sync!$AG1813,FIND("/",Sync!$AG1813)-1))),""))))</f>
        <v/>
      </c>
      <c r="H1813">
        <f>IF(OR($F1813="",$G1813=""),"",IF(ISNUMBER(Sync!$AG1813),INT(MOD(Sync!$AG1813,10000)/100),IFERROR(VALUE(TRIM(LEFT(MID(Sync!$AG1813,FIND("/",Sync!$AG1813)+1,20),FIND("/",MID(Sync!$AG1813,FIND("/",Sync!$AG1813)+1,20))-1))),"")))</f>
        <v/>
      </c>
      <c r="I1813">
        <f>IF(OR($F1813="",$G1813=""),"",IF(ISNUMBER(Sync!$AG1813),MOD(Sync!$AG1813,100),IFERROR(VALUE(TRIM(MID(MID(Sync!$AG1813,FIND("/",Sync!$AG1813)+1,20),FIND("/",MID(Sync!$AG1813,FIND("/",Sync!$AG1813)+1,20))+1,20))),"")))</f>
        <v/>
      </c>
      <c r="J1813">
        <f>IF($F1813="","",IF(OR($G1813="",$H1813="",$I1813="",$G1813&lt;1300,$G1813&gt;1500,$H1813&lt;1,$H1813&gt;12,$I1813&lt;1,$I1813&gt;31),"نامعتبر",RIGHT("0000"&amp;$G1813,4)&amp;"/"&amp;RIGHT("00"&amp;$H1813,2)&amp;"/"&amp;RIGHT("00"&amp;$I1813,2)))</f>
        <v/>
      </c>
      <c r="K1813">
        <f>IF(OR($F1813="",$J1813="",$J1813="نامعتبر"),"",LEFT($J1813,4)&amp;MID($J1813,6,2)&amp;RIGHT($J1813,2)&amp;$N1813&amp;"|"&amp;"2"&amp;RIGHT("00000"&amp;1808,5))</f>
        <v/>
      </c>
      <c r="L1813">
        <f>IF($K1813="","",COUNTIFS(LdgPartyA,$F1813,LdgKeyA,"&lt;"&amp;$K1813)+COUNTIFS(LdgPartyB,$F1813,LdgKeyB,"&lt;"&amp;$K1813)+1)</f>
        <v/>
      </c>
      <c r="M1813">
        <f>IF($L1813="","",$F1813&amp;"|"&amp;RIGHT("000000"&amp;$L1813,6))</f>
        <v/>
      </c>
      <c r="N1813">
        <f>IF($F1813="","",IF(Sync!$AH1813="","0000",IF(AND(ISNUMBER(Sync!$AH1813),Sync!$AH1813&gt;=0,Sync!$AH1813&lt;1),RIGHT("00"&amp;HOUR(Sync!$AH1813),2)&amp;RIGHT("00"&amp;MINUTE(Sync!$AH1813),2),IFERROR(RIGHT("00"&amp;VALUE(LEFT(Sync!$AH1813,FIND(":",Sync!$AH1813)-1)),2)&amp;RIGHT("00"&amp;VALUE(MID(Sync!$AH1813,FIND(":",Sync!$AH1813)+1,2)),2),"0000"))))</f>
        <v/>
      </c>
    </row>
    <row r="1814">
      <c r="A1814">
        <f>IF(OR(Calc!$E1817="",Calc!$E1817="نامعتبر",Calc!$G1817="",Calc!$I1817&lt;&gt;"خرید"),"",Calc!$G1817)</f>
        <v/>
      </c>
      <c r="B1814">
        <f>IF($A1814="","",LEFT(Calc!$E1817,4)&amp;MID(Calc!$E1817,6,2)&amp;RIGHT(Calc!$E1817,2)&amp;Calc!$R1817&amp;"|"&amp;"1"&amp;RIGHT("00000"&amp;1809,5))</f>
        <v/>
      </c>
      <c r="C1814">
        <f>IF($B1814="","",COUNTIFS(LdgPartyA,$A1814,LdgKeyA,"&lt;"&amp;$B1814)+COUNTIFS(LdgPartyB,$A1814,LdgKeyB,"&lt;"&amp;$B1814)+1)</f>
        <v/>
      </c>
      <c r="D1814">
        <f>IF($C1814="","",$A1814&amp;"|"&amp;RIGHT("000000"&amp;$C1814,6))</f>
        <v/>
      </c>
      <c r="F1814">
        <f>IF(Sync!$AJ1814="","",Sync!$AJ1814)</f>
        <v/>
      </c>
      <c r="G1814">
        <f>IF($F1814="","",IF(Sync!$AG1814="","",IF(ISNUMBER(Sync!$AG1814),IF(AND(Sync!$AG1814&gt;=10000101,Sync!$AG1814&lt;=99991231),INT(Sync!$AG1814/10000),""),IFERROR(VALUE(TRIM(LEFT(Sync!$AG1814,FIND("/",Sync!$AG1814)-1))),""))))</f>
        <v/>
      </c>
      <c r="H1814">
        <f>IF(OR($F1814="",$G1814=""),"",IF(ISNUMBER(Sync!$AG1814),INT(MOD(Sync!$AG1814,10000)/100),IFERROR(VALUE(TRIM(LEFT(MID(Sync!$AG1814,FIND("/",Sync!$AG1814)+1,20),FIND("/",MID(Sync!$AG1814,FIND("/",Sync!$AG1814)+1,20))-1))),"")))</f>
        <v/>
      </c>
      <c r="I1814">
        <f>IF(OR($F1814="",$G1814=""),"",IF(ISNUMBER(Sync!$AG1814),MOD(Sync!$AG1814,100),IFERROR(VALUE(TRIM(MID(MID(Sync!$AG1814,FIND("/",Sync!$AG1814)+1,20),FIND("/",MID(Sync!$AG1814,FIND("/",Sync!$AG1814)+1,20))+1,20))),"")))</f>
        <v/>
      </c>
      <c r="J1814">
        <f>IF($F1814="","",IF(OR($G1814="",$H1814="",$I1814="",$G1814&lt;1300,$G1814&gt;1500,$H1814&lt;1,$H1814&gt;12,$I1814&lt;1,$I1814&gt;31),"نامعتبر",RIGHT("0000"&amp;$G1814,4)&amp;"/"&amp;RIGHT("00"&amp;$H1814,2)&amp;"/"&amp;RIGHT("00"&amp;$I1814,2)))</f>
        <v/>
      </c>
      <c r="K1814">
        <f>IF(OR($F1814="",$J1814="",$J1814="نامعتبر"),"",LEFT($J1814,4)&amp;MID($J1814,6,2)&amp;RIGHT($J1814,2)&amp;$N1814&amp;"|"&amp;"2"&amp;RIGHT("00000"&amp;1809,5))</f>
        <v/>
      </c>
      <c r="L1814">
        <f>IF($K1814="","",COUNTIFS(LdgPartyA,$F1814,LdgKeyA,"&lt;"&amp;$K1814)+COUNTIFS(LdgPartyB,$F1814,LdgKeyB,"&lt;"&amp;$K1814)+1)</f>
        <v/>
      </c>
      <c r="M1814">
        <f>IF($L1814="","",$F1814&amp;"|"&amp;RIGHT("000000"&amp;$L1814,6))</f>
        <v/>
      </c>
      <c r="N1814">
        <f>IF($F1814="","",IF(Sync!$AH1814="","0000",IF(AND(ISNUMBER(Sync!$AH1814),Sync!$AH1814&gt;=0,Sync!$AH1814&lt;1),RIGHT("00"&amp;HOUR(Sync!$AH1814),2)&amp;RIGHT("00"&amp;MINUTE(Sync!$AH1814),2),IFERROR(RIGHT("00"&amp;VALUE(LEFT(Sync!$AH1814,FIND(":",Sync!$AH1814)-1)),2)&amp;RIGHT("00"&amp;VALUE(MID(Sync!$AH1814,FIND(":",Sync!$AH1814)+1,2)),2),"0000"))))</f>
        <v/>
      </c>
    </row>
    <row r="1815">
      <c r="A1815">
        <f>IF(OR(Calc!$E1818="",Calc!$E1818="نامعتبر",Calc!$G1818="",Calc!$I1818&lt;&gt;"خرید"),"",Calc!$G1818)</f>
        <v/>
      </c>
      <c r="B1815">
        <f>IF($A1815="","",LEFT(Calc!$E1818,4)&amp;MID(Calc!$E1818,6,2)&amp;RIGHT(Calc!$E1818,2)&amp;Calc!$R1818&amp;"|"&amp;"1"&amp;RIGHT("00000"&amp;1810,5))</f>
        <v/>
      </c>
      <c r="C1815">
        <f>IF($B1815="","",COUNTIFS(LdgPartyA,$A1815,LdgKeyA,"&lt;"&amp;$B1815)+COUNTIFS(LdgPartyB,$A1815,LdgKeyB,"&lt;"&amp;$B1815)+1)</f>
        <v/>
      </c>
      <c r="D1815">
        <f>IF($C1815="","",$A1815&amp;"|"&amp;RIGHT("000000"&amp;$C1815,6))</f>
        <v/>
      </c>
      <c r="F1815">
        <f>IF(Sync!$AJ1815="","",Sync!$AJ1815)</f>
        <v/>
      </c>
      <c r="G1815">
        <f>IF($F1815="","",IF(Sync!$AG1815="","",IF(ISNUMBER(Sync!$AG1815),IF(AND(Sync!$AG1815&gt;=10000101,Sync!$AG1815&lt;=99991231),INT(Sync!$AG1815/10000),""),IFERROR(VALUE(TRIM(LEFT(Sync!$AG1815,FIND("/",Sync!$AG1815)-1))),""))))</f>
        <v/>
      </c>
      <c r="H1815">
        <f>IF(OR($F1815="",$G1815=""),"",IF(ISNUMBER(Sync!$AG1815),INT(MOD(Sync!$AG1815,10000)/100),IFERROR(VALUE(TRIM(LEFT(MID(Sync!$AG1815,FIND("/",Sync!$AG1815)+1,20),FIND("/",MID(Sync!$AG1815,FIND("/",Sync!$AG1815)+1,20))-1))),"")))</f>
        <v/>
      </c>
      <c r="I1815">
        <f>IF(OR($F1815="",$G1815=""),"",IF(ISNUMBER(Sync!$AG1815),MOD(Sync!$AG1815,100),IFERROR(VALUE(TRIM(MID(MID(Sync!$AG1815,FIND("/",Sync!$AG1815)+1,20),FIND("/",MID(Sync!$AG1815,FIND("/",Sync!$AG1815)+1,20))+1,20))),"")))</f>
        <v/>
      </c>
      <c r="J1815">
        <f>IF($F1815="","",IF(OR($G1815="",$H1815="",$I1815="",$G1815&lt;1300,$G1815&gt;1500,$H1815&lt;1,$H1815&gt;12,$I1815&lt;1,$I1815&gt;31),"نامعتبر",RIGHT("0000"&amp;$G1815,4)&amp;"/"&amp;RIGHT("00"&amp;$H1815,2)&amp;"/"&amp;RIGHT("00"&amp;$I1815,2)))</f>
        <v/>
      </c>
      <c r="K1815">
        <f>IF(OR($F1815="",$J1815="",$J1815="نامعتبر"),"",LEFT($J1815,4)&amp;MID($J1815,6,2)&amp;RIGHT($J1815,2)&amp;$N1815&amp;"|"&amp;"2"&amp;RIGHT("00000"&amp;1810,5))</f>
        <v/>
      </c>
      <c r="L1815">
        <f>IF($K1815="","",COUNTIFS(LdgPartyA,$F1815,LdgKeyA,"&lt;"&amp;$K1815)+COUNTIFS(LdgPartyB,$F1815,LdgKeyB,"&lt;"&amp;$K1815)+1)</f>
        <v/>
      </c>
      <c r="M1815">
        <f>IF($L1815="","",$F1815&amp;"|"&amp;RIGHT("000000"&amp;$L1815,6))</f>
        <v/>
      </c>
      <c r="N1815">
        <f>IF($F1815="","",IF(Sync!$AH1815="","0000",IF(AND(ISNUMBER(Sync!$AH1815),Sync!$AH1815&gt;=0,Sync!$AH1815&lt;1),RIGHT("00"&amp;HOUR(Sync!$AH1815),2)&amp;RIGHT("00"&amp;MINUTE(Sync!$AH1815),2),IFERROR(RIGHT("00"&amp;VALUE(LEFT(Sync!$AH1815,FIND(":",Sync!$AH1815)-1)),2)&amp;RIGHT("00"&amp;VALUE(MID(Sync!$AH1815,FIND(":",Sync!$AH1815)+1,2)),2),"0000"))))</f>
        <v/>
      </c>
    </row>
    <row r="1816">
      <c r="A1816">
        <f>IF(OR(Calc!$E1819="",Calc!$E1819="نامعتبر",Calc!$G1819="",Calc!$I1819&lt;&gt;"خرید"),"",Calc!$G1819)</f>
        <v/>
      </c>
      <c r="B1816">
        <f>IF($A1816="","",LEFT(Calc!$E1819,4)&amp;MID(Calc!$E1819,6,2)&amp;RIGHT(Calc!$E1819,2)&amp;Calc!$R1819&amp;"|"&amp;"1"&amp;RIGHT("00000"&amp;1811,5))</f>
        <v/>
      </c>
      <c r="C1816">
        <f>IF($B1816="","",COUNTIFS(LdgPartyA,$A1816,LdgKeyA,"&lt;"&amp;$B1816)+COUNTIFS(LdgPartyB,$A1816,LdgKeyB,"&lt;"&amp;$B1816)+1)</f>
        <v/>
      </c>
      <c r="D1816">
        <f>IF($C1816="","",$A1816&amp;"|"&amp;RIGHT("000000"&amp;$C1816,6))</f>
        <v/>
      </c>
      <c r="F1816">
        <f>IF(Sync!$AJ1816="","",Sync!$AJ1816)</f>
        <v/>
      </c>
      <c r="G1816">
        <f>IF($F1816="","",IF(Sync!$AG1816="","",IF(ISNUMBER(Sync!$AG1816),IF(AND(Sync!$AG1816&gt;=10000101,Sync!$AG1816&lt;=99991231),INT(Sync!$AG1816/10000),""),IFERROR(VALUE(TRIM(LEFT(Sync!$AG1816,FIND("/",Sync!$AG1816)-1))),""))))</f>
        <v/>
      </c>
      <c r="H1816">
        <f>IF(OR($F1816="",$G1816=""),"",IF(ISNUMBER(Sync!$AG1816),INT(MOD(Sync!$AG1816,10000)/100),IFERROR(VALUE(TRIM(LEFT(MID(Sync!$AG1816,FIND("/",Sync!$AG1816)+1,20),FIND("/",MID(Sync!$AG1816,FIND("/",Sync!$AG1816)+1,20))-1))),"")))</f>
        <v/>
      </c>
      <c r="I1816">
        <f>IF(OR($F1816="",$G1816=""),"",IF(ISNUMBER(Sync!$AG1816),MOD(Sync!$AG1816,100),IFERROR(VALUE(TRIM(MID(MID(Sync!$AG1816,FIND("/",Sync!$AG1816)+1,20),FIND("/",MID(Sync!$AG1816,FIND("/",Sync!$AG1816)+1,20))+1,20))),"")))</f>
        <v/>
      </c>
      <c r="J1816">
        <f>IF($F1816="","",IF(OR($G1816="",$H1816="",$I1816="",$G1816&lt;1300,$G1816&gt;1500,$H1816&lt;1,$H1816&gt;12,$I1816&lt;1,$I1816&gt;31),"نامعتبر",RIGHT("0000"&amp;$G1816,4)&amp;"/"&amp;RIGHT("00"&amp;$H1816,2)&amp;"/"&amp;RIGHT("00"&amp;$I1816,2)))</f>
        <v/>
      </c>
      <c r="K1816">
        <f>IF(OR($F1816="",$J1816="",$J1816="نامعتبر"),"",LEFT($J1816,4)&amp;MID($J1816,6,2)&amp;RIGHT($J1816,2)&amp;$N1816&amp;"|"&amp;"2"&amp;RIGHT("00000"&amp;1811,5))</f>
        <v/>
      </c>
      <c r="L1816">
        <f>IF($K1816="","",COUNTIFS(LdgPartyA,$F1816,LdgKeyA,"&lt;"&amp;$K1816)+COUNTIFS(LdgPartyB,$F1816,LdgKeyB,"&lt;"&amp;$K1816)+1)</f>
        <v/>
      </c>
      <c r="M1816">
        <f>IF($L1816="","",$F1816&amp;"|"&amp;RIGHT("000000"&amp;$L1816,6))</f>
        <v/>
      </c>
      <c r="N1816">
        <f>IF($F1816="","",IF(Sync!$AH1816="","0000",IF(AND(ISNUMBER(Sync!$AH1816),Sync!$AH1816&gt;=0,Sync!$AH1816&lt;1),RIGHT("00"&amp;HOUR(Sync!$AH1816),2)&amp;RIGHT("00"&amp;MINUTE(Sync!$AH1816),2),IFERROR(RIGHT("00"&amp;VALUE(LEFT(Sync!$AH1816,FIND(":",Sync!$AH1816)-1)),2)&amp;RIGHT("00"&amp;VALUE(MID(Sync!$AH1816,FIND(":",Sync!$AH1816)+1,2)),2),"0000"))))</f>
        <v/>
      </c>
    </row>
    <row r="1817">
      <c r="A1817">
        <f>IF(OR(Calc!$E1820="",Calc!$E1820="نامعتبر",Calc!$G1820="",Calc!$I1820&lt;&gt;"خرید"),"",Calc!$G1820)</f>
        <v/>
      </c>
      <c r="B1817">
        <f>IF($A1817="","",LEFT(Calc!$E1820,4)&amp;MID(Calc!$E1820,6,2)&amp;RIGHT(Calc!$E1820,2)&amp;Calc!$R1820&amp;"|"&amp;"1"&amp;RIGHT("00000"&amp;1812,5))</f>
        <v/>
      </c>
      <c r="C1817">
        <f>IF($B1817="","",COUNTIFS(LdgPartyA,$A1817,LdgKeyA,"&lt;"&amp;$B1817)+COUNTIFS(LdgPartyB,$A1817,LdgKeyB,"&lt;"&amp;$B1817)+1)</f>
        <v/>
      </c>
      <c r="D1817">
        <f>IF($C1817="","",$A1817&amp;"|"&amp;RIGHT("000000"&amp;$C1817,6))</f>
        <v/>
      </c>
      <c r="F1817">
        <f>IF(Sync!$AJ1817="","",Sync!$AJ1817)</f>
        <v/>
      </c>
      <c r="G1817">
        <f>IF($F1817="","",IF(Sync!$AG1817="","",IF(ISNUMBER(Sync!$AG1817),IF(AND(Sync!$AG1817&gt;=10000101,Sync!$AG1817&lt;=99991231),INT(Sync!$AG1817/10000),""),IFERROR(VALUE(TRIM(LEFT(Sync!$AG1817,FIND("/",Sync!$AG1817)-1))),""))))</f>
        <v/>
      </c>
      <c r="H1817">
        <f>IF(OR($F1817="",$G1817=""),"",IF(ISNUMBER(Sync!$AG1817),INT(MOD(Sync!$AG1817,10000)/100),IFERROR(VALUE(TRIM(LEFT(MID(Sync!$AG1817,FIND("/",Sync!$AG1817)+1,20),FIND("/",MID(Sync!$AG1817,FIND("/",Sync!$AG1817)+1,20))-1))),"")))</f>
        <v/>
      </c>
      <c r="I1817">
        <f>IF(OR($F1817="",$G1817=""),"",IF(ISNUMBER(Sync!$AG1817),MOD(Sync!$AG1817,100),IFERROR(VALUE(TRIM(MID(MID(Sync!$AG1817,FIND("/",Sync!$AG1817)+1,20),FIND("/",MID(Sync!$AG1817,FIND("/",Sync!$AG1817)+1,20))+1,20))),"")))</f>
        <v/>
      </c>
      <c r="J1817">
        <f>IF($F1817="","",IF(OR($G1817="",$H1817="",$I1817="",$G1817&lt;1300,$G1817&gt;1500,$H1817&lt;1,$H1817&gt;12,$I1817&lt;1,$I1817&gt;31),"نامعتبر",RIGHT("0000"&amp;$G1817,4)&amp;"/"&amp;RIGHT("00"&amp;$H1817,2)&amp;"/"&amp;RIGHT("00"&amp;$I1817,2)))</f>
        <v/>
      </c>
      <c r="K1817">
        <f>IF(OR($F1817="",$J1817="",$J1817="نامعتبر"),"",LEFT($J1817,4)&amp;MID($J1817,6,2)&amp;RIGHT($J1817,2)&amp;$N1817&amp;"|"&amp;"2"&amp;RIGHT("00000"&amp;1812,5))</f>
        <v/>
      </c>
      <c r="L1817">
        <f>IF($K1817="","",COUNTIFS(LdgPartyA,$F1817,LdgKeyA,"&lt;"&amp;$K1817)+COUNTIFS(LdgPartyB,$F1817,LdgKeyB,"&lt;"&amp;$K1817)+1)</f>
        <v/>
      </c>
      <c r="M1817">
        <f>IF($L1817="","",$F1817&amp;"|"&amp;RIGHT("000000"&amp;$L1817,6))</f>
        <v/>
      </c>
      <c r="N1817">
        <f>IF($F1817="","",IF(Sync!$AH1817="","0000",IF(AND(ISNUMBER(Sync!$AH1817),Sync!$AH1817&gt;=0,Sync!$AH1817&lt;1),RIGHT("00"&amp;HOUR(Sync!$AH1817),2)&amp;RIGHT("00"&amp;MINUTE(Sync!$AH1817),2),IFERROR(RIGHT("00"&amp;VALUE(LEFT(Sync!$AH1817,FIND(":",Sync!$AH1817)-1)),2)&amp;RIGHT("00"&amp;VALUE(MID(Sync!$AH1817,FIND(":",Sync!$AH1817)+1,2)),2),"0000"))))</f>
        <v/>
      </c>
    </row>
    <row r="1818">
      <c r="A1818">
        <f>IF(OR(Calc!$E1821="",Calc!$E1821="نامعتبر",Calc!$G1821="",Calc!$I1821&lt;&gt;"خرید"),"",Calc!$G1821)</f>
        <v/>
      </c>
      <c r="B1818">
        <f>IF($A1818="","",LEFT(Calc!$E1821,4)&amp;MID(Calc!$E1821,6,2)&amp;RIGHT(Calc!$E1821,2)&amp;Calc!$R1821&amp;"|"&amp;"1"&amp;RIGHT("00000"&amp;1813,5))</f>
        <v/>
      </c>
      <c r="C1818">
        <f>IF($B1818="","",COUNTIFS(LdgPartyA,$A1818,LdgKeyA,"&lt;"&amp;$B1818)+COUNTIFS(LdgPartyB,$A1818,LdgKeyB,"&lt;"&amp;$B1818)+1)</f>
        <v/>
      </c>
      <c r="D1818">
        <f>IF($C1818="","",$A1818&amp;"|"&amp;RIGHT("000000"&amp;$C1818,6))</f>
        <v/>
      </c>
      <c r="F1818">
        <f>IF(Sync!$AJ1818="","",Sync!$AJ1818)</f>
        <v/>
      </c>
      <c r="G1818">
        <f>IF($F1818="","",IF(Sync!$AG1818="","",IF(ISNUMBER(Sync!$AG1818),IF(AND(Sync!$AG1818&gt;=10000101,Sync!$AG1818&lt;=99991231),INT(Sync!$AG1818/10000),""),IFERROR(VALUE(TRIM(LEFT(Sync!$AG1818,FIND("/",Sync!$AG1818)-1))),""))))</f>
        <v/>
      </c>
      <c r="H1818">
        <f>IF(OR($F1818="",$G1818=""),"",IF(ISNUMBER(Sync!$AG1818),INT(MOD(Sync!$AG1818,10000)/100),IFERROR(VALUE(TRIM(LEFT(MID(Sync!$AG1818,FIND("/",Sync!$AG1818)+1,20),FIND("/",MID(Sync!$AG1818,FIND("/",Sync!$AG1818)+1,20))-1))),"")))</f>
        <v/>
      </c>
      <c r="I1818">
        <f>IF(OR($F1818="",$G1818=""),"",IF(ISNUMBER(Sync!$AG1818),MOD(Sync!$AG1818,100),IFERROR(VALUE(TRIM(MID(MID(Sync!$AG1818,FIND("/",Sync!$AG1818)+1,20),FIND("/",MID(Sync!$AG1818,FIND("/",Sync!$AG1818)+1,20))+1,20))),"")))</f>
        <v/>
      </c>
      <c r="J1818">
        <f>IF($F1818="","",IF(OR($G1818="",$H1818="",$I1818="",$G1818&lt;1300,$G1818&gt;1500,$H1818&lt;1,$H1818&gt;12,$I1818&lt;1,$I1818&gt;31),"نامعتبر",RIGHT("0000"&amp;$G1818,4)&amp;"/"&amp;RIGHT("00"&amp;$H1818,2)&amp;"/"&amp;RIGHT("00"&amp;$I1818,2)))</f>
        <v/>
      </c>
      <c r="K1818">
        <f>IF(OR($F1818="",$J1818="",$J1818="نامعتبر"),"",LEFT($J1818,4)&amp;MID($J1818,6,2)&amp;RIGHT($J1818,2)&amp;$N1818&amp;"|"&amp;"2"&amp;RIGHT("00000"&amp;1813,5))</f>
        <v/>
      </c>
      <c r="L1818">
        <f>IF($K1818="","",COUNTIFS(LdgPartyA,$F1818,LdgKeyA,"&lt;"&amp;$K1818)+COUNTIFS(LdgPartyB,$F1818,LdgKeyB,"&lt;"&amp;$K1818)+1)</f>
        <v/>
      </c>
      <c r="M1818">
        <f>IF($L1818="","",$F1818&amp;"|"&amp;RIGHT("000000"&amp;$L1818,6))</f>
        <v/>
      </c>
      <c r="N1818">
        <f>IF($F1818="","",IF(Sync!$AH1818="","0000",IF(AND(ISNUMBER(Sync!$AH1818),Sync!$AH1818&gt;=0,Sync!$AH1818&lt;1),RIGHT("00"&amp;HOUR(Sync!$AH1818),2)&amp;RIGHT("00"&amp;MINUTE(Sync!$AH1818),2),IFERROR(RIGHT("00"&amp;VALUE(LEFT(Sync!$AH1818,FIND(":",Sync!$AH1818)-1)),2)&amp;RIGHT("00"&amp;VALUE(MID(Sync!$AH1818,FIND(":",Sync!$AH1818)+1,2)),2),"0000"))))</f>
        <v/>
      </c>
    </row>
    <row r="1819">
      <c r="A1819">
        <f>IF(OR(Calc!$E1822="",Calc!$E1822="نامعتبر",Calc!$G1822="",Calc!$I1822&lt;&gt;"خرید"),"",Calc!$G1822)</f>
        <v/>
      </c>
      <c r="B1819">
        <f>IF($A1819="","",LEFT(Calc!$E1822,4)&amp;MID(Calc!$E1822,6,2)&amp;RIGHT(Calc!$E1822,2)&amp;Calc!$R1822&amp;"|"&amp;"1"&amp;RIGHT("00000"&amp;1814,5))</f>
        <v/>
      </c>
      <c r="C1819">
        <f>IF($B1819="","",COUNTIFS(LdgPartyA,$A1819,LdgKeyA,"&lt;"&amp;$B1819)+COUNTIFS(LdgPartyB,$A1819,LdgKeyB,"&lt;"&amp;$B1819)+1)</f>
        <v/>
      </c>
      <c r="D1819">
        <f>IF($C1819="","",$A1819&amp;"|"&amp;RIGHT("000000"&amp;$C1819,6))</f>
        <v/>
      </c>
      <c r="F1819">
        <f>IF(Sync!$AJ1819="","",Sync!$AJ1819)</f>
        <v/>
      </c>
      <c r="G1819">
        <f>IF($F1819="","",IF(Sync!$AG1819="","",IF(ISNUMBER(Sync!$AG1819),IF(AND(Sync!$AG1819&gt;=10000101,Sync!$AG1819&lt;=99991231),INT(Sync!$AG1819/10000),""),IFERROR(VALUE(TRIM(LEFT(Sync!$AG1819,FIND("/",Sync!$AG1819)-1))),""))))</f>
        <v/>
      </c>
      <c r="H1819">
        <f>IF(OR($F1819="",$G1819=""),"",IF(ISNUMBER(Sync!$AG1819),INT(MOD(Sync!$AG1819,10000)/100),IFERROR(VALUE(TRIM(LEFT(MID(Sync!$AG1819,FIND("/",Sync!$AG1819)+1,20),FIND("/",MID(Sync!$AG1819,FIND("/",Sync!$AG1819)+1,20))-1))),"")))</f>
        <v/>
      </c>
      <c r="I1819">
        <f>IF(OR($F1819="",$G1819=""),"",IF(ISNUMBER(Sync!$AG1819),MOD(Sync!$AG1819,100),IFERROR(VALUE(TRIM(MID(MID(Sync!$AG1819,FIND("/",Sync!$AG1819)+1,20),FIND("/",MID(Sync!$AG1819,FIND("/",Sync!$AG1819)+1,20))+1,20))),"")))</f>
        <v/>
      </c>
      <c r="J1819">
        <f>IF($F1819="","",IF(OR($G1819="",$H1819="",$I1819="",$G1819&lt;1300,$G1819&gt;1500,$H1819&lt;1,$H1819&gt;12,$I1819&lt;1,$I1819&gt;31),"نامعتبر",RIGHT("0000"&amp;$G1819,4)&amp;"/"&amp;RIGHT("00"&amp;$H1819,2)&amp;"/"&amp;RIGHT("00"&amp;$I1819,2)))</f>
        <v/>
      </c>
      <c r="K1819">
        <f>IF(OR($F1819="",$J1819="",$J1819="نامعتبر"),"",LEFT($J1819,4)&amp;MID($J1819,6,2)&amp;RIGHT($J1819,2)&amp;$N1819&amp;"|"&amp;"2"&amp;RIGHT("00000"&amp;1814,5))</f>
        <v/>
      </c>
      <c r="L1819">
        <f>IF($K1819="","",COUNTIFS(LdgPartyA,$F1819,LdgKeyA,"&lt;"&amp;$K1819)+COUNTIFS(LdgPartyB,$F1819,LdgKeyB,"&lt;"&amp;$K1819)+1)</f>
        <v/>
      </c>
      <c r="M1819">
        <f>IF($L1819="","",$F1819&amp;"|"&amp;RIGHT("000000"&amp;$L1819,6))</f>
        <v/>
      </c>
      <c r="N1819">
        <f>IF($F1819="","",IF(Sync!$AH1819="","0000",IF(AND(ISNUMBER(Sync!$AH1819),Sync!$AH1819&gt;=0,Sync!$AH1819&lt;1),RIGHT("00"&amp;HOUR(Sync!$AH1819),2)&amp;RIGHT("00"&amp;MINUTE(Sync!$AH1819),2),IFERROR(RIGHT("00"&amp;VALUE(LEFT(Sync!$AH1819,FIND(":",Sync!$AH1819)-1)),2)&amp;RIGHT("00"&amp;VALUE(MID(Sync!$AH1819,FIND(":",Sync!$AH1819)+1,2)),2),"0000"))))</f>
        <v/>
      </c>
    </row>
    <row r="1820">
      <c r="A1820">
        <f>IF(OR(Calc!$E1823="",Calc!$E1823="نامعتبر",Calc!$G1823="",Calc!$I1823&lt;&gt;"خرید"),"",Calc!$G1823)</f>
        <v/>
      </c>
      <c r="B1820">
        <f>IF($A1820="","",LEFT(Calc!$E1823,4)&amp;MID(Calc!$E1823,6,2)&amp;RIGHT(Calc!$E1823,2)&amp;Calc!$R1823&amp;"|"&amp;"1"&amp;RIGHT("00000"&amp;1815,5))</f>
        <v/>
      </c>
      <c r="C1820">
        <f>IF($B1820="","",COUNTIFS(LdgPartyA,$A1820,LdgKeyA,"&lt;"&amp;$B1820)+COUNTIFS(LdgPartyB,$A1820,LdgKeyB,"&lt;"&amp;$B1820)+1)</f>
        <v/>
      </c>
      <c r="D1820">
        <f>IF($C1820="","",$A1820&amp;"|"&amp;RIGHT("000000"&amp;$C1820,6))</f>
        <v/>
      </c>
      <c r="F1820">
        <f>IF(Sync!$AJ1820="","",Sync!$AJ1820)</f>
        <v/>
      </c>
      <c r="G1820">
        <f>IF($F1820="","",IF(Sync!$AG1820="","",IF(ISNUMBER(Sync!$AG1820),IF(AND(Sync!$AG1820&gt;=10000101,Sync!$AG1820&lt;=99991231),INT(Sync!$AG1820/10000),""),IFERROR(VALUE(TRIM(LEFT(Sync!$AG1820,FIND("/",Sync!$AG1820)-1))),""))))</f>
        <v/>
      </c>
      <c r="H1820">
        <f>IF(OR($F1820="",$G1820=""),"",IF(ISNUMBER(Sync!$AG1820),INT(MOD(Sync!$AG1820,10000)/100),IFERROR(VALUE(TRIM(LEFT(MID(Sync!$AG1820,FIND("/",Sync!$AG1820)+1,20),FIND("/",MID(Sync!$AG1820,FIND("/",Sync!$AG1820)+1,20))-1))),"")))</f>
        <v/>
      </c>
      <c r="I1820">
        <f>IF(OR($F1820="",$G1820=""),"",IF(ISNUMBER(Sync!$AG1820),MOD(Sync!$AG1820,100),IFERROR(VALUE(TRIM(MID(MID(Sync!$AG1820,FIND("/",Sync!$AG1820)+1,20),FIND("/",MID(Sync!$AG1820,FIND("/",Sync!$AG1820)+1,20))+1,20))),"")))</f>
        <v/>
      </c>
      <c r="J1820">
        <f>IF($F1820="","",IF(OR($G1820="",$H1820="",$I1820="",$G1820&lt;1300,$G1820&gt;1500,$H1820&lt;1,$H1820&gt;12,$I1820&lt;1,$I1820&gt;31),"نامعتبر",RIGHT("0000"&amp;$G1820,4)&amp;"/"&amp;RIGHT("00"&amp;$H1820,2)&amp;"/"&amp;RIGHT("00"&amp;$I1820,2)))</f>
        <v/>
      </c>
      <c r="K1820">
        <f>IF(OR($F1820="",$J1820="",$J1820="نامعتبر"),"",LEFT($J1820,4)&amp;MID($J1820,6,2)&amp;RIGHT($J1820,2)&amp;$N1820&amp;"|"&amp;"2"&amp;RIGHT("00000"&amp;1815,5))</f>
        <v/>
      </c>
      <c r="L1820">
        <f>IF($K1820="","",COUNTIFS(LdgPartyA,$F1820,LdgKeyA,"&lt;"&amp;$K1820)+COUNTIFS(LdgPartyB,$F1820,LdgKeyB,"&lt;"&amp;$K1820)+1)</f>
        <v/>
      </c>
      <c r="M1820">
        <f>IF($L1820="","",$F1820&amp;"|"&amp;RIGHT("000000"&amp;$L1820,6))</f>
        <v/>
      </c>
      <c r="N1820">
        <f>IF($F1820="","",IF(Sync!$AH1820="","0000",IF(AND(ISNUMBER(Sync!$AH1820),Sync!$AH1820&gt;=0,Sync!$AH1820&lt;1),RIGHT("00"&amp;HOUR(Sync!$AH1820),2)&amp;RIGHT("00"&amp;MINUTE(Sync!$AH1820),2),IFERROR(RIGHT("00"&amp;VALUE(LEFT(Sync!$AH1820,FIND(":",Sync!$AH1820)-1)),2)&amp;RIGHT("00"&amp;VALUE(MID(Sync!$AH1820,FIND(":",Sync!$AH1820)+1,2)),2),"0000"))))</f>
        <v/>
      </c>
    </row>
    <row r="1821">
      <c r="A1821">
        <f>IF(OR(Calc!$E1824="",Calc!$E1824="نامعتبر",Calc!$G1824="",Calc!$I1824&lt;&gt;"خرید"),"",Calc!$G1824)</f>
        <v/>
      </c>
      <c r="B1821">
        <f>IF($A1821="","",LEFT(Calc!$E1824,4)&amp;MID(Calc!$E1824,6,2)&amp;RIGHT(Calc!$E1824,2)&amp;Calc!$R1824&amp;"|"&amp;"1"&amp;RIGHT("00000"&amp;1816,5))</f>
        <v/>
      </c>
      <c r="C1821">
        <f>IF($B1821="","",COUNTIFS(LdgPartyA,$A1821,LdgKeyA,"&lt;"&amp;$B1821)+COUNTIFS(LdgPartyB,$A1821,LdgKeyB,"&lt;"&amp;$B1821)+1)</f>
        <v/>
      </c>
      <c r="D1821">
        <f>IF($C1821="","",$A1821&amp;"|"&amp;RIGHT("000000"&amp;$C1821,6))</f>
        <v/>
      </c>
      <c r="F1821">
        <f>IF(Sync!$AJ1821="","",Sync!$AJ1821)</f>
        <v/>
      </c>
      <c r="G1821">
        <f>IF($F1821="","",IF(Sync!$AG1821="","",IF(ISNUMBER(Sync!$AG1821),IF(AND(Sync!$AG1821&gt;=10000101,Sync!$AG1821&lt;=99991231),INT(Sync!$AG1821/10000),""),IFERROR(VALUE(TRIM(LEFT(Sync!$AG1821,FIND("/",Sync!$AG1821)-1))),""))))</f>
        <v/>
      </c>
      <c r="H1821">
        <f>IF(OR($F1821="",$G1821=""),"",IF(ISNUMBER(Sync!$AG1821),INT(MOD(Sync!$AG1821,10000)/100),IFERROR(VALUE(TRIM(LEFT(MID(Sync!$AG1821,FIND("/",Sync!$AG1821)+1,20),FIND("/",MID(Sync!$AG1821,FIND("/",Sync!$AG1821)+1,20))-1))),"")))</f>
        <v/>
      </c>
      <c r="I1821">
        <f>IF(OR($F1821="",$G1821=""),"",IF(ISNUMBER(Sync!$AG1821),MOD(Sync!$AG1821,100),IFERROR(VALUE(TRIM(MID(MID(Sync!$AG1821,FIND("/",Sync!$AG1821)+1,20),FIND("/",MID(Sync!$AG1821,FIND("/",Sync!$AG1821)+1,20))+1,20))),"")))</f>
        <v/>
      </c>
      <c r="J1821">
        <f>IF($F1821="","",IF(OR($G1821="",$H1821="",$I1821="",$G1821&lt;1300,$G1821&gt;1500,$H1821&lt;1,$H1821&gt;12,$I1821&lt;1,$I1821&gt;31),"نامعتبر",RIGHT("0000"&amp;$G1821,4)&amp;"/"&amp;RIGHT("00"&amp;$H1821,2)&amp;"/"&amp;RIGHT("00"&amp;$I1821,2)))</f>
        <v/>
      </c>
      <c r="K1821">
        <f>IF(OR($F1821="",$J1821="",$J1821="نامعتبر"),"",LEFT($J1821,4)&amp;MID($J1821,6,2)&amp;RIGHT($J1821,2)&amp;$N1821&amp;"|"&amp;"2"&amp;RIGHT("00000"&amp;1816,5))</f>
        <v/>
      </c>
      <c r="L1821">
        <f>IF($K1821="","",COUNTIFS(LdgPartyA,$F1821,LdgKeyA,"&lt;"&amp;$K1821)+COUNTIFS(LdgPartyB,$F1821,LdgKeyB,"&lt;"&amp;$K1821)+1)</f>
        <v/>
      </c>
      <c r="M1821">
        <f>IF($L1821="","",$F1821&amp;"|"&amp;RIGHT("000000"&amp;$L1821,6))</f>
        <v/>
      </c>
      <c r="N1821">
        <f>IF($F1821="","",IF(Sync!$AH1821="","0000",IF(AND(ISNUMBER(Sync!$AH1821),Sync!$AH1821&gt;=0,Sync!$AH1821&lt;1),RIGHT("00"&amp;HOUR(Sync!$AH1821),2)&amp;RIGHT("00"&amp;MINUTE(Sync!$AH1821),2),IFERROR(RIGHT("00"&amp;VALUE(LEFT(Sync!$AH1821,FIND(":",Sync!$AH1821)-1)),2)&amp;RIGHT("00"&amp;VALUE(MID(Sync!$AH1821,FIND(":",Sync!$AH1821)+1,2)),2),"0000"))))</f>
        <v/>
      </c>
    </row>
    <row r="1822">
      <c r="A1822">
        <f>IF(OR(Calc!$E1825="",Calc!$E1825="نامعتبر",Calc!$G1825="",Calc!$I1825&lt;&gt;"خرید"),"",Calc!$G1825)</f>
        <v/>
      </c>
      <c r="B1822">
        <f>IF($A1822="","",LEFT(Calc!$E1825,4)&amp;MID(Calc!$E1825,6,2)&amp;RIGHT(Calc!$E1825,2)&amp;Calc!$R1825&amp;"|"&amp;"1"&amp;RIGHT("00000"&amp;1817,5))</f>
        <v/>
      </c>
      <c r="C1822">
        <f>IF($B1822="","",COUNTIFS(LdgPartyA,$A1822,LdgKeyA,"&lt;"&amp;$B1822)+COUNTIFS(LdgPartyB,$A1822,LdgKeyB,"&lt;"&amp;$B1822)+1)</f>
        <v/>
      </c>
      <c r="D1822">
        <f>IF($C1822="","",$A1822&amp;"|"&amp;RIGHT("000000"&amp;$C1822,6))</f>
        <v/>
      </c>
      <c r="F1822">
        <f>IF(Sync!$AJ1822="","",Sync!$AJ1822)</f>
        <v/>
      </c>
      <c r="G1822">
        <f>IF($F1822="","",IF(Sync!$AG1822="","",IF(ISNUMBER(Sync!$AG1822),IF(AND(Sync!$AG1822&gt;=10000101,Sync!$AG1822&lt;=99991231),INT(Sync!$AG1822/10000),""),IFERROR(VALUE(TRIM(LEFT(Sync!$AG1822,FIND("/",Sync!$AG1822)-1))),""))))</f>
        <v/>
      </c>
      <c r="H1822">
        <f>IF(OR($F1822="",$G1822=""),"",IF(ISNUMBER(Sync!$AG1822),INT(MOD(Sync!$AG1822,10000)/100),IFERROR(VALUE(TRIM(LEFT(MID(Sync!$AG1822,FIND("/",Sync!$AG1822)+1,20),FIND("/",MID(Sync!$AG1822,FIND("/",Sync!$AG1822)+1,20))-1))),"")))</f>
        <v/>
      </c>
      <c r="I1822">
        <f>IF(OR($F1822="",$G1822=""),"",IF(ISNUMBER(Sync!$AG1822),MOD(Sync!$AG1822,100),IFERROR(VALUE(TRIM(MID(MID(Sync!$AG1822,FIND("/",Sync!$AG1822)+1,20),FIND("/",MID(Sync!$AG1822,FIND("/",Sync!$AG1822)+1,20))+1,20))),"")))</f>
        <v/>
      </c>
      <c r="J1822">
        <f>IF($F1822="","",IF(OR($G1822="",$H1822="",$I1822="",$G1822&lt;1300,$G1822&gt;1500,$H1822&lt;1,$H1822&gt;12,$I1822&lt;1,$I1822&gt;31),"نامعتبر",RIGHT("0000"&amp;$G1822,4)&amp;"/"&amp;RIGHT("00"&amp;$H1822,2)&amp;"/"&amp;RIGHT("00"&amp;$I1822,2)))</f>
        <v/>
      </c>
      <c r="K1822">
        <f>IF(OR($F1822="",$J1822="",$J1822="نامعتبر"),"",LEFT($J1822,4)&amp;MID($J1822,6,2)&amp;RIGHT($J1822,2)&amp;$N1822&amp;"|"&amp;"2"&amp;RIGHT("00000"&amp;1817,5))</f>
        <v/>
      </c>
      <c r="L1822">
        <f>IF($K1822="","",COUNTIFS(LdgPartyA,$F1822,LdgKeyA,"&lt;"&amp;$K1822)+COUNTIFS(LdgPartyB,$F1822,LdgKeyB,"&lt;"&amp;$K1822)+1)</f>
        <v/>
      </c>
      <c r="M1822">
        <f>IF($L1822="","",$F1822&amp;"|"&amp;RIGHT("000000"&amp;$L1822,6))</f>
        <v/>
      </c>
      <c r="N1822">
        <f>IF($F1822="","",IF(Sync!$AH1822="","0000",IF(AND(ISNUMBER(Sync!$AH1822),Sync!$AH1822&gt;=0,Sync!$AH1822&lt;1),RIGHT("00"&amp;HOUR(Sync!$AH1822),2)&amp;RIGHT("00"&amp;MINUTE(Sync!$AH1822),2),IFERROR(RIGHT("00"&amp;VALUE(LEFT(Sync!$AH1822,FIND(":",Sync!$AH1822)-1)),2)&amp;RIGHT("00"&amp;VALUE(MID(Sync!$AH1822,FIND(":",Sync!$AH1822)+1,2)),2),"0000"))))</f>
        <v/>
      </c>
    </row>
    <row r="1823">
      <c r="A1823">
        <f>IF(OR(Calc!$E1826="",Calc!$E1826="نامعتبر",Calc!$G1826="",Calc!$I1826&lt;&gt;"خرید"),"",Calc!$G1826)</f>
        <v/>
      </c>
      <c r="B1823">
        <f>IF($A1823="","",LEFT(Calc!$E1826,4)&amp;MID(Calc!$E1826,6,2)&amp;RIGHT(Calc!$E1826,2)&amp;Calc!$R1826&amp;"|"&amp;"1"&amp;RIGHT("00000"&amp;1818,5))</f>
        <v/>
      </c>
      <c r="C1823">
        <f>IF($B1823="","",COUNTIFS(LdgPartyA,$A1823,LdgKeyA,"&lt;"&amp;$B1823)+COUNTIFS(LdgPartyB,$A1823,LdgKeyB,"&lt;"&amp;$B1823)+1)</f>
        <v/>
      </c>
      <c r="D1823">
        <f>IF($C1823="","",$A1823&amp;"|"&amp;RIGHT("000000"&amp;$C1823,6))</f>
        <v/>
      </c>
      <c r="F1823">
        <f>IF(Sync!$AJ1823="","",Sync!$AJ1823)</f>
        <v/>
      </c>
      <c r="G1823">
        <f>IF($F1823="","",IF(Sync!$AG1823="","",IF(ISNUMBER(Sync!$AG1823),IF(AND(Sync!$AG1823&gt;=10000101,Sync!$AG1823&lt;=99991231),INT(Sync!$AG1823/10000),""),IFERROR(VALUE(TRIM(LEFT(Sync!$AG1823,FIND("/",Sync!$AG1823)-1))),""))))</f>
        <v/>
      </c>
      <c r="H1823">
        <f>IF(OR($F1823="",$G1823=""),"",IF(ISNUMBER(Sync!$AG1823),INT(MOD(Sync!$AG1823,10000)/100),IFERROR(VALUE(TRIM(LEFT(MID(Sync!$AG1823,FIND("/",Sync!$AG1823)+1,20),FIND("/",MID(Sync!$AG1823,FIND("/",Sync!$AG1823)+1,20))-1))),"")))</f>
        <v/>
      </c>
      <c r="I1823">
        <f>IF(OR($F1823="",$G1823=""),"",IF(ISNUMBER(Sync!$AG1823),MOD(Sync!$AG1823,100),IFERROR(VALUE(TRIM(MID(MID(Sync!$AG1823,FIND("/",Sync!$AG1823)+1,20),FIND("/",MID(Sync!$AG1823,FIND("/",Sync!$AG1823)+1,20))+1,20))),"")))</f>
        <v/>
      </c>
      <c r="J1823">
        <f>IF($F1823="","",IF(OR($G1823="",$H1823="",$I1823="",$G1823&lt;1300,$G1823&gt;1500,$H1823&lt;1,$H1823&gt;12,$I1823&lt;1,$I1823&gt;31),"نامعتبر",RIGHT("0000"&amp;$G1823,4)&amp;"/"&amp;RIGHT("00"&amp;$H1823,2)&amp;"/"&amp;RIGHT("00"&amp;$I1823,2)))</f>
        <v/>
      </c>
      <c r="K1823">
        <f>IF(OR($F1823="",$J1823="",$J1823="نامعتبر"),"",LEFT($J1823,4)&amp;MID($J1823,6,2)&amp;RIGHT($J1823,2)&amp;$N1823&amp;"|"&amp;"2"&amp;RIGHT("00000"&amp;1818,5))</f>
        <v/>
      </c>
      <c r="L1823">
        <f>IF($K1823="","",COUNTIFS(LdgPartyA,$F1823,LdgKeyA,"&lt;"&amp;$K1823)+COUNTIFS(LdgPartyB,$F1823,LdgKeyB,"&lt;"&amp;$K1823)+1)</f>
        <v/>
      </c>
      <c r="M1823">
        <f>IF($L1823="","",$F1823&amp;"|"&amp;RIGHT("000000"&amp;$L1823,6))</f>
        <v/>
      </c>
      <c r="N1823">
        <f>IF($F1823="","",IF(Sync!$AH1823="","0000",IF(AND(ISNUMBER(Sync!$AH1823),Sync!$AH1823&gt;=0,Sync!$AH1823&lt;1),RIGHT("00"&amp;HOUR(Sync!$AH1823),2)&amp;RIGHT("00"&amp;MINUTE(Sync!$AH1823),2),IFERROR(RIGHT("00"&amp;VALUE(LEFT(Sync!$AH1823,FIND(":",Sync!$AH1823)-1)),2)&amp;RIGHT("00"&amp;VALUE(MID(Sync!$AH1823,FIND(":",Sync!$AH1823)+1,2)),2),"0000"))))</f>
        <v/>
      </c>
    </row>
    <row r="1824">
      <c r="A1824">
        <f>IF(OR(Calc!$E1827="",Calc!$E1827="نامعتبر",Calc!$G1827="",Calc!$I1827&lt;&gt;"خرید"),"",Calc!$G1827)</f>
        <v/>
      </c>
      <c r="B1824">
        <f>IF($A1824="","",LEFT(Calc!$E1827,4)&amp;MID(Calc!$E1827,6,2)&amp;RIGHT(Calc!$E1827,2)&amp;Calc!$R1827&amp;"|"&amp;"1"&amp;RIGHT("00000"&amp;1819,5))</f>
        <v/>
      </c>
      <c r="C1824">
        <f>IF($B1824="","",COUNTIFS(LdgPartyA,$A1824,LdgKeyA,"&lt;"&amp;$B1824)+COUNTIFS(LdgPartyB,$A1824,LdgKeyB,"&lt;"&amp;$B1824)+1)</f>
        <v/>
      </c>
      <c r="D1824">
        <f>IF($C1824="","",$A1824&amp;"|"&amp;RIGHT("000000"&amp;$C1824,6))</f>
        <v/>
      </c>
      <c r="F1824">
        <f>IF(Sync!$AJ1824="","",Sync!$AJ1824)</f>
        <v/>
      </c>
      <c r="G1824">
        <f>IF($F1824="","",IF(Sync!$AG1824="","",IF(ISNUMBER(Sync!$AG1824),IF(AND(Sync!$AG1824&gt;=10000101,Sync!$AG1824&lt;=99991231),INT(Sync!$AG1824/10000),""),IFERROR(VALUE(TRIM(LEFT(Sync!$AG1824,FIND("/",Sync!$AG1824)-1))),""))))</f>
        <v/>
      </c>
      <c r="H1824">
        <f>IF(OR($F1824="",$G1824=""),"",IF(ISNUMBER(Sync!$AG1824),INT(MOD(Sync!$AG1824,10000)/100),IFERROR(VALUE(TRIM(LEFT(MID(Sync!$AG1824,FIND("/",Sync!$AG1824)+1,20),FIND("/",MID(Sync!$AG1824,FIND("/",Sync!$AG1824)+1,20))-1))),"")))</f>
        <v/>
      </c>
      <c r="I1824">
        <f>IF(OR($F1824="",$G1824=""),"",IF(ISNUMBER(Sync!$AG1824),MOD(Sync!$AG1824,100),IFERROR(VALUE(TRIM(MID(MID(Sync!$AG1824,FIND("/",Sync!$AG1824)+1,20),FIND("/",MID(Sync!$AG1824,FIND("/",Sync!$AG1824)+1,20))+1,20))),"")))</f>
        <v/>
      </c>
      <c r="J1824">
        <f>IF($F1824="","",IF(OR($G1824="",$H1824="",$I1824="",$G1824&lt;1300,$G1824&gt;1500,$H1824&lt;1,$H1824&gt;12,$I1824&lt;1,$I1824&gt;31),"نامعتبر",RIGHT("0000"&amp;$G1824,4)&amp;"/"&amp;RIGHT("00"&amp;$H1824,2)&amp;"/"&amp;RIGHT("00"&amp;$I1824,2)))</f>
        <v/>
      </c>
      <c r="K1824">
        <f>IF(OR($F1824="",$J1824="",$J1824="نامعتبر"),"",LEFT($J1824,4)&amp;MID($J1824,6,2)&amp;RIGHT($J1824,2)&amp;$N1824&amp;"|"&amp;"2"&amp;RIGHT("00000"&amp;1819,5))</f>
        <v/>
      </c>
      <c r="L1824">
        <f>IF($K1824="","",COUNTIFS(LdgPartyA,$F1824,LdgKeyA,"&lt;"&amp;$K1824)+COUNTIFS(LdgPartyB,$F1824,LdgKeyB,"&lt;"&amp;$K1824)+1)</f>
        <v/>
      </c>
      <c r="M1824">
        <f>IF($L1824="","",$F1824&amp;"|"&amp;RIGHT("000000"&amp;$L1824,6))</f>
        <v/>
      </c>
      <c r="N1824">
        <f>IF($F1824="","",IF(Sync!$AH1824="","0000",IF(AND(ISNUMBER(Sync!$AH1824),Sync!$AH1824&gt;=0,Sync!$AH1824&lt;1),RIGHT("00"&amp;HOUR(Sync!$AH1824),2)&amp;RIGHT("00"&amp;MINUTE(Sync!$AH1824),2),IFERROR(RIGHT("00"&amp;VALUE(LEFT(Sync!$AH1824,FIND(":",Sync!$AH1824)-1)),2)&amp;RIGHT("00"&amp;VALUE(MID(Sync!$AH1824,FIND(":",Sync!$AH1824)+1,2)),2),"0000"))))</f>
        <v/>
      </c>
    </row>
    <row r="1825">
      <c r="A1825">
        <f>IF(OR(Calc!$E1828="",Calc!$E1828="نامعتبر",Calc!$G1828="",Calc!$I1828&lt;&gt;"خرید"),"",Calc!$G1828)</f>
        <v/>
      </c>
      <c r="B1825">
        <f>IF($A1825="","",LEFT(Calc!$E1828,4)&amp;MID(Calc!$E1828,6,2)&amp;RIGHT(Calc!$E1828,2)&amp;Calc!$R1828&amp;"|"&amp;"1"&amp;RIGHT("00000"&amp;1820,5))</f>
        <v/>
      </c>
      <c r="C1825">
        <f>IF($B1825="","",COUNTIFS(LdgPartyA,$A1825,LdgKeyA,"&lt;"&amp;$B1825)+COUNTIFS(LdgPartyB,$A1825,LdgKeyB,"&lt;"&amp;$B1825)+1)</f>
        <v/>
      </c>
      <c r="D1825">
        <f>IF($C1825="","",$A1825&amp;"|"&amp;RIGHT("000000"&amp;$C1825,6))</f>
        <v/>
      </c>
      <c r="F1825">
        <f>IF(Sync!$AJ1825="","",Sync!$AJ1825)</f>
        <v/>
      </c>
      <c r="G1825">
        <f>IF($F1825="","",IF(Sync!$AG1825="","",IF(ISNUMBER(Sync!$AG1825),IF(AND(Sync!$AG1825&gt;=10000101,Sync!$AG1825&lt;=99991231),INT(Sync!$AG1825/10000),""),IFERROR(VALUE(TRIM(LEFT(Sync!$AG1825,FIND("/",Sync!$AG1825)-1))),""))))</f>
        <v/>
      </c>
      <c r="H1825">
        <f>IF(OR($F1825="",$G1825=""),"",IF(ISNUMBER(Sync!$AG1825),INT(MOD(Sync!$AG1825,10000)/100),IFERROR(VALUE(TRIM(LEFT(MID(Sync!$AG1825,FIND("/",Sync!$AG1825)+1,20),FIND("/",MID(Sync!$AG1825,FIND("/",Sync!$AG1825)+1,20))-1))),"")))</f>
        <v/>
      </c>
      <c r="I1825">
        <f>IF(OR($F1825="",$G1825=""),"",IF(ISNUMBER(Sync!$AG1825),MOD(Sync!$AG1825,100),IFERROR(VALUE(TRIM(MID(MID(Sync!$AG1825,FIND("/",Sync!$AG1825)+1,20),FIND("/",MID(Sync!$AG1825,FIND("/",Sync!$AG1825)+1,20))+1,20))),"")))</f>
        <v/>
      </c>
      <c r="J1825">
        <f>IF($F1825="","",IF(OR($G1825="",$H1825="",$I1825="",$G1825&lt;1300,$G1825&gt;1500,$H1825&lt;1,$H1825&gt;12,$I1825&lt;1,$I1825&gt;31),"نامعتبر",RIGHT("0000"&amp;$G1825,4)&amp;"/"&amp;RIGHT("00"&amp;$H1825,2)&amp;"/"&amp;RIGHT("00"&amp;$I1825,2)))</f>
        <v/>
      </c>
      <c r="K1825">
        <f>IF(OR($F1825="",$J1825="",$J1825="نامعتبر"),"",LEFT($J1825,4)&amp;MID($J1825,6,2)&amp;RIGHT($J1825,2)&amp;$N1825&amp;"|"&amp;"2"&amp;RIGHT("00000"&amp;1820,5))</f>
        <v/>
      </c>
      <c r="L1825">
        <f>IF($K1825="","",COUNTIFS(LdgPartyA,$F1825,LdgKeyA,"&lt;"&amp;$K1825)+COUNTIFS(LdgPartyB,$F1825,LdgKeyB,"&lt;"&amp;$K1825)+1)</f>
        <v/>
      </c>
      <c r="M1825">
        <f>IF($L1825="","",$F1825&amp;"|"&amp;RIGHT("000000"&amp;$L1825,6))</f>
        <v/>
      </c>
      <c r="N1825">
        <f>IF($F1825="","",IF(Sync!$AH1825="","0000",IF(AND(ISNUMBER(Sync!$AH1825),Sync!$AH1825&gt;=0,Sync!$AH1825&lt;1),RIGHT("00"&amp;HOUR(Sync!$AH1825),2)&amp;RIGHT("00"&amp;MINUTE(Sync!$AH1825),2),IFERROR(RIGHT("00"&amp;VALUE(LEFT(Sync!$AH1825,FIND(":",Sync!$AH1825)-1)),2)&amp;RIGHT("00"&amp;VALUE(MID(Sync!$AH1825,FIND(":",Sync!$AH1825)+1,2)),2),"0000"))))</f>
        <v/>
      </c>
    </row>
    <row r="1826">
      <c r="A1826">
        <f>IF(OR(Calc!$E1829="",Calc!$E1829="نامعتبر",Calc!$G1829="",Calc!$I1829&lt;&gt;"خرید"),"",Calc!$G1829)</f>
        <v/>
      </c>
      <c r="B1826">
        <f>IF($A1826="","",LEFT(Calc!$E1829,4)&amp;MID(Calc!$E1829,6,2)&amp;RIGHT(Calc!$E1829,2)&amp;Calc!$R1829&amp;"|"&amp;"1"&amp;RIGHT("00000"&amp;1821,5))</f>
        <v/>
      </c>
      <c r="C1826">
        <f>IF($B1826="","",COUNTIFS(LdgPartyA,$A1826,LdgKeyA,"&lt;"&amp;$B1826)+COUNTIFS(LdgPartyB,$A1826,LdgKeyB,"&lt;"&amp;$B1826)+1)</f>
        <v/>
      </c>
      <c r="D1826">
        <f>IF($C1826="","",$A1826&amp;"|"&amp;RIGHT("000000"&amp;$C1826,6))</f>
        <v/>
      </c>
      <c r="F1826">
        <f>IF(Sync!$AJ1826="","",Sync!$AJ1826)</f>
        <v/>
      </c>
      <c r="G1826">
        <f>IF($F1826="","",IF(Sync!$AG1826="","",IF(ISNUMBER(Sync!$AG1826),IF(AND(Sync!$AG1826&gt;=10000101,Sync!$AG1826&lt;=99991231),INT(Sync!$AG1826/10000),""),IFERROR(VALUE(TRIM(LEFT(Sync!$AG1826,FIND("/",Sync!$AG1826)-1))),""))))</f>
        <v/>
      </c>
      <c r="H1826">
        <f>IF(OR($F1826="",$G1826=""),"",IF(ISNUMBER(Sync!$AG1826),INT(MOD(Sync!$AG1826,10000)/100),IFERROR(VALUE(TRIM(LEFT(MID(Sync!$AG1826,FIND("/",Sync!$AG1826)+1,20),FIND("/",MID(Sync!$AG1826,FIND("/",Sync!$AG1826)+1,20))-1))),"")))</f>
        <v/>
      </c>
      <c r="I1826">
        <f>IF(OR($F1826="",$G1826=""),"",IF(ISNUMBER(Sync!$AG1826),MOD(Sync!$AG1826,100),IFERROR(VALUE(TRIM(MID(MID(Sync!$AG1826,FIND("/",Sync!$AG1826)+1,20),FIND("/",MID(Sync!$AG1826,FIND("/",Sync!$AG1826)+1,20))+1,20))),"")))</f>
        <v/>
      </c>
      <c r="J1826">
        <f>IF($F1826="","",IF(OR($G1826="",$H1826="",$I1826="",$G1826&lt;1300,$G1826&gt;1500,$H1826&lt;1,$H1826&gt;12,$I1826&lt;1,$I1826&gt;31),"نامعتبر",RIGHT("0000"&amp;$G1826,4)&amp;"/"&amp;RIGHT("00"&amp;$H1826,2)&amp;"/"&amp;RIGHT("00"&amp;$I1826,2)))</f>
        <v/>
      </c>
      <c r="K1826">
        <f>IF(OR($F1826="",$J1826="",$J1826="نامعتبر"),"",LEFT($J1826,4)&amp;MID($J1826,6,2)&amp;RIGHT($J1826,2)&amp;$N1826&amp;"|"&amp;"2"&amp;RIGHT("00000"&amp;1821,5))</f>
        <v/>
      </c>
      <c r="L1826">
        <f>IF($K1826="","",COUNTIFS(LdgPartyA,$F1826,LdgKeyA,"&lt;"&amp;$K1826)+COUNTIFS(LdgPartyB,$F1826,LdgKeyB,"&lt;"&amp;$K1826)+1)</f>
        <v/>
      </c>
      <c r="M1826">
        <f>IF($L1826="","",$F1826&amp;"|"&amp;RIGHT("000000"&amp;$L1826,6))</f>
        <v/>
      </c>
      <c r="N1826">
        <f>IF($F1826="","",IF(Sync!$AH1826="","0000",IF(AND(ISNUMBER(Sync!$AH1826),Sync!$AH1826&gt;=0,Sync!$AH1826&lt;1),RIGHT("00"&amp;HOUR(Sync!$AH1826),2)&amp;RIGHT("00"&amp;MINUTE(Sync!$AH1826),2),IFERROR(RIGHT("00"&amp;VALUE(LEFT(Sync!$AH1826,FIND(":",Sync!$AH1826)-1)),2)&amp;RIGHT("00"&amp;VALUE(MID(Sync!$AH1826,FIND(":",Sync!$AH1826)+1,2)),2),"0000"))))</f>
        <v/>
      </c>
    </row>
    <row r="1827">
      <c r="A1827">
        <f>IF(OR(Calc!$E1830="",Calc!$E1830="نامعتبر",Calc!$G1830="",Calc!$I1830&lt;&gt;"خرید"),"",Calc!$G1830)</f>
        <v/>
      </c>
      <c r="B1827">
        <f>IF($A1827="","",LEFT(Calc!$E1830,4)&amp;MID(Calc!$E1830,6,2)&amp;RIGHT(Calc!$E1830,2)&amp;Calc!$R1830&amp;"|"&amp;"1"&amp;RIGHT("00000"&amp;1822,5))</f>
        <v/>
      </c>
      <c r="C1827">
        <f>IF($B1827="","",COUNTIFS(LdgPartyA,$A1827,LdgKeyA,"&lt;"&amp;$B1827)+COUNTIFS(LdgPartyB,$A1827,LdgKeyB,"&lt;"&amp;$B1827)+1)</f>
        <v/>
      </c>
      <c r="D1827">
        <f>IF($C1827="","",$A1827&amp;"|"&amp;RIGHT("000000"&amp;$C1827,6))</f>
        <v/>
      </c>
      <c r="F1827">
        <f>IF(Sync!$AJ1827="","",Sync!$AJ1827)</f>
        <v/>
      </c>
      <c r="G1827">
        <f>IF($F1827="","",IF(Sync!$AG1827="","",IF(ISNUMBER(Sync!$AG1827),IF(AND(Sync!$AG1827&gt;=10000101,Sync!$AG1827&lt;=99991231),INT(Sync!$AG1827/10000),""),IFERROR(VALUE(TRIM(LEFT(Sync!$AG1827,FIND("/",Sync!$AG1827)-1))),""))))</f>
        <v/>
      </c>
      <c r="H1827">
        <f>IF(OR($F1827="",$G1827=""),"",IF(ISNUMBER(Sync!$AG1827),INT(MOD(Sync!$AG1827,10000)/100),IFERROR(VALUE(TRIM(LEFT(MID(Sync!$AG1827,FIND("/",Sync!$AG1827)+1,20),FIND("/",MID(Sync!$AG1827,FIND("/",Sync!$AG1827)+1,20))-1))),"")))</f>
        <v/>
      </c>
      <c r="I1827">
        <f>IF(OR($F1827="",$G1827=""),"",IF(ISNUMBER(Sync!$AG1827),MOD(Sync!$AG1827,100),IFERROR(VALUE(TRIM(MID(MID(Sync!$AG1827,FIND("/",Sync!$AG1827)+1,20),FIND("/",MID(Sync!$AG1827,FIND("/",Sync!$AG1827)+1,20))+1,20))),"")))</f>
        <v/>
      </c>
      <c r="J1827">
        <f>IF($F1827="","",IF(OR($G1827="",$H1827="",$I1827="",$G1827&lt;1300,$G1827&gt;1500,$H1827&lt;1,$H1827&gt;12,$I1827&lt;1,$I1827&gt;31),"نامعتبر",RIGHT("0000"&amp;$G1827,4)&amp;"/"&amp;RIGHT("00"&amp;$H1827,2)&amp;"/"&amp;RIGHT("00"&amp;$I1827,2)))</f>
        <v/>
      </c>
      <c r="K1827">
        <f>IF(OR($F1827="",$J1827="",$J1827="نامعتبر"),"",LEFT($J1827,4)&amp;MID($J1827,6,2)&amp;RIGHT($J1827,2)&amp;$N1827&amp;"|"&amp;"2"&amp;RIGHT("00000"&amp;1822,5))</f>
        <v/>
      </c>
      <c r="L1827">
        <f>IF($K1827="","",COUNTIFS(LdgPartyA,$F1827,LdgKeyA,"&lt;"&amp;$K1827)+COUNTIFS(LdgPartyB,$F1827,LdgKeyB,"&lt;"&amp;$K1827)+1)</f>
        <v/>
      </c>
      <c r="M1827">
        <f>IF($L1827="","",$F1827&amp;"|"&amp;RIGHT("000000"&amp;$L1827,6))</f>
        <v/>
      </c>
      <c r="N1827">
        <f>IF($F1827="","",IF(Sync!$AH1827="","0000",IF(AND(ISNUMBER(Sync!$AH1827),Sync!$AH1827&gt;=0,Sync!$AH1827&lt;1),RIGHT("00"&amp;HOUR(Sync!$AH1827),2)&amp;RIGHT("00"&amp;MINUTE(Sync!$AH1827),2),IFERROR(RIGHT("00"&amp;VALUE(LEFT(Sync!$AH1827,FIND(":",Sync!$AH1827)-1)),2)&amp;RIGHT("00"&amp;VALUE(MID(Sync!$AH1827,FIND(":",Sync!$AH1827)+1,2)),2),"0000"))))</f>
        <v/>
      </c>
    </row>
    <row r="1828">
      <c r="A1828">
        <f>IF(OR(Calc!$E1831="",Calc!$E1831="نامعتبر",Calc!$G1831="",Calc!$I1831&lt;&gt;"خرید"),"",Calc!$G1831)</f>
        <v/>
      </c>
      <c r="B1828">
        <f>IF($A1828="","",LEFT(Calc!$E1831,4)&amp;MID(Calc!$E1831,6,2)&amp;RIGHT(Calc!$E1831,2)&amp;Calc!$R1831&amp;"|"&amp;"1"&amp;RIGHT("00000"&amp;1823,5))</f>
        <v/>
      </c>
      <c r="C1828">
        <f>IF($B1828="","",COUNTIFS(LdgPartyA,$A1828,LdgKeyA,"&lt;"&amp;$B1828)+COUNTIFS(LdgPartyB,$A1828,LdgKeyB,"&lt;"&amp;$B1828)+1)</f>
        <v/>
      </c>
      <c r="D1828">
        <f>IF($C1828="","",$A1828&amp;"|"&amp;RIGHT("000000"&amp;$C1828,6))</f>
        <v/>
      </c>
      <c r="F1828">
        <f>IF(Sync!$AJ1828="","",Sync!$AJ1828)</f>
        <v/>
      </c>
      <c r="G1828">
        <f>IF($F1828="","",IF(Sync!$AG1828="","",IF(ISNUMBER(Sync!$AG1828),IF(AND(Sync!$AG1828&gt;=10000101,Sync!$AG1828&lt;=99991231),INT(Sync!$AG1828/10000),""),IFERROR(VALUE(TRIM(LEFT(Sync!$AG1828,FIND("/",Sync!$AG1828)-1))),""))))</f>
        <v/>
      </c>
      <c r="H1828">
        <f>IF(OR($F1828="",$G1828=""),"",IF(ISNUMBER(Sync!$AG1828),INT(MOD(Sync!$AG1828,10000)/100),IFERROR(VALUE(TRIM(LEFT(MID(Sync!$AG1828,FIND("/",Sync!$AG1828)+1,20),FIND("/",MID(Sync!$AG1828,FIND("/",Sync!$AG1828)+1,20))-1))),"")))</f>
        <v/>
      </c>
      <c r="I1828">
        <f>IF(OR($F1828="",$G1828=""),"",IF(ISNUMBER(Sync!$AG1828),MOD(Sync!$AG1828,100),IFERROR(VALUE(TRIM(MID(MID(Sync!$AG1828,FIND("/",Sync!$AG1828)+1,20),FIND("/",MID(Sync!$AG1828,FIND("/",Sync!$AG1828)+1,20))+1,20))),"")))</f>
        <v/>
      </c>
      <c r="J1828">
        <f>IF($F1828="","",IF(OR($G1828="",$H1828="",$I1828="",$G1828&lt;1300,$G1828&gt;1500,$H1828&lt;1,$H1828&gt;12,$I1828&lt;1,$I1828&gt;31),"نامعتبر",RIGHT("0000"&amp;$G1828,4)&amp;"/"&amp;RIGHT("00"&amp;$H1828,2)&amp;"/"&amp;RIGHT("00"&amp;$I1828,2)))</f>
        <v/>
      </c>
      <c r="K1828">
        <f>IF(OR($F1828="",$J1828="",$J1828="نامعتبر"),"",LEFT($J1828,4)&amp;MID($J1828,6,2)&amp;RIGHT($J1828,2)&amp;$N1828&amp;"|"&amp;"2"&amp;RIGHT("00000"&amp;1823,5))</f>
        <v/>
      </c>
      <c r="L1828">
        <f>IF($K1828="","",COUNTIFS(LdgPartyA,$F1828,LdgKeyA,"&lt;"&amp;$K1828)+COUNTIFS(LdgPartyB,$F1828,LdgKeyB,"&lt;"&amp;$K1828)+1)</f>
        <v/>
      </c>
      <c r="M1828">
        <f>IF($L1828="","",$F1828&amp;"|"&amp;RIGHT("000000"&amp;$L1828,6))</f>
        <v/>
      </c>
      <c r="N1828">
        <f>IF($F1828="","",IF(Sync!$AH1828="","0000",IF(AND(ISNUMBER(Sync!$AH1828),Sync!$AH1828&gt;=0,Sync!$AH1828&lt;1),RIGHT("00"&amp;HOUR(Sync!$AH1828),2)&amp;RIGHT("00"&amp;MINUTE(Sync!$AH1828),2),IFERROR(RIGHT("00"&amp;VALUE(LEFT(Sync!$AH1828,FIND(":",Sync!$AH1828)-1)),2)&amp;RIGHT("00"&amp;VALUE(MID(Sync!$AH1828,FIND(":",Sync!$AH1828)+1,2)),2),"0000"))))</f>
        <v/>
      </c>
    </row>
    <row r="1829">
      <c r="A1829">
        <f>IF(OR(Calc!$E1832="",Calc!$E1832="نامعتبر",Calc!$G1832="",Calc!$I1832&lt;&gt;"خرید"),"",Calc!$G1832)</f>
        <v/>
      </c>
      <c r="B1829">
        <f>IF($A1829="","",LEFT(Calc!$E1832,4)&amp;MID(Calc!$E1832,6,2)&amp;RIGHT(Calc!$E1832,2)&amp;Calc!$R1832&amp;"|"&amp;"1"&amp;RIGHT("00000"&amp;1824,5))</f>
        <v/>
      </c>
      <c r="C1829">
        <f>IF($B1829="","",COUNTIFS(LdgPartyA,$A1829,LdgKeyA,"&lt;"&amp;$B1829)+COUNTIFS(LdgPartyB,$A1829,LdgKeyB,"&lt;"&amp;$B1829)+1)</f>
        <v/>
      </c>
      <c r="D1829">
        <f>IF($C1829="","",$A1829&amp;"|"&amp;RIGHT("000000"&amp;$C1829,6))</f>
        <v/>
      </c>
      <c r="F1829">
        <f>IF(Sync!$AJ1829="","",Sync!$AJ1829)</f>
        <v/>
      </c>
      <c r="G1829">
        <f>IF($F1829="","",IF(Sync!$AG1829="","",IF(ISNUMBER(Sync!$AG1829),IF(AND(Sync!$AG1829&gt;=10000101,Sync!$AG1829&lt;=99991231),INT(Sync!$AG1829/10000),""),IFERROR(VALUE(TRIM(LEFT(Sync!$AG1829,FIND("/",Sync!$AG1829)-1))),""))))</f>
        <v/>
      </c>
      <c r="H1829">
        <f>IF(OR($F1829="",$G1829=""),"",IF(ISNUMBER(Sync!$AG1829),INT(MOD(Sync!$AG1829,10000)/100),IFERROR(VALUE(TRIM(LEFT(MID(Sync!$AG1829,FIND("/",Sync!$AG1829)+1,20),FIND("/",MID(Sync!$AG1829,FIND("/",Sync!$AG1829)+1,20))-1))),"")))</f>
        <v/>
      </c>
      <c r="I1829">
        <f>IF(OR($F1829="",$G1829=""),"",IF(ISNUMBER(Sync!$AG1829),MOD(Sync!$AG1829,100),IFERROR(VALUE(TRIM(MID(MID(Sync!$AG1829,FIND("/",Sync!$AG1829)+1,20),FIND("/",MID(Sync!$AG1829,FIND("/",Sync!$AG1829)+1,20))+1,20))),"")))</f>
        <v/>
      </c>
      <c r="J1829">
        <f>IF($F1829="","",IF(OR($G1829="",$H1829="",$I1829="",$G1829&lt;1300,$G1829&gt;1500,$H1829&lt;1,$H1829&gt;12,$I1829&lt;1,$I1829&gt;31),"نامعتبر",RIGHT("0000"&amp;$G1829,4)&amp;"/"&amp;RIGHT("00"&amp;$H1829,2)&amp;"/"&amp;RIGHT("00"&amp;$I1829,2)))</f>
        <v/>
      </c>
      <c r="K1829">
        <f>IF(OR($F1829="",$J1829="",$J1829="نامعتبر"),"",LEFT($J1829,4)&amp;MID($J1829,6,2)&amp;RIGHT($J1829,2)&amp;$N1829&amp;"|"&amp;"2"&amp;RIGHT("00000"&amp;1824,5))</f>
        <v/>
      </c>
      <c r="L1829">
        <f>IF($K1829="","",COUNTIFS(LdgPartyA,$F1829,LdgKeyA,"&lt;"&amp;$K1829)+COUNTIFS(LdgPartyB,$F1829,LdgKeyB,"&lt;"&amp;$K1829)+1)</f>
        <v/>
      </c>
      <c r="M1829">
        <f>IF($L1829="","",$F1829&amp;"|"&amp;RIGHT("000000"&amp;$L1829,6))</f>
        <v/>
      </c>
      <c r="N1829">
        <f>IF($F1829="","",IF(Sync!$AH1829="","0000",IF(AND(ISNUMBER(Sync!$AH1829),Sync!$AH1829&gt;=0,Sync!$AH1829&lt;1),RIGHT("00"&amp;HOUR(Sync!$AH1829),2)&amp;RIGHT("00"&amp;MINUTE(Sync!$AH1829),2),IFERROR(RIGHT("00"&amp;VALUE(LEFT(Sync!$AH1829,FIND(":",Sync!$AH1829)-1)),2)&amp;RIGHT("00"&amp;VALUE(MID(Sync!$AH1829,FIND(":",Sync!$AH1829)+1,2)),2),"0000"))))</f>
        <v/>
      </c>
    </row>
    <row r="1830">
      <c r="A1830">
        <f>IF(OR(Calc!$E1833="",Calc!$E1833="نامعتبر",Calc!$G1833="",Calc!$I1833&lt;&gt;"خرید"),"",Calc!$G1833)</f>
        <v/>
      </c>
      <c r="B1830">
        <f>IF($A1830="","",LEFT(Calc!$E1833,4)&amp;MID(Calc!$E1833,6,2)&amp;RIGHT(Calc!$E1833,2)&amp;Calc!$R1833&amp;"|"&amp;"1"&amp;RIGHT("00000"&amp;1825,5))</f>
        <v/>
      </c>
      <c r="C1830">
        <f>IF($B1830="","",COUNTIFS(LdgPartyA,$A1830,LdgKeyA,"&lt;"&amp;$B1830)+COUNTIFS(LdgPartyB,$A1830,LdgKeyB,"&lt;"&amp;$B1830)+1)</f>
        <v/>
      </c>
      <c r="D1830">
        <f>IF($C1830="","",$A1830&amp;"|"&amp;RIGHT("000000"&amp;$C1830,6))</f>
        <v/>
      </c>
      <c r="F1830">
        <f>IF(Sync!$AJ1830="","",Sync!$AJ1830)</f>
        <v/>
      </c>
      <c r="G1830">
        <f>IF($F1830="","",IF(Sync!$AG1830="","",IF(ISNUMBER(Sync!$AG1830),IF(AND(Sync!$AG1830&gt;=10000101,Sync!$AG1830&lt;=99991231),INT(Sync!$AG1830/10000),""),IFERROR(VALUE(TRIM(LEFT(Sync!$AG1830,FIND("/",Sync!$AG1830)-1))),""))))</f>
        <v/>
      </c>
      <c r="H1830">
        <f>IF(OR($F1830="",$G1830=""),"",IF(ISNUMBER(Sync!$AG1830),INT(MOD(Sync!$AG1830,10000)/100),IFERROR(VALUE(TRIM(LEFT(MID(Sync!$AG1830,FIND("/",Sync!$AG1830)+1,20),FIND("/",MID(Sync!$AG1830,FIND("/",Sync!$AG1830)+1,20))-1))),"")))</f>
        <v/>
      </c>
      <c r="I1830">
        <f>IF(OR($F1830="",$G1830=""),"",IF(ISNUMBER(Sync!$AG1830),MOD(Sync!$AG1830,100),IFERROR(VALUE(TRIM(MID(MID(Sync!$AG1830,FIND("/",Sync!$AG1830)+1,20),FIND("/",MID(Sync!$AG1830,FIND("/",Sync!$AG1830)+1,20))+1,20))),"")))</f>
        <v/>
      </c>
      <c r="J1830">
        <f>IF($F1830="","",IF(OR($G1830="",$H1830="",$I1830="",$G1830&lt;1300,$G1830&gt;1500,$H1830&lt;1,$H1830&gt;12,$I1830&lt;1,$I1830&gt;31),"نامعتبر",RIGHT("0000"&amp;$G1830,4)&amp;"/"&amp;RIGHT("00"&amp;$H1830,2)&amp;"/"&amp;RIGHT("00"&amp;$I1830,2)))</f>
        <v/>
      </c>
      <c r="K1830">
        <f>IF(OR($F1830="",$J1830="",$J1830="نامعتبر"),"",LEFT($J1830,4)&amp;MID($J1830,6,2)&amp;RIGHT($J1830,2)&amp;$N1830&amp;"|"&amp;"2"&amp;RIGHT("00000"&amp;1825,5))</f>
        <v/>
      </c>
      <c r="L1830">
        <f>IF($K1830="","",COUNTIFS(LdgPartyA,$F1830,LdgKeyA,"&lt;"&amp;$K1830)+COUNTIFS(LdgPartyB,$F1830,LdgKeyB,"&lt;"&amp;$K1830)+1)</f>
        <v/>
      </c>
      <c r="M1830">
        <f>IF($L1830="","",$F1830&amp;"|"&amp;RIGHT("000000"&amp;$L1830,6))</f>
        <v/>
      </c>
      <c r="N1830">
        <f>IF($F1830="","",IF(Sync!$AH1830="","0000",IF(AND(ISNUMBER(Sync!$AH1830),Sync!$AH1830&gt;=0,Sync!$AH1830&lt;1),RIGHT("00"&amp;HOUR(Sync!$AH1830),2)&amp;RIGHT("00"&amp;MINUTE(Sync!$AH1830),2),IFERROR(RIGHT("00"&amp;VALUE(LEFT(Sync!$AH1830,FIND(":",Sync!$AH1830)-1)),2)&amp;RIGHT("00"&amp;VALUE(MID(Sync!$AH1830,FIND(":",Sync!$AH1830)+1,2)),2),"0000"))))</f>
        <v/>
      </c>
    </row>
    <row r="1831">
      <c r="A1831">
        <f>IF(OR(Calc!$E1834="",Calc!$E1834="نامعتبر",Calc!$G1834="",Calc!$I1834&lt;&gt;"خرید"),"",Calc!$G1834)</f>
        <v/>
      </c>
      <c r="B1831">
        <f>IF($A1831="","",LEFT(Calc!$E1834,4)&amp;MID(Calc!$E1834,6,2)&amp;RIGHT(Calc!$E1834,2)&amp;Calc!$R1834&amp;"|"&amp;"1"&amp;RIGHT("00000"&amp;1826,5))</f>
        <v/>
      </c>
      <c r="C1831">
        <f>IF($B1831="","",COUNTIFS(LdgPartyA,$A1831,LdgKeyA,"&lt;"&amp;$B1831)+COUNTIFS(LdgPartyB,$A1831,LdgKeyB,"&lt;"&amp;$B1831)+1)</f>
        <v/>
      </c>
      <c r="D1831">
        <f>IF($C1831="","",$A1831&amp;"|"&amp;RIGHT("000000"&amp;$C1831,6))</f>
        <v/>
      </c>
      <c r="F1831">
        <f>IF(Sync!$AJ1831="","",Sync!$AJ1831)</f>
        <v/>
      </c>
      <c r="G1831">
        <f>IF($F1831="","",IF(Sync!$AG1831="","",IF(ISNUMBER(Sync!$AG1831),IF(AND(Sync!$AG1831&gt;=10000101,Sync!$AG1831&lt;=99991231),INT(Sync!$AG1831/10000),""),IFERROR(VALUE(TRIM(LEFT(Sync!$AG1831,FIND("/",Sync!$AG1831)-1))),""))))</f>
        <v/>
      </c>
      <c r="H1831">
        <f>IF(OR($F1831="",$G1831=""),"",IF(ISNUMBER(Sync!$AG1831),INT(MOD(Sync!$AG1831,10000)/100),IFERROR(VALUE(TRIM(LEFT(MID(Sync!$AG1831,FIND("/",Sync!$AG1831)+1,20),FIND("/",MID(Sync!$AG1831,FIND("/",Sync!$AG1831)+1,20))-1))),"")))</f>
        <v/>
      </c>
      <c r="I1831">
        <f>IF(OR($F1831="",$G1831=""),"",IF(ISNUMBER(Sync!$AG1831),MOD(Sync!$AG1831,100),IFERROR(VALUE(TRIM(MID(MID(Sync!$AG1831,FIND("/",Sync!$AG1831)+1,20),FIND("/",MID(Sync!$AG1831,FIND("/",Sync!$AG1831)+1,20))+1,20))),"")))</f>
        <v/>
      </c>
      <c r="J1831">
        <f>IF($F1831="","",IF(OR($G1831="",$H1831="",$I1831="",$G1831&lt;1300,$G1831&gt;1500,$H1831&lt;1,$H1831&gt;12,$I1831&lt;1,$I1831&gt;31),"نامعتبر",RIGHT("0000"&amp;$G1831,4)&amp;"/"&amp;RIGHT("00"&amp;$H1831,2)&amp;"/"&amp;RIGHT("00"&amp;$I1831,2)))</f>
        <v/>
      </c>
      <c r="K1831">
        <f>IF(OR($F1831="",$J1831="",$J1831="نامعتبر"),"",LEFT($J1831,4)&amp;MID($J1831,6,2)&amp;RIGHT($J1831,2)&amp;$N1831&amp;"|"&amp;"2"&amp;RIGHT("00000"&amp;1826,5))</f>
        <v/>
      </c>
      <c r="L1831">
        <f>IF($K1831="","",COUNTIFS(LdgPartyA,$F1831,LdgKeyA,"&lt;"&amp;$K1831)+COUNTIFS(LdgPartyB,$F1831,LdgKeyB,"&lt;"&amp;$K1831)+1)</f>
        <v/>
      </c>
      <c r="M1831">
        <f>IF($L1831="","",$F1831&amp;"|"&amp;RIGHT("000000"&amp;$L1831,6))</f>
        <v/>
      </c>
      <c r="N1831">
        <f>IF($F1831="","",IF(Sync!$AH1831="","0000",IF(AND(ISNUMBER(Sync!$AH1831),Sync!$AH1831&gt;=0,Sync!$AH1831&lt;1),RIGHT("00"&amp;HOUR(Sync!$AH1831),2)&amp;RIGHT("00"&amp;MINUTE(Sync!$AH1831),2),IFERROR(RIGHT("00"&amp;VALUE(LEFT(Sync!$AH1831,FIND(":",Sync!$AH1831)-1)),2)&amp;RIGHT("00"&amp;VALUE(MID(Sync!$AH1831,FIND(":",Sync!$AH1831)+1,2)),2),"0000"))))</f>
        <v/>
      </c>
    </row>
    <row r="1832">
      <c r="A1832">
        <f>IF(OR(Calc!$E1835="",Calc!$E1835="نامعتبر",Calc!$G1835="",Calc!$I1835&lt;&gt;"خرید"),"",Calc!$G1835)</f>
        <v/>
      </c>
      <c r="B1832">
        <f>IF($A1832="","",LEFT(Calc!$E1835,4)&amp;MID(Calc!$E1835,6,2)&amp;RIGHT(Calc!$E1835,2)&amp;Calc!$R1835&amp;"|"&amp;"1"&amp;RIGHT("00000"&amp;1827,5))</f>
        <v/>
      </c>
      <c r="C1832">
        <f>IF($B1832="","",COUNTIFS(LdgPartyA,$A1832,LdgKeyA,"&lt;"&amp;$B1832)+COUNTIFS(LdgPartyB,$A1832,LdgKeyB,"&lt;"&amp;$B1832)+1)</f>
        <v/>
      </c>
      <c r="D1832">
        <f>IF($C1832="","",$A1832&amp;"|"&amp;RIGHT("000000"&amp;$C1832,6))</f>
        <v/>
      </c>
      <c r="F1832">
        <f>IF(Sync!$AJ1832="","",Sync!$AJ1832)</f>
        <v/>
      </c>
      <c r="G1832">
        <f>IF($F1832="","",IF(Sync!$AG1832="","",IF(ISNUMBER(Sync!$AG1832),IF(AND(Sync!$AG1832&gt;=10000101,Sync!$AG1832&lt;=99991231),INT(Sync!$AG1832/10000),""),IFERROR(VALUE(TRIM(LEFT(Sync!$AG1832,FIND("/",Sync!$AG1832)-1))),""))))</f>
        <v/>
      </c>
      <c r="H1832">
        <f>IF(OR($F1832="",$G1832=""),"",IF(ISNUMBER(Sync!$AG1832),INT(MOD(Sync!$AG1832,10000)/100),IFERROR(VALUE(TRIM(LEFT(MID(Sync!$AG1832,FIND("/",Sync!$AG1832)+1,20),FIND("/",MID(Sync!$AG1832,FIND("/",Sync!$AG1832)+1,20))-1))),"")))</f>
        <v/>
      </c>
      <c r="I1832">
        <f>IF(OR($F1832="",$G1832=""),"",IF(ISNUMBER(Sync!$AG1832),MOD(Sync!$AG1832,100),IFERROR(VALUE(TRIM(MID(MID(Sync!$AG1832,FIND("/",Sync!$AG1832)+1,20),FIND("/",MID(Sync!$AG1832,FIND("/",Sync!$AG1832)+1,20))+1,20))),"")))</f>
        <v/>
      </c>
      <c r="J1832">
        <f>IF($F1832="","",IF(OR($G1832="",$H1832="",$I1832="",$G1832&lt;1300,$G1832&gt;1500,$H1832&lt;1,$H1832&gt;12,$I1832&lt;1,$I1832&gt;31),"نامعتبر",RIGHT("0000"&amp;$G1832,4)&amp;"/"&amp;RIGHT("00"&amp;$H1832,2)&amp;"/"&amp;RIGHT("00"&amp;$I1832,2)))</f>
        <v/>
      </c>
      <c r="K1832">
        <f>IF(OR($F1832="",$J1832="",$J1832="نامعتبر"),"",LEFT($J1832,4)&amp;MID($J1832,6,2)&amp;RIGHT($J1832,2)&amp;$N1832&amp;"|"&amp;"2"&amp;RIGHT("00000"&amp;1827,5))</f>
        <v/>
      </c>
      <c r="L1832">
        <f>IF($K1832="","",COUNTIFS(LdgPartyA,$F1832,LdgKeyA,"&lt;"&amp;$K1832)+COUNTIFS(LdgPartyB,$F1832,LdgKeyB,"&lt;"&amp;$K1832)+1)</f>
        <v/>
      </c>
      <c r="M1832">
        <f>IF($L1832="","",$F1832&amp;"|"&amp;RIGHT("000000"&amp;$L1832,6))</f>
        <v/>
      </c>
      <c r="N1832">
        <f>IF($F1832="","",IF(Sync!$AH1832="","0000",IF(AND(ISNUMBER(Sync!$AH1832),Sync!$AH1832&gt;=0,Sync!$AH1832&lt;1),RIGHT("00"&amp;HOUR(Sync!$AH1832),2)&amp;RIGHT("00"&amp;MINUTE(Sync!$AH1832),2),IFERROR(RIGHT("00"&amp;VALUE(LEFT(Sync!$AH1832,FIND(":",Sync!$AH1832)-1)),2)&amp;RIGHT("00"&amp;VALUE(MID(Sync!$AH1832,FIND(":",Sync!$AH1832)+1,2)),2),"0000"))))</f>
        <v/>
      </c>
    </row>
    <row r="1833">
      <c r="A1833">
        <f>IF(OR(Calc!$E1836="",Calc!$E1836="نامعتبر",Calc!$G1836="",Calc!$I1836&lt;&gt;"خرید"),"",Calc!$G1836)</f>
        <v/>
      </c>
      <c r="B1833">
        <f>IF($A1833="","",LEFT(Calc!$E1836,4)&amp;MID(Calc!$E1836,6,2)&amp;RIGHT(Calc!$E1836,2)&amp;Calc!$R1836&amp;"|"&amp;"1"&amp;RIGHT("00000"&amp;1828,5))</f>
        <v/>
      </c>
      <c r="C1833">
        <f>IF($B1833="","",COUNTIFS(LdgPartyA,$A1833,LdgKeyA,"&lt;"&amp;$B1833)+COUNTIFS(LdgPartyB,$A1833,LdgKeyB,"&lt;"&amp;$B1833)+1)</f>
        <v/>
      </c>
      <c r="D1833">
        <f>IF($C1833="","",$A1833&amp;"|"&amp;RIGHT("000000"&amp;$C1833,6))</f>
        <v/>
      </c>
      <c r="F1833">
        <f>IF(Sync!$AJ1833="","",Sync!$AJ1833)</f>
        <v/>
      </c>
      <c r="G1833">
        <f>IF($F1833="","",IF(Sync!$AG1833="","",IF(ISNUMBER(Sync!$AG1833),IF(AND(Sync!$AG1833&gt;=10000101,Sync!$AG1833&lt;=99991231),INT(Sync!$AG1833/10000),""),IFERROR(VALUE(TRIM(LEFT(Sync!$AG1833,FIND("/",Sync!$AG1833)-1))),""))))</f>
        <v/>
      </c>
      <c r="H1833">
        <f>IF(OR($F1833="",$G1833=""),"",IF(ISNUMBER(Sync!$AG1833),INT(MOD(Sync!$AG1833,10000)/100),IFERROR(VALUE(TRIM(LEFT(MID(Sync!$AG1833,FIND("/",Sync!$AG1833)+1,20),FIND("/",MID(Sync!$AG1833,FIND("/",Sync!$AG1833)+1,20))-1))),"")))</f>
        <v/>
      </c>
      <c r="I1833">
        <f>IF(OR($F1833="",$G1833=""),"",IF(ISNUMBER(Sync!$AG1833),MOD(Sync!$AG1833,100),IFERROR(VALUE(TRIM(MID(MID(Sync!$AG1833,FIND("/",Sync!$AG1833)+1,20),FIND("/",MID(Sync!$AG1833,FIND("/",Sync!$AG1833)+1,20))+1,20))),"")))</f>
        <v/>
      </c>
      <c r="J1833">
        <f>IF($F1833="","",IF(OR($G1833="",$H1833="",$I1833="",$G1833&lt;1300,$G1833&gt;1500,$H1833&lt;1,$H1833&gt;12,$I1833&lt;1,$I1833&gt;31),"نامعتبر",RIGHT("0000"&amp;$G1833,4)&amp;"/"&amp;RIGHT("00"&amp;$H1833,2)&amp;"/"&amp;RIGHT("00"&amp;$I1833,2)))</f>
        <v/>
      </c>
      <c r="K1833">
        <f>IF(OR($F1833="",$J1833="",$J1833="نامعتبر"),"",LEFT($J1833,4)&amp;MID($J1833,6,2)&amp;RIGHT($J1833,2)&amp;$N1833&amp;"|"&amp;"2"&amp;RIGHT("00000"&amp;1828,5))</f>
        <v/>
      </c>
      <c r="L1833">
        <f>IF($K1833="","",COUNTIFS(LdgPartyA,$F1833,LdgKeyA,"&lt;"&amp;$K1833)+COUNTIFS(LdgPartyB,$F1833,LdgKeyB,"&lt;"&amp;$K1833)+1)</f>
        <v/>
      </c>
      <c r="M1833">
        <f>IF($L1833="","",$F1833&amp;"|"&amp;RIGHT("000000"&amp;$L1833,6))</f>
        <v/>
      </c>
      <c r="N1833">
        <f>IF($F1833="","",IF(Sync!$AH1833="","0000",IF(AND(ISNUMBER(Sync!$AH1833),Sync!$AH1833&gt;=0,Sync!$AH1833&lt;1),RIGHT("00"&amp;HOUR(Sync!$AH1833),2)&amp;RIGHT("00"&amp;MINUTE(Sync!$AH1833),2),IFERROR(RIGHT("00"&amp;VALUE(LEFT(Sync!$AH1833,FIND(":",Sync!$AH1833)-1)),2)&amp;RIGHT("00"&amp;VALUE(MID(Sync!$AH1833,FIND(":",Sync!$AH1833)+1,2)),2),"0000"))))</f>
        <v/>
      </c>
    </row>
    <row r="1834">
      <c r="A1834">
        <f>IF(OR(Calc!$E1837="",Calc!$E1837="نامعتبر",Calc!$G1837="",Calc!$I1837&lt;&gt;"خرید"),"",Calc!$G1837)</f>
        <v/>
      </c>
      <c r="B1834">
        <f>IF($A1834="","",LEFT(Calc!$E1837,4)&amp;MID(Calc!$E1837,6,2)&amp;RIGHT(Calc!$E1837,2)&amp;Calc!$R1837&amp;"|"&amp;"1"&amp;RIGHT("00000"&amp;1829,5))</f>
        <v/>
      </c>
      <c r="C1834">
        <f>IF($B1834="","",COUNTIFS(LdgPartyA,$A1834,LdgKeyA,"&lt;"&amp;$B1834)+COUNTIFS(LdgPartyB,$A1834,LdgKeyB,"&lt;"&amp;$B1834)+1)</f>
        <v/>
      </c>
      <c r="D1834">
        <f>IF($C1834="","",$A1834&amp;"|"&amp;RIGHT("000000"&amp;$C1834,6))</f>
        <v/>
      </c>
      <c r="F1834">
        <f>IF(Sync!$AJ1834="","",Sync!$AJ1834)</f>
        <v/>
      </c>
      <c r="G1834">
        <f>IF($F1834="","",IF(Sync!$AG1834="","",IF(ISNUMBER(Sync!$AG1834),IF(AND(Sync!$AG1834&gt;=10000101,Sync!$AG1834&lt;=99991231),INT(Sync!$AG1834/10000),""),IFERROR(VALUE(TRIM(LEFT(Sync!$AG1834,FIND("/",Sync!$AG1834)-1))),""))))</f>
        <v/>
      </c>
      <c r="H1834">
        <f>IF(OR($F1834="",$G1834=""),"",IF(ISNUMBER(Sync!$AG1834),INT(MOD(Sync!$AG1834,10000)/100),IFERROR(VALUE(TRIM(LEFT(MID(Sync!$AG1834,FIND("/",Sync!$AG1834)+1,20),FIND("/",MID(Sync!$AG1834,FIND("/",Sync!$AG1834)+1,20))-1))),"")))</f>
        <v/>
      </c>
      <c r="I1834">
        <f>IF(OR($F1834="",$G1834=""),"",IF(ISNUMBER(Sync!$AG1834),MOD(Sync!$AG1834,100),IFERROR(VALUE(TRIM(MID(MID(Sync!$AG1834,FIND("/",Sync!$AG1834)+1,20),FIND("/",MID(Sync!$AG1834,FIND("/",Sync!$AG1834)+1,20))+1,20))),"")))</f>
        <v/>
      </c>
      <c r="J1834">
        <f>IF($F1834="","",IF(OR($G1834="",$H1834="",$I1834="",$G1834&lt;1300,$G1834&gt;1500,$H1834&lt;1,$H1834&gt;12,$I1834&lt;1,$I1834&gt;31),"نامعتبر",RIGHT("0000"&amp;$G1834,4)&amp;"/"&amp;RIGHT("00"&amp;$H1834,2)&amp;"/"&amp;RIGHT("00"&amp;$I1834,2)))</f>
        <v/>
      </c>
      <c r="K1834">
        <f>IF(OR($F1834="",$J1834="",$J1834="نامعتبر"),"",LEFT($J1834,4)&amp;MID($J1834,6,2)&amp;RIGHT($J1834,2)&amp;$N1834&amp;"|"&amp;"2"&amp;RIGHT("00000"&amp;1829,5))</f>
        <v/>
      </c>
      <c r="L1834">
        <f>IF($K1834="","",COUNTIFS(LdgPartyA,$F1834,LdgKeyA,"&lt;"&amp;$K1834)+COUNTIFS(LdgPartyB,$F1834,LdgKeyB,"&lt;"&amp;$K1834)+1)</f>
        <v/>
      </c>
      <c r="M1834">
        <f>IF($L1834="","",$F1834&amp;"|"&amp;RIGHT("000000"&amp;$L1834,6))</f>
        <v/>
      </c>
      <c r="N1834">
        <f>IF($F1834="","",IF(Sync!$AH1834="","0000",IF(AND(ISNUMBER(Sync!$AH1834),Sync!$AH1834&gt;=0,Sync!$AH1834&lt;1),RIGHT("00"&amp;HOUR(Sync!$AH1834),2)&amp;RIGHT("00"&amp;MINUTE(Sync!$AH1834),2),IFERROR(RIGHT("00"&amp;VALUE(LEFT(Sync!$AH1834,FIND(":",Sync!$AH1834)-1)),2)&amp;RIGHT("00"&amp;VALUE(MID(Sync!$AH1834,FIND(":",Sync!$AH1834)+1,2)),2),"0000"))))</f>
        <v/>
      </c>
    </row>
    <row r="1835">
      <c r="A1835">
        <f>IF(OR(Calc!$E1838="",Calc!$E1838="نامعتبر",Calc!$G1838="",Calc!$I1838&lt;&gt;"خرید"),"",Calc!$G1838)</f>
        <v/>
      </c>
      <c r="B1835">
        <f>IF($A1835="","",LEFT(Calc!$E1838,4)&amp;MID(Calc!$E1838,6,2)&amp;RIGHT(Calc!$E1838,2)&amp;Calc!$R1838&amp;"|"&amp;"1"&amp;RIGHT("00000"&amp;1830,5))</f>
        <v/>
      </c>
      <c r="C1835">
        <f>IF($B1835="","",COUNTIFS(LdgPartyA,$A1835,LdgKeyA,"&lt;"&amp;$B1835)+COUNTIFS(LdgPartyB,$A1835,LdgKeyB,"&lt;"&amp;$B1835)+1)</f>
        <v/>
      </c>
      <c r="D1835">
        <f>IF($C1835="","",$A1835&amp;"|"&amp;RIGHT("000000"&amp;$C1835,6))</f>
        <v/>
      </c>
      <c r="F1835">
        <f>IF(Sync!$AJ1835="","",Sync!$AJ1835)</f>
        <v/>
      </c>
      <c r="G1835">
        <f>IF($F1835="","",IF(Sync!$AG1835="","",IF(ISNUMBER(Sync!$AG1835),IF(AND(Sync!$AG1835&gt;=10000101,Sync!$AG1835&lt;=99991231),INT(Sync!$AG1835/10000),""),IFERROR(VALUE(TRIM(LEFT(Sync!$AG1835,FIND("/",Sync!$AG1835)-1))),""))))</f>
        <v/>
      </c>
      <c r="H1835">
        <f>IF(OR($F1835="",$G1835=""),"",IF(ISNUMBER(Sync!$AG1835),INT(MOD(Sync!$AG1835,10000)/100),IFERROR(VALUE(TRIM(LEFT(MID(Sync!$AG1835,FIND("/",Sync!$AG1835)+1,20),FIND("/",MID(Sync!$AG1835,FIND("/",Sync!$AG1835)+1,20))-1))),"")))</f>
        <v/>
      </c>
      <c r="I1835">
        <f>IF(OR($F1835="",$G1835=""),"",IF(ISNUMBER(Sync!$AG1835),MOD(Sync!$AG1835,100),IFERROR(VALUE(TRIM(MID(MID(Sync!$AG1835,FIND("/",Sync!$AG1835)+1,20),FIND("/",MID(Sync!$AG1835,FIND("/",Sync!$AG1835)+1,20))+1,20))),"")))</f>
        <v/>
      </c>
      <c r="J1835">
        <f>IF($F1835="","",IF(OR($G1835="",$H1835="",$I1835="",$G1835&lt;1300,$G1835&gt;1500,$H1835&lt;1,$H1835&gt;12,$I1835&lt;1,$I1835&gt;31),"نامعتبر",RIGHT("0000"&amp;$G1835,4)&amp;"/"&amp;RIGHT("00"&amp;$H1835,2)&amp;"/"&amp;RIGHT("00"&amp;$I1835,2)))</f>
        <v/>
      </c>
      <c r="K1835">
        <f>IF(OR($F1835="",$J1835="",$J1835="نامعتبر"),"",LEFT($J1835,4)&amp;MID($J1835,6,2)&amp;RIGHT($J1835,2)&amp;$N1835&amp;"|"&amp;"2"&amp;RIGHT("00000"&amp;1830,5))</f>
        <v/>
      </c>
      <c r="L1835">
        <f>IF($K1835="","",COUNTIFS(LdgPartyA,$F1835,LdgKeyA,"&lt;"&amp;$K1835)+COUNTIFS(LdgPartyB,$F1835,LdgKeyB,"&lt;"&amp;$K1835)+1)</f>
        <v/>
      </c>
      <c r="M1835">
        <f>IF($L1835="","",$F1835&amp;"|"&amp;RIGHT("000000"&amp;$L1835,6))</f>
        <v/>
      </c>
      <c r="N1835">
        <f>IF($F1835="","",IF(Sync!$AH1835="","0000",IF(AND(ISNUMBER(Sync!$AH1835),Sync!$AH1835&gt;=0,Sync!$AH1835&lt;1),RIGHT("00"&amp;HOUR(Sync!$AH1835),2)&amp;RIGHT("00"&amp;MINUTE(Sync!$AH1835),2),IFERROR(RIGHT("00"&amp;VALUE(LEFT(Sync!$AH1835,FIND(":",Sync!$AH1835)-1)),2)&amp;RIGHT("00"&amp;VALUE(MID(Sync!$AH1835,FIND(":",Sync!$AH1835)+1,2)),2),"0000"))))</f>
        <v/>
      </c>
    </row>
    <row r="1836">
      <c r="A1836">
        <f>IF(OR(Calc!$E1839="",Calc!$E1839="نامعتبر",Calc!$G1839="",Calc!$I1839&lt;&gt;"خرید"),"",Calc!$G1839)</f>
        <v/>
      </c>
      <c r="B1836">
        <f>IF($A1836="","",LEFT(Calc!$E1839,4)&amp;MID(Calc!$E1839,6,2)&amp;RIGHT(Calc!$E1839,2)&amp;Calc!$R1839&amp;"|"&amp;"1"&amp;RIGHT("00000"&amp;1831,5))</f>
        <v/>
      </c>
      <c r="C1836">
        <f>IF($B1836="","",COUNTIFS(LdgPartyA,$A1836,LdgKeyA,"&lt;"&amp;$B1836)+COUNTIFS(LdgPartyB,$A1836,LdgKeyB,"&lt;"&amp;$B1836)+1)</f>
        <v/>
      </c>
      <c r="D1836">
        <f>IF($C1836="","",$A1836&amp;"|"&amp;RIGHT("000000"&amp;$C1836,6))</f>
        <v/>
      </c>
      <c r="F1836">
        <f>IF(Sync!$AJ1836="","",Sync!$AJ1836)</f>
        <v/>
      </c>
      <c r="G1836">
        <f>IF($F1836="","",IF(Sync!$AG1836="","",IF(ISNUMBER(Sync!$AG1836),IF(AND(Sync!$AG1836&gt;=10000101,Sync!$AG1836&lt;=99991231),INT(Sync!$AG1836/10000),""),IFERROR(VALUE(TRIM(LEFT(Sync!$AG1836,FIND("/",Sync!$AG1836)-1))),""))))</f>
        <v/>
      </c>
      <c r="H1836">
        <f>IF(OR($F1836="",$G1836=""),"",IF(ISNUMBER(Sync!$AG1836),INT(MOD(Sync!$AG1836,10000)/100),IFERROR(VALUE(TRIM(LEFT(MID(Sync!$AG1836,FIND("/",Sync!$AG1836)+1,20),FIND("/",MID(Sync!$AG1836,FIND("/",Sync!$AG1836)+1,20))-1))),"")))</f>
        <v/>
      </c>
      <c r="I1836">
        <f>IF(OR($F1836="",$G1836=""),"",IF(ISNUMBER(Sync!$AG1836),MOD(Sync!$AG1836,100),IFERROR(VALUE(TRIM(MID(MID(Sync!$AG1836,FIND("/",Sync!$AG1836)+1,20),FIND("/",MID(Sync!$AG1836,FIND("/",Sync!$AG1836)+1,20))+1,20))),"")))</f>
        <v/>
      </c>
      <c r="J1836">
        <f>IF($F1836="","",IF(OR($G1836="",$H1836="",$I1836="",$G1836&lt;1300,$G1836&gt;1500,$H1836&lt;1,$H1836&gt;12,$I1836&lt;1,$I1836&gt;31),"نامعتبر",RIGHT("0000"&amp;$G1836,4)&amp;"/"&amp;RIGHT("00"&amp;$H1836,2)&amp;"/"&amp;RIGHT("00"&amp;$I1836,2)))</f>
        <v/>
      </c>
      <c r="K1836">
        <f>IF(OR($F1836="",$J1836="",$J1836="نامعتبر"),"",LEFT($J1836,4)&amp;MID($J1836,6,2)&amp;RIGHT($J1836,2)&amp;$N1836&amp;"|"&amp;"2"&amp;RIGHT("00000"&amp;1831,5))</f>
        <v/>
      </c>
      <c r="L1836">
        <f>IF($K1836="","",COUNTIFS(LdgPartyA,$F1836,LdgKeyA,"&lt;"&amp;$K1836)+COUNTIFS(LdgPartyB,$F1836,LdgKeyB,"&lt;"&amp;$K1836)+1)</f>
        <v/>
      </c>
      <c r="M1836">
        <f>IF($L1836="","",$F1836&amp;"|"&amp;RIGHT("000000"&amp;$L1836,6))</f>
        <v/>
      </c>
      <c r="N1836">
        <f>IF($F1836="","",IF(Sync!$AH1836="","0000",IF(AND(ISNUMBER(Sync!$AH1836),Sync!$AH1836&gt;=0,Sync!$AH1836&lt;1),RIGHT("00"&amp;HOUR(Sync!$AH1836),2)&amp;RIGHT("00"&amp;MINUTE(Sync!$AH1836),2),IFERROR(RIGHT("00"&amp;VALUE(LEFT(Sync!$AH1836,FIND(":",Sync!$AH1836)-1)),2)&amp;RIGHT("00"&amp;VALUE(MID(Sync!$AH1836,FIND(":",Sync!$AH1836)+1,2)),2),"0000"))))</f>
        <v/>
      </c>
    </row>
    <row r="1837">
      <c r="A1837">
        <f>IF(OR(Calc!$E1840="",Calc!$E1840="نامعتبر",Calc!$G1840="",Calc!$I1840&lt;&gt;"خرید"),"",Calc!$G1840)</f>
        <v/>
      </c>
      <c r="B1837">
        <f>IF($A1837="","",LEFT(Calc!$E1840,4)&amp;MID(Calc!$E1840,6,2)&amp;RIGHT(Calc!$E1840,2)&amp;Calc!$R1840&amp;"|"&amp;"1"&amp;RIGHT("00000"&amp;1832,5))</f>
        <v/>
      </c>
      <c r="C1837">
        <f>IF($B1837="","",COUNTIFS(LdgPartyA,$A1837,LdgKeyA,"&lt;"&amp;$B1837)+COUNTIFS(LdgPartyB,$A1837,LdgKeyB,"&lt;"&amp;$B1837)+1)</f>
        <v/>
      </c>
      <c r="D1837">
        <f>IF($C1837="","",$A1837&amp;"|"&amp;RIGHT("000000"&amp;$C1837,6))</f>
        <v/>
      </c>
      <c r="F1837">
        <f>IF(Sync!$AJ1837="","",Sync!$AJ1837)</f>
        <v/>
      </c>
      <c r="G1837">
        <f>IF($F1837="","",IF(Sync!$AG1837="","",IF(ISNUMBER(Sync!$AG1837),IF(AND(Sync!$AG1837&gt;=10000101,Sync!$AG1837&lt;=99991231),INT(Sync!$AG1837/10000),""),IFERROR(VALUE(TRIM(LEFT(Sync!$AG1837,FIND("/",Sync!$AG1837)-1))),""))))</f>
        <v/>
      </c>
      <c r="H1837">
        <f>IF(OR($F1837="",$G1837=""),"",IF(ISNUMBER(Sync!$AG1837),INT(MOD(Sync!$AG1837,10000)/100),IFERROR(VALUE(TRIM(LEFT(MID(Sync!$AG1837,FIND("/",Sync!$AG1837)+1,20),FIND("/",MID(Sync!$AG1837,FIND("/",Sync!$AG1837)+1,20))-1))),"")))</f>
        <v/>
      </c>
      <c r="I1837">
        <f>IF(OR($F1837="",$G1837=""),"",IF(ISNUMBER(Sync!$AG1837),MOD(Sync!$AG1837,100),IFERROR(VALUE(TRIM(MID(MID(Sync!$AG1837,FIND("/",Sync!$AG1837)+1,20),FIND("/",MID(Sync!$AG1837,FIND("/",Sync!$AG1837)+1,20))+1,20))),"")))</f>
        <v/>
      </c>
      <c r="J1837">
        <f>IF($F1837="","",IF(OR($G1837="",$H1837="",$I1837="",$G1837&lt;1300,$G1837&gt;1500,$H1837&lt;1,$H1837&gt;12,$I1837&lt;1,$I1837&gt;31),"نامعتبر",RIGHT("0000"&amp;$G1837,4)&amp;"/"&amp;RIGHT("00"&amp;$H1837,2)&amp;"/"&amp;RIGHT("00"&amp;$I1837,2)))</f>
        <v/>
      </c>
      <c r="K1837">
        <f>IF(OR($F1837="",$J1837="",$J1837="نامعتبر"),"",LEFT($J1837,4)&amp;MID($J1837,6,2)&amp;RIGHT($J1837,2)&amp;$N1837&amp;"|"&amp;"2"&amp;RIGHT("00000"&amp;1832,5))</f>
        <v/>
      </c>
      <c r="L1837">
        <f>IF($K1837="","",COUNTIFS(LdgPartyA,$F1837,LdgKeyA,"&lt;"&amp;$K1837)+COUNTIFS(LdgPartyB,$F1837,LdgKeyB,"&lt;"&amp;$K1837)+1)</f>
        <v/>
      </c>
      <c r="M1837">
        <f>IF($L1837="","",$F1837&amp;"|"&amp;RIGHT("000000"&amp;$L1837,6))</f>
        <v/>
      </c>
      <c r="N1837">
        <f>IF($F1837="","",IF(Sync!$AH1837="","0000",IF(AND(ISNUMBER(Sync!$AH1837),Sync!$AH1837&gt;=0,Sync!$AH1837&lt;1),RIGHT("00"&amp;HOUR(Sync!$AH1837),2)&amp;RIGHT("00"&amp;MINUTE(Sync!$AH1837),2),IFERROR(RIGHT("00"&amp;VALUE(LEFT(Sync!$AH1837,FIND(":",Sync!$AH1837)-1)),2)&amp;RIGHT("00"&amp;VALUE(MID(Sync!$AH1837,FIND(":",Sync!$AH1837)+1,2)),2),"0000"))))</f>
        <v/>
      </c>
    </row>
    <row r="1838">
      <c r="A1838">
        <f>IF(OR(Calc!$E1841="",Calc!$E1841="نامعتبر",Calc!$G1841="",Calc!$I1841&lt;&gt;"خرید"),"",Calc!$G1841)</f>
        <v/>
      </c>
      <c r="B1838">
        <f>IF($A1838="","",LEFT(Calc!$E1841,4)&amp;MID(Calc!$E1841,6,2)&amp;RIGHT(Calc!$E1841,2)&amp;Calc!$R1841&amp;"|"&amp;"1"&amp;RIGHT("00000"&amp;1833,5))</f>
        <v/>
      </c>
      <c r="C1838">
        <f>IF($B1838="","",COUNTIFS(LdgPartyA,$A1838,LdgKeyA,"&lt;"&amp;$B1838)+COUNTIFS(LdgPartyB,$A1838,LdgKeyB,"&lt;"&amp;$B1838)+1)</f>
        <v/>
      </c>
      <c r="D1838">
        <f>IF($C1838="","",$A1838&amp;"|"&amp;RIGHT("000000"&amp;$C1838,6))</f>
        <v/>
      </c>
      <c r="F1838">
        <f>IF(Sync!$AJ1838="","",Sync!$AJ1838)</f>
        <v/>
      </c>
      <c r="G1838">
        <f>IF($F1838="","",IF(Sync!$AG1838="","",IF(ISNUMBER(Sync!$AG1838),IF(AND(Sync!$AG1838&gt;=10000101,Sync!$AG1838&lt;=99991231),INT(Sync!$AG1838/10000),""),IFERROR(VALUE(TRIM(LEFT(Sync!$AG1838,FIND("/",Sync!$AG1838)-1))),""))))</f>
        <v/>
      </c>
      <c r="H1838">
        <f>IF(OR($F1838="",$G1838=""),"",IF(ISNUMBER(Sync!$AG1838),INT(MOD(Sync!$AG1838,10000)/100),IFERROR(VALUE(TRIM(LEFT(MID(Sync!$AG1838,FIND("/",Sync!$AG1838)+1,20),FIND("/",MID(Sync!$AG1838,FIND("/",Sync!$AG1838)+1,20))-1))),"")))</f>
        <v/>
      </c>
      <c r="I1838">
        <f>IF(OR($F1838="",$G1838=""),"",IF(ISNUMBER(Sync!$AG1838),MOD(Sync!$AG1838,100),IFERROR(VALUE(TRIM(MID(MID(Sync!$AG1838,FIND("/",Sync!$AG1838)+1,20),FIND("/",MID(Sync!$AG1838,FIND("/",Sync!$AG1838)+1,20))+1,20))),"")))</f>
        <v/>
      </c>
      <c r="J1838">
        <f>IF($F1838="","",IF(OR($G1838="",$H1838="",$I1838="",$G1838&lt;1300,$G1838&gt;1500,$H1838&lt;1,$H1838&gt;12,$I1838&lt;1,$I1838&gt;31),"نامعتبر",RIGHT("0000"&amp;$G1838,4)&amp;"/"&amp;RIGHT("00"&amp;$H1838,2)&amp;"/"&amp;RIGHT("00"&amp;$I1838,2)))</f>
        <v/>
      </c>
      <c r="K1838">
        <f>IF(OR($F1838="",$J1838="",$J1838="نامعتبر"),"",LEFT($J1838,4)&amp;MID($J1838,6,2)&amp;RIGHT($J1838,2)&amp;$N1838&amp;"|"&amp;"2"&amp;RIGHT("00000"&amp;1833,5))</f>
        <v/>
      </c>
      <c r="L1838">
        <f>IF($K1838="","",COUNTIFS(LdgPartyA,$F1838,LdgKeyA,"&lt;"&amp;$K1838)+COUNTIFS(LdgPartyB,$F1838,LdgKeyB,"&lt;"&amp;$K1838)+1)</f>
        <v/>
      </c>
      <c r="M1838">
        <f>IF($L1838="","",$F1838&amp;"|"&amp;RIGHT("000000"&amp;$L1838,6))</f>
        <v/>
      </c>
      <c r="N1838">
        <f>IF($F1838="","",IF(Sync!$AH1838="","0000",IF(AND(ISNUMBER(Sync!$AH1838),Sync!$AH1838&gt;=0,Sync!$AH1838&lt;1),RIGHT("00"&amp;HOUR(Sync!$AH1838),2)&amp;RIGHT("00"&amp;MINUTE(Sync!$AH1838),2),IFERROR(RIGHT("00"&amp;VALUE(LEFT(Sync!$AH1838,FIND(":",Sync!$AH1838)-1)),2)&amp;RIGHT("00"&amp;VALUE(MID(Sync!$AH1838,FIND(":",Sync!$AH1838)+1,2)),2),"0000"))))</f>
        <v/>
      </c>
    </row>
    <row r="1839">
      <c r="A1839">
        <f>IF(OR(Calc!$E1842="",Calc!$E1842="نامعتبر",Calc!$G1842="",Calc!$I1842&lt;&gt;"خرید"),"",Calc!$G1842)</f>
        <v/>
      </c>
      <c r="B1839">
        <f>IF($A1839="","",LEFT(Calc!$E1842,4)&amp;MID(Calc!$E1842,6,2)&amp;RIGHT(Calc!$E1842,2)&amp;Calc!$R1842&amp;"|"&amp;"1"&amp;RIGHT("00000"&amp;1834,5))</f>
        <v/>
      </c>
      <c r="C1839">
        <f>IF($B1839="","",COUNTIFS(LdgPartyA,$A1839,LdgKeyA,"&lt;"&amp;$B1839)+COUNTIFS(LdgPartyB,$A1839,LdgKeyB,"&lt;"&amp;$B1839)+1)</f>
        <v/>
      </c>
      <c r="D1839">
        <f>IF($C1839="","",$A1839&amp;"|"&amp;RIGHT("000000"&amp;$C1839,6))</f>
        <v/>
      </c>
      <c r="F1839">
        <f>IF(Sync!$AJ1839="","",Sync!$AJ1839)</f>
        <v/>
      </c>
      <c r="G1839">
        <f>IF($F1839="","",IF(Sync!$AG1839="","",IF(ISNUMBER(Sync!$AG1839),IF(AND(Sync!$AG1839&gt;=10000101,Sync!$AG1839&lt;=99991231),INT(Sync!$AG1839/10000),""),IFERROR(VALUE(TRIM(LEFT(Sync!$AG1839,FIND("/",Sync!$AG1839)-1))),""))))</f>
        <v/>
      </c>
      <c r="H1839">
        <f>IF(OR($F1839="",$G1839=""),"",IF(ISNUMBER(Sync!$AG1839),INT(MOD(Sync!$AG1839,10000)/100),IFERROR(VALUE(TRIM(LEFT(MID(Sync!$AG1839,FIND("/",Sync!$AG1839)+1,20),FIND("/",MID(Sync!$AG1839,FIND("/",Sync!$AG1839)+1,20))-1))),"")))</f>
        <v/>
      </c>
      <c r="I1839">
        <f>IF(OR($F1839="",$G1839=""),"",IF(ISNUMBER(Sync!$AG1839),MOD(Sync!$AG1839,100),IFERROR(VALUE(TRIM(MID(MID(Sync!$AG1839,FIND("/",Sync!$AG1839)+1,20),FIND("/",MID(Sync!$AG1839,FIND("/",Sync!$AG1839)+1,20))+1,20))),"")))</f>
        <v/>
      </c>
      <c r="J1839">
        <f>IF($F1839="","",IF(OR($G1839="",$H1839="",$I1839="",$G1839&lt;1300,$G1839&gt;1500,$H1839&lt;1,$H1839&gt;12,$I1839&lt;1,$I1839&gt;31),"نامعتبر",RIGHT("0000"&amp;$G1839,4)&amp;"/"&amp;RIGHT("00"&amp;$H1839,2)&amp;"/"&amp;RIGHT("00"&amp;$I1839,2)))</f>
        <v/>
      </c>
      <c r="K1839">
        <f>IF(OR($F1839="",$J1839="",$J1839="نامعتبر"),"",LEFT($J1839,4)&amp;MID($J1839,6,2)&amp;RIGHT($J1839,2)&amp;$N1839&amp;"|"&amp;"2"&amp;RIGHT("00000"&amp;1834,5))</f>
        <v/>
      </c>
      <c r="L1839">
        <f>IF($K1839="","",COUNTIFS(LdgPartyA,$F1839,LdgKeyA,"&lt;"&amp;$K1839)+COUNTIFS(LdgPartyB,$F1839,LdgKeyB,"&lt;"&amp;$K1839)+1)</f>
        <v/>
      </c>
      <c r="M1839">
        <f>IF($L1839="","",$F1839&amp;"|"&amp;RIGHT("000000"&amp;$L1839,6))</f>
        <v/>
      </c>
      <c r="N1839">
        <f>IF($F1839="","",IF(Sync!$AH1839="","0000",IF(AND(ISNUMBER(Sync!$AH1839),Sync!$AH1839&gt;=0,Sync!$AH1839&lt;1),RIGHT("00"&amp;HOUR(Sync!$AH1839),2)&amp;RIGHT("00"&amp;MINUTE(Sync!$AH1839),2),IFERROR(RIGHT("00"&amp;VALUE(LEFT(Sync!$AH1839,FIND(":",Sync!$AH1839)-1)),2)&amp;RIGHT("00"&amp;VALUE(MID(Sync!$AH1839,FIND(":",Sync!$AH1839)+1,2)),2),"0000"))))</f>
        <v/>
      </c>
    </row>
    <row r="1840">
      <c r="A1840">
        <f>IF(OR(Calc!$E1843="",Calc!$E1843="نامعتبر",Calc!$G1843="",Calc!$I1843&lt;&gt;"خرید"),"",Calc!$G1843)</f>
        <v/>
      </c>
      <c r="B1840">
        <f>IF($A1840="","",LEFT(Calc!$E1843,4)&amp;MID(Calc!$E1843,6,2)&amp;RIGHT(Calc!$E1843,2)&amp;Calc!$R1843&amp;"|"&amp;"1"&amp;RIGHT("00000"&amp;1835,5))</f>
        <v/>
      </c>
      <c r="C1840">
        <f>IF($B1840="","",COUNTIFS(LdgPartyA,$A1840,LdgKeyA,"&lt;"&amp;$B1840)+COUNTIFS(LdgPartyB,$A1840,LdgKeyB,"&lt;"&amp;$B1840)+1)</f>
        <v/>
      </c>
      <c r="D1840">
        <f>IF($C1840="","",$A1840&amp;"|"&amp;RIGHT("000000"&amp;$C1840,6))</f>
        <v/>
      </c>
      <c r="F1840">
        <f>IF(Sync!$AJ1840="","",Sync!$AJ1840)</f>
        <v/>
      </c>
      <c r="G1840">
        <f>IF($F1840="","",IF(Sync!$AG1840="","",IF(ISNUMBER(Sync!$AG1840),IF(AND(Sync!$AG1840&gt;=10000101,Sync!$AG1840&lt;=99991231),INT(Sync!$AG1840/10000),""),IFERROR(VALUE(TRIM(LEFT(Sync!$AG1840,FIND("/",Sync!$AG1840)-1))),""))))</f>
        <v/>
      </c>
      <c r="H1840">
        <f>IF(OR($F1840="",$G1840=""),"",IF(ISNUMBER(Sync!$AG1840),INT(MOD(Sync!$AG1840,10000)/100),IFERROR(VALUE(TRIM(LEFT(MID(Sync!$AG1840,FIND("/",Sync!$AG1840)+1,20),FIND("/",MID(Sync!$AG1840,FIND("/",Sync!$AG1840)+1,20))-1))),"")))</f>
        <v/>
      </c>
      <c r="I1840">
        <f>IF(OR($F1840="",$G1840=""),"",IF(ISNUMBER(Sync!$AG1840),MOD(Sync!$AG1840,100),IFERROR(VALUE(TRIM(MID(MID(Sync!$AG1840,FIND("/",Sync!$AG1840)+1,20),FIND("/",MID(Sync!$AG1840,FIND("/",Sync!$AG1840)+1,20))+1,20))),"")))</f>
        <v/>
      </c>
      <c r="J1840">
        <f>IF($F1840="","",IF(OR($G1840="",$H1840="",$I1840="",$G1840&lt;1300,$G1840&gt;1500,$H1840&lt;1,$H1840&gt;12,$I1840&lt;1,$I1840&gt;31),"نامعتبر",RIGHT("0000"&amp;$G1840,4)&amp;"/"&amp;RIGHT("00"&amp;$H1840,2)&amp;"/"&amp;RIGHT("00"&amp;$I1840,2)))</f>
        <v/>
      </c>
      <c r="K1840">
        <f>IF(OR($F1840="",$J1840="",$J1840="نامعتبر"),"",LEFT($J1840,4)&amp;MID($J1840,6,2)&amp;RIGHT($J1840,2)&amp;$N1840&amp;"|"&amp;"2"&amp;RIGHT("00000"&amp;1835,5))</f>
        <v/>
      </c>
      <c r="L1840">
        <f>IF($K1840="","",COUNTIFS(LdgPartyA,$F1840,LdgKeyA,"&lt;"&amp;$K1840)+COUNTIFS(LdgPartyB,$F1840,LdgKeyB,"&lt;"&amp;$K1840)+1)</f>
        <v/>
      </c>
      <c r="M1840">
        <f>IF($L1840="","",$F1840&amp;"|"&amp;RIGHT("000000"&amp;$L1840,6))</f>
        <v/>
      </c>
      <c r="N1840">
        <f>IF($F1840="","",IF(Sync!$AH1840="","0000",IF(AND(ISNUMBER(Sync!$AH1840),Sync!$AH1840&gt;=0,Sync!$AH1840&lt;1),RIGHT("00"&amp;HOUR(Sync!$AH1840),2)&amp;RIGHT("00"&amp;MINUTE(Sync!$AH1840),2),IFERROR(RIGHT("00"&amp;VALUE(LEFT(Sync!$AH1840,FIND(":",Sync!$AH1840)-1)),2)&amp;RIGHT("00"&amp;VALUE(MID(Sync!$AH1840,FIND(":",Sync!$AH1840)+1,2)),2),"0000"))))</f>
        <v/>
      </c>
    </row>
    <row r="1841">
      <c r="A1841">
        <f>IF(OR(Calc!$E1844="",Calc!$E1844="نامعتبر",Calc!$G1844="",Calc!$I1844&lt;&gt;"خرید"),"",Calc!$G1844)</f>
        <v/>
      </c>
      <c r="B1841">
        <f>IF($A1841="","",LEFT(Calc!$E1844,4)&amp;MID(Calc!$E1844,6,2)&amp;RIGHT(Calc!$E1844,2)&amp;Calc!$R1844&amp;"|"&amp;"1"&amp;RIGHT("00000"&amp;1836,5))</f>
        <v/>
      </c>
      <c r="C1841">
        <f>IF($B1841="","",COUNTIFS(LdgPartyA,$A1841,LdgKeyA,"&lt;"&amp;$B1841)+COUNTIFS(LdgPartyB,$A1841,LdgKeyB,"&lt;"&amp;$B1841)+1)</f>
        <v/>
      </c>
      <c r="D1841">
        <f>IF($C1841="","",$A1841&amp;"|"&amp;RIGHT("000000"&amp;$C1841,6))</f>
        <v/>
      </c>
      <c r="F1841">
        <f>IF(Sync!$AJ1841="","",Sync!$AJ1841)</f>
        <v/>
      </c>
      <c r="G1841">
        <f>IF($F1841="","",IF(Sync!$AG1841="","",IF(ISNUMBER(Sync!$AG1841),IF(AND(Sync!$AG1841&gt;=10000101,Sync!$AG1841&lt;=99991231),INT(Sync!$AG1841/10000),""),IFERROR(VALUE(TRIM(LEFT(Sync!$AG1841,FIND("/",Sync!$AG1841)-1))),""))))</f>
        <v/>
      </c>
      <c r="H1841">
        <f>IF(OR($F1841="",$G1841=""),"",IF(ISNUMBER(Sync!$AG1841),INT(MOD(Sync!$AG1841,10000)/100),IFERROR(VALUE(TRIM(LEFT(MID(Sync!$AG1841,FIND("/",Sync!$AG1841)+1,20),FIND("/",MID(Sync!$AG1841,FIND("/",Sync!$AG1841)+1,20))-1))),"")))</f>
        <v/>
      </c>
      <c r="I1841">
        <f>IF(OR($F1841="",$G1841=""),"",IF(ISNUMBER(Sync!$AG1841),MOD(Sync!$AG1841,100),IFERROR(VALUE(TRIM(MID(MID(Sync!$AG1841,FIND("/",Sync!$AG1841)+1,20),FIND("/",MID(Sync!$AG1841,FIND("/",Sync!$AG1841)+1,20))+1,20))),"")))</f>
        <v/>
      </c>
      <c r="J1841">
        <f>IF($F1841="","",IF(OR($G1841="",$H1841="",$I1841="",$G1841&lt;1300,$G1841&gt;1500,$H1841&lt;1,$H1841&gt;12,$I1841&lt;1,$I1841&gt;31),"نامعتبر",RIGHT("0000"&amp;$G1841,4)&amp;"/"&amp;RIGHT("00"&amp;$H1841,2)&amp;"/"&amp;RIGHT("00"&amp;$I1841,2)))</f>
        <v/>
      </c>
      <c r="K1841">
        <f>IF(OR($F1841="",$J1841="",$J1841="نامعتبر"),"",LEFT($J1841,4)&amp;MID($J1841,6,2)&amp;RIGHT($J1841,2)&amp;$N1841&amp;"|"&amp;"2"&amp;RIGHT("00000"&amp;1836,5))</f>
        <v/>
      </c>
      <c r="L1841">
        <f>IF($K1841="","",COUNTIFS(LdgPartyA,$F1841,LdgKeyA,"&lt;"&amp;$K1841)+COUNTIFS(LdgPartyB,$F1841,LdgKeyB,"&lt;"&amp;$K1841)+1)</f>
        <v/>
      </c>
      <c r="M1841">
        <f>IF($L1841="","",$F1841&amp;"|"&amp;RIGHT("000000"&amp;$L1841,6))</f>
        <v/>
      </c>
      <c r="N1841">
        <f>IF($F1841="","",IF(Sync!$AH1841="","0000",IF(AND(ISNUMBER(Sync!$AH1841),Sync!$AH1841&gt;=0,Sync!$AH1841&lt;1),RIGHT("00"&amp;HOUR(Sync!$AH1841),2)&amp;RIGHT("00"&amp;MINUTE(Sync!$AH1841),2),IFERROR(RIGHT("00"&amp;VALUE(LEFT(Sync!$AH1841,FIND(":",Sync!$AH1841)-1)),2)&amp;RIGHT("00"&amp;VALUE(MID(Sync!$AH1841,FIND(":",Sync!$AH1841)+1,2)),2),"0000"))))</f>
        <v/>
      </c>
    </row>
    <row r="1842">
      <c r="A1842">
        <f>IF(OR(Calc!$E1845="",Calc!$E1845="نامعتبر",Calc!$G1845="",Calc!$I1845&lt;&gt;"خرید"),"",Calc!$G1845)</f>
        <v/>
      </c>
      <c r="B1842">
        <f>IF($A1842="","",LEFT(Calc!$E1845,4)&amp;MID(Calc!$E1845,6,2)&amp;RIGHT(Calc!$E1845,2)&amp;Calc!$R1845&amp;"|"&amp;"1"&amp;RIGHT("00000"&amp;1837,5))</f>
        <v/>
      </c>
      <c r="C1842">
        <f>IF($B1842="","",COUNTIFS(LdgPartyA,$A1842,LdgKeyA,"&lt;"&amp;$B1842)+COUNTIFS(LdgPartyB,$A1842,LdgKeyB,"&lt;"&amp;$B1842)+1)</f>
        <v/>
      </c>
      <c r="D1842">
        <f>IF($C1842="","",$A1842&amp;"|"&amp;RIGHT("000000"&amp;$C1842,6))</f>
        <v/>
      </c>
      <c r="F1842">
        <f>IF(Sync!$AJ1842="","",Sync!$AJ1842)</f>
        <v/>
      </c>
      <c r="G1842">
        <f>IF($F1842="","",IF(Sync!$AG1842="","",IF(ISNUMBER(Sync!$AG1842),IF(AND(Sync!$AG1842&gt;=10000101,Sync!$AG1842&lt;=99991231),INT(Sync!$AG1842/10000),""),IFERROR(VALUE(TRIM(LEFT(Sync!$AG1842,FIND("/",Sync!$AG1842)-1))),""))))</f>
        <v/>
      </c>
      <c r="H1842">
        <f>IF(OR($F1842="",$G1842=""),"",IF(ISNUMBER(Sync!$AG1842),INT(MOD(Sync!$AG1842,10000)/100),IFERROR(VALUE(TRIM(LEFT(MID(Sync!$AG1842,FIND("/",Sync!$AG1842)+1,20),FIND("/",MID(Sync!$AG1842,FIND("/",Sync!$AG1842)+1,20))-1))),"")))</f>
        <v/>
      </c>
      <c r="I1842">
        <f>IF(OR($F1842="",$G1842=""),"",IF(ISNUMBER(Sync!$AG1842),MOD(Sync!$AG1842,100),IFERROR(VALUE(TRIM(MID(MID(Sync!$AG1842,FIND("/",Sync!$AG1842)+1,20),FIND("/",MID(Sync!$AG1842,FIND("/",Sync!$AG1842)+1,20))+1,20))),"")))</f>
        <v/>
      </c>
      <c r="J1842">
        <f>IF($F1842="","",IF(OR($G1842="",$H1842="",$I1842="",$G1842&lt;1300,$G1842&gt;1500,$H1842&lt;1,$H1842&gt;12,$I1842&lt;1,$I1842&gt;31),"نامعتبر",RIGHT("0000"&amp;$G1842,4)&amp;"/"&amp;RIGHT("00"&amp;$H1842,2)&amp;"/"&amp;RIGHT("00"&amp;$I1842,2)))</f>
        <v/>
      </c>
      <c r="K1842">
        <f>IF(OR($F1842="",$J1842="",$J1842="نامعتبر"),"",LEFT($J1842,4)&amp;MID($J1842,6,2)&amp;RIGHT($J1842,2)&amp;$N1842&amp;"|"&amp;"2"&amp;RIGHT("00000"&amp;1837,5))</f>
        <v/>
      </c>
      <c r="L1842">
        <f>IF($K1842="","",COUNTIFS(LdgPartyA,$F1842,LdgKeyA,"&lt;"&amp;$K1842)+COUNTIFS(LdgPartyB,$F1842,LdgKeyB,"&lt;"&amp;$K1842)+1)</f>
        <v/>
      </c>
      <c r="M1842">
        <f>IF($L1842="","",$F1842&amp;"|"&amp;RIGHT("000000"&amp;$L1842,6))</f>
        <v/>
      </c>
      <c r="N1842">
        <f>IF($F1842="","",IF(Sync!$AH1842="","0000",IF(AND(ISNUMBER(Sync!$AH1842),Sync!$AH1842&gt;=0,Sync!$AH1842&lt;1),RIGHT("00"&amp;HOUR(Sync!$AH1842),2)&amp;RIGHT("00"&amp;MINUTE(Sync!$AH1842),2),IFERROR(RIGHT("00"&amp;VALUE(LEFT(Sync!$AH1842,FIND(":",Sync!$AH1842)-1)),2)&amp;RIGHT("00"&amp;VALUE(MID(Sync!$AH1842,FIND(":",Sync!$AH1842)+1,2)),2),"0000"))))</f>
        <v/>
      </c>
    </row>
    <row r="1843">
      <c r="A1843">
        <f>IF(OR(Calc!$E1846="",Calc!$E1846="نامعتبر",Calc!$G1846="",Calc!$I1846&lt;&gt;"خرید"),"",Calc!$G1846)</f>
        <v/>
      </c>
      <c r="B1843">
        <f>IF($A1843="","",LEFT(Calc!$E1846,4)&amp;MID(Calc!$E1846,6,2)&amp;RIGHT(Calc!$E1846,2)&amp;Calc!$R1846&amp;"|"&amp;"1"&amp;RIGHT("00000"&amp;1838,5))</f>
        <v/>
      </c>
      <c r="C1843">
        <f>IF($B1843="","",COUNTIFS(LdgPartyA,$A1843,LdgKeyA,"&lt;"&amp;$B1843)+COUNTIFS(LdgPartyB,$A1843,LdgKeyB,"&lt;"&amp;$B1843)+1)</f>
        <v/>
      </c>
      <c r="D1843">
        <f>IF($C1843="","",$A1843&amp;"|"&amp;RIGHT("000000"&amp;$C1843,6))</f>
        <v/>
      </c>
      <c r="F1843">
        <f>IF(Sync!$AJ1843="","",Sync!$AJ1843)</f>
        <v/>
      </c>
      <c r="G1843">
        <f>IF($F1843="","",IF(Sync!$AG1843="","",IF(ISNUMBER(Sync!$AG1843),IF(AND(Sync!$AG1843&gt;=10000101,Sync!$AG1843&lt;=99991231),INT(Sync!$AG1843/10000),""),IFERROR(VALUE(TRIM(LEFT(Sync!$AG1843,FIND("/",Sync!$AG1843)-1))),""))))</f>
        <v/>
      </c>
      <c r="H1843">
        <f>IF(OR($F1843="",$G1843=""),"",IF(ISNUMBER(Sync!$AG1843),INT(MOD(Sync!$AG1843,10000)/100),IFERROR(VALUE(TRIM(LEFT(MID(Sync!$AG1843,FIND("/",Sync!$AG1843)+1,20),FIND("/",MID(Sync!$AG1843,FIND("/",Sync!$AG1843)+1,20))-1))),"")))</f>
        <v/>
      </c>
      <c r="I1843">
        <f>IF(OR($F1843="",$G1843=""),"",IF(ISNUMBER(Sync!$AG1843),MOD(Sync!$AG1843,100),IFERROR(VALUE(TRIM(MID(MID(Sync!$AG1843,FIND("/",Sync!$AG1843)+1,20),FIND("/",MID(Sync!$AG1843,FIND("/",Sync!$AG1843)+1,20))+1,20))),"")))</f>
        <v/>
      </c>
      <c r="J1843">
        <f>IF($F1843="","",IF(OR($G1843="",$H1843="",$I1843="",$G1843&lt;1300,$G1843&gt;1500,$H1843&lt;1,$H1843&gt;12,$I1843&lt;1,$I1843&gt;31),"نامعتبر",RIGHT("0000"&amp;$G1843,4)&amp;"/"&amp;RIGHT("00"&amp;$H1843,2)&amp;"/"&amp;RIGHT("00"&amp;$I1843,2)))</f>
        <v/>
      </c>
      <c r="K1843">
        <f>IF(OR($F1843="",$J1843="",$J1843="نامعتبر"),"",LEFT($J1843,4)&amp;MID($J1843,6,2)&amp;RIGHT($J1843,2)&amp;$N1843&amp;"|"&amp;"2"&amp;RIGHT("00000"&amp;1838,5))</f>
        <v/>
      </c>
      <c r="L1843">
        <f>IF($K1843="","",COUNTIFS(LdgPartyA,$F1843,LdgKeyA,"&lt;"&amp;$K1843)+COUNTIFS(LdgPartyB,$F1843,LdgKeyB,"&lt;"&amp;$K1843)+1)</f>
        <v/>
      </c>
      <c r="M1843">
        <f>IF($L1843="","",$F1843&amp;"|"&amp;RIGHT("000000"&amp;$L1843,6))</f>
        <v/>
      </c>
      <c r="N1843">
        <f>IF($F1843="","",IF(Sync!$AH1843="","0000",IF(AND(ISNUMBER(Sync!$AH1843),Sync!$AH1843&gt;=0,Sync!$AH1843&lt;1),RIGHT("00"&amp;HOUR(Sync!$AH1843),2)&amp;RIGHT("00"&amp;MINUTE(Sync!$AH1843),2),IFERROR(RIGHT("00"&amp;VALUE(LEFT(Sync!$AH1843,FIND(":",Sync!$AH1843)-1)),2)&amp;RIGHT("00"&amp;VALUE(MID(Sync!$AH1843,FIND(":",Sync!$AH1843)+1,2)),2),"0000"))))</f>
        <v/>
      </c>
    </row>
    <row r="1844">
      <c r="A1844">
        <f>IF(OR(Calc!$E1847="",Calc!$E1847="نامعتبر",Calc!$G1847="",Calc!$I1847&lt;&gt;"خرید"),"",Calc!$G1847)</f>
        <v/>
      </c>
      <c r="B1844">
        <f>IF($A1844="","",LEFT(Calc!$E1847,4)&amp;MID(Calc!$E1847,6,2)&amp;RIGHT(Calc!$E1847,2)&amp;Calc!$R1847&amp;"|"&amp;"1"&amp;RIGHT("00000"&amp;1839,5))</f>
        <v/>
      </c>
      <c r="C1844">
        <f>IF($B1844="","",COUNTIFS(LdgPartyA,$A1844,LdgKeyA,"&lt;"&amp;$B1844)+COUNTIFS(LdgPartyB,$A1844,LdgKeyB,"&lt;"&amp;$B1844)+1)</f>
        <v/>
      </c>
      <c r="D1844">
        <f>IF($C1844="","",$A1844&amp;"|"&amp;RIGHT("000000"&amp;$C1844,6))</f>
        <v/>
      </c>
      <c r="F1844">
        <f>IF(Sync!$AJ1844="","",Sync!$AJ1844)</f>
        <v/>
      </c>
      <c r="G1844">
        <f>IF($F1844="","",IF(Sync!$AG1844="","",IF(ISNUMBER(Sync!$AG1844),IF(AND(Sync!$AG1844&gt;=10000101,Sync!$AG1844&lt;=99991231),INT(Sync!$AG1844/10000),""),IFERROR(VALUE(TRIM(LEFT(Sync!$AG1844,FIND("/",Sync!$AG1844)-1))),""))))</f>
        <v/>
      </c>
      <c r="H1844">
        <f>IF(OR($F1844="",$G1844=""),"",IF(ISNUMBER(Sync!$AG1844),INT(MOD(Sync!$AG1844,10000)/100),IFERROR(VALUE(TRIM(LEFT(MID(Sync!$AG1844,FIND("/",Sync!$AG1844)+1,20),FIND("/",MID(Sync!$AG1844,FIND("/",Sync!$AG1844)+1,20))-1))),"")))</f>
        <v/>
      </c>
      <c r="I1844">
        <f>IF(OR($F1844="",$G1844=""),"",IF(ISNUMBER(Sync!$AG1844),MOD(Sync!$AG1844,100),IFERROR(VALUE(TRIM(MID(MID(Sync!$AG1844,FIND("/",Sync!$AG1844)+1,20),FIND("/",MID(Sync!$AG1844,FIND("/",Sync!$AG1844)+1,20))+1,20))),"")))</f>
        <v/>
      </c>
      <c r="J1844">
        <f>IF($F1844="","",IF(OR($G1844="",$H1844="",$I1844="",$G1844&lt;1300,$G1844&gt;1500,$H1844&lt;1,$H1844&gt;12,$I1844&lt;1,$I1844&gt;31),"نامعتبر",RIGHT("0000"&amp;$G1844,4)&amp;"/"&amp;RIGHT("00"&amp;$H1844,2)&amp;"/"&amp;RIGHT("00"&amp;$I1844,2)))</f>
        <v/>
      </c>
      <c r="K1844">
        <f>IF(OR($F1844="",$J1844="",$J1844="نامعتبر"),"",LEFT($J1844,4)&amp;MID($J1844,6,2)&amp;RIGHT($J1844,2)&amp;$N1844&amp;"|"&amp;"2"&amp;RIGHT("00000"&amp;1839,5))</f>
        <v/>
      </c>
      <c r="L1844">
        <f>IF($K1844="","",COUNTIFS(LdgPartyA,$F1844,LdgKeyA,"&lt;"&amp;$K1844)+COUNTIFS(LdgPartyB,$F1844,LdgKeyB,"&lt;"&amp;$K1844)+1)</f>
        <v/>
      </c>
      <c r="M1844">
        <f>IF($L1844="","",$F1844&amp;"|"&amp;RIGHT("000000"&amp;$L1844,6))</f>
        <v/>
      </c>
      <c r="N1844">
        <f>IF($F1844="","",IF(Sync!$AH1844="","0000",IF(AND(ISNUMBER(Sync!$AH1844),Sync!$AH1844&gt;=0,Sync!$AH1844&lt;1),RIGHT("00"&amp;HOUR(Sync!$AH1844),2)&amp;RIGHT("00"&amp;MINUTE(Sync!$AH1844),2),IFERROR(RIGHT("00"&amp;VALUE(LEFT(Sync!$AH1844,FIND(":",Sync!$AH1844)-1)),2)&amp;RIGHT("00"&amp;VALUE(MID(Sync!$AH1844,FIND(":",Sync!$AH1844)+1,2)),2),"0000"))))</f>
        <v/>
      </c>
    </row>
    <row r="1845">
      <c r="A1845">
        <f>IF(OR(Calc!$E1848="",Calc!$E1848="نامعتبر",Calc!$G1848="",Calc!$I1848&lt;&gt;"خرید"),"",Calc!$G1848)</f>
        <v/>
      </c>
      <c r="B1845">
        <f>IF($A1845="","",LEFT(Calc!$E1848,4)&amp;MID(Calc!$E1848,6,2)&amp;RIGHT(Calc!$E1848,2)&amp;Calc!$R1848&amp;"|"&amp;"1"&amp;RIGHT("00000"&amp;1840,5))</f>
        <v/>
      </c>
      <c r="C1845">
        <f>IF($B1845="","",COUNTIFS(LdgPartyA,$A1845,LdgKeyA,"&lt;"&amp;$B1845)+COUNTIFS(LdgPartyB,$A1845,LdgKeyB,"&lt;"&amp;$B1845)+1)</f>
        <v/>
      </c>
      <c r="D1845">
        <f>IF($C1845="","",$A1845&amp;"|"&amp;RIGHT("000000"&amp;$C1845,6))</f>
        <v/>
      </c>
      <c r="F1845">
        <f>IF(Sync!$AJ1845="","",Sync!$AJ1845)</f>
        <v/>
      </c>
      <c r="G1845">
        <f>IF($F1845="","",IF(Sync!$AG1845="","",IF(ISNUMBER(Sync!$AG1845),IF(AND(Sync!$AG1845&gt;=10000101,Sync!$AG1845&lt;=99991231),INT(Sync!$AG1845/10000),""),IFERROR(VALUE(TRIM(LEFT(Sync!$AG1845,FIND("/",Sync!$AG1845)-1))),""))))</f>
        <v/>
      </c>
      <c r="H1845">
        <f>IF(OR($F1845="",$G1845=""),"",IF(ISNUMBER(Sync!$AG1845),INT(MOD(Sync!$AG1845,10000)/100),IFERROR(VALUE(TRIM(LEFT(MID(Sync!$AG1845,FIND("/",Sync!$AG1845)+1,20),FIND("/",MID(Sync!$AG1845,FIND("/",Sync!$AG1845)+1,20))-1))),"")))</f>
        <v/>
      </c>
      <c r="I1845">
        <f>IF(OR($F1845="",$G1845=""),"",IF(ISNUMBER(Sync!$AG1845),MOD(Sync!$AG1845,100),IFERROR(VALUE(TRIM(MID(MID(Sync!$AG1845,FIND("/",Sync!$AG1845)+1,20),FIND("/",MID(Sync!$AG1845,FIND("/",Sync!$AG1845)+1,20))+1,20))),"")))</f>
        <v/>
      </c>
      <c r="J1845">
        <f>IF($F1845="","",IF(OR($G1845="",$H1845="",$I1845="",$G1845&lt;1300,$G1845&gt;1500,$H1845&lt;1,$H1845&gt;12,$I1845&lt;1,$I1845&gt;31),"نامعتبر",RIGHT("0000"&amp;$G1845,4)&amp;"/"&amp;RIGHT("00"&amp;$H1845,2)&amp;"/"&amp;RIGHT("00"&amp;$I1845,2)))</f>
        <v/>
      </c>
      <c r="K1845">
        <f>IF(OR($F1845="",$J1845="",$J1845="نامعتبر"),"",LEFT($J1845,4)&amp;MID($J1845,6,2)&amp;RIGHT($J1845,2)&amp;$N1845&amp;"|"&amp;"2"&amp;RIGHT("00000"&amp;1840,5))</f>
        <v/>
      </c>
      <c r="L1845">
        <f>IF($K1845="","",COUNTIFS(LdgPartyA,$F1845,LdgKeyA,"&lt;"&amp;$K1845)+COUNTIFS(LdgPartyB,$F1845,LdgKeyB,"&lt;"&amp;$K1845)+1)</f>
        <v/>
      </c>
      <c r="M1845">
        <f>IF($L1845="","",$F1845&amp;"|"&amp;RIGHT("000000"&amp;$L1845,6))</f>
        <v/>
      </c>
      <c r="N1845">
        <f>IF($F1845="","",IF(Sync!$AH1845="","0000",IF(AND(ISNUMBER(Sync!$AH1845),Sync!$AH1845&gt;=0,Sync!$AH1845&lt;1),RIGHT("00"&amp;HOUR(Sync!$AH1845),2)&amp;RIGHT("00"&amp;MINUTE(Sync!$AH1845),2),IFERROR(RIGHT("00"&amp;VALUE(LEFT(Sync!$AH1845,FIND(":",Sync!$AH1845)-1)),2)&amp;RIGHT("00"&amp;VALUE(MID(Sync!$AH1845,FIND(":",Sync!$AH1845)+1,2)),2),"0000"))))</f>
        <v/>
      </c>
    </row>
    <row r="1846">
      <c r="A1846">
        <f>IF(OR(Calc!$E1849="",Calc!$E1849="نامعتبر",Calc!$G1849="",Calc!$I1849&lt;&gt;"خرید"),"",Calc!$G1849)</f>
        <v/>
      </c>
      <c r="B1846">
        <f>IF($A1846="","",LEFT(Calc!$E1849,4)&amp;MID(Calc!$E1849,6,2)&amp;RIGHT(Calc!$E1849,2)&amp;Calc!$R1849&amp;"|"&amp;"1"&amp;RIGHT("00000"&amp;1841,5))</f>
        <v/>
      </c>
      <c r="C1846">
        <f>IF($B1846="","",COUNTIFS(LdgPartyA,$A1846,LdgKeyA,"&lt;"&amp;$B1846)+COUNTIFS(LdgPartyB,$A1846,LdgKeyB,"&lt;"&amp;$B1846)+1)</f>
        <v/>
      </c>
      <c r="D1846">
        <f>IF($C1846="","",$A1846&amp;"|"&amp;RIGHT("000000"&amp;$C1846,6))</f>
        <v/>
      </c>
      <c r="F1846">
        <f>IF(Sync!$AJ1846="","",Sync!$AJ1846)</f>
        <v/>
      </c>
      <c r="G1846">
        <f>IF($F1846="","",IF(Sync!$AG1846="","",IF(ISNUMBER(Sync!$AG1846),IF(AND(Sync!$AG1846&gt;=10000101,Sync!$AG1846&lt;=99991231),INT(Sync!$AG1846/10000),""),IFERROR(VALUE(TRIM(LEFT(Sync!$AG1846,FIND("/",Sync!$AG1846)-1))),""))))</f>
        <v/>
      </c>
      <c r="H1846">
        <f>IF(OR($F1846="",$G1846=""),"",IF(ISNUMBER(Sync!$AG1846),INT(MOD(Sync!$AG1846,10000)/100),IFERROR(VALUE(TRIM(LEFT(MID(Sync!$AG1846,FIND("/",Sync!$AG1846)+1,20),FIND("/",MID(Sync!$AG1846,FIND("/",Sync!$AG1846)+1,20))-1))),"")))</f>
        <v/>
      </c>
      <c r="I1846">
        <f>IF(OR($F1846="",$G1846=""),"",IF(ISNUMBER(Sync!$AG1846),MOD(Sync!$AG1846,100),IFERROR(VALUE(TRIM(MID(MID(Sync!$AG1846,FIND("/",Sync!$AG1846)+1,20),FIND("/",MID(Sync!$AG1846,FIND("/",Sync!$AG1846)+1,20))+1,20))),"")))</f>
        <v/>
      </c>
      <c r="J1846">
        <f>IF($F1846="","",IF(OR($G1846="",$H1846="",$I1846="",$G1846&lt;1300,$G1846&gt;1500,$H1846&lt;1,$H1846&gt;12,$I1846&lt;1,$I1846&gt;31),"نامعتبر",RIGHT("0000"&amp;$G1846,4)&amp;"/"&amp;RIGHT("00"&amp;$H1846,2)&amp;"/"&amp;RIGHT("00"&amp;$I1846,2)))</f>
        <v/>
      </c>
      <c r="K1846">
        <f>IF(OR($F1846="",$J1846="",$J1846="نامعتبر"),"",LEFT($J1846,4)&amp;MID($J1846,6,2)&amp;RIGHT($J1846,2)&amp;$N1846&amp;"|"&amp;"2"&amp;RIGHT("00000"&amp;1841,5))</f>
        <v/>
      </c>
      <c r="L1846">
        <f>IF($K1846="","",COUNTIFS(LdgPartyA,$F1846,LdgKeyA,"&lt;"&amp;$K1846)+COUNTIFS(LdgPartyB,$F1846,LdgKeyB,"&lt;"&amp;$K1846)+1)</f>
        <v/>
      </c>
      <c r="M1846">
        <f>IF($L1846="","",$F1846&amp;"|"&amp;RIGHT("000000"&amp;$L1846,6))</f>
        <v/>
      </c>
      <c r="N1846">
        <f>IF($F1846="","",IF(Sync!$AH1846="","0000",IF(AND(ISNUMBER(Sync!$AH1846),Sync!$AH1846&gt;=0,Sync!$AH1846&lt;1),RIGHT("00"&amp;HOUR(Sync!$AH1846),2)&amp;RIGHT("00"&amp;MINUTE(Sync!$AH1846),2),IFERROR(RIGHT("00"&amp;VALUE(LEFT(Sync!$AH1846,FIND(":",Sync!$AH1846)-1)),2)&amp;RIGHT("00"&amp;VALUE(MID(Sync!$AH1846,FIND(":",Sync!$AH1846)+1,2)),2),"0000"))))</f>
        <v/>
      </c>
    </row>
    <row r="1847">
      <c r="A1847">
        <f>IF(OR(Calc!$E1850="",Calc!$E1850="نامعتبر",Calc!$G1850="",Calc!$I1850&lt;&gt;"خرید"),"",Calc!$G1850)</f>
        <v/>
      </c>
      <c r="B1847">
        <f>IF($A1847="","",LEFT(Calc!$E1850,4)&amp;MID(Calc!$E1850,6,2)&amp;RIGHT(Calc!$E1850,2)&amp;Calc!$R1850&amp;"|"&amp;"1"&amp;RIGHT("00000"&amp;1842,5))</f>
        <v/>
      </c>
      <c r="C1847">
        <f>IF($B1847="","",COUNTIFS(LdgPartyA,$A1847,LdgKeyA,"&lt;"&amp;$B1847)+COUNTIFS(LdgPartyB,$A1847,LdgKeyB,"&lt;"&amp;$B1847)+1)</f>
        <v/>
      </c>
      <c r="D1847">
        <f>IF($C1847="","",$A1847&amp;"|"&amp;RIGHT("000000"&amp;$C1847,6))</f>
        <v/>
      </c>
      <c r="F1847">
        <f>IF(Sync!$AJ1847="","",Sync!$AJ1847)</f>
        <v/>
      </c>
      <c r="G1847">
        <f>IF($F1847="","",IF(Sync!$AG1847="","",IF(ISNUMBER(Sync!$AG1847),IF(AND(Sync!$AG1847&gt;=10000101,Sync!$AG1847&lt;=99991231),INT(Sync!$AG1847/10000),""),IFERROR(VALUE(TRIM(LEFT(Sync!$AG1847,FIND("/",Sync!$AG1847)-1))),""))))</f>
        <v/>
      </c>
      <c r="H1847">
        <f>IF(OR($F1847="",$G1847=""),"",IF(ISNUMBER(Sync!$AG1847),INT(MOD(Sync!$AG1847,10000)/100),IFERROR(VALUE(TRIM(LEFT(MID(Sync!$AG1847,FIND("/",Sync!$AG1847)+1,20),FIND("/",MID(Sync!$AG1847,FIND("/",Sync!$AG1847)+1,20))-1))),"")))</f>
        <v/>
      </c>
      <c r="I1847">
        <f>IF(OR($F1847="",$G1847=""),"",IF(ISNUMBER(Sync!$AG1847),MOD(Sync!$AG1847,100),IFERROR(VALUE(TRIM(MID(MID(Sync!$AG1847,FIND("/",Sync!$AG1847)+1,20),FIND("/",MID(Sync!$AG1847,FIND("/",Sync!$AG1847)+1,20))+1,20))),"")))</f>
        <v/>
      </c>
      <c r="J1847">
        <f>IF($F1847="","",IF(OR($G1847="",$H1847="",$I1847="",$G1847&lt;1300,$G1847&gt;1500,$H1847&lt;1,$H1847&gt;12,$I1847&lt;1,$I1847&gt;31),"نامعتبر",RIGHT("0000"&amp;$G1847,4)&amp;"/"&amp;RIGHT("00"&amp;$H1847,2)&amp;"/"&amp;RIGHT("00"&amp;$I1847,2)))</f>
        <v/>
      </c>
      <c r="K1847">
        <f>IF(OR($F1847="",$J1847="",$J1847="نامعتبر"),"",LEFT($J1847,4)&amp;MID($J1847,6,2)&amp;RIGHT($J1847,2)&amp;$N1847&amp;"|"&amp;"2"&amp;RIGHT("00000"&amp;1842,5))</f>
        <v/>
      </c>
      <c r="L1847">
        <f>IF($K1847="","",COUNTIFS(LdgPartyA,$F1847,LdgKeyA,"&lt;"&amp;$K1847)+COUNTIFS(LdgPartyB,$F1847,LdgKeyB,"&lt;"&amp;$K1847)+1)</f>
        <v/>
      </c>
      <c r="M1847">
        <f>IF($L1847="","",$F1847&amp;"|"&amp;RIGHT("000000"&amp;$L1847,6))</f>
        <v/>
      </c>
      <c r="N1847">
        <f>IF($F1847="","",IF(Sync!$AH1847="","0000",IF(AND(ISNUMBER(Sync!$AH1847),Sync!$AH1847&gt;=0,Sync!$AH1847&lt;1),RIGHT("00"&amp;HOUR(Sync!$AH1847),2)&amp;RIGHT("00"&amp;MINUTE(Sync!$AH1847),2),IFERROR(RIGHT("00"&amp;VALUE(LEFT(Sync!$AH1847,FIND(":",Sync!$AH1847)-1)),2)&amp;RIGHT("00"&amp;VALUE(MID(Sync!$AH1847,FIND(":",Sync!$AH1847)+1,2)),2),"0000"))))</f>
        <v/>
      </c>
    </row>
    <row r="1848">
      <c r="A1848">
        <f>IF(OR(Calc!$E1851="",Calc!$E1851="نامعتبر",Calc!$G1851="",Calc!$I1851&lt;&gt;"خرید"),"",Calc!$G1851)</f>
        <v/>
      </c>
      <c r="B1848">
        <f>IF($A1848="","",LEFT(Calc!$E1851,4)&amp;MID(Calc!$E1851,6,2)&amp;RIGHT(Calc!$E1851,2)&amp;Calc!$R1851&amp;"|"&amp;"1"&amp;RIGHT("00000"&amp;1843,5))</f>
        <v/>
      </c>
      <c r="C1848">
        <f>IF($B1848="","",COUNTIFS(LdgPartyA,$A1848,LdgKeyA,"&lt;"&amp;$B1848)+COUNTIFS(LdgPartyB,$A1848,LdgKeyB,"&lt;"&amp;$B1848)+1)</f>
        <v/>
      </c>
      <c r="D1848">
        <f>IF($C1848="","",$A1848&amp;"|"&amp;RIGHT("000000"&amp;$C1848,6))</f>
        <v/>
      </c>
      <c r="F1848">
        <f>IF(Sync!$AJ1848="","",Sync!$AJ1848)</f>
        <v/>
      </c>
      <c r="G1848">
        <f>IF($F1848="","",IF(Sync!$AG1848="","",IF(ISNUMBER(Sync!$AG1848),IF(AND(Sync!$AG1848&gt;=10000101,Sync!$AG1848&lt;=99991231),INT(Sync!$AG1848/10000),""),IFERROR(VALUE(TRIM(LEFT(Sync!$AG1848,FIND("/",Sync!$AG1848)-1))),""))))</f>
        <v/>
      </c>
      <c r="H1848">
        <f>IF(OR($F1848="",$G1848=""),"",IF(ISNUMBER(Sync!$AG1848),INT(MOD(Sync!$AG1848,10000)/100),IFERROR(VALUE(TRIM(LEFT(MID(Sync!$AG1848,FIND("/",Sync!$AG1848)+1,20),FIND("/",MID(Sync!$AG1848,FIND("/",Sync!$AG1848)+1,20))-1))),"")))</f>
        <v/>
      </c>
      <c r="I1848">
        <f>IF(OR($F1848="",$G1848=""),"",IF(ISNUMBER(Sync!$AG1848),MOD(Sync!$AG1848,100),IFERROR(VALUE(TRIM(MID(MID(Sync!$AG1848,FIND("/",Sync!$AG1848)+1,20),FIND("/",MID(Sync!$AG1848,FIND("/",Sync!$AG1848)+1,20))+1,20))),"")))</f>
        <v/>
      </c>
      <c r="J1848">
        <f>IF($F1848="","",IF(OR($G1848="",$H1848="",$I1848="",$G1848&lt;1300,$G1848&gt;1500,$H1848&lt;1,$H1848&gt;12,$I1848&lt;1,$I1848&gt;31),"نامعتبر",RIGHT("0000"&amp;$G1848,4)&amp;"/"&amp;RIGHT("00"&amp;$H1848,2)&amp;"/"&amp;RIGHT("00"&amp;$I1848,2)))</f>
        <v/>
      </c>
      <c r="K1848">
        <f>IF(OR($F1848="",$J1848="",$J1848="نامعتبر"),"",LEFT($J1848,4)&amp;MID($J1848,6,2)&amp;RIGHT($J1848,2)&amp;$N1848&amp;"|"&amp;"2"&amp;RIGHT("00000"&amp;1843,5))</f>
        <v/>
      </c>
      <c r="L1848">
        <f>IF($K1848="","",COUNTIFS(LdgPartyA,$F1848,LdgKeyA,"&lt;"&amp;$K1848)+COUNTIFS(LdgPartyB,$F1848,LdgKeyB,"&lt;"&amp;$K1848)+1)</f>
        <v/>
      </c>
      <c r="M1848">
        <f>IF($L1848="","",$F1848&amp;"|"&amp;RIGHT("000000"&amp;$L1848,6))</f>
        <v/>
      </c>
      <c r="N1848">
        <f>IF($F1848="","",IF(Sync!$AH1848="","0000",IF(AND(ISNUMBER(Sync!$AH1848),Sync!$AH1848&gt;=0,Sync!$AH1848&lt;1),RIGHT("00"&amp;HOUR(Sync!$AH1848),2)&amp;RIGHT("00"&amp;MINUTE(Sync!$AH1848),2),IFERROR(RIGHT("00"&amp;VALUE(LEFT(Sync!$AH1848,FIND(":",Sync!$AH1848)-1)),2)&amp;RIGHT("00"&amp;VALUE(MID(Sync!$AH1848,FIND(":",Sync!$AH1848)+1,2)),2),"0000"))))</f>
        <v/>
      </c>
    </row>
    <row r="1849">
      <c r="A1849">
        <f>IF(OR(Calc!$E1852="",Calc!$E1852="نامعتبر",Calc!$G1852="",Calc!$I1852&lt;&gt;"خرید"),"",Calc!$G1852)</f>
        <v/>
      </c>
      <c r="B1849">
        <f>IF($A1849="","",LEFT(Calc!$E1852,4)&amp;MID(Calc!$E1852,6,2)&amp;RIGHT(Calc!$E1852,2)&amp;Calc!$R1852&amp;"|"&amp;"1"&amp;RIGHT("00000"&amp;1844,5))</f>
        <v/>
      </c>
      <c r="C1849">
        <f>IF($B1849="","",COUNTIFS(LdgPartyA,$A1849,LdgKeyA,"&lt;"&amp;$B1849)+COUNTIFS(LdgPartyB,$A1849,LdgKeyB,"&lt;"&amp;$B1849)+1)</f>
        <v/>
      </c>
      <c r="D1849">
        <f>IF($C1849="","",$A1849&amp;"|"&amp;RIGHT("000000"&amp;$C1849,6))</f>
        <v/>
      </c>
      <c r="F1849">
        <f>IF(Sync!$AJ1849="","",Sync!$AJ1849)</f>
        <v/>
      </c>
      <c r="G1849">
        <f>IF($F1849="","",IF(Sync!$AG1849="","",IF(ISNUMBER(Sync!$AG1849),IF(AND(Sync!$AG1849&gt;=10000101,Sync!$AG1849&lt;=99991231),INT(Sync!$AG1849/10000),""),IFERROR(VALUE(TRIM(LEFT(Sync!$AG1849,FIND("/",Sync!$AG1849)-1))),""))))</f>
        <v/>
      </c>
      <c r="H1849">
        <f>IF(OR($F1849="",$G1849=""),"",IF(ISNUMBER(Sync!$AG1849),INT(MOD(Sync!$AG1849,10000)/100),IFERROR(VALUE(TRIM(LEFT(MID(Sync!$AG1849,FIND("/",Sync!$AG1849)+1,20),FIND("/",MID(Sync!$AG1849,FIND("/",Sync!$AG1849)+1,20))-1))),"")))</f>
        <v/>
      </c>
      <c r="I1849">
        <f>IF(OR($F1849="",$G1849=""),"",IF(ISNUMBER(Sync!$AG1849),MOD(Sync!$AG1849,100),IFERROR(VALUE(TRIM(MID(MID(Sync!$AG1849,FIND("/",Sync!$AG1849)+1,20),FIND("/",MID(Sync!$AG1849,FIND("/",Sync!$AG1849)+1,20))+1,20))),"")))</f>
        <v/>
      </c>
      <c r="J1849">
        <f>IF($F1849="","",IF(OR($G1849="",$H1849="",$I1849="",$G1849&lt;1300,$G1849&gt;1500,$H1849&lt;1,$H1849&gt;12,$I1849&lt;1,$I1849&gt;31),"نامعتبر",RIGHT("0000"&amp;$G1849,4)&amp;"/"&amp;RIGHT("00"&amp;$H1849,2)&amp;"/"&amp;RIGHT("00"&amp;$I1849,2)))</f>
        <v/>
      </c>
      <c r="K1849">
        <f>IF(OR($F1849="",$J1849="",$J1849="نامعتبر"),"",LEFT($J1849,4)&amp;MID($J1849,6,2)&amp;RIGHT($J1849,2)&amp;$N1849&amp;"|"&amp;"2"&amp;RIGHT("00000"&amp;1844,5))</f>
        <v/>
      </c>
      <c r="L1849">
        <f>IF($K1849="","",COUNTIFS(LdgPartyA,$F1849,LdgKeyA,"&lt;"&amp;$K1849)+COUNTIFS(LdgPartyB,$F1849,LdgKeyB,"&lt;"&amp;$K1849)+1)</f>
        <v/>
      </c>
      <c r="M1849">
        <f>IF($L1849="","",$F1849&amp;"|"&amp;RIGHT("000000"&amp;$L1849,6))</f>
        <v/>
      </c>
      <c r="N1849">
        <f>IF($F1849="","",IF(Sync!$AH1849="","0000",IF(AND(ISNUMBER(Sync!$AH1849),Sync!$AH1849&gt;=0,Sync!$AH1849&lt;1),RIGHT("00"&amp;HOUR(Sync!$AH1849),2)&amp;RIGHT("00"&amp;MINUTE(Sync!$AH1849),2),IFERROR(RIGHT("00"&amp;VALUE(LEFT(Sync!$AH1849,FIND(":",Sync!$AH1849)-1)),2)&amp;RIGHT("00"&amp;VALUE(MID(Sync!$AH1849,FIND(":",Sync!$AH1849)+1,2)),2),"0000"))))</f>
        <v/>
      </c>
    </row>
    <row r="1850">
      <c r="A1850">
        <f>IF(OR(Calc!$E1853="",Calc!$E1853="نامعتبر",Calc!$G1853="",Calc!$I1853&lt;&gt;"خرید"),"",Calc!$G1853)</f>
        <v/>
      </c>
      <c r="B1850">
        <f>IF($A1850="","",LEFT(Calc!$E1853,4)&amp;MID(Calc!$E1853,6,2)&amp;RIGHT(Calc!$E1853,2)&amp;Calc!$R1853&amp;"|"&amp;"1"&amp;RIGHT("00000"&amp;1845,5))</f>
        <v/>
      </c>
      <c r="C1850">
        <f>IF($B1850="","",COUNTIFS(LdgPartyA,$A1850,LdgKeyA,"&lt;"&amp;$B1850)+COUNTIFS(LdgPartyB,$A1850,LdgKeyB,"&lt;"&amp;$B1850)+1)</f>
        <v/>
      </c>
      <c r="D1850">
        <f>IF($C1850="","",$A1850&amp;"|"&amp;RIGHT("000000"&amp;$C1850,6))</f>
        <v/>
      </c>
      <c r="F1850">
        <f>IF(Sync!$AJ1850="","",Sync!$AJ1850)</f>
        <v/>
      </c>
      <c r="G1850">
        <f>IF($F1850="","",IF(Sync!$AG1850="","",IF(ISNUMBER(Sync!$AG1850),IF(AND(Sync!$AG1850&gt;=10000101,Sync!$AG1850&lt;=99991231),INT(Sync!$AG1850/10000),""),IFERROR(VALUE(TRIM(LEFT(Sync!$AG1850,FIND("/",Sync!$AG1850)-1))),""))))</f>
        <v/>
      </c>
      <c r="H1850">
        <f>IF(OR($F1850="",$G1850=""),"",IF(ISNUMBER(Sync!$AG1850),INT(MOD(Sync!$AG1850,10000)/100),IFERROR(VALUE(TRIM(LEFT(MID(Sync!$AG1850,FIND("/",Sync!$AG1850)+1,20),FIND("/",MID(Sync!$AG1850,FIND("/",Sync!$AG1850)+1,20))-1))),"")))</f>
        <v/>
      </c>
      <c r="I1850">
        <f>IF(OR($F1850="",$G1850=""),"",IF(ISNUMBER(Sync!$AG1850),MOD(Sync!$AG1850,100),IFERROR(VALUE(TRIM(MID(MID(Sync!$AG1850,FIND("/",Sync!$AG1850)+1,20),FIND("/",MID(Sync!$AG1850,FIND("/",Sync!$AG1850)+1,20))+1,20))),"")))</f>
        <v/>
      </c>
      <c r="J1850">
        <f>IF($F1850="","",IF(OR($G1850="",$H1850="",$I1850="",$G1850&lt;1300,$G1850&gt;1500,$H1850&lt;1,$H1850&gt;12,$I1850&lt;1,$I1850&gt;31),"نامعتبر",RIGHT("0000"&amp;$G1850,4)&amp;"/"&amp;RIGHT("00"&amp;$H1850,2)&amp;"/"&amp;RIGHT("00"&amp;$I1850,2)))</f>
        <v/>
      </c>
      <c r="K1850">
        <f>IF(OR($F1850="",$J1850="",$J1850="نامعتبر"),"",LEFT($J1850,4)&amp;MID($J1850,6,2)&amp;RIGHT($J1850,2)&amp;$N1850&amp;"|"&amp;"2"&amp;RIGHT("00000"&amp;1845,5))</f>
        <v/>
      </c>
      <c r="L1850">
        <f>IF($K1850="","",COUNTIFS(LdgPartyA,$F1850,LdgKeyA,"&lt;"&amp;$K1850)+COUNTIFS(LdgPartyB,$F1850,LdgKeyB,"&lt;"&amp;$K1850)+1)</f>
        <v/>
      </c>
      <c r="M1850">
        <f>IF($L1850="","",$F1850&amp;"|"&amp;RIGHT("000000"&amp;$L1850,6))</f>
        <v/>
      </c>
      <c r="N1850">
        <f>IF($F1850="","",IF(Sync!$AH1850="","0000",IF(AND(ISNUMBER(Sync!$AH1850),Sync!$AH1850&gt;=0,Sync!$AH1850&lt;1),RIGHT("00"&amp;HOUR(Sync!$AH1850),2)&amp;RIGHT("00"&amp;MINUTE(Sync!$AH1850),2),IFERROR(RIGHT("00"&amp;VALUE(LEFT(Sync!$AH1850,FIND(":",Sync!$AH1850)-1)),2)&amp;RIGHT("00"&amp;VALUE(MID(Sync!$AH1850,FIND(":",Sync!$AH1850)+1,2)),2),"0000"))))</f>
        <v/>
      </c>
    </row>
    <row r="1851">
      <c r="A1851">
        <f>IF(OR(Calc!$E1854="",Calc!$E1854="نامعتبر",Calc!$G1854="",Calc!$I1854&lt;&gt;"خرید"),"",Calc!$G1854)</f>
        <v/>
      </c>
      <c r="B1851">
        <f>IF($A1851="","",LEFT(Calc!$E1854,4)&amp;MID(Calc!$E1854,6,2)&amp;RIGHT(Calc!$E1854,2)&amp;Calc!$R1854&amp;"|"&amp;"1"&amp;RIGHT("00000"&amp;1846,5))</f>
        <v/>
      </c>
      <c r="C1851">
        <f>IF($B1851="","",COUNTIFS(LdgPartyA,$A1851,LdgKeyA,"&lt;"&amp;$B1851)+COUNTIFS(LdgPartyB,$A1851,LdgKeyB,"&lt;"&amp;$B1851)+1)</f>
        <v/>
      </c>
      <c r="D1851">
        <f>IF($C1851="","",$A1851&amp;"|"&amp;RIGHT("000000"&amp;$C1851,6))</f>
        <v/>
      </c>
      <c r="F1851">
        <f>IF(Sync!$AJ1851="","",Sync!$AJ1851)</f>
        <v/>
      </c>
      <c r="G1851">
        <f>IF($F1851="","",IF(Sync!$AG1851="","",IF(ISNUMBER(Sync!$AG1851),IF(AND(Sync!$AG1851&gt;=10000101,Sync!$AG1851&lt;=99991231),INT(Sync!$AG1851/10000),""),IFERROR(VALUE(TRIM(LEFT(Sync!$AG1851,FIND("/",Sync!$AG1851)-1))),""))))</f>
        <v/>
      </c>
      <c r="H1851">
        <f>IF(OR($F1851="",$G1851=""),"",IF(ISNUMBER(Sync!$AG1851),INT(MOD(Sync!$AG1851,10000)/100),IFERROR(VALUE(TRIM(LEFT(MID(Sync!$AG1851,FIND("/",Sync!$AG1851)+1,20),FIND("/",MID(Sync!$AG1851,FIND("/",Sync!$AG1851)+1,20))-1))),"")))</f>
        <v/>
      </c>
      <c r="I1851">
        <f>IF(OR($F1851="",$G1851=""),"",IF(ISNUMBER(Sync!$AG1851),MOD(Sync!$AG1851,100),IFERROR(VALUE(TRIM(MID(MID(Sync!$AG1851,FIND("/",Sync!$AG1851)+1,20),FIND("/",MID(Sync!$AG1851,FIND("/",Sync!$AG1851)+1,20))+1,20))),"")))</f>
        <v/>
      </c>
      <c r="J1851">
        <f>IF($F1851="","",IF(OR($G1851="",$H1851="",$I1851="",$G1851&lt;1300,$G1851&gt;1500,$H1851&lt;1,$H1851&gt;12,$I1851&lt;1,$I1851&gt;31),"نامعتبر",RIGHT("0000"&amp;$G1851,4)&amp;"/"&amp;RIGHT("00"&amp;$H1851,2)&amp;"/"&amp;RIGHT("00"&amp;$I1851,2)))</f>
        <v/>
      </c>
      <c r="K1851">
        <f>IF(OR($F1851="",$J1851="",$J1851="نامعتبر"),"",LEFT($J1851,4)&amp;MID($J1851,6,2)&amp;RIGHT($J1851,2)&amp;$N1851&amp;"|"&amp;"2"&amp;RIGHT("00000"&amp;1846,5))</f>
        <v/>
      </c>
      <c r="L1851">
        <f>IF($K1851="","",COUNTIFS(LdgPartyA,$F1851,LdgKeyA,"&lt;"&amp;$K1851)+COUNTIFS(LdgPartyB,$F1851,LdgKeyB,"&lt;"&amp;$K1851)+1)</f>
        <v/>
      </c>
      <c r="M1851">
        <f>IF($L1851="","",$F1851&amp;"|"&amp;RIGHT("000000"&amp;$L1851,6))</f>
        <v/>
      </c>
      <c r="N1851">
        <f>IF($F1851="","",IF(Sync!$AH1851="","0000",IF(AND(ISNUMBER(Sync!$AH1851),Sync!$AH1851&gt;=0,Sync!$AH1851&lt;1),RIGHT("00"&amp;HOUR(Sync!$AH1851),2)&amp;RIGHT("00"&amp;MINUTE(Sync!$AH1851),2),IFERROR(RIGHT("00"&amp;VALUE(LEFT(Sync!$AH1851,FIND(":",Sync!$AH1851)-1)),2)&amp;RIGHT("00"&amp;VALUE(MID(Sync!$AH1851,FIND(":",Sync!$AH1851)+1,2)),2),"0000"))))</f>
        <v/>
      </c>
    </row>
    <row r="1852">
      <c r="A1852">
        <f>IF(OR(Calc!$E1855="",Calc!$E1855="نامعتبر",Calc!$G1855="",Calc!$I1855&lt;&gt;"خرید"),"",Calc!$G1855)</f>
        <v/>
      </c>
      <c r="B1852">
        <f>IF($A1852="","",LEFT(Calc!$E1855,4)&amp;MID(Calc!$E1855,6,2)&amp;RIGHT(Calc!$E1855,2)&amp;Calc!$R1855&amp;"|"&amp;"1"&amp;RIGHT("00000"&amp;1847,5))</f>
        <v/>
      </c>
      <c r="C1852">
        <f>IF($B1852="","",COUNTIFS(LdgPartyA,$A1852,LdgKeyA,"&lt;"&amp;$B1852)+COUNTIFS(LdgPartyB,$A1852,LdgKeyB,"&lt;"&amp;$B1852)+1)</f>
        <v/>
      </c>
      <c r="D1852">
        <f>IF($C1852="","",$A1852&amp;"|"&amp;RIGHT("000000"&amp;$C1852,6))</f>
        <v/>
      </c>
      <c r="F1852">
        <f>IF(Sync!$AJ1852="","",Sync!$AJ1852)</f>
        <v/>
      </c>
      <c r="G1852">
        <f>IF($F1852="","",IF(Sync!$AG1852="","",IF(ISNUMBER(Sync!$AG1852),IF(AND(Sync!$AG1852&gt;=10000101,Sync!$AG1852&lt;=99991231),INT(Sync!$AG1852/10000),""),IFERROR(VALUE(TRIM(LEFT(Sync!$AG1852,FIND("/",Sync!$AG1852)-1))),""))))</f>
        <v/>
      </c>
      <c r="H1852">
        <f>IF(OR($F1852="",$G1852=""),"",IF(ISNUMBER(Sync!$AG1852),INT(MOD(Sync!$AG1852,10000)/100),IFERROR(VALUE(TRIM(LEFT(MID(Sync!$AG1852,FIND("/",Sync!$AG1852)+1,20),FIND("/",MID(Sync!$AG1852,FIND("/",Sync!$AG1852)+1,20))-1))),"")))</f>
        <v/>
      </c>
      <c r="I1852">
        <f>IF(OR($F1852="",$G1852=""),"",IF(ISNUMBER(Sync!$AG1852),MOD(Sync!$AG1852,100),IFERROR(VALUE(TRIM(MID(MID(Sync!$AG1852,FIND("/",Sync!$AG1852)+1,20),FIND("/",MID(Sync!$AG1852,FIND("/",Sync!$AG1852)+1,20))+1,20))),"")))</f>
        <v/>
      </c>
      <c r="J1852">
        <f>IF($F1852="","",IF(OR($G1852="",$H1852="",$I1852="",$G1852&lt;1300,$G1852&gt;1500,$H1852&lt;1,$H1852&gt;12,$I1852&lt;1,$I1852&gt;31),"نامعتبر",RIGHT("0000"&amp;$G1852,4)&amp;"/"&amp;RIGHT("00"&amp;$H1852,2)&amp;"/"&amp;RIGHT("00"&amp;$I1852,2)))</f>
        <v/>
      </c>
      <c r="K1852">
        <f>IF(OR($F1852="",$J1852="",$J1852="نامعتبر"),"",LEFT($J1852,4)&amp;MID($J1852,6,2)&amp;RIGHT($J1852,2)&amp;$N1852&amp;"|"&amp;"2"&amp;RIGHT("00000"&amp;1847,5))</f>
        <v/>
      </c>
      <c r="L1852">
        <f>IF($K1852="","",COUNTIFS(LdgPartyA,$F1852,LdgKeyA,"&lt;"&amp;$K1852)+COUNTIFS(LdgPartyB,$F1852,LdgKeyB,"&lt;"&amp;$K1852)+1)</f>
        <v/>
      </c>
      <c r="M1852">
        <f>IF($L1852="","",$F1852&amp;"|"&amp;RIGHT("000000"&amp;$L1852,6))</f>
        <v/>
      </c>
      <c r="N1852">
        <f>IF($F1852="","",IF(Sync!$AH1852="","0000",IF(AND(ISNUMBER(Sync!$AH1852),Sync!$AH1852&gt;=0,Sync!$AH1852&lt;1),RIGHT("00"&amp;HOUR(Sync!$AH1852),2)&amp;RIGHT("00"&amp;MINUTE(Sync!$AH1852),2),IFERROR(RIGHT("00"&amp;VALUE(LEFT(Sync!$AH1852,FIND(":",Sync!$AH1852)-1)),2)&amp;RIGHT("00"&amp;VALUE(MID(Sync!$AH1852,FIND(":",Sync!$AH1852)+1,2)),2),"0000"))))</f>
        <v/>
      </c>
    </row>
    <row r="1853">
      <c r="A1853">
        <f>IF(OR(Calc!$E1856="",Calc!$E1856="نامعتبر",Calc!$G1856="",Calc!$I1856&lt;&gt;"خرید"),"",Calc!$G1856)</f>
        <v/>
      </c>
      <c r="B1853">
        <f>IF($A1853="","",LEFT(Calc!$E1856,4)&amp;MID(Calc!$E1856,6,2)&amp;RIGHT(Calc!$E1856,2)&amp;Calc!$R1856&amp;"|"&amp;"1"&amp;RIGHT("00000"&amp;1848,5))</f>
        <v/>
      </c>
      <c r="C1853">
        <f>IF($B1853="","",COUNTIFS(LdgPartyA,$A1853,LdgKeyA,"&lt;"&amp;$B1853)+COUNTIFS(LdgPartyB,$A1853,LdgKeyB,"&lt;"&amp;$B1853)+1)</f>
        <v/>
      </c>
      <c r="D1853">
        <f>IF($C1853="","",$A1853&amp;"|"&amp;RIGHT("000000"&amp;$C1853,6))</f>
        <v/>
      </c>
      <c r="F1853">
        <f>IF(Sync!$AJ1853="","",Sync!$AJ1853)</f>
        <v/>
      </c>
      <c r="G1853">
        <f>IF($F1853="","",IF(Sync!$AG1853="","",IF(ISNUMBER(Sync!$AG1853),IF(AND(Sync!$AG1853&gt;=10000101,Sync!$AG1853&lt;=99991231),INT(Sync!$AG1853/10000),""),IFERROR(VALUE(TRIM(LEFT(Sync!$AG1853,FIND("/",Sync!$AG1853)-1))),""))))</f>
        <v/>
      </c>
      <c r="H1853">
        <f>IF(OR($F1853="",$G1853=""),"",IF(ISNUMBER(Sync!$AG1853),INT(MOD(Sync!$AG1853,10000)/100),IFERROR(VALUE(TRIM(LEFT(MID(Sync!$AG1853,FIND("/",Sync!$AG1853)+1,20),FIND("/",MID(Sync!$AG1853,FIND("/",Sync!$AG1853)+1,20))-1))),"")))</f>
        <v/>
      </c>
      <c r="I1853">
        <f>IF(OR($F1853="",$G1853=""),"",IF(ISNUMBER(Sync!$AG1853),MOD(Sync!$AG1853,100),IFERROR(VALUE(TRIM(MID(MID(Sync!$AG1853,FIND("/",Sync!$AG1853)+1,20),FIND("/",MID(Sync!$AG1853,FIND("/",Sync!$AG1853)+1,20))+1,20))),"")))</f>
        <v/>
      </c>
      <c r="J1853">
        <f>IF($F1853="","",IF(OR($G1853="",$H1853="",$I1853="",$G1853&lt;1300,$G1853&gt;1500,$H1853&lt;1,$H1853&gt;12,$I1853&lt;1,$I1853&gt;31),"نامعتبر",RIGHT("0000"&amp;$G1853,4)&amp;"/"&amp;RIGHT("00"&amp;$H1853,2)&amp;"/"&amp;RIGHT("00"&amp;$I1853,2)))</f>
        <v/>
      </c>
      <c r="K1853">
        <f>IF(OR($F1853="",$J1853="",$J1853="نامعتبر"),"",LEFT($J1853,4)&amp;MID($J1853,6,2)&amp;RIGHT($J1853,2)&amp;$N1853&amp;"|"&amp;"2"&amp;RIGHT("00000"&amp;1848,5))</f>
        <v/>
      </c>
      <c r="L1853">
        <f>IF($K1853="","",COUNTIFS(LdgPartyA,$F1853,LdgKeyA,"&lt;"&amp;$K1853)+COUNTIFS(LdgPartyB,$F1853,LdgKeyB,"&lt;"&amp;$K1853)+1)</f>
        <v/>
      </c>
      <c r="M1853">
        <f>IF($L1853="","",$F1853&amp;"|"&amp;RIGHT("000000"&amp;$L1853,6))</f>
        <v/>
      </c>
      <c r="N1853">
        <f>IF($F1853="","",IF(Sync!$AH1853="","0000",IF(AND(ISNUMBER(Sync!$AH1853),Sync!$AH1853&gt;=0,Sync!$AH1853&lt;1),RIGHT("00"&amp;HOUR(Sync!$AH1853),2)&amp;RIGHT("00"&amp;MINUTE(Sync!$AH1853),2),IFERROR(RIGHT("00"&amp;VALUE(LEFT(Sync!$AH1853,FIND(":",Sync!$AH1853)-1)),2)&amp;RIGHT("00"&amp;VALUE(MID(Sync!$AH1853,FIND(":",Sync!$AH1853)+1,2)),2),"0000"))))</f>
        <v/>
      </c>
    </row>
    <row r="1854">
      <c r="A1854">
        <f>IF(OR(Calc!$E1857="",Calc!$E1857="نامعتبر",Calc!$G1857="",Calc!$I1857&lt;&gt;"خرید"),"",Calc!$G1857)</f>
        <v/>
      </c>
      <c r="B1854">
        <f>IF($A1854="","",LEFT(Calc!$E1857,4)&amp;MID(Calc!$E1857,6,2)&amp;RIGHT(Calc!$E1857,2)&amp;Calc!$R1857&amp;"|"&amp;"1"&amp;RIGHT("00000"&amp;1849,5))</f>
        <v/>
      </c>
      <c r="C1854">
        <f>IF($B1854="","",COUNTIFS(LdgPartyA,$A1854,LdgKeyA,"&lt;"&amp;$B1854)+COUNTIFS(LdgPartyB,$A1854,LdgKeyB,"&lt;"&amp;$B1854)+1)</f>
        <v/>
      </c>
      <c r="D1854">
        <f>IF($C1854="","",$A1854&amp;"|"&amp;RIGHT("000000"&amp;$C1854,6))</f>
        <v/>
      </c>
      <c r="F1854">
        <f>IF(Sync!$AJ1854="","",Sync!$AJ1854)</f>
        <v/>
      </c>
      <c r="G1854">
        <f>IF($F1854="","",IF(Sync!$AG1854="","",IF(ISNUMBER(Sync!$AG1854),IF(AND(Sync!$AG1854&gt;=10000101,Sync!$AG1854&lt;=99991231),INT(Sync!$AG1854/10000),""),IFERROR(VALUE(TRIM(LEFT(Sync!$AG1854,FIND("/",Sync!$AG1854)-1))),""))))</f>
        <v/>
      </c>
      <c r="H1854">
        <f>IF(OR($F1854="",$G1854=""),"",IF(ISNUMBER(Sync!$AG1854),INT(MOD(Sync!$AG1854,10000)/100),IFERROR(VALUE(TRIM(LEFT(MID(Sync!$AG1854,FIND("/",Sync!$AG1854)+1,20),FIND("/",MID(Sync!$AG1854,FIND("/",Sync!$AG1854)+1,20))-1))),"")))</f>
        <v/>
      </c>
      <c r="I1854">
        <f>IF(OR($F1854="",$G1854=""),"",IF(ISNUMBER(Sync!$AG1854),MOD(Sync!$AG1854,100),IFERROR(VALUE(TRIM(MID(MID(Sync!$AG1854,FIND("/",Sync!$AG1854)+1,20),FIND("/",MID(Sync!$AG1854,FIND("/",Sync!$AG1854)+1,20))+1,20))),"")))</f>
        <v/>
      </c>
      <c r="J1854">
        <f>IF($F1854="","",IF(OR($G1854="",$H1854="",$I1854="",$G1854&lt;1300,$G1854&gt;1500,$H1854&lt;1,$H1854&gt;12,$I1854&lt;1,$I1854&gt;31),"نامعتبر",RIGHT("0000"&amp;$G1854,4)&amp;"/"&amp;RIGHT("00"&amp;$H1854,2)&amp;"/"&amp;RIGHT("00"&amp;$I1854,2)))</f>
        <v/>
      </c>
      <c r="K1854">
        <f>IF(OR($F1854="",$J1854="",$J1854="نامعتبر"),"",LEFT($J1854,4)&amp;MID($J1854,6,2)&amp;RIGHT($J1854,2)&amp;$N1854&amp;"|"&amp;"2"&amp;RIGHT("00000"&amp;1849,5))</f>
        <v/>
      </c>
      <c r="L1854">
        <f>IF($K1854="","",COUNTIFS(LdgPartyA,$F1854,LdgKeyA,"&lt;"&amp;$K1854)+COUNTIFS(LdgPartyB,$F1854,LdgKeyB,"&lt;"&amp;$K1854)+1)</f>
        <v/>
      </c>
      <c r="M1854">
        <f>IF($L1854="","",$F1854&amp;"|"&amp;RIGHT("000000"&amp;$L1854,6))</f>
        <v/>
      </c>
      <c r="N1854">
        <f>IF($F1854="","",IF(Sync!$AH1854="","0000",IF(AND(ISNUMBER(Sync!$AH1854),Sync!$AH1854&gt;=0,Sync!$AH1854&lt;1),RIGHT("00"&amp;HOUR(Sync!$AH1854),2)&amp;RIGHT("00"&amp;MINUTE(Sync!$AH1854),2),IFERROR(RIGHT("00"&amp;VALUE(LEFT(Sync!$AH1854,FIND(":",Sync!$AH1854)-1)),2)&amp;RIGHT("00"&amp;VALUE(MID(Sync!$AH1854,FIND(":",Sync!$AH1854)+1,2)),2),"0000"))))</f>
        <v/>
      </c>
    </row>
    <row r="1855">
      <c r="A1855">
        <f>IF(OR(Calc!$E1858="",Calc!$E1858="نامعتبر",Calc!$G1858="",Calc!$I1858&lt;&gt;"خرید"),"",Calc!$G1858)</f>
        <v/>
      </c>
      <c r="B1855">
        <f>IF($A1855="","",LEFT(Calc!$E1858,4)&amp;MID(Calc!$E1858,6,2)&amp;RIGHT(Calc!$E1858,2)&amp;Calc!$R1858&amp;"|"&amp;"1"&amp;RIGHT("00000"&amp;1850,5))</f>
        <v/>
      </c>
      <c r="C1855">
        <f>IF($B1855="","",COUNTIFS(LdgPartyA,$A1855,LdgKeyA,"&lt;"&amp;$B1855)+COUNTIFS(LdgPartyB,$A1855,LdgKeyB,"&lt;"&amp;$B1855)+1)</f>
        <v/>
      </c>
      <c r="D1855">
        <f>IF($C1855="","",$A1855&amp;"|"&amp;RIGHT("000000"&amp;$C1855,6))</f>
        <v/>
      </c>
      <c r="F1855">
        <f>IF(Sync!$AJ1855="","",Sync!$AJ1855)</f>
        <v/>
      </c>
      <c r="G1855">
        <f>IF($F1855="","",IF(Sync!$AG1855="","",IF(ISNUMBER(Sync!$AG1855),IF(AND(Sync!$AG1855&gt;=10000101,Sync!$AG1855&lt;=99991231),INT(Sync!$AG1855/10000),""),IFERROR(VALUE(TRIM(LEFT(Sync!$AG1855,FIND("/",Sync!$AG1855)-1))),""))))</f>
        <v/>
      </c>
      <c r="H1855">
        <f>IF(OR($F1855="",$G1855=""),"",IF(ISNUMBER(Sync!$AG1855),INT(MOD(Sync!$AG1855,10000)/100),IFERROR(VALUE(TRIM(LEFT(MID(Sync!$AG1855,FIND("/",Sync!$AG1855)+1,20),FIND("/",MID(Sync!$AG1855,FIND("/",Sync!$AG1855)+1,20))-1))),"")))</f>
        <v/>
      </c>
      <c r="I1855">
        <f>IF(OR($F1855="",$G1855=""),"",IF(ISNUMBER(Sync!$AG1855),MOD(Sync!$AG1855,100),IFERROR(VALUE(TRIM(MID(MID(Sync!$AG1855,FIND("/",Sync!$AG1855)+1,20),FIND("/",MID(Sync!$AG1855,FIND("/",Sync!$AG1855)+1,20))+1,20))),"")))</f>
        <v/>
      </c>
      <c r="J1855">
        <f>IF($F1855="","",IF(OR($G1855="",$H1855="",$I1855="",$G1855&lt;1300,$G1855&gt;1500,$H1855&lt;1,$H1855&gt;12,$I1855&lt;1,$I1855&gt;31),"نامعتبر",RIGHT("0000"&amp;$G1855,4)&amp;"/"&amp;RIGHT("00"&amp;$H1855,2)&amp;"/"&amp;RIGHT("00"&amp;$I1855,2)))</f>
        <v/>
      </c>
      <c r="K1855">
        <f>IF(OR($F1855="",$J1855="",$J1855="نامعتبر"),"",LEFT($J1855,4)&amp;MID($J1855,6,2)&amp;RIGHT($J1855,2)&amp;$N1855&amp;"|"&amp;"2"&amp;RIGHT("00000"&amp;1850,5))</f>
        <v/>
      </c>
      <c r="L1855">
        <f>IF($K1855="","",COUNTIFS(LdgPartyA,$F1855,LdgKeyA,"&lt;"&amp;$K1855)+COUNTIFS(LdgPartyB,$F1855,LdgKeyB,"&lt;"&amp;$K1855)+1)</f>
        <v/>
      </c>
      <c r="M1855">
        <f>IF($L1855="","",$F1855&amp;"|"&amp;RIGHT("000000"&amp;$L1855,6))</f>
        <v/>
      </c>
      <c r="N1855">
        <f>IF($F1855="","",IF(Sync!$AH1855="","0000",IF(AND(ISNUMBER(Sync!$AH1855),Sync!$AH1855&gt;=0,Sync!$AH1855&lt;1),RIGHT("00"&amp;HOUR(Sync!$AH1855),2)&amp;RIGHT("00"&amp;MINUTE(Sync!$AH1855),2),IFERROR(RIGHT("00"&amp;VALUE(LEFT(Sync!$AH1855,FIND(":",Sync!$AH1855)-1)),2)&amp;RIGHT("00"&amp;VALUE(MID(Sync!$AH1855,FIND(":",Sync!$AH1855)+1,2)),2),"0000"))))</f>
        <v/>
      </c>
    </row>
    <row r="1856">
      <c r="A1856">
        <f>IF(OR(Calc!$E1859="",Calc!$E1859="نامعتبر",Calc!$G1859="",Calc!$I1859&lt;&gt;"خرید"),"",Calc!$G1859)</f>
        <v/>
      </c>
      <c r="B1856">
        <f>IF($A1856="","",LEFT(Calc!$E1859,4)&amp;MID(Calc!$E1859,6,2)&amp;RIGHT(Calc!$E1859,2)&amp;Calc!$R1859&amp;"|"&amp;"1"&amp;RIGHT("00000"&amp;1851,5))</f>
        <v/>
      </c>
      <c r="C1856">
        <f>IF($B1856="","",COUNTIFS(LdgPartyA,$A1856,LdgKeyA,"&lt;"&amp;$B1856)+COUNTIFS(LdgPartyB,$A1856,LdgKeyB,"&lt;"&amp;$B1856)+1)</f>
        <v/>
      </c>
      <c r="D1856">
        <f>IF($C1856="","",$A1856&amp;"|"&amp;RIGHT("000000"&amp;$C1856,6))</f>
        <v/>
      </c>
      <c r="F1856">
        <f>IF(Sync!$AJ1856="","",Sync!$AJ1856)</f>
        <v/>
      </c>
      <c r="G1856">
        <f>IF($F1856="","",IF(Sync!$AG1856="","",IF(ISNUMBER(Sync!$AG1856),IF(AND(Sync!$AG1856&gt;=10000101,Sync!$AG1856&lt;=99991231),INT(Sync!$AG1856/10000),""),IFERROR(VALUE(TRIM(LEFT(Sync!$AG1856,FIND("/",Sync!$AG1856)-1))),""))))</f>
        <v/>
      </c>
      <c r="H1856">
        <f>IF(OR($F1856="",$G1856=""),"",IF(ISNUMBER(Sync!$AG1856),INT(MOD(Sync!$AG1856,10000)/100),IFERROR(VALUE(TRIM(LEFT(MID(Sync!$AG1856,FIND("/",Sync!$AG1856)+1,20),FIND("/",MID(Sync!$AG1856,FIND("/",Sync!$AG1856)+1,20))-1))),"")))</f>
        <v/>
      </c>
      <c r="I1856">
        <f>IF(OR($F1856="",$G1856=""),"",IF(ISNUMBER(Sync!$AG1856),MOD(Sync!$AG1856,100),IFERROR(VALUE(TRIM(MID(MID(Sync!$AG1856,FIND("/",Sync!$AG1856)+1,20),FIND("/",MID(Sync!$AG1856,FIND("/",Sync!$AG1856)+1,20))+1,20))),"")))</f>
        <v/>
      </c>
      <c r="J1856">
        <f>IF($F1856="","",IF(OR($G1856="",$H1856="",$I1856="",$G1856&lt;1300,$G1856&gt;1500,$H1856&lt;1,$H1856&gt;12,$I1856&lt;1,$I1856&gt;31),"نامعتبر",RIGHT("0000"&amp;$G1856,4)&amp;"/"&amp;RIGHT("00"&amp;$H1856,2)&amp;"/"&amp;RIGHT("00"&amp;$I1856,2)))</f>
        <v/>
      </c>
      <c r="K1856">
        <f>IF(OR($F1856="",$J1856="",$J1856="نامعتبر"),"",LEFT($J1856,4)&amp;MID($J1856,6,2)&amp;RIGHT($J1856,2)&amp;$N1856&amp;"|"&amp;"2"&amp;RIGHT("00000"&amp;1851,5))</f>
        <v/>
      </c>
      <c r="L1856">
        <f>IF($K1856="","",COUNTIFS(LdgPartyA,$F1856,LdgKeyA,"&lt;"&amp;$K1856)+COUNTIFS(LdgPartyB,$F1856,LdgKeyB,"&lt;"&amp;$K1856)+1)</f>
        <v/>
      </c>
      <c r="M1856">
        <f>IF($L1856="","",$F1856&amp;"|"&amp;RIGHT("000000"&amp;$L1856,6))</f>
        <v/>
      </c>
      <c r="N1856">
        <f>IF($F1856="","",IF(Sync!$AH1856="","0000",IF(AND(ISNUMBER(Sync!$AH1856),Sync!$AH1856&gt;=0,Sync!$AH1856&lt;1),RIGHT("00"&amp;HOUR(Sync!$AH1856),2)&amp;RIGHT("00"&amp;MINUTE(Sync!$AH1856),2),IFERROR(RIGHT("00"&amp;VALUE(LEFT(Sync!$AH1856,FIND(":",Sync!$AH1856)-1)),2)&amp;RIGHT("00"&amp;VALUE(MID(Sync!$AH1856,FIND(":",Sync!$AH1856)+1,2)),2),"0000"))))</f>
        <v/>
      </c>
    </row>
    <row r="1857">
      <c r="A1857">
        <f>IF(OR(Calc!$E1860="",Calc!$E1860="نامعتبر",Calc!$G1860="",Calc!$I1860&lt;&gt;"خرید"),"",Calc!$G1860)</f>
        <v/>
      </c>
      <c r="B1857">
        <f>IF($A1857="","",LEFT(Calc!$E1860,4)&amp;MID(Calc!$E1860,6,2)&amp;RIGHT(Calc!$E1860,2)&amp;Calc!$R1860&amp;"|"&amp;"1"&amp;RIGHT("00000"&amp;1852,5))</f>
        <v/>
      </c>
      <c r="C1857">
        <f>IF($B1857="","",COUNTIFS(LdgPartyA,$A1857,LdgKeyA,"&lt;"&amp;$B1857)+COUNTIFS(LdgPartyB,$A1857,LdgKeyB,"&lt;"&amp;$B1857)+1)</f>
        <v/>
      </c>
      <c r="D1857">
        <f>IF($C1857="","",$A1857&amp;"|"&amp;RIGHT("000000"&amp;$C1857,6))</f>
        <v/>
      </c>
      <c r="F1857">
        <f>IF(Sync!$AJ1857="","",Sync!$AJ1857)</f>
        <v/>
      </c>
      <c r="G1857">
        <f>IF($F1857="","",IF(Sync!$AG1857="","",IF(ISNUMBER(Sync!$AG1857),IF(AND(Sync!$AG1857&gt;=10000101,Sync!$AG1857&lt;=99991231),INT(Sync!$AG1857/10000),""),IFERROR(VALUE(TRIM(LEFT(Sync!$AG1857,FIND("/",Sync!$AG1857)-1))),""))))</f>
        <v/>
      </c>
      <c r="H1857">
        <f>IF(OR($F1857="",$G1857=""),"",IF(ISNUMBER(Sync!$AG1857),INT(MOD(Sync!$AG1857,10000)/100),IFERROR(VALUE(TRIM(LEFT(MID(Sync!$AG1857,FIND("/",Sync!$AG1857)+1,20),FIND("/",MID(Sync!$AG1857,FIND("/",Sync!$AG1857)+1,20))-1))),"")))</f>
        <v/>
      </c>
      <c r="I1857">
        <f>IF(OR($F1857="",$G1857=""),"",IF(ISNUMBER(Sync!$AG1857),MOD(Sync!$AG1857,100),IFERROR(VALUE(TRIM(MID(MID(Sync!$AG1857,FIND("/",Sync!$AG1857)+1,20),FIND("/",MID(Sync!$AG1857,FIND("/",Sync!$AG1857)+1,20))+1,20))),"")))</f>
        <v/>
      </c>
      <c r="J1857">
        <f>IF($F1857="","",IF(OR($G1857="",$H1857="",$I1857="",$G1857&lt;1300,$G1857&gt;1500,$H1857&lt;1,$H1857&gt;12,$I1857&lt;1,$I1857&gt;31),"نامعتبر",RIGHT("0000"&amp;$G1857,4)&amp;"/"&amp;RIGHT("00"&amp;$H1857,2)&amp;"/"&amp;RIGHT("00"&amp;$I1857,2)))</f>
        <v/>
      </c>
      <c r="K1857">
        <f>IF(OR($F1857="",$J1857="",$J1857="نامعتبر"),"",LEFT($J1857,4)&amp;MID($J1857,6,2)&amp;RIGHT($J1857,2)&amp;$N1857&amp;"|"&amp;"2"&amp;RIGHT("00000"&amp;1852,5))</f>
        <v/>
      </c>
      <c r="L1857">
        <f>IF($K1857="","",COUNTIFS(LdgPartyA,$F1857,LdgKeyA,"&lt;"&amp;$K1857)+COUNTIFS(LdgPartyB,$F1857,LdgKeyB,"&lt;"&amp;$K1857)+1)</f>
        <v/>
      </c>
      <c r="M1857">
        <f>IF($L1857="","",$F1857&amp;"|"&amp;RIGHT("000000"&amp;$L1857,6))</f>
        <v/>
      </c>
      <c r="N1857">
        <f>IF($F1857="","",IF(Sync!$AH1857="","0000",IF(AND(ISNUMBER(Sync!$AH1857),Sync!$AH1857&gt;=0,Sync!$AH1857&lt;1),RIGHT("00"&amp;HOUR(Sync!$AH1857),2)&amp;RIGHT("00"&amp;MINUTE(Sync!$AH1857),2),IFERROR(RIGHT("00"&amp;VALUE(LEFT(Sync!$AH1857,FIND(":",Sync!$AH1857)-1)),2)&amp;RIGHT("00"&amp;VALUE(MID(Sync!$AH1857,FIND(":",Sync!$AH1857)+1,2)),2),"0000"))))</f>
        <v/>
      </c>
    </row>
    <row r="1858">
      <c r="A1858">
        <f>IF(OR(Calc!$E1861="",Calc!$E1861="نامعتبر",Calc!$G1861="",Calc!$I1861&lt;&gt;"خرید"),"",Calc!$G1861)</f>
        <v/>
      </c>
      <c r="B1858">
        <f>IF($A1858="","",LEFT(Calc!$E1861,4)&amp;MID(Calc!$E1861,6,2)&amp;RIGHT(Calc!$E1861,2)&amp;Calc!$R1861&amp;"|"&amp;"1"&amp;RIGHT("00000"&amp;1853,5))</f>
        <v/>
      </c>
      <c r="C1858">
        <f>IF($B1858="","",COUNTIFS(LdgPartyA,$A1858,LdgKeyA,"&lt;"&amp;$B1858)+COUNTIFS(LdgPartyB,$A1858,LdgKeyB,"&lt;"&amp;$B1858)+1)</f>
        <v/>
      </c>
      <c r="D1858">
        <f>IF($C1858="","",$A1858&amp;"|"&amp;RIGHT("000000"&amp;$C1858,6))</f>
        <v/>
      </c>
      <c r="F1858">
        <f>IF(Sync!$AJ1858="","",Sync!$AJ1858)</f>
        <v/>
      </c>
      <c r="G1858">
        <f>IF($F1858="","",IF(Sync!$AG1858="","",IF(ISNUMBER(Sync!$AG1858),IF(AND(Sync!$AG1858&gt;=10000101,Sync!$AG1858&lt;=99991231),INT(Sync!$AG1858/10000),""),IFERROR(VALUE(TRIM(LEFT(Sync!$AG1858,FIND("/",Sync!$AG1858)-1))),""))))</f>
        <v/>
      </c>
      <c r="H1858">
        <f>IF(OR($F1858="",$G1858=""),"",IF(ISNUMBER(Sync!$AG1858),INT(MOD(Sync!$AG1858,10000)/100),IFERROR(VALUE(TRIM(LEFT(MID(Sync!$AG1858,FIND("/",Sync!$AG1858)+1,20),FIND("/",MID(Sync!$AG1858,FIND("/",Sync!$AG1858)+1,20))-1))),"")))</f>
        <v/>
      </c>
      <c r="I1858">
        <f>IF(OR($F1858="",$G1858=""),"",IF(ISNUMBER(Sync!$AG1858),MOD(Sync!$AG1858,100),IFERROR(VALUE(TRIM(MID(MID(Sync!$AG1858,FIND("/",Sync!$AG1858)+1,20),FIND("/",MID(Sync!$AG1858,FIND("/",Sync!$AG1858)+1,20))+1,20))),"")))</f>
        <v/>
      </c>
      <c r="J1858">
        <f>IF($F1858="","",IF(OR($G1858="",$H1858="",$I1858="",$G1858&lt;1300,$G1858&gt;1500,$H1858&lt;1,$H1858&gt;12,$I1858&lt;1,$I1858&gt;31),"نامعتبر",RIGHT("0000"&amp;$G1858,4)&amp;"/"&amp;RIGHT("00"&amp;$H1858,2)&amp;"/"&amp;RIGHT("00"&amp;$I1858,2)))</f>
        <v/>
      </c>
      <c r="K1858">
        <f>IF(OR($F1858="",$J1858="",$J1858="نامعتبر"),"",LEFT($J1858,4)&amp;MID($J1858,6,2)&amp;RIGHT($J1858,2)&amp;$N1858&amp;"|"&amp;"2"&amp;RIGHT("00000"&amp;1853,5))</f>
        <v/>
      </c>
      <c r="L1858">
        <f>IF($K1858="","",COUNTIFS(LdgPartyA,$F1858,LdgKeyA,"&lt;"&amp;$K1858)+COUNTIFS(LdgPartyB,$F1858,LdgKeyB,"&lt;"&amp;$K1858)+1)</f>
        <v/>
      </c>
      <c r="M1858">
        <f>IF($L1858="","",$F1858&amp;"|"&amp;RIGHT("000000"&amp;$L1858,6))</f>
        <v/>
      </c>
      <c r="N1858">
        <f>IF($F1858="","",IF(Sync!$AH1858="","0000",IF(AND(ISNUMBER(Sync!$AH1858),Sync!$AH1858&gt;=0,Sync!$AH1858&lt;1),RIGHT("00"&amp;HOUR(Sync!$AH1858),2)&amp;RIGHT("00"&amp;MINUTE(Sync!$AH1858),2),IFERROR(RIGHT("00"&amp;VALUE(LEFT(Sync!$AH1858,FIND(":",Sync!$AH1858)-1)),2)&amp;RIGHT("00"&amp;VALUE(MID(Sync!$AH1858,FIND(":",Sync!$AH1858)+1,2)),2),"0000"))))</f>
        <v/>
      </c>
    </row>
    <row r="1859">
      <c r="A1859">
        <f>IF(OR(Calc!$E1862="",Calc!$E1862="نامعتبر",Calc!$G1862="",Calc!$I1862&lt;&gt;"خرید"),"",Calc!$G1862)</f>
        <v/>
      </c>
      <c r="B1859">
        <f>IF($A1859="","",LEFT(Calc!$E1862,4)&amp;MID(Calc!$E1862,6,2)&amp;RIGHT(Calc!$E1862,2)&amp;Calc!$R1862&amp;"|"&amp;"1"&amp;RIGHT("00000"&amp;1854,5))</f>
        <v/>
      </c>
      <c r="C1859">
        <f>IF($B1859="","",COUNTIFS(LdgPartyA,$A1859,LdgKeyA,"&lt;"&amp;$B1859)+COUNTIFS(LdgPartyB,$A1859,LdgKeyB,"&lt;"&amp;$B1859)+1)</f>
        <v/>
      </c>
      <c r="D1859">
        <f>IF($C1859="","",$A1859&amp;"|"&amp;RIGHT("000000"&amp;$C1859,6))</f>
        <v/>
      </c>
      <c r="F1859">
        <f>IF(Sync!$AJ1859="","",Sync!$AJ1859)</f>
        <v/>
      </c>
      <c r="G1859">
        <f>IF($F1859="","",IF(Sync!$AG1859="","",IF(ISNUMBER(Sync!$AG1859),IF(AND(Sync!$AG1859&gt;=10000101,Sync!$AG1859&lt;=99991231),INT(Sync!$AG1859/10000),""),IFERROR(VALUE(TRIM(LEFT(Sync!$AG1859,FIND("/",Sync!$AG1859)-1))),""))))</f>
        <v/>
      </c>
      <c r="H1859">
        <f>IF(OR($F1859="",$G1859=""),"",IF(ISNUMBER(Sync!$AG1859),INT(MOD(Sync!$AG1859,10000)/100),IFERROR(VALUE(TRIM(LEFT(MID(Sync!$AG1859,FIND("/",Sync!$AG1859)+1,20),FIND("/",MID(Sync!$AG1859,FIND("/",Sync!$AG1859)+1,20))-1))),"")))</f>
        <v/>
      </c>
      <c r="I1859">
        <f>IF(OR($F1859="",$G1859=""),"",IF(ISNUMBER(Sync!$AG1859),MOD(Sync!$AG1859,100),IFERROR(VALUE(TRIM(MID(MID(Sync!$AG1859,FIND("/",Sync!$AG1859)+1,20),FIND("/",MID(Sync!$AG1859,FIND("/",Sync!$AG1859)+1,20))+1,20))),"")))</f>
        <v/>
      </c>
      <c r="J1859">
        <f>IF($F1859="","",IF(OR($G1859="",$H1859="",$I1859="",$G1859&lt;1300,$G1859&gt;1500,$H1859&lt;1,$H1859&gt;12,$I1859&lt;1,$I1859&gt;31),"نامعتبر",RIGHT("0000"&amp;$G1859,4)&amp;"/"&amp;RIGHT("00"&amp;$H1859,2)&amp;"/"&amp;RIGHT("00"&amp;$I1859,2)))</f>
        <v/>
      </c>
      <c r="K1859">
        <f>IF(OR($F1859="",$J1859="",$J1859="نامعتبر"),"",LEFT($J1859,4)&amp;MID($J1859,6,2)&amp;RIGHT($J1859,2)&amp;$N1859&amp;"|"&amp;"2"&amp;RIGHT("00000"&amp;1854,5))</f>
        <v/>
      </c>
      <c r="L1859">
        <f>IF($K1859="","",COUNTIFS(LdgPartyA,$F1859,LdgKeyA,"&lt;"&amp;$K1859)+COUNTIFS(LdgPartyB,$F1859,LdgKeyB,"&lt;"&amp;$K1859)+1)</f>
        <v/>
      </c>
      <c r="M1859">
        <f>IF($L1859="","",$F1859&amp;"|"&amp;RIGHT("000000"&amp;$L1859,6))</f>
        <v/>
      </c>
      <c r="N1859">
        <f>IF($F1859="","",IF(Sync!$AH1859="","0000",IF(AND(ISNUMBER(Sync!$AH1859),Sync!$AH1859&gt;=0,Sync!$AH1859&lt;1),RIGHT("00"&amp;HOUR(Sync!$AH1859),2)&amp;RIGHT("00"&amp;MINUTE(Sync!$AH1859),2),IFERROR(RIGHT("00"&amp;VALUE(LEFT(Sync!$AH1859,FIND(":",Sync!$AH1859)-1)),2)&amp;RIGHT("00"&amp;VALUE(MID(Sync!$AH1859,FIND(":",Sync!$AH1859)+1,2)),2),"0000"))))</f>
        <v/>
      </c>
    </row>
    <row r="1860">
      <c r="A1860">
        <f>IF(OR(Calc!$E1863="",Calc!$E1863="نامعتبر",Calc!$G1863="",Calc!$I1863&lt;&gt;"خرید"),"",Calc!$G1863)</f>
        <v/>
      </c>
      <c r="B1860">
        <f>IF($A1860="","",LEFT(Calc!$E1863,4)&amp;MID(Calc!$E1863,6,2)&amp;RIGHT(Calc!$E1863,2)&amp;Calc!$R1863&amp;"|"&amp;"1"&amp;RIGHT("00000"&amp;1855,5))</f>
        <v/>
      </c>
      <c r="C1860">
        <f>IF($B1860="","",COUNTIFS(LdgPartyA,$A1860,LdgKeyA,"&lt;"&amp;$B1860)+COUNTIFS(LdgPartyB,$A1860,LdgKeyB,"&lt;"&amp;$B1860)+1)</f>
        <v/>
      </c>
      <c r="D1860">
        <f>IF($C1860="","",$A1860&amp;"|"&amp;RIGHT("000000"&amp;$C1860,6))</f>
        <v/>
      </c>
      <c r="F1860">
        <f>IF(Sync!$AJ1860="","",Sync!$AJ1860)</f>
        <v/>
      </c>
      <c r="G1860">
        <f>IF($F1860="","",IF(Sync!$AG1860="","",IF(ISNUMBER(Sync!$AG1860),IF(AND(Sync!$AG1860&gt;=10000101,Sync!$AG1860&lt;=99991231),INT(Sync!$AG1860/10000),""),IFERROR(VALUE(TRIM(LEFT(Sync!$AG1860,FIND("/",Sync!$AG1860)-1))),""))))</f>
        <v/>
      </c>
      <c r="H1860">
        <f>IF(OR($F1860="",$G1860=""),"",IF(ISNUMBER(Sync!$AG1860),INT(MOD(Sync!$AG1860,10000)/100),IFERROR(VALUE(TRIM(LEFT(MID(Sync!$AG1860,FIND("/",Sync!$AG1860)+1,20),FIND("/",MID(Sync!$AG1860,FIND("/",Sync!$AG1860)+1,20))-1))),"")))</f>
        <v/>
      </c>
      <c r="I1860">
        <f>IF(OR($F1860="",$G1860=""),"",IF(ISNUMBER(Sync!$AG1860),MOD(Sync!$AG1860,100),IFERROR(VALUE(TRIM(MID(MID(Sync!$AG1860,FIND("/",Sync!$AG1860)+1,20),FIND("/",MID(Sync!$AG1860,FIND("/",Sync!$AG1860)+1,20))+1,20))),"")))</f>
        <v/>
      </c>
      <c r="J1860">
        <f>IF($F1860="","",IF(OR($G1860="",$H1860="",$I1860="",$G1860&lt;1300,$G1860&gt;1500,$H1860&lt;1,$H1860&gt;12,$I1860&lt;1,$I1860&gt;31),"نامعتبر",RIGHT("0000"&amp;$G1860,4)&amp;"/"&amp;RIGHT("00"&amp;$H1860,2)&amp;"/"&amp;RIGHT("00"&amp;$I1860,2)))</f>
        <v/>
      </c>
      <c r="K1860">
        <f>IF(OR($F1860="",$J1860="",$J1860="نامعتبر"),"",LEFT($J1860,4)&amp;MID($J1860,6,2)&amp;RIGHT($J1860,2)&amp;$N1860&amp;"|"&amp;"2"&amp;RIGHT("00000"&amp;1855,5))</f>
        <v/>
      </c>
      <c r="L1860">
        <f>IF($K1860="","",COUNTIFS(LdgPartyA,$F1860,LdgKeyA,"&lt;"&amp;$K1860)+COUNTIFS(LdgPartyB,$F1860,LdgKeyB,"&lt;"&amp;$K1860)+1)</f>
        <v/>
      </c>
      <c r="M1860">
        <f>IF($L1860="","",$F1860&amp;"|"&amp;RIGHT("000000"&amp;$L1860,6))</f>
        <v/>
      </c>
      <c r="N1860">
        <f>IF($F1860="","",IF(Sync!$AH1860="","0000",IF(AND(ISNUMBER(Sync!$AH1860),Sync!$AH1860&gt;=0,Sync!$AH1860&lt;1),RIGHT("00"&amp;HOUR(Sync!$AH1860),2)&amp;RIGHT("00"&amp;MINUTE(Sync!$AH1860),2),IFERROR(RIGHT("00"&amp;VALUE(LEFT(Sync!$AH1860,FIND(":",Sync!$AH1860)-1)),2)&amp;RIGHT("00"&amp;VALUE(MID(Sync!$AH1860,FIND(":",Sync!$AH1860)+1,2)),2),"0000"))))</f>
        <v/>
      </c>
    </row>
    <row r="1861">
      <c r="A1861">
        <f>IF(OR(Calc!$E1864="",Calc!$E1864="نامعتبر",Calc!$G1864="",Calc!$I1864&lt;&gt;"خرید"),"",Calc!$G1864)</f>
        <v/>
      </c>
      <c r="B1861">
        <f>IF($A1861="","",LEFT(Calc!$E1864,4)&amp;MID(Calc!$E1864,6,2)&amp;RIGHT(Calc!$E1864,2)&amp;Calc!$R1864&amp;"|"&amp;"1"&amp;RIGHT("00000"&amp;1856,5))</f>
        <v/>
      </c>
      <c r="C1861">
        <f>IF($B1861="","",COUNTIFS(LdgPartyA,$A1861,LdgKeyA,"&lt;"&amp;$B1861)+COUNTIFS(LdgPartyB,$A1861,LdgKeyB,"&lt;"&amp;$B1861)+1)</f>
        <v/>
      </c>
      <c r="D1861">
        <f>IF($C1861="","",$A1861&amp;"|"&amp;RIGHT("000000"&amp;$C1861,6))</f>
        <v/>
      </c>
      <c r="F1861">
        <f>IF(Sync!$AJ1861="","",Sync!$AJ1861)</f>
        <v/>
      </c>
      <c r="G1861">
        <f>IF($F1861="","",IF(Sync!$AG1861="","",IF(ISNUMBER(Sync!$AG1861),IF(AND(Sync!$AG1861&gt;=10000101,Sync!$AG1861&lt;=99991231),INT(Sync!$AG1861/10000),""),IFERROR(VALUE(TRIM(LEFT(Sync!$AG1861,FIND("/",Sync!$AG1861)-1))),""))))</f>
        <v/>
      </c>
      <c r="H1861">
        <f>IF(OR($F1861="",$G1861=""),"",IF(ISNUMBER(Sync!$AG1861),INT(MOD(Sync!$AG1861,10000)/100),IFERROR(VALUE(TRIM(LEFT(MID(Sync!$AG1861,FIND("/",Sync!$AG1861)+1,20),FIND("/",MID(Sync!$AG1861,FIND("/",Sync!$AG1861)+1,20))-1))),"")))</f>
        <v/>
      </c>
      <c r="I1861">
        <f>IF(OR($F1861="",$G1861=""),"",IF(ISNUMBER(Sync!$AG1861),MOD(Sync!$AG1861,100),IFERROR(VALUE(TRIM(MID(MID(Sync!$AG1861,FIND("/",Sync!$AG1861)+1,20),FIND("/",MID(Sync!$AG1861,FIND("/",Sync!$AG1861)+1,20))+1,20))),"")))</f>
        <v/>
      </c>
      <c r="J1861">
        <f>IF($F1861="","",IF(OR($G1861="",$H1861="",$I1861="",$G1861&lt;1300,$G1861&gt;1500,$H1861&lt;1,$H1861&gt;12,$I1861&lt;1,$I1861&gt;31),"نامعتبر",RIGHT("0000"&amp;$G1861,4)&amp;"/"&amp;RIGHT("00"&amp;$H1861,2)&amp;"/"&amp;RIGHT("00"&amp;$I1861,2)))</f>
        <v/>
      </c>
      <c r="K1861">
        <f>IF(OR($F1861="",$J1861="",$J1861="نامعتبر"),"",LEFT($J1861,4)&amp;MID($J1861,6,2)&amp;RIGHT($J1861,2)&amp;$N1861&amp;"|"&amp;"2"&amp;RIGHT("00000"&amp;1856,5))</f>
        <v/>
      </c>
      <c r="L1861">
        <f>IF($K1861="","",COUNTIFS(LdgPartyA,$F1861,LdgKeyA,"&lt;"&amp;$K1861)+COUNTIFS(LdgPartyB,$F1861,LdgKeyB,"&lt;"&amp;$K1861)+1)</f>
        <v/>
      </c>
      <c r="M1861">
        <f>IF($L1861="","",$F1861&amp;"|"&amp;RIGHT("000000"&amp;$L1861,6))</f>
        <v/>
      </c>
      <c r="N1861">
        <f>IF($F1861="","",IF(Sync!$AH1861="","0000",IF(AND(ISNUMBER(Sync!$AH1861),Sync!$AH1861&gt;=0,Sync!$AH1861&lt;1),RIGHT("00"&amp;HOUR(Sync!$AH1861),2)&amp;RIGHT("00"&amp;MINUTE(Sync!$AH1861),2),IFERROR(RIGHT("00"&amp;VALUE(LEFT(Sync!$AH1861,FIND(":",Sync!$AH1861)-1)),2)&amp;RIGHT("00"&amp;VALUE(MID(Sync!$AH1861,FIND(":",Sync!$AH1861)+1,2)),2),"0000"))))</f>
        <v/>
      </c>
    </row>
    <row r="1862">
      <c r="A1862">
        <f>IF(OR(Calc!$E1865="",Calc!$E1865="نامعتبر",Calc!$G1865="",Calc!$I1865&lt;&gt;"خرید"),"",Calc!$G1865)</f>
        <v/>
      </c>
      <c r="B1862">
        <f>IF($A1862="","",LEFT(Calc!$E1865,4)&amp;MID(Calc!$E1865,6,2)&amp;RIGHT(Calc!$E1865,2)&amp;Calc!$R1865&amp;"|"&amp;"1"&amp;RIGHT("00000"&amp;1857,5))</f>
        <v/>
      </c>
      <c r="C1862">
        <f>IF($B1862="","",COUNTIFS(LdgPartyA,$A1862,LdgKeyA,"&lt;"&amp;$B1862)+COUNTIFS(LdgPartyB,$A1862,LdgKeyB,"&lt;"&amp;$B1862)+1)</f>
        <v/>
      </c>
      <c r="D1862">
        <f>IF($C1862="","",$A1862&amp;"|"&amp;RIGHT("000000"&amp;$C1862,6))</f>
        <v/>
      </c>
      <c r="F1862">
        <f>IF(Sync!$AJ1862="","",Sync!$AJ1862)</f>
        <v/>
      </c>
      <c r="G1862">
        <f>IF($F1862="","",IF(Sync!$AG1862="","",IF(ISNUMBER(Sync!$AG1862),IF(AND(Sync!$AG1862&gt;=10000101,Sync!$AG1862&lt;=99991231),INT(Sync!$AG1862/10000),""),IFERROR(VALUE(TRIM(LEFT(Sync!$AG1862,FIND("/",Sync!$AG1862)-1))),""))))</f>
        <v/>
      </c>
      <c r="H1862">
        <f>IF(OR($F1862="",$G1862=""),"",IF(ISNUMBER(Sync!$AG1862),INT(MOD(Sync!$AG1862,10000)/100),IFERROR(VALUE(TRIM(LEFT(MID(Sync!$AG1862,FIND("/",Sync!$AG1862)+1,20),FIND("/",MID(Sync!$AG1862,FIND("/",Sync!$AG1862)+1,20))-1))),"")))</f>
        <v/>
      </c>
      <c r="I1862">
        <f>IF(OR($F1862="",$G1862=""),"",IF(ISNUMBER(Sync!$AG1862),MOD(Sync!$AG1862,100),IFERROR(VALUE(TRIM(MID(MID(Sync!$AG1862,FIND("/",Sync!$AG1862)+1,20),FIND("/",MID(Sync!$AG1862,FIND("/",Sync!$AG1862)+1,20))+1,20))),"")))</f>
        <v/>
      </c>
      <c r="J1862">
        <f>IF($F1862="","",IF(OR($G1862="",$H1862="",$I1862="",$G1862&lt;1300,$G1862&gt;1500,$H1862&lt;1,$H1862&gt;12,$I1862&lt;1,$I1862&gt;31),"نامعتبر",RIGHT("0000"&amp;$G1862,4)&amp;"/"&amp;RIGHT("00"&amp;$H1862,2)&amp;"/"&amp;RIGHT("00"&amp;$I1862,2)))</f>
        <v/>
      </c>
      <c r="K1862">
        <f>IF(OR($F1862="",$J1862="",$J1862="نامعتبر"),"",LEFT($J1862,4)&amp;MID($J1862,6,2)&amp;RIGHT($J1862,2)&amp;$N1862&amp;"|"&amp;"2"&amp;RIGHT("00000"&amp;1857,5))</f>
        <v/>
      </c>
      <c r="L1862">
        <f>IF($K1862="","",COUNTIFS(LdgPartyA,$F1862,LdgKeyA,"&lt;"&amp;$K1862)+COUNTIFS(LdgPartyB,$F1862,LdgKeyB,"&lt;"&amp;$K1862)+1)</f>
        <v/>
      </c>
      <c r="M1862">
        <f>IF($L1862="","",$F1862&amp;"|"&amp;RIGHT("000000"&amp;$L1862,6))</f>
        <v/>
      </c>
      <c r="N1862">
        <f>IF($F1862="","",IF(Sync!$AH1862="","0000",IF(AND(ISNUMBER(Sync!$AH1862),Sync!$AH1862&gt;=0,Sync!$AH1862&lt;1),RIGHT("00"&amp;HOUR(Sync!$AH1862),2)&amp;RIGHT("00"&amp;MINUTE(Sync!$AH1862),2),IFERROR(RIGHT("00"&amp;VALUE(LEFT(Sync!$AH1862,FIND(":",Sync!$AH1862)-1)),2)&amp;RIGHT("00"&amp;VALUE(MID(Sync!$AH1862,FIND(":",Sync!$AH1862)+1,2)),2),"0000"))))</f>
        <v/>
      </c>
    </row>
    <row r="1863">
      <c r="A1863">
        <f>IF(OR(Calc!$E1866="",Calc!$E1866="نامعتبر",Calc!$G1866="",Calc!$I1866&lt;&gt;"خرید"),"",Calc!$G1866)</f>
        <v/>
      </c>
      <c r="B1863">
        <f>IF($A1863="","",LEFT(Calc!$E1866,4)&amp;MID(Calc!$E1866,6,2)&amp;RIGHT(Calc!$E1866,2)&amp;Calc!$R1866&amp;"|"&amp;"1"&amp;RIGHT("00000"&amp;1858,5))</f>
        <v/>
      </c>
      <c r="C1863">
        <f>IF($B1863="","",COUNTIFS(LdgPartyA,$A1863,LdgKeyA,"&lt;"&amp;$B1863)+COUNTIFS(LdgPartyB,$A1863,LdgKeyB,"&lt;"&amp;$B1863)+1)</f>
        <v/>
      </c>
      <c r="D1863">
        <f>IF($C1863="","",$A1863&amp;"|"&amp;RIGHT("000000"&amp;$C1863,6))</f>
        <v/>
      </c>
      <c r="F1863">
        <f>IF(Sync!$AJ1863="","",Sync!$AJ1863)</f>
        <v/>
      </c>
      <c r="G1863">
        <f>IF($F1863="","",IF(Sync!$AG1863="","",IF(ISNUMBER(Sync!$AG1863),IF(AND(Sync!$AG1863&gt;=10000101,Sync!$AG1863&lt;=99991231),INT(Sync!$AG1863/10000),""),IFERROR(VALUE(TRIM(LEFT(Sync!$AG1863,FIND("/",Sync!$AG1863)-1))),""))))</f>
        <v/>
      </c>
      <c r="H1863">
        <f>IF(OR($F1863="",$G1863=""),"",IF(ISNUMBER(Sync!$AG1863),INT(MOD(Sync!$AG1863,10000)/100),IFERROR(VALUE(TRIM(LEFT(MID(Sync!$AG1863,FIND("/",Sync!$AG1863)+1,20),FIND("/",MID(Sync!$AG1863,FIND("/",Sync!$AG1863)+1,20))-1))),"")))</f>
        <v/>
      </c>
      <c r="I1863">
        <f>IF(OR($F1863="",$G1863=""),"",IF(ISNUMBER(Sync!$AG1863),MOD(Sync!$AG1863,100),IFERROR(VALUE(TRIM(MID(MID(Sync!$AG1863,FIND("/",Sync!$AG1863)+1,20),FIND("/",MID(Sync!$AG1863,FIND("/",Sync!$AG1863)+1,20))+1,20))),"")))</f>
        <v/>
      </c>
      <c r="J1863">
        <f>IF($F1863="","",IF(OR($G1863="",$H1863="",$I1863="",$G1863&lt;1300,$G1863&gt;1500,$H1863&lt;1,$H1863&gt;12,$I1863&lt;1,$I1863&gt;31),"نامعتبر",RIGHT("0000"&amp;$G1863,4)&amp;"/"&amp;RIGHT("00"&amp;$H1863,2)&amp;"/"&amp;RIGHT("00"&amp;$I1863,2)))</f>
        <v/>
      </c>
      <c r="K1863">
        <f>IF(OR($F1863="",$J1863="",$J1863="نامعتبر"),"",LEFT($J1863,4)&amp;MID($J1863,6,2)&amp;RIGHT($J1863,2)&amp;$N1863&amp;"|"&amp;"2"&amp;RIGHT("00000"&amp;1858,5))</f>
        <v/>
      </c>
      <c r="L1863">
        <f>IF($K1863="","",COUNTIFS(LdgPartyA,$F1863,LdgKeyA,"&lt;"&amp;$K1863)+COUNTIFS(LdgPartyB,$F1863,LdgKeyB,"&lt;"&amp;$K1863)+1)</f>
        <v/>
      </c>
      <c r="M1863">
        <f>IF($L1863="","",$F1863&amp;"|"&amp;RIGHT("000000"&amp;$L1863,6))</f>
        <v/>
      </c>
      <c r="N1863">
        <f>IF($F1863="","",IF(Sync!$AH1863="","0000",IF(AND(ISNUMBER(Sync!$AH1863),Sync!$AH1863&gt;=0,Sync!$AH1863&lt;1),RIGHT("00"&amp;HOUR(Sync!$AH1863),2)&amp;RIGHT("00"&amp;MINUTE(Sync!$AH1863),2),IFERROR(RIGHT("00"&amp;VALUE(LEFT(Sync!$AH1863,FIND(":",Sync!$AH1863)-1)),2)&amp;RIGHT("00"&amp;VALUE(MID(Sync!$AH1863,FIND(":",Sync!$AH1863)+1,2)),2),"0000"))))</f>
        <v/>
      </c>
    </row>
    <row r="1864">
      <c r="A1864">
        <f>IF(OR(Calc!$E1867="",Calc!$E1867="نامعتبر",Calc!$G1867="",Calc!$I1867&lt;&gt;"خرید"),"",Calc!$G1867)</f>
        <v/>
      </c>
      <c r="B1864">
        <f>IF($A1864="","",LEFT(Calc!$E1867,4)&amp;MID(Calc!$E1867,6,2)&amp;RIGHT(Calc!$E1867,2)&amp;Calc!$R1867&amp;"|"&amp;"1"&amp;RIGHT("00000"&amp;1859,5))</f>
        <v/>
      </c>
      <c r="C1864">
        <f>IF($B1864="","",COUNTIFS(LdgPartyA,$A1864,LdgKeyA,"&lt;"&amp;$B1864)+COUNTIFS(LdgPartyB,$A1864,LdgKeyB,"&lt;"&amp;$B1864)+1)</f>
        <v/>
      </c>
      <c r="D1864">
        <f>IF($C1864="","",$A1864&amp;"|"&amp;RIGHT("000000"&amp;$C1864,6))</f>
        <v/>
      </c>
      <c r="F1864">
        <f>IF(Sync!$AJ1864="","",Sync!$AJ1864)</f>
        <v/>
      </c>
      <c r="G1864">
        <f>IF($F1864="","",IF(Sync!$AG1864="","",IF(ISNUMBER(Sync!$AG1864),IF(AND(Sync!$AG1864&gt;=10000101,Sync!$AG1864&lt;=99991231),INT(Sync!$AG1864/10000),""),IFERROR(VALUE(TRIM(LEFT(Sync!$AG1864,FIND("/",Sync!$AG1864)-1))),""))))</f>
        <v/>
      </c>
      <c r="H1864">
        <f>IF(OR($F1864="",$G1864=""),"",IF(ISNUMBER(Sync!$AG1864),INT(MOD(Sync!$AG1864,10000)/100),IFERROR(VALUE(TRIM(LEFT(MID(Sync!$AG1864,FIND("/",Sync!$AG1864)+1,20),FIND("/",MID(Sync!$AG1864,FIND("/",Sync!$AG1864)+1,20))-1))),"")))</f>
        <v/>
      </c>
      <c r="I1864">
        <f>IF(OR($F1864="",$G1864=""),"",IF(ISNUMBER(Sync!$AG1864),MOD(Sync!$AG1864,100),IFERROR(VALUE(TRIM(MID(MID(Sync!$AG1864,FIND("/",Sync!$AG1864)+1,20),FIND("/",MID(Sync!$AG1864,FIND("/",Sync!$AG1864)+1,20))+1,20))),"")))</f>
        <v/>
      </c>
      <c r="J1864">
        <f>IF($F1864="","",IF(OR($G1864="",$H1864="",$I1864="",$G1864&lt;1300,$G1864&gt;1500,$H1864&lt;1,$H1864&gt;12,$I1864&lt;1,$I1864&gt;31),"نامعتبر",RIGHT("0000"&amp;$G1864,4)&amp;"/"&amp;RIGHT("00"&amp;$H1864,2)&amp;"/"&amp;RIGHT("00"&amp;$I1864,2)))</f>
        <v/>
      </c>
      <c r="K1864">
        <f>IF(OR($F1864="",$J1864="",$J1864="نامعتبر"),"",LEFT($J1864,4)&amp;MID($J1864,6,2)&amp;RIGHT($J1864,2)&amp;$N1864&amp;"|"&amp;"2"&amp;RIGHT("00000"&amp;1859,5))</f>
        <v/>
      </c>
      <c r="L1864">
        <f>IF($K1864="","",COUNTIFS(LdgPartyA,$F1864,LdgKeyA,"&lt;"&amp;$K1864)+COUNTIFS(LdgPartyB,$F1864,LdgKeyB,"&lt;"&amp;$K1864)+1)</f>
        <v/>
      </c>
      <c r="M1864">
        <f>IF($L1864="","",$F1864&amp;"|"&amp;RIGHT("000000"&amp;$L1864,6))</f>
        <v/>
      </c>
      <c r="N1864">
        <f>IF($F1864="","",IF(Sync!$AH1864="","0000",IF(AND(ISNUMBER(Sync!$AH1864),Sync!$AH1864&gt;=0,Sync!$AH1864&lt;1),RIGHT("00"&amp;HOUR(Sync!$AH1864),2)&amp;RIGHT("00"&amp;MINUTE(Sync!$AH1864),2),IFERROR(RIGHT("00"&amp;VALUE(LEFT(Sync!$AH1864,FIND(":",Sync!$AH1864)-1)),2)&amp;RIGHT("00"&amp;VALUE(MID(Sync!$AH1864,FIND(":",Sync!$AH1864)+1,2)),2),"0000"))))</f>
        <v/>
      </c>
    </row>
    <row r="1865">
      <c r="A1865">
        <f>IF(OR(Calc!$E1868="",Calc!$E1868="نامعتبر",Calc!$G1868="",Calc!$I1868&lt;&gt;"خرید"),"",Calc!$G1868)</f>
        <v/>
      </c>
      <c r="B1865">
        <f>IF($A1865="","",LEFT(Calc!$E1868,4)&amp;MID(Calc!$E1868,6,2)&amp;RIGHT(Calc!$E1868,2)&amp;Calc!$R1868&amp;"|"&amp;"1"&amp;RIGHT("00000"&amp;1860,5))</f>
        <v/>
      </c>
      <c r="C1865">
        <f>IF($B1865="","",COUNTIFS(LdgPartyA,$A1865,LdgKeyA,"&lt;"&amp;$B1865)+COUNTIFS(LdgPartyB,$A1865,LdgKeyB,"&lt;"&amp;$B1865)+1)</f>
        <v/>
      </c>
      <c r="D1865">
        <f>IF($C1865="","",$A1865&amp;"|"&amp;RIGHT("000000"&amp;$C1865,6))</f>
        <v/>
      </c>
      <c r="F1865">
        <f>IF(Sync!$AJ1865="","",Sync!$AJ1865)</f>
        <v/>
      </c>
      <c r="G1865">
        <f>IF($F1865="","",IF(Sync!$AG1865="","",IF(ISNUMBER(Sync!$AG1865),IF(AND(Sync!$AG1865&gt;=10000101,Sync!$AG1865&lt;=99991231),INT(Sync!$AG1865/10000),""),IFERROR(VALUE(TRIM(LEFT(Sync!$AG1865,FIND("/",Sync!$AG1865)-1))),""))))</f>
        <v/>
      </c>
      <c r="H1865">
        <f>IF(OR($F1865="",$G1865=""),"",IF(ISNUMBER(Sync!$AG1865),INT(MOD(Sync!$AG1865,10000)/100),IFERROR(VALUE(TRIM(LEFT(MID(Sync!$AG1865,FIND("/",Sync!$AG1865)+1,20),FIND("/",MID(Sync!$AG1865,FIND("/",Sync!$AG1865)+1,20))-1))),"")))</f>
        <v/>
      </c>
      <c r="I1865">
        <f>IF(OR($F1865="",$G1865=""),"",IF(ISNUMBER(Sync!$AG1865),MOD(Sync!$AG1865,100),IFERROR(VALUE(TRIM(MID(MID(Sync!$AG1865,FIND("/",Sync!$AG1865)+1,20),FIND("/",MID(Sync!$AG1865,FIND("/",Sync!$AG1865)+1,20))+1,20))),"")))</f>
        <v/>
      </c>
      <c r="J1865">
        <f>IF($F1865="","",IF(OR($G1865="",$H1865="",$I1865="",$G1865&lt;1300,$G1865&gt;1500,$H1865&lt;1,$H1865&gt;12,$I1865&lt;1,$I1865&gt;31),"نامعتبر",RIGHT("0000"&amp;$G1865,4)&amp;"/"&amp;RIGHT("00"&amp;$H1865,2)&amp;"/"&amp;RIGHT("00"&amp;$I1865,2)))</f>
        <v/>
      </c>
      <c r="K1865">
        <f>IF(OR($F1865="",$J1865="",$J1865="نامعتبر"),"",LEFT($J1865,4)&amp;MID($J1865,6,2)&amp;RIGHT($J1865,2)&amp;$N1865&amp;"|"&amp;"2"&amp;RIGHT("00000"&amp;1860,5))</f>
        <v/>
      </c>
      <c r="L1865">
        <f>IF($K1865="","",COUNTIFS(LdgPartyA,$F1865,LdgKeyA,"&lt;"&amp;$K1865)+COUNTIFS(LdgPartyB,$F1865,LdgKeyB,"&lt;"&amp;$K1865)+1)</f>
        <v/>
      </c>
      <c r="M1865">
        <f>IF($L1865="","",$F1865&amp;"|"&amp;RIGHT("000000"&amp;$L1865,6))</f>
        <v/>
      </c>
      <c r="N1865">
        <f>IF($F1865="","",IF(Sync!$AH1865="","0000",IF(AND(ISNUMBER(Sync!$AH1865),Sync!$AH1865&gt;=0,Sync!$AH1865&lt;1),RIGHT("00"&amp;HOUR(Sync!$AH1865),2)&amp;RIGHT("00"&amp;MINUTE(Sync!$AH1865),2),IFERROR(RIGHT("00"&amp;VALUE(LEFT(Sync!$AH1865,FIND(":",Sync!$AH1865)-1)),2)&amp;RIGHT("00"&amp;VALUE(MID(Sync!$AH1865,FIND(":",Sync!$AH1865)+1,2)),2),"0000"))))</f>
        <v/>
      </c>
    </row>
    <row r="1866">
      <c r="A1866">
        <f>IF(OR(Calc!$E1869="",Calc!$E1869="نامعتبر",Calc!$G1869="",Calc!$I1869&lt;&gt;"خرید"),"",Calc!$G1869)</f>
        <v/>
      </c>
      <c r="B1866">
        <f>IF($A1866="","",LEFT(Calc!$E1869,4)&amp;MID(Calc!$E1869,6,2)&amp;RIGHT(Calc!$E1869,2)&amp;Calc!$R1869&amp;"|"&amp;"1"&amp;RIGHT("00000"&amp;1861,5))</f>
        <v/>
      </c>
      <c r="C1866">
        <f>IF($B1866="","",COUNTIFS(LdgPartyA,$A1866,LdgKeyA,"&lt;"&amp;$B1866)+COUNTIFS(LdgPartyB,$A1866,LdgKeyB,"&lt;"&amp;$B1866)+1)</f>
        <v/>
      </c>
      <c r="D1866">
        <f>IF($C1866="","",$A1866&amp;"|"&amp;RIGHT("000000"&amp;$C1866,6))</f>
        <v/>
      </c>
      <c r="F1866">
        <f>IF(Sync!$AJ1866="","",Sync!$AJ1866)</f>
        <v/>
      </c>
      <c r="G1866">
        <f>IF($F1866="","",IF(Sync!$AG1866="","",IF(ISNUMBER(Sync!$AG1866),IF(AND(Sync!$AG1866&gt;=10000101,Sync!$AG1866&lt;=99991231),INT(Sync!$AG1866/10000),""),IFERROR(VALUE(TRIM(LEFT(Sync!$AG1866,FIND("/",Sync!$AG1866)-1))),""))))</f>
        <v/>
      </c>
      <c r="H1866">
        <f>IF(OR($F1866="",$G1866=""),"",IF(ISNUMBER(Sync!$AG1866),INT(MOD(Sync!$AG1866,10000)/100),IFERROR(VALUE(TRIM(LEFT(MID(Sync!$AG1866,FIND("/",Sync!$AG1866)+1,20),FIND("/",MID(Sync!$AG1866,FIND("/",Sync!$AG1866)+1,20))-1))),"")))</f>
        <v/>
      </c>
      <c r="I1866">
        <f>IF(OR($F1866="",$G1866=""),"",IF(ISNUMBER(Sync!$AG1866),MOD(Sync!$AG1866,100),IFERROR(VALUE(TRIM(MID(MID(Sync!$AG1866,FIND("/",Sync!$AG1866)+1,20),FIND("/",MID(Sync!$AG1866,FIND("/",Sync!$AG1866)+1,20))+1,20))),"")))</f>
        <v/>
      </c>
      <c r="J1866">
        <f>IF($F1866="","",IF(OR($G1866="",$H1866="",$I1866="",$G1866&lt;1300,$G1866&gt;1500,$H1866&lt;1,$H1866&gt;12,$I1866&lt;1,$I1866&gt;31),"نامعتبر",RIGHT("0000"&amp;$G1866,4)&amp;"/"&amp;RIGHT("00"&amp;$H1866,2)&amp;"/"&amp;RIGHT("00"&amp;$I1866,2)))</f>
        <v/>
      </c>
      <c r="K1866">
        <f>IF(OR($F1866="",$J1866="",$J1866="نامعتبر"),"",LEFT($J1866,4)&amp;MID($J1866,6,2)&amp;RIGHT($J1866,2)&amp;$N1866&amp;"|"&amp;"2"&amp;RIGHT("00000"&amp;1861,5))</f>
        <v/>
      </c>
      <c r="L1866">
        <f>IF($K1866="","",COUNTIFS(LdgPartyA,$F1866,LdgKeyA,"&lt;"&amp;$K1866)+COUNTIFS(LdgPartyB,$F1866,LdgKeyB,"&lt;"&amp;$K1866)+1)</f>
        <v/>
      </c>
      <c r="M1866">
        <f>IF($L1866="","",$F1866&amp;"|"&amp;RIGHT("000000"&amp;$L1866,6))</f>
        <v/>
      </c>
      <c r="N1866">
        <f>IF($F1866="","",IF(Sync!$AH1866="","0000",IF(AND(ISNUMBER(Sync!$AH1866),Sync!$AH1866&gt;=0,Sync!$AH1866&lt;1),RIGHT("00"&amp;HOUR(Sync!$AH1866),2)&amp;RIGHT("00"&amp;MINUTE(Sync!$AH1866),2),IFERROR(RIGHT("00"&amp;VALUE(LEFT(Sync!$AH1866,FIND(":",Sync!$AH1866)-1)),2)&amp;RIGHT("00"&amp;VALUE(MID(Sync!$AH1866,FIND(":",Sync!$AH1866)+1,2)),2),"0000"))))</f>
        <v/>
      </c>
    </row>
    <row r="1867">
      <c r="A1867">
        <f>IF(OR(Calc!$E1870="",Calc!$E1870="نامعتبر",Calc!$G1870="",Calc!$I1870&lt;&gt;"خرید"),"",Calc!$G1870)</f>
        <v/>
      </c>
      <c r="B1867">
        <f>IF($A1867="","",LEFT(Calc!$E1870,4)&amp;MID(Calc!$E1870,6,2)&amp;RIGHT(Calc!$E1870,2)&amp;Calc!$R1870&amp;"|"&amp;"1"&amp;RIGHT("00000"&amp;1862,5))</f>
        <v/>
      </c>
      <c r="C1867">
        <f>IF($B1867="","",COUNTIFS(LdgPartyA,$A1867,LdgKeyA,"&lt;"&amp;$B1867)+COUNTIFS(LdgPartyB,$A1867,LdgKeyB,"&lt;"&amp;$B1867)+1)</f>
        <v/>
      </c>
      <c r="D1867">
        <f>IF($C1867="","",$A1867&amp;"|"&amp;RIGHT("000000"&amp;$C1867,6))</f>
        <v/>
      </c>
      <c r="F1867">
        <f>IF(Sync!$AJ1867="","",Sync!$AJ1867)</f>
        <v/>
      </c>
      <c r="G1867">
        <f>IF($F1867="","",IF(Sync!$AG1867="","",IF(ISNUMBER(Sync!$AG1867),IF(AND(Sync!$AG1867&gt;=10000101,Sync!$AG1867&lt;=99991231),INT(Sync!$AG1867/10000),""),IFERROR(VALUE(TRIM(LEFT(Sync!$AG1867,FIND("/",Sync!$AG1867)-1))),""))))</f>
        <v/>
      </c>
      <c r="H1867">
        <f>IF(OR($F1867="",$G1867=""),"",IF(ISNUMBER(Sync!$AG1867),INT(MOD(Sync!$AG1867,10000)/100),IFERROR(VALUE(TRIM(LEFT(MID(Sync!$AG1867,FIND("/",Sync!$AG1867)+1,20),FIND("/",MID(Sync!$AG1867,FIND("/",Sync!$AG1867)+1,20))-1))),"")))</f>
        <v/>
      </c>
      <c r="I1867">
        <f>IF(OR($F1867="",$G1867=""),"",IF(ISNUMBER(Sync!$AG1867),MOD(Sync!$AG1867,100),IFERROR(VALUE(TRIM(MID(MID(Sync!$AG1867,FIND("/",Sync!$AG1867)+1,20),FIND("/",MID(Sync!$AG1867,FIND("/",Sync!$AG1867)+1,20))+1,20))),"")))</f>
        <v/>
      </c>
      <c r="J1867">
        <f>IF($F1867="","",IF(OR($G1867="",$H1867="",$I1867="",$G1867&lt;1300,$G1867&gt;1500,$H1867&lt;1,$H1867&gt;12,$I1867&lt;1,$I1867&gt;31),"نامعتبر",RIGHT("0000"&amp;$G1867,4)&amp;"/"&amp;RIGHT("00"&amp;$H1867,2)&amp;"/"&amp;RIGHT("00"&amp;$I1867,2)))</f>
        <v/>
      </c>
      <c r="K1867">
        <f>IF(OR($F1867="",$J1867="",$J1867="نامعتبر"),"",LEFT($J1867,4)&amp;MID($J1867,6,2)&amp;RIGHT($J1867,2)&amp;$N1867&amp;"|"&amp;"2"&amp;RIGHT("00000"&amp;1862,5))</f>
        <v/>
      </c>
      <c r="L1867">
        <f>IF($K1867="","",COUNTIFS(LdgPartyA,$F1867,LdgKeyA,"&lt;"&amp;$K1867)+COUNTIFS(LdgPartyB,$F1867,LdgKeyB,"&lt;"&amp;$K1867)+1)</f>
        <v/>
      </c>
      <c r="M1867">
        <f>IF($L1867="","",$F1867&amp;"|"&amp;RIGHT("000000"&amp;$L1867,6))</f>
        <v/>
      </c>
      <c r="N1867">
        <f>IF($F1867="","",IF(Sync!$AH1867="","0000",IF(AND(ISNUMBER(Sync!$AH1867),Sync!$AH1867&gt;=0,Sync!$AH1867&lt;1),RIGHT("00"&amp;HOUR(Sync!$AH1867),2)&amp;RIGHT("00"&amp;MINUTE(Sync!$AH1867),2),IFERROR(RIGHT("00"&amp;VALUE(LEFT(Sync!$AH1867,FIND(":",Sync!$AH1867)-1)),2)&amp;RIGHT("00"&amp;VALUE(MID(Sync!$AH1867,FIND(":",Sync!$AH1867)+1,2)),2),"0000"))))</f>
        <v/>
      </c>
    </row>
    <row r="1868">
      <c r="A1868">
        <f>IF(OR(Calc!$E1871="",Calc!$E1871="نامعتبر",Calc!$G1871="",Calc!$I1871&lt;&gt;"خرید"),"",Calc!$G1871)</f>
        <v/>
      </c>
      <c r="B1868">
        <f>IF($A1868="","",LEFT(Calc!$E1871,4)&amp;MID(Calc!$E1871,6,2)&amp;RIGHT(Calc!$E1871,2)&amp;Calc!$R1871&amp;"|"&amp;"1"&amp;RIGHT("00000"&amp;1863,5))</f>
        <v/>
      </c>
      <c r="C1868">
        <f>IF($B1868="","",COUNTIFS(LdgPartyA,$A1868,LdgKeyA,"&lt;"&amp;$B1868)+COUNTIFS(LdgPartyB,$A1868,LdgKeyB,"&lt;"&amp;$B1868)+1)</f>
        <v/>
      </c>
      <c r="D1868">
        <f>IF($C1868="","",$A1868&amp;"|"&amp;RIGHT("000000"&amp;$C1868,6))</f>
        <v/>
      </c>
      <c r="F1868">
        <f>IF(Sync!$AJ1868="","",Sync!$AJ1868)</f>
        <v/>
      </c>
      <c r="G1868">
        <f>IF($F1868="","",IF(Sync!$AG1868="","",IF(ISNUMBER(Sync!$AG1868),IF(AND(Sync!$AG1868&gt;=10000101,Sync!$AG1868&lt;=99991231),INT(Sync!$AG1868/10000),""),IFERROR(VALUE(TRIM(LEFT(Sync!$AG1868,FIND("/",Sync!$AG1868)-1))),""))))</f>
        <v/>
      </c>
      <c r="H1868">
        <f>IF(OR($F1868="",$G1868=""),"",IF(ISNUMBER(Sync!$AG1868),INT(MOD(Sync!$AG1868,10000)/100),IFERROR(VALUE(TRIM(LEFT(MID(Sync!$AG1868,FIND("/",Sync!$AG1868)+1,20),FIND("/",MID(Sync!$AG1868,FIND("/",Sync!$AG1868)+1,20))-1))),"")))</f>
        <v/>
      </c>
      <c r="I1868">
        <f>IF(OR($F1868="",$G1868=""),"",IF(ISNUMBER(Sync!$AG1868),MOD(Sync!$AG1868,100),IFERROR(VALUE(TRIM(MID(MID(Sync!$AG1868,FIND("/",Sync!$AG1868)+1,20),FIND("/",MID(Sync!$AG1868,FIND("/",Sync!$AG1868)+1,20))+1,20))),"")))</f>
        <v/>
      </c>
      <c r="J1868">
        <f>IF($F1868="","",IF(OR($G1868="",$H1868="",$I1868="",$G1868&lt;1300,$G1868&gt;1500,$H1868&lt;1,$H1868&gt;12,$I1868&lt;1,$I1868&gt;31),"نامعتبر",RIGHT("0000"&amp;$G1868,4)&amp;"/"&amp;RIGHT("00"&amp;$H1868,2)&amp;"/"&amp;RIGHT("00"&amp;$I1868,2)))</f>
        <v/>
      </c>
      <c r="K1868">
        <f>IF(OR($F1868="",$J1868="",$J1868="نامعتبر"),"",LEFT($J1868,4)&amp;MID($J1868,6,2)&amp;RIGHT($J1868,2)&amp;$N1868&amp;"|"&amp;"2"&amp;RIGHT("00000"&amp;1863,5))</f>
        <v/>
      </c>
      <c r="L1868">
        <f>IF($K1868="","",COUNTIFS(LdgPartyA,$F1868,LdgKeyA,"&lt;"&amp;$K1868)+COUNTIFS(LdgPartyB,$F1868,LdgKeyB,"&lt;"&amp;$K1868)+1)</f>
        <v/>
      </c>
      <c r="M1868">
        <f>IF($L1868="","",$F1868&amp;"|"&amp;RIGHT("000000"&amp;$L1868,6))</f>
        <v/>
      </c>
      <c r="N1868">
        <f>IF($F1868="","",IF(Sync!$AH1868="","0000",IF(AND(ISNUMBER(Sync!$AH1868),Sync!$AH1868&gt;=0,Sync!$AH1868&lt;1),RIGHT("00"&amp;HOUR(Sync!$AH1868),2)&amp;RIGHT("00"&amp;MINUTE(Sync!$AH1868),2),IFERROR(RIGHT("00"&amp;VALUE(LEFT(Sync!$AH1868,FIND(":",Sync!$AH1868)-1)),2)&amp;RIGHT("00"&amp;VALUE(MID(Sync!$AH1868,FIND(":",Sync!$AH1868)+1,2)),2),"0000"))))</f>
        <v/>
      </c>
    </row>
    <row r="1869">
      <c r="A1869">
        <f>IF(OR(Calc!$E1872="",Calc!$E1872="نامعتبر",Calc!$G1872="",Calc!$I1872&lt;&gt;"خرید"),"",Calc!$G1872)</f>
        <v/>
      </c>
      <c r="B1869">
        <f>IF($A1869="","",LEFT(Calc!$E1872,4)&amp;MID(Calc!$E1872,6,2)&amp;RIGHT(Calc!$E1872,2)&amp;Calc!$R1872&amp;"|"&amp;"1"&amp;RIGHT("00000"&amp;1864,5))</f>
        <v/>
      </c>
      <c r="C1869">
        <f>IF($B1869="","",COUNTIFS(LdgPartyA,$A1869,LdgKeyA,"&lt;"&amp;$B1869)+COUNTIFS(LdgPartyB,$A1869,LdgKeyB,"&lt;"&amp;$B1869)+1)</f>
        <v/>
      </c>
      <c r="D1869">
        <f>IF($C1869="","",$A1869&amp;"|"&amp;RIGHT("000000"&amp;$C1869,6))</f>
        <v/>
      </c>
      <c r="F1869">
        <f>IF(Sync!$AJ1869="","",Sync!$AJ1869)</f>
        <v/>
      </c>
      <c r="G1869">
        <f>IF($F1869="","",IF(Sync!$AG1869="","",IF(ISNUMBER(Sync!$AG1869),IF(AND(Sync!$AG1869&gt;=10000101,Sync!$AG1869&lt;=99991231),INT(Sync!$AG1869/10000),""),IFERROR(VALUE(TRIM(LEFT(Sync!$AG1869,FIND("/",Sync!$AG1869)-1))),""))))</f>
        <v/>
      </c>
      <c r="H1869">
        <f>IF(OR($F1869="",$G1869=""),"",IF(ISNUMBER(Sync!$AG1869),INT(MOD(Sync!$AG1869,10000)/100),IFERROR(VALUE(TRIM(LEFT(MID(Sync!$AG1869,FIND("/",Sync!$AG1869)+1,20),FIND("/",MID(Sync!$AG1869,FIND("/",Sync!$AG1869)+1,20))-1))),"")))</f>
        <v/>
      </c>
      <c r="I1869">
        <f>IF(OR($F1869="",$G1869=""),"",IF(ISNUMBER(Sync!$AG1869),MOD(Sync!$AG1869,100),IFERROR(VALUE(TRIM(MID(MID(Sync!$AG1869,FIND("/",Sync!$AG1869)+1,20),FIND("/",MID(Sync!$AG1869,FIND("/",Sync!$AG1869)+1,20))+1,20))),"")))</f>
        <v/>
      </c>
      <c r="J1869">
        <f>IF($F1869="","",IF(OR($G1869="",$H1869="",$I1869="",$G1869&lt;1300,$G1869&gt;1500,$H1869&lt;1,$H1869&gt;12,$I1869&lt;1,$I1869&gt;31),"نامعتبر",RIGHT("0000"&amp;$G1869,4)&amp;"/"&amp;RIGHT("00"&amp;$H1869,2)&amp;"/"&amp;RIGHT("00"&amp;$I1869,2)))</f>
        <v/>
      </c>
      <c r="K1869">
        <f>IF(OR($F1869="",$J1869="",$J1869="نامعتبر"),"",LEFT($J1869,4)&amp;MID($J1869,6,2)&amp;RIGHT($J1869,2)&amp;$N1869&amp;"|"&amp;"2"&amp;RIGHT("00000"&amp;1864,5))</f>
        <v/>
      </c>
      <c r="L1869">
        <f>IF($K1869="","",COUNTIFS(LdgPartyA,$F1869,LdgKeyA,"&lt;"&amp;$K1869)+COUNTIFS(LdgPartyB,$F1869,LdgKeyB,"&lt;"&amp;$K1869)+1)</f>
        <v/>
      </c>
      <c r="M1869">
        <f>IF($L1869="","",$F1869&amp;"|"&amp;RIGHT("000000"&amp;$L1869,6))</f>
        <v/>
      </c>
      <c r="N1869">
        <f>IF($F1869="","",IF(Sync!$AH1869="","0000",IF(AND(ISNUMBER(Sync!$AH1869),Sync!$AH1869&gt;=0,Sync!$AH1869&lt;1),RIGHT("00"&amp;HOUR(Sync!$AH1869),2)&amp;RIGHT("00"&amp;MINUTE(Sync!$AH1869),2),IFERROR(RIGHT("00"&amp;VALUE(LEFT(Sync!$AH1869,FIND(":",Sync!$AH1869)-1)),2)&amp;RIGHT("00"&amp;VALUE(MID(Sync!$AH1869,FIND(":",Sync!$AH1869)+1,2)),2),"0000"))))</f>
        <v/>
      </c>
    </row>
    <row r="1870">
      <c r="A1870">
        <f>IF(OR(Calc!$E1873="",Calc!$E1873="نامعتبر",Calc!$G1873="",Calc!$I1873&lt;&gt;"خرید"),"",Calc!$G1873)</f>
        <v/>
      </c>
      <c r="B1870">
        <f>IF($A1870="","",LEFT(Calc!$E1873,4)&amp;MID(Calc!$E1873,6,2)&amp;RIGHT(Calc!$E1873,2)&amp;Calc!$R1873&amp;"|"&amp;"1"&amp;RIGHT("00000"&amp;1865,5))</f>
        <v/>
      </c>
      <c r="C1870">
        <f>IF($B1870="","",COUNTIFS(LdgPartyA,$A1870,LdgKeyA,"&lt;"&amp;$B1870)+COUNTIFS(LdgPartyB,$A1870,LdgKeyB,"&lt;"&amp;$B1870)+1)</f>
        <v/>
      </c>
      <c r="D1870">
        <f>IF($C1870="","",$A1870&amp;"|"&amp;RIGHT("000000"&amp;$C1870,6))</f>
        <v/>
      </c>
      <c r="F1870">
        <f>IF(Sync!$AJ1870="","",Sync!$AJ1870)</f>
        <v/>
      </c>
      <c r="G1870">
        <f>IF($F1870="","",IF(Sync!$AG1870="","",IF(ISNUMBER(Sync!$AG1870),IF(AND(Sync!$AG1870&gt;=10000101,Sync!$AG1870&lt;=99991231),INT(Sync!$AG1870/10000),""),IFERROR(VALUE(TRIM(LEFT(Sync!$AG1870,FIND("/",Sync!$AG1870)-1))),""))))</f>
        <v/>
      </c>
      <c r="H1870">
        <f>IF(OR($F1870="",$G1870=""),"",IF(ISNUMBER(Sync!$AG1870),INT(MOD(Sync!$AG1870,10000)/100),IFERROR(VALUE(TRIM(LEFT(MID(Sync!$AG1870,FIND("/",Sync!$AG1870)+1,20),FIND("/",MID(Sync!$AG1870,FIND("/",Sync!$AG1870)+1,20))-1))),"")))</f>
        <v/>
      </c>
      <c r="I1870">
        <f>IF(OR($F1870="",$G1870=""),"",IF(ISNUMBER(Sync!$AG1870),MOD(Sync!$AG1870,100),IFERROR(VALUE(TRIM(MID(MID(Sync!$AG1870,FIND("/",Sync!$AG1870)+1,20),FIND("/",MID(Sync!$AG1870,FIND("/",Sync!$AG1870)+1,20))+1,20))),"")))</f>
        <v/>
      </c>
      <c r="J1870">
        <f>IF($F1870="","",IF(OR($G1870="",$H1870="",$I1870="",$G1870&lt;1300,$G1870&gt;1500,$H1870&lt;1,$H1870&gt;12,$I1870&lt;1,$I1870&gt;31),"نامعتبر",RIGHT("0000"&amp;$G1870,4)&amp;"/"&amp;RIGHT("00"&amp;$H1870,2)&amp;"/"&amp;RIGHT("00"&amp;$I1870,2)))</f>
        <v/>
      </c>
      <c r="K1870">
        <f>IF(OR($F1870="",$J1870="",$J1870="نامعتبر"),"",LEFT($J1870,4)&amp;MID($J1870,6,2)&amp;RIGHT($J1870,2)&amp;$N1870&amp;"|"&amp;"2"&amp;RIGHT("00000"&amp;1865,5))</f>
        <v/>
      </c>
      <c r="L1870">
        <f>IF($K1870="","",COUNTIFS(LdgPartyA,$F1870,LdgKeyA,"&lt;"&amp;$K1870)+COUNTIFS(LdgPartyB,$F1870,LdgKeyB,"&lt;"&amp;$K1870)+1)</f>
        <v/>
      </c>
      <c r="M1870">
        <f>IF($L1870="","",$F1870&amp;"|"&amp;RIGHT("000000"&amp;$L1870,6))</f>
        <v/>
      </c>
      <c r="N1870">
        <f>IF($F1870="","",IF(Sync!$AH1870="","0000",IF(AND(ISNUMBER(Sync!$AH1870),Sync!$AH1870&gt;=0,Sync!$AH1870&lt;1),RIGHT("00"&amp;HOUR(Sync!$AH1870),2)&amp;RIGHT("00"&amp;MINUTE(Sync!$AH1870),2),IFERROR(RIGHT("00"&amp;VALUE(LEFT(Sync!$AH1870,FIND(":",Sync!$AH1870)-1)),2)&amp;RIGHT("00"&amp;VALUE(MID(Sync!$AH1870,FIND(":",Sync!$AH1870)+1,2)),2),"0000"))))</f>
        <v/>
      </c>
    </row>
    <row r="1871">
      <c r="A1871">
        <f>IF(OR(Calc!$E1874="",Calc!$E1874="نامعتبر",Calc!$G1874="",Calc!$I1874&lt;&gt;"خرید"),"",Calc!$G1874)</f>
        <v/>
      </c>
      <c r="B1871">
        <f>IF($A1871="","",LEFT(Calc!$E1874,4)&amp;MID(Calc!$E1874,6,2)&amp;RIGHT(Calc!$E1874,2)&amp;Calc!$R1874&amp;"|"&amp;"1"&amp;RIGHT("00000"&amp;1866,5))</f>
        <v/>
      </c>
      <c r="C1871">
        <f>IF($B1871="","",COUNTIFS(LdgPartyA,$A1871,LdgKeyA,"&lt;"&amp;$B1871)+COUNTIFS(LdgPartyB,$A1871,LdgKeyB,"&lt;"&amp;$B1871)+1)</f>
        <v/>
      </c>
      <c r="D1871">
        <f>IF($C1871="","",$A1871&amp;"|"&amp;RIGHT("000000"&amp;$C1871,6))</f>
        <v/>
      </c>
      <c r="F1871">
        <f>IF(Sync!$AJ1871="","",Sync!$AJ1871)</f>
        <v/>
      </c>
      <c r="G1871">
        <f>IF($F1871="","",IF(Sync!$AG1871="","",IF(ISNUMBER(Sync!$AG1871),IF(AND(Sync!$AG1871&gt;=10000101,Sync!$AG1871&lt;=99991231),INT(Sync!$AG1871/10000),""),IFERROR(VALUE(TRIM(LEFT(Sync!$AG1871,FIND("/",Sync!$AG1871)-1))),""))))</f>
        <v/>
      </c>
      <c r="H1871">
        <f>IF(OR($F1871="",$G1871=""),"",IF(ISNUMBER(Sync!$AG1871),INT(MOD(Sync!$AG1871,10000)/100),IFERROR(VALUE(TRIM(LEFT(MID(Sync!$AG1871,FIND("/",Sync!$AG1871)+1,20),FIND("/",MID(Sync!$AG1871,FIND("/",Sync!$AG1871)+1,20))-1))),"")))</f>
        <v/>
      </c>
      <c r="I1871">
        <f>IF(OR($F1871="",$G1871=""),"",IF(ISNUMBER(Sync!$AG1871),MOD(Sync!$AG1871,100),IFERROR(VALUE(TRIM(MID(MID(Sync!$AG1871,FIND("/",Sync!$AG1871)+1,20),FIND("/",MID(Sync!$AG1871,FIND("/",Sync!$AG1871)+1,20))+1,20))),"")))</f>
        <v/>
      </c>
      <c r="J1871">
        <f>IF($F1871="","",IF(OR($G1871="",$H1871="",$I1871="",$G1871&lt;1300,$G1871&gt;1500,$H1871&lt;1,$H1871&gt;12,$I1871&lt;1,$I1871&gt;31),"نامعتبر",RIGHT("0000"&amp;$G1871,4)&amp;"/"&amp;RIGHT("00"&amp;$H1871,2)&amp;"/"&amp;RIGHT("00"&amp;$I1871,2)))</f>
        <v/>
      </c>
      <c r="K1871">
        <f>IF(OR($F1871="",$J1871="",$J1871="نامعتبر"),"",LEFT($J1871,4)&amp;MID($J1871,6,2)&amp;RIGHT($J1871,2)&amp;$N1871&amp;"|"&amp;"2"&amp;RIGHT("00000"&amp;1866,5))</f>
        <v/>
      </c>
      <c r="L1871">
        <f>IF($K1871="","",COUNTIFS(LdgPartyA,$F1871,LdgKeyA,"&lt;"&amp;$K1871)+COUNTIFS(LdgPartyB,$F1871,LdgKeyB,"&lt;"&amp;$K1871)+1)</f>
        <v/>
      </c>
      <c r="M1871">
        <f>IF($L1871="","",$F1871&amp;"|"&amp;RIGHT("000000"&amp;$L1871,6))</f>
        <v/>
      </c>
      <c r="N1871">
        <f>IF($F1871="","",IF(Sync!$AH1871="","0000",IF(AND(ISNUMBER(Sync!$AH1871),Sync!$AH1871&gt;=0,Sync!$AH1871&lt;1),RIGHT("00"&amp;HOUR(Sync!$AH1871),2)&amp;RIGHT("00"&amp;MINUTE(Sync!$AH1871),2),IFERROR(RIGHT("00"&amp;VALUE(LEFT(Sync!$AH1871,FIND(":",Sync!$AH1871)-1)),2)&amp;RIGHT("00"&amp;VALUE(MID(Sync!$AH1871,FIND(":",Sync!$AH1871)+1,2)),2),"0000"))))</f>
        <v/>
      </c>
    </row>
    <row r="1872">
      <c r="A1872">
        <f>IF(OR(Calc!$E1875="",Calc!$E1875="نامعتبر",Calc!$G1875="",Calc!$I1875&lt;&gt;"خرید"),"",Calc!$G1875)</f>
        <v/>
      </c>
      <c r="B1872">
        <f>IF($A1872="","",LEFT(Calc!$E1875,4)&amp;MID(Calc!$E1875,6,2)&amp;RIGHT(Calc!$E1875,2)&amp;Calc!$R1875&amp;"|"&amp;"1"&amp;RIGHT("00000"&amp;1867,5))</f>
        <v/>
      </c>
      <c r="C1872">
        <f>IF($B1872="","",COUNTIFS(LdgPartyA,$A1872,LdgKeyA,"&lt;"&amp;$B1872)+COUNTIFS(LdgPartyB,$A1872,LdgKeyB,"&lt;"&amp;$B1872)+1)</f>
        <v/>
      </c>
      <c r="D1872">
        <f>IF($C1872="","",$A1872&amp;"|"&amp;RIGHT("000000"&amp;$C1872,6))</f>
        <v/>
      </c>
      <c r="F1872">
        <f>IF(Sync!$AJ1872="","",Sync!$AJ1872)</f>
        <v/>
      </c>
      <c r="G1872">
        <f>IF($F1872="","",IF(Sync!$AG1872="","",IF(ISNUMBER(Sync!$AG1872),IF(AND(Sync!$AG1872&gt;=10000101,Sync!$AG1872&lt;=99991231),INT(Sync!$AG1872/10000),""),IFERROR(VALUE(TRIM(LEFT(Sync!$AG1872,FIND("/",Sync!$AG1872)-1))),""))))</f>
        <v/>
      </c>
      <c r="H1872">
        <f>IF(OR($F1872="",$G1872=""),"",IF(ISNUMBER(Sync!$AG1872),INT(MOD(Sync!$AG1872,10000)/100),IFERROR(VALUE(TRIM(LEFT(MID(Sync!$AG1872,FIND("/",Sync!$AG1872)+1,20),FIND("/",MID(Sync!$AG1872,FIND("/",Sync!$AG1872)+1,20))-1))),"")))</f>
        <v/>
      </c>
      <c r="I1872">
        <f>IF(OR($F1872="",$G1872=""),"",IF(ISNUMBER(Sync!$AG1872),MOD(Sync!$AG1872,100),IFERROR(VALUE(TRIM(MID(MID(Sync!$AG1872,FIND("/",Sync!$AG1872)+1,20),FIND("/",MID(Sync!$AG1872,FIND("/",Sync!$AG1872)+1,20))+1,20))),"")))</f>
        <v/>
      </c>
      <c r="J1872">
        <f>IF($F1872="","",IF(OR($G1872="",$H1872="",$I1872="",$G1872&lt;1300,$G1872&gt;1500,$H1872&lt;1,$H1872&gt;12,$I1872&lt;1,$I1872&gt;31),"نامعتبر",RIGHT("0000"&amp;$G1872,4)&amp;"/"&amp;RIGHT("00"&amp;$H1872,2)&amp;"/"&amp;RIGHT("00"&amp;$I1872,2)))</f>
        <v/>
      </c>
      <c r="K1872">
        <f>IF(OR($F1872="",$J1872="",$J1872="نامعتبر"),"",LEFT($J1872,4)&amp;MID($J1872,6,2)&amp;RIGHT($J1872,2)&amp;$N1872&amp;"|"&amp;"2"&amp;RIGHT("00000"&amp;1867,5))</f>
        <v/>
      </c>
      <c r="L1872">
        <f>IF($K1872="","",COUNTIFS(LdgPartyA,$F1872,LdgKeyA,"&lt;"&amp;$K1872)+COUNTIFS(LdgPartyB,$F1872,LdgKeyB,"&lt;"&amp;$K1872)+1)</f>
        <v/>
      </c>
      <c r="M1872">
        <f>IF($L1872="","",$F1872&amp;"|"&amp;RIGHT("000000"&amp;$L1872,6))</f>
        <v/>
      </c>
      <c r="N1872">
        <f>IF($F1872="","",IF(Sync!$AH1872="","0000",IF(AND(ISNUMBER(Sync!$AH1872),Sync!$AH1872&gt;=0,Sync!$AH1872&lt;1),RIGHT("00"&amp;HOUR(Sync!$AH1872),2)&amp;RIGHT("00"&amp;MINUTE(Sync!$AH1872),2),IFERROR(RIGHT("00"&amp;VALUE(LEFT(Sync!$AH1872,FIND(":",Sync!$AH1872)-1)),2)&amp;RIGHT("00"&amp;VALUE(MID(Sync!$AH1872,FIND(":",Sync!$AH1872)+1,2)),2),"0000"))))</f>
        <v/>
      </c>
    </row>
    <row r="1873">
      <c r="A1873">
        <f>IF(OR(Calc!$E1876="",Calc!$E1876="نامعتبر",Calc!$G1876="",Calc!$I1876&lt;&gt;"خرید"),"",Calc!$G1876)</f>
        <v/>
      </c>
      <c r="B1873">
        <f>IF($A1873="","",LEFT(Calc!$E1876,4)&amp;MID(Calc!$E1876,6,2)&amp;RIGHT(Calc!$E1876,2)&amp;Calc!$R1876&amp;"|"&amp;"1"&amp;RIGHT("00000"&amp;1868,5))</f>
        <v/>
      </c>
      <c r="C1873">
        <f>IF($B1873="","",COUNTIFS(LdgPartyA,$A1873,LdgKeyA,"&lt;"&amp;$B1873)+COUNTIFS(LdgPartyB,$A1873,LdgKeyB,"&lt;"&amp;$B1873)+1)</f>
        <v/>
      </c>
      <c r="D1873">
        <f>IF($C1873="","",$A1873&amp;"|"&amp;RIGHT("000000"&amp;$C1873,6))</f>
        <v/>
      </c>
      <c r="F1873">
        <f>IF(Sync!$AJ1873="","",Sync!$AJ1873)</f>
        <v/>
      </c>
      <c r="G1873">
        <f>IF($F1873="","",IF(Sync!$AG1873="","",IF(ISNUMBER(Sync!$AG1873),IF(AND(Sync!$AG1873&gt;=10000101,Sync!$AG1873&lt;=99991231),INT(Sync!$AG1873/10000),""),IFERROR(VALUE(TRIM(LEFT(Sync!$AG1873,FIND("/",Sync!$AG1873)-1))),""))))</f>
        <v/>
      </c>
      <c r="H1873">
        <f>IF(OR($F1873="",$G1873=""),"",IF(ISNUMBER(Sync!$AG1873),INT(MOD(Sync!$AG1873,10000)/100),IFERROR(VALUE(TRIM(LEFT(MID(Sync!$AG1873,FIND("/",Sync!$AG1873)+1,20),FIND("/",MID(Sync!$AG1873,FIND("/",Sync!$AG1873)+1,20))-1))),"")))</f>
        <v/>
      </c>
      <c r="I1873">
        <f>IF(OR($F1873="",$G1873=""),"",IF(ISNUMBER(Sync!$AG1873),MOD(Sync!$AG1873,100),IFERROR(VALUE(TRIM(MID(MID(Sync!$AG1873,FIND("/",Sync!$AG1873)+1,20),FIND("/",MID(Sync!$AG1873,FIND("/",Sync!$AG1873)+1,20))+1,20))),"")))</f>
        <v/>
      </c>
      <c r="J1873">
        <f>IF($F1873="","",IF(OR($G1873="",$H1873="",$I1873="",$G1873&lt;1300,$G1873&gt;1500,$H1873&lt;1,$H1873&gt;12,$I1873&lt;1,$I1873&gt;31),"نامعتبر",RIGHT("0000"&amp;$G1873,4)&amp;"/"&amp;RIGHT("00"&amp;$H1873,2)&amp;"/"&amp;RIGHT("00"&amp;$I1873,2)))</f>
        <v/>
      </c>
      <c r="K1873">
        <f>IF(OR($F1873="",$J1873="",$J1873="نامعتبر"),"",LEFT($J1873,4)&amp;MID($J1873,6,2)&amp;RIGHT($J1873,2)&amp;$N1873&amp;"|"&amp;"2"&amp;RIGHT("00000"&amp;1868,5))</f>
        <v/>
      </c>
      <c r="L1873">
        <f>IF($K1873="","",COUNTIFS(LdgPartyA,$F1873,LdgKeyA,"&lt;"&amp;$K1873)+COUNTIFS(LdgPartyB,$F1873,LdgKeyB,"&lt;"&amp;$K1873)+1)</f>
        <v/>
      </c>
      <c r="M1873">
        <f>IF($L1873="","",$F1873&amp;"|"&amp;RIGHT("000000"&amp;$L1873,6))</f>
        <v/>
      </c>
      <c r="N1873">
        <f>IF($F1873="","",IF(Sync!$AH1873="","0000",IF(AND(ISNUMBER(Sync!$AH1873),Sync!$AH1873&gt;=0,Sync!$AH1873&lt;1),RIGHT("00"&amp;HOUR(Sync!$AH1873),2)&amp;RIGHT("00"&amp;MINUTE(Sync!$AH1873),2),IFERROR(RIGHT("00"&amp;VALUE(LEFT(Sync!$AH1873,FIND(":",Sync!$AH1873)-1)),2)&amp;RIGHT("00"&amp;VALUE(MID(Sync!$AH1873,FIND(":",Sync!$AH1873)+1,2)),2),"0000"))))</f>
        <v/>
      </c>
    </row>
    <row r="1874">
      <c r="A1874">
        <f>IF(OR(Calc!$E1877="",Calc!$E1877="نامعتبر",Calc!$G1877="",Calc!$I1877&lt;&gt;"خرید"),"",Calc!$G1877)</f>
        <v/>
      </c>
      <c r="B1874">
        <f>IF($A1874="","",LEFT(Calc!$E1877,4)&amp;MID(Calc!$E1877,6,2)&amp;RIGHT(Calc!$E1877,2)&amp;Calc!$R1877&amp;"|"&amp;"1"&amp;RIGHT("00000"&amp;1869,5))</f>
        <v/>
      </c>
      <c r="C1874">
        <f>IF($B1874="","",COUNTIFS(LdgPartyA,$A1874,LdgKeyA,"&lt;"&amp;$B1874)+COUNTIFS(LdgPartyB,$A1874,LdgKeyB,"&lt;"&amp;$B1874)+1)</f>
        <v/>
      </c>
      <c r="D1874">
        <f>IF($C1874="","",$A1874&amp;"|"&amp;RIGHT("000000"&amp;$C1874,6))</f>
        <v/>
      </c>
      <c r="F1874">
        <f>IF(Sync!$AJ1874="","",Sync!$AJ1874)</f>
        <v/>
      </c>
      <c r="G1874">
        <f>IF($F1874="","",IF(Sync!$AG1874="","",IF(ISNUMBER(Sync!$AG1874),IF(AND(Sync!$AG1874&gt;=10000101,Sync!$AG1874&lt;=99991231),INT(Sync!$AG1874/10000),""),IFERROR(VALUE(TRIM(LEFT(Sync!$AG1874,FIND("/",Sync!$AG1874)-1))),""))))</f>
        <v/>
      </c>
      <c r="H1874">
        <f>IF(OR($F1874="",$G1874=""),"",IF(ISNUMBER(Sync!$AG1874),INT(MOD(Sync!$AG1874,10000)/100),IFERROR(VALUE(TRIM(LEFT(MID(Sync!$AG1874,FIND("/",Sync!$AG1874)+1,20),FIND("/",MID(Sync!$AG1874,FIND("/",Sync!$AG1874)+1,20))-1))),"")))</f>
        <v/>
      </c>
      <c r="I1874">
        <f>IF(OR($F1874="",$G1874=""),"",IF(ISNUMBER(Sync!$AG1874),MOD(Sync!$AG1874,100),IFERROR(VALUE(TRIM(MID(MID(Sync!$AG1874,FIND("/",Sync!$AG1874)+1,20),FIND("/",MID(Sync!$AG1874,FIND("/",Sync!$AG1874)+1,20))+1,20))),"")))</f>
        <v/>
      </c>
      <c r="J1874">
        <f>IF($F1874="","",IF(OR($G1874="",$H1874="",$I1874="",$G1874&lt;1300,$G1874&gt;1500,$H1874&lt;1,$H1874&gt;12,$I1874&lt;1,$I1874&gt;31),"نامعتبر",RIGHT("0000"&amp;$G1874,4)&amp;"/"&amp;RIGHT("00"&amp;$H1874,2)&amp;"/"&amp;RIGHT("00"&amp;$I1874,2)))</f>
        <v/>
      </c>
      <c r="K1874">
        <f>IF(OR($F1874="",$J1874="",$J1874="نامعتبر"),"",LEFT($J1874,4)&amp;MID($J1874,6,2)&amp;RIGHT($J1874,2)&amp;$N1874&amp;"|"&amp;"2"&amp;RIGHT("00000"&amp;1869,5))</f>
        <v/>
      </c>
      <c r="L1874">
        <f>IF($K1874="","",COUNTIFS(LdgPartyA,$F1874,LdgKeyA,"&lt;"&amp;$K1874)+COUNTIFS(LdgPartyB,$F1874,LdgKeyB,"&lt;"&amp;$K1874)+1)</f>
        <v/>
      </c>
      <c r="M1874">
        <f>IF($L1874="","",$F1874&amp;"|"&amp;RIGHT("000000"&amp;$L1874,6))</f>
        <v/>
      </c>
      <c r="N1874">
        <f>IF($F1874="","",IF(Sync!$AH1874="","0000",IF(AND(ISNUMBER(Sync!$AH1874),Sync!$AH1874&gt;=0,Sync!$AH1874&lt;1),RIGHT("00"&amp;HOUR(Sync!$AH1874),2)&amp;RIGHT("00"&amp;MINUTE(Sync!$AH1874),2),IFERROR(RIGHT("00"&amp;VALUE(LEFT(Sync!$AH1874,FIND(":",Sync!$AH1874)-1)),2)&amp;RIGHT("00"&amp;VALUE(MID(Sync!$AH1874,FIND(":",Sync!$AH1874)+1,2)),2),"0000"))))</f>
        <v/>
      </c>
    </row>
    <row r="1875">
      <c r="A1875">
        <f>IF(OR(Calc!$E1878="",Calc!$E1878="نامعتبر",Calc!$G1878="",Calc!$I1878&lt;&gt;"خرید"),"",Calc!$G1878)</f>
        <v/>
      </c>
      <c r="B1875">
        <f>IF($A1875="","",LEFT(Calc!$E1878,4)&amp;MID(Calc!$E1878,6,2)&amp;RIGHT(Calc!$E1878,2)&amp;Calc!$R1878&amp;"|"&amp;"1"&amp;RIGHT("00000"&amp;1870,5))</f>
        <v/>
      </c>
      <c r="C1875">
        <f>IF($B1875="","",COUNTIFS(LdgPartyA,$A1875,LdgKeyA,"&lt;"&amp;$B1875)+COUNTIFS(LdgPartyB,$A1875,LdgKeyB,"&lt;"&amp;$B1875)+1)</f>
        <v/>
      </c>
      <c r="D1875">
        <f>IF($C1875="","",$A1875&amp;"|"&amp;RIGHT("000000"&amp;$C1875,6))</f>
        <v/>
      </c>
      <c r="F1875">
        <f>IF(Sync!$AJ1875="","",Sync!$AJ1875)</f>
        <v/>
      </c>
      <c r="G1875">
        <f>IF($F1875="","",IF(Sync!$AG1875="","",IF(ISNUMBER(Sync!$AG1875),IF(AND(Sync!$AG1875&gt;=10000101,Sync!$AG1875&lt;=99991231),INT(Sync!$AG1875/10000),""),IFERROR(VALUE(TRIM(LEFT(Sync!$AG1875,FIND("/",Sync!$AG1875)-1))),""))))</f>
        <v/>
      </c>
      <c r="H1875">
        <f>IF(OR($F1875="",$G1875=""),"",IF(ISNUMBER(Sync!$AG1875),INT(MOD(Sync!$AG1875,10000)/100),IFERROR(VALUE(TRIM(LEFT(MID(Sync!$AG1875,FIND("/",Sync!$AG1875)+1,20),FIND("/",MID(Sync!$AG1875,FIND("/",Sync!$AG1875)+1,20))-1))),"")))</f>
        <v/>
      </c>
      <c r="I1875">
        <f>IF(OR($F1875="",$G1875=""),"",IF(ISNUMBER(Sync!$AG1875),MOD(Sync!$AG1875,100),IFERROR(VALUE(TRIM(MID(MID(Sync!$AG1875,FIND("/",Sync!$AG1875)+1,20),FIND("/",MID(Sync!$AG1875,FIND("/",Sync!$AG1875)+1,20))+1,20))),"")))</f>
        <v/>
      </c>
      <c r="J1875">
        <f>IF($F1875="","",IF(OR($G1875="",$H1875="",$I1875="",$G1875&lt;1300,$G1875&gt;1500,$H1875&lt;1,$H1875&gt;12,$I1875&lt;1,$I1875&gt;31),"نامعتبر",RIGHT("0000"&amp;$G1875,4)&amp;"/"&amp;RIGHT("00"&amp;$H1875,2)&amp;"/"&amp;RIGHT("00"&amp;$I1875,2)))</f>
        <v/>
      </c>
      <c r="K1875">
        <f>IF(OR($F1875="",$J1875="",$J1875="نامعتبر"),"",LEFT($J1875,4)&amp;MID($J1875,6,2)&amp;RIGHT($J1875,2)&amp;$N1875&amp;"|"&amp;"2"&amp;RIGHT("00000"&amp;1870,5))</f>
        <v/>
      </c>
      <c r="L1875">
        <f>IF($K1875="","",COUNTIFS(LdgPartyA,$F1875,LdgKeyA,"&lt;"&amp;$K1875)+COUNTIFS(LdgPartyB,$F1875,LdgKeyB,"&lt;"&amp;$K1875)+1)</f>
        <v/>
      </c>
      <c r="M1875">
        <f>IF($L1875="","",$F1875&amp;"|"&amp;RIGHT("000000"&amp;$L1875,6))</f>
        <v/>
      </c>
      <c r="N1875">
        <f>IF($F1875="","",IF(Sync!$AH1875="","0000",IF(AND(ISNUMBER(Sync!$AH1875),Sync!$AH1875&gt;=0,Sync!$AH1875&lt;1),RIGHT("00"&amp;HOUR(Sync!$AH1875),2)&amp;RIGHT("00"&amp;MINUTE(Sync!$AH1875),2),IFERROR(RIGHT("00"&amp;VALUE(LEFT(Sync!$AH1875,FIND(":",Sync!$AH1875)-1)),2)&amp;RIGHT("00"&amp;VALUE(MID(Sync!$AH1875,FIND(":",Sync!$AH1875)+1,2)),2),"0000"))))</f>
        <v/>
      </c>
    </row>
    <row r="1876">
      <c r="A1876">
        <f>IF(OR(Calc!$E1879="",Calc!$E1879="نامعتبر",Calc!$G1879="",Calc!$I1879&lt;&gt;"خرید"),"",Calc!$G1879)</f>
        <v/>
      </c>
      <c r="B1876">
        <f>IF($A1876="","",LEFT(Calc!$E1879,4)&amp;MID(Calc!$E1879,6,2)&amp;RIGHT(Calc!$E1879,2)&amp;Calc!$R1879&amp;"|"&amp;"1"&amp;RIGHT("00000"&amp;1871,5))</f>
        <v/>
      </c>
      <c r="C1876">
        <f>IF($B1876="","",COUNTIFS(LdgPartyA,$A1876,LdgKeyA,"&lt;"&amp;$B1876)+COUNTIFS(LdgPartyB,$A1876,LdgKeyB,"&lt;"&amp;$B1876)+1)</f>
        <v/>
      </c>
      <c r="D1876">
        <f>IF($C1876="","",$A1876&amp;"|"&amp;RIGHT("000000"&amp;$C1876,6))</f>
        <v/>
      </c>
      <c r="F1876">
        <f>IF(Sync!$AJ1876="","",Sync!$AJ1876)</f>
        <v/>
      </c>
      <c r="G1876">
        <f>IF($F1876="","",IF(Sync!$AG1876="","",IF(ISNUMBER(Sync!$AG1876),IF(AND(Sync!$AG1876&gt;=10000101,Sync!$AG1876&lt;=99991231),INT(Sync!$AG1876/10000),""),IFERROR(VALUE(TRIM(LEFT(Sync!$AG1876,FIND("/",Sync!$AG1876)-1))),""))))</f>
        <v/>
      </c>
      <c r="H1876">
        <f>IF(OR($F1876="",$G1876=""),"",IF(ISNUMBER(Sync!$AG1876),INT(MOD(Sync!$AG1876,10000)/100),IFERROR(VALUE(TRIM(LEFT(MID(Sync!$AG1876,FIND("/",Sync!$AG1876)+1,20),FIND("/",MID(Sync!$AG1876,FIND("/",Sync!$AG1876)+1,20))-1))),"")))</f>
        <v/>
      </c>
      <c r="I1876">
        <f>IF(OR($F1876="",$G1876=""),"",IF(ISNUMBER(Sync!$AG1876),MOD(Sync!$AG1876,100),IFERROR(VALUE(TRIM(MID(MID(Sync!$AG1876,FIND("/",Sync!$AG1876)+1,20),FIND("/",MID(Sync!$AG1876,FIND("/",Sync!$AG1876)+1,20))+1,20))),"")))</f>
        <v/>
      </c>
      <c r="J1876">
        <f>IF($F1876="","",IF(OR($G1876="",$H1876="",$I1876="",$G1876&lt;1300,$G1876&gt;1500,$H1876&lt;1,$H1876&gt;12,$I1876&lt;1,$I1876&gt;31),"نامعتبر",RIGHT("0000"&amp;$G1876,4)&amp;"/"&amp;RIGHT("00"&amp;$H1876,2)&amp;"/"&amp;RIGHT("00"&amp;$I1876,2)))</f>
        <v/>
      </c>
      <c r="K1876">
        <f>IF(OR($F1876="",$J1876="",$J1876="نامعتبر"),"",LEFT($J1876,4)&amp;MID($J1876,6,2)&amp;RIGHT($J1876,2)&amp;$N1876&amp;"|"&amp;"2"&amp;RIGHT("00000"&amp;1871,5))</f>
        <v/>
      </c>
      <c r="L1876">
        <f>IF($K1876="","",COUNTIFS(LdgPartyA,$F1876,LdgKeyA,"&lt;"&amp;$K1876)+COUNTIFS(LdgPartyB,$F1876,LdgKeyB,"&lt;"&amp;$K1876)+1)</f>
        <v/>
      </c>
      <c r="M1876">
        <f>IF($L1876="","",$F1876&amp;"|"&amp;RIGHT("000000"&amp;$L1876,6))</f>
        <v/>
      </c>
      <c r="N1876">
        <f>IF($F1876="","",IF(Sync!$AH1876="","0000",IF(AND(ISNUMBER(Sync!$AH1876),Sync!$AH1876&gt;=0,Sync!$AH1876&lt;1),RIGHT("00"&amp;HOUR(Sync!$AH1876),2)&amp;RIGHT("00"&amp;MINUTE(Sync!$AH1876),2),IFERROR(RIGHT("00"&amp;VALUE(LEFT(Sync!$AH1876,FIND(":",Sync!$AH1876)-1)),2)&amp;RIGHT("00"&amp;VALUE(MID(Sync!$AH1876,FIND(":",Sync!$AH1876)+1,2)),2),"0000"))))</f>
        <v/>
      </c>
    </row>
    <row r="1877">
      <c r="A1877">
        <f>IF(OR(Calc!$E1880="",Calc!$E1880="نامعتبر",Calc!$G1880="",Calc!$I1880&lt;&gt;"خرید"),"",Calc!$G1880)</f>
        <v/>
      </c>
      <c r="B1877">
        <f>IF($A1877="","",LEFT(Calc!$E1880,4)&amp;MID(Calc!$E1880,6,2)&amp;RIGHT(Calc!$E1880,2)&amp;Calc!$R1880&amp;"|"&amp;"1"&amp;RIGHT("00000"&amp;1872,5))</f>
        <v/>
      </c>
      <c r="C1877">
        <f>IF($B1877="","",COUNTIFS(LdgPartyA,$A1877,LdgKeyA,"&lt;"&amp;$B1877)+COUNTIFS(LdgPartyB,$A1877,LdgKeyB,"&lt;"&amp;$B1877)+1)</f>
        <v/>
      </c>
      <c r="D1877">
        <f>IF($C1877="","",$A1877&amp;"|"&amp;RIGHT("000000"&amp;$C1877,6))</f>
        <v/>
      </c>
      <c r="F1877">
        <f>IF(Sync!$AJ1877="","",Sync!$AJ1877)</f>
        <v/>
      </c>
      <c r="G1877">
        <f>IF($F1877="","",IF(Sync!$AG1877="","",IF(ISNUMBER(Sync!$AG1877),IF(AND(Sync!$AG1877&gt;=10000101,Sync!$AG1877&lt;=99991231),INT(Sync!$AG1877/10000),""),IFERROR(VALUE(TRIM(LEFT(Sync!$AG1877,FIND("/",Sync!$AG1877)-1))),""))))</f>
        <v/>
      </c>
      <c r="H1877">
        <f>IF(OR($F1877="",$G1877=""),"",IF(ISNUMBER(Sync!$AG1877),INT(MOD(Sync!$AG1877,10000)/100),IFERROR(VALUE(TRIM(LEFT(MID(Sync!$AG1877,FIND("/",Sync!$AG1877)+1,20),FIND("/",MID(Sync!$AG1877,FIND("/",Sync!$AG1877)+1,20))-1))),"")))</f>
        <v/>
      </c>
      <c r="I1877">
        <f>IF(OR($F1877="",$G1877=""),"",IF(ISNUMBER(Sync!$AG1877),MOD(Sync!$AG1877,100),IFERROR(VALUE(TRIM(MID(MID(Sync!$AG1877,FIND("/",Sync!$AG1877)+1,20),FIND("/",MID(Sync!$AG1877,FIND("/",Sync!$AG1877)+1,20))+1,20))),"")))</f>
        <v/>
      </c>
      <c r="J1877">
        <f>IF($F1877="","",IF(OR($G1877="",$H1877="",$I1877="",$G1877&lt;1300,$G1877&gt;1500,$H1877&lt;1,$H1877&gt;12,$I1877&lt;1,$I1877&gt;31),"نامعتبر",RIGHT("0000"&amp;$G1877,4)&amp;"/"&amp;RIGHT("00"&amp;$H1877,2)&amp;"/"&amp;RIGHT("00"&amp;$I1877,2)))</f>
        <v/>
      </c>
      <c r="K1877">
        <f>IF(OR($F1877="",$J1877="",$J1877="نامعتبر"),"",LEFT($J1877,4)&amp;MID($J1877,6,2)&amp;RIGHT($J1877,2)&amp;$N1877&amp;"|"&amp;"2"&amp;RIGHT("00000"&amp;1872,5))</f>
        <v/>
      </c>
      <c r="L1877">
        <f>IF($K1877="","",COUNTIFS(LdgPartyA,$F1877,LdgKeyA,"&lt;"&amp;$K1877)+COUNTIFS(LdgPartyB,$F1877,LdgKeyB,"&lt;"&amp;$K1877)+1)</f>
        <v/>
      </c>
      <c r="M1877">
        <f>IF($L1877="","",$F1877&amp;"|"&amp;RIGHT("000000"&amp;$L1877,6))</f>
        <v/>
      </c>
      <c r="N1877">
        <f>IF($F1877="","",IF(Sync!$AH1877="","0000",IF(AND(ISNUMBER(Sync!$AH1877),Sync!$AH1877&gt;=0,Sync!$AH1877&lt;1),RIGHT("00"&amp;HOUR(Sync!$AH1877),2)&amp;RIGHT("00"&amp;MINUTE(Sync!$AH1877),2),IFERROR(RIGHT("00"&amp;VALUE(LEFT(Sync!$AH1877,FIND(":",Sync!$AH1877)-1)),2)&amp;RIGHT("00"&amp;VALUE(MID(Sync!$AH1877,FIND(":",Sync!$AH1877)+1,2)),2),"0000"))))</f>
        <v/>
      </c>
    </row>
    <row r="1878">
      <c r="A1878">
        <f>IF(OR(Calc!$E1881="",Calc!$E1881="نامعتبر",Calc!$G1881="",Calc!$I1881&lt;&gt;"خرید"),"",Calc!$G1881)</f>
        <v/>
      </c>
      <c r="B1878">
        <f>IF($A1878="","",LEFT(Calc!$E1881,4)&amp;MID(Calc!$E1881,6,2)&amp;RIGHT(Calc!$E1881,2)&amp;Calc!$R1881&amp;"|"&amp;"1"&amp;RIGHT("00000"&amp;1873,5))</f>
        <v/>
      </c>
      <c r="C1878">
        <f>IF($B1878="","",COUNTIFS(LdgPartyA,$A1878,LdgKeyA,"&lt;"&amp;$B1878)+COUNTIFS(LdgPartyB,$A1878,LdgKeyB,"&lt;"&amp;$B1878)+1)</f>
        <v/>
      </c>
      <c r="D1878">
        <f>IF($C1878="","",$A1878&amp;"|"&amp;RIGHT("000000"&amp;$C1878,6))</f>
        <v/>
      </c>
      <c r="F1878">
        <f>IF(Sync!$AJ1878="","",Sync!$AJ1878)</f>
        <v/>
      </c>
      <c r="G1878">
        <f>IF($F1878="","",IF(Sync!$AG1878="","",IF(ISNUMBER(Sync!$AG1878),IF(AND(Sync!$AG1878&gt;=10000101,Sync!$AG1878&lt;=99991231),INT(Sync!$AG1878/10000),""),IFERROR(VALUE(TRIM(LEFT(Sync!$AG1878,FIND("/",Sync!$AG1878)-1))),""))))</f>
        <v/>
      </c>
      <c r="H1878">
        <f>IF(OR($F1878="",$G1878=""),"",IF(ISNUMBER(Sync!$AG1878),INT(MOD(Sync!$AG1878,10000)/100),IFERROR(VALUE(TRIM(LEFT(MID(Sync!$AG1878,FIND("/",Sync!$AG1878)+1,20),FIND("/",MID(Sync!$AG1878,FIND("/",Sync!$AG1878)+1,20))-1))),"")))</f>
        <v/>
      </c>
      <c r="I1878">
        <f>IF(OR($F1878="",$G1878=""),"",IF(ISNUMBER(Sync!$AG1878),MOD(Sync!$AG1878,100),IFERROR(VALUE(TRIM(MID(MID(Sync!$AG1878,FIND("/",Sync!$AG1878)+1,20),FIND("/",MID(Sync!$AG1878,FIND("/",Sync!$AG1878)+1,20))+1,20))),"")))</f>
        <v/>
      </c>
      <c r="J1878">
        <f>IF($F1878="","",IF(OR($G1878="",$H1878="",$I1878="",$G1878&lt;1300,$G1878&gt;1500,$H1878&lt;1,$H1878&gt;12,$I1878&lt;1,$I1878&gt;31),"نامعتبر",RIGHT("0000"&amp;$G1878,4)&amp;"/"&amp;RIGHT("00"&amp;$H1878,2)&amp;"/"&amp;RIGHT("00"&amp;$I1878,2)))</f>
        <v/>
      </c>
      <c r="K1878">
        <f>IF(OR($F1878="",$J1878="",$J1878="نامعتبر"),"",LEFT($J1878,4)&amp;MID($J1878,6,2)&amp;RIGHT($J1878,2)&amp;$N1878&amp;"|"&amp;"2"&amp;RIGHT("00000"&amp;1873,5))</f>
        <v/>
      </c>
      <c r="L1878">
        <f>IF($K1878="","",COUNTIFS(LdgPartyA,$F1878,LdgKeyA,"&lt;"&amp;$K1878)+COUNTIFS(LdgPartyB,$F1878,LdgKeyB,"&lt;"&amp;$K1878)+1)</f>
        <v/>
      </c>
      <c r="M1878">
        <f>IF($L1878="","",$F1878&amp;"|"&amp;RIGHT("000000"&amp;$L1878,6))</f>
        <v/>
      </c>
      <c r="N1878">
        <f>IF($F1878="","",IF(Sync!$AH1878="","0000",IF(AND(ISNUMBER(Sync!$AH1878),Sync!$AH1878&gt;=0,Sync!$AH1878&lt;1),RIGHT("00"&amp;HOUR(Sync!$AH1878),2)&amp;RIGHT("00"&amp;MINUTE(Sync!$AH1878),2),IFERROR(RIGHT("00"&amp;VALUE(LEFT(Sync!$AH1878,FIND(":",Sync!$AH1878)-1)),2)&amp;RIGHT("00"&amp;VALUE(MID(Sync!$AH1878,FIND(":",Sync!$AH1878)+1,2)),2),"0000"))))</f>
        <v/>
      </c>
    </row>
    <row r="1879">
      <c r="A1879">
        <f>IF(OR(Calc!$E1882="",Calc!$E1882="نامعتبر",Calc!$G1882="",Calc!$I1882&lt;&gt;"خرید"),"",Calc!$G1882)</f>
        <v/>
      </c>
      <c r="B1879">
        <f>IF($A1879="","",LEFT(Calc!$E1882,4)&amp;MID(Calc!$E1882,6,2)&amp;RIGHT(Calc!$E1882,2)&amp;Calc!$R1882&amp;"|"&amp;"1"&amp;RIGHT("00000"&amp;1874,5))</f>
        <v/>
      </c>
      <c r="C1879">
        <f>IF($B1879="","",COUNTIFS(LdgPartyA,$A1879,LdgKeyA,"&lt;"&amp;$B1879)+COUNTIFS(LdgPartyB,$A1879,LdgKeyB,"&lt;"&amp;$B1879)+1)</f>
        <v/>
      </c>
      <c r="D1879">
        <f>IF($C1879="","",$A1879&amp;"|"&amp;RIGHT("000000"&amp;$C1879,6))</f>
        <v/>
      </c>
      <c r="F1879">
        <f>IF(Sync!$AJ1879="","",Sync!$AJ1879)</f>
        <v/>
      </c>
      <c r="G1879">
        <f>IF($F1879="","",IF(Sync!$AG1879="","",IF(ISNUMBER(Sync!$AG1879),IF(AND(Sync!$AG1879&gt;=10000101,Sync!$AG1879&lt;=99991231),INT(Sync!$AG1879/10000),""),IFERROR(VALUE(TRIM(LEFT(Sync!$AG1879,FIND("/",Sync!$AG1879)-1))),""))))</f>
        <v/>
      </c>
      <c r="H1879">
        <f>IF(OR($F1879="",$G1879=""),"",IF(ISNUMBER(Sync!$AG1879),INT(MOD(Sync!$AG1879,10000)/100),IFERROR(VALUE(TRIM(LEFT(MID(Sync!$AG1879,FIND("/",Sync!$AG1879)+1,20),FIND("/",MID(Sync!$AG1879,FIND("/",Sync!$AG1879)+1,20))-1))),"")))</f>
        <v/>
      </c>
      <c r="I1879">
        <f>IF(OR($F1879="",$G1879=""),"",IF(ISNUMBER(Sync!$AG1879),MOD(Sync!$AG1879,100),IFERROR(VALUE(TRIM(MID(MID(Sync!$AG1879,FIND("/",Sync!$AG1879)+1,20),FIND("/",MID(Sync!$AG1879,FIND("/",Sync!$AG1879)+1,20))+1,20))),"")))</f>
        <v/>
      </c>
      <c r="J1879">
        <f>IF($F1879="","",IF(OR($G1879="",$H1879="",$I1879="",$G1879&lt;1300,$G1879&gt;1500,$H1879&lt;1,$H1879&gt;12,$I1879&lt;1,$I1879&gt;31),"نامعتبر",RIGHT("0000"&amp;$G1879,4)&amp;"/"&amp;RIGHT("00"&amp;$H1879,2)&amp;"/"&amp;RIGHT("00"&amp;$I1879,2)))</f>
        <v/>
      </c>
      <c r="K1879">
        <f>IF(OR($F1879="",$J1879="",$J1879="نامعتبر"),"",LEFT($J1879,4)&amp;MID($J1879,6,2)&amp;RIGHT($J1879,2)&amp;$N1879&amp;"|"&amp;"2"&amp;RIGHT("00000"&amp;1874,5))</f>
        <v/>
      </c>
      <c r="L1879">
        <f>IF($K1879="","",COUNTIFS(LdgPartyA,$F1879,LdgKeyA,"&lt;"&amp;$K1879)+COUNTIFS(LdgPartyB,$F1879,LdgKeyB,"&lt;"&amp;$K1879)+1)</f>
        <v/>
      </c>
      <c r="M1879">
        <f>IF($L1879="","",$F1879&amp;"|"&amp;RIGHT("000000"&amp;$L1879,6))</f>
        <v/>
      </c>
      <c r="N1879">
        <f>IF($F1879="","",IF(Sync!$AH1879="","0000",IF(AND(ISNUMBER(Sync!$AH1879),Sync!$AH1879&gt;=0,Sync!$AH1879&lt;1),RIGHT("00"&amp;HOUR(Sync!$AH1879),2)&amp;RIGHT("00"&amp;MINUTE(Sync!$AH1879),2),IFERROR(RIGHT("00"&amp;VALUE(LEFT(Sync!$AH1879,FIND(":",Sync!$AH1879)-1)),2)&amp;RIGHT("00"&amp;VALUE(MID(Sync!$AH1879,FIND(":",Sync!$AH1879)+1,2)),2),"0000"))))</f>
        <v/>
      </c>
    </row>
    <row r="1880">
      <c r="A1880">
        <f>IF(OR(Calc!$E1883="",Calc!$E1883="نامعتبر",Calc!$G1883="",Calc!$I1883&lt;&gt;"خرید"),"",Calc!$G1883)</f>
        <v/>
      </c>
      <c r="B1880">
        <f>IF($A1880="","",LEFT(Calc!$E1883,4)&amp;MID(Calc!$E1883,6,2)&amp;RIGHT(Calc!$E1883,2)&amp;Calc!$R1883&amp;"|"&amp;"1"&amp;RIGHT("00000"&amp;1875,5))</f>
        <v/>
      </c>
      <c r="C1880">
        <f>IF($B1880="","",COUNTIFS(LdgPartyA,$A1880,LdgKeyA,"&lt;"&amp;$B1880)+COUNTIFS(LdgPartyB,$A1880,LdgKeyB,"&lt;"&amp;$B1880)+1)</f>
        <v/>
      </c>
      <c r="D1880">
        <f>IF($C1880="","",$A1880&amp;"|"&amp;RIGHT("000000"&amp;$C1880,6))</f>
        <v/>
      </c>
      <c r="F1880">
        <f>IF(Sync!$AJ1880="","",Sync!$AJ1880)</f>
        <v/>
      </c>
      <c r="G1880">
        <f>IF($F1880="","",IF(Sync!$AG1880="","",IF(ISNUMBER(Sync!$AG1880),IF(AND(Sync!$AG1880&gt;=10000101,Sync!$AG1880&lt;=99991231),INT(Sync!$AG1880/10000),""),IFERROR(VALUE(TRIM(LEFT(Sync!$AG1880,FIND("/",Sync!$AG1880)-1))),""))))</f>
        <v/>
      </c>
      <c r="H1880">
        <f>IF(OR($F1880="",$G1880=""),"",IF(ISNUMBER(Sync!$AG1880),INT(MOD(Sync!$AG1880,10000)/100),IFERROR(VALUE(TRIM(LEFT(MID(Sync!$AG1880,FIND("/",Sync!$AG1880)+1,20),FIND("/",MID(Sync!$AG1880,FIND("/",Sync!$AG1880)+1,20))-1))),"")))</f>
        <v/>
      </c>
      <c r="I1880">
        <f>IF(OR($F1880="",$G1880=""),"",IF(ISNUMBER(Sync!$AG1880),MOD(Sync!$AG1880,100),IFERROR(VALUE(TRIM(MID(MID(Sync!$AG1880,FIND("/",Sync!$AG1880)+1,20),FIND("/",MID(Sync!$AG1880,FIND("/",Sync!$AG1880)+1,20))+1,20))),"")))</f>
        <v/>
      </c>
      <c r="J1880">
        <f>IF($F1880="","",IF(OR($G1880="",$H1880="",$I1880="",$G1880&lt;1300,$G1880&gt;1500,$H1880&lt;1,$H1880&gt;12,$I1880&lt;1,$I1880&gt;31),"نامعتبر",RIGHT("0000"&amp;$G1880,4)&amp;"/"&amp;RIGHT("00"&amp;$H1880,2)&amp;"/"&amp;RIGHT("00"&amp;$I1880,2)))</f>
        <v/>
      </c>
      <c r="K1880">
        <f>IF(OR($F1880="",$J1880="",$J1880="نامعتبر"),"",LEFT($J1880,4)&amp;MID($J1880,6,2)&amp;RIGHT($J1880,2)&amp;$N1880&amp;"|"&amp;"2"&amp;RIGHT("00000"&amp;1875,5))</f>
        <v/>
      </c>
      <c r="L1880">
        <f>IF($K1880="","",COUNTIFS(LdgPartyA,$F1880,LdgKeyA,"&lt;"&amp;$K1880)+COUNTIFS(LdgPartyB,$F1880,LdgKeyB,"&lt;"&amp;$K1880)+1)</f>
        <v/>
      </c>
      <c r="M1880">
        <f>IF($L1880="","",$F1880&amp;"|"&amp;RIGHT("000000"&amp;$L1880,6))</f>
        <v/>
      </c>
      <c r="N1880">
        <f>IF($F1880="","",IF(Sync!$AH1880="","0000",IF(AND(ISNUMBER(Sync!$AH1880),Sync!$AH1880&gt;=0,Sync!$AH1880&lt;1),RIGHT("00"&amp;HOUR(Sync!$AH1880),2)&amp;RIGHT("00"&amp;MINUTE(Sync!$AH1880),2),IFERROR(RIGHT("00"&amp;VALUE(LEFT(Sync!$AH1880,FIND(":",Sync!$AH1880)-1)),2)&amp;RIGHT("00"&amp;VALUE(MID(Sync!$AH1880,FIND(":",Sync!$AH1880)+1,2)),2),"0000"))))</f>
        <v/>
      </c>
    </row>
    <row r="1881">
      <c r="A1881">
        <f>IF(OR(Calc!$E1884="",Calc!$E1884="نامعتبر",Calc!$G1884="",Calc!$I1884&lt;&gt;"خرید"),"",Calc!$G1884)</f>
        <v/>
      </c>
      <c r="B1881">
        <f>IF($A1881="","",LEFT(Calc!$E1884,4)&amp;MID(Calc!$E1884,6,2)&amp;RIGHT(Calc!$E1884,2)&amp;Calc!$R1884&amp;"|"&amp;"1"&amp;RIGHT("00000"&amp;1876,5))</f>
        <v/>
      </c>
      <c r="C1881">
        <f>IF($B1881="","",COUNTIFS(LdgPartyA,$A1881,LdgKeyA,"&lt;"&amp;$B1881)+COUNTIFS(LdgPartyB,$A1881,LdgKeyB,"&lt;"&amp;$B1881)+1)</f>
        <v/>
      </c>
      <c r="D1881">
        <f>IF($C1881="","",$A1881&amp;"|"&amp;RIGHT("000000"&amp;$C1881,6))</f>
        <v/>
      </c>
      <c r="F1881">
        <f>IF(Sync!$AJ1881="","",Sync!$AJ1881)</f>
        <v/>
      </c>
      <c r="G1881">
        <f>IF($F1881="","",IF(Sync!$AG1881="","",IF(ISNUMBER(Sync!$AG1881),IF(AND(Sync!$AG1881&gt;=10000101,Sync!$AG1881&lt;=99991231),INT(Sync!$AG1881/10000),""),IFERROR(VALUE(TRIM(LEFT(Sync!$AG1881,FIND("/",Sync!$AG1881)-1))),""))))</f>
        <v/>
      </c>
      <c r="H1881">
        <f>IF(OR($F1881="",$G1881=""),"",IF(ISNUMBER(Sync!$AG1881),INT(MOD(Sync!$AG1881,10000)/100),IFERROR(VALUE(TRIM(LEFT(MID(Sync!$AG1881,FIND("/",Sync!$AG1881)+1,20),FIND("/",MID(Sync!$AG1881,FIND("/",Sync!$AG1881)+1,20))-1))),"")))</f>
        <v/>
      </c>
      <c r="I1881">
        <f>IF(OR($F1881="",$G1881=""),"",IF(ISNUMBER(Sync!$AG1881),MOD(Sync!$AG1881,100),IFERROR(VALUE(TRIM(MID(MID(Sync!$AG1881,FIND("/",Sync!$AG1881)+1,20),FIND("/",MID(Sync!$AG1881,FIND("/",Sync!$AG1881)+1,20))+1,20))),"")))</f>
        <v/>
      </c>
      <c r="J1881">
        <f>IF($F1881="","",IF(OR($G1881="",$H1881="",$I1881="",$G1881&lt;1300,$G1881&gt;1500,$H1881&lt;1,$H1881&gt;12,$I1881&lt;1,$I1881&gt;31),"نامعتبر",RIGHT("0000"&amp;$G1881,4)&amp;"/"&amp;RIGHT("00"&amp;$H1881,2)&amp;"/"&amp;RIGHT("00"&amp;$I1881,2)))</f>
        <v/>
      </c>
      <c r="K1881">
        <f>IF(OR($F1881="",$J1881="",$J1881="نامعتبر"),"",LEFT($J1881,4)&amp;MID($J1881,6,2)&amp;RIGHT($J1881,2)&amp;$N1881&amp;"|"&amp;"2"&amp;RIGHT("00000"&amp;1876,5))</f>
        <v/>
      </c>
      <c r="L1881">
        <f>IF($K1881="","",COUNTIFS(LdgPartyA,$F1881,LdgKeyA,"&lt;"&amp;$K1881)+COUNTIFS(LdgPartyB,$F1881,LdgKeyB,"&lt;"&amp;$K1881)+1)</f>
        <v/>
      </c>
      <c r="M1881">
        <f>IF($L1881="","",$F1881&amp;"|"&amp;RIGHT("000000"&amp;$L1881,6))</f>
        <v/>
      </c>
      <c r="N1881">
        <f>IF($F1881="","",IF(Sync!$AH1881="","0000",IF(AND(ISNUMBER(Sync!$AH1881),Sync!$AH1881&gt;=0,Sync!$AH1881&lt;1),RIGHT("00"&amp;HOUR(Sync!$AH1881),2)&amp;RIGHT("00"&amp;MINUTE(Sync!$AH1881),2),IFERROR(RIGHT("00"&amp;VALUE(LEFT(Sync!$AH1881,FIND(":",Sync!$AH1881)-1)),2)&amp;RIGHT("00"&amp;VALUE(MID(Sync!$AH1881,FIND(":",Sync!$AH1881)+1,2)),2),"0000"))))</f>
        <v/>
      </c>
    </row>
    <row r="1882">
      <c r="A1882">
        <f>IF(OR(Calc!$E1885="",Calc!$E1885="نامعتبر",Calc!$G1885="",Calc!$I1885&lt;&gt;"خرید"),"",Calc!$G1885)</f>
        <v/>
      </c>
      <c r="B1882">
        <f>IF($A1882="","",LEFT(Calc!$E1885,4)&amp;MID(Calc!$E1885,6,2)&amp;RIGHT(Calc!$E1885,2)&amp;Calc!$R1885&amp;"|"&amp;"1"&amp;RIGHT("00000"&amp;1877,5))</f>
        <v/>
      </c>
      <c r="C1882">
        <f>IF($B1882="","",COUNTIFS(LdgPartyA,$A1882,LdgKeyA,"&lt;"&amp;$B1882)+COUNTIFS(LdgPartyB,$A1882,LdgKeyB,"&lt;"&amp;$B1882)+1)</f>
        <v/>
      </c>
      <c r="D1882">
        <f>IF($C1882="","",$A1882&amp;"|"&amp;RIGHT("000000"&amp;$C1882,6))</f>
        <v/>
      </c>
      <c r="F1882">
        <f>IF(Sync!$AJ1882="","",Sync!$AJ1882)</f>
        <v/>
      </c>
      <c r="G1882">
        <f>IF($F1882="","",IF(Sync!$AG1882="","",IF(ISNUMBER(Sync!$AG1882),IF(AND(Sync!$AG1882&gt;=10000101,Sync!$AG1882&lt;=99991231),INT(Sync!$AG1882/10000),""),IFERROR(VALUE(TRIM(LEFT(Sync!$AG1882,FIND("/",Sync!$AG1882)-1))),""))))</f>
        <v/>
      </c>
      <c r="H1882">
        <f>IF(OR($F1882="",$G1882=""),"",IF(ISNUMBER(Sync!$AG1882),INT(MOD(Sync!$AG1882,10000)/100),IFERROR(VALUE(TRIM(LEFT(MID(Sync!$AG1882,FIND("/",Sync!$AG1882)+1,20),FIND("/",MID(Sync!$AG1882,FIND("/",Sync!$AG1882)+1,20))-1))),"")))</f>
        <v/>
      </c>
      <c r="I1882">
        <f>IF(OR($F1882="",$G1882=""),"",IF(ISNUMBER(Sync!$AG1882),MOD(Sync!$AG1882,100),IFERROR(VALUE(TRIM(MID(MID(Sync!$AG1882,FIND("/",Sync!$AG1882)+1,20),FIND("/",MID(Sync!$AG1882,FIND("/",Sync!$AG1882)+1,20))+1,20))),"")))</f>
        <v/>
      </c>
      <c r="J1882">
        <f>IF($F1882="","",IF(OR($G1882="",$H1882="",$I1882="",$G1882&lt;1300,$G1882&gt;1500,$H1882&lt;1,$H1882&gt;12,$I1882&lt;1,$I1882&gt;31),"نامعتبر",RIGHT("0000"&amp;$G1882,4)&amp;"/"&amp;RIGHT("00"&amp;$H1882,2)&amp;"/"&amp;RIGHT("00"&amp;$I1882,2)))</f>
        <v/>
      </c>
      <c r="K1882">
        <f>IF(OR($F1882="",$J1882="",$J1882="نامعتبر"),"",LEFT($J1882,4)&amp;MID($J1882,6,2)&amp;RIGHT($J1882,2)&amp;$N1882&amp;"|"&amp;"2"&amp;RIGHT("00000"&amp;1877,5))</f>
        <v/>
      </c>
      <c r="L1882">
        <f>IF($K1882="","",COUNTIFS(LdgPartyA,$F1882,LdgKeyA,"&lt;"&amp;$K1882)+COUNTIFS(LdgPartyB,$F1882,LdgKeyB,"&lt;"&amp;$K1882)+1)</f>
        <v/>
      </c>
      <c r="M1882">
        <f>IF($L1882="","",$F1882&amp;"|"&amp;RIGHT("000000"&amp;$L1882,6))</f>
        <v/>
      </c>
      <c r="N1882">
        <f>IF($F1882="","",IF(Sync!$AH1882="","0000",IF(AND(ISNUMBER(Sync!$AH1882),Sync!$AH1882&gt;=0,Sync!$AH1882&lt;1),RIGHT("00"&amp;HOUR(Sync!$AH1882),2)&amp;RIGHT("00"&amp;MINUTE(Sync!$AH1882),2),IFERROR(RIGHT("00"&amp;VALUE(LEFT(Sync!$AH1882,FIND(":",Sync!$AH1882)-1)),2)&amp;RIGHT("00"&amp;VALUE(MID(Sync!$AH1882,FIND(":",Sync!$AH1882)+1,2)),2),"0000"))))</f>
        <v/>
      </c>
    </row>
    <row r="1883">
      <c r="A1883">
        <f>IF(OR(Calc!$E1886="",Calc!$E1886="نامعتبر",Calc!$G1886="",Calc!$I1886&lt;&gt;"خرید"),"",Calc!$G1886)</f>
        <v/>
      </c>
      <c r="B1883">
        <f>IF($A1883="","",LEFT(Calc!$E1886,4)&amp;MID(Calc!$E1886,6,2)&amp;RIGHT(Calc!$E1886,2)&amp;Calc!$R1886&amp;"|"&amp;"1"&amp;RIGHT("00000"&amp;1878,5))</f>
        <v/>
      </c>
      <c r="C1883">
        <f>IF($B1883="","",COUNTIFS(LdgPartyA,$A1883,LdgKeyA,"&lt;"&amp;$B1883)+COUNTIFS(LdgPartyB,$A1883,LdgKeyB,"&lt;"&amp;$B1883)+1)</f>
        <v/>
      </c>
      <c r="D1883">
        <f>IF($C1883="","",$A1883&amp;"|"&amp;RIGHT("000000"&amp;$C1883,6))</f>
        <v/>
      </c>
      <c r="F1883">
        <f>IF(Sync!$AJ1883="","",Sync!$AJ1883)</f>
        <v/>
      </c>
      <c r="G1883">
        <f>IF($F1883="","",IF(Sync!$AG1883="","",IF(ISNUMBER(Sync!$AG1883),IF(AND(Sync!$AG1883&gt;=10000101,Sync!$AG1883&lt;=99991231),INT(Sync!$AG1883/10000),""),IFERROR(VALUE(TRIM(LEFT(Sync!$AG1883,FIND("/",Sync!$AG1883)-1))),""))))</f>
        <v/>
      </c>
      <c r="H1883">
        <f>IF(OR($F1883="",$G1883=""),"",IF(ISNUMBER(Sync!$AG1883),INT(MOD(Sync!$AG1883,10000)/100),IFERROR(VALUE(TRIM(LEFT(MID(Sync!$AG1883,FIND("/",Sync!$AG1883)+1,20),FIND("/",MID(Sync!$AG1883,FIND("/",Sync!$AG1883)+1,20))-1))),"")))</f>
        <v/>
      </c>
      <c r="I1883">
        <f>IF(OR($F1883="",$G1883=""),"",IF(ISNUMBER(Sync!$AG1883),MOD(Sync!$AG1883,100),IFERROR(VALUE(TRIM(MID(MID(Sync!$AG1883,FIND("/",Sync!$AG1883)+1,20),FIND("/",MID(Sync!$AG1883,FIND("/",Sync!$AG1883)+1,20))+1,20))),"")))</f>
        <v/>
      </c>
      <c r="J1883">
        <f>IF($F1883="","",IF(OR($G1883="",$H1883="",$I1883="",$G1883&lt;1300,$G1883&gt;1500,$H1883&lt;1,$H1883&gt;12,$I1883&lt;1,$I1883&gt;31),"نامعتبر",RIGHT("0000"&amp;$G1883,4)&amp;"/"&amp;RIGHT("00"&amp;$H1883,2)&amp;"/"&amp;RIGHT("00"&amp;$I1883,2)))</f>
        <v/>
      </c>
      <c r="K1883">
        <f>IF(OR($F1883="",$J1883="",$J1883="نامعتبر"),"",LEFT($J1883,4)&amp;MID($J1883,6,2)&amp;RIGHT($J1883,2)&amp;$N1883&amp;"|"&amp;"2"&amp;RIGHT("00000"&amp;1878,5))</f>
        <v/>
      </c>
      <c r="L1883">
        <f>IF($K1883="","",COUNTIFS(LdgPartyA,$F1883,LdgKeyA,"&lt;"&amp;$K1883)+COUNTIFS(LdgPartyB,$F1883,LdgKeyB,"&lt;"&amp;$K1883)+1)</f>
        <v/>
      </c>
      <c r="M1883">
        <f>IF($L1883="","",$F1883&amp;"|"&amp;RIGHT("000000"&amp;$L1883,6))</f>
        <v/>
      </c>
      <c r="N1883">
        <f>IF($F1883="","",IF(Sync!$AH1883="","0000",IF(AND(ISNUMBER(Sync!$AH1883),Sync!$AH1883&gt;=0,Sync!$AH1883&lt;1),RIGHT("00"&amp;HOUR(Sync!$AH1883),2)&amp;RIGHT("00"&amp;MINUTE(Sync!$AH1883),2),IFERROR(RIGHT("00"&amp;VALUE(LEFT(Sync!$AH1883,FIND(":",Sync!$AH1883)-1)),2)&amp;RIGHT("00"&amp;VALUE(MID(Sync!$AH1883,FIND(":",Sync!$AH1883)+1,2)),2),"0000"))))</f>
        <v/>
      </c>
    </row>
    <row r="1884">
      <c r="A1884">
        <f>IF(OR(Calc!$E1887="",Calc!$E1887="نامعتبر",Calc!$G1887="",Calc!$I1887&lt;&gt;"خرید"),"",Calc!$G1887)</f>
        <v/>
      </c>
      <c r="B1884">
        <f>IF($A1884="","",LEFT(Calc!$E1887,4)&amp;MID(Calc!$E1887,6,2)&amp;RIGHT(Calc!$E1887,2)&amp;Calc!$R1887&amp;"|"&amp;"1"&amp;RIGHT("00000"&amp;1879,5))</f>
        <v/>
      </c>
      <c r="C1884">
        <f>IF($B1884="","",COUNTIFS(LdgPartyA,$A1884,LdgKeyA,"&lt;"&amp;$B1884)+COUNTIFS(LdgPartyB,$A1884,LdgKeyB,"&lt;"&amp;$B1884)+1)</f>
        <v/>
      </c>
      <c r="D1884">
        <f>IF($C1884="","",$A1884&amp;"|"&amp;RIGHT("000000"&amp;$C1884,6))</f>
        <v/>
      </c>
      <c r="F1884">
        <f>IF(Sync!$AJ1884="","",Sync!$AJ1884)</f>
        <v/>
      </c>
      <c r="G1884">
        <f>IF($F1884="","",IF(Sync!$AG1884="","",IF(ISNUMBER(Sync!$AG1884),IF(AND(Sync!$AG1884&gt;=10000101,Sync!$AG1884&lt;=99991231),INT(Sync!$AG1884/10000),""),IFERROR(VALUE(TRIM(LEFT(Sync!$AG1884,FIND("/",Sync!$AG1884)-1))),""))))</f>
        <v/>
      </c>
      <c r="H1884">
        <f>IF(OR($F1884="",$G1884=""),"",IF(ISNUMBER(Sync!$AG1884),INT(MOD(Sync!$AG1884,10000)/100),IFERROR(VALUE(TRIM(LEFT(MID(Sync!$AG1884,FIND("/",Sync!$AG1884)+1,20),FIND("/",MID(Sync!$AG1884,FIND("/",Sync!$AG1884)+1,20))-1))),"")))</f>
        <v/>
      </c>
      <c r="I1884">
        <f>IF(OR($F1884="",$G1884=""),"",IF(ISNUMBER(Sync!$AG1884),MOD(Sync!$AG1884,100),IFERROR(VALUE(TRIM(MID(MID(Sync!$AG1884,FIND("/",Sync!$AG1884)+1,20),FIND("/",MID(Sync!$AG1884,FIND("/",Sync!$AG1884)+1,20))+1,20))),"")))</f>
        <v/>
      </c>
      <c r="J1884">
        <f>IF($F1884="","",IF(OR($G1884="",$H1884="",$I1884="",$G1884&lt;1300,$G1884&gt;1500,$H1884&lt;1,$H1884&gt;12,$I1884&lt;1,$I1884&gt;31),"نامعتبر",RIGHT("0000"&amp;$G1884,4)&amp;"/"&amp;RIGHT("00"&amp;$H1884,2)&amp;"/"&amp;RIGHT("00"&amp;$I1884,2)))</f>
        <v/>
      </c>
      <c r="K1884">
        <f>IF(OR($F1884="",$J1884="",$J1884="نامعتبر"),"",LEFT($J1884,4)&amp;MID($J1884,6,2)&amp;RIGHT($J1884,2)&amp;$N1884&amp;"|"&amp;"2"&amp;RIGHT("00000"&amp;1879,5))</f>
        <v/>
      </c>
      <c r="L1884">
        <f>IF($K1884="","",COUNTIFS(LdgPartyA,$F1884,LdgKeyA,"&lt;"&amp;$K1884)+COUNTIFS(LdgPartyB,$F1884,LdgKeyB,"&lt;"&amp;$K1884)+1)</f>
        <v/>
      </c>
      <c r="M1884">
        <f>IF($L1884="","",$F1884&amp;"|"&amp;RIGHT("000000"&amp;$L1884,6))</f>
        <v/>
      </c>
      <c r="N1884">
        <f>IF($F1884="","",IF(Sync!$AH1884="","0000",IF(AND(ISNUMBER(Sync!$AH1884),Sync!$AH1884&gt;=0,Sync!$AH1884&lt;1),RIGHT("00"&amp;HOUR(Sync!$AH1884),2)&amp;RIGHT("00"&amp;MINUTE(Sync!$AH1884),2),IFERROR(RIGHT("00"&amp;VALUE(LEFT(Sync!$AH1884,FIND(":",Sync!$AH1884)-1)),2)&amp;RIGHT("00"&amp;VALUE(MID(Sync!$AH1884,FIND(":",Sync!$AH1884)+1,2)),2),"0000"))))</f>
        <v/>
      </c>
    </row>
    <row r="1885">
      <c r="A1885">
        <f>IF(OR(Calc!$E1888="",Calc!$E1888="نامعتبر",Calc!$G1888="",Calc!$I1888&lt;&gt;"خرید"),"",Calc!$G1888)</f>
        <v/>
      </c>
      <c r="B1885">
        <f>IF($A1885="","",LEFT(Calc!$E1888,4)&amp;MID(Calc!$E1888,6,2)&amp;RIGHT(Calc!$E1888,2)&amp;Calc!$R1888&amp;"|"&amp;"1"&amp;RIGHT("00000"&amp;1880,5))</f>
        <v/>
      </c>
      <c r="C1885">
        <f>IF($B1885="","",COUNTIFS(LdgPartyA,$A1885,LdgKeyA,"&lt;"&amp;$B1885)+COUNTIFS(LdgPartyB,$A1885,LdgKeyB,"&lt;"&amp;$B1885)+1)</f>
        <v/>
      </c>
      <c r="D1885">
        <f>IF($C1885="","",$A1885&amp;"|"&amp;RIGHT("000000"&amp;$C1885,6))</f>
        <v/>
      </c>
      <c r="F1885">
        <f>IF(Sync!$AJ1885="","",Sync!$AJ1885)</f>
        <v/>
      </c>
      <c r="G1885">
        <f>IF($F1885="","",IF(Sync!$AG1885="","",IF(ISNUMBER(Sync!$AG1885),IF(AND(Sync!$AG1885&gt;=10000101,Sync!$AG1885&lt;=99991231),INT(Sync!$AG1885/10000),""),IFERROR(VALUE(TRIM(LEFT(Sync!$AG1885,FIND("/",Sync!$AG1885)-1))),""))))</f>
        <v/>
      </c>
      <c r="H1885">
        <f>IF(OR($F1885="",$G1885=""),"",IF(ISNUMBER(Sync!$AG1885),INT(MOD(Sync!$AG1885,10000)/100),IFERROR(VALUE(TRIM(LEFT(MID(Sync!$AG1885,FIND("/",Sync!$AG1885)+1,20),FIND("/",MID(Sync!$AG1885,FIND("/",Sync!$AG1885)+1,20))-1))),"")))</f>
        <v/>
      </c>
      <c r="I1885">
        <f>IF(OR($F1885="",$G1885=""),"",IF(ISNUMBER(Sync!$AG1885),MOD(Sync!$AG1885,100),IFERROR(VALUE(TRIM(MID(MID(Sync!$AG1885,FIND("/",Sync!$AG1885)+1,20),FIND("/",MID(Sync!$AG1885,FIND("/",Sync!$AG1885)+1,20))+1,20))),"")))</f>
        <v/>
      </c>
      <c r="J1885">
        <f>IF($F1885="","",IF(OR($G1885="",$H1885="",$I1885="",$G1885&lt;1300,$G1885&gt;1500,$H1885&lt;1,$H1885&gt;12,$I1885&lt;1,$I1885&gt;31),"نامعتبر",RIGHT("0000"&amp;$G1885,4)&amp;"/"&amp;RIGHT("00"&amp;$H1885,2)&amp;"/"&amp;RIGHT("00"&amp;$I1885,2)))</f>
        <v/>
      </c>
      <c r="K1885">
        <f>IF(OR($F1885="",$J1885="",$J1885="نامعتبر"),"",LEFT($J1885,4)&amp;MID($J1885,6,2)&amp;RIGHT($J1885,2)&amp;$N1885&amp;"|"&amp;"2"&amp;RIGHT("00000"&amp;1880,5))</f>
        <v/>
      </c>
      <c r="L1885">
        <f>IF($K1885="","",COUNTIFS(LdgPartyA,$F1885,LdgKeyA,"&lt;"&amp;$K1885)+COUNTIFS(LdgPartyB,$F1885,LdgKeyB,"&lt;"&amp;$K1885)+1)</f>
        <v/>
      </c>
      <c r="M1885">
        <f>IF($L1885="","",$F1885&amp;"|"&amp;RIGHT("000000"&amp;$L1885,6))</f>
        <v/>
      </c>
      <c r="N1885">
        <f>IF($F1885="","",IF(Sync!$AH1885="","0000",IF(AND(ISNUMBER(Sync!$AH1885),Sync!$AH1885&gt;=0,Sync!$AH1885&lt;1),RIGHT("00"&amp;HOUR(Sync!$AH1885),2)&amp;RIGHT("00"&amp;MINUTE(Sync!$AH1885),2),IFERROR(RIGHT("00"&amp;VALUE(LEFT(Sync!$AH1885,FIND(":",Sync!$AH1885)-1)),2)&amp;RIGHT("00"&amp;VALUE(MID(Sync!$AH1885,FIND(":",Sync!$AH1885)+1,2)),2),"0000"))))</f>
        <v/>
      </c>
    </row>
    <row r="1886">
      <c r="A1886">
        <f>IF(OR(Calc!$E1889="",Calc!$E1889="نامعتبر",Calc!$G1889="",Calc!$I1889&lt;&gt;"خرید"),"",Calc!$G1889)</f>
        <v/>
      </c>
      <c r="B1886">
        <f>IF($A1886="","",LEFT(Calc!$E1889,4)&amp;MID(Calc!$E1889,6,2)&amp;RIGHT(Calc!$E1889,2)&amp;Calc!$R1889&amp;"|"&amp;"1"&amp;RIGHT("00000"&amp;1881,5))</f>
        <v/>
      </c>
      <c r="C1886">
        <f>IF($B1886="","",COUNTIFS(LdgPartyA,$A1886,LdgKeyA,"&lt;"&amp;$B1886)+COUNTIFS(LdgPartyB,$A1886,LdgKeyB,"&lt;"&amp;$B1886)+1)</f>
        <v/>
      </c>
      <c r="D1886">
        <f>IF($C1886="","",$A1886&amp;"|"&amp;RIGHT("000000"&amp;$C1886,6))</f>
        <v/>
      </c>
      <c r="F1886">
        <f>IF(Sync!$AJ1886="","",Sync!$AJ1886)</f>
        <v/>
      </c>
      <c r="G1886">
        <f>IF($F1886="","",IF(Sync!$AG1886="","",IF(ISNUMBER(Sync!$AG1886),IF(AND(Sync!$AG1886&gt;=10000101,Sync!$AG1886&lt;=99991231),INT(Sync!$AG1886/10000),""),IFERROR(VALUE(TRIM(LEFT(Sync!$AG1886,FIND("/",Sync!$AG1886)-1))),""))))</f>
        <v/>
      </c>
      <c r="H1886">
        <f>IF(OR($F1886="",$G1886=""),"",IF(ISNUMBER(Sync!$AG1886),INT(MOD(Sync!$AG1886,10000)/100),IFERROR(VALUE(TRIM(LEFT(MID(Sync!$AG1886,FIND("/",Sync!$AG1886)+1,20),FIND("/",MID(Sync!$AG1886,FIND("/",Sync!$AG1886)+1,20))-1))),"")))</f>
        <v/>
      </c>
      <c r="I1886">
        <f>IF(OR($F1886="",$G1886=""),"",IF(ISNUMBER(Sync!$AG1886),MOD(Sync!$AG1886,100),IFERROR(VALUE(TRIM(MID(MID(Sync!$AG1886,FIND("/",Sync!$AG1886)+1,20),FIND("/",MID(Sync!$AG1886,FIND("/",Sync!$AG1886)+1,20))+1,20))),"")))</f>
        <v/>
      </c>
      <c r="J1886">
        <f>IF($F1886="","",IF(OR($G1886="",$H1886="",$I1886="",$G1886&lt;1300,$G1886&gt;1500,$H1886&lt;1,$H1886&gt;12,$I1886&lt;1,$I1886&gt;31),"نامعتبر",RIGHT("0000"&amp;$G1886,4)&amp;"/"&amp;RIGHT("00"&amp;$H1886,2)&amp;"/"&amp;RIGHT("00"&amp;$I1886,2)))</f>
        <v/>
      </c>
      <c r="K1886">
        <f>IF(OR($F1886="",$J1886="",$J1886="نامعتبر"),"",LEFT($J1886,4)&amp;MID($J1886,6,2)&amp;RIGHT($J1886,2)&amp;$N1886&amp;"|"&amp;"2"&amp;RIGHT("00000"&amp;1881,5))</f>
        <v/>
      </c>
      <c r="L1886">
        <f>IF($K1886="","",COUNTIFS(LdgPartyA,$F1886,LdgKeyA,"&lt;"&amp;$K1886)+COUNTIFS(LdgPartyB,$F1886,LdgKeyB,"&lt;"&amp;$K1886)+1)</f>
        <v/>
      </c>
      <c r="M1886">
        <f>IF($L1886="","",$F1886&amp;"|"&amp;RIGHT("000000"&amp;$L1886,6))</f>
        <v/>
      </c>
      <c r="N1886">
        <f>IF($F1886="","",IF(Sync!$AH1886="","0000",IF(AND(ISNUMBER(Sync!$AH1886),Sync!$AH1886&gt;=0,Sync!$AH1886&lt;1),RIGHT("00"&amp;HOUR(Sync!$AH1886),2)&amp;RIGHT("00"&amp;MINUTE(Sync!$AH1886),2),IFERROR(RIGHT("00"&amp;VALUE(LEFT(Sync!$AH1886,FIND(":",Sync!$AH1886)-1)),2)&amp;RIGHT("00"&amp;VALUE(MID(Sync!$AH1886,FIND(":",Sync!$AH1886)+1,2)),2),"0000"))))</f>
        <v/>
      </c>
    </row>
    <row r="1887">
      <c r="A1887">
        <f>IF(OR(Calc!$E1890="",Calc!$E1890="نامعتبر",Calc!$G1890="",Calc!$I1890&lt;&gt;"خرید"),"",Calc!$G1890)</f>
        <v/>
      </c>
      <c r="B1887">
        <f>IF($A1887="","",LEFT(Calc!$E1890,4)&amp;MID(Calc!$E1890,6,2)&amp;RIGHT(Calc!$E1890,2)&amp;Calc!$R1890&amp;"|"&amp;"1"&amp;RIGHT("00000"&amp;1882,5))</f>
        <v/>
      </c>
      <c r="C1887">
        <f>IF($B1887="","",COUNTIFS(LdgPartyA,$A1887,LdgKeyA,"&lt;"&amp;$B1887)+COUNTIFS(LdgPartyB,$A1887,LdgKeyB,"&lt;"&amp;$B1887)+1)</f>
        <v/>
      </c>
      <c r="D1887">
        <f>IF($C1887="","",$A1887&amp;"|"&amp;RIGHT("000000"&amp;$C1887,6))</f>
        <v/>
      </c>
      <c r="F1887">
        <f>IF(Sync!$AJ1887="","",Sync!$AJ1887)</f>
        <v/>
      </c>
      <c r="G1887">
        <f>IF($F1887="","",IF(Sync!$AG1887="","",IF(ISNUMBER(Sync!$AG1887),IF(AND(Sync!$AG1887&gt;=10000101,Sync!$AG1887&lt;=99991231),INT(Sync!$AG1887/10000),""),IFERROR(VALUE(TRIM(LEFT(Sync!$AG1887,FIND("/",Sync!$AG1887)-1))),""))))</f>
        <v/>
      </c>
      <c r="H1887">
        <f>IF(OR($F1887="",$G1887=""),"",IF(ISNUMBER(Sync!$AG1887),INT(MOD(Sync!$AG1887,10000)/100),IFERROR(VALUE(TRIM(LEFT(MID(Sync!$AG1887,FIND("/",Sync!$AG1887)+1,20),FIND("/",MID(Sync!$AG1887,FIND("/",Sync!$AG1887)+1,20))-1))),"")))</f>
        <v/>
      </c>
      <c r="I1887">
        <f>IF(OR($F1887="",$G1887=""),"",IF(ISNUMBER(Sync!$AG1887),MOD(Sync!$AG1887,100),IFERROR(VALUE(TRIM(MID(MID(Sync!$AG1887,FIND("/",Sync!$AG1887)+1,20),FIND("/",MID(Sync!$AG1887,FIND("/",Sync!$AG1887)+1,20))+1,20))),"")))</f>
        <v/>
      </c>
      <c r="J1887">
        <f>IF($F1887="","",IF(OR($G1887="",$H1887="",$I1887="",$G1887&lt;1300,$G1887&gt;1500,$H1887&lt;1,$H1887&gt;12,$I1887&lt;1,$I1887&gt;31),"نامعتبر",RIGHT("0000"&amp;$G1887,4)&amp;"/"&amp;RIGHT("00"&amp;$H1887,2)&amp;"/"&amp;RIGHT("00"&amp;$I1887,2)))</f>
        <v/>
      </c>
      <c r="K1887">
        <f>IF(OR($F1887="",$J1887="",$J1887="نامعتبر"),"",LEFT($J1887,4)&amp;MID($J1887,6,2)&amp;RIGHT($J1887,2)&amp;$N1887&amp;"|"&amp;"2"&amp;RIGHT("00000"&amp;1882,5))</f>
        <v/>
      </c>
      <c r="L1887">
        <f>IF($K1887="","",COUNTIFS(LdgPartyA,$F1887,LdgKeyA,"&lt;"&amp;$K1887)+COUNTIFS(LdgPartyB,$F1887,LdgKeyB,"&lt;"&amp;$K1887)+1)</f>
        <v/>
      </c>
      <c r="M1887">
        <f>IF($L1887="","",$F1887&amp;"|"&amp;RIGHT("000000"&amp;$L1887,6))</f>
        <v/>
      </c>
      <c r="N1887">
        <f>IF($F1887="","",IF(Sync!$AH1887="","0000",IF(AND(ISNUMBER(Sync!$AH1887),Sync!$AH1887&gt;=0,Sync!$AH1887&lt;1),RIGHT("00"&amp;HOUR(Sync!$AH1887),2)&amp;RIGHT("00"&amp;MINUTE(Sync!$AH1887),2),IFERROR(RIGHT("00"&amp;VALUE(LEFT(Sync!$AH1887,FIND(":",Sync!$AH1887)-1)),2)&amp;RIGHT("00"&amp;VALUE(MID(Sync!$AH1887,FIND(":",Sync!$AH1887)+1,2)),2),"0000"))))</f>
        <v/>
      </c>
    </row>
    <row r="1888">
      <c r="A1888">
        <f>IF(OR(Calc!$E1891="",Calc!$E1891="نامعتبر",Calc!$G1891="",Calc!$I1891&lt;&gt;"خرید"),"",Calc!$G1891)</f>
        <v/>
      </c>
      <c r="B1888">
        <f>IF($A1888="","",LEFT(Calc!$E1891,4)&amp;MID(Calc!$E1891,6,2)&amp;RIGHT(Calc!$E1891,2)&amp;Calc!$R1891&amp;"|"&amp;"1"&amp;RIGHT("00000"&amp;1883,5))</f>
        <v/>
      </c>
      <c r="C1888">
        <f>IF($B1888="","",COUNTIFS(LdgPartyA,$A1888,LdgKeyA,"&lt;"&amp;$B1888)+COUNTIFS(LdgPartyB,$A1888,LdgKeyB,"&lt;"&amp;$B1888)+1)</f>
        <v/>
      </c>
      <c r="D1888">
        <f>IF($C1888="","",$A1888&amp;"|"&amp;RIGHT("000000"&amp;$C1888,6))</f>
        <v/>
      </c>
      <c r="F1888">
        <f>IF(Sync!$AJ1888="","",Sync!$AJ1888)</f>
        <v/>
      </c>
      <c r="G1888">
        <f>IF($F1888="","",IF(Sync!$AG1888="","",IF(ISNUMBER(Sync!$AG1888),IF(AND(Sync!$AG1888&gt;=10000101,Sync!$AG1888&lt;=99991231),INT(Sync!$AG1888/10000),""),IFERROR(VALUE(TRIM(LEFT(Sync!$AG1888,FIND("/",Sync!$AG1888)-1))),""))))</f>
        <v/>
      </c>
      <c r="H1888">
        <f>IF(OR($F1888="",$G1888=""),"",IF(ISNUMBER(Sync!$AG1888),INT(MOD(Sync!$AG1888,10000)/100),IFERROR(VALUE(TRIM(LEFT(MID(Sync!$AG1888,FIND("/",Sync!$AG1888)+1,20),FIND("/",MID(Sync!$AG1888,FIND("/",Sync!$AG1888)+1,20))-1))),"")))</f>
        <v/>
      </c>
      <c r="I1888">
        <f>IF(OR($F1888="",$G1888=""),"",IF(ISNUMBER(Sync!$AG1888),MOD(Sync!$AG1888,100),IFERROR(VALUE(TRIM(MID(MID(Sync!$AG1888,FIND("/",Sync!$AG1888)+1,20),FIND("/",MID(Sync!$AG1888,FIND("/",Sync!$AG1888)+1,20))+1,20))),"")))</f>
        <v/>
      </c>
      <c r="J1888">
        <f>IF($F1888="","",IF(OR($G1888="",$H1888="",$I1888="",$G1888&lt;1300,$G1888&gt;1500,$H1888&lt;1,$H1888&gt;12,$I1888&lt;1,$I1888&gt;31),"نامعتبر",RIGHT("0000"&amp;$G1888,4)&amp;"/"&amp;RIGHT("00"&amp;$H1888,2)&amp;"/"&amp;RIGHT("00"&amp;$I1888,2)))</f>
        <v/>
      </c>
      <c r="K1888">
        <f>IF(OR($F1888="",$J1888="",$J1888="نامعتبر"),"",LEFT($J1888,4)&amp;MID($J1888,6,2)&amp;RIGHT($J1888,2)&amp;$N1888&amp;"|"&amp;"2"&amp;RIGHT("00000"&amp;1883,5))</f>
        <v/>
      </c>
      <c r="L1888">
        <f>IF($K1888="","",COUNTIFS(LdgPartyA,$F1888,LdgKeyA,"&lt;"&amp;$K1888)+COUNTIFS(LdgPartyB,$F1888,LdgKeyB,"&lt;"&amp;$K1888)+1)</f>
        <v/>
      </c>
      <c r="M1888">
        <f>IF($L1888="","",$F1888&amp;"|"&amp;RIGHT("000000"&amp;$L1888,6))</f>
        <v/>
      </c>
      <c r="N1888">
        <f>IF($F1888="","",IF(Sync!$AH1888="","0000",IF(AND(ISNUMBER(Sync!$AH1888),Sync!$AH1888&gt;=0,Sync!$AH1888&lt;1),RIGHT("00"&amp;HOUR(Sync!$AH1888),2)&amp;RIGHT("00"&amp;MINUTE(Sync!$AH1888),2),IFERROR(RIGHT("00"&amp;VALUE(LEFT(Sync!$AH1888,FIND(":",Sync!$AH1888)-1)),2)&amp;RIGHT("00"&amp;VALUE(MID(Sync!$AH1888,FIND(":",Sync!$AH1888)+1,2)),2),"0000"))))</f>
        <v/>
      </c>
    </row>
    <row r="1889">
      <c r="A1889">
        <f>IF(OR(Calc!$E1892="",Calc!$E1892="نامعتبر",Calc!$G1892="",Calc!$I1892&lt;&gt;"خرید"),"",Calc!$G1892)</f>
        <v/>
      </c>
      <c r="B1889">
        <f>IF($A1889="","",LEFT(Calc!$E1892,4)&amp;MID(Calc!$E1892,6,2)&amp;RIGHT(Calc!$E1892,2)&amp;Calc!$R1892&amp;"|"&amp;"1"&amp;RIGHT("00000"&amp;1884,5))</f>
        <v/>
      </c>
      <c r="C1889">
        <f>IF($B1889="","",COUNTIFS(LdgPartyA,$A1889,LdgKeyA,"&lt;"&amp;$B1889)+COUNTIFS(LdgPartyB,$A1889,LdgKeyB,"&lt;"&amp;$B1889)+1)</f>
        <v/>
      </c>
      <c r="D1889">
        <f>IF($C1889="","",$A1889&amp;"|"&amp;RIGHT("000000"&amp;$C1889,6))</f>
        <v/>
      </c>
      <c r="F1889">
        <f>IF(Sync!$AJ1889="","",Sync!$AJ1889)</f>
        <v/>
      </c>
      <c r="G1889">
        <f>IF($F1889="","",IF(Sync!$AG1889="","",IF(ISNUMBER(Sync!$AG1889),IF(AND(Sync!$AG1889&gt;=10000101,Sync!$AG1889&lt;=99991231),INT(Sync!$AG1889/10000),""),IFERROR(VALUE(TRIM(LEFT(Sync!$AG1889,FIND("/",Sync!$AG1889)-1))),""))))</f>
        <v/>
      </c>
      <c r="H1889">
        <f>IF(OR($F1889="",$G1889=""),"",IF(ISNUMBER(Sync!$AG1889),INT(MOD(Sync!$AG1889,10000)/100),IFERROR(VALUE(TRIM(LEFT(MID(Sync!$AG1889,FIND("/",Sync!$AG1889)+1,20),FIND("/",MID(Sync!$AG1889,FIND("/",Sync!$AG1889)+1,20))-1))),"")))</f>
        <v/>
      </c>
      <c r="I1889">
        <f>IF(OR($F1889="",$G1889=""),"",IF(ISNUMBER(Sync!$AG1889),MOD(Sync!$AG1889,100),IFERROR(VALUE(TRIM(MID(MID(Sync!$AG1889,FIND("/",Sync!$AG1889)+1,20),FIND("/",MID(Sync!$AG1889,FIND("/",Sync!$AG1889)+1,20))+1,20))),"")))</f>
        <v/>
      </c>
      <c r="J1889">
        <f>IF($F1889="","",IF(OR($G1889="",$H1889="",$I1889="",$G1889&lt;1300,$G1889&gt;1500,$H1889&lt;1,$H1889&gt;12,$I1889&lt;1,$I1889&gt;31),"نامعتبر",RIGHT("0000"&amp;$G1889,4)&amp;"/"&amp;RIGHT("00"&amp;$H1889,2)&amp;"/"&amp;RIGHT("00"&amp;$I1889,2)))</f>
        <v/>
      </c>
      <c r="K1889">
        <f>IF(OR($F1889="",$J1889="",$J1889="نامعتبر"),"",LEFT($J1889,4)&amp;MID($J1889,6,2)&amp;RIGHT($J1889,2)&amp;$N1889&amp;"|"&amp;"2"&amp;RIGHT("00000"&amp;1884,5))</f>
        <v/>
      </c>
      <c r="L1889">
        <f>IF($K1889="","",COUNTIFS(LdgPartyA,$F1889,LdgKeyA,"&lt;"&amp;$K1889)+COUNTIFS(LdgPartyB,$F1889,LdgKeyB,"&lt;"&amp;$K1889)+1)</f>
        <v/>
      </c>
      <c r="M1889">
        <f>IF($L1889="","",$F1889&amp;"|"&amp;RIGHT("000000"&amp;$L1889,6))</f>
        <v/>
      </c>
      <c r="N1889">
        <f>IF($F1889="","",IF(Sync!$AH1889="","0000",IF(AND(ISNUMBER(Sync!$AH1889),Sync!$AH1889&gt;=0,Sync!$AH1889&lt;1),RIGHT("00"&amp;HOUR(Sync!$AH1889),2)&amp;RIGHT("00"&amp;MINUTE(Sync!$AH1889),2),IFERROR(RIGHT("00"&amp;VALUE(LEFT(Sync!$AH1889,FIND(":",Sync!$AH1889)-1)),2)&amp;RIGHT("00"&amp;VALUE(MID(Sync!$AH1889,FIND(":",Sync!$AH1889)+1,2)),2),"0000"))))</f>
        <v/>
      </c>
    </row>
    <row r="1890">
      <c r="A1890">
        <f>IF(OR(Calc!$E1893="",Calc!$E1893="نامعتبر",Calc!$G1893="",Calc!$I1893&lt;&gt;"خرید"),"",Calc!$G1893)</f>
        <v/>
      </c>
      <c r="B1890">
        <f>IF($A1890="","",LEFT(Calc!$E1893,4)&amp;MID(Calc!$E1893,6,2)&amp;RIGHT(Calc!$E1893,2)&amp;Calc!$R1893&amp;"|"&amp;"1"&amp;RIGHT("00000"&amp;1885,5))</f>
        <v/>
      </c>
      <c r="C1890">
        <f>IF($B1890="","",COUNTIFS(LdgPartyA,$A1890,LdgKeyA,"&lt;"&amp;$B1890)+COUNTIFS(LdgPartyB,$A1890,LdgKeyB,"&lt;"&amp;$B1890)+1)</f>
        <v/>
      </c>
      <c r="D1890">
        <f>IF($C1890="","",$A1890&amp;"|"&amp;RIGHT("000000"&amp;$C1890,6))</f>
        <v/>
      </c>
      <c r="F1890">
        <f>IF(Sync!$AJ1890="","",Sync!$AJ1890)</f>
        <v/>
      </c>
      <c r="G1890">
        <f>IF($F1890="","",IF(Sync!$AG1890="","",IF(ISNUMBER(Sync!$AG1890),IF(AND(Sync!$AG1890&gt;=10000101,Sync!$AG1890&lt;=99991231),INT(Sync!$AG1890/10000),""),IFERROR(VALUE(TRIM(LEFT(Sync!$AG1890,FIND("/",Sync!$AG1890)-1))),""))))</f>
        <v/>
      </c>
      <c r="H1890">
        <f>IF(OR($F1890="",$G1890=""),"",IF(ISNUMBER(Sync!$AG1890),INT(MOD(Sync!$AG1890,10000)/100),IFERROR(VALUE(TRIM(LEFT(MID(Sync!$AG1890,FIND("/",Sync!$AG1890)+1,20),FIND("/",MID(Sync!$AG1890,FIND("/",Sync!$AG1890)+1,20))-1))),"")))</f>
        <v/>
      </c>
      <c r="I1890">
        <f>IF(OR($F1890="",$G1890=""),"",IF(ISNUMBER(Sync!$AG1890),MOD(Sync!$AG1890,100),IFERROR(VALUE(TRIM(MID(MID(Sync!$AG1890,FIND("/",Sync!$AG1890)+1,20),FIND("/",MID(Sync!$AG1890,FIND("/",Sync!$AG1890)+1,20))+1,20))),"")))</f>
        <v/>
      </c>
      <c r="J1890">
        <f>IF($F1890="","",IF(OR($G1890="",$H1890="",$I1890="",$G1890&lt;1300,$G1890&gt;1500,$H1890&lt;1,$H1890&gt;12,$I1890&lt;1,$I1890&gt;31),"نامعتبر",RIGHT("0000"&amp;$G1890,4)&amp;"/"&amp;RIGHT("00"&amp;$H1890,2)&amp;"/"&amp;RIGHT("00"&amp;$I1890,2)))</f>
        <v/>
      </c>
      <c r="K1890">
        <f>IF(OR($F1890="",$J1890="",$J1890="نامعتبر"),"",LEFT($J1890,4)&amp;MID($J1890,6,2)&amp;RIGHT($J1890,2)&amp;$N1890&amp;"|"&amp;"2"&amp;RIGHT("00000"&amp;1885,5))</f>
        <v/>
      </c>
      <c r="L1890">
        <f>IF($K1890="","",COUNTIFS(LdgPartyA,$F1890,LdgKeyA,"&lt;"&amp;$K1890)+COUNTIFS(LdgPartyB,$F1890,LdgKeyB,"&lt;"&amp;$K1890)+1)</f>
        <v/>
      </c>
      <c r="M1890">
        <f>IF($L1890="","",$F1890&amp;"|"&amp;RIGHT("000000"&amp;$L1890,6))</f>
        <v/>
      </c>
      <c r="N1890">
        <f>IF($F1890="","",IF(Sync!$AH1890="","0000",IF(AND(ISNUMBER(Sync!$AH1890),Sync!$AH1890&gt;=0,Sync!$AH1890&lt;1),RIGHT("00"&amp;HOUR(Sync!$AH1890),2)&amp;RIGHT("00"&amp;MINUTE(Sync!$AH1890),2),IFERROR(RIGHT("00"&amp;VALUE(LEFT(Sync!$AH1890,FIND(":",Sync!$AH1890)-1)),2)&amp;RIGHT("00"&amp;VALUE(MID(Sync!$AH1890,FIND(":",Sync!$AH1890)+1,2)),2),"0000"))))</f>
        <v/>
      </c>
    </row>
    <row r="1891">
      <c r="A1891">
        <f>IF(OR(Calc!$E1894="",Calc!$E1894="نامعتبر",Calc!$G1894="",Calc!$I1894&lt;&gt;"خرید"),"",Calc!$G1894)</f>
        <v/>
      </c>
      <c r="B1891">
        <f>IF($A1891="","",LEFT(Calc!$E1894,4)&amp;MID(Calc!$E1894,6,2)&amp;RIGHT(Calc!$E1894,2)&amp;Calc!$R1894&amp;"|"&amp;"1"&amp;RIGHT("00000"&amp;1886,5))</f>
        <v/>
      </c>
      <c r="C1891">
        <f>IF($B1891="","",COUNTIFS(LdgPartyA,$A1891,LdgKeyA,"&lt;"&amp;$B1891)+COUNTIFS(LdgPartyB,$A1891,LdgKeyB,"&lt;"&amp;$B1891)+1)</f>
        <v/>
      </c>
      <c r="D1891">
        <f>IF($C1891="","",$A1891&amp;"|"&amp;RIGHT("000000"&amp;$C1891,6))</f>
        <v/>
      </c>
      <c r="F1891">
        <f>IF(Sync!$AJ1891="","",Sync!$AJ1891)</f>
        <v/>
      </c>
      <c r="G1891">
        <f>IF($F1891="","",IF(Sync!$AG1891="","",IF(ISNUMBER(Sync!$AG1891),IF(AND(Sync!$AG1891&gt;=10000101,Sync!$AG1891&lt;=99991231),INT(Sync!$AG1891/10000),""),IFERROR(VALUE(TRIM(LEFT(Sync!$AG1891,FIND("/",Sync!$AG1891)-1))),""))))</f>
        <v/>
      </c>
      <c r="H1891">
        <f>IF(OR($F1891="",$G1891=""),"",IF(ISNUMBER(Sync!$AG1891),INT(MOD(Sync!$AG1891,10000)/100),IFERROR(VALUE(TRIM(LEFT(MID(Sync!$AG1891,FIND("/",Sync!$AG1891)+1,20),FIND("/",MID(Sync!$AG1891,FIND("/",Sync!$AG1891)+1,20))-1))),"")))</f>
        <v/>
      </c>
      <c r="I1891">
        <f>IF(OR($F1891="",$G1891=""),"",IF(ISNUMBER(Sync!$AG1891),MOD(Sync!$AG1891,100),IFERROR(VALUE(TRIM(MID(MID(Sync!$AG1891,FIND("/",Sync!$AG1891)+1,20),FIND("/",MID(Sync!$AG1891,FIND("/",Sync!$AG1891)+1,20))+1,20))),"")))</f>
        <v/>
      </c>
      <c r="J1891">
        <f>IF($F1891="","",IF(OR($G1891="",$H1891="",$I1891="",$G1891&lt;1300,$G1891&gt;1500,$H1891&lt;1,$H1891&gt;12,$I1891&lt;1,$I1891&gt;31),"نامعتبر",RIGHT("0000"&amp;$G1891,4)&amp;"/"&amp;RIGHT("00"&amp;$H1891,2)&amp;"/"&amp;RIGHT("00"&amp;$I1891,2)))</f>
        <v/>
      </c>
      <c r="K1891">
        <f>IF(OR($F1891="",$J1891="",$J1891="نامعتبر"),"",LEFT($J1891,4)&amp;MID($J1891,6,2)&amp;RIGHT($J1891,2)&amp;$N1891&amp;"|"&amp;"2"&amp;RIGHT("00000"&amp;1886,5))</f>
        <v/>
      </c>
      <c r="L1891">
        <f>IF($K1891="","",COUNTIFS(LdgPartyA,$F1891,LdgKeyA,"&lt;"&amp;$K1891)+COUNTIFS(LdgPartyB,$F1891,LdgKeyB,"&lt;"&amp;$K1891)+1)</f>
        <v/>
      </c>
      <c r="M1891">
        <f>IF($L1891="","",$F1891&amp;"|"&amp;RIGHT("000000"&amp;$L1891,6))</f>
        <v/>
      </c>
      <c r="N1891">
        <f>IF($F1891="","",IF(Sync!$AH1891="","0000",IF(AND(ISNUMBER(Sync!$AH1891),Sync!$AH1891&gt;=0,Sync!$AH1891&lt;1),RIGHT("00"&amp;HOUR(Sync!$AH1891),2)&amp;RIGHT("00"&amp;MINUTE(Sync!$AH1891),2),IFERROR(RIGHT("00"&amp;VALUE(LEFT(Sync!$AH1891,FIND(":",Sync!$AH1891)-1)),2)&amp;RIGHT("00"&amp;VALUE(MID(Sync!$AH1891,FIND(":",Sync!$AH1891)+1,2)),2),"0000"))))</f>
        <v/>
      </c>
    </row>
    <row r="1892">
      <c r="A1892">
        <f>IF(OR(Calc!$E1895="",Calc!$E1895="نامعتبر",Calc!$G1895="",Calc!$I1895&lt;&gt;"خرید"),"",Calc!$G1895)</f>
        <v/>
      </c>
      <c r="B1892">
        <f>IF($A1892="","",LEFT(Calc!$E1895,4)&amp;MID(Calc!$E1895,6,2)&amp;RIGHT(Calc!$E1895,2)&amp;Calc!$R1895&amp;"|"&amp;"1"&amp;RIGHT("00000"&amp;1887,5))</f>
        <v/>
      </c>
      <c r="C1892">
        <f>IF($B1892="","",COUNTIFS(LdgPartyA,$A1892,LdgKeyA,"&lt;"&amp;$B1892)+COUNTIFS(LdgPartyB,$A1892,LdgKeyB,"&lt;"&amp;$B1892)+1)</f>
        <v/>
      </c>
      <c r="D1892">
        <f>IF($C1892="","",$A1892&amp;"|"&amp;RIGHT("000000"&amp;$C1892,6))</f>
        <v/>
      </c>
      <c r="F1892">
        <f>IF(Sync!$AJ1892="","",Sync!$AJ1892)</f>
        <v/>
      </c>
      <c r="G1892">
        <f>IF($F1892="","",IF(Sync!$AG1892="","",IF(ISNUMBER(Sync!$AG1892),IF(AND(Sync!$AG1892&gt;=10000101,Sync!$AG1892&lt;=99991231),INT(Sync!$AG1892/10000),""),IFERROR(VALUE(TRIM(LEFT(Sync!$AG1892,FIND("/",Sync!$AG1892)-1))),""))))</f>
        <v/>
      </c>
      <c r="H1892">
        <f>IF(OR($F1892="",$G1892=""),"",IF(ISNUMBER(Sync!$AG1892),INT(MOD(Sync!$AG1892,10000)/100),IFERROR(VALUE(TRIM(LEFT(MID(Sync!$AG1892,FIND("/",Sync!$AG1892)+1,20),FIND("/",MID(Sync!$AG1892,FIND("/",Sync!$AG1892)+1,20))-1))),"")))</f>
        <v/>
      </c>
      <c r="I1892">
        <f>IF(OR($F1892="",$G1892=""),"",IF(ISNUMBER(Sync!$AG1892),MOD(Sync!$AG1892,100),IFERROR(VALUE(TRIM(MID(MID(Sync!$AG1892,FIND("/",Sync!$AG1892)+1,20),FIND("/",MID(Sync!$AG1892,FIND("/",Sync!$AG1892)+1,20))+1,20))),"")))</f>
        <v/>
      </c>
      <c r="J1892">
        <f>IF($F1892="","",IF(OR($G1892="",$H1892="",$I1892="",$G1892&lt;1300,$G1892&gt;1500,$H1892&lt;1,$H1892&gt;12,$I1892&lt;1,$I1892&gt;31),"نامعتبر",RIGHT("0000"&amp;$G1892,4)&amp;"/"&amp;RIGHT("00"&amp;$H1892,2)&amp;"/"&amp;RIGHT("00"&amp;$I1892,2)))</f>
        <v/>
      </c>
      <c r="K1892">
        <f>IF(OR($F1892="",$J1892="",$J1892="نامعتبر"),"",LEFT($J1892,4)&amp;MID($J1892,6,2)&amp;RIGHT($J1892,2)&amp;$N1892&amp;"|"&amp;"2"&amp;RIGHT("00000"&amp;1887,5))</f>
        <v/>
      </c>
      <c r="L1892">
        <f>IF($K1892="","",COUNTIFS(LdgPartyA,$F1892,LdgKeyA,"&lt;"&amp;$K1892)+COUNTIFS(LdgPartyB,$F1892,LdgKeyB,"&lt;"&amp;$K1892)+1)</f>
        <v/>
      </c>
      <c r="M1892">
        <f>IF($L1892="","",$F1892&amp;"|"&amp;RIGHT("000000"&amp;$L1892,6))</f>
        <v/>
      </c>
      <c r="N1892">
        <f>IF($F1892="","",IF(Sync!$AH1892="","0000",IF(AND(ISNUMBER(Sync!$AH1892),Sync!$AH1892&gt;=0,Sync!$AH1892&lt;1),RIGHT("00"&amp;HOUR(Sync!$AH1892),2)&amp;RIGHT("00"&amp;MINUTE(Sync!$AH1892),2),IFERROR(RIGHT("00"&amp;VALUE(LEFT(Sync!$AH1892,FIND(":",Sync!$AH1892)-1)),2)&amp;RIGHT("00"&amp;VALUE(MID(Sync!$AH1892,FIND(":",Sync!$AH1892)+1,2)),2),"0000"))))</f>
        <v/>
      </c>
    </row>
    <row r="1893">
      <c r="A1893">
        <f>IF(OR(Calc!$E1896="",Calc!$E1896="نامعتبر",Calc!$G1896="",Calc!$I1896&lt;&gt;"خرید"),"",Calc!$G1896)</f>
        <v/>
      </c>
      <c r="B1893">
        <f>IF($A1893="","",LEFT(Calc!$E1896,4)&amp;MID(Calc!$E1896,6,2)&amp;RIGHT(Calc!$E1896,2)&amp;Calc!$R1896&amp;"|"&amp;"1"&amp;RIGHT("00000"&amp;1888,5))</f>
        <v/>
      </c>
      <c r="C1893">
        <f>IF($B1893="","",COUNTIFS(LdgPartyA,$A1893,LdgKeyA,"&lt;"&amp;$B1893)+COUNTIFS(LdgPartyB,$A1893,LdgKeyB,"&lt;"&amp;$B1893)+1)</f>
        <v/>
      </c>
      <c r="D1893">
        <f>IF($C1893="","",$A1893&amp;"|"&amp;RIGHT("000000"&amp;$C1893,6))</f>
        <v/>
      </c>
      <c r="F1893">
        <f>IF(Sync!$AJ1893="","",Sync!$AJ1893)</f>
        <v/>
      </c>
      <c r="G1893">
        <f>IF($F1893="","",IF(Sync!$AG1893="","",IF(ISNUMBER(Sync!$AG1893),IF(AND(Sync!$AG1893&gt;=10000101,Sync!$AG1893&lt;=99991231),INT(Sync!$AG1893/10000),""),IFERROR(VALUE(TRIM(LEFT(Sync!$AG1893,FIND("/",Sync!$AG1893)-1))),""))))</f>
        <v/>
      </c>
      <c r="H1893">
        <f>IF(OR($F1893="",$G1893=""),"",IF(ISNUMBER(Sync!$AG1893),INT(MOD(Sync!$AG1893,10000)/100),IFERROR(VALUE(TRIM(LEFT(MID(Sync!$AG1893,FIND("/",Sync!$AG1893)+1,20),FIND("/",MID(Sync!$AG1893,FIND("/",Sync!$AG1893)+1,20))-1))),"")))</f>
        <v/>
      </c>
      <c r="I1893">
        <f>IF(OR($F1893="",$G1893=""),"",IF(ISNUMBER(Sync!$AG1893),MOD(Sync!$AG1893,100),IFERROR(VALUE(TRIM(MID(MID(Sync!$AG1893,FIND("/",Sync!$AG1893)+1,20),FIND("/",MID(Sync!$AG1893,FIND("/",Sync!$AG1893)+1,20))+1,20))),"")))</f>
        <v/>
      </c>
      <c r="J1893">
        <f>IF($F1893="","",IF(OR($G1893="",$H1893="",$I1893="",$G1893&lt;1300,$G1893&gt;1500,$H1893&lt;1,$H1893&gt;12,$I1893&lt;1,$I1893&gt;31),"نامعتبر",RIGHT("0000"&amp;$G1893,4)&amp;"/"&amp;RIGHT("00"&amp;$H1893,2)&amp;"/"&amp;RIGHT("00"&amp;$I1893,2)))</f>
        <v/>
      </c>
      <c r="K1893">
        <f>IF(OR($F1893="",$J1893="",$J1893="نامعتبر"),"",LEFT($J1893,4)&amp;MID($J1893,6,2)&amp;RIGHT($J1893,2)&amp;$N1893&amp;"|"&amp;"2"&amp;RIGHT("00000"&amp;1888,5))</f>
        <v/>
      </c>
      <c r="L1893">
        <f>IF($K1893="","",COUNTIFS(LdgPartyA,$F1893,LdgKeyA,"&lt;"&amp;$K1893)+COUNTIFS(LdgPartyB,$F1893,LdgKeyB,"&lt;"&amp;$K1893)+1)</f>
        <v/>
      </c>
      <c r="M1893">
        <f>IF($L1893="","",$F1893&amp;"|"&amp;RIGHT("000000"&amp;$L1893,6))</f>
        <v/>
      </c>
      <c r="N1893">
        <f>IF($F1893="","",IF(Sync!$AH1893="","0000",IF(AND(ISNUMBER(Sync!$AH1893),Sync!$AH1893&gt;=0,Sync!$AH1893&lt;1),RIGHT("00"&amp;HOUR(Sync!$AH1893),2)&amp;RIGHT("00"&amp;MINUTE(Sync!$AH1893),2),IFERROR(RIGHT("00"&amp;VALUE(LEFT(Sync!$AH1893,FIND(":",Sync!$AH1893)-1)),2)&amp;RIGHT("00"&amp;VALUE(MID(Sync!$AH1893,FIND(":",Sync!$AH1893)+1,2)),2),"0000"))))</f>
        <v/>
      </c>
    </row>
    <row r="1894">
      <c r="A1894">
        <f>IF(OR(Calc!$E1897="",Calc!$E1897="نامعتبر",Calc!$G1897="",Calc!$I1897&lt;&gt;"خرید"),"",Calc!$G1897)</f>
        <v/>
      </c>
      <c r="B1894">
        <f>IF($A1894="","",LEFT(Calc!$E1897,4)&amp;MID(Calc!$E1897,6,2)&amp;RIGHT(Calc!$E1897,2)&amp;Calc!$R1897&amp;"|"&amp;"1"&amp;RIGHT("00000"&amp;1889,5))</f>
        <v/>
      </c>
      <c r="C1894">
        <f>IF($B1894="","",COUNTIFS(LdgPartyA,$A1894,LdgKeyA,"&lt;"&amp;$B1894)+COUNTIFS(LdgPartyB,$A1894,LdgKeyB,"&lt;"&amp;$B1894)+1)</f>
        <v/>
      </c>
      <c r="D1894">
        <f>IF($C1894="","",$A1894&amp;"|"&amp;RIGHT("000000"&amp;$C1894,6))</f>
        <v/>
      </c>
      <c r="F1894">
        <f>IF(Sync!$AJ1894="","",Sync!$AJ1894)</f>
        <v/>
      </c>
      <c r="G1894">
        <f>IF($F1894="","",IF(Sync!$AG1894="","",IF(ISNUMBER(Sync!$AG1894),IF(AND(Sync!$AG1894&gt;=10000101,Sync!$AG1894&lt;=99991231),INT(Sync!$AG1894/10000),""),IFERROR(VALUE(TRIM(LEFT(Sync!$AG1894,FIND("/",Sync!$AG1894)-1))),""))))</f>
        <v/>
      </c>
      <c r="H1894">
        <f>IF(OR($F1894="",$G1894=""),"",IF(ISNUMBER(Sync!$AG1894),INT(MOD(Sync!$AG1894,10000)/100),IFERROR(VALUE(TRIM(LEFT(MID(Sync!$AG1894,FIND("/",Sync!$AG1894)+1,20),FIND("/",MID(Sync!$AG1894,FIND("/",Sync!$AG1894)+1,20))-1))),"")))</f>
        <v/>
      </c>
      <c r="I1894">
        <f>IF(OR($F1894="",$G1894=""),"",IF(ISNUMBER(Sync!$AG1894),MOD(Sync!$AG1894,100),IFERROR(VALUE(TRIM(MID(MID(Sync!$AG1894,FIND("/",Sync!$AG1894)+1,20),FIND("/",MID(Sync!$AG1894,FIND("/",Sync!$AG1894)+1,20))+1,20))),"")))</f>
        <v/>
      </c>
      <c r="J1894">
        <f>IF($F1894="","",IF(OR($G1894="",$H1894="",$I1894="",$G1894&lt;1300,$G1894&gt;1500,$H1894&lt;1,$H1894&gt;12,$I1894&lt;1,$I1894&gt;31),"نامعتبر",RIGHT("0000"&amp;$G1894,4)&amp;"/"&amp;RIGHT("00"&amp;$H1894,2)&amp;"/"&amp;RIGHT("00"&amp;$I1894,2)))</f>
        <v/>
      </c>
      <c r="K1894">
        <f>IF(OR($F1894="",$J1894="",$J1894="نامعتبر"),"",LEFT($J1894,4)&amp;MID($J1894,6,2)&amp;RIGHT($J1894,2)&amp;$N1894&amp;"|"&amp;"2"&amp;RIGHT("00000"&amp;1889,5))</f>
        <v/>
      </c>
      <c r="L1894">
        <f>IF($K1894="","",COUNTIFS(LdgPartyA,$F1894,LdgKeyA,"&lt;"&amp;$K1894)+COUNTIFS(LdgPartyB,$F1894,LdgKeyB,"&lt;"&amp;$K1894)+1)</f>
        <v/>
      </c>
      <c r="M1894">
        <f>IF($L1894="","",$F1894&amp;"|"&amp;RIGHT("000000"&amp;$L1894,6))</f>
        <v/>
      </c>
      <c r="N1894">
        <f>IF($F1894="","",IF(Sync!$AH1894="","0000",IF(AND(ISNUMBER(Sync!$AH1894),Sync!$AH1894&gt;=0,Sync!$AH1894&lt;1),RIGHT("00"&amp;HOUR(Sync!$AH1894),2)&amp;RIGHT("00"&amp;MINUTE(Sync!$AH1894),2),IFERROR(RIGHT("00"&amp;VALUE(LEFT(Sync!$AH1894,FIND(":",Sync!$AH1894)-1)),2)&amp;RIGHT("00"&amp;VALUE(MID(Sync!$AH1894,FIND(":",Sync!$AH1894)+1,2)),2),"0000"))))</f>
        <v/>
      </c>
    </row>
    <row r="1895">
      <c r="A1895">
        <f>IF(OR(Calc!$E1898="",Calc!$E1898="نامعتبر",Calc!$G1898="",Calc!$I1898&lt;&gt;"خرید"),"",Calc!$G1898)</f>
        <v/>
      </c>
      <c r="B1895">
        <f>IF($A1895="","",LEFT(Calc!$E1898,4)&amp;MID(Calc!$E1898,6,2)&amp;RIGHT(Calc!$E1898,2)&amp;Calc!$R1898&amp;"|"&amp;"1"&amp;RIGHT("00000"&amp;1890,5))</f>
        <v/>
      </c>
      <c r="C1895">
        <f>IF($B1895="","",COUNTIFS(LdgPartyA,$A1895,LdgKeyA,"&lt;"&amp;$B1895)+COUNTIFS(LdgPartyB,$A1895,LdgKeyB,"&lt;"&amp;$B1895)+1)</f>
        <v/>
      </c>
      <c r="D1895">
        <f>IF($C1895="","",$A1895&amp;"|"&amp;RIGHT("000000"&amp;$C1895,6))</f>
        <v/>
      </c>
      <c r="F1895">
        <f>IF(Sync!$AJ1895="","",Sync!$AJ1895)</f>
        <v/>
      </c>
      <c r="G1895">
        <f>IF($F1895="","",IF(Sync!$AG1895="","",IF(ISNUMBER(Sync!$AG1895),IF(AND(Sync!$AG1895&gt;=10000101,Sync!$AG1895&lt;=99991231),INT(Sync!$AG1895/10000),""),IFERROR(VALUE(TRIM(LEFT(Sync!$AG1895,FIND("/",Sync!$AG1895)-1))),""))))</f>
        <v/>
      </c>
      <c r="H1895">
        <f>IF(OR($F1895="",$G1895=""),"",IF(ISNUMBER(Sync!$AG1895),INT(MOD(Sync!$AG1895,10000)/100),IFERROR(VALUE(TRIM(LEFT(MID(Sync!$AG1895,FIND("/",Sync!$AG1895)+1,20),FIND("/",MID(Sync!$AG1895,FIND("/",Sync!$AG1895)+1,20))-1))),"")))</f>
        <v/>
      </c>
      <c r="I1895">
        <f>IF(OR($F1895="",$G1895=""),"",IF(ISNUMBER(Sync!$AG1895),MOD(Sync!$AG1895,100),IFERROR(VALUE(TRIM(MID(MID(Sync!$AG1895,FIND("/",Sync!$AG1895)+1,20),FIND("/",MID(Sync!$AG1895,FIND("/",Sync!$AG1895)+1,20))+1,20))),"")))</f>
        <v/>
      </c>
      <c r="J1895">
        <f>IF($F1895="","",IF(OR($G1895="",$H1895="",$I1895="",$G1895&lt;1300,$G1895&gt;1500,$H1895&lt;1,$H1895&gt;12,$I1895&lt;1,$I1895&gt;31),"نامعتبر",RIGHT("0000"&amp;$G1895,4)&amp;"/"&amp;RIGHT("00"&amp;$H1895,2)&amp;"/"&amp;RIGHT("00"&amp;$I1895,2)))</f>
        <v/>
      </c>
      <c r="K1895">
        <f>IF(OR($F1895="",$J1895="",$J1895="نامعتبر"),"",LEFT($J1895,4)&amp;MID($J1895,6,2)&amp;RIGHT($J1895,2)&amp;$N1895&amp;"|"&amp;"2"&amp;RIGHT("00000"&amp;1890,5))</f>
        <v/>
      </c>
      <c r="L1895">
        <f>IF($K1895="","",COUNTIFS(LdgPartyA,$F1895,LdgKeyA,"&lt;"&amp;$K1895)+COUNTIFS(LdgPartyB,$F1895,LdgKeyB,"&lt;"&amp;$K1895)+1)</f>
        <v/>
      </c>
      <c r="M1895">
        <f>IF($L1895="","",$F1895&amp;"|"&amp;RIGHT("000000"&amp;$L1895,6))</f>
        <v/>
      </c>
      <c r="N1895">
        <f>IF($F1895="","",IF(Sync!$AH1895="","0000",IF(AND(ISNUMBER(Sync!$AH1895),Sync!$AH1895&gt;=0,Sync!$AH1895&lt;1),RIGHT("00"&amp;HOUR(Sync!$AH1895),2)&amp;RIGHT("00"&amp;MINUTE(Sync!$AH1895),2),IFERROR(RIGHT("00"&amp;VALUE(LEFT(Sync!$AH1895,FIND(":",Sync!$AH1895)-1)),2)&amp;RIGHT("00"&amp;VALUE(MID(Sync!$AH1895,FIND(":",Sync!$AH1895)+1,2)),2),"0000"))))</f>
        <v/>
      </c>
    </row>
    <row r="1896">
      <c r="A1896">
        <f>IF(OR(Calc!$E1899="",Calc!$E1899="نامعتبر",Calc!$G1899="",Calc!$I1899&lt;&gt;"خرید"),"",Calc!$G1899)</f>
        <v/>
      </c>
      <c r="B1896">
        <f>IF($A1896="","",LEFT(Calc!$E1899,4)&amp;MID(Calc!$E1899,6,2)&amp;RIGHT(Calc!$E1899,2)&amp;Calc!$R1899&amp;"|"&amp;"1"&amp;RIGHT("00000"&amp;1891,5))</f>
        <v/>
      </c>
      <c r="C1896">
        <f>IF($B1896="","",COUNTIFS(LdgPartyA,$A1896,LdgKeyA,"&lt;"&amp;$B1896)+COUNTIFS(LdgPartyB,$A1896,LdgKeyB,"&lt;"&amp;$B1896)+1)</f>
        <v/>
      </c>
      <c r="D1896">
        <f>IF($C1896="","",$A1896&amp;"|"&amp;RIGHT("000000"&amp;$C1896,6))</f>
        <v/>
      </c>
      <c r="F1896">
        <f>IF(Sync!$AJ1896="","",Sync!$AJ1896)</f>
        <v/>
      </c>
      <c r="G1896">
        <f>IF($F1896="","",IF(Sync!$AG1896="","",IF(ISNUMBER(Sync!$AG1896),IF(AND(Sync!$AG1896&gt;=10000101,Sync!$AG1896&lt;=99991231),INT(Sync!$AG1896/10000),""),IFERROR(VALUE(TRIM(LEFT(Sync!$AG1896,FIND("/",Sync!$AG1896)-1))),""))))</f>
        <v/>
      </c>
      <c r="H1896">
        <f>IF(OR($F1896="",$G1896=""),"",IF(ISNUMBER(Sync!$AG1896),INT(MOD(Sync!$AG1896,10000)/100),IFERROR(VALUE(TRIM(LEFT(MID(Sync!$AG1896,FIND("/",Sync!$AG1896)+1,20),FIND("/",MID(Sync!$AG1896,FIND("/",Sync!$AG1896)+1,20))-1))),"")))</f>
        <v/>
      </c>
      <c r="I1896">
        <f>IF(OR($F1896="",$G1896=""),"",IF(ISNUMBER(Sync!$AG1896),MOD(Sync!$AG1896,100),IFERROR(VALUE(TRIM(MID(MID(Sync!$AG1896,FIND("/",Sync!$AG1896)+1,20),FIND("/",MID(Sync!$AG1896,FIND("/",Sync!$AG1896)+1,20))+1,20))),"")))</f>
        <v/>
      </c>
      <c r="J1896">
        <f>IF($F1896="","",IF(OR($G1896="",$H1896="",$I1896="",$G1896&lt;1300,$G1896&gt;1500,$H1896&lt;1,$H1896&gt;12,$I1896&lt;1,$I1896&gt;31),"نامعتبر",RIGHT("0000"&amp;$G1896,4)&amp;"/"&amp;RIGHT("00"&amp;$H1896,2)&amp;"/"&amp;RIGHT("00"&amp;$I1896,2)))</f>
        <v/>
      </c>
      <c r="K1896">
        <f>IF(OR($F1896="",$J1896="",$J1896="نامعتبر"),"",LEFT($J1896,4)&amp;MID($J1896,6,2)&amp;RIGHT($J1896,2)&amp;$N1896&amp;"|"&amp;"2"&amp;RIGHT("00000"&amp;1891,5))</f>
        <v/>
      </c>
      <c r="L1896">
        <f>IF($K1896="","",COUNTIFS(LdgPartyA,$F1896,LdgKeyA,"&lt;"&amp;$K1896)+COUNTIFS(LdgPartyB,$F1896,LdgKeyB,"&lt;"&amp;$K1896)+1)</f>
        <v/>
      </c>
      <c r="M1896">
        <f>IF($L1896="","",$F1896&amp;"|"&amp;RIGHT("000000"&amp;$L1896,6))</f>
        <v/>
      </c>
      <c r="N1896">
        <f>IF($F1896="","",IF(Sync!$AH1896="","0000",IF(AND(ISNUMBER(Sync!$AH1896),Sync!$AH1896&gt;=0,Sync!$AH1896&lt;1),RIGHT("00"&amp;HOUR(Sync!$AH1896),2)&amp;RIGHT("00"&amp;MINUTE(Sync!$AH1896),2),IFERROR(RIGHT("00"&amp;VALUE(LEFT(Sync!$AH1896,FIND(":",Sync!$AH1896)-1)),2)&amp;RIGHT("00"&amp;VALUE(MID(Sync!$AH1896,FIND(":",Sync!$AH1896)+1,2)),2),"0000"))))</f>
        <v/>
      </c>
    </row>
    <row r="1897">
      <c r="A1897">
        <f>IF(OR(Calc!$E1900="",Calc!$E1900="نامعتبر",Calc!$G1900="",Calc!$I1900&lt;&gt;"خرید"),"",Calc!$G1900)</f>
        <v/>
      </c>
      <c r="B1897">
        <f>IF($A1897="","",LEFT(Calc!$E1900,4)&amp;MID(Calc!$E1900,6,2)&amp;RIGHT(Calc!$E1900,2)&amp;Calc!$R1900&amp;"|"&amp;"1"&amp;RIGHT("00000"&amp;1892,5))</f>
        <v/>
      </c>
      <c r="C1897">
        <f>IF($B1897="","",COUNTIFS(LdgPartyA,$A1897,LdgKeyA,"&lt;"&amp;$B1897)+COUNTIFS(LdgPartyB,$A1897,LdgKeyB,"&lt;"&amp;$B1897)+1)</f>
        <v/>
      </c>
      <c r="D1897">
        <f>IF($C1897="","",$A1897&amp;"|"&amp;RIGHT("000000"&amp;$C1897,6))</f>
        <v/>
      </c>
      <c r="F1897">
        <f>IF(Sync!$AJ1897="","",Sync!$AJ1897)</f>
        <v/>
      </c>
      <c r="G1897">
        <f>IF($F1897="","",IF(Sync!$AG1897="","",IF(ISNUMBER(Sync!$AG1897),IF(AND(Sync!$AG1897&gt;=10000101,Sync!$AG1897&lt;=99991231),INT(Sync!$AG1897/10000),""),IFERROR(VALUE(TRIM(LEFT(Sync!$AG1897,FIND("/",Sync!$AG1897)-1))),""))))</f>
        <v/>
      </c>
      <c r="H1897">
        <f>IF(OR($F1897="",$G1897=""),"",IF(ISNUMBER(Sync!$AG1897),INT(MOD(Sync!$AG1897,10000)/100),IFERROR(VALUE(TRIM(LEFT(MID(Sync!$AG1897,FIND("/",Sync!$AG1897)+1,20),FIND("/",MID(Sync!$AG1897,FIND("/",Sync!$AG1897)+1,20))-1))),"")))</f>
        <v/>
      </c>
      <c r="I1897">
        <f>IF(OR($F1897="",$G1897=""),"",IF(ISNUMBER(Sync!$AG1897),MOD(Sync!$AG1897,100),IFERROR(VALUE(TRIM(MID(MID(Sync!$AG1897,FIND("/",Sync!$AG1897)+1,20),FIND("/",MID(Sync!$AG1897,FIND("/",Sync!$AG1897)+1,20))+1,20))),"")))</f>
        <v/>
      </c>
      <c r="J1897">
        <f>IF($F1897="","",IF(OR($G1897="",$H1897="",$I1897="",$G1897&lt;1300,$G1897&gt;1500,$H1897&lt;1,$H1897&gt;12,$I1897&lt;1,$I1897&gt;31),"نامعتبر",RIGHT("0000"&amp;$G1897,4)&amp;"/"&amp;RIGHT("00"&amp;$H1897,2)&amp;"/"&amp;RIGHT("00"&amp;$I1897,2)))</f>
        <v/>
      </c>
      <c r="K1897">
        <f>IF(OR($F1897="",$J1897="",$J1897="نامعتبر"),"",LEFT($J1897,4)&amp;MID($J1897,6,2)&amp;RIGHT($J1897,2)&amp;$N1897&amp;"|"&amp;"2"&amp;RIGHT("00000"&amp;1892,5))</f>
        <v/>
      </c>
      <c r="L1897">
        <f>IF($K1897="","",COUNTIFS(LdgPartyA,$F1897,LdgKeyA,"&lt;"&amp;$K1897)+COUNTIFS(LdgPartyB,$F1897,LdgKeyB,"&lt;"&amp;$K1897)+1)</f>
        <v/>
      </c>
      <c r="M1897">
        <f>IF($L1897="","",$F1897&amp;"|"&amp;RIGHT("000000"&amp;$L1897,6))</f>
        <v/>
      </c>
      <c r="N1897">
        <f>IF($F1897="","",IF(Sync!$AH1897="","0000",IF(AND(ISNUMBER(Sync!$AH1897),Sync!$AH1897&gt;=0,Sync!$AH1897&lt;1),RIGHT("00"&amp;HOUR(Sync!$AH1897),2)&amp;RIGHT("00"&amp;MINUTE(Sync!$AH1897),2),IFERROR(RIGHT("00"&amp;VALUE(LEFT(Sync!$AH1897,FIND(":",Sync!$AH1897)-1)),2)&amp;RIGHT("00"&amp;VALUE(MID(Sync!$AH1897,FIND(":",Sync!$AH1897)+1,2)),2),"0000"))))</f>
        <v/>
      </c>
    </row>
    <row r="1898">
      <c r="A1898">
        <f>IF(OR(Calc!$E1901="",Calc!$E1901="نامعتبر",Calc!$G1901="",Calc!$I1901&lt;&gt;"خرید"),"",Calc!$G1901)</f>
        <v/>
      </c>
      <c r="B1898">
        <f>IF($A1898="","",LEFT(Calc!$E1901,4)&amp;MID(Calc!$E1901,6,2)&amp;RIGHT(Calc!$E1901,2)&amp;Calc!$R1901&amp;"|"&amp;"1"&amp;RIGHT("00000"&amp;1893,5))</f>
        <v/>
      </c>
      <c r="C1898">
        <f>IF($B1898="","",COUNTIFS(LdgPartyA,$A1898,LdgKeyA,"&lt;"&amp;$B1898)+COUNTIFS(LdgPartyB,$A1898,LdgKeyB,"&lt;"&amp;$B1898)+1)</f>
        <v/>
      </c>
      <c r="D1898">
        <f>IF($C1898="","",$A1898&amp;"|"&amp;RIGHT("000000"&amp;$C1898,6))</f>
        <v/>
      </c>
      <c r="F1898">
        <f>IF(Sync!$AJ1898="","",Sync!$AJ1898)</f>
        <v/>
      </c>
      <c r="G1898">
        <f>IF($F1898="","",IF(Sync!$AG1898="","",IF(ISNUMBER(Sync!$AG1898),IF(AND(Sync!$AG1898&gt;=10000101,Sync!$AG1898&lt;=99991231),INT(Sync!$AG1898/10000),""),IFERROR(VALUE(TRIM(LEFT(Sync!$AG1898,FIND("/",Sync!$AG1898)-1))),""))))</f>
        <v/>
      </c>
      <c r="H1898">
        <f>IF(OR($F1898="",$G1898=""),"",IF(ISNUMBER(Sync!$AG1898),INT(MOD(Sync!$AG1898,10000)/100),IFERROR(VALUE(TRIM(LEFT(MID(Sync!$AG1898,FIND("/",Sync!$AG1898)+1,20),FIND("/",MID(Sync!$AG1898,FIND("/",Sync!$AG1898)+1,20))-1))),"")))</f>
        <v/>
      </c>
      <c r="I1898">
        <f>IF(OR($F1898="",$G1898=""),"",IF(ISNUMBER(Sync!$AG1898),MOD(Sync!$AG1898,100),IFERROR(VALUE(TRIM(MID(MID(Sync!$AG1898,FIND("/",Sync!$AG1898)+1,20),FIND("/",MID(Sync!$AG1898,FIND("/",Sync!$AG1898)+1,20))+1,20))),"")))</f>
        <v/>
      </c>
      <c r="J1898">
        <f>IF($F1898="","",IF(OR($G1898="",$H1898="",$I1898="",$G1898&lt;1300,$G1898&gt;1500,$H1898&lt;1,$H1898&gt;12,$I1898&lt;1,$I1898&gt;31),"نامعتبر",RIGHT("0000"&amp;$G1898,4)&amp;"/"&amp;RIGHT("00"&amp;$H1898,2)&amp;"/"&amp;RIGHT("00"&amp;$I1898,2)))</f>
        <v/>
      </c>
      <c r="K1898">
        <f>IF(OR($F1898="",$J1898="",$J1898="نامعتبر"),"",LEFT($J1898,4)&amp;MID($J1898,6,2)&amp;RIGHT($J1898,2)&amp;$N1898&amp;"|"&amp;"2"&amp;RIGHT("00000"&amp;1893,5))</f>
        <v/>
      </c>
      <c r="L1898">
        <f>IF($K1898="","",COUNTIFS(LdgPartyA,$F1898,LdgKeyA,"&lt;"&amp;$K1898)+COUNTIFS(LdgPartyB,$F1898,LdgKeyB,"&lt;"&amp;$K1898)+1)</f>
        <v/>
      </c>
      <c r="M1898">
        <f>IF($L1898="","",$F1898&amp;"|"&amp;RIGHT("000000"&amp;$L1898,6))</f>
        <v/>
      </c>
      <c r="N1898">
        <f>IF($F1898="","",IF(Sync!$AH1898="","0000",IF(AND(ISNUMBER(Sync!$AH1898),Sync!$AH1898&gt;=0,Sync!$AH1898&lt;1),RIGHT("00"&amp;HOUR(Sync!$AH1898),2)&amp;RIGHT("00"&amp;MINUTE(Sync!$AH1898),2),IFERROR(RIGHT("00"&amp;VALUE(LEFT(Sync!$AH1898,FIND(":",Sync!$AH1898)-1)),2)&amp;RIGHT("00"&amp;VALUE(MID(Sync!$AH1898,FIND(":",Sync!$AH1898)+1,2)),2),"0000"))))</f>
        <v/>
      </c>
    </row>
    <row r="1899">
      <c r="A1899">
        <f>IF(OR(Calc!$E1902="",Calc!$E1902="نامعتبر",Calc!$G1902="",Calc!$I1902&lt;&gt;"خرید"),"",Calc!$G1902)</f>
        <v/>
      </c>
      <c r="B1899">
        <f>IF($A1899="","",LEFT(Calc!$E1902,4)&amp;MID(Calc!$E1902,6,2)&amp;RIGHT(Calc!$E1902,2)&amp;Calc!$R1902&amp;"|"&amp;"1"&amp;RIGHT("00000"&amp;1894,5))</f>
        <v/>
      </c>
      <c r="C1899">
        <f>IF($B1899="","",COUNTIFS(LdgPartyA,$A1899,LdgKeyA,"&lt;"&amp;$B1899)+COUNTIFS(LdgPartyB,$A1899,LdgKeyB,"&lt;"&amp;$B1899)+1)</f>
        <v/>
      </c>
      <c r="D1899">
        <f>IF($C1899="","",$A1899&amp;"|"&amp;RIGHT("000000"&amp;$C1899,6))</f>
        <v/>
      </c>
      <c r="F1899">
        <f>IF(Sync!$AJ1899="","",Sync!$AJ1899)</f>
        <v/>
      </c>
      <c r="G1899">
        <f>IF($F1899="","",IF(Sync!$AG1899="","",IF(ISNUMBER(Sync!$AG1899),IF(AND(Sync!$AG1899&gt;=10000101,Sync!$AG1899&lt;=99991231),INT(Sync!$AG1899/10000),""),IFERROR(VALUE(TRIM(LEFT(Sync!$AG1899,FIND("/",Sync!$AG1899)-1))),""))))</f>
        <v/>
      </c>
      <c r="H1899">
        <f>IF(OR($F1899="",$G1899=""),"",IF(ISNUMBER(Sync!$AG1899),INT(MOD(Sync!$AG1899,10000)/100),IFERROR(VALUE(TRIM(LEFT(MID(Sync!$AG1899,FIND("/",Sync!$AG1899)+1,20),FIND("/",MID(Sync!$AG1899,FIND("/",Sync!$AG1899)+1,20))-1))),"")))</f>
        <v/>
      </c>
      <c r="I1899">
        <f>IF(OR($F1899="",$G1899=""),"",IF(ISNUMBER(Sync!$AG1899),MOD(Sync!$AG1899,100),IFERROR(VALUE(TRIM(MID(MID(Sync!$AG1899,FIND("/",Sync!$AG1899)+1,20),FIND("/",MID(Sync!$AG1899,FIND("/",Sync!$AG1899)+1,20))+1,20))),"")))</f>
        <v/>
      </c>
      <c r="J1899">
        <f>IF($F1899="","",IF(OR($G1899="",$H1899="",$I1899="",$G1899&lt;1300,$G1899&gt;1500,$H1899&lt;1,$H1899&gt;12,$I1899&lt;1,$I1899&gt;31),"نامعتبر",RIGHT("0000"&amp;$G1899,4)&amp;"/"&amp;RIGHT("00"&amp;$H1899,2)&amp;"/"&amp;RIGHT("00"&amp;$I1899,2)))</f>
        <v/>
      </c>
      <c r="K1899">
        <f>IF(OR($F1899="",$J1899="",$J1899="نامعتبر"),"",LEFT($J1899,4)&amp;MID($J1899,6,2)&amp;RIGHT($J1899,2)&amp;$N1899&amp;"|"&amp;"2"&amp;RIGHT("00000"&amp;1894,5))</f>
        <v/>
      </c>
      <c r="L1899">
        <f>IF($K1899="","",COUNTIFS(LdgPartyA,$F1899,LdgKeyA,"&lt;"&amp;$K1899)+COUNTIFS(LdgPartyB,$F1899,LdgKeyB,"&lt;"&amp;$K1899)+1)</f>
        <v/>
      </c>
      <c r="M1899">
        <f>IF($L1899="","",$F1899&amp;"|"&amp;RIGHT("000000"&amp;$L1899,6))</f>
        <v/>
      </c>
      <c r="N1899">
        <f>IF($F1899="","",IF(Sync!$AH1899="","0000",IF(AND(ISNUMBER(Sync!$AH1899),Sync!$AH1899&gt;=0,Sync!$AH1899&lt;1),RIGHT("00"&amp;HOUR(Sync!$AH1899),2)&amp;RIGHT("00"&amp;MINUTE(Sync!$AH1899),2),IFERROR(RIGHT("00"&amp;VALUE(LEFT(Sync!$AH1899,FIND(":",Sync!$AH1899)-1)),2)&amp;RIGHT("00"&amp;VALUE(MID(Sync!$AH1899,FIND(":",Sync!$AH1899)+1,2)),2),"0000"))))</f>
        <v/>
      </c>
    </row>
    <row r="1900">
      <c r="A1900">
        <f>IF(OR(Calc!$E1903="",Calc!$E1903="نامعتبر",Calc!$G1903="",Calc!$I1903&lt;&gt;"خرید"),"",Calc!$G1903)</f>
        <v/>
      </c>
      <c r="B1900">
        <f>IF($A1900="","",LEFT(Calc!$E1903,4)&amp;MID(Calc!$E1903,6,2)&amp;RIGHT(Calc!$E1903,2)&amp;Calc!$R1903&amp;"|"&amp;"1"&amp;RIGHT("00000"&amp;1895,5))</f>
        <v/>
      </c>
      <c r="C1900">
        <f>IF($B1900="","",COUNTIFS(LdgPartyA,$A1900,LdgKeyA,"&lt;"&amp;$B1900)+COUNTIFS(LdgPartyB,$A1900,LdgKeyB,"&lt;"&amp;$B1900)+1)</f>
        <v/>
      </c>
      <c r="D1900">
        <f>IF($C1900="","",$A1900&amp;"|"&amp;RIGHT("000000"&amp;$C1900,6))</f>
        <v/>
      </c>
      <c r="F1900">
        <f>IF(Sync!$AJ1900="","",Sync!$AJ1900)</f>
        <v/>
      </c>
      <c r="G1900">
        <f>IF($F1900="","",IF(Sync!$AG1900="","",IF(ISNUMBER(Sync!$AG1900),IF(AND(Sync!$AG1900&gt;=10000101,Sync!$AG1900&lt;=99991231),INT(Sync!$AG1900/10000),""),IFERROR(VALUE(TRIM(LEFT(Sync!$AG1900,FIND("/",Sync!$AG1900)-1))),""))))</f>
        <v/>
      </c>
      <c r="H1900">
        <f>IF(OR($F1900="",$G1900=""),"",IF(ISNUMBER(Sync!$AG1900),INT(MOD(Sync!$AG1900,10000)/100),IFERROR(VALUE(TRIM(LEFT(MID(Sync!$AG1900,FIND("/",Sync!$AG1900)+1,20),FIND("/",MID(Sync!$AG1900,FIND("/",Sync!$AG1900)+1,20))-1))),"")))</f>
        <v/>
      </c>
      <c r="I1900">
        <f>IF(OR($F1900="",$G1900=""),"",IF(ISNUMBER(Sync!$AG1900),MOD(Sync!$AG1900,100),IFERROR(VALUE(TRIM(MID(MID(Sync!$AG1900,FIND("/",Sync!$AG1900)+1,20),FIND("/",MID(Sync!$AG1900,FIND("/",Sync!$AG1900)+1,20))+1,20))),"")))</f>
        <v/>
      </c>
      <c r="J1900">
        <f>IF($F1900="","",IF(OR($G1900="",$H1900="",$I1900="",$G1900&lt;1300,$G1900&gt;1500,$H1900&lt;1,$H1900&gt;12,$I1900&lt;1,$I1900&gt;31),"نامعتبر",RIGHT("0000"&amp;$G1900,4)&amp;"/"&amp;RIGHT("00"&amp;$H1900,2)&amp;"/"&amp;RIGHT("00"&amp;$I1900,2)))</f>
        <v/>
      </c>
      <c r="K1900">
        <f>IF(OR($F1900="",$J1900="",$J1900="نامعتبر"),"",LEFT($J1900,4)&amp;MID($J1900,6,2)&amp;RIGHT($J1900,2)&amp;$N1900&amp;"|"&amp;"2"&amp;RIGHT("00000"&amp;1895,5))</f>
        <v/>
      </c>
      <c r="L1900">
        <f>IF($K1900="","",COUNTIFS(LdgPartyA,$F1900,LdgKeyA,"&lt;"&amp;$K1900)+COUNTIFS(LdgPartyB,$F1900,LdgKeyB,"&lt;"&amp;$K1900)+1)</f>
        <v/>
      </c>
      <c r="M1900">
        <f>IF($L1900="","",$F1900&amp;"|"&amp;RIGHT("000000"&amp;$L1900,6))</f>
        <v/>
      </c>
      <c r="N1900">
        <f>IF($F1900="","",IF(Sync!$AH1900="","0000",IF(AND(ISNUMBER(Sync!$AH1900),Sync!$AH1900&gt;=0,Sync!$AH1900&lt;1),RIGHT("00"&amp;HOUR(Sync!$AH1900),2)&amp;RIGHT("00"&amp;MINUTE(Sync!$AH1900),2),IFERROR(RIGHT("00"&amp;VALUE(LEFT(Sync!$AH1900,FIND(":",Sync!$AH1900)-1)),2)&amp;RIGHT("00"&amp;VALUE(MID(Sync!$AH1900,FIND(":",Sync!$AH1900)+1,2)),2),"0000"))))</f>
        <v/>
      </c>
    </row>
    <row r="1901">
      <c r="A1901">
        <f>IF(OR(Calc!$E1904="",Calc!$E1904="نامعتبر",Calc!$G1904="",Calc!$I1904&lt;&gt;"خرید"),"",Calc!$G1904)</f>
        <v/>
      </c>
      <c r="B1901">
        <f>IF($A1901="","",LEFT(Calc!$E1904,4)&amp;MID(Calc!$E1904,6,2)&amp;RIGHT(Calc!$E1904,2)&amp;Calc!$R1904&amp;"|"&amp;"1"&amp;RIGHT("00000"&amp;1896,5))</f>
        <v/>
      </c>
      <c r="C1901">
        <f>IF($B1901="","",COUNTIFS(LdgPartyA,$A1901,LdgKeyA,"&lt;"&amp;$B1901)+COUNTIFS(LdgPartyB,$A1901,LdgKeyB,"&lt;"&amp;$B1901)+1)</f>
        <v/>
      </c>
      <c r="D1901">
        <f>IF($C1901="","",$A1901&amp;"|"&amp;RIGHT("000000"&amp;$C1901,6))</f>
        <v/>
      </c>
      <c r="F1901">
        <f>IF(Sync!$AJ1901="","",Sync!$AJ1901)</f>
        <v/>
      </c>
      <c r="G1901">
        <f>IF($F1901="","",IF(Sync!$AG1901="","",IF(ISNUMBER(Sync!$AG1901),IF(AND(Sync!$AG1901&gt;=10000101,Sync!$AG1901&lt;=99991231),INT(Sync!$AG1901/10000),""),IFERROR(VALUE(TRIM(LEFT(Sync!$AG1901,FIND("/",Sync!$AG1901)-1))),""))))</f>
        <v/>
      </c>
      <c r="H1901">
        <f>IF(OR($F1901="",$G1901=""),"",IF(ISNUMBER(Sync!$AG1901),INT(MOD(Sync!$AG1901,10000)/100),IFERROR(VALUE(TRIM(LEFT(MID(Sync!$AG1901,FIND("/",Sync!$AG1901)+1,20),FIND("/",MID(Sync!$AG1901,FIND("/",Sync!$AG1901)+1,20))-1))),"")))</f>
        <v/>
      </c>
      <c r="I1901">
        <f>IF(OR($F1901="",$G1901=""),"",IF(ISNUMBER(Sync!$AG1901),MOD(Sync!$AG1901,100),IFERROR(VALUE(TRIM(MID(MID(Sync!$AG1901,FIND("/",Sync!$AG1901)+1,20),FIND("/",MID(Sync!$AG1901,FIND("/",Sync!$AG1901)+1,20))+1,20))),"")))</f>
        <v/>
      </c>
      <c r="J1901">
        <f>IF($F1901="","",IF(OR($G1901="",$H1901="",$I1901="",$G1901&lt;1300,$G1901&gt;1500,$H1901&lt;1,$H1901&gt;12,$I1901&lt;1,$I1901&gt;31),"نامعتبر",RIGHT("0000"&amp;$G1901,4)&amp;"/"&amp;RIGHT("00"&amp;$H1901,2)&amp;"/"&amp;RIGHT("00"&amp;$I1901,2)))</f>
        <v/>
      </c>
      <c r="K1901">
        <f>IF(OR($F1901="",$J1901="",$J1901="نامعتبر"),"",LEFT($J1901,4)&amp;MID($J1901,6,2)&amp;RIGHT($J1901,2)&amp;$N1901&amp;"|"&amp;"2"&amp;RIGHT("00000"&amp;1896,5))</f>
        <v/>
      </c>
      <c r="L1901">
        <f>IF($K1901="","",COUNTIFS(LdgPartyA,$F1901,LdgKeyA,"&lt;"&amp;$K1901)+COUNTIFS(LdgPartyB,$F1901,LdgKeyB,"&lt;"&amp;$K1901)+1)</f>
        <v/>
      </c>
      <c r="M1901">
        <f>IF($L1901="","",$F1901&amp;"|"&amp;RIGHT("000000"&amp;$L1901,6))</f>
        <v/>
      </c>
      <c r="N1901">
        <f>IF($F1901="","",IF(Sync!$AH1901="","0000",IF(AND(ISNUMBER(Sync!$AH1901),Sync!$AH1901&gt;=0,Sync!$AH1901&lt;1),RIGHT("00"&amp;HOUR(Sync!$AH1901),2)&amp;RIGHT("00"&amp;MINUTE(Sync!$AH1901),2),IFERROR(RIGHT("00"&amp;VALUE(LEFT(Sync!$AH1901,FIND(":",Sync!$AH1901)-1)),2)&amp;RIGHT("00"&amp;VALUE(MID(Sync!$AH1901,FIND(":",Sync!$AH1901)+1,2)),2),"0000"))))</f>
        <v/>
      </c>
    </row>
    <row r="1902">
      <c r="A1902">
        <f>IF(OR(Calc!$E1905="",Calc!$E1905="نامعتبر",Calc!$G1905="",Calc!$I1905&lt;&gt;"خرید"),"",Calc!$G1905)</f>
        <v/>
      </c>
      <c r="B1902">
        <f>IF($A1902="","",LEFT(Calc!$E1905,4)&amp;MID(Calc!$E1905,6,2)&amp;RIGHT(Calc!$E1905,2)&amp;Calc!$R1905&amp;"|"&amp;"1"&amp;RIGHT("00000"&amp;1897,5))</f>
        <v/>
      </c>
      <c r="C1902">
        <f>IF($B1902="","",COUNTIFS(LdgPartyA,$A1902,LdgKeyA,"&lt;"&amp;$B1902)+COUNTIFS(LdgPartyB,$A1902,LdgKeyB,"&lt;"&amp;$B1902)+1)</f>
        <v/>
      </c>
      <c r="D1902">
        <f>IF($C1902="","",$A1902&amp;"|"&amp;RIGHT("000000"&amp;$C1902,6))</f>
        <v/>
      </c>
      <c r="F1902">
        <f>IF(Sync!$AJ1902="","",Sync!$AJ1902)</f>
        <v/>
      </c>
      <c r="G1902">
        <f>IF($F1902="","",IF(Sync!$AG1902="","",IF(ISNUMBER(Sync!$AG1902),IF(AND(Sync!$AG1902&gt;=10000101,Sync!$AG1902&lt;=99991231),INT(Sync!$AG1902/10000),""),IFERROR(VALUE(TRIM(LEFT(Sync!$AG1902,FIND("/",Sync!$AG1902)-1))),""))))</f>
        <v/>
      </c>
      <c r="H1902">
        <f>IF(OR($F1902="",$G1902=""),"",IF(ISNUMBER(Sync!$AG1902),INT(MOD(Sync!$AG1902,10000)/100),IFERROR(VALUE(TRIM(LEFT(MID(Sync!$AG1902,FIND("/",Sync!$AG1902)+1,20),FIND("/",MID(Sync!$AG1902,FIND("/",Sync!$AG1902)+1,20))-1))),"")))</f>
        <v/>
      </c>
      <c r="I1902">
        <f>IF(OR($F1902="",$G1902=""),"",IF(ISNUMBER(Sync!$AG1902),MOD(Sync!$AG1902,100),IFERROR(VALUE(TRIM(MID(MID(Sync!$AG1902,FIND("/",Sync!$AG1902)+1,20),FIND("/",MID(Sync!$AG1902,FIND("/",Sync!$AG1902)+1,20))+1,20))),"")))</f>
        <v/>
      </c>
      <c r="J1902">
        <f>IF($F1902="","",IF(OR($G1902="",$H1902="",$I1902="",$G1902&lt;1300,$G1902&gt;1500,$H1902&lt;1,$H1902&gt;12,$I1902&lt;1,$I1902&gt;31),"نامعتبر",RIGHT("0000"&amp;$G1902,4)&amp;"/"&amp;RIGHT("00"&amp;$H1902,2)&amp;"/"&amp;RIGHT("00"&amp;$I1902,2)))</f>
        <v/>
      </c>
      <c r="K1902">
        <f>IF(OR($F1902="",$J1902="",$J1902="نامعتبر"),"",LEFT($J1902,4)&amp;MID($J1902,6,2)&amp;RIGHT($J1902,2)&amp;$N1902&amp;"|"&amp;"2"&amp;RIGHT("00000"&amp;1897,5))</f>
        <v/>
      </c>
      <c r="L1902">
        <f>IF($K1902="","",COUNTIFS(LdgPartyA,$F1902,LdgKeyA,"&lt;"&amp;$K1902)+COUNTIFS(LdgPartyB,$F1902,LdgKeyB,"&lt;"&amp;$K1902)+1)</f>
        <v/>
      </c>
      <c r="M1902">
        <f>IF($L1902="","",$F1902&amp;"|"&amp;RIGHT("000000"&amp;$L1902,6))</f>
        <v/>
      </c>
      <c r="N1902">
        <f>IF($F1902="","",IF(Sync!$AH1902="","0000",IF(AND(ISNUMBER(Sync!$AH1902),Sync!$AH1902&gt;=0,Sync!$AH1902&lt;1),RIGHT("00"&amp;HOUR(Sync!$AH1902),2)&amp;RIGHT("00"&amp;MINUTE(Sync!$AH1902),2),IFERROR(RIGHT("00"&amp;VALUE(LEFT(Sync!$AH1902,FIND(":",Sync!$AH1902)-1)),2)&amp;RIGHT("00"&amp;VALUE(MID(Sync!$AH1902,FIND(":",Sync!$AH1902)+1,2)),2),"0000"))))</f>
        <v/>
      </c>
    </row>
    <row r="1903">
      <c r="A1903">
        <f>IF(OR(Calc!$E1906="",Calc!$E1906="نامعتبر",Calc!$G1906="",Calc!$I1906&lt;&gt;"خرید"),"",Calc!$G1906)</f>
        <v/>
      </c>
      <c r="B1903">
        <f>IF($A1903="","",LEFT(Calc!$E1906,4)&amp;MID(Calc!$E1906,6,2)&amp;RIGHT(Calc!$E1906,2)&amp;Calc!$R1906&amp;"|"&amp;"1"&amp;RIGHT("00000"&amp;1898,5))</f>
        <v/>
      </c>
      <c r="C1903">
        <f>IF($B1903="","",COUNTIFS(LdgPartyA,$A1903,LdgKeyA,"&lt;"&amp;$B1903)+COUNTIFS(LdgPartyB,$A1903,LdgKeyB,"&lt;"&amp;$B1903)+1)</f>
        <v/>
      </c>
      <c r="D1903">
        <f>IF($C1903="","",$A1903&amp;"|"&amp;RIGHT("000000"&amp;$C1903,6))</f>
        <v/>
      </c>
      <c r="F1903">
        <f>IF(Sync!$AJ1903="","",Sync!$AJ1903)</f>
        <v/>
      </c>
      <c r="G1903">
        <f>IF($F1903="","",IF(Sync!$AG1903="","",IF(ISNUMBER(Sync!$AG1903),IF(AND(Sync!$AG1903&gt;=10000101,Sync!$AG1903&lt;=99991231),INT(Sync!$AG1903/10000),""),IFERROR(VALUE(TRIM(LEFT(Sync!$AG1903,FIND("/",Sync!$AG1903)-1))),""))))</f>
        <v/>
      </c>
      <c r="H1903">
        <f>IF(OR($F1903="",$G1903=""),"",IF(ISNUMBER(Sync!$AG1903),INT(MOD(Sync!$AG1903,10000)/100),IFERROR(VALUE(TRIM(LEFT(MID(Sync!$AG1903,FIND("/",Sync!$AG1903)+1,20),FIND("/",MID(Sync!$AG1903,FIND("/",Sync!$AG1903)+1,20))-1))),"")))</f>
        <v/>
      </c>
      <c r="I1903">
        <f>IF(OR($F1903="",$G1903=""),"",IF(ISNUMBER(Sync!$AG1903),MOD(Sync!$AG1903,100),IFERROR(VALUE(TRIM(MID(MID(Sync!$AG1903,FIND("/",Sync!$AG1903)+1,20),FIND("/",MID(Sync!$AG1903,FIND("/",Sync!$AG1903)+1,20))+1,20))),"")))</f>
        <v/>
      </c>
      <c r="J1903">
        <f>IF($F1903="","",IF(OR($G1903="",$H1903="",$I1903="",$G1903&lt;1300,$G1903&gt;1500,$H1903&lt;1,$H1903&gt;12,$I1903&lt;1,$I1903&gt;31),"نامعتبر",RIGHT("0000"&amp;$G1903,4)&amp;"/"&amp;RIGHT("00"&amp;$H1903,2)&amp;"/"&amp;RIGHT("00"&amp;$I1903,2)))</f>
        <v/>
      </c>
      <c r="K1903">
        <f>IF(OR($F1903="",$J1903="",$J1903="نامعتبر"),"",LEFT($J1903,4)&amp;MID($J1903,6,2)&amp;RIGHT($J1903,2)&amp;$N1903&amp;"|"&amp;"2"&amp;RIGHT("00000"&amp;1898,5))</f>
        <v/>
      </c>
      <c r="L1903">
        <f>IF($K1903="","",COUNTIFS(LdgPartyA,$F1903,LdgKeyA,"&lt;"&amp;$K1903)+COUNTIFS(LdgPartyB,$F1903,LdgKeyB,"&lt;"&amp;$K1903)+1)</f>
        <v/>
      </c>
      <c r="M1903">
        <f>IF($L1903="","",$F1903&amp;"|"&amp;RIGHT("000000"&amp;$L1903,6))</f>
        <v/>
      </c>
      <c r="N1903">
        <f>IF($F1903="","",IF(Sync!$AH1903="","0000",IF(AND(ISNUMBER(Sync!$AH1903),Sync!$AH1903&gt;=0,Sync!$AH1903&lt;1),RIGHT("00"&amp;HOUR(Sync!$AH1903),2)&amp;RIGHT("00"&amp;MINUTE(Sync!$AH1903),2),IFERROR(RIGHT("00"&amp;VALUE(LEFT(Sync!$AH1903,FIND(":",Sync!$AH1903)-1)),2)&amp;RIGHT("00"&amp;VALUE(MID(Sync!$AH1903,FIND(":",Sync!$AH1903)+1,2)),2),"0000"))))</f>
        <v/>
      </c>
    </row>
    <row r="1904">
      <c r="A1904">
        <f>IF(OR(Calc!$E1907="",Calc!$E1907="نامعتبر",Calc!$G1907="",Calc!$I1907&lt;&gt;"خرید"),"",Calc!$G1907)</f>
        <v/>
      </c>
      <c r="B1904">
        <f>IF($A1904="","",LEFT(Calc!$E1907,4)&amp;MID(Calc!$E1907,6,2)&amp;RIGHT(Calc!$E1907,2)&amp;Calc!$R1907&amp;"|"&amp;"1"&amp;RIGHT("00000"&amp;1899,5))</f>
        <v/>
      </c>
      <c r="C1904">
        <f>IF($B1904="","",COUNTIFS(LdgPartyA,$A1904,LdgKeyA,"&lt;"&amp;$B1904)+COUNTIFS(LdgPartyB,$A1904,LdgKeyB,"&lt;"&amp;$B1904)+1)</f>
        <v/>
      </c>
      <c r="D1904">
        <f>IF($C1904="","",$A1904&amp;"|"&amp;RIGHT("000000"&amp;$C1904,6))</f>
        <v/>
      </c>
      <c r="F1904">
        <f>IF(Sync!$AJ1904="","",Sync!$AJ1904)</f>
        <v/>
      </c>
      <c r="G1904">
        <f>IF($F1904="","",IF(Sync!$AG1904="","",IF(ISNUMBER(Sync!$AG1904),IF(AND(Sync!$AG1904&gt;=10000101,Sync!$AG1904&lt;=99991231),INT(Sync!$AG1904/10000),""),IFERROR(VALUE(TRIM(LEFT(Sync!$AG1904,FIND("/",Sync!$AG1904)-1))),""))))</f>
        <v/>
      </c>
      <c r="H1904">
        <f>IF(OR($F1904="",$G1904=""),"",IF(ISNUMBER(Sync!$AG1904),INT(MOD(Sync!$AG1904,10000)/100),IFERROR(VALUE(TRIM(LEFT(MID(Sync!$AG1904,FIND("/",Sync!$AG1904)+1,20),FIND("/",MID(Sync!$AG1904,FIND("/",Sync!$AG1904)+1,20))-1))),"")))</f>
        <v/>
      </c>
      <c r="I1904">
        <f>IF(OR($F1904="",$G1904=""),"",IF(ISNUMBER(Sync!$AG1904),MOD(Sync!$AG1904,100),IFERROR(VALUE(TRIM(MID(MID(Sync!$AG1904,FIND("/",Sync!$AG1904)+1,20),FIND("/",MID(Sync!$AG1904,FIND("/",Sync!$AG1904)+1,20))+1,20))),"")))</f>
        <v/>
      </c>
      <c r="J1904">
        <f>IF($F1904="","",IF(OR($G1904="",$H1904="",$I1904="",$G1904&lt;1300,$G1904&gt;1500,$H1904&lt;1,$H1904&gt;12,$I1904&lt;1,$I1904&gt;31),"نامعتبر",RIGHT("0000"&amp;$G1904,4)&amp;"/"&amp;RIGHT("00"&amp;$H1904,2)&amp;"/"&amp;RIGHT("00"&amp;$I1904,2)))</f>
        <v/>
      </c>
      <c r="K1904">
        <f>IF(OR($F1904="",$J1904="",$J1904="نامعتبر"),"",LEFT($J1904,4)&amp;MID($J1904,6,2)&amp;RIGHT($J1904,2)&amp;$N1904&amp;"|"&amp;"2"&amp;RIGHT("00000"&amp;1899,5))</f>
        <v/>
      </c>
      <c r="L1904">
        <f>IF($K1904="","",COUNTIFS(LdgPartyA,$F1904,LdgKeyA,"&lt;"&amp;$K1904)+COUNTIFS(LdgPartyB,$F1904,LdgKeyB,"&lt;"&amp;$K1904)+1)</f>
        <v/>
      </c>
      <c r="M1904">
        <f>IF($L1904="","",$F1904&amp;"|"&amp;RIGHT("000000"&amp;$L1904,6))</f>
        <v/>
      </c>
      <c r="N1904">
        <f>IF($F1904="","",IF(Sync!$AH1904="","0000",IF(AND(ISNUMBER(Sync!$AH1904),Sync!$AH1904&gt;=0,Sync!$AH1904&lt;1),RIGHT("00"&amp;HOUR(Sync!$AH1904),2)&amp;RIGHT("00"&amp;MINUTE(Sync!$AH1904),2),IFERROR(RIGHT("00"&amp;VALUE(LEFT(Sync!$AH1904,FIND(":",Sync!$AH1904)-1)),2)&amp;RIGHT("00"&amp;VALUE(MID(Sync!$AH1904,FIND(":",Sync!$AH1904)+1,2)),2),"0000"))))</f>
        <v/>
      </c>
    </row>
    <row r="1905">
      <c r="A1905">
        <f>IF(OR(Calc!$E1908="",Calc!$E1908="نامعتبر",Calc!$G1908="",Calc!$I1908&lt;&gt;"خرید"),"",Calc!$G1908)</f>
        <v/>
      </c>
      <c r="B1905">
        <f>IF($A1905="","",LEFT(Calc!$E1908,4)&amp;MID(Calc!$E1908,6,2)&amp;RIGHT(Calc!$E1908,2)&amp;Calc!$R1908&amp;"|"&amp;"1"&amp;RIGHT("00000"&amp;1900,5))</f>
        <v/>
      </c>
      <c r="C1905">
        <f>IF($B1905="","",COUNTIFS(LdgPartyA,$A1905,LdgKeyA,"&lt;"&amp;$B1905)+COUNTIFS(LdgPartyB,$A1905,LdgKeyB,"&lt;"&amp;$B1905)+1)</f>
        <v/>
      </c>
      <c r="D1905">
        <f>IF($C1905="","",$A1905&amp;"|"&amp;RIGHT("000000"&amp;$C1905,6))</f>
        <v/>
      </c>
      <c r="F1905">
        <f>IF(Sync!$AJ1905="","",Sync!$AJ1905)</f>
        <v/>
      </c>
      <c r="G1905">
        <f>IF($F1905="","",IF(Sync!$AG1905="","",IF(ISNUMBER(Sync!$AG1905),IF(AND(Sync!$AG1905&gt;=10000101,Sync!$AG1905&lt;=99991231),INT(Sync!$AG1905/10000),""),IFERROR(VALUE(TRIM(LEFT(Sync!$AG1905,FIND("/",Sync!$AG1905)-1))),""))))</f>
        <v/>
      </c>
      <c r="H1905">
        <f>IF(OR($F1905="",$G1905=""),"",IF(ISNUMBER(Sync!$AG1905),INT(MOD(Sync!$AG1905,10000)/100),IFERROR(VALUE(TRIM(LEFT(MID(Sync!$AG1905,FIND("/",Sync!$AG1905)+1,20),FIND("/",MID(Sync!$AG1905,FIND("/",Sync!$AG1905)+1,20))-1))),"")))</f>
        <v/>
      </c>
      <c r="I1905">
        <f>IF(OR($F1905="",$G1905=""),"",IF(ISNUMBER(Sync!$AG1905),MOD(Sync!$AG1905,100),IFERROR(VALUE(TRIM(MID(MID(Sync!$AG1905,FIND("/",Sync!$AG1905)+1,20),FIND("/",MID(Sync!$AG1905,FIND("/",Sync!$AG1905)+1,20))+1,20))),"")))</f>
        <v/>
      </c>
      <c r="J1905">
        <f>IF($F1905="","",IF(OR($G1905="",$H1905="",$I1905="",$G1905&lt;1300,$G1905&gt;1500,$H1905&lt;1,$H1905&gt;12,$I1905&lt;1,$I1905&gt;31),"نامعتبر",RIGHT("0000"&amp;$G1905,4)&amp;"/"&amp;RIGHT("00"&amp;$H1905,2)&amp;"/"&amp;RIGHT("00"&amp;$I1905,2)))</f>
        <v/>
      </c>
      <c r="K1905">
        <f>IF(OR($F1905="",$J1905="",$J1905="نامعتبر"),"",LEFT($J1905,4)&amp;MID($J1905,6,2)&amp;RIGHT($J1905,2)&amp;$N1905&amp;"|"&amp;"2"&amp;RIGHT("00000"&amp;1900,5))</f>
        <v/>
      </c>
      <c r="L1905">
        <f>IF($K1905="","",COUNTIFS(LdgPartyA,$F1905,LdgKeyA,"&lt;"&amp;$K1905)+COUNTIFS(LdgPartyB,$F1905,LdgKeyB,"&lt;"&amp;$K1905)+1)</f>
        <v/>
      </c>
      <c r="M1905">
        <f>IF($L1905="","",$F1905&amp;"|"&amp;RIGHT("000000"&amp;$L1905,6))</f>
        <v/>
      </c>
      <c r="N1905">
        <f>IF($F1905="","",IF(Sync!$AH1905="","0000",IF(AND(ISNUMBER(Sync!$AH1905),Sync!$AH1905&gt;=0,Sync!$AH1905&lt;1),RIGHT("00"&amp;HOUR(Sync!$AH1905),2)&amp;RIGHT("00"&amp;MINUTE(Sync!$AH1905),2),IFERROR(RIGHT("00"&amp;VALUE(LEFT(Sync!$AH1905,FIND(":",Sync!$AH1905)-1)),2)&amp;RIGHT("00"&amp;VALUE(MID(Sync!$AH1905,FIND(":",Sync!$AH1905)+1,2)),2),"0000"))))</f>
        <v/>
      </c>
    </row>
    <row r="1906">
      <c r="A1906">
        <f>IF(OR(Calc!$E1909="",Calc!$E1909="نامعتبر",Calc!$G1909="",Calc!$I1909&lt;&gt;"خرید"),"",Calc!$G1909)</f>
        <v/>
      </c>
      <c r="B1906">
        <f>IF($A1906="","",LEFT(Calc!$E1909,4)&amp;MID(Calc!$E1909,6,2)&amp;RIGHT(Calc!$E1909,2)&amp;Calc!$R1909&amp;"|"&amp;"1"&amp;RIGHT("00000"&amp;1901,5))</f>
        <v/>
      </c>
      <c r="C1906">
        <f>IF($B1906="","",COUNTIFS(LdgPartyA,$A1906,LdgKeyA,"&lt;"&amp;$B1906)+COUNTIFS(LdgPartyB,$A1906,LdgKeyB,"&lt;"&amp;$B1906)+1)</f>
        <v/>
      </c>
      <c r="D1906">
        <f>IF($C1906="","",$A1906&amp;"|"&amp;RIGHT("000000"&amp;$C1906,6))</f>
        <v/>
      </c>
      <c r="F1906">
        <f>IF(Sync!$AJ1906="","",Sync!$AJ1906)</f>
        <v/>
      </c>
      <c r="G1906">
        <f>IF($F1906="","",IF(Sync!$AG1906="","",IF(ISNUMBER(Sync!$AG1906),IF(AND(Sync!$AG1906&gt;=10000101,Sync!$AG1906&lt;=99991231),INT(Sync!$AG1906/10000),""),IFERROR(VALUE(TRIM(LEFT(Sync!$AG1906,FIND("/",Sync!$AG1906)-1))),""))))</f>
        <v/>
      </c>
      <c r="H1906">
        <f>IF(OR($F1906="",$G1906=""),"",IF(ISNUMBER(Sync!$AG1906),INT(MOD(Sync!$AG1906,10000)/100),IFERROR(VALUE(TRIM(LEFT(MID(Sync!$AG1906,FIND("/",Sync!$AG1906)+1,20),FIND("/",MID(Sync!$AG1906,FIND("/",Sync!$AG1906)+1,20))-1))),"")))</f>
        <v/>
      </c>
      <c r="I1906">
        <f>IF(OR($F1906="",$G1906=""),"",IF(ISNUMBER(Sync!$AG1906),MOD(Sync!$AG1906,100),IFERROR(VALUE(TRIM(MID(MID(Sync!$AG1906,FIND("/",Sync!$AG1906)+1,20),FIND("/",MID(Sync!$AG1906,FIND("/",Sync!$AG1906)+1,20))+1,20))),"")))</f>
        <v/>
      </c>
      <c r="J1906">
        <f>IF($F1906="","",IF(OR($G1906="",$H1906="",$I1906="",$G1906&lt;1300,$G1906&gt;1500,$H1906&lt;1,$H1906&gt;12,$I1906&lt;1,$I1906&gt;31),"نامعتبر",RIGHT("0000"&amp;$G1906,4)&amp;"/"&amp;RIGHT("00"&amp;$H1906,2)&amp;"/"&amp;RIGHT("00"&amp;$I1906,2)))</f>
        <v/>
      </c>
      <c r="K1906">
        <f>IF(OR($F1906="",$J1906="",$J1906="نامعتبر"),"",LEFT($J1906,4)&amp;MID($J1906,6,2)&amp;RIGHT($J1906,2)&amp;$N1906&amp;"|"&amp;"2"&amp;RIGHT("00000"&amp;1901,5))</f>
        <v/>
      </c>
      <c r="L1906">
        <f>IF($K1906="","",COUNTIFS(LdgPartyA,$F1906,LdgKeyA,"&lt;"&amp;$K1906)+COUNTIFS(LdgPartyB,$F1906,LdgKeyB,"&lt;"&amp;$K1906)+1)</f>
        <v/>
      </c>
      <c r="M1906">
        <f>IF($L1906="","",$F1906&amp;"|"&amp;RIGHT("000000"&amp;$L1906,6))</f>
        <v/>
      </c>
      <c r="N1906">
        <f>IF($F1906="","",IF(Sync!$AH1906="","0000",IF(AND(ISNUMBER(Sync!$AH1906),Sync!$AH1906&gt;=0,Sync!$AH1906&lt;1),RIGHT("00"&amp;HOUR(Sync!$AH1906),2)&amp;RIGHT("00"&amp;MINUTE(Sync!$AH1906),2),IFERROR(RIGHT("00"&amp;VALUE(LEFT(Sync!$AH1906,FIND(":",Sync!$AH1906)-1)),2)&amp;RIGHT("00"&amp;VALUE(MID(Sync!$AH1906,FIND(":",Sync!$AH1906)+1,2)),2),"0000"))))</f>
        <v/>
      </c>
    </row>
    <row r="1907">
      <c r="A1907">
        <f>IF(OR(Calc!$E1910="",Calc!$E1910="نامعتبر",Calc!$G1910="",Calc!$I1910&lt;&gt;"خرید"),"",Calc!$G1910)</f>
        <v/>
      </c>
      <c r="B1907">
        <f>IF($A1907="","",LEFT(Calc!$E1910,4)&amp;MID(Calc!$E1910,6,2)&amp;RIGHT(Calc!$E1910,2)&amp;Calc!$R1910&amp;"|"&amp;"1"&amp;RIGHT("00000"&amp;1902,5))</f>
        <v/>
      </c>
      <c r="C1907">
        <f>IF($B1907="","",COUNTIFS(LdgPartyA,$A1907,LdgKeyA,"&lt;"&amp;$B1907)+COUNTIFS(LdgPartyB,$A1907,LdgKeyB,"&lt;"&amp;$B1907)+1)</f>
        <v/>
      </c>
      <c r="D1907">
        <f>IF($C1907="","",$A1907&amp;"|"&amp;RIGHT("000000"&amp;$C1907,6))</f>
        <v/>
      </c>
      <c r="F1907">
        <f>IF(Sync!$AJ1907="","",Sync!$AJ1907)</f>
        <v/>
      </c>
      <c r="G1907">
        <f>IF($F1907="","",IF(Sync!$AG1907="","",IF(ISNUMBER(Sync!$AG1907),IF(AND(Sync!$AG1907&gt;=10000101,Sync!$AG1907&lt;=99991231),INT(Sync!$AG1907/10000),""),IFERROR(VALUE(TRIM(LEFT(Sync!$AG1907,FIND("/",Sync!$AG1907)-1))),""))))</f>
        <v/>
      </c>
      <c r="H1907">
        <f>IF(OR($F1907="",$G1907=""),"",IF(ISNUMBER(Sync!$AG1907),INT(MOD(Sync!$AG1907,10000)/100),IFERROR(VALUE(TRIM(LEFT(MID(Sync!$AG1907,FIND("/",Sync!$AG1907)+1,20),FIND("/",MID(Sync!$AG1907,FIND("/",Sync!$AG1907)+1,20))-1))),"")))</f>
        <v/>
      </c>
      <c r="I1907">
        <f>IF(OR($F1907="",$G1907=""),"",IF(ISNUMBER(Sync!$AG1907),MOD(Sync!$AG1907,100),IFERROR(VALUE(TRIM(MID(MID(Sync!$AG1907,FIND("/",Sync!$AG1907)+1,20),FIND("/",MID(Sync!$AG1907,FIND("/",Sync!$AG1907)+1,20))+1,20))),"")))</f>
        <v/>
      </c>
      <c r="J1907">
        <f>IF($F1907="","",IF(OR($G1907="",$H1907="",$I1907="",$G1907&lt;1300,$G1907&gt;1500,$H1907&lt;1,$H1907&gt;12,$I1907&lt;1,$I1907&gt;31),"نامعتبر",RIGHT("0000"&amp;$G1907,4)&amp;"/"&amp;RIGHT("00"&amp;$H1907,2)&amp;"/"&amp;RIGHT("00"&amp;$I1907,2)))</f>
        <v/>
      </c>
      <c r="K1907">
        <f>IF(OR($F1907="",$J1907="",$J1907="نامعتبر"),"",LEFT($J1907,4)&amp;MID($J1907,6,2)&amp;RIGHT($J1907,2)&amp;$N1907&amp;"|"&amp;"2"&amp;RIGHT("00000"&amp;1902,5))</f>
        <v/>
      </c>
      <c r="L1907">
        <f>IF($K1907="","",COUNTIFS(LdgPartyA,$F1907,LdgKeyA,"&lt;"&amp;$K1907)+COUNTIFS(LdgPartyB,$F1907,LdgKeyB,"&lt;"&amp;$K1907)+1)</f>
        <v/>
      </c>
      <c r="M1907">
        <f>IF($L1907="","",$F1907&amp;"|"&amp;RIGHT("000000"&amp;$L1907,6))</f>
        <v/>
      </c>
      <c r="N1907">
        <f>IF($F1907="","",IF(Sync!$AH1907="","0000",IF(AND(ISNUMBER(Sync!$AH1907),Sync!$AH1907&gt;=0,Sync!$AH1907&lt;1),RIGHT("00"&amp;HOUR(Sync!$AH1907),2)&amp;RIGHT("00"&amp;MINUTE(Sync!$AH1907),2),IFERROR(RIGHT("00"&amp;VALUE(LEFT(Sync!$AH1907,FIND(":",Sync!$AH1907)-1)),2)&amp;RIGHT("00"&amp;VALUE(MID(Sync!$AH1907,FIND(":",Sync!$AH1907)+1,2)),2),"0000"))))</f>
        <v/>
      </c>
    </row>
    <row r="1908">
      <c r="A1908">
        <f>IF(OR(Calc!$E1911="",Calc!$E1911="نامعتبر",Calc!$G1911="",Calc!$I1911&lt;&gt;"خرید"),"",Calc!$G1911)</f>
        <v/>
      </c>
      <c r="B1908">
        <f>IF($A1908="","",LEFT(Calc!$E1911,4)&amp;MID(Calc!$E1911,6,2)&amp;RIGHT(Calc!$E1911,2)&amp;Calc!$R1911&amp;"|"&amp;"1"&amp;RIGHT("00000"&amp;1903,5))</f>
        <v/>
      </c>
      <c r="C1908">
        <f>IF($B1908="","",COUNTIFS(LdgPartyA,$A1908,LdgKeyA,"&lt;"&amp;$B1908)+COUNTIFS(LdgPartyB,$A1908,LdgKeyB,"&lt;"&amp;$B1908)+1)</f>
        <v/>
      </c>
      <c r="D1908">
        <f>IF($C1908="","",$A1908&amp;"|"&amp;RIGHT("000000"&amp;$C1908,6))</f>
        <v/>
      </c>
      <c r="F1908">
        <f>IF(Sync!$AJ1908="","",Sync!$AJ1908)</f>
        <v/>
      </c>
      <c r="G1908">
        <f>IF($F1908="","",IF(Sync!$AG1908="","",IF(ISNUMBER(Sync!$AG1908),IF(AND(Sync!$AG1908&gt;=10000101,Sync!$AG1908&lt;=99991231),INT(Sync!$AG1908/10000),""),IFERROR(VALUE(TRIM(LEFT(Sync!$AG1908,FIND("/",Sync!$AG1908)-1))),""))))</f>
        <v/>
      </c>
      <c r="H1908">
        <f>IF(OR($F1908="",$G1908=""),"",IF(ISNUMBER(Sync!$AG1908),INT(MOD(Sync!$AG1908,10000)/100),IFERROR(VALUE(TRIM(LEFT(MID(Sync!$AG1908,FIND("/",Sync!$AG1908)+1,20),FIND("/",MID(Sync!$AG1908,FIND("/",Sync!$AG1908)+1,20))-1))),"")))</f>
        <v/>
      </c>
      <c r="I1908">
        <f>IF(OR($F1908="",$G1908=""),"",IF(ISNUMBER(Sync!$AG1908),MOD(Sync!$AG1908,100),IFERROR(VALUE(TRIM(MID(MID(Sync!$AG1908,FIND("/",Sync!$AG1908)+1,20),FIND("/",MID(Sync!$AG1908,FIND("/",Sync!$AG1908)+1,20))+1,20))),"")))</f>
        <v/>
      </c>
      <c r="J1908">
        <f>IF($F1908="","",IF(OR($G1908="",$H1908="",$I1908="",$G1908&lt;1300,$G1908&gt;1500,$H1908&lt;1,$H1908&gt;12,$I1908&lt;1,$I1908&gt;31),"نامعتبر",RIGHT("0000"&amp;$G1908,4)&amp;"/"&amp;RIGHT("00"&amp;$H1908,2)&amp;"/"&amp;RIGHT("00"&amp;$I1908,2)))</f>
        <v/>
      </c>
      <c r="K1908">
        <f>IF(OR($F1908="",$J1908="",$J1908="نامعتبر"),"",LEFT($J1908,4)&amp;MID($J1908,6,2)&amp;RIGHT($J1908,2)&amp;$N1908&amp;"|"&amp;"2"&amp;RIGHT("00000"&amp;1903,5))</f>
        <v/>
      </c>
      <c r="L1908">
        <f>IF($K1908="","",COUNTIFS(LdgPartyA,$F1908,LdgKeyA,"&lt;"&amp;$K1908)+COUNTIFS(LdgPartyB,$F1908,LdgKeyB,"&lt;"&amp;$K1908)+1)</f>
        <v/>
      </c>
      <c r="M1908">
        <f>IF($L1908="","",$F1908&amp;"|"&amp;RIGHT("000000"&amp;$L1908,6))</f>
        <v/>
      </c>
      <c r="N1908">
        <f>IF($F1908="","",IF(Sync!$AH1908="","0000",IF(AND(ISNUMBER(Sync!$AH1908),Sync!$AH1908&gt;=0,Sync!$AH1908&lt;1),RIGHT("00"&amp;HOUR(Sync!$AH1908),2)&amp;RIGHT("00"&amp;MINUTE(Sync!$AH1908),2),IFERROR(RIGHT("00"&amp;VALUE(LEFT(Sync!$AH1908,FIND(":",Sync!$AH1908)-1)),2)&amp;RIGHT("00"&amp;VALUE(MID(Sync!$AH1908,FIND(":",Sync!$AH1908)+1,2)),2),"0000"))))</f>
        <v/>
      </c>
    </row>
    <row r="1909">
      <c r="A1909">
        <f>IF(OR(Calc!$E1912="",Calc!$E1912="نامعتبر",Calc!$G1912="",Calc!$I1912&lt;&gt;"خرید"),"",Calc!$G1912)</f>
        <v/>
      </c>
      <c r="B1909">
        <f>IF($A1909="","",LEFT(Calc!$E1912,4)&amp;MID(Calc!$E1912,6,2)&amp;RIGHT(Calc!$E1912,2)&amp;Calc!$R1912&amp;"|"&amp;"1"&amp;RIGHT("00000"&amp;1904,5))</f>
        <v/>
      </c>
      <c r="C1909">
        <f>IF($B1909="","",COUNTIFS(LdgPartyA,$A1909,LdgKeyA,"&lt;"&amp;$B1909)+COUNTIFS(LdgPartyB,$A1909,LdgKeyB,"&lt;"&amp;$B1909)+1)</f>
        <v/>
      </c>
      <c r="D1909">
        <f>IF($C1909="","",$A1909&amp;"|"&amp;RIGHT("000000"&amp;$C1909,6))</f>
        <v/>
      </c>
      <c r="F1909">
        <f>IF(Sync!$AJ1909="","",Sync!$AJ1909)</f>
        <v/>
      </c>
      <c r="G1909">
        <f>IF($F1909="","",IF(Sync!$AG1909="","",IF(ISNUMBER(Sync!$AG1909),IF(AND(Sync!$AG1909&gt;=10000101,Sync!$AG1909&lt;=99991231),INT(Sync!$AG1909/10000),""),IFERROR(VALUE(TRIM(LEFT(Sync!$AG1909,FIND("/",Sync!$AG1909)-1))),""))))</f>
        <v/>
      </c>
      <c r="H1909">
        <f>IF(OR($F1909="",$G1909=""),"",IF(ISNUMBER(Sync!$AG1909),INT(MOD(Sync!$AG1909,10000)/100),IFERROR(VALUE(TRIM(LEFT(MID(Sync!$AG1909,FIND("/",Sync!$AG1909)+1,20),FIND("/",MID(Sync!$AG1909,FIND("/",Sync!$AG1909)+1,20))-1))),"")))</f>
        <v/>
      </c>
      <c r="I1909">
        <f>IF(OR($F1909="",$G1909=""),"",IF(ISNUMBER(Sync!$AG1909),MOD(Sync!$AG1909,100),IFERROR(VALUE(TRIM(MID(MID(Sync!$AG1909,FIND("/",Sync!$AG1909)+1,20),FIND("/",MID(Sync!$AG1909,FIND("/",Sync!$AG1909)+1,20))+1,20))),"")))</f>
        <v/>
      </c>
      <c r="J1909">
        <f>IF($F1909="","",IF(OR($G1909="",$H1909="",$I1909="",$G1909&lt;1300,$G1909&gt;1500,$H1909&lt;1,$H1909&gt;12,$I1909&lt;1,$I1909&gt;31),"نامعتبر",RIGHT("0000"&amp;$G1909,4)&amp;"/"&amp;RIGHT("00"&amp;$H1909,2)&amp;"/"&amp;RIGHT("00"&amp;$I1909,2)))</f>
        <v/>
      </c>
      <c r="K1909">
        <f>IF(OR($F1909="",$J1909="",$J1909="نامعتبر"),"",LEFT($J1909,4)&amp;MID($J1909,6,2)&amp;RIGHT($J1909,2)&amp;$N1909&amp;"|"&amp;"2"&amp;RIGHT("00000"&amp;1904,5))</f>
        <v/>
      </c>
      <c r="L1909">
        <f>IF($K1909="","",COUNTIFS(LdgPartyA,$F1909,LdgKeyA,"&lt;"&amp;$K1909)+COUNTIFS(LdgPartyB,$F1909,LdgKeyB,"&lt;"&amp;$K1909)+1)</f>
        <v/>
      </c>
      <c r="M1909">
        <f>IF($L1909="","",$F1909&amp;"|"&amp;RIGHT("000000"&amp;$L1909,6))</f>
        <v/>
      </c>
      <c r="N1909">
        <f>IF($F1909="","",IF(Sync!$AH1909="","0000",IF(AND(ISNUMBER(Sync!$AH1909),Sync!$AH1909&gt;=0,Sync!$AH1909&lt;1),RIGHT("00"&amp;HOUR(Sync!$AH1909),2)&amp;RIGHT("00"&amp;MINUTE(Sync!$AH1909),2),IFERROR(RIGHT("00"&amp;VALUE(LEFT(Sync!$AH1909,FIND(":",Sync!$AH1909)-1)),2)&amp;RIGHT("00"&amp;VALUE(MID(Sync!$AH1909,FIND(":",Sync!$AH1909)+1,2)),2),"0000"))))</f>
        <v/>
      </c>
    </row>
    <row r="1910">
      <c r="A1910">
        <f>IF(OR(Calc!$E1913="",Calc!$E1913="نامعتبر",Calc!$G1913="",Calc!$I1913&lt;&gt;"خرید"),"",Calc!$G1913)</f>
        <v/>
      </c>
      <c r="B1910">
        <f>IF($A1910="","",LEFT(Calc!$E1913,4)&amp;MID(Calc!$E1913,6,2)&amp;RIGHT(Calc!$E1913,2)&amp;Calc!$R1913&amp;"|"&amp;"1"&amp;RIGHT("00000"&amp;1905,5))</f>
        <v/>
      </c>
      <c r="C1910">
        <f>IF($B1910="","",COUNTIFS(LdgPartyA,$A1910,LdgKeyA,"&lt;"&amp;$B1910)+COUNTIFS(LdgPartyB,$A1910,LdgKeyB,"&lt;"&amp;$B1910)+1)</f>
        <v/>
      </c>
      <c r="D1910">
        <f>IF($C1910="","",$A1910&amp;"|"&amp;RIGHT("000000"&amp;$C1910,6))</f>
        <v/>
      </c>
      <c r="F1910">
        <f>IF(Sync!$AJ1910="","",Sync!$AJ1910)</f>
        <v/>
      </c>
      <c r="G1910">
        <f>IF($F1910="","",IF(Sync!$AG1910="","",IF(ISNUMBER(Sync!$AG1910),IF(AND(Sync!$AG1910&gt;=10000101,Sync!$AG1910&lt;=99991231),INT(Sync!$AG1910/10000),""),IFERROR(VALUE(TRIM(LEFT(Sync!$AG1910,FIND("/",Sync!$AG1910)-1))),""))))</f>
        <v/>
      </c>
      <c r="H1910">
        <f>IF(OR($F1910="",$G1910=""),"",IF(ISNUMBER(Sync!$AG1910),INT(MOD(Sync!$AG1910,10000)/100),IFERROR(VALUE(TRIM(LEFT(MID(Sync!$AG1910,FIND("/",Sync!$AG1910)+1,20),FIND("/",MID(Sync!$AG1910,FIND("/",Sync!$AG1910)+1,20))-1))),"")))</f>
        <v/>
      </c>
      <c r="I1910">
        <f>IF(OR($F1910="",$G1910=""),"",IF(ISNUMBER(Sync!$AG1910),MOD(Sync!$AG1910,100),IFERROR(VALUE(TRIM(MID(MID(Sync!$AG1910,FIND("/",Sync!$AG1910)+1,20),FIND("/",MID(Sync!$AG1910,FIND("/",Sync!$AG1910)+1,20))+1,20))),"")))</f>
        <v/>
      </c>
      <c r="J1910">
        <f>IF($F1910="","",IF(OR($G1910="",$H1910="",$I1910="",$G1910&lt;1300,$G1910&gt;1500,$H1910&lt;1,$H1910&gt;12,$I1910&lt;1,$I1910&gt;31),"نامعتبر",RIGHT("0000"&amp;$G1910,4)&amp;"/"&amp;RIGHT("00"&amp;$H1910,2)&amp;"/"&amp;RIGHT("00"&amp;$I1910,2)))</f>
        <v/>
      </c>
      <c r="K1910">
        <f>IF(OR($F1910="",$J1910="",$J1910="نامعتبر"),"",LEFT($J1910,4)&amp;MID($J1910,6,2)&amp;RIGHT($J1910,2)&amp;$N1910&amp;"|"&amp;"2"&amp;RIGHT("00000"&amp;1905,5))</f>
        <v/>
      </c>
      <c r="L1910">
        <f>IF($K1910="","",COUNTIFS(LdgPartyA,$F1910,LdgKeyA,"&lt;"&amp;$K1910)+COUNTIFS(LdgPartyB,$F1910,LdgKeyB,"&lt;"&amp;$K1910)+1)</f>
        <v/>
      </c>
      <c r="M1910">
        <f>IF($L1910="","",$F1910&amp;"|"&amp;RIGHT("000000"&amp;$L1910,6))</f>
        <v/>
      </c>
      <c r="N1910">
        <f>IF($F1910="","",IF(Sync!$AH1910="","0000",IF(AND(ISNUMBER(Sync!$AH1910),Sync!$AH1910&gt;=0,Sync!$AH1910&lt;1),RIGHT("00"&amp;HOUR(Sync!$AH1910),2)&amp;RIGHT("00"&amp;MINUTE(Sync!$AH1910),2),IFERROR(RIGHT("00"&amp;VALUE(LEFT(Sync!$AH1910,FIND(":",Sync!$AH1910)-1)),2)&amp;RIGHT("00"&amp;VALUE(MID(Sync!$AH1910,FIND(":",Sync!$AH1910)+1,2)),2),"0000"))))</f>
        <v/>
      </c>
    </row>
    <row r="1911">
      <c r="A1911">
        <f>IF(OR(Calc!$E1914="",Calc!$E1914="نامعتبر",Calc!$G1914="",Calc!$I1914&lt;&gt;"خرید"),"",Calc!$G1914)</f>
        <v/>
      </c>
      <c r="B1911">
        <f>IF($A1911="","",LEFT(Calc!$E1914,4)&amp;MID(Calc!$E1914,6,2)&amp;RIGHT(Calc!$E1914,2)&amp;Calc!$R1914&amp;"|"&amp;"1"&amp;RIGHT("00000"&amp;1906,5))</f>
        <v/>
      </c>
      <c r="C1911">
        <f>IF($B1911="","",COUNTIFS(LdgPartyA,$A1911,LdgKeyA,"&lt;"&amp;$B1911)+COUNTIFS(LdgPartyB,$A1911,LdgKeyB,"&lt;"&amp;$B1911)+1)</f>
        <v/>
      </c>
      <c r="D1911">
        <f>IF($C1911="","",$A1911&amp;"|"&amp;RIGHT("000000"&amp;$C1911,6))</f>
        <v/>
      </c>
      <c r="F1911">
        <f>IF(Sync!$AJ1911="","",Sync!$AJ1911)</f>
        <v/>
      </c>
      <c r="G1911">
        <f>IF($F1911="","",IF(Sync!$AG1911="","",IF(ISNUMBER(Sync!$AG1911),IF(AND(Sync!$AG1911&gt;=10000101,Sync!$AG1911&lt;=99991231),INT(Sync!$AG1911/10000),""),IFERROR(VALUE(TRIM(LEFT(Sync!$AG1911,FIND("/",Sync!$AG1911)-1))),""))))</f>
        <v/>
      </c>
      <c r="H1911">
        <f>IF(OR($F1911="",$G1911=""),"",IF(ISNUMBER(Sync!$AG1911),INT(MOD(Sync!$AG1911,10000)/100),IFERROR(VALUE(TRIM(LEFT(MID(Sync!$AG1911,FIND("/",Sync!$AG1911)+1,20),FIND("/",MID(Sync!$AG1911,FIND("/",Sync!$AG1911)+1,20))-1))),"")))</f>
        <v/>
      </c>
      <c r="I1911">
        <f>IF(OR($F1911="",$G1911=""),"",IF(ISNUMBER(Sync!$AG1911),MOD(Sync!$AG1911,100),IFERROR(VALUE(TRIM(MID(MID(Sync!$AG1911,FIND("/",Sync!$AG1911)+1,20),FIND("/",MID(Sync!$AG1911,FIND("/",Sync!$AG1911)+1,20))+1,20))),"")))</f>
        <v/>
      </c>
      <c r="J1911">
        <f>IF($F1911="","",IF(OR($G1911="",$H1911="",$I1911="",$G1911&lt;1300,$G1911&gt;1500,$H1911&lt;1,$H1911&gt;12,$I1911&lt;1,$I1911&gt;31),"نامعتبر",RIGHT("0000"&amp;$G1911,4)&amp;"/"&amp;RIGHT("00"&amp;$H1911,2)&amp;"/"&amp;RIGHT("00"&amp;$I1911,2)))</f>
        <v/>
      </c>
      <c r="K1911">
        <f>IF(OR($F1911="",$J1911="",$J1911="نامعتبر"),"",LEFT($J1911,4)&amp;MID($J1911,6,2)&amp;RIGHT($J1911,2)&amp;$N1911&amp;"|"&amp;"2"&amp;RIGHT("00000"&amp;1906,5))</f>
        <v/>
      </c>
      <c r="L1911">
        <f>IF($K1911="","",COUNTIFS(LdgPartyA,$F1911,LdgKeyA,"&lt;"&amp;$K1911)+COUNTIFS(LdgPartyB,$F1911,LdgKeyB,"&lt;"&amp;$K1911)+1)</f>
        <v/>
      </c>
      <c r="M1911">
        <f>IF($L1911="","",$F1911&amp;"|"&amp;RIGHT("000000"&amp;$L1911,6))</f>
        <v/>
      </c>
      <c r="N1911">
        <f>IF($F1911="","",IF(Sync!$AH1911="","0000",IF(AND(ISNUMBER(Sync!$AH1911),Sync!$AH1911&gt;=0,Sync!$AH1911&lt;1),RIGHT("00"&amp;HOUR(Sync!$AH1911),2)&amp;RIGHT("00"&amp;MINUTE(Sync!$AH1911),2),IFERROR(RIGHT("00"&amp;VALUE(LEFT(Sync!$AH1911,FIND(":",Sync!$AH1911)-1)),2)&amp;RIGHT("00"&amp;VALUE(MID(Sync!$AH1911,FIND(":",Sync!$AH1911)+1,2)),2),"0000"))))</f>
        <v/>
      </c>
    </row>
    <row r="1912">
      <c r="A1912">
        <f>IF(OR(Calc!$E1915="",Calc!$E1915="نامعتبر",Calc!$G1915="",Calc!$I1915&lt;&gt;"خرید"),"",Calc!$G1915)</f>
        <v/>
      </c>
      <c r="B1912">
        <f>IF($A1912="","",LEFT(Calc!$E1915,4)&amp;MID(Calc!$E1915,6,2)&amp;RIGHT(Calc!$E1915,2)&amp;Calc!$R1915&amp;"|"&amp;"1"&amp;RIGHT("00000"&amp;1907,5))</f>
        <v/>
      </c>
      <c r="C1912">
        <f>IF($B1912="","",COUNTIFS(LdgPartyA,$A1912,LdgKeyA,"&lt;"&amp;$B1912)+COUNTIFS(LdgPartyB,$A1912,LdgKeyB,"&lt;"&amp;$B1912)+1)</f>
        <v/>
      </c>
      <c r="D1912">
        <f>IF($C1912="","",$A1912&amp;"|"&amp;RIGHT("000000"&amp;$C1912,6))</f>
        <v/>
      </c>
      <c r="F1912">
        <f>IF(Sync!$AJ1912="","",Sync!$AJ1912)</f>
        <v/>
      </c>
      <c r="G1912">
        <f>IF($F1912="","",IF(Sync!$AG1912="","",IF(ISNUMBER(Sync!$AG1912),IF(AND(Sync!$AG1912&gt;=10000101,Sync!$AG1912&lt;=99991231),INT(Sync!$AG1912/10000),""),IFERROR(VALUE(TRIM(LEFT(Sync!$AG1912,FIND("/",Sync!$AG1912)-1))),""))))</f>
        <v/>
      </c>
      <c r="H1912">
        <f>IF(OR($F1912="",$G1912=""),"",IF(ISNUMBER(Sync!$AG1912),INT(MOD(Sync!$AG1912,10000)/100),IFERROR(VALUE(TRIM(LEFT(MID(Sync!$AG1912,FIND("/",Sync!$AG1912)+1,20),FIND("/",MID(Sync!$AG1912,FIND("/",Sync!$AG1912)+1,20))-1))),"")))</f>
        <v/>
      </c>
      <c r="I1912">
        <f>IF(OR($F1912="",$G1912=""),"",IF(ISNUMBER(Sync!$AG1912),MOD(Sync!$AG1912,100),IFERROR(VALUE(TRIM(MID(MID(Sync!$AG1912,FIND("/",Sync!$AG1912)+1,20),FIND("/",MID(Sync!$AG1912,FIND("/",Sync!$AG1912)+1,20))+1,20))),"")))</f>
        <v/>
      </c>
      <c r="J1912">
        <f>IF($F1912="","",IF(OR($G1912="",$H1912="",$I1912="",$G1912&lt;1300,$G1912&gt;1500,$H1912&lt;1,$H1912&gt;12,$I1912&lt;1,$I1912&gt;31),"نامعتبر",RIGHT("0000"&amp;$G1912,4)&amp;"/"&amp;RIGHT("00"&amp;$H1912,2)&amp;"/"&amp;RIGHT("00"&amp;$I1912,2)))</f>
        <v/>
      </c>
      <c r="K1912">
        <f>IF(OR($F1912="",$J1912="",$J1912="نامعتبر"),"",LEFT($J1912,4)&amp;MID($J1912,6,2)&amp;RIGHT($J1912,2)&amp;$N1912&amp;"|"&amp;"2"&amp;RIGHT("00000"&amp;1907,5))</f>
        <v/>
      </c>
      <c r="L1912">
        <f>IF($K1912="","",COUNTIFS(LdgPartyA,$F1912,LdgKeyA,"&lt;"&amp;$K1912)+COUNTIFS(LdgPartyB,$F1912,LdgKeyB,"&lt;"&amp;$K1912)+1)</f>
        <v/>
      </c>
      <c r="M1912">
        <f>IF($L1912="","",$F1912&amp;"|"&amp;RIGHT("000000"&amp;$L1912,6))</f>
        <v/>
      </c>
      <c r="N1912">
        <f>IF($F1912="","",IF(Sync!$AH1912="","0000",IF(AND(ISNUMBER(Sync!$AH1912),Sync!$AH1912&gt;=0,Sync!$AH1912&lt;1),RIGHT("00"&amp;HOUR(Sync!$AH1912),2)&amp;RIGHT("00"&amp;MINUTE(Sync!$AH1912),2),IFERROR(RIGHT("00"&amp;VALUE(LEFT(Sync!$AH1912,FIND(":",Sync!$AH1912)-1)),2)&amp;RIGHT("00"&amp;VALUE(MID(Sync!$AH1912,FIND(":",Sync!$AH1912)+1,2)),2),"0000"))))</f>
        <v/>
      </c>
    </row>
    <row r="1913">
      <c r="A1913">
        <f>IF(OR(Calc!$E1916="",Calc!$E1916="نامعتبر",Calc!$G1916="",Calc!$I1916&lt;&gt;"خرید"),"",Calc!$G1916)</f>
        <v/>
      </c>
      <c r="B1913">
        <f>IF($A1913="","",LEFT(Calc!$E1916,4)&amp;MID(Calc!$E1916,6,2)&amp;RIGHT(Calc!$E1916,2)&amp;Calc!$R1916&amp;"|"&amp;"1"&amp;RIGHT("00000"&amp;1908,5))</f>
        <v/>
      </c>
      <c r="C1913">
        <f>IF($B1913="","",COUNTIFS(LdgPartyA,$A1913,LdgKeyA,"&lt;"&amp;$B1913)+COUNTIFS(LdgPartyB,$A1913,LdgKeyB,"&lt;"&amp;$B1913)+1)</f>
        <v/>
      </c>
      <c r="D1913">
        <f>IF($C1913="","",$A1913&amp;"|"&amp;RIGHT("000000"&amp;$C1913,6))</f>
        <v/>
      </c>
      <c r="F1913">
        <f>IF(Sync!$AJ1913="","",Sync!$AJ1913)</f>
        <v/>
      </c>
      <c r="G1913">
        <f>IF($F1913="","",IF(Sync!$AG1913="","",IF(ISNUMBER(Sync!$AG1913),IF(AND(Sync!$AG1913&gt;=10000101,Sync!$AG1913&lt;=99991231),INT(Sync!$AG1913/10000),""),IFERROR(VALUE(TRIM(LEFT(Sync!$AG1913,FIND("/",Sync!$AG1913)-1))),""))))</f>
        <v/>
      </c>
      <c r="H1913">
        <f>IF(OR($F1913="",$G1913=""),"",IF(ISNUMBER(Sync!$AG1913),INT(MOD(Sync!$AG1913,10000)/100),IFERROR(VALUE(TRIM(LEFT(MID(Sync!$AG1913,FIND("/",Sync!$AG1913)+1,20),FIND("/",MID(Sync!$AG1913,FIND("/",Sync!$AG1913)+1,20))-1))),"")))</f>
        <v/>
      </c>
      <c r="I1913">
        <f>IF(OR($F1913="",$G1913=""),"",IF(ISNUMBER(Sync!$AG1913),MOD(Sync!$AG1913,100),IFERROR(VALUE(TRIM(MID(MID(Sync!$AG1913,FIND("/",Sync!$AG1913)+1,20),FIND("/",MID(Sync!$AG1913,FIND("/",Sync!$AG1913)+1,20))+1,20))),"")))</f>
        <v/>
      </c>
      <c r="J1913">
        <f>IF($F1913="","",IF(OR($G1913="",$H1913="",$I1913="",$G1913&lt;1300,$G1913&gt;1500,$H1913&lt;1,$H1913&gt;12,$I1913&lt;1,$I1913&gt;31),"نامعتبر",RIGHT("0000"&amp;$G1913,4)&amp;"/"&amp;RIGHT("00"&amp;$H1913,2)&amp;"/"&amp;RIGHT("00"&amp;$I1913,2)))</f>
        <v/>
      </c>
      <c r="K1913">
        <f>IF(OR($F1913="",$J1913="",$J1913="نامعتبر"),"",LEFT($J1913,4)&amp;MID($J1913,6,2)&amp;RIGHT($J1913,2)&amp;$N1913&amp;"|"&amp;"2"&amp;RIGHT("00000"&amp;1908,5))</f>
        <v/>
      </c>
      <c r="L1913">
        <f>IF($K1913="","",COUNTIFS(LdgPartyA,$F1913,LdgKeyA,"&lt;"&amp;$K1913)+COUNTIFS(LdgPartyB,$F1913,LdgKeyB,"&lt;"&amp;$K1913)+1)</f>
        <v/>
      </c>
      <c r="M1913">
        <f>IF($L1913="","",$F1913&amp;"|"&amp;RIGHT("000000"&amp;$L1913,6))</f>
        <v/>
      </c>
      <c r="N1913">
        <f>IF($F1913="","",IF(Sync!$AH1913="","0000",IF(AND(ISNUMBER(Sync!$AH1913),Sync!$AH1913&gt;=0,Sync!$AH1913&lt;1),RIGHT("00"&amp;HOUR(Sync!$AH1913),2)&amp;RIGHT("00"&amp;MINUTE(Sync!$AH1913),2),IFERROR(RIGHT("00"&amp;VALUE(LEFT(Sync!$AH1913,FIND(":",Sync!$AH1913)-1)),2)&amp;RIGHT("00"&amp;VALUE(MID(Sync!$AH1913,FIND(":",Sync!$AH1913)+1,2)),2),"0000"))))</f>
        <v/>
      </c>
    </row>
    <row r="1914">
      <c r="A1914">
        <f>IF(OR(Calc!$E1917="",Calc!$E1917="نامعتبر",Calc!$G1917="",Calc!$I1917&lt;&gt;"خرید"),"",Calc!$G1917)</f>
        <v/>
      </c>
      <c r="B1914">
        <f>IF($A1914="","",LEFT(Calc!$E1917,4)&amp;MID(Calc!$E1917,6,2)&amp;RIGHT(Calc!$E1917,2)&amp;Calc!$R1917&amp;"|"&amp;"1"&amp;RIGHT("00000"&amp;1909,5))</f>
        <v/>
      </c>
      <c r="C1914">
        <f>IF($B1914="","",COUNTIFS(LdgPartyA,$A1914,LdgKeyA,"&lt;"&amp;$B1914)+COUNTIFS(LdgPartyB,$A1914,LdgKeyB,"&lt;"&amp;$B1914)+1)</f>
        <v/>
      </c>
      <c r="D1914">
        <f>IF($C1914="","",$A1914&amp;"|"&amp;RIGHT("000000"&amp;$C1914,6))</f>
        <v/>
      </c>
      <c r="F1914">
        <f>IF(Sync!$AJ1914="","",Sync!$AJ1914)</f>
        <v/>
      </c>
      <c r="G1914">
        <f>IF($F1914="","",IF(Sync!$AG1914="","",IF(ISNUMBER(Sync!$AG1914),IF(AND(Sync!$AG1914&gt;=10000101,Sync!$AG1914&lt;=99991231),INT(Sync!$AG1914/10000),""),IFERROR(VALUE(TRIM(LEFT(Sync!$AG1914,FIND("/",Sync!$AG1914)-1))),""))))</f>
        <v/>
      </c>
      <c r="H1914">
        <f>IF(OR($F1914="",$G1914=""),"",IF(ISNUMBER(Sync!$AG1914),INT(MOD(Sync!$AG1914,10000)/100),IFERROR(VALUE(TRIM(LEFT(MID(Sync!$AG1914,FIND("/",Sync!$AG1914)+1,20),FIND("/",MID(Sync!$AG1914,FIND("/",Sync!$AG1914)+1,20))-1))),"")))</f>
        <v/>
      </c>
      <c r="I1914">
        <f>IF(OR($F1914="",$G1914=""),"",IF(ISNUMBER(Sync!$AG1914),MOD(Sync!$AG1914,100),IFERROR(VALUE(TRIM(MID(MID(Sync!$AG1914,FIND("/",Sync!$AG1914)+1,20),FIND("/",MID(Sync!$AG1914,FIND("/",Sync!$AG1914)+1,20))+1,20))),"")))</f>
        <v/>
      </c>
      <c r="J1914">
        <f>IF($F1914="","",IF(OR($G1914="",$H1914="",$I1914="",$G1914&lt;1300,$G1914&gt;1500,$H1914&lt;1,$H1914&gt;12,$I1914&lt;1,$I1914&gt;31),"نامعتبر",RIGHT("0000"&amp;$G1914,4)&amp;"/"&amp;RIGHT("00"&amp;$H1914,2)&amp;"/"&amp;RIGHT("00"&amp;$I1914,2)))</f>
        <v/>
      </c>
      <c r="K1914">
        <f>IF(OR($F1914="",$J1914="",$J1914="نامعتبر"),"",LEFT($J1914,4)&amp;MID($J1914,6,2)&amp;RIGHT($J1914,2)&amp;$N1914&amp;"|"&amp;"2"&amp;RIGHT("00000"&amp;1909,5))</f>
        <v/>
      </c>
      <c r="L1914">
        <f>IF($K1914="","",COUNTIFS(LdgPartyA,$F1914,LdgKeyA,"&lt;"&amp;$K1914)+COUNTIFS(LdgPartyB,$F1914,LdgKeyB,"&lt;"&amp;$K1914)+1)</f>
        <v/>
      </c>
      <c r="M1914">
        <f>IF($L1914="","",$F1914&amp;"|"&amp;RIGHT("000000"&amp;$L1914,6))</f>
        <v/>
      </c>
      <c r="N1914">
        <f>IF($F1914="","",IF(Sync!$AH1914="","0000",IF(AND(ISNUMBER(Sync!$AH1914),Sync!$AH1914&gt;=0,Sync!$AH1914&lt;1),RIGHT("00"&amp;HOUR(Sync!$AH1914),2)&amp;RIGHT("00"&amp;MINUTE(Sync!$AH1914),2),IFERROR(RIGHT("00"&amp;VALUE(LEFT(Sync!$AH1914,FIND(":",Sync!$AH1914)-1)),2)&amp;RIGHT("00"&amp;VALUE(MID(Sync!$AH1914,FIND(":",Sync!$AH1914)+1,2)),2),"0000"))))</f>
        <v/>
      </c>
    </row>
    <row r="1915">
      <c r="A1915">
        <f>IF(OR(Calc!$E1918="",Calc!$E1918="نامعتبر",Calc!$G1918="",Calc!$I1918&lt;&gt;"خرید"),"",Calc!$G1918)</f>
        <v/>
      </c>
      <c r="B1915">
        <f>IF($A1915="","",LEFT(Calc!$E1918,4)&amp;MID(Calc!$E1918,6,2)&amp;RIGHT(Calc!$E1918,2)&amp;Calc!$R1918&amp;"|"&amp;"1"&amp;RIGHT("00000"&amp;1910,5))</f>
        <v/>
      </c>
      <c r="C1915">
        <f>IF($B1915="","",COUNTIFS(LdgPartyA,$A1915,LdgKeyA,"&lt;"&amp;$B1915)+COUNTIFS(LdgPartyB,$A1915,LdgKeyB,"&lt;"&amp;$B1915)+1)</f>
        <v/>
      </c>
      <c r="D1915">
        <f>IF($C1915="","",$A1915&amp;"|"&amp;RIGHT("000000"&amp;$C1915,6))</f>
        <v/>
      </c>
      <c r="F1915">
        <f>IF(Sync!$AJ1915="","",Sync!$AJ1915)</f>
        <v/>
      </c>
      <c r="G1915">
        <f>IF($F1915="","",IF(Sync!$AG1915="","",IF(ISNUMBER(Sync!$AG1915),IF(AND(Sync!$AG1915&gt;=10000101,Sync!$AG1915&lt;=99991231),INT(Sync!$AG1915/10000),""),IFERROR(VALUE(TRIM(LEFT(Sync!$AG1915,FIND("/",Sync!$AG1915)-1))),""))))</f>
        <v/>
      </c>
      <c r="H1915">
        <f>IF(OR($F1915="",$G1915=""),"",IF(ISNUMBER(Sync!$AG1915),INT(MOD(Sync!$AG1915,10000)/100),IFERROR(VALUE(TRIM(LEFT(MID(Sync!$AG1915,FIND("/",Sync!$AG1915)+1,20),FIND("/",MID(Sync!$AG1915,FIND("/",Sync!$AG1915)+1,20))-1))),"")))</f>
        <v/>
      </c>
      <c r="I1915">
        <f>IF(OR($F1915="",$G1915=""),"",IF(ISNUMBER(Sync!$AG1915),MOD(Sync!$AG1915,100),IFERROR(VALUE(TRIM(MID(MID(Sync!$AG1915,FIND("/",Sync!$AG1915)+1,20),FIND("/",MID(Sync!$AG1915,FIND("/",Sync!$AG1915)+1,20))+1,20))),"")))</f>
        <v/>
      </c>
      <c r="J1915">
        <f>IF($F1915="","",IF(OR($G1915="",$H1915="",$I1915="",$G1915&lt;1300,$G1915&gt;1500,$H1915&lt;1,$H1915&gt;12,$I1915&lt;1,$I1915&gt;31),"نامعتبر",RIGHT("0000"&amp;$G1915,4)&amp;"/"&amp;RIGHT("00"&amp;$H1915,2)&amp;"/"&amp;RIGHT("00"&amp;$I1915,2)))</f>
        <v/>
      </c>
      <c r="K1915">
        <f>IF(OR($F1915="",$J1915="",$J1915="نامعتبر"),"",LEFT($J1915,4)&amp;MID($J1915,6,2)&amp;RIGHT($J1915,2)&amp;$N1915&amp;"|"&amp;"2"&amp;RIGHT("00000"&amp;1910,5))</f>
        <v/>
      </c>
      <c r="L1915">
        <f>IF($K1915="","",COUNTIFS(LdgPartyA,$F1915,LdgKeyA,"&lt;"&amp;$K1915)+COUNTIFS(LdgPartyB,$F1915,LdgKeyB,"&lt;"&amp;$K1915)+1)</f>
        <v/>
      </c>
      <c r="M1915">
        <f>IF($L1915="","",$F1915&amp;"|"&amp;RIGHT("000000"&amp;$L1915,6))</f>
        <v/>
      </c>
      <c r="N1915">
        <f>IF($F1915="","",IF(Sync!$AH1915="","0000",IF(AND(ISNUMBER(Sync!$AH1915),Sync!$AH1915&gt;=0,Sync!$AH1915&lt;1),RIGHT("00"&amp;HOUR(Sync!$AH1915),2)&amp;RIGHT("00"&amp;MINUTE(Sync!$AH1915),2),IFERROR(RIGHT("00"&amp;VALUE(LEFT(Sync!$AH1915,FIND(":",Sync!$AH1915)-1)),2)&amp;RIGHT("00"&amp;VALUE(MID(Sync!$AH1915,FIND(":",Sync!$AH1915)+1,2)),2),"0000"))))</f>
        <v/>
      </c>
    </row>
    <row r="1916">
      <c r="A1916">
        <f>IF(OR(Calc!$E1919="",Calc!$E1919="نامعتبر",Calc!$G1919="",Calc!$I1919&lt;&gt;"خرید"),"",Calc!$G1919)</f>
        <v/>
      </c>
      <c r="B1916">
        <f>IF($A1916="","",LEFT(Calc!$E1919,4)&amp;MID(Calc!$E1919,6,2)&amp;RIGHT(Calc!$E1919,2)&amp;Calc!$R1919&amp;"|"&amp;"1"&amp;RIGHT("00000"&amp;1911,5))</f>
        <v/>
      </c>
      <c r="C1916">
        <f>IF($B1916="","",COUNTIFS(LdgPartyA,$A1916,LdgKeyA,"&lt;"&amp;$B1916)+COUNTIFS(LdgPartyB,$A1916,LdgKeyB,"&lt;"&amp;$B1916)+1)</f>
        <v/>
      </c>
      <c r="D1916">
        <f>IF($C1916="","",$A1916&amp;"|"&amp;RIGHT("000000"&amp;$C1916,6))</f>
        <v/>
      </c>
      <c r="F1916">
        <f>IF(Sync!$AJ1916="","",Sync!$AJ1916)</f>
        <v/>
      </c>
      <c r="G1916">
        <f>IF($F1916="","",IF(Sync!$AG1916="","",IF(ISNUMBER(Sync!$AG1916),IF(AND(Sync!$AG1916&gt;=10000101,Sync!$AG1916&lt;=99991231),INT(Sync!$AG1916/10000),""),IFERROR(VALUE(TRIM(LEFT(Sync!$AG1916,FIND("/",Sync!$AG1916)-1))),""))))</f>
        <v/>
      </c>
      <c r="H1916">
        <f>IF(OR($F1916="",$G1916=""),"",IF(ISNUMBER(Sync!$AG1916),INT(MOD(Sync!$AG1916,10000)/100),IFERROR(VALUE(TRIM(LEFT(MID(Sync!$AG1916,FIND("/",Sync!$AG1916)+1,20),FIND("/",MID(Sync!$AG1916,FIND("/",Sync!$AG1916)+1,20))-1))),"")))</f>
        <v/>
      </c>
      <c r="I1916">
        <f>IF(OR($F1916="",$G1916=""),"",IF(ISNUMBER(Sync!$AG1916),MOD(Sync!$AG1916,100),IFERROR(VALUE(TRIM(MID(MID(Sync!$AG1916,FIND("/",Sync!$AG1916)+1,20),FIND("/",MID(Sync!$AG1916,FIND("/",Sync!$AG1916)+1,20))+1,20))),"")))</f>
        <v/>
      </c>
      <c r="J1916">
        <f>IF($F1916="","",IF(OR($G1916="",$H1916="",$I1916="",$G1916&lt;1300,$G1916&gt;1500,$H1916&lt;1,$H1916&gt;12,$I1916&lt;1,$I1916&gt;31),"نامعتبر",RIGHT("0000"&amp;$G1916,4)&amp;"/"&amp;RIGHT("00"&amp;$H1916,2)&amp;"/"&amp;RIGHT("00"&amp;$I1916,2)))</f>
        <v/>
      </c>
      <c r="K1916">
        <f>IF(OR($F1916="",$J1916="",$J1916="نامعتبر"),"",LEFT($J1916,4)&amp;MID($J1916,6,2)&amp;RIGHT($J1916,2)&amp;$N1916&amp;"|"&amp;"2"&amp;RIGHT("00000"&amp;1911,5))</f>
        <v/>
      </c>
      <c r="L1916">
        <f>IF($K1916="","",COUNTIFS(LdgPartyA,$F1916,LdgKeyA,"&lt;"&amp;$K1916)+COUNTIFS(LdgPartyB,$F1916,LdgKeyB,"&lt;"&amp;$K1916)+1)</f>
        <v/>
      </c>
      <c r="M1916">
        <f>IF($L1916="","",$F1916&amp;"|"&amp;RIGHT("000000"&amp;$L1916,6))</f>
        <v/>
      </c>
      <c r="N1916">
        <f>IF($F1916="","",IF(Sync!$AH1916="","0000",IF(AND(ISNUMBER(Sync!$AH1916),Sync!$AH1916&gt;=0,Sync!$AH1916&lt;1),RIGHT("00"&amp;HOUR(Sync!$AH1916),2)&amp;RIGHT("00"&amp;MINUTE(Sync!$AH1916),2),IFERROR(RIGHT("00"&amp;VALUE(LEFT(Sync!$AH1916,FIND(":",Sync!$AH1916)-1)),2)&amp;RIGHT("00"&amp;VALUE(MID(Sync!$AH1916,FIND(":",Sync!$AH1916)+1,2)),2),"0000"))))</f>
        <v/>
      </c>
    </row>
    <row r="1917">
      <c r="A1917">
        <f>IF(OR(Calc!$E1920="",Calc!$E1920="نامعتبر",Calc!$G1920="",Calc!$I1920&lt;&gt;"خرید"),"",Calc!$G1920)</f>
        <v/>
      </c>
      <c r="B1917">
        <f>IF($A1917="","",LEFT(Calc!$E1920,4)&amp;MID(Calc!$E1920,6,2)&amp;RIGHT(Calc!$E1920,2)&amp;Calc!$R1920&amp;"|"&amp;"1"&amp;RIGHT("00000"&amp;1912,5))</f>
        <v/>
      </c>
      <c r="C1917">
        <f>IF($B1917="","",COUNTIFS(LdgPartyA,$A1917,LdgKeyA,"&lt;"&amp;$B1917)+COUNTIFS(LdgPartyB,$A1917,LdgKeyB,"&lt;"&amp;$B1917)+1)</f>
        <v/>
      </c>
      <c r="D1917">
        <f>IF($C1917="","",$A1917&amp;"|"&amp;RIGHT("000000"&amp;$C1917,6))</f>
        <v/>
      </c>
      <c r="F1917">
        <f>IF(Sync!$AJ1917="","",Sync!$AJ1917)</f>
        <v/>
      </c>
      <c r="G1917">
        <f>IF($F1917="","",IF(Sync!$AG1917="","",IF(ISNUMBER(Sync!$AG1917),IF(AND(Sync!$AG1917&gt;=10000101,Sync!$AG1917&lt;=99991231),INT(Sync!$AG1917/10000),""),IFERROR(VALUE(TRIM(LEFT(Sync!$AG1917,FIND("/",Sync!$AG1917)-1))),""))))</f>
        <v/>
      </c>
      <c r="H1917">
        <f>IF(OR($F1917="",$G1917=""),"",IF(ISNUMBER(Sync!$AG1917),INT(MOD(Sync!$AG1917,10000)/100),IFERROR(VALUE(TRIM(LEFT(MID(Sync!$AG1917,FIND("/",Sync!$AG1917)+1,20),FIND("/",MID(Sync!$AG1917,FIND("/",Sync!$AG1917)+1,20))-1))),"")))</f>
        <v/>
      </c>
      <c r="I1917">
        <f>IF(OR($F1917="",$G1917=""),"",IF(ISNUMBER(Sync!$AG1917),MOD(Sync!$AG1917,100),IFERROR(VALUE(TRIM(MID(MID(Sync!$AG1917,FIND("/",Sync!$AG1917)+1,20),FIND("/",MID(Sync!$AG1917,FIND("/",Sync!$AG1917)+1,20))+1,20))),"")))</f>
        <v/>
      </c>
      <c r="J1917">
        <f>IF($F1917="","",IF(OR($G1917="",$H1917="",$I1917="",$G1917&lt;1300,$G1917&gt;1500,$H1917&lt;1,$H1917&gt;12,$I1917&lt;1,$I1917&gt;31),"نامعتبر",RIGHT("0000"&amp;$G1917,4)&amp;"/"&amp;RIGHT("00"&amp;$H1917,2)&amp;"/"&amp;RIGHT("00"&amp;$I1917,2)))</f>
        <v/>
      </c>
      <c r="K1917">
        <f>IF(OR($F1917="",$J1917="",$J1917="نامعتبر"),"",LEFT($J1917,4)&amp;MID($J1917,6,2)&amp;RIGHT($J1917,2)&amp;$N1917&amp;"|"&amp;"2"&amp;RIGHT("00000"&amp;1912,5))</f>
        <v/>
      </c>
      <c r="L1917">
        <f>IF($K1917="","",COUNTIFS(LdgPartyA,$F1917,LdgKeyA,"&lt;"&amp;$K1917)+COUNTIFS(LdgPartyB,$F1917,LdgKeyB,"&lt;"&amp;$K1917)+1)</f>
        <v/>
      </c>
      <c r="M1917">
        <f>IF($L1917="","",$F1917&amp;"|"&amp;RIGHT("000000"&amp;$L1917,6))</f>
        <v/>
      </c>
      <c r="N1917">
        <f>IF($F1917="","",IF(Sync!$AH1917="","0000",IF(AND(ISNUMBER(Sync!$AH1917),Sync!$AH1917&gt;=0,Sync!$AH1917&lt;1),RIGHT("00"&amp;HOUR(Sync!$AH1917),2)&amp;RIGHT("00"&amp;MINUTE(Sync!$AH1917),2),IFERROR(RIGHT("00"&amp;VALUE(LEFT(Sync!$AH1917,FIND(":",Sync!$AH1917)-1)),2)&amp;RIGHT("00"&amp;VALUE(MID(Sync!$AH1917,FIND(":",Sync!$AH1917)+1,2)),2),"0000"))))</f>
        <v/>
      </c>
    </row>
    <row r="1918">
      <c r="A1918">
        <f>IF(OR(Calc!$E1921="",Calc!$E1921="نامعتبر",Calc!$G1921="",Calc!$I1921&lt;&gt;"خرید"),"",Calc!$G1921)</f>
        <v/>
      </c>
      <c r="B1918">
        <f>IF($A1918="","",LEFT(Calc!$E1921,4)&amp;MID(Calc!$E1921,6,2)&amp;RIGHT(Calc!$E1921,2)&amp;Calc!$R1921&amp;"|"&amp;"1"&amp;RIGHT("00000"&amp;1913,5))</f>
        <v/>
      </c>
      <c r="C1918">
        <f>IF($B1918="","",COUNTIFS(LdgPartyA,$A1918,LdgKeyA,"&lt;"&amp;$B1918)+COUNTIFS(LdgPartyB,$A1918,LdgKeyB,"&lt;"&amp;$B1918)+1)</f>
        <v/>
      </c>
      <c r="D1918">
        <f>IF($C1918="","",$A1918&amp;"|"&amp;RIGHT("000000"&amp;$C1918,6))</f>
        <v/>
      </c>
      <c r="F1918">
        <f>IF(Sync!$AJ1918="","",Sync!$AJ1918)</f>
        <v/>
      </c>
      <c r="G1918">
        <f>IF($F1918="","",IF(Sync!$AG1918="","",IF(ISNUMBER(Sync!$AG1918),IF(AND(Sync!$AG1918&gt;=10000101,Sync!$AG1918&lt;=99991231),INT(Sync!$AG1918/10000),""),IFERROR(VALUE(TRIM(LEFT(Sync!$AG1918,FIND("/",Sync!$AG1918)-1))),""))))</f>
        <v/>
      </c>
      <c r="H1918">
        <f>IF(OR($F1918="",$G1918=""),"",IF(ISNUMBER(Sync!$AG1918),INT(MOD(Sync!$AG1918,10000)/100),IFERROR(VALUE(TRIM(LEFT(MID(Sync!$AG1918,FIND("/",Sync!$AG1918)+1,20),FIND("/",MID(Sync!$AG1918,FIND("/",Sync!$AG1918)+1,20))-1))),"")))</f>
        <v/>
      </c>
      <c r="I1918">
        <f>IF(OR($F1918="",$G1918=""),"",IF(ISNUMBER(Sync!$AG1918),MOD(Sync!$AG1918,100),IFERROR(VALUE(TRIM(MID(MID(Sync!$AG1918,FIND("/",Sync!$AG1918)+1,20),FIND("/",MID(Sync!$AG1918,FIND("/",Sync!$AG1918)+1,20))+1,20))),"")))</f>
        <v/>
      </c>
      <c r="J1918">
        <f>IF($F1918="","",IF(OR($G1918="",$H1918="",$I1918="",$G1918&lt;1300,$G1918&gt;1500,$H1918&lt;1,$H1918&gt;12,$I1918&lt;1,$I1918&gt;31),"نامعتبر",RIGHT("0000"&amp;$G1918,4)&amp;"/"&amp;RIGHT("00"&amp;$H1918,2)&amp;"/"&amp;RIGHT("00"&amp;$I1918,2)))</f>
        <v/>
      </c>
      <c r="K1918">
        <f>IF(OR($F1918="",$J1918="",$J1918="نامعتبر"),"",LEFT($J1918,4)&amp;MID($J1918,6,2)&amp;RIGHT($J1918,2)&amp;$N1918&amp;"|"&amp;"2"&amp;RIGHT("00000"&amp;1913,5))</f>
        <v/>
      </c>
      <c r="L1918">
        <f>IF($K1918="","",COUNTIFS(LdgPartyA,$F1918,LdgKeyA,"&lt;"&amp;$K1918)+COUNTIFS(LdgPartyB,$F1918,LdgKeyB,"&lt;"&amp;$K1918)+1)</f>
        <v/>
      </c>
      <c r="M1918">
        <f>IF($L1918="","",$F1918&amp;"|"&amp;RIGHT("000000"&amp;$L1918,6))</f>
        <v/>
      </c>
      <c r="N1918">
        <f>IF($F1918="","",IF(Sync!$AH1918="","0000",IF(AND(ISNUMBER(Sync!$AH1918),Sync!$AH1918&gt;=0,Sync!$AH1918&lt;1),RIGHT("00"&amp;HOUR(Sync!$AH1918),2)&amp;RIGHT("00"&amp;MINUTE(Sync!$AH1918),2),IFERROR(RIGHT("00"&amp;VALUE(LEFT(Sync!$AH1918,FIND(":",Sync!$AH1918)-1)),2)&amp;RIGHT("00"&amp;VALUE(MID(Sync!$AH1918,FIND(":",Sync!$AH1918)+1,2)),2),"0000"))))</f>
        <v/>
      </c>
    </row>
    <row r="1919">
      <c r="A1919">
        <f>IF(OR(Calc!$E1922="",Calc!$E1922="نامعتبر",Calc!$G1922="",Calc!$I1922&lt;&gt;"خرید"),"",Calc!$G1922)</f>
        <v/>
      </c>
      <c r="B1919">
        <f>IF($A1919="","",LEFT(Calc!$E1922,4)&amp;MID(Calc!$E1922,6,2)&amp;RIGHT(Calc!$E1922,2)&amp;Calc!$R1922&amp;"|"&amp;"1"&amp;RIGHT("00000"&amp;1914,5))</f>
        <v/>
      </c>
      <c r="C1919">
        <f>IF($B1919="","",COUNTIFS(LdgPartyA,$A1919,LdgKeyA,"&lt;"&amp;$B1919)+COUNTIFS(LdgPartyB,$A1919,LdgKeyB,"&lt;"&amp;$B1919)+1)</f>
        <v/>
      </c>
      <c r="D1919">
        <f>IF($C1919="","",$A1919&amp;"|"&amp;RIGHT("000000"&amp;$C1919,6))</f>
        <v/>
      </c>
      <c r="F1919">
        <f>IF(Sync!$AJ1919="","",Sync!$AJ1919)</f>
        <v/>
      </c>
      <c r="G1919">
        <f>IF($F1919="","",IF(Sync!$AG1919="","",IF(ISNUMBER(Sync!$AG1919),IF(AND(Sync!$AG1919&gt;=10000101,Sync!$AG1919&lt;=99991231),INT(Sync!$AG1919/10000),""),IFERROR(VALUE(TRIM(LEFT(Sync!$AG1919,FIND("/",Sync!$AG1919)-1))),""))))</f>
        <v/>
      </c>
      <c r="H1919">
        <f>IF(OR($F1919="",$G1919=""),"",IF(ISNUMBER(Sync!$AG1919),INT(MOD(Sync!$AG1919,10000)/100),IFERROR(VALUE(TRIM(LEFT(MID(Sync!$AG1919,FIND("/",Sync!$AG1919)+1,20),FIND("/",MID(Sync!$AG1919,FIND("/",Sync!$AG1919)+1,20))-1))),"")))</f>
        <v/>
      </c>
      <c r="I1919">
        <f>IF(OR($F1919="",$G1919=""),"",IF(ISNUMBER(Sync!$AG1919),MOD(Sync!$AG1919,100),IFERROR(VALUE(TRIM(MID(MID(Sync!$AG1919,FIND("/",Sync!$AG1919)+1,20),FIND("/",MID(Sync!$AG1919,FIND("/",Sync!$AG1919)+1,20))+1,20))),"")))</f>
        <v/>
      </c>
      <c r="J1919">
        <f>IF($F1919="","",IF(OR($G1919="",$H1919="",$I1919="",$G1919&lt;1300,$G1919&gt;1500,$H1919&lt;1,$H1919&gt;12,$I1919&lt;1,$I1919&gt;31),"نامعتبر",RIGHT("0000"&amp;$G1919,4)&amp;"/"&amp;RIGHT("00"&amp;$H1919,2)&amp;"/"&amp;RIGHT("00"&amp;$I1919,2)))</f>
        <v/>
      </c>
      <c r="K1919">
        <f>IF(OR($F1919="",$J1919="",$J1919="نامعتبر"),"",LEFT($J1919,4)&amp;MID($J1919,6,2)&amp;RIGHT($J1919,2)&amp;$N1919&amp;"|"&amp;"2"&amp;RIGHT("00000"&amp;1914,5))</f>
        <v/>
      </c>
      <c r="L1919">
        <f>IF($K1919="","",COUNTIFS(LdgPartyA,$F1919,LdgKeyA,"&lt;"&amp;$K1919)+COUNTIFS(LdgPartyB,$F1919,LdgKeyB,"&lt;"&amp;$K1919)+1)</f>
        <v/>
      </c>
      <c r="M1919">
        <f>IF($L1919="","",$F1919&amp;"|"&amp;RIGHT("000000"&amp;$L1919,6))</f>
        <v/>
      </c>
      <c r="N1919">
        <f>IF($F1919="","",IF(Sync!$AH1919="","0000",IF(AND(ISNUMBER(Sync!$AH1919),Sync!$AH1919&gt;=0,Sync!$AH1919&lt;1),RIGHT("00"&amp;HOUR(Sync!$AH1919),2)&amp;RIGHT("00"&amp;MINUTE(Sync!$AH1919),2),IFERROR(RIGHT("00"&amp;VALUE(LEFT(Sync!$AH1919,FIND(":",Sync!$AH1919)-1)),2)&amp;RIGHT("00"&amp;VALUE(MID(Sync!$AH1919,FIND(":",Sync!$AH1919)+1,2)),2),"0000"))))</f>
        <v/>
      </c>
    </row>
    <row r="1920">
      <c r="A1920">
        <f>IF(OR(Calc!$E1923="",Calc!$E1923="نامعتبر",Calc!$G1923="",Calc!$I1923&lt;&gt;"خرید"),"",Calc!$G1923)</f>
        <v/>
      </c>
      <c r="B1920">
        <f>IF($A1920="","",LEFT(Calc!$E1923,4)&amp;MID(Calc!$E1923,6,2)&amp;RIGHT(Calc!$E1923,2)&amp;Calc!$R1923&amp;"|"&amp;"1"&amp;RIGHT("00000"&amp;1915,5))</f>
        <v/>
      </c>
      <c r="C1920">
        <f>IF($B1920="","",COUNTIFS(LdgPartyA,$A1920,LdgKeyA,"&lt;"&amp;$B1920)+COUNTIFS(LdgPartyB,$A1920,LdgKeyB,"&lt;"&amp;$B1920)+1)</f>
        <v/>
      </c>
      <c r="D1920">
        <f>IF($C1920="","",$A1920&amp;"|"&amp;RIGHT("000000"&amp;$C1920,6))</f>
        <v/>
      </c>
      <c r="F1920">
        <f>IF(Sync!$AJ1920="","",Sync!$AJ1920)</f>
        <v/>
      </c>
      <c r="G1920">
        <f>IF($F1920="","",IF(Sync!$AG1920="","",IF(ISNUMBER(Sync!$AG1920),IF(AND(Sync!$AG1920&gt;=10000101,Sync!$AG1920&lt;=99991231),INT(Sync!$AG1920/10000),""),IFERROR(VALUE(TRIM(LEFT(Sync!$AG1920,FIND("/",Sync!$AG1920)-1))),""))))</f>
        <v/>
      </c>
      <c r="H1920">
        <f>IF(OR($F1920="",$G1920=""),"",IF(ISNUMBER(Sync!$AG1920),INT(MOD(Sync!$AG1920,10000)/100),IFERROR(VALUE(TRIM(LEFT(MID(Sync!$AG1920,FIND("/",Sync!$AG1920)+1,20),FIND("/",MID(Sync!$AG1920,FIND("/",Sync!$AG1920)+1,20))-1))),"")))</f>
        <v/>
      </c>
      <c r="I1920">
        <f>IF(OR($F1920="",$G1920=""),"",IF(ISNUMBER(Sync!$AG1920),MOD(Sync!$AG1920,100),IFERROR(VALUE(TRIM(MID(MID(Sync!$AG1920,FIND("/",Sync!$AG1920)+1,20),FIND("/",MID(Sync!$AG1920,FIND("/",Sync!$AG1920)+1,20))+1,20))),"")))</f>
        <v/>
      </c>
      <c r="J1920">
        <f>IF($F1920="","",IF(OR($G1920="",$H1920="",$I1920="",$G1920&lt;1300,$G1920&gt;1500,$H1920&lt;1,$H1920&gt;12,$I1920&lt;1,$I1920&gt;31),"نامعتبر",RIGHT("0000"&amp;$G1920,4)&amp;"/"&amp;RIGHT("00"&amp;$H1920,2)&amp;"/"&amp;RIGHT("00"&amp;$I1920,2)))</f>
        <v/>
      </c>
      <c r="K1920">
        <f>IF(OR($F1920="",$J1920="",$J1920="نامعتبر"),"",LEFT($J1920,4)&amp;MID($J1920,6,2)&amp;RIGHT($J1920,2)&amp;$N1920&amp;"|"&amp;"2"&amp;RIGHT("00000"&amp;1915,5))</f>
        <v/>
      </c>
      <c r="L1920">
        <f>IF($K1920="","",COUNTIFS(LdgPartyA,$F1920,LdgKeyA,"&lt;"&amp;$K1920)+COUNTIFS(LdgPartyB,$F1920,LdgKeyB,"&lt;"&amp;$K1920)+1)</f>
        <v/>
      </c>
      <c r="M1920">
        <f>IF($L1920="","",$F1920&amp;"|"&amp;RIGHT("000000"&amp;$L1920,6))</f>
        <v/>
      </c>
      <c r="N1920">
        <f>IF($F1920="","",IF(Sync!$AH1920="","0000",IF(AND(ISNUMBER(Sync!$AH1920),Sync!$AH1920&gt;=0,Sync!$AH1920&lt;1),RIGHT("00"&amp;HOUR(Sync!$AH1920),2)&amp;RIGHT("00"&amp;MINUTE(Sync!$AH1920),2),IFERROR(RIGHT("00"&amp;VALUE(LEFT(Sync!$AH1920,FIND(":",Sync!$AH1920)-1)),2)&amp;RIGHT("00"&amp;VALUE(MID(Sync!$AH1920,FIND(":",Sync!$AH1920)+1,2)),2),"0000"))))</f>
        <v/>
      </c>
    </row>
    <row r="1921">
      <c r="A1921">
        <f>IF(OR(Calc!$E1924="",Calc!$E1924="نامعتبر",Calc!$G1924="",Calc!$I1924&lt;&gt;"خرید"),"",Calc!$G1924)</f>
        <v/>
      </c>
      <c r="B1921">
        <f>IF($A1921="","",LEFT(Calc!$E1924,4)&amp;MID(Calc!$E1924,6,2)&amp;RIGHT(Calc!$E1924,2)&amp;Calc!$R1924&amp;"|"&amp;"1"&amp;RIGHT("00000"&amp;1916,5))</f>
        <v/>
      </c>
      <c r="C1921">
        <f>IF($B1921="","",COUNTIFS(LdgPartyA,$A1921,LdgKeyA,"&lt;"&amp;$B1921)+COUNTIFS(LdgPartyB,$A1921,LdgKeyB,"&lt;"&amp;$B1921)+1)</f>
        <v/>
      </c>
      <c r="D1921">
        <f>IF($C1921="","",$A1921&amp;"|"&amp;RIGHT("000000"&amp;$C1921,6))</f>
        <v/>
      </c>
      <c r="F1921">
        <f>IF(Sync!$AJ1921="","",Sync!$AJ1921)</f>
        <v/>
      </c>
      <c r="G1921">
        <f>IF($F1921="","",IF(Sync!$AG1921="","",IF(ISNUMBER(Sync!$AG1921),IF(AND(Sync!$AG1921&gt;=10000101,Sync!$AG1921&lt;=99991231),INT(Sync!$AG1921/10000),""),IFERROR(VALUE(TRIM(LEFT(Sync!$AG1921,FIND("/",Sync!$AG1921)-1))),""))))</f>
        <v/>
      </c>
      <c r="H1921">
        <f>IF(OR($F1921="",$G1921=""),"",IF(ISNUMBER(Sync!$AG1921),INT(MOD(Sync!$AG1921,10000)/100),IFERROR(VALUE(TRIM(LEFT(MID(Sync!$AG1921,FIND("/",Sync!$AG1921)+1,20),FIND("/",MID(Sync!$AG1921,FIND("/",Sync!$AG1921)+1,20))-1))),"")))</f>
        <v/>
      </c>
      <c r="I1921">
        <f>IF(OR($F1921="",$G1921=""),"",IF(ISNUMBER(Sync!$AG1921),MOD(Sync!$AG1921,100),IFERROR(VALUE(TRIM(MID(MID(Sync!$AG1921,FIND("/",Sync!$AG1921)+1,20),FIND("/",MID(Sync!$AG1921,FIND("/",Sync!$AG1921)+1,20))+1,20))),"")))</f>
        <v/>
      </c>
      <c r="J1921">
        <f>IF($F1921="","",IF(OR($G1921="",$H1921="",$I1921="",$G1921&lt;1300,$G1921&gt;1500,$H1921&lt;1,$H1921&gt;12,$I1921&lt;1,$I1921&gt;31),"نامعتبر",RIGHT("0000"&amp;$G1921,4)&amp;"/"&amp;RIGHT("00"&amp;$H1921,2)&amp;"/"&amp;RIGHT("00"&amp;$I1921,2)))</f>
        <v/>
      </c>
      <c r="K1921">
        <f>IF(OR($F1921="",$J1921="",$J1921="نامعتبر"),"",LEFT($J1921,4)&amp;MID($J1921,6,2)&amp;RIGHT($J1921,2)&amp;$N1921&amp;"|"&amp;"2"&amp;RIGHT("00000"&amp;1916,5))</f>
        <v/>
      </c>
      <c r="L1921">
        <f>IF($K1921="","",COUNTIFS(LdgPartyA,$F1921,LdgKeyA,"&lt;"&amp;$K1921)+COUNTIFS(LdgPartyB,$F1921,LdgKeyB,"&lt;"&amp;$K1921)+1)</f>
        <v/>
      </c>
      <c r="M1921">
        <f>IF($L1921="","",$F1921&amp;"|"&amp;RIGHT("000000"&amp;$L1921,6))</f>
        <v/>
      </c>
      <c r="N1921">
        <f>IF($F1921="","",IF(Sync!$AH1921="","0000",IF(AND(ISNUMBER(Sync!$AH1921),Sync!$AH1921&gt;=0,Sync!$AH1921&lt;1),RIGHT("00"&amp;HOUR(Sync!$AH1921),2)&amp;RIGHT("00"&amp;MINUTE(Sync!$AH1921),2),IFERROR(RIGHT("00"&amp;VALUE(LEFT(Sync!$AH1921,FIND(":",Sync!$AH1921)-1)),2)&amp;RIGHT("00"&amp;VALUE(MID(Sync!$AH1921,FIND(":",Sync!$AH1921)+1,2)),2),"0000"))))</f>
        <v/>
      </c>
    </row>
    <row r="1922">
      <c r="A1922">
        <f>IF(OR(Calc!$E1925="",Calc!$E1925="نامعتبر",Calc!$G1925="",Calc!$I1925&lt;&gt;"خرید"),"",Calc!$G1925)</f>
        <v/>
      </c>
      <c r="B1922">
        <f>IF($A1922="","",LEFT(Calc!$E1925,4)&amp;MID(Calc!$E1925,6,2)&amp;RIGHT(Calc!$E1925,2)&amp;Calc!$R1925&amp;"|"&amp;"1"&amp;RIGHT("00000"&amp;1917,5))</f>
        <v/>
      </c>
      <c r="C1922">
        <f>IF($B1922="","",COUNTIFS(LdgPartyA,$A1922,LdgKeyA,"&lt;"&amp;$B1922)+COUNTIFS(LdgPartyB,$A1922,LdgKeyB,"&lt;"&amp;$B1922)+1)</f>
        <v/>
      </c>
      <c r="D1922">
        <f>IF($C1922="","",$A1922&amp;"|"&amp;RIGHT("000000"&amp;$C1922,6))</f>
        <v/>
      </c>
      <c r="F1922">
        <f>IF(Sync!$AJ1922="","",Sync!$AJ1922)</f>
        <v/>
      </c>
      <c r="G1922">
        <f>IF($F1922="","",IF(Sync!$AG1922="","",IF(ISNUMBER(Sync!$AG1922),IF(AND(Sync!$AG1922&gt;=10000101,Sync!$AG1922&lt;=99991231),INT(Sync!$AG1922/10000),""),IFERROR(VALUE(TRIM(LEFT(Sync!$AG1922,FIND("/",Sync!$AG1922)-1))),""))))</f>
        <v/>
      </c>
      <c r="H1922">
        <f>IF(OR($F1922="",$G1922=""),"",IF(ISNUMBER(Sync!$AG1922),INT(MOD(Sync!$AG1922,10000)/100),IFERROR(VALUE(TRIM(LEFT(MID(Sync!$AG1922,FIND("/",Sync!$AG1922)+1,20),FIND("/",MID(Sync!$AG1922,FIND("/",Sync!$AG1922)+1,20))-1))),"")))</f>
        <v/>
      </c>
      <c r="I1922">
        <f>IF(OR($F1922="",$G1922=""),"",IF(ISNUMBER(Sync!$AG1922),MOD(Sync!$AG1922,100),IFERROR(VALUE(TRIM(MID(MID(Sync!$AG1922,FIND("/",Sync!$AG1922)+1,20),FIND("/",MID(Sync!$AG1922,FIND("/",Sync!$AG1922)+1,20))+1,20))),"")))</f>
        <v/>
      </c>
      <c r="J1922">
        <f>IF($F1922="","",IF(OR($G1922="",$H1922="",$I1922="",$G1922&lt;1300,$G1922&gt;1500,$H1922&lt;1,$H1922&gt;12,$I1922&lt;1,$I1922&gt;31),"نامعتبر",RIGHT("0000"&amp;$G1922,4)&amp;"/"&amp;RIGHT("00"&amp;$H1922,2)&amp;"/"&amp;RIGHT("00"&amp;$I1922,2)))</f>
        <v/>
      </c>
      <c r="K1922">
        <f>IF(OR($F1922="",$J1922="",$J1922="نامعتبر"),"",LEFT($J1922,4)&amp;MID($J1922,6,2)&amp;RIGHT($J1922,2)&amp;$N1922&amp;"|"&amp;"2"&amp;RIGHT("00000"&amp;1917,5))</f>
        <v/>
      </c>
      <c r="L1922">
        <f>IF($K1922="","",COUNTIFS(LdgPartyA,$F1922,LdgKeyA,"&lt;"&amp;$K1922)+COUNTIFS(LdgPartyB,$F1922,LdgKeyB,"&lt;"&amp;$K1922)+1)</f>
        <v/>
      </c>
      <c r="M1922">
        <f>IF($L1922="","",$F1922&amp;"|"&amp;RIGHT("000000"&amp;$L1922,6))</f>
        <v/>
      </c>
      <c r="N1922">
        <f>IF($F1922="","",IF(Sync!$AH1922="","0000",IF(AND(ISNUMBER(Sync!$AH1922),Sync!$AH1922&gt;=0,Sync!$AH1922&lt;1),RIGHT("00"&amp;HOUR(Sync!$AH1922),2)&amp;RIGHT("00"&amp;MINUTE(Sync!$AH1922),2),IFERROR(RIGHT("00"&amp;VALUE(LEFT(Sync!$AH1922,FIND(":",Sync!$AH1922)-1)),2)&amp;RIGHT("00"&amp;VALUE(MID(Sync!$AH1922,FIND(":",Sync!$AH1922)+1,2)),2),"0000"))))</f>
        <v/>
      </c>
    </row>
    <row r="1923">
      <c r="A1923">
        <f>IF(OR(Calc!$E1926="",Calc!$E1926="نامعتبر",Calc!$G1926="",Calc!$I1926&lt;&gt;"خرید"),"",Calc!$G1926)</f>
        <v/>
      </c>
      <c r="B1923">
        <f>IF($A1923="","",LEFT(Calc!$E1926,4)&amp;MID(Calc!$E1926,6,2)&amp;RIGHT(Calc!$E1926,2)&amp;Calc!$R1926&amp;"|"&amp;"1"&amp;RIGHT("00000"&amp;1918,5))</f>
        <v/>
      </c>
      <c r="C1923">
        <f>IF($B1923="","",COUNTIFS(LdgPartyA,$A1923,LdgKeyA,"&lt;"&amp;$B1923)+COUNTIFS(LdgPartyB,$A1923,LdgKeyB,"&lt;"&amp;$B1923)+1)</f>
        <v/>
      </c>
      <c r="D1923">
        <f>IF($C1923="","",$A1923&amp;"|"&amp;RIGHT("000000"&amp;$C1923,6))</f>
        <v/>
      </c>
      <c r="F1923">
        <f>IF(Sync!$AJ1923="","",Sync!$AJ1923)</f>
        <v/>
      </c>
      <c r="G1923">
        <f>IF($F1923="","",IF(Sync!$AG1923="","",IF(ISNUMBER(Sync!$AG1923),IF(AND(Sync!$AG1923&gt;=10000101,Sync!$AG1923&lt;=99991231),INT(Sync!$AG1923/10000),""),IFERROR(VALUE(TRIM(LEFT(Sync!$AG1923,FIND("/",Sync!$AG1923)-1))),""))))</f>
        <v/>
      </c>
      <c r="H1923">
        <f>IF(OR($F1923="",$G1923=""),"",IF(ISNUMBER(Sync!$AG1923),INT(MOD(Sync!$AG1923,10000)/100),IFERROR(VALUE(TRIM(LEFT(MID(Sync!$AG1923,FIND("/",Sync!$AG1923)+1,20),FIND("/",MID(Sync!$AG1923,FIND("/",Sync!$AG1923)+1,20))-1))),"")))</f>
        <v/>
      </c>
      <c r="I1923">
        <f>IF(OR($F1923="",$G1923=""),"",IF(ISNUMBER(Sync!$AG1923),MOD(Sync!$AG1923,100),IFERROR(VALUE(TRIM(MID(MID(Sync!$AG1923,FIND("/",Sync!$AG1923)+1,20),FIND("/",MID(Sync!$AG1923,FIND("/",Sync!$AG1923)+1,20))+1,20))),"")))</f>
        <v/>
      </c>
      <c r="J1923">
        <f>IF($F1923="","",IF(OR($G1923="",$H1923="",$I1923="",$G1923&lt;1300,$G1923&gt;1500,$H1923&lt;1,$H1923&gt;12,$I1923&lt;1,$I1923&gt;31),"نامعتبر",RIGHT("0000"&amp;$G1923,4)&amp;"/"&amp;RIGHT("00"&amp;$H1923,2)&amp;"/"&amp;RIGHT("00"&amp;$I1923,2)))</f>
        <v/>
      </c>
      <c r="K1923">
        <f>IF(OR($F1923="",$J1923="",$J1923="نامعتبر"),"",LEFT($J1923,4)&amp;MID($J1923,6,2)&amp;RIGHT($J1923,2)&amp;$N1923&amp;"|"&amp;"2"&amp;RIGHT("00000"&amp;1918,5))</f>
        <v/>
      </c>
      <c r="L1923">
        <f>IF($K1923="","",COUNTIFS(LdgPartyA,$F1923,LdgKeyA,"&lt;"&amp;$K1923)+COUNTIFS(LdgPartyB,$F1923,LdgKeyB,"&lt;"&amp;$K1923)+1)</f>
        <v/>
      </c>
      <c r="M1923">
        <f>IF($L1923="","",$F1923&amp;"|"&amp;RIGHT("000000"&amp;$L1923,6))</f>
        <v/>
      </c>
      <c r="N1923">
        <f>IF($F1923="","",IF(Sync!$AH1923="","0000",IF(AND(ISNUMBER(Sync!$AH1923),Sync!$AH1923&gt;=0,Sync!$AH1923&lt;1),RIGHT("00"&amp;HOUR(Sync!$AH1923),2)&amp;RIGHT("00"&amp;MINUTE(Sync!$AH1923),2),IFERROR(RIGHT("00"&amp;VALUE(LEFT(Sync!$AH1923,FIND(":",Sync!$AH1923)-1)),2)&amp;RIGHT("00"&amp;VALUE(MID(Sync!$AH1923,FIND(":",Sync!$AH1923)+1,2)),2),"0000"))))</f>
        <v/>
      </c>
    </row>
    <row r="1924">
      <c r="A1924">
        <f>IF(OR(Calc!$E1927="",Calc!$E1927="نامعتبر",Calc!$G1927="",Calc!$I1927&lt;&gt;"خرید"),"",Calc!$G1927)</f>
        <v/>
      </c>
      <c r="B1924">
        <f>IF($A1924="","",LEFT(Calc!$E1927,4)&amp;MID(Calc!$E1927,6,2)&amp;RIGHT(Calc!$E1927,2)&amp;Calc!$R1927&amp;"|"&amp;"1"&amp;RIGHT("00000"&amp;1919,5))</f>
        <v/>
      </c>
      <c r="C1924">
        <f>IF($B1924="","",COUNTIFS(LdgPartyA,$A1924,LdgKeyA,"&lt;"&amp;$B1924)+COUNTIFS(LdgPartyB,$A1924,LdgKeyB,"&lt;"&amp;$B1924)+1)</f>
        <v/>
      </c>
      <c r="D1924">
        <f>IF($C1924="","",$A1924&amp;"|"&amp;RIGHT("000000"&amp;$C1924,6))</f>
        <v/>
      </c>
      <c r="F1924">
        <f>IF(Sync!$AJ1924="","",Sync!$AJ1924)</f>
        <v/>
      </c>
      <c r="G1924">
        <f>IF($F1924="","",IF(Sync!$AG1924="","",IF(ISNUMBER(Sync!$AG1924),IF(AND(Sync!$AG1924&gt;=10000101,Sync!$AG1924&lt;=99991231),INT(Sync!$AG1924/10000),""),IFERROR(VALUE(TRIM(LEFT(Sync!$AG1924,FIND("/",Sync!$AG1924)-1))),""))))</f>
        <v/>
      </c>
      <c r="H1924">
        <f>IF(OR($F1924="",$G1924=""),"",IF(ISNUMBER(Sync!$AG1924),INT(MOD(Sync!$AG1924,10000)/100),IFERROR(VALUE(TRIM(LEFT(MID(Sync!$AG1924,FIND("/",Sync!$AG1924)+1,20),FIND("/",MID(Sync!$AG1924,FIND("/",Sync!$AG1924)+1,20))-1))),"")))</f>
        <v/>
      </c>
      <c r="I1924">
        <f>IF(OR($F1924="",$G1924=""),"",IF(ISNUMBER(Sync!$AG1924),MOD(Sync!$AG1924,100),IFERROR(VALUE(TRIM(MID(MID(Sync!$AG1924,FIND("/",Sync!$AG1924)+1,20),FIND("/",MID(Sync!$AG1924,FIND("/",Sync!$AG1924)+1,20))+1,20))),"")))</f>
        <v/>
      </c>
      <c r="J1924">
        <f>IF($F1924="","",IF(OR($G1924="",$H1924="",$I1924="",$G1924&lt;1300,$G1924&gt;1500,$H1924&lt;1,$H1924&gt;12,$I1924&lt;1,$I1924&gt;31),"نامعتبر",RIGHT("0000"&amp;$G1924,4)&amp;"/"&amp;RIGHT("00"&amp;$H1924,2)&amp;"/"&amp;RIGHT("00"&amp;$I1924,2)))</f>
        <v/>
      </c>
      <c r="K1924">
        <f>IF(OR($F1924="",$J1924="",$J1924="نامعتبر"),"",LEFT($J1924,4)&amp;MID($J1924,6,2)&amp;RIGHT($J1924,2)&amp;$N1924&amp;"|"&amp;"2"&amp;RIGHT("00000"&amp;1919,5))</f>
        <v/>
      </c>
      <c r="L1924">
        <f>IF($K1924="","",COUNTIFS(LdgPartyA,$F1924,LdgKeyA,"&lt;"&amp;$K1924)+COUNTIFS(LdgPartyB,$F1924,LdgKeyB,"&lt;"&amp;$K1924)+1)</f>
        <v/>
      </c>
      <c r="M1924">
        <f>IF($L1924="","",$F1924&amp;"|"&amp;RIGHT("000000"&amp;$L1924,6))</f>
        <v/>
      </c>
      <c r="N1924">
        <f>IF($F1924="","",IF(Sync!$AH1924="","0000",IF(AND(ISNUMBER(Sync!$AH1924),Sync!$AH1924&gt;=0,Sync!$AH1924&lt;1),RIGHT("00"&amp;HOUR(Sync!$AH1924),2)&amp;RIGHT("00"&amp;MINUTE(Sync!$AH1924),2),IFERROR(RIGHT("00"&amp;VALUE(LEFT(Sync!$AH1924,FIND(":",Sync!$AH1924)-1)),2)&amp;RIGHT("00"&amp;VALUE(MID(Sync!$AH1924,FIND(":",Sync!$AH1924)+1,2)),2),"0000"))))</f>
        <v/>
      </c>
    </row>
    <row r="1925">
      <c r="A1925">
        <f>IF(OR(Calc!$E1928="",Calc!$E1928="نامعتبر",Calc!$G1928="",Calc!$I1928&lt;&gt;"خرید"),"",Calc!$G1928)</f>
        <v/>
      </c>
      <c r="B1925">
        <f>IF($A1925="","",LEFT(Calc!$E1928,4)&amp;MID(Calc!$E1928,6,2)&amp;RIGHT(Calc!$E1928,2)&amp;Calc!$R1928&amp;"|"&amp;"1"&amp;RIGHT("00000"&amp;1920,5))</f>
        <v/>
      </c>
      <c r="C1925">
        <f>IF($B1925="","",COUNTIFS(LdgPartyA,$A1925,LdgKeyA,"&lt;"&amp;$B1925)+COUNTIFS(LdgPartyB,$A1925,LdgKeyB,"&lt;"&amp;$B1925)+1)</f>
        <v/>
      </c>
      <c r="D1925">
        <f>IF($C1925="","",$A1925&amp;"|"&amp;RIGHT("000000"&amp;$C1925,6))</f>
        <v/>
      </c>
      <c r="F1925">
        <f>IF(Sync!$AJ1925="","",Sync!$AJ1925)</f>
        <v/>
      </c>
      <c r="G1925">
        <f>IF($F1925="","",IF(Sync!$AG1925="","",IF(ISNUMBER(Sync!$AG1925),IF(AND(Sync!$AG1925&gt;=10000101,Sync!$AG1925&lt;=99991231),INT(Sync!$AG1925/10000),""),IFERROR(VALUE(TRIM(LEFT(Sync!$AG1925,FIND("/",Sync!$AG1925)-1))),""))))</f>
        <v/>
      </c>
      <c r="H1925">
        <f>IF(OR($F1925="",$G1925=""),"",IF(ISNUMBER(Sync!$AG1925),INT(MOD(Sync!$AG1925,10000)/100),IFERROR(VALUE(TRIM(LEFT(MID(Sync!$AG1925,FIND("/",Sync!$AG1925)+1,20),FIND("/",MID(Sync!$AG1925,FIND("/",Sync!$AG1925)+1,20))-1))),"")))</f>
        <v/>
      </c>
      <c r="I1925">
        <f>IF(OR($F1925="",$G1925=""),"",IF(ISNUMBER(Sync!$AG1925),MOD(Sync!$AG1925,100),IFERROR(VALUE(TRIM(MID(MID(Sync!$AG1925,FIND("/",Sync!$AG1925)+1,20),FIND("/",MID(Sync!$AG1925,FIND("/",Sync!$AG1925)+1,20))+1,20))),"")))</f>
        <v/>
      </c>
      <c r="J1925">
        <f>IF($F1925="","",IF(OR($G1925="",$H1925="",$I1925="",$G1925&lt;1300,$G1925&gt;1500,$H1925&lt;1,$H1925&gt;12,$I1925&lt;1,$I1925&gt;31),"نامعتبر",RIGHT("0000"&amp;$G1925,4)&amp;"/"&amp;RIGHT("00"&amp;$H1925,2)&amp;"/"&amp;RIGHT("00"&amp;$I1925,2)))</f>
        <v/>
      </c>
      <c r="K1925">
        <f>IF(OR($F1925="",$J1925="",$J1925="نامعتبر"),"",LEFT($J1925,4)&amp;MID($J1925,6,2)&amp;RIGHT($J1925,2)&amp;$N1925&amp;"|"&amp;"2"&amp;RIGHT("00000"&amp;1920,5))</f>
        <v/>
      </c>
      <c r="L1925">
        <f>IF($K1925="","",COUNTIFS(LdgPartyA,$F1925,LdgKeyA,"&lt;"&amp;$K1925)+COUNTIFS(LdgPartyB,$F1925,LdgKeyB,"&lt;"&amp;$K1925)+1)</f>
        <v/>
      </c>
      <c r="M1925">
        <f>IF($L1925="","",$F1925&amp;"|"&amp;RIGHT("000000"&amp;$L1925,6))</f>
        <v/>
      </c>
      <c r="N1925">
        <f>IF($F1925="","",IF(Sync!$AH1925="","0000",IF(AND(ISNUMBER(Sync!$AH1925),Sync!$AH1925&gt;=0,Sync!$AH1925&lt;1),RIGHT("00"&amp;HOUR(Sync!$AH1925),2)&amp;RIGHT("00"&amp;MINUTE(Sync!$AH1925),2),IFERROR(RIGHT("00"&amp;VALUE(LEFT(Sync!$AH1925,FIND(":",Sync!$AH1925)-1)),2)&amp;RIGHT("00"&amp;VALUE(MID(Sync!$AH1925,FIND(":",Sync!$AH1925)+1,2)),2),"0000"))))</f>
        <v/>
      </c>
    </row>
    <row r="1926">
      <c r="A1926">
        <f>IF(OR(Calc!$E1929="",Calc!$E1929="نامعتبر",Calc!$G1929="",Calc!$I1929&lt;&gt;"خرید"),"",Calc!$G1929)</f>
        <v/>
      </c>
      <c r="B1926">
        <f>IF($A1926="","",LEFT(Calc!$E1929,4)&amp;MID(Calc!$E1929,6,2)&amp;RIGHT(Calc!$E1929,2)&amp;Calc!$R1929&amp;"|"&amp;"1"&amp;RIGHT("00000"&amp;1921,5))</f>
        <v/>
      </c>
      <c r="C1926">
        <f>IF($B1926="","",COUNTIFS(LdgPartyA,$A1926,LdgKeyA,"&lt;"&amp;$B1926)+COUNTIFS(LdgPartyB,$A1926,LdgKeyB,"&lt;"&amp;$B1926)+1)</f>
        <v/>
      </c>
      <c r="D1926">
        <f>IF($C1926="","",$A1926&amp;"|"&amp;RIGHT("000000"&amp;$C1926,6))</f>
        <v/>
      </c>
      <c r="F1926">
        <f>IF(Sync!$AJ1926="","",Sync!$AJ1926)</f>
        <v/>
      </c>
      <c r="G1926">
        <f>IF($F1926="","",IF(Sync!$AG1926="","",IF(ISNUMBER(Sync!$AG1926),IF(AND(Sync!$AG1926&gt;=10000101,Sync!$AG1926&lt;=99991231),INT(Sync!$AG1926/10000),""),IFERROR(VALUE(TRIM(LEFT(Sync!$AG1926,FIND("/",Sync!$AG1926)-1))),""))))</f>
        <v/>
      </c>
      <c r="H1926">
        <f>IF(OR($F1926="",$G1926=""),"",IF(ISNUMBER(Sync!$AG1926),INT(MOD(Sync!$AG1926,10000)/100),IFERROR(VALUE(TRIM(LEFT(MID(Sync!$AG1926,FIND("/",Sync!$AG1926)+1,20),FIND("/",MID(Sync!$AG1926,FIND("/",Sync!$AG1926)+1,20))-1))),"")))</f>
        <v/>
      </c>
      <c r="I1926">
        <f>IF(OR($F1926="",$G1926=""),"",IF(ISNUMBER(Sync!$AG1926),MOD(Sync!$AG1926,100),IFERROR(VALUE(TRIM(MID(MID(Sync!$AG1926,FIND("/",Sync!$AG1926)+1,20),FIND("/",MID(Sync!$AG1926,FIND("/",Sync!$AG1926)+1,20))+1,20))),"")))</f>
        <v/>
      </c>
      <c r="J1926">
        <f>IF($F1926="","",IF(OR($G1926="",$H1926="",$I1926="",$G1926&lt;1300,$G1926&gt;1500,$H1926&lt;1,$H1926&gt;12,$I1926&lt;1,$I1926&gt;31),"نامعتبر",RIGHT("0000"&amp;$G1926,4)&amp;"/"&amp;RIGHT("00"&amp;$H1926,2)&amp;"/"&amp;RIGHT("00"&amp;$I1926,2)))</f>
        <v/>
      </c>
      <c r="K1926">
        <f>IF(OR($F1926="",$J1926="",$J1926="نامعتبر"),"",LEFT($J1926,4)&amp;MID($J1926,6,2)&amp;RIGHT($J1926,2)&amp;$N1926&amp;"|"&amp;"2"&amp;RIGHT("00000"&amp;1921,5))</f>
        <v/>
      </c>
      <c r="L1926">
        <f>IF($K1926="","",COUNTIFS(LdgPartyA,$F1926,LdgKeyA,"&lt;"&amp;$K1926)+COUNTIFS(LdgPartyB,$F1926,LdgKeyB,"&lt;"&amp;$K1926)+1)</f>
        <v/>
      </c>
      <c r="M1926">
        <f>IF($L1926="","",$F1926&amp;"|"&amp;RIGHT("000000"&amp;$L1926,6))</f>
        <v/>
      </c>
      <c r="N1926">
        <f>IF($F1926="","",IF(Sync!$AH1926="","0000",IF(AND(ISNUMBER(Sync!$AH1926),Sync!$AH1926&gt;=0,Sync!$AH1926&lt;1),RIGHT("00"&amp;HOUR(Sync!$AH1926),2)&amp;RIGHT("00"&amp;MINUTE(Sync!$AH1926),2),IFERROR(RIGHT("00"&amp;VALUE(LEFT(Sync!$AH1926,FIND(":",Sync!$AH1926)-1)),2)&amp;RIGHT("00"&amp;VALUE(MID(Sync!$AH1926,FIND(":",Sync!$AH1926)+1,2)),2),"0000"))))</f>
        <v/>
      </c>
    </row>
    <row r="1927">
      <c r="A1927">
        <f>IF(OR(Calc!$E1930="",Calc!$E1930="نامعتبر",Calc!$G1930="",Calc!$I1930&lt;&gt;"خرید"),"",Calc!$G1930)</f>
        <v/>
      </c>
      <c r="B1927">
        <f>IF($A1927="","",LEFT(Calc!$E1930,4)&amp;MID(Calc!$E1930,6,2)&amp;RIGHT(Calc!$E1930,2)&amp;Calc!$R1930&amp;"|"&amp;"1"&amp;RIGHT("00000"&amp;1922,5))</f>
        <v/>
      </c>
      <c r="C1927">
        <f>IF($B1927="","",COUNTIFS(LdgPartyA,$A1927,LdgKeyA,"&lt;"&amp;$B1927)+COUNTIFS(LdgPartyB,$A1927,LdgKeyB,"&lt;"&amp;$B1927)+1)</f>
        <v/>
      </c>
      <c r="D1927">
        <f>IF($C1927="","",$A1927&amp;"|"&amp;RIGHT("000000"&amp;$C1927,6))</f>
        <v/>
      </c>
      <c r="F1927">
        <f>IF(Sync!$AJ1927="","",Sync!$AJ1927)</f>
        <v/>
      </c>
      <c r="G1927">
        <f>IF($F1927="","",IF(Sync!$AG1927="","",IF(ISNUMBER(Sync!$AG1927),IF(AND(Sync!$AG1927&gt;=10000101,Sync!$AG1927&lt;=99991231),INT(Sync!$AG1927/10000),""),IFERROR(VALUE(TRIM(LEFT(Sync!$AG1927,FIND("/",Sync!$AG1927)-1))),""))))</f>
        <v/>
      </c>
      <c r="H1927">
        <f>IF(OR($F1927="",$G1927=""),"",IF(ISNUMBER(Sync!$AG1927),INT(MOD(Sync!$AG1927,10000)/100),IFERROR(VALUE(TRIM(LEFT(MID(Sync!$AG1927,FIND("/",Sync!$AG1927)+1,20),FIND("/",MID(Sync!$AG1927,FIND("/",Sync!$AG1927)+1,20))-1))),"")))</f>
        <v/>
      </c>
      <c r="I1927">
        <f>IF(OR($F1927="",$G1927=""),"",IF(ISNUMBER(Sync!$AG1927),MOD(Sync!$AG1927,100),IFERROR(VALUE(TRIM(MID(MID(Sync!$AG1927,FIND("/",Sync!$AG1927)+1,20),FIND("/",MID(Sync!$AG1927,FIND("/",Sync!$AG1927)+1,20))+1,20))),"")))</f>
        <v/>
      </c>
      <c r="J1927">
        <f>IF($F1927="","",IF(OR($G1927="",$H1927="",$I1927="",$G1927&lt;1300,$G1927&gt;1500,$H1927&lt;1,$H1927&gt;12,$I1927&lt;1,$I1927&gt;31),"نامعتبر",RIGHT("0000"&amp;$G1927,4)&amp;"/"&amp;RIGHT("00"&amp;$H1927,2)&amp;"/"&amp;RIGHT("00"&amp;$I1927,2)))</f>
        <v/>
      </c>
      <c r="K1927">
        <f>IF(OR($F1927="",$J1927="",$J1927="نامعتبر"),"",LEFT($J1927,4)&amp;MID($J1927,6,2)&amp;RIGHT($J1927,2)&amp;$N1927&amp;"|"&amp;"2"&amp;RIGHT("00000"&amp;1922,5))</f>
        <v/>
      </c>
      <c r="L1927">
        <f>IF($K1927="","",COUNTIFS(LdgPartyA,$F1927,LdgKeyA,"&lt;"&amp;$K1927)+COUNTIFS(LdgPartyB,$F1927,LdgKeyB,"&lt;"&amp;$K1927)+1)</f>
        <v/>
      </c>
      <c r="M1927">
        <f>IF($L1927="","",$F1927&amp;"|"&amp;RIGHT("000000"&amp;$L1927,6))</f>
        <v/>
      </c>
      <c r="N1927">
        <f>IF($F1927="","",IF(Sync!$AH1927="","0000",IF(AND(ISNUMBER(Sync!$AH1927),Sync!$AH1927&gt;=0,Sync!$AH1927&lt;1),RIGHT("00"&amp;HOUR(Sync!$AH1927),2)&amp;RIGHT("00"&amp;MINUTE(Sync!$AH1927),2),IFERROR(RIGHT("00"&amp;VALUE(LEFT(Sync!$AH1927,FIND(":",Sync!$AH1927)-1)),2)&amp;RIGHT("00"&amp;VALUE(MID(Sync!$AH1927,FIND(":",Sync!$AH1927)+1,2)),2),"0000"))))</f>
        <v/>
      </c>
    </row>
    <row r="1928">
      <c r="A1928">
        <f>IF(OR(Calc!$E1931="",Calc!$E1931="نامعتبر",Calc!$G1931="",Calc!$I1931&lt;&gt;"خرید"),"",Calc!$G1931)</f>
        <v/>
      </c>
      <c r="B1928">
        <f>IF($A1928="","",LEFT(Calc!$E1931,4)&amp;MID(Calc!$E1931,6,2)&amp;RIGHT(Calc!$E1931,2)&amp;Calc!$R1931&amp;"|"&amp;"1"&amp;RIGHT("00000"&amp;1923,5))</f>
        <v/>
      </c>
      <c r="C1928">
        <f>IF($B1928="","",COUNTIFS(LdgPartyA,$A1928,LdgKeyA,"&lt;"&amp;$B1928)+COUNTIFS(LdgPartyB,$A1928,LdgKeyB,"&lt;"&amp;$B1928)+1)</f>
        <v/>
      </c>
      <c r="D1928">
        <f>IF($C1928="","",$A1928&amp;"|"&amp;RIGHT("000000"&amp;$C1928,6))</f>
        <v/>
      </c>
      <c r="F1928">
        <f>IF(Sync!$AJ1928="","",Sync!$AJ1928)</f>
        <v/>
      </c>
      <c r="G1928">
        <f>IF($F1928="","",IF(Sync!$AG1928="","",IF(ISNUMBER(Sync!$AG1928),IF(AND(Sync!$AG1928&gt;=10000101,Sync!$AG1928&lt;=99991231),INT(Sync!$AG1928/10000),""),IFERROR(VALUE(TRIM(LEFT(Sync!$AG1928,FIND("/",Sync!$AG1928)-1))),""))))</f>
        <v/>
      </c>
      <c r="H1928">
        <f>IF(OR($F1928="",$G1928=""),"",IF(ISNUMBER(Sync!$AG1928),INT(MOD(Sync!$AG1928,10000)/100),IFERROR(VALUE(TRIM(LEFT(MID(Sync!$AG1928,FIND("/",Sync!$AG1928)+1,20),FIND("/",MID(Sync!$AG1928,FIND("/",Sync!$AG1928)+1,20))-1))),"")))</f>
        <v/>
      </c>
      <c r="I1928">
        <f>IF(OR($F1928="",$G1928=""),"",IF(ISNUMBER(Sync!$AG1928),MOD(Sync!$AG1928,100),IFERROR(VALUE(TRIM(MID(MID(Sync!$AG1928,FIND("/",Sync!$AG1928)+1,20),FIND("/",MID(Sync!$AG1928,FIND("/",Sync!$AG1928)+1,20))+1,20))),"")))</f>
        <v/>
      </c>
      <c r="J1928">
        <f>IF($F1928="","",IF(OR($G1928="",$H1928="",$I1928="",$G1928&lt;1300,$G1928&gt;1500,$H1928&lt;1,$H1928&gt;12,$I1928&lt;1,$I1928&gt;31),"نامعتبر",RIGHT("0000"&amp;$G1928,4)&amp;"/"&amp;RIGHT("00"&amp;$H1928,2)&amp;"/"&amp;RIGHT("00"&amp;$I1928,2)))</f>
        <v/>
      </c>
      <c r="K1928">
        <f>IF(OR($F1928="",$J1928="",$J1928="نامعتبر"),"",LEFT($J1928,4)&amp;MID($J1928,6,2)&amp;RIGHT($J1928,2)&amp;$N1928&amp;"|"&amp;"2"&amp;RIGHT("00000"&amp;1923,5))</f>
        <v/>
      </c>
      <c r="L1928">
        <f>IF($K1928="","",COUNTIFS(LdgPartyA,$F1928,LdgKeyA,"&lt;"&amp;$K1928)+COUNTIFS(LdgPartyB,$F1928,LdgKeyB,"&lt;"&amp;$K1928)+1)</f>
        <v/>
      </c>
      <c r="M1928">
        <f>IF($L1928="","",$F1928&amp;"|"&amp;RIGHT("000000"&amp;$L1928,6))</f>
        <v/>
      </c>
      <c r="N1928">
        <f>IF($F1928="","",IF(Sync!$AH1928="","0000",IF(AND(ISNUMBER(Sync!$AH1928),Sync!$AH1928&gt;=0,Sync!$AH1928&lt;1),RIGHT("00"&amp;HOUR(Sync!$AH1928),2)&amp;RIGHT("00"&amp;MINUTE(Sync!$AH1928),2),IFERROR(RIGHT("00"&amp;VALUE(LEFT(Sync!$AH1928,FIND(":",Sync!$AH1928)-1)),2)&amp;RIGHT("00"&amp;VALUE(MID(Sync!$AH1928,FIND(":",Sync!$AH1928)+1,2)),2),"0000"))))</f>
        <v/>
      </c>
    </row>
    <row r="1929">
      <c r="A1929">
        <f>IF(OR(Calc!$E1932="",Calc!$E1932="نامعتبر",Calc!$G1932="",Calc!$I1932&lt;&gt;"خرید"),"",Calc!$G1932)</f>
        <v/>
      </c>
      <c r="B1929">
        <f>IF($A1929="","",LEFT(Calc!$E1932,4)&amp;MID(Calc!$E1932,6,2)&amp;RIGHT(Calc!$E1932,2)&amp;Calc!$R1932&amp;"|"&amp;"1"&amp;RIGHT("00000"&amp;1924,5))</f>
        <v/>
      </c>
      <c r="C1929">
        <f>IF($B1929="","",COUNTIFS(LdgPartyA,$A1929,LdgKeyA,"&lt;"&amp;$B1929)+COUNTIFS(LdgPartyB,$A1929,LdgKeyB,"&lt;"&amp;$B1929)+1)</f>
        <v/>
      </c>
      <c r="D1929">
        <f>IF($C1929="","",$A1929&amp;"|"&amp;RIGHT("000000"&amp;$C1929,6))</f>
        <v/>
      </c>
      <c r="F1929">
        <f>IF(Sync!$AJ1929="","",Sync!$AJ1929)</f>
        <v/>
      </c>
      <c r="G1929">
        <f>IF($F1929="","",IF(Sync!$AG1929="","",IF(ISNUMBER(Sync!$AG1929),IF(AND(Sync!$AG1929&gt;=10000101,Sync!$AG1929&lt;=99991231),INT(Sync!$AG1929/10000),""),IFERROR(VALUE(TRIM(LEFT(Sync!$AG1929,FIND("/",Sync!$AG1929)-1))),""))))</f>
        <v/>
      </c>
      <c r="H1929">
        <f>IF(OR($F1929="",$G1929=""),"",IF(ISNUMBER(Sync!$AG1929),INT(MOD(Sync!$AG1929,10000)/100),IFERROR(VALUE(TRIM(LEFT(MID(Sync!$AG1929,FIND("/",Sync!$AG1929)+1,20),FIND("/",MID(Sync!$AG1929,FIND("/",Sync!$AG1929)+1,20))-1))),"")))</f>
        <v/>
      </c>
      <c r="I1929">
        <f>IF(OR($F1929="",$G1929=""),"",IF(ISNUMBER(Sync!$AG1929),MOD(Sync!$AG1929,100),IFERROR(VALUE(TRIM(MID(MID(Sync!$AG1929,FIND("/",Sync!$AG1929)+1,20),FIND("/",MID(Sync!$AG1929,FIND("/",Sync!$AG1929)+1,20))+1,20))),"")))</f>
        <v/>
      </c>
      <c r="J1929">
        <f>IF($F1929="","",IF(OR($G1929="",$H1929="",$I1929="",$G1929&lt;1300,$G1929&gt;1500,$H1929&lt;1,$H1929&gt;12,$I1929&lt;1,$I1929&gt;31),"نامعتبر",RIGHT("0000"&amp;$G1929,4)&amp;"/"&amp;RIGHT("00"&amp;$H1929,2)&amp;"/"&amp;RIGHT("00"&amp;$I1929,2)))</f>
        <v/>
      </c>
      <c r="K1929">
        <f>IF(OR($F1929="",$J1929="",$J1929="نامعتبر"),"",LEFT($J1929,4)&amp;MID($J1929,6,2)&amp;RIGHT($J1929,2)&amp;$N1929&amp;"|"&amp;"2"&amp;RIGHT("00000"&amp;1924,5))</f>
        <v/>
      </c>
      <c r="L1929">
        <f>IF($K1929="","",COUNTIFS(LdgPartyA,$F1929,LdgKeyA,"&lt;"&amp;$K1929)+COUNTIFS(LdgPartyB,$F1929,LdgKeyB,"&lt;"&amp;$K1929)+1)</f>
        <v/>
      </c>
      <c r="M1929">
        <f>IF($L1929="","",$F1929&amp;"|"&amp;RIGHT("000000"&amp;$L1929,6))</f>
        <v/>
      </c>
      <c r="N1929">
        <f>IF($F1929="","",IF(Sync!$AH1929="","0000",IF(AND(ISNUMBER(Sync!$AH1929),Sync!$AH1929&gt;=0,Sync!$AH1929&lt;1),RIGHT("00"&amp;HOUR(Sync!$AH1929),2)&amp;RIGHT("00"&amp;MINUTE(Sync!$AH1929),2),IFERROR(RIGHT("00"&amp;VALUE(LEFT(Sync!$AH1929,FIND(":",Sync!$AH1929)-1)),2)&amp;RIGHT("00"&amp;VALUE(MID(Sync!$AH1929,FIND(":",Sync!$AH1929)+1,2)),2),"0000"))))</f>
        <v/>
      </c>
    </row>
    <row r="1930">
      <c r="A1930">
        <f>IF(OR(Calc!$E1933="",Calc!$E1933="نامعتبر",Calc!$G1933="",Calc!$I1933&lt;&gt;"خرید"),"",Calc!$G1933)</f>
        <v/>
      </c>
      <c r="B1930">
        <f>IF($A1930="","",LEFT(Calc!$E1933,4)&amp;MID(Calc!$E1933,6,2)&amp;RIGHT(Calc!$E1933,2)&amp;Calc!$R1933&amp;"|"&amp;"1"&amp;RIGHT("00000"&amp;1925,5))</f>
        <v/>
      </c>
      <c r="C1930">
        <f>IF($B1930="","",COUNTIFS(LdgPartyA,$A1930,LdgKeyA,"&lt;"&amp;$B1930)+COUNTIFS(LdgPartyB,$A1930,LdgKeyB,"&lt;"&amp;$B1930)+1)</f>
        <v/>
      </c>
      <c r="D1930">
        <f>IF($C1930="","",$A1930&amp;"|"&amp;RIGHT("000000"&amp;$C1930,6))</f>
        <v/>
      </c>
      <c r="F1930">
        <f>IF(Sync!$AJ1930="","",Sync!$AJ1930)</f>
        <v/>
      </c>
      <c r="G1930">
        <f>IF($F1930="","",IF(Sync!$AG1930="","",IF(ISNUMBER(Sync!$AG1930),IF(AND(Sync!$AG1930&gt;=10000101,Sync!$AG1930&lt;=99991231),INT(Sync!$AG1930/10000),""),IFERROR(VALUE(TRIM(LEFT(Sync!$AG1930,FIND("/",Sync!$AG1930)-1))),""))))</f>
        <v/>
      </c>
      <c r="H1930">
        <f>IF(OR($F1930="",$G1930=""),"",IF(ISNUMBER(Sync!$AG1930),INT(MOD(Sync!$AG1930,10000)/100),IFERROR(VALUE(TRIM(LEFT(MID(Sync!$AG1930,FIND("/",Sync!$AG1930)+1,20),FIND("/",MID(Sync!$AG1930,FIND("/",Sync!$AG1930)+1,20))-1))),"")))</f>
        <v/>
      </c>
      <c r="I1930">
        <f>IF(OR($F1930="",$G1930=""),"",IF(ISNUMBER(Sync!$AG1930),MOD(Sync!$AG1930,100),IFERROR(VALUE(TRIM(MID(MID(Sync!$AG1930,FIND("/",Sync!$AG1930)+1,20),FIND("/",MID(Sync!$AG1930,FIND("/",Sync!$AG1930)+1,20))+1,20))),"")))</f>
        <v/>
      </c>
      <c r="J1930">
        <f>IF($F1930="","",IF(OR($G1930="",$H1930="",$I1930="",$G1930&lt;1300,$G1930&gt;1500,$H1930&lt;1,$H1930&gt;12,$I1930&lt;1,$I1930&gt;31),"نامعتبر",RIGHT("0000"&amp;$G1930,4)&amp;"/"&amp;RIGHT("00"&amp;$H1930,2)&amp;"/"&amp;RIGHT("00"&amp;$I1930,2)))</f>
        <v/>
      </c>
      <c r="K1930">
        <f>IF(OR($F1930="",$J1930="",$J1930="نامعتبر"),"",LEFT($J1930,4)&amp;MID($J1930,6,2)&amp;RIGHT($J1930,2)&amp;$N1930&amp;"|"&amp;"2"&amp;RIGHT("00000"&amp;1925,5))</f>
        <v/>
      </c>
      <c r="L1930">
        <f>IF($K1930="","",COUNTIFS(LdgPartyA,$F1930,LdgKeyA,"&lt;"&amp;$K1930)+COUNTIFS(LdgPartyB,$F1930,LdgKeyB,"&lt;"&amp;$K1930)+1)</f>
        <v/>
      </c>
      <c r="M1930">
        <f>IF($L1930="","",$F1930&amp;"|"&amp;RIGHT("000000"&amp;$L1930,6))</f>
        <v/>
      </c>
      <c r="N1930">
        <f>IF($F1930="","",IF(Sync!$AH1930="","0000",IF(AND(ISNUMBER(Sync!$AH1930),Sync!$AH1930&gt;=0,Sync!$AH1930&lt;1),RIGHT("00"&amp;HOUR(Sync!$AH1930),2)&amp;RIGHT("00"&amp;MINUTE(Sync!$AH1930),2),IFERROR(RIGHT("00"&amp;VALUE(LEFT(Sync!$AH1930,FIND(":",Sync!$AH1930)-1)),2)&amp;RIGHT("00"&amp;VALUE(MID(Sync!$AH1930,FIND(":",Sync!$AH1930)+1,2)),2),"0000"))))</f>
        <v/>
      </c>
    </row>
    <row r="1931">
      <c r="A1931">
        <f>IF(OR(Calc!$E1934="",Calc!$E1934="نامعتبر",Calc!$G1934="",Calc!$I1934&lt;&gt;"خرید"),"",Calc!$G1934)</f>
        <v/>
      </c>
      <c r="B1931">
        <f>IF($A1931="","",LEFT(Calc!$E1934,4)&amp;MID(Calc!$E1934,6,2)&amp;RIGHT(Calc!$E1934,2)&amp;Calc!$R1934&amp;"|"&amp;"1"&amp;RIGHT("00000"&amp;1926,5))</f>
        <v/>
      </c>
      <c r="C1931">
        <f>IF($B1931="","",COUNTIFS(LdgPartyA,$A1931,LdgKeyA,"&lt;"&amp;$B1931)+COUNTIFS(LdgPartyB,$A1931,LdgKeyB,"&lt;"&amp;$B1931)+1)</f>
        <v/>
      </c>
      <c r="D1931">
        <f>IF($C1931="","",$A1931&amp;"|"&amp;RIGHT("000000"&amp;$C1931,6))</f>
        <v/>
      </c>
      <c r="F1931">
        <f>IF(Sync!$AJ1931="","",Sync!$AJ1931)</f>
        <v/>
      </c>
      <c r="G1931">
        <f>IF($F1931="","",IF(Sync!$AG1931="","",IF(ISNUMBER(Sync!$AG1931),IF(AND(Sync!$AG1931&gt;=10000101,Sync!$AG1931&lt;=99991231),INT(Sync!$AG1931/10000),""),IFERROR(VALUE(TRIM(LEFT(Sync!$AG1931,FIND("/",Sync!$AG1931)-1))),""))))</f>
        <v/>
      </c>
      <c r="H1931">
        <f>IF(OR($F1931="",$G1931=""),"",IF(ISNUMBER(Sync!$AG1931),INT(MOD(Sync!$AG1931,10000)/100),IFERROR(VALUE(TRIM(LEFT(MID(Sync!$AG1931,FIND("/",Sync!$AG1931)+1,20),FIND("/",MID(Sync!$AG1931,FIND("/",Sync!$AG1931)+1,20))-1))),"")))</f>
        <v/>
      </c>
      <c r="I1931">
        <f>IF(OR($F1931="",$G1931=""),"",IF(ISNUMBER(Sync!$AG1931),MOD(Sync!$AG1931,100),IFERROR(VALUE(TRIM(MID(MID(Sync!$AG1931,FIND("/",Sync!$AG1931)+1,20),FIND("/",MID(Sync!$AG1931,FIND("/",Sync!$AG1931)+1,20))+1,20))),"")))</f>
        <v/>
      </c>
      <c r="J1931">
        <f>IF($F1931="","",IF(OR($G1931="",$H1931="",$I1931="",$G1931&lt;1300,$G1931&gt;1500,$H1931&lt;1,$H1931&gt;12,$I1931&lt;1,$I1931&gt;31),"نامعتبر",RIGHT("0000"&amp;$G1931,4)&amp;"/"&amp;RIGHT("00"&amp;$H1931,2)&amp;"/"&amp;RIGHT("00"&amp;$I1931,2)))</f>
        <v/>
      </c>
      <c r="K1931">
        <f>IF(OR($F1931="",$J1931="",$J1931="نامعتبر"),"",LEFT($J1931,4)&amp;MID($J1931,6,2)&amp;RIGHT($J1931,2)&amp;$N1931&amp;"|"&amp;"2"&amp;RIGHT("00000"&amp;1926,5))</f>
        <v/>
      </c>
      <c r="L1931">
        <f>IF($K1931="","",COUNTIFS(LdgPartyA,$F1931,LdgKeyA,"&lt;"&amp;$K1931)+COUNTIFS(LdgPartyB,$F1931,LdgKeyB,"&lt;"&amp;$K1931)+1)</f>
        <v/>
      </c>
      <c r="M1931">
        <f>IF($L1931="","",$F1931&amp;"|"&amp;RIGHT("000000"&amp;$L1931,6))</f>
        <v/>
      </c>
      <c r="N1931">
        <f>IF($F1931="","",IF(Sync!$AH1931="","0000",IF(AND(ISNUMBER(Sync!$AH1931),Sync!$AH1931&gt;=0,Sync!$AH1931&lt;1),RIGHT("00"&amp;HOUR(Sync!$AH1931),2)&amp;RIGHT("00"&amp;MINUTE(Sync!$AH1931),2),IFERROR(RIGHT("00"&amp;VALUE(LEFT(Sync!$AH1931,FIND(":",Sync!$AH1931)-1)),2)&amp;RIGHT("00"&amp;VALUE(MID(Sync!$AH1931,FIND(":",Sync!$AH1931)+1,2)),2),"0000"))))</f>
        <v/>
      </c>
    </row>
    <row r="1932">
      <c r="A1932">
        <f>IF(OR(Calc!$E1935="",Calc!$E1935="نامعتبر",Calc!$G1935="",Calc!$I1935&lt;&gt;"خرید"),"",Calc!$G1935)</f>
        <v/>
      </c>
      <c r="B1932">
        <f>IF($A1932="","",LEFT(Calc!$E1935,4)&amp;MID(Calc!$E1935,6,2)&amp;RIGHT(Calc!$E1935,2)&amp;Calc!$R1935&amp;"|"&amp;"1"&amp;RIGHT("00000"&amp;1927,5))</f>
        <v/>
      </c>
      <c r="C1932">
        <f>IF($B1932="","",COUNTIFS(LdgPartyA,$A1932,LdgKeyA,"&lt;"&amp;$B1932)+COUNTIFS(LdgPartyB,$A1932,LdgKeyB,"&lt;"&amp;$B1932)+1)</f>
        <v/>
      </c>
      <c r="D1932">
        <f>IF($C1932="","",$A1932&amp;"|"&amp;RIGHT("000000"&amp;$C1932,6))</f>
        <v/>
      </c>
      <c r="F1932">
        <f>IF(Sync!$AJ1932="","",Sync!$AJ1932)</f>
        <v/>
      </c>
      <c r="G1932">
        <f>IF($F1932="","",IF(Sync!$AG1932="","",IF(ISNUMBER(Sync!$AG1932),IF(AND(Sync!$AG1932&gt;=10000101,Sync!$AG1932&lt;=99991231),INT(Sync!$AG1932/10000),""),IFERROR(VALUE(TRIM(LEFT(Sync!$AG1932,FIND("/",Sync!$AG1932)-1))),""))))</f>
        <v/>
      </c>
      <c r="H1932">
        <f>IF(OR($F1932="",$G1932=""),"",IF(ISNUMBER(Sync!$AG1932),INT(MOD(Sync!$AG1932,10000)/100),IFERROR(VALUE(TRIM(LEFT(MID(Sync!$AG1932,FIND("/",Sync!$AG1932)+1,20),FIND("/",MID(Sync!$AG1932,FIND("/",Sync!$AG1932)+1,20))-1))),"")))</f>
        <v/>
      </c>
      <c r="I1932">
        <f>IF(OR($F1932="",$G1932=""),"",IF(ISNUMBER(Sync!$AG1932),MOD(Sync!$AG1932,100),IFERROR(VALUE(TRIM(MID(MID(Sync!$AG1932,FIND("/",Sync!$AG1932)+1,20),FIND("/",MID(Sync!$AG1932,FIND("/",Sync!$AG1932)+1,20))+1,20))),"")))</f>
        <v/>
      </c>
      <c r="J1932">
        <f>IF($F1932="","",IF(OR($G1932="",$H1932="",$I1932="",$G1932&lt;1300,$G1932&gt;1500,$H1932&lt;1,$H1932&gt;12,$I1932&lt;1,$I1932&gt;31),"نامعتبر",RIGHT("0000"&amp;$G1932,4)&amp;"/"&amp;RIGHT("00"&amp;$H1932,2)&amp;"/"&amp;RIGHT("00"&amp;$I1932,2)))</f>
        <v/>
      </c>
      <c r="K1932">
        <f>IF(OR($F1932="",$J1932="",$J1932="نامعتبر"),"",LEFT($J1932,4)&amp;MID($J1932,6,2)&amp;RIGHT($J1932,2)&amp;$N1932&amp;"|"&amp;"2"&amp;RIGHT("00000"&amp;1927,5))</f>
        <v/>
      </c>
      <c r="L1932">
        <f>IF($K1932="","",COUNTIFS(LdgPartyA,$F1932,LdgKeyA,"&lt;"&amp;$K1932)+COUNTIFS(LdgPartyB,$F1932,LdgKeyB,"&lt;"&amp;$K1932)+1)</f>
        <v/>
      </c>
      <c r="M1932">
        <f>IF($L1932="","",$F1932&amp;"|"&amp;RIGHT("000000"&amp;$L1932,6))</f>
        <v/>
      </c>
      <c r="N1932">
        <f>IF($F1932="","",IF(Sync!$AH1932="","0000",IF(AND(ISNUMBER(Sync!$AH1932),Sync!$AH1932&gt;=0,Sync!$AH1932&lt;1),RIGHT("00"&amp;HOUR(Sync!$AH1932),2)&amp;RIGHT("00"&amp;MINUTE(Sync!$AH1932),2),IFERROR(RIGHT("00"&amp;VALUE(LEFT(Sync!$AH1932,FIND(":",Sync!$AH1932)-1)),2)&amp;RIGHT("00"&amp;VALUE(MID(Sync!$AH1932,FIND(":",Sync!$AH1932)+1,2)),2),"0000"))))</f>
        <v/>
      </c>
    </row>
    <row r="1933">
      <c r="A1933">
        <f>IF(OR(Calc!$E1936="",Calc!$E1936="نامعتبر",Calc!$G1936="",Calc!$I1936&lt;&gt;"خرید"),"",Calc!$G1936)</f>
        <v/>
      </c>
      <c r="B1933">
        <f>IF($A1933="","",LEFT(Calc!$E1936,4)&amp;MID(Calc!$E1936,6,2)&amp;RIGHT(Calc!$E1936,2)&amp;Calc!$R1936&amp;"|"&amp;"1"&amp;RIGHT("00000"&amp;1928,5))</f>
        <v/>
      </c>
      <c r="C1933">
        <f>IF($B1933="","",COUNTIFS(LdgPartyA,$A1933,LdgKeyA,"&lt;"&amp;$B1933)+COUNTIFS(LdgPartyB,$A1933,LdgKeyB,"&lt;"&amp;$B1933)+1)</f>
        <v/>
      </c>
      <c r="D1933">
        <f>IF($C1933="","",$A1933&amp;"|"&amp;RIGHT("000000"&amp;$C1933,6))</f>
        <v/>
      </c>
      <c r="F1933">
        <f>IF(Sync!$AJ1933="","",Sync!$AJ1933)</f>
        <v/>
      </c>
      <c r="G1933">
        <f>IF($F1933="","",IF(Sync!$AG1933="","",IF(ISNUMBER(Sync!$AG1933),IF(AND(Sync!$AG1933&gt;=10000101,Sync!$AG1933&lt;=99991231),INT(Sync!$AG1933/10000),""),IFERROR(VALUE(TRIM(LEFT(Sync!$AG1933,FIND("/",Sync!$AG1933)-1))),""))))</f>
        <v/>
      </c>
      <c r="H1933">
        <f>IF(OR($F1933="",$G1933=""),"",IF(ISNUMBER(Sync!$AG1933),INT(MOD(Sync!$AG1933,10000)/100),IFERROR(VALUE(TRIM(LEFT(MID(Sync!$AG1933,FIND("/",Sync!$AG1933)+1,20),FIND("/",MID(Sync!$AG1933,FIND("/",Sync!$AG1933)+1,20))-1))),"")))</f>
        <v/>
      </c>
      <c r="I1933">
        <f>IF(OR($F1933="",$G1933=""),"",IF(ISNUMBER(Sync!$AG1933),MOD(Sync!$AG1933,100),IFERROR(VALUE(TRIM(MID(MID(Sync!$AG1933,FIND("/",Sync!$AG1933)+1,20),FIND("/",MID(Sync!$AG1933,FIND("/",Sync!$AG1933)+1,20))+1,20))),"")))</f>
        <v/>
      </c>
      <c r="J1933">
        <f>IF($F1933="","",IF(OR($G1933="",$H1933="",$I1933="",$G1933&lt;1300,$G1933&gt;1500,$H1933&lt;1,$H1933&gt;12,$I1933&lt;1,$I1933&gt;31),"نامعتبر",RIGHT("0000"&amp;$G1933,4)&amp;"/"&amp;RIGHT("00"&amp;$H1933,2)&amp;"/"&amp;RIGHT("00"&amp;$I1933,2)))</f>
        <v/>
      </c>
      <c r="K1933">
        <f>IF(OR($F1933="",$J1933="",$J1933="نامعتبر"),"",LEFT($J1933,4)&amp;MID($J1933,6,2)&amp;RIGHT($J1933,2)&amp;$N1933&amp;"|"&amp;"2"&amp;RIGHT("00000"&amp;1928,5))</f>
        <v/>
      </c>
      <c r="L1933">
        <f>IF($K1933="","",COUNTIFS(LdgPartyA,$F1933,LdgKeyA,"&lt;"&amp;$K1933)+COUNTIFS(LdgPartyB,$F1933,LdgKeyB,"&lt;"&amp;$K1933)+1)</f>
        <v/>
      </c>
      <c r="M1933">
        <f>IF($L1933="","",$F1933&amp;"|"&amp;RIGHT("000000"&amp;$L1933,6))</f>
        <v/>
      </c>
      <c r="N1933">
        <f>IF($F1933="","",IF(Sync!$AH1933="","0000",IF(AND(ISNUMBER(Sync!$AH1933),Sync!$AH1933&gt;=0,Sync!$AH1933&lt;1),RIGHT("00"&amp;HOUR(Sync!$AH1933),2)&amp;RIGHT("00"&amp;MINUTE(Sync!$AH1933),2),IFERROR(RIGHT("00"&amp;VALUE(LEFT(Sync!$AH1933,FIND(":",Sync!$AH1933)-1)),2)&amp;RIGHT("00"&amp;VALUE(MID(Sync!$AH1933,FIND(":",Sync!$AH1933)+1,2)),2),"0000"))))</f>
        <v/>
      </c>
    </row>
    <row r="1934">
      <c r="A1934">
        <f>IF(OR(Calc!$E1937="",Calc!$E1937="نامعتبر",Calc!$G1937="",Calc!$I1937&lt;&gt;"خرید"),"",Calc!$G1937)</f>
        <v/>
      </c>
      <c r="B1934">
        <f>IF($A1934="","",LEFT(Calc!$E1937,4)&amp;MID(Calc!$E1937,6,2)&amp;RIGHT(Calc!$E1937,2)&amp;Calc!$R1937&amp;"|"&amp;"1"&amp;RIGHT("00000"&amp;1929,5))</f>
        <v/>
      </c>
      <c r="C1934">
        <f>IF($B1934="","",COUNTIFS(LdgPartyA,$A1934,LdgKeyA,"&lt;"&amp;$B1934)+COUNTIFS(LdgPartyB,$A1934,LdgKeyB,"&lt;"&amp;$B1934)+1)</f>
        <v/>
      </c>
      <c r="D1934">
        <f>IF($C1934="","",$A1934&amp;"|"&amp;RIGHT("000000"&amp;$C1934,6))</f>
        <v/>
      </c>
      <c r="F1934">
        <f>IF(Sync!$AJ1934="","",Sync!$AJ1934)</f>
        <v/>
      </c>
      <c r="G1934">
        <f>IF($F1934="","",IF(Sync!$AG1934="","",IF(ISNUMBER(Sync!$AG1934),IF(AND(Sync!$AG1934&gt;=10000101,Sync!$AG1934&lt;=99991231),INT(Sync!$AG1934/10000),""),IFERROR(VALUE(TRIM(LEFT(Sync!$AG1934,FIND("/",Sync!$AG1934)-1))),""))))</f>
        <v/>
      </c>
      <c r="H1934">
        <f>IF(OR($F1934="",$G1934=""),"",IF(ISNUMBER(Sync!$AG1934),INT(MOD(Sync!$AG1934,10000)/100),IFERROR(VALUE(TRIM(LEFT(MID(Sync!$AG1934,FIND("/",Sync!$AG1934)+1,20),FIND("/",MID(Sync!$AG1934,FIND("/",Sync!$AG1934)+1,20))-1))),"")))</f>
        <v/>
      </c>
      <c r="I1934">
        <f>IF(OR($F1934="",$G1934=""),"",IF(ISNUMBER(Sync!$AG1934),MOD(Sync!$AG1934,100),IFERROR(VALUE(TRIM(MID(MID(Sync!$AG1934,FIND("/",Sync!$AG1934)+1,20),FIND("/",MID(Sync!$AG1934,FIND("/",Sync!$AG1934)+1,20))+1,20))),"")))</f>
        <v/>
      </c>
      <c r="J1934">
        <f>IF($F1934="","",IF(OR($G1934="",$H1934="",$I1934="",$G1934&lt;1300,$G1934&gt;1500,$H1934&lt;1,$H1934&gt;12,$I1934&lt;1,$I1934&gt;31),"نامعتبر",RIGHT("0000"&amp;$G1934,4)&amp;"/"&amp;RIGHT("00"&amp;$H1934,2)&amp;"/"&amp;RIGHT("00"&amp;$I1934,2)))</f>
        <v/>
      </c>
      <c r="K1934">
        <f>IF(OR($F1934="",$J1934="",$J1934="نامعتبر"),"",LEFT($J1934,4)&amp;MID($J1934,6,2)&amp;RIGHT($J1934,2)&amp;$N1934&amp;"|"&amp;"2"&amp;RIGHT("00000"&amp;1929,5))</f>
        <v/>
      </c>
      <c r="L1934">
        <f>IF($K1934="","",COUNTIFS(LdgPartyA,$F1934,LdgKeyA,"&lt;"&amp;$K1934)+COUNTIFS(LdgPartyB,$F1934,LdgKeyB,"&lt;"&amp;$K1934)+1)</f>
        <v/>
      </c>
      <c r="M1934">
        <f>IF($L1934="","",$F1934&amp;"|"&amp;RIGHT("000000"&amp;$L1934,6))</f>
        <v/>
      </c>
      <c r="N1934">
        <f>IF($F1934="","",IF(Sync!$AH1934="","0000",IF(AND(ISNUMBER(Sync!$AH1934),Sync!$AH1934&gt;=0,Sync!$AH1934&lt;1),RIGHT("00"&amp;HOUR(Sync!$AH1934),2)&amp;RIGHT("00"&amp;MINUTE(Sync!$AH1934),2),IFERROR(RIGHT("00"&amp;VALUE(LEFT(Sync!$AH1934,FIND(":",Sync!$AH1934)-1)),2)&amp;RIGHT("00"&amp;VALUE(MID(Sync!$AH1934,FIND(":",Sync!$AH1934)+1,2)),2),"0000"))))</f>
        <v/>
      </c>
    </row>
    <row r="1935">
      <c r="A1935">
        <f>IF(OR(Calc!$E1938="",Calc!$E1938="نامعتبر",Calc!$G1938="",Calc!$I1938&lt;&gt;"خرید"),"",Calc!$G1938)</f>
        <v/>
      </c>
      <c r="B1935">
        <f>IF($A1935="","",LEFT(Calc!$E1938,4)&amp;MID(Calc!$E1938,6,2)&amp;RIGHT(Calc!$E1938,2)&amp;Calc!$R1938&amp;"|"&amp;"1"&amp;RIGHT("00000"&amp;1930,5))</f>
        <v/>
      </c>
      <c r="C1935">
        <f>IF($B1935="","",COUNTIFS(LdgPartyA,$A1935,LdgKeyA,"&lt;"&amp;$B1935)+COUNTIFS(LdgPartyB,$A1935,LdgKeyB,"&lt;"&amp;$B1935)+1)</f>
        <v/>
      </c>
      <c r="D1935">
        <f>IF($C1935="","",$A1935&amp;"|"&amp;RIGHT("000000"&amp;$C1935,6))</f>
        <v/>
      </c>
      <c r="F1935">
        <f>IF(Sync!$AJ1935="","",Sync!$AJ1935)</f>
        <v/>
      </c>
      <c r="G1935">
        <f>IF($F1935="","",IF(Sync!$AG1935="","",IF(ISNUMBER(Sync!$AG1935),IF(AND(Sync!$AG1935&gt;=10000101,Sync!$AG1935&lt;=99991231),INT(Sync!$AG1935/10000),""),IFERROR(VALUE(TRIM(LEFT(Sync!$AG1935,FIND("/",Sync!$AG1935)-1))),""))))</f>
        <v/>
      </c>
      <c r="H1935">
        <f>IF(OR($F1935="",$G1935=""),"",IF(ISNUMBER(Sync!$AG1935),INT(MOD(Sync!$AG1935,10000)/100),IFERROR(VALUE(TRIM(LEFT(MID(Sync!$AG1935,FIND("/",Sync!$AG1935)+1,20),FIND("/",MID(Sync!$AG1935,FIND("/",Sync!$AG1935)+1,20))-1))),"")))</f>
        <v/>
      </c>
      <c r="I1935">
        <f>IF(OR($F1935="",$G1935=""),"",IF(ISNUMBER(Sync!$AG1935),MOD(Sync!$AG1935,100),IFERROR(VALUE(TRIM(MID(MID(Sync!$AG1935,FIND("/",Sync!$AG1935)+1,20),FIND("/",MID(Sync!$AG1935,FIND("/",Sync!$AG1935)+1,20))+1,20))),"")))</f>
        <v/>
      </c>
      <c r="J1935">
        <f>IF($F1935="","",IF(OR($G1935="",$H1935="",$I1935="",$G1935&lt;1300,$G1935&gt;1500,$H1935&lt;1,$H1935&gt;12,$I1935&lt;1,$I1935&gt;31),"نامعتبر",RIGHT("0000"&amp;$G1935,4)&amp;"/"&amp;RIGHT("00"&amp;$H1935,2)&amp;"/"&amp;RIGHT("00"&amp;$I1935,2)))</f>
        <v/>
      </c>
      <c r="K1935">
        <f>IF(OR($F1935="",$J1935="",$J1935="نامعتبر"),"",LEFT($J1935,4)&amp;MID($J1935,6,2)&amp;RIGHT($J1935,2)&amp;$N1935&amp;"|"&amp;"2"&amp;RIGHT("00000"&amp;1930,5))</f>
        <v/>
      </c>
      <c r="L1935">
        <f>IF($K1935="","",COUNTIFS(LdgPartyA,$F1935,LdgKeyA,"&lt;"&amp;$K1935)+COUNTIFS(LdgPartyB,$F1935,LdgKeyB,"&lt;"&amp;$K1935)+1)</f>
        <v/>
      </c>
      <c r="M1935">
        <f>IF($L1935="","",$F1935&amp;"|"&amp;RIGHT("000000"&amp;$L1935,6))</f>
        <v/>
      </c>
      <c r="N1935">
        <f>IF($F1935="","",IF(Sync!$AH1935="","0000",IF(AND(ISNUMBER(Sync!$AH1935),Sync!$AH1935&gt;=0,Sync!$AH1935&lt;1),RIGHT("00"&amp;HOUR(Sync!$AH1935),2)&amp;RIGHT("00"&amp;MINUTE(Sync!$AH1935),2),IFERROR(RIGHT("00"&amp;VALUE(LEFT(Sync!$AH1935,FIND(":",Sync!$AH1935)-1)),2)&amp;RIGHT("00"&amp;VALUE(MID(Sync!$AH1935,FIND(":",Sync!$AH1935)+1,2)),2),"0000"))))</f>
        <v/>
      </c>
    </row>
    <row r="1936">
      <c r="A1936">
        <f>IF(OR(Calc!$E1939="",Calc!$E1939="نامعتبر",Calc!$G1939="",Calc!$I1939&lt;&gt;"خرید"),"",Calc!$G1939)</f>
        <v/>
      </c>
      <c r="B1936">
        <f>IF($A1936="","",LEFT(Calc!$E1939,4)&amp;MID(Calc!$E1939,6,2)&amp;RIGHT(Calc!$E1939,2)&amp;Calc!$R1939&amp;"|"&amp;"1"&amp;RIGHT("00000"&amp;1931,5))</f>
        <v/>
      </c>
      <c r="C1936">
        <f>IF($B1936="","",COUNTIFS(LdgPartyA,$A1936,LdgKeyA,"&lt;"&amp;$B1936)+COUNTIFS(LdgPartyB,$A1936,LdgKeyB,"&lt;"&amp;$B1936)+1)</f>
        <v/>
      </c>
      <c r="D1936">
        <f>IF($C1936="","",$A1936&amp;"|"&amp;RIGHT("000000"&amp;$C1936,6))</f>
        <v/>
      </c>
      <c r="F1936">
        <f>IF(Sync!$AJ1936="","",Sync!$AJ1936)</f>
        <v/>
      </c>
      <c r="G1936">
        <f>IF($F1936="","",IF(Sync!$AG1936="","",IF(ISNUMBER(Sync!$AG1936),IF(AND(Sync!$AG1936&gt;=10000101,Sync!$AG1936&lt;=99991231),INT(Sync!$AG1936/10000),""),IFERROR(VALUE(TRIM(LEFT(Sync!$AG1936,FIND("/",Sync!$AG1936)-1))),""))))</f>
        <v/>
      </c>
      <c r="H1936">
        <f>IF(OR($F1936="",$G1936=""),"",IF(ISNUMBER(Sync!$AG1936),INT(MOD(Sync!$AG1936,10000)/100),IFERROR(VALUE(TRIM(LEFT(MID(Sync!$AG1936,FIND("/",Sync!$AG1936)+1,20),FIND("/",MID(Sync!$AG1936,FIND("/",Sync!$AG1936)+1,20))-1))),"")))</f>
        <v/>
      </c>
      <c r="I1936">
        <f>IF(OR($F1936="",$G1936=""),"",IF(ISNUMBER(Sync!$AG1936),MOD(Sync!$AG1936,100),IFERROR(VALUE(TRIM(MID(MID(Sync!$AG1936,FIND("/",Sync!$AG1936)+1,20),FIND("/",MID(Sync!$AG1936,FIND("/",Sync!$AG1936)+1,20))+1,20))),"")))</f>
        <v/>
      </c>
      <c r="J1936">
        <f>IF($F1936="","",IF(OR($G1936="",$H1936="",$I1936="",$G1936&lt;1300,$G1936&gt;1500,$H1936&lt;1,$H1936&gt;12,$I1936&lt;1,$I1936&gt;31),"نامعتبر",RIGHT("0000"&amp;$G1936,4)&amp;"/"&amp;RIGHT("00"&amp;$H1936,2)&amp;"/"&amp;RIGHT("00"&amp;$I1936,2)))</f>
        <v/>
      </c>
      <c r="K1936">
        <f>IF(OR($F1936="",$J1936="",$J1936="نامعتبر"),"",LEFT($J1936,4)&amp;MID($J1936,6,2)&amp;RIGHT($J1936,2)&amp;$N1936&amp;"|"&amp;"2"&amp;RIGHT("00000"&amp;1931,5))</f>
        <v/>
      </c>
      <c r="L1936">
        <f>IF($K1936="","",COUNTIFS(LdgPartyA,$F1936,LdgKeyA,"&lt;"&amp;$K1936)+COUNTIFS(LdgPartyB,$F1936,LdgKeyB,"&lt;"&amp;$K1936)+1)</f>
        <v/>
      </c>
      <c r="M1936">
        <f>IF($L1936="","",$F1936&amp;"|"&amp;RIGHT("000000"&amp;$L1936,6))</f>
        <v/>
      </c>
      <c r="N1936">
        <f>IF($F1936="","",IF(Sync!$AH1936="","0000",IF(AND(ISNUMBER(Sync!$AH1936),Sync!$AH1936&gt;=0,Sync!$AH1936&lt;1),RIGHT("00"&amp;HOUR(Sync!$AH1936),2)&amp;RIGHT("00"&amp;MINUTE(Sync!$AH1936),2),IFERROR(RIGHT("00"&amp;VALUE(LEFT(Sync!$AH1936,FIND(":",Sync!$AH1936)-1)),2)&amp;RIGHT("00"&amp;VALUE(MID(Sync!$AH1936,FIND(":",Sync!$AH1936)+1,2)),2),"0000"))))</f>
        <v/>
      </c>
    </row>
    <row r="1937">
      <c r="A1937">
        <f>IF(OR(Calc!$E1940="",Calc!$E1940="نامعتبر",Calc!$G1940="",Calc!$I1940&lt;&gt;"خرید"),"",Calc!$G1940)</f>
        <v/>
      </c>
      <c r="B1937">
        <f>IF($A1937="","",LEFT(Calc!$E1940,4)&amp;MID(Calc!$E1940,6,2)&amp;RIGHT(Calc!$E1940,2)&amp;Calc!$R1940&amp;"|"&amp;"1"&amp;RIGHT("00000"&amp;1932,5))</f>
        <v/>
      </c>
      <c r="C1937">
        <f>IF($B1937="","",COUNTIFS(LdgPartyA,$A1937,LdgKeyA,"&lt;"&amp;$B1937)+COUNTIFS(LdgPartyB,$A1937,LdgKeyB,"&lt;"&amp;$B1937)+1)</f>
        <v/>
      </c>
      <c r="D1937">
        <f>IF($C1937="","",$A1937&amp;"|"&amp;RIGHT("000000"&amp;$C1937,6))</f>
        <v/>
      </c>
      <c r="F1937">
        <f>IF(Sync!$AJ1937="","",Sync!$AJ1937)</f>
        <v/>
      </c>
      <c r="G1937">
        <f>IF($F1937="","",IF(Sync!$AG1937="","",IF(ISNUMBER(Sync!$AG1937),IF(AND(Sync!$AG1937&gt;=10000101,Sync!$AG1937&lt;=99991231),INT(Sync!$AG1937/10000),""),IFERROR(VALUE(TRIM(LEFT(Sync!$AG1937,FIND("/",Sync!$AG1937)-1))),""))))</f>
        <v/>
      </c>
      <c r="H1937">
        <f>IF(OR($F1937="",$G1937=""),"",IF(ISNUMBER(Sync!$AG1937),INT(MOD(Sync!$AG1937,10000)/100),IFERROR(VALUE(TRIM(LEFT(MID(Sync!$AG1937,FIND("/",Sync!$AG1937)+1,20),FIND("/",MID(Sync!$AG1937,FIND("/",Sync!$AG1937)+1,20))-1))),"")))</f>
        <v/>
      </c>
      <c r="I1937">
        <f>IF(OR($F1937="",$G1937=""),"",IF(ISNUMBER(Sync!$AG1937),MOD(Sync!$AG1937,100),IFERROR(VALUE(TRIM(MID(MID(Sync!$AG1937,FIND("/",Sync!$AG1937)+1,20),FIND("/",MID(Sync!$AG1937,FIND("/",Sync!$AG1937)+1,20))+1,20))),"")))</f>
        <v/>
      </c>
      <c r="J1937">
        <f>IF($F1937="","",IF(OR($G1937="",$H1937="",$I1937="",$G1937&lt;1300,$G1937&gt;1500,$H1937&lt;1,$H1937&gt;12,$I1937&lt;1,$I1937&gt;31),"نامعتبر",RIGHT("0000"&amp;$G1937,4)&amp;"/"&amp;RIGHT("00"&amp;$H1937,2)&amp;"/"&amp;RIGHT("00"&amp;$I1937,2)))</f>
        <v/>
      </c>
      <c r="K1937">
        <f>IF(OR($F1937="",$J1937="",$J1937="نامعتبر"),"",LEFT($J1937,4)&amp;MID($J1937,6,2)&amp;RIGHT($J1937,2)&amp;$N1937&amp;"|"&amp;"2"&amp;RIGHT("00000"&amp;1932,5))</f>
        <v/>
      </c>
      <c r="L1937">
        <f>IF($K1937="","",COUNTIFS(LdgPartyA,$F1937,LdgKeyA,"&lt;"&amp;$K1937)+COUNTIFS(LdgPartyB,$F1937,LdgKeyB,"&lt;"&amp;$K1937)+1)</f>
        <v/>
      </c>
      <c r="M1937">
        <f>IF($L1937="","",$F1937&amp;"|"&amp;RIGHT("000000"&amp;$L1937,6))</f>
        <v/>
      </c>
      <c r="N1937">
        <f>IF($F1937="","",IF(Sync!$AH1937="","0000",IF(AND(ISNUMBER(Sync!$AH1937),Sync!$AH1937&gt;=0,Sync!$AH1937&lt;1),RIGHT("00"&amp;HOUR(Sync!$AH1937),2)&amp;RIGHT("00"&amp;MINUTE(Sync!$AH1937),2),IFERROR(RIGHT("00"&amp;VALUE(LEFT(Sync!$AH1937,FIND(":",Sync!$AH1937)-1)),2)&amp;RIGHT("00"&amp;VALUE(MID(Sync!$AH1937,FIND(":",Sync!$AH1937)+1,2)),2),"0000"))))</f>
        <v/>
      </c>
    </row>
    <row r="1938">
      <c r="A1938">
        <f>IF(OR(Calc!$E1941="",Calc!$E1941="نامعتبر",Calc!$G1941="",Calc!$I1941&lt;&gt;"خرید"),"",Calc!$G1941)</f>
        <v/>
      </c>
      <c r="B1938">
        <f>IF($A1938="","",LEFT(Calc!$E1941,4)&amp;MID(Calc!$E1941,6,2)&amp;RIGHT(Calc!$E1941,2)&amp;Calc!$R1941&amp;"|"&amp;"1"&amp;RIGHT("00000"&amp;1933,5))</f>
        <v/>
      </c>
      <c r="C1938">
        <f>IF($B1938="","",COUNTIFS(LdgPartyA,$A1938,LdgKeyA,"&lt;"&amp;$B1938)+COUNTIFS(LdgPartyB,$A1938,LdgKeyB,"&lt;"&amp;$B1938)+1)</f>
        <v/>
      </c>
      <c r="D1938">
        <f>IF($C1938="","",$A1938&amp;"|"&amp;RIGHT("000000"&amp;$C1938,6))</f>
        <v/>
      </c>
      <c r="F1938">
        <f>IF(Sync!$AJ1938="","",Sync!$AJ1938)</f>
        <v/>
      </c>
      <c r="G1938">
        <f>IF($F1938="","",IF(Sync!$AG1938="","",IF(ISNUMBER(Sync!$AG1938),IF(AND(Sync!$AG1938&gt;=10000101,Sync!$AG1938&lt;=99991231),INT(Sync!$AG1938/10000),""),IFERROR(VALUE(TRIM(LEFT(Sync!$AG1938,FIND("/",Sync!$AG1938)-1))),""))))</f>
        <v/>
      </c>
      <c r="H1938">
        <f>IF(OR($F1938="",$G1938=""),"",IF(ISNUMBER(Sync!$AG1938),INT(MOD(Sync!$AG1938,10000)/100),IFERROR(VALUE(TRIM(LEFT(MID(Sync!$AG1938,FIND("/",Sync!$AG1938)+1,20),FIND("/",MID(Sync!$AG1938,FIND("/",Sync!$AG1938)+1,20))-1))),"")))</f>
        <v/>
      </c>
      <c r="I1938">
        <f>IF(OR($F1938="",$G1938=""),"",IF(ISNUMBER(Sync!$AG1938),MOD(Sync!$AG1938,100),IFERROR(VALUE(TRIM(MID(MID(Sync!$AG1938,FIND("/",Sync!$AG1938)+1,20),FIND("/",MID(Sync!$AG1938,FIND("/",Sync!$AG1938)+1,20))+1,20))),"")))</f>
        <v/>
      </c>
      <c r="J1938">
        <f>IF($F1938="","",IF(OR($G1938="",$H1938="",$I1938="",$G1938&lt;1300,$G1938&gt;1500,$H1938&lt;1,$H1938&gt;12,$I1938&lt;1,$I1938&gt;31),"نامعتبر",RIGHT("0000"&amp;$G1938,4)&amp;"/"&amp;RIGHT("00"&amp;$H1938,2)&amp;"/"&amp;RIGHT("00"&amp;$I1938,2)))</f>
        <v/>
      </c>
      <c r="K1938">
        <f>IF(OR($F1938="",$J1938="",$J1938="نامعتبر"),"",LEFT($J1938,4)&amp;MID($J1938,6,2)&amp;RIGHT($J1938,2)&amp;$N1938&amp;"|"&amp;"2"&amp;RIGHT("00000"&amp;1933,5))</f>
        <v/>
      </c>
      <c r="L1938">
        <f>IF($K1938="","",COUNTIFS(LdgPartyA,$F1938,LdgKeyA,"&lt;"&amp;$K1938)+COUNTIFS(LdgPartyB,$F1938,LdgKeyB,"&lt;"&amp;$K1938)+1)</f>
        <v/>
      </c>
      <c r="M1938">
        <f>IF($L1938="","",$F1938&amp;"|"&amp;RIGHT("000000"&amp;$L1938,6))</f>
        <v/>
      </c>
      <c r="N1938">
        <f>IF($F1938="","",IF(Sync!$AH1938="","0000",IF(AND(ISNUMBER(Sync!$AH1938),Sync!$AH1938&gt;=0,Sync!$AH1938&lt;1),RIGHT("00"&amp;HOUR(Sync!$AH1938),2)&amp;RIGHT("00"&amp;MINUTE(Sync!$AH1938),2),IFERROR(RIGHT("00"&amp;VALUE(LEFT(Sync!$AH1938,FIND(":",Sync!$AH1938)-1)),2)&amp;RIGHT("00"&amp;VALUE(MID(Sync!$AH1938,FIND(":",Sync!$AH1938)+1,2)),2),"0000"))))</f>
        <v/>
      </c>
    </row>
    <row r="1939">
      <c r="A1939">
        <f>IF(OR(Calc!$E1942="",Calc!$E1942="نامعتبر",Calc!$G1942="",Calc!$I1942&lt;&gt;"خرید"),"",Calc!$G1942)</f>
        <v/>
      </c>
      <c r="B1939">
        <f>IF($A1939="","",LEFT(Calc!$E1942,4)&amp;MID(Calc!$E1942,6,2)&amp;RIGHT(Calc!$E1942,2)&amp;Calc!$R1942&amp;"|"&amp;"1"&amp;RIGHT("00000"&amp;1934,5))</f>
        <v/>
      </c>
      <c r="C1939">
        <f>IF($B1939="","",COUNTIFS(LdgPartyA,$A1939,LdgKeyA,"&lt;"&amp;$B1939)+COUNTIFS(LdgPartyB,$A1939,LdgKeyB,"&lt;"&amp;$B1939)+1)</f>
        <v/>
      </c>
      <c r="D1939">
        <f>IF($C1939="","",$A1939&amp;"|"&amp;RIGHT("000000"&amp;$C1939,6))</f>
        <v/>
      </c>
      <c r="F1939">
        <f>IF(Sync!$AJ1939="","",Sync!$AJ1939)</f>
        <v/>
      </c>
      <c r="G1939">
        <f>IF($F1939="","",IF(Sync!$AG1939="","",IF(ISNUMBER(Sync!$AG1939),IF(AND(Sync!$AG1939&gt;=10000101,Sync!$AG1939&lt;=99991231),INT(Sync!$AG1939/10000),""),IFERROR(VALUE(TRIM(LEFT(Sync!$AG1939,FIND("/",Sync!$AG1939)-1))),""))))</f>
        <v/>
      </c>
      <c r="H1939">
        <f>IF(OR($F1939="",$G1939=""),"",IF(ISNUMBER(Sync!$AG1939),INT(MOD(Sync!$AG1939,10000)/100),IFERROR(VALUE(TRIM(LEFT(MID(Sync!$AG1939,FIND("/",Sync!$AG1939)+1,20),FIND("/",MID(Sync!$AG1939,FIND("/",Sync!$AG1939)+1,20))-1))),"")))</f>
        <v/>
      </c>
      <c r="I1939">
        <f>IF(OR($F1939="",$G1939=""),"",IF(ISNUMBER(Sync!$AG1939),MOD(Sync!$AG1939,100),IFERROR(VALUE(TRIM(MID(MID(Sync!$AG1939,FIND("/",Sync!$AG1939)+1,20),FIND("/",MID(Sync!$AG1939,FIND("/",Sync!$AG1939)+1,20))+1,20))),"")))</f>
        <v/>
      </c>
      <c r="J1939">
        <f>IF($F1939="","",IF(OR($G1939="",$H1939="",$I1939="",$G1939&lt;1300,$G1939&gt;1500,$H1939&lt;1,$H1939&gt;12,$I1939&lt;1,$I1939&gt;31),"نامعتبر",RIGHT("0000"&amp;$G1939,4)&amp;"/"&amp;RIGHT("00"&amp;$H1939,2)&amp;"/"&amp;RIGHT("00"&amp;$I1939,2)))</f>
        <v/>
      </c>
      <c r="K1939">
        <f>IF(OR($F1939="",$J1939="",$J1939="نامعتبر"),"",LEFT($J1939,4)&amp;MID($J1939,6,2)&amp;RIGHT($J1939,2)&amp;$N1939&amp;"|"&amp;"2"&amp;RIGHT("00000"&amp;1934,5))</f>
        <v/>
      </c>
      <c r="L1939">
        <f>IF($K1939="","",COUNTIFS(LdgPartyA,$F1939,LdgKeyA,"&lt;"&amp;$K1939)+COUNTIFS(LdgPartyB,$F1939,LdgKeyB,"&lt;"&amp;$K1939)+1)</f>
        <v/>
      </c>
      <c r="M1939">
        <f>IF($L1939="","",$F1939&amp;"|"&amp;RIGHT("000000"&amp;$L1939,6))</f>
        <v/>
      </c>
      <c r="N1939">
        <f>IF($F1939="","",IF(Sync!$AH1939="","0000",IF(AND(ISNUMBER(Sync!$AH1939),Sync!$AH1939&gt;=0,Sync!$AH1939&lt;1),RIGHT("00"&amp;HOUR(Sync!$AH1939),2)&amp;RIGHT("00"&amp;MINUTE(Sync!$AH1939),2),IFERROR(RIGHT("00"&amp;VALUE(LEFT(Sync!$AH1939,FIND(":",Sync!$AH1939)-1)),2)&amp;RIGHT("00"&amp;VALUE(MID(Sync!$AH1939,FIND(":",Sync!$AH1939)+1,2)),2),"0000"))))</f>
        <v/>
      </c>
    </row>
    <row r="1940">
      <c r="A1940">
        <f>IF(OR(Calc!$E1943="",Calc!$E1943="نامعتبر",Calc!$G1943="",Calc!$I1943&lt;&gt;"خرید"),"",Calc!$G1943)</f>
        <v/>
      </c>
      <c r="B1940">
        <f>IF($A1940="","",LEFT(Calc!$E1943,4)&amp;MID(Calc!$E1943,6,2)&amp;RIGHT(Calc!$E1943,2)&amp;Calc!$R1943&amp;"|"&amp;"1"&amp;RIGHT("00000"&amp;1935,5))</f>
        <v/>
      </c>
      <c r="C1940">
        <f>IF($B1940="","",COUNTIFS(LdgPartyA,$A1940,LdgKeyA,"&lt;"&amp;$B1940)+COUNTIFS(LdgPartyB,$A1940,LdgKeyB,"&lt;"&amp;$B1940)+1)</f>
        <v/>
      </c>
      <c r="D1940">
        <f>IF($C1940="","",$A1940&amp;"|"&amp;RIGHT("000000"&amp;$C1940,6))</f>
        <v/>
      </c>
      <c r="F1940">
        <f>IF(Sync!$AJ1940="","",Sync!$AJ1940)</f>
        <v/>
      </c>
      <c r="G1940">
        <f>IF($F1940="","",IF(Sync!$AG1940="","",IF(ISNUMBER(Sync!$AG1940),IF(AND(Sync!$AG1940&gt;=10000101,Sync!$AG1940&lt;=99991231),INT(Sync!$AG1940/10000),""),IFERROR(VALUE(TRIM(LEFT(Sync!$AG1940,FIND("/",Sync!$AG1940)-1))),""))))</f>
        <v/>
      </c>
      <c r="H1940">
        <f>IF(OR($F1940="",$G1940=""),"",IF(ISNUMBER(Sync!$AG1940),INT(MOD(Sync!$AG1940,10000)/100),IFERROR(VALUE(TRIM(LEFT(MID(Sync!$AG1940,FIND("/",Sync!$AG1940)+1,20),FIND("/",MID(Sync!$AG1940,FIND("/",Sync!$AG1940)+1,20))-1))),"")))</f>
        <v/>
      </c>
      <c r="I1940">
        <f>IF(OR($F1940="",$G1940=""),"",IF(ISNUMBER(Sync!$AG1940),MOD(Sync!$AG1940,100),IFERROR(VALUE(TRIM(MID(MID(Sync!$AG1940,FIND("/",Sync!$AG1940)+1,20),FIND("/",MID(Sync!$AG1940,FIND("/",Sync!$AG1940)+1,20))+1,20))),"")))</f>
        <v/>
      </c>
      <c r="J1940">
        <f>IF($F1940="","",IF(OR($G1940="",$H1940="",$I1940="",$G1940&lt;1300,$G1940&gt;1500,$H1940&lt;1,$H1940&gt;12,$I1940&lt;1,$I1940&gt;31),"نامعتبر",RIGHT("0000"&amp;$G1940,4)&amp;"/"&amp;RIGHT("00"&amp;$H1940,2)&amp;"/"&amp;RIGHT("00"&amp;$I1940,2)))</f>
        <v/>
      </c>
      <c r="K1940">
        <f>IF(OR($F1940="",$J1940="",$J1940="نامعتبر"),"",LEFT($J1940,4)&amp;MID($J1940,6,2)&amp;RIGHT($J1940,2)&amp;$N1940&amp;"|"&amp;"2"&amp;RIGHT("00000"&amp;1935,5))</f>
        <v/>
      </c>
      <c r="L1940">
        <f>IF($K1940="","",COUNTIFS(LdgPartyA,$F1940,LdgKeyA,"&lt;"&amp;$K1940)+COUNTIFS(LdgPartyB,$F1940,LdgKeyB,"&lt;"&amp;$K1940)+1)</f>
        <v/>
      </c>
      <c r="M1940">
        <f>IF($L1940="","",$F1940&amp;"|"&amp;RIGHT("000000"&amp;$L1940,6))</f>
        <v/>
      </c>
      <c r="N1940">
        <f>IF($F1940="","",IF(Sync!$AH1940="","0000",IF(AND(ISNUMBER(Sync!$AH1940),Sync!$AH1940&gt;=0,Sync!$AH1940&lt;1),RIGHT("00"&amp;HOUR(Sync!$AH1940),2)&amp;RIGHT("00"&amp;MINUTE(Sync!$AH1940),2),IFERROR(RIGHT("00"&amp;VALUE(LEFT(Sync!$AH1940,FIND(":",Sync!$AH1940)-1)),2)&amp;RIGHT("00"&amp;VALUE(MID(Sync!$AH1940,FIND(":",Sync!$AH1940)+1,2)),2),"0000"))))</f>
        <v/>
      </c>
    </row>
    <row r="1941">
      <c r="A1941">
        <f>IF(OR(Calc!$E1944="",Calc!$E1944="نامعتبر",Calc!$G1944="",Calc!$I1944&lt;&gt;"خرید"),"",Calc!$G1944)</f>
        <v/>
      </c>
      <c r="B1941">
        <f>IF($A1941="","",LEFT(Calc!$E1944,4)&amp;MID(Calc!$E1944,6,2)&amp;RIGHT(Calc!$E1944,2)&amp;Calc!$R1944&amp;"|"&amp;"1"&amp;RIGHT("00000"&amp;1936,5))</f>
        <v/>
      </c>
      <c r="C1941">
        <f>IF($B1941="","",COUNTIFS(LdgPartyA,$A1941,LdgKeyA,"&lt;"&amp;$B1941)+COUNTIFS(LdgPartyB,$A1941,LdgKeyB,"&lt;"&amp;$B1941)+1)</f>
        <v/>
      </c>
      <c r="D1941">
        <f>IF($C1941="","",$A1941&amp;"|"&amp;RIGHT("000000"&amp;$C1941,6))</f>
        <v/>
      </c>
      <c r="F1941">
        <f>IF(Sync!$AJ1941="","",Sync!$AJ1941)</f>
        <v/>
      </c>
      <c r="G1941">
        <f>IF($F1941="","",IF(Sync!$AG1941="","",IF(ISNUMBER(Sync!$AG1941),IF(AND(Sync!$AG1941&gt;=10000101,Sync!$AG1941&lt;=99991231),INT(Sync!$AG1941/10000),""),IFERROR(VALUE(TRIM(LEFT(Sync!$AG1941,FIND("/",Sync!$AG1941)-1))),""))))</f>
        <v/>
      </c>
      <c r="H1941">
        <f>IF(OR($F1941="",$G1941=""),"",IF(ISNUMBER(Sync!$AG1941),INT(MOD(Sync!$AG1941,10000)/100),IFERROR(VALUE(TRIM(LEFT(MID(Sync!$AG1941,FIND("/",Sync!$AG1941)+1,20),FIND("/",MID(Sync!$AG1941,FIND("/",Sync!$AG1941)+1,20))-1))),"")))</f>
        <v/>
      </c>
      <c r="I1941">
        <f>IF(OR($F1941="",$G1941=""),"",IF(ISNUMBER(Sync!$AG1941),MOD(Sync!$AG1941,100),IFERROR(VALUE(TRIM(MID(MID(Sync!$AG1941,FIND("/",Sync!$AG1941)+1,20),FIND("/",MID(Sync!$AG1941,FIND("/",Sync!$AG1941)+1,20))+1,20))),"")))</f>
        <v/>
      </c>
      <c r="J1941">
        <f>IF($F1941="","",IF(OR($G1941="",$H1941="",$I1941="",$G1941&lt;1300,$G1941&gt;1500,$H1941&lt;1,$H1941&gt;12,$I1941&lt;1,$I1941&gt;31),"نامعتبر",RIGHT("0000"&amp;$G1941,4)&amp;"/"&amp;RIGHT("00"&amp;$H1941,2)&amp;"/"&amp;RIGHT("00"&amp;$I1941,2)))</f>
        <v/>
      </c>
      <c r="K1941">
        <f>IF(OR($F1941="",$J1941="",$J1941="نامعتبر"),"",LEFT($J1941,4)&amp;MID($J1941,6,2)&amp;RIGHT($J1941,2)&amp;$N1941&amp;"|"&amp;"2"&amp;RIGHT("00000"&amp;1936,5))</f>
        <v/>
      </c>
      <c r="L1941">
        <f>IF($K1941="","",COUNTIFS(LdgPartyA,$F1941,LdgKeyA,"&lt;"&amp;$K1941)+COUNTIFS(LdgPartyB,$F1941,LdgKeyB,"&lt;"&amp;$K1941)+1)</f>
        <v/>
      </c>
      <c r="M1941">
        <f>IF($L1941="","",$F1941&amp;"|"&amp;RIGHT("000000"&amp;$L1941,6))</f>
        <v/>
      </c>
      <c r="N1941">
        <f>IF($F1941="","",IF(Sync!$AH1941="","0000",IF(AND(ISNUMBER(Sync!$AH1941),Sync!$AH1941&gt;=0,Sync!$AH1941&lt;1),RIGHT("00"&amp;HOUR(Sync!$AH1941),2)&amp;RIGHT("00"&amp;MINUTE(Sync!$AH1941),2),IFERROR(RIGHT("00"&amp;VALUE(LEFT(Sync!$AH1941,FIND(":",Sync!$AH1941)-1)),2)&amp;RIGHT("00"&amp;VALUE(MID(Sync!$AH1941,FIND(":",Sync!$AH1941)+1,2)),2),"0000"))))</f>
        <v/>
      </c>
    </row>
    <row r="1942">
      <c r="A1942">
        <f>IF(OR(Calc!$E1945="",Calc!$E1945="نامعتبر",Calc!$G1945="",Calc!$I1945&lt;&gt;"خرید"),"",Calc!$G1945)</f>
        <v/>
      </c>
      <c r="B1942">
        <f>IF($A1942="","",LEFT(Calc!$E1945,4)&amp;MID(Calc!$E1945,6,2)&amp;RIGHT(Calc!$E1945,2)&amp;Calc!$R1945&amp;"|"&amp;"1"&amp;RIGHT("00000"&amp;1937,5))</f>
        <v/>
      </c>
      <c r="C1942">
        <f>IF($B1942="","",COUNTIFS(LdgPartyA,$A1942,LdgKeyA,"&lt;"&amp;$B1942)+COUNTIFS(LdgPartyB,$A1942,LdgKeyB,"&lt;"&amp;$B1942)+1)</f>
        <v/>
      </c>
      <c r="D1942">
        <f>IF($C1942="","",$A1942&amp;"|"&amp;RIGHT("000000"&amp;$C1942,6))</f>
        <v/>
      </c>
      <c r="F1942">
        <f>IF(Sync!$AJ1942="","",Sync!$AJ1942)</f>
        <v/>
      </c>
      <c r="G1942">
        <f>IF($F1942="","",IF(Sync!$AG1942="","",IF(ISNUMBER(Sync!$AG1942),IF(AND(Sync!$AG1942&gt;=10000101,Sync!$AG1942&lt;=99991231),INT(Sync!$AG1942/10000),""),IFERROR(VALUE(TRIM(LEFT(Sync!$AG1942,FIND("/",Sync!$AG1942)-1))),""))))</f>
        <v/>
      </c>
      <c r="H1942">
        <f>IF(OR($F1942="",$G1942=""),"",IF(ISNUMBER(Sync!$AG1942),INT(MOD(Sync!$AG1942,10000)/100),IFERROR(VALUE(TRIM(LEFT(MID(Sync!$AG1942,FIND("/",Sync!$AG1942)+1,20),FIND("/",MID(Sync!$AG1942,FIND("/",Sync!$AG1942)+1,20))-1))),"")))</f>
        <v/>
      </c>
      <c r="I1942">
        <f>IF(OR($F1942="",$G1942=""),"",IF(ISNUMBER(Sync!$AG1942),MOD(Sync!$AG1942,100),IFERROR(VALUE(TRIM(MID(MID(Sync!$AG1942,FIND("/",Sync!$AG1942)+1,20),FIND("/",MID(Sync!$AG1942,FIND("/",Sync!$AG1942)+1,20))+1,20))),"")))</f>
        <v/>
      </c>
      <c r="J1942">
        <f>IF($F1942="","",IF(OR($G1942="",$H1942="",$I1942="",$G1942&lt;1300,$G1942&gt;1500,$H1942&lt;1,$H1942&gt;12,$I1942&lt;1,$I1942&gt;31),"نامعتبر",RIGHT("0000"&amp;$G1942,4)&amp;"/"&amp;RIGHT("00"&amp;$H1942,2)&amp;"/"&amp;RIGHT("00"&amp;$I1942,2)))</f>
        <v/>
      </c>
      <c r="K1942">
        <f>IF(OR($F1942="",$J1942="",$J1942="نامعتبر"),"",LEFT($J1942,4)&amp;MID($J1942,6,2)&amp;RIGHT($J1942,2)&amp;$N1942&amp;"|"&amp;"2"&amp;RIGHT("00000"&amp;1937,5))</f>
        <v/>
      </c>
      <c r="L1942">
        <f>IF($K1942="","",COUNTIFS(LdgPartyA,$F1942,LdgKeyA,"&lt;"&amp;$K1942)+COUNTIFS(LdgPartyB,$F1942,LdgKeyB,"&lt;"&amp;$K1942)+1)</f>
        <v/>
      </c>
      <c r="M1942">
        <f>IF($L1942="","",$F1942&amp;"|"&amp;RIGHT("000000"&amp;$L1942,6))</f>
        <v/>
      </c>
      <c r="N1942">
        <f>IF($F1942="","",IF(Sync!$AH1942="","0000",IF(AND(ISNUMBER(Sync!$AH1942),Sync!$AH1942&gt;=0,Sync!$AH1942&lt;1),RIGHT("00"&amp;HOUR(Sync!$AH1942),2)&amp;RIGHT("00"&amp;MINUTE(Sync!$AH1942),2),IFERROR(RIGHT("00"&amp;VALUE(LEFT(Sync!$AH1942,FIND(":",Sync!$AH1942)-1)),2)&amp;RIGHT("00"&amp;VALUE(MID(Sync!$AH1942,FIND(":",Sync!$AH1942)+1,2)),2),"0000"))))</f>
        <v/>
      </c>
    </row>
    <row r="1943">
      <c r="A1943">
        <f>IF(OR(Calc!$E1946="",Calc!$E1946="نامعتبر",Calc!$G1946="",Calc!$I1946&lt;&gt;"خرید"),"",Calc!$G1946)</f>
        <v/>
      </c>
      <c r="B1943">
        <f>IF($A1943="","",LEFT(Calc!$E1946,4)&amp;MID(Calc!$E1946,6,2)&amp;RIGHT(Calc!$E1946,2)&amp;Calc!$R1946&amp;"|"&amp;"1"&amp;RIGHT("00000"&amp;1938,5))</f>
        <v/>
      </c>
      <c r="C1943">
        <f>IF($B1943="","",COUNTIFS(LdgPartyA,$A1943,LdgKeyA,"&lt;"&amp;$B1943)+COUNTIFS(LdgPartyB,$A1943,LdgKeyB,"&lt;"&amp;$B1943)+1)</f>
        <v/>
      </c>
      <c r="D1943">
        <f>IF($C1943="","",$A1943&amp;"|"&amp;RIGHT("000000"&amp;$C1943,6))</f>
        <v/>
      </c>
      <c r="F1943">
        <f>IF(Sync!$AJ1943="","",Sync!$AJ1943)</f>
        <v/>
      </c>
      <c r="G1943">
        <f>IF($F1943="","",IF(Sync!$AG1943="","",IF(ISNUMBER(Sync!$AG1943),IF(AND(Sync!$AG1943&gt;=10000101,Sync!$AG1943&lt;=99991231),INT(Sync!$AG1943/10000),""),IFERROR(VALUE(TRIM(LEFT(Sync!$AG1943,FIND("/",Sync!$AG1943)-1))),""))))</f>
        <v/>
      </c>
      <c r="H1943">
        <f>IF(OR($F1943="",$G1943=""),"",IF(ISNUMBER(Sync!$AG1943),INT(MOD(Sync!$AG1943,10000)/100),IFERROR(VALUE(TRIM(LEFT(MID(Sync!$AG1943,FIND("/",Sync!$AG1943)+1,20),FIND("/",MID(Sync!$AG1943,FIND("/",Sync!$AG1943)+1,20))-1))),"")))</f>
        <v/>
      </c>
      <c r="I1943">
        <f>IF(OR($F1943="",$G1943=""),"",IF(ISNUMBER(Sync!$AG1943),MOD(Sync!$AG1943,100),IFERROR(VALUE(TRIM(MID(MID(Sync!$AG1943,FIND("/",Sync!$AG1943)+1,20),FIND("/",MID(Sync!$AG1943,FIND("/",Sync!$AG1943)+1,20))+1,20))),"")))</f>
        <v/>
      </c>
      <c r="J1943">
        <f>IF($F1943="","",IF(OR($G1943="",$H1943="",$I1943="",$G1943&lt;1300,$G1943&gt;1500,$H1943&lt;1,$H1943&gt;12,$I1943&lt;1,$I1943&gt;31),"نامعتبر",RIGHT("0000"&amp;$G1943,4)&amp;"/"&amp;RIGHT("00"&amp;$H1943,2)&amp;"/"&amp;RIGHT("00"&amp;$I1943,2)))</f>
        <v/>
      </c>
      <c r="K1943">
        <f>IF(OR($F1943="",$J1943="",$J1943="نامعتبر"),"",LEFT($J1943,4)&amp;MID($J1943,6,2)&amp;RIGHT($J1943,2)&amp;$N1943&amp;"|"&amp;"2"&amp;RIGHT("00000"&amp;1938,5))</f>
        <v/>
      </c>
      <c r="L1943">
        <f>IF($K1943="","",COUNTIFS(LdgPartyA,$F1943,LdgKeyA,"&lt;"&amp;$K1943)+COUNTIFS(LdgPartyB,$F1943,LdgKeyB,"&lt;"&amp;$K1943)+1)</f>
        <v/>
      </c>
      <c r="M1943">
        <f>IF($L1943="","",$F1943&amp;"|"&amp;RIGHT("000000"&amp;$L1943,6))</f>
        <v/>
      </c>
      <c r="N1943">
        <f>IF($F1943="","",IF(Sync!$AH1943="","0000",IF(AND(ISNUMBER(Sync!$AH1943),Sync!$AH1943&gt;=0,Sync!$AH1943&lt;1),RIGHT("00"&amp;HOUR(Sync!$AH1943),2)&amp;RIGHT("00"&amp;MINUTE(Sync!$AH1943),2),IFERROR(RIGHT("00"&amp;VALUE(LEFT(Sync!$AH1943,FIND(":",Sync!$AH1943)-1)),2)&amp;RIGHT("00"&amp;VALUE(MID(Sync!$AH1943,FIND(":",Sync!$AH1943)+1,2)),2),"0000"))))</f>
        <v/>
      </c>
    </row>
    <row r="1944">
      <c r="A1944">
        <f>IF(OR(Calc!$E1947="",Calc!$E1947="نامعتبر",Calc!$G1947="",Calc!$I1947&lt;&gt;"خرید"),"",Calc!$G1947)</f>
        <v/>
      </c>
      <c r="B1944">
        <f>IF($A1944="","",LEFT(Calc!$E1947,4)&amp;MID(Calc!$E1947,6,2)&amp;RIGHT(Calc!$E1947,2)&amp;Calc!$R1947&amp;"|"&amp;"1"&amp;RIGHT("00000"&amp;1939,5))</f>
        <v/>
      </c>
      <c r="C1944">
        <f>IF($B1944="","",COUNTIFS(LdgPartyA,$A1944,LdgKeyA,"&lt;"&amp;$B1944)+COUNTIFS(LdgPartyB,$A1944,LdgKeyB,"&lt;"&amp;$B1944)+1)</f>
        <v/>
      </c>
      <c r="D1944">
        <f>IF($C1944="","",$A1944&amp;"|"&amp;RIGHT("000000"&amp;$C1944,6))</f>
        <v/>
      </c>
      <c r="F1944">
        <f>IF(Sync!$AJ1944="","",Sync!$AJ1944)</f>
        <v/>
      </c>
      <c r="G1944">
        <f>IF($F1944="","",IF(Sync!$AG1944="","",IF(ISNUMBER(Sync!$AG1944),IF(AND(Sync!$AG1944&gt;=10000101,Sync!$AG1944&lt;=99991231),INT(Sync!$AG1944/10000),""),IFERROR(VALUE(TRIM(LEFT(Sync!$AG1944,FIND("/",Sync!$AG1944)-1))),""))))</f>
        <v/>
      </c>
      <c r="H1944">
        <f>IF(OR($F1944="",$G1944=""),"",IF(ISNUMBER(Sync!$AG1944),INT(MOD(Sync!$AG1944,10000)/100),IFERROR(VALUE(TRIM(LEFT(MID(Sync!$AG1944,FIND("/",Sync!$AG1944)+1,20),FIND("/",MID(Sync!$AG1944,FIND("/",Sync!$AG1944)+1,20))-1))),"")))</f>
        <v/>
      </c>
      <c r="I1944">
        <f>IF(OR($F1944="",$G1944=""),"",IF(ISNUMBER(Sync!$AG1944),MOD(Sync!$AG1944,100),IFERROR(VALUE(TRIM(MID(MID(Sync!$AG1944,FIND("/",Sync!$AG1944)+1,20),FIND("/",MID(Sync!$AG1944,FIND("/",Sync!$AG1944)+1,20))+1,20))),"")))</f>
        <v/>
      </c>
      <c r="J1944">
        <f>IF($F1944="","",IF(OR($G1944="",$H1944="",$I1944="",$G1944&lt;1300,$G1944&gt;1500,$H1944&lt;1,$H1944&gt;12,$I1944&lt;1,$I1944&gt;31),"نامعتبر",RIGHT("0000"&amp;$G1944,4)&amp;"/"&amp;RIGHT("00"&amp;$H1944,2)&amp;"/"&amp;RIGHT("00"&amp;$I1944,2)))</f>
        <v/>
      </c>
      <c r="K1944">
        <f>IF(OR($F1944="",$J1944="",$J1944="نامعتبر"),"",LEFT($J1944,4)&amp;MID($J1944,6,2)&amp;RIGHT($J1944,2)&amp;$N1944&amp;"|"&amp;"2"&amp;RIGHT("00000"&amp;1939,5))</f>
        <v/>
      </c>
      <c r="L1944">
        <f>IF($K1944="","",COUNTIFS(LdgPartyA,$F1944,LdgKeyA,"&lt;"&amp;$K1944)+COUNTIFS(LdgPartyB,$F1944,LdgKeyB,"&lt;"&amp;$K1944)+1)</f>
        <v/>
      </c>
      <c r="M1944">
        <f>IF($L1944="","",$F1944&amp;"|"&amp;RIGHT("000000"&amp;$L1944,6))</f>
        <v/>
      </c>
      <c r="N1944">
        <f>IF($F1944="","",IF(Sync!$AH1944="","0000",IF(AND(ISNUMBER(Sync!$AH1944),Sync!$AH1944&gt;=0,Sync!$AH1944&lt;1),RIGHT("00"&amp;HOUR(Sync!$AH1944),2)&amp;RIGHT("00"&amp;MINUTE(Sync!$AH1944),2),IFERROR(RIGHT("00"&amp;VALUE(LEFT(Sync!$AH1944,FIND(":",Sync!$AH1944)-1)),2)&amp;RIGHT("00"&amp;VALUE(MID(Sync!$AH1944,FIND(":",Sync!$AH1944)+1,2)),2),"0000"))))</f>
        <v/>
      </c>
    </row>
    <row r="1945">
      <c r="A1945">
        <f>IF(OR(Calc!$E1948="",Calc!$E1948="نامعتبر",Calc!$G1948="",Calc!$I1948&lt;&gt;"خرید"),"",Calc!$G1948)</f>
        <v/>
      </c>
      <c r="B1945">
        <f>IF($A1945="","",LEFT(Calc!$E1948,4)&amp;MID(Calc!$E1948,6,2)&amp;RIGHT(Calc!$E1948,2)&amp;Calc!$R1948&amp;"|"&amp;"1"&amp;RIGHT("00000"&amp;1940,5))</f>
        <v/>
      </c>
      <c r="C1945">
        <f>IF($B1945="","",COUNTIFS(LdgPartyA,$A1945,LdgKeyA,"&lt;"&amp;$B1945)+COUNTIFS(LdgPartyB,$A1945,LdgKeyB,"&lt;"&amp;$B1945)+1)</f>
        <v/>
      </c>
      <c r="D1945">
        <f>IF($C1945="","",$A1945&amp;"|"&amp;RIGHT("000000"&amp;$C1945,6))</f>
        <v/>
      </c>
      <c r="F1945">
        <f>IF(Sync!$AJ1945="","",Sync!$AJ1945)</f>
        <v/>
      </c>
      <c r="G1945">
        <f>IF($F1945="","",IF(Sync!$AG1945="","",IF(ISNUMBER(Sync!$AG1945),IF(AND(Sync!$AG1945&gt;=10000101,Sync!$AG1945&lt;=99991231),INT(Sync!$AG1945/10000),""),IFERROR(VALUE(TRIM(LEFT(Sync!$AG1945,FIND("/",Sync!$AG1945)-1))),""))))</f>
        <v/>
      </c>
      <c r="H1945">
        <f>IF(OR($F1945="",$G1945=""),"",IF(ISNUMBER(Sync!$AG1945),INT(MOD(Sync!$AG1945,10000)/100),IFERROR(VALUE(TRIM(LEFT(MID(Sync!$AG1945,FIND("/",Sync!$AG1945)+1,20),FIND("/",MID(Sync!$AG1945,FIND("/",Sync!$AG1945)+1,20))-1))),"")))</f>
        <v/>
      </c>
      <c r="I1945">
        <f>IF(OR($F1945="",$G1945=""),"",IF(ISNUMBER(Sync!$AG1945),MOD(Sync!$AG1945,100),IFERROR(VALUE(TRIM(MID(MID(Sync!$AG1945,FIND("/",Sync!$AG1945)+1,20),FIND("/",MID(Sync!$AG1945,FIND("/",Sync!$AG1945)+1,20))+1,20))),"")))</f>
        <v/>
      </c>
      <c r="J1945">
        <f>IF($F1945="","",IF(OR($G1945="",$H1945="",$I1945="",$G1945&lt;1300,$G1945&gt;1500,$H1945&lt;1,$H1945&gt;12,$I1945&lt;1,$I1945&gt;31),"نامعتبر",RIGHT("0000"&amp;$G1945,4)&amp;"/"&amp;RIGHT("00"&amp;$H1945,2)&amp;"/"&amp;RIGHT("00"&amp;$I1945,2)))</f>
        <v/>
      </c>
      <c r="K1945">
        <f>IF(OR($F1945="",$J1945="",$J1945="نامعتبر"),"",LEFT($J1945,4)&amp;MID($J1945,6,2)&amp;RIGHT($J1945,2)&amp;$N1945&amp;"|"&amp;"2"&amp;RIGHT("00000"&amp;1940,5))</f>
        <v/>
      </c>
      <c r="L1945">
        <f>IF($K1945="","",COUNTIFS(LdgPartyA,$F1945,LdgKeyA,"&lt;"&amp;$K1945)+COUNTIFS(LdgPartyB,$F1945,LdgKeyB,"&lt;"&amp;$K1945)+1)</f>
        <v/>
      </c>
      <c r="M1945">
        <f>IF($L1945="","",$F1945&amp;"|"&amp;RIGHT("000000"&amp;$L1945,6))</f>
        <v/>
      </c>
      <c r="N1945">
        <f>IF($F1945="","",IF(Sync!$AH1945="","0000",IF(AND(ISNUMBER(Sync!$AH1945),Sync!$AH1945&gt;=0,Sync!$AH1945&lt;1),RIGHT("00"&amp;HOUR(Sync!$AH1945),2)&amp;RIGHT("00"&amp;MINUTE(Sync!$AH1945),2),IFERROR(RIGHT("00"&amp;VALUE(LEFT(Sync!$AH1945,FIND(":",Sync!$AH1945)-1)),2)&amp;RIGHT("00"&amp;VALUE(MID(Sync!$AH1945,FIND(":",Sync!$AH1945)+1,2)),2),"0000"))))</f>
        <v/>
      </c>
    </row>
    <row r="1946">
      <c r="A1946">
        <f>IF(OR(Calc!$E1949="",Calc!$E1949="نامعتبر",Calc!$G1949="",Calc!$I1949&lt;&gt;"خرید"),"",Calc!$G1949)</f>
        <v/>
      </c>
      <c r="B1946">
        <f>IF($A1946="","",LEFT(Calc!$E1949,4)&amp;MID(Calc!$E1949,6,2)&amp;RIGHT(Calc!$E1949,2)&amp;Calc!$R1949&amp;"|"&amp;"1"&amp;RIGHT("00000"&amp;1941,5))</f>
        <v/>
      </c>
      <c r="C1946">
        <f>IF($B1946="","",COUNTIFS(LdgPartyA,$A1946,LdgKeyA,"&lt;"&amp;$B1946)+COUNTIFS(LdgPartyB,$A1946,LdgKeyB,"&lt;"&amp;$B1946)+1)</f>
        <v/>
      </c>
      <c r="D1946">
        <f>IF($C1946="","",$A1946&amp;"|"&amp;RIGHT("000000"&amp;$C1946,6))</f>
        <v/>
      </c>
      <c r="F1946">
        <f>IF(Sync!$AJ1946="","",Sync!$AJ1946)</f>
        <v/>
      </c>
      <c r="G1946">
        <f>IF($F1946="","",IF(Sync!$AG1946="","",IF(ISNUMBER(Sync!$AG1946),IF(AND(Sync!$AG1946&gt;=10000101,Sync!$AG1946&lt;=99991231),INT(Sync!$AG1946/10000),""),IFERROR(VALUE(TRIM(LEFT(Sync!$AG1946,FIND("/",Sync!$AG1946)-1))),""))))</f>
        <v/>
      </c>
      <c r="H1946">
        <f>IF(OR($F1946="",$G1946=""),"",IF(ISNUMBER(Sync!$AG1946),INT(MOD(Sync!$AG1946,10000)/100),IFERROR(VALUE(TRIM(LEFT(MID(Sync!$AG1946,FIND("/",Sync!$AG1946)+1,20),FIND("/",MID(Sync!$AG1946,FIND("/",Sync!$AG1946)+1,20))-1))),"")))</f>
        <v/>
      </c>
      <c r="I1946">
        <f>IF(OR($F1946="",$G1946=""),"",IF(ISNUMBER(Sync!$AG1946),MOD(Sync!$AG1946,100),IFERROR(VALUE(TRIM(MID(MID(Sync!$AG1946,FIND("/",Sync!$AG1946)+1,20),FIND("/",MID(Sync!$AG1946,FIND("/",Sync!$AG1946)+1,20))+1,20))),"")))</f>
        <v/>
      </c>
      <c r="J1946">
        <f>IF($F1946="","",IF(OR($G1946="",$H1946="",$I1946="",$G1946&lt;1300,$G1946&gt;1500,$H1946&lt;1,$H1946&gt;12,$I1946&lt;1,$I1946&gt;31),"نامعتبر",RIGHT("0000"&amp;$G1946,4)&amp;"/"&amp;RIGHT("00"&amp;$H1946,2)&amp;"/"&amp;RIGHT("00"&amp;$I1946,2)))</f>
        <v/>
      </c>
      <c r="K1946">
        <f>IF(OR($F1946="",$J1946="",$J1946="نامعتبر"),"",LEFT($J1946,4)&amp;MID($J1946,6,2)&amp;RIGHT($J1946,2)&amp;$N1946&amp;"|"&amp;"2"&amp;RIGHT("00000"&amp;1941,5))</f>
        <v/>
      </c>
      <c r="L1946">
        <f>IF($K1946="","",COUNTIFS(LdgPartyA,$F1946,LdgKeyA,"&lt;"&amp;$K1946)+COUNTIFS(LdgPartyB,$F1946,LdgKeyB,"&lt;"&amp;$K1946)+1)</f>
        <v/>
      </c>
      <c r="M1946">
        <f>IF($L1946="","",$F1946&amp;"|"&amp;RIGHT("000000"&amp;$L1946,6))</f>
        <v/>
      </c>
      <c r="N1946">
        <f>IF($F1946="","",IF(Sync!$AH1946="","0000",IF(AND(ISNUMBER(Sync!$AH1946),Sync!$AH1946&gt;=0,Sync!$AH1946&lt;1),RIGHT("00"&amp;HOUR(Sync!$AH1946),2)&amp;RIGHT("00"&amp;MINUTE(Sync!$AH1946),2),IFERROR(RIGHT("00"&amp;VALUE(LEFT(Sync!$AH1946,FIND(":",Sync!$AH1946)-1)),2)&amp;RIGHT("00"&amp;VALUE(MID(Sync!$AH1946,FIND(":",Sync!$AH1946)+1,2)),2),"0000"))))</f>
        <v/>
      </c>
    </row>
    <row r="1947">
      <c r="A1947">
        <f>IF(OR(Calc!$E1950="",Calc!$E1950="نامعتبر",Calc!$G1950="",Calc!$I1950&lt;&gt;"خرید"),"",Calc!$G1950)</f>
        <v/>
      </c>
      <c r="B1947">
        <f>IF($A1947="","",LEFT(Calc!$E1950,4)&amp;MID(Calc!$E1950,6,2)&amp;RIGHT(Calc!$E1950,2)&amp;Calc!$R1950&amp;"|"&amp;"1"&amp;RIGHT("00000"&amp;1942,5))</f>
        <v/>
      </c>
      <c r="C1947">
        <f>IF($B1947="","",COUNTIFS(LdgPartyA,$A1947,LdgKeyA,"&lt;"&amp;$B1947)+COUNTIFS(LdgPartyB,$A1947,LdgKeyB,"&lt;"&amp;$B1947)+1)</f>
        <v/>
      </c>
      <c r="D1947">
        <f>IF($C1947="","",$A1947&amp;"|"&amp;RIGHT("000000"&amp;$C1947,6))</f>
        <v/>
      </c>
      <c r="F1947">
        <f>IF(Sync!$AJ1947="","",Sync!$AJ1947)</f>
        <v/>
      </c>
      <c r="G1947">
        <f>IF($F1947="","",IF(Sync!$AG1947="","",IF(ISNUMBER(Sync!$AG1947),IF(AND(Sync!$AG1947&gt;=10000101,Sync!$AG1947&lt;=99991231),INT(Sync!$AG1947/10000),""),IFERROR(VALUE(TRIM(LEFT(Sync!$AG1947,FIND("/",Sync!$AG1947)-1))),""))))</f>
        <v/>
      </c>
      <c r="H1947">
        <f>IF(OR($F1947="",$G1947=""),"",IF(ISNUMBER(Sync!$AG1947),INT(MOD(Sync!$AG1947,10000)/100),IFERROR(VALUE(TRIM(LEFT(MID(Sync!$AG1947,FIND("/",Sync!$AG1947)+1,20),FIND("/",MID(Sync!$AG1947,FIND("/",Sync!$AG1947)+1,20))-1))),"")))</f>
        <v/>
      </c>
      <c r="I1947">
        <f>IF(OR($F1947="",$G1947=""),"",IF(ISNUMBER(Sync!$AG1947),MOD(Sync!$AG1947,100),IFERROR(VALUE(TRIM(MID(MID(Sync!$AG1947,FIND("/",Sync!$AG1947)+1,20),FIND("/",MID(Sync!$AG1947,FIND("/",Sync!$AG1947)+1,20))+1,20))),"")))</f>
        <v/>
      </c>
      <c r="J1947">
        <f>IF($F1947="","",IF(OR($G1947="",$H1947="",$I1947="",$G1947&lt;1300,$G1947&gt;1500,$H1947&lt;1,$H1947&gt;12,$I1947&lt;1,$I1947&gt;31),"نامعتبر",RIGHT("0000"&amp;$G1947,4)&amp;"/"&amp;RIGHT("00"&amp;$H1947,2)&amp;"/"&amp;RIGHT("00"&amp;$I1947,2)))</f>
        <v/>
      </c>
      <c r="K1947">
        <f>IF(OR($F1947="",$J1947="",$J1947="نامعتبر"),"",LEFT($J1947,4)&amp;MID($J1947,6,2)&amp;RIGHT($J1947,2)&amp;$N1947&amp;"|"&amp;"2"&amp;RIGHT("00000"&amp;1942,5))</f>
        <v/>
      </c>
      <c r="L1947">
        <f>IF($K1947="","",COUNTIFS(LdgPartyA,$F1947,LdgKeyA,"&lt;"&amp;$K1947)+COUNTIFS(LdgPartyB,$F1947,LdgKeyB,"&lt;"&amp;$K1947)+1)</f>
        <v/>
      </c>
      <c r="M1947">
        <f>IF($L1947="","",$F1947&amp;"|"&amp;RIGHT("000000"&amp;$L1947,6))</f>
        <v/>
      </c>
      <c r="N1947">
        <f>IF($F1947="","",IF(Sync!$AH1947="","0000",IF(AND(ISNUMBER(Sync!$AH1947),Sync!$AH1947&gt;=0,Sync!$AH1947&lt;1),RIGHT("00"&amp;HOUR(Sync!$AH1947),2)&amp;RIGHT("00"&amp;MINUTE(Sync!$AH1947),2),IFERROR(RIGHT("00"&amp;VALUE(LEFT(Sync!$AH1947,FIND(":",Sync!$AH1947)-1)),2)&amp;RIGHT("00"&amp;VALUE(MID(Sync!$AH1947,FIND(":",Sync!$AH1947)+1,2)),2),"0000"))))</f>
        <v/>
      </c>
    </row>
    <row r="1948">
      <c r="A1948">
        <f>IF(OR(Calc!$E1951="",Calc!$E1951="نامعتبر",Calc!$G1951="",Calc!$I1951&lt;&gt;"خرید"),"",Calc!$G1951)</f>
        <v/>
      </c>
      <c r="B1948">
        <f>IF($A1948="","",LEFT(Calc!$E1951,4)&amp;MID(Calc!$E1951,6,2)&amp;RIGHT(Calc!$E1951,2)&amp;Calc!$R1951&amp;"|"&amp;"1"&amp;RIGHT("00000"&amp;1943,5))</f>
        <v/>
      </c>
      <c r="C1948">
        <f>IF($B1948="","",COUNTIFS(LdgPartyA,$A1948,LdgKeyA,"&lt;"&amp;$B1948)+COUNTIFS(LdgPartyB,$A1948,LdgKeyB,"&lt;"&amp;$B1948)+1)</f>
        <v/>
      </c>
      <c r="D1948">
        <f>IF($C1948="","",$A1948&amp;"|"&amp;RIGHT("000000"&amp;$C1948,6))</f>
        <v/>
      </c>
      <c r="F1948">
        <f>IF(Sync!$AJ1948="","",Sync!$AJ1948)</f>
        <v/>
      </c>
      <c r="G1948">
        <f>IF($F1948="","",IF(Sync!$AG1948="","",IF(ISNUMBER(Sync!$AG1948),IF(AND(Sync!$AG1948&gt;=10000101,Sync!$AG1948&lt;=99991231),INT(Sync!$AG1948/10000),""),IFERROR(VALUE(TRIM(LEFT(Sync!$AG1948,FIND("/",Sync!$AG1948)-1))),""))))</f>
        <v/>
      </c>
      <c r="H1948">
        <f>IF(OR($F1948="",$G1948=""),"",IF(ISNUMBER(Sync!$AG1948),INT(MOD(Sync!$AG1948,10000)/100),IFERROR(VALUE(TRIM(LEFT(MID(Sync!$AG1948,FIND("/",Sync!$AG1948)+1,20),FIND("/",MID(Sync!$AG1948,FIND("/",Sync!$AG1948)+1,20))-1))),"")))</f>
        <v/>
      </c>
      <c r="I1948">
        <f>IF(OR($F1948="",$G1948=""),"",IF(ISNUMBER(Sync!$AG1948),MOD(Sync!$AG1948,100),IFERROR(VALUE(TRIM(MID(MID(Sync!$AG1948,FIND("/",Sync!$AG1948)+1,20),FIND("/",MID(Sync!$AG1948,FIND("/",Sync!$AG1948)+1,20))+1,20))),"")))</f>
        <v/>
      </c>
      <c r="J1948">
        <f>IF($F1948="","",IF(OR($G1948="",$H1948="",$I1948="",$G1948&lt;1300,$G1948&gt;1500,$H1948&lt;1,$H1948&gt;12,$I1948&lt;1,$I1948&gt;31),"نامعتبر",RIGHT("0000"&amp;$G1948,4)&amp;"/"&amp;RIGHT("00"&amp;$H1948,2)&amp;"/"&amp;RIGHT("00"&amp;$I1948,2)))</f>
        <v/>
      </c>
      <c r="K1948">
        <f>IF(OR($F1948="",$J1948="",$J1948="نامعتبر"),"",LEFT($J1948,4)&amp;MID($J1948,6,2)&amp;RIGHT($J1948,2)&amp;$N1948&amp;"|"&amp;"2"&amp;RIGHT("00000"&amp;1943,5))</f>
        <v/>
      </c>
      <c r="L1948">
        <f>IF($K1948="","",COUNTIFS(LdgPartyA,$F1948,LdgKeyA,"&lt;"&amp;$K1948)+COUNTIFS(LdgPartyB,$F1948,LdgKeyB,"&lt;"&amp;$K1948)+1)</f>
        <v/>
      </c>
      <c r="M1948">
        <f>IF($L1948="","",$F1948&amp;"|"&amp;RIGHT("000000"&amp;$L1948,6))</f>
        <v/>
      </c>
      <c r="N1948">
        <f>IF($F1948="","",IF(Sync!$AH1948="","0000",IF(AND(ISNUMBER(Sync!$AH1948),Sync!$AH1948&gt;=0,Sync!$AH1948&lt;1),RIGHT("00"&amp;HOUR(Sync!$AH1948),2)&amp;RIGHT("00"&amp;MINUTE(Sync!$AH1948),2),IFERROR(RIGHT("00"&amp;VALUE(LEFT(Sync!$AH1948,FIND(":",Sync!$AH1948)-1)),2)&amp;RIGHT("00"&amp;VALUE(MID(Sync!$AH1948,FIND(":",Sync!$AH1948)+1,2)),2),"0000"))))</f>
        <v/>
      </c>
    </row>
    <row r="1949">
      <c r="A1949">
        <f>IF(OR(Calc!$E1952="",Calc!$E1952="نامعتبر",Calc!$G1952="",Calc!$I1952&lt;&gt;"خرید"),"",Calc!$G1952)</f>
        <v/>
      </c>
      <c r="B1949">
        <f>IF($A1949="","",LEFT(Calc!$E1952,4)&amp;MID(Calc!$E1952,6,2)&amp;RIGHT(Calc!$E1952,2)&amp;Calc!$R1952&amp;"|"&amp;"1"&amp;RIGHT("00000"&amp;1944,5))</f>
        <v/>
      </c>
      <c r="C1949">
        <f>IF($B1949="","",COUNTIFS(LdgPartyA,$A1949,LdgKeyA,"&lt;"&amp;$B1949)+COUNTIFS(LdgPartyB,$A1949,LdgKeyB,"&lt;"&amp;$B1949)+1)</f>
        <v/>
      </c>
      <c r="D1949">
        <f>IF($C1949="","",$A1949&amp;"|"&amp;RIGHT("000000"&amp;$C1949,6))</f>
        <v/>
      </c>
      <c r="F1949">
        <f>IF(Sync!$AJ1949="","",Sync!$AJ1949)</f>
        <v/>
      </c>
      <c r="G1949">
        <f>IF($F1949="","",IF(Sync!$AG1949="","",IF(ISNUMBER(Sync!$AG1949),IF(AND(Sync!$AG1949&gt;=10000101,Sync!$AG1949&lt;=99991231),INT(Sync!$AG1949/10000),""),IFERROR(VALUE(TRIM(LEFT(Sync!$AG1949,FIND("/",Sync!$AG1949)-1))),""))))</f>
        <v/>
      </c>
      <c r="H1949">
        <f>IF(OR($F1949="",$G1949=""),"",IF(ISNUMBER(Sync!$AG1949),INT(MOD(Sync!$AG1949,10000)/100),IFERROR(VALUE(TRIM(LEFT(MID(Sync!$AG1949,FIND("/",Sync!$AG1949)+1,20),FIND("/",MID(Sync!$AG1949,FIND("/",Sync!$AG1949)+1,20))-1))),"")))</f>
        <v/>
      </c>
      <c r="I1949">
        <f>IF(OR($F1949="",$G1949=""),"",IF(ISNUMBER(Sync!$AG1949),MOD(Sync!$AG1949,100),IFERROR(VALUE(TRIM(MID(MID(Sync!$AG1949,FIND("/",Sync!$AG1949)+1,20),FIND("/",MID(Sync!$AG1949,FIND("/",Sync!$AG1949)+1,20))+1,20))),"")))</f>
        <v/>
      </c>
      <c r="J1949">
        <f>IF($F1949="","",IF(OR($G1949="",$H1949="",$I1949="",$G1949&lt;1300,$G1949&gt;1500,$H1949&lt;1,$H1949&gt;12,$I1949&lt;1,$I1949&gt;31),"نامعتبر",RIGHT("0000"&amp;$G1949,4)&amp;"/"&amp;RIGHT("00"&amp;$H1949,2)&amp;"/"&amp;RIGHT("00"&amp;$I1949,2)))</f>
        <v/>
      </c>
      <c r="K1949">
        <f>IF(OR($F1949="",$J1949="",$J1949="نامعتبر"),"",LEFT($J1949,4)&amp;MID($J1949,6,2)&amp;RIGHT($J1949,2)&amp;$N1949&amp;"|"&amp;"2"&amp;RIGHT("00000"&amp;1944,5))</f>
        <v/>
      </c>
      <c r="L1949">
        <f>IF($K1949="","",COUNTIFS(LdgPartyA,$F1949,LdgKeyA,"&lt;"&amp;$K1949)+COUNTIFS(LdgPartyB,$F1949,LdgKeyB,"&lt;"&amp;$K1949)+1)</f>
        <v/>
      </c>
      <c r="M1949">
        <f>IF($L1949="","",$F1949&amp;"|"&amp;RIGHT("000000"&amp;$L1949,6))</f>
        <v/>
      </c>
      <c r="N1949">
        <f>IF($F1949="","",IF(Sync!$AH1949="","0000",IF(AND(ISNUMBER(Sync!$AH1949),Sync!$AH1949&gt;=0,Sync!$AH1949&lt;1),RIGHT("00"&amp;HOUR(Sync!$AH1949),2)&amp;RIGHT("00"&amp;MINUTE(Sync!$AH1949),2),IFERROR(RIGHT("00"&amp;VALUE(LEFT(Sync!$AH1949,FIND(":",Sync!$AH1949)-1)),2)&amp;RIGHT("00"&amp;VALUE(MID(Sync!$AH1949,FIND(":",Sync!$AH1949)+1,2)),2),"0000"))))</f>
        <v/>
      </c>
    </row>
    <row r="1950">
      <c r="A1950">
        <f>IF(OR(Calc!$E1953="",Calc!$E1953="نامعتبر",Calc!$G1953="",Calc!$I1953&lt;&gt;"خرید"),"",Calc!$G1953)</f>
        <v/>
      </c>
      <c r="B1950">
        <f>IF($A1950="","",LEFT(Calc!$E1953,4)&amp;MID(Calc!$E1953,6,2)&amp;RIGHT(Calc!$E1953,2)&amp;Calc!$R1953&amp;"|"&amp;"1"&amp;RIGHT("00000"&amp;1945,5))</f>
        <v/>
      </c>
      <c r="C1950">
        <f>IF($B1950="","",COUNTIFS(LdgPartyA,$A1950,LdgKeyA,"&lt;"&amp;$B1950)+COUNTIFS(LdgPartyB,$A1950,LdgKeyB,"&lt;"&amp;$B1950)+1)</f>
        <v/>
      </c>
      <c r="D1950">
        <f>IF($C1950="","",$A1950&amp;"|"&amp;RIGHT("000000"&amp;$C1950,6))</f>
        <v/>
      </c>
      <c r="F1950">
        <f>IF(Sync!$AJ1950="","",Sync!$AJ1950)</f>
        <v/>
      </c>
      <c r="G1950">
        <f>IF($F1950="","",IF(Sync!$AG1950="","",IF(ISNUMBER(Sync!$AG1950),IF(AND(Sync!$AG1950&gt;=10000101,Sync!$AG1950&lt;=99991231),INT(Sync!$AG1950/10000),""),IFERROR(VALUE(TRIM(LEFT(Sync!$AG1950,FIND("/",Sync!$AG1950)-1))),""))))</f>
        <v/>
      </c>
      <c r="H1950">
        <f>IF(OR($F1950="",$G1950=""),"",IF(ISNUMBER(Sync!$AG1950),INT(MOD(Sync!$AG1950,10000)/100),IFERROR(VALUE(TRIM(LEFT(MID(Sync!$AG1950,FIND("/",Sync!$AG1950)+1,20),FIND("/",MID(Sync!$AG1950,FIND("/",Sync!$AG1950)+1,20))-1))),"")))</f>
        <v/>
      </c>
      <c r="I1950">
        <f>IF(OR($F1950="",$G1950=""),"",IF(ISNUMBER(Sync!$AG1950),MOD(Sync!$AG1950,100),IFERROR(VALUE(TRIM(MID(MID(Sync!$AG1950,FIND("/",Sync!$AG1950)+1,20),FIND("/",MID(Sync!$AG1950,FIND("/",Sync!$AG1950)+1,20))+1,20))),"")))</f>
        <v/>
      </c>
      <c r="J1950">
        <f>IF($F1950="","",IF(OR($G1950="",$H1950="",$I1950="",$G1950&lt;1300,$G1950&gt;1500,$H1950&lt;1,$H1950&gt;12,$I1950&lt;1,$I1950&gt;31),"نامعتبر",RIGHT("0000"&amp;$G1950,4)&amp;"/"&amp;RIGHT("00"&amp;$H1950,2)&amp;"/"&amp;RIGHT("00"&amp;$I1950,2)))</f>
        <v/>
      </c>
      <c r="K1950">
        <f>IF(OR($F1950="",$J1950="",$J1950="نامعتبر"),"",LEFT($J1950,4)&amp;MID($J1950,6,2)&amp;RIGHT($J1950,2)&amp;$N1950&amp;"|"&amp;"2"&amp;RIGHT("00000"&amp;1945,5))</f>
        <v/>
      </c>
      <c r="L1950">
        <f>IF($K1950="","",COUNTIFS(LdgPartyA,$F1950,LdgKeyA,"&lt;"&amp;$K1950)+COUNTIFS(LdgPartyB,$F1950,LdgKeyB,"&lt;"&amp;$K1950)+1)</f>
        <v/>
      </c>
      <c r="M1950">
        <f>IF($L1950="","",$F1950&amp;"|"&amp;RIGHT("000000"&amp;$L1950,6))</f>
        <v/>
      </c>
      <c r="N1950">
        <f>IF($F1950="","",IF(Sync!$AH1950="","0000",IF(AND(ISNUMBER(Sync!$AH1950),Sync!$AH1950&gt;=0,Sync!$AH1950&lt;1),RIGHT("00"&amp;HOUR(Sync!$AH1950),2)&amp;RIGHT("00"&amp;MINUTE(Sync!$AH1950),2),IFERROR(RIGHT("00"&amp;VALUE(LEFT(Sync!$AH1950,FIND(":",Sync!$AH1950)-1)),2)&amp;RIGHT("00"&amp;VALUE(MID(Sync!$AH1950,FIND(":",Sync!$AH1950)+1,2)),2),"0000"))))</f>
        <v/>
      </c>
    </row>
    <row r="1951">
      <c r="A1951">
        <f>IF(OR(Calc!$E1954="",Calc!$E1954="نامعتبر",Calc!$G1954="",Calc!$I1954&lt;&gt;"خرید"),"",Calc!$G1954)</f>
        <v/>
      </c>
      <c r="B1951">
        <f>IF($A1951="","",LEFT(Calc!$E1954,4)&amp;MID(Calc!$E1954,6,2)&amp;RIGHT(Calc!$E1954,2)&amp;Calc!$R1954&amp;"|"&amp;"1"&amp;RIGHT("00000"&amp;1946,5))</f>
        <v/>
      </c>
      <c r="C1951">
        <f>IF($B1951="","",COUNTIFS(LdgPartyA,$A1951,LdgKeyA,"&lt;"&amp;$B1951)+COUNTIFS(LdgPartyB,$A1951,LdgKeyB,"&lt;"&amp;$B1951)+1)</f>
        <v/>
      </c>
      <c r="D1951">
        <f>IF($C1951="","",$A1951&amp;"|"&amp;RIGHT("000000"&amp;$C1951,6))</f>
        <v/>
      </c>
      <c r="F1951">
        <f>IF(Sync!$AJ1951="","",Sync!$AJ1951)</f>
        <v/>
      </c>
      <c r="G1951">
        <f>IF($F1951="","",IF(Sync!$AG1951="","",IF(ISNUMBER(Sync!$AG1951),IF(AND(Sync!$AG1951&gt;=10000101,Sync!$AG1951&lt;=99991231),INT(Sync!$AG1951/10000),""),IFERROR(VALUE(TRIM(LEFT(Sync!$AG1951,FIND("/",Sync!$AG1951)-1))),""))))</f>
        <v/>
      </c>
      <c r="H1951">
        <f>IF(OR($F1951="",$G1951=""),"",IF(ISNUMBER(Sync!$AG1951),INT(MOD(Sync!$AG1951,10000)/100),IFERROR(VALUE(TRIM(LEFT(MID(Sync!$AG1951,FIND("/",Sync!$AG1951)+1,20),FIND("/",MID(Sync!$AG1951,FIND("/",Sync!$AG1951)+1,20))-1))),"")))</f>
        <v/>
      </c>
      <c r="I1951">
        <f>IF(OR($F1951="",$G1951=""),"",IF(ISNUMBER(Sync!$AG1951),MOD(Sync!$AG1951,100),IFERROR(VALUE(TRIM(MID(MID(Sync!$AG1951,FIND("/",Sync!$AG1951)+1,20),FIND("/",MID(Sync!$AG1951,FIND("/",Sync!$AG1951)+1,20))+1,20))),"")))</f>
        <v/>
      </c>
      <c r="J1951">
        <f>IF($F1951="","",IF(OR($G1951="",$H1951="",$I1951="",$G1951&lt;1300,$G1951&gt;1500,$H1951&lt;1,$H1951&gt;12,$I1951&lt;1,$I1951&gt;31),"نامعتبر",RIGHT("0000"&amp;$G1951,4)&amp;"/"&amp;RIGHT("00"&amp;$H1951,2)&amp;"/"&amp;RIGHT("00"&amp;$I1951,2)))</f>
        <v/>
      </c>
      <c r="K1951">
        <f>IF(OR($F1951="",$J1951="",$J1951="نامعتبر"),"",LEFT($J1951,4)&amp;MID($J1951,6,2)&amp;RIGHT($J1951,2)&amp;$N1951&amp;"|"&amp;"2"&amp;RIGHT("00000"&amp;1946,5))</f>
        <v/>
      </c>
      <c r="L1951">
        <f>IF($K1951="","",COUNTIFS(LdgPartyA,$F1951,LdgKeyA,"&lt;"&amp;$K1951)+COUNTIFS(LdgPartyB,$F1951,LdgKeyB,"&lt;"&amp;$K1951)+1)</f>
        <v/>
      </c>
      <c r="M1951">
        <f>IF($L1951="","",$F1951&amp;"|"&amp;RIGHT("000000"&amp;$L1951,6))</f>
        <v/>
      </c>
      <c r="N1951">
        <f>IF($F1951="","",IF(Sync!$AH1951="","0000",IF(AND(ISNUMBER(Sync!$AH1951),Sync!$AH1951&gt;=0,Sync!$AH1951&lt;1),RIGHT("00"&amp;HOUR(Sync!$AH1951),2)&amp;RIGHT("00"&amp;MINUTE(Sync!$AH1951),2),IFERROR(RIGHT("00"&amp;VALUE(LEFT(Sync!$AH1951,FIND(":",Sync!$AH1951)-1)),2)&amp;RIGHT("00"&amp;VALUE(MID(Sync!$AH1951,FIND(":",Sync!$AH1951)+1,2)),2),"0000"))))</f>
        <v/>
      </c>
    </row>
    <row r="1952">
      <c r="A1952">
        <f>IF(OR(Calc!$E1955="",Calc!$E1955="نامعتبر",Calc!$G1955="",Calc!$I1955&lt;&gt;"خرید"),"",Calc!$G1955)</f>
        <v/>
      </c>
      <c r="B1952">
        <f>IF($A1952="","",LEFT(Calc!$E1955,4)&amp;MID(Calc!$E1955,6,2)&amp;RIGHT(Calc!$E1955,2)&amp;Calc!$R1955&amp;"|"&amp;"1"&amp;RIGHT("00000"&amp;1947,5))</f>
        <v/>
      </c>
      <c r="C1952">
        <f>IF($B1952="","",COUNTIFS(LdgPartyA,$A1952,LdgKeyA,"&lt;"&amp;$B1952)+COUNTIFS(LdgPartyB,$A1952,LdgKeyB,"&lt;"&amp;$B1952)+1)</f>
        <v/>
      </c>
      <c r="D1952">
        <f>IF($C1952="","",$A1952&amp;"|"&amp;RIGHT("000000"&amp;$C1952,6))</f>
        <v/>
      </c>
      <c r="F1952">
        <f>IF(Sync!$AJ1952="","",Sync!$AJ1952)</f>
        <v/>
      </c>
      <c r="G1952">
        <f>IF($F1952="","",IF(Sync!$AG1952="","",IF(ISNUMBER(Sync!$AG1952),IF(AND(Sync!$AG1952&gt;=10000101,Sync!$AG1952&lt;=99991231),INT(Sync!$AG1952/10000),""),IFERROR(VALUE(TRIM(LEFT(Sync!$AG1952,FIND("/",Sync!$AG1952)-1))),""))))</f>
        <v/>
      </c>
      <c r="H1952">
        <f>IF(OR($F1952="",$G1952=""),"",IF(ISNUMBER(Sync!$AG1952),INT(MOD(Sync!$AG1952,10000)/100),IFERROR(VALUE(TRIM(LEFT(MID(Sync!$AG1952,FIND("/",Sync!$AG1952)+1,20),FIND("/",MID(Sync!$AG1952,FIND("/",Sync!$AG1952)+1,20))-1))),"")))</f>
        <v/>
      </c>
      <c r="I1952">
        <f>IF(OR($F1952="",$G1952=""),"",IF(ISNUMBER(Sync!$AG1952),MOD(Sync!$AG1952,100),IFERROR(VALUE(TRIM(MID(MID(Sync!$AG1952,FIND("/",Sync!$AG1952)+1,20),FIND("/",MID(Sync!$AG1952,FIND("/",Sync!$AG1952)+1,20))+1,20))),"")))</f>
        <v/>
      </c>
      <c r="J1952">
        <f>IF($F1952="","",IF(OR($G1952="",$H1952="",$I1952="",$G1952&lt;1300,$G1952&gt;1500,$H1952&lt;1,$H1952&gt;12,$I1952&lt;1,$I1952&gt;31),"نامعتبر",RIGHT("0000"&amp;$G1952,4)&amp;"/"&amp;RIGHT("00"&amp;$H1952,2)&amp;"/"&amp;RIGHT("00"&amp;$I1952,2)))</f>
        <v/>
      </c>
      <c r="K1952">
        <f>IF(OR($F1952="",$J1952="",$J1952="نامعتبر"),"",LEFT($J1952,4)&amp;MID($J1952,6,2)&amp;RIGHT($J1952,2)&amp;$N1952&amp;"|"&amp;"2"&amp;RIGHT("00000"&amp;1947,5))</f>
        <v/>
      </c>
      <c r="L1952">
        <f>IF($K1952="","",COUNTIFS(LdgPartyA,$F1952,LdgKeyA,"&lt;"&amp;$K1952)+COUNTIFS(LdgPartyB,$F1952,LdgKeyB,"&lt;"&amp;$K1952)+1)</f>
        <v/>
      </c>
      <c r="M1952">
        <f>IF($L1952="","",$F1952&amp;"|"&amp;RIGHT("000000"&amp;$L1952,6))</f>
        <v/>
      </c>
      <c r="N1952">
        <f>IF($F1952="","",IF(Sync!$AH1952="","0000",IF(AND(ISNUMBER(Sync!$AH1952),Sync!$AH1952&gt;=0,Sync!$AH1952&lt;1),RIGHT("00"&amp;HOUR(Sync!$AH1952),2)&amp;RIGHT("00"&amp;MINUTE(Sync!$AH1952),2),IFERROR(RIGHT("00"&amp;VALUE(LEFT(Sync!$AH1952,FIND(":",Sync!$AH1952)-1)),2)&amp;RIGHT("00"&amp;VALUE(MID(Sync!$AH1952,FIND(":",Sync!$AH1952)+1,2)),2),"0000"))))</f>
        <v/>
      </c>
    </row>
    <row r="1953">
      <c r="A1953">
        <f>IF(OR(Calc!$E1956="",Calc!$E1956="نامعتبر",Calc!$G1956="",Calc!$I1956&lt;&gt;"خرید"),"",Calc!$G1956)</f>
        <v/>
      </c>
      <c r="B1953">
        <f>IF($A1953="","",LEFT(Calc!$E1956,4)&amp;MID(Calc!$E1956,6,2)&amp;RIGHT(Calc!$E1956,2)&amp;Calc!$R1956&amp;"|"&amp;"1"&amp;RIGHT("00000"&amp;1948,5))</f>
        <v/>
      </c>
      <c r="C1953">
        <f>IF($B1953="","",COUNTIFS(LdgPartyA,$A1953,LdgKeyA,"&lt;"&amp;$B1953)+COUNTIFS(LdgPartyB,$A1953,LdgKeyB,"&lt;"&amp;$B1953)+1)</f>
        <v/>
      </c>
      <c r="D1953">
        <f>IF($C1953="","",$A1953&amp;"|"&amp;RIGHT("000000"&amp;$C1953,6))</f>
        <v/>
      </c>
      <c r="F1953">
        <f>IF(Sync!$AJ1953="","",Sync!$AJ1953)</f>
        <v/>
      </c>
      <c r="G1953">
        <f>IF($F1953="","",IF(Sync!$AG1953="","",IF(ISNUMBER(Sync!$AG1953),IF(AND(Sync!$AG1953&gt;=10000101,Sync!$AG1953&lt;=99991231),INT(Sync!$AG1953/10000),""),IFERROR(VALUE(TRIM(LEFT(Sync!$AG1953,FIND("/",Sync!$AG1953)-1))),""))))</f>
        <v/>
      </c>
      <c r="H1953">
        <f>IF(OR($F1953="",$G1953=""),"",IF(ISNUMBER(Sync!$AG1953),INT(MOD(Sync!$AG1953,10000)/100),IFERROR(VALUE(TRIM(LEFT(MID(Sync!$AG1953,FIND("/",Sync!$AG1953)+1,20),FIND("/",MID(Sync!$AG1953,FIND("/",Sync!$AG1953)+1,20))-1))),"")))</f>
        <v/>
      </c>
      <c r="I1953">
        <f>IF(OR($F1953="",$G1953=""),"",IF(ISNUMBER(Sync!$AG1953),MOD(Sync!$AG1953,100),IFERROR(VALUE(TRIM(MID(MID(Sync!$AG1953,FIND("/",Sync!$AG1953)+1,20),FIND("/",MID(Sync!$AG1953,FIND("/",Sync!$AG1953)+1,20))+1,20))),"")))</f>
        <v/>
      </c>
      <c r="J1953">
        <f>IF($F1953="","",IF(OR($G1953="",$H1953="",$I1953="",$G1953&lt;1300,$G1953&gt;1500,$H1953&lt;1,$H1953&gt;12,$I1953&lt;1,$I1953&gt;31),"نامعتبر",RIGHT("0000"&amp;$G1953,4)&amp;"/"&amp;RIGHT("00"&amp;$H1953,2)&amp;"/"&amp;RIGHT("00"&amp;$I1953,2)))</f>
        <v/>
      </c>
      <c r="K1953">
        <f>IF(OR($F1953="",$J1953="",$J1953="نامعتبر"),"",LEFT($J1953,4)&amp;MID($J1953,6,2)&amp;RIGHT($J1953,2)&amp;$N1953&amp;"|"&amp;"2"&amp;RIGHT("00000"&amp;1948,5))</f>
        <v/>
      </c>
      <c r="L1953">
        <f>IF($K1953="","",COUNTIFS(LdgPartyA,$F1953,LdgKeyA,"&lt;"&amp;$K1953)+COUNTIFS(LdgPartyB,$F1953,LdgKeyB,"&lt;"&amp;$K1953)+1)</f>
        <v/>
      </c>
      <c r="M1953">
        <f>IF($L1953="","",$F1953&amp;"|"&amp;RIGHT("000000"&amp;$L1953,6))</f>
        <v/>
      </c>
      <c r="N1953">
        <f>IF($F1953="","",IF(Sync!$AH1953="","0000",IF(AND(ISNUMBER(Sync!$AH1953),Sync!$AH1953&gt;=0,Sync!$AH1953&lt;1),RIGHT("00"&amp;HOUR(Sync!$AH1953),2)&amp;RIGHT("00"&amp;MINUTE(Sync!$AH1953),2),IFERROR(RIGHT("00"&amp;VALUE(LEFT(Sync!$AH1953,FIND(":",Sync!$AH1953)-1)),2)&amp;RIGHT("00"&amp;VALUE(MID(Sync!$AH1953,FIND(":",Sync!$AH1953)+1,2)),2),"0000"))))</f>
        <v/>
      </c>
    </row>
    <row r="1954">
      <c r="A1954">
        <f>IF(OR(Calc!$E1957="",Calc!$E1957="نامعتبر",Calc!$G1957="",Calc!$I1957&lt;&gt;"خرید"),"",Calc!$G1957)</f>
        <v/>
      </c>
      <c r="B1954">
        <f>IF($A1954="","",LEFT(Calc!$E1957,4)&amp;MID(Calc!$E1957,6,2)&amp;RIGHT(Calc!$E1957,2)&amp;Calc!$R1957&amp;"|"&amp;"1"&amp;RIGHT("00000"&amp;1949,5))</f>
        <v/>
      </c>
      <c r="C1954">
        <f>IF($B1954="","",COUNTIFS(LdgPartyA,$A1954,LdgKeyA,"&lt;"&amp;$B1954)+COUNTIFS(LdgPartyB,$A1954,LdgKeyB,"&lt;"&amp;$B1954)+1)</f>
        <v/>
      </c>
      <c r="D1954">
        <f>IF($C1954="","",$A1954&amp;"|"&amp;RIGHT("000000"&amp;$C1954,6))</f>
        <v/>
      </c>
      <c r="F1954">
        <f>IF(Sync!$AJ1954="","",Sync!$AJ1954)</f>
        <v/>
      </c>
      <c r="G1954">
        <f>IF($F1954="","",IF(Sync!$AG1954="","",IF(ISNUMBER(Sync!$AG1954),IF(AND(Sync!$AG1954&gt;=10000101,Sync!$AG1954&lt;=99991231),INT(Sync!$AG1954/10000),""),IFERROR(VALUE(TRIM(LEFT(Sync!$AG1954,FIND("/",Sync!$AG1954)-1))),""))))</f>
        <v/>
      </c>
      <c r="H1954">
        <f>IF(OR($F1954="",$G1954=""),"",IF(ISNUMBER(Sync!$AG1954),INT(MOD(Sync!$AG1954,10000)/100),IFERROR(VALUE(TRIM(LEFT(MID(Sync!$AG1954,FIND("/",Sync!$AG1954)+1,20),FIND("/",MID(Sync!$AG1954,FIND("/",Sync!$AG1954)+1,20))-1))),"")))</f>
        <v/>
      </c>
      <c r="I1954">
        <f>IF(OR($F1954="",$G1954=""),"",IF(ISNUMBER(Sync!$AG1954),MOD(Sync!$AG1954,100),IFERROR(VALUE(TRIM(MID(MID(Sync!$AG1954,FIND("/",Sync!$AG1954)+1,20),FIND("/",MID(Sync!$AG1954,FIND("/",Sync!$AG1954)+1,20))+1,20))),"")))</f>
        <v/>
      </c>
      <c r="J1954">
        <f>IF($F1954="","",IF(OR($G1954="",$H1954="",$I1954="",$G1954&lt;1300,$G1954&gt;1500,$H1954&lt;1,$H1954&gt;12,$I1954&lt;1,$I1954&gt;31),"نامعتبر",RIGHT("0000"&amp;$G1954,4)&amp;"/"&amp;RIGHT("00"&amp;$H1954,2)&amp;"/"&amp;RIGHT("00"&amp;$I1954,2)))</f>
        <v/>
      </c>
      <c r="K1954">
        <f>IF(OR($F1954="",$J1954="",$J1954="نامعتبر"),"",LEFT($J1954,4)&amp;MID($J1954,6,2)&amp;RIGHT($J1954,2)&amp;$N1954&amp;"|"&amp;"2"&amp;RIGHT("00000"&amp;1949,5))</f>
        <v/>
      </c>
      <c r="L1954">
        <f>IF($K1954="","",COUNTIFS(LdgPartyA,$F1954,LdgKeyA,"&lt;"&amp;$K1954)+COUNTIFS(LdgPartyB,$F1954,LdgKeyB,"&lt;"&amp;$K1954)+1)</f>
        <v/>
      </c>
      <c r="M1954">
        <f>IF($L1954="","",$F1954&amp;"|"&amp;RIGHT("000000"&amp;$L1954,6))</f>
        <v/>
      </c>
      <c r="N1954">
        <f>IF($F1954="","",IF(Sync!$AH1954="","0000",IF(AND(ISNUMBER(Sync!$AH1954),Sync!$AH1954&gt;=0,Sync!$AH1954&lt;1),RIGHT("00"&amp;HOUR(Sync!$AH1954),2)&amp;RIGHT("00"&amp;MINUTE(Sync!$AH1954),2),IFERROR(RIGHT("00"&amp;VALUE(LEFT(Sync!$AH1954,FIND(":",Sync!$AH1954)-1)),2)&amp;RIGHT("00"&amp;VALUE(MID(Sync!$AH1954,FIND(":",Sync!$AH1954)+1,2)),2),"0000"))))</f>
        <v/>
      </c>
    </row>
    <row r="1955">
      <c r="A1955">
        <f>IF(OR(Calc!$E1958="",Calc!$E1958="نامعتبر",Calc!$G1958="",Calc!$I1958&lt;&gt;"خرید"),"",Calc!$G1958)</f>
        <v/>
      </c>
      <c r="B1955">
        <f>IF($A1955="","",LEFT(Calc!$E1958,4)&amp;MID(Calc!$E1958,6,2)&amp;RIGHT(Calc!$E1958,2)&amp;Calc!$R1958&amp;"|"&amp;"1"&amp;RIGHT("00000"&amp;1950,5))</f>
        <v/>
      </c>
      <c r="C1955">
        <f>IF($B1955="","",COUNTIFS(LdgPartyA,$A1955,LdgKeyA,"&lt;"&amp;$B1955)+COUNTIFS(LdgPartyB,$A1955,LdgKeyB,"&lt;"&amp;$B1955)+1)</f>
        <v/>
      </c>
      <c r="D1955">
        <f>IF($C1955="","",$A1955&amp;"|"&amp;RIGHT("000000"&amp;$C1955,6))</f>
        <v/>
      </c>
      <c r="F1955">
        <f>IF(Sync!$AJ1955="","",Sync!$AJ1955)</f>
        <v/>
      </c>
      <c r="G1955">
        <f>IF($F1955="","",IF(Sync!$AG1955="","",IF(ISNUMBER(Sync!$AG1955),IF(AND(Sync!$AG1955&gt;=10000101,Sync!$AG1955&lt;=99991231),INT(Sync!$AG1955/10000),""),IFERROR(VALUE(TRIM(LEFT(Sync!$AG1955,FIND("/",Sync!$AG1955)-1))),""))))</f>
        <v/>
      </c>
      <c r="H1955">
        <f>IF(OR($F1955="",$G1955=""),"",IF(ISNUMBER(Sync!$AG1955),INT(MOD(Sync!$AG1955,10000)/100),IFERROR(VALUE(TRIM(LEFT(MID(Sync!$AG1955,FIND("/",Sync!$AG1955)+1,20),FIND("/",MID(Sync!$AG1955,FIND("/",Sync!$AG1955)+1,20))-1))),"")))</f>
        <v/>
      </c>
      <c r="I1955">
        <f>IF(OR($F1955="",$G1955=""),"",IF(ISNUMBER(Sync!$AG1955),MOD(Sync!$AG1955,100),IFERROR(VALUE(TRIM(MID(MID(Sync!$AG1955,FIND("/",Sync!$AG1955)+1,20),FIND("/",MID(Sync!$AG1955,FIND("/",Sync!$AG1955)+1,20))+1,20))),"")))</f>
        <v/>
      </c>
      <c r="J1955">
        <f>IF($F1955="","",IF(OR($G1955="",$H1955="",$I1955="",$G1955&lt;1300,$G1955&gt;1500,$H1955&lt;1,$H1955&gt;12,$I1955&lt;1,$I1955&gt;31),"نامعتبر",RIGHT("0000"&amp;$G1955,4)&amp;"/"&amp;RIGHT("00"&amp;$H1955,2)&amp;"/"&amp;RIGHT("00"&amp;$I1955,2)))</f>
        <v/>
      </c>
      <c r="K1955">
        <f>IF(OR($F1955="",$J1955="",$J1955="نامعتبر"),"",LEFT($J1955,4)&amp;MID($J1955,6,2)&amp;RIGHT($J1955,2)&amp;$N1955&amp;"|"&amp;"2"&amp;RIGHT("00000"&amp;1950,5))</f>
        <v/>
      </c>
      <c r="L1955">
        <f>IF($K1955="","",COUNTIFS(LdgPartyA,$F1955,LdgKeyA,"&lt;"&amp;$K1955)+COUNTIFS(LdgPartyB,$F1955,LdgKeyB,"&lt;"&amp;$K1955)+1)</f>
        <v/>
      </c>
      <c r="M1955">
        <f>IF($L1955="","",$F1955&amp;"|"&amp;RIGHT("000000"&amp;$L1955,6))</f>
        <v/>
      </c>
      <c r="N1955">
        <f>IF($F1955="","",IF(Sync!$AH1955="","0000",IF(AND(ISNUMBER(Sync!$AH1955),Sync!$AH1955&gt;=0,Sync!$AH1955&lt;1),RIGHT("00"&amp;HOUR(Sync!$AH1955),2)&amp;RIGHT("00"&amp;MINUTE(Sync!$AH1955),2),IFERROR(RIGHT("00"&amp;VALUE(LEFT(Sync!$AH1955,FIND(":",Sync!$AH1955)-1)),2)&amp;RIGHT("00"&amp;VALUE(MID(Sync!$AH1955,FIND(":",Sync!$AH1955)+1,2)),2),"0000"))))</f>
        <v/>
      </c>
    </row>
    <row r="1956">
      <c r="A1956">
        <f>IF(OR(Calc!$E1959="",Calc!$E1959="نامعتبر",Calc!$G1959="",Calc!$I1959&lt;&gt;"خرید"),"",Calc!$G1959)</f>
        <v/>
      </c>
      <c r="B1956">
        <f>IF($A1956="","",LEFT(Calc!$E1959,4)&amp;MID(Calc!$E1959,6,2)&amp;RIGHT(Calc!$E1959,2)&amp;Calc!$R1959&amp;"|"&amp;"1"&amp;RIGHT("00000"&amp;1951,5))</f>
        <v/>
      </c>
      <c r="C1956">
        <f>IF($B1956="","",COUNTIFS(LdgPartyA,$A1956,LdgKeyA,"&lt;"&amp;$B1956)+COUNTIFS(LdgPartyB,$A1956,LdgKeyB,"&lt;"&amp;$B1956)+1)</f>
        <v/>
      </c>
      <c r="D1956">
        <f>IF($C1956="","",$A1956&amp;"|"&amp;RIGHT("000000"&amp;$C1956,6))</f>
        <v/>
      </c>
      <c r="F1956">
        <f>IF(Sync!$AJ1956="","",Sync!$AJ1956)</f>
        <v/>
      </c>
      <c r="G1956">
        <f>IF($F1956="","",IF(Sync!$AG1956="","",IF(ISNUMBER(Sync!$AG1956),IF(AND(Sync!$AG1956&gt;=10000101,Sync!$AG1956&lt;=99991231),INT(Sync!$AG1956/10000),""),IFERROR(VALUE(TRIM(LEFT(Sync!$AG1956,FIND("/",Sync!$AG1956)-1))),""))))</f>
        <v/>
      </c>
      <c r="H1956">
        <f>IF(OR($F1956="",$G1956=""),"",IF(ISNUMBER(Sync!$AG1956),INT(MOD(Sync!$AG1956,10000)/100),IFERROR(VALUE(TRIM(LEFT(MID(Sync!$AG1956,FIND("/",Sync!$AG1956)+1,20),FIND("/",MID(Sync!$AG1956,FIND("/",Sync!$AG1956)+1,20))-1))),"")))</f>
        <v/>
      </c>
      <c r="I1956">
        <f>IF(OR($F1956="",$G1956=""),"",IF(ISNUMBER(Sync!$AG1956),MOD(Sync!$AG1956,100),IFERROR(VALUE(TRIM(MID(MID(Sync!$AG1956,FIND("/",Sync!$AG1956)+1,20),FIND("/",MID(Sync!$AG1956,FIND("/",Sync!$AG1956)+1,20))+1,20))),"")))</f>
        <v/>
      </c>
      <c r="J1956">
        <f>IF($F1956="","",IF(OR($G1956="",$H1956="",$I1956="",$G1956&lt;1300,$G1956&gt;1500,$H1956&lt;1,$H1956&gt;12,$I1956&lt;1,$I1956&gt;31),"نامعتبر",RIGHT("0000"&amp;$G1956,4)&amp;"/"&amp;RIGHT("00"&amp;$H1956,2)&amp;"/"&amp;RIGHT("00"&amp;$I1956,2)))</f>
        <v/>
      </c>
      <c r="K1956">
        <f>IF(OR($F1956="",$J1956="",$J1956="نامعتبر"),"",LEFT($J1956,4)&amp;MID($J1956,6,2)&amp;RIGHT($J1956,2)&amp;$N1956&amp;"|"&amp;"2"&amp;RIGHT("00000"&amp;1951,5))</f>
        <v/>
      </c>
      <c r="L1956">
        <f>IF($K1956="","",COUNTIFS(LdgPartyA,$F1956,LdgKeyA,"&lt;"&amp;$K1956)+COUNTIFS(LdgPartyB,$F1956,LdgKeyB,"&lt;"&amp;$K1956)+1)</f>
        <v/>
      </c>
      <c r="M1956">
        <f>IF($L1956="","",$F1956&amp;"|"&amp;RIGHT("000000"&amp;$L1956,6))</f>
        <v/>
      </c>
      <c r="N1956">
        <f>IF($F1956="","",IF(Sync!$AH1956="","0000",IF(AND(ISNUMBER(Sync!$AH1956),Sync!$AH1956&gt;=0,Sync!$AH1956&lt;1),RIGHT("00"&amp;HOUR(Sync!$AH1956),2)&amp;RIGHT("00"&amp;MINUTE(Sync!$AH1956),2),IFERROR(RIGHT("00"&amp;VALUE(LEFT(Sync!$AH1956,FIND(":",Sync!$AH1956)-1)),2)&amp;RIGHT("00"&amp;VALUE(MID(Sync!$AH1956,FIND(":",Sync!$AH1956)+1,2)),2),"0000"))))</f>
        <v/>
      </c>
    </row>
    <row r="1957">
      <c r="A1957">
        <f>IF(OR(Calc!$E1960="",Calc!$E1960="نامعتبر",Calc!$G1960="",Calc!$I1960&lt;&gt;"خرید"),"",Calc!$G1960)</f>
        <v/>
      </c>
      <c r="B1957">
        <f>IF($A1957="","",LEFT(Calc!$E1960,4)&amp;MID(Calc!$E1960,6,2)&amp;RIGHT(Calc!$E1960,2)&amp;Calc!$R1960&amp;"|"&amp;"1"&amp;RIGHT("00000"&amp;1952,5))</f>
        <v/>
      </c>
      <c r="C1957">
        <f>IF($B1957="","",COUNTIFS(LdgPartyA,$A1957,LdgKeyA,"&lt;"&amp;$B1957)+COUNTIFS(LdgPartyB,$A1957,LdgKeyB,"&lt;"&amp;$B1957)+1)</f>
        <v/>
      </c>
      <c r="D1957">
        <f>IF($C1957="","",$A1957&amp;"|"&amp;RIGHT("000000"&amp;$C1957,6))</f>
        <v/>
      </c>
      <c r="F1957">
        <f>IF(Sync!$AJ1957="","",Sync!$AJ1957)</f>
        <v/>
      </c>
      <c r="G1957">
        <f>IF($F1957="","",IF(Sync!$AG1957="","",IF(ISNUMBER(Sync!$AG1957),IF(AND(Sync!$AG1957&gt;=10000101,Sync!$AG1957&lt;=99991231),INT(Sync!$AG1957/10000),""),IFERROR(VALUE(TRIM(LEFT(Sync!$AG1957,FIND("/",Sync!$AG1957)-1))),""))))</f>
        <v/>
      </c>
      <c r="H1957">
        <f>IF(OR($F1957="",$G1957=""),"",IF(ISNUMBER(Sync!$AG1957),INT(MOD(Sync!$AG1957,10000)/100),IFERROR(VALUE(TRIM(LEFT(MID(Sync!$AG1957,FIND("/",Sync!$AG1957)+1,20),FIND("/",MID(Sync!$AG1957,FIND("/",Sync!$AG1957)+1,20))-1))),"")))</f>
        <v/>
      </c>
      <c r="I1957">
        <f>IF(OR($F1957="",$G1957=""),"",IF(ISNUMBER(Sync!$AG1957),MOD(Sync!$AG1957,100),IFERROR(VALUE(TRIM(MID(MID(Sync!$AG1957,FIND("/",Sync!$AG1957)+1,20),FIND("/",MID(Sync!$AG1957,FIND("/",Sync!$AG1957)+1,20))+1,20))),"")))</f>
        <v/>
      </c>
      <c r="J1957">
        <f>IF($F1957="","",IF(OR($G1957="",$H1957="",$I1957="",$G1957&lt;1300,$G1957&gt;1500,$H1957&lt;1,$H1957&gt;12,$I1957&lt;1,$I1957&gt;31),"نامعتبر",RIGHT("0000"&amp;$G1957,4)&amp;"/"&amp;RIGHT("00"&amp;$H1957,2)&amp;"/"&amp;RIGHT("00"&amp;$I1957,2)))</f>
        <v/>
      </c>
      <c r="K1957">
        <f>IF(OR($F1957="",$J1957="",$J1957="نامعتبر"),"",LEFT($J1957,4)&amp;MID($J1957,6,2)&amp;RIGHT($J1957,2)&amp;$N1957&amp;"|"&amp;"2"&amp;RIGHT("00000"&amp;1952,5))</f>
        <v/>
      </c>
      <c r="L1957">
        <f>IF($K1957="","",COUNTIFS(LdgPartyA,$F1957,LdgKeyA,"&lt;"&amp;$K1957)+COUNTIFS(LdgPartyB,$F1957,LdgKeyB,"&lt;"&amp;$K1957)+1)</f>
        <v/>
      </c>
      <c r="M1957">
        <f>IF($L1957="","",$F1957&amp;"|"&amp;RIGHT("000000"&amp;$L1957,6))</f>
        <v/>
      </c>
      <c r="N1957">
        <f>IF($F1957="","",IF(Sync!$AH1957="","0000",IF(AND(ISNUMBER(Sync!$AH1957),Sync!$AH1957&gt;=0,Sync!$AH1957&lt;1),RIGHT("00"&amp;HOUR(Sync!$AH1957),2)&amp;RIGHT("00"&amp;MINUTE(Sync!$AH1957),2),IFERROR(RIGHT("00"&amp;VALUE(LEFT(Sync!$AH1957,FIND(":",Sync!$AH1957)-1)),2)&amp;RIGHT("00"&amp;VALUE(MID(Sync!$AH1957,FIND(":",Sync!$AH1957)+1,2)),2),"0000"))))</f>
        <v/>
      </c>
    </row>
    <row r="1958">
      <c r="A1958">
        <f>IF(OR(Calc!$E1961="",Calc!$E1961="نامعتبر",Calc!$G1961="",Calc!$I1961&lt;&gt;"خرید"),"",Calc!$G1961)</f>
        <v/>
      </c>
      <c r="B1958">
        <f>IF($A1958="","",LEFT(Calc!$E1961,4)&amp;MID(Calc!$E1961,6,2)&amp;RIGHT(Calc!$E1961,2)&amp;Calc!$R1961&amp;"|"&amp;"1"&amp;RIGHT("00000"&amp;1953,5))</f>
        <v/>
      </c>
      <c r="C1958">
        <f>IF($B1958="","",COUNTIFS(LdgPartyA,$A1958,LdgKeyA,"&lt;"&amp;$B1958)+COUNTIFS(LdgPartyB,$A1958,LdgKeyB,"&lt;"&amp;$B1958)+1)</f>
        <v/>
      </c>
      <c r="D1958">
        <f>IF($C1958="","",$A1958&amp;"|"&amp;RIGHT("000000"&amp;$C1958,6))</f>
        <v/>
      </c>
      <c r="F1958">
        <f>IF(Sync!$AJ1958="","",Sync!$AJ1958)</f>
        <v/>
      </c>
      <c r="G1958">
        <f>IF($F1958="","",IF(Sync!$AG1958="","",IF(ISNUMBER(Sync!$AG1958),IF(AND(Sync!$AG1958&gt;=10000101,Sync!$AG1958&lt;=99991231),INT(Sync!$AG1958/10000),""),IFERROR(VALUE(TRIM(LEFT(Sync!$AG1958,FIND("/",Sync!$AG1958)-1))),""))))</f>
        <v/>
      </c>
      <c r="H1958">
        <f>IF(OR($F1958="",$G1958=""),"",IF(ISNUMBER(Sync!$AG1958),INT(MOD(Sync!$AG1958,10000)/100),IFERROR(VALUE(TRIM(LEFT(MID(Sync!$AG1958,FIND("/",Sync!$AG1958)+1,20),FIND("/",MID(Sync!$AG1958,FIND("/",Sync!$AG1958)+1,20))-1))),"")))</f>
        <v/>
      </c>
      <c r="I1958">
        <f>IF(OR($F1958="",$G1958=""),"",IF(ISNUMBER(Sync!$AG1958),MOD(Sync!$AG1958,100),IFERROR(VALUE(TRIM(MID(MID(Sync!$AG1958,FIND("/",Sync!$AG1958)+1,20),FIND("/",MID(Sync!$AG1958,FIND("/",Sync!$AG1958)+1,20))+1,20))),"")))</f>
        <v/>
      </c>
      <c r="J1958">
        <f>IF($F1958="","",IF(OR($G1958="",$H1958="",$I1958="",$G1958&lt;1300,$G1958&gt;1500,$H1958&lt;1,$H1958&gt;12,$I1958&lt;1,$I1958&gt;31),"نامعتبر",RIGHT("0000"&amp;$G1958,4)&amp;"/"&amp;RIGHT("00"&amp;$H1958,2)&amp;"/"&amp;RIGHT("00"&amp;$I1958,2)))</f>
        <v/>
      </c>
      <c r="K1958">
        <f>IF(OR($F1958="",$J1958="",$J1958="نامعتبر"),"",LEFT($J1958,4)&amp;MID($J1958,6,2)&amp;RIGHT($J1958,2)&amp;$N1958&amp;"|"&amp;"2"&amp;RIGHT("00000"&amp;1953,5))</f>
        <v/>
      </c>
      <c r="L1958">
        <f>IF($K1958="","",COUNTIFS(LdgPartyA,$F1958,LdgKeyA,"&lt;"&amp;$K1958)+COUNTIFS(LdgPartyB,$F1958,LdgKeyB,"&lt;"&amp;$K1958)+1)</f>
        <v/>
      </c>
      <c r="M1958">
        <f>IF($L1958="","",$F1958&amp;"|"&amp;RIGHT("000000"&amp;$L1958,6))</f>
        <v/>
      </c>
      <c r="N1958">
        <f>IF($F1958="","",IF(Sync!$AH1958="","0000",IF(AND(ISNUMBER(Sync!$AH1958),Sync!$AH1958&gt;=0,Sync!$AH1958&lt;1),RIGHT("00"&amp;HOUR(Sync!$AH1958),2)&amp;RIGHT("00"&amp;MINUTE(Sync!$AH1958),2),IFERROR(RIGHT("00"&amp;VALUE(LEFT(Sync!$AH1958,FIND(":",Sync!$AH1958)-1)),2)&amp;RIGHT("00"&amp;VALUE(MID(Sync!$AH1958,FIND(":",Sync!$AH1958)+1,2)),2),"0000"))))</f>
        <v/>
      </c>
    </row>
    <row r="1959">
      <c r="A1959">
        <f>IF(OR(Calc!$E1962="",Calc!$E1962="نامعتبر",Calc!$G1962="",Calc!$I1962&lt;&gt;"خرید"),"",Calc!$G1962)</f>
        <v/>
      </c>
      <c r="B1959">
        <f>IF($A1959="","",LEFT(Calc!$E1962,4)&amp;MID(Calc!$E1962,6,2)&amp;RIGHT(Calc!$E1962,2)&amp;Calc!$R1962&amp;"|"&amp;"1"&amp;RIGHT("00000"&amp;1954,5))</f>
        <v/>
      </c>
      <c r="C1959">
        <f>IF($B1959="","",COUNTIFS(LdgPartyA,$A1959,LdgKeyA,"&lt;"&amp;$B1959)+COUNTIFS(LdgPartyB,$A1959,LdgKeyB,"&lt;"&amp;$B1959)+1)</f>
        <v/>
      </c>
      <c r="D1959">
        <f>IF($C1959="","",$A1959&amp;"|"&amp;RIGHT("000000"&amp;$C1959,6))</f>
        <v/>
      </c>
      <c r="F1959">
        <f>IF(Sync!$AJ1959="","",Sync!$AJ1959)</f>
        <v/>
      </c>
      <c r="G1959">
        <f>IF($F1959="","",IF(Sync!$AG1959="","",IF(ISNUMBER(Sync!$AG1959),IF(AND(Sync!$AG1959&gt;=10000101,Sync!$AG1959&lt;=99991231),INT(Sync!$AG1959/10000),""),IFERROR(VALUE(TRIM(LEFT(Sync!$AG1959,FIND("/",Sync!$AG1959)-1))),""))))</f>
        <v/>
      </c>
      <c r="H1959">
        <f>IF(OR($F1959="",$G1959=""),"",IF(ISNUMBER(Sync!$AG1959),INT(MOD(Sync!$AG1959,10000)/100),IFERROR(VALUE(TRIM(LEFT(MID(Sync!$AG1959,FIND("/",Sync!$AG1959)+1,20),FIND("/",MID(Sync!$AG1959,FIND("/",Sync!$AG1959)+1,20))-1))),"")))</f>
        <v/>
      </c>
      <c r="I1959">
        <f>IF(OR($F1959="",$G1959=""),"",IF(ISNUMBER(Sync!$AG1959),MOD(Sync!$AG1959,100),IFERROR(VALUE(TRIM(MID(MID(Sync!$AG1959,FIND("/",Sync!$AG1959)+1,20),FIND("/",MID(Sync!$AG1959,FIND("/",Sync!$AG1959)+1,20))+1,20))),"")))</f>
        <v/>
      </c>
      <c r="J1959">
        <f>IF($F1959="","",IF(OR($G1959="",$H1959="",$I1959="",$G1959&lt;1300,$G1959&gt;1500,$H1959&lt;1,$H1959&gt;12,$I1959&lt;1,$I1959&gt;31),"نامعتبر",RIGHT("0000"&amp;$G1959,4)&amp;"/"&amp;RIGHT("00"&amp;$H1959,2)&amp;"/"&amp;RIGHT("00"&amp;$I1959,2)))</f>
        <v/>
      </c>
      <c r="K1959">
        <f>IF(OR($F1959="",$J1959="",$J1959="نامعتبر"),"",LEFT($J1959,4)&amp;MID($J1959,6,2)&amp;RIGHT($J1959,2)&amp;$N1959&amp;"|"&amp;"2"&amp;RIGHT("00000"&amp;1954,5))</f>
        <v/>
      </c>
      <c r="L1959">
        <f>IF($K1959="","",COUNTIFS(LdgPartyA,$F1959,LdgKeyA,"&lt;"&amp;$K1959)+COUNTIFS(LdgPartyB,$F1959,LdgKeyB,"&lt;"&amp;$K1959)+1)</f>
        <v/>
      </c>
      <c r="M1959">
        <f>IF($L1959="","",$F1959&amp;"|"&amp;RIGHT("000000"&amp;$L1959,6))</f>
        <v/>
      </c>
      <c r="N1959">
        <f>IF($F1959="","",IF(Sync!$AH1959="","0000",IF(AND(ISNUMBER(Sync!$AH1959),Sync!$AH1959&gt;=0,Sync!$AH1959&lt;1),RIGHT("00"&amp;HOUR(Sync!$AH1959),2)&amp;RIGHT("00"&amp;MINUTE(Sync!$AH1959),2),IFERROR(RIGHT("00"&amp;VALUE(LEFT(Sync!$AH1959,FIND(":",Sync!$AH1959)-1)),2)&amp;RIGHT("00"&amp;VALUE(MID(Sync!$AH1959,FIND(":",Sync!$AH1959)+1,2)),2),"0000"))))</f>
        <v/>
      </c>
    </row>
    <row r="1960">
      <c r="A1960">
        <f>IF(OR(Calc!$E1963="",Calc!$E1963="نامعتبر",Calc!$G1963="",Calc!$I1963&lt;&gt;"خرید"),"",Calc!$G1963)</f>
        <v/>
      </c>
      <c r="B1960">
        <f>IF($A1960="","",LEFT(Calc!$E1963,4)&amp;MID(Calc!$E1963,6,2)&amp;RIGHT(Calc!$E1963,2)&amp;Calc!$R1963&amp;"|"&amp;"1"&amp;RIGHT("00000"&amp;1955,5))</f>
        <v/>
      </c>
      <c r="C1960">
        <f>IF($B1960="","",COUNTIFS(LdgPartyA,$A1960,LdgKeyA,"&lt;"&amp;$B1960)+COUNTIFS(LdgPartyB,$A1960,LdgKeyB,"&lt;"&amp;$B1960)+1)</f>
        <v/>
      </c>
      <c r="D1960">
        <f>IF($C1960="","",$A1960&amp;"|"&amp;RIGHT("000000"&amp;$C1960,6))</f>
        <v/>
      </c>
      <c r="F1960">
        <f>IF(Sync!$AJ1960="","",Sync!$AJ1960)</f>
        <v/>
      </c>
      <c r="G1960">
        <f>IF($F1960="","",IF(Sync!$AG1960="","",IF(ISNUMBER(Sync!$AG1960),IF(AND(Sync!$AG1960&gt;=10000101,Sync!$AG1960&lt;=99991231),INT(Sync!$AG1960/10000),""),IFERROR(VALUE(TRIM(LEFT(Sync!$AG1960,FIND("/",Sync!$AG1960)-1))),""))))</f>
        <v/>
      </c>
      <c r="H1960">
        <f>IF(OR($F1960="",$G1960=""),"",IF(ISNUMBER(Sync!$AG1960),INT(MOD(Sync!$AG1960,10000)/100),IFERROR(VALUE(TRIM(LEFT(MID(Sync!$AG1960,FIND("/",Sync!$AG1960)+1,20),FIND("/",MID(Sync!$AG1960,FIND("/",Sync!$AG1960)+1,20))-1))),"")))</f>
        <v/>
      </c>
      <c r="I1960">
        <f>IF(OR($F1960="",$G1960=""),"",IF(ISNUMBER(Sync!$AG1960),MOD(Sync!$AG1960,100),IFERROR(VALUE(TRIM(MID(MID(Sync!$AG1960,FIND("/",Sync!$AG1960)+1,20),FIND("/",MID(Sync!$AG1960,FIND("/",Sync!$AG1960)+1,20))+1,20))),"")))</f>
        <v/>
      </c>
      <c r="J1960">
        <f>IF($F1960="","",IF(OR($G1960="",$H1960="",$I1960="",$G1960&lt;1300,$G1960&gt;1500,$H1960&lt;1,$H1960&gt;12,$I1960&lt;1,$I1960&gt;31),"نامعتبر",RIGHT("0000"&amp;$G1960,4)&amp;"/"&amp;RIGHT("00"&amp;$H1960,2)&amp;"/"&amp;RIGHT("00"&amp;$I1960,2)))</f>
        <v/>
      </c>
      <c r="K1960">
        <f>IF(OR($F1960="",$J1960="",$J1960="نامعتبر"),"",LEFT($J1960,4)&amp;MID($J1960,6,2)&amp;RIGHT($J1960,2)&amp;$N1960&amp;"|"&amp;"2"&amp;RIGHT("00000"&amp;1955,5))</f>
        <v/>
      </c>
      <c r="L1960">
        <f>IF($K1960="","",COUNTIFS(LdgPartyA,$F1960,LdgKeyA,"&lt;"&amp;$K1960)+COUNTIFS(LdgPartyB,$F1960,LdgKeyB,"&lt;"&amp;$K1960)+1)</f>
        <v/>
      </c>
      <c r="M1960">
        <f>IF($L1960="","",$F1960&amp;"|"&amp;RIGHT("000000"&amp;$L1960,6))</f>
        <v/>
      </c>
      <c r="N1960">
        <f>IF($F1960="","",IF(Sync!$AH1960="","0000",IF(AND(ISNUMBER(Sync!$AH1960),Sync!$AH1960&gt;=0,Sync!$AH1960&lt;1),RIGHT("00"&amp;HOUR(Sync!$AH1960),2)&amp;RIGHT("00"&amp;MINUTE(Sync!$AH1960),2),IFERROR(RIGHT("00"&amp;VALUE(LEFT(Sync!$AH1960,FIND(":",Sync!$AH1960)-1)),2)&amp;RIGHT("00"&amp;VALUE(MID(Sync!$AH1960,FIND(":",Sync!$AH1960)+1,2)),2),"0000"))))</f>
        <v/>
      </c>
    </row>
    <row r="1961">
      <c r="A1961">
        <f>IF(OR(Calc!$E1964="",Calc!$E1964="نامعتبر",Calc!$G1964="",Calc!$I1964&lt;&gt;"خرید"),"",Calc!$G1964)</f>
        <v/>
      </c>
      <c r="B1961">
        <f>IF($A1961="","",LEFT(Calc!$E1964,4)&amp;MID(Calc!$E1964,6,2)&amp;RIGHT(Calc!$E1964,2)&amp;Calc!$R1964&amp;"|"&amp;"1"&amp;RIGHT("00000"&amp;1956,5))</f>
        <v/>
      </c>
      <c r="C1961">
        <f>IF($B1961="","",COUNTIFS(LdgPartyA,$A1961,LdgKeyA,"&lt;"&amp;$B1961)+COUNTIFS(LdgPartyB,$A1961,LdgKeyB,"&lt;"&amp;$B1961)+1)</f>
        <v/>
      </c>
      <c r="D1961">
        <f>IF($C1961="","",$A1961&amp;"|"&amp;RIGHT("000000"&amp;$C1961,6))</f>
        <v/>
      </c>
      <c r="F1961">
        <f>IF(Sync!$AJ1961="","",Sync!$AJ1961)</f>
        <v/>
      </c>
      <c r="G1961">
        <f>IF($F1961="","",IF(Sync!$AG1961="","",IF(ISNUMBER(Sync!$AG1961),IF(AND(Sync!$AG1961&gt;=10000101,Sync!$AG1961&lt;=99991231),INT(Sync!$AG1961/10000),""),IFERROR(VALUE(TRIM(LEFT(Sync!$AG1961,FIND("/",Sync!$AG1961)-1))),""))))</f>
        <v/>
      </c>
      <c r="H1961">
        <f>IF(OR($F1961="",$G1961=""),"",IF(ISNUMBER(Sync!$AG1961),INT(MOD(Sync!$AG1961,10000)/100),IFERROR(VALUE(TRIM(LEFT(MID(Sync!$AG1961,FIND("/",Sync!$AG1961)+1,20),FIND("/",MID(Sync!$AG1961,FIND("/",Sync!$AG1961)+1,20))-1))),"")))</f>
        <v/>
      </c>
      <c r="I1961">
        <f>IF(OR($F1961="",$G1961=""),"",IF(ISNUMBER(Sync!$AG1961),MOD(Sync!$AG1961,100),IFERROR(VALUE(TRIM(MID(MID(Sync!$AG1961,FIND("/",Sync!$AG1961)+1,20),FIND("/",MID(Sync!$AG1961,FIND("/",Sync!$AG1961)+1,20))+1,20))),"")))</f>
        <v/>
      </c>
      <c r="J1961">
        <f>IF($F1961="","",IF(OR($G1961="",$H1961="",$I1961="",$G1961&lt;1300,$G1961&gt;1500,$H1961&lt;1,$H1961&gt;12,$I1961&lt;1,$I1961&gt;31),"نامعتبر",RIGHT("0000"&amp;$G1961,4)&amp;"/"&amp;RIGHT("00"&amp;$H1961,2)&amp;"/"&amp;RIGHT("00"&amp;$I1961,2)))</f>
        <v/>
      </c>
      <c r="K1961">
        <f>IF(OR($F1961="",$J1961="",$J1961="نامعتبر"),"",LEFT($J1961,4)&amp;MID($J1961,6,2)&amp;RIGHT($J1961,2)&amp;$N1961&amp;"|"&amp;"2"&amp;RIGHT("00000"&amp;1956,5))</f>
        <v/>
      </c>
      <c r="L1961">
        <f>IF($K1961="","",COUNTIFS(LdgPartyA,$F1961,LdgKeyA,"&lt;"&amp;$K1961)+COUNTIFS(LdgPartyB,$F1961,LdgKeyB,"&lt;"&amp;$K1961)+1)</f>
        <v/>
      </c>
      <c r="M1961">
        <f>IF($L1961="","",$F1961&amp;"|"&amp;RIGHT("000000"&amp;$L1961,6))</f>
        <v/>
      </c>
      <c r="N1961">
        <f>IF($F1961="","",IF(Sync!$AH1961="","0000",IF(AND(ISNUMBER(Sync!$AH1961),Sync!$AH1961&gt;=0,Sync!$AH1961&lt;1),RIGHT("00"&amp;HOUR(Sync!$AH1961),2)&amp;RIGHT("00"&amp;MINUTE(Sync!$AH1961),2),IFERROR(RIGHT("00"&amp;VALUE(LEFT(Sync!$AH1961,FIND(":",Sync!$AH1961)-1)),2)&amp;RIGHT("00"&amp;VALUE(MID(Sync!$AH1961,FIND(":",Sync!$AH1961)+1,2)),2),"0000"))))</f>
        <v/>
      </c>
    </row>
    <row r="1962">
      <c r="A1962">
        <f>IF(OR(Calc!$E1965="",Calc!$E1965="نامعتبر",Calc!$G1965="",Calc!$I1965&lt;&gt;"خرید"),"",Calc!$G1965)</f>
        <v/>
      </c>
      <c r="B1962">
        <f>IF($A1962="","",LEFT(Calc!$E1965,4)&amp;MID(Calc!$E1965,6,2)&amp;RIGHT(Calc!$E1965,2)&amp;Calc!$R1965&amp;"|"&amp;"1"&amp;RIGHT("00000"&amp;1957,5))</f>
        <v/>
      </c>
      <c r="C1962">
        <f>IF($B1962="","",COUNTIFS(LdgPartyA,$A1962,LdgKeyA,"&lt;"&amp;$B1962)+COUNTIFS(LdgPartyB,$A1962,LdgKeyB,"&lt;"&amp;$B1962)+1)</f>
        <v/>
      </c>
      <c r="D1962">
        <f>IF($C1962="","",$A1962&amp;"|"&amp;RIGHT("000000"&amp;$C1962,6))</f>
        <v/>
      </c>
      <c r="F1962">
        <f>IF(Sync!$AJ1962="","",Sync!$AJ1962)</f>
        <v/>
      </c>
      <c r="G1962">
        <f>IF($F1962="","",IF(Sync!$AG1962="","",IF(ISNUMBER(Sync!$AG1962),IF(AND(Sync!$AG1962&gt;=10000101,Sync!$AG1962&lt;=99991231),INT(Sync!$AG1962/10000),""),IFERROR(VALUE(TRIM(LEFT(Sync!$AG1962,FIND("/",Sync!$AG1962)-1))),""))))</f>
        <v/>
      </c>
      <c r="H1962">
        <f>IF(OR($F1962="",$G1962=""),"",IF(ISNUMBER(Sync!$AG1962),INT(MOD(Sync!$AG1962,10000)/100),IFERROR(VALUE(TRIM(LEFT(MID(Sync!$AG1962,FIND("/",Sync!$AG1962)+1,20),FIND("/",MID(Sync!$AG1962,FIND("/",Sync!$AG1962)+1,20))-1))),"")))</f>
        <v/>
      </c>
      <c r="I1962">
        <f>IF(OR($F1962="",$G1962=""),"",IF(ISNUMBER(Sync!$AG1962),MOD(Sync!$AG1962,100),IFERROR(VALUE(TRIM(MID(MID(Sync!$AG1962,FIND("/",Sync!$AG1962)+1,20),FIND("/",MID(Sync!$AG1962,FIND("/",Sync!$AG1962)+1,20))+1,20))),"")))</f>
        <v/>
      </c>
      <c r="J1962">
        <f>IF($F1962="","",IF(OR($G1962="",$H1962="",$I1962="",$G1962&lt;1300,$G1962&gt;1500,$H1962&lt;1,$H1962&gt;12,$I1962&lt;1,$I1962&gt;31),"نامعتبر",RIGHT("0000"&amp;$G1962,4)&amp;"/"&amp;RIGHT("00"&amp;$H1962,2)&amp;"/"&amp;RIGHT("00"&amp;$I1962,2)))</f>
        <v/>
      </c>
      <c r="K1962">
        <f>IF(OR($F1962="",$J1962="",$J1962="نامعتبر"),"",LEFT($J1962,4)&amp;MID($J1962,6,2)&amp;RIGHT($J1962,2)&amp;$N1962&amp;"|"&amp;"2"&amp;RIGHT("00000"&amp;1957,5))</f>
        <v/>
      </c>
      <c r="L1962">
        <f>IF($K1962="","",COUNTIFS(LdgPartyA,$F1962,LdgKeyA,"&lt;"&amp;$K1962)+COUNTIFS(LdgPartyB,$F1962,LdgKeyB,"&lt;"&amp;$K1962)+1)</f>
        <v/>
      </c>
      <c r="M1962">
        <f>IF($L1962="","",$F1962&amp;"|"&amp;RIGHT("000000"&amp;$L1962,6))</f>
        <v/>
      </c>
      <c r="N1962">
        <f>IF($F1962="","",IF(Sync!$AH1962="","0000",IF(AND(ISNUMBER(Sync!$AH1962),Sync!$AH1962&gt;=0,Sync!$AH1962&lt;1),RIGHT("00"&amp;HOUR(Sync!$AH1962),2)&amp;RIGHT("00"&amp;MINUTE(Sync!$AH1962),2),IFERROR(RIGHT("00"&amp;VALUE(LEFT(Sync!$AH1962,FIND(":",Sync!$AH1962)-1)),2)&amp;RIGHT("00"&amp;VALUE(MID(Sync!$AH1962,FIND(":",Sync!$AH1962)+1,2)),2),"0000"))))</f>
        <v/>
      </c>
    </row>
    <row r="1963">
      <c r="A1963">
        <f>IF(OR(Calc!$E1966="",Calc!$E1966="نامعتبر",Calc!$G1966="",Calc!$I1966&lt;&gt;"خرید"),"",Calc!$G1966)</f>
        <v/>
      </c>
      <c r="B1963">
        <f>IF($A1963="","",LEFT(Calc!$E1966,4)&amp;MID(Calc!$E1966,6,2)&amp;RIGHT(Calc!$E1966,2)&amp;Calc!$R1966&amp;"|"&amp;"1"&amp;RIGHT("00000"&amp;1958,5))</f>
        <v/>
      </c>
      <c r="C1963">
        <f>IF($B1963="","",COUNTIFS(LdgPartyA,$A1963,LdgKeyA,"&lt;"&amp;$B1963)+COUNTIFS(LdgPartyB,$A1963,LdgKeyB,"&lt;"&amp;$B1963)+1)</f>
        <v/>
      </c>
      <c r="D1963">
        <f>IF($C1963="","",$A1963&amp;"|"&amp;RIGHT("000000"&amp;$C1963,6))</f>
        <v/>
      </c>
      <c r="F1963">
        <f>IF(Sync!$AJ1963="","",Sync!$AJ1963)</f>
        <v/>
      </c>
      <c r="G1963">
        <f>IF($F1963="","",IF(Sync!$AG1963="","",IF(ISNUMBER(Sync!$AG1963),IF(AND(Sync!$AG1963&gt;=10000101,Sync!$AG1963&lt;=99991231),INT(Sync!$AG1963/10000),""),IFERROR(VALUE(TRIM(LEFT(Sync!$AG1963,FIND("/",Sync!$AG1963)-1))),""))))</f>
        <v/>
      </c>
      <c r="H1963">
        <f>IF(OR($F1963="",$G1963=""),"",IF(ISNUMBER(Sync!$AG1963),INT(MOD(Sync!$AG1963,10000)/100),IFERROR(VALUE(TRIM(LEFT(MID(Sync!$AG1963,FIND("/",Sync!$AG1963)+1,20),FIND("/",MID(Sync!$AG1963,FIND("/",Sync!$AG1963)+1,20))-1))),"")))</f>
        <v/>
      </c>
      <c r="I1963">
        <f>IF(OR($F1963="",$G1963=""),"",IF(ISNUMBER(Sync!$AG1963),MOD(Sync!$AG1963,100),IFERROR(VALUE(TRIM(MID(MID(Sync!$AG1963,FIND("/",Sync!$AG1963)+1,20),FIND("/",MID(Sync!$AG1963,FIND("/",Sync!$AG1963)+1,20))+1,20))),"")))</f>
        <v/>
      </c>
      <c r="J1963">
        <f>IF($F1963="","",IF(OR($G1963="",$H1963="",$I1963="",$G1963&lt;1300,$G1963&gt;1500,$H1963&lt;1,$H1963&gt;12,$I1963&lt;1,$I1963&gt;31),"نامعتبر",RIGHT("0000"&amp;$G1963,4)&amp;"/"&amp;RIGHT("00"&amp;$H1963,2)&amp;"/"&amp;RIGHT("00"&amp;$I1963,2)))</f>
        <v/>
      </c>
      <c r="K1963">
        <f>IF(OR($F1963="",$J1963="",$J1963="نامعتبر"),"",LEFT($J1963,4)&amp;MID($J1963,6,2)&amp;RIGHT($J1963,2)&amp;$N1963&amp;"|"&amp;"2"&amp;RIGHT("00000"&amp;1958,5))</f>
        <v/>
      </c>
      <c r="L1963">
        <f>IF($K1963="","",COUNTIFS(LdgPartyA,$F1963,LdgKeyA,"&lt;"&amp;$K1963)+COUNTIFS(LdgPartyB,$F1963,LdgKeyB,"&lt;"&amp;$K1963)+1)</f>
        <v/>
      </c>
      <c r="M1963">
        <f>IF($L1963="","",$F1963&amp;"|"&amp;RIGHT("000000"&amp;$L1963,6))</f>
        <v/>
      </c>
      <c r="N1963">
        <f>IF($F1963="","",IF(Sync!$AH1963="","0000",IF(AND(ISNUMBER(Sync!$AH1963),Sync!$AH1963&gt;=0,Sync!$AH1963&lt;1),RIGHT("00"&amp;HOUR(Sync!$AH1963),2)&amp;RIGHT("00"&amp;MINUTE(Sync!$AH1963),2),IFERROR(RIGHT("00"&amp;VALUE(LEFT(Sync!$AH1963,FIND(":",Sync!$AH1963)-1)),2)&amp;RIGHT("00"&amp;VALUE(MID(Sync!$AH1963,FIND(":",Sync!$AH1963)+1,2)),2),"0000"))))</f>
        <v/>
      </c>
    </row>
    <row r="1964">
      <c r="A1964">
        <f>IF(OR(Calc!$E1967="",Calc!$E1967="نامعتبر",Calc!$G1967="",Calc!$I1967&lt;&gt;"خرید"),"",Calc!$G1967)</f>
        <v/>
      </c>
      <c r="B1964">
        <f>IF($A1964="","",LEFT(Calc!$E1967,4)&amp;MID(Calc!$E1967,6,2)&amp;RIGHT(Calc!$E1967,2)&amp;Calc!$R1967&amp;"|"&amp;"1"&amp;RIGHT("00000"&amp;1959,5))</f>
        <v/>
      </c>
      <c r="C1964">
        <f>IF($B1964="","",COUNTIFS(LdgPartyA,$A1964,LdgKeyA,"&lt;"&amp;$B1964)+COUNTIFS(LdgPartyB,$A1964,LdgKeyB,"&lt;"&amp;$B1964)+1)</f>
        <v/>
      </c>
      <c r="D1964">
        <f>IF($C1964="","",$A1964&amp;"|"&amp;RIGHT("000000"&amp;$C1964,6))</f>
        <v/>
      </c>
      <c r="F1964">
        <f>IF(Sync!$AJ1964="","",Sync!$AJ1964)</f>
        <v/>
      </c>
      <c r="G1964">
        <f>IF($F1964="","",IF(Sync!$AG1964="","",IF(ISNUMBER(Sync!$AG1964),IF(AND(Sync!$AG1964&gt;=10000101,Sync!$AG1964&lt;=99991231),INT(Sync!$AG1964/10000),""),IFERROR(VALUE(TRIM(LEFT(Sync!$AG1964,FIND("/",Sync!$AG1964)-1))),""))))</f>
        <v/>
      </c>
      <c r="H1964">
        <f>IF(OR($F1964="",$G1964=""),"",IF(ISNUMBER(Sync!$AG1964),INT(MOD(Sync!$AG1964,10000)/100),IFERROR(VALUE(TRIM(LEFT(MID(Sync!$AG1964,FIND("/",Sync!$AG1964)+1,20),FIND("/",MID(Sync!$AG1964,FIND("/",Sync!$AG1964)+1,20))-1))),"")))</f>
        <v/>
      </c>
      <c r="I1964">
        <f>IF(OR($F1964="",$G1964=""),"",IF(ISNUMBER(Sync!$AG1964),MOD(Sync!$AG1964,100),IFERROR(VALUE(TRIM(MID(MID(Sync!$AG1964,FIND("/",Sync!$AG1964)+1,20),FIND("/",MID(Sync!$AG1964,FIND("/",Sync!$AG1964)+1,20))+1,20))),"")))</f>
        <v/>
      </c>
      <c r="J1964">
        <f>IF($F1964="","",IF(OR($G1964="",$H1964="",$I1964="",$G1964&lt;1300,$G1964&gt;1500,$H1964&lt;1,$H1964&gt;12,$I1964&lt;1,$I1964&gt;31),"نامعتبر",RIGHT("0000"&amp;$G1964,4)&amp;"/"&amp;RIGHT("00"&amp;$H1964,2)&amp;"/"&amp;RIGHT("00"&amp;$I1964,2)))</f>
        <v/>
      </c>
      <c r="K1964">
        <f>IF(OR($F1964="",$J1964="",$J1964="نامعتبر"),"",LEFT($J1964,4)&amp;MID($J1964,6,2)&amp;RIGHT($J1964,2)&amp;$N1964&amp;"|"&amp;"2"&amp;RIGHT("00000"&amp;1959,5))</f>
        <v/>
      </c>
      <c r="L1964">
        <f>IF($K1964="","",COUNTIFS(LdgPartyA,$F1964,LdgKeyA,"&lt;"&amp;$K1964)+COUNTIFS(LdgPartyB,$F1964,LdgKeyB,"&lt;"&amp;$K1964)+1)</f>
        <v/>
      </c>
      <c r="M1964">
        <f>IF($L1964="","",$F1964&amp;"|"&amp;RIGHT("000000"&amp;$L1964,6))</f>
        <v/>
      </c>
      <c r="N1964">
        <f>IF($F1964="","",IF(Sync!$AH1964="","0000",IF(AND(ISNUMBER(Sync!$AH1964),Sync!$AH1964&gt;=0,Sync!$AH1964&lt;1),RIGHT("00"&amp;HOUR(Sync!$AH1964),2)&amp;RIGHT("00"&amp;MINUTE(Sync!$AH1964),2),IFERROR(RIGHT("00"&amp;VALUE(LEFT(Sync!$AH1964,FIND(":",Sync!$AH1964)-1)),2)&amp;RIGHT("00"&amp;VALUE(MID(Sync!$AH1964,FIND(":",Sync!$AH1964)+1,2)),2),"0000"))))</f>
        <v/>
      </c>
    </row>
    <row r="1965">
      <c r="A1965">
        <f>IF(OR(Calc!$E1968="",Calc!$E1968="نامعتبر",Calc!$G1968="",Calc!$I1968&lt;&gt;"خرید"),"",Calc!$G1968)</f>
        <v/>
      </c>
      <c r="B1965">
        <f>IF($A1965="","",LEFT(Calc!$E1968,4)&amp;MID(Calc!$E1968,6,2)&amp;RIGHT(Calc!$E1968,2)&amp;Calc!$R1968&amp;"|"&amp;"1"&amp;RIGHT("00000"&amp;1960,5))</f>
        <v/>
      </c>
      <c r="C1965">
        <f>IF($B1965="","",COUNTIFS(LdgPartyA,$A1965,LdgKeyA,"&lt;"&amp;$B1965)+COUNTIFS(LdgPartyB,$A1965,LdgKeyB,"&lt;"&amp;$B1965)+1)</f>
        <v/>
      </c>
      <c r="D1965">
        <f>IF($C1965="","",$A1965&amp;"|"&amp;RIGHT("000000"&amp;$C1965,6))</f>
        <v/>
      </c>
      <c r="F1965">
        <f>IF(Sync!$AJ1965="","",Sync!$AJ1965)</f>
        <v/>
      </c>
      <c r="G1965">
        <f>IF($F1965="","",IF(Sync!$AG1965="","",IF(ISNUMBER(Sync!$AG1965),IF(AND(Sync!$AG1965&gt;=10000101,Sync!$AG1965&lt;=99991231),INT(Sync!$AG1965/10000),""),IFERROR(VALUE(TRIM(LEFT(Sync!$AG1965,FIND("/",Sync!$AG1965)-1))),""))))</f>
        <v/>
      </c>
      <c r="H1965">
        <f>IF(OR($F1965="",$G1965=""),"",IF(ISNUMBER(Sync!$AG1965),INT(MOD(Sync!$AG1965,10000)/100),IFERROR(VALUE(TRIM(LEFT(MID(Sync!$AG1965,FIND("/",Sync!$AG1965)+1,20),FIND("/",MID(Sync!$AG1965,FIND("/",Sync!$AG1965)+1,20))-1))),"")))</f>
        <v/>
      </c>
      <c r="I1965">
        <f>IF(OR($F1965="",$G1965=""),"",IF(ISNUMBER(Sync!$AG1965),MOD(Sync!$AG1965,100),IFERROR(VALUE(TRIM(MID(MID(Sync!$AG1965,FIND("/",Sync!$AG1965)+1,20),FIND("/",MID(Sync!$AG1965,FIND("/",Sync!$AG1965)+1,20))+1,20))),"")))</f>
        <v/>
      </c>
      <c r="J1965">
        <f>IF($F1965="","",IF(OR($G1965="",$H1965="",$I1965="",$G1965&lt;1300,$G1965&gt;1500,$H1965&lt;1,$H1965&gt;12,$I1965&lt;1,$I1965&gt;31),"نامعتبر",RIGHT("0000"&amp;$G1965,4)&amp;"/"&amp;RIGHT("00"&amp;$H1965,2)&amp;"/"&amp;RIGHT("00"&amp;$I1965,2)))</f>
        <v/>
      </c>
      <c r="K1965">
        <f>IF(OR($F1965="",$J1965="",$J1965="نامعتبر"),"",LEFT($J1965,4)&amp;MID($J1965,6,2)&amp;RIGHT($J1965,2)&amp;$N1965&amp;"|"&amp;"2"&amp;RIGHT("00000"&amp;1960,5))</f>
        <v/>
      </c>
      <c r="L1965">
        <f>IF($K1965="","",COUNTIFS(LdgPartyA,$F1965,LdgKeyA,"&lt;"&amp;$K1965)+COUNTIFS(LdgPartyB,$F1965,LdgKeyB,"&lt;"&amp;$K1965)+1)</f>
        <v/>
      </c>
      <c r="M1965">
        <f>IF($L1965="","",$F1965&amp;"|"&amp;RIGHT("000000"&amp;$L1965,6))</f>
        <v/>
      </c>
      <c r="N1965">
        <f>IF($F1965="","",IF(Sync!$AH1965="","0000",IF(AND(ISNUMBER(Sync!$AH1965),Sync!$AH1965&gt;=0,Sync!$AH1965&lt;1),RIGHT("00"&amp;HOUR(Sync!$AH1965),2)&amp;RIGHT("00"&amp;MINUTE(Sync!$AH1965),2),IFERROR(RIGHT("00"&amp;VALUE(LEFT(Sync!$AH1965,FIND(":",Sync!$AH1965)-1)),2)&amp;RIGHT("00"&amp;VALUE(MID(Sync!$AH1965,FIND(":",Sync!$AH1965)+1,2)),2),"0000"))))</f>
        <v/>
      </c>
    </row>
    <row r="1966">
      <c r="A1966">
        <f>IF(OR(Calc!$E1969="",Calc!$E1969="نامعتبر",Calc!$G1969="",Calc!$I1969&lt;&gt;"خرید"),"",Calc!$G1969)</f>
        <v/>
      </c>
      <c r="B1966">
        <f>IF($A1966="","",LEFT(Calc!$E1969,4)&amp;MID(Calc!$E1969,6,2)&amp;RIGHT(Calc!$E1969,2)&amp;Calc!$R1969&amp;"|"&amp;"1"&amp;RIGHT("00000"&amp;1961,5))</f>
        <v/>
      </c>
      <c r="C1966">
        <f>IF($B1966="","",COUNTIFS(LdgPartyA,$A1966,LdgKeyA,"&lt;"&amp;$B1966)+COUNTIFS(LdgPartyB,$A1966,LdgKeyB,"&lt;"&amp;$B1966)+1)</f>
        <v/>
      </c>
      <c r="D1966">
        <f>IF($C1966="","",$A1966&amp;"|"&amp;RIGHT("000000"&amp;$C1966,6))</f>
        <v/>
      </c>
      <c r="F1966">
        <f>IF(Sync!$AJ1966="","",Sync!$AJ1966)</f>
        <v/>
      </c>
      <c r="G1966">
        <f>IF($F1966="","",IF(Sync!$AG1966="","",IF(ISNUMBER(Sync!$AG1966),IF(AND(Sync!$AG1966&gt;=10000101,Sync!$AG1966&lt;=99991231),INT(Sync!$AG1966/10000),""),IFERROR(VALUE(TRIM(LEFT(Sync!$AG1966,FIND("/",Sync!$AG1966)-1))),""))))</f>
        <v/>
      </c>
      <c r="H1966">
        <f>IF(OR($F1966="",$G1966=""),"",IF(ISNUMBER(Sync!$AG1966),INT(MOD(Sync!$AG1966,10000)/100),IFERROR(VALUE(TRIM(LEFT(MID(Sync!$AG1966,FIND("/",Sync!$AG1966)+1,20),FIND("/",MID(Sync!$AG1966,FIND("/",Sync!$AG1966)+1,20))-1))),"")))</f>
        <v/>
      </c>
      <c r="I1966">
        <f>IF(OR($F1966="",$G1966=""),"",IF(ISNUMBER(Sync!$AG1966),MOD(Sync!$AG1966,100),IFERROR(VALUE(TRIM(MID(MID(Sync!$AG1966,FIND("/",Sync!$AG1966)+1,20),FIND("/",MID(Sync!$AG1966,FIND("/",Sync!$AG1966)+1,20))+1,20))),"")))</f>
        <v/>
      </c>
      <c r="J1966">
        <f>IF($F1966="","",IF(OR($G1966="",$H1966="",$I1966="",$G1966&lt;1300,$G1966&gt;1500,$H1966&lt;1,$H1966&gt;12,$I1966&lt;1,$I1966&gt;31),"نامعتبر",RIGHT("0000"&amp;$G1966,4)&amp;"/"&amp;RIGHT("00"&amp;$H1966,2)&amp;"/"&amp;RIGHT("00"&amp;$I1966,2)))</f>
        <v/>
      </c>
      <c r="K1966">
        <f>IF(OR($F1966="",$J1966="",$J1966="نامعتبر"),"",LEFT($J1966,4)&amp;MID($J1966,6,2)&amp;RIGHT($J1966,2)&amp;$N1966&amp;"|"&amp;"2"&amp;RIGHT("00000"&amp;1961,5))</f>
        <v/>
      </c>
      <c r="L1966">
        <f>IF($K1966="","",COUNTIFS(LdgPartyA,$F1966,LdgKeyA,"&lt;"&amp;$K1966)+COUNTIFS(LdgPartyB,$F1966,LdgKeyB,"&lt;"&amp;$K1966)+1)</f>
        <v/>
      </c>
      <c r="M1966">
        <f>IF($L1966="","",$F1966&amp;"|"&amp;RIGHT("000000"&amp;$L1966,6))</f>
        <v/>
      </c>
      <c r="N1966">
        <f>IF($F1966="","",IF(Sync!$AH1966="","0000",IF(AND(ISNUMBER(Sync!$AH1966),Sync!$AH1966&gt;=0,Sync!$AH1966&lt;1),RIGHT("00"&amp;HOUR(Sync!$AH1966),2)&amp;RIGHT("00"&amp;MINUTE(Sync!$AH1966),2),IFERROR(RIGHT("00"&amp;VALUE(LEFT(Sync!$AH1966,FIND(":",Sync!$AH1966)-1)),2)&amp;RIGHT("00"&amp;VALUE(MID(Sync!$AH1966,FIND(":",Sync!$AH1966)+1,2)),2),"0000"))))</f>
        <v/>
      </c>
    </row>
    <row r="1967">
      <c r="A1967">
        <f>IF(OR(Calc!$E1970="",Calc!$E1970="نامعتبر",Calc!$G1970="",Calc!$I1970&lt;&gt;"خرید"),"",Calc!$G1970)</f>
        <v/>
      </c>
      <c r="B1967">
        <f>IF($A1967="","",LEFT(Calc!$E1970,4)&amp;MID(Calc!$E1970,6,2)&amp;RIGHT(Calc!$E1970,2)&amp;Calc!$R1970&amp;"|"&amp;"1"&amp;RIGHT("00000"&amp;1962,5))</f>
        <v/>
      </c>
      <c r="C1967">
        <f>IF($B1967="","",COUNTIFS(LdgPartyA,$A1967,LdgKeyA,"&lt;"&amp;$B1967)+COUNTIFS(LdgPartyB,$A1967,LdgKeyB,"&lt;"&amp;$B1967)+1)</f>
        <v/>
      </c>
      <c r="D1967">
        <f>IF($C1967="","",$A1967&amp;"|"&amp;RIGHT("000000"&amp;$C1967,6))</f>
        <v/>
      </c>
      <c r="F1967">
        <f>IF(Sync!$AJ1967="","",Sync!$AJ1967)</f>
        <v/>
      </c>
      <c r="G1967">
        <f>IF($F1967="","",IF(Sync!$AG1967="","",IF(ISNUMBER(Sync!$AG1967),IF(AND(Sync!$AG1967&gt;=10000101,Sync!$AG1967&lt;=99991231),INT(Sync!$AG1967/10000),""),IFERROR(VALUE(TRIM(LEFT(Sync!$AG1967,FIND("/",Sync!$AG1967)-1))),""))))</f>
        <v/>
      </c>
      <c r="H1967">
        <f>IF(OR($F1967="",$G1967=""),"",IF(ISNUMBER(Sync!$AG1967),INT(MOD(Sync!$AG1967,10000)/100),IFERROR(VALUE(TRIM(LEFT(MID(Sync!$AG1967,FIND("/",Sync!$AG1967)+1,20),FIND("/",MID(Sync!$AG1967,FIND("/",Sync!$AG1967)+1,20))-1))),"")))</f>
        <v/>
      </c>
      <c r="I1967">
        <f>IF(OR($F1967="",$G1967=""),"",IF(ISNUMBER(Sync!$AG1967),MOD(Sync!$AG1967,100),IFERROR(VALUE(TRIM(MID(MID(Sync!$AG1967,FIND("/",Sync!$AG1967)+1,20),FIND("/",MID(Sync!$AG1967,FIND("/",Sync!$AG1967)+1,20))+1,20))),"")))</f>
        <v/>
      </c>
      <c r="J1967">
        <f>IF($F1967="","",IF(OR($G1967="",$H1967="",$I1967="",$G1967&lt;1300,$G1967&gt;1500,$H1967&lt;1,$H1967&gt;12,$I1967&lt;1,$I1967&gt;31),"نامعتبر",RIGHT("0000"&amp;$G1967,4)&amp;"/"&amp;RIGHT("00"&amp;$H1967,2)&amp;"/"&amp;RIGHT("00"&amp;$I1967,2)))</f>
        <v/>
      </c>
      <c r="K1967">
        <f>IF(OR($F1967="",$J1967="",$J1967="نامعتبر"),"",LEFT($J1967,4)&amp;MID($J1967,6,2)&amp;RIGHT($J1967,2)&amp;$N1967&amp;"|"&amp;"2"&amp;RIGHT("00000"&amp;1962,5))</f>
        <v/>
      </c>
      <c r="L1967">
        <f>IF($K1967="","",COUNTIFS(LdgPartyA,$F1967,LdgKeyA,"&lt;"&amp;$K1967)+COUNTIFS(LdgPartyB,$F1967,LdgKeyB,"&lt;"&amp;$K1967)+1)</f>
        <v/>
      </c>
      <c r="M1967">
        <f>IF($L1967="","",$F1967&amp;"|"&amp;RIGHT("000000"&amp;$L1967,6))</f>
        <v/>
      </c>
      <c r="N1967">
        <f>IF($F1967="","",IF(Sync!$AH1967="","0000",IF(AND(ISNUMBER(Sync!$AH1967),Sync!$AH1967&gt;=0,Sync!$AH1967&lt;1),RIGHT("00"&amp;HOUR(Sync!$AH1967),2)&amp;RIGHT("00"&amp;MINUTE(Sync!$AH1967),2),IFERROR(RIGHT("00"&amp;VALUE(LEFT(Sync!$AH1967,FIND(":",Sync!$AH1967)-1)),2)&amp;RIGHT("00"&amp;VALUE(MID(Sync!$AH1967,FIND(":",Sync!$AH1967)+1,2)),2),"0000"))))</f>
        <v/>
      </c>
    </row>
    <row r="1968">
      <c r="A1968">
        <f>IF(OR(Calc!$E1971="",Calc!$E1971="نامعتبر",Calc!$G1971="",Calc!$I1971&lt;&gt;"خرید"),"",Calc!$G1971)</f>
        <v/>
      </c>
      <c r="B1968">
        <f>IF($A1968="","",LEFT(Calc!$E1971,4)&amp;MID(Calc!$E1971,6,2)&amp;RIGHT(Calc!$E1971,2)&amp;Calc!$R1971&amp;"|"&amp;"1"&amp;RIGHT("00000"&amp;1963,5))</f>
        <v/>
      </c>
      <c r="C1968">
        <f>IF($B1968="","",COUNTIFS(LdgPartyA,$A1968,LdgKeyA,"&lt;"&amp;$B1968)+COUNTIFS(LdgPartyB,$A1968,LdgKeyB,"&lt;"&amp;$B1968)+1)</f>
        <v/>
      </c>
      <c r="D1968">
        <f>IF($C1968="","",$A1968&amp;"|"&amp;RIGHT("000000"&amp;$C1968,6))</f>
        <v/>
      </c>
      <c r="F1968">
        <f>IF(Sync!$AJ1968="","",Sync!$AJ1968)</f>
        <v/>
      </c>
      <c r="G1968">
        <f>IF($F1968="","",IF(Sync!$AG1968="","",IF(ISNUMBER(Sync!$AG1968),IF(AND(Sync!$AG1968&gt;=10000101,Sync!$AG1968&lt;=99991231),INT(Sync!$AG1968/10000),""),IFERROR(VALUE(TRIM(LEFT(Sync!$AG1968,FIND("/",Sync!$AG1968)-1))),""))))</f>
        <v/>
      </c>
      <c r="H1968">
        <f>IF(OR($F1968="",$G1968=""),"",IF(ISNUMBER(Sync!$AG1968),INT(MOD(Sync!$AG1968,10000)/100),IFERROR(VALUE(TRIM(LEFT(MID(Sync!$AG1968,FIND("/",Sync!$AG1968)+1,20),FIND("/",MID(Sync!$AG1968,FIND("/",Sync!$AG1968)+1,20))-1))),"")))</f>
        <v/>
      </c>
      <c r="I1968">
        <f>IF(OR($F1968="",$G1968=""),"",IF(ISNUMBER(Sync!$AG1968),MOD(Sync!$AG1968,100),IFERROR(VALUE(TRIM(MID(MID(Sync!$AG1968,FIND("/",Sync!$AG1968)+1,20),FIND("/",MID(Sync!$AG1968,FIND("/",Sync!$AG1968)+1,20))+1,20))),"")))</f>
        <v/>
      </c>
      <c r="J1968">
        <f>IF($F1968="","",IF(OR($G1968="",$H1968="",$I1968="",$G1968&lt;1300,$G1968&gt;1500,$H1968&lt;1,$H1968&gt;12,$I1968&lt;1,$I1968&gt;31),"نامعتبر",RIGHT("0000"&amp;$G1968,4)&amp;"/"&amp;RIGHT("00"&amp;$H1968,2)&amp;"/"&amp;RIGHT("00"&amp;$I1968,2)))</f>
        <v/>
      </c>
      <c r="K1968">
        <f>IF(OR($F1968="",$J1968="",$J1968="نامعتبر"),"",LEFT($J1968,4)&amp;MID($J1968,6,2)&amp;RIGHT($J1968,2)&amp;$N1968&amp;"|"&amp;"2"&amp;RIGHT("00000"&amp;1963,5))</f>
        <v/>
      </c>
      <c r="L1968">
        <f>IF($K1968="","",COUNTIFS(LdgPartyA,$F1968,LdgKeyA,"&lt;"&amp;$K1968)+COUNTIFS(LdgPartyB,$F1968,LdgKeyB,"&lt;"&amp;$K1968)+1)</f>
        <v/>
      </c>
      <c r="M1968">
        <f>IF($L1968="","",$F1968&amp;"|"&amp;RIGHT("000000"&amp;$L1968,6))</f>
        <v/>
      </c>
      <c r="N1968">
        <f>IF($F1968="","",IF(Sync!$AH1968="","0000",IF(AND(ISNUMBER(Sync!$AH1968),Sync!$AH1968&gt;=0,Sync!$AH1968&lt;1),RIGHT("00"&amp;HOUR(Sync!$AH1968),2)&amp;RIGHT("00"&amp;MINUTE(Sync!$AH1968),2),IFERROR(RIGHT("00"&amp;VALUE(LEFT(Sync!$AH1968,FIND(":",Sync!$AH1968)-1)),2)&amp;RIGHT("00"&amp;VALUE(MID(Sync!$AH1968,FIND(":",Sync!$AH1968)+1,2)),2),"0000"))))</f>
        <v/>
      </c>
    </row>
    <row r="1969">
      <c r="A1969">
        <f>IF(OR(Calc!$E1972="",Calc!$E1972="نامعتبر",Calc!$G1972="",Calc!$I1972&lt;&gt;"خرید"),"",Calc!$G1972)</f>
        <v/>
      </c>
      <c r="B1969">
        <f>IF($A1969="","",LEFT(Calc!$E1972,4)&amp;MID(Calc!$E1972,6,2)&amp;RIGHT(Calc!$E1972,2)&amp;Calc!$R1972&amp;"|"&amp;"1"&amp;RIGHT("00000"&amp;1964,5))</f>
        <v/>
      </c>
      <c r="C1969">
        <f>IF($B1969="","",COUNTIFS(LdgPartyA,$A1969,LdgKeyA,"&lt;"&amp;$B1969)+COUNTIFS(LdgPartyB,$A1969,LdgKeyB,"&lt;"&amp;$B1969)+1)</f>
        <v/>
      </c>
      <c r="D1969">
        <f>IF($C1969="","",$A1969&amp;"|"&amp;RIGHT("000000"&amp;$C1969,6))</f>
        <v/>
      </c>
      <c r="F1969">
        <f>IF(Sync!$AJ1969="","",Sync!$AJ1969)</f>
        <v/>
      </c>
      <c r="G1969">
        <f>IF($F1969="","",IF(Sync!$AG1969="","",IF(ISNUMBER(Sync!$AG1969),IF(AND(Sync!$AG1969&gt;=10000101,Sync!$AG1969&lt;=99991231),INT(Sync!$AG1969/10000),""),IFERROR(VALUE(TRIM(LEFT(Sync!$AG1969,FIND("/",Sync!$AG1969)-1))),""))))</f>
        <v/>
      </c>
      <c r="H1969">
        <f>IF(OR($F1969="",$G1969=""),"",IF(ISNUMBER(Sync!$AG1969),INT(MOD(Sync!$AG1969,10000)/100),IFERROR(VALUE(TRIM(LEFT(MID(Sync!$AG1969,FIND("/",Sync!$AG1969)+1,20),FIND("/",MID(Sync!$AG1969,FIND("/",Sync!$AG1969)+1,20))-1))),"")))</f>
        <v/>
      </c>
      <c r="I1969">
        <f>IF(OR($F1969="",$G1969=""),"",IF(ISNUMBER(Sync!$AG1969),MOD(Sync!$AG1969,100),IFERROR(VALUE(TRIM(MID(MID(Sync!$AG1969,FIND("/",Sync!$AG1969)+1,20),FIND("/",MID(Sync!$AG1969,FIND("/",Sync!$AG1969)+1,20))+1,20))),"")))</f>
        <v/>
      </c>
      <c r="J1969">
        <f>IF($F1969="","",IF(OR($G1969="",$H1969="",$I1969="",$G1969&lt;1300,$G1969&gt;1500,$H1969&lt;1,$H1969&gt;12,$I1969&lt;1,$I1969&gt;31),"نامعتبر",RIGHT("0000"&amp;$G1969,4)&amp;"/"&amp;RIGHT("00"&amp;$H1969,2)&amp;"/"&amp;RIGHT("00"&amp;$I1969,2)))</f>
        <v/>
      </c>
      <c r="K1969">
        <f>IF(OR($F1969="",$J1969="",$J1969="نامعتبر"),"",LEFT($J1969,4)&amp;MID($J1969,6,2)&amp;RIGHT($J1969,2)&amp;$N1969&amp;"|"&amp;"2"&amp;RIGHT("00000"&amp;1964,5))</f>
        <v/>
      </c>
      <c r="L1969">
        <f>IF($K1969="","",COUNTIFS(LdgPartyA,$F1969,LdgKeyA,"&lt;"&amp;$K1969)+COUNTIFS(LdgPartyB,$F1969,LdgKeyB,"&lt;"&amp;$K1969)+1)</f>
        <v/>
      </c>
      <c r="M1969">
        <f>IF($L1969="","",$F1969&amp;"|"&amp;RIGHT("000000"&amp;$L1969,6))</f>
        <v/>
      </c>
      <c r="N1969">
        <f>IF($F1969="","",IF(Sync!$AH1969="","0000",IF(AND(ISNUMBER(Sync!$AH1969),Sync!$AH1969&gt;=0,Sync!$AH1969&lt;1),RIGHT("00"&amp;HOUR(Sync!$AH1969),2)&amp;RIGHT("00"&amp;MINUTE(Sync!$AH1969),2),IFERROR(RIGHT("00"&amp;VALUE(LEFT(Sync!$AH1969,FIND(":",Sync!$AH1969)-1)),2)&amp;RIGHT("00"&amp;VALUE(MID(Sync!$AH1969,FIND(":",Sync!$AH1969)+1,2)),2),"0000"))))</f>
        <v/>
      </c>
    </row>
    <row r="1970">
      <c r="A1970">
        <f>IF(OR(Calc!$E1973="",Calc!$E1973="نامعتبر",Calc!$G1973="",Calc!$I1973&lt;&gt;"خرید"),"",Calc!$G1973)</f>
        <v/>
      </c>
      <c r="B1970">
        <f>IF($A1970="","",LEFT(Calc!$E1973,4)&amp;MID(Calc!$E1973,6,2)&amp;RIGHT(Calc!$E1973,2)&amp;Calc!$R1973&amp;"|"&amp;"1"&amp;RIGHT("00000"&amp;1965,5))</f>
        <v/>
      </c>
      <c r="C1970">
        <f>IF($B1970="","",COUNTIFS(LdgPartyA,$A1970,LdgKeyA,"&lt;"&amp;$B1970)+COUNTIFS(LdgPartyB,$A1970,LdgKeyB,"&lt;"&amp;$B1970)+1)</f>
        <v/>
      </c>
      <c r="D1970">
        <f>IF($C1970="","",$A1970&amp;"|"&amp;RIGHT("000000"&amp;$C1970,6))</f>
        <v/>
      </c>
      <c r="F1970">
        <f>IF(Sync!$AJ1970="","",Sync!$AJ1970)</f>
        <v/>
      </c>
      <c r="G1970">
        <f>IF($F1970="","",IF(Sync!$AG1970="","",IF(ISNUMBER(Sync!$AG1970),IF(AND(Sync!$AG1970&gt;=10000101,Sync!$AG1970&lt;=99991231),INT(Sync!$AG1970/10000),""),IFERROR(VALUE(TRIM(LEFT(Sync!$AG1970,FIND("/",Sync!$AG1970)-1))),""))))</f>
        <v/>
      </c>
      <c r="H1970">
        <f>IF(OR($F1970="",$G1970=""),"",IF(ISNUMBER(Sync!$AG1970),INT(MOD(Sync!$AG1970,10000)/100),IFERROR(VALUE(TRIM(LEFT(MID(Sync!$AG1970,FIND("/",Sync!$AG1970)+1,20),FIND("/",MID(Sync!$AG1970,FIND("/",Sync!$AG1970)+1,20))-1))),"")))</f>
        <v/>
      </c>
      <c r="I1970">
        <f>IF(OR($F1970="",$G1970=""),"",IF(ISNUMBER(Sync!$AG1970),MOD(Sync!$AG1970,100),IFERROR(VALUE(TRIM(MID(MID(Sync!$AG1970,FIND("/",Sync!$AG1970)+1,20),FIND("/",MID(Sync!$AG1970,FIND("/",Sync!$AG1970)+1,20))+1,20))),"")))</f>
        <v/>
      </c>
      <c r="J1970">
        <f>IF($F1970="","",IF(OR($G1970="",$H1970="",$I1970="",$G1970&lt;1300,$G1970&gt;1500,$H1970&lt;1,$H1970&gt;12,$I1970&lt;1,$I1970&gt;31),"نامعتبر",RIGHT("0000"&amp;$G1970,4)&amp;"/"&amp;RIGHT("00"&amp;$H1970,2)&amp;"/"&amp;RIGHT("00"&amp;$I1970,2)))</f>
        <v/>
      </c>
      <c r="K1970">
        <f>IF(OR($F1970="",$J1970="",$J1970="نامعتبر"),"",LEFT($J1970,4)&amp;MID($J1970,6,2)&amp;RIGHT($J1970,2)&amp;$N1970&amp;"|"&amp;"2"&amp;RIGHT("00000"&amp;1965,5))</f>
        <v/>
      </c>
      <c r="L1970">
        <f>IF($K1970="","",COUNTIFS(LdgPartyA,$F1970,LdgKeyA,"&lt;"&amp;$K1970)+COUNTIFS(LdgPartyB,$F1970,LdgKeyB,"&lt;"&amp;$K1970)+1)</f>
        <v/>
      </c>
      <c r="M1970">
        <f>IF($L1970="","",$F1970&amp;"|"&amp;RIGHT("000000"&amp;$L1970,6))</f>
        <v/>
      </c>
      <c r="N1970">
        <f>IF($F1970="","",IF(Sync!$AH1970="","0000",IF(AND(ISNUMBER(Sync!$AH1970),Sync!$AH1970&gt;=0,Sync!$AH1970&lt;1),RIGHT("00"&amp;HOUR(Sync!$AH1970),2)&amp;RIGHT("00"&amp;MINUTE(Sync!$AH1970),2),IFERROR(RIGHT("00"&amp;VALUE(LEFT(Sync!$AH1970,FIND(":",Sync!$AH1970)-1)),2)&amp;RIGHT("00"&amp;VALUE(MID(Sync!$AH1970,FIND(":",Sync!$AH1970)+1,2)),2),"0000"))))</f>
        <v/>
      </c>
    </row>
    <row r="1971">
      <c r="A1971">
        <f>IF(OR(Calc!$E1974="",Calc!$E1974="نامعتبر",Calc!$G1974="",Calc!$I1974&lt;&gt;"خرید"),"",Calc!$G1974)</f>
        <v/>
      </c>
      <c r="B1971">
        <f>IF($A1971="","",LEFT(Calc!$E1974,4)&amp;MID(Calc!$E1974,6,2)&amp;RIGHT(Calc!$E1974,2)&amp;Calc!$R1974&amp;"|"&amp;"1"&amp;RIGHT("00000"&amp;1966,5))</f>
        <v/>
      </c>
      <c r="C1971">
        <f>IF($B1971="","",COUNTIFS(LdgPartyA,$A1971,LdgKeyA,"&lt;"&amp;$B1971)+COUNTIFS(LdgPartyB,$A1971,LdgKeyB,"&lt;"&amp;$B1971)+1)</f>
        <v/>
      </c>
      <c r="D1971">
        <f>IF($C1971="","",$A1971&amp;"|"&amp;RIGHT("000000"&amp;$C1971,6))</f>
        <v/>
      </c>
      <c r="F1971">
        <f>IF(Sync!$AJ1971="","",Sync!$AJ1971)</f>
        <v/>
      </c>
      <c r="G1971">
        <f>IF($F1971="","",IF(Sync!$AG1971="","",IF(ISNUMBER(Sync!$AG1971),IF(AND(Sync!$AG1971&gt;=10000101,Sync!$AG1971&lt;=99991231),INT(Sync!$AG1971/10000),""),IFERROR(VALUE(TRIM(LEFT(Sync!$AG1971,FIND("/",Sync!$AG1971)-1))),""))))</f>
        <v/>
      </c>
      <c r="H1971">
        <f>IF(OR($F1971="",$G1971=""),"",IF(ISNUMBER(Sync!$AG1971),INT(MOD(Sync!$AG1971,10000)/100),IFERROR(VALUE(TRIM(LEFT(MID(Sync!$AG1971,FIND("/",Sync!$AG1971)+1,20),FIND("/",MID(Sync!$AG1971,FIND("/",Sync!$AG1971)+1,20))-1))),"")))</f>
        <v/>
      </c>
      <c r="I1971">
        <f>IF(OR($F1971="",$G1971=""),"",IF(ISNUMBER(Sync!$AG1971),MOD(Sync!$AG1971,100),IFERROR(VALUE(TRIM(MID(MID(Sync!$AG1971,FIND("/",Sync!$AG1971)+1,20),FIND("/",MID(Sync!$AG1971,FIND("/",Sync!$AG1971)+1,20))+1,20))),"")))</f>
        <v/>
      </c>
      <c r="J1971">
        <f>IF($F1971="","",IF(OR($G1971="",$H1971="",$I1971="",$G1971&lt;1300,$G1971&gt;1500,$H1971&lt;1,$H1971&gt;12,$I1971&lt;1,$I1971&gt;31),"نامعتبر",RIGHT("0000"&amp;$G1971,4)&amp;"/"&amp;RIGHT("00"&amp;$H1971,2)&amp;"/"&amp;RIGHT("00"&amp;$I1971,2)))</f>
        <v/>
      </c>
      <c r="K1971">
        <f>IF(OR($F1971="",$J1971="",$J1971="نامعتبر"),"",LEFT($J1971,4)&amp;MID($J1971,6,2)&amp;RIGHT($J1971,2)&amp;$N1971&amp;"|"&amp;"2"&amp;RIGHT("00000"&amp;1966,5))</f>
        <v/>
      </c>
      <c r="L1971">
        <f>IF($K1971="","",COUNTIFS(LdgPartyA,$F1971,LdgKeyA,"&lt;"&amp;$K1971)+COUNTIFS(LdgPartyB,$F1971,LdgKeyB,"&lt;"&amp;$K1971)+1)</f>
        <v/>
      </c>
      <c r="M1971">
        <f>IF($L1971="","",$F1971&amp;"|"&amp;RIGHT("000000"&amp;$L1971,6))</f>
        <v/>
      </c>
      <c r="N1971">
        <f>IF($F1971="","",IF(Sync!$AH1971="","0000",IF(AND(ISNUMBER(Sync!$AH1971),Sync!$AH1971&gt;=0,Sync!$AH1971&lt;1),RIGHT("00"&amp;HOUR(Sync!$AH1971),2)&amp;RIGHT("00"&amp;MINUTE(Sync!$AH1971),2),IFERROR(RIGHT("00"&amp;VALUE(LEFT(Sync!$AH1971,FIND(":",Sync!$AH1971)-1)),2)&amp;RIGHT("00"&amp;VALUE(MID(Sync!$AH1971,FIND(":",Sync!$AH1971)+1,2)),2),"0000"))))</f>
        <v/>
      </c>
    </row>
    <row r="1972">
      <c r="A1972">
        <f>IF(OR(Calc!$E1975="",Calc!$E1975="نامعتبر",Calc!$G1975="",Calc!$I1975&lt;&gt;"خرید"),"",Calc!$G1975)</f>
        <v/>
      </c>
      <c r="B1972">
        <f>IF($A1972="","",LEFT(Calc!$E1975,4)&amp;MID(Calc!$E1975,6,2)&amp;RIGHT(Calc!$E1975,2)&amp;Calc!$R1975&amp;"|"&amp;"1"&amp;RIGHT("00000"&amp;1967,5))</f>
        <v/>
      </c>
      <c r="C1972">
        <f>IF($B1972="","",COUNTIFS(LdgPartyA,$A1972,LdgKeyA,"&lt;"&amp;$B1972)+COUNTIFS(LdgPartyB,$A1972,LdgKeyB,"&lt;"&amp;$B1972)+1)</f>
        <v/>
      </c>
      <c r="D1972">
        <f>IF($C1972="","",$A1972&amp;"|"&amp;RIGHT("000000"&amp;$C1972,6))</f>
        <v/>
      </c>
      <c r="F1972">
        <f>IF(Sync!$AJ1972="","",Sync!$AJ1972)</f>
        <v/>
      </c>
      <c r="G1972">
        <f>IF($F1972="","",IF(Sync!$AG1972="","",IF(ISNUMBER(Sync!$AG1972),IF(AND(Sync!$AG1972&gt;=10000101,Sync!$AG1972&lt;=99991231),INT(Sync!$AG1972/10000),""),IFERROR(VALUE(TRIM(LEFT(Sync!$AG1972,FIND("/",Sync!$AG1972)-1))),""))))</f>
        <v/>
      </c>
      <c r="H1972">
        <f>IF(OR($F1972="",$G1972=""),"",IF(ISNUMBER(Sync!$AG1972),INT(MOD(Sync!$AG1972,10000)/100),IFERROR(VALUE(TRIM(LEFT(MID(Sync!$AG1972,FIND("/",Sync!$AG1972)+1,20),FIND("/",MID(Sync!$AG1972,FIND("/",Sync!$AG1972)+1,20))-1))),"")))</f>
        <v/>
      </c>
      <c r="I1972">
        <f>IF(OR($F1972="",$G1972=""),"",IF(ISNUMBER(Sync!$AG1972),MOD(Sync!$AG1972,100),IFERROR(VALUE(TRIM(MID(MID(Sync!$AG1972,FIND("/",Sync!$AG1972)+1,20),FIND("/",MID(Sync!$AG1972,FIND("/",Sync!$AG1972)+1,20))+1,20))),"")))</f>
        <v/>
      </c>
      <c r="J1972">
        <f>IF($F1972="","",IF(OR($G1972="",$H1972="",$I1972="",$G1972&lt;1300,$G1972&gt;1500,$H1972&lt;1,$H1972&gt;12,$I1972&lt;1,$I1972&gt;31),"نامعتبر",RIGHT("0000"&amp;$G1972,4)&amp;"/"&amp;RIGHT("00"&amp;$H1972,2)&amp;"/"&amp;RIGHT("00"&amp;$I1972,2)))</f>
        <v/>
      </c>
      <c r="K1972">
        <f>IF(OR($F1972="",$J1972="",$J1972="نامعتبر"),"",LEFT($J1972,4)&amp;MID($J1972,6,2)&amp;RIGHT($J1972,2)&amp;$N1972&amp;"|"&amp;"2"&amp;RIGHT("00000"&amp;1967,5))</f>
        <v/>
      </c>
      <c r="L1972">
        <f>IF($K1972="","",COUNTIFS(LdgPartyA,$F1972,LdgKeyA,"&lt;"&amp;$K1972)+COUNTIFS(LdgPartyB,$F1972,LdgKeyB,"&lt;"&amp;$K1972)+1)</f>
        <v/>
      </c>
      <c r="M1972">
        <f>IF($L1972="","",$F1972&amp;"|"&amp;RIGHT("000000"&amp;$L1972,6))</f>
        <v/>
      </c>
      <c r="N1972">
        <f>IF($F1972="","",IF(Sync!$AH1972="","0000",IF(AND(ISNUMBER(Sync!$AH1972),Sync!$AH1972&gt;=0,Sync!$AH1972&lt;1),RIGHT("00"&amp;HOUR(Sync!$AH1972),2)&amp;RIGHT("00"&amp;MINUTE(Sync!$AH1972),2),IFERROR(RIGHT("00"&amp;VALUE(LEFT(Sync!$AH1972,FIND(":",Sync!$AH1972)-1)),2)&amp;RIGHT("00"&amp;VALUE(MID(Sync!$AH1972,FIND(":",Sync!$AH1972)+1,2)),2),"0000"))))</f>
        <v/>
      </c>
    </row>
    <row r="1973">
      <c r="A1973">
        <f>IF(OR(Calc!$E1976="",Calc!$E1976="نامعتبر",Calc!$G1976="",Calc!$I1976&lt;&gt;"خرید"),"",Calc!$G1976)</f>
        <v/>
      </c>
      <c r="B1973">
        <f>IF($A1973="","",LEFT(Calc!$E1976,4)&amp;MID(Calc!$E1976,6,2)&amp;RIGHT(Calc!$E1976,2)&amp;Calc!$R1976&amp;"|"&amp;"1"&amp;RIGHT("00000"&amp;1968,5))</f>
        <v/>
      </c>
      <c r="C1973">
        <f>IF($B1973="","",COUNTIFS(LdgPartyA,$A1973,LdgKeyA,"&lt;"&amp;$B1973)+COUNTIFS(LdgPartyB,$A1973,LdgKeyB,"&lt;"&amp;$B1973)+1)</f>
        <v/>
      </c>
      <c r="D1973">
        <f>IF($C1973="","",$A1973&amp;"|"&amp;RIGHT("000000"&amp;$C1973,6))</f>
        <v/>
      </c>
      <c r="F1973">
        <f>IF(Sync!$AJ1973="","",Sync!$AJ1973)</f>
        <v/>
      </c>
      <c r="G1973">
        <f>IF($F1973="","",IF(Sync!$AG1973="","",IF(ISNUMBER(Sync!$AG1973),IF(AND(Sync!$AG1973&gt;=10000101,Sync!$AG1973&lt;=99991231),INT(Sync!$AG1973/10000),""),IFERROR(VALUE(TRIM(LEFT(Sync!$AG1973,FIND("/",Sync!$AG1973)-1))),""))))</f>
        <v/>
      </c>
      <c r="H1973">
        <f>IF(OR($F1973="",$G1973=""),"",IF(ISNUMBER(Sync!$AG1973),INT(MOD(Sync!$AG1973,10000)/100),IFERROR(VALUE(TRIM(LEFT(MID(Sync!$AG1973,FIND("/",Sync!$AG1973)+1,20),FIND("/",MID(Sync!$AG1973,FIND("/",Sync!$AG1973)+1,20))-1))),"")))</f>
        <v/>
      </c>
      <c r="I1973">
        <f>IF(OR($F1973="",$G1973=""),"",IF(ISNUMBER(Sync!$AG1973),MOD(Sync!$AG1973,100),IFERROR(VALUE(TRIM(MID(MID(Sync!$AG1973,FIND("/",Sync!$AG1973)+1,20),FIND("/",MID(Sync!$AG1973,FIND("/",Sync!$AG1973)+1,20))+1,20))),"")))</f>
        <v/>
      </c>
      <c r="J1973">
        <f>IF($F1973="","",IF(OR($G1973="",$H1973="",$I1973="",$G1973&lt;1300,$G1973&gt;1500,$H1973&lt;1,$H1973&gt;12,$I1973&lt;1,$I1973&gt;31),"نامعتبر",RIGHT("0000"&amp;$G1973,4)&amp;"/"&amp;RIGHT("00"&amp;$H1973,2)&amp;"/"&amp;RIGHT("00"&amp;$I1973,2)))</f>
        <v/>
      </c>
      <c r="K1973">
        <f>IF(OR($F1973="",$J1973="",$J1973="نامعتبر"),"",LEFT($J1973,4)&amp;MID($J1973,6,2)&amp;RIGHT($J1973,2)&amp;$N1973&amp;"|"&amp;"2"&amp;RIGHT("00000"&amp;1968,5))</f>
        <v/>
      </c>
      <c r="L1973">
        <f>IF($K1973="","",COUNTIFS(LdgPartyA,$F1973,LdgKeyA,"&lt;"&amp;$K1973)+COUNTIFS(LdgPartyB,$F1973,LdgKeyB,"&lt;"&amp;$K1973)+1)</f>
        <v/>
      </c>
      <c r="M1973">
        <f>IF($L1973="","",$F1973&amp;"|"&amp;RIGHT("000000"&amp;$L1973,6))</f>
        <v/>
      </c>
      <c r="N1973">
        <f>IF($F1973="","",IF(Sync!$AH1973="","0000",IF(AND(ISNUMBER(Sync!$AH1973),Sync!$AH1973&gt;=0,Sync!$AH1973&lt;1),RIGHT("00"&amp;HOUR(Sync!$AH1973),2)&amp;RIGHT("00"&amp;MINUTE(Sync!$AH1973),2),IFERROR(RIGHT("00"&amp;VALUE(LEFT(Sync!$AH1973,FIND(":",Sync!$AH1973)-1)),2)&amp;RIGHT("00"&amp;VALUE(MID(Sync!$AH1973,FIND(":",Sync!$AH1973)+1,2)),2),"0000"))))</f>
        <v/>
      </c>
    </row>
    <row r="1974">
      <c r="A1974">
        <f>IF(OR(Calc!$E1977="",Calc!$E1977="نامعتبر",Calc!$G1977="",Calc!$I1977&lt;&gt;"خرید"),"",Calc!$G1977)</f>
        <v/>
      </c>
      <c r="B1974">
        <f>IF($A1974="","",LEFT(Calc!$E1977,4)&amp;MID(Calc!$E1977,6,2)&amp;RIGHT(Calc!$E1977,2)&amp;Calc!$R1977&amp;"|"&amp;"1"&amp;RIGHT("00000"&amp;1969,5))</f>
        <v/>
      </c>
      <c r="C1974">
        <f>IF($B1974="","",COUNTIFS(LdgPartyA,$A1974,LdgKeyA,"&lt;"&amp;$B1974)+COUNTIFS(LdgPartyB,$A1974,LdgKeyB,"&lt;"&amp;$B1974)+1)</f>
        <v/>
      </c>
      <c r="D1974">
        <f>IF($C1974="","",$A1974&amp;"|"&amp;RIGHT("000000"&amp;$C1974,6))</f>
        <v/>
      </c>
      <c r="F1974">
        <f>IF(Sync!$AJ1974="","",Sync!$AJ1974)</f>
        <v/>
      </c>
      <c r="G1974">
        <f>IF($F1974="","",IF(Sync!$AG1974="","",IF(ISNUMBER(Sync!$AG1974),IF(AND(Sync!$AG1974&gt;=10000101,Sync!$AG1974&lt;=99991231),INT(Sync!$AG1974/10000),""),IFERROR(VALUE(TRIM(LEFT(Sync!$AG1974,FIND("/",Sync!$AG1974)-1))),""))))</f>
        <v/>
      </c>
      <c r="H1974">
        <f>IF(OR($F1974="",$G1974=""),"",IF(ISNUMBER(Sync!$AG1974),INT(MOD(Sync!$AG1974,10000)/100),IFERROR(VALUE(TRIM(LEFT(MID(Sync!$AG1974,FIND("/",Sync!$AG1974)+1,20),FIND("/",MID(Sync!$AG1974,FIND("/",Sync!$AG1974)+1,20))-1))),"")))</f>
        <v/>
      </c>
      <c r="I1974">
        <f>IF(OR($F1974="",$G1974=""),"",IF(ISNUMBER(Sync!$AG1974),MOD(Sync!$AG1974,100),IFERROR(VALUE(TRIM(MID(MID(Sync!$AG1974,FIND("/",Sync!$AG1974)+1,20),FIND("/",MID(Sync!$AG1974,FIND("/",Sync!$AG1974)+1,20))+1,20))),"")))</f>
        <v/>
      </c>
      <c r="J1974">
        <f>IF($F1974="","",IF(OR($G1974="",$H1974="",$I1974="",$G1974&lt;1300,$G1974&gt;1500,$H1974&lt;1,$H1974&gt;12,$I1974&lt;1,$I1974&gt;31),"نامعتبر",RIGHT("0000"&amp;$G1974,4)&amp;"/"&amp;RIGHT("00"&amp;$H1974,2)&amp;"/"&amp;RIGHT("00"&amp;$I1974,2)))</f>
        <v/>
      </c>
      <c r="K1974">
        <f>IF(OR($F1974="",$J1974="",$J1974="نامعتبر"),"",LEFT($J1974,4)&amp;MID($J1974,6,2)&amp;RIGHT($J1974,2)&amp;$N1974&amp;"|"&amp;"2"&amp;RIGHT("00000"&amp;1969,5))</f>
        <v/>
      </c>
      <c r="L1974">
        <f>IF($K1974="","",COUNTIFS(LdgPartyA,$F1974,LdgKeyA,"&lt;"&amp;$K1974)+COUNTIFS(LdgPartyB,$F1974,LdgKeyB,"&lt;"&amp;$K1974)+1)</f>
        <v/>
      </c>
      <c r="M1974">
        <f>IF($L1974="","",$F1974&amp;"|"&amp;RIGHT("000000"&amp;$L1974,6))</f>
        <v/>
      </c>
      <c r="N1974">
        <f>IF($F1974="","",IF(Sync!$AH1974="","0000",IF(AND(ISNUMBER(Sync!$AH1974),Sync!$AH1974&gt;=0,Sync!$AH1974&lt;1),RIGHT("00"&amp;HOUR(Sync!$AH1974),2)&amp;RIGHT("00"&amp;MINUTE(Sync!$AH1974),2),IFERROR(RIGHT("00"&amp;VALUE(LEFT(Sync!$AH1974,FIND(":",Sync!$AH1974)-1)),2)&amp;RIGHT("00"&amp;VALUE(MID(Sync!$AH1974,FIND(":",Sync!$AH1974)+1,2)),2),"0000"))))</f>
        <v/>
      </c>
    </row>
    <row r="1975">
      <c r="A1975">
        <f>IF(OR(Calc!$E1978="",Calc!$E1978="نامعتبر",Calc!$G1978="",Calc!$I1978&lt;&gt;"خرید"),"",Calc!$G1978)</f>
        <v/>
      </c>
      <c r="B1975">
        <f>IF($A1975="","",LEFT(Calc!$E1978,4)&amp;MID(Calc!$E1978,6,2)&amp;RIGHT(Calc!$E1978,2)&amp;Calc!$R1978&amp;"|"&amp;"1"&amp;RIGHT("00000"&amp;1970,5))</f>
        <v/>
      </c>
      <c r="C1975">
        <f>IF($B1975="","",COUNTIFS(LdgPartyA,$A1975,LdgKeyA,"&lt;"&amp;$B1975)+COUNTIFS(LdgPartyB,$A1975,LdgKeyB,"&lt;"&amp;$B1975)+1)</f>
        <v/>
      </c>
      <c r="D1975">
        <f>IF($C1975="","",$A1975&amp;"|"&amp;RIGHT("000000"&amp;$C1975,6))</f>
        <v/>
      </c>
      <c r="F1975">
        <f>IF(Sync!$AJ1975="","",Sync!$AJ1975)</f>
        <v/>
      </c>
      <c r="G1975">
        <f>IF($F1975="","",IF(Sync!$AG1975="","",IF(ISNUMBER(Sync!$AG1975),IF(AND(Sync!$AG1975&gt;=10000101,Sync!$AG1975&lt;=99991231),INT(Sync!$AG1975/10000),""),IFERROR(VALUE(TRIM(LEFT(Sync!$AG1975,FIND("/",Sync!$AG1975)-1))),""))))</f>
        <v/>
      </c>
      <c r="H1975">
        <f>IF(OR($F1975="",$G1975=""),"",IF(ISNUMBER(Sync!$AG1975),INT(MOD(Sync!$AG1975,10000)/100),IFERROR(VALUE(TRIM(LEFT(MID(Sync!$AG1975,FIND("/",Sync!$AG1975)+1,20),FIND("/",MID(Sync!$AG1975,FIND("/",Sync!$AG1975)+1,20))-1))),"")))</f>
        <v/>
      </c>
      <c r="I1975">
        <f>IF(OR($F1975="",$G1975=""),"",IF(ISNUMBER(Sync!$AG1975),MOD(Sync!$AG1975,100),IFERROR(VALUE(TRIM(MID(MID(Sync!$AG1975,FIND("/",Sync!$AG1975)+1,20),FIND("/",MID(Sync!$AG1975,FIND("/",Sync!$AG1975)+1,20))+1,20))),"")))</f>
        <v/>
      </c>
      <c r="J1975">
        <f>IF($F1975="","",IF(OR($G1975="",$H1975="",$I1975="",$G1975&lt;1300,$G1975&gt;1500,$H1975&lt;1,$H1975&gt;12,$I1975&lt;1,$I1975&gt;31),"نامعتبر",RIGHT("0000"&amp;$G1975,4)&amp;"/"&amp;RIGHT("00"&amp;$H1975,2)&amp;"/"&amp;RIGHT("00"&amp;$I1975,2)))</f>
        <v/>
      </c>
      <c r="K1975">
        <f>IF(OR($F1975="",$J1975="",$J1975="نامعتبر"),"",LEFT($J1975,4)&amp;MID($J1975,6,2)&amp;RIGHT($J1975,2)&amp;$N1975&amp;"|"&amp;"2"&amp;RIGHT("00000"&amp;1970,5))</f>
        <v/>
      </c>
      <c r="L1975">
        <f>IF($K1975="","",COUNTIFS(LdgPartyA,$F1975,LdgKeyA,"&lt;"&amp;$K1975)+COUNTIFS(LdgPartyB,$F1975,LdgKeyB,"&lt;"&amp;$K1975)+1)</f>
        <v/>
      </c>
      <c r="M1975">
        <f>IF($L1975="","",$F1975&amp;"|"&amp;RIGHT("000000"&amp;$L1975,6))</f>
        <v/>
      </c>
      <c r="N1975">
        <f>IF($F1975="","",IF(Sync!$AH1975="","0000",IF(AND(ISNUMBER(Sync!$AH1975),Sync!$AH1975&gt;=0,Sync!$AH1975&lt;1),RIGHT("00"&amp;HOUR(Sync!$AH1975),2)&amp;RIGHT("00"&amp;MINUTE(Sync!$AH1975),2),IFERROR(RIGHT("00"&amp;VALUE(LEFT(Sync!$AH1975,FIND(":",Sync!$AH1975)-1)),2)&amp;RIGHT("00"&amp;VALUE(MID(Sync!$AH1975,FIND(":",Sync!$AH1975)+1,2)),2),"0000"))))</f>
        <v/>
      </c>
    </row>
    <row r="1976">
      <c r="A1976">
        <f>IF(OR(Calc!$E1979="",Calc!$E1979="نامعتبر",Calc!$G1979="",Calc!$I1979&lt;&gt;"خرید"),"",Calc!$G1979)</f>
        <v/>
      </c>
      <c r="B1976">
        <f>IF($A1976="","",LEFT(Calc!$E1979,4)&amp;MID(Calc!$E1979,6,2)&amp;RIGHT(Calc!$E1979,2)&amp;Calc!$R1979&amp;"|"&amp;"1"&amp;RIGHT("00000"&amp;1971,5))</f>
        <v/>
      </c>
      <c r="C1976">
        <f>IF($B1976="","",COUNTIFS(LdgPartyA,$A1976,LdgKeyA,"&lt;"&amp;$B1976)+COUNTIFS(LdgPartyB,$A1976,LdgKeyB,"&lt;"&amp;$B1976)+1)</f>
        <v/>
      </c>
      <c r="D1976">
        <f>IF($C1976="","",$A1976&amp;"|"&amp;RIGHT("000000"&amp;$C1976,6))</f>
        <v/>
      </c>
      <c r="F1976">
        <f>IF(Sync!$AJ1976="","",Sync!$AJ1976)</f>
        <v/>
      </c>
      <c r="G1976">
        <f>IF($F1976="","",IF(Sync!$AG1976="","",IF(ISNUMBER(Sync!$AG1976),IF(AND(Sync!$AG1976&gt;=10000101,Sync!$AG1976&lt;=99991231),INT(Sync!$AG1976/10000),""),IFERROR(VALUE(TRIM(LEFT(Sync!$AG1976,FIND("/",Sync!$AG1976)-1))),""))))</f>
        <v/>
      </c>
      <c r="H1976">
        <f>IF(OR($F1976="",$G1976=""),"",IF(ISNUMBER(Sync!$AG1976),INT(MOD(Sync!$AG1976,10000)/100),IFERROR(VALUE(TRIM(LEFT(MID(Sync!$AG1976,FIND("/",Sync!$AG1976)+1,20),FIND("/",MID(Sync!$AG1976,FIND("/",Sync!$AG1976)+1,20))-1))),"")))</f>
        <v/>
      </c>
      <c r="I1976">
        <f>IF(OR($F1976="",$G1976=""),"",IF(ISNUMBER(Sync!$AG1976),MOD(Sync!$AG1976,100),IFERROR(VALUE(TRIM(MID(MID(Sync!$AG1976,FIND("/",Sync!$AG1976)+1,20),FIND("/",MID(Sync!$AG1976,FIND("/",Sync!$AG1976)+1,20))+1,20))),"")))</f>
        <v/>
      </c>
      <c r="J1976">
        <f>IF($F1976="","",IF(OR($G1976="",$H1976="",$I1976="",$G1976&lt;1300,$G1976&gt;1500,$H1976&lt;1,$H1976&gt;12,$I1976&lt;1,$I1976&gt;31),"نامعتبر",RIGHT("0000"&amp;$G1976,4)&amp;"/"&amp;RIGHT("00"&amp;$H1976,2)&amp;"/"&amp;RIGHT("00"&amp;$I1976,2)))</f>
        <v/>
      </c>
      <c r="K1976">
        <f>IF(OR($F1976="",$J1976="",$J1976="نامعتبر"),"",LEFT($J1976,4)&amp;MID($J1976,6,2)&amp;RIGHT($J1976,2)&amp;$N1976&amp;"|"&amp;"2"&amp;RIGHT("00000"&amp;1971,5))</f>
        <v/>
      </c>
      <c r="L1976">
        <f>IF($K1976="","",COUNTIFS(LdgPartyA,$F1976,LdgKeyA,"&lt;"&amp;$K1976)+COUNTIFS(LdgPartyB,$F1976,LdgKeyB,"&lt;"&amp;$K1976)+1)</f>
        <v/>
      </c>
      <c r="M1976">
        <f>IF($L1976="","",$F1976&amp;"|"&amp;RIGHT("000000"&amp;$L1976,6))</f>
        <v/>
      </c>
      <c r="N1976">
        <f>IF($F1976="","",IF(Sync!$AH1976="","0000",IF(AND(ISNUMBER(Sync!$AH1976),Sync!$AH1976&gt;=0,Sync!$AH1976&lt;1),RIGHT("00"&amp;HOUR(Sync!$AH1976),2)&amp;RIGHT("00"&amp;MINUTE(Sync!$AH1976),2),IFERROR(RIGHT("00"&amp;VALUE(LEFT(Sync!$AH1976,FIND(":",Sync!$AH1976)-1)),2)&amp;RIGHT("00"&amp;VALUE(MID(Sync!$AH1976,FIND(":",Sync!$AH1976)+1,2)),2),"0000"))))</f>
        <v/>
      </c>
    </row>
    <row r="1977">
      <c r="A1977">
        <f>IF(OR(Calc!$E1980="",Calc!$E1980="نامعتبر",Calc!$G1980="",Calc!$I1980&lt;&gt;"خرید"),"",Calc!$G1980)</f>
        <v/>
      </c>
      <c r="B1977">
        <f>IF($A1977="","",LEFT(Calc!$E1980,4)&amp;MID(Calc!$E1980,6,2)&amp;RIGHT(Calc!$E1980,2)&amp;Calc!$R1980&amp;"|"&amp;"1"&amp;RIGHT("00000"&amp;1972,5))</f>
        <v/>
      </c>
      <c r="C1977">
        <f>IF($B1977="","",COUNTIFS(LdgPartyA,$A1977,LdgKeyA,"&lt;"&amp;$B1977)+COUNTIFS(LdgPartyB,$A1977,LdgKeyB,"&lt;"&amp;$B1977)+1)</f>
        <v/>
      </c>
      <c r="D1977">
        <f>IF($C1977="","",$A1977&amp;"|"&amp;RIGHT("000000"&amp;$C1977,6))</f>
        <v/>
      </c>
      <c r="F1977">
        <f>IF(Sync!$AJ1977="","",Sync!$AJ1977)</f>
        <v/>
      </c>
      <c r="G1977">
        <f>IF($F1977="","",IF(Sync!$AG1977="","",IF(ISNUMBER(Sync!$AG1977),IF(AND(Sync!$AG1977&gt;=10000101,Sync!$AG1977&lt;=99991231),INT(Sync!$AG1977/10000),""),IFERROR(VALUE(TRIM(LEFT(Sync!$AG1977,FIND("/",Sync!$AG1977)-1))),""))))</f>
        <v/>
      </c>
      <c r="H1977">
        <f>IF(OR($F1977="",$G1977=""),"",IF(ISNUMBER(Sync!$AG1977),INT(MOD(Sync!$AG1977,10000)/100),IFERROR(VALUE(TRIM(LEFT(MID(Sync!$AG1977,FIND("/",Sync!$AG1977)+1,20),FIND("/",MID(Sync!$AG1977,FIND("/",Sync!$AG1977)+1,20))-1))),"")))</f>
        <v/>
      </c>
      <c r="I1977">
        <f>IF(OR($F1977="",$G1977=""),"",IF(ISNUMBER(Sync!$AG1977),MOD(Sync!$AG1977,100),IFERROR(VALUE(TRIM(MID(MID(Sync!$AG1977,FIND("/",Sync!$AG1977)+1,20),FIND("/",MID(Sync!$AG1977,FIND("/",Sync!$AG1977)+1,20))+1,20))),"")))</f>
        <v/>
      </c>
      <c r="J1977">
        <f>IF($F1977="","",IF(OR($G1977="",$H1977="",$I1977="",$G1977&lt;1300,$G1977&gt;1500,$H1977&lt;1,$H1977&gt;12,$I1977&lt;1,$I1977&gt;31),"نامعتبر",RIGHT("0000"&amp;$G1977,4)&amp;"/"&amp;RIGHT("00"&amp;$H1977,2)&amp;"/"&amp;RIGHT("00"&amp;$I1977,2)))</f>
        <v/>
      </c>
      <c r="K1977">
        <f>IF(OR($F1977="",$J1977="",$J1977="نامعتبر"),"",LEFT($J1977,4)&amp;MID($J1977,6,2)&amp;RIGHT($J1977,2)&amp;$N1977&amp;"|"&amp;"2"&amp;RIGHT("00000"&amp;1972,5))</f>
        <v/>
      </c>
      <c r="L1977">
        <f>IF($K1977="","",COUNTIFS(LdgPartyA,$F1977,LdgKeyA,"&lt;"&amp;$K1977)+COUNTIFS(LdgPartyB,$F1977,LdgKeyB,"&lt;"&amp;$K1977)+1)</f>
        <v/>
      </c>
      <c r="M1977">
        <f>IF($L1977="","",$F1977&amp;"|"&amp;RIGHT("000000"&amp;$L1977,6))</f>
        <v/>
      </c>
      <c r="N1977">
        <f>IF($F1977="","",IF(Sync!$AH1977="","0000",IF(AND(ISNUMBER(Sync!$AH1977),Sync!$AH1977&gt;=0,Sync!$AH1977&lt;1),RIGHT("00"&amp;HOUR(Sync!$AH1977),2)&amp;RIGHT("00"&amp;MINUTE(Sync!$AH1977),2),IFERROR(RIGHT("00"&amp;VALUE(LEFT(Sync!$AH1977,FIND(":",Sync!$AH1977)-1)),2)&amp;RIGHT("00"&amp;VALUE(MID(Sync!$AH1977,FIND(":",Sync!$AH1977)+1,2)),2),"0000"))))</f>
        <v/>
      </c>
    </row>
    <row r="1978">
      <c r="A1978">
        <f>IF(OR(Calc!$E1981="",Calc!$E1981="نامعتبر",Calc!$G1981="",Calc!$I1981&lt;&gt;"خرید"),"",Calc!$G1981)</f>
        <v/>
      </c>
      <c r="B1978">
        <f>IF($A1978="","",LEFT(Calc!$E1981,4)&amp;MID(Calc!$E1981,6,2)&amp;RIGHT(Calc!$E1981,2)&amp;Calc!$R1981&amp;"|"&amp;"1"&amp;RIGHT("00000"&amp;1973,5))</f>
        <v/>
      </c>
      <c r="C1978">
        <f>IF($B1978="","",COUNTIFS(LdgPartyA,$A1978,LdgKeyA,"&lt;"&amp;$B1978)+COUNTIFS(LdgPartyB,$A1978,LdgKeyB,"&lt;"&amp;$B1978)+1)</f>
        <v/>
      </c>
      <c r="D1978">
        <f>IF($C1978="","",$A1978&amp;"|"&amp;RIGHT("000000"&amp;$C1978,6))</f>
        <v/>
      </c>
      <c r="F1978">
        <f>IF(Sync!$AJ1978="","",Sync!$AJ1978)</f>
        <v/>
      </c>
      <c r="G1978">
        <f>IF($F1978="","",IF(Sync!$AG1978="","",IF(ISNUMBER(Sync!$AG1978),IF(AND(Sync!$AG1978&gt;=10000101,Sync!$AG1978&lt;=99991231),INT(Sync!$AG1978/10000),""),IFERROR(VALUE(TRIM(LEFT(Sync!$AG1978,FIND("/",Sync!$AG1978)-1))),""))))</f>
        <v/>
      </c>
      <c r="H1978">
        <f>IF(OR($F1978="",$G1978=""),"",IF(ISNUMBER(Sync!$AG1978),INT(MOD(Sync!$AG1978,10000)/100),IFERROR(VALUE(TRIM(LEFT(MID(Sync!$AG1978,FIND("/",Sync!$AG1978)+1,20),FIND("/",MID(Sync!$AG1978,FIND("/",Sync!$AG1978)+1,20))-1))),"")))</f>
        <v/>
      </c>
      <c r="I1978">
        <f>IF(OR($F1978="",$G1978=""),"",IF(ISNUMBER(Sync!$AG1978),MOD(Sync!$AG1978,100),IFERROR(VALUE(TRIM(MID(MID(Sync!$AG1978,FIND("/",Sync!$AG1978)+1,20),FIND("/",MID(Sync!$AG1978,FIND("/",Sync!$AG1978)+1,20))+1,20))),"")))</f>
        <v/>
      </c>
      <c r="J1978">
        <f>IF($F1978="","",IF(OR($G1978="",$H1978="",$I1978="",$G1978&lt;1300,$G1978&gt;1500,$H1978&lt;1,$H1978&gt;12,$I1978&lt;1,$I1978&gt;31),"نامعتبر",RIGHT("0000"&amp;$G1978,4)&amp;"/"&amp;RIGHT("00"&amp;$H1978,2)&amp;"/"&amp;RIGHT("00"&amp;$I1978,2)))</f>
        <v/>
      </c>
      <c r="K1978">
        <f>IF(OR($F1978="",$J1978="",$J1978="نامعتبر"),"",LEFT($J1978,4)&amp;MID($J1978,6,2)&amp;RIGHT($J1978,2)&amp;$N1978&amp;"|"&amp;"2"&amp;RIGHT("00000"&amp;1973,5))</f>
        <v/>
      </c>
      <c r="L1978">
        <f>IF($K1978="","",COUNTIFS(LdgPartyA,$F1978,LdgKeyA,"&lt;"&amp;$K1978)+COUNTIFS(LdgPartyB,$F1978,LdgKeyB,"&lt;"&amp;$K1978)+1)</f>
        <v/>
      </c>
      <c r="M1978">
        <f>IF($L1978="","",$F1978&amp;"|"&amp;RIGHT("000000"&amp;$L1978,6))</f>
        <v/>
      </c>
      <c r="N1978">
        <f>IF($F1978="","",IF(Sync!$AH1978="","0000",IF(AND(ISNUMBER(Sync!$AH1978),Sync!$AH1978&gt;=0,Sync!$AH1978&lt;1),RIGHT("00"&amp;HOUR(Sync!$AH1978),2)&amp;RIGHT("00"&amp;MINUTE(Sync!$AH1978),2),IFERROR(RIGHT("00"&amp;VALUE(LEFT(Sync!$AH1978,FIND(":",Sync!$AH1978)-1)),2)&amp;RIGHT("00"&amp;VALUE(MID(Sync!$AH1978,FIND(":",Sync!$AH1978)+1,2)),2),"0000"))))</f>
        <v/>
      </c>
    </row>
    <row r="1979">
      <c r="A1979">
        <f>IF(OR(Calc!$E1982="",Calc!$E1982="نامعتبر",Calc!$G1982="",Calc!$I1982&lt;&gt;"خرید"),"",Calc!$G1982)</f>
        <v/>
      </c>
      <c r="B1979">
        <f>IF($A1979="","",LEFT(Calc!$E1982,4)&amp;MID(Calc!$E1982,6,2)&amp;RIGHT(Calc!$E1982,2)&amp;Calc!$R1982&amp;"|"&amp;"1"&amp;RIGHT("00000"&amp;1974,5))</f>
        <v/>
      </c>
      <c r="C1979">
        <f>IF($B1979="","",COUNTIFS(LdgPartyA,$A1979,LdgKeyA,"&lt;"&amp;$B1979)+COUNTIFS(LdgPartyB,$A1979,LdgKeyB,"&lt;"&amp;$B1979)+1)</f>
        <v/>
      </c>
      <c r="D1979">
        <f>IF($C1979="","",$A1979&amp;"|"&amp;RIGHT("000000"&amp;$C1979,6))</f>
        <v/>
      </c>
      <c r="F1979">
        <f>IF(Sync!$AJ1979="","",Sync!$AJ1979)</f>
        <v/>
      </c>
      <c r="G1979">
        <f>IF($F1979="","",IF(Sync!$AG1979="","",IF(ISNUMBER(Sync!$AG1979),IF(AND(Sync!$AG1979&gt;=10000101,Sync!$AG1979&lt;=99991231),INT(Sync!$AG1979/10000),""),IFERROR(VALUE(TRIM(LEFT(Sync!$AG1979,FIND("/",Sync!$AG1979)-1))),""))))</f>
        <v/>
      </c>
      <c r="H1979">
        <f>IF(OR($F1979="",$G1979=""),"",IF(ISNUMBER(Sync!$AG1979),INT(MOD(Sync!$AG1979,10000)/100),IFERROR(VALUE(TRIM(LEFT(MID(Sync!$AG1979,FIND("/",Sync!$AG1979)+1,20),FIND("/",MID(Sync!$AG1979,FIND("/",Sync!$AG1979)+1,20))-1))),"")))</f>
        <v/>
      </c>
      <c r="I1979">
        <f>IF(OR($F1979="",$G1979=""),"",IF(ISNUMBER(Sync!$AG1979),MOD(Sync!$AG1979,100),IFERROR(VALUE(TRIM(MID(MID(Sync!$AG1979,FIND("/",Sync!$AG1979)+1,20),FIND("/",MID(Sync!$AG1979,FIND("/",Sync!$AG1979)+1,20))+1,20))),"")))</f>
        <v/>
      </c>
      <c r="J1979">
        <f>IF($F1979="","",IF(OR($G1979="",$H1979="",$I1979="",$G1979&lt;1300,$G1979&gt;1500,$H1979&lt;1,$H1979&gt;12,$I1979&lt;1,$I1979&gt;31),"نامعتبر",RIGHT("0000"&amp;$G1979,4)&amp;"/"&amp;RIGHT("00"&amp;$H1979,2)&amp;"/"&amp;RIGHT("00"&amp;$I1979,2)))</f>
        <v/>
      </c>
      <c r="K1979">
        <f>IF(OR($F1979="",$J1979="",$J1979="نامعتبر"),"",LEFT($J1979,4)&amp;MID($J1979,6,2)&amp;RIGHT($J1979,2)&amp;$N1979&amp;"|"&amp;"2"&amp;RIGHT("00000"&amp;1974,5))</f>
        <v/>
      </c>
      <c r="L1979">
        <f>IF($K1979="","",COUNTIFS(LdgPartyA,$F1979,LdgKeyA,"&lt;"&amp;$K1979)+COUNTIFS(LdgPartyB,$F1979,LdgKeyB,"&lt;"&amp;$K1979)+1)</f>
        <v/>
      </c>
      <c r="M1979">
        <f>IF($L1979="","",$F1979&amp;"|"&amp;RIGHT("000000"&amp;$L1979,6))</f>
        <v/>
      </c>
      <c r="N1979">
        <f>IF($F1979="","",IF(Sync!$AH1979="","0000",IF(AND(ISNUMBER(Sync!$AH1979),Sync!$AH1979&gt;=0,Sync!$AH1979&lt;1),RIGHT("00"&amp;HOUR(Sync!$AH1979),2)&amp;RIGHT("00"&amp;MINUTE(Sync!$AH1979),2),IFERROR(RIGHT("00"&amp;VALUE(LEFT(Sync!$AH1979,FIND(":",Sync!$AH1979)-1)),2)&amp;RIGHT("00"&amp;VALUE(MID(Sync!$AH1979,FIND(":",Sync!$AH1979)+1,2)),2),"0000"))))</f>
        <v/>
      </c>
    </row>
    <row r="1980">
      <c r="A1980">
        <f>IF(OR(Calc!$E1983="",Calc!$E1983="نامعتبر",Calc!$G1983="",Calc!$I1983&lt;&gt;"خرید"),"",Calc!$G1983)</f>
        <v/>
      </c>
      <c r="B1980">
        <f>IF($A1980="","",LEFT(Calc!$E1983,4)&amp;MID(Calc!$E1983,6,2)&amp;RIGHT(Calc!$E1983,2)&amp;Calc!$R1983&amp;"|"&amp;"1"&amp;RIGHT("00000"&amp;1975,5))</f>
        <v/>
      </c>
      <c r="C1980">
        <f>IF($B1980="","",COUNTIFS(LdgPartyA,$A1980,LdgKeyA,"&lt;"&amp;$B1980)+COUNTIFS(LdgPartyB,$A1980,LdgKeyB,"&lt;"&amp;$B1980)+1)</f>
        <v/>
      </c>
      <c r="D1980">
        <f>IF($C1980="","",$A1980&amp;"|"&amp;RIGHT("000000"&amp;$C1980,6))</f>
        <v/>
      </c>
      <c r="F1980">
        <f>IF(Sync!$AJ1980="","",Sync!$AJ1980)</f>
        <v/>
      </c>
      <c r="G1980">
        <f>IF($F1980="","",IF(Sync!$AG1980="","",IF(ISNUMBER(Sync!$AG1980),IF(AND(Sync!$AG1980&gt;=10000101,Sync!$AG1980&lt;=99991231),INT(Sync!$AG1980/10000),""),IFERROR(VALUE(TRIM(LEFT(Sync!$AG1980,FIND("/",Sync!$AG1980)-1))),""))))</f>
        <v/>
      </c>
      <c r="H1980">
        <f>IF(OR($F1980="",$G1980=""),"",IF(ISNUMBER(Sync!$AG1980),INT(MOD(Sync!$AG1980,10000)/100),IFERROR(VALUE(TRIM(LEFT(MID(Sync!$AG1980,FIND("/",Sync!$AG1980)+1,20),FIND("/",MID(Sync!$AG1980,FIND("/",Sync!$AG1980)+1,20))-1))),"")))</f>
        <v/>
      </c>
      <c r="I1980">
        <f>IF(OR($F1980="",$G1980=""),"",IF(ISNUMBER(Sync!$AG1980),MOD(Sync!$AG1980,100),IFERROR(VALUE(TRIM(MID(MID(Sync!$AG1980,FIND("/",Sync!$AG1980)+1,20),FIND("/",MID(Sync!$AG1980,FIND("/",Sync!$AG1980)+1,20))+1,20))),"")))</f>
        <v/>
      </c>
      <c r="J1980">
        <f>IF($F1980="","",IF(OR($G1980="",$H1980="",$I1980="",$G1980&lt;1300,$G1980&gt;1500,$H1980&lt;1,$H1980&gt;12,$I1980&lt;1,$I1980&gt;31),"نامعتبر",RIGHT("0000"&amp;$G1980,4)&amp;"/"&amp;RIGHT("00"&amp;$H1980,2)&amp;"/"&amp;RIGHT("00"&amp;$I1980,2)))</f>
        <v/>
      </c>
      <c r="K1980">
        <f>IF(OR($F1980="",$J1980="",$J1980="نامعتبر"),"",LEFT($J1980,4)&amp;MID($J1980,6,2)&amp;RIGHT($J1980,2)&amp;$N1980&amp;"|"&amp;"2"&amp;RIGHT("00000"&amp;1975,5))</f>
        <v/>
      </c>
      <c r="L1980">
        <f>IF($K1980="","",COUNTIFS(LdgPartyA,$F1980,LdgKeyA,"&lt;"&amp;$K1980)+COUNTIFS(LdgPartyB,$F1980,LdgKeyB,"&lt;"&amp;$K1980)+1)</f>
        <v/>
      </c>
      <c r="M1980">
        <f>IF($L1980="","",$F1980&amp;"|"&amp;RIGHT("000000"&amp;$L1980,6))</f>
        <v/>
      </c>
      <c r="N1980">
        <f>IF($F1980="","",IF(Sync!$AH1980="","0000",IF(AND(ISNUMBER(Sync!$AH1980),Sync!$AH1980&gt;=0,Sync!$AH1980&lt;1),RIGHT("00"&amp;HOUR(Sync!$AH1980),2)&amp;RIGHT("00"&amp;MINUTE(Sync!$AH1980),2),IFERROR(RIGHT("00"&amp;VALUE(LEFT(Sync!$AH1980,FIND(":",Sync!$AH1980)-1)),2)&amp;RIGHT("00"&amp;VALUE(MID(Sync!$AH1980,FIND(":",Sync!$AH1980)+1,2)),2),"0000"))))</f>
        <v/>
      </c>
    </row>
    <row r="1981">
      <c r="A1981">
        <f>IF(OR(Calc!$E1984="",Calc!$E1984="نامعتبر",Calc!$G1984="",Calc!$I1984&lt;&gt;"خرید"),"",Calc!$G1984)</f>
        <v/>
      </c>
      <c r="B1981">
        <f>IF($A1981="","",LEFT(Calc!$E1984,4)&amp;MID(Calc!$E1984,6,2)&amp;RIGHT(Calc!$E1984,2)&amp;Calc!$R1984&amp;"|"&amp;"1"&amp;RIGHT("00000"&amp;1976,5))</f>
        <v/>
      </c>
      <c r="C1981">
        <f>IF($B1981="","",COUNTIFS(LdgPartyA,$A1981,LdgKeyA,"&lt;"&amp;$B1981)+COUNTIFS(LdgPartyB,$A1981,LdgKeyB,"&lt;"&amp;$B1981)+1)</f>
        <v/>
      </c>
      <c r="D1981">
        <f>IF($C1981="","",$A1981&amp;"|"&amp;RIGHT("000000"&amp;$C1981,6))</f>
        <v/>
      </c>
      <c r="F1981">
        <f>IF(Sync!$AJ1981="","",Sync!$AJ1981)</f>
        <v/>
      </c>
      <c r="G1981">
        <f>IF($F1981="","",IF(Sync!$AG1981="","",IF(ISNUMBER(Sync!$AG1981),IF(AND(Sync!$AG1981&gt;=10000101,Sync!$AG1981&lt;=99991231),INT(Sync!$AG1981/10000),""),IFERROR(VALUE(TRIM(LEFT(Sync!$AG1981,FIND("/",Sync!$AG1981)-1))),""))))</f>
        <v/>
      </c>
      <c r="H1981">
        <f>IF(OR($F1981="",$G1981=""),"",IF(ISNUMBER(Sync!$AG1981),INT(MOD(Sync!$AG1981,10000)/100),IFERROR(VALUE(TRIM(LEFT(MID(Sync!$AG1981,FIND("/",Sync!$AG1981)+1,20),FIND("/",MID(Sync!$AG1981,FIND("/",Sync!$AG1981)+1,20))-1))),"")))</f>
        <v/>
      </c>
      <c r="I1981">
        <f>IF(OR($F1981="",$G1981=""),"",IF(ISNUMBER(Sync!$AG1981),MOD(Sync!$AG1981,100),IFERROR(VALUE(TRIM(MID(MID(Sync!$AG1981,FIND("/",Sync!$AG1981)+1,20),FIND("/",MID(Sync!$AG1981,FIND("/",Sync!$AG1981)+1,20))+1,20))),"")))</f>
        <v/>
      </c>
      <c r="J1981">
        <f>IF($F1981="","",IF(OR($G1981="",$H1981="",$I1981="",$G1981&lt;1300,$G1981&gt;1500,$H1981&lt;1,$H1981&gt;12,$I1981&lt;1,$I1981&gt;31),"نامعتبر",RIGHT("0000"&amp;$G1981,4)&amp;"/"&amp;RIGHT("00"&amp;$H1981,2)&amp;"/"&amp;RIGHT("00"&amp;$I1981,2)))</f>
        <v/>
      </c>
      <c r="K1981">
        <f>IF(OR($F1981="",$J1981="",$J1981="نامعتبر"),"",LEFT($J1981,4)&amp;MID($J1981,6,2)&amp;RIGHT($J1981,2)&amp;$N1981&amp;"|"&amp;"2"&amp;RIGHT("00000"&amp;1976,5))</f>
        <v/>
      </c>
      <c r="L1981">
        <f>IF($K1981="","",COUNTIFS(LdgPartyA,$F1981,LdgKeyA,"&lt;"&amp;$K1981)+COUNTIFS(LdgPartyB,$F1981,LdgKeyB,"&lt;"&amp;$K1981)+1)</f>
        <v/>
      </c>
      <c r="M1981">
        <f>IF($L1981="","",$F1981&amp;"|"&amp;RIGHT("000000"&amp;$L1981,6))</f>
        <v/>
      </c>
      <c r="N1981">
        <f>IF($F1981="","",IF(Sync!$AH1981="","0000",IF(AND(ISNUMBER(Sync!$AH1981),Sync!$AH1981&gt;=0,Sync!$AH1981&lt;1),RIGHT("00"&amp;HOUR(Sync!$AH1981),2)&amp;RIGHT("00"&amp;MINUTE(Sync!$AH1981),2),IFERROR(RIGHT("00"&amp;VALUE(LEFT(Sync!$AH1981,FIND(":",Sync!$AH1981)-1)),2)&amp;RIGHT("00"&amp;VALUE(MID(Sync!$AH1981,FIND(":",Sync!$AH1981)+1,2)),2),"0000"))))</f>
        <v/>
      </c>
    </row>
    <row r="1982">
      <c r="A1982">
        <f>IF(OR(Calc!$E1985="",Calc!$E1985="نامعتبر",Calc!$G1985="",Calc!$I1985&lt;&gt;"خرید"),"",Calc!$G1985)</f>
        <v/>
      </c>
      <c r="B1982">
        <f>IF($A1982="","",LEFT(Calc!$E1985,4)&amp;MID(Calc!$E1985,6,2)&amp;RIGHT(Calc!$E1985,2)&amp;Calc!$R1985&amp;"|"&amp;"1"&amp;RIGHT("00000"&amp;1977,5))</f>
        <v/>
      </c>
      <c r="C1982">
        <f>IF($B1982="","",COUNTIFS(LdgPartyA,$A1982,LdgKeyA,"&lt;"&amp;$B1982)+COUNTIFS(LdgPartyB,$A1982,LdgKeyB,"&lt;"&amp;$B1982)+1)</f>
        <v/>
      </c>
      <c r="D1982">
        <f>IF($C1982="","",$A1982&amp;"|"&amp;RIGHT("000000"&amp;$C1982,6))</f>
        <v/>
      </c>
      <c r="F1982">
        <f>IF(Sync!$AJ1982="","",Sync!$AJ1982)</f>
        <v/>
      </c>
      <c r="G1982">
        <f>IF($F1982="","",IF(Sync!$AG1982="","",IF(ISNUMBER(Sync!$AG1982),IF(AND(Sync!$AG1982&gt;=10000101,Sync!$AG1982&lt;=99991231),INT(Sync!$AG1982/10000),""),IFERROR(VALUE(TRIM(LEFT(Sync!$AG1982,FIND("/",Sync!$AG1982)-1))),""))))</f>
        <v/>
      </c>
      <c r="H1982">
        <f>IF(OR($F1982="",$G1982=""),"",IF(ISNUMBER(Sync!$AG1982),INT(MOD(Sync!$AG1982,10000)/100),IFERROR(VALUE(TRIM(LEFT(MID(Sync!$AG1982,FIND("/",Sync!$AG1982)+1,20),FIND("/",MID(Sync!$AG1982,FIND("/",Sync!$AG1982)+1,20))-1))),"")))</f>
        <v/>
      </c>
      <c r="I1982">
        <f>IF(OR($F1982="",$G1982=""),"",IF(ISNUMBER(Sync!$AG1982),MOD(Sync!$AG1982,100),IFERROR(VALUE(TRIM(MID(MID(Sync!$AG1982,FIND("/",Sync!$AG1982)+1,20),FIND("/",MID(Sync!$AG1982,FIND("/",Sync!$AG1982)+1,20))+1,20))),"")))</f>
        <v/>
      </c>
      <c r="J1982">
        <f>IF($F1982="","",IF(OR($G1982="",$H1982="",$I1982="",$G1982&lt;1300,$G1982&gt;1500,$H1982&lt;1,$H1982&gt;12,$I1982&lt;1,$I1982&gt;31),"نامعتبر",RIGHT("0000"&amp;$G1982,4)&amp;"/"&amp;RIGHT("00"&amp;$H1982,2)&amp;"/"&amp;RIGHT("00"&amp;$I1982,2)))</f>
        <v/>
      </c>
      <c r="K1982">
        <f>IF(OR($F1982="",$J1982="",$J1982="نامعتبر"),"",LEFT($J1982,4)&amp;MID($J1982,6,2)&amp;RIGHT($J1982,2)&amp;$N1982&amp;"|"&amp;"2"&amp;RIGHT("00000"&amp;1977,5))</f>
        <v/>
      </c>
      <c r="L1982">
        <f>IF($K1982="","",COUNTIFS(LdgPartyA,$F1982,LdgKeyA,"&lt;"&amp;$K1982)+COUNTIFS(LdgPartyB,$F1982,LdgKeyB,"&lt;"&amp;$K1982)+1)</f>
        <v/>
      </c>
      <c r="M1982">
        <f>IF($L1982="","",$F1982&amp;"|"&amp;RIGHT("000000"&amp;$L1982,6))</f>
        <v/>
      </c>
      <c r="N1982">
        <f>IF($F1982="","",IF(Sync!$AH1982="","0000",IF(AND(ISNUMBER(Sync!$AH1982),Sync!$AH1982&gt;=0,Sync!$AH1982&lt;1),RIGHT("00"&amp;HOUR(Sync!$AH1982),2)&amp;RIGHT("00"&amp;MINUTE(Sync!$AH1982),2),IFERROR(RIGHT("00"&amp;VALUE(LEFT(Sync!$AH1982,FIND(":",Sync!$AH1982)-1)),2)&amp;RIGHT("00"&amp;VALUE(MID(Sync!$AH1982,FIND(":",Sync!$AH1982)+1,2)),2),"0000"))))</f>
        <v/>
      </c>
    </row>
    <row r="1983">
      <c r="A1983">
        <f>IF(OR(Calc!$E1986="",Calc!$E1986="نامعتبر",Calc!$G1986="",Calc!$I1986&lt;&gt;"خرید"),"",Calc!$G1986)</f>
        <v/>
      </c>
      <c r="B1983">
        <f>IF($A1983="","",LEFT(Calc!$E1986,4)&amp;MID(Calc!$E1986,6,2)&amp;RIGHT(Calc!$E1986,2)&amp;Calc!$R1986&amp;"|"&amp;"1"&amp;RIGHT("00000"&amp;1978,5))</f>
        <v/>
      </c>
      <c r="C1983">
        <f>IF($B1983="","",COUNTIFS(LdgPartyA,$A1983,LdgKeyA,"&lt;"&amp;$B1983)+COUNTIFS(LdgPartyB,$A1983,LdgKeyB,"&lt;"&amp;$B1983)+1)</f>
        <v/>
      </c>
      <c r="D1983">
        <f>IF($C1983="","",$A1983&amp;"|"&amp;RIGHT("000000"&amp;$C1983,6))</f>
        <v/>
      </c>
      <c r="F1983">
        <f>IF(Sync!$AJ1983="","",Sync!$AJ1983)</f>
        <v/>
      </c>
      <c r="G1983">
        <f>IF($F1983="","",IF(Sync!$AG1983="","",IF(ISNUMBER(Sync!$AG1983),IF(AND(Sync!$AG1983&gt;=10000101,Sync!$AG1983&lt;=99991231),INT(Sync!$AG1983/10000),""),IFERROR(VALUE(TRIM(LEFT(Sync!$AG1983,FIND("/",Sync!$AG1983)-1))),""))))</f>
        <v/>
      </c>
      <c r="H1983">
        <f>IF(OR($F1983="",$G1983=""),"",IF(ISNUMBER(Sync!$AG1983),INT(MOD(Sync!$AG1983,10000)/100),IFERROR(VALUE(TRIM(LEFT(MID(Sync!$AG1983,FIND("/",Sync!$AG1983)+1,20),FIND("/",MID(Sync!$AG1983,FIND("/",Sync!$AG1983)+1,20))-1))),"")))</f>
        <v/>
      </c>
      <c r="I1983">
        <f>IF(OR($F1983="",$G1983=""),"",IF(ISNUMBER(Sync!$AG1983),MOD(Sync!$AG1983,100),IFERROR(VALUE(TRIM(MID(MID(Sync!$AG1983,FIND("/",Sync!$AG1983)+1,20),FIND("/",MID(Sync!$AG1983,FIND("/",Sync!$AG1983)+1,20))+1,20))),"")))</f>
        <v/>
      </c>
      <c r="J1983">
        <f>IF($F1983="","",IF(OR($G1983="",$H1983="",$I1983="",$G1983&lt;1300,$G1983&gt;1500,$H1983&lt;1,$H1983&gt;12,$I1983&lt;1,$I1983&gt;31),"نامعتبر",RIGHT("0000"&amp;$G1983,4)&amp;"/"&amp;RIGHT("00"&amp;$H1983,2)&amp;"/"&amp;RIGHT("00"&amp;$I1983,2)))</f>
        <v/>
      </c>
      <c r="K1983">
        <f>IF(OR($F1983="",$J1983="",$J1983="نامعتبر"),"",LEFT($J1983,4)&amp;MID($J1983,6,2)&amp;RIGHT($J1983,2)&amp;$N1983&amp;"|"&amp;"2"&amp;RIGHT("00000"&amp;1978,5))</f>
        <v/>
      </c>
      <c r="L1983">
        <f>IF($K1983="","",COUNTIFS(LdgPartyA,$F1983,LdgKeyA,"&lt;"&amp;$K1983)+COUNTIFS(LdgPartyB,$F1983,LdgKeyB,"&lt;"&amp;$K1983)+1)</f>
        <v/>
      </c>
      <c r="M1983">
        <f>IF($L1983="","",$F1983&amp;"|"&amp;RIGHT("000000"&amp;$L1983,6))</f>
        <v/>
      </c>
      <c r="N1983">
        <f>IF($F1983="","",IF(Sync!$AH1983="","0000",IF(AND(ISNUMBER(Sync!$AH1983),Sync!$AH1983&gt;=0,Sync!$AH1983&lt;1),RIGHT("00"&amp;HOUR(Sync!$AH1983),2)&amp;RIGHT("00"&amp;MINUTE(Sync!$AH1983),2),IFERROR(RIGHT("00"&amp;VALUE(LEFT(Sync!$AH1983,FIND(":",Sync!$AH1983)-1)),2)&amp;RIGHT("00"&amp;VALUE(MID(Sync!$AH1983,FIND(":",Sync!$AH1983)+1,2)),2),"0000"))))</f>
        <v/>
      </c>
    </row>
    <row r="1984">
      <c r="A1984">
        <f>IF(OR(Calc!$E1987="",Calc!$E1987="نامعتبر",Calc!$G1987="",Calc!$I1987&lt;&gt;"خرید"),"",Calc!$G1987)</f>
        <v/>
      </c>
      <c r="B1984">
        <f>IF($A1984="","",LEFT(Calc!$E1987,4)&amp;MID(Calc!$E1987,6,2)&amp;RIGHT(Calc!$E1987,2)&amp;Calc!$R1987&amp;"|"&amp;"1"&amp;RIGHT("00000"&amp;1979,5))</f>
        <v/>
      </c>
      <c r="C1984">
        <f>IF($B1984="","",COUNTIFS(LdgPartyA,$A1984,LdgKeyA,"&lt;"&amp;$B1984)+COUNTIFS(LdgPartyB,$A1984,LdgKeyB,"&lt;"&amp;$B1984)+1)</f>
        <v/>
      </c>
      <c r="D1984">
        <f>IF($C1984="","",$A1984&amp;"|"&amp;RIGHT("000000"&amp;$C1984,6))</f>
        <v/>
      </c>
      <c r="F1984">
        <f>IF(Sync!$AJ1984="","",Sync!$AJ1984)</f>
        <v/>
      </c>
      <c r="G1984">
        <f>IF($F1984="","",IF(Sync!$AG1984="","",IF(ISNUMBER(Sync!$AG1984),IF(AND(Sync!$AG1984&gt;=10000101,Sync!$AG1984&lt;=99991231),INT(Sync!$AG1984/10000),""),IFERROR(VALUE(TRIM(LEFT(Sync!$AG1984,FIND("/",Sync!$AG1984)-1))),""))))</f>
        <v/>
      </c>
      <c r="H1984">
        <f>IF(OR($F1984="",$G1984=""),"",IF(ISNUMBER(Sync!$AG1984),INT(MOD(Sync!$AG1984,10000)/100),IFERROR(VALUE(TRIM(LEFT(MID(Sync!$AG1984,FIND("/",Sync!$AG1984)+1,20),FIND("/",MID(Sync!$AG1984,FIND("/",Sync!$AG1984)+1,20))-1))),"")))</f>
        <v/>
      </c>
      <c r="I1984">
        <f>IF(OR($F1984="",$G1984=""),"",IF(ISNUMBER(Sync!$AG1984),MOD(Sync!$AG1984,100),IFERROR(VALUE(TRIM(MID(MID(Sync!$AG1984,FIND("/",Sync!$AG1984)+1,20),FIND("/",MID(Sync!$AG1984,FIND("/",Sync!$AG1984)+1,20))+1,20))),"")))</f>
        <v/>
      </c>
      <c r="J1984">
        <f>IF($F1984="","",IF(OR($G1984="",$H1984="",$I1984="",$G1984&lt;1300,$G1984&gt;1500,$H1984&lt;1,$H1984&gt;12,$I1984&lt;1,$I1984&gt;31),"نامعتبر",RIGHT("0000"&amp;$G1984,4)&amp;"/"&amp;RIGHT("00"&amp;$H1984,2)&amp;"/"&amp;RIGHT("00"&amp;$I1984,2)))</f>
        <v/>
      </c>
      <c r="K1984">
        <f>IF(OR($F1984="",$J1984="",$J1984="نامعتبر"),"",LEFT($J1984,4)&amp;MID($J1984,6,2)&amp;RIGHT($J1984,2)&amp;$N1984&amp;"|"&amp;"2"&amp;RIGHT("00000"&amp;1979,5))</f>
        <v/>
      </c>
      <c r="L1984">
        <f>IF($K1984="","",COUNTIFS(LdgPartyA,$F1984,LdgKeyA,"&lt;"&amp;$K1984)+COUNTIFS(LdgPartyB,$F1984,LdgKeyB,"&lt;"&amp;$K1984)+1)</f>
        <v/>
      </c>
      <c r="M1984">
        <f>IF($L1984="","",$F1984&amp;"|"&amp;RIGHT("000000"&amp;$L1984,6))</f>
        <v/>
      </c>
      <c r="N1984">
        <f>IF($F1984="","",IF(Sync!$AH1984="","0000",IF(AND(ISNUMBER(Sync!$AH1984),Sync!$AH1984&gt;=0,Sync!$AH1984&lt;1),RIGHT("00"&amp;HOUR(Sync!$AH1984),2)&amp;RIGHT("00"&amp;MINUTE(Sync!$AH1984),2),IFERROR(RIGHT("00"&amp;VALUE(LEFT(Sync!$AH1984,FIND(":",Sync!$AH1984)-1)),2)&amp;RIGHT("00"&amp;VALUE(MID(Sync!$AH1984,FIND(":",Sync!$AH1984)+1,2)),2),"0000"))))</f>
        <v/>
      </c>
    </row>
    <row r="1985">
      <c r="A1985">
        <f>IF(OR(Calc!$E1988="",Calc!$E1988="نامعتبر",Calc!$G1988="",Calc!$I1988&lt;&gt;"خرید"),"",Calc!$G1988)</f>
        <v/>
      </c>
      <c r="B1985">
        <f>IF($A1985="","",LEFT(Calc!$E1988,4)&amp;MID(Calc!$E1988,6,2)&amp;RIGHT(Calc!$E1988,2)&amp;Calc!$R1988&amp;"|"&amp;"1"&amp;RIGHT("00000"&amp;1980,5))</f>
        <v/>
      </c>
      <c r="C1985">
        <f>IF($B1985="","",COUNTIFS(LdgPartyA,$A1985,LdgKeyA,"&lt;"&amp;$B1985)+COUNTIFS(LdgPartyB,$A1985,LdgKeyB,"&lt;"&amp;$B1985)+1)</f>
        <v/>
      </c>
      <c r="D1985">
        <f>IF($C1985="","",$A1985&amp;"|"&amp;RIGHT("000000"&amp;$C1985,6))</f>
        <v/>
      </c>
      <c r="F1985">
        <f>IF(Sync!$AJ1985="","",Sync!$AJ1985)</f>
        <v/>
      </c>
      <c r="G1985">
        <f>IF($F1985="","",IF(Sync!$AG1985="","",IF(ISNUMBER(Sync!$AG1985),IF(AND(Sync!$AG1985&gt;=10000101,Sync!$AG1985&lt;=99991231),INT(Sync!$AG1985/10000),""),IFERROR(VALUE(TRIM(LEFT(Sync!$AG1985,FIND("/",Sync!$AG1985)-1))),""))))</f>
        <v/>
      </c>
      <c r="H1985">
        <f>IF(OR($F1985="",$G1985=""),"",IF(ISNUMBER(Sync!$AG1985),INT(MOD(Sync!$AG1985,10000)/100),IFERROR(VALUE(TRIM(LEFT(MID(Sync!$AG1985,FIND("/",Sync!$AG1985)+1,20),FIND("/",MID(Sync!$AG1985,FIND("/",Sync!$AG1985)+1,20))-1))),"")))</f>
        <v/>
      </c>
      <c r="I1985">
        <f>IF(OR($F1985="",$G1985=""),"",IF(ISNUMBER(Sync!$AG1985),MOD(Sync!$AG1985,100),IFERROR(VALUE(TRIM(MID(MID(Sync!$AG1985,FIND("/",Sync!$AG1985)+1,20),FIND("/",MID(Sync!$AG1985,FIND("/",Sync!$AG1985)+1,20))+1,20))),"")))</f>
        <v/>
      </c>
      <c r="J1985">
        <f>IF($F1985="","",IF(OR($G1985="",$H1985="",$I1985="",$G1985&lt;1300,$G1985&gt;1500,$H1985&lt;1,$H1985&gt;12,$I1985&lt;1,$I1985&gt;31),"نامعتبر",RIGHT("0000"&amp;$G1985,4)&amp;"/"&amp;RIGHT("00"&amp;$H1985,2)&amp;"/"&amp;RIGHT("00"&amp;$I1985,2)))</f>
        <v/>
      </c>
      <c r="K1985">
        <f>IF(OR($F1985="",$J1985="",$J1985="نامعتبر"),"",LEFT($J1985,4)&amp;MID($J1985,6,2)&amp;RIGHT($J1985,2)&amp;$N1985&amp;"|"&amp;"2"&amp;RIGHT("00000"&amp;1980,5))</f>
        <v/>
      </c>
      <c r="L1985">
        <f>IF($K1985="","",COUNTIFS(LdgPartyA,$F1985,LdgKeyA,"&lt;"&amp;$K1985)+COUNTIFS(LdgPartyB,$F1985,LdgKeyB,"&lt;"&amp;$K1985)+1)</f>
        <v/>
      </c>
      <c r="M1985">
        <f>IF($L1985="","",$F1985&amp;"|"&amp;RIGHT("000000"&amp;$L1985,6))</f>
        <v/>
      </c>
      <c r="N1985">
        <f>IF($F1985="","",IF(Sync!$AH1985="","0000",IF(AND(ISNUMBER(Sync!$AH1985),Sync!$AH1985&gt;=0,Sync!$AH1985&lt;1),RIGHT("00"&amp;HOUR(Sync!$AH1985),2)&amp;RIGHT("00"&amp;MINUTE(Sync!$AH1985),2),IFERROR(RIGHT("00"&amp;VALUE(LEFT(Sync!$AH1985,FIND(":",Sync!$AH1985)-1)),2)&amp;RIGHT("00"&amp;VALUE(MID(Sync!$AH1985,FIND(":",Sync!$AH1985)+1,2)),2),"0000"))))</f>
        <v/>
      </c>
    </row>
    <row r="1986">
      <c r="A1986">
        <f>IF(OR(Calc!$E1989="",Calc!$E1989="نامعتبر",Calc!$G1989="",Calc!$I1989&lt;&gt;"خرید"),"",Calc!$G1989)</f>
        <v/>
      </c>
      <c r="B1986">
        <f>IF($A1986="","",LEFT(Calc!$E1989,4)&amp;MID(Calc!$E1989,6,2)&amp;RIGHT(Calc!$E1989,2)&amp;Calc!$R1989&amp;"|"&amp;"1"&amp;RIGHT("00000"&amp;1981,5))</f>
        <v/>
      </c>
      <c r="C1986">
        <f>IF($B1986="","",COUNTIFS(LdgPartyA,$A1986,LdgKeyA,"&lt;"&amp;$B1986)+COUNTIFS(LdgPartyB,$A1986,LdgKeyB,"&lt;"&amp;$B1986)+1)</f>
        <v/>
      </c>
      <c r="D1986">
        <f>IF($C1986="","",$A1986&amp;"|"&amp;RIGHT("000000"&amp;$C1986,6))</f>
        <v/>
      </c>
      <c r="F1986">
        <f>IF(Sync!$AJ1986="","",Sync!$AJ1986)</f>
        <v/>
      </c>
      <c r="G1986">
        <f>IF($F1986="","",IF(Sync!$AG1986="","",IF(ISNUMBER(Sync!$AG1986),IF(AND(Sync!$AG1986&gt;=10000101,Sync!$AG1986&lt;=99991231),INT(Sync!$AG1986/10000),""),IFERROR(VALUE(TRIM(LEFT(Sync!$AG1986,FIND("/",Sync!$AG1986)-1))),""))))</f>
        <v/>
      </c>
      <c r="H1986">
        <f>IF(OR($F1986="",$G1986=""),"",IF(ISNUMBER(Sync!$AG1986),INT(MOD(Sync!$AG1986,10000)/100),IFERROR(VALUE(TRIM(LEFT(MID(Sync!$AG1986,FIND("/",Sync!$AG1986)+1,20),FIND("/",MID(Sync!$AG1986,FIND("/",Sync!$AG1986)+1,20))-1))),"")))</f>
        <v/>
      </c>
      <c r="I1986">
        <f>IF(OR($F1986="",$G1986=""),"",IF(ISNUMBER(Sync!$AG1986),MOD(Sync!$AG1986,100),IFERROR(VALUE(TRIM(MID(MID(Sync!$AG1986,FIND("/",Sync!$AG1986)+1,20),FIND("/",MID(Sync!$AG1986,FIND("/",Sync!$AG1986)+1,20))+1,20))),"")))</f>
        <v/>
      </c>
      <c r="J1986">
        <f>IF($F1986="","",IF(OR($G1986="",$H1986="",$I1986="",$G1986&lt;1300,$G1986&gt;1500,$H1986&lt;1,$H1986&gt;12,$I1986&lt;1,$I1986&gt;31),"نامعتبر",RIGHT("0000"&amp;$G1986,4)&amp;"/"&amp;RIGHT("00"&amp;$H1986,2)&amp;"/"&amp;RIGHT("00"&amp;$I1986,2)))</f>
        <v/>
      </c>
      <c r="K1986">
        <f>IF(OR($F1986="",$J1986="",$J1986="نامعتبر"),"",LEFT($J1986,4)&amp;MID($J1986,6,2)&amp;RIGHT($J1986,2)&amp;$N1986&amp;"|"&amp;"2"&amp;RIGHT("00000"&amp;1981,5))</f>
        <v/>
      </c>
      <c r="L1986">
        <f>IF($K1986="","",COUNTIFS(LdgPartyA,$F1986,LdgKeyA,"&lt;"&amp;$K1986)+COUNTIFS(LdgPartyB,$F1986,LdgKeyB,"&lt;"&amp;$K1986)+1)</f>
        <v/>
      </c>
      <c r="M1986">
        <f>IF($L1986="","",$F1986&amp;"|"&amp;RIGHT("000000"&amp;$L1986,6))</f>
        <v/>
      </c>
      <c r="N1986">
        <f>IF($F1986="","",IF(Sync!$AH1986="","0000",IF(AND(ISNUMBER(Sync!$AH1986),Sync!$AH1986&gt;=0,Sync!$AH1986&lt;1),RIGHT("00"&amp;HOUR(Sync!$AH1986),2)&amp;RIGHT("00"&amp;MINUTE(Sync!$AH1986),2),IFERROR(RIGHT("00"&amp;VALUE(LEFT(Sync!$AH1986,FIND(":",Sync!$AH1986)-1)),2)&amp;RIGHT("00"&amp;VALUE(MID(Sync!$AH1986,FIND(":",Sync!$AH1986)+1,2)),2),"0000"))))</f>
        <v/>
      </c>
    </row>
    <row r="1987">
      <c r="A1987">
        <f>IF(OR(Calc!$E1990="",Calc!$E1990="نامعتبر",Calc!$G1990="",Calc!$I1990&lt;&gt;"خرید"),"",Calc!$G1990)</f>
        <v/>
      </c>
      <c r="B1987">
        <f>IF($A1987="","",LEFT(Calc!$E1990,4)&amp;MID(Calc!$E1990,6,2)&amp;RIGHT(Calc!$E1990,2)&amp;Calc!$R1990&amp;"|"&amp;"1"&amp;RIGHT("00000"&amp;1982,5))</f>
        <v/>
      </c>
      <c r="C1987">
        <f>IF($B1987="","",COUNTIFS(LdgPartyA,$A1987,LdgKeyA,"&lt;"&amp;$B1987)+COUNTIFS(LdgPartyB,$A1987,LdgKeyB,"&lt;"&amp;$B1987)+1)</f>
        <v/>
      </c>
      <c r="D1987">
        <f>IF($C1987="","",$A1987&amp;"|"&amp;RIGHT("000000"&amp;$C1987,6))</f>
        <v/>
      </c>
      <c r="F1987">
        <f>IF(Sync!$AJ1987="","",Sync!$AJ1987)</f>
        <v/>
      </c>
      <c r="G1987">
        <f>IF($F1987="","",IF(Sync!$AG1987="","",IF(ISNUMBER(Sync!$AG1987),IF(AND(Sync!$AG1987&gt;=10000101,Sync!$AG1987&lt;=99991231),INT(Sync!$AG1987/10000),""),IFERROR(VALUE(TRIM(LEFT(Sync!$AG1987,FIND("/",Sync!$AG1987)-1))),""))))</f>
        <v/>
      </c>
      <c r="H1987">
        <f>IF(OR($F1987="",$G1987=""),"",IF(ISNUMBER(Sync!$AG1987),INT(MOD(Sync!$AG1987,10000)/100),IFERROR(VALUE(TRIM(LEFT(MID(Sync!$AG1987,FIND("/",Sync!$AG1987)+1,20),FIND("/",MID(Sync!$AG1987,FIND("/",Sync!$AG1987)+1,20))-1))),"")))</f>
        <v/>
      </c>
      <c r="I1987">
        <f>IF(OR($F1987="",$G1987=""),"",IF(ISNUMBER(Sync!$AG1987),MOD(Sync!$AG1987,100),IFERROR(VALUE(TRIM(MID(MID(Sync!$AG1987,FIND("/",Sync!$AG1987)+1,20),FIND("/",MID(Sync!$AG1987,FIND("/",Sync!$AG1987)+1,20))+1,20))),"")))</f>
        <v/>
      </c>
      <c r="J1987">
        <f>IF($F1987="","",IF(OR($G1987="",$H1987="",$I1987="",$G1987&lt;1300,$G1987&gt;1500,$H1987&lt;1,$H1987&gt;12,$I1987&lt;1,$I1987&gt;31),"نامعتبر",RIGHT("0000"&amp;$G1987,4)&amp;"/"&amp;RIGHT("00"&amp;$H1987,2)&amp;"/"&amp;RIGHT("00"&amp;$I1987,2)))</f>
        <v/>
      </c>
      <c r="K1987">
        <f>IF(OR($F1987="",$J1987="",$J1987="نامعتبر"),"",LEFT($J1987,4)&amp;MID($J1987,6,2)&amp;RIGHT($J1987,2)&amp;$N1987&amp;"|"&amp;"2"&amp;RIGHT("00000"&amp;1982,5))</f>
        <v/>
      </c>
      <c r="L1987">
        <f>IF($K1987="","",COUNTIFS(LdgPartyA,$F1987,LdgKeyA,"&lt;"&amp;$K1987)+COUNTIFS(LdgPartyB,$F1987,LdgKeyB,"&lt;"&amp;$K1987)+1)</f>
        <v/>
      </c>
      <c r="M1987">
        <f>IF($L1987="","",$F1987&amp;"|"&amp;RIGHT("000000"&amp;$L1987,6))</f>
        <v/>
      </c>
      <c r="N1987">
        <f>IF($F1987="","",IF(Sync!$AH1987="","0000",IF(AND(ISNUMBER(Sync!$AH1987),Sync!$AH1987&gt;=0,Sync!$AH1987&lt;1),RIGHT("00"&amp;HOUR(Sync!$AH1987),2)&amp;RIGHT("00"&amp;MINUTE(Sync!$AH1987),2),IFERROR(RIGHT("00"&amp;VALUE(LEFT(Sync!$AH1987,FIND(":",Sync!$AH1987)-1)),2)&amp;RIGHT("00"&amp;VALUE(MID(Sync!$AH1987,FIND(":",Sync!$AH1987)+1,2)),2),"0000"))))</f>
        <v/>
      </c>
    </row>
    <row r="1988">
      <c r="A1988">
        <f>IF(OR(Calc!$E1991="",Calc!$E1991="نامعتبر",Calc!$G1991="",Calc!$I1991&lt;&gt;"خرید"),"",Calc!$G1991)</f>
        <v/>
      </c>
      <c r="B1988">
        <f>IF($A1988="","",LEFT(Calc!$E1991,4)&amp;MID(Calc!$E1991,6,2)&amp;RIGHT(Calc!$E1991,2)&amp;Calc!$R1991&amp;"|"&amp;"1"&amp;RIGHT("00000"&amp;1983,5))</f>
        <v/>
      </c>
      <c r="C1988">
        <f>IF($B1988="","",COUNTIFS(LdgPartyA,$A1988,LdgKeyA,"&lt;"&amp;$B1988)+COUNTIFS(LdgPartyB,$A1988,LdgKeyB,"&lt;"&amp;$B1988)+1)</f>
        <v/>
      </c>
      <c r="D1988">
        <f>IF($C1988="","",$A1988&amp;"|"&amp;RIGHT("000000"&amp;$C1988,6))</f>
        <v/>
      </c>
      <c r="F1988">
        <f>IF(Sync!$AJ1988="","",Sync!$AJ1988)</f>
        <v/>
      </c>
      <c r="G1988">
        <f>IF($F1988="","",IF(Sync!$AG1988="","",IF(ISNUMBER(Sync!$AG1988),IF(AND(Sync!$AG1988&gt;=10000101,Sync!$AG1988&lt;=99991231),INT(Sync!$AG1988/10000),""),IFERROR(VALUE(TRIM(LEFT(Sync!$AG1988,FIND("/",Sync!$AG1988)-1))),""))))</f>
        <v/>
      </c>
      <c r="H1988">
        <f>IF(OR($F1988="",$G1988=""),"",IF(ISNUMBER(Sync!$AG1988),INT(MOD(Sync!$AG1988,10000)/100),IFERROR(VALUE(TRIM(LEFT(MID(Sync!$AG1988,FIND("/",Sync!$AG1988)+1,20),FIND("/",MID(Sync!$AG1988,FIND("/",Sync!$AG1988)+1,20))-1))),"")))</f>
        <v/>
      </c>
      <c r="I1988">
        <f>IF(OR($F1988="",$G1988=""),"",IF(ISNUMBER(Sync!$AG1988),MOD(Sync!$AG1988,100),IFERROR(VALUE(TRIM(MID(MID(Sync!$AG1988,FIND("/",Sync!$AG1988)+1,20),FIND("/",MID(Sync!$AG1988,FIND("/",Sync!$AG1988)+1,20))+1,20))),"")))</f>
        <v/>
      </c>
      <c r="J1988">
        <f>IF($F1988="","",IF(OR($G1988="",$H1988="",$I1988="",$G1988&lt;1300,$G1988&gt;1500,$H1988&lt;1,$H1988&gt;12,$I1988&lt;1,$I1988&gt;31),"نامعتبر",RIGHT("0000"&amp;$G1988,4)&amp;"/"&amp;RIGHT("00"&amp;$H1988,2)&amp;"/"&amp;RIGHT("00"&amp;$I1988,2)))</f>
        <v/>
      </c>
      <c r="K1988">
        <f>IF(OR($F1988="",$J1988="",$J1988="نامعتبر"),"",LEFT($J1988,4)&amp;MID($J1988,6,2)&amp;RIGHT($J1988,2)&amp;$N1988&amp;"|"&amp;"2"&amp;RIGHT("00000"&amp;1983,5))</f>
        <v/>
      </c>
      <c r="L1988">
        <f>IF($K1988="","",COUNTIFS(LdgPartyA,$F1988,LdgKeyA,"&lt;"&amp;$K1988)+COUNTIFS(LdgPartyB,$F1988,LdgKeyB,"&lt;"&amp;$K1988)+1)</f>
        <v/>
      </c>
      <c r="M1988">
        <f>IF($L1988="","",$F1988&amp;"|"&amp;RIGHT("000000"&amp;$L1988,6))</f>
        <v/>
      </c>
      <c r="N1988">
        <f>IF($F1988="","",IF(Sync!$AH1988="","0000",IF(AND(ISNUMBER(Sync!$AH1988),Sync!$AH1988&gt;=0,Sync!$AH1988&lt;1),RIGHT("00"&amp;HOUR(Sync!$AH1988),2)&amp;RIGHT("00"&amp;MINUTE(Sync!$AH1988),2),IFERROR(RIGHT("00"&amp;VALUE(LEFT(Sync!$AH1988,FIND(":",Sync!$AH1988)-1)),2)&amp;RIGHT("00"&amp;VALUE(MID(Sync!$AH1988,FIND(":",Sync!$AH1988)+1,2)),2),"0000"))))</f>
        <v/>
      </c>
    </row>
    <row r="1989">
      <c r="A1989">
        <f>IF(OR(Calc!$E1992="",Calc!$E1992="نامعتبر",Calc!$G1992="",Calc!$I1992&lt;&gt;"خرید"),"",Calc!$G1992)</f>
        <v/>
      </c>
      <c r="B1989">
        <f>IF($A1989="","",LEFT(Calc!$E1992,4)&amp;MID(Calc!$E1992,6,2)&amp;RIGHT(Calc!$E1992,2)&amp;Calc!$R1992&amp;"|"&amp;"1"&amp;RIGHT("00000"&amp;1984,5))</f>
        <v/>
      </c>
      <c r="C1989">
        <f>IF($B1989="","",COUNTIFS(LdgPartyA,$A1989,LdgKeyA,"&lt;"&amp;$B1989)+COUNTIFS(LdgPartyB,$A1989,LdgKeyB,"&lt;"&amp;$B1989)+1)</f>
        <v/>
      </c>
      <c r="D1989">
        <f>IF($C1989="","",$A1989&amp;"|"&amp;RIGHT("000000"&amp;$C1989,6))</f>
        <v/>
      </c>
      <c r="F1989">
        <f>IF(Sync!$AJ1989="","",Sync!$AJ1989)</f>
        <v/>
      </c>
      <c r="G1989">
        <f>IF($F1989="","",IF(Sync!$AG1989="","",IF(ISNUMBER(Sync!$AG1989),IF(AND(Sync!$AG1989&gt;=10000101,Sync!$AG1989&lt;=99991231),INT(Sync!$AG1989/10000),""),IFERROR(VALUE(TRIM(LEFT(Sync!$AG1989,FIND("/",Sync!$AG1989)-1))),""))))</f>
        <v/>
      </c>
      <c r="H1989">
        <f>IF(OR($F1989="",$G1989=""),"",IF(ISNUMBER(Sync!$AG1989),INT(MOD(Sync!$AG1989,10000)/100),IFERROR(VALUE(TRIM(LEFT(MID(Sync!$AG1989,FIND("/",Sync!$AG1989)+1,20),FIND("/",MID(Sync!$AG1989,FIND("/",Sync!$AG1989)+1,20))-1))),"")))</f>
        <v/>
      </c>
      <c r="I1989">
        <f>IF(OR($F1989="",$G1989=""),"",IF(ISNUMBER(Sync!$AG1989),MOD(Sync!$AG1989,100),IFERROR(VALUE(TRIM(MID(MID(Sync!$AG1989,FIND("/",Sync!$AG1989)+1,20),FIND("/",MID(Sync!$AG1989,FIND("/",Sync!$AG1989)+1,20))+1,20))),"")))</f>
        <v/>
      </c>
      <c r="J1989">
        <f>IF($F1989="","",IF(OR($G1989="",$H1989="",$I1989="",$G1989&lt;1300,$G1989&gt;1500,$H1989&lt;1,$H1989&gt;12,$I1989&lt;1,$I1989&gt;31),"نامعتبر",RIGHT("0000"&amp;$G1989,4)&amp;"/"&amp;RIGHT("00"&amp;$H1989,2)&amp;"/"&amp;RIGHT("00"&amp;$I1989,2)))</f>
        <v/>
      </c>
      <c r="K1989">
        <f>IF(OR($F1989="",$J1989="",$J1989="نامعتبر"),"",LEFT($J1989,4)&amp;MID($J1989,6,2)&amp;RIGHT($J1989,2)&amp;$N1989&amp;"|"&amp;"2"&amp;RIGHT("00000"&amp;1984,5))</f>
        <v/>
      </c>
      <c r="L1989">
        <f>IF($K1989="","",COUNTIFS(LdgPartyA,$F1989,LdgKeyA,"&lt;"&amp;$K1989)+COUNTIFS(LdgPartyB,$F1989,LdgKeyB,"&lt;"&amp;$K1989)+1)</f>
        <v/>
      </c>
      <c r="M1989">
        <f>IF($L1989="","",$F1989&amp;"|"&amp;RIGHT("000000"&amp;$L1989,6))</f>
        <v/>
      </c>
      <c r="N1989">
        <f>IF($F1989="","",IF(Sync!$AH1989="","0000",IF(AND(ISNUMBER(Sync!$AH1989),Sync!$AH1989&gt;=0,Sync!$AH1989&lt;1),RIGHT("00"&amp;HOUR(Sync!$AH1989),2)&amp;RIGHT("00"&amp;MINUTE(Sync!$AH1989),2),IFERROR(RIGHT("00"&amp;VALUE(LEFT(Sync!$AH1989,FIND(":",Sync!$AH1989)-1)),2)&amp;RIGHT("00"&amp;VALUE(MID(Sync!$AH1989,FIND(":",Sync!$AH1989)+1,2)),2),"0000"))))</f>
        <v/>
      </c>
    </row>
    <row r="1990">
      <c r="A1990">
        <f>IF(OR(Calc!$E1993="",Calc!$E1993="نامعتبر",Calc!$G1993="",Calc!$I1993&lt;&gt;"خرید"),"",Calc!$G1993)</f>
        <v/>
      </c>
      <c r="B1990">
        <f>IF($A1990="","",LEFT(Calc!$E1993,4)&amp;MID(Calc!$E1993,6,2)&amp;RIGHT(Calc!$E1993,2)&amp;Calc!$R1993&amp;"|"&amp;"1"&amp;RIGHT("00000"&amp;1985,5))</f>
        <v/>
      </c>
      <c r="C1990">
        <f>IF($B1990="","",COUNTIFS(LdgPartyA,$A1990,LdgKeyA,"&lt;"&amp;$B1990)+COUNTIFS(LdgPartyB,$A1990,LdgKeyB,"&lt;"&amp;$B1990)+1)</f>
        <v/>
      </c>
      <c r="D1990">
        <f>IF($C1990="","",$A1990&amp;"|"&amp;RIGHT("000000"&amp;$C1990,6))</f>
        <v/>
      </c>
      <c r="F1990">
        <f>IF(Sync!$AJ1990="","",Sync!$AJ1990)</f>
        <v/>
      </c>
      <c r="G1990">
        <f>IF($F1990="","",IF(Sync!$AG1990="","",IF(ISNUMBER(Sync!$AG1990),IF(AND(Sync!$AG1990&gt;=10000101,Sync!$AG1990&lt;=99991231),INT(Sync!$AG1990/10000),""),IFERROR(VALUE(TRIM(LEFT(Sync!$AG1990,FIND("/",Sync!$AG1990)-1))),""))))</f>
        <v/>
      </c>
      <c r="H1990">
        <f>IF(OR($F1990="",$G1990=""),"",IF(ISNUMBER(Sync!$AG1990),INT(MOD(Sync!$AG1990,10000)/100),IFERROR(VALUE(TRIM(LEFT(MID(Sync!$AG1990,FIND("/",Sync!$AG1990)+1,20),FIND("/",MID(Sync!$AG1990,FIND("/",Sync!$AG1990)+1,20))-1))),"")))</f>
        <v/>
      </c>
      <c r="I1990">
        <f>IF(OR($F1990="",$G1990=""),"",IF(ISNUMBER(Sync!$AG1990),MOD(Sync!$AG1990,100),IFERROR(VALUE(TRIM(MID(MID(Sync!$AG1990,FIND("/",Sync!$AG1990)+1,20),FIND("/",MID(Sync!$AG1990,FIND("/",Sync!$AG1990)+1,20))+1,20))),"")))</f>
        <v/>
      </c>
      <c r="J1990">
        <f>IF($F1990="","",IF(OR($G1990="",$H1990="",$I1990="",$G1990&lt;1300,$G1990&gt;1500,$H1990&lt;1,$H1990&gt;12,$I1990&lt;1,$I1990&gt;31),"نامعتبر",RIGHT("0000"&amp;$G1990,4)&amp;"/"&amp;RIGHT("00"&amp;$H1990,2)&amp;"/"&amp;RIGHT("00"&amp;$I1990,2)))</f>
        <v/>
      </c>
      <c r="K1990">
        <f>IF(OR($F1990="",$J1990="",$J1990="نامعتبر"),"",LEFT($J1990,4)&amp;MID($J1990,6,2)&amp;RIGHT($J1990,2)&amp;$N1990&amp;"|"&amp;"2"&amp;RIGHT("00000"&amp;1985,5))</f>
        <v/>
      </c>
      <c r="L1990">
        <f>IF($K1990="","",COUNTIFS(LdgPartyA,$F1990,LdgKeyA,"&lt;"&amp;$K1990)+COUNTIFS(LdgPartyB,$F1990,LdgKeyB,"&lt;"&amp;$K1990)+1)</f>
        <v/>
      </c>
      <c r="M1990">
        <f>IF($L1990="","",$F1990&amp;"|"&amp;RIGHT("000000"&amp;$L1990,6))</f>
        <v/>
      </c>
      <c r="N1990">
        <f>IF($F1990="","",IF(Sync!$AH1990="","0000",IF(AND(ISNUMBER(Sync!$AH1990),Sync!$AH1990&gt;=0,Sync!$AH1990&lt;1),RIGHT("00"&amp;HOUR(Sync!$AH1990),2)&amp;RIGHT("00"&amp;MINUTE(Sync!$AH1990),2),IFERROR(RIGHT("00"&amp;VALUE(LEFT(Sync!$AH1990,FIND(":",Sync!$AH1990)-1)),2)&amp;RIGHT("00"&amp;VALUE(MID(Sync!$AH1990,FIND(":",Sync!$AH1990)+1,2)),2),"0000"))))</f>
        <v/>
      </c>
    </row>
    <row r="1991">
      <c r="A1991">
        <f>IF(OR(Calc!$E1994="",Calc!$E1994="نامعتبر",Calc!$G1994="",Calc!$I1994&lt;&gt;"خرید"),"",Calc!$G1994)</f>
        <v/>
      </c>
      <c r="B1991">
        <f>IF($A1991="","",LEFT(Calc!$E1994,4)&amp;MID(Calc!$E1994,6,2)&amp;RIGHT(Calc!$E1994,2)&amp;Calc!$R1994&amp;"|"&amp;"1"&amp;RIGHT("00000"&amp;1986,5))</f>
        <v/>
      </c>
      <c r="C1991">
        <f>IF($B1991="","",COUNTIFS(LdgPartyA,$A1991,LdgKeyA,"&lt;"&amp;$B1991)+COUNTIFS(LdgPartyB,$A1991,LdgKeyB,"&lt;"&amp;$B1991)+1)</f>
        <v/>
      </c>
      <c r="D1991">
        <f>IF($C1991="","",$A1991&amp;"|"&amp;RIGHT("000000"&amp;$C1991,6))</f>
        <v/>
      </c>
      <c r="F1991">
        <f>IF(Sync!$AJ1991="","",Sync!$AJ1991)</f>
        <v/>
      </c>
      <c r="G1991">
        <f>IF($F1991="","",IF(Sync!$AG1991="","",IF(ISNUMBER(Sync!$AG1991),IF(AND(Sync!$AG1991&gt;=10000101,Sync!$AG1991&lt;=99991231),INT(Sync!$AG1991/10000),""),IFERROR(VALUE(TRIM(LEFT(Sync!$AG1991,FIND("/",Sync!$AG1991)-1))),""))))</f>
        <v/>
      </c>
      <c r="H1991">
        <f>IF(OR($F1991="",$G1991=""),"",IF(ISNUMBER(Sync!$AG1991),INT(MOD(Sync!$AG1991,10000)/100),IFERROR(VALUE(TRIM(LEFT(MID(Sync!$AG1991,FIND("/",Sync!$AG1991)+1,20),FIND("/",MID(Sync!$AG1991,FIND("/",Sync!$AG1991)+1,20))-1))),"")))</f>
        <v/>
      </c>
      <c r="I1991">
        <f>IF(OR($F1991="",$G1991=""),"",IF(ISNUMBER(Sync!$AG1991),MOD(Sync!$AG1991,100),IFERROR(VALUE(TRIM(MID(MID(Sync!$AG1991,FIND("/",Sync!$AG1991)+1,20),FIND("/",MID(Sync!$AG1991,FIND("/",Sync!$AG1991)+1,20))+1,20))),"")))</f>
        <v/>
      </c>
      <c r="J1991">
        <f>IF($F1991="","",IF(OR($G1991="",$H1991="",$I1991="",$G1991&lt;1300,$G1991&gt;1500,$H1991&lt;1,$H1991&gt;12,$I1991&lt;1,$I1991&gt;31),"نامعتبر",RIGHT("0000"&amp;$G1991,4)&amp;"/"&amp;RIGHT("00"&amp;$H1991,2)&amp;"/"&amp;RIGHT("00"&amp;$I1991,2)))</f>
        <v/>
      </c>
      <c r="K1991">
        <f>IF(OR($F1991="",$J1991="",$J1991="نامعتبر"),"",LEFT($J1991,4)&amp;MID($J1991,6,2)&amp;RIGHT($J1991,2)&amp;$N1991&amp;"|"&amp;"2"&amp;RIGHT("00000"&amp;1986,5))</f>
        <v/>
      </c>
      <c r="L1991">
        <f>IF($K1991="","",COUNTIFS(LdgPartyA,$F1991,LdgKeyA,"&lt;"&amp;$K1991)+COUNTIFS(LdgPartyB,$F1991,LdgKeyB,"&lt;"&amp;$K1991)+1)</f>
        <v/>
      </c>
      <c r="M1991">
        <f>IF($L1991="","",$F1991&amp;"|"&amp;RIGHT("000000"&amp;$L1991,6))</f>
        <v/>
      </c>
      <c r="N1991">
        <f>IF($F1991="","",IF(Sync!$AH1991="","0000",IF(AND(ISNUMBER(Sync!$AH1991),Sync!$AH1991&gt;=0,Sync!$AH1991&lt;1),RIGHT("00"&amp;HOUR(Sync!$AH1991),2)&amp;RIGHT("00"&amp;MINUTE(Sync!$AH1991),2),IFERROR(RIGHT("00"&amp;VALUE(LEFT(Sync!$AH1991,FIND(":",Sync!$AH1991)-1)),2)&amp;RIGHT("00"&amp;VALUE(MID(Sync!$AH1991,FIND(":",Sync!$AH1991)+1,2)),2),"0000"))))</f>
        <v/>
      </c>
    </row>
    <row r="1992">
      <c r="A1992">
        <f>IF(OR(Calc!$E1995="",Calc!$E1995="نامعتبر",Calc!$G1995="",Calc!$I1995&lt;&gt;"خرید"),"",Calc!$G1995)</f>
        <v/>
      </c>
      <c r="B1992">
        <f>IF($A1992="","",LEFT(Calc!$E1995,4)&amp;MID(Calc!$E1995,6,2)&amp;RIGHT(Calc!$E1995,2)&amp;Calc!$R1995&amp;"|"&amp;"1"&amp;RIGHT("00000"&amp;1987,5))</f>
        <v/>
      </c>
      <c r="C1992">
        <f>IF($B1992="","",COUNTIFS(LdgPartyA,$A1992,LdgKeyA,"&lt;"&amp;$B1992)+COUNTIFS(LdgPartyB,$A1992,LdgKeyB,"&lt;"&amp;$B1992)+1)</f>
        <v/>
      </c>
      <c r="D1992">
        <f>IF($C1992="","",$A1992&amp;"|"&amp;RIGHT("000000"&amp;$C1992,6))</f>
        <v/>
      </c>
      <c r="F1992">
        <f>IF(Sync!$AJ1992="","",Sync!$AJ1992)</f>
        <v/>
      </c>
      <c r="G1992">
        <f>IF($F1992="","",IF(Sync!$AG1992="","",IF(ISNUMBER(Sync!$AG1992),IF(AND(Sync!$AG1992&gt;=10000101,Sync!$AG1992&lt;=99991231),INT(Sync!$AG1992/10000),""),IFERROR(VALUE(TRIM(LEFT(Sync!$AG1992,FIND("/",Sync!$AG1992)-1))),""))))</f>
        <v/>
      </c>
      <c r="H1992">
        <f>IF(OR($F1992="",$G1992=""),"",IF(ISNUMBER(Sync!$AG1992),INT(MOD(Sync!$AG1992,10000)/100),IFERROR(VALUE(TRIM(LEFT(MID(Sync!$AG1992,FIND("/",Sync!$AG1992)+1,20),FIND("/",MID(Sync!$AG1992,FIND("/",Sync!$AG1992)+1,20))-1))),"")))</f>
        <v/>
      </c>
      <c r="I1992">
        <f>IF(OR($F1992="",$G1992=""),"",IF(ISNUMBER(Sync!$AG1992),MOD(Sync!$AG1992,100),IFERROR(VALUE(TRIM(MID(MID(Sync!$AG1992,FIND("/",Sync!$AG1992)+1,20),FIND("/",MID(Sync!$AG1992,FIND("/",Sync!$AG1992)+1,20))+1,20))),"")))</f>
        <v/>
      </c>
      <c r="J1992">
        <f>IF($F1992="","",IF(OR($G1992="",$H1992="",$I1992="",$G1992&lt;1300,$G1992&gt;1500,$H1992&lt;1,$H1992&gt;12,$I1992&lt;1,$I1992&gt;31),"نامعتبر",RIGHT("0000"&amp;$G1992,4)&amp;"/"&amp;RIGHT("00"&amp;$H1992,2)&amp;"/"&amp;RIGHT("00"&amp;$I1992,2)))</f>
        <v/>
      </c>
      <c r="K1992">
        <f>IF(OR($F1992="",$J1992="",$J1992="نامعتبر"),"",LEFT($J1992,4)&amp;MID($J1992,6,2)&amp;RIGHT($J1992,2)&amp;$N1992&amp;"|"&amp;"2"&amp;RIGHT("00000"&amp;1987,5))</f>
        <v/>
      </c>
      <c r="L1992">
        <f>IF($K1992="","",COUNTIFS(LdgPartyA,$F1992,LdgKeyA,"&lt;"&amp;$K1992)+COUNTIFS(LdgPartyB,$F1992,LdgKeyB,"&lt;"&amp;$K1992)+1)</f>
        <v/>
      </c>
      <c r="M1992">
        <f>IF($L1992="","",$F1992&amp;"|"&amp;RIGHT("000000"&amp;$L1992,6))</f>
        <v/>
      </c>
      <c r="N1992">
        <f>IF($F1992="","",IF(Sync!$AH1992="","0000",IF(AND(ISNUMBER(Sync!$AH1992),Sync!$AH1992&gt;=0,Sync!$AH1992&lt;1),RIGHT("00"&amp;HOUR(Sync!$AH1992),2)&amp;RIGHT("00"&amp;MINUTE(Sync!$AH1992),2),IFERROR(RIGHT("00"&amp;VALUE(LEFT(Sync!$AH1992,FIND(":",Sync!$AH1992)-1)),2)&amp;RIGHT("00"&amp;VALUE(MID(Sync!$AH1992,FIND(":",Sync!$AH1992)+1,2)),2),"0000"))))</f>
        <v/>
      </c>
    </row>
    <row r="1993">
      <c r="A1993">
        <f>IF(OR(Calc!$E1996="",Calc!$E1996="نامعتبر",Calc!$G1996="",Calc!$I1996&lt;&gt;"خرید"),"",Calc!$G1996)</f>
        <v/>
      </c>
      <c r="B1993">
        <f>IF($A1993="","",LEFT(Calc!$E1996,4)&amp;MID(Calc!$E1996,6,2)&amp;RIGHT(Calc!$E1996,2)&amp;Calc!$R1996&amp;"|"&amp;"1"&amp;RIGHT("00000"&amp;1988,5))</f>
        <v/>
      </c>
      <c r="C1993">
        <f>IF($B1993="","",COUNTIFS(LdgPartyA,$A1993,LdgKeyA,"&lt;"&amp;$B1993)+COUNTIFS(LdgPartyB,$A1993,LdgKeyB,"&lt;"&amp;$B1993)+1)</f>
        <v/>
      </c>
      <c r="D1993">
        <f>IF($C1993="","",$A1993&amp;"|"&amp;RIGHT("000000"&amp;$C1993,6))</f>
        <v/>
      </c>
      <c r="F1993">
        <f>IF(Sync!$AJ1993="","",Sync!$AJ1993)</f>
        <v/>
      </c>
      <c r="G1993">
        <f>IF($F1993="","",IF(Sync!$AG1993="","",IF(ISNUMBER(Sync!$AG1993),IF(AND(Sync!$AG1993&gt;=10000101,Sync!$AG1993&lt;=99991231),INT(Sync!$AG1993/10000),""),IFERROR(VALUE(TRIM(LEFT(Sync!$AG1993,FIND("/",Sync!$AG1993)-1))),""))))</f>
        <v/>
      </c>
      <c r="H1993">
        <f>IF(OR($F1993="",$G1993=""),"",IF(ISNUMBER(Sync!$AG1993),INT(MOD(Sync!$AG1993,10000)/100),IFERROR(VALUE(TRIM(LEFT(MID(Sync!$AG1993,FIND("/",Sync!$AG1993)+1,20),FIND("/",MID(Sync!$AG1993,FIND("/",Sync!$AG1993)+1,20))-1))),"")))</f>
        <v/>
      </c>
      <c r="I1993">
        <f>IF(OR($F1993="",$G1993=""),"",IF(ISNUMBER(Sync!$AG1993),MOD(Sync!$AG1993,100),IFERROR(VALUE(TRIM(MID(MID(Sync!$AG1993,FIND("/",Sync!$AG1993)+1,20),FIND("/",MID(Sync!$AG1993,FIND("/",Sync!$AG1993)+1,20))+1,20))),"")))</f>
        <v/>
      </c>
      <c r="J1993">
        <f>IF($F1993="","",IF(OR($G1993="",$H1993="",$I1993="",$G1993&lt;1300,$G1993&gt;1500,$H1993&lt;1,$H1993&gt;12,$I1993&lt;1,$I1993&gt;31),"نامعتبر",RIGHT("0000"&amp;$G1993,4)&amp;"/"&amp;RIGHT("00"&amp;$H1993,2)&amp;"/"&amp;RIGHT("00"&amp;$I1993,2)))</f>
        <v/>
      </c>
      <c r="K1993">
        <f>IF(OR($F1993="",$J1993="",$J1993="نامعتبر"),"",LEFT($J1993,4)&amp;MID($J1993,6,2)&amp;RIGHT($J1993,2)&amp;$N1993&amp;"|"&amp;"2"&amp;RIGHT("00000"&amp;1988,5))</f>
        <v/>
      </c>
      <c r="L1993">
        <f>IF($K1993="","",COUNTIFS(LdgPartyA,$F1993,LdgKeyA,"&lt;"&amp;$K1993)+COUNTIFS(LdgPartyB,$F1993,LdgKeyB,"&lt;"&amp;$K1993)+1)</f>
        <v/>
      </c>
      <c r="M1993">
        <f>IF($L1993="","",$F1993&amp;"|"&amp;RIGHT("000000"&amp;$L1993,6))</f>
        <v/>
      </c>
      <c r="N1993">
        <f>IF($F1993="","",IF(Sync!$AH1993="","0000",IF(AND(ISNUMBER(Sync!$AH1993),Sync!$AH1993&gt;=0,Sync!$AH1993&lt;1),RIGHT("00"&amp;HOUR(Sync!$AH1993),2)&amp;RIGHT("00"&amp;MINUTE(Sync!$AH1993),2),IFERROR(RIGHT("00"&amp;VALUE(LEFT(Sync!$AH1993,FIND(":",Sync!$AH1993)-1)),2)&amp;RIGHT("00"&amp;VALUE(MID(Sync!$AH1993,FIND(":",Sync!$AH1993)+1,2)),2),"0000"))))</f>
        <v/>
      </c>
    </row>
    <row r="1994">
      <c r="A1994">
        <f>IF(OR(Calc!$E1997="",Calc!$E1997="نامعتبر",Calc!$G1997="",Calc!$I1997&lt;&gt;"خرید"),"",Calc!$G1997)</f>
        <v/>
      </c>
      <c r="B1994">
        <f>IF($A1994="","",LEFT(Calc!$E1997,4)&amp;MID(Calc!$E1997,6,2)&amp;RIGHT(Calc!$E1997,2)&amp;Calc!$R1997&amp;"|"&amp;"1"&amp;RIGHT("00000"&amp;1989,5))</f>
        <v/>
      </c>
      <c r="C1994">
        <f>IF($B1994="","",COUNTIFS(LdgPartyA,$A1994,LdgKeyA,"&lt;"&amp;$B1994)+COUNTIFS(LdgPartyB,$A1994,LdgKeyB,"&lt;"&amp;$B1994)+1)</f>
        <v/>
      </c>
      <c r="D1994">
        <f>IF($C1994="","",$A1994&amp;"|"&amp;RIGHT("000000"&amp;$C1994,6))</f>
        <v/>
      </c>
      <c r="F1994">
        <f>IF(Sync!$AJ1994="","",Sync!$AJ1994)</f>
        <v/>
      </c>
      <c r="G1994">
        <f>IF($F1994="","",IF(Sync!$AG1994="","",IF(ISNUMBER(Sync!$AG1994),IF(AND(Sync!$AG1994&gt;=10000101,Sync!$AG1994&lt;=99991231),INT(Sync!$AG1994/10000),""),IFERROR(VALUE(TRIM(LEFT(Sync!$AG1994,FIND("/",Sync!$AG1994)-1))),""))))</f>
        <v/>
      </c>
      <c r="H1994">
        <f>IF(OR($F1994="",$G1994=""),"",IF(ISNUMBER(Sync!$AG1994),INT(MOD(Sync!$AG1994,10000)/100),IFERROR(VALUE(TRIM(LEFT(MID(Sync!$AG1994,FIND("/",Sync!$AG1994)+1,20),FIND("/",MID(Sync!$AG1994,FIND("/",Sync!$AG1994)+1,20))-1))),"")))</f>
        <v/>
      </c>
      <c r="I1994">
        <f>IF(OR($F1994="",$G1994=""),"",IF(ISNUMBER(Sync!$AG1994),MOD(Sync!$AG1994,100),IFERROR(VALUE(TRIM(MID(MID(Sync!$AG1994,FIND("/",Sync!$AG1994)+1,20),FIND("/",MID(Sync!$AG1994,FIND("/",Sync!$AG1994)+1,20))+1,20))),"")))</f>
        <v/>
      </c>
      <c r="J1994">
        <f>IF($F1994="","",IF(OR($G1994="",$H1994="",$I1994="",$G1994&lt;1300,$G1994&gt;1500,$H1994&lt;1,$H1994&gt;12,$I1994&lt;1,$I1994&gt;31),"نامعتبر",RIGHT("0000"&amp;$G1994,4)&amp;"/"&amp;RIGHT("00"&amp;$H1994,2)&amp;"/"&amp;RIGHT("00"&amp;$I1994,2)))</f>
        <v/>
      </c>
      <c r="K1994">
        <f>IF(OR($F1994="",$J1994="",$J1994="نامعتبر"),"",LEFT($J1994,4)&amp;MID($J1994,6,2)&amp;RIGHT($J1994,2)&amp;$N1994&amp;"|"&amp;"2"&amp;RIGHT("00000"&amp;1989,5))</f>
        <v/>
      </c>
      <c r="L1994">
        <f>IF($K1994="","",COUNTIFS(LdgPartyA,$F1994,LdgKeyA,"&lt;"&amp;$K1994)+COUNTIFS(LdgPartyB,$F1994,LdgKeyB,"&lt;"&amp;$K1994)+1)</f>
        <v/>
      </c>
      <c r="M1994">
        <f>IF($L1994="","",$F1994&amp;"|"&amp;RIGHT("000000"&amp;$L1994,6))</f>
        <v/>
      </c>
      <c r="N1994">
        <f>IF($F1994="","",IF(Sync!$AH1994="","0000",IF(AND(ISNUMBER(Sync!$AH1994),Sync!$AH1994&gt;=0,Sync!$AH1994&lt;1),RIGHT("00"&amp;HOUR(Sync!$AH1994),2)&amp;RIGHT("00"&amp;MINUTE(Sync!$AH1994),2),IFERROR(RIGHT("00"&amp;VALUE(LEFT(Sync!$AH1994,FIND(":",Sync!$AH1994)-1)),2)&amp;RIGHT("00"&amp;VALUE(MID(Sync!$AH1994,FIND(":",Sync!$AH1994)+1,2)),2),"0000"))))</f>
        <v/>
      </c>
    </row>
    <row r="1995">
      <c r="A1995">
        <f>IF(OR(Calc!$E1998="",Calc!$E1998="نامعتبر",Calc!$G1998="",Calc!$I1998&lt;&gt;"خرید"),"",Calc!$G1998)</f>
        <v/>
      </c>
      <c r="B1995">
        <f>IF($A1995="","",LEFT(Calc!$E1998,4)&amp;MID(Calc!$E1998,6,2)&amp;RIGHT(Calc!$E1998,2)&amp;Calc!$R1998&amp;"|"&amp;"1"&amp;RIGHT("00000"&amp;1990,5))</f>
        <v/>
      </c>
      <c r="C1995">
        <f>IF($B1995="","",COUNTIFS(LdgPartyA,$A1995,LdgKeyA,"&lt;"&amp;$B1995)+COUNTIFS(LdgPartyB,$A1995,LdgKeyB,"&lt;"&amp;$B1995)+1)</f>
        <v/>
      </c>
      <c r="D1995">
        <f>IF($C1995="","",$A1995&amp;"|"&amp;RIGHT("000000"&amp;$C1995,6))</f>
        <v/>
      </c>
      <c r="F1995">
        <f>IF(Sync!$AJ1995="","",Sync!$AJ1995)</f>
        <v/>
      </c>
      <c r="G1995">
        <f>IF($F1995="","",IF(Sync!$AG1995="","",IF(ISNUMBER(Sync!$AG1995),IF(AND(Sync!$AG1995&gt;=10000101,Sync!$AG1995&lt;=99991231),INT(Sync!$AG1995/10000),""),IFERROR(VALUE(TRIM(LEFT(Sync!$AG1995,FIND("/",Sync!$AG1995)-1))),""))))</f>
        <v/>
      </c>
      <c r="H1995">
        <f>IF(OR($F1995="",$G1995=""),"",IF(ISNUMBER(Sync!$AG1995),INT(MOD(Sync!$AG1995,10000)/100),IFERROR(VALUE(TRIM(LEFT(MID(Sync!$AG1995,FIND("/",Sync!$AG1995)+1,20),FIND("/",MID(Sync!$AG1995,FIND("/",Sync!$AG1995)+1,20))-1))),"")))</f>
        <v/>
      </c>
      <c r="I1995">
        <f>IF(OR($F1995="",$G1995=""),"",IF(ISNUMBER(Sync!$AG1995),MOD(Sync!$AG1995,100),IFERROR(VALUE(TRIM(MID(MID(Sync!$AG1995,FIND("/",Sync!$AG1995)+1,20),FIND("/",MID(Sync!$AG1995,FIND("/",Sync!$AG1995)+1,20))+1,20))),"")))</f>
        <v/>
      </c>
      <c r="J1995">
        <f>IF($F1995="","",IF(OR($G1995="",$H1995="",$I1995="",$G1995&lt;1300,$G1995&gt;1500,$H1995&lt;1,$H1995&gt;12,$I1995&lt;1,$I1995&gt;31),"نامعتبر",RIGHT("0000"&amp;$G1995,4)&amp;"/"&amp;RIGHT("00"&amp;$H1995,2)&amp;"/"&amp;RIGHT("00"&amp;$I1995,2)))</f>
        <v/>
      </c>
      <c r="K1995">
        <f>IF(OR($F1995="",$J1995="",$J1995="نامعتبر"),"",LEFT($J1995,4)&amp;MID($J1995,6,2)&amp;RIGHT($J1995,2)&amp;$N1995&amp;"|"&amp;"2"&amp;RIGHT("00000"&amp;1990,5))</f>
        <v/>
      </c>
      <c r="L1995">
        <f>IF($K1995="","",COUNTIFS(LdgPartyA,$F1995,LdgKeyA,"&lt;"&amp;$K1995)+COUNTIFS(LdgPartyB,$F1995,LdgKeyB,"&lt;"&amp;$K1995)+1)</f>
        <v/>
      </c>
      <c r="M1995">
        <f>IF($L1995="","",$F1995&amp;"|"&amp;RIGHT("000000"&amp;$L1995,6))</f>
        <v/>
      </c>
      <c r="N1995">
        <f>IF($F1995="","",IF(Sync!$AH1995="","0000",IF(AND(ISNUMBER(Sync!$AH1995),Sync!$AH1995&gt;=0,Sync!$AH1995&lt;1),RIGHT("00"&amp;HOUR(Sync!$AH1995),2)&amp;RIGHT("00"&amp;MINUTE(Sync!$AH1995),2),IFERROR(RIGHT("00"&amp;VALUE(LEFT(Sync!$AH1995,FIND(":",Sync!$AH1995)-1)),2)&amp;RIGHT("00"&amp;VALUE(MID(Sync!$AH1995,FIND(":",Sync!$AH1995)+1,2)),2),"0000"))))</f>
        <v/>
      </c>
    </row>
    <row r="1996">
      <c r="A1996">
        <f>IF(OR(Calc!$E1999="",Calc!$E1999="نامعتبر",Calc!$G1999="",Calc!$I1999&lt;&gt;"خرید"),"",Calc!$G1999)</f>
        <v/>
      </c>
      <c r="B1996">
        <f>IF($A1996="","",LEFT(Calc!$E1999,4)&amp;MID(Calc!$E1999,6,2)&amp;RIGHT(Calc!$E1999,2)&amp;Calc!$R1999&amp;"|"&amp;"1"&amp;RIGHT("00000"&amp;1991,5))</f>
        <v/>
      </c>
      <c r="C1996">
        <f>IF($B1996="","",COUNTIFS(LdgPartyA,$A1996,LdgKeyA,"&lt;"&amp;$B1996)+COUNTIFS(LdgPartyB,$A1996,LdgKeyB,"&lt;"&amp;$B1996)+1)</f>
        <v/>
      </c>
      <c r="D1996">
        <f>IF($C1996="","",$A1996&amp;"|"&amp;RIGHT("000000"&amp;$C1996,6))</f>
        <v/>
      </c>
      <c r="F1996">
        <f>IF(Sync!$AJ1996="","",Sync!$AJ1996)</f>
        <v/>
      </c>
      <c r="G1996">
        <f>IF($F1996="","",IF(Sync!$AG1996="","",IF(ISNUMBER(Sync!$AG1996),IF(AND(Sync!$AG1996&gt;=10000101,Sync!$AG1996&lt;=99991231),INT(Sync!$AG1996/10000),""),IFERROR(VALUE(TRIM(LEFT(Sync!$AG1996,FIND("/",Sync!$AG1996)-1))),""))))</f>
        <v/>
      </c>
      <c r="H1996">
        <f>IF(OR($F1996="",$G1996=""),"",IF(ISNUMBER(Sync!$AG1996),INT(MOD(Sync!$AG1996,10000)/100),IFERROR(VALUE(TRIM(LEFT(MID(Sync!$AG1996,FIND("/",Sync!$AG1996)+1,20),FIND("/",MID(Sync!$AG1996,FIND("/",Sync!$AG1996)+1,20))-1))),"")))</f>
        <v/>
      </c>
      <c r="I1996">
        <f>IF(OR($F1996="",$G1996=""),"",IF(ISNUMBER(Sync!$AG1996),MOD(Sync!$AG1996,100),IFERROR(VALUE(TRIM(MID(MID(Sync!$AG1996,FIND("/",Sync!$AG1996)+1,20),FIND("/",MID(Sync!$AG1996,FIND("/",Sync!$AG1996)+1,20))+1,20))),"")))</f>
        <v/>
      </c>
      <c r="J1996">
        <f>IF($F1996="","",IF(OR($G1996="",$H1996="",$I1996="",$G1996&lt;1300,$G1996&gt;1500,$H1996&lt;1,$H1996&gt;12,$I1996&lt;1,$I1996&gt;31),"نامعتبر",RIGHT("0000"&amp;$G1996,4)&amp;"/"&amp;RIGHT("00"&amp;$H1996,2)&amp;"/"&amp;RIGHT("00"&amp;$I1996,2)))</f>
        <v/>
      </c>
      <c r="K1996">
        <f>IF(OR($F1996="",$J1996="",$J1996="نامعتبر"),"",LEFT($J1996,4)&amp;MID($J1996,6,2)&amp;RIGHT($J1996,2)&amp;$N1996&amp;"|"&amp;"2"&amp;RIGHT("00000"&amp;1991,5))</f>
        <v/>
      </c>
      <c r="L1996">
        <f>IF($K1996="","",COUNTIFS(LdgPartyA,$F1996,LdgKeyA,"&lt;"&amp;$K1996)+COUNTIFS(LdgPartyB,$F1996,LdgKeyB,"&lt;"&amp;$K1996)+1)</f>
        <v/>
      </c>
      <c r="M1996">
        <f>IF($L1996="","",$F1996&amp;"|"&amp;RIGHT("000000"&amp;$L1996,6))</f>
        <v/>
      </c>
      <c r="N1996">
        <f>IF($F1996="","",IF(Sync!$AH1996="","0000",IF(AND(ISNUMBER(Sync!$AH1996),Sync!$AH1996&gt;=0,Sync!$AH1996&lt;1),RIGHT("00"&amp;HOUR(Sync!$AH1996),2)&amp;RIGHT("00"&amp;MINUTE(Sync!$AH1996),2),IFERROR(RIGHT("00"&amp;VALUE(LEFT(Sync!$AH1996,FIND(":",Sync!$AH1996)-1)),2)&amp;RIGHT("00"&amp;VALUE(MID(Sync!$AH1996,FIND(":",Sync!$AH1996)+1,2)),2),"0000"))))</f>
        <v/>
      </c>
    </row>
    <row r="1997">
      <c r="A1997">
        <f>IF(OR(Calc!$E2000="",Calc!$E2000="نامعتبر",Calc!$G2000="",Calc!$I2000&lt;&gt;"خرید"),"",Calc!$G2000)</f>
        <v/>
      </c>
      <c r="B1997">
        <f>IF($A1997="","",LEFT(Calc!$E2000,4)&amp;MID(Calc!$E2000,6,2)&amp;RIGHT(Calc!$E2000,2)&amp;Calc!$R2000&amp;"|"&amp;"1"&amp;RIGHT("00000"&amp;1992,5))</f>
        <v/>
      </c>
      <c r="C1997">
        <f>IF($B1997="","",COUNTIFS(LdgPartyA,$A1997,LdgKeyA,"&lt;"&amp;$B1997)+COUNTIFS(LdgPartyB,$A1997,LdgKeyB,"&lt;"&amp;$B1997)+1)</f>
        <v/>
      </c>
      <c r="D1997">
        <f>IF($C1997="","",$A1997&amp;"|"&amp;RIGHT("000000"&amp;$C1997,6))</f>
        <v/>
      </c>
      <c r="F1997">
        <f>IF(Sync!$AJ1997="","",Sync!$AJ1997)</f>
        <v/>
      </c>
      <c r="G1997">
        <f>IF($F1997="","",IF(Sync!$AG1997="","",IF(ISNUMBER(Sync!$AG1997),IF(AND(Sync!$AG1997&gt;=10000101,Sync!$AG1997&lt;=99991231),INT(Sync!$AG1997/10000),""),IFERROR(VALUE(TRIM(LEFT(Sync!$AG1997,FIND("/",Sync!$AG1997)-1))),""))))</f>
        <v/>
      </c>
      <c r="H1997">
        <f>IF(OR($F1997="",$G1997=""),"",IF(ISNUMBER(Sync!$AG1997),INT(MOD(Sync!$AG1997,10000)/100),IFERROR(VALUE(TRIM(LEFT(MID(Sync!$AG1997,FIND("/",Sync!$AG1997)+1,20),FIND("/",MID(Sync!$AG1997,FIND("/",Sync!$AG1997)+1,20))-1))),"")))</f>
        <v/>
      </c>
      <c r="I1997">
        <f>IF(OR($F1997="",$G1997=""),"",IF(ISNUMBER(Sync!$AG1997),MOD(Sync!$AG1997,100),IFERROR(VALUE(TRIM(MID(MID(Sync!$AG1997,FIND("/",Sync!$AG1997)+1,20),FIND("/",MID(Sync!$AG1997,FIND("/",Sync!$AG1997)+1,20))+1,20))),"")))</f>
        <v/>
      </c>
      <c r="J1997">
        <f>IF($F1997="","",IF(OR($G1997="",$H1997="",$I1997="",$G1997&lt;1300,$G1997&gt;1500,$H1997&lt;1,$H1997&gt;12,$I1997&lt;1,$I1997&gt;31),"نامعتبر",RIGHT("0000"&amp;$G1997,4)&amp;"/"&amp;RIGHT("00"&amp;$H1997,2)&amp;"/"&amp;RIGHT("00"&amp;$I1997,2)))</f>
        <v/>
      </c>
      <c r="K1997">
        <f>IF(OR($F1997="",$J1997="",$J1997="نامعتبر"),"",LEFT($J1997,4)&amp;MID($J1997,6,2)&amp;RIGHT($J1997,2)&amp;$N1997&amp;"|"&amp;"2"&amp;RIGHT("00000"&amp;1992,5))</f>
        <v/>
      </c>
      <c r="L1997">
        <f>IF($K1997="","",COUNTIFS(LdgPartyA,$F1997,LdgKeyA,"&lt;"&amp;$K1997)+COUNTIFS(LdgPartyB,$F1997,LdgKeyB,"&lt;"&amp;$K1997)+1)</f>
        <v/>
      </c>
      <c r="M1997">
        <f>IF($L1997="","",$F1997&amp;"|"&amp;RIGHT("000000"&amp;$L1997,6))</f>
        <v/>
      </c>
      <c r="N1997">
        <f>IF($F1997="","",IF(Sync!$AH1997="","0000",IF(AND(ISNUMBER(Sync!$AH1997),Sync!$AH1997&gt;=0,Sync!$AH1997&lt;1),RIGHT("00"&amp;HOUR(Sync!$AH1997),2)&amp;RIGHT("00"&amp;MINUTE(Sync!$AH1997),2),IFERROR(RIGHT("00"&amp;VALUE(LEFT(Sync!$AH1997,FIND(":",Sync!$AH1997)-1)),2)&amp;RIGHT("00"&amp;VALUE(MID(Sync!$AH1997,FIND(":",Sync!$AH1997)+1,2)),2),"0000"))))</f>
        <v/>
      </c>
    </row>
    <row r="1998">
      <c r="A1998">
        <f>IF(OR(Calc!$E2001="",Calc!$E2001="نامعتبر",Calc!$G2001="",Calc!$I2001&lt;&gt;"خرید"),"",Calc!$G2001)</f>
        <v/>
      </c>
      <c r="B1998">
        <f>IF($A1998="","",LEFT(Calc!$E2001,4)&amp;MID(Calc!$E2001,6,2)&amp;RIGHT(Calc!$E2001,2)&amp;Calc!$R2001&amp;"|"&amp;"1"&amp;RIGHT("00000"&amp;1993,5))</f>
        <v/>
      </c>
      <c r="C1998">
        <f>IF($B1998="","",COUNTIFS(LdgPartyA,$A1998,LdgKeyA,"&lt;"&amp;$B1998)+COUNTIFS(LdgPartyB,$A1998,LdgKeyB,"&lt;"&amp;$B1998)+1)</f>
        <v/>
      </c>
      <c r="D1998">
        <f>IF($C1998="","",$A1998&amp;"|"&amp;RIGHT("000000"&amp;$C1998,6))</f>
        <v/>
      </c>
      <c r="F1998">
        <f>IF(Sync!$AJ1998="","",Sync!$AJ1998)</f>
        <v/>
      </c>
      <c r="G1998">
        <f>IF($F1998="","",IF(Sync!$AG1998="","",IF(ISNUMBER(Sync!$AG1998),IF(AND(Sync!$AG1998&gt;=10000101,Sync!$AG1998&lt;=99991231),INT(Sync!$AG1998/10000),""),IFERROR(VALUE(TRIM(LEFT(Sync!$AG1998,FIND("/",Sync!$AG1998)-1))),""))))</f>
        <v/>
      </c>
      <c r="H1998">
        <f>IF(OR($F1998="",$G1998=""),"",IF(ISNUMBER(Sync!$AG1998),INT(MOD(Sync!$AG1998,10000)/100),IFERROR(VALUE(TRIM(LEFT(MID(Sync!$AG1998,FIND("/",Sync!$AG1998)+1,20),FIND("/",MID(Sync!$AG1998,FIND("/",Sync!$AG1998)+1,20))-1))),"")))</f>
        <v/>
      </c>
      <c r="I1998">
        <f>IF(OR($F1998="",$G1998=""),"",IF(ISNUMBER(Sync!$AG1998),MOD(Sync!$AG1998,100),IFERROR(VALUE(TRIM(MID(MID(Sync!$AG1998,FIND("/",Sync!$AG1998)+1,20),FIND("/",MID(Sync!$AG1998,FIND("/",Sync!$AG1998)+1,20))+1,20))),"")))</f>
        <v/>
      </c>
      <c r="J1998">
        <f>IF($F1998="","",IF(OR($G1998="",$H1998="",$I1998="",$G1998&lt;1300,$G1998&gt;1500,$H1998&lt;1,$H1998&gt;12,$I1998&lt;1,$I1998&gt;31),"نامعتبر",RIGHT("0000"&amp;$G1998,4)&amp;"/"&amp;RIGHT("00"&amp;$H1998,2)&amp;"/"&amp;RIGHT("00"&amp;$I1998,2)))</f>
        <v/>
      </c>
      <c r="K1998">
        <f>IF(OR($F1998="",$J1998="",$J1998="نامعتبر"),"",LEFT($J1998,4)&amp;MID($J1998,6,2)&amp;RIGHT($J1998,2)&amp;$N1998&amp;"|"&amp;"2"&amp;RIGHT("00000"&amp;1993,5))</f>
        <v/>
      </c>
      <c r="L1998">
        <f>IF($K1998="","",COUNTIFS(LdgPartyA,$F1998,LdgKeyA,"&lt;"&amp;$K1998)+COUNTIFS(LdgPartyB,$F1998,LdgKeyB,"&lt;"&amp;$K1998)+1)</f>
        <v/>
      </c>
      <c r="M1998">
        <f>IF($L1998="","",$F1998&amp;"|"&amp;RIGHT("000000"&amp;$L1998,6))</f>
        <v/>
      </c>
      <c r="N1998">
        <f>IF($F1998="","",IF(Sync!$AH1998="","0000",IF(AND(ISNUMBER(Sync!$AH1998),Sync!$AH1998&gt;=0,Sync!$AH1998&lt;1),RIGHT("00"&amp;HOUR(Sync!$AH1998),2)&amp;RIGHT("00"&amp;MINUTE(Sync!$AH1998),2),IFERROR(RIGHT("00"&amp;VALUE(LEFT(Sync!$AH1998,FIND(":",Sync!$AH1998)-1)),2)&amp;RIGHT("00"&amp;VALUE(MID(Sync!$AH1998,FIND(":",Sync!$AH1998)+1,2)),2),"0000"))))</f>
        <v/>
      </c>
    </row>
    <row r="1999">
      <c r="A1999">
        <f>IF(OR(Calc!$E2002="",Calc!$E2002="نامعتبر",Calc!$G2002="",Calc!$I2002&lt;&gt;"خرید"),"",Calc!$G2002)</f>
        <v/>
      </c>
      <c r="B1999">
        <f>IF($A1999="","",LEFT(Calc!$E2002,4)&amp;MID(Calc!$E2002,6,2)&amp;RIGHT(Calc!$E2002,2)&amp;Calc!$R2002&amp;"|"&amp;"1"&amp;RIGHT("00000"&amp;1994,5))</f>
        <v/>
      </c>
      <c r="C1999">
        <f>IF($B1999="","",COUNTIFS(LdgPartyA,$A1999,LdgKeyA,"&lt;"&amp;$B1999)+COUNTIFS(LdgPartyB,$A1999,LdgKeyB,"&lt;"&amp;$B1999)+1)</f>
        <v/>
      </c>
      <c r="D1999">
        <f>IF($C1999="","",$A1999&amp;"|"&amp;RIGHT("000000"&amp;$C1999,6))</f>
        <v/>
      </c>
      <c r="F1999">
        <f>IF(Sync!$AJ1999="","",Sync!$AJ1999)</f>
        <v/>
      </c>
      <c r="G1999">
        <f>IF($F1999="","",IF(Sync!$AG1999="","",IF(ISNUMBER(Sync!$AG1999),IF(AND(Sync!$AG1999&gt;=10000101,Sync!$AG1999&lt;=99991231),INT(Sync!$AG1999/10000),""),IFERROR(VALUE(TRIM(LEFT(Sync!$AG1999,FIND("/",Sync!$AG1999)-1))),""))))</f>
        <v/>
      </c>
      <c r="H1999">
        <f>IF(OR($F1999="",$G1999=""),"",IF(ISNUMBER(Sync!$AG1999),INT(MOD(Sync!$AG1999,10000)/100),IFERROR(VALUE(TRIM(LEFT(MID(Sync!$AG1999,FIND("/",Sync!$AG1999)+1,20),FIND("/",MID(Sync!$AG1999,FIND("/",Sync!$AG1999)+1,20))-1))),"")))</f>
        <v/>
      </c>
      <c r="I1999">
        <f>IF(OR($F1999="",$G1999=""),"",IF(ISNUMBER(Sync!$AG1999),MOD(Sync!$AG1999,100),IFERROR(VALUE(TRIM(MID(MID(Sync!$AG1999,FIND("/",Sync!$AG1999)+1,20),FIND("/",MID(Sync!$AG1999,FIND("/",Sync!$AG1999)+1,20))+1,20))),"")))</f>
        <v/>
      </c>
      <c r="J1999">
        <f>IF($F1999="","",IF(OR($G1999="",$H1999="",$I1999="",$G1999&lt;1300,$G1999&gt;1500,$H1999&lt;1,$H1999&gt;12,$I1999&lt;1,$I1999&gt;31),"نامعتبر",RIGHT("0000"&amp;$G1999,4)&amp;"/"&amp;RIGHT("00"&amp;$H1999,2)&amp;"/"&amp;RIGHT("00"&amp;$I1999,2)))</f>
        <v/>
      </c>
      <c r="K1999">
        <f>IF(OR($F1999="",$J1999="",$J1999="نامعتبر"),"",LEFT($J1999,4)&amp;MID($J1999,6,2)&amp;RIGHT($J1999,2)&amp;$N1999&amp;"|"&amp;"2"&amp;RIGHT("00000"&amp;1994,5))</f>
        <v/>
      </c>
      <c r="L1999">
        <f>IF($K1999="","",COUNTIFS(LdgPartyA,$F1999,LdgKeyA,"&lt;"&amp;$K1999)+COUNTIFS(LdgPartyB,$F1999,LdgKeyB,"&lt;"&amp;$K1999)+1)</f>
        <v/>
      </c>
      <c r="M1999">
        <f>IF($L1999="","",$F1999&amp;"|"&amp;RIGHT("000000"&amp;$L1999,6))</f>
        <v/>
      </c>
      <c r="N1999">
        <f>IF($F1999="","",IF(Sync!$AH1999="","0000",IF(AND(ISNUMBER(Sync!$AH1999),Sync!$AH1999&gt;=0,Sync!$AH1999&lt;1),RIGHT("00"&amp;HOUR(Sync!$AH1999),2)&amp;RIGHT("00"&amp;MINUTE(Sync!$AH1999),2),IFERROR(RIGHT("00"&amp;VALUE(LEFT(Sync!$AH1999,FIND(":",Sync!$AH1999)-1)),2)&amp;RIGHT("00"&amp;VALUE(MID(Sync!$AH1999,FIND(":",Sync!$AH1999)+1,2)),2),"0000"))))</f>
        <v/>
      </c>
    </row>
    <row r="2000">
      <c r="A2000">
        <f>IF(OR(Calc!$E2003="",Calc!$E2003="نامعتبر",Calc!$G2003="",Calc!$I2003&lt;&gt;"خرید"),"",Calc!$G2003)</f>
        <v/>
      </c>
      <c r="B2000">
        <f>IF($A2000="","",LEFT(Calc!$E2003,4)&amp;MID(Calc!$E2003,6,2)&amp;RIGHT(Calc!$E2003,2)&amp;Calc!$R2003&amp;"|"&amp;"1"&amp;RIGHT("00000"&amp;1995,5))</f>
        <v/>
      </c>
      <c r="C2000">
        <f>IF($B2000="","",COUNTIFS(LdgPartyA,$A2000,LdgKeyA,"&lt;"&amp;$B2000)+COUNTIFS(LdgPartyB,$A2000,LdgKeyB,"&lt;"&amp;$B2000)+1)</f>
        <v/>
      </c>
      <c r="D2000">
        <f>IF($C2000="","",$A2000&amp;"|"&amp;RIGHT("000000"&amp;$C2000,6))</f>
        <v/>
      </c>
      <c r="F2000">
        <f>IF(Sync!$AJ2000="","",Sync!$AJ2000)</f>
        <v/>
      </c>
      <c r="G2000">
        <f>IF($F2000="","",IF(Sync!$AG2000="","",IF(ISNUMBER(Sync!$AG2000),IF(AND(Sync!$AG2000&gt;=10000101,Sync!$AG2000&lt;=99991231),INT(Sync!$AG2000/10000),""),IFERROR(VALUE(TRIM(LEFT(Sync!$AG2000,FIND("/",Sync!$AG2000)-1))),""))))</f>
        <v/>
      </c>
      <c r="H2000">
        <f>IF(OR($F2000="",$G2000=""),"",IF(ISNUMBER(Sync!$AG2000),INT(MOD(Sync!$AG2000,10000)/100),IFERROR(VALUE(TRIM(LEFT(MID(Sync!$AG2000,FIND("/",Sync!$AG2000)+1,20),FIND("/",MID(Sync!$AG2000,FIND("/",Sync!$AG2000)+1,20))-1))),"")))</f>
        <v/>
      </c>
      <c r="I2000">
        <f>IF(OR($F2000="",$G2000=""),"",IF(ISNUMBER(Sync!$AG2000),MOD(Sync!$AG2000,100),IFERROR(VALUE(TRIM(MID(MID(Sync!$AG2000,FIND("/",Sync!$AG2000)+1,20),FIND("/",MID(Sync!$AG2000,FIND("/",Sync!$AG2000)+1,20))+1,20))),"")))</f>
        <v/>
      </c>
      <c r="J2000">
        <f>IF($F2000="","",IF(OR($G2000="",$H2000="",$I2000="",$G2000&lt;1300,$G2000&gt;1500,$H2000&lt;1,$H2000&gt;12,$I2000&lt;1,$I2000&gt;31),"نامعتبر",RIGHT("0000"&amp;$G2000,4)&amp;"/"&amp;RIGHT("00"&amp;$H2000,2)&amp;"/"&amp;RIGHT("00"&amp;$I2000,2)))</f>
        <v/>
      </c>
      <c r="K2000">
        <f>IF(OR($F2000="",$J2000="",$J2000="نامعتبر"),"",LEFT($J2000,4)&amp;MID($J2000,6,2)&amp;RIGHT($J2000,2)&amp;$N2000&amp;"|"&amp;"2"&amp;RIGHT("00000"&amp;1995,5))</f>
        <v/>
      </c>
      <c r="L2000">
        <f>IF($K2000="","",COUNTIFS(LdgPartyA,$F2000,LdgKeyA,"&lt;"&amp;$K2000)+COUNTIFS(LdgPartyB,$F2000,LdgKeyB,"&lt;"&amp;$K2000)+1)</f>
        <v/>
      </c>
      <c r="M2000">
        <f>IF($L2000="","",$F2000&amp;"|"&amp;RIGHT("000000"&amp;$L2000,6))</f>
        <v/>
      </c>
      <c r="N2000">
        <f>IF($F2000="","",IF(Sync!$AH2000="","0000",IF(AND(ISNUMBER(Sync!$AH2000),Sync!$AH2000&gt;=0,Sync!$AH2000&lt;1),RIGHT("00"&amp;HOUR(Sync!$AH2000),2)&amp;RIGHT("00"&amp;MINUTE(Sync!$AH2000),2),IFERROR(RIGHT("00"&amp;VALUE(LEFT(Sync!$AH2000,FIND(":",Sync!$AH2000)-1)),2)&amp;RIGHT("00"&amp;VALUE(MID(Sync!$AH2000,FIND(":",Sync!$AH2000)+1,2)),2),"0000"))))</f>
        <v/>
      </c>
    </row>
    <row r="2001">
      <c r="A2001">
        <f>IF(OR(Calc!$E2004="",Calc!$E2004="نامعتبر",Calc!$G2004="",Calc!$I2004&lt;&gt;"خرید"),"",Calc!$G2004)</f>
        <v/>
      </c>
      <c r="B2001">
        <f>IF($A2001="","",LEFT(Calc!$E2004,4)&amp;MID(Calc!$E2004,6,2)&amp;RIGHT(Calc!$E2004,2)&amp;Calc!$R2004&amp;"|"&amp;"1"&amp;RIGHT("00000"&amp;1996,5))</f>
        <v/>
      </c>
      <c r="C2001">
        <f>IF($B2001="","",COUNTIFS(LdgPartyA,$A2001,LdgKeyA,"&lt;"&amp;$B2001)+COUNTIFS(LdgPartyB,$A2001,LdgKeyB,"&lt;"&amp;$B2001)+1)</f>
        <v/>
      </c>
      <c r="D2001">
        <f>IF($C2001="","",$A2001&amp;"|"&amp;RIGHT("000000"&amp;$C2001,6))</f>
        <v/>
      </c>
      <c r="F2001">
        <f>IF(Sync!$AJ2001="","",Sync!$AJ2001)</f>
        <v/>
      </c>
      <c r="G2001">
        <f>IF($F2001="","",IF(Sync!$AG2001="","",IF(ISNUMBER(Sync!$AG2001),IF(AND(Sync!$AG2001&gt;=10000101,Sync!$AG2001&lt;=99991231),INT(Sync!$AG2001/10000),""),IFERROR(VALUE(TRIM(LEFT(Sync!$AG2001,FIND("/",Sync!$AG2001)-1))),""))))</f>
        <v/>
      </c>
      <c r="H2001">
        <f>IF(OR($F2001="",$G2001=""),"",IF(ISNUMBER(Sync!$AG2001),INT(MOD(Sync!$AG2001,10000)/100),IFERROR(VALUE(TRIM(LEFT(MID(Sync!$AG2001,FIND("/",Sync!$AG2001)+1,20),FIND("/",MID(Sync!$AG2001,FIND("/",Sync!$AG2001)+1,20))-1))),"")))</f>
        <v/>
      </c>
      <c r="I2001">
        <f>IF(OR($F2001="",$G2001=""),"",IF(ISNUMBER(Sync!$AG2001),MOD(Sync!$AG2001,100),IFERROR(VALUE(TRIM(MID(MID(Sync!$AG2001,FIND("/",Sync!$AG2001)+1,20),FIND("/",MID(Sync!$AG2001,FIND("/",Sync!$AG2001)+1,20))+1,20))),"")))</f>
        <v/>
      </c>
      <c r="J2001">
        <f>IF($F2001="","",IF(OR($G2001="",$H2001="",$I2001="",$G2001&lt;1300,$G2001&gt;1500,$H2001&lt;1,$H2001&gt;12,$I2001&lt;1,$I2001&gt;31),"نامعتبر",RIGHT("0000"&amp;$G2001,4)&amp;"/"&amp;RIGHT("00"&amp;$H2001,2)&amp;"/"&amp;RIGHT("00"&amp;$I2001,2)))</f>
        <v/>
      </c>
      <c r="K2001">
        <f>IF(OR($F2001="",$J2001="",$J2001="نامعتبر"),"",LEFT($J2001,4)&amp;MID($J2001,6,2)&amp;RIGHT($J2001,2)&amp;$N2001&amp;"|"&amp;"2"&amp;RIGHT("00000"&amp;1996,5))</f>
        <v/>
      </c>
      <c r="L2001">
        <f>IF($K2001="","",COUNTIFS(LdgPartyA,$F2001,LdgKeyA,"&lt;"&amp;$K2001)+COUNTIFS(LdgPartyB,$F2001,LdgKeyB,"&lt;"&amp;$K2001)+1)</f>
        <v/>
      </c>
      <c r="M2001">
        <f>IF($L2001="","",$F2001&amp;"|"&amp;RIGHT("000000"&amp;$L2001,6))</f>
        <v/>
      </c>
      <c r="N2001">
        <f>IF($F2001="","",IF(Sync!$AH2001="","0000",IF(AND(ISNUMBER(Sync!$AH2001),Sync!$AH2001&gt;=0,Sync!$AH2001&lt;1),RIGHT("00"&amp;HOUR(Sync!$AH2001),2)&amp;RIGHT("00"&amp;MINUTE(Sync!$AH2001),2),IFERROR(RIGHT("00"&amp;VALUE(LEFT(Sync!$AH2001,FIND(":",Sync!$AH2001)-1)),2)&amp;RIGHT("00"&amp;VALUE(MID(Sync!$AH2001,FIND(":",Sync!$AH2001)+1,2)),2),"0000"))))</f>
        <v/>
      </c>
    </row>
    <row r="2002">
      <c r="A2002">
        <f>IF(OR(Calc!$E2005="",Calc!$E2005="نامعتبر",Calc!$G2005="",Calc!$I2005&lt;&gt;"خرید"),"",Calc!$G2005)</f>
        <v/>
      </c>
      <c r="B2002">
        <f>IF($A2002="","",LEFT(Calc!$E2005,4)&amp;MID(Calc!$E2005,6,2)&amp;RIGHT(Calc!$E2005,2)&amp;Calc!$R2005&amp;"|"&amp;"1"&amp;RIGHT("00000"&amp;1997,5))</f>
        <v/>
      </c>
      <c r="C2002">
        <f>IF($B2002="","",COUNTIFS(LdgPartyA,$A2002,LdgKeyA,"&lt;"&amp;$B2002)+COUNTIFS(LdgPartyB,$A2002,LdgKeyB,"&lt;"&amp;$B2002)+1)</f>
        <v/>
      </c>
      <c r="D2002">
        <f>IF($C2002="","",$A2002&amp;"|"&amp;RIGHT("000000"&amp;$C2002,6))</f>
        <v/>
      </c>
      <c r="F2002">
        <f>IF(Sync!$AJ2002="","",Sync!$AJ2002)</f>
        <v/>
      </c>
      <c r="G2002">
        <f>IF($F2002="","",IF(Sync!$AG2002="","",IF(ISNUMBER(Sync!$AG2002),IF(AND(Sync!$AG2002&gt;=10000101,Sync!$AG2002&lt;=99991231),INT(Sync!$AG2002/10000),""),IFERROR(VALUE(TRIM(LEFT(Sync!$AG2002,FIND("/",Sync!$AG2002)-1))),""))))</f>
        <v/>
      </c>
      <c r="H2002">
        <f>IF(OR($F2002="",$G2002=""),"",IF(ISNUMBER(Sync!$AG2002),INT(MOD(Sync!$AG2002,10000)/100),IFERROR(VALUE(TRIM(LEFT(MID(Sync!$AG2002,FIND("/",Sync!$AG2002)+1,20),FIND("/",MID(Sync!$AG2002,FIND("/",Sync!$AG2002)+1,20))-1))),"")))</f>
        <v/>
      </c>
      <c r="I2002">
        <f>IF(OR($F2002="",$G2002=""),"",IF(ISNUMBER(Sync!$AG2002),MOD(Sync!$AG2002,100),IFERROR(VALUE(TRIM(MID(MID(Sync!$AG2002,FIND("/",Sync!$AG2002)+1,20),FIND("/",MID(Sync!$AG2002,FIND("/",Sync!$AG2002)+1,20))+1,20))),"")))</f>
        <v/>
      </c>
      <c r="J2002">
        <f>IF($F2002="","",IF(OR($G2002="",$H2002="",$I2002="",$G2002&lt;1300,$G2002&gt;1500,$H2002&lt;1,$H2002&gt;12,$I2002&lt;1,$I2002&gt;31),"نامعتبر",RIGHT("0000"&amp;$G2002,4)&amp;"/"&amp;RIGHT("00"&amp;$H2002,2)&amp;"/"&amp;RIGHT("00"&amp;$I2002,2)))</f>
        <v/>
      </c>
      <c r="K2002">
        <f>IF(OR($F2002="",$J2002="",$J2002="نامعتبر"),"",LEFT($J2002,4)&amp;MID($J2002,6,2)&amp;RIGHT($J2002,2)&amp;$N2002&amp;"|"&amp;"2"&amp;RIGHT("00000"&amp;1997,5))</f>
        <v/>
      </c>
      <c r="L2002">
        <f>IF($K2002="","",COUNTIFS(LdgPartyA,$F2002,LdgKeyA,"&lt;"&amp;$K2002)+COUNTIFS(LdgPartyB,$F2002,LdgKeyB,"&lt;"&amp;$K2002)+1)</f>
        <v/>
      </c>
      <c r="M2002">
        <f>IF($L2002="","",$F2002&amp;"|"&amp;RIGHT("000000"&amp;$L2002,6))</f>
        <v/>
      </c>
      <c r="N2002">
        <f>IF($F2002="","",IF(Sync!$AH2002="","0000",IF(AND(ISNUMBER(Sync!$AH2002),Sync!$AH2002&gt;=0,Sync!$AH2002&lt;1),RIGHT("00"&amp;HOUR(Sync!$AH2002),2)&amp;RIGHT("00"&amp;MINUTE(Sync!$AH2002),2),IFERROR(RIGHT("00"&amp;VALUE(LEFT(Sync!$AH2002,FIND(":",Sync!$AH2002)-1)),2)&amp;RIGHT("00"&amp;VALUE(MID(Sync!$AH2002,FIND(":",Sync!$AH2002)+1,2)),2),"0000"))))</f>
        <v/>
      </c>
    </row>
    <row r="2003">
      <c r="A2003">
        <f>IF(OR(Calc!$E2006="",Calc!$E2006="نامعتبر",Calc!$G2006="",Calc!$I2006&lt;&gt;"خرید"),"",Calc!$G2006)</f>
        <v/>
      </c>
      <c r="B2003">
        <f>IF($A2003="","",LEFT(Calc!$E2006,4)&amp;MID(Calc!$E2006,6,2)&amp;RIGHT(Calc!$E2006,2)&amp;Calc!$R2006&amp;"|"&amp;"1"&amp;RIGHT("00000"&amp;1998,5))</f>
        <v/>
      </c>
      <c r="C2003">
        <f>IF($B2003="","",COUNTIFS(LdgPartyA,$A2003,LdgKeyA,"&lt;"&amp;$B2003)+COUNTIFS(LdgPartyB,$A2003,LdgKeyB,"&lt;"&amp;$B2003)+1)</f>
        <v/>
      </c>
      <c r="D2003">
        <f>IF($C2003="","",$A2003&amp;"|"&amp;RIGHT("000000"&amp;$C2003,6))</f>
        <v/>
      </c>
      <c r="F2003">
        <f>IF(Sync!$AJ2003="","",Sync!$AJ2003)</f>
        <v/>
      </c>
      <c r="G2003">
        <f>IF($F2003="","",IF(Sync!$AG2003="","",IF(ISNUMBER(Sync!$AG2003),IF(AND(Sync!$AG2003&gt;=10000101,Sync!$AG2003&lt;=99991231),INT(Sync!$AG2003/10000),""),IFERROR(VALUE(TRIM(LEFT(Sync!$AG2003,FIND("/",Sync!$AG2003)-1))),""))))</f>
        <v/>
      </c>
      <c r="H2003">
        <f>IF(OR($F2003="",$G2003=""),"",IF(ISNUMBER(Sync!$AG2003),INT(MOD(Sync!$AG2003,10000)/100),IFERROR(VALUE(TRIM(LEFT(MID(Sync!$AG2003,FIND("/",Sync!$AG2003)+1,20),FIND("/",MID(Sync!$AG2003,FIND("/",Sync!$AG2003)+1,20))-1))),"")))</f>
        <v/>
      </c>
      <c r="I2003">
        <f>IF(OR($F2003="",$G2003=""),"",IF(ISNUMBER(Sync!$AG2003),MOD(Sync!$AG2003,100),IFERROR(VALUE(TRIM(MID(MID(Sync!$AG2003,FIND("/",Sync!$AG2003)+1,20),FIND("/",MID(Sync!$AG2003,FIND("/",Sync!$AG2003)+1,20))+1,20))),"")))</f>
        <v/>
      </c>
      <c r="J2003">
        <f>IF($F2003="","",IF(OR($G2003="",$H2003="",$I2003="",$G2003&lt;1300,$G2003&gt;1500,$H2003&lt;1,$H2003&gt;12,$I2003&lt;1,$I2003&gt;31),"نامعتبر",RIGHT("0000"&amp;$G2003,4)&amp;"/"&amp;RIGHT("00"&amp;$H2003,2)&amp;"/"&amp;RIGHT("00"&amp;$I2003,2)))</f>
        <v/>
      </c>
      <c r="K2003">
        <f>IF(OR($F2003="",$J2003="",$J2003="نامعتبر"),"",LEFT($J2003,4)&amp;MID($J2003,6,2)&amp;RIGHT($J2003,2)&amp;$N2003&amp;"|"&amp;"2"&amp;RIGHT("00000"&amp;1998,5))</f>
        <v/>
      </c>
      <c r="L2003">
        <f>IF($K2003="","",COUNTIFS(LdgPartyA,$F2003,LdgKeyA,"&lt;"&amp;$K2003)+COUNTIFS(LdgPartyB,$F2003,LdgKeyB,"&lt;"&amp;$K2003)+1)</f>
        <v/>
      </c>
      <c r="M2003">
        <f>IF($L2003="","",$F2003&amp;"|"&amp;RIGHT("000000"&amp;$L2003,6))</f>
        <v/>
      </c>
      <c r="N2003">
        <f>IF($F2003="","",IF(Sync!$AH2003="","0000",IF(AND(ISNUMBER(Sync!$AH2003),Sync!$AH2003&gt;=0,Sync!$AH2003&lt;1),RIGHT("00"&amp;HOUR(Sync!$AH2003),2)&amp;RIGHT("00"&amp;MINUTE(Sync!$AH2003),2),IFERROR(RIGHT("00"&amp;VALUE(LEFT(Sync!$AH2003,FIND(":",Sync!$AH2003)-1)),2)&amp;RIGHT("00"&amp;VALUE(MID(Sync!$AH2003,FIND(":",Sync!$AH2003)+1,2)),2),"0000"))))</f>
        <v/>
      </c>
    </row>
    <row r="2004">
      <c r="A2004">
        <f>IF(OR(Calc!$E2007="",Calc!$E2007="نامعتبر",Calc!$G2007="",Calc!$I2007&lt;&gt;"خرید"),"",Calc!$G2007)</f>
        <v/>
      </c>
      <c r="B2004">
        <f>IF($A2004="","",LEFT(Calc!$E2007,4)&amp;MID(Calc!$E2007,6,2)&amp;RIGHT(Calc!$E2007,2)&amp;Calc!$R2007&amp;"|"&amp;"1"&amp;RIGHT("00000"&amp;1999,5))</f>
        <v/>
      </c>
      <c r="C2004">
        <f>IF($B2004="","",COUNTIFS(LdgPartyA,$A2004,LdgKeyA,"&lt;"&amp;$B2004)+COUNTIFS(LdgPartyB,$A2004,LdgKeyB,"&lt;"&amp;$B2004)+1)</f>
        <v/>
      </c>
      <c r="D2004">
        <f>IF($C2004="","",$A2004&amp;"|"&amp;RIGHT("000000"&amp;$C2004,6))</f>
        <v/>
      </c>
      <c r="F2004">
        <f>IF(Sync!$AJ2004="","",Sync!$AJ2004)</f>
        <v/>
      </c>
      <c r="G2004">
        <f>IF($F2004="","",IF(Sync!$AG2004="","",IF(ISNUMBER(Sync!$AG2004),IF(AND(Sync!$AG2004&gt;=10000101,Sync!$AG2004&lt;=99991231),INT(Sync!$AG2004/10000),""),IFERROR(VALUE(TRIM(LEFT(Sync!$AG2004,FIND("/",Sync!$AG2004)-1))),""))))</f>
        <v/>
      </c>
      <c r="H2004">
        <f>IF(OR($F2004="",$G2004=""),"",IF(ISNUMBER(Sync!$AG2004),INT(MOD(Sync!$AG2004,10000)/100),IFERROR(VALUE(TRIM(LEFT(MID(Sync!$AG2004,FIND("/",Sync!$AG2004)+1,20),FIND("/",MID(Sync!$AG2004,FIND("/",Sync!$AG2004)+1,20))-1))),"")))</f>
        <v/>
      </c>
      <c r="I2004">
        <f>IF(OR($F2004="",$G2004=""),"",IF(ISNUMBER(Sync!$AG2004),MOD(Sync!$AG2004,100),IFERROR(VALUE(TRIM(MID(MID(Sync!$AG2004,FIND("/",Sync!$AG2004)+1,20),FIND("/",MID(Sync!$AG2004,FIND("/",Sync!$AG2004)+1,20))+1,20))),"")))</f>
        <v/>
      </c>
      <c r="J2004">
        <f>IF($F2004="","",IF(OR($G2004="",$H2004="",$I2004="",$G2004&lt;1300,$G2004&gt;1500,$H2004&lt;1,$H2004&gt;12,$I2004&lt;1,$I2004&gt;31),"نامعتبر",RIGHT("0000"&amp;$G2004,4)&amp;"/"&amp;RIGHT("00"&amp;$H2004,2)&amp;"/"&amp;RIGHT("00"&amp;$I2004,2)))</f>
        <v/>
      </c>
      <c r="K2004">
        <f>IF(OR($F2004="",$J2004="",$J2004="نامعتبر"),"",LEFT($J2004,4)&amp;MID($J2004,6,2)&amp;RIGHT($J2004,2)&amp;$N2004&amp;"|"&amp;"2"&amp;RIGHT("00000"&amp;1999,5))</f>
        <v/>
      </c>
      <c r="L2004">
        <f>IF($K2004="","",COUNTIFS(LdgPartyA,$F2004,LdgKeyA,"&lt;"&amp;$K2004)+COUNTIFS(LdgPartyB,$F2004,LdgKeyB,"&lt;"&amp;$K2004)+1)</f>
        <v/>
      </c>
      <c r="M2004">
        <f>IF($L2004="","",$F2004&amp;"|"&amp;RIGHT("000000"&amp;$L2004,6))</f>
        <v/>
      </c>
      <c r="N2004">
        <f>IF($F2004="","",IF(Sync!$AH2004="","0000",IF(AND(ISNUMBER(Sync!$AH2004),Sync!$AH2004&gt;=0,Sync!$AH2004&lt;1),RIGHT("00"&amp;HOUR(Sync!$AH2004),2)&amp;RIGHT("00"&amp;MINUTE(Sync!$AH2004),2),IFERROR(RIGHT("00"&amp;VALUE(LEFT(Sync!$AH2004,FIND(":",Sync!$AH2004)-1)),2)&amp;RIGHT("00"&amp;VALUE(MID(Sync!$AH2004,FIND(":",Sync!$AH2004)+1,2)),2),"0000"))))</f>
        <v/>
      </c>
    </row>
    <row r="2005">
      <c r="A2005">
        <f>IF(OR(Calc!$E2008="",Calc!$E2008="نامعتبر",Calc!$G2008="",Calc!$I2008&lt;&gt;"خرید"),"",Calc!$G2008)</f>
        <v/>
      </c>
      <c r="B2005">
        <f>IF($A2005="","",LEFT(Calc!$E2008,4)&amp;MID(Calc!$E2008,6,2)&amp;RIGHT(Calc!$E2008,2)&amp;Calc!$R2008&amp;"|"&amp;"1"&amp;RIGHT("00000"&amp;2000,5))</f>
        <v/>
      </c>
      <c r="C2005">
        <f>IF($B2005="","",COUNTIFS(LdgPartyA,$A2005,LdgKeyA,"&lt;"&amp;$B2005)+COUNTIFS(LdgPartyB,$A2005,LdgKeyB,"&lt;"&amp;$B2005)+1)</f>
        <v/>
      </c>
      <c r="D2005">
        <f>IF($C2005="","",$A2005&amp;"|"&amp;RIGHT("000000"&amp;$C2005,6))</f>
        <v/>
      </c>
      <c r="F2005">
        <f>IF(Sync!$AJ2005="","",Sync!$AJ2005)</f>
        <v/>
      </c>
      <c r="G2005">
        <f>IF($F2005="","",IF(Sync!$AG2005="","",IF(ISNUMBER(Sync!$AG2005),IF(AND(Sync!$AG2005&gt;=10000101,Sync!$AG2005&lt;=99991231),INT(Sync!$AG2005/10000),""),IFERROR(VALUE(TRIM(LEFT(Sync!$AG2005,FIND("/",Sync!$AG2005)-1))),""))))</f>
        <v/>
      </c>
      <c r="H2005">
        <f>IF(OR($F2005="",$G2005=""),"",IF(ISNUMBER(Sync!$AG2005),INT(MOD(Sync!$AG2005,10000)/100),IFERROR(VALUE(TRIM(LEFT(MID(Sync!$AG2005,FIND("/",Sync!$AG2005)+1,20),FIND("/",MID(Sync!$AG2005,FIND("/",Sync!$AG2005)+1,20))-1))),"")))</f>
        <v/>
      </c>
      <c r="I2005">
        <f>IF(OR($F2005="",$G2005=""),"",IF(ISNUMBER(Sync!$AG2005),MOD(Sync!$AG2005,100),IFERROR(VALUE(TRIM(MID(MID(Sync!$AG2005,FIND("/",Sync!$AG2005)+1,20),FIND("/",MID(Sync!$AG2005,FIND("/",Sync!$AG2005)+1,20))+1,20))),"")))</f>
        <v/>
      </c>
      <c r="J2005">
        <f>IF($F2005="","",IF(OR($G2005="",$H2005="",$I2005="",$G2005&lt;1300,$G2005&gt;1500,$H2005&lt;1,$H2005&gt;12,$I2005&lt;1,$I2005&gt;31),"نامعتبر",RIGHT("0000"&amp;$G2005,4)&amp;"/"&amp;RIGHT("00"&amp;$H2005,2)&amp;"/"&amp;RIGHT("00"&amp;$I2005,2)))</f>
        <v/>
      </c>
      <c r="K2005">
        <f>IF(OR($F2005="",$J2005="",$J2005="نامعتبر"),"",LEFT($J2005,4)&amp;MID($J2005,6,2)&amp;RIGHT($J2005,2)&amp;$N2005&amp;"|"&amp;"2"&amp;RIGHT("00000"&amp;2000,5))</f>
        <v/>
      </c>
      <c r="L2005">
        <f>IF($K2005="","",COUNTIFS(LdgPartyA,$F2005,LdgKeyA,"&lt;"&amp;$K2005)+COUNTIFS(LdgPartyB,$F2005,LdgKeyB,"&lt;"&amp;$K2005)+1)</f>
        <v/>
      </c>
      <c r="M2005">
        <f>IF($L2005="","",$F2005&amp;"|"&amp;RIGHT("000000"&amp;$L2005,6))</f>
        <v/>
      </c>
      <c r="N2005">
        <f>IF($F2005="","",IF(Sync!$AH2005="","0000",IF(AND(ISNUMBER(Sync!$AH2005),Sync!$AH2005&gt;=0,Sync!$AH2005&lt;1),RIGHT("00"&amp;HOUR(Sync!$AH2005),2)&amp;RIGHT("00"&amp;MINUTE(Sync!$AH2005),2),IFERROR(RIGHT("00"&amp;VALUE(LEFT(Sync!$AH2005,FIND(":",Sync!$AH2005)-1)),2)&amp;RIGHT("00"&amp;VALUE(MID(Sync!$AH2005,FIND(":",Sync!$AH2005)+1,2)),2),"0000"))))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25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6" t="inlineStr">
        <is>
          <t>راهنمای فایل خرید (Purchases.xlsx)</t>
        </is>
      </c>
      <c r="B3" s="46" t="n"/>
      <c r="C3" s="46" t="n"/>
      <c r="D3" s="46" t="n"/>
      <c r="E3" s="46" t="n"/>
      <c r="F3" s="46" t="n"/>
      <c r="G3" s="46" t="n"/>
      <c r="H3" s="46" t="n"/>
    </row>
    <row r="5" ht="19" customHeight="1">
      <c r="A5" s="47" t="inlineStr">
        <is>
          <t>۱) این فایل چیست؟</t>
        </is>
      </c>
      <c r="B5" s="47" t="n"/>
      <c r="C5" s="47" t="n"/>
      <c r="D5" s="47" t="n"/>
      <c r="E5" s="47" t="n"/>
      <c r="F5" s="47" t="n"/>
      <c r="G5" s="47" t="n"/>
      <c r="H5" s="47" t="n"/>
    </row>
    <row r="6" ht="17" customHeight="1">
      <c r="A6" s="48" t="inlineStr">
        <is>
          <t>• گزارش خرید به تفکیک حساب — بدون هیچ ورود داده‌ای به‌جز «کد حساب».</t>
        </is>
      </c>
      <c r="B6" s="48" t="n"/>
      <c r="C6" s="48" t="n"/>
      <c r="D6" s="48" t="n"/>
      <c r="E6" s="48" t="n"/>
      <c r="F6" s="48" t="n"/>
      <c r="G6" s="48" t="n"/>
      <c r="H6" s="48" t="n"/>
    </row>
    <row r="7" ht="17" customHeight="1">
      <c r="A7" s="49" t="inlineStr">
        <is>
          <t>• منبع: دفتر باسکول (Baskol.xlsx — توزین‌های گروه خرید) + فایل واریز/برداشت (Transactions.xlsx — پرداخت‌ها) + فایل مادر (INFO.xlsx).</t>
        </is>
      </c>
      <c r="B7" s="49" t="n"/>
      <c r="C7" s="49" t="n"/>
      <c r="D7" s="49" t="n"/>
      <c r="E7" s="49" t="n"/>
      <c r="F7" s="49" t="n"/>
      <c r="G7" s="49" t="n"/>
      <c r="H7" s="49" t="n"/>
    </row>
    <row r="8" ht="17" customHeight="1">
      <c r="A8" s="48" t="inlineStr">
        <is>
          <t>• ثبت خرید: در باسکول ردیفی با عملیات «خرید مرکبات» و کد طرف حساب ثبت کنید؛ ثبت پرداخت: در Transactions برداشت با همان کد.</t>
        </is>
      </c>
      <c r="B8" s="48" t="n"/>
      <c r="C8" s="48" t="n"/>
      <c r="D8" s="48" t="n"/>
      <c r="E8" s="48" t="n"/>
      <c r="F8" s="48" t="n"/>
      <c r="G8" s="48" t="n"/>
      <c r="H8" s="48" t="n"/>
    </row>
    <row r="10" ht="19" customHeight="1">
      <c r="A10" s="47" t="inlineStr">
        <is>
          <t>۲) شیت Report — کار با آن</t>
        </is>
      </c>
      <c r="B10" s="47" t="n"/>
      <c r="C10" s="47" t="n"/>
      <c r="D10" s="47" t="n"/>
      <c r="E10" s="47" t="n"/>
      <c r="F10" s="47" t="n"/>
      <c r="G10" s="47" t="n"/>
      <c r="H10" s="47" t="n"/>
    </row>
    <row r="11" ht="17" customHeight="1">
      <c r="A11" s="48" t="inlineStr">
        <is>
          <t>• در خانه زردرنگ «کد حساب» کد را وارد کنید (مثل S001) — سربرگ، کارت‌ها و کل دفتر خودکار به‌روز می‌شوند.</t>
        </is>
      </c>
      <c r="B11" s="48" t="n"/>
      <c r="C11" s="48" t="n"/>
      <c r="D11" s="48" t="n"/>
      <c r="E11" s="48" t="n"/>
      <c r="F11" s="48" t="n"/>
      <c r="G11" s="48" t="n"/>
      <c r="H11" s="48" t="n"/>
    </row>
    <row r="12" ht="17" customHeight="1">
      <c r="A12" s="49" t="inlineStr">
        <is>
          <t>• ردیف‌ها: تاریخ | نوع (خرید مرکبات/مرجوعی خرید/پرداخت بانکی/دریافت بانکی) | سند | نوع مرکبات | باسکول | سبد | خالص | بدهکار | بستانکار | مانده | توضیحات.</t>
        </is>
      </c>
      <c r="B12" s="49" t="n"/>
      <c r="C12" s="49" t="n"/>
      <c r="D12" s="49" t="n"/>
      <c r="E12" s="49" t="n"/>
      <c r="F12" s="49" t="n"/>
      <c r="G12" s="49" t="n"/>
      <c r="H12" s="49" t="n"/>
    </row>
    <row r="13" ht="17" customHeight="1">
      <c r="A13" s="48" t="inlineStr">
        <is>
          <t>• خرید = بدهکار؛ مرجوعی خرید و پرداخت = بستانکار؛ مانده = بدهی باقی‌مانده به طرف حساب.</t>
        </is>
      </c>
      <c r="B13" s="48" t="n"/>
      <c r="C13" s="48" t="n"/>
      <c r="D13" s="48" t="n"/>
      <c r="E13" s="48" t="n"/>
      <c r="F13" s="48" t="n"/>
      <c r="G13" s="48" t="n"/>
      <c r="H13" s="48" t="n"/>
    </row>
    <row r="14" ht="17" customHeight="1">
      <c r="A14" s="49" t="inlineStr">
        <is>
          <t>• برای حساب دیگر، همین شیت را کپی کنید و فقط کد را عوض کنید. آماده چاپ (Landscape).</t>
        </is>
      </c>
      <c r="B14" s="49" t="n"/>
      <c r="C14" s="49" t="n"/>
      <c r="D14" s="49" t="n"/>
      <c r="E14" s="49" t="n"/>
      <c r="F14" s="49" t="n"/>
      <c r="G14" s="49" t="n"/>
      <c r="H14" s="49" t="n"/>
    </row>
    <row r="16" ht="19" customHeight="1">
      <c r="A16" s="47" t="inlineStr">
        <is>
          <t>۳) شیت Summary</t>
        </is>
      </c>
      <c r="B16" s="47" t="n"/>
      <c r="C16" s="47" t="n"/>
      <c r="D16" s="47" t="n"/>
      <c r="E16" s="47" t="n"/>
      <c r="F16" s="47" t="n"/>
      <c r="G16" s="47" t="n"/>
      <c r="H16" s="47" t="n"/>
    </row>
    <row r="17" ht="17" customHeight="1">
      <c r="A17" s="48" t="inlineStr">
        <is>
          <t>• همه حساب‌های فعال مادر (C/SL/S/E/X) به ترتیب دفتر حساب‌ها + تعداد ورودی، جمع باسکول/سبد/خالص (فقط گروه خرید)، گروه حسابداری/حسابرسی و سهم هر حساب + ردیف جمع کل.</t>
        </is>
      </c>
      <c r="B17" s="48" t="n"/>
      <c r="C17" s="48" t="n"/>
      <c r="D17" s="48" t="n"/>
      <c r="E17" s="48" t="n"/>
      <c r="F17" s="48" t="n"/>
      <c r="G17" s="48" t="n"/>
      <c r="H17" s="48" t="n"/>
    </row>
    <row r="19" ht="19" customHeight="1">
      <c r="A19" s="47" t="inlineStr">
        <is>
          <t>۴) فرمول وزن خالص (پارامتری)</t>
        </is>
      </c>
      <c r="B19" s="47" t="n"/>
      <c r="C19" s="47" t="n"/>
      <c r="D19" s="47" t="n"/>
      <c r="E19" s="47" t="n"/>
      <c r="F19" s="47" t="n"/>
      <c r="G19" s="47" t="n"/>
      <c r="H19" s="47" t="n"/>
    </row>
    <row r="20" ht="17" customHeight="1">
      <c r="A20" s="48" t="inlineStr">
        <is>
          <t>• وزن خالص = (باسکول − سبد × P01) × (۱ − P02 ÷ 100 فقط برای گروه خرید)</t>
        </is>
      </c>
      <c r="B20" s="48" t="n"/>
      <c r="C20" s="48" t="n"/>
      <c r="D20" s="48" t="n"/>
      <c r="E20" s="48" t="n"/>
      <c r="F20" s="48" t="n"/>
      <c r="G20" s="48" t="n"/>
      <c r="H20" s="48" t="n"/>
    </row>
    <row r="21" ht="17" customHeight="1">
      <c r="A21" s="49" t="inlineStr">
        <is>
          <t>• پیش‌فرض: P01 = 1.5 کیلوگرم، P02 = 1٪ — در INFO ← شیت Params قابل تغییر.</t>
        </is>
      </c>
      <c r="B21" s="49" t="n"/>
      <c r="C21" s="49" t="n"/>
      <c r="D21" s="49" t="n"/>
      <c r="E21" s="49" t="n"/>
      <c r="F21" s="49" t="n"/>
      <c r="G21" s="49" t="n"/>
      <c r="H21" s="49" t="n"/>
    </row>
    <row r="23" ht="19" customHeight="1">
      <c r="A23" s="47" t="inlineStr">
        <is>
          <t>۵) اتصال‌ها</t>
        </is>
      </c>
      <c r="B23" s="47" t="n"/>
      <c r="C23" s="47" t="n"/>
      <c r="D23" s="47" t="n"/>
      <c r="E23" s="47" t="n"/>
      <c r="F23" s="47" t="n"/>
      <c r="G23" s="47" t="n"/>
      <c r="H23" s="47" t="n"/>
    </row>
    <row r="24" ht="17" customHeight="1">
      <c r="A24" s="48" t="inlineStr">
        <is>
          <t>• این فایل، Baskol.xlsx، Transactions.xlsx و INFO.xlsx همیشه در یک پوشه باشند.</t>
        </is>
      </c>
      <c r="B24" s="48" t="n"/>
      <c r="C24" s="48" t="n"/>
      <c r="D24" s="48" t="n"/>
      <c r="E24" s="48" t="n"/>
      <c r="F24" s="48" t="n"/>
      <c r="G24" s="48" t="n"/>
      <c r="H24" s="48" t="n"/>
    </row>
    <row r="25" ht="17" customHeight="1">
      <c r="A25" s="49" t="inlineStr">
        <is>
          <t>• پس از تغییر منابع: Data ← Edit Links ← Update Values.</t>
        </is>
      </c>
      <c r="B25" s="49" t="n"/>
      <c r="C25" s="49" t="n"/>
      <c r="D25" s="49" t="n"/>
      <c r="E25" s="49" t="n"/>
      <c r="F25" s="49" t="n"/>
      <c r="G25" s="49" t="n"/>
      <c r="H25" s="49" t="n"/>
    </row>
  </sheetData>
  <mergeCells count="20">
    <mergeCell ref="A24:H24"/>
    <mergeCell ref="A11:H11"/>
    <mergeCell ref="A1:H1"/>
    <mergeCell ref="A6:H6"/>
    <mergeCell ref="A7:H7"/>
    <mergeCell ref="A25:H25"/>
    <mergeCell ref="A16:H16"/>
    <mergeCell ref="A12:H12"/>
    <mergeCell ref="A3:H3"/>
    <mergeCell ref="A21:H21"/>
    <mergeCell ref="A2:H2"/>
    <mergeCell ref="A14:H14"/>
    <mergeCell ref="A5:H5"/>
    <mergeCell ref="A23:H23"/>
    <mergeCell ref="A8:H8"/>
    <mergeCell ref="A17:H17"/>
    <mergeCell ref="A20:H20"/>
    <mergeCell ref="A10:H10"/>
    <mergeCell ref="A13:H13"/>
    <mergeCell ref="A19:H19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فایل خرید&amp;R&amp;"Tahoma"&amp;8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Purchases — گزارش خرید</dc:title>
  <dcterms:created xsi:type="dcterms:W3CDTF">2026-10-05T19:49:15Z</dcterms:created>
  <dcterms:modified xsi:type="dcterms:W3CDTF">2026-10-05T19:49:18Z</dcterms:modified>
</cp:coreProperties>
</file>